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rnold\Desktop\"/>
    </mc:Choice>
  </mc:AlternateContent>
  <xr:revisionPtr revIDLastSave="0" documentId="13_ncr:1_{22F51A35-AFBE-4739-A2CC-50B22ED0A7D0}" xr6:coauthVersionLast="47" xr6:coauthVersionMax="47" xr10:uidLastSave="{00000000-0000-0000-0000-000000000000}"/>
  <bookViews>
    <workbookView xWindow="-120" yWindow="-120" windowWidth="38640" windowHeight="21120" tabRatio="751" xr2:uid="{968ADB1D-0E10-4762-B5B2-0FA89EE35F91}"/>
  </bookViews>
  <sheets>
    <sheet name="README" sheetId="2" r:id="rId1"/>
    <sheet name="DATA_DICTIONNAIRE" sheetId="4" r:id="rId2"/>
    <sheet name="KPI_DICTIONNAIRE" sheetId="7" r:id="rId3"/>
    <sheet name="DATA_BRUT" sheetId="3" r:id="rId4"/>
    <sheet name="DATA_QUALITE" sheetId="9" r:id="rId5"/>
    <sheet name="DATA_CLEANED" sheetId="8" r:id="rId6"/>
    <sheet name="CALCULES" sheetId="5" r:id="rId7"/>
    <sheet name="RESUME" sheetId="1" r:id="rId8"/>
    <sheet name="DASHBOARD" sheetId="6"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D6" i="1" l="1"/>
  <c r="BM94" i="5"/>
  <c r="BL94" i="5"/>
  <c r="BM93" i="5"/>
  <c r="BL93" i="5"/>
  <c r="BM92" i="5"/>
  <c r="BL92" i="5"/>
  <c r="BM91" i="5"/>
  <c r="BL91" i="5"/>
  <c r="BM90" i="5"/>
  <c r="BL90" i="5"/>
  <c r="BM89" i="5"/>
  <c r="BL89" i="5"/>
  <c r="BM88" i="5"/>
  <c r="BL88" i="5"/>
  <c r="BM87" i="5"/>
  <c r="BL87" i="5"/>
  <c r="BM86" i="5"/>
  <c r="BL86" i="5"/>
  <c r="BM85" i="5"/>
  <c r="BL85" i="5"/>
  <c r="BM84" i="5"/>
  <c r="BL84" i="5"/>
  <c r="BM83" i="5"/>
  <c r="BL83" i="5"/>
  <c r="BM82" i="5"/>
  <c r="BL82" i="5"/>
  <c r="BM81" i="5"/>
  <c r="BL81" i="5"/>
  <c r="BM80" i="5"/>
  <c r="BL80" i="5"/>
  <c r="BM79" i="5"/>
  <c r="BL79" i="5"/>
  <c r="BM78" i="5"/>
  <c r="BL78" i="5"/>
  <c r="BM77" i="5"/>
  <c r="BL77" i="5"/>
  <c r="BM76" i="5"/>
  <c r="BL76" i="5"/>
  <c r="BM75" i="5"/>
  <c r="BL75" i="5"/>
  <c r="BM74" i="5"/>
  <c r="BL74" i="5"/>
  <c r="BM73" i="5"/>
  <c r="BL73" i="5"/>
  <c r="BM72" i="5"/>
  <c r="BL72" i="5"/>
  <c r="BM71" i="5"/>
  <c r="BL71" i="5"/>
  <c r="BM70" i="5"/>
  <c r="BL70" i="5"/>
  <c r="BM69" i="5"/>
  <c r="BL69" i="5"/>
  <c r="BM68" i="5"/>
  <c r="BL68" i="5"/>
  <c r="BM67" i="5"/>
  <c r="BL67" i="5"/>
  <c r="BM66" i="5"/>
  <c r="BL66" i="5"/>
  <c r="BM65" i="5"/>
  <c r="BL65" i="5"/>
  <c r="BM64" i="5"/>
  <c r="BL64" i="5"/>
  <c r="BM63" i="5"/>
  <c r="BL63" i="5"/>
  <c r="BM62" i="5"/>
  <c r="BL62" i="5"/>
  <c r="BM61" i="5"/>
  <c r="BL61" i="5"/>
  <c r="BM60" i="5"/>
  <c r="BL60" i="5"/>
  <c r="BM59" i="5"/>
  <c r="BL59" i="5"/>
  <c r="BM58" i="5"/>
  <c r="BL58" i="5"/>
  <c r="BM57" i="5"/>
  <c r="BL57" i="5"/>
  <c r="BM56" i="5"/>
  <c r="BL56" i="5"/>
  <c r="BM55" i="5"/>
  <c r="BL55" i="5"/>
  <c r="BM54" i="5"/>
  <c r="BL54" i="5"/>
  <c r="BM53" i="5"/>
  <c r="BL53" i="5"/>
  <c r="BM52" i="5"/>
  <c r="BL52" i="5"/>
  <c r="BM51" i="5"/>
  <c r="BL51" i="5"/>
  <c r="BM50" i="5"/>
  <c r="BL50" i="5"/>
  <c r="BM49" i="5"/>
  <c r="BL49" i="5"/>
  <c r="BM48" i="5"/>
  <c r="BL48" i="5"/>
  <c r="BM47" i="5"/>
  <c r="BL47" i="5"/>
  <c r="BM46" i="5"/>
  <c r="BL46" i="5"/>
  <c r="BM45" i="5"/>
  <c r="BL45" i="5"/>
  <c r="BM44" i="5"/>
  <c r="BL44" i="5"/>
  <c r="BM43" i="5"/>
  <c r="BL43" i="5"/>
  <c r="BM42" i="5"/>
  <c r="BL42" i="5"/>
  <c r="BM41" i="5"/>
  <c r="BL41" i="5"/>
  <c r="BM40" i="5"/>
  <c r="BL40" i="5"/>
  <c r="BM39" i="5"/>
  <c r="BL39" i="5"/>
  <c r="BM38" i="5"/>
  <c r="BL38" i="5"/>
  <c r="BM37" i="5"/>
  <c r="BL37" i="5"/>
  <c r="BM36" i="5"/>
  <c r="BL36" i="5"/>
  <c r="BM35" i="5"/>
  <c r="BL35" i="5"/>
  <c r="BM34" i="5"/>
  <c r="BL34" i="5"/>
  <c r="BM33" i="5"/>
  <c r="BL33" i="5"/>
  <c r="BM32" i="5"/>
  <c r="BL32" i="5"/>
  <c r="BM31" i="5"/>
  <c r="BL31" i="5"/>
  <c r="BM30" i="5"/>
  <c r="BL30" i="5"/>
  <c r="BM29" i="5"/>
  <c r="BL29" i="5"/>
  <c r="BM28" i="5"/>
  <c r="BL28" i="5"/>
  <c r="BM27" i="5"/>
  <c r="BL27" i="5"/>
  <c r="BM26" i="5"/>
  <c r="BL26" i="5"/>
  <c r="BM25" i="5"/>
  <c r="BL25" i="5"/>
  <c r="BM24" i="5"/>
  <c r="BL24" i="5"/>
  <c r="BM23" i="5"/>
  <c r="BL23" i="5"/>
  <c r="BM22" i="5"/>
  <c r="BL22" i="5"/>
  <c r="BM21" i="5"/>
  <c r="BL21" i="5"/>
  <c r="BM20" i="5"/>
  <c r="BL20" i="5"/>
  <c r="BM19" i="5"/>
  <c r="BL19" i="5"/>
  <c r="BM18" i="5"/>
  <c r="BL18" i="5"/>
  <c r="BM17" i="5"/>
  <c r="BL17" i="5"/>
  <c r="BM16" i="5"/>
  <c r="BL16" i="5"/>
  <c r="BM15" i="5"/>
  <c r="BL15" i="5"/>
  <c r="BJ7" i="5"/>
  <c r="BJ11" i="5" s="1"/>
  <c r="BG7" i="5"/>
  <c r="BJ6" i="5"/>
  <c r="BG6" i="5"/>
  <c r="BG3" i="5"/>
  <c r="V202" i="6"/>
  <c r="U202" i="6"/>
  <c r="F6" i="1"/>
  <c r="AN1061" i="8"/>
  <c r="AK1062" i="8"/>
  <c r="B15" i="1"/>
  <c r="B1" i="1"/>
  <c r="AK2121" i="8"/>
  <c r="G3" i="8" a="1"/>
  <c r="D3" i="8" a="1"/>
  <c r="C3" i="8" a="1"/>
  <c r="AF2" i="8" a="1"/>
  <c r="X2" i="8" a="1"/>
  <c r="G2" i="8" a="1"/>
  <c r="A2" i="8" a="1"/>
  <c r="Z5582" i="9"/>
  <c r="Z5580" i="9"/>
  <c r="V2368" i="9" a="1"/>
  <c r="W2368" i="9" s="1"/>
  <c r="U2368" i="9"/>
  <c r="T2368" i="9"/>
  <c r="V2367" i="9" a="1"/>
  <c r="W2367" i="9" s="1"/>
  <c r="U2367" i="9"/>
  <c r="T2367" i="9"/>
  <c r="V2366" i="9" a="1"/>
  <c r="W2366" i="9" s="1"/>
  <c r="U2366" i="9"/>
  <c r="T2366" i="9"/>
  <c r="V2365" i="9" a="1"/>
  <c r="W2365" i="9" s="1"/>
  <c r="U2365" i="9"/>
  <c r="T2365" i="9"/>
  <c r="V2364" i="9" a="1"/>
  <c r="W2364" i="9" s="1"/>
  <c r="U2364" i="9"/>
  <c r="T2364" i="9"/>
  <c r="V2363" i="9" a="1"/>
  <c r="W2363" i="9" s="1"/>
  <c r="U2363" i="9"/>
  <c r="T2363" i="9"/>
  <c r="V2362" i="9" a="1"/>
  <c r="W2362" i="9" s="1"/>
  <c r="U2362" i="9"/>
  <c r="T2362" i="9"/>
  <c r="V2361" i="9" a="1"/>
  <c r="W2361" i="9" s="1"/>
  <c r="U2361" i="9"/>
  <c r="T2361" i="9"/>
  <c r="V2360" i="9" a="1"/>
  <c r="W2360" i="9" s="1"/>
  <c r="U2360" i="9"/>
  <c r="T2360" i="9"/>
  <c r="V2359" i="9" a="1"/>
  <c r="W2359" i="9" s="1"/>
  <c r="U2359" i="9"/>
  <c r="T2359" i="9"/>
  <c r="V2358" i="9" a="1"/>
  <c r="W2358" i="9" s="1"/>
  <c r="U2358" i="9"/>
  <c r="T2358" i="9"/>
  <c r="V2357" i="9" a="1"/>
  <c r="W2357" i="9" s="1"/>
  <c r="U2357" i="9"/>
  <c r="T2357" i="9"/>
  <c r="V2356" i="9" a="1"/>
  <c r="W2356" i="9" s="1"/>
  <c r="U2356" i="9"/>
  <c r="T2356" i="9"/>
  <c r="V2355" i="9" a="1"/>
  <c r="W2355" i="9" s="1"/>
  <c r="U2355" i="9"/>
  <c r="T2355" i="9"/>
  <c r="V2354" i="9" a="1"/>
  <c r="W2354" i="9" s="1"/>
  <c r="U2354" i="9"/>
  <c r="T2354" i="9"/>
  <c r="V2353" i="9" a="1"/>
  <c r="W2353" i="9" s="1"/>
  <c r="U2353" i="9"/>
  <c r="T2353" i="9"/>
  <c r="V2352" i="9" a="1"/>
  <c r="W2352" i="9" s="1"/>
  <c r="U2352" i="9"/>
  <c r="T2352" i="9"/>
  <c r="V2351" i="9" a="1"/>
  <c r="W2351" i="9" s="1"/>
  <c r="U2351" i="9"/>
  <c r="T2351" i="9"/>
  <c r="V2350" i="9" a="1"/>
  <c r="W2350" i="9" s="1"/>
  <c r="U2350" i="9"/>
  <c r="T2350" i="9"/>
  <c r="V2349" i="9" a="1"/>
  <c r="W2349" i="9" s="1"/>
  <c r="U2349" i="9"/>
  <c r="T2349" i="9"/>
  <c r="V2348" i="9" a="1"/>
  <c r="W2348" i="9" s="1"/>
  <c r="U2348" i="9"/>
  <c r="T2348" i="9"/>
  <c r="V2347" i="9" a="1"/>
  <c r="W2347" i="9" s="1"/>
  <c r="U2347" i="9"/>
  <c r="T2347" i="9"/>
  <c r="V2346" i="9" a="1"/>
  <c r="W2346" i="9" s="1"/>
  <c r="U2346" i="9"/>
  <c r="T2346" i="9"/>
  <c r="V2345" i="9" a="1"/>
  <c r="W2345" i="9" s="1"/>
  <c r="U2345" i="9"/>
  <c r="T2345" i="9"/>
  <c r="V2344" i="9" a="1"/>
  <c r="W2344" i="9" s="1"/>
  <c r="U2344" i="9"/>
  <c r="T2344" i="9"/>
  <c r="V2343" i="9" a="1"/>
  <c r="W2343" i="9" s="1"/>
  <c r="U2343" i="9"/>
  <c r="T2343" i="9"/>
  <c r="V2342" i="9" a="1"/>
  <c r="W2342" i="9" s="1"/>
  <c r="U2342" i="9"/>
  <c r="T2342" i="9"/>
  <c r="V2341" i="9" a="1"/>
  <c r="W2341" i="9" s="1"/>
  <c r="U2341" i="9"/>
  <c r="T2341" i="9"/>
  <c r="V2340" i="9" a="1"/>
  <c r="W2340" i="9" s="1"/>
  <c r="U2340" i="9"/>
  <c r="T2340" i="9"/>
  <c r="V2339" i="9" a="1"/>
  <c r="W2339" i="9" s="1"/>
  <c r="U2339" i="9"/>
  <c r="T2339" i="9"/>
  <c r="V2338" i="9" a="1"/>
  <c r="W2338" i="9" s="1"/>
  <c r="U2338" i="9"/>
  <c r="T2338" i="9"/>
  <c r="V2337" i="9" a="1"/>
  <c r="W2337" i="9" s="1"/>
  <c r="U2337" i="9"/>
  <c r="T2337" i="9"/>
  <c r="V2336" i="9" a="1"/>
  <c r="W2336" i="9" s="1"/>
  <c r="U2336" i="9"/>
  <c r="T2336" i="9"/>
  <c r="V2335" i="9" a="1"/>
  <c r="W2335" i="9" s="1"/>
  <c r="U2335" i="9"/>
  <c r="T2335" i="9"/>
  <c r="V2334" i="9" a="1"/>
  <c r="W2334" i="9" s="1"/>
  <c r="U2334" i="9"/>
  <c r="T2334" i="9"/>
  <c r="V2333" i="9" a="1"/>
  <c r="W2333" i="9" s="1"/>
  <c r="U2333" i="9"/>
  <c r="T2333" i="9"/>
  <c r="V2332" i="9" a="1"/>
  <c r="W2332" i="9" s="1"/>
  <c r="U2332" i="9"/>
  <c r="T2332" i="9"/>
  <c r="V2331" i="9" a="1"/>
  <c r="W2331" i="9" s="1"/>
  <c r="U2331" i="9"/>
  <c r="T2331" i="9"/>
  <c r="V2330" i="9" a="1"/>
  <c r="W2330" i="9" s="1"/>
  <c r="U2330" i="9"/>
  <c r="T2330" i="9"/>
  <c r="V2329" i="9" a="1"/>
  <c r="W2329" i="9" s="1"/>
  <c r="U2329" i="9"/>
  <c r="T2329" i="9"/>
  <c r="V2328" i="9" a="1"/>
  <c r="W2328" i="9" s="1"/>
  <c r="U2328" i="9"/>
  <c r="T2328" i="9"/>
  <c r="V2327" i="9" a="1"/>
  <c r="W2327" i="9" s="1"/>
  <c r="U2327" i="9"/>
  <c r="T2327" i="9"/>
  <c r="V2326" i="9" a="1"/>
  <c r="W2326" i="9" s="1"/>
  <c r="U2326" i="9"/>
  <c r="T2326" i="9"/>
  <c r="V2325" i="9" a="1"/>
  <c r="W2325" i="9" s="1"/>
  <c r="U2325" i="9"/>
  <c r="T2325" i="9"/>
  <c r="V2324" i="9" a="1"/>
  <c r="W2324" i="9" s="1"/>
  <c r="U2324" i="9"/>
  <c r="T2324" i="9"/>
  <c r="V2323" i="9" a="1"/>
  <c r="W2323" i="9" s="1"/>
  <c r="U2323" i="9"/>
  <c r="T2323" i="9"/>
  <c r="V2322" i="9" a="1"/>
  <c r="W2322" i="9" s="1"/>
  <c r="U2322" i="9"/>
  <c r="T2322" i="9"/>
  <c r="V2321" i="9" a="1"/>
  <c r="W2321" i="9" s="1"/>
  <c r="U2321" i="9"/>
  <c r="T2321" i="9"/>
  <c r="V2320" i="9" a="1"/>
  <c r="W2320" i="9" s="1"/>
  <c r="U2320" i="9"/>
  <c r="T2320" i="9"/>
  <c r="V2319" i="9" a="1"/>
  <c r="W2319" i="9" s="1"/>
  <c r="U2319" i="9"/>
  <c r="T2319" i="9"/>
  <c r="V2318" i="9" a="1"/>
  <c r="W2318" i="9" s="1"/>
  <c r="U2318" i="9"/>
  <c r="T2318" i="9"/>
  <c r="V2317" i="9" a="1"/>
  <c r="W2317" i="9" s="1"/>
  <c r="U2317" i="9"/>
  <c r="T2317" i="9"/>
  <c r="V2316" i="9" a="1"/>
  <c r="W2316" i="9" s="1"/>
  <c r="U2316" i="9"/>
  <c r="T2316" i="9"/>
  <c r="V2315" i="9" a="1"/>
  <c r="W2315" i="9" s="1"/>
  <c r="U2315" i="9"/>
  <c r="T2315" i="9"/>
  <c r="V2314" i="9" a="1"/>
  <c r="W2314" i="9" s="1"/>
  <c r="U2314" i="9"/>
  <c r="T2314" i="9"/>
  <c r="V2313" i="9" a="1"/>
  <c r="W2313" i="9" s="1"/>
  <c r="U2313" i="9"/>
  <c r="T2313" i="9"/>
  <c r="V2312" i="9" a="1"/>
  <c r="W2312" i="9" s="1"/>
  <c r="U2312" i="9"/>
  <c r="T2312" i="9"/>
  <c r="V2311" i="9" a="1"/>
  <c r="W2311" i="9" s="1"/>
  <c r="U2311" i="9"/>
  <c r="T2311" i="9"/>
  <c r="V2310" i="9" a="1"/>
  <c r="W2310" i="9" s="1"/>
  <c r="U2310" i="9"/>
  <c r="T2310" i="9"/>
  <c r="V2309" i="9" a="1"/>
  <c r="W2309" i="9" s="1"/>
  <c r="U2309" i="9"/>
  <c r="T2309" i="9"/>
  <c r="V2308" i="9" a="1"/>
  <c r="W2308" i="9" s="1"/>
  <c r="U2308" i="9"/>
  <c r="T2308" i="9"/>
  <c r="V2307" i="9" a="1"/>
  <c r="W2307" i="9" s="1"/>
  <c r="U2307" i="9"/>
  <c r="T2307" i="9"/>
  <c r="V2306" i="9" a="1"/>
  <c r="W2306" i="9" s="1"/>
  <c r="U2306" i="9"/>
  <c r="T2306" i="9"/>
  <c r="V2305" i="9" a="1"/>
  <c r="W2305" i="9" s="1"/>
  <c r="U2305" i="9"/>
  <c r="T2305" i="9"/>
  <c r="V2304" i="9" a="1"/>
  <c r="W2304" i="9" s="1"/>
  <c r="U2304" i="9"/>
  <c r="T2304" i="9"/>
  <c r="V2303" i="9" a="1"/>
  <c r="W2303" i="9" s="1"/>
  <c r="U2303" i="9"/>
  <c r="T2303" i="9"/>
  <c r="V2302" i="9" a="1"/>
  <c r="W2302" i="9" s="1"/>
  <c r="U2302" i="9"/>
  <c r="T2302" i="9"/>
  <c r="V2301" i="9" a="1"/>
  <c r="W2301" i="9" s="1"/>
  <c r="U2301" i="9"/>
  <c r="T2301" i="9"/>
  <c r="V2300" i="9" a="1"/>
  <c r="W2300" i="9" s="1"/>
  <c r="U2300" i="9"/>
  <c r="T2300" i="9"/>
  <c r="V2299" i="9" a="1"/>
  <c r="W2299" i="9" s="1"/>
  <c r="U2299" i="9"/>
  <c r="T2299" i="9"/>
  <c r="V2298" i="9" a="1"/>
  <c r="W2298" i="9" s="1"/>
  <c r="U2298" i="9"/>
  <c r="T2298" i="9"/>
  <c r="V2297" i="9" a="1"/>
  <c r="W2297" i="9" s="1"/>
  <c r="U2297" i="9"/>
  <c r="T2297" i="9"/>
  <c r="V2296" i="9" a="1"/>
  <c r="W2296" i="9" s="1"/>
  <c r="U2296" i="9"/>
  <c r="T2296" i="9"/>
  <c r="V2295" i="9" a="1"/>
  <c r="W2295" i="9" s="1"/>
  <c r="U2295" i="9"/>
  <c r="T2295" i="9"/>
  <c r="V2294" i="9" a="1"/>
  <c r="W2294" i="9" s="1"/>
  <c r="U2294" i="9"/>
  <c r="T2294" i="9"/>
  <c r="V2293" i="9" a="1"/>
  <c r="W2293" i="9" s="1"/>
  <c r="U2293" i="9"/>
  <c r="T2293" i="9"/>
  <c r="V2292" i="9" a="1"/>
  <c r="W2292" i="9" s="1"/>
  <c r="U2292" i="9"/>
  <c r="T2292" i="9"/>
  <c r="V2291" i="9" a="1"/>
  <c r="W2291" i="9" s="1"/>
  <c r="U2291" i="9"/>
  <c r="T2291" i="9"/>
  <c r="V2290" i="9" a="1"/>
  <c r="W2290" i="9" s="1"/>
  <c r="U2290" i="9"/>
  <c r="T2290" i="9"/>
  <c r="V2289" i="9" a="1"/>
  <c r="W2289" i="9" s="1"/>
  <c r="U2289" i="9"/>
  <c r="T2289" i="9"/>
  <c r="V2288" i="9" a="1"/>
  <c r="W2288" i="9" s="1"/>
  <c r="U2288" i="9"/>
  <c r="T2288" i="9"/>
  <c r="V2287" i="9" a="1"/>
  <c r="W2287" i="9" s="1"/>
  <c r="U2287" i="9"/>
  <c r="T2287" i="9"/>
  <c r="V2286" i="9" a="1"/>
  <c r="W2286" i="9" s="1"/>
  <c r="U2286" i="9"/>
  <c r="T2286" i="9"/>
  <c r="V2285" i="9" a="1"/>
  <c r="W2285" i="9" s="1"/>
  <c r="U2285" i="9"/>
  <c r="T2285" i="9"/>
  <c r="V2284" i="9" a="1"/>
  <c r="W2284" i="9" s="1"/>
  <c r="U2284" i="9"/>
  <c r="T2284" i="9"/>
  <c r="V2283" i="9" a="1"/>
  <c r="W2283" i="9" s="1"/>
  <c r="U2283" i="9"/>
  <c r="T2283" i="9"/>
  <c r="V2282" i="9" a="1"/>
  <c r="W2282" i="9" s="1"/>
  <c r="U2282" i="9"/>
  <c r="T2282" i="9"/>
  <c r="V2281" i="9" a="1"/>
  <c r="W2281" i="9" s="1"/>
  <c r="U2281" i="9"/>
  <c r="T2281" i="9"/>
  <c r="V2280" i="9" a="1"/>
  <c r="W2280" i="9" s="1"/>
  <c r="U2280" i="9"/>
  <c r="T2280" i="9"/>
  <c r="V2279" i="9" a="1"/>
  <c r="W2279" i="9" s="1"/>
  <c r="U2279" i="9"/>
  <c r="T2279" i="9"/>
  <c r="V2278" i="9" a="1"/>
  <c r="W2278" i="9" s="1"/>
  <c r="U2278" i="9"/>
  <c r="T2278" i="9"/>
  <c r="V2277" i="9" a="1"/>
  <c r="W2277" i="9" s="1"/>
  <c r="U2277" i="9"/>
  <c r="T2277" i="9"/>
  <c r="V2276" i="9" a="1"/>
  <c r="W2276" i="9" s="1"/>
  <c r="U2276" i="9"/>
  <c r="T2276" i="9"/>
  <c r="V2275" i="9" a="1"/>
  <c r="W2275" i="9" s="1"/>
  <c r="U2275" i="9"/>
  <c r="T2275" i="9"/>
  <c r="V2274" i="9" a="1"/>
  <c r="W2274" i="9" s="1"/>
  <c r="U2274" i="9"/>
  <c r="T2274" i="9"/>
  <c r="V2273" i="9" a="1"/>
  <c r="W2273" i="9" s="1"/>
  <c r="U2273" i="9"/>
  <c r="T2273" i="9"/>
  <c r="V2272" i="9" a="1"/>
  <c r="W2272" i="9" s="1"/>
  <c r="U2272" i="9"/>
  <c r="T2272" i="9"/>
  <c r="V2271" i="9" a="1"/>
  <c r="W2271" i="9" s="1"/>
  <c r="U2271" i="9"/>
  <c r="T2271" i="9"/>
  <c r="V2270" i="9" a="1"/>
  <c r="W2270" i="9" s="1"/>
  <c r="U2270" i="9"/>
  <c r="T2270" i="9"/>
  <c r="V2269" i="9" a="1"/>
  <c r="W2269" i="9" s="1"/>
  <c r="U2269" i="9"/>
  <c r="T2269" i="9"/>
  <c r="V2268" i="9" a="1"/>
  <c r="W2268" i="9" s="1"/>
  <c r="U2268" i="9"/>
  <c r="T2268" i="9"/>
  <c r="V2267" i="9" a="1"/>
  <c r="W2267" i="9" s="1"/>
  <c r="U2267" i="9"/>
  <c r="T2267" i="9"/>
  <c r="V2266" i="9" a="1"/>
  <c r="W2266" i="9" s="1"/>
  <c r="U2266" i="9"/>
  <c r="T2266" i="9"/>
  <c r="V2265" i="9" a="1"/>
  <c r="W2265" i="9" s="1"/>
  <c r="U2265" i="9"/>
  <c r="T2265" i="9"/>
  <c r="V2264" i="9" a="1"/>
  <c r="W2264" i="9" s="1"/>
  <c r="U2264" i="9"/>
  <c r="T2264" i="9"/>
  <c r="V2263" i="9" a="1"/>
  <c r="W2263" i="9" s="1"/>
  <c r="U2263" i="9"/>
  <c r="T2263" i="9"/>
  <c r="V2262" i="9" a="1"/>
  <c r="W2262" i="9" s="1"/>
  <c r="U2262" i="9"/>
  <c r="T2262" i="9"/>
  <c r="V2261" i="9" a="1"/>
  <c r="W2261" i="9" s="1"/>
  <c r="U2261" i="9"/>
  <c r="T2261" i="9"/>
  <c r="V2260" i="9" a="1"/>
  <c r="W2260" i="9" s="1"/>
  <c r="U2260" i="9"/>
  <c r="T2260" i="9"/>
  <c r="V2259" i="9" a="1"/>
  <c r="W2259" i="9" s="1"/>
  <c r="U2259" i="9"/>
  <c r="T2259" i="9"/>
  <c r="V2258" i="9" a="1"/>
  <c r="W2258" i="9" s="1"/>
  <c r="U2258" i="9"/>
  <c r="T2258" i="9"/>
  <c r="V2257" i="9" a="1"/>
  <c r="W2257" i="9" s="1"/>
  <c r="U2257" i="9"/>
  <c r="T2257" i="9"/>
  <c r="V2256" i="9" a="1"/>
  <c r="W2256" i="9" s="1"/>
  <c r="U2256" i="9"/>
  <c r="T2256" i="9"/>
  <c r="V2255" i="9" a="1"/>
  <c r="W2255" i="9" s="1"/>
  <c r="U2255" i="9"/>
  <c r="T2255" i="9"/>
  <c r="V2254" i="9" a="1"/>
  <c r="W2254" i="9" s="1"/>
  <c r="U2254" i="9"/>
  <c r="T2254" i="9"/>
  <c r="V2253" i="9" a="1"/>
  <c r="W2253" i="9" s="1"/>
  <c r="U2253" i="9"/>
  <c r="T2253" i="9"/>
  <c r="V2252" i="9" a="1"/>
  <c r="W2252" i="9" s="1"/>
  <c r="U2252" i="9"/>
  <c r="T2252" i="9"/>
  <c r="V2251" i="9" a="1"/>
  <c r="W2251" i="9" s="1"/>
  <c r="U2251" i="9"/>
  <c r="T2251" i="9"/>
  <c r="V2250" i="9" a="1"/>
  <c r="W2250" i="9" s="1"/>
  <c r="U2250" i="9"/>
  <c r="T2250" i="9"/>
  <c r="V2249" i="9" a="1"/>
  <c r="W2249" i="9" s="1"/>
  <c r="U2249" i="9"/>
  <c r="T2249" i="9"/>
  <c r="L2249" i="9"/>
  <c r="V2248" i="9" a="1"/>
  <c r="W2248" i="9" s="1"/>
  <c r="U2248" i="9"/>
  <c r="T2248" i="9"/>
  <c r="L2248" i="9"/>
  <c r="V2247" i="9" a="1"/>
  <c r="W2247" i="9" s="1"/>
  <c r="U2247" i="9"/>
  <c r="T2247" i="9"/>
  <c r="L2247" i="9"/>
  <c r="V2246" i="9" a="1"/>
  <c r="W2246" i="9" s="1"/>
  <c r="U2246" i="9"/>
  <c r="T2246" i="9"/>
  <c r="L2246" i="9"/>
  <c r="V2245" i="9" a="1"/>
  <c r="W2245" i="9" s="1"/>
  <c r="U2245" i="9"/>
  <c r="T2245" i="9"/>
  <c r="L2245" i="9"/>
  <c r="V2244" i="9" a="1"/>
  <c r="W2244" i="9" s="1"/>
  <c r="U2244" i="9"/>
  <c r="T2244" i="9"/>
  <c r="L2244" i="9"/>
  <c r="V2243" i="9" a="1"/>
  <c r="W2243" i="9" s="1"/>
  <c r="U2243" i="9"/>
  <c r="T2243" i="9"/>
  <c r="L2243" i="9"/>
  <c r="V2242" i="9" a="1"/>
  <c r="W2242" i="9" s="1"/>
  <c r="U2242" i="9"/>
  <c r="T2242" i="9"/>
  <c r="L2242" i="9"/>
  <c r="V2241" i="9" a="1"/>
  <c r="W2241" i="9" s="1"/>
  <c r="U2241" i="9"/>
  <c r="T2241" i="9"/>
  <c r="L2241" i="9"/>
  <c r="V2240" i="9" a="1"/>
  <c r="W2240" i="9" s="1"/>
  <c r="U2240" i="9"/>
  <c r="T2240" i="9"/>
  <c r="L2240" i="9"/>
  <c r="V2239" i="9" a="1"/>
  <c r="W2239" i="9" s="1"/>
  <c r="U2239" i="9"/>
  <c r="T2239" i="9"/>
  <c r="L2239" i="9"/>
  <c r="V2238" i="9" a="1"/>
  <c r="W2238" i="9" s="1"/>
  <c r="U2238" i="9"/>
  <c r="T2238" i="9"/>
  <c r="L2238" i="9"/>
  <c r="V2237" i="9" a="1"/>
  <c r="W2237" i="9" s="1"/>
  <c r="U2237" i="9"/>
  <c r="T2237" i="9"/>
  <c r="L2237" i="9"/>
  <c r="V2236" i="9" a="1"/>
  <c r="W2236" i="9" s="1"/>
  <c r="U2236" i="9"/>
  <c r="T2236" i="9"/>
  <c r="L2236" i="9"/>
  <c r="V2235" i="9" a="1"/>
  <c r="W2235" i="9" s="1"/>
  <c r="U2235" i="9"/>
  <c r="T2235" i="9"/>
  <c r="L2235" i="9"/>
  <c r="V2234" i="9" a="1"/>
  <c r="W2234" i="9" s="1"/>
  <c r="U2234" i="9"/>
  <c r="T2234" i="9"/>
  <c r="L2234" i="9"/>
  <c r="V2233" i="9" a="1"/>
  <c r="W2233" i="9" s="1"/>
  <c r="U2233" i="9"/>
  <c r="T2233" i="9"/>
  <c r="L2233" i="9"/>
  <c r="V2232" i="9" a="1"/>
  <c r="W2232" i="9" s="1"/>
  <c r="U2232" i="9"/>
  <c r="T2232" i="9"/>
  <c r="L2232" i="9"/>
  <c r="V2231" i="9" a="1"/>
  <c r="W2231" i="9" s="1"/>
  <c r="U2231" i="9"/>
  <c r="T2231" i="9"/>
  <c r="L2231" i="9"/>
  <c r="V2230" i="9" a="1"/>
  <c r="W2230" i="9" s="1"/>
  <c r="U2230" i="9"/>
  <c r="T2230" i="9"/>
  <c r="L2230" i="9"/>
  <c r="V2229" i="9" a="1"/>
  <c r="W2229" i="9" s="1"/>
  <c r="U2229" i="9"/>
  <c r="T2229" i="9"/>
  <c r="L2229" i="9"/>
  <c r="V2228" i="9" a="1"/>
  <c r="W2228" i="9" s="1"/>
  <c r="U2228" i="9"/>
  <c r="T2228" i="9"/>
  <c r="L2228" i="9"/>
  <c r="V2227" i="9" a="1"/>
  <c r="W2227" i="9" s="1"/>
  <c r="U2227" i="9"/>
  <c r="T2227" i="9"/>
  <c r="L2227" i="9"/>
  <c r="V2226" i="9" a="1"/>
  <c r="W2226" i="9" s="1"/>
  <c r="U2226" i="9"/>
  <c r="T2226" i="9"/>
  <c r="L2226" i="9"/>
  <c r="V2225" i="9" a="1"/>
  <c r="W2225" i="9" s="1"/>
  <c r="U2225" i="9"/>
  <c r="T2225" i="9"/>
  <c r="L2225" i="9"/>
  <c r="V2224" i="9" a="1"/>
  <c r="W2224" i="9" s="1"/>
  <c r="U2224" i="9"/>
  <c r="T2224" i="9"/>
  <c r="L2224" i="9"/>
  <c r="V2223" i="9" a="1"/>
  <c r="W2223" i="9" s="1"/>
  <c r="U2223" i="9"/>
  <c r="T2223" i="9"/>
  <c r="L2223" i="9"/>
  <c r="V2222" i="9" a="1"/>
  <c r="W2222" i="9" s="1"/>
  <c r="U2222" i="9"/>
  <c r="T2222" i="9"/>
  <c r="L2222" i="9"/>
  <c r="V2221" i="9" a="1"/>
  <c r="W2221" i="9" s="1"/>
  <c r="U2221" i="9"/>
  <c r="T2221" i="9"/>
  <c r="L2221" i="9"/>
  <c r="V2220" i="9" a="1"/>
  <c r="W2220" i="9" s="1"/>
  <c r="U2220" i="9"/>
  <c r="T2220" i="9"/>
  <c r="L2220" i="9"/>
  <c r="V2219" i="9" a="1"/>
  <c r="W2219" i="9" s="1"/>
  <c r="U2219" i="9"/>
  <c r="T2219" i="9"/>
  <c r="L2219" i="9"/>
  <c r="V2218" i="9" a="1"/>
  <c r="W2218" i="9" s="1"/>
  <c r="U2218" i="9"/>
  <c r="T2218" i="9"/>
  <c r="L2218" i="9"/>
  <c r="V2217" i="9" a="1"/>
  <c r="W2217" i="9" s="1"/>
  <c r="U2217" i="9"/>
  <c r="T2217" i="9"/>
  <c r="L2217" i="9"/>
  <c r="V2216" i="9" a="1"/>
  <c r="W2216" i="9" s="1"/>
  <c r="U2216" i="9"/>
  <c r="T2216" i="9"/>
  <c r="L2216" i="9"/>
  <c r="V2215" i="9" a="1"/>
  <c r="W2215" i="9" s="1"/>
  <c r="U2215" i="9"/>
  <c r="T2215" i="9"/>
  <c r="L2215" i="9"/>
  <c r="V2214" i="9" a="1"/>
  <c r="W2214" i="9" s="1"/>
  <c r="U2214" i="9"/>
  <c r="T2214" i="9"/>
  <c r="L2214" i="9"/>
  <c r="V2213" i="9" a="1"/>
  <c r="W2213" i="9" s="1"/>
  <c r="U2213" i="9"/>
  <c r="T2213" i="9"/>
  <c r="L2213" i="9"/>
  <c r="V2212" i="9" a="1"/>
  <c r="W2212" i="9" s="1"/>
  <c r="U2212" i="9"/>
  <c r="T2212" i="9"/>
  <c r="L2212" i="9"/>
  <c r="V2211" i="9" a="1"/>
  <c r="W2211" i="9" s="1"/>
  <c r="U2211" i="9"/>
  <c r="T2211" i="9"/>
  <c r="L2211" i="9"/>
  <c r="V2210" i="9" a="1"/>
  <c r="W2210" i="9" s="1"/>
  <c r="U2210" i="9"/>
  <c r="T2210" i="9"/>
  <c r="L2210" i="9"/>
  <c r="V2209" i="9" a="1"/>
  <c r="W2209" i="9" s="1"/>
  <c r="U2209" i="9"/>
  <c r="T2209" i="9"/>
  <c r="L2209" i="9"/>
  <c r="V2208" i="9" a="1"/>
  <c r="W2208" i="9" s="1"/>
  <c r="U2208" i="9"/>
  <c r="T2208" i="9"/>
  <c r="L2208" i="9"/>
  <c r="V2207" i="9" a="1"/>
  <c r="W2207" i="9" s="1"/>
  <c r="U2207" i="9"/>
  <c r="T2207" i="9"/>
  <c r="L2207" i="9"/>
  <c r="V2206" i="9" a="1"/>
  <c r="W2206" i="9" s="1"/>
  <c r="U2206" i="9"/>
  <c r="T2206" i="9"/>
  <c r="L2206" i="9"/>
  <c r="V2205" i="9" a="1"/>
  <c r="W2205" i="9" s="1"/>
  <c r="U2205" i="9"/>
  <c r="T2205" i="9"/>
  <c r="L2205" i="9"/>
  <c r="V2204" i="9" a="1"/>
  <c r="W2204" i="9" s="1"/>
  <c r="U2204" i="9"/>
  <c r="T2204" i="9"/>
  <c r="L2204" i="9"/>
  <c r="V2203" i="9" a="1"/>
  <c r="W2203" i="9" s="1"/>
  <c r="U2203" i="9"/>
  <c r="T2203" i="9"/>
  <c r="L2203" i="9"/>
  <c r="V2202" i="9" a="1"/>
  <c r="W2202" i="9" s="1"/>
  <c r="U2202" i="9"/>
  <c r="T2202" i="9"/>
  <c r="L2202" i="9"/>
  <c r="V2201" i="9" a="1"/>
  <c r="W2201" i="9" s="1"/>
  <c r="U2201" i="9"/>
  <c r="T2201" i="9"/>
  <c r="L2201" i="9"/>
  <c r="V2200" i="9" a="1"/>
  <c r="W2200" i="9" s="1"/>
  <c r="U2200" i="9"/>
  <c r="T2200" i="9"/>
  <c r="L2200" i="9"/>
  <c r="V2199" i="9" a="1"/>
  <c r="W2199" i="9" s="1"/>
  <c r="U2199" i="9"/>
  <c r="T2199" i="9"/>
  <c r="L2199" i="9"/>
  <c r="V2198" i="9" a="1"/>
  <c r="W2198" i="9" s="1"/>
  <c r="U2198" i="9"/>
  <c r="T2198" i="9"/>
  <c r="L2198" i="9"/>
  <c r="V2197" i="9" a="1"/>
  <c r="W2197" i="9" s="1"/>
  <c r="U2197" i="9"/>
  <c r="T2197" i="9"/>
  <c r="L2197" i="9"/>
  <c r="V2196" i="9" a="1"/>
  <c r="W2196" i="9" s="1"/>
  <c r="U2196" i="9"/>
  <c r="T2196" i="9"/>
  <c r="L2196" i="9"/>
  <c r="V2195" i="9" a="1"/>
  <c r="W2195" i="9" s="1"/>
  <c r="U2195" i="9"/>
  <c r="T2195" i="9"/>
  <c r="L2195" i="9"/>
  <c r="V2194" i="9" a="1"/>
  <c r="W2194" i="9" s="1"/>
  <c r="U2194" i="9"/>
  <c r="T2194" i="9"/>
  <c r="L2194" i="9"/>
  <c r="V2193" i="9" a="1"/>
  <c r="W2193" i="9" s="1"/>
  <c r="U2193" i="9"/>
  <c r="T2193" i="9"/>
  <c r="L2193" i="9"/>
  <c r="V2192" i="9" a="1"/>
  <c r="W2192" i="9" s="1"/>
  <c r="U2192" i="9"/>
  <c r="T2192" i="9"/>
  <c r="L2192" i="9"/>
  <c r="V2191" i="9" a="1"/>
  <c r="W2191" i="9" s="1"/>
  <c r="U2191" i="9"/>
  <c r="T2191" i="9"/>
  <c r="L2191" i="9"/>
  <c r="V2190" i="9" a="1"/>
  <c r="W2190" i="9" s="1"/>
  <c r="U2190" i="9"/>
  <c r="T2190" i="9"/>
  <c r="L2190" i="9"/>
  <c r="V2189" i="9" a="1"/>
  <c r="W2189" i="9" s="1"/>
  <c r="U2189" i="9"/>
  <c r="T2189" i="9"/>
  <c r="L2189" i="9"/>
  <c r="V2188" i="9" a="1"/>
  <c r="W2188" i="9" s="1"/>
  <c r="U2188" i="9"/>
  <c r="T2188" i="9"/>
  <c r="L2188" i="9"/>
  <c r="V2187" i="9" a="1"/>
  <c r="W2187" i="9" s="1"/>
  <c r="U2187" i="9"/>
  <c r="T2187" i="9"/>
  <c r="L2187" i="9"/>
  <c r="V2186" i="9" a="1"/>
  <c r="W2186" i="9" s="1"/>
  <c r="U2186" i="9"/>
  <c r="T2186" i="9"/>
  <c r="L2186" i="9"/>
  <c r="V2185" i="9" a="1"/>
  <c r="W2185" i="9" s="1"/>
  <c r="U2185" i="9"/>
  <c r="T2185" i="9"/>
  <c r="L2185" i="9"/>
  <c r="V2184" i="9" a="1"/>
  <c r="W2184" i="9" s="1"/>
  <c r="U2184" i="9"/>
  <c r="T2184" i="9"/>
  <c r="L2184" i="9"/>
  <c r="V2183" i="9" a="1"/>
  <c r="W2183" i="9" s="1"/>
  <c r="U2183" i="9"/>
  <c r="T2183" i="9"/>
  <c r="L2183" i="9"/>
  <c r="V2182" i="9" a="1"/>
  <c r="W2182" i="9" s="1"/>
  <c r="U2182" i="9"/>
  <c r="T2182" i="9"/>
  <c r="L2182" i="9"/>
  <c r="V2181" i="9" a="1"/>
  <c r="W2181" i="9" s="1"/>
  <c r="U2181" i="9"/>
  <c r="T2181" i="9"/>
  <c r="L2181" i="9"/>
  <c r="V2180" i="9" a="1"/>
  <c r="W2180" i="9" s="1"/>
  <c r="U2180" i="9"/>
  <c r="T2180" i="9"/>
  <c r="L2180" i="9"/>
  <c r="V2179" i="9" a="1"/>
  <c r="W2179" i="9" s="1"/>
  <c r="U2179" i="9"/>
  <c r="T2179" i="9"/>
  <c r="L2179" i="9"/>
  <c r="V2178" i="9" a="1"/>
  <c r="W2178" i="9" s="1"/>
  <c r="U2178" i="9"/>
  <c r="T2178" i="9"/>
  <c r="L2178" i="9"/>
  <c r="V2177" i="9" a="1"/>
  <c r="W2177" i="9" s="1"/>
  <c r="U2177" i="9"/>
  <c r="T2177" i="9"/>
  <c r="L2177" i="9"/>
  <c r="V2176" i="9" a="1"/>
  <c r="W2176" i="9" s="1"/>
  <c r="U2176" i="9"/>
  <c r="T2176" i="9"/>
  <c r="L2176" i="9"/>
  <c r="V2175" i="9" a="1"/>
  <c r="W2175" i="9" s="1"/>
  <c r="U2175" i="9"/>
  <c r="T2175" i="9"/>
  <c r="L2175" i="9"/>
  <c r="V2174" i="9" a="1"/>
  <c r="W2174" i="9" s="1"/>
  <c r="U2174" i="9"/>
  <c r="T2174" i="9"/>
  <c r="L2174" i="9"/>
  <c r="V2173" i="9" a="1"/>
  <c r="W2173" i="9" s="1"/>
  <c r="U2173" i="9"/>
  <c r="T2173" i="9"/>
  <c r="L2173" i="9"/>
  <c r="V2172" i="9" a="1"/>
  <c r="W2172" i="9" s="1"/>
  <c r="U2172" i="9"/>
  <c r="T2172" i="9"/>
  <c r="L2172" i="9"/>
  <c r="V2171" i="9" a="1"/>
  <c r="W2171" i="9" s="1"/>
  <c r="U2171" i="9"/>
  <c r="T2171" i="9"/>
  <c r="L2171" i="9"/>
  <c r="V2170" i="9" a="1"/>
  <c r="W2170" i="9" s="1"/>
  <c r="U2170" i="9"/>
  <c r="T2170" i="9"/>
  <c r="L2170" i="9"/>
  <c r="V2169" i="9" a="1"/>
  <c r="W2169" i="9" s="1"/>
  <c r="U2169" i="9"/>
  <c r="T2169" i="9"/>
  <c r="L2169" i="9"/>
  <c r="V2168" i="9" a="1"/>
  <c r="W2168" i="9" s="1"/>
  <c r="U2168" i="9"/>
  <c r="T2168" i="9"/>
  <c r="L2168" i="9"/>
  <c r="V2167" i="9" a="1"/>
  <c r="W2167" i="9" s="1"/>
  <c r="U2167" i="9"/>
  <c r="T2167" i="9"/>
  <c r="L2167" i="9"/>
  <c r="V2166" i="9" a="1"/>
  <c r="W2166" i="9" s="1"/>
  <c r="U2166" i="9"/>
  <c r="T2166" i="9"/>
  <c r="L2166" i="9"/>
  <c r="V2165" i="9" a="1"/>
  <c r="W2165" i="9" s="1"/>
  <c r="U2165" i="9"/>
  <c r="T2165" i="9"/>
  <c r="L2165" i="9"/>
  <c r="V2164" i="9" a="1"/>
  <c r="W2164" i="9" s="1"/>
  <c r="U2164" i="9"/>
  <c r="T2164" i="9"/>
  <c r="L2164" i="9"/>
  <c r="V2163" i="9" a="1"/>
  <c r="W2163" i="9" s="1"/>
  <c r="U2163" i="9"/>
  <c r="T2163" i="9"/>
  <c r="L2163" i="9"/>
  <c r="V2162" i="9" a="1"/>
  <c r="W2162" i="9" s="1"/>
  <c r="U2162" i="9"/>
  <c r="T2162" i="9"/>
  <c r="L2162" i="9"/>
  <c r="V2161" i="9" a="1"/>
  <c r="W2161" i="9" s="1"/>
  <c r="U2161" i="9"/>
  <c r="T2161" i="9"/>
  <c r="L2161" i="9"/>
  <c r="V2160" i="9" a="1"/>
  <c r="W2160" i="9" s="1"/>
  <c r="U2160" i="9"/>
  <c r="T2160" i="9"/>
  <c r="L2160" i="9"/>
  <c r="V2159" i="9" a="1"/>
  <c r="W2159" i="9" s="1"/>
  <c r="U2159" i="9"/>
  <c r="T2159" i="9"/>
  <c r="L2159" i="9"/>
  <c r="V2158" i="9" a="1"/>
  <c r="W2158" i="9" s="1"/>
  <c r="U2158" i="9"/>
  <c r="T2158" i="9"/>
  <c r="L2158" i="9"/>
  <c r="V2157" i="9" a="1"/>
  <c r="W2157" i="9" s="1"/>
  <c r="U2157" i="9"/>
  <c r="T2157" i="9"/>
  <c r="L2157" i="9"/>
  <c r="V2156" i="9" a="1"/>
  <c r="W2156" i="9" s="1"/>
  <c r="U2156" i="9"/>
  <c r="T2156" i="9"/>
  <c r="L2156" i="9"/>
  <c r="V2155" i="9" a="1"/>
  <c r="W2155" i="9" s="1"/>
  <c r="U2155" i="9"/>
  <c r="T2155" i="9"/>
  <c r="L2155" i="9"/>
  <c r="V2154" i="9" a="1"/>
  <c r="W2154" i="9" s="1"/>
  <c r="U2154" i="9"/>
  <c r="T2154" i="9"/>
  <c r="L2154" i="9"/>
  <c r="V2153" i="9" a="1"/>
  <c r="W2153" i="9" s="1"/>
  <c r="U2153" i="9"/>
  <c r="T2153" i="9"/>
  <c r="L2153" i="9"/>
  <c r="V2152" i="9" a="1"/>
  <c r="W2152" i="9" s="1"/>
  <c r="U2152" i="9"/>
  <c r="T2152" i="9"/>
  <c r="L2152" i="9"/>
  <c r="V2151" i="9" a="1"/>
  <c r="W2151" i="9" s="1"/>
  <c r="U2151" i="9"/>
  <c r="T2151" i="9"/>
  <c r="L2151" i="9"/>
  <c r="V2150" i="9" a="1"/>
  <c r="W2150" i="9" s="1"/>
  <c r="U2150" i="9"/>
  <c r="T2150" i="9"/>
  <c r="L2150" i="9"/>
  <c r="V2149" i="9" a="1"/>
  <c r="W2149" i="9" s="1"/>
  <c r="V1950" i="9" a="1"/>
  <c r="W1950" i="9" s="1"/>
  <c r="U1950" i="9"/>
  <c r="T1950" i="9"/>
  <c r="V1949" i="9" a="1"/>
  <c r="W1949" i="9" s="1"/>
  <c r="U1949" i="9"/>
  <c r="T1949" i="9"/>
  <c r="V1948" i="9" a="1"/>
  <c r="W1948" i="9" s="1"/>
  <c r="U1948" i="9"/>
  <c r="T1948" i="9"/>
  <c r="V1947" i="9" a="1"/>
  <c r="W1947" i="9" s="1"/>
  <c r="U1947" i="9"/>
  <c r="T1947" i="9"/>
  <c r="V1946" i="9" a="1"/>
  <c r="W1946" i="9" s="1"/>
  <c r="U1946" i="9"/>
  <c r="T1946" i="9"/>
  <c r="V1945" i="9" a="1"/>
  <c r="W1945" i="9" s="1"/>
  <c r="U1945" i="9"/>
  <c r="T1945" i="9"/>
  <c r="V1944" i="9" a="1"/>
  <c r="W1944" i="9" s="1"/>
  <c r="U1944" i="9"/>
  <c r="T1944" i="9"/>
  <c r="V1943" i="9" a="1"/>
  <c r="W1943" i="9" s="1"/>
  <c r="U1943" i="9"/>
  <c r="T1943" i="9"/>
  <c r="V1942" i="9" a="1"/>
  <c r="W1942" i="9" s="1"/>
  <c r="U1942" i="9"/>
  <c r="T1942" i="9"/>
  <c r="L1942" i="9"/>
  <c r="V1941" i="9" a="1"/>
  <c r="W1941" i="9" s="1"/>
  <c r="U1941" i="9"/>
  <c r="T1941" i="9"/>
  <c r="L1941" i="9"/>
  <c r="V1940" i="9" a="1"/>
  <c r="W1940" i="9" s="1"/>
  <c r="U1940" i="9"/>
  <c r="T1940" i="9"/>
  <c r="L1940" i="9"/>
  <c r="V1939" i="9" a="1"/>
  <c r="W1939" i="9" s="1"/>
  <c r="U1939" i="9"/>
  <c r="T1939" i="9"/>
  <c r="L1939" i="9"/>
  <c r="V1938" i="9" a="1"/>
  <c r="W1938" i="9" s="1"/>
  <c r="U1938" i="9"/>
  <c r="T1938" i="9"/>
  <c r="L1938" i="9"/>
  <c r="V1937" i="9" a="1"/>
  <c r="W1937" i="9" s="1"/>
  <c r="U1937" i="9"/>
  <c r="T1937" i="9"/>
  <c r="L1937" i="9"/>
  <c r="V1936" i="9" a="1"/>
  <c r="W1936" i="9" s="1"/>
  <c r="U1936" i="9"/>
  <c r="T1936" i="9"/>
  <c r="L1936" i="9"/>
  <c r="V1935" i="9" a="1"/>
  <c r="W1935" i="9" s="1"/>
  <c r="U1935" i="9"/>
  <c r="T1935" i="9"/>
  <c r="L1935" i="9"/>
  <c r="V1934" i="9" a="1"/>
  <c r="W1934" i="9" s="1"/>
  <c r="U1934" i="9"/>
  <c r="T1934" i="9"/>
  <c r="L1934" i="9"/>
  <c r="V1933" i="9" a="1"/>
  <c r="W1933" i="9" s="1"/>
  <c r="U1933" i="9"/>
  <c r="T1933" i="9"/>
  <c r="L1933" i="9"/>
  <c r="V1932" i="9" a="1"/>
  <c r="W1932" i="9" s="1"/>
  <c r="U1932" i="9"/>
  <c r="T1932" i="9"/>
  <c r="L1932" i="9"/>
  <c r="V1931" i="9" a="1"/>
  <c r="W1931" i="9" s="1"/>
  <c r="U1931" i="9"/>
  <c r="T1931" i="9"/>
  <c r="L1931" i="9"/>
  <c r="V1930" i="9" a="1"/>
  <c r="W1930" i="9" s="1"/>
  <c r="U1930" i="9"/>
  <c r="T1930" i="9"/>
  <c r="L1930" i="9"/>
  <c r="V1929" i="9" a="1"/>
  <c r="W1929" i="9" s="1"/>
  <c r="U1929" i="9"/>
  <c r="T1929" i="9"/>
  <c r="L1929" i="9"/>
  <c r="V1928" i="9" a="1"/>
  <c r="W1928" i="9" s="1"/>
  <c r="U1928" i="9"/>
  <c r="T1928" i="9"/>
  <c r="L1928" i="9"/>
  <c r="V1927" i="9" a="1"/>
  <c r="W1927" i="9" s="1"/>
  <c r="U1927" i="9"/>
  <c r="T1927" i="9"/>
  <c r="L1927" i="9"/>
  <c r="V1926" i="9" a="1"/>
  <c r="W1926" i="9" s="1"/>
  <c r="U1926" i="9"/>
  <c r="T1926" i="9"/>
  <c r="L1926" i="9"/>
  <c r="V1925" i="9" a="1"/>
  <c r="W1925" i="9" s="1"/>
  <c r="U1925" i="9"/>
  <c r="T1925" i="9"/>
  <c r="L1925" i="9"/>
  <c r="V1924" i="9" a="1"/>
  <c r="W1924" i="9" s="1"/>
  <c r="U1924" i="9"/>
  <c r="T1924" i="9"/>
  <c r="L1924" i="9"/>
  <c r="V1923" i="9" a="1"/>
  <c r="W1923" i="9" s="1"/>
  <c r="U1923" i="9"/>
  <c r="T1923" i="9"/>
  <c r="L1923" i="9"/>
  <c r="V1922" i="9" a="1"/>
  <c r="W1922" i="9" s="1"/>
  <c r="U1922" i="9"/>
  <c r="T1922" i="9"/>
  <c r="L1922" i="9"/>
  <c r="V1921" i="9" a="1"/>
  <c r="W1921" i="9" s="1"/>
  <c r="U1921" i="9"/>
  <c r="T1921" i="9"/>
  <c r="L1921" i="9"/>
  <c r="V1920" i="9" a="1"/>
  <c r="W1920" i="9" s="1"/>
  <c r="U1920" i="9"/>
  <c r="T1920" i="9"/>
  <c r="L1920" i="9"/>
  <c r="V1919" i="9" a="1"/>
  <c r="W1919" i="9" s="1"/>
  <c r="U1919" i="9"/>
  <c r="T1919" i="9"/>
  <c r="L1919" i="9"/>
  <c r="V1918" i="9" a="1"/>
  <c r="W1918" i="9" s="1"/>
  <c r="U1918" i="9"/>
  <c r="T1918" i="9"/>
  <c r="L1918" i="9"/>
  <c r="V1917" i="9" a="1"/>
  <c r="W1917" i="9" s="1"/>
  <c r="U1917" i="9"/>
  <c r="T1917" i="9"/>
  <c r="L1917" i="9"/>
  <c r="V1916" i="9" a="1"/>
  <c r="W1916" i="9" s="1"/>
  <c r="U1916" i="9"/>
  <c r="T1916" i="9"/>
  <c r="L1916" i="9"/>
  <c r="V1915" i="9" a="1"/>
  <c r="W1915" i="9" s="1"/>
  <c r="U1915" i="9"/>
  <c r="T1915" i="9"/>
  <c r="L1915" i="9"/>
  <c r="V1914" i="9" a="1"/>
  <c r="W1914" i="9" s="1"/>
  <c r="U1914" i="9"/>
  <c r="T1914" i="9"/>
  <c r="L1914" i="9"/>
  <c r="V1913" i="9" a="1"/>
  <c r="W1913" i="9" s="1"/>
  <c r="U1913" i="9"/>
  <c r="T1913" i="9"/>
  <c r="L1913" i="9"/>
  <c r="V1912" i="9" a="1"/>
  <c r="W1912" i="9" s="1"/>
  <c r="U1912" i="9"/>
  <c r="T1912" i="9"/>
  <c r="L1912" i="9"/>
  <c r="V1911" i="9" a="1"/>
  <c r="W1911" i="9" s="1"/>
  <c r="U1911" i="9"/>
  <c r="T1911" i="9"/>
  <c r="L1911" i="9"/>
  <c r="V1910" i="9" a="1"/>
  <c r="W1910" i="9" s="1"/>
  <c r="U1910" i="9"/>
  <c r="T1910" i="9"/>
  <c r="L1910" i="9"/>
  <c r="V1909" i="9" a="1"/>
  <c r="W1909" i="9" s="1"/>
  <c r="U1909" i="9"/>
  <c r="T1909" i="9"/>
  <c r="L1909" i="9"/>
  <c r="V1908" i="9" a="1"/>
  <c r="W1908" i="9" s="1"/>
  <c r="U1908" i="9"/>
  <c r="T1908" i="9"/>
  <c r="L1908" i="9"/>
  <c r="V1907" i="9" a="1"/>
  <c r="W1907" i="9" s="1"/>
  <c r="U1907" i="9"/>
  <c r="T1907" i="9"/>
  <c r="L1907" i="9"/>
  <c r="V1906" i="9" a="1"/>
  <c r="W1906" i="9" s="1"/>
  <c r="U1906" i="9"/>
  <c r="T1906" i="9"/>
  <c r="L1906" i="9"/>
  <c r="V1905" i="9" a="1"/>
  <c r="W1905" i="9" s="1"/>
  <c r="U1905" i="9"/>
  <c r="T1905" i="9"/>
  <c r="L1905" i="9"/>
  <c r="V1904" i="9" a="1"/>
  <c r="W1904" i="9" s="1"/>
  <c r="U1904" i="9"/>
  <c r="T1904" i="9"/>
  <c r="L1904" i="9"/>
  <c r="V1903" i="9" a="1"/>
  <c r="W1903" i="9" s="1"/>
  <c r="U1903" i="9"/>
  <c r="T1903" i="9"/>
  <c r="L1903" i="9"/>
  <c r="V1902" i="9" a="1"/>
  <c r="W1902" i="9" s="1"/>
  <c r="U1902" i="9"/>
  <c r="T1902" i="9"/>
  <c r="L1902" i="9"/>
  <c r="V1901" i="9" a="1"/>
  <c r="W1901" i="9" s="1"/>
  <c r="U1901" i="9"/>
  <c r="T1901" i="9"/>
  <c r="L1901" i="9"/>
  <c r="V1900" i="9" a="1"/>
  <c r="W1900" i="9" s="1"/>
  <c r="U1900" i="9"/>
  <c r="T1900" i="9"/>
  <c r="L1900" i="9"/>
  <c r="V1899" i="9" a="1"/>
  <c r="W1899" i="9" s="1"/>
  <c r="U1899" i="9"/>
  <c r="T1899" i="9"/>
  <c r="L1899" i="9"/>
  <c r="V1898" i="9" a="1"/>
  <c r="W1898" i="9" s="1"/>
  <c r="U1898" i="9"/>
  <c r="T1898" i="9"/>
  <c r="L1898" i="9"/>
  <c r="V1897" i="9" a="1"/>
  <c r="W1897" i="9" s="1"/>
  <c r="U1897" i="9"/>
  <c r="T1897" i="9"/>
  <c r="L1897" i="9"/>
  <c r="V1896" i="9" a="1"/>
  <c r="W1896" i="9" s="1"/>
  <c r="U1896" i="9"/>
  <c r="T1896" i="9"/>
  <c r="L1896" i="9"/>
  <c r="V1895" i="9" a="1"/>
  <c r="W1895" i="9" s="1"/>
  <c r="U1895" i="9"/>
  <c r="T1895" i="9"/>
  <c r="L1895" i="9"/>
  <c r="V1894" i="9" a="1"/>
  <c r="W1894" i="9" s="1"/>
  <c r="U1894" i="9"/>
  <c r="T1894" i="9"/>
  <c r="L1894" i="9"/>
  <c r="V1893" i="9" a="1"/>
  <c r="W1893" i="9" s="1"/>
  <c r="U1893" i="9"/>
  <c r="T1893" i="9"/>
  <c r="L1893" i="9"/>
  <c r="V1892" i="9" a="1"/>
  <c r="W1892" i="9" s="1"/>
  <c r="U1892" i="9"/>
  <c r="T1892" i="9"/>
  <c r="L1892" i="9"/>
  <c r="V1891" i="9" a="1"/>
  <c r="W1891" i="9" s="1"/>
  <c r="U1891" i="9"/>
  <c r="T1891" i="9"/>
  <c r="L1891" i="9"/>
  <c r="V1890" i="9" a="1"/>
  <c r="W1890" i="9" s="1"/>
  <c r="U1890" i="9"/>
  <c r="T1890" i="9"/>
  <c r="L1890" i="9"/>
  <c r="V1889" i="9" a="1"/>
  <c r="W1889" i="9" s="1"/>
  <c r="U1889" i="9"/>
  <c r="T1889" i="9"/>
  <c r="L1889" i="9"/>
  <c r="V1888" i="9" a="1"/>
  <c r="W1888" i="9" s="1"/>
  <c r="U1888" i="9"/>
  <c r="T1888" i="9"/>
  <c r="L1888" i="9"/>
  <c r="V1887" i="9" a="1"/>
  <c r="W1887" i="9" s="1"/>
  <c r="U1887" i="9"/>
  <c r="T1887" i="9"/>
  <c r="L1887" i="9"/>
  <c r="V1886" i="9" a="1"/>
  <c r="W1886" i="9" s="1"/>
  <c r="U1886" i="9"/>
  <c r="T1886" i="9"/>
  <c r="L1886" i="9"/>
  <c r="V1885" i="9" a="1"/>
  <c r="W1885" i="9" s="1"/>
  <c r="U1885" i="9"/>
  <c r="T1885" i="9"/>
  <c r="L1885" i="9"/>
  <c r="V1884" i="9" a="1"/>
  <c r="W1884" i="9" s="1"/>
  <c r="U1884" i="9"/>
  <c r="T1884" i="9"/>
  <c r="L1884" i="9"/>
  <c r="V1883" i="9" a="1"/>
  <c r="W1883" i="9" s="1"/>
  <c r="U1883" i="9"/>
  <c r="T1883" i="9"/>
  <c r="L1883" i="9"/>
  <c r="V1882" i="9" a="1"/>
  <c r="W1882" i="9" s="1"/>
  <c r="U1882" i="9"/>
  <c r="T1882" i="9"/>
  <c r="L1882" i="9"/>
  <c r="V1881" i="9" a="1"/>
  <c r="W1881" i="9" s="1"/>
  <c r="U1881" i="9"/>
  <c r="T1881" i="9"/>
  <c r="L1881" i="9"/>
  <c r="V1880" i="9" a="1"/>
  <c r="W1880" i="9" s="1"/>
  <c r="U1880" i="9"/>
  <c r="T1880" i="9"/>
  <c r="L1880" i="9"/>
  <c r="V1879" i="9" a="1"/>
  <c r="W1879" i="9" s="1"/>
  <c r="U1879" i="9"/>
  <c r="T1879" i="9"/>
  <c r="L1879" i="9"/>
  <c r="V1878" i="9" a="1"/>
  <c r="W1878" i="9" s="1"/>
  <c r="U1878" i="9"/>
  <c r="T1878" i="9"/>
  <c r="L1878" i="9"/>
  <c r="V1877" i="9" a="1"/>
  <c r="W1877" i="9" s="1"/>
  <c r="U1877" i="9"/>
  <c r="T1877" i="9"/>
  <c r="L1877" i="9"/>
  <c r="V1876" i="9" a="1"/>
  <c r="W1876" i="9" s="1"/>
  <c r="U1876" i="9"/>
  <c r="T1876" i="9"/>
  <c r="L1876" i="9"/>
  <c r="V1875" i="9" a="1"/>
  <c r="W1875" i="9" s="1"/>
  <c r="U1875" i="9"/>
  <c r="T1875" i="9"/>
  <c r="L1875" i="9"/>
  <c r="V1874" i="9" a="1"/>
  <c r="W1874" i="9" s="1"/>
  <c r="U1874" i="9"/>
  <c r="T1874" i="9"/>
  <c r="L1874" i="9"/>
  <c r="V1873" i="9" a="1"/>
  <c r="W1873" i="9" s="1"/>
  <c r="U1873" i="9"/>
  <c r="T1873" i="9"/>
  <c r="L1873" i="9"/>
  <c r="V1872" i="9" a="1"/>
  <c r="W1872" i="9" s="1"/>
  <c r="U1872" i="9"/>
  <c r="T1872" i="9"/>
  <c r="L1872" i="9"/>
  <c r="V1871" i="9" a="1"/>
  <c r="W1871" i="9" s="1"/>
  <c r="U1871" i="9"/>
  <c r="T1871" i="9"/>
  <c r="L1871" i="9"/>
  <c r="V1870" i="9" a="1"/>
  <c r="W1870" i="9" s="1"/>
  <c r="U1870" i="9"/>
  <c r="T1870" i="9"/>
  <c r="L1870" i="9"/>
  <c r="V1869" i="9" a="1"/>
  <c r="W1869" i="9" s="1"/>
  <c r="U1869" i="9"/>
  <c r="T1869" i="9"/>
  <c r="L1869" i="9"/>
  <c r="V1868" i="9" a="1"/>
  <c r="W1868" i="9" s="1"/>
  <c r="U1868" i="9"/>
  <c r="T1868" i="9"/>
  <c r="L1868" i="9"/>
  <c r="V1867" i="9" a="1"/>
  <c r="W1867" i="9" s="1"/>
  <c r="U1867" i="9"/>
  <c r="T1867" i="9"/>
  <c r="L1867" i="9"/>
  <c r="V1866" i="9" a="1"/>
  <c r="W1866" i="9" s="1"/>
  <c r="U1866" i="9"/>
  <c r="T1866" i="9"/>
  <c r="L1866" i="9"/>
  <c r="V1865" i="9" a="1"/>
  <c r="W1865" i="9" s="1"/>
  <c r="U1865" i="9"/>
  <c r="T1865" i="9"/>
  <c r="L1865" i="9"/>
  <c r="V1864" i="9" a="1"/>
  <c r="W1864" i="9" s="1"/>
  <c r="U1864" i="9"/>
  <c r="T1864" i="9"/>
  <c r="L1864" i="9"/>
  <c r="V1863" i="9" a="1"/>
  <c r="W1863" i="9" s="1"/>
  <c r="U1863" i="9"/>
  <c r="T1863" i="9"/>
  <c r="L1863" i="9"/>
  <c r="V1862" i="9" a="1"/>
  <c r="W1862" i="9" s="1"/>
  <c r="U1862" i="9"/>
  <c r="T1862" i="9"/>
  <c r="L1862" i="9"/>
  <c r="V1861" i="9" a="1"/>
  <c r="W1861" i="9" s="1"/>
  <c r="U1861" i="9"/>
  <c r="T1861" i="9"/>
  <c r="L1861" i="9"/>
  <c r="V1860" i="9" a="1"/>
  <c r="W1860" i="9" s="1"/>
  <c r="U1860" i="9"/>
  <c r="T1860" i="9"/>
  <c r="L1860" i="9"/>
  <c r="V1859" i="9" a="1"/>
  <c r="W1859" i="9" s="1"/>
  <c r="U1859" i="9"/>
  <c r="T1859" i="9"/>
  <c r="L1859" i="9"/>
  <c r="V1858" i="9" a="1"/>
  <c r="W1858" i="9" s="1"/>
  <c r="U1858" i="9"/>
  <c r="T1858" i="9"/>
  <c r="L1858" i="9"/>
  <c r="V1857" i="9" a="1"/>
  <c r="W1857" i="9" s="1"/>
  <c r="U1857" i="9"/>
  <c r="T1857" i="9"/>
  <c r="L1857" i="9"/>
  <c r="V1856" i="9" a="1"/>
  <c r="W1856" i="9" s="1"/>
  <c r="U1856" i="9"/>
  <c r="T1856" i="9"/>
  <c r="L1856" i="9"/>
  <c r="V1855" i="9" a="1"/>
  <c r="W1855" i="9" s="1"/>
  <c r="U1855" i="9"/>
  <c r="T1855" i="9"/>
  <c r="L1855" i="9"/>
  <c r="V1854" i="9" a="1"/>
  <c r="W1854" i="9" s="1"/>
  <c r="U1854" i="9"/>
  <c r="T1854" i="9"/>
  <c r="L1854" i="9"/>
  <c r="V1853" i="9" a="1"/>
  <c r="W1853" i="9" s="1"/>
  <c r="U1853" i="9"/>
  <c r="T1853" i="9"/>
  <c r="L1853" i="9"/>
  <c r="V1852" i="9" a="1"/>
  <c r="W1852" i="9" s="1"/>
  <c r="U1852" i="9"/>
  <c r="T1852" i="9"/>
  <c r="L1852" i="9"/>
  <c r="V1851" i="9" a="1"/>
  <c r="W1851" i="9" s="1"/>
  <c r="U1851" i="9"/>
  <c r="T1851" i="9"/>
  <c r="L1851" i="9"/>
  <c r="V1850" i="9" a="1"/>
  <c r="W1850" i="9" s="1"/>
  <c r="U1850" i="9"/>
  <c r="T1850" i="9"/>
  <c r="L1850" i="9"/>
  <c r="V1849" i="9" a="1"/>
  <c r="W1849" i="9" s="1"/>
  <c r="U1849" i="9"/>
  <c r="T1849" i="9"/>
  <c r="L1849" i="9"/>
  <c r="V1848" i="9" a="1"/>
  <c r="W1848" i="9" s="1"/>
  <c r="U1848" i="9"/>
  <c r="T1848" i="9"/>
  <c r="L1848" i="9"/>
  <c r="V1847" i="9" a="1"/>
  <c r="W1847" i="9" s="1"/>
  <c r="U1847" i="9"/>
  <c r="T1847" i="9"/>
  <c r="L1847" i="9"/>
  <c r="V1846" i="9" a="1"/>
  <c r="W1846" i="9" s="1"/>
  <c r="U1846" i="9"/>
  <c r="T1846" i="9"/>
  <c r="L1846" i="9"/>
  <c r="V1845" i="9" a="1"/>
  <c r="W1845" i="9" s="1"/>
  <c r="U1845" i="9"/>
  <c r="T1845" i="9"/>
  <c r="L1845" i="9"/>
  <c r="V1844" i="9" a="1"/>
  <c r="W1844" i="9" s="1"/>
  <c r="U1844" i="9"/>
  <c r="T1844" i="9"/>
  <c r="L1844" i="9"/>
  <c r="V1843" i="9" a="1"/>
  <c r="W1843" i="9" s="1"/>
  <c r="U1843" i="9"/>
  <c r="T1843" i="9"/>
  <c r="L1843" i="9"/>
  <c r="V1842" i="9" a="1"/>
  <c r="W1842" i="9" s="1"/>
  <c r="U1842" i="9"/>
  <c r="T1842" i="9"/>
  <c r="L1842" i="9"/>
  <c r="V1841" i="9" a="1"/>
  <c r="W1841" i="9" s="1"/>
  <c r="U1841" i="9"/>
  <c r="T1841" i="9"/>
  <c r="L1841" i="9"/>
  <c r="V1840" i="9" a="1"/>
  <c r="W1840" i="9" s="1"/>
  <c r="U1840" i="9"/>
  <c r="T1840" i="9"/>
  <c r="L1840" i="9"/>
  <c r="V1839" i="9" a="1"/>
  <c r="W1839" i="9" s="1"/>
  <c r="U1839" i="9"/>
  <c r="T1839" i="9"/>
  <c r="L1839" i="9"/>
  <c r="V1838" i="9" a="1"/>
  <c r="W1838" i="9" s="1"/>
  <c r="U1838" i="9"/>
  <c r="T1838" i="9"/>
  <c r="L1838" i="9"/>
  <c r="V1837" i="9" a="1"/>
  <c r="W1837" i="9" s="1"/>
  <c r="U1837" i="9"/>
  <c r="T1837" i="9"/>
  <c r="L1837" i="9"/>
  <c r="V1836" i="9" a="1"/>
  <c r="W1836" i="9" s="1"/>
  <c r="U1836" i="9"/>
  <c r="T1836" i="9"/>
  <c r="L1836" i="9"/>
  <c r="V1835" i="9" a="1"/>
  <c r="W1835" i="9" s="1"/>
  <c r="U1835" i="9"/>
  <c r="T1835" i="9"/>
  <c r="L1835" i="9"/>
  <c r="V1834" i="9" a="1"/>
  <c r="W1834" i="9" s="1"/>
  <c r="U1834" i="9"/>
  <c r="T1834" i="9"/>
  <c r="L1834" i="9"/>
  <c r="V1833" i="9" a="1"/>
  <c r="W1833" i="9" s="1"/>
  <c r="U1833" i="9"/>
  <c r="T1833" i="9"/>
  <c r="L1833" i="9"/>
  <c r="V1832" i="9" a="1"/>
  <c r="W1832" i="9" s="1"/>
  <c r="U1832" i="9"/>
  <c r="T1832" i="9"/>
  <c r="L1832" i="9"/>
  <c r="V1831" i="9" a="1"/>
  <c r="W1831" i="9" s="1"/>
  <c r="U1831" i="9"/>
  <c r="T1831" i="9"/>
  <c r="L1831" i="9"/>
  <c r="V1830" i="9" a="1"/>
  <c r="W1830" i="9" s="1"/>
  <c r="U1830" i="9"/>
  <c r="T1830" i="9"/>
  <c r="L1830" i="9"/>
  <c r="V1829" i="9" a="1"/>
  <c r="W1829" i="9" s="1"/>
  <c r="U1829" i="9"/>
  <c r="T1829" i="9"/>
  <c r="L1829" i="9"/>
  <c r="V1828" i="9" a="1"/>
  <c r="W1828" i="9" s="1"/>
  <c r="U1828" i="9"/>
  <c r="T1828" i="9"/>
  <c r="L1828" i="9"/>
  <c r="V1827" i="9" a="1"/>
  <c r="W1827" i="9" s="1"/>
  <c r="U1827" i="9"/>
  <c r="T1827" i="9"/>
  <c r="L1827" i="9"/>
  <c r="V1826" i="9" a="1"/>
  <c r="W1826" i="9" s="1"/>
  <c r="U1826" i="9"/>
  <c r="T1826" i="9"/>
  <c r="L1826" i="9"/>
  <c r="V1825" i="9" a="1"/>
  <c r="W1825" i="9" s="1"/>
  <c r="U1825" i="9"/>
  <c r="T1825" i="9"/>
  <c r="L1825" i="9"/>
  <c r="V1824" i="9" a="1"/>
  <c r="W1824" i="9" s="1"/>
  <c r="U1824" i="9"/>
  <c r="T1824" i="9"/>
  <c r="L1824" i="9"/>
  <c r="V1823" i="9" a="1"/>
  <c r="W1823" i="9" s="1"/>
  <c r="U1823" i="9"/>
  <c r="T1823" i="9"/>
  <c r="L1823" i="9"/>
  <c r="V1822" i="9" a="1"/>
  <c r="W1822" i="9" s="1"/>
  <c r="U1822" i="9"/>
  <c r="T1822" i="9"/>
  <c r="L1822" i="9"/>
  <c r="V1821" i="9" a="1"/>
  <c r="W1821" i="9" s="1"/>
  <c r="U1821" i="9"/>
  <c r="T1821" i="9"/>
  <c r="L1821" i="9"/>
  <c r="V1820" i="9" a="1"/>
  <c r="W1820" i="9" s="1"/>
  <c r="U1820" i="9"/>
  <c r="T1820" i="9"/>
  <c r="L1820" i="9"/>
  <c r="V1819" i="9" a="1"/>
  <c r="W1819" i="9" s="1"/>
  <c r="U1819" i="9"/>
  <c r="T1819" i="9"/>
  <c r="L1819" i="9"/>
  <c r="V1818" i="9" a="1"/>
  <c r="W1818" i="9" s="1"/>
  <c r="U1818" i="9"/>
  <c r="T1818" i="9"/>
  <c r="L1818" i="9"/>
  <c r="V1817" i="9" a="1"/>
  <c r="W1817" i="9" s="1"/>
  <c r="U1817" i="9"/>
  <c r="T1817" i="9"/>
  <c r="L1817" i="9"/>
  <c r="V1816" i="9" a="1"/>
  <c r="W1816" i="9" s="1"/>
  <c r="U1816" i="9"/>
  <c r="T1816" i="9"/>
  <c r="L1816" i="9"/>
  <c r="V1815" i="9" a="1"/>
  <c r="W1815" i="9" s="1"/>
  <c r="U1815" i="9"/>
  <c r="T1815" i="9"/>
  <c r="L1815" i="9"/>
  <c r="V1814" i="9" a="1"/>
  <c r="W1814" i="9" s="1"/>
  <c r="U1814" i="9"/>
  <c r="T1814" i="9"/>
  <c r="L1814" i="9"/>
  <c r="V1813" i="9" a="1"/>
  <c r="W1813" i="9" s="1"/>
  <c r="U1813" i="9"/>
  <c r="T1813" i="9"/>
  <c r="L1813" i="9"/>
  <c r="V1812" i="9" a="1"/>
  <c r="W1812" i="9" s="1"/>
  <c r="U1812" i="9"/>
  <c r="T1812" i="9"/>
  <c r="L1812" i="9"/>
  <c r="B1688" i="9" a="1"/>
  <c r="V1687" i="9" a="1"/>
  <c r="W1687" i="9" s="1"/>
  <c r="U1687" i="9"/>
  <c r="T1687" i="9"/>
  <c r="V1686" i="9" a="1"/>
  <c r="W1686" i="9" s="1"/>
  <c r="U1686" i="9"/>
  <c r="T1686" i="9"/>
  <c r="V1685" i="9" a="1"/>
  <c r="W1685" i="9" s="1"/>
  <c r="U1685" i="9"/>
  <c r="T1685" i="9"/>
  <c r="V1684" i="9" a="1"/>
  <c r="W1684" i="9" s="1"/>
  <c r="U1684" i="9"/>
  <c r="T1684" i="9"/>
  <c r="V1683" i="9" a="1"/>
  <c r="W1683" i="9" s="1"/>
  <c r="U1683" i="9"/>
  <c r="T1683" i="9"/>
  <c r="V1682" i="9" a="1"/>
  <c r="W1682" i="9" s="1"/>
  <c r="U1682" i="9"/>
  <c r="T1682" i="9"/>
  <c r="V1681" i="9" a="1"/>
  <c r="W1681" i="9" s="1"/>
  <c r="U1681" i="9"/>
  <c r="T1681" i="9"/>
  <c r="V1680" i="9" a="1"/>
  <c r="W1680" i="9" s="1"/>
  <c r="U1680" i="9"/>
  <c r="T1680" i="9"/>
  <c r="V1679" i="9" a="1"/>
  <c r="W1679" i="9" s="1"/>
  <c r="U1679" i="9"/>
  <c r="T1679" i="9"/>
  <c r="V1678" i="9" a="1"/>
  <c r="W1678" i="9" s="1"/>
  <c r="U1678" i="9"/>
  <c r="T1678" i="9"/>
  <c r="V1677" i="9" a="1"/>
  <c r="W1677" i="9" s="1"/>
  <c r="U1677" i="9"/>
  <c r="T1677" i="9"/>
  <c r="V1676" i="9" a="1"/>
  <c r="W1676" i="9" s="1"/>
  <c r="U1676" i="9"/>
  <c r="T1676" i="9"/>
  <c r="V1675" i="9" a="1"/>
  <c r="W1675" i="9" s="1"/>
  <c r="U1675" i="9"/>
  <c r="T1675" i="9"/>
  <c r="V1674" i="9" a="1"/>
  <c r="W1674" i="9" s="1"/>
  <c r="U1674" i="9"/>
  <c r="T1674" i="9"/>
  <c r="V1673" i="9" a="1"/>
  <c r="W1673" i="9" s="1"/>
  <c r="U1673" i="9"/>
  <c r="T1673" i="9"/>
  <c r="V1672" i="9" a="1"/>
  <c r="W1672" i="9" s="1"/>
  <c r="U1672" i="9"/>
  <c r="T1672" i="9"/>
  <c r="V1671" i="9" a="1"/>
  <c r="W1671" i="9" s="1"/>
  <c r="U1671" i="9"/>
  <c r="T1671" i="9"/>
  <c r="V1670" i="9" a="1"/>
  <c r="W1670" i="9" s="1"/>
  <c r="U1670" i="9"/>
  <c r="T1670" i="9"/>
  <c r="V1669" i="9" a="1"/>
  <c r="W1669" i="9" s="1"/>
  <c r="U1669" i="9"/>
  <c r="T1669" i="9"/>
  <c r="V1668" i="9" a="1"/>
  <c r="W1668" i="9" s="1"/>
  <c r="U1668" i="9"/>
  <c r="T1668" i="9"/>
  <c r="V1667" i="9" a="1"/>
  <c r="W1667" i="9" s="1"/>
  <c r="U1667" i="9"/>
  <c r="T1667" i="9"/>
  <c r="V1666" i="9" a="1"/>
  <c r="W1666" i="9" s="1"/>
  <c r="U1666" i="9"/>
  <c r="T1666" i="9"/>
  <c r="V1665" i="9" a="1"/>
  <c r="W1665" i="9" s="1"/>
  <c r="U1665" i="9"/>
  <c r="T1665" i="9"/>
  <c r="V1664" i="9" a="1"/>
  <c r="W1664" i="9" s="1"/>
  <c r="U1664" i="9"/>
  <c r="T1664" i="9"/>
  <c r="V1663" i="9" a="1"/>
  <c r="W1663" i="9" s="1"/>
  <c r="U1663" i="9"/>
  <c r="T1663" i="9"/>
  <c r="V1662" i="9" a="1"/>
  <c r="W1662" i="9" s="1"/>
  <c r="U1662" i="9"/>
  <c r="T1662" i="9"/>
  <c r="V1661" i="9" a="1"/>
  <c r="W1661" i="9" s="1"/>
  <c r="U1661" i="9"/>
  <c r="T1661" i="9"/>
  <c r="V1660" i="9" a="1"/>
  <c r="W1660" i="9" s="1"/>
  <c r="U1660" i="9"/>
  <c r="T1660" i="9"/>
  <c r="V1659" i="9" a="1"/>
  <c r="W1659" i="9" s="1"/>
  <c r="U1659" i="9"/>
  <c r="T1659" i="9"/>
  <c r="V1658" i="9" a="1"/>
  <c r="W1658" i="9" s="1"/>
  <c r="U1658" i="9"/>
  <c r="T1658" i="9"/>
  <c r="V1657" i="9" a="1"/>
  <c r="W1657" i="9" s="1"/>
  <c r="U1657" i="9"/>
  <c r="T1657" i="9"/>
  <c r="V1656" i="9" a="1"/>
  <c r="W1656" i="9" s="1"/>
  <c r="U1656" i="9"/>
  <c r="T1656" i="9"/>
  <c r="V1655" i="9" a="1"/>
  <c r="W1655" i="9" s="1"/>
  <c r="U1655" i="9"/>
  <c r="T1655" i="9"/>
  <c r="V1654" i="9" a="1"/>
  <c r="W1654" i="9" s="1"/>
  <c r="U1654" i="9"/>
  <c r="T1654" i="9"/>
  <c r="V1653" i="9" a="1"/>
  <c r="W1653" i="9" s="1"/>
  <c r="U1653" i="9"/>
  <c r="T1653" i="9"/>
  <c r="V1652" i="9" a="1"/>
  <c r="W1652" i="9" s="1"/>
  <c r="U1652" i="9"/>
  <c r="T1652" i="9"/>
  <c r="V1651" i="9" a="1"/>
  <c r="W1651" i="9" s="1"/>
  <c r="U1651" i="9"/>
  <c r="T1651" i="9"/>
  <c r="V1650" i="9" a="1"/>
  <c r="W1650" i="9" s="1"/>
  <c r="U1650" i="9"/>
  <c r="T1650" i="9"/>
  <c r="V1649" i="9" a="1"/>
  <c r="W1649" i="9" s="1"/>
  <c r="U1649" i="9"/>
  <c r="T1649" i="9"/>
  <c r="V1648" i="9" a="1"/>
  <c r="W1648" i="9" s="1"/>
  <c r="U1648" i="9"/>
  <c r="T1648" i="9"/>
  <c r="V1647" i="9" a="1"/>
  <c r="W1647" i="9" s="1"/>
  <c r="U1647" i="9"/>
  <c r="T1647" i="9"/>
  <c r="V1646" i="9" a="1"/>
  <c r="W1646" i="9" s="1"/>
  <c r="U1646" i="9"/>
  <c r="T1646" i="9"/>
  <c r="V1645" i="9" a="1"/>
  <c r="W1645" i="9" s="1"/>
  <c r="U1645" i="9"/>
  <c r="T1645" i="9"/>
  <c r="V1644" i="9" a="1"/>
  <c r="W1644" i="9" s="1"/>
  <c r="U1644" i="9"/>
  <c r="T1644" i="9"/>
  <c r="V1643" i="9" a="1"/>
  <c r="W1643" i="9" s="1"/>
  <c r="U1643" i="9"/>
  <c r="T1643" i="9"/>
  <c r="V1642" i="9" a="1"/>
  <c r="W1642" i="9" s="1"/>
  <c r="U1642" i="9"/>
  <c r="T1642" i="9"/>
  <c r="V1641" i="9" a="1"/>
  <c r="W1641" i="9" s="1"/>
  <c r="U1641" i="9"/>
  <c r="T1641" i="9"/>
  <c r="V1640" i="9" a="1"/>
  <c r="W1640" i="9" s="1"/>
  <c r="U1640" i="9"/>
  <c r="T1640" i="9"/>
  <c r="V1639" i="9" a="1"/>
  <c r="W1639" i="9" s="1"/>
  <c r="U1639" i="9"/>
  <c r="T1639" i="9"/>
  <c r="V1638" i="9" a="1"/>
  <c r="W1638" i="9" s="1"/>
  <c r="U1638" i="9"/>
  <c r="T1638" i="9"/>
  <c r="V1637" i="9" a="1"/>
  <c r="W1637" i="9" s="1"/>
  <c r="U1637" i="9"/>
  <c r="T1637" i="9"/>
  <c r="V1636" i="9" a="1"/>
  <c r="W1636" i="9" s="1"/>
  <c r="U1636" i="9"/>
  <c r="T1636" i="9"/>
  <c r="V1635" i="9" a="1"/>
  <c r="W1635" i="9" s="1"/>
  <c r="U1635" i="9"/>
  <c r="T1635" i="9"/>
  <c r="V1634" i="9" a="1"/>
  <c r="W1634" i="9" s="1"/>
  <c r="U1634" i="9"/>
  <c r="T1634" i="9"/>
  <c r="V1633" i="9" a="1"/>
  <c r="W1633" i="9" s="1"/>
  <c r="U1633" i="9"/>
  <c r="T1633" i="9"/>
  <c r="V1632" i="9" a="1"/>
  <c r="W1632" i="9" s="1"/>
  <c r="U1632" i="9"/>
  <c r="T1632" i="9"/>
  <c r="V1631" i="9" a="1"/>
  <c r="W1631" i="9" s="1"/>
  <c r="U1631" i="9"/>
  <c r="T1631" i="9"/>
  <c r="V1630" i="9" a="1"/>
  <c r="W1630" i="9" s="1"/>
  <c r="U1630" i="9"/>
  <c r="T1630" i="9"/>
  <c r="V1629" i="9" a="1"/>
  <c r="W1629" i="9" s="1"/>
  <c r="U1629" i="9"/>
  <c r="T1629" i="9"/>
  <c r="V1628" i="9" a="1"/>
  <c r="W1628" i="9" s="1"/>
  <c r="U1628" i="9"/>
  <c r="T1628" i="9"/>
  <c r="V1627" i="9" a="1"/>
  <c r="W1627" i="9" s="1"/>
  <c r="U1627" i="9"/>
  <c r="T1627" i="9"/>
  <c r="V1626" i="9" a="1"/>
  <c r="W1626" i="9" s="1"/>
  <c r="U1626" i="9"/>
  <c r="T1626" i="9"/>
  <c r="V1625" i="9" a="1"/>
  <c r="W1625" i="9" s="1"/>
  <c r="U1625" i="9"/>
  <c r="T1625" i="9"/>
  <c r="V1624" i="9" a="1"/>
  <c r="W1624" i="9" s="1"/>
  <c r="U1624" i="9"/>
  <c r="T1624" i="9"/>
  <c r="V1623" i="9" a="1"/>
  <c r="W1623" i="9" s="1"/>
  <c r="U1623" i="9"/>
  <c r="T1623" i="9"/>
  <c r="V1622" i="9" a="1"/>
  <c r="W1622" i="9" s="1"/>
  <c r="U1622" i="9"/>
  <c r="T1622" i="9"/>
  <c r="V1621" i="9" a="1"/>
  <c r="W1621" i="9" s="1"/>
  <c r="U1621" i="9"/>
  <c r="T1621" i="9"/>
  <c r="V1620" i="9" a="1"/>
  <c r="W1620" i="9" s="1"/>
  <c r="U1620" i="9"/>
  <c r="T1620" i="9"/>
  <c r="V1619" i="9" a="1"/>
  <c r="W1619" i="9" s="1"/>
  <c r="U1619" i="9"/>
  <c r="T1619" i="9"/>
  <c r="V1618" i="9" a="1"/>
  <c r="W1618" i="9" s="1"/>
  <c r="U1618" i="9"/>
  <c r="T1618" i="9"/>
  <c r="V1617" i="9" a="1"/>
  <c r="W1617" i="9" s="1"/>
  <c r="U1617" i="9"/>
  <c r="T1617" i="9"/>
  <c r="V1616" i="9" a="1"/>
  <c r="W1616" i="9" s="1"/>
  <c r="U1616" i="9"/>
  <c r="T1616" i="9"/>
  <c r="V1615" i="9" a="1"/>
  <c r="W1615" i="9" s="1"/>
  <c r="U1615" i="9"/>
  <c r="T1615" i="9"/>
  <c r="V1614" i="9" a="1"/>
  <c r="W1614" i="9" s="1"/>
  <c r="U1614" i="9"/>
  <c r="T1614" i="9"/>
  <c r="V1613" i="9" a="1"/>
  <c r="W1613" i="9" s="1"/>
  <c r="U1613" i="9"/>
  <c r="T1613" i="9"/>
  <c r="V1612" i="9" a="1"/>
  <c r="W1612" i="9" s="1"/>
  <c r="U1612" i="9"/>
  <c r="T1612" i="9"/>
  <c r="V1611" i="9" a="1"/>
  <c r="W1611" i="9" s="1"/>
  <c r="U1611" i="9"/>
  <c r="T1611" i="9"/>
  <c r="V1610" i="9" a="1"/>
  <c r="W1610" i="9" s="1"/>
  <c r="U1610" i="9"/>
  <c r="T1610" i="9"/>
  <c r="V1609" i="9" a="1"/>
  <c r="W1609" i="9" s="1"/>
  <c r="U1609" i="9"/>
  <c r="T1609" i="9"/>
  <c r="V1608" i="9" a="1"/>
  <c r="W1608" i="9" s="1"/>
  <c r="U1608" i="9"/>
  <c r="T1608" i="9"/>
  <c r="V1607" i="9" a="1"/>
  <c r="W1607" i="9" s="1"/>
  <c r="U1607" i="9"/>
  <c r="T1607" i="9"/>
  <c r="V1606" i="9" a="1"/>
  <c r="W1606" i="9" s="1"/>
  <c r="U1606" i="9"/>
  <c r="T1606" i="9"/>
  <c r="V1605" i="9" a="1"/>
  <c r="W1605" i="9" s="1"/>
  <c r="U1605" i="9"/>
  <c r="T1605" i="9"/>
  <c r="V1604" i="9" a="1"/>
  <c r="W1604" i="9" s="1"/>
  <c r="U1604" i="9"/>
  <c r="T1604" i="9"/>
  <c r="V1603" i="9" a="1"/>
  <c r="W1603" i="9" s="1"/>
  <c r="U1603" i="9"/>
  <c r="T1603" i="9"/>
  <c r="V1602" i="9" a="1"/>
  <c r="W1602" i="9" s="1"/>
  <c r="U1602" i="9"/>
  <c r="T1602" i="9"/>
  <c r="V1601" i="9" a="1"/>
  <c r="W1601" i="9" s="1"/>
  <c r="U1601" i="9"/>
  <c r="T1601" i="9"/>
  <c r="V1600" i="9" a="1"/>
  <c r="W1600" i="9" s="1"/>
  <c r="U1600" i="9"/>
  <c r="T1600" i="9"/>
  <c r="V1599" i="9" a="1"/>
  <c r="W1599" i="9" s="1"/>
  <c r="U1599" i="9"/>
  <c r="T1599" i="9"/>
  <c r="V1598" i="9" a="1"/>
  <c r="W1598" i="9" s="1"/>
  <c r="U1598" i="9"/>
  <c r="T1598" i="9"/>
  <c r="V1597" i="9" a="1"/>
  <c r="W1597" i="9" s="1"/>
  <c r="U1597" i="9"/>
  <c r="T1597" i="9"/>
  <c r="V1596" i="9" a="1"/>
  <c r="W1596" i="9" s="1"/>
  <c r="U1596" i="9"/>
  <c r="T1596" i="9"/>
  <c r="V1595" i="9" a="1"/>
  <c r="W1595" i="9" s="1"/>
  <c r="U1595" i="9"/>
  <c r="T1595" i="9"/>
  <c r="V1594" i="9" a="1"/>
  <c r="W1594" i="9" s="1"/>
  <c r="U1594" i="9"/>
  <c r="T1594" i="9"/>
  <c r="V1593" i="9" a="1"/>
  <c r="W1593" i="9" s="1"/>
  <c r="U1593" i="9"/>
  <c r="T1593" i="9"/>
  <c r="V1592" i="9" a="1"/>
  <c r="W1592" i="9" s="1"/>
  <c r="U1592" i="9"/>
  <c r="T1592" i="9"/>
  <c r="V1591" i="9" a="1"/>
  <c r="W1591" i="9" s="1"/>
  <c r="U1591" i="9"/>
  <c r="T1591" i="9"/>
  <c r="V1590" i="9" a="1"/>
  <c r="W1590" i="9" s="1"/>
  <c r="U1590" i="9"/>
  <c r="T1590" i="9"/>
  <c r="V1589" i="9" a="1"/>
  <c r="W1589" i="9" s="1"/>
  <c r="U1589" i="9"/>
  <c r="T1589" i="9"/>
  <c r="V1588" i="9" a="1"/>
  <c r="W1588" i="9" s="1"/>
  <c r="U1588" i="9"/>
  <c r="T1588" i="9"/>
  <c r="V1587" i="9" a="1"/>
  <c r="W1587" i="9" s="1"/>
  <c r="U1587" i="9"/>
  <c r="T1587" i="9"/>
  <c r="V1586" i="9" a="1"/>
  <c r="W1586" i="9" s="1"/>
  <c r="U1586" i="9"/>
  <c r="T1586" i="9"/>
  <c r="V1585" i="9" a="1"/>
  <c r="W1585" i="9" s="1"/>
  <c r="U1585" i="9"/>
  <c r="T1585" i="9"/>
  <c r="V1584" i="9" a="1"/>
  <c r="W1584" i="9" s="1"/>
  <c r="U1584" i="9"/>
  <c r="T1584" i="9"/>
  <c r="V1583" i="9" a="1"/>
  <c r="W1583" i="9" s="1"/>
  <c r="U1583" i="9"/>
  <c r="T1583" i="9"/>
  <c r="V1582" i="9" a="1"/>
  <c r="W1582" i="9" s="1"/>
  <c r="U1582" i="9"/>
  <c r="T1582" i="9"/>
  <c r="V1581" i="9" a="1"/>
  <c r="W1581" i="9" s="1"/>
  <c r="U1581" i="9"/>
  <c r="T1581" i="9"/>
  <c r="V1580" i="9" a="1"/>
  <c r="W1580" i="9" s="1"/>
  <c r="U1580" i="9"/>
  <c r="T1580" i="9"/>
  <c r="V1579" i="9" a="1"/>
  <c r="W1579" i="9" s="1"/>
  <c r="U1579" i="9"/>
  <c r="T1579" i="9"/>
  <c r="V1578" i="9" a="1"/>
  <c r="W1578" i="9" s="1"/>
  <c r="U1578" i="9"/>
  <c r="T1578" i="9"/>
  <c r="V1577" i="9" a="1"/>
  <c r="W1577" i="9" s="1"/>
  <c r="U1577" i="9"/>
  <c r="T1577" i="9"/>
  <c r="V1576" i="9" a="1"/>
  <c r="W1576" i="9" s="1"/>
  <c r="U1576" i="9"/>
  <c r="T1576" i="9"/>
  <c r="V1575" i="9" a="1"/>
  <c r="W1575" i="9" s="1"/>
  <c r="U1575" i="9"/>
  <c r="T1575" i="9"/>
  <c r="V1574" i="9" a="1"/>
  <c r="W1574" i="9" s="1"/>
  <c r="U1574" i="9"/>
  <c r="T1574" i="9"/>
  <c r="V1573" i="9" a="1"/>
  <c r="W1573" i="9" s="1"/>
  <c r="U1573" i="9"/>
  <c r="T1573" i="9"/>
  <c r="V1572" i="9" a="1"/>
  <c r="W1572" i="9" s="1"/>
  <c r="U1572" i="9"/>
  <c r="T1572" i="9"/>
  <c r="V1571" i="9" a="1"/>
  <c r="W1571" i="9" s="1"/>
  <c r="U1571" i="9"/>
  <c r="T1571" i="9"/>
  <c r="V1570" i="9" a="1"/>
  <c r="W1570" i="9" s="1"/>
  <c r="U1570" i="9"/>
  <c r="T1570" i="9"/>
  <c r="V1569" i="9" a="1"/>
  <c r="W1569" i="9" s="1"/>
  <c r="U1569" i="9"/>
  <c r="T1569" i="9"/>
  <c r="V1568" i="9" a="1"/>
  <c r="W1568" i="9" s="1"/>
  <c r="U1568" i="9"/>
  <c r="T1568" i="9"/>
  <c r="V1567" i="9" a="1"/>
  <c r="W1567" i="9" s="1"/>
  <c r="U1567" i="9"/>
  <c r="T1567" i="9"/>
  <c r="V1566" i="9" a="1"/>
  <c r="W1566" i="9" s="1"/>
  <c r="U1566" i="9"/>
  <c r="T1566" i="9"/>
  <c r="V1565" i="9" a="1"/>
  <c r="W1565" i="9" s="1"/>
  <c r="U1565" i="9"/>
  <c r="T1565" i="9"/>
  <c r="V1564" i="9" a="1"/>
  <c r="W1564" i="9" s="1"/>
  <c r="U1564" i="9"/>
  <c r="T1564" i="9"/>
  <c r="V1563" i="9" a="1"/>
  <c r="W1563" i="9" s="1"/>
  <c r="U1563" i="9"/>
  <c r="T1563" i="9"/>
  <c r="V1562" i="9" a="1"/>
  <c r="W1562" i="9" s="1"/>
  <c r="U1562" i="9"/>
  <c r="T1562" i="9"/>
  <c r="V1561" i="9" a="1"/>
  <c r="W1561" i="9" s="1"/>
  <c r="U1561" i="9"/>
  <c r="T1561" i="9"/>
  <c r="V1560" i="9" a="1"/>
  <c r="W1560" i="9" s="1"/>
  <c r="U1560" i="9"/>
  <c r="T1560" i="9"/>
  <c r="V1559" i="9" a="1"/>
  <c r="W1559" i="9" s="1"/>
  <c r="U1559" i="9"/>
  <c r="T1559" i="9"/>
  <c r="V1558" i="9" a="1"/>
  <c r="W1558" i="9" s="1"/>
  <c r="U1558" i="9"/>
  <c r="T1558" i="9"/>
  <c r="V1557" i="9" a="1"/>
  <c r="W1557" i="9" s="1"/>
  <c r="U1557" i="9"/>
  <c r="T1557" i="9"/>
  <c r="V1556" i="9" a="1"/>
  <c r="W1556" i="9" s="1"/>
  <c r="U1556" i="9"/>
  <c r="T1556" i="9"/>
  <c r="V1555" i="9" a="1"/>
  <c r="W1555" i="9" s="1"/>
  <c r="U1555" i="9"/>
  <c r="T1555" i="9"/>
  <c r="V1554" i="9" a="1"/>
  <c r="W1554" i="9" s="1"/>
  <c r="U1554" i="9"/>
  <c r="T1554" i="9"/>
  <c r="V1553" i="9" a="1"/>
  <c r="W1553" i="9" s="1"/>
  <c r="U1553" i="9"/>
  <c r="T1553" i="9"/>
  <c r="V1552" i="9" a="1"/>
  <c r="W1552" i="9" s="1"/>
  <c r="U1552" i="9"/>
  <c r="T1552" i="9"/>
  <c r="V1551" i="9" a="1"/>
  <c r="W1551" i="9" s="1"/>
  <c r="U1551" i="9"/>
  <c r="T1551" i="9"/>
  <c r="V1550" i="9" a="1"/>
  <c r="W1550" i="9" s="1"/>
  <c r="U1550" i="9"/>
  <c r="T1550" i="9"/>
  <c r="V1549" i="9" a="1"/>
  <c r="W1549" i="9" s="1"/>
  <c r="U1549" i="9"/>
  <c r="T1549" i="9"/>
  <c r="V1548" i="9" a="1"/>
  <c r="W1548" i="9" s="1"/>
  <c r="U1548" i="9"/>
  <c r="T1548" i="9"/>
  <c r="V1547" i="9" a="1"/>
  <c r="W1547" i="9" s="1"/>
  <c r="U1547" i="9"/>
  <c r="T1547" i="9"/>
  <c r="V1546" i="9" a="1"/>
  <c r="W1546" i="9" s="1"/>
  <c r="U1546" i="9"/>
  <c r="T1546" i="9"/>
  <c r="V1545" i="9" a="1"/>
  <c r="W1545" i="9" s="1"/>
  <c r="U1545" i="9"/>
  <c r="T1545" i="9"/>
  <c r="V1544" i="9" a="1"/>
  <c r="W1544" i="9" s="1"/>
  <c r="U1544" i="9"/>
  <c r="T1544" i="9"/>
  <c r="V1543" i="9" a="1"/>
  <c r="W1543" i="9" s="1"/>
  <c r="U1543" i="9"/>
  <c r="T1543" i="9"/>
  <c r="V1542" i="9" a="1"/>
  <c r="W1542" i="9" s="1"/>
  <c r="U1542" i="9"/>
  <c r="T1542" i="9"/>
  <c r="V1541" i="9" a="1"/>
  <c r="W1541" i="9" s="1"/>
  <c r="U1541" i="9"/>
  <c r="T1541" i="9"/>
  <c r="V1540" i="9" a="1"/>
  <c r="W1540" i="9" s="1"/>
  <c r="U1540" i="9"/>
  <c r="T1540" i="9"/>
  <c r="V1539" i="9" a="1"/>
  <c r="W1539" i="9" s="1"/>
  <c r="U1539" i="9"/>
  <c r="T1539" i="9"/>
  <c r="V1538" i="9" a="1"/>
  <c r="W1538" i="9" s="1"/>
  <c r="U1538" i="9"/>
  <c r="T1538" i="9"/>
  <c r="V1537" i="9" a="1"/>
  <c r="W1537" i="9" s="1"/>
  <c r="U1537" i="9"/>
  <c r="T1537" i="9"/>
  <c r="V1536" i="9" a="1"/>
  <c r="W1536" i="9" s="1"/>
  <c r="U1536" i="9"/>
  <c r="T1536" i="9"/>
  <c r="V1535" i="9" a="1"/>
  <c r="W1535" i="9" s="1"/>
  <c r="U1535" i="9"/>
  <c r="T1535" i="9"/>
  <c r="V1534" i="9" a="1"/>
  <c r="W1534" i="9" s="1"/>
  <c r="U1534" i="9"/>
  <c r="T1534" i="9"/>
  <c r="V1533" i="9" a="1"/>
  <c r="W1533" i="9" s="1"/>
  <c r="U1533" i="9"/>
  <c r="T1533" i="9"/>
  <c r="V1532" i="9" a="1"/>
  <c r="W1532" i="9" s="1"/>
  <c r="U1532" i="9"/>
  <c r="T1532" i="9"/>
  <c r="V1531" i="9" a="1"/>
  <c r="W1531" i="9" s="1"/>
  <c r="U1531" i="9"/>
  <c r="T1531" i="9"/>
  <c r="V1530" i="9" a="1"/>
  <c r="W1530" i="9" s="1"/>
  <c r="U1530" i="9"/>
  <c r="T1530" i="9"/>
  <c r="V1529" i="9" a="1"/>
  <c r="W1529" i="9" s="1"/>
  <c r="U1529" i="9"/>
  <c r="T1529" i="9"/>
  <c r="V1528" i="9" a="1"/>
  <c r="W1528" i="9" s="1"/>
  <c r="U1528" i="9"/>
  <c r="T1528" i="9"/>
  <c r="V1527" i="9" a="1"/>
  <c r="W1527" i="9" s="1"/>
  <c r="U1527" i="9"/>
  <c r="T1527" i="9"/>
  <c r="V1526" i="9" a="1"/>
  <c r="W1526" i="9" s="1"/>
  <c r="U1526" i="9"/>
  <c r="T1526" i="9"/>
  <c r="V1525" i="9" a="1"/>
  <c r="W1525" i="9" s="1"/>
  <c r="U1525" i="9"/>
  <c r="T1525" i="9"/>
  <c r="V1524" i="9" a="1"/>
  <c r="W1524" i="9" s="1"/>
  <c r="U1524" i="9"/>
  <c r="T1524" i="9"/>
  <c r="V1523" i="9" a="1"/>
  <c r="W1523" i="9" s="1"/>
  <c r="U1523" i="9"/>
  <c r="T1523" i="9"/>
  <c r="V1522" i="9" a="1"/>
  <c r="W1522" i="9" s="1"/>
  <c r="U1522" i="9"/>
  <c r="T1522" i="9"/>
  <c r="V1521" i="9" a="1"/>
  <c r="W1521" i="9" s="1"/>
  <c r="U1521" i="9"/>
  <c r="T1521" i="9"/>
  <c r="V1520" i="9" a="1"/>
  <c r="W1520" i="9" s="1"/>
  <c r="U1520" i="9"/>
  <c r="T1520" i="9"/>
  <c r="V1519" i="9" a="1"/>
  <c r="W1519" i="9" s="1"/>
  <c r="U1519" i="9"/>
  <c r="T1519" i="9"/>
  <c r="V1518" i="9" a="1"/>
  <c r="W1518" i="9" s="1"/>
  <c r="U1518" i="9"/>
  <c r="T1518" i="9"/>
  <c r="V1517" i="9" a="1"/>
  <c r="W1517" i="9" s="1"/>
  <c r="U1517" i="9"/>
  <c r="T1517" i="9"/>
  <c r="V1516" i="9" a="1"/>
  <c r="W1516" i="9" s="1"/>
  <c r="U1516" i="9"/>
  <c r="T1516" i="9"/>
  <c r="V1515" i="9" a="1"/>
  <c r="W1515" i="9" s="1"/>
  <c r="U1515" i="9"/>
  <c r="T1515" i="9"/>
  <c r="V1514" i="9" a="1"/>
  <c r="W1514" i="9" s="1"/>
  <c r="U1514" i="9"/>
  <c r="T1514" i="9"/>
  <c r="V1513" i="9" a="1"/>
  <c r="W1513" i="9" s="1"/>
  <c r="U1513" i="9"/>
  <c r="T1513" i="9"/>
  <c r="V1512" i="9" a="1"/>
  <c r="W1512" i="9" s="1"/>
  <c r="U1512" i="9"/>
  <c r="T1512" i="9"/>
  <c r="V1511" i="9" a="1"/>
  <c r="W1511" i="9" s="1"/>
  <c r="U1511" i="9"/>
  <c r="T1511" i="9"/>
  <c r="V1510" i="9" a="1"/>
  <c r="W1510" i="9" s="1"/>
  <c r="U1510" i="9"/>
  <c r="T1510" i="9"/>
  <c r="V1509" i="9" a="1"/>
  <c r="W1509" i="9" s="1"/>
  <c r="U1509" i="9"/>
  <c r="T1509" i="9"/>
  <c r="V1508" i="9" a="1"/>
  <c r="W1508" i="9" s="1"/>
  <c r="U1508" i="9"/>
  <c r="T1508" i="9"/>
  <c r="V1507" i="9" a="1"/>
  <c r="W1507" i="9" s="1"/>
  <c r="U1507" i="9"/>
  <c r="T1507" i="9"/>
  <c r="V1506" i="9" a="1"/>
  <c r="W1506" i="9" s="1"/>
  <c r="U1506" i="9"/>
  <c r="T1506" i="9"/>
  <c r="V1505" i="9" a="1"/>
  <c r="W1505" i="9" s="1"/>
  <c r="U1505" i="9"/>
  <c r="T1505" i="9"/>
  <c r="V1504" i="9" a="1"/>
  <c r="W1504" i="9" s="1"/>
  <c r="U1504" i="9"/>
  <c r="T1504" i="9"/>
  <c r="V1503" i="9" a="1"/>
  <c r="W1503" i="9" s="1"/>
  <c r="U1503" i="9"/>
  <c r="T1503" i="9"/>
  <c r="V1502" i="9" a="1"/>
  <c r="W1502" i="9" s="1"/>
  <c r="U1502" i="9"/>
  <c r="T1502" i="9"/>
  <c r="V1501" i="9" a="1"/>
  <c r="W1501" i="9" s="1"/>
  <c r="U1501" i="9"/>
  <c r="T1501" i="9"/>
  <c r="V1500" i="9" a="1"/>
  <c r="W1500" i="9" s="1"/>
  <c r="U1500" i="9"/>
  <c r="T1500" i="9"/>
  <c r="V1499" i="9" a="1"/>
  <c r="W1499" i="9" s="1"/>
  <c r="U1499" i="9"/>
  <c r="T1499" i="9"/>
  <c r="V1498" i="9" a="1"/>
  <c r="W1498" i="9" s="1"/>
  <c r="U1498" i="9"/>
  <c r="T1498" i="9"/>
  <c r="V1497" i="9" a="1"/>
  <c r="W1497" i="9" s="1"/>
  <c r="U1497" i="9"/>
  <c r="T1497" i="9"/>
  <c r="V1496" i="9" a="1"/>
  <c r="W1496" i="9" s="1"/>
  <c r="U1496" i="9"/>
  <c r="T1496" i="9"/>
  <c r="V1495" i="9" a="1"/>
  <c r="W1495" i="9" s="1"/>
  <c r="U1495" i="9"/>
  <c r="T1495" i="9"/>
  <c r="V1494" i="9" a="1"/>
  <c r="W1494" i="9" s="1"/>
  <c r="U1494" i="9"/>
  <c r="T1494" i="9"/>
  <c r="V1493" i="9" a="1"/>
  <c r="W1493" i="9" s="1"/>
  <c r="U1493" i="9"/>
  <c r="T1493" i="9"/>
  <c r="V1492" i="9" a="1"/>
  <c r="W1492" i="9" s="1"/>
  <c r="U1492" i="9"/>
  <c r="T1492" i="9"/>
  <c r="V1491" i="9" a="1"/>
  <c r="W1491" i="9" s="1"/>
  <c r="U1491" i="9"/>
  <c r="T1491" i="9"/>
  <c r="V1490" i="9" a="1"/>
  <c r="W1490" i="9" s="1"/>
  <c r="U1490" i="9"/>
  <c r="T1490" i="9"/>
  <c r="V1489" i="9" a="1"/>
  <c r="W1489" i="9" s="1"/>
  <c r="U1489" i="9"/>
  <c r="T1489" i="9"/>
  <c r="V1488" i="9" a="1"/>
  <c r="W1488" i="9" s="1"/>
  <c r="U1488" i="9"/>
  <c r="T1488" i="9"/>
  <c r="V1487" i="9" a="1"/>
  <c r="W1487" i="9" s="1"/>
  <c r="U1487" i="9"/>
  <c r="T1487" i="9"/>
  <c r="V1486" i="9" a="1"/>
  <c r="W1486" i="9" s="1"/>
  <c r="U1486" i="9"/>
  <c r="T1486" i="9"/>
  <c r="V1485" i="9" a="1"/>
  <c r="W1485" i="9" s="1"/>
  <c r="U1485" i="9"/>
  <c r="T1485" i="9"/>
  <c r="V1484" i="9" a="1"/>
  <c r="W1484" i="9" s="1"/>
  <c r="U1484" i="9"/>
  <c r="T1484" i="9"/>
  <c r="V1483" i="9" a="1"/>
  <c r="W1483" i="9" s="1"/>
  <c r="U1483" i="9"/>
  <c r="T1483" i="9"/>
  <c r="V1482" i="9" a="1"/>
  <c r="W1482" i="9" s="1"/>
  <c r="U1482" i="9"/>
  <c r="T1482" i="9"/>
  <c r="V1481" i="9" a="1"/>
  <c r="W1481" i="9" s="1"/>
  <c r="U1481" i="9"/>
  <c r="T1481" i="9"/>
  <c r="V1480" i="9" a="1"/>
  <c r="W1480" i="9" s="1"/>
  <c r="U1480" i="9"/>
  <c r="T1480" i="9"/>
  <c r="V1479" i="9" a="1"/>
  <c r="W1479" i="9" s="1"/>
  <c r="U1479" i="9"/>
  <c r="T1479" i="9"/>
  <c r="V1478" i="9" a="1"/>
  <c r="W1478" i="9" s="1"/>
  <c r="U1478" i="9"/>
  <c r="T1478" i="9"/>
  <c r="V1477" i="9" a="1"/>
  <c r="W1477" i="9" s="1"/>
  <c r="U1477" i="9"/>
  <c r="T1477" i="9"/>
  <c r="V1476" i="9" a="1"/>
  <c r="W1476" i="9" s="1"/>
  <c r="U1476" i="9"/>
  <c r="T1476" i="9"/>
  <c r="V1475" i="9" a="1"/>
  <c r="W1475" i="9" s="1"/>
  <c r="U1475" i="9"/>
  <c r="T1475" i="9"/>
  <c r="V1474" i="9" a="1"/>
  <c r="W1474" i="9" s="1"/>
  <c r="U1474" i="9"/>
  <c r="T1474" i="9"/>
  <c r="V1473" i="9" a="1"/>
  <c r="W1473" i="9" s="1"/>
  <c r="U1473" i="9"/>
  <c r="T1473" i="9"/>
  <c r="U1359" i="9"/>
  <c r="T1359" i="9"/>
  <c r="V1358" i="9" a="1"/>
  <c r="W1358" i="9" s="1"/>
  <c r="U1358" i="9"/>
  <c r="T1358" i="9"/>
  <c r="V1357" i="9" a="1"/>
  <c r="W1357" i="9" s="1"/>
  <c r="U1357" i="9"/>
  <c r="T1357" i="9"/>
  <c r="V1356" i="9" a="1"/>
  <c r="W1356" i="9" s="1"/>
  <c r="U1356" i="9"/>
  <c r="T1356" i="9"/>
  <c r="V1355" i="9" a="1"/>
  <c r="W1355" i="9" s="1"/>
  <c r="U1355" i="9"/>
  <c r="T1355" i="9"/>
  <c r="V1354" i="9" a="1"/>
  <c r="W1354" i="9" s="1"/>
  <c r="U1354" i="9"/>
  <c r="T1354" i="9"/>
  <c r="V1353" i="9" a="1"/>
  <c r="W1353" i="9" s="1"/>
  <c r="U1353" i="9"/>
  <c r="T1353" i="9"/>
  <c r="V1352" i="9" a="1"/>
  <c r="W1352" i="9" s="1"/>
  <c r="U1352" i="9"/>
  <c r="T1352" i="9"/>
  <c r="V1351" i="9" a="1"/>
  <c r="W1351" i="9" s="1"/>
  <c r="U1351" i="9"/>
  <c r="T1351" i="9"/>
  <c r="V1350" i="9" a="1"/>
  <c r="W1350" i="9" s="1"/>
  <c r="U1350" i="9"/>
  <c r="T1350" i="9"/>
  <c r="V1349" i="9" a="1"/>
  <c r="W1349" i="9" s="1"/>
  <c r="U1349" i="9"/>
  <c r="T1349" i="9"/>
  <c r="V1348" i="9" a="1"/>
  <c r="W1348" i="9" s="1"/>
  <c r="U1348" i="9"/>
  <c r="T1348" i="9"/>
  <c r="V1347" i="9" a="1"/>
  <c r="W1347" i="9" s="1"/>
  <c r="U1347" i="9"/>
  <c r="T1347" i="9"/>
  <c r="V1346" i="9" a="1"/>
  <c r="W1346" i="9" s="1"/>
  <c r="U1346" i="9"/>
  <c r="T1346" i="9"/>
  <c r="V1345" i="9" a="1"/>
  <c r="W1345" i="9" s="1"/>
  <c r="U1345" i="9"/>
  <c r="T1345" i="9"/>
  <c r="V1344" i="9" a="1"/>
  <c r="W1344" i="9" s="1"/>
  <c r="U1344" i="9"/>
  <c r="T1344" i="9"/>
  <c r="V1343" i="9" a="1"/>
  <c r="W1343" i="9" s="1"/>
  <c r="U1343" i="9"/>
  <c r="T1343" i="9"/>
  <c r="V1342" i="9" a="1"/>
  <c r="W1342" i="9" s="1"/>
  <c r="U1342" i="9"/>
  <c r="T1342" i="9"/>
  <c r="V1341" i="9" a="1"/>
  <c r="W1341" i="9" s="1"/>
  <c r="U1341" i="9"/>
  <c r="T1341" i="9"/>
  <c r="V1340" i="9" a="1"/>
  <c r="W1340" i="9" s="1"/>
  <c r="U1340" i="9"/>
  <c r="T1340" i="9"/>
  <c r="V1339" i="9" a="1"/>
  <c r="W1339" i="9" s="1"/>
  <c r="U1339" i="9"/>
  <c r="T1339" i="9"/>
  <c r="V1338" i="9" a="1"/>
  <c r="W1338" i="9" s="1"/>
  <c r="U1338" i="9"/>
  <c r="T1338" i="9"/>
  <c r="V1337" i="9" a="1"/>
  <c r="W1337" i="9" s="1"/>
  <c r="U1337" i="9"/>
  <c r="T1337" i="9"/>
  <c r="V1336" i="9" a="1"/>
  <c r="W1336" i="9" s="1"/>
  <c r="U1336" i="9"/>
  <c r="T1336" i="9"/>
  <c r="V1335" i="9" a="1"/>
  <c r="W1335" i="9" s="1"/>
  <c r="U1335" i="9"/>
  <c r="T1335" i="9"/>
  <c r="V1334" i="9" a="1"/>
  <c r="W1334" i="9" s="1"/>
  <c r="U1334" i="9"/>
  <c r="T1334" i="9"/>
  <c r="V1333" i="9" a="1"/>
  <c r="W1333" i="9" s="1"/>
  <c r="U1333" i="9"/>
  <c r="T1333" i="9"/>
  <c r="V1332" i="9" a="1"/>
  <c r="W1332" i="9" s="1"/>
  <c r="U1332" i="9"/>
  <c r="T1332" i="9"/>
  <c r="V1331" i="9" a="1"/>
  <c r="W1331" i="9" s="1"/>
  <c r="U1331" i="9"/>
  <c r="T1331" i="9"/>
  <c r="V1330" i="9" a="1"/>
  <c r="W1330" i="9" s="1"/>
  <c r="U1330" i="9"/>
  <c r="T1330" i="9"/>
  <c r="V1329" i="9" a="1"/>
  <c r="W1329" i="9" s="1"/>
  <c r="U1329" i="9"/>
  <c r="T1329" i="9"/>
  <c r="V1328" i="9" a="1"/>
  <c r="W1328" i="9" s="1"/>
  <c r="U1328" i="9"/>
  <c r="T1328" i="9"/>
  <c r="V1327" i="9" a="1"/>
  <c r="W1327" i="9" s="1"/>
  <c r="U1327" i="9"/>
  <c r="T1327" i="9"/>
  <c r="V1326" i="9" a="1"/>
  <c r="W1326" i="9" s="1"/>
  <c r="U1326" i="9"/>
  <c r="T1326" i="9"/>
  <c r="V1325" i="9" a="1"/>
  <c r="W1325" i="9" s="1"/>
  <c r="U1325" i="9"/>
  <c r="T1325" i="9"/>
  <c r="V1324" i="9" a="1"/>
  <c r="W1324" i="9" s="1"/>
  <c r="U1324" i="9"/>
  <c r="T1324" i="9"/>
  <c r="V1323" i="9" a="1"/>
  <c r="W1323" i="9" s="1"/>
  <c r="U1323" i="9"/>
  <c r="T1323" i="9"/>
  <c r="V1322" i="9" a="1"/>
  <c r="W1322" i="9" s="1"/>
  <c r="U1322" i="9"/>
  <c r="T1322" i="9"/>
  <c r="V1321" i="9" a="1"/>
  <c r="W1321" i="9" s="1"/>
  <c r="U1321" i="9"/>
  <c r="T1321" i="9"/>
  <c r="V1320" i="9" a="1"/>
  <c r="W1320" i="9" s="1"/>
  <c r="U1320" i="9"/>
  <c r="T1320" i="9"/>
  <c r="V1319" i="9" a="1"/>
  <c r="W1319" i="9" s="1"/>
  <c r="U1319" i="9"/>
  <c r="T1319" i="9"/>
  <c r="V1318" i="9" a="1"/>
  <c r="W1318" i="9" s="1"/>
  <c r="U1318" i="9"/>
  <c r="T1318" i="9"/>
  <c r="V1317" i="9" a="1"/>
  <c r="W1317" i="9" s="1"/>
  <c r="U1317" i="9"/>
  <c r="T1317" i="9"/>
  <c r="V1316" i="9" a="1"/>
  <c r="W1316" i="9" s="1"/>
  <c r="U1316" i="9"/>
  <c r="T1316" i="9"/>
  <c r="V1315" i="9" a="1"/>
  <c r="W1315" i="9" s="1"/>
  <c r="U1315" i="9"/>
  <c r="T1315" i="9"/>
  <c r="V1314" i="9" a="1"/>
  <c r="W1314" i="9" s="1"/>
  <c r="U1314" i="9"/>
  <c r="T1314" i="9"/>
  <c r="V1313" i="9" a="1"/>
  <c r="W1313" i="9" s="1"/>
  <c r="U1313" i="9"/>
  <c r="T1313" i="9"/>
  <c r="V1312" i="9" a="1"/>
  <c r="W1312" i="9" s="1"/>
  <c r="U1312" i="9"/>
  <c r="T1312" i="9"/>
  <c r="V1311" i="9" a="1"/>
  <c r="W1311" i="9" s="1"/>
  <c r="U1311" i="9"/>
  <c r="T1311" i="9"/>
  <c r="V1310" i="9" a="1"/>
  <c r="W1310" i="9" s="1"/>
  <c r="U1310" i="9"/>
  <c r="T1310" i="9"/>
  <c r="V1309" i="9" a="1"/>
  <c r="W1309" i="9" s="1"/>
  <c r="U1309" i="9"/>
  <c r="T1309" i="9"/>
  <c r="V1308" i="9" a="1"/>
  <c r="W1308" i="9" s="1"/>
  <c r="U1308" i="9"/>
  <c r="T1308" i="9"/>
  <c r="V1307" i="9" a="1"/>
  <c r="W1307" i="9" s="1"/>
  <c r="U1307" i="9"/>
  <c r="T1307" i="9"/>
  <c r="V1306" i="9" a="1"/>
  <c r="W1306" i="9" s="1"/>
  <c r="U1306" i="9"/>
  <c r="T1306" i="9"/>
  <c r="V1305" i="9" a="1"/>
  <c r="W1305" i="9" s="1"/>
  <c r="U1305" i="9"/>
  <c r="T1305" i="9"/>
  <c r="V1304" i="9" a="1"/>
  <c r="W1304" i="9" s="1"/>
  <c r="U1304" i="9"/>
  <c r="T1304" i="9"/>
  <c r="V1303" i="9" a="1"/>
  <c r="W1303" i="9" s="1"/>
  <c r="U1303" i="9"/>
  <c r="T1303" i="9"/>
  <c r="V1302" i="9" a="1"/>
  <c r="W1302" i="9" s="1"/>
  <c r="U1302" i="9"/>
  <c r="T1302" i="9"/>
  <c r="V1301" i="9" a="1"/>
  <c r="W1301" i="9" s="1"/>
  <c r="U1301" i="9"/>
  <c r="T1301" i="9"/>
  <c r="V1300" i="9" a="1"/>
  <c r="W1300" i="9" s="1"/>
  <c r="U1300" i="9"/>
  <c r="T1300" i="9"/>
  <c r="V1299" i="9" a="1"/>
  <c r="W1299" i="9" s="1"/>
  <c r="U1299" i="9"/>
  <c r="T1299" i="9"/>
  <c r="V1298" i="9" a="1"/>
  <c r="W1298" i="9" s="1"/>
  <c r="U1298" i="9"/>
  <c r="T1298" i="9"/>
  <c r="V1297" i="9" a="1"/>
  <c r="W1297" i="9" s="1"/>
  <c r="U1297" i="9"/>
  <c r="T1297" i="9"/>
  <c r="V1296" i="9" a="1"/>
  <c r="W1296" i="9" s="1"/>
  <c r="U1296" i="9"/>
  <c r="T1296" i="9"/>
  <c r="V1295" i="9" a="1"/>
  <c r="W1295" i="9" s="1"/>
  <c r="U1295" i="9"/>
  <c r="T1295" i="9"/>
  <c r="V1294" i="9" a="1"/>
  <c r="W1294" i="9" s="1"/>
  <c r="U1294" i="9"/>
  <c r="T1294" i="9"/>
  <c r="V1293" i="9" a="1"/>
  <c r="W1293" i="9" s="1"/>
  <c r="U1293" i="9"/>
  <c r="T1293" i="9"/>
  <c r="V1292" i="9" a="1"/>
  <c r="W1292" i="9" s="1"/>
  <c r="U1292" i="9"/>
  <c r="T1292" i="9"/>
  <c r="V1291" i="9" a="1"/>
  <c r="W1291" i="9" s="1"/>
  <c r="U1291" i="9"/>
  <c r="T1291" i="9"/>
  <c r="V1290" i="9" a="1"/>
  <c r="W1290" i="9" s="1"/>
  <c r="U1290" i="9"/>
  <c r="T1290" i="9"/>
  <c r="V1289" i="9" a="1"/>
  <c r="W1289" i="9" s="1"/>
  <c r="U1289" i="9"/>
  <c r="T1289" i="9"/>
  <c r="V1288" i="9" a="1"/>
  <c r="W1288" i="9" s="1"/>
  <c r="U1288" i="9"/>
  <c r="T1288" i="9"/>
  <c r="V1287" i="9" a="1"/>
  <c r="W1287" i="9" s="1"/>
  <c r="U1287" i="9"/>
  <c r="T1287" i="9"/>
  <c r="V1286" i="9" a="1"/>
  <c r="W1286" i="9" s="1"/>
  <c r="U1286" i="9"/>
  <c r="T1286" i="9"/>
  <c r="V1285" i="9" a="1"/>
  <c r="W1285" i="9" s="1"/>
  <c r="U1285" i="9"/>
  <c r="T1285" i="9"/>
  <c r="V1284" i="9" a="1"/>
  <c r="W1284" i="9" s="1"/>
  <c r="U1284" i="9"/>
  <c r="T1284" i="9"/>
  <c r="V1283" i="9" a="1"/>
  <c r="W1283" i="9" s="1"/>
  <c r="U1283" i="9"/>
  <c r="T1283" i="9"/>
  <c r="V1282" i="9" a="1"/>
  <c r="W1282" i="9" s="1"/>
  <c r="U1282" i="9"/>
  <c r="T1282" i="9"/>
  <c r="V1281" i="9" a="1"/>
  <c r="W1281" i="9" s="1"/>
  <c r="U1281" i="9"/>
  <c r="T1281" i="9"/>
  <c r="V1280" i="9" a="1"/>
  <c r="W1280" i="9" s="1"/>
  <c r="U1280" i="9"/>
  <c r="T1280" i="9"/>
  <c r="V1279" i="9" a="1"/>
  <c r="W1279" i="9" s="1"/>
  <c r="U1279" i="9"/>
  <c r="T1279" i="9"/>
  <c r="V1278" i="9" a="1"/>
  <c r="W1278" i="9" s="1"/>
  <c r="U1278" i="9"/>
  <c r="T1278" i="9"/>
  <c r="V1277" i="9" a="1"/>
  <c r="W1277" i="9" s="1"/>
  <c r="U1277" i="9"/>
  <c r="T1277" i="9"/>
  <c r="V1276" i="9" a="1"/>
  <c r="W1276" i="9" s="1"/>
  <c r="U1276" i="9"/>
  <c r="T1276" i="9"/>
  <c r="V1275" i="9" a="1"/>
  <c r="W1275" i="9" s="1"/>
  <c r="U1275" i="9"/>
  <c r="T1275" i="9"/>
  <c r="V1274" i="9" a="1"/>
  <c r="W1274" i="9" s="1"/>
  <c r="U1274" i="9"/>
  <c r="T1274" i="9"/>
  <c r="V1273" i="9" a="1"/>
  <c r="W1273" i="9" s="1"/>
  <c r="U1273" i="9"/>
  <c r="T1273" i="9"/>
  <c r="V1272" i="9" a="1"/>
  <c r="W1272" i="9" s="1"/>
  <c r="U1272" i="9"/>
  <c r="T1272" i="9"/>
  <c r="V1271" i="9" a="1"/>
  <c r="W1271" i="9" s="1"/>
  <c r="U1271" i="9"/>
  <c r="T1271" i="9"/>
  <c r="V1270" i="9" a="1"/>
  <c r="W1270" i="9" s="1"/>
  <c r="U1270" i="9"/>
  <c r="T1270" i="9"/>
  <c r="V1269" i="9" a="1"/>
  <c r="W1269" i="9" s="1"/>
  <c r="U1269" i="9"/>
  <c r="T1269" i="9"/>
  <c r="V1268" i="9" a="1"/>
  <c r="W1268" i="9" s="1"/>
  <c r="U1268" i="9"/>
  <c r="T1268" i="9"/>
  <c r="V1267" i="9" a="1"/>
  <c r="W1267" i="9" s="1"/>
  <c r="U1267" i="9"/>
  <c r="T1267" i="9"/>
  <c r="V1266" i="9" a="1"/>
  <c r="W1266" i="9" s="1"/>
  <c r="U1266" i="9"/>
  <c r="T1266" i="9"/>
  <c r="V1265" i="9" a="1"/>
  <c r="W1265" i="9" s="1"/>
  <c r="U1265" i="9"/>
  <c r="T1265" i="9"/>
  <c r="V1264" i="9" a="1"/>
  <c r="W1264" i="9" s="1"/>
  <c r="U1264" i="9"/>
  <c r="T1264" i="9"/>
  <c r="V1263" i="9" a="1"/>
  <c r="W1263" i="9" s="1"/>
  <c r="U1263" i="9"/>
  <c r="T1263" i="9"/>
  <c r="V1262" i="9" a="1"/>
  <c r="W1262" i="9" s="1"/>
  <c r="U1262" i="9"/>
  <c r="T1262" i="9"/>
  <c r="V1261" i="9" a="1"/>
  <c r="W1261" i="9" s="1"/>
  <c r="U1261" i="9"/>
  <c r="T1261" i="9"/>
  <c r="V1260" i="9" a="1"/>
  <c r="W1260" i="9" s="1"/>
  <c r="U1260" i="9"/>
  <c r="T1260" i="9"/>
  <c r="V1259" i="9" a="1"/>
  <c r="W1259" i="9" s="1"/>
  <c r="U1259" i="9"/>
  <c r="T1259" i="9"/>
  <c r="V1258" i="9" a="1"/>
  <c r="W1258" i="9" s="1"/>
  <c r="U1258" i="9"/>
  <c r="T1258" i="9"/>
  <c r="V1257" i="9" a="1"/>
  <c r="W1257" i="9" s="1"/>
  <c r="U1257" i="9"/>
  <c r="T1257" i="9"/>
  <c r="V1256" i="9" a="1"/>
  <c r="W1256" i="9" s="1"/>
  <c r="U1256" i="9"/>
  <c r="T1256" i="9"/>
  <c r="V1255" i="9" a="1"/>
  <c r="W1255" i="9" s="1"/>
  <c r="U1255" i="9"/>
  <c r="T1255" i="9"/>
  <c r="V1254" i="9" a="1"/>
  <c r="W1254" i="9" s="1"/>
  <c r="U1254" i="9"/>
  <c r="T1254" i="9"/>
  <c r="V1253" i="9" a="1"/>
  <c r="W1253" i="9" s="1"/>
  <c r="U1253" i="9"/>
  <c r="T1253" i="9"/>
  <c r="V1252" i="9" a="1"/>
  <c r="W1252" i="9" s="1"/>
  <c r="U1252" i="9"/>
  <c r="T1252" i="9"/>
  <c r="V1251" i="9" a="1"/>
  <c r="W1251" i="9" s="1"/>
  <c r="U1251" i="9"/>
  <c r="T1251" i="9"/>
  <c r="V1250" i="9" a="1"/>
  <c r="W1250" i="9" s="1"/>
  <c r="U1250" i="9"/>
  <c r="T1250" i="9"/>
  <c r="V1249" i="9" a="1"/>
  <c r="W1249" i="9" s="1"/>
  <c r="U1249" i="9"/>
  <c r="T1249" i="9"/>
  <c r="V1248" i="9" a="1"/>
  <c r="W1248" i="9" s="1"/>
  <c r="U1248" i="9"/>
  <c r="T1248" i="9"/>
  <c r="V1247" i="9" a="1"/>
  <c r="W1247" i="9" s="1"/>
  <c r="U1247" i="9"/>
  <c r="T1247" i="9"/>
  <c r="V1246" i="9" a="1"/>
  <c r="W1246" i="9" s="1"/>
  <c r="U1246" i="9"/>
  <c r="T1246" i="9"/>
  <c r="V1245" i="9" a="1"/>
  <c r="W1245" i="9" s="1"/>
  <c r="U1245" i="9"/>
  <c r="T1245" i="9"/>
  <c r="V1244" i="9" a="1"/>
  <c r="W1244" i="9" s="1"/>
  <c r="U1244" i="9"/>
  <c r="T1244" i="9"/>
  <c r="V1243" i="9" a="1"/>
  <c r="W1243" i="9" s="1"/>
  <c r="U1243" i="9"/>
  <c r="T1243" i="9"/>
  <c r="V1242" i="9" a="1"/>
  <c r="W1242" i="9" s="1"/>
  <c r="U1242" i="9"/>
  <c r="T1242" i="9"/>
  <c r="V1241" i="9" a="1"/>
  <c r="W1241" i="9" s="1"/>
  <c r="U1241" i="9"/>
  <c r="T1241" i="9"/>
  <c r="V1240" i="9" a="1"/>
  <c r="W1240" i="9" s="1"/>
  <c r="U1240" i="9"/>
  <c r="T1240" i="9"/>
  <c r="V1239" i="9" a="1"/>
  <c r="W1239" i="9" s="1"/>
  <c r="U1239" i="9"/>
  <c r="T1239" i="9"/>
  <c r="V1238" i="9" a="1"/>
  <c r="W1238" i="9" s="1"/>
  <c r="U1238" i="9"/>
  <c r="T1238" i="9"/>
  <c r="V1237" i="9" a="1"/>
  <c r="W1237" i="9" s="1"/>
  <c r="U1237" i="9"/>
  <c r="T1237" i="9"/>
  <c r="V1236" i="9" a="1"/>
  <c r="W1236" i="9" s="1"/>
  <c r="U1236" i="9"/>
  <c r="T1236" i="9"/>
  <c r="V1235" i="9" a="1"/>
  <c r="W1235" i="9" s="1"/>
  <c r="U1235" i="9"/>
  <c r="T1235" i="9"/>
  <c r="V1234" i="9" a="1"/>
  <c r="W1234" i="9" s="1"/>
  <c r="U1234" i="9"/>
  <c r="T1234" i="9"/>
  <c r="V1233" i="9" a="1"/>
  <c r="W1233" i="9" s="1"/>
  <c r="U1233" i="9"/>
  <c r="T1233" i="9"/>
  <c r="V1232" i="9" a="1"/>
  <c r="W1232" i="9" s="1"/>
  <c r="U1232" i="9"/>
  <c r="T1232" i="9"/>
  <c r="V1231" i="9" a="1"/>
  <c r="W1231" i="9" s="1"/>
  <c r="U1231" i="9"/>
  <c r="T1231" i="9"/>
  <c r="V1230" i="9" a="1"/>
  <c r="W1230" i="9" s="1"/>
  <c r="U1230" i="9"/>
  <c r="T1230" i="9"/>
  <c r="V1229" i="9" a="1"/>
  <c r="W1229" i="9" s="1"/>
  <c r="U1229" i="9"/>
  <c r="T1229" i="9"/>
  <c r="V1228" i="9" a="1"/>
  <c r="W1228" i="9" s="1"/>
  <c r="U1228" i="9"/>
  <c r="T1228" i="9"/>
  <c r="V1227" i="9" a="1"/>
  <c r="W1227" i="9" s="1"/>
  <c r="U1227" i="9"/>
  <c r="T1227" i="9"/>
  <c r="V1226" i="9" a="1"/>
  <c r="W1226" i="9" s="1"/>
  <c r="U1226" i="9"/>
  <c r="T1226" i="9"/>
  <c r="V1225" i="9" a="1"/>
  <c r="W1225" i="9" s="1"/>
  <c r="U1225" i="9"/>
  <c r="T1225" i="9"/>
  <c r="V1224" i="9" a="1"/>
  <c r="W1224" i="9" s="1"/>
  <c r="U1224" i="9"/>
  <c r="T1224" i="9"/>
  <c r="V1223" i="9" a="1"/>
  <c r="W1223" i="9" s="1"/>
  <c r="U1223" i="9"/>
  <c r="T1223" i="9"/>
  <c r="V1222" i="9" a="1"/>
  <c r="W1222" i="9" s="1"/>
  <c r="U1222" i="9"/>
  <c r="T1222" i="9"/>
  <c r="V1221" i="9" a="1"/>
  <c r="W1221" i="9" s="1"/>
  <c r="U1221" i="9"/>
  <c r="T1221" i="9"/>
  <c r="V1220" i="9" a="1"/>
  <c r="W1220" i="9" s="1"/>
  <c r="U1220" i="9"/>
  <c r="T1220" i="9"/>
  <c r="V1219" i="9" a="1"/>
  <c r="W1219" i="9" s="1"/>
  <c r="U1219" i="9"/>
  <c r="T1219" i="9"/>
  <c r="V1218" i="9" a="1"/>
  <c r="W1218" i="9" s="1"/>
  <c r="U1218" i="9"/>
  <c r="T1218" i="9"/>
  <c r="V1217" i="9" a="1"/>
  <c r="W1217" i="9" s="1"/>
  <c r="U1217" i="9"/>
  <c r="T1217" i="9"/>
  <c r="V1216" i="9" a="1"/>
  <c r="W1216" i="9" s="1"/>
  <c r="U1216" i="9"/>
  <c r="T1216" i="9"/>
  <c r="V1215" i="9" a="1"/>
  <c r="W1215" i="9" s="1"/>
  <c r="U1215" i="9"/>
  <c r="T1215" i="9"/>
  <c r="V1214" i="9" a="1"/>
  <c r="W1214" i="9" s="1"/>
  <c r="U1214" i="9"/>
  <c r="T1214" i="9"/>
  <c r="V1213" i="9" a="1"/>
  <c r="W1213" i="9" s="1"/>
  <c r="U1213" i="9"/>
  <c r="T1213" i="9"/>
  <c r="V1212" i="9" a="1"/>
  <c r="W1212" i="9" s="1"/>
  <c r="U1212" i="9"/>
  <c r="T1212" i="9"/>
  <c r="V1211" i="9" a="1"/>
  <c r="W1211" i="9" s="1"/>
  <c r="U1211" i="9"/>
  <c r="T1211" i="9"/>
  <c r="V1210" i="9" a="1"/>
  <c r="W1210" i="9" s="1"/>
  <c r="U1210" i="9"/>
  <c r="T1210" i="9"/>
  <c r="V1209" i="9" a="1"/>
  <c r="W1209" i="9" s="1"/>
  <c r="U1209" i="9"/>
  <c r="T1209" i="9"/>
  <c r="V1208" i="9" a="1"/>
  <c r="W1208" i="9" s="1"/>
  <c r="U1208" i="9"/>
  <c r="T1208" i="9"/>
  <c r="V1207" i="9" a="1"/>
  <c r="W1207" i="9" s="1"/>
  <c r="U1207" i="9"/>
  <c r="T1207" i="9"/>
  <c r="V1206" i="9" a="1"/>
  <c r="W1206" i="9" s="1"/>
  <c r="U1206" i="9"/>
  <c r="T1206" i="9"/>
  <c r="V1205" i="9" a="1"/>
  <c r="W1205" i="9" s="1"/>
  <c r="U1205" i="9"/>
  <c r="T1205" i="9"/>
  <c r="V1204" i="9" a="1"/>
  <c r="W1204" i="9" s="1"/>
  <c r="U1204" i="9"/>
  <c r="T1204" i="9"/>
  <c r="V1203" i="9" a="1"/>
  <c r="W1203" i="9" s="1"/>
  <c r="U1203" i="9"/>
  <c r="T1203" i="9"/>
  <c r="V1202" i="9" a="1"/>
  <c r="W1202" i="9" s="1"/>
  <c r="U1202" i="9"/>
  <c r="T1202" i="9"/>
  <c r="V1201" i="9" a="1"/>
  <c r="W1201" i="9" s="1"/>
  <c r="U1201" i="9"/>
  <c r="T1201" i="9"/>
  <c r="V1200" i="9" a="1"/>
  <c r="W1200" i="9" s="1"/>
  <c r="U1200" i="9"/>
  <c r="T1200" i="9"/>
  <c r="V1199" i="9" a="1"/>
  <c r="W1199" i="9" s="1"/>
  <c r="U1199" i="9"/>
  <c r="T1199" i="9"/>
  <c r="V1198" i="9" a="1"/>
  <c r="W1198" i="9" s="1"/>
  <c r="U1198" i="9"/>
  <c r="T1198" i="9"/>
  <c r="V1197" i="9" a="1"/>
  <c r="W1197" i="9" s="1"/>
  <c r="U1197" i="9"/>
  <c r="T1197" i="9"/>
  <c r="V1196" i="9" a="1"/>
  <c r="W1196" i="9" s="1"/>
  <c r="U1196" i="9"/>
  <c r="T1196" i="9"/>
  <c r="V1195" i="9" a="1"/>
  <c r="W1195" i="9" s="1"/>
  <c r="U1195" i="9"/>
  <c r="T1195" i="9"/>
  <c r="V1194" i="9" a="1"/>
  <c r="W1194" i="9" s="1"/>
  <c r="U1194" i="9"/>
  <c r="T1194" i="9"/>
  <c r="V1193" i="9" a="1"/>
  <c r="W1193" i="9" s="1"/>
  <c r="U1193" i="9"/>
  <c r="T1193" i="9"/>
  <c r="V1192" i="9" a="1"/>
  <c r="W1192" i="9" s="1"/>
  <c r="U1192" i="9"/>
  <c r="T1192" i="9"/>
  <c r="V1191" i="9" a="1"/>
  <c r="W1191" i="9" s="1"/>
  <c r="U1191" i="9"/>
  <c r="T1191" i="9"/>
  <c r="V1190" i="9" a="1"/>
  <c r="W1190" i="9" s="1"/>
  <c r="U1190" i="9"/>
  <c r="T1190" i="9"/>
  <c r="V1189" i="9" a="1"/>
  <c r="W1189" i="9" s="1"/>
  <c r="U1189" i="9"/>
  <c r="T1189" i="9"/>
  <c r="V1188" i="9" a="1"/>
  <c r="W1188" i="9" s="1"/>
  <c r="U1188" i="9"/>
  <c r="T1188" i="9"/>
  <c r="V1187" i="9" a="1"/>
  <c r="W1187" i="9" s="1"/>
  <c r="U1187" i="9"/>
  <c r="T1187" i="9"/>
  <c r="V1186" i="9" a="1"/>
  <c r="W1186" i="9" s="1"/>
  <c r="U1186" i="9"/>
  <c r="T1186" i="9"/>
  <c r="V1185" i="9" a="1"/>
  <c r="W1185" i="9" s="1"/>
  <c r="U1185" i="9"/>
  <c r="T1185" i="9"/>
  <c r="V1184" i="9" a="1"/>
  <c r="W1184" i="9" s="1"/>
  <c r="U1184" i="9"/>
  <c r="T1184" i="9"/>
  <c r="V1183" i="9" a="1"/>
  <c r="W1183" i="9" s="1"/>
  <c r="U1183" i="9"/>
  <c r="T1183" i="9"/>
  <c r="V1182" i="9" a="1"/>
  <c r="W1182" i="9" s="1"/>
  <c r="U1182" i="9"/>
  <c r="T1182" i="9"/>
  <c r="V1181" i="9" a="1"/>
  <c r="W1181" i="9" s="1"/>
  <c r="U1181" i="9"/>
  <c r="T1181" i="9"/>
  <c r="V1180" i="9" a="1"/>
  <c r="W1180" i="9" s="1"/>
  <c r="U1180" i="9"/>
  <c r="T1180" i="9"/>
  <c r="V1179" i="9" a="1"/>
  <c r="W1179" i="9" s="1"/>
  <c r="U1179" i="9"/>
  <c r="T1179" i="9"/>
  <c r="V1178" i="9" a="1"/>
  <c r="W1178" i="9" s="1"/>
  <c r="U1178" i="9"/>
  <c r="T1178" i="9"/>
  <c r="V1177" i="9" a="1"/>
  <c r="W1177" i="9" s="1"/>
  <c r="U1177" i="9"/>
  <c r="T1177" i="9"/>
  <c r="V1176" i="9" a="1"/>
  <c r="W1176" i="9" s="1"/>
  <c r="U1176" i="9"/>
  <c r="T1176" i="9"/>
  <c r="V1175" i="9" a="1"/>
  <c r="W1175" i="9" s="1"/>
  <c r="U1175" i="9"/>
  <c r="T1175" i="9"/>
  <c r="V1174" i="9" a="1"/>
  <c r="W1174" i="9" s="1"/>
  <c r="U1174" i="9"/>
  <c r="T1174" i="9"/>
  <c r="V1173" i="9" a="1"/>
  <c r="W1173" i="9" s="1"/>
  <c r="U1173" i="9"/>
  <c r="T1173" i="9"/>
  <c r="V1172" i="9" a="1"/>
  <c r="W1172" i="9" s="1"/>
  <c r="U1172" i="9"/>
  <c r="T1172" i="9"/>
  <c r="V1171" i="9" a="1"/>
  <c r="W1171" i="9" s="1"/>
  <c r="U1171" i="9"/>
  <c r="T1171" i="9"/>
  <c r="V1170" i="9" a="1"/>
  <c r="W1170" i="9" s="1"/>
  <c r="U1170" i="9"/>
  <c r="T1170" i="9"/>
  <c r="V1169" i="9" a="1"/>
  <c r="W1169" i="9" s="1"/>
  <c r="U1169" i="9"/>
  <c r="T1169" i="9"/>
  <c r="V1168" i="9" a="1"/>
  <c r="W1168" i="9" s="1"/>
  <c r="U1168" i="9"/>
  <c r="T1168" i="9"/>
  <c r="V1167" i="9" a="1"/>
  <c r="W1167" i="9" s="1"/>
  <c r="U1167" i="9"/>
  <c r="T1167" i="9"/>
  <c r="V1166" i="9" a="1"/>
  <c r="W1166" i="9" s="1"/>
  <c r="U1166" i="9"/>
  <c r="T1166" i="9"/>
  <c r="V1165" i="9" a="1"/>
  <c r="W1165" i="9" s="1"/>
  <c r="U1165" i="9"/>
  <c r="T1165" i="9"/>
  <c r="V1164" i="9" a="1"/>
  <c r="W1164" i="9" s="1"/>
  <c r="U1164" i="9"/>
  <c r="T1164" i="9"/>
  <c r="V1163" i="9" a="1"/>
  <c r="W1163" i="9" s="1"/>
  <c r="U1163" i="9"/>
  <c r="T1163" i="9"/>
  <c r="V1162" i="9" a="1"/>
  <c r="W1162" i="9" s="1"/>
  <c r="U1162" i="9"/>
  <c r="T1162" i="9"/>
  <c r="V1161" i="9" a="1"/>
  <c r="W1161" i="9" s="1"/>
  <c r="U1161" i="9"/>
  <c r="T1161" i="9"/>
  <c r="V1160" i="9" a="1"/>
  <c r="W1160" i="9" s="1"/>
  <c r="U1160" i="9"/>
  <c r="T1160" i="9"/>
  <c r="V1159" i="9" a="1"/>
  <c r="W1159" i="9" s="1"/>
  <c r="U1159" i="9"/>
  <c r="T1159" i="9"/>
  <c r="V1158" i="9" a="1"/>
  <c r="W1158" i="9" s="1"/>
  <c r="U1158" i="9"/>
  <c r="T1158" i="9"/>
  <c r="V1157" i="9" a="1"/>
  <c r="W1157" i="9" s="1"/>
  <c r="U1157" i="9"/>
  <c r="T1157" i="9"/>
  <c r="V1156" i="9" a="1"/>
  <c r="W1156" i="9" s="1"/>
  <c r="U1156" i="9"/>
  <c r="T1156" i="9"/>
  <c r="V1155" i="9" a="1"/>
  <c r="W1155" i="9" s="1"/>
  <c r="U1155" i="9"/>
  <c r="T1155" i="9"/>
  <c r="V1154" i="9" a="1"/>
  <c r="W1154" i="9" s="1"/>
  <c r="U1154" i="9"/>
  <c r="T1154" i="9"/>
  <c r="V1153" i="9" a="1"/>
  <c r="W1153" i="9" s="1"/>
  <c r="U1153" i="9"/>
  <c r="T1153" i="9"/>
  <c r="V1152" i="9" a="1"/>
  <c r="W1152" i="9" s="1"/>
  <c r="U1152" i="9"/>
  <c r="T1152" i="9"/>
  <c r="V1151" i="9" a="1"/>
  <c r="W1151" i="9" s="1"/>
  <c r="U1151" i="9"/>
  <c r="T1151" i="9"/>
  <c r="V1150" i="9" a="1"/>
  <c r="W1150" i="9" s="1"/>
  <c r="U1150" i="9"/>
  <c r="T1150" i="9"/>
  <c r="V1149" i="9" a="1"/>
  <c r="W1149" i="9" s="1"/>
  <c r="U1149" i="9"/>
  <c r="T1149" i="9"/>
  <c r="V1148" i="9" a="1"/>
  <c r="W1148" i="9" s="1"/>
  <c r="U1148" i="9"/>
  <c r="T1148" i="9"/>
  <c r="V1147" i="9" a="1"/>
  <c r="W1147" i="9" s="1"/>
  <c r="U1147" i="9"/>
  <c r="T1147" i="9"/>
  <c r="V1146" i="9" a="1"/>
  <c r="W1146" i="9" s="1"/>
  <c r="U1146" i="9"/>
  <c r="T1146" i="9"/>
  <c r="V1145" i="9" a="1"/>
  <c r="W1145" i="9" s="1"/>
  <c r="U1145" i="9"/>
  <c r="T1145" i="9"/>
  <c r="V1144" i="9" a="1"/>
  <c r="W1144" i="9" s="1"/>
  <c r="U1144" i="9"/>
  <c r="T1144" i="9"/>
  <c r="V1143" i="9" a="1"/>
  <c r="W1143" i="9" s="1"/>
  <c r="U1143" i="9"/>
  <c r="T1143" i="9"/>
  <c r="V1142" i="9" a="1"/>
  <c r="W1142" i="9" s="1"/>
  <c r="U1142" i="9"/>
  <c r="T1142" i="9"/>
  <c r="V1141" i="9" a="1"/>
  <c r="W1141" i="9" s="1"/>
  <c r="U1141" i="9"/>
  <c r="T1141" i="9"/>
  <c r="V1140" i="9" a="1"/>
  <c r="W1140" i="9" s="1"/>
  <c r="U1140" i="9"/>
  <c r="T1140" i="9"/>
  <c r="V1139" i="9" a="1"/>
  <c r="W1139" i="9" s="1"/>
  <c r="U1139" i="9"/>
  <c r="T1139" i="9"/>
  <c r="V1138" i="9" a="1"/>
  <c r="W1138" i="9" s="1"/>
  <c r="U1138" i="9"/>
  <c r="T1138" i="9"/>
  <c r="V1137" i="9" a="1"/>
  <c r="W1137" i="9" s="1"/>
  <c r="U1137" i="9"/>
  <c r="T1137" i="9"/>
  <c r="V1136" i="9" a="1"/>
  <c r="W1136" i="9" s="1"/>
  <c r="U1136" i="9"/>
  <c r="T1136" i="9"/>
  <c r="V1135" i="9" a="1"/>
  <c r="W1135" i="9" s="1"/>
  <c r="S1121" i="9" a="1"/>
  <c r="I685" i="9"/>
  <c r="I684" i="9"/>
  <c r="I683" i="9"/>
  <c r="I682" i="9"/>
  <c r="I681" i="9"/>
  <c r="I680" i="9"/>
  <c r="I679" i="9"/>
  <c r="I678" i="9"/>
  <c r="I677" i="9"/>
  <c r="I676" i="9"/>
  <c r="I675" i="9"/>
  <c r="I674" i="9"/>
  <c r="I673" i="9"/>
  <c r="I672" i="9"/>
  <c r="I671" i="9"/>
  <c r="I670" i="9"/>
  <c r="I669"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I491" i="9"/>
  <c r="I490" i="9"/>
  <c r="I489" i="9"/>
  <c r="I488" i="9"/>
  <c r="I487" i="9"/>
  <c r="I486" i="9"/>
  <c r="I485" i="9"/>
  <c r="I484" i="9"/>
  <c r="I483" i="9"/>
  <c r="I482" i="9"/>
  <c r="I481" i="9"/>
  <c r="I480" i="9"/>
  <c r="I479" i="9"/>
  <c r="I478" i="9"/>
  <c r="I477" i="9"/>
  <c r="I476" i="9"/>
  <c r="I475" i="9"/>
  <c r="I474" i="9"/>
  <c r="I473" i="9"/>
  <c r="I472" i="9"/>
  <c r="I471" i="9"/>
  <c r="I470" i="9"/>
  <c r="I469" i="9"/>
  <c r="I468" i="9"/>
  <c r="I467" i="9"/>
  <c r="I466" i="9"/>
  <c r="I465" i="9"/>
  <c r="I464" i="9"/>
  <c r="I463" i="9"/>
  <c r="I462" i="9"/>
  <c r="I461" i="9"/>
  <c r="I460" i="9"/>
  <c r="I459" i="9"/>
  <c r="I458" i="9"/>
  <c r="I457" i="9"/>
  <c r="I456" i="9"/>
  <c r="I455" i="9"/>
  <c r="I454" i="9"/>
  <c r="I453" i="9"/>
  <c r="I452" i="9"/>
  <c r="I451" i="9"/>
  <c r="I450" i="9"/>
  <c r="I449" i="9"/>
  <c r="I448" i="9"/>
  <c r="I447" i="9"/>
  <c r="I446" i="9"/>
  <c r="I445" i="9"/>
  <c r="I444" i="9"/>
  <c r="B437" i="9" a="1"/>
  <c r="AJ83" i="9"/>
  <c r="AI83" i="9"/>
  <c r="AH83" i="9"/>
  <c r="AG83" i="9"/>
  <c r="B82" i="9" a="1"/>
  <c r="AE81" i="9" a="1"/>
  <c r="AE80" i="9" a="1"/>
  <c r="AE79" i="9"/>
  <c r="AK76" i="9"/>
  <c r="AJ76" i="9"/>
  <c r="AI76" i="9"/>
  <c r="AH76" i="9"/>
  <c r="AG76" i="9"/>
  <c r="AF76" i="9"/>
  <c r="AE76" i="9"/>
  <c r="AE74" i="9" a="1"/>
  <c r="AE73" i="9" a="1"/>
  <c r="AE72" i="9"/>
  <c r="BA71" i="9" a="1"/>
  <c r="BA70" i="9" a="1"/>
  <c r="AQ69" i="9"/>
  <c r="AP69" i="9"/>
  <c r="AO69" i="9"/>
  <c r="AN69" i="9"/>
  <c r="AM69" i="9"/>
  <c r="AL69" i="9"/>
  <c r="AK69" i="9"/>
  <c r="AJ69" i="9"/>
  <c r="AI69" i="9"/>
  <c r="AH69" i="9"/>
  <c r="AG69" i="9"/>
  <c r="AE69" i="9"/>
  <c r="BA68" i="9" a="1"/>
  <c r="BA67" i="9" a="1"/>
  <c r="AE67" i="9" a="1"/>
  <c r="AE66" i="9" a="1"/>
  <c r="BA65" i="9" a="1"/>
  <c r="AE65" i="9"/>
  <c r="BA64" i="9" a="1"/>
  <c r="S63" i="9" a="1"/>
  <c r="BA62" i="9" a="1"/>
  <c r="BA61" i="9" a="1"/>
  <c r="BA59" i="9" a="1"/>
  <c r="BA58" i="9" a="1"/>
  <c r="BA56" i="9" a="1"/>
  <c r="BA55" i="9" a="1"/>
  <c r="BA53" i="9" a="1"/>
  <c r="BA52" i="9" a="1"/>
  <c r="BA50" i="9" a="1"/>
  <c r="BA49" i="9" a="1"/>
  <c r="BA47" i="9" a="1"/>
  <c r="BA46" i="9" a="1"/>
  <c r="BA44" i="9" a="1"/>
  <c r="BA42" i="9" a="1"/>
  <c r="BA41" i="9" a="1"/>
  <c r="BA39" i="9" a="1"/>
  <c r="BA35" i="9" a="1"/>
  <c r="BA34" i="9" a="1"/>
  <c r="BA32" i="9" a="1"/>
  <c r="BA31" i="9" a="1"/>
  <c r="B31" i="9" a="1"/>
  <c r="BA29" i="9" a="1"/>
  <c r="BA28" i="9" a="1"/>
  <c r="B27" i="9"/>
  <c r="BA26" i="9" a="1"/>
  <c r="B26" i="9"/>
  <c r="BA25" i="9" a="1"/>
  <c r="B25" i="9"/>
  <c r="B24" i="9"/>
  <c r="AB23" i="9" a="1"/>
  <c r="AB31" i="9" s="1" a="1"/>
  <c r="B23" i="9"/>
  <c r="B22" i="9"/>
  <c r="BA21" i="9" a="1"/>
  <c r="B21" i="9"/>
  <c r="BA20" i="9" a="1"/>
  <c r="B20" i="9"/>
  <c r="BA19" i="9" a="1"/>
  <c r="B19" i="9"/>
  <c r="B18" i="9"/>
  <c r="BA17" i="9" a="1"/>
  <c r="B17" i="9"/>
  <c r="BA16" i="9" a="1"/>
  <c r="AB16" i="9" a="1"/>
  <c r="Z31" i="9" s="1" a="1"/>
  <c r="B16" i="9"/>
  <c r="AF15" i="9" a="1"/>
  <c r="B3" i="8" s="1" a="1"/>
  <c r="AE15" i="9"/>
  <c r="AB15" i="9" a="1"/>
  <c r="AA6" i="9" s="1"/>
  <c r="B15" i="9"/>
  <c r="AB14" i="9" a="1"/>
  <c r="B14" i="9"/>
  <c r="AE13" i="9" a="1"/>
  <c r="AB13" i="9" a="1"/>
  <c r="S13" i="9" a="1"/>
  <c r="B13" i="9"/>
  <c r="AS12" i="9" a="1"/>
  <c r="AE12" i="9" a="1"/>
  <c r="AB12" i="9" a="1"/>
  <c r="AA5" i="9" s="1"/>
  <c r="B12" i="9"/>
  <c r="AE11" i="9"/>
  <c r="AB11" i="9" a="1"/>
  <c r="AF7" i="9"/>
  <c r="AA7" i="9"/>
  <c r="AF6" i="9"/>
  <c r="AF5" i="9"/>
  <c r="AA4" i="9"/>
  <c r="BG11" i="5" l="1"/>
  <c r="L2613" i="9"/>
  <c r="L1718" i="9"/>
  <c r="L2087" i="9"/>
  <c r="L2020" i="9"/>
  <c r="L1717" i="9"/>
  <c r="L1716" i="9"/>
  <c r="L2086" i="9"/>
  <c r="L2287" i="9"/>
  <c r="L2283" i="9"/>
  <c r="L2279" i="9"/>
  <c r="L2277" i="9"/>
  <c r="L2274" i="9"/>
  <c r="L2270" i="9"/>
  <c r="L2266" i="9"/>
  <c r="L2254" i="9"/>
  <c r="L1715" i="9"/>
  <c r="L2019" i="9"/>
  <c r="L1714" i="9"/>
  <c r="L2085" i="9"/>
  <c r="L1713" i="9"/>
  <c r="L1712" i="9"/>
  <c r="L2018" i="9"/>
  <c r="L2084" i="9"/>
  <c r="L1711" i="9"/>
  <c r="L1710" i="9"/>
  <c r="L1709" i="9"/>
  <c r="L2083" i="9"/>
  <c r="L2017" i="9"/>
  <c r="L1708" i="9"/>
  <c r="L1707" i="9"/>
  <c r="L2082" i="9"/>
  <c r="L1706" i="9"/>
  <c r="L2016" i="9"/>
  <c r="L1705" i="9"/>
  <c r="L2081" i="9"/>
  <c r="L1704" i="9"/>
  <c r="L1703" i="9"/>
  <c r="L2488" i="9"/>
  <c r="L2487" i="9"/>
  <c r="L2486" i="9"/>
  <c r="L2485" i="9"/>
  <c r="L2484" i="9"/>
  <c r="L2483" i="9"/>
  <c r="L2482" i="9"/>
  <c r="L2481" i="9"/>
  <c r="L2480" i="9"/>
  <c r="L2479" i="9"/>
  <c r="L2478" i="9"/>
  <c r="L2477" i="9"/>
  <c r="L2476" i="9"/>
  <c r="L2475" i="9"/>
  <c r="L2474" i="9"/>
  <c r="L2473" i="9"/>
  <c r="L2472" i="9"/>
  <c r="L2471" i="9"/>
  <c r="L2470" i="9"/>
  <c r="L2469" i="9"/>
  <c r="L2468" i="9"/>
  <c r="L2467" i="9"/>
  <c r="L2466" i="9"/>
  <c r="L2465" i="9"/>
  <c r="L2464" i="9"/>
  <c r="L2463" i="9"/>
  <c r="L2462" i="9"/>
  <c r="L2461" i="9"/>
  <c r="L2460" i="9"/>
  <c r="L2459" i="9"/>
  <c r="L2458" i="9"/>
  <c r="L2457" i="9"/>
  <c r="L2456" i="9"/>
  <c r="L2455" i="9"/>
  <c r="L2454" i="9"/>
  <c r="L2453" i="9"/>
  <c r="L2452" i="9"/>
  <c r="L2451" i="9"/>
  <c r="L2450" i="9"/>
  <c r="L2449" i="9"/>
  <c r="L2448" i="9"/>
  <c r="L2447" i="9"/>
  <c r="L2446" i="9"/>
  <c r="L2445" i="9"/>
  <c r="L2444" i="9"/>
  <c r="L2443" i="9"/>
  <c r="L2442" i="9"/>
  <c r="L2441" i="9"/>
  <c r="L2440" i="9"/>
  <c r="L2439" i="9"/>
  <c r="L2438" i="9"/>
  <c r="L2437" i="9"/>
  <c r="L2436" i="9"/>
  <c r="L2435" i="9"/>
  <c r="L2434" i="9"/>
  <c r="L2433" i="9"/>
  <c r="L2432" i="9"/>
  <c r="L2431" i="9"/>
  <c r="L2430" i="9"/>
  <c r="L2367" i="9"/>
  <c r="L2365" i="9"/>
  <c r="L2358" i="9"/>
  <c r="L2341" i="9"/>
  <c r="L2333" i="9"/>
  <c r="L2332" i="9"/>
  <c r="L2330" i="9"/>
  <c r="L2311" i="9"/>
  <c r="L2305" i="9"/>
  <c r="L2303" i="9"/>
  <c r="L2302" i="9"/>
  <c r="L2286" i="9"/>
  <c r="L2258" i="9"/>
  <c r="L2250" i="9"/>
  <c r="L2429" i="9"/>
  <c r="L2428" i="9"/>
  <c r="L2427" i="9"/>
  <c r="L2426" i="9"/>
  <c r="L2425" i="9"/>
  <c r="L2424" i="9"/>
  <c r="L2423" i="9"/>
  <c r="L2422" i="9"/>
  <c r="L2421" i="9"/>
  <c r="L2420" i="9"/>
  <c r="L2419" i="9"/>
  <c r="L2418" i="9"/>
  <c r="L2417" i="9"/>
  <c r="L2416" i="9"/>
  <c r="L2415" i="9"/>
  <c r="L2414" i="9"/>
  <c r="L2413" i="9"/>
  <c r="L2412" i="9"/>
  <c r="L2411" i="9"/>
  <c r="L2410" i="9"/>
  <c r="L2409" i="9"/>
  <c r="L2408" i="9"/>
  <c r="L2407" i="9"/>
  <c r="L2406" i="9"/>
  <c r="L2405" i="9"/>
  <c r="L2404" i="9"/>
  <c r="L2403" i="9"/>
  <c r="L2402" i="9"/>
  <c r="L2401" i="9"/>
  <c r="L2400" i="9"/>
  <c r="L2399" i="9"/>
  <c r="L2398" i="9"/>
  <c r="L2397" i="9"/>
  <c r="L2396" i="9"/>
  <c r="L2395" i="9"/>
  <c r="L2394" i="9"/>
  <c r="L2393" i="9"/>
  <c r="L2392" i="9"/>
  <c r="L2391" i="9"/>
  <c r="L2390" i="9"/>
  <c r="L2389" i="9"/>
  <c r="L2388" i="9"/>
  <c r="L2387" i="9"/>
  <c r="L2386" i="9"/>
  <c r="L2385" i="9"/>
  <c r="L2384" i="9"/>
  <c r="L2383" i="9"/>
  <c r="L2382" i="9"/>
  <c r="L2381" i="9"/>
  <c r="L2380" i="9"/>
  <c r="L2379" i="9"/>
  <c r="L2378" i="9"/>
  <c r="L2377" i="9"/>
  <c r="L2376" i="9"/>
  <c r="L2375" i="9"/>
  <c r="L2374" i="9"/>
  <c r="L2373" i="9"/>
  <c r="L2372" i="9"/>
  <c r="L2371" i="9"/>
  <c r="L2370" i="9"/>
  <c r="L2369" i="9"/>
  <c r="L2368" i="9"/>
  <c r="L2363" i="9"/>
  <c r="L2361" i="9"/>
  <c r="L2356" i="9"/>
  <c r="L2338" i="9"/>
  <c r="L2335" i="9"/>
  <c r="L2326" i="9"/>
  <c r="L2324" i="9"/>
  <c r="L2320" i="9"/>
  <c r="L2314" i="9"/>
  <c r="L2312" i="9"/>
  <c r="L2306" i="9"/>
  <c r="L2364" i="9"/>
  <c r="L2359" i="9"/>
  <c r="L2357" i="9"/>
  <c r="L2352" i="9"/>
  <c r="L2349" i="9"/>
  <c r="L2343" i="9"/>
  <c r="L2337" i="9"/>
  <c r="L2329" i="9"/>
  <c r="L2317" i="9"/>
  <c r="L2309" i="9"/>
  <c r="L2289" i="9"/>
  <c r="L2267" i="9"/>
  <c r="L2259" i="9"/>
  <c r="L2301" i="9"/>
  <c r="L2298" i="9"/>
  <c r="L2293" i="9"/>
  <c r="L2290" i="9"/>
  <c r="L2280" i="9"/>
  <c r="L2273" i="9"/>
  <c r="L2015" i="9"/>
  <c r="L2080" i="9"/>
  <c r="L1702" i="9"/>
  <c r="L1701" i="9"/>
  <c r="L1700" i="9"/>
  <c r="L2079" i="9"/>
  <c r="L2014" i="9"/>
  <c r="L1699" i="9"/>
  <c r="L1698" i="9"/>
  <c r="L2078" i="9"/>
  <c r="L1697" i="9"/>
  <c r="L2013" i="9"/>
  <c r="L1696" i="9"/>
  <c r="L2077" i="9"/>
  <c r="L1695" i="9"/>
  <c r="L1694" i="9"/>
  <c r="L2012" i="9"/>
  <c r="L2076" i="9"/>
  <c r="L1693" i="9"/>
  <c r="L1692" i="9"/>
  <c r="L1691" i="9"/>
  <c r="L2075" i="9"/>
  <c r="L2011" i="9"/>
  <c r="L1690" i="9"/>
  <c r="L1689" i="9"/>
  <c r="L2074" i="9"/>
  <c r="L2010" i="9"/>
  <c r="L2009" i="9"/>
  <c r="L2008" i="9"/>
  <c r="L2073" i="9"/>
  <c r="L2007" i="9"/>
  <c r="L2006" i="9"/>
  <c r="L2005" i="9"/>
  <c r="L2072" i="9"/>
  <c r="L2004" i="9"/>
  <c r="L2003" i="9"/>
  <c r="L2002" i="9"/>
  <c r="L2071" i="9"/>
  <c r="L2001" i="9"/>
  <c r="L2000" i="9"/>
  <c r="L1999" i="9"/>
  <c r="L2070" i="9"/>
  <c r="L1998" i="9"/>
  <c r="L1997" i="9"/>
  <c r="L1996" i="9"/>
  <c r="L2069" i="9"/>
  <c r="L1995" i="9"/>
  <c r="L1994" i="9"/>
  <c r="L1993" i="9"/>
  <c r="L2068" i="9"/>
  <c r="L1992" i="9"/>
  <c r="L1991" i="9"/>
  <c r="L1990" i="9"/>
  <c r="L2067" i="9"/>
  <c r="L1989" i="9"/>
  <c r="L2149" i="9"/>
  <c r="L1988" i="9"/>
  <c r="L1987" i="9"/>
  <c r="L2066" i="9"/>
  <c r="L2148" i="9"/>
  <c r="L1986" i="9"/>
  <c r="L1985" i="9"/>
  <c r="L2366" i="9"/>
  <c r="L2355" i="9"/>
  <c r="L2347" i="9"/>
  <c r="L2344" i="9"/>
  <c r="L2328" i="9"/>
  <c r="L2323" i="9"/>
  <c r="L2296" i="9"/>
  <c r="L2295" i="9"/>
  <c r="L2294" i="9"/>
  <c r="L2275" i="9"/>
  <c r="L2271" i="9"/>
  <c r="L2261" i="9"/>
  <c r="L1984" i="9"/>
  <c r="L2147" i="9"/>
  <c r="L2065" i="9"/>
  <c r="L1983" i="9"/>
  <c r="L1982" i="9"/>
  <c r="L2146" i="9"/>
  <c r="L1741" i="9"/>
  <c r="L2064" i="9"/>
  <c r="L1981" i="9"/>
  <c r="L2145" i="9"/>
  <c r="L1980" i="9"/>
  <c r="L1979" i="9"/>
  <c r="L2063" i="9"/>
  <c r="L2144" i="9"/>
  <c r="L1978" i="9"/>
  <c r="L1977" i="9"/>
  <c r="L1976" i="9"/>
  <c r="L2143" i="9"/>
  <c r="L2062" i="9"/>
  <c r="L1975" i="9"/>
  <c r="L1974" i="9"/>
  <c r="L2142" i="9"/>
  <c r="L1973" i="9"/>
  <c r="L2061" i="9"/>
  <c r="L1972" i="9"/>
  <c r="L2141" i="9"/>
  <c r="L1971" i="9"/>
  <c r="L1970" i="9"/>
  <c r="L2060" i="9"/>
  <c r="L2140" i="9"/>
  <c r="L1969" i="9"/>
  <c r="L1968" i="9"/>
  <c r="L1967" i="9"/>
  <c r="L2139" i="9"/>
  <c r="L2059" i="9"/>
  <c r="L1966" i="9"/>
  <c r="L1965" i="9"/>
  <c r="L2138" i="9"/>
  <c r="L1964" i="9"/>
  <c r="L2058" i="9"/>
  <c r="L1963" i="9"/>
  <c r="L2137" i="9"/>
  <c r="L2520" i="9"/>
  <c r="L1962" i="9"/>
  <c r="L1961" i="9"/>
  <c r="L2057" i="9"/>
  <c r="L2136" i="9"/>
  <c r="L1960" i="9"/>
  <c r="L1959" i="9"/>
  <c r="L1958" i="9"/>
  <c r="L2135" i="9"/>
  <c r="L2056" i="9"/>
  <c r="L1957" i="9"/>
  <c r="L1956" i="9"/>
  <c r="L2134" i="9"/>
  <c r="L1955" i="9"/>
  <c r="L2055" i="9"/>
  <c r="L1954" i="9"/>
  <c r="L2351" i="9"/>
  <c r="L2348" i="9"/>
  <c r="L2340" i="9"/>
  <c r="L2336" i="9"/>
  <c r="L2321" i="9"/>
  <c r="L2319" i="9"/>
  <c r="L2313" i="9"/>
  <c r="L2310" i="9"/>
  <c r="L2291" i="9"/>
  <c r="L2272" i="9"/>
  <c r="L2268" i="9"/>
  <c r="L2265" i="9"/>
  <c r="L2262" i="9"/>
  <c r="L2255" i="9"/>
  <c r="L2252" i="9"/>
  <c r="L2133" i="9"/>
  <c r="L1953" i="9"/>
  <c r="L1952" i="9"/>
  <c r="L2054" i="9"/>
  <c r="L2132" i="9"/>
  <c r="L1951" i="9"/>
  <c r="L1950" i="9"/>
  <c r="L1949" i="9"/>
  <c r="L2131" i="9"/>
  <c r="L2053" i="9"/>
  <c r="L1948" i="9"/>
  <c r="L1947" i="9"/>
  <c r="L2130" i="9"/>
  <c r="L1946" i="9"/>
  <c r="L2052" i="9"/>
  <c r="L1945" i="9"/>
  <c r="L2129" i="9"/>
  <c r="L1944" i="9"/>
  <c r="L1943" i="9"/>
  <c r="L2051" i="9"/>
  <c r="L2128" i="9"/>
  <c r="L1811" i="9"/>
  <c r="L1810" i="9"/>
  <c r="L1809" i="9"/>
  <c r="L2127" i="9"/>
  <c r="L2050" i="9"/>
  <c r="L1808" i="9"/>
  <c r="L1807" i="9"/>
  <c r="L2126" i="9"/>
  <c r="L1806" i="9"/>
  <c r="L2049" i="9"/>
  <c r="L1805" i="9"/>
  <c r="L2125" i="9"/>
  <c r="L1804" i="9"/>
  <c r="L1803" i="9"/>
  <c r="L2048" i="9"/>
  <c r="L2124" i="9"/>
  <c r="L1802" i="9"/>
  <c r="L1801" i="9"/>
  <c r="L1800" i="9"/>
  <c r="L2123" i="9"/>
  <c r="L2047" i="9"/>
  <c r="L1799" i="9"/>
  <c r="L1798" i="9"/>
  <c r="L2122" i="9"/>
  <c r="L1797" i="9"/>
  <c r="L2046" i="9"/>
  <c r="L1796" i="9"/>
  <c r="L2121" i="9"/>
  <c r="L1795" i="9"/>
  <c r="L1794" i="9"/>
  <c r="L2045" i="9"/>
  <c r="L2120" i="9"/>
  <c r="L1793" i="9"/>
  <c r="L1792" i="9"/>
  <c r="L1791" i="9"/>
  <c r="L2119" i="9"/>
  <c r="L2044" i="9"/>
  <c r="L1790" i="9"/>
  <c r="L1789" i="9"/>
  <c r="L2118" i="9"/>
  <c r="L1788" i="9"/>
  <c r="L2043" i="9"/>
  <c r="L1787" i="9"/>
  <c r="L2117" i="9"/>
  <c r="L1786" i="9"/>
  <c r="L1785" i="9"/>
  <c r="L2503" i="9"/>
  <c r="L2501" i="9"/>
  <c r="L2496" i="9"/>
  <c r="L2495" i="9"/>
  <c r="L2493" i="9"/>
  <c r="L2362" i="9"/>
  <c r="L2354" i="9"/>
  <c r="L2346" i="9"/>
  <c r="L2342" i="9"/>
  <c r="L2339" i="9"/>
  <c r="L2331" i="9"/>
  <c r="L2322" i="9"/>
  <c r="L2316" i="9"/>
  <c r="L2308" i="9"/>
  <c r="L2304" i="9"/>
  <c r="L2300" i="9"/>
  <c r="L2297" i="9"/>
  <c r="L2285" i="9"/>
  <c r="L2281" i="9"/>
  <c r="L2278" i="9"/>
  <c r="L2276" i="9"/>
  <c r="L2264" i="9"/>
  <c r="L2256" i="9"/>
  <c r="L2253" i="9"/>
  <c r="L2042" i="9"/>
  <c r="L2116" i="9"/>
  <c r="L1784" i="9"/>
  <c r="L1783" i="9"/>
  <c r="L1782" i="9"/>
  <c r="L2115" i="9"/>
  <c r="L2041" i="9"/>
  <c r="L1781" i="9"/>
  <c r="L1780" i="9"/>
  <c r="L2114" i="9"/>
  <c r="L1779" i="9"/>
  <c r="L2040" i="9"/>
  <c r="L1778" i="9"/>
  <c r="L2113" i="9"/>
  <c r="L1777" i="9"/>
  <c r="L1776" i="9"/>
  <c r="L2039" i="9"/>
  <c r="L2112" i="9"/>
  <c r="L1775" i="9"/>
  <c r="L1774" i="9"/>
  <c r="L1773" i="9"/>
  <c r="L2111" i="9"/>
  <c r="L2038" i="9"/>
  <c r="L1772" i="9"/>
  <c r="L1771" i="9"/>
  <c r="L2110" i="9"/>
  <c r="L1770" i="9"/>
  <c r="L2037" i="9"/>
  <c r="L1769" i="9"/>
  <c r="L2109" i="9"/>
  <c r="L1768" i="9"/>
  <c r="L1767" i="9"/>
  <c r="L2036" i="9"/>
  <c r="L2108" i="9"/>
  <c r="L1766" i="9"/>
  <c r="L1765" i="9"/>
  <c r="L1764" i="9"/>
  <c r="L2107" i="9"/>
  <c r="L2035" i="9"/>
  <c r="L1763" i="9"/>
  <c r="L1762" i="9"/>
  <c r="L2106" i="9"/>
  <c r="L1761" i="9"/>
  <c r="L2034" i="9"/>
  <c r="L1760" i="9"/>
  <c r="L2105" i="9"/>
  <c r="L1759" i="9"/>
  <c r="L1758" i="9"/>
  <c r="L2033" i="9"/>
  <c r="L2104" i="9"/>
  <c r="L1757" i="9"/>
  <c r="L1756" i="9"/>
  <c r="L1755" i="9"/>
  <c r="L2103" i="9"/>
  <c r="L2032" i="9"/>
  <c r="L1754" i="9"/>
  <c r="L1753" i="9"/>
  <c r="L2102" i="9"/>
  <c r="L1752" i="9"/>
  <c r="L2031" i="9"/>
  <c r="L1751" i="9"/>
  <c r="L2101" i="9"/>
  <c r="L1750" i="9"/>
  <c r="L1749" i="9"/>
  <c r="L2762" i="9"/>
  <c r="L2761" i="9"/>
  <c r="L2760" i="9"/>
  <c r="L2759" i="9"/>
  <c r="L2758" i="9"/>
  <c r="L2757" i="9"/>
  <c r="L2756" i="9"/>
  <c r="L2755" i="9"/>
  <c r="L2754" i="9"/>
  <c r="L2753" i="9"/>
  <c r="L2752" i="9"/>
  <c r="L2751" i="9"/>
  <c r="L2750" i="9"/>
  <c r="L2749" i="9"/>
  <c r="L2748" i="9"/>
  <c r="L2747" i="9"/>
  <c r="L2746" i="9"/>
  <c r="L2745" i="9"/>
  <c r="L2744" i="9"/>
  <c r="L2743" i="9"/>
  <c r="L2742" i="9"/>
  <c r="L2741" i="9"/>
  <c r="L2740" i="9"/>
  <c r="L2739" i="9"/>
  <c r="L2738" i="9"/>
  <c r="L2737" i="9"/>
  <c r="L2736" i="9"/>
  <c r="L2735" i="9"/>
  <c r="L2734" i="9"/>
  <c r="L2733" i="9"/>
  <c r="L2732" i="9"/>
  <c r="L2731" i="9"/>
  <c r="L2730" i="9"/>
  <c r="L2729" i="9"/>
  <c r="L2728" i="9"/>
  <c r="L2727" i="9"/>
  <c r="L2726" i="9"/>
  <c r="L2725" i="9"/>
  <c r="L2724" i="9"/>
  <c r="L2723" i="9"/>
  <c r="L2722" i="9"/>
  <c r="L2721" i="9"/>
  <c r="L2720" i="9"/>
  <c r="L2719" i="9"/>
  <c r="L2718" i="9"/>
  <c r="L2717" i="9"/>
  <c r="L2716" i="9"/>
  <c r="L2715" i="9"/>
  <c r="L2714" i="9"/>
  <c r="L2713" i="9"/>
  <c r="L2712" i="9"/>
  <c r="L2711" i="9"/>
  <c r="L2710" i="9"/>
  <c r="L2709" i="9"/>
  <c r="L2708" i="9"/>
  <c r="L2707" i="9"/>
  <c r="L2706" i="9"/>
  <c r="L2705" i="9"/>
  <c r="L2704" i="9"/>
  <c r="L2703" i="9"/>
  <c r="L2702" i="9"/>
  <c r="L2701" i="9"/>
  <c r="L2700" i="9"/>
  <c r="L2699" i="9"/>
  <c r="L2698" i="9"/>
  <c r="L2697" i="9"/>
  <c r="L2696" i="9"/>
  <c r="L2695" i="9"/>
  <c r="L2694" i="9"/>
  <c r="L2693" i="9"/>
  <c r="L2692" i="9"/>
  <c r="L2691" i="9"/>
  <c r="L2690" i="9"/>
  <c r="L2689" i="9"/>
  <c r="L2688" i="9"/>
  <c r="L2687" i="9"/>
  <c r="L2686" i="9"/>
  <c r="L2685" i="9"/>
  <c r="L2684" i="9"/>
  <c r="L2683" i="9"/>
  <c r="L2682" i="9"/>
  <c r="L2681" i="9"/>
  <c r="L2680" i="9"/>
  <c r="L2679" i="9"/>
  <c r="L2678" i="9"/>
  <c r="L2677" i="9"/>
  <c r="L2676" i="9"/>
  <c r="L2675" i="9"/>
  <c r="L2674" i="9"/>
  <c r="L2673" i="9"/>
  <c r="L2672" i="9"/>
  <c r="L2671" i="9"/>
  <c r="L2670" i="9"/>
  <c r="L2669" i="9"/>
  <c r="L2668" i="9"/>
  <c r="L2667" i="9"/>
  <c r="L2666" i="9"/>
  <c r="L2665" i="9"/>
  <c r="L2664" i="9"/>
  <c r="L2663" i="9"/>
  <c r="L2662" i="9"/>
  <c r="L2661" i="9"/>
  <c r="L2660" i="9"/>
  <c r="L2659" i="9"/>
  <c r="L2658" i="9"/>
  <c r="L2657" i="9"/>
  <c r="L2656" i="9"/>
  <c r="L2655" i="9"/>
  <c r="L2654" i="9"/>
  <c r="L2653" i="9"/>
  <c r="L2652" i="9"/>
  <c r="L2651" i="9"/>
  <c r="L2650" i="9"/>
  <c r="L2649" i="9"/>
  <c r="L2648" i="9"/>
  <c r="L2647" i="9"/>
  <c r="L2646" i="9"/>
  <c r="L2645" i="9"/>
  <c r="L2644" i="9"/>
  <c r="L2643" i="9"/>
  <c r="L2642" i="9"/>
  <c r="L2641" i="9"/>
  <c r="L2640" i="9"/>
  <c r="L2639" i="9"/>
  <c r="L2638" i="9"/>
  <c r="L2637" i="9"/>
  <c r="L2636" i="9"/>
  <c r="L2635" i="9"/>
  <c r="L2634" i="9"/>
  <c r="L2633" i="9"/>
  <c r="L2632" i="9"/>
  <c r="L2631" i="9"/>
  <c r="L2630" i="9"/>
  <c r="L2629" i="9"/>
  <c r="L2628" i="9"/>
  <c r="L2627" i="9"/>
  <c r="L2626" i="9"/>
  <c r="L2625" i="9"/>
  <c r="L2624" i="9"/>
  <c r="L2623" i="9"/>
  <c r="L2622" i="9"/>
  <c r="L2621" i="9"/>
  <c r="L2620" i="9"/>
  <c r="L2619" i="9"/>
  <c r="L2618" i="9"/>
  <c r="L2617" i="9"/>
  <c r="L2616" i="9"/>
  <c r="L2615" i="9"/>
  <c r="L2614" i="9"/>
  <c r="L2030" i="9"/>
  <c r="L2612" i="9"/>
  <c r="L2611" i="9"/>
  <c r="L2610" i="9"/>
  <c r="L2609" i="9"/>
  <c r="L2608" i="9"/>
  <c r="L2607" i="9"/>
  <c r="L2606" i="9"/>
  <c r="L2605" i="9"/>
  <c r="L2604" i="9"/>
  <c r="L2603" i="9"/>
  <c r="L2602" i="9"/>
  <c r="L2601" i="9"/>
  <c r="L2600" i="9"/>
  <c r="L2599" i="9"/>
  <c r="L2598" i="9"/>
  <c r="L2597" i="9"/>
  <c r="L2596" i="9"/>
  <c r="L2595" i="9"/>
  <c r="L2594" i="9"/>
  <c r="L2593" i="9"/>
  <c r="L2592" i="9"/>
  <c r="L2591" i="9"/>
  <c r="L2590" i="9"/>
  <c r="L2589" i="9"/>
  <c r="L2588" i="9"/>
  <c r="L2587" i="9"/>
  <c r="L2586" i="9"/>
  <c r="L2585" i="9"/>
  <c r="L2584" i="9"/>
  <c r="L2583" i="9"/>
  <c r="L2582" i="9"/>
  <c r="L2581" i="9"/>
  <c r="L2580" i="9"/>
  <c r="L2579" i="9"/>
  <c r="L2578" i="9"/>
  <c r="L2577" i="9"/>
  <c r="L2576" i="9"/>
  <c r="L2575" i="9"/>
  <c r="L2574" i="9"/>
  <c r="L2573" i="9"/>
  <c r="L2572" i="9"/>
  <c r="L2571" i="9"/>
  <c r="L2570" i="9"/>
  <c r="L2569" i="9"/>
  <c r="L2568" i="9"/>
  <c r="L2567" i="9"/>
  <c r="L2566" i="9"/>
  <c r="L2565" i="9"/>
  <c r="L2564" i="9"/>
  <c r="L2563" i="9"/>
  <c r="L2562" i="9"/>
  <c r="L2561" i="9"/>
  <c r="L2560" i="9"/>
  <c r="L2559" i="9"/>
  <c r="L2558" i="9"/>
  <c r="L2557" i="9"/>
  <c r="L2556" i="9"/>
  <c r="L2555" i="9"/>
  <c r="L2554" i="9"/>
  <c r="L2553" i="9"/>
  <c r="L2552" i="9"/>
  <c r="L2551" i="9"/>
  <c r="L2550" i="9"/>
  <c r="L2549" i="9"/>
  <c r="L2548" i="9"/>
  <c r="L2547" i="9"/>
  <c r="L2546" i="9"/>
  <c r="L2545" i="9"/>
  <c r="L2544" i="9"/>
  <c r="L2543" i="9"/>
  <c r="L2542" i="9"/>
  <c r="L2541" i="9"/>
  <c r="L2540" i="9"/>
  <c r="L2539" i="9"/>
  <c r="L2538" i="9"/>
  <c r="L2537" i="9"/>
  <c r="L2536" i="9"/>
  <c r="L2535" i="9"/>
  <c r="L2534" i="9"/>
  <c r="L2533" i="9"/>
  <c r="L2532" i="9"/>
  <c r="L2531" i="9"/>
  <c r="L2530" i="9"/>
  <c r="L2529" i="9"/>
  <c r="L2528" i="9"/>
  <c r="L2527" i="9"/>
  <c r="L2526" i="9"/>
  <c r="L2525" i="9"/>
  <c r="L2524" i="9"/>
  <c r="L2523" i="9"/>
  <c r="L2522" i="9"/>
  <c r="L2521" i="9"/>
  <c r="L2100" i="9"/>
  <c r="L2519" i="9"/>
  <c r="L2518" i="9"/>
  <c r="L2517" i="9"/>
  <c r="L2516" i="9"/>
  <c r="L2515" i="9"/>
  <c r="L2514" i="9"/>
  <c r="L2513" i="9"/>
  <c r="L2512" i="9"/>
  <c r="L2511" i="9"/>
  <c r="L2510" i="9"/>
  <c r="L2509" i="9"/>
  <c r="L2508" i="9"/>
  <c r="L2507" i="9"/>
  <c r="L2506" i="9"/>
  <c r="L2505" i="9"/>
  <c r="L2504" i="9"/>
  <c r="L2502" i="9"/>
  <c r="L2500" i="9"/>
  <c r="L2499" i="9"/>
  <c r="L2498" i="9"/>
  <c r="L2497" i="9"/>
  <c r="L2494" i="9"/>
  <c r="L2492" i="9"/>
  <c r="L2491" i="9"/>
  <c r="L2490" i="9"/>
  <c r="L2489" i="9"/>
  <c r="L2360" i="9"/>
  <c r="L2353" i="9"/>
  <c r="L2350" i="9"/>
  <c r="L2345" i="9"/>
  <c r="L2334" i="9"/>
  <c r="L2327" i="9"/>
  <c r="L2325" i="9"/>
  <c r="L2318" i="9"/>
  <c r="L2315" i="9"/>
  <c r="L2307" i="9"/>
  <c r="L2299" i="9"/>
  <c r="L2292" i="9"/>
  <c r="L2288" i="9"/>
  <c r="L2284" i="9"/>
  <c r="L2282" i="9"/>
  <c r="L2269" i="9"/>
  <c r="L2263" i="9"/>
  <c r="L2260" i="9"/>
  <c r="L2257" i="9"/>
  <c r="L2251" i="9"/>
  <c r="L1748" i="9"/>
  <c r="L1747" i="9"/>
  <c r="L1746" i="9"/>
  <c r="L2099" i="9"/>
  <c r="L2029" i="9"/>
  <c r="L1745" i="9"/>
  <c r="L1744" i="9"/>
  <c r="L2098" i="9"/>
  <c r="L1743" i="9"/>
  <c r="L2028" i="9"/>
  <c r="L1742" i="9"/>
  <c r="L2097" i="9"/>
  <c r="L1740" i="9"/>
  <c r="L1739" i="9"/>
  <c r="L2027" i="9"/>
  <c r="L2096" i="9"/>
  <c r="L1738" i="9"/>
  <c r="L1737" i="9"/>
  <c r="L1736" i="9"/>
  <c r="L2095" i="9"/>
  <c r="L2026" i="9"/>
  <c r="L1735" i="9"/>
  <c r="L1734" i="9"/>
  <c r="L2094" i="9"/>
  <c r="L1733" i="9"/>
  <c r="L2025" i="9"/>
  <c r="L1732" i="9"/>
  <c r="L2093" i="9"/>
  <c r="L1731" i="9"/>
  <c r="L1730" i="9"/>
  <c r="L2024" i="9"/>
  <c r="L2092" i="9"/>
  <c r="L1729" i="9"/>
  <c r="L1728" i="9"/>
  <c r="L1727" i="9"/>
  <c r="L2091" i="9"/>
  <c r="L2023" i="9"/>
  <c r="L1726" i="9"/>
  <c r="L1725" i="9"/>
  <c r="L2090" i="9"/>
  <c r="L1724" i="9"/>
  <c r="L2022" i="9"/>
  <c r="L1723" i="9"/>
  <c r="L2089" i="9"/>
  <c r="L1722" i="9"/>
  <c r="L1721" i="9"/>
  <c r="M1721" i="9" s="1"/>
  <c r="L2021" i="9"/>
  <c r="M2021" i="9" s="1"/>
  <c r="L2088" i="9"/>
  <c r="M2088" i="9" s="1"/>
  <c r="L1720" i="9"/>
  <c r="M1720" i="9" s="1"/>
  <c r="L1719" i="9"/>
  <c r="M1719" i="9" s="1"/>
  <c r="T1736" i="9"/>
  <c r="V1952" i="9" a="1"/>
  <c r="W1952" i="9" s="1"/>
  <c r="V1735" i="9" a="1"/>
  <c r="W1735" i="9" s="1"/>
  <c r="U1735" i="9"/>
  <c r="T1735" i="9"/>
  <c r="U1952" i="9"/>
  <c r="V1734" i="9" a="1"/>
  <c r="W1734" i="9" s="1"/>
  <c r="U1734" i="9"/>
  <c r="T1734" i="9"/>
  <c r="T1952" i="9"/>
  <c r="V1733" i="9" a="1"/>
  <c r="W1733" i="9" s="1"/>
  <c r="U1733" i="9"/>
  <c r="T1733" i="9"/>
  <c r="V1973" i="9" a="1"/>
  <c r="W1973" i="9" s="1"/>
  <c r="V1732" i="9" a="1"/>
  <c r="W1732" i="9" s="1"/>
  <c r="U1732" i="9"/>
  <c r="T1732" i="9"/>
  <c r="V1951" i="9" a="1"/>
  <c r="W1951" i="9" s="1"/>
  <c r="V1731" i="9" a="1"/>
  <c r="W1731" i="9" s="1"/>
  <c r="U1731" i="9"/>
  <c r="T1731" i="9"/>
  <c r="U1951" i="9"/>
  <c r="V1730" i="9" a="1"/>
  <c r="W1730" i="9" s="1"/>
  <c r="U1701" i="9"/>
  <c r="U1730" i="9"/>
  <c r="T1730" i="9"/>
  <c r="T1951" i="9"/>
  <c r="V1729" i="9" a="1"/>
  <c r="W1729" i="9" s="1"/>
  <c r="U1729" i="9"/>
  <c r="T1729" i="9"/>
  <c r="U1973" i="9"/>
  <c r="V1728" i="9" a="1"/>
  <c r="W1728" i="9" s="1"/>
  <c r="U1728" i="9"/>
  <c r="T1728" i="9"/>
  <c r="U1981" i="9"/>
  <c r="V1727" i="9" a="1"/>
  <c r="W1727" i="9" s="1"/>
  <c r="U1727" i="9"/>
  <c r="T1727" i="9"/>
  <c r="T1973" i="9"/>
  <c r="V1726" i="9" a="1"/>
  <c r="W1726" i="9" s="1"/>
  <c r="U2028" i="9"/>
  <c r="U1726" i="9"/>
  <c r="T1726" i="9"/>
  <c r="V1981" i="9" a="1"/>
  <c r="W1981" i="9" s="1"/>
  <c r="V1725" i="9" a="1"/>
  <c r="W1725" i="9" s="1"/>
  <c r="U1725" i="9"/>
  <c r="T1725" i="9"/>
  <c r="U1980" i="9"/>
  <c r="V1724" i="9" a="1"/>
  <c r="W1724" i="9" s="1"/>
  <c r="U1724" i="9"/>
  <c r="T1724" i="9"/>
  <c r="T1982" i="9"/>
  <c r="V1723" i="9" a="1"/>
  <c r="W1723" i="9" s="1"/>
  <c r="U1723" i="9"/>
  <c r="T1723" i="9"/>
  <c r="V1972" i="9" a="1"/>
  <c r="W1972" i="9" s="1"/>
  <c r="V1722" i="9" a="1"/>
  <c r="W1722" i="9" s="1"/>
  <c r="U1722" i="9"/>
  <c r="T1722" i="9"/>
  <c r="U1982" i="9"/>
  <c r="V1721" i="9" a="1"/>
  <c r="W1721" i="9" s="1"/>
  <c r="U1721" i="9"/>
  <c r="T1721" i="9"/>
  <c r="U1972" i="9"/>
  <c r="V1720" i="9" a="1"/>
  <c r="W1720" i="9" s="1"/>
  <c r="U1720" i="9"/>
  <c r="T1720" i="9"/>
  <c r="V1982" i="9" a="1"/>
  <c r="W1982" i="9" s="1"/>
  <c r="V1719" i="9" a="1"/>
  <c r="W1719" i="9" s="1"/>
  <c r="U1719" i="9"/>
  <c r="T1719" i="9"/>
  <c r="T1972" i="9"/>
  <c r="V1718" i="9" a="1"/>
  <c r="W1718" i="9" s="1"/>
  <c r="U1718" i="9"/>
  <c r="T1718" i="9"/>
  <c r="T1983" i="9"/>
  <c r="V1717" i="9" a="1"/>
  <c r="W1717" i="9" s="1"/>
  <c r="U1717" i="9"/>
  <c r="T1717" i="9"/>
  <c r="V1978" i="9" a="1"/>
  <c r="W1978" i="9" s="1"/>
  <c r="V1716" i="9" a="1"/>
  <c r="W1716" i="9" s="1"/>
  <c r="U1716" i="9"/>
  <c r="T1716" i="9"/>
  <c r="U1983" i="9"/>
  <c r="V1715" i="9" a="1"/>
  <c r="W1715" i="9" s="1"/>
  <c r="U1715" i="9"/>
  <c r="T1715" i="9"/>
  <c r="V1971" i="9" a="1"/>
  <c r="W1971" i="9" s="1"/>
  <c r="V1714" i="9" a="1"/>
  <c r="W1714" i="9" s="1"/>
  <c r="U1714" i="9"/>
  <c r="T1714" i="9"/>
  <c r="V1983" i="9" a="1"/>
  <c r="W1983" i="9" s="1"/>
  <c r="V1713" i="9" a="1"/>
  <c r="W1713" i="9" s="1"/>
  <c r="U1713" i="9"/>
  <c r="T1713" i="9"/>
  <c r="U1971" i="9"/>
  <c r="V1712" i="9" a="1"/>
  <c r="W1712" i="9" s="1"/>
  <c r="U1712" i="9"/>
  <c r="T1712" i="9"/>
  <c r="T1984" i="9"/>
  <c r="V1711" i="9" a="1"/>
  <c r="W1711" i="9" s="1"/>
  <c r="U1711" i="9"/>
  <c r="T1711" i="9"/>
  <c r="U1984" i="9"/>
  <c r="V1710" i="9" a="1"/>
  <c r="W1710" i="9" s="1"/>
  <c r="U1710" i="9"/>
  <c r="T1710" i="9"/>
  <c r="V1984" i="9" a="1"/>
  <c r="W1984" i="9" s="1"/>
  <c r="V1709" i="9" a="1"/>
  <c r="W1709" i="9" s="1"/>
  <c r="U1709" i="9"/>
  <c r="U2149" i="9"/>
  <c r="T2149" i="9"/>
  <c r="V2148" i="9" a="1"/>
  <c r="W2148" i="9" s="1"/>
  <c r="U2148" i="9"/>
  <c r="T2148" i="9"/>
  <c r="V2147" i="9" a="1"/>
  <c r="W2147" i="9" s="1"/>
  <c r="U2147" i="9"/>
  <c r="T2147" i="9"/>
  <c r="V2146" i="9" a="1"/>
  <c r="W2146" i="9" s="1"/>
  <c r="U2146" i="9"/>
  <c r="T2146" i="9"/>
  <c r="V2145" i="9" a="1"/>
  <c r="W2145" i="9" s="1"/>
  <c r="U2145" i="9"/>
  <c r="T2145" i="9"/>
  <c r="V2144" i="9" a="1"/>
  <c r="W2144" i="9" s="1"/>
  <c r="U2144" i="9"/>
  <c r="T2144" i="9"/>
  <c r="V2143" i="9" a="1"/>
  <c r="W2143" i="9" s="1"/>
  <c r="U2143" i="9"/>
  <c r="T2143" i="9"/>
  <c r="V2142" i="9" a="1"/>
  <c r="W2142" i="9" s="1"/>
  <c r="U2142" i="9"/>
  <c r="T2142" i="9"/>
  <c r="V2141" i="9" a="1"/>
  <c r="W2141" i="9" s="1"/>
  <c r="U2141" i="9"/>
  <c r="T2141" i="9"/>
  <c r="V2140" i="9" a="1"/>
  <c r="W2140" i="9" s="1"/>
  <c r="U2140" i="9"/>
  <c r="T2140" i="9"/>
  <c r="V2139" i="9" a="1"/>
  <c r="W2139" i="9" s="1"/>
  <c r="U2139" i="9"/>
  <c r="T2139" i="9"/>
  <c r="V2138" i="9" a="1"/>
  <c r="W2138" i="9" s="1"/>
  <c r="U2138" i="9"/>
  <c r="T2138" i="9"/>
  <c r="V2137" i="9" a="1"/>
  <c r="W2137" i="9" s="1"/>
  <c r="U2137" i="9"/>
  <c r="T2137" i="9"/>
  <c r="V2136" i="9" a="1"/>
  <c r="W2136" i="9" s="1"/>
  <c r="U2136" i="9"/>
  <c r="T2136" i="9"/>
  <c r="V2135" i="9" a="1"/>
  <c r="W2135" i="9" s="1"/>
  <c r="U2135" i="9"/>
  <c r="T2135" i="9"/>
  <c r="V2134" i="9" a="1"/>
  <c r="W2134" i="9" s="1"/>
  <c r="U2134" i="9"/>
  <c r="T2134" i="9"/>
  <c r="V2133" i="9" a="1"/>
  <c r="W2133" i="9" s="1"/>
  <c r="U2133" i="9"/>
  <c r="T2133" i="9"/>
  <c r="V2132" i="9" a="1"/>
  <c r="W2132" i="9" s="1"/>
  <c r="U2132" i="9"/>
  <c r="T2132" i="9"/>
  <c r="V2131" i="9" a="1"/>
  <c r="W2131" i="9" s="1"/>
  <c r="U2131" i="9"/>
  <c r="T2131" i="9"/>
  <c r="V2130" i="9" a="1"/>
  <c r="W2130" i="9" s="1"/>
  <c r="U2130" i="9"/>
  <c r="T2130" i="9"/>
  <c r="V2129" i="9" a="1"/>
  <c r="W2129" i="9" s="1"/>
  <c r="U2129" i="9"/>
  <c r="T2129" i="9"/>
  <c r="V2128" i="9" a="1"/>
  <c r="W2128" i="9" s="1"/>
  <c r="U2128" i="9"/>
  <c r="T2128" i="9"/>
  <c r="V2127" i="9" a="1"/>
  <c r="W2127" i="9" s="1"/>
  <c r="U2127" i="9"/>
  <c r="T2127" i="9"/>
  <c r="V2126" i="9" a="1"/>
  <c r="W2126" i="9" s="1"/>
  <c r="U2126" i="9"/>
  <c r="T2126" i="9"/>
  <c r="V2125" i="9" a="1"/>
  <c r="W2125" i="9" s="1"/>
  <c r="U2125" i="9"/>
  <c r="T2125" i="9"/>
  <c r="V2124" i="9" a="1"/>
  <c r="W2124" i="9" s="1"/>
  <c r="U2124" i="9"/>
  <c r="T2124" i="9"/>
  <c r="V2123" i="9" a="1"/>
  <c r="W2123" i="9" s="1"/>
  <c r="U2123" i="9"/>
  <c r="T2123" i="9"/>
  <c r="V2122" i="9" a="1"/>
  <c r="W2122" i="9" s="1"/>
  <c r="U2122" i="9"/>
  <c r="T2122" i="9"/>
  <c r="V2121" i="9" a="1"/>
  <c r="W2121" i="9" s="1"/>
  <c r="U2121" i="9"/>
  <c r="T2121" i="9"/>
  <c r="V2120" i="9" a="1"/>
  <c r="W2120" i="9" s="1"/>
  <c r="U2120" i="9"/>
  <c r="T2120" i="9"/>
  <c r="V2119" i="9" a="1"/>
  <c r="W2119" i="9" s="1"/>
  <c r="U2119" i="9"/>
  <c r="T2119" i="9"/>
  <c r="V2118" i="9" a="1"/>
  <c r="W2118" i="9" s="1"/>
  <c r="U2118" i="9"/>
  <c r="T2118" i="9"/>
  <c r="V2117" i="9" a="1"/>
  <c r="W2117" i="9" s="1"/>
  <c r="U2117" i="9"/>
  <c r="T2117" i="9"/>
  <c r="V2116" i="9" a="1"/>
  <c r="W2116" i="9" s="1"/>
  <c r="U2116" i="9"/>
  <c r="T2116" i="9"/>
  <c r="V2115" i="9" a="1"/>
  <c r="W2115" i="9" s="1"/>
  <c r="U2115" i="9"/>
  <c r="T2115" i="9"/>
  <c r="V2114" i="9" a="1"/>
  <c r="W2114" i="9" s="1"/>
  <c r="U2114" i="9"/>
  <c r="T2114" i="9"/>
  <c r="V2113" i="9" a="1"/>
  <c r="W2113" i="9" s="1"/>
  <c r="U2113" i="9"/>
  <c r="T2113" i="9"/>
  <c r="V2112" i="9" a="1"/>
  <c r="W2112" i="9" s="1"/>
  <c r="U2112" i="9"/>
  <c r="T2112" i="9"/>
  <c r="V2111" i="9" a="1"/>
  <c r="W2111" i="9" s="1"/>
  <c r="U2111" i="9"/>
  <c r="T2111" i="9"/>
  <c r="V2110" i="9" a="1"/>
  <c r="W2110" i="9" s="1"/>
  <c r="U2110" i="9"/>
  <c r="T2110" i="9"/>
  <c r="V2109" i="9" a="1"/>
  <c r="W2109" i="9" s="1"/>
  <c r="U2109" i="9"/>
  <c r="T2109" i="9"/>
  <c r="V2108" i="9" a="1"/>
  <c r="W2108" i="9" s="1"/>
  <c r="U2108" i="9"/>
  <c r="T2108" i="9"/>
  <c r="V2107" i="9" a="1"/>
  <c r="W2107" i="9" s="1"/>
  <c r="U2107" i="9"/>
  <c r="T2107" i="9"/>
  <c r="V2106" i="9" a="1"/>
  <c r="W2106" i="9" s="1"/>
  <c r="U2106" i="9"/>
  <c r="T2106" i="9"/>
  <c r="V2105" i="9" a="1"/>
  <c r="W2105" i="9" s="1"/>
  <c r="U2105" i="9"/>
  <c r="T2105" i="9"/>
  <c r="V2104" i="9" a="1"/>
  <c r="W2104" i="9" s="1"/>
  <c r="U2104" i="9"/>
  <c r="T2104" i="9"/>
  <c r="V2103" i="9" a="1"/>
  <c r="W2103" i="9" s="1"/>
  <c r="U2103" i="9"/>
  <c r="T2103" i="9"/>
  <c r="V2102" i="9" a="1"/>
  <c r="W2102" i="9" s="1"/>
  <c r="U2102" i="9"/>
  <c r="T2102" i="9"/>
  <c r="V2101" i="9" a="1"/>
  <c r="W2101" i="9" s="1"/>
  <c r="U2101" i="9"/>
  <c r="T2101" i="9"/>
  <c r="V2100" i="9" a="1"/>
  <c r="W2100" i="9" s="1"/>
  <c r="U2100" i="9"/>
  <c r="T2100" i="9"/>
  <c r="V2099" i="9" a="1"/>
  <c r="W2099" i="9" s="1"/>
  <c r="U2099" i="9"/>
  <c r="T2099" i="9"/>
  <c r="V2098" i="9" a="1"/>
  <c r="W2098" i="9" s="1"/>
  <c r="U2098" i="9"/>
  <c r="T2098" i="9"/>
  <c r="V2097" i="9" a="1"/>
  <c r="W2097" i="9" s="1"/>
  <c r="U2097" i="9"/>
  <c r="T2097" i="9"/>
  <c r="V2096" i="9" a="1"/>
  <c r="W2096" i="9" s="1"/>
  <c r="U2096" i="9"/>
  <c r="T2096" i="9"/>
  <c r="V2095" i="9" a="1"/>
  <c r="W2095" i="9" s="1"/>
  <c r="U2095" i="9"/>
  <c r="T2095" i="9"/>
  <c r="V2094" i="9" a="1"/>
  <c r="W2094" i="9" s="1"/>
  <c r="U2094" i="9"/>
  <c r="T2094" i="9"/>
  <c r="V2093" i="9" a="1"/>
  <c r="W2093" i="9" s="1"/>
  <c r="U2093" i="9"/>
  <c r="T2093" i="9"/>
  <c r="V2092" i="9" a="1"/>
  <c r="W2092" i="9" s="1"/>
  <c r="U2092" i="9"/>
  <c r="T2092" i="9"/>
  <c r="V2091" i="9" a="1"/>
  <c r="W2091" i="9" s="1"/>
  <c r="U2091" i="9"/>
  <c r="T2091" i="9"/>
  <c r="V2090" i="9" a="1"/>
  <c r="W2090" i="9" s="1"/>
  <c r="U2090" i="9"/>
  <c r="T2090" i="9"/>
  <c r="V2089" i="9" a="1"/>
  <c r="W2089" i="9" s="1"/>
  <c r="U2089" i="9"/>
  <c r="T2089" i="9"/>
  <c r="V2088" i="9" a="1"/>
  <c r="W2088" i="9" s="1"/>
  <c r="U2088" i="9"/>
  <c r="T2088" i="9"/>
  <c r="V2087" i="9" a="1"/>
  <c r="W2087" i="9" s="1"/>
  <c r="U2087" i="9"/>
  <c r="T2087" i="9"/>
  <c r="V2086" i="9" a="1"/>
  <c r="W2086" i="9" s="1"/>
  <c r="U2086" i="9"/>
  <c r="T2086" i="9"/>
  <c r="V2085" i="9" a="1"/>
  <c r="W2085" i="9" s="1"/>
  <c r="U2085" i="9"/>
  <c r="T2085" i="9"/>
  <c r="V2084" i="9" a="1"/>
  <c r="W2084" i="9" s="1"/>
  <c r="U2084" i="9"/>
  <c r="T2084" i="9"/>
  <c r="V2083" i="9" a="1"/>
  <c r="W2083" i="9" s="1"/>
  <c r="U2083" i="9"/>
  <c r="T2083" i="9"/>
  <c r="V2082" i="9" a="1"/>
  <c r="W2082" i="9" s="1"/>
  <c r="U2082" i="9"/>
  <c r="T2082" i="9"/>
  <c r="V2081" i="9" a="1"/>
  <c r="W2081" i="9" s="1"/>
  <c r="U2081" i="9"/>
  <c r="T2081" i="9"/>
  <c r="V2080" i="9" a="1"/>
  <c r="W2080" i="9" s="1"/>
  <c r="U2080" i="9"/>
  <c r="T2080" i="9"/>
  <c r="V2079" i="9" a="1"/>
  <c r="W2079" i="9" s="1"/>
  <c r="U2079" i="9"/>
  <c r="T1709" i="9"/>
  <c r="V2078" i="9" a="1"/>
  <c r="W2078" i="9" s="1"/>
  <c r="U2078" i="9"/>
  <c r="T2078" i="9"/>
  <c r="V2077" i="9" a="1"/>
  <c r="W2077" i="9" s="1"/>
  <c r="U2077" i="9"/>
  <c r="T2077" i="9"/>
  <c r="V2076" i="9" a="1"/>
  <c r="W2076" i="9" s="1"/>
  <c r="U2076" i="9"/>
  <c r="T2076" i="9"/>
  <c r="V2075" i="9" a="1"/>
  <c r="W2075" i="9" s="1"/>
  <c r="U2075" i="9"/>
  <c r="T2075" i="9"/>
  <c r="V2074" i="9" a="1"/>
  <c r="W2074" i="9" s="1"/>
  <c r="U2074" i="9"/>
  <c r="T2074" i="9"/>
  <c r="V2073" i="9" a="1"/>
  <c r="W2073" i="9" s="1"/>
  <c r="U2073" i="9"/>
  <c r="T2073" i="9"/>
  <c r="V2072" i="9" a="1"/>
  <c r="W2072" i="9" s="1"/>
  <c r="U2072" i="9"/>
  <c r="T2072" i="9"/>
  <c r="V2071" i="9" a="1"/>
  <c r="W2071" i="9" s="1"/>
  <c r="U2071" i="9"/>
  <c r="T2071" i="9"/>
  <c r="V2070" i="9" a="1"/>
  <c r="W2070" i="9" s="1"/>
  <c r="U2070" i="9"/>
  <c r="T2070" i="9"/>
  <c r="V2069" i="9" a="1"/>
  <c r="W2069" i="9" s="1"/>
  <c r="U2069" i="9"/>
  <c r="T2069" i="9"/>
  <c r="V2068" i="9" a="1"/>
  <c r="W2068" i="9" s="1"/>
  <c r="U2068" i="9"/>
  <c r="T2068" i="9"/>
  <c r="V2067" i="9" a="1"/>
  <c r="W2067" i="9" s="1"/>
  <c r="U2067" i="9"/>
  <c r="T2067" i="9"/>
  <c r="V2066" i="9" a="1"/>
  <c r="W2066" i="9" s="1"/>
  <c r="U2066" i="9"/>
  <c r="T2066" i="9"/>
  <c r="V2065" i="9" a="1"/>
  <c r="W2065" i="9" s="1"/>
  <c r="U2065" i="9"/>
  <c r="T2065" i="9"/>
  <c r="V2064" i="9" a="1"/>
  <c r="W2064" i="9" s="1"/>
  <c r="U2064" i="9"/>
  <c r="T2064" i="9"/>
  <c r="V2063" i="9" a="1"/>
  <c r="W2063" i="9" s="1"/>
  <c r="U2063" i="9"/>
  <c r="T2063" i="9"/>
  <c r="V2062" i="9" a="1"/>
  <c r="W2062" i="9" s="1"/>
  <c r="U2062" i="9"/>
  <c r="T2062" i="9"/>
  <c r="V2061" i="9" a="1"/>
  <c r="W2061" i="9" s="1"/>
  <c r="U2061" i="9"/>
  <c r="T2061" i="9"/>
  <c r="V2060" i="9" a="1"/>
  <c r="W2060" i="9" s="1"/>
  <c r="U2060" i="9"/>
  <c r="T2060" i="9"/>
  <c r="V2059" i="9" a="1"/>
  <c r="W2059" i="9" s="1"/>
  <c r="U2059" i="9"/>
  <c r="T2059" i="9"/>
  <c r="V2058" i="9" a="1"/>
  <c r="W2058" i="9" s="1"/>
  <c r="U2058" i="9"/>
  <c r="T2058" i="9"/>
  <c r="V2057" i="9" a="1"/>
  <c r="W2057" i="9" s="1"/>
  <c r="U2057" i="9"/>
  <c r="T2057" i="9"/>
  <c r="V2056" i="9" a="1"/>
  <c r="W2056" i="9" s="1"/>
  <c r="U2056" i="9"/>
  <c r="T2056" i="9"/>
  <c r="V2055" i="9" a="1"/>
  <c r="W2055" i="9" s="1"/>
  <c r="U2055" i="9"/>
  <c r="T2055" i="9"/>
  <c r="V2054" i="9" a="1"/>
  <c r="W2054" i="9" s="1"/>
  <c r="U2054" i="9"/>
  <c r="T2054" i="9"/>
  <c r="V2053" i="9" a="1"/>
  <c r="W2053" i="9" s="1"/>
  <c r="U2053" i="9"/>
  <c r="T2053" i="9"/>
  <c r="V2052" i="9" a="1"/>
  <c r="W2052" i="9" s="1"/>
  <c r="U2052" i="9"/>
  <c r="T2052" i="9"/>
  <c r="V2051" i="9" a="1"/>
  <c r="W2051" i="9" s="1"/>
  <c r="U2051" i="9"/>
  <c r="T2051" i="9"/>
  <c r="V2050" i="9" a="1"/>
  <c r="W2050" i="9" s="1"/>
  <c r="U2050" i="9"/>
  <c r="T2050" i="9"/>
  <c r="V2049" i="9" a="1"/>
  <c r="W2049" i="9" s="1"/>
  <c r="U2049" i="9"/>
  <c r="T2049" i="9"/>
  <c r="V2048" i="9" a="1"/>
  <c r="W2048" i="9" s="1"/>
  <c r="U2048" i="9"/>
  <c r="T2048" i="9"/>
  <c r="V2047" i="9" a="1"/>
  <c r="W2047" i="9" s="1"/>
  <c r="U2047" i="9"/>
  <c r="T2047" i="9"/>
  <c r="V2046" i="9" a="1"/>
  <c r="W2046" i="9" s="1"/>
  <c r="U2046" i="9"/>
  <c r="T2046" i="9"/>
  <c r="V2045" i="9" a="1"/>
  <c r="W2045" i="9" s="1"/>
  <c r="U2045" i="9"/>
  <c r="T2045" i="9"/>
  <c r="V2044" i="9" a="1"/>
  <c r="W2044" i="9" s="1"/>
  <c r="U2044" i="9"/>
  <c r="T2044" i="9"/>
  <c r="V2043" i="9" a="1"/>
  <c r="W2043" i="9" s="1"/>
  <c r="U2043" i="9"/>
  <c r="T2043" i="9"/>
  <c r="V2042" i="9" a="1"/>
  <c r="W2042" i="9" s="1"/>
  <c r="U2042" i="9"/>
  <c r="T2042" i="9"/>
  <c r="V2041" i="9" a="1"/>
  <c r="W2041" i="9" s="1"/>
  <c r="U2041" i="9"/>
  <c r="T2041" i="9"/>
  <c r="V2040" i="9" a="1"/>
  <c r="W2040" i="9" s="1"/>
  <c r="U2040" i="9"/>
  <c r="T2040" i="9"/>
  <c r="V2039" i="9" a="1"/>
  <c r="W2039" i="9" s="1"/>
  <c r="U2039" i="9"/>
  <c r="T2039" i="9"/>
  <c r="V2038" i="9" a="1"/>
  <c r="W2038" i="9" s="1"/>
  <c r="U2038" i="9"/>
  <c r="T2038" i="9"/>
  <c r="V2037" i="9" a="1"/>
  <c r="W2037" i="9" s="1"/>
  <c r="U2037" i="9"/>
  <c r="T2037" i="9"/>
  <c r="V2036" i="9" a="1"/>
  <c r="W2036" i="9" s="1"/>
  <c r="U2036" i="9"/>
  <c r="T2036" i="9"/>
  <c r="V2035" i="9" a="1"/>
  <c r="W2035" i="9" s="1"/>
  <c r="U2035" i="9"/>
  <c r="T2035" i="9"/>
  <c r="V2034" i="9" a="1"/>
  <c r="W2034" i="9" s="1"/>
  <c r="U2034" i="9"/>
  <c r="T2034" i="9"/>
  <c r="V2033" i="9" a="1"/>
  <c r="W2033" i="9" s="1"/>
  <c r="U2033" i="9"/>
  <c r="T2033" i="9"/>
  <c r="V2032" i="9" a="1"/>
  <c r="W2032" i="9" s="1"/>
  <c r="U2032" i="9"/>
  <c r="T2032" i="9"/>
  <c r="V2031" i="9" a="1"/>
  <c r="W2031" i="9" s="1"/>
  <c r="U2031" i="9"/>
  <c r="T2031" i="9"/>
  <c r="V2030" i="9" a="1"/>
  <c r="W2030" i="9" s="1"/>
  <c r="U2030" i="9"/>
  <c r="T2030" i="9"/>
  <c r="V2029" i="9" a="1"/>
  <c r="W2029" i="9" s="1"/>
  <c r="U2029" i="9"/>
  <c r="T2029" i="9"/>
  <c r="V2028" i="9" a="1"/>
  <c r="W2028" i="9" s="1"/>
  <c r="T1985" i="9"/>
  <c r="T2028" i="9"/>
  <c r="V2027" i="9" a="1"/>
  <c r="W2027" i="9" s="1"/>
  <c r="U2027" i="9"/>
  <c r="T2027" i="9"/>
  <c r="V2026" i="9" a="1"/>
  <c r="W2026" i="9" s="1"/>
  <c r="U2026" i="9"/>
  <c r="T2026" i="9"/>
  <c r="V2025" i="9" a="1"/>
  <c r="W2025" i="9" s="1"/>
  <c r="U2025" i="9"/>
  <c r="T2025" i="9"/>
  <c r="V2024" i="9" a="1"/>
  <c r="W2024" i="9" s="1"/>
  <c r="U2024" i="9"/>
  <c r="T2024" i="9"/>
  <c r="V2023" i="9" a="1"/>
  <c r="W2023" i="9" s="1"/>
  <c r="U2023" i="9"/>
  <c r="T2023" i="9"/>
  <c r="V2022" i="9" a="1"/>
  <c r="W2022" i="9" s="1"/>
  <c r="U2022" i="9"/>
  <c r="T2022" i="9"/>
  <c r="V2021" i="9" a="1"/>
  <c r="W2021" i="9" s="1"/>
  <c r="U2021" i="9"/>
  <c r="T2021" i="9"/>
  <c r="V2020" i="9" a="1"/>
  <c r="W2020" i="9" s="1"/>
  <c r="U2020" i="9"/>
  <c r="T2020" i="9"/>
  <c r="V2019" i="9" a="1"/>
  <c r="W2019" i="9" s="1"/>
  <c r="U2019" i="9"/>
  <c r="T2019" i="9"/>
  <c r="V2018" i="9" a="1"/>
  <c r="W2018" i="9" s="1"/>
  <c r="U2018" i="9"/>
  <c r="T2018" i="9"/>
  <c r="V2017" i="9" a="1"/>
  <c r="W2017" i="9" s="1"/>
  <c r="U2017" i="9"/>
  <c r="T2017" i="9"/>
  <c r="V2016" i="9" a="1"/>
  <c r="W2016" i="9" s="1"/>
  <c r="U2016" i="9"/>
  <c r="T2016" i="9"/>
  <c r="V2015" i="9" a="1"/>
  <c r="W2015" i="9" s="1"/>
  <c r="U2015" i="9"/>
  <c r="T2015" i="9"/>
  <c r="V2014" i="9" a="1"/>
  <c r="W2014" i="9" s="1"/>
  <c r="U2014" i="9"/>
  <c r="T2014" i="9"/>
  <c r="V2013" i="9" a="1"/>
  <c r="W2013" i="9" s="1"/>
  <c r="U2013" i="9"/>
  <c r="T2013" i="9"/>
  <c r="V2012" i="9" a="1"/>
  <c r="W2012" i="9" s="1"/>
  <c r="U2012" i="9"/>
  <c r="T2012" i="9"/>
  <c r="V2011" i="9" a="1"/>
  <c r="W2011" i="9" s="1"/>
  <c r="U2011" i="9"/>
  <c r="T2011" i="9"/>
  <c r="V2010" i="9" a="1"/>
  <c r="W2010" i="9" s="1"/>
  <c r="U2010" i="9"/>
  <c r="T1992" i="9"/>
  <c r="U1992" i="9"/>
  <c r="V1992" i="9" a="1"/>
  <c r="W1992" i="9" s="1"/>
  <c r="T1993" i="9"/>
  <c r="U1993" i="9"/>
  <c r="V1993" i="9" a="1"/>
  <c r="W1993" i="9" s="1"/>
  <c r="T1994" i="9"/>
  <c r="U1994" i="9"/>
  <c r="V1994" i="9" a="1"/>
  <c r="W1994" i="9" s="1"/>
  <c r="T1995" i="9"/>
  <c r="U1995" i="9"/>
  <c r="V1995" i="9" a="1"/>
  <c r="W1995" i="9" s="1"/>
  <c r="T1996" i="9"/>
  <c r="U1996" i="9"/>
  <c r="V1996" i="9" a="1"/>
  <c r="W1996" i="9" s="1"/>
  <c r="T1997" i="9"/>
  <c r="U1997" i="9"/>
  <c r="V1997" i="9" a="1"/>
  <c r="W1997" i="9" s="1"/>
  <c r="T1998" i="9"/>
  <c r="U1998" i="9"/>
  <c r="V1998" i="9" a="1"/>
  <c r="W1998" i="9" s="1"/>
  <c r="T1999" i="9"/>
  <c r="U1999" i="9"/>
  <c r="V1999" i="9" a="1"/>
  <c r="W1999" i="9" s="1"/>
  <c r="T2000" i="9"/>
  <c r="U2000" i="9"/>
  <c r="V2000" i="9" a="1"/>
  <c r="W2000" i="9" s="1"/>
  <c r="T2001" i="9"/>
  <c r="U2001" i="9"/>
  <c r="V2001" i="9" a="1"/>
  <c r="W2001" i="9" s="1"/>
  <c r="T2002" i="9"/>
  <c r="U2002" i="9"/>
  <c r="V2002" i="9" a="1"/>
  <c r="W2002" i="9" s="1"/>
  <c r="T2003" i="9"/>
  <c r="U2003" i="9"/>
  <c r="V2003" i="9" a="1"/>
  <c r="W2003" i="9" s="1"/>
  <c r="T2004" i="9"/>
  <c r="U2004" i="9"/>
  <c r="V2004" i="9" a="1"/>
  <c r="W2004" i="9" s="1"/>
  <c r="T2005" i="9"/>
  <c r="U2005" i="9"/>
  <c r="V2005" i="9" a="1"/>
  <c r="W2005" i="9" s="1"/>
  <c r="T2006" i="9"/>
  <c r="U2006" i="9"/>
  <c r="V2006" i="9" a="1"/>
  <c r="W2006" i="9" s="1"/>
  <c r="T2007" i="9"/>
  <c r="U2007" i="9"/>
  <c r="V2007" i="9" a="1"/>
  <c r="W2007" i="9" s="1"/>
  <c r="T2008" i="9"/>
  <c r="U2008" i="9"/>
  <c r="V2008" i="9" a="1"/>
  <c r="W2008" i="9" s="1"/>
  <c r="T2009" i="9"/>
  <c r="U2009" i="9"/>
  <c r="V2009" i="9" a="1"/>
  <c r="W2009" i="9" s="1"/>
  <c r="T2010" i="9"/>
  <c r="V1708" i="9" a="1"/>
  <c r="W1708" i="9" s="1"/>
  <c r="T1777" i="9"/>
  <c r="U1708" i="9"/>
  <c r="V1962" i="9" a="1"/>
  <c r="W1962" i="9" s="1"/>
  <c r="T1708" i="9"/>
  <c r="V1776" i="9" a="1"/>
  <c r="W1776" i="9" s="1"/>
  <c r="U1985" i="9"/>
  <c r="U1776" i="9"/>
  <c r="V1707" i="9" a="1"/>
  <c r="W1707" i="9" s="1"/>
  <c r="T1776" i="9"/>
  <c r="U1707" i="9"/>
  <c r="U1962" i="9"/>
  <c r="T1707" i="9"/>
  <c r="V1775" i="9" a="1"/>
  <c r="W1775" i="9" s="1"/>
  <c r="U1775" i="9"/>
  <c r="V1985" i="9" a="1"/>
  <c r="W1985" i="9" s="1"/>
  <c r="T1775" i="9"/>
  <c r="T1962" i="9"/>
  <c r="V1706" i="9" a="1"/>
  <c r="W1706" i="9" s="1"/>
  <c r="V1774" i="9" a="1"/>
  <c r="W1774" i="9" s="1"/>
  <c r="U1706" i="9"/>
  <c r="T1706" i="9"/>
  <c r="U1774" i="9"/>
  <c r="T1986" i="9"/>
  <c r="T1774" i="9"/>
  <c r="V1705" i="9" a="1"/>
  <c r="W1705" i="9" s="1"/>
  <c r="T1976" i="9"/>
  <c r="U1705" i="9"/>
  <c r="V1773" i="9" a="1"/>
  <c r="W1773" i="9" s="1"/>
  <c r="T1705" i="9"/>
  <c r="U1986" i="9"/>
  <c r="U1773" i="9"/>
  <c r="T1773" i="9"/>
  <c r="V1704" i="9" a="1"/>
  <c r="W1704" i="9" s="1"/>
  <c r="V1961" i="9" a="1"/>
  <c r="W1961" i="9" s="1"/>
  <c r="U1704" i="9"/>
  <c r="V1772" i="9" a="1"/>
  <c r="W1772" i="9" s="1"/>
  <c r="T1704" i="9"/>
  <c r="U1772" i="9"/>
  <c r="V1986" i="9" a="1"/>
  <c r="W1986" i="9" s="1"/>
  <c r="T1772" i="9"/>
  <c r="V1703" i="9" a="1"/>
  <c r="W1703" i="9" s="1"/>
  <c r="U1961" i="9"/>
  <c r="U1703" i="9"/>
  <c r="V1771" i="9" a="1"/>
  <c r="W1771" i="9" s="1"/>
  <c r="T1703" i="9"/>
  <c r="T1987" i="9"/>
  <c r="U1771" i="9"/>
  <c r="V1702" i="9" a="1"/>
  <c r="W1702" i="9" s="1"/>
  <c r="T1771" i="9"/>
  <c r="T1961" i="9"/>
  <c r="U1702" i="9"/>
  <c r="V1770" i="9" a="1"/>
  <c r="W1770" i="9" s="1"/>
  <c r="T1702" i="9"/>
  <c r="U1770" i="9"/>
  <c r="T1770" i="9"/>
  <c r="U1987" i="9"/>
  <c r="V1979" i="9" a="1"/>
  <c r="W1979" i="9" s="1"/>
  <c r="V1701" i="9" a="1"/>
  <c r="W1701" i="9" s="1"/>
  <c r="V1811" i="9" a="1"/>
  <c r="W1811" i="9" s="1"/>
  <c r="U1811" i="9"/>
  <c r="T1811" i="9"/>
  <c r="T1971" i="9"/>
  <c r="V1810" i="9" a="1"/>
  <c r="W1810" i="9" s="1"/>
  <c r="U1810" i="9"/>
  <c r="T1810" i="9"/>
  <c r="U1978" i="9"/>
  <c r="V1809" i="9" a="1"/>
  <c r="W1809" i="9" s="1"/>
  <c r="U1809" i="9"/>
  <c r="T1809" i="9"/>
  <c r="V1970" i="9" a="1"/>
  <c r="W1970" i="9" s="1"/>
  <c r="V1808" i="9" a="1"/>
  <c r="W1808" i="9" s="1"/>
  <c r="U1808" i="9"/>
  <c r="T1808" i="9"/>
  <c r="U1970" i="9"/>
  <c r="V1807" i="9" a="1"/>
  <c r="W1807" i="9" s="1"/>
  <c r="U1807" i="9"/>
  <c r="T1807" i="9"/>
  <c r="T1970" i="9"/>
  <c r="V1806" i="9" a="1"/>
  <c r="W1806" i="9" s="1"/>
  <c r="U1806" i="9"/>
  <c r="T1806" i="9"/>
  <c r="T1978" i="9"/>
  <c r="V1805" i="9" a="1"/>
  <c r="W1805" i="9" s="1"/>
  <c r="U1805" i="9"/>
  <c r="T1805" i="9"/>
  <c r="V1969" i="9" a="1"/>
  <c r="W1969" i="9" s="1"/>
  <c r="V1804" i="9" a="1"/>
  <c r="W1804" i="9" s="1"/>
  <c r="U1804" i="9"/>
  <c r="T1804" i="9"/>
  <c r="U1969" i="9"/>
  <c r="V1803" i="9" a="1"/>
  <c r="W1803" i="9" s="1"/>
  <c r="U1803" i="9"/>
  <c r="T1803" i="9"/>
  <c r="T1969" i="9"/>
  <c r="V1802" i="9" a="1"/>
  <c r="W1802" i="9" s="1"/>
  <c r="U1802" i="9"/>
  <c r="T1802" i="9"/>
  <c r="T1980" i="9"/>
  <c r="V1801" i="9" a="1"/>
  <c r="W1801" i="9" s="1"/>
  <c r="U1801" i="9"/>
  <c r="T1801" i="9"/>
  <c r="V1968" i="9" a="1"/>
  <c r="W1968" i="9" s="1"/>
  <c r="V1800" i="9" a="1"/>
  <c r="W1800" i="9" s="1"/>
  <c r="U1800" i="9"/>
  <c r="T1800" i="9"/>
  <c r="U1968" i="9"/>
  <c r="V1799" i="9" a="1"/>
  <c r="W1799" i="9" s="1"/>
  <c r="U1799" i="9"/>
  <c r="T1799" i="9"/>
  <c r="T1968" i="9"/>
  <c r="V1798" i="9" a="1"/>
  <c r="W1798" i="9" s="1"/>
  <c r="U1798" i="9"/>
  <c r="T1798" i="9"/>
  <c r="V1977" i="9" a="1"/>
  <c r="W1977" i="9" s="1"/>
  <c r="V1797" i="9" a="1"/>
  <c r="W1797" i="9" s="1"/>
  <c r="U1797" i="9"/>
  <c r="T1797" i="9"/>
  <c r="V1967" i="9" a="1"/>
  <c r="W1967" i="9" s="1"/>
  <c r="V1796" i="9" a="1"/>
  <c r="W1796" i="9" s="1"/>
  <c r="U1796" i="9"/>
  <c r="T1796" i="9"/>
  <c r="U1967" i="9"/>
  <c r="V1795" i="9" a="1"/>
  <c r="W1795" i="9" s="1"/>
  <c r="U1795" i="9"/>
  <c r="T1795" i="9"/>
  <c r="T1967" i="9"/>
  <c r="V1794" i="9" a="1"/>
  <c r="W1794" i="9" s="1"/>
  <c r="U1794" i="9"/>
  <c r="T1794" i="9"/>
  <c r="U1977" i="9"/>
  <c r="V1793" i="9" a="1"/>
  <c r="W1793" i="9" s="1"/>
  <c r="U1793" i="9"/>
  <c r="T1793" i="9"/>
  <c r="V1966" i="9" a="1"/>
  <c r="W1966" i="9" s="1"/>
  <c r="V1792" i="9" a="1"/>
  <c r="W1792" i="9" s="1"/>
  <c r="U1792" i="9"/>
  <c r="T1792" i="9"/>
  <c r="U1966" i="9"/>
  <c r="V1791" i="9" a="1"/>
  <c r="W1791" i="9" s="1"/>
  <c r="U1791" i="9"/>
  <c r="T1791" i="9"/>
  <c r="T1966" i="9"/>
  <c r="V1790" i="9" a="1"/>
  <c r="W1790" i="9" s="1"/>
  <c r="U1790" i="9"/>
  <c r="T1790" i="9"/>
  <c r="T1977" i="9"/>
  <c r="V1789" i="9" a="1"/>
  <c r="W1789" i="9" s="1"/>
  <c r="U1789" i="9"/>
  <c r="T1789" i="9"/>
  <c r="V1965" i="9" a="1"/>
  <c r="W1965" i="9" s="1"/>
  <c r="V1788" i="9" a="1"/>
  <c r="W1788" i="9" s="1"/>
  <c r="U1788" i="9"/>
  <c r="T1788" i="9"/>
  <c r="U1965" i="9"/>
  <c r="V1787" i="9" a="1"/>
  <c r="W1787" i="9" s="1"/>
  <c r="U1787" i="9"/>
  <c r="T1787" i="9"/>
  <c r="T1965" i="9"/>
  <c r="V1786" i="9" a="1"/>
  <c r="W1786" i="9" s="1"/>
  <c r="U1786" i="9"/>
  <c r="T1786" i="9"/>
  <c r="V1980" i="9" a="1"/>
  <c r="W1980" i="9" s="1"/>
  <c r="V1785" i="9" a="1"/>
  <c r="W1785" i="9" s="1"/>
  <c r="U1785" i="9"/>
  <c r="T1785" i="9"/>
  <c r="V1964" i="9" a="1"/>
  <c r="W1964" i="9" s="1"/>
  <c r="V1784" i="9" a="1"/>
  <c r="W1784" i="9" s="1"/>
  <c r="U1784" i="9"/>
  <c r="T1784" i="9"/>
  <c r="U1964" i="9"/>
  <c r="V1783" i="9" a="1"/>
  <c r="W1783" i="9" s="1"/>
  <c r="U1783" i="9"/>
  <c r="T1783" i="9"/>
  <c r="T1964" i="9"/>
  <c r="V1782" i="9" a="1"/>
  <c r="W1782" i="9" s="1"/>
  <c r="U1782" i="9"/>
  <c r="T1782" i="9"/>
  <c r="V1976" i="9" a="1"/>
  <c r="W1976" i="9" s="1"/>
  <c r="V1781" i="9" a="1"/>
  <c r="W1781" i="9" s="1"/>
  <c r="U1781" i="9"/>
  <c r="T1781" i="9"/>
  <c r="V1963" i="9" a="1"/>
  <c r="W1963" i="9" s="1"/>
  <c r="V1780" i="9" a="1"/>
  <c r="W1780" i="9" s="1"/>
  <c r="U1780" i="9"/>
  <c r="T1780" i="9"/>
  <c r="U1963" i="9"/>
  <c r="V1779" i="9" a="1"/>
  <c r="W1779" i="9" s="1"/>
  <c r="U1779" i="9"/>
  <c r="T1779" i="9"/>
  <c r="T1963" i="9"/>
  <c r="V1778" i="9" a="1"/>
  <c r="W1778" i="9" s="1"/>
  <c r="U1778" i="9"/>
  <c r="T1778" i="9"/>
  <c r="U1976" i="9"/>
  <c r="V1777" i="9" a="1"/>
  <c r="W1777" i="9" s="1"/>
  <c r="U1777" i="9"/>
  <c r="T1701" i="9"/>
  <c r="V1987" i="9" a="1"/>
  <c r="W1987" i="9" s="1"/>
  <c r="V1700" i="9" a="1"/>
  <c r="W1700" i="9" s="1"/>
  <c r="U1700" i="9"/>
  <c r="T1700" i="9"/>
  <c r="T1988" i="9"/>
  <c r="V1699" i="9" a="1"/>
  <c r="W1699" i="9" s="1"/>
  <c r="U1699" i="9"/>
  <c r="T1699" i="9"/>
  <c r="U1988" i="9"/>
  <c r="V1698" i="9" a="1"/>
  <c r="W1698" i="9" s="1"/>
  <c r="U1698" i="9"/>
  <c r="T1698" i="9"/>
  <c r="V1988" i="9" a="1"/>
  <c r="W1988" i="9" s="1"/>
  <c r="V1697" i="9" a="1"/>
  <c r="W1697" i="9" s="1"/>
  <c r="U1697" i="9"/>
  <c r="T1697" i="9"/>
  <c r="T1989" i="9"/>
  <c r="V1696" i="9" a="1"/>
  <c r="W1696" i="9" s="1"/>
  <c r="U1696" i="9"/>
  <c r="T1696" i="9"/>
  <c r="U1989" i="9"/>
  <c r="V1695" i="9" a="1"/>
  <c r="W1695" i="9" s="1"/>
  <c r="U1695" i="9"/>
  <c r="T1695" i="9"/>
  <c r="V1989" i="9" a="1"/>
  <c r="W1989" i="9" s="1"/>
  <c r="V1694" i="9" a="1"/>
  <c r="W1694" i="9" s="1"/>
  <c r="U1694" i="9"/>
  <c r="T1694" i="9"/>
  <c r="T1990" i="9"/>
  <c r="V1693" i="9" a="1"/>
  <c r="W1693" i="9" s="1"/>
  <c r="U1693" i="9"/>
  <c r="T1693" i="9"/>
  <c r="U1990" i="9"/>
  <c r="V1692" i="9" a="1"/>
  <c r="W1692" i="9" s="1"/>
  <c r="U1692" i="9"/>
  <c r="T1692" i="9"/>
  <c r="V1990" i="9" a="1"/>
  <c r="W1990" i="9" s="1"/>
  <c r="V1691" i="9" a="1"/>
  <c r="W1691" i="9" s="1"/>
  <c r="U1691" i="9"/>
  <c r="T1691" i="9"/>
  <c r="T1991" i="9"/>
  <c r="V1690" i="9" a="1"/>
  <c r="W1690" i="9" s="1"/>
  <c r="U1690" i="9"/>
  <c r="T1690" i="9"/>
  <c r="U1991" i="9"/>
  <c r="V1689" i="9" a="1"/>
  <c r="W1689" i="9" s="1"/>
  <c r="U1689" i="9"/>
  <c r="T1689" i="9"/>
  <c r="V1991" i="9" a="1"/>
  <c r="W1991" i="9" s="1"/>
  <c r="V1688" i="9" a="1"/>
  <c r="W1688" i="9" s="1"/>
  <c r="U1688" i="9"/>
  <c r="T1688" i="9"/>
  <c r="V1769" i="9" a="1"/>
  <c r="W1769" i="9" s="1"/>
  <c r="U1769" i="9"/>
  <c r="T1769" i="9"/>
  <c r="V1960" i="9" a="1"/>
  <c r="W1960" i="9" s="1"/>
  <c r="V1768" i="9" a="1"/>
  <c r="W1768" i="9" s="1"/>
  <c r="U1768" i="9"/>
  <c r="T1768" i="9"/>
  <c r="U1960" i="9"/>
  <c r="V1767" i="9" a="1"/>
  <c r="W1767" i="9" s="1"/>
  <c r="U1767" i="9"/>
  <c r="T1767" i="9"/>
  <c r="T1960" i="9"/>
  <c r="V1766" i="9" a="1"/>
  <c r="W1766" i="9" s="1"/>
  <c r="U1766" i="9"/>
  <c r="T1766" i="9"/>
  <c r="V1975" i="9" a="1"/>
  <c r="W1975" i="9" s="1"/>
  <c r="V1765" i="9" a="1"/>
  <c r="W1765" i="9" s="1"/>
  <c r="U1765" i="9"/>
  <c r="T1765" i="9"/>
  <c r="V1959" i="9" a="1"/>
  <c r="W1959" i="9" s="1"/>
  <c r="V1764" i="9" a="1"/>
  <c r="W1764" i="9" s="1"/>
  <c r="U1764" i="9"/>
  <c r="T1764" i="9"/>
  <c r="U1959" i="9"/>
  <c r="V1763" i="9" a="1"/>
  <c r="W1763" i="9" s="1"/>
  <c r="U1763" i="9"/>
  <c r="T1763" i="9"/>
  <c r="T1959" i="9"/>
  <c r="V1762" i="9" a="1"/>
  <c r="W1762" i="9" s="1"/>
  <c r="U1762" i="9"/>
  <c r="T1762" i="9"/>
  <c r="U1975" i="9"/>
  <c r="V1761" i="9" a="1"/>
  <c r="W1761" i="9" s="1"/>
  <c r="U1761" i="9"/>
  <c r="T1761" i="9"/>
  <c r="V1958" i="9" a="1"/>
  <c r="W1958" i="9" s="1"/>
  <c r="V1760" i="9" a="1"/>
  <c r="W1760" i="9" s="1"/>
  <c r="U1760" i="9"/>
  <c r="T1760" i="9"/>
  <c r="U1958" i="9"/>
  <c r="V1759" i="9" a="1"/>
  <c r="W1759" i="9" s="1"/>
  <c r="U1759" i="9"/>
  <c r="T1759" i="9"/>
  <c r="T1958" i="9"/>
  <c r="V1758" i="9" a="1"/>
  <c r="W1758" i="9" s="1"/>
  <c r="V1472" i="9" a="1"/>
  <c r="W1472" i="9" s="1"/>
  <c r="U1472" i="9"/>
  <c r="T1472" i="9"/>
  <c r="V1471" i="9" a="1"/>
  <c r="W1471" i="9" s="1"/>
  <c r="U1471" i="9"/>
  <c r="T1471" i="9"/>
  <c r="V1470" i="9" a="1"/>
  <c r="W1470" i="9" s="1"/>
  <c r="U1470" i="9"/>
  <c r="T1470" i="9"/>
  <c r="V1469" i="9" a="1"/>
  <c r="W1469" i="9" s="1"/>
  <c r="U1469" i="9"/>
  <c r="T1469" i="9"/>
  <c r="V1468" i="9" a="1"/>
  <c r="W1468" i="9" s="1"/>
  <c r="U1468" i="9"/>
  <c r="T1468" i="9"/>
  <c r="V1467" i="9" a="1"/>
  <c r="W1467" i="9" s="1"/>
  <c r="U1467" i="9"/>
  <c r="T1467" i="9"/>
  <c r="V1466" i="9" a="1"/>
  <c r="W1466" i="9" s="1"/>
  <c r="U1466" i="9"/>
  <c r="T1466" i="9"/>
  <c r="V1465" i="9" a="1"/>
  <c r="W1465" i="9" s="1"/>
  <c r="U1465" i="9"/>
  <c r="T1465" i="9"/>
  <c r="V1464" i="9" a="1"/>
  <c r="W1464" i="9" s="1"/>
  <c r="U1464" i="9"/>
  <c r="T1464" i="9"/>
  <c r="V1463" i="9" a="1"/>
  <c r="W1463" i="9" s="1"/>
  <c r="U1463" i="9"/>
  <c r="T1463" i="9"/>
  <c r="V1462" i="9" a="1"/>
  <c r="W1462" i="9" s="1"/>
  <c r="U1462" i="9"/>
  <c r="T1462" i="9"/>
  <c r="V1461" i="9" a="1"/>
  <c r="W1461" i="9" s="1"/>
  <c r="U1461" i="9"/>
  <c r="T1461" i="9"/>
  <c r="V1460" i="9" a="1"/>
  <c r="W1460" i="9" s="1"/>
  <c r="U1460" i="9"/>
  <c r="T1460" i="9"/>
  <c r="V1459" i="9" a="1"/>
  <c r="W1459" i="9" s="1"/>
  <c r="U1459" i="9"/>
  <c r="T1459" i="9"/>
  <c r="V1458" i="9" a="1"/>
  <c r="W1458" i="9" s="1"/>
  <c r="U1458" i="9"/>
  <c r="T1458" i="9"/>
  <c r="V1457" i="9" a="1"/>
  <c r="W1457" i="9" s="1"/>
  <c r="U1457" i="9"/>
  <c r="T1457" i="9"/>
  <c r="V1456" i="9" a="1"/>
  <c r="W1456" i="9" s="1"/>
  <c r="U1456" i="9"/>
  <c r="T1456" i="9"/>
  <c r="V1455" i="9" a="1"/>
  <c r="W1455" i="9" s="1"/>
  <c r="U1455" i="9"/>
  <c r="T1455" i="9"/>
  <c r="V1454" i="9" a="1"/>
  <c r="W1454" i="9" s="1"/>
  <c r="U1454" i="9"/>
  <c r="T1454" i="9"/>
  <c r="V1453" i="9" a="1"/>
  <c r="W1453" i="9" s="1"/>
  <c r="U1453" i="9"/>
  <c r="T1453" i="9"/>
  <c r="V1452" i="9" a="1"/>
  <c r="W1452" i="9" s="1"/>
  <c r="U1452" i="9"/>
  <c r="T1452" i="9"/>
  <c r="V1451" i="9" a="1"/>
  <c r="W1451" i="9" s="1"/>
  <c r="U1451" i="9"/>
  <c r="T1451" i="9"/>
  <c r="V1450" i="9" a="1"/>
  <c r="W1450" i="9" s="1"/>
  <c r="U1450" i="9"/>
  <c r="T1450" i="9"/>
  <c r="V1449" i="9" a="1"/>
  <c r="W1449" i="9" s="1"/>
  <c r="U1449" i="9"/>
  <c r="T1449" i="9"/>
  <c r="V1448" i="9" a="1"/>
  <c r="W1448" i="9" s="1"/>
  <c r="U1448" i="9"/>
  <c r="T1448" i="9"/>
  <c r="V1447" i="9" a="1"/>
  <c r="W1447" i="9" s="1"/>
  <c r="U1447" i="9"/>
  <c r="T1447" i="9"/>
  <c r="V1446" i="9" a="1"/>
  <c r="W1446" i="9" s="1"/>
  <c r="U1446" i="9"/>
  <c r="T1446" i="9"/>
  <c r="V1445" i="9" a="1"/>
  <c r="W1445" i="9" s="1"/>
  <c r="U1445" i="9"/>
  <c r="T1445" i="9"/>
  <c r="V1444" i="9" a="1"/>
  <c r="W1444" i="9" s="1"/>
  <c r="U1444" i="9"/>
  <c r="T1444" i="9"/>
  <c r="V1443" i="9" a="1"/>
  <c r="W1443" i="9" s="1"/>
  <c r="U1443" i="9"/>
  <c r="T1443" i="9"/>
  <c r="V1442" i="9" a="1"/>
  <c r="W1442" i="9" s="1"/>
  <c r="U1442" i="9"/>
  <c r="T1442" i="9"/>
  <c r="V1441" i="9" a="1"/>
  <c r="W1441" i="9" s="1"/>
  <c r="U1441" i="9"/>
  <c r="T1441" i="9"/>
  <c r="V1440" i="9" a="1"/>
  <c r="W1440" i="9" s="1"/>
  <c r="U1440" i="9"/>
  <c r="T1440" i="9"/>
  <c r="V1439" i="9" a="1"/>
  <c r="W1439" i="9" s="1"/>
  <c r="U1758" i="9"/>
  <c r="T1439" i="9"/>
  <c r="V1438" i="9" a="1"/>
  <c r="W1438" i="9" s="1"/>
  <c r="U1438" i="9"/>
  <c r="T1438" i="9"/>
  <c r="V1437" i="9" a="1"/>
  <c r="W1437" i="9" s="1"/>
  <c r="U1437" i="9"/>
  <c r="T1437" i="9"/>
  <c r="V1436" i="9" a="1"/>
  <c r="W1436" i="9" s="1"/>
  <c r="U1436" i="9"/>
  <c r="T1436" i="9"/>
  <c r="V1435" i="9" a="1"/>
  <c r="W1435" i="9" s="1"/>
  <c r="U1435" i="9"/>
  <c r="T1435" i="9"/>
  <c r="V1434" i="9" a="1"/>
  <c r="W1434" i="9" s="1"/>
  <c r="U1434" i="9"/>
  <c r="T1434" i="9"/>
  <c r="V1433" i="9" a="1"/>
  <c r="W1433" i="9" s="1"/>
  <c r="U1433" i="9"/>
  <c r="T1433" i="9"/>
  <c r="V1432" i="9" a="1"/>
  <c r="W1432" i="9" s="1"/>
  <c r="U1432" i="9"/>
  <c r="T1432" i="9"/>
  <c r="V1431" i="9" a="1"/>
  <c r="W1431" i="9" s="1"/>
  <c r="U1431" i="9"/>
  <c r="T1431" i="9"/>
  <c r="V1430" i="9" a="1"/>
  <c r="W1430" i="9" s="1"/>
  <c r="U1430" i="9"/>
  <c r="T1430" i="9"/>
  <c r="V1429" i="9" a="1"/>
  <c r="W1429" i="9" s="1"/>
  <c r="U1429" i="9"/>
  <c r="T1429" i="9"/>
  <c r="V1428" i="9" a="1"/>
  <c r="W1428" i="9" s="1"/>
  <c r="U1428" i="9"/>
  <c r="T1428" i="9"/>
  <c r="V1427" i="9" a="1"/>
  <c r="W1427" i="9" s="1"/>
  <c r="U1427" i="9"/>
  <c r="T1427" i="9"/>
  <c r="V1426" i="9" a="1"/>
  <c r="W1426" i="9" s="1"/>
  <c r="U1426" i="9"/>
  <c r="T1426" i="9"/>
  <c r="V1425" i="9" a="1"/>
  <c r="W1425" i="9" s="1"/>
  <c r="U1425" i="9"/>
  <c r="T1425" i="9"/>
  <c r="V1424" i="9" a="1"/>
  <c r="W1424" i="9" s="1"/>
  <c r="U1424" i="9"/>
  <c r="T1424" i="9"/>
  <c r="V1423" i="9" a="1"/>
  <c r="W1423" i="9" s="1"/>
  <c r="U1423" i="9"/>
  <c r="T1423" i="9"/>
  <c r="V1422" i="9" a="1"/>
  <c r="W1422" i="9" s="1"/>
  <c r="U1422" i="9"/>
  <c r="T1422" i="9"/>
  <c r="V1421" i="9" a="1"/>
  <c r="W1421" i="9" s="1"/>
  <c r="U1421" i="9"/>
  <c r="T1421" i="9"/>
  <c r="V1420" i="9" a="1"/>
  <c r="W1420" i="9" s="1"/>
  <c r="U1420" i="9"/>
  <c r="T1420" i="9"/>
  <c r="V1419" i="9" a="1"/>
  <c r="W1419" i="9" s="1"/>
  <c r="U1419" i="9"/>
  <c r="T1419" i="9"/>
  <c r="V1418" i="9" a="1"/>
  <c r="W1418" i="9" s="1"/>
  <c r="U1418" i="9"/>
  <c r="T1418" i="9"/>
  <c r="V1417" i="9" a="1"/>
  <c r="W1417" i="9" s="1"/>
  <c r="U1417" i="9"/>
  <c r="T1417" i="9"/>
  <c r="V1416" i="9" a="1"/>
  <c r="W1416" i="9" s="1"/>
  <c r="U1416" i="9"/>
  <c r="T1416" i="9"/>
  <c r="V1415" i="9" a="1"/>
  <c r="W1415" i="9" s="1"/>
  <c r="U1415" i="9"/>
  <c r="T1415" i="9"/>
  <c r="V1414" i="9" a="1"/>
  <c r="W1414" i="9" s="1"/>
  <c r="U1414" i="9"/>
  <c r="T1414" i="9"/>
  <c r="V1413" i="9" a="1"/>
  <c r="W1413" i="9" s="1"/>
  <c r="U1413" i="9"/>
  <c r="T1413" i="9"/>
  <c r="V1412" i="9" a="1"/>
  <c r="W1412" i="9" s="1"/>
  <c r="U1412" i="9"/>
  <c r="T1412" i="9"/>
  <c r="V1411" i="9" a="1"/>
  <c r="W1411" i="9" s="1"/>
  <c r="U1411" i="9"/>
  <c r="T1411" i="9"/>
  <c r="V1410" i="9" a="1"/>
  <c r="W1410" i="9" s="1"/>
  <c r="U1410" i="9"/>
  <c r="T1410" i="9"/>
  <c r="V1409" i="9" a="1"/>
  <c r="W1409" i="9" s="1"/>
  <c r="U1409" i="9"/>
  <c r="T1409" i="9"/>
  <c r="V1408" i="9" a="1"/>
  <c r="W1408" i="9" s="1"/>
  <c r="U1408" i="9"/>
  <c r="T1408" i="9"/>
  <c r="V1407" i="9" a="1"/>
  <c r="W1407" i="9" s="1"/>
  <c r="U1407" i="9"/>
  <c r="T1407" i="9"/>
  <c r="V1406" i="9" a="1"/>
  <c r="W1406" i="9" s="1"/>
  <c r="U1406" i="9"/>
  <c r="T1406" i="9"/>
  <c r="V1405" i="9" a="1"/>
  <c r="W1405" i="9" s="1"/>
  <c r="U1405" i="9"/>
  <c r="T1405" i="9"/>
  <c r="V1404" i="9" a="1"/>
  <c r="W1404" i="9" s="1"/>
  <c r="U1404" i="9"/>
  <c r="T1404" i="9"/>
  <c r="V1403" i="9" a="1"/>
  <c r="W1403" i="9" s="1"/>
  <c r="U1403" i="9"/>
  <c r="T1403" i="9"/>
  <c r="V1402" i="9" a="1"/>
  <c r="W1402" i="9" s="1"/>
  <c r="U1402" i="9"/>
  <c r="T1402" i="9"/>
  <c r="V1401" i="9" a="1"/>
  <c r="W1401" i="9" s="1"/>
  <c r="U1401" i="9"/>
  <c r="T1401" i="9"/>
  <c r="V1400" i="9" a="1"/>
  <c r="W1400" i="9" s="1"/>
  <c r="U1400" i="9"/>
  <c r="T1400" i="9"/>
  <c r="V1399" i="9" a="1"/>
  <c r="W1399" i="9" s="1"/>
  <c r="U1399" i="9"/>
  <c r="T1399" i="9"/>
  <c r="V1398" i="9" a="1"/>
  <c r="W1398" i="9" s="1"/>
  <c r="U1398" i="9"/>
  <c r="T1398" i="9"/>
  <c r="V1397" i="9" a="1"/>
  <c r="W1397" i="9" s="1"/>
  <c r="U1397" i="9"/>
  <c r="T1397" i="9"/>
  <c r="V1396" i="9" a="1"/>
  <c r="W1396" i="9" s="1"/>
  <c r="U1396" i="9"/>
  <c r="T1396" i="9"/>
  <c r="V1395" i="9" a="1"/>
  <c r="W1395" i="9" s="1"/>
  <c r="U1395" i="9"/>
  <c r="T1395" i="9"/>
  <c r="V1394" i="9" a="1"/>
  <c r="W1394" i="9" s="1"/>
  <c r="U1394" i="9"/>
  <c r="T1394" i="9"/>
  <c r="V1393" i="9" a="1"/>
  <c r="W1393" i="9" s="1"/>
  <c r="U1393" i="9"/>
  <c r="T1393" i="9"/>
  <c r="V1392" i="9" a="1"/>
  <c r="W1392" i="9" s="1"/>
  <c r="U1392" i="9"/>
  <c r="T1392" i="9"/>
  <c r="V1391" i="9" a="1"/>
  <c r="W1391" i="9" s="1"/>
  <c r="U1391" i="9"/>
  <c r="T1391" i="9"/>
  <c r="V1390" i="9" a="1"/>
  <c r="W1390" i="9" s="1"/>
  <c r="U1390" i="9"/>
  <c r="T1390" i="9"/>
  <c r="V1389" i="9" a="1"/>
  <c r="W1389" i="9" s="1"/>
  <c r="U1389" i="9"/>
  <c r="T1389" i="9"/>
  <c r="V1388" i="9" a="1"/>
  <c r="W1388" i="9" s="1"/>
  <c r="U1388" i="9"/>
  <c r="T1388" i="9"/>
  <c r="V1387" i="9" a="1"/>
  <c r="W1387" i="9" s="1"/>
  <c r="U1387" i="9"/>
  <c r="T1387" i="9"/>
  <c r="V1386" i="9" a="1"/>
  <c r="W1386" i="9" s="1"/>
  <c r="U1386" i="9"/>
  <c r="T1386" i="9"/>
  <c r="V1385" i="9" a="1"/>
  <c r="W1385" i="9" s="1"/>
  <c r="U1385" i="9"/>
  <c r="T1385" i="9"/>
  <c r="V1384" i="9" a="1"/>
  <c r="W1384" i="9" s="1"/>
  <c r="U1384" i="9"/>
  <c r="T1384" i="9"/>
  <c r="V1383" i="9" a="1"/>
  <c r="W1383" i="9" s="1"/>
  <c r="U1383" i="9"/>
  <c r="T1383" i="9"/>
  <c r="V1382" i="9" a="1"/>
  <c r="W1382" i="9" s="1"/>
  <c r="U1382" i="9"/>
  <c r="T1382" i="9"/>
  <c r="V1381" i="9" a="1"/>
  <c r="W1381" i="9" s="1"/>
  <c r="U1381" i="9"/>
  <c r="T1381" i="9"/>
  <c r="V1380" i="9" a="1"/>
  <c r="W1380" i="9" s="1"/>
  <c r="U1380" i="9"/>
  <c r="T1380" i="9"/>
  <c r="V1379" i="9" a="1"/>
  <c r="W1379" i="9" s="1"/>
  <c r="U1379" i="9"/>
  <c r="T1379" i="9"/>
  <c r="V1378" i="9" a="1"/>
  <c r="W1378" i="9" s="1"/>
  <c r="U1378" i="9"/>
  <c r="T1378" i="9"/>
  <c r="V1377" i="9" a="1"/>
  <c r="W1377" i="9" s="1"/>
  <c r="U1377" i="9"/>
  <c r="T1377" i="9"/>
  <c r="V1376" i="9" a="1"/>
  <c r="W1376" i="9" s="1"/>
  <c r="U1376" i="9"/>
  <c r="T1376" i="9"/>
  <c r="V1375" i="9" a="1"/>
  <c r="W1375" i="9" s="1"/>
  <c r="U1375" i="9"/>
  <c r="T1375" i="9"/>
  <c r="V1374" i="9" a="1"/>
  <c r="W1374" i="9" s="1"/>
  <c r="U1374" i="9"/>
  <c r="T1374" i="9"/>
  <c r="V1373" i="9" a="1"/>
  <c r="W1373" i="9" s="1"/>
  <c r="U1373" i="9"/>
  <c r="T1373" i="9"/>
  <c r="V1372" i="9" a="1"/>
  <c r="W1372" i="9" s="1"/>
  <c r="U1372" i="9"/>
  <c r="T1372" i="9"/>
  <c r="V1371" i="9" a="1"/>
  <c r="W1371" i="9" s="1"/>
  <c r="U1371" i="9"/>
  <c r="T1371" i="9"/>
  <c r="V1370" i="9" a="1"/>
  <c r="W1370" i="9" s="1"/>
  <c r="U1370" i="9"/>
  <c r="T1370" i="9"/>
  <c r="V1369" i="9" a="1"/>
  <c r="W1369" i="9" s="1"/>
  <c r="U1369" i="9"/>
  <c r="T1369" i="9"/>
  <c r="V1368" i="9" a="1"/>
  <c r="W1368" i="9" s="1"/>
  <c r="U1368" i="9"/>
  <c r="T1368" i="9"/>
  <c r="V1367" i="9" a="1"/>
  <c r="W1367" i="9" s="1"/>
  <c r="U1367" i="9"/>
  <c r="T1367" i="9"/>
  <c r="V1366" i="9" a="1"/>
  <c r="W1366" i="9" s="1"/>
  <c r="U1366" i="9"/>
  <c r="T1366" i="9"/>
  <c r="V1365" i="9" a="1"/>
  <c r="W1365" i="9" s="1"/>
  <c r="U1365" i="9"/>
  <c r="T1365" i="9"/>
  <c r="V1364" i="9" a="1"/>
  <c r="W1364" i="9" s="1"/>
  <c r="U1364" i="9"/>
  <c r="T1364" i="9"/>
  <c r="V1363" i="9" a="1"/>
  <c r="W1363" i="9" s="1"/>
  <c r="U1363" i="9"/>
  <c r="T1363" i="9"/>
  <c r="V1362" i="9" a="1"/>
  <c r="W1362" i="9" s="1"/>
  <c r="U1362" i="9"/>
  <c r="T1362" i="9"/>
  <c r="V1361" i="9" a="1"/>
  <c r="W1361" i="9" s="1"/>
  <c r="U1361" i="9"/>
  <c r="T1361" i="9"/>
  <c r="U1439" i="9"/>
  <c r="U1360" i="9"/>
  <c r="T1360" i="9"/>
  <c r="V1359" i="9" a="1"/>
  <c r="W1359" i="9" s="1"/>
  <c r="T1758" i="9"/>
  <c r="T1975" i="9"/>
  <c r="V1757" i="9" a="1"/>
  <c r="W1757" i="9" s="1"/>
  <c r="U1757" i="9"/>
  <c r="T1757" i="9"/>
  <c r="V1957" i="9" a="1"/>
  <c r="W1957" i="9" s="1"/>
  <c r="V1756" i="9" a="1"/>
  <c r="W1756" i="9" s="1"/>
  <c r="U1756" i="9"/>
  <c r="T1756" i="9"/>
  <c r="U1957" i="9"/>
  <c r="V1755" i="9" a="1"/>
  <c r="W1755" i="9" s="1"/>
  <c r="U1755" i="9"/>
  <c r="T1755" i="9"/>
  <c r="T1957" i="9"/>
  <c r="V1754" i="9" a="1"/>
  <c r="W1754" i="9" s="1"/>
  <c r="U1754" i="9"/>
  <c r="T1754" i="9"/>
  <c r="U1979" i="9"/>
  <c r="V1753" i="9" a="1"/>
  <c r="W1753" i="9" s="1"/>
  <c r="U1753" i="9"/>
  <c r="T1753" i="9"/>
  <c r="V1956" i="9" a="1"/>
  <c r="W1956" i="9" s="1"/>
  <c r="V1752" i="9" a="1"/>
  <c r="W1752" i="9" s="1"/>
  <c r="U1752" i="9"/>
  <c r="T1752" i="9"/>
  <c r="U1956" i="9"/>
  <c r="V1751" i="9" a="1"/>
  <c r="W1751" i="9" s="1"/>
  <c r="U1751" i="9"/>
  <c r="T1751" i="9"/>
  <c r="T1956" i="9"/>
  <c r="V1750" i="9" a="1"/>
  <c r="W1750" i="9" s="1"/>
  <c r="U1750" i="9"/>
  <c r="T1750" i="9"/>
  <c r="V1974" i="9" a="1"/>
  <c r="W1974" i="9" s="1"/>
  <c r="V1749" i="9" a="1"/>
  <c r="W1749" i="9" s="1"/>
  <c r="U1749" i="9"/>
  <c r="T1749" i="9"/>
  <c r="V1955" i="9" a="1"/>
  <c r="W1955" i="9" s="1"/>
  <c r="V1748" i="9" a="1"/>
  <c r="W1748" i="9" s="1"/>
  <c r="U1748" i="9"/>
  <c r="T1748" i="9"/>
  <c r="U1955" i="9"/>
  <c r="V1747" i="9" a="1"/>
  <c r="W1747" i="9" s="1"/>
  <c r="U1747" i="9"/>
  <c r="T2079" i="9"/>
  <c r="T1747" i="9"/>
  <c r="T1955" i="9"/>
  <c r="V1746" i="9" a="1"/>
  <c r="W1746" i="9" s="1"/>
  <c r="U1746" i="9"/>
  <c r="T1746" i="9"/>
  <c r="U1974" i="9"/>
  <c r="V1745" i="9" a="1"/>
  <c r="W1745" i="9" s="1"/>
  <c r="U1745" i="9"/>
  <c r="T1745" i="9"/>
  <c r="V1954" i="9" a="1"/>
  <c r="W1954" i="9" s="1"/>
  <c r="V1744" i="9" a="1"/>
  <c r="W1744" i="9" s="1"/>
  <c r="U1744" i="9"/>
  <c r="T1744" i="9"/>
  <c r="U1954" i="9"/>
  <c r="V1743" i="9" a="1"/>
  <c r="W1743" i="9" s="1"/>
  <c r="U1743" i="9"/>
  <c r="T1743" i="9"/>
  <c r="T1954" i="9"/>
  <c r="V1742" i="9" a="1"/>
  <c r="W1742" i="9" s="1"/>
  <c r="U1742" i="9"/>
  <c r="T1742" i="9"/>
  <c r="T1974" i="9"/>
  <c r="V1741" i="9" a="1"/>
  <c r="W1741" i="9" s="1"/>
  <c r="U1741" i="9"/>
  <c r="T1741" i="9"/>
  <c r="T1981" i="9"/>
  <c r="V1740" i="9" a="1"/>
  <c r="W1740" i="9" s="1"/>
  <c r="U1740" i="9"/>
  <c r="T1740" i="9"/>
  <c r="V1953" i="9" a="1"/>
  <c r="W1953" i="9" s="1"/>
  <c r="U1135" i="9"/>
  <c r="T1135" i="9"/>
  <c r="V1134" i="9" a="1"/>
  <c r="W1134" i="9" s="1"/>
  <c r="U1134" i="9"/>
  <c r="T1134" i="9"/>
  <c r="V1133" i="9" a="1"/>
  <c r="W1133" i="9" s="1"/>
  <c r="U1133" i="9"/>
  <c r="T1133" i="9"/>
  <c r="V1132" i="9" a="1"/>
  <c r="W1132" i="9" s="1"/>
  <c r="U1132" i="9"/>
  <c r="T1132" i="9"/>
  <c r="V1131" i="9" a="1"/>
  <c r="W1131" i="9" s="1"/>
  <c r="U1131" i="9"/>
  <c r="T1131" i="9"/>
  <c r="V1130" i="9" a="1"/>
  <c r="W1130" i="9" s="1"/>
  <c r="U1130" i="9"/>
  <c r="T1130" i="9"/>
  <c r="V1129" i="9" a="1"/>
  <c r="W1129" i="9" s="1"/>
  <c r="U1129" i="9"/>
  <c r="T1129" i="9"/>
  <c r="V1128" i="9" a="1"/>
  <c r="W1128" i="9" s="1"/>
  <c r="U1128" i="9"/>
  <c r="T1128" i="9"/>
  <c r="V1127" i="9" a="1"/>
  <c r="W1127" i="9" s="1"/>
  <c r="U1127" i="9"/>
  <c r="T1127" i="9"/>
  <c r="V1126" i="9" a="1"/>
  <c r="W1126" i="9" s="1"/>
  <c r="U1126" i="9"/>
  <c r="T1126" i="9"/>
  <c r="V1125" i="9" a="1"/>
  <c r="W1125" i="9" s="1"/>
  <c r="U1125" i="9"/>
  <c r="T1125" i="9"/>
  <c r="V1124" i="9" a="1"/>
  <c r="W1124" i="9" s="1"/>
  <c r="U1124" i="9"/>
  <c r="T1124" i="9"/>
  <c r="V1123" i="9" a="1"/>
  <c r="W1123" i="9" s="1"/>
  <c r="U1123" i="9"/>
  <c r="T1123" i="9"/>
  <c r="V1122" i="9" a="1"/>
  <c r="W1122" i="9" s="1"/>
  <c r="U1122" i="9"/>
  <c r="T1122" i="9"/>
  <c r="V1121" i="9" a="1"/>
  <c r="W1121" i="9" s="1"/>
  <c r="U1121" i="9"/>
  <c r="T1121" i="9"/>
  <c r="S6" i="9" s="1"/>
  <c r="V1739" i="9" a="1"/>
  <c r="W1739" i="9" s="1"/>
  <c r="U1739" i="9"/>
  <c r="T1739" i="9"/>
  <c r="U1953" i="9"/>
  <c r="V1738" i="9" a="1"/>
  <c r="W1738" i="9" s="1"/>
  <c r="U1738" i="9"/>
  <c r="T1738" i="9"/>
  <c r="T1953" i="9"/>
  <c r="V1737" i="9" a="1"/>
  <c r="W1737" i="9" s="1"/>
  <c r="U1737" i="9"/>
  <c r="T1737" i="9"/>
  <c r="T1979" i="9"/>
  <c r="V1736" i="9" a="1"/>
  <c r="W1736" i="9" s="1"/>
  <c r="U1736" i="9"/>
  <c r="V1360" i="9" a="1"/>
  <c r="W1360" i="9" s="1"/>
  <c r="I1416" i="9"/>
  <c r="I1174" i="9"/>
  <c r="I1145" i="9"/>
  <c r="I1137" i="9"/>
  <c r="I1415" i="9"/>
  <c r="I1522" i="9"/>
  <c r="AC3" i="8" a="1"/>
  <c r="I1674" i="9"/>
  <c r="I1414" i="9"/>
  <c r="I1668" i="9"/>
  <c r="I1635" i="9"/>
  <c r="I1627" i="9"/>
  <c r="I1413" i="9"/>
  <c r="I1622" i="9"/>
  <c r="I1610" i="9"/>
  <c r="I1607" i="9"/>
  <c r="I1412" i="9"/>
  <c r="I1588" i="9"/>
  <c r="I1568" i="9"/>
  <c r="I1560" i="9"/>
  <c r="I1411" i="9"/>
  <c r="I1548" i="9"/>
  <c r="I1540" i="9"/>
  <c r="I1537" i="9"/>
  <c r="I1410" i="9"/>
  <c r="I1528" i="9"/>
  <c r="I1524" i="9"/>
  <c r="I1501" i="9"/>
  <c r="I1409" i="9"/>
  <c r="I1476" i="9"/>
  <c r="I1281" i="9"/>
  <c r="I1263" i="9"/>
  <c r="I1408" i="9"/>
  <c r="I1250" i="9"/>
  <c r="I1238" i="9"/>
  <c r="I1222" i="9"/>
  <c r="I1407" i="9"/>
  <c r="I1212" i="9"/>
  <c r="I1211" i="9"/>
  <c r="I1194" i="9"/>
  <c r="I1406" i="9"/>
  <c r="I1179" i="9"/>
  <c r="I1160" i="9"/>
  <c r="I1146" i="9"/>
  <c r="I1405" i="9"/>
  <c r="I1136" i="9"/>
  <c r="AB3" i="8" a="1"/>
  <c r="Z3" i="8" a="1"/>
  <c r="I1404" i="9"/>
  <c r="Y3" i="8" a="1"/>
  <c r="X3" i="8" a="1"/>
  <c r="I1035" i="9"/>
  <c r="I1403" i="9"/>
  <c r="I782" i="9"/>
  <c r="I1679" i="9"/>
  <c r="I1665" i="9"/>
  <c r="I1402" i="9"/>
  <c r="I1658" i="9"/>
  <c r="I1640" i="9"/>
  <c r="I1632" i="9"/>
  <c r="I1401" i="9"/>
  <c r="I1621" i="9"/>
  <c r="I1613" i="9"/>
  <c r="I1605" i="9"/>
  <c r="I1400" i="9"/>
  <c r="I1602" i="9"/>
  <c r="I1600" i="9"/>
  <c r="I1594" i="9"/>
  <c r="I1399" i="9"/>
  <c r="I1589" i="9"/>
  <c r="I1570" i="9"/>
  <c r="I1565" i="9"/>
  <c r="I1398" i="9"/>
  <c r="I1557" i="9"/>
  <c r="I1554" i="9"/>
  <c r="I1543" i="9"/>
  <c r="I1397" i="9"/>
  <c r="I1526" i="9"/>
  <c r="I1519" i="9"/>
  <c r="I1515" i="9"/>
  <c r="I1396" i="9"/>
  <c r="I1511" i="9"/>
  <c r="I1507" i="9"/>
  <c r="I1492" i="9"/>
  <c r="I1395" i="9"/>
  <c r="I1486" i="9"/>
  <c r="I1483" i="9"/>
  <c r="I1481" i="9"/>
  <c r="I1394" i="9"/>
  <c r="I1479" i="9"/>
  <c r="I1288" i="9"/>
  <c r="I1287" i="9"/>
  <c r="I1393" i="9"/>
  <c r="I1284" i="9"/>
  <c r="I1273" i="9"/>
  <c r="I1260" i="9"/>
  <c r="I1392" i="9"/>
  <c r="I1248" i="9"/>
  <c r="I1241" i="9"/>
  <c r="I1217" i="9"/>
  <c r="I1391" i="9"/>
  <c r="I1204" i="9"/>
  <c r="I1186" i="9"/>
  <c r="I1167" i="9"/>
  <c r="I1390" i="9"/>
  <c r="I1164" i="9"/>
  <c r="I1154" i="9"/>
  <c r="I1147" i="9"/>
  <c r="I1389" i="9"/>
  <c r="I1143" i="9"/>
  <c r="I1675" i="9"/>
  <c r="I1667" i="9"/>
  <c r="I1388" i="9"/>
  <c r="I1652" i="9"/>
  <c r="I1649" i="9"/>
  <c r="I1646" i="9"/>
  <c r="I1387" i="9"/>
  <c r="I1643" i="9"/>
  <c r="I1636" i="9"/>
  <c r="I1631" i="9"/>
  <c r="I1386" i="9"/>
  <c r="I1623" i="9"/>
  <c r="I1685" i="9"/>
  <c r="I1611" i="9"/>
  <c r="I1385" i="9"/>
  <c r="I1684" i="9"/>
  <c r="I1603" i="9"/>
  <c r="I1683" i="9"/>
  <c r="I1384" i="9"/>
  <c r="I1592" i="9"/>
  <c r="I1682" i="9"/>
  <c r="I1584" i="9"/>
  <c r="I1383" i="9"/>
  <c r="I1681" i="9"/>
  <c r="I1576" i="9"/>
  <c r="I1680" i="9"/>
  <c r="I1382" i="9"/>
  <c r="I1573" i="9"/>
  <c r="I1678" i="9"/>
  <c r="I1561" i="9"/>
  <c r="I1381" i="9"/>
  <c r="I1670" i="9"/>
  <c r="I1549" i="9"/>
  <c r="I1664" i="9"/>
  <c r="I1380" i="9"/>
  <c r="I1661" i="9"/>
  <c r="I1536" i="9"/>
  <c r="I1656" i="9"/>
  <c r="I1379" i="9"/>
  <c r="I1525" i="9"/>
  <c r="I1654" i="9"/>
  <c r="I1510" i="9"/>
  <c r="I1378" i="9"/>
  <c r="I1651" i="9"/>
  <c r="I1504" i="9"/>
  <c r="I1648" i="9"/>
  <c r="I1377" i="9"/>
  <c r="I1488" i="9"/>
  <c r="I1645" i="9"/>
  <c r="I1485" i="9"/>
  <c r="I1376" i="9"/>
  <c r="I1478" i="9"/>
  <c r="I1614" i="9"/>
  <c r="I1276" i="9"/>
  <c r="I1375" i="9"/>
  <c r="I1604" i="9"/>
  <c r="I1272" i="9"/>
  <c r="I1591" i="9"/>
  <c r="I1374" i="9"/>
  <c r="I1267" i="9"/>
  <c r="I1579" i="9"/>
  <c r="I1257" i="9"/>
  <c r="I1373" i="9"/>
  <c r="I1571" i="9"/>
  <c r="I1233" i="9"/>
  <c r="I1567" i="9"/>
  <c r="I1372" i="9"/>
  <c r="I1223" i="9"/>
  <c r="I1564" i="9"/>
  <c r="I1550" i="9"/>
  <c r="I1371" i="9"/>
  <c r="I1207" i="9"/>
  <c r="I1191" i="9"/>
  <c r="I1534" i="9"/>
  <c r="I1370" i="9"/>
  <c r="I1185" i="9"/>
  <c r="I1523" i="9"/>
  <c r="I1182" i="9"/>
  <c r="I1369" i="9"/>
  <c r="I1517" i="9"/>
  <c r="I1173" i="9"/>
  <c r="I1155" i="9"/>
  <c r="I1368" i="9"/>
  <c r="I1508" i="9"/>
  <c r="I1144" i="9"/>
  <c r="I1506" i="9"/>
  <c r="I1367" i="9"/>
  <c r="I1677" i="9"/>
  <c r="I1502" i="9"/>
  <c r="I1673" i="9"/>
  <c r="I1366" i="9"/>
  <c r="I1279" i="9"/>
  <c r="I1265" i="9"/>
  <c r="I1669" i="9"/>
  <c r="I1365" i="9"/>
  <c r="I1249" i="9"/>
  <c r="I1662" i="9"/>
  <c r="I1242" i="9"/>
  <c r="I1364" i="9"/>
  <c r="I1659" i="9"/>
  <c r="I1653" i="9"/>
  <c r="I1227" i="9"/>
  <c r="I1363" i="9"/>
  <c r="I1650" i="9"/>
  <c r="I1213" i="9"/>
  <c r="I1647" i="9"/>
  <c r="I1362" i="9"/>
  <c r="I1200" i="9"/>
  <c r="I1642" i="9"/>
  <c r="I1633" i="9"/>
  <c r="I1361" i="9"/>
  <c r="I1625" i="9"/>
  <c r="I1181" i="9"/>
  <c r="I1615" i="9"/>
  <c r="I1360" i="9"/>
  <c r="I1172" i="9"/>
  <c r="I1359" i="9"/>
  <c r="I1608" i="9"/>
  <c r="I1358" i="9"/>
  <c r="I1168" i="9"/>
  <c r="I1357" i="9"/>
  <c r="I1596" i="9"/>
  <c r="I1356" i="9"/>
  <c r="I1157" i="9"/>
  <c r="I1355" i="9"/>
  <c r="I1150" i="9"/>
  <c r="I1354" i="9"/>
  <c r="I1473" i="9"/>
  <c r="I1353" i="9"/>
  <c r="I1582" i="9"/>
  <c r="I1352" i="9"/>
  <c r="I1574" i="9"/>
  <c r="I1351" i="9"/>
  <c r="I1566" i="9"/>
  <c r="I1350" i="9"/>
  <c r="I1472" i="9"/>
  <c r="I1349" i="9"/>
  <c r="I1558" i="9"/>
  <c r="I1348" i="9"/>
  <c r="I1553" i="9"/>
  <c r="I1347" i="9"/>
  <c r="I1545" i="9"/>
  <c r="I1346" i="9"/>
  <c r="I1471" i="9"/>
  <c r="I1345" i="9"/>
  <c r="I1542" i="9"/>
  <c r="I1344" i="9"/>
  <c r="I1533" i="9"/>
  <c r="I1343" i="9"/>
  <c r="I1262" i="9"/>
  <c r="I1342" i="9"/>
  <c r="I1470" i="9"/>
  <c r="I1341" i="9"/>
  <c r="I1251" i="9"/>
  <c r="I1340" i="9"/>
  <c r="I1243" i="9"/>
  <c r="I1339" i="9"/>
  <c r="I1228" i="9"/>
  <c r="I1338" i="9"/>
  <c r="I1469" i="9"/>
  <c r="I1337" i="9"/>
  <c r="I1221" i="9"/>
  <c r="I1336" i="9"/>
  <c r="I1206" i="9"/>
  <c r="I1335" i="9"/>
  <c r="I1196" i="9"/>
  <c r="I1334" i="9"/>
  <c r="I1468" i="9"/>
  <c r="I1333" i="9"/>
  <c r="I1171" i="9"/>
  <c r="I1332" i="9"/>
  <c r="I1153" i="9"/>
  <c r="I1331" i="9"/>
  <c r="I1140" i="9"/>
  <c r="I1330" i="9"/>
  <c r="I1467" i="9"/>
  <c r="I1329" i="9"/>
  <c r="I1638" i="9"/>
  <c r="I1328" i="9"/>
  <c r="I1630" i="9"/>
  <c r="I1327" i="9"/>
  <c r="I1617" i="9"/>
  <c r="I1326" i="9"/>
  <c r="I1466" i="9"/>
  <c r="I1325" i="9"/>
  <c r="I1612" i="9"/>
  <c r="I1324" i="9"/>
  <c r="I1599" i="9"/>
  <c r="I1323" i="9"/>
  <c r="I1597" i="9"/>
  <c r="I1322" i="9"/>
  <c r="I1465" i="9"/>
  <c r="I1321" i="9"/>
  <c r="I1593" i="9"/>
  <c r="I1320" i="9"/>
  <c r="I1585" i="9"/>
  <c r="I1319" i="9"/>
  <c r="I1578" i="9"/>
  <c r="I1318" i="9"/>
  <c r="I1464" i="9"/>
  <c r="I1317" i="9"/>
  <c r="I1575" i="9"/>
  <c r="I1316" i="9"/>
  <c r="I1547" i="9"/>
  <c r="I1315" i="9"/>
  <c r="I1531" i="9"/>
  <c r="I1314" i="9"/>
  <c r="I1463" i="9"/>
  <c r="I1313" i="9"/>
  <c r="I1529" i="9"/>
  <c r="I1312" i="9"/>
  <c r="I1493" i="9"/>
  <c r="I1311" i="9"/>
  <c r="I1484" i="9"/>
  <c r="I1310" i="9"/>
  <c r="I1462" i="9"/>
  <c r="I1309" i="9"/>
  <c r="I1289" i="9"/>
  <c r="I1308" i="9"/>
  <c r="I1286" i="9"/>
  <c r="I1307" i="9"/>
  <c r="I1280" i="9"/>
  <c r="I1306" i="9"/>
  <c r="I1461" i="9"/>
  <c r="I1305" i="9"/>
  <c r="I1269" i="9"/>
  <c r="I1304" i="9"/>
  <c r="I1245" i="9"/>
  <c r="I1303" i="9"/>
  <c r="I1236" i="9"/>
  <c r="I1302" i="9"/>
  <c r="I1460" i="9"/>
  <c r="I1301" i="9"/>
  <c r="I1226" i="9"/>
  <c r="I1300" i="9"/>
  <c r="I1202" i="9"/>
  <c r="I1299" i="9"/>
  <c r="I1175" i="9"/>
  <c r="I1298" i="9"/>
  <c r="I1459" i="9"/>
  <c r="I1297" i="9"/>
  <c r="I1161" i="9"/>
  <c r="I1296" i="9"/>
  <c r="I1149" i="9"/>
  <c r="I1295" i="9"/>
  <c r="I1671" i="9"/>
  <c r="I1294" i="9"/>
  <c r="I1458" i="9"/>
  <c r="I1293" i="9"/>
  <c r="I1644" i="9"/>
  <c r="I1292" i="9"/>
  <c r="I1641" i="9"/>
  <c r="I1291" i="9"/>
  <c r="I1626" i="9"/>
  <c r="I1274" i="9"/>
  <c r="I1270" i="9"/>
  <c r="I1457" i="9"/>
  <c r="I1261" i="9"/>
  <c r="I1618" i="9"/>
  <c r="I1234" i="9"/>
  <c r="I1609" i="9"/>
  <c r="I1215" i="9"/>
  <c r="I1586" i="9"/>
  <c r="I1205" i="9"/>
  <c r="I1456" i="9"/>
  <c r="I1188" i="9"/>
  <c r="I1170" i="9"/>
  <c r="I1138" i="9"/>
  <c r="I1577" i="9"/>
  <c r="I1555" i="9"/>
  <c r="I1552" i="9"/>
  <c r="I1135" i="9"/>
  <c r="I1455" i="9"/>
  <c r="I1544" i="9"/>
  <c r="I1532" i="9"/>
  <c r="I1134" i="9"/>
  <c r="I1530" i="9"/>
  <c r="I1454" i="9"/>
  <c r="I1520" i="9"/>
  <c r="I1133" i="9"/>
  <c r="I1518" i="9"/>
  <c r="I1503" i="9"/>
  <c r="I1453" i="9"/>
  <c r="I1132" i="9"/>
  <c r="I1495" i="9"/>
  <c r="I1491" i="9"/>
  <c r="I1290" i="9"/>
  <c r="I1131" i="9"/>
  <c r="I1452" i="9"/>
  <c r="I1285" i="9"/>
  <c r="I1282" i="9"/>
  <c r="I1130" i="9"/>
  <c r="I1277" i="9"/>
  <c r="I1451" i="9"/>
  <c r="I1268" i="9"/>
  <c r="I1129" i="9"/>
  <c r="I1259" i="9"/>
  <c r="I1239" i="9"/>
  <c r="I1450" i="9"/>
  <c r="I1128" i="9"/>
  <c r="I1224" i="9"/>
  <c r="I1216" i="9"/>
  <c r="I1203" i="9"/>
  <c r="I1127" i="9"/>
  <c r="I1449" i="9"/>
  <c r="I1189" i="9"/>
  <c r="I1183" i="9"/>
  <c r="I1126" i="9"/>
  <c r="I1163" i="9"/>
  <c r="I1448" i="9"/>
  <c r="I1156" i="9"/>
  <c r="I1125" i="9"/>
  <c r="I1139" i="9"/>
  <c r="I1666" i="9"/>
  <c r="I1447" i="9"/>
  <c r="I1124" i="9"/>
  <c r="I1663" i="9"/>
  <c r="I1660" i="9"/>
  <c r="I1657" i="9"/>
  <c r="I1123" i="9"/>
  <c r="I1446" i="9"/>
  <c r="I1639" i="9"/>
  <c r="I1628" i="9"/>
  <c r="I1122" i="9"/>
  <c r="I1620" i="9"/>
  <c r="I1445" i="9"/>
  <c r="I1590" i="9"/>
  <c r="I1121" i="9"/>
  <c r="I1120" i="9"/>
  <c r="I1119" i="9"/>
  <c r="I783" i="9"/>
  <c r="I784" i="9"/>
  <c r="I785" i="9"/>
  <c r="I1118" i="9"/>
  <c r="I786" i="9"/>
  <c r="I787" i="9"/>
  <c r="I788" i="9"/>
  <c r="I1117" i="9"/>
  <c r="I789" i="9"/>
  <c r="I790" i="9"/>
  <c r="I791" i="9"/>
  <c r="I1116" i="9"/>
  <c r="I792" i="9"/>
  <c r="I793" i="9"/>
  <c r="I794" i="9"/>
  <c r="I1115" i="9"/>
  <c r="I795" i="9"/>
  <c r="I796" i="9"/>
  <c r="I797" i="9"/>
  <c r="I1114" i="9"/>
  <c r="I798" i="9"/>
  <c r="I799" i="9"/>
  <c r="I800" i="9"/>
  <c r="I1113" i="9"/>
  <c r="I801" i="9"/>
  <c r="I802" i="9"/>
  <c r="I803" i="9"/>
  <c r="I1112" i="9"/>
  <c r="I804" i="9"/>
  <c r="I805" i="9"/>
  <c r="I806" i="9"/>
  <c r="I1111" i="9"/>
  <c r="I807" i="9"/>
  <c r="I808" i="9"/>
  <c r="I809" i="9"/>
  <c r="I1110" i="9"/>
  <c r="I810" i="9"/>
  <c r="I811" i="9"/>
  <c r="I812" i="9"/>
  <c r="I1109" i="9"/>
  <c r="I813" i="9"/>
  <c r="I814" i="9"/>
  <c r="I815" i="9"/>
  <c r="I1108" i="9"/>
  <c r="I816" i="9"/>
  <c r="I817" i="9"/>
  <c r="I818" i="9"/>
  <c r="I1107" i="9"/>
  <c r="I819" i="9"/>
  <c r="I820" i="9"/>
  <c r="I821" i="9"/>
  <c r="I1106" i="9"/>
  <c r="I822" i="9"/>
  <c r="I823" i="9"/>
  <c r="I824" i="9"/>
  <c r="I1105" i="9"/>
  <c r="I825" i="9"/>
  <c r="I826" i="9"/>
  <c r="I827" i="9"/>
  <c r="I1104" i="9"/>
  <c r="I828" i="9"/>
  <c r="I829" i="9"/>
  <c r="I830" i="9"/>
  <c r="I1103" i="9"/>
  <c r="I831" i="9"/>
  <c r="I832" i="9"/>
  <c r="I833" i="9"/>
  <c r="I1102" i="9"/>
  <c r="I834" i="9"/>
  <c r="I835" i="9"/>
  <c r="I836" i="9"/>
  <c r="I1101" i="9"/>
  <c r="I837" i="9"/>
  <c r="I838" i="9"/>
  <c r="I839" i="9"/>
  <c r="I1100" i="9"/>
  <c r="I840" i="9"/>
  <c r="I841" i="9"/>
  <c r="I842" i="9"/>
  <c r="I1099" i="9"/>
  <c r="I843" i="9"/>
  <c r="I844" i="9"/>
  <c r="I845" i="9"/>
  <c r="I1098" i="9"/>
  <c r="I846" i="9"/>
  <c r="I847" i="9"/>
  <c r="I848" i="9"/>
  <c r="I1097" i="9"/>
  <c r="I849" i="9"/>
  <c r="I850" i="9"/>
  <c r="I851" i="9"/>
  <c r="I1096" i="9"/>
  <c r="I852" i="9"/>
  <c r="I853" i="9"/>
  <c r="I854" i="9"/>
  <c r="I1095" i="9"/>
  <c r="I855" i="9"/>
  <c r="I856" i="9"/>
  <c r="I857" i="9"/>
  <c r="I1094" i="9"/>
  <c r="I858" i="9"/>
  <c r="I859" i="9"/>
  <c r="I860" i="9"/>
  <c r="I1093" i="9"/>
  <c r="I861" i="9"/>
  <c r="I862" i="9"/>
  <c r="I863" i="9"/>
  <c r="I1092" i="9"/>
  <c r="I864" i="9"/>
  <c r="I865" i="9"/>
  <c r="I866" i="9"/>
  <c r="I1091" i="9"/>
  <c r="I867" i="9"/>
  <c r="I868" i="9"/>
  <c r="I869" i="9"/>
  <c r="I1090" i="9"/>
  <c r="I870" i="9"/>
  <c r="I871" i="9"/>
  <c r="I872" i="9"/>
  <c r="I1089" i="9"/>
  <c r="I873" i="9"/>
  <c r="I874" i="9"/>
  <c r="I875" i="9"/>
  <c r="I1088" i="9"/>
  <c r="I876" i="9"/>
  <c r="I877" i="9"/>
  <c r="I878" i="9"/>
  <c r="I1087" i="9"/>
  <c r="I879" i="9"/>
  <c r="I880" i="9"/>
  <c r="I881" i="9"/>
  <c r="I1086" i="9"/>
  <c r="I882" i="9"/>
  <c r="I883" i="9"/>
  <c r="I884" i="9"/>
  <c r="I1085" i="9"/>
  <c r="I885" i="9"/>
  <c r="I886" i="9"/>
  <c r="I887" i="9"/>
  <c r="I1084" i="9"/>
  <c r="I888" i="9"/>
  <c r="I889" i="9"/>
  <c r="I890" i="9"/>
  <c r="I1083" i="9"/>
  <c r="I891" i="9"/>
  <c r="I892" i="9"/>
  <c r="I893" i="9"/>
  <c r="I1082" i="9"/>
  <c r="I894" i="9"/>
  <c r="I895" i="9"/>
  <c r="I896" i="9"/>
  <c r="I1081" i="9"/>
  <c r="I897" i="9"/>
  <c r="I898" i="9"/>
  <c r="I899" i="9"/>
  <c r="I1080" i="9"/>
  <c r="I900" i="9"/>
  <c r="I901" i="9"/>
  <c r="I902" i="9"/>
  <c r="I1079" i="9"/>
  <c r="I903" i="9"/>
  <c r="I904" i="9"/>
  <c r="I905" i="9"/>
  <c r="I1078" i="9"/>
  <c r="I906" i="9"/>
  <c r="I907" i="9"/>
  <c r="I908" i="9"/>
  <c r="I1077" i="9"/>
  <c r="I909" i="9"/>
  <c r="I910" i="9"/>
  <c r="I911" i="9"/>
  <c r="I1076" i="9"/>
  <c r="I912" i="9"/>
  <c r="I913" i="9"/>
  <c r="I914" i="9"/>
  <c r="I1075" i="9"/>
  <c r="I915" i="9"/>
  <c r="I916" i="9"/>
  <c r="I917" i="9"/>
  <c r="I1074" i="9"/>
  <c r="I918" i="9"/>
  <c r="I919" i="9"/>
  <c r="I920" i="9"/>
  <c r="I1073" i="9"/>
  <c r="I921" i="9"/>
  <c r="I922" i="9"/>
  <c r="I923" i="9"/>
  <c r="I1072" i="9"/>
  <c r="I924" i="9"/>
  <c r="I925" i="9"/>
  <c r="I926" i="9"/>
  <c r="I1071" i="9"/>
  <c r="I927" i="9"/>
  <c r="I928" i="9"/>
  <c r="I929" i="9"/>
  <c r="I1070" i="9"/>
  <c r="I930" i="9"/>
  <c r="I931" i="9"/>
  <c r="I932" i="9"/>
  <c r="I1069" i="9"/>
  <c r="I933" i="9"/>
  <c r="I934" i="9"/>
  <c r="I935" i="9"/>
  <c r="I1068" i="9"/>
  <c r="I936" i="9"/>
  <c r="I937" i="9"/>
  <c r="I938" i="9"/>
  <c r="I1067" i="9"/>
  <c r="I939" i="9"/>
  <c r="I940" i="9"/>
  <c r="I941" i="9"/>
  <c r="I1066" i="9"/>
  <c r="I942" i="9"/>
  <c r="I943" i="9"/>
  <c r="I944" i="9"/>
  <c r="I1065" i="9"/>
  <c r="I945" i="9"/>
  <c r="I946" i="9"/>
  <c r="I947" i="9"/>
  <c r="I1064" i="9"/>
  <c r="I948" i="9"/>
  <c r="I949" i="9"/>
  <c r="I950" i="9"/>
  <c r="I1063" i="9"/>
  <c r="I951" i="9"/>
  <c r="I952" i="9"/>
  <c r="I953" i="9"/>
  <c r="I1062" i="9"/>
  <c r="I954" i="9"/>
  <c r="I955" i="9"/>
  <c r="I956" i="9"/>
  <c r="I1061" i="9"/>
  <c r="I957" i="9"/>
  <c r="I958" i="9"/>
  <c r="I959" i="9"/>
  <c r="I1060" i="9"/>
  <c r="I960" i="9"/>
  <c r="I961" i="9"/>
  <c r="I962" i="9"/>
  <c r="I1059" i="9"/>
  <c r="I963" i="9"/>
  <c r="I964" i="9"/>
  <c r="I965" i="9"/>
  <c r="I1058" i="9"/>
  <c r="J1058" i="9" s="1"/>
  <c r="I966" i="9"/>
  <c r="I967" i="9"/>
  <c r="I968" i="9"/>
  <c r="I1057" i="9"/>
  <c r="I969" i="9"/>
  <c r="I970" i="9"/>
  <c r="I971" i="9"/>
  <c r="I1056" i="9"/>
  <c r="I972" i="9"/>
  <c r="I973" i="9"/>
  <c r="I974" i="9"/>
  <c r="I1055" i="9"/>
  <c r="I975" i="9"/>
  <c r="I976" i="9"/>
  <c r="I977" i="9"/>
  <c r="I1054" i="9"/>
  <c r="I978" i="9"/>
  <c r="I979" i="9"/>
  <c r="I980" i="9"/>
  <c r="I1053" i="9"/>
  <c r="I981" i="9"/>
  <c r="I982" i="9"/>
  <c r="I983" i="9"/>
  <c r="I1052" i="9"/>
  <c r="I984" i="9"/>
  <c r="I985" i="9"/>
  <c r="I986" i="9"/>
  <c r="I1051" i="9"/>
  <c r="I987" i="9"/>
  <c r="I988" i="9"/>
  <c r="I989" i="9"/>
  <c r="I1050" i="9"/>
  <c r="I990" i="9"/>
  <c r="I991" i="9"/>
  <c r="I992" i="9"/>
  <c r="I1049" i="9"/>
  <c r="I993" i="9"/>
  <c r="I994" i="9"/>
  <c r="I995" i="9"/>
  <c r="I1048" i="9"/>
  <c r="I996" i="9"/>
  <c r="I997" i="9"/>
  <c r="I998" i="9"/>
  <c r="I1047" i="9"/>
  <c r="I999" i="9"/>
  <c r="I1000" i="9"/>
  <c r="I1001" i="9"/>
  <c r="I1046" i="9"/>
  <c r="I1002" i="9"/>
  <c r="I1003" i="9"/>
  <c r="I1004" i="9"/>
  <c r="I1045" i="9"/>
  <c r="I1005" i="9"/>
  <c r="I1006" i="9"/>
  <c r="I1007" i="9"/>
  <c r="I1044" i="9"/>
  <c r="I1008" i="9"/>
  <c r="I1009" i="9"/>
  <c r="I1010" i="9"/>
  <c r="I1043" i="9"/>
  <c r="I1011" i="9"/>
  <c r="I1012" i="9"/>
  <c r="I1013" i="9"/>
  <c r="I1042" i="9"/>
  <c r="I1014" i="9"/>
  <c r="I1015" i="9"/>
  <c r="I1016" i="9"/>
  <c r="I1041" i="9"/>
  <c r="I1017" i="9"/>
  <c r="I1018" i="9"/>
  <c r="I1019" i="9"/>
  <c r="I1040" i="9"/>
  <c r="I1020" i="9"/>
  <c r="I1021" i="9"/>
  <c r="I1022" i="9"/>
  <c r="I1039" i="9"/>
  <c r="I1023" i="9"/>
  <c r="I1024" i="9"/>
  <c r="I1025" i="9"/>
  <c r="I1038" i="9"/>
  <c r="I1026" i="9"/>
  <c r="I1027" i="9"/>
  <c r="I1028" i="9"/>
  <c r="I1037" i="9"/>
  <c r="I1029" i="9"/>
  <c r="I1030" i="9"/>
  <c r="I1031" i="9"/>
  <c r="I1036" i="9"/>
  <c r="I1032" i="9"/>
  <c r="I1033" i="9"/>
  <c r="I1034" i="9"/>
  <c r="I781" i="9"/>
  <c r="I780" i="9"/>
  <c r="I779" i="9"/>
  <c r="I778" i="9"/>
  <c r="I777" i="9"/>
  <c r="I776" i="9"/>
  <c r="I775" i="9"/>
  <c r="I774" i="9"/>
  <c r="J774" i="9" s="1"/>
  <c r="I773" i="9"/>
  <c r="J773" i="9" s="1"/>
  <c r="I772" i="9"/>
  <c r="J772" i="9" s="1"/>
  <c r="I771" i="9"/>
  <c r="J771" i="9" s="1"/>
  <c r="I770" i="9"/>
  <c r="J770" i="9" s="1"/>
  <c r="I769" i="9"/>
  <c r="J769" i="9" s="1"/>
  <c r="I768" i="9"/>
  <c r="J768" i="9" s="1"/>
  <c r="I767" i="9"/>
  <c r="J767" i="9" s="1"/>
  <c r="I766" i="9"/>
  <c r="I765" i="9"/>
  <c r="I764" i="9"/>
  <c r="I763" i="9"/>
  <c r="I762" i="9"/>
  <c r="I761" i="9"/>
  <c r="I760" i="9"/>
  <c r="I759" i="9"/>
  <c r="I758" i="9"/>
  <c r="I757" i="9"/>
  <c r="I756" i="9"/>
  <c r="I755" i="9"/>
  <c r="I754" i="9"/>
  <c r="I753" i="9"/>
  <c r="I752" i="9"/>
  <c r="I751" i="9"/>
  <c r="I750" i="9"/>
  <c r="I749" i="9"/>
  <c r="I748" i="9"/>
  <c r="I747" i="9"/>
  <c r="I746" i="9"/>
  <c r="I745" i="9"/>
  <c r="I744" i="9"/>
  <c r="I743" i="9"/>
  <c r="I742" i="9"/>
  <c r="I741" i="9"/>
  <c r="I740" i="9"/>
  <c r="I739" i="9"/>
  <c r="I738" i="9"/>
  <c r="I737" i="9"/>
  <c r="I736" i="9"/>
  <c r="I735" i="9"/>
  <c r="I734" i="9"/>
  <c r="I733" i="9"/>
  <c r="I732" i="9"/>
  <c r="I731" i="9"/>
  <c r="I730" i="9"/>
  <c r="I729" i="9"/>
  <c r="I728" i="9"/>
  <c r="I727" i="9"/>
  <c r="I726" i="9"/>
  <c r="I725" i="9"/>
  <c r="I724" i="9"/>
  <c r="I723" i="9"/>
  <c r="I722" i="9"/>
  <c r="I721" i="9"/>
  <c r="I720" i="9"/>
  <c r="I719" i="9"/>
  <c r="I718" i="9"/>
  <c r="I717" i="9"/>
  <c r="I716" i="9"/>
  <c r="I715" i="9"/>
  <c r="I714" i="9"/>
  <c r="I713" i="9"/>
  <c r="I712" i="9"/>
  <c r="I711" i="9"/>
  <c r="I710" i="9"/>
  <c r="I709" i="9"/>
  <c r="I708" i="9"/>
  <c r="I707" i="9"/>
  <c r="I706" i="9"/>
  <c r="I705" i="9"/>
  <c r="I704" i="9"/>
  <c r="I703" i="9"/>
  <c r="I702" i="9"/>
  <c r="I701" i="9"/>
  <c r="I700" i="9"/>
  <c r="I699" i="9"/>
  <c r="I698" i="9"/>
  <c r="I697" i="9"/>
  <c r="I696" i="9"/>
  <c r="I695" i="9"/>
  <c r="I694" i="9"/>
  <c r="I693" i="9"/>
  <c r="I692" i="9"/>
  <c r="I691" i="9"/>
  <c r="I690" i="9"/>
  <c r="I689" i="9"/>
  <c r="I688" i="9"/>
  <c r="I687" i="9"/>
  <c r="I686" i="9"/>
  <c r="I1569" i="9"/>
  <c r="I1562" i="9"/>
  <c r="I1444" i="9"/>
  <c r="I1546" i="9"/>
  <c r="I1538" i="9"/>
  <c r="I1516" i="9"/>
  <c r="I1443" i="9"/>
  <c r="I1499" i="9"/>
  <c r="I1482" i="9"/>
  <c r="I1475" i="9"/>
  <c r="I1442" i="9"/>
  <c r="I1283" i="9"/>
  <c r="I1275" i="9"/>
  <c r="I1266" i="9"/>
  <c r="I1441" i="9"/>
  <c r="I1255" i="9"/>
  <c r="I1252" i="9"/>
  <c r="I1246" i="9"/>
  <c r="I1440" i="9"/>
  <c r="I1235" i="9"/>
  <c r="I1225" i="9"/>
  <c r="I1208" i="9"/>
  <c r="I1439" i="9"/>
  <c r="I1198" i="9"/>
  <c r="I1192" i="9"/>
  <c r="I1177" i="9"/>
  <c r="I1438" i="9"/>
  <c r="I1256" i="9"/>
  <c r="I1676" i="9"/>
  <c r="I1672" i="9"/>
  <c r="I1437" i="9"/>
  <c r="I1637" i="9"/>
  <c r="I1629" i="9"/>
  <c r="I1624" i="9"/>
  <c r="I1436" i="9"/>
  <c r="I1616" i="9"/>
  <c r="I1606" i="9"/>
  <c r="I1601" i="9"/>
  <c r="I1435" i="9"/>
  <c r="I1247" i="9"/>
  <c r="I1598" i="9"/>
  <c r="I1232" i="9"/>
  <c r="I1587" i="9"/>
  <c r="I1220" i="9"/>
  <c r="I1210" i="9"/>
  <c r="I1583" i="9"/>
  <c r="I1197" i="9"/>
  <c r="I1187" i="9"/>
  <c r="I1434" i="9"/>
  <c r="I1178" i="9"/>
  <c r="I1162" i="9"/>
  <c r="I1580" i="9"/>
  <c r="I1148" i="9"/>
  <c r="I1141" i="9"/>
  <c r="I1572" i="9"/>
  <c r="I668" i="9"/>
  <c r="I667" i="9"/>
  <c r="I666" i="9"/>
  <c r="I665" i="9"/>
  <c r="I664" i="9"/>
  <c r="I663" i="9"/>
  <c r="I662" i="9"/>
  <c r="I661" i="9"/>
  <c r="I660" i="9"/>
  <c r="I659" i="9"/>
  <c r="I658" i="9"/>
  <c r="I657" i="9"/>
  <c r="I656" i="9"/>
  <c r="I655" i="9"/>
  <c r="I654" i="9"/>
  <c r="I653" i="9"/>
  <c r="I652" i="9"/>
  <c r="I651" i="9"/>
  <c r="I650" i="9"/>
  <c r="I649" i="9"/>
  <c r="I648" i="9"/>
  <c r="I647" i="9"/>
  <c r="I646" i="9"/>
  <c r="I645" i="9"/>
  <c r="I644" i="9"/>
  <c r="I643" i="9"/>
  <c r="I642" i="9"/>
  <c r="I641" i="9"/>
  <c r="I640" i="9"/>
  <c r="I639" i="9"/>
  <c r="I638" i="9"/>
  <c r="I637" i="9"/>
  <c r="I636" i="9"/>
  <c r="I635" i="9"/>
  <c r="I634" i="9"/>
  <c r="I633" i="9"/>
  <c r="I632" i="9"/>
  <c r="I631" i="9"/>
  <c r="I630" i="9"/>
  <c r="I629" i="9"/>
  <c r="I628" i="9"/>
  <c r="I627" i="9"/>
  <c r="I626" i="9"/>
  <c r="I625" i="9"/>
  <c r="I624" i="9"/>
  <c r="I623" i="9"/>
  <c r="I622" i="9"/>
  <c r="I621" i="9"/>
  <c r="I620" i="9"/>
  <c r="I619" i="9"/>
  <c r="I618" i="9"/>
  <c r="I617" i="9"/>
  <c r="I616" i="9"/>
  <c r="I615" i="9"/>
  <c r="I614" i="9"/>
  <c r="I613" i="9"/>
  <c r="I612" i="9"/>
  <c r="I611" i="9"/>
  <c r="I610" i="9"/>
  <c r="I609" i="9"/>
  <c r="I608" i="9"/>
  <c r="I607" i="9"/>
  <c r="I606" i="9"/>
  <c r="I605" i="9"/>
  <c r="I604" i="9"/>
  <c r="I603" i="9"/>
  <c r="I602" i="9"/>
  <c r="I601" i="9"/>
  <c r="I600" i="9"/>
  <c r="I599" i="9"/>
  <c r="I598" i="9"/>
  <c r="I597" i="9"/>
  <c r="I596" i="9"/>
  <c r="I595" i="9"/>
  <c r="I594" i="9"/>
  <c r="I593" i="9"/>
  <c r="I592" i="9"/>
  <c r="I591" i="9"/>
  <c r="I590" i="9"/>
  <c r="I589" i="9"/>
  <c r="I588" i="9"/>
  <c r="I587" i="9"/>
  <c r="I586" i="9"/>
  <c r="I585" i="9"/>
  <c r="I584" i="9"/>
  <c r="I583" i="9"/>
  <c r="I582" i="9"/>
  <c r="I581" i="9"/>
  <c r="I580" i="9"/>
  <c r="I579" i="9"/>
  <c r="I578" i="9"/>
  <c r="I577" i="9"/>
  <c r="I576" i="9"/>
  <c r="I575" i="9"/>
  <c r="I574" i="9"/>
  <c r="I573" i="9"/>
  <c r="I572" i="9"/>
  <c r="I571" i="9"/>
  <c r="I570" i="9"/>
  <c r="I569" i="9"/>
  <c r="I568" i="9"/>
  <c r="I567" i="9"/>
  <c r="I566" i="9"/>
  <c r="I565" i="9"/>
  <c r="I564" i="9"/>
  <c r="I563" i="9"/>
  <c r="I562" i="9"/>
  <c r="I561" i="9"/>
  <c r="I560" i="9"/>
  <c r="I559" i="9"/>
  <c r="I558" i="9"/>
  <c r="I557" i="9"/>
  <c r="I556" i="9"/>
  <c r="I555" i="9"/>
  <c r="I554" i="9"/>
  <c r="I553" i="9"/>
  <c r="I552" i="9"/>
  <c r="I551" i="9"/>
  <c r="I550" i="9"/>
  <c r="I549" i="9"/>
  <c r="I548" i="9"/>
  <c r="I547" i="9"/>
  <c r="I546" i="9"/>
  <c r="I545" i="9"/>
  <c r="I544" i="9"/>
  <c r="I543" i="9"/>
  <c r="I542" i="9"/>
  <c r="I541" i="9"/>
  <c r="I540" i="9"/>
  <c r="I539" i="9"/>
  <c r="I538" i="9"/>
  <c r="I537" i="9"/>
  <c r="I536" i="9"/>
  <c r="I535" i="9"/>
  <c r="I534" i="9"/>
  <c r="I533" i="9"/>
  <c r="I532" i="9"/>
  <c r="I531" i="9"/>
  <c r="I530" i="9"/>
  <c r="I529" i="9"/>
  <c r="I528" i="9"/>
  <c r="I527" i="9"/>
  <c r="I526" i="9"/>
  <c r="I1556" i="9"/>
  <c r="I1433" i="9"/>
  <c r="I1551" i="9"/>
  <c r="I1535" i="9"/>
  <c r="I1527" i="9"/>
  <c r="I1432" i="9"/>
  <c r="I1521" i="9"/>
  <c r="I1513" i="9"/>
  <c r="I1509" i="9"/>
  <c r="I1431" i="9"/>
  <c r="I1505" i="9"/>
  <c r="I1500" i="9"/>
  <c r="I1497" i="9"/>
  <c r="I1430" i="9"/>
  <c r="I1494" i="9"/>
  <c r="I1489" i="9"/>
  <c r="I1480" i="9"/>
  <c r="I1429" i="9"/>
  <c r="I1278" i="9"/>
  <c r="I1264" i="9"/>
  <c r="I1253" i="9"/>
  <c r="I1428" i="9"/>
  <c r="I1240" i="9"/>
  <c r="I1230" i="9"/>
  <c r="I1214" i="9"/>
  <c r="I1427" i="9"/>
  <c r="I1201" i="9"/>
  <c r="I1193" i="9"/>
  <c r="I1190" i="9"/>
  <c r="I1426" i="9"/>
  <c r="I1184" i="9"/>
  <c r="I1166" i="9"/>
  <c r="I1159" i="9"/>
  <c r="I1425" i="9"/>
  <c r="I1152" i="9"/>
  <c r="I1142" i="9"/>
  <c r="I1655" i="9"/>
  <c r="I1424" i="9"/>
  <c r="I1634" i="9"/>
  <c r="I1619" i="9"/>
  <c r="I1595" i="9"/>
  <c r="I1423" i="9"/>
  <c r="I1581" i="9"/>
  <c r="I1563" i="9"/>
  <c r="I1559" i="9"/>
  <c r="I1422" i="9"/>
  <c r="I1541" i="9"/>
  <c r="I1539" i="9"/>
  <c r="I1514" i="9"/>
  <c r="I1421" i="9"/>
  <c r="I1512" i="9"/>
  <c r="I1498" i="9"/>
  <c r="I1496" i="9"/>
  <c r="I1420" i="9"/>
  <c r="I1490" i="9"/>
  <c r="I1487" i="9"/>
  <c r="I1477" i="9"/>
  <c r="I1419" i="9"/>
  <c r="I1474" i="9"/>
  <c r="I1271" i="9"/>
  <c r="I1258" i="9"/>
  <c r="I1231" i="9"/>
  <c r="I1418" i="9"/>
  <c r="I1218" i="9"/>
  <c r="I1254" i="9"/>
  <c r="I1209" i="9"/>
  <c r="I1244" i="9"/>
  <c r="I1176" i="9"/>
  <c r="I1237" i="9"/>
  <c r="I1169" i="9"/>
  <c r="I1158" i="9"/>
  <c r="I1417" i="9"/>
  <c r="I443" i="9"/>
  <c r="I442" i="9"/>
  <c r="I441" i="9"/>
  <c r="I440" i="9"/>
  <c r="I439" i="9"/>
  <c r="I438" i="9"/>
  <c r="I1195" i="9"/>
  <c r="I1229" i="9"/>
  <c r="I1219" i="9"/>
  <c r="I1180" i="9"/>
  <c r="I1165" i="9"/>
  <c r="I1199" i="9"/>
  <c r="I1151" i="9"/>
  <c r="O333" i="9"/>
  <c r="O332" i="9"/>
  <c r="O331" i="9"/>
  <c r="O330" i="9"/>
  <c r="O329" i="9"/>
  <c r="O327" i="9"/>
  <c r="O325" i="9"/>
  <c r="O323" i="9"/>
  <c r="O321" i="9"/>
  <c r="O320" i="9"/>
  <c r="O319" i="9"/>
  <c r="O318" i="9"/>
  <c r="O296" i="9"/>
  <c r="O295" i="9"/>
  <c r="O294" i="9"/>
  <c r="O292" i="9"/>
  <c r="O291" i="9"/>
  <c r="O290" i="9"/>
  <c r="O281" i="9"/>
  <c r="O278" i="9"/>
  <c r="O275" i="9"/>
  <c r="O271" i="9"/>
  <c r="O267" i="9"/>
  <c r="O264" i="9"/>
  <c r="O262" i="9"/>
  <c r="O259" i="9"/>
  <c r="O257" i="9"/>
  <c r="O256" i="9"/>
  <c r="O246" i="9"/>
  <c r="O222" i="9"/>
  <c r="O245" i="9"/>
  <c r="O241" i="9"/>
  <c r="O239" i="9"/>
  <c r="O234" i="9"/>
  <c r="O232" i="9"/>
  <c r="O227" i="9"/>
  <c r="O219" i="9"/>
  <c r="O218" i="9"/>
  <c r="O83" i="9"/>
  <c r="L3" i="8" a="1"/>
  <c r="O384" i="9"/>
  <c r="O286" i="9"/>
  <c r="O284" i="9"/>
  <c r="O283" i="9"/>
  <c r="O282" i="9"/>
  <c r="O280" i="9"/>
  <c r="O279" i="9"/>
  <c r="O277" i="9"/>
  <c r="O274" i="9"/>
  <c r="O273" i="9"/>
  <c r="O272" i="9"/>
  <c r="O269" i="9"/>
  <c r="O268" i="9"/>
  <c r="O266" i="9"/>
  <c r="O265" i="9"/>
  <c r="O261" i="9"/>
  <c r="O258" i="9"/>
  <c r="O254" i="9"/>
  <c r="O253" i="9"/>
  <c r="O251" i="9"/>
  <c r="O250" i="9"/>
  <c r="O248" i="9"/>
  <c r="O244" i="9"/>
  <c r="O243" i="9"/>
  <c r="O242" i="9"/>
  <c r="O235" i="9"/>
  <c r="O233" i="9"/>
  <c r="O230" i="9"/>
  <c r="O228" i="9"/>
  <c r="O226" i="9"/>
  <c r="O225" i="9"/>
  <c r="O433" i="9"/>
  <c r="O432" i="9"/>
  <c r="O431" i="9"/>
  <c r="O429" i="9"/>
  <c r="O428" i="9"/>
  <c r="O427" i="9"/>
  <c r="O426" i="9"/>
  <c r="O424" i="9"/>
  <c r="O421" i="9"/>
  <c r="O420" i="9"/>
  <c r="O418" i="9"/>
  <c r="O417" i="9"/>
  <c r="O416" i="9"/>
  <c r="O415" i="9"/>
  <c r="O413" i="9"/>
  <c r="O412" i="9"/>
  <c r="O411" i="9"/>
  <c r="O410" i="9"/>
  <c r="O409" i="9"/>
  <c r="O408" i="9"/>
  <c r="O406" i="9"/>
  <c r="O405" i="9"/>
  <c r="O404" i="9"/>
  <c r="O403" i="9"/>
  <c r="O399" i="9"/>
  <c r="O395" i="9"/>
  <c r="O393" i="9"/>
  <c r="O391" i="9"/>
  <c r="O390" i="9"/>
  <c r="O389" i="9"/>
  <c r="O388" i="9"/>
  <c r="O387" i="9"/>
  <c r="O385" i="9"/>
  <c r="O383" i="9"/>
  <c r="O382" i="9"/>
  <c r="O381" i="9"/>
  <c r="O380" i="9"/>
  <c r="O379" i="9"/>
  <c r="O378" i="9"/>
  <c r="O377" i="9"/>
  <c r="O376" i="9"/>
  <c r="O375" i="9"/>
  <c r="O374" i="9"/>
  <c r="O372" i="9"/>
  <c r="O370" i="9"/>
  <c r="O367" i="9"/>
  <c r="O434" i="9"/>
  <c r="O430" i="9"/>
  <c r="O425" i="9"/>
  <c r="O423" i="9"/>
  <c r="O422" i="9"/>
  <c r="O419" i="9"/>
  <c r="O414" i="9"/>
  <c r="O407" i="9"/>
  <c r="O402" i="9"/>
  <c r="O401" i="9"/>
  <c r="O400" i="9"/>
  <c r="O398" i="9"/>
  <c r="O397" i="9"/>
  <c r="O396" i="9"/>
  <c r="O394" i="9"/>
  <c r="O392" i="9"/>
  <c r="O386" i="9"/>
  <c r="O373" i="9"/>
  <c r="O371" i="9"/>
  <c r="O369" i="9"/>
  <c r="O368" i="9"/>
  <c r="O353" i="9"/>
  <c r="O352" i="9"/>
  <c r="O351" i="9"/>
  <c r="O350" i="9"/>
  <c r="O348" i="9"/>
  <c r="O346" i="9"/>
  <c r="O345" i="9"/>
  <c r="O340" i="9"/>
  <c r="O336" i="9"/>
  <c r="O328" i="9"/>
  <c r="O326" i="9"/>
  <c r="O324" i="9"/>
  <c r="O322" i="9"/>
  <c r="O317" i="9"/>
  <c r="O316" i="9"/>
  <c r="O315" i="9"/>
  <c r="O314" i="9"/>
  <c r="O313" i="9"/>
  <c r="O312" i="9"/>
  <c r="O311" i="9"/>
  <c r="O310" i="9"/>
  <c r="O309" i="9"/>
  <c r="O308" i="9"/>
  <c r="O307" i="9"/>
  <c r="O306" i="9"/>
  <c r="O305" i="9"/>
  <c r="O304" i="9"/>
  <c r="O303" i="9"/>
  <c r="O302" i="9"/>
  <c r="O301" i="9"/>
  <c r="O300" i="9"/>
  <c r="O299" i="9"/>
  <c r="O298" i="9"/>
  <c r="O297" i="9"/>
  <c r="O293" i="9"/>
  <c r="O289" i="9"/>
  <c r="O288" i="9"/>
  <c r="O287" i="9"/>
  <c r="O285" i="9"/>
  <c r="O276" i="9"/>
  <c r="O270" i="9"/>
  <c r="O263" i="9"/>
  <c r="O260" i="9"/>
  <c r="O255" i="9"/>
  <c r="O252" i="9"/>
  <c r="O249" i="9"/>
  <c r="O247" i="9"/>
  <c r="O240" i="9"/>
  <c r="O238" i="9"/>
  <c r="O237" i="9"/>
  <c r="O236" i="9"/>
  <c r="O231" i="9"/>
  <c r="O229" i="9"/>
  <c r="O224" i="9"/>
  <c r="O223" i="9"/>
  <c r="O221" i="9"/>
  <c r="O220" i="9"/>
  <c r="O366" i="9"/>
  <c r="O365" i="9"/>
  <c r="O364" i="9"/>
  <c r="O363" i="9"/>
  <c r="O362" i="9"/>
  <c r="O361" i="9"/>
  <c r="O360" i="9"/>
  <c r="O359" i="9"/>
  <c r="O358" i="9"/>
  <c r="O357" i="9"/>
  <c r="O356" i="9"/>
  <c r="O355" i="9"/>
  <c r="O354" i="9"/>
  <c r="O349" i="9"/>
  <c r="O347" i="9"/>
  <c r="O344" i="9"/>
  <c r="O343" i="9"/>
  <c r="O217" i="9"/>
  <c r="O216" i="9"/>
  <c r="O215" i="9"/>
  <c r="O214" i="9"/>
  <c r="O213" i="9"/>
  <c r="O212" i="9"/>
  <c r="O211" i="9"/>
  <c r="O210" i="9"/>
  <c r="O209" i="9"/>
  <c r="O208" i="9"/>
  <c r="O207" i="9"/>
  <c r="O206" i="9"/>
  <c r="O205" i="9"/>
  <c r="O204" i="9"/>
  <c r="O203" i="9"/>
  <c r="O202" i="9"/>
  <c r="O201" i="9"/>
  <c r="O200" i="9"/>
  <c r="O199" i="9"/>
  <c r="O198" i="9"/>
  <c r="O197" i="9"/>
  <c r="O196" i="9"/>
  <c r="O195" i="9"/>
  <c r="O194" i="9"/>
  <c r="O193" i="9"/>
  <c r="O192" i="9"/>
  <c r="O191" i="9"/>
  <c r="O190" i="9"/>
  <c r="O189" i="9"/>
  <c r="O188" i="9"/>
  <c r="O187" i="9"/>
  <c r="O186" i="9"/>
  <c r="O185" i="9"/>
  <c r="O184" i="9"/>
  <c r="O183" i="9"/>
  <c r="O182" i="9"/>
  <c r="O181" i="9"/>
  <c r="O180" i="9"/>
  <c r="O179" i="9"/>
  <c r="O178" i="9"/>
  <c r="O177" i="9"/>
  <c r="O176" i="9"/>
  <c r="O175" i="9"/>
  <c r="O174" i="9"/>
  <c r="O173" i="9"/>
  <c r="O172" i="9"/>
  <c r="O171" i="9"/>
  <c r="O170" i="9"/>
  <c r="O169" i="9"/>
  <c r="O168" i="9"/>
  <c r="O167" i="9"/>
  <c r="O166" i="9"/>
  <c r="O165" i="9"/>
  <c r="O164" i="9"/>
  <c r="O163" i="9"/>
  <c r="O162" i="9"/>
  <c r="O161" i="9"/>
  <c r="O160" i="9"/>
  <c r="O159" i="9"/>
  <c r="O158" i="9"/>
  <c r="O157" i="9"/>
  <c r="O156" i="9"/>
  <c r="O155" i="9"/>
  <c r="O154" i="9"/>
  <c r="O153" i="9"/>
  <c r="O152" i="9"/>
  <c r="O151" i="9"/>
  <c r="O150" i="9"/>
  <c r="O149" i="9"/>
  <c r="O148" i="9"/>
  <c r="O147" i="9"/>
  <c r="O146" i="9"/>
  <c r="O145" i="9"/>
  <c r="O144" i="9"/>
  <c r="O143" i="9"/>
  <c r="O142" i="9"/>
  <c r="O141" i="9"/>
  <c r="O140" i="9"/>
  <c r="O139" i="9"/>
  <c r="O138" i="9"/>
  <c r="O137" i="9"/>
  <c r="O136" i="9"/>
  <c r="O135" i="9"/>
  <c r="O134" i="9"/>
  <c r="O133" i="9"/>
  <c r="O132" i="9"/>
  <c r="O131" i="9"/>
  <c r="O130" i="9"/>
  <c r="O129" i="9"/>
  <c r="O128" i="9"/>
  <c r="O127" i="9"/>
  <c r="O126" i="9"/>
  <c r="O125" i="9"/>
  <c r="O124" i="9"/>
  <c r="O123" i="9"/>
  <c r="O122" i="9"/>
  <c r="O121" i="9"/>
  <c r="O120" i="9"/>
  <c r="O119" i="9"/>
  <c r="O118" i="9"/>
  <c r="O117" i="9"/>
  <c r="O116" i="9"/>
  <c r="O115" i="9"/>
  <c r="O114" i="9"/>
  <c r="O113" i="9"/>
  <c r="O112" i="9"/>
  <c r="O111" i="9"/>
  <c r="O110" i="9"/>
  <c r="O109" i="9"/>
  <c r="O108" i="9"/>
  <c r="O107" i="9"/>
  <c r="O106" i="9"/>
  <c r="O105" i="9"/>
  <c r="O104" i="9"/>
  <c r="O103" i="9"/>
  <c r="O102" i="9"/>
  <c r="O101" i="9"/>
  <c r="O100" i="9"/>
  <c r="O99" i="9"/>
  <c r="O98" i="9"/>
  <c r="O97" i="9"/>
  <c r="O96" i="9"/>
  <c r="O95" i="9"/>
  <c r="O94" i="9"/>
  <c r="O93" i="9"/>
  <c r="O92" i="9"/>
  <c r="O91" i="9"/>
  <c r="O90" i="9"/>
  <c r="O89" i="9"/>
  <c r="O88" i="9"/>
  <c r="O87" i="9"/>
  <c r="O86" i="9"/>
  <c r="O85" i="9"/>
  <c r="O84" i="9"/>
  <c r="O342" i="9"/>
  <c r="O341" i="9"/>
  <c r="O339" i="9"/>
  <c r="O338" i="9"/>
  <c r="O337" i="9"/>
  <c r="O335" i="9"/>
  <c r="O334" i="9"/>
  <c r="V887" i="9" a="1"/>
  <c r="W887" i="9" s="1"/>
  <c r="U887" i="9"/>
  <c r="T887" i="9"/>
  <c r="T1084" i="9"/>
  <c r="V886" i="9" a="1"/>
  <c r="W886" i="9" s="1"/>
  <c r="U886" i="9"/>
  <c r="T886" i="9"/>
  <c r="U1084" i="9"/>
  <c r="V885" i="9" a="1"/>
  <c r="W885" i="9" s="1"/>
  <c r="U885" i="9"/>
  <c r="T885" i="9"/>
  <c r="V1084" i="9" a="1"/>
  <c r="W1084" i="9" s="1"/>
  <c r="V884" i="9" a="1"/>
  <c r="W884" i="9" s="1"/>
  <c r="U884" i="9"/>
  <c r="T884" i="9"/>
  <c r="T1085" i="9"/>
  <c r="V883" i="9" a="1"/>
  <c r="W883" i="9" s="1"/>
  <c r="U883" i="9"/>
  <c r="T883" i="9"/>
  <c r="U1085" i="9"/>
  <c r="V882" i="9" a="1"/>
  <c r="W882" i="9" s="1"/>
  <c r="U882" i="9"/>
  <c r="T882" i="9"/>
  <c r="V1085" i="9" a="1"/>
  <c r="W1085" i="9" s="1"/>
  <c r="V881" i="9" a="1"/>
  <c r="W881" i="9" s="1"/>
  <c r="U881" i="9"/>
  <c r="T881" i="9"/>
  <c r="T1086" i="9"/>
  <c r="V880" i="9" a="1"/>
  <c r="W880" i="9" s="1"/>
  <c r="U880" i="9"/>
  <c r="T880" i="9"/>
  <c r="U1086" i="9"/>
  <c r="V879" i="9" a="1"/>
  <c r="W879" i="9" s="1"/>
  <c r="U879" i="9"/>
  <c r="T879" i="9"/>
  <c r="V1086" i="9" a="1"/>
  <c r="W1086" i="9" s="1"/>
  <c r="V878" i="9" a="1"/>
  <c r="W878" i="9" s="1"/>
  <c r="U878" i="9"/>
  <c r="T878" i="9"/>
  <c r="T1087" i="9"/>
  <c r="V877" i="9" a="1"/>
  <c r="W877" i="9" s="1"/>
  <c r="U877" i="9"/>
  <c r="T877" i="9"/>
  <c r="U1087" i="9"/>
  <c r="V876" i="9" a="1"/>
  <c r="W876" i="9" s="1"/>
  <c r="U876" i="9"/>
  <c r="T876" i="9"/>
  <c r="V1087" i="9" a="1"/>
  <c r="W1087" i="9" s="1"/>
  <c r="V875" i="9" a="1"/>
  <c r="W875" i="9" s="1"/>
  <c r="U875" i="9"/>
  <c r="T875" i="9"/>
  <c r="T1088" i="9"/>
  <c r="V874" i="9" a="1"/>
  <c r="W874" i="9" s="1"/>
  <c r="U874" i="9"/>
  <c r="T874" i="9"/>
  <c r="U1088" i="9"/>
  <c r="V873" i="9" a="1"/>
  <c r="W873" i="9" s="1"/>
  <c r="U873" i="9"/>
  <c r="T873" i="9"/>
  <c r="V1088" i="9" a="1"/>
  <c r="W1088" i="9" s="1"/>
  <c r="V872" i="9" a="1"/>
  <c r="W872" i="9" s="1"/>
  <c r="U872" i="9"/>
  <c r="T872" i="9"/>
  <c r="T1089" i="9"/>
  <c r="V871" i="9" a="1"/>
  <c r="W871" i="9" s="1"/>
  <c r="U871" i="9"/>
  <c r="T871" i="9"/>
  <c r="U1089" i="9"/>
  <c r="V870" i="9" a="1"/>
  <c r="W870" i="9" s="1"/>
  <c r="U870" i="9"/>
  <c r="T870" i="9"/>
  <c r="V1089" i="9" a="1"/>
  <c r="W1089" i="9" s="1"/>
  <c r="V869" i="9" a="1"/>
  <c r="W869" i="9" s="1"/>
  <c r="U869" i="9"/>
  <c r="T869" i="9"/>
  <c r="T1090" i="9"/>
  <c r="V868" i="9" a="1"/>
  <c r="W868" i="9" s="1"/>
  <c r="U868" i="9"/>
  <c r="T868" i="9"/>
  <c r="U1090" i="9"/>
  <c r="V867" i="9" a="1"/>
  <c r="W867" i="9" s="1"/>
  <c r="U867" i="9"/>
  <c r="T867" i="9"/>
  <c r="V1090" i="9" a="1"/>
  <c r="W1090" i="9" s="1"/>
  <c r="V866" i="9" a="1"/>
  <c r="W866" i="9" s="1"/>
  <c r="U866" i="9"/>
  <c r="T866" i="9"/>
  <c r="T1091" i="9"/>
  <c r="V865" i="9" a="1"/>
  <c r="W865" i="9" s="1"/>
  <c r="U865" i="9"/>
  <c r="T865" i="9"/>
  <c r="U1091" i="9"/>
  <c r="V864" i="9" a="1"/>
  <c r="W864" i="9" s="1"/>
  <c r="U864" i="9"/>
  <c r="T864" i="9"/>
  <c r="V1091" i="9" a="1"/>
  <c r="W1091" i="9" s="1"/>
  <c r="V863" i="9" a="1"/>
  <c r="W863" i="9" s="1"/>
  <c r="U863" i="9"/>
  <c r="T863" i="9"/>
  <c r="T1092" i="9"/>
  <c r="V862" i="9" a="1"/>
  <c r="W862" i="9" s="1"/>
  <c r="U862" i="9"/>
  <c r="T862" i="9"/>
  <c r="U1092" i="9"/>
  <c r="V861" i="9" a="1"/>
  <c r="W861" i="9" s="1"/>
  <c r="U861" i="9"/>
  <c r="T861" i="9"/>
  <c r="V1092" i="9" a="1"/>
  <c r="W1092" i="9" s="1"/>
  <c r="V860" i="9" a="1"/>
  <c r="W860" i="9" s="1"/>
  <c r="U860" i="9"/>
  <c r="T860" i="9"/>
  <c r="T1093" i="9"/>
  <c r="V859" i="9" a="1"/>
  <c r="W859" i="9" s="1"/>
  <c r="U859" i="9"/>
  <c r="T859" i="9"/>
  <c r="U1093" i="9"/>
  <c r="V858" i="9" a="1"/>
  <c r="W858" i="9" s="1"/>
  <c r="U858" i="9"/>
  <c r="T858" i="9"/>
  <c r="V1093" i="9" a="1"/>
  <c r="W1093" i="9" s="1"/>
  <c r="V857" i="9" a="1"/>
  <c r="W857" i="9" s="1"/>
  <c r="U857" i="9"/>
  <c r="T857" i="9"/>
  <c r="T1094" i="9"/>
  <c r="V856" i="9" a="1"/>
  <c r="W856" i="9" s="1"/>
  <c r="U856" i="9"/>
  <c r="T856" i="9"/>
  <c r="U1094" i="9"/>
  <c r="V855" i="9" a="1"/>
  <c r="W855" i="9" s="1"/>
  <c r="U855" i="9"/>
  <c r="T855" i="9"/>
  <c r="V1094" i="9" a="1"/>
  <c r="W1094" i="9" s="1"/>
  <c r="V854" i="9" a="1"/>
  <c r="W854" i="9" s="1"/>
  <c r="U854" i="9"/>
  <c r="T854" i="9"/>
  <c r="T1095" i="9"/>
  <c r="V853" i="9" a="1"/>
  <c r="W853" i="9" s="1"/>
  <c r="U853" i="9"/>
  <c r="T853" i="9"/>
  <c r="U1095" i="9"/>
  <c r="V852" i="9" a="1"/>
  <c r="W852" i="9" s="1"/>
  <c r="U852" i="9"/>
  <c r="T852" i="9"/>
  <c r="V1095" i="9" a="1"/>
  <c r="W1095" i="9" s="1"/>
  <c r="V851" i="9" a="1"/>
  <c r="W851" i="9" s="1"/>
  <c r="U851" i="9"/>
  <c r="T851" i="9"/>
  <c r="T1096" i="9"/>
  <c r="V850" i="9" a="1"/>
  <c r="W850" i="9" s="1"/>
  <c r="U850" i="9"/>
  <c r="T850" i="9"/>
  <c r="U1096" i="9"/>
  <c r="V849" i="9" a="1"/>
  <c r="W849" i="9" s="1"/>
  <c r="U849" i="9"/>
  <c r="T849" i="9"/>
  <c r="V1096" i="9" a="1"/>
  <c r="W1096" i="9" s="1"/>
  <c r="V848" i="9" a="1"/>
  <c r="W848" i="9" s="1"/>
  <c r="U848" i="9"/>
  <c r="T848" i="9"/>
  <c r="T1097" i="9"/>
  <c r="V847" i="9" a="1"/>
  <c r="W847" i="9" s="1"/>
  <c r="U847" i="9"/>
  <c r="T847" i="9"/>
  <c r="U1097" i="9"/>
  <c r="V846" i="9" a="1"/>
  <c r="W846" i="9" s="1"/>
  <c r="U846" i="9"/>
  <c r="T846" i="9"/>
  <c r="V1097" i="9" a="1"/>
  <c r="W1097" i="9" s="1"/>
  <c r="V845" i="9" a="1"/>
  <c r="W845" i="9" s="1"/>
  <c r="U845" i="9"/>
  <c r="T845" i="9"/>
  <c r="T1098" i="9"/>
  <c r="V844" i="9" a="1"/>
  <c r="W844" i="9" s="1"/>
  <c r="U844" i="9"/>
  <c r="T844" i="9"/>
  <c r="U1098" i="9"/>
  <c r="V843" i="9" a="1"/>
  <c r="W843" i="9" s="1"/>
  <c r="U843" i="9"/>
  <c r="T843" i="9"/>
  <c r="V1098" i="9" a="1"/>
  <c r="W1098" i="9" s="1"/>
  <c r="V842" i="9" a="1"/>
  <c r="W842" i="9" s="1"/>
  <c r="U842" i="9"/>
  <c r="T842" i="9"/>
  <c r="T1099" i="9"/>
  <c r="V841" i="9" a="1"/>
  <c r="W841" i="9" s="1"/>
  <c r="U841" i="9"/>
  <c r="T841" i="9"/>
  <c r="U1099" i="9"/>
  <c r="V840" i="9" a="1"/>
  <c r="W840" i="9" s="1"/>
  <c r="U840" i="9"/>
  <c r="T840" i="9"/>
  <c r="V1099" i="9" a="1"/>
  <c r="W1099" i="9" s="1"/>
  <c r="V839" i="9" a="1"/>
  <c r="W839" i="9" s="1"/>
  <c r="U839" i="9"/>
  <c r="T839" i="9"/>
  <c r="T1100" i="9"/>
  <c r="V838" i="9" a="1"/>
  <c r="W838" i="9" s="1"/>
  <c r="U838" i="9"/>
  <c r="T838" i="9"/>
  <c r="U1100" i="9"/>
  <c r="V837" i="9" a="1"/>
  <c r="W837" i="9" s="1"/>
  <c r="U837" i="9"/>
  <c r="T837" i="9"/>
  <c r="V1100" i="9" a="1"/>
  <c r="W1100" i="9" s="1"/>
  <c r="V836" i="9" a="1"/>
  <c r="W836" i="9" s="1"/>
  <c r="U836" i="9"/>
  <c r="T836" i="9"/>
  <c r="T1101" i="9"/>
  <c r="V835" i="9" a="1"/>
  <c r="W835" i="9" s="1"/>
  <c r="U835" i="9"/>
  <c r="T835" i="9"/>
  <c r="U1101" i="9"/>
  <c r="V834" i="9" a="1"/>
  <c r="W834" i="9" s="1"/>
  <c r="U834" i="9"/>
  <c r="T834" i="9"/>
  <c r="V1101" i="9" a="1"/>
  <c r="W1101" i="9" s="1"/>
  <c r="V833" i="9" a="1"/>
  <c r="W833" i="9" s="1"/>
  <c r="U833" i="9"/>
  <c r="T833" i="9"/>
  <c r="T1102" i="9"/>
  <c r="V832" i="9" a="1"/>
  <c r="W832" i="9" s="1"/>
  <c r="U832" i="9"/>
  <c r="T832" i="9"/>
  <c r="U1102" i="9"/>
  <c r="V831" i="9" a="1"/>
  <c r="W831" i="9" s="1"/>
  <c r="U831" i="9"/>
  <c r="T831" i="9"/>
  <c r="V1102" i="9" a="1"/>
  <c r="W1102" i="9" s="1"/>
  <c r="V830" i="9" a="1"/>
  <c r="W830" i="9" s="1"/>
  <c r="U830" i="9"/>
  <c r="T830" i="9"/>
  <c r="T1103" i="9"/>
  <c r="V829" i="9" a="1"/>
  <c r="W829" i="9" s="1"/>
  <c r="U829" i="9"/>
  <c r="T829" i="9"/>
  <c r="U1103" i="9"/>
  <c r="V828" i="9" a="1"/>
  <c r="W828" i="9" s="1"/>
  <c r="U828" i="9"/>
  <c r="T828" i="9"/>
  <c r="V1103" i="9" a="1"/>
  <c r="W1103" i="9" s="1"/>
  <c r="V827" i="9" a="1"/>
  <c r="W827" i="9" s="1"/>
  <c r="U827" i="9"/>
  <c r="T827" i="9"/>
  <c r="T1104" i="9"/>
  <c r="V826" i="9" a="1"/>
  <c r="W826" i="9" s="1"/>
  <c r="U826" i="9"/>
  <c r="T826" i="9"/>
  <c r="U1104" i="9"/>
  <c r="V825" i="9" a="1"/>
  <c r="W825" i="9" s="1"/>
  <c r="U825" i="9"/>
  <c r="T825" i="9"/>
  <c r="V1104" i="9" a="1"/>
  <c r="W1104" i="9" s="1"/>
  <c r="V824" i="9" a="1"/>
  <c r="W824" i="9" s="1"/>
  <c r="U824" i="9"/>
  <c r="T824" i="9"/>
  <c r="T1105" i="9"/>
  <c r="V823" i="9" a="1"/>
  <c r="W823" i="9" s="1"/>
  <c r="U823" i="9"/>
  <c r="T823" i="9"/>
  <c r="U1105" i="9"/>
  <c r="V822" i="9" a="1"/>
  <c r="W822" i="9" s="1"/>
  <c r="U822" i="9"/>
  <c r="T822" i="9"/>
  <c r="V1105" i="9" a="1"/>
  <c r="W1105" i="9" s="1"/>
  <c r="V821" i="9" a="1"/>
  <c r="W821" i="9" s="1"/>
  <c r="U821" i="9"/>
  <c r="T821" i="9"/>
  <c r="T1106" i="9"/>
  <c r="V820" i="9" a="1"/>
  <c r="W820" i="9" s="1"/>
  <c r="U820" i="9"/>
  <c r="T820" i="9"/>
  <c r="U1106" i="9"/>
  <c r="V819" i="9" a="1"/>
  <c r="W819" i="9" s="1"/>
  <c r="U819" i="9"/>
  <c r="T819" i="9"/>
  <c r="V1106" i="9" a="1"/>
  <c r="W1106" i="9" s="1"/>
  <c r="V818" i="9" a="1"/>
  <c r="W818" i="9" s="1"/>
  <c r="U818" i="9"/>
  <c r="T818" i="9"/>
  <c r="T1107" i="9"/>
  <c r="V817" i="9" a="1"/>
  <c r="W817" i="9" s="1"/>
  <c r="U817" i="9"/>
  <c r="T817" i="9"/>
  <c r="U1107" i="9"/>
  <c r="V816" i="9" a="1"/>
  <c r="W816" i="9" s="1"/>
  <c r="U816" i="9"/>
  <c r="T816" i="9"/>
  <c r="V1107" i="9" a="1"/>
  <c r="W1107" i="9" s="1"/>
  <c r="V815" i="9" a="1"/>
  <c r="W815" i="9" s="1"/>
  <c r="U815" i="9"/>
  <c r="T815" i="9"/>
  <c r="T1108" i="9"/>
  <c r="V814" i="9" a="1"/>
  <c r="W814" i="9" s="1"/>
  <c r="U814" i="9"/>
  <c r="T814" i="9"/>
  <c r="U1108" i="9"/>
  <c r="V813" i="9" a="1"/>
  <c r="W813" i="9" s="1"/>
  <c r="U813" i="9"/>
  <c r="T813" i="9"/>
  <c r="V1108" i="9" a="1"/>
  <c r="W1108" i="9" s="1"/>
  <c r="V812" i="9" a="1"/>
  <c r="W812" i="9" s="1"/>
  <c r="U812" i="9"/>
  <c r="T812" i="9"/>
  <c r="T1109" i="9"/>
  <c r="V811" i="9" a="1"/>
  <c r="W811" i="9" s="1"/>
  <c r="U811" i="9"/>
  <c r="T811" i="9"/>
  <c r="U1109" i="9"/>
  <c r="V810" i="9" a="1"/>
  <c r="W810" i="9" s="1"/>
  <c r="U810" i="9"/>
  <c r="T810" i="9"/>
  <c r="V1109" i="9" a="1"/>
  <c r="W1109" i="9" s="1"/>
  <c r="V809" i="9" a="1"/>
  <c r="W809" i="9" s="1"/>
  <c r="U809" i="9"/>
  <c r="T809" i="9"/>
  <c r="T1110" i="9"/>
  <c r="V808" i="9" a="1"/>
  <c r="W808" i="9" s="1"/>
  <c r="U808" i="9"/>
  <c r="T808" i="9"/>
  <c r="U1110" i="9"/>
  <c r="V807" i="9" a="1"/>
  <c r="W807" i="9" s="1"/>
  <c r="U807" i="9"/>
  <c r="T807" i="9"/>
  <c r="V1110" i="9" a="1"/>
  <c r="W1110" i="9" s="1"/>
  <c r="V806" i="9" a="1"/>
  <c r="W806" i="9" s="1"/>
  <c r="U806" i="9"/>
  <c r="T806" i="9"/>
  <c r="T1111" i="9"/>
  <c r="V805" i="9" a="1"/>
  <c r="W805" i="9" s="1"/>
  <c r="U805" i="9"/>
  <c r="T805" i="9"/>
  <c r="U1111" i="9"/>
  <c r="V804" i="9" a="1"/>
  <c r="W804" i="9" s="1"/>
  <c r="U804" i="9"/>
  <c r="T804" i="9"/>
  <c r="V1111" i="9" a="1"/>
  <c r="W1111" i="9" s="1"/>
  <c r="V803" i="9" a="1"/>
  <c r="W803" i="9" s="1"/>
  <c r="U803" i="9"/>
  <c r="T803" i="9"/>
  <c r="T1112" i="9"/>
  <c r="V802" i="9" a="1"/>
  <c r="W802" i="9" s="1"/>
  <c r="U802" i="9"/>
  <c r="T802" i="9"/>
  <c r="U1112" i="9"/>
  <c r="V801" i="9" a="1"/>
  <c r="W801" i="9" s="1"/>
  <c r="U801" i="9"/>
  <c r="T801" i="9"/>
  <c r="V1112" i="9" a="1"/>
  <c r="W1112" i="9" s="1"/>
  <c r="V800" i="9" a="1"/>
  <c r="W800" i="9" s="1"/>
  <c r="U800" i="9"/>
  <c r="T800" i="9"/>
  <c r="T1113" i="9"/>
  <c r="V799" i="9" a="1"/>
  <c r="W799" i="9" s="1"/>
  <c r="U799" i="9"/>
  <c r="T799" i="9"/>
  <c r="U1113" i="9"/>
  <c r="V798" i="9" a="1"/>
  <c r="W798" i="9" s="1"/>
  <c r="U798" i="9"/>
  <c r="T798" i="9"/>
  <c r="V1113" i="9" a="1"/>
  <c r="W1113" i="9" s="1"/>
  <c r="V797" i="9" a="1"/>
  <c r="W797" i="9" s="1"/>
  <c r="U797" i="9"/>
  <c r="T797" i="9"/>
  <c r="T1114" i="9"/>
  <c r="V796" i="9" a="1"/>
  <c r="W796" i="9" s="1"/>
  <c r="U796" i="9"/>
  <c r="T796" i="9"/>
  <c r="U1114" i="9"/>
  <c r="V795" i="9" a="1"/>
  <c r="W795" i="9" s="1"/>
  <c r="U795" i="9"/>
  <c r="T795" i="9"/>
  <c r="V1114" i="9" a="1"/>
  <c r="W1114" i="9" s="1"/>
  <c r="V794" i="9" a="1"/>
  <c r="W794" i="9" s="1"/>
  <c r="U794" i="9"/>
  <c r="T794" i="9"/>
  <c r="T1115" i="9"/>
  <c r="V793" i="9" a="1"/>
  <c r="W793" i="9" s="1"/>
  <c r="U793" i="9"/>
  <c r="T793" i="9"/>
  <c r="U1115" i="9"/>
  <c r="V792" i="9" a="1"/>
  <c r="W792" i="9" s="1"/>
  <c r="U792" i="9"/>
  <c r="T792" i="9"/>
  <c r="V1115" i="9" a="1"/>
  <c r="W1115" i="9" s="1"/>
  <c r="V791" i="9" a="1"/>
  <c r="W791" i="9" s="1"/>
  <c r="U791" i="9"/>
  <c r="T791" i="9"/>
  <c r="T1116" i="9"/>
  <c r="V790" i="9" a="1"/>
  <c r="W790" i="9" s="1"/>
  <c r="U790" i="9"/>
  <c r="T790" i="9"/>
  <c r="U1116" i="9"/>
  <c r="V789" i="9" a="1"/>
  <c r="W789" i="9" s="1"/>
  <c r="U789" i="9"/>
  <c r="T789" i="9"/>
  <c r="V1116" i="9" a="1"/>
  <c r="W1116" i="9" s="1"/>
  <c r="V788" i="9" a="1"/>
  <c r="W788" i="9" s="1"/>
  <c r="U788" i="9"/>
  <c r="T788" i="9"/>
  <c r="T1117" i="9"/>
  <c r="V787" i="9" a="1"/>
  <c r="W787" i="9" s="1"/>
  <c r="U787" i="9"/>
  <c r="T787" i="9"/>
  <c r="U1117" i="9"/>
  <c r="V786" i="9" a="1"/>
  <c r="W786" i="9" s="1"/>
  <c r="U786" i="9"/>
  <c r="T786" i="9"/>
  <c r="V1117" i="9" a="1"/>
  <c r="W1117" i="9" s="1"/>
  <c r="V785" i="9" a="1"/>
  <c r="W785" i="9" s="1"/>
  <c r="U785" i="9"/>
  <c r="T785" i="9"/>
  <c r="T1118" i="9"/>
  <c r="V784" i="9" a="1"/>
  <c r="W784" i="9" s="1"/>
  <c r="U784" i="9"/>
  <c r="T784" i="9"/>
  <c r="U1118" i="9"/>
  <c r="V783" i="9" a="1"/>
  <c r="W783" i="9" s="1"/>
  <c r="U783" i="9"/>
  <c r="T783" i="9"/>
  <c r="V1118" i="9" a="1"/>
  <c r="W1118" i="9" s="1"/>
  <c r="V782" i="9" a="1"/>
  <c r="W782" i="9" s="1"/>
  <c r="U782" i="9"/>
  <c r="T782" i="9"/>
  <c r="V79" i="9" a="1"/>
  <c r="W79" i="9" s="1"/>
  <c r="V781" i="9" a="1"/>
  <c r="W781" i="9" s="1"/>
  <c r="U781" i="9"/>
  <c r="T781" i="9"/>
  <c r="U1026" i="9"/>
  <c r="V780" i="9" a="1"/>
  <c r="W780" i="9" s="1"/>
  <c r="U780" i="9"/>
  <c r="T780" i="9"/>
  <c r="T1026" i="9"/>
  <c r="V779" i="9" a="1"/>
  <c r="W779" i="9" s="1"/>
  <c r="U779" i="9"/>
  <c r="T779" i="9"/>
  <c r="V1037" i="9" a="1"/>
  <c r="W1037" i="9" s="1"/>
  <c r="V778" i="9" a="1"/>
  <c r="W778" i="9" s="1"/>
  <c r="U778" i="9"/>
  <c r="T778" i="9"/>
  <c r="V1025" i="9" a="1"/>
  <c r="W1025" i="9" s="1"/>
  <c r="V777" i="9" a="1"/>
  <c r="W777" i="9" s="1"/>
  <c r="U777" i="9"/>
  <c r="T777" i="9"/>
  <c r="U1025" i="9"/>
  <c r="V776" i="9" a="1"/>
  <c r="W776" i="9" s="1"/>
  <c r="U776" i="9"/>
  <c r="T776" i="9"/>
  <c r="T1025" i="9"/>
  <c r="V775" i="9" a="1"/>
  <c r="W775" i="9" s="1"/>
  <c r="U775" i="9"/>
  <c r="T775" i="9"/>
  <c r="T1038" i="9"/>
  <c r="V774" i="9" a="1"/>
  <c r="W774" i="9" s="1"/>
  <c r="U774" i="9"/>
  <c r="T774" i="9"/>
  <c r="V1024" i="9" a="1"/>
  <c r="W1024" i="9" s="1"/>
  <c r="V773" i="9" a="1"/>
  <c r="W773" i="9" s="1"/>
  <c r="U773" i="9"/>
  <c r="T773" i="9"/>
  <c r="U1024" i="9"/>
  <c r="V772" i="9" a="1"/>
  <c r="W772" i="9" s="1"/>
  <c r="U772" i="9"/>
  <c r="T772" i="9"/>
  <c r="T1024" i="9"/>
  <c r="V771" i="9" a="1"/>
  <c r="W771" i="9" s="1"/>
  <c r="U771" i="9"/>
  <c r="T771" i="9"/>
  <c r="U1038" i="9"/>
  <c r="V770" i="9" a="1"/>
  <c r="W770" i="9" s="1"/>
  <c r="U770" i="9"/>
  <c r="T770" i="9"/>
  <c r="V1023" i="9" a="1"/>
  <c r="W1023" i="9" s="1"/>
  <c r="V769" i="9" a="1"/>
  <c r="W769" i="9" s="1"/>
  <c r="U769" i="9"/>
  <c r="T769" i="9"/>
  <c r="U1023" i="9"/>
  <c r="V768" i="9" a="1"/>
  <c r="W768" i="9" s="1"/>
  <c r="U768" i="9"/>
  <c r="T768" i="9"/>
  <c r="T1023" i="9"/>
  <c r="V767" i="9" a="1"/>
  <c r="W767" i="9" s="1"/>
  <c r="U767" i="9"/>
  <c r="T767" i="9"/>
  <c r="V1038" i="9" a="1"/>
  <c r="W1038" i="9" s="1"/>
  <c r="V766" i="9" a="1"/>
  <c r="W766" i="9" s="1"/>
  <c r="U766" i="9"/>
  <c r="T766" i="9"/>
  <c r="V1022" i="9" a="1"/>
  <c r="W1022" i="9" s="1"/>
  <c r="V765" i="9" a="1"/>
  <c r="W765" i="9" s="1"/>
  <c r="U765" i="9"/>
  <c r="T765" i="9"/>
  <c r="U1022" i="9"/>
  <c r="V764" i="9" a="1"/>
  <c r="W764" i="9" s="1"/>
  <c r="U764" i="9"/>
  <c r="T764" i="9"/>
  <c r="T1022" i="9"/>
  <c r="V763" i="9" a="1"/>
  <c r="W763" i="9" s="1"/>
  <c r="U763" i="9"/>
  <c r="T763" i="9"/>
  <c r="T1039" i="9"/>
  <c r="V762" i="9" a="1"/>
  <c r="W762" i="9" s="1"/>
  <c r="U762" i="9"/>
  <c r="T762" i="9"/>
  <c r="V1021" i="9" a="1"/>
  <c r="W1021" i="9" s="1"/>
  <c r="V761" i="9" a="1"/>
  <c r="W761" i="9" s="1"/>
  <c r="U761" i="9"/>
  <c r="T761" i="9"/>
  <c r="U1021" i="9"/>
  <c r="V760" i="9" a="1"/>
  <c r="W760" i="9" s="1"/>
  <c r="U760" i="9"/>
  <c r="T760" i="9"/>
  <c r="T1021" i="9"/>
  <c r="V759" i="9" a="1"/>
  <c r="W759" i="9" s="1"/>
  <c r="U759" i="9"/>
  <c r="T759" i="9"/>
  <c r="U1039" i="9"/>
  <c r="V758" i="9" a="1"/>
  <c r="W758" i="9" s="1"/>
  <c r="U758" i="9"/>
  <c r="T758" i="9"/>
  <c r="V1020" i="9" a="1"/>
  <c r="W1020" i="9" s="1"/>
  <c r="V757" i="9" a="1"/>
  <c r="W757" i="9" s="1"/>
  <c r="U757" i="9"/>
  <c r="T757" i="9"/>
  <c r="U1020" i="9"/>
  <c r="V756" i="9" a="1"/>
  <c r="W756" i="9" s="1"/>
  <c r="U756" i="9"/>
  <c r="T756" i="9"/>
  <c r="T1020" i="9"/>
  <c r="V755" i="9" a="1"/>
  <c r="W755" i="9" s="1"/>
  <c r="U755" i="9"/>
  <c r="T755" i="9"/>
  <c r="V1039" i="9" a="1"/>
  <c r="W1039" i="9" s="1"/>
  <c r="V754" i="9" a="1"/>
  <c r="W754" i="9" s="1"/>
  <c r="U754" i="9"/>
  <c r="T754" i="9"/>
  <c r="V1019" i="9" a="1"/>
  <c r="W1019" i="9" s="1"/>
  <c r="V753" i="9" a="1"/>
  <c r="W753" i="9" s="1"/>
  <c r="U753" i="9"/>
  <c r="T753" i="9"/>
  <c r="U1019" i="9"/>
  <c r="V752" i="9" a="1"/>
  <c r="W752" i="9" s="1"/>
  <c r="U752" i="9"/>
  <c r="T752" i="9"/>
  <c r="T1019" i="9"/>
  <c r="V751" i="9" a="1"/>
  <c r="W751" i="9" s="1"/>
  <c r="U751" i="9"/>
  <c r="T751" i="9"/>
  <c r="T1040" i="9"/>
  <c r="V750" i="9" a="1"/>
  <c r="W750" i="9" s="1"/>
  <c r="U750" i="9"/>
  <c r="T750" i="9"/>
  <c r="V1018" i="9" a="1"/>
  <c r="W1018" i="9" s="1"/>
  <c r="V749" i="9" a="1"/>
  <c r="W749" i="9" s="1"/>
  <c r="U749" i="9"/>
  <c r="T749" i="9"/>
  <c r="U1018" i="9"/>
  <c r="V748" i="9" a="1"/>
  <c r="W748" i="9" s="1"/>
  <c r="U748" i="9"/>
  <c r="T748" i="9"/>
  <c r="T1018" i="9"/>
  <c r="V747" i="9" a="1"/>
  <c r="W747" i="9" s="1"/>
  <c r="U747" i="9"/>
  <c r="T747" i="9"/>
  <c r="U1040" i="9"/>
  <c r="V746" i="9" a="1"/>
  <c r="W746" i="9" s="1"/>
  <c r="U746" i="9"/>
  <c r="T746" i="9"/>
  <c r="V1017" i="9" a="1"/>
  <c r="W1017" i="9" s="1"/>
  <c r="V745" i="9" a="1"/>
  <c r="W745" i="9" s="1"/>
  <c r="U745" i="9"/>
  <c r="T745" i="9"/>
  <c r="U1017" i="9"/>
  <c r="V744" i="9" a="1"/>
  <c r="W744" i="9" s="1"/>
  <c r="U744" i="9"/>
  <c r="T744" i="9"/>
  <c r="T1017" i="9"/>
  <c r="V743" i="9" a="1"/>
  <c r="W743" i="9" s="1"/>
  <c r="U743" i="9"/>
  <c r="T743" i="9"/>
  <c r="V1040" i="9" a="1"/>
  <c r="W1040" i="9" s="1"/>
  <c r="V742" i="9" a="1"/>
  <c r="W742" i="9" s="1"/>
  <c r="U742" i="9"/>
  <c r="T742" i="9"/>
  <c r="V1016" i="9" a="1"/>
  <c r="W1016" i="9" s="1"/>
  <c r="V741" i="9" a="1"/>
  <c r="W741" i="9" s="1"/>
  <c r="U741" i="9"/>
  <c r="T741" i="9"/>
  <c r="U1016" i="9"/>
  <c r="V740" i="9" a="1"/>
  <c r="W740" i="9" s="1"/>
  <c r="U740" i="9"/>
  <c r="T740" i="9"/>
  <c r="T1016" i="9"/>
  <c r="V739" i="9" a="1"/>
  <c r="W739" i="9" s="1"/>
  <c r="U739" i="9"/>
  <c r="T739" i="9"/>
  <c r="T1041" i="9"/>
  <c r="V738" i="9" a="1"/>
  <c r="W738" i="9" s="1"/>
  <c r="U738" i="9"/>
  <c r="T738" i="9"/>
  <c r="V1015" i="9" a="1"/>
  <c r="W1015" i="9" s="1"/>
  <c r="V737" i="9" a="1"/>
  <c r="W737" i="9" s="1"/>
  <c r="U737" i="9"/>
  <c r="T737" i="9"/>
  <c r="U1015" i="9"/>
  <c r="V736" i="9" a="1"/>
  <c r="W736" i="9" s="1"/>
  <c r="U736" i="9"/>
  <c r="T736" i="9"/>
  <c r="T1015" i="9"/>
  <c r="V735" i="9" a="1"/>
  <c r="W735" i="9" s="1"/>
  <c r="U735" i="9"/>
  <c r="T735" i="9"/>
  <c r="U1041" i="9"/>
  <c r="V734" i="9" a="1"/>
  <c r="W734" i="9" s="1"/>
  <c r="U734" i="9"/>
  <c r="T734" i="9"/>
  <c r="V1014" i="9" a="1"/>
  <c r="W1014" i="9" s="1"/>
  <c r="V733" i="9" a="1"/>
  <c r="W733" i="9" s="1"/>
  <c r="U733" i="9"/>
  <c r="T733" i="9"/>
  <c r="U1014" i="9"/>
  <c r="V732" i="9" a="1"/>
  <c r="W732" i="9" s="1"/>
  <c r="U732" i="9"/>
  <c r="T732" i="9"/>
  <c r="T1014" i="9"/>
  <c r="V731" i="9" a="1"/>
  <c r="W731" i="9" s="1"/>
  <c r="U731" i="9"/>
  <c r="T731" i="9"/>
  <c r="V1041" i="9" a="1"/>
  <c r="W1041" i="9" s="1"/>
  <c r="V730" i="9" a="1"/>
  <c r="W730" i="9" s="1"/>
  <c r="U730" i="9"/>
  <c r="T730" i="9"/>
  <c r="V1013" i="9" a="1"/>
  <c r="W1013" i="9" s="1"/>
  <c r="V729" i="9" a="1"/>
  <c r="W729" i="9" s="1"/>
  <c r="U729" i="9"/>
  <c r="T729" i="9"/>
  <c r="U1013" i="9"/>
  <c r="V728" i="9" a="1"/>
  <c r="W728" i="9" s="1"/>
  <c r="U728" i="9"/>
  <c r="T728" i="9"/>
  <c r="T1013" i="9"/>
  <c r="V727" i="9" a="1"/>
  <c r="W727" i="9" s="1"/>
  <c r="U727" i="9"/>
  <c r="T727" i="9"/>
  <c r="T1042" i="9"/>
  <c r="V726" i="9" a="1"/>
  <c r="W726" i="9" s="1"/>
  <c r="U726" i="9"/>
  <c r="T726" i="9"/>
  <c r="V1012" i="9" a="1"/>
  <c r="W1012" i="9" s="1"/>
  <c r="V725" i="9" a="1"/>
  <c r="W725" i="9" s="1"/>
  <c r="U725" i="9"/>
  <c r="T725" i="9"/>
  <c r="U1012" i="9"/>
  <c r="V724" i="9" a="1"/>
  <c r="W724" i="9" s="1"/>
  <c r="U724" i="9"/>
  <c r="T724" i="9"/>
  <c r="T1012" i="9"/>
  <c r="V723" i="9" a="1"/>
  <c r="W723" i="9" s="1"/>
  <c r="U723" i="9"/>
  <c r="T723" i="9"/>
  <c r="U1042" i="9"/>
  <c r="V722" i="9" a="1"/>
  <c r="W722" i="9" s="1"/>
  <c r="U722" i="9"/>
  <c r="T722" i="9"/>
  <c r="V1011" i="9" a="1"/>
  <c r="W1011" i="9" s="1"/>
  <c r="V721" i="9" a="1"/>
  <c r="W721" i="9" s="1"/>
  <c r="U721" i="9"/>
  <c r="T721" i="9"/>
  <c r="U1011" i="9"/>
  <c r="V720" i="9" a="1"/>
  <c r="W720" i="9" s="1"/>
  <c r="U720" i="9"/>
  <c r="T720" i="9"/>
  <c r="T1011" i="9"/>
  <c r="V719" i="9" a="1"/>
  <c r="W719" i="9" s="1"/>
  <c r="U719" i="9"/>
  <c r="T719" i="9"/>
  <c r="V1042" i="9" a="1"/>
  <c r="W1042" i="9" s="1"/>
  <c r="V718" i="9" a="1"/>
  <c r="W718" i="9" s="1"/>
  <c r="U718" i="9"/>
  <c r="T718" i="9"/>
  <c r="V1010" i="9" a="1"/>
  <c r="W1010" i="9" s="1"/>
  <c r="V717" i="9" a="1"/>
  <c r="W717" i="9" s="1"/>
  <c r="U717" i="9"/>
  <c r="T717" i="9"/>
  <c r="U1010" i="9"/>
  <c r="V716" i="9" a="1"/>
  <c r="W716" i="9" s="1"/>
  <c r="U716" i="9"/>
  <c r="T716" i="9"/>
  <c r="T1010" i="9"/>
  <c r="V715" i="9" a="1"/>
  <c r="W715" i="9" s="1"/>
  <c r="U715" i="9"/>
  <c r="T715" i="9"/>
  <c r="T1043" i="9"/>
  <c r="V714" i="9" a="1"/>
  <c r="W714" i="9" s="1"/>
  <c r="U714" i="9"/>
  <c r="T714" i="9"/>
  <c r="V1009" i="9" a="1"/>
  <c r="W1009" i="9" s="1"/>
  <c r="V713" i="9" a="1"/>
  <c r="W713" i="9" s="1"/>
  <c r="U713" i="9"/>
  <c r="T713" i="9"/>
  <c r="U1009" i="9"/>
  <c r="V712" i="9" a="1"/>
  <c r="W712" i="9" s="1"/>
  <c r="U712" i="9"/>
  <c r="T712" i="9"/>
  <c r="T1009" i="9"/>
  <c r="V711" i="9" a="1"/>
  <c r="W711" i="9" s="1"/>
  <c r="U711" i="9"/>
  <c r="T711" i="9"/>
  <c r="U1043" i="9"/>
  <c r="V710" i="9" a="1"/>
  <c r="W710" i="9" s="1"/>
  <c r="U710" i="9"/>
  <c r="T710" i="9"/>
  <c r="V1008" i="9" a="1"/>
  <c r="W1008" i="9" s="1"/>
  <c r="V709" i="9" a="1"/>
  <c r="W709" i="9" s="1"/>
  <c r="U709" i="9"/>
  <c r="T709" i="9"/>
  <c r="U1008" i="9"/>
  <c r="V708" i="9" a="1"/>
  <c r="W708" i="9" s="1"/>
  <c r="U708" i="9"/>
  <c r="T708" i="9"/>
  <c r="T1008" i="9"/>
  <c r="V707" i="9" a="1"/>
  <c r="W707" i="9" s="1"/>
  <c r="U707" i="9"/>
  <c r="T707" i="9"/>
  <c r="V1043" i="9" a="1"/>
  <c r="W1043" i="9" s="1"/>
  <c r="V706" i="9" a="1"/>
  <c r="W706" i="9" s="1"/>
  <c r="U706" i="9"/>
  <c r="T706" i="9"/>
  <c r="V1007" i="9" a="1"/>
  <c r="W1007" i="9" s="1"/>
  <c r="V705" i="9" a="1"/>
  <c r="W705" i="9" s="1"/>
  <c r="U705" i="9"/>
  <c r="T705" i="9"/>
  <c r="U1007" i="9"/>
  <c r="V704" i="9" a="1"/>
  <c r="W704" i="9" s="1"/>
  <c r="U704" i="9"/>
  <c r="T704" i="9"/>
  <c r="T1007" i="9"/>
  <c r="V703" i="9" a="1"/>
  <c r="W703" i="9" s="1"/>
  <c r="U703" i="9"/>
  <c r="T703" i="9"/>
  <c r="T1044" i="9"/>
  <c r="V702" i="9" a="1"/>
  <c r="W702" i="9" s="1"/>
  <c r="U702" i="9"/>
  <c r="T702" i="9"/>
  <c r="V1006" i="9" a="1"/>
  <c r="W1006" i="9" s="1"/>
  <c r="V701" i="9" a="1"/>
  <c r="W701" i="9" s="1"/>
  <c r="U701" i="9"/>
  <c r="T701" i="9"/>
  <c r="U1006" i="9"/>
  <c r="V700" i="9" a="1"/>
  <c r="W700" i="9" s="1"/>
  <c r="U700" i="9"/>
  <c r="T700" i="9"/>
  <c r="T1006" i="9"/>
  <c r="V699" i="9" a="1"/>
  <c r="W699" i="9" s="1"/>
  <c r="U699" i="9"/>
  <c r="T699" i="9"/>
  <c r="U1044" i="9"/>
  <c r="V698" i="9" a="1"/>
  <c r="W698" i="9" s="1"/>
  <c r="U698" i="9"/>
  <c r="T698" i="9"/>
  <c r="V1005" i="9" a="1"/>
  <c r="W1005" i="9" s="1"/>
  <c r="V697" i="9" a="1"/>
  <c r="W697" i="9" s="1"/>
  <c r="U697" i="9"/>
  <c r="T697" i="9"/>
  <c r="U1005" i="9"/>
  <c r="V696" i="9" a="1"/>
  <c r="W696" i="9" s="1"/>
  <c r="U696" i="9"/>
  <c r="T696" i="9"/>
  <c r="T1005" i="9"/>
  <c r="V695" i="9" a="1"/>
  <c r="W695" i="9" s="1"/>
  <c r="U695" i="9"/>
  <c r="T695" i="9"/>
  <c r="V1044" i="9" a="1"/>
  <c r="W1044" i="9" s="1"/>
  <c r="V694" i="9" a="1"/>
  <c r="W694" i="9" s="1"/>
  <c r="U694" i="9"/>
  <c r="T694" i="9"/>
  <c r="V1004" i="9" a="1"/>
  <c r="W1004" i="9" s="1"/>
  <c r="V693" i="9" a="1"/>
  <c r="W693" i="9" s="1"/>
  <c r="U693" i="9"/>
  <c r="T693" i="9"/>
  <c r="U1004" i="9"/>
  <c r="V692" i="9" a="1"/>
  <c r="W692" i="9" s="1"/>
  <c r="U692" i="9"/>
  <c r="T692" i="9"/>
  <c r="T1004" i="9"/>
  <c r="V691" i="9" a="1"/>
  <c r="W691" i="9" s="1"/>
  <c r="U691" i="9"/>
  <c r="T691" i="9"/>
  <c r="T1045" i="9"/>
  <c r="V690" i="9" a="1"/>
  <c r="W690" i="9" s="1"/>
  <c r="U690" i="9"/>
  <c r="T690" i="9"/>
  <c r="V1003" i="9" a="1"/>
  <c r="W1003" i="9" s="1"/>
  <c r="V689" i="9" a="1"/>
  <c r="W689" i="9" s="1"/>
  <c r="U689" i="9"/>
  <c r="T689" i="9"/>
  <c r="U1003" i="9"/>
  <c r="V688" i="9" a="1"/>
  <c r="W688" i="9" s="1"/>
  <c r="U688" i="9"/>
  <c r="T688" i="9"/>
  <c r="T1003" i="9"/>
  <c r="V687" i="9" a="1"/>
  <c r="W687" i="9" s="1"/>
  <c r="U687" i="9"/>
  <c r="T687" i="9"/>
  <c r="U1045" i="9"/>
  <c r="V686" i="9" a="1"/>
  <c r="W686" i="9" s="1"/>
  <c r="U686" i="9"/>
  <c r="T686" i="9"/>
  <c r="V1002" i="9" a="1"/>
  <c r="W1002" i="9" s="1"/>
  <c r="V685" i="9" a="1"/>
  <c r="W685" i="9" s="1"/>
  <c r="U685" i="9"/>
  <c r="T685" i="9"/>
  <c r="U1002" i="9"/>
  <c r="V684" i="9" a="1"/>
  <c r="W684" i="9" s="1"/>
  <c r="U684" i="9"/>
  <c r="T684" i="9"/>
  <c r="T1002" i="9"/>
  <c r="V683" i="9" a="1"/>
  <c r="W683" i="9" s="1"/>
  <c r="U683" i="9"/>
  <c r="T683" i="9"/>
  <c r="V1045" i="9" a="1"/>
  <c r="W1045" i="9" s="1"/>
  <c r="V682" i="9" a="1"/>
  <c r="W682" i="9" s="1"/>
  <c r="U682" i="9"/>
  <c r="T682" i="9"/>
  <c r="V1001" i="9" a="1"/>
  <c r="W1001" i="9" s="1"/>
  <c r="V681" i="9" a="1"/>
  <c r="W681" i="9" s="1"/>
  <c r="U681" i="9"/>
  <c r="T681" i="9"/>
  <c r="U1001" i="9"/>
  <c r="V680" i="9" a="1"/>
  <c r="W680" i="9" s="1"/>
  <c r="U680" i="9"/>
  <c r="T680" i="9"/>
  <c r="T1001" i="9"/>
  <c r="V679" i="9" a="1"/>
  <c r="W679" i="9" s="1"/>
  <c r="U679" i="9"/>
  <c r="T679" i="9"/>
  <c r="T1046" i="9"/>
  <c r="V678" i="9" a="1"/>
  <c r="W678" i="9" s="1"/>
  <c r="U678" i="9"/>
  <c r="T678" i="9"/>
  <c r="V1000" i="9" a="1"/>
  <c r="W1000" i="9" s="1"/>
  <c r="V677" i="9" a="1"/>
  <c r="W677" i="9" s="1"/>
  <c r="U677" i="9"/>
  <c r="T677" i="9"/>
  <c r="U1000" i="9"/>
  <c r="V676" i="9" a="1"/>
  <c r="W676" i="9" s="1"/>
  <c r="U676" i="9"/>
  <c r="T676" i="9"/>
  <c r="T1000" i="9"/>
  <c r="V675" i="9" a="1"/>
  <c r="W675" i="9" s="1"/>
  <c r="U675" i="9"/>
  <c r="T675" i="9"/>
  <c r="U1046" i="9"/>
  <c r="V674" i="9" a="1"/>
  <c r="W674" i="9" s="1"/>
  <c r="U674" i="9"/>
  <c r="T674" i="9"/>
  <c r="V999" i="9" a="1"/>
  <c r="W999" i="9" s="1"/>
  <c r="V673" i="9" a="1"/>
  <c r="W673" i="9" s="1"/>
  <c r="U673" i="9"/>
  <c r="T673" i="9"/>
  <c r="U999" i="9"/>
  <c r="V672" i="9" a="1"/>
  <c r="W672" i="9" s="1"/>
  <c r="U672" i="9"/>
  <c r="T672" i="9"/>
  <c r="T999" i="9"/>
  <c r="V671" i="9" a="1"/>
  <c r="W671" i="9" s="1"/>
  <c r="U671" i="9"/>
  <c r="T671" i="9"/>
  <c r="V1046" i="9" a="1"/>
  <c r="W1046" i="9" s="1"/>
  <c r="V670" i="9" a="1"/>
  <c r="W670" i="9" s="1"/>
  <c r="U670" i="9"/>
  <c r="T670" i="9"/>
  <c r="V998" i="9" a="1"/>
  <c r="W998" i="9" s="1"/>
  <c r="V669" i="9" a="1"/>
  <c r="W669" i="9" s="1"/>
  <c r="U669" i="9"/>
  <c r="T669" i="9"/>
  <c r="U998" i="9"/>
  <c r="V479" i="9" a="1"/>
  <c r="W479" i="9" s="1"/>
  <c r="T998" i="9"/>
  <c r="V478" i="9" a="1"/>
  <c r="W478" i="9" s="1"/>
  <c r="U478" i="9"/>
  <c r="T478" i="9"/>
  <c r="V476" i="9" a="1"/>
  <c r="W476" i="9" s="1"/>
  <c r="U476" i="9"/>
  <c r="T476" i="9"/>
  <c r="T1047" i="9"/>
  <c r="V475" i="9" a="1"/>
  <c r="W475" i="9" s="1"/>
  <c r="U475" i="9"/>
  <c r="T475" i="9"/>
  <c r="V997" i="9" a="1"/>
  <c r="W997" i="9" s="1"/>
  <c r="U997" i="9"/>
  <c r="V473" i="9" a="1"/>
  <c r="W473" i="9" s="1"/>
  <c r="U473" i="9"/>
  <c r="T473" i="9"/>
  <c r="V472" i="9" a="1"/>
  <c r="W472" i="9" s="1"/>
  <c r="U472" i="9"/>
  <c r="T472" i="9"/>
  <c r="V469" i="9" a="1"/>
  <c r="W469" i="9" s="1"/>
  <c r="U469" i="9"/>
  <c r="T469" i="9"/>
  <c r="T997" i="9"/>
  <c r="V468" i="9" a="1"/>
  <c r="W468" i="9" s="1"/>
  <c r="U468" i="9"/>
  <c r="T468" i="9"/>
  <c r="U1047" i="9"/>
  <c r="V996" i="9" a="1"/>
  <c r="W996" i="9" s="1"/>
  <c r="V466" i="9" a="1"/>
  <c r="W466" i="9" s="1"/>
  <c r="U466" i="9"/>
  <c r="T466" i="9"/>
  <c r="U996" i="9"/>
  <c r="U465" i="9"/>
  <c r="T465" i="9"/>
  <c r="T996" i="9"/>
  <c r="T464" i="9"/>
  <c r="V461" i="9" a="1"/>
  <c r="W461" i="9" s="1"/>
  <c r="U461" i="9"/>
  <c r="T461" i="9"/>
  <c r="V1047" i="9" a="1"/>
  <c r="W1047" i="9" s="1"/>
  <c r="T460" i="9"/>
  <c r="V458" i="9" a="1"/>
  <c r="W458" i="9" s="1"/>
  <c r="U458" i="9"/>
  <c r="T458" i="9"/>
  <c r="V995" i="9" a="1"/>
  <c r="W995" i="9" s="1"/>
  <c r="U995" i="9"/>
  <c r="V456" i="9" a="1"/>
  <c r="W456" i="9" s="1"/>
  <c r="U456" i="9"/>
  <c r="T456" i="9"/>
  <c r="T995" i="9"/>
  <c r="T1048" i="9"/>
  <c r="V454" i="9" a="1"/>
  <c r="W454" i="9" s="1"/>
  <c r="U454" i="9"/>
  <c r="T454" i="9"/>
  <c r="V994" i="9" a="1"/>
  <c r="W994" i="9" s="1"/>
  <c r="V451" i="9" a="1"/>
  <c r="W451" i="9" s="1"/>
  <c r="U451" i="9"/>
  <c r="T451" i="9"/>
  <c r="U994" i="9"/>
  <c r="U450" i="9"/>
  <c r="T994" i="9"/>
  <c r="V449" i="9" a="1"/>
  <c r="W449" i="9" s="1"/>
  <c r="U449" i="9"/>
  <c r="T449" i="9"/>
  <c r="U1048" i="9"/>
  <c r="V448" i="9" a="1"/>
  <c r="W448" i="9" s="1"/>
  <c r="V993" i="9" a="1"/>
  <c r="W993" i="9" s="1"/>
  <c r="V447" i="9" a="1"/>
  <c r="W447" i="9" s="1"/>
  <c r="U447" i="9"/>
  <c r="T447" i="9"/>
  <c r="U993" i="9"/>
  <c r="T446" i="9"/>
  <c r="V445" i="9" a="1"/>
  <c r="W445" i="9" s="1"/>
  <c r="U445" i="9"/>
  <c r="T445" i="9"/>
  <c r="T993" i="9"/>
  <c r="T444" i="9"/>
  <c r="T436" i="9"/>
  <c r="U435" i="9"/>
  <c r="U434" i="9"/>
  <c r="V433" i="9" a="1"/>
  <c r="W433" i="9" s="1"/>
  <c r="T433" i="9"/>
  <c r="V1048" i="9" a="1"/>
  <c r="W1048" i="9" s="1"/>
  <c r="V432" i="9" a="1"/>
  <c r="W432" i="9" s="1"/>
  <c r="T432" i="9"/>
  <c r="V992" i="9" a="1"/>
  <c r="W992" i="9" s="1"/>
  <c r="V431" i="9" a="1"/>
  <c r="W431" i="9" s="1"/>
  <c r="T431" i="9"/>
  <c r="U992" i="9"/>
  <c r="U430" i="9"/>
  <c r="V429" i="9" a="1"/>
  <c r="W429" i="9" s="1"/>
  <c r="T429" i="9"/>
  <c r="T992" i="9"/>
  <c r="V428" i="9" a="1"/>
  <c r="W428" i="9" s="1"/>
  <c r="T428" i="9"/>
  <c r="T1049" i="9"/>
  <c r="T427" i="9"/>
  <c r="V991" i="9" a="1"/>
  <c r="W991" i="9" s="1"/>
  <c r="V426" i="9" a="1"/>
  <c r="W426" i="9" s="1"/>
  <c r="T426" i="9"/>
  <c r="U991" i="9"/>
  <c r="U425" i="9"/>
  <c r="V424" i="9" a="1"/>
  <c r="W424" i="9" s="1"/>
  <c r="T424" i="9"/>
  <c r="T991" i="9"/>
  <c r="U423" i="9"/>
  <c r="V422" i="9" a="1"/>
  <c r="W422" i="9" s="1"/>
  <c r="U421" i="9"/>
  <c r="T421" i="9"/>
  <c r="U1049" i="9"/>
  <c r="V420" i="9" a="1"/>
  <c r="W420" i="9" s="1"/>
  <c r="T420" i="9"/>
  <c r="V990" i="9" a="1"/>
  <c r="W990" i="9" s="1"/>
  <c r="V419" i="9" a="1"/>
  <c r="W419" i="9" s="1"/>
  <c r="U419" i="9"/>
  <c r="U418" i="9"/>
  <c r="T418" i="9"/>
  <c r="U990" i="9"/>
  <c r="V417" i="9" a="1"/>
  <c r="W417" i="9" s="1"/>
  <c r="T417" i="9"/>
  <c r="T990" i="9"/>
  <c r="V416" i="9" a="1"/>
  <c r="W416" i="9" s="1"/>
  <c r="T416" i="9"/>
  <c r="V1049" i="9" a="1"/>
  <c r="W1049" i="9" s="1"/>
  <c r="V415" i="9" a="1"/>
  <c r="W415" i="9" s="1"/>
  <c r="V989" i="9" a="1"/>
  <c r="W989" i="9" s="1"/>
  <c r="V414" i="9" a="1"/>
  <c r="W414" i="9" s="1"/>
  <c r="U413" i="9"/>
  <c r="T413" i="9"/>
  <c r="U989" i="9"/>
  <c r="V412" i="9" a="1"/>
  <c r="W412" i="9" s="1"/>
  <c r="T412" i="9"/>
  <c r="T989" i="9"/>
  <c r="V411" i="9" a="1"/>
  <c r="W411" i="9" s="1"/>
  <c r="T411" i="9"/>
  <c r="T1050" i="9"/>
  <c r="U410" i="9"/>
  <c r="T410" i="9"/>
  <c r="V988" i="9" a="1"/>
  <c r="W988" i="9" s="1"/>
  <c r="V409" i="9" a="1"/>
  <c r="W409" i="9" s="1"/>
  <c r="U988" i="9"/>
  <c r="U408" i="9"/>
  <c r="T408" i="9"/>
  <c r="T988" i="9"/>
  <c r="V407" i="9" a="1"/>
  <c r="W407" i="9" s="1"/>
  <c r="U407" i="9"/>
  <c r="U406" i="9"/>
  <c r="T406" i="9"/>
  <c r="U1050" i="9"/>
  <c r="V405" i="9" a="1"/>
  <c r="W405" i="9" s="1"/>
  <c r="T405" i="9"/>
  <c r="V987" i="9" a="1"/>
  <c r="W987" i="9" s="1"/>
  <c r="V404" i="9" a="1"/>
  <c r="W404" i="9" s="1"/>
  <c r="T404" i="9"/>
  <c r="U987" i="9"/>
  <c r="V403" i="9" a="1"/>
  <c r="W403" i="9" s="1"/>
  <c r="T403" i="9"/>
  <c r="T987" i="9"/>
  <c r="U402" i="9"/>
  <c r="V401" i="9" a="1"/>
  <c r="W401" i="9" s="1"/>
  <c r="U401" i="9"/>
  <c r="U400" i="9"/>
  <c r="V399" i="9" a="1"/>
  <c r="W399" i="9" s="1"/>
  <c r="T399" i="9"/>
  <c r="V1050" i="9" a="1"/>
  <c r="W1050" i="9" s="1"/>
  <c r="U398" i="9"/>
  <c r="V397" i="9" a="1"/>
  <c r="W397" i="9" s="1"/>
  <c r="U397" i="9"/>
  <c r="U396" i="9"/>
  <c r="V395" i="9" a="1"/>
  <c r="W395" i="9" s="1"/>
  <c r="T395" i="9"/>
  <c r="V986" i="9" a="1"/>
  <c r="W986" i="9" s="1"/>
  <c r="U394" i="9"/>
  <c r="V393" i="9" a="1"/>
  <c r="W393" i="9" s="1"/>
  <c r="T393" i="9"/>
  <c r="U986" i="9"/>
  <c r="U392" i="9"/>
  <c r="T391" i="9"/>
  <c r="T986" i="9"/>
  <c r="V390" i="9" a="1"/>
  <c r="W390" i="9" s="1"/>
  <c r="T390" i="9"/>
  <c r="T1051" i="9"/>
  <c r="V389" i="9" a="1"/>
  <c r="W389" i="9" s="1"/>
  <c r="T389" i="9"/>
  <c r="V985" i="9" a="1"/>
  <c r="W985" i="9" s="1"/>
  <c r="V388" i="9" a="1"/>
  <c r="W388" i="9" s="1"/>
  <c r="T388" i="9"/>
  <c r="U985" i="9"/>
  <c r="U387" i="9"/>
  <c r="T387" i="9"/>
  <c r="T985" i="9"/>
  <c r="V386" i="9" a="1"/>
  <c r="W386" i="9" s="1"/>
  <c r="T385" i="9"/>
  <c r="U1051" i="9"/>
  <c r="U384" i="9"/>
  <c r="U383" i="9"/>
  <c r="V984" i="9" a="1"/>
  <c r="W984" i="9" s="1"/>
  <c r="V382" i="9" a="1"/>
  <c r="W382" i="9" s="1"/>
  <c r="T382" i="9"/>
  <c r="U984" i="9"/>
  <c r="V381" i="9" a="1"/>
  <c r="W381" i="9" s="1"/>
  <c r="U381" i="9"/>
  <c r="T381" i="9"/>
  <c r="T984" i="9"/>
  <c r="V380" i="9" a="1"/>
  <c r="W380" i="9" s="1"/>
  <c r="U380" i="9"/>
  <c r="T380" i="9"/>
  <c r="V1051" i="9" a="1"/>
  <c r="W1051" i="9" s="1"/>
  <c r="U379" i="9"/>
  <c r="T379" i="9"/>
  <c r="V983" i="9" a="1"/>
  <c r="W983" i="9" s="1"/>
  <c r="V378" i="9" a="1"/>
  <c r="W378" i="9" s="1"/>
  <c r="T378" i="9"/>
  <c r="U983" i="9"/>
  <c r="U377" i="9"/>
  <c r="T983" i="9"/>
  <c r="V376" i="9" a="1"/>
  <c r="W376" i="9" s="1"/>
  <c r="T376" i="9"/>
  <c r="T1052" i="9"/>
  <c r="V375" i="9" a="1"/>
  <c r="W375" i="9" s="1"/>
  <c r="T375" i="9"/>
  <c r="V982" i="9" a="1"/>
  <c r="W982" i="9" s="1"/>
  <c r="U374" i="9"/>
  <c r="T374" i="9"/>
  <c r="U982" i="9"/>
  <c r="U373" i="9"/>
  <c r="V372" i="9" a="1"/>
  <c r="W372" i="9" s="1"/>
  <c r="T372" i="9"/>
  <c r="T982" i="9"/>
  <c r="V371" i="9" a="1"/>
  <c r="W371" i="9" s="1"/>
  <c r="U371" i="9"/>
  <c r="V370" i="9" a="1"/>
  <c r="W370" i="9" s="1"/>
  <c r="U1052" i="9"/>
  <c r="V369" i="9" a="1"/>
  <c r="W369" i="9" s="1"/>
  <c r="U369" i="9"/>
  <c r="V368" i="9" a="1"/>
  <c r="W368" i="9" s="1"/>
  <c r="V367" i="9" a="1"/>
  <c r="W367" i="9" s="1"/>
  <c r="T367" i="9"/>
  <c r="V981" i="9" a="1"/>
  <c r="W981" i="9" s="1"/>
  <c r="V366" i="9" a="1"/>
  <c r="W366" i="9" s="1"/>
  <c r="T366" i="9"/>
  <c r="U981" i="9"/>
  <c r="V365" i="9" a="1"/>
  <c r="W365" i="9" s="1"/>
  <c r="T365" i="9"/>
  <c r="T981" i="9"/>
  <c r="U364" i="9"/>
  <c r="T364" i="9"/>
  <c r="V1052" i="9" a="1"/>
  <c r="W1052" i="9" s="1"/>
  <c r="T363" i="9"/>
  <c r="V980" i="9" a="1"/>
  <c r="W980" i="9" s="1"/>
  <c r="V362" i="9" a="1"/>
  <c r="W362" i="9" s="1"/>
  <c r="T362" i="9"/>
  <c r="U980" i="9"/>
  <c r="V361" i="9" a="1"/>
  <c r="W361" i="9" s="1"/>
  <c r="T361" i="9"/>
  <c r="T980" i="9"/>
  <c r="U360" i="9"/>
  <c r="T360" i="9"/>
  <c r="T1053" i="9"/>
  <c r="U359" i="9"/>
  <c r="V979" i="9" a="1"/>
  <c r="W979" i="9" s="1"/>
  <c r="V358" i="9" a="1"/>
  <c r="W358" i="9" s="1"/>
  <c r="T358" i="9"/>
  <c r="U979" i="9"/>
  <c r="V357" i="9" a="1"/>
  <c r="W357" i="9" s="1"/>
  <c r="T357" i="9"/>
  <c r="T979" i="9"/>
  <c r="U356" i="9"/>
  <c r="T356" i="9"/>
  <c r="U1053" i="9"/>
  <c r="V355" i="9" a="1"/>
  <c r="W355" i="9" s="1"/>
  <c r="T355" i="9"/>
  <c r="V978" i="9" a="1"/>
  <c r="W978" i="9" s="1"/>
  <c r="V354" i="9" a="1"/>
  <c r="W354" i="9" s="1"/>
  <c r="T354" i="9"/>
  <c r="U978" i="9"/>
  <c r="U353" i="9"/>
  <c r="V352" i="9" a="1"/>
  <c r="W352" i="9" s="1"/>
  <c r="V351" i="9" a="1"/>
  <c r="W351" i="9" s="1"/>
  <c r="V349" i="9" a="1"/>
  <c r="W349" i="9" s="1"/>
  <c r="T349" i="9"/>
  <c r="T978" i="9"/>
  <c r="U348" i="9"/>
  <c r="V347" i="9" a="1"/>
  <c r="W347" i="9" s="1"/>
  <c r="T347" i="9"/>
  <c r="V1053" i="9" a="1"/>
  <c r="W1053" i="9" s="1"/>
  <c r="U346" i="9"/>
  <c r="V345" i="9" a="1"/>
  <c r="W345" i="9" s="1"/>
  <c r="V344" i="9" a="1"/>
  <c r="W344" i="9" s="1"/>
  <c r="T344" i="9"/>
  <c r="V977" i="9" a="1"/>
  <c r="W977" i="9" s="1"/>
  <c r="V343" i="9" a="1"/>
  <c r="W343" i="9" s="1"/>
  <c r="T343" i="9"/>
  <c r="U977" i="9"/>
  <c r="U342" i="9"/>
  <c r="T977" i="9"/>
  <c r="U341" i="9"/>
  <c r="T341" i="9"/>
  <c r="T1054" i="9"/>
  <c r="V340" i="9" a="1"/>
  <c r="W340" i="9" s="1"/>
  <c r="U340" i="9"/>
  <c r="T340" i="9"/>
  <c r="V339" i="9" a="1"/>
  <c r="W339" i="9" s="1"/>
  <c r="T339" i="9"/>
  <c r="V976" i="9" a="1"/>
  <c r="W976" i="9" s="1"/>
  <c r="V338" i="9" a="1"/>
  <c r="W338" i="9" s="1"/>
  <c r="T338" i="9"/>
  <c r="U976" i="9"/>
  <c r="V337" i="9" a="1"/>
  <c r="W337" i="9" s="1"/>
  <c r="T337" i="9"/>
  <c r="T976" i="9"/>
  <c r="U336" i="9"/>
  <c r="T336" i="9"/>
  <c r="V335" i="9" a="1"/>
  <c r="W335" i="9" s="1"/>
  <c r="T335" i="9"/>
  <c r="U1054" i="9"/>
  <c r="U334" i="9"/>
  <c r="T334" i="9"/>
  <c r="V975" i="9" a="1"/>
  <c r="W975" i="9" s="1"/>
  <c r="T333" i="9"/>
  <c r="U975" i="9"/>
  <c r="V332" i="9" a="1"/>
  <c r="W332" i="9" s="1"/>
  <c r="U332" i="9"/>
  <c r="T975" i="9"/>
  <c r="U331" i="9"/>
  <c r="T331" i="9"/>
  <c r="V1054" i="9" a="1"/>
  <c r="W1054" i="9" s="1"/>
  <c r="U330" i="9"/>
  <c r="V974" i="9" a="1"/>
  <c r="W974" i="9" s="1"/>
  <c r="U329" i="9"/>
  <c r="U974" i="9"/>
  <c r="V328" i="9" a="1"/>
  <c r="W328" i="9" s="1"/>
  <c r="U328" i="9"/>
  <c r="U327" i="9"/>
  <c r="T327" i="9"/>
  <c r="T974" i="9"/>
  <c r="V326" i="9" a="1"/>
  <c r="W326" i="9" s="1"/>
  <c r="V325" i="9" a="1"/>
  <c r="W325" i="9" s="1"/>
  <c r="T325" i="9"/>
  <c r="T1055" i="9"/>
  <c r="V324" i="9" a="1"/>
  <c r="W324" i="9" s="1"/>
  <c r="U324" i="9"/>
  <c r="V323" i="9" a="1"/>
  <c r="W323" i="9" s="1"/>
  <c r="T323" i="9"/>
  <c r="V973" i="9" a="1"/>
  <c r="W973" i="9" s="1"/>
  <c r="U322" i="9"/>
  <c r="V321" i="9" a="1"/>
  <c r="W321" i="9" s="1"/>
  <c r="T321" i="9"/>
  <c r="U973" i="9"/>
  <c r="V320" i="9" a="1"/>
  <c r="W320" i="9" s="1"/>
  <c r="T320" i="9"/>
  <c r="T973" i="9"/>
  <c r="V319" i="9" a="1"/>
  <c r="W319" i="9" s="1"/>
  <c r="U319" i="9"/>
  <c r="T319" i="9"/>
  <c r="U1055" i="9"/>
  <c r="V318" i="9" a="1"/>
  <c r="W318" i="9" s="1"/>
  <c r="U318" i="9"/>
  <c r="T318" i="9"/>
  <c r="V972" i="9" a="1"/>
  <c r="W972" i="9" s="1"/>
  <c r="V317" i="9" a="1"/>
  <c r="W317" i="9" s="1"/>
  <c r="U317" i="9"/>
  <c r="T317" i="9"/>
  <c r="T296" i="9"/>
  <c r="U972" i="9"/>
  <c r="V295" i="9" a="1"/>
  <c r="W295" i="9" s="1"/>
  <c r="T295" i="9"/>
  <c r="T972" i="9"/>
  <c r="U294" i="9"/>
  <c r="T294" i="9"/>
  <c r="V1055" i="9" a="1"/>
  <c r="W1055" i="9" s="1"/>
  <c r="V293" i="9" a="1"/>
  <c r="W293" i="9" s="1"/>
  <c r="U293" i="9"/>
  <c r="V292" i="9" a="1"/>
  <c r="W292" i="9" s="1"/>
  <c r="T292" i="9"/>
  <c r="V971" i="9" a="1"/>
  <c r="W971" i="9" s="1"/>
  <c r="V291" i="9" a="1"/>
  <c r="W291" i="9" s="1"/>
  <c r="T291" i="9"/>
  <c r="U971" i="9"/>
  <c r="V290" i="9" a="1"/>
  <c r="W290" i="9" s="1"/>
  <c r="T290" i="9"/>
  <c r="T971" i="9"/>
  <c r="T289" i="9"/>
  <c r="V288" i="9" a="1"/>
  <c r="W288" i="9" s="1"/>
  <c r="U287" i="9"/>
  <c r="T286" i="9"/>
  <c r="V285" i="9" a="1"/>
  <c r="W285" i="9" s="1"/>
  <c r="T285" i="9"/>
  <c r="T284" i="9"/>
  <c r="T283" i="9"/>
  <c r="U282" i="9"/>
  <c r="V281" i="9" a="1"/>
  <c r="W281" i="9" s="1"/>
  <c r="T1056" i="9"/>
  <c r="V280" i="9" a="1"/>
  <c r="W280" i="9" s="1"/>
  <c r="T280" i="9"/>
  <c r="U279" i="9"/>
  <c r="T278" i="9"/>
  <c r="V970" i="9" a="1"/>
  <c r="W970" i="9" s="1"/>
  <c r="U277" i="9"/>
  <c r="T276" i="9"/>
  <c r="T275" i="9"/>
  <c r="U970" i="9"/>
  <c r="V274" i="9" a="1"/>
  <c r="W274" i="9" s="1"/>
  <c r="V273" i="9" a="1"/>
  <c r="W273" i="9" s="1"/>
  <c r="U273" i="9"/>
  <c r="V272" i="9" a="1"/>
  <c r="W272" i="9" s="1"/>
  <c r="T271" i="9"/>
  <c r="T970" i="9"/>
  <c r="V270" i="9" a="1"/>
  <c r="W270" i="9" s="1"/>
  <c r="T269" i="9"/>
  <c r="T268" i="9"/>
  <c r="U267" i="9"/>
  <c r="U1056" i="9"/>
  <c r="U266" i="9"/>
  <c r="U265" i="9"/>
  <c r="V264" i="9" a="1"/>
  <c r="W264" i="9" s="1"/>
  <c r="T264" i="9"/>
  <c r="V969" i="9" a="1"/>
  <c r="W969" i="9" s="1"/>
  <c r="U263" i="9"/>
  <c r="V262" i="9" a="1"/>
  <c r="W262" i="9" s="1"/>
  <c r="T262" i="9"/>
  <c r="U969" i="9"/>
  <c r="U261" i="9"/>
  <c r="V260" i="9" a="1"/>
  <c r="W260" i="9" s="1"/>
  <c r="U259" i="9"/>
  <c r="T969" i="9"/>
  <c r="U258" i="9"/>
  <c r="U257" i="9"/>
  <c r="V1056" i="9" a="1"/>
  <c r="W1056" i="9" s="1"/>
  <c r="T256" i="9"/>
  <c r="V968" i="9" a="1"/>
  <c r="W968" i="9" s="1"/>
  <c r="U255" i="9"/>
  <c r="V254" i="9" a="1"/>
  <c r="W254" i="9" s="1"/>
  <c r="V253" i="9" a="1"/>
  <c r="W253" i="9" s="1"/>
  <c r="U251" i="9"/>
  <c r="U250" i="9"/>
  <c r="V249" i="9" a="1"/>
  <c r="W249" i="9" s="1"/>
  <c r="T249" i="9"/>
  <c r="T248" i="9"/>
  <c r="T247" i="9"/>
  <c r="T246" i="9"/>
  <c r="U968" i="9"/>
  <c r="T968" i="9"/>
  <c r="T1057" i="9"/>
  <c r="U244" i="9"/>
  <c r="V243" i="9" a="1"/>
  <c r="W243" i="9" s="1"/>
  <c r="V242" i="9" a="1"/>
  <c r="W242" i="9" s="1"/>
  <c r="V241" i="9" a="1"/>
  <c r="W241" i="9" s="1"/>
  <c r="V967" i="9" a="1"/>
  <c r="W967" i="9" s="1"/>
  <c r="V240" i="9" a="1"/>
  <c r="W240" i="9" s="1"/>
  <c r="U239" i="9"/>
  <c r="U967" i="9"/>
  <c r="U238" i="9"/>
  <c r="V237" i="9" a="1"/>
  <c r="W237" i="9" s="1"/>
  <c r="T237" i="9"/>
  <c r="V236" i="9" a="1"/>
  <c r="W236" i="9" s="1"/>
  <c r="V235" i="9" a="1"/>
  <c r="W235" i="9" s="1"/>
  <c r="T235" i="9"/>
  <c r="T234" i="9"/>
  <c r="T967" i="9"/>
  <c r="U233" i="9"/>
  <c r="U232" i="9"/>
  <c r="U1057" i="9"/>
  <c r="T231" i="9"/>
  <c r="T230" i="9"/>
  <c r="T229" i="9"/>
  <c r="T228" i="9"/>
  <c r="U227" i="9"/>
  <c r="V966" i="9" a="1"/>
  <c r="W966" i="9" s="1"/>
  <c r="U226" i="9"/>
  <c r="T225" i="9"/>
  <c r="T224" i="9"/>
  <c r="U223" i="9"/>
  <c r="T222" i="9"/>
  <c r="V221" i="9" a="1"/>
  <c r="W221" i="9" s="1"/>
  <c r="V220" i="9" a="1"/>
  <c r="W220" i="9" s="1"/>
  <c r="U219" i="9"/>
  <c r="U966" i="9"/>
  <c r="U218" i="9"/>
  <c r="T966" i="9"/>
  <c r="V64" i="9" a="1"/>
  <c r="W64" i="9" s="1"/>
  <c r="U64" i="9"/>
  <c r="T64" i="9"/>
  <c r="U79" i="9"/>
  <c r="T79" i="9"/>
  <c r="V78" i="9" a="1"/>
  <c r="W78" i="9" s="1"/>
  <c r="U78" i="9"/>
  <c r="T78" i="9"/>
  <c r="V77" i="9" a="1"/>
  <c r="W77" i="9" s="1"/>
  <c r="U77" i="9"/>
  <c r="T77" i="9"/>
  <c r="V76" i="9" a="1"/>
  <c r="W76" i="9" s="1"/>
  <c r="U76" i="9"/>
  <c r="T76" i="9"/>
  <c r="V75" i="9" a="1"/>
  <c r="W75" i="9" s="1"/>
  <c r="U75" i="9"/>
  <c r="T75" i="9"/>
  <c r="V74" i="9" a="1"/>
  <c r="W74" i="9" s="1"/>
  <c r="U74" i="9"/>
  <c r="T74" i="9"/>
  <c r="V73" i="9" a="1"/>
  <c r="W73" i="9" s="1"/>
  <c r="U73" i="9"/>
  <c r="T73" i="9"/>
  <c r="V72" i="9" a="1"/>
  <c r="W72" i="9" s="1"/>
  <c r="U72" i="9"/>
  <c r="T72" i="9"/>
  <c r="V71" i="9" a="1"/>
  <c r="W71" i="9" s="1"/>
  <c r="U71" i="9"/>
  <c r="T71" i="9"/>
  <c r="V70" i="9" a="1"/>
  <c r="W70" i="9" s="1"/>
  <c r="U70" i="9"/>
  <c r="T70" i="9"/>
  <c r="V69" i="9" a="1"/>
  <c r="W69" i="9" s="1"/>
  <c r="U69" i="9"/>
  <c r="T69" i="9"/>
  <c r="V68" i="9" a="1"/>
  <c r="W68" i="9" s="1"/>
  <c r="U68" i="9"/>
  <c r="T68" i="9"/>
  <c r="V67" i="9" a="1"/>
  <c r="W67" i="9" s="1"/>
  <c r="U67" i="9"/>
  <c r="T67" i="9"/>
  <c r="V66" i="9" a="1"/>
  <c r="W66" i="9" s="1"/>
  <c r="U66" i="9"/>
  <c r="T66" i="9"/>
  <c r="V65" i="9" a="1"/>
  <c r="W65" i="9" s="1"/>
  <c r="U65" i="9"/>
  <c r="T65" i="9"/>
  <c r="V63" i="9" a="1"/>
  <c r="W63" i="9" s="1"/>
  <c r="U63" i="9"/>
  <c r="T63" i="9"/>
  <c r="U889" i="9"/>
  <c r="T889" i="9"/>
  <c r="U1083" i="9"/>
  <c r="V888" i="9" a="1"/>
  <c r="W888" i="9" s="1"/>
  <c r="U888" i="9"/>
  <c r="T888" i="9"/>
  <c r="V1083" i="9" a="1"/>
  <c r="W1083" i="9" s="1"/>
  <c r="V245" i="9" a="1"/>
  <c r="W245" i="9" s="1"/>
  <c r="V1057" i="9" a="1"/>
  <c r="W1057" i="9" s="1"/>
  <c r="V965" i="9" a="1"/>
  <c r="W965" i="9" s="1"/>
  <c r="U965" i="9"/>
  <c r="T965" i="9"/>
  <c r="T1058" i="9"/>
  <c r="V964" i="9" a="1"/>
  <c r="W964" i="9" s="1"/>
  <c r="U964" i="9"/>
  <c r="T964" i="9"/>
  <c r="U1058" i="9"/>
  <c r="V963" i="9" a="1"/>
  <c r="W963" i="9" s="1"/>
  <c r="U963" i="9"/>
  <c r="T963" i="9"/>
  <c r="V1058" i="9" a="1"/>
  <c r="W1058" i="9" s="1"/>
  <c r="V962" i="9" a="1"/>
  <c r="W962" i="9" s="1"/>
  <c r="U962" i="9"/>
  <c r="T962" i="9"/>
  <c r="V668" i="9" a="1"/>
  <c r="W668" i="9" s="1"/>
  <c r="U668" i="9"/>
  <c r="T668" i="9"/>
  <c r="T1059" i="9"/>
  <c r="V667" i="9" a="1"/>
  <c r="W667" i="9" s="1"/>
  <c r="U667" i="9"/>
  <c r="T667" i="9"/>
  <c r="V961" i="9" a="1"/>
  <c r="W961" i="9" s="1"/>
  <c r="V666" i="9" a="1"/>
  <c r="W666" i="9" s="1"/>
  <c r="U666" i="9"/>
  <c r="T666" i="9"/>
  <c r="U961" i="9"/>
  <c r="V665" i="9" a="1"/>
  <c r="W665" i="9" s="1"/>
  <c r="U665" i="9"/>
  <c r="T665" i="9"/>
  <c r="T961" i="9"/>
  <c r="V664" i="9" a="1"/>
  <c r="W664" i="9" s="1"/>
  <c r="U664" i="9"/>
  <c r="T664" i="9"/>
  <c r="U1059" i="9"/>
  <c r="V663" i="9" a="1"/>
  <c r="W663" i="9" s="1"/>
  <c r="U663" i="9"/>
  <c r="T663" i="9"/>
  <c r="V960" i="9" a="1"/>
  <c r="W960" i="9" s="1"/>
  <c r="V662" i="9" a="1"/>
  <c r="W662" i="9" s="1"/>
  <c r="U662" i="9"/>
  <c r="T662" i="9"/>
  <c r="U960" i="9"/>
  <c r="V661" i="9" a="1"/>
  <c r="W661" i="9" s="1"/>
  <c r="U661" i="9"/>
  <c r="T661" i="9"/>
  <c r="T960" i="9"/>
  <c r="V660" i="9" a="1"/>
  <c r="W660" i="9" s="1"/>
  <c r="U660" i="9"/>
  <c r="T660" i="9"/>
  <c r="V1059" i="9" a="1"/>
  <c r="W1059" i="9" s="1"/>
  <c r="V659" i="9" a="1"/>
  <c r="W659" i="9" s="1"/>
  <c r="U659" i="9"/>
  <c r="T659" i="9"/>
  <c r="V959" i="9" a="1"/>
  <c r="W959" i="9" s="1"/>
  <c r="V658" i="9" a="1"/>
  <c r="W658" i="9" s="1"/>
  <c r="U658" i="9"/>
  <c r="T658" i="9"/>
  <c r="U959" i="9"/>
  <c r="V657" i="9" a="1"/>
  <c r="W657" i="9" s="1"/>
  <c r="U657" i="9"/>
  <c r="T657" i="9"/>
  <c r="T959" i="9"/>
  <c r="V656" i="9" a="1"/>
  <c r="W656" i="9" s="1"/>
  <c r="U656" i="9"/>
  <c r="T656" i="9"/>
  <c r="T1060" i="9"/>
  <c r="V655" i="9" a="1"/>
  <c r="W655" i="9" s="1"/>
  <c r="U655" i="9"/>
  <c r="T655" i="9"/>
  <c r="V958" i="9" a="1"/>
  <c r="W958" i="9" s="1"/>
  <c r="V654" i="9" a="1"/>
  <c r="W654" i="9" s="1"/>
  <c r="U654" i="9"/>
  <c r="T654" i="9"/>
  <c r="U958" i="9"/>
  <c r="V653" i="9" a="1"/>
  <c r="W653" i="9" s="1"/>
  <c r="U653" i="9"/>
  <c r="T653" i="9"/>
  <c r="T958" i="9"/>
  <c r="V652" i="9" a="1"/>
  <c r="W652" i="9" s="1"/>
  <c r="U652" i="9"/>
  <c r="T652" i="9"/>
  <c r="U1060" i="9"/>
  <c r="V651" i="9" a="1"/>
  <c r="W651" i="9" s="1"/>
  <c r="U651" i="9"/>
  <c r="T651" i="9"/>
  <c r="V957" i="9" a="1"/>
  <c r="W957" i="9" s="1"/>
  <c r="V650" i="9" a="1"/>
  <c r="W650" i="9" s="1"/>
  <c r="U650" i="9"/>
  <c r="T650" i="9"/>
  <c r="U957" i="9"/>
  <c r="V649" i="9" a="1"/>
  <c r="W649" i="9" s="1"/>
  <c r="U649" i="9"/>
  <c r="T649" i="9"/>
  <c r="T957" i="9"/>
  <c r="V648" i="9" a="1"/>
  <c r="W648" i="9" s="1"/>
  <c r="U648" i="9"/>
  <c r="T648" i="9"/>
  <c r="V1060" i="9" a="1"/>
  <c r="W1060" i="9" s="1"/>
  <c r="V647" i="9" a="1"/>
  <c r="W647" i="9" s="1"/>
  <c r="U647" i="9"/>
  <c r="T647" i="9"/>
  <c r="V956" i="9" a="1"/>
  <c r="W956" i="9" s="1"/>
  <c r="V646" i="9" a="1"/>
  <c r="W646" i="9" s="1"/>
  <c r="U646" i="9"/>
  <c r="T646" i="9"/>
  <c r="U956" i="9"/>
  <c r="V645" i="9" a="1"/>
  <c r="W645" i="9" s="1"/>
  <c r="U645" i="9"/>
  <c r="T645" i="9"/>
  <c r="T956" i="9"/>
  <c r="V644" i="9" a="1"/>
  <c r="W644" i="9" s="1"/>
  <c r="U644" i="9"/>
  <c r="T644" i="9"/>
  <c r="T1061" i="9"/>
  <c r="V643" i="9" a="1"/>
  <c r="W643" i="9" s="1"/>
  <c r="U643" i="9"/>
  <c r="T643" i="9"/>
  <c r="V955" i="9" a="1"/>
  <c r="W955" i="9" s="1"/>
  <c r="V642" i="9" a="1"/>
  <c r="W642" i="9" s="1"/>
  <c r="U642" i="9"/>
  <c r="T642" i="9"/>
  <c r="U955" i="9"/>
  <c r="V641" i="9" a="1"/>
  <c r="W641" i="9" s="1"/>
  <c r="U641" i="9"/>
  <c r="T641" i="9"/>
  <c r="T955" i="9"/>
  <c r="V640" i="9" a="1"/>
  <c r="W640" i="9" s="1"/>
  <c r="U640" i="9"/>
  <c r="T640" i="9"/>
  <c r="U1061" i="9"/>
  <c r="V639" i="9" a="1"/>
  <c r="W639" i="9" s="1"/>
  <c r="U639" i="9"/>
  <c r="T639" i="9"/>
  <c r="V954" i="9" a="1"/>
  <c r="W954" i="9" s="1"/>
  <c r="V638" i="9" a="1"/>
  <c r="W638" i="9" s="1"/>
  <c r="U638" i="9"/>
  <c r="T638" i="9"/>
  <c r="U954" i="9"/>
  <c r="V637" i="9" a="1"/>
  <c r="W637" i="9" s="1"/>
  <c r="U637" i="9"/>
  <c r="T637" i="9"/>
  <c r="T954" i="9"/>
  <c r="V636" i="9" a="1"/>
  <c r="W636" i="9" s="1"/>
  <c r="U636" i="9"/>
  <c r="T636" i="9"/>
  <c r="V1061" i="9" a="1"/>
  <c r="W1061" i="9" s="1"/>
  <c r="V635" i="9" a="1"/>
  <c r="W635" i="9" s="1"/>
  <c r="U635" i="9"/>
  <c r="T635" i="9"/>
  <c r="V953" i="9" a="1"/>
  <c r="W953" i="9" s="1"/>
  <c r="V634" i="9" a="1"/>
  <c r="W634" i="9" s="1"/>
  <c r="U634" i="9"/>
  <c r="T634" i="9"/>
  <c r="U953" i="9"/>
  <c r="V633" i="9" a="1"/>
  <c r="W633" i="9" s="1"/>
  <c r="U633" i="9"/>
  <c r="T633" i="9"/>
  <c r="T953" i="9"/>
  <c r="V632" i="9" a="1"/>
  <c r="W632" i="9" s="1"/>
  <c r="U632" i="9"/>
  <c r="T632" i="9"/>
  <c r="T1062" i="9"/>
  <c r="V631" i="9" a="1"/>
  <c r="W631" i="9" s="1"/>
  <c r="U631" i="9"/>
  <c r="T631" i="9"/>
  <c r="V952" i="9" a="1"/>
  <c r="W952" i="9" s="1"/>
  <c r="V630" i="9" a="1"/>
  <c r="W630" i="9" s="1"/>
  <c r="U630" i="9"/>
  <c r="T630" i="9"/>
  <c r="U952" i="9"/>
  <c r="V629" i="9" a="1"/>
  <c r="W629" i="9" s="1"/>
  <c r="U629" i="9"/>
  <c r="T629" i="9"/>
  <c r="T952" i="9"/>
  <c r="V628" i="9" a="1"/>
  <c r="W628" i="9" s="1"/>
  <c r="U628" i="9"/>
  <c r="T628" i="9"/>
  <c r="U1062" i="9"/>
  <c r="V627" i="9" a="1"/>
  <c r="W627" i="9" s="1"/>
  <c r="U627" i="9"/>
  <c r="T627" i="9"/>
  <c r="V951" i="9" a="1"/>
  <c r="W951" i="9" s="1"/>
  <c r="V626" i="9" a="1"/>
  <c r="W626" i="9" s="1"/>
  <c r="U626" i="9"/>
  <c r="T626" i="9"/>
  <c r="U951" i="9"/>
  <c r="V625" i="9" a="1"/>
  <c r="W625" i="9" s="1"/>
  <c r="U625" i="9"/>
  <c r="T625" i="9"/>
  <c r="T951" i="9"/>
  <c r="V624" i="9" a="1"/>
  <c r="W624" i="9" s="1"/>
  <c r="U624" i="9"/>
  <c r="T624" i="9"/>
  <c r="V1062" i="9" a="1"/>
  <c r="W1062" i="9" s="1"/>
  <c r="V623" i="9" a="1"/>
  <c r="W623" i="9" s="1"/>
  <c r="U623" i="9"/>
  <c r="T623" i="9"/>
  <c r="V950" i="9" a="1"/>
  <c r="W950" i="9" s="1"/>
  <c r="V622" i="9" a="1"/>
  <c r="W622" i="9" s="1"/>
  <c r="U622" i="9"/>
  <c r="T622" i="9"/>
  <c r="U950" i="9"/>
  <c r="V621" i="9" a="1"/>
  <c r="W621" i="9" s="1"/>
  <c r="U621" i="9"/>
  <c r="T621" i="9"/>
  <c r="T950" i="9"/>
  <c r="V620" i="9" a="1"/>
  <c r="W620" i="9" s="1"/>
  <c r="U620" i="9"/>
  <c r="T620" i="9"/>
  <c r="T1063" i="9"/>
  <c r="V619" i="9" a="1"/>
  <c r="W619" i="9" s="1"/>
  <c r="U619" i="9"/>
  <c r="T619" i="9"/>
  <c r="V949" i="9" a="1"/>
  <c r="W949" i="9" s="1"/>
  <c r="V618" i="9" a="1"/>
  <c r="W618" i="9" s="1"/>
  <c r="U618" i="9"/>
  <c r="T618" i="9"/>
  <c r="U949" i="9"/>
  <c r="V617" i="9" a="1"/>
  <c r="W617" i="9" s="1"/>
  <c r="U617" i="9"/>
  <c r="T617" i="9"/>
  <c r="T949" i="9"/>
  <c r="V616" i="9" a="1"/>
  <c r="W616" i="9" s="1"/>
  <c r="U616" i="9"/>
  <c r="T616" i="9"/>
  <c r="U1063" i="9"/>
  <c r="V615" i="9" a="1"/>
  <c r="W615" i="9" s="1"/>
  <c r="U615" i="9"/>
  <c r="T615" i="9"/>
  <c r="V948" i="9" a="1"/>
  <c r="W948" i="9" s="1"/>
  <c r="V614" i="9" a="1"/>
  <c r="W614" i="9" s="1"/>
  <c r="U614" i="9"/>
  <c r="T614" i="9"/>
  <c r="U948" i="9"/>
  <c r="V613" i="9" a="1"/>
  <c r="W613" i="9" s="1"/>
  <c r="U613" i="9"/>
  <c r="T613" i="9"/>
  <c r="T948" i="9"/>
  <c r="V612" i="9" a="1"/>
  <c r="W612" i="9" s="1"/>
  <c r="U612" i="9"/>
  <c r="T612" i="9"/>
  <c r="V1063" i="9" a="1"/>
  <c r="W1063" i="9" s="1"/>
  <c r="V611" i="9" a="1"/>
  <c r="W611" i="9" s="1"/>
  <c r="U611" i="9"/>
  <c r="T611" i="9"/>
  <c r="V947" i="9" a="1"/>
  <c r="W947" i="9" s="1"/>
  <c r="V610" i="9" a="1"/>
  <c r="W610" i="9" s="1"/>
  <c r="U610" i="9"/>
  <c r="T610" i="9"/>
  <c r="U947" i="9"/>
  <c r="V609" i="9" a="1"/>
  <c r="W609" i="9" s="1"/>
  <c r="U609" i="9"/>
  <c r="T609" i="9"/>
  <c r="T947" i="9"/>
  <c r="V608" i="9" a="1"/>
  <c r="W608" i="9" s="1"/>
  <c r="U608" i="9"/>
  <c r="T608" i="9"/>
  <c r="T1064" i="9"/>
  <c r="V607" i="9" a="1"/>
  <c r="W607" i="9" s="1"/>
  <c r="U607" i="9"/>
  <c r="T607" i="9"/>
  <c r="V946" i="9" a="1"/>
  <c r="W946" i="9" s="1"/>
  <c r="V606" i="9" a="1"/>
  <c r="W606" i="9" s="1"/>
  <c r="U606" i="9"/>
  <c r="T606" i="9"/>
  <c r="U946" i="9"/>
  <c r="V605" i="9" a="1"/>
  <c r="W605" i="9" s="1"/>
  <c r="U605" i="9"/>
  <c r="T605" i="9"/>
  <c r="T946" i="9"/>
  <c r="V604" i="9" a="1"/>
  <c r="W604" i="9" s="1"/>
  <c r="U604" i="9"/>
  <c r="T604" i="9"/>
  <c r="U1064" i="9"/>
  <c r="V603" i="9" a="1"/>
  <c r="W603" i="9" s="1"/>
  <c r="U603" i="9"/>
  <c r="T603" i="9"/>
  <c r="V945" i="9" a="1"/>
  <c r="W945" i="9" s="1"/>
  <c r="V602" i="9" a="1"/>
  <c r="W602" i="9" s="1"/>
  <c r="U602" i="9"/>
  <c r="T602" i="9"/>
  <c r="U945" i="9"/>
  <c r="V601" i="9" a="1"/>
  <c r="W601" i="9" s="1"/>
  <c r="U601" i="9"/>
  <c r="T601" i="9"/>
  <c r="T945" i="9"/>
  <c r="V600" i="9" a="1"/>
  <c r="W600" i="9" s="1"/>
  <c r="U600" i="9"/>
  <c r="T600" i="9"/>
  <c r="V1064" i="9" a="1"/>
  <c r="W1064" i="9" s="1"/>
  <c r="V599" i="9" a="1"/>
  <c r="W599" i="9" s="1"/>
  <c r="U599" i="9"/>
  <c r="T599" i="9"/>
  <c r="V944" i="9" a="1"/>
  <c r="W944" i="9" s="1"/>
  <c r="V598" i="9" a="1"/>
  <c r="W598" i="9" s="1"/>
  <c r="U598" i="9"/>
  <c r="T598" i="9"/>
  <c r="U944" i="9"/>
  <c r="V597" i="9" a="1"/>
  <c r="W597" i="9" s="1"/>
  <c r="U597" i="9"/>
  <c r="T597" i="9"/>
  <c r="T944" i="9"/>
  <c r="V596" i="9" a="1"/>
  <c r="W596" i="9" s="1"/>
  <c r="U596" i="9"/>
  <c r="T596" i="9"/>
  <c r="T1065" i="9"/>
  <c r="V595" i="9" a="1"/>
  <c r="W595" i="9" s="1"/>
  <c r="U595" i="9"/>
  <c r="T595" i="9"/>
  <c r="V943" i="9" a="1"/>
  <c r="W943" i="9" s="1"/>
  <c r="V594" i="9" a="1"/>
  <c r="W594" i="9" s="1"/>
  <c r="U594" i="9"/>
  <c r="T594" i="9"/>
  <c r="U943" i="9"/>
  <c r="V593" i="9" a="1"/>
  <c r="W593" i="9" s="1"/>
  <c r="U593" i="9"/>
  <c r="T593" i="9"/>
  <c r="T943" i="9"/>
  <c r="V592" i="9" a="1"/>
  <c r="W592" i="9" s="1"/>
  <c r="U592" i="9"/>
  <c r="T592" i="9"/>
  <c r="U1065" i="9"/>
  <c r="V591" i="9" a="1"/>
  <c r="W591" i="9" s="1"/>
  <c r="U591" i="9"/>
  <c r="T591" i="9"/>
  <c r="V942" i="9" a="1"/>
  <c r="W942" i="9" s="1"/>
  <c r="V590" i="9" a="1"/>
  <c r="W590" i="9" s="1"/>
  <c r="U590" i="9"/>
  <c r="T590" i="9"/>
  <c r="U942" i="9"/>
  <c r="V589" i="9" a="1"/>
  <c r="W589" i="9" s="1"/>
  <c r="U589" i="9"/>
  <c r="T589" i="9"/>
  <c r="T942" i="9"/>
  <c r="V588" i="9" a="1"/>
  <c r="W588" i="9" s="1"/>
  <c r="U588" i="9"/>
  <c r="T588" i="9"/>
  <c r="V1065" i="9" a="1"/>
  <c r="W1065" i="9" s="1"/>
  <c r="V587" i="9" a="1"/>
  <c r="W587" i="9" s="1"/>
  <c r="U587" i="9"/>
  <c r="T587" i="9"/>
  <c r="V941" i="9" a="1"/>
  <c r="W941" i="9" s="1"/>
  <c r="V586" i="9" a="1"/>
  <c r="W586" i="9" s="1"/>
  <c r="U586" i="9"/>
  <c r="T586" i="9"/>
  <c r="U941" i="9"/>
  <c r="V585" i="9" a="1"/>
  <c r="W585" i="9" s="1"/>
  <c r="U585" i="9"/>
  <c r="T585" i="9"/>
  <c r="T941" i="9"/>
  <c r="V584" i="9" a="1"/>
  <c r="W584" i="9" s="1"/>
  <c r="U584" i="9"/>
  <c r="T584" i="9"/>
  <c r="T1066" i="9"/>
  <c r="V583" i="9" a="1"/>
  <c r="W583" i="9" s="1"/>
  <c r="U583" i="9"/>
  <c r="T583" i="9"/>
  <c r="V940" i="9" a="1"/>
  <c r="W940" i="9" s="1"/>
  <c r="V582" i="9" a="1"/>
  <c r="W582" i="9" s="1"/>
  <c r="U582" i="9"/>
  <c r="T582" i="9"/>
  <c r="U940" i="9"/>
  <c r="V581" i="9" a="1"/>
  <c r="W581" i="9" s="1"/>
  <c r="U581" i="9"/>
  <c r="T581" i="9"/>
  <c r="T940" i="9"/>
  <c r="V580" i="9" a="1"/>
  <c r="W580" i="9" s="1"/>
  <c r="U580" i="9"/>
  <c r="T580" i="9"/>
  <c r="U1066" i="9"/>
  <c r="V579" i="9" a="1"/>
  <c r="W579" i="9" s="1"/>
  <c r="U579" i="9"/>
  <c r="T579" i="9"/>
  <c r="V939" i="9" a="1"/>
  <c r="W939" i="9" s="1"/>
  <c r="V578" i="9" a="1"/>
  <c r="W578" i="9" s="1"/>
  <c r="U578" i="9"/>
  <c r="T578" i="9"/>
  <c r="U939" i="9"/>
  <c r="V577" i="9" a="1"/>
  <c r="W577" i="9" s="1"/>
  <c r="U577" i="9"/>
  <c r="T577" i="9"/>
  <c r="T939" i="9"/>
  <c r="V576" i="9" a="1"/>
  <c r="W576" i="9" s="1"/>
  <c r="U576" i="9"/>
  <c r="T576" i="9"/>
  <c r="V1066" i="9" a="1"/>
  <c r="W1066" i="9" s="1"/>
  <c r="V575" i="9" a="1"/>
  <c r="W575" i="9" s="1"/>
  <c r="U575" i="9"/>
  <c r="T575" i="9"/>
  <c r="V938" i="9" a="1"/>
  <c r="W938" i="9" s="1"/>
  <c r="V574" i="9" a="1"/>
  <c r="W574" i="9" s="1"/>
  <c r="U574" i="9"/>
  <c r="T574" i="9"/>
  <c r="U938" i="9"/>
  <c r="V573" i="9" a="1"/>
  <c r="W573" i="9" s="1"/>
  <c r="U573" i="9"/>
  <c r="T573" i="9"/>
  <c r="T938" i="9"/>
  <c r="V572" i="9" a="1"/>
  <c r="W572" i="9" s="1"/>
  <c r="U572" i="9"/>
  <c r="T572" i="9"/>
  <c r="T1067" i="9"/>
  <c r="V571" i="9" a="1"/>
  <c r="W571" i="9" s="1"/>
  <c r="U571" i="9"/>
  <c r="T571" i="9"/>
  <c r="V937" i="9" a="1"/>
  <c r="W937" i="9" s="1"/>
  <c r="V570" i="9" a="1"/>
  <c r="W570" i="9" s="1"/>
  <c r="U570" i="9"/>
  <c r="T570" i="9"/>
  <c r="U937" i="9"/>
  <c r="V569" i="9" a="1"/>
  <c r="W569" i="9" s="1"/>
  <c r="U569" i="9"/>
  <c r="T569" i="9"/>
  <c r="T937" i="9"/>
  <c r="V568" i="9" a="1"/>
  <c r="W568" i="9" s="1"/>
  <c r="U568" i="9"/>
  <c r="T568" i="9"/>
  <c r="U1067" i="9"/>
  <c r="V567" i="9" a="1"/>
  <c r="W567" i="9" s="1"/>
  <c r="U567" i="9"/>
  <c r="T567" i="9"/>
  <c r="V936" i="9" a="1"/>
  <c r="W936" i="9" s="1"/>
  <c r="V566" i="9" a="1"/>
  <c r="W566" i="9" s="1"/>
  <c r="U566" i="9"/>
  <c r="T566" i="9"/>
  <c r="U936" i="9"/>
  <c r="V565" i="9" a="1"/>
  <c r="W565" i="9" s="1"/>
  <c r="U565" i="9"/>
  <c r="T565" i="9"/>
  <c r="T936" i="9"/>
  <c r="V564" i="9" a="1"/>
  <c r="W564" i="9" s="1"/>
  <c r="U564" i="9"/>
  <c r="T564" i="9"/>
  <c r="V1067" i="9" a="1"/>
  <c r="W1067" i="9" s="1"/>
  <c r="V563" i="9" a="1"/>
  <c r="W563" i="9" s="1"/>
  <c r="U563" i="9"/>
  <c r="T563" i="9"/>
  <c r="V935" i="9" a="1"/>
  <c r="W935" i="9" s="1"/>
  <c r="V562" i="9" a="1"/>
  <c r="W562" i="9" s="1"/>
  <c r="U562" i="9"/>
  <c r="T562" i="9"/>
  <c r="U935" i="9"/>
  <c r="V561" i="9" a="1"/>
  <c r="W561" i="9" s="1"/>
  <c r="U561" i="9"/>
  <c r="T561" i="9"/>
  <c r="T935" i="9"/>
  <c r="V560" i="9" a="1"/>
  <c r="W560" i="9" s="1"/>
  <c r="U560" i="9"/>
  <c r="T560" i="9"/>
  <c r="T1068" i="9"/>
  <c r="V559" i="9" a="1"/>
  <c r="W559" i="9" s="1"/>
  <c r="U559" i="9"/>
  <c r="T559" i="9"/>
  <c r="V934" i="9" a="1"/>
  <c r="W934" i="9" s="1"/>
  <c r="V558" i="9" a="1"/>
  <c r="W558" i="9" s="1"/>
  <c r="U558" i="9"/>
  <c r="T558" i="9"/>
  <c r="U934" i="9"/>
  <c r="V557" i="9" a="1"/>
  <c r="W557" i="9" s="1"/>
  <c r="U557" i="9"/>
  <c r="T557" i="9"/>
  <c r="T934" i="9"/>
  <c r="V556" i="9" a="1"/>
  <c r="W556" i="9" s="1"/>
  <c r="U556" i="9"/>
  <c r="T556" i="9"/>
  <c r="U1068" i="9"/>
  <c r="V555" i="9" a="1"/>
  <c r="W555" i="9" s="1"/>
  <c r="U555" i="9"/>
  <c r="T555" i="9"/>
  <c r="V933" i="9" a="1"/>
  <c r="W933" i="9" s="1"/>
  <c r="V554" i="9" a="1"/>
  <c r="W554" i="9" s="1"/>
  <c r="U554" i="9"/>
  <c r="T554" i="9"/>
  <c r="U933" i="9"/>
  <c r="V553" i="9" a="1"/>
  <c r="W553" i="9" s="1"/>
  <c r="U553" i="9"/>
  <c r="T553" i="9"/>
  <c r="T933" i="9"/>
  <c r="V552" i="9" a="1"/>
  <c r="W552" i="9" s="1"/>
  <c r="U552" i="9"/>
  <c r="T552" i="9"/>
  <c r="V1068" i="9" a="1"/>
  <c r="W1068" i="9" s="1"/>
  <c r="V551" i="9" a="1"/>
  <c r="W551" i="9" s="1"/>
  <c r="U551" i="9"/>
  <c r="T551" i="9"/>
  <c r="V932" i="9" a="1"/>
  <c r="W932" i="9" s="1"/>
  <c r="V550" i="9" a="1"/>
  <c r="W550" i="9" s="1"/>
  <c r="U550" i="9"/>
  <c r="T550" i="9"/>
  <c r="U932" i="9"/>
  <c r="V549" i="9" a="1"/>
  <c r="W549" i="9" s="1"/>
  <c r="U549" i="9"/>
  <c r="T549" i="9"/>
  <c r="T932" i="9"/>
  <c r="V548" i="9" a="1"/>
  <c r="W548" i="9" s="1"/>
  <c r="U548" i="9"/>
  <c r="T548" i="9"/>
  <c r="T1069" i="9"/>
  <c r="V547" i="9" a="1"/>
  <c r="W547" i="9" s="1"/>
  <c r="U547" i="9"/>
  <c r="T547" i="9"/>
  <c r="V931" i="9" a="1"/>
  <c r="W931" i="9" s="1"/>
  <c r="V546" i="9" a="1"/>
  <c r="W546" i="9" s="1"/>
  <c r="U546" i="9"/>
  <c r="T546" i="9"/>
  <c r="U931" i="9"/>
  <c r="V545" i="9" a="1"/>
  <c r="W545" i="9" s="1"/>
  <c r="U545" i="9"/>
  <c r="T545" i="9"/>
  <c r="T931" i="9"/>
  <c r="V544" i="9" a="1"/>
  <c r="W544" i="9" s="1"/>
  <c r="U544" i="9"/>
  <c r="T544" i="9"/>
  <c r="U1069" i="9"/>
  <c r="V543" i="9" a="1"/>
  <c r="W543" i="9" s="1"/>
  <c r="U543" i="9"/>
  <c r="T543" i="9"/>
  <c r="V930" i="9" a="1"/>
  <c r="W930" i="9" s="1"/>
  <c r="V542" i="9" a="1"/>
  <c r="W542" i="9" s="1"/>
  <c r="U542" i="9"/>
  <c r="T542" i="9"/>
  <c r="U930" i="9"/>
  <c r="V541" i="9" a="1"/>
  <c r="W541" i="9" s="1"/>
  <c r="U541" i="9"/>
  <c r="T541" i="9"/>
  <c r="T930" i="9"/>
  <c r="V540" i="9" a="1"/>
  <c r="W540" i="9" s="1"/>
  <c r="U540" i="9"/>
  <c r="T540" i="9"/>
  <c r="V1069" i="9" a="1"/>
  <c r="W1069" i="9" s="1"/>
  <c r="V539" i="9" a="1"/>
  <c r="W539" i="9" s="1"/>
  <c r="U539" i="9"/>
  <c r="T539" i="9"/>
  <c r="V929" i="9" a="1"/>
  <c r="W929" i="9" s="1"/>
  <c r="V538" i="9" a="1"/>
  <c r="W538" i="9" s="1"/>
  <c r="U538" i="9"/>
  <c r="T538" i="9"/>
  <c r="U929" i="9"/>
  <c r="V537" i="9" a="1"/>
  <c r="W537" i="9" s="1"/>
  <c r="U537" i="9"/>
  <c r="T537" i="9"/>
  <c r="T929" i="9"/>
  <c r="V536" i="9" a="1"/>
  <c r="W536" i="9" s="1"/>
  <c r="U536" i="9"/>
  <c r="T536" i="9"/>
  <c r="T1070" i="9"/>
  <c r="V535" i="9" a="1"/>
  <c r="W535" i="9" s="1"/>
  <c r="U535" i="9"/>
  <c r="T535" i="9"/>
  <c r="V928" i="9" a="1"/>
  <c r="W928" i="9" s="1"/>
  <c r="V534" i="9" a="1"/>
  <c r="W534" i="9" s="1"/>
  <c r="U534" i="9"/>
  <c r="T534" i="9"/>
  <c r="U928" i="9"/>
  <c r="V533" i="9" a="1"/>
  <c r="W533" i="9" s="1"/>
  <c r="U533" i="9"/>
  <c r="T533" i="9"/>
  <c r="T928" i="9"/>
  <c r="V532" i="9" a="1"/>
  <c r="W532" i="9" s="1"/>
  <c r="U532" i="9"/>
  <c r="T532" i="9"/>
  <c r="U1070" i="9"/>
  <c r="V531" i="9" a="1"/>
  <c r="W531" i="9" s="1"/>
  <c r="U531" i="9"/>
  <c r="T531" i="9"/>
  <c r="V927" i="9" a="1"/>
  <c r="W927" i="9" s="1"/>
  <c r="V530" i="9" a="1"/>
  <c r="W530" i="9" s="1"/>
  <c r="U530" i="9"/>
  <c r="T530" i="9"/>
  <c r="U927" i="9"/>
  <c r="V529" i="9" a="1"/>
  <c r="W529" i="9" s="1"/>
  <c r="U529" i="9"/>
  <c r="T529" i="9"/>
  <c r="T927" i="9"/>
  <c r="V528" i="9" a="1"/>
  <c r="W528" i="9" s="1"/>
  <c r="U528" i="9"/>
  <c r="T528" i="9"/>
  <c r="V1070" i="9" a="1"/>
  <c r="W1070" i="9" s="1"/>
  <c r="V527" i="9" a="1"/>
  <c r="W527" i="9" s="1"/>
  <c r="U527" i="9"/>
  <c r="T527" i="9"/>
  <c r="V926" i="9" a="1"/>
  <c r="W926" i="9" s="1"/>
  <c r="V526" i="9" a="1"/>
  <c r="W526" i="9" s="1"/>
  <c r="U526" i="9"/>
  <c r="T526" i="9"/>
  <c r="U926" i="9"/>
  <c r="V525" i="9" a="1"/>
  <c r="W525" i="9" s="1"/>
  <c r="U525" i="9"/>
  <c r="T525" i="9"/>
  <c r="T926" i="9"/>
  <c r="V524" i="9" a="1"/>
  <c r="W524" i="9" s="1"/>
  <c r="U524" i="9"/>
  <c r="T524" i="9"/>
  <c r="T1071" i="9"/>
  <c r="V523" i="9" a="1"/>
  <c r="W523" i="9" s="1"/>
  <c r="U523" i="9"/>
  <c r="T523" i="9"/>
  <c r="V925" i="9" a="1"/>
  <c r="W925" i="9" s="1"/>
  <c r="V522" i="9" a="1"/>
  <c r="W522" i="9" s="1"/>
  <c r="U522" i="9"/>
  <c r="T522" i="9"/>
  <c r="U925" i="9"/>
  <c r="V521" i="9" a="1"/>
  <c r="W521" i="9" s="1"/>
  <c r="U521" i="9"/>
  <c r="T521" i="9"/>
  <c r="T925" i="9"/>
  <c r="V520" i="9" a="1"/>
  <c r="W520" i="9" s="1"/>
  <c r="U520" i="9"/>
  <c r="T520" i="9"/>
  <c r="U1071" i="9"/>
  <c r="V519" i="9" a="1"/>
  <c r="W519" i="9" s="1"/>
  <c r="U519" i="9"/>
  <c r="T519" i="9"/>
  <c r="V924" i="9" a="1"/>
  <c r="W924" i="9" s="1"/>
  <c r="V518" i="9" a="1"/>
  <c r="W518" i="9" s="1"/>
  <c r="U518" i="9"/>
  <c r="T518" i="9"/>
  <c r="U924" i="9"/>
  <c r="V517" i="9" a="1"/>
  <c r="W517" i="9" s="1"/>
  <c r="U517" i="9"/>
  <c r="T517" i="9"/>
  <c r="T924" i="9"/>
  <c r="V516" i="9" a="1"/>
  <c r="W516" i="9" s="1"/>
  <c r="U516" i="9"/>
  <c r="T516" i="9"/>
  <c r="V1071" i="9" a="1"/>
  <c r="W1071" i="9" s="1"/>
  <c r="V515" i="9" a="1"/>
  <c r="W515" i="9" s="1"/>
  <c r="U515" i="9"/>
  <c r="T515" i="9"/>
  <c r="V923" i="9" a="1"/>
  <c r="W923" i="9" s="1"/>
  <c r="V514" i="9" a="1"/>
  <c r="W514" i="9" s="1"/>
  <c r="U514" i="9"/>
  <c r="T514" i="9"/>
  <c r="U923" i="9"/>
  <c r="V513" i="9" a="1"/>
  <c r="W513" i="9" s="1"/>
  <c r="U513" i="9"/>
  <c r="T513" i="9"/>
  <c r="T923" i="9"/>
  <c r="V512" i="9" a="1"/>
  <c r="W512" i="9" s="1"/>
  <c r="U512" i="9"/>
  <c r="T512" i="9"/>
  <c r="T1072" i="9"/>
  <c r="V511" i="9" a="1"/>
  <c r="W511" i="9" s="1"/>
  <c r="U511" i="9"/>
  <c r="T511" i="9"/>
  <c r="V922" i="9" a="1"/>
  <c r="W922" i="9" s="1"/>
  <c r="V510" i="9" a="1"/>
  <c r="W510" i="9" s="1"/>
  <c r="U510" i="9"/>
  <c r="T510" i="9"/>
  <c r="U922" i="9"/>
  <c r="V509" i="9" a="1"/>
  <c r="W509" i="9" s="1"/>
  <c r="U509" i="9"/>
  <c r="T509" i="9"/>
  <c r="T922" i="9"/>
  <c r="V508" i="9" a="1"/>
  <c r="W508" i="9" s="1"/>
  <c r="U508" i="9"/>
  <c r="T508" i="9"/>
  <c r="U1072" i="9"/>
  <c r="V507" i="9" a="1"/>
  <c r="W507" i="9" s="1"/>
  <c r="U507" i="9"/>
  <c r="T507" i="9"/>
  <c r="V921" i="9" a="1"/>
  <c r="W921" i="9" s="1"/>
  <c r="V506" i="9" a="1"/>
  <c r="W506" i="9" s="1"/>
  <c r="U506" i="9"/>
  <c r="T506" i="9"/>
  <c r="U921" i="9"/>
  <c r="V505" i="9" a="1"/>
  <c r="W505" i="9" s="1"/>
  <c r="U505" i="9"/>
  <c r="T505" i="9"/>
  <c r="T921" i="9"/>
  <c r="V504" i="9" a="1"/>
  <c r="W504" i="9" s="1"/>
  <c r="U504" i="9"/>
  <c r="T504" i="9"/>
  <c r="V1072" i="9" a="1"/>
  <c r="W1072" i="9" s="1"/>
  <c r="V503" i="9" a="1"/>
  <c r="W503" i="9" s="1"/>
  <c r="U503" i="9"/>
  <c r="T503" i="9"/>
  <c r="V920" i="9" a="1"/>
  <c r="W920" i="9" s="1"/>
  <c r="V502" i="9" a="1"/>
  <c r="W502" i="9" s="1"/>
  <c r="U502" i="9"/>
  <c r="T502" i="9"/>
  <c r="U920" i="9"/>
  <c r="V501" i="9" a="1"/>
  <c r="W501" i="9" s="1"/>
  <c r="U501" i="9"/>
  <c r="T501" i="9"/>
  <c r="T920" i="9"/>
  <c r="V500" i="9" a="1"/>
  <c r="W500" i="9" s="1"/>
  <c r="U500" i="9"/>
  <c r="T500" i="9"/>
  <c r="T1073" i="9"/>
  <c r="V499" i="9" a="1"/>
  <c r="W499" i="9" s="1"/>
  <c r="U499" i="9"/>
  <c r="T499" i="9"/>
  <c r="V919" i="9" a="1"/>
  <c r="W919" i="9" s="1"/>
  <c r="V498" i="9" a="1"/>
  <c r="W498" i="9" s="1"/>
  <c r="U498" i="9"/>
  <c r="T498" i="9"/>
  <c r="U919" i="9"/>
  <c r="V497" i="9" a="1"/>
  <c r="W497" i="9" s="1"/>
  <c r="U497" i="9"/>
  <c r="T497" i="9"/>
  <c r="T919" i="9"/>
  <c r="V496" i="9" a="1"/>
  <c r="W496" i="9" s="1"/>
  <c r="U496" i="9"/>
  <c r="T496" i="9"/>
  <c r="U1073" i="9"/>
  <c r="V495" i="9" a="1"/>
  <c r="W495" i="9" s="1"/>
  <c r="U495" i="9"/>
  <c r="T495" i="9"/>
  <c r="V918" i="9" a="1"/>
  <c r="W918" i="9" s="1"/>
  <c r="V494" i="9" a="1"/>
  <c r="W494" i="9" s="1"/>
  <c r="U494" i="9"/>
  <c r="T494" i="9"/>
  <c r="U918" i="9"/>
  <c r="V493" i="9" a="1"/>
  <c r="W493" i="9" s="1"/>
  <c r="U493" i="9"/>
  <c r="T493" i="9"/>
  <c r="T918" i="9"/>
  <c r="V492" i="9" a="1"/>
  <c r="W492" i="9" s="1"/>
  <c r="U492" i="9"/>
  <c r="T492" i="9"/>
  <c r="V1073" i="9" a="1"/>
  <c r="W1073" i="9" s="1"/>
  <c r="V491" i="9" a="1"/>
  <c r="W491" i="9" s="1"/>
  <c r="U491" i="9"/>
  <c r="T491" i="9"/>
  <c r="V917" i="9" a="1"/>
  <c r="W917" i="9" s="1"/>
  <c r="V490" i="9" a="1"/>
  <c r="W490" i="9" s="1"/>
  <c r="U490" i="9"/>
  <c r="T490" i="9"/>
  <c r="U917" i="9"/>
  <c r="V489" i="9" a="1"/>
  <c r="W489" i="9" s="1"/>
  <c r="U489" i="9"/>
  <c r="T489" i="9"/>
  <c r="T917" i="9"/>
  <c r="V488" i="9" a="1"/>
  <c r="W488" i="9" s="1"/>
  <c r="U488" i="9"/>
  <c r="T488" i="9"/>
  <c r="T1074" i="9"/>
  <c r="V487" i="9" a="1"/>
  <c r="W487" i="9" s="1"/>
  <c r="U487" i="9"/>
  <c r="T487" i="9"/>
  <c r="V916" i="9" a="1"/>
  <c r="W916" i="9" s="1"/>
  <c r="V486" i="9" a="1"/>
  <c r="W486" i="9" s="1"/>
  <c r="U486" i="9"/>
  <c r="T486" i="9"/>
  <c r="U916" i="9"/>
  <c r="V485" i="9" a="1"/>
  <c r="W485" i="9" s="1"/>
  <c r="U485" i="9"/>
  <c r="T485" i="9"/>
  <c r="T916" i="9"/>
  <c r="V484" i="9" a="1"/>
  <c r="W484" i="9" s="1"/>
  <c r="U484" i="9"/>
  <c r="T484" i="9"/>
  <c r="U1074" i="9"/>
  <c r="V483" i="9" a="1"/>
  <c r="W483" i="9" s="1"/>
  <c r="U483" i="9"/>
  <c r="T483" i="9"/>
  <c r="V915" i="9" a="1"/>
  <c r="W915" i="9" s="1"/>
  <c r="V482" i="9" a="1"/>
  <c r="W482" i="9" s="1"/>
  <c r="U482" i="9"/>
  <c r="T482" i="9"/>
  <c r="U915" i="9"/>
  <c r="V481" i="9" a="1"/>
  <c r="W481" i="9" s="1"/>
  <c r="U481" i="9"/>
  <c r="T481" i="9"/>
  <c r="T915" i="9"/>
  <c r="V480" i="9" a="1"/>
  <c r="W480" i="9" s="1"/>
  <c r="U480" i="9"/>
  <c r="T480" i="9"/>
  <c r="V1074" i="9" a="1"/>
  <c r="W1074" i="9" s="1"/>
  <c r="U479" i="9"/>
  <c r="T479" i="9"/>
  <c r="V914" i="9" a="1"/>
  <c r="W914" i="9" s="1"/>
  <c r="V477" i="9" a="1"/>
  <c r="W477" i="9" s="1"/>
  <c r="U477" i="9"/>
  <c r="T477" i="9"/>
  <c r="U914" i="9"/>
  <c r="V474" i="9" a="1"/>
  <c r="W474" i="9" s="1"/>
  <c r="U474" i="9"/>
  <c r="T474" i="9"/>
  <c r="T914" i="9"/>
  <c r="T1075" i="9"/>
  <c r="V471" i="9" a="1"/>
  <c r="W471" i="9" s="1"/>
  <c r="U471" i="9"/>
  <c r="T471" i="9"/>
  <c r="V913" i="9" a="1"/>
  <c r="W913" i="9" s="1"/>
  <c r="V470" i="9" a="1"/>
  <c r="W470" i="9" s="1"/>
  <c r="U470" i="9"/>
  <c r="T470" i="9"/>
  <c r="U913" i="9"/>
  <c r="V467" i="9" a="1"/>
  <c r="W467" i="9" s="1"/>
  <c r="U467" i="9"/>
  <c r="T467" i="9"/>
  <c r="V465" i="9" a="1"/>
  <c r="W465" i="9" s="1"/>
  <c r="V464" i="9" a="1"/>
  <c r="W464" i="9" s="1"/>
  <c r="U464" i="9"/>
  <c r="T913" i="9"/>
  <c r="V463" i="9" a="1"/>
  <c r="W463" i="9" s="1"/>
  <c r="U463" i="9"/>
  <c r="T463" i="9"/>
  <c r="U1075" i="9"/>
  <c r="V462" i="9" a="1"/>
  <c r="W462" i="9" s="1"/>
  <c r="U462" i="9"/>
  <c r="T462" i="9"/>
  <c r="V912" i="9" a="1"/>
  <c r="W912" i="9" s="1"/>
  <c r="V460" i="9" a="1"/>
  <c r="W460" i="9" s="1"/>
  <c r="U460" i="9"/>
  <c r="U912" i="9"/>
  <c r="V459" i="9" a="1"/>
  <c r="W459" i="9" s="1"/>
  <c r="U459" i="9"/>
  <c r="T459" i="9"/>
  <c r="T912" i="9"/>
  <c r="V457" i="9" a="1"/>
  <c r="W457" i="9" s="1"/>
  <c r="U457" i="9"/>
  <c r="T457" i="9"/>
  <c r="V455" i="9" a="1"/>
  <c r="W455" i="9" s="1"/>
  <c r="U455" i="9"/>
  <c r="T455" i="9"/>
  <c r="V453" i="9" a="1"/>
  <c r="W453" i="9" s="1"/>
  <c r="U453" i="9"/>
  <c r="T453" i="9"/>
  <c r="V1075" i="9" a="1"/>
  <c r="W1075" i="9" s="1"/>
  <c r="V452" i="9" a="1"/>
  <c r="W452" i="9" s="1"/>
  <c r="U452" i="9"/>
  <c r="T452" i="9"/>
  <c r="V911" i="9" a="1"/>
  <c r="W911" i="9" s="1"/>
  <c r="V450" i="9" a="1"/>
  <c r="W450" i="9" s="1"/>
  <c r="T450" i="9"/>
  <c r="U448" i="9"/>
  <c r="T448" i="9"/>
  <c r="V446" i="9" a="1"/>
  <c r="W446" i="9" s="1"/>
  <c r="U446" i="9"/>
  <c r="U911" i="9"/>
  <c r="V444" i="9" a="1"/>
  <c r="W444" i="9" s="1"/>
  <c r="U444" i="9"/>
  <c r="T911" i="9"/>
  <c r="V436" i="9" a="1"/>
  <c r="W436" i="9" s="1"/>
  <c r="U436" i="9"/>
  <c r="V435" i="9" a="1"/>
  <c r="W435" i="9" s="1"/>
  <c r="T435" i="9"/>
  <c r="V434" i="9" a="1"/>
  <c r="W434" i="9" s="1"/>
  <c r="T434" i="9"/>
  <c r="T1076" i="9"/>
  <c r="U433" i="9"/>
  <c r="U432" i="9"/>
  <c r="U431" i="9"/>
  <c r="V430" i="9" a="1"/>
  <c r="W430" i="9" s="1"/>
  <c r="T430" i="9"/>
  <c r="V910" i="9" a="1"/>
  <c r="W910" i="9" s="1"/>
  <c r="U429" i="9"/>
  <c r="U428" i="9"/>
  <c r="V427" i="9" a="1"/>
  <c r="W427" i="9" s="1"/>
  <c r="U427" i="9"/>
  <c r="U426" i="9"/>
  <c r="V425" i="9" a="1"/>
  <c r="W425" i="9" s="1"/>
  <c r="T425" i="9"/>
  <c r="U910" i="9"/>
  <c r="U424" i="9"/>
  <c r="V423" i="9" a="1"/>
  <c r="W423" i="9" s="1"/>
  <c r="T423" i="9"/>
  <c r="T910" i="9"/>
  <c r="U422" i="9"/>
  <c r="T422" i="9"/>
  <c r="U1076" i="9"/>
  <c r="V421" i="9" a="1"/>
  <c r="W421" i="9" s="1"/>
  <c r="U420" i="9"/>
  <c r="T419" i="9"/>
  <c r="V909" i="9" a="1"/>
  <c r="W909" i="9" s="1"/>
  <c r="V418" i="9" a="1"/>
  <c r="W418" i="9" s="1"/>
  <c r="U417" i="9"/>
  <c r="U416" i="9"/>
  <c r="U415" i="9"/>
  <c r="T415" i="9"/>
  <c r="U414" i="9"/>
  <c r="T414" i="9"/>
  <c r="U909" i="9"/>
  <c r="V413" i="9" a="1"/>
  <c r="W413" i="9" s="1"/>
  <c r="U412" i="9"/>
  <c r="U411" i="9"/>
  <c r="V410" i="9" a="1"/>
  <c r="W410" i="9" s="1"/>
  <c r="U409" i="9"/>
  <c r="T409" i="9"/>
  <c r="V408" i="9" a="1"/>
  <c r="W408" i="9" s="1"/>
  <c r="T407" i="9"/>
  <c r="T909" i="9"/>
  <c r="V406" i="9" a="1"/>
  <c r="W406" i="9" s="1"/>
  <c r="U405" i="9"/>
  <c r="U404" i="9"/>
  <c r="U403" i="9"/>
  <c r="V402" i="9" a="1"/>
  <c r="W402" i="9" s="1"/>
  <c r="T402" i="9"/>
  <c r="V1076" i="9" a="1"/>
  <c r="W1076" i="9" s="1"/>
  <c r="T401" i="9"/>
  <c r="V908" i="9" a="1"/>
  <c r="W908" i="9" s="1"/>
  <c r="V400" i="9" a="1"/>
  <c r="W400" i="9" s="1"/>
  <c r="T400" i="9"/>
  <c r="U908" i="9"/>
  <c r="U399" i="9"/>
  <c r="V398" i="9" a="1"/>
  <c r="W398" i="9" s="1"/>
  <c r="T398" i="9"/>
  <c r="T908" i="9"/>
  <c r="T397" i="9"/>
  <c r="T1077" i="9"/>
  <c r="V396" i="9" a="1"/>
  <c r="W396" i="9" s="1"/>
  <c r="T396" i="9"/>
  <c r="V907" i="9" a="1"/>
  <c r="W907" i="9" s="1"/>
  <c r="U395" i="9"/>
  <c r="V394" i="9" a="1"/>
  <c r="W394" i="9" s="1"/>
  <c r="T394" i="9"/>
  <c r="U907" i="9"/>
  <c r="U393" i="9"/>
  <c r="V392" i="9" a="1"/>
  <c r="W392" i="9" s="1"/>
  <c r="T392" i="9"/>
  <c r="T907" i="9"/>
  <c r="V391" i="9" a="1"/>
  <c r="W391" i="9" s="1"/>
  <c r="U391" i="9"/>
  <c r="U390" i="9"/>
  <c r="U389" i="9"/>
  <c r="U388" i="9"/>
  <c r="V387" i="9" a="1"/>
  <c r="W387" i="9" s="1"/>
  <c r="U386" i="9"/>
  <c r="T386" i="9"/>
  <c r="U1077" i="9"/>
  <c r="V385" i="9" a="1"/>
  <c r="W385" i="9" s="1"/>
  <c r="U385" i="9"/>
  <c r="V384" i="9" a="1"/>
  <c r="W384" i="9" s="1"/>
  <c r="T384" i="9"/>
  <c r="V1034" i="9" a="1"/>
  <c r="W1034" i="9" s="1"/>
  <c r="V383" i="9" a="1"/>
  <c r="W383" i="9" s="1"/>
  <c r="T383" i="9"/>
  <c r="U382" i="9"/>
  <c r="V379" i="9" a="1"/>
  <c r="W379" i="9" s="1"/>
  <c r="U378" i="9"/>
  <c r="V377" i="9" a="1"/>
  <c r="W377" i="9" s="1"/>
  <c r="T377" i="9"/>
  <c r="U376" i="9"/>
  <c r="U375" i="9"/>
  <c r="V374" i="9" a="1"/>
  <c r="W374" i="9" s="1"/>
  <c r="V373" i="9" a="1"/>
  <c r="W373" i="9" s="1"/>
  <c r="T373" i="9"/>
  <c r="V906" i="9" a="1"/>
  <c r="W906" i="9" s="1"/>
  <c r="U372" i="9"/>
  <c r="T371" i="9"/>
  <c r="U906" i="9"/>
  <c r="U370" i="9"/>
  <c r="T370" i="9"/>
  <c r="T369" i="9"/>
  <c r="T906" i="9"/>
  <c r="U368" i="9"/>
  <c r="T368" i="9"/>
  <c r="V1077" i="9" a="1"/>
  <c r="W1077" i="9" s="1"/>
  <c r="U367" i="9"/>
  <c r="U366" i="9"/>
  <c r="U365" i="9"/>
  <c r="V364" i="9" a="1"/>
  <c r="W364" i="9" s="1"/>
  <c r="V363" i="9" a="1"/>
  <c r="W363" i="9" s="1"/>
  <c r="U363" i="9"/>
  <c r="U362" i="9"/>
  <c r="U361" i="9"/>
  <c r="V360" i="9" a="1"/>
  <c r="W360" i="9" s="1"/>
  <c r="V359" i="9" a="1"/>
  <c r="W359" i="9" s="1"/>
  <c r="T359" i="9"/>
  <c r="U358" i="9"/>
  <c r="U357" i="9"/>
  <c r="V356" i="9" a="1"/>
  <c r="W356" i="9" s="1"/>
  <c r="U355" i="9"/>
  <c r="U354" i="9"/>
  <c r="V353" i="9" a="1"/>
  <c r="W353" i="9" s="1"/>
  <c r="T353" i="9"/>
  <c r="V905" i="9" a="1"/>
  <c r="W905" i="9" s="1"/>
  <c r="U352" i="9"/>
  <c r="T352" i="9"/>
  <c r="U905" i="9"/>
  <c r="U351" i="9"/>
  <c r="T351" i="9"/>
  <c r="T905" i="9"/>
  <c r="V350" i="9" a="1"/>
  <c r="W350" i="9" s="1"/>
  <c r="U350" i="9"/>
  <c r="T350" i="9"/>
  <c r="T1078" i="9"/>
  <c r="U349" i="9"/>
  <c r="V348" i="9" a="1"/>
  <c r="W348" i="9" s="1"/>
  <c r="T348" i="9"/>
  <c r="V904" i="9" a="1"/>
  <c r="W904" i="9" s="1"/>
  <c r="U347" i="9"/>
  <c r="V346" i="9" a="1"/>
  <c r="W346" i="9" s="1"/>
  <c r="T346" i="9"/>
  <c r="U904" i="9"/>
  <c r="U345" i="9"/>
  <c r="T345" i="9"/>
  <c r="T904" i="9"/>
  <c r="U344" i="9"/>
  <c r="U343" i="9"/>
  <c r="V342" i="9" a="1"/>
  <c r="W342" i="9" s="1"/>
  <c r="T342" i="9"/>
  <c r="V341" i="9" a="1"/>
  <c r="W341" i="9" s="1"/>
  <c r="U1078" i="9"/>
  <c r="U339" i="9"/>
  <c r="U338" i="9"/>
  <c r="U337" i="9"/>
  <c r="V336" i="9" a="1"/>
  <c r="W336" i="9" s="1"/>
  <c r="V903" i="9" a="1"/>
  <c r="W903" i="9" s="1"/>
  <c r="U335" i="9"/>
  <c r="V334" i="9" a="1"/>
  <c r="W334" i="9" s="1"/>
  <c r="V333" i="9" a="1"/>
  <c r="W333" i="9" s="1"/>
  <c r="U333" i="9"/>
  <c r="T332" i="9"/>
  <c r="V331" i="9" a="1"/>
  <c r="W331" i="9" s="1"/>
  <c r="V330" i="9" a="1"/>
  <c r="W330" i="9" s="1"/>
  <c r="T330" i="9"/>
  <c r="V329" i="9" a="1"/>
  <c r="W329" i="9" s="1"/>
  <c r="T329" i="9"/>
  <c r="T328" i="9"/>
  <c r="U903" i="9"/>
  <c r="V327" i="9" a="1"/>
  <c r="W327" i="9" s="1"/>
  <c r="U326" i="9"/>
  <c r="T326" i="9"/>
  <c r="T903" i="9"/>
  <c r="U325" i="9"/>
  <c r="T324" i="9"/>
  <c r="V1078" i="9" a="1"/>
  <c r="W1078" i="9" s="1"/>
  <c r="U323" i="9"/>
  <c r="V322" i="9" a="1"/>
  <c r="W322" i="9" s="1"/>
  <c r="T322" i="9"/>
  <c r="V902" i="9" a="1"/>
  <c r="W902" i="9" s="1"/>
  <c r="U321" i="9"/>
  <c r="U320" i="9"/>
  <c r="U902" i="9"/>
  <c r="V316" i="9" a="1"/>
  <c r="W316" i="9" s="1"/>
  <c r="U316" i="9"/>
  <c r="T316" i="9"/>
  <c r="T902" i="9"/>
  <c r="V315" i="9" a="1"/>
  <c r="W315" i="9" s="1"/>
  <c r="U315" i="9"/>
  <c r="T315" i="9"/>
  <c r="T1079" i="9"/>
  <c r="V314" i="9" a="1"/>
  <c r="W314" i="9" s="1"/>
  <c r="U314" i="9"/>
  <c r="T314" i="9"/>
  <c r="V901" i="9" a="1"/>
  <c r="W901" i="9" s="1"/>
  <c r="V313" i="9" a="1"/>
  <c r="W313" i="9" s="1"/>
  <c r="U313" i="9"/>
  <c r="T313" i="9"/>
  <c r="U901" i="9"/>
  <c r="V312" i="9" a="1"/>
  <c r="W312" i="9" s="1"/>
  <c r="U312" i="9"/>
  <c r="T312" i="9"/>
  <c r="T901" i="9"/>
  <c r="V311" i="9" a="1"/>
  <c r="W311" i="9" s="1"/>
  <c r="U311" i="9"/>
  <c r="T311" i="9"/>
  <c r="U1079" i="9"/>
  <c r="V310" i="9" a="1"/>
  <c r="W310" i="9" s="1"/>
  <c r="U310" i="9"/>
  <c r="T310" i="9"/>
  <c r="V900" i="9" a="1"/>
  <c r="W900" i="9" s="1"/>
  <c r="V309" i="9" a="1"/>
  <c r="W309" i="9" s="1"/>
  <c r="U309" i="9"/>
  <c r="T309" i="9"/>
  <c r="U900" i="9"/>
  <c r="V308" i="9" a="1"/>
  <c r="W308" i="9" s="1"/>
  <c r="U308" i="9"/>
  <c r="T308" i="9"/>
  <c r="T900" i="9"/>
  <c r="V307" i="9" a="1"/>
  <c r="W307" i="9" s="1"/>
  <c r="U307" i="9"/>
  <c r="T307" i="9"/>
  <c r="V1079" i="9" a="1"/>
  <c r="W1079" i="9" s="1"/>
  <c r="V306" i="9" a="1"/>
  <c r="W306" i="9" s="1"/>
  <c r="U306" i="9"/>
  <c r="T306" i="9"/>
  <c r="V899" i="9" a="1"/>
  <c r="W899" i="9" s="1"/>
  <c r="V305" i="9" a="1"/>
  <c r="W305" i="9" s="1"/>
  <c r="U305" i="9"/>
  <c r="T305" i="9"/>
  <c r="U899" i="9"/>
  <c r="V304" i="9" a="1"/>
  <c r="W304" i="9" s="1"/>
  <c r="U304" i="9"/>
  <c r="T304" i="9"/>
  <c r="T899" i="9"/>
  <c r="V303" i="9" a="1"/>
  <c r="W303" i="9" s="1"/>
  <c r="U303" i="9"/>
  <c r="T303" i="9"/>
  <c r="T1080" i="9"/>
  <c r="V302" i="9" a="1"/>
  <c r="W302" i="9" s="1"/>
  <c r="U302" i="9"/>
  <c r="T302" i="9"/>
  <c r="V898" i="9" a="1"/>
  <c r="W898" i="9" s="1"/>
  <c r="V301" i="9" a="1"/>
  <c r="W301" i="9" s="1"/>
  <c r="U301" i="9"/>
  <c r="T301" i="9"/>
  <c r="U898" i="9"/>
  <c r="V300" i="9" a="1"/>
  <c r="W300" i="9" s="1"/>
  <c r="U300" i="9"/>
  <c r="T300" i="9"/>
  <c r="T898" i="9"/>
  <c r="V299" i="9" a="1"/>
  <c r="W299" i="9" s="1"/>
  <c r="U299" i="9"/>
  <c r="T299" i="9"/>
  <c r="U1080" i="9"/>
  <c r="V298" i="9" a="1"/>
  <c r="W298" i="9" s="1"/>
  <c r="U298" i="9"/>
  <c r="T298" i="9"/>
  <c r="V897" i="9" a="1"/>
  <c r="W897" i="9" s="1"/>
  <c r="V297" i="9" a="1"/>
  <c r="W297" i="9" s="1"/>
  <c r="U297" i="9"/>
  <c r="T297" i="9"/>
  <c r="U897" i="9"/>
  <c r="V296" i="9" a="1"/>
  <c r="W296" i="9" s="1"/>
  <c r="U296" i="9"/>
  <c r="U295" i="9"/>
  <c r="V294" i="9" a="1"/>
  <c r="W294" i="9" s="1"/>
  <c r="T293" i="9"/>
  <c r="T897" i="9"/>
  <c r="U292" i="9"/>
  <c r="U291" i="9"/>
  <c r="U290" i="9"/>
  <c r="V289" i="9" a="1"/>
  <c r="W289" i="9" s="1"/>
  <c r="U289" i="9"/>
  <c r="V1080" i="9" a="1"/>
  <c r="W1080" i="9" s="1"/>
  <c r="T288" i="9"/>
  <c r="V896" i="9" a="1"/>
  <c r="W896" i="9" s="1"/>
  <c r="V287" i="9" a="1"/>
  <c r="W287" i="9" s="1"/>
  <c r="U896" i="9"/>
  <c r="V286" i="9" a="1"/>
  <c r="W286" i="9" s="1"/>
  <c r="U285" i="9"/>
  <c r="T896" i="9"/>
  <c r="V284" i="9" a="1"/>
  <c r="W284" i="9" s="1"/>
  <c r="V283" i="9" a="1"/>
  <c r="W283" i="9" s="1"/>
  <c r="V282" i="9" a="1"/>
  <c r="W282" i="9" s="1"/>
  <c r="T282" i="9"/>
  <c r="T281" i="9"/>
  <c r="T279" i="9"/>
  <c r="U278" i="9"/>
  <c r="T277" i="9"/>
  <c r="V276" i="9" a="1"/>
  <c r="W276" i="9" s="1"/>
  <c r="T1081" i="9"/>
  <c r="U275" i="9"/>
  <c r="V271" i="9" a="1"/>
  <c r="W271" i="9" s="1"/>
  <c r="U270" i="9"/>
  <c r="V895" i="9" a="1"/>
  <c r="W895" i="9" s="1"/>
  <c r="U269" i="9"/>
  <c r="V268" i="9" a="1"/>
  <c r="W268" i="9" s="1"/>
  <c r="V267" i="9" a="1"/>
  <c r="W267" i="9" s="1"/>
  <c r="T266" i="9"/>
  <c r="T265" i="9"/>
  <c r="V263" i="9" a="1"/>
  <c r="W263" i="9" s="1"/>
  <c r="T263" i="9"/>
  <c r="U895" i="9"/>
  <c r="U262" i="9"/>
  <c r="T261" i="9"/>
  <c r="T260" i="9"/>
  <c r="T895" i="9"/>
  <c r="V259" i="9" a="1"/>
  <c r="W259" i="9" s="1"/>
  <c r="T258" i="9"/>
  <c r="V257" i="9" a="1"/>
  <c r="W257" i="9" s="1"/>
  <c r="V256" i="9" a="1"/>
  <c r="W256" i="9" s="1"/>
  <c r="V255" i="9" a="1"/>
  <c r="W255" i="9" s="1"/>
  <c r="U1081" i="9"/>
  <c r="U254" i="9"/>
  <c r="T253" i="9"/>
  <c r="V252" i="9" a="1"/>
  <c r="W252" i="9" s="1"/>
  <c r="T252" i="9"/>
  <c r="V894" i="9" a="1"/>
  <c r="W894" i="9" s="1"/>
  <c r="U894" i="9"/>
  <c r="U248" i="9"/>
  <c r="U247" i="9"/>
  <c r="T894" i="9"/>
  <c r="U246" i="9"/>
  <c r="T245" i="9"/>
  <c r="T244" i="9"/>
  <c r="T243" i="9"/>
  <c r="T242" i="9"/>
  <c r="T241" i="9"/>
  <c r="U240" i="9"/>
  <c r="V1081" i="9" a="1"/>
  <c r="W1081" i="9" s="1"/>
  <c r="V239" i="9" a="1"/>
  <c r="W239" i="9" s="1"/>
  <c r="V238" i="9" a="1"/>
  <c r="W238" i="9" s="1"/>
  <c r="U288" i="9"/>
  <c r="U237" i="9"/>
  <c r="T287" i="9"/>
  <c r="U236" i="9"/>
  <c r="U286" i="9"/>
  <c r="U235" i="9"/>
  <c r="U234" i="9"/>
  <c r="T233" i="9"/>
  <c r="V232" i="9" a="1"/>
  <c r="W232" i="9" s="1"/>
  <c r="U231" i="9"/>
  <c r="U1034" i="9"/>
  <c r="V230" i="9" a="1"/>
  <c r="W230" i="9" s="1"/>
  <c r="U229" i="9"/>
  <c r="U284" i="9"/>
  <c r="V228" i="9" a="1"/>
  <c r="W228" i="9" s="1"/>
  <c r="V227" i="9" a="1"/>
  <c r="W227" i="9" s="1"/>
  <c r="T226" i="9"/>
  <c r="V225" i="9" a="1"/>
  <c r="W225" i="9" s="1"/>
  <c r="U224" i="9"/>
  <c r="T1034" i="9"/>
  <c r="T223" i="9"/>
  <c r="U283" i="9"/>
  <c r="V222" i="9" a="1"/>
  <c r="W222" i="9" s="1"/>
  <c r="U221" i="9"/>
  <c r="T1035" i="9"/>
  <c r="U220" i="9"/>
  <c r="V1033" i="9" a="1"/>
  <c r="W1033" i="9" s="1"/>
  <c r="V219" i="9" a="1"/>
  <c r="W219" i="9" s="1"/>
  <c r="T218" i="9"/>
  <c r="U281" i="9"/>
  <c r="U280" i="9"/>
  <c r="U1033" i="9"/>
  <c r="V279" i="9" a="1"/>
  <c r="W279" i="9" s="1"/>
  <c r="T1033" i="9"/>
  <c r="V278" i="9" a="1"/>
  <c r="W278" i="9" s="1"/>
  <c r="V277" i="9" a="1"/>
  <c r="W277" i="9" s="1"/>
  <c r="U1035" i="9"/>
  <c r="U276" i="9"/>
  <c r="V275" i="9" a="1"/>
  <c r="W275" i="9" s="1"/>
  <c r="U274" i="9"/>
  <c r="V443" i="9" a="1"/>
  <c r="W443" i="9" s="1"/>
  <c r="U443" i="9"/>
  <c r="T443" i="9"/>
  <c r="T274" i="9"/>
  <c r="V442" i="9" a="1"/>
  <c r="W442" i="9" s="1"/>
  <c r="U442" i="9"/>
  <c r="T442" i="9"/>
  <c r="V1032" i="9" a="1"/>
  <c r="W1032" i="9" s="1"/>
  <c r="V441" i="9" a="1"/>
  <c r="W441" i="9" s="1"/>
  <c r="U441" i="9"/>
  <c r="T441" i="9"/>
  <c r="T273" i="9"/>
  <c r="V440" i="9" a="1"/>
  <c r="W440" i="9" s="1"/>
  <c r="U440" i="9"/>
  <c r="T440" i="9"/>
  <c r="U1032" i="9"/>
  <c r="V439" i="9" a="1"/>
  <c r="W439" i="9" s="1"/>
  <c r="U439" i="9"/>
  <c r="T439" i="9"/>
  <c r="U272" i="9"/>
  <c r="V438" i="9" a="1"/>
  <c r="W438" i="9" s="1"/>
  <c r="U438" i="9"/>
  <c r="T438" i="9"/>
  <c r="T272" i="9"/>
  <c r="V437" i="9" a="1"/>
  <c r="W437" i="9" s="1"/>
  <c r="U437" i="9"/>
  <c r="T437" i="9"/>
  <c r="V217" i="9" a="1"/>
  <c r="W217" i="9" s="1"/>
  <c r="U217" i="9"/>
  <c r="T217" i="9"/>
  <c r="T1032" i="9"/>
  <c r="V216" i="9" a="1"/>
  <c r="W216" i="9" s="1"/>
  <c r="U216" i="9"/>
  <c r="T216" i="9"/>
  <c r="U271" i="9"/>
  <c r="V215" i="9" a="1"/>
  <c r="W215" i="9" s="1"/>
  <c r="U215" i="9"/>
  <c r="T215" i="9"/>
  <c r="T270" i="9"/>
  <c r="V214" i="9" a="1"/>
  <c r="W214" i="9" s="1"/>
  <c r="U214" i="9"/>
  <c r="T214" i="9"/>
  <c r="V269" i="9" a="1"/>
  <c r="W269" i="9" s="1"/>
  <c r="V213" i="9" a="1"/>
  <c r="W213" i="9" s="1"/>
  <c r="U213" i="9"/>
  <c r="T213" i="9"/>
  <c r="V1035" i="9" a="1"/>
  <c r="W1035" i="9" s="1"/>
  <c r="V212" i="9" a="1"/>
  <c r="W212" i="9" s="1"/>
  <c r="U212" i="9"/>
  <c r="T212" i="9"/>
  <c r="U268" i="9"/>
  <c r="V211" i="9" a="1"/>
  <c r="W211" i="9" s="1"/>
  <c r="U211" i="9"/>
  <c r="T211" i="9"/>
  <c r="V1031" i="9" a="1"/>
  <c r="W1031" i="9" s="1"/>
  <c r="V210" i="9" a="1"/>
  <c r="W210" i="9" s="1"/>
  <c r="U210" i="9"/>
  <c r="T210" i="9"/>
  <c r="T267" i="9"/>
  <c r="V209" i="9" a="1"/>
  <c r="W209" i="9" s="1"/>
  <c r="U209" i="9"/>
  <c r="T209" i="9"/>
  <c r="V266" i="9" a="1"/>
  <c r="W266" i="9" s="1"/>
  <c r="V208" i="9" a="1"/>
  <c r="W208" i="9" s="1"/>
  <c r="U208" i="9"/>
  <c r="T208" i="9"/>
  <c r="U1031" i="9"/>
  <c r="V207" i="9" a="1"/>
  <c r="W207" i="9" s="1"/>
  <c r="U207" i="9"/>
  <c r="T207" i="9"/>
  <c r="V265" i="9" a="1"/>
  <c r="W265" i="9" s="1"/>
  <c r="V206" i="9" a="1"/>
  <c r="W206" i="9" s="1"/>
  <c r="U206" i="9"/>
  <c r="T206" i="9"/>
  <c r="T1031" i="9"/>
  <c r="V205" i="9" a="1"/>
  <c r="W205" i="9" s="1"/>
  <c r="U205" i="9"/>
  <c r="T205" i="9"/>
  <c r="U264" i="9"/>
  <c r="V204" i="9" a="1"/>
  <c r="W204" i="9" s="1"/>
  <c r="U204" i="9"/>
  <c r="T204" i="9"/>
  <c r="V261" i="9" a="1"/>
  <c r="W261" i="9" s="1"/>
  <c r="V203" i="9" a="1"/>
  <c r="W203" i="9" s="1"/>
  <c r="U203" i="9"/>
  <c r="T203" i="9"/>
  <c r="T1036" i="9"/>
  <c r="V202" i="9" a="1"/>
  <c r="W202" i="9" s="1"/>
  <c r="U202" i="9"/>
  <c r="T202" i="9"/>
  <c r="U260" i="9"/>
  <c r="V201" i="9" a="1"/>
  <c r="W201" i="9" s="1"/>
  <c r="U201" i="9"/>
  <c r="T201" i="9"/>
  <c r="T259" i="9"/>
  <c r="V200" i="9" a="1"/>
  <c r="W200" i="9" s="1"/>
  <c r="U200" i="9"/>
  <c r="T200" i="9"/>
  <c r="V258" i="9" a="1"/>
  <c r="W258" i="9" s="1"/>
  <c r="V199" i="9" a="1"/>
  <c r="W199" i="9" s="1"/>
  <c r="U199" i="9"/>
  <c r="T199" i="9"/>
  <c r="V1030" i="9" a="1"/>
  <c r="W1030" i="9" s="1"/>
  <c r="V198" i="9" a="1"/>
  <c r="W198" i="9" s="1"/>
  <c r="U198" i="9"/>
  <c r="T198" i="9"/>
  <c r="T257" i="9"/>
  <c r="V197" i="9" a="1"/>
  <c r="W197" i="9" s="1"/>
  <c r="U197" i="9"/>
  <c r="T197" i="9"/>
  <c r="U256" i="9"/>
  <c r="V196" i="9" a="1"/>
  <c r="W196" i="9" s="1"/>
  <c r="U196" i="9"/>
  <c r="T196" i="9"/>
  <c r="T255" i="9"/>
  <c r="V195" i="9" a="1"/>
  <c r="W195" i="9" s="1"/>
  <c r="U195" i="9"/>
  <c r="T195" i="9"/>
  <c r="T254" i="9"/>
  <c r="V194" i="9" a="1"/>
  <c r="W194" i="9" s="1"/>
  <c r="U194" i="9"/>
  <c r="T194" i="9"/>
  <c r="U1030" i="9"/>
  <c r="V193" i="9" a="1"/>
  <c r="W193" i="9" s="1"/>
  <c r="U193" i="9"/>
  <c r="T193" i="9"/>
  <c r="U253" i="9"/>
  <c r="V192" i="9" a="1"/>
  <c r="W192" i="9" s="1"/>
  <c r="U192" i="9"/>
  <c r="T192" i="9"/>
  <c r="T1030" i="9"/>
  <c r="V191" i="9" a="1"/>
  <c r="W191" i="9" s="1"/>
  <c r="U191" i="9"/>
  <c r="T191" i="9"/>
  <c r="U252" i="9"/>
  <c r="V190" i="9" a="1"/>
  <c r="W190" i="9" s="1"/>
  <c r="U190" i="9"/>
  <c r="T190" i="9"/>
  <c r="V251" i="9" a="1"/>
  <c r="W251" i="9" s="1"/>
  <c r="V189" i="9" a="1"/>
  <c r="W189" i="9" s="1"/>
  <c r="U189" i="9"/>
  <c r="T189" i="9"/>
  <c r="T251" i="9"/>
  <c r="V188" i="9" a="1"/>
  <c r="W188" i="9" s="1"/>
  <c r="U188" i="9"/>
  <c r="T188" i="9"/>
  <c r="U1036" i="9"/>
  <c r="V187" i="9" a="1"/>
  <c r="W187" i="9" s="1"/>
  <c r="U187" i="9"/>
  <c r="T187" i="9"/>
  <c r="V250" i="9" a="1"/>
  <c r="W250" i="9" s="1"/>
  <c r="V186" i="9" a="1"/>
  <c r="W186" i="9" s="1"/>
  <c r="U186" i="9"/>
  <c r="T186" i="9"/>
  <c r="T250" i="9"/>
  <c r="V185" i="9" a="1"/>
  <c r="W185" i="9" s="1"/>
  <c r="U185" i="9"/>
  <c r="T185" i="9"/>
  <c r="V1029" i="9" a="1"/>
  <c r="W1029" i="9" s="1"/>
  <c r="V184" i="9" a="1"/>
  <c r="W184" i="9" s="1"/>
  <c r="U184" i="9"/>
  <c r="T184" i="9"/>
  <c r="U249" i="9"/>
  <c r="V183" i="9" a="1"/>
  <c r="W183" i="9" s="1"/>
  <c r="U183" i="9"/>
  <c r="T183" i="9"/>
  <c r="V248" i="9" a="1"/>
  <c r="W248" i="9" s="1"/>
  <c r="V182" i="9" a="1"/>
  <c r="W182" i="9" s="1"/>
  <c r="U182" i="9"/>
  <c r="T182" i="9"/>
  <c r="U1029" i="9"/>
  <c r="V181" i="9" a="1"/>
  <c r="W181" i="9" s="1"/>
  <c r="U181" i="9"/>
  <c r="T181" i="9"/>
  <c r="V247" i="9" a="1"/>
  <c r="W247" i="9" s="1"/>
  <c r="V180" i="9" a="1"/>
  <c r="W180" i="9" s="1"/>
  <c r="U180" i="9"/>
  <c r="T180" i="9"/>
  <c r="V246" i="9" a="1"/>
  <c r="W246" i="9" s="1"/>
  <c r="V179" i="9" a="1"/>
  <c r="W179" i="9" s="1"/>
  <c r="U179" i="9"/>
  <c r="T179" i="9"/>
  <c r="U245" i="9"/>
  <c r="V178" i="9" a="1"/>
  <c r="W178" i="9" s="1"/>
  <c r="U178" i="9"/>
  <c r="T178" i="9"/>
  <c r="V244" i="9" a="1"/>
  <c r="W244" i="9" s="1"/>
  <c r="V177" i="9" a="1"/>
  <c r="W177" i="9" s="1"/>
  <c r="U177" i="9"/>
  <c r="T177" i="9"/>
  <c r="T1029" i="9"/>
  <c r="V176" i="9" a="1"/>
  <c r="W176" i="9" s="1"/>
  <c r="U176" i="9"/>
  <c r="T176" i="9"/>
  <c r="U243" i="9"/>
  <c r="V175" i="9" a="1"/>
  <c r="W175" i="9" s="1"/>
  <c r="U175" i="9"/>
  <c r="T175" i="9"/>
  <c r="V1036" i="9" a="1"/>
  <c r="W1036" i="9" s="1"/>
  <c r="V174" i="9" a="1"/>
  <c r="W174" i="9" s="1"/>
  <c r="U174" i="9"/>
  <c r="T174" i="9"/>
  <c r="U242" i="9"/>
  <c r="V173" i="9" a="1"/>
  <c r="W173" i="9" s="1"/>
  <c r="U173" i="9"/>
  <c r="T173" i="9"/>
  <c r="V1028" i="9" a="1"/>
  <c r="W1028" i="9" s="1"/>
  <c r="V172" i="9" a="1"/>
  <c r="W172" i="9" s="1"/>
  <c r="U172" i="9"/>
  <c r="T172" i="9"/>
  <c r="U241" i="9"/>
  <c r="V171" i="9" a="1"/>
  <c r="W171" i="9" s="1"/>
  <c r="U171" i="9"/>
  <c r="T171" i="9"/>
  <c r="T240" i="9"/>
  <c r="V170" i="9" a="1"/>
  <c r="W170" i="9" s="1"/>
  <c r="U170" i="9"/>
  <c r="T170" i="9"/>
  <c r="T239" i="9"/>
  <c r="V169" i="9" a="1"/>
  <c r="W169" i="9" s="1"/>
  <c r="U169" i="9"/>
  <c r="T169" i="9"/>
  <c r="T238" i="9"/>
  <c r="V168" i="9" a="1"/>
  <c r="W168" i="9" s="1"/>
  <c r="U168" i="9"/>
  <c r="T168" i="9"/>
  <c r="T236" i="9"/>
  <c r="V167" i="9" a="1"/>
  <c r="W167" i="9" s="1"/>
  <c r="U167" i="9"/>
  <c r="T167" i="9"/>
  <c r="U1028" i="9"/>
  <c r="V166" i="9" a="1"/>
  <c r="W166" i="9" s="1"/>
  <c r="U166" i="9"/>
  <c r="T166" i="9"/>
  <c r="V234" i="9" a="1"/>
  <c r="W234" i="9" s="1"/>
  <c r="V165" i="9" a="1"/>
  <c r="W165" i="9" s="1"/>
  <c r="U165" i="9"/>
  <c r="T165" i="9"/>
  <c r="V233" i="9" a="1"/>
  <c r="W233" i="9" s="1"/>
  <c r="V164" i="9" a="1"/>
  <c r="W164" i="9" s="1"/>
  <c r="U164" i="9"/>
  <c r="T164" i="9"/>
  <c r="T1028" i="9"/>
  <c r="V163" i="9" a="1"/>
  <c r="W163" i="9" s="1"/>
  <c r="U163" i="9"/>
  <c r="T163" i="9"/>
  <c r="T232" i="9"/>
  <c r="V162" i="9" a="1"/>
  <c r="W162" i="9" s="1"/>
  <c r="U162" i="9"/>
  <c r="T162" i="9"/>
  <c r="V231" i="9" a="1"/>
  <c r="W231" i="9" s="1"/>
  <c r="V161" i="9" a="1"/>
  <c r="W161" i="9" s="1"/>
  <c r="U161" i="9"/>
  <c r="T161" i="9"/>
  <c r="U230" i="9"/>
  <c r="V160" i="9" a="1"/>
  <c r="W160" i="9" s="1"/>
  <c r="U160" i="9"/>
  <c r="T160" i="9"/>
  <c r="T1037" i="9"/>
  <c r="V159" i="9" a="1"/>
  <c r="W159" i="9" s="1"/>
  <c r="U159" i="9"/>
  <c r="T159" i="9"/>
  <c r="V229" i="9" a="1"/>
  <c r="W229" i="9" s="1"/>
  <c r="V158" i="9" a="1"/>
  <c r="W158" i="9" s="1"/>
  <c r="U158" i="9"/>
  <c r="T158" i="9"/>
  <c r="U228" i="9"/>
  <c r="V157" i="9" a="1"/>
  <c r="W157" i="9" s="1"/>
  <c r="U157" i="9"/>
  <c r="T157" i="9"/>
  <c r="V1027" i="9" a="1"/>
  <c r="W1027" i="9" s="1"/>
  <c r="V156" i="9" a="1"/>
  <c r="W156" i="9" s="1"/>
  <c r="U156" i="9"/>
  <c r="T156" i="9"/>
  <c r="T227" i="9"/>
  <c r="V155" i="9" a="1"/>
  <c r="W155" i="9" s="1"/>
  <c r="U155" i="9"/>
  <c r="T155" i="9"/>
  <c r="V226" i="9" a="1"/>
  <c r="W226" i="9" s="1"/>
  <c r="V154" i="9" a="1"/>
  <c r="W154" i="9" s="1"/>
  <c r="U154" i="9"/>
  <c r="T154" i="9"/>
  <c r="U1027" i="9"/>
  <c r="V153" i="9" a="1"/>
  <c r="W153" i="9" s="1"/>
  <c r="U153" i="9"/>
  <c r="T153" i="9"/>
  <c r="U225" i="9"/>
  <c r="V152" i="9" a="1"/>
  <c r="W152" i="9" s="1"/>
  <c r="U152" i="9"/>
  <c r="T152" i="9"/>
  <c r="T1027" i="9"/>
  <c r="V151" i="9" a="1"/>
  <c r="W151" i="9" s="1"/>
  <c r="U151" i="9"/>
  <c r="T151" i="9"/>
  <c r="V224" i="9" a="1"/>
  <c r="W224" i="9" s="1"/>
  <c r="V150" i="9" a="1"/>
  <c r="W150" i="9" s="1"/>
  <c r="U150" i="9"/>
  <c r="T150" i="9"/>
  <c r="V223" i="9" a="1"/>
  <c r="W223" i="9" s="1"/>
  <c r="V149" i="9" a="1"/>
  <c r="W149" i="9" s="1"/>
  <c r="U149" i="9"/>
  <c r="T149" i="9"/>
  <c r="U222" i="9"/>
  <c r="V148" i="9" a="1"/>
  <c r="W148" i="9" s="1"/>
  <c r="U148" i="9"/>
  <c r="T148" i="9"/>
  <c r="U1037" i="9"/>
  <c r="V147" i="9" a="1"/>
  <c r="W147" i="9" s="1"/>
  <c r="U147" i="9"/>
  <c r="T147" i="9"/>
  <c r="T221" i="9"/>
  <c r="V146" i="9" a="1"/>
  <c r="W146" i="9" s="1"/>
  <c r="U146" i="9"/>
  <c r="T146" i="9"/>
  <c r="T220" i="9"/>
  <c r="V145" i="9" a="1"/>
  <c r="W145" i="9" s="1"/>
  <c r="U145" i="9"/>
  <c r="T145" i="9"/>
  <c r="T219" i="9"/>
  <c r="V144" i="9" a="1"/>
  <c r="W144" i="9" s="1"/>
  <c r="U144" i="9"/>
  <c r="T144" i="9"/>
  <c r="V218" i="9" a="1"/>
  <c r="W218" i="9" s="1"/>
  <c r="V143" i="9" a="1"/>
  <c r="W143" i="9" s="1"/>
  <c r="U143" i="9"/>
  <c r="T143" i="9"/>
  <c r="V83" i="9" a="1"/>
  <c r="W83" i="9" s="1"/>
  <c r="V142" i="9" a="1"/>
  <c r="W142" i="9" s="1"/>
  <c r="U142" i="9"/>
  <c r="T142" i="9"/>
  <c r="U83" i="9"/>
  <c r="V141" i="9" a="1"/>
  <c r="W141" i="9" s="1"/>
  <c r="U141" i="9"/>
  <c r="T141" i="9"/>
  <c r="T83" i="9"/>
  <c r="V140" i="9" a="1"/>
  <c r="W140" i="9" s="1"/>
  <c r="U140" i="9"/>
  <c r="T140" i="9"/>
  <c r="V1026" i="9" a="1"/>
  <c r="W1026" i="9" s="1"/>
  <c r="V139" i="9" a="1"/>
  <c r="W139" i="9" s="1"/>
  <c r="U139" i="9"/>
  <c r="T139" i="9"/>
  <c r="V82" i="9" a="1"/>
  <c r="W82" i="9" s="1"/>
  <c r="V138" i="9" a="1"/>
  <c r="W138" i="9" s="1"/>
  <c r="U138" i="9"/>
  <c r="T138" i="9"/>
  <c r="U82" i="9"/>
  <c r="V137" i="9" a="1"/>
  <c r="W137" i="9" s="1"/>
  <c r="U137" i="9"/>
  <c r="T137" i="9"/>
  <c r="T82" i="9"/>
  <c r="V136" i="9" a="1"/>
  <c r="W136" i="9" s="1"/>
  <c r="U136" i="9"/>
  <c r="T136" i="9"/>
  <c r="V135" i="9" a="1"/>
  <c r="W135" i="9" s="1"/>
  <c r="U135" i="9"/>
  <c r="T135" i="9"/>
  <c r="V134" i="9" a="1"/>
  <c r="W134" i="9" s="1"/>
  <c r="U134" i="9"/>
  <c r="T134" i="9"/>
  <c r="V133" i="9" a="1"/>
  <c r="W133" i="9" s="1"/>
  <c r="U133" i="9"/>
  <c r="T133" i="9"/>
  <c r="V132" i="9" a="1"/>
  <c r="W132" i="9" s="1"/>
  <c r="U132" i="9"/>
  <c r="T132" i="9"/>
  <c r="V131" i="9" a="1"/>
  <c r="W131" i="9" s="1"/>
  <c r="U131" i="9"/>
  <c r="T131" i="9"/>
  <c r="V130" i="9" a="1"/>
  <c r="W130" i="9" s="1"/>
  <c r="U130" i="9"/>
  <c r="T130" i="9"/>
  <c r="V129" i="9" a="1"/>
  <c r="W129" i="9" s="1"/>
  <c r="U129" i="9"/>
  <c r="T129" i="9"/>
  <c r="V128" i="9" a="1"/>
  <c r="W128" i="9" s="1"/>
  <c r="U128" i="9"/>
  <c r="T128" i="9"/>
  <c r="V127" i="9" a="1"/>
  <c r="W127" i="9" s="1"/>
  <c r="U127" i="9"/>
  <c r="T127" i="9"/>
  <c r="V126" i="9" a="1"/>
  <c r="W126" i="9" s="1"/>
  <c r="U126" i="9"/>
  <c r="T126" i="9"/>
  <c r="V125" i="9" a="1"/>
  <c r="W125" i="9" s="1"/>
  <c r="U125" i="9"/>
  <c r="T125" i="9"/>
  <c r="V124" i="9" a="1"/>
  <c r="W124" i="9" s="1"/>
  <c r="U124" i="9"/>
  <c r="T124" i="9"/>
  <c r="V123" i="9" a="1"/>
  <c r="W123" i="9" s="1"/>
  <c r="U123" i="9"/>
  <c r="T123" i="9"/>
  <c r="V122" i="9" a="1"/>
  <c r="W122" i="9" s="1"/>
  <c r="U122" i="9"/>
  <c r="T122" i="9"/>
  <c r="V121" i="9" a="1"/>
  <c r="W121" i="9" s="1"/>
  <c r="U121" i="9"/>
  <c r="T121" i="9"/>
  <c r="V120" i="9" a="1"/>
  <c r="W120" i="9" s="1"/>
  <c r="U120" i="9"/>
  <c r="T120" i="9"/>
  <c r="V119" i="9" a="1"/>
  <c r="W119" i="9" s="1"/>
  <c r="U119" i="9"/>
  <c r="T119" i="9"/>
  <c r="V118" i="9" a="1"/>
  <c r="W118" i="9" s="1"/>
  <c r="U118" i="9"/>
  <c r="T118" i="9"/>
  <c r="V117" i="9" a="1"/>
  <c r="W117" i="9" s="1"/>
  <c r="U117" i="9"/>
  <c r="T117" i="9"/>
  <c r="V116" i="9" a="1"/>
  <c r="W116" i="9" s="1"/>
  <c r="U116" i="9"/>
  <c r="T116" i="9"/>
  <c r="V115" i="9" a="1"/>
  <c r="W115" i="9" s="1"/>
  <c r="U115" i="9"/>
  <c r="T115" i="9"/>
  <c r="V114" i="9" a="1"/>
  <c r="W114" i="9" s="1"/>
  <c r="U114" i="9"/>
  <c r="T114" i="9"/>
  <c r="V113" i="9" a="1"/>
  <c r="W113" i="9" s="1"/>
  <c r="U113" i="9"/>
  <c r="T113" i="9"/>
  <c r="V112" i="9" a="1"/>
  <c r="W112" i="9" s="1"/>
  <c r="U112" i="9"/>
  <c r="T112" i="9"/>
  <c r="V111" i="9" a="1"/>
  <c r="W111" i="9" s="1"/>
  <c r="U111" i="9"/>
  <c r="T111" i="9"/>
  <c r="V110" i="9" a="1"/>
  <c r="W110" i="9" s="1"/>
  <c r="U110" i="9"/>
  <c r="T110" i="9"/>
  <c r="V109" i="9" a="1"/>
  <c r="W109" i="9" s="1"/>
  <c r="U109" i="9"/>
  <c r="T109" i="9"/>
  <c r="V108" i="9" a="1"/>
  <c r="W108" i="9" s="1"/>
  <c r="U108" i="9"/>
  <c r="T108" i="9"/>
  <c r="V107" i="9" a="1"/>
  <c r="W107" i="9" s="1"/>
  <c r="U107" i="9"/>
  <c r="T107" i="9"/>
  <c r="V106" i="9" a="1"/>
  <c r="W106" i="9" s="1"/>
  <c r="U106" i="9"/>
  <c r="T106" i="9"/>
  <c r="V105" i="9" a="1"/>
  <c r="W105" i="9" s="1"/>
  <c r="U105" i="9"/>
  <c r="T105" i="9"/>
  <c r="V104" i="9" a="1"/>
  <c r="W104" i="9" s="1"/>
  <c r="U104" i="9"/>
  <c r="T104" i="9"/>
  <c r="V103" i="9" a="1"/>
  <c r="W103" i="9" s="1"/>
  <c r="U103" i="9"/>
  <c r="T103" i="9"/>
  <c r="V102" i="9" a="1"/>
  <c r="W102" i="9" s="1"/>
  <c r="U102" i="9"/>
  <c r="T102" i="9"/>
  <c r="V101" i="9" a="1"/>
  <c r="W101" i="9" s="1"/>
  <c r="U101" i="9"/>
  <c r="T101" i="9"/>
  <c r="V100" i="9" a="1"/>
  <c r="W100" i="9" s="1"/>
  <c r="U100" i="9"/>
  <c r="T100" i="9"/>
  <c r="V893" i="9" a="1"/>
  <c r="W893" i="9" s="1"/>
  <c r="V99" i="9" a="1"/>
  <c r="W99" i="9" s="1"/>
  <c r="U99" i="9"/>
  <c r="T99" i="9"/>
  <c r="U893" i="9"/>
  <c r="V98" i="9" a="1"/>
  <c r="W98" i="9" s="1"/>
  <c r="U98" i="9"/>
  <c r="T98" i="9"/>
  <c r="T893" i="9"/>
  <c r="V97" i="9" a="1"/>
  <c r="W97" i="9" s="1"/>
  <c r="U97" i="9"/>
  <c r="T97" i="9"/>
  <c r="T1082" i="9"/>
  <c r="V96" i="9" a="1"/>
  <c r="W96" i="9" s="1"/>
  <c r="U96" i="9"/>
  <c r="T96" i="9"/>
  <c r="V892" i="9" a="1"/>
  <c r="W892" i="9" s="1"/>
  <c r="V95" i="9" a="1"/>
  <c r="W95" i="9" s="1"/>
  <c r="U95" i="9"/>
  <c r="T95" i="9"/>
  <c r="U892" i="9"/>
  <c r="V94" i="9" a="1"/>
  <c r="W94" i="9" s="1"/>
  <c r="U94" i="9"/>
  <c r="T94" i="9"/>
  <c r="T892" i="9"/>
  <c r="V93" i="9" a="1"/>
  <c r="W93" i="9" s="1"/>
  <c r="U93" i="9"/>
  <c r="T93" i="9"/>
  <c r="U1082" i="9"/>
  <c r="V92" i="9" a="1"/>
  <c r="W92" i="9" s="1"/>
  <c r="U92" i="9"/>
  <c r="T92" i="9"/>
  <c r="V891" i="9" a="1"/>
  <c r="W891" i="9" s="1"/>
  <c r="V91" i="9" a="1"/>
  <c r="W91" i="9" s="1"/>
  <c r="U91" i="9"/>
  <c r="T91" i="9"/>
  <c r="U891" i="9"/>
  <c r="V90" i="9" a="1"/>
  <c r="W90" i="9" s="1"/>
  <c r="U90" i="9"/>
  <c r="T90" i="9"/>
  <c r="T891" i="9"/>
  <c r="V89" i="9" a="1"/>
  <c r="W89" i="9" s="1"/>
  <c r="U89" i="9"/>
  <c r="T89" i="9"/>
  <c r="V1082" i="9" a="1"/>
  <c r="W1082" i="9" s="1"/>
  <c r="V88" i="9" a="1"/>
  <c r="W88" i="9" s="1"/>
  <c r="U88" i="9"/>
  <c r="T88" i="9"/>
  <c r="V890" i="9" a="1"/>
  <c r="W890" i="9" s="1"/>
  <c r="V87" i="9" a="1"/>
  <c r="W87" i="9" s="1"/>
  <c r="U87" i="9"/>
  <c r="T87" i="9"/>
  <c r="U890" i="9"/>
  <c r="V86" i="9" a="1"/>
  <c r="W86" i="9" s="1"/>
  <c r="U86" i="9"/>
  <c r="T86" i="9"/>
  <c r="T890" i="9"/>
  <c r="V85" i="9" a="1"/>
  <c r="W85" i="9" s="1"/>
  <c r="U85" i="9"/>
  <c r="T85" i="9"/>
  <c r="T1083" i="9"/>
  <c r="V84" i="9" a="1"/>
  <c r="W84" i="9" s="1"/>
  <c r="U84" i="9"/>
  <c r="T84" i="9"/>
  <c r="V889" i="9" a="1"/>
  <c r="W889" i="9" s="1"/>
  <c r="V81" i="9" a="1"/>
  <c r="W81" i="9" s="1"/>
  <c r="U81" i="9"/>
  <c r="T81" i="9"/>
  <c r="V80" i="9" a="1"/>
  <c r="W80" i="9" s="1"/>
  <c r="U80" i="9"/>
  <c r="T80" i="9"/>
  <c r="G43" i="9"/>
  <c r="G64" i="9"/>
  <c r="G62" i="9"/>
  <c r="G61" i="9"/>
  <c r="G37" i="9"/>
  <c r="G76" i="9"/>
  <c r="G78" i="9"/>
  <c r="G59" i="9"/>
  <c r="G39" i="9"/>
  <c r="G54" i="9"/>
  <c r="G77" i="9"/>
  <c r="G57" i="9"/>
  <c r="G40" i="9"/>
  <c r="G35" i="9"/>
  <c r="G36" i="9"/>
  <c r="G55" i="9"/>
  <c r="G32" i="9"/>
  <c r="H32" i="9" s="1"/>
  <c r="G47" i="9"/>
  <c r="G58" i="9"/>
  <c r="G52" i="9"/>
  <c r="G75" i="9"/>
  <c r="G56" i="9"/>
  <c r="G45" i="9"/>
  <c r="G48" i="9"/>
  <c r="G33" i="9"/>
  <c r="H33" i="9" s="1"/>
  <c r="G51" i="9"/>
  <c r="G41" i="9"/>
  <c r="G44" i="9"/>
  <c r="G79" i="9"/>
  <c r="G38" i="9"/>
  <c r="H38" i="9" s="1"/>
  <c r="G74" i="9"/>
  <c r="G73" i="9"/>
  <c r="G72" i="9"/>
  <c r="G71" i="9"/>
  <c r="G70" i="9"/>
  <c r="G34" i="9"/>
  <c r="H34" i="9" s="1"/>
  <c r="G69" i="9"/>
  <c r="H69" i="9" s="1"/>
  <c r="G63" i="9"/>
  <c r="H63" i="9" s="1"/>
  <c r="G68" i="9"/>
  <c r="H68" i="9" s="1"/>
  <c r="G50" i="9"/>
  <c r="H50" i="9" s="1"/>
  <c r="G67" i="9"/>
  <c r="H67" i="9" s="1"/>
  <c r="G66" i="9"/>
  <c r="H66" i="9" s="1"/>
  <c r="G60" i="9"/>
  <c r="H60" i="9" s="1"/>
  <c r="G65" i="9"/>
  <c r="H65" i="9" s="1"/>
  <c r="G53" i="9"/>
  <c r="H53" i="9" s="1"/>
  <c r="G49" i="9"/>
  <c r="H49" i="9" s="1"/>
  <c r="G46" i="9"/>
  <c r="H46" i="9" s="1"/>
  <c r="G42" i="9"/>
  <c r="H42" i="9" s="1"/>
  <c r="AH14" i="9"/>
  <c r="AH15" i="9" s="1"/>
  <c r="AG14" i="9"/>
  <c r="AI14" i="9"/>
  <c r="AI15" i="9" s="1"/>
  <c r="T31" i="9"/>
  <c r="V29" i="9" a="1"/>
  <c r="W29" i="9" s="1"/>
  <c r="U29" i="9"/>
  <c r="T29" i="9"/>
  <c r="V25" i="9" a="1"/>
  <c r="W25" i="9" s="1"/>
  <c r="U25" i="9"/>
  <c r="T25" i="9"/>
  <c r="V22" i="9" a="1"/>
  <c r="W22" i="9" s="1"/>
  <c r="U22" i="9"/>
  <c r="T22" i="9"/>
  <c r="V19" i="9" a="1"/>
  <c r="W19" i="9" s="1"/>
  <c r="U19" i="9"/>
  <c r="T19" i="9"/>
  <c r="V54" i="9" a="1"/>
  <c r="W54" i="9" s="1"/>
  <c r="V23" i="9" a="1"/>
  <c r="W23" i="9" s="1"/>
  <c r="U54" i="9"/>
  <c r="T54" i="9"/>
  <c r="V41" i="9" a="1"/>
  <c r="W41" i="9" s="1"/>
  <c r="U23" i="9"/>
  <c r="V51" i="9" a="1"/>
  <c r="W51" i="9" s="1"/>
  <c r="U51" i="9"/>
  <c r="T23" i="9"/>
  <c r="U41" i="9"/>
  <c r="T51" i="9"/>
  <c r="V47" i="9" a="1"/>
  <c r="W47" i="9" s="1"/>
  <c r="V20" i="9" a="1"/>
  <c r="W20" i="9" s="1"/>
  <c r="U47" i="9"/>
  <c r="T41" i="9"/>
  <c r="T47" i="9"/>
  <c r="U20" i="9"/>
  <c r="V43" i="9" a="1"/>
  <c r="W43" i="9" s="1"/>
  <c r="T20" i="9"/>
  <c r="U43" i="9"/>
  <c r="T43" i="9"/>
  <c r="V17" i="9" a="1"/>
  <c r="W17" i="9" s="1"/>
  <c r="V38" i="9" a="1"/>
  <c r="W38" i="9" s="1"/>
  <c r="V37" i="9" a="1"/>
  <c r="W37" i="9" s="1"/>
  <c r="U37" i="9"/>
  <c r="U17" i="9"/>
  <c r="T37" i="9"/>
  <c r="U38" i="9"/>
  <c r="T17" i="9"/>
  <c r="V33" i="9" a="1"/>
  <c r="W33" i="9" s="1"/>
  <c r="U33" i="9"/>
  <c r="T38" i="9"/>
  <c r="T33" i="9"/>
  <c r="U44" i="9"/>
  <c r="V59" i="9" a="1"/>
  <c r="W59" i="9" s="1"/>
  <c r="V30" i="9" a="1"/>
  <c r="W30" i="9" s="1"/>
  <c r="U30" i="9"/>
  <c r="U59" i="9"/>
  <c r="T30" i="9"/>
  <c r="V34" i="9" a="1"/>
  <c r="W34" i="9" s="1"/>
  <c r="V50" i="9" a="1"/>
  <c r="W50" i="9" s="1"/>
  <c r="T59" i="9"/>
  <c r="V14" i="9" a="1"/>
  <c r="W14" i="9" s="1"/>
  <c r="U14" i="9"/>
  <c r="U34" i="9"/>
  <c r="V57" i="9" a="1"/>
  <c r="W57" i="9" s="1"/>
  <c r="T14" i="9"/>
  <c r="U50" i="9"/>
  <c r="V13" i="9" a="1"/>
  <c r="W13" i="9" s="1"/>
  <c r="U57" i="9"/>
  <c r="T34" i="9"/>
  <c r="U13" i="9"/>
  <c r="T13" i="9"/>
  <c r="T57" i="9"/>
  <c r="T50" i="9"/>
  <c r="V55" i="9" a="1"/>
  <c r="W55" i="9" s="1"/>
  <c r="U55" i="9"/>
  <c r="T55" i="9"/>
  <c r="V27" i="9" a="1"/>
  <c r="W27" i="9" s="1"/>
  <c r="V52" i="9" a="1"/>
  <c r="W52" i="9" s="1"/>
  <c r="U52" i="9"/>
  <c r="V60" i="9" a="1"/>
  <c r="W60" i="9" s="1"/>
  <c r="U60" i="9"/>
  <c r="T52" i="9"/>
  <c r="U27" i="9"/>
  <c r="T60" i="9"/>
  <c r="V45" i="9" a="1"/>
  <c r="W45" i="9" s="1"/>
  <c r="V48" i="9" a="1"/>
  <c r="W48" i="9" s="1"/>
  <c r="U48" i="9"/>
  <c r="T27" i="9"/>
  <c r="V58" i="9" a="1"/>
  <c r="W58" i="9" s="1"/>
  <c r="T48" i="9"/>
  <c r="U58" i="9"/>
  <c r="U45" i="9"/>
  <c r="V26" i="9" a="1"/>
  <c r="W26" i="9" s="1"/>
  <c r="V53" i="9" a="1"/>
  <c r="W53" i="9" s="1"/>
  <c r="U53" i="9"/>
  <c r="T53" i="9"/>
  <c r="V44" i="9" a="1"/>
  <c r="W44" i="9" s="1"/>
  <c r="V49" i="9" a="1"/>
  <c r="W49" i="9" s="1"/>
  <c r="U49" i="9"/>
  <c r="T49" i="9"/>
  <c r="T44" i="9"/>
  <c r="V46" i="9" a="1"/>
  <c r="W46" i="9" s="1"/>
  <c r="U46" i="9"/>
  <c r="T46" i="9"/>
  <c r="V40" i="9" a="1"/>
  <c r="W40" i="9" s="1"/>
  <c r="V42" i="9" a="1"/>
  <c r="W42" i="9" s="1"/>
  <c r="U42" i="9"/>
  <c r="T42" i="9"/>
  <c r="V39" i="9" a="1"/>
  <c r="W39" i="9" s="1"/>
  <c r="U40" i="9"/>
  <c r="T40" i="9"/>
  <c r="U39" i="9"/>
  <c r="V36" i="9" a="1"/>
  <c r="W36" i="9" s="1"/>
  <c r="U36" i="9"/>
  <c r="T36" i="9"/>
  <c r="T39" i="9"/>
  <c r="V32" i="9" a="1"/>
  <c r="W32" i="9" s="1"/>
  <c r="U32" i="9"/>
  <c r="T32" i="9"/>
  <c r="V35" i="9" a="1"/>
  <c r="W35" i="9" s="1"/>
  <c r="V28" i="9" a="1"/>
  <c r="W28" i="9" s="1"/>
  <c r="U28" i="9"/>
  <c r="T28" i="9"/>
  <c r="V24" i="9" a="1"/>
  <c r="W24" i="9" s="1"/>
  <c r="U24" i="9"/>
  <c r="T24" i="9"/>
  <c r="V21" i="9" a="1"/>
  <c r="W21" i="9" s="1"/>
  <c r="U21" i="9"/>
  <c r="T21" i="9"/>
  <c r="V18" i="9" a="1"/>
  <c r="W18" i="9" s="1"/>
  <c r="U18" i="9"/>
  <c r="T18" i="9"/>
  <c r="V16" i="9" a="1"/>
  <c r="W16" i="9" s="1"/>
  <c r="U16" i="9"/>
  <c r="T16" i="9"/>
  <c r="V15" i="9" a="1"/>
  <c r="W15" i="9" s="1"/>
  <c r="U15" i="9"/>
  <c r="T15" i="9"/>
  <c r="U35" i="9"/>
  <c r="T35" i="9"/>
  <c r="V31" i="9" a="1"/>
  <c r="W31" i="9" s="1"/>
  <c r="T58" i="9"/>
  <c r="U31" i="9"/>
  <c r="V56" i="9" a="1"/>
  <c r="W56" i="9" s="1"/>
  <c r="U26" i="9"/>
  <c r="T45" i="9"/>
  <c r="U56" i="9"/>
  <c r="T56" i="9"/>
  <c r="T26" i="9"/>
  <c r="AV12" i="9" a="1"/>
  <c r="H3" i="8" s="1" a="1"/>
  <c r="BG28" i="5" l="1"/>
  <c r="BG29" i="5" s="1"/>
  <c r="M1849" i="9"/>
  <c r="M2209" i="9"/>
  <c r="M2220" i="9"/>
  <c r="M2226" i="9"/>
  <c r="M2237" i="9"/>
  <c r="M1855" i="9"/>
  <c r="M1863" i="9"/>
  <c r="M1877" i="9"/>
  <c r="M1881" i="9"/>
  <c r="M2166" i="9"/>
  <c r="M2171" i="9"/>
  <c r="M2175" i="9"/>
  <c r="M2212" i="9"/>
  <c r="M2219" i="9"/>
  <c r="M2229" i="9"/>
  <c r="M2236" i="9"/>
  <c r="M1848" i="9"/>
  <c r="M1857" i="9"/>
  <c r="M1864" i="9"/>
  <c r="M1873" i="9"/>
  <c r="M1883" i="9"/>
  <c r="M2169" i="9"/>
  <c r="M2176" i="9"/>
  <c r="M2213" i="9"/>
  <c r="M2223" i="9"/>
  <c r="M2230" i="9"/>
  <c r="M2239" i="9"/>
  <c r="M2207" i="9"/>
  <c r="M2215" i="9"/>
  <c r="M2224" i="9"/>
  <c r="M2228" i="9"/>
  <c r="M2235" i="9"/>
  <c r="M1843" i="9"/>
  <c r="M2210" i="9"/>
  <c r="M2221" i="9"/>
  <c r="M2233" i="9"/>
  <c r="M1845" i="9"/>
  <c r="M1859" i="9"/>
  <c r="M1871" i="9"/>
  <c r="M1885" i="9"/>
  <c r="M2172" i="9"/>
  <c r="M2217" i="9"/>
  <c r="M1840" i="9"/>
  <c r="M1851" i="9"/>
  <c r="M1867" i="9"/>
  <c r="M1875"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1" i="9"/>
  <c r="M1852" i="9"/>
  <c r="M1858" i="9"/>
  <c r="M1865" i="9"/>
  <c r="M1874" i="9"/>
  <c r="M1880" i="9"/>
  <c r="M1886"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846" i="9"/>
  <c r="M1854" i="9"/>
  <c r="M1861" i="9"/>
  <c r="M1868" i="9"/>
  <c r="M1876" i="9"/>
  <c r="M1882" i="9"/>
  <c r="M1888" i="9"/>
  <c r="M1923" i="9"/>
  <c r="M1924" i="9"/>
  <c r="M1925" i="9"/>
  <c r="M1926" i="9"/>
  <c r="M1927" i="9"/>
  <c r="M1928" i="9"/>
  <c r="M1929" i="9"/>
  <c r="M1930" i="9"/>
  <c r="M1931" i="9"/>
  <c r="M1932" i="9"/>
  <c r="M1933" i="9"/>
  <c r="M1934" i="9"/>
  <c r="M1935" i="9"/>
  <c r="M1936" i="9"/>
  <c r="M1937" i="9"/>
  <c r="M1938" i="9"/>
  <c r="M1939" i="9"/>
  <c r="M1940" i="9"/>
  <c r="M1941" i="9"/>
  <c r="M1942" i="9"/>
  <c r="M2150" i="9"/>
  <c r="M2151" i="9"/>
  <c r="M2152" i="9"/>
  <c r="M2153" i="9"/>
  <c r="M2154" i="9"/>
  <c r="M2155" i="9"/>
  <c r="M2156" i="9"/>
  <c r="M2157" i="9"/>
  <c r="M2158" i="9"/>
  <c r="M2159" i="9"/>
  <c r="M2160" i="9"/>
  <c r="M2161" i="9"/>
  <c r="M2162" i="9"/>
  <c r="M2163" i="9"/>
  <c r="M2164" i="9"/>
  <c r="M2165" i="9"/>
  <c r="M1844" i="9"/>
  <c r="M1869" i="9"/>
  <c r="M1879" i="9"/>
  <c r="M1887" i="9"/>
  <c r="M2170" i="9"/>
  <c r="M2174"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1847" i="9"/>
  <c r="M1856" i="9"/>
  <c r="M2211" i="9"/>
  <c r="M2216" i="9"/>
  <c r="M2225" i="9"/>
  <c r="M2231" i="9"/>
  <c r="M2232" i="9"/>
  <c r="M2238" i="9"/>
  <c r="M2241" i="9"/>
  <c r="M2242" i="9"/>
  <c r="M2243" i="9"/>
  <c r="M2244" i="9"/>
  <c r="M2245" i="9"/>
  <c r="M2246" i="9"/>
  <c r="M2247" i="9"/>
  <c r="M2248" i="9"/>
  <c r="M1850" i="9"/>
  <c r="M1862" i="9"/>
  <c r="M1870" i="9"/>
  <c r="M2167" i="9"/>
  <c r="M2173" i="9"/>
  <c r="M2218" i="9"/>
  <c r="M2249" i="9"/>
  <c r="M1842" i="9"/>
  <c r="M1853" i="9"/>
  <c r="M1860" i="9"/>
  <c r="M1866" i="9"/>
  <c r="M1872" i="9"/>
  <c r="M1878" i="9"/>
  <c r="M1884" i="9"/>
  <c r="M2168" i="9"/>
  <c r="M2208" i="9"/>
  <c r="M2214" i="9"/>
  <c r="M2222" i="9"/>
  <c r="M2227" i="9"/>
  <c r="M2234" i="9"/>
  <c r="M2240" i="9"/>
  <c r="M1689" i="9"/>
  <c r="J444" i="9"/>
  <c r="J449" i="9"/>
  <c r="J453" i="9"/>
  <c r="J458" i="9"/>
  <c r="J463" i="9"/>
  <c r="J468" i="9"/>
  <c r="J473"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447" i="9"/>
  <c r="J452" i="9"/>
  <c r="J457" i="9"/>
  <c r="J462" i="9"/>
  <c r="J467" i="9"/>
  <c r="J472" i="9"/>
  <c r="J474" i="9"/>
  <c r="J514" i="9"/>
  <c r="J517" i="9"/>
  <c r="J521" i="9"/>
  <c r="J524" i="9"/>
  <c r="J670" i="9"/>
  <c r="J672" i="9"/>
  <c r="J673" i="9"/>
  <c r="J677" i="9"/>
  <c r="J678" i="9"/>
  <c r="J679" i="9"/>
  <c r="J680" i="9"/>
  <c r="J681" i="9"/>
  <c r="J682" i="9"/>
  <c r="J684" i="9"/>
  <c r="J683" i="9"/>
  <c r="J685" i="9"/>
  <c r="J445" i="9"/>
  <c r="J450" i="9"/>
  <c r="J455" i="9"/>
  <c r="J460" i="9"/>
  <c r="J465" i="9"/>
  <c r="J470" i="9"/>
  <c r="J476" i="9"/>
  <c r="J515" i="9"/>
  <c r="J519" i="9"/>
  <c r="J522" i="9"/>
  <c r="J525" i="9"/>
  <c r="J674" i="9"/>
  <c r="J446" i="9"/>
  <c r="J451" i="9"/>
  <c r="J456" i="9"/>
  <c r="J461" i="9"/>
  <c r="J466" i="9"/>
  <c r="J471" i="9"/>
  <c r="J475" i="9"/>
  <c r="J513" i="9"/>
  <c r="J518" i="9"/>
  <c r="J520" i="9"/>
  <c r="J523" i="9"/>
  <c r="J669" i="9"/>
  <c r="J671" i="9"/>
  <c r="J675" i="9"/>
  <c r="J448" i="9"/>
  <c r="J454" i="9"/>
  <c r="J459" i="9"/>
  <c r="J464" i="9"/>
  <c r="J469" i="9"/>
  <c r="J477" i="9"/>
  <c r="J516" i="9"/>
  <c r="J676" i="9"/>
  <c r="J438" i="9"/>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AF4" i="9"/>
  <c r="AG15" i="9"/>
  <c r="A3" i="8" a="1"/>
  <c r="M2613" i="9"/>
  <c r="M1718" i="9"/>
  <c r="M2087" i="9"/>
  <c r="M2020" i="9"/>
  <c r="M1717" i="9"/>
  <c r="M1716" i="9"/>
  <c r="M2086" i="9"/>
  <c r="M2287" i="9"/>
  <c r="M2283" i="9"/>
  <c r="M2279" i="9"/>
  <c r="M2277" i="9"/>
  <c r="M2274" i="9"/>
  <c r="M2270" i="9"/>
  <c r="M2266" i="9"/>
  <c r="M2254" i="9"/>
  <c r="M1715" i="9"/>
  <c r="M2019" i="9"/>
  <c r="M1714" i="9"/>
  <c r="M2085" i="9"/>
  <c r="M1713" i="9"/>
  <c r="M1712" i="9"/>
  <c r="M2018" i="9"/>
  <c r="M2084" i="9"/>
  <c r="M1711" i="9"/>
  <c r="M1710" i="9"/>
  <c r="M1709" i="9"/>
  <c r="M2083" i="9"/>
  <c r="M2017" i="9"/>
  <c r="M1708" i="9"/>
  <c r="M1707" i="9"/>
  <c r="M2082" i="9"/>
  <c r="M1706" i="9"/>
  <c r="M2016" i="9"/>
  <c r="M1705" i="9"/>
  <c r="M2081" i="9"/>
  <c r="M1704" i="9"/>
  <c r="M1703" i="9"/>
  <c r="M2488" i="9"/>
  <c r="M2487" i="9"/>
  <c r="M2486" i="9"/>
  <c r="M2485" i="9"/>
  <c r="M2484" i="9"/>
  <c r="M2483" i="9"/>
  <c r="M2482" i="9"/>
  <c r="M2481" i="9"/>
  <c r="M2480" i="9"/>
  <c r="M2479" i="9"/>
  <c r="M2478" i="9"/>
  <c r="M2477" i="9"/>
  <c r="M2476" i="9"/>
  <c r="M2475" i="9"/>
  <c r="M2474" i="9"/>
  <c r="M2473" i="9"/>
  <c r="M2472" i="9"/>
  <c r="M2471" i="9"/>
  <c r="M2470" i="9"/>
  <c r="M2468" i="9"/>
  <c r="M2466" i="9"/>
  <c r="M2465" i="9"/>
  <c r="M2463" i="9"/>
  <c r="M2461" i="9"/>
  <c r="M2459" i="9"/>
  <c r="M2457" i="9"/>
  <c r="M2455" i="9"/>
  <c r="M2453" i="9"/>
  <c r="M2452" i="9"/>
  <c r="M2451" i="9"/>
  <c r="M2449" i="9"/>
  <c r="M2447" i="9"/>
  <c r="M2445" i="9"/>
  <c r="M2443" i="9"/>
  <c r="M2441" i="9"/>
  <c r="M2439" i="9"/>
  <c r="M2434" i="9"/>
  <c r="M2431" i="9"/>
  <c r="M2365" i="9"/>
  <c r="M2286" i="9"/>
  <c r="M2428" i="9"/>
  <c r="M2425" i="9"/>
  <c r="M2421" i="9"/>
  <c r="M2417" i="9"/>
  <c r="M2413" i="9"/>
  <c r="M2409" i="9"/>
  <c r="M2405" i="9"/>
  <c r="M2401" i="9"/>
  <c r="M2396" i="9"/>
  <c r="M2393" i="9"/>
  <c r="M2391" i="9"/>
  <c r="M2387" i="9"/>
  <c r="M2383" i="9"/>
  <c r="M2379" i="9"/>
  <c r="M2375" i="9"/>
  <c r="M2371" i="9"/>
  <c r="M2363" i="9"/>
  <c r="M2335" i="9"/>
  <c r="M2314" i="9"/>
  <c r="M2359" i="9"/>
  <c r="M2349" i="9"/>
  <c r="M2337" i="9"/>
  <c r="M2289" i="9"/>
  <c r="M2259" i="9"/>
  <c r="M2293" i="9"/>
  <c r="M2273" i="9"/>
  <c r="M1701" i="9"/>
  <c r="M2014" i="9"/>
  <c r="M1697" i="9"/>
  <c r="M2077" i="9"/>
  <c r="M2012" i="9"/>
  <c r="M1692" i="9"/>
  <c r="M2011" i="9"/>
  <c r="M2010" i="9"/>
  <c r="M2073" i="9"/>
  <c r="M2005" i="9"/>
  <c r="M2003" i="9"/>
  <c r="M2001" i="9"/>
  <c r="M2070" i="9"/>
  <c r="M1996" i="9"/>
  <c r="M1994" i="9"/>
  <c r="M1992" i="9"/>
  <c r="M2067" i="9"/>
  <c r="M1988" i="9"/>
  <c r="M2148" i="9"/>
  <c r="M2366" i="9"/>
  <c r="M2344" i="9"/>
  <c r="M2295" i="9"/>
  <c r="M2261" i="9"/>
  <c r="M1983" i="9"/>
  <c r="M1741" i="9"/>
  <c r="M1980" i="9"/>
  <c r="M1977" i="9"/>
  <c r="M1975" i="9"/>
  <c r="M1972" i="9"/>
  <c r="M1971" i="9"/>
  <c r="M1967" i="9"/>
  <c r="M1965" i="9"/>
  <c r="M1963" i="9"/>
  <c r="M1961" i="9"/>
  <c r="M1959" i="9"/>
  <c r="M1957" i="9"/>
  <c r="M2055" i="9"/>
  <c r="M2340" i="9"/>
  <c r="M2313" i="9"/>
  <c r="M2268" i="9"/>
  <c r="M2133" i="9"/>
  <c r="M2054" i="9"/>
  <c r="M1949" i="9"/>
  <c r="M1947" i="9"/>
  <c r="M1945" i="9"/>
  <c r="M2051" i="9"/>
  <c r="M1809" i="9"/>
  <c r="M2126" i="9"/>
  <c r="M1804" i="9"/>
  <c r="M1802" i="9"/>
  <c r="M2047" i="9"/>
  <c r="M2046" i="9"/>
  <c r="M2120" i="9"/>
  <c r="M2044" i="9"/>
  <c r="M2043" i="9"/>
  <c r="M2503" i="9"/>
  <c r="M2354" i="9"/>
  <c r="M2322" i="9"/>
  <c r="M2297" i="9"/>
  <c r="M2256" i="9"/>
  <c r="M2041" i="9"/>
  <c r="M1778" i="9"/>
  <c r="M1774" i="9"/>
  <c r="M1771" i="9"/>
  <c r="M2109" i="9"/>
  <c r="M1766" i="9"/>
  <c r="M1763" i="9"/>
  <c r="M1760" i="9"/>
  <c r="M2104" i="9"/>
  <c r="M2032" i="9"/>
  <c r="M2031" i="9"/>
  <c r="M1749" i="9"/>
  <c r="M2641" i="9"/>
  <c r="M2635" i="9"/>
  <c r="M2629" i="9"/>
  <c r="M2625" i="9"/>
  <c r="M2620" i="9"/>
  <c r="M2030" i="9"/>
  <c r="M2606" i="9"/>
  <c r="M2599" i="9"/>
  <c r="M2592" i="9"/>
  <c r="M2585" i="9"/>
  <c r="M2578" i="9"/>
  <c r="M2571" i="9"/>
  <c r="M2564" i="9"/>
  <c r="M2557" i="9"/>
  <c r="M2549" i="9"/>
  <c r="M2543" i="9"/>
  <c r="M2536" i="9"/>
  <c r="M2529" i="9"/>
  <c r="M2522" i="9"/>
  <c r="M2514" i="9"/>
  <c r="M2509" i="9"/>
  <c r="M2500" i="9"/>
  <c r="M2489" i="9"/>
  <c r="M2318" i="9"/>
  <c r="M2288" i="9"/>
  <c r="M2029" i="9"/>
  <c r="M1742" i="9"/>
  <c r="M1738" i="9"/>
  <c r="M2094" i="9"/>
  <c r="M2024" i="9"/>
  <c r="M1726" i="9"/>
  <c r="M1722" i="9"/>
  <c r="J1400" i="9"/>
  <c r="J1570" i="9"/>
  <c r="J1526" i="9"/>
  <c r="J1395" i="9"/>
  <c r="J1287" i="9"/>
  <c r="J1391" i="9"/>
  <c r="J1389" i="9"/>
  <c r="J1643" i="9"/>
  <c r="J1603" i="9"/>
  <c r="J1680" i="9"/>
  <c r="J1380" i="9"/>
  <c r="J1651" i="9"/>
  <c r="J1614" i="9"/>
  <c r="J1257" i="9"/>
  <c r="J1371" i="9"/>
  <c r="J1517" i="9"/>
  <c r="J1502" i="9"/>
  <c r="J1242" i="9"/>
  <c r="J1362" i="9"/>
  <c r="J1172" i="9"/>
  <c r="J1355" i="9"/>
  <c r="J1566" i="9"/>
  <c r="J1346" i="9"/>
  <c r="J1470" i="9"/>
  <c r="J1337" i="9"/>
  <c r="J1171" i="9"/>
  <c r="J930" i="9"/>
  <c r="J937" i="9"/>
  <c r="J944" i="9"/>
  <c r="J1063" i="9"/>
  <c r="J957" i="9"/>
  <c r="J964" i="9"/>
  <c r="J1056" i="9"/>
  <c r="J1054" i="9"/>
  <c r="J984" i="9"/>
  <c r="J991" i="9"/>
  <c r="J998" i="9"/>
  <c r="J1045" i="9"/>
  <c r="J1011" i="9"/>
  <c r="J1018" i="9"/>
  <c r="J1025" i="9"/>
  <c r="J1036" i="9"/>
  <c r="J778" i="9"/>
  <c r="H48" i="9"/>
  <c r="M2760" i="9"/>
  <c r="M2759" i="9"/>
  <c r="M2758" i="9"/>
  <c r="M2757" i="9"/>
  <c r="M2756" i="9"/>
  <c r="M2755" i="9"/>
  <c r="M2754" i="9"/>
  <c r="M2753" i="9"/>
  <c r="M2752" i="9"/>
  <c r="M2751" i="9"/>
  <c r="M2750" i="9"/>
  <c r="M2749" i="9"/>
  <c r="M2748" i="9"/>
  <c r="M2747" i="9"/>
  <c r="M2746" i="9"/>
  <c r="M2745" i="9"/>
  <c r="M2744" i="9"/>
  <c r="M2743" i="9"/>
  <c r="M2742" i="9"/>
  <c r="M2741" i="9"/>
  <c r="M2740" i="9"/>
  <c r="M2739" i="9"/>
  <c r="M2738" i="9"/>
  <c r="M2737" i="9"/>
  <c r="M2736" i="9"/>
  <c r="M2735" i="9"/>
  <c r="M2734" i="9"/>
  <c r="M2733" i="9"/>
  <c r="M2732" i="9"/>
  <c r="M2731" i="9"/>
  <c r="M2730" i="9"/>
  <c r="M2729" i="9"/>
  <c r="M2728" i="9"/>
  <c r="M2727" i="9"/>
  <c r="M2726" i="9"/>
  <c r="M2725" i="9"/>
  <c r="M2724" i="9"/>
  <c r="M2723" i="9"/>
  <c r="M2722" i="9"/>
  <c r="M2721" i="9"/>
  <c r="M2720" i="9"/>
  <c r="M2719" i="9"/>
  <c r="M2718" i="9"/>
  <c r="M2717" i="9"/>
  <c r="M2716" i="9"/>
  <c r="M2715" i="9"/>
  <c r="M2714" i="9"/>
  <c r="M2713" i="9"/>
  <c r="M2712" i="9"/>
  <c r="M2711" i="9"/>
  <c r="M2710" i="9"/>
  <c r="M2709" i="9"/>
  <c r="M2708" i="9"/>
  <c r="M2707" i="9"/>
  <c r="M2706" i="9"/>
  <c r="M2705" i="9"/>
  <c r="M2704" i="9"/>
  <c r="M2703" i="9"/>
  <c r="M2702" i="9"/>
  <c r="M2701" i="9"/>
  <c r="M2700" i="9"/>
  <c r="M2699" i="9"/>
  <c r="M2698" i="9"/>
  <c r="M2697" i="9"/>
  <c r="M2696" i="9"/>
  <c r="M2695" i="9"/>
  <c r="M2694" i="9"/>
  <c r="M2693" i="9"/>
  <c r="M2692" i="9"/>
  <c r="M2691" i="9"/>
  <c r="M2690" i="9"/>
  <c r="M2689" i="9"/>
  <c r="M2688" i="9"/>
  <c r="M2687" i="9"/>
  <c r="M2686" i="9"/>
  <c r="M2685" i="9"/>
  <c r="M2684" i="9"/>
  <c r="M2683" i="9"/>
  <c r="M2682" i="9"/>
  <c r="M2681" i="9"/>
  <c r="M2680" i="9"/>
  <c r="M2679" i="9"/>
  <c r="M2678" i="9"/>
  <c r="M2677" i="9"/>
  <c r="M2676" i="9"/>
  <c r="M2675" i="9"/>
  <c r="M2674" i="9"/>
  <c r="M2673" i="9"/>
  <c r="M2672" i="9"/>
  <c r="M2671" i="9"/>
  <c r="M2670" i="9"/>
  <c r="M2669" i="9"/>
  <c r="M2668" i="9"/>
  <c r="M2667" i="9"/>
  <c r="M2666" i="9"/>
  <c r="M2665" i="9"/>
  <c r="M2664" i="9"/>
  <c r="M2663" i="9"/>
  <c r="M2662" i="9"/>
  <c r="M2661" i="9"/>
  <c r="M2660" i="9"/>
  <c r="M2659" i="9"/>
  <c r="M2658" i="9"/>
  <c r="M2657" i="9"/>
  <c r="M2656" i="9"/>
  <c r="M2655" i="9"/>
  <c r="M2654" i="9"/>
  <c r="M2653" i="9"/>
  <c r="M2652" i="9"/>
  <c r="M2651" i="9"/>
  <c r="M2650" i="9"/>
  <c r="M2649" i="9"/>
  <c r="M2648" i="9"/>
  <c r="M2647" i="9"/>
  <c r="M2646" i="9"/>
  <c r="M2645" i="9"/>
  <c r="M2644" i="9"/>
  <c r="M2639" i="9"/>
  <c r="M2633" i="9"/>
  <c r="M2627" i="9"/>
  <c r="M2622" i="9"/>
  <c r="M2614" i="9"/>
  <c r="M2608" i="9"/>
  <c r="M2601" i="9"/>
  <c r="M2594" i="9"/>
  <c r="M2587" i="9"/>
  <c r="M2580" i="9"/>
  <c r="M2573" i="9"/>
  <c r="M2565" i="9"/>
  <c r="M2558" i="9"/>
  <c r="M2552" i="9"/>
  <c r="M2545" i="9"/>
  <c r="M2540" i="9"/>
  <c r="M2533" i="9"/>
  <c r="M2526" i="9"/>
  <c r="M2519" i="9"/>
  <c r="M2512" i="9"/>
  <c r="M2505" i="9"/>
  <c r="M2494" i="9"/>
  <c r="M2350" i="9"/>
  <c r="M2307" i="9"/>
  <c r="M2263" i="9"/>
  <c r="M1747" i="9"/>
  <c r="M1744" i="9"/>
  <c r="M1739" i="9"/>
  <c r="M2026" i="9"/>
  <c r="M2093" i="9"/>
  <c r="M2091" i="9"/>
  <c r="M1723" i="9"/>
  <c r="J1393" i="9"/>
  <c r="J1167" i="9"/>
  <c r="J1388" i="9"/>
  <c r="J1623" i="9"/>
  <c r="J1682" i="9"/>
  <c r="J1561" i="9"/>
  <c r="J1379" i="9"/>
  <c r="J1488" i="9"/>
  <c r="J1272" i="9"/>
  <c r="J1567" i="9"/>
  <c r="J1370" i="9"/>
  <c r="J1508" i="9"/>
  <c r="J1265" i="9"/>
  <c r="J1227" i="9"/>
  <c r="J1633" i="9"/>
  <c r="J1358" i="9"/>
  <c r="J1473" i="9"/>
  <c r="J1349" i="9"/>
  <c r="J1542" i="9"/>
  <c r="J1243" i="9"/>
  <c r="J1335" i="9"/>
  <c r="J926" i="9"/>
  <c r="J1069" i="9"/>
  <c r="J939" i="9"/>
  <c r="J946" i="9"/>
  <c r="J953" i="9"/>
  <c r="J960" i="9"/>
  <c r="J967" i="9"/>
  <c r="J974" i="9"/>
  <c r="J1053" i="9"/>
  <c r="J987" i="9"/>
  <c r="J994" i="9"/>
  <c r="J1001" i="9"/>
  <c r="J1044" i="9"/>
  <c r="J1015" i="9"/>
  <c r="J1022" i="9"/>
  <c r="J1037" i="9"/>
  <c r="J780" i="9"/>
  <c r="H77" i="9"/>
  <c r="H52" i="9"/>
  <c r="H73" i="9"/>
  <c r="J1415" i="9"/>
  <c r="J1413" i="9"/>
  <c r="J1568" i="9"/>
  <c r="J1528" i="9"/>
  <c r="J1408" i="9"/>
  <c r="J1194" i="9"/>
  <c r="J1557" i="9"/>
  <c r="J1511" i="9"/>
  <c r="J1394" i="9"/>
  <c r="J1392" i="9"/>
  <c r="J1164" i="9"/>
  <c r="J1649" i="9"/>
  <c r="J1611" i="9"/>
  <c r="J1383" i="9"/>
  <c r="J1670" i="9"/>
  <c r="J1654" i="9"/>
  <c r="J1485" i="9"/>
  <c r="J1374" i="9"/>
  <c r="J1223" i="9"/>
  <c r="J1523" i="9"/>
  <c r="J1506" i="9"/>
  <c r="J1365" i="9"/>
  <c r="J1650" i="9"/>
  <c r="J1181" i="9"/>
  <c r="J1357" i="9"/>
  <c r="J1582" i="9"/>
  <c r="J1348" i="9"/>
  <c r="J1344" i="9"/>
  <c r="J1340" i="9"/>
  <c r="J1206" i="9"/>
  <c r="J1331" i="9"/>
  <c r="J970" i="9"/>
  <c r="J977" i="9"/>
  <c r="J1052" i="9"/>
  <c r="J990" i="9"/>
  <c r="J997" i="9"/>
  <c r="J1004" i="9"/>
  <c r="J1009" i="9"/>
  <c r="J1016" i="9"/>
  <c r="J1039" i="9"/>
  <c r="J1029" i="9"/>
  <c r="J777" i="9"/>
  <c r="J1174" i="9"/>
  <c r="J1668" i="9"/>
  <c r="J1412" i="9"/>
  <c r="J1537" i="9"/>
  <c r="J1281" i="9"/>
  <c r="J1212" i="9"/>
  <c r="J1405" i="9"/>
  <c r="J1035" i="9"/>
  <c r="J1679" i="9"/>
  <c r="J1632" i="9"/>
  <c r="J1600" i="9"/>
  <c r="J1398" i="9"/>
  <c r="J1519" i="9"/>
  <c r="J1486" i="9"/>
  <c r="J1284" i="9"/>
  <c r="J1204" i="9"/>
  <c r="J1675" i="9"/>
  <c r="J1631" i="9"/>
  <c r="J1384" i="9"/>
  <c r="J1573" i="9"/>
  <c r="J1536" i="9"/>
  <c r="J1648" i="9"/>
  <c r="J1375" i="9"/>
  <c r="J1571" i="9"/>
  <c r="J1191" i="9"/>
  <c r="J1155" i="9"/>
  <c r="J1673" i="9"/>
  <c r="J1364" i="9"/>
  <c r="J1200" i="9"/>
  <c r="J1359" i="9"/>
  <c r="J1150" i="9"/>
  <c r="J1350" i="9"/>
  <c r="J1471" i="9"/>
  <c r="J1341" i="9"/>
  <c r="J1221" i="9"/>
  <c r="J1332" i="9"/>
  <c r="J931" i="9"/>
  <c r="J938" i="9"/>
  <c r="J1065" i="9"/>
  <c r="J951" i="9"/>
  <c r="J958" i="9"/>
  <c r="J965" i="9"/>
  <c r="J972" i="9"/>
  <c r="J979" i="9"/>
  <c r="J986" i="9"/>
  <c r="J1049" i="9"/>
  <c r="J999" i="9"/>
  <c r="J1006" i="9"/>
  <c r="J1013" i="9"/>
  <c r="J1040" i="9"/>
  <c r="J1026" i="9"/>
  <c r="J1033" i="9"/>
  <c r="J776" i="9"/>
  <c r="H62" i="9"/>
  <c r="H39" i="9"/>
  <c r="H36" i="9"/>
  <c r="H51" i="9"/>
  <c r="S4" i="9"/>
  <c r="J1140" i="9"/>
  <c r="J1330" i="9"/>
  <c r="J1467" i="9"/>
  <c r="J1329" i="9"/>
  <c r="J1638" i="9"/>
  <c r="J1328" i="9"/>
  <c r="J1630" i="9"/>
  <c r="J1327" i="9"/>
  <c r="J1617" i="9"/>
  <c r="J1326" i="9"/>
  <c r="J1466" i="9"/>
  <c r="J1325" i="9"/>
  <c r="J1612" i="9"/>
  <c r="J1324" i="9"/>
  <c r="J1599" i="9"/>
  <c r="J1323" i="9"/>
  <c r="J1597" i="9"/>
  <c r="J1322" i="9"/>
  <c r="J1465" i="9"/>
  <c r="J1321" i="9"/>
  <c r="J1593" i="9"/>
  <c r="J1320" i="9"/>
  <c r="J1585" i="9"/>
  <c r="J1319" i="9"/>
  <c r="J1578" i="9"/>
  <c r="J1318" i="9"/>
  <c r="J1464" i="9"/>
  <c r="J1317" i="9"/>
  <c r="J1575" i="9"/>
  <c r="J1316" i="9"/>
  <c r="J1547" i="9"/>
  <c r="J1315" i="9"/>
  <c r="J1531" i="9"/>
  <c r="J1314" i="9"/>
  <c r="J1463" i="9"/>
  <c r="J1313" i="9"/>
  <c r="J1529" i="9"/>
  <c r="J1312" i="9"/>
  <c r="J1493" i="9"/>
  <c r="J1311" i="9"/>
  <c r="J1484" i="9"/>
  <c r="J1310" i="9"/>
  <c r="J1462" i="9"/>
  <c r="J1309" i="9"/>
  <c r="J1289" i="9"/>
  <c r="J1308" i="9"/>
  <c r="J1286" i="9"/>
  <c r="J1307" i="9"/>
  <c r="J1280" i="9"/>
  <c r="J1306" i="9"/>
  <c r="J1461" i="9"/>
  <c r="J1305" i="9"/>
  <c r="J1269" i="9"/>
  <c r="J1304" i="9"/>
  <c r="J1245" i="9"/>
  <c r="J1303" i="9"/>
  <c r="J1236" i="9"/>
  <c r="J1302" i="9"/>
  <c r="J1460" i="9"/>
  <c r="J1301" i="9"/>
  <c r="J1226" i="9"/>
  <c r="J1300" i="9"/>
  <c r="J1202" i="9"/>
  <c r="J1299" i="9"/>
  <c r="J1175" i="9"/>
  <c r="J1298" i="9"/>
  <c r="J1459" i="9"/>
  <c r="J1297" i="9"/>
  <c r="J1161" i="9"/>
  <c r="J1296" i="9"/>
  <c r="J1149" i="9"/>
  <c r="J1295" i="9"/>
  <c r="J1671" i="9"/>
  <c r="J1294" i="9"/>
  <c r="J1458" i="9"/>
  <c r="J1293" i="9"/>
  <c r="J1644" i="9"/>
  <c r="J1292" i="9"/>
  <c r="J1641" i="9"/>
  <c r="J1291" i="9"/>
  <c r="J1626" i="9"/>
  <c r="J1274" i="9"/>
  <c r="J1270" i="9"/>
  <c r="J1457" i="9"/>
  <c r="J1261" i="9"/>
  <c r="J1618" i="9"/>
  <c r="J1234" i="9"/>
  <c r="J1609" i="9"/>
  <c r="J1215" i="9"/>
  <c r="J1586" i="9"/>
  <c r="J1205" i="9"/>
  <c r="J1456" i="9"/>
  <c r="J1188" i="9"/>
  <c r="J1170" i="9"/>
  <c r="J1138" i="9"/>
  <c r="J1577" i="9"/>
  <c r="J1555" i="9"/>
  <c r="J1552" i="9"/>
  <c r="J1135" i="9"/>
  <c r="J1455" i="9"/>
  <c r="J1544" i="9"/>
  <c r="J1532" i="9"/>
  <c r="J1134" i="9"/>
  <c r="J1530" i="9"/>
  <c r="J1454" i="9"/>
  <c r="J1520" i="9"/>
  <c r="J1133" i="9"/>
  <c r="J1518" i="9"/>
  <c r="J1503" i="9"/>
  <c r="J1453" i="9"/>
  <c r="J1132" i="9"/>
  <c r="J1495" i="9"/>
  <c r="J1491" i="9"/>
  <c r="J1290" i="9"/>
  <c r="J1131" i="9"/>
  <c r="J1452" i="9"/>
  <c r="J1285" i="9"/>
  <c r="J1282" i="9"/>
  <c r="J1130" i="9"/>
  <c r="J1277" i="9"/>
  <c r="J1451" i="9"/>
  <c r="J1268" i="9"/>
  <c r="J1129" i="9"/>
  <c r="J1259" i="9"/>
  <c r="J1239" i="9"/>
  <c r="J1450" i="9"/>
  <c r="J1128" i="9"/>
  <c r="J1224" i="9"/>
  <c r="J1216" i="9"/>
  <c r="J1203" i="9"/>
  <c r="J1127" i="9"/>
  <c r="J1449" i="9"/>
  <c r="J1189" i="9"/>
  <c r="J1183" i="9"/>
  <c r="J1126" i="9"/>
  <c r="J1163" i="9"/>
  <c r="J1448" i="9"/>
  <c r="J1156" i="9"/>
  <c r="J1125" i="9"/>
  <c r="J1139" i="9"/>
  <c r="J1666" i="9"/>
  <c r="J1447" i="9"/>
  <c r="J1124" i="9"/>
  <c r="J1663" i="9"/>
  <c r="J1660" i="9"/>
  <c r="J1657" i="9"/>
  <c r="J1123" i="9"/>
  <c r="J1446" i="9"/>
  <c r="J1639" i="9"/>
  <c r="J1628" i="9"/>
  <c r="J1122" i="9"/>
  <c r="J1620" i="9"/>
  <c r="J1445" i="9"/>
  <c r="J1590" i="9"/>
  <c r="J1121" i="9"/>
  <c r="J1120" i="9"/>
  <c r="J1119" i="9"/>
  <c r="J783" i="9"/>
  <c r="J784" i="9"/>
  <c r="J785" i="9"/>
  <c r="J1118" i="9"/>
  <c r="J786" i="9"/>
  <c r="J787" i="9"/>
  <c r="J788" i="9"/>
  <c r="J1117" i="9"/>
  <c r="J789" i="9"/>
  <c r="J790" i="9"/>
  <c r="J791" i="9"/>
  <c r="J1116" i="9"/>
  <c r="J792" i="9"/>
  <c r="J793" i="9"/>
  <c r="J794" i="9"/>
  <c r="J1115" i="9"/>
  <c r="J795" i="9"/>
  <c r="J796" i="9"/>
  <c r="J797" i="9"/>
  <c r="J1114" i="9"/>
  <c r="J798" i="9"/>
  <c r="J799" i="9"/>
  <c r="J800" i="9"/>
  <c r="J1113" i="9"/>
  <c r="J801" i="9"/>
  <c r="J802" i="9"/>
  <c r="J803" i="9"/>
  <c r="J1112" i="9"/>
  <c r="J804" i="9"/>
  <c r="J805" i="9"/>
  <c r="J806" i="9"/>
  <c r="J1111" i="9"/>
  <c r="J807" i="9"/>
  <c r="J808" i="9"/>
  <c r="J809" i="9"/>
  <c r="J1110" i="9"/>
  <c r="J810" i="9"/>
  <c r="J811" i="9"/>
  <c r="J812" i="9"/>
  <c r="J1109" i="9"/>
  <c r="J813" i="9"/>
  <c r="J814" i="9"/>
  <c r="J815" i="9"/>
  <c r="J1108" i="9"/>
  <c r="J816" i="9"/>
  <c r="J817" i="9"/>
  <c r="J818" i="9"/>
  <c r="J1107" i="9"/>
  <c r="J819" i="9"/>
  <c r="J820" i="9"/>
  <c r="J821" i="9"/>
  <c r="J1106" i="9"/>
  <c r="J822" i="9"/>
  <c r="J823" i="9"/>
  <c r="J824" i="9"/>
  <c r="J1105" i="9"/>
  <c r="J825" i="9"/>
  <c r="J826" i="9"/>
  <c r="J827" i="9"/>
  <c r="J1104" i="9"/>
  <c r="J828" i="9"/>
  <c r="J829" i="9"/>
  <c r="J830" i="9"/>
  <c r="J1103" i="9"/>
  <c r="J831" i="9"/>
  <c r="J832" i="9"/>
  <c r="J833" i="9"/>
  <c r="J1102" i="9"/>
  <c r="J834" i="9"/>
  <c r="J835" i="9"/>
  <c r="J836" i="9"/>
  <c r="J1101" i="9"/>
  <c r="J837" i="9"/>
  <c r="J838" i="9"/>
  <c r="J839" i="9"/>
  <c r="J1100" i="9"/>
  <c r="J840" i="9"/>
  <c r="J841" i="9"/>
  <c r="J842" i="9"/>
  <c r="J1099" i="9"/>
  <c r="J843" i="9"/>
  <c r="J844" i="9"/>
  <c r="J845" i="9"/>
  <c r="J1098" i="9"/>
  <c r="J846" i="9"/>
  <c r="J847" i="9"/>
  <c r="J848" i="9"/>
  <c r="J1097" i="9"/>
  <c r="J849" i="9"/>
  <c r="J850" i="9"/>
  <c r="J851" i="9"/>
  <c r="J1096" i="9"/>
  <c r="J852" i="9"/>
  <c r="J853" i="9"/>
  <c r="J854" i="9"/>
  <c r="J1095" i="9"/>
  <c r="J855" i="9"/>
  <c r="J856" i="9"/>
  <c r="J857" i="9"/>
  <c r="J1094" i="9"/>
  <c r="J858" i="9"/>
  <c r="J859" i="9"/>
  <c r="J860" i="9"/>
  <c r="J1093" i="9"/>
  <c r="J861" i="9"/>
  <c r="J862" i="9"/>
  <c r="J863" i="9"/>
  <c r="J1092" i="9"/>
  <c r="J864" i="9"/>
  <c r="J865" i="9"/>
  <c r="J866" i="9"/>
  <c r="J1091" i="9"/>
  <c r="J867" i="9"/>
  <c r="J868" i="9"/>
  <c r="J869" i="9"/>
  <c r="J1090" i="9"/>
  <c r="J870" i="9"/>
  <c r="J871" i="9"/>
  <c r="J872" i="9"/>
  <c r="J1089" i="9"/>
  <c r="J873" i="9"/>
  <c r="J874" i="9"/>
  <c r="J875" i="9"/>
  <c r="J1088" i="9"/>
  <c r="J876" i="9"/>
  <c r="J877" i="9"/>
  <c r="J878" i="9"/>
  <c r="J1087" i="9"/>
  <c r="J879" i="9"/>
  <c r="J880" i="9"/>
  <c r="J881" i="9"/>
  <c r="J1086" i="9"/>
  <c r="J882" i="9"/>
  <c r="J883" i="9"/>
  <c r="J884" i="9"/>
  <c r="J1085" i="9"/>
  <c r="J885" i="9"/>
  <c r="J886" i="9"/>
  <c r="J887" i="9"/>
  <c r="J1084" i="9"/>
  <c r="J888" i="9"/>
  <c r="J889" i="9"/>
  <c r="J890" i="9"/>
  <c r="J1083" i="9"/>
  <c r="J891" i="9"/>
  <c r="J892" i="9"/>
  <c r="J893" i="9"/>
  <c r="J1082" i="9"/>
  <c r="J894" i="9"/>
  <c r="J895" i="9"/>
  <c r="J896" i="9"/>
  <c r="J1081" i="9"/>
  <c r="J897" i="9"/>
  <c r="J898" i="9"/>
  <c r="J899" i="9"/>
  <c r="J1080" i="9"/>
  <c r="J900" i="9"/>
  <c r="J901" i="9"/>
  <c r="J902" i="9"/>
  <c r="J1079" i="9"/>
  <c r="J903" i="9"/>
  <c r="J904" i="9"/>
  <c r="J905" i="9"/>
  <c r="J1078" i="9"/>
  <c r="J906" i="9"/>
  <c r="J907" i="9"/>
  <c r="J908" i="9"/>
  <c r="J1077" i="9"/>
  <c r="J909" i="9"/>
  <c r="J910" i="9"/>
  <c r="J911" i="9"/>
  <c r="J1076" i="9"/>
  <c r="J912" i="9"/>
  <c r="J913" i="9"/>
  <c r="J914" i="9"/>
  <c r="J1075" i="9"/>
  <c r="J915" i="9"/>
  <c r="J916" i="9"/>
  <c r="J917" i="9"/>
  <c r="J1074" i="9"/>
  <c r="J918" i="9"/>
  <c r="J919" i="9"/>
  <c r="J920" i="9"/>
  <c r="J1073" i="9"/>
  <c r="J921" i="9"/>
  <c r="J922" i="9"/>
  <c r="J923" i="9"/>
  <c r="J1072" i="9"/>
  <c r="J924" i="9"/>
  <c r="J925" i="9"/>
  <c r="J929" i="9"/>
  <c r="J1068" i="9"/>
  <c r="J942" i="9"/>
  <c r="J949" i="9"/>
  <c r="J956" i="9"/>
  <c r="J1059" i="9"/>
  <c r="J969" i="9"/>
  <c r="J976" i="9"/>
  <c r="J983" i="9"/>
  <c r="J1050" i="9"/>
  <c r="J996" i="9"/>
  <c r="J1003" i="9"/>
  <c r="J1043" i="9"/>
  <c r="J1041" i="9"/>
  <c r="J1023" i="9"/>
  <c r="J1030" i="9"/>
  <c r="J779"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1569" i="9"/>
  <c r="J1562" i="9"/>
  <c r="J1444" i="9"/>
  <c r="J1546" i="9"/>
  <c r="J1538" i="9"/>
  <c r="J1516" i="9"/>
  <c r="J1443" i="9"/>
  <c r="J1499" i="9"/>
  <c r="J1482" i="9"/>
  <c r="J1475" i="9"/>
  <c r="J1442" i="9"/>
  <c r="J1283" i="9"/>
  <c r="J1275" i="9"/>
  <c r="J1266" i="9"/>
  <c r="J1441" i="9"/>
  <c r="J1255" i="9"/>
  <c r="J1252" i="9"/>
  <c r="J1246" i="9"/>
  <c r="J1440" i="9"/>
  <c r="J1235" i="9"/>
  <c r="J1225" i="9"/>
  <c r="J1208" i="9"/>
  <c r="J1439" i="9"/>
  <c r="J1198" i="9"/>
  <c r="J1192" i="9"/>
  <c r="J1177" i="9"/>
  <c r="J1438" i="9"/>
  <c r="J1256" i="9"/>
  <c r="J1676" i="9"/>
  <c r="J1672" i="9"/>
  <c r="J1437" i="9"/>
  <c r="J1637" i="9"/>
  <c r="J1629" i="9"/>
  <c r="J1624" i="9"/>
  <c r="J1436" i="9"/>
  <c r="J1616" i="9"/>
  <c r="J1606" i="9"/>
  <c r="J1601" i="9"/>
  <c r="J1435" i="9"/>
  <c r="J1247" i="9"/>
  <c r="J1598" i="9"/>
  <c r="J1232" i="9"/>
  <c r="J1587" i="9"/>
  <c r="J1220" i="9"/>
  <c r="J1210" i="9"/>
  <c r="J1583" i="9"/>
  <c r="J1197" i="9"/>
  <c r="J1187" i="9"/>
  <c r="J1434" i="9"/>
  <c r="J1178" i="9"/>
  <c r="J1162" i="9"/>
  <c r="J1580" i="9"/>
  <c r="J1148" i="9"/>
  <c r="J1141" i="9"/>
  <c r="J1572"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1556" i="9"/>
  <c r="J1433" i="9"/>
  <c r="J1551" i="9"/>
  <c r="J1535" i="9"/>
  <c r="J1527" i="9"/>
  <c r="J1432" i="9"/>
  <c r="J1521" i="9"/>
  <c r="J1513" i="9"/>
  <c r="J1509" i="9"/>
  <c r="J1431" i="9"/>
  <c r="J1505" i="9"/>
  <c r="J1500" i="9"/>
  <c r="J1497" i="9"/>
  <c r="J1430" i="9"/>
  <c r="J1494" i="9"/>
  <c r="J1489" i="9"/>
  <c r="J1480" i="9"/>
  <c r="J1429" i="9"/>
  <c r="J1278" i="9"/>
  <c r="J1264" i="9"/>
  <c r="J1253" i="9"/>
  <c r="J1428" i="9"/>
  <c r="J1240" i="9"/>
  <c r="J1230" i="9"/>
  <c r="J1214" i="9"/>
  <c r="J1427" i="9"/>
  <c r="J1201" i="9"/>
  <c r="J1193" i="9"/>
  <c r="J1190" i="9"/>
  <c r="J1426" i="9"/>
  <c r="J1184" i="9"/>
  <c r="J1166" i="9"/>
  <c r="J1159" i="9"/>
  <c r="J1425" i="9"/>
  <c r="J1152" i="9"/>
  <c r="J1142" i="9"/>
  <c r="J1655" i="9"/>
  <c r="J1424" i="9"/>
  <c r="J1634" i="9"/>
  <c r="J1619" i="9"/>
  <c r="J1595" i="9"/>
  <c r="J1423" i="9"/>
  <c r="J1581" i="9"/>
  <c r="J1563" i="9"/>
  <c r="J1559" i="9"/>
  <c r="J1422" i="9"/>
  <c r="J1541" i="9"/>
  <c r="J1539" i="9"/>
  <c r="J1514" i="9"/>
  <c r="J1421" i="9"/>
  <c r="J1512" i="9"/>
  <c r="J1498" i="9"/>
  <c r="J1496" i="9"/>
  <c r="J1420" i="9"/>
  <c r="J1490" i="9"/>
  <c r="J1487" i="9"/>
  <c r="J1477" i="9"/>
  <c r="J1419" i="9"/>
  <c r="J1474" i="9"/>
  <c r="J1271" i="9"/>
  <c r="J1258" i="9"/>
  <c r="J1231" i="9"/>
  <c r="J1418" i="9"/>
  <c r="J1218" i="9"/>
  <c r="J1254" i="9"/>
  <c r="J1209" i="9"/>
  <c r="J1244" i="9"/>
  <c r="J1176" i="9"/>
  <c r="J1237" i="9"/>
  <c r="J1169" i="9"/>
  <c r="J1158" i="9"/>
  <c r="J1417" i="9"/>
  <c r="J443" i="9"/>
  <c r="J442" i="9"/>
  <c r="J441" i="9"/>
  <c r="J440" i="9"/>
  <c r="J439" i="9"/>
  <c r="J1195" i="9"/>
  <c r="J1229" i="9"/>
  <c r="J1219" i="9"/>
  <c r="J1180" i="9"/>
  <c r="J1165" i="9"/>
  <c r="J1199" i="9"/>
  <c r="J1151" i="9"/>
  <c r="H45" i="9"/>
  <c r="H56" i="9"/>
  <c r="H72" i="9"/>
  <c r="K3" i="8" a="1"/>
  <c r="H76" i="9"/>
  <c r="H58" i="9"/>
  <c r="H79" i="9"/>
  <c r="I3" i="8" a="1"/>
  <c r="S5" i="9"/>
  <c r="H64" i="9"/>
  <c r="H78" i="9"/>
  <c r="H35" i="9"/>
  <c r="H41" i="9"/>
  <c r="H40" i="9"/>
  <c r="H57" i="9"/>
  <c r="H74" i="9"/>
  <c r="M2321" i="9"/>
  <c r="M2252" i="9"/>
  <c r="M1951" i="9"/>
  <c r="M1948" i="9"/>
  <c r="M2052" i="9"/>
  <c r="M1943" i="9"/>
  <c r="M1811" i="9"/>
  <c r="M2050" i="9"/>
  <c r="M1806" i="9"/>
  <c r="M1803" i="9"/>
  <c r="M1797" i="9"/>
  <c r="M1794" i="9"/>
  <c r="M1791" i="9"/>
  <c r="M1788" i="9"/>
  <c r="M1785" i="9"/>
  <c r="M2493" i="9"/>
  <c r="M2316" i="9"/>
  <c r="M2281" i="9"/>
  <c r="M2116" i="9"/>
  <c r="M2115" i="9"/>
  <c r="M1779" i="9"/>
  <c r="M2039" i="9"/>
  <c r="M2111" i="9"/>
  <c r="M2037" i="9"/>
  <c r="M2036" i="9"/>
  <c r="M1764" i="9"/>
  <c r="M1761" i="9"/>
  <c r="M1758" i="9"/>
  <c r="M1756" i="9"/>
  <c r="M1753" i="9"/>
  <c r="M1750" i="9"/>
  <c r="M2642" i="9"/>
  <c r="M2636" i="9"/>
  <c r="M2630" i="9"/>
  <c r="M2619" i="9"/>
  <c r="M2612" i="9"/>
  <c r="M2605" i="9"/>
  <c r="M2598" i="9"/>
  <c r="M2591" i="9"/>
  <c r="M2584" i="9"/>
  <c r="M2577" i="9"/>
  <c r="M2570" i="9"/>
  <c r="M2563" i="9"/>
  <c r="M2551" i="9"/>
  <c r="M2544" i="9"/>
  <c r="M2539" i="9"/>
  <c r="M2532" i="9"/>
  <c r="M2525" i="9"/>
  <c r="M2518" i="9"/>
  <c r="M2511" i="9"/>
  <c r="M2504" i="9"/>
  <c r="M2492" i="9"/>
  <c r="M2345" i="9"/>
  <c r="M2299" i="9"/>
  <c r="M2260" i="9"/>
  <c r="M1746" i="9"/>
  <c r="M2028" i="9"/>
  <c r="M1737" i="9"/>
  <c r="M1733" i="9"/>
  <c r="M2092" i="9"/>
  <c r="M1725" i="9"/>
  <c r="J1522" i="9"/>
  <c r="J1622" i="9"/>
  <c r="J1411" i="9"/>
  <c r="J1501" i="9"/>
  <c r="J1238" i="9"/>
  <c r="J1179" i="9"/>
  <c r="J1404" i="9"/>
  <c r="J782" i="9"/>
  <c r="J1658" i="9"/>
  <c r="J1613" i="9"/>
  <c r="J1399" i="9"/>
  <c r="J1543" i="9"/>
  <c r="J1507" i="9"/>
  <c r="J1479" i="9"/>
  <c r="J1248" i="9"/>
  <c r="J1154" i="9"/>
  <c r="J1646" i="9"/>
  <c r="J1385" i="9"/>
  <c r="J1681" i="9"/>
  <c r="J1549" i="9"/>
  <c r="J1510" i="9"/>
  <c r="J1376" i="9"/>
  <c r="J1267" i="9"/>
  <c r="J1564" i="9"/>
  <c r="J1182" i="9"/>
  <c r="J1367" i="9"/>
  <c r="J1249" i="9"/>
  <c r="J1647" i="9"/>
  <c r="J1360" i="9"/>
  <c r="J1157" i="9"/>
  <c r="J1351" i="9"/>
  <c r="J1545" i="9"/>
  <c r="J1342" i="9"/>
  <c r="J1469" i="9"/>
  <c r="J1333" i="9"/>
  <c r="J1070" i="9"/>
  <c r="J936" i="9"/>
  <c r="J943" i="9"/>
  <c r="J950" i="9"/>
  <c r="J1061" i="9"/>
  <c r="J963" i="9"/>
  <c r="J971" i="9"/>
  <c r="J978" i="9"/>
  <c r="J985" i="9"/>
  <c r="J992" i="9"/>
  <c r="J1047" i="9"/>
  <c r="J1005" i="9"/>
  <c r="J1012" i="9"/>
  <c r="J1019" i="9"/>
  <c r="J1038" i="9"/>
  <c r="J1032" i="9"/>
  <c r="J775" i="9"/>
  <c r="H37" i="9"/>
  <c r="H47" i="9"/>
  <c r="H44" i="9"/>
  <c r="M2438" i="9"/>
  <c r="M2333" i="9"/>
  <c r="M2311" i="9"/>
  <c r="M2302" i="9"/>
  <c r="M2429" i="9"/>
  <c r="M2424" i="9"/>
  <c r="M2419" i="9"/>
  <c r="M2414" i="9"/>
  <c r="M2411" i="9"/>
  <c r="M2407" i="9"/>
  <c r="M2403" i="9"/>
  <c r="M2399" i="9"/>
  <c r="M2394" i="9"/>
  <c r="M2392" i="9"/>
  <c r="M2388" i="9"/>
  <c r="M2384" i="9"/>
  <c r="M2380" i="9"/>
  <c r="M2376" i="9"/>
  <c r="M2372" i="9"/>
  <c r="M2368" i="9"/>
  <c r="M2338" i="9"/>
  <c r="M2320" i="9"/>
  <c r="M2275" i="9"/>
  <c r="M2065" i="9"/>
  <c r="M1981" i="9"/>
  <c r="M2063" i="9"/>
  <c r="M1976" i="9"/>
  <c r="M2062" i="9"/>
  <c r="M1973" i="9"/>
  <c r="M2060" i="9"/>
  <c r="M1968" i="9"/>
  <c r="M1966" i="9"/>
  <c r="M2058" i="9"/>
  <c r="M1962" i="9"/>
  <c r="M2136" i="9"/>
  <c r="M2135" i="9"/>
  <c r="M2134" i="9"/>
  <c r="M2348" i="9"/>
  <c r="M2310" i="9"/>
  <c r="M2265" i="9"/>
  <c r="M1953" i="9"/>
  <c r="M2132" i="9"/>
  <c r="M2131" i="9"/>
  <c r="M2130" i="9"/>
  <c r="M2129" i="9"/>
  <c r="M2128" i="9"/>
  <c r="M2127" i="9"/>
  <c r="M2125" i="9"/>
  <c r="M1801" i="9"/>
  <c r="M1799" i="9"/>
  <c r="M1796" i="9"/>
  <c r="M2045" i="9"/>
  <c r="M2119" i="9"/>
  <c r="M2118" i="9"/>
  <c r="M1786" i="9"/>
  <c r="M2362" i="9"/>
  <c r="M2331" i="9"/>
  <c r="M2285" i="9"/>
  <c r="M2253" i="9"/>
  <c r="M1781" i="9"/>
  <c r="M2113" i="9"/>
  <c r="M1775" i="9"/>
  <c r="M1772" i="9"/>
  <c r="M1769" i="9"/>
  <c r="M1767" i="9"/>
  <c r="M2107" i="9"/>
  <c r="M2106" i="9"/>
  <c r="M1759" i="9"/>
  <c r="M1755" i="9"/>
  <c r="M2102" i="9"/>
  <c r="M2101" i="9"/>
  <c r="M2643" i="9"/>
  <c r="M2637" i="9"/>
  <c r="M2631" i="9"/>
  <c r="M2624" i="9"/>
  <c r="M2617" i="9"/>
  <c r="M2611" i="9"/>
  <c r="M2604" i="9"/>
  <c r="M2597" i="9"/>
  <c r="M2589" i="9"/>
  <c r="M2582" i="9"/>
  <c r="M2575" i="9"/>
  <c r="M2568" i="9"/>
  <c r="M2561" i="9"/>
  <c r="M2554" i="9"/>
  <c r="M2547" i="9"/>
  <c r="M2542" i="9"/>
  <c r="M2535" i="9"/>
  <c r="M2528" i="9"/>
  <c r="M2521" i="9"/>
  <c r="M2513" i="9"/>
  <c r="M2506" i="9"/>
  <c r="M2498" i="9"/>
  <c r="M2353" i="9"/>
  <c r="M2327" i="9"/>
  <c r="M2282" i="9"/>
  <c r="M1748" i="9"/>
  <c r="M1745" i="9"/>
  <c r="M1740" i="9"/>
  <c r="M2095" i="9"/>
  <c r="M1732" i="9"/>
  <c r="M1728" i="9"/>
  <c r="M1724" i="9"/>
  <c r="J1145" i="9"/>
  <c r="J1635" i="9"/>
  <c r="J1560" i="9"/>
  <c r="J1524" i="9"/>
  <c r="J1250" i="9"/>
  <c r="J1406" i="9"/>
  <c r="J1665" i="9"/>
  <c r="J1401" i="9"/>
  <c r="J1602" i="9"/>
  <c r="J1565" i="9"/>
  <c r="J1515" i="9"/>
  <c r="J1483" i="9"/>
  <c r="J1273" i="9"/>
  <c r="J1186" i="9"/>
  <c r="J1667" i="9"/>
  <c r="J1386" i="9"/>
  <c r="J1592" i="9"/>
  <c r="J1678" i="9"/>
  <c r="J1656" i="9"/>
  <c r="J1377" i="9"/>
  <c r="J1604" i="9"/>
  <c r="J1233" i="9"/>
  <c r="J1534" i="9"/>
  <c r="J1368" i="9"/>
  <c r="J1279" i="9"/>
  <c r="J1653" i="9"/>
  <c r="J1361" i="9"/>
  <c r="J1168" i="9"/>
  <c r="J1353" i="9"/>
  <c r="J1558" i="9"/>
  <c r="J1343" i="9"/>
  <c r="J1339" i="9"/>
  <c r="J1334" i="9"/>
  <c r="J927" i="9"/>
  <c r="J934" i="9"/>
  <c r="J941" i="9"/>
  <c r="J1064" i="9"/>
  <c r="J954" i="9"/>
  <c r="J961" i="9"/>
  <c r="J968" i="9"/>
  <c r="J1055" i="9"/>
  <c r="J981" i="9"/>
  <c r="J988" i="9"/>
  <c r="J995" i="9"/>
  <c r="J1002" i="9"/>
  <c r="J1010" i="9"/>
  <c r="J1017" i="9"/>
  <c r="J1024" i="9"/>
  <c r="J1031" i="9"/>
  <c r="H71" i="9"/>
  <c r="M2437" i="9"/>
  <c r="M2430" i="9"/>
  <c r="M2341" i="9"/>
  <c r="M2495" i="9"/>
  <c r="M2339" i="9"/>
  <c r="M2300" i="9"/>
  <c r="M2264" i="9"/>
  <c r="M1783" i="9"/>
  <c r="M2114" i="9"/>
  <c r="M1776" i="9"/>
  <c r="M2616" i="9"/>
  <c r="M2609" i="9"/>
  <c r="M2602" i="9"/>
  <c r="M2595" i="9"/>
  <c r="M2588" i="9"/>
  <c r="M2581" i="9"/>
  <c r="M2574" i="9"/>
  <c r="M2567" i="9"/>
  <c r="M2560" i="9"/>
  <c r="M2555" i="9"/>
  <c r="M2548" i="9"/>
  <c r="M2537" i="9"/>
  <c r="M2531" i="9"/>
  <c r="M2524" i="9"/>
  <c r="M2517" i="9"/>
  <c r="M2510" i="9"/>
  <c r="M2502" i="9"/>
  <c r="M2491" i="9"/>
  <c r="M2334" i="9"/>
  <c r="M2292" i="9"/>
  <c r="M2257" i="9"/>
  <c r="M1743" i="9"/>
  <c r="M2096" i="9"/>
  <c r="M1734" i="9"/>
  <c r="M1731" i="9"/>
  <c r="M1727" i="9"/>
  <c r="M2022" i="9"/>
  <c r="J1416" i="9"/>
  <c r="J1414" i="9"/>
  <c r="J1607" i="9"/>
  <c r="J1540" i="9"/>
  <c r="J1476" i="9"/>
  <c r="J1407" i="9"/>
  <c r="J1146" i="9"/>
  <c r="J1640" i="9"/>
  <c r="J1605" i="9"/>
  <c r="J1589" i="9"/>
  <c r="J1397" i="9"/>
  <c r="J1492" i="9"/>
  <c r="J1288" i="9"/>
  <c r="J1241" i="9"/>
  <c r="J1147" i="9"/>
  <c r="J1387" i="9"/>
  <c r="J1684" i="9"/>
  <c r="J1576" i="9"/>
  <c r="J1664" i="9"/>
  <c r="J1378" i="9"/>
  <c r="J1478" i="9"/>
  <c r="J1579" i="9"/>
  <c r="J1550" i="9"/>
  <c r="J1369" i="9"/>
  <c r="J1677" i="9"/>
  <c r="J1662" i="9"/>
  <c r="J1213" i="9"/>
  <c r="J1615" i="9"/>
  <c r="J1356" i="9"/>
  <c r="J1574" i="9"/>
  <c r="J1347" i="9"/>
  <c r="J1262" i="9"/>
  <c r="J1338" i="9"/>
  <c r="J1468" i="9"/>
  <c r="J928" i="9"/>
  <c r="J935" i="9"/>
  <c r="J1066" i="9"/>
  <c r="J948" i="9"/>
  <c r="J955" i="9"/>
  <c r="J962" i="9"/>
  <c r="J1057" i="9"/>
  <c r="J975" i="9"/>
  <c r="J982" i="9"/>
  <c r="J989" i="9"/>
  <c r="J1048" i="9"/>
  <c r="J1046" i="9"/>
  <c r="J1008" i="9"/>
  <c r="J1014" i="9"/>
  <c r="J1021" i="9"/>
  <c r="J1028" i="9"/>
  <c r="J781" i="9"/>
  <c r="J3" i="8" a="1"/>
  <c r="H43" i="9"/>
  <c r="H54" i="9"/>
  <c r="H55" i="9"/>
  <c r="M2436" i="9"/>
  <c r="M2433" i="9"/>
  <c r="M2367" i="9"/>
  <c r="M2332" i="9"/>
  <c r="M2305" i="9"/>
  <c r="M2258" i="9"/>
  <c r="M2427" i="9"/>
  <c r="M2423" i="9"/>
  <c r="M2420" i="9"/>
  <c r="M2416" i="9"/>
  <c r="M2412" i="9"/>
  <c r="M2408" i="9"/>
  <c r="M2404" i="9"/>
  <c r="M2400" i="9"/>
  <c r="M2397" i="9"/>
  <c r="M2390" i="9"/>
  <c r="M2386" i="9"/>
  <c r="M2382" i="9"/>
  <c r="M2378" i="9"/>
  <c r="M2374" i="9"/>
  <c r="M2370" i="9"/>
  <c r="M2361" i="9"/>
  <c r="M2326" i="9"/>
  <c r="M2312" i="9"/>
  <c r="M2364" i="9"/>
  <c r="M2352" i="9"/>
  <c r="M2329" i="9"/>
  <c r="M2309" i="9"/>
  <c r="M2301" i="9"/>
  <c r="M2290" i="9"/>
  <c r="M2015" i="9"/>
  <c r="M1702" i="9"/>
  <c r="M2079" i="9"/>
  <c r="M1698" i="9"/>
  <c r="M2013" i="9"/>
  <c r="M1695" i="9"/>
  <c r="M2076" i="9"/>
  <c r="M1691" i="9"/>
  <c r="M1690" i="9"/>
  <c r="M2074" i="9"/>
  <c r="M2008" i="9"/>
  <c r="M2006" i="9"/>
  <c r="M2004" i="9"/>
  <c r="M2071" i="9"/>
  <c r="M1999" i="9"/>
  <c r="M1997" i="9"/>
  <c r="M1995" i="9"/>
  <c r="M2068" i="9"/>
  <c r="M1990" i="9"/>
  <c r="M2149" i="9"/>
  <c r="M2066" i="9"/>
  <c r="M1985" i="9"/>
  <c r="M2347" i="9"/>
  <c r="M2323" i="9"/>
  <c r="M2294" i="9"/>
  <c r="M1984" i="9"/>
  <c r="M1982" i="9"/>
  <c r="M2064" i="9"/>
  <c r="M1979" i="9"/>
  <c r="M1978" i="9"/>
  <c r="M1974" i="9"/>
  <c r="M2061" i="9"/>
  <c r="M1970" i="9"/>
  <c r="M1969" i="9"/>
  <c r="M2059" i="9"/>
  <c r="M1964" i="9"/>
  <c r="M2520" i="9"/>
  <c r="M1960" i="9"/>
  <c r="M2056" i="9"/>
  <c r="M1955" i="9"/>
  <c r="M2351" i="9"/>
  <c r="M2319" i="9"/>
  <c r="M2272" i="9"/>
  <c r="M2255" i="9"/>
  <c r="M1807" i="9"/>
  <c r="M1805" i="9"/>
  <c r="M2124" i="9"/>
  <c r="M2123" i="9"/>
  <c r="M2122" i="9"/>
  <c r="M1795" i="9"/>
  <c r="M1792" i="9"/>
  <c r="M1789" i="9"/>
  <c r="M2117" i="9"/>
  <c r="M2496" i="9"/>
  <c r="M2342" i="9"/>
  <c r="M2304" i="9"/>
  <c r="M2276" i="9"/>
  <c r="M1784" i="9"/>
  <c r="M1780" i="9"/>
  <c r="M1777" i="9"/>
  <c r="M1773" i="9"/>
  <c r="M2110" i="9"/>
  <c r="M1768" i="9"/>
  <c r="M1765" i="9"/>
  <c r="M1762" i="9"/>
  <c r="M2105" i="9"/>
  <c r="M1757" i="9"/>
  <c r="M1754" i="9"/>
  <c r="M1751" i="9"/>
  <c r="M2761" i="9"/>
  <c r="M2638" i="9"/>
  <c r="M2632" i="9"/>
  <c r="M2626" i="9"/>
  <c r="M2621" i="9"/>
  <c r="M2615" i="9"/>
  <c r="M2607" i="9"/>
  <c r="M2600" i="9"/>
  <c r="M2593" i="9"/>
  <c r="M2586" i="9"/>
  <c r="M2579" i="9"/>
  <c r="M2572" i="9"/>
  <c r="M2566" i="9"/>
  <c r="M2559" i="9"/>
  <c r="M2553" i="9"/>
  <c r="M2546" i="9"/>
  <c r="M2541" i="9"/>
  <c r="M2534" i="9"/>
  <c r="M2527" i="9"/>
  <c r="M2100" i="9"/>
  <c r="M2516" i="9"/>
  <c r="M2508" i="9"/>
  <c r="M2499" i="9"/>
  <c r="M2360" i="9"/>
  <c r="M2315" i="9"/>
  <c r="M2269" i="9"/>
  <c r="M2251" i="9"/>
  <c r="M2098" i="9"/>
  <c r="M2027" i="9"/>
  <c r="M1735" i="9"/>
  <c r="M1730" i="9"/>
  <c r="M2023" i="9"/>
  <c r="M2089" i="9"/>
  <c r="AA3" i="8" a="1"/>
  <c r="J1674" i="9"/>
  <c r="J1610" i="9"/>
  <c r="J1548" i="9"/>
  <c r="J1409" i="9"/>
  <c r="J1222" i="9"/>
  <c r="J1160" i="9"/>
  <c r="J1217" i="9"/>
  <c r="J1143" i="9"/>
  <c r="J1636" i="9"/>
  <c r="J1683" i="9"/>
  <c r="J1382" i="9"/>
  <c r="J1661" i="9"/>
  <c r="J1504" i="9"/>
  <c r="J1276" i="9"/>
  <c r="J1373" i="9"/>
  <c r="J1207" i="9"/>
  <c r="J1173" i="9"/>
  <c r="J1366" i="9"/>
  <c r="J1659" i="9"/>
  <c r="J1642" i="9"/>
  <c r="J1608" i="9"/>
  <c r="J1354" i="9"/>
  <c r="J1472" i="9"/>
  <c r="J1345" i="9"/>
  <c r="J1251" i="9"/>
  <c r="J1336" i="9"/>
  <c r="J1153" i="9"/>
  <c r="J932" i="9"/>
  <c r="J1067" i="9"/>
  <c r="J945" i="9"/>
  <c r="J952" i="9"/>
  <c r="J959" i="9"/>
  <c r="H61" i="9"/>
  <c r="H70" i="9"/>
  <c r="M2469" i="9"/>
  <c r="M2467" i="9"/>
  <c r="M2464" i="9"/>
  <c r="M2462" i="9"/>
  <c r="M2460" i="9"/>
  <c r="M2458" i="9"/>
  <c r="M2456" i="9"/>
  <c r="M2454" i="9"/>
  <c r="M2450" i="9"/>
  <c r="M2448" i="9"/>
  <c r="M2446" i="9"/>
  <c r="M2444" i="9"/>
  <c r="M2442" i="9"/>
  <c r="M2440" i="9"/>
  <c r="M2435" i="9"/>
  <c r="M2432" i="9"/>
  <c r="M2358" i="9"/>
  <c r="M2330" i="9"/>
  <c r="M2303" i="9"/>
  <c r="M2250" i="9"/>
  <c r="M2426" i="9"/>
  <c r="M2422" i="9"/>
  <c r="M2418" i="9"/>
  <c r="M2415" i="9"/>
  <c r="M2410" i="9"/>
  <c r="M2406" i="9"/>
  <c r="M2402" i="9"/>
  <c r="M2398" i="9"/>
  <c r="M2395" i="9"/>
  <c r="M2389" i="9"/>
  <c r="M2385" i="9"/>
  <c r="M2381" i="9"/>
  <c r="M2377" i="9"/>
  <c r="M2373" i="9"/>
  <c r="M2369" i="9"/>
  <c r="M2356" i="9"/>
  <c r="M2324" i="9"/>
  <c r="M2306" i="9"/>
  <c r="M2357" i="9"/>
  <c r="M2343" i="9"/>
  <c r="M2317" i="9"/>
  <c r="M2267" i="9"/>
  <c r="M2298" i="9"/>
  <c r="M2280" i="9"/>
  <c r="M2080" i="9"/>
  <c r="M1700" i="9"/>
  <c r="M1699" i="9"/>
  <c r="M2078" i="9"/>
  <c r="M1696" i="9"/>
  <c r="M1694" i="9"/>
  <c r="M1693" i="9"/>
  <c r="M2075" i="9"/>
  <c r="M2009" i="9"/>
  <c r="M2007" i="9"/>
  <c r="M2072" i="9"/>
  <c r="M2002" i="9"/>
  <c r="M2000" i="9"/>
  <c r="M1998" i="9"/>
  <c r="M2069" i="9"/>
  <c r="M1993" i="9"/>
  <c r="M1991" i="9"/>
  <c r="M1989" i="9"/>
  <c r="M1987" i="9"/>
  <c r="M1986" i="9"/>
  <c r="M2355" i="9"/>
  <c r="M2328" i="9"/>
  <c r="M2296" i="9"/>
  <c r="M2271" i="9"/>
  <c r="M2147" i="9"/>
  <c r="M2146" i="9"/>
  <c r="M2145" i="9"/>
  <c r="M2144" i="9"/>
  <c r="M2143" i="9"/>
  <c r="M2142" i="9"/>
  <c r="M2141" i="9"/>
  <c r="M2140" i="9"/>
  <c r="M2139" i="9"/>
  <c r="M2138" i="9"/>
  <c r="M2137" i="9"/>
  <c r="M2057" i="9"/>
  <c r="M1958" i="9"/>
  <c r="M1956" i="9"/>
  <c r="M1954" i="9"/>
  <c r="M2336" i="9"/>
  <c r="M2291" i="9"/>
  <c r="M2262" i="9"/>
  <c r="M1952" i="9"/>
  <c r="M1950" i="9"/>
  <c r="M2053" i="9"/>
  <c r="M1946" i="9"/>
  <c r="M1944" i="9"/>
  <c r="M1810" i="9"/>
  <c r="M1808" i="9"/>
  <c r="M2049" i="9"/>
  <c r="M2048" i="9"/>
  <c r="M1800" i="9"/>
  <c r="M1798" i="9"/>
  <c r="M2121" i="9"/>
  <c r="M1793" i="9"/>
  <c r="M1790" i="9"/>
  <c r="M1787" i="9"/>
  <c r="M2501" i="9"/>
  <c r="M2346" i="9"/>
  <c r="M2308" i="9"/>
  <c r="M2278" i="9"/>
  <c r="M2042" i="9"/>
  <c r="M1782" i="9"/>
  <c r="M2040" i="9"/>
  <c r="M2112" i="9"/>
  <c r="M2038" i="9"/>
  <c r="M1770" i="9"/>
  <c r="M2108" i="9"/>
  <c r="M2035" i="9"/>
  <c r="M2034" i="9"/>
  <c r="M2033" i="9"/>
  <c r="M2103" i="9"/>
  <c r="M1752" i="9"/>
  <c r="M2762" i="9"/>
  <c r="M2640" i="9"/>
  <c r="M2634" i="9"/>
  <c r="M2628" i="9"/>
  <c r="M2623" i="9"/>
  <c r="M2618" i="9"/>
  <c r="M2610" i="9"/>
  <c r="M2603" i="9"/>
  <c r="M2596" i="9"/>
  <c r="M2590" i="9"/>
  <c r="M2583" i="9"/>
  <c r="M2576" i="9"/>
  <c r="M2569" i="9"/>
  <c r="M2562" i="9"/>
  <c r="M2556" i="9"/>
  <c r="M2550" i="9"/>
  <c r="M2538" i="9"/>
  <c r="M2530" i="9"/>
  <c r="M2523" i="9"/>
  <c r="M2515" i="9"/>
  <c r="M2507" i="9"/>
  <c r="M2497" i="9"/>
  <c r="M2490" i="9"/>
  <c r="M2325" i="9"/>
  <c r="M2284" i="9"/>
  <c r="M2099" i="9"/>
  <c r="M2097" i="9"/>
  <c r="M1736" i="9"/>
  <c r="M2025" i="9"/>
  <c r="M1729" i="9"/>
  <c r="M2090" i="9"/>
  <c r="J1137" i="9"/>
  <c r="J1627" i="9"/>
  <c r="J1588" i="9"/>
  <c r="J1410" i="9"/>
  <c r="J1263" i="9"/>
  <c r="J1211" i="9"/>
  <c r="J1136" i="9"/>
  <c r="J1403" i="9"/>
  <c r="J1402" i="9"/>
  <c r="J1621" i="9"/>
  <c r="J1594" i="9"/>
  <c r="J1554" i="9"/>
  <c r="J1396" i="9"/>
  <c r="J1481" i="9"/>
  <c r="J1260" i="9"/>
  <c r="J1390" i="9"/>
  <c r="J1652" i="9"/>
  <c r="J1685" i="9"/>
  <c r="J1584" i="9"/>
  <c r="J1381" i="9"/>
  <c r="J1525" i="9"/>
  <c r="J1645" i="9"/>
  <c r="J1591" i="9"/>
  <c r="J1372" i="9"/>
  <c r="J1185" i="9"/>
  <c r="J1144" i="9"/>
  <c r="J1669" i="9"/>
  <c r="J1363" i="9"/>
  <c r="J1625" i="9"/>
  <c r="J1596" i="9"/>
  <c r="J1352" i="9"/>
  <c r="J1553" i="9"/>
  <c r="J1533" i="9"/>
  <c r="J1228" i="9"/>
  <c r="J1196" i="9"/>
  <c r="J1071" i="9"/>
  <c r="J933" i="9"/>
  <c r="J940" i="9"/>
  <c r="J947" i="9"/>
  <c r="J1062" i="9"/>
  <c r="J1060" i="9"/>
  <c r="J966" i="9"/>
  <c r="J973" i="9"/>
  <c r="J980" i="9"/>
  <c r="J1051" i="9"/>
  <c r="J993" i="9"/>
  <c r="J1000" i="9"/>
  <c r="J1007" i="9"/>
  <c r="J1042" i="9"/>
  <c r="J1020" i="9"/>
  <c r="J1027" i="9"/>
  <c r="J1034" i="9"/>
  <c r="H59" i="9"/>
  <c r="H75" i="9"/>
  <c r="S4489" i="9" l="1" a="1"/>
  <c r="AW12" i="9" a="1"/>
  <c r="AH3" i="8" s="1" a="1"/>
  <c r="S2371" i="9" a="1"/>
  <c r="AG3" i="8" a="1"/>
  <c r="AL83" i="9" a="1"/>
  <c r="AM3" i="8" s="1" a="1"/>
  <c r="Z40" i="9" a="1"/>
  <c r="AE83" i="9" a="1"/>
  <c r="AF3" i="8" s="1" a="1"/>
  <c r="D7" i="9"/>
  <c r="C12" i="9" a="1"/>
  <c r="AB40" i="9" a="1"/>
  <c r="AK83" i="9" a="1"/>
  <c r="AL3" i="8" s="1" a="1"/>
  <c r="U3" i="8"/>
  <c r="V3" i="8"/>
  <c r="U4" i="8"/>
  <c r="V4" i="8"/>
  <c r="U5" i="8"/>
  <c r="V5" i="8"/>
  <c r="U6" i="8"/>
  <c r="V6" i="8"/>
  <c r="U7" i="8"/>
  <c r="V7" i="8"/>
  <c r="U8" i="8"/>
  <c r="V8" i="8"/>
  <c r="U9" i="8"/>
  <c r="V9" i="8"/>
  <c r="U10" i="8"/>
  <c r="V10" i="8"/>
  <c r="U11" i="8"/>
  <c r="V11" i="8"/>
  <c r="U12" i="8"/>
  <c r="V12" i="8"/>
  <c r="U13" i="8"/>
  <c r="V13" i="8"/>
  <c r="U14" i="8"/>
  <c r="V14" i="8"/>
  <c r="U15" i="8"/>
  <c r="V15" i="8"/>
  <c r="U16" i="8"/>
  <c r="V16" i="8"/>
  <c r="U17" i="8"/>
  <c r="V17" i="8"/>
  <c r="U18" i="8"/>
  <c r="V18" i="8"/>
  <c r="U19" i="8"/>
  <c r="V19" i="8"/>
  <c r="U20" i="8"/>
  <c r="V20" i="8"/>
  <c r="U21" i="8"/>
  <c r="V21" i="8"/>
  <c r="U22" i="8"/>
  <c r="V22" i="8"/>
  <c r="U23" i="8"/>
  <c r="V23" i="8"/>
  <c r="U24" i="8"/>
  <c r="V24" i="8"/>
  <c r="U25" i="8"/>
  <c r="V25" i="8"/>
  <c r="U26" i="8"/>
  <c r="V26" i="8"/>
  <c r="U27" i="8"/>
  <c r="V27" i="8"/>
  <c r="U28" i="8"/>
  <c r="V28" i="8"/>
  <c r="U29" i="8"/>
  <c r="V29" i="8"/>
  <c r="U30" i="8"/>
  <c r="V30" i="8"/>
  <c r="U31" i="8"/>
  <c r="V31" i="8"/>
  <c r="U32" i="8"/>
  <c r="V32" i="8"/>
  <c r="U33" i="8"/>
  <c r="V33" i="8"/>
  <c r="U34" i="8"/>
  <c r="V34" i="8"/>
  <c r="U35" i="8"/>
  <c r="V35" i="8"/>
  <c r="U36" i="8"/>
  <c r="V36" i="8"/>
  <c r="U37" i="8"/>
  <c r="V37" i="8"/>
  <c r="U38" i="8"/>
  <c r="V38" i="8"/>
  <c r="U39" i="8"/>
  <c r="V39" i="8"/>
  <c r="U40" i="8"/>
  <c r="V40" i="8"/>
  <c r="U41" i="8"/>
  <c r="V41" i="8"/>
  <c r="U42" i="8"/>
  <c r="V42" i="8"/>
  <c r="U43" i="8"/>
  <c r="V43" i="8"/>
  <c r="U44" i="8"/>
  <c r="V44" i="8"/>
  <c r="U45" i="8"/>
  <c r="V45" i="8"/>
  <c r="U46" i="8"/>
  <c r="V46" i="8"/>
  <c r="U47" i="8"/>
  <c r="V47" i="8"/>
  <c r="U48" i="8"/>
  <c r="V48" i="8"/>
  <c r="U49" i="8"/>
  <c r="V49" i="8"/>
  <c r="U50" i="8"/>
  <c r="V50" i="8"/>
  <c r="U51" i="8"/>
  <c r="V51" i="8"/>
  <c r="U52" i="8"/>
  <c r="V52" i="8"/>
  <c r="U53" i="8"/>
  <c r="V53" i="8"/>
  <c r="U54" i="8"/>
  <c r="V54" i="8"/>
  <c r="U55" i="8"/>
  <c r="V55" i="8"/>
  <c r="U56" i="8"/>
  <c r="V56" i="8"/>
  <c r="U57" i="8"/>
  <c r="V57" i="8"/>
  <c r="U58" i="8"/>
  <c r="V58" i="8"/>
  <c r="U59" i="8"/>
  <c r="V59" i="8"/>
  <c r="U60" i="8"/>
  <c r="V60" i="8"/>
  <c r="U61" i="8"/>
  <c r="V61" i="8"/>
  <c r="U62" i="8"/>
  <c r="V62" i="8"/>
  <c r="U63" i="8"/>
  <c r="V63" i="8"/>
  <c r="U64" i="8"/>
  <c r="V64" i="8"/>
  <c r="U65" i="8"/>
  <c r="V65" i="8"/>
  <c r="U66" i="8"/>
  <c r="V66" i="8"/>
  <c r="U67" i="8"/>
  <c r="V67" i="8"/>
  <c r="U68" i="8"/>
  <c r="V68" i="8"/>
  <c r="U69" i="8"/>
  <c r="V69" i="8"/>
  <c r="U70" i="8"/>
  <c r="V70" i="8"/>
  <c r="U71" i="8"/>
  <c r="V71" i="8"/>
  <c r="U72" i="8"/>
  <c r="V72" i="8"/>
  <c r="U73" i="8"/>
  <c r="V73" i="8"/>
  <c r="U74" i="8"/>
  <c r="V74" i="8"/>
  <c r="U75" i="8"/>
  <c r="V75" i="8"/>
  <c r="U76" i="8"/>
  <c r="V76" i="8"/>
  <c r="U77" i="8"/>
  <c r="V77" i="8"/>
  <c r="U78" i="8"/>
  <c r="V78" i="8"/>
  <c r="U79" i="8"/>
  <c r="V79" i="8"/>
  <c r="U80" i="8"/>
  <c r="V80" i="8"/>
  <c r="U81" i="8"/>
  <c r="V81" i="8"/>
  <c r="U82" i="8"/>
  <c r="V82" i="8"/>
  <c r="U83" i="8"/>
  <c r="V83" i="8"/>
  <c r="U84" i="8"/>
  <c r="V84" i="8"/>
  <c r="U85" i="8"/>
  <c r="V85" i="8"/>
  <c r="U86" i="8"/>
  <c r="V86" i="8"/>
  <c r="U87" i="8"/>
  <c r="V87" i="8"/>
  <c r="U88" i="8"/>
  <c r="V88" i="8"/>
  <c r="U89" i="8"/>
  <c r="V89" i="8"/>
  <c r="U90" i="8"/>
  <c r="V90" i="8"/>
  <c r="U91" i="8"/>
  <c r="V91" i="8"/>
  <c r="U92" i="8"/>
  <c r="V92" i="8"/>
  <c r="U93" i="8"/>
  <c r="V93" i="8"/>
  <c r="U94" i="8"/>
  <c r="V94" i="8"/>
  <c r="U95" i="8"/>
  <c r="V95" i="8"/>
  <c r="U96" i="8"/>
  <c r="V96" i="8"/>
  <c r="U97" i="8"/>
  <c r="V97" i="8"/>
  <c r="U98" i="8"/>
  <c r="V98" i="8"/>
  <c r="U99" i="8"/>
  <c r="V99" i="8"/>
  <c r="U100" i="8"/>
  <c r="V100" i="8"/>
  <c r="U101" i="8"/>
  <c r="V101" i="8"/>
  <c r="U102" i="8"/>
  <c r="V102" i="8"/>
  <c r="U103" i="8"/>
  <c r="V103" i="8"/>
  <c r="U104" i="8"/>
  <c r="V104" i="8"/>
  <c r="U105" i="8"/>
  <c r="V105" i="8"/>
  <c r="U106" i="8"/>
  <c r="V106" i="8"/>
  <c r="U107" i="8"/>
  <c r="V107" i="8"/>
  <c r="U108" i="8"/>
  <c r="V108" i="8"/>
  <c r="U109" i="8"/>
  <c r="V109" i="8"/>
  <c r="U110" i="8"/>
  <c r="V110" i="8"/>
  <c r="U111" i="8"/>
  <c r="V111" i="8"/>
  <c r="U112" i="8"/>
  <c r="V112" i="8"/>
  <c r="U113" i="8"/>
  <c r="V113" i="8"/>
  <c r="U114" i="8"/>
  <c r="V114" i="8"/>
  <c r="U115" i="8"/>
  <c r="V115" i="8"/>
  <c r="U116" i="8"/>
  <c r="V116" i="8"/>
  <c r="U117" i="8"/>
  <c r="V117" i="8"/>
  <c r="U118" i="8"/>
  <c r="V118" i="8"/>
  <c r="U119" i="8"/>
  <c r="V119" i="8"/>
  <c r="U120" i="8"/>
  <c r="V120" i="8"/>
  <c r="U121" i="8"/>
  <c r="V121" i="8"/>
  <c r="U122" i="8"/>
  <c r="V122" i="8"/>
  <c r="U123" i="8"/>
  <c r="V123" i="8"/>
  <c r="U124" i="8"/>
  <c r="V124" i="8"/>
  <c r="U125" i="8"/>
  <c r="V125" i="8"/>
  <c r="U126" i="8"/>
  <c r="V126" i="8"/>
  <c r="U127" i="8"/>
  <c r="V127" i="8"/>
  <c r="U128" i="8"/>
  <c r="V128" i="8"/>
  <c r="U129" i="8"/>
  <c r="V129" i="8"/>
  <c r="U130" i="8"/>
  <c r="V130" i="8"/>
  <c r="U131" i="8"/>
  <c r="V131" i="8"/>
  <c r="U132" i="8"/>
  <c r="V132" i="8"/>
  <c r="U133" i="8"/>
  <c r="V133" i="8"/>
  <c r="U134" i="8"/>
  <c r="V134" i="8"/>
  <c r="U135" i="8"/>
  <c r="V135" i="8"/>
  <c r="U136" i="8"/>
  <c r="V136" i="8"/>
  <c r="U137" i="8"/>
  <c r="V137" i="8"/>
  <c r="U138" i="8"/>
  <c r="V138" i="8"/>
  <c r="U139" i="8"/>
  <c r="V139" i="8"/>
  <c r="U140" i="8"/>
  <c r="V140" i="8"/>
  <c r="U141" i="8"/>
  <c r="V141" i="8"/>
  <c r="U142" i="8"/>
  <c r="V142" i="8"/>
  <c r="U143" i="8"/>
  <c r="V143" i="8"/>
  <c r="U144" i="8"/>
  <c r="V144" i="8"/>
  <c r="U145" i="8"/>
  <c r="V145" i="8"/>
  <c r="U146" i="8"/>
  <c r="V146" i="8"/>
  <c r="U147" i="8"/>
  <c r="V147" i="8"/>
  <c r="U148" i="8"/>
  <c r="V148" i="8"/>
  <c r="U149" i="8"/>
  <c r="V149" i="8"/>
  <c r="U150" i="8"/>
  <c r="V150" i="8"/>
  <c r="U151" i="8"/>
  <c r="V151" i="8"/>
  <c r="U152" i="8"/>
  <c r="V152" i="8"/>
  <c r="U153" i="8"/>
  <c r="V153" i="8"/>
  <c r="U154" i="8"/>
  <c r="V154" i="8"/>
  <c r="U155" i="8"/>
  <c r="V155" i="8"/>
  <c r="U156" i="8"/>
  <c r="V156" i="8"/>
  <c r="U157" i="8"/>
  <c r="V157" i="8"/>
  <c r="U158" i="8"/>
  <c r="V158" i="8"/>
  <c r="U159" i="8"/>
  <c r="V159" i="8"/>
  <c r="U160" i="8"/>
  <c r="V160" i="8"/>
  <c r="U161" i="8"/>
  <c r="V161" i="8"/>
  <c r="U162" i="8"/>
  <c r="V162" i="8"/>
  <c r="U163" i="8"/>
  <c r="V163" i="8"/>
  <c r="U164" i="8"/>
  <c r="V164" i="8"/>
  <c r="U165" i="8"/>
  <c r="V165" i="8"/>
  <c r="U166" i="8"/>
  <c r="V166" i="8"/>
  <c r="U167" i="8"/>
  <c r="V167" i="8"/>
  <c r="U168" i="8"/>
  <c r="V168" i="8"/>
  <c r="U169" i="8"/>
  <c r="V169" i="8"/>
  <c r="U170" i="8"/>
  <c r="V170" i="8"/>
  <c r="U171" i="8"/>
  <c r="V171" i="8"/>
  <c r="U172" i="8"/>
  <c r="V172" i="8"/>
  <c r="U173" i="8"/>
  <c r="V173" i="8"/>
  <c r="U174" i="8"/>
  <c r="V174" i="8"/>
  <c r="U175" i="8"/>
  <c r="V175" i="8"/>
  <c r="U176" i="8"/>
  <c r="V176" i="8"/>
  <c r="U177" i="8"/>
  <c r="V177" i="8"/>
  <c r="U178" i="8"/>
  <c r="V178" i="8"/>
  <c r="U179" i="8"/>
  <c r="V179" i="8"/>
  <c r="U180" i="8"/>
  <c r="V180" i="8"/>
  <c r="U181" i="8"/>
  <c r="V181" i="8"/>
  <c r="U182" i="8"/>
  <c r="V182" i="8"/>
  <c r="U183" i="8"/>
  <c r="V183" i="8"/>
  <c r="U184" i="8"/>
  <c r="V184" i="8"/>
  <c r="U185" i="8"/>
  <c r="V185" i="8"/>
  <c r="U186" i="8"/>
  <c r="V186" i="8"/>
  <c r="U187" i="8"/>
  <c r="V187" i="8"/>
  <c r="U188" i="8"/>
  <c r="V188" i="8"/>
  <c r="U189" i="8"/>
  <c r="V189" i="8"/>
  <c r="U190" i="8"/>
  <c r="V190" i="8"/>
  <c r="U191" i="8"/>
  <c r="V191" i="8"/>
  <c r="U192" i="8"/>
  <c r="V192" i="8"/>
  <c r="U193" i="8"/>
  <c r="V193" i="8"/>
  <c r="U194" i="8"/>
  <c r="V194" i="8"/>
  <c r="U195" i="8"/>
  <c r="V195" i="8"/>
  <c r="U196" i="8"/>
  <c r="V196" i="8"/>
  <c r="U197" i="8"/>
  <c r="V197" i="8"/>
  <c r="U198" i="8"/>
  <c r="V198" i="8"/>
  <c r="U199" i="8"/>
  <c r="V199" i="8"/>
  <c r="U200" i="8"/>
  <c r="V200" i="8"/>
  <c r="U201" i="8"/>
  <c r="V201" i="8"/>
  <c r="U202" i="8"/>
  <c r="V202" i="8"/>
  <c r="U203" i="8"/>
  <c r="V203" i="8"/>
  <c r="U204" i="8"/>
  <c r="V204" i="8"/>
  <c r="U205" i="8"/>
  <c r="V205" i="8"/>
  <c r="U206" i="8"/>
  <c r="V206" i="8"/>
  <c r="U207" i="8"/>
  <c r="V207" i="8"/>
  <c r="U208" i="8"/>
  <c r="V208" i="8"/>
  <c r="U209" i="8"/>
  <c r="V209" i="8"/>
  <c r="U210" i="8"/>
  <c r="V210" i="8"/>
  <c r="U211" i="8"/>
  <c r="V211" i="8"/>
  <c r="U212" i="8"/>
  <c r="V212" i="8"/>
  <c r="U213" i="8"/>
  <c r="V213" i="8"/>
  <c r="U214" i="8"/>
  <c r="V214" i="8"/>
  <c r="U215" i="8"/>
  <c r="V215" i="8"/>
  <c r="U216" i="8"/>
  <c r="V216" i="8"/>
  <c r="U217" i="8"/>
  <c r="V217" i="8"/>
  <c r="U218" i="8"/>
  <c r="V218" i="8"/>
  <c r="U219" i="8"/>
  <c r="V219" i="8"/>
  <c r="U220" i="8"/>
  <c r="V220" i="8"/>
  <c r="U221" i="8"/>
  <c r="V221" i="8"/>
  <c r="U222" i="8"/>
  <c r="V222" i="8"/>
  <c r="U223" i="8"/>
  <c r="V223" i="8"/>
  <c r="U224" i="8"/>
  <c r="V224" i="8"/>
  <c r="U225" i="8"/>
  <c r="V225" i="8"/>
  <c r="U226" i="8"/>
  <c r="V226" i="8"/>
  <c r="U227" i="8"/>
  <c r="V227" i="8"/>
  <c r="U228" i="8"/>
  <c r="V228" i="8"/>
  <c r="U229" i="8"/>
  <c r="V229" i="8"/>
  <c r="U230" i="8"/>
  <c r="V230" i="8"/>
  <c r="U231" i="8"/>
  <c r="V231" i="8"/>
  <c r="U232" i="8"/>
  <c r="V232" i="8"/>
  <c r="U233" i="8"/>
  <c r="V233" i="8"/>
  <c r="U234" i="8"/>
  <c r="V234" i="8"/>
  <c r="U235" i="8"/>
  <c r="V235" i="8"/>
  <c r="U236" i="8"/>
  <c r="V236" i="8"/>
  <c r="U237" i="8"/>
  <c r="V237" i="8"/>
  <c r="U238" i="8"/>
  <c r="V238" i="8"/>
  <c r="U239" i="8"/>
  <c r="V239" i="8"/>
  <c r="U240" i="8"/>
  <c r="V240" i="8"/>
  <c r="U241" i="8"/>
  <c r="V241" i="8"/>
  <c r="U242" i="8"/>
  <c r="V242" i="8"/>
  <c r="U243" i="8"/>
  <c r="V243" i="8"/>
  <c r="U244" i="8"/>
  <c r="V244" i="8"/>
  <c r="U245" i="8"/>
  <c r="V245" i="8"/>
  <c r="U246" i="8"/>
  <c r="V246" i="8"/>
  <c r="U247" i="8"/>
  <c r="V247" i="8"/>
  <c r="U248" i="8"/>
  <c r="V248" i="8"/>
  <c r="U249" i="8"/>
  <c r="V249" i="8"/>
  <c r="U250" i="8"/>
  <c r="V250" i="8"/>
  <c r="U251" i="8"/>
  <c r="V251" i="8"/>
  <c r="U252" i="8"/>
  <c r="V252" i="8"/>
  <c r="U253" i="8"/>
  <c r="V253" i="8"/>
  <c r="U254" i="8"/>
  <c r="V254" i="8"/>
  <c r="U255" i="8"/>
  <c r="V255" i="8"/>
  <c r="U256" i="8"/>
  <c r="V256" i="8"/>
  <c r="U257" i="8"/>
  <c r="V257" i="8"/>
  <c r="U258" i="8"/>
  <c r="V258" i="8"/>
  <c r="U259" i="8"/>
  <c r="V259" i="8"/>
  <c r="U260" i="8"/>
  <c r="V260" i="8"/>
  <c r="U261" i="8"/>
  <c r="V261" i="8"/>
  <c r="U262" i="8"/>
  <c r="V262" i="8"/>
  <c r="U263" i="8"/>
  <c r="V263" i="8"/>
  <c r="U264" i="8"/>
  <c r="V264" i="8"/>
  <c r="U265" i="8"/>
  <c r="V265" i="8"/>
  <c r="U266" i="8"/>
  <c r="V266" i="8"/>
  <c r="U267" i="8"/>
  <c r="V267" i="8"/>
  <c r="U268" i="8"/>
  <c r="V268" i="8"/>
  <c r="U269" i="8"/>
  <c r="V269" i="8"/>
  <c r="U270" i="8"/>
  <c r="V270" i="8"/>
  <c r="U271" i="8"/>
  <c r="V271" i="8"/>
  <c r="U272" i="8"/>
  <c r="V272" i="8"/>
  <c r="U273" i="8"/>
  <c r="V273" i="8"/>
  <c r="U274" i="8"/>
  <c r="V274" i="8"/>
  <c r="U275" i="8"/>
  <c r="V275" i="8"/>
  <c r="U276" i="8"/>
  <c r="V276" i="8"/>
  <c r="U277" i="8"/>
  <c r="V277" i="8"/>
  <c r="U278" i="8"/>
  <c r="V278" i="8"/>
  <c r="U279" i="8"/>
  <c r="V279" i="8"/>
  <c r="U280" i="8"/>
  <c r="V280" i="8"/>
  <c r="U281" i="8"/>
  <c r="V281" i="8"/>
  <c r="U282" i="8"/>
  <c r="V282" i="8"/>
  <c r="U283" i="8"/>
  <c r="V283" i="8"/>
  <c r="U284" i="8"/>
  <c r="V284" i="8"/>
  <c r="U285" i="8"/>
  <c r="V285" i="8"/>
  <c r="U286" i="8"/>
  <c r="V286" i="8"/>
  <c r="U287" i="8"/>
  <c r="V287" i="8"/>
  <c r="U288" i="8"/>
  <c r="V288" i="8"/>
  <c r="U289" i="8"/>
  <c r="V289" i="8"/>
  <c r="U290" i="8"/>
  <c r="V290" i="8"/>
  <c r="U291" i="8"/>
  <c r="V291" i="8"/>
  <c r="U292" i="8"/>
  <c r="V292" i="8"/>
  <c r="U293" i="8"/>
  <c r="V293" i="8"/>
  <c r="U294" i="8"/>
  <c r="V294" i="8"/>
  <c r="U295" i="8"/>
  <c r="V295" i="8"/>
  <c r="U296" i="8"/>
  <c r="V296" i="8"/>
  <c r="U297" i="8"/>
  <c r="V297" i="8"/>
  <c r="U298" i="8"/>
  <c r="V298" i="8"/>
  <c r="U299" i="8"/>
  <c r="V299" i="8"/>
  <c r="U300" i="8"/>
  <c r="V300" i="8"/>
  <c r="U301" i="8"/>
  <c r="V301" i="8"/>
  <c r="U302" i="8"/>
  <c r="V302" i="8"/>
  <c r="U303" i="8"/>
  <c r="V303" i="8"/>
  <c r="U304" i="8"/>
  <c r="V304" i="8"/>
  <c r="U305" i="8"/>
  <c r="V305" i="8"/>
  <c r="U306" i="8"/>
  <c r="V306" i="8"/>
  <c r="U307" i="8"/>
  <c r="V307" i="8"/>
  <c r="U308" i="8"/>
  <c r="V308" i="8"/>
  <c r="U309" i="8"/>
  <c r="V309" i="8"/>
  <c r="U310" i="8"/>
  <c r="V310" i="8"/>
  <c r="U311" i="8"/>
  <c r="V311" i="8"/>
  <c r="U312" i="8"/>
  <c r="V312" i="8"/>
  <c r="U313" i="8"/>
  <c r="V313" i="8"/>
  <c r="U314" i="8"/>
  <c r="V314" i="8"/>
  <c r="U315" i="8"/>
  <c r="V315" i="8"/>
  <c r="U316" i="8"/>
  <c r="V316" i="8"/>
  <c r="U317" i="8"/>
  <c r="V317" i="8"/>
  <c r="U318" i="8"/>
  <c r="V318" i="8"/>
  <c r="U319" i="8"/>
  <c r="V319" i="8"/>
  <c r="U320" i="8"/>
  <c r="V320" i="8"/>
  <c r="U321" i="8"/>
  <c r="V321" i="8"/>
  <c r="U322" i="8"/>
  <c r="V322" i="8"/>
  <c r="U323" i="8"/>
  <c r="V323" i="8"/>
  <c r="U324" i="8"/>
  <c r="V324" i="8"/>
  <c r="U325" i="8"/>
  <c r="V325" i="8"/>
  <c r="U326" i="8"/>
  <c r="V326" i="8"/>
  <c r="U327" i="8"/>
  <c r="V327" i="8"/>
  <c r="U328" i="8"/>
  <c r="V328" i="8"/>
  <c r="U329" i="8"/>
  <c r="V329" i="8"/>
  <c r="U330" i="8"/>
  <c r="V330" i="8"/>
  <c r="U331" i="8"/>
  <c r="V331" i="8"/>
  <c r="U332" i="8"/>
  <c r="V332" i="8"/>
  <c r="U333" i="8"/>
  <c r="V333" i="8"/>
  <c r="U334" i="8"/>
  <c r="V334" i="8"/>
  <c r="U335" i="8"/>
  <c r="V335" i="8"/>
  <c r="U336" i="8"/>
  <c r="V336" i="8"/>
  <c r="U337" i="8"/>
  <c r="V337" i="8"/>
  <c r="U338" i="8"/>
  <c r="V338" i="8"/>
  <c r="U339" i="8"/>
  <c r="V339" i="8"/>
  <c r="U340" i="8"/>
  <c r="V340" i="8"/>
  <c r="U341" i="8"/>
  <c r="V341" i="8"/>
  <c r="U342" i="8"/>
  <c r="V342" i="8"/>
  <c r="U343" i="8"/>
  <c r="V343" i="8"/>
  <c r="U344" i="8"/>
  <c r="V344" i="8"/>
  <c r="U345" i="8"/>
  <c r="V345" i="8"/>
  <c r="U346" i="8"/>
  <c r="V346" i="8"/>
  <c r="U347" i="8"/>
  <c r="V347" i="8"/>
  <c r="U348" i="8"/>
  <c r="V348" i="8"/>
  <c r="U349" i="8"/>
  <c r="V349" i="8"/>
  <c r="U350" i="8"/>
  <c r="V350" i="8"/>
  <c r="U351" i="8"/>
  <c r="V351" i="8"/>
  <c r="U352" i="8"/>
  <c r="V352" i="8"/>
  <c r="U353" i="8"/>
  <c r="V353" i="8"/>
  <c r="U354" i="8"/>
  <c r="V354" i="8"/>
  <c r="D6" i="9"/>
  <c r="P209" i="9"/>
  <c r="P197" i="9"/>
  <c r="P196" i="9"/>
  <c r="P195" i="9"/>
  <c r="P194" i="9"/>
  <c r="P193" i="9"/>
  <c r="P192" i="9"/>
  <c r="P191" i="9"/>
  <c r="P190" i="9"/>
  <c r="P189" i="9"/>
  <c r="P188" i="9"/>
  <c r="P187" i="9"/>
  <c r="P186" i="9"/>
  <c r="P185" i="9"/>
  <c r="P184" i="9"/>
  <c r="P183" i="9"/>
  <c r="P182" i="9"/>
  <c r="P181" i="9"/>
  <c r="P180" i="9"/>
  <c r="P179" i="9"/>
  <c r="P178" i="9"/>
  <c r="P177" i="9"/>
  <c r="P176" i="9"/>
  <c r="P175" i="9"/>
  <c r="P174" i="9"/>
  <c r="P173" i="9"/>
  <c r="P172" i="9"/>
  <c r="P171" i="9"/>
  <c r="P170" i="9"/>
  <c r="P169" i="9"/>
  <c r="P168" i="9"/>
  <c r="P167" i="9"/>
  <c r="P166" i="9"/>
  <c r="P165" i="9"/>
  <c r="P164" i="9"/>
  <c r="P163" i="9"/>
  <c r="P162" i="9"/>
  <c r="P161" i="9"/>
  <c r="P160" i="9"/>
  <c r="P159" i="9"/>
  <c r="P158" i="9"/>
  <c r="P157" i="9"/>
  <c r="P156" i="9"/>
  <c r="P155" i="9"/>
  <c r="P121" i="9"/>
  <c r="P154" i="9"/>
  <c r="P153" i="9"/>
  <c r="P152" i="9"/>
  <c r="P151" i="9"/>
  <c r="P150" i="9"/>
  <c r="P149" i="9"/>
  <c r="P148" i="9"/>
  <c r="P147" i="9"/>
  <c r="P146" i="9"/>
  <c r="P145" i="9"/>
  <c r="P144" i="9"/>
  <c r="P143" i="9"/>
  <c r="P142" i="9"/>
  <c r="P141" i="9"/>
  <c r="P140" i="9"/>
  <c r="P139" i="9"/>
  <c r="P138" i="9"/>
  <c r="P137" i="9"/>
  <c r="P136" i="9"/>
  <c r="P135" i="9"/>
  <c r="P134" i="9"/>
  <c r="P133" i="9"/>
  <c r="P132" i="9"/>
  <c r="P131" i="9"/>
  <c r="P130" i="9"/>
  <c r="P129" i="9"/>
  <c r="P128" i="9"/>
  <c r="P127" i="9"/>
  <c r="P126" i="9"/>
  <c r="P125" i="9"/>
  <c r="P124" i="9"/>
  <c r="P123" i="9"/>
  <c r="P347" i="9"/>
  <c r="P344" i="9"/>
  <c r="P343" i="9"/>
  <c r="P217" i="9"/>
  <c r="P216" i="9"/>
  <c r="P215" i="9"/>
  <c r="P214" i="9"/>
  <c r="P213" i="9"/>
  <c r="P212" i="9"/>
  <c r="P211" i="9"/>
  <c r="P210" i="9"/>
  <c r="P122" i="9"/>
  <c r="P208" i="9"/>
  <c r="P207" i="9"/>
  <c r="P206" i="9"/>
  <c r="P205" i="9"/>
  <c r="P204" i="9"/>
  <c r="P203" i="9"/>
  <c r="P202" i="9"/>
  <c r="P201" i="9"/>
  <c r="P200" i="9"/>
  <c r="P199" i="9"/>
  <c r="P198" i="9"/>
  <c r="P120" i="9"/>
  <c r="P119" i="9"/>
  <c r="P118" i="9"/>
  <c r="P117" i="9"/>
  <c r="P116" i="9"/>
  <c r="P115" i="9"/>
  <c r="P114" i="9"/>
  <c r="P113" i="9"/>
  <c r="P112" i="9"/>
  <c r="P111" i="9"/>
  <c r="P110" i="9"/>
  <c r="P109" i="9"/>
  <c r="P108" i="9"/>
  <c r="P107" i="9"/>
  <c r="P106" i="9"/>
  <c r="P105" i="9"/>
  <c r="P104" i="9"/>
  <c r="P103" i="9"/>
  <c r="P102" i="9"/>
  <c r="P101" i="9"/>
  <c r="P100" i="9"/>
  <c r="P99" i="9"/>
  <c r="P98" i="9"/>
  <c r="P97" i="9"/>
  <c r="P96" i="9"/>
  <c r="P95" i="9"/>
  <c r="P94" i="9"/>
  <c r="P93" i="9"/>
  <c r="P92" i="9"/>
  <c r="P91" i="9"/>
  <c r="P90" i="9"/>
  <c r="P89" i="9"/>
  <c r="P88" i="9"/>
  <c r="P87" i="9"/>
  <c r="P86" i="9"/>
  <c r="P85" i="9"/>
  <c r="P84" i="9"/>
  <c r="P342" i="9"/>
  <c r="P341" i="9"/>
  <c r="P339" i="9"/>
  <c r="P338" i="9"/>
  <c r="P337" i="9"/>
  <c r="P335" i="9"/>
  <c r="P334" i="9"/>
  <c r="P232" i="9"/>
  <c r="P284" i="9"/>
  <c r="P273" i="9"/>
  <c r="P254" i="9"/>
  <c r="P235" i="9"/>
  <c r="P225" i="9"/>
  <c r="P427" i="9"/>
  <c r="P417" i="9"/>
  <c r="P410" i="9"/>
  <c r="P399" i="9"/>
  <c r="P382" i="9"/>
  <c r="P372" i="9"/>
  <c r="P400" i="9"/>
  <c r="P353" i="9"/>
  <c r="P326" i="9"/>
  <c r="P311" i="9"/>
  <c r="P302" i="9"/>
  <c r="P285" i="9"/>
  <c r="P240" i="9"/>
  <c r="P366" i="9"/>
  <c r="P355" i="9"/>
  <c r="P391" i="9"/>
  <c r="P376" i="9"/>
  <c r="P419" i="9"/>
  <c r="P386" i="9"/>
  <c r="P316" i="9"/>
  <c r="P307" i="9"/>
  <c r="P298" i="9"/>
  <c r="P255" i="9"/>
  <c r="P223" i="9"/>
  <c r="P359" i="9"/>
  <c r="P271" i="9"/>
  <c r="P388" i="9"/>
  <c r="P370" i="9"/>
  <c r="P407" i="9"/>
  <c r="P371" i="9"/>
  <c r="P345" i="9"/>
  <c r="P313" i="9"/>
  <c r="P303" i="9"/>
  <c r="P288" i="9"/>
  <c r="P238" i="9"/>
  <c r="P364" i="9"/>
  <c r="P409" i="9"/>
  <c r="P390" i="9"/>
  <c r="P378" i="9"/>
  <c r="P422" i="9"/>
  <c r="P394" i="9"/>
  <c r="P346" i="9"/>
  <c r="P287" i="9"/>
  <c r="P236" i="9"/>
  <c r="P362" i="9"/>
  <c r="P349" i="9"/>
  <c r="P395" i="9"/>
  <c r="P379" i="9"/>
  <c r="P425" i="9"/>
  <c r="P397" i="9"/>
  <c r="P351" i="9"/>
  <c r="P322" i="9"/>
  <c r="P309" i="9"/>
  <c r="P300" i="9"/>
  <c r="P263" i="9"/>
  <c r="P231" i="9"/>
  <c r="P363" i="9"/>
  <c r="P389" i="9"/>
  <c r="P377" i="9"/>
  <c r="P423" i="9"/>
  <c r="P392" i="9"/>
  <c r="P340" i="9"/>
  <c r="P315" i="9"/>
  <c r="P304" i="9"/>
  <c r="P289" i="9"/>
  <c r="P247" i="9"/>
  <c r="P220" i="9"/>
  <c r="P357" i="9"/>
  <c r="P321" i="9"/>
  <c r="P292" i="9"/>
  <c r="P246" i="9"/>
  <c r="P332" i="9"/>
  <c r="P330" i="9"/>
  <c r="P323" i="9"/>
  <c r="P318" i="9"/>
  <c r="P290" i="9"/>
  <c r="P267" i="9"/>
  <c r="P222" i="9"/>
  <c r="P227" i="9"/>
  <c r="P282" i="9"/>
  <c r="P269" i="9"/>
  <c r="P251" i="9"/>
  <c r="P242" i="9"/>
  <c r="P230" i="9"/>
  <c r="P432" i="9"/>
  <c r="P426" i="9"/>
  <c r="P416" i="9"/>
  <c r="P408" i="9"/>
  <c r="P393" i="9"/>
  <c r="P380" i="9"/>
  <c r="P430" i="9"/>
  <c r="P396" i="9"/>
  <c r="P352" i="9"/>
  <c r="P324" i="9"/>
  <c r="P310" i="9"/>
  <c r="P301" i="9"/>
  <c r="P276" i="9"/>
  <c r="P237" i="9"/>
  <c r="P365" i="9"/>
  <c r="P354" i="9"/>
  <c r="P257" i="9"/>
  <c r="P219" i="9"/>
  <c r="P279" i="9"/>
  <c r="P266" i="9"/>
  <c r="P320" i="9"/>
  <c r="P291" i="9"/>
  <c r="P264" i="9"/>
  <c r="P245" i="9"/>
  <c r="P218" i="9"/>
  <c r="P280" i="9"/>
  <c r="P268" i="9"/>
  <c r="P253" i="9"/>
  <c r="P428" i="9"/>
  <c r="P418" i="9"/>
  <c r="P411" i="9"/>
  <c r="P404" i="9"/>
  <c r="P385" i="9"/>
  <c r="P374" i="9"/>
  <c r="P402" i="9"/>
  <c r="P369" i="9"/>
  <c r="P328" i="9"/>
  <c r="P312" i="9"/>
  <c r="P306" i="9"/>
  <c r="P297" i="9"/>
  <c r="P252" i="9"/>
  <c r="P356" i="9"/>
  <c r="P333" i="9"/>
  <c r="P331" i="9"/>
  <c r="P329" i="9"/>
  <c r="P319" i="9"/>
  <c r="P294" i="9"/>
  <c r="P275" i="9"/>
  <c r="P256" i="9"/>
  <c r="P234" i="9"/>
  <c r="P286" i="9"/>
  <c r="P274" i="9"/>
  <c r="P261" i="9"/>
  <c r="P244" i="9"/>
  <c r="P228" i="9"/>
  <c r="P431" i="9"/>
  <c r="P420" i="9"/>
  <c r="P413" i="9"/>
  <c r="P405" i="9"/>
  <c r="P387" i="9"/>
  <c r="P375" i="9"/>
  <c r="P414" i="9"/>
  <c r="P373" i="9"/>
  <c r="P348" i="9"/>
  <c r="P317" i="9"/>
  <c r="P308" i="9"/>
  <c r="P299" i="9"/>
  <c r="P260" i="9"/>
  <c r="P224" i="9"/>
  <c r="P361" i="9"/>
  <c r="P327" i="9"/>
  <c r="P295" i="9"/>
  <c r="P278" i="9"/>
  <c r="P259" i="9"/>
  <c r="P239" i="9"/>
  <c r="P384" i="9"/>
  <c r="P277" i="9"/>
  <c r="P265" i="9"/>
  <c r="P248" i="9"/>
  <c r="P233" i="9"/>
  <c r="P433" i="9"/>
  <c r="P424" i="9"/>
  <c r="P415" i="9"/>
  <c r="P403" i="9"/>
  <c r="P383" i="9"/>
  <c r="P434" i="9"/>
  <c r="P398" i="9"/>
  <c r="P350" i="9"/>
  <c r="P270" i="9"/>
  <c r="P229" i="9"/>
  <c r="P360" i="9"/>
  <c r="P325" i="9"/>
  <c r="P296" i="9"/>
  <c r="P281" i="9"/>
  <c r="P262" i="9"/>
  <c r="P241" i="9"/>
  <c r="P83" i="9"/>
  <c r="P283" i="9"/>
  <c r="P272" i="9"/>
  <c r="P258" i="9"/>
  <c r="P243" i="9"/>
  <c r="P226" i="9"/>
  <c r="P429" i="9"/>
  <c r="P421" i="9"/>
  <c r="P412" i="9"/>
  <c r="P406" i="9"/>
  <c r="P381" i="9"/>
  <c r="P367" i="9"/>
  <c r="P401" i="9"/>
  <c r="P368" i="9"/>
  <c r="P336" i="9"/>
  <c r="P314" i="9"/>
  <c r="P305" i="9"/>
  <c r="P293" i="9"/>
  <c r="P249" i="9"/>
  <c r="P221" i="9"/>
  <c r="P358" i="9"/>
  <c r="D4" i="9"/>
  <c r="P250" i="9"/>
  <c r="D8" i="1" l="1"/>
  <c r="E8" i="1"/>
  <c r="BG4" i="5"/>
  <c r="C118" i="6" a="1"/>
  <c r="BG37" i="5" s="1"/>
  <c r="D118" i="6" a="1"/>
  <c r="BG38" i="5" s="1"/>
  <c r="V5546" i="9" a="1"/>
  <c r="T5546" i="9"/>
  <c r="W5545" i="9"/>
  <c r="V5545" i="9" a="1"/>
  <c r="T5545" i="9"/>
  <c r="U5545" i="9" s="1"/>
  <c r="W5544" i="9"/>
  <c r="V5544" i="9" a="1"/>
  <c r="T5544" i="9"/>
  <c r="U5544" i="9" s="1"/>
  <c r="W5543" i="9"/>
  <c r="V5543" i="9" a="1"/>
  <c r="T5543" i="9"/>
  <c r="U5543" i="9" s="1"/>
  <c r="V5542" i="9" a="1"/>
  <c r="T5542" i="9"/>
  <c r="V5541" i="9" a="1"/>
  <c r="T5541" i="9"/>
  <c r="W5540" i="9"/>
  <c r="V5540" i="9" a="1"/>
  <c r="T5540" i="9"/>
  <c r="U5540" i="9" s="1"/>
  <c r="W5539" i="9"/>
  <c r="V5539" i="9" a="1"/>
  <c r="T5539" i="9"/>
  <c r="U5539" i="9" s="1"/>
  <c r="V5538" i="9" a="1"/>
  <c r="T5538" i="9"/>
  <c r="W5537" i="9"/>
  <c r="V5537" i="9" a="1"/>
  <c r="T5537" i="9"/>
  <c r="U5537" i="9" s="1"/>
  <c r="W5536" i="9"/>
  <c r="V5536" i="9" a="1"/>
  <c r="T5536" i="9"/>
  <c r="U5536" i="9" s="1"/>
  <c r="W5535" i="9"/>
  <c r="V5535" i="9" a="1"/>
  <c r="T5535" i="9"/>
  <c r="U5535" i="9" s="1"/>
  <c r="W5534" i="9"/>
  <c r="V5534" i="9" a="1"/>
  <c r="T5534" i="9"/>
  <c r="U5534" i="9" s="1"/>
  <c r="W5533" i="9"/>
  <c r="V5533" i="9" a="1"/>
  <c r="T5533" i="9"/>
  <c r="U5533" i="9" s="1"/>
  <c r="W5532" i="9"/>
  <c r="V5532" i="9" a="1"/>
  <c r="T5532" i="9"/>
  <c r="U5532" i="9" s="1"/>
  <c r="W5531" i="9"/>
  <c r="V5531" i="9" a="1"/>
  <c r="T5531" i="9"/>
  <c r="U5531" i="9" s="1"/>
  <c r="W5530" i="9"/>
  <c r="V5530" i="9" a="1"/>
  <c r="T5530" i="9"/>
  <c r="U5530" i="9" s="1"/>
  <c r="V5529" i="9" a="1"/>
  <c r="T5529" i="9"/>
  <c r="V5528" i="9" a="1"/>
  <c r="T5528" i="9"/>
  <c r="W5527" i="9"/>
  <c r="V5527" i="9" a="1"/>
  <c r="T5527" i="9"/>
  <c r="U5527" i="9" s="1"/>
  <c r="W5526" i="9"/>
  <c r="V5526" i="9" a="1"/>
  <c r="T5526" i="9"/>
  <c r="U5526" i="9" s="1"/>
  <c r="W5525" i="9"/>
  <c r="V5525" i="9" a="1"/>
  <c r="T5525" i="9"/>
  <c r="U5525" i="9" s="1"/>
  <c r="W5524" i="9"/>
  <c r="V5524" i="9" a="1"/>
  <c r="T5524" i="9"/>
  <c r="U5524" i="9" s="1"/>
  <c r="V5523" i="9" a="1"/>
  <c r="T5523" i="9"/>
  <c r="W5522" i="9"/>
  <c r="V5522" i="9" a="1"/>
  <c r="T5522" i="9"/>
  <c r="U5522" i="9" s="1"/>
  <c r="W5521" i="9"/>
  <c r="V5521" i="9" a="1"/>
  <c r="T5521" i="9"/>
  <c r="U5521" i="9" s="1"/>
  <c r="W5520" i="9"/>
  <c r="V5520" i="9" a="1"/>
  <c r="T5520" i="9"/>
  <c r="U5520" i="9" s="1"/>
  <c r="W5519" i="9"/>
  <c r="V5519" i="9" a="1"/>
  <c r="T5519" i="9"/>
  <c r="U5519" i="9" s="1"/>
  <c r="W5518" i="9"/>
  <c r="V5518" i="9" a="1"/>
  <c r="T5518" i="9"/>
  <c r="U5518" i="9" s="1"/>
  <c r="V5517" i="9" a="1"/>
  <c r="T5517" i="9"/>
  <c r="V5516" i="9" a="1"/>
  <c r="T5516" i="9"/>
  <c r="W5515" i="9"/>
  <c r="V5515" i="9" a="1"/>
  <c r="T5515" i="9"/>
  <c r="U5515" i="9" s="1"/>
  <c r="W5514" i="9"/>
  <c r="V5514" i="9" a="1"/>
  <c r="T5514" i="9"/>
  <c r="U5514" i="9" s="1"/>
  <c r="W5513" i="9"/>
  <c r="V5513" i="9" a="1"/>
  <c r="T5513" i="9"/>
  <c r="U5513" i="9" s="1"/>
  <c r="W5512" i="9"/>
  <c r="BG1035" i="9" s="1"/>
  <c r="V5512" i="9" a="1"/>
  <c r="T5512" i="9"/>
  <c r="U5512" i="9" s="1"/>
  <c r="W5511" i="9"/>
  <c r="V5511" i="9" a="1"/>
  <c r="T5511" i="9"/>
  <c r="U5511" i="9" s="1"/>
  <c r="W5510" i="9"/>
  <c r="V5510" i="9" a="1"/>
  <c r="T5510" i="9"/>
  <c r="U5510" i="9" s="1"/>
  <c r="W5509" i="9"/>
  <c r="BG1032" i="9" s="1"/>
  <c r="V5509" i="9" a="1"/>
  <c r="T5509" i="9"/>
  <c r="U5509" i="9" s="1"/>
  <c r="W5508" i="9"/>
  <c r="V5508" i="9" a="1"/>
  <c r="T5508" i="9"/>
  <c r="U5508" i="9" s="1"/>
  <c r="W5507" i="9"/>
  <c r="V5507" i="9" a="1"/>
  <c r="T5507" i="9"/>
  <c r="U5507" i="9" s="1"/>
  <c r="W5506" i="9"/>
  <c r="BG1029" i="9" s="1"/>
  <c r="V5506" i="9" a="1"/>
  <c r="T5506" i="9"/>
  <c r="U5506" i="9" s="1"/>
  <c r="W5505" i="9"/>
  <c r="V5505" i="9" a="1"/>
  <c r="T5505" i="9"/>
  <c r="U5505" i="9" s="1"/>
  <c r="W5504" i="9"/>
  <c r="BG1027" i="9" s="1"/>
  <c r="V5504" i="9" a="1"/>
  <c r="T5504" i="9"/>
  <c r="U5504" i="9" s="1"/>
  <c r="W5503" i="9"/>
  <c r="V5503" i="9" a="1"/>
  <c r="T5503" i="9"/>
  <c r="U5503" i="9" s="1"/>
  <c r="W5502" i="9"/>
  <c r="V5502" i="9" a="1"/>
  <c r="T5502" i="9"/>
  <c r="U5502" i="9" s="1"/>
  <c r="W5501" i="9"/>
  <c r="V5501" i="9" a="1"/>
  <c r="T5501" i="9"/>
  <c r="U5501" i="9" s="1"/>
  <c r="W5500" i="9"/>
  <c r="V5500" i="9" a="1"/>
  <c r="T5500" i="9"/>
  <c r="U5500" i="9" s="1"/>
  <c r="W5499" i="9"/>
  <c r="V5499" i="9" a="1"/>
  <c r="T5499" i="9"/>
  <c r="U5499" i="9" s="1"/>
  <c r="W5498" i="9"/>
  <c r="V5498" i="9" a="1"/>
  <c r="T5498" i="9"/>
  <c r="U5498" i="9" s="1"/>
  <c r="W5497" i="9"/>
  <c r="V5497" i="9" a="1"/>
  <c r="T5497" i="9"/>
  <c r="U5497" i="9" s="1"/>
  <c r="W5496" i="9"/>
  <c r="V5496" i="9" a="1"/>
  <c r="T5496" i="9"/>
  <c r="U5496" i="9" s="1"/>
  <c r="W5495" i="9"/>
  <c r="V5495" i="9" a="1"/>
  <c r="T5495" i="9"/>
  <c r="U5495" i="9" s="1"/>
  <c r="W5494" i="9"/>
  <c r="V5494" i="9" a="1"/>
  <c r="T5494" i="9"/>
  <c r="U5494" i="9" s="1"/>
  <c r="W5493" i="9"/>
  <c r="V5493" i="9" a="1"/>
  <c r="T5493" i="9"/>
  <c r="U5493" i="9" s="1"/>
  <c r="W5492" i="9"/>
  <c r="V5492" i="9" a="1"/>
  <c r="T5492" i="9"/>
  <c r="U5492" i="9" s="1"/>
  <c r="W5491" i="9"/>
  <c r="BG1014" i="9" s="1"/>
  <c r="V5491" i="9" a="1"/>
  <c r="T5491" i="9"/>
  <c r="U5491" i="9" s="1"/>
  <c r="W5490" i="9"/>
  <c r="BG1013" i="9" s="1"/>
  <c r="V5490" i="9" a="1"/>
  <c r="T5490" i="9"/>
  <c r="U5490" i="9" s="1"/>
  <c r="W5489" i="9"/>
  <c r="V5489" i="9" a="1"/>
  <c r="T5489" i="9"/>
  <c r="U5489" i="9" s="1"/>
  <c r="W5488" i="9"/>
  <c r="V5488" i="9" a="1"/>
  <c r="T5488" i="9"/>
  <c r="U5488" i="9" s="1"/>
  <c r="W5487" i="9"/>
  <c r="BG1010" i="9" s="1"/>
  <c r="V5487" i="9" a="1"/>
  <c r="T5487" i="9"/>
  <c r="U5487" i="9" s="1"/>
  <c r="W5486" i="9"/>
  <c r="V5486" i="9" a="1"/>
  <c r="T5486" i="9"/>
  <c r="U5486" i="9" s="1"/>
  <c r="W5485" i="9"/>
  <c r="V5485" i="9" a="1"/>
  <c r="T5485" i="9"/>
  <c r="U5485" i="9" s="1"/>
  <c r="W5484" i="9"/>
  <c r="V5484" i="9" a="1"/>
  <c r="T5484" i="9"/>
  <c r="U5484" i="9" s="1"/>
  <c r="W5483" i="9"/>
  <c r="V5483" i="9" a="1"/>
  <c r="T5483" i="9"/>
  <c r="U5483" i="9" s="1"/>
  <c r="W5482" i="9"/>
  <c r="V5482" i="9" a="1"/>
  <c r="T5482" i="9"/>
  <c r="U5482" i="9" s="1"/>
  <c r="W5481" i="9"/>
  <c r="V5481" i="9" a="1"/>
  <c r="T5481" i="9"/>
  <c r="U5481" i="9" s="1"/>
  <c r="W5480" i="9"/>
  <c r="V5480" i="9" a="1"/>
  <c r="T5480" i="9"/>
  <c r="U5480" i="9" s="1"/>
  <c r="W5479" i="9"/>
  <c r="V5479" i="9" a="1"/>
  <c r="T5479" i="9"/>
  <c r="U5479" i="9" s="1"/>
  <c r="W5478" i="9"/>
  <c r="V5478" i="9" a="1"/>
  <c r="T5478" i="9"/>
  <c r="U5478" i="9" s="1"/>
  <c r="W5477" i="9"/>
  <c r="BG1000" i="9" s="1"/>
  <c r="V5477" i="9" a="1"/>
  <c r="T5477" i="9"/>
  <c r="U5477" i="9" s="1"/>
  <c r="W5476" i="9"/>
  <c r="V5476" i="9" a="1"/>
  <c r="T5476" i="9"/>
  <c r="U5476" i="9" s="1"/>
  <c r="W5475" i="9"/>
  <c r="V5475" i="9" a="1"/>
  <c r="T5475" i="9"/>
  <c r="U5475" i="9" s="1"/>
  <c r="W5474" i="9"/>
  <c r="V5474" i="9" a="1"/>
  <c r="T5474" i="9"/>
  <c r="U5474" i="9" s="1"/>
  <c r="W5473" i="9"/>
  <c r="BG996" i="9" s="1"/>
  <c r="V5473" i="9" a="1"/>
  <c r="T5473" i="9"/>
  <c r="U5473" i="9" s="1"/>
  <c r="W5472" i="9"/>
  <c r="V5472" i="9" a="1"/>
  <c r="T5472" i="9"/>
  <c r="U5472" i="9" s="1"/>
  <c r="W5471" i="9"/>
  <c r="V5471" i="9" a="1"/>
  <c r="T5471" i="9"/>
  <c r="U5471" i="9" s="1"/>
  <c r="W5470" i="9"/>
  <c r="V5470" i="9" a="1"/>
  <c r="T5470" i="9"/>
  <c r="U5470" i="9" s="1"/>
  <c r="W5469" i="9"/>
  <c r="V5469" i="9" a="1"/>
  <c r="T5469" i="9"/>
  <c r="U5469" i="9" s="1"/>
  <c r="W5468" i="9"/>
  <c r="BG991" i="9" s="1"/>
  <c r="V5468" i="9" a="1"/>
  <c r="T5468" i="9"/>
  <c r="U5468" i="9" s="1"/>
  <c r="W5467" i="9"/>
  <c r="BG990" i="9" s="1"/>
  <c r="V5467" i="9" a="1"/>
  <c r="T5467" i="9"/>
  <c r="U5467" i="9" s="1"/>
  <c r="W5466" i="9"/>
  <c r="BG989" i="9" s="1"/>
  <c r="V5466" i="9" a="1"/>
  <c r="T5466" i="9"/>
  <c r="U5466" i="9" s="1"/>
  <c r="W5465" i="9"/>
  <c r="BG988" i="9" s="1"/>
  <c r="V5465" i="9" a="1"/>
  <c r="T5465" i="9"/>
  <c r="U5465" i="9" s="1"/>
  <c r="W5464" i="9"/>
  <c r="V5464" i="9" a="1"/>
  <c r="T5464" i="9"/>
  <c r="U5464" i="9" s="1"/>
  <c r="W5463" i="9"/>
  <c r="V5463" i="9" a="1"/>
  <c r="T5463" i="9"/>
  <c r="U5463" i="9" s="1"/>
  <c r="W5462" i="9"/>
  <c r="BG985" i="9" s="1"/>
  <c r="V5462" i="9" a="1"/>
  <c r="T5462" i="9"/>
  <c r="U5462" i="9" s="1"/>
  <c r="W5461" i="9"/>
  <c r="V5461" i="9" a="1"/>
  <c r="T5461" i="9"/>
  <c r="U5461" i="9" s="1"/>
  <c r="W5460" i="9"/>
  <c r="BG983" i="9" s="1"/>
  <c r="V5460" i="9" a="1"/>
  <c r="T5460" i="9"/>
  <c r="U5460" i="9" s="1"/>
  <c r="W5459" i="9"/>
  <c r="BG982" i="9" s="1"/>
  <c r="V5459" i="9" a="1"/>
  <c r="T5459" i="9"/>
  <c r="U5459" i="9" s="1"/>
  <c r="W5458" i="9"/>
  <c r="V5458" i="9" a="1"/>
  <c r="T5458" i="9"/>
  <c r="U5458" i="9" s="1"/>
  <c r="W5457" i="9"/>
  <c r="V5457" i="9" a="1"/>
  <c r="T5457" i="9"/>
  <c r="U5457" i="9" s="1"/>
  <c r="W5456" i="9"/>
  <c r="V5456" i="9" a="1"/>
  <c r="T5456" i="9"/>
  <c r="U5456" i="9" s="1"/>
  <c r="W5455" i="9"/>
  <c r="BG978" i="9" s="1"/>
  <c r="V5455" i="9" a="1"/>
  <c r="T5455" i="9"/>
  <c r="U5455" i="9" s="1"/>
  <c r="W5454" i="9"/>
  <c r="V5454" i="9" a="1"/>
  <c r="T5454" i="9"/>
  <c r="U5454" i="9" s="1"/>
  <c r="W5453" i="9"/>
  <c r="V5453" i="9" a="1"/>
  <c r="T5453" i="9"/>
  <c r="U5453" i="9" s="1"/>
  <c r="V5452" i="9" a="1"/>
  <c r="T5452" i="9"/>
  <c r="W5451" i="9"/>
  <c r="V5451" i="9" a="1"/>
  <c r="T5451" i="9"/>
  <c r="U5451" i="9" s="1"/>
  <c r="W5450" i="9"/>
  <c r="V5450" i="9" a="1"/>
  <c r="T5450" i="9"/>
  <c r="U5450" i="9" s="1"/>
  <c r="W5449" i="9"/>
  <c r="V5449" i="9" a="1"/>
  <c r="T5449" i="9"/>
  <c r="U5449" i="9" s="1"/>
  <c r="W5448" i="9"/>
  <c r="V5448" i="9" a="1"/>
  <c r="T5448" i="9"/>
  <c r="U5448" i="9" s="1"/>
  <c r="W5447" i="9"/>
  <c r="V5447" i="9" a="1"/>
  <c r="T5447" i="9"/>
  <c r="U5447" i="9" s="1"/>
  <c r="V5446" i="9" a="1"/>
  <c r="T5446" i="9"/>
  <c r="V5445" i="9" a="1"/>
  <c r="T5445" i="9"/>
  <c r="W5444" i="9"/>
  <c r="V5444" i="9" a="1"/>
  <c r="T5444" i="9"/>
  <c r="U5444" i="9" s="1"/>
  <c r="V5443" i="9" a="1"/>
  <c r="T5443" i="9"/>
  <c r="W5442" i="9"/>
  <c r="V5442" i="9" a="1"/>
  <c r="T5442" i="9"/>
  <c r="U5442" i="9" s="1"/>
  <c r="V5441" i="9" a="1"/>
  <c r="T5441" i="9"/>
  <c r="W5440" i="9"/>
  <c r="V5440" i="9" a="1"/>
  <c r="T5440" i="9"/>
  <c r="U5440" i="9" s="1"/>
  <c r="W5439" i="9"/>
  <c r="V5439" i="9" a="1"/>
  <c r="T5439" i="9"/>
  <c r="U5439" i="9" s="1"/>
  <c r="W5438" i="9"/>
  <c r="V5438" i="9" a="1"/>
  <c r="T5438" i="9"/>
  <c r="U5438" i="9" s="1"/>
  <c r="W5437" i="9"/>
  <c r="V5437" i="9" a="1"/>
  <c r="T5437" i="9"/>
  <c r="U5437" i="9" s="1"/>
  <c r="W5436" i="9"/>
  <c r="V5436" i="9" a="1"/>
  <c r="T5436" i="9"/>
  <c r="U5436" i="9" s="1"/>
  <c r="W5435" i="9"/>
  <c r="V5435" i="9" a="1"/>
  <c r="T5435" i="9"/>
  <c r="U5435" i="9" s="1"/>
  <c r="W5434" i="9"/>
  <c r="V5434" i="9" a="1"/>
  <c r="T5434" i="9"/>
  <c r="U5434" i="9" s="1"/>
  <c r="W5433" i="9"/>
  <c r="V5433" i="9" a="1"/>
  <c r="T5433" i="9"/>
  <c r="U5433" i="9" s="1"/>
  <c r="W5432" i="9"/>
  <c r="V5432" i="9" a="1"/>
  <c r="T5432" i="9"/>
  <c r="U5432" i="9" s="1"/>
  <c r="W5431" i="9"/>
  <c r="V5431" i="9" a="1"/>
  <c r="T5431" i="9"/>
  <c r="U5431" i="9" s="1"/>
  <c r="W5430" i="9"/>
  <c r="BG953" i="9" s="1"/>
  <c r="V5430" i="9" a="1"/>
  <c r="T5430" i="9"/>
  <c r="U5430" i="9" s="1"/>
  <c r="W5429" i="9"/>
  <c r="V5429" i="9" a="1"/>
  <c r="T5429" i="9"/>
  <c r="U5429" i="9" s="1"/>
  <c r="W5428" i="9"/>
  <c r="V5428" i="9" a="1"/>
  <c r="T5428" i="9"/>
  <c r="U5428" i="9" s="1"/>
  <c r="W5427" i="9"/>
  <c r="V5427" i="9" a="1"/>
  <c r="T5427" i="9"/>
  <c r="U5427" i="9" s="1"/>
  <c r="W5426" i="9"/>
  <c r="V5426" i="9" a="1"/>
  <c r="T5426" i="9"/>
  <c r="U5426" i="9" s="1"/>
  <c r="W5425" i="9"/>
  <c r="V5425" i="9" a="1"/>
  <c r="T5425" i="9"/>
  <c r="U5425" i="9" s="1"/>
  <c r="W5424" i="9"/>
  <c r="V5424" i="9" a="1"/>
  <c r="T5424" i="9"/>
  <c r="U5424" i="9" s="1"/>
  <c r="W5423" i="9"/>
  <c r="V5423" i="9" a="1"/>
  <c r="T5423" i="9"/>
  <c r="U5423" i="9" s="1"/>
  <c r="W5422" i="9"/>
  <c r="V5422" i="9" a="1"/>
  <c r="T5422" i="9"/>
  <c r="U5422" i="9" s="1"/>
  <c r="W5421" i="9"/>
  <c r="V5421" i="9" a="1"/>
  <c r="T5421" i="9"/>
  <c r="U5421" i="9" s="1"/>
  <c r="W5420" i="9"/>
  <c r="V5420" i="9" a="1"/>
  <c r="T5420" i="9"/>
  <c r="U5420" i="9" s="1"/>
  <c r="W5419" i="9"/>
  <c r="V5419" i="9" a="1"/>
  <c r="T5419" i="9"/>
  <c r="U5419" i="9" s="1"/>
  <c r="W5418" i="9"/>
  <c r="V5418" i="9" a="1"/>
  <c r="T5418" i="9"/>
  <c r="U5418" i="9" s="1"/>
  <c r="W5417" i="9"/>
  <c r="BG940" i="9" s="1"/>
  <c r="V5417" i="9" a="1"/>
  <c r="T5417" i="9"/>
  <c r="U5417" i="9" s="1"/>
  <c r="W5416" i="9"/>
  <c r="BG939" i="9" s="1"/>
  <c r="V5416" i="9" a="1"/>
  <c r="T5416" i="9"/>
  <c r="U5416" i="9" s="1"/>
  <c r="W5415" i="9"/>
  <c r="V5415" i="9" a="1"/>
  <c r="T5415" i="9"/>
  <c r="U5415" i="9" s="1"/>
  <c r="W5414" i="9"/>
  <c r="V5414" i="9" a="1"/>
  <c r="T5414" i="9"/>
  <c r="U5414" i="9" s="1"/>
  <c r="W5413" i="9"/>
  <c r="V5413" i="9" a="1"/>
  <c r="T5413" i="9"/>
  <c r="U5413" i="9" s="1"/>
  <c r="W5412" i="9"/>
  <c r="V5412" i="9" a="1"/>
  <c r="T5412" i="9"/>
  <c r="U5412" i="9" s="1"/>
  <c r="W5411" i="9"/>
  <c r="V5411" i="9" a="1"/>
  <c r="T5411" i="9"/>
  <c r="U5411" i="9" s="1"/>
  <c r="W5410" i="9"/>
  <c r="V5410" i="9" a="1"/>
  <c r="T5410" i="9"/>
  <c r="U5410" i="9" s="1"/>
  <c r="W5409" i="9"/>
  <c r="V5409" i="9" a="1"/>
  <c r="T5409" i="9"/>
  <c r="U5409" i="9" s="1"/>
  <c r="W5408" i="9"/>
  <c r="BG931" i="9" s="1"/>
  <c r="V5408" i="9" a="1"/>
  <c r="T5408" i="9"/>
  <c r="U5408" i="9" s="1"/>
  <c r="W5407" i="9"/>
  <c r="BG930" i="9" s="1"/>
  <c r="V5407" i="9" a="1"/>
  <c r="T5407" i="9"/>
  <c r="U5407" i="9" s="1"/>
  <c r="W5406" i="9"/>
  <c r="V5406" i="9" a="1"/>
  <c r="T5406" i="9"/>
  <c r="U5406" i="9" s="1"/>
  <c r="W5405" i="9"/>
  <c r="V5405" i="9" a="1"/>
  <c r="T5405" i="9"/>
  <c r="U5405" i="9" s="1"/>
  <c r="W5404" i="9"/>
  <c r="V5404" i="9" a="1"/>
  <c r="T5404" i="9"/>
  <c r="U5404" i="9" s="1"/>
  <c r="W5403" i="9"/>
  <c r="V5403" i="9" a="1"/>
  <c r="T5403" i="9"/>
  <c r="U5403" i="9" s="1"/>
  <c r="W5402" i="9"/>
  <c r="BG925" i="9" s="1"/>
  <c r="V5402" i="9" a="1"/>
  <c r="T5402" i="9"/>
  <c r="U5402" i="9" s="1"/>
  <c r="W5401" i="9"/>
  <c r="V5401" i="9" a="1"/>
  <c r="T5401" i="9"/>
  <c r="U5401" i="9" s="1"/>
  <c r="W5400" i="9"/>
  <c r="V5400" i="9" a="1"/>
  <c r="T5400" i="9"/>
  <c r="U5400" i="9" s="1"/>
  <c r="W5399" i="9"/>
  <c r="V5399" i="9" a="1"/>
  <c r="T5399" i="9"/>
  <c r="U5399" i="9" s="1"/>
  <c r="W5398" i="9"/>
  <c r="V5398" i="9" a="1"/>
  <c r="T5398" i="9"/>
  <c r="U5398" i="9" s="1"/>
  <c r="W5397" i="9"/>
  <c r="BG920" i="9" s="1"/>
  <c r="V5397" i="9" a="1"/>
  <c r="T5397" i="9"/>
  <c r="U5397" i="9" s="1"/>
  <c r="W5396" i="9"/>
  <c r="V5396" i="9" a="1"/>
  <c r="T5396" i="9"/>
  <c r="U5396" i="9" s="1"/>
  <c r="W5395" i="9"/>
  <c r="BG918" i="9" s="1"/>
  <c r="V5395" i="9" a="1"/>
  <c r="T5395" i="9"/>
  <c r="U5395" i="9" s="1"/>
  <c r="W5394" i="9"/>
  <c r="BG917" i="9" s="1"/>
  <c r="V5394" i="9" a="1"/>
  <c r="T5394" i="9"/>
  <c r="U5394" i="9" s="1"/>
  <c r="W5393" i="9"/>
  <c r="V5393" i="9" a="1"/>
  <c r="T5393" i="9"/>
  <c r="U5393" i="9" s="1"/>
  <c r="W5392" i="9"/>
  <c r="BG915" i="9" s="1"/>
  <c r="V5392" i="9" a="1"/>
  <c r="T5392" i="9"/>
  <c r="U5392" i="9" s="1"/>
  <c r="W5391" i="9"/>
  <c r="V5391" i="9" a="1"/>
  <c r="T5391" i="9"/>
  <c r="U5391" i="9" s="1"/>
  <c r="W5390" i="9"/>
  <c r="V5390" i="9" a="1"/>
  <c r="T5390" i="9"/>
  <c r="U5390" i="9" s="1"/>
  <c r="W5389" i="9"/>
  <c r="V5389" i="9" a="1"/>
  <c r="T5389" i="9"/>
  <c r="U5389" i="9" s="1"/>
  <c r="W5388" i="9"/>
  <c r="V5388" i="9" a="1"/>
  <c r="T5388" i="9"/>
  <c r="U5388" i="9" s="1"/>
  <c r="W5387" i="9"/>
  <c r="V5387" i="9" a="1"/>
  <c r="T5387" i="9"/>
  <c r="U5387" i="9" s="1"/>
  <c r="V5386" i="9" a="1"/>
  <c r="T5386" i="9"/>
  <c r="W5385" i="9"/>
  <c r="V5385" i="9" a="1"/>
  <c r="T5385" i="9"/>
  <c r="U5385" i="9" s="1"/>
  <c r="V5384" i="9" a="1"/>
  <c r="T5384" i="9"/>
  <c r="W5383" i="9"/>
  <c r="V5383" i="9" a="1"/>
  <c r="T5383" i="9"/>
  <c r="U5383" i="9" s="1"/>
  <c r="W5382" i="9"/>
  <c r="V5382" i="9" a="1"/>
  <c r="T5382" i="9"/>
  <c r="U5382" i="9" s="1"/>
  <c r="W5381" i="9"/>
  <c r="V5381" i="9" a="1"/>
  <c r="T5381" i="9"/>
  <c r="U5381" i="9" s="1"/>
  <c r="V5380" i="9" a="1"/>
  <c r="T5380" i="9"/>
  <c r="W5379" i="9"/>
  <c r="V5379" i="9" a="1"/>
  <c r="T5379" i="9"/>
  <c r="U5379" i="9" s="1"/>
  <c r="W5378" i="9"/>
  <c r="V5378" i="9" a="1"/>
  <c r="T5378" i="9"/>
  <c r="U5378" i="9" s="1"/>
  <c r="W5377" i="9"/>
  <c r="V5377" i="9" a="1"/>
  <c r="T5377" i="9"/>
  <c r="U5377" i="9" s="1"/>
  <c r="V5376" i="9" a="1"/>
  <c r="T5376" i="9"/>
  <c r="V5375" i="9" a="1"/>
  <c r="T5375" i="9"/>
  <c r="W5374" i="9"/>
  <c r="V5374" i="9" a="1"/>
  <c r="T5374" i="9"/>
  <c r="U5374" i="9" s="1"/>
  <c r="W5373" i="9"/>
  <c r="V5373" i="9" a="1"/>
  <c r="T5373" i="9"/>
  <c r="U5373" i="9" s="1"/>
  <c r="W5372" i="9"/>
  <c r="V5372" i="9" a="1"/>
  <c r="T5372" i="9"/>
  <c r="U5372" i="9" s="1"/>
  <c r="W5371" i="9"/>
  <c r="V5371" i="9" a="1"/>
  <c r="T5371" i="9"/>
  <c r="U5371" i="9" s="1"/>
  <c r="W5370" i="9"/>
  <c r="V5370" i="9" a="1"/>
  <c r="T5370" i="9"/>
  <c r="U5370" i="9" s="1"/>
  <c r="W5369" i="9"/>
  <c r="V5369" i="9" a="1"/>
  <c r="T5369" i="9"/>
  <c r="U5369" i="9" s="1"/>
  <c r="W5368" i="9"/>
  <c r="BG891" i="9" s="1"/>
  <c r="V5368" i="9" a="1"/>
  <c r="T5368" i="9"/>
  <c r="U5368" i="9" s="1"/>
  <c r="W5367" i="9"/>
  <c r="V5367" i="9" a="1"/>
  <c r="T5367" i="9"/>
  <c r="U5367" i="9" s="1"/>
  <c r="W5366" i="9"/>
  <c r="V5366" i="9" a="1"/>
  <c r="T5366" i="9"/>
  <c r="U5366" i="9" s="1"/>
  <c r="W5365" i="9"/>
  <c r="V5365" i="9" a="1"/>
  <c r="T5365" i="9"/>
  <c r="U5365" i="9" s="1"/>
  <c r="W5364" i="9"/>
  <c r="V5364" i="9" a="1"/>
  <c r="T5364" i="9"/>
  <c r="U5364" i="9" s="1"/>
  <c r="W5363" i="9"/>
  <c r="V5363" i="9" a="1"/>
  <c r="T5363" i="9"/>
  <c r="U5363" i="9" s="1"/>
  <c r="W5362" i="9"/>
  <c r="BG885" i="9" s="1"/>
  <c r="V5362" i="9" a="1"/>
  <c r="T5362" i="9"/>
  <c r="U5362" i="9" s="1"/>
  <c r="W5361" i="9"/>
  <c r="V5361" i="9" a="1"/>
  <c r="T5361" i="9"/>
  <c r="U5361" i="9" s="1"/>
  <c r="W5360" i="9"/>
  <c r="BG883" i="9" s="1"/>
  <c r="V5360" i="9" a="1"/>
  <c r="T5360" i="9"/>
  <c r="U5360" i="9" s="1"/>
  <c r="W5359" i="9"/>
  <c r="BG882" i="9" s="1"/>
  <c r="V5359" i="9" a="1"/>
  <c r="T5359" i="9"/>
  <c r="U5359" i="9" s="1"/>
  <c r="W5358" i="9"/>
  <c r="V5358" i="9" a="1"/>
  <c r="T5358" i="9"/>
  <c r="U5358" i="9" s="1"/>
  <c r="W5357" i="9"/>
  <c r="V5357" i="9" a="1"/>
  <c r="T5357" i="9"/>
  <c r="U5357" i="9" s="1"/>
  <c r="W5356" i="9"/>
  <c r="V5356" i="9" a="1"/>
  <c r="T5356" i="9"/>
  <c r="U5356" i="9" s="1"/>
  <c r="W5355" i="9"/>
  <c r="BG878" i="9" s="1"/>
  <c r="V5355" i="9" a="1"/>
  <c r="T5355" i="9"/>
  <c r="U5355" i="9" s="1"/>
  <c r="W5354" i="9"/>
  <c r="V5354" i="9" a="1"/>
  <c r="T5354" i="9"/>
  <c r="U5354" i="9" s="1"/>
  <c r="W5353" i="9"/>
  <c r="V5353" i="9" a="1"/>
  <c r="T5353" i="9"/>
  <c r="U5353" i="9" s="1"/>
  <c r="W5352" i="9"/>
  <c r="V5352" i="9" a="1"/>
  <c r="T5352" i="9"/>
  <c r="U5352" i="9" s="1"/>
  <c r="W5351" i="9"/>
  <c r="V5351" i="9" a="1"/>
  <c r="T5351" i="9"/>
  <c r="U5351" i="9" s="1"/>
  <c r="W5350" i="9"/>
  <c r="V5350" i="9" a="1"/>
  <c r="T5350" i="9"/>
  <c r="U5350" i="9" s="1"/>
  <c r="W5349" i="9"/>
  <c r="V5349" i="9" a="1"/>
  <c r="T5349" i="9"/>
  <c r="U5349" i="9" s="1"/>
  <c r="W5348" i="9"/>
  <c r="V5348" i="9" a="1"/>
  <c r="T5348" i="9"/>
  <c r="U5348" i="9" s="1"/>
  <c r="W5347" i="9"/>
  <c r="V5347" i="9" a="1"/>
  <c r="T5347" i="9"/>
  <c r="U5347" i="9" s="1"/>
  <c r="W5346" i="9"/>
  <c r="V5346" i="9" a="1"/>
  <c r="T5346" i="9"/>
  <c r="U5346" i="9" s="1"/>
  <c r="W5345" i="9"/>
  <c r="BG868" i="9" s="1"/>
  <c r="V5345" i="9" a="1"/>
  <c r="T5345" i="9"/>
  <c r="U5345" i="9" s="1"/>
  <c r="W5344" i="9"/>
  <c r="V5344" i="9" a="1"/>
  <c r="T5344" i="9"/>
  <c r="U5344" i="9" s="1"/>
  <c r="W5343" i="9"/>
  <c r="V5343" i="9" a="1"/>
  <c r="T5343" i="9"/>
  <c r="U5343" i="9" s="1"/>
  <c r="W5342" i="9"/>
  <c r="V5342" i="9" a="1"/>
  <c r="T5342" i="9"/>
  <c r="U5342" i="9" s="1"/>
  <c r="W5341" i="9"/>
  <c r="V5341" i="9" a="1"/>
  <c r="T5341" i="9"/>
  <c r="U5341" i="9" s="1"/>
  <c r="W5340" i="9"/>
  <c r="V5340" i="9" a="1"/>
  <c r="T5340" i="9"/>
  <c r="U5340" i="9" s="1"/>
  <c r="W5339" i="9"/>
  <c r="V5339" i="9" a="1"/>
  <c r="T5339" i="9"/>
  <c r="U5339" i="9" s="1"/>
  <c r="W5338" i="9"/>
  <c r="V5338" i="9" a="1"/>
  <c r="T5338" i="9"/>
  <c r="U5338" i="9" s="1"/>
  <c r="W5337" i="9"/>
  <c r="V5337" i="9" a="1"/>
  <c r="T5337" i="9"/>
  <c r="U5337" i="9" s="1"/>
  <c r="W5336" i="9"/>
  <c r="V5336" i="9" a="1"/>
  <c r="T5336" i="9"/>
  <c r="U5336" i="9" s="1"/>
  <c r="W5335" i="9"/>
  <c r="BG858" i="9" s="1"/>
  <c r="V5335" i="9" a="1"/>
  <c r="T5335" i="9"/>
  <c r="U5335" i="9" s="1"/>
  <c r="W5334" i="9"/>
  <c r="V5334" i="9" a="1"/>
  <c r="T5334" i="9"/>
  <c r="U5334" i="9" s="1"/>
  <c r="W5333" i="9"/>
  <c r="V5333" i="9" a="1"/>
  <c r="T5333" i="9"/>
  <c r="U5333" i="9" s="1"/>
  <c r="W5332" i="9"/>
  <c r="V5332" i="9" a="1"/>
  <c r="T5332" i="9"/>
  <c r="U5332" i="9" s="1"/>
  <c r="W5331" i="9"/>
  <c r="V5331" i="9" a="1"/>
  <c r="T5331" i="9"/>
  <c r="U5331" i="9" s="1"/>
  <c r="W5330" i="9"/>
  <c r="BG853" i="9" s="1"/>
  <c r="V5330" i="9" a="1"/>
  <c r="T5330" i="9"/>
  <c r="U5330" i="9" s="1"/>
  <c r="W5329" i="9"/>
  <c r="V5329" i="9" a="1"/>
  <c r="T5329" i="9"/>
  <c r="U5329" i="9" s="1"/>
  <c r="W5328" i="9"/>
  <c r="BG851" i="9" s="1"/>
  <c r="V5328" i="9" a="1"/>
  <c r="T5328" i="9"/>
  <c r="U5328" i="9" s="1"/>
  <c r="W5327" i="9"/>
  <c r="V5327" i="9" a="1"/>
  <c r="T5327" i="9"/>
  <c r="U5327" i="9" s="1"/>
  <c r="W5326" i="9"/>
  <c r="V5326" i="9" a="1"/>
  <c r="T5326" i="9"/>
  <c r="U5326" i="9" s="1"/>
  <c r="W5325" i="9"/>
  <c r="V5325" i="9" a="1"/>
  <c r="T5325" i="9"/>
  <c r="U5325" i="9" s="1"/>
  <c r="V5324" i="9" a="1"/>
  <c r="T5324" i="9"/>
  <c r="V5323" i="9" a="1"/>
  <c r="T5323" i="9"/>
  <c r="V5322" i="9" a="1"/>
  <c r="T5322" i="9"/>
  <c r="W5321" i="9"/>
  <c r="V5321" i="9" a="1"/>
  <c r="T5321" i="9"/>
  <c r="U5321" i="9" s="1"/>
  <c r="W5320" i="9"/>
  <c r="V5320" i="9" a="1"/>
  <c r="T5320" i="9"/>
  <c r="U5320" i="9" s="1"/>
  <c r="V5319" i="9" a="1"/>
  <c r="T5319" i="9"/>
  <c r="V5318" i="9" a="1"/>
  <c r="T5318" i="9"/>
  <c r="V5317" i="9" a="1"/>
  <c r="T5317" i="9"/>
  <c r="W5316" i="9"/>
  <c r="V5316" i="9" a="1"/>
  <c r="T5316" i="9"/>
  <c r="U5316" i="9" s="1"/>
  <c r="W5315" i="9"/>
  <c r="V5315" i="9" a="1"/>
  <c r="T5315" i="9"/>
  <c r="U5315" i="9" s="1"/>
  <c r="W5314" i="9"/>
  <c r="V5314" i="9" a="1"/>
  <c r="T5314" i="9"/>
  <c r="U5314" i="9" s="1"/>
  <c r="W5313" i="9"/>
  <c r="V5313" i="9" a="1"/>
  <c r="T5313" i="9"/>
  <c r="U5313" i="9" s="1"/>
  <c r="V5312" i="9" a="1"/>
  <c r="T5312" i="9"/>
  <c r="W5311" i="9"/>
  <c r="V5311" i="9" a="1"/>
  <c r="T5311" i="9"/>
  <c r="U5311" i="9" s="1"/>
  <c r="W5310" i="9"/>
  <c r="V5310" i="9" a="1"/>
  <c r="T5310" i="9"/>
  <c r="U5310" i="9" s="1"/>
  <c r="V5309" i="9" a="1"/>
  <c r="T5309" i="9"/>
  <c r="W5308" i="9"/>
  <c r="BG831" i="9" s="1"/>
  <c r="V5308" i="9" a="1"/>
  <c r="T5308" i="9"/>
  <c r="U5308" i="9" s="1"/>
  <c r="W5307" i="9"/>
  <c r="V5307" i="9" a="1"/>
  <c r="T5307" i="9"/>
  <c r="U5307" i="9" s="1"/>
  <c r="W5306" i="9"/>
  <c r="V5306" i="9" a="1"/>
  <c r="T5306" i="9"/>
  <c r="U5306" i="9" s="1"/>
  <c r="W5305" i="9"/>
  <c r="V5305" i="9" a="1"/>
  <c r="T5305" i="9"/>
  <c r="U5305" i="9" s="1"/>
  <c r="W5304" i="9"/>
  <c r="BG827" i="9" s="1"/>
  <c r="V5304" i="9" a="1"/>
  <c r="T5304" i="9"/>
  <c r="U5304" i="9" s="1"/>
  <c r="W5303" i="9"/>
  <c r="V5303" i="9" a="1"/>
  <c r="T5303" i="9"/>
  <c r="U5303" i="9" s="1"/>
  <c r="W5302" i="9"/>
  <c r="V5302" i="9" a="1"/>
  <c r="T5302" i="9"/>
  <c r="U5302" i="9" s="1"/>
  <c r="W5301" i="9"/>
  <c r="V5301" i="9" a="1"/>
  <c r="T5301" i="9"/>
  <c r="U5301" i="9" s="1"/>
  <c r="W5300" i="9"/>
  <c r="V5300" i="9" a="1"/>
  <c r="T5300" i="9"/>
  <c r="U5300" i="9" s="1"/>
  <c r="W5299" i="9"/>
  <c r="V5299" i="9" a="1"/>
  <c r="T5299" i="9"/>
  <c r="U5299" i="9" s="1"/>
  <c r="W5298" i="9"/>
  <c r="BG821" i="9" s="1"/>
  <c r="V5298" i="9" a="1"/>
  <c r="T5298" i="9"/>
  <c r="U5298" i="9" s="1"/>
  <c r="W5297" i="9"/>
  <c r="V5297" i="9" a="1"/>
  <c r="T5297" i="9"/>
  <c r="U5297" i="9" s="1"/>
  <c r="W5296" i="9"/>
  <c r="V5296" i="9" a="1"/>
  <c r="T5296" i="9"/>
  <c r="U5296" i="9" s="1"/>
  <c r="W5295" i="9"/>
  <c r="V5295" i="9" a="1"/>
  <c r="T5295" i="9"/>
  <c r="U5295" i="9" s="1"/>
  <c r="W5294" i="9"/>
  <c r="V5294" i="9" a="1"/>
  <c r="T5294" i="9"/>
  <c r="U5294" i="9" s="1"/>
  <c r="W5293" i="9"/>
  <c r="V5293" i="9" a="1"/>
  <c r="T5293" i="9"/>
  <c r="U5293" i="9" s="1"/>
  <c r="W5292" i="9"/>
  <c r="BG815" i="9" s="1"/>
  <c r="V5292" i="9" a="1"/>
  <c r="T5292" i="9"/>
  <c r="U5292" i="9" s="1"/>
  <c r="W5291" i="9"/>
  <c r="V5291" i="9" a="1"/>
  <c r="T5291" i="9"/>
  <c r="U5291" i="9" s="1"/>
  <c r="W5290" i="9"/>
  <c r="V5290" i="9" a="1"/>
  <c r="T5290" i="9"/>
  <c r="U5290" i="9" s="1"/>
  <c r="W5289" i="9"/>
  <c r="V5289" i="9" a="1"/>
  <c r="T5289" i="9"/>
  <c r="U5289" i="9" s="1"/>
  <c r="W5288" i="9"/>
  <c r="BG811" i="9" s="1"/>
  <c r="V5288" i="9" a="1"/>
  <c r="T5288" i="9"/>
  <c r="U5288" i="9" s="1"/>
  <c r="W5287" i="9"/>
  <c r="V5287" i="9" a="1"/>
  <c r="T5287" i="9"/>
  <c r="U5287" i="9" s="1"/>
  <c r="W5286" i="9"/>
  <c r="V5286" i="9" a="1"/>
  <c r="T5286" i="9"/>
  <c r="U5286" i="9" s="1"/>
  <c r="W5285" i="9"/>
  <c r="V5285" i="9" a="1"/>
  <c r="T5285" i="9"/>
  <c r="U5285" i="9" s="1"/>
  <c r="W5284" i="9"/>
  <c r="V5284" i="9" a="1"/>
  <c r="T5284" i="9"/>
  <c r="U5284" i="9" s="1"/>
  <c r="W5283" i="9"/>
  <c r="BG806" i="9" s="1"/>
  <c r="V5283" i="9" a="1"/>
  <c r="T5283" i="9"/>
  <c r="U5283" i="9" s="1"/>
  <c r="W5282" i="9"/>
  <c r="V5282" i="9" a="1"/>
  <c r="T5282" i="9"/>
  <c r="U5282" i="9" s="1"/>
  <c r="W5281" i="9"/>
  <c r="V5281" i="9" a="1"/>
  <c r="T5281" i="9"/>
  <c r="U5281" i="9" s="1"/>
  <c r="W5280" i="9"/>
  <c r="V5280" i="9" a="1"/>
  <c r="T5280" i="9"/>
  <c r="U5280" i="9" s="1"/>
  <c r="W5279" i="9"/>
  <c r="V5279" i="9" a="1"/>
  <c r="T5279" i="9"/>
  <c r="U5279" i="9" s="1"/>
  <c r="W5278" i="9"/>
  <c r="V5278" i="9" a="1"/>
  <c r="T5278" i="9"/>
  <c r="U5278" i="9" s="1"/>
  <c r="W5277" i="9"/>
  <c r="BG800" i="9" s="1"/>
  <c r="V5277" i="9" a="1"/>
  <c r="T5277" i="9"/>
  <c r="U5277" i="9" s="1"/>
  <c r="W5276" i="9"/>
  <c r="BG799" i="9" s="1"/>
  <c r="V5276" i="9" a="1"/>
  <c r="T5276" i="9"/>
  <c r="U5276" i="9" s="1"/>
  <c r="W5275" i="9"/>
  <c r="V5275" i="9" a="1"/>
  <c r="T5275" i="9"/>
  <c r="U5275" i="9" s="1"/>
  <c r="W5274" i="9"/>
  <c r="V5274" i="9" a="1"/>
  <c r="T5274" i="9"/>
  <c r="U5274" i="9" s="1"/>
  <c r="W5273" i="9"/>
  <c r="BG796" i="9" s="1"/>
  <c r="V5273" i="9" a="1"/>
  <c r="T5273" i="9"/>
  <c r="U5273" i="9" s="1"/>
  <c r="W5272" i="9"/>
  <c r="V5272" i="9" a="1"/>
  <c r="T5272" i="9"/>
  <c r="U5272" i="9" s="1"/>
  <c r="W5271" i="9"/>
  <c r="V5271" i="9" a="1"/>
  <c r="T5271" i="9"/>
  <c r="U5271" i="9" s="1"/>
  <c r="W5270" i="9"/>
  <c r="V5270" i="9" a="1"/>
  <c r="T5270" i="9"/>
  <c r="U5270" i="9" s="1"/>
  <c r="W5269" i="9"/>
  <c r="V5269" i="9" a="1"/>
  <c r="T5269" i="9"/>
  <c r="U5269" i="9" s="1"/>
  <c r="W5268" i="9"/>
  <c r="V5268" i="9" a="1"/>
  <c r="T5268" i="9"/>
  <c r="U5268" i="9" s="1"/>
  <c r="W5267" i="9"/>
  <c r="V5267" i="9" a="1"/>
  <c r="T5267" i="9"/>
  <c r="U5267" i="9" s="1"/>
  <c r="W5266" i="9"/>
  <c r="V5266" i="9" a="1"/>
  <c r="T5266" i="9"/>
  <c r="U5266" i="9" s="1"/>
  <c r="W5265" i="9"/>
  <c r="V5265" i="9" a="1"/>
  <c r="T5265" i="9"/>
  <c r="U5265" i="9" s="1"/>
  <c r="W5264" i="9"/>
  <c r="V5264" i="9" a="1"/>
  <c r="T5264" i="9"/>
  <c r="U5264" i="9" s="1"/>
  <c r="W5263" i="9"/>
  <c r="V5263" i="9" a="1"/>
  <c r="T5263" i="9"/>
  <c r="U5263" i="9" s="1"/>
  <c r="W5262" i="9"/>
  <c r="V5262" i="9" a="1"/>
  <c r="T5262" i="9"/>
  <c r="U5262" i="9" s="1"/>
  <c r="W5261" i="9"/>
  <c r="V5261" i="9" a="1"/>
  <c r="T5261" i="9"/>
  <c r="U5261" i="9" s="1"/>
  <c r="V5260" i="9" a="1"/>
  <c r="T5260" i="9"/>
  <c r="W5259" i="9"/>
  <c r="V5259" i="9" a="1"/>
  <c r="T5259" i="9"/>
  <c r="U5259" i="9" s="1"/>
  <c r="W5258" i="9"/>
  <c r="V5258" i="9" a="1"/>
  <c r="T5258" i="9"/>
  <c r="U5258" i="9" s="1"/>
  <c r="W5257" i="9"/>
  <c r="V5257" i="9" a="1"/>
  <c r="T5257" i="9"/>
  <c r="U5257" i="9" s="1"/>
  <c r="W5256" i="9"/>
  <c r="V5256" i="9" a="1"/>
  <c r="T5256" i="9"/>
  <c r="U5256" i="9" s="1"/>
  <c r="W5255" i="9"/>
  <c r="V5255" i="9" a="1"/>
  <c r="T5255" i="9"/>
  <c r="U5255" i="9" s="1"/>
  <c r="V5254" i="9" a="1"/>
  <c r="T5254" i="9"/>
  <c r="W5253" i="9"/>
  <c r="V5253" i="9" a="1"/>
  <c r="T5253" i="9"/>
  <c r="U5253" i="9" s="1"/>
  <c r="W5252" i="9"/>
  <c r="V5252" i="9" a="1"/>
  <c r="T5252" i="9"/>
  <c r="U5252" i="9" s="1"/>
  <c r="V5251" i="9" a="1"/>
  <c r="T5251" i="9"/>
  <c r="W5250" i="9"/>
  <c r="V5250" i="9" a="1"/>
  <c r="T5250" i="9"/>
  <c r="U5250" i="9" s="1"/>
  <c r="W5249" i="9"/>
  <c r="V5249" i="9" a="1"/>
  <c r="T5249" i="9"/>
  <c r="U5249" i="9" s="1"/>
  <c r="W5248" i="9"/>
  <c r="V5248" i="9" a="1"/>
  <c r="T5248" i="9"/>
  <c r="U5248" i="9" s="1"/>
  <c r="W5247" i="9"/>
  <c r="V5247" i="9" a="1"/>
  <c r="T5247" i="9"/>
  <c r="U5247" i="9" s="1"/>
  <c r="V5246" i="9" a="1"/>
  <c r="T5246" i="9"/>
  <c r="W5245" i="9"/>
  <c r="V5245" i="9" a="1"/>
  <c r="T5245" i="9"/>
  <c r="U5245" i="9" s="1"/>
  <c r="W5244" i="9"/>
  <c r="BG767" i="9" s="1"/>
  <c r="V5244" i="9" a="1"/>
  <c r="T5244" i="9"/>
  <c r="U5244" i="9" s="1"/>
  <c r="W5243" i="9"/>
  <c r="V5243" i="9" a="1"/>
  <c r="T5243" i="9"/>
  <c r="U5243" i="9" s="1"/>
  <c r="W5242" i="9"/>
  <c r="V5242" i="9" a="1"/>
  <c r="T5242" i="9"/>
  <c r="U5242" i="9" s="1"/>
  <c r="W5241" i="9"/>
  <c r="BG764" i="9" s="1"/>
  <c r="V5241" i="9" a="1"/>
  <c r="T5241" i="9"/>
  <c r="U5241" i="9" s="1"/>
  <c r="W5240" i="9"/>
  <c r="V5240" i="9" a="1"/>
  <c r="T5240" i="9"/>
  <c r="U5240" i="9" s="1"/>
  <c r="W5239" i="9"/>
  <c r="V5239" i="9" a="1"/>
  <c r="T5239" i="9"/>
  <c r="U5239" i="9" s="1"/>
  <c r="W5238" i="9"/>
  <c r="BG761" i="9" s="1"/>
  <c r="V5238" i="9" a="1"/>
  <c r="T5238" i="9"/>
  <c r="U5238" i="9" s="1"/>
  <c r="W5237" i="9"/>
  <c r="V5237" i="9" a="1"/>
  <c r="T5237" i="9"/>
  <c r="U5237" i="9" s="1"/>
  <c r="W5236" i="9"/>
  <c r="V5236" i="9" a="1"/>
  <c r="T5236" i="9"/>
  <c r="U5236" i="9" s="1"/>
  <c r="W5235" i="9"/>
  <c r="V5235" i="9" a="1"/>
  <c r="T5235" i="9"/>
  <c r="U5235" i="9" s="1"/>
  <c r="W5234" i="9"/>
  <c r="V5234" i="9" a="1"/>
  <c r="T5234" i="9"/>
  <c r="U5234" i="9" s="1"/>
  <c r="W5233" i="9"/>
  <c r="V5233" i="9" a="1"/>
  <c r="T5233" i="9"/>
  <c r="U5233" i="9" s="1"/>
  <c r="W5232" i="9"/>
  <c r="V5232" i="9" a="1"/>
  <c r="T5232" i="9"/>
  <c r="U5232" i="9" s="1"/>
  <c r="W5231" i="9"/>
  <c r="BG754" i="9" s="1"/>
  <c r="V5231" i="9" a="1"/>
  <c r="T5231" i="9"/>
  <c r="U5231" i="9" s="1"/>
  <c r="W5230" i="9"/>
  <c r="V5230" i="9" a="1"/>
  <c r="T5230" i="9"/>
  <c r="U5230" i="9" s="1"/>
  <c r="W5229" i="9"/>
  <c r="V5229" i="9" a="1"/>
  <c r="T5229" i="9"/>
  <c r="U5229" i="9" s="1"/>
  <c r="W5228" i="9"/>
  <c r="V5228" i="9" a="1"/>
  <c r="T5228" i="9"/>
  <c r="U5228" i="9" s="1"/>
  <c r="W5227" i="9"/>
  <c r="V5227" i="9" a="1"/>
  <c r="T5227" i="9"/>
  <c r="U5227" i="9" s="1"/>
  <c r="W5226" i="9"/>
  <c r="V5226" i="9" a="1"/>
  <c r="T5226" i="9"/>
  <c r="U5226" i="9" s="1"/>
  <c r="W5225" i="9"/>
  <c r="V5225" i="9" a="1"/>
  <c r="T5225" i="9"/>
  <c r="U5225" i="9" s="1"/>
  <c r="W5224" i="9"/>
  <c r="BG747" i="9" s="1"/>
  <c r="V5224" i="9" a="1"/>
  <c r="T5224" i="9"/>
  <c r="U5224" i="9" s="1"/>
  <c r="W5223" i="9"/>
  <c r="V5223" i="9" a="1"/>
  <c r="T5223" i="9"/>
  <c r="U5223" i="9" s="1"/>
  <c r="W5222" i="9"/>
  <c r="V5222" i="9" a="1"/>
  <c r="T5222" i="9"/>
  <c r="U5222" i="9" s="1"/>
  <c r="W5221" i="9"/>
  <c r="BG744" i="9" s="1"/>
  <c r="V5221" i="9" a="1"/>
  <c r="T5221" i="9"/>
  <c r="U5221" i="9" s="1"/>
  <c r="W5220" i="9"/>
  <c r="V5220" i="9" a="1"/>
  <c r="T5220" i="9"/>
  <c r="U5220" i="9" s="1"/>
  <c r="W5219" i="9"/>
  <c r="BG742" i="9" s="1"/>
  <c r="V5219" i="9" a="1"/>
  <c r="T5219" i="9"/>
  <c r="U5219" i="9" s="1"/>
  <c r="W5218" i="9"/>
  <c r="BG741" i="9" s="1"/>
  <c r="V5218" i="9" a="1"/>
  <c r="T5218" i="9"/>
  <c r="U5218" i="9" s="1"/>
  <c r="W5217" i="9"/>
  <c r="V5217" i="9" a="1"/>
  <c r="T5217" i="9"/>
  <c r="U5217" i="9" s="1"/>
  <c r="W5216" i="9"/>
  <c r="V5216" i="9" a="1"/>
  <c r="T5216" i="9"/>
  <c r="U5216" i="9" s="1"/>
  <c r="W5215" i="9"/>
  <c r="V5215" i="9" a="1"/>
  <c r="T5215" i="9"/>
  <c r="U5215" i="9" s="1"/>
  <c r="W5214" i="9"/>
  <c r="V5214" i="9" a="1"/>
  <c r="T5214" i="9"/>
  <c r="U5214" i="9" s="1"/>
  <c r="W5213" i="9"/>
  <c r="V5213" i="9" a="1"/>
  <c r="T5213" i="9"/>
  <c r="U5213" i="9" s="1"/>
  <c r="W5212" i="9"/>
  <c r="V5212" i="9" a="1"/>
  <c r="T5212" i="9"/>
  <c r="U5212" i="9" s="1"/>
  <c r="W5211" i="9"/>
  <c r="V5211" i="9" a="1"/>
  <c r="T5211" i="9"/>
  <c r="U5211" i="9" s="1"/>
  <c r="W5210" i="9"/>
  <c r="V5210" i="9" a="1"/>
  <c r="T5210" i="9"/>
  <c r="U5210" i="9" s="1"/>
  <c r="W5209" i="9"/>
  <c r="BG732" i="9" s="1"/>
  <c r="V5209" i="9" a="1"/>
  <c r="T5209" i="9"/>
  <c r="U5209" i="9" s="1"/>
  <c r="W5208" i="9"/>
  <c r="BG731" i="9" s="1"/>
  <c r="V5208" i="9" a="1"/>
  <c r="T5208" i="9"/>
  <c r="U5208" i="9" s="1"/>
  <c r="W5207" i="9"/>
  <c r="BG730" i="9" s="1"/>
  <c r="V5207" i="9" a="1"/>
  <c r="T5207" i="9"/>
  <c r="U5207" i="9" s="1"/>
  <c r="W5206" i="9"/>
  <c r="V5206" i="9" a="1"/>
  <c r="T5206" i="9"/>
  <c r="U5206" i="9" s="1"/>
  <c r="W5205" i="9"/>
  <c r="V5205" i="9" a="1"/>
  <c r="T5205" i="9"/>
  <c r="U5205" i="9" s="1"/>
  <c r="W5204" i="9"/>
  <c r="V5204" i="9" a="1"/>
  <c r="T5204" i="9"/>
  <c r="U5204" i="9" s="1"/>
  <c r="W5203" i="9"/>
  <c r="V5203" i="9" a="1"/>
  <c r="T5203" i="9"/>
  <c r="U5203" i="9" s="1"/>
  <c r="W5202" i="9"/>
  <c r="V5202" i="9" a="1"/>
  <c r="T5202" i="9"/>
  <c r="U5202" i="9" s="1"/>
  <c r="W5201" i="9"/>
  <c r="BG724" i="9" s="1"/>
  <c r="V5201" i="9" a="1"/>
  <c r="T5201" i="9"/>
  <c r="U5201" i="9" s="1"/>
  <c r="W5200" i="9"/>
  <c r="V5200" i="9" a="1"/>
  <c r="T5200" i="9"/>
  <c r="U5200" i="9" s="1"/>
  <c r="W5199" i="9"/>
  <c r="V5199" i="9" a="1"/>
  <c r="T5199" i="9"/>
  <c r="U5199" i="9" s="1"/>
  <c r="W5198" i="9"/>
  <c r="BG721" i="9" s="1"/>
  <c r="V5198" i="9" a="1"/>
  <c r="T5198" i="9"/>
  <c r="U5198" i="9" s="1"/>
  <c r="W5197" i="9"/>
  <c r="BG720" i="9" s="1"/>
  <c r="V5197" i="9" a="1"/>
  <c r="T5197" i="9"/>
  <c r="U5197" i="9" s="1"/>
  <c r="V5196" i="9" a="1"/>
  <c r="T5196" i="9"/>
  <c r="W5195" i="9"/>
  <c r="V5195" i="9" a="1"/>
  <c r="T5195" i="9"/>
  <c r="U5195" i="9" s="1"/>
  <c r="W5194" i="9"/>
  <c r="V5194" i="9" a="1"/>
  <c r="T5194" i="9"/>
  <c r="U5194" i="9" s="1"/>
  <c r="V5193" i="9" a="1"/>
  <c r="T5193" i="9"/>
  <c r="W5192" i="9"/>
  <c r="V5192" i="9" a="1"/>
  <c r="T5192" i="9"/>
  <c r="U5192" i="9" s="1"/>
  <c r="V5191" i="9" a="1"/>
  <c r="T5191" i="9"/>
  <c r="W5190" i="9"/>
  <c r="V5190" i="9" a="1"/>
  <c r="T5190" i="9"/>
  <c r="U5190" i="9" s="1"/>
  <c r="V5189" i="9" a="1"/>
  <c r="T5189" i="9"/>
  <c r="W5188" i="9"/>
  <c r="V5188" i="9" a="1"/>
  <c r="T5188" i="9"/>
  <c r="U5188" i="9" s="1"/>
  <c r="W5187" i="9"/>
  <c r="V5187" i="9" a="1"/>
  <c r="T5187" i="9"/>
  <c r="U5187" i="9" s="1"/>
  <c r="V5186" i="9" a="1"/>
  <c r="T5186" i="9"/>
  <c r="W5185" i="9"/>
  <c r="V5185" i="9" a="1"/>
  <c r="T5185" i="9"/>
  <c r="U5185" i="9" s="1"/>
  <c r="W5184" i="9"/>
  <c r="V5184" i="9" a="1"/>
  <c r="T5184" i="9"/>
  <c r="U5184" i="9" s="1"/>
  <c r="W5183" i="9"/>
  <c r="V5183" i="9" a="1"/>
  <c r="T5183" i="9"/>
  <c r="U5183" i="9" s="1"/>
  <c r="V5182" i="9" a="1"/>
  <c r="T5182" i="9"/>
  <c r="W5181" i="9"/>
  <c r="V5181" i="9" a="1"/>
  <c r="T5181" i="9"/>
  <c r="U5181" i="9" s="1"/>
  <c r="W5180" i="9"/>
  <c r="V5180" i="9" a="1"/>
  <c r="T5180" i="9"/>
  <c r="U5180" i="9" s="1"/>
  <c r="W5179" i="9"/>
  <c r="V5179" i="9" a="1"/>
  <c r="T5179" i="9"/>
  <c r="U5179" i="9" s="1"/>
  <c r="W5178" i="9"/>
  <c r="V5178" i="9" a="1"/>
  <c r="T5178" i="9"/>
  <c r="U5178" i="9" s="1"/>
  <c r="W5177" i="9"/>
  <c r="V5177" i="9" a="1"/>
  <c r="T5177" i="9"/>
  <c r="U5177" i="9" s="1"/>
  <c r="W5176" i="9"/>
  <c r="BG699" i="9" s="1"/>
  <c r="V5176" i="9" a="1"/>
  <c r="T5176" i="9"/>
  <c r="U5176" i="9" s="1"/>
  <c r="W5175" i="9"/>
  <c r="V5175" i="9" a="1"/>
  <c r="T5175" i="9"/>
  <c r="U5175" i="9" s="1"/>
  <c r="W5174" i="9"/>
  <c r="V5174" i="9" a="1"/>
  <c r="T5174" i="9"/>
  <c r="U5174" i="9" s="1"/>
  <c r="W5173" i="9"/>
  <c r="V5173" i="9" a="1"/>
  <c r="T5173" i="9"/>
  <c r="U5173" i="9" s="1"/>
  <c r="W5172" i="9"/>
  <c r="V5172" i="9" a="1"/>
  <c r="T5172" i="9"/>
  <c r="U5172" i="9" s="1"/>
  <c r="W5171" i="9"/>
  <c r="BG694" i="9" s="1"/>
  <c r="V5171" i="9" a="1"/>
  <c r="T5171" i="9"/>
  <c r="U5171" i="9" s="1"/>
  <c r="W5170" i="9"/>
  <c r="V5170" i="9" a="1"/>
  <c r="T5170" i="9"/>
  <c r="U5170" i="9" s="1"/>
  <c r="W5169" i="9"/>
  <c r="BG692" i="9" s="1"/>
  <c r="V5169" i="9" a="1"/>
  <c r="T5169" i="9"/>
  <c r="U5169" i="9" s="1"/>
  <c r="W5168" i="9"/>
  <c r="V5168" i="9" a="1"/>
  <c r="T5168" i="9"/>
  <c r="U5168" i="9" s="1"/>
  <c r="W5167" i="9"/>
  <c r="BG690" i="9" s="1"/>
  <c r="V5167" i="9" a="1"/>
  <c r="T5167" i="9"/>
  <c r="U5167" i="9" s="1"/>
  <c r="W5166" i="9"/>
  <c r="V5166" i="9" a="1"/>
  <c r="T5166" i="9"/>
  <c r="U5166" i="9" s="1"/>
  <c r="W5165" i="9"/>
  <c r="V5165" i="9" a="1"/>
  <c r="T5165" i="9"/>
  <c r="U5165" i="9" s="1"/>
  <c r="W5164" i="9"/>
  <c r="V5164" i="9" a="1"/>
  <c r="T5164" i="9"/>
  <c r="U5164" i="9" s="1"/>
  <c r="W5163" i="9"/>
  <c r="V5163" i="9" a="1"/>
  <c r="T5163" i="9"/>
  <c r="U5163" i="9" s="1"/>
  <c r="W5162" i="9"/>
  <c r="V5162" i="9" a="1"/>
  <c r="T5162" i="9"/>
  <c r="U5162" i="9" s="1"/>
  <c r="W5161" i="9"/>
  <c r="BG684" i="9" s="1"/>
  <c r="V5161" i="9" a="1"/>
  <c r="T5161" i="9"/>
  <c r="U5161" i="9" s="1"/>
  <c r="W5160" i="9"/>
  <c r="V5160" i="9" a="1"/>
  <c r="T5160" i="9"/>
  <c r="U5160" i="9" s="1"/>
  <c r="W5159" i="9"/>
  <c r="BG682" i="9" s="1"/>
  <c r="V5159" i="9" a="1"/>
  <c r="T5159" i="9"/>
  <c r="U5159" i="9" s="1"/>
  <c r="W5158" i="9"/>
  <c r="BG681" i="9" s="1"/>
  <c r="V5158" i="9" a="1"/>
  <c r="T5158" i="9"/>
  <c r="U5158" i="9" s="1"/>
  <c r="W5157" i="9"/>
  <c r="V5157" i="9" a="1"/>
  <c r="T5157" i="9"/>
  <c r="U5157" i="9" s="1"/>
  <c r="W5156" i="9"/>
  <c r="V5156" i="9" a="1"/>
  <c r="T5156" i="9"/>
  <c r="U5156" i="9" s="1"/>
  <c r="W5155" i="9"/>
  <c r="BG678" i="9" s="1"/>
  <c r="V5155" i="9" a="1"/>
  <c r="T5155" i="9"/>
  <c r="U5155" i="9" s="1"/>
  <c r="W5154" i="9"/>
  <c r="V5154" i="9" a="1"/>
  <c r="T5154" i="9"/>
  <c r="U5154" i="9" s="1"/>
  <c r="W5153" i="9"/>
  <c r="V5153" i="9" a="1"/>
  <c r="T5153" i="9"/>
  <c r="U5153" i="9" s="1"/>
  <c r="W5152" i="9"/>
  <c r="V5152" i="9" a="1"/>
  <c r="T5152" i="9"/>
  <c r="U5152" i="9" s="1"/>
  <c r="W5151" i="9"/>
  <c r="V5151" i="9" a="1"/>
  <c r="T5151" i="9"/>
  <c r="U5151" i="9" s="1"/>
  <c r="W5150" i="9"/>
  <c r="V5150" i="9" a="1"/>
  <c r="T5150" i="9"/>
  <c r="U5150" i="9" s="1"/>
  <c r="W5149" i="9"/>
  <c r="V5149" i="9" a="1"/>
  <c r="T5149" i="9"/>
  <c r="U5149" i="9" s="1"/>
  <c r="W5148" i="9"/>
  <c r="BG671" i="9" s="1"/>
  <c r="V5148" i="9" a="1"/>
  <c r="T5148" i="9"/>
  <c r="U5148" i="9" s="1"/>
  <c r="W5147" i="9"/>
  <c r="V5147" i="9" a="1"/>
  <c r="T5147" i="9"/>
  <c r="U5147" i="9" s="1"/>
  <c r="W5146" i="9"/>
  <c r="V5146" i="9" a="1"/>
  <c r="T5146" i="9"/>
  <c r="U5146" i="9" s="1"/>
  <c r="W5145" i="9"/>
  <c r="BG668" i="9" s="1"/>
  <c r="V5145" i="9" a="1"/>
  <c r="T5145" i="9"/>
  <c r="U5145" i="9" s="1"/>
  <c r="W5144" i="9"/>
  <c r="V5144" i="9" a="1"/>
  <c r="T5144" i="9"/>
  <c r="U5144" i="9" s="1"/>
  <c r="W5143" i="9"/>
  <c r="V5143" i="9" a="1"/>
  <c r="T5143" i="9"/>
  <c r="U5143" i="9" s="1"/>
  <c r="W5142" i="9"/>
  <c r="V5142" i="9" a="1"/>
  <c r="T5142" i="9"/>
  <c r="U5142" i="9" s="1"/>
  <c r="W5141" i="9"/>
  <c r="V5141" i="9" a="1"/>
  <c r="T5141" i="9"/>
  <c r="U5141" i="9" s="1"/>
  <c r="W5140" i="9"/>
  <c r="V5140" i="9" a="1"/>
  <c r="T5140" i="9"/>
  <c r="U5140" i="9" s="1"/>
  <c r="W5139" i="9"/>
  <c r="V5139" i="9" a="1"/>
  <c r="T5139" i="9"/>
  <c r="U5139" i="9" s="1"/>
  <c r="W5138" i="9"/>
  <c r="V5138" i="9" a="1"/>
  <c r="T5138" i="9"/>
  <c r="U5138" i="9" s="1"/>
  <c r="W5137" i="9"/>
  <c r="V5137" i="9" a="1"/>
  <c r="T5137" i="9"/>
  <c r="U5137" i="9" s="1"/>
  <c r="W5136" i="9"/>
  <c r="BG659" i="9" s="1"/>
  <c r="V5136" i="9" a="1"/>
  <c r="T5136" i="9"/>
  <c r="U5136" i="9" s="1"/>
  <c r="W5135" i="9"/>
  <c r="V5135" i="9" a="1"/>
  <c r="T5135" i="9"/>
  <c r="U5135" i="9" s="1"/>
  <c r="W5134" i="9"/>
  <c r="V5134" i="9" a="1"/>
  <c r="T5134" i="9"/>
  <c r="U5134" i="9" s="1"/>
  <c r="W5133" i="9"/>
  <c r="V5133" i="9" a="1"/>
  <c r="T5133" i="9"/>
  <c r="U5133" i="9" s="1"/>
  <c r="W5132" i="9"/>
  <c r="V5132" i="9" a="1"/>
  <c r="T5132" i="9"/>
  <c r="U5132" i="9" s="1"/>
  <c r="W5131" i="9"/>
  <c r="V5131" i="9" a="1"/>
  <c r="T5131" i="9"/>
  <c r="U5131" i="9" s="1"/>
  <c r="W5130" i="9"/>
  <c r="V5130" i="9" a="1"/>
  <c r="T5130" i="9"/>
  <c r="U5130" i="9" s="1"/>
  <c r="W5129" i="9"/>
  <c r="V5129" i="9" a="1"/>
  <c r="T5129" i="9"/>
  <c r="U5129" i="9" s="1"/>
  <c r="V5128" i="9" a="1"/>
  <c r="T5128" i="9"/>
  <c r="V5127" i="9" a="1"/>
  <c r="T5127" i="9"/>
  <c r="U5127" i="9" s="1"/>
  <c r="W5126" i="9"/>
  <c r="V5126" i="9" a="1"/>
  <c r="T5126" i="9"/>
  <c r="U5126" i="9" s="1"/>
  <c r="W5125" i="9"/>
  <c r="V5125" i="9" a="1"/>
  <c r="T5125" i="9"/>
  <c r="U5125" i="9" s="1"/>
  <c r="V5124" i="9" a="1"/>
  <c r="T5124" i="9"/>
  <c r="U5124" i="9" s="1"/>
  <c r="W5123" i="9"/>
  <c r="V5123" i="9" a="1"/>
  <c r="T5123" i="9"/>
  <c r="U5123" i="9" s="1"/>
  <c r="W5122" i="9"/>
  <c r="V5122" i="9" a="1"/>
  <c r="T5122" i="9"/>
  <c r="U5122" i="9" s="1"/>
  <c r="W5121" i="9"/>
  <c r="V5121" i="9" a="1"/>
  <c r="T5121" i="9"/>
  <c r="U5121" i="9" s="1"/>
  <c r="V5120" i="9" a="1"/>
  <c r="T5120" i="9"/>
  <c r="U5120" i="9" s="1"/>
  <c r="V5119" i="9" a="1"/>
  <c r="T5119" i="9"/>
  <c r="W5118" i="9"/>
  <c r="V5118" i="9" a="1"/>
  <c r="T5118" i="9"/>
  <c r="U5118" i="9" s="1"/>
  <c r="W5117" i="9"/>
  <c r="V5117" i="9" a="1"/>
  <c r="T5117" i="9"/>
  <c r="U5117" i="9" s="1"/>
  <c r="W5116" i="9"/>
  <c r="V5116" i="9" a="1"/>
  <c r="T5116" i="9"/>
  <c r="U5116" i="9" s="1"/>
  <c r="W5115" i="9"/>
  <c r="V5115" i="9" a="1"/>
  <c r="T5115" i="9"/>
  <c r="U5115" i="9" s="1"/>
  <c r="W5114" i="9"/>
  <c r="V5114" i="9" a="1"/>
  <c r="T5114" i="9"/>
  <c r="U5114" i="9" s="1"/>
  <c r="W5113" i="9"/>
  <c r="V5113" i="9" a="1"/>
  <c r="T5113" i="9"/>
  <c r="U5113" i="9" s="1"/>
  <c r="W5112" i="9"/>
  <c r="BG635" i="9" s="1"/>
  <c r="V5112" i="9" a="1"/>
  <c r="T5112" i="9"/>
  <c r="U5112" i="9" s="1"/>
  <c r="W5111" i="9"/>
  <c r="V5111" i="9" a="1"/>
  <c r="T5111" i="9"/>
  <c r="U5111" i="9" s="1"/>
  <c r="W5110" i="9"/>
  <c r="V5110" i="9" a="1"/>
  <c r="T5110" i="9"/>
  <c r="U5110" i="9" s="1"/>
  <c r="W5109" i="9"/>
  <c r="V5109" i="9" a="1"/>
  <c r="T5109" i="9"/>
  <c r="U5109" i="9" s="1"/>
  <c r="W5108" i="9"/>
  <c r="V5108" i="9" a="1"/>
  <c r="T5108" i="9"/>
  <c r="U5108" i="9" s="1"/>
  <c r="W5107" i="9"/>
  <c r="V5107" i="9" a="1"/>
  <c r="T5107" i="9"/>
  <c r="U5107" i="9" s="1"/>
  <c r="W5106" i="9"/>
  <c r="BG629" i="9" s="1"/>
  <c r="V5106" i="9" a="1"/>
  <c r="T5106" i="9"/>
  <c r="U5106" i="9" s="1"/>
  <c r="W5105" i="9"/>
  <c r="BG628" i="9" s="1"/>
  <c r="V5105" i="9" a="1"/>
  <c r="T5105" i="9"/>
  <c r="U5105" i="9" s="1"/>
  <c r="W5104" i="9"/>
  <c r="V5104" i="9" a="1"/>
  <c r="T5104" i="9"/>
  <c r="U5104" i="9" s="1"/>
  <c r="W5103" i="9"/>
  <c r="V5103" i="9" a="1"/>
  <c r="T5103" i="9"/>
  <c r="U5103" i="9" s="1"/>
  <c r="W5102" i="9"/>
  <c r="BG625" i="9" s="1"/>
  <c r="V5102" i="9" a="1"/>
  <c r="T5102" i="9"/>
  <c r="U5102" i="9" s="1"/>
  <c r="W5101" i="9"/>
  <c r="V5101" i="9" a="1"/>
  <c r="T5101" i="9"/>
  <c r="U5101" i="9" s="1"/>
  <c r="W5100" i="9"/>
  <c r="BG623" i="9" s="1"/>
  <c r="V5100" i="9" a="1"/>
  <c r="T5100" i="9"/>
  <c r="U5100" i="9" s="1"/>
  <c r="W5099" i="9"/>
  <c r="V5099" i="9" a="1"/>
  <c r="T5099" i="9"/>
  <c r="U5099" i="9" s="1"/>
  <c r="W5098" i="9"/>
  <c r="BG621" i="9" s="1"/>
  <c r="V5098" i="9" a="1"/>
  <c r="T5098" i="9"/>
  <c r="U5098" i="9" s="1"/>
  <c r="W5097" i="9"/>
  <c r="V5097" i="9" a="1"/>
  <c r="T5097" i="9"/>
  <c r="U5097" i="9" s="1"/>
  <c r="W5096" i="9"/>
  <c r="V5096" i="9" a="1"/>
  <c r="T5096" i="9"/>
  <c r="U5096" i="9" s="1"/>
  <c r="W5095" i="9"/>
  <c r="BG618" i="9" s="1"/>
  <c r="V5095" i="9" a="1"/>
  <c r="T5095" i="9"/>
  <c r="U5095" i="9" s="1"/>
  <c r="W5094" i="9"/>
  <c r="V5094" i="9" a="1"/>
  <c r="T5094" i="9"/>
  <c r="U5094" i="9" s="1"/>
  <c r="W5093" i="9"/>
  <c r="V5093" i="9" a="1"/>
  <c r="T5093" i="9"/>
  <c r="U5093" i="9" s="1"/>
  <c r="W5092" i="9"/>
  <c r="V5092" i="9" a="1"/>
  <c r="T5092" i="9"/>
  <c r="U5092" i="9" s="1"/>
  <c r="W5091" i="9"/>
  <c r="V5091" i="9" a="1"/>
  <c r="T5091" i="9"/>
  <c r="U5091" i="9" s="1"/>
  <c r="W5090" i="9"/>
  <c r="V5090" i="9" a="1"/>
  <c r="T5090" i="9"/>
  <c r="U5090" i="9" s="1"/>
  <c r="W5089" i="9"/>
  <c r="V5089" i="9" a="1"/>
  <c r="T5089" i="9"/>
  <c r="U5089" i="9" s="1"/>
  <c r="W5088" i="9"/>
  <c r="BG611" i="9" s="1"/>
  <c r="V5088" i="9" a="1"/>
  <c r="T5088" i="9"/>
  <c r="U5088" i="9" s="1"/>
  <c r="W5087" i="9"/>
  <c r="V5087" i="9" a="1"/>
  <c r="T5087" i="9"/>
  <c r="U5087" i="9" s="1"/>
  <c r="W5086" i="9"/>
  <c r="BG609" i="9" s="1"/>
  <c r="V5086" i="9" a="1"/>
  <c r="T5086" i="9"/>
  <c r="U5086" i="9" s="1"/>
  <c r="W5085" i="9"/>
  <c r="BG608" i="9" s="1"/>
  <c r="V5085" i="9" a="1"/>
  <c r="T5085" i="9"/>
  <c r="U5085" i="9" s="1"/>
  <c r="W5084" i="9"/>
  <c r="V5084" i="9" a="1"/>
  <c r="T5084" i="9"/>
  <c r="U5084" i="9" s="1"/>
  <c r="W5083" i="9"/>
  <c r="V5083" i="9" a="1"/>
  <c r="T5083" i="9"/>
  <c r="U5083" i="9" s="1"/>
  <c r="W5082" i="9"/>
  <c r="V5082" i="9" a="1"/>
  <c r="T5082" i="9"/>
  <c r="U5082" i="9" s="1"/>
  <c r="W5081" i="9"/>
  <c r="BG604" i="9" s="1"/>
  <c r="V5081" i="9" a="1"/>
  <c r="T5081" i="9"/>
  <c r="U5081" i="9" s="1"/>
  <c r="W5080" i="9"/>
  <c r="V5080" i="9" a="1"/>
  <c r="T5080" i="9"/>
  <c r="U5080" i="9" s="1"/>
  <c r="W5079" i="9"/>
  <c r="V5079" i="9" a="1"/>
  <c r="T5079" i="9"/>
  <c r="U5079" i="9" s="1"/>
  <c r="W5078" i="9"/>
  <c r="V5078" i="9" a="1"/>
  <c r="T5078" i="9"/>
  <c r="U5078" i="9" s="1"/>
  <c r="W5077" i="9"/>
  <c r="V5077" i="9" a="1"/>
  <c r="T5077" i="9"/>
  <c r="U5077" i="9" s="1"/>
  <c r="W5076" i="9"/>
  <c r="V5076" i="9" a="1"/>
  <c r="T5076" i="9"/>
  <c r="U5076" i="9" s="1"/>
  <c r="W5075" i="9"/>
  <c r="BG598" i="9" s="1"/>
  <c r="V5075" i="9" a="1"/>
  <c r="T5075" i="9"/>
  <c r="U5075" i="9" s="1"/>
  <c r="W5074" i="9"/>
  <c r="BG597" i="9" s="1"/>
  <c r="V5074" i="9" a="1"/>
  <c r="T5074" i="9"/>
  <c r="U5074" i="9" s="1"/>
  <c r="W5073" i="9"/>
  <c r="V5073" i="9" a="1"/>
  <c r="T5073" i="9"/>
  <c r="U5073" i="9" s="1"/>
  <c r="W5072" i="9"/>
  <c r="V5072" i="9" a="1"/>
  <c r="T5072" i="9"/>
  <c r="U5072" i="9" s="1"/>
  <c r="W5071" i="9"/>
  <c r="BG594" i="9" s="1"/>
  <c r="V5071" i="9" a="1"/>
  <c r="T5071" i="9"/>
  <c r="U5071" i="9" s="1"/>
  <c r="W5070" i="9"/>
  <c r="V5070" i="9" a="1"/>
  <c r="T5070" i="9"/>
  <c r="U5070" i="9" s="1"/>
  <c r="W5069" i="9"/>
  <c r="V5069" i="9" a="1"/>
  <c r="T5069" i="9"/>
  <c r="U5069" i="9" s="1"/>
  <c r="W5068" i="9"/>
  <c r="V5068" i="9" a="1"/>
  <c r="T5068" i="9"/>
  <c r="U5068" i="9" s="1"/>
  <c r="W5067" i="9"/>
  <c r="V5067" i="9" a="1"/>
  <c r="T5067" i="9"/>
  <c r="U5067" i="9" s="1"/>
  <c r="W5066" i="9"/>
  <c r="V5066" i="9" a="1"/>
  <c r="T5066" i="9"/>
  <c r="U5066" i="9" s="1"/>
  <c r="V5065" i="9" a="1"/>
  <c r="T5065" i="9"/>
  <c r="W5064" i="9"/>
  <c r="V5064" i="9" a="1"/>
  <c r="T5064" i="9"/>
  <c r="U5064" i="9" s="1"/>
  <c r="W5063" i="9"/>
  <c r="V5063" i="9" a="1"/>
  <c r="T5063" i="9"/>
  <c r="U5063" i="9" s="1"/>
  <c r="W5062" i="9"/>
  <c r="V5062" i="9" a="1"/>
  <c r="T5062" i="9"/>
  <c r="U5062" i="9" s="1"/>
  <c r="V5061" i="9" a="1"/>
  <c r="T5061" i="9"/>
  <c r="V5060" i="9" a="1"/>
  <c r="T5060" i="9"/>
  <c r="W5059" i="9"/>
  <c r="V5059" i="9" a="1"/>
  <c r="T5059" i="9"/>
  <c r="U5059" i="9" s="1"/>
  <c r="W5058" i="9"/>
  <c r="V5058" i="9" a="1"/>
  <c r="T5058" i="9"/>
  <c r="U5058" i="9" s="1"/>
  <c r="W5057" i="9"/>
  <c r="V5057" i="9" a="1"/>
  <c r="T5057" i="9"/>
  <c r="U5057" i="9" s="1"/>
  <c r="W5056" i="9"/>
  <c r="V5056" i="9" a="1"/>
  <c r="T5056" i="9"/>
  <c r="U5056" i="9" s="1"/>
  <c r="V5055" i="9" a="1"/>
  <c r="T5055" i="9"/>
  <c r="W5054" i="9"/>
  <c r="V5054" i="9" a="1"/>
  <c r="T5054" i="9"/>
  <c r="U5054" i="9" s="1"/>
  <c r="W5053" i="9"/>
  <c r="V5053" i="9" a="1"/>
  <c r="T5053" i="9"/>
  <c r="U5053" i="9" s="1"/>
  <c r="W5052" i="9"/>
  <c r="V5052" i="9" a="1"/>
  <c r="T5052" i="9"/>
  <c r="U5052" i="9" s="1"/>
  <c r="W5051" i="9"/>
  <c r="BG574" i="9" s="1"/>
  <c r="V5051" i="9" a="1"/>
  <c r="T5051" i="9"/>
  <c r="U5051" i="9" s="1"/>
  <c r="W5050" i="9"/>
  <c r="V5050" i="9" a="1"/>
  <c r="T5050" i="9"/>
  <c r="U5050" i="9" s="1"/>
  <c r="W5049" i="9"/>
  <c r="V5049" i="9" a="1"/>
  <c r="T5049" i="9"/>
  <c r="U5049" i="9" s="1"/>
  <c r="W5048" i="9"/>
  <c r="V5048" i="9" a="1"/>
  <c r="T5048" i="9"/>
  <c r="U5048" i="9" s="1"/>
  <c r="W5047" i="9"/>
  <c r="V5047" i="9" a="1"/>
  <c r="T5047" i="9"/>
  <c r="U5047" i="9" s="1"/>
  <c r="W5046" i="9"/>
  <c r="BG569" i="9" s="1"/>
  <c r="V5046" i="9" a="1"/>
  <c r="T5046" i="9"/>
  <c r="U5046" i="9" s="1"/>
  <c r="W5045" i="9"/>
  <c r="BG568" i="9" s="1"/>
  <c r="V5045" i="9" a="1"/>
  <c r="T5045" i="9"/>
  <c r="U5045" i="9" s="1"/>
  <c r="W5044" i="9"/>
  <c r="V5044" i="9" a="1"/>
  <c r="T5044" i="9"/>
  <c r="U5044" i="9" s="1"/>
  <c r="W5043" i="9"/>
  <c r="V5043" i="9" a="1"/>
  <c r="T5043" i="9"/>
  <c r="U5043" i="9" s="1"/>
  <c r="W5042" i="9"/>
  <c r="BG565" i="9" s="1"/>
  <c r="V5042" i="9" a="1"/>
  <c r="T5042" i="9"/>
  <c r="U5042" i="9" s="1"/>
  <c r="W5041" i="9"/>
  <c r="V5041" i="9" a="1"/>
  <c r="T5041" i="9"/>
  <c r="U5041" i="9" s="1"/>
  <c r="W5040" i="9"/>
  <c r="V5040" i="9" a="1"/>
  <c r="T5040" i="9"/>
  <c r="U5040" i="9" s="1"/>
  <c r="W5039" i="9"/>
  <c r="V5039" i="9" a="1"/>
  <c r="T5039" i="9"/>
  <c r="U5039" i="9" s="1"/>
  <c r="W5038" i="9"/>
  <c r="BG561" i="9" s="1"/>
  <c r="V5038" i="9" a="1"/>
  <c r="T5038" i="9"/>
  <c r="U5038" i="9" s="1"/>
  <c r="W5037" i="9"/>
  <c r="V5037" i="9" a="1"/>
  <c r="T5037" i="9"/>
  <c r="U5037" i="9" s="1"/>
  <c r="W5036" i="9"/>
  <c r="V5036" i="9" a="1"/>
  <c r="T5036" i="9"/>
  <c r="U5036" i="9" s="1"/>
  <c r="W5035" i="9"/>
  <c r="V5035" i="9" a="1"/>
  <c r="T5035" i="9"/>
  <c r="U5035" i="9" s="1"/>
  <c r="W5034" i="9"/>
  <c r="V5034" i="9" a="1"/>
  <c r="T5034" i="9"/>
  <c r="U5034" i="9" s="1"/>
  <c r="W5033" i="9"/>
  <c r="V5033" i="9" a="1"/>
  <c r="T5033" i="9"/>
  <c r="U5033" i="9" s="1"/>
  <c r="W5032" i="9"/>
  <c r="BG555" i="9" s="1"/>
  <c r="V5032" i="9" a="1"/>
  <c r="T5032" i="9"/>
  <c r="U5032" i="9" s="1"/>
  <c r="W5031" i="9"/>
  <c r="V5031" i="9" a="1"/>
  <c r="T5031" i="9"/>
  <c r="U5031" i="9" s="1"/>
  <c r="W5030" i="9"/>
  <c r="BG553" i="9" s="1"/>
  <c r="V5030" i="9" a="1"/>
  <c r="T5030" i="9"/>
  <c r="U5030" i="9" s="1"/>
  <c r="W5029" i="9"/>
  <c r="V5029" i="9" a="1"/>
  <c r="T5029" i="9"/>
  <c r="U5029" i="9" s="1"/>
  <c r="W5028" i="9"/>
  <c r="BG551" i="9" s="1"/>
  <c r="V5028" i="9" a="1"/>
  <c r="T5028" i="9"/>
  <c r="U5028" i="9" s="1"/>
  <c r="W5027" i="9"/>
  <c r="V5027" i="9" a="1"/>
  <c r="T5027" i="9"/>
  <c r="U5027" i="9" s="1"/>
  <c r="W5026" i="9"/>
  <c r="V5026" i="9" a="1"/>
  <c r="T5026" i="9"/>
  <c r="U5026" i="9" s="1"/>
  <c r="W5025" i="9"/>
  <c r="BG548" i="9" s="1"/>
  <c r="V5025" i="9" a="1"/>
  <c r="T5025" i="9"/>
  <c r="U5025" i="9" s="1"/>
  <c r="W5024" i="9"/>
  <c r="V5024" i="9" a="1"/>
  <c r="T5024" i="9"/>
  <c r="U5024" i="9" s="1"/>
  <c r="W5023" i="9"/>
  <c r="BG546" i="9" s="1"/>
  <c r="V5023" i="9" a="1"/>
  <c r="T5023" i="9"/>
  <c r="U5023" i="9" s="1"/>
  <c r="W5022" i="9"/>
  <c r="V5022" i="9" a="1"/>
  <c r="T5022" i="9"/>
  <c r="U5022" i="9" s="1"/>
  <c r="W5021" i="9"/>
  <c r="BG544" i="9" s="1"/>
  <c r="V5021" i="9" a="1"/>
  <c r="T5021" i="9"/>
  <c r="U5021" i="9" s="1"/>
  <c r="W5020" i="9"/>
  <c r="V5020" i="9" a="1"/>
  <c r="T5020" i="9"/>
  <c r="U5020" i="9" s="1"/>
  <c r="W5019" i="9"/>
  <c r="V5019" i="9" a="1"/>
  <c r="T5019" i="9"/>
  <c r="U5019" i="9" s="1"/>
  <c r="W5018" i="9"/>
  <c r="V5018" i="9" a="1"/>
  <c r="T5018" i="9"/>
  <c r="U5018" i="9" s="1"/>
  <c r="W5017" i="9"/>
  <c r="V5017" i="9" a="1"/>
  <c r="T5017" i="9"/>
  <c r="U5017" i="9" s="1"/>
  <c r="W5016" i="9"/>
  <c r="V5016" i="9" a="1"/>
  <c r="T5016" i="9"/>
  <c r="U5016" i="9" s="1"/>
  <c r="W5015" i="9"/>
  <c r="V5015" i="9" a="1"/>
  <c r="T5015" i="9"/>
  <c r="U5015" i="9" s="1"/>
  <c r="W5014" i="9"/>
  <c r="BG537" i="9" s="1"/>
  <c r="V5014" i="9" a="1"/>
  <c r="T5014" i="9"/>
  <c r="U5014" i="9" s="1"/>
  <c r="W5013" i="9"/>
  <c r="V5013" i="9" a="1"/>
  <c r="T5013" i="9"/>
  <c r="U5013" i="9" s="1"/>
  <c r="W5012" i="9"/>
  <c r="V5012" i="9" a="1"/>
  <c r="T5012" i="9"/>
  <c r="U5012" i="9" s="1"/>
  <c r="W5011" i="9"/>
  <c r="V5011" i="9" a="1"/>
  <c r="T5011" i="9"/>
  <c r="U5011" i="9" s="1"/>
  <c r="W5010" i="9"/>
  <c r="V5010" i="9" a="1"/>
  <c r="T5010" i="9"/>
  <c r="U5010" i="9" s="1"/>
  <c r="W5009" i="9"/>
  <c r="BG532" i="9" s="1"/>
  <c r="V5009" i="9" a="1"/>
  <c r="T5009" i="9"/>
  <c r="U5009" i="9" s="1"/>
  <c r="W5008" i="9"/>
  <c r="BG531" i="9" s="1"/>
  <c r="V5008" i="9" a="1"/>
  <c r="T5008" i="9"/>
  <c r="U5008" i="9" s="1"/>
  <c r="W5007" i="9"/>
  <c r="BG530" i="9" s="1"/>
  <c r="V5007" i="9" a="1"/>
  <c r="T5007" i="9"/>
  <c r="U5007" i="9" s="1"/>
  <c r="W5006" i="9"/>
  <c r="BG529" i="9" s="1"/>
  <c r="V5006" i="9" a="1"/>
  <c r="T5006" i="9"/>
  <c r="U5006" i="9" s="1"/>
  <c r="W5005" i="9"/>
  <c r="V5005" i="9" a="1"/>
  <c r="T5005" i="9"/>
  <c r="U5005" i="9" s="1"/>
  <c r="V5004" i="9" a="1"/>
  <c r="T5004" i="9"/>
  <c r="W5003" i="9"/>
  <c r="V5003" i="9" a="1"/>
  <c r="T5003" i="9"/>
  <c r="U5003" i="9" s="1"/>
  <c r="W5002" i="9"/>
  <c r="V5002" i="9" a="1"/>
  <c r="T5002" i="9"/>
  <c r="U5002" i="9" s="1"/>
  <c r="W5001" i="9"/>
  <c r="V5001" i="9" a="1"/>
  <c r="T5001" i="9"/>
  <c r="U5001" i="9" s="1"/>
  <c r="V5000" i="9" a="1"/>
  <c r="T5000" i="9"/>
  <c r="W4999" i="9"/>
  <c r="V4999" i="9" a="1"/>
  <c r="T4999" i="9"/>
  <c r="U4999" i="9" s="1"/>
  <c r="W4998" i="9"/>
  <c r="V4998" i="9" a="1"/>
  <c r="T4998" i="9"/>
  <c r="U4998" i="9" s="1"/>
  <c r="W4997" i="9"/>
  <c r="V4997" i="9" a="1"/>
  <c r="T4997" i="9"/>
  <c r="U4997" i="9" s="1"/>
  <c r="V4996" i="9" a="1"/>
  <c r="T4996" i="9"/>
  <c r="V4995" i="9" a="1"/>
  <c r="T4995" i="9"/>
  <c r="W4994" i="9"/>
  <c r="V4994" i="9" a="1"/>
  <c r="T4994" i="9"/>
  <c r="U4994" i="9" s="1"/>
  <c r="W4993" i="9"/>
  <c r="V4993" i="9" a="1"/>
  <c r="T4993" i="9"/>
  <c r="U4993" i="9" s="1"/>
  <c r="W4992" i="9"/>
  <c r="V4992" i="9" a="1"/>
  <c r="T4992" i="9"/>
  <c r="U4992" i="9" s="1"/>
  <c r="W4991" i="9"/>
  <c r="V4991" i="9" a="1"/>
  <c r="T4991" i="9"/>
  <c r="U4991" i="9" s="1"/>
  <c r="W4990" i="9"/>
  <c r="V4990" i="9" a="1"/>
  <c r="T4990" i="9"/>
  <c r="U4990" i="9" s="1"/>
  <c r="W4989" i="9"/>
  <c r="V4989" i="9" a="1"/>
  <c r="T4989" i="9"/>
  <c r="U4989" i="9" s="1"/>
  <c r="W4988" i="9"/>
  <c r="V4988" i="9" a="1"/>
  <c r="T4988" i="9"/>
  <c r="U4988" i="9" s="1"/>
  <c r="W4987" i="9"/>
  <c r="V4987" i="9" a="1"/>
  <c r="T4987" i="9"/>
  <c r="U4987" i="9" s="1"/>
  <c r="W4986" i="9"/>
  <c r="V4986" i="9" a="1"/>
  <c r="T4986" i="9"/>
  <c r="U4986" i="9" s="1"/>
  <c r="W4985" i="9"/>
  <c r="V4985" i="9" a="1"/>
  <c r="T4985" i="9"/>
  <c r="U4985" i="9" s="1"/>
  <c r="W4984" i="9"/>
  <c r="V4984" i="9" a="1"/>
  <c r="T4984" i="9"/>
  <c r="U4984" i="9" s="1"/>
  <c r="W4983" i="9"/>
  <c r="BG506" i="9" s="1"/>
  <c r="V4983" i="9" a="1"/>
  <c r="T4983" i="9"/>
  <c r="U4983" i="9" s="1"/>
  <c r="W4982" i="9"/>
  <c r="BG505" i="9" s="1"/>
  <c r="V4982" i="9" a="1"/>
  <c r="T4982" i="9"/>
  <c r="U4982" i="9" s="1"/>
  <c r="W4981" i="9"/>
  <c r="BG504" i="9" s="1"/>
  <c r="V4981" i="9" a="1"/>
  <c r="T4981" i="9"/>
  <c r="U4981" i="9" s="1"/>
  <c r="W4980" i="9"/>
  <c r="V4980" i="9" a="1"/>
  <c r="T4980" i="9"/>
  <c r="U4980" i="9" s="1"/>
  <c r="W4979" i="9"/>
  <c r="V4979" i="9" a="1"/>
  <c r="T4979" i="9"/>
  <c r="U4979" i="9" s="1"/>
  <c r="W4978" i="9"/>
  <c r="V4978" i="9" a="1"/>
  <c r="T4978" i="9"/>
  <c r="U4978" i="9" s="1"/>
  <c r="W4977" i="9"/>
  <c r="V4977" i="9" a="1"/>
  <c r="T4977" i="9"/>
  <c r="U4977" i="9" s="1"/>
  <c r="W4976" i="9"/>
  <c r="V4976" i="9" a="1"/>
  <c r="T4976" i="9"/>
  <c r="U4976" i="9" s="1"/>
  <c r="W4975" i="9"/>
  <c r="V4975" i="9" a="1"/>
  <c r="T4975" i="9"/>
  <c r="U4975" i="9" s="1"/>
  <c r="W4974" i="9"/>
  <c r="V4974" i="9" a="1"/>
  <c r="T4974" i="9"/>
  <c r="U4974" i="9" s="1"/>
  <c r="W4973" i="9"/>
  <c r="V4973" i="9" a="1"/>
  <c r="T4973" i="9"/>
  <c r="U4973" i="9" s="1"/>
  <c r="W4972" i="9"/>
  <c r="V4972" i="9" a="1"/>
  <c r="T4972" i="9"/>
  <c r="U4972" i="9" s="1"/>
  <c r="W4971" i="9"/>
  <c r="V4971" i="9" a="1"/>
  <c r="T4971" i="9"/>
  <c r="U4971" i="9" s="1"/>
  <c r="W4970" i="9"/>
  <c r="V4970" i="9" a="1"/>
  <c r="T4970" i="9"/>
  <c r="U4970" i="9" s="1"/>
  <c r="W4969" i="9"/>
  <c r="BG492" i="9" s="1"/>
  <c r="V4969" i="9" a="1"/>
  <c r="T4969" i="9"/>
  <c r="U4969" i="9" s="1"/>
  <c r="W4968" i="9"/>
  <c r="V4968" i="9" a="1"/>
  <c r="T4968" i="9"/>
  <c r="U4968" i="9" s="1"/>
  <c r="W4967" i="9"/>
  <c r="V4967" i="9" a="1"/>
  <c r="T4967" i="9"/>
  <c r="U4967" i="9" s="1"/>
  <c r="W4966" i="9"/>
  <c r="V4966" i="9" a="1"/>
  <c r="T4966" i="9"/>
  <c r="U4966" i="9" s="1"/>
  <c r="W4965" i="9"/>
  <c r="BG488" i="9" s="1"/>
  <c r="V4965" i="9" a="1"/>
  <c r="T4965" i="9"/>
  <c r="U4965" i="9" s="1"/>
  <c r="W4964" i="9"/>
  <c r="V4964" i="9" a="1"/>
  <c r="T4964" i="9"/>
  <c r="U4964" i="9" s="1"/>
  <c r="W4963" i="9"/>
  <c r="V4963" i="9" a="1"/>
  <c r="T4963" i="9"/>
  <c r="U4963" i="9" s="1"/>
  <c r="W4962" i="9"/>
  <c r="V4962" i="9" a="1"/>
  <c r="T4962" i="9"/>
  <c r="U4962" i="9" s="1"/>
  <c r="W4961" i="9"/>
  <c r="V4961" i="9" a="1"/>
  <c r="T4961" i="9"/>
  <c r="U4961" i="9" s="1"/>
  <c r="W4960" i="9"/>
  <c r="BG483" i="9" s="1"/>
  <c r="V4960" i="9" a="1"/>
  <c r="T4960" i="9"/>
  <c r="U4960" i="9" s="1"/>
  <c r="W4959" i="9"/>
  <c r="V4959" i="9" a="1"/>
  <c r="T4959" i="9"/>
  <c r="U4959" i="9" s="1"/>
  <c r="W4958" i="9"/>
  <c r="V4958" i="9" a="1"/>
  <c r="T4958" i="9"/>
  <c r="U4958" i="9" s="1"/>
  <c r="W4957" i="9"/>
  <c r="V4957" i="9" a="1"/>
  <c r="T4957" i="9"/>
  <c r="U4957" i="9" s="1"/>
  <c r="W4956" i="9"/>
  <c r="V4956" i="9" a="1"/>
  <c r="T4956" i="9"/>
  <c r="U4956" i="9" s="1"/>
  <c r="W4955" i="9"/>
  <c r="BG478" i="9" s="1"/>
  <c r="V4955" i="9" a="1"/>
  <c r="T4955" i="9"/>
  <c r="U4955" i="9" s="1"/>
  <c r="W4954" i="9"/>
  <c r="V4954" i="9" a="1"/>
  <c r="T4954" i="9"/>
  <c r="U4954" i="9" s="1"/>
  <c r="W4953" i="9"/>
  <c r="BG476" i="9" s="1"/>
  <c r="V4953" i="9" a="1"/>
  <c r="T4953" i="9"/>
  <c r="U4953" i="9" s="1"/>
  <c r="W4952" i="9"/>
  <c r="V4952" i="9" a="1"/>
  <c r="T4952" i="9"/>
  <c r="U4952" i="9" s="1"/>
  <c r="W4951" i="9"/>
  <c r="V4951" i="9" a="1"/>
  <c r="T4951" i="9"/>
  <c r="U4951" i="9" s="1"/>
  <c r="T4950" i="9"/>
  <c r="U4950" i="9" s="1"/>
  <c r="T4949" i="9"/>
  <c r="U4949" i="9" s="1"/>
  <c r="V4948" i="9" a="1"/>
  <c r="T4948" i="9"/>
  <c r="W4947" i="9"/>
  <c r="V4947" i="9" a="1"/>
  <c r="T4947" i="9"/>
  <c r="U4947" i="9" s="1"/>
  <c r="W4946" i="9"/>
  <c r="V4946" i="9" a="1"/>
  <c r="T4946" i="9"/>
  <c r="U4946" i="9" s="1"/>
  <c r="T4945" i="9"/>
  <c r="U4945" i="9" s="1"/>
  <c r="V4944" i="9" a="1"/>
  <c r="T4944" i="9"/>
  <c r="V4943" i="9" a="1"/>
  <c r="T4943" i="9"/>
  <c r="W4942" i="9"/>
  <c r="V4942" i="9" a="1"/>
  <c r="T4942" i="9"/>
  <c r="U4942" i="9" s="1"/>
  <c r="V4941" i="9" a="1"/>
  <c r="T4941" i="9"/>
  <c r="W4940" i="9"/>
  <c r="V4940" i="9" a="1"/>
  <c r="T4940" i="9"/>
  <c r="U4940" i="9" s="1"/>
  <c r="W4939" i="9"/>
  <c r="V4939" i="9" a="1"/>
  <c r="T4939" i="9"/>
  <c r="U4939" i="9" s="1"/>
  <c r="W4938" i="9"/>
  <c r="V4938" i="9" a="1"/>
  <c r="T4938" i="9"/>
  <c r="U4938" i="9" s="1"/>
  <c r="V4937" i="9" a="1"/>
  <c r="T4937" i="9"/>
  <c r="W4936" i="9"/>
  <c r="V4936" i="9" a="1"/>
  <c r="T4936" i="9"/>
  <c r="U4936" i="9" s="1"/>
  <c r="W4935" i="9"/>
  <c r="BG458" i="9" s="1"/>
  <c r="V4935" i="9" a="1"/>
  <c r="T4935" i="9"/>
  <c r="U4935" i="9" s="1"/>
  <c r="W4934" i="9"/>
  <c r="V4934" i="9" a="1"/>
  <c r="T4934" i="9"/>
  <c r="U4934" i="9" s="1"/>
  <c r="W4933" i="9"/>
  <c r="V4933" i="9" a="1"/>
  <c r="T4933" i="9"/>
  <c r="U4933" i="9" s="1"/>
  <c r="W4932" i="9"/>
  <c r="V4932" i="9" a="1"/>
  <c r="T4932" i="9"/>
  <c r="U4932" i="9" s="1"/>
  <c r="W4931" i="9"/>
  <c r="V4931" i="9" a="1"/>
  <c r="T4931" i="9"/>
  <c r="U4931" i="9" s="1"/>
  <c r="W4930" i="9"/>
  <c r="V4930" i="9" a="1"/>
  <c r="T4930" i="9"/>
  <c r="U4930" i="9" s="1"/>
  <c r="W4929" i="9"/>
  <c r="V4929" i="9" a="1"/>
  <c r="T4929" i="9"/>
  <c r="U4929" i="9" s="1"/>
  <c r="W4928" i="9"/>
  <c r="V4928" i="9" a="1"/>
  <c r="T4928" i="9"/>
  <c r="U4928" i="9" s="1"/>
  <c r="W4927" i="9"/>
  <c r="BG450" i="9" s="1"/>
  <c r="V4927" i="9" a="1"/>
  <c r="T4927" i="9"/>
  <c r="U4927" i="9" s="1"/>
  <c r="W4926" i="9"/>
  <c r="V4926" i="9" a="1"/>
  <c r="T4926" i="9"/>
  <c r="U4926" i="9" s="1"/>
  <c r="W4925" i="9"/>
  <c r="BG448" i="9" s="1"/>
  <c r="V4925" i="9" a="1"/>
  <c r="T4925" i="9"/>
  <c r="U4925" i="9" s="1"/>
  <c r="W4924" i="9"/>
  <c r="V4924" i="9" a="1"/>
  <c r="T4924" i="9"/>
  <c r="U4924" i="9" s="1"/>
  <c r="W4923" i="9"/>
  <c r="V4923" i="9" a="1"/>
  <c r="T4923" i="9"/>
  <c r="U4923" i="9" s="1"/>
  <c r="W4922" i="9"/>
  <c r="BG445" i="9" s="1"/>
  <c r="V4922" i="9" a="1"/>
  <c r="T4922" i="9"/>
  <c r="U4922" i="9" s="1"/>
  <c r="W4921" i="9"/>
  <c r="BG444" i="9" s="1"/>
  <c r="V4921" i="9" a="1"/>
  <c r="T4921" i="9"/>
  <c r="U4921" i="9" s="1"/>
  <c r="W4920" i="9"/>
  <c r="V4920" i="9" a="1"/>
  <c r="T4920" i="9"/>
  <c r="U4920" i="9" s="1"/>
  <c r="W4919" i="9"/>
  <c r="V4919" i="9" a="1"/>
  <c r="T4919" i="9"/>
  <c r="U4919" i="9" s="1"/>
  <c r="W4918" i="9"/>
  <c r="V4918" i="9" a="1"/>
  <c r="T4918" i="9"/>
  <c r="U4918" i="9" s="1"/>
  <c r="W4917" i="9"/>
  <c r="V4917" i="9" a="1"/>
  <c r="T4917" i="9"/>
  <c r="U4917" i="9" s="1"/>
  <c r="W4916" i="9"/>
  <c r="V4916" i="9" a="1"/>
  <c r="T4916" i="9"/>
  <c r="U4916" i="9" s="1"/>
  <c r="W4915" i="9"/>
  <c r="V4915" i="9" a="1"/>
  <c r="T4915" i="9"/>
  <c r="U4915" i="9" s="1"/>
  <c r="W4914" i="9"/>
  <c r="V4914" i="9" a="1"/>
  <c r="T4914" i="9"/>
  <c r="U4914" i="9" s="1"/>
  <c r="W4913" i="9"/>
  <c r="V4913" i="9" a="1"/>
  <c r="T4913" i="9"/>
  <c r="U4913" i="9" s="1"/>
  <c r="W4912" i="9"/>
  <c r="BG435" i="9" s="1"/>
  <c r="V4912" i="9" a="1"/>
  <c r="T4912" i="9"/>
  <c r="U4912" i="9" s="1"/>
  <c r="W4911" i="9"/>
  <c r="BG434" i="9" s="1"/>
  <c r="V4911" i="9" a="1"/>
  <c r="T4911" i="9"/>
  <c r="U4911" i="9" s="1"/>
  <c r="W4910" i="9"/>
  <c r="V4910" i="9" a="1"/>
  <c r="T4910" i="9"/>
  <c r="U4910" i="9" s="1"/>
  <c r="W4909" i="9"/>
  <c r="BG432" i="9" s="1"/>
  <c r="V4909" i="9" a="1"/>
  <c r="T4909" i="9"/>
  <c r="U4909" i="9" s="1"/>
  <c r="W4908" i="9"/>
  <c r="V4908" i="9" a="1"/>
  <c r="T4908" i="9"/>
  <c r="U4908" i="9" s="1"/>
  <c r="W4907" i="9"/>
  <c r="V4907" i="9" a="1"/>
  <c r="T4907" i="9"/>
  <c r="U4907" i="9" s="1"/>
  <c r="W4906" i="9"/>
  <c r="V4906" i="9" a="1"/>
  <c r="T4906" i="9"/>
  <c r="U4906" i="9" s="1"/>
  <c r="W4905" i="9"/>
  <c r="V4905" i="9" a="1"/>
  <c r="T4905" i="9"/>
  <c r="U4905" i="9" s="1"/>
  <c r="W4904" i="9"/>
  <c r="V4904" i="9" a="1"/>
  <c r="T4904" i="9"/>
  <c r="U4904" i="9" s="1"/>
  <c r="W4903" i="9"/>
  <c r="V4903" i="9" a="1"/>
  <c r="T4903" i="9"/>
  <c r="U4903" i="9" s="1"/>
  <c r="W4902" i="9"/>
  <c r="V4902" i="9" a="1"/>
  <c r="T4902" i="9"/>
  <c r="U4902" i="9" s="1"/>
  <c r="W4901" i="9"/>
  <c r="V4901" i="9" a="1"/>
  <c r="T4901" i="9"/>
  <c r="U4901" i="9" s="1"/>
  <c r="W4900" i="9"/>
  <c r="V4900" i="9" a="1"/>
  <c r="T4900" i="9"/>
  <c r="U4900" i="9" s="1"/>
  <c r="V4899" i="9" a="1"/>
  <c r="T4899" i="9"/>
  <c r="W4898" i="9"/>
  <c r="V4898" i="9" a="1"/>
  <c r="T4898" i="9"/>
  <c r="U4898" i="9" s="1"/>
  <c r="W4897" i="9"/>
  <c r="V4897" i="9" a="1"/>
  <c r="T4897" i="9"/>
  <c r="U4897" i="9" s="1"/>
  <c r="W4896" i="9"/>
  <c r="V4896" i="9" a="1"/>
  <c r="T4896" i="9"/>
  <c r="U4896" i="9" s="1"/>
  <c r="V4895" i="9" a="1"/>
  <c r="T4895" i="9"/>
  <c r="V4894" i="9" a="1"/>
  <c r="T4894" i="9"/>
  <c r="V4893" i="9" a="1"/>
  <c r="T4893" i="9"/>
  <c r="W4892" i="9"/>
  <c r="V4892" i="9" a="1"/>
  <c r="T4892" i="9"/>
  <c r="U4892" i="9" s="1"/>
  <c r="W4891" i="9"/>
  <c r="V4891" i="9" a="1"/>
  <c r="T4891" i="9"/>
  <c r="U4891" i="9" s="1"/>
  <c r="W4890" i="9"/>
  <c r="V4890" i="9" a="1"/>
  <c r="T4890" i="9"/>
  <c r="U4890" i="9" s="1"/>
  <c r="W4889" i="9"/>
  <c r="V4889" i="9" a="1"/>
  <c r="T4889" i="9"/>
  <c r="U4889" i="9" s="1"/>
  <c r="W4888" i="9"/>
  <c r="V4888" i="9" a="1"/>
  <c r="T4888" i="9"/>
  <c r="U4888" i="9" s="1"/>
  <c r="W4887" i="9"/>
  <c r="V4887" i="9" a="1"/>
  <c r="T4887" i="9"/>
  <c r="U4887" i="9" s="1"/>
  <c r="W4886" i="9"/>
  <c r="V4886" i="9" a="1"/>
  <c r="T4886" i="9"/>
  <c r="U4886" i="9" s="1"/>
  <c r="V4885" i="9" a="1"/>
  <c r="T4885" i="9"/>
  <c r="W4884" i="9"/>
  <c r="V4884" i="9" a="1"/>
  <c r="T4884" i="9"/>
  <c r="U4884" i="9" s="1"/>
  <c r="W4883" i="9"/>
  <c r="BG406" i="9" s="1"/>
  <c r="V4883" i="9" a="1"/>
  <c r="T4883" i="9"/>
  <c r="U4883" i="9" s="1"/>
  <c r="W4882" i="9"/>
  <c r="V4882" i="9" a="1"/>
  <c r="T4882" i="9"/>
  <c r="U4882" i="9" s="1"/>
  <c r="W4881" i="9"/>
  <c r="V4881" i="9" a="1"/>
  <c r="T4881" i="9"/>
  <c r="U4881" i="9" s="1"/>
  <c r="W4880" i="9"/>
  <c r="V4880" i="9" a="1"/>
  <c r="T4880" i="9"/>
  <c r="U4880" i="9" s="1"/>
  <c r="W4879" i="9"/>
  <c r="V4879" i="9" a="1"/>
  <c r="T4879" i="9"/>
  <c r="U4879" i="9" s="1"/>
  <c r="W4878" i="9"/>
  <c r="V4878" i="9" a="1"/>
  <c r="T4878" i="9"/>
  <c r="U4878" i="9" s="1"/>
  <c r="W4877" i="9"/>
  <c r="BG400" i="9" s="1"/>
  <c r="V4877" i="9" a="1"/>
  <c r="T4877" i="9"/>
  <c r="U4877" i="9" s="1"/>
  <c r="W4876" i="9"/>
  <c r="V4876" i="9" a="1"/>
  <c r="T4876" i="9"/>
  <c r="U4876" i="9" s="1"/>
  <c r="W4875" i="9"/>
  <c r="V4875" i="9" a="1"/>
  <c r="T4875" i="9"/>
  <c r="U4875" i="9" s="1"/>
  <c r="W4874" i="9"/>
  <c r="V4874" i="9" a="1"/>
  <c r="T4874" i="9"/>
  <c r="U4874" i="9" s="1"/>
  <c r="W4873" i="9"/>
  <c r="V4873" i="9" a="1"/>
  <c r="T4873" i="9"/>
  <c r="U4873" i="9" s="1"/>
  <c r="W4872" i="9"/>
  <c r="V4872" i="9" a="1"/>
  <c r="T4872" i="9"/>
  <c r="U4872" i="9" s="1"/>
  <c r="W4871" i="9"/>
  <c r="V4871" i="9" a="1"/>
  <c r="T4871" i="9"/>
  <c r="U4871" i="9" s="1"/>
  <c r="W4870" i="9"/>
  <c r="V4870" i="9" a="1"/>
  <c r="T4870" i="9"/>
  <c r="U4870" i="9" s="1"/>
  <c r="W4869" i="9"/>
  <c r="V4869" i="9" a="1"/>
  <c r="T4869" i="9"/>
  <c r="U4869" i="9" s="1"/>
  <c r="W4868" i="9"/>
  <c r="BG391" i="9" s="1"/>
  <c r="V4868" i="9" a="1"/>
  <c r="T4868" i="9"/>
  <c r="U4868" i="9" s="1"/>
  <c r="W4867" i="9"/>
  <c r="V4867" i="9" a="1"/>
  <c r="T4867" i="9"/>
  <c r="U4867" i="9" s="1"/>
  <c r="W4866" i="9"/>
  <c r="BG389" i="9" s="1"/>
  <c r="V4866" i="9" a="1"/>
  <c r="T4866" i="9"/>
  <c r="U4866" i="9" s="1"/>
  <c r="W4865" i="9"/>
  <c r="V4865" i="9" a="1"/>
  <c r="T4865" i="9"/>
  <c r="U4865" i="9" s="1"/>
  <c r="W4864" i="9"/>
  <c r="V4864" i="9" a="1"/>
  <c r="T4864" i="9"/>
  <c r="U4864" i="9" s="1"/>
  <c r="W4863" i="9"/>
  <c r="BG386" i="9" s="1"/>
  <c r="V4863" i="9" a="1"/>
  <c r="T4863" i="9"/>
  <c r="U4863" i="9" s="1"/>
  <c r="W4862" i="9"/>
  <c r="BG385" i="9" s="1"/>
  <c r="V4862" i="9" a="1"/>
  <c r="T4862" i="9"/>
  <c r="U4862" i="9" s="1"/>
  <c r="W4861" i="9"/>
  <c r="BG384" i="9" s="1"/>
  <c r="V4861" i="9" a="1"/>
  <c r="T4861" i="9"/>
  <c r="U4861" i="9" s="1"/>
  <c r="W4860" i="9"/>
  <c r="BG383" i="9" s="1"/>
  <c r="V4860" i="9" a="1"/>
  <c r="T4860" i="9"/>
  <c r="U4860" i="9" s="1"/>
  <c r="W4859" i="9"/>
  <c r="V4859" i="9" a="1"/>
  <c r="T4859" i="9"/>
  <c r="U4859" i="9" s="1"/>
  <c r="W4858" i="9"/>
  <c r="V4858" i="9" a="1"/>
  <c r="T4858" i="9"/>
  <c r="U4858" i="9" s="1"/>
  <c r="W4857" i="9"/>
  <c r="V4857" i="9" a="1"/>
  <c r="T4857" i="9"/>
  <c r="U4857" i="9" s="1"/>
  <c r="W4856" i="9"/>
  <c r="V4856" i="9" a="1"/>
  <c r="T4856" i="9"/>
  <c r="U4856" i="9" s="1"/>
  <c r="W4855" i="9"/>
  <c r="BG378" i="9" s="1"/>
  <c r="V4855" i="9" a="1"/>
  <c r="T4855" i="9"/>
  <c r="U4855" i="9" s="1"/>
  <c r="W4854" i="9"/>
  <c r="BG377" i="9" s="1"/>
  <c r="V4854" i="9" a="1"/>
  <c r="T4854" i="9"/>
  <c r="U4854" i="9" s="1"/>
  <c r="W4853" i="9"/>
  <c r="V4853" i="9" a="1"/>
  <c r="T4853" i="9"/>
  <c r="U4853" i="9" s="1"/>
  <c r="W4852" i="9"/>
  <c r="V4852" i="9" a="1"/>
  <c r="T4852" i="9"/>
  <c r="U4852" i="9" s="1"/>
  <c r="W4851" i="9"/>
  <c r="V4851" i="9" a="1"/>
  <c r="T4851" i="9"/>
  <c r="U4851" i="9" s="1"/>
  <c r="W4850" i="9"/>
  <c r="V4850" i="9" a="1"/>
  <c r="T4850" i="9"/>
  <c r="U4850" i="9" s="1"/>
  <c r="W4849" i="9"/>
  <c r="BG372" i="9" s="1"/>
  <c r="V4849" i="9" a="1"/>
  <c r="T4849" i="9"/>
  <c r="U4849" i="9" s="1"/>
  <c r="W4848" i="9"/>
  <c r="V4848" i="9" a="1"/>
  <c r="T4848" i="9"/>
  <c r="U4848" i="9" s="1"/>
  <c r="W4847" i="9"/>
  <c r="V4847" i="9" a="1"/>
  <c r="T4847" i="9"/>
  <c r="U4847" i="9" s="1"/>
  <c r="T4846" i="9"/>
  <c r="U4846" i="9" s="1"/>
  <c r="W4845" i="9"/>
  <c r="V4845" i="9" a="1"/>
  <c r="T4845" i="9"/>
  <c r="U4845" i="9" s="1"/>
  <c r="W4844" i="9"/>
  <c r="BG367" i="9" s="1"/>
  <c r="V4844" i="9" a="1"/>
  <c r="T4844" i="9"/>
  <c r="U4844" i="9" s="1"/>
  <c r="W4843" i="9"/>
  <c r="V4843" i="9" a="1"/>
  <c r="T4843" i="9"/>
  <c r="U4843" i="9" s="1"/>
  <c r="W4842" i="9"/>
  <c r="BG365" i="9" s="1"/>
  <c r="V4842" i="9" a="1"/>
  <c r="T4842" i="9"/>
  <c r="U4842" i="9" s="1"/>
  <c r="W4841" i="9"/>
  <c r="V4841" i="9" a="1"/>
  <c r="T4841" i="9"/>
  <c r="U4841" i="9" s="1"/>
  <c r="W4840" i="9"/>
  <c r="V4840" i="9" a="1"/>
  <c r="T4840" i="9"/>
  <c r="U4840" i="9" s="1"/>
  <c r="W4839" i="9"/>
  <c r="V4839" i="9" a="1"/>
  <c r="T4839" i="9"/>
  <c r="U4839" i="9" s="1"/>
  <c r="W4838" i="9"/>
  <c r="V4838" i="9" a="1"/>
  <c r="T4838" i="9"/>
  <c r="U4838" i="9" s="1"/>
  <c r="W4837" i="9"/>
  <c r="BG360" i="9" s="1"/>
  <c r="V4837" i="9" a="1"/>
  <c r="T4837" i="9"/>
  <c r="U4837" i="9" s="1"/>
  <c r="W4836" i="9"/>
  <c r="BG359" i="9" s="1"/>
  <c r="V4836" i="9" a="1"/>
  <c r="T4836" i="9"/>
  <c r="U4836" i="9" s="1"/>
  <c r="W4835" i="9"/>
  <c r="V4835" i="9" a="1"/>
  <c r="T4835" i="9"/>
  <c r="U4835" i="9" s="1"/>
  <c r="W4834" i="9"/>
  <c r="V4834" i="9" a="1"/>
  <c r="T4834" i="9"/>
  <c r="U4834" i="9" s="1"/>
  <c r="W4833" i="9"/>
  <c r="V4833" i="9" a="1"/>
  <c r="T4833" i="9"/>
  <c r="U4833" i="9" s="1"/>
  <c r="W4832" i="9"/>
  <c r="V4832" i="9" a="1"/>
  <c r="T4832" i="9"/>
  <c r="U4832" i="9" s="1"/>
  <c r="W4831" i="9"/>
  <c r="V4831" i="9" a="1"/>
  <c r="T4831" i="9"/>
  <c r="U4831" i="9" s="1"/>
  <c r="W4830" i="9"/>
  <c r="V4830" i="9" a="1"/>
  <c r="T4830" i="9"/>
  <c r="U4830" i="9" s="1"/>
  <c r="W4829" i="9"/>
  <c r="V4829" i="9" a="1"/>
  <c r="T4829" i="9"/>
  <c r="U4829" i="9" s="1"/>
  <c r="W4828" i="9"/>
  <c r="BG351" i="9" s="1"/>
  <c r="V4828" i="9" a="1"/>
  <c r="T4828" i="9"/>
  <c r="U4828" i="9" s="1"/>
  <c r="W4827" i="9"/>
  <c r="V4827" i="9" a="1"/>
  <c r="T4827" i="9"/>
  <c r="U4827" i="9" s="1"/>
  <c r="W4826" i="9"/>
  <c r="V4826" i="9" a="1"/>
  <c r="T4826" i="9"/>
  <c r="U4826" i="9" s="1"/>
  <c r="W4825" i="9"/>
  <c r="V4825" i="9" a="1"/>
  <c r="T4825" i="9"/>
  <c r="U4825" i="9" s="1"/>
  <c r="W4824" i="9"/>
  <c r="BG347" i="9" s="1"/>
  <c r="V4824" i="9" a="1"/>
  <c r="T4824" i="9"/>
  <c r="U4824" i="9" s="1"/>
  <c r="W4823" i="9"/>
  <c r="BG346" i="9" s="1"/>
  <c r="V4823" i="9" a="1"/>
  <c r="T4823" i="9"/>
  <c r="U4823" i="9" s="1"/>
  <c r="W4822" i="9"/>
  <c r="BG345" i="9" s="1"/>
  <c r="V4822" i="9" a="1"/>
  <c r="T4822" i="9"/>
  <c r="U4822" i="9" s="1"/>
  <c r="W4821" i="9"/>
  <c r="V4821" i="9" a="1"/>
  <c r="T4821" i="9"/>
  <c r="U4821" i="9" s="1"/>
  <c r="W4820" i="9"/>
  <c r="BG343" i="9" s="1"/>
  <c r="V4820" i="9" a="1"/>
  <c r="T4820" i="9"/>
  <c r="U4820" i="9" s="1"/>
  <c r="W4819" i="9"/>
  <c r="V4819" i="9" a="1"/>
  <c r="T4819" i="9"/>
  <c r="U4819" i="9" s="1"/>
  <c r="W4818" i="9"/>
  <c r="V4818" i="9" a="1"/>
  <c r="T4818" i="9"/>
  <c r="U4818" i="9" s="1"/>
  <c r="W4817" i="9"/>
  <c r="V4817" i="9" a="1"/>
  <c r="T4817" i="9"/>
  <c r="U4817" i="9" s="1"/>
  <c r="W4816" i="9"/>
  <c r="V4816" i="9" a="1"/>
  <c r="T4816" i="9"/>
  <c r="U4816" i="9" s="1"/>
  <c r="W4815" i="9"/>
  <c r="V4815" i="9" a="1"/>
  <c r="T4815" i="9"/>
  <c r="U4815" i="9" s="1"/>
  <c r="W4814" i="9"/>
  <c r="V4814" i="9" a="1"/>
  <c r="T4814" i="9"/>
  <c r="U4814" i="9" s="1"/>
  <c r="W4813" i="9"/>
  <c r="V4813" i="9" a="1"/>
  <c r="T4813" i="9"/>
  <c r="U4813" i="9" s="1"/>
  <c r="W4812" i="9"/>
  <c r="BG335" i="9" s="1"/>
  <c r="V4812" i="9" a="1"/>
  <c r="T4812" i="9"/>
  <c r="U4812" i="9" s="1"/>
  <c r="W4811" i="9"/>
  <c r="V4811" i="9" a="1"/>
  <c r="T4811" i="9"/>
  <c r="U4811" i="9" s="1"/>
  <c r="W4810" i="9"/>
  <c r="V4810" i="9" a="1"/>
  <c r="T4810" i="9"/>
  <c r="U4810" i="9" s="1"/>
  <c r="W4809" i="9"/>
  <c r="BG332" i="9" s="1"/>
  <c r="V4809" i="9" a="1"/>
  <c r="T4809" i="9"/>
  <c r="U4809" i="9" s="1"/>
  <c r="W4808" i="9"/>
  <c r="BG331" i="9" s="1"/>
  <c r="V4808" i="9" a="1"/>
  <c r="T4808" i="9"/>
  <c r="U4808" i="9" s="1"/>
  <c r="W4807" i="9"/>
  <c r="BG330" i="9" s="1"/>
  <c r="V4807" i="9" a="1"/>
  <c r="T4807" i="9"/>
  <c r="U4807" i="9" s="1"/>
  <c r="W4806" i="9"/>
  <c r="V4806" i="9" a="1"/>
  <c r="T4806" i="9"/>
  <c r="U4806" i="9" s="1"/>
  <c r="W4805" i="9"/>
  <c r="BG328" i="9" s="1"/>
  <c r="V4805" i="9" a="1"/>
  <c r="T4805" i="9"/>
  <c r="U4805" i="9" s="1"/>
  <c r="W4804" i="9"/>
  <c r="V4804" i="9" a="1"/>
  <c r="T4804" i="9"/>
  <c r="U4804" i="9" s="1"/>
  <c r="W4803" i="9"/>
  <c r="V4803" i="9" a="1"/>
  <c r="T4803" i="9"/>
  <c r="U4803" i="9" s="1"/>
  <c r="W4802" i="9"/>
  <c r="V4802" i="9" a="1"/>
  <c r="T4802" i="9"/>
  <c r="U4802" i="9" s="1"/>
  <c r="W4801" i="9"/>
  <c r="V4801" i="9" a="1"/>
  <c r="T4801" i="9"/>
  <c r="U4801" i="9" s="1"/>
  <c r="W4800" i="9"/>
  <c r="BG323" i="9" s="1"/>
  <c r="V4800" i="9" a="1"/>
  <c r="T4800" i="9"/>
  <c r="U4800" i="9" s="1"/>
  <c r="W4799" i="9"/>
  <c r="V4799" i="9" a="1"/>
  <c r="T4799" i="9"/>
  <c r="U4799" i="9" s="1"/>
  <c r="W4798" i="9"/>
  <c r="BG321" i="9" s="1"/>
  <c r="V4798" i="9" a="1"/>
  <c r="T4798" i="9"/>
  <c r="U4798" i="9" s="1"/>
  <c r="W4797" i="9"/>
  <c r="V4797" i="9" a="1"/>
  <c r="T4797" i="9"/>
  <c r="U4797" i="9" s="1"/>
  <c r="V4796" i="9" a="1"/>
  <c r="T4796" i="9"/>
  <c r="W4795" i="9"/>
  <c r="V4795" i="9" a="1"/>
  <c r="T4795" i="9"/>
  <c r="U4795" i="9" s="1"/>
  <c r="W4794" i="9"/>
  <c r="V4794" i="9" a="1"/>
  <c r="T4794" i="9"/>
  <c r="U4794" i="9" s="1"/>
  <c r="W4793" i="9"/>
  <c r="V4793" i="9" a="1"/>
  <c r="T4793" i="9"/>
  <c r="U4793" i="9" s="1"/>
  <c r="W4792" i="9"/>
  <c r="V4792" i="9" a="1"/>
  <c r="T4792" i="9"/>
  <c r="U4792" i="9" s="1"/>
  <c r="W4791" i="9"/>
  <c r="V4791" i="9" a="1"/>
  <c r="T4791" i="9"/>
  <c r="U4791" i="9" s="1"/>
  <c r="W4790" i="9"/>
  <c r="BG313" i="9" s="1"/>
  <c r="V4790" i="9" a="1"/>
  <c r="T4790" i="9"/>
  <c r="U4790" i="9" s="1"/>
  <c r="W4789" i="9"/>
  <c r="BG312" i="9" s="1"/>
  <c r="V4789" i="9" a="1"/>
  <c r="T4789" i="9"/>
  <c r="U4789" i="9" s="1"/>
  <c r="W4788" i="9"/>
  <c r="V4788" i="9" a="1"/>
  <c r="T4788" i="9"/>
  <c r="U4788" i="9" s="1"/>
  <c r="W4787" i="9"/>
  <c r="V4787" i="9" a="1"/>
  <c r="T4787" i="9"/>
  <c r="U4787" i="9" s="1"/>
  <c r="W4786" i="9"/>
  <c r="V4786" i="9" a="1"/>
  <c r="T4786" i="9"/>
  <c r="U4786" i="9" s="1"/>
  <c r="W4785" i="9"/>
  <c r="V4785" i="9" a="1"/>
  <c r="T4785" i="9"/>
  <c r="U4785" i="9" s="1"/>
  <c r="W4784" i="9"/>
  <c r="V4784" i="9" a="1"/>
  <c r="T4784" i="9"/>
  <c r="U4784" i="9" s="1"/>
  <c r="W4783" i="9"/>
  <c r="V4783" i="9" a="1"/>
  <c r="T4783" i="9"/>
  <c r="U4783" i="9" s="1"/>
  <c r="W4782" i="9"/>
  <c r="V4782" i="9" a="1"/>
  <c r="T4782" i="9"/>
  <c r="U4782" i="9" s="1"/>
  <c r="W4781" i="9"/>
  <c r="V4781" i="9" a="1"/>
  <c r="T4781" i="9"/>
  <c r="U4781" i="9" s="1"/>
  <c r="W4780" i="9"/>
  <c r="V4780" i="9" a="1"/>
  <c r="T4780" i="9"/>
  <c r="U4780" i="9" s="1"/>
  <c r="W4779" i="9"/>
  <c r="V4779" i="9" a="1"/>
  <c r="T4779" i="9"/>
  <c r="U4779" i="9" s="1"/>
  <c r="W4778" i="9"/>
  <c r="V4778" i="9" a="1"/>
  <c r="T4778" i="9"/>
  <c r="U4778" i="9" s="1"/>
  <c r="W4777" i="9"/>
  <c r="V4777" i="9" a="1"/>
  <c r="T4777" i="9"/>
  <c r="U4777" i="9" s="1"/>
  <c r="W4776" i="9"/>
  <c r="V4776" i="9" a="1"/>
  <c r="T4776" i="9"/>
  <c r="U4776" i="9" s="1"/>
  <c r="W4775" i="9"/>
  <c r="V4775" i="9" a="1"/>
  <c r="T4775" i="9"/>
  <c r="U4775" i="9" s="1"/>
  <c r="W4774" i="9"/>
  <c r="V4774" i="9" a="1"/>
  <c r="T4774" i="9"/>
  <c r="U4774" i="9" s="1"/>
  <c r="W4773" i="9"/>
  <c r="V4773" i="9" a="1"/>
  <c r="T4773" i="9"/>
  <c r="U4773" i="9" s="1"/>
  <c r="W4772" i="9"/>
  <c r="V4772" i="9" a="1"/>
  <c r="T4772" i="9"/>
  <c r="U4772" i="9" s="1"/>
  <c r="W4771" i="9"/>
  <c r="V4771" i="9" a="1"/>
  <c r="T4771" i="9"/>
  <c r="U4771" i="9" s="1"/>
  <c r="W4770" i="9"/>
  <c r="V4770" i="9" a="1"/>
  <c r="T4770" i="9"/>
  <c r="U4770" i="9" s="1"/>
  <c r="W4769" i="9"/>
  <c r="V4769" i="9" a="1"/>
  <c r="T4769" i="9"/>
  <c r="U4769" i="9" s="1"/>
  <c r="W4768" i="9"/>
  <c r="V4768" i="9" a="1"/>
  <c r="T4768" i="9"/>
  <c r="U4768" i="9" s="1"/>
  <c r="W4767" i="9"/>
  <c r="V4767" i="9" a="1"/>
  <c r="T4767" i="9"/>
  <c r="U4767" i="9" s="1"/>
  <c r="W4766" i="9"/>
  <c r="V4766" i="9" a="1"/>
  <c r="T4766" i="9"/>
  <c r="U4766" i="9" s="1"/>
  <c r="W4765" i="9"/>
  <c r="V4765" i="9" a="1"/>
  <c r="T4765" i="9"/>
  <c r="U4765" i="9" s="1"/>
  <c r="W4764" i="9"/>
  <c r="V4764" i="9" a="1"/>
  <c r="T4764" i="9"/>
  <c r="U4764" i="9" s="1"/>
  <c r="W4763" i="9"/>
  <c r="V4763" i="9" a="1"/>
  <c r="T4763" i="9"/>
  <c r="U4763" i="9" s="1"/>
  <c r="W4762" i="9"/>
  <c r="V4762" i="9" a="1"/>
  <c r="T4762" i="9"/>
  <c r="U4762" i="9" s="1"/>
  <c r="W4761" i="9"/>
  <c r="V4761" i="9" a="1"/>
  <c r="T4761" i="9"/>
  <c r="U4761" i="9" s="1"/>
  <c r="W4760" i="9"/>
  <c r="V4760" i="9" a="1"/>
  <c r="T4760" i="9"/>
  <c r="U4760" i="9" s="1"/>
  <c r="W4759" i="9"/>
  <c r="V4759" i="9" a="1"/>
  <c r="T4759" i="9"/>
  <c r="U4759" i="9" s="1"/>
  <c r="W4758" i="9"/>
  <c r="V4758" i="9" a="1"/>
  <c r="T4758" i="9"/>
  <c r="U4758" i="9" s="1"/>
  <c r="W4757" i="9"/>
  <c r="V4757" i="9" a="1"/>
  <c r="T4757" i="9"/>
  <c r="U4757" i="9" s="1"/>
  <c r="W4756" i="9"/>
  <c r="V4756" i="9" a="1"/>
  <c r="T4756" i="9"/>
  <c r="U4756" i="9" s="1"/>
  <c r="W4755" i="9"/>
  <c r="V4755" i="9" a="1"/>
  <c r="T4755" i="9"/>
  <c r="U4755" i="9" s="1"/>
  <c r="W4754" i="9"/>
  <c r="V4754" i="9" a="1"/>
  <c r="T4754" i="9"/>
  <c r="U4754" i="9" s="1"/>
  <c r="W4753" i="9"/>
  <c r="V4753" i="9" a="1"/>
  <c r="T4753" i="9"/>
  <c r="U4753" i="9" s="1"/>
  <c r="W4752" i="9"/>
  <c r="V4752" i="9" a="1"/>
  <c r="T4752" i="9"/>
  <c r="U4752" i="9" s="1"/>
  <c r="W4751" i="9"/>
  <c r="V4751" i="9" a="1"/>
  <c r="T4751" i="9"/>
  <c r="U4751" i="9" s="1"/>
  <c r="W4750" i="9"/>
  <c r="V4750" i="9" a="1"/>
  <c r="T4750" i="9"/>
  <c r="U4750" i="9" s="1"/>
  <c r="W4749" i="9"/>
  <c r="V4749" i="9" a="1"/>
  <c r="T4749" i="9"/>
  <c r="U4749" i="9" s="1"/>
  <c r="W4748" i="9"/>
  <c r="V4748" i="9" a="1"/>
  <c r="T4748" i="9"/>
  <c r="U4748" i="9" s="1"/>
  <c r="W4747" i="9"/>
  <c r="V4747" i="9" a="1"/>
  <c r="T4747" i="9"/>
  <c r="U4747" i="9" s="1"/>
  <c r="W4746" i="9"/>
  <c r="V4746" i="9" a="1"/>
  <c r="T4746" i="9"/>
  <c r="U4746" i="9" s="1"/>
  <c r="W4745" i="9"/>
  <c r="V4745" i="9" a="1"/>
  <c r="T4745" i="9"/>
  <c r="U4745" i="9" s="1"/>
  <c r="W4744" i="9"/>
  <c r="V4744" i="9" a="1"/>
  <c r="T4744" i="9"/>
  <c r="U4744" i="9" s="1"/>
  <c r="W4743" i="9"/>
  <c r="V4743" i="9" a="1"/>
  <c r="T4743" i="9"/>
  <c r="U4743" i="9" s="1"/>
  <c r="W4742" i="9"/>
  <c r="V4742" i="9" a="1"/>
  <c r="T4742" i="9"/>
  <c r="U4742" i="9" s="1"/>
  <c r="W4741" i="9"/>
  <c r="V4741" i="9" a="1"/>
  <c r="T4741" i="9"/>
  <c r="U4741" i="9" s="1"/>
  <c r="W4740" i="9"/>
  <c r="V4740" i="9" a="1"/>
  <c r="T4740" i="9"/>
  <c r="U4740" i="9" s="1"/>
  <c r="W4739" i="9"/>
  <c r="V4739" i="9" a="1"/>
  <c r="T4739" i="9"/>
  <c r="U4739" i="9" s="1"/>
  <c r="W4738" i="9"/>
  <c r="V4738" i="9" a="1"/>
  <c r="T4738" i="9"/>
  <c r="U4738" i="9" s="1"/>
  <c r="W4737" i="9"/>
  <c r="V4737" i="9" a="1"/>
  <c r="T4737" i="9"/>
  <c r="U4737" i="9" s="1"/>
  <c r="W4736" i="9"/>
  <c r="V4736" i="9" a="1"/>
  <c r="T4736" i="9"/>
  <c r="U4736" i="9" s="1"/>
  <c r="W4735" i="9"/>
  <c r="V4735" i="9" a="1"/>
  <c r="T4735" i="9"/>
  <c r="U4735" i="9" s="1"/>
  <c r="W4734" i="9"/>
  <c r="V4734" i="9" a="1"/>
  <c r="T4734" i="9"/>
  <c r="U4734" i="9" s="1"/>
  <c r="W4733" i="9"/>
  <c r="V4733" i="9" a="1"/>
  <c r="T4733" i="9"/>
  <c r="U4733" i="9" s="1"/>
  <c r="W4732" i="9"/>
  <c r="V4732" i="9" a="1"/>
  <c r="T4732" i="9"/>
  <c r="U4732" i="9" s="1"/>
  <c r="W4731" i="9"/>
  <c r="V4731" i="9" a="1"/>
  <c r="T4731" i="9"/>
  <c r="U4731" i="9" s="1"/>
  <c r="W4730" i="9"/>
  <c r="V4730" i="9" a="1"/>
  <c r="T4730" i="9"/>
  <c r="U4730" i="9" s="1"/>
  <c r="W4729" i="9"/>
  <c r="V4729" i="9" a="1"/>
  <c r="T4729" i="9"/>
  <c r="U4729" i="9" s="1"/>
  <c r="W4728" i="9"/>
  <c r="V4728" i="9" a="1"/>
  <c r="T4728" i="9"/>
  <c r="U4728" i="9" s="1"/>
  <c r="W4727" i="9"/>
  <c r="V4727" i="9" a="1"/>
  <c r="T4727" i="9"/>
  <c r="U4727" i="9" s="1"/>
  <c r="W4726" i="9"/>
  <c r="V4726" i="9" a="1"/>
  <c r="T4726" i="9"/>
  <c r="U4726" i="9" s="1"/>
  <c r="W4725" i="9"/>
  <c r="V4725" i="9" a="1"/>
  <c r="T4725" i="9"/>
  <c r="U4725" i="9" s="1"/>
  <c r="W4724" i="9"/>
  <c r="V4724" i="9" a="1"/>
  <c r="T4724" i="9"/>
  <c r="U4724" i="9" s="1"/>
  <c r="W4723" i="9"/>
  <c r="V4723" i="9" a="1"/>
  <c r="T4723" i="9"/>
  <c r="U4723" i="9" s="1"/>
  <c r="W4722" i="9"/>
  <c r="V4722" i="9" a="1"/>
  <c r="T4722" i="9"/>
  <c r="U4722" i="9" s="1"/>
  <c r="W4721" i="9"/>
  <c r="BG244" i="9" s="1"/>
  <c r="V4721" i="9" a="1"/>
  <c r="T4721" i="9"/>
  <c r="U4721" i="9" s="1"/>
  <c r="W4720" i="9"/>
  <c r="V4720" i="9" a="1"/>
  <c r="T4720" i="9"/>
  <c r="U4720" i="9" s="1"/>
  <c r="W4719" i="9"/>
  <c r="V4719" i="9" a="1"/>
  <c r="T4719" i="9"/>
  <c r="U4719" i="9" s="1"/>
  <c r="V4718" i="9" a="1"/>
  <c r="T4718" i="9"/>
  <c r="W4717" i="9"/>
  <c r="V4717" i="9" a="1"/>
  <c r="T4717" i="9"/>
  <c r="U4717" i="9" s="1"/>
  <c r="V4716" i="9" a="1"/>
  <c r="T4716" i="9"/>
  <c r="W4715" i="9"/>
  <c r="V4715" i="9" a="1"/>
  <c r="T4715" i="9"/>
  <c r="U4715" i="9" s="1"/>
  <c r="V4714" i="9" a="1"/>
  <c r="T4714" i="9"/>
  <c r="W4713" i="9"/>
  <c r="V4713" i="9" a="1"/>
  <c r="T4713" i="9"/>
  <c r="U4713" i="9" s="1"/>
  <c r="W4712" i="9"/>
  <c r="V4712" i="9" a="1"/>
  <c r="T4712" i="9"/>
  <c r="U4712" i="9" s="1"/>
  <c r="W4711" i="9"/>
  <c r="V4711" i="9" a="1"/>
  <c r="T4711" i="9"/>
  <c r="U4711" i="9" s="1"/>
  <c r="W4710" i="9"/>
  <c r="BG233" i="9" s="1"/>
  <c r="V4710" i="9" a="1"/>
  <c r="T4710" i="9"/>
  <c r="U4710" i="9" s="1"/>
  <c r="W4709" i="9"/>
  <c r="BG232" i="9" s="1"/>
  <c r="V4709" i="9" a="1"/>
  <c r="T4709" i="9"/>
  <c r="U4709" i="9" s="1"/>
  <c r="W4708" i="9"/>
  <c r="V4708" i="9" a="1"/>
  <c r="T4708" i="9"/>
  <c r="U4708" i="9" s="1"/>
  <c r="W4707" i="9"/>
  <c r="V4707" i="9" a="1"/>
  <c r="T4707" i="9"/>
  <c r="U4707" i="9" s="1"/>
  <c r="W4706" i="9"/>
  <c r="V4706" i="9" a="1"/>
  <c r="T4706" i="9"/>
  <c r="U4706" i="9" s="1"/>
  <c r="W4705" i="9"/>
  <c r="V4705" i="9" a="1"/>
  <c r="T4705" i="9"/>
  <c r="U4705" i="9" s="1"/>
  <c r="W4704" i="9"/>
  <c r="V4704" i="9" a="1"/>
  <c r="T4704" i="9"/>
  <c r="U4704" i="9" s="1"/>
  <c r="W4703" i="9"/>
  <c r="V4703" i="9" a="1"/>
  <c r="T4703" i="9"/>
  <c r="U4703" i="9" s="1"/>
  <c r="W4702" i="9"/>
  <c r="V4702" i="9" a="1"/>
  <c r="T4702" i="9"/>
  <c r="U4702" i="9" s="1"/>
  <c r="W4701" i="9"/>
  <c r="V4701" i="9" a="1"/>
  <c r="T4701" i="9"/>
  <c r="U4701" i="9" s="1"/>
  <c r="W4700" i="9"/>
  <c r="V4700" i="9" a="1"/>
  <c r="T4700" i="9"/>
  <c r="U4700" i="9" s="1"/>
  <c r="W4699" i="9"/>
  <c r="V4699" i="9" a="1"/>
  <c r="T4699" i="9"/>
  <c r="U4699" i="9" s="1"/>
  <c r="W4698" i="9"/>
  <c r="V4698" i="9" a="1"/>
  <c r="T4698" i="9"/>
  <c r="U4698" i="9" s="1"/>
  <c r="W4697" i="9"/>
  <c r="BG220" i="9" s="1"/>
  <c r="V4697" i="9" a="1"/>
  <c r="T4697" i="9"/>
  <c r="U4697" i="9" s="1"/>
  <c r="W4696" i="9"/>
  <c r="V4696" i="9" a="1"/>
  <c r="T4696" i="9"/>
  <c r="U4696" i="9" s="1"/>
  <c r="W4695" i="9"/>
  <c r="V4695" i="9" a="1"/>
  <c r="T4695" i="9"/>
  <c r="U4695" i="9" s="1"/>
  <c r="W4694" i="9"/>
  <c r="V4694" i="9" a="1"/>
  <c r="T4694" i="9"/>
  <c r="U4694" i="9" s="1"/>
  <c r="W4693" i="9"/>
  <c r="V4693" i="9" a="1"/>
  <c r="T4693" i="9"/>
  <c r="U4693" i="9" s="1"/>
  <c r="W4692" i="9"/>
  <c r="V4692" i="9" a="1"/>
  <c r="T4692" i="9"/>
  <c r="U4692" i="9" s="1"/>
  <c r="W4691" i="9"/>
  <c r="V4691" i="9" a="1"/>
  <c r="T4691" i="9"/>
  <c r="U4691" i="9" s="1"/>
  <c r="W4690" i="9"/>
  <c r="V4690" i="9" a="1"/>
  <c r="T4690" i="9"/>
  <c r="U4690" i="9" s="1"/>
  <c r="W4689" i="9"/>
  <c r="BG212" i="9" s="1"/>
  <c r="V4689" i="9" a="1"/>
  <c r="T4689" i="9"/>
  <c r="U4689" i="9" s="1"/>
  <c r="V4688" i="9" a="1"/>
  <c r="T4688" i="9"/>
  <c r="W4687" i="9"/>
  <c r="V4687" i="9" a="1"/>
  <c r="T4687" i="9"/>
  <c r="U4687" i="9" s="1"/>
  <c r="W4686" i="9"/>
  <c r="V4686" i="9" a="1"/>
  <c r="T4686" i="9"/>
  <c r="U4686" i="9" s="1"/>
  <c r="W4685" i="9"/>
  <c r="V4685" i="9" a="1"/>
  <c r="T4685" i="9"/>
  <c r="U4685" i="9" s="1"/>
  <c r="W4684" i="9"/>
  <c r="V4684" i="9" a="1"/>
  <c r="T4684" i="9"/>
  <c r="U4684" i="9" s="1"/>
  <c r="W4683" i="9"/>
  <c r="V4683" i="9" a="1"/>
  <c r="T4683" i="9"/>
  <c r="U4683" i="9" s="1"/>
  <c r="W4682" i="9"/>
  <c r="V4682" i="9" a="1"/>
  <c r="T4682" i="9"/>
  <c r="U4682" i="9" s="1"/>
  <c r="W4681" i="9"/>
  <c r="V4681" i="9" a="1"/>
  <c r="T4681" i="9"/>
  <c r="U4681" i="9" s="1"/>
  <c r="W4680" i="9"/>
  <c r="V4680" i="9" a="1"/>
  <c r="T4680" i="9"/>
  <c r="U4680" i="9" s="1"/>
  <c r="W4679" i="9"/>
  <c r="V4679" i="9" a="1"/>
  <c r="T4679" i="9"/>
  <c r="U4679" i="9" s="1"/>
  <c r="W4678" i="9"/>
  <c r="V4678" i="9" a="1"/>
  <c r="T4678" i="9"/>
  <c r="U4678" i="9" s="1"/>
  <c r="W4677" i="9"/>
  <c r="V4677" i="9" a="1"/>
  <c r="T4677" i="9"/>
  <c r="U4677" i="9" s="1"/>
  <c r="W4676" i="9"/>
  <c r="V4676" i="9" a="1"/>
  <c r="T4676" i="9"/>
  <c r="U4676" i="9" s="1"/>
  <c r="W4675" i="9"/>
  <c r="V4675" i="9" a="1"/>
  <c r="T4675" i="9"/>
  <c r="U4675" i="9" s="1"/>
  <c r="W4674" i="9"/>
  <c r="V4674" i="9" a="1"/>
  <c r="T4674" i="9"/>
  <c r="U4674" i="9" s="1"/>
  <c r="W4673" i="9"/>
  <c r="BG196" i="9" s="1"/>
  <c r="V4673" i="9" a="1"/>
  <c r="T4673" i="9"/>
  <c r="U4673" i="9" s="1"/>
  <c r="W4672" i="9"/>
  <c r="V4672" i="9" a="1"/>
  <c r="T4672" i="9"/>
  <c r="U4672" i="9" s="1"/>
  <c r="W4671" i="9"/>
  <c r="V4671" i="9" a="1"/>
  <c r="T4671" i="9"/>
  <c r="U4671" i="9" s="1"/>
  <c r="W4670" i="9"/>
  <c r="BG193" i="9" s="1"/>
  <c r="V4670" i="9" a="1"/>
  <c r="T4670" i="9"/>
  <c r="U4670" i="9" s="1"/>
  <c r="W4669" i="9"/>
  <c r="V4669" i="9" a="1"/>
  <c r="T4669" i="9"/>
  <c r="U4669" i="9" s="1"/>
  <c r="W4668" i="9"/>
  <c r="BG191" i="9" s="1"/>
  <c r="V4668" i="9" a="1"/>
  <c r="T4668" i="9"/>
  <c r="U4668" i="9" s="1"/>
  <c r="W4667" i="9"/>
  <c r="V4667" i="9" a="1"/>
  <c r="T4667" i="9"/>
  <c r="U4667" i="9" s="1"/>
  <c r="W4666" i="9"/>
  <c r="V4666" i="9" a="1"/>
  <c r="T4666" i="9"/>
  <c r="U4666" i="9" s="1"/>
  <c r="W4665" i="9"/>
  <c r="V4665" i="9" a="1"/>
  <c r="T4665" i="9"/>
  <c r="U4665" i="9" s="1"/>
  <c r="W4664" i="9"/>
  <c r="V4664" i="9" a="1"/>
  <c r="T4664" i="9"/>
  <c r="U4664" i="9" s="1"/>
  <c r="W4663" i="9"/>
  <c r="V4663" i="9" a="1"/>
  <c r="T4663" i="9"/>
  <c r="U4663" i="9" s="1"/>
  <c r="W4662" i="9"/>
  <c r="V4662" i="9" a="1"/>
  <c r="T4662" i="9"/>
  <c r="U4662" i="9" s="1"/>
  <c r="W4661" i="9"/>
  <c r="BG184" i="9" s="1"/>
  <c r="V4661" i="9" a="1"/>
  <c r="T4661" i="9"/>
  <c r="U4661" i="9" s="1"/>
  <c r="W4660" i="9"/>
  <c r="V4660" i="9" a="1"/>
  <c r="T4660" i="9"/>
  <c r="U4660" i="9" s="1"/>
  <c r="W4659" i="9"/>
  <c r="V4659" i="9" a="1"/>
  <c r="T4659" i="9"/>
  <c r="U4659" i="9" s="1"/>
  <c r="W4658" i="9"/>
  <c r="V4658" i="9" a="1"/>
  <c r="T4658" i="9"/>
  <c r="U4658" i="9" s="1"/>
  <c r="W4657" i="9"/>
  <c r="BG180" i="9" s="1"/>
  <c r="V4657" i="9" a="1"/>
  <c r="T4657" i="9"/>
  <c r="U4657" i="9" s="1"/>
  <c r="W4656" i="9"/>
  <c r="V4656" i="9" a="1"/>
  <c r="T4656" i="9"/>
  <c r="U4656" i="9" s="1"/>
  <c r="W4655" i="9"/>
  <c r="V4655" i="9" a="1"/>
  <c r="T4655" i="9"/>
  <c r="U4655" i="9" s="1"/>
  <c r="W4654" i="9"/>
  <c r="V4654" i="9" a="1"/>
  <c r="T4654" i="9"/>
  <c r="U4654" i="9" s="1"/>
  <c r="W4653" i="9"/>
  <c r="V4653" i="9" a="1"/>
  <c r="T4653" i="9"/>
  <c r="U4653" i="9" s="1"/>
  <c r="W4652" i="9"/>
  <c r="V4652" i="9" a="1"/>
  <c r="T4652" i="9"/>
  <c r="U4652" i="9" s="1"/>
  <c r="W4651" i="9"/>
  <c r="V4651" i="9" a="1"/>
  <c r="T4651" i="9"/>
  <c r="U4651" i="9" s="1"/>
  <c r="W4650" i="9"/>
  <c r="V4650" i="9" a="1"/>
  <c r="T4650" i="9"/>
  <c r="U4650" i="9" s="1"/>
  <c r="W4649" i="9"/>
  <c r="V4649" i="9" a="1"/>
  <c r="T4649" i="9"/>
  <c r="U4649" i="9" s="1"/>
  <c r="W4648" i="9"/>
  <c r="V4648" i="9" a="1"/>
  <c r="T4648" i="9"/>
  <c r="U4648" i="9" s="1"/>
  <c r="W4647" i="9"/>
  <c r="BG170" i="9" s="1"/>
  <c r="V4647" i="9" a="1"/>
  <c r="T4647" i="9"/>
  <c r="U4647" i="9" s="1"/>
  <c r="W4646" i="9"/>
  <c r="V4646" i="9" a="1"/>
  <c r="T4646" i="9"/>
  <c r="U4646" i="9" s="1"/>
  <c r="W4645" i="9"/>
  <c r="V4645" i="9" a="1"/>
  <c r="T4645" i="9"/>
  <c r="U4645" i="9" s="1"/>
  <c r="W4644" i="9"/>
  <c r="V4644" i="9" a="1"/>
  <c r="T4644" i="9"/>
  <c r="U4644" i="9" s="1"/>
  <c r="W4643" i="9"/>
  <c r="BG166" i="9" s="1"/>
  <c r="V4643" i="9" a="1"/>
  <c r="T4643" i="9"/>
  <c r="U4643" i="9" s="1"/>
  <c r="W4642" i="9"/>
  <c r="V4642" i="9" a="1"/>
  <c r="T4642" i="9"/>
  <c r="U4642" i="9" s="1"/>
  <c r="W4641" i="9"/>
  <c r="V4641" i="9" a="1"/>
  <c r="T4641" i="9"/>
  <c r="U4641" i="9" s="1"/>
  <c r="W4640" i="9"/>
  <c r="V4640" i="9" a="1"/>
  <c r="T4640" i="9"/>
  <c r="U4640" i="9" s="1"/>
  <c r="W4639" i="9"/>
  <c r="V4639" i="9" a="1"/>
  <c r="T4639" i="9"/>
  <c r="U4639" i="9" s="1"/>
  <c r="W4638" i="9"/>
  <c r="V4638" i="9" a="1"/>
  <c r="T4638" i="9"/>
  <c r="U4638" i="9" s="1"/>
  <c r="W4637" i="9"/>
  <c r="BG160" i="9" s="1"/>
  <c r="V4637" i="9" a="1"/>
  <c r="T4637" i="9"/>
  <c r="U4637" i="9" s="1"/>
  <c r="W4636" i="9"/>
  <c r="V4636" i="9" a="1"/>
  <c r="T4636" i="9"/>
  <c r="U4636" i="9" s="1"/>
  <c r="W4635" i="9"/>
  <c r="V4635" i="9" a="1"/>
  <c r="T4635" i="9"/>
  <c r="U4635" i="9" s="1"/>
  <c r="W4634" i="9"/>
  <c r="BG157" i="9" s="1"/>
  <c r="V4634" i="9" a="1"/>
  <c r="T4634" i="9"/>
  <c r="U4634" i="9" s="1"/>
  <c r="W4633" i="9"/>
  <c r="V4633" i="9" a="1"/>
  <c r="T4633" i="9"/>
  <c r="U4633" i="9" s="1"/>
  <c r="W4632" i="9"/>
  <c r="BG155" i="9" s="1"/>
  <c r="V4632" i="9" a="1"/>
  <c r="T4632" i="9"/>
  <c r="U4632" i="9" s="1"/>
  <c r="W4631" i="9"/>
  <c r="V4631" i="9" a="1"/>
  <c r="T4631" i="9"/>
  <c r="U4631" i="9" s="1"/>
  <c r="W4630" i="9"/>
  <c r="V4630" i="9" a="1"/>
  <c r="T4630" i="9"/>
  <c r="U4630" i="9" s="1"/>
  <c r="W4629" i="9"/>
  <c r="V4629" i="9" a="1"/>
  <c r="T4629" i="9"/>
  <c r="U4629" i="9" s="1"/>
  <c r="W4628" i="9"/>
  <c r="V4628" i="9" a="1"/>
  <c r="T4628" i="9"/>
  <c r="U4628" i="9" s="1"/>
  <c r="W4627" i="9"/>
  <c r="V4627" i="9" a="1"/>
  <c r="T4627" i="9"/>
  <c r="U4627" i="9" s="1"/>
  <c r="W4626" i="9"/>
  <c r="V4626" i="9" a="1"/>
  <c r="T4626" i="9"/>
  <c r="U4626" i="9" s="1"/>
  <c r="W4625" i="9"/>
  <c r="V4625" i="9" a="1"/>
  <c r="T4625" i="9"/>
  <c r="U4625" i="9" s="1"/>
  <c r="W4624" i="9"/>
  <c r="V4624" i="9" a="1"/>
  <c r="T4624" i="9"/>
  <c r="U4624" i="9" s="1"/>
  <c r="W4623" i="9"/>
  <c r="V4623" i="9" a="1"/>
  <c r="T4623" i="9"/>
  <c r="U4623" i="9" s="1"/>
  <c r="W4622" i="9"/>
  <c r="V4622" i="9" a="1"/>
  <c r="T4622" i="9"/>
  <c r="U4622" i="9" s="1"/>
  <c r="W4621" i="9"/>
  <c r="V4621" i="9" a="1"/>
  <c r="T4621" i="9"/>
  <c r="U4621" i="9" s="1"/>
  <c r="W4620" i="9"/>
  <c r="V4620" i="9" a="1"/>
  <c r="T4620" i="9"/>
  <c r="U4620" i="9" s="1"/>
  <c r="W4619" i="9"/>
  <c r="V4619" i="9" a="1"/>
  <c r="T4619" i="9"/>
  <c r="U4619" i="9" s="1"/>
  <c r="W4618" i="9"/>
  <c r="V4618" i="9" a="1"/>
  <c r="T4618" i="9"/>
  <c r="U4618" i="9" s="1"/>
  <c r="W4617" i="9"/>
  <c r="V4617" i="9" a="1"/>
  <c r="T4617" i="9"/>
  <c r="U4617" i="9" s="1"/>
  <c r="W4616" i="9"/>
  <c r="V4616" i="9" a="1"/>
  <c r="T4616" i="9"/>
  <c r="U4616" i="9" s="1"/>
  <c r="V4615" i="9" a="1"/>
  <c r="T4615" i="9"/>
  <c r="W4614" i="9"/>
  <c r="V4614" i="9" a="1"/>
  <c r="T4614" i="9"/>
  <c r="U4614" i="9" s="1"/>
  <c r="W4613" i="9"/>
  <c r="V4613" i="9" a="1"/>
  <c r="T4613" i="9"/>
  <c r="U4613" i="9" s="1"/>
  <c r="W4612" i="9"/>
  <c r="BG135" i="9" s="1"/>
  <c r="V4612" i="9" a="1"/>
  <c r="T4612" i="9"/>
  <c r="U4612" i="9" s="1"/>
  <c r="W4611" i="9"/>
  <c r="V4611" i="9" a="1"/>
  <c r="T4611" i="9"/>
  <c r="U4611" i="9" s="1"/>
  <c r="W4610" i="9"/>
  <c r="BG133" i="9" s="1"/>
  <c r="V4610" i="9" a="1"/>
  <c r="T4610" i="9"/>
  <c r="U4610" i="9" s="1"/>
  <c r="W4609" i="9"/>
  <c r="V4609" i="9" a="1"/>
  <c r="T4609" i="9"/>
  <c r="U4609" i="9" s="1"/>
  <c r="W4608" i="9"/>
  <c r="BG131" i="9" s="1"/>
  <c r="V4608" i="9" a="1"/>
  <c r="T4608" i="9"/>
  <c r="U4608" i="9" s="1"/>
  <c r="W4607" i="9"/>
  <c r="V4607" i="9" a="1"/>
  <c r="T4607" i="9"/>
  <c r="U4607" i="9" s="1"/>
  <c r="W4606" i="9"/>
  <c r="BG129" i="9" s="1"/>
  <c r="V4606" i="9" a="1"/>
  <c r="T4606" i="9"/>
  <c r="U4606" i="9" s="1"/>
  <c r="W4605" i="9"/>
  <c r="V4605" i="9" a="1"/>
  <c r="T4605" i="9"/>
  <c r="U4605" i="9" s="1"/>
  <c r="W4604" i="9"/>
  <c r="V4604" i="9" a="1"/>
  <c r="T4604" i="9"/>
  <c r="U4604" i="9" s="1"/>
  <c r="W4603" i="9"/>
  <c r="BG126" i="9" s="1"/>
  <c r="V4603" i="9" a="1"/>
  <c r="T4603" i="9"/>
  <c r="U4603" i="9" s="1"/>
  <c r="W4602" i="9"/>
  <c r="V4602" i="9" a="1"/>
  <c r="T4602" i="9"/>
  <c r="U4602" i="9" s="1"/>
  <c r="W4601" i="9"/>
  <c r="V4601" i="9" a="1"/>
  <c r="T4601" i="9"/>
  <c r="U4601" i="9" s="1"/>
  <c r="W4600" i="9"/>
  <c r="V4600" i="9" a="1"/>
  <c r="T4600" i="9"/>
  <c r="U4600" i="9" s="1"/>
  <c r="W4599" i="9"/>
  <c r="BG122" i="9" s="1"/>
  <c r="V4599" i="9" a="1"/>
  <c r="T4599" i="9"/>
  <c r="U4599" i="9" s="1"/>
  <c r="W4598" i="9"/>
  <c r="BG121" i="9" s="1"/>
  <c r="V4598" i="9" a="1"/>
  <c r="T4598" i="9"/>
  <c r="U4598" i="9" s="1"/>
  <c r="W4597" i="9"/>
  <c r="V4597" i="9" a="1"/>
  <c r="T4597" i="9"/>
  <c r="U4597" i="9" s="1"/>
  <c r="W4596" i="9"/>
  <c r="V4596" i="9" a="1"/>
  <c r="T4596" i="9"/>
  <c r="U4596" i="9" s="1"/>
  <c r="W4595" i="9"/>
  <c r="BG118" i="9" s="1"/>
  <c r="V4595" i="9" a="1"/>
  <c r="T4595" i="9"/>
  <c r="U4595" i="9" s="1"/>
  <c r="W4594" i="9"/>
  <c r="V4594" i="9" a="1"/>
  <c r="T4594" i="9"/>
  <c r="U4594" i="9" s="1"/>
  <c r="W4593" i="9"/>
  <c r="BG116" i="9" s="1"/>
  <c r="V4593" i="9" a="1"/>
  <c r="T4593" i="9"/>
  <c r="U4593" i="9" s="1"/>
  <c r="W4592" i="9"/>
  <c r="V4592" i="9" a="1"/>
  <c r="T4592" i="9"/>
  <c r="U4592" i="9" s="1"/>
  <c r="W4591" i="9"/>
  <c r="BG114" i="9" s="1"/>
  <c r="V4591" i="9" a="1"/>
  <c r="T4591" i="9"/>
  <c r="U4591" i="9" s="1"/>
  <c r="W4590" i="9"/>
  <c r="V4590" i="9" a="1"/>
  <c r="T4590" i="9"/>
  <c r="U4590" i="9" s="1"/>
  <c r="W4589" i="9"/>
  <c r="V4589" i="9" a="1"/>
  <c r="T4589" i="9"/>
  <c r="U4589" i="9" s="1"/>
  <c r="W4588" i="9"/>
  <c r="V4588" i="9" a="1"/>
  <c r="T4588" i="9"/>
  <c r="U4588" i="9" s="1"/>
  <c r="V4587" i="9" a="1"/>
  <c r="T4587" i="9"/>
  <c r="W4586" i="9"/>
  <c r="V4586" i="9" a="1"/>
  <c r="T4586" i="9"/>
  <c r="U4586" i="9" s="1"/>
  <c r="W4585" i="9"/>
  <c r="V4585" i="9" a="1"/>
  <c r="T4585" i="9"/>
  <c r="U4585" i="9" s="1"/>
  <c r="W4584" i="9"/>
  <c r="V4584" i="9" a="1"/>
  <c r="T4584" i="9"/>
  <c r="U4584" i="9" s="1"/>
  <c r="W4583" i="9"/>
  <c r="V4583" i="9" a="1"/>
  <c r="T4583" i="9"/>
  <c r="U4583" i="9" s="1"/>
  <c r="W4582" i="9"/>
  <c r="V4582" i="9" a="1"/>
  <c r="T4582" i="9"/>
  <c r="U4582" i="9" s="1"/>
  <c r="W4581" i="9"/>
  <c r="V4581" i="9" a="1"/>
  <c r="T4581" i="9"/>
  <c r="U4581" i="9" s="1"/>
  <c r="W4580" i="9"/>
  <c r="V4580" i="9" a="1"/>
  <c r="T4580" i="9"/>
  <c r="U4580" i="9" s="1"/>
  <c r="W4579" i="9"/>
  <c r="V4579" i="9" a="1"/>
  <c r="T4579" i="9"/>
  <c r="U4579" i="9" s="1"/>
  <c r="W4578" i="9"/>
  <c r="V4578" i="9" a="1"/>
  <c r="T4578" i="9"/>
  <c r="U4578" i="9" s="1"/>
  <c r="W4577" i="9"/>
  <c r="V4577" i="9" a="1"/>
  <c r="T4577" i="9"/>
  <c r="U4577" i="9" s="1"/>
  <c r="W4576" i="9"/>
  <c r="V4576" i="9" a="1"/>
  <c r="T4576" i="9"/>
  <c r="U4576" i="9" s="1"/>
  <c r="W4575" i="9"/>
  <c r="BG98" i="9" s="1"/>
  <c r="V4575" i="9" a="1"/>
  <c r="T4575" i="9"/>
  <c r="U4575" i="9" s="1"/>
  <c r="W4574" i="9"/>
  <c r="V4574" i="9" a="1"/>
  <c r="T4574" i="9"/>
  <c r="U4574" i="9" s="1"/>
  <c r="W4573" i="9"/>
  <c r="V4573" i="9" a="1"/>
  <c r="T4573" i="9"/>
  <c r="U4573" i="9" s="1"/>
  <c r="W4572" i="9"/>
  <c r="V4572" i="9" a="1"/>
  <c r="T4572" i="9"/>
  <c r="U4572" i="9" s="1"/>
  <c r="W4571" i="9"/>
  <c r="V4571" i="9" a="1"/>
  <c r="T4571" i="9"/>
  <c r="U4571" i="9" s="1"/>
  <c r="W4570" i="9"/>
  <c r="BG93" i="9" s="1"/>
  <c r="V4570" i="9" a="1"/>
  <c r="T4570" i="9"/>
  <c r="U4570" i="9" s="1"/>
  <c r="W4569" i="9"/>
  <c r="V4569" i="9" a="1"/>
  <c r="T4569" i="9"/>
  <c r="U4569" i="9" s="1"/>
  <c r="W4568" i="9"/>
  <c r="V4568" i="9" a="1"/>
  <c r="T4568" i="9"/>
  <c r="U4568" i="9" s="1"/>
  <c r="W4567" i="9"/>
  <c r="V4567" i="9" a="1"/>
  <c r="T4567" i="9"/>
  <c r="U4567" i="9" s="1"/>
  <c r="W4566" i="9"/>
  <c r="V4566" i="9" a="1"/>
  <c r="T4566" i="9"/>
  <c r="U4566" i="9" s="1"/>
  <c r="W4565" i="9"/>
  <c r="V4565" i="9" a="1"/>
  <c r="T4565" i="9"/>
  <c r="U4565" i="9" s="1"/>
  <c r="W4564" i="9"/>
  <c r="V4564" i="9" a="1"/>
  <c r="T4564" i="9"/>
  <c r="U4564" i="9" s="1"/>
  <c r="W4563" i="9"/>
  <c r="V4563" i="9" a="1"/>
  <c r="T4563" i="9"/>
  <c r="U4563" i="9" s="1"/>
  <c r="W4562" i="9"/>
  <c r="V4562" i="9" a="1"/>
  <c r="T4562" i="9"/>
  <c r="U4562" i="9" s="1"/>
  <c r="W4561" i="9"/>
  <c r="V4561" i="9" a="1"/>
  <c r="T4561" i="9"/>
  <c r="U4561" i="9" s="1"/>
  <c r="W4560" i="9"/>
  <c r="V4560" i="9" a="1"/>
  <c r="T4560" i="9"/>
  <c r="U4560" i="9" s="1"/>
  <c r="W4559" i="9"/>
  <c r="V4559" i="9" a="1"/>
  <c r="T4559" i="9"/>
  <c r="U4559" i="9" s="1"/>
  <c r="W4558" i="9"/>
  <c r="BG81" i="9" s="1"/>
  <c r="V4558" i="9" a="1"/>
  <c r="T4558" i="9"/>
  <c r="U4558" i="9" s="1"/>
  <c r="W4557" i="9"/>
  <c r="V4557" i="9" a="1"/>
  <c r="T4557" i="9"/>
  <c r="U4557" i="9" s="1"/>
  <c r="W4556" i="9"/>
  <c r="V4556" i="9" a="1"/>
  <c r="T4556" i="9"/>
  <c r="U4556" i="9" s="1"/>
  <c r="W4555" i="9"/>
  <c r="V4555" i="9" a="1"/>
  <c r="T4555" i="9"/>
  <c r="U4555" i="9" s="1"/>
  <c r="W4554" i="9"/>
  <c r="V4554" i="9" a="1"/>
  <c r="T4554" i="9"/>
  <c r="U4554" i="9" s="1"/>
  <c r="W4553" i="9"/>
  <c r="V4553" i="9" a="1"/>
  <c r="T4553" i="9"/>
  <c r="U4553" i="9" s="1"/>
  <c r="W4552" i="9"/>
  <c r="V4552" i="9" a="1"/>
  <c r="T4552" i="9"/>
  <c r="U4552" i="9" s="1"/>
  <c r="W4551" i="9"/>
  <c r="V4551" i="9" a="1"/>
  <c r="T4551" i="9"/>
  <c r="U4551" i="9" s="1"/>
  <c r="W4550" i="9"/>
  <c r="BG73" i="9" s="1"/>
  <c r="V4550" i="9" a="1"/>
  <c r="T4550" i="9"/>
  <c r="U4550" i="9" s="1"/>
  <c r="W4549" i="9"/>
  <c r="V4549" i="9" a="1"/>
  <c r="T4549" i="9"/>
  <c r="U4549" i="9" s="1"/>
  <c r="W4548" i="9"/>
  <c r="V4548" i="9" a="1"/>
  <c r="T4548" i="9"/>
  <c r="U4548" i="9" s="1"/>
  <c r="W4547" i="9"/>
  <c r="BG70" i="9" s="1"/>
  <c r="V4547" i="9" a="1"/>
  <c r="T4547" i="9"/>
  <c r="U4547" i="9" s="1"/>
  <c r="W4546" i="9"/>
  <c r="V4546" i="9" a="1"/>
  <c r="T4546" i="9"/>
  <c r="U4546" i="9" s="1"/>
  <c r="W4545" i="9"/>
  <c r="V4545" i="9" a="1"/>
  <c r="T4545" i="9"/>
  <c r="U4545" i="9" s="1"/>
  <c r="W4544" i="9"/>
  <c r="V4544" i="9" a="1"/>
  <c r="T4544" i="9"/>
  <c r="U4544" i="9" s="1"/>
  <c r="W4543" i="9"/>
  <c r="V4543" i="9" a="1"/>
  <c r="T4543" i="9"/>
  <c r="U4543" i="9" s="1"/>
  <c r="W4542" i="9"/>
  <c r="V4542" i="9" a="1"/>
  <c r="T4542" i="9"/>
  <c r="U4542" i="9" s="1"/>
  <c r="W4541" i="9"/>
  <c r="V4541" i="9" a="1"/>
  <c r="T4541" i="9"/>
  <c r="U4541" i="9" s="1"/>
  <c r="W4540" i="9"/>
  <c r="V4540" i="9" a="1"/>
  <c r="T4540" i="9"/>
  <c r="U4540" i="9" s="1"/>
  <c r="W4539" i="9"/>
  <c r="V4539" i="9" a="1"/>
  <c r="T4539" i="9"/>
  <c r="U4539" i="9" s="1"/>
  <c r="W4538" i="9"/>
  <c r="V4538" i="9" a="1"/>
  <c r="T4538" i="9"/>
  <c r="U4538" i="9" s="1"/>
  <c r="W4537" i="9"/>
  <c r="V4537" i="9" a="1"/>
  <c r="T4537" i="9"/>
  <c r="U4537" i="9" s="1"/>
  <c r="W4536" i="9"/>
  <c r="V4536" i="9" a="1"/>
  <c r="T4536" i="9"/>
  <c r="U4536" i="9" s="1"/>
  <c r="W4535" i="9"/>
  <c r="V4535" i="9" a="1"/>
  <c r="T4535" i="9"/>
  <c r="U4535" i="9" s="1"/>
  <c r="W4534" i="9"/>
  <c r="V4534" i="9" a="1"/>
  <c r="T4534" i="9"/>
  <c r="U4534" i="9" s="1"/>
  <c r="W4533" i="9"/>
  <c r="BG56" i="9" s="1"/>
  <c r="V4533" i="9" a="1"/>
  <c r="T4533" i="9"/>
  <c r="U4533" i="9" s="1"/>
  <c r="W4532" i="9"/>
  <c r="V4532" i="9" a="1"/>
  <c r="T4532" i="9"/>
  <c r="U4532" i="9" s="1"/>
  <c r="W4531" i="9"/>
  <c r="V4531" i="9" a="1"/>
  <c r="T4531" i="9"/>
  <c r="U4531" i="9" s="1"/>
  <c r="V4530" i="9" a="1"/>
  <c r="T4530" i="9"/>
  <c r="V4529" i="9" a="1"/>
  <c r="T4529" i="9"/>
  <c r="V4528" i="9" a="1"/>
  <c r="T4528" i="9"/>
  <c r="W4527" i="9"/>
  <c r="BG50" i="9" s="1"/>
  <c r="V4527" i="9" a="1"/>
  <c r="T4527" i="9"/>
  <c r="U4527" i="9" s="1"/>
  <c r="W4526" i="9"/>
  <c r="V4526" i="9" a="1"/>
  <c r="T4526" i="9"/>
  <c r="U4526" i="9" s="1"/>
  <c r="W4525" i="9"/>
  <c r="V4525" i="9" a="1"/>
  <c r="T4525" i="9"/>
  <c r="U4525" i="9" s="1"/>
  <c r="W4524" i="9"/>
  <c r="BG47" i="9" s="1"/>
  <c r="V4524" i="9" a="1"/>
  <c r="T4524" i="9"/>
  <c r="U4524" i="9" s="1"/>
  <c r="V4523" i="9" a="1"/>
  <c r="T4523" i="9"/>
  <c r="W4522" i="9"/>
  <c r="V4522" i="9" a="1"/>
  <c r="T4522" i="9"/>
  <c r="U4522" i="9" s="1"/>
  <c r="W4521" i="9"/>
  <c r="V4521" i="9" a="1"/>
  <c r="T4521" i="9"/>
  <c r="U4521" i="9" s="1"/>
  <c r="W4520" i="9"/>
  <c r="V4520" i="9" a="1"/>
  <c r="T4520" i="9"/>
  <c r="U4520" i="9" s="1"/>
  <c r="W4519" i="9"/>
  <c r="V4519" i="9" a="1"/>
  <c r="T4519" i="9"/>
  <c r="U4519" i="9" s="1"/>
  <c r="W4518" i="9"/>
  <c r="V4518" i="9" a="1"/>
  <c r="T4518" i="9"/>
  <c r="U4518" i="9" s="1"/>
  <c r="W4517" i="9"/>
  <c r="BG40" i="9" s="1"/>
  <c r="V4517" i="9" a="1"/>
  <c r="T4517" i="9"/>
  <c r="U4517" i="9" s="1"/>
  <c r="W4516" i="9"/>
  <c r="V4516" i="9" a="1"/>
  <c r="T4516" i="9"/>
  <c r="U4516" i="9" s="1"/>
  <c r="W4515" i="9"/>
  <c r="V4515" i="9" a="1"/>
  <c r="T4515" i="9"/>
  <c r="U4515" i="9" s="1"/>
  <c r="W4514" i="9"/>
  <c r="V4514" i="9" a="1"/>
  <c r="T4514" i="9"/>
  <c r="U4514" i="9" s="1"/>
  <c r="W4513" i="9"/>
  <c r="V4513" i="9" a="1"/>
  <c r="T4513" i="9"/>
  <c r="U4513" i="9" s="1"/>
  <c r="W4512" i="9"/>
  <c r="V4512" i="9" a="1"/>
  <c r="T4512" i="9"/>
  <c r="U4512" i="9" s="1"/>
  <c r="W4511" i="9"/>
  <c r="V4511" i="9" a="1"/>
  <c r="T4511" i="9"/>
  <c r="U4511" i="9" s="1"/>
  <c r="W4510" i="9"/>
  <c r="V4510" i="9" a="1"/>
  <c r="T4510" i="9"/>
  <c r="U4510" i="9" s="1"/>
  <c r="W4509" i="9"/>
  <c r="V4509" i="9" a="1"/>
  <c r="T4509" i="9"/>
  <c r="U4509" i="9" s="1"/>
  <c r="W4508" i="9"/>
  <c r="V4508" i="9" a="1"/>
  <c r="T4508" i="9"/>
  <c r="U4508" i="9" s="1"/>
  <c r="V4507" i="9" a="1"/>
  <c r="T4507" i="9"/>
  <c r="W4506" i="9"/>
  <c r="V4506" i="9" a="1"/>
  <c r="T4506" i="9"/>
  <c r="U4506" i="9" s="1"/>
  <c r="W4505" i="9"/>
  <c r="V4505" i="9" a="1"/>
  <c r="T4505" i="9"/>
  <c r="U4505" i="9" s="1"/>
  <c r="W4504" i="9"/>
  <c r="V4504" i="9" a="1"/>
  <c r="T4504" i="9"/>
  <c r="U4504" i="9" s="1"/>
  <c r="W4503" i="9"/>
  <c r="V4503" i="9" a="1"/>
  <c r="T4503" i="9"/>
  <c r="U4503" i="9" s="1"/>
  <c r="W4502" i="9"/>
  <c r="V4502" i="9" a="1"/>
  <c r="T4502" i="9"/>
  <c r="U4502" i="9" s="1"/>
  <c r="W4501" i="9"/>
  <c r="V4501" i="9" a="1"/>
  <c r="T4501" i="9"/>
  <c r="U4501" i="9" s="1"/>
  <c r="W4500" i="9"/>
  <c r="V4500" i="9" a="1"/>
  <c r="T4500" i="9"/>
  <c r="U4500" i="9" s="1"/>
  <c r="W4499" i="9"/>
  <c r="V4499" i="9" a="1"/>
  <c r="T4499" i="9"/>
  <c r="U4499" i="9" s="1"/>
  <c r="W4498" i="9"/>
  <c r="V4498" i="9" a="1"/>
  <c r="T4498" i="9"/>
  <c r="U4498" i="9" s="1"/>
  <c r="W4497" i="9"/>
  <c r="V4497" i="9" a="1"/>
  <c r="T4497" i="9"/>
  <c r="U4497" i="9" s="1"/>
  <c r="W4496" i="9"/>
  <c r="V4496" i="9" a="1"/>
  <c r="T4496" i="9"/>
  <c r="U4496" i="9" s="1"/>
  <c r="W4495" i="9"/>
  <c r="V4495" i="9" a="1"/>
  <c r="T4495" i="9"/>
  <c r="U4495" i="9" s="1"/>
  <c r="W4494" i="9"/>
  <c r="V4494" i="9" a="1"/>
  <c r="T4494" i="9"/>
  <c r="U4494" i="9" s="1"/>
  <c r="W4493" i="9"/>
  <c r="V4493" i="9" a="1"/>
  <c r="T4493" i="9"/>
  <c r="U4493" i="9" s="1"/>
  <c r="W4492" i="9"/>
  <c r="V4492" i="9" a="1"/>
  <c r="T4492" i="9"/>
  <c r="U4492" i="9" s="1"/>
  <c r="W4491" i="9"/>
  <c r="V4491" i="9" a="1"/>
  <c r="T4491" i="9"/>
  <c r="U4491" i="9" s="1"/>
  <c r="W4490" i="9"/>
  <c r="V4490" i="9" a="1"/>
  <c r="T4490" i="9"/>
  <c r="U4490" i="9" s="1"/>
  <c r="W4489" i="9"/>
  <c r="V4489" i="9" a="1"/>
  <c r="T4489" i="9"/>
  <c r="T2371" i="9"/>
  <c r="U2371" i="9"/>
  <c r="V2371" i="9" a="1"/>
  <c r="W2371" i="9" s="1"/>
  <c r="T2372" i="9"/>
  <c r="U2372" i="9"/>
  <c r="V2372" i="9" a="1"/>
  <c r="W2372" i="9" s="1"/>
  <c r="T2373" i="9"/>
  <c r="U2373" i="9"/>
  <c r="V2373" i="9" a="1"/>
  <c r="W2373" i="9" s="1"/>
  <c r="T2374" i="9"/>
  <c r="U2374" i="9"/>
  <c r="V2374" i="9" a="1"/>
  <c r="W2374" i="9" s="1"/>
  <c r="T2375" i="9"/>
  <c r="U2375" i="9"/>
  <c r="V2375" i="9" a="1"/>
  <c r="W2375" i="9" s="1"/>
  <c r="T2376" i="9"/>
  <c r="U2376" i="9"/>
  <c r="V2376" i="9" a="1"/>
  <c r="W2376" i="9" s="1"/>
  <c r="T2377" i="9"/>
  <c r="U2377" i="9"/>
  <c r="V2377" i="9" a="1"/>
  <c r="W2377" i="9" s="1"/>
  <c r="T2378" i="9"/>
  <c r="U2378" i="9"/>
  <c r="V2378" i="9" a="1"/>
  <c r="W2378" i="9" s="1"/>
  <c r="T2379" i="9"/>
  <c r="U2379" i="9"/>
  <c r="V2379" i="9" a="1"/>
  <c r="W2379" i="9" s="1"/>
  <c r="T2380" i="9"/>
  <c r="U2380" i="9"/>
  <c r="V2380" i="9" a="1"/>
  <c r="W2380" i="9" s="1"/>
  <c r="T2381" i="9"/>
  <c r="U2381" i="9"/>
  <c r="V2381" i="9" a="1"/>
  <c r="W2381" i="9" s="1"/>
  <c r="T2382" i="9"/>
  <c r="U2382" i="9"/>
  <c r="V2382" i="9" a="1"/>
  <c r="W2382" i="9" s="1"/>
  <c r="T2383" i="9"/>
  <c r="U2383" i="9"/>
  <c r="V2383" i="9" a="1"/>
  <c r="W2383" i="9" s="1"/>
  <c r="T2384" i="9"/>
  <c r="U2384" i="9"/>
  <c r="V2384" i="9" a="1"/>
  <c r="W2384" i="9" s="1"/>
  <c r="T2385" i="9"/>
  <c r="U2385" i="9"/>
  <c r="V2385" i="9" a="1"/>
  <c r="W2385" i="9" s="1"/>
  <c r="T2386" i="9"/>
  <c r="U2386" i="9"/>
  <c r="V2386" i="9" a="1"/>
  <c r="W2386" i="9" s="1"/>
  <c r="T2387" i="9"/>
  <c r="U2387" i="9"/>
  <c r="V2387" i="9" a="1"/>
  <c r="W2387" i="9" s="1"/>
  <c r="T2388" i="9"/>
  <c r="U2388" i="9"/>
  <c r="V2388" i="9" a="1"/>
  <c r="W2388" i="9" s="1"/>
  <c r="T2389" i="9"/>
  <c r="U2389" i="9"/>
  <c r="V2389" i="9" a="1"/>
  <c r="W2389" i="9" s="1"/>
  <c r="T2390" i="9"/>
  <c r="U2390" i="9"/>
  <c r="V2390" i="9" a="1"/>
  <c r="W2390" i="9" s="1"/>
  <c r="T2391" i="9"/>
  <c r="U2391" i="9"/>
  <c r="V2391" i="9" a="1"/>
  <c r="W2391" i="9" s="1"/>
  <c r="T2392" i="9"/>
  <c r="U2392" i="9"/>
  <c r="V2392" i="9" a="1"/>
  <c r="W2392" i="9" s="1"/>
  <c r="T2393" i="9"/>
  <c r="U2393" i="9"/>
  <c r="V2393" i="9" a="1"/>
  <c r="W2393" i="9" s="1"/>
  <c r="T2394" i="9"/>
  <c r="U2394" i="9"/>
  <c r="V2394" i="9" a="1"/>
  <c r="W2394" i="9" s="1"/>
  <c r="T2395" i="9"/>
  <c r="U2395" i="9"/>
  <c r="V2395" i="9" a="1"/>
  <c r="W2395" i="9" s="1"/>
  <c r="T2396" i="9"/>
  <c r="U2396" i="9"/>
  <c r="V2396" i="9" a="1"/>
  <c r="W2396" i="9" s="1"/>
  <c r="T2397" i="9"/>
  <c r="U2397" i="9"/>
  <c r="V2397" i="9" a="1"/>
  <c r="W2397" i="9" s="1"/>
  <c r="T2398" i="9"/>
  <c r="U2398" i="9"/>
  <c r="V2398" i="9" a="1"/>
  <c r="W2398" i="9" s="1"/>
  <c r="T2399" i="9"/>
  <c r="U2399" i="9"/>
  <c r="V2399" i="9" a="1"/>
  <c r="W2399" i="9" s="1"/>
  <c r="T2400" i="9"/>
  <c r="U2400" i="9"/>
  <c r="V2400" i="9" a="1"/>
  <c r="W2400" i="9" s="1"/>
  <c r="T2401" i="9"/>
  <c r="U2401" i="9"/>
  <c r="V2401" i="9" a="1"/>
  <c r="W2401" i="9" s="1"/>
  <c r="T2402" i="9"/>
  <c r="U2402" i="9"/>
  <c r="V2402" i="9" a="1"/>
  <c r="W2402" i="9" s="1"/>
  <c r="T2403" i="9"/>
  <c r="U2403" i="9"/>
  <c r="V2403" i="9" a="1"/>
  <c r="W2403" i="9" s="1"/>
  <c r="T2404" i="9"/>
  <c r="U2404" i="9"/>
  <c r="V2404" i="9" a="1"/>
  <c r="W2404" i="9" s="1"/>
  <c r="T2405" i="9"/>
  <c r="U2405" i="9"/>
  <c r="V2405" i="9" a="1"/>
  <c r="W2405" i="9" s="1"/>
  <c r="T2406" i="9"/>
  <c r="U2406" i="9"/>
  <c r="V2406" i="9" a="1"/>
  <c r="W2406" i="9" s="1"/>
  <c r="T2407" i="9"/>
  <c r="U2407" i="9"/>
  <c r="V2407" i="9" a="1"/>
  <c r="W2407" i="9" s="1"/>
  <c r="T2408" i="9"/>
  <c r="U2408" i="9"/>
  <c r="V2408" i="9" a="1"/>
  <c r="W2408" i="9" s="1"/>
  <c r="T2409" i="9"/>
  <c r="U2409" i="9"/>
  <c r="V2409" i="9" a="1"/>
  <c r="W2409" i="9" s="1"/>
  <c r="T2410" i="9"/>
  <c r="U2410" i="9"/>
  <c r="V2410" i="9" a="1"/>
  <c r="W2410" i="9" s="1"/>
  <c r="T2411" i="9"/>
  <c r="U2411" i="9"/>
  <c r="V2411" i="9" a="1"/>
  <c r="W2411" i="9" s="1"/>
  <c r="T2412" i="9"/>
  <c r="U2412" i="9"/>
  <c r="V2412" i="9" a="1"/>
  <c r="W2412" i="9" s="1"/>
  <c r="T2413" i="9"/>
  <c r="U2413" i="9"/>
  <c r="V2413" i="9" a="1"/>
  <c r="W2413" i="9" s="1"/>
  <c r="T2414" i="9"/>
  <c r="U2414" i="9"/>
  <c r="V2414" i="9" a="1"/>
  <c r="W2414" i="9" s="1"/>
  <c r="T2415" i="9"/>
  <c r="U2415" i="9"/>
  <c r="V2415" i="9" a="1"/>
  <c r="W2415" i="9" s="1"/>
  <c r="T2416" i="9"/>
  <c r="U2416" i="9"/>
  <c r="V2416" i="9" a="1"/>
  <c r="W2416" i="9" s="1"/>
  <c r="T2417" i="9"/>
  <c r="U2417" i="9"/>
  <c r="V2417" i="9" a="1"/>
  <c r="W2417" i="9" s="1"/>
  <c r="T2418" i="9"/>
  <c r="U2418" i="9"/>
  <c r="V2418" i="9" a="1"/>
  <c r="W2418" i="9" s="1"/>
  <c r="T2419" i="9"/>
  <c r="U2419" i="9"/>
  <c r="V2419" i="9" a="1"/>
  <c r="W2419" i="9" s="1"/>
  <c r="T2420" i="9"/>
  <c r="U2420" i="9"/>
  <c r="V2420" i="9" a="1"/>
  <c r="W2420" i="9" s="1"/>
  <c r="T2421" i="9"/>
  <c r="U2421" i="9"/>
  <c r="V2421" i="9" a="1"/>
  <c r="W2421" i="9" s="1"/>
  <c r="T2422" i="9"/>
  <c r="U2422" i="9"/>
  <c r="V2422" i="9" a="1"/>
  <c r="W2422" i="9" s="1"/>
  <c r="T2423" i="9"/>
  <c r="U2423" i="9"/>
  <c r="V2423" i="9" a="1"/>
  <c r="W2423" i="9" s="1"/>
  <c r="T2424" i="9"/>
  <c r="U2424" i="9"/>
  <c r="V2424" i="9" a="1"/>
  <c r="W2424" i="9" s="1"/>
  <c r="T2425" i="9"/>
  <c r="U2425" i="9"/>
  <c r="V2425" i="9" a="1"/>
  <c r="W2425" i="9" s="1"/>
  <c r="T2426" i="9"/>
  <c r="U2426" i="9"/>
  <c r="V2426" i="9" a="1"/>
  <c r="W2426" i="9" s="1"/>
  <c r="T2427" i="9"/>
  <c r="U2427" i="9"/>
  <c r="V2427" i="9" a="1"/>
  <c r="W2427" i="9" s="1"/>
  <c r="T2428" i="9"/>
  <c r="U2428" i="9"/>
  <c r="V2428" i="9" a="1"/>
  <c r="W2428" i="9" s="1"/>
  <c r="T2429" i="9"/>
  <c r="U2429" i="9"/>
  <c r="V2429" i="9" a="1"/>
  <c r="W2429" i="9" s="1"/>
  <c r="T2430" i="9"/>
  <c r="U2430" i="9"/>
  <c r="V2430" i="9" a="1"/>
  <c r="W2430" i="9" s="1"/>
  <c r="T2431" i="9"/>
  <c r="U2431" i="9"/>
  <c r="V2431" i="9" a="1"/>
  <c r="W2431" i="9" s="1"/>
  <c r="T2432" i="9"/>
  <c r="U2432" i="9"/>
  <c r="V2432" i="9" a="1"/>
  <c r="W2432" i="9" s="1"/>
  <c r="T2433" i="9"/>
  <c r="U2433" i="9"/>
  <c r="V2433" i="9" a="1"/>
  <c r="W2433" i="9" s="1"/>
  <c r="T2434" i="9"/>
  <c r="U2434" i="9"/>
  <c r="V2434" i="9" a="1"/>
  <c r="W2434" i="9" s="1"/>
  <c r="T2435" i="9"/>
  <c r="U2435" i="9"/>
  <c r="V2435" i="9" a="1"/>
  <c r="W2435" i="9" s="1"/>
  <c r="T2436" i="9"/>
  <c r="U2436" i="9"/>
  <c r="V2436" i="9" a="1"/>
  <c r="W2436" i="9" s="1"/>
  <c r="T2437" i="9"/>
  <c r="U2437" i="9"/>
  <c r="V2437" i="9" a="1"/>
  <c r="W2437" i="9" s="1"/>
  <c r="T2438" i="9"/>
  <c r="U2438" i="9"/>
  <c r="V2438" i="9" a="1"/>
  <c r="W2438" i="9" s="1"/>
  <c r="T2439" i="9"/>
  <c r="U2439" i="9"/>
  <c r="V2439" i="9" a="1"/>
  <c r="W2439" i="9" s="1"/>
  <c r="T2440" i="9"/>
  <c r="U2440" i="9"/>
  <c r="V2440" i="9" a="1"/>
  <c r="W2440" i="9" s="1"/>
  <c r="T2441" i="9"/>
  <c r="U2441" i="9"/>
  <c r="V2441" i="9" a="1"/>
  <c r="W2441" i="9" s="1"/>
  <c r="T2442" i="9"/>
  <c r="U2442" i="9"/>
  <c r="V2442" i="9" a="1"/>
  <c r="W2442" i="9" s="1"/>
  <c r="T2443" i="9"/>
  <c r="U2443" i="9"/>
  <c r="V2443" i="9" a="1"/>
  <c r="W2443" i="9" s="1"/>
  <c r="T2444" i="9"/>
  <c r="U2444" i="9"/>
  <c r="V2444" i="9" a="1"/>
  <c r="W2444" i="9" s="1"/>
  <c r="T2445" i="9"/>
  <c r="U2445" i="9"/>
  <c r="V2445" i="9" a="1"/>
  <c r="W2445" i="9" s="1"/>
  <c r="T2446" i="9"/>
  <c r="U2446" i="9"/>
  <c r="V2446" i="9" a="1"/>
  <c r="W2446" i="9" s="1"/>
  <c r="T2447" i="9"/>
  <c r="U2447" i="9"/>
  <c r="V2447" i="9" a="1"/>
  <c r="W2447" i="9" s="1"/>
  <c r="T2448" i="9"/>
  <c r="U2448" i="9"/>
  <c r="V2448" i="9" a="1"/>
  <c r="W2448" i="9" s="1"/>
  <c r="T2449" i="9"/>
  <c r="U2449" i="9"/>
  <c r="V2449" i="9" a="1"/>
  <c r="W2449" i="9" s="1"/>
  <c r="T2450" i="9"/>
  <c r="U2450" i="9"/>
  <c r="V2450" i="9" a="1"/>
  <c r="W2450" i="9" s="1"/>
  <c r="T2451" i="9"/>
  <c r="U2451" i="9"/>
  <c r="V2451" i="9" a="1"/>
  <c r="W2451" i="9" s="1"/>
  <c r="T2452" i="9"/>
  <c r="U2452" i="9"/>
  <c r="V2452" i="9" a="1"/>
  <c r="W2452" i="9" s="1"/>
  <c r="T2453" i="9"/>
  <c r="U2453" i="9"/>
  <c r="V2453" i="9" a="1"/>
  <c r="W2453" i="9" s="1"/>
  <c r="T2454" i="9"/>
  <c r="U2454" i="9"/>
  <c r="V2454" i="9" a="1"/>
  <c r="W2454" i="9" s="1"/>
  <c r="T2455" i="9"/>
  <c r="U2455" i="9"/>
  <c r="V2455" i="9" a="1"/>
  <c r="W2455" i="9" s="1"/>
  <c r="T2456" i="9"/>
  <c r="U2456" i="9"/>
  <c r="V2456" i="9" a="1"/>
  <c r="W2456" i="9" s="1"/>
  <c r="T2457" i="9"/>
  <c r="U2457" i="9"/>
  <c r="V2457" i="9" a="1"/>
  <c r="W2457" i="9" s="1"/>
  <c r="T2458" i="9"/>
  <c r="U2458" i="9"/>
  <c r="V2458" i="9" a="1"/>
  <c r="W2458" i="9" s="1"/>
  <c r="T2459" i="9"/>
  <c r="U2459" i="9"/>
  <c r="V2459" i="9" a="1"/>
  <c r="W2459" i="9" s="1"/>
  <c r="T2460" i="9"/>
  <c r="U2460" i="9"/>
  <c r="V2460" i="9" a="1"/>
  <c r="W2460" i="9" s="1"/>
  <c r="T2461" i="9"/>
  <c r="U2461" i="9"/>
  <c r="V2461" i="9" a="1"/>
  <c r="W2461" i="9" s="1"/>
  <c r="T2462" i="9"/>
  <c r="U2462" i="9"/>
  <c r="V2462" i="9" a="1"/>
  <c r="W2462" i="9" s="1"/>
  <c r="T2463" i="9"/>
  <c r="U2463" i="9"/>
  <c r="V2463" i="9" a="1"/>
  <c r="W2463" i="9" s="1"/>
  <c r="T2464" i="9"/>
  <c r="U2464" i="9"/>
  <c r="V2464" i="9" a="1"/>
  <c r="W2464" i="9" s="1"/>
  <c r="T2465" i="9"/>
  <c r="U2465" i="9"/>
  <c r="V2465" i="9" a="1"/>
  <c r="W2465" i="9" s="1"/>
  <c r="T2466" i="9"/>
  <c r="U2466" i="9"/>
  <c r="V2466" i="9" a="1"/>
  <c r="W2466" i="9" s="1"/>
  <c r="T2467" i="9"/>
  <c r="U2467" i="9"/>
  <c r="V2467" i="9" a="1"/>
  <c r="W2467" i="9" s="1"/>
  <c r="T2468" i="9"/>
  <c r="U2468" i="9"/>
  <c r="V2468" i="9" a="1"/>
  <c r="W2468" i="9" s="1"/>
  <c r="T2469" i="9"/>
  <c r="U2469" i="9"/>
  <c r="V2469" i="9" a="1"/>
  <c r="W2469" i="9" s="1"/>
  <c r="T2470" i="9"/>
  <c r="U2470" i="9"/>
  <c r="V2470" i="9" a="1"/>
  <c r="W2470" i="9" s="1"/>
  <c r="T2471" i="9"/>
  <c r="U2471" i="9"/>
  <c r="V2471" i="9" a="1"/>
  <c r="W2471" i="9" s="1"/>
  <c r="T2472" i="9"/>
  <c r="U2472" i="9"/>
  <c r="V2472" i="9" a="1"/>
  <c r="W2472" i="9" s="1"/>
  <c r="T2473" i="9"/>
  <c r="U2473" i="9"/>
  <c r="V2473" i="9" a="1"/>
  <c r="W2473" i="9" s="1"/>
  <c r="T2474" i="9"/>
  <c r="U2474" i="9"/>
  <c r="V2474" i="9" a="1"/>
  <c r="W2474" i="9" s="1"/>
  <c r="T2475" i="9"/>
  <c r="U2475" i="9"/>
  <c r="V2475" i="9" a="1"/>
  <c r="W2475" i="9" s="1"/>
  <c r="T2476" i="9"/>
  <c r="U2476" i="9"/>
  <c r="V2476" i="9" a="1"/>
  <c r="W2476" i="9" s="1"/>
  <c r="T2477" i="9"/>
  <c r="U2477" i="9"/>
  <c r="V2477" i="9" a="1"/>
  <c r="W2477" i="9" s="1"/>
  <c r="T2478" i="9"/>
  <c r="U2478" i="9"/>
  <c r="V2478" i="9" a="1"/>
  <c r="W2478" i="9" s="1"/>
  <c r="T2479" i="9"/>
  <c r="U2479" i="9"/>
  <c r="V2479" i="9" a="1"/>
  <c r="W2479" i="9" s="1"/>
  <c r="T2480" i="9"/>
  <c r="U2480" i="9"/>
  <c r="V2480" i="9" a="1"/>
  <c r="W2480" i="9" s="1"/>
  <c r="T2481" i="9"/>
  <c r="U2481" i="9"/>
  <c r="V2481" i="9" a="1"/>
  <c r="W2481" i="9" s="1"/>
  <c r="T2482" i="9"/>
  <c r="U2482" i="9"/>
  <c r="V2482" i="9" a="1"/>
  <c r="W2482" i="9" s="1"/>
  <c r="T2483" i="9"/>
  <c r="U2483" i="9"/>
  <c r="V2483" i="9" a="1"/>
  <c r="W2483" i="9" s="1"/>
  <c r="T2484" i="9"/>
  <c r="U2484" i="9"/>
  <c r="V2484" i="9" a="1"/>
  <c r="W2484" i="9" s="1"/>
  <c r="T2485" i="9"/>
  <c r="U2485" i="9"/>
  <c r="V2485" i="9" a="1"/>
  <c r="W2485" i="9" s="1"/>
  <c r="T2486" i="9"/>
  <c r="U2486" i="9"/>
  <c r="V2486" i="9" a="1"/>
  <c r="W2486" i="9" s="1"/>
  <c r="T2487" i="9"/>
  <c r="U2487" i="9"/>
  <c r="V2487" i="9" a="1"/>
  <c r="W2487" i="9" s="1"/>
  <c r="T2488" i="9"/>
  <c r="U2488" i="9"/>
  <c r="V2488" i="9" a="1"/>
  <c r="W2488" i="9" s="1"/>
  <c r="T2489" i="9"/>
  <c r="U2489" i="9"/>
  <c r="T2490" i="9"/>
  <c r="V2490" i="9" a="1"/>
  <c r="W2490" i="9" s="1"/>
  <c r="T2491" i="9"/>
  <c r="V2491" i="9" a="1"/>
  <c r="W2491" i="9" s="1"/>
  <c r="T2492" i="9"/>
  <c r="U2492" i="9"/>
  <c r="V2493" i="9" a="1"/>
  <c r="W2493" i="9" s="1"/>
  <c r="T2494" i="9"/>
  <c r="V2494" i="9" a="1"/>
  <c r="W2494" i="9" s="1"/>
  <c r="U2495" i="9"/>
  <c r="T2497" i="9"/>
  <c r="U2497" i="9"/>
  <c r="T2498" i="9"/>
  <c r="V2498" i="9" a="1"/>
  <c r="W2498" i="9" s="1"/>
  <c r="T2499" i="9"/>
  <c r="V2499" i="9" a="1"/>
  <c r="W2499" i="9" s="1"/>
  <c r="T2500" i="9"/>
  <c r="V2500" i="9" a="1"/>
  <c r="W2500" i="9" s="1"/>
  <c r="V2501" i="9" a="1"/>
  <c r="W2501" i="9" s="1"/>
  <c r="T2502" i="9"/>
  <c r="V2502" i="9" a="1"/>
  <c r="W2502" i="9" s="1"/>
  <c r="T2503" i="9"/>
  <c r="U2503" i="9"/>
  <c r="V2503" i="9" a="1"/>
  <c r="W2503" i="9" s="1"/>
  <c r="T2504" i="9"/>
  <c r="U2504" i="9"/>
  <c r="V2504" i="9" a="1"/>
  <c r="W2504" i="9" s="1"/>
  <c r="T2505" i="9"/>
  <c r="U2505" i="9"/>
  <c r="V2505" i="9" a="1"/>
  <c r="W2505" i="9" s="1"/>
  <c r="T2506" i="9"/>
  <c r="U2506" i="9"/>
  <c r="V2506" i="9" a="1"/>
  <c r="W2506" i="9" s="1"/>
  <c r="T2507" i="9"/>
  <c r="U2507" i="9"/>
  <c r="V2507" i="9" a="1"/>
  <c r="W2507" i="9" s="1"/>
  <c r="T2508" i="9"/>
  <c r="U2508" i="9"/>
  <c r="V2508" i="9" a="1"/>
  <c r="W2508" i="9" s="1"/>
  <c r="T2509" i="9"/>
  <c r="U2509" i="9"/>
  <c r="V2509" i="9" a="1"/>
  <c r="W2509" i="9" s="1"/>
  <c r="T2510" i="9"/>
  <c r="U2510" i="9"/>
  <c r="V2510" i="9" a="1"/>
  <c r="W2510" i="9" s="1"/>
  <c r="T2511" i="9"/>
  <c r="U2511" i="9"/>
  <c r="V2511" i="9" a="1"/>
  <c r="W2511" i="9" s="1"/>
  <c r="T2512" i="9"/>
  <c r="U2512" i="9"/>
  <c r="V2512" i="9" a="1"/>
  <c r="W2512" i="9" s="1"/>
  <c r="T2513" i="9"/>
  <c r="U2513" i="9"/>
  <c r="V2513" i="9" a="1"/>
  <c r="W2513" i="9" s="1"/>
  <c r="T2514" i="9"/>
  <c r="U2514" i="9"/>
  <c r="V2514" i="9" a="1"/>
  <c r="W2514" i="9" s="1"/>
  <c r="T2515" i="9"/>
  <c r="U2515" i="9"/>
  <c r="V2515" i="9" a="1"/>
  <c r="W2515" i="9" s="1"/>
  <c r="T2516" i="9"/>
  <c r="U2516" i="9"/>
  <c r="V2516" i="9" a="1"/>
  <c r="W2516" i="9" s="1"/>
  <c r="T2517" i="9"/>
  <c r="U2517" i="9"/>
  <c r="V2517" i="9" a="1"/>
  <c r="W2517" i="9" s="1"/>
  <c r="T2518" i="9"/>
  <c r="U2518" i="9"/>
  <c r="V2518" i="9" a="1"/>
  <c r="W2518" i="9" s="1"/>
  <c r="T2519" i="9"/>
  <c r="U2519" i="9"/>
  <c r="V2519" i="9" a="1"/>
  <c r="W2519" i="9" s="1"/>
  <c r="T2520" i="9"/>
  <c r="U2520" i="9"/>
  <c r="V2520" i="9" a="1"/>
  <c r="W2520" i="9" s="1"/>
  <c r="T2521" i="9"/>
  <c r="U2521" i="9"/>
  <c r="V2521" i="9" a="1"/>
  <c r="W2521" i="9" s="1"/>
  <c r="T2522" i="9"/>
  <c r="U2522" i="9"/>
  <c r="V2522" i="9" a="1"/>
  <c r="W2522" i="9" s="1"/>
  <c r="T2523" i="9"/>
  <c r="U2523" i="9"/>
  <c r="V2523" i="9" a="1"/>
  <c r="W2523" i="9" s="1"/>
  <c r="T2524" i="9"/>
  <c r="U2524" i="9"/>
  <c r="V2524" i="9" a="1"/>
  <c r="W2524" i="9" s="1"/>
  <c r="T2525" i="9"/>
  <c r="U2525" i="9"/>
  <c r="V2525" i="9" a="1"/>
  <c r="W2525" i="9" s="1"/>
  <c r="T2526" i="9"/>
  <c r="U2526" i="9"/>
  <c r="V2526" i="9" a="1"/>
  <c r="W2526" i="9" s="1"/>
  <c r="T2527" i="9"/>
  <c r="U2527" i="9"/>
  <c r="V2527" i="9" a="1"/>
  <c r="W2527" i="9" s="1"/>
  <c r="T2528" i="9"/>
  <c r="U2528" i="9"/>
  <c r="V2528" i="9" a="1"/>
  <c r="W2528" i="9" s="1"/>
  <c r="T2529" i="9"/>
  <c r="U2529" i="9"/>
  <c r="V2529" i="9" a="1"/>
  <c r="W2529" i="9" s="1"/>
  <c r="T2530" i="9"/>
  <c r="U2530" i="9"/>
  <c r="V2530" i="9" a="1"/>
  <c r="W2530" i="9" s="1"/>
  <c r="T2531" i="9"/>
  <c r="U2531" i="9"/>
  <c r="V2531" i="9" a="1"/>
  <c r="W2531" i="9" s="1"/>
  <c r="T2532" i="9"/>
  <c r="U2532" i="9"/>
  <c r="V2532" i="9" a="1"/>
  <c r="W2532" i="9" s="1"/>
  <c r="T2533" i="9"/>
  <c r="U2533" i="9"/>
  <c r="V2533" i="9" a="1"/>
  <c r="W2533" i="9" s="1"/>
  <c r="T2534" i="9"/>
  <c r="U2534" i="9"/>
  <c r="V2534" i="9" a="1"/>
  <c r="W2534" i="9" s="1"/>
  <c r="T2535" i="9"/>
  <c r="U2535" i="9"/>
  <c r="V2535" i="9" a="1"/>
  <c r="W2535" i="9" s="1"/>
  <c r="T2536" i="9"/>
  <c r="U2536" i="9"/>
  <c r="V2536" i="9" a="1"/>
  <c r="W2536" i="9" s="1"/>
  <c r="T2537" i="9"/>
  <c r="U2537" i="9"/>
  <c r="V2537" i="9" a="1"/>
  <c r="W2537" i="9" s="1"/>
  <c r="T2538" i="9"/>
  <c r="U2538" i="9"/>
  <c r="V2538" i="9" a="1"/>
  <c r="W2538" i="9" s="1"/>
  <c r="T2539" i="9"/>
  <c r="U2539" i="9"/>
  <c r="V2539" i="9" a="1"/>
  <c r="W2539" i="9" s="1"/>
  <c r="T2540" i="9"/>
  <c r="U2540" i="9"/>
  <c r="V2540" i="9" a="1"/>
  <c r="W2540" i="9" s="1"/>
  <c r="T2541" i="9"/>
  <c r="U2541" i="9"/>
  <c r="V2541" i="9" a="1"/>
  <c r="W2541" i="9" s="1"/>
  <c r="T2542" i="9"/>
  <c r="U2542" i="9"/>
  <c r="V2542" i="9" a="1"/>
  <c r="W2542" i="9" s="1"/>
  <c r="T2543" i="9"/>
  <c r="U2543" i="9"/>
  <c r="V2543" i="9" a="1"/>
  <c r="W2543" i="9" s="1"/>
  <c r="T2544" i="9"/>
  <c r="U2544" i="9"/>
  <c r="V2544" i="9" a="1"/>
  <c r="W2544" i="9" s="1"/>
  <c r="T2545" i="9"/>
  <c r="U2545" i="9"/>
  <c r="V2545" i="9" a="1"/>
  <c r="W2545" i="9" s="1"/>
  <c r="T2546" i="9"/>
  <c r="U2546" i="9"/>
  <c r="V2546" i="9" a="1"/>
  <c r="W2546" i="9" s="1"/>
  <c r="T2547" i="9"/>
  <c r="U2547" i="9"/>
  <c r="V2547" i="9" a="1"/>
  <c r="W2547" i="9" s="1"/>
  <c r="T2548" i="9"/>
  <c r="U2548" i="9"/>
  <c r="V2548" i="9" a="1"/>
  <c r="W2548" i="9" s="1"/>
  <c r="T2549" i="9"/>
  <c r="U2549" i="9"/>
  <c r="V2549" i="9" a="1"/>
  <c r="W2549" i="9" s="1"/>
  <c r="T2550" i="9"/>
  <c r="U2550" i="9"/>
  <c r="V2550" i="9" a="1"/>
  <c r="W2550" i="9" s="1"/>
  <c r="T2551" i="9"/>
  <c r="U2551" i="9"/>
  <c r="V2551" i="9" a="1"/>
  <c r="W2551" i="9" s="1"/>
  <c r="T2552" i="9"/>
  <c r="U2552" i="9"/>
  <c r="V2552" i="9" a="1"/>
  <c r="W2552" i="9" s="1"/>
  <c r="T2553" i="9"/>
  <c r="U2553" i="9"/>
  <c r="V2553" i="9" a="1"/>
  <c r="W2553" i="9" s="1"/>
  <c r="T2554" i="9"/>
  <c r="U2554" i="9"/>
  <c r="V2554" i="9" a="1"/>
  <c r="W2554" i="9" s="1"/>
  <c r="T2555" i="9"/>
  <c r="U2555" i="9"/>
  <c r="V2555" i="9" a="1"/>
  <c r="W2555" i="9" s="1"/>
  <c r="T2556" i="9"/>
  <c r="U2556" i="9"/>
  <c r="V2556" i="9" a="1"/>
  <c r="W2556" i="9" s="1"/>
  <c r="T2557" i="9"/>
  <c r="U2557" i="9"/>
  <c r="V2557" i="9" a="1"/>
  <c r="W2557" i="9" s="1"/>
  <c r="T2558" i="9"/>
  <c r="U2558" i="9"/>
  <c r="V2558" i="9" a="1"/>
  <c r="W2558" i="9" s="1"/>
  <c r="T2559" i="9"/>
  <c r="U2559" i="9"/>
  <c r="V2559" i="9" a="1"/>
  <c r="W2559" i="9" s="1"/>
  <c r="T2560" i="9"/>
  <c r="U2560" i="9"/>
  <c r="V2560" i="9" a="1"/>
  <c r="W2560" i="9" s="1"/>
  <c r="T2561" i="9"/>
  <c r="U2561" i="9"/>
  <c r="V2561" i="9" a="1"/>
  <c r="W2561" i="9" s="1"/>
  <c r="T2562" i="9"/>
  <c r="U2562" i="9"/>
  <c r="V2562" i="9" a="1"/>
  <c r="W2562" i="9" s="1"/>
  <c r="T2563" i="9"/>
  <c r="U2563" i="9"/>
  <c r="V2563" i="9" a="1"/>
  <c r="W2563" i="9" s="1"/>
  <c r="T2564" i="9"/>
  <c r="U2564" i="9"/>
  <c r="V2564" i="9" a="1"/>
  <c r="W2564" i="9" s="1"/>
  <c r="T2565" i="9"/>
  <c r="U2565" i="9"/>
  <c r="V2565" i="9" a="1"/>
  <c r="W2565" i="9" s="1"/>
  <c r="T2566" i="9"/>
  <c r="U2566" i="9"/>
  <c r="V2566" i="9" a="1"/>
  <c r="W2566" i="9" s="1"/>
  <c r="T2567" i="9"/>
  <c r="U2567" i="9"/>
  <c r="V2567" i="9" a="1"/>
  <c r="W2567" i="9" s="1"/>
  <c r="T2568" i="9"/>
  <c r="U2568" i="9"/>
  <c r="V2568" i="9" a="1"/>
  <c r="W2568" i="9" s="1"/>
  <c r="T2569" i="9"/>
  <c r="U2569" i="9"/>
  <c r="V2569" i="9" a="1"/>
  <c r="W2569" i="9" s="1"/>
  <c r="T2570" i="9"/>
  <c r="U2570" i="9"/>
  <c r="V2570" i="9" a="1"/>
  <c r="W2570" i="9" s="1"/>
  <c r="T2571" i="9"/>
  <c r="U2571" i="9"/>
  <c r="V2571" i="9" a="1"/>
  <c r="W2571" i="9" s="1"/>
  <c r="T2572" i="9"/>
  <c r="U2572" i="9"/>
  <c r="V2572" i="9" a="1"/>
  <c r="W2572" i="9" s="1"/>
  <c r="T2573" i="9"/>
  <c r="U2573" i="9"/>
  <c r="V2573" i="9" a="1"/>
  <c r="W2573" i="9" s="1"/>
  <c r="T2574" i="9"/>
  <c r="U2574" i="9"/>
  <c r="V2574" i="9" a="1"/>
  <c r="W2574" i="9" s="1"/>
  <c r="T2575" i="9"/>
  <c r="U2575" i="9"/>
  <c r="V2575" i="9" a="1"/>
  <c r="W2575" i="9" s="1"/>
  <c r="T2576" i="9"/>
  <c r="U2576" i="9"/>
  <c r="V2576" i="9" a="1"/>
  <c r="W2576" i="9" s="1"/>
  <c r="T2577" i="9"/>
  <c r="U2577" i="9"/>
  <c r="V2577" i="9" a="1"/>
  <c r="W2577" i="9" s="1"/>
  <c r="T2578" i="9"/>
  <c r="U2578" i="9"/>
  <c r="V2578" i="9" a="1"/>
  <c r="W2578" i="9" s="1"/>
  <c r="T2579" i="9"/>
  <c r="U2579" i="9"/>
  <c r="V2579" i="9" a="1"/>
  <c r="W2579" i="9" s="1"/>
  <c r="T2580" i="9"/>
  <c r="U2580" i="9"/>
  <c r="V2580" i="9" a="1"/>
  <c r="W2580" i="9" s="1"/>
  <c r="T2581" i="9"/>
  <c r="U2581" i="9"/>
  <c r="V2581" i="9" a="1"/>
  <c r="W2581" i="9" s="1"/>
  <c r="T2582" i="9"/>
  <c r="U2582" i="9"/>
  <c r="V2582" i="9" a="1"/>
  <c r="W2582" i="9" s="1"/>
  <c r="T2583" i="9"/>
  <c r="U2583" i="9"/>
  <c r="V2583" i="9" a="1"/>
  <c r="W2583" i="9" s="1"/>
  <c r="T2584" i="9"/>
  <c r="U2584" i="9"/>
  <c r="V2584" i="9" a="1"/>
  <c r="W2584" i="9" s="1"/>
  <c r="T2585" i="9"/>
  <c r="U2585" i="9"/>
  <c r="V2585" i="9" a="1"/>
  <c r="W2585" i="9" s="1"/>
  <c r="T2586" i="9"/>
  <c r="U2586" i="9"/>
  <c r="V2586" i="9" a="1"/>
  <c r="W2586" i="9" s="1"/>
  <c r="T2587" i="9"/>
  <c r="U2587" i="9"/>
  <c r="V2587" i="9" a="1"/>
  <c r="W2587" i="9" s="1"/>
  <c r="T2588" i="9"/>
  <c r="U2588" i="9"/>
  <c r="V2588" i="9" a="1"/>
  <c r="W2588" i="9" s="1"/>
  <c r="T2589" i="9"/>
  <c r="U2589" i="9"/>
  <c r="V2589" i="9" a="1"/>
  <c r="W2589" i="9" s="1"/>
  <c r="T2590" i="9"/>
  <c r="U2590" i="9"/>
  <c r="V2590" i="9" a="1"/>
  <c r="W2590" i="9" s="1"/>
  <c r="T2591" i="9"/>
  <c r="U2591" i="9"/>
  <c r="V2591" i="9" a="1"/>
  <c r="W2591" i="9" s="1"/>
  <c r="T2592" i="9"/>
  <c r="U2592" i="9"/>
  <c r="V2592" i="9" a="1"/>
  <c r="W2592" i="9" s="1"/>
  <c r="T2593" i="9"/>
  <c r="U2593" i="9"/>
  <c r="V2593" i="9" a="1"/>
  <c r="W2593" i="9" s="1"/>
  <c r="T2594" i="9"/>
  <c r="U2594" i="9"/>
  <c r="V2594" i="9" a="1"/>
  <c r="W2594" i="9" s="1"/>
  <c r="T2595" i="9"/>
  <c r="U2595" i="9"/>
  <c r="V2595" i="9" a="1"/>
  <c r="W2595" i="9" s="1"/>
  <c r="T2596" i="9"/>
  <c r="U2596" i="9"/>
  <c r="V2596" i="9" a="1"/>
  <c r="W2596" i="9" s="1"/>
  <c r="T2597" i="9"/>
  <c r="U2597" i="9"/>
  <c r="V2597" i="9" a="1"/>
  <c r="W2597" i="9" s="1"/>
  <c r="T2598" i="9"/>
  <c r="U2598" i="9"/>
  <c r="V2598" i="9" a="1"/>
  <c r="W2598" i="9" s="1"/>
  <c r="T2599" i="9"/>
  <c r="U2599" i="9"/>
  <c r="V2599" i="9" a="1"/>
  <c r="W2599" i="9" s="1"/>
  <c r="T2600" i="9"/>
  <c r="U2600" i="9"/>
  <c r="V2600" i="9" a="1"/>
  <c r="W2600" i="9" s="1"/>
  <c r="T2601" i="9"/>
  <c r="U2601" i="9"/>
  <c r="V2601" i="9" a="1"/>
  <c r="W2601" i="9" s="1"/>
  <c r="T2602" i="9"/>
  <c r="U2602" i="9"/>
  <c r="V2602" i="9" a="1"/>
  <c r="W2602" i="9" s="1"/>
  <c r="T2603" i="9"/>
  <c r="U2603" i="9"/>
  <c r="V2603" i="9" a="1"/>
  <c r="W2603" i="9" s="1"/>
  <c r="T2604" i="9"/>
  <c r="U2604" i="9"/>
  <c r="V2604" i="9" a="1"/>
  <c r="W2604" i="9" s="1"/>
  <c r="T2605" i="9"/>
  <c r="U2605" i="9"/>
  <c r="V2605" i="9" a="1"/>
  <c r="W2605" i="9" s="1"/>
  <c r="T2606" i="9"/>
  <c r="U2606" i="9"/>
  <c r="V2606" i="9" a="1"/>
  <c r="W2606" i="9" s="1"/>
  <c r="T2607" i="9"/>
  <c r="U2607" i="9"/>
  <c r="V2607" i="9" a="1"/>
  <c r="W2607" i="9" s="1"/>
  <c r="T2608" i="9"/>
  <c r="U2608" i="9"/>
  <c r="V2608" i="9" a="1"/>
  <c r="W2608" i="9" s="1"/>
  <c r="T2609" i="9"/>
  <c r="U2609" i="9"/>
  <c r="V2609" i="9" a="1"/>
  <c r="W2609" i="9" s="1"/>
  <c r="T2610" i="9"/>
  <c r="U2610" i="9"/>
  <c r="V2610" i="9" a="1"/>
  <c r="W2610" i="9" s="1"/>
  <c r="T2611" i="9"/>
  <c r="U2611" i="9"/>
  <c r="V2611" i="9" a="1"/>
  <c r="W2611" i="9" s="1"/>
  <c r="T2612" i="9"/>
  <c r="U2612" i="9"/>
  <c r="V2612" i="9" a="1"/>
  <c r="W2612" i="9" s="1"/>
  <c r="T2613" i="9"/>
  <c r="U2613" i="9"/>
  <c r="V2613" i="9" a="1"/>
  <c r="W2613" i="9" s="1"/>
  <c r="T2614" i="9"/>
  <c r="U2614" i="9"/>
  <c r="V2614" i="9" a="1"/>
  <c r="W2614" i="9" s="1"/>
  <c r="T2615" i="9"/>
  <c r="U2615" i="9"/>
  <c r="V2615" i="9" a="1"/>
  <c r="W2615" i="9" s="1"/>
  <c r="T2616" i="9"/>
  <c r="U2616" i="9"/>
  <c r="V2616" i="9" a="1"/>
  <c r="W2616" i="9" s="1"/>
  <c r="T2617" i="9"/>
  <c r="U2617" i="9"/>
  <c r="V2617" i="9" a="1"/>
  <c r="W2617" i="9" s="1"/>
  <c r="T2618" i="9"/>
  <c r="U2618" i="9"/>
  <c r="V2618" i="9" a="1"/>
  <c r="W2618" i="9" s="1"/>
  <c r="T2619" i="9"/>
  <c r="U2619" i="9"/>
  <c r="V2619" i="9" a="1"/>
  <c r="W2619" i="9" s="1"/>
  <c r="T2620" i="9"/>
  <c r="U2620" i="9"/>
  <c r="V2620" i="9" a="1"/>
  <c r="W2620" i="9" s="1"/>
  <c r="T2621" i="9"/>
  <c r="U2621" i="9"/>
  <c r="V2621" i="9" a="1"/>
  <c r="W2621" i="9" s="1"/>
  <c r="T2622" i="9"/>
  <c r="U2622" i="9"/>
  <c r="V2622" i="9" a="1"/>
  <c r="W2622" i="9" s="1"/>
  <c r="T2623" i="9"/>
  <c r="U2623" i="9"/>
  <c r="V2623" i="9" a="1"/>
  <c r="W2623" i="9" s="1"/>
  <c r="T2624" i="9"/>
  <c r="U2624" i="9"/>
  <c r="V2624" i="9" a="1"/>
  <c r="W2624" i="9" s="1"/>
  <c r="T2625" i="9"/>
  <c r="U2625" i="9"/>
  <c r="V2625" i="9" a="1"/>
  <c r="W2625" i="9" s="1"/>
  <c r="T2626" i="9"/>
  <c r="U2626" i="9"/>
  <c r="V2626" i="9" a="1"/>
  <c r="W2626" i="9" s="1"/>
  <c r="T2627" i="9"/>
  <c r="U2627" i="9"/>
  <c r="V2627" i="9" a="1"/>
  <c r="W2627" i="9" s="1"/>
  <c r="T2628" i="9"/>
  <c r="U2628" i="9"/>
  <c r="V2628" i="9" a="1"/>
  <c r="W2628" i="9" s="1"/>
  <c r="T2629" i="9"/>
  <c r="U2629" i="9"/>
  <c r="V2629" i="9" a="1"/>
  <c r="W2629" i="9" s="1"/>
  <c r="T2630" i="9"/>
  <c r="U2630" i="9"/>
  <c r="V2630" i="9" a="1"/>
  <c r="W2630" i="9" s="1"/>
  <c r="T2631" i="9"/>
  <c r="U2631" i="9"/>
  <c r="V2631" i="9" a="1"/>
  <c r="W2631" i="9" s="1"/>
  <c r="T2632" i="9"/>
  <c r="U2632" i="9"/>
  <c r="V2632" i="9" a="1"/>
  <c r="W2632" i="9" s="1"/>
  <c r="T2633" i="9"/>
  <c r="U2633" i="9"/>
  <c r="V2633" i="9" a="1"/>
  <c r="W2633" i="9" s="1"/>
  <c r="T2634" i="9"/>
  <c r="U2634" i="9"/>
  <c r="V2634" i="9" a="1"/>
  <c r="W2634" i="9" s="1"/>
  <c r="T2635" i="9"/>
  <c r="U2635" i="9"/>
  <c r="V2635" i="9" a="1"/>
  <c r="W2635" i="9" s="1"/>
  <c r="T2636" i="9"/>
  <c r="U2636" i="9"/>
  <c r="V2636" i="9" a="1"/>
  <c r="W2636" i="9" s="1"/>
  <c r="T2637" i="9"/>
  <c r="U2637" i="9"/>
  <c r="V2637" i="9" a="1"/>
  <c r="W2637" i="9" s="1"/>
  <c r="T2638" i="9"/>
  <c r="U2638" i="9"/>
  <c r="V2638" i="9" a="1"/>
  <c r="W2638" i="9" s="1"/>
  <c r="T2639" i="9"/>
  <c r="U2639" i="9"/>
  <c r="V2639" i="9" a="1"/>
  <c r="W2639" i="9" s="1"/>
  <c r="T2640" i="9"/>
  <c r="U2640" i="9"/>
  <c r="V2640" i="9" a="1"/>
  <c r="W2640" i="9" s="1"/>
  <c r="T2641" i="9"/>
  <c r="U2641" i="9"/>
  <c r="V2641" i="9" a="1"/>
  <c r="W2641" i="9" s="1"/>
  <c r="T2642" i="9"/>
  <c r="U2642" i="9"/>
  <c r="V2642" i="9" a="1"/>
  <c r="W2642" i="9" s="1"/>
  <c r="T2643" i="9"/>
  <c r="U2643" i="9"/>
  <c r="V2643" i="9" a="1"/>
  <c r="W2643" i="9" s="1"/>
  <c r="T2644" i="9"/>
  <c r="U2644" i="9"/>
  <c r="V2644" i="9" a="1"/>
  <c r="W2644" i="9" s="1"/>
  <c r="T2645" i="9"/>
  <c r="U2645" i="9"/>
  <c r="V2645" i="9" a="1"/>
  <c r="W2645" i="9" s="1"/>
  <c r="T2646" i="9"/>
  <c r="U2646" i="9"/>
  <c r="V2646" i="9" a="1"/>
  <c r="W2646" i="9" s="1"/>
  <c r="T2647" i="9"/>
  <c r="U2647" i="9"/>
  <c r="V2647" i="9" a="1"/>
  <c r="W2647" i="9" s="1"/>
  <c r="T2648" i="9"/>
  <c r="U2648" i="9"/>
  <c r="V2648" i="9" a="1"/>
  <c r="W2648" i="9" s="1"/>
  <c r="T2649" i="9"/>
  <c r="U2649" i="9"/>
  <c r="V2649" i="9" a="1"/>
  <c r="W2649" i="9" s="1"/>
  <c r="T2650" i="9"/>
  <c r="U2650" i="9"/>
  <c r="V2650" i="9" a="1"/>
  <c r="W2650" i="9" s="1"/>
  <c r="T2651" i="9"/>
  <c r="U2651" i="9"/>
  <c r="V2651" i="9" a="1"/>
  <c r="W2651" i="9" s="1"/>
  <c r="T2652" i="9"/>
  <c r="U2652" i="9"/>
  <c r="V2652" i="9" a="1"/>
  <c r="W2652" i="9" s="1"/>
  <c r="T2653" i="9"/>
  <c r="U2653" i="9"/>
  <c r="V2653" i="9" a="1"/>
  <c r="W2653" i="9" s="1"/>
  <c r="T2654" i="9"/>
  <c r="U2654" i="9"/>
  <c r="V2654" i="9" a="1"/>
  <c r="W2654" i="9" s="1"/>
  <c r="T2655" i="9"/>
  <c r="U2655" i="9"/>
  <c r="V2655" i="9" a="1"/>
  <c r="W2655" i="9" s="1"/>
  <c r="T2656" i="9"/>
  <c r="U2656" i="9"/>
  <c r="V2656" i="9" a="1"/>
  <c r="W2656" i="9" s="1"/>
  <c r="T2657" i="9"/>
  <c r="U2657" i="9"/>
  <c r="V2657" i="9" a="1"/>
  <c r="W2657" i="9" s="1"/>
  <c r="T2658" i="9"/>
  <c r="U2658" i="9"/>
  <c r="V2658" i="9" a="1"/>
  <c r="W2658" i="9" s="1"/>
  <c r="T2659" i="9"/>
  <c r="U2659" i="9"/>
  <c r="V2659" i="9" a="1"/>
  <c r="W2659" i="9" s="1"/>
  <c r="T2660" i="9"/>
  <c r="U2660" i="9"/>
  <c r="V2660" i="9" a="1"/>
  <c r="W2660" i="9" s="1"/>
  <c r="T2661" i="9"/>
  <c r="U2661" i="9"/>
  <c r="V2661" i="9" a="1"/>
  <c r="W2661" i="9" s="1"/>
  <c r="T2662" i="9"/>
  <c r="U2662" i="9"/>
  <c r="V2662" i="9" a="1"/>
  <c r="W2662" i="9" s="1"/>
  <c r="T2663" i="9"/>
  <c r="U2663" i="9"/>
  <c r="V2663" i="9" a="1"/>
  <c r="W2663" i="9" s="1"/>
  <c r="T2664" i="9"/>
  <c r="U2664" i="9"/>
  <c r="V2664" i="9" a="1"/>
  <c r="W2664" i="9" s="1"/>
  <c r="T2665" i="9"/>
  <c r="U2665" i="9"/>
  <c r="V2665" i="9" a="1"/>
  <c r="W2665" i="9" s="1"/>
  <c r="T2666" i="9"/>
  <c r="U2666" i="9"/>
  <c r="V2666" i="9" a="1"/>
  <c r="W2666" i="9" s="1"/>
  <c r="T2667" i="9"/>
  <c r="U2667" i="9"/>
  <c r="V2667" i="9" a="1"/>
  <c r="W2667" i="9" s="1"/>
  <c r="T2668" i="9"/>
  <c r="U2668" i="9"/>
  <c r="V2668" i="9" a="1"/>
  <c r="W2668" i="9" s="1"/>
  <c r="T2669" i="9"/>
  <c r="U2669" i="9"/>
  <c r="V2669" i="9" a="1"/>
  <c r="W2669" i="9" s="1"/>
  <c r="T2670" i="9"/>
  <c r="U2670" i="9"/>
  <c r="V2670" i="9" a="1"/>
  <c r="W2670" i="9" s="1"/>
  <c r="T2671" i="9"/>
  <c r="U2671" i="9"/>
  <c r="V2671" i="9" a="1"/>
  <c r="W2671" i="9" s="1"/>
  <c r="T2672" i="9"/>
  <c r="U2672" i="9"/>
  <c r="V2672" i="9" a="1"/>
  <c r="W2672" i="9" s="1"/>
  <c r="T2673" i="9"/>
  <c r="U2673" i="9"/>
  <c r="V2673" i="9" a="1"/>
  <c r="W2673" i="9" s="1"/>
  <c r="T2674" i="9"/>
  <c r="U2674" i="9"/>
  <c r="V2674" i="9" a="1"/>
  <c r="W2674" i="9" s="1"/>
  <c r="T2675" i="9"/>
  <c r="U2675" i="9"/>
  <c r="V2675" i="9" a="1"/>
  <c r="W2675" i="9" s="1"/>
  <c r="T2676" i="9"/>
  <c r="U2676" i="9"/>
  <c r="V2676" i="9" a="1"/>
  <c r="W2676" i="9" s="1"/>
  <c r="T2677" i="9"/>
  <c r="U2677" i="9"/>
  <c r="V2677" i="9" a="1"/>
  <c r="W2677" i="9" s="1"/>
  <c r="T2678" i="9"/>
  <c r="U2678" i="9"/>
  <c r="V2678" i="9" a="1"/>
  <c r="W2678" i="9" s="1"/>
  <c r="T2679" i="9"/>
  <c r="U2679" i="9"/>
  <c r="V2679" i="9" a="1"/>
  <c r="W2679" i="9" s="1"/>
  <c r="T2680" i="9"/>
  <c r="U2680" i="9"/>
  <c r="V2680" i="9" a="1"/>
  <c r="W2680" i="9" s="1"/>
  <c r="T2681" i="9"/>
  <c r="U2681" i="9"/>
  <c r="V2681" i="9" a="1"/>
  <c r="W2681" i="9" s="1"/>
  <c r="T2682" i="9"/>
  <c r="U2682" i="9"/>
  <c r="V2682" i="9" a="1"/>
  <c r="W2682" i="9" s="1"/>
  <c r="T2683" i="9"/>
  <c r="U2683" i="9"/>
  <c r="V2683" i="9" a="1"/>
  <c r="W2683" i="9" s="1"/>
  <c r="T2684" i="9"/>
  <c r="U2684" i="9"/>
  <c r="V2684" i="9" a="1"/>
  <c r="W2684" i="9" s="1"/>
  <c r="T2685" i="9"/>
  <c r="U2685" i="9"/>
  <c r="V2685" i="9" a="1"/>
  <c r="W2685" i="9" s="1"/>
  <c r="T2686" i="9"/>
  <c r="U2686" i="9"/>
  <c r="V2686" i="9" a="1"/>
  <c r="W2686" i="9" s="1"/>
  <c r="T2687" i="9"/>
  <c r="U2687" i="9"/>
  <c r="V2687" i="9" a="1"/>
  <c r="W2687" i="9" s="1"/>
  <c r="T2688" i="9"/>
  <c r="U2688" i="9"/>
  <c r="V2688" i="9" a="1"/>
  <c r="W2688" i="9" s="1"/>
  <c r="T2689" i="9"/>
  <c r="U2689" i="9"/>
  <c r="V2689" i="9" a="1"/>
  <c r="W2689" i="9" s="1"/>
  <c r="T2690" i="9"/>
  <c r="U2690" i="9"/>
  <c r="V2690" i="9" a="1"/>
  <c r="W2690" i="9" s="1"/>
  <c r="T2691" i="9"/>
  <c r="U2691" i="9"/>
  <c r="V2691" i="9" a="1"/>
  <c r="W2691" i="9" s="1"/>
  <c r="T2692" i="9"/>
  <c r="U2692" i="9"/>
  <c r="V2692" i="9" a="1"/>
  <c r="W2692" i="9" s="1"/>
  <c r="T2693" i="9"/>
  <c r="U2693" i="9"/>
  <c r="V2693" i="9" a="1"/>
  <c r="W2693" i="9" s="1"/>
  <c r="T2694" i="9"/>
  <c r="U2694" i="9"/>
  <c r="V2694" i="9" a="1"/>
  <c r="W2694" i="9" s="1"/>
  <c r="T2695" i="9"/>
  <c r="U2695" i="9"/>
  <c r="V2695" i="9" a="1"/>
  <c r="W2695" i="9" s="1"/>
  <c r="T2696" i="9"/>
  <c r="U2696" i="9"/>
  <c r="V2696" i="9" a="1"/>
  <c r="W2696" i="9" s="1"/>
  <c r="T2697" i="9"/>
  <c r="U2697" i="9"/>
  <c r="V2697" i="9" a="1"/>
  <c r="W2697" i="9" s="1"/>
  <c r="T2698" i="9"/>
  <c r="U2698" i="9"/>
  <c r="V2698" i="9" a="1"/>
  <c r="W2698" i="9" s="1"/>
  <c r="T2699" i="9"/>
  <c r="U2699" i="9"/>
  <c r="V2699" i="9" a="1"/>
  <c r="W2699" i="9" s="1"/>
  <c r="T2700" i="9"/>
  <c r="U2700" i="9"/>
  <c r="V2700" i="9" a="1"/>
  <c r="W2700" i="9" s="1"/>
  <c r="T2701" i="9"/>
  <c r="U2701" i="9"/>
  <c r="V2701" i="9" a="1"/>
  <c r="W2701" i="9" s="1"/>
  <c r="T2702" i="9"/>
  <c r="U2702" i="9"/>
  <c r="V2702" i="9" a="1"/>
  <c r="W2702" i="9" s="1"/>
  <c r="T2703" i="9"/>
  <c r="U2703" i="9"/>
  <c r="V2703" i="9" a="1"/>
  <c r="W2703" i="9" s="1"/>
  <c r="T2704" i="9"/>
  <c r="U2704" i="9"/>
  <c r="V2704" i="9" a="1"/>
  <c r="W2704" i="9" s="1"/>
  <c r="T2705" i="9"/>
  <c r="U2705" i="9"/>
  <c r="V2705" i="9" a="1"/>
  <c r="W2705" i="9" s="1"/>
  <c r="T2706" i="9"/>
  <c r="U2706" i="9"/>
  <c r="V2706" i="9" a="1"/>
  <c r="W2706" i="9" s="1"/>
  <c r="T2707" i="9"/>
  <c r="U2707" i="9"/>
  <c r="V2707" i="9" a="1"/>
  <c r="W2707" i="9" s="1"/>
  <c r="T2708" i="9"/>
  <c r="U2708" i="9"/>
  <c r="V2708" i="9" a="1"/>
  <c r="W2708" i="9" s="1"/>
  <c r="T2709" i="9"/>
  <c r="U2709" i="9"/>
  <c r="V2709" i="9" a="1"/>
  <c r="W2709" i="9" s="1"/>
  <c r="T2710" i="9"/>
  <c r="U2710" i="9"/>
  <c r="V2710" i="9" a="1"/>
  <c r="W2710" i="9" s="1"/>
  <c r="T2711" i="9"/>
  <c r="U2711" i="9"/>
  <c r="V2711" i="9" a="1"/>
  <c r="W2711" i="9" s="1"/>
  <c r="T2712" i="9"/>
  <c r="U2712" i="9"/>
  <c r="V2712" i="9" a="1"/>
  <c r="W2712" i="9" s="1"/>
  <c r="T2713" i="9"/>
  <c r="U2713" i="9"/>
  <c r="V2713" i="9" a="1"/>
  <c r="W2713" i="9" s="1"/>
  <c r="T2714" i="9"/>
  <c r="U2714" i="9"/>
  <c r="V2714" i="9" a="1"/>
  <c r="W2714" i="9" s="1"/>
  <c r="T2715" i="9"/>
  <c r="U2715" i="9"/>
  <c r="V2715" i="9" a="1"/>
  <c r="W2715" i="9" s="1"/>
  <c r="T2716" i="9"/>
  <c r="U2716" i="9"/>
  <c r="V2716" i="9" a="1"/>
  <c r="W2716" i="9" s="1"/>
  <c r="T2717" i="9"/>
  <c r="U2717" i="9"/>
  <c r="V2717" i="9" a="1"/>
  <c r="W2717" i="9" s="1"/>
  <c r="T2718" i="9"/>
  <c r="U2718" i="9"/>
  <c r="V2718" i="9" a="1"/>
  <c r="W2718" i="9" s="1"/>
  <c r="T2719" i="9"/>
  <c r="U2719" i="9"/>
  <c r="V2719" i="9" a="1"/>
  <c r="W2719" i="9" s="1"/>
  <c r="T2720" i="9"/>
  <c r="U2720" i="9"/>
  <c r="V2720" i="9" a="1"/>
  <c r="W2720" i="9" s="1"/>
  <c r="T2721" i="9"/>
  <c r="U2721" i="9"/>
  <c r="V2721" i="9" a="1"/>
  <c r="W2721" i="9" s="1"/>
  <c r="T2722" i="9"/>
  <c r="U2722" i="9"/>
  <c r="V2722" i="9" a="1"/>
  <c r="W2722" i="9" s="1"/>
  <c r="T2723" i="9"/>
  <c r="U2723" i="9"/>
  <c r="V2723" i="9" a="1"/>
  <c r="W2723" i="9" s="1"/>
  <c r="T2724" i="9"/>
  <c r="U2724" i="9"/>
  <c r="V2724" i="9" a="1"/>
  <c r="W2724" i="9" s="1"/>
  <c r="T2725" i="9"/>
  <c r="U2725" i="9"/>
  <c r="V2725" i="9" a="1"/>
  <c r="W2725" i="9" s="1"/>
  <c r="T2726" i="9"/>
  <c r="U2726" i="9"/>
  <c r="V2726" i="9" a="1"/>
  <c r="W2726" i="9" s="1"/>
  <c r="T2727" i="9"/>
  <c r="U2727" i="9"/>
  <c r="V2727" i="9" a="1"/>
  <c r="W2727" i="9" s="1"/>
  <c r="T2728" i="9"/>
  <c r="U2728" i="9"/>
  <c r="V2728" i="9" a="1"/>
  <c r="W2728" i="9" s="1"/>
  <c r="T2729" i="9"/>
  <c r="U2729" i="9"/>
  <c r="V2729" i="9" a="1"/>
  <c r="W2729" i="9" s="1"/>
  <c r="T2730" i="9"/>
  <c r="U2730" i="9"/>
  <c r="V2730" i="9" a="1"/>
  <c r="W2730" i="9" s="1"/>
  <c r="T2731" i="9"/>
  <c r="U2731" i="9"/>
  <c r="V2731" i="9" a="1"/>
  <c r="W2731" i="9" s="1"/>
  <c r="T2732" i="9"/>
  <c r="U2732" i="9"/>
  <c r="V2732" i="9" a="1"/>
  <c r="W2732" i="9" s="1"/>
  <c r="T2733" i="9"/>
  <c r="U2733" i="9"/>
  <c r="V2733" i="9" a="1"/>
  <c r="W2733" i="9" s="1"/>
  <c r="T2734" i="9"/>
  <c r="U2734" i="9"/>
  <c r="V2734" i="9" a="1"/>
  <c r="W2734" i="9" s="1"/>
  <c r="T2735" i="9"/>
  <c r="U2735" i="9"/>
  <c r="V2735" i="9" a="1"/>
  <c r="W2735" i="9" s="1"/>
  <c r="T2736" i="9"/>
  <c r="U2736" i="9"/>
  <c r="V2736" i="9" a="1"/>
  <c r="W2736" i="9" s="1"/>
  <c r="T2737" i="9"/>
  <c r="U2737" i="9"/>
  <c r="V2737" i="9" a="1"/>
  <c r="W2737" i="9" s="1"/>
  <c r="T2738" i="9"/>
  <c r="U2738" i="9"/>
  <c r="V2738" i="9" a="1"/>
  <c r="W2738" i="9" s="1"/>
  <c r="T2739" i="9"/>
  <c r="U2739" i="9"/>
  <c r="V2739" i="9" a="1"/>
  <c r="W2739" i="9" s="1"/>
  <c r="T2740" i="9"/>
  <c r="U2740" i="9"/>
  <c r="V2740" i="9" a="1"/>
  <c r="W2740" i="9" s="1"/>
  <c r="T2741" i="9"/>
  <c r="U2741" i="9"/>
  <c r="V2741" i="9" a="1"/>
  <c r="W2741" i="9" s="1"/>
  <c r="T2742" i="9"/>
  <c r="U2742" i="9"/>
  <c r="V2742" i="9" a="1"/>
  <c r="W2742" i="9" s="1"/>
  <c r="T2743" i="9"/>
  <c r="U2743" i="9"/>
  <c r="V2743" i="9" a="1"/>
  <c r="W2743" i="9" s="1"/>
  <c r="T2744" i="9"/>
  <c r="U2744" i="9"/>
  <c r="V2744" i="9" a="1"/>
  <c r="W2744" i="9" s="1"/>
  <c r="T2745" i="9"/>
  <c r="U2745" i="9"/>
  <c r="V2745" i="9" a="1"/>
  <c r="W2745" i="9" s="1"/>
  <c r="T2746" i="9"/>
  <c r="U2746" i="9"/>
  <c r="V2746" i="9" a="1"/>
  <c r="W2746" i="9" s="1"/>
  <c r="T2747" i="9"/>
  <c r="U2747" i="9"/>
  <c r="V2747" i="9" a="1"/>
  <c r="W2747" i="9" s="1"/>
  <c r="T2748" i="9"/>
  <c r="U2748" i="9"/>
  <c r="V2748" i="9" a="1"/>
  <c r="W2748" i="9" s="1"/>
  <c r="T2749" i="9"/>
  <c r="U2749" i="9"/>
  <c r="V2749" i="9" a="1"/>
  <c r="W2749" i="9" s="1"/>
  <c r="T2750" i="9"/>
  <c r="U2750" i="9"/>
  <c r="V2750" i="9" a="1"/>
  <c r="W2750" i="9" s="1"/>
  <c r="T2751" i="9"/>
  <c r="U2751" i="9"/>
  <c r="V2751" i="9" a="1"/>
  <c r="W2751" i="9" s="1"/>
  <c r="T2752" i="9"/>
  <c r="U2752" i="9"/>
  <c r="V2752" i="9" a="1"/>
  <c r="W2752" i="9" s="1"/>
  <c r="T2753" i="9"/>
  <c r="U2753" i="9"/>
  <c r="V2753" i="9" a="1"/>
  <c r="W2753" i="9" s="1"/>
  <c r="T2754" i="9"/>
  <c r="U2754" i="9"/>
  <c r="V2754" i="9" a="1"/>
  <c r="W2754" i="9" s="1"/>
  <c r="T2755" i="9"/>
  <c r="U2755" i="9"/>
  <c r="V2755" i="9" a="1"/>
  <c r="W2755" i="9" s="1"/>
  <c r="T2756" i="9"/>
  <c r="U2756" i="9"/>
  <c r="V2756" i="9" a="1"/>
  <c r="W2756" i="9" s="1"/>
  <c r="T2757" i="9"/>
  <c r="U2757" i="9"/>
  <c r="V2757" i="9" a="1"/>
  <c r="W2757" i="9" s="1"/>
  <c r="T2758" i="9"/>
  <c r="U2758" i="9"/>
  <c r="V2758" i="9" a="1"/>
  <c r="W2758" i="9" s="1"/>
  <c r="T2759" i="9"/>
  <c r="U2759" i="9"/>
  <c r="V2759" i="9" a="1"/>
  <c r="W2759" i="9" s="1"/>
  <c r="T2760" i="9"/>
  <c r="U2760" i="9"/>
  <c r="V2760" i="9" a="1"/>
  <c r="W2760" i="9" s="1"/>
  <c r="T2761" i="9"/>
  <c r="U2761" i="9"/>
  <c r="V2761" i="9" a="1"/>
  <c r="W2761" i="9" s="1"/>
  <c r="T2762" i="9"/>
  <c r="U2762" i="9"/>
  <c r="V2762" i="9" a="1"/>
  <c r="W2762" i="9" s="1"/>
  <c r="T2763" i="9"/>
  <c r="U2763" i="9"/>
  <c r="V2763" i="9" a="1"/>
  <c r="W2763" i="9" s="1"/>
  <c r="T2764" i="9"/>
  <c r="U2764" i="9"/>
  <c r="V2764" i="9" a="1"/>
  <c r="W2764" i="9" s="1"/>
  <c r="T2765" i="9"/>
  <c r="U2765" i="9"/>
  <c r="V2765" i="9" a="1"/>
  <c r="W2765" i="9" s="1"/>
  <c r="T2766" i="9"/>
  <c r="U2766" i="9"/>
  <c r="V2766" i="9" a="1"/>
  <c r="W2766" i="9" s="1"/>
  <c r="T2767" i="9"/>
  <c r="U2767" i="9"/>
  <c r="V2767" i="9" a="1"/>
  <c r="W2767" i="9" s="1"/>
  <c r="T2768" i="9"/>
  <c r="U2768" i="9"/>
  <c r="V2768" i="9" a="1"/>
  <c r="W2768" i="9" s="1"/>
  <c r="T2769" i="9"/>
  <c r="U2769" i="9"/>
  <c r="V2769" i="9" a="1"/>
  <c r="W2769" i="9" s="1"/>
  <c r="T2770" i="9"/>
  <c r="U2770" i="9"/>
  <c r="V2770" i="9" a="1"/>
  <c r="W2770" i="9" s="1"/>
  <c r="T2771" i="9"/>
  <c r="U2771" i="9"/>
  <c r="V2771" i="9" a="1"/>
  <c r="W2771" i="9" s="1"/>
  <c r="T2772" i="9"/>
  <c r="U2772" i="9"/>
  <c r="V2772" i="9" a="1"/>
  <c r="W2772" i="9" s="1"/>
  <c r="T2773" i="9"/>
  <c r="U2773" i="9"/>
  <c r="V2773" i="9" a="1"/>
  <c r="W2773" i="9" s="1"/>
  <c r="T2774" i="9"/>
  <c r="U2774" i="9"/>
  <c r="V2774" i="9" a="1"/>
  <c r="W2774" i="9" s="1"/>
  <c r="T2775" i="9"/>
  <c r="U2775" i="9"/>
  <c r="V2775" i="9" a="1"/>
  <c r="W2775" i="9" s="1"/>
  <c r="T2776" i="9"/>
  <c r="U2776" i="9"/>
  <c r="V2776" i="9" a="1"/>
  <c r="W2776" i="9" s="1"/>
  <c r="T2777" i="9"/>
  <c r="U2777" i="9"/>
  <c r="V2777" i="9" a="1"/>
  <c r="W2777" i="9" s="1"/>
  <c r="T2778" i="9"/>
  <c r="U2778" i="9"/>
  <c r="V2778" i="9" a="1"/>
  <c r="W2778" i="9" s="1"/>
  <c r="T2779" i="9"/>
  <c r="U2779" i="9"/>
  <c r="V2779" i="9" a="1"/>
  <c r="W2779" i="9" s="1"/>
  <c r="T2780" i="9"/>
  <c r="U2780" i="9"/>
  <c r="V2780" i="9" a="1"/>
  <c r="W2780" i="9" s="1"/>
  <c r="T2781" i="9"/>
  <c r="U2781" i="9"/>
  <c r="V2781" i="9" a="1"/>
  <c r="W2781" i="9" s="1"/>
  <c r="T2782" i="9"/>
  <c r="U2782" i="9"/>
  <c r="V2782" i="9" a="1"/>
  <c r="W2782" i="9" s="1"/>
  <c r="T2783" i="9"/>
  <c r="U2783" i="9"/>
  <c r="V2783" i="9" a="1"/>
  <c r="W2783" i="9" s="1"/>
  <c r="T2784" i="9"/>
  <c r="U2784" i="9"/>
  <c r="V2784" i="9" a="1"/>
  <c r="W2784" i="9" s="1"/>
  <c r="T2785" i="9"/>
  <c r="U2785" i="9"/>
  <c r="V2785" i="9" a="1"/>
  <c r="W2785" i="9" s="1"/>
  <c r="T2786" i="9"/>
  <c r="U2786" i="9"/>
  <c r="V2786" i="9" a="1"/>
  <c r="W2786" i="9" s="1"/>
  <c r="T2787" i="9"/>
  <c r="U2787" i="9"/>
  <c r="V2787" i="9" a="1"/>
  <c r="W2787" i="9" s="1"/>
  <c r="T2788" i="9"/>
  <c r="U2788" i="9"/>
  <c r="V2788" i="9" a="1"/>
  <c r="W2788" i="9" s="1"/>
  <c r="T2789" i="9"/>
  <c r="U2789" i="9"/>
  <c r="V2789" i="9" a="1"/>
  <c r="W2789" i="9" s="1"/>
  <c r="T2790" i="9"/>
  <c r="U2790" i="9"/>
  <c r="V2790" i="9" a="1"/>
  <c r="W2790" i="9" s="1"/>
  <c r="T2791" i="9"/>
  <c r="U2791" i="9"/>
  <c r="V2791" i="9" a="1"/>
  <c r="W2791" i="9" s="1"/>
  <c r="T2792" i="9"/>
  <c r="U2792" i="9"/>
  <c r="V2792" i="9" a="1"/>
  <c r="W2792" i="9" s="1"/>
  <c r="T2793" i="9"/>
  <c r="U2793" i="9"/>
  <c r="V2793" i="9" a="1"/>
  <c r="W2793" i="9" s="1"/>
  <c r="T2794" i="9"/>
  <c r="U2794" i="9"/>
  <c r="V2794" i="9" a="1"/>
  <c r="W2794" i="9" s="1"/>
  <c r="T2795" i="9"/>
  <c r="U2795" i="9"/>
  <c r="V2795" i="9" a="1"/>
  <c r="W2795" i="9" s="1"/>
  <c r="T2796" i="9"/>
  <c r="U2796" i="9"/>
  <c r="V2796" i="9" a="1"/>
  <c r="W2796" i="9" s="1"/>
  <c r="T2797" i="9"/>
  <c r="U2797" i="9"/>
  <c r="V2797" i="9" a="1"/>
  <c r="W2797" i="9" s="1"/>
  <c r="T2798" i="9"/>
  <c r="U2798" i="9"/>
  <c r="V2798" i="9" a="1"/>
  <c r="W2798" i="9" s="1"/>
  <c r="T2799" i="9"/>
  <c r="U2799" i="9"/>
  <c r="V2799" i="9" a="1"/>
  <c r="W2799" i="9" s="1"/>
  <c r="T2800" i="9"/>
  <c r="U2800" i="9"/>
  <c r="V2800" i="9" a="1"/>
  <c r="W2800" i="9" s="1"/>
  <c r="T2801" i="9"/>
  <c r="U2801" i="9"/>
  <c r="V2801" i="9" a="1"/>
  <c r="W2801" i="9" s="1"/>
  <c r="T2802" i="9"/>
  <c r="U2802" i="9"/>
  <c r="V2802" i="9" a="1"/>
  <c r="W2802" i="9" s="1"/>
  <c r="T2803" i="9"/>
  <c r="U2803" i="9"/>
  <c r="V2803" i="9" a="1"/>
  <c r="W2803" i="9" s="1"/>
  <c r="T2804" i="9"/>
  <c r="U2804" i="9"/>
  <c r="V2804" i="9" a="1"/>
  <c r="W2804" i="9" s="1"/>
  <c r="T2805" i="9"/>
  <c r="U2805" i="9"/>
  <c r="V2805" i="9" a="1"/>
  <c r="W2805" i="9" s="1"/>
  <c r="T2806" i="9"/>
  <c r="U2806" i="9"/>
  <c r="V2806" i="9" a="1"/>
  <c r="W2806" i="9" s="1"/>
  <c r="T2807" i="9"/>
  <c r="U2807" i="9"/>
  <c r="V2807" i="9" a="1"/>
  <c r="W2807" i="9" s="1"/>
  <c r="T2808" i="9"/>
  <c r="U2808" i="9"/>
  <c r="V2808" i="9" a="1"/>
  <c r="W2808" i="9" s="1"/>
  <c r="T2809" i="9"/>
  <c r="U2809" i="9"/>
  <c r="V2809" i="9" a="1"/>
  <c r="W2809" i="9" s="1"/>
  <c r="T2810" i="9"/>
  <c r="U2810" i="9"/>
  <c r="V2810" i="9" a="1"/>
  <c r="W2810" i="9" s="1"/>
  <c r="T2811" i="9"/>
  <c r="U2811" i="9"/>
  <c r="V2811" i="9" a="1"/>
  <c r="W2811" i="9" s="1"/>
  <c r="T2812" i="9"/>
  <c r="U2812" i="9"/>
  <c r="V2812" i="9" a="1"/>
  <c r="W2812" i="9" s="1"/>
  <c r="T2813" i="9"/>
  <c r="U2813" i="9"/>
  <c r="V2813" i="9" a="1"/>
  <c r="W2813" i="9" s="1"/>
  <c r="T2814" i="9"/>
  <c r="U2814" i="9"/>
  <c r="V2814" i="9" a="1"/>
  <c r="W2814" i="9" s="1"/>
  <c r="T2815" i="9"/>
  <c r="U2815" i="9"/>
  <c r="V2815" i="9" a="1"/>
  <c r="W2815" i="9" s="1"/>
  <c r="T2816" i="9"/>
  <c r="U2816" i="9"/>
  <c r="V2816" i="9" a="1"/>
  <c r="W2816" i="9" s="1"/>
  <c r="T2817" i="9"/>
  <c r="U2817" i="9"/>
  <c r="V2817" i="9" a="1"/>
  <c r="W2817" i="9" s="1"/>
  <c r="T2818" i="9"/>
  <c r="U2818" i="9"/>
  <c r="V2818" i="9" a="1"/>
  <c r="W2818" i="9" s="1"/>
  <c r="T2819" i="9"/>
  <c r="U2819" i="9"/>
  <c r="V2819" i="9" a="1"/>
  <c r="W2819" i="9" s="1"/>
  <c r="T2820" i="9"/>
  <c r="U2820" i="9"/>
  <c r="V2820" i="9" a="1"/>
  <c r="W2820" i="9" s="1"/>
  <c r="T2821" i="9"/>
  <c r="U2821" i="9"/>
  <c r="V2821" i="9" a="1"/>
  <c r="W2821" i="9" s="1"/>
  <c r="T2822" i="9"/>
  <c r="U2822" i="9"/>
  <c r="V2822" i="9" a="1"/>
  <c r="W2822" i="9" s="1"/>
  <c r="T2823" i="9"/>
  <c r="U2823" i="9"/>
  <c r="V2823" i="9" a="1"/>
  <c r="W2823" i="9" s="1"/>
  <c r="T2824" i="9"/>
  <c r="U2824" i="9"/>
  <c r="V2824" i="9" a="1"/>
  <c r="W2824" i="9" s="1"/>
  <c r="T2825" i="9"/>
  <c r="U2825" i="9"/>
  <c r="V2825" i="9" a="1"/>
  <c r="W2825" i="9" s="1"/>
  <c r="T2826" i="9"/>
  <c r="U2826" i="9"/>
  <c r="V2826" i="9" a="1"/>
  <c r="W2826" i="9" s="1"/>
  <c r="T2827" i="9"/>
  <c r="U2827" i="9"/>
  <c r="V2827" i="9" a="1"/>
  <c r="W2827" i="9" s="1"/>
  <c r="T2828" i="9"/>
  <c r="U2828" i="9"/>
  <c r="V2828" i="9" a="1"/>
  <c r="W2828" i="9" s="1"/>
  <c r="T2829" i="9"/>
  <c r="U2829" i="9"/>
  <c r="V2829" i="9" a="1"/>
  <c r="W2829" i="9" s="1"/>
  <c r="T2830" i="9"/>
  <c r="U2830" i="9"/>
  <c r="V2830" i="9" a="1"/>
  <c r="W2830" i="9" s="1"/>
  <c r="T2831" i="9"/>
  <c r="U2831" i="9"/>
  <c r="V2831" i="9" a="1"/>
  <c r="W2831" i="9" s="1"/>
  <c r="T2832" i="9"/>
  <c r="U2832" i="9"/>
  <c r="V2832" i="9" a="1"/>
  <c r="W2832" i="9" s="1"/>
  <c r="T2833" i="9"/>
  <c r="U2833" i="9"/>
  <c r="V2833" i="9" a="1"/>
  <c r="W2833" i="9" s="1"/>
  <c r="T2834" i="9"/>
  <c r="U2834" i="9"/>
  <c r="V2834" i="9" a="1"/>
  <c r="W2834" i="9" s="1"/>
  <c r="T2835" i="9"/>
  <c r="U2835" i="9"/>
  <c r="V2835" i="9" a="1"/>
  <c r="W2835" i="9" s="1"/>
  <c r="T2836" i="9"/>
  <c r="U2836" i="9"/>
  <c r="V2836" i="9" a="1"/>
  <c r="W2836" i="9" s="1"/>
  <c r="T2837" i="9"/>
  <c r="U2837" i="9"/>
  <c r="V2837" i="9" a="1"/>
  <c r="W2837" i="9" s="1"/>
  <c r="T2838" i="9"/>
  <c r="U2838" i="9"/>
  <c r="V2838" i="9" a="1"/>
  <c r="W2838" i="9" s="1"/>
  <c r="T2839" i="9"/>
  <c r="U2839" i="9"/>
  <c r="V2839" i="9" a="1"/>
  <c r="W2839" i="9" s="1"/>
  <c r="T2840" i="9"/>
  <c r="U2840" i="9"/>
  <c r="V2840" i="9" a="1"/>
  <c r="W2840" i="9" s="1"/>
  <c r="T2841" i="9"/>
  <c r="U2841" i="9"/>
  <c r="V2841" i="9" a="1"/>
  <c r="W2841" i="9" s="1"/>
  <c r="T2842" i="9"/>
  <c r="U2842" i="9"/>
  <c r="V2842" i="9" a="1"/>
  <c r="W2842" i="9" s="1"/>
  <c r="T2843" i="9"/>
  <c r="U2843" i="9"/>
  <c r="V2843" i="9" a="1"/>
  <c r="W2843" i="9" s="1"/>
  <c r="T2844" i="9"/>
  <c r="U2844" i="9"/>
  <c r="V2844" i="9" a="1"/>
  <c r="W2844" i="9" s="1"/>
  <c r="T2845" i="9"/>
  <c r="U2845" i="9"/>
  <c r="V2845" i="9" a="1"/>
  <c r="W2845" i="9" s="1"/>
  <c r="T2846" i="9"/>
  <c r="U2846" i="9"/>
  <c r="V2846" i="9" a="1"/>
  <c r="W2846" i="9" s="1"/>
  <c r="T2847" i="9"/>
  <c r="U2847" i="9"/>
  <c r="V2847" i="9" a="1"/>
  <c r="W2847" i="9" s="1"/>
  <c r="T2848" i="9"/>
  <c r="U2848" i="9"/>
  <c r="V2848" i="9" a="1"/>
  <c r="W2848" i="9" s="1"/>
  <c r="T2849" i="9"/>
  <c r="U2849" i="9"/>
  <c r="V2849" i="9" a="1"/>
  <c r="W2849" i="9" s="1"/>
  <c r="T2850" i="9"/>
  <c r="U2850" i="9"/>
  <c r="V2850" i="9" a="1"/>
  <c r="W2850" i="9" s="1"/>
  <c r="T2851" i="9"/>
  <c r="U2851" i="9"/>
  <c r="V2851" i="9" a="1"/>
  <c r="W2851" i="9" s="1"/>
  <c r="T2852" i="9"/>
  <c r="U2852" i="9"/>
  <c r="V2852" i="9" a="1"/>
  <c r="W2852" i="9" s="1"/>
  <c r="T2853" i="9"/>
  <c r="U2853" i="9"/>
  <c r="V2853" i="9" a="1"/>
  <c r="W2853" i="9" s="1"/>
  <c r="T2854" i="9"/>
  <c r="U2854" i="9"/>
  <c r="V2854" i="9" a="1"/>
  <c r="W2854" i="9" s="1"/>
  <c r="T2855" i="9"/>
  <c r="U2855" i="9"/>
  <c r="V2855" i="9" a="1"/>
  <c r="W2855" i="9" s="1"/>
  <c r="T2856" i="9"/>
  <c r="U2856" i="9"/>
  <c r="V2856" i="9" a="1"/>
  <c r="W2856" i="9" s="1"/>
  <c r="T2857" i="9"/>
  <c r="U2857" i="9"/>
  <c r="V2857" i="9" a="1"/>
  <c r="W2857" i="9" s="1"/>
  <c r="T2858" i="9"/>
  <c r="V2489" i="9" a="1"/>
  <c r="W2489" i="9" s="1"/>
  <c r="U2490" i="9"/>
  <c r="U2491" i="9"/>
  <c r="V2492" i="9" a="1"/>
  <c r="W2492" i="9" s="1"/>
  <c r="T2493" i="9"/>
  <c r="U2493" i="9"/>
  <c r="U2494" i="9"/>
  <c r="T2495" i="9"/>
  <c r="V2495" i="9" a="1"/>
  <c r="W2495" i="9" s="1"/>
  <c r="T2496" i="9"/>
  <c r="U2496" i="9"/>
  <c r="V2496" i="9" a="1"/>
  <c r="W2496" i="9" s="1"/>
  <c r="V2497" i="9" a="1"/>
  <c r="W2497" i="9" s="1"/>
  <c r="U2498" i="9"/>
  <c r="U2499" i="9"/>
  <c r="U2500" i="9"/>
  <c r="T2501" i="9"/>
  <c r="U2501" i="9"/>
  <c r="U2502" i="9"/>
  <c r="U2858" i="9"/>
  <c r="V2858" i="9" a="1"/>
  <c r="W2858" i="9" s="1"/>
  <c r="T2859" i="9"/>
  <c r="U2859" i="9"/>
  <c r="V2859" i="9" a="1"/>
  <c r="W2859" i="9" s="1"/>
  <c r="T2860" i="9"/>
  <c r="U2860" i="9"/>
  <c r="V2860" i="9" a="1"/>
  <c r="W2860" i="9" s="1"/>
  <c r="T2861" i="9"/>
  <c r="U2861" i="9"/>
  <c r="V2861" i="9" a="1"/>
  <c r="W2861" i="9" s="1"/>
  <c r="T2862" i="9"/>
  <c r="U2862" i="9"/>
  <c r="V2862" i="9" a="1"/>
  <c r="W2862" i="9" s="1"/>
  <c r="T2863" i="9"/>
  <c r="U2863" i="9"/>
  <c r="V2863" i="9" a="1"/>
  <c r="W2863" i="9" s="1"/>
  <c r="T2864" i="9"/>
  <c r="U2864" i="9"/>
  <c r="V2864" i="9" a="1"/>
  <c r="W2864" i="9" s="1"/>
  <c r="T2865" i="9"/>
  <c r="U2865" i="9"/>
  <c r="V2865" i="9" a="1"/>
  <c r="W2865" i="9" s="1"/>
  <c r="T2866" i="9"/>
  <c r="U2866" i="9"/>
  <c r="V2866" i="9" a="1"/>
  <c r="W2866" i="9" s="1"/>
  <c r="T2867" i="9"/>
  <c r="U2867" i="9"/>
  <c r="V2867" i="9" a="1"/>
  <c r="W2867" i="9" s="1"/>
  <c r="T2868" i="9"/>
  <c r="U2868" i="9"/>
  <c r="V2868" i="9" a="1"/>
  <c r="W2868" i="9" s="1"/>
  <c r="T2869" i="9"/>
  <c r="U2869" i="9"/>
  <c r="V2869" i="9" a="1"/>
  <c r="W2869" i="9" s="1"/>
  <c r="T2870" i="9"/>
  <c r="U2870" i="9"/>
  <c r="V2870" i="9" a="1"/>
  <c r="W2870" i="9" s="1"/>
  <c r="T2871" i="9"/>
  <c r="U2871" i="9"/>
  <c r="V2871" i="9" a="1"/>
  <c r="W2871" i="9" s="1"/>
  <c r="T2872" i="9"/>
  <c r="U2872" i="9"/>
  <c r="V2872" i="9" a="1"/>
  <c r="W2872" i="9" s="1"/>
  <c r="T2873" i="9"/>
  <c r="U2873" i="9"/>
  <c r="V2873" i="9" a="1"/>
  <c r="W2873" i="9" s="1"/>
  <c r="T2874" i="9"/>
  <c r="U2874" i="9"/>
  <c r="V2874" i="9" a="1"/>
  <c r="W2874" i="9" s="1"/>
  <c r="T2875" i="9"/>
  <c r="U2875" i="9"/>
  <c r="V2875" i="9" a="1"/>
  <c r="W2875" i="9" s="1"/>
  <c r="T2876" i="9"/>
  <c r="U2876" i="9"/>
  <c r="V2876" i="9" a="1"/>
  <c r="W2876" i="9" s="1"/>
  <c r="T2877" i="9"/>
  <c r="U2877" i="9"/>
  <c r="V2877" i="9" a="1"/>
  <c r="W2877" i="9" s="1"/>
  <c r="T2878" i="9"/>
  <c r="U2878" i="9"/>
  <c r="V2878" i="9" a="1"/>
  <c r="W2878" i="9" s="1"/>
  <c r="T2879" i="9"/>
  <c r="U2879" i="9"/>
  <c r="V2879" i="9" a="1"/>
  <c r="W2879" i="9" s="1"/>
  <c r="T2880" i="9"/>
  <c r="U2880" i="9"/>
  <c r="V2880" i="9" a="1"/>
  <c r="W2880" i="9" s="1"/>
  <c r="T2881" i="9"/>
  <c r="U2881" i="9"/>
  <c r="V2881" i="9" a="1"/>
  <c r="W2881" i="9" s="1"/>
  <c r="T2882" i="9"/>
  <c r="U2882" i="9"/>
  <c r="V2882" i="9" a="1"/>
  <c r="W2882" i="9" s="1"/>
  <c r="T2883" i="9"/>
  <c r="U2883" i="9"/>
  <c r="V2883" i="9" a="1"/>
  <c r="W2883" i="9" s="1"/>
  <c r="T2884" i="9"/>
  <c r="U2884" i="9"/>
  <c r="V2884" i="9" a="1"/>
  <c r="W2884" i="9" s="1"/>
  <c r="T2885" i="9"/>
  <c r="U2885" i="9"/>
  <c r="V2885" i="9" a="1"/>
  <c r="W2885" i="9" s="1"/>
  <c r="T2886" i="9"/>
  <c r="U2886" i="9"/>
  <c r="V2886" i="9" a="1"/>
  <c r="W2886" i="9" s="1"/>
  <c r="T2887" i="9"/>
  <c r="U2887" i="9"/>
  <c r="V2887" i="9" a="1"/>
  <c r="W2887" i="9" s="1"/>
  <c r="T2888" i="9"/>
  <c r="U2888" i="9"/>
  <c r="V2888" i="9" a="1"/>
  <c r="W2888" i="9" s="1"/>
  <c r="T2889" i="9"/>
  <c r="U2889" i="9"/>
  <c r="V2889" i="9" a="1"/>
  <c r="W2889" i="9" s="1"/>
  <c r="T2890" i="9"/>
  <c r="U2890" i="9"/>
  <c r="V2890" i="9" a="1"/>
  <c r="W2890" i="9" s="1"/>
  <c r="T2891" i="9"/>
  <c r="U2891" i="9"/>
  <c r="V2891" i="9" a="1"/>
  <c r="W2891" i="9" s="1"/>
  <c r="T2892" i="9"/>
  <c r="U2892" i="9"/>
  <c r="V2892" i="9" a="1"/>
  <c r="W2892" i="9" s="1"/>
  <c r="T2893" i="9"/>
  <c r="U2893" i="9"/>
  <c r="V2893" i="9" a="1"/>
  <c r="W2893" i="9" s="1"/>
  <c r="T2894" i="9"/>
  <c r="U2894" i="9"/>
  <c r="V2894" i="9" a="1"/>
  <c r="W2894" i="9" s="1"/>
  <c r="T2895" i="9"/>
  <c r="U2895" i="9"/>
  <c r="V2895" i="9" a="1"/>
  <c r="W2895" i="9" s="1"/>
  <c r="T2896" i="9"/>
  <c r="U2896" i="9"/>
  <c r="V2896" i="9" a="1"/>
  <c r="W2896" i="9" s="1"/>
  <c r="T2897" i="9"/>
  <c r="U2897" i="9"/>
  <c r="V2897" i="9" a="1"/>
  <c r="W2897" i="9" s="1"/>
  <c r="T2898" i="9"/>
  <c r="U2898" i="9"/>
  <c r="V2898" i="9" a="1"/>
  <c r="W2898" i="9" s="1"/>
  <c r="T2899" i="9"/>
  <c r="U2899" i="9"/>
  <c r="V2899" i="9" a="1"/>
  <c r="W2899" i="9" s="1"/>
  <c r="T2900" i="9"/>
  <c r="U2900" i="9"/>
  <c r="V2900" i="9" a="1"/>
  <c r="W2900" i="9" s="1"/>
  <c r="T2901" i="9"/>
  <c r="U2901" i="9"/>
  <c r="V2901" i="9" a="1"/>
  <c r="W2901" i="9" s="1"/>
  <c r="T2902" i="9"/>
  <c r="U2902" i="9"/>
  <c r="V2902" i="9" a="1"/>
  <c r="W2902" i="9" s="1"/>
  <c r="T2903" i="9"/>
  <c r="U2903" i="9"/>
  <c r="V2903" i="9" a="1"/>
  <c r="W2903" i="9" s="1"/>
  <c r="T2904" i="9"/>
  <c r="U2904" i="9"/>
  <c r="V2904" i="9" a="1"/>
  <c r="W2904" i="9" s="1"/>
  <c r="T2905" i="9"/>
  <c r="U2905" i="9"/>
  <c r="V2905" i="9" a="1"/>
  <c r="W2905" i="9" s="1"/>
  <c r="T2906" i="9"/>
  <c r="U2906" i="9"/>
  <c r="V2906" i="9" a="1"/>
  <c r="W2906" i="9" s="1"/>
  <c r="T2907" i="9"/>
  <c r="U2907" i="9"/>
  <c r="V2907" i="9" a="1"/>
  <c r="W2907" i="9" s="1"/>
  <c r="T2908" i="9"/>
  <c r="U2908" i="9"/>
  <c r="V2908" i="9" a="1"/>
  <c r="W2908" i="9" s="1"/>
  <c r="T2909" i="9"/>
  <c r="U2909" i="9"/>
  <c r="V2909" i="9" a="1"/>
  <c r="W2909" i="9" s="1"/>
  <c r="T2910" i="9"/>
  <c r="U2910" i="9"/>
  <c r="V2910" i="9" a="1"/>
  <c r="W2910" i="9" s="1"/>
  <c r="T2911" i="9"/>
  <c r="U2911" i="9"/>
  <c r="V2911" i="9" a="1"/>
  <c r="W2911" i="9" s="1"/>
  <c r="T2912" i="9"/>
  <c r="U2912" i="9"/>
  <c r="V2912" i="9" a="1"/>
  <c r="W2912" i="9" s="1"/>
  <c r="T2913" i="9"/>
  <c r="U2913" i="9"/>
  <c r="V2913" i="9" a="1"/>
  <c r="W2913" i="9" s="1"/>
  <c r="T2914" i="9"/>
  <c r="U2914" i="9"/>
  <c r="V2914" i="9" a="1"/>
  <c r="W2914" i="9" s="1"/>
  <c r="T2915" i="9"/>
  <c r="U2915" i="9"/>
  <c r="V2915" i="9" a="1"/>
  <c r="W2915" i="9" s="1"/>
  <c r="T2916" i="9"/>
  <c r="U2916" i="9"/>
  <c r="V2916" i="9" a="1"/>
  <c r="W2916" i="9" s="1"/>
  <c r="T2917" i="9"/>
  <c r="U2917" i="9"/>
  <c r="V2917" i="9" a="1"/>
  <c r="W2917" i="9" s="1"/>
  <c r="T2918" i="9"/>
  <c r="U2918" i="9"/>
  <c r="V2918" i="9" a="1"/>
  <c r="W2918" i="9" s="1"/>
  <c r="T2919" i="9"/>
  <c r="U2919" i="9"/>
  <c r="V2919" i="9" a="1"/>
  <c r="W2919" i="9" s="1"/>
  <c r="T2920" i="9"/>
  <c r="U2920" i="9"/>
  <c r="V2920" i="9" a="1"/>
  <c r="W2920" i="9" s="1"/>
  <c r="T2921" i="9"/>
  <c r="U2921" i="9"/>
  <c r="V2921" i="9" a="1"/>
  <c r="W2921" i="9" s="1"/>
  <c r="T2922" i="9"/>
  <c r="U2922" i="9"/>
  <c r="V2922" i="9" a="1"/>
  <c r="W2922" i="9" s="1"/>
  <c r="T2923" i="9"/>
  <c r="U2923" i="9"/>
  <c r="V2923" i="9" a="1"/>
  <c r="W2923" i="9" s="1"/>
  <c r="T2924" i="9"/>
  <c r="U2924" i="9"/>
  <c r="V2924" i="9" a="1"/>
  <c r="W2924" i="9" s="1"/>
  <c r="T2925" i="9"/>
  <c r="U2925" i="9"/>
  <c r="V2925" i="9" a="1"/>
  <c r="W2925" i="9" s="1"/>
  <c r="T2926" i="9"/>
  <c r="U2926" i="9"/>
  <c r="V2926" i="9" a="1"/>
  <c r="W2926" i="9" s="1"/>
  <c r="T2927" i="9"/>
  <c r="U2927" i="9"/>
  <c r="V2927" i="9" a="1"/>
  <c r="W2927" i="9" s="1"/>
  <c r="T2928" i="9"/>
  <c r="U2928" i="9"/>
  <c r="V2928" i="9" a="1"/>
  <c r="W2928" i="9" s="1"/>
  <c r="T2929" i="9"/>
  <c r="U2929" i="9"/>
  <c r="V2929" i="9" a="1"/>
  <c r="W2929" i="9" s="1"/>
  <c r="T2930" i="9"/>
  <c r="U2930" i="9"/>
  <c r="V2930" i="9" a="1"/>
  <c r="W2930" i="9" s="1"/>
  <c r="T2931" i="9"/>
  <c r="U2931" i="9"/>
  <c r="V2931" i="9" a="1"/>
  <c r="W2931" i="9" s="1"/>
  <c r="T2932" i="9"/>
  <c r="U2932" i="9"/>
  <c r="V2932" i="9" a="1"/>
  <c r="W2932" i="9" s="1"/>
  <c r="T2933" i="9"/>
  <c r="U2933" i="9"/>
  <c r="V2933" i="9" a="1"/>
  <c r="W2933" i="9" s="1"/>
  <c r="T2934" i="9"/>
  <c r="U2934" i="9"/>
  <c r="V2934" i="9" a="1"/>
  <c r="W2934" i="9" s="1"/>
  <c r="T2935" i="9"/>
  <c r="U2935" i="9"/>
  <c r="V2935" i="9" a="1"/>
  <c r="W2935" i="9" s="1"/>
  <c r="T2936" i="9"/>
  <c r="U2936" i="9"/>
  <c r="V2936" i="9" a="1"/>
  <c r="W2936" i="9" s="1"/>
  <c r="T2937" i="9"/>
  <c r="U2937" i="9"/>
  <c r="V2937" i="9" a="1"/>
  <c r="W2937" i="9" s="1"/>
  <c r="T2938" i="9"/>
  <c r="U2938" i="9"/>
  <c r="V2938" i="9" a="1"/>
  <c r="W2938" i="9" s="1"/>
  <c r="T2939" i="9"/>
  <c r="U2939" i="9"/>
  <c r="V2939" i="9" a="1"/>
  <c r="W2939" i="9" s="1"/>
  <c r="T2940" i="9"/>
  <c r="U2940" i="9"/>
  <c r="V2940" i="9" a="1"/>
  <c r="W2940" i="9" s="1"/>
  <c r="T2941" i="9"/>
  <c r="U2941" i="9"/>
  <c r="V2941" i="9" a="1"/>
  <c r="W2941" i="9" s="1"/>
  <c r="T2942" i="9"/>
  <c r="U2942" i="9"/>
  <c r="V2942" i="9" a="1"/>
  <c r="W2942" i="9" s="1"/>
  <c r="T2943" i="9"/>
  <c r="U2943" i="9"/>
  <c r="V2943" i="9" a="1"/>
  <c r="W2943" i="9" s="1"/>
  <c r="T2944" i="9"/>
  <c r="U2944" i="9"/>
  <c r="V2944" i="9" a="1"/>
  <c r="W2944" i="9" s="1"/>
  <c r="T2945" i="9"/>
  <c r="U2945" i="9"/>
  <c r="V2945" i="9" a="1"/>
  <c r="W2945" i="9" s="1"/>
  <c r="T2946" i="9"/>
  <c r="U2946" i="9"/>
  <c r="V2946" i="9" a="1"/>
  <c r="W2946" i="9" s="1"/>
  <c r="T2947" i="9"/>
  <c r="U2947" i="9"/>
  <c r="V2947" i="9" a="1"/>
  <c r="W2947" i="9" s="1"/>
  <c r="T2948" i="9"/>
  <c r="U2948" i="9"/>
  <c r="V2948" i="9" a="1"/>
  <c r="W2948" i="9" s="1"/>
  <c r="T2949" i="9"/>
  <c r="U2949" i="9"/>
  <c r="V2949" i="9" a="1"/>
  <c r="W2949" i="9" s="1"/>
  <c r="T2950" i="9"/>
  <c r="U2950" i="9"/>
  <c r="V2950" i="9" a="1"/>
  <c r="W2950" i="9" s="1"/>
  <c r="T2951" i="9"/>
  <c r="U2951" i="9"/>
  <c r="V2951" i="9" a="1"/>
  <c r="W2951" i="9" s="1"/>
  <c r="T2952" i="9"/>
  <c r="U2952" i="9"/>
  <c r="V2952" i="9" a="1"/>
  <c r="W2952" i="9" s="1"/>
  <c r="T2953" i="9"/>
  <c r="U2953" i="9"/>
  <c r="V2953" i="9" a="1"/>
  <c r="W2953" i="9" s="1"/>
  <c r="T2954" i="9"/>
  <c r="U2954" i="9"/>
  <c r="V2954" i="9" a="1"/>
  <c r="W2954" i="9" s="1"/>
  <c r="T2955" i="9"/>
  <c r="U2955" i="9"/>
  <c r="V2955" i="9" a="1"/>
  <c r="W2955" i="9" s="1"/>
  <c r="T2956" i="9"/>
  <c r="U2956" i="9"/>
  <c r="V2956" i="9" a="1"/>
  <c r="W2956" i="9" s="1"/>
  <c r="T2957" i="9"/>
  <c r="U2957" i="9"/>
  <c r="V2957" i="9" a="1"/>
  <c r="W2957" i="9" s="1"/>
  <c r="T2958" i="9"/>
  <c r="U2958" i="9"/>
  <c r="V2958" i="9" a="1"/>
  <c r="W2958" i="9" s="1"/>
  <c r="T2959" i="9"/>
  <c r="U2959" i="9"/>
  <c r="V2959" i="9" a="1"/>
  <c r="W2959" i="9" s="1"/>
  <c r="T2960" i="9"/>
  <c r="U2960" i="9"/>
  <c r="V2960" i="9" a="1"/>
  <c r="W2960" i="9" s="1"/>
  <c r="T2961" i="9"/>
  <c r="U2961" i="9"/>
  <c r="V2961" i="9" a="1"/>
  <c r="W2961" i="9" s="1"/>
  <c r="T2962" i="9"/>
  <c r="U2962" i="9"/>
  <c r="V2962" i="9" a="1"/>
  <c r="W2962" i="9" s="1"/>
  <c r="T2963" i="9"/>
  <c r="U2963" i="9"/>
  <c r="V2963" i="9" a="1"/>
  <c r="W2963" i="9" s="1"/>
  <c r="T2964" i="9"/>
  <c r="U2964" i="9"/>
  <c r="V2964" i="9" a="1"/>
  <c r="W2964" i="9" s="1"/>
  <c r="T2965" i="9"/>
  <c r="U2965" i="9"/>
  <c r="V2965" i="9" a="1"/>
  <c r="W2965" i="9" s="1"/>
  <c r="T2966" i="9"/>
  <c r="U2966" i="9"/>
  <c r="V2966" i="9" a="1"/>
  <c r="W2966" i="9" s="1"/>
  <c r="T2967" i="9"/>
  <c r="U2967" i="9"/>
  <c r="V2967" i="9" a="1"/>
  <c r="W2967" i="9" s="1"/>
  <c r="T2968" i="9"/>
  <c r="U2968" i="9"/>
  <c r="V2968" i="9" a="1"/>
  <c r="W2968" i="9" s="1"/>
  <c r="T2969" i="9"/>
  <c r="U2969" i="9"/>
  <c r="V2969" i="9" a="1"/>
  <c r="W2969" i="9" s="1"/>
  <c r="T2970" i="9"/>
  <c r="U2970" i="9"/>
  <c r="V2970" i="9" a="1"/>
  <c r="W2970" i="9" s="1"/>
  <c r="T2971" i="9"/>
  <c r="U2971" i="9"/>
  <c r="V2971" i="9" a="1"/>
  <c r="W2971" i="9" s="1"/>
  <c r="T2972" i="9"/>
  <c r="U2972" i="9"/>
  <c r="V2972" i="9" a="1"/>
  <c r="W2972" i="9" s="1"/>
  <c r="T2973" i="9"/>
  <c r="U2973" i="9"/>
  <c r="V2973" i="9" a="1"/>
  <c r="W2973" i="9" s="1"/>
  <c r="T2974" i="9"/>
  <c r="U2974" i="9"/>
  <c r="V2974" i="9" a="1"/>
  <c r="W2974" i="9" s="1"/>
  <c r="T2975" i="9"/>
  <c r="U2975" i="9"/>
  <c r="V2975" i="9" a="1"/>
  <c r="W2975" i="9" s="1"/>
  <c r="T2976" i="9"/>
  <c r="U2976" i="9"/>
  <c r="V2976" i="9" a="1"/>
  <c r="W2976" i="9" s="1"/>
  <c r="T2977" i="9"/>
  <c r="U2977" i="9"/>
  <c r="V2977" i="9" a="1"/>
  <c r="W2977" i="9" s="1"/>
  <c r="T2978" i="9"/>
  <c r="U2978" i="9"/>
  <c r="V2978" i="9" a="1"/>
  <c r="W2978" i="9" s="1"/>
  <c r="T2979" i="9"/>
  <c r="U2979" i="9"/>
  <c r="V2979" i="9" a="1"/>
  <c r="W2979" i="9" s="1"/>
  <c r="T2980" i="9"/>
  <c r="U2980" i="9"/>
  <c r="V2980" i="9" a="1"/>
  <c r="W2980" i="9" s="1"/>
  <c r="T2981" i="9"/>
  <c r="U2981" i="9"/>
  <c r="V2981" i="9" a="1"/>
  <c r="W2981" i="9" s="1"/>
  <c r="T2982" i="9"/>
  <c r="U2982" i="9"/>
  <c r="V2982" i="9" a="1"/>
  <c r="W2982" i="9" s="1"/>
  <c r="T2983" i="9"/>
  <c r="U2983" i="9"/>
  <c r="V2983" i="9" a="1"/>
  <c r="W2983" i="9" s="1"/>
  <c r="T2984" i="9"/>
  <c r="U2984" i="9"/>
  <c r="V2984" i="9" a="1"/>
  <c r="W2984" i="9" s="1"/>
  <c r="T2985" i="9"/>
  <c r="U2985" i="9"/>
  <c r="V2985" i="9" a="1"/>
  <c r="W2985" i="9" s="1"/>
  <c r="T2986" i="9"/>
  <c r="U2986" i="9"/>
  <c r="V2986" i="9" a="1"/>
  <c r="W2986" i="9" s="1"/>
  <c r="T2987" i="9"/>
  <c r="U2987" i="9"/>
  <c r="V2987" i="9" a="1"/>
  <c r="W2987" i="9" s="1"/>
  <c r="T2988" i="9"/>
  <c r="U2988" i="9"/>
  <c r="V2988" i="9" a="1"/>
  <c r="W2988" i="9" s="1"/>
  <c r="T2989" i="9"/>
  <c r="U2989" i="9"/>
  <c r="V2989" i="9" a="1"/>
  <c r="W2989" i="9" s="1"/>
  <c r="T2990" i="9"/>
  <c r="U2990" i="9"/>
  <c r="V2990" i="9" a="1"/>
  <c r="W2990" i="9" s="1"/>
  <c r="T2991" i="9"/>
  <c r="U2991" i="9"/>
  <c r="V2991" i="9" a="1"/>
  <c r="W2991" i="9" s="1"/>
  <c r="T2992" i="9"/>
  <c r="U2992" i="9"/>
  <c r="V2992" i="9" a="1"/>
  <c r="W2992" i="9" s="1"/>
  <c r="T2993" i="9"/>
  <c r="U2993" i="9"/>
  <c r="V2993" i="9" a="1"/>
  <c r="W2993" i="9" s="1"/>
  <c r="T2994" i="9"/>
  <c r="U2994" i="9"/>
  <c r="V2994" i="9" a="1"/>
  <c r="W2994" i="9" s="1"/>
  <c r="T2995" i="9"/>
  <c r="U2995" i="9"/>
  <c r="V2995" i="9" a="1"/>
  <c r="W2995" i="9" s="1"/>
  <c r="T2996" i="9"/>
  <c r="U2996" i="9"/>
  <c r="V2996" i="9" a="1"/>
  <c r="W2996" i="9" s="1"/>
  <c r="T2997" i="9"/>
  <c r="U2997" i="9"/>
  <c r="V2997" i="9" a="1"/>
  <c r="W2997" i="9" s="1"/>
  <c r="T2998" i="9"/>
  <c r="U2998" i="9"/>
  <c r="V2998" i="9" a="1"/>
  <c r="W2998" i="9" s="1"/>
  <c r="T2999" i="9"/>
  <c r="U2999" i="9"/>
  <c r="V2999" i="9" a="1"/>
  <c r="W2999" i="9" s="1"/>
  <c r="T3000" i="9"/>
  <c r="U3000" i="9"/>
  <c r="V3000" i="9" a="1"/>
  <c r="W3000" i="9" s="1"/>
  <c r="T3001" i="9"/>
  <c r="U3001" i="9"/>
  <c r="V3001" i="9" a="1"/>
  <c r="W3001" i="9" s="1"/>
  <c r="T3002" i="9"/>
  <c r="U3002" i="9"/>
  <c r="V3002" i="9" a="1"/>
  <c r="W3002" i="9" s="1"/>
  <c r="T3003" i="9"/>
  <c r="U3003" i="9"/>
  <c r="V3003" i="9" a="1"/>
  <c r="W3003" i="9" s="1"/>
  <c r="T3004" i="9"/>
  <c r="U3004" i="9"/>
  <c r="V3004" i="9" a="1"/>
  <c r="W3004" i="9" s="1"/>
  <c r="T3005" i="9"/>
  <c r="U3005" i="9"/>
  <c r="V3005" i="9" a="1"/>
  <c r="W3005" i="9" s="1"/>
  <c r="T3006" i="9"/>
  <c r="U3006" i="9"/>
  <c r="V3006" i="9" a="1"/>
  <c r="W3006" i="9" s="1"/>
  <c r="T3007" i="9"/>
  <c r="U3007" i="9"/>
  <c r="V3007" i="9" a="1"/>
  <c r="W3007" i="9" s="1"/>
  <c r="T3008" i="9"/>
  <c r="U3008" i="9"/>
  <c r="V3008" i="9" a="1"/>
  <c r="W3008" i="9" s="1"/>
  <c r="T3009" i="9"/>
  <c r="U3009" i="9"/>
  <c r="V3009" i="9" a="1"/>
  <c r="W3009" i="9" s="1"/>
  <c r="T3010" i="9"/>
  <c r="U3010" i="9"/>
  <c r="V3010" i="9" a="1"/>
  <c r="W3010" i="9" s="1"/>
  <c r="T3011" i="9"/>
  <c r="U3011" i="9"/>
  <c r="V3011" i="9" a="1"/>
  <c r="W3011" i="9" s="1"/>
  <c r="T3012" i="9"/>
  <c r="U3012" i="9"/>
  <c r="V3012" i="9" a="1"/>
  <c r="W3012" i="9" s="1"/>
  <c r="T3013" i="9"/>
  <c r="U3013" i="9"/>
  <c r="V3013" i="9" a="1"/>
  <c r="W3013" i="9" s="1"/>
  <c r="T3014" i="9"/>
  <c r="U3014" i="9"/>
  <c r="V3014" i="9" a="1"/>
  <c r="W3014" i="9" s="1"/>
  <c r="T3015" i="9"/>
  <c r="U3015" i="9"/>
  <c r="V3015" i="9" a="1"/>
  <c r="W3015" i="9" s="1"/>
  <c r="T3016" i="9"/>
  <c r="U3016" i="9"/>
  <c r="V3016" i="9" a="1"/>
  <c r="W3016" i="9" s="1"/>
  <c r="T3017" i="9"/>
  <c r="U3017" i="9"/>
  <c r="V3017" i="9" a="1"/>
  <c r="W3017" i="9" s="1"/>
  <c r="T3018" i="9"/>
  <c r="U3018" i="9"/>
  <c r="V3018" i="9" a="1"/>
  <c r="W3018" i="9" s="1"/>
  <c r="T3019" i="9"/>
  <c r="U3019" i="9"/>
  <c r="V3019" i="9" a="1"/>
  <c r="W3019" i="9" s="1"/>
  <c r="T3020" i="9"/>
  <c r="U3020" i="9"/>
  <c r="V3020" i="9" a="1"/>
  <c r="W3020" i="9" s="1"/>
  <c r="T3021" i="9"/>
  <c r="U3021" i="9"/>
  <c r="V3021" i="9" a="1"/>
  <c r="W3021" i="9" s="1"/>
  <c r="T3022" i="9"/>
  <c r="U3022" i="9"/>
  <c r="V3022" i="9" a="1"/>
  <c r="W3022" i="9" s="1"/>
  <c r="T3023" i="9"/>
  <c r="U3023" i="9"/>
  <c r="V3023" i="9" a="1"/>
  <c r="W3023" i="9" s="1"/>
  <c r="T3024" i="9"/>
  <c r="U3024" i="9"/>
  <c r="V3024" i="9" a="1"/>
  <c r="W3024" i="9" s="1"/>
  <c r="T3025" i="9"/>
  <c r="U3025" i="9"/>
  <c r="V3025" i="9" a="1"/>
  <c r="W3025" i="9" s="1"/>
  <c r="T3026" i="9"/>
  <c r="U3026" i="9"/>
  <c r="V3026" i="9" a="1"/>
  <c r="W3026" i="9" s="1"/>
  <c r="T3027" i="9"/>
  <c r="U3027" i="9"/>
  <c r="V3027" i="9" a="1"/>
  <c r="W3027" i="9" s="1"/>
  <c r="T3028" i="9"/>
  <c r="U3028" i="9"/>
  <c r="V3028" i="9" a="1"/>
  <c r="W3028" i="9" s="1"/>
  <c r="T3029" i="9"/>
  <c r="U3029" i="9"/>
  <c r="V3029" i="9" a="1"/>
  <c r="W3029" i="9" s="1"/>
  <c r="T3030" i="9"/>
  <c r="U3030" i="9"/>
  <c r="V3030" i="9" a="1"/>
  <c r="W3030" i="9" s="1"/>
  <c r="T3031" i="9"/>
  <c r="U3031" i="9"/>
  <c r="V3031" i="9" a="1"/>
  <c r="W3031" i="9" s="1"/>
  <c r="T3032" i="9"/>
  <c r="U3032" i="9"/>
  <c r="V3032" i="9" a="1"/>
  <c r="W3032" i="9" s="1"/>
  <c r="T3033" i="9"/>
  <c r="U3033" i="9"/>
  <c r="V3033" i="9" a="1"/>
  <c r="W3033" i="9" s="1"/>
  <c r="T3034" i="9"/>
  <c r="U3034" i="9"/>
  <c r="V3034" i="9" a="1"/>
  <c r="W3034" i="9" s="1"/>
  <c r="T3035" i="9"/>
  <c r="U3035" i="9"/>
  <c r="V3035" i="9" a="1"/>
  <c r="W3035" i="9" s="1"/>
  <c r="T3036" i="9"/>
  <c r="U3036" i="9"/>
  <c r="V3036" i="9" a="1"/>
  <c r="W3036" i="9" s="1"/>
  <c r="T3037" i="9"/>
  <c r="U3037" i="9"/>
  <c r="V3037" i="9" a="1"/>
  <c r="W3037" i="9" s="1"/>
  <c r="T3038" i="9"/>
  <c r="U3038" i="9"/>
  <c r="V3038" i="9" a="1"/>
  <c r="W3038" i="9" s="1"/>
  <c r="T3039" i="9"/>
  <c r="U3039" i="9"/>
  <c r="V3039" i="9" a="1"/>
  <c r="W3039" i="9" s="1"/>
  <c r="T3040" i="9"/>
  <c r="U3040" i="9"/>
  <c r="V3040" i="9" a="1"/>
  <c r="W3040" i="9" s="1"/>
  <c r="T3041" i="9"/>
  <c r="U3041" i="9"/>
  <c r="V3041" i="9" a="1"/>
  <c r="W3041" i="9" s="1"/>
  <c r="T3042" i="9"/>
  <c r="U3042" i="9"/>
  <c r="V3042" i="9" a="1"/>
  <c r="W3042" i="9" s="1"/>
  <c r="T3043" i="9"/>
  <c r="U3043" i="9"/>
  <c r="V3043" i="9" a="1"/>
  <c r="W3043" i="9" s="1"/>
  <c r="T3044" i="9"/>
  <c r="U3044" i="9"/>
  <c r="V3044" i="9" a="1"/>
  <c r="W3044" i="9" s="1"/>
  <c r="T3045" i="9"/>
  <c r="U3045" i="9"/>
  <c r="V3045" i="9" a="1"/>
  <c r="W3045" i="9" s="1"/>
  <c r="T3046" i="9"/>
  <c r="U3046" i="9"/>
  <c r="V3046" i="9" a="1"/>
  <c r="W3046" i="9" s="1"/>
  <c r="T3047" i="9"/>
  <c r="U3047" i="9"/>
  <c r="V3047" i="9" a="1"/>
  <c r="W3047" i="9" s="1"/>
  <c r="T3048" i="9"/>
  <c r="U3048" i="9"/>
  <c r="V3048" i="9" a="1"/>
  <c r="W3048" i="9" s="1"/>
  <c r="T3049" i="9"/>
  <c r="U3049" i="9"/>
  <c r="V3049" i="9" a="1"/>
  <c r="W3049" i="9" s="1"/>
  <c r="T3050" i="9"/>
  <c r="U3050" i="9"/>
  <c r="V3050" i="9" a="1"/>
  <c r="W3050" i="9" s="1"/>
  <c r="T3051" i="9"/>
  <c r="U3051" i="9"/>
  <c r="V3051" i="9" a="1"/>
  <c r="W3051" i="9" s="1"/>
  <c r="T3052" i="9"/>
  <c r="U3052" i="9"/>
  <c r="V3052" i="9" a="1"/>
  <c r="W3052" i="9" s="1"/>
  <c r="T3053" i="9"/>
  <c r="U3053" i="9"/>
  <c r="V3053" i="9" a="1"/>
  <c r="W3053" i="9" s="1"/>
  <c r="T3054" i="9"/>
  <c r="U3054" i="9"/>
  <c r="V3054" i="9" a="1"/>
  <c r="W3054" i="9" s="1"/>
  <c r="T3055" i="9"/>
  <c r="U3055" i="9"/>
  <c r="V3055" i="9" a="1"/>
  <c r="W3055" i="9" s="1"/>
  <c r="T3056" i="9"/>
  <c r="U3056" i="9"/>
  <c r="V3056" i="9" a="1"/>
  <c r="W3056" i="9" s="1"/>
  <c r="T3057" i="9"/>
  <c r="U3057" i="9"/>
  <c r="V3057" i="9" a="1"/>
  <c r="W3057" i="9" s="1"/>
  <c r="T3058" i="9"/>
  <c r="U3058" i="9"/>
  <c r="V3058" i="9" a="1"/>
  <c r="W3058" i="9" s="1"/>
  <c r="T3059" i="9"/>
  <c r="U3059" i="9"/>
  <c r="V3059" i="9" a="1"/>
  <c r="W3059" i="9" s="1"/>
  <c r="T3060" i="9"/>
  <c r="U3060" i="9"/>
  <c r="V3060" i="9" a="1"/>
  <c r="W3060" i="9" s="1"/>
  <c r="T3061" i="9"/>
  <c r="U3061" i="9"/>
  <c r="V3061" i="9" a="1"/>
  <c r="W3061" i="9" s="1"/>
  <c r="T3062" i="9"/>
  <c r="U3062" i="9"/>
  <c r="V3062" i="9" a="1"/>
  <c r="W3062" i="9" s="1"/>
  <c r="T3063" i="9"/>
  <c r="U3063" i="9"/>
  <c r="V3063" i="9" a="1"/>
  <c r="W3063" i="9" s="1"/>
  <c r="T3064" i="9"/>
  <c r="U3064" i="9"/>
  <c r="V3064" i="9" a="1"/>
  <c r="W3064" i="9" s="1"/>
  <c r="T3065" i="9"/>
  <c r="U3065" i="9"/>
  <c r="V3065" i="9" a="1"/>
  <c r="W3065" i="9" s="1"/>
  <c r="T3066" i="9"/>
  <c r="U3066" i="9"/>
  <c r="V3066" i="9" a="1"/>
  <c r="W3066" i="9" s="1"/>
  <c r="T3067" i="9"/>
  <c r="U3067" i="9"/>
  <c r="V3067" i="9" a="1"/>
  <c r="W3067" i="9" s="1"/>
  <c r="T3068" i="9"/>
  <c r="U3068" i="9"/>
  <c r="V3068" i="9" a="1"/>
  <c r="W3068" i="9" s="1"/>
  <c r="T3069" i="9"/>
  <c r="U3069" i="9"/>
  <c r="V3069" i="9" a="1"/>
  <c r="W3069" i="9" s="1"/>
  <c r="T3070" i="9"/>
  <c r="U3070" i="9"/>
  <c r="V3070" i="9" a="1"/>
  <c r="W3070" i="9" s="1"/>
  <c r="T3071" i="9"/>
  <c r="U3071" i="9"/>
  <c r="V3071" i="9" a="1"/>
  <c r="W3071" i="9" s="1"/>
  <c r="T3072" i="9"/>
  <c r="U3072" i="9"/>
  <c r="V3072" i="9" a="1"/>
  <c r="W3072" i="9" s="1"/>
  <c r="T3073" i="9"/>
  <c r="U3073" i="9"/>
  <c r="V3073" i="9" a="1"/>
  <c r="W3073" i="9" s="1"/>
  <c r="T3074" i="9"/>
  <c r="U3074" i="9"/>
  <c r="V3074" i="9" a="1"/>
  <c r="W3074" i="9" s="1"/>
  <c r="T3075" i="9"/>
  <c r="U3075" i="9"/>
  <c r="V3075" i="9" a="1"/>
  <c r="W3075" i="9" s="1"/>
  <c r="T3076" i="9"/>
  <c r="U3076" i="9"/>
  <c r="V3076" i="9" a="1"/>
  <c r="W3076" i="9" s="1"/>
  <c r="T3077" i="9"/>
  <c r="U3077" i="9"/>
  <c r="V3077" i="9" a="1"/>
  <c r="W3077" i="9" s="1"/>
  <c r="T3078" i="9"/>
  <c r="U3078" i="9"/>
  <c r="V3078" i="9" a="1"/>
  <c r="W3078" i="9" s="1"/>
  <c r="T3079" i="9"/>
  <c r="U3079" i="9"/>
  <c r="V3079" i="9" a="1"/>
  <c r="W3079" i="9" s="1"/>
  <c r="T3080" i="9"/>
  <c r="U3080" i="9"/>
  <c r="V3080" i="9" a="1"/>
  <c r="W3080" i="9" s="1"/>
  <c r="T3081" i="9"/>
  <c r="U3081" i="9"/>
  <c r="V3081" i="9" a="1"/>
  <c r="W3081" i="9" s="1"/>
  <c r="T3082" i="9"/>
  <c r="U3082" i="9"/>
  <c r="V3082" i="9" a="1"/>
  <c r="W3082" i="9" s="1"/>
  <c r="T3083" i="9"/>
  <c r="U3083" i="9"/>
  <c r="V3083" i="9" a="1"/>
  <c r="W3083" i="9" s="1"/>
  <c r="T3084" i="9"/>
  <c r="U3084" i="9"/>
  <c r="V3084" i="9" a="1"/>
  <c r="W3084" i="9" s="1"/>
  <c r="T3085" i="9"/>
  <c r="U3085" i="9"/>
  <c r="V3085" i="9" a="1"/>
  <c r="W3085" i="9" s="1"/>
  <c r="T3086" i="9"/>
  <c r="U3086" i="9"/>
  <c r="V3086" i="9" a="1"/>
  <c r="W3086" i="9" s="1"/>
  <c r="T3087" i="9"/>
  <c r="U3087" i="9"/>
  <c r="V3087" i="9" a="1"/>
  <c r="W3087" i="9" s="1"/>
  <c r="T3088" i="9"/>
  <c r="U3088" i="9"/>
  <c r="V3088" i="9" a="1"/>
  <c r="W3088" i="9" s="1"/>
  <c r="T3089" i="9"/>
  <c r="U3089" i="9"/>
  <c r="V3089" i="9" a="1"/>
  <c r="W3089" i="9" s="1"/>
  <c r="T3090" i="9"/>
  <c r="U3090" i="9"/>
  <c r="V3090" i="9" a="1"/>
  <c r="W3090" i="9" s="1"/>
  <c r="T3091" i="9"/>
  <c r="U3091" i="9"/>
  <c r="V3091" i="9" a="1"/>
  <c r="W3091" i="9" s="1"/>
  <c r="T3092" i="9"/>
  <c r="U3092" i="9"/>
  <c r="V3092" i="9" a="1"/>
  <c r="W3092" i="9" s="1"/>
  <c r="T3093" i="9"/>
  <c r="U3093" i="9"/>
  <c r="V3093" i="9" a="1"/>
  <c r="W3093" i="9" s="1"/>
  <c r="T3094" i="9"/>
  <c r="U3094" i="9"/>
  <c r="V3094" i="9" a="1"/>
  <c r="W3094" i="9" s="1"/>
  <c r="T3095" i="9"/>
  <c r="U3095" i="9"/>
  <c r="V3095" i="9" a="1"/>
  <c r="W3095" i="9" s="1"/>
  <c r="T3096" i="9"/>
  <c r="U3096" i="9"/>
  <c r="V3096" i="9" a="1"/>
  <c r="W3096" i="9" s="1"/>
  <c r="T3097" i="9"/>
  <c r="U3097" i="9"/>
  <c r="V3097" i="9" a="1"/>
  <c r="W3097" i="9" s="1"/>
  <c r="T3098" i="9"/>
  <c r="U3098" i="9"/>
  <c r="V3098" i="9" a="1"/>
  <c r="W3098" i="9" s="1"/>
  <c r="T3099" i="9"/>
  <c r="U3099" i="9"/>
  <c r="V3099" i="9" a="1"/>
  <c r="W3099" i="9" s="1"/>
  <c r="T3100" i="9"/>
  <c r="U3100" i="9"/>
  <c r="V3100" i="9" a="1"/>
  <c r="W3100" i="9" s="1"/>
  <c r="T3101" i="9"/>
  <c r="U3101" i="9"/>
  <c r="V3101" i="9" a="1"/>
  <c r="W3101" i="9" s="1"/>
  <c r="T3102" i="9"/>
  <c r="U3102" i="9"/>
  <c r="V3102" i="9" a="1"/>
  <c r="W3102" i="9" s="1"/>
  <c r="T3103" i="9"/>
  <c r="U3103" i="9"/>
  <c r="V3103" i="9" a="1"/>
  <c r="W3103" i="9" s="1"/>
  <c r="T3104" i="9"/>
  <c r="U3104" i="9"/>
  <c r="V3104" i="9" a="1"/>
  <c r="W3104" i="9" s="1"/>
  <c r="T3105" i="9"/>
  <c r="U3105" i="9"/>
  <c r="V3105" i="9" a="1"/>
  <c r="W3105" i="9" s="1"/>
  <c r="T3106" i="9"/>
  <c r="U3106" i="9"/>
  <c r="V3106" i="9" a="1"/>
  <c r="W3106" i="9" s="1"/>
  <c r="T3107" i="9"/>
  <c r="U3107" i="9"/>
  <c r="V3107" i="9" a="1"/>
  <c r="W3107" i="9" s="1"/>
  <c r="T3108" i="9"/>
  <c r="U3108" i="9"/>
  <c r="V3108" i="9" a="1"/>
  <c r="W3108" i="9" s="1"/>
  <c r="T3109" i="9"/>
  <c r="U3109" i="9"/>
  <c r="V3109" i="9" a="1"/>
  <c r="W3109" i="9" s="1"/>
  <c r="T3110" i="9"/>
  <c r="U3110" i="9"/>
  <c r="V3110" i="9" a="1"/>
  <c r="W3110" i="9" s="1"/>
  <c r="T3111" i="9"/>
  <c r="U3111" i="9"/>
  <c r="V3111" i="9" a="1"/>
  <c r="W3111" i="9" s="1"/>
  <c r="T3112" i="9"/>
  <c r="U3112" i="9"/>
  <c r="V3112" i="9" a="1"/>
  <c r="W3112" i="9" s="1"/>
  <c r="T3113" i="9"/>
  <c r="U3113" i="9"/>
  <c r="V3113" i="9" a="1"/>
  <c r="W3113" i="9" s="1"/>
  <c r="T3114" i="9"/>
  <c r="U3114" i="9"/>
  <c r="V3114" i="9" a="1"/>
  <c r="W3114" i="9" s="1"/>
  <c r="T3115" i="9"/>
  <c r="U3115" i="9"/>
  <c r="V3115" i="9" a="1"/>
  <c r="W3115" i="9" s="1"/>
  <c r="T3116" i="9"/>
  <c r="U3116" i="9"/>
  <c r="V3116" i="9" a="1"/>
  <c r="W3116" i="9" s="1"/>
  <c r="T3117" i="9"/>
  <c r="U3117" i="9"/>
  <c r="V3117" i="9" a="1"/>
  <c r="W3117" i="9" s="1"/>
  <c r="T3118" i="9"/>
  <c r="U3118" i="9"/>
  <c r="V3118" i="9" a="1"/>
  <c r="W3118" i="9" s="1"/>
  <c r="T3119" i="9"/>
  <c r="U3119" i="9"/>
  <c r="V3119" i="9" a="1"/>
  <c r="W3119" i="9" s="1"/>
  <c r="T3120" i="9"/>
  <c r="U3120" i="9"/>
  <c r="V3120" i="9" a="1"/>
  <c r="W3120" i="9" s="1"/>
  <c r="T3121" i="9"/>
  <c r="U3121" i="9"/>
  <c r="V3121" i="9" a="1"/>
  <c r="W3121" i="9" s="1"/>
  <c r="T3122" i="9"/>
  <c r="U3122" i="9"/>
  <c r="V3122" i="9" a="1"/>
  <c r="W3122" i="9" s="1"/>
  <c r="T3123" i="9"/>
  <c r="U3123" i="9"/>
  <c r="V3123" i="9" a="1"/>
  <c r="W3123" i="9" s="1"/>
  <c r="T3124" i="9"/>
  <c r="U3124" i="9"/>
  <c r="V3124" i="9" a="1"/>
  <c r="W3124" i="9" s="1"/>
  <c r="T3125" i="9"/>
  <c r="U3125" i="9"/>
  <c r="V3125" i="9" a="1"/>
  <c r="W3125" i="9" s="1"/>
  <c r="T3126" i="9"/>
  <c r="U3126" i="9"/>
  <c r="V3126" i="9" a="1"/>
  <c r="W3126" i="9" s="1"/>
  <c r="T3127" i="9"/>
  <c r="U3127" i="9"/>
  <c r="V3127" i="9" a="1"/>
  <c r="W3127" i="9" s="1"/>
  <c r="T3128" i="9"/>
  <c r="U3128" i="9"/>
  <c r="V3128" i="9" a="1"/>
  <c r="W3128" i="9" s="1"/>
  <c r="T3129" i="9"/>
  <c r="U3129" i="9"/>
  <c r="V3129" i="9" a="1"/>
  <c r="W3129" i="9" s="1"/>
  <c r="T3130" i="9"/>
  <c r="U3130" i="9"/>
  <c r="V3130" i="9" a="1"/>
  <c r="W3130" i="9" s="1"/>
  <c r="T3131" i="9"/>
  <c r="U3131" i="9"/>
  <c r="V3131" i="9" a="1"/>
  <c r="W3131" i="9" s="1"/>
  <c r="T3132" i="9"/>
  <c r="U3132" i="9"/>
  <c r="V3132" i="9" a="1"/>
  <c r="W3132" i="9" s="1"/>
  <c r="T3133" i="9"/>
  <c r="U3133" i="9"/>
  <c r="V3133" i="9" a="1"/>
  <c r="W3133" i="9" s="1"/>
  <c r="T3134" i="9"/>
  <c r="U3134" i="9"/>
  <c r="V3134" i="9" a="1"/>
  <c r="W3134" i="9" s="1"/>
  <c r="T3135" i="9"/>
  <c r="U3135" i="9"/>
  <c r="V3135" i="9" a="1"/>
  <c r="W3135" i="9" s="1"/>
  <c r="T3136" i="9"/>
  <c r="U3136" i="9"/>
  <c r="V3136" i="9" a="1"/>
  <c r="W3136" i="9" s="1"/>
  <c r="T3137" i="9"/>
  <c r="U3137" i="9"/>
  <c r="V3137" i="9" a="1"/>
  <c r="W3137" i="9" s="1"/>
  <c r="T3138" i="9"/>
  <c r="U3138" i="9"/>
  <c r="V3138" i="9" a="1"/>
  <c r="W3138" i="9" s="1"/>
  <c r="T3139" i="9"/>
  <c r="U3139" i="9"/>
  <c r="V3139" i="9" a="1"/>
  <c r="W3139" i="9" s="1"/>
  <c r="T3140" i="9"/>
  <c r="U3140" i="9"/>
  <c r="V3140" i="9" a="1"/>
  <c r="W3140" i="9" s="1"/>
  <c r="T3141" i="9"/>
  <c r="U3141" i="9"/>
  <c r="V3141" i="9" a="1"/>
  <c r="W3141" i="9" s="1"/>
  <c r="T3142" i="9"/>
  <c r="U3142" i="9"/>
  <c r="V3142" i="9" a="1"/>
  <c r="W3142" i="9" s="1"/>
  <c r="T3143" i="9"/>
  <c r="U3143" i="9"/>
  <c r="V3143" i="9" a="1"/>
  <c r="W3143" i="9" s="1"/>
  <c r="T3144" i="9"/>
  <c r="U3144" i="9"/>
  <c r="V3144" i="9" a="1"/>
  <c r="W3144" i="9" s="1"/>
  <c r="T3145" i="9"/>
  <c r="U3145" i="9"/>
  <c r="V3145" i="9" a="1"/>
  <c r="W3145" i="9" s="1"/>
  <c r="T3146" i="9"/>
  <c r="U3146" i="9"/>
  <c r="V3146" i="9" a="1"/>
  <c r="W3146" i="9" s="1"/>
  <c r="T3147" i="9"/>
  <c r="U3147" i="9"/>
  <c r="V3147" i="9" a="1"/>
  <c r="W3147" i="9" s="1"/>
  <c r="T3148" i="9"/>
  <c r="U3148" i="9"/>
  <c r="V3148" i="9" a="1"/>
  <c r="W3148" i="9" s="1"/>
  <c r="T3149" i="9"/>
  <c r="U3149" i="9"/>
  <c r="V3149" i="9" a="1"/>
  <c r="W3149" i="9" s="1"/>
  <c r="T3150" i="9"/>
  <c r="U3150" i="9"/>
  <c r="V3150" i="9" a="1"/>
  <c r="W3150" i="9" s="1"/>
  <c r="T3151" i="9"/>
  <c r="U3151" i="9"/>
  <c r="V3151" i="9" a="1"/>
  <c r="W3151" i="9" s="1"/>
  <c r="T3152" i="9"/>
  <c r="U3152" i="9"/>
  <c r="V3152" i="9" a="1"/>
  <c r="W3152" i="9" s="1"/>
  <c r="T3153" i="9"/>
  <c r="U3153" i="9"/>
  <c r="V3153" i="9" a="1"/>
  <c r="W3153" i="9" s="1"/>
  <c r="T3154" i="9"/>
  <c r="U3154" i="9"/>
  <c r="V3154" i="9" a="1"/>
  <c r="W3154" i="9" s="1"/>
  <c r="T3155" i="9"/>
  <c r="U3155" i="9"/>
  <c r="V3155" i="9" a="1"/>
  <c r="W3155" i="9" s="1"/>
  <c r="T3156" i="9"/>
  <c r="U3156" i="9"/>
  <c r="V3156" i="9" a="1"/>
  <c r="W3156" i="9" s="1"/>
  <c r="T3157" i="9"/>
  <c r="U3157" i="9"/>
  <c r="V3157" i="9" a="1"/>
  <c r="W3157" i="9" s="1"/>
  <c r="T3158" i="9"/>
  <c r="U3158" i="9"/>
  <c r="V3158" i="9" a="1"/>
  <c r="W3158" i="9" s="1"/>
  <c r="T3159" i="9"/>
  <c r="U3159" i="9"/>
  <c r="V3159" i="9" a="1"/>
  <c r="W3159" i="9" s="1"/>
  <c r="T3160" i="9"/>
  <c r="U3160" i="9"/>
  <c r="V3160" i="9" a="1"/>
  <c r="W3160" i="9" s="1"/>
  <c r="T3161" i="9"/>
  <c r="U3161" i="9"/>
  <c r="V3161" i="9" a="1"/>
  <c r="W3161" i="9" s="1"/>
  <c r="T3162" i="9"/>
  <c r="U3162" i="9"/>
  <c r="V3162" i="9" a="1"/>
  <c r="W3162" i="9" s="1"/>
  <c r="T3163" i="9"/>
  <c r="U3163" i="9"/>
  <c r="V3163" i="9" a="1"/>
  <c r="W3163" i="9" s="1"/>
  <c r="T3164" i="9"/>
  <c r="U3164" i="9"/>
  <c r="V3164" i="9" a="1"/>
  <c r="W3164" i="9" s="1"/>
  <c r="T3165" i="9"/>
  <c r="U3165" i="9"/>
  <c r="V3165" i="9" a="1"/>
  <c r="W3165" i="9" s="1"/>
  <c r="T3166" i="9"/>
  <c r="U3166" i="9"/>
  <c r="V3166" i="9" a="1"/>
  <c r="W3166" i="9" s="1"/>
  <c r="T3167" i="9"/>
  <c r="U3167" i="9"/>
  <c r="V3167" i="9" a="1"/>
  <c r="W3167" i="9" s="1"/>
  <c r="T3168" i="9"/>
  <c r="U3168" i="9"/>
  <c r="V3168" i="9" a="1"/>
  <c r="W3168" i="9" s="1"/>
  <c r="T3169" i="9"/>
  <c r="U3169" i="9"/>
  <c r="V3169" i="9" a="1"/>
  <c r="W3169" i="9" s="1"/>
  <c r="T3170" i="9"/>
  <c r="U3170" i="9"/>
  <c r="V3170" i="9" a="1"/>
  <c r="W3170" i="9" s="1"/>
  <c r="T3171" i="9"/>
  <c r="U3171" i="9"/>
  <c r="V3171" i="9" a="1"/>
  <c r="W3171" i="9" s="1"/>
  <c r="T3172" i="9"/>
  <c r="U3172" i="9"/>
  <c r="V3172" i="9" a="1"/>
  <c r="W3172" i="9" s="1"/>
  <c r="T3173" i="9"/>
  <c r="U3173" i="9"/>
  <c r="V3173" i="9" a="1"/>
  <c r="W3173" i="9" s="1"/>
  <c r="T3174" i="9"/>
  <c r="U3174" i="9"/>
  <c r="V3174" i="9" a="1"/>
  <c r="W3174" i="9" s="1"/>
  <c r="T3175" i="9"/>
  <c r="U3175" i="9"/>
  <c r="V3175" i="9" a="1"/>
  <c r="W3175" i="9" s="1"/>
  <c r="T3176" i="9"/>
  <c r="U3176" i="9"/>
  <c r="V3176" i="9" a="1"/>
  <c r="W3176" i="9" s="1"/>
  <c r="T3177" i="9"/>
  <c r="U3177" i="9"/>
  <c r="V3177" i="9" a="1"/>
  <c r="W3177" i="9" s="1"/>
  <c r="T3178" i="9"/>
  <c r="U3178" i="9"/>
  <c r="V3178" i="9" a="1"/>
  <c r="W3178" i="9" s="1"/>
  <c r="T3179" i="9"/>
  <c r="U3179" i="9"/>
  <c r="V3179" i="9" a="1"/>
  <c r="W3179" i="9" s="1"/>
  <c r="T3180" i="9"/>
  <c r="U3180" i="9"/>
  <c r="V3180" i="9" a="1"/>
  <c r="W3180" i="9" s="1"/>
  <c r="T3181" i="9"/>
  <c r="U3181" i="9"/>
  <c r="V3181" i="9" a="1"/>
  <c r="W3181" i="9" s="1"/>
  <c r="T3182" i="9"/>
  <c r="U3182" i="9"/>
  <c r="V3182" i="9" a="1"/>
  <c r="W3182" i="9" s="1"/>
  <c r="T3183" i="9"/>
  <c r="U3183" i="9"/>
  <c r="V3183" i="9" a="1"/>
  <c r="W3183" i="9" s="1"/>
  <c r="T3184" i="9"/>
  <c r="U3184" i="9"/>
  <c r="V3184" i="9" a="1"/>
  <c r="W3184" i="9" s="1"/>
  <c r="T3185" i="9"/>
  <c r="U3185" i="9"/>
  <c r="V3185" i="9" a="1"/>
  <c r="W3185" i="9" s="1"/>
  <c r="T3186" i="9"/>
  <c r="U3186" i="9"/>
  <c r="V3186" i="9" a="1"/>
  <c r="W3186" i="9" s="1"/>
  <c r="T3187" i="9"/>
  <c r="U3187" i="9"/>
  <c r="V3187" i="9" a="1"/>
  <c r="W3187" i="9" s="1"/>
  <c r="T3188" i="9"/>
  <c r="U3188" i="9"/>
  <c r="V3188" i="9" a="1"/>
  <c r="W3188" i="9" s="1"/>
  <c r="T3189" i="9"/>
  <c r="U3189" i="9"/>
  <c r="V3189" i="9" a="1"/>
  <c r="W3189" i="9" s="1"/>
  <c r="T3190" i="9"/>
  <c r="U3190" i="9"/>
  <c r="V3190" i="9" a="1"/>
  <c r="W3190" i="9" s="1"/>
  <c r="T3191" i="9"/>
  <c r="U3191" i="9"/>
  <c r="V3191" i="9" a="1"/>
  <c r="W3191" i="9" s="1"/>
  <c r="T3192" i="9"/>
  <c r="U3192" i="9"/>
  <c r="V3192" i="9" a="1"/>
  <c r="W3192" i="9" s="1"/>
  <c r="T3193" i="9"/>
  <c r="U3193" i="9"/>
  <c r="V3193" i="9" a="1"/>
  <c r="W3193" i="9" s="1"/>
  <c r="T3194" i="9"/>
  <c r="U3194" i="9"/>
  <c r="V3194" i="9" a="1"/>
  <c r="W3194" i="9" s="1"/>
  <c r="T3195" i="9"/>
  <c r="U3195" i="9"/>
  <c r="V3195" i="9" a="1"/>
  <c r="W3195" i="9" s="1"/>
  <c r="T3196" i="9"/>
  <c r="U3196" i="9"/>
  <c r="V3196" i="9" a="1"/>
  <c r="W3196" i="9" s="1"/>
  <c r="T3197" i="9"/>
  <c r="U3197" i="9"/>
  <c r="V3197" i="9" a="1"/>
  <c r="W3197" i="9" s="1"/>
  <c r="T3198" i="9"/>
  <c r="U3198" i="9"/>
  <c r="V3198" i="9" a="1"/>
  <c r="W3198" i="9" s="1"/>
  <c r="T3199" i="9"/>
  <c r="U3199" i="9"/>
  <c r="V3199" i="9" a="1"/>
  <c r="W3199" i="9" s="1"/>
  <c r="T3200" i="9"/>
  <c r="U3200" i="9"/>
  <c r="V3200" i="9" a="1"/>
  <c r="W3200" i="9" s="1"/>
  <c r="T3201" i="9"/>
  <c r="U3201" i="9"/>
  <c r="V3201" i="9" a="1"/>
  <c r="W3201" i="9" s="1"/>
  <c r="T3202" i="9"/>
  <c r="U3202" i="9"/>
  <c r="V3202" i="9" a="1"/>
  <c r="W3202" i="9" s="1"/>
  <c r="T3203" i="9"/>
  <c r="U3203" i="9"/>
  <c r="V3203" i="9" a="1"/>
  <c r="W3203" i="9" s="1"/>
  <c r="T3204" i="9"/>
  <c r="U3204" i="9"/>
  <c r="V3204" i="9" a="1"/>
  <c r="W3204" i="9" s="1"/>
  <c r="T3205" i="9"/>
  <c r="U3205" i="9"/>
  <c r="V3205" i="9" a="1"/>
  <c r="W3205" i="9" s="1"/>
  <c r="T3206" i="9"/>
  <c r="U3206" i="9"/>
  <c r="V3206" i="9" a="1"/>
  <c r="W3206" i="9" s="1"/>
  <c r="T3207" i="9"/>
  <c r="U3207" i="9"/>
  <c r="V3207" i="9" a="1"/>
  <c r="W3207" i="9" s="1"/>
  <c r="T3208" i="9"/>
  <c r="U3208" i="9"/>
  <c r="V3208" i="9" a="1"/>
  <c r="W3208" i="9" s="1"/>
  <c r="T3209" i="9"/>
  <c r="U3209" i="9"/>
  <c r="V3209" i="9" a="1"/>
  <c r="W3209" i="9" s="1"/>
  <c r="T3210" i="9"/>
  <c r="U3210" i="9"/>
  <c r="V3210" i="9" a="1"/>
  <c r="W3210" i="9" s="1"/>
  <c r="T3211" i="9"/>
  <c r="U3211" i="9"/>
  <c r="V3211" i="9" a="1"/>
  <c r="W3211" i="9" s="1"/>
  <c r="T3212" i="9"/>
  <c r="U3212" i="9"/>
  <c r="V3212" i="9" a="1"/>
  <c r="W3212" i="9" s="1"/>
  <c r="T3213" i="9"/>
  <c r="U3213" i="9"/>
  <c r="V3213" i="9" a="1"/>
  <c r="W3213" i="9" s="1"/>
  <c r="T3214" i="9"/>
  <c r="U3214" i="9"/>
  <c r="V3214" i="9" a="1"/>
  <c r="W3214" i="9" s="1"/>
  <c r="T3215" i="9"/>
  <c r="U3215" i="9"/>
  <c r="V3215" i="9" a="1"/>
  <c r="W3215" i="9" s="1"/>
  <c r="T3216" i="9"/>
  <c r="U3216" i="9"/>
  <c r="V3216" i="9" a="1"/>
  <c r="W3216" i="9" s="1"/>
  <c r="T3217" i="9"/>
  <c r="U3217" i="9"/>
  <c r="V3217" i="9" a="1"/>
  <c r="W3217" i="9" s="1"/>
  <c r="T3218" i="9"/>
  <c r="U3218" i="9"/>
  <c r="V3218" i="9" a="1"/>
  <c r="W3218" i="9" s="1"/>
  <c r="T3219" i="9"/>
  <c r="U3219" i="9"/>
  <c r="V3219" i="9" a="1"/>
  <c r="W3219" i="9" s="1"/>
  <c r="T3220" i="9"/>
  <c r="U3220" i="9"/>
  <c r="V3220" i="9" a="1"/>
  <c r="W3220" i="9" s="1"/>
  <c r="T3221" i="9"/>
  <c r="U3221" i="9"/>
  <c r="V3221" i="9" a="1"/>
  <c r="W3221" i="9" s="1"/>
  <c r="T3222" i="9"/>
  <c r="U3222" i="9"/>
  <c r="V3222" i="9" a="1"/>
  <c r="W3222" i="9" s="1"/>
  <c r="T3223" i="9"/>
  <c r="U3223" i="9"/>
  <c r="V3223" i="9" a="1"/>
  <c r="W3223" i="9" s="1"/>
  <c r="T3224" i="9"/>
  <c r="U3224" i="9"/>
  <c r="V3224" i="9" a="1"/>
  <c r="W3224" i="9" s="1"/>
  <c r="T3225" i="9"/>
  <c r="U3225" i="9"/>
  <c r="V3225" i="9" a="1"/>
  <c r="W3225" i="9" s="1"/>
  <c r="T3226" i="9"/>
  <c r="U3226" i="9"/>
  <c r="V3226" i="9" a="1"/>
  <c r="W3226" i="9" s="1"/>
  <c r="T3227" i="9"/>
  <c r="U3227" i="9"/>
  <c r="V3227" i="9" a="1"/>
  <c r="W3227" i="9" s="1"/>
  <c r="T3228" i="9"/>
  <c r="U3228" i="9"/>
  <c r="V3228" i="9" a="1"/>
  <c r="W3228" i="9" s="1"/>
  <c r="T3229" i="9"/>
  <c r="U3229" i="9"/>
  <c r="V3229" i="9" a="1"/>
  <c r="W3229" i="9" s="1"/>
  <c r="T3230" i="9"/>
  <c r="U3230" i="9"/>
  <c r="V3230" i="9" a="1"/>
  <c r="W3230" i="9" s="1"/>
  <c r="T3231" i="9"/>
  <c r="U3231" i="9"/>
  <c r="V3231" i="9" a="1"/>
  <c r="W3231" i="9" s="1"/>
  <c r="T3232" i="9"/>
  <c r="U3232" i="9"/>
  <c r="V3232" i="9" a="1"/>
  <c r="W3232" i="9" s="1"/>
  <c r="T3233" i="9"/>
  <c r="U3233" i="9"/>
  <c r="V3233" i="9" a="1"/>
  <c r="W3233" i="9" s="1"/>
  <c r="T3234" i="9"/>
  <c r="U3234" i="9"/>
  <c r="V3234" i="9" a="1"/>
  <c r="W3234" i="9" s="1"/>
  <c r="T3235" i="9"/>
  <c r="U3235" i="9"/>
  <c r="V3235" i="9" a="1"/>
  <c r="W3235" i="9" s="1"/>
  <c r="T3236" i="9"/>
  <c r="U3236" i="9"/>
  <c r="V3236" i="9" a="1"/>
  <c r="W3236" i="9" s="1"/>
  <c r="T3237" i="9"/>
  <c r="U3237" i="9"/>
  <c r="V3237" i="9" a="1"/>
  <c r="W3237" i="9" s="1"/>
  <c r="T3238" i="9"/>
  <c r="U3238" i="9"/>
  <c r="V3238" i="9" a="1"/>
  <c r="W3238" i="9" s="1"/>
  <c r="T3239" i="9"/>
  <c r="U3239" i="9"/>
  <c r="V3239" i="9" a="1"/>
  <c r="W3239" i="9" s="1"/>
  <c r="T3240" i="9"/>
  <c r="U3240" i="9"/>
  <c r="V3240" i="9" a="1"/>
  <c r="W3240" i="9" s="1"/>
  <c r="T3241" i="9"/>
  <c r="U3241" i="9"/>
  <c r="V3241" i="9" a="1"/>
  <c r="W3241" i="9" s="1"/>
  <c r="T3242" i="9"/>
  <c r="U3242" i="9"/>
  <c r="V3242" i="9" a="1"/>
  <c r="W3242" i="9" s="1"/>
  <c r="T3243" i="9"/>
  <c r="U3243" i="9"/>
  <c r="V3243" i="9" a="1"/>
  <c r="W3243" i="9" s="1"/>
  <c r="T3244" i="9"/>
  <c r="U3244" i="9"/>
  <c r="V3244" i="9" a="1"/>
  <c r="W3244" i="9" s="1"/>
  <c r="T3245" i="9"/>
  <c r="U3245" i="9"/>
  <c r="V3245" i="9" a="1"/>
  <c r="W3245" i="9" s="1"/>
  <c r="T3246" i="9"/>
  <c r="U3246" i="9"/>
  <c r="V3246" i="9" a="1"/>
  <c r="W3246" i="9" s="1"/>
  <c r="T3247" i="9"/>
  <c r="U3247" i="9"/>
  <c r="V3247" i="9" a="1"/>
  <c r="W3247" i="9" s="1"/>
  <c r="T3248" i="9"/>
  <c r="U3248" i="9"/>
  <c r="V3248" i="9" a="1"/>
  <c r="W3248" i="9" s="1"/>
  <c r="T3249" i="9"/>
  <c r="U3249" i="9"/>
  <c r="V3249" i="9" a="1"/>
  <c r="W3249" i="9" s="1"/>
  <c r="T3250" i="9"/>
  <c r="U3250" i="9"/>
  <c r="V3250" i="9" a="1"/>
  <c r="W3250" i="9" s="1"/>
  <c r="T3251" i="9"/>
  <c r="U3251" i="9"/>
  <c r="V3251" i="9" a="1"/>
  <c r="W3251" i="9" s="1"/>
  <c r="T3252" i="9"/>
  <c r="U3252" i="9"/>
  <c r="V3252" i="9" a="1"/>
  <c r="W3252" i="9" s="1"/>
  <c r="T3253" i="9"/>
  <c r="U3253" i="9"/>
  <c r="V3253" i="9" a="1"/>
  <c r="W3253" i="9" s="1"/>
  <c r="T3254" i="9"/>
  <c r="U3254" i="9"/>
  <c r="V3254" i="9" a="1"/>
  <c r="W3254" i="9" s="1"/>
  <c r="T3255" i="9"/>
  <c r="U3255" i="9"/>
  <c r="V3255" i="9" a="1"/>
  <c r="W3255" i="9" s="1"/>
  <c r="T3256" i="9"/>
  <c r="U3256" i="9"/>
  <c r="V3256" i="9" a="1"/>
  <c r="W3256" i="9" s="1"/>
  <c r="T3257" i="9"/>
  <c r="U3257" i="9"/>
  <c r="V3257" i="9" a="1"/>
  <c r="W3257" i="9" s="1"/>
  <c r="T3258" i="9"/>
  <c r="U3258" i="9"/>
  <c r="V3258" i="9" a="1"/>
  <c r="W3258" i="9" s="1"/>
  <c r="T3259" i="9"/>
  <c r="U3259" i="9"/>
  <c r="V3259" i="9" a="1"/>
  <c r="W3259" i="9" s="1"/>
  <c r="T3260" i="9"/>
  <c r="U3260" i="9"/>
  <c r="V3260" i="9" a="1"/>
  <c r="W3260" i="9" s="1"/>
  <c r="T3261" i="9"/>
  <c r="U3261" i="9"/>
  <c r="V3261" i="9" a="1"/>
  <c r="W3261" i="9" s="1"/>
  <c r="T3262" i="9"/>
  <c r="U3262" i="9"/>
  <c r="V3262" i="9" a="1"/>
  <c r="W3262" i="9" s="1"/>
  <c r="T3263" i="9"/>
  <c r="U3263" i="9"/>
  <c r="V3263" i="9" a="1"/>
  <c r="W3263" i="9" s="1"/>
  <c r="T3264" i="9"/>
  <c r="U3264" i="9"/>
  <c r="V3264" i="9" a="1"/>
  <c r="W3264" i="9" s="1"/>
  <c r="T3265" i="9"/>
  <c r="U3265" i="9"/>
  <c r="V3265" i="9" a="1"/>
  <c r="W3265" i="9" s="1"/>
  <c r="T3266" i="9"/>
  <c r="U3266" i="9"/>
  <c r="V3266" i="9" a="1"/>
  <c r="W3266" i="9" s="1"/>
  <c r="T3267" i="9"/>
  <c r="U3267" i="9"/>
  <c r="V3267" i="9" a="1"/>
  <c r="W3267" i="9" s="1"/>
  <c r="T3268" i="9"/>
  <c r="U3268" i="9"/>
  <c r="V3268" i="9" a="1"/>
  <c r="W3268" i="9" s="1"/>
  <c r="T3269" i="9"/>
  <c r="U3269" i="9"/>
  <c r="V3269" i="9" a="1"/>
  <c r="W3269" i="9" s="1"/>
  <c r="T3270" i="9"/>
  <c r="U3270" i="9"/>
  <c r="V3270" i="9" a="1"/>
  <c r="W3270" i="9" s="1"/>
  <c r="T3271" i="9"/>
  <c r="U3271" i="9"/>
  <c r="V3271" i="9" a="1"/>
  <c r="W3271" i="9" s="1"/>
  <c r="T3272" i="9"/>
  <c r="U3272" i="9"/>
  <c r="V3272" i="9" a="1"/>
  <c r="W3272" i="9" s="1"/>
  <c r="T3273" i="9"/>
  <c r="U3273" i="9"/>
  <c r="V3273" i="9" a="1"/>
  <c r="W3273" i="9" s="1"/>
  <c r="T3274" i="9"/>
  <c r="U3274" i="9"/>
  <c r="V3274" i="9" a="1"/>
  <c r="W3274" i="9" s="1"/>
  <c r="T3275" i="9"/>
  <c r="U3275" i="9"/>
  <c r="V3275" i="9" a="1"/>
  <c r="W3275" i="9" s="1"/>
  <c r="T3276" i="9"/>
  <c r="U3276" i="9"/>
  <c r="V3276" i="9" a="1"/>
  <c r="W3276" i="9" s="1"/>
  <c r="T3277" i="9"/>
  <c r="U3277" i="9"/>
  <c r="V3277" i="9" a="1"/>
  <c r="W3277" i="9" s="1"/>
  <c r="T3278" i="9"/>
  <c r="U3278" i="9"/>
  <c r="V3278" i="9" a="1"/>
  <c r="W3278" i="9" s="1"/>
  <c r="T3279" i="9"/>
  <c r="U3279" i="9"/>
  <c r="V3279" i="9" a="1"/>
  <c r="W3279" i="9" s="1"/>
  <c r="T3280" i="9"/>
  <c r="U3280" i="9"/>
  <c r="V3280" i="9" a="1"/>
  <c r="W3280" i="9" s="1"/>
  <c r="T3281" i="9"/>
  <c r="U3281" i="9"/>
  <c r="V3281" i="9" a="1"/>
  <c r="W3281" i="9" s="1"/>
  <c r="T3282" i="9"/>
  <c r="U3282" i="9"/>
  <c r="V3282" i="9" a="1"/>
  <c r="W3282" i="9" s="1"/>
  <c r="T3283" i="9"/>
  <c r="U3283" i="9"/>
  <c r="V3283" i="9" a="1"/>
  <c r="W3283" i="9" s="1"/>
  <c r="T3284" i="9"/>
  <c r="U3284" i="9"/>
  <c r="V3284" i="9" a="1"/>
  <c r="W3284" i="9" s="1"/>
  <c r="T3285" i="9"/>
  <c r="U3285" i="9"/>
  <c r="V3285" i="9" a="1"/>
  <c r="W3285" i="9" s="1"/>
  <c r="T3286" i="9"/>
  <c r="U3286" i="9"/>
  <c r="V3286" i="9" a="1"/>
  <c r="W3286" i="9" s="1"/>
  <c r="T3287" i="9"/>
  <c r="U3287" i="9"/>
  <c r="V3287" i="9" a="1"/>
  <c r="W3287" i="9" s="1"/>
  <c r="T3288" i="9"/>
  <c r="U3288" i="9"/>
  <c r="V3288" i="9" a="1"/>
  <c r="W3288" i="9" s="1"/>
  <c r="T3289" i="9"/>
  <c r="U3289" i="9"/>
  <c r="V3289" i="9" a="1"/>
  <c r="W3289" i="9" s="1"/>
  <c r="T3290" i="9"/>
  <c r="U3290" i="9"/>
  <c r="V3290" i="9" a="1"/>
  <c r="W3290" i="9" s="1"/>
  <c r="T3291" i="9"/>
  <c r="U3291" i="9"/>
  <c r="V3291" i="9" a="1"/>
  <c r="W3291" i="9" s="1"/>
  <c r="T3292" i="9"/>
  <c r="U3292" i="9"/>
  <c r="V3292" i="9" a="1"/>
  <c r="W3292" i="9" s="1"/>
  <c r="T3293" i="9"/>
  <c r="U3293" i="9"/>
  <c r="V3293" i="9" a="1"/>
  <c r="W3293" i="9" s="1"/>
  <c r="T3294" i="9"/>
  <c r="U3294" i="9"/>
  <c r="V3294" i="9" a="1"/>
  <c r="W3294" i="9" s="1"/>
  <c r="T3295" i="9"/>
  <c r="U3295" i="9"/>
  <c r="V3295" i="9" a="1"/>
  <c r="W3295" i="9" s="1"/>
  <c r="T3296" i="9"/>
  <c r="U3296" i="9"/>
  <c r="V3296" i="9" a="1"/>
  <c r="W3296" i="9" s="1"/>
  <c r="T3297" i="9"/>
  <c r="U3297" i="9"/>
  <c r="V3297" i="9" a="1"/>
  <c r="W3297" i="9" s="1"/>
  <c r="T3298" i="9"/>
  <c r="U3298" i="9"/>
  <c r="V3298" i="9" a="1"/>
  <c r="W3298" i="9" s="1"/>
  <c r="T3299" i="9"/>
  <c r="U3299" i="9"/>
  <c r="V3299" i="9" a="1"/>
  <c r="W3299" i="9" s="1"/>
  <c r="T3300" i="9"/>
  <c r="U3300" i="9"/>
  <c r="V3300" i="9" a="1"/>
  <c r="W3300" i="9" s="1"/>
  <c r="T3301" i="9"/>
  <c r="U3301" i="9"/>
  <c r="V3301" i="9" a="1"/>
  <c r="W3301" i="9" s="1"/>
  <c r="T3302" i="9"/>
  <c r="U3302" i="9"/>
  <c r="V3302" i="9" a="1"/>
  <c r="W3302" i="9" s="1"/>
  <c r="T3303" i="9"/>
  <c r="U3303" i="9"/>
  <c r="V3303" i="9" a="1"/>
  <c r="W3303" i="9" s="1"/>
  <c r="T3304" i="9"/>
  <c r="U3304" i="9"/>
  <c r="V3304" i="9" a="1"/>
  <c r="W3304" i="9" s="1"/>
  <c r="T3305" i="9"/>
  <c r="U3305" i="9"/>
  <c r="V3305" i="9" a="1"/>
  <c r="W3305" i="9" s="1"/>
  <c r="T3306" i="9"/>
  <c r="U3306" i="9"/>
  <c r="V3306" i="9" a="1"/>
  <c r="W3306" i="9" s="1"/>
  <c r="T3307" i="9"/>
  <c r="U3307" i="9"/>
  <c r="V3307" i="9" a="1"/>
  <c r="W3307" i="9" s="1"/>
  <c r="T3308" i="9"/>
  <c r="U3308" i="9"/>
  <c r="V3308" i="9" a="1"/>
  <c r="W3308" i="9" s="1"/>
  <c r="T3309" i="9"/>
  <c r="U3309" i="9"/>
  <c r="V3309" i="9" a="1"/>
  <c r="W3309" i="9" s="1"/>
  <c r="T3310" i="9"/>
  <c r="U3310" i="9"/>
  <c r="V3310" i="9" a="1"/>
  <c r="W3310" i="9" s="1"/>
  <c r="T3311" i="9"/>
  <c r="U3311" i="9"/>
  <c r="V3311" i="9" a="1"/>
  <c r="W3311" i="9" s="1"/>
  <c r="T3312" i="9"/>
  <c r="U3312" i="9"/>
  <c r="V3312" i="9" a="1"/>
  <c r="W3312" i="9" s="1"/>
  <c r="T3313" i="9"/>
  <c r="U3313" i="9"/>
  <c r="V3313" i="9" a="1"/>
  <c r="W3313" i="9" s="1"/>
  <c r="T3314" i="9"/>
  <c r="U3314" i="9"/>
  <c r="V3314" i="9" a="1"/>
  <c r="W3314" i="9" s="1"/>
  <c r="T3315" i="9"/>
  <c r="U3315" i="9"/>
  <c r="V3315" i="9" a="1"/>
  <c r="W3315" i="9" s="1"/>
  <c r="T3316" i="9"/>
  <c r="U3316" i="9"/>
  <c r="V3316" i="9" a="1"/>
  <c r="W3316" i="9" s="1"/>
  <c r="T3317" i="9"/>
  <c r="U3317" i="9"/>
  <c r="V3317" i="9" a="1"/>
  <c r="W3317" i="9" s="1"/>
  <c r="T3318" i="9"/>
  <c r="U3318" i="9"/>
  <c r="V3318" i="9" a="1"/>
  <c r="W3318" i="9" s="1"/>
  <c r="T3319" i="9"/>
  <c r="U3319" i="9"/>
  <c r="V3319" i="9" a="1"/>
  <c r="W3319" i="9" s="1"/>
  <c r="T3320" i="9"/>
  <c r="U3320" i="9"/>
  <c r="V3320" i="9" a="1"/>
  <c r="W3320" i="9" s="1"/>
  <c r="T3321" i="9"/>
  <c r="U3321" i="9"/>
  <c r="V3321" i="9" a="1"/>
  <c r="W3321" i="9" s="1"/>
  <c r="T3322" i="9"/>
  <c r="U3322" i="9"/>
  <c r="V3322" i="9" a="1"/>
  <c r="W3322" i="9" s="1"/>
  <c r="T3323" i="9"/>
  <c r="U3323" i="9"/>
  <c r="V3323" i="9" a="1"/>
  <c r="W3323" i="9" s="1"/>
  <c r="T3324" i="9"/>
  <c r="U3324" i="9"/>
  <c r="V3324" i="9" a="1"/>
  <c r="W3324" i="9" s="1"/>
  <c r="T3325" i="9"/>
  <c r="U3325" i="9"/>
  <c r="V3325" i="9" a="1"/>
  <c r="W3325" i="9" s="1"/>
  <c r="T3326" i="9"/>
  <c r="U3326" i="9"/>
  <c r="V3326" i="9" a="1"/>
  <c r="W3326" i="9" s="1"/>
  <c r="T3327" i="9"/>
  <c r="U3327" i="9"/>
  <c r="V3327" i="9" a="1"/>
  <c r="W3327" i="9" s="1"/>
  <c r="T3328" i="9"/>
  <c r="U3328" i="9"/>
  <c r="V3328" i="9" a="1"/>
  <c r="W3328" i="9" s="1"/>
  <c r="T3329" i="9"/>
  <c r="U3329" i="9"/>
  <c r="V3329" i="9" a="1"/>
  <c r="W3329" i="9" s="1"/>
  <c r="T3330" i="9"/>
  <c r="U3330" i="9"/>
  <c r="V3330" i="9" a="1"/>
  <c r="W3330" i="9" s="1"/>
  <c r="T3331" i="9"/>
  <c r="U3331" i="9"/>
  <c r="V3331" i="9" a="1"/>
  <c r="W3331" i="9" s="1"/>
  <c r="T3332" i="9"/>
  <c r="U3332" i="9"/>
  <c r="V3332" i="9" a="1"/>
  <c r="W3332" i="9" s="1"/>
  <c r="T3333" i="9"/>
  <c r="U3333" i="9"/>
  <c r="V3333" i="9" a="1"/>
  <c r="W3333" i="9" s="1"/>
  <c r="T3334" i="9"/>
  <c r="U3334" i="9"/>
  <c r="V3334" i="9" a="1"/>
  <c r="W3334" i="9" s="1"/>
  <c r="T3335" i="9"/>
  <c r="U3335" i="9"/>
  <c r="V3335" i="9" a="1"/>
  <c r="W3335" i="9" s="1"/>
  <c r="T3336" i="9"/>
  <c r="U3336" i="9"/>
  <c r="V3336" i="9" a="1"/>
  <c r="W3336" i="9" s="1"/>
  <c r="T3337" i="9"/>
  <c r="U3337" i="9"/>
  <c r="V3337" i="9" a="1"/>
  <c r="W3337" i="9" s="1"/>
  <c r="T3338" i="9"/>
  <c r="U3338" i="9"/>
  <c r="V3338" i="9" a="1"/>
  <c r="W3338" i="9" s="1"/>
  <c r="T3339" i="9"/>
  <c r="U3339" i="9"/>
  <c r="V3339" i="9" a="1"/>
  <c r="W3339" i="9" s="1"/>
  <c r="T3340" i="9"/>
  <c r="U3340" i="9"/>
  <c r="V3340" i="9" a="1"/>
  <c r="W3340" i="9" s="1"/>
  <c r="T3341" i="9"/>
  <c r="U3341" i="9"/>
  <c r="V3341" i="9" a="1"/>
  <c r="W3341" i="9" s="1"/>
  <c r="T3342" i="9"/>
  <c r="U3342" i="9"/>
  <c r="V3342" i="9" a="1"/>
  <c r="W3342" i="9" s="1"/>
  <c r="T3343" i="9"/>
  <c r="U3343" i="9"/>
  <c r="V3343" i="9" a="1"/>
  <c r="W3343" i="9" s="1"/>
  <c r="T3344" i="9"/>
  <c r="U3344" i="9"/>
  <c r="V3344" i="9" a="1"/>
  <c r="W3344" i="9" s="1"/>
  <c r="T3345" i="9"/>
  <c r="U3345" i="9"/>
  <c r="V3345" i="9" a="1"/>
  <c r="W3345" i="9" s="1"/>
  <c r="T3346" i="9"/>
  <c r="U3346" i="9"/>
  <c r="V3346" i="9" a="1"/>
  <c r="W3346" i="9" s="1"/>
  <c r="T3347" i="9"/>
  <c r="U3347" i="9"/>
  <c r="V3347" i="9" a="1"/>
  <c r="W3347" i="9" s="1"/>
  <c r="T3348" i="9"/>
  <c r="U3348" i="9"/>
  <c r="V3348" i="9" a="1"/>
  <c r="W3348" i="9" s="1"/>
  <c r="T3349" i="9"/>
  <c r="U3349" i="9"/>
  <c r="V3349" i="9" a="1"/>
  <c r="W3349" i="9" s="1"/>
  <c r="T3350" i="9"/>
  <c r="U3350" i="9"/>
  <c r="V3350" i="9" a="1"/>
  <c r="W3350" i="9" s="1"/>
  <c r="T3351" i="9"/>
  <c r="U3351" i="9"/>
  <c r="V3351" i="9" a="1"/>
  <c r="W3351" i="9" s="1"/>
  <c r="T3352" i="9"/>
  <c r="U3352" i="9"/>
  <c r="V3352" i="9" a="1"/>
  <c r="W3352" i="9" s="1"/>
  <c r="T3353" i="9"/>
  <c r="U3353" i="9"/>
  <c r="V3353" i="9" a="1"/>
  <c r="W3353" i="9" s="1"/>
  <c r="T3354" i="9"/>
  <c r="U3354" i="9"/>
  <c r="V3354" i="9" a="1"/>
  <c r="W3354" i="9" s="1"/>
  <c r="T3355" i="9"/>
  <c r="U3355" i="9"/>
  <c r="V3355" i="9" a="1"/>
  <c r="W3355" i="9" s="1"/>
  <c r="T3356" i="9"/>
  <c r="U3356" i="9"/>
  <c r="V3356" i="9" a="1"/>
  <c r="W3356" i="9" s="1"/>
  <c r="T3357" i="9"/>
  <c r="U3357" i="9"/>
  <c r="V3357" i="9" a="1"/>
  <c r="W3357" i="9" s="1"/>
  <c r="T3358" i="9"/>
  <c r="U3358" i="9"/>
  <c r="V3358" i="9" a="1"/>
  <c r="W3358" i="9" s="1"/>
  <c r="T3359" i="9"/>
  <c r="U3359" i="9"/>
  <c r="V3359" i="9" a="1"/>
  <c r="W3359" i="9" s="1"/>
  <c r="T3360" i="9"/>
  <c r="U3360" i="9"/>
  <c r="V3360" i="9" a="1"/>
  <c r="W3360" i="9" s="1"/>
  <c r="T3361" i="9"/>
  <c r="U3361" i="9"/>
  <c r="V3361" i="9" a="1"/>
  <c r="W3361" i="9" s="1"/>
  <c r="T3362" i="9"/>
  <c r="U3362" i="9"/>
  <c r="V3362" i="9" a="1"/>
  <c r="W3362" i="9" s="1"/>
  <c r="T3363" i="9"/>
  <c r="U3363" i="9"/>
  <c r="V3363" i="9" a="1"/>
  <c r="W3363" i="9" s="1"/>
  <c r="T3364" i="9"/>
  <c r="U3364" i="9"/>
  <c r="V3364" i="9" a="1"/>
  <c r="W3364" i="9" s="1"/>
  <c r="T3530" i="9"/>
  <c r="U3530" i="9"/>
  <c r="V3530" i="9" a="1"/>
  <c r="W3530" i="9" s="1"/>
  <c r="T3531" i="9"/>
  <c r="U3531" i="9"/>
  <c r="V3531" i="9" a="1"/>
  <c r="W3531" i="9" s="1"/>
  <c r="T3532" i="9"/>
  <c r="U3532" i="9"/>
  <c r="V3532" i="9" a="1"/>
  <c r="W3532" i="9" s="1"/>
  <c r="T3533" i="9"/>
  <c r="U3533" i="9"/>
  <c r="V3533" i="9" a="1"/>
  <c r="W3533" i="9" s="1"/>
  <c r="T3534" i="9"/>
  <c r="U3534" i="9"/>
  <c r="V3534" i="9" a="1"/>
  <c r="W3534" i="9" s="1"/>
  <c r="T3535" i="9"/>
  <c r="U3535" i="9"/>
  <c r="V3535" i="9" a="1"/>
  <c r="W3535" i="9" s="1"/>
  <c r="T3536" i="9"/>
  <c r="U3536" i="9"/>
  <c r="V3536" i="9" a="1"/>
  <c r="W3536" i="9" s="1"/>
  <c r="T3537" i="9"/>
  <c r="U3537" i="9"/>
  <c r="V3537" i="9" a="1"/>
  <c r="W3537" i="9" s="1"/>
  <c r="T3538" i="9"/>
  <c r="U3538" i="9"/>
  <c r="V3538" i="9" a="1"/>
  <c r="W3538" i="9" s="1"/>
  <c r="T3539" i="9"/>
  <c r="U3539" i="9"/>
  <c r="V3539" i="9" a="1"/>
  <c r="W3539" i="9" s="1"/>
  <c r="T3540" i="9"/>
  <c r="U3540" i="9"/>
  <c r="V3540" i="9" a="1"/>
  <c r="W3540" i="9" s="1"/>
  <c r="T3541" i="9"/>
  <c r="U3541" i="9"/>
  <c r="V3541" i="9" a="1"/>
  <c r="W3541" i="9" s="1"/>
  <c r="T3542" i="9"/>
  <c r="U3542" i="9"/>
  <c r="V3542" i="9" a="1"/>
  <c r="W3542" i="9" s="1"/>
  <c r="T3543" i="9"/>
  <c r="U3543" i="9"/>
  <c r="V3543" i="9" a="1"/>
  <c r="W3543" i="9" s="1"/>
  <c r="T3544" i="9"/>
  <c r="U3544" i="9"/>
  <c r="V3544" i="9" a="1"/>
  <c r="W3544" i="9" s="1"/>
  <c r="T3545" i="9"/>
  <c r="U3545" i="9"/>
  <c r="V3545" i="9" a="1"/>
  <c r="W3545" i="9" s="1"/>
  <c r="T3546" i="9"/>
  <c r="U3546" i="9"/>
  <c r="V3546" i="9" a="1"/>
  <c r="W3546" i="9" s="1"/>
  <c r="T3547" i="9"/>
  <c r="U3547" i="9"/>
  <c r="V3547" i="9" a="1"/>
  <c r="W3547" i="9" s="1"/>
  <c r="T3548" i="9"/>
  <c r="U3548" i="9"/>
  <c r="V3548" i="9" a="1"/>
  <c r="W3548" i="9" s="1"/>
  <c r="T3549" i="9"/>
  <c r="U3549" i="9"/>
  <c r="V3549" i="9" a="1"/>
  <c r="W3549" i="9" s="1"/>
  <c r="T3550" i="9"/>
  <c r="U3550" i="9"/>
  <c r="V3550" i="9" a="1"/>
  <c r="W3550" i="9" s="1"/>
  <c r="T3551" i="9"/>
  <c r="U3551" i="9"/>
  <c r="V3551" i="9" a="1"/>
  <c r="W3551" i="9" s="1"/>
  <c r="T3552" i="9"/>
  <c r="U3552" i="9"/>
  <c r="V3552" i="9" a="1"/>
  <c r="W3552" i="9" s="1"/>
  <c r="T3553" i="9"/>
  <c r="U3553" i="9"/>
  <c r="V3553" i="9" a="1"/>
  <c r="W3553" i="9" s="1"/>
  <c r="T3554" i="9"/>
  <c r="U3554" i="9"/>
  <c r="V3554" i="9" a="1"/>
  <c r="W3554" i="9" s="1"/>
  <c r="T3555" i="9"/>
  <c r="U3555" i="9"/>
  <c r="V3555" i="9" a="1"/>
  <c r="W3555" i="9" s="1"/>
  <c r="T3556" i="9"/>
  <c r="U3556" i="9"/>
  <c r="V3556" i="9" a="1"/>
  <c r="W3556" i="9" s="1"/>
  <c r="T3557" i="9"/>
  <c r="U3557" i="9"/>
  <c r="V3557" i="9" a="1"/>
  <c r="W3557" i="9" s="1"/>
  <c r="T3558" i="9"/>
  <c r="U3558" i="9"/>
  <c r="V3558" i="9" a="1"/>
  <c r="W3558" i="9" s="1"/>
  <c r="T3559" i="9"/>
  <c r="U3559" i="9"/>
  <c r="V3559" i="9" a="1"/>
  <c r="W3559" i="9" s="1"/>
  <c r="T3560" i="9"/>
  <c r="U3560" i="9"/>
  <c r="V3560" i="9" a="1"/>
  <c r="W3560" i="9" s="1"/>
  <c r="T3561" i="9"/>
  <c r="U3561" i="9"/>
  <c r="V3561" i="9" a="1"/>
  <c r="W3561" i="9" s="1"/>
  <c r="T3562" i="9"/>
  <c r="U3562" i="9"/>
  <c r="V3562" i="9" a="1"/>
  <c r="W3562" i="9" s="1"/>
  <c r="T3563" i="9"/>
  <c r="U3563" i="9"/>
  <c r="V3563" i="9" a="1"/>
  <c r="W3563" i="9" s="1"/>
  <c r="T3564" i="9"/>
  <c r="U3564" i="9"/>
  <c r="V3564" i="9" a="1"/>
  <c r="W3564" i="9" s="1"/>
  <c r="T3565" i="9"/>
  <c r="U3565" i="9"/>
  <c r="V3565" i="9" a="1"/>
  <c r="W3565" i="9" s="1"/>
  <c r="T3566" i="9"/>
  <c r="U3566" i="9"/>
  <c r="V3566" i="9" a="1"/>
  <c r="W3566" i="9" s="1"/>
  <c r="T3567" i="9"/>
  <c r="U3567" i="9"/>
  <c r="V3567" i="9" a="1"/>
  <c r="W3567" i="9" s="1"/>
  <c r="T3568" i="9"/>
  <c r="U3568" i="9"/>
  <c r="V3568" i="9" a="1"/>
  <c r="W3568" i="9" s="1"/>
  <c r="T3569" i="9"/>
  <c r="U3569" i="9"/>
  <c r="V3569" i="9" a="1"/>
  <c r="W3569" i="9" s="1"/>
  <c r="T3570" i="9"/>
  <c r="U3570" i="9"/>
  <c r="V3570" i="9" a="1"/>
  <c r="W3570" i="9" s="1"/>
  <c r="T3571" i="9"/>
  <c r="U3571" i="9"/>
  <c r="V3571" i="9" a="1"/>
  <c r="W3571" i="9" s="1"/>
  <c r="T3572" i="9"/>
  <c r="U3572" i="9"/>
  <c r="V3572" i="9" a="1"/>
  <c r="W3572" i="9" s="1"/>
  <c r="T3573" i="9"/>
  <c r="U3573" i="9"/>
  <c r="V3573" i="9" a="1"/>
  <c r="W3573" i="9" s="1"/>
  <c r="T3574" i="9"/>
  <c r="U3574" i="9"/>
  <c r="V3574" i="9" a="1"/>
  <c r="W3574" i="9" s="1"/>
  <c r="T3575" i="9"/>
  <c r="U3575" i="9"/>
  <c r="V3575" i="9" a="1"/>
  <c r="W3575" i="9" s="1"/>
  <c r="T3576" i="9"/>
  <c r="U3576" i="9"/>
  <c r="V3576" i="9" a="1"/>
  <c r="W3576" i="9" s="1"/>
  <c r="T3577" i="9"/>
  <c r="U3577" i="9"/>
  <c r="V3577" i="9" a="1"/>
  <c r="W3577" i="9" s="1"/>
  <c r="T3578" i="9"/>
  <c r="U3578" i="9"/>
  <c r="V3578" i="9" a="1"/>
  <c r="W3578" i="9" s="1"/>
  <c r="T3579" i="9"/>
  <c r="U3579" i="9"/>
  <c r="V3579" i="9" a="1"/>
  <c r="W3579" i="9" s="1"/>
  <c r="T3580" i="9"/>
  <c r="U3580" i="9"/>
  <c r="V3580" i="9" a="1"/>
  <c r="W3580" i="9" s="1"/>
  <c r="T3581" i="9"/>
  <c r="U3581" i="9"/>
  <c r="V3581" i="9" a="1"/>
  <c r="W3581" i="9" s="1"/>
  <c r="T3582" i="9"/>
  <c r="U3582" i="9"/>
  <c r="V3582" i="9" a="1"/>
  <c r="W3582" i="9" s="1"/>
  <c r="T3583" i="9"/>
  <c r="U3583" i="9"/>
  <c r="V3583" i="9" a="1"/>
  <c r="W3583" i="9" s="1"/>
  <c r="T3584" i="9"/>
  <c r="U3584" i="9"/>
  <c r="V3584" i="9" a="1"/>
  <c r="W3584" i="9" s="1"/>
  <c r="T3585" i="9"/>
  <c r="U3585" i="9"/>
  <c r="V3585" i="9" a="1"/>
  <c r="W3585" i="9" s="1"/>
  <c r="T3586" i="9"/>
  <c r="U3586" i="9"/>
  <c r="V3586" i="9" a="1"/>
  <c r="W3586" i="9" s="1"/>
  <c r="T3587" i="9"/>
  <c r="U3587" i="9"/>
  <c r="V3587" i="9" a="1"/>
  <c r="W3587" i="9" s="1"/>
  <c r="T3588" i="9"/>
  <c r="U3588" i="9"/>
  <c r="V3588" i="9" a="1"/>
  <c r="W3588" i="9" s="1"/>
  <c r="T3589" i="9"/>
  <c r="U3589" i="9"/>
  <c r="V3589" i="9" a="1"/>
  <c r="W3589" i="9" s="1"/>
  <c r="T3590" i="9"/>
  <c r="U3590" i="9"/>
  <c r="V3590" i="9" a="1"/>
  <c r="W3590" i="9" s="1"/>
  <c r="T3591" i="9"/>
  <c r="U3591" i="9"/>
  <c r="V3591" i="9" a="1"/>
  <c r="W3591" i="9" s="1"/>
  <c r="T3592" i="9"/>
  <c r="U3592" i="9"/>
  <c r="V3592" i="9" a="1"/>
  <c r="W3592" i="9" s="1"/>
  <c r="T3593" i="9"/>
  <c r="U3593" i="9"/>
  <c r="V3593" i="9" a="1"/>
  <c r="W3593" i="9" s="1"/>
  <c r="T3594" i="9"/>
  <c r="U3594" i="9"/>
  <c r="V3594" i="9" a="1"/>
  <c r="W3594" i="9" s="1"/>
  <c r="T3595" i="9"/>
  <c r="U3595" i="9"/>
  <c r="V3595" i="9" a="1"/>
  <c r="W3595" i="9" s="1"/>
  <c r="T3596" i="9"/>
  <c r="U3596" i="9"/>
  <c r="V3596" i="9" a="1"/>
  <c r="W3596" i="9" s="1"/>
  <c r="T3597" i="9"/>
  <c r="U3597" i="9"/>
  <c r="V3597" i="9" a="1"/>
  <c r="W3597" i="9" s="1"/>
  <c r="T3598" i="9"/>
  <c r="U3598" i="9"/>
  <c r="V3598" i="9" a="1"/>
  <c r="W3598" i="9" s="1"/>
  <c r="T3599" i="9"/>
  <c r="U3599" i="9"/>
  <c r="V3599" i="9" a="1"/>
  <c r="W3599" i="9" s="1"/>
  <c r="T3600" i="9"/>
  <c r="U3600" i="9"/>
  <c r="V3600" i="9" a="1"/>
  <c r="W3600" i="9" s="1"/>
  <c r="T3601" i="9"/>
  <c r="U3601" i="9"/>
  <c r="V3601" i="9" a="1"/>
  <c r="W3601" i="9" s="1"/>
  <c r="T3602" i="9"/>
  <c r="U3602" i="9"/>
  <c r="V3602" i="9" a="1"/>
  <c r="W3602" i="9" s="1"/>
  <c r="T3603" i="9"/>
  <c r="U3603" i="9"/>
  <c r="V3603" i="9" a="1"/>
  <c r="W3603" i="9" s="1"/>
  <c r="T3604" i="9"/>
  <c r="U3604" i="9"/>
  <c r="V3604" i="9" a="1"/>
  <c r="W3604" i="9" s="1"/>
  <c r="T3605" i="9"/>
  <c r="U3605" i="9"/>
  <c r="V3605" i="9" a="1"/>
  <c r="W3605" i="9" s="1"/>
  <c r="T3606" i="9"/>
  <c r="U3606" i="9"/>
  <c r="V3606" i="9" a="1"/>
  <c r="W3606" i="9" s="1"/>
  <c r="T3607" i="9"/>
  <c r="U3607" i="9"/>
  <c r="V3607" i="9" a="1"/>
  <c r="W3607" i="9" s="1"/>
  <c r="T3608" i="9"/>
  <c r="U3608" i="9"/>
  <c r="V3608" i="9" a="1"/>
  <c r="W3608" i="9" s="1"/>
  <c r="T3609" i="9"/>
  <c r="U3609" i="9"/>
  <c r="V3609" i="9" a="1"/>
  <c r="W3609" i="9" s="1"/>
  <c r="T3610" i="9"/>
  <c r="U3610" i="9"/>
  <c r="V3610" i="9" a="1"/>
  <c r="W3610" i="9" s="1"/>
  <c r="T3611" i="9"/>
  <c r="U3611" i="9"/>
  <c r="V3611" i="9" a="1"/>
  <c r="W3611" i="9" s="1"/>
  <c r="T3612" i="9"/>
  <c r="U3612" i="9"/>
  <c r="V3612" i="9" a="1"/>
  <c r="W3612" i="9" s="1"/>
  <c r="T3613" i="9"/>
  <c r="U3613" i="9"/>
  <c r="V3613" i="9" a="1"/>
  <c r="W3613" i="9" s="1"/>
  <c r="T3614" i="9"/>
  <c r="U3614" i="9"/>
  <c r="V3614" i="9" a="1"/>
  <c r="W3614" i="9" s="1"/>
  <c r="T3615" i="9"/>
  <c r="U3615" i="9"/>
  <c r="V3615" i="9" a="1"/>
  <c r="W3615" i="9" s="1"/>
  <c r="T3616" i="9"/>
  <c r="U3616" i="9"/>
  <c r="V3616" i="9" a="1"/>
  <c r="W3616" i="9" s="1"/>
  <c r="T3617" i="9"/>
  <c r="U3617" i="9"/>
  <c r="V3617" i="9" a="1"/>
  <c r="W3617" i="9" s="1"/>
  <c r="T3618" i="9"/>
  <c r="U3618" i="9"/>
  <c r="V3618" i="9" a="1"/>
  <c r="W3618" i="9" s="1"/>
  <c r="T3619" i="9"/>
  <c r="U3619" i="9"/>
  <c r="V3619" i="9" a="1"/>
  <c r="W3619" i="9" s="1"/>
  <c r="T3620" i="9"/>
  <c r="U3620" i="9"/>
  <c r="V3620" i="9" a="1"/>
  <c r="W3620" i="9" s="1"/>
  <c r="T3621" i="9"/>
  <c r="U3621" i="9"/>
  <c r="V3621" i="9" a="1"/>
  <c r="W3621" i="9" s="1"/>
  <c r="T3622" i="9"/>
  <c r="U3622" i="9"/>
  <c r="V3622" i="9" a="1"/>
  <c r="W3622" i="9" s="1"/>
  <c r="T3623" i="9"/>
  <c r="U3623" i="9"/>
  <c r="V3623" i="9" a="1"/>
  <c r="W3623" i="9" s="1"/>
  <c r="T3624" i="9"/>
  <c r="U3624" i="9"/>
  <c r="V3624" i="9" a="1"/>
  <c r="W3624" i="9" s="1"/>
  <c r="T3625" i="9"/>
  <c r="U3625" i="9"/>
  <c r="V3625" i="9" a="1"/>
  <c r="W3625" i="9" s="1"/>
  <c r="T3626" i="9"/>
  <c r="U3626" i="9"/>
  <c r="V3626" i="9" a="1"/>
  <c r="W3626" i="9" s="1"/>
  <c r="T3627" i="9"/>
  <c r="U3627" i="9"/>
  <c r="V3627" i="9" a="1"/>
  <c r="W3627" i="9" s="1"/>
  <c r="T3628" i="9"/>
  <c r="U3628" i="9"/>
  <c r="V3628" i="9" a="1"/>
  <c r="W3628" i="9" s="1"/>
  <c r="T3629" i="9"/>
  <c r="U3629" i="9"/>
  <c r="V3629" i="9" a="1"/>
  <c r="W3629" i="9" s="1"/>
  <c r="T3630" i="9"/>
  <c r="U3630" i="9"/>
  <c r="V3630" i="9" a="1"/>
  <c r="W3630" i="9" s="1"/>
  <c r="T3631" i="9"/>
  <c r="U3631" i="9"/>
  <c r="V3631" i="9" a="1"/>
  <c r="W3631" i="9" s="1"/>
  <c r="T3632" i="9"/>
  <c r="U3632" i="9"/>
  <c r="V3632" i="9" a="1"/>
  <c r="W3632" i="9" s="1"/>
  <c r="T3633" i="9"/>
  <c r="U3633" i="9"/>
  <c r="V3633" i="9" a="1"/>
  <c r="W3633" i="9" s="1"/>
  <c r="T3634" i="9"/>
  <c r="U3634" i="9"/>
  <c r="V3634" i="9" a="1"/>
  <c r="W3634" i="9" s="1"/>
  <c r="T3635" i="9"/>
  <c r="U3635" i="9"/>
  <c r="V3635" i="9" a="1"/>
  <c r="W3635" i="9" s="1"/>
  <c r="T3636" i="9"/>
  <c r="U3636" i="9"/>
  <c r="V3636" i="9" a="1"/>
  <c r="W3636" i="9" s="1"/>
  <c r="T3637" i="9"/>
  <c r="U3637" i="9"/>
  <c r="V3637" i="9" a="1"/>
  <c r="W3637" i="9" s="1"/>
  <c r="T3638" i="9"/>
  <c r="U3638" i="9"/>
  <c r="V3638" i="9" a="1"/>
  <c r="W3638" i="9" s="1"/>
  <c r="T3639" i="9"/>
  <c r="U3639" i="9"/>
  <c r="V3639" i="9" a="1"/>
  <c r="W3639" i="9" s="1"/>
  <c r="T3640" i="9"/>
  <c r="U3640" i="9"/>
  <c r="V3640" i="9" a="1"/>
  <c r="W3640" i="9" s="1"/>
  <c r="T3641" i="9"/>
  <c r="U3641" i="9"/>
  <c r="V3641" i="9" a="1"/>
  <c r="W3641" i="9" s="1"/>
  <c r="T3642" i="9"/>
  <c r="U3642" i="9"/>
  <c r="V3642" i="9" a="1"/>
  <c r="W3642" i="9" s="1"/>
  <c r="T3643" i="9"/>
  <c r="U3643" i="9"/>
  <c r="V3643" i="9" a="1"/>
  <c r="W3643" i="9" s="1"/>
  <c r="T3644" i="9"/>
  <c r="U3644" i="9"/>
  <c r="V3644" i="9" a="1"/>
  <c r="W3644" i="9" s="1"/>
  <c r="T3645" i="9"/>
  <c r="U3645" i="9"/>
  <c r="V3645" i="9" a="1"/>
  <c r="W3645" i="9" s="1"/>
  <c r="T3646" i="9"/>
  <c r="U3646" i="9"/>
  <c r="V3646" i="9" a="1"/>
  <c r="W3646" i="9" s="1"/>
  <c r="T3647" i="9"/>
  <c r="U3647" i="9"/>
  <c r="V3647" i="9" a="1"/>
  <c r="W3647" i="9" s="1"/>
  <c r="T3648" i="9"/>
  <c r="U3648" i="9"/>
  <c r="V3648" i="9" a="1"/>
  <c r="W3648" i="9" s="1"/>
  <c r="T3649" i="9"/>
  <c r="U3649" i="9"/>
  <c r="V3649" i="9" a="1"/>
  <c r="W3649" i="9" s="1"/>
  <c r="T3650" i="9"/>
  <c r="U3650" i="9"/>
  <c r="V3650" i="9" a="1"/>
  <c r="W3650" i="9" s="1"/>
  <c r="T3651" i="9"/>
  <c r="U3651" i="9"/>
  <c r="V3651" i="9" a="1"/>
  <c r="W3651" i="9" s="1"/>
  <c r="T3652" i="9"/>
  <c r="U3652" i="9"/>
  <c r="V3652" i="9" a="1"/>
  <c r="W3652" i="9" s="1"/>
  <c r="T3653" i="9"/>
  <c r="U3653" i="9"/>
  <c r="V3653" i="9" a="1"/>
  <c r="W3653" i="9" s="1"/>
  <c r="T3654" i="9"/>
  <c r="U3654" i="9"/>
  <c r="V3654" i="9" a="1"/>
  <c r="W3654" i="9" s="1"/>
  <c r="T3655" i="9"/>
  <c r="U3655" i="9"/>
  <c r="V3655" i="9" a="1"/>
  <c r="W3655" i="9" s="1"/>
  <c r="T3656" i="9"/>
  <c r="U3656" i="9"/>
  <c r="V3656" i="9" a="1"/>
  <c r="W3656" i="9" s="1"/>
  <c r="T3657" i="9"/>
  <c r="U3657" i="9"/>
  <c r="V3657" i="9" a="1"/>
  <c r="W3657" i="9" s="1"/>
  <c r="T3658" i="9"/>
  <c r="U3658" i="9"/>
  <c r="V3658" i="9" a="1"/>
  <c r="W3658" i="9" s="1"/>
  <c r="T3659" i="9"/>
  <c r="U3659" i="9"/>
  <c r="V3659" i="9" a="1"/>
  <c r="W3659" i="9" s="1"/>
  <c r="T3660" i="9"/>
  <c r="U3660" i="9"/>
  <c r="V3660" i="9" a="1"/>
  <c r="W3660" i="9" s="1"/>
  <c r="T3661" i="9"/>
  <c r="U3661" i="9"/>
  <c r="V3661" i="9" a="1"/>
  <c r="W3661" i="9" s="1"/>
  <c r="T3662" i="9"/>
  <c r="U3662" i="9"/>
  <c r="V3662" i="9" a="1"/>
  <c r="W3662" i="9" s="1"/>
  <c r="T3663" i="9"/>
  <c r="U3663" i="9"/>
  <c r="V3663" i="9" a="1"/>
  <c r="W3663" i="9" s="1"/>
  <c r="T3664" i="9"/>
  <c r="U3664" i="9"/>
  <c r="V3664" i="9" a="1"/>
  <c r="W3664" i="9" s="1"/>
  <c r="T3665" i="9"/>
  <c r="U3665" i="9"/>
  <c r="V3665" i="9" a="1"/>
  <c r="W3665" i="9" s="1"/>
  <c r="T3666" i="9"/>
  <c r="U3666" i="9"/>
  <c r="V3666" i="9" a="1"/>
  <c r="W3666" i="9" s="1"/>
  <c r="T3667" i="9"/>
  <c r="U3667" i="9"/>
  <c r="V3667" i="9" a="1"/>
  <c r="W3667" i="9" s="1"/>
  <c r="T3668" i="9"/>
  <c r="U3668" i="9"/>
  <c r="V3668" i="9" a="1"/>
  <c r="W3668" i="9" s="1"/>
  <c r="T3669" i="9"/>
  <c r="U3669" i="9"/>
  <c r="V3669" i="9" a="1"/>
  <c r="W3669" i="9" s="1"/>
  <c r="T3670" i="9"/>
  <c r="U3670" i="9"/>
  <c r="V3670" i="9" a="1"/>
  <c r="W3670" i="9" s="1"/>
  <c r="T3671" i="9"/>
  <c r="U3671" i="9"/>
  <c r="V3671" i="9" a="1"/>
  <c r="W3671" i="9" s="1"/>
  <c r="T3672" i="9"/>
  <c r="U3672" i="9"/>
  <c r="V3672" i="9" a="1"/>
  <c r="W3672" i="9" s="1"/>
  <c r="T3673" i="9"/>
  <c r="U3673" i="9"/>
  <c r="V3673" i="9" a="1"/>
  <c r="W3673" i="9" s="1"/>
  <c r="T3674" i="9"/>
  <c r="U3674" i="9"/>
  <c r="V3674" i="9" a="1"/>
  <c r="W3674" i="9" s="1"/>
  <c r="T3675" i="9"/>
  <c r="U3675" i="9"/>
  <c r="V3675" i="9" a="1"/>
  <c r="W3675" i="9" s="1"/>
  <c r="T3676" i="9"/>
  <c r="U3676" i="9"/>
  <c r="V3676" i="9" a="1"/>
  <c r="W3676" i="9" s="1"/>
  <c r="T3677" i="9"/>
  <c r="U3677" i="9"/>
  <c r="V3677" i="9" a="1"/>
  <c r="W3677" i="9" s="1"/>
  <c r="T3678" i="9"/>
  <c r="U3678" i="9"/>
  <c r="V3678" i="9" a="1"/>
  <c r="W3678" i="9" s="1"/>
  <c r="T3679" i="9"/>
  <c r="U3679" i="9"/>
  <c r="V3679" i="9" a="1"/>
  <c r="W3679" i="9" s="1"/>
  <c r="T3680" i="9"/>
  <c r="U3680" i="9"/>
  <c r="V3680" i="9" a="1"/>
  <c r="W3680" i="9" s="1"/>
  <c r="T3681" i="9"/>
  <c r="U3681" i="9"/>
  <c r="V3681" i="9" a="1"/>
  <c r="W3681" i="9" s="1"/>
  <c r="T3682" i="9"/>
  <c r="U3682" i="9"/>
  <c r="V3682" i="9" a="1"/>
  <c r="W3682" i="9" s="1"/>
  <c r="T3683" i="9"/>
  <c r="U3683" i="9"/>
  <c r="V3683" i="9" a="1"/>
  <c r="W3683" i="9" s="1"/>
  <c r="T3684" i="9"/>
  <c r="U3684" i="9"/>
  <c r="V3684" i="9" a="1"/>
  <c r="W3684" i="9" s="1"/>
  <c r="T3685" i="9"/>
  <c r="U3685" i="9"/>
  <c r="V3685" i="9" a="1"/>
  <c r="W3685" i="9" s="1"/>
  <c r="T3686" i="9"/>
  <c r="U3686" i="9"/>
  <c r="V3686" i="9" a="1"/>
  <c r="W3686" i="9" s="1"/>
  <c r="T3687" i="9"/>
  <c r="U3687" i="9"/>
  <c r="V3687" i="9" a="1"/>
  <c r="W3687" i="9" s="1"/>
  <c r="T3688" i="9"/>
  <c r="U3688" i="9"/>
  <c r="V3688" i="9" a="1"/>
  <c r="W3688" i="9" s="1"/>
  <c r="T3689" i="9"/>
  <c r="U3689" i="9"/>
  <c r="V3689" i="9" a="1"/>
  <c r="W3689" i="9" s="1"/>
  <c r="T3690" i="9"/>
  <c r="U3690" i="9"/>
  <c r="V3690" i="9" a="1"/>
  <c r="W3690" i="9" s="1"/>
  <c r="T3691" i="9"/>
  <c r="U3691" i="9"/>
  <c r="V3691" i="9" a="1"/>
  <c r="W3691" i="9" s="1"/>
  <c r="T3692" i="9"/>
  <c r="U3692" i="9"/>
  <c r="V3692" i="9" a="1"/>
  <c r="W3692" i="9" s="1"/>
  <c r="T3693" i="9"/>
  <c r="U3693" i="9"/>
  <c r="V3693" i="9" a="1"/>
  <c r="W3693" i="9" s="1"/>
  <c r="T3694" i="9"/>
  <c r="U3694" i="9"/>
  <c r="V3694" i="9" a="1"/>
  <c r="W3694" i="9" s="1"/>
  <c r="T3695" i="9"/>
  <c r="U3695" i="9"/>
  <c r="V3695" i="9" a="1"/>
  <c r="W3695" i="9" s="1"/>
  <c r="T3696" i="9"/>
  <c r="U3696" i="9"/>
  <c r="V3696" i="9" a="1"/>
  <c r="W3696" i="9" s="1"/>
  <c r="T3697" i="9"/>
  <c r="U3697" i="9"/>
  <c r="V3697" i="9" a="1"/>
  <c r="W3697" i="9" s="1"/>
  <c r="T3698" i="9"/>
  <c r="U3698" i="9"/>
  <c r="V3698" i="9" a="1"/>
  <c r="W3698" i="9" s="1"/>
  <c r="T3699" i="9"/>
  <c r="U3699" i="9"/>
  <c r="V3699" i="9" a="1"/>
  <c r="W3699" i="9" s="1"/>
  <c r="T3700" i="9"/>
  <c r="U3700" i="9"/>
  <c r="V3700" i="9" a="1"/>
  <c r="W3700" i="9" s="1"/>
  <c r="T3701" i="9"/>
  <c r="U3701" i="9"/>
  <c r="V3701" i="9" a="1"/>
  <c r="W3701" i="9" s="1"/>
  <c r="T3702" i="9"/>
  <c r="U3702" i="9"/>
  <c r="V3702" i="9" a="1"/>
  <c r="W3702" i="9" s="1"/>
  <c r="T3703" i="9"/>
  <c r="U3703" i="9"/>
  <c r="V3703" i="9" a="1"/>
  <c r="W3703" i="9" s="1"/>
  <c r="T3704" i="9"/>
  <c r="U3704" i="9"/>
  <c r="V3704" i="9" a="1"/>
  <c r="W3704" i="9" s="1"/>
  <c r="T3705" i="9"/>
  <c r="U3705" i="9"/>
  <c r="V3705" i="9" a="1"/>
  <c r="W3705" i="9" s="1"/>
  <c r="T3706" i="9"/>
  <c r="U3706" i="9"/>
  <c r="V3706" i="9" a="1"/>
  <c r="W3706" i="9" s="1"/>
  <c r="T3707" i="9"/>
  <c r="U3707" i="9"/>
  <c r="V3707" i="9" a="1"/>
  <c r="W3707" i="9" s="1"/>
  <c r="T3708" i="9"/>
  <c r="U3708" i="9"/>
  <c r="V3708" i="9" a="1"/>
  <c r="W3708" i="9" s="1"/>
  <c r="T3709" i="9"/>
  <c r="U3709" i="9"/>
  <c r="V3709" i="9" a="1"/>
  <c r="W3709" i="9" s="1"/>
  <c r="T3710" i="9"/>
  <c r="U3710" i="9"/>
  <c r="V3710" i="9" a="1"/>
  <c r="W3710" i="9" s="1"/>
  <c r="T3711" i="9"/>
  <c r="U3711" i="9"/>
  <c r="V3711" i="9" a="1"/>
  <c r="W3711" i="9" s="1"/>
  <c r="T3712" i="9"/>
  <c r="U3712" i="9"/>
  <c r="V3712" i="9" a="1"/>
  <c r="W3712" i="9" s="1"/>
  <c r="T3713" i="9"/>
  <c r="U3713" i="9"/>
  <c r="V3713" i="9" a="1"/>
  <c r="W3713" i="9" s="1"/>
  <c r="T3714" i="9"/>
  <c r="U3714" i="9"/>
  <c r="V3714" i="9" a="1"/>
  <c r="W3714" i="9" s="1"/>
  <c r="T3715" i="9"/>
  <c r="U3715" i="9"/>
  <c r="V3715" i="9" a="1"/>
  <c r="W3715" i="9" s="1"/>
  <c r="T3716" i="9"/>
  <c r="U3716" i="9"/>
  <c r="V3716" i="9" a="1"/>
  <c r="W3716" i="9" s="1"/>
  <c r="T3717" i="9"/>
  <c r="U3717" i="9"/>
  <c r="V3717" i="9" a="1"/>
  <c r="W3717" i="9" s="1"/>
  <c r="T3718" i="9"/>
  <c r="U3718" i="9"/>
  <c r="V3718" i="9" a="1"/>
  <c r="W3718" i="9" s="1"/>
  <c r="T3719" i="9"/>
  <c r="U3719" i="9"/>
  <c r="V3719" i="9" a="1"/>
  <c r="W3719" i="9" s="1"/>
  <c r="T3720" i="9"/>
  <c r="U3720" i="9"/>
  <c r="V3720" i="9" a="1"/>
  <c r="W3720" i="9" s="1"/>
  <c r="T3721" i="9"/>
  <c r="U3721" i="9"/>
  <c r="V3721" i="9" a="1"/>
  <c r="W3721" i="9" s="1"/>
  <c r="T3722" i="9"/>
  <c r="U3722" i="9"/>
  <c r="V3722" i="9" a="1"/>
  <c r="W3722" i="9" s="1"/>
  <c r="T3723" i="9"/>
  <c r="U3723" i="9"/>
  <c r="V3723" i="9" a="1"/>
  <c r="W3723" i="9" s="1"/>
  <c r="T3724" i="9"/>
  <c r="U3724" i="9"/>
  <c r="V3724" i="9" a="1"/>
  <c r="W3724" i="9" s="1"/>
  <c r="T3725" i="9"/>
  <c r="U3725" i="9"/>
  <c r="V3725" i="9" a="1"/>
  <c r="W3725" i="9" s="1"/>
  <c r="T3726" i="9"/>
  <c r="U3726" i="9"/>
  <c r="V3726" i="9" a="1"/>
  <c r="W3726" i="9" s="1"/>
  <c r="T3727" i="9"/>
  <c r="U3727" i="9"/>
  <c r="V3727" i="9" a="1"/>
  <c r="W3727" i="9" s="1"/>
  <c r="T3728" i="9"/>
  <c r="U3728" i="9"/>
  <c r="V3728" i="9" a="1"/>
  <c r="W3728" i="9" s="1"/>
  <c r="T3729" i="9"/>
  <c r="U3729" i="9"/>
  <c r="V3729" i="9" a="1"/>
  <c r="W3729" i="9" s="1"/>
  <c r="T3730" i="9"/>
  <c r="U3730" i="9"/>
  <c r="V3730" i="9" a="1"/>
  <c r="W3730" i="9" s="1"/>
  <c r="T3731" i="9"/>
  <c r="U3731" i="9"/>
  <c r="V3731" i="9" a="1"/>
  <c r="W3731" i="9" s="1"/>
  <c r="T3732" i="9"/>
  <c r="U3732" i="9"/>
  <c r="V3732" i="9" a="1"/>
  <c r="W3732" i="9" s="1"/>
  <c r="T3733" i="9"/>
  <c r="U3733" i="9"/>
  <c r="V3733" i="9" a="1"/>
  <c r="W3733" i="9" s="1"/>
  <c r="T3734" i="9"/>
  <c r="U3734" i="9"/>
  <c r="V3734" i="9" a="1"/>
  <c r="W3734" i="9" s="1"/>
  <c r="T3735" i="9"/>
  <c r="U3735" i="9"/>
  <c r="V3735" i="9" a="1"/>
  <c r="W3735" i="9" s="1"/>
  <c r="T3736" i="9"/>
  <c r="U3736" i="9"/>
  <c r="V3736" i="9" a="1"/>
  <c r="W3736" i="9" s="1"/>
  <c r="T3737" i="9"/>
  <c r="U3737" i="9"/>
  <c r="V3737" i="9" a="1"/>
  <c r="W3737" i="9" s="1"/>
  <c r="T3738" i="9"/>
  <c r="U3738" i="9"/>
  <c r="V3738" i="9" a="1"/>
  <c r="W3738" i="9" s="1"/>
  <c r="T3739" i="9"/>
  <c r="U3739" i="9"/>
  <c r="V3739" i="9" a="1"/>
  <c r="W3739" i="9" s="1"/>
  <c r="T3740" i="9"/>
  <c r="U3740" i="9"/>
  <c r="V3740" i="9" a="1"/>
  <c r="W3740" i="9" s="1"/>
  <c r="T3741" i="9"/>
  <c r="U3741" i="9"/>
  <c r="V3741" i="9" a="1"/>
  <c r="W3741" i="9" s="1"/>
  <c r="T3742" i="9"/>
  <c r="U3742" i="9"/>
  <c r="V3742" i="9" a="1"/>
  <c r="W3742" i="9" s="1"/>
  <c r="T3743" i="9"/>
  <c r="U3743" i="9"/>
  <c r="V3743" i="9" a="1"/>
  <c r="W3743" i="9" s="1"/>
  <c r="T3744" i="9"/>
  <c r="U3744" i="9"/>
  <c r="V3744" i="9" a="1"/>
  <c r="W3744" i="9" s="1"/>
  <c r="T3745" i="9"/>
  <c r="U3745" i="9"/>
  <c r="V3745" i="9" a="1"/>
  <c r="W3745" i="9" s="1"/>
  <c r="T3746" i="9"/>
  <c r="U3746" i="9"/>
  <c r="V3746" i="9" a="1"/>
  <c r="W3746" i="9" s="1"/>
  <c r="T3747" i="9"/>
  <c r="U3747" i="9"/>
  <c r="V3747" i="9" a="1"/>
  <c r="W3747" i="9" s="1"/>
  <c r="T3748" i="9"/>
  <c r="U3748" i="9"/>
  <c r="V3748" i="9" a="1"/>
  <c r="W3748" i="9" s="1"/>
  <c r="T3749" i="9"/>
  <c r="U3749" i="9"/>
  <c r="V3749" i="9" a="1"/>
  <c r="W3749" i="9" s="1"/>
  <c r="T3750" i="9"/>
  <c r="U3750" i="9"/>
  <c r="V3750" i="9" a="1"/>
  <c r="W3750" i="9" s="1"/>
  <c r="T3751" i="9"/>
  <c r="U3751" i="9"/>
  <c r="V3751" i="9" a="1"/>
  <c r="W3751" i="9" s="1"/>
  <c r="T3752" i="9"/>
  <c r="U3752" i="9"/>
  <c r="V3752" i="9" a="1"/>
  <c r="W3752" i="9" s="1"/>
  <c r="T3753" i="9"/>
  <c r="U3753" i="9"/>
  <c r="V3753" i="9" a="1"/>
  <c r="W3753" i="9" s="1"/>
  <c r="T3754" i="9"/>
  <c r="U3754" i="9"/>
  <c r="V3754" i="9" a="1"/>
  <c r="W3754" i="9" s="1"/>
  <c r="T3755" i="9"/>
  <c r="U3755" i="9"/>
  <c r="V3755" i="9" a="1"/>
  <c r="W3755" i="9" s="1"/>
  <c r="T3756" i="9"/>
  <c r="U3756" i="9"/>
  <c r="V3756" i="9" a="1"/>
  <c r="W3756" i="9" s="1"/>
  <c r="T3757" i="9"/>
  <c r="U3757" i="9"/>
  <c r="V3757" i="9" a="1"/>
  <c r="W3757" i="9" s="1"/>
  <c r="T3758" i="9"/>
  <c r="U3758" i="9"/>
  <c r="V3758" i="9" a="1"/>
  <c r="W3758" i="9" s="1"/>
  <c r="T3759" i="9"/>
  <c r="U3759" i="9"/>
  <c r="V3759" i="9" a="1"/>
  <c r="W3759" i="9" s="1"/>
  <c r="T3760" i="9"/>
  <c r="U3760" i="9"/>
  <c r="V3760" i="9" a="1"/>
  <c r="W3760" i="9" s="1"/>
  <c r="T3761" i="9"/>
  <c r="U3761" i="9"/>
  <c r="V3761" i="9" a="1"/>
  <c r="W3761" i="9" s="1"/>
  <c r="T3762" i="9"/>
  <c r="U3762" i="9"/>
  <c r="V3762" i="9" a="1"/>
  <c r="W3762" i="9" s="1"/>
  <c r="T3763" i="9"/>
  <c r="U3763" i="9"/>
  <c r="V3763" i="9" a="1"/>
  <c r="W3763" i="9" s="1"/>
  <c r="T3764" i="9"/>
  <c r="U3764" i="9"/>
  <c r="V3764" i="9" a="1"/>
  <c r="W3764" i="9" s="1"/>
  <c r="T3765" i="9"/>
  <c r="U3765" i="9"/>
  <c r="V3765" i="9" a="1"/>
  <c r="W3765" i="9" s="1"/>
  <c r="T3766" i="9"/>
  <c r="U3766" i="9"/>
  <c r="V3766" i="9" a="1"/>
  <c r="W3766" i="9" s="1"/>
  <c r="T3767" i="9"/>
  <c r="U3767" i="9"/>
  <c r="V3767" i="9" a="1"/>
  <c r="W3767" i="9" s="1"/>
  <c r="T3768" i="9"/>
  <c r="U3768" i="9"/>
  <c r="V3768" i="9" a="1"/>
  <c r="W3768" i="9" s="1"/>
  <c r="T3769" i="9"/>
  <c r="U3769" i="9"/>
  <c r="V3769" i="9" a="1"/>
  <c r="W3769" i="9" s="1"/>
  <c r="T3770" i="9"/>
  <c r="U3770" i="9"/>
  <c r="V3770" i="9" a="1"/>
  <c r="W3770" i="9" s="1"/>
  <c r="T3771" i="9"/>
  <c r="U3771" i="9"/>
  <c r="V3771" i="9" a="1"/>
  <c r="W3771" i="9" s="1"/>
  <c r="T3772" i="9"/>
  <c r="U3772" i="9"/>
  <c r="V3772" i="9" a="1"/>
  <c r="W3772" i="9" s="1"/>
  <c r="T3773" i="9"/>
  <c r="U3773" i="9"/>
  <c r="V3773" i="9" a="1"/>
  <c r="W3773" i="9" s="1"/>
  <c r="T3774" i="9"/>
  <c r="U3774" i="9"/>
  <c r="V3774" i="9" a="1"/>
  <c r="W3774" i="9" s="1"/>
  <c r="T3775" i="9"/>
  <c r="U3775" i="9"/>
  <c r="V3775" i="9" a="1"/>
  <c r="W3775" i="9" s="1"/>
  <c r="T3776" i="9"/>
  <c r="U3776" i="9"/>
  <c r="V3776" i="9" a="1"/>
  <c r="W3776" i="9" s="1"/>
  <c r="T3777" i="9"/>
  <c r="U3777" i="9"/>
  <c r="V3777" i="9" a="1"/>
  <c r="W3777" i="9" s="1"/>
  <c r="T3778" i="9"/>
  <c r="U3778" i="9"/>
  <c r="V3778" i="9" a="1"/>
  <c r="W3778" i="9" s="1"/>
  <c r="T3779" i="9"/>
  <c r="U3779" i="9"/>
  <c r="V3779" i="9" a="1"/>
  <c r="W3779" i="9" s="1"/>
  <c r="T3780" i="9"/>
  <c r="U3780" i="9"/>
  <c r="V3780" i="9" a="1"/>
  <c r="W3780" i="9" s="1"/>
  <c r="T3781" i="9"/>
  <c r="U3781" i="9"/>
  <c r="V3781" i="9" a="1"/>
  <c r="W3781" i="9" s="1"/>
  <c r="T3782" i="9"/>
  <c r="U3782" i="9"/>
  <c r="V3782" i="9" a="1"/>
  <c r="W3782" i="9" s="1"/>
  <c r="T3783" i="9"/>
  <c r="U3783" i="9"/>
  <c r="V3783" i="9" a="1"/>
  <c r="W3783" i="9" s="1"/>
  <c r="T3784" i="9"/>
  <c r="U3784" i="9"/>
  <c r="V3784" i="9" a="1"/>
  <c r="W3784" i="9" s="1"/>
  <c r="T3785" i="9"/>
  <c r="U3785" i="9"/>
  <c r="V3785" i="9" a="1"/>
  <c r="W3785" i="9" s="1"/>
  <c r="T3786" i="9"/>
  <c r="U3786" i="9"/>
  <c r="V3786" i="9" a="1"/>
  <c r="W3786" i="9" s="1"/>
  <c r="T3787" i="9"/>
  <c r="U3787" i="9"/>
  <c r="V3787" i="9" a="1"/>
  <c r="W3787" i="9" s="1"/>
  <c r="T3788" i="9"/>
  <c r="U3788" i="9"/>
  <c r="V3788" i="9" a="1"/>
  <c r="W3788" i="9" s="1"/>
  <c r="T3789" i="9"/>
  <c r="U3789" i="9"/>
  <c r="V3789" i="9" a="1"/>
  <c r="W3789" i="9" s="1"/>
  <c r="T3790" i="9"/>
  <c r="U3790" i="9"/>
  <c r="V3790" i="9" a="1"/>
  <c r="W3790" i="9" s="1"/>
  <c r="T3791" i="9"/>
  <c r="U3791" i="9"/>
  <c r="V3791" i="9" a="1"/>
  <c r="W3791" i="9" s="1"/>
  <c r="T3792" i="9"/>
  <c r="U3792" i="9"/>
  <c r="V3792" i="9" a="1"/>
  <c r="W3792" i="9" s="1"/>
  <c r="T3793" i="9"/>
  <c r="U3793" i="9"/>
  <c r="V3793" i="9" a="1"/>
  <c r="W3793" i="9" s="1"/>
  <c r="T3794" i="9"/>
  <c r="U3794" i="9"/>
  <c r="V3794" i="9" a="1"/>
  <c r="W3794" i="9" s="1"/>
  <c r="T3795" i="9"/>
  <c r="U3795" i="9"/>
  <c r="V3795" i="9" a="1"/>
  <c r="W3795" i="9" s="1"/>
  <c r="T3796" i="9"/>
  <c r="U3796" i="9"/>
  <c r="V3796" i="9" a="1"/>
  <c r="W3796" i="9" s="1"/>
  <c r="T3797" i="9"/>
  <c r="U3797" i="9"/>
  <c r="V3797" i="9" a="1"/>
  <c r="W3797" i="9" s="1"/>
  <c r="T3798" i="9"/>
  <c r="U3798" i="9"/>
  <c r="V3798" i="9" a="1"/>
  <c r="W3798" i="9" s="1"/>
  <c r="T3799" i="9"/>
  <c r="U3799" i="9"/>
  <c r="V3799" i="9" a="1"/>
  <c r="W3799" i="9" s="1"/>
  <c r="T3800" i="9"/>
  <c r="U3800" i="9"/>
  <c r="V3800" i="9" a="1"/>
  <c r="W3800" i="9" s="1"/>
  <c r="T3801" i="9"/>
  <c r="U3801" i="9"/>
  <c r="V3801" i="9" a="1"/>
  <c r="W3801" i="9" s="1"/>
  <c r="T3802" i="9"/>
  <c r="U3802" i="9"/>
  <c r="V3802" i="9" a="1"/>
  <c r="W3802" i="9" s="1"/>
  <c r="T3803" i="9"/>
  <c r="U3803" i="9"/>
  <c r="V3803" i="9" a="1"/>
  <c r="W3803" i="9" s="1"/>
  <c r="T3804" i="9"/>
  <c r="U3804" i="9"/>
  <c r="V3804" i="9" a="1"/>
  <c r="W3804" i="9" s="1"/>
  <c r="T3805" i="9"/>
  <c r="U3805" i="9"/>
  <c r="V3805" i="9" a="1"/>
  <c r="W3805" i="9" s="1"/>
  <c r="T3806" i="9"/>
  <c r="U3806" i="9"/>
  <c r="V3806" i="9" a="1"/>
  <c r="W3806" i="9" s="1"/>
  <c r="T3807" i="9"/>
  <c r="U3807" i="9"/>
  <c r="V3807" i="9" a="1"/>
  <c r="W3807" i="9" s="1"/>
  <c r="T3808" i="9"/>
  <c r="U3808" i="9"/>
  <c r="V3808" i="9" a="1"/>
  <c r="W3808" i="9" s="1"/>
  <c r="T3809" i="9"/>
  <c r="U3809" i="9"/>
  <c r="V3809" i="9" a="1"/>
  <c r="W3809" i="9" s="1"/>
  <c r="T3810" i="9"/>
  <c r="U3810" i="9"/>
  <c r="V3810" i="9" a="1"/>
  <c r="W3810" i="9" s="1"/>
  <c r="T3811" i="9"/>
  <c r="U3811" i="9"/>
  <c r="V3811" i="9" a="1"/>
  <c r="W3811" i="9" s="1"/>
  <c r="T3812" i="9"/>
  <c r="U3812" i="9"/>
  <c r="V3812" i="9" a="1"/>
  <c r="W3812" i="9" s="1"/>
  <c r="T3813" i="9"/>
  <c r="U3813" i="9"/>
  <c r="V3813" i="9" a="1"/>
  <c r="W3813" i="9" s="1"/>
  <c r="T3814" i="9"/>
  <c r="U3814" i="9"/>
  <c r="V3814" i="9" a="1"/>
  <c r="W3814" i="9" s="1"/>
  <c r="T3815" i="9"/>
  <c r="U3815" i="9"/>
  <c r="V3815" i="9" a="1"/>
  <c r="W3815" i="9" s="1"/>
  <c r="T3816" i="9"/>
  <c r="U3816" i="9"/>
  <c r="V3816" i="9" a="1"/>
  <c r="W3816" i="9" s="1"/>
  <c r="T3817" i="9"/>
  <c r="U3817" i="9"/>
  <c r="V3817" i="9" a="1"/>
  <c r="W3817" i="9" s="1"/>
  <c r="T3818" i="9"/>
  <c r="U3818" i="9"/>
  <c r="V3818" i="9" a="1"/>
  <c r="W3818" i="9" s="1"/>
  <c r="T3819" i="9"/>
  <c r="U3819" i="9"/>
  <c r="V3819" i="9" a="1"/>
  <c r="W3819" i="9" s="1"/>
  <c r="T3820" i="9"/>
  <c r="U3820" i="9"/>
  <c r="V3820" i="9" a="1"/>
  <c r="W3820" i="9" s="1"/>
  <c r="T3821" i="9"/>
  <c r="U3821" i="9"/>
  <c r="V3821" i="9" a="1"/>
  <c r="W3821" i="9" s="1"/>
  <c r="T3822" i="9"/>
  <c r="U3822" i="9"/>
  <c r="V3822" i="9" a="1"/>
  <c r="W3822" i="9" s="1"/>
  <c r="T3823" i="9"/>
  <c r="U3823" i="9"/>
  <c r="V3823" i="9" a="1"/>
  <c r="W3823" i="9" s="1"/>
  <c r="T3824" i="9"/>
  <c r="U3824" i="9"/>
  <c r="V3824" i="9" a="1"/>
  <c r="W3824" i="9" s="1"/>
  <c r="T3825" i="9"/>
  <c r="U3825" i="9"/>
  <c r="V3825" i="9" a="1"/>
  <c r="W3825" i="9" s="1"/>
  <c r="T3826" i="9"/>
  <c r="U3826" i="9"/>
  <c r="V3826" i="9" a="1"/>
  <c r="W3826" i="9" s="1"/>
  <c r="T3827" i="9"/>
  <c r="U3827" i="9"/>
  <c r="V3827" i="9" a="1"/>
  <c r="W3827" i="9" s="1"/>
  <c r="T3828" i="9"/>
  <c r="U3828" i="9"/>
  <c r="V3828" i="9" a="1"/>
  <c r="W3828" i="9" s="1"/>
  <c r="T3829" i="9"/>
  <c r="U3829" i="9"/>
  <c r="V3829" i="9" a="1"/>
  <c r="W3829" i="9" s="1"/>
  <c r="T3830" i="9"/>
  <c r="U3830" i="9"/>
  <c r="V3830" i="9" a="1"/>
  <c r="W3830" i="9" s="1"/>
  <c r="T3831" i="9"/>
  <c r="U3831" i="9"/>
  <c r="V3831" i="9" a="1"/>
  <c r="W3831" i="9" s="1"/>
  <c r="T3832" i="9"/>
  <c r="U3832" i="9"/>
  <c r="V3832" i="9" a="1"/>
  <c r="W3832" i="9" s="1"/>
  <c r="T3833" i="9"/>
  <c r="U3833" i="9"/>
  <c r="V3833" i="9" a="1"/>
  <c r="W3833" i="9" s="1"/>
  <c r="T3834" i="9"/>
  <c r="U3834" i="9"/>
  <c r="V3834" i="9" a="1"/>
  <c r="W3834" i="9" s="1"/>
  <c r="T3835" i="9"/>
  <c r="U3835" i="9"/>
  <c r="V3835" i="9" a="1"/>
  <c r="W3835" i="9" s="1"/>
  <c r="T3836" i="9"/>
  <c r="U3836" i="9"/>
  <c r="V3836" i="9" a="1"/>
  <c r="W3836" i="9" s="1"/>
  <c r="T3837" i="9"/>
  <c r="U3837" i="9"/>
  <c r="V3837" i="9" a="1"/>
  <c r="W3837" i="9" s="1"/>
  <c r="T3838" i="9"/>
  <c r="U3838" i="9"/>
  <c r="V3838" i="9" a="1"/>
  <c r="W3838" i="9" s="1"/>
  <c r="T3839" i="9"/>
  <c r="U3839" i="9"/>
  <c r="V3839" i="9" a="1"/>
  <c r="W3839" i="9" s="1"/>
  <c r="T3840" i="9"/>
  <c r="U3840" i="9"/>
  <c r="V3840" i="9" a="1"/>
  <c r="W3840" i="9" s="1"/>
  <c r="T3841" i="9"/>
  <c r="U3841" i="9"/>
  <c r="V3841" i="9" a="1"/>
  <c r="W3841" i="9" s="1"/>
  <c r="T3842" i="9"/>
  <c r="U3842" i="9"/>
  <c r="V3842" i="9" a="1"/>
  <c r="W3842" i="9" s="1"/>
  <c r="T3843" i="9"/>
  <c r="U3843" i="9"/>
  <c r="V3843" i="9" a="1"/>
  <c r="W3843" i="9" s="1"/>
  <c r="T3844" i="9"/>
  <c r="U3844" i="9"/>
  <c r="V3844" i="9" a="1"/>
  <c r="W3844" i="9" s="1"/>
  <c r="T3845" i="9"/>
  <c r="U3845" i="9"/>
  <c r="V3845" i="9" a="1"/>
  <c r="W3845" i="9" s="1"/>
  <c r="T3846" i="9"/>
  <c r="U3846" i="9"/>
  <c r="V3846" i="9" a="1"/>
  <c r="W3846" i="9" s="1"/>
  <c r="T3847" i="9"/>
  <c r="U3847" i="9"/>
  <c r="V3847" i="9" a="1"/>
  <c r="W3847" i="9" s="1"/>
  <c r="T3848" i="9"/>
  <c r="U3848" i="9"/>
  <c r="V3848" i="9" a="1"/>
  <c r="W3848" i="9" s="1"/>
  <c r="T3849" i="9"/>
  <c r="U3849" i="9"/>
  <c r="V3849" i="9" a="1"/>
  <c r="W3849" i="9" s="1"/>
  <c r="T3850" i="9"/>
  <c r="U3850" i="9"/>
  <c r="V3850" i="9" a="1"/>
  <c r="W3850" i="9" s="1"/>
  <c r="T3851" i="9"/>
  <c r="U3851" i="9"/>
  <c r="V3851" i="9" a="1"/>
  <c r="W3851" i="9" s="1"/>
  <c r="T3852" i="9"/>
  <c r="U3852" i="9"/>
  <c r="V3852" i="9" a="1"/>
  <c r="W3852" i="9" s="1"/>
  <c r="T3853" i="9"/>
  <c r="U3853" i="9"/>
  <c r="V3853" i="9" a="1"/>
  <c r="W3853" i="9" s="1"/>
  <c r="T3854" i="9"/>
  <c r="U3854" i="9"/>
  <c r="V3854" i="9" a="1"/>
  <c r="W3854" i="9" s="1"/>
  <c r="T3855" i="9"/>
  <c r="U3855" i="9"/>
  <c r="V3855" i="9" a="1"/>
  <c r="W3855" i="9" s="1"/>
  <c r="T3856" i="9"/>
  <c r="U3856" i="9"/>
  <c r="V3856" i="9" a="1"/>
  <c r="W3856" i="9" s="1"/>
  <c r="T3857" i="9"/>
  <c r="U3857" i="9"/>
  <c r="V3857" i="9" a="1"/>
  <c r="W3857" i="9" s="1"/>
  <c r="T3858" i="9"/>
  <c r="U3858" i="9"/>
  <c r="V3858" i="9" a="1"/>
  <c r="W3858" i="9" s="1"/>
  <c r="T3859" i="9"/>
  <c r="U3859" i="9"/>
  <c r="V3859" i="9" a="1"/>
  <c r="W3859" i="9" s="1"/>
  <c r="T3860" i="9"/>
  <c r="U3860" i="9"/>
  <c r="V3860" i="9" a="1"/>
  <c r="W3860" i="9" s="1"/>
  <c r="T3861" i="9"/>
  <c r="U3861" i="9"/>
  <c r="V3861" i="9" a="1"/>
  <c r="W3861" i="9" s="1"/>
  <c r="T3862" i="9"/>
  <c r="U3862" i="9"/>
  <c r="V3862" i="9" a="1"/>
  <c r="W3862" i="9" s="1"/>
  <c r="T3863" i="9"/>
  <c r="U3863" i="9"/>
  <c r="V3863" i="9" a="1"/>
  <c r="W3863" i="9" s="1"/>
  <c r="T3864" i="9"/>
  <c r="U3864" i="9"/>
  <c r="V3864" i="9" a="1"/>
  <c r="W3864" i="9" s="1"/>
  <c r="T3865" i="9"/>
  <c r="U3865" i="9"/>
  <c r="V3865" i="9" a="1"/>
  <c r="W3865" i="9" s="1"/>
  <c r="T3866" i="9"/>
  <c r="U3866" i="9"/>
  <c r="V3866" i="9" a="1"/>
  <c r="W3866" i="9" s="1"/>
  <c r="T3867" i="9"/>
  <c r="U3867" i="9"/>
  <c r="V3867" i="9" a="1"/>
  <c r="W3867" i="9" s="1"/>
  <c r="T3868" i="9"/>
  <c r="U3868" i="9"/>
  <c r="V3868" i="9" a="1"/>
  <c r="W3868" i="9" s="1"/>
  <c r="T3869" i="9"/>
  <c r="U3869" i="9"/>
  <c r="V3869" i="9" a="1"/>
  <c r="W3869" i="9" s="1"/>
  <c r="T3870" i="9"/>
  <c r="U3870" i="9"/>
  <c r="V3870" i="9" a="1"/>
  <c r="W3870" i="9" s="1"/>
  <c r="T3871" i="9"/>
  <c r="U3871" i="9"/>
  <c r="T3379" i="9"/>
  <c r="V3380" i="9" a="1"/>
  <c r="W3380" i="9" s="1"/>
  <c r="U3381" i="9"/>
  <c r="T3382" i="9"/>
  <c r="T3383" i="9"/>
  <c r="T3384" i="9"/>
  <c r="U3385" i="9"/>
  <c r="T3386" i="9"/>
  <c r="U3387" i="9"/>
  <c r="V3388" i="9" a="1"/>
  <c r="W3388" i="9" s="1"/>
  <c r="U3389" i="9"/>
  <c r="U3390" i="9"/>
  <c r="T3391" i="9"/>
  <c r="V3392" i="9" a="1"/>
  <c r="W3392" i="9" s="1"/>
  <c r="U3393" i="9"/>
  <c r="T3394" i="9"/>
  <c r="U3395" i="9"/>
  <c r="U3397" i="9"/>
  <c r="U3398" i="9"/>
  <c r="U3399" i="9"/>
  <c r="T3400" i="9"/>
  <c r="V3401" i="9" a="1"/>
  <c r="W3401" i="9" s="1"/>
  <c r="U3402" i="9"/>
  <c r="U3403" i="9"/>
  <c r="T3404" i="9"/>
  <c r="U3405" i="9"/>
  <c r="T3406" i="9"/>
  <c r="U3406" i="9"/>
  <c r="U3407" i="9"/>
  <c r="U3408" i="9"/>
  <c r="T3409" i="9"/>
  <c r="T3410" i="9"/>
  <c r="T3411" i="9"/>
  <c r="T3412" i="9"/>
  <c r="V3413" i="9" a="1"/>
  <c r="W3413" i="9" s="1"/>
  <c r="U3414" i="9"/>
  <c r="U3415" i="9"/>
  <c r="T3416" i="9"/>
  <c r="U3417" i="9"/>
  <c r="T3418" i="9"/>
  <c r="V3419" i="9" a="1"/>
  <c r="W3419" i="9" s="1"/>
  <c r="T3420" i="9"/>
  <c r="U3420" i="9"/>
  <c r="U3421" i="9"/>
  <c r="U3422" i="9"/>
  <c r="U3423" i="9"/>
  <c r="V3424" i="9" a="1"/>
  <c r="W3424" i="9" s="1"/>
  <c r="U3425" i="9"/>
  <c r="T3426" i="9"/>
  <c r="U3427" i="9"/>
  <c r="V3428" i="9" a="1"/>
  <c r="W3428" i="9" s="1"/>
  <c r="U3429" i="9"/>
  <c r="T3430" i="9"/>
  <c r="T3431" i="9"/>
  <c r="V3432" i="9" a="1"/>
  <c r="W3432" i="9" s="1"/>
  <c r="V3433" i="9" a="1"/>
  <c r="W3433" i="9" s="1"/>
  <c r="U3434" i="9"/>
  <c r="U3439" i="9"/>
  <c r="U3440" i="9"/>
  <c r="T3441" i="9"/>
  <c r="U3442" i="9"/>
  <c r="U3443" i="9"/>
  <c r="T3444" i="9"/>
  <c r="U3445" i="9"/>
  <c r="U3446" i="9"/>
  <c r="T3447" i="9"/>
  <c r="T3448" i="9"/>
  <c r="T3449" i="9"/>
  <c r="T3450" i="9"/>
  <c r="V3451" i="9" a="1"/>
  <c r="W3451" i="9" s="1"/>
  <c r="U3452" i="9"/>
  <c r="T3453" i="9"/>
  <c r="V3454" i="9" a="1"/>
  <c r="W3454" i="9" s="1"/>
  <c r="V3455" i="9" a="1"/>
  <c r="W3455" i="9" s="1"/>
  <c r="T3456" i="9"/>
  <c r="V3457" i="9" a="1"/>
  <c r="W3457" i="9" s="1"/>
  <c r="T3458" i="9"/>
  <c r="V3458" i="9" a="1"/>
  <c r="W3458" i="9" s="1"/>
  <c r="U3459" i="9"/>
  <c r="U3460" i="9"/>
  <c r="U3461" i="9"/>
  <c r="V3469" i="9" a="1"/>
  <c r="W3469" i="9" s="1"/>
  <c r="U3470" i="9"/>
  <c r="T3471" i="9"/>
  <c r="U3473" i="9"/>
  <c r="T3474" i="9"/>
  <c r="V3476" i="9" a="1"/>
  <c r="W3476" i="9" s="1"/>
  <c r="U3477" i="9"/>
  <c r="T3478" i="9"/>
  <c r="U3479" i="9"/>
  <c r="U3480" i="9"/>
  <c r="T3481" i="9"/>
  <c r="V3482" i="9" a="1"/>
  <c r="W3482" i="9" s="1"/>
  <c r="V3483" i="9" a="1"/>
  <c r="W3483" i="9" s="1"/>
  <c r="T3484" i="9"/>
  <c r="V3485" i="9" a="1"/>
  <c r="W3485" i="9" s="1"/>
  <c r="U3486" i="9"/>
  <c r="V3487" i="9" a="1"/>
  <c r="W3487" i="9" s="1"/>
  <c r="V3489" i="9" a="1"/>
  <c r="W3489" i="9" s="1"/>
  <c r="U3490" i="9"/>
  <c r="U3491" i="9"/>
  <c r="T3492" i="9"/>
  <c r="U3493" i="9"/>
  <c r="U3494" i="9"/>
  <c r="T3495" i="9"/>
  <c r="U3496" i="9"/>
  <c r="T3497" i="9"/>
  <c r="V3498" i="9" a="1"/>
  <c r="W3498" i="9" s="1"/>
  <c r="U3499" i="9"/>
  <c r="T3500" i="9"/>
  <c r="T3501" i="9"/>
  <c r="T3502" i="9"/>
  <c r="U3503" i="9"/>
  <c r="U3504" i="9"/>
  <c r="V3505" i="9" a="1"/>
  <c r="W3505" i="9" s="1"/>
  <c r="V3506" i="9" a="1"/>
  <c r="W3506" i="9" s="1"/>
  <c r="U3507" i="9"/>
  <c r="T3508" i="9"/>
  <c r="T3509" i="9"/>
  <c r="U3510" i="9"/>
  <c r="U3511" i="9"/>
  <c r="U3512" i="9"/>
  <c r="U3513" i="9"/>
  <c r="V3514" i="9" a="1"/>
  <c r="W3514" i="9" s="1"/>
  <c r="V3515" i="9" a="1"/>
  <c r="W3515" i="9" s="1"/>
  <c r="V3517" i="9" a="1"/>
  <c r="W3517" i="9" s="1"/>
  <c r="U3518" i="9"/>
  <c r="T3519" i="9"/>
  <c r="V3520" i="9" a="1"/>
  <c r="W3520" i="9" s="1"/>
  <c r="T3522" i="9"/>
  <c r="V3524" i="9" a="1"/>
  <c r="W3524" i="9" s="1"/>
  <c r="U3525" i="9"/>
  <c r="U3526" i="9"/>
  <c r="T3527" i="9"/>
  <c r="V3527" i="9" a="1"/>
  <c r="W3527" i="9" s="1"/>
  <c r="V3528" i="9" a="1"/>
  <c r="W3528" i="9" s="1"/>
  <c r="T3872" i="9"/>
  <c r="V3873" i="9" a="1"/>
  <c r="W3873" i="9" s="1"/>
  <c r="U3874" i="9"/>
  <c r="U3875" i="9"/>
  <c r="V3878" i="9" a="1"/>
  <c r="W3878" i="9" s="1"/>
  <c r="U3879" i="9"/>
  <c r="T3880" i="9"/>
  <c r="U3881" i="9"/>
  <c r="U3882" i="9"/>
  <c r="U3883" i="9"/>
  <c r="V3884" i="9" a="1"/>
  <c r="W3884" i="9" s="1"/>
  <c r="V3885" i="9" a="1"/>
  <c r="W3885" i="9" s="1"/>
  <c r="V3886" i="9" a="1"/>
  <c r="W3886" i="9" s="1"/>
  <c r="V3888" i="9" a="1"/>
  <c r="W3888" i="9" s="1"/>
  <c r="U3889" i="9"/>
  <c r="T3890" i="9"/>
  <c r="U3891" i="9"/>
  <c r="T3892" i="9"/>
  <c r="U3893" i="9"/>
  <c r="T3894" i="9"/>
  <c r="V3895" i="9" a="1"/>
  <c r="W3895" i="9" s="1"/>
  <c r="T3896" i="9"/>
  <c r="U3897" i="9"/>
  <c r="V3898" i="9" a="1"/>
  <c r="W3898" i="9" s="1"/>
  <c r="T3899" i="9"/>
  <c r="V3899" i="9" a="1"/>
  <c r="W3899" i="9" s="1"/>
  <c r="T3900" i="9"/>
  <c r="U3900" i="9"/>
  <c r="V3900" i="9" a="1"/>
  <c r="W3900" i="9" s="1"/>
  <c r="T3901" i="9"/>
  <c r="U3901" i="9"/>
  <c r="V3901" i="9" a="1"/>
  <c r="W3901" i="9" s="1"/>
  <c r="T3902" i="9"/>
  <c r="U3902" i="9"/>
  <c r="V3902" i="9" a="1"/>
  <c r="W3902" i="9" s="1"/>
  <c r="T3903" i="9"/>
  <c r="U3903" i="9"/>
  <c r="V3903" i="9" a="1"/>
  <c r="W3903" i="9" s="1"/>
  <c r="T3904" i="9"/>
  <c r="U3904" i="9"/>
  <c r="V3904" i="9" a="1"/>
  <c r="W3904" i="9" s="1"/>
  <c r="T3905" i="9"/>
  <c r="U3905" i="9"/>
  <c r="V3905" i="9" a="1"/>
  <c r="W3905" i="9" s="1"/>
  <c r="T3906" i="9"/>
  <c r="U3906" i="9"/>
  <c r="V3906" i="9" a="1"/>
  <c r="W3906" i="9" s="1"/>
  <c r="T3907" i="9"/>
  <c r="U3907" i="9"/>
  <c r="V3907" i="9" a="1"/>
  <c r="W3907" i="9" s="1"/>
  <c r="T3908" i="9"/>
  <c r="U3908" i="9"/>
  <c r="V3908" i="9" a="1"/>
  <c r="W3908" i="9" s="1"/>
  <c r="T3909" i="9"/>
  <c r="U3909" i="9"/>
  <c r="V3909" i="9" a="1"/>
  <c r="W3909" i="9" s="1"/>
  <c r="T3910" i="9"/>
  <c r="U3910" i="9"/>
  <c r="V3910" i="9" a="1"/>
  <c r="W3910" i="9" s="1"/>
  <c r="T3911" i="9"/>
  <c r="U3911" i="9"/>
  <c r="V3911" i="9" a="1"/>
  <c r="W3911" i="9" s="1"/>
  <c r="T3912" i="9"/>
  <c r="U3912" i="9"/>
  <c r="V3912" i="9" a="1"/>
  <c r="W3912" i="9" s="1"/>
  <c r="T3913" i="9"/>
  <c r="U3913" i="9"/>
  <c r="V3913" i="9" a="1"/>
  <c r="W3913" i="9" s="1"/>
  <c r="T3914" i="9"/>
  <c r="U3914" i="9"/>
  <c r="V3914" i="9" a="1"/>
  <c r="W3914" i="9" s="1"/>
  <c r="T3915" i="9"/>
  <c r="U3915" i="9"/>
  <c r="V3915" i="9" a="1"/>
  <c r="W3915" i="9" s="1"/>
  <c r="T3916" i="9"/>
  <c r="U3916" i="9"/>
  <c r="V3916" i="9" a="1"/>
  <c r="W3916" i="9" s="1"/>
  <c r="T3917" i="9"/>
  <c r="U3917" i="9"/>
  <c r="V3917" i="9" a="1"/>
  <c r="W3917" i="9" s="1"/>
  <c r="T3918" i="9"/>
  <c r="U3918" i="9"/>
  <c r="V3918" i="9" a="1"/>
  <c r="W3918" i="9" s="1"/>
  <c r="T3919" i="9"/>
  <c r="U3919" i="9"/>
  <c r="V3919" i="9" a="1"/>
  <c r="W3919" i="9" s="1"/>
  <c r="T3920" i="9"/>
  <c r="U3920" i="9"/>
  <c r="V3920" i="9" a="1"/>
  <c r="W3920" i="9" s="1"/>
  <c r="T3921" i="9"/>
  <c r="U3921" i="9"/>
  <c r="V3921" i="9" a="1"/>
  <c r="W3921" i="9" s="1"/>
  <c r="T3922" i="9"/>
  <c r="U3922" i="9"/>
  <c r="V3922" i="9" a="1"/>
  <c r="W3922" i="9" s="1"/>
  <c r="T3923" i="9"/>
  <c r="U3923" i="9"/>
  <c r="V3923" i="9" a="1"/>
  <c r="W3923" i="9" s="1"/>
  <c r="T3924" i="9"/>
  <c r="U3924" i="9"/>
  <c r="V3924" i="9" a="1"/>
  <c r="W3924" i="9" s="1"/>
  <c r="T3925" i="9"/>
  <c r="U3925" i="9"/>
  <c r="V3925" i="9" a="1"/>
  <c r="W3925" i="9" s="1"/>
  <c r="T3926" i="9"/>
  <c r="U3926" i="9"/>
  <c r="V3926" i="9" a="1"/>
  <c r="W3926" i="9" s="1"/>
  <c r="T3927" i="9"/>
  <c r="U3927" i="9"/>
  <c r="V3927" i="9" a="1"/>
  <c r="W3927" i="9" s="1"/>
  <c r="T3928" i="9"/>
  <c r="U3928" i="9"/>
  <c r="V3928" i="9" a="1"/>
  <c r="W3928" i="9" s="1"/>
  <c r="T3929" i="9"/>
  <c r="U3929" i="9"/>
  <c r="V3929" i="9" a="1"/>
  <c r="W3929" i="9" s="1"/>
  <c r="T3930" i="9"/>
  <c r="U3930" i="9"/>
  <c r="V3930" i="9" a="1"/>
  <c r="W3930" i="9" s="1"/>
  <c r="T3931" i="9"/>
  <c r="U3931" i="9"/>
  <c r="V3931" i="9" a="1"/>
  <c r="W3931" i="9" s="1"/>
  <c r="T3932" i="9"/>
  <c r="U3932" i="9"/>
  <c r="V3932" i="9" a="1"/>
  <c r="W3932" i="9" s="1"/>
  <c r="T3933" i="9"/>
  <c r="U3933" i="9"/>
  <c r="V3933" i="9" a="1"/>
  <c r="W3933" i="9" s="1"/>
  <c r="T3934" i="9"/>
  <c r="U3934" i="9"/>
  <c r="V3934" i="9" a="1"/>
  <c r="W3934" i="9" s="1"/>
  <c r="T3935" i="9"/>
  <c r="U3935" i="9"/>
  <c r="V3935" i="9" a="1"/>
  <c r="W3935" i="9" s="1"/>
  <c r="T3936" i="9"/>
  <c r="U3936" i="9"/>
  <c r="V3936" i="9" a="1"/>
  <c r="W3936" i="9" s="1"/>
  <c r="T3937" i="9"/>
  <c r="U3937" i="9"/>
  <c r="V3937" i="9" a="1"/>
  <c r="W3937" i="9" s="1"/>
  <c r="T3938" i="9"/>
  <c r="U3938" i="9"/>
  <c r="V3938" i="9" a="1"/>
  <c r="W3938" i="9" s="1"/>
  <c r="T3939" i="9"/>
  <c r="U3939" i="9"/>
  <c r="V3939" i="9" a="1"/>
  <c r="W3939" i="9" s="1"/>
  <c r="T3940" i="9"/>
  <c r="U3940" i="9"/>
  <c r="V3940" i="9" a="1"/>
  <c r="W3940" i="9" s="1"/>
  <c r="T3941" i="9"/>
  <c r="U3941" i="9"/>
  <c r="V3941" i="9" a="1"/>
  <c r="W3941" i="9" s="1"/>
  <c r="T3942" i="9"/>
  <c r="U3942" i="9"/>
  <c r="V3942" i="9" a="1"/>
  <c r="W3942" i="9" s="1"/>
  <c r="T3943" i="9"/>
  <c r="U3943" i="9"/>
  <c r="V3943" i="9" a="1"/>
  <c r="W3943" i="9" s="1"/>
  <c r="T3944" i="9"/>
  <c r="U3944" i="9"/>
  <c r="V3944" i="9" a="1"/>
  <c r="W3944" i="9" s="1"/>
  <c r="T3945" i="9"/>
  <c r="U3945" i="9"/>
  <c r="V3945" i="9" a="1"/>
  <c r="W3945" i="9" s="1"/>
  <c r="T3946" i="9"/>
  <c r="U3946" i="9"/>
  <c r="V3946" i="9" a="1"/>
  <c r="W3946" i="9" s="1"/>
  <c r="T3947" i="9"/>
  <c r="U3947" i="9"/>
  <c r="V3947" i="9" a="1"/>
  <c r="W3947" i="9" s="1"/>
  <c r="T3948" i="9"/>
  <c r="U3948" i="9"/>
  <c r="V3948" i="9" a="1"/>
  <c r="W3948" i="9" s="1"/>
  <c r="T3949" i="9"/>
  <c r="U3949" i="9"/>
  <c r="V3949" i="9" a="1"/>
  <c r="W3949" i="9" s="1"/>
  <c r="T3950" i="9"/>
  <c r="U3950" i="9"/>
  <c r="V3950" i="9" a="1"/>
  <c r="W3950" i="9" s="1"/>
  <c r="T3951" i="9"/>
  <c r="U3951" i="9"/>
  <c r="V3951" i="9" a="1"/>
  <c r="W3951" i="9" s="1"/>
  <c r="T3952" i="9"/>
  <c r="U3952" i="9"/>
  <c r="V3952" i="9" a="1"/>
  <c r="W3952" i="9" s="1"/>
  <c r="T3953" i="9"/>
  <c r="U3953" i="9"/>
  <c r="V3953" i="9" a="1"/>
  <c r="W3953" i="9" s="1"/>
  <c r="T3954" i="9"/>
  <c r="U3954" i="9"/>
  <c r="V3954" i="9" a="1"/>
  <c r="W3954" i="9" s="1"/>
  <c r="T3955" i="9"/>
  <c r="U3955" i="9"/>
  <c r="V3955" i="9" a="1"/>
  <c r="W3955" i="9" s="1"/>
  <c r="T3956" i="9"/>
  <c r="U3956" i="9"/>
  <c r="V3956" i="9" a="1"/>
  <c r="W3956" i="9" s="1"/>
  <c r="T3957" i="9"/>
  <c r="U3957" i="9"/>
  <c r="V3957" i="9" a="1"/>
  <c r="W3957" i="9" s="1"/>
  <c r="T3958" i="9"/>
  <c r="U3958" i="9"/>
  <c r="V3958" i="9" a="1"/>
  <c r="W3958" i="9" s="1"/>
  <c r="T3959" i="9"/>
  <c r="U3959" i="9"/>
  <c r="V3959" i="9" a="1"/>
  <c r="W3959" i="9" s="1"/>
  <c r="T3960" i="9"/>
  <c r="U3960" i="9"/>
  <c r="V3960" i="9" a="1"/>
  <c r="W3960" i="9" s="1"/>
  <c r="T3961" i="9"/>
  <c r="U3961" i="9"/>
  <c r="V3961" i="9" a="1"/>
  <c r="W3961" i="9" s="1"/>
  <c r="T3962" i="9"/>
  <c r="U3962" i="9"/>
  <c r="V3962" i="9" a="1"/>
  <c r="W3962" i="9" s="1"/>
  <c r="T3963" i="9"/>
  <c r="U3963" i="9"/>
  <c r="V3963" i="9" a="1"/>
  <c r="W3963" i="9" s="1"/>
  <c r="T3964" i="9"/>
  <c r="U3964" i="9"/>
  <c r="V3964" i="9" a="1"/>
  <c r="W3964" i="9" s="1"/>
  <c r="T3965" i="9"/>
  <c r="U3965" i="9"/>
  <c r="V3965" i="9" a="1"/>
  <c r="W3965" i="9" s="1"/>
  <c r="T3966" i="9"/>
  <c r="U3966" i="9"/>
  <c r="V3966" i="9" a="1"/>
  <c r="W3966" i="9" s="1"/>
  <c r="T3967" i="9"/>
  <c r="U3967" i="9"/>
  <c r="V3967" i="9" a="1"/>
  <c r="W3967" i="9" s="1"/>
  <c r="T3968" i="9"/>
  <c r="U3968" i="9"/>
  <c r="V3968" i="9" a="1"/>
  <c r="W3968" i="9" s="1"/>
  <c r="T3969" i="9"/>
  <c r="U3969" i="9"/>
  <c r="V3969" i="9" a="1"/>
  <c r="W3969" i="9" s="1"/>
  <c r="T3970" i="9"/>
  <c r="U3970" i="9"/>
  <c r="V3970" i="9" a="1"/>
  <c r="W3970" i="9" s="1"/>
  <c r="T3971" i="9"/>
  <c r="U3971" i="9"/>
  <c r="V3971" i="9" a="1"/>
  <c r="W3971" i="9" s="1"/>
  <c r="T3972" i="9"/>
  <c r="U3972" i="9"/>
  <c r="V3972" i="9" a="1"/>
  <c r="W3972" i="9" s="1"/>
  <c r="T3973" i="9"/>
  <c r="U3973" i="9"/>
  <c r="V3973" i="9" a="1"/>
  <c r="W3973" i="9" s="1"/>
  <c r="T3974" i="9"/>
  <c r="U3974" i="9"/>
  <c r="V3974" i="9" a="1"/>
  <c r="W3974" i="9" s="1"/>
  <c r="T3975" i="9"/>
  <c r="U3975" i="9"/>
  <c r="V3975" i="9" a="1"/>
  <c r="W3975" i="9" s="1"/>
  <c r="T3976" i="9"/>
  <c r="U3976" i="9"/>
  <c r="V3976" i="9" a="1"/>
  <c r="W3976" i="9" s="1"/>
  <c r="T3977" i="9"/>
  <c r="U3977" i="9"/>
  <c r="V3977" i="9" a="1"/>
  <c r="W3977" i="9" s="1"/>
  <c r="T3978" i="9"/>
  <c r="U3978" i="9"/>
  <c r="V3978" i="9" a="1"/>
  <c r="W3978" i="9" s="1"/>
  <c r="T3979" i="9"/>
  <c r="U3979" i="9"/>
  <c r="V3979" i="9" a="1"/>
  <c r="W3979" i="9" s="1"/>
  <c r="T3980" i="9"/>
  <c r="U3980" i="9"/>
  <c r="V3980" i="9" a="1"/>
  <c r="W3980" i="9" s="1"/>
  <c r="T3981" i="9"/>
  <c r="U3981" i="9"/>
  <c r="V3981" i="9" a="1"/>
  <c r="W3981" i="9" s="1"/>
  <c r="T3982" i="9"/>
  <c r="U3982" i="9"/>
  <c r="V3982" i="9" a="1"/>
  <c r="W3982" i="9" s="1"/>
  <c r="T3983" i="9"/>
  <c r="U3983" i="9"/>
  <c r="V3983" i="9" a="1"/>
  <c r="W3983" i="9" s="1"/>
  <c r="T3984" i="9"/>
  <c r="U3984" i="9"/>
  <c r="V3984" i="9" a="1"/>
  <c r="W3984" i="9" s="1"/>
  <c r="T3985" i="9"/>
  <c r="U3985" i="9"/>
  <c r="V3985" i="9" a="1"/>
  <c r="W3985" i="9" s="1"/>
  <c r="T3986" i="9"/>
  <c r="U3986" i="9"/>
  <c r="V3986" i="9" a="1"/>
  <c r="W3986" i="9" s="1"/>
  <c r="T3987" i="9"/>
  <c r="U3987" i="9"/>
  <c r="V3987" i="9" a="1"/>
  <c r="W3987" i="9" s="1"/>
  <c r="T3988" i="9"/>
  <c r="U3988" i="9"/>
  <c r="V3988" i="9" a="1"/>
  <c r="W3988" i="9" s="1"/>
  <c r="T3989" i="9"/>
  <c r="U3989" i="9"/>
  <c r="V3989" i="9" a="1"/>
  <c r="W3989" i="9" s="1"/>
  <c r="T3990" i="9"/>
  <c r="U3990" i="9"/>
  <c r="V3990" i="9" a="1"/>
  <c r="W3990" i="9" s="1"/>
  <c r="T3991" i="9"/>
  <c r="U3991" i="9"/>
  <c r="V3991" i="9" a="1"/>
  <c r="W3991" i="9" s="1"/>
  <c r="T3992" i="9"/>
  <c r="U3992" i="9"/>
  <c r="V3992" i="9" a="1"/>
  <c r="W3992" i="9" s="1"/>
  <c r="T3993" i="9"/>
  <c r="U3993" i="9"/>
  <c r="V3993" i="9" a="1"/>
  <c r="W3993" i="9" s="1"/>
  <c r="T3994" i="9"/>
  <c r="U3994" i="9"/>
  <c r="V3994" i="9" a="1"/>
  <c r="W3994" i="9" s="1"/>
  <c r="T3995" i="9"/>
  <c r="U3995" i="9"/>
  <c r="V3995" i="9" a="1"/>
  <c r="W3995" i="9" s="1"/>
  <c r="T3996" i="9"/>
  <c r="U3996" i="9"/>
  <c r="V3996" i="9" a="1"/>
  <c r="W3996" i="9" s="1"/>
  <c r="T3997" i="9"/>
  <c r="U3997" i="9"/>
  <c r="V3997" i="9" a="1"/>
  <c r="W3997" i="9" s="1"/>
  <c r="T3998" i="9"/>
  <c r="U3998" i="9"/>
  <c r="V3998" i="9" a="1"/>
  <c r="W3998" i="9" s="1"/>
  <c r="T3999" i="9"/>
  <c r="U3999" i="9"/>
  <c r="V3999" i="9" a="1"/>
  <c r="W3999" i="9" s="1"/>
  <c r="T4000" i="9"/>
  <c r="U4000" i="9"/>
  <c r="V4000" i="9" a="1"/>
  <c r="W4000" i="9" s="1"/>
  <c r="T4001" i="9"/>
  <c r="U4001" i="9"/>
  <c r="V4001" i="9" a="1"/>
  <c r="W4001" i="9" s="1"/>
  <c r="T4002" i="9"/>
  <c r="U4002" i="9"/>
  <c r="V4002" i="9" a="1"/>
  <c r="W4002" i="9" s="1"/>
  <c r="T4003" i="9"/>
  <c r="U4003" i="9"/>
  <c r="V4003" i="9" a="1"/>
  <c r="W4003" i="9" s="1"/>
  <c r="T4004" i="9"/>
  <c r="U4004" i="9"/>
  <c r="V4004" i="9" a="1"/>
  <c r="W4004" i="9" s="1"/>
  <c r="T4005" i="9"/>
  <c r="U4005" i="9"/>
  <c r="V4005" i="9" a="1"/>
  <c r="W4005" i="9" s="1"/>
  <c r="T4006" i="9"/>
  <c r="U4006" i="9"/>
  <c r="V4006" i="9" a="1"/>
  <c r="W4006" i="9" s="1"/>
  <c r="T4007" i="9"/>
  <c r="U4007" i="9"/>
  <c r="V4007" i="9" a="1"/>
  <c r="W4007" i="9" s="1"/>
  <c r="T4008" i="9"/>
  <c r="U4008" i="9"/>
  <c r="V4008" i="9" a="1"/>
  <c r="W4008" i="9" s="1"/>
  <c r="T4009" i="9"/>
  <c r="U4009" i="9"/>
  <c r="V4009" i="9" a="1"/>
  <c r="W4009" i="9" s="1"/>
  <c r="T4010" i="9"/>
  <c r="U4010" i="9"/>
  <c r="V4010" i="9" a="1"/>
  <c r="W4010" i="9" s="1"/>
  <c r="T4011" i="9"/>
  <c r="U4011" i="9"/>
  <c r="V4011" i="9" a="1"/>
  <c r="W4011" i="9" s="1"/>
  <c r="T4012" i="9"/>
  <c r="U4012" i="9"/>
  <c r="V4012" i="9" a="1"/>
  <c r="W4012" i="9" s="1"/>
  <c r="T4013" i="9"/>
  <c r="U4013" i="9"/>
  <c r="V4013" i="9" a="1"/>
  <c r="W4013" i="9" s="1"/>
  <c r="T4014" i="9"/>
  <c r="U4014" i="9"/>
  <c r="V4014" i="9" a="1"/>
  <c r="W4014" i="9" s="1"/>
  <c r="T4015" i="9"/>
  <c r="U4015" i="9"/>
  <c r="V4015" i="9" a="1"/>
  <c r="W4015" i="9" s="1"/>
  <c r="T4016" i="9"/>
  <c r="U4016" i="9"/>
  <c r="V4016" i="9" a="1"/>
  <c r="W4016" i="9" s="1"/>
  <c r="T4017" i="9"/>
  <c r="U4017" i="9"/>
  <c r="V4017" i="9" a="1"/>
  <c r="W4017" i="9" s="1"/>
  <c r="T4018" i="9"/>
  <c r="U4018" i="9"/>
  <c r="V4018" i="9" a="1"/>
  <c r="W4018" i="9" s="1"/>
  <c r="T4019" i="9"/>
  <c r="U4019" i="9"/>
  <c r="V4019" i="9" a="1"/>
  <c r="W4019" i="9" s="1"/>
  <c r="T4020" i="9"/>
  <c r="U4020" i="9"/>
  <c r="V4020" i="9" a="1"/>
  <c r="W4020" i="9" s="1"/>
  <c r="T4021" i="9"/>
  <c r="U4021" i="9"/>
  <c r="V4021" i="9" a="1"/>
  <c r="W4021" i="9" s="1"/>
  <c r="T4022" i="9"/>
  <c r="U4022" i="9"/>
  <c r="V4022" i="9" a="1"/>
  <c r="W4022" i="9" s="1"/>
  <c r="T4023" i="9"/>
  <c r="U4023" i="9"/>
  <c r="V4023" i="9" a="1"/>
  <c r="W4023" i="9" s="1"/>
  <c r="T4024" i="9"/>
  <c r="U4024" i="9"/>
  <c r="V4024" i="9" a="1"/>
  <c r="W4024" i="9" s="1"/>
  <c r="T4025" i="9"/>
  <c r="U4025" i="9"/>
  <c r="V4025" i="9" a="1"/>
  <c r="W4025" i="9" s="1"/>
  <c r="T4026" i="9"/>
  <c r="U4026" i="9"/>
  <c r="V4026" i="9" a="1"/>
  <c r="W4026" i="9" s="1"/>
  <c r="T4027" i="9"/>
  <c r="U4027" i="9"/>
  <c r="V4027" i="9" a="1"/>
  <c r="W4027" i="9" s="1"/>
  <c r="T4028" i="9"/>
  <c r="U4028" i="9"/>
  <c r="V4028" i="9" a="1"/>
  <c r="W4028" i="9" s="1"/>
  <c r="T4029" i="9"/>
  <c r="U4029" i="9"/>
  <c r="V4029" i="9" a="1"/>
  <c r="W4029" i="9" s="1"/>
  <c r="T4030" i="9"/>
  <c r="U4030" i="9"/>
  <c r="V4030" i="9" a="1"/>
  <c r="W4030" i="9" s="1"/>
  <c r="T4031" i="9"/>
  <c r="U4031" i="9"/>
  <c r="V4031" i="9" a="1"/>
  <c r="W4031" i="9" s="1"/>
  <c r="T4032" i="9"/>
  <c r="U4032" i="9"/>
  <c r="V4032" i="9" a="1"/>
  <c r="W4032" i="9" s="1"/>
  <c r="T4033" i="9"/>
  <c r="U4033" i="9"/>
  <c r="V4033" i="9" a="1"/>
  <c r="W4033" i="9" s="1"/>
  <c r="T4034" i="9"/>
  <c r="U4034" i="9"/>
  <c r="V4034" i="9" a="1"/>
  <c r="W4034" i="9" s="1"/>
  <c r="T4035" i="9"/>
  <c r="U4035" i="9"/>
  <c r="V4035" i="9" a="1"/>
  <c r="W4035" i="9" s="1"/>
  <c r="T4036" i="9"/>
  <c r="U4036" i="9"/>
  <c r="V4036" i="9" a="1"/>
  <c r="W4036" i="9" s="1"/>
  <c r="T4037" i="9"/>
  <c r="U4037" i="9"/>
  <c r="V4037" i="9" a="1"/>
  <c r="W4037" i="9" s="1"/>
  <c r="T4038" i="9"/>
  <c r="U4038" i="9"/>
  <c r="V4038" i="9" a="1"/>
  <c r="W4038" i="9" s="1"/>
  <c r="T4039" i="9"/>
  <c r="U4039" i="9"/>
  <c r="V4039" i="9" a="1"/>
  <c r="W4039" i="9" s="1"/>
  <c r="T4040" i="9"/>
  <c r="U4040" i="9"/>
  <c r="V4040" i="9" a="1"/>
  <c r="W4040" i="9" s="1"/>
  <c r="T4041" i="9"/>
  <c r="U4041" i="9"/>
  <c r="V4041" i="9" a="1"/>
  <c r="W4041" i="9" s="1"/>
  <c r="T4042" i="9"/>
  <c r="U4042" i="9"/>
  <c r="V4042" i="9" a="1"/>
  <c r="W4042" i="9" s="1"/>
  <c r="T4043" i="9"/>
  <c r="U4043" i="9"/>
  <c r="V4043" i="9" a="1"/>
  <c r="W4043" i="9" s="1"/>
  <c r="T4044" i="9"/>
  <c r="U4044" i="9"/>
  <c r="V4044" i="9" a="1"/>
  <c r="W4044" i="9" s="1"/>
  <c r="T4045" i="9"/>
  <c r="U4045" i="9"/>
  <c r="V4045" i="9" a="1"/>
  <c r="W4045" i="9" s="1"/>
  <c r="T4046" i="9"/>
  <c r="U4046" i="9"/>
  <c r="V4046" i="9" a="1"/>
  <c r="W4046" i="9" s="1"/>
  <c r="T4047" i="9"/>
  <c r="U4047" i="9"/>
  <c r="V4047" i="9" a="1"/>
  <c r="W4047" i="9" s="1"/>
  <c r="T4048" i="9"/>
  <c r="U4048" i="9"/>
  <c r="V4048" i="9" a="1"/>
  <c r="W4048" i="9" s="1"/>
  <c r="T4049" i="9"/>
  <c r="U4049" i="9"/>
  <c r="V4049" i="9" a="1"/>
  <c r="W4049" i="9" s="1"/>
  <c r="T4050" i="9"/>
  <c r="U4050" i="9"/>
  <c r="V4050" i="9" a="1"/>
  <c r="W4050" i="9" s="1"/>
  <c r="T4051" i="9"/>
  <c r="U4051" i="9"/>
  <c r="V4051" i="9" a="1"/>
  <c r="W4051" i="9" s="1"/>
  <c r="T4052" i="9"/>
  <c r="U4052" i="9"/>
  <c r="V4052" i="9" a="1"/>
  <c r="W4052" i="9" s="1"/>
  <c r="T4053" i="9"/>
  <c r="U4053" i="9"/>
  <c r="V4053" i="9" a="1"/>
  <c r="W4053" i="9" s="1"/>
  <c r="T4054" i="9"/>
  <c r="U4054" i="9"/>
  <c r="V4054" i="9" a="1"/>
  <c r="W4054" i="9" s="1"/>
  <c r="T4055" i="9"/>
  <c r="U4055" i="9"/>
  <c r="V4055" i="9" a="1"/>
  <c r="W4055" i="9" s="1"/>
  <c r="T4056" i="9"/>
  <c r="U4056" i="9"/>
  <c r="V4056" i="9" a="1"/>
  <c r="W4056" i="9" s="1"/>
  <c r="T4057" i="9"/>
  <c r="U4057" i="9"/>
  <c r="V4057" i="9" a="1"/>
  <c r="W4057" i="9" s="1"/>
  <c r="T4058" i="9"/>
  <c r="U4058" i="9"/>
  <c r="V4058" i="9" a="1"/>
  <c r="W4058" i="9" s="1"/>
  <c r="T4059" i="9"/>
  <c r="U4059" i="9"/>
  <c r="V4059" i="9" a="1"/>
  <c r="W4059" i="9" s="1"/>
  <c r="T4060" i="9"/>
  <c r="U4060" i="9"/>
  <c r="V4060" i="9" a="1"/>
  <c r="W4060" i="9" s="1"/>
  <c r="T4061" i="9"/>
  <c r="U4061" i="9"/>
  <c r="V4061" i="9" a="1"/>
  <c r="W4061" i="9" s="1"/>
  <c r="T4062" i="9"/>
  <c r="U4062" i="9"/>
  <c r="V4062" i="9" a="1"/>
  <c r="W4062" i="9" s="1"/>
  <c r="T4063" i="9"/>
  <c r="U4063" i="9"/>
  <c r="V4063" i="9" a="1"/>
  <c r="W4063" i="9" s="1"/>
  <c r="T4064" i="9"/>
  <c r="U4064" i="9"/>
  <c r="V4064" i="9" a="1"/>
  <c r="W4064" i="9" s="1"/>
  <c r="T4065" i="9"/>
  <c r="U4065" i="9"/>
  <c r="V4065" i="9" a="1"/>
  <c r="W4065" i="9" s="1"/>
  <c r="T4066" i="9"/>
  <c r="U4066" i="9"/>
  <c r="V4066" i="9" a="1"/>
  <c r="W4066" i="9" s="1"/>
  <c r="T4067" i="9"/>
  <c r="U4067" i="9"/>
  <c r="V4067" i="9" a="1"/>
  <c r="W4067" i="9" s="1"/>
  <c r="T4068" i="9"/>
  <c r="U4068" i="9"/>
  <c r="V4068" i="9" a="1"/>
  <c r="W4068" i="9" s="1"/>
  <c r="T4069" i="9"/>
  <c r="U4069" i="9"/>
  <c r="V4069" i="9" a="1"/>
  <c r="W4069" i="9" s="1"/>
  <c r="T4070" i="9"/>
  <c r="U4070" i="9"/>
  <c r="V4070" i="9" a="1"/>
  <c r="W4070" i="9" s="1"/>
  <c r="T4071" i="9"/>
  <c r="U4071" i="9"/>
  <c r="V4071" i="9" a="1"/>
  <c r="W4071" i="9" s="1"/>
  <c r="T4072" i="9"/>
  <c r="U4072" i="9"/>
  <c r="V4072" i="9" a="1"/>
  <c r="W4072" i="9" s="1"/>
  <c r="T4073" i="9"/>
  <c r="U4073" i="9"/>
  <c r="V4073" i="9" a="1"/>
  <c r="W4073" i="9" s="1"/>
  <c r="T4074" i="9"/>
  <c r="U4074" i="9"/>
  <c r="V4074" i="9" a="1"/>
  <c r="W4074" i="9" s="1"/>
  <c r="T4075" i="9"/>
  <c r="U4075" i="9"/>
  <c r="V4075" i="9" a="1"/>
  <c r="W4075" i="9" s="1"/>
  <c r="T4076" i="9"/>
  <c r="U4076" i="9"/>
  <c r="V4076" i="9" a="1"/>
  <c r="W4076" i="9" s="1"/>
  <c r="T4077" i="9"/>
  <c r="U4077" i="9"/>
  <c r="V4077" i="9" a="1"/>
  <c r="W4077" i="9" s="1"/>
  <c r="T4078" i="9"/>
  <c r="U4078" i="9"/>
  <c r="V4078" i="9" a="1"/>
  <c r="W4078" i="9" s="1"/>
  <c r="T4079" i="9"/>
  <c r="U4079" i="9"/>
  <c r="V4079" i="9" a="1"/>
  <c r="W4079" i="9" s="1"/>
  <c r="T4080" i="9"/>
  <c r="U4080" i="9"/>
  <c r="V4080" i="9" a="1"/>
  <c r="W4080" i="9" s="1"/>
  <c r="T4081" i="9"/>
  <c r="U4081" i="9"/>
  <c r="V4081" i="9" a="1"/>
  <c r="W4081" i="9" s="1"/>
  <c r="T4082" i="9"/>
  <c r="U4082" i="9"/>
  <c r="V4082" i="9" a="1"/>
  <c r="W4082" i="9" s="1"/>
  <c r="T4083" i="9"/>
  <c r="U4083" i="9"/>
  <c r="V4083" i="9" a="1"/>
  <c r="W4083" i="9" s="1"/>
  <c r="T4084" i="9"/>
  <c r="U4084" i="9"/>
  <c r="V4084" i="9" a="1"/>
  <c r="W4084" i="9" s="1"/>
  <c r="T4085" i="9"/>
  <c r="U4085" i="9"/>
  <c r="V4085" i="9" a="1"/>
  <c r="W4085" i="9" s="1"/>
  <c r="T4086" i="9"/>
  <c r="U4086" i="9"/>
  <c r="V4086" i="9" a="1"/>
  <c r="W4086" i="9" s="1"/>
  <c r="T4087" i="9"/>
  <c r="U4087" i="9"/>
  <c r="V4087" i="9" a="1"/>
  <c r="W4087" i="9" s="1"/>
  <c r="T4088" i="9"/>
  <c r="U4088" i="9"/>
  <c r="V4088" i="9" a="1"/>
  <c r="W4088" i="9" s="1"/>
  <c r="T4089" i="9"/>
  <c r="U4089" i="9"/>
  <c r="V4089" i="9" a="1"/>
  <c r="W4089" i="9" s="1"/>
  <c r="T4090" i="9"/>
  <c r="U4090" i="9"/>
  <c r="V4090" i="9" a="1"/>
  <c r="W4090" i="9" s="1"/>
  <c r="T4091" i="9"/>
  <c r="U4091" i="9"/>
  <c r="V4091" i="9" a="1"/>
  <c r="W4091" i="9" s="1"/>
  <c r="T4092" i="9"/>
  <c r="U4092" i="9"/>
  <c r="V4092" i="9" a="1"/>
  <c r="W4092" i="9" s="1"/>
  <c r="T4093" i="9"/>
  <c r="U4093" i="9"/>
  <c r="V4093" i="9" a="1"/>
  <c r="W4093" i="9" s="1"/>
  <c r="T4094" i="9"/>
  <c r="U4094" i="9"/>
  <c r="V4094" i="9" a="1"/>
  <c r="W4094" i="9" s="1"/>
  <c r="T4095" i="9"/>
  <c r="U4095" i="9"/>
  <c r="V4095" i="9" a="1"/>
  <c r="W4095" i="9" s="1"/>
  <c r="T4096" i="9"/>
  <c r="U4096" i="9"/>
  <c r="V4096" i="9" a="1"/>
  <c r="W4096" i="9" s="1"/>
  <c r="T4097" i="9"/>
  <c r="U4097" i="9"/>
  <c r="V4097" i="9" a="1"/>
  <c r="W4097" i="9" s="1"/>
  <c r="T4098" i="9"/>
  <c r="U4098" i="9"/>
  <c r="V4098" i="9" a="1"/>
  <c r="W4098" i="9" s="1"/>
  <c r="T4099" i="9"/>
  <c r="U4099" i="9"/>
  <c r="V4099" i="9" a="1"/>
  <c r="W4099" i="9" s="1"/>
  <c r="T4100" i="9"/>
  <c r="U4100" i="9"/>
  <c r="V4100" i="9" a="1"/>
  <c r="W4100" i="9" s="1"/>
  <c r="T4101" i="9"/>
  <c r="U4101" i="9"/>
  <c r="V4101" i="9" a="1"/>
  <c r="W4101" i="9" s="1"/>
  <c r="T4102" i="9"/>
  <c r="U4102" i="9"/>
  <c r="V4102" i="9" a="1"/>
  <c r="W4102" i="9" s="1"/>
  <c r="T4103" i="9"/>
  <c r="U4103" i="9"/>
  <c r="V4103" i="9" a="1"/>
  <c r="W4103" i="9" s="1"/>
  <c r="T4104" i="9"/>
  <c r="U4104" i="9"/>
  <c r="V4104" i="9" a="1"/>
  <c r="W4104" i="9" s="1"/>
  <c r="T4105" i="9"/>
  <c r="U4105" i="9"/>
  <c r="V4105" i="9" a="1"/>
  <c r="W4105" i="9" s="1"/>
  <c r="T4106" i="9"/>
  <c r="U4106" i="9"/>
  <c r="V4106" i="9" a="1"/>
  <c r="W4106" i="9" s="1"/>
  <c r="T4107" i="9"/>
  <c r="U4107" i="9"/>
  <c r="V4107" i="9" a="1"/>
  <c r="W4107" i="9" s="1"/>
  <c r="T4108" i="9"/>
  <c r="U4108" i="9"/>
  <c r="V4108" i="9" a="1"/>
  <c r="W4108" i="9" s="1"/>
  <c r="T4109" i="9"/>
  <c r="U4109" i="9"/>
  <c r="V4109" i="9" a="1"/>
  <c r="W4109" i="9" s="1"/>
  <c r="T4110" i="9"/>
  <c r="U4110" i="9"/>
  <c r="V4110" i="9" a="1"/>
  <c r="W4110" i="9" s="1"/>
  <c r="T4111" i="9"/>
  <c r="U4111" i="9"/>
  <c r="V4111" i="9" a="1"/>
  <c r="W4111" i="9" s="1"/>
  <c r="T4112" i="9"/>
  <c r="U4112" i="9"/>
  <c r="V4112" i="9" a="1"/>
  <c r="W4112" i="9" s="1"/>
  <c r="T4113" i="9"/>
  <c r="U4113" i="9"/>
  <c r="V4113" i="9" a="1"/>
  <c r="W4113" i="9" s="1"/>
  <c r="T4114" i="9"/>
  <c r="U4114" i="9"/>
  <c r="V4114" i="9" a="1"/>
  <c r="W4114" i="9" s="1"/>
  <c r="T4115" i="9"/>
  <c r="U4115" i="9"/>
  <c r="V4115" i="9" a="1"/>
  <c r="W4115" i="9" s="1"/>
  <c r="T4116" i="9"/>
  <c r="U4116" i="9"/>
  <c r="V4116" i="9" a="1"/>
  <c r="W4116" i="9" s="1"/>
  <c r="T4117" i="9"/>
  <c r="U4117" i="9"/>
  <c r="V4117" i="9" a="1"/>
  <c r="W4117" i="9" s="1"/>
  <c r="T4118" i="9"/>
  <c r="U4118" i="9"/>
  <c r="V4118" i="9" a="1"/>
  <c r="W4118" i="9" s="1"/>
  <c r="T4119" i="9"/>
  <c r="U4119" i="9"/>
  <c r="V4119" i="9" a="1"/>
  <c r="W4119" i="9" s="1"/>
  <c r="T4120" i="9"/>
  <c r="U4120" i="9"/>
  <c r="V4120" i="9" a="1"/>
  <c r="W4120" i="9" s="1"/>
  <c r="T4121" i="9"/>
  <c r="U4121" i="9"/>
  <c r="V4121" i="9" a="1"/>
  <c r="W4121" i="9" s="1"/>
  <c r="T4122" i="9"/>
  <c r="U4122" i="9"/>
  <c r="V4122" i="9" a="1"/>
  <c r="W4122" i="9" s="1"/>
  <c r="T4123" i="9"/>
  <c r="U4123" i="9"/>
  <c r="V4123" i="9" a="1"/>
  <c r="W4123" i="9" s="1"/>
  <c r="T4124" i="9"/>
  <c r="U4124" i="9"/>
  <c r="V4124" i="9" a="1"/>
  <c r="W4124" i="9" s="1"/>
  <c r="T4125" i="9"/>
  <c r="U4125" i="9"/>
  <c r="V4125" i="9" a="1"/>
  <c r="W4125" i="9" s="1"/>
  <c r="T4126" i="9"/>
  <c r="U4126" i="9"/>
  <c r="V4126" i="9" a="1"/>
  <c r="W4126" i="9" s="1"/>
  <c r="T4127" i="9"/>
  <c r="U4127" i="9"/>
  <c r="V4127" i="9" a="1"/>
  <c r="W4127" i="9" s="1"/>
  <c r="T4128" i="9"/>
  <c r="U4128" i="9"/>
  <c r="V4128" i="9" a="1"/>
  <c r="W4128" i="9" s="1"/>
  <c r="T4129" i="9"/>
  <c r="U4129" i="9"/>
  <c r="V4129" i="9" a="1"/>
  <c r="W4129" i="9" s="1"/>
  <c r="T4130" i="9"/>
  <c r="U4130" i="9"/>
  <c r="V4130" i="9" a="1"/>
  <c r="W4130" i="9" s="1"/>
  <c r="T4131" i="9"/>
  <c r="U4131" i="9"/>
  <c r="V4131" i="9" a="1"/>
  <c r="W4131" i="9" s="1"/>
  <c r="T4132" i="9"/>
  <c r="U4132" i="9"/>
  <c r="V4132" i="9" a="1"/>
  <c r="W4132" i="9" s="1"/>
  <c r="T4133" i="9"/>
  <c r="U4133" i="9"/>
  <c r="V4133" i="9" a="1"/>
  <c r="W4133" i="9" s="1"/>
  <c r="T4134" i="9"/>
  <c r="U4134" i="9"/>
  <c r="V4134" i="9" a="1"/>
  <c r="W4134" i="9" s="1"/>
  <c r="T4135" i="9"/>
  <c r="U4135" i="9"/>
  <c r="V4135" i="9" a="1"/>
  <c r="W4135" i="9" s="1"/>
  <c r="T4136" i="9"/>
  <c r="U4136" i="9"/>
  <c r="V4136" i="9" a="1"/>
  <c r="W4136" i="9" s="1"/>
  <c r="T4137" i="9"/>
  <c r="U4137" i="9"/>
  <c r="V4137" i="9" a="1"/>
  <c r="W4137" i="9" s="1"/>
  <c r="T4138" i="9"/>
  <c r="U4138" i="9"/>
  <c r="V4138" i="9" a="1"/>
  <c r="W4138" i="9" s="1"/>
  <c r="T4139" i="9"/>
  <c r="U4139" i="9"/>
  <c r="V4139" i="9" a="1"/>
  <c r="W4139" i="9" s="1"/>
  <c r="T4140" i="9"/>
  <c r="U4140" i="9"/>
  <c r="V4140" i="9" a="1"/>
  <c r="W4140" i="9" s="1"/>
  <c r="T4141" i="9"/>
  <c r="U4141" i="9"/>
  <c r="V4141" i="9" a="1"/>
  <c r="W4141" i="9" s="1"/>
  <c r="T4142" i="9"/>
  <c r="U4142" i="9"/>
  <c r="V4142" i="9" a="1"/>
  <c r="W4142" i="9" s="1"/>
  <c r="T4143" i="9"/>
  <c r="U4143" i="9"/>
  <c r="V4143" i="9" a="1"/>
  <c r="W4143" i="9" s="1"/>
  <c r="T4144" i="9"/>
  <c r="U4144" i="9"/>
  <c r="V4144" i="9" a="1"/>
  <c r="W4144" i="9" s="1"/>
  <c r="T4145" i="9"/>
  <c r="U4145" i="9"/>
  <c r="V4145" i="9" a="1"/>
  <c r="W4145" i="9" s="1"/>
  <c r="T4146" i="9"/>
  <c r="U4146" i="9"/>
  <c r="V4146" i="9" a="1"/>
  <c r="W4146" i="9" s="1"/>
  <c r="T4147" i="9"/>
  <c r="U4147" i="9"/>
  <c r="V4147" i="9" a="1"/>
  <c r="W4147" i="9" s="1"/>
  <c r="T4148" i="9"/>
  <c r="U4148" i="9"/>
  <c r="V4148" i="9" a="1"/>
  <c r="W4148" i="9" s="1"/>
  <c r="T4149" i="9"/>
  <c r="U4149" i="9"/>
  <c r="V4149" i="9" a="1"/>
  <c r="W4149" i="9" s="1"/>
  <c r="T4150" i="9"/>
  <c r="U4150" i="9"/>
  <c r="V4150" i="9" a="1"/>
  <c r="W4150" i="9" s="1"/>
  <c r="T4151" i="9"/>
  <c r="U4151" i="9"/>
  <c r="V4151" i="9" a="1"/>
  <c r="W4151" i="9" s="1"/>
  <c r="T4152" i="9"/>
  <c r="U4152" i="9"/>
  <c r="V4152" i="9" a="1"/>
  <c r="W4152" i="9" s="1"/>
  <c r="T4153" i="9"/>
  <c r="U4153" i="9"/>
  <c r="V4153" i="9" a="1"/>
  <c r="W4153" i="9" s="1"/>
  <c r="T4154" i="9"/>
  <c r="U4154" i="9"/>
  <c r="V4154" i="9" a="1"/>
  <c r="W4154" i="9" s="1"/>
  <c r="T4155" i="9"/>
  <c r="U4155" i="9"/>
  <c r="V4155" i="9" a="1"/>
  <c r="W4155" i="9" s="1"/>
  <c r="T4156" i="9"/>
  <c r="U4156" i="9"/>
  <c r="V4156" i="9" a="1"/>
  <c r="W4156" i="9" s="1"/>
  <c r="T4157" i="9"/>
  <c r="U4157" i="9"/>
  <c r="V4157" i="9" a="1"/>
  <c r="W4157" i="9" s="1"/>
  <c r="T4158" i="9"/>
  <c r="U4158" i="9"/>
  <c r="V4158" i="9" a="1"/>
  <c r="W4158" i="9" s="1"/>
  <c r="T4159" i="9"/>
  <c r="U4159" i="9"/>
  <c r="V4159" i="9" a="1"/>
  <c r="W4159" i="9" s="1"/>
  <c r="T4160" i="9"/>
  <c r="U4160" i="9"/>
  <c r="V4160" i="9" a="1"/>
  <c r="W4160" i="9" s="1"/>
  <c r="T4161" i="9"/>
  <c r="U4161" i="9"/>
  <c r="V4161" i="9" a="1"/>
  <c r="W4161" i="9" s="1"/>
  <c r="T4162" i="9"/>
  <c r="U4162" i="9"/>
  <c r="V4162" i="9" a="1"/>
  <c r="W4162" i="9" s="1"/>
  <c r="T4163" i="9"/>
  <c r="U4163" i="9"/>
  <c r="V4163" i="9" a="1"/>
  <c r="W4163" i="9" s="1"/>
  <c r="T4164" i="9"/>
  <c r="U4164" i="9"/>
  <c r="V4164" i="9" a="1"/>
  <c r="W4164" i="9" s="1"/>
  <c r="T4165" i="9"/>
  <c r="U4165" i="9"/>
  <c r="V4165" i="9" a="1"/>
  <c r="W4165" i="9" s="1"/>
  <c r="T4166" i="9"/>
  <c r="U4166" i="9"/>
  <c r="V4166" i="9" a="1"/>
  <c r="W4166" i="9" s="1"/>
  <c r="T4167" i="9"/>
  <c r="U4167" i="9"/>
  <c r="V4167" i="9" a="1"/>
  <c r="W4167" i="9" s="1"/>
  <c r="T4168" i="9"/>
  <c r="U4168" i="9"/>
  <c r="V4168" i="9" a="1"/>
  <c r="W4168" i="9" s="1"/>
  <c r="T4169" i="9"/>
  <c r="U4169" i="9"/>
  <c r="V4169" i="9" a="1"/>
  <c r="W4169" i="9" s="1"/>
  <c r="T4170" i="9"/>
  <c r="U4170" i="9"/>
  <c r="V4170" i="9" a="1"/>
  <c r="W4170" i="9" s="1"/>
  <c r="T4171" i="9"/>
  <c r="U4171" i="9"/>
  <c r="V4171" i="9" a="1"/>
  <c r="W4171" i="9" s="1"/>
  <c r="T4172" i="9"/>
  <c r="U4172" i="9"/>
  <c r="V4172" i="9" a="1"/>
  <c r="W4172" i="9" s="1"/>
  <c r="T4173" i="9"/>
  <c r="U4173" i="9"/>
  <c r="V4173" i="9" a="1"/>
  <c r="W4173" i="9" s="1"/>
  <c r="T4174" i="9"/>
  <c r="U4174" i="9"/>
  <c r="V4174" i="9" a="1"/>
  <c r="W4174" i="9" s="1"/>
  <c r="T4175" i="9"/>
  <c r="U4175" i="9"/>
  <c r="V4175" i="9" a="1"/>
  <c r="W4175" i="9" s="1"/>
  <c r="T4176" i="9"/>
  <c r="U4176" i="9"/>
  <c r="V4176" i="9" a="1"/>
  <c r="W4176" i="9" s="1"/>
  <c r="T4177" i="9"/>
  <c r="U4177" i="9"/>
  <c r="V4177" i="9" a="1"/>
  <c r="W4177" i="9" s="1"/>
  <c r="T4178" i="9"/>
  <c r="U4178" i="9"/>
  <c r="V4178" i="9" a="1"/>
  <c r="W4178" i="9" s="1"/>
  <c r="T4179" i="9"/>
  <c r="U4179" i="9"/>
  <c r="V4179" i="9" a="1"/>
  <c r="W4179" i="9" s="1"/>
  <c r="T4180" i="9"/>
  <c r="U4180" i="9"/>
  <c r="V4180" i="9" a="1"/>
  <c r="W4180" i="9" s="1"/>
  <c r="T4181" i="9"/>
  <c r="U4181" i="9"/>
  <c r="V4181" i="9" a="1"/>
  <c r="W4181" i="9" s="1"/>
  <c r="T4182" i="9"/>
  <c r="U4182" i="9"/>
  <c r="V4182" i="9" a="1"/>
  <c r="W4182" i="9" s="1"/>
  <c r="T4183" i="9"/>
  <c r="U4183" i="9"/>
  <c r="V4183" i="9" a="1"/>
  <c r="W4183" i="9" s="1"/>
  <c r="T4184" i="9"/>
  <c r="U4184" i="9"/>
  <c r="V4184" i="9" a="1"/>
  <c r="W4184" i="9" s="1"/>
  <c r="T4185" i="9"/>
  <c r="U4185" i="9"/>
  <c r="V4185" i="9" a="1"/>
  <c r="W4185" i="9" s="1"/>
  <c r="T4186" i="9"/>
  <c r="U4186" i="9"/>
  <c r="V4186" i="9" a="1"/>
  <c r="W4186" i="9" s="1"/>
  <c r="T4187" i="9"/>
  <c r="U4187" i="9"/>
  <c r="V4187" i="9" a="1"/>
  <c r="W4187" i="9" s="1"/>
  <c r="T4188" i="9"/>
  <c r="U4188" i="9"/>
  <c r="V4188" i="9" a="1"/>
  <c r="W4188" i="9" s="1"/>
  <c r="T4189" i="9"/>
  <c r="U4189" i="9"/>
  <c r="V4189" i="9" a="1"/>
  <c r="W4189" i="9" s="1"/>
  <c r="T4190" i="9"/>
  <c r="U4190" i="9"/>
  <c r="V4190" i="9" a="1"/>
  <c r="W4190" i="9" s="1"/>
  <c r="T4191" i="9"/>
  <c r="U4191" i="9"/>
  <c r="V4191" i="9" a="1"/>
  <c r="W4191" i="9" s="1"/>
  <c r="T4192" i="9"/>
  <c r="U4192" i="9"/>
  <c r="V4192" i="9" a="1"/>
  <c r="W4192" i="9" s="1"/>
  <c r="T4193" i="9"/>
  <c r="U4193" i="9"/>
  <c r="V4193" i="9" a="1"/>
  <c r="W4193" i="9" s="1"/>
  <c r="T4194" i="9"/>
  <c r="U4194" i="9"/>
  <c r="V4194" i="9" a="1"/>
  <c r="W4194" i="9" s="1"/>
  <c r="T4195" i="9"/>
  <c r="U4195" i="9"/>
  <c r="V4195" i="9" a="1"/>
  <c r="W4195" i="9" s="1"/>
  <c r="T4196" i="9"/>
  <c r="U4196" i="9"/>
  <c r="V4196" i="9" a="1"/>
  <c r="W4196" i="9" s="1"/>
  <c r="T4197" i="9"/>
  <c r="U4197" i="9"/>
  <c r="V4197" i="9" a="1"/>
  <c r="W4197" i="9" s="1"/>
  <c r="T4198" i="9"/>
  <c r="U4198" i="9"/>
  <c r="V4198" i="9" a="1"/>
  <c r="W4198" i="9" s="1"/>
  <c r="T4199" i="9"/>
  <c r="U4199" i="9"/>
  <c r="V4199" i="9" a="1"/>
  <c r="W4199" i="9" s="1"/>
  <c r="T4200" i="9"/>
  <c r="U4200" i="9"/>
  <c r="V4200" i="9" a="1"/>
  <c r="W4200" i="9" s="1"/>
  <c r="T4201" i="9"/>
  <c r="U4201" i="9"/>
  <c r="V4201" i="9" a="1"/>
  <c r="W4201" i="9" s="1"/>
  <c r="T4202" i="9"/>
  <c r="U4202" i="9"/>
  <c r="V4202" i="9" a="1"/>
  <c r="W4202" i="9" s="1"/>
  <c r="T4203" i="9"/>
  <c r="U4203" i="9"/>
  <c r="V4203" i="9" a="1"/>
  <c r="W4203" i="9" s="1"/>
  <c r="T4204" i="9"/>
  <c r="U4204" i="9"/>
  <c r="V4204" i="9" a="1"/>
  <c r="W4204" i="9" s="1"/>
  <c r="T4205" i="9"/>
  <c r="U4205" i="9"/>
  <c r="V4205" i="9" a="1"/>
  <c r="W4205" i="9" s="1"/>
  <c r="T4206" i="9"/>
  <c r="U4206" i="9"/>
  <c r="V4206" i="9" a="1"/>
  <c r="W4206" i="9" s="1"/>
  <c r="T4207" i="9"/>
  <c r="U4207" i="9"/>
  <c r="V4207" i="9" a="1"/>
  <c r="W4207" i="9" s="1"/>
  <c r="T4208" i="9"/>
  <c r="U4208" i="9"/>
  <c r="V4208" i="9" a="1"/>
  <c r="W4208" i="9" s="1"/>
  <c r="T4209" i="9"/>
  <c r="U4209" i="9"/>
  <c r="V4209" i="9" a="1"/>
  <c r="W4209" i="9" s="1"/>
  <c r="T4210" i="9"/>
  <c r="U4210" i="9"/>
  <c r="V4210" i="9" a="1"/>
  <c r="W4210" i="9" s="1"/>
  <c r="T4211" i="9"/>
  <c r="U4211" i="9"/>
  <c r="V4211" i="9" a="1"/>
  <c r="W4211" i="9" s="1"/>
  <c r="T4212" i="9"/>
  <c r="U4212" i="9"/>
  <c r="V4212" i="9" a="1"/>
  <c r="W4212" i="9" s="1"/>
  <c r="T4213" i="9"/>
  <c r="U4213" i="9"/>
  <c r="V4213" i="9" a="1"/>
  <c r="W4213" i="9" s="1"/>
  <c r="T4214" i="9"/>
  <c r="U4214" i="9"/>
  <c r="V4214" i="9" a="1"/>
  <c r="W4214" i="9" s="1"/>
  <c r="T4215" i="9"/>
  <c r="U4215" i="9"/>
  <c r="V4215" i="9" a="1"/>
  <c r="W4215" i="9" s="1"/>
  <c r="T4216" i="9"/>
  <c r="U4216" i="9"/>
  <c r="V4216" i="9" a="1"/>
  <c r="W4216" i="9" s="1"/>
  <c r="T4217" i="9"/>
  <c r="U4217" i="9"/>
  <c r="V4217" i="9" a="1"/>
  <c r="W4217" i="9" s="1"/>
  <c r="T4218" i="9"/>
  <c r="U4218" i="9"/>
  <c r="V4218" i="9" a="1"/>
  <c r="W4218" i="9" s="1"/>
  <c r="T4219" i="9"/>
  <c r="U4219" i="9"/>
  <c r="V4219" i="9" a="1"/>
  <c r="W4219" i="9" s="1"/>
  <c r="T4220" i="9"/>
  <c r="U4220" i="9"/>
  <c r="V4220" i="9" a="1"/>
  <c r="W4220" i="9" s="1"/>
  <c r="T4221" i="9"/>
  <c r="U4221" i="9"/>
  <c r="V4221" i="9" a="1"/>
  <c r="W4221" i="9" s="1"/>
  <c r="T4222" i="9"/>
  <c r="U4222" i="9"/>
  <c r="V4222" i="9" a="1"/>
  <c r="W4222" i="9" s="1"/>
  <c r="T4223" i="9"/>
  <c r="U4223" i="9"/>
  <c r="V4223" i="9" a="1"/>
  <c r="W4223" i="9" s="1"/>
  <c r="T4224" i="9"/>
  <c r="U4224" i="9"/>
  <c r="V4224" i="9" a="1"/>
  <c r="W4224" i="9" s="1"/>
  <c r="T4225" i="9"/>
  <c r="U4225" i="9"/>
  <c r="V4225" i="9" a="1"/>
  <c r="W4225" i="9" s="1"/>
  <c r="T4226" i="9"/>
  <c r="U4226" i="9"/>
  <c r="V4226" i="9" a="1"/>
  <c r="W4226" i="9" s="1"/>
  <c r="T4227" i="9"/>
  <c r="U4227" i="9"/>
  <c r="V4227" i="9" a="1"/>
  <c r="W4227" i="9" s="1"/>
  <c r="T4228" i="9"/>
  <c r="U4228" i="9"/>
  <c r="V4228" i="9" a="1"/>
  <c r="W4228" i="9" s="1"/>
  <c r="T4229" i="9"/>
  <c r="U4229" i="9"/>
  <c r="V4229" i="9" a="1"/>
  <c r="W4229" i="9" s="1"/>
  <c r="T4230" i="9"/>
  <c r="U4230" i="9"/>
  <c r="V4230" i="9" a="1"/>
  <c r="W4230" i="9" s="1"/>
  <c r="T4231" i="9"/>
  <c r="U4231" i="9"/>
  <c r="V4231" i="9" a="1"/>
  <c r="W4231" i="9" s="1"/>
  <c r="T4232" i="9"/>
  <c r="U4232" i="9"/>
  <c r="V4232" i="9" a="1"/>
  <c r="W4232" i="9" s="1"/>
  <c r="T4233" i="9"/>
  <c r="U4233" i="9"/>
  <c r="V4233" i="9" a="1"/>
  <c r="W4233" i="9" s="1"/>
  <c r="T4234" i="9"/>
  <c r="U4234" i="9"/>
  <c r="V4234" i="9" a="1"/>
  <c r="W4234" i="9" s="1"/>
  <c r="T4235" i="9"/>
  <c r="U4235" i="9"/>
  <c r="V4235" i="9" a="1"/>
  <c r="W4235" i="9" s="1"/>
  <c r="T4236" i="9"/>
  <c r="U4236" i="9"/>
  <c r="V4236" i="9" a="1"/>
  <c r="W4236" i="9" s="1"/>
  <c r="T4237" i="9"/>
  <c r="U4237" i="9"/>
  <c r="V4237" i="9" a="1"/>
  <c r="W4237" i="9" s="1"/>
  <c r="T4238" i="9"/>
  <c r="U4238" i="9"/>
  <c r="V4238" i="9" a="1"/>
  <c r="W4238" i="9" s="1"/>
  <c r="T4239" i="9"/>
  <c r="U4239" i="9"/>
  <c r="V4239" i="9" a="1"/>
  <c r="W4239" i="9" s="1"/>
  <c r="T4240" i="9"/>
  <c r="U4240" i="9"/>
  <c r="V4240" i="9" a="1"/>
  <c r="W4240" i="9" s="1"/>
  <c r="T4241" i="9"/>
  <c r="U4241" i="9"/>
  <c r="V4241" i="9" a="1"/>
  <c r="W4241" i="9" s="1"/>
  <c r="T4242" i="9"/>
  <c r="U4242" i="9"/>
  <c r="V4242" i="9" a="1"/>
  <c r="W4242" i="9" s="1"/>
  <c r="T4243" i="9"/>
  <c r="U4243" i="9"/>
  <c r="V4243" i="9" a="1"/>
  <c r="W4243" i="9" s="1"/>
  <c r="T4244" i="9"/>
  <c r="U4244" i="9"/>
  <c r="V4244" i="9" a="1"/>
  <c r="W4244" i="9" s="1"/>
  <c r="T4245" i="9"/>
  <c r="U4245" i="9"/>
  <c r="V4245" i="9" a="1"/>
  <c r="W4245" i="9" s="1"/>
  <c r="T4246" i="9"/>
  <c r="U4246" i="9"/>
  <c r="V4246" i="9" a="1"/>
  <c r="W4246" i="9" s="1"/>
  <c r="T4247" i="9"/>
  <c r="U4247" i="9"/>
  <c r="V4247" i="9" a="1"/>
  <c r="W4247" i="9" s="1"/>
  <c r="T4248" i="9"/>
  <c r="U4248" i="9"/>
  <c r="V4248" i="9" a="1"/>
  <c r="W4248" i="9" s="1"/>
  <c r="T4249" i="9"/>
  <c r="U4249" i="9"/>
  <c r="V4249" i="9" a="1"/>
  <c r="W4249" i="9" s="1"/>
  <c r="T4250" i="9"/>
  <c r="U4250" i="9"/>
  <c r="V4250" i="9" a="1"/>
  <c r="W4250" i="9" s="1"/>
  <c r="T4251" i="9"/>
  <c r="U4251" i="9"/>
  <c r="V4251" i="9" a="1"/>
  <c r="W4251" i="9" s="1"/>
  <c r="T4252" i="9"/>
  <c r="U4252" i="9"/>
  <c r="V4252" i="9" a="1"/>
  <c r="W4252" i="9" s="1"/>
  <c r="T4253" i="9"/>
  <c r="U4253" i="9"/>
  <c r="V4253" i="9" a="1"/>
  <c r="W4253" i="9" s="1"/>
  <c r="T4254" i="9"/>
  <c r="U4254" i="9"/>
  <c r="V4254" i="9" a="1"/>
  <c r="W4254" i="9" s="1"/>
  <c r="T4255" i="9"/>
  <c r="U4255" i="9"/>
  <c r="V4255" i="9" a="1"/>
  <c r="W4255" i="9" s="1"/>
  <c r="T4256" i="9"/>
  <c r="U4256" i="9"/>
  <c r="V4256" i="9" a="1"/>
  <c r="W4256" i="9" s="1"/>
  <c r="T4257" i="9"/>
  <c r="U4257" i="9"/>
  <c r="V4257" i="9" a="1"/>
  <c r="W4257" i="9" s="1"/>
  <c r="T4258" i="9"/>
  <c r="U4258" i="9"/>
  <c r="V4258" i="9" a="1"/>
  <c r="W4258" i="9" s="1"/>
  <c r="T4259" i="9"/>
  <c r="U4259" i="9"/>
  <c r="V4259" i="9" a="1"/>
  <c r="W4259" i="9" s="1"/>
  <c r="T4260" i="9"/>
  <c r="U4260" i="9"/>
  <c r="V4260" i="9" a="1"/>
  <c r="W4260" i="9" s="1"/>
  <c r="T4261" i="9"/>
  <c r="U4261" i="9"/>
  <c r="V4261" i="9" a="1"/>
  <c r="W4261" i="9" s="1"/>
  <c r="T4262" i="9"/>
  <c r="U4262" i="9"/>
  <c r="V4262" i="9" a="1"/>
  <c r="W4262" i="9" s="1"/>
  <c r="T4263" i="9"/>
  <c r="U4263" i="9"/>
  <c r="V4263" i="9" a="1"/>
  <c r="W4263" i="9" s="1"/>
  <c r="T4264" i="9"/>
  <c r="U4264" i="9"/>
  <c r="V4264" i="9" a="1"/>
  <c r="W4264" i="9" s="1"/>
  <c r="T4265" i="9"/>
  <c r="U4265" i="9"/>
  <c r="V4265" i="9" a="1"/>
  <c r="W4265" i="9" s="1"/>
  <c r="T4266" i="9"/>
  <c r="U4266" i="9"/>
  <c r="V4266" i="9" a="1"/>
  <c r="W4266" i="9" s="1"/>
  <c r="T4267" i="9"/>
  <c r="U4267" i="9"/>
  <c r="V4267" i="9" a="1"/>
  <c r="W4267" i="9" s="1"/>
  <c r="T4268" i="9"/>
  <c r="U4268" i="9"/>
  <c r="V4268" i="9" a="1"/>
  <c r="W4268" i="9" s="1"/>
  <c r="T4269" i="9"/>
  <c r="U4269" i="9"/>
  <c r="V4269" i="9" a="1"/>
  <c r="W4269" i="9" s="1"/>
  <c r="T4270" i="9"/>
  <c r="U4270" i="9"/>
  <c r="V4270" i="9" a="1"/>
  <c r="W4270" i="9" s="1"/>
  <c r="T4271" i="9"/>
  <c r="U4271" i="9"/>
  <c r="V4271" i="9" a="1"/>
  <c r="W4271" i="9" s="1"/>
  <c r="T4272" i="9"/>
  <c r="U4272" i="9"/>
  <c r="V4272" i="9" a="1"/>
  <c r="W4272" i="9" s="1"/>
  <c r="T4273" i="9"/>
  <c r="U4273" i="9"/>
  <c r="V4273" i="9" a="1"/>
  <c r="W4273" i="9" s="1"/>
  <c r="T4274" i="9"/>
  <c r="U4274" i="9"/>
  <c r="V4274" i="9" a="1"/>
  <c r="W4274" i="9" s="1"/>
  <c r="T4275" i="9"/>
  <c r="U4275" i="9"/>
  <c r="V4275" i="9" a="1"/>
  <c r="W4275" i="9" s="1"/>
  <c r="T4276" i="9"/>
  <c r="U4276" i="9"/>
  <c r="V4276" i="9" a="1"/>
  <c r="W4276" i="9" s="1"/>
  <c r="T4277" i="9"/>
  <c r="U4277" i="9"/>
  <c r="V4277" i="9" a="1"/>
  <c r="W4277" i="9" s="1"/>
  <c r="T4278" i="9"/>
  <c r="U4278" i="9"/>
  <c r="V4278" i="9" a="1"/>
  <c r="W4278" i="9" s="1"/>
  <c r="T4279" i="9"/>
  <c r="U4279" i="9"/>
  <c r="V4279" i="9" a="1"/>
  <c r="W4279" i="9" s="1"/>
  <c r="T4280" i="9"/>
  <c r="U4280" i="9"/>
  <c r="V4280" i="9" a="1"/>
  <c r="W4280" i="9" s="1"/>
  <c r="T4281" i="9"/>
  <c r="U4281" i="9"/>
  <c r="V4281" i="9" a="1"/>
  <c r="W4281" i="9" s="1"/>
  <c r="T4282" i="9"/>
  <c r="U4282" i="9"/>
  <c r="V4282" i="9" a="1"/>
  <c r="W4282" i="9" s="1"/>
  <c r="T4283" i="9"/>
  <c r="U4283" i="9"/>
  <c r="V4283" i="9" a="1"/>
  <c r="W4283" i="9" s="1"/>
  <c r="T4284" i="9"/>
  <c r="U4284" i="9"/>
  <c r="V4284" i="9" a="1"/>
  <c r="W4284" i="9" s="1"/>
  <c r="T4285" i="9"/>
  <c r="U4285" i="9"/>
  <c r="V4285" i="9" a="1"/>
  <c r="W4285" i="9" s="1"/>
  <c r="T4286" i="9"/>
  <c r="U4286" i="9"/>
  <c r="V4286" i="9" a="1"/>
  <c r="W4286" i="9" s="1"/>
  <c r="T4287" i="9"/>
  <c r="U4287" i="9"/>
  <c r="V4287" i="9" a="1"/>
  <c r="W4287" i="9" s="1"/>
  <c r="T4288" i="9"/>
  <c r="U4288" i="9"/>
  <c r="V4288" i="9" a="1"/>
  <c r="W4288" i="9" s="1"/>
  <c r="T4289" i="9"/>
  <c r="U4289" i="9"/>
  <c r="V4289" i="9" a="1"/>
  <c r="W4289" i="9" s="1"/>
  <c r="T4290" i="9"/>
  <c r="U4290" i="9"/>
  <c r="V4290" i="9" a="1"/>
  <c r="W4290" i="9" s="1"/>
  <c r="T4291" i="9"/>
  <c r="U4291" i="9"/>
  <c r="V4291" i="9" a="1"/>
  <c r="W4291" i="9" s="1"/>
  <c r="T4292" i="9"/>
  <c r="U4292" i="9"/>
  <c r="V4292" i="9" a="1"/>
  <c r="W4292" i="9" s="1"/>
  <c r="T4293" i="9"/>
  <c r="U4293" i="9"/>
  <c r="V4293" i="9" a="1"/>
  <c r="W4293" i="9" s="1"/>
  <c r="T4294" i="9"/>
  <c r="U4294" i="9"/>
  <c r="V4294" i="9" a="1"/>
  <c r="W4294" i="9" s="1"/>
  <c r="T4295" i="9"/>
  <c r="U4295" i="9"/>
  <c r="V4295" i="9" a="1"/>
  <c r="W4295" i="9" s="1"/>
  <c r="T4296" i="9"/>
  <c r="U4296" i="9"/>
  <c r="V4296" i="9" a="1"/>
  <c r="W4296" i="9" s="1"/>
  <c r="T4297" i="9"/>
  <c r="U4297" i="9"/>
  <c r="V4297" i="9" a="1"/>
  <c r="W4297" i="9" s="1"/>
  <c r="T4298" i="9"/>
  <c r="U4298" i="9"/>
  <c r="V4298" i="9" a="1"/>
  <c r="W4298" i="9" s="1"/>
  <c r="T4299" i="9"/>
  <c r="U4299" i="9"/>
  <c r="V4299" i="9" a="1"/>
  <c r="W4299" i="9" s="1"/>
  <c r="T4300" i="9"/>
  <c r="U4300" i="9"/>
  <c r="V4300" i="9" a="1"/>
  <c r="W4300" i="9" s="1"/>
  <c r="T4301" i="9"/>
  <c r="U4301" i="9"/>
  <c r="V4301" i="9" a="1"/>
  <c r="W4301" i="9" s="1"/>
  <c r="T4302" i="9"/>
  <c r="U4302" i="9"/>
  <c r="V4302" i="9" a="1"/>
  <c r="W4302" i="9" s="1"/>
  <c r="T4303" i="9"/>
  <c r="U4303" i="9"/>
  <c r="V4303" i="9" a="1"/>
  <c r="W4303" i="9" s="1"/>
  <c r="T4304" i="9"/>
  <c r="U4304" i="9"/>
  <c r="V4304" i="9" a="1"/>
  <c r="W4304" i="9" s="1"/>
  <c r="T4305" i="9"/>
  <c r="U4305" i="9"/>
  <c r="V4305" i="9" a="1"/>
  <c r="W4305" i="9" s="1"/>
  <c r="T4306" i="9"/>
  <c r="U4306" i="9"/>
  <c r="V4306" i="9" a="1"/>
  <c r="W4306" i="9" s="1"/>
  <c r="T4307" i="9"/>
  <c r="U4307" i="9"/>
  <c r="V4307" i="9" a="1"/>
  <c r="W4307" i="9" s="1"/>
  <c r="T4308" i="9"/>
  <c r="U4308" i="9"/>
  <c r="V4308" i="9" a="1"/>
  <c r="W4308" i="9" s="1"/>
  <c r="T4309" i="9"/>
  <c r="U4309" i="9"/>
  <c r="V4309" i="9" a="1"/>
  <c r="W4309" i="9" s="1"/>
  <c r="T4310" i="9"/>
  <c r="U4310" i="9"/>
  <c r="V4310" i="9" a="1"/>
  <c r="W4310" i="9" s="1"/>
  <c r="T4311" i="9"/>
  <c r="U4311" i="9"/>
  <c r="V4311" i="9" a="1"/>
  <c r="W4311" i="9" s="1"/>
  <c r="T4312" i="9"/>
  <c r="U4312" i="9"/>
  <c r="V4312" i="9" a="1"/>
  <c r="W4312" i="9" s="1"/>
  <c r="T4313" i="9"/>
  <c r="U4313" i="9"/>
  <c r="V4313" i="9" a="1"/>
  <c r="W4313" i="9" s="1"/>
  <c r="T4314" i="9"/>
  <c r="U4314" i="9"/>
  <c r="V4314" i="9" a="1"/>
  <c r="W4314" i="9" s="1"/>
  <c r="T4315" i="9"/>
  <c r="U4315" i="9"/>
  <c r="V4315" i="9" a="1"/>
  <c r="W4315" i="9" s="1"/>
  <c r="T4316" i="9"/>
  <c r="U4316" i="9"/>
  <c r="V4316" i="9" a="1"/>
  <c r="W4316" i="9" s="1"/>
  <c r="T4317" i="9"/>
  <c r="U4317" i="9"/>
  <c r="V4317" i="9" a="1"/>
  <c r="W4317" i="9" s="1"/>
  <c r="T4318" i="9"/>
  <c r="U4318" i="9"/>
  <c r="V4318" i="9" a="1"/>
  <c r="W4318" i="9" s="1"/>
  <c r="T4319" i="9"/>
  <c r="U4319" i="9"/>
  <c r="V4319" i="9" a="1"/>
  <c r="W4319" i="9" s="1"/>
  <c r="T4320" i="9"/>
  <c r="U4320" i="9"/>
  <c r="V4320" i="9" a="1"/>
  <c r="W4320" i="9" s="1"/>
  <c r="T4321" i="9"/>
  <c r="U4321" i="9"/>
  <c r="V4321" i="9" a="1"/>
  <c r="W4321" i="9" s="1"/>
  <c r="T4322" i="9"/>
  <c r="U4322" i="9"/>
  <c r="V4322" i="9" a="1"/>
  <c r="W4322" i="9" s="1"/>
  <c r="T4323" i="9"/>
  <c r="U4323" i="9"/>
  <c r="V4323" i="9" a="1"/>
  <c r="W4323" i="9" s="1"/>
  <c r="T4324" i="9"/>
  <c r="U4324" i="9"/>
  <c r="V4324" i="9" a="1"/>
  <c r="W4324" i="9" s="1"/>
  <c r="T4325" i="9"/>
  <c r="U4325" i="9"/>
  <c r="V4325" i="9" a="1"/>
  <c r="W4325" i="9" s="1"/>
  <c r="T4326" i="9"/>
  <c r="U4326" i="9"/>
  <c r="V4326" i="9" a="1"/>
  <c r="W4326" i="9" s="1"/>
  <c r="T4327" i="9"/>
  <c r="U4327" i="9"/>
  <c r="V4327" i="9" a="1"/>
  <c r="W4327" i="9" s="1"/>
  <c r="T4328" i="9"/>
  <c r="U4328" i="9"/>
  <c r="V4328" i="9" a="1"/>
  <c r="W4328" i="9" s="1"/>
  <c r="T4329" i="9"/>
  <c r="U4329" i="9"/>
  <c r="V4329" i="9" a="1"/>
  <c r="W4329" i="9" s="1"/>
  <c r="T4330" i="9"/>
  <c r="U4330" i="9"/>
  <c r="V4330" i="9" a="1"/>
  <c r="W4330" i="9" s="1"/>
  <c r="T4331" i="9"/>
  <c r="U4331" i="9"/>
  <c r="V4331" i="9" a="1"/>
  <c r="W4331" i="9" s="1"/>
  <c r="T4332" i="9"/>
  <c r="U4332" i="9"/>
  <c r="V4332" i="9" a="1"/>
  <c r="W4332" i="9" s="1"/>
  <c r="T4333" i="9"/>
  <c r="U4333" i="9"/>
  <c r="V4333" i="9" a="1"/>
  <c r="W4333" i="9" s="1"/>
  <c r="T4334" i="9"/>
  <c r="U4334" i="9"/>
  <c r="V4334" i="9" a="1"/>
  <c r="W4334" i="9" s="1"/>
  <c r="T4335" i="9"/>
  <c r="U4335" i="9"/>
  <c r="V4335" i="9" a="1"/>
  <c r="W4335" i="9" s="1"/>
  <c r="T4336" i="9"/>
  <c r="U4336" i="9"/>
  <c r="V4336" i="9" a="1"/>
  <c r="W4336" i="9" s="1"/>
  <c r="T4337" i="9"/>
  <c r="U4337" i="9"/>
  <c r="V4337" i="9" a="1"/>
  <c r="W4337" i="9" s="1"/>
  <c r="T4338" i="9"/>
  <c r="U4338" i="9"/>
  <c r="V4338" i="9" a="1"/>
  <c r="W4338" i="9" s="1"/>
  <c r="T4339" i="9"/>
  <c r="U4339" i="9"/>
  <c r="V4339" i="9" a="1"/>
  <c r="W4339" i="9" s="1"/>
  <c r="T4340" i="9"/>
  <c r="U4340" i="9"/>
  <c r="V4340" i="9" a="1"/>
  <c r="W4340" i="9" s="1"/>
  <c r="T4341" i="9"/>
  <c r="U4341" i="9"/>
  <c r="V4341" i="9" a="1"/>
  <c r="W4341" i="9" s="1"/>
  <c r="T4342" i="9"/>
  <c r="U4342" i="9"/>
  <c r="V4342" i="9" a="1"/>
  <c r="W4342" i="9" s="1"/>
  <c r="T4343" i="9"/>
  <c r="U4343" i="9"/>
  <c r="V4343" i="9" a="1"/>
  <c r="W4343" i="9" s="1"/>
  <c r="T4344" i="9"/>
  <c r="U4344" i="9"/>
  <c r="V4344" i="9" a="1"/>
  <c r="W4344" i="9" s="1"/>
  <c r="T4345" i="9"/>
  <c r="U4345" i="9"/>
  <c r="V4345" i="9" a="1"/>
  <c r="W4345" i="9" s="1"/>
  <c r="T4346" i="9"/>
  <c r="U4346" i="9"/>
  <c r="V4346" i="9" a="1"/>
  <c r="W4346" i="9" s="1"/>
  <c r="T4347" i="9"/>
  <c r="U4347" i="9"/>
  <c r="V4347" i="9" a="1"/>
  <c r="W4347" i="9" s="1"/>
  <c r="T4348" i="9"/>
  <c r="U4348" i="9"/>
  <c r="V4348" i="9" a="1"/>
  <c r="W4348" i="9" s="1"/>
  <c r="T4349" i="9"/>
  <c r="U4349" i="9"/>
  <c r="V4349" i="9" a="1"/>
  <c r="W4349" i="9" s="1"/>
  <c r="T4350" i="9"/>
  <c r="U4350" i="9"/>
  <c r="V4350" i="9" a="1"/>
  <c r="W4350" i="9" s="1"/>
  <c r="T4351" i="9"/>
  <c r="U4351" i="9"/>
  <c r="V4351" i="9" a="1"/>
  <c r="W4351" i="9" s="1"/>
  <c r="T4352" i="9"/>
  <c r="U4352" i="9"/>
  <c r="V4352" i="9" a="1"/>
  <c r="W4352" i="9" s="1"/>
  <c r="T4353" i="9"/>
  <c r="U4353" i="9"/>
  <c r="V4353" i="9" a="1"/>
  <c r="W4353" i="9" s="1"/>
  <c r="T4354" i="9"/>
  <c r="U4354" i="9"/>
  <c r="V4354" i="9" a="1"/>
  <c r="W4354" i="9" s="1"/>
  <c r="T4355" i="9"/>
  <c r="U4355" i="9"/>
  <c r="V4355" i="9" a="1"/>
  <c r="W4355" i="9" s="1"/>
  <c r="T4356" i="9"/>
  <c r="U4356" i="9"/>
  <c r="V4356" i="9" a="1"/>
  <c r="W4356" i="9" s="1"/>
  <c r="T4357" i="9"/>
  <c r="U4357" i="9"/>
  <c r="V4357" i="9" a="1"/>
  <c r="W4357" i="9" s="1"/>
  <c r="T4358" i="9"/>
  <c r="U4358" i="9"/>
  <c r="V4358" i="9" a="1"/>
  <c r="W4358" i="9" s="1"/>
  <c r="T4359" i="9"/>
  <c r="U4359" i="9"/>
  <c r="V4359" i="9" a="1"/>
  <c r="W4359" i="9" s="1"/>
  <c r="T4360" i="9"/>
  <c r="U4360" i="9"/>
  <c r="V4360" i="9" a="1"/>
  <c r="W4360" i="9" s="1"/>
  <c r="T4361" i="9"/>
  <c r="U4361" i="9"/>
  <c r="V4361" i="9" a="1"/>
  <c r="W4361" i="9" s="1"/>
  <c r="T4362" i="9"/>
  <c r="U4362" i="9"/>
  <c r="V4362" i="9" a="1"/>
  <c r="W4362" i="9" s="1"/>
  <c r="T4363" i="9"/>
  <c r="U4363" i="9"/>
  <c r="V4363" i="9" a="1"/>
  <c r="W4363" i="9" s="1"/>
  <c r="T4364" i="9"/>
  <c r="U4364" i="9"/>
  <c r="V4364" i="9" a="1"/>
  <c r="W4364" i="9" s="1"/>
  <c r="T4365" i="9"/>
  <c r="U4365" i="9"/>
  <c r="V4365" i="9" a="1"/>
  <c r="W4365" i="9" s="1"/>
  <c r="T4366" i="9"/>
  <c r="U4366" i="9"/>
  <c r="V4366" i="9" a="1"/>
  <c r="W4366" i="9" s="1"/>
  <c r="T4367" i="9"/>
  <c r="U4367" i="9"/>
  <c r="V4367" i="9" a="1"/>
  <c r="W4367" i="9" s="1"/>
  <c r="T4368" i="9"/>
  <c r="U4368" i="9"/>
  <c r="V4368" i="9" a="1"/>
  <c r="W4368" i="9" s="1"/>
  <c r="T4369" i="9"/>
  <c r="U4369" i="9"/>
  <c r="V4369" i="9" a="1"/>
  <c r="W4369" i="9" s="1"/>
  <c r="T4370" i="9"/>
  <c r="U4370" i="9"/>
  <c r="V4370" i="9" a="1"/>
  <c r="W4370" i="9" s="1"/>
  <c r="T4371" i="9"/>
  <c r="U4371" i="9"/>
  <c r="V4371" i="9" a="1"/>
  <c r="W4371" i="9" s="1"/>
  <c r="T4372" i="9"/>
  <c r="U4372" i="9"/>
  <c r="V4372" i="9" a="1"/>
  <c r="W4372" i="9" s="1"/>
  <c r="T4373" i="9"/>
  <c r="U4373" i="9"/>
  <c r="V4373" i="9" a="1"/>
  <c r="W4373" i="9" s="1"/>
  <c r="T4374" i="9"/>
  <c r="U4374" i="9"/>
  <c r="V4374" i="9" a="1"/>
  <c r="W4374" i="9" s="1"/>
  <c r="T4375" i="9"/>
  <c r="U4375" i="9"/>
  <c r="V4375" i="9" a="1"/>
  <c r="W4375" i="9" s="1"/>
  <c r="T4376" i="9"/>
  <c r="U4376" i="9"/>
  <c r="V4376" i="9" a="1"/>
  <c r="W4376" i="9" s="1"/>
  <c r="T4377" i="9"/>
  <c r="U4377" i="9"/>
  <c r="V4377" i="9" a="1"/>
  <c r="W4377" i="9" s="1"/>
  <c r="T4378" i="9"/>
  <c r="T3365" i="9"/>
  <c r="U3365" i="9"/>
  <c r="U3366" i="9"/>
  <c r="U3367" i="9"/>
  <c r="U3368" i="9"/>
  <c r="T3369" i="9"/>
  <c r="V3369" i="9" a="1"/>
  <c r="W3369" i="9" s="1"/>
  <c r="T3370" i="9"/>
  <c r="U3370" i="9"/>
  <c r="U3371" i="9"/>
  <c r="U3372" i="9"/>
  <c r="U3373" i="9"/>
  <c r="V3374" i="9" a="1"/>
  <c r="W3374" i="9" s="1"/>
  <c r="T3375" i="9"/>
  <c r="U3376" i="9"/>
  <c r="V3377" i="9" a="1"/>
  <c r="W3377" i="9" s="1"/>
  <c r="U3378" i="9"/>
  <c r="U3379" i="9"/>
  <c r="U3380" i="9"/>
  <c r="V3381" i="9" a="1"/>
  <c r="W3381" i="9" s="1"/>
  <c r="U3382" i="9"/>
  <c r="V3383" i="9" a="1"/>
  <c r="W3383" i="9" s="1"/>
  <c r="U3384" i="9"/>
  <c r="V3385" i="9" a="1"/>
  <c r="W3385" i="9" s="1"/>
  <c r="V3386" i="9" a="1"/>
  <c r="W3386" i="9" s="1"/>
  <c r="T3387" i="9"/>
  <c r="U3388" i="9"/>
  <c r="T3389" i="9"/>
  <c r="V3390" i="9" a="1"/>
  <c r="W3390" i="9" s="1"/>
  <c r="V3391" i="9" a="1"/>
  <c r="W3391" i="9" s="1"/>
  <c r="V3393" i="9" a="1"/>
  <c r="W3393" i="9" s="1"/>
  <c r="U3394" i="9"/>
  <c r="T3395" i="9"/>
  <c r="V3395" i="9" a="1"/>
  <c r="W3395" i="9" s="1"/>
  <c r="T3396" i="9"/>
  <c r="U3396" i="9"/>
  <c r="V3397" i="9" a="1"/>
  <c r="W3397" i="9" s="1"/>
  <c r="V3399" i="9" a="1"/>
  <c r="W3399" i="9" s="1"/>
  <c r="U3400" i="9"/>
  <c r="U3401" i="9"/>
  <c r="T3402" i="9"/>
  <c r="T3403" i="9"/>
  <c r="U3404" i="9"/>
  <c r="V3405" i="9" a="1"/>
  <c r="W3405" i="9" s="1"/>
  <c r="V3408" i="9" a="1"/>
  <c r="W3408" i="9" s="1"/>
  <c r="U3409" i="9"/>
  <c r="V3410" i="9" a="1"/>
  <c r="W3410" i="9" s="1"/>
  <c r="V3411" i="9" a="1"/>
  <c r="W3411" i="9" s="1"/>
  <c r="U3412" i="9"/>
  <c r="T3413" i="9"/>
  <c r="V3415" i="9" a="1"/>
  <c r="W3415" i="9" s="1"/>
  <c r="V3416" i="9" a="1"/>
  <c r="W3416" i="9" s="1"/>
  <c r="T3417" i="9"/>
  <c r="U3418" i="9"/>
  <c r="U3419" i="9"/>
  <c r="V3420" i="9" a="1"/>
  <c r="W3420" i="9" s="1"/>
  <c r="T3421" i="9"/>
  <c r="V3421" i="9" a="1"/>
  <c r="W3421" i="9" s="1"/>
  <c r="T3422" i="9"/>
  <c r="V3422" i="9" a="1"/>
  <c r="W3422" i="9" s="1"/>
  <c r="T3423" i="9"/>
  <c r="T3424" i="9"/>
  <c r="V3425" i="9" a="1"/>
  <c r="W3425" i="9" s="1"/>
  <c r="V3426" i="9" a="1"/>
  <c r="W3426" i="9" s="1"/>
  <c r="T3427" i="9"/>
  <c r="U3428" i="9"/>
  <c r="T3429" i="9"/>
  <c r="V3430" i="9" a="1"/>
  <c r="W3430" i="9" s="1"/>
  <c r="U3431" i="9"/>
  <c r="U3432" i="9"/>
  <c r="U3433" i="9"/>
  <c r="T3434" i="9"/>
  <c r="V3435" i="9" a="1"/>
  <c r="W3435" i="9" s="1"/>
  <c r="U3436" i="9"/>
  <c r="V3440" i="9" a="1"/>
  <c r="W3440" i="9" s="1"/>
  <c r="U3441" i="9"/>
  <c r="V3442" i="9" a="1"/>
  <c r="W3442" i="9" s="1"/>
  <c r="T3443" i="9"/>
  <c r="U3444" i="9"/>
  <c r="T3445" i="9"/>
  <c r="V3446" i="9" a="1"/>
  <c r="W3446" i="9" s="1"/>
  <c r="V3447" i="9" a="1"/>
  <c r="W3447" i="9" s="1"/>
  <c r="V3448" i="9" a="1"/>
  <c r="W3448" i="9" s="1"/>
  <c r="V3449" i="9" a="1"/>
  <c r="W3449" i="9" s="1"/>
  <c r="U3450" i="9"/>
  <c r="T3451" i="9"/>
  <c r="T3452" i="9"/>
  <c r="U3453" i="9"/>
  <c r="T3454" i="9"/>
  <c r="U3455" i="9"/>
  <c r="U3456" i="9"/>
  <c r="U3457" i="9"/>
  <c r="U3462" i="9"/>
  <c r="U3463" i="9"/>
  <c r="V3464" i="9" a="1"/>
  <c r="W3464" i="9" s="1"/>
  <c r="T3465" i="9"/>
  <c r="U3465" i="9"/>
  <c r="V3466" i="9" a="1"/>
  <c r="W3466" i="9" s="1"/>
  <c r="T3467" i="9"/>
  <c r="U3467" i="9"/>
  <c r="U3468" i="9"/>
  <c r="U3469" i="9"/>
  <c r="T3470" i="9"/>
  <c r="U3471" i="9"/>
  <c r="T3472" i="9"/>
  <c r="U3472" i="9"/>
  <c r="V3473" i="9" a="1"/>
  <c r="W3473" i="9" s="1"/>
  <c r="V3474" i="9" a="1"/>
  <c r="W3474" i="9" s="1"/>
  <c r="U3475" i="9"/>
  <c r="U3476" i="9"/>
  <c r="T3477" i="9"/>
  <c r="V3478" i="9" a="1"/>
  <c r="W3478" i="9" s="1"/>
  <c r="T3479" i="9"/>
  <c r="V3480" i="9" a="1"/>
  <c r="W3480" i="9" s="1"/>
  <c r="V3481" i="9" a="1"/>
  <c r="W3481" i="9" s="1"/>
  <c r="T3482" i="9"/>
  <c r="U3483" i="9"/>
  <c r="U3484" i="9"/>
  <c r="T3485" i="9"/>
  <c r="V3486" i="9" a="1"/>
  <c r="W3486" i="9" s="1"/>
  <c r="T3487" i="9"/>
  <c r="U3488" i="9"/>
  <c r="U3489" i="9"/>
  <c r="T3490" i="9"/>
  <c r="V3491" i="9" a="1"/>
  <c r="W3491" i="9" s="1"/>
  <c r="V3492" i="9" a="1"/>
  <c r="W3492" i="9" s="1"/>
  <c r="T3493" i="9"/>
  <c r="V3494" i="9" a="1"/>
  <c r="W3494" i="9" s="1"/>
  <c r="U3495" i="9"/>
  <c r="V3496" i="9" a="1"/>
  <c r="W3496" i="9" s="1"/>
  <c r="U3497" i="9"/>
  <c r="T3498" i="9"/>
  <c r="V3499" i="9" a="1"/>
  <c r="W3499" i="9" s="1"/>
  <c r="V3500" i="9" a="1"/>
  <c r="W3500" i="9" s="1"/>
  <c r="V3501" i="9" a="1"/>
  <c r="W3501" i="9" s="1"/>
  <c r="V3502" i="9" a="1"/>
  <c r="W3502" i="9" s="1"/>
  <c r="T3503" i="9"/>
  <c r="V3503" i="9" a="1"/>
  <c r="W3503" i="9" s="1"/>
  <c r="T3504" i="9"/>
  <c r="U3505" i="9"/>
  <c r="T3506" i="9"/>
  <c r="V3507" i="9" a="1"/>
  <c r="W3507" i="9" s="1"/>
  <c r="V3508" i="9" a="1"/>
  <c r="W3508" i="9" s="1"/>
  <c r="U3509" i="9"/>
  <c r="V3510" i="9" a="1"/>
  <c r="W3510" i="9" s="1"/>
  <c r="T3511" i="9"/>
  <c r="V3513" i="9" a="1"/>
  <c r="W3513" i="9" s="1"/>
  <c r="U3514" i="9"/>
  <c r="T3515" i="9"/>
  <c r="U3516" i="9"/>
  <c r="T3517" i="9"/>
  <c r="V3518" i="9" a="1"/>
  <c r="W3518" i="9" s="1"/>
  <c r="V3519" i="9" a="1"/>
  <c r="W3519" i="9" s="1"/>
  <c r="U3520" i="9"/>
  <c r="T3521" i="9"/>
  <c r="V3522" i="9" a="1"/>
  <c r="W3522" i="9" s="1"/>
  <c r="T3523" i="9"/>
  <c r="V3523" i="9" a="1"/>
  <c r="W3523" i="9" s="1"/>
  <c r="T3524" i="9"/>
  <c r="V3525" i="9" a="1"/>
  <c r="W3525" i="9" s="1"/>
  <c r="T3526" i="9"/>
  <c r="U3527" i="9"/>
  <c r="T3528" i="9"/>
  <c r="U3528" i="9"/>
  <c r="T3529" i="9"/>
  <c r="U3529" i="9"/>
  <c r="V3872" i="9" a="1"/>
  <c r="W3872" i="9" s="1"/>
  <c r="T3873" i="9"/>
  <c r="V3874" i="9" a="1"/>
  <c r="W3874" i="9" s="1"/>
  <c r="T3875" i="9"/>
  <c r="U3876" i="9"/>
  <c r="T3877" i="9"/>
  <c r="V3877" i="9" a="1"/>
  <c r="W3877" i="9" s="1"/>
  <c r="T3878" i="9"/>
  <c r="T3879" i="9"/>
  <c r="V3880" i="9" a="1"/>
  <c r="W3880" i="9" s="1"/>
  <c r="T3881" i="9"/>
  <c r="V3882" i="9" a="1"/>
  <c r="W3882" i="9" s="1"/>
  <c r="T3883" i="9"/>
  <c r="U3884" i="9"/>
  <c r="T3885" i="9"/>
  <c r="U3887" i="9"/>
  <c r="U3888" i="9"/>
  <c r="T3889" i="9"/>
  <c r="V3890" i="9" a="1"/>
  <c r="W3890" i="9" s="1"/>
  <c r="T3891" i="9"/>
  <c r="V3891" i="9" a="1"/>
  <c r="W3891" i="9" s="1"/>
  <c r="U3892" i="9"/>
  <c r="V3893" i="9" a="1"/>
  <c r="W3893" i="9" s="1"/>
  <c r="U3894" i="9"/>
  <c r="U3895" i="9"/>
  <c r="U3896" i="9"/>
  <c r="V3897" i="9" a="1"/>
  <c r="W3897" i="9" s="1"/>
  <c r="U4378" i="9"/>
  <c r="U4379" i="9"/>
  <c r="T4380" i="9"/>
  <c r="V4380" i="9" a="1"/>
  <c r="W4380" i="9" s="1"/>
  <c r="T4381" i="9"/>
  <c r="U4381" i="9"/>
  <c r="U4382" i="9"/>
  <c r="V4383" i="9" a="1"/>
  <c r="W4383" i="9" s="1"/>
  <c r="U4384" i="9"/>
  <c r="V4388" i="9" a="1"/>
  <c r="W4388" i="9" s="1"/>
  <c r="T4389" i="9"/>
  <c r="U4389" i="9"/>
  <c r="V4390" i="9" a="1"/>
  <c r="W4390" i="9" s="1"/>
  <c r="T4391" i="9"/>
  <c r="V4391" i="9" a="1"/>
  <c r="W4391" i="9" s="1"/>
  <c r="V4392" i="9" a="1"/>
  <c r="W4392" i="9" s="1"/>
  <c r="U4393" i="9"/>
  <c r="U4394" i="9"/>
  <c r="V4395" i="9" a="1"/>
  <c r="W4395" i="9" s="1"/>
  <c r="T4396" i="9"/>
  <c r="U4396" i="9"/>
  <c r="U4397" i="9"/>
  <c r="U4398" i="9"/>
  <c r="V4399" i="9" a="1"/>
  <c r="W4399" i="9" s="1"/>
  <c r="T4400" i="9"/>
  <c r="V4401" i="9" a="1"/>
  <c r="W4401" i="9" s="1"/>
  <c r="T4402" i="9"/>
  <c r="U4402" i="9"/>
  <c r="V4403" i="9" a="1"/>
  <c r="W4403" i="9" s="1"/>
  <c r="U4404" i="9"/>
  <c r="U4405" i="9"/>
  <c r="V4406" i="9" a="1"/>
  <c r="W4406" i="9" s="1"/>
  <c r="T4407" i="9"/>
  <c r="U4407" i="9"/>
  <c r="U4408" i="9"/>
  <c r="U4409" i="9"/>
  <c r="U4410" i="9"/>
  <c r="V4411" i="9" a="1"/>
  <c r="W4411" i="9" s="1"/>
  <c r="T4412" i="9"/>
  <c r="U4412" i="9"/>
  <c r="U4413" i="9"/>
  <c r="V4414" i="9" a="1"/>
  <c r="W4414" i="9" s="1"/>
  <c r="T4415" i="9"/>
  <c r="V4415" i="9" a="1"/>
  <c r="W4415" i="9" s="1"/>
  <c r="T4416" i="9"/>
  <c r="U4416" i="9"/>
  <c r="U4417" i="9"/>
  <c r="V4418" i="9" a="1"/>
  <c r="W4418" i="9" s="1"/>
  <c r="T4419" i="9"/>
  <c r="V4419" i="9" a="1"/>
  <c r="W4419" i="9" s="1"/>
  <c r="T4420" i="9"/>
  <c r="V4420" i="9" a="1"/>
  <c r="W4420" i="9" s="1"/>
  <c r="T4421" i="9"/>
  <c r="V4421" i="9" a="1"/>
  <c r="W4421" i="9" s="1"/>
  <c r="T4422" i="9"/>
  <c r="V4422" i="9" a="1"/>
  <c r="W4422" i="9" s="1"/>
  <c r="T4423" i="9"/>
  <c r="U4423" i="9"/>
  <c r="T4424" i="9"/>
  <c r="U4424" i="9"/>
  <c r="T4425" i="9"/>
  <c r="V4425" i="9" a="1"/>
  <c r="W4425" i="9" s="1"/>
  <c r="T4426" i="9"/>
  <c r="V4426" i="9" a="1"/>
  <c r="W4426" i="9" s="1"/>
  <c r="T4427" i="9"/>
  <c r="U4427" i="9"/>
  <c r="T4428" i="9"/>
  <c r="V4428" i="9" a="1"/>
  <c r="W4428" i="9" s="1"/>
  <c r="T4429" i="9"/>
  <c r="V4429" i="9" a="1"/>
  <c r="W4429" i="9" s="1"/>
  <c r="T4430" i="9"/>
  <c r="U4430" i="9"/>
  <c r="U4431" i="9"/>
  <c r="U4432" i="9"/>
  <c r="V4433" i="9" a="1"/>
  <c r="W4433" i="9" s="1"/>
  <c r="T4434" i="9"/>
  <c r="V4434" i="9" a="1"/>
  <c r="W4434" i="9" s="1"/>
  <c r="T4435" i="9"/>
  <c r="U4435" i="9"/>
  <c r="V4435" i="9" a="1"/>
  <c r="W4435" i="9" s="1"/>
  <c r="T4436" i="9"/>
  <c r="U4436" i="9"/>
  <c r="V4437" i="9" a="1"/>
  <c r="W4437" i="9" s="1"/>
  <c r="T4438" i="9"/>
  <c r="V4438" i="9" a="1"/>
  <c r="W4438" i="9" s="1"/>
  <c r="T4439" i="9"/>
  <c r="U4439" i="9"/>
  <c r="U4440" i="9"/>
  <c r="V4441" i="9" a="1"/>
  <c r="W4441" i="9" s="1"/>
  <c r="T4442" i="9"/>
  <c r="V4442" i="9" a="1"/>
  <c r="W4442" i="9" s="1"/>
  <c r="T4443" i="9"/>
  <c r="V4443" i="9" a="1"/>
  <c r="W4443" i="9" s="1"/>
  <c r="U4444" i="9"/>
  <c r="T4445" i="9"/>
  <c r="U4445" i="9"/>
  <c r="T4446" i="9"/>
  <c r="U4446" i="9"/>
  <c r="V4446" i="9" a="1"/>
  <c r="W4446" i="9" s="1"/>
  <c r="T4447" i="9"/>
  <c r="U4447" i="9"/>
  <c r="V4447" i="9" a="1"/>
  <c r="W4447" i="9" s="1"/>
  <c r="T4448" i="9"/>
  <c r="U4448" i="9"/>
  <c r="V4448" i="9" a="1"/>
  <c r="W4448" i="9" s="1"/>
  <c r="T4449" i="9"/>
  <c r="U4449" i="9"/>
  <c r="V4449" i="9" a="1"/>
  <c r="W4449" i="9" s="1"/>
  <c r="T4450" i="9"/>
  <c r="U4450" i="9"/>
  <c r="V4450" i="9" a="1"/>
  <c r="W4450" i="9" s="1"/>
  <c r="T4451" i="9"/>
  <c r="U4451" i="9"/>
  <c r="V4451" i="9" a="1"/>
  <c r="W4451" i="9" s="1"/>
  <c r="T4452" i="9"/>
  <c r="U4452" i="9"/>
  <c r="V4452" i="9" a="1"/>
  <c r="W4452" i="9" s="1"/>
  <c r="T4453" i="9"/>
  <c r="U4453" i="9"/>
  <c r="V4453" i="9" a="1"/>
  <c r="W4453" i="9" s="1"/>
  <c r="T4454" i="9"/>
  <c r="U4454" i="9"/>
  <c r="V4454" i="9" a="1"/>
  <c r="W4454" i="9" s="1"/>
  <c r="T4455" i="9"/>
  <c r="U4455" i="9"/>
  <c r="V4455" i="9" a="1"/>
  <c r="W4455" i="9" s="1"/>
  <c r="T4456" i="9"/>
  <c r="U4456" i="9"/>
  <c r="V4456" i="9" a="1"/>
  <c r="W4456" i="9" s="1"/>
  <c r="T4457" i="9"/>
  <c r="U4457" i="9"/>
  <c r="V4457" i="9" a="1"/>
  <c r="W4457" i="9" s="1"/>
  <c r="T4458" i="9"/>
  <c r="U4458" i="9"/>
  <c r="V4458" i="9" a="1"/>
  <c r="W4458" i="9" s="1"/>
  <c r="T4459" i="9"/>
  <c r="U4459" i="9"/>
  <c r="V4459" i="9" a="1"/>
  <c r="W4459" i="9" s="1"/>
  <c r="T4460" i="9"/>
  <c r="U4460" i="9"/>
  <c r="V4460" i="9" a="1"/>
  <c r="W4460" i="9" s="1"/>
  <c r="T4461" i="9"/>
  <c r="U4461" i="9"/>
  <c r="V4461" i="9" a="1"/>
  <c r="W4461" i="9" s="1"/>
  <c r="T4462" i="9"/>
  <c r="U4462" i="9"/>
  <c r="V4462" i="9" a="1"/>
  <c r="W4462" i="9" s="1"/>
  <c r="T4463" i="9"/>
  <c r="U4463" i="9"/>
  <c r="V4463" i="9" a="1"/>
  <c r="W4463" i="9" s="1"/>
  <c r="T4464" i="9"/>
  <c r="U4464" i="9"/>
  <c r="V4464" i="9" a="1"/>
  <c r="W4464" i="9" s="1"/>
  <c r="T4465" i="9"/>
  <c r="U4465" i="9"/>
  <c r="V4465" i="9" a="1"/>
  <c r="W4465" i="9" s="1"/>
  <c r="T4466" i="9"/>
  <c r="U4466" i="9"/>
  <c r="V4466" i="9" a="1"/>
  <c r="W4466" i="9" s="1"/>
  <c r="T4467" i="9"/>
  <c r="U4467" i="9"/>
  <c r="V4467" i="9" a="1"/>
  <c r="W4467" i="9" s="1"/>
  <c r="T4468" i="9"/>
  <c r="U4468" i="9"/>
  <c r="V4468" i="9" a="1"/>
  <c r="W4468" i="9" s="1"/>
  <c r="T4469" i="9"/>
  <c r="U4469" i="9"/>
  <c r="V4469" i="9" a="1"/>
  <c r="W4469" i="9" s="1"/>
  <c r="T4470" i="9"/>
  <c r="U4470" i="9"/>
  <c r="V4470" i="9" a="1"/>
  <c r="W4470" i="9" s="1"/>
  <c r="T4471" i="9"/>
  <c r="U4471" i="9"/>
  <c r="V4471" i="9" a="1"/>
  <c r="W4471" i="9" s="1"/>
  <c r="T4472" i="9"/>
  <c r="U4472" i="9"/>
  <c r="V4472" i="9" a="1"/>
  <c r="W4472" i="9" s="1"/>
  <c r="T4473" i="9"/>
  <c r="U4473" i="9"/>
  <c r="V4473" i="9" a="1"/>
  <c r="W4473" i="9" s="1"/>
  <c r="T4474" i="9"/>
  <c r="U4474" i="9"/>
  <c r="V4474" i="9" a="1"/>
  <c r="W4474" i="9" s="1"/>
  <c r="T4475" i="9"/>
  <c r="U4475" i="9"/>
  <c r="V4475" i="9" a="1"/>
  <c r="W4475" i="9" s="1"/>
  <c r="T4476" i="9"/>
  <c r="U4476" i="9"/>
  <c r="V4476" i="9" a="1"/>
  <c r="W4476" i="9" s="1"/>
  <c r="T4477" i="9"/>
  <c r="U4477" i="9"/>
  <c r="V4477" i="9" a="1"/>
  <c r="W4477" i="9" s="1"/>
  <c r="T4478" i="9"/>
  <c r="U4478" i="9"/>
  <c r="V4478" i="9" a="1"/>
  <c r="W4478" i="9" s="1"/>
  <c r="T4479" i="9"/>
  <c r="U4479" i="9"/>
  <c r="V4479" i="9" a="1"/>
  <c r="W4479" i="9" s="1"/>
  <c r="T4480" i="9"/>
  <c r="U4480" i="9"/>
  <c r="V4480" i="9" a="1"/>
  <c r="W4480" i="9" s="1"/>
  <c r="T4481" i="9"/>
  <c r="U4481" i="9"/>
  <c r="V4481" i="9" a="1"/>
  <c r="W4481" i="9" s="1"/>
  <c r="T4482" i="9"/>
  <c r="U4482" i="9"/>
  <c r="V4482" i="9" a="1"/>
  <c r="W4482" i="9" s="1"/>
  <c r="T4483" i="9"/>
  <c r="U4483" i="9"/>
  <c r="V4483" i="9" a="1"/>
  <c r="W4483" i="9" s="1"/>
  <c r="T4484" i="9"/>
  <c r="U4484" i="9"/>
  <c r="V4484" i="9" a="1"/>
  <c r="W4484" i="9" s="1"/>
  <c r="T4485" i="9"/>
  <c r="U4485" i="9"/>
  <c r="V4485" i="9" a="1"/>
  <c r="W4485" i="9" s="1"/>
  <c r="T4486" i="9"/>
  <c r="U4486" i="9"/>
  <c r="V4486" i="9" a="1"/>
  <c r="W4486" i="9" s="1"/>
  <c r="V3365" i="9" a="1"/>
  <c r="W3365" i="9" s="1"/>
  <c r="T3366" i="9"/>
  <c r="V3366" i="9" a="1"/>
  <c r="W3366" i="9" s="1"/>
  <c r="T3367" i="9"/>
  <c r="V3367" i="9" a="1"/>
  <c r="W3367" i="9" s="1"/>
  <c r="T3368" i="9"/>
  <c r="V3368" i="9" a="1"/>
  <c r="W3368" i="9" s="1"/>
  <c r="U3369" i="9"/>
  <c r="V3370" i="9" a="1"/>
  <c r="W3370" i="9" s="1"/>
  <c r="T3371" i="9"/>
  <c r="V3371" i="9" a="1"/>
  <c r="W3371" i="9" s="1"/>
  <c r="T3372" i="9"/>
  <c r="V3372" i="9" a="1"/>
  <c r="W3372" i="9" s="1"/>
  <c r="T3373" i="9"/>
  <c r="V3373" i="9" a="1"/>
  <c r="W3373" i="9" s="1"/>
  <c r="T3374" i="9"/>
  <c r="U3374" i="9"/>
  <c r="U3375" i="9"/>
  <c r="V3375" i="9" a="1"/>
  <c r="W3375" i="9" s="1"/>
  <c r="T3376" i="9"/>
  <c r="V3376" i="9" a="1"/>
  <c r="W3376" i="9" s="1"/>
  <c r="T3377" i="9"/>
  <c r="U3377" i="9"/>
  <c r="T3378" i="9"/>
  <c r="V3378" i="9" a="1"/>
  <c r="W3378" i="9" s="1"/>
  <c r="V3379" i="9" a="1"/>
  <c r="W3379" i="9" s="1"/>
  <c r="T3380" i="9"/>
  <c r="T3381" i="9"/>
  <c r="V3382" i="9" a="1"/>
  <c r="W3382" i="9" s="1"/>
  <c r="U3383" i="9"/>
  <c r="V3384" i="9" a="1"/>
  <c r="W3384" i="9" s="1"/>
  <c r="T3385" i="9"/>
  <c r="U3386" i="9"/>
  <c r="V3387" i="9" a="1"/>
  <c r="W3387" i="9" s="1"/>
  <c r="T3388" i="9"/>
  <c r="V3389" i="9" a="1"/>
  <c r="W3389" i="9" s="1"/>
  <c r="T3390" i="9"/>
  <c r="U3391" i="9"/>
  <c r="T3392" i="9"/>
  <c r="U3392" i="9"/>
  <c r="T3393" i="9"/>
  <c r="V3394" i="9" a="1"/>
  <c r="W3394" i="9" s="1"/>
  <c r="V3396" i="9" a="1"/>
  <c r="W3396" i="9" s="1"/>
  <c r="T3397" i="9"/>
  <c r="T3398" i="9"/>
  <c r="V3398" i="9" a="1"/>
  <c r="W3398" i="9" s="1"/>
  <c r="T3399" i="9"/>
  <c r="V3400" i="9" a="1"/>
  <c r="W3400" i="9" s="1"/>
  <c r="T3401" i="9"/>
  <c r="V3402" i="9" a="1"/>
  <c r="W3402" i="9" s="1"/>
  <c r="V3403" i="9" a="1"/>
  <c r="W3403" i="9" s="1"/>
  <c r="V3404" i="9" a="1"/>
  <c r="W3404" i="9" s="1"/>
  <c r="T3405" i="9"/>
  <c r="V3406" i="9" a="1"/>
  <c r="W3406" i="9" s="1"/>
  <c r="T3407" i="9"/>
  <c r="V3407" i="9" a="1"/>
  <c r="W3407" i="9" s="1"/>
  <c r="T3408" i="9"/>
  <c r="V3409" i="9" a="1"/>
  <c r="W3409" i="9" s="1"/>
  <c r="U3410" i="9"/>
  <c r="U3411" i="9"/>
  <c r="V3412" i="9" a="1"/>
  <c r="W3412" i="9" s="1"/>
  <c r="U3413" i="9"/>
  <c r="T3414" i="9"/>
  <c r="V3414" i="9" a="1"/>
  <c r="W3414" i="9" s="1"/>
  <c r="T3415" i="9"/>
  <c r="U3416" i="9"/>
  <c r="V3417" i="9" a="1"/>
  <c r="W3417" i="9" s="1"/>
  <c r="V3418" i="9" a="1"/>
  <c r="W3418" i="9" s="1"/>
  <c r="T3419" i="9"/>
  <c r="V3423" i="9" a="1"/>
  <c r="W3423" i="9" s="1"/>
  <c r="U3424" i="9"/>
  <c r="T3425" i="9"/>
  <c r="U3426" i="9"/>
  <c r="V3427" i="9" a="1"/>
  <c r="W3427" i="9" s="1"/>
  <c r="T3428" i="9"/>
  <c r="V3429" i="9" a="1"/>
  <c r="W3429" i="9" s="1"/>
  <c r="U3430" i="9"/>
  <c r="V3431" i="9" a="1"/>
  <c r="W3431" i="9" s="1"/>
  <c r="T3432" i="9"/>
  <c r="T3433" i="9"/>
  <c r="V3434" i="9" a="1"/>
  <c r="W3434" i="9" s="1"/>
  <c r="T3435" i="9"/>
  <c r="U3435" i="9"/>
  <c r="T3436" i="9"/>
  <c r="V3436" i="9" a="1"/>
  <c r="W3436" i="9" s="1"/>
  <c r="T3437" i="9"/>
  <c r="U3437" i="9"/>
  <c r="V3437" i="9" a="1"/>
  <c r="W3437" i="9" s="1"/>
  <c r="T3438" i="9"/>
  <c r="U3438" i="9"/>
  <c r="V3438" i="9" a="1"/>
  <c r="W3438" i="9" s="1"/>
  <c r="T3439" i="9"/>
  <c r="V3439" i="9" a="1"/>
  <c r="W3439" i="9" s="1"/>
  <c r="T3440" i="9"/>
  <c r="V3441" i="9" a="1"/>
  <c r="W3441" i="9" s="1"/>
  <c r="T3442" i="9"/>
  <c r="V3443" i="9" a="1"/>
  <c r="W3443" i="9" s="1"/>
  <c r="V3444" i="9" a="1"/>
  <c r="W3444" i="9" s="1"/>
  <c r="V3445" i="9" a="1"/>
  <c r="W3445" i="9" s="1"/>
  <c r="T3446" i="9"/>
  <c r="U3447" i="9"/>
  <c r="U3448" i="9"/>
  <c r="U3449" i="9"/>
  <c r="V3450" i="9" a="1"/>
  <c r="W3450" i="9" s="1"/>
  <c r="U3451" i="9"/>
  <c r="V3452" i="9" a="1"/>
  <c r="W3452" i="9" s="1"/>
  <c r="V3453" i="9" a="1"/>
  <c r="W3453" i="9" s="1"/>
  <c r="U3454" i="9"/>
  <c r="T3455" i="9"/>
  <c r="V3456" i="9" a="1"/>
  <c r="W3456" i="9" s="1"/>
  <c r="T3457" i="9"/>
  <c r="U3458" i="9"/>
  <c r="T3459" i="9"/>
  <c r="V3459" i="9" a="1"/>
  <c r="W3459" i="9" s="1"/>
  <c r="T3460" i="9"/>
  <c r="V3460" i="9" a="1"/>
  <c r="W3460" i="9" s="1"/>
  <c r="T3461" i="9"/>
  <c r="V3461" i="9" a="1"/>
  <c r="W3461" i="9" s="1"/>
  <c r="T3462" i="9"/>
  <c r="V3462" i="9" a="1"/>
  <c r="W3462" i="9" s="1"/>
  <c r="T3463" i="9"/>
  <c r="V3463" i="9" a="1"/>
  <c r="W3463" i="9" s="1"/>
  <c r="T3464" i="9"/>
  <c r="U3464" i="9"/>
  <c r="V3465" i="9" a="1"/>
  <c r="W3465" i="9" s="1"/>
  <c r="T3466" i="9"/>
  <c r="U3466" i="9"/>
  <c r="V3467" i="9" a="1"/>
  <c r="W3467" i="9" s="1"/>
  <c r="T3468" i="9"/>
  <c r="V3468" i="9" a="1"/>
  <c r="W3468" i="9" s="1"/>
  <c r="T3469" i="9"/>
  <c r="V3470" i="9" a="1"/>
  <c r="W3470" i="9" s="1"/>
  <c r="V3471" i="9" a="1"/>
  <c r="W3471" i="9" s="1"/>
  <c r="V3472" i="9" a="1"/>
  <c r="W3472" i="9" s="1"/>
  <c r="T3473" i="9"/>
  <c r="U3474" i="9"/>
  <c r="T3475" i="9"/>
  <c r="V3475" i="9" a="1"/>
  <c r="W3475" i="9" s="1"/>
  <c r="T3476" i="9"/>
  <c r="V3477" i="9" a="1"/>
  <c r="W3477" i="9" s="1"/>
  <c r="U3478" i="9"/>
  <c r="V3479" i="9" a="1"/>
  <c r="W3479" i="9" s="1"/>
  <c r="T3480" i="9"/>
  <c r="U3481" i="9"/>
  <c r="U3482" i="9"/>
  <c r="T3483" i="9"/>
  <c r="V3484" i="9" a="1"/>
  <c r="W3484" i="9" s="1"/>
  <c r="U3485" i="9"/>
  <c r="T3486" i="9"/>
  <c r="U3487" i="9"/>
  <c r="T3488" i="9"/>
  <c r="V3488" i="9" a="1"/>
  <c r="W3488" i="9" s="1"/>
  <c r="T3489" i="9"/>
  <c r="V3490" i="9" a="1"/>
  <c r="W3490" i="9" s="1"/>
  <c r="T3491" i="9"/>
  <c r="U3492" i="9"/>
  <c r="V3493" i="9" a="1"/>
  <c r="W3493" i="9" s="1"/>
  <c r="T3494" i="9"/>
  <c r="V3495" i="9" a="1"/>
  <c r="W3495" i="9" s="1"/>
  <c r="T3496" i="9"/>
  <c r="V3497" i="9" a="1"/>
  <c r="W3497" i="9" s="1"/>
  <c r="U3498" i="9"/>
  <c r="T3499" i="9"/>
  <c r="U3500" i="9"/>
  <c r="U3501" i="9"/>
  <c r="U3502" i="9"/>
  <c r="V3504" i="9" a="1"/>
  <c r="W3504" i="9" s="1"/>
  <c r="T3505" i="9"/>
  <c r="U3506" i="9"/>
  <c r="T3507" i="9"/>
  <c r="U3508" i="9"/>
  <c r="V3509" i="9" a="1"/>
  <c r="W3509" i="9" s="1"/>
  <c r="T3510" i="9"/>
  <c r="V3511" i="9" a="1"/>
  <c r="W3511" i="9" s="1"/>
  <c r="T3512" i="9"/>
  <c r="V3512" i="9" a="1"/>
  <c r="W3512" i="9" s="1"/>
  <c r="T3513" i="9"/>
  <c r="T3514" i="9"/>
  <c r="U3515" i="9"/>
  <c r="T3516" i="9"/>
  <c r="V3516" i="9" a="1"/>
  <c r="W3516" i="9" s="1"/>
  <c r="U3517" i="9"/>
  <c r="T3518" i="9"/>
  <c r="U3519" i="9"/>
  <c r="T3520" i="9"/>
  <c r="U3521" i="9"/>
  <c r="V3521" i="9" a="1"/>
  <c r="W3521" i="9" s="1"/>
  <c r="U3522" i="9"/>
  <c r="U3523" i="9"/>
  <c r="U3524" i="9"/>
  <c r="T3525" i="9"/>
  <c r="V3526" i="9" a="1"/>
  <c r="W3526" i="9" s="1"/>
  <c r="V3529" i="9" a="1"/>
  <c r="W3529" i="9" s="1"/>
  <c r="V3871" i="9" a="1"/>
  <c r="W3871" i="9" s="1"/>
  <c r="U3872" i="9"/>
  <c r="U3873" i="9"/>
  <c r="T3874" i="9"/>
  <c r="V3875" i="9" a="1"/>
  <c r="W3875" i="9" s="1"/>
  <c r="T3876" i="9"/>
  <c r="V3876" i="9" a="1"/>
  <c r="W3876" i="9" s="1"/>
  <c r="U3877" i="9"/>
  <c r="U3878" i="9"/>
  <c r="V3879" i="9" a="1"/>
  <c r="W3879" i="9" s="1"/>
  <c r="U3880" i="9"/>
  <c r="V3881" i="9" a="1"/>
  <c r="W3881" i="9" s="1"/>
  <c r="T3882" i="9"/>
  <c r="V3883" i="9" a="1"/>
  <c r="W3883" i="9" s="1"/>
  <c r="T3884" i="9"/>
  <c r="U3885" i="9"/>
  <c r="T3886" i="9"/>
  <c r="U3886" i="9"/>
  <c r="T3887" i="9"/>
  <c r="V3887" i="9" a="1"/>
  <c r="W3887" i="9" s="1"/>
  <c r="T3888" i="9"/>
  <c r="V3889" i="9" a="1"/>
  <c r="W3889" i="9" s="1"/>
  <c r="U3890" i="9"/>
  <c r="V3892" i="9" a="1"/>
  <c r="W3892" i="9" s="1"/>
  <c r="T3893" i="9"/>
  <c r="V3894" i="9" a="1"/>
  <c r="W3894" i="9" s="1"/>
  <c r="T3895" i="9"/>
  <c r="V3896" i="9" a="1"/>
  <c r="W3896" i="9" s="1"/>
  <c r="T3897" i="9"/>
  <c r="T3898" i="9"/>
  <c r="U3898" i="9"/>
  <c r="U3899" i="9"/>
  <c r="V4378" i="9" a="1"/>
  <c r="W4378" i="9" s="1"/>
  <c r="T4379" i="9"/>
  <c r="V4379" i="9" a="1"/>
  <c r="W4379" i="9" s="1"/>
  <c r="U4380" i="9"/>
  <c r="V4381" i="9" a="1"/>
  <c r="W4381" i="9" s="1"/>
  <c r="T4382" i="9"/>
  <c r="V4382" i="9" a="1"/>
  <c r="W4382" i="9" s="1"/>
  <c r="T4383" i="9"/>
  <c r="U4383" i="9"/>
  <c r="T4384" i="9"/>
  <c r="V4384" i="9" a="1"/>
  <c r="W4384" i="9" s="1"/>
  <c r="T4385" i="9"/>
  <c r="U4385" i="9"/>
  <c r="V4385" i="9" a="1"/>
  <c r="W4385" i="9" s="1"/>
  <c r="T4386" i="9"/>
  <c r="U4386" i="9"/>
  <c r="V4386" i="9" a="1"/>
  <c r="W4386" i="9" s="1"/>
  <c r="T4387" i="9"/>
  <c r="U4387" i="9"/>
  <c r="V4387" i="9" a="1"/>
  <c r="W4387" i="9" s="1"/>
  <c r="T4388" i="9"/>
  <c r="U4388" i="9"/>
  <c r="V4389" i="9" a="1"/>
  <c r="W4389" i="9" s="1"/>
  <c r="T4390" i="9"/>
  <c r="U4390" i="9"/>
  <c r="U4391" i="9"/>
  <c r="T4392" i="9"/>
  <c r="U4392" i="9"/>
  <c r="T4393" i="9"/>
  <c r="V4393" i="9" a="1"/>
  <c r="W4393" i="9" s="1"/>
  <c r="T4394" i="9"/>
  <c r="V4394" i="9" a="1"/>
  <c r="W4394" i="9" s="1"/>
  <c r="T4395" i="9"/>
  <c r="U4395" i="9"/>
  <c r="V4396" i="9" a="1"/>
  <c r="W4396" i="9" s="1"/>
  <c r="T4397" i="9"/>
  <c r="V4397" i="9" a="1"/>
  <c r="W4397" i="9" s="1"/>
  <c r="T4398" i="9"/>
  <c r="V4398" i="9" a="1"/>
  <c r="W4398" i="9" s="1"/>
  <c r="T4399" i="9"/>
  <c r="U4399" i="9"/>
  <c r="U4400" i="9"/>
  <c r="V4400" i="9" a="1"/>
  <c r="W4400" i="9" s="1"/>
  <c r="T4401" i="9"/>
  <c r="U4401" i="9"/>
  <c r="V4402" i="9" a="1"/>
  <c r="W4402" i="9" s="1"/>
  <c r="T4403" i="9"/>
  <c r="U4403" i="9"/>
  <c r="T4404" i="9"/>
  <c r="V4404" i="9" a="1"/>
  <c r="W4404" i="9" s="1"/>
  <c r="T4405" i="9"/>
  <c r="V4405" i="9" a="1"/>
  <c r="W4405" i="9" s="1"/>
  <c r="T4406" i="9"/>
  <c r="U4406" i="9"/>
  <c r="V4407" i="9" a="1"/>
  <c r="W4407" i="9" s="1"/>
  <c r="T4408" i="9"/>
  <c r="V4408" i="9" a="1"/>
  <c r="W4408" i="9" s="1"/>
  <c r="T4409" i="9"/>
  <c r="V4409" i="9" a="1"/>
  <c r="W4409" i="9" s="1"/>
  <c r="T4410" i="9"/>
  <c r="V4410" i="9" a="1"/>
  <c r="W4410" i="9" s="1"/>
  <c r="T4411" i="9"/>
  <c r="U4411" i="9"/>
  <c r="V4412" i="9" a="1"/>
  <c r="W4412" i="9" s="1"/>
  <c r="T4413" i="9"/>
  <c r="V4413" i="9" a="1"/>
  <c r="W4413" i="9" s="1"/>
  <c r="T4414" i="9"/>
  <c r="U4414" i="9"/>
  <c r="U4415" i="9"/>
  <c r="V4416" i="9" a="1"/>
  <c r="W4416" i="9" s="1"/>
  <c r="T4417" i="9"/>
  <c r="V4417" i="9" a="1"/>
  <c r="W4417" i="9" s="1"/>
  <c r="T4418" i="9"/>
  <c r="U4418" i="9"/>
  <c r="U4419" i="9"/>
  <c r="U4420" i="9"/>
  <c r="U4421" i="9"/>
  <c r="U4422" i="9"/>
  <c r="V4423" i="9" a="1"/>
  <c r="W4423" i="9" s="1"/>
  <c r="V4424" i="9" a="1"/>
  <c r="W4424" i="9" s="1"/>
  <c r="U4425" i="9"/>
  <c r="U4426" i="9"/>
  <c r="V4427" i="9" a="1"/>
  <c r="W4427" i="9" s="1"/>
  <c r="U4428" i="9"/>
  <c r="U4429" i="9"/>
  <c r="V4430" i="9" a="1"/>
  <c r="W4430" i="9" s="1"/>
  <c r="T4431" i="9"/>
  <c r="V4431" i="9" a="1"/>
  <c r="W4431" i="9" s="1"/>
  <c r="T4432" i="9"/>
  <c r="V4432" i="9" a="1"/>
  <c r="W4432" i="9" s="1"/>
  <c r="T4433" i="9"/>
  <c r="U4433" i="9"/>
  <c r="U4434" i="9"/>
  <c r="V4436" i="9" a="1"/>
  <c r="W4436" i="9" s="1"/>
  <c r="T4437" i="9"/>
  <c r="U4437" i="9"/>
  <c r="U4438" i="9"/>
  <c r="V4439" i="9" a="1"/>
  <c r="W4439" i="9" s="1"/>
  <c r="T4440" i="9"/>
  <c r="V4440" i="9" a="1"/>
  <c r="W4440" i="9" s="1"/>
  <c r="T4441" i="9"/>
  <c r="U4441" i="9"/>
  <c r="U4442" i="9"/>
  <c r="U4443" i="9"/>
  <c r="T4444" i="9"/>
  <c r="V4444" i="9" a="1"/>
  <c r="W4444" i="9" s="1"/>
  <c r="V4445" i="9" a="1"/>
  <c r="W4445" i="9" s="1"/>
  <c r="AA40" i="9" a="1"/>
  <c r="AA43" i="9" a="1"/>
  <c r="AA47" i="9" a="1"/>
  <c r="AA51" i="9" a="1"/>
  <c r="AA54" i="9" a="1"/>
  <c r="AA56" i="9" a="1"/>
  <c r="AA58" i="9" a="1"/>
  <c r="AA60" i="9" a="1"/>
  <c r="AA220" i="9" a="1"/>
  <c r="AA222" i="9" a="1"/>
  <c r="AA224" i="9" a="1"/>
  <c r="AA226" i="9" a="1"/>
  <c r="AA228" i="9" a="1"/>
  <c r="AA230" i="9" a="1"/>
  <c r="AA231" i="9" a="1"/>
  <c r="AA233" i="9" a="1"/>
  <c r="AA234" i="9" a="1"/>
  <c r="AA235" i="9" a="1"/>
  <c r="AA239" i="9" a="1"/>
  <c r="AA240" i="9" a="1"/>
  <c r="AA246" i="9" a="1"/>
  <c r="AA247" i="9" a="1"/>
  <c r="AA248" i="9" a="1"/>
  <c r="AA252" i="9" a="1"/>
  <c r="AA254" i="9" a="1"/>
  <c r="AA256" i="9" a="1"/>
  <c r="AA263" i="9" a="1"/>
  <c r="AA264" i="9" a="1"/>
  <c r="AA269" i="9" a="1"/>
  <c r="AA275" i="9" a="1"/>
  <c r="AA279" i="9" a="1"/>
  <c r="AA284" i="9" a="1"/>
  <c r="AA285" i="9" a="1"/>
  <c r="AA287" i="9" a="1"/>
  <c r="AA289" i="9" a="1"/>
  <c r="AA291" i="9" a="1"/>
  <c r="AA294" i="9" a="1"/>
  <c r="AA296" i="9" a="1"/>
  <c r="AA297" i="9" a="1"/>
  <c r="AA298" i="9" a="1"/>
  <c r="AA299" i="9" a="1"/>
  <c r="AA300" i="9" a="1"/>
  <c r="AA301" i="9" a="1"/>
  <c r="AA302" i="9" a="1"/>
  <c r="AA303" i="9" a="1"/>
  <c r="AA304" i="9" a="1"/>
  <c r="AA305" i="9" a="1"/>
  <c r="AA306" i="9" a="1"/>
  <c r="AA307" i="9" a="1"/>
  <c r="AA308" i="9" a="1"/>
  <c r="AA309" i="9" a="1"/>
  <c r="AA310" i="9" a="1"/>
  <c r="AA311" i="9" a="1"/>
  <c r="AA312" i="9" a="1"/>
  <c r="AA313" i="9" a="1"/>
  <c r="AA314" i="9" a="1"/>
  <c r="AA315" i="9" a="1"/>
  <c r="AA316" i="9" a="1"/>
  <c r="AA320" i="9" a="1"/>
  <c r="AA322" i="9" a="1"/>
  <c r="AA327" i="9" a="1"/>
  <c r="AA330" i="9" a="1"/>
  <c r="AA331" i="9" a="1"/>
  <c r="AA333" i="9" a="1"/>
  <c r="AA334" i="9" a="1"/>
  <c r="AA336" i="9" a="1"/>
  <c r="AA341" i="9" a="1"/>
  <c r="AA342" i="9" a="1"/>
  <c r="AA346" i="9" a="1"/>
  <c r="AA348" i="9" a="1"/>
  <c r="AA349" i="9" a="1"/>
  <c r="AA350" i="9" a="1"/>
  <c r="AA353" i="9" a="1"/>
  <c r="AA356" i="9" a="1"/>
  <c r="AA359" i="9" a="1"/>
  <c r="AA360" i="9" a="1"/>
  <c r="AA363" i="9" a="1"/>
  <c r="AA364" i="9" a="1"/>
  <c r="AA366" i="9" a="1"/>
  <c r="AA373" i="9" a="1"/>
  <c r="AA374" i="9" a="1"/>
  <c r="AA377" i="9" a="1"/>
  <c r="AA381" i="9" a="1"/>
  <c r="AA383" i="9" a="1"/>
  <c r="AA384" i="9" a="1"/>
  <c r="AA385" i="9" a="1"/>
  <c r="AA387" i="9" a="1"/>
  <c r="AA389" i="9" a="1"/>
  <c r="AA392" i="9" a="1"/>
  <c r="AA394" i="9" a="1"/>
  <c r="AA396" i="9" a="1"/>
  <c r="AA398" i="9" a="1"/>
  <c r="AA400" i="9" a="1"/>
  <c r="AA402" i="9" a="1"/>
  <c r="AA406" i="9" a="1"/>
  <c r="AA408" i="9" a="1"/>
  <c r="AA409" i="9" a="1"/>
  <c r="AA410" i="9" a="1"/>
  <c r="AA413" i="9" a="1"/>
  <c r="AA415" i="9" a="1"/>
  <c r="AA421" i="9" a="1"/>
  <c r="AA423" i="9" a="1"/>
  <c r="AA425" i="9" a="1"/>
  <c r="AA427" i="9" a="1"/>
  <c r="AA428" i="9" a="1"/>
  <c r="AA430" i="9" a="1"/>
  <c r="AA434" i="9" a="1"/>
  <c r="AA435" i="9" a="1"/>
  <c r="AA436" i="9" a="1"/>
  <c r="AA443" i="9" a="1"/>
  <c r="AA444" i="9" a="1"/>
  <c r="AA446" i="9" a="1"/>
  <c r="AA448" i="9" a="1"/>
  <c r="AA450" i="9" a="1"/>
  <c r="AA452" i="9" a="1"/>
  <c r="AA453" i="9" a="1"/>
  <c r="AA455" i="9" a="1"/>
  <c r="AA457" i="9" a="1"/>
  <c r="AA459" i="9" a="1"/>
  <c r="AA460" i="9" a="1"/>
  <c r="AA462" i="9" a="1"/>
  <c r="AA463" i="9" a="1"/>
  <c r="AA464" i="9" a="1"/>
  <c r="AA465" i="9" a="1"/>
  <c r="AA467" i="9" a="1"/>
  <c r="AA470" i="9" a="1"/>
  <c r="AA471" i="9" a="1"/>
  <c r="AA474" i="9" a="1"/>
  <c r="AA477" i="9" a="1"/>
  <c r="AA480" i="9" a="1"/>
  <c r="AA481" i="9" a="1"/>
  <c r="AA482" i="9" a="1"/>
  <c r="AA483" i="9" a="1"/>
  <c r="AA484" i="9" a="1"/>
  <c r="AA485" i="9" a="1"/>
  <c r="AA486" i="9" a="1"/>
  <c r="AA487" i="9" a="1"/>
  <c r="AA488" i="9" a="1"/>
  <c r="AA489" i="9" a="1"/>
  <c r="AA490" i="9" a="1"/>
  <c r="AA491" i="9" a="1"/>
  <c r="AA492" i="9" a="1"/>
  <c r="AA493" i="9" a="1"/>
  <c r="AA494" i="9" a="1"/>
  <c r="AA495" i="9" a="1"/>
  <c r="AA496" i="9" a="1"/>
  <c r="AA497" i="9" a="1"/>
  <c r="AA498" i="9" a="1"/>
  <c r="AA499" i="9" a="1"/>
  <c r="AA500" i="9" a="1"/>
  <c r="AA501" i="9" a="1"/>
  <c r="AA502" i="9" a="1"/>
  <c r="AA503" i="9" a="1"/>
  <c r="AA504" i="9" a="1"/>
  <c r="AA505" i="9" a="1"/>
  <c r="AA506" i="9" a="1"/>
  <c r="AA507" i="9" a="1"/>
  <c r="AA508" i="9" a="1"/>
  <c r="AA509" i="9" a="1"/>
  <c r="AA510" i="9" a="1"/>
  <c r="AA511" i="9" a="1"/>
  <c r="AA512" i="9" a="1"/>
  <c r="AA513" i="9" a="1"/>
  <c r="AA514" i="9" a="1"/>
  <c r="AA515" i="9" a="1"/>
  <c r="AA516" i="9" a="1"/>
  <c r="AA517" i="9" a="1"/>
  <c r="AA518" i="9" a="1"/>
  <c r="AA519" i="9" a="1"/>
  <c r="AA520" i="9" a="1"/>
  <c r="AA521" i="9" a="1"/>
  <c r="AA522" i="9" a="1"/>
  <c r="AA523" i="9" a="1"/>
  <c r="AA524" i="9" a="1"/>
  <c r="AA525" i="9" a="1"/>
  <c r="AA526" i="9" a="1"/>
  <c r="AA527" i="9" a="1"/>
  <c r="AA528" i="9" a="1"/>
  <c r="AA529" i="9" a="1"/>
  <c r="AA530" i="9" a="1"/>
  <c r="AA531" i="9" a="1"/>
  <c r="AA532" i="9" a="1"/>
  <c r="AA533" i="9" a="1"/>
  <c r="AA534" i="9" a="1"/>
  <c r="AA535" i="9" a="1"/>
  <c r="AA536" i="9" a="1"/>
  <c r="AA537" i="9" a="1"/>
  <c r="AA538" i="9" a="1"/>
  <c r="AA539" i="9" a="1"/>
  <c r="AA540" i="9" a="1"/>
  <c r="AA541" i="9" a="1"/>
  <c r="AA542" i="9" a="1"/>
  <c r="AA543" i="9" a="1"/>
  <c r="AA544" i="9" a="1"/>
  <c r="AA545" i="9" a="1"/>
  <c r="AA546" i="9" a="1"/>
  <c r="AA547" i="9" a="1"/>
  <c r="AA548" i="9" a="1"/>
  <c r="AA549" i="9" a="1"/>
  <c r="AA550" i="9" a="1"/>
  <c r="AA551" i="9" a="1"/>
  <c r="AA552" i="9" a="1"/>
  <c r="AA553" i="9" a="1"/>
  <c r="AA554" i="9" a="1"/>
  <c r="AA555" i="9" a="1"/>
  <c r="AA556" i="9" a="1"/>
  <c r="AA557" i="9" a="1"/>
  <c r="AA558" i="9" a="1"/>
  <c r="AA559" i="9" a="1"/>
  <c r="AA560" i="9" a="1"/>
  <c r="AA561" i="9" a="1"/>
  <c r="AA562" i="9" a="1"/>
  <c r="AA563" i="9" a="1"/>
  <c r="AA564" i="9" a="1"/>
  <c r="AA565" i="9" a="1"/>
  <c r="AA566" i="9" a="1"/>
  <c r="AA567" i="9" a="1"/>
  <c r="AA568" i="9" a="1"/>
  <c r="AA569" i="9" a="1"/>
  <c r="AA570" i="9" a="1"/>
  <c r="AA571" i="9" a="1"/>
  <c r="AA572" i="9" a="1"/>
  <c r="AA573" i="9" a="1"/>
  <c r="AA574" i="9" a="1"/>
  <c r="AA575" i="9" a="1"/>
  <c r="AA576" i="9" a="1"/>
  <c r="AA577" i="9" a="1"/>
  <c r="AA578" i="9" a="1"/>
  <c r="AA579" i="9" a="1"/>
  <c r="AA580" i="9" a="1"/>
  <c r="AA581" i="9" a="1"/>
  <c r="AA582" i="9" a="1"/>
  <c r="AA583" i="9" a="1"/>
  <c r="AA584" i="9" a="1"/>
  <c r="AA585" i="9" a="1"/>
  <c r="AA586" i="9" a="1"/>
  <c r="AA587" i="9" a="1"/>
  <c r="AA588" i="9" a="1"/>
  <c r="AA589" i="9" a="1"/>
  <c r="AA590" i="9" a="1"/>
  <c r="AA591" i="9" a="1"/>
  <c r="AA592" i="9" a="1"/>
  <c r="AA593" i="9" a="1"/>
  <c r="AA594" i="9" a="1"/>
  <c r="AA595" i="9" a="1"/>
  <c r="AA596" i="9" a="1"/>
  <c r="AA597" i="9" a="1"/>
  <c r="AA598" i="9" a="1"/>
  <c r="AA599" i="9" a="1"/>
  <c r="AA600" i="9" a="1"/>
  <c r="AA601" i="9" a="1"/>
  <c r="AA602" i="9" a="1"/>
  <c r="AA603" i="9" a="1"/>
  <c r="AA604" i="9" a="1"/>
  <c r="AA605" i="9" a="1"/>
  <c r="AA606" i="9" a="1"/>
  <c r="AA607" i="9" a="1"/>
  <c r="AA608" i="9" a="1"/>
  <c r="AA609" i="9" a="1"/>
  <c r="AA610" i="9" a="1"/>
  <c r="AA611" i="9" a="1"/>
  <c r="AA612" i="9" a="1"/>
  <c r="AA613" i="9" a="1"/>
  <c r="AA614" i="9" a="1"/>
  <c r="AA615" i="9" a="1"/>
  <c r="AA616" i="9" a="1"/>
  <c r="AA617" i="9" a="1"/>
  <c r="AA618" i="9" a="1"/>
  <c r="AA619" i="9" a="1"/>
  <c r="AA620" i="9" a="1"/>
  <c r="AA621" i="9" a="1"/>
  <c r="AA622" i="9" a="1"/>
  <c r="AA623" i="9" a="1"/>
  <c r="AA624" i="9" a="1"/>
  <c r="AA625" i="9" a="1"/>
  <c r="AA626" i="9" a="1"/>
  <c r="AA627" i="9" a="1"/>
  <c r="AA628" i="9" a="1"/>
  <c r="AA629" i="9" a="1"/>
  <c r="AA630" i="9" a="1"/>
  <c r="AA631" i="9" a="1"/>
  <c r="AA632" i="9" a="1"/>
  <c r="AA633" i="9" a="1"/>
  <c r="AA634" i="9" a="1"/>
  <c r="AA635" i="9" a="1"/>
  <c r="AA636" i="9" a="1"/>
  <c r="AA637" i="9" a="1"/>
  <c r="AA638" i="9" a="1"/>
  <c r="AA639" i="9" a="1"/>
  <c r="AA640" i="9" a="1"/>
  <c r="AA641" i="9" a="1"/>
  <c r="AA642" i="9" a="1"/>
  <c r="AA643" i="9" a="1"/>
  <c r="AA644" i="9" a="1"/>
  <c r="AA645" i="9" a="1"/>
  <c r="AA646" i="9" a="1"/>
  <c r="AA647" i="9" a="1"/>
  <c r="AA648" i="9" a="1"/>
  <c r="AA649" i="9" a="1"/>
  <c r="AA650" i="9" a="1"/>
  <c r="AA651" i="9" a="1"/>
  <c r="AA652" i="9" a="1"/>
  <c r="AA653" i="9" a="1"/>
  <c r="AA654" i="9" a="1"/>
  <c r="AA655" i="9" a="1"/>
  <c r="AA656" i="9" a="1"/>
  <c r="AA657" i="9" a="1"/>
  <c r="AA658" i="9" a="1"/>
  <c r="AA659" i="9" a="1"/>
  <c r="AA660" i="9" a="1"/>
  <c r="AA661" i="9" a="1"/>
  <c r="AA662" i="9" a="1"/>
  <c r="AA663" i="9" a="1"/>
  <c r="AA664" i="9" a="1"/>
  <c r="AA665" i="9" a="1"/>
  <c r="AA666" i="9" a="1"/>
  <c r="AA667" i="9" a="1"/>
  <c r="AA668" i="9" a="1"/>
  <c r="AA44" i="9" a="1"/>
  <c r="AA48" i="9" a="1"/>
  <c r="AA52" i="9" a="1"/>
  <c r="AA55" i="9" a="1"/>
  <c r="AA57" i="9" a="1"/>
  <c r="AA59" i="9" a="1"/>
  <c r="AA61" i="9" a="1"/>
  <c r="AA62" i="9" a="1"/>
  <c r="AA64" i="9" a="1"/>
  <c r="AA219" i="9" a="1"/>
  <c r="AA221" i="9" a="1"/>
  <c r="AA223" i="9" a="1"/>
  <c r="AA236" i="9" a="1"/>
  <c r="AA237" i="9" a="1"/>
  <c r="AA238" i="9" a="1"/>
  <c r="AA243" i="9" a="1"/>
  <c r="AA244" i="9" a="1"/>
  <c r="AA250" i="9" a="1"/>
  <c r="AA255" i="9" a="1"/>
  <c r="AA258" i="9" a="1"/>
  <c r="AA259" i="9" a="1"/>
  <c r="AA261" i="9" a="1"/>
  <c r="AA262" i="9" a="1"/>
  <c r="AA266" i="9" a="1"/>
  <c r="AA267" i="9" a="1"/>
  <c r="AA270" i="9" a="1"/>
  <c r="AA272" i="9" a="1"/>
  <c r="AA273" i="9" a="1"/>
  <c r="AA274" i="9" a="1"/>
  <c r="AA277" i="9" a="1"/>
  <c r="AA281" i="9" a="1"/>
  <c r="AA282" i="9" a="1"/>
  <c r="AA288" i="9" a="1"/>
  <c r="AA290" i="9" a="1"/>
  <c r="AA292" i="9" a="1"/>
  <c r="AA293" i="9" a="1"/>
  <c r="AA295" i="9" a="1"/>
  <c r="AA317" i="9" a="1"/>
  <c r="AA318" i="9" a="1"/>
  <c r="AA319" i="9" a="1"/>
  <c r="AA321" i="9" a="1"/>
  <c r="AA323" i="9" a="1"/>
  <c r="AA324" i="9" a="1"/>
  <c r="AA325" i="9" a="1"/>
  <c r="AA326" i="9" a="1"/>
  <c r="AA328" i="9" a="1"/>
  <c r="AA329" i="9" a="1"/>
  <c r="AA332" i="9" a="1"/>
  <c r="AA335" i="9" a="1"/>
  <c r="AA337" i="9" a="1"/>
  <c r="AA338" i="9" a="1"/>
  <c r="AA339" i="9" a="1"/>
  <c r="AA340" i="9" a="1"/>
  <c r="AA343" i="9" a="1"/>
  <c r="AA344" i="9" a="1"/>
  <c r="AA345" i="9" a="1"/>
  <c r="AA347" i="9" a="1"/>
  <c r="AA351" i="9" a="1"/>
  <c r="AA352" i="9" a="1"/>
  <c r="AA354" i="9" a="1"/>
  <c r="AA355" i="9" a="1"/>
  <c r="AA357" i="9" a="1"/>
  <c r="AA358" i="9" a="1"/>
  <c r="AA361" i="9" a="1"/>
  <c r="AA362" i="9" a="1"/>
  <c r="AA365" i="9" a="1"/>
  <c r="AA367" i="9" a="1"/>
  <c r="AA368" i="9" a="1"/>
  <c r="AA369" i="9" a="1"/>
  <c r="AA370" i="9" a="1"/>
  <c r="AA371" i="9" a="1"/>
  <c r="AA372" i="9" a="1"/>
  <c r="AA375" i="9" a="1"/>
  <c r="AA376" i="9" a="1"/>
  <c r="AA378" i="9" a="1"/>
  <c r="AA379" i="9" a="1"/>
  <c r="AA380" i="9" a="1"/>
  <c r="AA382" i="9" a="1"/>
  <c r="AA386" i="9" a="1"/>
  <c r="AA388" i="9" a="1"/>
  <c r="AA390" i="9" a="1"/>
  <c r="AA391" i="9" a="1"/>
  <c r="AA393" i="9" a="1"/>
  <c r="AA395" i="9" a="1"/>
  <c r="AA397" i="9" a="1"/>
  <c r="AA399" i="9" a="1"/>
  <c r="AA401" i="9" a="1"/>
  <c r="AA403" i="9" a="1"/>
  <c r="AA404" i="9" a="1"/>
  <c r="AA405" i="9" a="1"/>
  <c r="AA407" i="9" a="1"/>
  <c r="AA411" i="9" a="1"/>
  <c r="AA412" i="9" a="1"/>
  <c r="AA414" i="9" a="1"/>
  <c r="AA416" i="9" a="1"/>
  <c r="AA417" i="9" a="1"/>
  <c r="AA418" i="9" a="1"/>
  <c r="AA419" i="9" a="1"/>
  <c r="AA420" i="9" a="1"/>
  <c r="AA422" i="9" a="1"/>
  <c r="AA424" i="9" a="1"/>
  <c r="AA426" i="9" a="1"/>
  <c r="AA429" i="9" a="1"/>
  <c r="AA431" i="9" a="1"/>
  <c r="AA432" i="9" a="1"/>
  <c r="AA433" i="9" a="1"/>
  <c r="AA445" i="9" a="1"/>
  <c r="AA447" i="9" a="1"/>
  <c r="AA449" i="9" a="1"/>
  <c r="AA451" i="9" a="1"/>
  <c r="AA454" i="9" a="1"/>
  <c r="AA456" i="9" a="1"/>
  <c r="AA458" i="9" a="1"/>
  <c r="AA461" i="9" a="1"/>
  <c r="AA466" i="9" a="1"/>
  <c r="AA468" i="9" a="1"/>
  <c r="AA469" i="9" a="1"/>
  <c r="AA472" i="9" a="1"/>
  <c r="AA473" i="9" a="1"/>
  <c r="AA475" i="9" a="1"/>
  <c r="AA476" i="9" a="1"/>
  <c r="AA478" i="9" a="1"/>
  <c r="AA479" i="9" a="1"/>
  <c r="AA669" i="9" a="1"/>
  <c r="AA670" i="9" a="1"/>
  <c r="AA671" i="9" a="1"/>
  <c r="AA672" i="9" a="1"/>
  <c r="AA673" i="9" a="1"/>
  <c r="AA674" i="9" a="1"/>
  <c r="AA675" i="9" a="1"/>
  <c r="AA676" i="9" a="1"/>
  <c r="AA677" i="9" a="1"/>
  <c r="AA678" i="9" a="1"/>
  <c r="AA679" i="9" a="1"/>
  <c r="AA680" i="9" a="1"/>
  <c r="AA681" i="9" a="1"/>
  <c r="AA682" i="9" a="1"/>
  <c r="AA683" i="9" a="1"/>
  <c r="AA684" i="9" a="1"/>
  <c r="AA685" i="9" a="1"/>
  <c r="AA686" i="9" a="1"/>
  <c r="AA687" i="9" a="1"/>
  <c r="AA688" i="9" a="1"/>
  <c r="AA689" i="9" a="1"/>
  <c r="AA690" i="9" a="1"/>
  <c r="AA691" i="9" a="1"/>
  <c r="AA692" i="9" a="1"/>
  <c r="AA693" i="9" a="1"/>
  <c r="AA694" i="9" a="1"/>
  <c r="AA695" i="9" a="1"/>
  <c r="AA696" i="9" a="1"/>
  <c r="AA697" i="9" a="1"/>
  <c r="AA698" i="9" a="1"/>
  <c r="AA699" i="9" a="1"/>
  <c r="AA700" i="9" a="1"/>
  <c r="AA701" i="9" a="1"/>
  <c r="AA702" i="9" a="1"/>
  <c r="AA703" i="9" a="1"/>
  <c r="AA704" i="9" a="1"/>
  <c r="AA705" i="9" a="1"/>
  <c r="AA706" i="9" a="1"/>
  <c r="AA707" i="9" a="1"/>
  <c r="AA708" i="9" a="1"/>
  <c r="AA709" i="9" a="1"/>
  <c r="AA710" i="9" a="1"/>
  <c r="AA711" i="9" a="1"/>
  <c r="AA712" i="9" a="1"/>
  <c r="AA713" i="9" a="1"/>
  <c r="AA714" i="9" a="1"/>
  <c r="AA715" i="9" a="1"/>
  <c r="AA716" i="9" a="1"/>
  <c r="AA717" i="9" a="1"/>
  <c r="AA718" i="9" a="1"/>
  <c r="AA719" i="9" a="1"/>
  <c r="AA720" i="9" a="1"/>
  <c r="AA721" i="9" a="1"/>
  <c r="AA722" i="9" a="1"/>
  <c r="AA723" i="9" a="1"/>
  <c r="AA724" i="9" a="1"/>
  <c r="AA725" i="9" a="1"/>
  <c r="AA726" i="9" a="1"/>
  <c r="AA727" i="9" a="1"/>
  <c r="AA728" i="9" a="1"/>
  <c r="AA729" i="9" a="1"/>
  <c r="AA730" i="9" a="1"/>
  <c r="AA731" i="9" a="1"/>
  <c r="AA732" i="9" a="1"/>
  <c r="AA733" i="9" a="1"/>
  <c r="AA734" i="9" a="1"/>
  <c r="AA735" i="9" a="1"/>
  <c r="AA736" i="9" a="1"/>
  <c r="AA737" i="9" a="1"/>
  <c r="AA738" i="9" a="1"/>
  <c r="AA739" i="9" a="1"/>
  <c r="AA740" i="9" a="1"/>
  <c r="AA741" i="9" a="1"/>
  <c r="AA742" i="9" a="1"/>
  <c r="AA743" i="9" a="1"/>
  <c r="AA744" i="9" a="1"/>
  <c r="AA745" i="9" a="1"/>
  <c r="AA746" i="9" a="1"/>
  <c r="AA747" i="9" a="1"/>
  <c r="AA748" i="9" a="1"/>
  <c r="AA749" i="9" a="1"/>
  <c r="AA750" i="9" a="1"/>
  <c r="AA751" i="9" a="1"/>
  <c r="AA752" i="9" a="1"/>
  <c r="AA753" i="9" a="1"/>
  <c r="AA754" i="9" a="1"/>
  <c r="AA755" i="9" a="1"/>
  <c r="AA756" i="9" a="1"/>
  <c r="AA757" i="9" a="1"/>
  <c r="AA758" i="9" a="1"/>
  <c r="AA759" i="9" a="1"/>
  <c r="AA760" i="9" a="1"/>
  <c r="AA761" i="9" a="1"/>
  <c r="AA762" i="9" a="1"/>
  <c r="AA763" i="9" a="1"/>
  <c r="AA764" i="9" a="1"/>
  <c r="AA765" i="9" a="1"/>
  <c r="AA766" i="9" a="1"/>
  <c r="AA767" i="9" a="1"/>
  <c r="AA768" i="9" a="1"/>
  <c r="AA769" i="9" a="1"/>
  <c r="AA770" i="9" a="1"/>
  <c r="AA771" i="9" a="1"/>
  <c r="AA772" i="9" a="1"/>
  <c r="AA773" i="9" a="1"/>
  <c r="AA774" i="9" a="1"/>
  <c r="AA775" i="9" a="1"/>
  <c r="AA776" i="9" a="1"/>
  <c r="AA777" i="9" a="1"/>
  <c r="AA778" i="9" a="1"/>
  <c r="AA779" i="9" a="1"/>
  <c r="AA780" i="9" a="1"/>
  <c r="AA781" i="9" a="1"/>
  <c r="AA782" i="9" a="1"/>
  <c r="AA783" i="9" a="1"/>
  <c r="AA784" i="9" a="1"/>
  <c r="AA785" i="9" a="1"/>
  <c r="AA786" i="9" a="1"/>
  <c r="AA787" i="9" a="1"/>
  <c r="AA788" i="9" a="1"/>
  <c r="AA789" i="9" a="1"/>
  <c r="AA790" i="9" a="1"/>
  <c r="AA791" i="9" a="1"/>
  <c r="AA792" i="9" a="1"/>
  <c r="AA793" i="9" a="1"/>
  <c r="AA794" i="9" a="1"/>
  <c r="AA795" i="9" a="1"/>
  <c r="AA796" i="9" a="1"/>
  <c r="AA797" i="9" a="1"/>
  <c r="AA798" i="9" a="1"/>
  <c r="AA799" i="9" a="1"/>
  <c r="AA800" i="9" a="1"/>
  <c r="AA801" i="9" a="1"/>
  <c r="AA802" i="9" a="1"/>
  <c r="AA803" i="9" a="1"/>
  <c r="AA804" i="9" a="1"/>
  <c r="AA805" i="9" a="1"/>
  <c r="AA806" i="9" a="1"/>
  <c r="AA807" i="9" a="1"/>
  <c r="AA808" i="9" a="1"/>
  <c r="AA809" i="9" a="1"/>
  <c r="AA810" i="9" a="1"/>
  <c r="AA811" i="9" a="1"/>
  <c r="AA812" i="9" a="1"/>
  <c r="AA813" i="9" a="1"/>
  <c r="AA814" i="9" a="1"/>
  <c r="AA815" i="9" a="1"/>
  <c r="AA816" i="9" a="1"/>
  <c r="AA817" i="9" a="1"/>
  <c r="AA818" i="9" a="1"/>
  <c r="AA819" i="9" a="1"/>
  <c r="AA820" i="9" a="1"/>
  <c r="AA821" i="9" a="1"/>
  <c r="AA822" i="9" a="1"/>
  <c r="AA823" i="9" a="1"/>
  <c r="AA824" i="9" a="1"/>
  <c r="AA825" i="9" a="1"/>
  <c r="AA826" i="9" a="1"/>
  <c r="AA827" i="9" a="1"/>
  <c r="AA828" i="9" a="1"/>
  <c r="AA829" i="9" a="1"/>
  <c r="AA830" i="9" a="1"/>
  <c r="AA831" i="9" a="1"/>
  <c r="AA832" i="9" a="1"/>
  <c r="AA833" i="9" a="1"/>
  <c r="AA834" i="9" a="1"/>
  <c r="AA835" i="9" a="1"/>
  <c r="AA836" i="9" a="1"/>
  <c r="AA837" i="9" a="1"/>
  <c r="AA838" i="9" a="1"/>
  <c r="AA839" i="9" a="1"/>
  <c r="AA840" i="9" a="1"/>
  <c r="AA841" i="9" a="1"/>
  <c r="AA842" i="9" a="1"/>
  <c r="AA843" i="9" a="1"/>
  <c r="AA844" i="9" a="1"/>
  <c r="AA845" i="9" a="1"/>
  <c r="AA846" i="9" a="1"/>
  <c r="AA847" i="9" a="1"/>
  <c r="AA848" i="9" a="1"/>
  <c r="AA849" i="9" a="1"/>
  <c r="AA850" i="9" a="1"/>
  <c r="AA851" i="9" a="1"/>
  <c r="AA852" i="9" a="1"/>
  <c r="AA853" i="9" a="1"/>
  <c r="AA854" i="9" a="1"/>
  <c r="AA855" i="9" a="1"/>
  <c r="AA856" i="9" a="1"/>
  <c r="AA857" i="9" a="1"/>
  <c r="AA858" i="9" a="1"/>
  <c r="AA859" i="9" a="1"/>
  <c r="AA860" i="9" a="1"/>
  <c r="AA861" i="9" a="1"/>
  <c r="AA862" i="9" a="1"/>
  <c r="AA863" i="9" a="1"/>
  <c r="AA864" i="9" a="1"/>
  <c r="AA865" i="9" a="1"/>
  <c r="AA866" i="9" a="1"/>
  <c r="AA867" i="9" a="1"/>
  <c r="AA868" i="9" a="1"/>
  <c r="AA869" i="9" a="1"/>
  <c r="AA870" i="9" a="1"/>
  <c r="AA871" i="9" a="1"/>
  <c r="AA872" i="9" a="1"/>
  <c r="AA873" i="9" a="1"/>
  <c r="AA874" i="9" a="1"/>
  <c r="AA875" i="9" a="1"/>
  <c r="AA876" i="9" a="1"/>
  <c r="AA877" i="9" a="1"/>
  <c r="AA878" i="9" a="1"/>
  <c r="AA879" i="9" a="1"/>
  <c r="AA880" i="9" a="1"/>
  <c r="AA881" i="9" a="1"/>
  <c r="AA882" i="9" a="1"/>
  <c r="AA883" i="9" a="1"/>
  <c r="AA884" i="9" a="1"/>
  <c r="AA885" i="9" a="1"/>
  <c r="AA886" i="9" a="1"/>
  <c r="AA887" i="9" a="1"/>
  <c r="AA888" i="9" a="1"/>
  <c r="AA889" i="9" a="1"/>
  <c r="AA890" i="9" a="1"/>
  <c r="AA891" i="9" a="1"/>
  <c r="AA892" i="9" a="1"/>
  <c r="AA893" i="9" a="1"/>
  <c r="AA41" i="9" a="1"/>
  <c r="AA45" i="9" a="1"/>
  <c r="AA50" i="9" a="1"/>
  <c r="AA82" i="9" a="1"/>
  <c r="AA83" i="9" a="1"/>
  <c r="AA218" i="9" a="1"/>
  <c r="AA225" i="9" a="1"/>
  <c r="AA227" i="9" a="1"/>
  <c r="AA229" i="9" a="1"/>
  <c r="AA232" i="9" a="1"/>
  <c r="AA241" i="9" a="1"/>
  <c r="AA242" i="9" a="1"/>
  <c r="AA245" i="9" a="1"/>
  <c r="AA249" i="9" a="1"/>
  <c r="AA251" i="9" a="1"/>
  <c r="AA253" i="9" a="1"/>
  <c r="AA257" i="9" a="1"/>
  <c r="AA260" i="9" a="1"/>
  <c r="AA265" i="9" a="1"/>
  <c r="AA268" i="9" a="1"/>
  <c r="AA271" i="9" a="1"/>
  <c r="AA276" i="9" a="1"/>
  <c r="AA278" i="9" a="1"/>
  <c r="AA280" i="9" a="1"/>
  <c r="AA283" i="9" a="1"/>
  <c r="AA286" i="9" a="1"/>
  <c r="AA894" i="9" a="1"/>
  <c r="AA895" i="9" a="1"/>
  <c r="AA896" i="9" a="1"/>
  <c r="AA897" i="9" a="1"/>
  <c r="AA898" i="9" a="1"/>
  <c r="AA899" i="9" a="1"/>
  <c r="AA900" i="9" a="1"/>
  <c r="AA901" i="9" a="1"/>
  <c r="AA902" i="9" a="1"/>
  <c r="AA903" i="9" a="1"/>
  <c r="AA904" i="9" a="1"/>
  <c r="AA905" i="9" a="1"/>
  <c r="AA906" i="9" a="1"/>
  <c r="AA907" i="9" a="1"/>
  <c r="AA908" i="9" a="1"/>
  <c r="AA909" i="9" a="1"/>
  <c r="AA910" i="9" a="1"/>
  <c r="AA911" i="9" a="1"/>
  <c r="AA912" i="9" a="1"/>
  <c r="AA913" i="9" a="1"/>
  <c r="AA914" i="9" a="1"/>
  <c r="AA915" i="9" a="1"/>
  <c r="AA916" i="9" a="1"/>
  <c r="AA917" i="9" a="1"/>
  <c r="AA918" i="9" a="1"/>
  <c r="AA919" i="9" a="1"/>
  <c r="AA920" i="9" a="1"/>
  <c r="AA921" i="9" a="1"/>
  <c r="AA922" i="9" a="1"/>
  <c r="AA923" i="9" a="1"/>
  <c r="AA924" i="9" a="1"/>
  <c r="AA925" i="9" a="1"/>
  <c r="AA926" i="9" a="1"/>
  <c r="AA927" i="9" a="1"/>
  <c r="AA928" i="9" a="1"/>
  <c r="AA929" i="9" a="1"/>
  <c r="AA930" i="9" a="1"/>
  <c r="AA931" i="9" a="1"/>
  <c r="AA932" i="9" a="1"/>
  <c r="AA933" i="9" a="1"/>
  <c r="AA934" i="9" a="1"/>
  <c r="AA935" i="9" a="1"/>
  <c r="AA936" i="9" a="1"/>
  <c r="AA937" i="9" a="1"/>
  <c r="AA938" i="9" a="1"/>
  <c r="AA939" i="9" a="1"/>
  <c r="AA940" i="9" a="1"/>
  <c r="AA941" i="9" a="1"/>
  <c r="AA942" i="9" a="1"/>
  <c r="AA943" i="9" a="1"/>
  <c r="AA944" i="9" a="1"/>
  <c r="AA945" i="9" a="1"/>
  <c r="AA946" i="9" a="1"/>
  <c r="AA947" i="9" a="1"/>
  <c r="AA948" i="9" a="1"/>
  <c r="AA949" i="9" a="1"/>
  <c r="AA950" i="9" a="1"/>
  <c r="AA951" i="9" a="1"/>
  <c r="AA952" i="9" a="1"/>
  <c r="AA953" i="9" a="1"/>
  <c r="AA954" i="9" a="1"/>
  <c r="AA955" i="9" a="1"/>
  <c r="AA956" i="9" a="1"/>
  <c r="AA957" i="9" a="1"/>
  <c r="AA958" i="9" a="1"/>
  <c r="AA959" i="9" a="1"/>
  <c r="AA960" i="9" a="1"/>
  <c r="AA961" i="9" a="1"/>
  <c r="AA962" i="9" a="1"/>
  <c r="AA963" i="9" a="1"/>
  <c r="AA964" i="9" a="1"/>
  <c r="AA965" i="9" a="1"/>
  <c r="AA966" i="9" a="1"/>
  <c r="AA967" i="9" a="1"/>
  <c r="AA968" i="9" a="1"/>
  <c r="AA969" i="9" a="1"/>
  <c r="AA970" i="9" a="1"/>
  <c r="AA971" i="9" a="1"/>
  <c r="AA972" i="9" a="1"/>
  <c r="AA973" i="9" a="1"/>
  <c r="AA974" i="9" a="1"/>
  <c r="AA975" i="9" a="1"/>
  <c r="AA976" i="9" a="1"/>
  <c r="AA977" i="9" a="1"/>
  <c r="AA978" i="9" a="1"/>
  <c r="AA979" i="9" a="1"/>
  <c r="AA980" i="9" a="1"/>
  <c r="AA981" i="9" a="1"/>
  <c r="AA982" i="9" a="1"/>
  <c r="AA983" i="9" a="1"/>
  <c r="AA984" i="9" a="1"/>
  <c r="AA985" i="9" a="1"/>
  <c r="AA986" i="9" a="1"/>
  <c r="AA987" i="9" a="1"/>
  <c r="AA988" i="9" a="1"/>
  <c r="AA989" i="9" a="1"/>
  <c r="AA990" i="9" a="1"/>
  <c r="AA991" i="9" a="1"/>
  <c r="AA992" i="9" a="1"/>
  <c r="AA993" i="9" a="1"/>
  <c r="AA994" i="9" a="1"/>
  <c r="AA995" i="9" a="1"/>
  <c r="AA996" i="9" a="1"/>
  <c r="AA997" i="9" a="1"/>
  <c r="AA998" i="9" a="1"/>
  <c r="AA999" i="9" a="1"/>
  <c r="AA1000" i="9" a="1"/>
  <c r="AA1001" i="9" a="1"/>
  <c r="AA1002" i="9" a="1"/>
  <c r="AA1003" i="9" a="1"/>
  <c r="AA1004" i="9" a="1"/>
  <c r="AA1005" i="9" a="1"/>
  <c r="AA1006" i="9" a="1"/>
  <c r="AA1007" i="9" a="1"/>
  <c r="AA1008" i="9" a="1"/>
  <c r="AA1009" i="9" a="1"/>
  <c r="AA1010" i="9" a="1"/>
  <c r="AA1011" i="9" a="1"/>
  <c r="AA1012" i="9" a="1"/>
  <c r="AA1013" i="9" a="1"/>
  <c r="AA1014" i="9" a="1"/>
  <c r="AA1015" i="9" a="1"/>
  <c r="AA1016" i="9" a="1"/>
  <c r="AA1017" i="9" a="1"/>
  <c r="AA1018" i="9" a="1"/>
  <c r="AA1019" i="9" a="1"/>
  <c r="AA1020" i="9" a="1"/>
  <c r="AA1021" i="9" a="1"/>
  <c r="AA1022" i="9" a="1"/>
  <c r="AA1023" i="9" a="1"/>
  <c r="AA1024" i="9" a="1"/>
  <c r="AA1025" i="9" a="1"/>
  <c r="AA1026" i="9" a="1"/>
  <c r="AA1027" i="9" a="1"/>
  <c r="AA1028" i="9" a="1"/>
  <c r="AA1029" i="9" a="1"/>
  <c r="AA1030" i="9" a="1"/>
  <c r="AA1031" i="9" a="1"/>
  <c r="AA1032" i="9" a="1"/>
  <c r="AA1033" i="9" a="1"/>
  <c r="AA1034" i="9" a="1"/>
  <c r="AA1035" i="9" a="1"/>
  <c r="AA1036" i="9" a="1"/>
  <c r="AA1037" i="9" a="1"/>
  <c r="AA1038" i="9" a="1"/>
  <c r="AA1039" i="9" a="1"/>
  <c r="AA1040" i="9" a="1"/>
  <c r="AA1041" i="9" a="1"/>
  <c r="AA1042" i="9" a="1"/>
  <c r="AA1043" i="9" a="1"/>
  <c r="AA1044" i="9" a="1"/>
  <c r="AA1045" i="9" a="1"/>
  <c r="AA1046" i="9" a="1"/>
  <c r="AA1047" i="9" a="1"/>
  <c r="AA1048" i="9" a="1"/>
  <c r="AA1049" i="9" a="1"/>
  <c r="AA1050" i="9" a="1"/>
  <c r="AA1051" i="9" a="1"/>
  <c r="AA1052" i="9" a="1"/>
  <c r="AA1053" i="9" a="1"/>
  <c r="AA1054" i="9" a="1"/>
  <c r="AA1055" i="9" a="1"/>
  <c r="AA1056" i="9" a="1"/>
  <c r="AA1057" i="9" a="1"/>
  <c r="AA1058" i="9" a="1"/>
  <c r="AA1059" i="9" a="1"/>
  <c r="AA1060" i="9" a="1"/>
  <c r="AA1061" i="9" a="1"/>
  <c r="AA1062" i="9" a="1"/>
  <c r="AA1063" i="9" a="1"/>
  <c r="AA1064" i="9" a="1"/>
  <c r="AA1065" i="9" a="1"/>
  <c r="AA1066" i="9" a="1"/>
  <c r="AA1067" i="9" a="1"/>
  <c r="AA1068" i="9" a="1"/>
  <c r="AA1069" i="9" a="1"/>
  <c r="AA1070" i="9" a="1"/>
  <c r="AA1071" i="9" a="1"/>
  <c r="AA1072" i="9" a="1"/>
  <c r="AA1073" i="9" a="1"/>
  <c r="AA1074" i="9" a="1"/>
  <c r="AA1075" i="9" a="1"/>
  <c r="AA1076" i="9" a="1"/>
  <c r="AA1077" i="9" a="1"/>
  <c r="AA1078" i="9" a="1"/>
  <c r="AA1079" i="9" a="1"/>
  <c r="AA1080" i="9" a="1"/>
  <c r="AA1081" i="9" a="1"/>
  <c r="AA1082" i="9" a="1"/>
  <c r="AA1083" i="9" a="1"/>
  <c r="AA1084" i="9" a="1"/>
  <c r="AA1085" i="9" a="1"/>
  <c r="AA1086" i="9" a="1"/>
  <c r="AA1087" i="9" a="1"/>
  <c r="AA1088" i="9" a="1"/>
  <c r="AA1089" i="9" a="1"/>
  <c r="AA1090" i="9" a="1"/>
  <c r="AA1091" i="9" a="1"/>
  <c r="AA1092" i="9" a="1"/>
  <c r="AA1093" i="9" a="1"/>
  <c r="AA1094" i="9" a="1"/>
  <c r="AA1095" i="9" a="1"/>
  <c r="AA1096" i="9" a="1"/>
  <c r="AA1097" i="9" a="1"/>
  <c r="AA42" i="9" a="1"/>
  <c r="AA46" i="9" a="1"/>
  <c r="AA49" i="9" a="1"/>
  <c r="AA53" i="9" a="1"/>
  <c r="AA63" i="9" a="1"/>
  <c r="AA65" i="9" a="1"/>
  <c r="AA66" i="9" a="1"/>
  <c r="AA67" i="9" a="1"/>
  <c r="AA68" i="9" a="1"/>
  <c r="AA69" i="9" a="1"/>
  <c r="AA70" i="9" a="1"/>
  <c r="AA71" i="9" a="1"/>
  <c r="AA72" i="9" a="1"/>
  <c r="AA73" i="9" a="1"/>
  <c r="AA74" i="9" a="1"/>
  <c r="AA75" i="9" a="1"/>
  <c r="AA76" i="9" a="1"/>
  <c r="AA77" i="9" a="1"/>
  <c r="AA78" i="9" a="1"/>
  <c r="AA79" i="9" a="1"/>
  <c r="AA80" i="9" a="1"/>
  <c r="AA81" i="9" a="1"/>
  <c r="AA84" i="9" a="1"/>
  <c r="AA85" i="9" a="1"/>
  <c r="AA86" i="9" a="1"/>
  <c r="AA87" i="9" a="1"/>
  <c r="AA88" i="9" a="1"/>
  <c r="AA89" i="9" a="1"/>
  <c r="AA90" i="9" a="1"/>
  <c r="AA91" i="9" a="1"/>
  <c r="AA92" i="9" a="1"/>
  <c r="AA93" i="9" a="1"/>
  <c r="AA94" i="9" a="1"/>
  <c r="AA95" i="9" a="1"/>
  <c r="AA96" i="9" a="1"/>
  <c r="AA97" i="9" a="1"/>
  <c r="AA98" i="9" a="1"/>
  <c r="AA99" i="9" a="1"/>
  <c r="AA100" i="9" a="1"/>
  <c r="AA101" i="9" a="1"/>
  <c r="AA102" i="9" a="1"/>
  <c r="AA103" i="9" a="1"/>
  <c r="AA104" i="9" a="1"/>
  <c r="AA105" i="9" a="1"/>
  <c r="AA106" i="9" a="1"/>
  <c r="AA107" i="9" a="1"/>
  <c r="AA108" i="9" a="1"/>
  <c r="AA109" i="9" a="1"/>
  <c r="AA110" i="9" a="1"/>
  <c r="AA111" i="9" a="1"/>
  <c r="AA112" i="9" a="1"/>
  <c r="AA113" i="9" a="1"/>
  <c r="AA114" i="9" a="1"/>
  <c r="AA115" i="9" a="1"/>
  <c r="AA116" i="9" a="1"/>
  <c r="AA117" i="9" a="1"/>
  <c r="AA118" i="9" a="1"/>
  <c r="AA119" i="9" a="1"/>
  <c r="AA120" i="9" a="1"/>
  <c r="AA121" i="9" a="1"/>
  <c r="AA122" i="9" a="1"/>
  <c r="AA123" i="9" a="1"/>
  <c r="AA124" i="9" a="1"/>
  <c r="AA125" i="9" a="1"/>
  <c r="AA126" i="9" a="1"/>
  <c r="AA127" i="9" a="1"/>
  <c r="AA128" i="9" a="1"/>
  <c r="AA129" i="9" a="1"/>
  <c r="AA130" i="9" a="1"/>
  <c r="AA131" i="9" a="1"/>
  <c r="AA132" i="9" a="1"/>
  <c r="AA133" i="9" a="1"/>
  <c r="AA134" i="9" a="1"/>
  <c r="AA135" i="9" a="1"/>
  <c r="AA136" i="9" a="1"/>
  <c r="AA137" i="9" a="1"/>
  <c r="AA138" i="9" a="1"/>
  <c r="AA139" i="9" a="1"/>
  <c r="AA140" i="9" a="1"/>
  <c r="AA141" i="9" a="1"/>
  <c r="AA142" i="9" a="1"/>
  <c r="AA143" i="9" a="1"/>
  <c r="AA144" i="9" a="1"/>
  <c r="AA145" i="9" a="1"/>
  <c r="AA146" i="9" a="1"/>
  <c r="AA147" i="9" a="1"/>
  <c r="AA148" i="9" a="1"/>
  <c r="AA149" i="9" a="1"/>
  <c r="AA150" i="9" a="1"/>
  <c r="AA151" i="9" a="1"/>
  <c r="AA152" i="9" a="1"/>
  <c r="AA153" i="9" a="1"/>
  <c r="AA154" i="9" a="1"/>
  <c r="AA155" i="9" a="1"/>
  <c r="AA156" i="9" a="1"/>
  <c r="AA157" i="9" a="1"/>
  <c r="AA158" i="9" a="1"/>
  <c r="AA159" i="9" a="1"/>
  <c r="AA160" i="9" a="1"/>
  <c r="AA161" i="9" a="1"/>
  <c r="AA162" i="9" a="1"/>
  <c r="AA163" i="9" a="1"/>
  <c r="AA164" i="9" a="1"/>
  <c r="AA165" i="9" a="1"/>
  <c r="AA166" i="9" a="1"/>
  <c r="AA167" i="9" a="1"/>
  <c r="AA168" i="9" a="1"/>
  <c r="AA169" i="9" a="1"/>
  <c r="AA170" i="9" a="1"/>
  <c r="AA171" i="9" a="1"/>
  <c r="AA172" i="9" a="1"/>
  <c r="AA173" i="9" a="1"/>
  <c r="AA174" i="9" a="1"/>
  <c r="AA175" i="9" a="1"/>
  <c r="AA176" i="9" a="1"/>
  <c r="AA177" i="9" a="1"/>
  <c r="AA178" i="9" a="1"/>
  <c r="AA179" i="9" a="1"/>
  <c r="AA180" i="9" a="1"/>
  <c r="AA181" i="9" a="1"/>
  <c r="AA182" i="9" a="1"/>
  <c r="AA183" i="9" a="1"/>
  <c r="AA184" i="9" a="1"/>
  <c r="AA185" i="9" a="1"/>
  <c r="AA186" i="9" a="1"/>
  <c r="AA187" i="9" a="1"/>
  <c r="AA188" i="9" a="1"/>
  <c r="AA189" i="9" a="1"/>
  <c r="AA190" i="9" a="1"/>
  <c r="AA191" i="9" a="1"/>
  <c r="AA192" i="9" a="1"/>
  <c r="AA193" i="9" a="1"/>
  <c r="AA194" i="9" a="1"/>
  <c r="AA195" i="9" a="1"/>
  <c r="AA196" i="9" a="1"/>
  <c r="AA197" i="9" a="1"/>
  <c r="AA198" i="9" a="1"/>
  <c r="AA199" i="9" a="1"/>
  <c r="AA200" i="9" a="1"/>
  <c r="AA201" i="9" a="1"/>
  <c r="AA202" i="9" a="1"/>
  <c r="AA203" i="9" a="1"/>
  <c r="AA204" i="9" a="1"/>
  <c r="AA205" i="9" a="1"/>
  <c r="AA206" i="9" a="1"/>
  <c r="AA207" i="9" a="1"/>
  <c r="AA208" i="9" a="1"/>
  <c r="AA209" i="9" a="1"/>
  <c r="AA210" i="9" a="1"/>
  <c r="AA211" i="9" a="1"/>
  <c r="AA212" i="9" a="1"/>
  <c r="AA213" i="9" a="1"/>
  <c r="AA214" i="9" a="1"/>
  <c r="AA215" i="9" a="1"/>
  <c r="AA216" i="9" a="1"/>
  <c r="AA217" i="9" a="1"/>
  <c r="AA437" i="9" a="1"/>
  <c r="AA438" i="9" a="1"/>
  <c r="AA439" i="9" a="1"/>
  <c r="AA440" i="9" a="1"/>
  <c r="AA441" i="9" a="1"/>
  <c r="AA442" i="9" a="1"/>
  <c r="B2" i="5" a="1"/>
  <c r="D16" i="1" a="1"/>
  <c r="AY12" i="9" a="1"/>
  <c r="BK12" i="9" a="1"/>
  <c r="AY13" i="9" a="1"/>
  <c r="AY36" i="9" a="1"/>
  <c r="AY42" i="9" a="1"/>
  <c r="AY46" i="9" a="1"/>
  <c r="AY50" i="9" a="1"/>
  <c r="AY53" i="9" a="1"/>
  <c r="AY55" i="9" a="1"/>
  <c r="AY57" i="9" a="1"/>
  <c r="AY59" i="9" a="1"/>
  <c r="AY62" i="9" a="1"/>
  <c r="AY18" i="9" a="1"/>
  <c r="AY21" i="9" a="1"/>
  <c r="AY24" i="9" a="1"/>
  <c r="AY28" i="9" a="1"/>
  <c r="AY34" i="9" a="1"/>
  <c r="AY38" i="9" a="1"/>
  <c r="AY43" i="9" a="1"/>
  <c r="AY47" i="9" a="1"/>
  <c r="AY51" i="9" a="1"/>
  <c r="AY54" i="9" a="1"/>
  <c r="AY56" i="9" a="1"/>
  <c r="AY58" i="9" a="1"/>
  <c r="AY60" i="9" a="1"/>
  <c r="AY61" i="9" a="1"/>
  <c r="AY63" i="9" a="1"/>
  <c r="AY16" i="9" a="1"/>
  <c r="AY19" i="9" a="1"/>
  <c r="AY22" i="9" a="1"/>
  <c r="AY25" i="9" a="1"/>
  <c r="AY30" i="9" a="1"/>
  <c r="AY33" i="9" a="1"/>
  <c r="AY37" i="9" a="1"/>
  <c r="AY40" i="9" a="1"/>
  <c r="AY44" i="9" a="1"/>
  <c r="AY49" i="9" a="1"/>
  <c r="AC40" i="9"/>
  <c r="AC44" i="9"/>
  <c r="AC48" i="9"/>
  <c r="AC52" i="9"/>
  <c r="AC55" i="9"/>
  <c r="AC57" i="9"/>
  <c r="AC59" i="9"/>
  <c r="AC61" i="9"/>
  <c r="AC62" i="9"/>
  <c r="AC64" i="9"/>
  <c r="AC218" i="9"/>
  <c r="AC222" i="9"/>
  <c r="AC225" i="9"/>
  <c r="AC226" i="9"/>
  <c r="AC227" i="9"/>
  <c r="AC231" i="9"/>
  <c r="AC232" i="9"/>
  <c r="AC233" i="9"/>
  <c r="AC235" i="9"/>
  <c r="AC240" i="9"/>
  <c r="AC241" i="9"/>
  <c r="AC242" i="9"/>
  <c r="AC245" i="9"/>
  <c r="AC252" i="9"/>
  <c r="AC253" i="9"/>
  <c r="AC254" i="9"/>
  <c r="AC256" i="9"/>
  <c r="AC257" i="9"/>
  <c r="AC260" i="9"/>
  <c r="AC261" i="9"/>
  <c r="AC263" i="9"/>
  <c r="AC264" i="9"/>
  <c r="AC265" i="9"/>
  <c r="AC269" i="9"/>
  <c r="AC271" i="9"/>
  <c r="AC278" i="9"/>
  <c r="AC280" i="9"/>
  <c r="AC286" i="9"/>
  <c r="AC287" i="9"/>
  <c r="AC290" i="9"/>
  <c r="AC291" i="9"/>
  <c r="AC293" i="9"/>
  <c r="AC294" i="9"/>
  <c r="AC295" i="9"/>
  <c r="AC317" i="9"/>
  <c r="AC318" i="9"/>
  <c r="AC319" i="9"/>
  <c r="AC320" i="9"/>
  <c r="AC322" i="9"/>
  <c r="AC324" i="9"/>
  <c r="AC328" i="9"/>
  <c r="AC329" i="9"/>
  <c r="AC330" i="9"/>
  <c r="AC331" i="9"/>
  <c r="AC332" i="9"/>
  <c r="AC334" i="9"/>
  <c r="AC336" i="9"/>
  <c r="AC337" i="9"/>
  <c r="AC340" i="9"/>
  <c r="AC341" i="9"/>
  <c r="AC342" i="9"/>
  <c r="AC346" i="9"/>
  <c r="AC348" i="9"/>
  <c r="AC349" i="9"/>
  <c r="AC354" i="9"/>
  <c r="AC355" i="9"/>
  <c r="AC356" i="9"/>
  <c r="AC357" i="9"/>
  <c r="AC358" i="9"/>
  <c r="AC359" i="9"/>
  <c r="AC360" i="9"/>
  <c r="AC362" i="9"/>
  <c r="AC364" i="9"/>
  <c r="AC366" i="9"/>
  <c r="AC369" i="9"/>
  <c r="AC370" i="9"/>
  <c r="AC371" i="9"/>
  <c r="AC374" i="9"/>
  <c r="AC375" i="9"/>
  <c r="AC376" i="9"/>
  <c r="AC377" i="9"/>
  <c r="AC380" i="9"/>
  <c r="AC381" i="9"/>
  <c r="AC382" i="9"/>
  <c r="AC384" i="9"/>
  <c r="AC386" i="9"/>
  <c r="AC387" i="9"/>
  <c r="AC389" i="9"/>
  <c r="AC390" i="9"/>
  <c r="AC392" i="9"/>
  <c r="AC394" i="9"/>
  <c r="AC395" i="9"/>
  <c r="AC397" i="9"/>
  <c r="AC398" i="9"/>
  <c r="AC399" i="9"/>
  <c r="AC402" i="9"/>
  <c r="AC403" i="9"/>
  <c r="AC404" i="9"/>
  <c r="AC405" i="9"/>
  <c r="AC407" i="9"/>
  <c r="AC408" i="9"/>
  <c r="AC409" i="9"/>
  <c r="AC410" i="9"/>
  <c r="AC411" i="9"/>
  <c r="AC412" i="9"/>
  <c r="AC415" i="9"/>
  <c r="AC417" i="9"/>
  <c r="AC419" i="9"/>
  <c r="AC420" i="9"/>
  <c r="AC423" i="9"/>
  <c r="AC425" i="9"/>
  <c r="AC426" i="9"/>
  <c r="AC428" i="9"/>
  <c r="AC430" i="9"/>
  <c r="AC435" i="9"/>
  <c r="AC445" i="9"/>
  <c r="AC447" i="9"/>
  <c r="AC449" i="9"/>
  <c r="AC451" i="9"/>
  <c r="AC454" i="9"/>
  <c r="AC456" i="9"/>
  <c r="AC458" i="9"/>
  <c r="AC461" i="9"/>
  <c r="AC466" i="9"/>
  <c r="AC468" i="9"/>
  <c r="AC469" i="9"/>
  <c r="AC472" i="9"/>
  <c r="AC473" i="9"/>
  <c r="AC475" i="9"/>
  <c r="AC476" i="9"/>
  <c r="AC478" i="9"/>
  <c r="AC668" i="9"/>
  <c r="AC669" i="9"/>
  <c r="AC670" i="9"/>
  <c r="AC671" i="9"/>
  <c r="AC672" i="9"/>
  <c r="AC673" i="9"/>
  <c r="AC674" i="9"/>
  <c r="AC675" i="9"/>
  <c r="AC676" i="9"/>
  <c r="AC677" i="9"/>
  <c r="AC678" i="9"/>
  <c r="AC679" i="9"/>
  <c r="AC680" i="9"/>
  <c r="AC681" i="9"/>
  <c r="AC682" i="9"/>
  <c r="AC683" i="9"/>
  <c r="AC684" i="9"/>
  <c r="AC685" i="9"/>
  <c r="AC686" i="9"/>
  <c r="AC687" i="9"/>
  <c r="AC688" i="9"/>
  <c r="AC689" i="9"/>
  <c r="AC690" i="9"/>
  <c r="AC691" i="9"/>
  <c r="AC692" i="9"/>
  <c r="AC693" i="9"/>
  <c r="AC694" i="9"/>
  <c r="AC695" i="9"/>
  <c r="AC696" i="9"/>
  <c r="AC697" i="9"/>
  <c r="AC698" i="9"/>
  <c r="AC699" i="9"/>
  <c r="AC700" i="9"/>
  <c r="AC701" i="9"/>
  <c r="AC702" i="9"/>
  <c r="AC703" i="9"/>
  <c r="AC704" i="9"/>
  <c r="AC705" i="9"/>
  <c r="AC706" i="9"/>
  <c r="AC707" i="9"/>
  <c r="AC708" i="9"/>
  <c r="AC709" i="9"/>
  <c r="AC710" i="9"/>
  <c r="AC711" i="9"/>
  <c r="AC712" i="9"/>
  <c r="AC713" i="9"/>
  <c r="AC714" i="9"/>
  <c r="AC715" i="9"/>
  <c r="AC716" i="9"/>
  <c r="AC717" i="9"/>
  <c r="AC718" i="9"/>
  <c r="AC719" i="9"/>
  <c r="AC720" i="9"/>
  <c r="AC721" i="9"/>
  <c r="AC722" i="9"/>
  <c r="AC723" i="9"/>
  <c r="AC724" i="9"/>
  <c r="AC725" i="9"/>
  <c r="AC726" i="9"/>
  <c r="AC727" i="9"/>
  <c r="AC728" i="9"/>
  <c r="AC729" i="9"/>
  <c r="AC730" i="9"/>
  <c r="AC731" i="9"/>
  <c r="AC732" i="9"/>
  <c r="AC733" i="9"/>
  <c r="AC734" i="9"/>
  <c r="AC735" i="9"/>
  <c r="AC736" i="9"/>
  <c r="AC737" i="9"/>
  <c r="AC738" i="9"/>
  <c r="AC739" i="9"/>
  <c r="AC740" i="9"/>
  <c r="AC741" i="9"/>
  <c r="AC742" i="9"/>
  <c r="AC743" i="9"/>
  <c r="AC744" i="9"/>
  <c r="AC745" i="9"/>
  <c r="AC746" i="9"/>
  <c r="AC747" i="9"/>
  <c r="AC748" i="9"/>
  <c r="AC749" i="9"/>
  <c r="AC750" i="9"/>
  <c r="AC751" i="9"/>
  <c r="AC752" i="9"/>
  <c r="AC753" i="9"/>
  <c r="AC754" i="9"/>
  <c r="AC755" i="9"/>
  <c r="AC756" i="9"/>
  <c r="AC757" i="9"/>
  <c r="AC758" i="9"/>
  <c r="AC759" i="9"/>
  <c r="AC760" i="9"/>
  <c r="AC761" i="9"/>
  <c r="AC762" i="9"/>
  <c r="AC763" i="9"/>
  <c r="AC764" i="9"/>
  <c r="AC765" i="9"/>
  <c r="AC766" i="9"/>
  <c r="AC767" i="9"/>
  <c r="AC768" i="9"/>
  <c r="AC769" i="9"/>
  <c r="AC770" i="9"/>
  <c r="AC771" i="9"/>
  <c r="AC772" i="9"/>
  <c r="AC773" i="9"/>
  <c r="AC774" i="9"/>
  <c r="AC775" i="9"/>
  <c r="AC776" i="9"/>
  <c r="AC777" i="9"/>
  <c r="AC778" i="9"/>
  <c r="AC779" i="9"/>
  <c r="AC780" i="9"/>
  <c r="AC781" i="9"/>
  <c r="AC782" i="9"/>
  <c r="AC783" i="9"/>
  <c r="AC784" i="9"/>
  <c r="AC785" i="9"/>
  <c r="AC786" i="9"/>
  <c r="AC787" i="9"/>
  <c r="AC788" i="9"/>
  <c r="AC789" i="9"/>
  <c r="AC790" i="9"/>
  <c r="AC791" i="9"/>
  <c r="AC792" i="9"/>
  <c r="AC793" i="9"/>
  <c r="AC794" i="9"/>
  <c r="AC795" i="9"/>
  <c r="AC796" i="9"/>
  <c r="AC797" i="9"/>
  <c r="AC798" i="9"/>
  <c r="AC799" i="9"/>
  <c r="AC800" i="9"/>
  <c r="AC801" i="9"/>
  <c r="AC802" i="9"/>
  <c r="AC803" i="9"/>
  <c r="AC804" i="9"/>
  <c r="AC805" i="9"/>
  <c r="AC806" i="9"/>
  <c r="AC807" i="9"/>
  <c r="AC808" i="9"/>
  <c r="AC809" i="9"/>
  <c r="AC810" i="9"/>
  <c r="AC811" i="9"/>
  <c r="AC812" i="9"/>
  <c r="AC813" i="9"/>
  <c r="AC814" i="9"/>
  <c r="AC815" i="9"/>
  <c r="AC816" i="9"/>
  <c r="AC817" i="9"/>
  <c r="AC818" i="9"/>
  <c r="AC819" i="9"/>
  <c r="AC820" i="9"/>
  <c r="AC821" i="9"/>
  <c r="AC822" i="9"/>
  <c r="AC823" i="9"/>
  <c r="AC824" i="9"/>
  <c r="AC825" i="9"/>
  <c r="AC826" i="9"/>
  <c r="AC827" i="9"/>
  <c r="AC828" i="9"/>
  <c r="AC829" i="9"/>
  <c r="AC830" i="9"/>
  <c r="AC831" i="9"/>
  <c r="AC832" i="9"/>
  <c r="AC833" i="9"/>
  <c r="AC834" i="9"/>
  <c r="AC835" i="9"/>
  <c r="AC836" i="9"/>
  <c r="AC837" i="9"/>
  <c r="AC838" i="9"/>
  <c r="AC839" i="9"/>
  <c r="AC840" i="9"/>
  <c r="AC841" i="9"/>
  <c r="AC842" i="9"/>
  <c r="AC843" i="9"/>
  <c r="AC844" i="9"/>
  <c r="AC845" i="9"/>
  <c r="AC846" i="9"/>
  <c r="AC847" i="9"/>
  <c r="AC848" i="9"/>
  <c r="AC849" i="9"/>
  <c r="AC850" i="9"/>
  <c r="AC851" i="9"/>
  <c r="AC852" i="9"/>
  <c r="AC853" i="9"/>
  <c r="AC854" i="9"/>
  <c r="AC855" i="9"/>
  <c r="AC856" i="9"/>
  <c r="AC857" i="9"/>
  <c r="AC858" i="9"/>
  <c r="AC859" i="9"/>
  <c r="AC860" i="9"/>
  <c r="AC861" i="9"/>
  <c r="AC862" i="9"/>
  <c r="AC863" i="9"/>
  <c r="AC864" i="9"/>
  <c r="AC865" i="9"/>
  <c r="AC866" i="9"/>
  <c r="AC867" i="9"/>
  <c r="AC868" i="9"/>
  <c r="AC869" i="9"/>
  <c r="AC870" i="9"/>
  <c r="AC871" i="9"/>
  <c r="AC872" i="9"/>
  <c r="AC873" i="9"/>
  <c r="AC874" i="9"/>
  <c r="AC875" i="9"/>
  <c r="AC876" i="9"/>
  <c r="AC877" i="9"/>
  <c r="AC878" i="9"/>
  <c r="AC879" i="9"/>
  <c r="AC880" i="9"/>
  <c r="AC881" i="9"/>
  <c r="AC882" i="9"/>
  <c r="AC883" i="9"/>
  <c r="AC884" i="9"/>
  <c r="AC885" i="9"/>
  <c r="AC886" i="9"/>
  <c r="AC887" i="9"/>
  <c r="AC888" i="9"/>
  <c r="AC889" i="9"/>
  <c r="AC890" i="9"/>
  <c r="AC891" i="9"/>
  <c r="AC892" i="9"/>
  <c r="AC893" i="9"/>
  <c r="AC41" i="9"/>
  <c r="AC45" i="9"/>
  <c r="AC50" i="9"/>
  <c r="AC51" i="9"/>
  <c r="AC82" i="9"/>
  <c r="AC83" i="9"/>
  <c r="AC220" i="9"/>
  <c r="AC221" i="9"/>
  <c r="AC223" i="9"/>
  <c r="AC224" i="9"/>
  <c r="AC228" i="9"/>
  <c r="AC230" i="9"/>
  <c r="AC234" i="9"/>
  <c r="AC239" i="9"/>
  <c r="AC243" i="9"/>
  <c r="AC244" i="9"/>
  <c r="AC246" i="9"/>
  <c r="AC247" i="9"/>
  <c r="AC248" i="9"/>
  <c r="AC250" i="9"/>
  <c r="AC258" i="9"/>
  <c r="AC270" i="9"/>
  <c r="AC272" i="9"/>
  <c r="AC273" i="9"/>
  <c r="AC274" i="9"/>
  <c r="AC275" i="9"/>
  <c r="AC279" i="9"/>
  <c r="AC281" i="9"/>
  <c r="AC284" i="9"/>
  <c r="AC894" i="9"/>
  <c r="AC895" i="9"/>
  <c r="AC896" i="9"/>
  <c r="AC897" i="9"/>
  <c r="AC898" i="9"/>
  <c r="AC899" i="9"/>
  <c r="AC900" i="9"/>
  <c r="AC901" i="9"/>
  <c r="AC902" i="9"/>
  <c r="AC903" i="9"/>
  <c r="AC904" i="9"/>
  <c r="AC905" i="9"/>
  <c r="AC906" i="9"/>
  <c r="AC907" i="9"/>
  <c r="AC908" i="9"/>
  <c r="AC909" i="9"/>
  <c r="AC910" i="9"/>
  <c r="AC911" i="9"/>
  <c r="AC912" i="9"/>
  <c r="AC913" i="9"/>
  <c r="AC914" i="9"/>
  <c r="AC915" i="9"/>
  <c r="AC916" i="9"/>
  <c r="AC917" i="9"/>
  <c r="AC918" i="9"/>
  <c r="AC919" i="9"/>
  <c r="AC920" i="9"/>
  <c r="AC921" i="9"/>
  <c r="AC922" i="9"/>
  <c r="AC923" i="9"/>
  <c r="AC924" i="9"/>
  <c r="AC925" i="9"/>
  <c r="AC926" i="9"/>
  <c r="AC927" i="9"/>
  <c r="AC928" i="9"/>
  <c r="AC929" i="9"/>
  <c r="AC930" i="9"/>
  <c r="AC931" i="9"/>
  <c r="AC932" i="9"/>
  <c r="AC933" i="9"/>
  <c r="AC934" i="9"/>
  <c r="AC935" i="9"/>
  <c r="AC936" i="9"/>
  <c r="AC937" i="9"/>
  <c r="AC938" i="9"/>
  <c r="AC939" i="9"/>
  <c r="AC940" i="9"/>
  <c r="AC941" i="9"/>
  <c r="AC942" i="9"/>
  <c r="AC943" i="9"/>
  <c r="AC944" i="9"/>
  <c r="AC945" i="9"/>
  <c r="AC946" i="9"/>
  <c r="AC947" i="9"/>
  <c r="AC948" i="9"/>
  <c r="AC949" i="9"/>
  <c r="AC950" i="9"/>
  <c r="AC951" i="9"/>
  <c r="AC952" i="9"/>
  <c r="AC953" i="9"/>
  <c r="AC954" i="9"/>
  <c r="AC955" i="9"/>
  <c r="AC956" i="9"/>
  <c r="AC957" i="9"/>
  <c r="AC958" i="9"/>
  <c r="AC959" i="9"/>
  <c r="AC960" i="9"/>
  <c r="AC961" i="9"/>
  <c r="AC962" i="9"/>
  <c r="AC963" i="9"/>
  <c r="AC964" i="9"/>
  <c r="AC965" i="9"/>
  <c r="AC966" i="9"/>
  <c r="AC967" i="9"/>
  <c r="AC968" i="9"/>
  <c r="AC969" i="9"/>
  <c r="AC970" i="9"/>
  <c r="AC971" i="9"/>
  <c r="AC972" i="9"/>
  <c r="AC973" i="9"/>
  <c r="AC974" i="9"/>
  <c r="AC975" i="9"/>
  <c r="AC976" i="9"/>
  <c r="AC977" i="9"/>
  <c r="AC978" i="9"/>
  <c r="AC979" i="9"/>
  <c r="AC980" i="9"/>
  <c r="AC981" i="9"/>
  <c r="AC982" i="9"/>
  <c r="AC983" i="9"/>
  <c r="AC984" i="9"/>
  <c r="AC985" i="9"/>
  <c r="AC986" i="9"/>
  <c r="AC987" i="9"/>
  <c r="AC988" i="9"/>
  <c r="AC989" i="9"/>
  <c r="AC990" i="9"/>
  <c r="AC991" i="9"/>
  <c r="AC992" i="9"/>
  <c r="AC993" i="9"/>
  <c r="AC994" i="9"/>
  <c r="AC995" i="9"/>
  <c r="AC996" i="9"/>
  <c r="AC997" i="9"/>
  <c r="AC998" i="9"/>
  <c r="AC999" i="9"/>
  <c r="AC1000" i="9"/>
  <c r="AC1001" i="9"/>
  <c r="AC1002" i="9"/>
  <c r="AC1003" i="9"/>
  <c r="AC1004" i="9"/>
  <c r="AC1005" i="9"/>
  <c r="AC1006" i="9"/>
  <c r="AC1007" i="9"/>
  <c r="AC1008" i="9"/>
  <c r="AC1009" i="9"/>
  <c r="AC1010" i="9"/>
  <c r="AC1011" i="9"/>
  <c r="AC1012" i="9"/>
  <c r="AC1013" i="9"/>
  <c r="AC1014" i="9"/>
  <c r="AC1015" i="9"/>
  <c r="AC1016" i="9"/>
  <c r="AC1017" i="9"/>
  <c r="AC1018" i="9"/>
  <c r="AC1019" i="9"/>
  <c r="AC1020" i="9"/>
  <c r="AC1021" i="9"/>
  <c r="AC1022" i="9"/>
  <c r="AC1023" i="9"/>
  <c r="AC1024" i="9"/>
  <c r="AC1025" i="9"/>
  <c r="AC1026" i="9"/>
  <c r="AC1027" i="9"/>
  <c r="AC1028" i="9"/>
  <c r="AC1029" i="9"/>
  <c r="AC1030" i="9"/>
  <c r="AC1031" i="9"/>
  <c r="AC1032" i="9"/>
  <c r="AC1033" i="9"/>
  <c r="AC1034" i="9"/>
  <c r="AC1035" i="9"/>
  <c r="AC1036" i="9"/>
  <c r="AC1037" i="9"/>
  <c r="AC1038" i="9"/>
  <c r="AC1039" i="9"/>
  <c r="AC1040" i="9"/>
  <c r="AC1041" i="9"/>
  <c r="AC1042" i="9"/>
  <c r="AC1043" i="9"/>
  <c r="AC1044" i="9"/>
  <c r="AC1045" i="9"/>
  <c r="AC1046" i="9"/>
  <c r="AC1047" i="9"/>
  <c r="AC1048" i="9"/>
  <c r="AC1049" i="9"/>
  <c r="AC1050" i="9"/>
  <c r="AC1051" i="9"/>
  <c r="AC1052" i="9"/>
  <c r="AC1053" i="9"/>
  <c r="AC1054" i="9"/>
  <c r="AC1055" i="9"/>
  <c r="AC1056" i="9"/>
  <c r="AC1057" i="9"/>
  <c r="AC1058" i="9"/>
  <c r="AC1059" i="9"/>
  <c r="AC1060" i="9"/>
  <c r="AC1061" i="9"/>
  <c r="AC1062" i="9"/>
  <c r="AC1063" i="9"/>
  <c r="AC1064" i="9"/>
  <c r="AC1065" i="9"/>
  <c r="AC1066" i="9"/>
  <c r="AC1067" i="9"/>
  <c r="AC1068" i="9"/>
  <c r="AC1069" i="9"/>
  <c r="AC1070" i="9"/>
  <c r="AC1071" i="9"/>
  <c r="AC1072" i="9"/>
  <c r="AC1073" i="9"/>
  <c r="AC1074" i="9"/>
  <c r="AC1075" i="9"/>
  <c r="AC1076" i="9"/>
  <c r="AC1077" i="9"/>
  <c r="AC1078" i="9"/>
  <c r="AC1079" i="9"/>
  <c r="AC1080" i="9"/>
  <c r="AC1081" i="9"/>
  <c r="AC1082" i="9"/>
  <c r="AC1083" i="9"/>
  <c r="AC1084" i="9"/>
  <c r="AC1085" i="9"/>
  <c r="AC1086" i="9"/>
  <c r="AC1087" i="9"/>
  <c r="AC1088" i="9"/>
  <c r="AC1089" i="9"/>
  <c r="AC1090" i="9"/>
  <c r="AC1091" i="9"/>
  <c r="AC1092" i="9"/>
  <c r="AC1093" i="9"/>
  <c r="AC1094" i="9"/>
  <c r="AC1095" i="9"/>
  <c r="AC1096" i="9"/>
  <c r="AC1097" i="9"/>
  <c r="AC42" i="9"/>
  <c r="AC46" i="9"/>
  <c r="AC49" i="9"/>
  <c r="AC53" i="9"/>
  <c r="AC63" i="9"/>
  <c r="AC65" i="9"/>
  <c r="AC66" i="9"/>
  <c r="AC67" i="9"/>
  <c r="AC68" i="9"/>
  <c r="AC69" i="9"/>
  <c r="AC70" i="9"/>
  <c r="AC71" i="9"/>
  <c r="AC72" i="9"/>
  <c r="AC73" i="9"/>
  <c r="AC74" i="9"/>
  <c r="AC75" i="9"/>
  <c r="AC76" i="9"/>
  <c r="AC77" i="9"/>
  <c r="AC78" i="9"/>
  <c r="AC79" i="9"/>
  <c r="AC80" i="9"/>
  <c r="AC81" i="9"/>
  <c r="AC84" i="9"/>
  <c r="AC85" i="9"/>
  <c r="AC86" i="9"/>
  <c r="AC87" i="9"/>
  <c r="AC88" i="9"/>
  <c r="AC89" i="9"/>
  <c r="AC90" i="9"/>
  <c r="AC91" i="9"/>
  <c r="AC92" i="9"/>
  <c r="AC93" i="9"/>
  <c r="AC94" i="9"/>
  <c r="AC95" i="9"/>
  <c r="AC96" i="9"/>
  <c r="AC97" i="9"/>
  <c r="AC98" i="9"/>
  <c r="AC99" i="9"/>
  <c r="AC100" i="9"/>
  <c r="AC101" i="9"/>
  <c r="AC102" i="9"/>
  <c r="AC103" i="9"/>
  <c r="AC104" i="9"/>
  <c r="AC105" i="9"/>
  <c r="AC106" i="9"/>
  <c r="AC107" i="9"/>
  <c r="AC108" i="9"/>
  <c r="AC109" i="9"/>
  <c r="AC110" i="9"/>
  <c r="AC111" i="9"/>
  <c r="AC112" i="9"/>
  <c r="AC113" i="9"/>
  <c r="AC114" i="9"/>
  <c r="AC115" i="9"/>
  <c r="AC116" i="9"/>
  <c r="AC117" i="9"/>
  <c r="AC118" i="9"/>
  <c r="AC119" i="9"/>
  <c r="AC120" i="9"/>
  <c r="AC121" i="9"/>
  <c r="AC122" i="9"/>
  <c r="AC123" i="9"/>
  <c r="AC124" i="9"/>
  <c r="AC125" i="9"/>
  <c r="AC126" i="9"/>
  <c r="AC127" i="9"/>
  <c r="AC128" i="9"/>
  <c r="AC129" i="9"/>
  <c r="AC130" i="9"/>
  <c r="AC131" i="9"/>
  <c r="AC132" i="9"/>
  <c r="AC133" i="9"/>
  <c r="AC134" i="9"/>
  <c r="AC135" i="9"/>
  <c r="AC136" i="9"/>
  <c r="AC137" i="9"/>
  <c r="AC138" i="9"/>
  <c r="AC139" i="9"/>
  <c r="AC140" i="9"/>
  <c r="AC141" i="9"/>
  <c r="AC142" i="9"/>
  <c r="AC143" i="9"/>
  <c r="AC144" i="9"/>
  <c r="AC145" i="9"/>
  <c r="AC146" i="9"/>
  <c r="AC147" i="9"/>
  <c r="AC148" i="9"/>
  <c r="AC149" i="9"/>
  <c r="AC150" i="9"/>
  <c r="AC151" i="9"/>
  <c r="AC152" i="9"/>
  <c r="AC153" i="9"/>
  <c r="AC154" i="9"/>
  <c r="AC155" i="9"/>
  <c r="AC156" i="9"/>
  <c r="AC157" i="9"/>
  <c r="AC158" i="9"/>
  <c r="AC159" i="9"/>
  <c r="AC160" i="9"/>
  <c r="AC161" i="9"/>
  <c r="AC162" i="9"/>
  <c r="AC163" i="9"/>
  <c r="AC164" i="9"/>
  <c r="AC165" i="9"/>
  <c r="AC166" i="9"/>
  <c r="AC167" i="9"/>
  <c r="AC168" i="9"/>
  <c r="AC169" i="9"/>
  <c r="AC170" i="9"/>
  <c r="AC171" i="9"/>
  <c r="AC172" i="9"/>
  <c r="AC173" i="9"/>
  <c r="AC174" i="9"/>
  <c r="AC175" i="9"/>
  <c r="AC176" i="9"/>
  <c r="AC177" i="9"/>
  <c r="AC178" i="9"/>
  <c r="AC179" i="9"/>
  <c r="AC180" i="9"/>
  <c r="AC181" i="9"/>
  <c r="AC182" i="9"/>
  <c r="AC183" i="9"/>
  <c r="AC184" i="9"/>
  <c r="AC185" i="9"/>
  <c r="AC186" i="9"/>
  <c r="AC187" i="9"/>
  <c r="AC188" i="9"/>
  <c r="AC189" i="9"/>
  <c r="AC190" i="9"/>
  <c r="AC191" i="9"/>
  <c r="AC192" i="9"/>
  <c r="AC193" i="9"/>
  <c r="AC194" i="9"/>
  <c r="AC195" i="9"/>
  <c r="AC196" i="9"/>
  <c r="AC197" i="9"/>
  <c r="AC198" i="9"/>
  <c r="AC199" i="9"/>
  <c r="AC200" i="9"/>
  <c r="AC201" i="9"/>
  <c r="AC202" i="9"/>
  <c r="AC203" i="9"/>
  <c r="AC204" i="9"/>
  <c r="AC205" i="9"/>
  <c r="AC206" i="9"/>
  <c r="AC207" i="9"/>
  <c r="AC208" i="9"/>
  <c r="AC209" i="9"/>
  <c r="AC210" i="9"/>
  <c r="AC211" i="9"/>
  <c r="AC212" i="9"/>
  <c r="AC213" i="9"/>
  <c r="AC214" i="9"/>
  <c r="AC215" i="9"/>
  <c r="AC216" i="9"/>
  <c r="AC217" i="9"/>
  <c r="AC437" i="9"/>
  <c r="AC438" i="9"/>
  <c r="AC439" i="9"/>
  <c r="AC440" i="9"/>
  <c r="AC441" i="9"/>
  <c r="AC442" i="9"/>
  <c r="AC43" i="9"/>
  <c r="AC47" i="9"/>
  <c r="AC54" i="9"/>
  <c r="AC56" i="9"/>
  <c r="AC58" i="9"/>
  <c r="AC60" i="9"/>
  <c r="AC219" i="9"/>
  <c r="AC229" i="9"/>
  <c r="AC236" i="9"/>
  <c r="AC237" i="9"/>
  <c r="AC238" i="9"/>
  <c r="AC249" i="9"/>
  <c r="AC251" i="9"/>
  <c r="AC255" i="9"/>
  <c r="AC259" i="9"/>
  <c r="AC262" i="9"/>
  <c r="AC266" i="9"/>
  <c r="AC267" i="9"/>
  <c r="AC268" i="9"/>
  <c r="AC276" i="9"/>
  <c r="AC277" i="9"/>
  <c r="AC282" i="9"/>
  <c r="AC283" i="9"/>
  <c r="AC285" i="9"/>
  <c r="AC288" i="9"/>
  <c r="AC289" i="9"/>
  <c r="AC292" i="9"/>
  <c r="AC296" i="9"/>
  <c r="AC297" i="9"/>
  <c r="AC298" i="9"/>
  <c r="AC299" i="9"/>
  <c r="AC300" i="9"/>
  <c r="AC301" i="9"/>
  <c r="AC302" i="9"/>
  <c r="AC303" i="9"/>
  <c r="AC304" i="9"/>
  <c r="AC305" i="9"/>
  <c r="AC306" i="9"/>
  <c r="AC307" i="9"/>
  <c r="AC308" i="9"/>
  <c r="AC309" i="9"/>
  <c r="AC310" i="9"/>
  <c r="AC311" i="9"/>
  <c r="AC312" i="9"/>
  <c r="AC313" i="9"/>
  <c r="AC314" i="9"/>
  <c r="AC315" i="9"/>
  <c r="AC316" i="9"/>
  <c r="AC321" i="9"/>
  <c r="AC323" i="9"/>
  <c r="AC325" i="9"/>
  <c r="AC326" i="9"/>
  <c r="AC327" i="9"/>
  <c r="AC333" i="9"/>
  <c r="AC335" i="9"/>
  <c r="AC338" i="9"/>
  <c r="AC339" i="9"/>
  <c r="AC343" i="9"/>
  <c r="AC344" i="9"/>
  <c r="AC345" i="9"/>
  <c r="AC347" i="9"/>
  <c r="AC350" i="9"/>
  <c r="AC351" i="9"/>
  <c r="AC352" i="9"/>
  <c r="AC353" i="9"/>
  <c r="AC361" i="9"/>
  <c r="AC363" i="9"/>
  <c r="AC365" i="9"/>
  <c r="AC367" i="9"/>
  <c r="AC368" i="9"/>
  <c r="AC372" i="9"/>
  <c r="AC373" i="9"/>
  <c r="AC378" i="9"/>
  <c r="AC379" i="9"/>
  <c r="AC383" i="9"/>
  <c r="AC385" i="9"/>
  <c r="AC388" i="9"/>
  <c r="AC391" i="9"/>
  <c r="AC393" i="9"/>
  <c r="AC396" i="9"/>
  <c r="AC400" i="9"/>
  <c r="AC401" i="9"/>
  <c r="AC406" i="9"/>
  <c r="AC413" i="9"/>
  <c r="AC414" i="9"/>
  <c r="AC416" i="9"/>
  <c r="AC418" i="9"/>
  <c r="AC421" i="9"/>
  <c r="AC422" i="9"/>
  <c r="AC424" i="9"/>
  <c r="AC427" i="9"/>
  <c r="AC429" i="9"/>
  <c r="AC431" i="9"/>
  <c r="AC432" i="9"/>
  <c r="AC433" i="9"/>
  <c r="AC434" i="9"/>
  <c r="AC436" i="9"/>
  <c r="AC443" i="9"/>
  <c r="AC444" i="9"/>
  <c r="AC446" i="9"/>
  <c r="AC448" i="9"/>
  <c r="AC450" i="9"/>
  <c r="AC452" i="9"/>
  <c r="AC453" i="9"/>
  <c r="AC455" i="9"/>
  <c r="AC457" i="9"/>
  <c r="AC459" i="9"/>
  <c r="AC460" i="9"/>
  <c r="AC462" i="9"/>
  <c r="AC463" i="9"/>
  <c r="AC464" i="9"/>
  <c r="AC465" i="9"/>
  <c r="AC467" i="9"/>
  <c r="AC470" i="9"/>
  <c r="AC471" i="9"/>
  <c r="AC474" i="9"/>
  <c r="AC477" i="9"/>
  <c r="AC479" i="9"/>
  <c r="AC480" i="9"/>
  <c r="AC481" i="9"/>
  <c r="AC482" i="9"/>
  <c r="AC483" i="9"/>
  <c r="AC484" i="9"/>
  <c r="AC485" i="9"/>
  <c r="AC486" i="9"/>
  <c r="AC487" i="9"/>
  <c r="AC488" i="9"/>
  <c r="AC489" i="9"/>
  <c r="AC490" i="9"/>
  <c r="AC491" i="9"/>
  <c r="AC492" i="9"/>
  <c r="AC493" i="9"/>
  <c r="AC494" i="9"/>
  <c r="AC495" i="9"/>
  <c r="AC496" i="9"/>
  <c r="AC497" i="9"/>
  <c r="AC498" i="9"/>
  <c r="AC499" i="9"/>
  <c r="AC500" i="9"/>
  <c r="AC501" i="9"/>
  <c r="AC502" i="9"/>
  <c r="AC503" i="9"/>
  <c r="AC504" i="9"/>
  <c r="AC505" i="9"/>
  <c r="AC506" i="9"/>
  <c r="AC507" i="9"/>
  <c r="AC508" i="9"/>
  <c r="AC509" i="9"/>
  <c r="AC510" i="9"/>
  <c r="AC511" i="9"/>
  <c r="AC512" i="9"/>
  <c r="AC513" i="9"/>
  <c r="AC514" i="9"/>
  <c r="AC515" i="9"/>
  <c r="AC516" i="9"/>
  <c r="AC517" i="9"/>
  <c r="AC518" i="9"/>
  <c r="AC519" i="9"/>
  <c r="AC520" i="9"/>
  <c r="AC521" i="9"/>
  <c r="AC522" i="9"/>
  <c r="AC523" i="9"/>
  <c r="AC524" i="9"/>
  <c r="AC525" i="9"/>
  <c r="AC526" i="9"/>
  <c r="AC527" i="9"/>
  <c r="AC528" i="9"/>
  <c r="AC529" i="9"/>
  <c r="AC530" i="9"/>
  <c r="AC531" i="9"/>
  <c r="AC532" i="9"/>
  <c r="AC533" i="9"/>
  <c r="AC534" i="9"/>
  <c r="AC535" i="9"/>
  <c r="AC536" i="9"/>
  <c r="AC537" i="9"/>
  <c r="AC538" i="9"/>
  <c r="AC539" i="9"/>
  <c r="AC540" i="9"/>
  <c r="AC541" i="9"/>
  <c r="AC542" i="9"/>
  <c r="AC543" i="9"/>
  <c r="AC544" i="9"/>
  <c r="AC545" i="9"/>
  <c r="AC546" i="9"/>
  <c r="AC547" i="9"/>
  <c r="AC548" i="9"/>
  <c r="AC549" i="9"/>
  <c r="AC550" i="9"/>
  <c r="AC551" i="9"/>
  <c r="AC552" i="9"/>
  <c r="AC553" i="9"/>
  <c r="AC554" i="9"/>
  <c r="AC555" i="9"/>
  <c r="AC556" i="9"/>
  <c r="AC557" i="9"/>
  <c r="AC558" i="9"/>
  <c r="AC559" i="9"/>
  <c r="AC560" i="9"/>
  <c r="AC561" i="9"/>
  <c r="AC562" i="9"/>
  <c r="AC563" i="9"/>
  <c r="AC564" i="9"/>
  <c r="AC565" i="9"/>
  <c r="AC566" i="9"/>
  <c r="AC567" i="9"/>
  <c r="AC568" i="9"/>
  <c r="AC569" i="9"/>
  <c r="AC570" i="9"/>
  <c r="AC571" i="9"/>
  <c r="AC572" i="9"/>
  <c r="AC573" i="9"/>
  <c r="AC574" i="9"/>
  <c r="AC575" i="9"/>
  <c r="AC576" i="9"/>
  <c r="AC577" i="9"/>
  <c r="AC578" i="9"/>
  <c r="AC579" i="9"/>
  <c r="AC580" i="9"/>
  <c r="AC581" i="9"/>
  <c r="AC582" i="9"/>
  <c r="AC583" i="9"/>
  <c r="AC584" i="9"/>
  <c r="AC585" i="9"/>
  <c r="AC586" i="9"/>
  <c r="AC587" i="9"/>
  <c r="AC588" i="9"/>
  <c r="AC589" i="9"/>
  <c r="AC590" i="9"/>
  <c r="AC591" i="9"/>
  <c r="AC592" i="9"/>
  <c r="AC593" i="9"/>
  <c r="AC594" i="9"/>
  <c r="AC595" i="9"/>
  <c r="AC596" i="9"/>
  <c r="AC597" i="9"/>
  <c r="AC598" i="9"/>
  <c r="AC599" i="9"/>
  <c r="AC600" i="9"/>
  <c r="AC601" i="9"/>
  <c r="AC602" i="9"/>
  <c r="AC603" i="9"/>
  <c r="AC604" i="9"/>
  <c r="AC605" i="9"/>
  <c r="AC606" i="9"/>
  <c r="AC607" i="9"/>
  <c r="AC608" i="9"/>
  <c r="AC609" i="9"/>
  <c r="AC610" i="9"/>
  <c r="AC611" i="9"/>
  <c r="AC612" i="9"/>
  <c r="AC613" i="9"/>
  <c r="AC614" i="9"/>
  <c r="AC615" i="9"/>
  <c r="AC616" i="9"/>
  <c r="AC617" i="9"/>
  <c r="AC618" i="9"/>
  <c r="AC619" i="9"/>
  <c r="AC620" i="9"/>
  <c r="AC621" i="9"/>
  <c r="AC622" i="9"/>
  <c r="AC623" i="9"/>
  <c r="AC624" i="9"/>
  <c r="AC625" i="9"/>
  <c r="AC626" i="9"/>
  <c r="AC627" i="9"/>
  <c r="AC628" i="9"/>
  <c r="AC629" i="9"/>
  <c r="AC630" i="9"/>
  <c r="AC631" i="9"/>
  <c r="AC632" i="9"/>
  <c r="AC633" i="9"/>
  <c r="AC634" i="9"/>
  <c r="AC635" i="9"/>
  <c r="AC636" i="9"/>
  <c r="AC637" i="9"/>
  <c r="AC638" i="9"/>
  <c r="AC639" i="9"/>
  <c r="AC640" i="9"/>
  <c r="AC641" i="9"/>
  <c r="AC642" i="9"/>
  <c r="AC643" i="9"/>
  <c r="AC644" i="9"/>
  <c r="AC645" i="9"/>
  <c r="AC646" i="9"/>
  <c r="AC647" i="9"/>
  <c r="AC648" i="9"/>
  <c r="AC649" i="9"/>
  <c r="AC650" i="9"/>
  <c r="AC651" i="9"/>
  <c r="AC652" i="9"/>
  <c r="AC653" i="9"/>
  <c r="AC654" i="9"/>
  <c r="AC655" i="9"/>
  <c r="AC656" i="9"/>
  <c r="AC657" i="9"/>
  <c r="AC658" i="9"/>
  <c r="AC659" i="9"/>
  <c r="AC660" i="9"/>
  <c r="AC661" i="9"/>
  <c r="AC662" i="9"/>
  <c r="AC663" i="9"/>
  <c r="AC664" i="9"/>
  <c r="AC665" i="9"/>
  <c r="AC666" i="9"/>
  <c r="AC667" i="9"/>
  <c r="I18" i="1" a="1"/>
  <c r="I22" i="1" a="1"/>
  <c r="I31" i="1" a="1"/>
  <c r="I29" i="1" a="1"/>
  <c r="I23" i="1" a="1"/>
  <c r="I37" i="1" a="1"/>
  <c r="I27" i="1" a="1"/>
  <c r="I20" i="1" a="1"/>
  <c r="I19" i="1" a="1"/>
  <c r="I32" i="1" a="1"/>
  <c r="I21" i="1" a="1"/>
  <c r="I25" i="1" a="1"/>
  <c r="I36" i="1" a="1"/>
  <c r="I30" i="1" a="1"/>
  <c r="I17" i="1" a="1"/>
  <c r="I38" i="1" a="1"/>
  <c r="I26" i="1" a="1"/>
  <c r="I35" i="1" a="1"/>
  <c r="I34" i="1" a="1"/>
  <c r="I33" i="1" a="1"/>
  <c r="I24" i="1" a="1"/>
  <c r="I28" i="1" a="1"/>
  <c r="BE168" i="9"/>
  <c r="BE169" i="9"/>
  <c r="BE170" i="9"/>
  <c r="BE171" i="9"/>
  <c r="BE172" i="9"/>
  <c r="BE173" i="9"/>
  <c r="BE174" i="9"/>
  <c r="BE175" i="9"/>
  <c r="BE176" i="9"/>
  <c r="BE177" i="9"/>
  <c r="BE178" i="9"/>
  <c r="BE179" i="9"/>
  <c r="BE180" i="9"/>
  <c r="BE181" i="9"/>
  <c r="BE182" i="9"/>
  <c r="BE183" i="9"/>
  <c r="BE184" i="9"/>
  <c r="BE185" i="9"/>
  <c r="BE16" i="9"/>
  <c r="BE21" i="9"/>
  <c r="BE26" i="9"/>
  <c r="BE41" i="9"/>
  <c r="BE76" i="9"/>
  <c r="BE83" i="9"/>
  <c r="BE101" i="9"/>
  <c r="BE114" i="9"/>
  <c r="BE126" i="9"/>
  <c r="BE137" i="9"/>
  <c r="BE154" i="9"/>
  <c r="BE165" i="9"/>
  <c r="BE188" i="9"/>
  <c r="BE199" i="9"/>
  <c r="BE205" i="9"/>
  <c r="BG224" i="9"/>
  <c r="BE249" i="9"/>
  <c r="BG249" i="9"/>
  <c r="BE250" i="9"/>
  <c r="BE251" i="9"/>
  <c r="BE252" i="9"/>
  <c r="BE253" i="9"/>
  <c r="BG253" i="9"/>
  <c r="BE254" i="9"/>
  <c r="BG254" i="9"/>
  <c r="BE255" i="9"/>
  <c r="BE256" i="9"/>
  <c r="BG256" i="9"/>
  <c r="BE257" i="9"/>
  <c r="BG257" i="9"/>
  <c r="BE258" i="9"/>
  <c r="BE259" i="9"/>
  <c r="BG259" i="9"/>
  <c r="BE260" i="9"/>
  <c r="BG260" i="9"/>
  <c r="BE261" i="9"/>
  <c r="BG261" i="9"/>
  <c r="BE262" i="9"/>
  <c r="BE263" i="9"/>
  <c r="BE264" i="9"/>
  <c r="BE265" i="9"/>
  <c r="BE266" i="9"/>
  <c r="BE267" i="9"/>
  <c r="BE268" i="9"/>
  <c r="BE269" i="9"/>
  <c r="BE270" i="9"/>
  <c r="BE271" i="9"/>
  <c r="BE272" i="9"/>
  <c r="BE273" i="9"/>
  <c r="BE274" i="9"/>
  <c r="BE275" i="9"/>
  <c r="BE276" i="9"/>
  <c r="BE277" i="9"/>
  <c r="BE278" i="9"/>
  <c r="BG278" i="9"/>
  <c r="BE279" i="9"/>
  <c r="BE280" i="9"/>
  <c r="BE281" i="9"/>
  <c r="BE282" i="9"/>
  <c r="BG282" i="9"/>
  <c r="BE283" i="9"/>
  <c r="BE284" i="9"/>
  <c r="BE285" i="9"/>
  <c r="BE286" i="9"/>
  <c r="BG286" i="9"/>
  <c r="BE287" i="9"/>
  <c r="BE288" i="9"/>
  <c r="BE289" i="9"/>
  <c r="BE290" i="9"/>
  <c r="BE291" i="9"/>
  <c r="BE292" i="9"/>
  <c r="BE293" i="9"/>
  <c r="BE294" i="9"/>
  <c r="BG294" i="9"/>
  <c r="BE295" i="9"/>
  <c r="BE296" i="9"/>
  <c r="BG296" i="9"/>
  <c r="BE297" i="9"/>
  <c r="BG297" i="9"/>
  <c r="BE298" i="9"/>
  <c r="BE299" i="9"/>
  <c r="BE300" i="9"/>
  <c r="BG300" i="9"/>
  <c r="BE301" i="9"/>
  <c r="BE302" i="9"/>
  <c r="BE303" i="9"/>
  <c r="BE304" i="9"/>
  <c r="BE305" i="9"/>
  <c r="BE306" i="9"/>
  <c r="BG306" i="9"/>
  <c r="BE307" i="9"/>
  <c r="BE308" i="9"/>
  <c r="BE309" i="9"/>
  <c r="BE310" i="9"/>
  <c r="BE311" i="9"/>
  <c r="BE312" i="9"/>
  <c r="BE313" i="9"/>
  <c r="BE314" i="9"/>
  <c r="BE315" i="9"/>
  <c r="BE316" i="9"/>
  <c r="BE317" i="9"/>
  <c r="BE318" i="9"/>
  <c r="BE319" i="9"/>
  <c r="BE320" i="9"/>
  <c r="BE321" i="9"/>
  <c r="BE322" i="9"/>
  <c r="BE323" i="9"/>
  <c r="BE324" i="9"/>
  <c r="BE325" i="9"/>
  <c r="BE326" i="9"/>
  <c r="BE327" i="9"/>
  <c r="BE328" i="9"/>
  <c r="BE329" i="9"/>
  <c r="BE330" i="9"/>
  <c r="BE331" i="9"/>
  <c r="BE332" i="9"/>
  <c r="BE333" i="9"/>
  <c r="BE334" i="9"/>
  <c r="BE335" i="9"/>
  <c r="BE336" i="9"/>
  <c r="BE337" i="9"/>
  <c r="BE338" i="9"/>
  <c r="BE339" i="9"/>
  <c r="BE340" i="9"/>
  <c r="BE341" i="9"/>
  <c r="BE342" i="9"/>
  <c r="BE343" i="9"/>
  <c r="BE344" i="9"/>
  <c r="BE345" i="9"/>
  <c r="BE346" i="9"/>
  <c r="BE347" i="9"/>
  <c r="BE348" i="9"/>
  <c r="BE349" i="9"/>
  <c r="BE350" i="9"/>
  <c r="BE351" i="9"/>
  <c r="BE352" i="9"/>
  <c r="BE353" i="9"/>
  <c r="BE354" i="9"/>
  <c r="BE355" i="9"/>
  <c r="BE356" i="9"/>
  <c r="BE357" i="9"/>
  <c r="BE358" i="9"/>
  <c r="BE359" i="9"/>
  <c r="BE360" i="9"/>
  <c r="BE361" i="9"/>
  <c r="BE362" i="9"/>
  <c r="BE363" i="9"/>
  <c r="BE364" i="9"/>
  <c r="BE365" i="9"/>
  <c r="BE366" i="9"/>
  <c r="BE367" i="9"/>
  <c r="BE368" i="9"/>
  <c r="BE369" i="9"/>
  <c r="BE370" i="9"/>
  <c r="BE371" i="9"/>
  <c r="BE372" i="9"/>
  <c r="BE373" i="9"/>
  <c r="BE374" i="9"/>
  <c r="BE375" i="9"/>
  <c r="BE376" i="9"/>
  <c r="BE377" i="9"/>
  <c r="BE378" i="9"/>
  <c r="BE379" i="9"/>
  <c r="BE380" i="9"/>
  <c r="BE17" i="9"/>
  <c r="BE23" i="9"/>
  <c r="BE35" i="9"/>
  <c r="BE68" i="9"/>
  <c r="BE75" i="9"/>
  <c r="BE78" i="9"/>
  <c r="BE99" i="9"/>
  <c r="BE102" i="9"/>
  <c r="BE111" i="9"/>
  <c r="BE127" i="9"/>
  <c r="BE131" i="9"/>
  <c r="BE150" i="9"/>
  <c r="BE164" i="9"/>
  <c r="BE167" i="9"/>
  <c r="BE193" i="9"/>
  <c r="BE198" i="9"/>
  <c r="BE226" i="9"/>
  <c r="BE241" i="9"/>
  <c r="BE387" i="9"/>
  <c r="BE405" i="9"/>
  <c r="BE416" i="9"/>
  <c r="BE419" i="9"/>
  <c r="BE438" i="9"/>
  <c r="BE445" i="9"/>
  <c r="BE446" i="9"/>
  <c r="BE447" i="9"/>
  <c r="BE448" i="9"/>
  <c r="BE449" i="9"/>
  <c r="BE450" i="9"/>
  <c r="BE451" i="9"/>
  <c r="BE452" i="9"/>
  <c r="BE453" i="9"/>
  <c r="BE454" i="9"/>
  <c r="BE455" i="9"/>
  <c r="BE456" i="9"/>
  <c r="BE457" i="9"/>
  <c r="BE458" i="9"/>
  <c r="BE459" i="9"/>
  <c r="BE460" i="9"/>
  <c r="BE461" i="9"/>
  <c r="BE462" i="9"/>
  <c r="BE463" i="9"/>
  <c r="BE464" i="9"/>
  <c r="BE465" i="9"/>
  <c r="BE466" i="9"/>
  <c r="BE467" i="9"/>
  <c r="BE468" i="9"/>
  <c r="BE469" i="9"/>
  <c r="BE470" i="9"/>
  <c r="BE471" i="9"/>
  <c r="BE472" i="9"/>
  <c r="BE473" i="9"/>
  <c r="BE474" i="9"/>
  <c r="BE475" i="9"/>
  <c r="BE476" i="9"/>
  <c r="BE477" i="9"/>
  <c r="BE478" i="9"/>
  <c r="BE479" i="9"/>
  <c r="BE480" i="9"/>
  <c r="BE481" i="9"/>
  <c r="BE482" i="9"/>
  <c r="BE483" i="9"/>
  <c r="BE484" i="9"/>
  <c r="BE485" i="9"/>
  <c r="BE486" i="9"/>
  <c r="BE487" i="9"/>
  <c r="BE488" i="9"/>
  <c r="BE489" i="9"/>
  <c r="BE490" i="9"/>
  <c r="BE491" i="9"/>
  <c r="BE492" i="9"/>
  <c r="BE493" i="9"/>
  <c r="BE494" i="9"/>
  <c r="BE495" i="9"/>
  <c r="BE496" i="9"/>
  <c r="BE497" i="9"/>
  <c r="BE498" i="9"/>
  <c r="BE499" i="9"/>
  <c r="BE500" i="9"/>
  <c r="BE501" i="9"/>
  <c r="BE502" i="9"/>
  <c r="BE503" i="9"/>
  <c r="BE504" i="9"/>
  <c r="BE505" i="9"/>
  <c r="BE506" i="9"/>
  <c r="BE507" i="9"/>
  <c r="BE508" i="9"/>
  <c r="BE509" i="9"/>
  <c r="BE510" i="9"/>
  <c r="BE511" i="9"/>
  <c r="BE512" i="9"/>
  <c r="BE513" i="9"/>
  <c r="BE514" i="9"/>
  <c r="BE515" i="9"/>
  <c r="BE516" i="9"/>
  <c r="BE517" i="9"/>
  <c r="BE518" i="9"/>
  <c r="BE519" i="9"/>
  <c r="BE520" i="9"/>
  <c r="BE521" i="9"/>
  <c r="BE522" i="9"/>
  <c r="BE523" i="9"/>
  <c r="BE524" i="9"/>
  <c r="BE525" i="9"/>
  <c r="BE526" i="9"/>
  <c r="BE527" i="9"/>
  <c r="BE528" i="9"/>
  <c r="BE529" i="9"/>
  <c r="BE530" i="9"/>
  <c r="BE531" i="9"/>
  <c r="BE532" i="9"/>
  <c r="BE533" i="9"/>
  <c r="BE534" i="9"/>
  <c r="BE535" i="9"/>
  <c r="BE536" i="9"/>
  <c r="BE537" i="9"/>
  <c r="BE538" i="9"/>
  <c r="BE539" i="9"/>
  <c r="BE540" i="9"/>
  <c r="BE541" i="9"/>
  <c r="BE542" i="9"/>
  <c r="BE543" i="9"/>
  <c r="BE544" i="9"/>
  <c r="BE545" i="9"/>
  <c r="BE546" i="9"/>
  <c r="BE547" i="9"/>
  <c r="BE548" i="9"/>
  <c r="BE549" i="9"/>
  <c r="BE550" i="9"/>
  <c r="BE551" i="9"/>
  <c r="BE552" i="9"/>
  <c r="BE553" i="9"/>
  <c r="BE554" i="9"/>
  <c r="BE555" i="9"/>
  <c r="BE556" i="9"/>
  <c r="BE557" i="9"/>
  <c r="BE558" i="9"/>
  <c r="BE559" i="9"/>
  <c r="BE560" i="9"/>
  <c r="BE561" i="9"/>
  <c r="BE562" i="9"/>
  <c r="BE563" i="9"/>
  <c r="BE564" i="9"/>
  <c r="BE565" i="9"/>
  <c r="BE566" i="9"/>
  <c r="BE567" i="9"/>
  <c r="BE568" i="9"/>
  <c r="BE569" i="9"/>
  <c r="BE570" i="9"/>
  <c r="BE571" i="9"/>
  <c r="BE572" i="9"/>
  <c r="BE573" i="9"/>
  <c r="BE574" i="9"/>
  <c r="BE575" i="9"/>
  <c r="BE22" i="9"/>
  <c r="BE38" i="9"/>
  <c r="BE82" i="9"/>
  <c r="BE107" i="9"/>
  <c r="BE109" i="9"/>
  <c r="BE115" i="9"/>
  <c r="BE129" i="9"/>
  <c r="BE134" i="9"/>
  <c r="BE157" i="9"/>
  <c r="BE162" i="9"/>
  <c r="BE166" i="9"/>
  <c r="BE190" i="9"/>
  <c r="BE195" i="9"/>
  <c r="BE213" i="9"/>
  <c r="BE221" i="9"/>
  <c r="BE238" i="9"/>
  <c r="BE244" i="9"/>
  <c r="BE247" i="9"/>
  <c r="BE392" i="9"/>
  <c r="BE400" i="9"/>
  <c r="BE409" i="9"/>
  <c r="BE417" i="9"/>
  <c r="BE440" i="9"/>
  <c r="BE580" i="9"/>
  <c r="BE587" i="9"/>
  <c r="BE591" i="9"/>
  <c r="BE611" i="9"/>
  <c r="BE614" i="9"/>
  <c r="BE617" i="9"/>
  <c r="BE620" i="9"/>
  <c r="BE628" i="9"/>
  <c r="BE631" i="9"/>
  <c r="BE645" i="9"/>
  <c r="BE656" i="9"/>
  <c r="BE659" i="9"/>
  <c r="BE665" i="9"/>
  <c r="BE679" i="9"/>
  <c r="BE688" i="9"/>
  <c r="BE690" i="9"/>
  <c r="BE691" i="9"/>
  <c r="BE692" i="9"/>
  <c r="BE693" i="9"/>
  <c r="BE694" i="9"/>
  <c r="BE695" i="9"/>
  <c r="BE696" i="9"/>
  <c r="BE697" i="9"/>
  <c r="BE698" i="9"/>
  <c r="BE699" i="9"/>
  <c r="BE700" i="9"/>
  <c r="BE701" i="9"/>
  <c r="BE702" i="9"/>
  <c r="BE703" i="9"/>
  <c r="BE704" i="9"/>
  <c r="BE705" i="9"/>
  <c r="BE706" i="9"/>
  <c r="BE707" i="9"/>
  <c r="BE708" i="9"/>
  <c r="BE709" i="9"/>
  <c r="BE711" i="9"/>
  <c r="BE713" i="9"/>
  <c r="BE718" i="9"/>
  <c r="BE719" i="9"/>
  <c r="BE720" i="9"/>
  <c r="BE721" i="9"/>
  <c r="BE727" i="9"/>
  <c r="BE729" i="9"/>
  <c r="BE734" i="9"/>
  <c r="BE738" i="9"/>
  <c r="BE739" i="9"/>
  <c r="BE740" i="9"/>
  <c r="BE744" i="9"/>
  <c r="BE745" i="9"/>
  <c r="BE747" i="9"/>
  <c r="BE750" i="9"/>
  <c r="BE755" i="9"/>
  <c r="BE760" i="9"/>
  <c r="BE763" i="9"/>
  <c r="BE766" i="9"/>
  <c r="BE14" i="9"/>
  <c r="BE31" i="9"/>
  <c r="BE45" i="9"/>
  <c r="BE160" i="9"/>
  <c r="BE197" i="9"/>
  <c r="BE650" i="9"/>
  <c r="BE779" i="9"/>
  <c r="BE790" i="9"/>
  <c r="BE798" i="9"/>
  <c r="BE819" i="9"/>
  <c r="BE826" i="9"/>
  <c r="BE833" i="9"/>
  <c r="BE870" i="9"/>
  <c r="BE908" i="9"/>
  <c r="BE917" i="9"/>
  <c r="BE958" i="9"/>
  <c r="BE36" i="9"/>
  <c r="BE108" i="9"/>
  <c r="BE138" i="9"/>
  <c r="BE145" i="9"/>
  <c r="BE196" i="9"/>
  <c r="BE228" i="9"/>
  <c r="BE397" i="9"/>
  <c r="BE402" i="9"/>
  <c r="BE413" i="9"/>
  <c r="BE431" i="9"/>
  <c r="BE439" i="9"/>
  <c r="BE581" i="9"/>
  <c r="BE607" i="9"/>
  <c r="BE633" i="9"/>
  <c r="BE646" i="9"/>
  <c r="BE772" i="9"/>
  <c r="BE867" i="9"/>
  <c r="BE879" i="9"/>
  <c r="BE918" i="9"/>
  <c r="BE927" i="9"/>
  <c r="BE935" i="9"/>
  <c r="BE951" i="9"/>
  <c r="BE953" i="9"/>
  <c r="BE962" i="9"/>
  <c r="BE969" i="9"/>
  <c r="BE972" i="9"/>
  <c r="BE975" i="9"/>
  <c r="BE981" i="9"/>
  <c r="BE993" i="9"/>
  <c r="BE1001" i="9"/>
  <c r="BE1003" i="9"/>
  <c r="BE1009" i="9"/>
  <c r="BE1019" i="9"/>
  <c r="BE1032" i="9"/>
  <c r="BE1037" i="9"/>
  <c r="BE1039" i="9"/>
  <c r="BE1052" i="9"/>
  <c r="BE77" i="9"/>
  <c r="BE84" i="9"/>
  <c r="BE90" i="9"/>
  <c r="BE91" i="9"/>
  <c r="BE113" i="9"/>
  <c r="BE124" i="9"/>
  <c r="BE136" i="9"/>
  <c r="BE139" i="9"/>
  <c r="BE161" i="9"/>
  <c r="BE192" i="9"/>
  <c r="BE236" i="9"/>
  <c r="BE239" i="9"/>
  <c r="BE383" i="9"/>
  <c r="BE433" i="9"/>
  <c r="BE444" i="9"/>
  <c r="BE578" i="9"/>
  <c r="BE602" i="9"/>
  <c r="BE605" i="9"/>
  <c r="BE612" i="9"/>
  <c r="BE615" i="9"/>
  <c r="BE618" i="9"/>
  <c r="BE621" i="9"/>
  <c r="BE632" i="9"/>
  <c r="BE638" i="9"/>
  <c r="BE641" i="9"/>
  <c r="BE649" i="9"/>
  <c r="BE657" i="9"/>
  <c r="BE689" i="9"/>
  <c r="BE774" i="9"/>
  <c r="BE777" i="9"/>
  <c r="BE780" i="9"/>
  <c r="BE782" i="9"/>
  <c r="BE789" i="9"/>
  <c r="BE794" i="9"/>
  <c r="BE802" i="9"/>
  <c r="BE805" i="9"/>
  <c r="BE813" i="9"/>
  <c r="BE837" i="9"/>
  <c r="BE839" i="9"/>
  <c r="BE854" i="9"/>
  <c r="BE860" i="9"/>
  <c r="BE869" i="9"/>
  <c r="BE872" i="9"/>
  <c r="BE874" i="9"/>
  <c r="BE881" i="9"/>
  <c r="BE884" i="9"/>
  <c r="BE887" i="9"/>
  <c r="BE889" i="9"/>
  <c r="BE891" i="9"/>
  <c r="BE894" i="9"/>
  <c r="BE904" i="9"/>
  <c r="BE912" i="9"/>
  <c r="BE915" i="9"/>
  <c r="BE919" i="9"/>
  <c r="BE922" i="9"/>
  <c r="BE940" i="9"/>
  <c r="BE952" i="9"/>
  <c r="BE982" i="9"/>
  <c r="BE987" i="9"/>
  <c r="BE994" i="9"/>
  <c r="BE1008" i="9"/>
  <c r="BE1017" i="9"/>
  <c r="BE1022" i="9"/>
  <c r="BE1036" i="9"/>
  <c r="BE1041" i="9"/>
  <c r="BE1045" i="9"/>
  <c r="BE1056" i="9"/>
  <c r="BE1063" i="9"/>
  <c r="BE1066" i="9"/>
  <c r="BE1067" i="9"/>
  <c r="BE47" i="9"/>
  <c r="BE19" i="9"/>
  <c r="BE32" i="9"/>
  <c r="BE53" i="9"/>
  <c r="BE73" i="9"/>
  <c r="BE80" i="9"/>
  <c r="BE98" i="9"/>
  <c r="BE100" i="9"/>
  <c r="BE103" i="9"/>
  <c r="BE146" i="9"/>
  <c r="BE155" i="9"/>
  <c r="BE158" i="9"/>
  <c r="BE186" i="9"/>
  <c r="BE191" i="9"/>
  <c r="BE202" i="9"/>
  <c r="BE204" i="9"/>
  <c r="BE212" i="9"/>
  <c r="BE216" i="9"/>
  <c r="BE219" i="9"/>
  <c r="BE229" i="9"/>
  <c r="BE243" i="9"/>
  <c r="BE398" i="9"/>
  <c r="BE412" i="9"/>
  <c r="BE415" i="9"/>
  <c r="BE422" i="9"/>
  <c r="BE437" i="9"/>
  <c r="BE625" i="9"/>
  <c r="BE629" i="9"/>
  <c r="BE651" i="9"/>
  <c r="BE664" i="9"/>
  <c r="BE684" i="9"/>
  <c r="BE687" i="9"/>
  <c r="BE778" i="9"/>
  <c r="BE820" i="9"/>
  <c r="BE821" i="9"/>
  <c r="BE824" i="9"/>
  <c r="BE840" i="9"/>
  <c r="BE852" i="9"/>
  <c r="BE855" i="9"/>
  <c r="BE868" i="9"/>
  <c r="BE897" i="9"/>
  <c r="BE920" i="9"/>
  <c r="BE925" i="9"/>
  <c r="BE933" i="9"/>
  <c r="BE954" i="9"/>
  <c r="BE961" i="9"/>
  <c r="BE964" i="9"/>
  <c r="BE970" i="9"/>
  <c r="BE980" i="9"/>
  <c r="BE988" i="9"/>
  <c r="BE991" i="9"/>
  <c r="BE995" i="9"/>
  <c r="BE999" i="9"/>
  <c r="BE1004" i="9"/>
  <c r="BE1007" i="9"/>
  <c r="BE1014" i="9"/>
  <c r="BE1024" i="9"/>
  <c r="BE1034" i="9"/>
  <c r="BE1038" i="9"/>
  <c r="BE1040" i="9"/>
  <c r="BE1051" i="9"/>
  <c r="BE1054" i="9"/>
  <c r="BE1058" i="9"/>
  <c r="BE1060" i="9"/>
  <c r="BE1068" i="9"/>
  <c r="BE48" i="9"/>
  <c r="BE20" i="9"/>
  <c r="BE49" i="9"/>
  <c r="BE25" i="9"/>
  <c r="BE59" i="9"/>
  <c r="BE13" i="9"/>
  <c r="BE27" i="9"/>
  <c r="BE34" i="9"/>
  <c r="BE61" i="9"/>
  <c r="BE63" i="9"/>
  <c r="BE58" i="9"/>
  <c r="BE72" i="9"/>
  <c r="BE74" i="9"/>
  <c r="BE86" i="9"/>
  <c r="BE89" i="9"/>
  <c r="BE92" i="9"/>
  <c r="BE141" i="9"/>
  <c r="BE153" i="9"/>
  <c r="BE163" i="9"/>
  <c r="BE207" i="9"/>
  <c r="BE209" i="9"/>
  <c r="BE211" i="9"/>
  <c r="BE223" i="9"/>
  <c r="BE232" i="9"/>
  <c r="BE381" i="9"/>
  <c r="BE395" i="9"/>
  <c r="BE401" i="9"/>
  <c r="BE404" i="9"/>
  <c r="BE408" i="9"/>
  <c r="BE429" i="9"/>
  <c r="BE434" i="9"/>
  <c r="BE608" i="9"/>
  <c r="BE613" i="9"/>
  <c r="BE616" i="9"/>
  <c r="BE624" i="9"/>
  <c r="BE634" i="9"/>
  <c r="BE640" i="9"/>
  <c r="BE643" i="9"/>
  <c r="BE652" i="9"/>
  <c r="BE658" i="9"/>
  <c r="BE661" i="9"/>
  <c r="BE673" i="9"/>
  <c r="BE681" i="9"/>
  <c r="BE771" i="9"/>
  <c r="BE783" i="9"/>
  <c r="BE786" i="9"/>
  <c r="BE796" i="9"/>
  <c r="BE804" i="9"/>
  <c r="BE817" i="9"/>
  <c r="BE822" i="9"/>
  <c r="BE825" i="9"/>
  <c r="BE865" i="9"/>
  <c r="BE878" i="9"/>
  <c r="BE883" i="9"/>
  <c r="BE898" i="9"/>
  <c r="BE901" i="9"/>
  <c r="BE903" i="9"/>
  <c r="BE906" i="9"/>
  <c r="BE913" i="9"/>
  <c r="BE946" i="9"/>
  <c r="BE948" i="9"/>
  <c r="BE957" i="9"/>
  <c r="BE963" i="9"/>
  <c r="BE965" i="9"/>
  <c r="BE968" i="9"/>
  <c r="BE977" i="9"/>
  <c r="BE978" i="9"/>
  <c r="BE984" i="9"/>
  <c r="BE986" i="9"/>
  <c r="BE990" i="9"/>
  <c r="BE996" i="9"/>
  <c r="BE998" i="9"/>
  <c r="BE1005" i="9"/>
  <c r="BE1011" i="9"/>
  <c r="BE1025" i="9"/>
  <c r="BE1030" i="9"/>
  <c r="BE1046" i="9"/>
  <c r="BE1055" i="9"/>
  <c r="BE1064" i="9"/>
  <c r="BE15" i="9"/>
  <c r="BE28" i="9"/>
  <c r="BE33" i="9"/>
  <c r="BE39" i="9"/>
  <c r="BE44" i="9"/>
  <c r="BE116" i="9"/>
  <c r="BE56" i="9"/>
  <c r="BE62" i="9"/>
  <c r="BE65" i="9"/>
  <c r="BE66" i="9"/>
  <c r="BE67" i="9"/>
  <c r="BE69" i="9"/>
  <c r="BE79" i="9"/>
  <c r="BE81" i="9"/>
  <c r="BE85" i="9"/>
  <c r="BE96" i="9"/>
  <c r="BE104" i="9"/>
  <c r="BE117" i="9"/>
  <c r="BE125" i="9"/>
  <c r="BE140" i="9"/>
  <c r="BE143" i="9"/>
  <c r="BE148" i="9"/>
  <c r="BE159" i="9"/>
  <c r="BE201" i="9"/>
  <c r="BE206" i="9"/>
  <c r="BE215" i="9"/>
  <c r="BE230" i="9"/>
  <c r="BE245" i="9"/>
  <c r="BE390" i="9"/>
  <c r="BE396" i="9"/>
  <c r="BE403" i="9"/>
  <c r="BE406" i="9"/>
  <c r="BE411" i="9"/>
  <c r="BE421" i="9"/>
  <c r="BE427" i="9"/>
  <c r="BE430" i="9"/>
  <c r="BE582" i="9"/>
  <c r="BE585" i="9"/>
  <c r="BE590" i="9"/>
  <c r="BE595" i="9"/>
  <c r="BE598" i="9"/>
  <c r="BE601" i="9"/>
  <c r="BE604" i="9"/>
  <c r="BE610" i="9"/>
  <c r="BE648" i="9"/>
  <c r="BE654" i="9"/>
  <c r="BE663" i="9"/>
  <c r="BE676" i="9"/>
  <c r="BE769" i="9"/>
  <c r="BE800" i="9"/>
  <c r="BE809" i="9"/>
  <c r="BE828" i="9"/>
  <c r="BE830" i="9"/>
  <c r="BE845" i="9"/>
  <c r="BE851" i="9"/>
  <c r="BE893" i="9"/>
  <c r="BE896" i="9"/>
  <c r="BE900" i="9"/>
  <c r="BE909" i="9"/>
  <c r="BE945" i="9"/>
  <c r="BE966" i="9"/>
  <c r="BE976" i="9"/>
  <c r="BE989" i="9"/>
  <c r="BE992" i="9"/>
  <c r="BE997" i="9"/>
  <c r="BE1013" i="9"/>
  <c r="BE1015" i="9"/>
  <c r="BE1018" i="9"/>
  <c r="BE1033" i="9"/>
  <c r="BE1043" i="9"/>
  <c r="BE1048" i="9"/>
  <c r="BE1065" i="9"/>
  <c r="BE29" i="9"/>
  <c r="BE52" i="9"/>
  <c r="BE57" i="9"/>
  <c r="BE112" i="9"/>
  <c r="BE118" i="9"/>
  <c r="BE121" i="9"/>
  <c r="BE128" i="9"/>
  <c r="BE144" i="9"/>
  <c r="BE147" i="9"/>
  <c r="BE151" i="9"/>
  <c r="BE187" i="9"/>
  <c r="BE214" i="9"/>
  <c r="BE218" i="9"/>
  <c r="BE220" i="9"/>
  <c r="BE224" i="9"/>
  <c r="BE384" i="9"/>
  <c r="BE391" i="9"/>
  <c r="BE414" i="9"/>
  <c r="BE425" i="9"/>
  <c r="BE432" i="9"/>
  <c r="BE441" i="9"/>
  <c r="BE576" i="9"/>
  <c r="BE579" i="9"/>
  <c r="BE583" i="9"/>
  <c r="BE588" i="9"/>
  <c r="BE593" i="9"/>
  <c r="BE606" i="9"/>
  <c r="BE622" i="9"/>
  <c r="BE635" i="9"/>
  <c r="BE712" i="9"/>
  <c r="BE714" i="9"/>
  <c r="BE717" i="9"/>
  <c r="BE723" i="9"/>
  <c r="BE725" i="9"/>
  <c r="BE728" i="9"/>
  <c r="BE731" i="9"/>
  <c r="BE732" i="9"/>
  <c r="BE735" i="9"/>
  <c r="BE736" i="9"/>
  <c r="BE737" i="9"/>
  <c r="BE742" i="9"/>
  <c r="BE743" i="9"/>
  <c r="BE748" i="9"/>
  <c r="BE751" i="9"/>
  <c r="BE754" i="9"/>
  <c r="BE757" i="9"/>
  <c r="BE759" i="9"/>
  <c r="BE762" i="9"/>
  <c r="BE765" i="9"/>
  <c r="BE767" i="9"/>
  <c r="BE37" i="9"/>
  <c r="BE135" i="9"/>
  <c r="BE686" i="9"/>
  <c r="BE781" i="9"/>
  <c r="BE793" i="9"/>
  <c r="BE811" i="9"/>
  <c r="BE832" i="9"/>
  <c r="BE848" i="9"/>
  <c r="BE876" i="9"/>
  <c r="BE959" i="9"/>
  <c r="BE960" i="9"/>
  <c r="BE18" i="9"/>
  <c r="BE42" i="9"/>
  <c r="BE110" i="9"/>
  <c r="BE210" i="9"/>
  <c r="BE233" i="9"/>
  <c r="BE242" i="9"/>
  <c r="BE394" i="9"/>
  <c r="BE420" i="9"/>
  <c r="BE436" i="9"/>
  <c r="BE600" i="9"/>
  <c r="BE627" i="9"/>
  <c r="BE653" i="9"/>
  <c r="BE668" i="9"/>
  <c r="BE677" i="9"/>
  <c r="BE776" i="9"/>
  <c r="BE784" i="9"/>
  <c r="BE803" i="9"/>
  <c r="BE816" i="9"/>
  <c r="BE829" i="9"/>
  <c r="BE838" i="9"/>
  <c r="BE844" i="9"/>
  <c r="BE857" i="9"/>
  <c r="BE871" i="9"/>
  <c r="BE882" i="9"/>
  <c r="BE890" i="9"/>
  <c r="BE916" i="9"/>
  <c r="BE929" i="9"/>
  <c r="BE637" i="9"/>
  <c r="BE642" i="9"/>
  <c r="BE655" i="9"/>
  <c r="BE675" i="9"/>
  <c r="BE773" i="9"/>
  <c r="BE785" i="9"/>
  <c r="BE791" i="9"/>
  <c r="BE799" i="9"/>
  <c r="BE806" i="9"/>
  <c r="BE810" i="9"/>
  <c r="BE823" i="9"/>
  <c r="BE831" i="9"/>
  <c r="BE834" i="9"/>
  <c r="BE843" i="9"/>
  <c r="BE847" i="9"/>
  <c r="BE850" i="9"/>
  <c r="BE859" i="9"/>
  <c r="BE862" i="9"/>
  <c r="BE864" i="9"/>
  <c r="BE866" i="9"/>
  <c r="BE877" i="9"/>
  <c r="BE885" i="9"/>
  <c r="BE902" i="9"/>
  <c r="BE911" i="9"/>
  <c r="BE921" i="9"/>
  <c r="BE928" i="9"/>
  <c r="BE932" i="9"/>
  <c r="BE937" i="9"/>
  <c r="BE939" i="9"/>
  <c r="BE942" i="9"/>
  <c r="BE944" i="9"/>
  <c r="BE950" i="9"/>
  <c r="BE956" i="9"/>
  <c r="BE971" i="9"/>
  <c r="BE973" i="9"/>
  <c r="BE974" i="9"/>
  <c r="BE985" i="9"/>
  <c r="BE1000" i="9"/>
  <c r="BE1002" i="9"/>
  <c r="BE1016" i="9"/>
  <c r="BE1021" i="9"/>
  <c r="BE1023" i="9"/>
  <c r="BE1026" i="9"/>
  <c r="BE1028" i="9"/>
  <c r="BE1050" i="9"/>
  <c r="BE1053" i="9"/>
  <c r="BE1062" i="9"/>
  <c r="BE24" i="9"/>
  <c r="BE40" i="9"/>
  <c r="BE54" i="9"/>
  <c r="BE120" i="9"/>
  <c r="BE70" i="9"/>
  <c r="BE71" i="9"/>
  <c r="BE87" i="9"/>
  <c r="BE94" i="9"/>
  <c r="BE105" i="9"/>
  <c r="BE132" i="9"/>
  <c r="BE200" i="9"/>
  <c r="BE208" i="9"/>
  <c r="BE222" i="9"/>
  <c r="BE225" i="9"/>
  <c r="BE227" i="9"/>
  <c r="BE231" i="9"/>
  <c r="BE235" i="9"/>
  <c r="BE237" i="9"/>
  <c r="BE246" i="9"/>
  <c r="BE248" i="9"/>
  <c r="BE382" i="9"/>
  <c r="BE385" i="9"/>
  <c r="BE393" i="9"/>
  <c r="BE407" i="9"/>
  <c r="BE410" i="9"/>
  <c r="BE424" i="9"/>
  <c r="BE442" i="9"/>
  <c r="BE577" i="9"/>
  <c r="BE586" i="9"/>
  <c r="BE589" i="9"/>
  <c r="BE592" i="9"/>
  <c r="BE596" i="9"/>
  <c r="BE599" i="9"/>
  <c r="BE603" i="9"/>
  <c r="BE619" i="9"/>
  <c r="BE623" i="9"/>
  <c r="BE626" i="9"/>
  <c r="BE630" i="9"/>
  <c r="BE666" i="9"/>
  <c r="BE669" i="9"/>
  <c r="BE671" i="9"/>
  <c r="BE682" i="9"/>
  <c r="BE792" i="9"/>
  <c r="BE801" i="9"/>
  <c r="BE815" i="9"/>
  <c r="BE841" i="9"/>
  <c r="BE849" i="9"/>
  <c r="BE853" i="9"/>
  <c r="BE856" i="9"/>
  <c r="BE858" i="9"/>
  <c r="BE861" i="9"/>
  <c r="BE863" i="9"/>
  <c r="BE875" i="9"/>
  <c r="BE880" i="9"/>
  <c r="BE886" i="9"/>
  <c r="BE888" i="9"/>
  <c r="BE895" i="9"/>
  <c r="BE899" i="9"/>
  <c r="BE907" i="9"/>
  <c r="BE910" i="9"/>
  <c r="BE924" i="9"/>
  <c r="BE931" i="9"/>
  <c r="BE934" i="9"/>
  <c r="BE936" i="9"/>
  <c r="BE938" i="9"/>
  <c r="BE941" i="9"/>
  <c r="BE979" i="9"/>
  <c r="BE1020" i="9"/>
  <c r="BE1044" i="9"/>
  <c r="BE1049" i="9"/>
  <c r="BE1057" i="9"/>
  <c r="BE1061" i="9"/>
  <c r="BE1069" i="9"/>
  <c r="BE43" i="9"/>
  <c r="BE50" i="9"/>
  <c r="BE51" i="9"/>
  <c r="BE55" i="9"/>
  <c r="BE64" i="9"/>
  <c r="BE88" i="9"/>
  <c r="BE93" i="9"/>
  <c r="BE95" i="9"/>
  <c r="BE97" i="9"/>
  <c r="BE106" i="9"/>
  <c r="BE119" i="9"/>
  <c r="BE122" i="9"/>
  <c r="BE130" i="9"/>
  <c r="BE142" i="9"/>
  <c r="BE149" i="9"/>
  <c r="BE152" i="9"/>
  <c r="BE189" i="9"/>
  <c r="BE203" i="9"/>
  <c r="BE217" i="9"/>
  <c r="BE234" i="9"/>
  <c r="BE240" i="9"/>
  <c r="BE386" i="9"/>
  <c r="BE389" i="9"/>
  <c r="BE418" i="9"/>
  <c r="BE426" i="9"/>
  <c r="BE428" i="9"/>
  <c r="BE435" i="9"/>
  <c r="BE443" i="9"/>
  <c r="BE584" i="9"/>
  <c r="BE597" i="9"/>
  <c r="BE609" i="9"/>
  <c r="BE636" i="9"/>
  <c r="BE639" i="9"/>
  <c r="BE644" i="9"/>
  <c r="BE647" i="9"/>
  <c r="BE667" i="9"/>
  <c r="BE670" i="9"/>
  <c r="BE672" i="9"/>
  <c r="BE678" i="9"/>
  <c r="BE680" i="9"/>
  <c r="BE683" i="9"/>
  <c r="BE685" i="9"/>
  <c r="BE788" i="9"/>
  <c r="BE808" i="9"/>
  <c r="BE814" i="9"/>
  <c r="BE873" i="9"/>
  <c r="BE905" i="9"/>
  <c r="BE914" i="9"/>
  <c r="BE923" i="9"/>
  <c r="BE926" i="9"/>
  <c r="BE930" i="9"/>
  <c r="BE943" i="9"/>
  <c r="BE947" i="9"/>
  <c r="BE949" i="9"/>
  <c r="BE955" i="9"/>
  <c r="BE967" i="9"/>
  <c r="BE983" i="9"/>
  <c r="BE1006" i="9"/>
  <c r="BE1010" i="9"/>
  <c r="BE1012" i="9"/>
  <c r="BE1027" i="9"/>
  <c r="BE1029" i="9"/>
  <c r="BE1031" i="9"/>
  <c r="BE1035" i="9"/>
  <c r="BE1042" i="9"/>
  <c r="BE1047" i="9"/>
  <c r="BE1059" i="9"/>
  <c r="BE710" i="9"/>
  <c r="BE715" i="9"/>
  <c r="BE716" i="9"/>
  <c r="BE722" i="9"/>
  <c r="BE724" i="9"/>
  <c r="BE726" i="9"/>
  <c r="BE730" i="9"/>
  <c r="BE733" i="9"/>
  <c r="BE741" i="9"/>
  <c r="BE746" i="9"/>
  <c r="BE749" i="9"/>
  <c r="BE752" i="9"/>
  <c r="BE753" i="9"/>
  <c r="BE756" i="9"/>
  <c r="BE758" i="9"/>
  <c r="BE761" i="9"/>
  <c r="BE764" i="9"/>
  <c r="BE768" i="9"/>
  <c r="BE46" i="9"/>
  <c r="BE60" i="9"/>
  <c r="BE123" i="9"/>
  <c r="BE194" i="9"/>
  <c r="BE660" i="9"/>
  <c r="BE775" i="9"/>
  <c r="BE795" i="9"/>
  <c r="BE818" i="9"/>
  <c r="BE836" i="9"/>
  <c r="BE846" i="9"/>
  <c r="BE30" i="9"/>
  <c r="BE133" i="9"/>
  <c r="BE156" i="9"/>
  <c r="BE388" i="9"/>
  <c r="BE399" i="9"/>
  <c r="BE423" i="9"/>
  <c r="BE594" i="9"/>
  <c r="BE662" i="9"/>
  <c r="BE674" i="9"/>
  <c r="BE770" i="9"/>
  <c r="BE787" i="9"/>
  <c r="BE797" i="9"/>
  <c r="BE807" i="9"/>
  <c r="BE812" i="9"/>
  <c r="BE827" i="9"/>
  <c r="BE835" i="9"/>
  <c r="BE842" i="9"/>
  <c r="BE892" i="9"/>
  <c r="D5" i="9"/>
  <c r="W5120" i="9" l="1"/>
  <c r="W5127" i="9"/>
  <c r="W5124" i="9"/>
  <c r="AY20" i="9" a="1"/>
  <c r="AY64" i="9" a="1"/>
  <c r="AY31" i="9" a="1"/>
  <c r="AY27" i="9" a="1"/>
  <c r="AY68" i="9" a="1"/>
  <c r="AY35" i="9" a="1"/>
  <c r="AY65" i="9" a="1"/>
  <c r="AY32" i="9" a="1"/>
  <c r="AY17" i="9" a="1"/>
  <c r="AY71" i="9" a="1"/>
  <c r="AY15" i="9" a="1"/>
  <c r="AY69" i="9" a="1"/>
  <c r="AY48" i="9" a="1"/>
  <c r="AY26" i="9" a="1"/>
  <c r="AY45" i="9" a="1"/>
  <c r="AY23" i="9" a="1"/>
  <c r="AY70" i="9" a="1"/>
  <c r="AY14" i="9" a="1"/>
  <c r="AY66" i="9" a="1"/>
  <c r="AY39" i="9" a="1"/>
  <c r="AY52" i="9" a="1"/>
  <c r="AY29" i="9" a="1"/>
  <c r="AY41" i="9" a="1"/>
  <c r="AY67" i="9" a="1"/>
  <c r="U4489" i="9"/>
  <c r="X4520" i="9"/>
  <c r="X13" i="9" a="1"/>
  <c r="AK3" i="8" a="1"/>
  <c r="K23" i="1" a="1"/>
  <c r="K25" i="1" a="1"/>
  <c r="K36" i="1" a="1"/>
  <c r="K21" i="1" a="1"/>
  <c r="K16" i="1" a="1"/>
  <c r="K37" i="1" a="1"/>
  <c r="K34" i="1" a="1"/>
  <c r="K26" i="1" a="1"/>
  <c r="K24" i="1" a="1"/>
  <c r="K32" i="1" a="1"/>
  <c r="K30" i="1" a="1"/>
  <c r="K35" i="1" a="1"/>
  <c r="K17" i="1" a="1"/>
  <c r="K20" i="1" a="1"/>
  <c r="K27" i="1" a="1"/>
  <c r="F37" i="1"/>
  <c r="F19" i="1"/>
  <c r="G22" i="1"/>
  <c r="G31" i="1"/>
  <c r="G36" i="1"/>
  <c r="G23" i="1"/>
  <c r="G26" i="1"/>
  <c r="G21" i="1"/>
  <c r="G35" i="1"/>
  <c r="G30" i="1"/>
  <c r="G25" i="1"/>
  <c r="G20" i="1"/>
  <c r="G34" i="1"/>
  <c r="G29" i="1"/>
  <c r="G24" i="1"/>
  <c r="G38" i="1"/>
  <c r="G19" i="1"/>
  <c r="H19" i="1" s="1"/>
  <c r="G33" i="1"/>
  <c r="G28" i="1"/>
  <c r="G37" i="1"/>
  <c r="G18" i="1"/>
  <c r="G32" i="1"/>
  <c r="G27" i="1"/>
  <c r="G17" i="1"/>
  <c r="K28" i="1" a="1"/>
  <c r="K29" i="1" a="1"/>
  <c r="F30" i="1"/>
  <c r="F18" i="1"/>
  <c r="F20" i="1"/>
  <c r="F23" i="1"/>
  <c r="F27" i="1"/>
  <c r="F28" i="1"/>
  <c r="F31" i="1"/>
  <c r="F34" i="1"/>
  <c r="F38" i="1"/>
  <c r="F16" i="1"/>
  <c r="F17" i="1"/>
  <c r="F21" i="1"/>
  <c r="F33" i="1"/>
  <c r="F29" i="1"/>
  <c r="F36" i="1"/>
  <c r="F22" i="1"/>
  <c r="F26" i="1"/>
  <c r="F32" i="1"/>
  <c r="K33" i="1" a="1"/>
  <c r="F25" i="1"/>
  <c r="K31" i="1" a="1"/>
  <c r="F24" i="1"/>
  <c r="K18" i="1" a="1"/>
  <c r="F35" i="1"/>
  <c r="K22" i="1" a="1"/>
  <c r="K19" i="1" a="1"/>
  <c r="K38" i="1" a="1"/>
  <c r="D7" i="6" a="1"/>
  <c r="AI3" i="8" a="1"/>
  <c r="S7" i="9"/>
  <c r="AN3" i="8" a="1"/>
  <c r="AJ3" i="8" a="1"/>
  <c r="E17" i="1" a="1"/>
  <c r="E21" i="1" a="1"/>
  <c r="H37" i="1" l="1"/>
  <c r="U4714" i="9"/>
  <c r="W4714" i="9" s="1"/>
  <c r="U4796" i="9"/>
  <c r="W4796" i="9" s="1"/>
  <c r="U4995" i="9"/>
  <c r="W4995" i="9" s="1"/>
  <c r="BG518" i="9" s="1"/>
  <c r="U5065" i="9"/>
  <c r="W5065" i="9" s="1"/>
  <c r="BG588" i="9" s="1"/>
  <c r="U5319" i="9"/>
  <c r="W5319" i="9" s="1"/>
  <c r="BG842" i="9" s="1"/>
  <c r="U5322" i="9"/>
  <c r="W5322" i="9" s="1"/>
  <c r="BG845" i="9" s="1"/>
  <c r="U5386" i="9"/>
  <c r="W5386" i="9" s="1"/>
  <c r="U5443" i="9"/>
  <c r="W5443" i="9" s="1"/>
  <c r="BG966" i="9" s="1"/>
  <c r="U5452" i="9"/>
  <c r="W5452" i="9" s="1"/>
  <c r="BG975" i="9" s="1"/>
  <c r="U5517" i="9"/>
  <c r="W5517" i="9" s="1"/>
  <c r="BG1040" i="9" s="1"/>
  <c r="U4716" i="9"/>
  <c r="W4716" i="9" s="1"/>
  <c r="U4996" i="9"/>
  <c r="W4996" i="9" s="1"/>
  <c r="BG519" i="9" s="1"/>
  <c r="U5061" i="9"/>
  <c r="W5061" i="9" s="1"/>
  <c r="BG584" i="9" s="1"/>
  <c r="U5317" i="9"/>
  <c r="W5317" i="9" s="1"/>
  <c r="U5318" i="9"/>
  <c r="W5318" i="9" s="1"/>
  <c r="BG841" i="9" s="1"/>
  <c r="U5323" i="9"/>
  <c r="W5323" i="9" s="1"/>
  <c r="U5376" i="9"/>
  <c r="W5376" i="9" s="1"/>
  <c r="BG899" i="9" s="1"/>
  <c r="U5380" i="9"/>
  <c r="W5380" i="9" s="1"/>
  <c r="BG903" i="9" s="1"/>
  <c r="U5441" i="9"/>
  <c r="W5441" i="9" s="1"/>
  <c r="BG964" i="9" s="1"/>
  <c r="U5446" i="9"/>
  <c r="W5446" i="9" s="1"/>
  <c r="BG969" i="9" s="1"/>
  <c r="U4507" i="9"/>
  <c r="U4523" i="9"/>
  <c r="W4523" i="9" s="1"/>
  <c r="U4528" i="9"/>
  <c r="W4528" i="9" s="1"/>
  <c r="U4529" i="9"/>
  <c r="W4529" i="9" s="1"/>
  <c r="U4530" i="9"/>
  <c r="W4530" i="9" s="1"/>
  <c r="U4587" i="9"/>
  <c r="W4587" i="9" s="1"/>
  <c r="U4615" i="9"/>
  <c r="W4615" i="9" s="1"/>
  <c r="U4688" i="9"/>
  <c r="W4688" i="9" s="1"/>
  <c r="U4885" i="9"/>
  <c r="W4885" i="9" s="1"/>
  <c r="BG408" i="9" s="1"/>
  <c r="U4893" i="9"/>
  <c r="W4893" i="9" s="1"/>
  <c r="BG416" i="9" s="1"/>
  <c r="U4894" i="9"/>
  <c r="W4894" i="9" s="1"/>
  <c r="BG417" i="9" s="1"/>
  <c r="U4895" i="9"/>
  <c r="W4895" i="9" s="1"/>
  <c r="BG418" i="9" s="1"/>
  <c r="U4899" i="9"/>
  <c r="W4899" i="9" s="1"/>
  <c r="U4937" i="9"/>
  <c r="W4937" i="9" s="1"/>
  <c r="U4941" i="9"/>
  <c r="W4941" i="9" s="1"/>
  <c r="BG464" i="9" s="1"/>
  <c r="U4943" i="9"/>
  <c r="W4943" i="9" s="1"/>
  <c r="BG466" i="9" s="1"/>
  <c r="U4944" i="9"/>
  <c r="W4944" i="9" s="1"/>
  <c r="U4948" i="9"/>
  <c r="W4948" i="9" s="1"/>
  <c r="U5000" i="9"/>
  <c r="W5000" i="9" s="1"/>
  <c r="BG523" i="9" s="1"/>
  <c r="U5055" i="9"/>
  <c r="W5055" i="9" s="1"/>
  <c r="U5128" i="9"/>
  <c r="W5128" i="9" s="1"/>
  <c r="BG651" i="9" s="1"/>
  <c r="U5182" i="9"/>
  <c r="W5182" i="9" s="1"/>
  <c r="U5186" i="9"/>
  <c r="W5186" i="9" s="1"/>
  <c r="BG709" i="9" s="1"/>
  <c r="U5189" i="9"/>
  <c r="W5189" i="9" s="1"/>
  <c r="BG712" i="9" s="1"/>
  <c r="U5191" i="9"/>
  <c r="W5191" i="9" s="1"/>
  <c r="BG714" i="9" s="1"/>
  <c r="U5193" i="9"/>
  <c r="W5193" i="9" s="1"/>
  <c r="BG716" i="9" s="1"/>
  <c r="U5196" i="9"/>
  <c r="W5196" i="9" s="1"/>
  <c r="BG719" i="9" s="1"/>
  <c r="U5246" i="9"/>
  <c r="W5246" i="9" s="1"/>
  <c r="BG769" i="9" s="1"/>
  <c r="U5251" i="9"/>
  <c r="W5251" i="9" s="1"/>
  <c r="BG774" i="9" s="1"/>
  <c r="U5254" i="9"/>
  <c r="W5254" i="9" s="1"/>
  <c r="BG777" i="9" s="1"/>
  <c r="U5260" i="9"/>
  <c r="W5260" i="9" s="1"/>
  <c r="BG783" i="9" s="1"/>
  <c r="U4718" i="9"/>
  <c r="W4718" i="9" s="1"/>
  <c r="U5004" i="9"/>
  <c r="W5004" i="9" s="1"/>
  <c r="BG527" i="9" s="1"/>
  <c r="U5060" i="9"/>
  <c r="W5060" i="9" s="1"/>
  <c r="BG583" i="9" s="1"/>
  <c r="U5119" i="9"/>
  <c r="W5119" i="9" s="1"/>
  <c r="BG642" i="9" s="1"/>
  <c r="U5309" i="9"/>
  <c r="W5309" i="9" s="1"/>
  <c r="BG832" i="9" s="1"/>
  <c r="U5312" i="9"/>
  <c r="W5312" i="9" s="1"/>
  <c r="U5324" i="9"/>
  <c r="W5324" i="9" s="1"/>
  <c r="U5375" i="9"/>
  <c r="W5375" i="9" s="1"/>
  <c r="BG898" i="9" s="1"/>
  <c r="U5384" i="9"/>
  <c r="W5384" i="9" s="1"/>
  <c r="BG907" i="9" s="1"/>
  <c r="U5445" i="9"/>
  <c r="W5445" i="9" s="1"/>
  <c r="BG968" i="9" s="1"/>
  <c r="U5516" i="9"/>
  <c r="W5516" i="9" s="1"/>
  <c r="BG1039" i="9" s="1"/>
  <c r="U5523" i="9"/>
  <c r="W5523" i="9" s="1"/>
  <c r="U5528" i="9"/>
  <c r="W5528" i="9" s="1"/>
  <c r="BG1051" i="9" s="1"/>
  <c r="U5529" i="9"/>
  <c r="W5529" i="9" s="1"/>
  <c r="U5538" i="9"/>
  <c r="W5538" i="9" s="1"/>
  <c r="BG1061" i="9" s="1"/>
  <c r="U5541" i="9"/>
  <c r="W5541" i="9" s="1"/>
  <c r="BG1064" i="9" s="1"/>
  <c r="U5542" i="9"/>
  <c r="W5542" i="9" s="1"/>
  <c r="U5546" i="9"/>
  <c r="W5546" i="9" s="1"/>
  <c r="BG117" i="9"/>
  <c r="BG91" i="9"/>
  <c r="BG349" i="9"/>
  <c r="BG307" i="9"/>
  <c r="BG305" i="9"/>
  <c r="BG298" i="9"/>
  <c r="BG291" i="9"/>
  <c r="BG250" i="9"/>
  <c r="BG92" i="9"/>
  <c r="BG68" i="9"/>
  <c r="BG179" i="9"/>
  <c r="BG823" i="9"/>
  <c r="BG620" i="9"/>
  <c r="BG442" i="9"/>
  <c r="BG231" i="9"/>
  <c r="BG202" i="9"/>
  <c r="BG105" i="9"/>
  <c r="BG79" i="9"/>
  <c r="BG36" i="9"/>
  <c r="BG897" i="9"/>
  <c r="BG852" i="9"/>
  <c r="BG679" i="9"/>
  <c r="BG215" i="9"/>
  <c r="BG31" i="9"/>
  <c r="BG15" i="9"/>
  <c r="BG759" i="9"/>
  <c r="BG750" i="9"/>
  <c r="BG743" i="9"/>
  <c r="BG737" i="9"/>
  <c r="BG728" i="9"/>
  <c r="BG727" i="9"/>
  <c r="BG718" i="9"/>
  <c r="BG713" i="9"/>
  <c r="BG1060" i="9"/>
  <c r="BG1053" i="9"/>
  <c r="BG1025" i="9"/>
  <c r="BG1008" i="9"/>
  <c r="BG1003" i="9"/>
  <c r="BG1001" i="9"/>
  <c r="BG998" i="9"/>
  <c r="BG986" i="9"/>
  <c r="BG977" i="9"/>
  <c r="BG974" i="9"/>
  <c r="BG961" i="9"/>
  <c r="BG938" i="9"/>
  <c r="BG908" i="9"/>
  <c r="BG901" i="9"/>
  <c r="BG869" i="9"/>
  <c r="BG860" i="9"/>
  <c r="BG792" i="9"/>
  <c r="BG784" i="9"/>
  <c r="BG770" i="9"/>
  <c r="BG624" i="9"/>
  <c r="BG606" i="9"/>
  <c r="BG605" i="9"/>
  <c r="BG580" i="9"/>
  <c r="BG441" i="9"/>
  <c r="BG437" i="9"/>
  <c r="BG430" i="9"/>
  <c r="BG422" i="9"/>
  <c r="BG394" i="9"/>
  <c r="BG245" i="9"/>
  <c r="BG227" i="9"/>
  <c r="BG206" i="9"/>
  <c r="BG200" i="9"/>
  <c r="BG197" i="9"/>
  <c r="BG167" i="9"/>
  <c r="BG163" i="9"/>
  <c r="BG123" i="9"/>
  <c r="BG108" i="9"/>
  <c r="BG102" i="9"/>
  <c r="BG99" i="9"/>
  <c r="BG90" i="9"/>
  <c r="BG82" i="9"/>
  <c r="BG74" i="9"/>
  <c r="BG140" i="9"/>
  <c r="BG55" i="9"/>
  <c r="BG137" i="9"/>
  <c r="BG43" i="9"/>
  <c r="BG1046" i="9"/>
  <c r="BG1031" i="9"/>
  <c r="BG1018" i="9"/>
  <c r="BG1009" i="9"/>
  <c r="BG981" i="9"/>
  <c r="BG976" i="9"/>
  <c r="BG965" i="9"/>
  <c r="BG962" i="9"/>
  <c r="BG927" i="9"/>
  <c r="BG902" i="9"/>
  <c r="BG865" i="9"/>
  <c r="BG812" i="9"/>
  <c r="BG798" i="9"/>
  <c r="BG795" i="9"/>
  <c r="BG788" i="9"/>
  <c r="BG772" i="9"/>
  <c r="BG768" i="9"/>
  <c r="BG676" i="9"/>
  <c r="BG664" i="9"/>
  <c r="BG660" i="9"/>
  <c r="BG633" i="9"/>
  <c r="BG438" i="9"/>
  <c r="BG242" i="9"/>
  <c r="BG161" i="9"/>
  <c r="BG159" i="9"/>
  <c r="BG142" i="9"/>
  <c r="BG138" i="9"/>
  <c r="BG136" i="9"/>
  <c r="BG89" i="9"/>
  <c r="BG69" i="9"/>
  <c r="BG67" i="9"/>
  <c r="BG66" i="9"/>
  <c r="BG65" i="9"/>
  <c r="BG54" i="9"/>
  <c r="BG24" i="9"/>
  <c r="BG1048" i="9"/>
  <c r="BG1045" i="9"/>
  <c r="BG1041" i="9"/>
  <c r="BG1037" i="9"/>
  <c r="BG987" i="9"/>
  <c r="BG979" i="9"/>
  <c r="BG963" i="9"/>
  <c r="BG926" i="9"/>
  <c r="BG923" i="9"/>
  <c r="BG896" i="9"/>
  <c r="BG874" i="9"/>
  <c r="BG835" i="9"/>
  <c r="BG776" i="9"/>
  <c r="BG687" i="9"/>
  <c r="BG677" i="9"/>
  <c r="BG673" i="9"/>
  <c r="BG658" i="9"/>
  <c r="BG652" i="9"/>
  <c r="BG649" i="9"/>
  <c r="BG644" i="9"/>
  <c r="BG924" i="9"/>
  <c r="BG909" i="9"/>
  <c r="BG864" i="9"/>
  <c r="BG846" i="9"/>
  <c r="BG840" i="9"/>
  <c r="BG825" i="9"/>
  <c r="BG805" i="9"/>
  <c r="BG638" i="9"/>
  <c r="BG616" i="9"/>
  <c r="BG589" i="9"/>
  <c r="BG141" i="9"/>
  <c r="BG103" i="9"/>
  <c r="BG84" i="9"/>
  <c r="BG72" i="9"/>
  <c r="BG30" i="9"/>
  <c r="BG960" i="9"/>
  <c r="BG958" i="9"/>
  <c r="BG957" i="9"/>
  <c r="BG919" i="9"/>
  <c r="BG911" i="9"/>
  <c r="BG881" i="9"/>
  <c r="BG855" i="9"/>
  <c r="BG647" i="9"/>
  <c r="BG223" i="9"/>
  <c r="BG209" i="9"/>
  <c r="BG186" i="9"/>
  <c r="BG120" i="9"/>
  <c r="BG45" i="9"/>
  <c r="BG14" i="9"/>
  <c r="BG760" i="9"/>
  <c r="BG749" i="9"/>
  <c r="BG738" i="9"/>
  <c r="BG733" i="9"/>
  <c r="BG729" i="9"/>
  <c r="BG710" i="9"/>
  <c r="BG614" i="9"/>
  <c r="BG421" i="9"/>
  <c r="BG403" i="9"/>
  <c r="BG399" i="9"/>
  <c r="BG388" i="9"/>
  <c r="BG380" i="9"/>
  <c r="BG238" i="9"/>
  <c r="BG229" i="9"/>
  <c r="BG205" i="9"/>
  <c r="BG199" i="9"/>
  <c r="BG164" i="9"/>
  <c r="BG156" i="9"/>
  <c r="BG101" i="9"/>
  <c r="BG88" i="9"/>
  <c r="BG80" i="9"/>
  <c r="BG371" i="9"/>
  <c r="BG322" i="9"/>
  <c r="BG315" i="9"/>
  <c r="BG288" i="9"/>
  <c r="BG279" i="9"/>
  <c r="BG269" i="9"/>
  <c r="BG16" i="9"/>
  <c r="BG181" i="9"/>
  <c r="BG177" i="9"/>
  <c r="BG169" i="9"/>
  <c r="BG52" i="9"/>
  <c r="BG29" i="9"/>
  <c r="BG1069" i="9"/>
  <c r="BG1063" i="9"/>
  <c r="BG1050" i="9"/>
  <c r="BG1019" i="9"/>
  <c r="BG1004" i="9"/>
  <c r="BG972" i="9"/>
  <c r="BG949" i="9"/>
  <c r="BG942" i="9"/>
  <c r="BG922" i="9"/>
  <c r="BG876" i="9"/>
  <c r="BG871" i="9"/>
  <c r="BG836" i="9"/>
  <c r="BG833" i="9"/>
  <c r="BG817" i="9"/>
  <c r="BG794" i="9"/>
  <c r="BG791" i="9"/>
  <c r="BG773" i="9"/>
  <c r="BG669" i="9"/>
  <c r="BG641" i="9"/>
  <c r="BG639" i="9"/>
  <c r="BG634" i="9"/>
  <c r="BG622" i="9"/>
  <c r="BG612" i="9"/>
  <c r="BG578" i="9"/>
  <c r="BG234" i="9"/>
  <c r="BG218" i="9"/>
  <c r="BG211" i="9"/>
  <c r="BG187" i="9"/>
  <c r="BG162" i="9"/>
  <c r="BG132" i="9"/>
  <c r="BG128" i="9"/>
  <c r="BG106" i="9"/>
  <c r="BG63" i="9"/>
  <c r="BG57" i="9"/>
  <c r="BG44" i="9"/>
  <c r="BG111" i="9"/>
  <c r="BG39" i="9"/>
  <c r="BG58" i="9"/>
  <c r="BG33" i="9"/>
  <c r="BG28" i="9"/>
  <c r="BG1065" i="9"/>
  <c r="BG1062" i="9"/>
  <c r="BG1052" i="9"/>
  <c r="BG1047" i="9"/>
  <c r="BG1044" i="9"/>
  <c r="BG1020" i="9"/>
  <c r="BG1017" i="9"/>
  <c r="BG1002" i="9"/>
  <c r="BG994" i="9"/>
  <c r="BG992" i="9"/>
  <c r="BG955" i="9"/>
  <c r="BG910" i="9"/>
  <c r="BG880" i="9"/>
  <c r="BG872" i="9"/>
  <c r="BG859" i="9"/>
  <c r="BG813" i="9"/>
  <c r="BG793" i="9"/>
  <c r="BG683" i="9"/>
  <c r="BG670" i="9"/>
  <c r="BG656" i="9"/>
  <c r="BG610" i="9"/>
  <c r="BG585" i="9"/>
  <c r="BG577" i="9"/>
  <c r="BG439" i="9"/>
  <c r="BG423" i="9"/>
  <c r="BG392" i="9"/>
  <c r="BG237" i="9"/>
  <c r="BG230" i="9"/>
  <c r="BG219" i="9"/>
  <c r="BG214" i="9"/>
  <c r="BG201" i="9"/>
  <c r="BG192" i="9"/>
  <c r="BG189" i="9"/>
  <c r="BG158" i="9"/>
  <c r="BG146" i="9"/>
  <c r="BG139" i="9"/>
  <c r="BG109" i="9"/>
  <c r="BG78" i="9"/>
  <c r="BG76" i="9"/>
  <c r="BG64" i="9"/>
  <c r="BG62" i="9"/>
  <c r="BG61" i="9"/>
  <c r="BG34" i="9"/>
  <c r="BG27" i="9"/>
  <c r="BG13" i="9"/>
  <c r="BG59" i="9"/>
  <c r="BG25" i="9"/>
  <c r="BG20" i="9"/>
  <c r="BG935" i="9"/>
  <c r="BG877" i="9"/>
  <c r="BG829" i="9"/>
  <c r="BG804" i="9"/>
  <c r="BG787" i="9"/>
  <c r="BG775" i="9"/>
  <c r="BG672" i="9"/>
  <c r="BG667" i="9"/>
  <c r="BG619" i="9"/>
  <c r="BG615" i="9"/>
  <c r="BG601" i="9"/>
  <c r="BG586" i="9"/>
  <c r="BG581" i="9"/>
  <c r="BG576" i="9"/>
  <c r="BG433" i="9"/>
  <c r="BG429" i="9"/>
  <c r="BG409" i="9"/>
  <c r="BG387" i="9"/>
  <c r="BG246" i="9"/>
  <c r="BG226" i="9"/>
  <c r="BG222" i="9"/>
  <c r="BG198" i="9"/>
  <c r="BG165" i="9"/>
  <c r="BG153" i="9"/>
  <c r="BG150" i="9"/>
  <c r="BG144" i="9"/>
  <c r="BG127" i="9"/>
  <c r="BG125" i="9"/>
  <c r="BG110" i="9"/>
  <c r="BG83" i="9"/>
  <c r="BG77" i="9"/>
  <c r="BG53" i="9"/>
  <c r="BG51" i="9"/>
  <c r="BG32" i="9"/>
  <c r="BG19" i="9"/>
  <c r="BG1049" i="9"/>
  <c r="BG997" i="9"/>
  <c r="BG984" i="9"/>
  <c r="BG970" i="9"/>
  <c r="BG967" i="9"/>
  <c r="BG945" i="9"/>
  <c r="BG934" i="9"/>
  <c r="BG866" i="9"/>
  <c r="BG848" i="9"/>
  <c r="BG847" i="9"/>
  <c r="BG844" i="9"/>
  <c r="BG834" i="9"/>
  <c r="BG810" i="9"/>
  <c r="BG785" i="9"/>
  <c r="BG771" i="9"/>
  <c r="BG666" i="9"/>
  <c r="BG662" i="9"/>
  <c r="BG607" i="9"/>
  <c r="BG599" i="9"/>
  <c r="BG595" i="9"/>
  <c r="BG414" i="9"/>
  <c r="BG411" i="9"/>
  <c r="BG381" i="9"/>
  <c r="BG241" i="9"/>
  <c r="BG225" i="9"/>
  <c r="BG207" i="9"/>
  <c r="BG194" i="9"/>
  <c r="BG188" i="9"/>
  <c r="BG154" i="9"/>
  <c r="BG107" i="9"/>
  <c r="BG94" i="9"/>
  <c r="BG87" i="9"/>
  <c r="BG75" i="9"/>
  <c r="BG1042" i="9"/>
  <c r="BG1028" i="9"/>
  <c r="BG1022" i="9"/>
  <c r="BG1012" i="9"/>
  <c r="BG1006" i="9"/>
  <c r="BG995" i="9"/>
  <c r="BG973" i="9"/>
  <c r="BG948" i="9"/>
  <c r="BG943" i="9"/>
  <c r="BG913" i="9"/>
  <c r="BG900" i="9"/>
  <c r="BG888" i="9"/>
  <c r="BG410" i="9"/>
  <c r="BG236" i="9"/>
  <c r="BG208" i="9"/>
  <c r="BG95" i="9"/>
  <c r="BG42" i="9"/>
  <c r="BG18" i="9"/>
  <c r="BG933" i="9"/>
  <c r="BG843" i="9"/>
  <c r="BG675" i="9"/>
  <c r="BG213" i="9"/>
  <c r="BG130" i="9"/>
  <c r="BG60" i="9"/>
  <c r="BG49" i="9"/>
  <c r="BG46" i="9"/>
  <c r="BG37" i="9"/>
  <c r="BG757" i="9"/>
  <c r="BG751" i="9"/>
  <c r="BG748" i="9"/>
  <c r="BG723" i="9"/>
  <c r="BG722" i="9"/>
  <c r="BG708" i="9"/>
  <c r="BG707" i="9"/>
  <c r="BG706" i="9"/>
  <c r="BG705" i="9"/>
  <c r="BG704" i="9"/>
  <c r="BG703" i="9"/>
  <c r="BG700" i="9"/>
  <c r="BG697" i="9"/>
  <c r="BG695" i="9"/>
  <c r="BG693" i="9"/>
  <c r="BG691" i="9"/>
  <c r="BG674" i="9"/>
  <c r="BG653" i="9"/>
  <c r="BG600" i="9"/>
  <c r="BG596" i="9"/>
  <c r="BG436" i="9"/>
  <c r="BG431" i="9"/>
  <c r="BG419" i="9"/>
  <c r="BG395" i="9"/>
  <c r="BG240" i="9"/>
  <c r="BG228" i="9"/>
  <c r="BG204" i="9"/>
  <c r="BG152" i="9"/>
  <c r="BG147" i="9"/>
  <c r="BG112" i="9"/>
  <c r="BG104" i="9"/>
  <c r="BG100" i="9"/>
  <c r="BG97" i="9"/>
  <c r="BG38" i="9"/>
  <c r="BG22" i="9"/>
  <c r="BG573" i="9"/>
  <c r="BG570" i="9"/>
  <c r="BG566" i="9"/>
  <c r="BG564" i="9"/>
  <c r="BG560" i="9"/>
  <c r="BG559" i="9"/>
  <c r="BG558" i="9"/>
  <c r="BG556" i="9"/>
  <c r="BG554" i="9"/>
  <c r="BG550" i="9"/>
  <c r="BG549" i="9"/>
  <c r="BG547" i="9"/>
  <c r="BG545" i="9"/>
  <c r="BG543" i="9"/>
  <c r="BG542" i="9"/>
  <c r="BG541" i="9"/>
  <c r="BG539" i="9"/>
  <c r="BG538" i="9"/>
  <c r="BG534" i="9"/>
  <c r="BG528" i="9"/>
  <c r="BG526" i="9"/>
  <c r="BG522" i="9"/>
  <c r="BG520" i="9"/>
  <c r="BG517" i="9"/>
  <c r="BG516" i="9"/>
  <c r="BG515" i="9"/>
  <c r="BG513" i="9"/>
  <c r="BG512" i="9"/>
  <c r="BG507" i="9"/>
  <c r="BG502" i="9"/>
  <c r="BG499" i="9"/>
  <c r="BG498" i="9"/>
  <c r="BG497" i="9"/>
  <c r="BG496" i="9"/>
  <c r="BG495" i="9"/>
  <c r="BG494" i="9"/>
  <c r="BG493" i="9"/>
  <c r="BG491" i="9"/>
  <c r="BG490" i="9"/>
  <c r="BG487" i="9"/>
  <c r="BG486" i="9"/>
  <c r="BG485" i="9"/>
  <c r="BG484" i="9"/>
  <c r="BG482" i="9"/>
  <c r="BG481" i="9"/>
  <c r="BG477" i="9"/>
  <c r="BG475" i="9"/>
  <c r="BG474" i="9"/>
  <c r="BG471" i="9"/>
  <c r="BG470" i="9"/>
  <c r="BG469" i="9"/>
  <c r="BG467" i="9"/>
  <c r="BG465" i="9"/>
  <c r="BG463" i="9"/>
  <c r="BG461" i="9"/>
  <c r="BG460" i="9"/>
  <c r="BG459" i="9"/>
  <c r="BG454" i="9"/>
  <c r="BG453" i="9"/>
  <c r="BG452" i="9"/>
  <c r="BG451" i="9"/>
  <c r="BG447" i="9"/>
  <c r="BG427" i="9"/>
  <c r="BG407" i="9"/>
  <c r="BG397" i="9"/>
  <c r="BG243" i="9"/>
  <c r="BG239" i="9"/>
  <c r="BG216" i="9"/>
  <c r="BG210" i="9"/>
  <c r="BG203" i="9"/>
  <c r="BG195" i="9"/>
  <c r="BG190" i="9"/>
  <c r="BG145" i="9"/>
  <c r="BG143" i="9"/>
  <c r="BG134" i="9"/>
  <c r="BG48" i="9"/>
  <c r="BG366" i="9"/>
  <c r="BG337" i="9"/>
  <c r="BG370" i="9"/>
  <c r="BG339" i="9"/>
  <c r="BG333" i="9"/>
  <c r="BG319" i="9"/>
  <c r="BG317" i="9"/>
  <c r="BG311" i="9"/>
  <c r="BG309" i="9"/>
  <c r="BG292" i="9"/>
  <c r="BG290" i="9"/>
  <c r="BG273" i="9"/>
  <c r="BG266" i="9"/>
  <c r="BG251" i="9"/>
  <c r="BG151" i="9"/>
  <c r="BG41" i="9"/>
  <c r="BG26" i="9"/>
  <c r="BG185" i="9"/>
  <c r="BG376" i="9"/>
  <c r="BG363" i="9"/>
  <c r="BG338" i="9"/>
  <c r="BG327" i="9"/>
  <c r="BG310" i="9"/>
  <c r="BG308" i="9"/>
  <c r="BG289" i="9"/>
  <c r="BG287" i="9"/>
  <c r="BG284" i="9"/>
  <c r="BG124" i="9"/>
  <c r="BG113" i="9"/>
  <c r="BG96" i="9"/>
  <c r="BG71" i="9"/>
  <c r="BG17" i="9"/>
  <c r="BG355" i="9"/>
  <c r="BG354" i="9"/>
  <c r="BG350" i="9"/>
  <c r="BG325" i="9"/>
  <c r="BG265" i="9"/>
  <c r="BG263" i="9"/>
  <c r="BG217" i="9"/>
  <c r="BG148" i="9"/>
  <c r="BG364" i="9"/>
  <c r="BG358" i="9"/>
  <c r="BG23" i="9"/>
  <c r="BG353" i="9"/>
  <c r="BG340" i="9"/>
  <c r="BG303" i="9"/>
  <c r="BG295" i="9"/>
  <c r="BG285" i="9"/>
  <c r="BG270" i="9"/>
  <c r="BG176" i="9"/>
  <c r="BG175" i="9"/>
  <c r="BG174" i="9"/>
  <c r="BG172" i="9"/>
  <c r="BG168" i="9"/>
  <c r="BG149" i="9"/>
  <c r="BG375" i="9"/>
  <c r="BG357" i="9"/>
  <c r="BG348" i="9"/>
  <c r="BG342" i="9"/>
  <c r="BG314" i="9"/>
  <c r="BG293" i="9"/>
  <c r="BG275" i="9"/>
  <c r="BG267" i="9"/>
  <c r="BG21" i="9"/>
  <c r="BG183" i="9"/>
  <c r="BG178" i="9"/>
  <c r="BG173" i="9"/>
  <c r="BG85" i="9"/>
  <c r="BG35" i="9"/>
  <c r="BG344" i="9"/>
  <c r="BG336" i="9"/>
  <c r="BG334" i="9"/>
  <c r="BG324" i="9"/>
  <c r="BG318" i="9"/>
  <c r="BG316" i="9"/>
  <c r="BG304" i="9"/>
  <c r="BG302" i="9"/>
  <c r="BG301" i="9"/>
  <c r="BG299" i="9"/>
  <c r="BG283" i="9"/>
  <c r="BG277" i="9"/>
  <c r="BG255" i="9"/>
  <c r="BG235" i="9"/>
  <c r="BG221" i="9"/>
  <c r="BG119" i="9"/>
  <c r="BG86" i="9"/>
  <c r="BG182" i="9"/>
  <c r="BG171" i="9"/>
  <c r="V4846" i="9" a="1"/>
  <c r="W4846" i="9" s="1"/>
  <c r="BG369" i="9" s="1"/>
  <c r="V4950" i="9" a="1"/>
  <c r="W4950" i="9" s="1"/>
  <c r="BG473" i="9" s="1"/>
  <c r="A3" i="5" a="1"/>
  <c r="BF14" i="9"/>
  <c r="BF15" i="9"/>
  <c r="BF17" i="9"/>
  <c r="BF20" i="9"/>
  <c r="BF23" i="9"/>
  <c r="BF27" i="9"/>
  <c r="BF31" i="9"/>
  <c r="BF35" i="9"/>
  <c r="BF39" i="9"/>
  <c r="BF41" i="9"/>
  <c r="BF45" i="9"/>
  <c r="BF48" i="9"/>
  <c r="BF52" i="9"/>
  <c r="BF64" i="9"/>
  <c r="BF65" i="9"/>
  <c r="BF66" i="9"/>
  <c r="BF67" i="9"/>
  <c r="BF68" i="9"/>
  <c r="BF69" i="9"/>
  <c r="BF70" i="9"/>
  <c r="BF71" i="9"/>
  <c r="BF72" i="9"/>
  <c r="BF73" i="9"/>
  <c r="BF74" i="9"/>
  <c r="BF75" i="9"/>
  <c r="BF76" i="9"/>
  <c r="BF77" i="9"/>
  <c r="BF78" i="9"/>
  <c r="BF79" i="9"/>
  <c r="BF80" i="9"/>
  <c r="BF81" i="9"/>
  <c r="BF83" i="9"/>
  <c r="BF84" i="9"/>
  <c r="BF85" i="9"/>
  <c r="BF86" i="9"/>
  <c r="BF87" i="9"/>
  <c r="BF88" i="9"/>
  <c r="BF89" i="9"/>
  <c r="BF90" i="9"/>
  <c r="BF91" i="9"/>
  <c r="BF92" i="9"/>
  <c r="BF93" i="9"/>
  <c r="BF94" i="9"/>
  <c r="BF95" i="9"/>
  <c r="BF96" i="9"/>
  <c r="BF97" i="9"/>
  <c r="BF98" i="9"/>
  <c r="BF99" i="9"/>
  <c r="BF100" i="9"/>
  <c r="BF101" i="9"/>
  <c r="BF102" i="9"/>
  <c r="BF103" i="9"/>
  <c r="BF104" i="9"/>
  <c r="BF105" i="9"/>
  <c r="BF106" i="9"/>
  <c r="BF107" i="9"/>
  <c r="BF108" i="9"/>
  <c r="BF109" i="9"/>
  <c r="BF110" i="9"/>
  <c r="BF111" i="9"/>
  <c r="BF112" i="9"/>
  <c r="BF113" i="9"/>
  <c r="BF114" i="9"/>
  <c r="BF115" i="9"/>
  <c r="BF116" i="9"/>
  <c r="BF117" i="9"/>
  <c r="BF118" i="9"/>
  <c r="BF119" i="9"/>
  <c r="BF120" i="9"/>
  <c r="BF121" i="9"/>
  <c r="BF122" i="9"/>
  <c r="BF123" i="9"/>
  <c r="BF124" i="9"/>
  <c r="BF125" i="9"/>
  <c r="BF126" i="9"/>
  <c r="BF127" i="9"/>
  <c r="BF128" i="9"/>
  <c r="BF129" i="9"/>
  <c r="BF130" i="9"/>
  <c r="BF131" i="9"/>
  <c r="BF132" i="9"/>
  <c r="BF133" i="9"/>
  <c r="BF134" i="9"/>
  <c r="BF135" i="9"/>
  <c r="BF136" i="9"/>
  <c r="BF137" i="9"/>
  <c r="BF138" i="9"/>
  <c r="BF139" i="9"/>
  <c r="BF140" i="9"/>
  <c r="BF141" i="9"/>
  <c r="BF142" i="9"/>
  <c r="BF143" i="9"/>
  <c r="BF144" i="9"/>
  <c r="BF145" i="9"/>
  <c r="BF146" i="9"/>
  <c r="BF147" i="9"/>
  <c r="BF148" i="9"/>
  <c r="BF149" i="9"/>
  <c r="BF150" i="9"/>
  <c r="BF151" i="9"/>
  <c r="BF152" i="9"/>
  <c r="BF153" i="9"/>
  <c r="BF154" i="9"/>
  <c r="BF155" i="9"/>
  <c r="BF156" i="9"/>
  <c r="BF157" i="9"/>
  <c r="BF158" i="9"/>
  <c r="BF159" i="9"/>
  <c r="BF160" i="9"/>
  <c r="BF161" i="9"/>
  <c r="BF162" i="9"/>
  <c r="BF163" i="9"/>
  <c r="BF164" i="9"/>
  <c r="BF165" i="9"/>
  <c r="BF166" i="9"/>
  <c r="BF167" i="9"/>
  <c r="BF168" i="9"/>
  <c r="BF169" i="9"/>
  <c r="BF170" i="9"/>
  <c r="BF171" i="9"/>
  <c r="BF172" i="9"/>
  <c r="BF173" i="9"/>
  <c r="BF174" i="9"/>
  <c r="BF175" i="9"/>
  <c r="BF176" i="9"/>
  <c r="BF177" i="9"/>
  <c r="BF178" i="9"/>
  <c r="BF179" i="9"/>
  <c r="BF180" i="9"/>
  <c r="BF181" i="9"/>
  <c r="BF182" i="9"/>
  <c r="BF183" i="9"/>
  <c r="BF184" i="9"/>
  <c r="BF185" i="9"/>
  <c r="BF186" i="9"/>
  <c r="BF187" i="9"/>
  <c r="BF188" i="9"/>
  <c r="BF189" i="9"/>
  <c r="BF190" i="9"/>
  <c r="BF191" i="9"/>
  <c r="BF192" i="9"/>
  <c r="BF193" i="9"/>
  <c r="BF194" i="9"/>
  <c r="BF195" i="9"/>
  <c r="BF196" i="9"/>
  <c r="BF197" i="9"/>
  <c r="BF198" i="9"/>
  <c r="BF199" i="9"/>
  <c r="BF200" i="9"/>
  <c r="BF201" i="9"/>
  <c r="BF202" i="9"/>
  <c r="BF203" i="9"/>
  <c r="BF204" i="9"/>
  <c r="BF205" i="9"/>
  <c r="BF206" i="9"/>
  <c r="BF207" i="9"/>
  <c r="BF208" i="9"/>
  <c r="BF209" i="9"/>
  <c r="BF210" i="9"/>
  <c r="BF211" i="9"/>
  <c r="BF212" i="9"/>
  <c r="BF213" i="9"/>
  <c r="BF214" i="9"/>
  <c r="BF215" i="9"/>
  <c r="BF216" i="9"/>
  <c r="BF437" i="9"/>
  <c r="BF438" i="9"/>
  <c r="BF439" i="9"/>
  <c r="BF440" i="9"/>
  <c r="BF441" i="9"/>
  <c r="BF442" i="9"/>
  <c r="BF12" i="9"/>
  <c r="BF13" i="9"/>
  <c r="BF29" i="9"/>
  <c r="BF32" i="9"/>
  <c r="BF36" i="9"/>
  <c r="BF42" i="9"/>
  <c r="BF46" i="9"/>
  <c r="BF50" i="9"/>
  <c r="BF53" i="9"/>
  <c r="BF55" i="9"/>
  <c r="BF57" i="9"/>
  <c r="BF59" i="9"/>
  <c r="BF62" i="9"/>
  <c r="BF217" i="9"/>
  <c r="BF225" i="9"/>
  <c r="BF227" i="9"/>
  <c r="BF232" i="9"/>
  <c r="BF240" i="9"/>
  <c r="BF241" i="9"/>
  <c r="BF242" i="9"/>
  <c r="BF243" i="9"/>
  <c r="BF244" i="9"/>
  <c r="BF245" i="9"/>
  <c r="BF252" i="9"/>
  <c r="BF253" i="9"/>
  <c r="BF257" i="9"/>
  <c r="BF258" i="9"/>
  <c r="BF260" i="9"/>
  <c r="BF261" i="9"/>
  <c r="BF265" i="9"/>
  <c r="BF270" i="9"/>
  <c r="BF271" i="9"/>
  <c r="BF274" i="9"/>
  <c r="BF278" i="9"/>
  <c r="BF280" i="9"/>
  <c r="BF281" i="9"/>
  <c r="BF286" i="9"/>
  <c r="BF290" i="9"/>
  <c r="BF291" i="9"/>
  <c r="BF293" i="9"/>
  <c r="BF294" i="9"/>
  <c r="BF295" i="9"/>
  <c r="BF297" i="9"/>
  <c r="BF298" i="9"/>
  <c r="BF299" i="9"/>
  <c r="BF300" i="9"/>
  <c r="BF301" i="9"/>
  <c r="BF302" i="9"/>
  <c r="BF303" i="9"/>
  <c r="BF304" i="9"/>
  <c r="BF305" i="9"/>
  <c r="BF306" i="9"/>
  <c r="BF307" i="9"/>
  <c r="BF308" i="9"/>
  <c r="BF309" i="9"/>
  <c r="BF310" i="9"/>
  <c r="BF311" i="9"/>
  <c r="BF312" i="9"/>
  <c r="BF313" i="9"/>
  <c r="BF314" i="9"/>
  <c r="BF315" i="9"/>
  <c r="BF316" i="9"/>
  <c r="BF320" i="9"/>
  <c r="BF322" i="9"/>
  <c r="BF324" i="9"/>
  <c r="BF328" i="9"/>
  <c r="BF329" i="9"/>
  <c r="BF330" i="9"/>
  <c r="BF331" i="9"/>
  <c r="BF332" i="9"/>
  <c r="BF334" i="9"/>
  <c r="BF336" i="9"/>
  <c r="BF337" i="9"/>
  <c r="BF341" i="9"/>
  <c r="BF342" i="9"/>
  <c r="BF346" i="9"/>
  <c r="BF348" i="9"/>
  <c r="BF349" i="9"/>
  <c r="BF354" i="9"/>
  <c r="BF355" i="9"/>
  <c r="BF356" i="9"/>
  <c r="BF357" i="9"/>
  <c r="BF358" i="9"/>
  <c r="BF359" i="9"/>
  <c r="BF360" i="9"/>
  <c r="BF362" i="9"/>
  <c r="BF364" i="9"/>
  <c r="BF366" i="9"/>
  <c r="BF369" i="9"/>
  <c r="BF370" i="9"/>
  <c r="BF371" i="9"/>
  <c r="BF374" i="9"/>
  <c r="BF375" i="9"/>
  <c r="BF376" i="9"/>
  <c r="BF377" i="9"/>
  <c r="BF381" i="9"/>
  <c r="BF382" i="9"/>
  <c r="BF384" i="9"/>
  <c r="BF385" i="9"/>
  <c r="BF386" i="9"/>
  <c r="BF387" i="9"/>
  <c r="BF389" i="9"/>
  <c r="BF390" i="9"/>
  <c r="BF392" i="9"/>
  <c r="BF394" i="9"/>
  <c r="BF395" i="9"/>
  <c r="BF397" i="9"/>
  <c r="BF398" i="9"/>
  <c r="BF399" i="9"/>
  <c r="BF402" i="9"/>
  <c r="BF403" i="9"/>
  <c r="BF404" i="9"/>
  <c r="BF405" i="9"/>
  <c r="BF407" i="9"/>
  <c r="BF408" i="9"/>
  <c r="BF409" i="9"/>
  <c r="BF410" i="9"/>
  <c r="BF411" i="9"/>
  <c r="BF412" i="9"/>
  <c r="BF415" i="9"/>
  <c r="BF417" i="9"/>
  <c r="BF419" i="9"/>
  <c r="BF421" i="9"/>
  <c r="BF423" i="9"/>
  <c r="BF425" i="9"/>
  <c r="BF426" i="9"/>
  <c r="BF428" i="9"/>
  <c r="BF430" i="9"/>
  <c r="BF432" i="9"/>
  <c r="BF435" i="9"/>
  <c r="BF436" i="9"/>
  <c r="BF443" i="9"/>
  <c r="BF444" i="9"/>
  <c r="BF446" i="9"/>
  <c r="BF448" i="9"/>
  <c r="BF450" i="9"/>
  <c r="BF452" i="9"/>
  <c r="BF453" i="9"/>
  <c r="BF455" i="9"/>
  <c r="BF457" i="9"/>
  <c r="BF459" i="9"/>
  <c r="BF460" i="9"/>
  <c r="BF462" i="9"/>
  <c r="BF463" i="9"/>
  <c r="BF464" i="9"/>
  <c r="BF465" i="9"/>
  <c r="BF467" i="9"/>
  <c r="BF470" i="9"/>
  <c r="BF471" i="9"/>
  <c r="BF474" i="9"/>
  <c r="BF477" i="9"/>
  <c r="BF480" i="9"/>
  <c r="BF481" i="9"/>
  <c r="BF482" i="9"/>
  <c r="BF483" i="9"/>
  <c r="BF484" i="9"/>
  <c r="BF485" i="9"/>
  <c r="BF486" i="9"/>
  <c r="BF487" i="9"/>
  <c r="BF488" i="9"/>
  <c r="BF489" i="9"/>
  <c r="BF490" i="9"/>
  <c r="BF491" i="9"/>
  <c r="BF492" i="9"/>
  <c r="BF493" i="9"/>
  <c r="BF494" i="9"/>
  <c r="BF495" i="9"/>
  <c r="BF496" i="9"/>
  <c r="BF497" i="9"/>
  <c r="BF498" i="9"/>
  <c r="BF499" i="9"/>
  <c r="BF500" i="9"/>
  <c r="BF501" i="9"/>
  <c r="BF502" i="9"/>
  <c r="BF503" i="9"/>
  <c r="BF504" i="9"/>
  <c r="BF505" i="9"/>
  <c r="BF506" i="9"/>
  <c r="BF507" i="9"/>
  <c r="BF508" i="9"/>
  <c r="BF509" i="9"/>
  <c r="BF510" i="9"/>
  <c r="BF511" i="9"/>
  <c r="BF512" i="9"/>
  <c r="BF513" i="9"/>
  <c r="BF514" i="9"/>
  <c r="BF515" i="9"/>
  <c r="BF516" i="9"/>
  <c r="BF517" i="9"/>
  <c r="BF518" i="9"/>
  <c r="BF519" i="9"/>
  <c r="BF520" i="9"/>
  <c r="BF521" i="9"/>
  <c r="BF522" i="9"/>
  <c r="BF523" i="9"/>
  <c r="BF524" i="9"/>
  <c r="BF525" i="9"/>
  <c r="BF526" i="9"/>
  <c r="BF527" i="9"/>
  <c r="BF528" i="9"/>
  <c r="BF529" i="9"/>
  <c r="BF530" i="9"/>
  <c r="BF531" i="9"/>
  <c r="BF532" i="9"/>
  <c r="BF533" i="9"/>
  <c r="BF534" i="9"/>
  <c r="BF535" i="9"/>
  <c r="BF536" i="9"/>
  <c r="BF537" i="9"/>
  <c r="BF538" i="9"/>
  <c r="BF539" i="9"/>
  <c r="BF540" i="9"/>
  <c r="BF541" i="9"/>
  <c r="BF542" i="9"/>
  <c r="BF543" i="9"/>
  <c r="BF544" i="9"/>
  <c r="BF545" i="9"/>
  <c r="BF546" i="9"/>
  <c r="BF547" i="9"/>
  <c r="BF548" i="9"/>
  <c r="BF549" i="9"/>
  <c r="BF550" i="9"/>
  <c r="BF551" i="9"/>
  <c r="BF552" i="9"/>
  <c r="BF553" i="9"/>
  <c r="BF554" i="9"/>
  <c r="BF555" i="9"/>
  <c r="BF556" i="9"/>
  <c r="BF557" i="9"/>
  <c r="BF558" i="9"/>
  <c r="BF559" i="9"/>
  <c r="BF560" i="9"/>
  <c r="BF561" i="9"/>
  <c r="BF562" i="9"/>
  <c r="BF563" i="9"/>
  <c r="BF564" i="9"/>
  <c r="BF565" i="9"/>
  <c r="BF566" i="9"/>
  <c r="BF567" i="9"/>
  <c r="BF568" i="9"/>
  <c r="BF569" i="9"/>
  <c r="BF570" i="9"/>
  <c r="BF571" i="9"/>
  <c r="BF572" i="9"/>
  <c r="BF573" i="9"/>
  <c r="BF574" i="9"/>
  <c r="BF575" i="9"/>
  <c r="BF576" i="9"/>
  <c r="BF577" i="9"/>
  <c r="BF578" i="9"/>
  <c r="BF579" i="9"/>
  <c r="BF580" i="9"/>
  <c r="BF581" i="9"/>
  <c r="BF582" i="9"/>
  <c r="BF583" i="9"/>
  <c r="BF584" i="9"/>
  <c r="BF585" i="9"/>
  <c r="BF586" i="9"/>
  <c r="BF587" i="9"/>
  <c r="BF588" i="9"/>
  <c r="BF589" i="9"/>
  <c r="BF590" i="9"/>
  <c r="BF591" i="9"/>
  <c r="BF592" i="9"/>
  <c r="BF593" i="9"/>
  <c r="BF594" i="9"/>
  <c r="BF595" i="9"/>
  <c r="BF596" i="9"/>
  <c r="BF597" i="9"/>
  <c r="BF598" i="9"/>
  <c r="BF599" i="9"/>
  <c r="BF600" i="9"/>
  <c r="BF601" i="9"/>
  <c r="BF602" i="9"/>
  <c r="BF603" i="9"/>
  <c r="BF604" i="9"/>
  <c r="BF605" i="9"/>
  <c r="BF606" i="9"/>
  <c r="BF607" i="9"/>
  <c r="BF608" i="9"/>
  <c r="BF609" i="9"/>
  <c r="BF610" i="9"/>
  <c r="BF611" i="9"/>
  <c r="BF612" i="9"/>
  <c r="BF613" i="9"/>
  <c r="BF614" i="9"/>
  <c r="BF615" i="9"/>
  <c r="BF616" i="9"/>
  <c r="BF617" i="9"/>
  <c r="BF618" i="9"/>
  <c r="BF619" i="9"/>
  <c r="BF620" i="9"/>
  <c r="BF621" i="9"/>
  <c r="BF622" i="9"/>
  <c r="BF623" i="9"/>
  <c r="BF624" i="9"/>
  <c r="BF625" i="9"/>
  <c r="BF626" i="9"/>
  <c r="BF627" i="9"/>
  <c r="BF628" i="9"/>
  <c r="BF629" i="9"/>
  <c r="BF630" i="9"/>
  <c r="BF631" i="9"/>
  <c r="BF632" i="9"/>
  <c r="BF633" i="9"/>
  <c r="BF634" i="9"/>
  <c r="BF635" i="9"/>
  <c r="BF636" i="9"/>
  <c r="BF637" i="9"/>
  <c r="BF638" i="9"/>
  <c r="BF639" i="9"/>
  <c r="BF640" i="9"/>
  <c r="BF641" i="9"/>
  <c r="BF642" i="9"/>
  <c r="BF643" i="9"/>
  <c r="BF644" i="9"/>
  <c r="BF645" i="9"/>
  <c r="BF646" i="9"/>
  <c r="BF647" i="9"/>
  <c r="BF648" i="9"/>
  <c r="BF649" i="9"/>
  <c r="BF650" i="9"/>
  <c r="BF651" i="9"/>
  <c r="BF652" i="9"/>
  <c r="BF653" i="9"/>
  <c r="BF654" i="9"/>
  <c r="BF655" i="9"/>
  <c r="BF656" i="9"/>
  <c r="BF657" i="9"/>
  <c r="BF658" i="9"/>
  <c r="BF659" i="9"/>
  <c r="BF660" i="9"/>
  <c r="BF661" i="9"/>
  <c r="BF662" i="9"/>
  <c r="BF663" i="9"/>
  <c r="BF664" i="9"/>
  <c r="BF665" i="9"/>
  <c r="BF666" i="9"/>
  <c r="BF667" i="9"/>
  <c r="BF18" i="9"/>
  <c r="BF21" i="9"/>
  <c r="BF24" i="9"/>
  <c r="BF28" i="9"/>
  <c r="BF34" i="9"/>
  <c r="BF38" i="9"/>
  <c r="BF43" i="9"/>
  <c r="BF47" i="9"/>
  <c r="BF51" i="9"/>
  <c r="BF54" i="9"/>
  <c r="BF56" i="9"/>
  <c r="BF58" i="9"/>
  <c r="BF60" i="9"/>
  <c r="BF61" i="9"/>
  <c r="BF63" i="9"/>
  <c r="BF220" i="9"/>
  <c r="BF221" i="9"/>
  <c r="BF223" i="9"/>
  <c r="BF224" i="9"/>
  <c r="BF228" i="9"/>
  <c r="BF229" i="9"/>
  <c r="BF230" i="9"/>
  <c r="BF234" i="9"/>
  <c r="BF236" i="9"/>
  <c r="BF239" i="9"/>
  <c r="BF246" i="9"/>
  <c r="BF247" i="9"/>
  <c r="BF248" i="9"/>
  <c r="BF249" i="9"/>
  <c r="BF250" i="9"/>
  <c r="BF262" i="9"/>
  <c r="BF267" i="9"/>
  <c r="BF268" i="9"/>
  <c r="BF272" i="9"/>
  <c r="BF273" i="9"/>
  <c r="BF275" i="9"/>
  <c r="BF276" i="9"/>
  <c r="BF279" i="9"/>
  <c r="BF282" i="9"/>
  <c r="BF283" i="9"/>
  <c r="BF284" i="9"/>
  <c r="BF285" i="9"/>
  <c r="BF288" i="9"/>
  <c r="BF289" i="9"/>
  <c r="BF292" i="9"/>
  <c r="BF296" i="9"/>
  <c r="BF317" i="9"/>
  <c r="BF318" i="9"/>
  <c r="BF319" i="9"/>
  <c r="BF321" i="9"/>
  <c r="BF323" i="9"/>
  <c r="BF325" i="9"/>
  <c r="BF326" i="9"/>
  <c r="BF327" i="9"/>
  <c r="BF333" i="9"/>
  <c r="BF335" i="9"/>
  <c r="BF338" i="9"/>
  <c r="BF339" i="9"/>
  <c r="BF340" i="9"/>
  <c r="BF343" i="9"/>
  <c r="BF344" i="9"/>
  <c r="BF345" i="9"/>
  <c r="BF347" i="9"/>
  <c r="BF350" i="9"/>
  <c r="BF351" i="9"/>
  <c r="BF352" i="9"/>
  <c r="BF353" i="9"/>
  <c r="BF361" i="9"/>
  <c r="BF363" i="9"/>
  <c r="BF365" i="9"/>
  <c r="BF367" i="9"/>
  <c r="BF368" i="9"/>
  <c r="BF372" i="9"/>
  <c r="BF373" i="9"/>
  <c r="BF378" i="9"/>
  <c r="BF379" i="9"/>
  <c r="BF380" i="9"/>
  <c r="BF383" i="9"/>
  <c r="BF388" i="9"/>
  <c r="BF391" i="9"/>
  <c r="BF393" i="9"/>
  <c r="BF396" i="9"/>
  <c r="BF400" i="9"/>
  <c r="BF401" i="9"/>
  <c r="BF406" i="9"/>
  <c r="BF413" i="9"/>
  <c r="BF414" i="9"/>
  <c r="BF416" i="9"/>
  <c r="BF418" i="9"/>
  <c r="BF420" i="9"/>
  <c r="BF422" i="9"/>
  <c r="BF424" i="9"/>
  <c r="BF427" i="9"/>
  <c r="BF429" i="9"/>
  <c r="BF431" i="9"/>
  <c r="BF433" i="9"/>
  <c r="BF434" i="9"/>
  <c r="BF445" i="9"/>
  <c r="BF447" i="9"/>
  <c r="BF449" i="9"/>
  <c r="BF451" i="9"/>
  <c r="BF454" i="9"/>
  <c r="BF456" i="9"/>
  <c r="BF458" i="9"/>
  <c r="BF461" i="9"/>
  <c r="BF466" i="9"/>
  <c r="BF468" i="9"/>
  <c r="BF469" i="9"/>
  <c r="BF472" i="9"/>
  <c r="BF473" i="9"/>
  <c r="BF475" i="9"/>
  <c r="BF476" i="9"/>
  <c r="BF478" i="9"/>
  <c r="BF479" i="9"/>
  <c r="BF668" i="9"/>
  <c r="BF669" i="9"/>
  <c r="BF670" i="9"/>
  <c r="BF671" i="9"/>
  <c r="BF672" i="9"/>
  <c r="BF673" i="9"/>
  <c r="BF674" i="9"/>
  <c r="BF675" i="9"/>
  <c r="BF676" i="9"/>
  <c r="BF677" i="9"/>
  <c r="BF678" i="9"/>
  <c r="BF679" i="9"/>
  <c r="BF680" i="9"/>
  <c r="BF681" i="9"/>
  <c r="BF682" i="9"/>
  <c r="BF683" i="9"/>
  <c r="BF684" i="9"/>
  <c r="BF685" i="9"/>
  <c r="BF686" i="9"/>
  <c r="BF687" i="9"/>
  <c r="BF688" i="9"/>
  <c r="BF689" i="9"/>
  <c r="BF690" i="9"/>
  <c r="BF691" i="9"/>
  <c r="BF692" i="9"/>
  <c r="BF693" i="9"/>
  <c r="BF694" i="9"/>
  <c r="BF695" i="9"/>
  <c r="BF696" i="9"/>
  <c r="BF697" i="9"/>
  <c r="BF698" i="9"/>
  <c r="BF699" i="9"/>
  <c r="BF700" i="9"/>
  <c r="BF701" i="9"/>
  <c r="BF702" i="9"/>
  <c r="BF703" i="9"/>
  <c r="BF704" i="9"/>
  <c r="BF705" i="9"/>
  <c r="BF706" i="9"/>
  <c r="BF707" i="9"/>
  <c r="BF708" i="9"/>
  <c r="BF709" i="9"/>
  <c r="BF710" i="9"/>
  <c r="BF711" i="9"/>
  <c r="BF712" i="9"/>
  <c r="BF713" i="9"/>
  <c r="BF714" i="9"/>
  <c r="BF715" i="9"/>
  <c r="BF716" i="9"/>
  <c r="BF717" i="9"/>
  <c r="BF718" i="9"/>
  <c r="BF719" i="9"/>
  <c r="BF720" i="9"/>
  <c r="BF721" i="9"/>
  <c r="BF722" i="9"/>
  <c r="BF723" i="9"/>
  <c r="BF724" i="9"/>
  <c r="BF725" i="9"/>
  <c r="BF726" i="9"/>
  <c r="BF727" i="9"/>
  <c r="BF728" i="9"/>
  <c r="BF729" i="9"/>
  <c r="BF730" i="9"/>
  <c r="BF731" i="9"/>
  <c r="BF732" i="9"/>
  <c r="BF733" i="9"/>
  <c r="BF734" i="9"/>
  <c r="BF735" i="9"/>
  <c r="BF736" i="9"/>
  <c r="BF737" i="9"/>
  <c r="BF738" i="9"/>
  <c r="BF739" i="9"/>
  <c r="BF740" i="9"/>
  <c r="BF741" i="9"/>
  <c r="BF742" i="9"/>
  <c r="BF743" i="9"/>
  <c r="BF744" i="9"/>
  <c r="BF745" i="9"/>
  <c r="BF746" i="9"/>
  <c r="BF747" i="9"/>
  <c r="BF748" i="9"/>
  <c r="BF749" i="9"/>
  <c r="BF750" i="9"/>
  <c r="BF751" i="9"/>
  <c r="BF752" i="9"/>
  <c r="BF753" i="9"/>
  <c r="BF754" i="9"/>
  <c r="BF755" i="9"/>
  <c r="BF756" i="9"/>
  <c r="BF757" i="9"/>
  <c r="BF758" i="9"/>
  <c r="BF759" i="9"/>
  <c r="BF760" i="9"/>
  <c r="BF761" i="9"/>
  <c r="BF762" i="9"/>
  <c r="BF763" i="9"/>
  <c r="BF764" i="9"/>
  <c r="BF765" i="9"/>
  <c r="BF766" i="9"/>
  <c r="BF767" i="9"/>
  <c r="BF768" i="9"/>
  <c r="BF769" i="9"/>
  <c r="BF770" i="9"/>
  <c r="BF771" i="9"/>
  <c r="BF772" i="9"/>
  <c r="BF773" i="9"/>
  <c r="BF774" i="9"/>
  <c r="BF775" i="9"/>
  <c r="BF776" i="9"/>
  <c r="BF777" i="9"/>
  <c r="BF778" i="9"/>
  <c r="BF779" i="9"/>
  <c r="BF780" i="9"/>
  <c r="BF781" i="9"/>
  <c r="BF782" i="9"/>
  <c r="BF783" i="9"/>
  <c r="BF784" i="9"/>
  <c r="BF785" i="9"/>
  <c r="BF786" i="9"/>
  <c r="BF787" i="9"/>
  <c r="BF788" i="9"/>
  <c r="BF789" i="9"/>
  <c r="BF790" i="9"/>
  <c r="BF791" i="9"/>
  <c r="BF792" i="9"/>
  <c r="BF793" i="9"/>
  <c r="BF794" i="9"/>
  <c r="BF795" i="9"/>
  <c r="BF796" i="9"/>
  <c r="BF797" i="9"/>
  <c r="BF798" i="9"/>
  <c r="BF799" i="9"/>
  <c r="BF800" i="9"/>
  <c r="BF801" i="9"/>
  <c r="BF802" i="9"/>
  <c r="BF803" i="9"/>
  <c r="BF804" i="9"/>
  <c r="BF805" i="9"/>
  <c r="BF806" i="9"/>
  <c r="BF807" i="9"/>
  <c r="BF808" i="9"/>
  <c r="BF809" i="9"/>
  <c r="BF810" i="9"/>
  <c r="BF811" i="9"/>
  <c r="BF812" i="9"/>
  <c r="BF813" i="9"/>
  <c r="BF814" i="9"/>
  <c r="BF815" i="9"/>
  <c r="BF816" i="9"/>
  <c r="BF817" i="9"/>
  <c r="BF818" i="9"/>
  <c r="BF819" i="9"/>
  <c r="BF820" i="9"/>
  <c r="BF821" i="9"/>
  <c r="BF822" i="9"/>
  <c r="BF823" i="9"/>
  <c r="BF824" i="9"/>
  <c r="BF825" i="9"/>
  <c r="BF826" i="9"/>
  <c r="BF827" i="9"/>
  <c r="BF828" i="9"/>
  <c r="BF829" i="9"/>
  <c r="BF830" i="9"/>
  <c r="BF831" i="9"/>
  <c r="BF832" i="9"/>
  <c r="BF833" i="9"/>
  <c r="BF834" i="9"/>
  <c r="BF835" i="9"/>
  <c r="BF836" i="9"/>
  <c r="BF837" i="9"/>
  <c r="BF838" i="9"/>
  <c r="BF839" i="9"/>
  <c r="BF840" i="9"/>
  <c r="BF841" i="9"/>
  <c r="BF842" i="9"/>
  <c r="BF843" i="9"/>
  <c r="BF844" i="9"/>
  <c r="BF845" i="9"/>
  <c r="BF846" i="9"/>
  <c r="BF847" i="9"/>
  <c r="BF848" i="9"/>
  <c r="BF849" i="9"/>
  <c r="BF850" i="9"/>
  <c r="BF851" i="9"/>
  <c r="BF852" i="9"/>
  <c r="BF853" i="9"/>
  <c r="BF854" i="9"/>
  <c r="BF855" i="9"/>
  <c r="BF856" i="9"/>
  <c r="BF857" i="9"/>
  <c r="BF858" i="9"/>
  <c r="BF859" i="9"/>
  <c r="BF860" i="9"/>
  <c r="BF861" i="9"/>
  <c r="BF862" i="9"/>
  <c r="BF863" i="9"/>
  <c r="BF864" i="9"/>
  <c r="BF865" i="9"/>
  <c r="BF866" i="9"/>
  <c r="BF867" i="9"/>
  <c r="BF868" i="9"/>
  <c r="BF869" i="9"/>
  <c r="BF870" i="9"/>
  <c r="BF871" i="9"/>
  <c r="BF872" i="9"/>
  <c r="BF873" i="9"/>
  <c r="BF874" i="9"/>
  <c r="BF875" i="9"/>
  <c r="BF876" i="9"/>
  <c r="BF877" i="9"/>
  <c r="BF878" i="9"/>
  <c r="BF879" i="9"/>
  <c r="BF880" i="9"/>
  <c r="BF881" i="9"/>
  <c r="BF882" i="9"/>
  <c r="BF883" i="9"/>
  <c r="BF884" i="9"/>
  <c r="BF885" i="9"/>
  <c r="BF886" i="9"/>
  <c r="BF887" i="9"/>
  <c r="BF888" i="9"/>
  <c r="BF889" i="9"/>
  <c r="BF890" i="9"/>
  <c r="BF891" i="9"/>
  <c r="BF892" i="9"/>
  <c r="BF893" i="9"/>
  <c r="BF16" i="9"/>
  <c r="BF19" i="9"/>
  <c r="BF22" i="9"/>
  <c r="BF25" i="9"/>
  <c r="BF26" i="9"/>
  <c r="BF30" i="9"/>
  <c r="BF33" i="9"/>
  <c r="BF37" i="9"/>
  <c r="BF40" i="9"/>
  <c r="BF44" i="9"/>
  <c r="BF49" i="9"/>
  <c r="BF82" i="9"/>
  <c r="BF218" i="9"/>
  <c r="BF219" i="9"/>
  <c r="BF222" i="9"/>
  <c r="BF226" i="9"/>
  <c r="BF231" i="9"/>
  <c r="BF233" i="9"/>
  <c r="BF235" i="9"/>
  <c r="BF237" i="9"/>
  <c r="BF238" i="9"/>
  <c r="BF251" i="9"/>
  <c r="BF254" i="9"/>
  <c r="BF255" i="9"/>
  <c r="BF256" i="9"/>
  <c r="BF259" i="9"/>
  <c r="BF263" i="9"/>
  <c r="BF264" i="9"/>
  <c r="BF266" i="9"/>
  <c r="BF269" i="9"/>
  <c r="BF277" i="9"/>
  <c r="BF287" i="9"/>
  <c r="BF894" i="9"/>
  <c r="BF895" i="9"/>
  <c r="BF896" i="9"/>
  <c r="BF897" i="9"/>
  <c r="BF898" i="9"/>
  <c r="BF899" i="9"/>
  <c r="BF900" i="9"/>
  <c r="BF901" i="9"/>
  <c r="BF902" i="9"/>
  <c r="BF903" i="9"/>
  <c r="BF904" i="9"/>
  <c r="BF905" i="9"/>
  <c r="BF906" i="9"/>
  <c r="BF907" i="9"/>
  <c r="BF908" i="9"/>
  <c r="BF909" i="9"/>
  <c r="BF910" i="9"/>
  <c r="BF911" i="9"/>
  <c r="BF912" i="9"/>
  <c r="BF913" i="9"/>
  <c r="BF914" i="9"/>
  <c r="BF915" i="9"/>
  <c r="BF916" i="9"/>
  <c r="BF917" i="9"/>
  <c r="BF918" i="9"/>
  <c r="BF919" i="9"/>
  <c r="BF920" i="9"/>
  <c r="BF921" i="9"/>
  <c r="BF922" i="9"/>
  <c r="BF923" i="9"/>
  <c r="BF924" i="9"/>
  <c r="BF925" i="9"/>
  <c r="BF926" i="9"/>
  <c r="BF927" i="9"/>
  <c r="BF928" i="9"/>
  <c r="BF929" i="9"/>
  <c r="BF930" i="9"/>
  <c r="BF931" i="9"/>
  <c r="BF932" i="9"/>
  <c r="BF933" i="9"/>
  <c r="BF934" i="9"/>
  <c r="BF935" i="9"/>
  <c r="BF936" i="9"/>
  <c r="BF937" i="9"/>
  <c r="BF938" i="9"/>
  <c r="BF939" i="9"/>
  <c r="BF940" i="9"/>
  <c r="BF941" i="9"/>
  <c r="BF942" i="9"/>
  <c r="BF943" i="9"/>
  <c r="BF944" i="9"/>
  <c r="BF945" i="9"/>
  <c r="BF946" i="9"/>
  <c r="BF947" i="9"/>
  <c r="BF948" i="9"/>
  <c r="BF949" i="9"/>
  <c r="BF950" i="9"/>
  <c r="BF951" i="9"/>
  <c r="BF952" i="9"/>
  <c r="BF953" i="9"/>
  <c r="BF954" i="9"/>
  <c r="BF955" i="9"/>
  <c r="BF956" i="9"/>
  <c r="BF957" i="9"/>
  <c r="BF958" i="9"/>
  <c r="BF959" i="9"/>
  <c r="BF960" i="9"/>
  <c r="BF961" i="9"/>
  <c r="BF962" i="9"/>
  <c r="BF963" i="9"/>
  <c r="BF964" i="9"/>
  <c r="BF965" i="9"/>
  <c r="BF966" i="9"/>
  <c r="BF967" i="9"/>
  <c r="BF968" i="9"/>
  <c r="BF969" i="9"/>
  <c r="BF970" i="9"/>
  <c r="BF971" i="9"/>
  <c r="BF972" i="9"/>
  <c r="BF973" i="9"/>
  <c r="BF974" i="9"/>
  <c r="BF975" i="9"/>
  <c r="BF976" i="9"/>
  <c r="BF977" i="9"/>
  <c r="BF978" i="9"/>
  <c r="BF979" i="9"/>
  <c r="BF980" i="9"/>
  <c r="BF981" i="9"/>
  <c r="BF982" i="9"/>
  <c r="BF983" i="9"/>
  <c r="BF984" i="9"/>
  <c r="BF985" i="9"/>
  <c r="BF986" i="9"/>
  <c r="BF987" i="9"/>
  <c r="BF988" i="9"/>
  <c r="BF989" i="9"/>
  <c r="BF990" i="9"/>
  <c r="BF991" i="9"/>
  <c r="BF992" i="9"/>
  <c r="BF993" i="9"/>
  <c r="BF994" i="9"/>
  <c r="BF995" i="9"/>
  <c r="BF996" i="9"/>
  <c r="BF997" i="9"/>
  <c r="BF998" i="9"/>
  <c r="BF999" i="9"/>
  <c r="BF1000" i="9"/>
  <c r="BF1001" i="9"/>
  <c r="BF1002" i="9"/>
  <c r="BF1003" i="9"/>
  <c r="BF1004" i="9"/>
  <c r="BF1005" i="9"/>
  <c r="BF1006" i="9"/>
  <c r="BF1007" i="9"/>
  <c r="BF1008" i="9"/>
  <c r="BF1009" i="9"/>
  <c r="BF1010" i="9"/>
  <c r="BF1011" i="9"/>
  <c r="BF1012" i="9"/>
  <c r="BF1013" i="9"/>
  <c r="BF1014" i="9"/>
  <c r="BF1015" i="9"/>
  <c r="BF1016" i="9"/>
  <c r="BF1017" i="9"/>
  <c r="BF1018" i="9"/>
  <c r="BF1019" i="9"/>
  <c r="BF1020" i="9"/>
  <c r="BF1021" i="9"/>
  <c r="BF1022" i="9"/>
  <c r="BF1023" i="9"/>
  <c r="BF1024" i="9"/>
  <c r="BF1025" i="9"/>
  <c r="BF1026" i="9"/>
  <c r="BF1027" i="9"/>
  <c r="BF1028" i="9"/>
  <c r="BF1029" i="9"/>
  <c r="BF1030" i="9"/>
  <c r="BF1031" i="9"/>
  <c r="BF1032" i="9"/>
  <c r="BF1033" i="9"/>
  <c r="BF1034" i="9"/>
  <c r="BF1035" i="9"/>
  <c r="BF1036" i="9"/>
  <c r="BF1037" i="9"/>
  <c r="BF1038" i="9"/>
  <c r="BF1039" i="9"/>
  <c r="BF1040" i="9"/>
  <c r="BF1041" i="9"/>
  <c r="BF1042" i="9"/>
  <c r="BF1043" i="9"/>
  <c r="BF1044" i="9"/>
  <c r="BF1045" i="9"/>
  <c r="BF1046" i="9"/>
  <c r="BF1047" i="9"/>
  <c r="BF1048" i="9"/>
  <c r="BF1049" i="9"/>
  <c r="BF1050" i="9"/>
  <c r="BF1051" i="9"/>
  <c r="BF1052" i="9"/>
  <c r="BF1053" i="9"/>
  <c r="BF1054" i="9"/>
  <c r="BF1055" i="9"/>
  <c r="BF1056" i="9"/>
  <c r="BF1057" i="9"/>
  <c r="BF1058" i="9"/>
  <c r="BF1059" i="9"/>
  <c r="BF1060" i="9"/>
  <c r="BF1061" i="9"/>
  <c r="BF1062" i="9"/>
  <c r="BF1063" i="9"/>
  <c r="BF1064" i="9"/>
  <c r="BF1065" i="9"/>
  <c r="BF1066" i="9"/>
  <c r="BF1067" i="9"/>
  <c r="BF1068" i="9"/>
  <c r="BF1069" i="9"/>
  <c r="BG401" i="9"/>
  <c r="BG428" i="9"/>
  <c r="BG480" i="9"/>
  <c r="BG524" i="9"/>
  <c r="BG567" i="9"/>
  <c r="BG593" i="9"/>
  <c r="BG630" i="9"/>
  <c r="BG648" i="9"/>
  <c r="BG680" i="9"/>
  <c r="BG797" i="9"/>
  <c r="BG816" i="9"/>
  <c r="BG867" i="9"/>
  <c r="BG889" i="9"/>
  <c r="BG894" i="9"/>
  <c r="BG912" i="9"/>
  <c r="BG937" i="9"/>
  <c r="BG951" i="9"/>
  <c r="BG415" i="9"/>
  <c r="BG533" i="9"/>
  <c r="BG562" i="9"/>
  <c r="BG590" i="9"/>
  <c r="BG626" i="9"/>
  <c r="BG640" i="9"/>
  <c r="BG665" i="9"/>
  <c r="BG688" i="9"/>
  <c r="BG701" i="9"/>
  <c r="BG726" i="9"/>
  <c r="BG739" i="9"/>
  <c r="BG755" i="9"/>
  <c r="BG803" i="9"/>
  <c r="BG838" i="9"/>
  <c r="BG857" i="9"/>
  <c r="BG863" i="9"/>
  <c r="BG875" i="9"/>
  <c r="BG890" i="9"/>
  <c r="BG893" i="9"/>
  <c r="BG905" i="9"/>
  <c r="BG929" i="9"/>
  <c r="BG936" i="9"/>
  <c r="BG944" i="9"/>
  <c r="BG950" i="9"/>
  <c r="BG954" i="9"/>
  <c r="BG980" i="9"/>
  <c r="BG999" i="9"/>
  <c r="BG1015" i="9"/>
  <c r="BG1024" i="9"/>
  <c r="BG1030" i="9"/>
  <c r="BG1036" i="9"/>
  <c r="BG398" i="9"/>
  <c r="BG425" i="9"/>
  <c r="BG510" i="9"/>
  <c r="BG557" i="9"/>
  <c r="BG582" i="9"/>
  <c r="BG396" i="9"/>
  <c r="BG424" i="9"/>
  <c r="BG479" i="9"/>
  <c r="BG521" i="9"/>
  <c r="BG552" i="9"/>
  <c r="BG591" i="9"/>
  <c r="BG613" i="9"/>
  <c r="BG631" i="9"/>
  <c r="BG654" i="9"/>
  <c r="BG686" i="9"/>
  <c r="BG717" i="9"/>
  <c r="BG740" i="9"/>
  <c r="BG802" i="9"/>
  <c r="BG818" i="9"/>
  <c r="BG850" i="9"/>
  <c r="BG861" i="9"/>
  <c r="BG887" i="9"/>
  <c r="BG906" i="9"/>
  <c r="BG971" i="9"/>
  <c r="BG390" i="9"/>
  <c r="BG413" i="9"/>
  <c r="BG462" i="9"/>
  <c r="BG509" i="9"/>
  <c r="BG540" i="9"/>
  <c r="BG579" i="9"/>
  <c r="BG617" i="9"/>
  <c r="BG636" i="9"/>
  <c r="BG655" i="9"/>
  <c r="BG685" i="9"/>
  <c r="BG715" i="9"/>
  <c r="BG736" i="9"/>
  <c r="BG766" i="9"/>
  <c r="BG826" i="9"/>
  <c r="BG382" i="9"/>
  <c r="BG404" i="9"/>
  <c r="BG443" i="9"/>
  <c r="BG511" i="9"/>
  <c r="BG575" i="9"/>
  <c r="BG627" i="9"/>
  <c r="BG632" i="9"/>
  <c r="BG645" i="9"/>
  <c r="BG657" i="9"/>
  <c r="BG689" i="9"/>
  <c r="BG702" i="9"/>
  <c r="BG725" i="9"/>
  <c r="BG735" i="9"/>
  <c r="BG745" i="9"/>
  <c r="BG763" i="9"/>
  <c r="BG801" i="9"/>
  <c r="BG808" i="9"/>
  <c r="BG828" i="9"/>
  <c r="BG839" i="9"/>
  <c r="BG854" i="9"/>
  <c r="BG862" i="9"/>
  <c r="BG873" i="9"/>
  <c r="BG879" i="9"/>
  <c r="BG886" i="9"/>
  <c r="BG892" i="9"/>
  <c r="BG895" i="9"/>
  <c r="BG916" i="9"/>
  <c r="BG928" i="9"/>
  <c r="BG932" i="9"/>
  <c r="BG941" i="9"/>
  <c r="BG947" i="9"/>
  <c r="BG952" i="9"/>
  <c r="BG956" i="9"/>
  <c r="BG1005" i="9"/>
  <c r="BG426" i="9"/>
  <c r="BG455" i="9"/>
  <c r="BG508" i="9"/>
  <c r="BG572" i="9"/>
  <c r="BG602" i="9"/>
  <c r="BG650" i="9"/>
  <c r="BG696" i="9"/>
  <c r="BG752" i="9"/>
  <c r="BG446" i="9"/>
  <c r="BG535" i="9"/>
  <c r="BG563" i="9"/>
  <c r="BG592" i="9"/>
  <c r="BG643" i="9"/>
  <c r="BG663" i="9"/>
  <c r="BG789" i="9"/>
  <c r="BG814" i="9"/>
  <c r="BG837" i="9"/>
  <c r="BG914" i="9"/>
  <c r="BG412" i="9"/>
  <c r="BG449" i="9"/>
  <c r="BG536" i="9"/>
  <c r="BG115" i="9"/>
  <c r="BG405" i="9"/>
  <c r="BG456" i="9"/>
  <c r="BG247" i="9"/>
  <c r="BG402" i="9"/>
  <c r="BG440" i="9"/>
  <c r="BG514" i="9"/>
  <c r="BG571" i="9"/>
  <c r="BG603" i="9"/>
  <c r="BG637" i="9"/>
  <c r="BG661" i="9"/>
  <c r="BG711" i="9"/>
  <c r="BG790" i="9"/>
  <c r="BG809" i="9"/>
  <c r="BG819" i="9"/>
  <c r="BG820" i="9"/>
  <c r="BG822" i="9"/>
  <c r="BG824" i="9"/>
  <c r="BG393" i="9"/>
  <c r="BG420" i="9"/>
  <c r="BG457" i="9"/>
  <c r="BG489" i="9"/>
  <c r="BG525" i="9"/>
  <c r="BG587" i="9"/>
  <c r="BG646" i="9"/>
  <c r="BG698" i="9"/>
  <c r="BG734" i="9"/>
  <c r="BG746" i="9"/>
  <c r="BG807" i="9"/>
  <c r="BG830" i="9"/>
  <c r="BG849" i="9"/>
  <c r="BG856" i="9"/>
  <c r="BG870" i="9"/>
  <c r="BG884" i="9"/>
  <c r="BG904" i="9"/>
  <c r="BG921" i="9"/>
  <c r="BG946" i="9"/>
  <c r="BG959" i="9"/>
  <c r="BG993" i="9"/>
  <c r="BG1011" i="9"/>
  <c r="BG1016" i="9"/>
  <c r="BG1033" i="9"/>
  <c r="BG1043" i="9"/>
  <c r="BG1055" i="9"/>
  <c r="BG1058" i="9"/>
  <c r="BG1059" i="9"/>
  <c r="BG281" i="9"/>
  <c r="BG271" i="9"/>
  <c r="BG368" i="9"/>
  <c r="BG280" i="9"/>
  <c r="BG274" i="9"/>
  <c r="BG248" i="9"/>
  <c r="BG276" i="9"/>
  <c r="BG356" i="9"/>
  <c r="BG326" i="9"/>
  <c r="BG272" i="9"/>
  <c r="BG264" i="9"/>
  <c r="V4945" i="9" a="1"/>
  <c r="W4945" i="9" s="1"/>
  <c r="BG468" i="9" s="1"/>
  <c r="V4949" i="9" a="1"/>
  <c r="W4949" i="9" s="1"/>
  <c r="BG472" i="9" s="1"/>
  <c r="BG361" i="9"/>
  <c r="BG352" i="9"/>
  <c r="BG258" i="9"/>
  <c r="BG778" i="9"/>
  <c r="BG765" i="9"/>
  <c r="BG762" i="9"/>
  <c r="BG1068" i="9"/>
  <c r="BG786" i="9"/>
  <c r="BG782" i="9"/>
  <c r="BG780" i="9"/>
  <c r="BG781" i="9"/>
  <c r="BG374" i="9"/>
  <c r="BG262" i="9"/>
  <c r="BG1054" i="9"/>
  <c r="BG1038" i="9"/>
  <c r="BG1026" i="9"/>
  <c r="BG1023" i="9"/>
  <c r="BG1021" i="9"/>
  <c r="BG1007" i="9"/>
  <c r="BG1067" i="9"/>
  <c r="BG1057" i="9"/>
  <c r="BG1034" i="9"/>
  <c r="BG1066" i="9"/>
  <c r="BG1056" i="9"/>
  <c r="BG779" i="9"/>
  <c r="BG758" i="9"/>
  <c r="BG756" i="9"/>
  <c r="BG753" i="9"/>
  <c r="BG503" i="9"/>
  <c r="BG501" i="9"/>
  <c r="BG500" i="9"/>
  <c r="BG341" i="9"/>
  <c r="BG373" i="9"/>
  <c r="BG362" i="9"/>
  <c r="BG320" i="9"/>
  <c r="BG268" i="9"/>
  <c r="BG252" i="9"/>
  <c r="BG379" i="9"/>
  <c r="BG329" i="9"/>
  <c r="H22" i="1"/>
  <c r="H36" i="1"/>
  <c r="H30" i="1"/>
  <c r="H25" i="1"/>
  <c r="BM12" i="9" a="1"/>
  <c r="H26" i="1"/>
  <c r="H24" i="1"/>
  <c r="H18" i="1"/>
  <c r="H29" i="1"/>
  <c r="H17" i="1"/>
  <c r="H35" i="1"/>
  <c r="H33" i="1"/>
  <c r="H20" i="1"/>
  <c r="H27" i="1"/>
  <c r="H21" i="1"/>
  <c r="H38" i="1"/>
  <c r="H28" i="1"/>
  <c r="H31" i="1"/>
  <c r="H23" i="1"/>
  <c r="H34" i="1"/>
  <c r="H32" i="1"/>
  <c r="E29" i="1" a="1"/>
  <c r="E19" i="1" a="1"/>
  <c r="E18" i="1" a="1"/>
  <c r="BI253" i="9"/>
  <c r="BI254" i="9"/>
  <c r="BI282" i="9"/>
  <c r="BI296" i="9"/>
  <c r="BI313" i="9"/>
  <c r="BI323" i="9"/>
  <c r="BI346" i="9"/>
  <c r="BI351" i="9"/>
  <c r="BI378" i="9"/>
  <c r="E37" i="1" a="1"/>
  <c r="E36" i="1" a="1"/>
  <c r="E23" i="1" a="1"/>
  <c r="BI170" i="9"/>
  <c r="BI184" i="9"/>
  <c r="BI224" i="9"/>
  <c r="BI259" i="9"/>
  <c r="BI261" i="9"/>
  <c r="BI294" i="9"/>
  <c r="BI321" i="9"/>
  <c r="BI328" i="9"/>
  <c r="BI331" i="9"/>
  <c r="BI347" i="9"/>
  <c r="BI365" i="9"/>
  <c r="BI367" i="9"/>
  <c r="BI81" i="9"/>
  <c r="E35" i="1" a="1"/>
  <c r="E28" i="1" a="1"/>
  <c r="BI157" i="9"/>
  <c r="BI160" i="9"/>
  <c r="BI180" i="9"/>
  <c r="BI133" i="9"/>
  <c r="BI249" i="9"/>
  <c r="BI257" i="9"/>
  <c r="BI260" i="9"/>
  <c r="BI278" i="9"/>
  <c r="BI297" i="9"/>
  <c r="BI306" i="9"/>
  <c r="BI330" i="9"/>
  <c r="BI343" i="9"/>
  <c r="E24" i="1" a="1"/>
  <c r="E20" i="1" a="1"/>
  <c r="BI256" i="9"/>
  <c r="BI286" i="9"/>
  <c r="BI300" i="9"/>
  <c r="BI312" i="9"/>
  <c r="BI332" i="9"/>
  <c r="BI335" i="9"/>
  <c r="BI345" i="9"/>
  <c r="BI359" i="9"/>
  <c r="BI360" i="9"/>
  <c r="BI372" i="9"/>
  <c r="BI377" i="9"/>
  <c r="E16" i="1" a="1"/>
  <c r="E25" i="1" a="1"/>
  <c r="E32" i="1" a="1"/>
  <c r="E27" i="1" a="1"/>
  <c r="E33" i="1" a="1"/>
  <c r="E31" i="1" a="1"/>
  <c r="E22" i="1" a="1"/>
  <c r="E26" i="1" a="1"/>
  <c r="E34" i="1" a="1"/>
  <c r="E30" i="1" a="1"/>
  <c r="E38" i="1" a="1"/>
  <c r="G7" i="6" s="1" a="1"/>
  <c r="BI122" i="9"/>
  <c r="BI232" i="9"/>
  <c r="BI435" i="9"/>
  <c r="BI448" i="9"/>
  <c r="BI450" i="9"/>
  <c r="BI458" i="9"/>
  <c r="BI476" i="9"/>
  <c r="BI478" i="9"/>
  <c r="BI483" i="9"/>
  <c r="BI488" i="9"/>
  <c r="BI492" i="9"/>
  <c r="BI504" i="9"/>
  <c r="BI505" i="9"/>
  <c r="BI506" i="9"/>
  <c r="BI529" i="9"/>
  <c r="BI530" i="9"/>
  <c r="BI531" i="9"/>
  <c r="BI532" i="9"/>
  <c r="BI537" i="9"/>
  <c r="BI544" i="9"/>
  <c r="BI546" i="9"/>
  <c r="BI548" i="9"/>
  <c r="BI551" i="9"/>
  <c r="BI553" i="9"/>
  <c r="BI555" i="9"/>
  <c r="BI561" i="9"/>
  <c r="BI565" i="9"/>
  <c r="BI568" i="9"/>
  <c r="BI569" i="9"/>
  <c r="BI574" i="9"/>
  <c r="BI389" i="9"/>
  <c r="BI604" i="9"/>
  <c r="BI668" i="9"/>
  <c r="BI684" i="9"/>
  <c r="BI690" i="9"/>
  <c r="BI692" i="9"/>
  <c r="BI694" i="9"/>
  <c r="BI699" i="9"/>
  <c r="BI730" i="9"/>
  <c r="BI732" i="9"/>
  <c r="BI741" i="9"/>
  <c r="BI761" i="9"/>
  <c r="BI764" i="9"/>
  <c r="BI767" i="9"/>
  <c r="BI878" i="9"/>
  <c r="BI597" i="9"/>
  <c r="BI629" i="9"/>
  <c r="BI659" i="9"/>
  <c r="BI671" i="9"/>
  <c r="BI1014" i="9"/>
  <c r="BI1035" i="9"/>
  <c r="BI98" i="9"/>
  <c r="BI131" i="9"/>
  <c r="BI400" i="9"/>
  <c r="BI623" i="9"/>
  <c r="BI635" i="9"/>
  <c r="BI681" i="9"/>
  <c r="BI831" i="9"/>
  <c r="BI925" i="9"/>
  <c r="BI931" i="9"/>
  <c r="BI989" i="9"/>
  <c r="BI1032" i="9"/>
  <c r="BI56" i="9"/>
  <c r="BI93" i="9"/>
  <c r="BI384" i="9"/>
  <c r="BI594" i="9"/>
  <c r="BI806" i="9"/>
  <c r="BI811" i="9"/>
  <c r="BI827" i="9"/>
  <c r="BI858" i="9"/>
  <c r="BI882" i="9"/>
  <c r="BI918" i="9"/>
  <c r="BI940" i="9"/>
  <c r="BI983" i="9"/>
  <c r="BI1010" i="9"/>
  <c r="BI126" i="9"/>
  <c r="BI155" i="9"/>
  <c r="BI385" i="9"/>
  <c r="BI406" i="9"/>
  <c r="BI598" i="9"/>
  <c r="BI618" i="9"/>
  <c r="BI621" i="9"/>
  <c r="BI678" i="9"/>
  <c r="BI800" i="9"/>
  <c r="BI868" i="9"/>
  <c r="BI915" i="9"/>
  <c r="BI917" i="9"/>
  <c r="BI982" i="9"/>
  <c r="BI988" i="9"/>
  <c r="BI1000" i="9"/>
  <c r="BI1027" i="9"/>
  <c r="BI70" i="9"/>
  <c r="BI121" i="9"/>
  <c r="BI129" i="9"/>
  <c r="BI191" i="9"/>
  <c r="BI196" i="9"/>
  <c r="BI386" i="9"/>
  <c r="BI444" i="9"/>
  <c r="BI608" i="9"/>
  <c r="BI625" i="9"/>
  <c r="BI682" i="9"/>
  <c r="BI939" i="9"/>
  <c r="BI953" i="9"/>
  <c r="BI978" i="9"/>
  <c r="BI118" i="9"/>
  <c r="BI135" i="9"/>
  <c r="BI244" i="9"/>
  <c r="BI609" i="9"/>
  <c r="BI628" i="9"/>
  <c r="BI721" i="9"/>
  <c r="BI744" i="9"/>
  <c r="BI47" i="9"/>
  <c r="BI193" i="9"/>
  <c r="BI796" i="9"/>
  <c r="BI815" i="9"/>
  <c r="BI821" i="9"/>
  <c r="BI853" i="9"/>
  <c r="BI883" i="9"/>
  <c r="BI930" i="9"/>
  <c r="BI40" i="9"/>
  <c r="BI73" i="9"/>
  <c r="BI116" i="9"/>
  <c r="BI166" i="9"/>
  <c r="BI233" i="9"/>
  <c r="BI432" i="9"/>
  <c r="BI434" i="9"/>
  <c r="BI611" i="9"/>
  <c r="BI920" i="9"/>
  <c r="BI985" i="9"/>
  <c r="BI991" i="9"/>
  <c r="BI1013" i="9"/>
  <c r="BI1029" i="9"/>
  <c r="BI50" i="9"/>
  <c r="BI114" i="9"/>
  <c r="BI212" i="9"/>
  <c r="BI220" i="9"/>
  <c r="BI383" i="9"/>
  <c r="BI391" i="9"/>
  <c r="BI445" i="9"/>
  <c r="BI799" i="9"/>
  <c r="BI851" i="9"/>
  <c r="BI891" i="9"/>
  <c r="BI990" i="9"/>
  <c r="BI996" i="9"/>
  <c r="BI720" i="9"/>
  <c r="BI724" i="9"/>
  <c r="BI731" i="9"/>
  <c r="BI742" i="9"/>
  <c r="BI747" i="9"/>
  <c r="BI754" i="9"/>
  <c r="BI885" i="9"/>
  <c r="AO38" i="5" l="1"/>
  <c r="AO28" i="5"/>
  <c r="AO37" i="5"/>
  <c r="AO30" i="5"/>
  <c r="AO59" i="5"/>
  <c r="AO85" i="5"/>
  <c r="AO63" i="5"/>
  <c r="AO5" i="5"/>
  <c r="AO79" i="5"/>
  <c r="AO71" i="5"/>
  <c r="AO9" i="5"/>
  <c r="AO48" i="5"/>
  <c r="AL4" i="5" a="1"/>
  <c r="AL27" i="5" a="1"/>
  <c r="AL42" i="5" a="1"/>
  <c r="AL56" i="5" a="1"/>
  <c r="AL70" i="5" a="1"/>
  <c r="AL88" i="5" a="1"/>
  <c r="AL5" i="5" a="1"/>
  <c r="AL20" i="5" a="1"/>
  <c r="AL36" i="5" a="1"/>
  <c r="AL66" i="5" a="1"/>
  <c r="AL82" i="5" a="1"/>
  <c r="AL6" i="5" a="1"/>
  <c r="AL33" i="5" a="1"/>
  <c r="AL48" i="5" a="1"/>
  <c r="AL63" i="5" a="1"/>
  <c r="AL80" i="5" a="1"/>
  <c r="AL7" i="5" a="1"/>
  <c r="AL29" i="5" a="1"/>
  <c r="AL47" i="5" a="1"/>
  <c r="AL60" i="5" a="1"/>
  <c r="AL78" i="5" a="1"/>
  <c r="AL91" i="5" a="1"/>
  <c r="AL11" i="5" a="1"/>
  <c r="AL34" i="5" a="1"/>
  <c r="AL49" i="5" a="1"/>
  <c r="AL64" i="5" a="1"/>
  <c r="AL76" i="5" a="1"/>
  <c r="AL92" i="5" a="1"/>
  <c r="AL15" i="5" a="1"/>
  <c r="AL51" i="5" a="1"/>
  <c r="AL67" i="5" a="1"/>
  <c r="AL83" i="5" a="1"/>
  <c r="AL8" i="5" a="1"/>
  <c r="AL24" i="5" a="1"/>
  <c r="AL38" i="5" a="1"/>
  <c r="AL68" i="5" a="1"/>
  <c r="AL84" i="5" a="1"/>
  <c r="AL9" i="5" a="1"/>
  <c r="AL26" i="5" a="1"/>
  <c r="AL41" i="5" a="1"/>
  <c r="AL55" i="5" a="1"/>
  <c r="AL73" i="5" a="1"/>
  <c r="AL89" i="5" a="1"/>
  <c r="AL10" i="5" a="1"/>
  <c r="AL21" i="5" a="1"/>
  <c r="AL39" i="5" a="1"/>
  <c r="AL54" i="5" a="1"/>
  <c r="AL71" i="5" a="1"/>
  <c r="AL87" i="5" a="1"/>
  <c r="AL13" i="5" a="1"/>
  <c r="AL28" i="5" a="1"/>
  <c r="AL45" i="5" a="1"/>
  <c r="AL62" i="5" a="1"/>
  <c r="AL79" i="5" a="1"/>
  <c r="AL14" i="5" a="1"/>
  <c r="AL30" i="5" a="1"/>
  <c r="AL46" i="5" a="1"/>
  <c r="AL61" i="5" a="1"/>
  <c r="AL77" i="5" a="1"/>
  <c r="AL12" i="5" a="1"/>
  <c r="AL25" i="5" a="1"/>
  <c r="AL37" i="5" a="1"/>
  <c r="AL53" i="5" a="1"/>
  <c r="AL69" i="5" a="1"/>
  <c r="AL85" i="5" a="1"/>
  <c r="AL16" i="5" a="1"/>
  <c r="AL22" i="5" a="1"/>
  <c r="AL43" i="5" a="1"/>
  <c r="AL58" i="5" a="1"/>
  <c r="AL75" i="5" a="1"/>
  <c r="AL90" i="5" a="1"/>
  <c r="AL18" i="5" a="1"/>
  <c r="AL31" i="5" a="1"/>
  <c r="AL50" i="5" a="1"/>
  <c r="AL65" i="5" a="1"/>
  <c r="AL81" i="5" a="1"/>
  <c r="AL17" i="5" a="1"/>
  <c r="AL23" i="5" a="1"/>
  <c r="AL40" i="5" a="1"/>
  <c r="AL57" i="5" a="1"/>
  <c r="AL72" i="5" a="1"/>
  <c r="AL86" i="5" a="1"/>
  <c r="AL19" i="5" a="1"/>
  <c r="AL32" i="5" a="1"/>
  <c r="AL44" i="5" a="1"/>
  <c r="AL59" i="5" a="1"/>
  <c r="AL74" i="5" a="1"/>
  <c r="AJ14" i="5" a="1"/>
  <c r="AJ21" i="5" a="1"/>
  <c r="AJ27" i="5" a="1"/>
  <c r="AJ31" i="5" a="1"/>
  <c r="AJ34" i="5" a="1"/>
  <c r="AJ46" i="5" a="1"/>
  <c r="AJ60" i="5" a="1"/>
  <c r="AJ70" i="5" a="1"/>
  <c r="AJ82" i="5" a="1"/>
  <c r="AN5" i="5" a="1"/>
  <c r="AN18" i="5" a="1"/>
  <c r="AN31" i="5" a="1"/>
  <c r="AN43" i="5" a="1"/>
  <c r="AN55" i="5" a="1"/>
  <c r="AN66" i="5" a="1"/>
  <c r="AN81" i="5" a="1"/>
  <c r="AJ4" i="5" a="1"/>
  <c r="AJ22" i="5" a="1"/>
  <c r="AN25" i="5" a="1"/>
  <c r="AN41" i="5" a="1"/>
  <c r="AN56" i="5" a="1"/>
  <c r="AN69" i="5" a="1"/>
  <c r="AN83" i="5" a="1"/>
  <c r="AJ10" i="5" a="1"/>
  <c r="AJ30" i="5" a="1"/>
  <c r="AJ38" i="5" a="1"/>
  <c r="AJ50" i="5" a="1"/>
  <c r="AJ62" i="5" a="1"/>
  <c r="AJ74" i="5" a="1"/>
  <c r="AN16" i="5" a="1"/>
  <c r="AN32" i="5" a="1"/>
  <c r="AN44" i="5" a="1"/>
  <c r="AN58" i="5" a="1"/>
  <c r="AN71" i="5" a="1"/>
  <c r="AN86" i="5" a="1"/>
  <c r="AJ9" i="5" a="1"/>
  <c r="AJ26" i="5" a="1"/>
  <c r="AJ36" i="5" a="1"/>
  <c r="AJ48" i="5" a="1"/>
  <c r="AJ57" i="5" a="1"/>
  <c r="AJ68" i="5" a="1"/>
  <c r="AJ84" i="5" a="1"/>
  <c r="AN7" i="5" a="1"/>
  <c r="AN17" i="5" a="1"/>
  <c r="AN30" i="5" a="1"/>
  <c r="AN38" i="5" a="1"/>
  <c r="AN50" i="5" a="1"/>
  <c r="AN62" i="5" a="1"/>
  <c r="AN76" i="5" a="1"/>
  <c r="AN90" i="5" a="1"/>
  <c r="AJ8" i="5" a="1"/>
  <c r="AJ20" i="5" a="1"/>
  <c r="AJ45" i="5" a="1"/>
  <c r="AJ56" i="5" a="1"/>
  <c r="AJ67" i="5" a="1"/>
  <c r="AJ79" i="5" a="1"/>
  <c r="AJ91" i="5" a="1"/>
  <c r="AN12" i="5" a="1"/>
  <c r="AN24" i="5" a="1"/>
  <c r="AN37" i="5" a="1"/>
  <c r="AN48" i="5" a="1"/>
  <c r="AN61" i="5" a="1"/>
  <c r="AN75" i="5" a="1"/>
  <c r="AN88" i="5" a="1"/>
  <c r="AJ5" i="5" a="1"/>
  <c r="AJ23" i="5" a="1"/>
  <c r="AJ32" i="5" a="1"/>
  <c r="AJ35" i="5" a="1"/>
  <c r="AJ47" i="5" a="1"/>
  <c r="AJ55" i="5" a="1"/>
  <c r="AJ66" i="5" a="1"/>
  <c r="AJ78" i="5" a="1"/>
  <c r="AJ90" i="5" a="1"/>
  <c r="AN11" i="5" a="1"/>
  <c r="AN53" i="5" a="1"/>
  <c r="AN67" i="5" a="1"/>
  <c r="AN79" i="5" a="1"/>
  <c r="AN91" i="5" a="1"/>
  <c r="AJ7" i="5" a="1"/>
  <c r="AJ11" i="5" a="1"/>
  <c r="AJ58" i="5" a="1"/>
  <c r="AJ89" i="5" a="1"/>
  <c r="AN13" i="5" a="1"/>
  <c r="AN26" i="5" a="1"/>
  <c r="AN40" i="5" a="1"/>
  <c r="AN54" i="5" a="1"/>
  <c r="AN68" i="5" a="1"/>
  <c r="AN82" i="5" a="1"/>
  <c r="AJ13" i="5" a="1"/>
  <c r="AJ29" i="5" a="1"/>
  <c r="AJ37" i="5" a="1"/>
  <c r="AJ49" i="5" a="1"/>
  <c r="AJ61" i="5" a="1"/>
  <c r="AJ72" i="5" a="1"/>
  <c r="AJ85" i="5" a="1"/>
  <c r="AN14" i="5" a="1"/>
  <c r="AN28" i="5" a="1"/>
  <c r="AN42" i="5" a="1"/>
  <c r="AN57" i="5" a="1"/>
  <c r="AN70" i="5" a="1"/>
  <c r="AN84" i="5" a="1"/>
  <c r="AJ15" i="5" a="1"/>
  <c r="AJ25" i="5" a="1"/>
  <c r="AJ39" i="5" a="1"/>
  <c r="AJ51" i="5" a="1"/>
  <c r="AJ65" i="5" a="1"/>
  <c r="AJ77" i="5" a="1"/>
  <c r="AJ92" i="5" a="1"/>
  <c r="AN22" i="5" a="1"/>
  <c r="AN47" i="5" a="1"/>
  <c r="AN63" i="5" a="1"/>
  <c r="AN77" i="5" a="1"/>
  <c r="AJ12" i="5" a="1"/>
  <c r="AJ44" i="5" a="1"/>
  <c r="AJ64" i="5" a="1"/>
  <c r="AJ76" i="5" a="1"/>
  <c r="AJ88" i="5" a="1"/>
  <c r="AN27" i="5" a="1"/>
  <c r="AJ6" i="5" a="1"/>
  <c r="AJ24" i="5" a="1"/>
  <c r="AJ41" i="5" a="1"/>
  <c r="AJ63" i="5" a="1"/>
  <c r="AJ75" i="5" a="1"/>
  <c r="AJ86" i="5" a="1"/>
  <c r="AN9" i="5" a="1"/>
  <c r="AN21" i="5" a="1"/>
  <c r="AN33" i="5" a="1"/>
  <c r="AN45" i="5" a="1"/>
  <c r="AN59" i="5" a="1"/>
  <c r="AN72" i="5" a="1"/>
  <c r="AN85" i="5" a="1"/>
  <c r="AJ17" i="5" a="1"/>
  <c r="AJ28" i="5" a="1"/>
  <c r="AJ42" i="5" a="1"/>
  <c r="AJ59" i="5" a="1"/>
  <c r="AJ69" i="5" a="1"/>
  <c r="AJ80" i="5" a="1"/>
  <c r="AN4" i="5" a="1"/>
  <c r="AN15" i="5" a="1"/>
  <c r="AN29" i="5" a="1"/>
  <c r="AN39" i="5" a="1"/>
  <c r="AN52" i="5" a="1"/>
  <c r="AN64" i="5" a="1"/>
  <c r="AN78" i="5" a="1"/>
  <c r="AN92" i="5" a="1"/>
  <c r="AJ16" i="5" a="1"/>
  <c r="AJ54" i="5" a="1"/>
  <c r="AJ81" i="5" a="1"/>
  <c r="AN6" i="5" a="1"/>
  <c r="AN19" i="5" a="1"/>
  <c r="AN51" i="5" a="1"/>
  <c r="AN73" i="5" a="1"/>
  <c r="AN87" i="5" a="1"/>
  <c r="AJ18" i="5" a="1"/>
  <c r="AJ33" i="5" a="1"/>
  <c r="AJ43" i="5" a="1"/>
  <c r="AJ53" i="5" a="1"/>
  <c r="AJ71" i="5" a="1"/>
  <c r="AJ83" i="5" a="1"/>
  <c r="AN8" i="5" a="1"/>
  <c r="AN20" i="5" a="1"/>
  <c r="AN34" i="5" a="1"/>
  <c r="AN46" i="5" a="1"/>
  <c r="AN60" i="5" a="1"/>
  <c r="AN74" i="5" a="1"/>
  <c r="AN89" i="5" a="1"/>
  <c r="AJ19" i="5" a="1"/>
  <c r="AJ40" i="5" a="1"/>
  <c r="AJ73" i="5" a="1"/>
  <c r="AJ87" i="5" a="1"/>
  <c r="AN10" i="5" a="1"/>
  <c r="AN23" i="5" a="1"/>
  <c r="AN36" i="5" a="1"/>
  <c r="AN49" i="5" a="1"/>
  <c r="AN65" i="5" a="1"/>
  <c r="AN80" i="5" a="1"/>
  <c r="AR6" i="5" a="1"/>
  <c r="AR20" i="5" a="1"/>
  <c r="AR34" i="5" a="1"/>
  <c r="AR45" i="5" a="1"/>
  <c r="AR56" i="5" a="1"/>
  <c r="AR70" i="5" a="1"/>
  <c r="AR85" i="5" a="1"/>
  <c r="AR4" i="5" a="1"/>
  <c r="AR22" i="5" a="1"/>
  <c r="AR30" i="5" a="1"/>
  <c r="AR40" i="5" a="1"/>
  <c r="AR50" i="5" a="1"/>
  <c r="AR60" i="5" a="1"/>
  <c r="AR72" i="5" a="1"/>
  <c r="AR88" i="5" a="1"/>
  <c r="AR5" i="5" a="1"/>
  <c r="AR21" i="5" a="1"/>
  <c r="AR31" i="5" a="1"/>
  <c r="AR43" i="5" a="1"/>
  <c r="AR53" i="5" a="1"/>
  <c r="AR66" i="5" a="1"/>
  <c r="AR81" i="5" a="1"/>
  <c r="AR10" i="5" a="1"/>
  <c r="AR26" i="5" a="1"/>
  <c r="AR49" i="5" a="1"/>
  <c r="AR61" i="5" a="1"/>
  <c r="AR75" i="5" a="1"/>
  <c r="AR87" i="5" a="1"/>
  <c r="AR11" i="5" a="1"/>
  <c r="AR42" i="5" a="1"/>
  <c r="AR68" i="5" a="1"/>
  <c r="AR83" i="5" a="1"/>
  <c r="AR7" i="5" a="1"/>
  <c r="AR24" i="5" a="1"/>
  <c r="AR8" i="5" a="1"/>
  <c r="AR23" i="5" a="1"/>
  <c r="AR52" i="5" a="1"/>
  <c r="AR65" i="5" a="1"/>
  <c r="AR79" i="5" a="1"/>
  <c r="AR9" i="5" a="1"/>
  <c r="AR33" i="5" a="1"/>
  <c r="AR54" i="5" a="1"/>
  <c r="AR67" i="5" a="1"/>
  <c r="AR82" i="5" a="1"/>
  <c r="AR12" i="5" a="1"/>
  <c r="AR32" i="5" a="1"/>
  <c r="AR63" i="5" a="1"/>
  <c r="AR78" i="5" a="1"/>
  <c r="AR13" i="5" a="1"/>
  <c r="AR37" i="5" a="1"/>
  <c r="AR76" i="5" a="1"/>
  <c r="AR91" i="5" a="1"/>
  <c r="AR14" i="5" a="1"/>
  <c r="AR27" i="5" a="1"/>
  <c r="AR35" i="5" a="1"/>
  <c r="AR47" i="5" a="1"/>
  <c r="AR57" i="5" a="1"/>
  <c r="AR73" i="5" a="1"/>
  <c r="AR89" i="5" a="1"/>
  <c r="AR15" i="5" a="1"/>
  <c r="AR39" i="5" a="1"/>
  <c r="AR62" i="5" a="1"/>
  <c r="AR77" i="5" a="1"/>
  <c r="AR92" i="5" a="1"/>
  <c r="AR19" i="5" a="1"/>
  <c r="AR29" i="5" a="1"/>
  <c r="AR46" i="5" a="1"/>
  <c r="AR58" i="5" a="1"/>
  <c r="AR74" i="5" a="1"/>
  <c r="AR90" i="5" a="1"/>
  <c r="AR16" i="5" a="1"/>
  <c r="AR25" i="5" a="1"/>
  <c r="AR36" i="5" a="1"/>
  <c r="AR44" i="5" a="1"/>
  <c r="AR55" i="5" a="1"/>
  <c r="AR69" i="5" a="1"/>
  <c r="AR84" i="5" a="1"/>
  <c r="AR18" i="5" a="1"/>
  <c r="AR38" i="5" a="1"/>
  <c r="AR48" i="5" a="1"/>
  <c r="AR59" i="5" a="1"/>
  <c r="AR71" i="5" a="1"/>
  <c r="AR86" i="5" a="1"/>
  <c r="AR17" i="5" a="1"/>
  <c r="AR28" i="5" a="1"/>
  <c r="AR41" i="5" a="1"/>
  <c r="AR51" i="5" a="1"/>
  <c r="AR64" i="5" a="1"/>
  <c r="AR80" i="5" a="1"/>
  <c r="AP45" i="5"/>
  <c r="AU92" i="5"/>
  <c r="AU90" i="5"/>
  <c r="AU79" i="5"/>
  <c r="AU59" i="5"/>
  <c r="AU71" i="5"/>
  <c r="AU17" i="5"/>
  <c r="AU7" i="5"/>
  <c r="AU82" i="5"/>
  <c r="AU42" i="5"/>
  <c r="AU29" i="5"/>
  <c r="AU18" i="5"/>
  <c r="AU9" i="5"/>
  <c r="AU48" i="5"/>
  <c r="AU84" i="5"/>
  <c r="AU37" i="5"/>
  <c r="AU73" i="5"/>
  <c r="AU46" i="5"/>
  <c r="AU24" i="5"/>
  <c r="AU50" i="5"/>
  <c r="AU40" i="5"/>
  <c r="AU8" i="5"/>
  <c r="AU30" i="5"/>
  <c r="AU14" i="5"/>
  <c r="AU26" i="5"/>
  <c r="AU69" i="5"/>
  <c r="AU57" i="5"/>
  <c r="AU78" i="5"/>
  <c r="AH54" i="5"/>
  <c r="AI54" i="5" s="1"/>
  <c r="AH69" i="5"/>
  <c r="AI69" i="5" s="1"/>
  <c r="AH34" i="5"/>
  <c r="AI34" i="5" s="1"/>
  <c r="AH18" i="5"/>
  <c r="AI18" i="5" s="1"/>
  <c r="AH35" i="5"/>
  <c r="AH49" i="5"/>
  <c r="AI49" i="5" s="1"/>
  <c r="AH7" i="5"/>
  <c r="AI7" i="5" s="1"/>
  <c r="AG24" i="5"/>
  <c r="AG73" i="5"/>
  <c r="AM73" i="5" s="1"/>
  <c r="AG36" i="5"/>
  <c r="AM36" i="5" s="1"/>
  <c r="AU39" i="5"/>
  <c r="AU62" i="5"/>
  <c r="AU65" i="5"/>
  <c r="AU11" i="5"/>
  <c r="AU36" i="5"/>
  <c r="AU23" i="5"/>
  <c r="AU28" i="5"/>
  <c r="AU43" i="5"/>
  <c r="AU27" i="5"/>
  <c r="AU34" i="5"/>
  <c r="AU56" i="5"/>
  <c r="AU38" i="5"/>
  <c r="AU49" i="5"/>
  <c r="AU20" i="5"/>
  <c r="AU85" i="5"/>
  <c r="AU25" i="5"/>
  <c r="AU31" i="5"/>
  <c r="AU10" i="5"/>
  <c r="AU54" i="5"/>
  <c r="AU15" i="5"/>
  <c r="AU70" i="5"/>
  <c r="AU22" i="5"/>
  <c r="AU45" i="5"/>
  <c r="AU5" i="5"/>
  <c r="AU32" i="5"/>
  <c r="AU44" i="5"/>
  <c r="AG9" i="5"/>
  <c r="AM9" i="5" s="1"/>
  <c r="AH47" i="5"/>
  <c r="AI47" i="5" s="1"/>
  <c r="AH11" i="5"/>
  <c r="AI11" i="5" s="1"/>
  <c r="AH32" i="5"/>
  <c r="AI32" i="5" s="1"/>
  <c r="AH39" i="5"/>
  <c r="AI39" i="5" s="1"/>
  <c r="AG62" i="5"/>
  <c r="AH21" i="5"/>
  <c r="AI21" i="5" s="1"/>
  <c r="AH68" i="5"/>
  <c r="AI68" i="5" s="1"/>
  <c r="AG80" i="5"/>
  <c r="AG44" i="5"/>
  <c r="AP55" i="5"/>
  <c r="AP86" i="5"/>
  <c r="AP77" i="5"/>
  <c r="AP74" i="5"/>
  <c r="AP51" i="5"/>
  <c r="AP73" i="5"/>
  <c r="AP92" i="5"/>
  <c r="AP75" i="5"/>
  <c r="AP44" i="5"/>
  <c r="AP67" i="5"/>
  <c r="AP82" i="5"/>
  <c r="AP50" i="5"/>
  <c r="AP26" i="5"/>
  <c r="AG61" i="5"/>
  <c r="AG72" i="5"/>
  <c r="AH73" i="5"/>
  <c r="AI73" i="5" s="1"/>
  <c r="AG16" i="5"/>
  <c r="AM16" i="5" s="1"/>
  <c r="AH27" i="5"/>
  <c r="AI27" i="5" s="1"/>
  <c r="AG30" i="5"/>
  <c r="AM30" i="5" s="1"/>
  <c r="AG33" i="5"/>
  <c r="AH36" i="5"/>
  <c r="AI36" i="5" s="1"/>
  <c r="AG40" i="5"/>
  <c r="AH44" i="5"/>
  <c r="AI44" i="5" s="1"/>
  <c r="AG58" i="5"/>
  <c r="AH72" i="5"/>
  <c r="AI72" i="5" s="1"/>
  <c r="AH77" i="5"/>
  <c r="AI77" i="5" s="1"/>
  <c r="AG5" i="5"/>
  <c r="AH16" i="5"/>
  <c r="AI16" i="5" s="1"/>
  <c r="AG19" i="5"/>
  <c r="AH30" i="5"/>
  <c r="AI30" i="5" s="1"/>
  <c r="AH33" i="5"/>
  <c r="AI33" i="5" s="1"/>
  <c r="AH40" i="5"/>
  <c r="AI40" i="5" s="1"/>
  <c r="AH58" i="5"/>
  <c r="AI58" i="5" s="1"/>
  <c r="AG59" i="5"/>
  <c r="AH67" i="5"/>
  <c r="AI67" i="5" s="1"/>
  <c r="AG84" i="5"/>
  <c r="AH5" i="5"/>
  <c r="AI5" i="5" s="1"/>
  <c r="AG8" i="5"/>
  <c r="AH19" i="5"/>
  <c r="AI19" i="5" s="1"/>
  <c r="AG22" i="5"/>
  <c r="AH59" i="5"/>
  <c r="AI59" i="5" s="1"/>
  <c r="AG71" i="5"/>
  <c r="AH84" i="5"/>
  <c r="AI84" i="5" s="1"/>
  <c r="AG11" i="5"/>
  <c r="AH22" i="5"/>
  <c r="AI22" i="5" s="1"/>
  <c r="AG25" i="5"/>
  <c r="AM25" i="5" s="1"/>
  <c r="AG45" i="5"/>
  <c r="AM45" i="5" s="1"/>
  <c r="AG56" i="5"/>
  <c r="AG57" i="5"/>
  <c r="AG14" i="5"/>
  <c r="AH25" i="5"/>
  <c r="AI25" i="5" s="1"/>
  <c r="AG28" i="5"/>
  <c r="AG37" i="5"/>
  <c r="AH41" i="5"/>
  <c r="AI41" i="5" s="1"/>
  <c r="AH45" i="5"/>
  <c r="AI45" i="5" s="1"/>
  <c r="AH55" i="5"/>
  <c r="AI55" i="5" s="1"/>
  <c r="AH56" i="5"/>
  <c r="AI56" i="5" s="1"/>
  <c r="AG70" i="5"/>
  <c r="AG76" i="5"/>
  <c r="AH86" i="5"/>
  <c r="AI86" i="5" s="1"/>
  <c r="AH14" i="5"/>
  <c r="AI14" i="5" s="1"/>
  <c r="AG17" i="5"/>
  <c r="AH28" i="5"/>
  <c r="AI28" i="5" s="1"/>
  <c r="AG31" i="5"/>
  <c r="AP14" i="5"/>
  <c r="AP30" i="5"/>
  <c r="AP88" i="5"/>
  <c r="AP90" i="5"/>
  <c r="AP70" i="5"/>
  <c r="AP64" i="5"/>
  <c r="AP60" i="5"/>
  <c r="AP36" i="5"/>
  <c r="AP24" i="5"/>
  <c r="AP7" i="5"/>
  <c r="AP80" i="5"/>
  <c r="AP29" i="5"/>
  <c r="AP52" i="5"/>
  <c r="AU63" i="5"/>
  <c r="AU88" i="5"/>
  <c r="AU77" i="5"/>
  <c r="AU91" i="5"/>
  <c r="AU66" i="5"/>
  <c r="AU80" i="5"/>
  <c r="AU83" i="5"/>
  <c r="AU58" i="5"/>
  <c r="AU72" i="5"/>
  <c r="AU86" i="5"/>
  <c r="AU47" i="5"/>
  <c r="AU61" i="5"/>
  <c r="AU75" i="5"/>
  <c r="AG52" i="5"/>
  <c r="AG39" i="5"/>
  <c r="AG21" i="5"/>
  <c r="AH43" i="5"/>
  <c r="AI43" i="5" s="1"/>
  <c r="AG10" i="5"/>
  <c r="AH51" i="5"/>
  <c r="AI51" i="5" s="1"/>
  <c r="AG27" i="5"/>
  <c r="BI518" i="9"/>
  <c r="BI588" i="9"/>
  <c r="BI842" i="9"/>
  <c r="BI845" i="9"/>
  <c r="BI966" i="9"/>
  <c r="BI975" i="9"/>
  <c r="BI1040" i="9"/>
  <c r="BI519" i="9"/>
  <c r="BI584" i="9"/>
  <c r="BI841" i="9"/>
  <c r="BI899" i="9"/>
  <c r="BI903" i="9"/>
  <c r="BI964" i="9"/>
  <c r="BI969" i="9"/>
  <c r="S8" i="9"/>
  <c r="W4507" i="9"/>
  <c r="AO3" i="8" s="1" a="1"/>
  <c r="BH408" i="9"/>
  <c r="BI408" i="9"/>
  <c r="BI416" i="9"/>
  <c r="BH416" i="9"/>
  <c r="BI417" i="9"/>
  <c r="BH417" i="9"/>
  <c r="BI418" i="9"/>
  <c r="BH418" i="9"/>
  <c r="BI464" i="9"/>
  <c r="BH464" i="9"/>
  <c r="BH466" i="9"/>
  <c r="BI466" i="9"/>
  <c r="BH523" i="9"/>
  <c r="BI523" i="9"/>
  <c r="BI651" i="9"/>
  <c r="BH651" i="9"/>
  <c r="BH709" i="9"/>
  <c r="BI709" i="9"/>
  <c r="BH712" i="9"/>
  <c r="BI712" i="9"/>
  <c r="BI714" i="9"/>
  <c r="BH714" i="9"/>
  <c r="BI716" i="9"/>
  <c r="BH716" i="9"/>
  <c r="BH719" i="9"/>
  <c r="BI719" i="9"/>
  <c r="BI769" i="9"/>
  <c r="BH769" i="9"/>
  <c r="BH774" i="9"/>
  <c r="BI774" i="9"/>
  <c r="BI777" i="9"/>
  <c r="BH777" i="9"/>
  <c r="BH783" i="9"/>
  <c r="BI783" i="9"/>
  <c r="BI527" i="9"/>
  <c r="BH527" i="9"/>
  <c r="BI583" i="9"/>
  <c r="BH583" i="9"/>
  <c r="BI642" i="9"/>
  <c r="BH642" i="9"/>
  <c r="BH832" i="9"/>
  <c r="BI832" i="9"/>
  <c r="BI898" i="9"/>
  <c r="BH898" i="9"/>
  <c r="BI907" i="9"/>
  <c r="BH907" i="9"/>
  <c r="BI968" i="9"/>
  <c r="BH968" i="9"/>
  <c r="BI1039" i="9"/>
  <c r="BH1039" i="9"/>
  <c r="BI1051" i="9"/>
  <c r="BH1051" i="9"/>
  <c r="BH1061" i="9"/>
  <c r="BI1061" i="9"/>
  <c r="BH1064" i="9"/>
  <c r="BI1064" i="9"/>
  <c r="BH117" i="9"/>
  <c r="BI117" i="9"/>
  <c r="BI91" i="9"/>
  <c r="BH91" i="9"/>
  <c r="BH349" i="9"/>
  <c r="BI349" i="9"/>
  <c r="BI307" i="9"/>
  <c r="BH307" i="9"/>
  <c r="BH305" i="9"/>
  <c r="BI305" i="9"/>
  <c r="BI298" i="9"/>
  <c r="BH298" i="9"/>
  <c r="BH291" i="9"/>
  <c r="BI291" i="9"/>
  <c r="BI250" i="9"/>
  <c r="BH250" i="9"/>
  <c r="BH92" i="9"/>
  <c r="BI92" i="9"/>
  <c r="BH68" i="9"/>
  <c r="BI68" i="9"/>
  <c r="BH179" i="9"/>
  <c r="BI179" i="9"/>
  <c r="BI823" i="9"/>
  <c r="BH823" i="9"/>
  <c r="BI620" i="9"/>
  <c r="BH620" i="9"/>
  <c r="BI442" i="9"/>
  <c r="BH442" i="9"/>
  <c r="BH231" i="9"/>
  <c r="BI231" i="9"/>
  <c r="BH202" i="9"/>
  <c r="BI202" i="9"/>
  <c r="BH105" i="9"/>
  <c r="BI105" i="9"/>
  <c r="BI79" i="9"/>
  <c r="BH79" i="9"/>
  <c r="BI36" i="9"/>
  <c r="BH36" i="9"/>
  <c r="BI897" i="9"/>
  <c r="BH897" i="9"/>
  <c r="BH852" i="9"/>
  <c r="BI852" i="9"/>
  <c r="BH679" i="9"/>
  <c r="BI679" i="9"/>
  <c r="BI215" i="9"/>
  <c r="BH215" i="9"/>
  <c r="BH31" i="9"/>
  <c r="BI31" i="9"/>
  <c r="BH15" i="9"/>
  <c r="BI15" i="9"/>
  <c r="BI759" i="9"/>
  <c r="BH759" i="9"/>
  <c r="BI750" i="9"/>
  <c r="BH750" i="9"/>
  <c r="BH743" i="9"/>
  <c r="BI743" i="9"/>
  <c r="BH737" i="9"/>
  <c r="BI737" i="9"/>
  <c r="BI728" i="9"/>
  <c r="BH728" i="9"/>
  <c r="BH727" i="9"/>
  <c r="BI727" i="9"/>
  <c r="BI718" i="9"/>
  <c r="BH718" i="9"/>
  <c r="BH713" i="9"/>
  <c r="BI713" i="9"/>
  <c r="BI1060" i="9"/>
  <c r="BH1060" i="9"/>
  <c r="BI1053" i="9"/>
  <c r="BH1053" i="9"/>
  <c r="BH1025" i="9"/>
  <c r="BI1025" i="9"/>
  <c r="BI1008" i="9"/>
  <c r="BH1008" i="9"/>
  <c r="BH1003" i="9"/>
  <c r="BI1003" i="9"/>
  <c r="BI1001" i="9"/>
  <c r="BH1001" i="9"/>
  <c r="BH998" i="9"/>
  <c r="BI998" i="9"/>
  <c r="BI986" i="9"/>
  <c r="BH986" i="9"/>
  <c r="BI977" i="9"/>
  <c r="BH977" i="9"/>
  <c r="BH974" i="9"/>
  <c r="BI974" i="9"/>
  <c r="BI961" i="9"/>
  <c r="BH961" i="9"/>
  <c r="BH938" i="9"/>
  <c r="BI938" i="9"/>
  <c r="BH908" i="9"/>
  <c r="BI908" i="9"/>
  <c r="BH901" i="9"/>
  <c r="BI901" i="9"/>
  <c r="BH869" i="9"/>
  <c r="BI869" i="9"/>
  <c r="BH860" i="9"/>
  <c r="BI860" i="9"/>
  <c r="BH792" i="9"/>
  <c r="BI792" i="9"/>
  <c r="BH784" i="9"/>
  <c r="BI784" i="9"/>
  <c r="BH770" i="9"/>
  <c r="BI770" i="9"/>
  <c r="BH624" i="9"/>
  <c r="BI624" i="9"/>
  <c r="BI606" i="9"/>
  <c r="BH606" i="9"/>
  <c r="BH605" i="9"/>
  <c r="BI605" i="9"/>
  <c r="BH580" i="9"/>
  <c r="BI580" i="9"/>
  <c r="BH441" i="9"/>
  <c r="BI441" i="9"/>
  <c r="BI437" i="9"/>
  <c r="BH437" i="9"/>
  <c r="BI430" i="9"/>
  <c r="BH430" i="9"/>
  <c r="BI422" i="9"/>
  <c r="BH422" i="9"/>
  <c r="BI394" i="9"/>
  <c r="BH394" i="9"/>
  <c r="BI245" i="9"/>
  <c r="BH245" i="9"/>
  <c r="BH227" i="9"/>
  <c r="BI227" i="9"/>
  <c r="BI206" i="9"/>
  <c r="BH206" i="9"/>
  <c r="BI200" i="9"/>
  <c r="BH200" i="9"/>
  <c r="BH197" i="9"/>
  <c r="BI197" i="9"/>
  <c r="BH167" i="9"/>
  <c r="BI167" i="9"/>
  <c r="BH163" i="9"/>
  <c r="BI163" i="9"/>
  <c r="BH123" i="9"/>
  <c r="BI123" i="9"/>
  <c r="BI108" i="9"/>
  <c r="BH108" i="9"/>
  <c r="BH102" i="9"/>
  <c r="BI102" i="9"/>
  <c r="BI99" i="9"/>
  <c r="BI90" i="9"/>
  <c r="BI82" i="9"/>
  <c r="BI74" i="9"/>
  <c r="BI140" i="9"/>
  <c r="BI55" i="9"/>
  <c r="BI137" i="9"/>
  <c r="BI43" i="9"/>
  <c r="BI1046" i="9"/>
  <c r="BI1031" i="9"/>
  <c r="BI1018" i="9"/>
  <c r="BI1009" i="9"/>
  <c r="BI981" i="9"/>
  <c r="BI976" i="9"/>
  <c r="BI965" i="9"/>
  <c r="BI962" i="9"/>
  <c r="BI927" i="9"/>
  <c r="BI902" i="9"/>
  <c r="BI865" i="9"/>
  <c r="BI812" i="9"/>
  <c r="BI798" i="9"/>
  <c r="BI795" i="9"/>
  <c r="BI788" i="9"/>
  <c r="BI772" i="9"/>
  <c r="BI768" i="9"/>
  <c r="BI676" i="9"/>
  <c r="BI664" i="9"/>
  <c r="BI660" i="9"/>
  <c r="BI633" i="9"/>
  <c r="BI438" i="9"/>
  <c r="BI242" i="9"/>
  <c r="BI161" i="9"/>
  <c r="BI159" i="9"/>
  <c r="BI142" i="9"/>
  <c r="BI138" i="9"/>
  <c r="BI136" i="9"/>
  <c r="BI89" i="9"/>
  <c r="BI69" i="9"/>
  <c r="BI67" i="9"/>
  <c r="BI66" i="9"/>
  <c r="BI65" i="9"/>
  <c r="BI54" i="9"/>
  <c r="BI24" i="9"/>
  <c r="BI1048" i="9"/>
  <c r="BI1045" i="9"/>
  <c r="BI1041" i="9"/>
  <c r="BI1037" i="9"/>
  <c r="BI987" i="9"/>
  <c r="BI979" i="9"/>
  <c r="BI963" i="9"/>
  <c r="BI926" i="9"/>
  <c r="BI923" i="9"/>
  <c r="BI896" i="9"/>
  <c r="BI874" i="9"/>
  <c r="BI835" i="9"/>
  <c r="BI776" i="9"/>
  <c r="BI687" i="9"/>
  <c r="BI677" i="9"/>
  <c r="BI673" i="9"/>
  <c r="BI658" i="9"/>
  <c r="BI652" i="9"/>
  <c r="BI649" i="9"/>
  <c r="BI644" i="9"/>
  <c r="BI924" i="9"/>
  <c r="BI909" i="9"/>
  <c r="BI864" i="9"/>
  <c r="BI846" i="9"/>
  <c r="BI840" i="9"/>
  <c r="BI825" i="9"/>
  <c r="BI805" i="9"/>
  <c r="BI638" i="9"/>
  <c r="BI616" i="9"/>
  <c r="BI589" i="9"/>
  <c r="BI141" i="9"/>
  <c r="BI103" i="9"/>
  <c r="BI84" i="9"/>
  <c r="BI72" i="9"/>
  <c r="BI30" i="9"/>
  <c r="BI960" i="9"/>
  <c r="BI958" i="9"/>
  <c r="BI957" i="9"/>
  <c r="BI919" i="9"/>
  <c r="BI911" i="9"/>
  <c r="BI881" i="9"/>
  <c r="BI855" i="9"/>
  <c r="BI647" i="9"/>
  <c r="BI223" i="9"/>
  <c r="BI209" i="9"/>
  <c r="BI186" i="9"/>
  <c r="BI120" i="9"/>
  <c r="BI45" i="9"/>
  <c r="BI14" i="9"/>
  <c r="BI760" i="9"/>
  <c r="BI749" i="9"/>
  <c r="BI738" i="9"/>
  <c r="BI733" i="9"/>
  <c r="BI729" i="9"/>
  <c r="BI710" i="9"/>
  <c r="BI614" i="9"/>
  <c r="BI421" i="9"/>
  <c r="BI403" i="9"/>
  <c r="BI399" i="9"/>
  <c r="BI388" i="9"/>
  <c r="BI380" i="9"/>
  <c r="BI238" i="9"/>
  <c r="BI229" i="9"/>
  <c r="BI205" i="9"/>
  <c r="BI199" i="9"/>
  <c r="BI164" i="9"/>
  <c r="BI156" i="9"/>
  <c r="BI101" i="9"/>
  <c r="BI88" i="9"/>
  <c r="BI80" i="9"/>
  <c r="BI371" i="9"/>
  <c r="BI322" i="9"/>
  <c r="BI315" i="9"/>
  <c r="BI288" i="9"/>
  <c r="BI279" i="9"/>
  <c r="BI269" i="9"/>
  <c r="BI16" i="9"/>
  <c r="BI181" i="9"/>
  <c r="BI177" i="9"/>
  <c r="BI169" i="9"/>
  <c r="BI52" i="9"/>
  <c r="BI29" i="9"/>
  <c r="BI1069" i="9"/>
  <c r="BI1063" i="9"/>
  <c r="BI1050" i="9"/>
  <c r="BI1019" i="9"/>
  <c r="BI1004" i="9"/>
  <c r="BI972" i="9"/>
  <c r="BI949" i="9"/>
  <c r="BI942" i="9"/>
  <c r="BI922" i="9"/>
  <c r="BI876" i="9"/>
  <c r="BI871" i="9"/>
  <c r="BI836" i="9"/>
  <c r="BI833" i="9"/>
  <c r="BI817" i="9"/>
  <c r="BI794" i="9"/>
  <c r="BI791" i="9"/>
  <c r="BI773" i="9"/>
  <c r="BI669" i="9"/>
  <c r="BI641" i="9"/>
  <c r="BI639" i="9"/>
  <c r="BI634" i="9"/>
  <c r="BI622" i="9"/>
  <c r="BI612" i="9"/>
  <c r="BI578" i="9"/>
  <c r="BI234" i="9"/>
  <c r="BI218" i="9"/>
  <c r="BI211" i="9"/>
  <c r="BI187" i="9"/>
  <c r="BI162" i="9"/>
  <c r="BI132" i="9"/>
  <c r="BI128" i="9"/>
  <c r="BI106" i="9"/>
  <c r="BI63" i="9"/>
  <c r="BI57" i="9"/>
  <c r="BI44" i="9"/>
  <c r="BI111" i="9"/>
  <c r="BI39" i="9"/>
  <c r="BI58" i="9"/>
  <c r="BI33" i="9"/>
  <c r="BI28" i="9"/>
  <c r="BI1065" i="9"/>
  <c r="BI1062" i="9"/>
  <c r="BI1052" i="9"/>
  <c r="BI1047" i="9"/>
  <c r="BI1044" i="9"/>
  <c r="BI1020" i="9"/>
  <c r="BI1017" i="9"/>
  <c r="BI1002" i="9"/>
  <c r="BI994" i="9"/>
  <c r="BI992" i="9"/>
  <c r="BI955" i="9"/>
  <c r="BI910" i="9"/>
  <c r="BI880" i="9"/>
  <c r="BI872" i="9"/>
  <c r="BI859" i="9"/>
  <c r="BI813" i="9"/>
  <c r="BI793" i="9"/>
  <c r="BI683" i="9"/>
  <c r="BI670" i="9"/>
  <c r="BI656" i="9"/>
  <c r="BI610" i="9"/>
  <c r="BI585" i="9"/>
  <c r="BI577" i="9"/>
  <c r="BI439" i="9"/>
  <c r="BI423" i="9"/>
  <c r="BI392" i="9"/>
  <c r="BI237" i="9"/>
  <c r="BI230" i="9"/>
  <c r="BI219" i="9"/>
  <c r="BI214" i="9"/>
  <c r="BI201" i="9"/>
  <c r="BI192" i="9"/>
  <c r="BI189" i="9"/>
  <c r="BI158" i="9"/>
  <c r="BI146" i="9"/>
  <c r="BI139" i="9"/>
  <c r="BI109" i="9"/>
  <c r="BI78" i="9"/>
  <c r="BI76" i="9"/>
  <c r="BI64" i="9"/>
  <c r="BI62" i="9"/>
  <c r="BI61" i="9"/>
  <c r="BI34" i="9"/>
  <c r="BI27" i="9"/>
  <c r="BI13" i="9"/>
  <c r="BI59" i="9"/>
  <c r="BI25" i="9"/>
  <c r="BI20" i="9"/>
  <c r="BI935" i="9"/>
  <c r="BI877" i="9"/>
  <c r="BI829" i="9"/>
  <c r="BI804" i="9"/>
  <c r="BI787" i="9"/>
  <c r="BI775" i="9"/>
  <c r="BI672" i="9"/>
  <c r="BI667" i="9"/>
  <c r="BI619" i="9"/>
  <c r="BI615" i="9"/>
  <c r="BI601" i="9"/>
  <c r="BI586" i="9"/>
  <c r="BI581" i="9"/>
  <c r="BI576" i="9"/>
  <c r="BI433" i="9"/>
  <c r="BI429" i="9"/>
  <c r="BI409" i="9"/>
  <c r="BI387" i="9"/>
  <c r="BI246" i="9"/>
  <c r="BI226" i="9"/>
  <c r="BI222" i="9"/>
  <c r="BI198" i="9"/>
  <c r="BI165" i="9"/>
  <c r="BI153" i="9"/>
  <c r="BI150" i="9"/>
  <c r="BI144" i="9"/>
  <c r="BI127" i="9"/>
  <c r="BI125" i="9"/>
  <c r="BI110" i="9"/>
  <c r="BI83" i="9"/>
  <c r="BI77" i="9"/>
  <c r="BI53" i="9"/>
  <c r="BI51" i="9"/>
  <c r="BI32" i="9"/>
  <c r="BI19" i="9"/>
  <c r="BI1049" i="9"/>
  <c r="BI997" i="9"/>
  <c r="BI984" i="9"/>
  <c r="BI970" i="9"/>
  <c r="BI967" i="9"/>
  <c r="BI945" i="9"/>
  <c r="BI934" i="9"/>
  <c r="BI866" i="9"/>
  <c r="BI848" i="9"/>
  <c r="BI847" i="9"/>
  <c r="BI844" i="9"/>
  <c r="BI834" i="9"/>
  <c r="BI810" i="9"/>
  <c r="BI785" i="9"/>
  <c r="BI771" i="9"/>
  <c r="BI666" i="9"/>
  <c r="BI662" i="9"/>
  <c r="BI607" i="9"/>
  <c r="BI599" i="9"/>
  <c r="BI595" i="9"/>
  <c r="BI414" i="9"/>
  <c r="BI411" i="9"/>
  <c r="BI381" i="9"/>
  <c r="BI241" i="9"/>
  <c r="BI225" i="9"/>
  <c r="BI207" i="9"/>
  <c r="BI194" i="9"/>
  <c r="BI188" i="9"/>
  <c r="BI154" i="9"/>
  <c r="BI107" i="9"/>
  <c r="BI94" i="9"/>
  <c r="BI87" i="9"/>
  <c r="BI75" i="9"/>
  <c r="BI1042" i="9"/>
  <c r="BI1028" i="9"/>
  <c r="BI1022" i="9"/>
  <c r="BI1012" i="9"/>
  <c r="BI1006" i="9"/>
  <c r="BI995" i="9"/>
  <c r="BI973" i="9"/>
  <c r="BI948" i="9"/>
  <c r="BI943" i="9"/>
  <c r="BI913" i="9"/>
  <c r="BI900" i="9"/>
  <c r="BI888" i="9"/>
  <c r="BI410" i="9"/>
  <c r="BI236" i="9"/>
  <c r="BI208" i="9"/>
  <c r="BI95" i="9"/>
  <c r="BI42" i="9"/>
  <c r="BI18" i="9"/>
  <c r="BI933" i="9"/>
  <c r="BI843" i="9"/>
  <c r="BI675" i="9"/>
  <c r="BI213" i="9"/>
  <c r="BI130" i="9"/>
  <c r="BI60" i="9"/>
  <c r="BI49" i="9"/>
  <c r="BI46" i="9"/>
  <c r="BI37" i="9"/>
  <c r="BI757" i="9"/>
  <c r="BI751" i="9"/>
  <c r="BI748" i="9"/>
  <c r="BI723" i="9"/>
  <c r="BI722" i="9"/>
  <c r="BI708" i="9"/>
  <c r="BI707" i="9"/>
  <c r="BI706" i="9"/>
  <c r="BI705" i="9"/>
  <c r="BI704" i="9"/>
  <c r="BI703" i="9"/>
  <c r="BI700" i="9"/>
  <c r="BI697" i="9"/>
  <c r="BI695" i="9"/>
  <c r="BI693" i="9"/>
  <c r="BI691" i="9"/>
  <c r="BI674" i="9"/>
  <c r="BI653" i="9"/>
  <c r="BI600" i="9"/>
  <c r="BI596" i="9"/>
  <c r="BI436" i="9"/>
  <c r="BI431" i="9"/>
  <c r="BI419" i="9"/>
  <c r="BI395" i="9"/>
  <c r="BI240" i="9"/>
  <c r="BI228" i="9"/>
  <c r="BI204" i="9"/>
  <c r="BI152" i="9"/>
  <c r="BI147" i="9"/>
  <c r="BI112" i="9"/>
  <c r="BI104" i="9"/>
  <c r="BI100" i="9"/>
  <c r="BI97" i="9"/>
  <c r="BI38" i="9"/>
  <c r="BI22" i="9"/>
  <c r="BI573" i="9"/>
  <c r="BI570" i="9"/>
  <c r="BI566" i="9"/>
  <c r="BI564" i="9"/>
  <c r="BI560" i="9"/>
  <c r="BI559" i="9"/>
  <c r="BI558" i="9"/>
  <c r="BI556" i="9"/>
  <c r="BI554" i="9"/>
  <c r="BI550" i="9"/>
  <c r="BI549" i="9"/>
  <c r="BI547" i="9"/>
  <c r="BI545" i="9"/>
  <c r="BI543" i="9"/>
  <c r="BI542" i="9"/>
  <c r="BI541" i="9"/>
  <c r="BI539" i="9"/>
  <c r="BI538" i="9"/>
  <c r="BI534" i="9"/>
  <c r="BI528" i="9"/>
  <c r="BI526" i="9"/>
  <c r="BI522" i="9"/>
  <c r="BI520" i="9"/>
  <c r="BI517" i="9"/>
  <c r="BI516" i="9"/>
  <c r="BI515" i="9"/>
  <c r="BI513" i="9"/>
  <c r="BI512" i="9"/>
  <c r="BI507" i="9"/>
  <c r="BI502" i="9"/>
  <c r="BI499" i="9"/>
  <c r="BI498" i="9"/>
  <c r="BI497" i="9"/>
  <c r="BI496" i="9"/>
  <c r="BI495" i="9"/>
  <c r="BI494" i="9"/>
  <c r="BI493" i="9"/>
  <c r="BI491" i="9"/>
  <c r="BI490" i="9"/>
  <c r="BI487" i="9"/>
  <c r="BI486" i="9"/>
  <c r="BI485" i="9"/>
  <c r="BI484" i="9"/>
  <c r="BI482" i="9"/>
  <c r="BI481" i="9"/>
  <c r="BI477" i="9"/>
  <c r="BI475" i="9"/>
  <c r="BI474" i="9"/>
  <c r="BI471" i="9"/>
  <c r="BI470" i="9"/>
  <c r="BI469" i="9"/>
  <c r="BI467" i="9"/>
  <c r="BI465" i="9"/>
  <c r="BI463" i="9"/>
  <c r="BI461" i="9"/>
  <c r="BI460" i="9"/>
  <c r="BI459" i="9"/>
  <c r="BI454" i="9"/>
  <c r="BI453" i="9"/>
  <c r="BI452" i="9"/>
  <c r="BI451" i="9"/>
  <c r="BI447" i="9"/>
  <c r="BI427" i="9"/>
  <c r="BI407" i="9"/>
  <c r="BI397" i="9"/>
  <c r="BI243" i="9"/>
  <c r="BI239" i="9"/>
  <c r="BI216" i="9"/>
  <c r="BI210" i="9"/>
  <c r="BI203" i="9"/>
  <c r="BI195" i="9"/>
  <c r="BI190" i="9"/>
  <c r="BI145" i="9"/>
  <c r="BI143" i="9"/>
  <c r="BI134" i="9"/>
  <c r="BI48" i="9"/>
  <c r="BI366" i="9"/>
  <c r="BI337" i="9"/>
  <c r="BI370" i="9"/>
  <c r="BI339" i="9"/>
  <c r="BI333" i="9"/>
  <c r="BI319" i="9"/>
  <c r="BI317" i="9"/>
  <c r="BI311" i="9"/>
  <c r="BI309" i="9"/>
  <c r="BI292" i="9"/>
  <c r="BI290" i="9"/>
  <c r="BI273" i="9"/>
  <c r="BI266" i="9"/>
  <c r="BI251" i="9"/>
  <c r="BI151" i="9"/>
  <c r="BI41" i="9"/>
  <c r="BI26" i="9"/>
  <c r="BI185" i="9"/>
  <c r="BI376" i="9"/>
  <c r="BI363" i="9"/>
  <c r="BI338" i="9"/>
  <c r="BI327" i="9"/>
  <c r="BI310" i="9"/>
  <c r="BI308" i="9"/>
  <c r="BI289" i="9"/>
  <c r="BI287" i="9"/>
  <c r="BI284" i="9"/>
  <c r="BI124" i="9"/>
  <c r="BI113" i="9"/>
  <c r="BI96" i="9"/>
  <c r="BI71" i="9"/>
  <c r="BI17" i="9"/>
  <c r="BI355" i="9"/>
  <c r="BI354" i="9"/>
  <c r="BI350" i="9"/>
  <c r="BI325" i="9"/>
  <c r="BI265" i="9"/>
  <c r="BI263" i="9"/>
  <c r="BI217" i="9"/>
  <c r="BI148" i="9"/>
  <c r="BI364" i="9"/>
  <c r="BI358" i="9"/>
  <c r="BI23" i="9"/>
  <c r="BI353" i="9"/>
  <c r="BI340" i="9"/>
  <c r="BI303" i="9"/>
  <c r="BI295" i="9"/>
  <c r="BI285" i="9"/>
  <c r="BI270" i="9"/>
  <c r="BI176" i="9"/>
  <c r="BI175" i="9"/>
  <c r="BI174" i="9"/>
  <c r="BI172" i="9"/>
  <c r="BI168" i="9"/>
  <c r="BI149" i="9"/>
  <c r="BI375" i="9"/>
  <c r="BI357" i="9"/>
  <c r="BI348" i="9"/>
  <c r="BI342" i="9"/>
  <c r="BI314" i="9"/>
  <c r="BI293" i="9"/>
  <c r="BI275" i="9"/>
  <c r="BI267" i="9"/>
  <c r="BI21" i="9"/>
  <c r="BI183" i="9"/>
  <c r="BI178" i="9"/>
  <c r="BI173" i="9"/>
  <c r="BI85" i="9"/>
  <c r="BI35" i="9"/>
  <c r="BI344" i="9"/>
  <c r="BI336" i="9"/>
  <c r="BI334" i="9"/>
  <c r="BI324" i="9"/>
  <c r="BI318" i="9"/>
  <c r="BI316" i="9"/>
  <c r="BI304" i="9"/>
  <c r="BI302" i="9"/>
  <c r="BI301" i="9"/>
  <c r="BI299" i="9"/>
  <c r="BI283" i="9"/>
  <c r="BI277" i="9"/>
  <c r="BI255" i="9"/>
  <c r="BI235" i="9"/>
  <c r="BI221" i="9"/>
  <c r="BI119" i="9"/>
  <c r="BI86" i="9"/>
  <c r="BI182" i="9"/>
  <c r="BI171" i="9"/>
  <c r="BI369" i="9"/>
  <c r="BI473" i="9"/>
  <c r="AZ74" i="5"/>
  <c r="AW38" i="5"/>
  <c r="AX41" i="5"/>
  <c r="AX45" i="5"/>
  <c r="AY52" i="5"/>
  <c r="AQ54" i="5"/>
  <c r="AA55" i="5"/>
  <c r="AO55" i="5" s="1"/>
  <c r="AX57" i="5"/>
  <c r="AX58" i="5"/>
  <c r="AA61" i="5"/>
  <c r="AO61" i="5" s="1"/>
  <c r="AA63" i="5"/>
  <c r="AX64" i="5"/>
  <c r="AW67" i="5"/>
  <c r="AW71" i="5"/>
  <c r="AQ77" i="5"/>
  <c r="AY79" i="5"/>
  <c r="AW80" i="5"/>
  <c r="AA84" i="5"/>
  <c r="AO84" i="5" s="1"/>
  <c r="AW85" i="5"/>
  <c r="AW87" i="5"/>
  <c r="AA88" i="5"/>
  <c r="AO88" i="5" s="1"/>
  <c r="AA89" i="5"/>
  <c r="AO89" i="5" s="1"/>
  <c r="AY90" i="5"/>
  <c r="AX92" i="5"/>
  <c r="AY27" i="5"/>
  <c r="AW28" i="5"/>
  <c r="AX33" i="5"/>
  <c r="AW34" i="5"/>
  <c r="AA36" i="5"/>
  <c r="AO36" i="5" s="1"/>
  <c r="AQ37" i="5"/>
  <c r="AW39" i="5"/>
  <c r="AX46" i="5"/>
  <c r="AX49" i="5"/>
  <c r="AX50" i="5"/>
  <c r="AW59" i="5"/>
  <c r="AY65" i="5"/>
  <c r="AX66" i="5"/>
  <c r="AQ68" i="5"/>
  <c r="AA70" i="5"/>
  <c r="AO70" i="5" s="1"/>
  <c r="AX73" i="5"/>
  <c r="AQ74" i="5"/>
  <c r="AX75" i="5"/>
  <c r="AA80" i="5"/>
  <c r="AO80" i="5" s="1"/>
  <c r="AW31" i="5"/>
  <c r="AY36" i="5"/>
  <c r="AW37" i="5"/>
  <c r="AY39" i="5"/>
  <c r="AA41" i="5"/>
  <c r="AO41" i="5" s="1"/>
  <c r="AW42" i="5"/>
  <c r="AQ43" i="5"/>
  <c r="AW46" i="5"/>
  <c r="AX48" i="5"/>
  <c r="AW53" i="5"/>
  <c r="AW54" i="5"/>
  <c r="AQ63" i="5"/>
  <c r="AA64" i="5"/>
  <c r="AO64" i="5" s="1"/>
  <c r="AY74" i="5"/>
  <c r="AY83" i="5"/>
  <c r="AA87" i="5"/>
  <c r="AO87" i="5" s="1"/>
  <c r="AW88" i="5"/>
  <c r="AW89" i="5"/>
  <c r="AQ29" i="5"/>
  <c r="AW32" i="5"/>
  <c r="AA33" i="5"/>
  <c r="AO33" i="5" s="1"/>
  <c r="AY34" i="5"/>
  <c r="AY38" i="5"/>
  <c r="AQ41" i="5"/>
  <c r="AY47" i="5"/>
  <c r="AW49" i="5"/>
  <c r="AW50" i="5"/>
  <c r="AA52" i="5"/>
  <c r="AX54" i="5"/>
  <c r="AA59" i="5"/>
  <c r="AQ64" i="5"/>
  <c r="AA65" i="5"/>
  <c r="AO65" i="5" s="1"/>
  <c r="AY68" i="5"/>
  <c r="AY72" i="5"/>
  <c r="AW73" i="5"/>
  <c r="AY75" i="5"/>
  <c r="AY77" i="5"/>
  <c r="AX79" i="5"/>
  <c r="AQ81" i="5"/>
  <c r="AA83" i="5"/>
  <c r="AO83" i="5" s="1"/>
  <c r="AW86" i="5"/>
  <c r="AQ87" i="5"/>
  <c r="AQ89" i="5"/>
  <c r="AQ90" i="5"/>
  <c r="AW30" i="5"/>
  <c r="AA31" i="5"/>
  <c r="AO31" i="5" s="1"/>
  <c r="AX31" i="5"/>
  <c r="AX32" i="5"/>
  <c r="AW35" i="5"/>
  <c r="AY37" i="5"/>
  <c r="AA40" i="5"/>
  <c r="AO40" i="5" s="1"/>
  <c r="AW41" i="5"/>
  <c r="AQ44" i="5"/>
  <c r="AW45" i="5"/>
  <c r="AQ47" i="5"/>
  <c r="AY49" i="5"/>
  <c r="AX51" i="5"/>
  <c r="AQ53" i="5"/>
  <c r="AQ55" i="5"/>
  <c r="AY59" i="5"/>
  <c r="AX60" i="5"/>
  <c r="AY61" i="5"/>
  <c r="AQ62" i="5"/>
  <c r="AY63" i="5"/>
  <c r="AW64" i="5"/>
  <c r="AW65" i="5"/>
  <c r="AA68" i="5"/>
  <c r="AO68" i="5" s="1"/>
  <c r="AX68" i="5"/>
  <c r="AY69" i="5"/>
  <c r="AQ72" i="5"/>
  <c r="AX74" i="5"/>
  <c r="AW76" i="5"/>
  <c r="AW82" i="5"/>
  <c r="AX83" i="5"/>
  <c r="AY85" i="5"/>
  <c r="AQ88" i="5"/>
  <c r="AW90" i="5"/>
  <c r="AA91" i="5"/>
  <c r="AO91" i="5" s="1"/>
  <c r="AY91" i="5"/>
  <c r="AA92" i="5"/>
  <c r="AO92" i="5" s="1"/>
  <c r="AQ92" i="5"/>
  <c r="AY92" i="5"/>
  <c r="AX27" i="5"/>
  <c r="AQ28" i="5"/>
  <c r="AY29" i="5"/>
  <c r="AQ36" i="5"/>
  <c r="AX43" i="5"/>
  <c r="AY44" i="5"/>
  <c r="AQ45" i="5"/>
  <c r="AA48" i="5"/>
  <c r="AY53" i="5"/>
  <c r="AA60" i="5"/>
  <c r="AO60" i="5" s="1"/>
  <c r="AX61" i="5"/>
  <c r="AQ65" i="5"/>
  <c r="AW68" i="5"/>
  <c r="AX70" i="5"/>
  <c r="AY73" i="5"/>
  <c r="AQ76" i="5"/>
  <c r="AQ80" i="5"/>
  <c r="AA82" i="5"/>
  <c r="AO82" i="5" s="1"/>
  <c r="AW83" i="5"/>
  <c r="AW84" i="5"/>
  <c r="AX86" i="5"/>
  <c r="AA26" i="5"/>
  <c r="AO26" i="5" s="1"/>
  <c r="AX26" i="5"/>
  <c r="AQ27" i="5"/>
  <c r="AA28" i="5"/>
  <c r="AX28" i="5"/>
  <c r="AX29" i="5"/>
  <c r="AA30" i="5"/>
  <c r="AX30" i="5"/>
  <c r="AQ32" i="5"/>
  <c r="AW33" i="5"/>
  <c r="AX34" i="5"/>
  <c r="AY35" i="5"/>
  <c r="AW36" i="5"/>
  <c r="AA38" i="5"/>
  <c r="AX38" i="5"/>
  <c r="AQ40" i="5"/>
  <c r="AQ42" i="5"/>
  <c r="AA43" i="5"/>
  <c r="AO43" i="5" s="1"/>
  <c r="AY45" i="5"/>
  <c r="AA46" i="5"/>
  <c r="AO46" i="5" s="1"/>
  <c r="AQ46" i="5"/>
  <c r="AY46" i="5"/>
  <c r="AA50" i="5"/>
  <c r="AO50" i="5" s="1"/>
  <c r="AW52" i="5"/>
  <c r="AA53" i="5"/>
  <c r="AO53" i="5" s="1"/>
  <c r="AW55" i="5"/>
  <c r="AA56" i="5"/>
  <c r="AO56" i="5" s="1"/>
  <c r="AY56" i="5"/>
  <c r="AA57" i="5"/>
  <c r="AO57" i="5" s="1"/>
  <c r="AW58" i="5"/>
  <c r="AW60" i="5"/>
  <c r="AY62" i="5"/>
  <c r="AW63" i="5"/>
  <c r="AW66" i="5"/>
  <c r="AX67" i="5"/>
  <c r="AA69" i="5"/>
  <c r="AO69" i="5" s="1"/>
  <c r="AX69" i="5"/>
  <c r="AY70" i="5"/>
  <c r="AX72" i="5"/>
  <c r="AQ73" i="5"/>
  <c r="AW75" i="5"/>
  <c r="AW77" i="5"/>
  <c r="AW78" i="5"/>
  <c r="AQ79" i="5"/>
  <c r="AY82" i="5"/>
  <c r="AA86" i="5"/>
  <c r="AO86" i="5" s="1"/>
  <c r="AY88" i="5"/>
  <c r="AX90" i="5"/>
  <c r="AW91" i="5"/>
  <c r="AQ30" i="5"/>
  <c r="AQ34" i="5"/>
  <c r="AA37" i="5"/>
  <c r="AQ38" i="5"/>
  <c r="AY42" i="5"/>
  <c r="AX62" i="5"/>
  <c r="AW69" i="5"/>
  <c r="AA76" i="5"/>
  <c r="AO76" i="5" s="1"/>
  <c r="AQ78" i="5"/>
  <c r="AY26" i="5"/>
  <c r="AW27" i="5"/>
  <c r="AW29" i="5"/>
  <c r="AQ33" i="5"/>
  <c r="AQ39" i="5"/>
  <c r="AA45" i="5"/>
  <c r="AO45" i="5" s="1"/>
  <c r="AW47" i="5"/>
  <c r="AQ49" i="5"/>
  <c r="AQ52" i="5"/>
  <c r="AX56" i="5"/>
  <c r="AQ61" i="5"/>
  <c r="AW62" i="5"/>
  <c r="AY66" i="5"/>
  <c r="AQ71" i="5"/>
  <c r="AA74" i="5"/>
  <c r="AO74" i="5" s="1"/>
  <c r="AA77" i="5"/>
  <c r="AO77" i="5" s="1"/>
  <c r="AW26" i="5"/>
  <c r="AA27" i="5"/>
  <c r="AO27" i="5" s="1"/>
  <c r="AY28" i="5"/>
  <c r="AX36" i="5"/>
  <c r="AA42" i="5"/>
  <c r="AO42" i="5" s="1"/>
  <c r="AX78" i="5"/>
  <c r="AY86" i="5"/>
  <c r="AX37" i="5"/>
  <c r="AW44" i="5"/>
  <c r="AA15" i="5"/>
  <c r="AO15" i="5" s="1"/>
  <c r="AQ15" i="5"/>
  <c r="AW15" i="5"/>
  <c r="AX15" i="5"/>
  <c r="AA22" i="5"/>
  <c r="AO22" i="5" s="1"/>
  <c r="AQ22" i="5"/>
  <c r="AW22" i="5"/>
  <c r="AX22" i="5"/>
  <c r="AY22" i="5"/>
  <c r="AY15" i="5"/>
  <c r="AA66" i="5"/>
  <c r="AO66" i="5" s="1"/>
  <c r="AA39" i="5"/>
  <c r="AO39" i="5" s="1"/>
  <c r="AX39" i="5"/>
  <c r="AW79" i="5"/>
  <c r="AQ70" i="5"/>
  <c r="AW81" i="5"/>
  <c r="AX40" i="5"/>
  <c r="AX81" i="5"/>
  <c r="AX52" i="5"/>
  <c r="AA5" i="5"/>
  <c r="AQ5" i="5"/>
  <c r="AW5" i="5"/>
  <c r="AX5" i="5"/>
  <c r="AY5" i="5"/>
  <c r="AX80" i="5"/>
  <c r="AY41" i="5"/>
  <c r="AY81" i="5"/>
  <c r="AA10" i="5"/>
  <c r="AO10" i="5" s="1"/>
  <c r="AQ10" i="5"/>
  <c r="AW10" i="5"/>
  <c r="AX10" i="5"/>
  <c r="AY10" i="5"/>
  <c r="AA23" i="5"/>
  <c r="AO23" i="5" s="1"/>
  <c r="AQ23" i="5"/>
  <c r="AW23" i="5"/>
  <c r="AX23" i="5"/>
  <c r="AY23" i="5"/>
  <c r="AW43" i="5"/>
  <c r="AA16" i="5"/>
  <c r="AO16" i="5" s="1"/>
  <c r="AQ16" i="5"/>
  <c r="AW16" i="5"/>
  <c r="AX16" i="5"/>
  <c r="AY16" i="5"/>
  <c r="AY40" i="5"/>
  <c r="AX88" i="5"/>
  <c r="AQ85" i="5"/>
  <c r="AX44" i="5"/>
  <c r="AX53" i="5"/>
  <c r="AA29" i="5"/>
  <c r="AO29" i="5" s="1"/>
  <c r="AQ84" i="5"/>
  <c r="AY89" i="5"/>
  <c r="AX87" i="5"/>
  <c r="AA72" i="5"/>
  <c r="AO72" i="5" s="1"/>
  <c r="AA71" i="5"/>
  <c r="AA54" i="5"/>
  <c r="AO54" i="5" s="1"/>
  <c r="AA90" i="5"/>
  <c r="AO90" i="5" s="1"/>
  <c r="AW72" i="5"/>
  <c r="AQ86" i="5"/>
  <c r="AY43" i="5"/>
  <c r="AA47" i="5"/>
  <c r="AO47" i="5" s="1"/>
  <c r="AA24" i="5"/>
  <c r="AO24" i="5" s="1"/>
  <c r="AQ24" i="5"/>
  <c r="AW24" i="5"/>
  <c r="AX24" i="5"/>
  <c r="AY24" i="5"/>
  <c r="AX55" i="5"/>
  <c r="AX91" i="5"/>
  <c r="AA6" i="5"/>
  <c r="AO6" i="5" s="1"/>
  <c r="AQ6" i="5"/>
  <c r="AW6" i="5"/>
  <c r="AA11" i="5"/>
  <c r="AO11" i="5" s="1"/>
  <c r="AA17" i="5"/>
  <c r="AO17" i="5" s="1"/>
  <c r="AQ17" i="5"/>
  <c r="AW17" i="5"/>
  <c r="AX17" i="5"/>
  <c r="AY17" i="5"/>
  <c r="AQ11" i="5"/>
  <c r="AW11" i="5"/>
  <c r="AX11" i="5"/>
  <c r="AY11" i="5"/>
  <c r="AX6" i="5"/>
  <c r="AY6" i="5"/>
  <c r="AY87" i="5"/>
  <c r="AQ50" i="5"/>
  <c r="AW51" i="5"/>
  <c r="AA75" i="5"/>
  <c r="AO75" i="5" s="1"/>
  <c r="AA25" i="5"/>
  <c r="AO25" i="5" s="1"/>
  <c r="AQ25" i="5"/>
  <c r="AW25" i="5"/>
  <c r="AX25" i="5"/>
  <c r="AY25" i="5"/>
  <c r="AA51" i="5"/>
  <c r="AO51" i="5" s="1"/>
  <c r="AQ56" i="5"/>
  <c r="AY51" i="5"/>
  <c r="AW57" i="5"/>
  <c r="AY30" i="5"/>
  <c r="AY76" i="5"/>
  <c r="AQ91" i="5"/>
  <c r="AQ58" i="5"/>
  <c r="AY50" i="5"/>
  <c r="AY54" i="5"/>
  <c r="AY31" i="5"/>
  <c r="AA18" i="5"/>
  <c r="AO18" i="5" s="1"/>
  <c r="AY32" i="5"/>
  <c r="AQ18" i="5"/>
  <c r="AW18" i="5"/>
  <c r="AX18" i="5"/>
  <c r="AY18" i="5"/>
  <c r="AX77" i="5"/>
  <c r="AA35" i="5"/>
  <c r="AX35" i="5"/>
  <c r="AQ59" i="5"/>
  <c r="AA58" i="5"/>
  <c r="AO58" i="5" s="1"/>
  <c r="AA78" i="5"/>
  <c r="AO78" i="5" s="1"/>
  <c r="AA12" i="5"/>
  <c r="AO12" i="5" s="1"/>
  <c r="AQ12" i="5"/>
  <c r="AW12" i="5"/>
  <c r="AX12" i="5"/>
  <c r="AY12" i="5"/>
  <c r="AW56" i="5"/>
  <c r="AW40" i="5"/>
  <c r="AW61" i="5"/>
  <c r="AA7" i="5"/>
  <c r="AO7" i="5" s="1"/>
  <c r="AQ7" i="5"/>
  <c r="AW7" i="5"/>
  <c r="AX42" i="5"/>
  <c r="AX7" i="5"/>
  <c r="AY7" i="5"/>
  <c r="AW92" i="5"/>
  <c r="AX59" i="5"/>
  <c r="AA73" i="5"/>
  <c r="AO73" i="5" s="1"/>
  <c r="AA44" i="5"/>
  <c r="AO44" i="5" s="1"/>
  <c r="AQ26" i="5"/>
  <c r="AA19" i="5"/>
  <c r="AO19" i="5" s="1"/>
  <c r="AX47" i="5"/>
  <c r="AQ19" i="5"/>
  <c r="AQ48" i="5"/>
  <c r="AW19" i="5"/>
  <c r="AX19" i="5"/>
  <c r="AY19" i="5"/>
  <c r="AQ82" i="5"/>
  <c r="AQ31" i="5"/>
  <c r="AQ51" i="5"/>
  <c r="AQ60" i="5"/>
  <c r="AY60" i="5"/>
  <c r="AY80" i="5"/>
  <c r="AA62" i="5"/>
  <c r="AO62" i="5" s="1"/>
  <c r="AY55" i="5"/>
  <c r="AA13" i="5"/>
  <c r="AO13" i="5" s="1"/>
  <c r="AQ13" i="5"/>
  <c r="AQ57" i="5"/>
  <c r="AY57" i="5"/>
  <c r="AW13" i="5"/>
  <c r="AX13" i="5"/>
  <c r="AY13" i="5"/>
  <c r="AQ66" i="5"/>
  <c r="AA32" i="5"/>
  <c r="AO32" i="5" s="1"/>
  <c r="AQ67" i="5"/>
  <c r="AX65" i="5"/>
  <c r="AY58" i="5"/>
  <c r="AA81" i="5"/>
  <c r="AO81" i="5" s="1"/>
  <c r="AX63" i="5"/>
  <c r="AY48" i="5"/>
  <c r="AA8" i="5"/>
  <c r="AO8" i="5" s="1"/>
  <c r="AQ8" i="5"/>
  <c r="AA20" i="5"/>
  <c r="AO20" i="5" s="1"/>
  <c r="AQ20" i="5"/>
  <c r="AW20" i="5"/>
  <c r="AX20" i="5"/>
  <c r="AY20" i="5"/>
  <c r="AW8" i="5"/>
  <c r="AX8" i="5"/>
  <c r="AY8" i="5"/>
  <c r="AY78" i="5"/>
  <c r="AX71" i="5"/>
  <c r="AQ69" i="5"/>
  <c r="AY84" i="5"/>
  <c r="AW48" i="5"/>
  <c r="AW70" i="5"/>
  <c r="AY67" i="5"/>
  <c r="AY71" i="5"/>
  <c r="AQ35" i="5"/>
  <c r="AX84" i="5"/>
  <c r="AY33" i="5"/>
  <c r="AA4" i="5"/>
  <c r="AO4" i="5" s="1"/>
  <c r="AA14" i="5"/>
  <c r="AO14" i="5" s="1"/>
  <c r="AQ14" i="5"/>
  <c r="AW14" i="5"/>
  <c r="AX14" i="5"/>
  <c r="AX82" i="5"/>
  <c r="AY14" i="5"/>
  <c r="AQ4" i="5"/>
  <c r="AW4" i="5"/>
  <c r="AQ83" i="5"/>
  <c r="AX4" i="5"/>
  <c r="AY4" i="5"/>
  <c r="AA21" i="5"/>
  <c r="AO21" i="5" s="1"/>
  <c r="AQ21" i="5"/>
  <c r="AW21" i="5"/>
  <c r="AX21" i="5"/>
  <c r="AY21" i="5"/>
  <c r="AA34" i="5"/>
  <c r="AO34" i="5" s="1"/>
  <c r="AW74" i="5"/>
  <c r="AA49" i="5"/>
  <c r="AO49" i="5" s="1"/>
  <c r="AQ75" i="5"/>
  <c r="AY64" i="5"/>
  <c r="AA85" i="5"/>
  <c r="AX76" i="5"/>
  <c r="AX85" i="5"/>
  <c r="AA9" i="5"/>
  <c r="AQ9" i="5"/>
  <c r="AX89" i="5"/>
  <c r="AW9" i="5"/>
  <c r="AX9" i="5"/>
  <c r="AY9" i="5"/>
  <c r="AA79" i="5"/>
  <c r="AA67" i="5"/>
  <c r="AO67" i="5" s="1"/>
  <c r="BI401" i="9"/>
  <c r="BI428" i="9"/>
  <c r="BI480" i="9"/>
  <c r="BI524" i="9"/>
  <c r="BI567" i="9"/>
  <c r="BI593" i="9"/>
  <c r="BI630" i="9"/>
  <c r="BI648" i="9"/>
  <c r="BI680" i="9"/>
  <c r="BI797" i="9"/>
  <c r="BI816" i="9"/>
  <c r="BI867" i="9"/>
  <c r="BI889" i="9"/>
  <c r="BI894" i="9"/>
  <c r="BI912" i="9"/>
  <c r="BI937" i="9"/>
  <c r="BI951" i="9"/>
  <c r="BI415" i="9"/>
  <c r="BI533" i="9"/>
  <c r="BI562" i="9"/>
  <c r="BI590" i="9"/>
  <c r="BI626" i="9"/>
  <c r="BI640" i="9"/>
  <c r="BI665" i="9"/>
  <c r="BI688" i="9"/>
  <c r="BI701" i="9"/>
  <c r="BI726" i="9"/>
  <c r="BI739" i="9"/>
  <c r="BI755" i="9"/>
  <c r="BI803" i="9"/>
  <c r="BI838" i="9"/>
  <c r="BI857" i="9"/>
  <c r="BI863" i="9"/>
  <c r="BI875" i="9"/>
  <c r="BI890" i="9"/>
  <c r="BI893" i="9"/>
  <c r="BI905" i="9"/>
  <c r="BI929" i="9"/>
  <c r="BI936" i="9"/>
  <c r="BI944" i="9"/>
  <c r="BI950" i="9"/>
  <c r="BI954" i="9"/>
  <c r="BI980" i="9"/>
  <c r="BI999" i="9"/>
  <c r="BI1015" i="9"/>
  <c r="BI1024" i="9"/>
  <c r="BI1030" i="9"/>
  <c r="BI1036" i="9"/>
  <c r="BI398" i="9"/>
  <c r="BI425" i="9"/>
  <c r="BI510" i="9"/>
  <c r="BI557" i="9"/>
  <c r="BI582" i="9"/>
  <c r="BI396" i="9"/>
  <c r="BI424" i="9"/>
  <c r="BI479" i="9"/>
  <c r="BI521" i="9"/>
  <c r="BI552" i="9"/>
  <c r="BI591" i="9"/>
  <c r="BI613" i="9"/>
  <c r="BI631" i="9"/>
  <c r="BI654" i="9"/>
  <c r="BI686" i="9"/>
  <c r="BI717" i="9"/>
  <c r="BI740" i="9"/>
  <c r="BI802" i="9"/>
  <c r="BI818" i="9"/>
  <c r="BI850" i="9"/>
  <c r="BI861" i="9"/>
  <c r="BI887" i="9"/>
  <c r="BI906" i="9"/>
  <c r="BI971" i="9"/>
  <c r="BI390" i="9"/>
  <c r="BI413" i="9"/>
  <c r="BI462" i="9"/>
  <c r="BI509" i="9"/>
  <c r="BI540" i="9"/>
  <c r="BI579" i="9"/>
  <c r="BI617" i="9"/>
  <c r="BI636" i="9"/>
  <c r="BI655" i="9"/>
  <c r="BI685" i="9"/>
  <c r="BI715" i="9"/>
  <c r="BI736" i="9"/>
  <c r="BI766" i="9"/>
  <c r="BI826" i="9"/>
  <c r="BI382" i="9"/>
  <c r="BI404" i="9"/>
  <c r="BI443" i="9"/>
  <c r="BI511" i="9"/>
  <c r="BI575" i="9"/>
  <c r="BI627" i="9"/>
  <c r="BI632" i="9"/>
  <c r="BI645" i="9"/>
  <c r="BI657" i="9"/>
  <c r="BI689" i="9"/>
  <c r="BI702" i="9"/>
  <c r="BI725" i="9"/>
  <c r="BI735" i="9"/>
  <c r="BI745" i="9"/>
  <c r="BI763" i="9"/>
  <c r="BI801" i="9"/>
  <c r="BI808" i="9"/>
  <c r="BI828" i="9"/>
  <c r="BI839" i="9"/>
  <c r="BI854" i="9"/>
  <c r="BI862" i="9"/>
  <c r="BI873" i="9"/>
  <c r="BI879" i="9"/>
  <c r="BI886" i="9"/>
  <c r="BI892" i="9"/>
  <c r="BI895" i="9"/>
  <c r="BI916" i="9"/>
  <c r="BI928" i="9"/>
  <c r="BI932" i="9"/>
  <c r="BI941" i="9"/>
  <c r="BI947" i="9"/>
  <c r="BI952" i="9"/>
  <c r="BI956" i="9"/>
  <c r="BI1005" i="9"/>
  <c r="BI426" i="9"/>
  <c r="BI455" i="9"/>
  <c r="BI508" i="9"/>
  <c r="BI572" i="9"/>
  <c r="BI602" i="9"/>
  <c r="BI650" i="9"/>
  <c r="BI696" i="9"/>
  <c r="BI752" i="9"/>
  <c r="BI446" i="9"/>
  <c r="BI535" i="9"/>
  <c r="BI563" i="9"/>
  <c r="BI592" i="9"/>
  <c r="BI643" i="9"/>
  <c r="BI663" i="9"/>
  <c r="BI789" i="9"/>
  <c r="BI814" i="9"/>
  <c r="BI837" i="9"/>
  <c r="BI914" i="9"/>
  <c r="BI412" i="9"/>
  <c r="BI449" i="9"/>
  <c r="BI536" i="9"/>
  <c r="BI115" i="9"/>
  <c r="BI405" i="9"/>
  <c r="BI456" i="9"/>
  <c r="BI247" i="9"/>
  <c r="BI402" i="9"/>
  <c r="BI440" i="9"/>
  <c r="BI514" i="9"/>
  <c r="BI571" i="9"/>
  <c r="BI603" i="9"/>
  <c r="BI637" i="9"/>
  <c r="BI661" i="9"/>
  <c r="BI711" i="9"/>
  <c r="BI790" i="9"/>
  <c r="BI809" i="9"/>
  <c r="BI819" i="9"/>
  <c r="BI820" i="9"/>
  <c r="BI822" i="9"/>
  <c r="BI824" i="9"/>
  <c r="BI393" i="9"/>
  <c r="BI420" i="9"/>
  <c r="BI457" i="9"/>
  <c r="BI489" i="9"/>
  <c r="BI525" i="9"/>
  <c r="BI587" i="9"/>
  <c r="BI646" i="9"/>
  <c r="BI698" i="9"/>
  <c r="BI734" i="9"/>
  <c r="BI746" i="9"/>
  <c r="BI807" i="9"/>
  <c r="BI830" i="9"/>
  <c r="BI849" i="9"/>
  <c r="BI856" i="9"/>
  <c r="BI870" i="9"/>
  <c r="BI884" i="9"/>
  <c r="BI904" i="9"/>
  <c r="BI921" i="9"/>
  <c r="BI946" i="9"/>
  <c r="BI959" i="9"/>
  <c r="BI993" i="9"/>
  <c r="BI1011" i="9"/>
  <c r="BI1016" i="9"/>
  <c r="BI1033" i="9"/>
  <c r="BI1043" i="9"/>
  <c r="BI1055" i="9"/>
  <c r="BI1058" i="9"/>
  <c r="BI1059" i="9"/>
  <c r="BI281" i="9"/>
  <c r="BI271" i="9"/>
  <c r="BI368" i="9"/>
  <c r="BI280" i="9"/>
  <c r="BI274" i="9"/>
  <c r="BI248" i="9"/>
  <c r="BI276" i="9"/>
  <c r="BI356" i="9"/>
  <c r="BI326" i="9"/>
  <c r="BI272" i="9"/>
  <c r="BI264" i="9"/>
  <c r="BI468" i="9"/>
  <c r="BI472" i="9"/>
  <c r="BI361" i="9"/>
  <c r="BI352" i="9"/>
  <c r="BI258" i="9"/>
  <c r="BI778" i="9"/>
  <c r="BI765" i="9"/>
  <c r="BI762" i="9"/>
  <c r="BI1068" i="9"/>
  <c r="BI786" i="9"/>
  <c r="BI782" i="9"/>
  <c r="BI780" i="9"/>
  <c r="BI781" i="9"/>
  <c r="BI374" i="9"/>
  <c r="BI262" i="9"/>
  <c r="BI1054" i="9"/>
  <c r="BI1038" i="9"/>
  <c r="BI1026" i="9"/>
  <c r="BI1023" i="9"/>
  <c r="BI1021" i="9"/>
  <c r="BI1007" i="9"/>
  <c r="BI1067" i="9"/>
  <c r="BI1057" i="9"/>
  <c r="BI1034" i="9"/>
  <c r="BI1066" i="9"/>
  <c r="BI1056" i="9"/>
  <c r="BI779" i="9"/>
  <c r="BI758" i="9"/>
  <c r="BI756" i="9"/>
  <c r="BI753" i="9"/>
  <c r="BI503" i="9"/>
  <c r="BI501" i="9"/>
  <c r="BI500" i="9"/>
  <c r="BI341" i="9"/>
  <c r="BI373" i="9"/>
  <c r="BI362" i="9"/>
  <c r="BI320" i="9"/>
  <c r="BI268" i="9"/>
  <c r="BI252" i="9"/>
  <c r="BI379" i="9"/>
  <c r="BI329" i="9"/>
  <c r="BN17" i="9"/>
  <c r="BN33" i="9"/>
  <c r="BN12" i="9"/>
  <c r="BN26" i="9"/>
  <c r="BN14" i="9"/>
  <c r="BN18" i="9"/>
  <c r="BN21" i="9"/>
  <c r="BN34" i="9"/>
  <c r="BN16" i="9"/>
  <c r="BN24" i="9"/>
  <c r="BN30" i="9"/>
  <c r="BN15" i="9"/>
  <c r="BN22" i="9"/>
  <c r="BN29" i="9"/>
  <c r="BN13" i="9"/>
  <c r="BN23" i="9"/>
  <c r="BN20" i="9"/>
  <c r="BN28" i="9"/>
  <c r="BN25" i="9"/>
  <c r="BN32" i="9"/>
  <c r="BN27" i="9"/>
  <c r="BN31" i="9"/>
  <c r="BN19" i="9"/>
  <c r="BF7" i="9"/>
  <c r="AP19" i="5"/>
  <c r="AP69" i="5"/>
  <c r="AP57" i="5"/>
  <c r="AP11" i="5"/>
  <c r="AP8" i="5"/>
  <c r="AP33" i="5"/>
  <c r="AP28" i="5"/>
  <c r="AP79" i="5"/>
  <c r="AP37" i="5"/>
  <c r="AP84" i="5"/>
  <c r="AP56" i="5"/>
  <c r="AP89" i="5"/>
  <c r="AP58" i="5"/>
  <c r="AP27" i="5"/>
  <c r="AP72" i="5"/>
  <c r="AP21" i="5"/>
  <c r="AP32" i="5"/>
  <c r="AP49" i="5"/>
  <c r="AP68" i="5"/>
  <c r="AP62" i="5"/>
  <c r="AP53" i="5"/>
  <c r="AP76" i="5"/>
  <c r="AP23" i="5"/>
  <c r="AP91" i="5"/>
  <c r="AP63" i="5"/>
  <c r="AP65" i="5"/>
  <c r="AP87" i="5"/>
  <c r="AP59" i="5"/>
  <c r="AP78" i="5"/>
  <c r="AP71" i="5"/>
  <c r="AP40" i="5"/>
  <c r="AP13" i="5"/>
  <c r="AP61" i="5"/>
  <c r="AP39" i="5"/>
  <c r="AP18" i="5"/>
  <c r="AP43" i="5"/>
  <c r="AP15" i="5"/>
  <c r="AP85" i="5"/>
  <c r="AP48" i="5"/>
  <c r="AP38" i="5"/>
  <c r="AP47" i="5"/>
  <c r="AP46" i="5"/>
  <c r="AP42" i="5"/>
  <c r="AP20" i="5"/>
  <c r="AP6" i="5"/>
  <c r="AP34" i="5"/>
  <c r="AP31" i="5"/>
  <c r="AP5" i="5"/>
  <c r="AP17" i="5"/>
  <c r="AP4" i="5"/>
  <c r="AP41" i="5"/>
  <c r="AG34" i="5"/>
  <c r="AM34" i="5" s="1"/>
  <c r="AH37" i="5"/>
  <c r="AI37" i="5" s="1"/>
  <c r="AG66" i="5"/>
  <c r="AM66" i="5" s="1"/>
  <c r="AH70" i="5"/>
  <c r="AI70" i="5" s="1"/>
  <c r="AH87" i="5"/>
  <c r="AI87" i="5" s="1"/>
  <c r="AG90" i="5"/>
  <c r="AH62" i="5"/>
  <c r="AI62" i="5" s="1"/>
  <c r="AG65" i="5"/>
  <c r="AH76" i="5"/>
  <c r="AI76" i="5" s="1"/>
  <c r="AG79" i="5"/>
  <c r="AM79" i="5" s="1"/>
  <c r="AH90" i="5"/>
  <c r="AI90" i="5" s="1"/>
  <c r="AG54" i="5"/>
  <c r="AH65" i="5"/>
  <c r="AI65" i="5" s="1"/>
  <c r="AG68" i="5"/>
  <c r="AM68" i="5" s="1"/>
  <c r="AH79" i="5"/>
  <c r="AI79" i="5" s="1"/>
  <c r="AG82" i="5"/>
  <c r="AH82" i="5"/>
  <c r="AI82" i="5" s="1"/>
  <c r="AG85" i="5"/>
  <c r="AM85" i="5" s="1"/>
  <c r="AH57" i="5"/>
  <c r="AI57" i="5" s="1"/>
  <c r="AG60" i="5"/>
  <c r="AM60" i="5" s="1"/>
  <c r="AH71" i="5"/>
  <c r="AI71" i="5" s="1"/>
  <c r="AG74" i="5"/>
  <c r="AM74" i="5" s="1"/>
  <c r="AH85" i="5"/>
  <c r="AI85" i="5" s="1"/>
  <c r="AG88" i="5"/>
  <c r="AM88" i="5" s="1"/>
  <c r="AH46" i="5"/>
  <c r="AI46" i="5" s="1"/>
  <c r="AG49" i="5"/>
  <c r="AH60" i="5"/>
  <c r="AI60" i="5" s="1"/>
  <c r="AG63" i="5"/>
  <c r="AM63" i="5" s="1"/>
  <c r="AH74" i="5"/>
  <c r="AI74" i="5" s="1"/>
  <c r="AG77" i="5"/>
  <c r="AM77" i="5" s="1"/>
  <c r="AH88" i="5"/>
  <c r="AI88" i="5" s="1"/>
  <c r="AG91" i="5"/>
  <c r="AM91" i="5" s="1"/>
  <c r="AH91" i="5"/>
  <c r="AI91" i="5" s="1"/>
  <c r="AH38" i="5"/>
  <c r="AI38" i="5" s="1"/>
  <c r="AG41" i="5"/>
  <c r="AM41" i="5" s="1"/>
  <c r="AH52" i="5"/>
  <c r="AI52" i="5" s="1"/>
  <c r="AG55" i="5"/>
  <c r="AM55" i="5" s="1"/>
  <c r="AH66" i="5"/>
  <c r="AI66" i="5" s="1"/>
  <c r="AG69" i="5"/>
  <c r="AM69" i="5" s="1"/>
  <c r="AH80" i="5"/>
  <c r="AI80" i="5" s="1"/>
  <c r="AG83" i="5"/>
  <c r="AM83" i="5" s="1"/>
  <c r="AG86" i="5"/>
  <c r="AM86" i="5" s="1"/>
  <c r="AH61" i="5"/>
  <c r="AI61" i="5" s="1"/>
  <c r="AG64" i="5"/>
  <c r="AM64" i="5" s="1"/>
  <c r="AH75" i="5"/>
  <c r="AI75" i="5" s="1"/>
  <c r="AG78" i="5"/>
  <c r="AM78" i="5" s="1"/>
  <c r="AG92" i="5"/>
  <c r="AM92" i="5" s="1"/>
  <c r="AH50" i="5"/>
  <c r="AI50" i="5" s="1"/>
  <c r="AG53" i="5"/>
  <c r="AM53" i="5" s="1"/>
  <c r="AH64" i="5"/>
  <c r="AI64" i="5" s="1"/>
  <c r="AG67" i="5"/>
  <c r="AM67" i="5" s="1"/>
  <c r="AH78" i="5"/>
  <c r="AI78" i="5" s="1"/>
  <c r="AG81" i="5"/>
  <c r="AH92" i="5"/>
  <c r="AI92" i="5" s="1"/>
  <c r="AG47" i="5"/>
  <c r="AM47" i="5" s="1"/>
  <c r="AH13" i="5"/>
  <c r="AI13" i="5" s="1"/>
  <c r="AG35" i="5"/>
  <c r="AG13" i="5"/>
  <c r="AH12" i="5"/>
  <c r="AI12" i="5" s="1"/>
  <c r="AG12" i="5"/>
  <c r="AM12" i="5" s="1"/>
  <c r="AG4" i="5"/>
  <c r="AH83" i="5"/>
  <c r="AI83" i="5" s="1"/>
  <c r="AH48" i="5"/>
  <c r="AI48" i="5" s="1"/>
  <c r="AG48" i="5"/>
  <c r="AM48" i="5" s="1"/>
  <c r="AH20" i="5"/>
  <c r="AI20" i="5" s="1"/>
  <c r="AH17" i="5"/>
  <c r="AI17" i="5" s="1"/>
  <c r="AH53" i="5"/>
  <c r="AI53" i="5" s="1"/>
  <c r="AH26" i="5"/>
  <c r="AI26" i="5" s="1"/>
  <c r="AG89" i="5"/>
  <c r="AM89" i="5" s="1"/>
  <c r="AG43" i="5"/>
  <c r="AM43" i="5" s="1"/>
  <c r="AG23" i="5"/>
  <c r="AM23" i="5" s="1"/>
  <c r="AH42" i="5"/>
  <c r="AI42" i="5" s="1"/>
  <c r="AG18" i="5"/>
  <c r="AM18" i="5" s="1"/>
  <c r="AH29" i="5"/>
  <c r="AI29" i="5" s="1"/>
  <c r="AH31" i="5"/>
  <c r="AI31" i="5" s="1"/>
  <c r="AG20" i="5"/>
  <c r="AM20" i="5" s="1"/>
  <c r="AG42" i="5"/>
  <c r="AM42" i="5" s="1"/>
  <c r="AH4" i="5"/>
  <c r="AI4" i="5" s="1"/>
  <c r="AG6" i="5"/>
  <c r="AM6" i="5" s="1"/>
  <c r="AH6" i="5"/>
  <c r="AI6" i="5" s="1"/>
  <c r="AG7" i="5"/>
  <c r="AM7" i="5" s="1"/>
  <c r="AH9" i="5"/>
  <c r="AI9" i="5" s="1"/>
  <c r="AH10" i="5"/>
  <c r="AI10" i="5" s="1"/>
  <c r="AG15" i="5"/>
  <c r="AM15" i="5" s="1"/>
  <c r="AH15" i="5"/>
  <c r="AI15" i="5" s="1"/>
  <c r="AH63" i="5"/>
  <c r="AI63" i="5" s="1"/>
  <c r="AG75" i="5"/>
  <c r="AM75" i="5" s="1"/>
  <c r="BG8" i="5" s="1"/>
  <c r="BG13" i="5" s="1"/>
  <c r="AH81" i="5"/>
  <c r="AI81" i="5" s="1"/>
  <c r="AG38" i="5"/>
  <c r="AM38" i="5" s="1"/>
  <c r="AG26" i="5"/>
  <c r="AM26" i="5" s="1"/>
  <c r="AG29" i="5"/>
  <c r="AM29" i="5" s="1"/>
  <c r="AG32" i="5"/>
  <c r="AM32" i="5" s="1"/>
  <c r="AG50" i="5"/>
  <c r="AM50" i="5" s="1"/>
  <c r="AG51" i="5"/>
  <c r="AG46" i="5"/>
  <c r="AM46" i="5" s="1"/>
  <c r="AH23" i="5"/>
  <c r="AI23" i="5" s="1"/>
  <c r="AH24" i="5"/>
  <c r="AI24" i="5" s="1"/>
  <c r="AH89" i="5"/>
  <c r="AI89" i="5" s="1"/>
  <c r="E87" i="5"/>
  <c r="M59" i="5"/>
  <c r="F61" i="5"/>
  <c r="P65" i="5"/>
  <c r="S67" i="5"/>
  <c r="D70" i="5"/>
  <c r="F72" i="5"/>
  <c r="N72" i="5"/>
  <c r="E74" i="5"/>
  <c r="J23" i="5"/>
  <c r="I76" i="5"/>
  <c r="T76" i="5"/>
  <c r="M77" i="5"/>
  <c r="F78" i="5"/>
  <c r="P79" i="5"/>
  <c r="M81" i="5"/>
  <c r="F83" i="5"/>
  <c r="K23" i="5"/>
  <c r="U85" i="5"/>
  <c r="Q86" i="5"/>
  <c r="F87" i="5"/>
  <c r="L23" i="5"/>
  <c r="M23" i="5"/>
  <c r="N23" i="5"/>
  <c r="N90" i="5"/>
  <c r="T28" i="5"/>
  <c r="U31" i="5"/>
  <c r="R23" i="5"/>
  <c r="N39" i="5"/>
  <c r="L41" i="5"/>
  <c r="U45" i="5"/>
  <c r="K48" i="5"/>
  <c r="I50" i="5"/>
  <c r="X23" i="5"/>
  <c r="V57" i="5"/>
  <c r="D62" i="5"/>
  <c r="N64" i="5"/>
  <c r="D67" i="5"/>
  <c r="F24" i="5"/>
  <c r="G24" i="5"/>
  <c r="N75" i="5"/>
  <c r="W78" i="5"/>
  <c r="U83" i="5"/>
  <c r="O88" i="5"/>
  <c r="N91" i="5"/>
  <c r="D31" i="5"/>
  <c r="D25" i="5"/>
  <c r="N44" i="5"/>
  <c r="G49" i="5"/>
  <c r="M51" i="5"/>
  <c r="D56" i="5"/>
  <c r="M60" i="5"/>
  <c r="X21" i="5"/>
  <c r="D65" i="5"/>
  <c r="V67" i="5"/>
  <c r="U25" i="5"/>
  <c r="S70" i="5"/>
  <c r="G73" i="5"/>
  <c r="F75" i="5"/>
  <c r="R76" i="5"/>
  <c r="G78" i="5"/>
  <c r="J81" i="5"/>
  <c r="I83" i="5"/>
  <c r="E26" i="5"/>
  <c r="S88" i="5"/>
  <c r="W89" i="5"/>
  <c r="O91" i="5"/>
  <c r="J92" i="5"/>
  <c r="W92" i="5"/>
  <c r="W27" i="5"/>
  <c r="O29" i="5"/>
  <c r="F34" i="5"/>
  <c r="G37" i="5"/>
  <c r="D40" i="5"/>
  <c r="D44" i="5"/>
  <c r="C46" i="5"/>
  <c r="C47" i="5"/>
  <c r="L51" i="5"/>
  <c r="T54" i="5"/>
  <c r="G58" i="5"/>
  <c r="S39" i="5"/>
  <c r="F65" i="5"/>
  <c r="W47" i="5"/>
  <c r="U52" i="5"/>
  <c r="L57" i="5"/>
  <c r="J60" i="5"/>
  <c r="Q47" i="5"/>
  <c r="G61" i="5"/>
  <c r="G41" i="5"/>
  <c r="AP25" i="5"/>
  <c r="AP16" i="5"/>
  <c r="N37" i="5"/>
  <c r="O39" i="5"/>
  <c r="R41" i="5"/>
  <c r="K43" i="5"/>
  <c r="J44" i="5"/>
  <c r="H22" i="5"/>
  <c r="J48" i="5"/>
  <c r="R49" i="5"/>
  <c r="K51" i="5"/>
  <c r="E53" i="5"/>
  <c r="X55" i="5"/>
  <c r="H57" i="5"/>
  <c r="N58" i="5"/>
  <c r="K22" i="5"/>
  <c r="Q61" i="5"/>
  <c r="R62" i="5"/>
  <c r="M64" i="5"/>
  <c r="O65" i="5"/>
  <c r="V66" i="5"/>
  <c r="J67" i="5"/>
  <c r="L69" i="5"/>
  <c r="I70" i="5"/>
  <c r="C71" i="5"/>
  <c r="N71" i="5"/>
  <c r="W72" i="5"/>
  <c r="D74" i="5"/>
  <c r="Q22" i="5"/>
  <c r="E76" i="5"/>
  <c r="I79" i="5"/>
  <c r="N80" i="5"/>
  <c r="C81" i="5"/>
  <c r="N26" i="5"/>
  <c r="E27" i="5"/>
  <c r="L29" i="5"/>
  <c r="C31" i="5"/>
  <c r="Q32" i="5"/>
  <c r="P34" i="5"/>
  <c r="D36" i="5"/>
  <c r="C37" i="5"/>
  <c r="H38" i="5"/>
  <c r="U41" i="5"/>
  <c r="V42" i="5"/>
  <c r="I43" i="5"/>
  <c r="V44" i="5"/>
  <c r="M46" i="5"/>
  <c r="I47" i="5"/>
  <c r="M49" i="5"/>
  <c r="X50" i="5"/>
  <c r="C52" i="5"/>
  <c r="F23" i="5"/>
  <c r="G23" i="5"/>
  <c r="S56" i="5"/>
  <c r="T58" i="5"/>
  <c r="H78" i="5"/>
  <c r="Q81" i="5"/>
  <c r="D83" i="5"/>
  <c r="M85" i="5"/>
  <c r="S87" i="5"/>
  <c r="F89" i="5"/>
  <c r="C62" i="5"/>
  <c r="R63" i="5"/>
  <c r="R69" i="5"/>
  <c r="M71" i="5"/>
  <c r="O23" i="5"/>
  <c r="N32" i="5"/>
  <c r="K35" i="5"/>
  <c r="P37" i="5"/>
  <c r="G39" i="5"/>
  <c r="L40" i="5"/>
  <c r="T23" i="5"/>
  <c r="G46" i="5"/>
  <c r="N48" i="5"/>
  <c r="V23" i="5"/>
  <c r="X51" i="5"/>
  <c r="X53" i="5"/>
  <c r="E55" i="5"/>
  <c r="R57" i="5"/>
  <c r="J61" i="5"/>
  <c r="H63" i="5"/>
  <c r="D24" i="5"/>
  <c r="E24" i="5"/>
  <c r="U68" i="5"/>
  <c r="J72" i="5"/>
  <c r="H24" i="5"/>
  <c r="N78" i="5"/>
  <c r="L83" i="5"/>
  <c r="N24" i="5"/>
  <c r="O89" i="5"/>
  <c r="R24" i="5"/>
  <c r="D29" i="5"/>
  <c r="S32" i="5"/>
  <c r="R35" i="5"/>
  <c r="W37" i="5"/>
  <c r="E25" i="5"/>
  <c r="W44" i="5"/>
  <c r="S49" i="5"/>
  <c r="W55" i="5"/>
  <c r="R59" i="5"/>
  <c r="T60" i="5"/>
  <c r="O32" i="5"/>
  <c r="J65" i="5"/>
  <c r="Q67" i="5"/>
  <c r="T68" i="5"/>
  <c r="V25" i="5"/>
  <c r="O71" i="5"/>
  <c r="N73" i="5"/>
  <c r="Q74" i="5"/>
  <c r="K75" i="5"/>
  <c r="V76" i="5"/>
  <c r="P77" i="5"/>
  <c r="E81" i="5"/>
  <c r="X82" i="5"/>
  <c r="D26" i="5"/>
  <c r="S84" i="5"/>
  <c r="K87" i="5"/>
  <c r="T26" i="5"/>
  <c r="D91" i="5"/>
  <c r="C92" i="5"/>
  <c r="T92" i="5"/>
  <c r="Q30" i="5"/>
  <c r="X26" i="5"/>
  <c r="M33" i="5"/>
  <c r="V29" i="5"/>
  <c r="E32" i="5"/>
  <c r="X34" i="5"/>
  <c r="L38" i="5"/>
  <c r="Q39" i="5"/>
  <c r="O35" i="5"/>
  <c r="H45" i="5"/>
  <c r="E46" i="5"/>
  <c r="D48" i="5"/>
  <c r="F39" i="5"/>
  <c r="K39" i="5"/>
  <c r="W56" i="5"/>
  <c r="W58" i="5"/>
  <c r="V60" i="5"/>
  <c r="L62" i="5"/>
  <c r="S40" i="5"/>
  <c r="E47" i="5"/>
  <c r="S51" i="5"/>
  <c r="R54" i="5"/>
  <c r="J66" i="5"/>
  <c r="E59" i="5"/>
  <c r="W61" i="5"/>
  <c r="E49" i="5"/>
  <c r="V59" i="5"/>
  <c r="U44" i="5"/>
  <c r="C45" i="5"/>
  <c r="H51" i="5"/>
  <c r="C54" i="5"/>
  <c r="F21" i="5"/>
  <c r="T59" i="5"/>
  <c r="E62" i="5"/>
  <c r="U69" i="5"/>
  <c r="M75" i="5"/>
  <c r="N79" i="5"/>
  <c r="K81" i="5"/>
  <c r="Q21" i="5"/>
  <c r="O87" i="5"/>
  <c r="U90" i="5"/>
  <c r="W21" i="5"/>
  <c r="T29" i="5"/>
  <c r="W35" i="5"/>
  <c r="R67" i="5"/>
  <c r="E68" i="5"/>
  <c r="W40" i="5"/>
  <c r="J70" i="5"/>
  <c r="H73" i="5"/>
  <c r="S75" i="5"/>
  <c r="C78" i="5"/>
  <c r="M79" i="5"/>
  <c r="E80" i="5"/>
  <c r="H81" i="5"/>
  <c r="C82" i="5"/>
  <c r="C83" i="5"/>
  <c r="O84" i="5"/>
  <c r="M26" i="5"/>
  <c r="E45" i="5"/>
  <c r="M45" i="5"/>
  <c r="P28" i="5"/>
  <c r="J26" i="5"/>
  <c r="U26" i="5"/>
  <c r="N28" i="5"/>
  <c r="O31" i="5"/>
  <c r="S33" i="5"/>
  <c r="T35" i="5"/>
  <c r="S37" i="5"/>
  <c r="U39" i="5"/>
  <c r="X40" i="5"/>
  <c r="C42" i="5"/>
  <c r="I46" i="5"/>
  <c r="Q48" i="5"/>
  <c r="D21" i="5"/>
  <c r="U55" i="5"/>
  <c r="T61" i="5"/>
  <c r="L21" i="5"/>
  <c r="R75" i="5"/>
  <c r="H79" i="5"/>
  <c r="U82" i="5"/>
  <c r="R21" i="5"/>
  <c r="O90" i="5"/>
  <c r="V26" i="5"/>
  <c r="J34" i="5"/>
  <c r="O68" i="5"/>
  <c r="T63" i="5"/>
  <c r="I64" i="5"/>
  <c r="M66" i="5"/>
  <c r="W68" i="5"/>
  <c r="D69" i="5"/>
  <c r="C69" i="5"/>
  <c r="T69" i="5"/>
  <c r="E70" i="5"/>
  <c r="F71" i="5"/>
  <c r="G72" i="5"/>
  <c r="Q73" i="5"/>
  <c r="H74" i="5"/>
  <c r="C75" i="5"/>
  <c r="W71" i="5"/>
  <c r="S76" i="5"/>
  <c r="N77" i="5"/>
  <c r="M78" i="5"/>
  <c r="Q72" i="5"/>
  <c r="D73" i="5"/>
  <c r="Q80" i="5"/>
  <c r="L81" i="5"/>
  <c r="W73" i="5"/>
  <c r="J85" i="5"/>
  <c r="C86" i="5"/>
  <c r="J87" i="5"/>
  <c r="V88" i="5"/>
  <c r="M89" i="5"/>
  <c r="D90" i="5"/>
  <c r="K91" i="5"/>
  <c r="W26" i="5"/>
  <c r="E29" i="5"/>
  <c r="E30" i="5"/>
  <c r="W31" i="5"/>
  <c r="O34" i="5"/>
  <c r="H35" i="5"/>
  <c r="U37" i="5"/>
  <c r="K21" i="5"/>
  <c r="C74" i="5"/>
  <c r="D81" i="5"/>
  <c r="I86" i="5"/>
  <c r="V21" i="5"/>
  <c r="T32" i="5"/>
  <c r="G69" i="5"/>
  <c r="R83" i="5"/>
  <c r="C84" i="5"/>
  <c r="N84" i="5"/>
  <c r="Q84" i="5"/>
  <c r="R31" i="5"/>
  <c r="T84" i="5"/>
  <c r="U34" i="5"/>
  <c r="J38" i="5"/>
  <c r="L39" i="5"/>
  <c r="N86" i="5"/>
  <c r="V87" i="5"/>
  <c r="K54" i="5"/>
  <c r="K88" i="5"/>
  <c r="O58" i="5"/>
  <c r="D61" i="5"/>
  <c r="Q88" i="5"/>
  <c r="G65" i="5"/>
  <c r="O67" i="5"/>
  <c r="T70" i="5"/>
  <c r="F73" i="5"/>
  <c r="N74" i="5"/>
  <c r="X75" i="5"/>
  <c r="K78" i="5"/>
  <c r="L80" i="5"/>
  <c r="G91" i="5"/>
  <c r="K28" i="5"/>
  <c r="X30" i="5"/>
  <c r="K33" i="5"/>
  <c r="V36" i="5"/>
  <c r="T38" i="5"/>
  <c r="T53" i="5"/>
  <c r="C55" i="5"/>
  <c r="Q56" i="5"/>
  <c r="U60" i="5"/>
  <c r="S63" i="5"/>
  <c r="K66" i="5"/>
  <c r="K70" i="5"/>
  <c r="E75" i="5"/>
  <c r="L78" i="5"/>
  <c r="P82" i="5"/>
  <c r="K27" i="5"/>
  <c r="P29" i="5"/>
  <c r="V33" i="5"/>
  <c r="T39" i="5"/>
  <c r="G42" i="5"/>
  <c r="N46" i="5"/>
  <c r="U48" i="5"/>
  <c r="V52" i="5"/>
  <c r="N52" i="5"/>
  <c r="P59" i="5"/>
  <c r="D63" i="5"/>
  <c r="I66" i="5"/>
  <c r="H72" i="5"/>
  <c r="P75" i="5"/>
  <c r="S80" i="5"/>
  <c r="P84" i="5"/>
  <c r="M86" i="5"/>
  <c r="H88" i="5"/>
  <c r="J91" i="5"/>
  <c r="O92" i="5"/>
  <c r="D28" i="5"/>
  <c r="S29" i="5"/>
  <c r="V30" i="5"/>
  <c r="P32" i="5"/>
  <c r="J39" i="5"/>
  <c r="S41" i="5"/>
  <c r="T43" i="5"/>
  <c r="H46" i="5"/>
  <c r="T47" i="5"/>
  <c r="I52" i="5"/>
  <c r="M58" i="5"/>
  <c r="I60" i="5"/>
  <c r="M65" i="5"/>
  <c r="R68" i="5"/>
  <c r="F69" i="5"/>
  <c r="M70" i="5"/>
  <c r="U72" i="5"/>
  <c r="U75" i="5"/>
  <c r="Q77" i="5"/>
  <c r="T80" i="5"/>
  <c r="F81" i="5"/>
  <c r="X81" i="5"/>
  <c r="L84" i="5"/>
  <c r="N85" i="5"/>
  <c r="C87" i="5"/>
  <c r="F88" i="5"/>
  <c r="G89" i="5"/>
  <c r="T89" i="5"/>
  <c r="V90" i="5"/>
  <c r="W91" i="5"/>
  <c r="Q31" i="5"/>
  <c r="M7" i="5"/>
  <c r="P7" i="5"/>
  <c r="S7" i="5"/>
  <c r="V7" i="5"/>
  <c r="E8" i="5"/>
  <c r="G8" i="5"/>
  <c r="J8" i="5"/>
  <c r="M8" i="5"/>
  <c r="P8" i="5"/>
  <c r="S8" i="5"/>
  <c r="U8" i="5"/>
  <c r="X8" i="5"/>
  <c r="D9" i="5"/>
  <c r="G9" i="5"/>
  <c r="J9" i="5"/>
  <c r="M9" i="5"/>
  <c r="P9" i="5"/>
  <c r="R9" i="5"/>
  <c r="U9" i="5"/>
  <c r="X9" i="5"/>
  <c r="D10" i="5"/>
  <c r="F10" i="5"/>
  <c r="I10" i="5"/>
  <c r="L10" i="5"/>
  <c r="N10" i="5"/>
  <c r="Q10" i="5"/>
  <c r="T10" i="5"/>
  <c r="W10" i="5"/>
  <c r="E11" i="5"/>
  <c r="H11" i="5"/>
  <c r="J11" i="5"/>
  <c r="M11" i="5"/>
  <c r="P11" i="5"/>
  <c r="S11" i="5"/>
  <c r="V11" i="5"/>
  <c r="D12" i="5"/>
  <c r="F12" i="5"/>
  <c r="J12" i="5"/>
  <c r="M12" i="5"/>
  <c r="Q12" i="5"/>
  <c r="U12" i="5"/>
  <c r="F13" i="5"/>
  <c r="I13" i="5"/>
  <c r="L13" i="5"/>
  <c r="O13" i="5"/>
  <c r="S13" i="5"/>
  <c r="W13" i="5"/>
  <c r="C14" i="5"/>
  <c r="F14" i="5"/>
  <c r="H14" i="5"/>
  <c r="K14" i="5"/>
  <c r="Q20" i="5"/>
  <c r="J41" i="5"/>
  <c r="O45" i="5"/>
  <c r="C48" i="5"/>
  <c r="W49" i="5"/>
  <c r="J22" i="5"/>
  <c r="X52" i="5"/>
  <c r="R53" i="5"/>
  <c r="X54" i="5"/>
  <c r="D57" i="5"/>
  <c r="H58" i="5"/>
  <c r="R60" i="5"/>
  <c r="U61" i="5"/>
  <c r="W62" i="5"/>
  <c r="V64" i="5"/>
  <c r="W65" i="5"/>
  <c r="M22" i="5"/>
  <c r="I68" i="5"/>
  <c r="C70" i="5"/>
  <c r="W70" i="5"/>
  <c r="H71" i="5"/>
  <c r="R72" i="5"/>
  <c r="X73" i="5"/>
  <c r="I74" i="5"/>
  <c r="R22" i="5"/>
  <c r="K77" i="5"/>
  <c r="X79" i="5"/>
  <c r="S81" i="5"/>
  <c r="S26" i="5"/>
  <c r="H27" i="5"/>
  <c r="R29" i="5"/>
  <c r="X31" i="5"/>
  <c r="N33" i="5"/>
  <c r="P35" i="5"/>
  <c r="U22" i="5"/>
  <c r="C38" i="5"/>
  <c r="V39" i="5"/>
  <c r="Q43" i="5"/>
  <c r="J45" i="5"/>
  <c r="S46" i="5"/>
  <c r="E23" i="5"/>
  <c r="M50" i="5"/>
  <c r="C51" i="5"/>
  <c r="D53" i="5"/>
  <c r="O54" i="5"/>
  <c r="F76" i="5"/>
  <c r="U79" i="5"/>
  <c r="H82" i="5"/>
  <c r="M24" i="5"/>
  <c r="F86" i="5"/>
  <c r="W88" i="5"/>
  <c r="C59" i="5"/>
  <c r="H60" i="5"/>
  <c r="Q62" i="5"/>
  <c r="I23" i="5"/>
  <c r="F68" i="5"/>
  <c r="G71" i="5"/>
  <c r="K83" i="5"/>
  <c r="G84" i="5"/>
  <c r="T86" i="5"/>
  <c r="L87" i="5"/>
  <c r="G88" i="5"/>
  <c r="U88" i="5"/>
  <c r="S89" i="5"/>
  <c r="W90" i="5"/>
  <c r="X27" i="5"/>
  <c r="S30" i="5"/>
  <c r="Q23" i="5"/>
  <c r="S36" i="5"/>
  <c r="S23" i="5"/>
  <c r="F40" i="5"/>
  <c r="W43" i="5"/>
  <c r="U23" i="5"/>
  <c r="Q49" i="5"/>
  <c r="M52" i="5"/>
  <c r="D54" i="5"/>
  <c r="T55" i="5"/>
  <c r="C24" i="5"/>
  <c r="C63" i="5"/>
  <c r="H65" i="5"/>
  <c r="L68" i="5"/>
  <c r="D71" i="5"/>
  <c r="T73" i="5"/>
  <c r="E77" i="5"/>
  <c r="D82" i="5"/>
  <c r="J86" i="5"/>
  <c r="C89" i="5"/>
  <c r="G27" i="5"/>
  <c r="V24" i="5"/>
  <c r="W34" i="5"/>
  <c r="F38" i="5"/>
  <c r="H42" i="5"/>
  <c r="H25" i="5"/>
  <c r="G52" i="5"/>
  <c r="U56" i="5"/>
  <c r="H61" i="5"/>
  <c r="R25" i="5"/>
  <c r="N66" i="5"/>
  <c r="T25" i="5"/>
  <c r="L70" i="5"/>
  <c r="T72" i="5"/>
  <c r="F74" i="5"/>
  <c r="Q75" i="5"/>
  <c r="R79" i="5"/>
  <c r="C26" i="5"/>
  <c r="J84" i="5"/>
  <c r="M90" i="5"/>
  <c r="X91" i="5"/>
  <c r="M92" i="5"/>
  <c r="M30" i="5"/>
  <c r="I32" i="5"/>
  <c r="K29" i="5"/>
  <c r="I33" i="5"/>
  <c r="R37" i="5"/>
  <c r="Q40" i="5"/>
  <c r="X44" i="5"/>
  <c r="O46" i="5"/>
  <c r="P49" i="5"/>
  <c r="U53" i="5"/>
  <c r="U57" i="5"/>
  <c r="N61" i="5"/>
  <c r="L65" i="5"/>
  <c r="T50" i="5"/>
  <c r="K65" i="5"/>
  <c r="G56" i="5"/>
  <c r="S58" i="5"/>
  <c r="M62" i="5"/>
  <c r="P53" i="5"/>
  <c r="V62" i="5"/>
  <c r="R46" i="5"/>
  <c r="F37" i="5"/>
  <c r="F22" i="5"/>
  <c r="G22" i="5"/>
  <c r="O42" i="5"/>
  <c r="P43" i="5"/>
  <c r="D45" i="5"/>
  <c r="W45" i="5"/>
  <c r="L47" i="5"/>
  <c r="S48" i="5"/>
  <c r="I22" i="5"/>
  <c r="V50" i="5"/>
  <c r="O52" i="5"/>
  <c r="I53" i="5"/>
  <c r="G54" i="5"/>
  <c r="J55" i="5"/>
  <c r="O56" i="5"/>
  <c r="W57" i="5"/>
  <c r="H59" i="5"/>
  <c r="E61" i="5"/>
  <c r="I61" i="5"/>
  <c r="G62" i="5"/>
  <c r="D64" i="5"/>
  <c r="P64" i="5"/>
  <c r="I65" i="5"/>
  <c r="L22" i="5"/>
  <c r="E67" i="5"/>
  <c r="N22" i="5"/>
  <c r="S69" i="5"/>
  <c r="R70" i="5"/>
  <c r="O22" i="5"/>
  <c r="K71" i="5"/>
  <c r="V71" i="5"/>
  <c r="U73" i="5"/>
  <c r="P22" i="5"/>
  <c r="W74" i="5"/>
  <c r="J75" i="5"/>
  <c r="Q76" i="5"/>
  <c r="Q79" i="5"/>
  <c r="S22" i="5"/>
  <c r="L82" i="5"/>
  <c r="G83" i="5"/>
  <c r="C27" i="5"/>
  <c r="W29" i="5"/>
  <c r="T22" i="5"/>
  <c r="W32" i="5"/>
  <c r="E35" i="5"/>
  <c r="P36" i="5"/>
  <c r="V22" i="5"/>
  <c r="P39" i="5"/>
  <c r="W22" i="5"/>
  <c r="X22" i="5"/>
  <c r="F43" i="5"/>
  <c r="M43" i="5"/>
  <c r="C23" i="5"/>
  <c r="T45" i="5"/>
  <c r="D23" i="5"/>
  <c r="N47" i="5"/>
  <c r="V49" i="5"/>
  <c r="P50" i="5"/>
  <c r="Q51" i="5"/>
  <c r="P52" i="5"/>
  <c r="F54" i="5"/>
  <c r="V55" i="5"/>
  <c r="H56" i="5"/>
  <c r="G57" i="5"/>
  <c r="T77" i="5"/>
  <c r="R78" i="5"/>
  <c r="L24" i="5"/>
  <c r="O83" i="5"/>
  <c r="F85" i="5"/>
  <c r="P86" i="5"/>
  <c r="E88" i="5"/>
  <c r="V89" i="5"/>
  <c r="W59" i="5"/>
  <c r="R61" i="5"/>
  <c r="J63" i="5"/>
  <c r="H23" i="5"/>
  <c r="Q66" i="5"/>
  <c r="X69" i="5"/>
  <c r="S71" i="5"/>
  <c r="I72" i="5"/>
  <c r="P73" i="5"/>
  <c r="K74" i="5"/>
  <c r="G75" i="5"/>
  <c r="L75" i="5"/>
  <c r="P76" i="5"/>
  <c r="I77" i="5"/>
  <c r="W77" i="5"/>
  <c r="J79" i="5"/>
  <c r="U80" i="5"/>
  <c r="T82" i="5"/>
  <c r="P83" i="5"/>
  <c r="D85" i="5"/>
  <c r="E86" i="5"/>
  <c r="X86" i="5"/>
  <c r="P87" i="5"/>
  <c r="J89" i="5"/>
  <c r="E90" i="5"/>
  <c r="F91" i="5"/>
  <c r="G28" i="5"/>
  <c r="N30" i="5"/>
  <c r="D35" i="5"/>
  <c r="H37" i="5"/>
  <c r="H49" i="5"/>
  <c r="P51" i="5"/>
  <c r="S53" i="5"/>
  <c r="N55" i="5"/>
  <c r="V58" i="5"/>
  <c r="P61" i="5"/>
  <c r="G64" i="5"/>
  <c r="V65" i="5"/>
  <c r="Q68" i="5"/>
  <c r="C72" i="5"/>
  <c r="O74" i="5"/>
  <c r="J24" i="5"/>
  <c r="V82" i="5"/>
  <c r="X85" i="5"/>
  <c r="O24" i="5"/>
  <c r="L90" i="5"/>
  <c r="J30" i="5"/>
  <c r="J33" i="5"/>
  <c r="W36" i="5"/>
  <c r="K41" i="5"/>
  <c r="R43" i="5"/>
  <c r="G25" i="5"/>
  <c r="L50" i="5"/>
  <c r="K25" i="5"/>
  <c r="D59" i="5"/>
  <c r="K92" i="5"/>
  <c r="E22" i="5"/>
  <c r="S25" i="5"/>
  <c r="M68" i="5"/>
  <c r="W69" i="5"/>
  <c r="U71" i="5"/>
  <c r="S73" i="5"/>
  <c r="X25" i="5"/>
  <c r="H76" i="5"/>
  <c r="L77" i="5"/>
  <c r="O79" i="5"/>
  <c r="Q82" i="5"/>
  <c r="Q83" i="5"/>
  <c r="E85" i="5"/>
  <c r="T87" i="5"/>
  <c r="H89" i="5"/>
  <c r="T90" i="5"/>
  <c r="Q28" i="5"/>
  <c r="P92" i="5"/>
  <c r="U92" i="5"/>
  <c r="H31" i="5"/>
  <c r="V28" i="5"/>
  <c r="R33" i="5"/>
  <c r="K32" i="5"/>
  <c r="L36" i="5"/>
  <c r="Q38" i="5"/>
  <c r="V40" i="5"/>
  <c r="E36" i="5"/>
  <c r="K46" i="5"/>
  <c r="H48" i="5"/>
  <c r="S52" i="5"/>
  <c r="C56" i="5"/>
  <c r="L58" i="5"/>
  <c r="G59" i="5"/>
  <c r="X62" i="5"/>
  <c r="Q57" i="5"/>
  <c r="L48" i="5"/>
  <c r="P55" i="5"/>
  <c r="N67" i="5"/>
  <c r="C61" i="5"/>
  <c r="S50" i="5"/>
  <c r="E65" i="5"/>
  <c r="X49" i="5"/>
  <c r="V41" i="5"/>
  <c r="P46" i="5"/>
  <c r="E52" i="5"/>
  <c r="V54" i="5"/>
  <c r="G21" i="5"/>
  <c r="S66" i="5"/>
  <c r="M21" i="5"/>
  <c r="S77" i="5"/>
  <c r="J80" i="5"/>
  <c r="E84" i="5"/>
  <c r="V85" i="5"/>
  <c r="I89" i="5"/>
  <c r="R91" i="5"/>
  <c r="D27" i="5"/>
  <c r="C22" i="5"/>
  <c r="L67" i="5"/>
  <c r="X67" i="5"/>
  <c r="J68" i="5"/>
  <c r="I69" i="5"/>
  <c r="Q41" i="5"/>
  <c r="E42" i="5"/>
  <c r="L42" i="5"/>
  <c r="C79" i="5"/>
  <c r="W79" i="5"/>
  <c r="O80" i="5"/>
  <c r="T81" i="5"/>
  <c r="H43" i="5"/>
  <c r="T83" i="5"/>
  <c r="V43" i="5"/>
  <c r="I26" i="5"/>
  <c r="I44" i="5"/>
  <c r="L27" i="5"/>
  <c r="E28" i="5"/>
  <c r="Q24" i="5"/>
  <c r="E92" i="5"/>
  <c r="S24" i="5"/>
  <c r="N27" i="5"/>
  <c r="U28" i="5"/>
  <c r="T24" i="5"/>
  <c r="U24" i="5"/>
  <c r="K31" i="5"/>
  <c r="W24" i="5"/>
  <c r="F32" i="5"/>
  <c r="X24" i="5"/>
  <c r="T33" i="5"/>
  <c r="G34" i="5"/>
  <c r="G35" i="5"/>
  <c r="V35" i="5"/>
  <c r="C36" i="5"/>
  <c r="O36" i="5"/>
  <c r="L37" i="5"/>
  <c r="C25" i="5"/>
  <c r="C39" i="5"/>
  <c r="C40" i="5"/>
  <c r="H41" i="5"/>
  <c r="T41" i="5"/>
  <c r="D42" i="5"/>
  <c r="N42" i="5"/>
  <c r="E43" i="5"/>
  <c r="X43" i="5"/>
  <c r="F25" i="5"/>
  <c r="P45" i="5"/>
  <c r="U47" i="5"/>
  <c r="P48" i="5"/>
  <c r="N49" i="5"/>
  <c r="U49" i="5"/>
  <c r="F50" i="5"/>
  <c r="O50" i="5"/>
  <c r="I51" i="5"/>
  <c r="J25" i="5"/>
  <c r="K52" i="5"/>
  <c r="M53" i="5"/>
  <c r="S55" i="5"/>
  <c r="L25" i="5"/>
  <c r="N56" i="5"/>
  <c r="C57" i="5"/>
  <c r="E58" i="5"/>
  <c r="L59" i="5"/>
  <c r="M25" i="5"/>
  <c r="F60" i="5"/>
  <c r="X60" i="5"/>
  <c r="N25" i="5"/>
  <c r="M61" i="5"/>
  <c r="N62" i="5"/>
  <c r="P25" i="5"/>
  <c r="Q25" i="5"/>
  <c r="T64" i="5"/>
  <c r="H90" i="5"/>
  <c r="R27" i="5"/>
  <c r="G29" i="5"/>
  <c r="I31" i="5"/>
  <c r="P23" i="5"/>
  <c r="U35" i="5"/>
  <c r="N38" i="5"/>
  <c r="X39" i="5"/>
  <c r="D41" i="5"/>
  <c r="H44" i="5"/>
  <c r="K47" i="5"/>
  <c r="D49" i="5"/>
  <c r="W23" i="5"/>
  <c r="J53" i="5"/>
  <c r="S54" i="5"/>
  <c r="I56" i="5"/>
  <c r="C64" i="5"/>
  <c r="S65" i="5"/>
  <c r="I67" i="5"/>
  <c r="V70" i="5"/>
  <c r="E73" i="5"/>
  <c r="I24" i="5"/>
  <c r="K24" i="5"/>
  <c r="N87" i="5"/>
  <c r="P24" i="5"/>
  <c r="I28" i="5"/>
  <c r="C32" i="5"/>
  <c r="G36" i="5"/>
  <c r="R39" i="5"/>
  <c r="K45" i="5"/>
  <c r="I25" i="5"/>
  <c r="C53" i="5"/>
  <c r="N57" i="5"/>
  <c r="O25" i="5"/>
  <c r="R34" i="5"/>
  <c r="T65" i="5"/>
  <c r="G68" i="5"/>
  <c r="H69" i="5"/>
  <c r="E71" i="5"/>
  <c r="W25" i="5"/>
  <c r="J74" i="5"/>
  <c r="C76" i="5"/>
  <c r="D77" i="5"/>
  <c r="U78" i="5"/>
  <c r="N82" i="5"/>
  <c r="F84" i="5"/>
  <c r="O86" i="5"/>
  <c r="M88" i="5"/>
  <c r="P89" i="5"/>
  <c r="O27" i="5"/>
  <c r="I30" i="5"/>
  <c r="R92" i="5"/>
  <c r="X92" i="5"/>
  <c r="O26" i="5"/>
  <c r="H30" i="5"/>
  <c r="C34" i="5"/>
  <c r="C35" i="5"/>
  <c r="U38" i="5"/>
  <c r="O41" i="5"/>
  <c r="J36" i="5"/>
  <c r="U46" i="5"/>
  <c r="G38" i="5"/>
  <c r="H53" i="5"/>
  <c r="J56" i="5"/>
  <c r="R58" i="5"/>
  <c r="X59" i="5"/>
  <c r="N40" i="5"/>
  <c r="F66" i="5"/>
  <c r="X48" i="5"/>
  <c r="P56" i="5"/>
  <c r="U59" i="5"/>
  <c r="I45" i="5"/>
  <c r="S57" i="5"/>
  <c r="H68" i="5"/>
  <c r="T51" i="5"/>
  <c r="G76" i="5"/>
  <c r="S62" i="5"/>
  <c r="V63" i="5"/>
  <c r="O64" i="5"/>
  <c r="J78" i="5"/>
  <c r="T42" i="5"/>
  <c r="I82" i="5"/>
  <c r="L43" i="5"/>
  <c r="Q85" i="5"/>
  <c r="Q26" i="5"/>
  <c r="Q27" i="5"/>
  <c r="L28" i="5"/>
  <c r="L26" i="5"/>
  <c r="M27" i="5"/>
  <c r="T31" i="5"/>
  <c r="W33" i="5"/>
  <c r="M37" i="5"/>
  <c r="X20" i="5"/>
  <c r="F44" i="5"/>
  <c r="D50" i="5"/>
  <c r="E21" i="5"/>
  <c r="K59" i="5"/>
  <c r="G66" i="5"/>
  <c r="S72" i="5"/>
  <c r="O21" i="5"/>
  <c r="M84" i="5"/>
  <c r="S21" i="5"/>
  <c r="M91" i="5"/>
  <c r="W28" i="5"/>
  <c r="Q36" i="5"/>
  <c r="I63" i="5"/>
  <c r="X63" i="5"/>
  <c r="Q65" i="5"/>
  <c r="T66" i="5"/>
  <c r="C67" i="5"/>
  <c r="O70" i="5"/>
  <c r="P71" i="5"/>
  <c r="K72" i="5"/>
  <c r="C73" i="5"/>
  <c r="Q71" i="5"/>
  <c r="M74" i="5"/>
  <c r="O75" i="5"/>
  <c r="D76" i="5"/>
  <c r="O76" i="5"/>
  <c r="U77" i="5"/>
  <c r="Q78" i="5"/>
  <c r="E79" i="5"/>
  <c r="V80" i="5"/>
  <c r="W81" i="5"/>
  <c r="D84" i="5"/>
  <c r="O85" i="5"/>
  <c r="K86" i="5"/>
  <c r="I75" i="5"/>
  <c r="D88" i="5"/>
  <c r="W75" i="5"/>
  <c r="R89" i="5"/>
  <c r="S90" i="5"/>
  <c r="Q91" i="5"/>
  <c r="S28" i="5"/>
  <c r="U29" i="5"/>
  <c r="E31" i="5"/>
  <c r="E33" i="5"/>
  <c r="K79" i="5"/>
  <c r="Q37" i="5"/>
  <c r="I21" i="5"/>
  <c r="G70" i="5"/>
  <c r="X78" i="5"/>
  <c r="F80" i="5"/>
  <c r="C85" i="5"/>
  <c r="C90" i="5"/>
  <c r="G26" i="5"/>
  <c r="D22" i="5"/>
  <c r="P69" i="5"/>
  <c r="P70" i="5"/>
  <c r="U74" i="5"/>
  <c r="C77" i="5"/>
  <c r="G79" i="5"/>
  <c r="W80" i="5"/>
  <c r="V27" i="5"/>
  <c r="J29" i="5"/>
  <c r="U30" i="5"/>
  <c r="D33" i="5"/>
  <c r="K34" i="5"/>
  <c r="Q35" i="5"/>
  <c r="R38" i="5"/>
  <c r="P41" i="5"/>
  <c r="W42" i="5"/>
  <c r="P44" i="5"/>
  <c r="R87" i="5"/>
  <c r="C88" i="5"/>
  <c r="G55" i="5"/>
  <c r="T57" i="5"/>
  <c r="E60" i="5"/>
  <c r="N88" i="5"/>
  <c r="L63" i="5"/>
  <c r="U65" i="5"/>
  <c r="X88" i="5"/>
  <c r="W67" i="5"/>
  <c r="D89" i="5"/>
  <c r="J73" i="5"/>
  <c r="V74" i="5"/>
  <c r="N76" i="5"/>
  <c r="D80" i="5"/>
  <c r="V83" i="5"/>
  <c r="L91" i="5"/>
  <c r="I29" i="5"/>
  <c r="G31" i="5"/>
  <c r="O33" i="5"/>
  <c r="V91" i="5"/>
  <c r="X37" i="5"/>
  <c r="L45" i="5"/>
  <c r="H54" i="5"/>
  <c r="M55" i="5"/>
  <c r="X57" i="5"/>
  <c r="G60" i="5"/>
  <c r="W63" i="5"/>
  <c r="W64" i="5"/>
  <c r="M67" i="5"/>
  <c r="F70" i="5"/>
  <c r="X74" i="5"/>
  <c r="D78" i="5"/>
  <c r="M80" i="5"/>
  <c r="W82" i="5"/>
  <c r="K26" i="5"/>
  <c r="K30" i="5"/>
  <c r="F33" i="5"/>
  <c r="R40" i="5"/>
  <c r="G45" i="5"/>
  <c r="O47" i="5"/>
  <c r="U50" i="5"/>
  <c r="O53" i="5"/>
  <c r="F51" i="5"/>
  <c r="V53" i="5"/>
  <c r="L60" i="5"/>
  <c r="Q63" i="5"/>
  <c r="D72" i="5"/>
  <c r="M72" i="5"/>
  <c r="E78" i="5"/>
  <c r="G82" i="5"/>
  <c r="X84" i="5"/>
  <c r="D86" i="5"/>
  <c r="Q87" i="5"/>
  <c r="X90" i="5"/>
  <c r="V92" i="5"/>
  <c r="P27" i="5"/>
  <c r="N29" i="5"/>
  <c r="O30" i="5"/>
  <c r="G32" i="5"/>
  <c r="Q34" i="5"/>
  <c r="O37" i="5"/>
  <c r="I41" i="5"/>
  <c r="M42" i="5"/>
  <c r="M44" i="5"/>
  <c r="Q46" i="5"/>
  <c r="I48" i="5"/>
  <c r="W51" i="5"/>
  <c r="C58" i="5"/>
  <c r="N59" i="5"/>
  <c r="O63" i="5"/>
  <c r="R45" i="5"/>
  <c r="R47" i="5"/>
  <c r="M29" i="5"/>
  <c r="Q29" i="5"/>
  <c r="V47" i="5"/>
  <c r="G30" i="5"/>
  <c r="L30" i="5"/>
  <c r="T30" i="5"/>
  <c r="O48" i="5"/>
  <c r="F49" i="5"/>
  <c r="M31" i="5"/>
  <c r="D32" i="5"/>
  <c r="M32" i="5"/>
  <c r="V32" i="5"/>
  <c r="K49" i="5"/>
  <c r="C33" i="5"/>
  <c r="P33" i="5"/>
  <c r="X33" i="5"/>
  <c r="T49" i="5"/>
  <c r="T34" i="5"/>
  <c r="C50" i="5"/>
  <c r="I35" i="5"/>
  <c r="N35" i="5"/>
  <c r="S35" i="5"/>
  <c r="X35" i="5"/>
  <c r="N50" i="5"/>
  <c r="F36" i="5"/>
  <c r="M36" i="5"/>
  <c r="U36" i="5"/>
  <c r="X36" i="5"/>
  <c r="W50" i="5"/>
  <c r="E37" i="5"/>
  <c r="K38" i="5"/>
  <c r="P38" i="5"/>
  <c r="E51" i="5"/>
  <c r="U51" i="5"/>
  <c r="E39" i="5"/>
  <c r="M39" i="5"/>
  <c r="W39" i="5"/>
  <c r="J40" i="5"/>
  <c r="H52" i="5"/>
  <c r="F41" i="5"/>
  <c r="N41" i="5"/>
  <c r="W41" i="5"/>
  <c r="I42" i="5"/>
  <c r="P42" i="5"/>
  <c r="U42" i="5"/>
  <c r="R52" i="5"/>
  <c r="C43" i="5"/>
  <c r="N43" i="5"/>
  <c r="U43" i="5"/>
  <c r="N53" i="5"/>
  <c r="O44" i="5"/>
  <c r="T44" i="5"/>
  <c r="F45" i="5"/>
  <c r="I54" i="5"/>
  <c r="D46" i="5"/>
  <c r="J46" i="5"/>
  <c r="T46" i="5"/>
  <c r="X46" i="5"/>
  <c r="M57" i="5"/>
  <c r="K58" i="5"/>
  <c r="P47" i="5"/>
  <c r="E48" i="5"/>
  <c r="R48" i="5"/>
  <c r="I49" i="5"/>
  <c r="E64" i="5"/>
  <c r="G51" i="5"/>
  <c r="J51" i="5"/>
  <c r="H64" i="5"/>
  <c r="F52" i="5"/>
  <c r="C65" i="5"/>
  <c r="K53" i="5"/>
  <c r="W53" i="5"/>
  <c r="M54" i="5"/>
  <c r="W54" i="5"/>
  <c r="H55" i="5"/>
  <c r="K55" i="5"/>
  <c r="N65" i="5"/>
  <c r="M56" i="5"/>
  <c r="T56" i="5"/>
  <c r="O66" i="5"/>
  <c r="O57" i="5"/>
  <c r="F58" i="5"/>
  <c r="T67" i="5"/>
  <c r="O59" i="5"/>
  <c r="D60" i="5"/>
  <c r="O60" i="5"/>
  <c r="C68" i="5"/>
  <c r="K61" i="5"/>
  <c r="H62" i="5"/>
  <c r="K82" i="5"/>
  <c r="Q44" i="5"/>
  <c r="F47" i="5"/>
  <c r="F48" i="5"/>
  <c r="O51" i="5"/>
  <c r="T52" i="5"/>
  <c r="N54" i="5"/>
  <c r="F56" i="5"/>
  <c r="J58" i="5"/>
  <c r="U58" i="5"/>
  <c r="X61" i="5"/>
  <c r="P62" i="5"/>
  <c r="M63" i="5"/>
  <c r="G67" i="5"/>
  <c r="N68" i="5"/>
  <c r="I92" i="5"/>
  <c r="S43" i="5"/>
  <c r="X45" i="5"/>
  <c r="J49" i="5"/>
  <c r="K50" i="5"/>
  <c r="D52" i="5"/>
  <c r="R28" i="5"/>
  <c r="G33" i="5"/>
  <c r="J35" i="5"/>
  <c r="D37" i="5"/>
  <c r="W38" i="5"/>
  <c r="P40" i="5"/>
  <c r="N51" i="5"/>
  <c r="J54" i="5"/>
  <c r="J57" i="5"/>
  <c r="J21" i="5"/>
  <c r="N21" i="5"/>
  <c r="P21" i="5"/>
  <c r="K85" i="5"/>
  <c r="U21" i="5"/>
  <c r="Q92" i="5"/>
  <c r="F30" i="5"/>
  <c r="T62" i="5"/>
  <c r="P63" i="5"/>
  <c r="S68" i="5"/>
  <c r="E66" i="5"/>
  <c r="X66" i="5"/>
  <c r="U67" i="5"/>
  <c r="D68" i="5"/>
  <c r="J69" i="5"/>
  <c r="N70" i="5"/>
  <c r="U70" i="5"/>
  <c r="X71" i="5"/>
  <c r="P72" i="5"/>
  <c r="L73" i="5"/>
  <c r="S74" i="5"/>
  <c r="V75" i="5"/>
  <c r="K76" i="5"/>
  <c r="W76" i="5"/>
  <c r="F77" i="5"/>
  <c r="L72" i="5"/>
  <c r="V78" i="5"/>
  <c r="T79" i="5"/>
  <c r="K80" i="5"/>
  <c r="G81" i="5"/>
  <c r="E82" i="5"/>
  <c r="W84" i="5"/>
  <c r="W85" i="5"/>
  <c r="U86" i="5"/>
  <c r="I88" i="5"/>
  <c r="E89" i="5"/>
  <c r="X89" i="5"/>
  <c r="J76" i="5"/>
  <c r="H77" i="5"/>
  <c r="X28" i="5"/>
  <c r="S78" i="5"/>
  <c r="J32" i="5"/>
  <c r="V34" i="5"/>
  <c r="K36" i="5"/>
  <c r="X58" i="5"/>
  <c r="P67" i="5"/>
  <c r="U76" i="5"/>
  <c r="H84" i="5"/>
  <c r="R88" i="5"/>
  <c r="D92" i="5"/>
  <c r="J83" i="5"/>
  <c r="I71" i="5"/>
  <c r="V73" i="5"/>
  <c r="T75" i="5"/>
  <c r="O77" i="5"/>
  <c r="L79" i="5"/>
  <c r="S27" i="5"/>
  <c r="L32" i="5"/>
  <c r="M34" i="5"/>
  <c r="D38" i="5"/>
  <c r="D39" i="5"/>
  <c r="X41" i="5"/>
  <c r="L44" i="5"/>
  <c r="D47" i="5"/>
  <c r="Q52" i="5"/>
  <c r="L55" i="5"/>
  <c r="I58" i="5"/>
  <c r="N60" i="5"/>
  <c r="K62" i="5"/>
  <c r="L66" i="5"/>
  <c r="K68" i="5"/>
  <c r="X72" i="5"/>
  <c r="R74" i="5"/>
  <c r="O78" i="5"/>
  <c r="U27" i="5"/>
  <c r="P91" i="5"/>
  <c r="R32" i="5"/>
  <c r="N34" i="5"/>
  <c r="J37" i="5"/>
  <c r="X38" i="5"/>
  <c r="G50" i="5"/>
  <c r="E54" i="5"/>
  <c r="I55" i="5"/>
  <c r="L56" i="5"/>
  <c r="Q59" i="5"/>
  <c r="N63" i="5"/>
  <c r="L64" i="5"/>
  <c r="P66" i="5"/>
  <c r="E69" i="5"/>
  <c r="K73" i="5"/>
  <c r="J77" i="5"/>
  <c r="P78" i="5"/>
  <c r="F82" i="5"/>
  <c r="W83" i="5"/>
  <c r="O28" i="5"/>
  <c r="H32" i="5"/>
  <c r="H34" i="5"/>
  <c r="E40" i="5"/>
  <c r="R42" i="5"/>
  <c r="W46" i="5"/>
  <c r="C49" i="5"/>
  <c r="J52" i="5"/>
  <c r="H50" i="5"/>
  <c r="E56" i="5"/>
  <c r="J62" i="5"/>
  <c r="U64" i="5"/>
  <c r="Q70" i="5"/>
  <c r="D75" i="5"/>
  <c r="P80" i="5"/>
  <c r="E83" i="5"/>
  <c r="R85" i="5"/>
  <c r="D87" i="5"/>
  <c r="R90" i="5"/>
  <c r="U91" i="5"/>
  <c r="S92" i="5"/>
  <c r="F27" i="5"/>
  <c r="H29" i="5"/>
  <c r="L33" i="5"/>
  <c r="I36" i="5"/>
  <c r="I38" i="5"/>
  <c r="M41" i="5"/>
  <c r="Q42" i="5"/>
  <c r="S44" i="5"/>
  <c r="G47" i="5"/>
  <c r="T48" i="5"/>
  <c r="E57" i="5"/>
  <c r="F59" i="5"/>
  <c r="U62" i="5"/>
  <c r="AP81" i="5"/>
  <c r="AP54" i="5"/>
  <c r="AP10" i="5"/>
  <c r="V79" i="5"/>
  <c r="O38" i="5"/>
  <c r="S38" i="5"/>
  <c r="I81" i="5"/>
  <c r="M40" i="5"/>
  <c r="C41" i="5"/>
  <c r="C44" i="5"/>
  <c r="L46" i="5"/>
  <c r="J50" i="5"/>
  <c r="L52" i="5"/>
  <c r="F55" i="5"/>
  <c r="K57" i="5"/>
  <c r="Q60" i="5"/>
  <c r="I62" i="5"/>
  <c r="O82" i="5"/>
  <c r="W66" i="5"/>
  <c r="H39" i="5"/>
  <c r="G43" i="5"/>
  <c r="S45" i="5"/>
  <c r="V48" i="5"/>
  <c r="Q50" i="5"/>
  <c r="X83" i="5"/>
  <c r="I27" i="5"/>
  <c r="J28" i="5"/>
  <c r="N31" i="5"/>
  <c r="U33" i="5"/>
  <c r="M38" i="5"/>
  <c r="I85" i="5"/>
  <c r="E44" i="5"/>
  <c r="R86" i="5"/>
  <c r="V51" i="5"/>
  <c r="D55" i="5"/>
  <c r="I57" i="5"/>
  <c r="S61" i="5"/>
  <c r="G63" i="5"/>
  <c r="Q64" i="5"/>
  <c r="H67" i="5"/>
  <c r="M69" i="5"/>
  <c r="O72" i="5"/>
  <c r="R73" i="5"/>
  <c r="L89" i="5"/>
  <c r="U89" i="5"/>
  <c r="T78" i="5"/>
  <c r="P81" i="5"/>
  <c r="H26" i="5"/>
  <c r="C28" i="5"/>
  <c r="P30" i="5"/>
  <c r="X32" i="5"/>
  <c r="N36" i="5"/>
  <c r="T37" i="5"/>
  <c r="I40" i="5"/>
  <c r="W52" i="5"/>
  <c r="G53" i="5"/>
  <c r="Q54" i="5"/>
  <c r="R55" i="5"/>
  <c r="Q58" i="5"/>
  <c r="J64" i="5"/>
  <c r="S64" i="5"/>
  <c r="U66" i="5"/>
  <c r="O69" i="5"/>
  <c r="T74" i="5"/>
  <c r="R77" i="5"/>
  <c r="H80" i="5"/>
  <c r="N81" i="5"/>
  <c r="M83" i="5"/>
  <c r="F28" i="5"/>
  <c r="V31" i="5"/>
  <c r="S34" i="5"/>
  <c r="K40" i="5"/>
  <c r="J47" i="5"/>
  <c r="E50" i="5"/>
  <c r="D51" i="5"/>
  <c r="F53" i="5"/>
  <c r="I59" i="5"/>
  <c r="W60" i="5"/>
  <c r="K64" i="5"/>
  <c r="X70" i="5"/>
  <c r="H75" i="5"/>
  <c r="G80" i="5"/>
  <c r="S82" i="5"/>
  <c r="G85" i="5"/>
  <c r="V86" i="5"/>
  <c r="K90" i="5"/>
  <c r="F92" i="5"/>
  <c r="F26" i="5"/>
  <c r="H28" i="5"/>
  <c r="C30" i="5"/>
  <c r="L31" i="5"/>
  <c r="D34" i="5"/>
  <c r="R36" i="5"/>
  <c r="H40" i="5"/>
  <c r="F42" i="5"/>
  <c r="J43" i="5"/>
  <c r="N45" i="5"/>
  <c r="M47" i="5"/>
  <c r="O49" i="5"/>
  <c r="P57" i="5"/>
  <c r="S59" i="5"/>
  <c r="R64" i="5"/>
  <c r="F67" i="5"/>
  <c r="V69" i="5"/>
  <c r="T71" i="5"/>
  <c r="M73" i="5"/>
  <c r="M76" i="5"/>
  <c r="G77" i="5"/>
  <c r="D79" i="5"/>
  <c r="R81" i="5"/>
  <c r="M82" i="5"/>
  <c r="S85" i="5"/>
  <c r="W86" i="5"/>
  <c r="X87" i="5"/>
  <c r="P88" i="5"/>
  <c r="N89" i="5"/>
  <c r="P90" i="5"/>
  <c r="S91" i="5"/>
  <c r="N7" i="5"/>
  <c r="Q7" i="5"/>
  <c r="T7" i="5"/>
  <c r="W7" i="5"/>
  <c r="C8" i="5"/>
  <c r="F8" i="5"/>
  <c r="H8" i="5"/>
  <c r="K8" i="5"/>
  <c r="N8" i="5"/>
  <c r="Q8" i="5"/>
  <c r="T8" i="5"/>
  <c r="W8" i="5"/>
  <c r="C9" i="5"/>
  <c r="F9" i="5"/>
  <c r="H9" i="5"/>
  <c r="K9" i="5"/>
  <c r="N9" i="5"/>
  <c r="Q9" i="5"/>
  <c r="T9" i="5"/>
  <c r="W9" i="5"/>
  <c r="C10" i="5"/>
  <c r="G10" i="5"/>
  <c r="J10" i="5"/>
  <c r="M10" i="5"/>
  <c r="P10" i="5"/>
  <c r="S10" i="5"/>
  <c r="V10" i="5"/>
  <c r="C11" i="5"/>
  <c r="F11" i="5"/>
  <c r="I11" i="5"/>
  <c r="L11" i="5"/>
  <c r="O11" i="5"/>
  <c r="R11" i="5"/>
  <c r="U11" i="5"/>
  <c r="W11" i="5"/>
  <c r="E12" i="5"/>
  <c r="I12" i="5"/>
  <c r="L12" i="5"/>
  <c r="P12" i="5"/>
  <c r="T12" i="5"/>
  <c r="X12" i="5"/>
  <c r="E13" i="5"/>
  <c r="H13" i="5"/>
  <c r="K13" i="5"/>
  <c r="P13" i="5"/>
  <c r="T13" i="5"/>
  <c r="X13" i="5"/>
  <c r="D14" i="5"/>
  <c r="G14" i="5"/>
  <c r="J14" i="5"/>
  <c r="O20" i="5"/>
  <c r="U20" i="5"/>
  <c r="AP22" i="5"/>
  <c r="L54" i="5"/>
  <c r="U54" i="5"/>
  <c r="Q55" i="5"/>
  <c r="K56" i="5"/>
  <c r="R56" i="5"/>
  <c r="F57" i="5"/>
  <c r="D58" i="5"/>
  <c r="J59" i="5"/>
  <c r="K60" i="5"/>
  <c r="O61" i="5"/>
  <c r="V61" i="5"/>
  <c r="F62" i="5"/>
  <c r="K63" i="5"/>
  <c r="C66" i="5"/>
  <c r="H66" i="5"/>
  <c r="R66" i="5"/>
  <c r="K67" i="5"/>
  <c r="P68" i="5"/>
  <c r="X68" i="5"/>
  <c r="K69" i="5"/>
  <c r="L71" i="5"/>
  <c r="R71" i="5"/>
  <c r="V72" i="5"/>
  <c r="L74" i="5"/>
  <c r="P74" i="5"/>
  <c r="L76" i="5"/>
  <c r="X77" i="5"/>
  <c r="F79" i="5"/>
  <c r="C80" i="5"/>
  <c r="I80" i="5"/>
  <c r="V81" i="5"/>
  <c r="R82" i="5"/>
  <c r="N83" i="5"/>
  <c r="I84" i="5"/>
  <c r="R84" i="5"/>
  <c r="H85" i="5"/>
  <c r="L85" i="5"/>
  <c r="T85" i="5"/>
  <c r="H86" i="5"/>
  <c r="S86" i="5"/>
  <c r="H87" i="5"/>
  <c r="M87" i="5"/>
  <c r="W87" i="5"/>
  <c r="L88" i="5"/>
  <c r="T88" i="5"/>
  <c r="K89" i="5"/>
  <c r="Q89" i="5"/>
  <c r="F90" i="5"/>
  <c r="J90" i="5"/>
  <c r="Q90" i="5"/>
  <c r="H91" i="5"/>
  <c r="T91" i="5"/>
  <c r="G92" i="5"/>
  <c r="T27" i="5"/>
  <c r="M28" i="5"/>
  <c r="F29" i="5"/>
  <c r="D30" i="5"/>
  <c r="W30" i="5"/>
  <c r="F31" i="5"/>
  <c r="J31" i="5"/>
  <c r="S31" i="5"/>
  <c r="U32" i="5"/>
  <c r="H33" i="5"/>
  <c r="E34" i="5"/>
  <c r="L34" i="5"/>
  <c r="L35" i="5"/>
  <c r="H36" i="5"/>
  <c r="T36" i="5"/>
  <c r="K37" i="5"/>
  <c r="S60" i="5"/>
  <c r="O62" i="5"/>
  <c r="F63" i="5"/>
  <c r="F64" i="5"/>
  <c r="X64" i="5"/>
  <c r="R65" i="5"/>
  <c r="V37" i="5"/>
  <c r="E38" i="5"/>
  <c r="V38" i="5"/>
  <c r="I39" i="5"/>
  <c r="G40" i="5"/>
  <c r="U40" i="5"/>
  <c r="E41" i="5"/>
  <c r="K42" i="5"/>
  <c r="X42" i="5"/>
  <c r="D43" i="5"/>
  <c r="O43" i="5"/>
  <c r="K44" i="5"/>
  <c r="R44" i="5"/>
  <c r="Q45" i="5"/>
  <c r="V45" i="5"/>
  <c r="F46" i="5"/>
  <c r="S47" i="5"/>
  <c r="X47" i="5"/>
  <c r="G48" i="5"/>
  <c r="W48" i="5"/>
  <c r="L49" i="5"/>
  <c r="Q53" i="5"/>
  <c r="P60" i="5"/>
  <c r="U63" i="5"/>
  <c r="Q69" i="5"/>
  <c r="O73" i="5"/>
  <c r="I78" i="5"/>
  <c r="K84" i="5"/>
  <c r="G86" i="5"/>
  <c r="U87" i="5"/>
  <c r="C91" i="5"/>
  <c r="L92" i="5"/>
  <c r="P26" i="5"/>
  <c r="C29" i="5"/>
  <c r="X29" i="5"/>
  <c r="P31" i="5"/>
  <c r="I34" i="5"/>
  <c r="I37" i="5"/>
  <c r="O40" i="5"/>
  <c r="J42" i="5"/>
  <c r="G44" i="5"/>
  <c r="V46" i="5"/>
  <c r="M48" i="5"/>
  <c r="V56" i="5"/>
  <c r="P58" i="5"/>
  <c r="L61" i="5"/>
  <c r="D66" i="5"/>
  <c r="V68" i="5"/>
  <c r="H70" i="5"/>
  <c r="E72" i="5"/>
  <c r="G74" i="5"/>
  <c r="X76" i="5"/>
  <c r="V77" i="5"/>
  <c r="X80" i="5"/>
  <c r="O81" i="5"/>
  <c r="J82" i="5"/>
  <c r="S83" i="5"/>
  <c r="V84" i="5"/>
  <c r="L86" i="5"/>
  <c r="G87" i="5"/>
  <c r="J88" i="5"/>
  <c r="I90" i="5"/>
  <c r="I91" i="5"/>
  <c r="H92" i="5"/>
  <c r="M35" i="5"/>
  <c r="O7" i="5"/>
  <c r="R7" i="5"/>
  <c r="U7" i="5"/>
  <c r="X7" i="5"/>
  <c r="D8" i="5"/>
  <c r="I8" i="5"/>
  <c r="L8" i="5"/>
  <c r="O8" i="5"/>
  <c r="R8" i="5"/>
  <c r="V8" i="5"/>
  <c r="E9" i="5"/>
  <c r="I9" i="5"/>
  <c r="L9" i="5"/>
  <c r="O9" i="5"/>
  <c r="S9" i="5"/>
  <c r="V9" i="5"/>
  <c r="E10" i="5"/>
  <c r="H10" i="5"/>
  <c r="K10" i="5"/>
  <c r="O10" i="5"/>
  <c r="R10" i="5"/>
  <c r="U10" i="5"/>
  <c r="X10" i="5"/>
  <c r="D11" i="5"/>
  <c r="G11" i="5"/>
  <c r="K11" i="5"/>
  <c r="N11" i="5"/>
  <c r="Q11" i="5"/>
  <c r="T11" i="5"/>
  <c r="X11" i="5"/>
  <c r="C12" i="5"/>
  <c r="G12" i="5"/>
  <c r="K12" i="5"/>
  <c r="N12" i="5"/>
  <c r="R12" i="5"/>
  <c r="V12" i="5"/>
  <c r="D13" i="5"/>
  <c r="J13" i="5"/>
  <c r="N13" i="5"/>
  <c r="R13" i="5"/>
  <c r="V13" i="5"/>
  <c r="E14" i="5"/>
  <c r="I14" i="5"/>
  <c r="K20" i="5"/>
  <c r="S20" i="5"/>
  <c r="T40" i="5"/>
  <c r="S42" i="5"/>
  <c r="H47" i="5"/>
  <c r="R51" i="5"/>
  <c r="P54" i="5"/>
  <c r="X56" i="5"/>
  <c r="C60" i="5"/>
  <c r="X65" i="5"/>
  <c r="I73" i="5"/>
  <c r="R80" i="5"/>
  <c r="AP83" i="5"/>
  <c r="AP66" i="5"/>
  <c r="AP12" i="5"/>
  <c r="AP9" i="5"/>
  <c r="C4" i="5"/>
  <c r="D4" i="5"/>
  <c r="E4" i="5"/>
  <c r="F4" i="5"/>
  <c r="G4" i="5"/>
  <c r="H4" i="5"/>
  <c r="I4" i="5"/>
  <c r="J4" i="5"/>
  <c r="K4" i="5"/>
  <c r="L4" i="5"/>
  <c r="M4" i="5"/>
  <c r="N4" i="5"/>
  <c r="O4" i="5"/>
  <c r="P4" i="5"/>
  <c r="Q4" i="5"/>
  <c r="R4" i="5"/>
  <c r="S4" i="5"/>
  <c r="T4" i="5"/>
  <c r="U4" i="5"/>
  <c r="V4" i="5"/>
  <c r="W4" i="5"/>
  <c r="X4" i="5"/>
  <c r="C5" i="5"/>
  <c r="D5" i="5"/>
  <c r="E5" i="5"/>
  <c r="F5" i="5"/>
  <c r="G5" i="5"/>
  <c r="H5" i="5"/>
  <c r="I5" i="5"/>
  <c r="J5" i="5"/>
  <c r="K5" i="5"/>
  <c r="L5" i="5"/>
  <c r="M5" i="5"/>
  <c r="N5" i="5"/>
  <c r="O5" i="5"/>
  <c r="P5" i="5"/>
  <c r="Q5" i="5"/>
  <c r="R5" i="5"/>
  <c r="S5" i="5"/>
  <c r="T5" i="5"/>
  <c r="U5" i="5"/>
  <c r="V5" i="5"/>
  <c r="W5" i="5"/>
  <c r="X5" i="5"/>
  <c r="C6" i="5"/>
  <c r="D6" i="5"/>
  <c r="E6" i="5"/>
  <c r="F6" i="5"/>
  <c r="G6" i="5"/>
  <c r="H6" i="5"/>
  <c r="I6" i="5"/>
  <c r="J6" i="5"/>
  <c r="K6" i="5"/>
  <c r="L6" i="5"/>
  <c r="M6" i="5"/>
  <c r="N6" i="5"/>
  <c r="O6" i="5"/>
  <c r="P6" i="5"/>
  <c r="Q6" i="5"/>
  <c r="R6" i="5"/>
  <c r="S6" i="5"/>
  <c r="T6" i="5"/>
  <c r="U6" i="5"/>
  <c r="V6" i="5"/>
  <c r="W6" i="5"/>
  <c r="X6" i="5"/>
  <c r="C7" i="5"/>
  <c r="D7" i="5"/>
  <c r="E7" i="5"/>
  <c r="F7" i="5"/>
  <c r="G7" i="5"/>
  <c r="H7" i="5"/>
  <c r="I7" i="5"/>
  <c r="J7" i="5"/>
  <c r="K7" i="5"/>
  <c r="L7" i="5"/>
  <c r="H12" i="5"/>
  <c r="O12" i="5"/>
  <c r="S12" i="5"/>
  <c r="W12" i="5"/>
  <c r="C13" i="5"/>
  <c r="G13" i="5"/>
  <c r="M13" i="5"/>
  <c r="Q13" i="5"/>
  <c r="U13" i="5"/>
  <c r="M20" i="5"/>
  <c r="V20" i="5"/>
  <c r="C21" i="5"/>
  <c r="R50" i="5"/>
  <c r="L53" i="5"/>
  <c r="O55" i="5"/>
  <c r="H21" i="5"/>
  <c r="E63" i="5"/>
  <c r="N69" i="5"/>
  <c r="J71" i="5"/>
  <c r="S79" i="5"/>
  <c r="U81" i="5"/>
  <c r="H83" i="5"/>
  <c r="U84" i="5"/>
  <c r="P85" i="5"/>
  <c r="I87" i="5"/>
  <c r="T21" i="5"/>
  <c r="G90" i="5"/>
  <c r="E91" i="5"/>
  <c r="N92" i="5"/>
  <c r="R26" i="5"/>
  <c r="J27" i="5"/>
  <c r="R30" i="5"/>
  <c r="Q33" i="5"/>
  <c r="F35" i="5"/>
  <c r="L14" i="5"/>
  <c r="M14" i="5"/>
  <c r="N14" i="5"/>
  <c r="O14" i="5"/>
  <c r="P14" i="5"/>
  <c r="Q14" i="5"/>
  <c r="R14" i="5"/>
  <c r="S14" i="5"/>
  <c r="T14" i="5"/>
  <c r="U14" i="5"/>
  <c r="V14" i="5"/>
  <c r="W14" i="5"/>
  <c r="X14" i="5"/>
  <c r="C15" i="5"/>
  <c r="D15" i="5"/>
  <c r="E15" i="5"/>
  <c r="F15" i="5"/>
  <c r="G15" i="5"/>
  <c r="H15" i="5"/>
  <c r="I15" i="5"/>
  <c r="J15" i="5"/>
  <c r="K15" i="5"/>
  <c r="L15" i="5"/>
  <c r="M15" i="5"/>
  <c r="N15" i="5"/>
  <c r="O15" i="5"/>
  <c r="P15" i="5"/>
  <c r="Q15" i="5"/>
  <c r="R15" i="5"/>
  <c r="S15" i="5"/>
  <c r="T15" i="5"/>
  <c r="U15" i="5"/>
  <c r="V15" i="5"/>
  <c r="W15" i="5"/>
  <c r="X15" i="5"/>
  <c r="C16" i="5"/>
  <c r="D16" i="5"/>
  <c r="E16" i="5"/>
  <c r="F16" i="5"/>
  <c r="G16" i="5"/>
  <c r="H16" i="5"/>
  <c r="I16" i="5"/>
  <c r="J16" i="5"/>
  <c r="K16" i="5"/>
  <c r="L16" i="5"/>
  <c r="M16" i="5"/>
  <c r="N16" i="5"/>
  <c r="O16" i="5"/>
  <c r="P16" i="5"/>
  <c r="Q16" i="5"/>
  <c r="R16" i="5"/>
  <c r="S16" i="5"/>
  <c r="T16" i="5"/>
  <c r="U16" i="5"/>
  <c r="V16" i="5"/>
  <c r="W16" i="5"/>
  <c r="X16" i="5"/>
  <c r="C17" i="5"/>
  <c r="D17" i="5"/>
  <c r="E17" i="5"/>
  <c r="F17" i="5"/>
  <c r="G17" i="5"/>
  <c r="H17" i="5"/>
  <c r="I17" i="5"/>
  <c r="J17" i="5"/>
  <c r="K17" i="5"/>
  <c r="L17" i="5"/>
  <c r="M17" i="5"/>
  <c r="N17" i="5"/>
  <c r="O17" i="5"/>
  <c r="P17" i="5"/>
  <c r="Q17" i="5"/>
  <c r="R17" i="5"/>
  <c r="S17" i="5"/>
  <c r="T17" i="5"/>
  <c r="U17" i="5"/>
  <c r="V17" i="5"/>
  <c r="W17" i="5"/>
  <c r="X17" i="5"/>
  <c r="C18" i="5"/>
  <c r="D18" i="5"/>
  <c r="E18" i="5"/>
  <c r="F18" i="5"/>
  <c r="G18" i="5"/>
  <c r="H18" i="5"/>
  <c r="I18" i="5"/>
  <c r="J18" i="5"/>
  <c r="K18" i="5"/>
  <c r="L18" i="5"/>
  <c r="M18" i="5"/>
  <c r="N18" i="5"/>
  <c r="O18" i="5"/>
  <c r="P18" i="5"/>
  <c r="Q18" i="5"/>
  <c r="R18" i="5"/>
  <c r="S18" i="5"/>
  <c r="T18" i="5"/>
  <c r="U18" i="5"/>
  <c r="V18" i="5"/>
  <c r="W18" i="5"/>
  <c r="X18" i="5"/>
  <c r="C19" i="5"/>
  <c r="D19" i="5"/>
  <c r="E19" i="5"/>
  <c r="F19" i="5"/>
  <c r="G19" i="5"/>
  <c r="H19" i="5"/>
  <c r="I19" i="5"/>
  <c r="J19" i="5"/>
  <c r="K19" i="5"/>
  <c r="L19" i="5"/>
  <c r="M19" i="5"/>
  <c r="N19" i="5"/>
  <c r="O19" i="5"/>
  <c r="P19" i="5"/>
  <c r="Q19" i="5"/>
  <c r="R19" i="5"/>
  <c r="S19" i="5"/>
  <c r="T19" i="5"/>
  <c r="U19" i="5"/>
  <c r="V19" i="5"/>
  <c r="W19" i="5"/>
  <c r="X19" i="5"/>
  <c r="C20" i="5"/>
  <c r="D20" i="5"/>
  <c r="E20" i="5"/>
  <c r="F20" i="5"/>
  <c r="G20" i="5"/>
  <c r="H20" i="5"/>
  <c r="I20" i="5"/>
  <c r="J20" i="5"/>
  <c r="L20" i="5"/>
  <c r="N20" i="5"/>
  <c r="P20" i="5"/>
  <c r="R20" i="5"/>
  <c r="T20" i="5"/>
  <c r="W20" i="5"/>
  <c r="BJ9" i="5" l="1"/>
  <c r="BJ14" i="5" s="1"/>
  <c r="BG16" i="5" s="1"/>
  <c r="AI35" i="5"/>
  <c r="AM65" i="5"/>
  <c r="AM76" i="5"/>
  <c r="AM24" i="5"/>
  <c r="AM21" i="5"/>
  <c r="AM70" i="5"/>
  <c r="AM11" i="5"/>
  <c r="AM90" i="5"/>
  <c r="AM39" i="5"/>
  <c r="AM19" i="5"/>
  <c r="AM72" i="5"/>
  <c r="AM4" i="5"/>
  <c r="AM52" i="5"/>
  <c r="AM71" i="5"/>
  <c r="AM61" i="5"/>
  <c r="AM44" i="5"/>
  <c r="AM5" i="5"/>
  <c r="AM80" i="5"/>
  <c r="AM22" i="5"/>
  <c r="AM13" i="5"/>
  <c r="AM82" i="5"/>
  <c r="AM37" i="5"/>
  <c r="AM35" i="5"/>
  <c r="BJ8" i="5" s="1"/>
  <c r="BJ13" i="5" s="1"/>
  <c r="AM28" i="5"/>
  <c r="AM8" i="5"/>
  <c r="AM58" i="5"/>
  <c r="AM62" i="5"/>
  <c r="AO35" i="5"/>
  <c r="AM31" i="5"/>
  <c r="AM14" i="5"/>
  <c r="AM84" i="5"/>
  <c r="AM40" i="5"/>
  <c r="AM10" i="5"/>
  <c r="AM49" i="5"/>
  <c r="AM54" i="5"/>
  <c r="AM57" i="5"/>
  <c r="AM51" i="5"/>
  <c r="AM81" i="5"/>
  <c r="AM27" i="5"/>
  <c r="AM17" i="5"/>
  <c r="AM56" i="5"/>
  <c r="AM59" i="5"/>
  <c r="AM33" i="5"/>
  <c r="AK11" i="5"/>
  <c r="BH99" i="9"/>
  <c r="BH90" i="9"/>
  <c r="BH82" i="9"/>
  <c r="BH74" i="9"/>
  <c r="BH140" i="9"/>
  <c r="BH55" i="9"/>
  <c r="BH137" i="9"/>
  <c r="BH43" i="9"/>
  <c r="BH1046" i="9"/>
  <c r="BH1031" i="9"/>
  <c r="BH1018" i="9"/>
  <c r="BH1009" i="9"/>
  <c r="BH981" i="9"/>
  <c r="BH976" i="9"/>
  <c r="BH965" i="9"/>
  <c r="BH962" i="9"/>
  <c r="BH927" i="9"/>
  <c r="BH902" i="9"/>
  <c r="BH865" i="9"/>
  <c r="BH812" i="9"/>
  <c r="BH798" i="9"/>
  <c r="BH795" i="9"/>
  <c r="BH788" i="9"/>
  <c r="BH772" i="9"/>
  <c r="BH768" i="9"/>
  <c r="BH676" i="9"/>
  <c r="BH664" i="9"/>
  <c r="BH660" i="9"/>
  <c r="BH633" i="9"/>
  <c r="BH438" i="9"/>
  <c r="BH242" i="9"/>
  <c r="BH161" i="9"/>
  <c r="BH159" i="9"/>
  <c r="BH142" i="9"/>
  <c r="BH138" i="9"/>
  <c r="BH136" i="9"/>
  <c r="BH89" i="9"/>
  <c r="BH69" i="9"/>
  <c r="BH67" i="9"/>
  <c r="BH66" i="9"/>
  <c r="BH65" i="9"/>
  <c r="BH54" i="9"/>
  <c r="BH24" i="9"/>
  <c r="BH1048" i="9"/>
  <c r="BH1045" i="9"/>
  <c r="BH1041" i="9"/>
  <c r="BH1037" i="9"/>
  <c r="BH929" i="9"/>
  <c r="BH936" i="9"/>
  <c r="BH944" i="9"/>
  <c r="BH954" i="9"/>
  <c r="BH1015" i="9"/>
  <c r="BH1030" i="9"/>
  <c r="BH425" i="9"/>
  <c r="BH557" i="9"/>
  <c r="BH396" i="9"/>
  <c r="BH424" i="9"/>
  <c r="BH510" i="9"/>
  <c r="BH582" i="9"/>
  <c r="BH401" i="9"/>
  <c r="BH428" i="9"/>
  <c r="BH480" i="9"/>
  <c r="BH524" i="9"/>
  <c r="BH567" i="9"/>
  <c r="BH593" i="9"/>
  <c r="BH630" i="9"/>
  <c r="BH648" i="9"/>
  <c r="BH680" i="9"/>
  <c r="BH797" i="9"/>
  <c r="BH816" i="9"/>
  <c r="BH867" i="9"/>
  <c r="BH889" i="9"/>
  <c r="BH894" i="9"/>
  <c r="BH912" i="9"/>
  <c r="BH937" i="9"/>
  <c r="BH951" i="9"/>
  <c r="BH415" i="9"/>
  <c r="BH533" i="9"/>
  <c r="BH562" i="9"/>
  <c r="BH590" i="9"/>
  <c r="BH626" i="9"/>
  <c r="BH640" i="9"/>
  <c r="BH665" i="9"/>
  <c r="BH688" i="9"/>
  <c r="BH701" i="9"/>
  <c r="BH726" i="9"/>
  <c r="BH739" i="9"/>
  <c r="BH755" i="9"/>
  <c r="BH803" i="9"/>
  <c r="BH838" i="9"/>
  <c r="BH857" i="9"/>
  <c r="BH863" i="9"/>
  <c r="BH875" i="9"/>
  <c r="BH890" i="9"/>
  <c r="BH893" i="9"/>
  <c r="BH905" i="9"/>
  <c r="BH950" i="9"/>
  <c r="BH980" i="9"/>
  <c r="BH999" i="9"/>
  <c r="BH1024" i="9"/>
  <c r="BH1036" i="9"/>
  <c r="BH398" i="9"/>
  <c r="AK39" i="5"/>
  <c r="AK21" i="5"/>
  <c r="AK27" i="5"/>
  <c r="AK30" i="5"/>
  <c r="AK58" i="5"/>
  <c r="AK5" i="5"/>
  <c r="AK84" i="5"/>
  <c r="AK22" i="5"/>
  <c r="AK56" i="5"/>
  <c r="AK73" i="5"/>
  <c r="AK44" i="5"/>
  <c r="AK16" i="5"/>
  <c r="AK19" i="5"/>
  <c r="AK59" i="5"/>
  <c r="AK14" i="5"/>
  <c r="AK45" i="5"/>
  <c r="AK28" i="5"/>
  <c r="AK36" i="5"/>
  <c r="AK40" i="5"/>
  <c r="AK72" i="5"/>
  <c r="AK33" i="5"/>
  <c r="AK25" i="5"/>
  <c r="AK37" i="5"/>
  <c r="AK70" i="5"/>
  <c r="AK62" i="5"/>
  <c r="AK76" i="5"/>
  <c r="AK57" i="5"/>
  <c r="AK71" i="5"/>
  <c r="AK52" i="5"/>
  <c r="AK61" i="5"/>
  <c r="AK80" i="5"/>
  <c r="AK17" i="5"/>
  <c r="AK18" i="5"/>
  <c r="AK31" i="5"/>
  <c r="AK9" i="5"/>
  <c r="AK10" i="5"/>
  <c r="AK24" i="5"/>
  <c r="BH885" i="9"/>
  <c r="BH754" i="9"/>
  <c r="BH747" i="9"/>
  <c r="BH742" i="9"/>
  <c r="BH731" i="9"/>
  <c r="BH724" i="9"/>
  <c r="BH720" i="9"/>
  <c r="BH996" i="9"/>
  <c r="BH990" i="9"/>
  <c r="BH891" i="9"/>
  <c r="BH851" i="9"/>
  <c r="BH799" i="9"/>
  <c r="BH445" i="9"/>
  <c r="BH391" i="9"/>
  <c r="BH383" i="9"/>
  <c r="BH220" i="9"/>
  <c r="BH212" i="9"/>
  <c r="BH114" i="9"/>
  <c r="BH50" i="9"/>
  <c r="BH1029" i="9"/>
  <c r="BH1013" i="9"/>
  <c r="BH991" i="9"/>
  <c r="BH985" i="9"/>
  <c r="BH920" i="9"/>
  <c r="BH611" i="9"/>
  <c r="BH434" i="9"/>
  <c r="BH432" i="9"/>
  <c r="BH233" i="9"/>
  <c r="BH166" i="9"/>
  <c r="BH116" i="9"/>
  <c r="BH73" i="9"/>
  <c r="BH40" i="9"/>
  <c r="BH930" i="9"/>
  <c r="BH883" i="9"/>
  <c r="BH853" i="9"/>
  <c r="BH821" i="9"/>
  <c r="BH815" i="9"/>
  <c r="BH796" i="9"/>
  <c r="BH193" i="9"/>
  <c r="BH47" i="9"/>
  <c r="BH744" i="9"/>
  <c r="BH721" i="9"/>
  <c r="BH628" i="9"/>
  <c r="BH609" i="9"/>
  <c r="BH244" i="9"/>
  <c r="BH135" i="9"/>
  <c r="BH118" i="9"/>
  <c r="BH978" i="9"/>
  <c r="BH953" i="9"/>
  <c r="BH939" i="9"/>
  <c r="BH682" i="9"/>
  <c r="BH625" i="9"/>
  <c r="BH608" i="9"/>
  <c r="BH444" i="9"/>
  <c r="BH386" i="9"/>
  <c r="BH196" i="9"/>
  <c r="BH191" i="9"/>
  <c r="BH129" i="9"/>
  <c r="BH121" i="9"/>
  <c r="BH70" i="9"/>
  <c r="BH1027" i="9"/>
  <c r="BH1000" i="9"/>
  <c r="BH988" i="9"/>
  <c r="BH982" i="9"/>
  <c r="BH917" i="9"/>
  <c r="BH915" i="9"/>
  <c r="BH868" i="9"/>
  <c r="BH800" i="9"/>
  <c r="BH678" i="9"/>
  <c r="BH621" i="9"/>
  <c r="BH618" i="9"/>
  <c r="BH598" i="9"/>
  <c r="BH406" i="9"/>
  <c r="BH385" i="9"/>
  <c r="BH155" i="9"/>
  <c r="BH126" i="9"/>
  <c r="BH1010" i="9"/>
  <c r="BH983" i="9"/>
  <c r="BH940" i="9"/>
  <c r="BH918" i="9"/>
  <c r="BH882" i="9"/>
  <c r="BH858" i="9"/>
  <c r="BH827" i="9"/>
  <c r="BH811" i="9"/>
  <c r="BH806" i="9"/>
  <c r="BH594" i="9"/>
  <c r="BH384" i="9"/>
  <c r="BH93" i="9"/>
  <c r="BH56" i="9"/>
  <c r="BH1032" i="9"/>
  <c r="BH989" i="9"/>
  <c r="BH931" i="9"/>
  <c r="BH925" i="9"/>
  <c r="BH831" i="9"/>
  <c r="BH681" i="9"/>
  <c r="BH635" i="9"/>
  <c r="BH623" i="9"/>
  <c r="BH400" i="9"/>
  <c r="BH131" i="9"/>
  <c r="BH98" i="9"/>
  <c r="BH1035" i="9"/>
  <c r="BH1014" i="9"/>
  <c r="BH671" i="9"/>
  <c r="BH659" i="9"/>
  <c r="BH629" i="9"/>
  <c r="BH597" i="9"/>
  <c r="BH878" i="9"/>
  <c r="BH767" i="9"/>
  <c r="BH764" i="9"/>
  <c r="BH761" i="9"/>
  <c r="BH741" i="9"/>
  <c r="BH732" i="9"/>
  <c r="BH730" i="9"/>
  <c r="BH699" i="9"/>
  <c r="BH694" i="9"/>
  <c r="BH692" i="9"/>
  <c r="BH690" i="9"/>
  <c r="BH684" i="9"/>
  <c r="BH668" i="9"/>
  <c r="BH604" i="9"/>
  <c r="BH389" i="9"/>
  <c r="BH574" i="9"/>
  <c r="BH569" i="9"/>
  <c r="BH568" i="9"/>
  <c r="BH565" i="9"/>
  <c r="BH561" i="9"/>
  <c r="BH555" i="9"/>
  <c r="BH553" i="9"/>
  <c r="BH551" i="9"/>
  <c r="BH548" i="9"/>
  <c r="BH546" i="9"/>
  <c r="BH544" i="9"/>
  <c r="BH537" i="9"/>
  <c r="BH532" i="9"/>
  <c r="BH531" i="9"/>
  <c r="BH530" i="9"/>
  <c r="BH529" i="9"/>
  <c r="BH506" i="9"/>
  <c r="BH505" i="9"/>
  <c r="BH504" i="9"/>
  <c r="BH492" i="9"/>
  <c r="BH488" i="9"/>
  <c r="BH483" i="9"/>
  <c r="BH478" i="9"/>
  <c r="BH476" i="9"/>
  <c r="BH458" i="9"/>
  <c r="BH450" i="9"/>
  <c r="BH448" i="9"/>
  <c r="BH435" i="9"/>
  <c r="BH232" i="9"/>
  <c r="BH122" i="9"/>
  <c r="BH378" i="9"/>
  <c r="BH347" i="9"/>
  <c r="BH328" i="9"/>
  <c r="BH321" i="9"/>
  <c r="BH294" i="9"/>
  <c r="BH278" i="9"/>
  <c r="BH259" i="9"/>
  <c r="BH253" i="9"/>
  <c r="BH224" i="9"/>
  <c r="BH180" i="9"/>
  <c r="BH81" i="9"/>
  <c r="BH372" i="9"/>
  <c r="BH365" i="9"/>
  <c r="BH359" i="9"/>
  <c r="BH351" i="9"/>
  <c r="BH346" i="9"/>
  <c r="BH331" i="9"/>
  <c r="BH323" i="9"/>
  <c r="BH313" i="9"/>
  <c r="BH286" i="9"/>
  <c r="BH261" i="9"/>
  <c r="BH254" i="9"/>
  <c r="BH184" i="9"/>
  <c r="BH160" i="9"/>
  <c r="BH157" i="9"/>
  <c r="BH377" i="9"/>
  <c r="BH345" i="9"/>
  <c r="BH335" i="9"/>
  <c r="BH312" i="9"/>
  <c r="BH300" i="9"/>
  <c r="BH296" i="9"/>
  <c r="BH282" i="9"/>
  <c r="BH256" i="9"/>
  <c r="BH249" i="9"/>
  <c r="BH367" i="9"/>
  <c r="BH360" i="9"/>
  <c r="BH343" i="9"/>
  <c r="BH332" i="9"/>
  <c r="BH330" i="9"/>
  <c r="BH306" i="9"/>
  <c r="BH297" i="9"/>
  <c r="BH260" i="9"/>
  <c r="BH257" i="9"/>
  <c r="BH133" i="9"/>
  <c r="BH170" i="9"/>
  <c r="AK34" i="5"/>
  <c r="AK66" i="5"/>
  <c r="AK90" i="5"/>
  <c r="AK65" i="5"/>
  <c r="AK79" i="5"/>
  <c r="AK54" i="5"/>
  <c r="AK68" i="5"/>
  <c r="AK82" i="5"/>
  <c r="AK85" i="5"/>
  <c r="AK60" i="5"/>
  <c r="AK74" i="5"/>
  <c r="AK88" i="5"/>
  <c r="AK49" i="5"/>
  <c r="AK63" i="5"/>
  <c r="AK77" i="5"/>
  <c r="AK91" i="5"/>
  <c r="AK41" i="5"/>
  <c r="AK55" i="5"/>
  <c r="AK69" i="5"/>
  <c r="AK83" i="5"/>
  <c r="AK86" i="5"/>
  <c r="AK64" i="5"/>
  <c r="AK78" i="5"/>
  <c r="AK92" i="5"/>
  <c r="AK53" i="5"/>
  <c r="AK67" i="5"/>
  <c r="AK81" i="5"/>
  <c r="AK47" i="5"/>
  <c r="AK35" i="5"/>
  <c r="AK13" i="5"/>
  <c r="AK12" i="5"/>
  <c r="AK4" i="5"/>
  <c r="AK48" i="5"/>
  <c r="AK89" i="5"/>
  <c r="AK43" i="5"/>
  <c r="AK23" i="5"/>
  <c r="AK42" i="5"/>
  <c r="AK6" i="5"/>
  <c r="AK7" i="5"/>
  <c r="AK15" i="5"/>
  <c r="AK75" i="5"/>
  <c r="AK38" i="5"/>
  <c r="AK26" i="5"/>
  <c r="AK29" i="5"/>
  <c r="AK32" i="5"/>
  <c r="AK50" i="5"/>
  <c r="AK51" i="5"/>
  <c r="AK46" i="5"/>
  <c r="AK20" i="5"/>
  <c r="BL7" i="9"/>
  <c r="BH518" i="9"/>
  <c r="BH588" i="9"/>
  <c r="BH842" i="9"/>
  <c r="BH845" i="9"/>
  <c r="BH966" i="9"/>
  <c r="BH975" i="9"/>
  <c r="BH1040" i="9"/>
  <c r="BH519" i="9"/>
  <c r="BH584" i="9"/>
  <c r="BH841" i="9"/>
  <c r="BH899" i="9"/>
  <c r="BH903" i="9"/>
  <c r="BH964" i="9"/>
  <c r="BH969" i="9"/>
  <c r="BH987" i="9"/>
  <c r="BH979" i="9"/>
  <c r="BH963" i="9"/>
  <c r="BH926" i="9"/>
  <c r="BH923" i="9"/>
  <c r="BH896" i="9"/>
  <c r="BH874" i="9"/>
  <c r="BH835" i="9"/>
  <c r="BH776" i="9"/>
  <c r="BH687" i="9"/>
  <c r="BH677" i="9"/>
  <c r="BH673" i="9"/>
  <c r="BH658" i="9"/>
  <c r="BH652" i="9"/>
  <c r="BH649" i="9"/>
  <c r="BH644" i="9"/>
  <c r="BH924" i="9"/>
  <c r="BH909" i="9"/>
  <c r="BH864" i="9"/>
  <c r="BH846" i="9"/>
  <c r="BH840" i="9"/>
  <c r="BH825" i="9"/>
  <c r="BH805" i="9"/>
  <c r="BH638" i="9"/>
  <c r="BH616" i="9"/>
  <c r="BH589" i="9"/>
  <c r="BH141" i="9"/>
  <c r="BH103" i="9"/>
  <c r="BH84" i="9"/>
  <c r="BH72" i="9"/>
  <c r="BH30" i="9"/>
  <c r="BH960" i="9"/>
  <c r="BH958" i="9"/>
  <c r="BH957" i="9"/>
  <c r="BH919" i="9"/>
  <c r="BH911" i="9"/>
  <c r="BH881" i="9"/>
  <c r="BH855" i="9"/>
  <c r="BH647" i="9"/>
  <c r="BH223" i="9"/>
  <c r="BH209" i="9"/>
  <c r="BH186" i="9"/>
  <c r="BH120" i="9"/>
  <c r="BH45" i="9"/>
  <c r="BH14" i="9"/>
  <c r="BH760" i="9"/>
  <c r="BH749" i="9"/>
  <c r="BH738" i="9"/>
  <c r="BH733" i="9"/>
  <c r="BH729" i="9"/>
  <c r="BH710" i="9"/>
  <c r="BH614" i="9"/>
  <c r="BH421" i="9"/>
  <c r="BH403" i="9"/>
  <c r="BH399" i="9"/>
  <c r="BH388" i="9"/>
  <c r="BH380" i="9"/>
  <c r="BH238" i="9"/>
  <c r="BH229" i="9"/>
  <c r="BH205" i="9"/>
  <c r="BH199" i="9"/>
  <c r="BH164" i="9"/>
  <c r="BH156" i="9"/>
  <c r="BH101" i="9"/>
  <c r="BH88" i="9"/>
  <c r="BH80" i="9"/>
  <c r="BH371" i="9"/>
  <c r="BH322" i="9"/>
  <c r="BH315" i="9"/>
  <c r="BH288" i="9"/>
  <c r="BH279" i="9"/>
  <c r="BH269" i="9"/>
  <c r="BH16" i="9"/>
  <c r="BH181" i="9"/>
  <c r="BH177" i="9"/>
  <c r="BH169" i="9"/>
  <c r="BH52" i="9"/>
  <c r="BH29" i="9"/>
  <c r="BH1069" i="9"/>
  <c r="BH1063" i="9"/>
  <c r="BH1050" i="9"/>
  <c r="BH1019" i="9"/>
  <c r="BH1004" i="9"/>
  <c r="BH972" i="9"/>
  <c r="BH949" i="9"/>
  <c r="BH942" i="9"/>
  <c r="BH922" i="9"/>
  <c r="BH876" i="9"/>
  <c r="BH871" i="9"/>
  <c r="BH836" i="9"/>
  <c r="BH833" i="9"/>
  <c r="BH817" i="9"/>
  <c r="BH794" i="9"/>
  <c r="BH791" i="9"/>
  <c r="BH773" i="9"/>
  <c r="BH669" i="9"/>
  <c r="BH641" i="9"/>
  <c r="BH639" i="9"/>
  <c r="BH634" i="9"/>
  <c r="BH622" i="9"/>
  <c r="BH612" i="9"/>
  <c r="BH578" i="9"/>
  <c r="BH234" i="9"/>
  <c r="BH218" i="9"/>
  <c r="BH211" i="9"/>
  <c r="BH187" i="9"/>
  <c r="BH162" i="9"/>
  <c r="BH132" i="9"/>
  <c r="BH128" i="9"/>
  <c r="BH106" i="9"/>
  <c r="BH63" i="9"/>
  <c r="BH57" i="9"/>
  <c r="BH44" i="9"/>
  <c r="BH111" i="9"/>
  <c r="BH39" i="9"/>
  <c r="BH58" i="9"/>
  <c r="BH33" i="9"/>
  <c r="BH28" i="9"/>
  <c r="BH1065" i="9"/>
  <c r="BH1062" i="9"/>
  <c r="BH1052" i="9"/>
  <c r="BH1047" i="9"/>
  <c r="BH1044" i="9"/>
  <c r="BH1020" i="9"/>
  <c r="BH1017" i="9"/>
  <c r="BH1002" i="9"/>
  <c r="BH994" i="9"/>
  <c r="BH992" i="9"/>
  <c r="BH955" i="9"/>
  <c r="BH910" i="9"/>
  <c r="BH880" i="9"/>
  <c r="BH872" i="9"/>
  <c r="BH859" i="9"/>
  <c r="BH813" i="9"/>
  <c r="BH793" i="9"/>
  <c r="BH683" i="9"/>
  <c r="BH670" i="9"/>
  <c r="BH656" i="9"/>
  <c r="BH610" i="9"/>
  <c r="BH585" i="9"/>
  <c r="BH577" i="9"/>
  <c r="BH439" i="9"/>
  <c r="BH423" i="9"/>
  <c r="BH392" i="9"/>
  <c r="BH237" i="9"/>
  <c r="BH230" i="9"/>
  <c r="BH219" i="9"/>
  <c r="BH214" i="9"/>
  <c r="BH201" i="9"/>
  <c r="BH192" i="9"/>
  <c r="BH189" i="9"/>
  <c r="BH158" i="9"/>
  <c r="BH146" i="9"/>
  <c r="BH139" i="9"/>
  <c r="BH109" i="9"/>
  <c r="BH78" i="9"/>
  <c r="BH76" i="9"/>
  <c r="BH64" i="9"/>
  <c r="BH62" i="9"/>
  <c r="BH61" i="9"/>
  <c r="BH34" i="9"/>
  <c r="BH27" i="9"/>
  <c r="BH13" i="9"/>
  <c r="BH59" i="9"/>
  <c r="BH25" i="9"/>
  <c r="BH20" i="9"/>
  <c r="BH935" i="9"/>
  <c r="BH877" i="9"/>
  <c r="BH829" i="9"/>
  <c r="BH804" i="9"/>
  <c r="BH787" i="9"/>
  <c r="BH775" i="9"/>
  <c r="BH672" i="9"/>
  <c r="BH667" i="9"/>
  <c r="BH619" i="9"/>
  <c r="BH615" i="9"/>
  <c r="BH601" i="9"/>
  <c r="BH586" i="9"/>
  <c r="BH581" i="9"/>
  <c r="BH576" i="9"/>
  <c r="BH433" i="9"/>
  <c r="BH429" i="9"/>
  <c r="BH409" i="9"/>
  <c r="BH387" i="9"/>
  <c r="BH246" i="9"/>
  <c r="BH226" i="9"/>
  <c r="BH222" i="9"/>
  <c r="BH198" i="9"/>
  <c r="BH165" i="9"/>
  <c r="BH153" i="9"/>
  <c r="BH150" i="9"/>
  <c r="BH144" i="9"/>
  <c r="BH127" i="9"/>
  <c r="BH125" i="9"/>
  <c r="BH110" i="9"/>
  <c r="BH83" i="9"/>
  <c r="BH77" i="9"/>
  <c r="BH53" i="9"/>
  <c r="BH51" i="9"/>
  <c r="BH32" i="9"/>
  <c r="BH19" i="9"/>
  <c r="BH1049" i="9"/>
  <c r="BH997" i="9"/>
  <c r="BH984" i="9"/>
  <c r="BH970" i="9"/>
  <c r="BH967" i="9"/>
  <c r="BH945" i="9"/>
  <c r="BH934" i="9"/>
  <c r="BH866" i="9"/>
  <c r="BH848" i="9"/>
  <c r="BH847" i="9"/>
  <c r="BH844" i="9"/>
  <c r="BH834" i="9"/>
  <c r="BH810" i="9"/>
  <c r="BH785" i="9"/>
  <c r="BH771" i="9"/>
  <c r="BH666" i="9"/>
  <c r="BH662" i="9"/>
  <c r="BH607" i="9"/>
  <c r="BH599" i="9"/>
  <c r="BH595" i="9"/>
  <c r="BH414" i="9"/>
  <c r="BH411" i="9"/>
  <c r="BH381" i="9"/>
  <c r="BH241" i="9"/>
  <c r="BH225" i="9"/>
  <c r="BH207" i="9"/>
  <c r="BH194" i="9"/>
  <c r="BH188" i="9"/>
  <c r="BH154" i="9"/>
  <c r="BH107" i="9"/>
  <c r="BH94" i="9"/>
  <c r="BH87" i="9"/>
  <c r="BH75" i="9"/>
  <c r="BH1042" i="9"/>
  <c r="BH1028" i="9"/>
  <c r="BH1022" i="9"/>
  <c r="BH1012" i="9"/>
  <c r="BH1006" i="9"/>
  <c r="BH995" i="9"/>
  <c r="BH973" i="9"/>
  <c r="BH948" i="9"/>
  <c r="BH943" i="9"/>
  <c r="BH913" i="9"/>
  <c r="BH900" i="9"/>
  <c r="BH888" i="9"/>
  <c r="BH410" i="9"/>
  <c r="BH236" i="9"/>
  <c r="BH208" i="9"/>
  <c r="BH95" i="9"/>
  <c r="BH42" i="9"/>
  <c r="BH18" i="9"/>
  <c r="BH933" i="9"/>
  <c r="BH843" i="9"/>
  <c r="BH675" i="9"/>
  <c r="BH213" i="9"/>
  <c r="BH130" i="9"/>
  <c r="BH60" i="9"/>
  <c r="BH49" i="9"/>
  <c r="BH46" i="9"/>
  <c r="BH37" i="9"/>
  <c r="BH757" i="9"/>
  <c r="BH751" i="9"/>
  <c r="BH748" i="9"/>
  <c r="BH723" i="9"/>
  <c r="BH722" i="9"/>
  <c r="BH708" i="9"/>
  <c r="BH707" i="9"/>
  <c r="BH706" i="9"/>
  <c r="BH705" i="9"/>
  <c r="BH704" i="9"/>
  <c r="BH703" i="9"/>
  <c r="BH700" i="9"/>
  <c r="BH697" i="9"/>
  <c r="BH695" i="9"/>
  <c r="BH693" i="9"/>
  <c r="BH691" i="9"/>
  <c r="BH674" i="9"/>
  <c r="BH653" i="9"/>
  <c r="BH600" i="9"/>
  <c r="BH596" i="9"/>
  <c r="BH436" i="9"/>
  <c r="BH431" i="9"/>
  <c r="BH419" i="9"/>
  <c r="BH395" i="9"/>
  <c r="BH240" i="9"/>
  <c r="BH228" i="9"/>
  <c r="BH204" i="9"/>
  <c r="BH152" i="9"/>
  <c r="BH147" i="9"/>
  <c r="BH112" i="9"/>
  <c r="BH104" i="9"/>
  <c r="BH100" i="9"/>
  <c r="BH97" i="9"/>
  <c r="BH38" i="9"/>
  <c r="BH22" i="9"/>
  <c r="BH573" i="9"/>
  <c r="BH570" i="9"/>
  <c r="BH566" i="9"/>
  <c r="BH564" i="9"/>
  <c r="BH560" i="9"/>
  <c r="BH559" i="9"/>
  <c r="BH558" i="9"/>
  <c r="BH556" i="9"/>
  <c r="BH554" i="9"/>
  <c r="BH550" i="9"/>
  <c r="BH549" i="9"/>
  <c r="BH547" i="9"/>
  <c r="BH545" i="9"/>
  <c r="BH543" i="9"/>
  <c r="BH542" i="9"/>
  <c r="BH541" i="9"/>
  <c r="BH539" i="9"/>
  <c r="BH538" i="9"/>
  <c r="BH534" i="9"/>
  <c r="BH528" i="9"/>
  <c r="BH526" i="9"/>
  <c r="BH522" i="9"/>
  <c r="BH520" i="9"/>
  <c r="BH517" i="9"/>
  <c r="BH516" i="9"/>
  <c r="BH515" i="9"/>
  <c r="BH513" i="9"/>
  <c r="BH512" i="9"/>
  <c r="BH507" i="9"/>
  <c r="BH502" i="9"/>
  <c r="BH499" i="9"/>
  <c r="BH498" i="9"/>
  <c r="BH497" i="9"/>
  <c r="BH496" i="9"/>
  <c r="BH495" i="9"/>
  <c r="BH494" i="9"/>
  <c r="BH493" i="9"/>
  <c r="BH491" i="9"/>
  <c r="BH490" i="9"/>
  <c r="BH487" i="9"/>
  <c r="BH486" i="9"/>
  <c r="BH485" i="9"/>
  <c r="BH484" i="9"/>
  <c r="BH482" i="9"/>
  <c r="BH481" i="9"/>
  <c r="BH477" i="9"/>
  <c r="BH475" i="9"/>
  <c r="BH474" i="9"/>
  <c r="BH471" i="9"/>
  <c r="BH470" i="9"/>
  <c r="BH469" i="9"/>
  <c r="BH467" i="9"/>
  <c r="BH465" i="9"/>
  <c r="BH463" i="9"/>
  <c r="BH461" i="9"/>
  <c r="BH460" i="9"/>
  <c r="BH459" i="9"/>
  <c r="BH454" i="9"/>
  <c r="BH453" i="9"/>
  <c r="BH452" i="9"/>
  <c r="BH451" i="9"/>
  <c r="BH447" i="9"/>
  <c r="BH427" i="9"/>
  <c r="BH407" i="9"/>
  <c r="BH397" i="9"/>
  <c r="BH243" i="9"/>
  <c r="BH239" i="9"/>
  <c r="BH216" i="9"/>
  <c r="BH210" i="9"/>
  <c r="BH203" i="9"/>
  <c r="BH195" i="9"/>
  <c r="BH190" i="9"/>
  <c r="BH145" i="9"/>
  <c r="BH143" i="9"/>
  <c r="BH134" i="9"/>
  <c r="BH48" i="9"/>
  <c r="BH366" i="9"/>
  <c r="BH337" i="9"/>
  <c r="BH370" i="9"/>
  <c r="BH339" i="9"/>
  <c r="BH333" i="9"/>
  <c r="BH319" i="9"/>
  <c r="BH317" i="9"/>
  <c r="BH311" i="9"/>
  <c r="BH309" i="9"/>
  <c r="BH292" i="9"/>
  <c r="BH290" i="9"/>
  <c r="BH273" i="9"/>
  <c r="BH266" i="9"/>
  <c r="BH251" i="9"/>
  <c r="BH151" i="9"/>
  <c r="BH41" i="9"/>
  <c r="BH26" i="9"/>
  <c r="BH185" i="9"/>
  <c r="BH376" i="9"/>
  <c r="BH363" i="9"/>
  <c r="BH338" i="9"/>
  <c r="BH327" i="9"/>
  <c r="BH310" i="9"/>
  <c r="BH308" i="9"/>
  <c r="BH289" i="9"/>
  <c r="BH287" i="9"/>
  <c r="BH284" i="9"/>
  <c r="BH124" i="9"/>
  <c r="BH113" i="9"/>
  <c r="BH96" i="9"/>
  <c r="BH71" i="9"/>
  <c r="BH17" i="9"/>
  <c r="BH355" i="9"/>
  <c r="BH354" i="9"/>
  <c r="BH350" i="9"/>
  <c r="BH325" i="9"/>
  <c r="BH265" i="9"/>
  <c r="BH263" i="9"/>
  <c r="BH217" i="9"/>
  <c r="BH148" i="9"/>
  <c r="BH364" i="9"/>
  <c r="BH358" i="9"/>
  <c r="BH23" i="9"/>
  <c r="BH353" i="9"/>
  <c r="BH340" i="9"/>
  <c r="BH303" i="9"/>
  <c r="BH295" i="9"/>
  <c r="BH285" i="9"/>
  <c r="BH270" i="9"/>
  <c r="BH176" i="9"/>
  <c r="BH175" i="9"/>
  <c r="BH174" i="9"/>
  <c r="BH172" i="9"/>
  <c r="BH168" i="9"/>
  <c r="BH149" i="9"/>
  <c r="BH375" i="9"/>
  <c r="BH357" i="9"/>
  <c r="BH348" i="9"/>
  <c r="BH342" i="9"/>
  <c r="BH314" i="9"/>
  <c r="BH293" i="9"/>
  <c r="BH275" i="9"/>
  <c r="BH267" i="9"/>
  <c r="BH21" i="9"/>
  <c r="BH183" i="9"/>
  <c r="BH178" i="9"/>
  <c r="BH173" i="9"/>
  <c r="BH85" i="9"/>
  <c r="BH35" i="9"/>
  <c r="BH344" i="9"/>
  <c r="BH336" i="9"/>
  <c r="BH334" i="9"/>
  <c r="BH324" i="9"/>
  <c r="BH318" i="9"/>
  <c r="BH316" i="9"/>
  <c r="BH304" i="9"/>
  <c r="BH302" i="9"/>
  <c r="BH301" i="9"/>
  <c r="BH299" i="9"/>
  <c r="BH283" i="9"/>
  <c r="BH277" i="9"/>
  <c r="BH255" i="9"/>
  <c r="BH235" i="9"/>
  <c r="BH221" i="9"/>
  <c r="BH119" i="9"/>
  <c r="BH86" i="9"/>
  <c r="BH182" i="9"/>
  <c r="BH171" i="9"/>
  <c r="BH369" i="9"/>
  <c r="BH473" i="9"/>
  <c r="BH479" i="9"/>
  <c r="BH521" i="9"/>
  <c r="BH552" i="9"/>
  <c r="BH591" i="9"/>
  <c r="BH613" i="9"/>
  <c r="BH631" i="9"/>
  <c r="BH654" i="9"/>
  <c r="BH686" i="9"/>
  <c r="BH717" i="9"/>
  <c r="BH740" i="9"/>
  <c r="BH802" i="9"/>
  <c r="BH818" i="9"/>
  <c r="BH850" i="9"/>
  <c r="BH861" i="9"/>
  <c r="BH887" i="9"/>
  <c r="BH906" i="9"/>
  <c r="BH971" i="9"/>
  <c r="BH390" i="9"/>
  <c r="BH413" i="9"/>
  <c r="BH462" i="9"/>
  <c r="BH509" i="9"/>
  <c r="BH540" i="9"/>
  <c r="BH579" i="9"/>
  <c r="BH617" i="9"/>
  <c r="BH636" i="9"/>
  <c r="BH655" i="9"/>
  <c r="BH685" i="9"/>
  <c r="BH715" i="9"/>
  <c r="BH736" i="9"/>
  <c r="BH766" i="9"/>
  <c r="BH826" i="9"/>
  <c r="BH382" i="9"/>
  <c r="BH404" i="9"/>
  <c r="BH443" i="9"/>
  <c r="BH511" i="9"/>
  <c r="BH575" i="9"/>
  <c r="BH627" i="9"/>
  <c r="BH632" i="9"/>
  <c r="BH645" i="9"/>
  <c r="BH657" i="9"/>
  <c r="BH689" i="9"/>
  <c r="BH702" i="9"/>
  <c r="BH725" i="9"/>
  <c r="BH735" i="9"/>
  <c r="BH745" i="9"/>
  <c r="BH763" i="9"/>
  <c r="BH801" i="9"/>
  <c r="BH808" i="9"/>
  <c r="BH828" i="9"/>
  <c r="BH839" i="9"/>
  <c r="BH854" i="9"/>
  <c r="BH862" i="9"/>
  <c r="BH873" i="9"/>
  <c r="BH879" i="9"/>
  <c r="BH886" i="9"/>
  <c r="BH892" i="9"/>
  <c r="BH895" i="9"/>
  <c r="BH916" i="9"/>
  <c r="BH928" i="9"/>
  <c r="BH932" i="9"/>
  <c r="BH941" i="9"/>
  <c r="BH947" i="9"/>
  <c r="BH952" i="9"/>
  <c r="BH956" i="9"/>
  <c r="BH1005" i="9"/>
  <c r="BH426" i="9"/>
  <c r="BH455" i="9"/>
  <c r="BH508" i="9"/>
  <c r="BH572" i="9"/>
  <c r="BH602" i="9"/>
  <c r="BH650" i="9"/>
  <c r="BH696" i="9"/>
  <c r="BH752" i="9"/>
  <c r="BH446" i="9"/>
  <c r="BH535" i="9"/>
  <c r="BH563" i="9"/>
  <c r="BH592" i="9"/>
  <c r="BH643" i="9"/>
  <c r="BH663" i="9"/>
  <c r="BH789" i="9"/>
  <c r="BH814" i="9"/>
  <c r="BH837" i="9"/>
  <c r="BH914" i="9"/>
  <c r="BH412" i="9"/>
  <c r="BH449" i="9"/>
  <c r="BH536" i="9"/>
  <c r="BH115" i="9"/>
  <c r="BH405" i="9"/>
  <c r="BH456" i="9"/>
  <c r="BH247" i="9"/>
  <c r="BH402" i="9"/>
  <c r="BH440" i="9"/>
  <c r="BH514" i="9"/>
  <c r="BH571" i="9"/>
  <c r="BH603" i="9"/>
  <c r="BH637" i="9"/>
  <c r="BH661" i="9"/>
  <c r="BH711" i="9"/>
  <c r="BH790" i="9"/>
  <c r="BH809" i="9"/>
  <c r="BH819" i="9"/>
  <c r="BH820" i="9"/>
  <c r="BH822" i="9"/>
  <c r="BH824" i="9"/>
  <c r="BH393" i="9"/>
  <c r="BH420" i="9"/>
  <c r="BH457" i="9"/>
  <c r="BH489" i="9"/>
  <c r="BH525" i="9"/>
  <c r="BH587" i="9"/>
  <c r="BH646" i="9"/>
  <c r="BH698" i="9"/>
  <c r="BH734" i="9"/>
  <c r="BH746" i="9"/>
  <c r="BH807" i="9"/>
  <c r="BH830" i="9"/>
  <c r="BH849" i="9"/>
  <c r="BH856" i="9"/>
  <c r="BH870" i="9"/>
  <c r="BH884" i="9"/>
  <c r="BH904" i="9"/>
  <c r="BH921" i="9"/>
  <c r="BH946" i="9"/>
  <c r="BH959" i="9"/>
  <c r="BH993" i="9"/>
  <c r="BH1011" i="9"/>
  <c r="BH1016" i="9"/>
  <c r="BH1033" i="9"/>
  <c r="BH1043" i="9"/>
  <c r="BH1055" i="9"/>
  <c r="BH1058" i="9"/>
  <c r="BH1059" i="9"/>
  <c r="BH281" i="9"/>
  <c r="BH271" i="9"/>
  <c r="BH368" i="9"/>
  <c r="BH280" i="9"/>
  <c r="BH274" i="9"/>
  <c r="BH248" i="9"/>
  <c r="BH276" i="9"/>
  <c r="BH356" i="9"/>
  <c r="BH326" i="9"/>
  <c r="BH272" i="9"/>
  <c r="BH264" i="9"/>
  <c r="BH468" i="9"/>
  <c r="BH472" i="9"/>
  <c r="BH361" i="9"/>
  <c r="BH352" i="9"/>
  <c r="BH258" i="9"/>
  <c r="BH778" i="9"/>
  <c r="BH765" i="9"/>
  <c r="BH762" i="9"/>
  <c r="BH1068" i="9"/>
  <c r="BH786" i="9"/>
  <c r="BH782" i="9"/>
  <c r="BH780" i="9"/>
  <c r="BH781" i="9"/>
  <c r="BH374" i="9"/>
  <c r="BH262" i="9"/>
  <c r="BH1054" i="9"/>
  <c r="BH1038" i="9"/>
  <c r="BH1026" i="9"/>
  <c r="BH1023" i="9"/>
  <c r="BH1021" i="9"/>
  <c r="BH1007" i="9"/>
  <c r="BH1067" i="9"/>
  <c r="BH1057" i="9"/>
  <c r="BH1034" i="9"/>
  <c r="BH1066" i="9"/>
  <c r="BH1056" i="9"/>
  <c r="BH779" i="9"/>
  <c r="BH758" i="9"/>
  <c r="BH756" i="9"/>
  <c r="BH753" i="9"/>
  <c r="BH503" i="9"/>
  <c r="BH501" i="9"/>
  <c r="BH500" i="9"/>
  <c r="BH341" i="9"/>
  <c r="BH373" i="9"/>
  <c r="BH362" i="9"/>
  <c r="BH320" i="9"/>
  <c r="BH268" i="9"/>
  <c r="BH252" i="9"/>
  <c r="BH379" i="9"/>
  <c r="BH329" i="9"/>
  <c r="B66" i="5" l="1"/>
  <c r="Y66" i="5" s="1"/>
  <c r="AS66" i="5" s="1"/>
  <c r="B47" i="5"/>
  <c r="Y47" i="5" s="1"/>
  <c r="AS47" i="5" s="1"/>
  <c r="B29" i="5"/>
  <c r="Y29" i="5" s="1"/>
  <c r="AS29" i="5" s="1"/>
  <c r="B41" i="5"/>
  <c r="Y41" i="5" s="1"/>
  <c r="AS41" i="5" s="1"/>
  <c r="B74" i="5"/>
  <c r="Y74" i="5" s="1"/>
  <c r="AS74" i="5" s="1"/>
  <c r="B20" i="5"/>
  <c r="Y20" i="5" s="1"/>
  <c r="AS20" i="5" s="1"/>
  <c r="B73" i="5"/>
  <c r="Y73" i="5" s="1"/>
  <c r="AS73" i="5" s="1"/>
  <c r="B25" i="5"/>
  <c r="Y25" i="5" s="1"/>
  <c r="AS25" i="5" s="1"/>
  <c r="B61" i="5"/>
  <c r="Y61" i="5" s="1"/>
  <c r="AS61" i="5" s="1"/>
  <c r="B39" i="5"/>
  <c r="Y39" i="5" s="1"/>
  <c r="AS39" i="5" s="1"/>
  <c r="B76" i="5"/>
  <c r="Y76" i="5" s="1"/>
  <c r="AS76" i="5" s="1"/>
  <c r="B17" i="5"/>
  <c r="Y17" i="5" s="1"/>
  <c r="AS17" i="5" s="1"/>
  <c r="B57" i="5"/>
  <c r="Y57" i="5" s="1"/>
  <c r="AS57" i="5" s="1"/>
  <c r="B24" i="5"/>
  <c r="Y24" i="5" s="1"/>
  <c r="AS24" i="5" s="1"/>
  <c r="B56" i="5"/>
  <c r="Y56" i="5" s="1"/>
  <c r="AS56" i="5" s="1"/>
  <c r="B90" i="5"/>
  <c r="Y90" i="5" s="1"/>
  <c r="AS90" i="5" s="1"/>
  <c r="B26" i="5"/>
  <c r="Y26" i="5" s="1"/>
  <c r="AS26" i="5" s="1"/>
  <c r="B43" i="5"/>
  <c r="Y43" i="5" s="1"/>
  <c r="AS43" i="5" s="1"/>
  <c r="B53" i="5"/>
  <c r="Y53" i="5" s="1"/>
  <c r="AS53" i="5" s="1"/>
  <c r="B3" i="5"/>
  <c r="B67" i="5"/>
  <c r="Y67" i="5" s="1"/>
  <c r="AS67" i="5" s="1"/>
  <c r="B88" i="5"/>
  <c r="Y88" i="5" s="1"/>
  <c r="AS88" i="5" s="1"/>
  <c r="B21" i="5"/>
  <c r="Y21" i="5" s="1"/>
  <c r="AS21" i="5" s="1"/>
  <c r="B69" i="5"/>
  <c r="Y69" i="5" s="1"/>
  <c r="AS69" i="5" s="1"/>
  <c r="B83" i="5"/>
  <c r="Y83" i="5" s="1"/>
  <c r="AS83" i="5" s="1"/>
  <c r="B54" i="5"/>
  <c r="Y54" i="5" s="1"/>
  <c r="AS54" i="5" s="1"/>
  <c r="B23" i="5"/>
  <c r="Y23" i="5" s="1"/>
  <c r="AS23" i="5" s="1"/>
  <c r="B52" i="5"/>
  <c r="Y52" i="5" s="1"/>
  <c r="AS52" i="5" s="1"/>
  <c r="B80" i="5"/>
  <c r="Y80" i="5" s="1"/>
  <c r="AS80" i="5" s="1"/>
  <c r="B30" i="5"/>
  <c r="Y30" i="5" s="1"/>
  <c r="AS30" i="5" s="1"/>
  <c r="B22" i="5"/>
  <c r="Y22" i="5" s="1"/>
  <c r="AS22" i="5" s="1"/>
  <c r="B82" i="5"/>
  <c r="Y82" i="5" s="1"/>
  <c r="AS82" i="5" s="1"/>
  <c r="B49" i="5"/>
  <c r="Y49" i="5" s="1"/>
  <c r="AS49" i="5" s="1"/>
  <c r="B9" i="5"/>
  <c r="Y9" i="5" s="1"/>
  <c r="AS9" i="5" s="1"/>
  <c r="B71" i="5"/>
  <c r="Y71" i="5" s="1"/>
  <c r="AS71" i="5" s="1"/>
  <c r="B12" i="5"/>
  <c r="Y12" i="5" s="1"/>
  <c r="AS12" i="5" s="1"/>
  <c r="B28" i="5"/>
  <c r="Y28" i="5" s="1"/>
  <c r="AS28" i="5" s="1"/>
  <c r="B72" i="5"/>
  <c r="Y72" i="5" s="1"/>
  <c r="AS72" i="5" s="1"/>
  <c r="B37" i="5"/>
  <c r="Y37" i="5" s="1"/>
  <c r="AS37" i="5" s="1"/>
  <c r="B35" i="5"/>
  <c r="Y35" i="5" s="1"/>
  <c r="AS35" i="5" s="1"/>
  <c r="B5" i="5"/>
  <c r="Y5" i="5" s="1"/>
  <c r="AS5" i="5" s="1"/>
  <c r="B27" i="5"/>
  <c r="Y27" i="5" s="1"/>
  <c r="AS27" i="5" s="1"/>
  <c r="B81" i="5"/>
  <c r="Y81" i="5" s="1"/>
  <c r="AS81" i="5" s="1"/>
  <c r="B19" i="5"/>
  <c r="Y19" i="5" s="1"/>
  <c r="AS19" i="5" s="1"/>
  <c r="B46" i="5"/>
  <c r="Y46" i="5" s="1"/>
  <c r="AS46" i="5" s="1"/>
  <c r="B42" i="5"/>
  <c r="Y42" i="5" s="1"/>
  <c r="AS42" i="5" s="1"/>
  <c r="B87" i="5"/>
  <c r="Y87" i="5" s="1"/>
  <c r="AS87" i="5" s="1"/>
  <c r="B92" i="5"/>
  <c r="Y92" i="5" s="1"/>
  <c r="AS92" i="5" s="1"/>
  <c r="B40" i="5"/>
  <c r="Y40" i="5" s="1"/>
  <c r="AS40" i="5" s="1"/>
  <c r="B16" i="5"/>
  <c r="Y16" i="5" s="1"/>
  <c r="AS16" i="5" s="1"/>
  <c r="B44" i="5"/>
  <c r="Y44" i="5" s="1"/>
  <c r="AS44" i="5" s="1"/>
  <c r="B68" i="5"/>
  <c r="Y68" i="5" s="1"/>
  <c r="AS68" i="5" s="1"/>
  <c r="B89" i="5"/>
  <c r="Y89" i="5" s="1"/>
  <c r="AS89" i="5" s="1"/>
  <c r="B36" i="5"/>
  <c r="Y36" i="5" s="1"/>
  <c r="AS36" i="5" s="1"/>
  <c r="B32" i="5"/>
  <c r="Y32" i="5" s="1"/>
  <c r="AS32" i="5" s="1"/>
  <c r="B50" i="5"/>
  <c r="Y50" i="5" s="1"/>
  <c r="AS50" i="5" s="1"/>
  <c r="B70" i="5"/>
  <c r="Y70" i="5" s="1"/>
  <c r="AS70" i="5" s="1"/>
  <c r="B62" i="5"/>
  <c r="Y62" i="5" s="1"/>
  <c r="AS62" i="5" s="1"/>
  <c r="B45" i="5"/>
  <c r="Y45" i="5" s="1"/>
  <c r="AS45" i="5" s="1"/>
  <c r="B84" i="5"/>
  <c r="Y84" i="5" s="1"/>
  <c r="AS84" i="5" s="1"/>
  <c r="B14" i="5"/>
  <c r="Y14" i="5" s="1"/>
  <c r="AS14" i="5" s="1"/>
  <c r="B78" i="5"/>
  <c r="Y78" i="5" s="1"/>
  <c r="AS78" i="5" s="1"/>
  <c r="B7" i="5"/>
  <c r="Y7" i="5" s="1"/>
  <c r="AS7" i="5" s="1"/>
  <c r="B18" i="5"/>
  <c r="Y18" i="5" s="1"/>
  <c r="AS18" i="5" s="1"/>
  <c r="B34" i="5"/>
  <c r="Y34" i="5" s="1"/>
  <c r="AS34" i="5" s="1"/>
  <c r="B55" i="5"/>
  <c r="Y55" i="5" s="1"/>
  <c r="AS55" i="5" s="1"/>
  <c r="B63" i="5"/>
  <c r="Y63" i="5" s="1"/>
  <c r="AS63" i="5" s="1"/>
  <c r="B38" i="5"/>
  <c r="Y38" i="5" s="1"/>
  <c r="AS38" i="5" s="1"/>
  <c r="B51" i="5"/>
  <c r="Y51" i="5" s="1"/>
  <c r="AS51" i="5" s="1"/>
  <c r="B85" i="5"/>
  <c r="Y85" i="5" s="1"/>
  <c r="AS85" i="5" s="1"/>
  <c r="B31" i="5"/>
  <c r="Y31" i="5" s="1"/>
  <c r="AS31" i="5" s="1"/>
  <c r="B58" i="5"/>
  <c r="Y58" i="5" s="1"/>
  <c r="AS58" i="5" s="1"/>
  <c r="B33" i="5"/>
  <c r="Y33" i="5" s="1"/>
  <c r="AS33" i="5" s="1"/>
  <c r="B4" i="5"/>
  <c r="Y4" i="5" s="1"/>
  <c r="AS4" i="5" s="1"/>
  <c r="B59" i="5"/>
  <c r="Y59" i="5" s="1"/>
  <c r="AS59" i="5" s="1"/>
  <c r="B8" i="5"/>
  <c r="Y8" i="5" s="1"/>
  <c r="AS8" i="5" s="1"/>
  <c r="B75" i="5"/>
  <c r="Y75" i="5" s="1"/>
  <c r="AS75" i="5" s="1"/>
  <c r="B11" i="5"/>
  <c r="Y11" i="5" s="1"/>
  <c r="AS11" i="5" s="1"/>
  <c r="B64" i="5"/>
  <c r="Y64" i="5" s="1"/>
  <c r="AS64" i="5" s="1"/>
  <c r="B91" i="5"/>
  <c r="Y91" i="5" s="1"/>
  <c r="AS91" i="5" s="1"/>
  <c r="B10" i="5"/>
  <c r="Y10" i="5" s="1"/>
  <c r="AS10" i="5" s="1"/>
  <c r="B60" i="5"/>
  <c r="Y60" i="5" s="1"/>
  <c r="AS60" i="5" s="1"/>
  <c r="B79" i="5"/>
  <c r="Y79" i="5" s="1"/>
  <c r="AS79" i="5" s="1"/>
  <c r="B13" i="5"/>
  <c r="Y13" i="5" s="1"/>
  <c r="AS13" i="5" s="1"/>
  <c r="B65" i="5"/>
  <c r="Y65" i="5" s="1"/>
  <c r="AS65" i="5" s="1"/>
  <c r="B15" i="5"/>
  <c r="Y15" i="5" s="1"/>
  <c r="AS15" i="5" s="1"/>
  <c r="B86" i="5"/>
  <c r="Y86" i="5" s="1"/>
  <c r="AS86" i="5" s="1"/>
  <c r="B77" i="5"/>
  <c r="Y77" i="5" s="1"/>
  <c r="AS77" i="5" s="1"/>
  <c r="B48" i="5"/>
  <c r="Y48" i="5" s="1"/>
  <c r="AS48" i="5" s="1"/>
  <c r="B6" i="5"/>
  <c r="Y6" i="5" s="1"/>
  <c r="AS6" i="5" s="1"/>
  <c r="C110" i="6" a="1"/>
  <c r="AL3" i="5" a="1"/>
  <c r="AP3" i="5"/>
  <c r="P3" i="5"/>
  <c r="D107" i="6" a="1"/>
  <c r="C3" i="5"/>
  <c r="Q3" i="5"/>
  <c r="D106" i="6" a="1"/>
  <c r="AW3" i="5"/>
  <c r="D3" i="5"/>
  <c r="R3" i="5"/>
  <c r="E3" i="5"/>
  <c r="S3" i="5"/>
  <c r="C107" i="6" a="1"/>
  <c r="AJ3" i="5" a="1"/>
  <c r="AN3" i="5" a="1"/>
  <c r="AX3" i="5"/>
  <c r="C106" i="6" a="1"/>
  <c r="AR3" i="5" a="1"/>
  <c r="AY3" i="5"/>
  <c r="F3" i="5"/>
  <c r="T3" i="5"/>
  <c r="C105" i="6" a="1"/>
  <c r="AH3" i="5"/>
  <c r="G3" i="5"/>
  <c r="U3" i="5"/>
  <c r="M3" i="5"/>
  <c r="O3" i="5"/>
  <c r="D105" i="6" a="1"/>
  <c r="H3" i="5"/>
  <c r="V3" i="5"/>
  <c r="N3" i="5"/>
  <c r="D110" i="6" a="1"/>
  <c r="AA3" i="5"/>
  <c r="AO3" i="5" s="1"/>
  <c r="I3" i="5"/>
  <c r="W3" i="5"/>
  <c r="AQ3" i="5"/>
  <c r="AG3" i="5"/>
  <c r="J3" i="5"/>
  <c r="X3" i="5"/>
  <c r="K3" i="5"/>
  <c r="L3" i="5"/>
  <c r="AU3" i="5"/>
  <c r="C113" i="6" a="1"/>
  <c r="P7" i="6" a="1"/>
  <c r="C111" i="6" a="1"/>
  <c r="D111" i="6" a="1"/>
  <c r="M7" i="6" a="1"/>
  <c r="D112" i="6" a="1"/>
  <c r="D113" i="6" a="1"/>
  <c r="C112" i="6" a="1"/>
  <c r="C114" i="6" a="1"/>
  <c r="BE12" i="9"/>
  <c r="AO52" i="5"/>
  <c r="I16" i="1" a="1"/>
  <c r="E6" i="1"/>
  <c r="F8" i="1"/>
  <c r="G16" i="1"/>
  <c r="BG12" i="9"/>
  <c r="AL35" i="5" a="1"/>
  <c r="D114" i="6" s="1" a="1"/>
  <c r="AD58" i="5" a="1"/>
  <c r="AN35" i="5" a="1"/>
  <c r="AJ52" i="5" a="1"/>
  <c r="AD45" i="5" a="1"/>
  <c r="AD60" i="5" a="1"/>
  <c r="AL52" i="5" a="1"/>
  <c r="AD85" i="5" a="1"/>
  <c r="AH8" i="5"/>
  <c r="AD88" i="5" a="1"/>
  <c r="AG87" i="5"/>
  <c r="AD91" i="5" a="1"/>
  <c r="AD71" i="5" a="1"/>
  <c r="AD75" i="5" a="1"/>
  <c r="AD62" i="5" a="1"/>
  <c r="AD19" i="5" a="1"/>
  <c r="AD3" i="5" a="1"/>
  <c r="AD35" i="5" a="1"/>
  <c r="AD74" i="5" a="1"/>
  <c r="AD39" i="5" a="1"/>
  <c r="J28" i="1" a="1"/>
  <c r="J25" i="1" a="1"/>
  <c r="AP35" i="5"/>
  <c r="AD32" i="5" a="1"/>
  <c r="AD59" i="5" a="1"/>
  <c r="AD56" i="5" a="1"/>
  <c r="AD47" i="5" a="1"/>
  <c r="AD40" i="5" a="1"/>
  <c r="AD42" i="5" a="1"/>
  <c r="J37" i="1" a="1"/>
  <c r="J27" i="1" a="1"/>
  <c r="AD12" i="5" a="1"/>
  <c r="AD50" i="5" a="1"/>
  <c r="AD68" i="5" a="1"/>
  <c r="AD17" i="5" a="1"/>
  <c r="AD24" i="5" a="1"/>
  <c r="AD48" i="5" a="1"/>
  <c r="J33" i="1" a="1"/>
  <c r="J38" i="1" a="1"/>
  <c r="AD57" i="5" a="1"/>
  <c r="AD76" i="5" a="1"/>
  <c r="AD90" i="5" a="1"/>
  <c r="AD51" i="5" a="1"/>
  <c r="AD37" i="5" a="1"/>
  <c r="AD66" i="5" a="1"/>
  <c r="J19" i="1" a="1"/>
  <c r="AD21" i="5" a="1"/>
  <c r="AD31" i="5" a="1"/>
  <c r="AD69" i="5" a="1"/>
  <c r="AD83" i="5" a="1"/>
  <c r="AD10" i="5" a="1"/>
  <c r="AD77" i="5" a="1"/>
  <c r="AD55" i="5" a="1"/>
  <c r="J30" i="1" a="1"/>
  <c r="J26" i="1" a="1"/>
  <c r="AD72" i="5" a="1"/>
  <c r="AD38" i="5" a="1"/>
  <c r="AD44" i="5" a="1"/>
  <c r="AD92" i="5" a="1"/>
  <c r="J35" i="1" a="1"/>
  <c r="J29" i="1" a="1"/>
  <c r="AD49" i="5" a="1"/>
  <c r="AD46" i="5" a="1"/>
  <c r="AD9" i="5" a="1"/>
  <c r="AD81" i="5" a="1"/>
  <c r="AD23" i="5" a="1"/>
  <c r="J24" i="1" a="1"/>
  <c r="J32" i="1" a="1"/>
  <c r="J17" i="1" a="1"/>
  <c r="AD79" i="5" a="1"/>
  <c r="AD26" i="5" a="1"/>
  <c r="AD5" i="5" a="1"/>
  <c r="AD82" i="5" a="1"/>
  <c r="AD28" i="5" a="1"/>
  <c r="J18" i="1" a="1"/>
  <c r="J31" i="1" a="1"/>
  <c r="AD29" i="5" a="1"/>
  <c r="AD36" i="5" a="1"/>
  <c r="AD41" i="5" a="1"/>
  <c r="AD8" i="5" a="1"/>
  <c r="AD22" i="5" a="1"/>
  <c r="AD67" i="5" a="1"/>
  <c r="J21" i="1" a="1"/>
  <c r="J16" i="1" a="1"/>
  <c r="J34" i="1" a="1"/>
  <c r="AD6" i="5" a="1"/>
  <c r="AD64" i="5" a="1"/>
  <c r="AD89" i="5" a="1"/>
  <c r="AD54" i="5" a="1"/>
  <c r="AD18" i="5" a="1"/>
  <c r="AD52" i="5" a="1"/>
  <c r="AD78" i="5" a="1"/>
  <c r="AD34" i="5" a="1"/>
  <c r="AD86" i="5" a="1"/>
  <c r="AD25" i="5" a="1"/>
  <c r="AD87" i="5" a="1"/>
  <c r="AD13" i="5" a="1"/>
  <c r="AD53" i="5" a="1"/>
  <c r="AD16" i="5" a="1"/>
  <c r="J22" i="1" a="1"/>
  <c r="AD33" i="5" a="1"/>
  <c r="AD11" i="5" a="1"/>
  <c r="AD7" i="5" a="1"/>
  <c r="AD61" i="5" a="1"/>
  <c r="AD73" i="5" a="1"/>
  <c r="AD80" i="5" a="1"/>
  <c r="AD15" i="5" a="1"/>
  <c r="J23" i="1" a="1"/>
  <c r="J36" i="1" a="1"/>
  <c r="AD27" i="5" a="1"/>
  <c r="AD63" i="5" a="1"/>
  <c r="AD4" i="5" a="1"/>
  <c r="AD30" i="5" a="1"/>
  <c r="AD84" i="5" a="1"/>
  <c r="AD20" i="5" a="1"/>
  <c r="AD65" i="5" a="1"/>
  <c r="J20" i="1" a="1"/>
  <c r="AD70" i="5" a="1"/>
  <c r="AD14" i="5" a="1"/>
  <c r="AD43" i="5" a="1"/>
  <c r="N7" i="6" a="1"/>
  <c r="AI3" i="5" l="1"/>
  <c r="BG9" i="5" a="1"/>
  <c r="BG14" i="5" s="1"/>
  <c r="BJ16" i="5" s="1"/>
  <c r="AZ25" i="5"/>
  <c r="AU89" i="5"/>
  <c r="AU53" i="5"/>
  <c r="AU67" i="5"/>
  <c r="AU81" i="5"/>
  <c r="AU76" i="5"/>
  <c r="AU51" i="5"/>
  <c r="AU55" i="5"/>
  <c r="AU41" i="5"/>
  <c r="AU33" i="5"/>
  <c r="AU19" i="5"/>
  <c r="AU87" i="5"/>
  <c r="AU60" i="5"/>
  <c r="AU6" i="5"/>
  <c r="AU68" i="5"/>
  <c r="AU13" i="5"/>
  <c r="AU64" i="5"/>
  <c r="AU12" i="5"/>
  <c r="AU21" i="5"/>
  <c r="AU16" i="5"/>
  <c r="AU74" i="5"/>
  <c r="AU4" i="5"/>
  <c r="AZ54" i="5"/>
  <c r="AZ68" i="5"/>
  <c r="AZ46" i="5"/>
  <c r="AZ88" i="5"/>
  <c r="AZ49" i="5"/>
  <c r="AZ41" i="5"/>
  <c r="AZ69" i="5"/>
  <c r="AZ78" i="5"/>
  <c r="AZ92" i="5"/>
  <c r="AZ53" i="5"/>
  <c r="AZ67" i="5"/>
  <c r="AZ81" i="5"/>
  <c r="AZ37" i="5"/>
  <c r="AZ17" i="5"/>
  <c r="AZ31" i="5"/>
  <c r="AZ34" i="5"/>
  <c r="AZ89" i="5"/>
  <c r="AZ48" i="5"/>
  <c r="AZ87" i="5"/>
  <c r="AZ18" i="5"/>
  <c r="AZ35" i="5"/>
  <c r="AZ7" i="5"/>
  <c r="AZ39" i="5"/>
  <c r="AZ50" i="5"/>
  <c r="AZ62" i="5"/>
  <c r="AZ72" i="5"/>
  <c r="AZ4" i="5"/>
  <c r="AZ12" i="5"/>
  <c r="AZ43" i="5"/>
  <c r="AZ9" i="5"/>
  <c r="AZ73" i="5"/>
  <c r="AZ15" i="5"/>
  <c r="AZ51" i="5"/>
  <c r="AZ26" i="5"/>
  <c r="AZ21" i="5"/>
  <c r="AZ10" i="5"/>
  <c r="AZ24" i="5"/>
  <c r="AZ58" i="5"/>
  <c r="AZ44" i="5"/>
  <c r="AZ71" i="5"/>
  <c r="AZ76" i="5"/>
  <c r="AZ30" i="5"/>
  <c r="AZ56" i="5"/>
  <c r="AZ57" i="5"/>
  <c r="AZ66" i="5"/>
  <c r="AZ70" i="5"/>
  <c r="AZ22" i="5"/>
  <c r="AZ90" i="5"/>
  <c r="AZ65" i="5"/>
  <c r="AZ60" i="5"/>
  <c r="AZ75" i="5"/>
  <c r="AZ11" i="5"/>
  <c r="L7" i="6" s="1" a="1"/>
  <c r="AZ6" i="5"/>
  <c r="AZ20" i="5"/>
  <c r="AK8" i="5"/>
  <c r="AI8" i="5"/>
  <c r="C121" i="6"/>
  <c r="P6" i="6" s="1"/>
  <c r="F65" i="1" a="1"/>
  <c r="E65" i="1" a="1"/>
  <c r="Y3" i="5"/>
  <c r="AS3" i="5" s="1"/>
  <c r="D10" i="1"/>
  <c r="AM3" i="5"/>
  <c r="AK3" i="5"/>
  <c r="AZ91" i="5"/>
  <c r="AZ42" i="5"/>
  <c r="AZ55" i="5"/>
  <c r="AZ80" i="5"/>
  <c r="AZ52" i="5"/>
  <c r="AZ16" i="5"/>
  <c r="AZ79" i="5"/>
  <c r="AZ83" i="5"/>
  <c r="AZ13" i="5"/>
  <c r="AZ38" i="5"/>
  <c r="AZ33" i="5"/>
  <c r="AB12" i="5"/>
  <c r="AB65" i="5"/>
  <c r="AB38" i="5"/>
  <c r="AB3" i="5"/>
  <c r="AB15" i="5"/>
  <c r="AB11" i="5"/>
  <c r="AB26" i="5"/>
  <c r="AB39" i="5"/>
  <c r="AB64" i="5"/>
  <c r="AB45" i="5"/>
  <c r="AB19" i="5"/>
  <c r="AB47" i="5"/>
  <c r="AB52" i="5"/>
  <c r="BC52" i="5" s="1"/>
  <c r="AB46" i="5"/>
  <c r="AB57" i="5"/>
  <c r="AB22" i="5"/>
  <c r="AB59" i="5"/>
  <c r="AB25" i="5"/>
  <c r="AB35" i="5"/>
  <c r="AB80" i="5"/>
  <c r="AB29" i="5"/>
  <c r="AB83" i="5"/>
  <c r="AB71" i="5"/>
  <c r="AB91" i="5"/>
  <c r="AB78" i="5"/>
  <c r="AB77" i="5"/>
  <c r="AB69" i="5"/>
  <c r="AB27" i="5"/>
  <c r="AB48" i="5"/>
  <c r="AB58" i="5"/>
  <c r="AB92" i="5"/>
  <c r="AB73" i="5"/>
  <c r="AB8" i="5"/>
  <c r="AB28" i="5"/>
  <c r="AB49" i="5"/>
  <c r="AB66" i="5"/>
  <c r="AB85" i="5"/>
  <c r="AB16" i="5"/>
  <c r="AB21" i="5"/>
  <c r="AB24" i="5"/>
  <c r="AB41" i="5"/>
  <c r="AB60" i="5"/>
  <c r="AB18" i="5"/>
  <c r="AB72" i="5"/>
  <c r="AB53" i="5"/>
  <c r="AB87" i="5"/>
  <c r="AU52" i="5"/>
  <c r="AB74" i="5"/>
  <c r="AB7" i="5"/>
  <c r="AB82" i="5"/>
  <c r="AC82" i="5" s="1"/>
  <c r="AF82" i="5" s="1"/>
  <c r="AB70" i="5"/>
  <c r="AB36" i="5"/>
  <c r="AB34" i="5"/>
  <c r="AB4" i="5"/>
  <c r="AB14" i="5"/>
  <c r="AB32" i="5"/>
  <c r="AZ82" i="5"/>
  <c r="AZ63" i="5"/>
  <c r="AZ86" i="5"/>
  <c r="AZ45" i="5"/>
  <c r="AB5" i="5"/>
  <c r="AC5" i="5" s="1"/>
  <c r="AF5" i="5" s="1"/>
  <c r="AZ84" i="5"/>
  <c r="AZ59" i="5"/>
  <c r="AZ3" i="5"/>
  <c r="AU35" i="5"/>
  <c r="AB13" i="5"/>
  <c r="AB61" i="5"/>
  <c r="AB37" i="5"/>
  <c r="AB86" i="5"/>
  <c r="AB67" i="5"/>
  <c r="AZ14" i="5"/>
  <c r="AB6" i="5"/>
  <c r="AC6" i="5" s="1"/>
  <c r="AF6" i="5" s="1"/>
  <c r="AZ27" i="5"/>
  <c r="AZ5" i="5"/>
  <c r="AB30" i="5"/>
  <c r="AB50" i="5"/>
  <c r="AB84" i="5"/>
  <c r="AB54" i="5"/>
  <c r="AB56" i="5"/>
  <c r="AB43" i="5"/>
  <c r="AB90" i="5"/>
  <c r="AZ32" i="5"/>
  <c r="AB76" i="5"/>
  <c r="AB31" i="5"/>
  <c r="AB63" i="5"/>
  <c r="AZ77" i="5"/>
  <c r="AB33" i="5"/>
  <c r="AZ61" i="5"/>
  <c r="AB10" i="5"/>
  <c r="AB17" i="5"/>
  <c r="AB88" i="5"/>
  <c r="AB44" i="5"/>
  <c r="AB40" i="5"/>
  <c r="AC40" i="5" s="1"/>
  <c r="AF40" i="5" s="1"/>
  <c r="AZ85" i="5"/>
  <c r="AZ64" i="5"/>
  <c r="AZ28" i="5"/>
  <c r="AZ36" i="5"/>
  <c r="AZ19" i="5"/>
  <c r="BI12" i="9"/>
  <c r="AB55" i="5"/>
  <c r="AC55" i="5" s="1"/>
  <c r="AF55" i="5" s="1"/>
  <c r="AB9" i="5"/>
  <c r="E10" i="1"/>
  <c r="AB62" i="5"/>
  <c r="AB23" i="5"/>
  <c r="AB51" i="5"/>
  <c r="AB20" i="5"/>
  <c r="AB75" i="5"/>
  <c r="AB89" i="5"/>
  <c r="AB81" i="5"/>
  <c r="AB68" i="5"/>
  <c r="AZ47" i="5"/>
  <c r="AZ23" i="5"/>
  <c r="AZ29" i="5"/>
  <c r="AZ40" i="5"/>
  <c r="AZ8" i="5"/>
  <c r="AB42" i="5"/>
  <c r="AB79" i="5"/>
  <c r="AC79" i="5" s="1"/>
  <c r="AF79" i="5" s="1"/>
  <c r="BH12" i="9"/>
  <c r="E7" i="6" a="1"/>
  <c r="H16" i="1"/>
  <c r="F7" i="6" s="1" a="1"/>
  <c r="AM87" i="5"/>
  <c r="AK87" i="5"/>
  <c r="AV3" i="5" a="1"/>
  <c r="BC3" i="5" l="1"/>
  <c r="AC44" i="5"/>
  <c r="AF44" i="5" s="1"/>
  <c r="AC87" i="5" s="1"/>
  <c r="AF87" i="5" s="1"/>
  <c r="AC34" i="5"/>
  <c r="AF34" i="5" s="1"/>
  <c r="AC41" i="5" s="1"/>
  <c r="AF41" i="5" s="1"/>
  <c r="AC78" i="5" s="1"/>
  <c r="AF78" i="5" s="1"/>
  <c r="AC36" i="5" s="1"/>
  <c r="AF36" i="5" s="1"/>
  <c r="AC83" i="5" s="1"/>
  <c r="AF83" i="5" s="1"/>
  <c r="AC52" i="5" s="1"/>
  <c r="AF52" i="5" s="1"/>
  <c r="AC69" i="5" s="1"/>
  <c r="AF69" i="5" s="1"/>
  <c r="AC61" i="5" s="1"/>
  <c r="AF61" i="5" s="1"/>
  <c r="AC39" i="5" s="1"/>
  <c r="AF39" i="5" s="1"/>
  <c r="AC54" i="5" s="1"/>
  <c r="AF54" i="5" s="1"/>
  <c r="AC21" i="5" s="1"/>
  <c r="AF21" i="5" s="1"/>
  <c r="D12" i="1"/>
  <c r="F10" i="1"/>
  <c r="AC15" i="5"/>
  <c r="AF15" i="5" s="1"/>
  <c r="AC73" i="5"/>
  <c r="AF73" i="5" s="1"/>
  <c r="AC33" i="5"/>
  <c r="AF33" i="5" s="1"/>
  <c r="AC53" i="5"/>
  <c r="AF53" i="5" s="1"/>
  <c r="AC92" i="5"/>
  <c r="AF92" i="5" s="1"/>
  <c r="AC72" i="5"/>
  <c r="AF72" i="5" s="1"/>
  <c r="AC80" i="5"/>
  <c r="AF80" i="5" s="1"/>
  <c r="AC65" i="5"/>
  <c r="AF65" i="5" s="1"/>
  <c r="AC86" i="5"/>
  <c r="AF86" i="5" s="1"/>
  <c r="AC57" i="5"/>
  <c r="AF57" i="5" s="1"/>
  <c r="AC31" i="5"/>
  <c r="AF31" i="5" s="1"/>
  <c r="E53" i="1" a="1"/>
  <c r="F53" i="1" a="1"/>
  <c r="AC14" i="5"/>
  <c r="AF14" i="5" s="1"/>
  <c r="AC74" i="5"/>
  <c r="AF74" i="5" s="1"/>
  <c r="AC17" i="5"/>
  <c r="AF17" i="5" s="1"/>
  <c r="AC38" i="5"/>
  <c r="AF38" i="5" s="1"/>
  <c r="AC50" i="5"/>
  <c r="AF50" i="5" s="1"/>
  <c r="AC29" i="5"/>
  <c r="AF29" i="5" s="1"/>
  <c r="AC7" i="5"/>
  <c r="AF7" i="5" s="1"/>
  <c r="AC68" i="5"/>
  <c r="AF68" i="5" s="1"/>
  <c r="K53" i="1" a="1"/>
  <c r="AC28" i="5"/>
  <c r="AF28" i="5" s="1"/>
  <c r="AC30" i="5"/>
  <c r="AF30" i="5" s="1"/>
  <c r="AC84" i="5"/>
  <c r="AF84" i="5" s="1"/>
  <c r="AC49" i="5"/>
  <c r="AF49" i="5" s="1"/>
  <c r="AC23" i="5"/>
  <c r="AF23" i="5" s="1"/>
  <c r="AC11" i="5"/>
  <c r="AF11" i="5" s="1"/>
  <c r="AC8" i="5"/>
  <c r="AF8" i="5" s="1"/>
  <c r="AC48" i="5"/>
  <c r="AF48" i="5" s="1"/>
  <c r="C108" i="6" a="1"/>
  <c r="AC10" i="5"/>
  <c r="AF10" i="5" s="1"/>
  <c r="AC24" i="5"/>
  <c r="AF24" i="5" s="1"/>
  <c r="AC59" i="5"/>
  <c r="AF59" i="5" s="1"/>
  <c r="AC89" i="5"/>
  <c r="AF89" i="5" s="1"/>
  <c r="AC13" i="5"/>
  <c r="AF13" i="5" s="1"/>
  <c r="AC63" i="5"/>
  <c r="AF63" i="5" s="1"/>
  <c r="D108" i="6" a="1"/>
  <c r="AC18" i="5"/>
  <c r="AF18" i="5" s="1"/>
  <c r="AC22" i="5"/>
  <c r="AF22" i="5" s="1"/>
  <c r="AC9" i="5"/>
  <c r="AF9" i="5" s="1"/>
  <c r="AC25" i="5"/>
  <c r="AF25" i="5" s="1"/>
  <c r="AC26" i="5"/>
  <c r="AF26" i="5" s="1"/>
  <c r="AC60" i="5"/>
  <c r="AF60" i="5" s="1"/>
  <c r="AT60" i="5"/>
  <c r="AE60" i="5"/>
  <c r="BA60" i="5" s="1"/>
  <c r="AE67" i="5"/>
  <c r="BA67" i="5" s="1"/>
  <c r="AT67" i="5"/>
  <c r="AE27" i="5"/>
  <c r="BA27" i="5" s="1"/>
  <c r="AT27" i="5"/>
  <c r="AE46" i="5"/>
  <c r="BA46" i="5" s="1"/>
  <c r="AT46" i="5"/>
  <c r="K41" i="1" s="1" a="1"/>
  <c r="AE76" i="5"/>
  <c r="BA76" i="5" s="1"/>
  <c r="AT76" i="5"/>
  <c r="AE86" i="5"/>
  <c r="BA86" i="5" s="1"/>
  <c r="AT86" i="5"/>
  <c r="AT14" i="5"/>
  <c r="AE14" i="5"/>
  <c r="BA14" i="5" s="1"/>
  <c r="AT41" i="5"/>
  <c r="AE41" i="5"/>
  <c r="BA41" i="5" s="1"/>
  <c r="AT69" i="5"/>
  <c r="AE69" i="5"/>
  <c r="BA69" i="5" s="1"/>
  <c r="AT52" i="5"/>
  <c r="AE52" i="5"/>
  <c r="BA52" i="5" s="1"/>
  <c r="AE90" i="5"/>
  <c r="BA90" i="5" s="1"/>
  <c r="AT90" i="5"/>
  <c r="AT61" i="5"/>
  <c r="AE61" i="5"/>
  <c r="BA61" i="5" s="1"/>
  <c r="AE34" i="5"/>
  <c r="BA34" i="5" s="1"/>
  <c r="AT34" i="5"/>
  <c r="AE21" i="5"/>
  <c r="BA21" i="5" s="1"/>
  <c r="AT21" i="5"/>
  <c r="AE78" i="5"/>
  <c r="BA78" i="5" s="1"/>
  <c r="AT78" i="5"/>
  <c r="AE19" i="5"/>
  <c r="BA19" i="5" s="1"/>
  <c r="AT19" i="5"/>
  <c r="AC90" i="5"/>
  <c r="AF90" i="5" s="1"/>
  <c r="AE43" i="5"/>
  <c r="BA43" i="5" s="1"/>
  <c r="AT43" i="5"/>
  <c r="AT13" i="5"/>
  <c r="AE13" i="5"/>
  <c r="BA13" i="5" s="1"/>
  <c r="AE36" i="5"/>
  <c r="BA36" i="5" s="1"/>
  <c r="AT36" i="5"/>
  <c r="AT16" i="5"/>
  <c r="AE16" i="5"/>
  <c r="BA16" i="5" s="1"/>
  <c r="AC91" i="5"/>
  <c r="AF91" i="5" s="1"/>
  <c r="AE91" i="5"/>
  <c r="BA91" i="5" s="1"/>
  <c r="AT91" i="5"/>
  <c r="AT45" i="5"/>
  <c r="AE45" i="5"/>
  <c r="BA45" i="5" s="1"/>
  <c r="AC45" i="5"/>
  <c r="AF45" i="5" s="1"/>
  <c r="AE64" i="5"/>
  <c r="BA64" i="5" s="1"/>
  <c r="AT64" i="5"/>
  <c r="AC16" i="5"/>
  <c r="AF16" i="5" s="1"/>
  <c r="AC64" i="5"/>
  <c r="AF64" i="5" s="1"/>
  <c r="AT37" i="5"/>
  <c r="AE37" i="5"/>
  <c r="AT40" i="5"/>
  <c r="AE40" i="5"/>
  <c r="BA40" i="5" s="1"/>
  <c r="AT71" i="5"/>
  <c r="AE71" i="5"/>
  <c r="BA71" i="5" s="1"/>
  <c r="AC71" i="5"/>
  <c r="AF71" i="5" s="1"/>
  <c r="AT20" i="5"/>
  <c r="AE20" i="5"/>
  <c r="BA20" i="5" s="1"/>
  <c r="AE44" i="5"/>
  <c r="BA44" i="5" s="1"/>
  <c r="AT44" i="5"/>
  <c r="AT54" i="5"/>
  <c r="AE54" i="5"/>
  <c r="BA54" i="5" s="1"/>
  <c r="E41" i="1" a="1"/>
  <c r="F41" i="1" a="1"/>
  <c r="AE82" i="5"/>
  <c r="BA82" i="5" s="1"/>
  <c r="AT82" i="5"/>
  <c r="AT66" i="5"/>
  <c r="AE66" i="5"/>
  <c r="BA66" i="5" s="1"/>
  <c r="AT83" i="5"/>
  <c r="AE83" i="5"/>
  <c r="BA83" i="5" s="1"/>
  <c r="AE39" i="5"/>
  <c r="BA39" i="5" s="1"/>
  <c r="AT39" i="5"/>
  <c r="AE68" i="5"/>
  <c r="BA68" i="5" s="1"/>
  <c r="AT68" i="5"/>
  <c r="AC75" i="5"/>
  <c r="AF75" i="5" s="1"/>
  <c r="AT75" i="5"/>
  <c r="AE75" i="5"/>
  <c r="BA75" i="5" s="1"/>
  <c r="AE51" i="5"/>
  <c r="AT51" i="5"/>
  <c r="AE88" i="5"/>
  <c r="BA88" i="5" s="1"/>
  <c r="AC88" i="5"/>
  <c r="AF88" i="5" s="1"/>
  <c r="AT88" i="5"/>
  <c r="AT84" i="5"/>
  <c r="AE84" i="5"/>
  <c r="BA84" i="5" s="1"/>
  <c r="AT7" i="5"/>
  <c r="AE7" i="5"/>
  <c r="BA7" i="5" s="1"/>
  <c r="AE49" i="5"/>
  <c r="BA49" i="5" s="1"/>
  <c r="AT49" i="5"/>
  <c r="AE29" i="5"/>
  <c r="BA29" i="5" s="1"/>
  <c r="AT29" i="5"/>
  <c r="AE26" i="5"/>
  <c r="BA26" i="5" s="1"/>
  <c r="AT26" i="5"/>
  <c r="AC19" i="5"/>
  <c r="AF19" i="5" s="1"/>
  <c r="AE77" i="5"/>
  <c r="BA77" i="5" s="1"/>
  <c r="AT77" i="5"/>
  <c r="AC77" i="5"/>
  <c r="AF77" i="5" s="1"/>
  <c r="AE23" i="5"/>
  <c r="BA23" i="5" s="1"/>
  <c r="AT23" i="5"/>
  <c r="AE17" i="5"/>
  <c r="BA17" i="5" s="1"/>
  <c r="AT17" i="5"/>
  <c r="AE50" i="5"/>
  <c r="BA50" i="5" s="1"/>
  <c r="AT50" i="5"/>
  <c r="AT74" i="5"/>
  <c r="AE74" i="5"/>
  <c r="BA74" i="5" s="1"/>
  <c r="AT28" i="5"/>
  <c r="AE28" i="5"/>
  <c r="BA28" i="5" s="1"/>
  <c r="AT80" i="5"/>
  <c r="AE80" i="5"/>
  <c r="BA80" i="5" s="1"/>
  <c r="AT11" i="5"/>
  <c r="AE11" i="5"/>
  <c r="C109" i="6" a="1"/>
  <c r="AT47" i="5"/>
  <c r="AE47" i="5"/>
  <c r="BA47" i="5" s="1"/>
  <c r="AE56" i="5"/>
  <c r="BA56" i="5" s="1"/>
  <c r="AT56" i="5"/>
  <c r="AC37" i="5"/>
  <c r="AF37" i="5" s="1"/>
  <c r="AC46" i="5"/>
  <c r="AF46" i="5" s="1"/>
  <c r="AC67" i="5"/>
  <c r="AF67" i="5" s="1"/>
  <c r="AT10" i="5"/>
  <c r="AE10" i="5"/>
  <c r="BA10" i="5" s="1"/>
  <c r="AE30" i="5"/>
  <c r="BA30" i="5" s="1"/>
  <c r="AT30" i="5"/>
  <c r="AT5" i="5"/>
  <c r="AE5" i="5"/>
  <c r="BA5" i="5" s="1"/>
  <c r="AE8" i="5"/>
  <c r="BA8" i="5" s="1"/>
  <c r="AT8" i="5"/>
  <c r="AE35" i="5"/>
  <c r="AT35" i="5"/>
  <c r="AT15" i="5"/>
  <c r="AE15" i="5"/>
  <c r="BA15" i="5" s="1"/>
  <c r="AC20" i="5"/>
  <c r="AF20" i="5" s="1"/>
  <c r="AT31" i="5"/>
  <c r="AE31" i="5"/>
  <c r="BA31" i="5" s="1"/>
  <c r="AT81" i="5"/>
  <c r="AE81" i="5"/>
  <c r="BA81" i="5" s="1"/>
  <c r="AE85" i="5"/>
  <c r="BA85" i="5" s="1"/>
  <c r="AT85" i="5"/>
  <c r="AC85" i="5"/>
  <c r="AF85" i="5" s="1"/>
  <c r="AT42" i="5"/>
  <c r="AE42" i="5"/>
  <c r="BA42" i="5" s="1"/>
  <c r="AT87" i="5"/>
  <c r="AE87" i="5"/>
  <c r="BA87" i="5" s="1"/>
  <c r="AT73" i="5"/>
  <c r="AE73" i="5"/>
  <c r="BA73" i="5" s="1"/>
  <c r="AE25" i="5"/>
  <c r="BA25" i="5" s="1"/>
  <c r="AT25" i="5"/>
  <c r="AE3" i="5"/>
  <c r="AT3" i="5"/>
  <c r="AE4" i="5"/>
  <c r="BA4" i="5" s="1"/>
  <c r="AT4" i="5"/>
  <c r="L53" i="1" a="1"/>
  <c r="E6" i="6" s="1"/>
  <c r="AT70" i="5"/>
  <c r="AE70" i="5"/>
  <c r="BA70" i="5" s="1"/>
  <c r="K66" i="1"/>
  <c r="K69" i="1"/>
  <c r="K65" i="1"/>
  <c r="K68" i="1"/>
  <c r="K67" i="1"/>
  <c r="AE9" i="5"/>
  <c r="BA9" i="5" s="1"/>
  <c r="AT9" i="5"/>
  <c r="AE33" i="5"/>
  <c r="BA33" i="5" s="1"/>
  <c r="AT33" i="5"/>
  <c r="AE53" i="5"/>
  <c r="BA53" i="5" s="1"/>
  <c r="AT53" i="5"/>
  <c r="AT92" i="5"/>
  <c r="AE92" i="5"/>
  <c r="AT59" i="5"/>
  <c r="AE59" i="5"/>
  <c r="BA59" i="5" s="1"/>
  <c r="AE38" i="5"/>
  <c r="BA38" i="5" s="1"/>
  <c r="AT38" i="5"/>
  <c r="AC42" i="5"/>
  <c r="AF42" i="5" s="1"/>
  <c r="AC3" i="5"/>
  <c r="AF3" i="5" s="1"/>
  <c r="AC35" i="5"/>
  <c r="AE24" i="5"/>
  <c r="BA24" i="5" s="1"/>
  <c r="AT24" i="5"/>
  <c r="AE79" i="5"/>
  <c r="BA79" i="5" s="1"/>
  <c r="AT79" i="5"/>
  <c r="AT55" i="5"/>
  <c r="AE55" i="5"/>
  <c r="BA55" i="5" s="1"/>
  <c r="AT6" i="5"/>
  <c r="AE6" i="5"/>
  <c r="BA6" i="5" s="1"/>
  <c r="AT72" i="5"/>
  <c r="AE72" i="5"/>
  <c r="BA72" i="5" s="1"/>
  <c r="AT58" i="5"/>
  <c r="AE58" i="5"/>
  <c r="BA58" i="5" s="1"/>
  <c r="AC58" i="5"/>
  <c r="AF58" i="5" s="1"/>
  <c r="AT22" i="5"/>
  <c r="AE22" i="5"/>
  <c r="BA22" i="5" s="1"/>
  <c r="AE65" i="5"/>
  <c r="BA65" i="5" s="1"/>
  <c r="AT65" i="5"/>
  <c r="AE32" i="5"/>
  <c r="BA32" i="5" s="1"/>
  <c r="AT32" i="5"/>
  <c r="AC43" i="5"/>
  <c r="AF43" i="5" s="1"/>
  <c r="AC32" i="5"/>
  <c r="AF32" i="5" s="1"/>
  <c r="AT89" i="5"/>
  <c r="AE89" i="5"/>
  <c r="BA89" i="5" s="1"/>
  <c r="AC56" i="5"/>
  <c r="AF56" i="5" s="1"/>
  <c r="AC4" i="5"/>
  <c r="AF4" i="5" s="1"/>
  <c r="AE62" i="5"/>
  <c r="BA62" i="5" s="1"/>
  <c r="AT62" i="5"/>
  <c r="AC62" i="5"/>
  <c r="AF62" i="5" s="1"/>
  <c r="AC81" i="5"/>
  <c r="AF81" i="5" s="1"/>
  <c r="AC47" i="5"/>
  <c r="AF47" i="5" s="1"/>
  <c r="AC27" i="5"/>
  <c r="AF27" i="5" s="1"/>
  <c r="AC76" i="5"/>
  <c r="AF76" i="5" s="1"/>
  <c r="AE63" i="5"/>
  <c r="BA63" i="5" s="1"/>
  <c r="AT63" i="5"/>
  <c r="AE18" i="5"/>
  <c r="BA18" i="5" s="1"/>
  <c r="AT18" i="5"/>
  <c r="AT48" i="5"/>
  <c r="AE48" i="5"/>
  <c r="BA48" i="5" s="1"/>
  <c r="AT57" i="5"/>
  <c r="AE57" i="5"/>
  <c r="BA57" i="5" s="1"/>
  <c r="AE12" i="5"/>
  <c r="BA12" i="5" s="1"/>
  <c r="AT12" i="5"/>
  <c r="AC51" i="5"/>
  <c r="AF51" i="5" s="1"/>
  <c r="AC66" i="5"/>
  <c r="AF66" i="5" s="1"/>
  <c r="AC12" i="5"/>
  <c r="AF12" i="5" s="1"/>
  <c r="AC70" i="5"/>
  <c r="AF70" i="5" s="1"/>
  <c r="BA37" i="5" l="1"/>
  <c r="BB37" i="5"/>
  <c r="BA51" i="5"/>
  <c r="BB51" i="5"/>
  <c r="BA35" i="5"/>
  <c r="BB35" i="5"/>
  <c r="BA3" i="5"/>
  <c r="BB3" i="5"/>
  <c r="BA92" i="5"/>
  <c r="BB92" i="5"/>
  <c r="L66" i="1"/>
  <c r="L41" i="1" a="1"/>
  <c r="L69" i="1"/>
  <c r="AF35" i="5"/>
  <c r="D109" i="6" a="1"/>
  <c r="Q7" i="6" a="1"/>
  <c r="BA11" i="5"/>
  <c r="L67" i="1"/>
  <c r="L68" i="1"/>
  <c r="K70" i="1"/>
  <c r="L65" i="1"/>
  <c r="D115" i="6" l="1" a="1"/>
  <c r="BD3" i="5"/>
  <c r="BC92" i="5"/>
  <c r="L70" i="1"/>
  <c r="BB91" i="5" l="1"/>
  <c r="BD92" i="5"/>
  <c r="BC91" i="5" l="1"/>
  <c r="BB90" i="5" l="1"/>
  <c r="BD91" i="5"/>
  <c r="BC90" i="5" l="1"/>
  <c r="BB89" i="5" l="1"/>
  <c r="BD90" i="5"/>
  <c r="BC89" i="5" l="1"/>
  <c r="BB88" i="5" l="1"/>
  <c r="BD89" i="5"/>
  <c r="BC88" i="5" l="1"/>
  <c r="BB87" i="5" l="1"/>
  <c r="BD88" i="5"/>
  <c r="BC87" i="5" l="1"/>
  <c r="BB86" i="5" l="1"/>
  <c r="BD87" i="5"/>
  <c r="BC86" i="5" l="1"/>
  <c r="BB85" i="5" l="1"/>
  <c r="BD86" i="5"/>
  <c r="BC85" i="5" l="1"/>
  <c r="BB84" i="5" l="1"/>
  <c r="BD85" i="5"/>
  <c r="BC84" i="5" l="1"/>
  <c r="BB83" i="5" l="1"/>
  <c r="BD84" i="5"/>
  <c r="BC83" i="5" l="1"/>
  <c r="BB82" i="5" l="1"/>
  <c r="BD83" i="5"/>
  <c r="BC82" i="5" l="1"/>
  <c r="BB81" i="5" l="1"/>
  <c r="BD82" i="5"/>
  <c r="BC81" i="5" l="1"/>
  <c r="BB80" i="5" l="1"/>
  <c r="BD81" i="5"/>
  <c r="BC80" i="5" l="1"/>
  <c r="BB79" i="5" l="1"/>
  <c r="BD80" i="5"/>
  <c r="BC79" i="5" l="1"/>
  <c r="BB78" i="5" l="1"/>
  <c r="BD79" i="5"/>
  <c r="BC78" i="5" l="1"/>
  <c r="BB77" i="5" l="1"/>
  <c r="BD78" i="5"/>
  <c r="BC77" i="5" l="1"/>
  <c r="BB76" i="5" l="1"/>
  <c r="BD77" i="5"/>
  <c r="BC76" i="5" l="1"/>
  <c r="BB75" i="5" l="1"/>
  <c r="BD76" i="5"/>
  <c r="BC75" i="5" l="1"/>
  <c r="BD75" i="5" s="1"/>
  <c r="C115" i="6" a="1"/>
  <c r="C116" i="6" l="1" a="1"/>
  <c r="BB74" i="5"/>
  <c r="BC74" i="5" l="1"/>
  <c r="BB73" i="5" l="1"/>
  <c r="BD74" i="5"/>
  <c r="BC73" i="5" l="1"/>
  <c r="BB72" i="5" l="1"/>
  <c r="BD73" i="5"/>
  <c r="BC72" i="5" l="1"/>
  <c r="BB71" i="5" l="1"/>
  <c r="BD72" i="5"/>
  <c r="BC71" i="5" l="1"/>
  <c r="BB70" i="5" l="1"/>
  <c r="BD71" i="5"/>
  <c r="BC70" i="5" l="1"/>
  <c r="BB69" i="5" l="1"/>
  <c r="BD70" i="5"/>
  <c r="BC69" i="5" l="1"/>
  <c r="BB68" i="5" l="1"/>
  <c r="BD69" i="5"/>
  <c r="BC68" i="5" l="1"/>
  <c r="BB67" i="5" l="1"/>
  <c r="BD68" i="5"/>
  <c r="BC67" i="5" l="1"/>
  <c r="BB66" i="5" l="1"/>
  <c r="BD67" i="5"/>
  <c r="BC66" i="5" l="1"/>
  <c r="BB65" i="5" l="1"/>
  <c r="BD66" i="5"/>
  <c r="BC65" i="5" l="1"/>
  <c r="BB64" i="5" l="1"/>
  <c r="BD65" i="5"/>
  <c r="BC64" i="5" l="1"/>
  <c r="BB63" i="5" l="1"/>
  <c r="BD64" i="5"/>
  <c r="BC63" i="5" l="1"/>
  <c r="BB62" i="5" l="1"/>
  <c r="BD63" i="5"/>
  <c r="BC62" i="5" l="1"/>
  <c r="BB61" i="5" l="1"/>
  <c r="BD62" i="5"/>
  <c r="BC61" i="5" l="1"/>
  <c r="BB60" i="5" l="1"/>
  <c r="BD61" i="5"/>
  <c r="BC60" i="5" l="1"/>
  <c r="BB59" i="5" l="1"/>
  <c r="BD60" i="5"/>
  <c r="BC59" i="5" l="1"/>
  <c r="BB58" i="5" l="1"/>
  <c r="BD59" i="5"/>
  <c r="BC58" i="5" l="1"/>
  <c r="BB57" i="5" l="1"/>
  <c r="BD58" i="5"/>
  <c r="BC57" i="5" l="1"/>
  <c r="BB56" i="5" l="1"/>
  <c r="BD57" i="5"/>
  <c r="BC56" i="5" l="1"/>
  <c r="BB55" i="5" l="1"/>
  <c r="BD56" i="5"/>
  <c r="BC55" i="5" l="1"/>
  <c r="BB54" i="5" l="1"/>
  <c r="BD55" i="5"/>
  <c r="BC54" i="5" l="1"/>
  <c r="BB53" i="5" s="1"/>
  <c r="BD54" i="5"/>
  <c r="BC53" i="5" l="1"/>
  <c r="BB52" i="5" l="1"/>
  <c r="BD53" i="5"/>
  <c r="BC51" i="5" l="1"/>
  <c r="BD52" i="5"/>
  <c r="BD51" i="5" l="1"/>
  <c r="BB50" i="5"/>
  <c r="BC50" i="5" l="1"/>
  <c r="BB49" i="5" l="1"/>
  <c r="BD50" i="5"/>
  <c r="BC49" i="5" l="1"/>
  <c r="BB48" i="5" l="1"/>
  <c r="BD49" i="5"/>
  <c r="BC48" i="5" l="1"/>
  <c r="BB47" i="5" l="1"/>
  <c r="BD48" i="5"/>
  <c r="BC47" i="5" l="1"/>
  <c r="BB46" i="5" l="1"/>
  <c r="BD47" i="5"/>
  <c r="BC46" i="5" l="1"/>
  <c r="BB45" i="5" l="1"/>
  <c r="BD46" i="5"/>
  <c r="BC45" i="5" l="1"/>
  <c r="BB44" i="5" l="1"/>
  <c r="BD45" i="5"/>
  <c r="BC44" i="5" l="1"/>
  <c r="BB43" i="5" l="1"/>
  <c r="BD44" i="5"/>
  <c r="BC43" i="5" l="1"/>
  <c r="BB42" i="5" l="1"/>
  <c r="BD43" i="5"/>
  <c r="BC42" i="5" l="1"/>
  <c r="BB41" i="5" l="1"/>
  <c r="BD42" i="5"/>
  <c r="BC41" i="5" l="1"/>
  <c r="BB40" i="5" l="1"/>
  <c r="BD41" i="5"/>
  <c r="BC40" i="5" l="1"/>
  <c r="BB39" i="5" l="1"/>
  <c r="BD40" i="5"/>
  <c r="BC39" i="5" l="1"/>
  <c r="BB38" i="5" l="1"/>
  <c r="BD39" i="5"/>
  <c r="BC38" i="5" l="1"/>
  <c r="BC37" i="5" l="1"/>
  <c r="BD38" i="5"/>
  <c r="BB36" i="5" l="1"/>
  <c r="BD37" i="5"/>
  <c r="BC36" i="5" l="1"/>
  <c r="BC35" i="5" l="1"/>
  <c r="BD36" i="5"/>
  <c r="BB34" i="5" l="1"/>
  <c r="D116" i="6" a="1"/>
  <c r="BD35" i="5"/>
  <c r="D117" i="6" s="1" a="1"/>
  <c r="BC34" i="5" l="1"/>
  <c r="BB33" i="5" l="1"/>
  <c r="BD34" i="5"/>
  <c r="BC33" i="5" l="1"/>
  <c r="BB32" i="5" l="1"/>
  <c r="BD33" i="5"/>
  <c r="BC32" i="5" l="1"/>
  <c r="BB31" i="5" l="1"/>
  <c r="BD32" i="5"/>
  <c r="BC31" i="5" l="1"/>
  <c r="BB30" i="5" l="1"/>
  <c r="BD31" i="5"/>
  <c r="BC30" i="5" l="1"/>
  <c r="BB29" i="5" l="1"/>
  <c r="BD30" i="5"/>
  <c r="BC29" i="5" l="1"/>
  <c r="BB28" i="5" l="1"/>
  <c r="BD29" i="5"/>
  <c r="BC28" i="5" l="1"/>
  <c r="BB27" i="5" l="1"/>
  <c r="BD28" i="5"/>
  <c r="BC27" i="5" l="1"/>
  <c r="BB26" i="5" l="1"/>
  <c r="BD27" i="5"/>
  <c r="BC26" i="5" l="1"/>
  <c r="BB25" i="5" l="1"/>
  <c r="BD26" i="5"/>
  <c r="BC25" i="5" l="1"/>
  <c r="BB24" i="5" l="1"/>
  <c r="BD25" i="5"/>
  <c r="BC24" i="5" l="1"/>
  <c r="BB23" i="5" l="1"/>
  <c r="BD24" i="5"/>
  <c r="BC23" i="5" l="1"/>
  <c r="BB22" i="5" l="1"/>
  <c r="BD23" i="5"/>
  <c r="BC22" i="5" l="1"/>
  <c r="BB21" i="5" l="1"/>
  <c r="BD22" i="5"/>
  <c r="BC21" i="5" l="1"/>
  <c r="BB20" i="5" l="1"/>
  <c r="BD21" i="5"/>
  <c r="BC20" i="5" l="1"/>
  <c r="BB19" i="5" l="1"/>
  <c r="BD20" i="5"/>
  <c r="BC19" i="5" l="1"/>
  <c r="BB18" i="5" l="1"/>
  <c r="BD19" i="5"/>
  <c r="BC18" i="5" l="1"/>
  <c r="BB17" i="5" l="1"/>
  <c r="BD18" i="5"/>
  <c r="BC17" i="5" l="1"/>
  <c r="BB16" i="5" l="1"/>
  <c r="BD17" i="5"/>
  <c r="BC16" i="5" l="1"/>
  <c r="BB15" i="5" l="1"/>
  <c r="BD16" i="5"/>
  <c r="BC15" i="5" l="1"/>
  <c r="BB14" i="5" l="1"/>
  <c r="BD15" i="5"/>
  <c r="BC14" i="5" l="1"/>
  <c r="BB13" i="5" l="1"/>
  <c r="BD14" i="5"/>
  <c r="BC13" i="5" l="1"/>
  <c r="BB12" i="5" l="1"/>
  <c r="BD13" i="5"/>
  <c r="BC12" i="5" l="1"/>
  <c r="BB11" i="5" s="1"/>
  <c r="BD12" i="5"/>
  <c r="BC11" i="5" l="1"/>
  <c r="BB10" i="5" l="1"/>
  <c r="BD11" i="5"/>
  <c r="O7" i="6" s="1" a="1"/>
  <c r="BC10" i="5" l="1"/>
  <c r="BB9" i="5" s="1"/>
  <c r="BD10" i="5"/>
  <c r="BC9" i="5" l="1"/>
  <c r="BB8" i="5" l="1"/>
  <c r="BD9" i="5"/>
  <c r="BC8" i="5" l="1"/>
  <c r="BB7" i="5" l="1"/>
  <c r="BD8" i="5"/>
  <c r="BC7" i="5" l="1"/>
  <c r="BB6" i="5" l="1"/>
  <c r="BD7" i="5"/>
  <c r="C117" i="6" s="1" a="1"/>
  <c r="BC6" i="5" l="1"/>
  <c r="BG31" i="5"/>
  <c r="BG34" i="5" s="1"/>
  <c r="BG40" i="5" s="1"/>
  <c r="BG32" i="5"/>
  <c r="BG35" i="5" s="1"/>
  <c r="BG41" i="5" s="1"/>
  <c r="D119" i="6" s="1"/>
  <c r="BO7" i="5" l="1"/>
  <c r="BS12" i="5"/>
  <c r="BN44" i="5"/>
  <c r="BN52" i="5"/>
  <c r="BN66" i="5"/>
  <c r="BN80" i="5"/>
  <c r="BN94" i="5"/>
  <c r="C119" i="6"/>
  <c r="BN84" i="5"/>
  <c r="BN51" i="5"/>
  <c r="BN70" i="5"/>
  <c r="BN65" i="5"/>
  <c r="BN31" i="5"/>
  <c r="BN56" i="5"/>
  <c r="BN24" i="5"/>
  <c r="BN43" i="5"/>
  <c r="BN17" i="5"/>
  <c r="BN83" i="5"/>
  <c r="BN49" i="5"/>
  <c r="BS9" i="5"/>
  <c r="BQ11" i="5"/>
  <c r="BN21" i="5"/>
  <c r="BN32" i="5"/>
  <c r="BN25" i="5"/>
  <c r="BN50" i="5"/>
  <c r="BN74" i="5"/>
  <c r="BN53" i="5"/>
  <c r="BN67" i="5"/>
  <c r="BN46" i="5"/>
  <c r="BT8" i="5"/>
  <c r="BR4" i="5"/>
  <c r="BT5" i="5"/>
  <c r="BN18" i="5"/>
  <c r="BN9" i="5"/>
  <c r="BP10" i="5"/>
  <c r="BR11" i="5"/>
  <c r="BT12" i="5"/>
  <c r="BN48" i="5"/>
  <c r="BN57" i="5"/>
  <c r="BN71" i="5"/>
  <c r="BN85" i="5"/>
  <c r="BS8" i="5"/>
  <c r="BR7" i="5"/>
  <c r="BN12" i="5"/>
  <c r="BS4" i="5"/>
  <c r="BU5" i="5"/>
  <c r="BM8" i="5"/>
  <c r="BO9" i="5"/>
  <c r="BQ10" i="5"/>
  <c r="BS11" i="5"/>
  <c r="BU12" i="5"/>
  <c r="BN26" i="5"/>
  <c r="BN29" i="5"/>
  <c r="BN33" i="5"/>
  <c r="BN62" i="5"/>
  <c r="BN76" i="5"/>
  <c r="BN90" i="5"/>
  <c r="BT4" i="5"/>
  <c r="BN8" i="5"/>
  <c r="BP9" i="5"/>
  <c r="BR10" i="5"/>
  <c r="BT11" i="5"/>
  <c r="BN15" i="5"/>
  <c r="BN6" i="5"/>
  <c r="BP7" i="5"/>
  <c r="BN30" i="5"/>
  <c r="BN91" i="5"/>
  <c r="BN55" i="5"/>
  <c r="BN92" i="5"/>
  <c r="BN47" i="5"/>
  <c r="BN41" i="5"/>
  <c r="BN20" i="5"/>
  <c r="BN35" i="5"/>
  <c r="BN81" i="5"/>
  <c r="BN60" i="5"/>
  <c r="BN93" i="5"/>
  <c r="BN79" i="5"/>
  <c r="BT9" i="5"/>
  <c r="BN22" i="5"/>
  <c r="BN27" i="5"/>
  <c r="BN42" i="5"/>
  <c r="BU9" i="5"/>
  <c r="BM12" i="5"/>
  <c r="BU4" i="5"/>
  <c r="BM7" i="5"/>
  <c r="BO8" i="5"/>
  <c r="BQ9" i="5"/>
  <c r="BU10" i="5"/>
  <c r="BN40" i="5"/>
  <c r="BN39" i="5"/>
  <c r="BN78" i="5"/>
  <c r="BN64" i="5"/>
  <c r="BN88" i="5"/>
  <c r="BN37" i="5"/>
  <c r="BN69" i="5"/>
  <c r="BN28" i="5"/>
  <c r="BS10" i="5"/>
  <c r="BU11" i="5"/>
  <c r="BN45" i="5"/>
  <c r="BN58" i="5"/>
  <c r="BN72" i="5"/>
  <c r="BN86" i="5"/>
  <c r="BN16" i="5"/>
  <c r="BN7" i="5"/>
  <c r="BP8" i="5"/>
  <c r="BR9" i="5"/>
  <c r="BT10" i="5"/>
  <c r="BN63" i="5"/>
  <c r="BQ8" i="5"/>
  <c r="BN38" i="5"/>
  <c r="BN82" i="5"/>
  <c r="BP6" i="5"/>
  <c r="BQ6" i="5"/>
  <c r="BU8" i="5"/>
  <c r="BO12" i="5"/>
  <c r="BN4" i="5"/>
  <c r="BR6" i="5"/>
  <c r="BP12" i="5"/>
  <c r="BS6" i="5"/>
  <c r="BN77" i="5"/>
  <c r="BM6" i="5"/>
  <c r="BN54" i="5"/>
  <c r="BR8" i="5"/>
  <c r="BM4" i="5"/>
  <c r="BN73" i="5"/>
  <c r="BP5" i="5"/>
  <c r="BN11" i="5"/>
  <c r="BO4" i="5"/>
  <c r="BU7" i="5"/>
  <c r="BN87" i="5"/>
  <c r="BP4" i="5"/>
  <c r="BT6" i="5"/>
  <c r="BR12" i="5"/>
  <c r="BN23" i="5"/>
  <c r="BN34" i="5"/>
  <c r="BN68" i="5"/>
  <c r="BN59" i="5"/>
  <c r="BO5" i="5"/>
  <c r="BS7" i="5"/>
  <c r="BM11" i="5"/>
  <c r="BN5" i="5"/>
  <c r="BT7" i="5"/>
  <c r="BO6" i="5"/>
  <c r="BQ5" i="5"/>
  <c r="BM10" i="5"/>
  <c r="BO11" i="5"/>
  <c r="BQ12" i="5"/>
  <c r="BQ7" i="5"/>
  <c r="BR5" i="5"/>
  <c r="BN19" i="5"/>
  <c r="BN10" i="5"/>
  <c r="BP11" i="5"/>
  <c r="BN36" i="5"/>
  <c r="BN61" i="5"/>
  <c r="BN75" i="5"/>
  <c r="BN89" i="5"/>
  <c r="BM5" i="5"/>
  <c r="BQ4" i="5"/>
  <c r="BS5" i="5"/>
  <c r="BU6" i="5"/>
  <c r="BM9" i="5"/>
  <c r="BO10" i="5"/>
  <c r="BB5" i="5"/>
  <c r="BD6" i="5"/>
  <c r="C123" i="6" l="1"/>
  <c r="C122" i="6"/>
  <c r="BG26" i="5"/>
  <c r="BG25" i="5"/>
  <c r="BG20" i="5" a="1"/>
  <c r="BG19" i="5" a="1"/>
  <c r="BG23" i="5"/>
  <c r="BG18" i="5" a="1"/>
  <c r="BC5" i="5"/>
  <c r="C120" i="6" l="1"/>
  <c r="BG21" i="5"/>
  <c r="BB4" i="5"/>
  <c r="BD5" i="5"/>
  <c r="BC4" i="5" l="1"/>
  <c r="BD4" i="5" s="1"/>
  <c r="E90" i="1" s="1" a="1"/>
  <c r="E77" i="1" a="1"/>
  <c r="K77" i="1" l="1" a="1"/>
  <c r="BB71" i="9"/>
  <c r="BC71" i="9" s="1"/>
  <c r="BB70" i="9" s="1"/>
  <c r="BC70" i="9" s="1"/>
  <c r="BB69" i="9" s="1"/>
  <c r="BC69" i="9" s="1"/>
  <c r="BB68" i="9" s="1"/>
  <c r="BC68" i="9" s="1"/>
  <c r="BB67" i="9" s="1"/>
  <c r="BC67" i="9" s="1"/>
  <c r="BB66" i="9" s="1"/>
  <c r="BC66" i="9" s="1"/>
  <c r="BB65" i="9" s="1"/>
  <c r="BC65" i="9" s="1"/>
  <c r="BB64" i="9" s="1"/>
  <c r="BC64" i="9" s="1"/>
  <c r="BB63" i="9" s="1"/>
  <c r="BC63" i="9" s="1"/>
  <c r="BB62" i="9" s="1"/>
  <c r="BC62" i="9" s="1"/>
  <c r="BB61" i="9" s="1"/>
  <c r="BC61" i="9" s="1"/>
  <c r="BB60" i="9" s="1"/>
  <c r="BC60" i="9" s="1"/>
  <c r="BB59" i="9" s="1"/>
  <c r="BC59" i="9" s="1"/>
  <c r="BB58" i="9" s="1"/>
  <c r="BC58" i="9" s="1"/>
  <c r="BB57" i="9" s="1"/>
  <c r="BC57" i="9" s="1"/>
  <c r="BB56" i="9" s="1"/>
  <c r="BC56" i="9" s="1"/>
  <c r="BB55" i="9" s="1"/>
  <c r="BC55" i="9" s="1"/>
  <c r="BB54" i="9" s="1"/>
  <c r="BC54" i="9" s="1"/>
  <c r="BB53" i="9" s="1"/>
  <c r="BC53" i="9" s="1"/>
  <c r="BB52" i="9" s="1"/>
  <c r="BC52" i="9" s="1"/>
  <c r="BB51" i="9" s="1"/>
  <c r="BC51" i="9" s="1"/>
  <c r="BB50" i="9" s="1"/>
  <c r="BC50" i="9" s="1"/>
  <c r="BB49" i="9" s="1"/>
  <c r="BC49" i="9" s="1"/>
  <c r="BB48" i="9" s="1"/>
  <c r="BC48" i="9" s="1"/>
  <c r="BB47" i="9" s="1"/>
  <c r="BC47" i="9" s="1"/>
  <c r="BB46" i="9" s="1"/>
  <c r="BC46" i="9" s="1"/>
  <c r="BB45" i="9" s="1"/>
  <c r="BC45" i="9" s="1"/>
  <c r="BB44" i="9" s="1"/>
  <c r="BC44" i="9" s="1"/>
  <c r="BB43" i="9" s="1"/>
  <c r="BC43" i="9" s="1"/>
  <c r="BB42" i="9" s="1"/>
  <c r="BC42" i="9" s="1"/>
  <c r="BB41" i="9" s="1"/>
  <c r="BC41" i="9" s="1"/>
  <c r="BB40" i="9" s="1"/>
  <c r="BC40" i="9" s="1"/>
  <c r="BB39" i="9" s="1"/>
  <c r="BC39" i="9" s="1"/>
  <c r="BB38" i="9" s="1"/>
  <c r="BC38" i="9" s="1"/>
  <c r="BB37" i="9" s="1"/>
  <c r="BC37" i="9" s="1"/>
  <c r="BB36" i="9" s="1"/>
  <c r="BC36" i="9" s="1"/>
  <c r="BB35" i="9" s="1"/>
  <c r="BC35" i="9" s="1"/>
  <c r="BB34" i="9" s="1"/>
  <c r="BC34" i="9" s="1"/>
  <c r="BB33" i="9" s="1"/>
  <c r="BC33" i="9" s="1"/>
  <c r="BB32" i="9" s="1"/>
  <c r="BC32" i="9" s="1"/>
  <c r="BB31" i="9" s="1"/>
  <c r="BC31" i="9" s="1"/>
  <c r="BB30" i="9" s="1"/>
  <c r="BC30" i="9" s="1"/>
  <c r="BB29" i="9" s="1"/>
  <c r="BC29" i="9" s="1"/>
  <c r="BB28" i="9" s="1"/>
  <c r="BC28" i="9" s="1"/>
  <c r="BB27" i="9" s="1"/>
  <c r="BC27" i="9" s="1"/>
  <c r="BB26" i="9" s="1"/>
  <c r="BC26" i="9" s="1"/>
  <c r="BB25" i="9" s="1"/>
  <c r="BC25" i="9" s="1"/>
  <c r="BB24" i="9" s="1"/>
  <c r="BC24" i="9" s="1"/>
  <c r="BB23" i="9" s="1"/>
  <c r="BC23" i="9" s="1"/>
  <c r="BB22" i="9" s="1"/>
  <c r="BC22" i="9" s="1"/>
  <c r="BB21" i="9" s="1"/>
  <c r="BC21" i="9" s="1"/>
  <c r="BB20" i="9" s="1"/>
  <c r="BC20" i="9" s="1"/>
  <c r="BB19" i="9" s="1"/>
  <c r="BC19" i="9" s="1"/>
  <c r="BB18" i="9" s="1"/>
  <c r="BC18" i="9" s="1"/>
  <c r="BB17" i="9" s="1"/>
  <c r="BC17" i="9" s="1"/>
  <c r="BB16" i="9" s="1"/>
  <c r="BC16" i="9" s="1"/>
  <c r="BB15" i="9" s="1"/>
  <c r="BC15" i="9" s="1"/>
  <c r="BB14" i="9" s="1"/>
  <c r="BC14" i="9" s="1"/>
  <c r="BB13" i="9" s="1"/>
  <c r="BC13" i="9" s="1"/>
  <c r="BB12" i="9" s="1"/>
  <c r="BC12" i="9" s="1"/>
  <c r="AZ7" i="9" s="1"/>
  <c r="F93" i="1" a="1"/>
  <c r="F91" i="1" a="1"/>
  <c r="F99" i="1" a="1"/>
  <c r="F97" i="1" a="1"/>
  <c r="F90" i="1" s="1" a="1"/>
  <c r="F98" i="1" a="1"/>
  <c r="F96" i="1" a="1"/>
  <c r="F95" i="1" a="1"/>
  <c r="F94" i="1" a="1"/>
  <c r="F92" i="1" a="1"/>
  <c r="F77" i="1" a="1"/>
  <c r="F81" i="1" a="1"/>
  <c r="F83" i="1" a="1"/>
  <c r="F84" i="1" a="1"/>
  <c r="F85" i="1" a="1"/>
  <c r="F86" i="1" a="1"/>
  <c r="F78" i="1" a="1"/>
  <c r="F80" i="1" a="1"/>
  <c r="F79" i="1" a="1"/>
  <c r="F82" i="1" a="1"/>
  <c r="L85" i="1" l="1" a="1"/>
  <c r="L83" i="1" a="1"/>
  <c r="L77" i="1" s="1" a="1"/>
  <c r="L84" i="1" a="1"/>
  <c r="L82" i="1" a="1"/>
  <c r="L80" i="1" a="1"/>
  <c r="L78" i="1" a="1"/>
  <c r="L86" i="1" a="1"/>
  <c r="L81" i="1" a="1"/>
  <c r="L79" i="1"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Yann LECOMPTE</author>
  </authors>
  <commentList>
    <comment ref="BA15" authorId="0" shapeId="0" xr:uid="{CA9CBD50-B7D2-4437-903E-C325A81038B8}">
      <text>
        <r>
          <rPr>
            <b/>
            <sz val="9"/>
            <color indexed="81"/>
            <rFont val="Tahoma"/>
            <charset val="1"/>
          </rPr>
          <t>Yann LECOMPTE:</t>
        </r>
        <r>
          <rPr>
            <sz val="9"/>
            <color indexed="81"/>
            <rFont val="Tahoma"/>
            <charset val="1"/>
          </rPr>
          <t xml:space="preserve">
Un match a été rejoué</t>
        </r>
      </text>
    </comment>
    <comment ref="BA18" authorId="0" shapeId="0" xr:uid="{744B2D5E-31EF-4A8B-9638-F69C6B458F03}">
      <text>
        <r>
          <rPr>
            <b/>
            <sz val="9"/>
            <color indexed="81"/>
            <rFont val="Tahoma"/>
            <charset val="1"/>
          </rPr>
          <t>Yann LECOMPTE:</t>
        </r>
        <r>
          <rPr>
            <sz val="9"/>
            <color indexed="81"/>
            <rFont val="Tahoma"/>
            <charset val="1"/>
          </rPr>
          <t xml:space="preserve">
Un match a été rejoué</t>
        </r>
      </text>
    </comment>
    <comment ref="BA21" authorId="0" shapeId="0" xr:uid="{50B7D55A-9273-46B6-8F7A-4CA9B526DEE0}">
      <text>
        <r>
          <rPr>
            <b/>
            <sz val="9"/>
            <color indexed="81"/>
            <rFont val="Tahoma"/>
            <charset val="1"/>
          </rPr>
          <t>Yann LECOMPTE:</t>
        </r>
        <r>
          <rPr>
            <sz val="9"/>
            <color indexed="81"/>
            <rFont val="Tahoma"/>
            <charset val="1"/>
          </rPr>
          <t xml:space="preserve">
Pas de quart/semi/final mais une Poule Finale</t>
        </r>
      </text>
    </comment>
    <comment ref="BA22" authorId="0" shapeId="0" xr:uid="{0EF6063D-F94D-4A46-A82A-ED02E4BD5005}">
      <text>
        <r>
          <rPr>
            <b/>
            <sz val="9"/>
            <color indexed="81"/>
            <rFont val="Tahoma"/>
            <charset val="1"/>
          </rPr>
          <t>Yann LECOMPTE:</t>
        </r>
        <r>
          <rPr>
            <sz val="9"/>
            <color indexed="81"/>
            <rFont val="Tahoma"/>
            <charset val="1"/>
          </rPr>
          <t xml:space="preserve">
Pas de quart/semi/final mais une Poule Finale</t>
        </r>
      </text>
    </comment>
    <comment ref="BA23" authorId="0" shapeId="0" xr:uid="{B60A7F97-618C-49A2-9A34-7451C43A952D}">
      <text>
        <r>
          <rPr>
            <b/>
            <sz val="9"/>
            <color indexed="81"/>
            <rFont val="Tahoma"/>
            <charset val="1"/>
          </rPr>
          <t>Yann LECOMPTE:</t>
        </r>
        <r>
          <rPr>
            <sz val="9"/>
            <color indexed="81"/>
            <rFont val="Tahoma"/>
            <charset val="1"/>
          </rPr>
          <t xml:space="preserve">
Pas de quart/semi/final mais une Poule Finale</t>
        </r>
      </text>
    </comment>
    <comment ref="BA36" authorId="0" shapeId="0" xr:uid="{299904EA-C240-4D1C-B573-D30BBA7D09FD}">
      <text>
        <r>
          <rPr>
            <b/>
            <sz val="9"/>
            <color indexed="81"/>
            <rFont val="Tahoma"/>
            <charset val="1"/>
          </rPr>
          <t>Yann LECOMPTE:</t>
        </r>
        <r>
          <rPr>
            <sz val="9"/>
            <color indexed="81"/>
            <rFont val="Tahoma"/>
            <charset val="1"/>
          </rPr>
          <t xml:space="preserve">
Pas de quart/semi</t>
        </r>
      </text>
    </comment>
    <comment ref="BA37" authorId="0" shapeId="0" xr:uid="{E09A3FE0-F28E-4E40-8215-C6D66C9A40ED}">
      <text>
        <r>
          <rPr>
            <b/>
            <sz val="9"/>
            <color indexed="81"/>
            <rFont val="Tahoma"/>
            <charset val="1"/>
          </rPr>
          <t>Yann LECOMPTE:</t>
        </r>
        <r>
          <rPr>
            <sz val="9"/>
            <color indexed="81"/>
            <rFont val="Tahoma"/>
            <charset val="1"/>
          </rPr>
          <t xml:space="preserve">
Pas de quart/semi</t>
        </r>
      </text>
    </comment>
    <comment ref="BA39" authorId="0" shapeId="0" xr:uid="{83493657-4BE2-4E62-B491-ED9A6E69FDE7}">
      <text>
        <r>
          <rPr>
            <b/>
            <sz val="9"/>
            <color indexed="81"/>
            <rFont val="Tahoma"/>
            <charset val="1"/>
          </rPr>
          <t>Yann LECOMPTE:</t>
        </r>
        <r>
          <rPr>
            <sz val="9"/>
            <color indexed="81"/>
            <rFont val="Tahoma"/>
            <charset val="1"/>
          </rPr>
          <t xml:space="preserve">
Pas de quart/semi</t>
        </r>
      </text>
    </comment>
    <comment ref="BA40" authorId="0" shapeId="0" xr:uid="{F801707B-BB8C-4EEB-8B99-7523E4A47961}">
      <text>
        <r>
          <rPr>
            <b/>
            <sz val="9"/>
            <color indexed="81"/>
            <rFont val="Tahoma"/>
            <charset val="1"/>
          </rPr>
          <t>Yann LECOMPTE:</t>
        </r>
        <r>
          <rPr>
            <sz val="9"/>
            <color indexed="81"/>
            <rFont val="Tahoma"/>
            <charset val="1"/>
          </rPr>
          <t xml:space="preserve">
Pas de quart/semi</t>
        </r>
      </text>
    </comment>
    <comment ref="BA42" authorId="0" shapeId="0" xr:uid="{80E499E6-C10E-45A6-9663-3EA6E4AE4AA9}">
      <text>
        <r>
          <rPr>
            <b/>
            <sz val="9"/>
            <color indexed="81"/>
            <rFont val="Tahoma"/>
            <charset val="1"/>
          </rPr>
          <t>Yann LECOMPTE:</t>
        </r>
        <r>
          <rPr>
            <sz val="9"/>
            <color indexed="81"/>
            <rFont val="Tahoma"/>
            <charset val="1"/>
          </rPr>
          <t xml:space="preserve">
Pas de quart mais un second tour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Yann LECOMPTE</author>
  </authors>
  <commentList>
    <comment ref="F38" authorId="0" shapeId="0" xr:uid="{E08D3764-18B4-4CB7-B1AE-56F5CBFC702E}">
      <text>
        <r>
          <rPr>
            <b/>
            <sz val="9"/>
            <color indexed="81"/>
            <rFont val="Tahoma"/>
            <family val="2"/>
          </rPr>
          <t>Yann LECOMPTE:</t>
        </r>
        <r>
          <rPr>
            <sz val="9"/>
            <color indexed="81"/>
            <rFont val="Tahoma"/>
            <family val="2"/>
          </rPr>
          <t xml:space="preserve">
10 matchs manquants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<sst xmlns="http://schemas.openxmlformats.org/spreadsheetml/2006/main" count="20447" uniqueCount="4098">
  <si>
    <t>Nombre total de buts</t>
  </si>
  <si>
    <t>Moyenne de buts par match</t>
  </si>
  <si>
    <t>Plus grand nombre de buts dans un match</t>
  </si>
  <si>
    <t>Buts encaissés</t>
  </si>
  <si>
    <t>Différence de buts</t>
  </si>
  <si>
    <t>France</t>
  </si>
  <si>
    <t>USA</t>
  </si>
  <si>
    <t>Yugoslavia</t>
  </si>
  <si>
    <t>Romania</t>
  </si>
  <si>
    <t>Argentina</t>
  </si>
  <si>
    <t>Chile</t>
  </si>
  <si>
    <t>Uruguay</t>
  </si>
  <si>
    <t>Brazil</t>
  </si>
  <si>
    <t>Paraguay</t>
  </si>
  <si>
    <t>Austria</t>
  </si>
  <si>
    <t>Hungary</t>
  </si>
  <si>
    <t>Switzerland</t>
  </si>
  <si>
    <t>Sweden</t>
  </si>
  <si>
    <t>Germany</t>
  </si>
  <si>
    <t>Spain</t>
  </si>
  <si>
    <t>Italy</t>
  </si>
  <si>
    <t>Czechoslovakia</t>
  </si>
  <si>
    <t>Cuba</t>
  </si>
  <si>
    <t>England</t>
  </si>
  <si>
    <t>Germany FR</t>
  </si>
  <si>
    <t>Turkey</t>
  </si>
  <si>
    <t>Soviet Union</t>
  </si>
  <si>
    <t>Northern Ireland</t>
  </si>
  <si>
    <t>Mexico</t>
  </si>
  <si>
    <t>Wales</t>
  </si>
  <si>
    <t>Portugal</t>
  </si>
  <si>
    <t>Korea DPR</t>
  </si>
  <si>
    <t>Peru</t>
  </si>
  <si>
    <t>Belgium</t>
  </si>
  <si>
    <t>Bulgaria</t>
  </si>
  <si>
    <t>German DR</t>
  </si>
  <si>
    <t>Zaire</t>
  </si>
  <si>
    <t>Poland</t>
  </si>
  <si>
    <t>Australia</t>
  </si>
  <si>
    <t>Scotland</t>
  </si>
  <si>
    <t>Netherlands</t>
  </si>
  <si>
    <t>Haiti</t>
  </si>
  <si>
    <t>Tunisia</t>
  </si>
  <si>
    <t>Algeria</t>
  </si>
  <si>
    <t>Honduras</t>
  </si>
  <si>
    <t>Canada</t>
  </si>
  <si>
    <t>Morocco</t>
  </si>
  <si>
    <t>South Korea</t>
  </si>
  <si>
    <t>Iraq</t>
  </si>
  <si>
    <t>Denmark</t>
  </si>
  <si>
    <t>Costa Rica</t>
  </si>
  <si>
    <t>Cameroon</t>
  </si>
  <si>
    <t>Republic of Ireland</t>
  </si>
  <si>
    <t>Colombia</t>
  </si>
  <si>
    <t>Norway</t>
  </si>
  <si>
    <t>Nigeria</t>
  </si>
  <si>
    <t>Saudi Arabia</t>
  </si>
  <si>
    <t>Bolivia</t>
  </si>
  <si>
    <t>Russia</t>
  </si>
  <si>
    <t>Greece</t>
  </si>
  <si>
    <t>Jamaica</t>
  </si>
  <si>
    <t>South Africa</t>
  </si>
  <si>
    <t>Japan</t>
  </si>
  <si>
    <t>Croatia</t>
  </si>
  <si>
    <t>China PR</t>
  </si>
  <si>
    <t>Senegal</t>
  </si>
  <si>
    <t>Slovenia</t>
  </si>
  <si>
    <t>Ecuador</t>
  </si>
  <si>
    <t>Angola</t>
  </si>
  <si>
    <t>Czech Republic</t>
  </si>
  <si>
    <t>Togo</t>
  </si>
  <si>
    <t>Iran</t>
  </si>
  <si>
    <t>Côte d'Ivoire</t>
  </si>
  <si>
    <t>Ghana</t>
  </si>
  <si>
    <t>Ukraine</t>
  </si>
  <si>
    <t>Serbia</t>
  </si>
  <si>
    <t>New Zealand</t>
  </si>
  <si>
    <t>Slovakia</t>
  </si>
  <si>
    <t>Bosnia and Herzegovina</t>
  </si>
  <si>
    <t>Egypt</t>
  </si>
  <si>
    <t>Iceland</t>
  </si>
  <si>
    <t>Panama</t>
  </si>
  <si>
    <t>Qatar</t>
  </si>
  <si>
    <t>Uzbekistan</t>
  </si>
  <si>
    <t>Curaçao</t>
  </si>
  <si>
    <t>Cabo Verde</t>
  </si>
  <si>
    <t>FIFA World Cup Analytics – Excel Business Intelligence Project</t>
  </si>
  <si>
    <t>OVERVIEW</t>
  </si>
  <si>
    <t>BUSINESS OBJECTIVE</t>
  </si>
  <si>
    <t>DATASET</t>
  </si>
  <si>
    <t>EXCEL SKILLS DEMONSTRATED</t>
  </si>
  <si>
    <t>AUTHOR</t>
  </si>
  <si>
    <t>Yann Lecompte
Business Intelligence &amp; Data Analytics Portfolio
Current learning path:
Excel → SQL → Power BI → Microsoft Fabric</t>
  </si>
  <si>
    <t>Tournament_Year</t>
  </si>
  <si>
    <t>Match_Stage</t>
  </si>
  <si>
    <t>Team_A</t>
  </si>
  <si>
    <t>Team_B</t>
  </si>
  <si>
    <t>Shooter_Team</t>
  </si>
  <si>
    <t>Shooter_Name</t>
  </si>
  <si>
    <t>Goalkeeper_Name</t>
  </si>
  <si>
    <t>Kick_Number</t>
  </si>
  <si>
    <t>Team_Kick_Number</t>
  </si>
  <si>
    <t>Score_Before_Kick</t>
  </si>
  <si>
    <t>Is_Must_Score</t>
  </si>
  <si>
    <t>Is_Winning_Kick</t>
  </si>
  <si>
    <t>Shoot_Outcome</t>
  </si>
  <si>
    <t>Semi-finals</t>
  </si>
  <si>
    <t>West Germany</t>
  </si>
  <si>
    <t>Alain Giresse</t>
  </si>
  <si>
    <t>Harald Schumacher</t>
  </si>
  <si>
    <t>'0-0</t>
  </si>
  <si>
    <t>No</t>
  </si>
  <si>
    <t>Goal</t>
  </si>
  <si>
    <t>Manfred Kaltz</t>
  </si>
  <si>
    <t>Jean-Luc Ettori</t>
  </si>
  <si>
    <t>'0-1</t>
  </si>
  <si>
    <t>Manuel Amoros</t>
  </si>
  <si>
    <t>'1-1</t>
  </si>
  <si>
    <t>Paul Breitner</t>
  </si>
  <si>
    <t>'1-2</t>
  </si>
  <si>
    <t>Dominique Rocheteau</t>
  </si>
  <si>
    <t>'2-2</t>
  </si>
  <si>
    <t>Uli Stielike</t>
  </si>
  <si>
    <t>'2-3</t>
  </si>
  <si>
    <t>Saved</t>
  </si>
  <si>
    <t>Didier Six</t>
  </si>
  <si>
    <t>Pierre Littbarski</t>
  </si>
  <si>
    <t>Michel Platini</t>
  </si>
  <si>
    <t>'3-3</t>
  </si>
  <si>
    <t>Karl-Heinz Rummenigge</t>
  </si>
  <si>
    <t>'3-4</t>
  </si>
  <si>
    <t>Yes</t>
  </si>
  <si>
    <t>Maxime Bossis</t>
  </si>
  <si>
    <t>'4-4</t>
  </si>
  <si>
    <t>Horst Hrubesch</t>
  </si>
  <si>
    <t>Quarter-finals</t>
  </si>
  <si>
    <t>Franky Vercauteren</t>
  </si>
  <si>
    <t>Andoni Zubizarreta</t>
  </si>
  <si>
    <t>Señor</t>
  </si>
  <si>
    <t>Jean-Marie Pfaff</t>
  </si>
  <si>
    <t>'1-0</t>
  </si>
  <si>
    <t>Enzo Scifo</t>
  </si>
  <si>
    <t>Eloy Olaya</t>
  </si>
  <si>
    <t>Hugo Broos</t>
  </si>
  <si>
    <t>Chendo</t>
  </si>
  <si>
    <t>'1-3</t>
  </si>
  <si>
    <t>Stephane Demol</t>
  </si>
  <si>
    <t>Butragueño</t>
  </si>
  <si>
    <t>'2-4</t>
  </si>
  <si>
    <t>Leo Van Der Elst</t>
  </si>
  <si>
    <t>Sócrates</t>
  </si>
  <si>
    <t>Joël Bats</t>
  </si>
  <si>
    <t>Yannick Stopyra</t>
  </si>
  <si>
    <t>Carlos</t>
  </si>
  <si>
    <t>Alemão</t>
  </si>
  <si>
    <t>Zico</t>
  </si>
  <si>
    <t>'2-1</t>
  </si>
  <si>
    <t>Bruno Bellone</t>
  </si>
  <si>
    <t>Branco</t>
  </si>
  <si>
    <t>'3-2</t>
  </si>
  <si>
    <t>Missed</t>
  </si>
  <si>
    <t>Júlio César</t>
  </si>
  <si>
    <t>Luis Fernández</t>
  </si>
  <si>
    <t>Klaus Allofs</t>
  </si>
  <si>
    <t>Pablo Larios</t>
  </si>
  <si>
    <t>Manuel Negrete</t>
  </si>
  <si>
    <t>Andreas Brehme</t>
  </si>
  <si>
    <t>Fernando Quirarte</t>
  </si>
  <si>
    <t>Lothar Matthäus</t>
  </si>
  <si>
    <t>Raúl Servín</t>
  </si>
  <si>
    <t>Round of 16</t>
  </si>
  <si>
    <t>Kevin Sheedy</t>
  </si>
  <si>
    <t>Silviu Lung</t>
  </si>
  <si>
    <t>Gheorghe Hagi</t>
  </si>
  <si>
    <t>Pat Bonner</t>
  </si>
  <si>
    <t>Ray Houghton</t>
  </si>
  <si>
    <t>Dănuț Lupu</t>
  </si>
  <si>
    <t>Andy Townsend</t>
  </si>
  <si>
    <t>Ioan Sabău</t>
  </si>
  <si>
    <t>Tony Cascarino</t>
  </si>
  <si>
    <t>Ioan Lupescu</t>
  </si>
  <si>
    <t>David O'Leary</t>
  </si>
  <si>
    <t>Daniel Timofte</t>
  </si>
  <si>
    <t>'4-5</t>
  </si>
  <si>
    <t>José Serrizuela</t>
  </si>
  <si>
    <t>Tomislav Ivković</t>
  </si>
  <si>
    <t>Dragan Stojković</t>
  </si>
  <si>
    <t>Sergio Goycochea</t>
  </si>
  <si>
    <t>Jorge Burruchaga</t>
  </si>
  <si>
    <t>Robert Prosinečki</t>
  </si>
  <si>
    <t>'2-0</t>
  </si>
  <si>
    <t>Diego Maradona</t>
  </si>
  <si>
    <t>Dejan Savićević</t>
  </si>
  <si>
    <t>Pedro Troglio</t>
  </si>
  <si>
    <t>Dragoljub Brnović</t>
  </si>
  <si>
    <t>Gustavo Dezotti</t>
  </si>
  <si>
    <t>Faruk Hadžibegić</t>
  </si>
  <si>
    <t>Franco Baresi</t>
  </si>
  <si>
    <t>Walter Zenga</t>
  </si>
  <si>
    <t>Roberto Baggio</t>
  </si>
  <si>
    <t>Luigi De Agostini</t>
  </si>
  <si>
    <t>Julio Olarticoechea</t>
  </si>
  <si>
    <t>Roberto Donadoni</t>
  </si>
  <si>
    <t>Aldo Serena</t>
  </si>
  <si>
    <t>'4-3</t>
  </si>
  <si>
    <t>Peter Shilton</t>
  </si>
  <si>
    <t>Gary Lineker</t>
  </si>
  <si>
    <t>Bodo Illgner</t>
  </si>
  <si>
    <t>Peter Beardsley</t>
  </si>
  <si>
    <t>Karl-Heinz Riedle</t>
  </si>
  <si>
    <t>David Platt</t>
  </si>
  <si>
    <t>Olaf Thon</t>
  </si>
  <si>
    <t>Stuart Pearce</t>
  </si>
  <si>
    <t>Chris Waddle</t>
  </si>
  <si>
    <t>Krasimir Balakov</t>
  </si>
  <si>
    <t>Jorge Campos</t>
  </si>
  <si>
    <t>Alberto García Aspe</t>
  </si>
  <si>
    <t>Borislav Mihaylov</t>
  </si>
  <si>
    <t>Boncho Genchev</t>
  </si>
  <si>
    <t>Marcelino Bernal</t>
  </si>
  <si>
    <t>Daniel Borimirov</t>
  </si>
  <si>
    <t>Jorge Rodríguez</t>
  </si>
  <si>
    <t>'0-2</t>
  </si>
  <si>
    <t>Yordan Letchkov</t>
  </si>
  <si>
    <t>Claudio Suárez</t>
  </si>
  <si>
    <t>Håkan Mild</t>
  </si>
  <si>
    <t>Florian Prunea</t>
  </si>
  <si>
    <t>Radu Răducioiu</t>
  </si>
  <si>
    <t>Thomas Ravelli</t>
  </si>
  <si>
    <t>Kennet Andersson</t>
  </si>
  <si>
    <t>Tomas Brolin</t>
  </si>
  <si>
    <t>Klas Ingesson</t>
  </si>
  <si>
    <t>Dan Petrescu</t>
  </si>
  <si>
    <t>Roland Nilsson</t>
  </si>
  <si>
    <t>Ilie Dumitrescu</t>
  </si>
  <si>
    <t>Henrik Larsson</t>
  </si>
  <si>
    <t>Miodrag Belodedici</t>
  </si>
  <si>
    <t>'5-4</t>
  </si>
  <si>
    <t>Final</t>
  </si>
  <si>
    <t>Taffarel</t>
  </si>
  <si>
    <t>Márcio Santos</t>
  </si>
  <si>
    <t>Gianluca Pagliuca</t>
  </si>
  <si>
    <t>Demetrio Albertini</t>
  </si>
  <si>
    <t>Romário</t>
  </si>
  <si>
    <t>Alberico Evani</t>
  </si>
  <si>
    <t>Daniele Massaro</t>
  </si>
  <si>
    <t>Dunga</t>
  </si>
  <si>
    <t>Alan Shearer</t>
  </si>
  <si>
    <t>Carlos Roa</t>
  </si>
  <si>
    <t>Sergio Berti</t>
  </si>
  <si>
    <t>Paul Ince</t>
  </si>
  <si>
    <t>Hernán Crespo</t>
  </si>
  <si>
    <t>David Seaman</t>
  </si>
  <si>
    <t>Paul Merson</t>
  </si>
  <si>
    <t>Juan Sebastián Verón</t>
  </si>
  <si>
    <t>Michael Owen</t>
  </si>
  <si>
    <t>Marcelo Gallardo</t>
  </si>
  <si>
    <t>David Batty</t>
  </si>
  <si>
    <t>Zinedine Zidane</t>
  </si>
  <si>
    <t>Fabien Barthez</t>
  </si>
  <si>
    <t>Bixente Lizarazu</t>
  </si>
  <si>
    <t>David Trezeguet</t>
  </si>
  <si>
    <t>Alessandro Costacurta</t>
  </si>
  <si>
    <t>Thierry Henry</t>
  </si>
  <si>
    <t>Christian Vieri</t>
  </si>
  <si>
    <t>Laurent Blanc</t>
  </si>
  <si>
    <t>Luigi Di Biagio</t>
  </si>
  <si>
    <t>Ronaldo</t>
  </si>
  <si>
    <t>Edwin van der Sar</t>
  </si>
  <si>
    <t>Frank de Boer</t>
  </si>
  <si>
    <t>Rivaldo</t>
  </si>
  <si>
    <t>Dennis Bergkamp</t>
  </si>
  <si>
    <t>Emerson</t>
  </si>
  <si>
    <t>Phillip Cocu</t>
  </si>
  <si>
    <t>Ronald de Boer</t>
  </si>
  <si>
    <t>Robbie Keane</t>
  </si>
  <si>
    <t>Iker Casillas</t>
  </si>
  <si>
    <t>Ian Harte</t>
  </si>
  <si>
    <t>Rubén Baraja</t>
  </si>
  <si>
    <t>Shay Given</t>
  </si>
  <si>
    <t>David Connolly</t>
  </si>
  <si>
    <t>Juanfran</t>
  </si>
  <si>
    <t>Kevin Kilbane</t>
  </si>
  <si>
    <t>Juan Carlos Valerón</t>
  </si>
  <si>
    <t>Matt Holland</t>
  </si>
  <si>
    <t>Gaizka Mendieta</t>
  </si>
  <si>
    <t>Joaquín</t>
  </si>
  <si>
    <t>Lee Woon-jae</t>
  </si>
  <si>
    <t>Hwang Sun-hong</t>
  </si>
  <si>
    <t>Park Ji-sung</t>
  </si>
  <si>
    <t>Xavi</t>
  </si>
  <si>
    <t>Seol Ki-hyeon</t>
  </si>
  <si>
    <t>Fernando Morientes</t>
  </si>
  <si>
    <t>Ahn Jung-hwan</t>
  </si>
  <si>
    <t>Hong Myung-bo</t>
  </si>
  <si>
    <t>Andriy Shevchenko</t>
  </si>
  <si>
    <t>Pascal Zuberbühler</t>
  </si>
  <si>
    <t>Marco Streller</t>
  </si>
  <si>
    <t>Oleksandr Shovkovskyi</t>
  </si>
  <si>
    <t>Artem Milevskyi</t>
  </si>
  <si>
    <t>Tranquillo Barnetta</t>
  </si>
  <si>
    <t>Serhiy Rebrov</t>
  </si>
  <si>
    <t>Ricardo Cabanas</t>
  </si>
  <si>
    <t>Oleh Husyev</t>
  </si>
  <si>
    <t>Oliver Neuville</t>
  </si>
  <si>
    <t>Leonardo Franco</t>
  </si>
  <si>
    <t>Julio Ricardo Cruz</t>
  </si>
  <si>
    <t>Jens Lehmann</t>
  </si>
  <si>
    <t>Michael Ballack</t>
  </si>
  <si>
    <t>Roberto Ayala</t>
  </si>
  <si>
    <t>Lukas Podolski</t>
  </si>
  <si>
    <t>Maxi Rodríguez</t>
  </si>
  <si>
    <t>Tim Borowski</t>
  </si>
  <si>
    <t>Esteban Cambiasso</t>
  </si>
  <si>
    <t>Simão Sabrosa</t>
  </si>
  <si>
    <t>Paul Robinson</t>
  </si>
  <si>
    <t>Frank Lampard</t>
  </si>
  <si>
    <t>Ricardo</t>
  </si>
  <si>
    <t>Hugo Viana</t>
  </si>
  <si>
    <t>Owen Hargreaves</t>
  </si>
  <si>
    <t>Petit</t>
  </si>
  <si>
    <t>Steven Gerrard</t>
  </si>
  <si>
    <t>Hélder Postiga</t>
  </si>
  <si>
    <t>Jamie Carragher</t>
  </si>
  <si>
    <t>Cristiano Ronaldo</t>
  </si>
  <si>
    <t>Andrea Pirlo</t>
  </si>
  <si>
    <t>Sylvain Wiltord</t>
  </si>
  <si>
    <t>Gianluigi Buffon</t>
  </si>
  <si>
    <t>Marco Materazzi</t>
  </si>
  <si>
    <t>Daniele De Rossi</t>
  </si>
  <si>
    <t>Éric Abidal</t>
  </si>
  <si>
    <t>Alessandro Del Piero</t>
  </si>
  <si>
    <t>Willy Sagnol</t>
  </si>
  <si>
    <t>Fabio Grosso</t>
  </si>
  <si>
    <t>Édgar Barreto</t>
  </si>
  <si>
    <t>Eiji Kawashima</t>
  </si>
  <si>
    <t>Yasuhito Endō</t>
  </si>
  <si>
    <t>Justo Villar</t>
  </si>
  <si>
    <t>Lucas Barrios</t>
  </si>
  <si>
    <t>Yuki Abe</t>
  </si>
  <si>
    <t>Cristian Riveros</t>
  </si>
  <si>
    <t>Yuichi Komano</t>
  </si>
  <si>
    <t>Nelson Valdez</t>
  </si>
  <si>
    <t>Keisuke Honda</t>
  </si>
  <si>
    <t>Óscar Cardozo</t>
  </si>
  <si>
    <t>Diego Forlán</t>
  </si>
  <si>
    <t>Richard Kingson</t>
  </si>
  <si>
    <t>Asamoah Gyan</t>
  </si>
  <si>
    <t>Fernando Muslera</t>
  </si>
  <si>
    <t>Mauricio Victorino</t>
  </si>
  <si>
    <t>Appiah</t>
  </si>
  <si>
    <t>Andrés Scotti</t>
  </si>
  <si>
    <t>John Mensah</t>
  </si>
  <si>
    <t>Maxi Pereira</t>
  </si>
  <si>
    <t>Dominic Adiyiah</t>
  </si>
  <si>
    <t>Sebastián Abreu</t>
  </si>
  <si>
    <t>David Luiz</t>
  </si>
  <si>
    <t>Claudio Bravo</t>
  </si>
  <si>
    <t>Mauricio Pinilla</t>
  </si>
  <si>
    <t>Willian</t>
  </si>
  <si>
    <t>Alexis Sánchez</t>
  </si>
  <si>
    <t>Marcelo</t>
  </si>
  <si>
    <t>Charles Aránguiz</t>
  </si>
  <si>
    <t>Hulk</t>
  </si>
  <si>
    <t>Marcelo Díaz</t>
  </si>
  <si>
    <t>Neymar</t>
  </si>
  <si>
    <t>Gonzalo Jara</t>
  </si>
  <si>
    <t>Celso Borges</t>
  </si>
  <si>
    <t>Orestis Karnezis</t>
  </si>
  <si>
    <t>Mitroglou</t>
  </si>
  <si>
    <t>Keylor Navas</t>
  </si>
  <si>
    <t>Bryan Ruiz</t>
  </si>
  <si>
    <t>Lazaros Christodoulopoulos</t>
  </si>
  <si>
    <t>Giancarlo González</t>
  </si>
  <si>
    <t>José Holebas</t>
  </si>
  <si>
    <t>Joel Campbell</t>
  </si>
  <si>
    <t>Theofanis Gekas</t>
  </si>
  <si>
    <t>Michael Umaña</t>
  </si>
  <si>
    <t>Robin van Persie</t>
  </si>
  <si>
    <t>Tim Krul</t>
  </si>
  <si>
    <t>Arjen Robben</t>
  </si>
  <si>
    <t>Wesley Sneijder</t>
  </si>
  <si>
    <t>Dirk Kuyt</t>
  </si>
  <si>
    <t>Ron Vlaar</t>
  </si>
  <si>
    <t>Sergio Romero</t>
  </si>
  <si>
    <t>Lionel Messi</t>
  </si>
  <si>
    <t>Jasper Cillessen</t>
  </si>
  <si>
    <t>Ezequiel Garay</t>
  </si>
  <si>
    <t>Sergio Agüero</t>
  </si>
  <si>
    <t>'3-1</t>
  </si>
  <si>
    <t>Radamel Falcao</t>
  </si>
  <si>
    <t>Jordan Pickford</t>
  </si>
  <si>
    <t>Harry Kane</t>
  </si>
  <si>
    <t>David Ospina</t>
  </si>
  <si>
    <t>Juan Cuadrado</t>
  </si>
  <si>
    <t>Marcus Rashford</t>
  </si>
  <si>
    <t>Luis Muriel</t>
  </si>
  <si>
    <t>Jordan Henderson</t>
  </si>
  <si>
    <t>Mateus Uribe</t>
  </si>
  <si>
    <t>Kieran Trippier</t>
  </si>
  <si>
    <t>Carlos Bacca</t>
  </si>
  <si>
    <t>Eric Dier</t>
  </si>
  <si>
    <t>Christian Eriksen</t>
  </si>
  <si>
    <t>Danijel Subašić</t>
  </si>
  <si>
    <t>Milan Badelj</t>
  </si>
  <si>
    <t>Kasper Schmeichel</t>
  </si>
  <si>
    <t>Simon Kjær</t>
  </si>
  <si>
    <t>Andrej Kramarić</t>
  </si>
  <si>
    <t>Michael Krohn-Dehli</t>
  </si>
  <si>
    <t>Luka Modrić</t>
  </si>
  <si>
    <t>Lasse Schöne</t>
  </si>
  <si>
    <t>Josip Pivarić</t>
  </si>
  <si>
    <t>Nicolai Jørgensen</t>
  </si>
  <si>
    <t>Ivan Rakitić</t>
  </si>
  <si>
    <t>Andrés Iniesta</t>
  </si>
  <si>
    <t>Igor Akinfeev</t>
  </si>
  <si>
    <t>Fedor Smolov</t>
  </si>
  <si>
    <t>David de Gea</t>
  </si>
  <si>
    <t>Gerard Piqué</t>
  </si>
  <si>
    <t>Sergey Ignashevich</t>
  </si>
  <si>
    <t>Koke</t>
  </si>
  <si>
    <t>Aleksandr Golovin</t>
  </si>
  <si>
    <t>Iago Aspas</t>
  </si>
  <si>
    <t>Denis Cheryshev</t>
  </si>
  <si>
    <t>Marcelo Brozović</t>
  </si>
  <si>
    <t>Alan Dzagoev</t>
  </si>
  <si>
    <t>Mateo Kovačić</t>
  </si>
  <si>
    <t>Mário Fernandes</t>
  </si>
  <si>
    <t>Domagoj Vida</t>
  </si>
  <si>
    <t>Daler Kuzyayev</t>
  </si>
  <si>
    <t>Takumi Minamino</t>
  </si>
  <si>
    <t>Dominik Livaković</t>
  </si>
  <si>
    <t>Nikola Vlašić</t>
  </si>
  <si>
    <t>Shūichi Gonda</t>
  </si>
  <si>
    <t>Kaoru Mitoma</t>
  </si>
  <si>
    <t>Takuma Asano</t>
  </si>
  <si>
    <t>Marko Livaja</t>
  </si>
  <si>
    <t>Maya Yoshida</t>
  </si>
  <si>
    <t>Mario Pašalić</t>
  </si>
  <si>
    <t>Abdelhamid Sabiri</t>
  </si>
  <si>
    <t>Unai Simón</t>
  </si>
  <si>
    <t>Pablo Sarabia</t>
  </si>
  <si>
    <t>Yassine Bounou</t>
  </si>
  <si>
    <t>Hakim Ziyech</t>
  </si>
  <si>
    <t>Carlos Soler</t>
  </si>
  <si>
    <t>Badr Benoun</t>
  </si>
  <si>
    <t>Sergio Busquets</t>
  </si>
  <si>
    <t>Achraf Hakimi</t>
  </si>
  <si>
    <t>Alisson</t>
  </si>
  <si>
    <t>Rodrygo</t>
  </si>
  <si>
    <t>Lovro Majer</t>
  </si>
  <si>
    <t>Casemiro</t>
  </si>
  <si>
    <t>Pedro</t>
  </si>
  <si>
    <t>Mislav Oršić</t>
  </si>
  <si>
    <t>Marquinhos</t>
  </si>
  <si>
    <t>Virgil van Dijk</t>
  </si>
  <si>
    <t>Emiliano Martínez</t>
  </si>
  <si>
    <t>Andries Noppert</t>
  </si>
  <si>
    <t>Steven Berghuis</t>
  </si>
  <si>
    <t>Leandro Paredes</t>
  </si>
  <si>
    <t>Teun Koopmeiners</t>
  </si>
  <si>
    <t>Gonzalo Montiel</t>
  </si>
  <si>
    <t>Wout Weghorst</t>
  </si>
  <si>
    <t>Enzo Fernández</t>
  </si>
  <si>
    <t>Luuk de Jong</t>
  </si>
  <si>
    <t>Lautaro Martínez</t>
  </si>
  <si>
    <t>Kylian Mbappé</t>
  </si>
  <si>
    <t>Hugo Lloris</t>
  </si>
  <si>
    <t>Kingsley Coman</t>
  </si>
  <si>
    <t>Paulo Dybala</t>
  </si>
  <si>
    <t>Aurélien Tchouaméni</t>
  </si>
  <si>
    <t>Randal Kolo Muani</t>
  </si>
  <si>
    <t>Round of 32</t>
  </si>
  <si>
    <t>Florian Wirtz</t>
  </si>
  <si>
    <t>Roberto Fernández</t>
  </si>
  <si>
    <t>0-0</t>
  </si>
  <si>
    <t>Julio Enciso</t>
  </si>
  <si>
    <t>Marc-André ter Stegen</t>
  </si>
  <si>
    <t>1-0</t>
  </si>
  <si>
    <t>Kai Havertz</t>
  </si>
  <si>
    <t>1-1</t>
  </si>
  <si>
    <t>Miss</t>
  </si>
  <si>
    <t>Miguel Almirón</t>
  </si>
  <si>
    <t>Jamal Musiala</t>
  </si>
  <si>
    <t>1-2</t>
  </si>
  <si>
    <t>Mathias Villasanti</t>
  </si>
  <si>
    <t>2-2</t>
  </si>
  <si>
    <t>Niclas Füllkrug</t>
  </si>
  <si>
    <t>2-3</t>
  </si>
  <si>
    <t>Ramón Sosa</t>
  </si>
  <si>
    <t>3-3</t>
  </si>
  <si>
    <t>Joshua Kimmich</t>
  </si>
  <si>
    <t>Gustavo Gómez</t>
  </si>
  <si>
    <t>Cody Gakpo</t>
  </si>
  <si>
    <t>Bart Verbruggen</t>
  </si>
  <si>
    <t>Xavi Simons</t>
  </si>
  <si>
    <t>Tijjani Reijnders</t>
  </si>
  <si>
    <t>Sofyan Amrabat</t>
  </si>
  <si>
    <t>Donyell Malen</t>
  </si>
  <si>
    <t>Youssef En-Nesyri</t>
  </si>
  <si>
    <t>Jeremie Frimpong</t>
  </si>
  <si>
    <t>Harry Souttar</t>
  </si>
  <si>
    <t>Mohamed El Shenawy</t>
  </si>
  <si>
    <t>Mostafa Mohamed</t>
  </si>
  <si>
    <t>Mathew Ryan</t>
  </si>
  <si>
    <t>Jackson Irvine</t>
  </si>
  <si>
    <t>0-1</t>
  </si>
  <si>
    <t>Omar Marmoush</t>
  </si>
  <si>
    <t>Craig Goodwin</t>
  </si>
  <si>
    <t>Trezeguet</t>
  </si>
  <si>
    <t>Riley McGree</t>
  </si>
  <si>
    <t>Mohamed Salah</t>
  </si>
  <si>
    <t>Manuel Akanji</t>
  </si>
  <si>
    <t>Camilo Vargas</t>
  </si>
  <si>
    <t>Luis Díaz</t>
  </si>
  <si>
    <t>Yann Sommer</t>
  </si>
  <si>
    <t>Granit Xhaka</t>
  </si>
  <si>
    <t>James Rodríguez</t>
  </si>
  <si>
    <t>2-1</t>
  </si>
  <si>
    <t>Remo Freuler</t>
  </si>
  <si>
    <t>Jhon Durán</t>
  </si>
  <si>
    <t>3-1</t>
  </si>
  <si>
    <t>Breel Embolo</t>
  </si>
  <si>
    <t>3-2</t>
  </si>
  <si>
    <t>Daniel Muñoz</t>
  </si>
  <si>
    <t>Zeki Amdouni</t>
  </si>
  <si>
    <t>Country</t>
  </si>
  <si>
    <t>Cape Verde</t>
  </si>
  <si>
    <t>DR Congo</t>
  </si>
  <si>
    <t>Jordan</t>
  </si>
  <si>
    <t>Republic of Korea</t>
  </si>
  <si>
    <t>Field</t>
  </si>
  <si>
    <t>Data Type</t>
  </si>
  <si>
    <t>Description</t>
  </si>
  <si>
    <t>Example</t>
  </si>
  <si>
    <t>Text</t>
  </si>
  <si>
    <t>National team represented in the FIFA World Cup dataset.</t>
  </si>
  <si>
    <t>2026_Average_Age</t>
  </si>
  <si>
    <t>Decimal</t>
  </si>
  <si>
    <t>Average age of the national team's squad selected for the 2026 FIFA World Cup.</t>
  </si>
  <si>
    <t>27.4</t>
  </si>
  <si>
    <t>2026_Unique_Clubs_Represented</t>
  </si>
  <si>
    <t>Integer</t>
  </si>
  <si>
    <t>Number of different football clubs represented by players in the 2026 squad.</t>
  </si>
  <si>
    <t>Historical_Matches_Played</t>
  </si>
  <si>
    <t>Total number of FIFA World Cup matches played by the country since its first participation.</t>
  </si>
  <si>
    <t>Historical_Goals_Scored</t>
  </si>
  <si>
    <t>Total number of goals scored by the country in FIFA World Cup history.</t>
  </si>
  <si>
    <t>Dataset : Penalty Shootouts</t>
  </si>
  <si>
    <t>FIFA World Cup edition in which the penalty shootout occurred.</t>
  </si>
  <si>
    <t>Tournament stage where the shootout took place.</t>
  </si>
  <si>
    <t>First team involved in the penalty shootout.</t>
  </si>
  <si>
    <t>Second team involved in the penalty shootout.</t>
  </si>
  <si>
    <t>Team of the player taking the penalty kick.</t>
  </si>
  <si>
    <t>Name of the player taking the penalty kick.</t>
  </si>
  <si>
    <t>Name of the goalkeeper facing the penalty.</t>
  </si>
  <si>
    <t>Overall order of the penalty kick during the shootout.</t>
  </si>
  <si>
    <t>Order of the kick for the player's own team.</t>
  </si>
  <si>
    <t>Penalty shootout score before the kick was taken.</t>
  </si>
  <si>
    <t>3–2</t>
  </si>
  <si>
    <t>Boolean</t>
  </si>
  <si>
    <t>Indicates whether the player had to score to keep the team alive.</t>
  </si>
  <si>
    <t>TRUE</t>
  </si>
  <si>
    <t>Indicates whether the kick secured the victory.</t>
  </si>
  <si>
    <t>FALSE</t>
  </si>
  <si>
    <t>Result of the penalty kick.</t>
  </si>
  <si>
    <t>Goal / Miss / Saved</t>
  </si>
  <si>
    <t>27.5</t>
  </si>
  <si>
    <t>27.6</t>
  </si>
  <si>
    <t>27.7</t>
  </si>
  <si>
    <t>Dataset : 2026 Squads</t>
  </si>
  <si>
    <t>index</t>
  </si>
  <si>
    <t>Unique row identifier.</t>
  </si>
  <si>
    <t>name</t>
  </si>
  <si>
    <t>Player's full name.</t>
  </si>
  <si>
    <t>age</t>
  </si>
  <si>
    <t>Player's age at the 2026 FIFA World Cup.</t>
  </si>
  <si>
    <t>country</t>
  </si>
  <si>
    <t>National team represented by the player.</t>
  </si>
  <si>
    <t>position</t>
  </si>
  <si>
    <t>Playing position.</t>
  </si>
  <si>
    <t>Forward</t>
  </si>
  <si>
    <t>club</t>
  </si>
  <si>
    <t>Professional club at the time of the tournament.</t>
  </si>
  <si>
    <t>Real Madrid</t>
  </si>
  <si>
    <t>jersey_number</t>
  </si>
  <si>
    <t>Shirt number worn during the tournament.</t>
  </si>
  <si>
    <t>Dataset : Matches</t>
  </si>
  <si>
    <t>Year</t>
  </si>
  <si>
    <t>FIFA World Cup edition year.</t>
  </si>
  <si>
    <t>Datetime</t>
  </si>
  <si>
    <t>DateTime</t>
  </si>
  <si>
    <t>Date and time the match was played.</t>
  </si>
  <si>
    <t>Stage</t>
  </si>
  <si>
    <t>Tournament stage.</t>
  </si>
  <si>
    <t>Stadium</t>
  </si>
  <si>
    <t>Stadium where the match was played.</t>
  </si>
  <si>
    <t>Stade de France</t>
  </si>
  <si>
    <t>City</t>
  </si>
  <si>
    <t>Host city of the match.</t>
  </si>
  <si>
    <t>Saint-Denis</t>
  </si>
  <si>
    <t>Home Team Name</t>
  </si>
  <si>
    <t>Name of the home team.</t>
  </si>
  <si>
    <t>Home Team Goals</t>
  </si>
  <si>
    <t>Number of goals scored by the home team.</t>
  </si>
  <si>
    <t>Away Team Goals</t>
  </si>
  <si>
    <t>Number of goals scored by the away team.</t>
  </si>
  <si>
    <t>Away Team Name</t>
  </si>
  <si>
    <t>Name of the away team.</t>
  </si>
  <si>
    <t>Win conditions</t>
  </si>
  <si>
    <t>Additional information about how the match was decided (extra time, penalties, etc.).</t>
  </si>
  <si>
    <t>France won after extra time</t>
  </si>
  <si>
    <t>Nullable</t>
  </si>
  <si>
    <t>28.8</t>
  </si>
  <si>
    <t>28.7</t>
  </si>
  <si>
    <t>26.6</t>
  </si>
  <si>
    <t>26.7</t>
  </si>
  <si>
    <t>26.2</t>
  </si>
  <si>
    <t>27.3</t>
  </si>
  <si>
    <t>28.2</t>
  </si>
  <si>
    <t>27.0</t>
  </si>
  <si>
    <t>27.1</t>
  </si>
  <si>
    <t>27.8</t>
  </si>
  <si>
    <t>27.9</t>
  </si>
  <si>
    <t>29.6</t>
  </si>
  <si>
    <t>28.5</t>
  </si>
  <si>
    <t>26.9</t>
  </si>
  <si>
    <t>26.1</t>
  </si>
  <si>
    <t>27.2</t>
  </si>
  <si>
    <t>26.4</t>
  </si>
  <si>
    <t>26.3</t>
  </si>
  <si>
    <t>25.6</t>
  </si>
  <si>
    <t>28.0</t>
  </si>
  <si>
    <t>26.5</t>
  </si>
  <si>
    <t>29.8</t>
  </si>
  <si>
    <t>26.0</t>
  </si>
  <si>
    <t>25.3</t>
  </si>
  <si>
    <t>28.9</t>
  </si>
  <si>
    <t>30.0</t>
  </si>
  <si>
    <t>28.1</t>
  </si>
  <si>
    <t>29.2</t>
  </si>
  <si>
    <t>Matěj Kovář</t>
  </si>
  <si>
    <t>GK</t>
  </si>
  <si>
    <t>PSV Eindhoven</t>
  </si>
  <si>
    <t>Jindřich Staněk</t>
  </si>
  <si>
    <t>Slavia Prague</t>
  </si>
  <si>
    <t>Lukáš Horníček</t>
  </si>
  <si>
    <t>Braga</t>
  </si>
  <si>
    <t>David Zima</t>
  </si>
  <si>
    <t>CB</t>
  </si>
  <si>
    <t>Tomáš Holeš</t>
  </si>
  <si>
    <t>Robin Hranáč</t>
  </si>
  <si>
    <t>TSG Hoffenheim</t>
  </si>
  <si>
    <t>Štěpán Chaloupek</t>
  </si>
  <si>
    <t>Ladislav Krejčí</t>
  </si>
  <si>
    <t>Wolverhampton Wanderers</t>
  </si>
  <si>
    <t>David Jurásek</t>
  </si>
  <si>
    <t>LB</t>
  </si>
  <si>
    <t>Jaroslav Zelený</t>
  </si>
  <si>
    <t>Sparta Prague</t>
  </si>
  <si>
    <t>Vladimír Coufal</t>
  </si>
  <si>
    <t>RB</t>
  </si>
  <si>
    <t>David Douděra</t>
  </si>
  <si>
    <t>Lukáš Červ</t>
  </si>
  <si>
    <t>CDM</t>
  </si>
  <si>
    <t>Viktoria Plzeň</t>
  </si>
  <si>
    <t>Tomáš Souček</t>
  </si>
  <si>
    <t>West Ham United</t>
  </si>
  <si>
    <t>Vladimír Darida</t>
  </si>
  <si>
    <t>CM</t>
  </si>
  <si>
    <t>Hradec Králové</t>
  </si>
  <si>
    <t>Lukáš Provod</t>
  </si>
  <si>
    <t>Michal Sadílek</t>
  </si>
  <si>
    <t>Alexandr Sojka</t>
  </si>
  <si>
    <t>Pavel Šulc</t>
  </si>
  <si>
    <t>CAM</t>
  </si>
  <si>
    <t>Lyon</t>
  </si>
  <si>
    <t>Hugo Sochůrek</t>
  </si>
  <si>
    <t>Adam Hložek</t>
  </si>
  <si>
    <t>LW</t>
  </si>
  <si>
    <t>Denis Višinský</t>
  </si>
  <si>
    <t>RW</t>
  </si>
  <si>
    <t>Patrik Schick</t>
  </si>
  <si>
    <t>ST</t>
  </si>
  <si>
    <t>Bayer Leverkusen</t>
  </si>
  <si>
    <t>Jan Kuchta</t>
  </si>
  <si>
    <t>Mojmír Chytil</t>
  </si>
  <si>
    <t>Tomáš Chorý</t>
  </si>
  <si>
    <t>Raúl Rangel</t>
  </si>
  <si>
    <t>Guadalajara</t>
  </si>
  <si>
    <t>Carlos Acevedo</t>
  </si>
  <si>
    <t>Santos Laguna</t>
  </si>
  <si>
    <t>Guillermo Ochoa</t>
  </si>
  <si>
    <t>AEL Limassol</t>
  </si>
  <si>
    <t>César Montes</t>
  </si>
  <si>
    <t>Lokomotiv Moscow</t>
  </si>
  <si>
    <t>Johan Vásquez</t>
  </si>
  <si>
    <t>Genoa</t>
  </si>
  <si>
    <t>Israel Reyes</t>
  </si>
  <si>
    <t>América</t>
  </si>
  <si>
    <t>Mateo Chávez</t>
  </si>
  <si>
    <t>AZ</t>
  </si>
  <si>
    <t>Jesús Gallardo</t>
  </si>
  <si>
    <t>Toluca</t>
  </si>
  <si>
    <t>Jorge Sánchez</t>
  </si>
  <si>
    <t>PAOK</t>
  </si>
  <si>
    <t>Edson Álvarez</t>
  </si>
  <si>
    <t>Fenerbahçe</t>
  </si>
  <si>
    <t>Érik Lira</t>
  </si>
  <si>
    <t>Cruz Azul</t>
  </si>
  <si>
    <t>Obed Vargas</t>
  </si>
  <si>
    <t>Atlético Madrid</t>
  </si>
  <si>
    <t>Luis Romo</t>
  </si>
  <si>
    <t>Álvaro Fidalgo</t>
  </si>
  <si>
    <t>Real Betis</t>
  </si>
  <si>
    <t>Luis Chávez</t>
  </si>
  <si>
    <t>Dynamo Moscow</t>
  </si>
  <si>
    <t>Orbelín Pineda</t>
  </si>
  <si>
    <t>AEK Athens</t>
  </si>
  <si>
    <t>Gilberto Mora</t>
  </si>
  <si>
    <t>Tijuana</t>
  </si>
  <si>
    <t>Brian Gutiérrez</t>
  </si>
  <si>
    <t>Alexis Vega</t>
  </si>
  <si>
    <t>César Huerta</t>
  </si>
  <si>
    <t>Anderlecht</t>
  </si>
  <si>
    <t>Julián Quiñones</t>
  </si>
  <si>
    <t>Al-Qadsiah</t>
  </si>
  <si>
    <t>Roberto Alvarado</t>
  </si>
  <si>
    <t>Raúl Jiménez</t>
  </si>
  <si>
    <t>Fulham</t>
  </si>
  <si>
    <t>Santiago Giménez</t>
  </si>
  <si>
    <t>AC Milan</t>
  </si>
  <si>
    <t>Armando González</t>
  </si>
  <si>
    <t>Guillermo Martínez</t>
  </si>
  <si>
    <t>Pumas UNAM</t>
  </si>
  <si>
    <t>Ronwen Williams</t>
  </si>
  <si>
    <t>Mamelodi Sundowns</t>
  </si>
  <si>
    <t>Sipho Chaine</t>
  </si>
  <si>
    <t>Orlando Pirates</t>
  </si>
  <si>
    <t>Ricardo Goss</t>
  </si>
  <si>
    <t>Siwelele</t>
  </si>
  <si>
    <t>Khulumani Ndamane</t>
  </si>
  <si>
    <t>Mbekezeli Mbokazi</t>
  </si>
  <si>
    <t>Chicago Fire FC</t>
  </si>
  <si>
    <t>Nkosinathi Sibisi</t>
  </si>
  <si>
    <t>Ime Okon</t>
  </si>
  <si>
    <t>Hannover 96</t>
  </si>
  <si>
    <t>Olwethu Makhanya</t>
  </si>
  <si>
    <t>Philadelphia Union</t>
  </si>
  <si>
    <t>Aubrey Modiba</t>
  </si>
  <si>
    <t>Samukele Kabini</t>
  </si>
  <si>
    <t>Molde</t>
  </si>
  <si>
    <t>Bradley Cross</t>
  </si>
  <si>
    <t>Kaizer Chiefs</t>
  </si>
  <si>
    <t>Thabang Matuludi</t>
  </si>
  <si>
    <t>Polokwane City</t>
  </si>
  <si>
    <t>Khuliso Mudau</t>
  </si>
  <si>
    <t>Teboho Mokoena</t>
  </si>
  <si>
    <t>Sphephelo Sithole</t>
  </si>
  <si>
    <t>Tondela</t>
  </si>
  <si>
    <t>Thalente Mbatha</t>
  </si>
  <si>
    <t>Jayden Adams</t>
  </si>
  <si>
    <t>Themba Zwane</t>
  </si>
  <si>
    <t>Oswin Appollis</t>
  </si>
  <si>
    <t>Relebohile Mofokeng</t>
  </si>
  <si>
    <t>Tshepang Moremi</t>
  </si>
  <si>
    <t>Thapelo Maseko</t>
  </si>
  <si>
    <t>Kamogelo Sebelebele</t>
  </si>
  <si>
    <t>Lyle Foster</t>
  </si>
  <si>
    <t>Burnley</t>
  </si>
  <si>
    <t>Iqraam Rayners</t>
  </si>
  <si>
    <t>Evidence Makgopa</t>
  </si>
  <si>
    <t>Kim Seung-gyu</t>
  </si>
  <si>
    <t>FC Tokyo</t>
  </si>
  <si>
    <t>Song Bum-keun</t>
  </si>
  <si>
    <t>Jeonbuk Hyundai Motors</t>
  </si>
  <si>
    <t>Jo Hyeon-woo</t>
  </si>
  <si>
    <t>Ulsan HD</t>
  </si>
  <si>
    <t>Lee Han-beom</t>
  </si>
  <si>
    <t>Midtjylland</t>
  </si>
  <si>
    <t>Kim Min-jae</t>
  </si>
  <si>
    <t>Bayern Munich</t>
  </si>
  <si>
    <t>Kim Tae-hyeon</t>
  </si>
  <si>
    <t>Kashima Antlers</t>
  </si>
  <si>
    <t>Cho Wi-je</t>
  </si>
  <si>
    <t>Park Jin-seob</t>
  </si>
  <si>
    <t>Zhejiang</t>
  </si>
  <si>
    <t>Lee Tae-seok</t>
  </si>
  <si>
    <t>Austria Wien</t>
  </si>
  <si>
    <t>Kim Moon-hwan</t>
  </si>
  <si>
    <t>Daejeon Hana Citizen</t>
  </si>
  <si>
    <t>Seol Young-woo</t>
  </si>
  <si>
    <t>Red Star Belgrade</t>
  </si>
  <si>
    <t>Jens Castrop</t>
  </si>
  <si>
    <t>Borussia Mönchengladbach</t>
  </si>
  <si>
    <t>Lee Gi-hyuk</t>
  </si>
  <si>
    <t>Gangwon FC</t>
  </si>
  <si>
    <t>Hwang In-beom</t>
  </si>
  <si>
    <t>Feyenoord</t>
  </si>
  <si>
    <t>Paik Seung-ho</t>
  </si>
  <si>
    <t>Birmingham City</t>
  </si>
  <si>
    <t>Kim Jin-gyu</t>
  </si>
  <si>
    <t>Lee Jae-sung</t>
  </si>
  <si>
    <t>Mainz 05</t>
  </si>
  <si>
    <t>Bae Jun-ho</t>
  </si>
  <si>
    <t>Stoke City</t>
  </si>
  <si>
    <t>Lee Dong-gyeong</t>
  </si>
  <si>
    <t>Son Heung-min</t>
  </si>
  <si>
    <t>Los Angeles FC</t>
  </si>
  <si>
    <t>Hwang Hee-chan</t>
  </si>
  <si>
    <t>Eom Ji-sung</t>
  </si>
  <si>
    <t>Swansea City</t>
  </si>
  <si>
    <t>Lee Kang-in</t>
  </si>
  <si>
    <t>Paris Saint-Germain</t>
  </si>
  <si>
    <t>Yang Hyun-jun</t>
  </si>
  <si>
    <t>Celtic</t>
  </si>
  <si>
    <t>Cho Gue-sung</t>
  </si>
  <si>
    <t>Oh Hyeon-gyu</t>
  </si>
  <si>
    <t>Beşiktaş</t>
  </si>
  <si>
    <t>Nikola Vasilj</t>
  </si>
  <si>
    <t>FC St. Pauli</t>
  </si>
  <si>
    <t>Mladen Jurkas</t>
  </si>
  <si>
    <t>Borac Banja Luka</t>
  </si>
  <si>
    <t>Martin Zlomislić</t>
  </si>
  <si>
    <t>Rijeka</t>
  </si>
  <si>
    <t>Nihad Mujakić</t>
  </si>
  <si>
    <t>Gaziantep</t>
  </si>
  <si>
    <t>Dennis Hadžikadunić</t>
  </si>
  <si>
    <t>Sampdoria</t>
  </si>
  <si>
    <t>Tarik Muharemović</t>
  </si>
  <si>
    <t>Sassuolo</t>
  </si>
  <si>
    <t>Nikola Katić</t>
  </si>
  <si>
    <t>Schalke 04</t>
  </si>
  <si>
    <t>Stjepan Radeljić</t>
  </si>
  <si>
    <t>Arjan Malić</t>
  </si>
  <si>
    <t>Sturm Graz</t>
  </si>
  <si>
    <t>Sead Kolašinac</t>
  </si>
  <si>
    <t>Atalanta</t>
  </si>
  <si>
    <t>Amar Dedić</t>
  </si>
  <si>
    <t>Benfica</t>
  </si>
  <si>
    <t>Benjamin Tahirović</t>
  </si>
  <si>
    <t>Brøndby</t>
  </si>
  <si>
    <t>Ivan Šunjić</t>
  </si>
  <si>
    <t>Pafos</t>
  </si>
  <si>
    <t>Armin Gigović</t>
  </si>
  <si>
    <t>Young Boys</t>
  </si>
  <si>
    <t>Ivan Bašić</t>
  </si>
  <si>
    <t>Astana</t>
  </si>
  <si>
    <t>Amir Hadžiahmetović</t>
  </si>
  <si>
    <t>Hull City</t>
  </si>
  <si>
    <t>Dženis Burnić</t>
  </si>
  <si>
    <t>Karlsruher SC</t>
  </si>
  <si>
    <t>Amar Memić</t>
  </si>
  <si>
    <t>RM</t>
  </si>
  <si>
    <t>Ermin Mahmić</t>
  </si>
  <si>
    <t>LM</t>
  </si>
  <si>
    <t>Slovan Liberec</t>
  </si>
  <si>
    <t>Kerim Alajbegović</t>
  </si>
  <si>
    <t>Red Bull Salzburg</t>
  </si>
  <si>
    <t>Esmir Bajraktarević</t>
  </si>
  <si>
    <t>Samed Baždar</t>
  </si>
  <si>
    <t>Jagiellonia Białystok</t>
  </si>
  <si>
    <t>Ermedin Demirović</t>
  </si>
  <si>
    <t>VfB Stuttgart</t>
  </si>
  <si>
    <t>Edin Džeko</t>
  </si>
  <si>
    <t>Haris Tabaković</t>
  </si>
  <si>
    <t>Jovo Lukić</t>
  </si>
  <si>
    <t>Universitatea Cluj</t>
  </si>
  <si>
    <t>Dayne St. Clair</t>
  </si>
  <si>
    <t>Inter Miami CF</t>
  </si>
  <si>
    <t>Maxime Crépeau</t>
  </si>
  <si>
    <t>Orlando City SC</t>
  </si>
  <si>
    <t>Owen Goodman</t>
  </si>
  <si>
    <t>Barnsley</t>
  </si>
  <si>
    <t>Alfie Jones</t>
  </si>
  <si>
    <t>Middlesbrough</t>
  </si>
  <si>
    <t>Luc de Fougerolles</t>
  </si>
  <si>
    <t>Dender EH</t>
  </si>
  <si>
    <t>Joel Waterman</t>
  </si>
  <si>
    <t>Derek Cornelius</t>
  </si>
  <si>
    <t>Rangers</t>
  </si>
  <si>
    <t>Moïse Bombito</t>
  </si>
  <si>
    <t>Nice</t>
  </si>
  <si>
    <t>Alphonso Davies</t>
  </si>
  <si>
    <t>Alistair Johnston</t>
  </si>
  <si>
    <t>Richie Laryea</t>
  </si>
  <si>
    <t>Toronto FC</t>
  </si>
  <si>
    <t>Stephen Eustáquio</t>
  </si>
  <si>
    <t>Niko Sigur</t>
  </si>
  <si>
    <t>Hajduk Split</t>
  </si>
  <si>
    <t>Mathieu Choinière</t>
  </si>
  <si>
    <t>Ismaël Koné</t>
  </si>
  <si>
    <t>Jonathan Osorio</t>
  </si>
  <si>
    <t>Nathan Saliba</t>
  </si>
  <si>
    <t>Ali Ahmed</t>
  </si>
  <si>
    <t>Norwich City</t>
  </si>
  <si>
    <t>Liam Millar</t>
  </si>
  <si>
    <t>Jacob Shaffelburg</t>
  </si>
  <si>
    <t>Jayden Nelson</t>
  </si>
  <si>
    <t>Austin FC</t>
  </si>
  <si>
    <t>Tajon Buchanan</t>
  </si>
  <si>
    <t>Villarreal</t>
  </si>
  <si>
    <t>Cyle Larin</t>
  </si>
  <si>
    <t>Southampton</t>
  </si>
  <si>
    <t>Jonathan David</t>
  </si>
  <si>
    <t>Juventus</t>
  </si>
  <si>
    <t>Tani Oluwaseyi</t>
  </si>
  <si>
    <t>Promise David</t>
  </si>
  <si>
    <t>Union Saint-Gilloise</t>
  </si>
  <si>
    <t>Mahmud Abunada</t>
  </si>
  <si>
    <t>Al-Rayyan</t>
  </si>
  <si>
    <t>Salah Zakaria</t>
  </si>
  <si>
    <t>Al-Duhail</t>
  </si>
  <si>
    <t>Meshaal Barsham</t>
  </si>
  <si>
    <t>Al-Sadd</t>
  </si>
  <si>
    <t>Lucas Mendes</t>
  </si>
  <si>
    <t>Al-Wakrah</t>
  </si>
  <si>
    <t>Issa Laye</t>
  </si>
  <si>
    <t>Al-Arabi</t>
  </si>
  <si>
    <t>Jassem Gaber</t>
  </si>
  <si>
    <t>Ayoub Al-Oui</t>
  </si>
  <si>
    <t>Al-Gharafa</t>
  </si>
  <si>
    <t>Boualem Khoukhi</t>
  </si>
  <si>
    <t>Al-Hashmi Al-Hussain</t>
  </si>
  <si>
    <t>Homam Ahmed</t>
  </si>
  <si>
    <t>Cultural Leonesa</t>
  </si>
  <si>
    <t>Sultan Al-Brake</t>
  </si>
  <si>
    <t>Pedro Miguel</t>
  </si>
  <si>
    <t>Ahmed Fathy</t>
  </si>
  <si>
    <t>Assim Madibo</t>
  </si>
  <si>
    <t>Abdulaziz Hatem</t>
  </si>
  <si>
    <t>Karim Boudiaf</t>
  </si>
  <si>
    <t>Hassan Al-Haydos</t>
  </si>
  <si>
    <t>Ahmed Al-Ganehi</t>
  </si>
  <si>
    <t>Akram Afif</t>
  </si>
  <si>
    <t>Edmilson Junior</t>
  </si>
  <si>
    <t>Yusuf Abdurisag</t>
  </si>
  <si>
    <t>Tahsin Jamshid</t>
  </si>
  <si>
    <t>Ahmed Alaaeldin</t>
  </si>
  <si>
    <t>Mohammed Muntari</t>
  </si>
  <si>
    <t>Almoez Ali</t>
  </si>
  <si>
    <t>Mohamed Manai</t>
  </si>
  <si>
    <t>Al-Shamal</t>
  </si>
  <si>
    <t>Gregor Kobel</t>
  </si>
  <si>
    <t>Borussia Dortmund</t>
  </si>
  <si>
    <t>Yvon Mvogo</t>
  </si>
  <si>
    <t>Lorient</t>
  </si>
  <si>
    <t>Marvin Keller</t>
  </si>
  <si>
    <t>Nico Elvedi</t>
  </si>
  <si>
    <t>Inter Milan</t>
  </si>
  <si>
    <t>Eray Cömert</t>
  </si>
  <si>
    <t>Valencia</t>
  </si>
  <si>
    <t>Aurèle Amenda</t>
  </si>
  <si>
    <t>Eintracht Frankfurt</t>
  </si>
  <si>
    <t>Luca Jaquez</t>
  </si>
  <si>
    <t>Miro Muheim</t>
  </si>
  <si>
    <t>Hamburger SV</t>
  </si>
  <si>
    <t>Ricardo Rodriguez</t>
  </si>
  <si>
    <t>Silvan Widmer</t>
  </si>
  <si>
    <t>Denis Zakaria</t>
  </si>
  <si>
    <t>Monaco</t>
  </si>
  <si>
    <t>Ardon Jashari</t>
  </si>
  <si>
    <t>Bologna</t>
  </si>
  <si>
    <t>Johan Manzambi</t>
  </si>
  <si>
    <t>SC Freiburg</t>
  </si>
  <si>
    <t>Sunderland</t>
  </si>
  <si>
    <t>Djibril Sow</t>
  </si>
  <si>
    <t>Sevilla</t>
  </si>
  <si>
    <t>Michel Aebischer</t>
  </si>
  <si>
    <t>Pisa</t>
  </si>
  <si>
    <t>Fabian Rieder</t>
  </si>
  <si>
    <t>FC Augsburg</t>
  </si>
  <si>
    <t>Christian Fassnacht</t>
  </si>
  <si>
    <t>Rubén Vargas</t>
  </si>
  <si>
    <t>Noah Okafor</t>
  </si>
  <si>
    <t>Leeds United</t>
  </si>
  <si>
    <t>Dan Ndoye</t>
  </si>
  <si>
    <t>Nottingham Forest</t>
  </si>
  <si>
    <t>Rennes</t>
  </si>
  <si>
    <t>Cedric Itten</t>
  </si>
  <si>
    <t>Fortuna Düsseldorf</t>
  </si>
  <si>
    <t>Liverpool</t>
  </si>
  <si>
    <t>Weverton</t>
  </si>
  <si>
    <t>Grêmio</t>
  </si>
  <si>
    <t>Ederson Moraes</t>
  </si>
  <si>
    <t>Gabriel Magalhães</t>
  </si>
  <si>
    <t>Arsenal</t>
  </si>
  <si>
    <t>Bremer</t>
  </si>
  <si>
    <t>Léo Pereira</t>
  </si>
  <si>
    <t>Flamengo</t>
  </si>
  <si>
    <t>Roger Ibañez</t>
  </si>
  <si>
    <t>Al-Ahli</t>
  </si>
  <si>
    <t>Alex Sandro</t>
  </si>
  <si>
    <t>Douglas Santos</t>
  </si>
  <si>
    <t>Zenit Saint Petersburg</t>
  </si>
  <si>
    <t>Danilo Luiz</t>
  </si>
  <si>
    <t>Manchester United</t>
  </si>
  <si>
    <t>Fabinho</t>
  </si>
  <si>
    <t>Al-Ittihad</t>
  </si>
  <si>
    <t>Danilo Santos</t>
  </si>
  <si>
    <t>Botafogo</t>
  </si>
  <si>
    <t>Éderson Silva</t>
  </si>
  <si>
    <t>Bruno Guimarães</t>
  </si>
  <si>
    <t>Newcastle United</t>
  </si>
  <si>
    <t>Lucas Paquetá</t>
  </si>
  <si>
    <t>Vinícius Júnior</t>
  </si>
  <si>
    <t>Gabriel Martinelli</t>
  </si>
  <si>
    <t>Raphinha</t>
  </si>
  <si>
    <t>Barcelona</t>
  </si>
  <si>
    <t>Luiz Henrique</t>
  </si>
  <si>
    <t>Rayan</t>
  </si>
  <si>
    <t>Bournemouth</t>
  </si>
  <si>
    <t>Matheus Cunha</t>
  </si>
  <si>
    <t>Santos</t>
  </si>
  <si>
    <t>Endrick</t>
  </si>
  <si>
    <t>Igor Thiago</t>
  </si>
  <si>
    <t>Brentford</t>
  </si>
  <si>
    <t>Johny Placide</t>
  </si>
  <si>
    <t>Bastia</t>
  </si>
  <si>
    <t>Alexandre Pierre</t>
  </si>
  <si>
    <t>Sochaux</t>
  </si>
  <si>
    <t>Josué Duverger</t>
  </si>
  <si>
    <t>Cosmos Koblenz</t>
  </si>
  <si>
    <t>Ricardo Adé</t>
  </si>
  <si>
    <t>LDU Quito</t>
  </si>
  <si>
    <t>Hannes Delcroix</t>
  </si>
  <si>
    <t>Lugano</t>
  </si>
  <si>
    <t>Garven Metusala</t>
  </si>
  <si>
    <t>Colorado Springs Switchbacks FC</t>
  </si>
  <si>
    <t>Jean-Kévin Duverne</t>
  </si>
  <si>
    <t>Gent</t>
  </si>
  <si>
    <t>Wilguens Paugain</t>
  </si>
  <si>
    <t>Zulte Waregem</t>
  </si>
  <si>
    <t>Martin Expérience</t>
  </si>
  <si>
    <t>Nancy</t>
  </si>
  <si>
    <t>Duke Lacroix</t>
  </si>
  <si>
    <t>Carlens Arcus</t>
  </si>
  <si>
    <t>Angers</t>
  </si>
  <si>
    <t>Keeto Thermoncy</t>
  </si>
  <si>
    <t>Carl Sainté</t>
  </si>
  <si>
    <t>El Paso Locomotive FC</t>
  </si>
  <si>
    <t>Danley Jean Jacques</t>
  </si>
  <si>
    <t>Dominique Simon</t>
  </si>
  <si>
    <t>Tatran Prešov</t>
  </si>
  <si>
    <t>Woodensky Pierre</t>
  </si>
  <si>
    <t>Violette</t>
  </si>
  <si>
    <t>Jean-Ricner Bellegarde</t>
  </si>
  <si>
    <t>Derrick Etienne Jr.</t>
  </si>
  <si>
    <t>Ruben Providence</t>
  </si>
  <si>
    <t>Almere City</t>
  </si>
  <si>
    <t>Yassin Fortuné</t>
  </si>
  <si>
    <t>Vizela</t>
  </si>
  <si>
    <t>Louicius Deedson</t>
  </si>
  <si>
    <t>FC Dallas</t>
  </si>
  <si>
    <t>Lenny Joseph</t>
  </si>
  <si>
    <t>Ferencváros</t>
  </si>
  <si>
    <t>Josué Casimir</t>
  </si>
  <si>
    <t>Auxerre</t>
  </si>
  <si>
    <t>Duckens Nazon</t>
  </si>
  <si>
    <t>Esteghlal</t>
  </si>
  <si>
    <t>Wilson Isidor</t>
  </si>
  <si>
    <t>Frantzdy Pierrot</t>
  </si>
  <si>
    <t>Çaykur Rizespor</t>
  </si>
  <si>
    <t>Al-Hilal</t>
  </si>
  <si>
    <t>Munir Mohamedi</t>
  </si>
  <si>
    <t>RS Berkane</t>
  </si>
  <si>
    <t>Ahmed Reda Tagnaouti</t>
  </si>
  <si>
    <t>AS FAR</t>
  </si>
  <si>
    <t>Marwane Saâdane</t>
  </si>
  <si>
    <t>Al-Fateh</t>
  </si>
  <si>
    <t>Issa Diop</t>
  </si>
  <si>
    <t>Chadi Riad</t>
  </si>
  <si>
    <t>Crystal Palace</t>
  </si>
  <si>
    <t>Redouane Halhal</t>
  </si>
  <si>
    <t>Mechelen</t>
  </si>
  <si>
    <t>Noussair Mazraoui</t>
  </si>
  <si>
    <t>Youssef Belammari</t>
  </si>
  <si>
    <t>Al Ahly</t>
  </si>
  <si>
    <t>Anass Salah-Eddine</t>
  </si>
  <si>
    <t>Zakaria El Ouahdi</t>
  </si>
  <si>
    <t>Genk</t>
  </si>
  <si>
    <t>Ayyoub Bouaddi</t>
  </si>
  <si>
    <t>Lille</t>
  </si>
  <si>
    <t>Azzedine Ounahi</t>
  </si>
  <si>
    <t>Girona</t>
  </si>
  <si>
    <t>Samir El Mourabet</t>
  </si>
  <si>
    <t>Strasbourg</t>
  </si>
  <si>
    <t>Gessime Yassine</t>
  </si>
  <si>
    <t>Neil El Aynaoui</t>
  </si>
  <si>
    <t>Roma</t>
  </si>
  <si>
    <t>Chemsdine Talbi</t>
  </si>
  <si>
    <t>Ismael Saibari</t>
  </si>
  <si>
    <t>Bilal El Khannouss</t>
  </si>
  <si>
    <t>Brahim Díaz</t>
  </si>
  <si>
    <t>Amine Sbaï</t>
  </si>
  <si>
    <t>Ayoube Amaimouni</t>
  </si>
  <si>
    <t>Soufiane Rahimi</t>
  </si>
  <si>
    <t>Al Ain</t>
  </si>
  <si>
    <t>Ayoub El Kaabi</t>
  </si>
  <si>
    <t>Olympiacos</t>
  </si>
  <si>
    <t>Angus Gunn</t>
  </si>
  <si>
    <t>Liam Kelly</t>
  </si>
  <si>
    <t>Craig Gordon</t>
  </si>
  <si>
    <t>Heart of Midlothian</t>
  </si>
  <si>
    <t>Grant Hanley</t>
  </si>
  <si>
    <t>Hibernian</t>
  </si>
  <si>
    <t>Kieran Tierney</t>
  </si>
  <si>
    <t>Jack Hendry</t>
  </si>
  <si>
    <t>Al-Ettifaq</t>
  </si>
  <si>
    <t>John Souttar</t>
  </si>
  <si>
    <t>Dominic Hyam</t>
  </si>
  <si>
    <t>Wrexham</t>
  </si>
  <si>
    <t>Scott McKenna</t>
  </si>
  <si>
    <t>Dinamo Zagreb</t>
  </si>
  <si>
    <t>Andy Robertson</t>
  </si>
  <si>
    <t>Aaron Hickey</t>
  </si>
  <si>
    <t>Nathan Patterson</t>
  </si>
  <si>
    <t>Everton</t>
  </si>
  <si>
    <t>Anthony Ralston</t>
  </si>
  <si>
    <t>Tyler Fletcher</t>
  </si>
  <si>
    <t>Ryan Christie</t>
  </si>
  <si>
    <t>Lewis Ferguson</t>
  </si>
  <si>
    <t>Kenny McLean</t>
  </si>
  <si>
    <t>Scott McTominay</t>
  </si>
  <si>
    <t>Napoli</t>
  </si>
  <si>
    <t>John McGinn</t>
  </si>
  <si>
    <t>Aston Villa</t>
  </si>
  <si>
    <t>Ben Gannon-Doak</t>
  </si>
  <si>
    <t>Findlay Curtis</t>
  </si>
  <si>
    <t>Kilmarnock</t>
  </si>
  <si>
    <t>Lyndon Dykes</t>
  </si>
  <si>
    <t>Charlton Athletic</t>
  </si>
  <si>
    <t>Ché Adams</t>
  </si>
  <si>
    <t>Torino</t>
  </si>
  <si>
    <t>Ross Stewart</t>
  </si>
  <si>
    <t>George Hirst</t>
  </si>
  <si>
    <t>Ipswich Town</t>
  </si>
  <si>
    <t>Lawrence Shankland</t>
  </si>
  <si>
    <t>Gatito Fernández</t>
  </si>
  <si>
    <t>Cerro Porteño</t>
  </si>
  <si>
    <t>Orlando Gill</t>
  </si>
  <si>
    <t>San Lorenzo</t>
  </si>
  <si>
    <t>Gastón Olveira</t>
  </si>
  <si>
    <t>Olimpia</t>
  </si>
  <si>
    <t>Omar Alderete</t>
  </si>
  <si>
    <t>Fabián Balbuena</t>
  </si>
  <si>
    <t>José Canale</t>
  </si>
  <si>
    <t>Lanús</t>
  </si>
  <si>
    <t>Palmeiras</t>
  </si>
  <si>
    <t>Alexandro Maidana</t>
  </si>
  <si>
    <t>Talleres</t>
  </si>
  <si>
    <t>Júnior Alonso</t>
  </si>
  <si>
    <t>Atlético Mineiro</t>
  </si>
  <si>
    <t>Gustavo Velázquez</t>
  </si>
  <si>
    <t>Juan José Cáceres</t>
  </si>
  <si>
    <t>Andrés Cubas</t>
  </si>
  <si>
    <t>Vancouver Whitecaps FC</t>
  </si>
  <si>
    <t>Braian Ojeda</t>
  </si>
  <si>
    <t>Diego Gómez</t>
  </si>
  <si>
    <t>Brighton &amp; Hove Albion</t>
  </si>
  <si>
    <t>Maurício</t>
  </si>
  <si>
    <t>Damián Bobadilla</t>
  </si>
  <si>
    <t>São Paulo</t>
  </si>
  <si>
    <t>Matías Galarza</t>
  </si>
  <si>
    <t>Atlanta United FC</t>
  </si>
  <si>
    <t>Kaku</t>
  </si>
  <si>
    <t>Gustavo Caballero</t>
  </si>
  <si>
    <t>Portsmouth</t>
  </si>
  <si>
    <t>Isidro Pitta</t>
  </si>
  <si>
    <t>Red Bull Bragantino</t>
  </si>
  <si>
    <t>Antonio Sanabria</t>
  </si>
  <si>
    <t>Cremonese</t>
  </si>
  <si>
    <t>Álex Arce</t>
  </si>
  <si>
    <t>Independiente Rivadavia</t>
  </si>
  <si>
    <t>Gabriel Ávalos</t>
  </si>
  <si>
    <t>Independiente</t>
  </si>
  <si>
    <t>Mert Günok</t>
  </si>
  <si>
    <t>Altay Bayındır</t>
  </si>
  <si>
    <t>Uğurcan Çakır</t>
  </si>
  <si>
    <t>Galatasaray</t>
  </si>
  <si>
    <t>Merih Demiral</t>
  </si>
  <si>
    <t>Çağlar Söyüncü</t>
  </si>
  <si>
    <t>Abdülkerim Bardakcı</t>
  </si>
  <si>
    <t>Ozan Kabak</t>
  </si>
  <si>
    <t>Samet Akaydin</t>
  </si>
  <si>
    <t>Eren Elmalı</t>
  </si>
  <si>
    <t>Ferdi Kadıoğlu</t>
  </si>
  <si>
    <t>Zeki Çelik</t>
  </si>
  <si>
    <t>Mert Müldür</t>
  </si>
  <si>
    <t>Salih Özcan</t>
  </si>
  <si>
    <t>İsmail Yüksek</t>
  </si>
  <si>
    <t>Kaan Ayhan</t>
  </si>
  <si>
    <t>Orkun Kökçü</t>
  </si>
  <si>
    <t>Arda Güler</t>
  </si>
  <si>
    <t>Hakan Çalhanoğlu</t>
  </si>
  <si>
    <t>Kerem Aktürkoğlu</t>
  </si>
  <si>
    <t>Kenan Yıldız</t>
  </si>
  <si>
    <t>İrfan Can Kahveci</t>
  </si>
  <si>
    <t>Kasımpaşa</t>
  </si>
  <si>
    <t>Yunus Akgün</t>
  </si>
  <si>
    <t>Oğuz Aydın</t>
  </si>
  <si>
    <t>Deniz Gül</t>
  </si>
  <si>
    <t>Porto</t>
  </si>
  <si>
    <t>Barış Alper Yılmaz</t>
  </si>
  <si>
    <t>Can Uzun</t>
  </si>
  <si>
    <t>Levante</t>
  </si>
  <si>
    <t>Paul Izzo</t>
  </si>
  <si>
    <t>Randers</t>
  </si>
  <si>
    <t>Patrick Beach</t>
  </si>
  <si>
    <t>Melbourne City</t>
  </si>
  <si>
    <t>Miloš Degenek</t>
  </si>
  <si>
    <t>APOEL</t>
  </si>
  <si>
    <t>Alessandro Circati</t>
  </si>
  <si>
    <t>Parma</t>
  </si>
  <si>
    <t>Kai Trewin</t>
  </si>
  <si>
    <t>New York City FC</t>
  </si>
  <si>
    <t>Leicester City</t>
  </si>
  <si>
    <t>Cameron Burgess</t>
  </si>
  <si>
    <t>Lucas Herrington</t>
  </si>
  <si>
    <t>Colorado Rapids</t>
  </si>
  <si>
    <t>Jordan Bos</t>
  </si>
  <si>
    <t>Aziz Behich</t>
  </si>
  <si>
    <t>Jacob Italiano</t>
  </si>
  <si>
    <t>Grazer AK</t>
  </si>
  <si>
    <t>Jason Geria</t>
  </si>
  <si>
    <t>Albirex Niigata</t>
  </si>
  <si>
    <t>Aiden O'Neill</t>
  </si>
  <si>
    <t>Cammy Devlin</t>
  </si>
  <si>
    <t>Connor Metcalfe</t>
  </si>
  <si>
    <t>Paul Okon-Engstler</t>
  </si>
  <si>
    <t>Sydney FC</t>
  </si>
  <si>
    <t>Ajdin Hrustic</t>
  </si>
  <si>
    <t>Heracles Almelo</t>
  </si>
  <si>
    <t>Mathew Leckie</t>
  </si>
  <si>
    <t>Awer Mabil</t>
  </si>
  <si>
    <t>Castellón</t>
  </si>
  <si>
    <t>Nishan Velupillay</t>
  </si>
  <si>
    <t>Melbourne Victory</t>
  </si>
  <si>
    <t>Nestory Irankunda</t>
  </si>
  <si>
    <t>Watford</t>
  </si>
  <si>
    <t>Cristian Volpato</t>
  </si>
  <si>
    <t>Mohamed Touré</t>
  </si>
  <si>
    <t>Tete Yengi</t>
  </si>
  <si>
    <t>Machida Zelvia</t>
  </si>
  <si>
    <t>Matt Turner</t>
  </si>
  <si>
    <t>New England Revolution</t>
  </si>
  <si>
    <t>Matt Freese</t>
  </si>
  <si>
    <t>Chris Brady</t>
  </si>
  <si>
    <t>Chris Richards</t>
  </si>
  <si>
    <t>Auston Trusty</t>
  </si>
  <si>
    <t>Miles Robinson</t>
  </si>
  <si>
    <t>FC Cincinnati</t>
  </si>
  <si>
    <t>Tim Ream</t>
  </si>
  <si>
    <t>Charlotte FC</t>
  </si>
  <si>
    <t>Mark McKenzie</t>
  </si>
  <si>
    <t>Toulouse</t>
  </si>
  <si>
    <t>Antonee Robinson</t>
  </si>
  <si>
    <t>Max Arfsten</t>
  </si>
  <si>
    <t>Columbus Crew</t>
  </si>
  <si>
    <t>Sergiño Dest</t>
  </si>
  <si>
    <t>Alex Freeman</t>
  </si>
  <si>
    <t>Joe Scally</t>
  </si>
  <si>
    <t>Tyler Adams</t>
  </si>
  <si>
    <t>Sebastian Berhalter</t>
  </si>
  <si>
    <t>Weston McKennie</t>
  </si>
  <si>
    <t>Cristian Roldan</t>
  </si>
  <si>
    <t>Seattle Sounders FC</t>
  </si>
  <si>
    <t>Giovanni Reyna</t>
  </si>
  <si>
    <t>Malik Tillman</t>
  </si>
  <si>
    <t>Christian Pulisic</t>
  </si>
  <si>
    <t>Brenden Aaronson</t>
  </si>
  <si>
    <t>Haji Wright</t>
  </si>
  <si>
    <t>Coventry City</t>
  </si>
  <si>
    <t>Timothy Weah</t>
  </si>
  <si>
    <t>Marseille</t>
  </si>
  <si>
    <t>Alejandro Zendejas</t>
  </si>
  <si>
    <t>Ricardo Pepi</t>
  </si>
  <si>
    <t>Folarin Balogun</t>
  </si>
  <si>
    <t>Eloy Room</t>
  </si>
  <si>
    <t>Miami FC</t>
  </si>
  <si>
    <t>Tyrick Bodak</t>
  </si>
  <si>
    <t>Telstar</t>
  </si>
  <si>
    <t>Trevor Doornbusch</t>
  </si>
  <si>
    <t>VVV-Venlo</t>
  </si>
  <si>
    <t>Juriën Gaari</t>
  </si>
  <si>
    <t>Abha</t>
  </si>
  <si>
    <t>Roshon van Eijma</t>
  </si>
  <si>
    <t>RKC Waalwijk</t>
  </si>
  <si>
    <t>Armando Obispo</t>
  </si>
  <si>
    <t>Riechedly Bazoer</t>
  </si>
  <si>
    <t>Konyaspor</t>
  </si>
  <si>
    <t>Deveron Fonville</t>
  </si>
  <si>
    <t>NEC</t>
  </si>
  <si>
    <t>Sherel Floranus</t>
  </si>
  <si>
    <t>PEC Zwolle</t>
  </si>
  <si>
    <t>Shurandy Sambo</t>
  </si>
  <si>
    <t>Sparta Rotterdam</t>
  </si>
  <si>
    <t>Joshua Brenet</t>
  </si>
  <si>
    <t>Kayserispor</t>
  </si>
  <si>
    <t>Godfried Roemeratoe</t>
  </si>
  <si>
    <t>Kevin Felida</t>
  </si>
  <si>
    <t>Den Bosch</t>
  </si>
  <si>
    <t>Juninho Bacuna</t>
  </si>
  <si>
    <t>Volendam</t>
  </si>
  <si>
    <t>Livano Comenencia</t>
  </si>
  <si>
    <t>Zürich</t>
  </si>
  <si>
    <t>Ar'jany Martha</t>
  </si>
  <si>
    <t>Rotherham United</t>
  </si>
  <si>
    <t>Leandro Bacuna</t>
  </si>
  <si>
    <t>Iğdır</t>
  </si>
  <si>
    <t>Tahith Chong</t>
  </si>
  <si>
    <t>Sheffield United</t>
  </si>
  <si>
    <t>Jeremy Antonisse</t>
  </si>
  <si>
    <t>Kifisia</t>
  </si>
  <si>
    <t>Kenji Gorré</t>
  </si>
  <si>
    <t>Maccabi Haifa</t>
  </si>
  <si>
    <t>Gervane Kastaneer</t>
  </si>
  <si>
    <t>Terengganu</t>
  </si>
  <si>
    <t>Sontje Hansen</t>
  </si>
  <si>
    <t>Jearl Margaritha</t>
  </si>
  <si>
    <t>Beveren</t>
  </si>
  <si>
    <t>Brandley Kuwas</t>
  </si>
  <si>
    <t>Jürgen Locadia</t>
  </si>
  <si>
    <t>Tyrese Noslin</t>
  </si>
  <si>
    <t>Hernán Galíndez</t>
  </si>
  <si>
    <t>Huracán</t>
  </si>
  <si>
    <t>Moisés Ramírez</t>
  </si>
  <si>
    <t>Gonzalo Valle</t>
  </si>
  <si>
    <t>Félix Torres</t>
  </si>
  <si>
    <t>Internacional</t>
  </si>
  <si>
    <t>Piero Hincapié</t>
  </si>
  <si>
    <t>Joel Ordóñez</t>
  </si>
  <si>
    <t>Club Brugge</t>
  </si>
  <si>
    <t>Willian Pacho</t>
  </si>
  <si>
    <t>Jackson Porozo</t>
  </si>
  <si>
    <t>Pervis Estupiñán</t>
  </si>
  <si>
    <t>Yaimar Medina</t>
  </si>
  <si>
    <t>Ángelo Preciado</t>
  </si>
  <si>
    <t>Moisés Caicedo</t>
  </si>
  <si>
    <t>Chelsea</t>
  </si>
  <si>
    <t>Jordy Alcívar</t>
  </si>
  <si>
    <t>Independiente del Valle</t>
  </si>
  <si>
    <t>Anthony Valencia</t>
  </si>
  <si>
    <t>Antwerp</t>
  </si>
  <si>
    <t>Denil Castillo</t>
  </si>
  <si>
    <t>Alan Franco</t>
  </si>
  <si>
    <t>Kendry Páez</t>
  </si>
  <si>
    <t>River Plate</t>
  </si>
  <si>
    <t>Pedro Vite</t>
  </si>
  <si>
    <t>Alan Minda</t>
  </si>
  <si>
    <t>Gonzalo Plata</t>
  </si>
  <si>
    <t>Nilson Angulo</t>
  </si>
  <si>
    <t>John Yeboah</t>
  </si>
  <si>
    <t>Venezia</t>
  </si>
  <si>
    <t>Jeremy Arévalo</t>
  </si>
  <si>
    <t>Kevin Rodríguez</t>
  </si>
  <si>
    <t>Enner Valencia</t>
  </si>
  <si>
    <t>Pachuca</t>
  </si>
  <si>
    <t>Jordy Caicedo</t>
  </si>
  <si>
    <t>Manuel Neuer</t>
  </si>
  <si>
    <t>Oliver Baumann</t>
  </si>
  <si>
    <t>Alexander Nübel</t>
  </si>
  <si>
    <t>Antonio Rüdiger</t>
  </si>
  <si>
    <t>Waldemar Anton</t>
  </si>
  <si>
    <t>Jonathan Tah</t>
  </si>
  <si>
    <t>Nico Schlotterbeck</t>
  </si>
  <si>
    <t>Malick Thiaw</t>
  </si>
  <si>
    <t>Nathaniel Brown</t>
  </si>
  <si>
    <t>David Raum</t>
  </si>
  <si>
    <t>RB Leipzig</t>
  </si>
  <si>
    <t>Aleksandar Pavlović</t>
  </si>
  <si>
    <t>Angelo Stiller</t>
  </si>
  <si>
    <t>Leon Goretzka</t>
  </si>
  <si>
    <t>Pascal Groß</t>
  </si>
  <si>
    <t>Nadiem Amiri</t>
  </si>
  <si>
    <t>Felix Nmecha</t>
  </si>
  <si>
    <t>Assan Ouédraogo</t>
  </si>
  <si>
    <t>Jamie Leweling</t>
  </si>
  <si>
    <t>Leroy Sané</t>
  </si>
  <si>
    <t>Maximilian Beier</t>
  </si>
  <si>
    <t>Nick Woltemade</t>
  </si>
  <si>
    <t>Deniz Undav</t>
  </si>
  <si>
    <t>Yahia Fofana</t>
  </si>
  <si>
    <t>Mohamed Koné</t>
  </si>
  <si>
    <t>Charleroi</t>
  </si>
  <si>
    <t>Alban Lafont</t>
  </si>
  <si>
    <t>Panathinaikos</t>
  </si>
  <si>
    <t>Ousmane Diomande</t>
  </si>
  <si>
    <t>Sporting CP</t>
  </si>
  <si>
    <t>Odilon Kossounou</t>
  </si>
  <si>
    <t>Emmanuel Agbadou</t>
  </si>
  <si>
    <t>Evan Ndicka</t>
  </si>
  <si>
    <t>Ghislain Konan</t>
  </si>
  <si>
    <t>Gil Vicente</t>
  </si>
  <si>
    <t>Christopher Opéri</t>
  </si>
  <si>
    <t>İstanbul Başakşehir</t>
  </si>
  <si>
    <t>Wilfried Singo</t>
  </si>
  <si>
    <t>Guéla Doué</t>
  </si>
  <si>
    <t>Jean Michaël Seri</t>
  </si>
  <si>
    <t>Maribor</t>
  </si>
  <si>
    <t>Ibrahim Sangaré</t>
  </si>
  <si>
    <t>Christ Inao Oulaï</t>
  </si>
  <si>
    <t>Trabzonspor</t>
  </si>
  <si>
    <t>Seko Fofana</t>
  </si>
  <si>
    <t>Franck Kessié</t>
  </si>
  <si>
    <t>Parfait Guiagon</t>
  </si>
  <si>
    <t>Simon Adingra</t>
  </si>
  <si>
    <t>Amad Diallo</t>
  </si>
  <si>
    <t>Bazoumana Touré</t>
  </si>
  <si>
    <t>Nicolas Pépé</t>
  </si>
  <si>
    <t>Ange-Yoan Bonny</t>
  </si>
  <si>
    <t>Yan Diomande</t>
  </si>
  <si>
    <t>Elye Wahi</t>
  </si>
  <si>
    <t>Oumar Diakité</t>
  </si>
  <si>
    <t>Cercle Brugge</t>
  </si>
  <si>
    <t>Evann Guessand</t>
  </si>
  <si>
    <t>Zion Suzuki</t>
  </si>
  <si>
    <t>Keisuke Ōsako</t>
  </si>
  <si>
    <t>Sanfrecce Hiroshima</t>
  </si>
  <si>
    <t>Tomoki Hayakawa</t>
  </si>
  <si>
    <t>Shōgo Taniguchi</t>
  </si>
  <si>
    <t>Sint-Truiden</t>
  </si>
  <si>
    <t>Kō Itakura</t>
  </si>
  <si>
    <t>Ajax</t>
  </si>
  <si>
    <t>Tsuyoshi Watanabe</t>
  </si>
  <si>
    <t>Ayumu Seko</t>
  </si>
  <si>
    <t>Le Havre</t>
  </si>
  <si>
    <t>Hiroki Itō</t>
  </si>
  <si>
    <t>Takehiro Tomiyasu</t>
  </si>
  <si>
    <t>Yūto Nagatomo</t>
  </si>
  <si>
    <t>Junnosuke Suzuki</t>
  </si>
  <si>
    <t>Copenhagen</t>
  </si>
  <si>
    <t>Yukinari Sugawara</t>
  </si>
  <si>
    <t>Werder Bremen</t>
  </si>
  <si>
    <t>Kaishū Sano</t>
  </si>
  <si>
    <t>Ao Tanaka</t>
  </si>
  <si>
    <t>Takefusa Kubo</t>
  </si>
  <si>
    <t>Real Sociedad</t>
  </si>
  <si>
    <t>Ritsu Dōan</t>
  </si>
  <si>
    <t>Daichi Kamada</t>
  </si>
  <si>
    <t>Yuito Suzuki</t>
  </si>
  <si>
    <t>Daizen Maeda</t>
  </si>
  <si>
    <t>Keito Nakamura</t>
  </si>
  <si>
    <t>Reims</t>
  </si>
  <si>
    <t>Junya Itō</t>
  </si>
  <si>
    <t>Shūto Machino</t>
  </si>
  <si>
    <t>Keisuke Gotō</t>
  </si>
  <si>
    <t>Ayase Ueda</t>
  </si>
  <si>
    <t>Kōki Ogawa</t>
  </si>
  <si>
    <t>Kento Shiogai</t>
  </si>
  <si>
    <t>VfL Wolfsburg</t>
  </si>
  <si>
    <t>Robin Roefs</t>
  </si>
  <si>
    <t>Mark Flekken</t>
  </si>
  <si>
    <t>Nathan Aké</t>
  </si>
  <si>
    <t>Manchester City</t>
  </si>
  <si>
    <t>Jan Paul van Hecke</t>
  </si>
  <si>
    <t>Mats Wieffer</t>
  </si>
  <si>
    <t>Micky van de Ven</t>
  </si>
  <si>
    <t>Tottenham Hotspur</t>
  </si>
  <si>
    <t>Jorrel Hato</t>
  </si>
  <si>
    <t>Lutsharel Geertruida</t>
  </si>
  <si>
    <t>Denzel Dumfries</t>
  </si>
  <si>
    <t>Marten de Roon</t>
  </si>
  <si>
    <t>Frenkie de Jong</t>
  </si>
  <si>
    <t>Ryan Gravenberch</t>
  </si>
  <si>
    <t>Quinten Timber</t>
  </si>
  <si>
    <t>Guus Til</t>
  </si>
  <si>
    <t>Justin Kluivert</t>
  </si>
  <si>
    <t>Noa Lang</t>
  </si>
  <si>
    <t>Crysencio Summerville</t>
  </si>
  <si>
    <t>Memphis Depay</t>
  </si>
  <si>
    <t>Corinthians</t>
  </si>
  <si>
    <t>Brian Brobbey</t>
  </si>
  <si>
    <t>Mouhib Chamakh</t>
  </si>
  <si>
    <t>Club Africain</t>
  </si>
  <si>
    <t>Aymen Dahmen</t>
  </si>
  <si>
    <t>CS Sfaxien</t>
  </si>
  <si>
    <t>Sabri Ben Hessen</t>
  </si>
  <si>
    <t>Étoile du Sahel</t>
  </si>
  <si>
    <t>Montassar Talbi</t>
  </si>
  <si>
    <t>Omar Rekik</t>
  </si>
  <si>
    <t>Dylan Bronn</t>
  </si>
  <si>
    <t>Servette</t>
  </si>
  <si>
    <t>Raed Chikhaoui</t>
  </si>
  <si>
    <t>US Monastir</t>
  </si>
  <si>
    <t>Ali Abdi</t>
  </si>
  <si>
    <t>Mohamed Amine Ben Hamida</t>
  </si>
  <si>
    <t>Espérance de Tunis</t>
  </si>
  <si>
    <t>Adem Arous</t>
  </si>
  <si>
    <t>Mortadha Ben Ouanes</t>
  </si>
  <si>
    <t>Yan Valery</t>
  </si>
  <si>
    <t>Moutaz Neffati</t>
  </si>
  <si>
    <t>IFK Norrköping</t>
  </si>
  <si>
    <t>Rani Khedira</t>
  </si>
  <si>
    <t>Union Berlin</t>
  </si>
  <si>
    <t>Ellyes Skhiri</t>
  </si>
  <si>
    <t>Khalil Ayari</t>
  </si>
  <si>
    <t>Mohamed Belhadj Mahmoud</t>
  </si>
  <si>
    <t>Anis Ben Slimane</t>
  </si>
  <si>
    <t>Hannibal Mejbri</t>
  </si>
  <si>
    <t>Ismaël Gharbi</t>
  </si>
  <si>
    <t>Sebastian Tounekti</t>
  </si>
  <si>
    <t>Elias Achouri</t>
  </si>
  <si>
    <t>Elias Saad</t>
  </si>
  <si>
    <t>Rayan Elloumi</t>
  </si>
  <si>
    <t>Hazem Mastouri</t>
  </si>
  <si>
    <t>Dynamo Makhachkala</t>
  </si>
  <si>
    <t>Firas Chaouat</t>
  </si>
  <si>
    <t>Jacob Widell Zetterström</t>
  </si>
  <si>
    <t>Derby County</t>
  </si>
  <si>
    <t>Viktor Johansson</t>
  </si>
  <si>
    <t>Kristoffer Nordfeldt</t>
  </si>
  <si>
    <t>AIK</t>
  </si>
  <si>
    <t>Gustaf Lagerbielke</t>
  </si>
  <si>
    <t>Victor Lindelöf</t>
  </si>
  <si>
    <t>Isak Hien</t>
  </si>
  <si>
    <t>Hjalmar Ekdal</t>
  </si>
  <si>
    <t>Carl Starfelt</t>
  </si>
  <si>
    <t>Celta Vigo</t>
  </si>
  <si>
    <t>Eric Smith</t>
  </si>
  <si>
    <t>Gabriel Gudmundsson</t>
  </si>
  <si>
    <t>Daniel Svensson</t>
  </si>
  <si>
    <t>Elliot Stroud</t>
  </si>
  <si>
    <t>Mjällby AIF</t>
  </si>
  <si>
    <t>Herman Johansson</t>
  </si>
  <si>
    <t>Alexander Bernhardsson</t>
  </si>
  <si>
    <t>Holstein Kiel</t>
  </si>
  <si>
    <t>Jesper Karlström</t>
  </si>
  <si>
    <t>Udinese</t>
  </si>
  <si>
    <t>Lucas Bergvall</t>
  </si>
  <si>
    <t>Yasin Ayari</t>
  </si>
  <si>
    <t>Mattias Svanberg</t>
  </si>
  <si>
    <t>Besfort Zeneli</t>
  </si>
  <si>
    <t>Benjamin Nygren</t>
  </si>
  <si>
    <t>Ken Sema</t>
  </si>
  <si>
    <t>Anthony Elanga</t>
  </si>
  <si>
    <t>Taha Ali</t>
  </si>
  <si>
    <t>Malmö FF</t>
  </si>
  <si>
    <t>Alexander Isak</t>
  </si>
  <si>
    <t>Viktor Gyökeres</t>
  </si>
  <si>
    <t>Gustaf Nilsson</t>
  </si>
  <si>
    <t>Thibaut Courtois</t>
  </si>
  <si>
    <t>Senne Lammens</t>
  </si>
  <si>
    <t>Mike Penders</t>
  </si>
  <si>
    <t>Zeno Debast</t>
  </si>
  <si>
    <t>Arthur Theate</t>
  </si>
  <si>
    <t>Brandon Mechele</t>
  </si>
  <si>
    <t>Koni De Winter</t>
  </si>
  <si>
    <t>Nathan Ngoy</t>
  </si>
  <si>
    <t>Maxim De Cuyper</t>
  </si>
  <si>
    <t>Joaquin Seys</t>
  </si>
  <si>
    <t>Thomas Meunier</t>
  </si>
  <si>
    <t>Timothy Castagne</t>
  </si>
  <si>
    <t>Axel Witsel</t>
  </si>
  <si>
    <t>Amadou Onana</t>
  </si>
  <si>
    <t>Youri Tielemans</t>
  </si>
  <si>
    <t>Hans Vanaken</t>
  </si>
  <si>
    <t>Nicolas Raskin</t>
  </si>
  <si>
    <t>Kevin De Bruyne</t>
  </si>
  <si>
    <t>Diego Moreira</t>
  </si>
  <si>
    <t>Leandro Trossard</t>
  </si>
  <si>
    <t>Jérémy Doku</t>
  </si>
  <si>
    <t>Alexis Saelemaekers</t>
  </si>
  <si>
    <t>Dodi Lukébakio</t>
  </si>
  <si>
    <t>Matias Fernandez-Pardo</t>
  </si>
  <si>
    <t>Romelu Lukaku</t>
  </si>
  <si>
    <t>Charles De Ketelaere</t>
  </si>
  <si>
    <t>El Mahdy Soliman</t>
  </si>
  <si>
    <t>Zamalek</t>
  </si>
  <si>
    <t>Mostafa Shobeir</t>
  </si>
  <si>
    <t>Mohamed Alaa</t>
  </si>
  <si>
    <t>El Gouna</t>
  </si>
  <si>
    <t>Yasser Ibrahim</t>
  </si>
  <si>
    <t>Hossam Abdelmaguid</t>
  </si>
  <si>
    <t>Ramy Rabia</t>
  </si>
  <si>
    <t>Mohamed Abdelmonem</t>
  </si>
  <si>
    <t>Ahmed Fatouh</t>
  </si>
  <si>
    <t>Karim Hafez</t>
  </si>
  <si>
    <t>Pyramids</t>
  </si>
  <si>
    <t>Mohamed Hany</t>
  </si>
  <si>
    <t>Tarek Alaa</t>
  </si>
  <si>
    <t>ZED</t>
  </si>
  <si>
    <t>Hamdy Fathy</t>
  </si>
  <si>
    <t>Nabil Emad</t>
  </si>
  <si>
    <t>Al-Najma</t>
  </si>
  <si>
    <t>Marwan Attia</t>
  </si>
  <si>
    <t>Emam Ashour</t>
  </si>
  <si>
    <t>Mohanad Lasheen</t>
  </si>
  <si>
    <t>Mostafa Ziko</t>
  </si>
  <si>
    <t>Mahmoud Saber</t>
  </si>
  <si>
    <t>Trézéguet</t>
  </si>
  <si>
    <t>Haissem Hassan</t>
  </si>
  <si>
    <t>Oviedo</t>
  </si>
  <si>
    <t>Ibrahim Adel</t>
  </si>
  <si>
    <t>Nordsjælland</t>
  </si>
  <si>
    <t>Zizo</t>
  </si>
  <si>
    <t>Hamza Abdelkarim</t>
  </si>
  <si>
    <t>Barcelona B</t>
  </si>
  <si>
    <t>Alireza Beiranvand</t>
  </si>
  <si>
    <t>Tractor</t>
  </si>
  <si>
    <t>Payam Niazmand</t>
  </si>
  <si>
    <t>Persepolis</t>
  </si>
  <si>
    <t>Hossein Hosseini</t>
  </si>
  <si>
    <t>Sepahan</t>
  </si>
  <si>
    <t>Shojae Khalilzadeh</t>
  </si>
  <si>
    <t>Hossein Kanaanizadegan</t>
  </si>
  <si>
    <t>Ali Nemati</t>
  </si>
  <si>
    <t>Foolad</t>
  </si>
  <si>
    <t>Danial Eiri</t>
  </si>
  <si>
    <t>Malavan</t>
  </si>
  <si>
    <t>Ehsan Hajsafi</t>
  </si>
  <si>
    <t>Milad Mohammadi</t>
  </si>
  <si>
    <t>Saleh Hardani</t>
  </si>
  <si>
    <t>Arya Yousefi</t>
  </si>
  <si>
    <t>Ramin Rezaeian</t>
  </si>
  <si>
    <t>Saeid Ezatolahi</t>
  </si>
  <si>
    <t>Shabab Al Ahli</t>
  </si>
  <si>
    <t>Rouzbeh Cheshmi</t>
  </si>
  <si>
    <t>Mohammad Ghorbani</t>
  </si>
  <si>
    <t>Al Wahda</t>
  </si>
  <si>
    <t>Amirmohammad Razzaghinia</t>
  </si>
  <si>
    <t>Saman Ghoddos</t>
  </si>
  <si>
    <t>Kalba</t>
  </si>
  <si>
    <t>Mohammad Mohebi</t>
  </si>
  <si>
    <t>Rostov</t>
  </si>
  <si>
    <t>Mehdi Ghayedi</t>
  </si>
  <si>
    <t>Al Nasr</t>
  </si>
  <si>
    <t>Mahdi Torabi</t>
  </si>
  <si>
    <t>Alireza Jahanbakhsh</t>
  </si>
  <si>
    <t>Amirhossein Hosseinzadeh</t>
  </si>
  <si>
    <t>Mehdi Taremi</t>
  </si>
  <si>
    <t>Ali Alipour</t>
  </si>
  <si>
    <t>Shahriyar Moghanlou</t>
  </si>
  <si>
    <t>Dennis Eckert</t>
  </si>
  <si>
    <t>Standard Liège</t>
  </si>
  <si>
    <t>Max Crocombe</t>
  </si>
  <si>
    <t>Millwall</t>
  </si>
  <si>
    <t>Alex Paulsen</t>
  </si>
  <si>
    <t>Lechia Gdańsk</t>
  </si>
  <si>
    <t>Michael Woud</t>
  </si>
  <si>
    <t>Auckland FC</t>
  </si>
  <si>
    <t>Tyler Bindon</t>
  </si>
  <si>
    <t>Michael Boxall</t>
  </si>
  <si>
    <t>Minnesota United FC</t>
  </si>
  <si>
    <t>Nando Pijnaker</t>
  </si>
  <si>
    <t>Finn Surman</t>
  </si>
  <si>
    <t>Portland Timbers</t>
  </si>
  <si>
    <t>Tommy Smith</t>
  </si>
  <si>
    <t>Braintree Town</t>
  </si>
  <si>
    <t>Francis de Vries</t>
  </si>
  <si>
    <t>Liberato Cacace</t>
  </si>
  <si>
    <t>Tim Payne</t>
  </si>
  <si>
    <t>Wellington Phoenix</t>
  </si>
  <si>
    <t>Callan Elliot</t>
  </si>
  <si>
    <t>Joe Bell</t>
  </si>
  <si>
    <t>Viking</t>
  </si>
  <si>
    <t>Alex Rufer</t>
  </si>
  <si>
    <t>Marko Stamenić</t>
  </si>
  <si>
    <t>Ryan Thomas</t>
  </si>
  <si>
    <t>Lachlan Bayliss</t>
  </si>
  <si>
    <t>Newcastle Jets</t>
  </si>
  <si>
    <t>Sarpreet Singh</t>
  </si>
  <si>
    <t>Ben Old</t>
  </si>
  <si>
    <t>Saint-Étienne</t>
  </si>
  <si>
    <t>Callum McCowatt</t>
  </si>
  <si>
    <t>Silkeborg</t>
  </si>
  <si>
    <t>Elijah Just</t>
  </si>
  <si>
    <t>Motherwell</t>
  </si>
  <si>
    <t>Jesse Randall</t>
  </si>
  <si>
    <t>Logan Rogerson</t>
  </si>
  <si>
    <t>Kosta Barbarouses</t>
  </si>
  <si>
    <t>Western Sydney Wanderers</t>
  </si>
  <si>
    <t>Chris Wood</t>
  </si>
  <si>
    <t>Ben Waine</t>
  </si>
  <si>
    <t>Port Vale</t>
  </si>
  <si>
    <t>Vozinha</t>
  </si>
  <si>
    <t>Chaves</t>
  </si>
  <si>
    <t>Márcio Rosa</t>
  </si>
  <si>
    <t>Montana</t>
  </si>
  <si>
    <t>CJ dos Santos</t>
  </si>
  <si>
    <t>San Diego FC</t>
  </si>
  <si>
    <t>Diney</t>
  </si>
  <si>
    <t>Al Bataeh</t>
  </si>
  <si>
    <t>Pico</t>
  </si>
  <si>
    <t>Shamrock Rovers</t>
  </si>
  <si>
    <t>Logan Costa</t>
  </si>
  <si>
    <t>Kelvin Pires</t>
  </si>
  <si>
    <t>SJK</t>
  </si>
  <si>
    <t>Stopira</t>
  </si>
  <si>
    <t>Torreense</t>
  </si>
  <si>
    <t>Sidny Lopes Cabral</t>
  </si>
  <si>
    <t>Steven Moreira</t>
  </si>
  <si>
    <t>Wagner Pina</t>
  </si>
  <si>
    <t>Kevin Pina</t>
  </si>
  <si>
    <t>Krasnodar</t>
  </si>
  <si>
    <t>Yannick Semedo</t>
  </si>
  <si>
    <t>Farense</t>
  </si>
  <si>
    <t>João Paulo</t>
  </si>
  <si>
    <t>FCSB</t>
  </si>
  <si>
    <t>Deroy Duarte</t>
  </si>
  <si>
    <t>Ludogorets Razgrad</t>
  </si>
  <si>
    <t>Laros Duarte</t>
  </si>
  <si>
    <t>Puskás Akadémia</t>
  </si>
  <si>
    <t>Telmo Arcanjo</t>
  </si>
  <si>
    <t>Vitória de Guimarães</t>
  </si>
  <si>
    <t>Jamiro Monteiro</t>
  </si>
  <si>
    <t>Nuno da Costa</t>
  </si>
  <si>
    <t>Jovane Cabral</t>
  </si>
  <si>
    <t>Estrela Amadora</t>
  </si>
  <si>
    <t>Willy Semedo</t>
  </si>
  <si>
    <t>Omonia</t>
  </si>
  <si>
    <t>Hélio Varela</t>
  </si>
  <si>
    <t>Maccabi Tel Aviv</t>
  </si>
  <si>
    <t>Garry Rodrigues</t>
  </si>
  <si>
    <t>Apollon Limassol</t>
  </si>
  <si>
    <t>Ryan Mendes</t>
  </si>
  <si>
    <t>Gilson Benchimol</t>
  </si>
  <si>
    <t>Akron Tolyatti</t>
  </si>
  <si>
    <t>Dailon Livramento</t>
  </si>
  <si>
    <t>Casa Pia</t>
  </si>
  <si>
    <t>Nawaf Al-Aqidi</t>
  </si>
  <si>
    <t>Al-Nassr</t>
  </si>
  <si>
    <t>Mohammed Al-Owais</t>
  </si>
  <si>
    <t>Al-Ula</t>
  </si>
  <si>
    <t>Ahmed Al-Kassar</t>
  </si>
  <si>
    <t>Ali Lajami</t>
  </si>
  <si>
    <t>Abdulelah Al-Amri</t>
  </si>
  <si>
    <t>Hassan Al-Tambakti</t>
  </si>
  <si>
    <t>Hassan Kadesh</t>
  </si>
  <si>
    <t>Jehad Thakri</t>
  </si>
  <si>
    <t>Nasser Al-Dawsari</t>
  </si>
  <si>
    <t>Moteb Al-Harbi</t>
  </si>
  <si>
    <t>Ali Majrashi</t>
  </si>
  <si>
    <t>Saud Abdulhamid</t>
  </si>
  <si>
    <t>Lens</t>
  </si>
  <si>
    <t>Nawaf Boushal</t>
  </si>
  <si>
    <t>Mohammed Abu Al-Shamat</t>
  </si>
  <si>
    <t>Abdullah Al-Khaibari</t>
  </si>
  <si>
    <t>Alaa Al-Hejji</t>
  </si>
  <si>
    <t>Neom</t>
  </si>
  <si>
    <t>Ziyad Al-Johani</t>
  </si>
  <si>
    <t>Mohamed Kanno</t>
  </si>
  <si>
    <t>Musab Al-Juwayr</t>
  </si>
  <si>
    <t>Salem Al-Dawsari</t>
  </si>
  <si>
    <t>Khalid Al-Ghannam</t>
  </si>
  <si>
    <t>Ayman Yahya</t>
  </si>
  <si>
    <t>Sultan Mandash</t>
  </si>
  <si>
    <t>Firas Al-Buraikan</t>
  </si>
  <si>
    <t>Saleh Al-Shehri</t>
  </si>
  <si>
    <t>Abdullah Al-Hamdan</t>
  </si>
  <si>
    <t>David Raya</t>
  </si>
  <si>
    <t>Joan Garcia</t>
  </si>
  <si>
    <t>Athletic Bilbao</t>
  </si>
  <si>
    <t>Eric García</t>
  </si>
  <si>
    <t>Aymeric Laporte</t>
  </si>
  <si>
    <t>Pau Cubarsí</t>
  </si>
  <si>
    <t>Álex Grimaldo</t>
  </si>
  <si>
    <t>Marc Cucurella</t>
  </si>
  <si>
    <t>Marc Pubill</t>
  </si>
  <si>
    <t>Marcos Llorente</t>
  </si>
  <si>
    <t>Pedro Porro</t>
  </si>
  <si>
    <t>Rodri</t>
  </si>
  <si>
    <t>Martín Zubimendi</t>
  </si>
  <si>
    <t>Mikel Merino</t>
  </si>
  <si>
    <t>Fabián Ruiz</t>
  </si>
  <si>
    <t>Gavi</t>
  </si>
  <si>
    <t>Álex Baena</t>
  </si>
  <si>
    <t>Pedri</t>
  </si>
  <si>
    <t>Ferran Torres</t>
  </si>
  <si>
    <t>Nico Williams</t>
  </si>
  <si>
    <t>Yéremy Pino</t>
  </si>
  <si>
    <t>Lamine Yamal</t>
  </si>
  <si>
    <t>Víctor Muñoz</t>
  </si>
  <si>
    <t>Osasuna</t>
  </si>
  <si>
    <t>Dani Olmo</t>
  </si>
  <si>
    <t>Mikel Oyarzabal</t>
  </si>
  <si>
    <t>Borja Iglesias</t>
  </si>
  <si>
    <t>Sergio Rochet</t>
  </si>
  <si>
    <t>Santiago Mele</t>
  </si>
  <si>
    <t>Monterrey</t>
  </si>
  <si>
    <t>Estudiantes</t>
  </si>
  <si>
    <t>José María Giménez</t>
  </si>
  <si>
    <t>Sebastián Cáceres</t>
  </si>
  <si>
    <t>Ronald Araújo</t>
  </si>
  <si>
    <t>Santiago Bueno</t>
  </si>
  <si>
    <t>Mathías Olivera</t>
  </si>
  <si>
    <t>Matías Viña</t>
  </si>
  <si>
    <t>Guillermo Varela</t>
  </si>
  <si>
    <t>Manuel Ugarte</t>
  </si>
  <si>
    <t>Rodrigo Bentancur</t>
  </si>
  <si>
    <t>Federico Valverde</t>
  </si>
  <si>
    <t>Agustín Canobbio</t>
  </si>
  <si>
    <t>Fluminense</t>
  </si>
  <si>
    <t>Joaquín Piquerez</t>
  </si>
  <si>
    <t>Juan Manuel Sanabria</t>
  </si>
  <si>
    <t>Real Salt Lake</t>
  </si>
  <si>
    <t>Rodrigo Zalazar</t>
  </si>
  <si>
    <t>Nicolás de la Cruz</t>
  </si>
  <si>
    <t>Giorgian de Arrascaeta</t>
  </si>
  <si>
    <t>Brian Rodríguez</t>
  </si>
  <si>
    <t>Maximiliano Araújo</t>
  </si>
  <si>
    <t>Facundo Pellistri</t>
  </si>
  <si>
    <t>Darwin Núñez</t>
  </si>
  <si>
    <t>Rodrigo Aguirre</t>
  </si>
  <si>
    <t>Tigres UANL</t>
  </si>
  <si>
    <t>Federico Viñas</t>
  </si>
  <si>
    <t>Brice Samba</t>
  </si>
  <si>
    <t>Mike Maignan</t>
  </si>
  <si>
    <t>Robin Risser</t>
  </si>
  <si>
    <t>Dayot Upamecano</t>
  </si>
  <si>
    <t>Ibrahima Konaté</t>
  </si>
  <si>
    <t>William Saliba</t>
  </si>
  <si>
    <t>Lucas Hernandez</t>
  </si>
  <si>
    <t>Maxence Lacroix</t>
  </si>
  <si>
    <t>Lucas Digne</t>
  </si>
  <si>
    <t>Théo Hernandez</t>
  </si>
  <si>
    <t>Malo Gusto</t>
  </si>
  <si>
    <t>Jules Koundé</t>
  </si>
  <si>
    <t>N'Golo Kanté</t>
  </si>
  <si>
    <t>Manu Koné</t>
  </si>
  <si>
    <t>Adrien Rabiot</t>
  </si>
  <si>
    <t>Warren Zaïre-Emery</t>
  </si>
  <si>
    <t>Rayan Cherki</t>
  </si>
  <si>
    <t>Maghnes Akliouche</t>
  </si>
  <si>
    <t>Bradley Barcola</t>
  </si>
  <si>
    <t>Désiré Doué</t>
  </si>
  <si>
    <t>Ousmane Dembélé</t>
  </si>
  <si>
    <t>Michael Olise</t>
  </si>
  <si>
    <t>Marcus Thuram</t>
  </si>
  <si>
    <t>Jean-Philippe Mateta</t>
  </si>
  <si>
    <t>Fahad Talib</t>
  </si>
  <si>
    <t>Al-Talaba</t>
  </si>
  <si>
    <t>Jalal Hassan</t>
  </si>
  <si>
    <t>Al-Zawraa</t>
  </si>
  <si>
    <t>Ahmed Basil</t>
  </si>
  <si>
    <t>Al-Shorta</t>
  </si>
  <si>
    <t>Rebin Sulaka</t>
  </si>
  <si>
    <t>Port</t>
  </si>
  <si>
    <t>Zaid Tahseen</t>
  </si>
  <si>
    <t>Pakhtakor</t>
  </si>
  <si>
    <t>Akam Hashim</t>
  </si>
  <si>
    <t>Manaf Younis</t>
  </si>
  <si>
    <t>Frans Putros</t>
  </si>
  <si>
    <t>Persib</t>
  </si>
  <si>
    <t>Ahmed Maknzi</t>
  </si>
  <si>
    <t>Al-Karma</t>
  </si>
  <si>
    <t>Merchas Doski</t>
  </si>
  <si>
    <t>Hussein Ali</t>
  </si>
  <si>
    <t>Pogoń Szczecin</t>
  </si>
  <si>
    <t>Mustafa Saadoon</t>
  </si>
  <si>
    <t>Zaid Ismail</t>
  </si>
  <si>
    <t>Amir Al-Ammari</t>
  </si>
  <si>
    <t>Cracovia</t>
  </si>
  <si>
    <t>Aimar Sher</t>
  </si>
  <si>
    <t>Sarpsborg 08</t>
  </si>
  <si>
    <t>Ibrahim Bayesh</t>
  </si>
  <si>
    <t>Al Dhafra</t>
  </si>
  <si>
    <t>Zidane Iqbal</t>
  </si>
  <si>
    <t>Utrecht</t>
  </si>
  <si>
    <t>Kevin Yakob</t>
  </si>
  <si>
    <t>AGF</t>
  </si>
  <si>
    <t>Youssef Amyn</t>
  </si>
  <si>
    <t>AEK Larnaca</t>
  </si>
  <si>
    <t>Ali Jasim</t>
  </si>
  <si>
    <t>Ahmed Qasem</t>
  </si>
  <si>
    <t>Nashville SC</t>
  </si>
  <si>
    <t>Marko Farji</t>
  </si>
  <si>
    <t>Ali Al-Hamadi</t>
  </si>
  <si>
    <t>Luton Town</t>
  </si>
  <si>
    <t>Mohanad Ali</t>
  </si>
  <si>
    <t>Dibba</t>
  </si>
  <si>
    <t>Ali Yousif</t>
  </si>
  <si>
    <t>Aymen Hussein</t>
  </si>
  <si>
    <t>Ørjan Nyland</t>
  </si>
  <si>
    <t>Sander Tangvik</t>
  </si>
  <si>
    <t>Egil Selvik</t>
  </si>
  <si>
    <t>Kristoffer Ajer</t>
  </si>
  <si>
    <t>Leo Østigård</t>
  </si>
  <si>
    <t>Torbjørn Heggem</t>
  </si>
  <si>
    <t>Sondre Langås</t>
  </si>
  <si>
    <t>Henrik Falchener</t>
  </si>
  <si>
    <t>David Møller Wolfe</t>
  </si>
  <si>
    <t>Fredrik André Bjørkan</t>
  </si>
  <si>
    <t>Bodø/Glimt</t>
  </si>
  <si>
    <t>Marcus Holmgren Pedersen</t>
  </si>
  <si>
    <t>Julian Ryerson</t>
  </si>
  <si>
    <t>Patrick Berg</t>
  </si>
  <si>
    <t>Sander Berge</t>
  </si>
  <si>
    <t>Morten Thorsby</t>
  </si>
  <si>
    <t>Fredrik Aursnes</t>
  </si>
  <si>
    <t>Kristian Thorstvedt</t>
  </si>
  <si>
    <t>Martin Ødegaard</t>
  </si>
  <si>
    <t>Thelo Aasgaard</t>
  </si>
  <si>
    <t>Antonio Nusa</t>
  </si>
  <si>
    <t>Jens Petter Hauge</t>
  </si>
  <si>
    <t>Andreas Schjelderup</t>
  </si>
  <si>
    <t>Oscar Bobb</t>
  </si>
  <si>
    <t>Alexander Sørloth</t>
  </si>
  <si>
    <t>Erling Haaland</t>
  </si>
  <si>
    <t>Jørgen Strand Larsen</t>
  </si>
  <si>
    <t>Yehvann Diouf</t>
  </si>
  <si>
    <t>Édouard Mendy</t>
  </si>
  <si>
    <t>Mory Diaw</t>
  </si>
  <si>
    <t>Mamadou Sarr</t>
  </si>
  <si>
    <t>Kalidou Koulibaly</t>
  </si>
  <si>
    <t>Abdoulaye Seck</t>
  </si>
  <si>
    <t>Moussa Niakhaté</t>
  </si>
  <si>
    <t>Ismail Jakobs</t>
  </si>
  <si>
    <t>El Hadji Malick Diouf</t>
  </si>
  <si>
    <t>Krépin Diatta</t>
  </si>
  <si>
    <t>Antoine Mendy</t>
  </si>
  <si>
    <t>Idrissa Gueye</t>
  </si>
  <si>
    <t>Pathé Ciss</t>
  </si>
  <si>
    <t>Rayo Vallecano</t>
  </si>
  <si>
    <t>Pape Gueye</t>
  </si>
  <si>
    <t>Lamine Camara</t>
  </si>
  <si>
    <t>Pape Matar Sarr</t>
  </si>
  <si>
    <t>Habib Diarra</t>
  </si>
  <si>
    <t>Bara Sapoko Ndiaye</t>
  </si>
  <si>
    <t>Iliman Ndiaye</t>
  </si>
  <si>
    <t>Sadio Mané</t>
  </si>
  <si>
    <t>Ibrahim Mbaye</t>
  </si>
  <si>
    <t>Assane Diao</t>
  </si>
  <si>
    <t>Como</t>
  </si>
  <si>
    <t>Ismaïla Sarr</t>
  </si>
  <si>
    <t>Bamba Dieng</t>
  </si>
  <si>
    <t>Nicolas Jackson</t>
  </si>
  <si>
    <t>Cherif Ndiaye</t>
  </si>
  <si>
    <t>Samsunspor</t>
  </si>
  <si>
    <t>Melvin Mastil</t>
  </si>
  <si>
    <t>Stade Nyonnais</t>
  </si>
  <si>
    <t>Oussama Benbot</t>
  </si>
  <si>
    <t>USM Alger</t>
  </si>
  <si>
    <t>Luca Zidane</t>
  </si>
  <si>
    <t>Granada</t>
  </si>
  <si>
    <t>Aïssa Mandi</t>
  </si>
  <si>
    <t>Mohamed Amine Tougai</t>
  </si>
  <si>
    <t>Zineddine Belaïd</t>
  </si>
  <si>
    <t>JS Kabylie</t>
  </si>
  <si>
    <t>Ramy Bensebaini</t>
  </si>
  <si>
    <t>Samir Chergui</t>
  </si>
  <si>
    <t>Paris FC</t>
  </si>
  <si>
    <t>Achref Abada</t>
  </si>
  <si>
    <t>Jaouen Hadjam</t>
  </si>
  <si>
    <t>Rayan Aït-Nouri</t>
  </si>
  <si>
    <t>Rafik Belghali</t>
  </si>
  <si>
    <t>Hellas Verona</t>
  </si>
  <si>
    <t>Ramiz Zerrouki</t>
  </si>
  <si>
    <t>Twente</t>
  </si>
  <si>
    <t>Nabil Bentaleb</t>
  </si>
  <si>
    <t>Houssem Aouar</t>
  </si>
  <si>
    <t>Hicham Boudaoui</t>
  </si>
  <si>
    <t>Yacine Titraoui</t>
  </si>
  <si>
    <t>Farès Chaïbi</t>
  </si>
  <si>
    <t>Ibrahim Maza</t>
  </si>
  <si>
    <t>Anis Hadj Moussa</t>
  </si>
  <si>
    <t>Adil Boulbina</t>
  </si>
  <si>
    <t>Riyad Mahrez</t>
  </si>
  <si>
    <t>Farès Ghedjemis</t>
  </si>
  <si>
    <t>Frosinone</t>
  </si>
  <si>
    <t>Amine Gouiri</t>
  </si>
  <si>
    <t>Nadhir Benbouali</t>
  </si>
  <si>
    <t>Gyōri ETO</t>
  </si>
  <si>
    <t>Mohamed Amoura</t>
  </si>
  <si>
    <t>Juan Musso</t>
  </si>
  <si>
    <t>Gerónimo Rulli</t>
  </si>
  <si>
    <t>Marcos Senesi</t>
  </si>
  <si>
    <t>Lisandro Martínez</t>
  </si>
  <si>
    <t>Cristian Romero</t>
  </si>
  <si>
    <t>Nicolás Otamendi</t>
  </si>
  <si>
    <t>Facundo Medina</t>
  </si>
  <si>
    <t>Nicolás Tagliafico</t>
  </si>
  <si>
    <t>Valentín Barco</t>
  </si>
  <si>
    <t>Nahuel Molina</t>
  </si>
  <si>
    <t>Boca Juniors</t>
  </si>
  <si>
    <t>Rodrigo De Paul</t>
  </si>
  <si>
    <t>Exequiel Palacios</t>
  </si>
  <si>
    <t>Alexis Mac Allister</t>
  </si>
  <si>
    <t>Giovani Lo Celso</t>
  </si>
  <si>
    <t>Thiago Almada</t>
  </si>
  <si>
    <t>Nico Paz</t>
  </si>
  <si>
    <t>Nicolás González</t>
  </si>
  <si>
    <t>Giuliano Simeone</t>
  </si>
  <si>
    <t>Julián Alvarez</t>
  </si>
  <si>
    <t>José Manuel López</t>
  </si>
  <si>
    <t>Alexander Schlager</t>
  </si>
  <si>
    <t>Florian Wiegele</t>
  </si>
  <si>
    <t>Patrick Pentz</t>
  </si>
  <si>
    <t>David Affengruber</t>
  </si>
  <si>
    <t>Elche</t>
  </si>
  <si>
    <t>Kevin Danso</t>
  </si>
  <si>
    <t>Philipp Lienhart</t>
  </si>
  <si>
    <t>Marco Friedl</t>
  </si>
  <si>
    <t>Michael Svoboda</t>
  </si>
  <si>
    <t>David Alaba</t>
  </si>
  <si>
    <t>Phillipp Mwene</t>
  </si>
  <si>
    <t>Stefan Posch</t>
  </si>
  <si>
    <t>Xaver Schlager</t>
  </si>
  <si>
    <t>Nicolas Seiwald</t>
  </si>
  <si>
    <t>Florian Grillitsch</t>
  </si>
  <si>
    <t>Marcel Sabitzer</t>
  </si>
  <si>
    <t>Konrad Laimer</t>
  </si>
  <si>
    <t>Alexander Prass</t>
  </si>
  <si>
    <t>Alessandro Schöpf</t>
  </si>
  <si>
    <t>Wolfsberger AC</t>
  </si>
  <si>
    <t>Carney Chukwuemeka</t>
  </si>
  <si>
    <t>Romano Schmid</t>
  </si>
  <si>
    <t>Dejan Ljubičić</t>
  </si>
  <si>
    <t>Paul Wanner</t>
  </si>
  <si>
    <t>Patrick Wimmer</t>
  </si>
  <si>
    <t>Marko Arnautović</t>
  </si>
  <si>
    <t>Michael Gregoritsch</t>
  </si>
  <si>
    <t>Saša Kalajdžić</t>
  </si>
  <si>
    <t>LASK</t>
  </si>
  <si>
    <t>Yazeed Abulaila</t>
  </si>
  <si>
    <t>Al-Hussein</t>
  </si>
  <si>
    <t>Nour Bani Attiah</t>
  </si>
  <si>
    <t>Al-Faisaly</t>
  </si>
  <si>
    <t>Abdallah Al-Fakhouri</t>
  </si>
  <si>
    <t>Al-Wehdat</t>
  </si>
  <si>
    <t>Abdallah Nasib</t>
  </si>
  <si>
    <t>Husam Abu Dahab</t>
  </si>
  <si>
    <t>Yazan Al-Arab</t>
  </si>
  <si>
    <t>FC Seoul</t>
  </si>
  <si>
    <t>Salim Obaid</t>
  </si>
  <si>
    <t>Saed Al-Rosan</t>
  </si>
  <si>
    <t>Mohammad Abu Hashish</t>
  </si>
  <si>
    <t>Mo Abualnadi</t>
  </si>
  <si>
    <t>Selangor</t>
  </si>
  <si>
    <t>Ihsan Haddad</t>
  </si>
  <si>
    <t>Anas Badawi</t>
  </si>
  <si>
    <t>Rajaei Ayed</t>
  </si>
  <si>
    <t>Nizar Al-Rashdan</t>
  </si>
  <si>
    <t>Qatar SC</t>
  </si>
  <si>
    <t>Amer Jamous</t>
  </si>
  <si>
    <t>Noor Al-Rawabdeh</t>
  </si>
  <si>
    <t>Ibrahim Sadeh</t>
  </si>
  <si>
    <t>Mohammad Taha</t>
  </si>
  <si>
    <t>Mohammad Al-Dawoud</t>
  </si>
  <si>
    <t>Mohannad Abu Taha</t>
  </si>
  <si>
    <t>Al-Quwa Al-Jawiya</t>
  </si>
  <si>
    <t>Mohammad Abu Zrayq</t>
  </si>
  <si>
    <t>Raja Casablanca</t>
  </si>
  <si>
    <t>Mahmoud Al-Mardi</t>
  </si>
  <si>
    <t>Musa Al-Taamari</t>
  </si>
  <si>
    <t>Odeh Al-Fakhouri</t>
  </si>
  <si>
    <t>Ali Azaizeh</t>
  </si>
  <si>
    <t>Al-Shabab</t>
  </si>
  <si>
    <t>Ali Olwan</t>
  </si>
  <si>
    <t>Al-Sailiya</t>
  </si>
  <si>
    <t>Atlético Nacional</t>
  </si>
  <si>
    <t>Atlas</t>
  </si>
  <si>
    <t>Álvaro Montero</t>
  </si>
  <si>
    <t>Vélez Sarsfield</t>
  </si>
  <si>
    <t>Jhon Lucumí</t>
  </si>
  <si>
    <t>Yerry Mina</t>
  </si>
  <si>
    <t>Cagliari</t>
  </si>
  <si>
    <t>Willer Ditta</t>
  </si>
  <si>
    <t>Davinson Sánchez</t>
  </si>
  <si>
    <t>Johan Mojica</t>
  </si>
  <si>
    <t>Mallorca</t>
  </si>
  <si>
    <t>Deiver Machado</t>
  </si>
  <si>
    <t>Nantes</t>
  </si>
  <si>
    <t>Santiago Arias</t>
  </si>
  <si>
    <t>Gustavo Puerta</t>
  </si>
  <si>
    <t>Racing Santander</t>
  </si>
  <si>
    <t>Kevin Castaño</t>
  </si>
  <si>
    <t>Jefferson Lerma</t>
  </si>
  <si>
    <t>Richard Ríos</t>
  </si>
  <si>
    <t>Juan Portilla</t>
  </si>
  <si>
    <t>Athletico Paranaense</t>
  </si>
  <si>
    <t>Jorge Carrascal</t>
  </si>
  <si>
    <t>Juan Fernando Quintero</t>
  </si>
  <si>
    <t>Jaminton Campaz</t>
  </si>
  <si>
    <t>Rosario Central</t>
  </si>
  <si>
    <t>Jhon Arias</t>
  </si>
  <si>
    <t>Andrés Gómez</t>
  </si>
  <si>
    <t>Vasco da Gama</t>
  </si>
  <si>
    <t>Jhon Córdoba</t>
  </si>
  <si>
    <t>Cucho Hernández</t>
  </si>
  <si>
    <t>Luis Suárez</t>
  </si>
  <si>
    <t>Lionel Mpasi</t>
  </si>
  <si>
    <t>Timothy Fayulu</t>
  </si>
  <si>
    <t>Noah</t>
  </si>
  <si>
    <t>Matthieu Epolo</t>
  </si>
  <si>
    <t>Steve Kapuadi</t>
  </si>
  <si>
    <t>Widzew Łódź</t>
  </si>
  <si>
    <t>Axel Tuanzebe</t>
  </si>
  <si>
    <t>Dylan Batubinsika</t>
  </si>
  <si>
    <t>AEL</t>
  </si>
  <si>
    <t>Chancel Mbemba</t>
  </si>
  <si>
    <t>Joris Kayembe</t>
  </si>
  <si>
    <t>Arthur Masuaku</t>
  </si>
  <si>
    <t>Aaron Wan-Bissaka</t>
  </si>
  <si>
    <t>Gédéon Kalulu</t>
  </si>
  <si>
    <t>Aris Limassol</t>
  </si>
  <si>
    <t>Ngal'ayel Mukau</t>
  </si>
  <si>
    <t>Charles Pickel</t>
  </si>
  <si>
    <t>Espanyol</t>
  </si>
  <si>
    <t>Samuel Moutoussamy</t>
  </si>
  <si>
    <t>Atromitos</t>
  </si>
  <si>
    <t>Noah Sadiki</t>
  </si>
  <si>
    <t>Aaron Tshibola</t>
  </si>
  <si>
    <t>Edo Kayembe</t>
  </si>
  <si>
    <t>Théo Bongonda</t>
  </si>
  <si>
    <t>Spartak Moscow</t>
  </si>
  <si>
    <t>Nathanaël Mbuku</t>
  </si>
  <si>
    <t>Montpellier</t>
  </si>
  <si>
    <t>Meschak Elia</t>
  </si>
  <si>
    <t>Alanyaspor</t>
  </si>
  <si>
    <t>Yoane Wissa</t>
  </si>
  <si>
    <t>Brian Cipenga</t>
  </si>
  <si>
    <t>Gaël Kakuta</t>
  </si>
  <si>
    <t>Cédric Bakambu</t>
  </si>
  <si>
    <t>Fiston Mayele</t>
  </si>
  <si>
    <t>Simon Banza</t>
  </si>
  <si>
    <t>Al Jazira</t>
  </si>
  <si>
    <t>Diogo Costa</t>
  </si>
  <si>
    <t>José Sá</t>
  </si>
  <si>
    <t>Rui Silva</t>
  </si>
  <si>
    <t>Rúben Dias</t>
  </si>
  <si>
    <t>Tomás Araújo</t>
  </si>
  <si>
    <t>Renato Veiga</t>
  </si>
  <si>
    <t>Gonçalo Inácio</t>
  </si>
  <si>
    <t>Nuno Mendes</t>
  </si>
  <si>
    <t>Nélson Semedo</t>
  </si>
  <si>
    <t>Diogo Dalot</t>
  </si>
  <si>
    <t>João Cancelo</t>
  </si>
  <si>
    <t>Rúben Neves</t>
  </si>
  <si>
    <t>Samú Costa</t>
  </si>
  <si>
    <t>Matheus Nunes</t>
  </si>
  <si>
    <t>João Neves</t>
  </si>
  <si>
    <t>Vitinha</t>
  </si>
  <si>
    <t>Bruno Fernandes</t>
  </si>
  <si>
    <t>Bernardo Silva</t>
  </si>
  <si>
    <t>Rafael Leão</t>
  </si>
  <si>
    <t>Gonçalo Guedes</t>
  </si>
  <si>
    <t>Francisco Trincão</t>
  </si>
  <si>
    <t>Pedro Neto</t>
  </si>
  <si>
    <t>Francisco Conceição</t>
  </si>
  <si>
    <t>Gonçalo Ramos</t>
  </si>
  <si>
    <t>João Félix</t>
  </si>
  <si>
    <t>Utkir Yusupov</t>
  </si>
  <si>
    <t>Navbahor Namangan</t>
  </si>
  <si>
    <t>Abduvohid Nematov</t>
  </si>
  <si>
    <t>Nasaf</t>
  </si>
  <si>
    <t>Botirali Ergashev</t>
  </si>
  <si>
    <t>Neftchi Fergana</t>
  </si>
  <si>
    <t>Abdukodir Khusanov</t>
  </si>
  <si>
    <t>Rustam Ashurmatov</t>
  </si>
  <si>
    <t>Umar Eshmurodov</t>
  </si>
  <si>
    <t>Abdulla Abdullaev</t>
  </si>
  <si>
    <t>Avazbek Ulmasaliev</t>
  </si>
  <si>
    <t>AGMK</t>
  </si>
  <si>
    <t>Jakhongir Urozov</t>
  </si>
  <si>
    <t>Dinamo Samarqand</t>
  </si>
  <si>
    <t>Farrukh Sayfiev</t>
  </si>
  <si>
    <t>Sherzod Nasrullaev</t>
  </si>
  <si>
    <t>Bekhruz Karimov</t>
  </si>
  <si>
    <t>Surkhon Termiz</t>
  </si>
  <si>
    <t>Khojiakbar Alijonov</t>
  </si>
  <si>
    <t>Akmal Mozgovoy</t>
  </si>
  <si>
    <t>Odiljon Hamrobekov</t>
  </si>
  <si>
    <t>Otabek Shukurov</t>
  </si>
  <si>
    <t>Baniyas</t>
  </si>
  <si>
    <t>Jamshid Iskanderov</t>
  </si>
  <si>
    <t>Azizjon Ganiev</t>
  </si>
  <si>
    <t>Sherzod Esanov</t>
  </si>
  <si>
    <t>Bukhara</t>
  </si>
  <si>
    <t>Ruslanbek Jiyanov</t>
  </si>
  <si>
    <t>Dostonbek Khamdamov</t>
  </si>
  <si>
    <t>Abbosbek Fayzullaev</t>
  </si>
  <si>
    <t>Oston Urunov</t>
  </si>
  <si>
    <t>Azizbek Amonov</t>
  </si>
  <si>
    <t>Eldor Shomurodov</t>
  </si>
  <si>
    <t>Igor Sergeev</t>
  </si>
  <si>
    <t>Ivor Pandur</t>
  </si>
  <si>
    <t>Dominik Kotarski</t>
  </si>
  <si>
    <t>Marin Pongračić</t>
  </si>
  <si>
    <t>Fiorentina</t>
  </si>
  <si>
    <t>Duje Ćaleta-Car</t>
  </si>
  <si>
    <t>Josip Šutalo</t>
  </si>
  <si>
    <t>Luka Vušković</t>
  </si>
  <si>
    <t>Martin Erlić</t>
  </si>
  <si>
    <t>Joško Gvardiol</t>
  </si>
  <si>
    <t>Josip Stanišić</t>
  </si>
  <si>
    <t>Kristijan Jakić</t>
  </si>
  <si>
    <t>Nikola Moro</t>
  </si>
  <si>
    <t>Petar Sučić</t>
  </si>
  <si>
    <t>Martin Baturina</t>
  </si>
  <si>
    <t>Toni Fruk</t>
  </si>
  <si>
    <t>Luka Sučić</t>
  </si>
  <si>
    <t>Ivan Perišić</t>
  </si>
  <si>
    <t>Marco Pašalić</t>
  </si>
  <si>
    <t>Ante Budimir</t>
  </si>
  <si>
    <t>Igor Matanović</t>
  </si>
  <si>
    <t>Petar Musa</t>
  </si>
  <si>
    <t>Dean Henderson</t>
  </si>
  <si>
    <t>James Trafford</t>
  </si>
  <si>
    <t>Ezri Konsa</t>
  </si>
  <si>
    <t>John Stones</t>
  </si>
  <si>
    <t>Marc Guéhi</t>
  </si>
  <si>
    <t>Trevoh Chalobah</t>
  </si>
  <si>
    <t>Jarell Quansah</t>
  </si>
  <si>
    <t>Nico O'Reilly</t>
  </si>
  <si>
    <t>Dan Burn</t>
  </si>
  <si>
    <t>Reece James</t>
  </si>
  <si>
    <t>Djed Spence</t>
  </si>
  <si>
    <t>Declan Rice</t>
  </si>
  <si>
    <t>Kobbie Mainoo</t>
  </si>
  <si>
    <t>Elliot Anderson</t>
  </si>
  <si>
    <t>Jude Bellingham</t>
  </si>
  <si>
    <t>Morgan Rogers</t>
  </si>
  <si>
    <t>Eberechi Eze</t>
  </si>
  <si>
    <t>Anthony Gordon</t>
  </si>
  <si>
    <t>Bukayo Saka</t>
  </si>
  <si>
    <t>Noni Madueke</t>
  </si>
  <si>
    <t>Ollie Watkins</t>
  </si>
  <si>
    <t>Ivan Toney</t>
  </si>
  <si>
    <t>Lawrence Ati-Zigi</t>
  </si>
  <si>
    <t>St. Gallen</t>
  </si>
  <si>
    <t>Joseph Anang</t>
  </si>
  <si>
    <t>St Patrick's Athletic</t>
  </si>
  <si>
    <t>Benjamin Asare</t>
  </si>
  <si>
    <t>Hearts of Oak</t>
  </si>
  <si>
    <t>Jonas Adjetey</t>
  </si>
  <si>
    <t>Abdul Mumin</t>
  </si>
  <si>
    <t>Jerome Opoku</t>
  </si>
  <si>
    <t>Kojo Peprah Oppong</t>
  </si>
  <si>
    <t>Derrick Luckassen</t>
  </si>
  <si>
    <t>Gideon Mensah</t>
  </si>
  <si>
    <t>Abdul Rahman Baba</t>
  </si>
  <si>
    <t>Alidu Seidu</t>
  </si>
  <si>
    <t>Marvin Senaya</t>
  </si>
  <si>
    <t>Thomas Partey</t>
  </si>
  <si>
    <t>Elisha Owusu</t>
  </si>
  <si>
    <t>Caleb Yirenkyi</t>
  </si>
  <si>
    <t>Kwasi Sibo</t>
  </si>
  <si>
    <t>Augustine Boakye</t>
  </si>
  <si>
    <t>Antoine Semenyo</t>
  </si>
  <si>
    <t>Iñaki Williams</t>
  </si>
  <si>
    <t>Kamaldeen Sulemana</t>
  </si>
  <si>
    <t>Abdul Fatawu</t>
  </si>
  <si>
    <t>Christopher Bonsu Baah</t>
  </si>
  <si>
    <t>Ernest Nuamah</t>
  </si>
  <si>
    <t>Jordan Ayew</t>
  </si>
  <si>
    <t>Brandon Thomas-Asante</t>
  </si>
  <si>
    <t>Prince Kwabena Adu</t>
  </si>
  <si>
    <t>Luis Mejía</t>
  </si>
  <si>
    <t>Nacional</t>
  </si>
  <si>
    <t>César Samudio</t>
  </si>
  <si>
    <t>Marathón</t>
  </si>
  <si>
    <t>Orlando Mosquera</t>
  </si>
  <si>
    <t>Al-Fayha</t>
  </si>
  <si>
    <t>José Córdoba</t>
  </si>
  <si>
    <t>Fidel Escobar</t>
  </si>
  <si>
    <t>Saprissa</t>
  </si>
  <si>
    <t>Edgardo Fariña</t>
  </si>
  <si>
    <t>Pari Nizhny Novgorod</t>
  </si>
  <si>
    <t>Jiovany Ramos</t>
  </si>
  <si>
    <t>Puerto Cabello</t>
  </si>
  <si>
    <t>Carlos Harvey</t>
  </si>
  <si>
    <t>Roderick Miller</t>
  </si>
  <si>
    <t>Turan Tovuz</t>
  </si>
  <si>
    <t>Eric Davis</t>
  </si>
  <si>
    <t>Plaza Amador</t>
  </si>
  <si>
    <t>Andrés Andrade</t>
  </si>
  <si>
    <t>Jorge Gutiérrez</t>
  </si>
  <si>
    <t>Deportivo La Guaira</t>
  </si>
  <si>
    <t>César Blackman</t>
  </si>
  <si>
    <t>Slovan Bratislava</t>
  </si>
  <si>
    <t>Michael Amir Murillo</t>
  </si>
  <si>
    <t>Cristian Martínez</t>
  </si>
  <si>
    <t>Ironi Kiryat Shmona</t>
  </si>
  <si>
    <t>Aníbal Godoy</t>
  </si>
  <si>
    <t>Adalberto Carrasquilla</t>
  </si>
  <si>
    <t>Alberto Quintero</t>
  </si>
  <si>
    <t>José Luis Rodríguez</t>
  </si>
  <si>
    <t>Juárez</t>
  </si>
  <si>
    <t>Yoel Bárcenas</t>
  </si>
  <si>
    <t>Mazatlán</t>
  </si>
  <si>
    <t>César Yanis</t>
  </si>
  <si>
    <t>Cobresal</t>
  </si>
  <si>
    <t>Ismael Díaz</t>
  </si>
  <si>
    <t>León</t>
  </si>
  <si>
    <t>Tomás Rodríguez</t>
  </si>
  <si>
    <t>José Fajardo</t>
  </si>
  <si>
    <t>Universidad Católica</t>
  </si>
  <si>
    <t>Cecilio Waterman</t>
  </si>
  <si>
    <t>Universidad de Concepción</t>
  </si>
  <si>
    <t>Azarias Londoño</t>
  </si>
  <si>
    <t>1930.0</t>
  </si>
  <si>
    <t xml:space="preserve">13 Jul 1930 - 15:00 </t>
  </si>
  <si>
    <t>Group 1</t>
  </si>
  <si>
    <t>Pocitos</t>
  </si>
  <si>
    <t xml:space="preserve">Montevideo </t>
  </si>
  <si>
    <t>4.0</t>
  </si>
  <si>
    <t>1.0</t>
  </si>
  <si>
    <t xml:space="preserve"> </t>
  </si>
  <si>
    <t>Group 4</t>
  </si>
  <si>
    <t>Parque Central</t>
  </si>
  <si>
    <t>3.0</t>
  </si>
  <si>
    <t>0.0</t>
  </si>
  <si>
    <t xml:space="preserve">14 Jul 1930 - 12:45 </t>
  </si>
  <si>
    <t>Group 2</t>
  </si>
  <si>
    <t>2.0</t>
  </si>
  <si>
    <t xml:space="preserve">14 Jul 1930 - 14:50 </t>
  </si>
  <si>
    <t>Group 3</t>
  </si>
  <si>
    <t xml:space="preserve">15 Jul 1930 - 16:00 </t>
  </si>
  <si>
    <t xml:space="preserve">16 Jul 1930 - 14:45 </t>
  </si>
  <si>
    <t xml:space="preserve">17 Jul 1930 - 12:45 </t>
  </si>
  <si>
    <t xml:space="preserve">17 Jul 1930 - 14:45 </t>
  </si>
  <si>
    <t xml:space="preserve">18 Jul 1930 - 14:30 </t>
  </si>
  <si>
    <t>Estadio Centenario</t>
  </si>
  <si>
    <t xml:space="preserve">19 Jul 1930 - 12:50 </t>
  </si>
  <si>
    <t xml:space="preserve">19 Jul 1930 - 15:00 </t>
  </si>
  <si>
    <t>6.0</t>
  </si>
  <si>
    <t xml:space="preserve">20 Jul 1930 - 13:00 </t>
  </si>
  <si>
    <t xml:space="preserve">20 Jul 1930 - 15:00 </t>
  </si>
  <si>
    <t xml:space="preserve">21 Jul 1930 - 14:50 </t>
  </si>
  <si>
    <t xml:space="preserve">22 Jul 1930 - 14:45 </t>
  </si>
  <si>
    <t xml:space="preserve">26 Jul 1930 - 14:45 </t>
  </si>
  <si>
    <t xml:space="preserve">27 Jul 1930 - 14:45 </t>
  </si>
  <si>
    <t xml:space="preserve">30 Jul 1930 - 14:15 </t>
  </si>
  <si>
    <t>1934.0</t>
  </si>
  <si>
    <t xml:space="preserve">27 May 1934 - 16:30 </t>
  </si>
  <si>
    <t>Preliminary round</t>
  </si>
  <si>
    <t>Stadio Benito Mussolini</t>
  </si>
  <si>
    <t xml:space="preserve">Turin </t>
  </si>
  <si>
    <t xml:space="preserve">Austria win after extra time </t>
  </si>
  <si>
    <t>Giorgio Ascarelli</t>
  </si>
  <si>
    <t xml:space="preserve">Naples </t>
  </si>
  <si>
    <t>San Siro</t>
  </si>
  <si>
    <t xml:space="preserve">Milan </t>
  </si>
  <si>
    <t>Littorale</t>
  </si>
  <si>
    <t xml:space="preserve">Bologna </t>
  </si>
  <si>
    <t>Giovanni Berta</t>
  </si>
  <si>
    <t xml:space="preserve">Florence </t>
  </si>
  <si>
    <t>5.0</t>
  </si>
  <si>
    <t>Luigi Ferraris</t>
  </si>
  <si>
    <t xml:space="preserve">Genoa </t>
  </si>
  <si>
    <t>Nazionale PNF</t>
  </si>
  <si>
    <t xml:space="preserve">Rome </t>
  </si>
  <si>
    <t>7.0</t>
  </si>
  <si>
    <t>Littorio</t>
  </si>
  <si>
    <t xml:space="preserve">Trieste </t>
  </si>
  <si>
    <t xml:space="preserve">31 May 1934 - 16:30 </t>
  </si>
  <si>
    <t xml:space="preserve">01 Jun 1934 - 16:30 </t>
  </si>
  <si>
    <t xml:space="preserve">03 Jun 1934 - 16:30 </t>
  </si>
  <si>
    <t xml:space="preserve">07 Jun 1934 - 18:00 </t>
  </si>
  <si>
    <t>Match for third place</t>
  </si>
  <si>
    <t xml:space="preserve">10 Jun 1934 - 17:30 </t>
  </si>
  <si>
    <t xml:space="preserve">Italy win after extra time </t>
  </si>
  <si>
    <t>1938.0</t>
  </si>
  <si>
    <t xml:space="preserve">04 Jun 1938 - 17:00 </t>
  </si>
  <si>
    <t>First round</t>
  </si>
  <si>
    <t>Parc des Princes</t>
  </si>
  <si>
    <t xml:space="preserve">Paris </t>
  </si>
  <si>
    <t xml:space="preserve">05 Jun 1938 - 17:00 </t>
  </si>
  <si>
    <t>Velodrome Municipale</t>
  </si>
  <si>
    <t xml:space="preserve">Reims </t>
  </si>
  <si>
    <t>Dutch East Indies</t>
  </si>
  <si>
    <t>Stade Olympique</t>
  </si>
  <si>
    <t xml:space="preserve">Colombes </t>
  </si>
  <si>
    <t>Stade Municipal</t>
  </si>
  <si>
    <t xml:space="preserve">Toulouse </t>
  </si>
  <si>
    <t>Stade V�lodrome</t>
  </si>
  <si>
    <t xml:space="preserve">Marseilles </t>
  </si>
  <si>
    <t xml:space="preserve">05 Jun 1938 - 17:30 </t>
  </si>
  <si>
    <t>Stade de la Meinau</t>
  </si>
  <si>
    <t xml:space="preserve">Strasbourg </t>
  </si>
  <si>
    <t xml:space="preserve">Brazil win after extra time </t>
  </si>
  <si>
    <t xml:space="preserve">05 Jun 1938 - 18:30 </t>
  </si>
  <si>
    <t>Cavee Verte</t>
  </si>
  <si>
    <t xml:space="preserve">Le Havre </t>
  </si>
  <si>
    <t xml:space="preserve">Czechoslovakia win after extra time </t>
  </si>
  <si>
    <t xml:space="preserve">09 Jun 1938 - 18:00 </t>
  </si>
  <si>
    <t xml:space="preserve">12 Jun 1938 - 17:00 </t>
  </si>
  <si>
    <t>Stade du Parc Lescure</t>
  </si>
  <si>
    <t xml:space="preserve">Bordeaux </t>
  </si>
  <si>
    <t>Victor Boucquey</t>
  </si>
  <si>
    <t xml:space="preserve">Lille </t>
  </si>
  <si>
    <t>Fort Carree</t>
  </si>
  <si>
    <t xml:space="preserve">Antibes </t>
  </si>
  <si>
    <t>8.0</t>
  </si>
  <si>
    <t xml:space="preserve">14 Jun 1938 - 18:00 </t>
  </si>
  <si>
    <t xml:space="preserve">16 Jun 1938 - 18:00 </t>
  </si>
  <si>
    <t xml:space="preserve">19 Jun 1938 - 17:00 </t>
  </si>
  <si>
    <t>1950.0</t>
  </si>
  <si>
    <t xml:space="preserve">24 Jun 1950 - 15:00 </t>
  </si>
  <si>
    <t>Maracan� - Est�dio Jornalista M�rio Filho</t>
  </si>
  <si>
    <t xml:space="preserve">Rio De Janeiro </t>
  </si>
  <si>
    <t xml:space="preserve">25 Jun 1950 - 15:00 </t>
  </si>
  <si>
    <t>Durival de Brito</t>
  </si>
  <si>
    <t xml:space="preserve">Curitiba </t>
  </si>
  <si>
    <t>Pacaembu</t>
  </si>
  <si>
    <t xml:space="preserve">Sao Paulo </t>
  </si>
  <si>
    <t>Independencia</t>
  </si>
  <si>
    <t xml:space="preserve">Belo Horizonte </t>
  </si>
  <si>
    <t xml:space="preserve">28 Jun 1950 - 15:00 </t>
  </si>
  <si>
    <t>Eucaliptos</t>
  </si>
  <si>
    <t xml:space="preserve">Porto Alegre </t>
  </si>
  <si>
    <t xml:space="preserve">29 Jun 1950 - 15:00 </t>
  </si>
  <si>
    <t xml:space="preserve">29 Jun 1950 - 15:30 </t>
  </si>
  <si>
    <t xml:space="preserve">01 Jul 1950 - 15:00 </t>
  </si>
  <si>
    <t xml:space="preserve">02 Jul 1950 - 15:00 </t>
  </si>
  <si>
    <t xml:space="preserve">02 Jul 1950 - 15:40 </t>
  </si>
  <si>
    <t>Ilha do Retiro</t>
  </si>
  <si>
    <t xml:space="preserve">Recife </t>
  </si>
  <si>
    <t xml:space="preserve">09 Jul 1950 - 15:00 </t>
  </si>
  <si>
    <t>Group 6</t>
  </si>
  <si>
    <t xml:space="preserve">13 Jul 1950 - 15:00 </t>
  </si>
  <si>
    <t xml:space="preserve">16 Jul 1950 - 15:00 </t>
  </si>
  <si>
    <t>1954.0</t>
  </si>
  <si>
    <t xml:space="preserve">16 Jun 1954 - 18:00 </t>
  </si>
  <si>
    <t>Wankdorf Stadium</t>
  </si>
  <si>
    <t xml:space="preserve">Berne </t>
  </si>
  <si>
    <t>Hardturm</t>
  </si>
  <si>
    <t xml:space="preserve">Zurich </t>
  </si>
  <si>
    <t>Charmilles</t>
  </si>
  <si>
    <t xml:space="preserve">Geneva </t>
  </si>
  <si>
    <t>La Pontaise</t>
  </si>
  <si>
    <t xml:space="preserve">Lausanne </t>
  </si>
  <si>
    <t xml:space="preserve">17 Jun 1954 - 18:00 </t>
  </si>
  <si>
    <t>9.0</t>
  </si>
  <si>
    <t>Korea Republic</t>
  </si>
  <si>
    <t xml:space="preserve">17 Jun 1954 - 18:10 </t>
  </si>
  <si>
    <t>St. Jakob</t>
  </si>
  <si>
    <t xml:space="preserve">Basel </t>
  </si>
  <si>
    <t xml:space="preserve">17 Jun 1954 - 17:50 </t>
  </si>
  <si>
    <t xml:space="preserve">19 Jun 1954 - 16:50 </t>
  </si>
  <si>
    <t xml:space="preserve">19 Jun 1954 - 17:00 </t>
  </si>
  <si>
    <t xml:space="preserve">19 Jun 1954 - 17:10 </t>
  </si>
  <si>
    <t xml:space="preserve">20 Jun 1954 - 16:50 </t>
  </si>
  <si>
    <t xml:space="preserve">20 Jun 1954 - 17:00 </t>
  </si>
  <si>
    <t xml:space="preserve">20 Jun 1954 - 17:10 </t>
  </si>
  <si>
    <t>Comunale di Cornaredo</t>
  </si>
  <si>
    <t xml:space="preserve">Lugano </t>
  </si>
  <si>
    <t xml:space="preserve">23 Jun 1954 - 18:00 </t>
  </si>
  <si>
    <t xml:space="preserve">26 Jun 1954 - 17:00 </t>
  </si>
  <si>
    <t xml:space="preserve">27 Jun 1954 - 17:00 </t>
  </si>
  <si>
    <t xml:space="preserve">30 Jun 1954 - 18:00 </t>
  </si>
  <si>
    <t xml:space="preserve">Hungary win after extra time </t>
  </si>
  <si>
    <t xml:space="preserve">03 Jul 1954 - 17:00 </t>
  </si>
  <si>
    <t xml:space="preserve">04 Jul 1954 - 17:00 </t>
  </si>
  <si>
    <t>1958.0</t>
  </si>
  <si>
    <t xml:space="preserve">08 Jun 1958 - 14:00 </t>
  </si>
  <si>
    <t>Rasunda Stadium</t>
  </si>
  <si>
    <t xml:space="preserve">Solna </t>
  </si>
  <si>
    <t xml:space="preserve">08 Jun 1958 - 19:00 </t>
  </si>
  <si>
    <t>Nya Ullevi</t>
  </si>
  <si>
    <t xml:space="preserve">Gothenburg </t>
  </si>
  <si>
    <t>Malmo Stadion</t>
  </si>
  <si>
    <t xml:space="preserve">Malm� </t>
  </si>
  <si>
    <t>Jarnvallen</t>
  </si>
  <si>
    <t xml:space="preserve">Sandviken </t>
  </si>
  <si>
    <t>Idrottsparken</t>
  </si>
  <si>
    <t xml:space="preserve">Norrk�Ping </t>
  </si>
  <si>
    <t>Arosvallen</t>
  </si>
  <si>
    <t xml:space="preserve">Vasteras </t>
  </si>
  <si>
    <t>Rimnersvallen</t>
  </si>
  <si>
    <t xml:space="preserve">Udevalla </t>
  </si>
  <si>
    <t>Orjans Vall</t>
  </si>
  <si>
    <t xml:space="preserve">Halmstad </t>
  </si>
  <si>
    <t xml:space="preserve">11 Jun 1958 - 19:00 </t>
  </si>
  <si>
    <t>Ryavallen</t>
  </si>
  <si>
    <t xml:space="preserve">Boras </t>
  </si>
  <si>
    <t>Olympia Stadium</t>
  </si>
  <si>
    <t xml:space="preserve">Helsingborg </t>
  </si>
  <si>
    <t xml:space="preserve">12 Jun 1958 - 19:00 </t>
  </si>
  <si>
    <t xml:space="preserve">15 Jun 1958 - 14:00 </t>
  </si>
  <si>
    <t xml:space="preserve">15 Jun 1958 - 19:00 </t>
  </si>
  <si>
    <t>Tunavallen</t>
  </si>
  <si>
    <t xml:space="preserve">Eskilstuna </t>
  </si>
  <si>
    <t>Eyravallen</t>
  </si>
  <si>
    <t xml:space="preserve">Orebro </t>
  </si>
  <si>
    <t xml:space="preserve">17 Jun 1958 - 19:00 </t>
  </si>
  <si>
    <t xml:space="preserve">Northern Ireland win after extra time </t>
  </si>
  <si>
    <t xml:space="preserve">19 Jun 1958 - 19:00 </t>
  </si>
  <si>
    <t xml:space="preserve">24 Jun 1958 - 19:00 </t>
  </si>
  <si>
    <t xml:space="preserve">28 Jun 1958 - 17:00 </t>
  </si>
  <si>
    <t xml:space="preserve">29 Jun 1958 - 15:00 </t>
  </si>
  <si>
    <t>1962.0</t>
  </si>
  <si>
    <t xml:space="preserve">30 May 1962 - 15:00 </t>
  </si>
  <si>
    <t>Carlos Dittborn</t>
  </si>
  <si>
    <t xml:space="preserve">Arica </t>
  </si>
  <si>
    <t>Estadio Sausalito</t>
  </si>
  <si>
    <t xml:space="preserve">Vina Del Mar </t>
  </si>
  <si>
    <t>Estadio El Teniente-Codelco</t>
  </si>
  <si>
    <t xml:space="preserve">Rancagua </t>
  </si>
  <si>
    <t xml:space="preserve">Santiago De Chile </t>
  </si>
  <si>
    <t xml:space="preserve">31 May 1962 - 15:00 </t>
  </si>
  <si>
    <t xml:space="preserve">02 Jun 1962 - 15:00 </t>
  </si>
  <si>
    <t xml:space="preserve">03 Jun 1962 - 15:00 </t>
  </si>
  <si>
    <t xml:space="preserve">06 Jun 1962 - 15:00 </t>
  </si>
  <si>
    <t xml:space="preserve">07 Jun 1962 - 15:00 </t>
  </si>
  <si>
    <t xml:space="preserve">10 Jun 1962 - 14:30 </t>
  </si>
  <si>
    <t xml:space="preserve">13 Jun 1962 - 14:30 </t>
  </si>
  <si>
    <t xml:space="preserve">16 Jun 1962 - 14:30 </t>
  </si>
  <si>
    <t xml:space="preserve">17 Jun 1962 - 14:30 </t>
  </si>
  <si>
    <t>1966.0</t>
  </si>
  <si>
    <t xml:space="preserve">11 Jul 1966 - 19:30 </t>
  </si>
  <si>
    <t>Wembley Stadium</t>
  </si>
  <si>
    <t xml:space="preserve">London </t>
  </si>
  <si>
    <t xml:space="preserve">12 Jul 1966 - 19:30 </t>
  </si>
  <si>
    <t>Hillsborough</t>
  </si>
  <si>
    <t xml:space="preserve">Sheffield </t>
  </si>
  <si>
    <t>Goodison Park</t>
  </si>
  <si>
    <t xml:space="preserve">Liverpool </t>
  </si>
  <si>
    <t>Ayresome Park</t>
  </si>
  <si>
    <t xml:space="preserve">Middlesbrough </t>
  </si>
  <si>
    <t xml:space="preserve">13 Jul 1966 - 19:30 </t>
  </si>
  <si>
    <t>Old Trafford Stadium</t>
  </si>
  <si>
    <t xml:space="preserve">Manchester </t>
  </si>
  <si>
    <t>Villa Park</t>
  </si>
  <si>
    <t xml:space="preserve">Birmingham </t>
  </si>
  <si>
    <t>Roker Park Ground</t>
  </si>
  <si>
    <t xml:space="preserve">Sunderland </t>
  </si>
  <si>
    <t xml:space="preserve">15 Jul 1966 - 19:30 </t>
  </si>
  <si>
    <t>White City</t>
  </si>
  <si>
    <t xml:space="preserve">16 Jul 1966 - 15:00 </t>
  </si>
  <si>
    <t xml:space="preserve">16 Jul 1966 - 19:30 </t>
  </si>
  <si>
    <t xml:space="preserve">19 Jul 1966 - 16:30 </t>
  </si>
  <si>
    <t xml:space="preserve">19 Jul 1966 - 19:30 </t>
  </si>
  <si>
    <t xml:space="preserve">20 Jul 1966 - 19:30 </t>
  </si>
  <si>
    <t xml:space="preserve">23 Jul 1966 - 15:00 </t>
  </si>
  <si>
    <t xml:space="preserve">25 Jul 1966 - 19:30 </t>
  </si>
  <si>
    <t xml:space="preserve">26 Jul 1966 - 19:30 </t>
  </si>
  <si>
    <t xml:space="preserve">28 Jul 1966 - 19:30 </t>
  </si>
  <si>
    <t xml:space="preserve">30 Jul 1966 - 15:00 </t>
  </si>
  <si>
    <t xml:space="preserve">England win after extra time </t>
  </si>
  <si>
    <t>1970.0</t>
  </si>
  <si>
    <t xml:space="preserve">31 May 1970 - 12:00 </t>
  </si>
  <si>
    <t>Estadio Azteca</t>
  </si>
  <si>
    <t xml:space="preserve">Mexico City </t>
  </si>
  <si>
    <t xml:space="preserve">02 Jun 1970 - 16:00 </t>
  </si>
  <si>
    <t>Cuauhtemoc</t>
  </si>
  <si>
    <t xml:space="preserve">Puebla </t>
  </si>
  <si>
    <t>Israel</t>
  </si>
  <si>
    <t>Nou Camp - Estadio Le�n</t>
  </si>
  <si>
    <t xml:space="preserve">Leon </t>
  </si>
  <si>
    <t>Jalisco</t>
  </si>
  <si>
    <t xml:space="preserve">Guadalajara </t>
  </si>
  <si>
    <t xml:space="preserve">03 Jun 1970 - 16:00 </t>
  </si>
  <si>
    <t>Luis Dosal</t>
  </si>
  <si>
    <t xml:space="preserve">Toluca </t>
  </si>
  <si>
    <t>El Salvador</t>
  </si>
  <si>
    <t xml:space="preserve">06 Jun 1970 - 16:00 </t>
  </si>
  <si>
    <t xml:space="preserve">07 Jun 1970 - 12:00 </t>
  </si>
  <si>
    <t xml:space="preserve">10 Jun 1970 - 16:00 </t>
  </si>
  <si>
    <t xml:space="preserve">11 Jun 1970 - 16:00 </t>
  </si>
  <si>
    <t xml:space="preserve">14 Jun 1970 - 12:00 </t>
  </si>
  <si>
    <t xml:space="preserve">Germany FR win after extra time </t>
  </si>
  <si>
    <t xml:space="preserve">Uruguay win after extra time </t>
  </si>
  <si>
    <t xml:space="preserve">17 Jun 1970 - 16:00 </t>
  </si>
  <si>
    <t xml:space="preserve">17 June 1970 - 16:00 </t>
  </si>
  <si>
    <t xml:space="preserve">20 Jun 1970 - 16:00 </t>
  </si>
  <si>
    <t xml:space="preserve">21 Jun 1970 - 12:00 </t>
  </si>
  <si>
    <t>1974.0</t>
  </si>
  <si>
    <t xml:space="preserve">13 Jun 1974 - 17:00 </t>
  </si>
  <si>
    <t>Waldstadion</t>
  </si>
  <si>
    <t xml:space="preserve">Frankfurt/Main </t>
  </si>
  <si>
    <t xml:space="preserve">14 Jun 1974 - 16:00 </t>
  </si>
  <si>
    <t>Olympiastadion</t>
  </si>
  <si>
    <t xml:space="preserve">Berlin West </t>
  </si>
  <si>
    <t xml:space="preserve">14 Jun 1974 - 19:30 </t>
  </si>
  <si>
    <t>Volksparkstadion</t>
  </si>
  <si>
    <t xml:space="preserve">Hamburg </t>
  </si>
  <si>
    <t>Westfalenstadion</t>
  </si>
  <si>
    <t xml:space="preserve">Dortmund </t>
  </si>
  <si>
    <t xml:space="preserve">15 Jun 1974 - 16:00 </t>
  </si>
  <si>
    <t>Niedersachsenstadion</t>
  </si>
  <si>
    <t xml:space="preserve">Hanover </t>
  </si>
  <si>
    <t>Rheinstadion</t>
  </si>
  <si>
    <t xml:space="preserve">D�Sseldorf </t>
  </si>
  <si>
    <t xml:space="preserve">15 Jun 1974 - 18:00 </t>
  </si>
  <si>
    <t xml:space="preserve">Munich </t>
  </si>
  <si>
    <t>Neckarstadion</t>
  </si>
  <si>
    <t xml:space="preserve">Stuttgart </t>
  </si>
  <si>
    <t xml:space="preserve">18 Jun 1974 - 16:00 </t>
  </si>
  <si>
    <t xml:space="preserve">18 Jun 1974 - 19:30 </t>
  </si>
  <si>
    <t>Parkstadion</t>
  </si>
  <si>
    <t xml:space="preserve">Gelsenkirchen </t>
  </si>
  <si>
    <t xml:space="preserve">19 Jun 1974 - 19:30 </t>
  </si>
  <si>
    <t xml:space="preserve">22 Jun 1974 - 16:00 </t>
  </si>
  <si>
    <t xml:space="preserve">22 June 1974 - 19:30 </t>
  </si>
  <si>
    <t xml:space="preserve">23 Jun 1974 - 16:00 </t>
  </si>
  <si>
    <t xml:space="preserve">26 Jun 1974 - 16:00 </t>
  </si>
  <si>
    <t>Group B</t>
  </si>
  <si>
    <t xml:space="preserve">26 Jun 1974 - 19:30 </t>
  </si>
  <si>
    <t>Group A</t>
  </si>
  <si>
    <t xml:space="preserve">30 Jun 1974 - 16:00 </t>
  </si>
  <si>
    <t xml:space="preserve">30 Jun 1974 - 19:30 </t>
  </si>
  <si>
    <t xml:space="preserve">03 Jul 1974 - 17:00 </t>
  </si>
  <si>
    <t xml:space="preserve">03 Jul 1974 - 19:30 </t>
  </si>
  <si>
    <t xml:space="preserve">06 Jul 1974 - 16:00 </t>
  </si>
  <si>
    <t xml:space="preserve">07 July 1974 - 16:00 </t>
  </si>
  <si>
    <t>1978.0</t>
  </si>
  <si>
    <t xml:space="preserve">01 Jun 1978 - 15:00 </t>
  </si>
  <si>
    <t>El Monumental - Estadio Monumental Antonio Vespuci</t>
  </si>
  <si>
    <t xml:space="preserve">Buenos Aires </t>
  </si>
  <si>
    <t xml:space="preserve">02 Jun 1978 - 13:45 </t>
  </si>
  <si>
    <t>Estadio Jos� Mar�a Minella</t>
  </si>
  <si>
    <t xml:space="preserve">Mar Del Plata </t>
  </si>
  <si>
    <t xml:space="preserve">02 Jun 1978 - 16:45 </t>
  </si>
  <si>
    <t>Arroyito - Estadio Dr. Lisandro de la Torre</t>
  </si>
  <si>
    <t xml:space="preserve">Rosario </t>
  </si>
  <si>
    <t xml:space="preserve">02 Jun 1978 - 19:15 </t>
  </si>
  <si>
    <t xml:space="preserve">03 Jun 1978 - 13:45 </t>
  </si>
  <si>
    <t>Jose Amalfitani</t>
  </si>
  <si>
    <t xml:space="preserve">03 Jun 1978 - 16:45 </t>
  </si>
  <si>
    <t>Estadio Ol�mpico Chateau Carreras</t>
  </si>
  <si>
    <t xml:space="preserve">Cordoba </t>
  </si>
  <si>
    <t>San Martin</t>
  </si>
  <si>
    <t xml:space="preserve">Mendoza </t>
  </si>
  <si>
    <t xml:space="preserve">06 Jun 1978 - 13:45 </t>
  </si>
  <si>
    <t xml:space="preserve">06 Jun 1978 - 16:45 </t>
  </si>
  <si>
    <t xml:space="preserve">06 Jun 1978 - 19:15 </t>
  </si>
  <si>
    <t xml:space="preserve">07 Jun 1978 - 13:45 </t>
  </si>
  <si>
    <t xml:space="preserve">07 Jun 1978 - 16:45 </t>
  </si>
  <si>
    <t xml:space="preserve">10 Jun 1978 - 15:10 </t>
  </si>
  <si>
    <t xml:space="preserve">10 Jun 1978 - 16:45 </t>
  </si>
  <si>
    <t xml:space="preserve">10 Jun 1978 - 19:15 </t>
  </si>
  <si>
    <t xml:space="preserve">11 Jun 1978 - 13:45 </t>
  </si>
  <si>
    <t xml:space="preserve">11 Jun 1978 - 16:45 </t>
  </si>
  <si>
    <t xml:space="preserve">14 Jun 1978 - 13:45 </t>
  </si>
  <si>
    <t xml:space="preserve">14 Jun 1978 - 16:45 </t>
  </si>
  <si>
    <t xml:space="preserve">14 Jun 1978 - 19:15 </t>
  </si>
  <si>
    <t xml:space="preserve">18 Jun 1978 - 13:45 </t>
  </si>
  <si>
    <t xml:space="preserve">18 Jun 1978 - 16:45 </t>
  </si>
  <si>
    <t xml:space="preserve">18 Jun 1978 - 19:15 </t>
  </si>
  <si>
    <t xml:space="preserve">21 Jun 1978 - 13:45 </t>
  </si>
  <si>
    <t xml:space="preserve">21 Jun 1978 - 16:45 </t>
  </si>
  <si>
    <t xml:space="preserve">21 Jun 1978 - 19:15 </t>
  </si>
  <si>
    <t xml:space="preserve">24 Jun 1978 - 15:00 </t>
  </si>
  <si>
    <t xml:space="preserve">25 Jun 1978 - 15:00 </t>
  </si>
  <si>
    <t xml:space="preserve">Argentina win after extra time </t>
  </si>
  <si>
    <t>1982.0</t>
  </si>
  <si>
    <t xml:space="preserve">13 Jun 1982 - 20:00 </t>
  </si>
  <si>
    <t>Camp Nou</t>
  </si>
  <si>
    <t xml:space="preserve">Barcelona </t>
  </si>
  <si>
    <t xml:space="preserve">14 Jun 1982 - 17:15 </t>
  </si>
  <si>
    <t>Estadio Municipal de Bala�dos</t>
  </si>
  <si>
    <t xml:space="preserve">Vigo </t>
  </si>
  <si>
    <t xml:space="preserve">14 Jun 1982 - 21:00 </t>
  </si>
  <si>
    <t>Ramon Sanchez Pizjuan</t>
  </si>
  <si>
    <t xml:space="preserve">Seville </t>
  </si>
  <si>
    <t xml:space="preserve">15 Jun 1982 - 17:15 </t>
  </si>
  <si>
    <t>Riazor</t>
  </si>
  <si>
    <t xml:space="preserve">La Coru�A </t>
  </si>
  <si>
    <t xml:space="preserve">15 Jun 1982 - 21:00 </t>
  </si>
  <si>
    <t>Nuevo Estadio</t>
  </si>
  <si>
    <t xml:space="preserve">Elche </t>
  </si>
  <si>
    <t>10.0</t>
  </si>
  <si>
    <t>La Rosaleda</t>
  </si>
  <si>
    <t xml:space="preserve">Malaga </t>
  </si>
  <si>
    <t xml:space="preserve">16 Jun 1982 - 17:15 </t>
  </si>
  <si>
    <t>El Molinon</t>
  </si>
  <si>
    <t xml:space="preserve">Gijon </t>
  </si>
  <si>
    <t>San Mames</t>
  </si>
  <si>
    <t xml:space="preserve">Bilbao </t>
  </si>
  <si>
    <t xml:space="preserve">16 Jun 1982 - 21:00 </t>
  </si>
  <si>
    <t>Group 5</t>
  </si>
  <si>
    <t>Luis Casanova</t>
  </si>
  <si>
    <t xml:space="preserve">Valencia </t>
  </si>
  <si>
    <t xml:space="preserve">17 Jun 1982 - 17:15 </t>
  </si>
  <si>
    <t>Carlos Tartiere</t>
  </si>
  <si>
    <t xml:space="preserve">Oviedo </t>
  </si>
  <si>
    <t xml:space="preserve">17 Jun 1982 - 17:45 </t>
  </si>
  <si>
    <t>Jose Zorrilla</t>
  </si>
  <si>
    <t xml:space="preserve">Valladolid </t>
  </si>
  <si>
    <t>Kuwait</t>
  </si>
  <si>
    <t xml:space="preserve">17 Jun 1982 - 21:00 </t>
  </si>
  <si>
    <t>La Romareda</t>
  </si>
  <si>
    <t xml:space="preserve">Zaragoza </t>
  </si>
  <si>
    <t xml:space="preserve">18 Jun 1982 - 17:15 </t>
  </si>
  <si>
    <t xml:space="preserve">18 Jun 1982 - 21:00 </t>
  </si>
  <si>
    <t>Jose Rico Perez</t>
  </si>
  <si>
    <t xml:space="preserve">Alicante </t>
  </si>
  <si>
    <t>Benito Villamarin</t>
  </si>
  <si>
    <t xml:space="preserve">19 Jun 1982 - 19:15 </t>
  </si>
  <si>
    <t xml:space="preserve">19 Jun 1982 - 21:00 </t>
  </si>
  <si>
    <t xml:space="preserve">20 Jun 1982 - 17:15 </t>
  </si>
  <si>
    <t xml:space="preserve">20 Jun 1982 - 21:00 </t>
  </si>
  <si>
    <t xml:space="preserve">21 Jun 1982 - 17:15 </t>
  </si>
  <si>
    <t xml:space="preserve">21 Jun 1982 - 21:00 </t>
  </si>
  <si>
    <t xml:space="preserve">22 Jun 1982 - 17:15 </t>
  </si>
  <si>
    <t xml:space="preserve">22 Jun 1982 - 21:00 </t>
  </si>
  <si>
    <t xml:space="preserve">23 Jun 1982 - 17:15 </t>
  </si>
  <si>
    <t xml:space="preserve">23 Jun 1982 - 21:00 </t>
  </si>
  <si>
    <t xml:space="preserve">24 Jun 1982 - 17:15 </t>
  </si>
  <si>
    <t xml:space="preserve">24 Jun 1982 - 21:00 </t>
  </si>
  <si>
    <t xml:space="preserve">25 Jun 1982 - 17:15 </t>
  </si>
  <si>
    <t xml:space="preserve">25 Jun 1982 - 21:00 </t>
  </si>
  <si>
    <t xml:space="preserve">28 Jun 1982 - 17:15 </t>
  </si>
  <si>
    <t>Vicente Calderon</t>
  </si>
  <si>
    <t xml:space="preserve">Madrid </t>
  </si>
  <si>
    <t xml:space="preserve">28 Jun 1982 - 21:00 </t>
  </si>
  <si>
    <t xml:space="preserve">29 Jun 1982 - 17:15 </t>
  </si>
  <si>
    <t>Sarria</t>
  </si>
  <si>
    <t xml:space="preserve">29 Jun 1982 - 21:00 </t>
  </si>
  <si>
    <t>Santiago Bernabeu</t>
  </si>
  <si>
    <t xml:space="preserve">01 Jul 1982 - 17:15 </t>
  </si>
  <si>
    <t xml:space="preserve">01 Jul 1982 - 21:00 </t>
  </si>
  <si>
    <t xml:space="preserve">02 Jul 1982 - 17:15 </t>
  </si>
  <si>
    <t xml:space="preserve">02 Jul 1982 - 21:00 </t>
  </si>
  <si>
    <t xml:space="preserve">04 Jul 1982 - 17:15 </t>
  </si>
  <si>
    <t xml:space="preserve">04 Jul 1982 - 21:00 </t>
  </si>
  <si>
    <t xml:space="preserve">05 Jul 1982 - 17:15 </t>
  </si>
  <si>
    <t xml:space="preserve">05 Jul 1982 - 21:00 </t>
  </si>
  <si>
    <t xml:space="preserve">08 Jul 1982 - 17:15 </t>
  </si>
  <si>
    <t xml:space="preserve">08 Jul 1982 - 21:00 </t>
  </si>
  <si>
    <t xml:space="preserve">10 Jul 1982 - 20:00 </t>
  </si>
  <si>
    <t xml:space="preserve">11 Jul 1982 - 20:00 </t>
  </si>
  <si>
    <t>1986.0</t>
  </si>
  <si>
    <t xml:space="preserve">31 May 1986 - 12:00 </t>
  </si>
  <si>
    <t xml:space="preserve">01 Jun 1986 - 16:00 </t>
  </si>
  <si>
    <t>Group C</t>
  </si>
  <si>
    <t xml:space="preserve">01 Jun 1986 - 12:00 </t>
  </si>
  <si>
    <t>Group D</t>
  </si>
  <si>
    <t xml:space="preserve">02 Jun 1986 - 12:00 </t>
  </si>
  <si>
    <t>Estadio Irapuato</t>
  </si>
  <si>
    <t xml:space="preserve">Irapuato </t>
  </si>
  <si>
    <t>Estadio Ol�mpico Universitario</t>
  </si>
  <si>
    <t xml:space="preserve">02 Jun 1986 - 16:00 </t>
  </si>
  <si>
    <t>Group F</t>
  </si>
  <si>
    <t>Estadio Universitario</t>
  </si>
  <si>
    <t xml:space="preserve">Monterrey </t>
  </si>
  <si>
    <t xml:space="preserve">03 Jun 1986 - 12:00 </t>
  </si>
  <si>
    <t>Tres de Marzo</t>
  </si>
  <si>
    <t xml:space="preserve">03 Jun 1986 - 16:00 </t>
  </si>
  <si>
    <t>Tecnologico</t>
  </si>
  <si>
    <t xml:space="preserve">04 Jun 1986 - 12:00 </t>
  </si>
  <si>
    <t>Bombonera - Estadio Nemesio Diez</t>
  </si>
  <si>
    <t xml:space="preserve">04 Jun 1986 - 16:00 </t>
  </si>
  <si>
    <t>Group E</t>
  </si>
  <si>
    <t>Neza</t>
  </si>
  <si>
    <t xml:space="preserve">Nezahualcoyotl </t>
  </si>
  <si>
    <t>Estadio Corregidora</t>
  </si>
  <si>
    <t xml:space="preserve">Queretaro </t>
  </si>
  <si>
    <t xml:space="preserve">05 Jun 1986 - 12:00 </t>
  </si>
  <si>
    <t xml:space="preserve">05 Jun 1986 - 16:00 </t>
  </si>
  <si>
    <t xml:space="preserve">06 Jun 1986 - 12:00 </t>
  </si>
  <si>
    <t xml:space="preserve">06 Jun 1986 - 16:00 </t>
  </si>
  <si>
    <t xml:space="preserve">07 Jun 1986 - 12:00 </t>
  </si>
  <si>
    <t xml:space="preserve">07 Jun 1986 - 16:00 </t>
  </si>
  <si>
    <t xml:space="preserve">08 Jun 1986 - 12:00 </t>
  </si>
  <si>
    <t xml:space="preserve">08 Jun 1986 - 16:00 </t>
  </si>
  <si>
    <t xml:space="preserve">09 Jun 1986 - 12:00 </t>
  </si>
  <si>
    <t xml:space="preserve">10 Jun 1986 - 12:00 </t>
  </si>
  <si>
    <t xml:space="preserve">11 Jun 1986 - 12:00 </t>
  </si>
  <si>
    <t xml:space="preserve">11 Jun 1986 - 16:00 </t>
  </si>
  <si>
    <t xml:space="preserve">12 Jun 1986 - 12:00 </t>
  </si>
  <si>
    <t xml:space="preserve">13 Jun 1986 - 12:00 </t>
  </si>
  <si>
    <t xml:space="preserve">15 Jun 1986 - 16:00 </t>
  </si>
  <si>
    <t xml:space="preserve">Belgium win after extra time </t>
  </si>
  <si>
    <t xml:space="preserve">15 Jun 1986 - 12:00 </t>
  </si>
  <si>
    <t xml:space="preserve">16 Jun 1986 - 16:00 </t>
  </si>
  <si>
    <t xml:space="preserve">16 Jun 1986 - 12:00 </t>
  </si>
  <si>
    <t xml:space="preserve">17 Jun 1986 - 12:00 </t>
  </si>
  <si>
    <t xml:space="preserve">17 Jun 1986 - 16:00 </t>
  </si>
  <si>
    <t xml:space="preserve">18 Jun 1986 - 12:00 </t>
  </si>
  <si>
    <t xml:space="preserve">18 Jun 1986 - 16:00 </t>
  </si>
  <si>
    <t xml:space="preserve">21 Jun 1986 - 12:00 </t>
  </si>
  <si>
    <t xml:space="preserve">France win on penalties (3 - 4) </t>
  </si>
  <si>
    <t xml:space="preserve">21 Jun 1986 - 16:00 </t>
  </si>
  <si>
    <t xml:space="preserve">Germany FR win on penalties (4 - 1) </t>
  </si>
  <si>
    <t xml:space="preserve">22 Jun 1986 - 16:00 </t>
  </si>
  <si>
    <t xml:space="preserve">Belgium win on penalties (4 - 5) </t>
  </si>
  <si>
    <t xml:space="preserve">22 Jun 1986 - 12:00 </t>
  </si>
  <si>
    <t xml:space="preserve">25 Jun 1986 - 12:00 </t>
  </si>
  <si>
    <t xml:space="preserve">25 Jun 1986 - 16:00 </t>
  </si>
  <si>
    <t xml:space="preserve">28 Jun 1986 - 12:00 </t>
  </si>
  <si>
    <t xml:space="preserve">France win after extra time </t>
  </si>
  <si>
    <t xml:space="preserve">29 Jun 1986 - 12:00 </t>
  </si>
  <si>
    <t>1990.0</t>
  </si>
  <si>
    <t xml:space="preserve">08 Jun 1990 - 18:00 </t>
  </si>
  <si>
    <t>Giuseppe Meazza</t>
  </si>
  <si>
    <t xml:space="preserve">09 Jun 1990 - 17:00 </t>
  </si>
  <si>
    <t>Stadio San Nicola</t>
  </si>
  <si>
    <t xml:space="preserve">Bari </t>
  </si>
  <si>
    <t>Renato Dall Ara</t>
  </si>
  <si>
    <t xml:space="preserve">09 Jun 1990 - 21:00 </t>
  </si>
  <si>
    <t>Stadio Olimpico</t>
  </si>
  <si>
    <t xml:space="preserve">10 Jun 1990 - 17:00 </t>
  </si>
  <si>
    <t>Comunale</t>
  </si>
  <si>
    <t xml:space="preserve">10 Jun 1990 - 21:00 </t>
  </si>
  <si>
    <t>Stadio delle Alpi</t>
  </si>
  <si>
    <t xml:space="preserve">11 Jun 1990 - 17:00 </t>
  </si>
  <si>
    <t xml:space="preserve">11 Jun 1990 - 21:00 </t>
  </si>
  <si>
    <t>Sant Elia</t>
  </si>
  <si>
    <t xml:space="preserve">Cagliari </t>
  </si>
  <si>
    <t xml:space="preserve">12 Jun 1990 - 17:00 </t>
  </si>
  <si>
    <t>Marc Antonio Bentegodi</t>
  </si>
  <si>
    <t xml:space="preserve">Verona </t>
  </si>
  <si>
    <t xml:space="preserve">12 Jun 1990 - 21:00 </t>
  </si>
  <si>
    <t>Della Favorita</t>
  </si>
  <si>
    <t xml:space="preserve">Palermo </t>
  </si>
  <si>
    <t xml:space="preserve">13 Jun 1990 - 17:00 </t>
  </si>
  <si>
    <t>Dacia Arena</t>
  </si>
  <si>
    <t xml:space="preserve">Udine </t>
  </si>
  <si>
    <t xml:space="preserve">13 Jun 1990 - 21:00 </t>
  </si>
  <si>
    <t>San Paolo</t>
  </si>
  <si>
    <t xml:space="preserve">14 Jun 1990 - 17:00 </t>
  </si>
  <si>
    <t xml:space="preserve">14 Jun 1990 - 21:00 </t>
  </si>
  <si>
    <t xml:space="preserve">15 Jun 1990 - 17:00 </t>
  </si>
  <si>
    <t xml:space="preserve">15 Jun 1990 - 21:00 </t>
  </si>
  <si>
    <t xml:space="preserve">16 Jun 1990 - 17:00 </t>
  </si>
  <si>
    <t xml:space="preserve">16 Jun 1990 - 21:00 </t>
  </si>
  <si>
    <t xml:space="preserve">17 Jun 1990 - 17:00 </t>
  </si>
  <si>
    <t xml:space="preserve">17 Jun 1990 - 21:00 </t>
  </si>
  <si>
    <t xml:space="preserve">18 Jun 1990 - 21:00 </t>
  </si>
  <si>
    <t xml:space="preserve">19 Jun 1990 - 17:00 </t>
  </si>
  <si>
    <t xml:space="preserve">19 Jun 1990 - 21:00 </t>
  </si>
  <si>
    <t xml:space="preserve">20 Jun 1990 - 21:00 </t>
  </si>
  <si>
    <t xml:space="preserve">21 Jun 1990 - 17:00 </t>
  </si>
  <si>
    <t>Friuli</t>
  </si>
  <si>
    <t xml:space="preserve">21 Jun 1990 - 21:00 </t>
  </si>
  <si>
    <t xml:space="preserve">23 Jun 1990 - 17:00 </t>
  </si>
  <si>
    <t xml:space="preserve">Cameroon win after extra time </t>
  </si>
  <si>
    <t xml:space="preserve">23 Jun 1990 - 21:00 </t>
  </si>
  <si>
    <t xml:space="preserve">24 Jun 1990 - 17:00 </t>
  </si>
  <si>
    <t xml:space="preserve">24 Jun 1990 - 21:00 </t>
  </si>
  <si>
    <t xml:space="preserve">25 Jun 1990 - 17:00 </t>
  </si>
  <si>
    <t xml:space="preserve">Republic of Ireland win on penalties (5 - 4) </t>
  </si>
  <si>
    <t xml:space="preserve">25 Jun 1990 - 21:00 </t>
  </si>
  <si>
    <t xml:space="preserve">26 Jun 1990 - 17:00 </t>
  </si>
  <si>
    <t xml:space="preserve">Yugoslavia win after extra time </t>
  </si>
  <si>
    <t xml:space="preserve">26 Jun 1990 - 21:00 </t>
  </si>
  <si>
    <t xml:space="preserve">30 Jun 1990 - 17:00 </t>
  </si>
  <si>
    <t xml:space="preserve"> win on penalties (2 - 3) </t>
  </si>
  <si>
    <t xml:space="preserve">30 Jun 1990 - 21:00 </t>
  </si>
  <si>
    <t xml:space="preserve">01 Jul 1990 - 17:00 </t>
  </si>
  <si>
    <t xml:space="preserve">01 Jul 1990 - 21:00 </t>
  </si>
  <si>
    <t xml:space="preserve">03 Jul 1990 - 20:00 </t>
  </si>
  <si>
    <t xml:space="preserve"> win on penalties (3 - 4) </t>
  </si>
  <si>
    <t xml:space="preserve">04 Jul 1990 - 20:00 </t>
  </si>
  <si>
    <t xml:space="preserve"> win on penalties (4 - 3) </t>
  </si>
  <si>
    <t xml:space="preserve">07 Jul 1990 - 20:00 </t>
  </si>
  <si>
    <t xml:space="preserve">08 Jul 1990 - 20:00 </t>
  </si>
  <si>
    <t>1994.0</t>
  </si>
  <si>
    <t xml:space="preserve">17 Jun 1994 - 19:30 </t>
  </si>
  <si>
    <t>Cotton Bowl</t>
  </si>
  <si>
    <t xml:space="preserve">Dallas </t>
  </si>
  <si>
    <t xml:space="preserve">17 Jun 1994 - 15:00 </t>
  </si>
  <si>
    <t>Soldier Field</t>
  </si>
  <si>
    <t xml:space="preserve">Chicago </t>
  </si>
  <si>
    <t xml:space="preserve">18 Jun 1994 - 11:30 </t>
  </si>
  <si>
    <t>Pontiac Silverdome</t>
  </si>
  <si>
    <t xml:space="preserve">Detroit </t>
  </si>
  <si>
    <t xml:space="preserve">18 Jun 1994 - 16:00 </t>
  </si>
  <si>
    <t>Giants Stadium</t>
  </si>
  <si>
    <t xml:space="preserve">New York/New Jersey </t>
  </si>
  <si>
    <t xml:space="preserve">18 Jun 1994 - 19:30 </t>
  </si>
  <si>
    <t>Rose Bowl</t>
  </si>
  <si>
    <t xml:space="preserve">Los Angeles </t>
  </si>
  <si>
    <t xml:space="preserve">19 Jun 1994 - 12:30 </t>
  </si>
  <si>
    <t>Citrus Bowl</t>
  </si>
  <si>
    <t xml:space="preserve">Orlando </t>
  </si>
  <si>
    <t xml:space="preserve">19 Jun 1994 - 16:00 </t>
  </si>
  <si>
    <t>RFK Stadium</t>
  </si>
  <si>
    <t xml:space="preserve">Washington Dc </t>
  </si>
  <si>
    <t xml:space="preserve">19 Jun 1994 - 19:30 </t>
  </si>
  <si>
    <t xml:space="preserve">20 Jun 1994 - 19:30 </t>
  </si>
  <si>
    <t xml:space="preserve">20 Jun 1994 - 16:00 </t>
  </si>
  <si>
    <t>Stanford Stadium</t>
  </si>
  <si>
    <t xml:space="preserve">San Francisco </t>
  </si>
  <si>
    <t xml:space="preserve">21 Jun 1994 - 12:30 </t>
  </si>
  <si>
    <t>Foxboro Stadium</t>
  </si>
  <si>
    <t xml:space="preserve">Boston </t>
  </si>
  <si>
    <t xml:space="preserve">21 Jun 1994 - 19:30 </t>
  </si>
  <si>
    <t xml:space="preserve">21 Jun 1994 - 16:00 </t>
  </si>
  <si>
    <t xml:space="preserve">22 Jun 1994 - 16:00 </t>
  </si>
  <si>
    <t xml:space="preserve">22 Jun 1994 - 19:30 </t>
  </si>
  <si>
    <t xml:space="preserve">23 Jun 1994 - 16:00 </t>
  </si>
  <si>
    <t xml:space="preserve">23 Jun 1994 - 19:30 </t>
  </si>
  <si>
    <t xml:space="preserve">24 Jun 1994 - 12:30 </t>
  </si>
  <si>
    <t xml:space="preserve">24 Jun 1994 - 19:30 </t>
  </si>
  <si>
    <t xml:space="preserve">24 Jun 1994 - 16:00 </t>
  </si>
  <si>
    <t xml:space="preserve">25 Jun 1994 - 12:30 </t>
  </si>
  <si>
    <t xml:space="preserve">25 Jun 1994 - 16:00 </t>
  </si>
  <si>
    <t xml:space="preserve">26 Jun 1994 - 12:30 </t>
  </si>
  <si>
    <t xml:space="preserve">26 Jun 1994 - 16:00 </t>
  </si>
  <si>
    <t xml:space="preserve">27 Jun 1994 - 16:00 </t>
  </si>
  <si>
    <t xml:space="preserve">28 Jun 1994 - 12:30 </t>
  </si>
  <si>
    <t xml:space="preserve">28 Jun 1994 - 16:00 </t>
  </si>
  <si>
    <t xml:space="preserve">29 Jun 1994 - 12:30 </t>
  </si>
  <si>
    <t xml:space="preserve">30 Jun 1994 - 19:30 </t>
  </si>
  <si>
    <t xml:space="preserve">02 Jul 1994 - 12:00 </t>
  </si>
  <si>
    <t xml:space="preserve">02 Jul 1994 - 16:30 </t>
  </si>
  <si>
    <t xml:space="preserve">03 Jul 1994 - 12:00 </t>
  </si>
  <si>
    <t xml:space="preserve">03 Jul 1994 - 13:30 </t>
  </si>
  <si>
    <t xml:space="preserve">04 Jul 1994 - 12:00 </t>
  </si>
  <si>
    <t xml:space="preserve">04 Jul 1994 - 12:30 </t>
  </si>
  <si>
    <t xml:space="preserve">05 Jul 1994 - 13:00 </t>
  </si>
  <si>
    <t xml:space="preserve">05 Jul 1994 - 16:30 </t>
  </si>
  <si>
    <t xml:space="preserve">Bulgaria win on penalties (1 - 3) </t>
  </si>
  <si>
    <t xml:space="preserve">09 Jul 1994 - 12:00 </t>
  </si>
  <si>
    <t xml:space="preserve">09 Jul 1994 - 14:30 </t>
  </si>
  <si>
    <t xml:space="preserve">10 Jul 1994 - 12:00 </t>
  </si>
  <si>
    <t xml:space="preserve">10 Jul 1994 - 12:30 </t>
  </si>
  <si>
    <t xml:space="preserve">Sweden win on penalties (4 - 5) </t>
  </si>
  <si>
    <t xml:space="preserve">13 Jul 1994 - 16:00 </t>
  </si>
  <si>
    <t xml:space="preserve">13 Jul 1994 - 16:30 </t>
  </si>
  <si>
    <t xml:space="preserve">16 Jul 1994 - 12:30 </t>
  </si>
  <si>
    <t xml:space="preserve">17 Jul 1994 - 12:30 </t>
  </si>
  <si>
    <t xml:space="preserve">Brazil win on penalties (3 - 2) </t>
  </si>
  <si>
    <t>1998.0</t>
  </si>
  <si>
    <t xml:space="preserve">10 Jun 1998 - 17:30 </t>
  </si>
  <si>
    <t xml:space="preserve">Saint-Denis </t>
  </si>
  <si>
    <t xml:space="preserve">10 Jun 1998 - 21:00 </t>
  </si>
  <si>
    <t>La Mosson</t>
  </si>
  <si>
    <t xml:space="preserve">Montpellier </t>
  </si>
  <si>
    <t xml:space="preserve">11 Jun 1998 - 17:30 </t>
  </si>
  <si>
    <t xml:space="preserve">11 Jun 1998 - 21:00 </t>
  </si>
  <si>
    <t xml:space="preserve">12 Jun 1998 - 14:30 </t>
  </si>
  <si>
    <t xml:space="preserve">12 Jun 1998 - 17:30 </t>
  </si>
  <si>
    <t>Stade Felix Bollaert</t>
  </si>
  <si>
    <t xml:space="preserve">Lens </t>
  </si>
  <si>
    <t xml:space="preserve">12 Jun 1998 - 21:00 </t>
  </si>
  <si>
    <t xml:space="preserve">13 Jun 1998 - 14:30 </t>
  </si>
  <si>
    <t>La Beaujoire</t>
  </si>
  <si>
    <t xml:space="preserve">Nantes </t>
  </si>
  <si>
    <t xml:space="preserve">13 Jun 1998 - 17:30 </t>
  </si>
  <si>
    <t>Stade de Gerland</t>
  </si>
  <si>
    <t xml:space="preserve">Lyon </t>
  </si>
  <si>
    <t xml:space="preserve">13 Jun 1998 - 21:00 </t>
  </si>
  <si>
    <t xml:space="preserve">14 Jun 1998 - 14:30 </t>
  </si>
  <si>
    <t>Group H</t>
  </si>
  <si>
    <t xml:space="preserve">14 Jun 1998 - 17:30 </t>
  </si>
  <si>
    <t>Stade Geoffroy Guichard</t>
  </si>
  <si>
    <t xml:space="preserve">Saint-Etienne </t>
  </si>
  <si>
    <t xml:space="preserve">14 Jun 1998 - 21:00 </t>
  </si>
  <si>
    <t xml:space="preserve">15 Jun 1998 - 14:30 </t>
  </si>
  <si>
    <t>Group G</t>
  </si>
  <si>
    <t xml:space="preserve">15 Jun 1998 - 17:30 </t>
  </si>
  <si>
    <t xml:space="preserve">15 Jun 1998 - 21:00 </t>
  </si>
  <si>
    <t xml:space="preserve">16 Jun 1998 - 17:30 </t>
  </si>
  <si>
    <t xml:space="preserve">16 Jun 1998 - 21:00 </t>
  </si>
  <si>
    <t xml:space="preserve">17 Jun 1998 - 17:30 </t>
  </si>
  <si>
    <t xml:space="preserve">17 Jun 1998 - 21:00 </t>
  </si>
  <si>
    <t xml:space="preserve">18 Jun 1998 - 17:30 </t>
  </si>
  <si>
    <t xml:space="preserve">18 Jun 1998 - 21:00 </t>
  </si>
  <si>
    <t xml:space="preserve">19 Jun 1998 - 17:30 </t>
  </si>
  <si>
    <t xml:space="preserve">19 Jun 1998 - 21:00 </t>
  </si>
  <si>
    <t xml:space="preserve">20 Jun 1998 - 14:30 </t>
  </si>
  <si>
    <t xml:space="preserve">20 Jun 1998 - 17:30 </t>
  </si>
  <si>
    <t xml:space="preserve">20 Jun 1998 - 21:00 </t>
  </si>
  <si>
    <t xml:space="preserve">21 Jun 1998 - 14:30 </t>
  </si>
  <si>
    <t xml:space="preserve">21 Jun 1998 - 17:30 </t>
  </si>
  <si>
    <t xml:space="preserve">21 Jun 1998 - 21:00 </t>
  </si>
  <si>
    <t xml:space="preserve">22 Jun 1998 - 17:30 </t>
  </si>
  <si>
    <t xml:space="preserve">22 Jun 1998 - 21:00 </t>
  </si>
  <si>
    <t xml:space="preserve">23 Jun 1998 - 16:00 </t>
  </si>
  <si>
    <t xml:space="preserve">23 Jun 1998 - 21:00 </t>
  </si>
  <si>
    <t xml:space="preserve">24 Jun 1998 - 16:00 </t>
  </si>
  <si>
    <t xml:space="preserve">24 Jun 1998 - 21:00 </t>
  </si>
  <si>
    <t xml:space="preserve">25 Jun 1998 - 16:00 </t>
  </si>
  <si>
    <t xml:space="preserve">25 Jun 1998 - 21:00 </t>
  </si>
  <si>
    <t xml:space="preserve">26 Jun 1998 - 16:00 </t>
  </si>
  <si>
    <t xml:space="preserve">26 Jun 1998 - 21:00 </t>
  </si>
  <si>
    <t xml:space="preserve">27 Jun 1998 - 16:30 </t>
  </si>
  <si>
    <t xml:space="preserve">27 Jun 1998 - 21:00 </t>
  </si>
  <si>
    <t xml:space="preserve">28 Jun 1998 - 16:30 </t>
  </si>
  <si>
    <t xml:space="preserve">28 Jun 1998 - 21:00 </t>
  </si>
  <si>
    <t xml:space="preserve">29 Jun 1998 - 16:30 </t>
  </si>
  <si>
    <t xml:space="preserve">29 Jun 1998 - 21:00 </t>
  </si>
  <si>
    <t xml:space="preserve">30 Jun 1998 - 16:30 </t>
  </si>
  <si>
    <t xml:space="preserve">30 Jun 1998 - 21:00 </t>
  </si>
  <si>
    <t xml:space="preserve">Argentina win on penalties (4 - 3) </t>
  </si>
  <si>
    <t xml:space="preserve">03 Jul 1998 - 16:30 </t>
  </si>
  <si>
    <t xml:space="preserve">03 Jul 1998 - 21:00 </t>
  </si>
  <si>
    <t xml:space="preserve">04 Jul 1998 - 16:30 </t>
  </si>
  <si>
    <t xml:space="preserve">04 Jul 1998 - 21:00 </t>
  </si>
  <si>
    <t xml:space="preserve">07 Jul 1998 - 21:00 </t>
  </si>
  <si>
    <t xml:space="preserve">Brazil win on penalties (4 - 2) </t>
  </si>
  <si>
    <t xml:space="preserve">08 Jul 1998 - 21:00 </t>
  </si>
  <si>
    <t xml:space="preserve">11 Jul 1998 - 21:00 </t>
  </si>
  <si>
    <t xml:space="preserve">12 Jul 1998 - 21:00 </t>
  </si>
  <si>
    <t>2002.0</t>
  </si>
  <si>
    <t xml:space="preserve">31 May 2002 - 20:30 </t>
  </si>
  <si>
    <t>Seoul World Cup Stadium</t>
  </si>
  <si>
    <t xml:space="preserve">Seoul </t>
  </si>
  <si>
    <t xml:space="preserve">01 Jun 2002 - 18:00 </t>
  </si>
  <si>
    <t>Munsu Football Stadium</t>
  </si>
  <si>
    <t xml:space="preserve">Ulsan </t>
  </si>
  <si>
    <t xml:space="preserve">01 Jun 2002 - 15:30 </t>
  </si>
  <si>
    <t>Niigata Stadium Big Swan</t>
  </si>
  <si>
    <t xml:space="preserve">Niigata </t>
  </si>
  <si>
    <t xml:space="preserve">01 Jun 2002 - 20:30 </t>
  </si>
  <si>
    <t>Sapporo Dome</t>
  </si>
  <si>
    <t xml:space="preserve">Sapporo </t>
  </si>
  <si>
    <t xml:space="preserve">02 Jun 2002 - 14:30 </t>
  </si>
  <si>
    <t>Kashima Stadium</t>
  </si>
  <si>
    <t xml:space="preserve">Ibaraki </t>
  </si>
  <si>
    <t xml:space="preserve">02 Jun 2002 - 16:30 </t>
  </si>
  <si>
    <t>Busan Asiad Main Stadium</t>
  </si>
  <si>
    <t xml:space="preserve">Busan </t>
  </si>
  <si>
    <t xml:space="preserve">02 Jun 2002 - 18:30 </t>
  </si>
  <si>
    <t>Saitama Stadium 2002</t>
  </si>
  <si>
    <t xml:space="preserve">Saitama </t>
  </si>
  <si>
    <t xml:space="preserve">02 Jun 2002 - 20:30 </t>
  </si>
  <si>
    <t>Gwangju World Cup Stadium</t>
  </si>
  <si>
    <t xml:space="preserve">Gwangju </t>
  </si>
  <si>
    <t xml:space="preserve">03 June 2002 - 18:00 </t>
  </si>
  <si>
    <t xml:space="preserve">03 Jun 2002 - 20:30 </t>
  </si>
  <si>
    <t xml:space="preserve">03 Jun 2002 - 15:30 </t>
  </si>
  <si>
    <t xml:space="preserve">04 June 2002 - 15:30 </t>
  </si>
  <si>
    <t xml:space="preserve">04 June 2002 - 18:00 </t>
  </si>
  <si>
    <t xml:space="preserve">04 Jun 2002 - 20:30 </t>
  </si>
  <si>
    <t xml:space="preserve">05 Jun 2002 - 15:30 </t>
  </si>
  <si>
    <t>Kobe Wing Stadium</t>
  </si>
  <si>
    <t xml:space="preserve">Kobe </t>
  </si>
  <si>
    <t xml:space="preserve">05 Jun 2002 - 18:00 </t>
  </si>
  <si>
    <t>Suwon World Cup Stadium</t>
  </si>
  <si>
    <t xml:space="preserve">Suwon </t>
  </si>
  <si>
    <t xml:space="preserve">05 Jun 2002 - 20:30 </t>
  </si>
  <si>
    <t xml:space="preserve">06 Jun 2002 - 15:30 </t>
  </si>
  <si>
    <t>Daegu World Cup Stadium</t>
  </si>
  <si>
    <t xml:space="preserve">Daegu </t>
  </si>
  <si>
    <t xml:space="preserve">06 Jun 2002 - 18:00 </t>
  </si>
  <si>
    <t xml:space="preserve">06 Jun 2002 - 20:30 </t>
  </si>
  <si>
    <t xml:space="preserve">07 Jun 2002 - 15:30 </t>
  </si>
  <si>
    <t xml:space="preserve">07 Jun 2002 - 20:30 </t>
  </si>
  <si>
    <t xml:space="preserve">07 June 2002 - 18:00 </t>
  </si>
  <si>
    <t>Jeonju World Cup Stadium</t>
  </si>
  <si>
    <t xml:space="preserve">Jeonju </t>
  </si>
  <si>
    <t xml:space="preserve">08 Jun 2002 - 15:30 </t>
  </si>
  <si>
    <t xml:space="preserve">08 Jun 2002 - 20:30 </t>
  </si>
  <si>
    <t>Jeju World Cup Stadium</t>
  </si>
  <si>
    <t xml:space="preserve">Jeju </t>
  </si>
  <si>
    <t xml:space="preserve">08 June 2002 - 18:00 </t>
  </si>
  <si>
    <t xml:space="preserve">09 Jun 2002 - 18:00 </t>
  </si>
  <si>
    <t>Incheon Football Stadium</t>
  </si>
  <si>
    <t xml:space="preserve">Incheon </t>
  </si>
  <si>
    <t xml:space="preserve">09 Jun 2002 - 20:30 </t>
  </si>
  <si>
    <t>International Stadium Yokohama</t>
  </si>
  <si>
    <t xml:space="preserve">Yokohama </t>
  </si>
  <si>
    <t xml:space="preserve">09 Jun 2002 - 15:30 </t>
  </si>
  <si>
    <t>Miyagi Stadium</t>
  </si>
  <si>
    <t xml:space="preserve">Rifu </t>
  </si>
  <si>
    <t xml:space="preserve">10 Jun 2002 - 15:30 </t>
  </si>
  <si>
    <t xml:space="preserve">10 Jun 2002 - 20:30 </t>
  </si>
  <si>
    <t xml:space="preserve">10 Jun 2002 - 18:00 </t>
  </si>
  <si>
    <t>Oita Stadium Big Eye</t>
  </si>
  <si>
    <t xml:space="preserve">Oita </t>
  </si>
  <si>
    <t xml:space="preserve">11 Jun 2002 - 15:30 </t>
  </si>
  <si>
    <t xml:space="preserve">11 June 2002 - 15:30 </t>
  </si>
  <si>
    <t xml:space="preserve">11 Jun 2002 - 20:30 </t>
  </si>
  <si>
    <t>Shizuoka Stadium Ecopa</t>
  </si>
  <si>
    <t xml:space="preserve">Shizuoka </t>
  </si>
  <si>
    <t xml:space="preserve">12 Jun 2002 - 15:30 </t>
  </si>
  <si>
    <t>Osaka Nagai Stadium</t>
  </si>
  <si>
    <t xml:space="preserve">Osaka </t>
  </si>
  <si>
    <t xml:space="preserve">12 Jun 2002 - 20:30 </t>
  </si>
  <si>
    <t>Daejeon World Cup Stadium</t>
  </si>
  <si>
    <t xml:space="preserve">Daejeon </t>
  </si>
  <si>
    <t xml:space="preserve">13 Jun 2002 - 15:30 </t>
  </si>
  <si>
    <t xml:space="preserve">13 Jun 2002 - 20:30 </t>
  </si>
  <si>
    <t xml:space="preserve">14 Jun 2002 - 15:30 </t>
  </si>
  <si>
    <t xml:space="preserve">14 Jun 2002 - 20:30 </t>
  </si>
  <si>
    <t xml:space="preserve">15 Jun 2002 - 20:30 </t>
  </si>
  <si>
    <t xml:space="preserve">15 Jun 2002 - 15:30 </t>
  </si>
  <si>
    <t xml:space="preserve">16 Jun 2002 - 20:30 </t>
  </si>
  <si>
    <t xml:space="preserve">Spain win on penalties (3 - 2) </t>
  </si>
  <si>
    <t xml:space="preserve">16 Jun 2002 - 15:30 </t>
  </si>
  <si>
    <t xml:space="preserve">Win on Golden Goal </t>
  </si>
  <si>
    <t xml:space="preserve">17 Jun 2002 - 20:30 </t>
  </si>
  <si>
    <t xml:space="preserve">17 June 2002 - 15:30 </t>
  </si>
  <si>
    <t xml:space="preserve">18 Jun 2002 - 15:30 </t>
  </si>
  <si>
    <t xml:space="preserve">18 Jun 2002 - 20:30 </t>
  </si>
  <si>
    <t xml:space="preserve">21 Jun 2002 - 15:30 </t>
  </si>
  <si>
    <t xml:space="preserve">21 Jun 2002 - 20:30 </t>
  </si>
  <si>
    <t xml:space="preserve">22 Jun 2002 - 20:30 </t>
  </si>
  <si>
    <t xml:space="preserve">22 Jun 2002 - 15:30 </t>
  </si>
  <si>
    <t xml:space="preserve">Korea Republic win on penalties (3 - 5) </t>
  </si>
  <si>
    <t xml:space="preserve">25 Jun 2002 - 20:30 </t>
  </si>
  <si>
    <t xml:space="preserve">26 Jun 2002 - 20:30 </t>
  </si>
  <si>
    <t xml:space="preserve">29 Jun 2002 - 20:00 </t>
  </si>
  <si>
    <t>Third place</t>
  </si>
  <si>
    <t xml:space="preserve">30 Jun 2002 - 20:00 </t>
  </si>
  <si>
    <t>2006.0</t>
  </si>
  <si>
    <t xml:space="preserve">09 Jun 2006 - 18:00 </t>
  </si>
  <si>
    <t>FIFA World Cup Stadium, Munich</t>
  </si>
  <si>
    <t xml:space="preserve">09 Jun 2006 - 21:00 </t>
  </si>
  <si>
    <t>FIFA World Cup Stadium, Gelsenkirchen</t>
  </si>
  <si>
    <t xml:space="preserve">10 Jun 2006 - 15:00 </t>
  </si>
  <si>
    <t>FIFA World Cup Stadium, Frankfurt</t>
  </si>
  <si>
    <t xml:space="preserve">10 Jun 2006 - 18:00 </t>
  </si>
  <si>
    <t>FIFA World Cup Stadium, Dortmund</t>
  </si>
  <si>
    <t xml:space="preserve">10 Jun 2006 - 21:00 </t>
  </si>
  <si>
    <t>FIFA World Cup Stadium, Hamburg</t>
  </si>
  <si>
    <t xml:space="preserve">11 Jun 2006 - 15:00 </t>
  </si>
  <si>
    <t>Zentralstadion</t>
  </si>
  <si>
    <t xml:space="preserve">Leipzig </t>
  </si>
  <si>
    <t xml:space="preserve">11 Jun 2006 - 18:00 </t>
  </si>
  <si>
    <t>Franken-Stadion</t>
  </si>
  <si>
    <t xml:space="preserve">Nuremberg </t>
  </si>
  <si>
    <t xml:space="preserve">11 Jun 2006 - 21:00 </t>
  </si>
  <si>
    <t>FIFA World Cup Stadium, Cologne</t>
  </si>
  <si>
    <t xml:space="preserve">Cologne </t>
  </si>
  <si>
    <t xml:space="preserve">12 Jun 2006 - 15:00 </t>
  </si>
  <si>
    <t>Fritz-Walter-Stadion</t>
  </si>
  <si>
    <t xml:space="preserve">Kaiserslautern </t>
  </si>
  <si>
    <t xml:space="preserve">12 Jun 2006 - 18:00 </t>
  </si>
  <si>
    <t xml:space="preserve">12 Jun 2006 - 21:00 </t>
  </si>
  <si>
    <t>FIFA World Cup Stadium, Hanover</t>
  </si>
  <si>
    <t xml:space="preserve">13 Jun 2006 - 15:00 </t>
  </si>
  <si>
    <t xml:space="preserve">13 Jun 2006 - 18:00 </t>
  </si>
  <si>
    <t>Gottlieb-Daimler-Stadion</t>
  </si>
  <si>
    <t xml:space="preserve">13 Jun 2006 - 21:00 </t>
  </si>
  <si>
    <t xml:space="preserve">Berlin </t>
  </si>
  <si>
    <t xml:space="preserve">14 Jun 2006 - 15:00 </t>
  </si>
  <si>
    <t xml:space="preserve">14 Jun 2006 - 18:00 </t>
  </si>
  <si>
    <t xml:space="preserve">14 Jun 2006 - 21:00 </t>
  </si>
  <si>
    <t xml:space="preserve">15 Jun 2006 - 15:00 </t>
  </si>
  <si>
    <t xml:space="preserve">15 Jun 2006 - 18:00 </t>
  </si>
  <si>
    <t xml:space="preserve">15 Jun 2006 - 21:00 </t>
  </si>
  <si>
    <t xml:space="preserve">16 Jun 2006 - 15:00 </t>
  </si>
  <si>
    <t xml:space="preserve">16 Jun 2006 - 18:00 </t>
  </si>
  <si>
    <t xml:space="preserve">16 Jun 2006 - 21:00 </t>
  </si>
  <si>
    <t xml:space="preserve">17 Jun 2006 - 15:00 </t>
  </si>
  <si>
    <t xml:space="preserve">17 Jun 2006 - 18:00 </t>
  </si>
  <si>
    <t xml:space="preserve">17 Jun 2006 - 21:00 </t>
  </si>
  <si>
    <t xml:space="preserve">18 Jun 2006 - 15:00 </t>
  </si>
  <si>
    <t xml:space="preserve">18 Jun 2006 - 18:00 </t>
  </si>
  <si>
    <t xml:space="preserve">18 Jun 2006 - 21:00 </t>
  </si>
  <si>
    <t xml:space="preserve">19 Jun 2006 - 15:00 </t>
  </si>
  <si>
    <t xml:space="preserve">19 Jun 2006 - 18:00 </t>
  </si>
  <si>
    <t xml:space="preserve">19 Jun 2006 - 21:00 </t>
  </si>
  <si>
    <t xml:space="preserve">20 Jun 2006 - 16:00 </t>
  </si>
  <si>
    <t xml:space="preserve">20 Jun 2006 - 21:00 </t>
  </si>
  <si>
    <t xml:space="preserve">21 Jun 2006 - 16:00 </t>
  </si>
  <si>
    <t xml:space="preserve">21 Jun 2006 - 21:00 </t>
  </si>
  <si>
    <t xml:space="preserve">22 Jun 2006 - 16:00 </t>
  </si>
  <si>
    <t xml:space="preserve">22 Jun 2006 - 21:00 </t>
  </si>
  <si>
    <t xml:space="preserve">23 Jun 2006 - 16:00 </t>
  </si>
  <si>
    <t xml:space="preserve">23 Jun 2006 - 21:00 </t>
  </si>
  <si>
    <t xml:space="preserve">24 Jun 2006 - 17:00 </t>
  </si>
  <si>
    <t xml:space="preserve">24 Jun 2006 - 21:00 </t>
  </si>
  <si>
    <t xml:space="preserve">25 Jun 2006 - 17:00 </t>
  </si>
  <si>
    <t xml:space="preserve">25 Jun 2006 - 21:00 </t>
  </si>
  <si>
    <t xml:space="preserve">26 Jun 2006 - 17:00 </t>
  </si>
  <si>
    <t xml:space="preserve">26 Jun 2006 - 21:00 </t>
  </si>
  <si>
    <t xml:space="preserve">Ukraine win on penalties (0 - 3) </t>
  </si>
  <si>
    <t xml:space="preserve">27 Jun 2006 - 17:00 </t>
  </si>
  <si>
    <t xml:space="preserve">27 Jun 2006 - 21:00 </t>
  </si>
  <si>
    <t xml:space="preserve">30 Jun 2006 - 17:00 </t>
  </si>
  <si>
    <t xml:space="preserve">Germany win on penalties (4 - 2) </t>
  </si>
  <si>
    <t xml:space="preserve">30 Jun 2006 - 21:00 </t>
  </si>
  <si>
    <t xml:space="preserve">01 Jul 2006 - 17:00 </t>
  </si>
  <si>
    <t xml:space="preserve">Portugal win on penalties (1 - 3) </t>
  </si>
  <si>
    <t xml:space="preserve">01 Jul 2006 - 21:00 </t>
  </si>
  <si>
    <t xml:space="preserve">04 Jul 2006 - 21:00 </t>
  </si>
  <si>
    <t xml:space="preserve">05 Jul 2006 - 21:00 </t>
  </si>
  <si>
    <t xml:space="preserve">08 Jul 2006 - 21:00 </t>
  </si>
  <si>
    <t xml:space="preserve">09 Jul 2006 - 20:00 </t>
  </si>
  <si>
    <t xml:space="preserve">Italy win on penalties (5 - 3) </t>
  </si>
  <si>
    <t>2010.0</t>
  </si>
  <si>
    <t xml:space="preserve">11 Jun 2010 - 16:00 </t>
  </si>
  <si>
    <t>Soccer City Stadium</t>
  </si>
  <si>
    <t xml:space="preserve">Johannesburg </t>
  </si>
  <si>
    <t xml:space="preserve">11 Jun 2010 - 20:30 </t>
  </si>
  <si>
    <t>Cape Town Stadium</t>
  </si>
  <si>
    <t xml:space="preserve">Cape Town </t>
  </si>
  <si>
    <t xml:space="preserve">12 Jun 2010 - 13:30 </t>
  </si>
  <si>
    <t>Port Elizabeth Stadium</t>
  </si>
  <si>
    <t xml:space="preserve">Nelson Mandela Bay/Port Elizabeth </t>
  </si>
  <si>
    <t xml:space="preserve">12 Jun 2010 - 16:00 </t>
  </si>
  <si>
    <t>Ellis Park Stadium</t>
  </si>
  <si>
    <t xml:space="preserve">12 Jun 2010 - 20:30 </t>
  </si>
  <si>
    <t>Royal Bafokeng Sports Palace</t>
  </si>
  <si>
    <t xml:space="preserve">Phokeng </t>
  </si>
  <si>
    <t xml:space="preserve">13 Jun 2010 - 13:30 </t>
  </si>
  <si>
    <t>Peter Mokaba Stadium</t>
  </si>
  <si>
    <t xml:space="preserve">Polokwane </t>
  </si>
  <si>
    <t xml:space="preserve">13 Jun 2010 - 16:00 </t>
  </si>
  <si>
    <t>Loftus Versfeld Stadium</t>
  </si>
  <si>
    <t xml:space="preserve">Tshwane/Pretoria </t>
  </si>
  <si>
    <t xml:space="preserve">13 Jun 2010 - 20:30 </t>
  </si>
  <si>
    <t>Durban Stadium</t>
  </si>
  <si>
    <t xml:space="preserve">Durban </t>
  </si>
  <si>
    <t xml:space="preserve">14 Jun 2010 - 13:30 </t>
  </si>
  <si>
    <t xml:space="preserve">14 Jun 2010 - 16:00 </t>
  </si>
  <si>
    <t>Free State Stadium</t>
  </si>
  <si>
    <t xml:space="preserve">Mangaung/Bloemfontein </t>
  </si>
  <si>
    <t xml:space="preserve">14 Jun 2010 - 20:30 </t>
  </si>
  <si>
    <t xml:space="preserve">15 Jun 2010 - 13:30 </t>
  </si>
  <si>
    <t xml:space="preserve">15 Jun 2010 - 16:00 </t>
  </si>
  <si>
    <t xml:space="preserve">15 Jun 2010 - 20:30 </t>
  </si>
  <si>
    <t xml:space="preserve">16 Jun 2010 - 13:30 </t>
  </si>
  <si>
    <t>Mbombela Stadium</t>
  </si>
  <si>
    <t xml:space="preserve">Nelspruit </t>
  </si>
  <si>
    <t xml:space="preserve">16 Jun 2010 - 16:00 </t>
  </si>
  <si>
    <t xml:space="preserve">16 Jun 2010 - 20:30 </t>
  </si>
  <si>
    <t xml:space="preserve">17 Jun 2010 - 13:30 </t>
  </si>
  <si>
    <t xml:space="preserve">17 Jun 2010 - 16:00 </t>
  </si>
  <si>
    <t xml:space="preserve">17 Jun 2010 - 20:30 </t>
  </si>
  <si>
    <t xml:space="preserve">18 Jun 2010 - 13:30 </t>
  </si>
  <si>
    <t xml:space="preserve">18 Jun 2010 - 16:00 </t>
  </si>
  <si>
    <t xml:space="preserve">18 Jun 2010 - 20:30 </t>
  </si>
  <si>
    <t xml:space="preserve">19 Jun 2010 - 13:30 </t>
  </si>
  <si>
    <t xml:space="preserve">19 Jun 2010 - 16:00 </t>
  </si>
  <si>
    <t xml:space="preserve">19 Jun 2010 - 20:30 </t>
  </si>
  <si>
    <t xml:space="preserve">20 Jun 2010 - 13:30 </t>
  </si>
  <si>
    <t xml:space="preserve">20 Jun 2010 - 16:00 </t>
  </si>
  <si>
    <t xml:space="preserve">20 Jun 2010 - 20:30 </t>
  </si>
  <si>
    <t xml:space="preserve">21 Jun 2010 - 13:30 </t>
  </si>
  <si>
    <t xml:space="preserve">21 Jun 2010 - 16:00 </t>
  </si>
  <si>
    <t xml:space="preserve">21 Jun 2010 - 20:30 </t>
  </si>
  <si>
    <t xml:space="preserve">22 Jun 2010 - 16:00 </t>
  </si>
  <si>
    <t xml:space="preserve">22 Jun 2010 - 20:30 </t>
  </si>
  <si>
    <t xml:space="preserve">23 Jun 2010 - 16:00 </t>
  </si>
  <si>
    <t xml:space="preserve">23 Jun 2010 - 20:30 </t>
  </si>
  <si>
    <t xml:space="preserve">24 Jun 2010 - 16:00 </t>
  </si>
  <si>
    <t xml:space="preserve">24 Jun 2010 - 20:30 </t>
  </si>
  <si>
    <t xml:space="preserve">25 Jun 2010 - 16:00 </t>
  </si>
  <si>
    <t xml:space="preserve">25 Jun 2010 - 20:30 </t>
  </si>
  <si>
    <t xml:space="preserve">26 Jun 2010 - 16:00 </t>
  </si>
  <si>
    <t xml:space="preserve">26 Jun 2010 - 20:30 </t>
  </si>
  <si>
    <t xml:space="preserve">Ghana win after extra time </t>
  </si>
  <si>
    <t xml:space="preserve">27 Jun 2010 - 16:00 </t>
  </si>
  <si>
    <t xml:space="preserve">27 Jun 2010 - 20:30 </t>
  </si>
  <si>
    <t xml:space="preserve">28 Jun 2010 - 16:00 </t>
  </si>
  <si>
    <t xml:space="preserve">28 Jun 2010 - 20:30 </t>
  </si>
  <si>
    <t xml:space="preserve">29 Jun 2010 - 16:00 </t>
  </si>
  <si>
    <t xml:space="preserve">Paraguay win on penalties (5 - 3) </t>
  </si>
  <si>
    <t xml:space="preserve">29 Jun 2010 - 20:30 </t>
  </si>
  <si>
    <t xml:space="preserve">02 Jul 2010 - 16:00 </t>
  </si>
  <si>
    <t xml:space="preserve">02 Jul 2010 - 20:30 </t>
  </si>
  <si>
    <t xml:space="preserve">Uruguay win on penalties (4 - 2) </t>
  </si>
  <si>
    <t xml:space="preserve">03 Jul 2010 - 16:00 </t>
  </si>
  <si>
    <t xml:space="preserve">03 Jul 2010 - 20:30 </t>
  </si>
  <si>
    <t xml:space="preserve">06 Jul 2010 - 20:30 </t>
  </si>
  <si>
    <t xml:space="preserve">07 Jul 2010 - 20:30 </t>
  </si>
  <si>
    <t xml:space="preserve">10 Jul 2010 - 20:30 </t>
  </si>
  <si>
    <t xml:space="preserve">11 Jul 2010 - 20:30 </t>
  </si>
  <si>
    <t xml:space="preserve">Spain win after extra time </t>
  </si>
  <si>
    <t>2014.0</t>
  </si>
  <si>
    <t xml:space="preserve">12 Jun 2014 - 17:00 </t>
  </si>
  <si>
    <t>Arena de Sao Paulo</t>
  </si>
  <si>
    <t xml:space="preserve">13 Jun 2014 - 13:00 </t>
  </si>
  <si>
    <t>Estadio das Dunas</t>
  </si>
  <si>
    <t xml:space="preserve">Natal </t>
  </si>
  <si>
    <t xml:space="preserve">13 Jun 2014 - 16:00 </t>
  </si>
  <si>
    <t>Arena Fonte Nova</t>
  </si>
  <si>
    <t xml:space="preserve">Salvador </t>
  </si>
  <si>
    <t xml:space="preserve">13 Jun 2014 - 18:00 </t>
  </si>
  <si>
    <t>Arena Pantanal</t>
  </si>
  <si>
    <t xml:space="preserve">Cuiaba </t>
  </si>
  <si>
    <t xml:space="preserve">14 Jun 2014 - 13:00 </t>
  </si>
  <si>
    <t>Estadio Mineirao</t>
  </si>
  <si>
    <t xml:space="preserve">14 Jun 2014 - 16:00 </t>
  </si>
  <si>
    <t>Estadio Castelao</t>
  </si>
  <si>
    <t xml:space="preserve">Fortaleza </t>
  </si>
  <si>
    <t xml:space="preserve">14 Jun 2014 - 18:00 </t>
  </si>
  <si>
    <t>Arena Amazonia</t>
  </si>
  <si>
    <t xml:space="preserve">Manaus </t>
  </si>
  <si>
    <t xml:space="preserve">14 Jun 2014 - 22:00 </t>
  </si>
  <si>
    <t>Arena Pernambuco</t>
  </si>
  <si>
    <t xml:space="preserve">15 Jun 2014 - 13:00 </t>
  </si>
  <si>
    <t>Estadio Nacional</t>
  </si>
  <si>
    <t xml:space="preserve">Brasilia </t>
  </si>
  <si>
    <t xml:space="preserve">15 Jun 2014 - 16:00 </t>
  </si>
  <si>
    <t>Estadio Beira-Rio</t>
  </si>
  <si>
    <t xml:space="preserve">15 Jun 2014 - 19:00 </t>
  </si>
  <si>
    <t>Estadio do Maracana</t>
  </si>
  <si>
    <t xml:space="preserve">16 Jun 2014 - 13:00 </t>
  </si>
  <si>
    <t xml:space="preserve">16 Jun 2014 - 16:00 </t>
  </si>
  <si>
    <t>Arena da Baixada</t>
  </si>
  <si>
    <t xml:space="preserve">16 Jun 2014 - 19:00 </t>
  </si>
  <si>
    <t xml:space="preserve">17 Jun 2014 - 13:00 </t>
  </si>
  <si>
    <t xml:space="preserve">17 Jun 2014 - 16:00 </t>
  </si>
  <si>
    <t xml:space="preserve">17 Jun 2014 - 18:00 </t>
  </si>
  <si>
    <t xml:space="preserve">18 Jun 2014 - 13:00 </t>
  </si>
  <si>
    <t xml:space="preserve">18 Jun 2014 - 16:00 </t>
  </si>
  <si>
    <t xml:space="preserve">18 Jun 2014 - 18:00 </t>
  </si>
  <si>
    <t xml:space="preserve">19 Jun 2014 - 13:00 </t>
  </si>
  <si>
    <t xml:space="preserve">19 Jun 2014 - 16:00 </t>
  </si>
  <si>
    <t xml:space="preserve">19 Jun 2014 - 19:00 </t>
  </si>
  <si>
    <t xml:space="preserve">20 Jun 2014 - 13:00 </t>
  </si>
  <si>
    <t xml:space="preserve">20 Jun 2014 - 16:00 </t>
  </si>
  <si>
    <t xml:space="preserve">20 Jun 2014 - 19:00 </t>
  </si>
  <si>
    <t xml:space="preserve">21 Jun 2014 - 13:00 </t>
  </si>
  <si>
    <t xml:space="preserve">21 Jun 2014 - 16:00 </t>
  </si>
  <si>
    <t xml:space="preserve">21 Jun 2014 - 18:00 </t>
  </si>
  <si>
    <t xml:space="preserve">22 Jun 2014 - 13:00 </t>
  </si>
  <si>
    <t xml:space="preserve">22 Jun 2014 - 16:00 </t>
  </si>
  <si>
    <t xml:space="preserve">22 Jun 2014 - 18:00 </t>
  </si>
  <si>
    <t xml:space="preserve">23 Jun 2014 - 13:00 </t>
  </si>
  <si>
    <t xml:space="preserve">23 Jun 2014 - 17:00 </t>
  </si>
  <si>
    <t xml:space="preserve">24 Jun 2014 - 13:00 </t>
  </si>
  <si>
    <t xml:space="preserve">24 Jun 2014 - 16:00 </t>
  </si>
  <si>
    <t xml:space="preserve">24 Jun 2014 - 17:00 </t>
  </si>
  <si>
    <t xml:space="preserve">25 Jun 2014 - 13:00 </t>
  </si>
  <si>
    <t xml:space="preserve">25 Jun 2014 - 16:00 </t>
  </si>
  <si>
    <t xml:space="preserve">25 Jun 2014 - 17:00 </t>
  </si>
  <si>
    <t xml:space="preserve">26 Jun 2014 - 13:00 </t>
  </si>
  <si>
    <t xml:space="preserve">26 Jun 2014 - 17:00 </t>
  </si>
  <si>
    <t xml:space="preserve">28 Jun 2014 - 13:00 </t>
  </si>
  <si>
    <t xml:space="preserve">28 Jun 2014 - 17:00 </t>
  </si>
  <si>
    <t xml:space="preserve">30 Jun 2014 - 13:00 </t>
  </si>
  <si>
    <t xml:space="preserve">30 Jun 2014 - 17:00 </t>
  </si>
  <si>
    <t xml:space="preserve">Germany win after extra time </t>
  </si>
  <si>
    <t xml:space="preserve">04 Jul 2014 - 17:00 </t>
  </si>
  <si>
    <t xml:space="preserve">04 Jul 2014 - 13:00 </t>
  </si>
  <si>
    <t xml:space="preserve">08 Jul 2014 - 17:00 </t>
  </si>
  <si>
    <t xml:space="preserve">12 Jul 2014 - 17:00 </t>
  </si>
  <si>
    <t>Play-off for third place</t>
  </si>
  <si>
    <t xml:space="preserve">13 Jul 2014 - 16:00 </t>
  </si>
  <si>
    <t xml:space="preserve">09 Jul 2014 - 17:00 </t>
  </si>
  <si>
    <t xml:space="preserve">Argentina win on penalties (2 - 4) </t>
  </si>
  <si>
    <t xml:space="preserve">05 Jul 2014 - 17:00 </t>
  </si>
  <si>
    <t xml:space="preserve">Netherlands win on penalties (4 - 3) </t>
  </si>
  <si>
    <t xml:space="preserve">05 Jul 2014 - 13:00 </t>
  </si>
  <si>
    <t xml:space="preserve">29 Jun 2014 - 13:00 </t>
  </si>
  <si>
    <t xml:space="preserve">29 Jun 2014 - 17:00 </t>
  </si>
  <si>
    <t xml:space="preserve">Costa Rica win on penalties (5 - 3) </t>
  </si>
  <si>
    <t xml:space="preserve">01 Jul 2014 - 13:00 </t>
  </si>
  <si>
    <t xml:space="preserve">01 Jul 2014 - 17:00 </t>
  </si>
  <si>
    <t>2018.0</t>
  </si>
  <si>
    <t>14 Jun 2018 - 18:00</t>
  </si>
  <si>
    <t>group stage</t>
  </si>
  <si>
    <t>Luzhniki Stadium</t>
  </si>
  <si>
    <t>Moscow</t>
  </si>
  <si>
    <t>15 Jun 2018 - 17:00</t>
  </si>
  <si>
    <t>Central Stadium</t>
  </si>
  <si>
    <t>Yekaterinburg</t>
  </si>
  <si>
    <t>15 Jun 2018 - 18:00</t>
  </si>
  <si>
    <t>Krestovsky Stadium</t>
  </si>
  <si>
    <t>Saint Petersburg</t>
  </si>
  <si>
    <t>15 Jun 2018 - 21:00</t>
  </si>
  <si>
    <t>Fisht Olympic Stadium</t>
  </si>
  <si>
    <t>Sochi</t>
  </si>
  <si>
    <t>16 Jun 2018 - 13:00</t>
  </si>
  <si>
    <t>Kazan Arena</t>
  </si>
  <si>
    <t>Kazan</t>
  </si>
  <si>
    <t>16 Jun 2018 - 16:00</t>
  </si>
  <si>
    <t>Otkritie Arena</t>
  </si>
  <si>
    <t>16 Jun 2018 - 19:00</t>
  </si>
  <si>
    <t>Mordovia Arena</t>
  </si>
  <si>
    <t>Saransk</t>
  </si>
  <si>
    <t>16 Jun 2018 - 21:00</t>
  </si>
  <si>
    <t>Kaliningrad Stadium</t>
  </si>
  <si>
    <t>Kaliningrad</t>
  </si>
  <si>
    <t>17 Jun 2018 - 16:00</t>
  </si>
  <si>
    <t>Samara Arena</t>
  </si>
  <si>
    <t>Samara</t>
  </si>
  <si>
    <t>17 Jun 2018 - 18:00</t>
  </si>
  <si>
    <t>17 Jun 2018 - 21:00</t>
  </si>
  <si>
    <t>Rostov Arena</t>
  </si>
  <si>
    <t>Rostov-on-Don</t>
  </si>
  <si>
    <t>18 Jun 2018 - 15:00</t>
  </si>
  <si>
    <t>Nizhny Novgorod Stadium</t>
  </si>
  <si>
    <t>Nizhny Novgorod</t>
  </si>
  <si>
    <t>18 Jun 2018 - 18:00</t>
  </si>
  <si>
    <t>18 Jun 2018 - 21:00</t>
  </si>
  <si>
    <t>Volgograd Arena</t>
  </si>
  <si>
    <t>Volgograd</t>
  </si>
  <si>
    <t>19 Jun 2018 - 15:00</t>
  </si>
  <si>
    <t>19 Jun 2018 - 18:00</t>
  </si>
  <si>
    <t>19 Jun 2018 - 21:00</t>
  </si>
  <si>
    <t>20 Jun 2018 - 15:00</t>
  </si>
  <si>
    <t>20 Jun 2018 - 18:00</t>
  </si>
  <si>
    <t>20 Jun 2018 - 21:00</t>
  </si>
  <si>
    <t>21 Jun 2018 - 16:00</t>
  </si>
  <si>
    <t>21 Jun 2018 - 20:00</t>
  </si>
  <si>
    <t>21 Jun 2018 - 21:00</t>
  </si>
  <si>
    <t>22 Jun 2018 - 15:00</t>
  </si>
  <si>
    <t>22 Jun 2018 - 18:00</t>
  </si>
  <si>
    <t>22 Jun 2018 - 20:00</t>
  </si>
  <si>
    <t>23 Jun 2018 - 15:00</t>
  </si>
  <si>
    <t>23 Jun 2018 - 18:00</t>
  </si>
  <si>
    <t>23 Jun 2018 - 21:00</t>
  </si>
  <si>
    <t>24 Jun 2018 - 15:00</t>
  </si>
  <si>
    <t>24 Jun 2018 - 20:00</t>
  </si>
  <si>
    <t>24 Jun 2018 - 21:00</t>
  </si>
  <si>
    <t>25 Jun 2018 - 17:00</t>
  </si>
  <si>
    <t>25 Jun 2018 - 18:00</t>
  </si>
  <si>
    <t>25 Jun 2018 - 20:00</t>
  </si>
  <si>
    <t>25 Jun 2018 - 21:00</t>
  </si>
  <si>
    <t>26 Jun 2018 - 17:00</t>
  </si>
  <si>
    <t>26 Jun 2018 - 21:00</t>
  </si>
  <si>
    <t>27 Jun 2018 - 17:00</t>
  </si>
  <si>
    <t>27 Jun 2018 - 19:00</t>
  </si>
  <si>
    <t>27 Jun 2018 - 21:00</t>
  </si>
  <si>
    <t>28 Jun 2018 - 17:00</t>
  </si>
  <si>
    <t>28 Jun 2018 - 18:00</t>
  </si>
  <si>
    <t>28 Jun 2018 - 20:00</t>
  </si>
  <si>
    <t>28 Jun 2018 - 21:00</t>
  </si>
  <si>
    <t>30 Jun 2018 - 17:00</t>
  </si>
  <si>
    <t>round of 16</t>
  </si>
  <si>
    <t>30 Jun 2018 - 21:00</t>
  </si>
  <si>
    <t>01 Jul 2018 - 17:00</t>
  </si>
  <si>
    <t>Russia win on penalties (4 - 3)</t>
  </si>
  <si>
    <t>01 Jul 2018 - 21:00</t>
  </si>
  <si>
    <t>Croatia win on penalties (3 - 2)</t>
  </si>
  <si>
    <t>02 Jul 2018 - 18:00</t>
  </si>
  <si>
    <t>02 Jul 2018 - 21:00</t>
  </si>
  <si>
    <t>03 Jul 2018 - 17:00</t>
  </si>
  <si>
    <t>03 Jul 2018 - 21:00</t>
  </si>
  <si>
    <t>England win on penalties (4 - 3)</t>
  </si>
  <si>
    <t>06 Jul 2018 - 17:00</t>
  </si>
  <si>
    <t>quarter-finals</t>
  </si>
  <si>
    <t>06 Jul 2018 - 21:00</t>
  </si>
  <si>
    <t>07 Jul 2018 - 18:00</t>
  </si>
  <si>
    <t>07 Jul 2018 - 21:00</t>
  </si>
  <si>
    <t>Croatia win on penalties (4 - 3)</t>
  </si>
  <si>
    <t>10 Jul 2018 - 21:00</t>
  </si>
  <si>
    <t>semi-finals</t>
  </si>
  <si>
    <t>11 Jul 2018 - 21:00</t>
  </si>
  <si>
    <t>Croatia win after extra time</t>
  </si>
  <si>
    <t>14 Jul 2018 - 17:00</t>
  </si>
  <si>
    <t>third-place match</t>
  </si>
  <si>
    <t>15 Jul 2018 - 18:00</t>
  </si>
  <si>
    <t>final</t>
  </si>
  <si>
    <t>2022.0</t>
  </si>
  <si>
    <t>20 Nov 2022 - 19:00</t>
  </si>
  <si>
    <t>Al Bayt Stadium</t>
  </si>
  <si>
    <t>Al Khor</t>
  </si>
  <si>
    <t>21 Nov 2022 - 16:00</t>
  </si>
  <si>
    <t>Khalifa International Stadium</t>
  </si>
  <si>
    <t>Al Rayyan</t>
  </si>
  <si>
    <t>21 Nov 2022 - 19:00</t>
  </si>
  <si>
    <t>Al Thumama Stadium</t>
  </si>
  <si>
    <t>Doha</t>
  </si>
  <si>
    <t>21 Nov 2022 - 22:00</t>
  </si>
  <si>
    <t>Ahmad bin Ali Stadium</t>
  </si>
  <si>
    <t>22 Nov 2022 - 13:00</t>
  </si>
  <si>
    <t>Lusail Stadium</t>
  </si>
  <si>
    <t>Lusail</t>
  </si>
  <si>
    <t>22 Nov 2022 - 16:00</t>
  </si>
  <si>
    <t>Education City Stadium</t>
  </si>
  <si>
    <t>22 Nov 2022 - 19:00</t>
  </si>
  <si>
    <t>Stadium 974</t>
  </si>
  <si>
    <t>22 Nov 2022 - 22:00</t>
  </si>
  <si>
    <t>Al Janoub Stadium</t>
  </si>
  <si>
    <t>Al Wakrah</t>
  </si>
  <si>
    <t>23 Nov 2022 - 13:00</t>
  </si>
  <si>
    <t>23 Nov 2022 - 16:00</t>
  </si>
  <si>
    <t>23 Nov 2022 - 19:00</t>
  </si>
  <si>
    <t>23 Nov 2022 - 22:00</t>
  </si>
  <si>
    <t>24 Nov 2022 - 13:00</t>
  </si>
  <si>
    <t>24 Nov 2022 - 16:00</t>
  </si>
  <si>
    <t>24 Nov 2022 - 19:00</t>
  </si>
  <si>
    <t>24 Nov 2022 - 22:00</t>
  </si>
  <si>
    <t>25 Nov 2022 - 13:00</t>
  </si>
  <si>
    <t>25 Nov 2022 - 16:00</t>
  </si>
  <si>
    <t>25 Nov 2022 - 19:00</t>
  </si>
  <si>
    <t>25 Nov 2022 - 22:00</t>
  </si>
  <si>
    <t>26 Nov 2022 - 13:00</t>
  </si>
  <si>
    <t>26 Nov 2022 - 16:00</t>
  </si>
  <si>
    <t>26 Nov 2022 - 19:00</t>
  </si>
  <si>
    <t>26 Nov 2022 - 22:00</t>
  </si>
  <si>
    <t>27 Nov 2022 - 13:00</t>
  </si>
  <si>
    <t>27 Nov 2022 - 16:00</t>
  </si>
  <si>
    <t>27 Nov 2022 - 19:00</t>
  </si>
  <si>
    <t>27 Nov 2022 - 22:00</t>
  </si>
  <si>
    <t>28 Nov 2022 - 13:00</t>
  </si>
  <si>
    <t>28 Nov 2022 - 16:00</t>
  </si>
  <si>
    <t>28 Nov 2022 - 19:00</t>
  </si>
  <si>
    <t>28 Nov 2022 - 22:00</t>
  </si>
  <si>
    <t>29 Nov 2022 - 18:00</t>
  </si>
  <si>
    <t>29 Nov 2022 - 22:00</t>
  </si>
  <si>
    <t>30 Nov 2022 - 18:00</t>
  </si>
  <si>
    <t>30 Nov 2022 - 22:00</t>
  </si>
  <si>
    <t>01 Dec 2022 - 18:00</t>
  </si>
  <si>
    <t>01 Dec 2022 - 22:00</t>
  </si>
  <si>
    <t>02 Dec 2022 - 18:00</t>
  </si>
  <si>
    <t>02 Dec 2022 - 22:00</t>
  </si>
  <si>
    <t>03 Dec 2022 - 18:00</t>
  </si>
  <si>
    <t>03 Dec 2022 - 22:00</t>
  </si>
  <si>
    <t>04 Dec 2022 - 18:00</t>
  </si>
  <si>
    <t>04 Dec 2022 - 22:00</t>
  </si>
  <si>
    <t>05 Dec 2022 - 18:00</t>
  </si>
  <si>
    <t>Croatia win on penalties (3 - 1)</t>
  </si>
  <si>
    <t>05 Dec 2022 - 22:00</t>
  </si>
  <si>
    <t>06 Dec 2022 - 18:00</t>
  </si>
  <si>
    <t>Morocco win on penalties (3 - 0)</t>
  </si>
  <si>
    <t>06 Dec 2022 - 22:00</t>
  </si>
  <si>
    <t>09 Dec 2022 - 18:00</t>
  </si>
  <si>
    <t>Croatia win on penalties (4 - 2)</t>
  </si>
  <si>
    <t>09 Dec 2022 - 22:00</t>
  </si>
  <si>
    <t>Argentina win on penalties (4 - 3)</t>
  </si>
  <si>
    <t>10 Dec 2022 - 18:00</t>
  </si>
  <si>
    <t>10 Dec 2022 - 22:00</t>
  </si>
  <si>
    <t>13 Dec 2022 - 22:00</t>
  </si>
  <si>
    <t>14 Dec 2022 - 22:00</t>
  </si>
  <si>
    <t>17 Dec 2022 - 18:00</t>
  </si>
  <si>
    <t>18 Dec 2022 - 18:00</t>
  </si>
  <si>
    <t>Argentina win on penalties (4 - 2)</t>
  </si>
  <si>
    <t>2026.0</t>
  </si>
  <si>
    <t>Group Stage</t>
  </si>
  <si>
    <t>Mexico City Stadium</t>
  </si>
  <si>
    <t>Mexico City</t>
  </si>
  <si>
    <t>Guadalajara Stadium</t>
  </si>
  <si>
    <t>Toronto Stadium</t>
  </si>
  <si>
    <t>Toronto</t>
  </si>
  <si>
    <t>Los Angeles Stadium</t>
  </si>
  <si>
    <t>Los Angeles</t>
  </si>
  <si>
    <t>Boston Stadium</t>
  </si>
  <si>
    <t>Boston</t>
  </si>
  <si>
    <t>BC Place Vancouver</t>
  </si>
  <si>
    <t>Vancouver</t>
  </si>
  <si>
    <t>New York New Jersey Stadium</t>
  </si>
  <si>
    <t>New Jersey</t>
  </si>
  <si>
    <t>San Francisco Bay Area Stadium</t>
  </si>
  <si>
    <t>San Francisco</t>
  </si>
  <si>
    <t>Houston Stadium</t>
  </si>
  <si>
    <t>Houston</t>
  </si>
  <si>
    <t>Dallas Stadium</t>
  </si>
  <si>
    <t>Dallas</t>
  </si>
  <si>
    <t>Philadelphia Stadium</t>
  </si>
  <si>
    <t>Philadelphia</t>
  </si>
  <si>
    <t>Monterrey Stadium</t>
  </si>
  <si>
    <t>Atlanta Stadium</t>
  </si>
  <si>
    <t>Atlanta</t>
  </si>
  <si>
    <t>Seattle Stadium</t>
  </si>
  <si>
    <t>Seattle</t>
  </si>
  <si>
    <t>Miami Stadium</t>
  </si>
  <si>
    <t>Miami</t>
  </si>
  <si>
    <t>Kansas City Stadium</t>
  </si>
  <si>
    <t>Kansas City</t>
  </si>
  <si>
    <t>Congo DR</t>
  </si>
  <si>
    <t>Santa Clara Stadium</t>
  </si>
  <si>
    <t>Santa Clara</t>
  </si>
  <si>
    <t>Vancouver Stadium</t>
  </si>
  <si>
    <t>Zapopan Stadium</t>
  </si>
  <si>
    <t>Zapopan</t>
  </si>
  <si>
    <t>New Jersey Stadium</t>
  </si>
  <si>
    <t>Arlington Stadium</t>
  </si>
  <si>
    <t>Arlington</t>
  </si>
  <si>
    <t>Foxborough Stadium</t>
  </si>
  <si>
    <t>Foxborough</t>
  </si>
  <si>
    <t>Paraguay win on penalties (4 - 3)</t>
  </si>
  <si>
    <t>Estadio Monterrey</t>
  </si>
  <si>
    <t>Morocco win on penalties (3 - 2)</t>
  </si>
  <si>
    <t>Belgium win after extra time</t>
  </si>
  <si>
    <t>Egypt win on penalties (4 - 2)</t>
  </si>
  <si>
    <t>Argentina win after extra time</t>
  </si>
  <si>
    <t>NRG Stadium</t>
  </si>
  <si>
    <t>Lincoln Financial Field</t>
  </si>
  <si>
    <t>Banorte Stadium</t>
  </si>
  <si>
    <t>AT&amp;T Stadium</t>
  </si>
  <si>
    <t>Lumen Field</t>
  </si>
  <si>
    <t>Mercedes-Benz Stadium</t>
  </si>
  <si>
    <t>BC Place</t>
  </si>
  <si>
    <t>Switzerland win on penalties (4 - 3)</t>
  </si>
  <si>
    <t>Gillette Stadium</t>
  </si>
  <si>
    <t>SoFi Stadium</t>
  </si>
  <si>
    <t>England win after extra time</t>
  </si>
  <si>
    <t>GEHA Field at Arrowhead Stadium</t>
  </si>
  <si>
    <t>Third Place</t>
  </si>
  <si>
    <t>Spain win after extra time</t>
  </si>
  <si>
    <t>TOTAL</t>
  </si>
  <si>
    <t>ANNEE</t>
  </si>
  <si>
    <t>ATTENDU</t>
  </si>
  <si>
    <t>ACTUEL</t>
  </si>
  <si>
    <t>STATUS</t>
  </si>
  <si>
    <t>GROUP_STAGE</t>
  </si>
  <si>
    <t>QUARTER_FINALS</t>
  </si>
  <si>
    <t>FINAL</t>
  </si>
  <si>
    <t>SEMI_FINALS</t>
  </si>
  <si>
    <t>ROUND_OF_16</t>
  </si>
  <si>
    <t>ROUND_OF_32</t>
  </si>
  <si>
    <t>THIRD_PLACE</t>
  </si>
  <si>
    <t>Victoires</t>
  </si>
  <si>
    <t>Matchs</t>
  </si>
  <si>
    <t>Défaites</t>
  </si>
  <si>
    <t>% Victoires</t>
  </si>
  <si>
    <t>% Défaites</t>
  </si>
  <si>
    <t>TEAM_A_SCORE</t>
  </si>
  <si>
    <t>TEAM_B_SCORE</t>
  </si>
  <si>
    <t>SCORE_BEFORE_KICK</t>
  </si>
  <si>
    <t>STATISTIQUES</t>
  </si>
  <si>
    <t>Equipe</t>
  </si>
  <si>
    <t>Rang</t>
  </si>
  <si>
    <t>Dataset : 2026_Team_ Summaries</t>
  </si>
  <si>
    <t>Dataset : Penalty Shootouts (1982-2026)</t>
  </si>
  <si>
    <t>Dataset : Matches (1930-2026)</t>
  </si>
  <si>
    <t>IR Iran</t>
  </si>
  <si>
    <t xml:space="preserve"> win on penalties (5 - 4) </t>
  </si>
  <si>
    <t>rn"&gt;United Arab Emirates</t>
  </si>
  <si>
    <t>rn"&gt;Republic of Ireland</t>
  </si>
  <si>
    <t>rn"&gt;Trinidad and Tobago</t>
  </si>
  <si>
    <t>C�te d'Ivoire</t>
  </si>
  <si>
    <t>rn"&gt;Serbia and Montenegro</t>
  </si>
  <si>
    <t>rn"&gt;Bosnia and Herzegovina</t>
  </si>
  <si>
    <t>United States</t>
  </si>
  <si>
    <t>Czechia</t>
  </si>
  <si>
    <t>Türkiye</t>
  </si>
  <si>
    <t>Ivory Coast</t>
  </si>
  <si>
    <t>Finals</t>
  </si>
  <si>
    <t>ACTION</t>
  </si>
  <si>
    <t>Vérification des doublons :</t>
  </si>
  <si>
    <t>Données controlées</t>
  </si>
  <si>
    <t>Raccourcis :</t>
  </si>
  <si>
    <t>DOUBLONS</t>
  </si>
  <si>
    <t>Tableau de correspondance</t>
  </si>
  <si>
    <t>Afghanistan</t>
  </si>
  <si>
    <t>Albania</t>
  </si>
  <si>
    <t>Andorra</t>
  </si>
  <si>
    <t>Antigua and Barbuda</t>
  </si>
  <si>
    <t>Armenia</t>
  </si>
  <si>
    <t>Azerbaijan</t>
  </si>
  <si>
    <t>Bahrain</t>
  </si>
  <si>
    <t>Bangladesh</t>
  </si>
  <si>
    <t>Barbados</t>
  </si>
  <si>
    <t>Belarus</t>
  </si>
  <si>
    <t>Belize</t>
  </si>
  <si>
    <t>Benin</t>
  </si>
  <si>
    <t>Bhutan</t>
  </si>
  <si>
    <t>Botswana</t>
  </si>
  <si>
    <t>Brunei</t>
  </si>
  <si>
    <t>Burkina Faso</t>
  </si>
  <si>
    <t>Burundi</t>
  </si>
  <si>
    <t>Cambodia</t>
  </si>
  <si>
    <t>Central African Republic</t>
  </si>
  <si>
    <t>Chad</t>
  </si>
  <si>
    <t>China</t>
  </si>
  <si>
    <t>Comoros</t>
  </si>
  <si>
    <t>Cyprus</t>
  </si>
  <si>
    <t>Democratic Republic of the Congo</t>
  </si>
  <si>
    <t>Djibouti</t>
  </si>
  <si>
    <t>Dominica</t>
  </si>
  <si>
    <t>Dominican Republic</t>
  </si>
  <si>
    <t>Equatorial Guinea</t>
  </si>
  <si>
    <t>Eritrea</t>
  </si>
  <si>
    <t>Estonia</t>
  </si>
  <si>
    <t>Ethiopia</t>
  </si>
  <si>
    <t>Fiji</t>
  </si>
  <si>
    <t>Finland</t>
  </si>
  <si>
    <t>Gabon</t>
  </si>
  <si>
    <t>Georgia</t>
  </si>
  <si>
    <t>Grenada</t>
  </si>
  <si>
    <t>Guatemala</t>
  </si>
  <si>
    <t>Guinea</t>
  </si>
  <si>
    <t>Guinea-Bissau</t>
  </si>
  <si>
    <t>Guyana</t>
  </si>
  <si>
    <t>India</t>
  </si>
  <si>
    <t>Indonesia</t>
  </si>
  <si>
    <t>Ireland</t>
  </si>
  <si>
    <t>Kazakhstan</t>
  </si>
  <si>
    <t>Kenya</t>
  </si>
  <si>
    <t>Kiribati</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</si>
  <si>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</si>
  <si>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</si>
  <si>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</si>
  <si>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</si>
  <si>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</si>
  <si>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</si>
  <si>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</si>
  <si>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</si>
  <si>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</si>
  <si>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</si>
  <si>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</si>
  <si>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</si>
  <si>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</si>
  <si>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</si>
  <si>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</si>
  <si>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</si>
  <si>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</si>
  <si>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</si>
  <si>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</si>
  <si>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Micronesia</t>
  </si>
  <si>
    <t>Moldova</t>
  </si>
  <si>
    <t>Mongolia</t>
  </si>
  <si>
    <t>Montenegro</t>
  </si>
  <si>
    <t>Mozambique</t>
  </si>
  <si>
    <t>Namibia</t>
  </si>
  <si>
    <t>Nauru</t>
  </si>
  <si>
    <t>Nepal</t>
  </si>
  <si>
    <t>Nicaragua</t>
  </si>
  <si>
    <t>Niger</t>
  </si>
  <si>
    <t>North Korea</t>
  </si>
  <si>
    <t>North Macedonia</t>
  </si>
  <si>
    <t>Oman</t>
  </si>
  <si>
    <t>Pakistan</t>
  </si>
  <si>
    <t>Palau</t>
  </si>
  <si>
    <t>Papua New Guinea</t>
  </si>
  <si>
    <t>Philippines</t>
  </si>
  <si>
    <t>Rwanda</t>
  </si>
  <si>
    <t>Saint Kitts and Nevis</t>
  </si>
  <si>
    <t>Saint Lucia</t>
  </si>
  <si>
    <t>Saint Vincent and the Grenadines</t>
  </si>
  <si>
    <t>Samoa</t>
  </si>
  <si>
    <t>San Marino</t>
  </si>
  <si>
    <t>Sao Tome and Principe</t>
  </si>
  <si>
    <t>Seychelles</t>
  </si>
  <si>
    <t>Sierra Leone</t>
  </si>
  <si>
    <t>Singapore</t>
  </si>
  <si>
    <t>Solomon Islands</t>
  </si>
  <si>
    <t>Somalia</t>
  </si>
  <si>
    <t>South Sudan</t>
  </si>
  <si>
    <t>Sri Lanka</t>
  </si>
  <si>
    <t>Sudan</t>
  </si>
  <si>
    <t>Suriname</t>
  </si>
  <si>
    <t>Syria</t>
  </si>
  <si>
    <t>Tajikistan</t>
  </si>
  <si>
    <t>Tanzania</t>
  </si>
  <si>
    <t>Thailand</t>
  </si>
  <si>
    <t>Timor-Leste</t>
  </si>
  <si>
    <t>Tonga</t>
  </si>
  <si>
    <t>Trinidad and Tobago</t>
  </si>
  <si>
    <t>Turkmenistan</t>
  </si>
  <si>
    <t>Tuvalu</t>
  </si>
  <si>
    <t>Uganda</t>
  </si>
  <si>
    <t>United Arab Emirates</t>
  </si>
  <si>
    <t>United Kingdom</t>
  </si>
  <si>
    <t>Vanuatu</t>
  </si>
  <si>
    <t>Venezuela</t>
  </si>
  <si>
    <t>Vietnam</t>
  </si>
  <si>
    <t>Yemen</t>
  </si>
  <si>
    <t>Zambia</t>
  </si>
  <si>
    <t>Zimbabwe</t>
  </si>
  <si>
    <t>Liste des pays du monde</t>
  </si>
  <si>
    <t>NOM DE PAYS</t>
  </si>
  <si>
    <t>American Samoa</t>
  </si>
  <si>
    <t>Anguilla</t>
  </si>
  <si>
    <t>Aruba</t>
  </si>
  <si>
    <t>The Bahamas</t>
  </si>
  <si>
    <t>Bermuda</t>
  </si>
  <si>
    <t>British Virgin Islands</t>
  </si>
  <si>
    <t>Cayman Islands</t>
  </si>
  <si>
    <t>Cocos (Keeling) Islands</t>
  </si>
  <si>
    <t>Republic of the Congo</t>
  </si>
  <si>
    <t>Cook Islands</t>
  </si>
  <si>
    <t>Eswatini (Swaziland)</t>
  </si>
  <si>
    <t>Falkland Islands</t>
  </si>
  <si>
    <t>Faroe Islands</t>
  </si>
  <si>
    <t>French Guiana</t>
  </si>
  <si>
    <t>French Polynesia</t>
  </si>
  <si>
    <t>The Gambia</t>
  </si>
  <si>
    <t>Gaza Strip</t>
  </si>
  <si>
    <t>Gibraltar</t>
  </si>
  <si>
    <t>Greenland</t>
  </si>
  <si>
    <t>Guadeloupe</t>
  </si>
  <si>
    <t>Guam</t>
  </si>
  <si>
    <t>Guernsey</t>
  </si>
  <si>
    <t>Hong Kong</t>
  </si>
  <si>
    <t>Isle of Man</t>
  </si>
  <si>
    <t>Jersey</t>
  </si>
  <si>
    <t>Kosovo</t>
  </si>
  <si>
    <t>Macau</t>
  </si>
  <si>
    <t>Martinique</t>
  </si>
  <si>
    <t>Mayotte</t>
  </si>
  <si>
    <t>Montserrat</t>
  </si>
  <si>
    <t>New Caledonia</t>
  </si>
  <si>
    <t>Niue</t>
  </si>
  <si>
    <t>Northern Mariana Islands</t>
  </si>
  <si>
    <t>Pitcairn Island</t>
  </si>
  <si>
    <t>Puerto Rico</t>
  </si>
  <si>
    <t>Réunion</t>
  </si>
  <si>
    <t>Saint Helena</t>
  </si>
  <si>
    <t>Saint-Pierre and Miquelon</t>
  </si>
  <si>
    <t>Sint Maarten</t>
  </si>
  <si>
    <t>Taiwan</t>
  </si>
  <si>
    <t>Tokelau</t>
  </si>
  <si>
    <t>Turks and Caicos Islands</t>
  </si>
  <si>
    <t>United States Virgin Islands</t>
  </si>
  <si>
    <t>Vatican City</t>
  </si>
  <si>
    <t>Wallis and Futuna</t>
  </si>
  <si>
    <t>West Bank</t>
  </si>
  <si>
    <t>Western Sahara</t>
  </si>
  <si>
    <t>CORRECTION APPORTEE</t>
  </si>
  <si>
    <t>Liste des pays DATASET (corrigée)</t>
  </si>
  <si>
    <t>Myanmar</t>
  </si>
  <si>
    <t>East Timor</t>
  </si>
  <si>
    <t>Liste des pays FIFA (unique)</t>
  </si>
  <si>
    <t>CARACTERE SPECIAL</t>
  </si>
  <si>
    <t>Caractère spécial trouvé</t>
  </si>
  <si>
    <t>Stade Vélodrome</t>
  </si>
  <si>
    <t>Maracanã - Estádio Jornalista Mário Filho</t>
  </si>
  <si>
    <t>Nou Camp - Estadio León</t>
  </si>
  <si>
    <t>Estadio José María Minella</t>
  </si>
  <si>
    <t>Estadio Olímpico Chateau Carreras</t>
  </si>
  <si>
    <t>Estadio Municipal de Balaídos</t>
  </si>
  <si>
    <t>Estadio Olímpico Universitario</t>
  </si>
  <si>
    <t>Liste des stades (CLEAN)</t>
  </si>
  <si>
    <t>Stadium (CLEAN)</t>
  </si>
  <si>
    <t>Liste des villes (CLEAN)</t>
  </si>
  <si>
    <t>Malmö</t>
  </si>
  <si>
    <t>Norrköping</t>
  </si>
  <si>
    <t>Düsseldorf</t>
  </si>
  <si>
    <t>La Coruña</t>
  </si>
  <si>
    <t>City (CLEAN)</t>
  </si>
  <si>
    <t>Est numérique</t>
  </si>
  <si>
    <t>Correction</t>
  </si>
  <si>
    <t>-</t>
  </si>
  <si>
    <t>Colonne</t>
  </si>
  <si>
    <t>Colonne corrigée</t>
  </si>
  <si>
    <t>NON</t>
  </si>
  <si>
    <t>OUI</t>
  </si>
  <si>
    <t>IDENTIFIANT</t>
  </si>
  <si>
    <t>CONTRÔLE</t>
  </si>
  <si>
    <t>SCORE_BEFORE_KICK (propre)</t>
  </si>
  <si>
    <t>DONNEES NUMERIQUES</t>
  </si>
  <si>
    <t>ETAPES DU CHAMPIONNAT</t>
  </si>
  <si>
    <t>Pas d'étapes</t>
  </si>
  <si>
    <t>OK</t>
  </si>
  <si>
    <t>Liste des stades (BRUT)</t>
  </si>
  <si>
    <t>Liste des villes (BRUT)</t>
  </si>
  <si>
    <t>HAUT DE PAGE</t>
  </si>
  <si>
    <t>Pas de score</t>
  </si>
  <si>
    <t>Validité du score</t>
  </si>
  <si>
    <t>TEAM_VALIDE</t>
  </si>
  <si>
    <t>GAGNANT_VALIDE</t>
  </si>
  <si>
    <t>GAGNANT</t>
  </si>
  <si>
    <t>Colonne Win Conditions</t>
  </si>
  <si>
    <t>Dataset : Matches (1930-2026) || Win Conditions</t>
  </si>
  <si>
    <t>Win Conditions (corrigée)</t>
  </si>
  <si>
    <t>Equipe gagnante</t>
  </si>
  <si>
    <t>CONDITIONS</t>
  </si>
  <si>
    <t>ETAPE</t>
  </si>
  <si>
    <t>Participation aux coupes du monde selon les années</t>
  </si>
  <si>
    <t xml:space="preserve">                                        ANNEE
PAYS</t>
  </si>
  <si>
    <t>Nombres de tirs au but</t>
  </si>
  <si>
    <t>VUE D'ENSEMBLE</t>
  </si>
  <si>
    <t>Année</t>
  </si>
  <si>
    <t>Buts</t>
  </si>
  <si>
    <t>Moy. buts/match</t>
  </si>
  <si>
    <t>Médiane</t>
  </si>
  <si>
    <t>Matchs nuls</t>
  </si>
  <si>
    <t>Nul</t>
  </si>
  <si>
    <t>TOP 10 :
Remporte
le
titre</t>
  </si>
  <si>
    <t>TOP 10 :
Nombre
de
buts</t>
  </si>
  <si>
    <t>Nombres de buts</t>
  </si>
  <si>
    <t>TOP 10 :
Participations</t>
  </si>
  <si>
    <t>TOP 10 :
Différence de buts</t>
  </si>
  <si>
    <t>TOP 10 :
Carré final</t>
  </si>
  <si>
    <t>Analyse des matchs</t>
  </si>
  <si>
    <t>Type de résultat</t>
  </si>
  <si>
    <t>Nombre</t>
  </si>
  <si>
    <t>Pourcentage</t>
  </si>
  <si>
    <t>WIN_BY_SCORE</t>
  </si>
  <si>
    <t>WIN_BY_PENALTY</t>
  </si>
  <si>
    <t>WIN_BY_GOLDEN_GOAL</t>
  </si>
  <si>
    <t>MATCH_NUL</t>
  </si>
  <si>
    <t>WIN_BY_EXTRA_TIME</t>
  </si>
  <si>
    <t>Nombres de buts (+)</t>
  </si>
  <si>
    <t>Participations</t>
  </si>
  <si>
    <t>Nombres de fois à atteindre les 1/2 finales</t>
  </si>
  <si>
    <t>Nombre d'équipes</t>
  </si>
  <si>
    <t>Ne contient pas de match</t>
  </si>
  <si>
    <t>ETAPES DU CHAMPIONNAT | NORMALISATION</t>
  </si>
  <si>
    <t>NOM DE PAYS | NORMALISATION</t>
  </si>
  <si>
    <t>CARACTERE SPECIAL | CORRECTION</t>
  </si>
  <si>
    <t>DONNEES NUMERIQUES | NORMALISATION</t>
  </si>
  <si>
    <t>NOMBRE DE MATCHS | VERIFICATION</t>
  </si>
  <si>
    <t>VERIFICATION DU SCORE</t>
  </si>
  <si>
    <t>ETAPES DU CHAMPIONNAT | VERIFICATION</t>
  </si>
  <si>
    <t>EVOLUTION DE LA COUPE DU MONDE</t>
  </si>
  <si>
    <t>PERFORMANCES HISTORIQUES</t>
  </si>
  <si>
    <t>FIN DES MATCHS</t>
  </si>
  <si>
    <t>TOP 10 :
Equipes offensives</t>
  </si>
  <si>
    <t>Score offensive</t>
  </si>
  <si>
    <t>Score défensif</t>
  </si>
  <si>
    <t>Médiane de buts encaissés</t>
  </si>
  <si>
    <t>TOP 10 :
Equipes défensives</t>
  </si>
  <si>
    <t>Score offensif</t>
  </si>
  <si>
    <t>Plus haute étape atteinte</t>
  </si>
  <si>
    <t>Titre de champion</t>
  </si>
  <si>
    <t>Performance globale</t>
  </si>
  <si>
    <t>TOP 10 :
Performance globale att/def</t>
  </si>
  <si>
    <t>Participation</t>
  </si>
  <si>
    <t>Victoire</t>
  </si>
  <si>
    <t>But marqué</t>
  </si>
  <si>
    <t>Quart de finale</t>
  </si>
  <si>
    <t>Demi-finale</t>
  </si>
  <si>
    <t>Finale</t>
  </si>
  <si>
    <t>Titre</t>
  </si>
  <si>
    <t>Médiane de diff. de buts</t>
  </si>
  <si>
    <t>Médiane de buts par match</t>
  </si>
  <si>
    <t>Match parfait (%)</t>
  </si>
  <si>
    <t>SCORE (/100)</t>
  </si>
  <si>
    <t>SCORE ATTAQUE / DEFENSE (/100)</t>
  </si>
  <si>
    <t>évalue la capacité à produire des buts, à partir de la médiane (60 %) et de la moyenne (40 %) de buts par match.</t>
  </si>
  <si>
    <t>évalue la capacité à limiter les buts encaissés, avec une pondération de 60 % sur la médiane et 40 % sur la moyenne.</t>
  </si>
  <si>
    <t>Score globale</t>
  </si>
  <si>
    <t>Performance globale à partir du score offensif (50 %) et du score défensif (50 %).</t>
  </si>
  <si>
    <t>VERSUS</t>
  </si>
  <si>
    <t>K P I</t>
  </si>
  <si>
    <t>Buts marqués</t>
  </si>
  <si>
    <t>Nuls</t>
  </si>
  <si>
    <t>Buts encaissés/match</t>
  </si>
  <si>
    <t>Score global</t>
  </si>
  <si>
    <t>Probabilité</t>
  </si>
  <si>
    <t>Seuil de fiabilité</t>
  </si>
  <si>
    <t>Moyenne buts par équipe</t>
  </si>
  <si>
    <t>Équipe A</t>
  </si>
  <si>
    <t>Buts marqués/match</t>
  </si>
  <si>
    <t>Équipe B</t>
  </si>
  <si>
    <t>Fiabilité A</t>
  </si>
  <si>
    <t>Fiabilité B</t>
  </si>
  <si>
    <t>Attaque ajustée A</t>
  </si>
  <si>
    <t>Attaque ajustée B</t>
  </si>
  <si>
    <t>Défense ajustée B</t>
  </si>
  <si>
    <t>Défense ajustée A</t>
  </si>
  <si>
    <t>Buts attendus A</t>
  </si>
  <si>
    <t>Buts attendus B</t>
  </si>
  <si>
    <t>Victoire A</t>
  </si>
  <si>
    <t>Match nul</t>
  </si>
  <si>
    <t>Victoire B</t>
  </si>
  <si>
    <t>Contrôle</t>
  </si>
  <si>
    <t>Probabilité score probable</t>
  </si>
  <si>
    <t>Buts A</t>
  </si>
  <si>
    <t>Buts B</t>
  </si>
  <si>
    <t>Score le plus probable</t>
  </si>
  <si>
    <t>Confiance numérique</t>
  </si>
  <si>
    <t>Confiance</t>
  </si>
  <si>
    <t>Indice de confiance</t>
  </si>
  <si>
    <t>But encaissé /m</t>
  </si>
  <si>
    <t>Moyenne de buts /m</t>
  </si>
  <si>
    <t>Méthode du POISSON</t>
  </si>
  <si>
    <t>PARAMÈTRES DU MODÈLE DE PROBABILITE (calcul du VERSUS)</t>
  </si>
  <si>
    <t>Les probabilités sont des estimations indicatives fondées sur les performances historiques, la forme récente et une distribution de Poisson.
Elles ne constituent pas des prévisions certaines.</t>
  </si>
  <si>
    <t>Séances de tirs au but</t>
  </si>
  <si>
    <t>Moy. de buts / match</t>
  </si>
  <si>
    <t>Nombre d'équipes participantes</t>
  </si>
  <si>
    <t>Équipe</t>
  </si>
  <si>
    <t>Médiane de but par match</t>
  </si>
  <si>
    <t>Performance globale (attaque/défense)</t>
  </si>
  <si>
    <t>Taux de victoire</t>
  </si>
  <si>
    <t>TOP ÉQUIPES OFFENSIVES</t>
  </si>
  <si>
    <t>TOP ÉQUIPES DÉFENSIVES</t>
  </si>
  <si>
    <t>Buts par match</t>
  </si>
  <si>
    <t>Buts encaissés par match</t>
  </si>
  <si>
    <t>Différence de buts par match</t>
  </si>
  <si>
    <t>Victoires lors des
cinq derniers matchs</t>
  </si>
  <si>
    <t>Buts attendus en cas de rencontre</t>
  </si>
  <si>
    <t>Probabilités du résultat</t>
  </si>
  <si>
    <t>Coefficient de force équipe  A</t>
  </si>
  <si>
    <t>Coefficient de force équipe  B</t>
  </si>
  <si>
    <t>Buts attendus A après ajustement</t>
  </si>
  <si>
    <t>Buts attendus B après ajustement</t>
  </si>
  <si>
    <t>Coeeficient de forme A</t>
  </si>
  <si>
    <t>Coefficient de forme B</t>
  </si>
  <si>
    <t>Buts attendus finaux A</t>
  </si>
  <si>
    <t>Buts attendus finaux B</t>
  </si>
  <si>
    <t>Probabilité du score le plus probable</t>
  </si>
  <si>
    <t>Nombre de matchs
ATTENDU</t>
  </si>
  <si>
    <t>Nombre de matchs
ACTUEL</t>
  </si>
  <si>
    <t>Ne contient aucun match</t>
  </si>
  <si>
    <t>This project analyzes FIFA World Cup data from 1930 to 2026 using Microsoft Excel.
The objective is not limited to visualizing historical football statistics. The workbook demonstrates a complete Business Intelligence workflow, including:
source data exploration;
data quality assessment;
duplicate detection;
data cleaning and standardization;
KPI design;
statistical analysis;
interactive dashboard development;
team comparison;
indicative match probability modeling.
The project was developed as part of a transition toward a Business Intelligence and Data Analyst career.</t>
  </si>
  <si>
    <t>The dashboard was designed as an executive analytical tool for exploring the history and evolution of the FIFA World Cup.
The analysis addresses questions such as:
Which national teams have achieved the strongest historical performances?
Which teams have won the most FIFA World Cup titles?
Which teams demonstrate the strongest offensive and defensive performance?
How has the number of goals per match evolved over time?
Which teams have the highest historical win rates?
How frequently have matches been decided after extra time or by penalty shootouts?
How do two selected national teams compare?
What match outcome is suggested by their historical performance and recent form?</t>
  </si>
  <si>
    <t>The project uses data derived from The Ultimate FIFA World Cup Dataset (1930–2026), obtained from Kaggle.
The workbook includes four source datasets:
- Match results (1930–2026)
- Penalty shootouts (1982 to 2026)
- 2026 squads
- 2026 teams summaries</t>
  </si>
  <si>
    <r>
      <t xml:space="preserve">-DATA_CLEANED
</t>
    </r>
    <r>
      <rPr>
        <i/>
        <sz val="11"/>
        <color theme="1"/>
        <rFont val="Aptos Narrow"/>
        <family val="2"/>
        <scheme val="minor"/>
      </rPr>
      <t>Contains the standardized datasets used for analysis and dashboard calculations.</t>
    </r>
    <r>
      <rPr>
        <sz val="11"/>
        <color theme="1"/>
        <rFont val="Aptos Narrow"/>
        <family val="2"/>
        <scheme val="minor"/>
      </rPr>
      <t xml:space="preserve">
- CALCULES
</t>
    </r>
    <r>
      <rPr>
        <i/>
        <sz val="11"/>
        <color theme="1"/>
        <rFont val="Aptos Narrow"/>
        <family val="2"/>
        <scheme val="minor"/>
      </rPr>
      <t>Contains intermediate calculations and team-level metrics, including: (non-exhaustive)
offensive score;
defensive score;
global performance score;
stage reached;
World Cup titles.</t>
    </r>
    <r>
      <rPr>
        <sz val="11"/>
        <color theme="1"/>
        <rFont val="Aptos Narrow"/>
        <family val="2"/>
        <scheme val="minor"/>
      </rPr>
      <t xml:space="preserve">
</t>
    </r>
    <r>
      <rPr>
        <i/>
        <sz val="11"/>
        <color theme="1"/>
        <rFont val="Aptos Narrow"/>
        <family val="2"/>
        <scheme val="minor"/>
      </rPr>
      <t xml:space="preserve">- </t>
    </r>
    <r>
      <rPr>
        <sz val="11"/>
        <color theme="1"/>
        <rFont val="Aptos Narrow"/>
        <family val="2"/>
        <scheme val="minor"/>
      </rPr>
      <t>RESUME</t>
    </r>
    <r>
      <rPr>
        <i/>
        <sz val="11"/>
        <color theme="1"/>
        <rFont val="Aptos Narrow"/>
        <family val="2"/>
        <scheme val="minor"/>
      </rPr>
      <t xml:space="preserve">
Provides a consolidated historical overview by tournament edition.
- </t>
    </r>
    <r>
      <rPr>
        <sz val="11"/>
        <color theme="1"/>
        <rFont val="Aptos Narrow"/>
        <family val="2"/>
        <scheme val="minor"/>
      </rPr>
      <t>DASHBOARD</t>
    </r>
    <r>
      <rPr>
        <i/>
        <sz val="11"/>
        <color theme="1"/>
        <rFont val="Aptos Narrow"/>
        <family val="2"/>
        <scheme val="minor"/>
      </rPr>
      <t xml:space="preserve">
Provides the interactive analytical interface, including:
tournament-level KPIs;
historical evolution charts;
an interactive team comparison section;
indicative match-outcome probabilities.</t>
    </r>
  </si>
  <si>
    <r>
      <t xml:space="preserve">- README
</t>
    </r>
    <r>
      <rPr>
        <i/>
        <sz val="11"/>
        <color theme="1"/>
        <rFont val="Aptos Narrow"/>
        <family val="2"/>
        <scheme val="minor"/>
      </rPr>
      <t>Presents the business objective, methodology, workbook structure and main limitations.</t>
    </r>
    <r>
      <rPr>
        <sz val="11"/>
        <color theme="1"/>
        <rFont val="Aptos Narrow"/>
        <family val="2"/>
        <scheme val="minor"/>
      </rPr>
      <t xml:space="preserve">
-</t>
    </r>
    <r>
      <rPr>
        <i/>
        <sz val="11"/>
        <color theme="1"/>
        <rFont val="Aptos Narrow"/>
        <family val="2"/>
        <scheme val="minor"/>
      </rPr>
      <t xml:space="preserve"> </t>
    </r>
    <r>
      <rPr>
        <sz val="11"/>
        <color theme="1"/>
        <rFont val="Aptos Narrow"/>
        <family val="2"/>
        <scheme val="minor"/>
      </rPr>
      <t>DATA_DICTIONNAIRE</t>
    </r>
    <r>
      <rPr>
        <i/>
        <sz val="11"/>
        <color theme="1"/>
        <rFont val="Aptos Narrow"/>
        <family val="2"/>
        <scheme val="minor"/>
      </rPr>
      <t xml:space="preserve">
Documents the source datasets, fields, data types, nullability and examples.</t>
    </r>
    <r>
      <rPr>
        <sz val="11"/>
        <color theme="1"/>
        <rFont val="Aptos Narrow"/>
        <family val="2"/>
        <scheme val="minor"/>
      </rPr>
      <t xml:space="preserve">
</t>
    </r>
    <r>
      <rPr>
        <i/>
        <sz val="11"/>
        <color theme="1"/>
        <rFont val="Aptos Narrow"/>
        <family val="2"/>
        <scheme val="minor"/>
      </rPr>
      <t xml:space="preserve">- </t>
    </r>
    <r>
      <rPr>
        <sz val="11"/>
        <color theme="1"/>
        <rFont val="Aptos Narrow"/>
        <family val="2"/>
        <scheme val="minor"/>
      </rPr>
      <t>KPI_DICTIONNAIRE</t>
    </r>
    <r>
      <rPr>
        <i/>
        <sz val="11"/>
        <color theme="1"/>
        <rFont val="Aptos Narrow"/>
        <family val="2"/>
        <scheme val="minor"/>
      </rPr>
      <t xml:space="preserve">
Documents the business indicators, calculation principles, interpretation rules and data sources.</t>
    </r>
    <r>
      <rPr>
        <sz val="11"/>
        <color theme="1"/>
        <rFont val="Aptos Narrow"/>
        <family val="2"/>
        <scheme val="minor"/>
      </rPr>
      <t xml:space="preserve">
- </t>
    </r>
    <r>
      <rPr>
        <sz val="11"/>
        <color theme="1"/>
        <rFont val="Aptos Narrow"/>
        <family val="2"/>
        <scheme val="minor"/>
      </rPr>
      <t>DATA_BRUT</t>
    </r>
    <r>
      <rPr>
        <i/>
        <sz val="11"/>
        <color theme="1"/>
        <rFont val="Aptos Narrow"/>
        <family val="2"/>
        <scheme val="minor"/>
      </rPr>
      <t xml:space="preserve">
Contains the original imported datasets without transformation.
- </t>
    </r>
    <r>
      <rPr>
        <sz val="11"/>
        <color theme="1"/>
        <rFont val="Aptos Narrow"/>
        <family val="2"/>
        <scheme val="minor"/>
      </rPr>
      <t>DATA_QUALITE</t>
    </r>
    <r>
      <rPr>
        <i/>
        <sz val="11"/>
        <color theme="1"/>
        <rFont val="Aptos Narrow"/>
        <family val="2"/>
        <scheme val="minor"/>
      </rPr>
      <t xml:space="preserve">
Contains the quality control process, including:
duplicate detection;
country-name validation;
character-encoding controls;
numerical type checks;
tournament-stage normalization;
match-score verification;
match-count reconciliation;
correction mapping tables.</t>
    </r>
  </si>
  <si>
    <t>WORKBOOK STRUCTURE</t>
  </si>
  <si>
    <t>DATA QUALITY PROCESS</t>
  </si>
  <si>
    <t>KEY PERFORMANCE INIDICATORS</t>
  </si>
  <si>
    <t>- highest tournament stage reached;
- wins, draws and defeats;
- goals scored and conceded;
- offensive performance score;
- defensive performance score;
- global performance score;
- recent-form indicator;
- expected goals;
- estimated win, draw and loss probabilities;
- model confidence indicator.</t>
  </si>
  <si>
    <t>The dashboard includes the following indicators:
- number of FIFA World Cup editions;
- number of matches;
- number of participating national teams;
- total goals;
- average goals per match;
- median goals per match;
- number of draws;
- number of penalty shootouts;
- number of matches decided by a golden goal;
- World Cup titles by team;</t>
  </si>
  <si>
    <t>The data preparation process follows several stages:
- preservation of the original source data;
- identification of duplicate match records;
- standardization of country and team names;
- correction of character-encoding issues;
- conversion of numerical fields;
- normalization of tournament stages;
- verification of goals and match winners;
- reconciliation of the number of matches by edition;
- creation of cleaned analytical datasets.</t>
  </si>
  <si>
    <t>TEAM PERFORMANCE SCORE</t>
  </si>
  <si>
    <t>The offensive, defensive and global scores are normalized indicators designed to compare national teams.
The offensive score considers:
average goals scored per match; consistency in goals scored; the volume of available match data.
The defensive score considers:
average goals conceded per match; consistency in goals conceded;
clean-sheet performance; the volume of available match data.
The global score combines the offensive and defensive dimensions.
These scores are comparative indicators and must not be interpreted as official FIFA rankings.</t>
  </si>
  <si>
    <t>VERSUS PROBABILITY MODEL</t>
  </si>
  <si>
    <t>The VERSUS section compares two selected national teams.
The model uses:
average goals scored per match; average goals conceded per match;
offensive and defensive adjustments; historical data reliability;
recent form; expected-goal estimates;
a Poisson distribution for score probabilities.
The output includes:
expected goals for each team; probability of a win for team A;
probability of a draw; probability of a win for team B;
most likely exact score; probability of the most likely score;
confidence level.</t>
  </si>
  <si>
    <t>This project demonstrates proficiency with:
- Excel Tables;
- structured references;
- dynamic arrays;
- data validation lists;
- conditional formatting;
- PivotTables;
- PivotCharts;
- dashboard design;
- XLOOKUP;</t>
  </si>
  <si>
    <t>- SUMIFS;
- COUNTIFS;
- AVERAGEIFS;
- FILTER;
- UNIQUE;
- SORT;
- LET;
- INDEX;
- MATCH;
- SUMPRODUCT;
- Poisson probability functions.</t>
  </si>
  <si>
    <t>LIMITATIONS</t>
  </si>
  <si>
    <t>The analysis has several limitations:
- team names and national entities have changed throughout World Cup history;
- the number of available matches varies significantly between teams;
- historical performances do not guarantee future results;
- the expected-goals model does not include player availability, injuries, tactical systems or match location;
- the Poisson model assumes independent scoring events;</t>
  </si>
  <si>
    <t>FUTURE IMPROVMENTS</t>
  </si>
  <si>
    <t>Future improvements may include:
- migration of the cleaning process to Power Query;
- SQL-based data preparation;
- Power BI dashboard development;
- Microsoft Fabric integration;
- separation of historical and projected data;
- home and away performance adjustments;
- tournament-strength weighting;
- opponent-strength adjustments;
- model validation against historical matches;
- confidence intervals and backtesting.</t>
  </si>
  <si>
    <t>KPI</t>
  </si>
  <si>
    <t>Catégorie</t>
  </si>
  <si>
    <t>Définition</t>
  </si>
  <si>
    <t>Source</t>
  </si>
  <si>
    <t>Format</t>
  </si>
  <si>
    <t>Interprétation</t>
  </si>
  <si>
    <t>Nombre d’éditions</t>
  </si>
  <si>
    <t>Vue d’ensemble</t>
  </si>
  <si>
    <t>Nombre d’années distinctes présentes dans les rencontres</t>
  </si>
  <si>
    <t>DATA_CLEANED!AF</t>
  </si>
  <si>
    <t>Entier</t>
  </si>
  <si>
    <t>Nombre d’éditions couvertes par le dataset</t>
  </si>
  <si>
    <t>Nombre de matchs</t>
  </si>
  <si>
    <t>Nombre total de rencontres analysées</t>
  </si>
  <si>
    <t>DATA_CLEANED!AF:AO</t>
  </si>
  <si>
    <t>Volume total de rencontres</t>
  </si>
  <si>
    <t>Nombre d’équipes</t>
  </si>
  <si>
    <t>Nombre d’équipes distinctes ayant participé à au moins un match</t>
  </si>
  <si>
    <t>Couverture géographique du dataset</t>
  </si>
  <si>
    <t>Somme des buts à domicile et à l’extérieur, hors tirs au but</t>
  </si>
  <si>
    <t>DATA_CLEANED!AL:AM</t>
  </si>
  <si>
    <t>Production offensive totale</t>
  </si>
  <si>
    <t>Total des buts divisé par le nombre de matchs</t>
  </si>
  <si>
    <t>Décimal</t>
  </si>
  <si>
    <t>Intensité offensive moyenne</t>
  </si>
  <si>
    <t>Médiane du total de buts inscrits lors de chaque rencontre</t>
  </si>
  <si>
    <t>Match typique, moins sensible aux scores extrêmes</t>
  </si>
  <si>
    <t>Nombre de matchs nuls</t>
  </si>
  <si>
    <t>Résultats</t>
  </si>
  <si>
    <t>Matchs terminés à égalité sans vainqueur après la procédure retenue</t>
  </si>
  <si>
    <t>Scores et conditions de victoire</t>
  </si>
  <si>
    <t>Fréquence des matchs nuls</t>
  </si>
  <si>
    <t>Nombre de rencontres décidées aux tirs au but</t>
  </si>
  <si>
    <t>Conditions de victoire et dataset des tirs au but</t>
  </si>
  <si>
    <t>Fréquence des décisions aux tirs au but</t>
  </si>
  <si>
    <t>Matchs décidés par but en or</t>
  </si>
  <si>
    <t>Nombre de rencontres décidées selon la règle du but en or</t>
  </si>
  <si>
    <t>Conditions de victoire</t>
  </si>
  <si>
    <t>Utilisation historique du but en or</t>
  </si>
  <si>
    <t>Nombre d’éditions lors desquelles l’équipe a joué au moins un match</t>
  </si>
  <si>
    <t>CALCULES!B:X</t>
  </si>
  <si>
    <t>Régularité de présence dans la compétition</t>
  </si>
  <si>
    <t>Matchs disputés</t>
  </si>
  <si>
    <t>Nombre total de matchs joués par l’équipe</t>
  </si>
  <si>
    <t>CALCULES!AA</t>
  </si>
  <si>
    <t>Volume historique disponible</t>
  </si>
  <si>
    <t>Nombre de matchs remportés, tirs au but compris selon la règle du projet</t>
  </si>
  <si>
    <t>CALCULES!AB</t>
  </si>
  <si>
    <t>Succès historiques</t>
  </si>
  <si>
    <t>Nombre de matchs sans vainqueur</t>
  </si>
  <si>
    <t>CALCULES!AD</t>
  </si>
  <si>
    <t>Nombre de résultats nuls</t>
  </si>
  <si>
    <t>Matchs disputés moins victoires et matchs nuls</t>
  </si>
  <si>
    <t>CALCULES!AC</t>
  </si>
  <si>
    <t>Nombre de revers</t>
  </si>
  <si>
    <t>Victoires divisées par les matchs disputés</t>
  </si>
  <si>
    <t>CALCULES!AE</t>
  </si>
  <si>
    <t>Fréquence historique des victoires</t>
  </si>
  <si>
    <t>Total des buts inscrits par l’équipe</t>
  </si>
  <si>
    <t>CALCULES!AG</t>
  </si>
  <si>
    <t>Production offensive cumulée</t>
  </si>
  <si>
    <t>Total des buts concédés par l’équipe</t>
  </si>
  <si>
    <t>CALCULES!AH</t>
  </si>
  <si>
    <t>Exposition défensive cumulée</t>
  </si>
  <si>
    <t>Buts marqués par match</t>
  </si>
  <si>
    <t>Buts marqués divisés par les matchs disputés</t>
  </si>
  <si>
    <t>CALCULES!AL</t>
  </si>
  <si>
    <t>Efficacité offensive moyenne</t>
  </si>
  <si>
    <t>Buts encaissés divisés par les matchs disputés</t>
  </si>
  <si>
    <t>Solidité défensive moyenne, une valeur faible est préférable</t>
  </si>
  <si>
    <t>Buts marqués moins buts encaissés</t>
  </si>
  <si>
    <t>CALCULES!AJ</t>
  </si>
  <si>
    <t>Équilibre offensif et défensif</t>
  </si>
  <si>
    <t>Différence de buts divisée par le nombre de matchs</t>
  </si>
  <si>
    <t>CALCULES</t>
  </si>
  <si>
    <t>Performance nette moyenne</t>
  </si>
  <si>
    <t>Matchs sans encaisser</t>
  </si>
  <si>
    <t>Défense</t>
  </si>
  <si>
    <t>Proportion de matchs durant lesquels l’équipe n’a concédé aucun but</t>
  </si>
  <si>
    <t>CALCULES!AN</t>
  </si>
  <si>
    <t>Capacité à conserver un score vierge</t>
  </si>
  <si>
    <t>Parcours</t>
  </si>
  <si>
    <t>Meilleure phase de compétition atteinte par l’équipe</t>
  </si>
  <si>
    <t>CALCULES!AQ</t>
  </si>
  <si>
    <t>Texte</t>
  </si>
  <si>
    <t>Profondeur historique du parcours</t>
  </si>
  <si>
    <t>Titres de champion</t>
  </si>
  <si>
    <t>Palmarès</t>
  </si>
  <si>
    <t>Nombre de finales remportées</t>
  </si>
  <si>
    <t>CALCULES!AY</t>
  </si>
  <si>
    <t>Nombre de Coupes du monde gagnées</t>
  </si>
  <si>
    <t>Score normalisé</t>
  </si>
  <si>
    <t>Indice synthétique de performance offensive, ajusté selon le volume de matchs</t>
  </si>
  <si>
    <t>CALCULES!BA</t>
  </si>
  <si>
    <t>Score sur 100</t>
  </si>
  <si>
    <t>Une valeur élevée indique une attaque historiquement performante</t>
  </si>
  <si>
    <t>Indice synthétique de solidité défensive, ajusté selon le volume de matchs</t>
  </si>
  <si>
    <t>CALCULES!BB</t>
  </si>
  <si>
    <t>Une valeur élevée indique une défense historiquement solide</t>
  </si>
  <si>
    <t>Combinaison du score offensif et du score défensif</t>
  </si>
  <si>
    <t>CALCULES!BC</t>
  </si>
  <si>
    <t>Indicateur synthétique de performance</t>
  </si>
  <si>
    <t>Victoires récentes</t>
  </si>
  <si>
    <t>Forme</t>
  </si>
  <si>
    <t>Nombre de victoires lors des cinq derniers matchs, ou sur tous les matchs disponibles si moins de cinq</t>
  </si>
  <si>
    <t>Indicateur de forme récente</t>
  </si>
  <si>
    <t>Buts attendus</t>
  </si>
  <si>
    <t>Prédiction</t>
  </si>
  <si>
    <t>Nombre moyen de buts estimé pour une équipe dans le duel sélectionné</t>
  </si>
  <si>
    <t>Paramètre λ utilisé par la loi de Poisson</t>
  </si>
  <si>
    <t>Probabilité de victoire A</t>
  </si>
  <si>
    <t>Somme des probabilités des scores où A marque plus que B</t>
  </si>
  <si>
    <t>Matrice de Poisson</t>
  </si>
  <si>
    <t>Probabilité indicative de victoire de A</t>
  </si>
  <si>
    <t>Probabilité de match nul</t>
  </si>
  <si>
    <t>Somme des probabilités des scores égaux</t>
  </si>
  <si>
    <t>Probabilité indicative d’un match nul</t>
  </si>
  <si>
    <t>Probabilité de victoire B</t>
  </si>
  <si>
    <t>Somme des probabilités des scores où B marque plus que A</t>
  </si>
  <si>
    <t>Probabilité indicative de victoire de B</t>
  </si>
  <si>
    <t>Score exact présentant la probabilité individuelle maximale</t>
  </si>
  <si>
    <t>Score exact le plus probable, sans garantie qu’il se réalise</t>
  </si>
  <si>
    <t>Probabilité du score</t>
  </si>
  <si>
    <t>Probabilité associée au score exact le plus probable</t>
  </si>
  <si>
    <t>Poids du scénario exact principal</t>
  </si>
  <si>
    <t>Niveau de fiabilité fondé sur le volume de matchs disponible pour les deux équipes</t>
  </si>
  <si>
    <t>Faible, moyenne ou élevée</t>
  </si>
  <si>
    <t>Indique la robustesse relative de l’estimation</t>
  </si>
  <si>
    <r>
      <t>DATA_CLEANED!AK</t>
    </r>
    <r>
      <rPr>
        <sz val="12"/>
        <color theme="1"/>
        <rFont val="Segoe UI"/>
        <family val="2"/>
      </rPr>
      <t xml:space="preserve"> et </t>
    </r>
    <r>
      <rPr>
        <sz val="12"/>
        <color theme="1"/>
        <rFont val="Arial Unicode MS"/>
      </rPr>
      <t>AN</t>
    </r>
  </si>
  <si>
    <r>
      <t xml:space="preserve">Colonne ajoutée dans </t>
    </r>
    <r>
      <rPr>
        <sz val="12"/>
        <color theme="1"/>
        <rFont val="Arial Unicode MS"/>
      </rPr>
      <t>CALCULES</t>
    </r>
  </si>
  <si>
    <r>
      <t>DASHBOARD</t>
    </r>
    <r>
      <rPr>
        <sz val="12"/>
        <color theme="1"/>
        <rFont val="Segoe UI"/>
        <family val="2"/>
      </rPr>
      <t>, données de matchs</t>
    </r>
  </si>
  <si>
    <r>
      <t xml:space="preserve">Texte </t>
    </r>
    <r>
      <rPr>
        <sz val="12"/>
        <color theme="1"/>
        <rFont val="Arial Unicode MS"/>
      </rPr>
      <t>x/y</t>
    </r>
  </si>
  <si>
    <r>
      <t xml:space="preserve">Modèle </t>
    </r>
    <r>
      <rPr>
        <sz val="12"/>
        <color theme="1"/>
        <rFont val="Arial Unicode MS"/>
      </rPr>
      <t>VERSUS</t>
    </r>
  </si>
  <si>
    <r>
      <t xml:space="preserve">Texte </t>
    </r>
    <r>
      <rPr>
        <sz val="12"/>
        <color theme="1"/>
        <rFont val="Arial Unicode MS"/>
      </rPr>
      <t>x - 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</si>
</sst>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Aptos Narrow"/>
      <family val="2"/>
      <scheme val="minor"/>
    </font>
    <font>
      <b/>
      <sz val="14"/>
      <color theme="1"/>
      <name val="Aptos Narrow"/>
      <family val="2"/>
      <scheme val="minor"/>
    </font>
    <font>
      <b/>
      <sz val="20"/>
      <color theme="1"/>
      <name val="Aptos Narrow"/>
      <family val="2"/>
      <scheme val="minor"/>
    </font>
    <font>
      <sz val="12"/>
      <color theme="1"/>
      <name val="Aptos Narrow"/>
      <family val="2"/>
      <scheme val="minor"/>
    </font>
    <font>
      <sz val="14"/>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b/>
      <sz val="12"/>
      <color theme="1"/>
      <name val="Aptos Narrow"/>
      <family val="2"/>
      <scheme val="minor"/>
    </font>
    <font>
      <b/>
      <sz val="18"/>
      <color theme="1"/>
      <name val="Aptos Narrow"/>
      <family val="2"/>
      <scheme val="minor"/>
    </font>
    <font>
      <sz val="16"/>
      <color theme="1"/>
      <name val="Aptos Narrow"/>
      <family val="2"/>
      <scheme val="minor"/>
    </font>
    <font>
      <u/>
      <sz val="11"/>
      <color theme="10"/>
      <name val="Aptos Narrow"/>
      <family val="2"/>
      <scheme val="minor"/>
    </font>
    <font>
      <i/>
      <u/>
      <sz val="11"/>
      <color theme="10"/>
      <name val="Aptos Narrow"/>
      <family val="2"/>
      <scheme val="minor"/>
    </font>
    <font>
      <sz val="9"/>
      <color indexed="81"/>
      <name val="Tahoma"/>
      <charset val="1"/>
    </font>
    <font>
      <b/>
      <sz val="9"/>
      <color indexed="81"/>
      <name val="Tahoma"/>
      <charset val="1"/>
    </font>
    <font>
      <sz val="7"/>
      <color theme="1"/>
      <name val="Segoe UI"/>
      <family val="2"/>
    </font>
    <font>
      <sz val="9"/>
      <color indexed="81"/>
      <name val="Tahoma"/>
      <family val="2"/>
    </font>
    <font>
      <b/>
      <sz val="9"/>
      <color indexed="81"/>
      <name val="Tahoma"/>
      <family val="2"/>
    </font>
    <font>
      <sz val="18"/>
      <color theme="1"/>
      <name val="Aptos Narrow"/>
      <family val="2"/>
      <scheme val="minor"/>
    </font>
    <font>
      <b/>
      <sz val="48"/>
      <color theme="1"/>
      <name val="Aptos Narrow"/>
      <family val="2"/>
      <scheme val="minor"/>
    </font>
    <font>
      <b/>
      <sz val="36"/>
      <color theme="1"/>
      <name val="Aptos Narrow"/>
      <family val="2"/>
      <scheme val="minor"/>
    </font>
    <font>
      <sz val="11"/>
      <color theme="0"/>
      <name val="Aptos Narrow"/>
      <family val="2"/>
      <scheme val="minor"/>
    </font>
    <font>
      <sz val="7"/>
      <color theme="0"/>
      <name val="Segoe UI"/>
      <family val="2"/>
    </font>
    <font>
      <sz val="11"/>
      <name val="Aptos Narrow"/>
      <family val="2"/>
      <scheme val="minor"/>
    </font>
    <font>
      <sz val="13.5"/>
      <name val="Segoe UI"/>
      <family val="2"/>
    </font>
    <font>
      <sz val="12"/>
      <name val="Segoe UI"/>
      <family val="2"/>
    </font>
    <font>
      <sz val="7"/>
      <name val="Segoe UI"/>
      <family val="2"/>
    </font>
    <font>
      <b/>
      <sz val="18"/>
      <name val="Aptos Narrow"/>
      <family val="2"/>
      <scheme val="minor"/>
    </font>
    <font>
      <i/>
      <sz val="11"/>
      <color theme="1"/>
      <name val="Aptos Narrow"/>
      <family val="2"/>
      <scheme val="minor"/>
    </font>
    <font>
      <i/>
      <sz val="9"/>
      <color theme="1"/>
      <name val="Aptos Narrow"/>
      <family val="2"/>
      <scheme val="minor"/>
    </font>
    <font>
      <sz val="12"/>
      <color theme="1"/>
      <name val="Segoe UI"/>
      <family val="2"/>
    </font>
    <font>
      <sz val="12"/>
      <color theme="1"/>
      <name val="Arial Unicode MS"/>
    </font>
    <font>
      <b/>
      <sz val="14"/>
      <color theme="1"/>
      <name val="Segoe UI"/>
      <family val="2"/>
    </font>
  </fonts>
  <fills count="29">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749992370372631"/>
        <bgColor indexed="64"/>
      </patternFill>
    </fill>
    <fill>
      <patternFill patternType="solid">
        <fgColor theme="5"/>
        <bgColor indexed="64"/>
      </patternFill>
    </fill>
    <fill>
      <patternFill patternType="solid">
        <fgColor theme="9"/>
        <bgColor indexed="64"/>
      </patternFill>
    </fill>
    <fill>
      <patternFill patternType="solid">
        <fgColor theme="7"/>
        <bgColor indexed="64"/>
      </patternFill>
    </fill>
    <fill>
      <patternFill patternType="solid">
        <fgColor theme="8"/>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3" tint="9.9978637043366805E-2"/>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rgb="FFFFFFCC"/>
        <bgColor indexed="64"/>
      </patternFill>
    </fill>
    <fill>
      <patternFill patternType="solid">
        <fgColor theme="2"/>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1F68C"/>
        <bgColor indexed="64"/>
      </patternFill>
    </fill>
    <fill>
      <patternFill patternType="solid">
        <fgColor rgb="FFCC0018"/>
        <bgColor indexed="64"/>
      </patternFill>
    </fill>
    <fill>
      <patternFill patternType="solid">
        <fgColor rgb="FFFEA4A8"/>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diagonalDown="1">
      <left/>
      <right/>
      <top/>
      <bottom style="medium">
        <color indexed="64"/>
      </bottom>
      <diagonal style="medium">
        <color indexed="64"/>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ck">
        <color auto="1"/>
      </right>
      <top/>
      <bottom/>
      <diagonal/>
    </border>
    <border>
      <left style="thin">
        <color indexed="64"/>
      </left>
      <right style="thick">
        <color auto="1"/>
      </right>
      <top/>
      <bottom style="thin">
        <color indexed="64"/>
      </bottom>
      <diagonal/>
    </border>
    <border>
      <left style="thin">
        <color indexed="64"/>
      </left>
      <right style="thick">
        <color auto="1"/>
      </right>
      <top style="thin">
        <color indexed="64"/>
      </top>
      <bottom style="thin">
        <color indexed="64"/>
      </bottom>
      <diagonal/>
    </border>
    <border>
      <left style="thin">
        <color indexed="64"/>
      </left>
      <right style="thick">
        <color auto="1"/>
      </right>
      <top style="thin">
        <color indexed="64"/>
      </top>
      <bottom style="medium">
        <color indexed="64"/>
      </bottom>
      <diagonal/>
    </border>
    <border>
      <left style="thick">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double">
        <color indexed="64"/>
      </left>
      <right style="double">
        <color indexed="64"/>
      </right>
      <top style="double">
        <color indexed="64"/>
      </top>
      <bottom style="double">
        <color indexed="64"/>
      </bottom>
      <diagonal/>
    </border>
    <border>
      <left style="medium">
        <color indexed="64"/>
      </left>
      <right/>
      <top/>
      <bottom style="medium">
        <color indexed="64"/>
      </bottom>
      <diagonal/>
    </border>
    <border>
      <left style="medium">
        <color theme="5"/>
      </left>
      <right style="medium">
        <color theme="5"/>
      </right>
      <top style="medium">
        <color theme="5"/>
      </top>
      <bottom style="medium">
        <color theme="5"/>
      </bottom>
      <diagonal/>
    </border>
    <border>
      <left style="double">
        <color indexed="64"/>
      </left>
      <right style="double">
        <color indexed="64"/>
      </right>
      <top/>
      <bottom style="double">
        <color indexed="64"/>
      </bottom>
      <diagonal/>
    </border>
    <border>
      <left style="medium">
        <color theme="5"/>
      </left>
      <right style="medium">
        <color theme="5"/>
      </right>
      <top style="medium">
        <color theme="5"/>
      </top>
      <bottom/>
      <diagonal/>
    </border>
    <border>
      <left style="medium">
        <color theme="5"/>
      </left>
      <right style="medium">
        <color theme="5"/>
      </right>
      <top/>
      <bottom style="medium">
        <color theme="5"/>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bottom/>
      <diagonal/>
    </border>
    <border>
      <left style="medium">
        <color rgb="FFE6E6E6"/>
      </left>
      <right style="medium">
        <color rgb="FFE6E6E6"/>
      </right>
      <top style="medium">
        <color rgb="FFE6E6E6"/>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medium">
        <color theme="5"/>
      </left>
      <right style="double">
        <color indexed="64"/>
      </right>
      <top style="medium">
        <color theme="5"/>
      </top>
      <bottom/>
      <diagonal/>
    </border>
    <border>
      <left style="medium">
        <color theme="5"/>
      </left>
      <right style="double">
        <color indexed="64"/>
      </right>
      <top/>
      <bottom style="medium">
        <color theme="5"/>
      </bottom>
      <diagonal/>
    </border>
  </borders>
  <cellStyleXfs count="2">
    <xf numFmtId="0" fontId="0" fillId="0" borderId="0"/>
    <xf numFmtId="0" fontId="11" fillId="0" borderId="0" applyNumberFormat="0" applyFill="0" applyBorder="0" applyAlignment="0" applyProtection="0"/>
  </cellStyleXfs>
  <cellXfs count="306">
    <xf numFmtId="0" fontId="0" fillId="0" borderId="0" xfId="0"/>
    <xf numFmtId="0" fontId="3" fillId="0" borderId="0" xfId="0" applyFont="1" applyAlignment="1">
      <alignment vertical="center" wrapText="1"/>
    </xf>
    <xf numFmtId="0" fontId="0" fillId="16" borderId="0" xfId="0" applyFill="1" applyAlignment="1">
      <alignment horizontal="center"/>
    </xf>
    <xf numFmtId="0" fontId="0" fillId="16" borderId="0" xfId="0" applyFill="1"/>
    <xf numFmtId="0" fontId="5" fillId="0" borderId="0" xfId="0" applyFont="1" applyAlignment="1">
      <alignment horizontal="center" vertical="center" wrapText="1"/>
    </xf>
    <xf numFmtId="0" fontId="5"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22" fontId="0" fillId="0" borderId="0" xfId="0" applyNumberFormat="1" applyAlignment="1">
      <alignment horizontal="center" vertical="center" wrapText="1"/>
    </xf>
    <xf numFmtId="0" fontId="0" fillId="0" borderId="0" xfId="0" applyAlignment="1">
      <alignment horizontal="center"/>
    </xf>
    <xf numFmtId="0" fontId="0" fillId="2" borderId="0" xfId="0" applyFill="1"/>
    <xf numFmtId="0" fontId="0" fillId="2" borderId="1" xfId="0" applyFill="1" applyBorder="1" applyAlignment="1">
      <alignment horizontal="center" vertical="center"/>
    </xf>
    <xf numFmtId="0" fontId="0" fillId="12" borderId="1" xfId="0" applyFill="1" applyBorder="1" applyAlignment="1">
      <alignment horizontal="center" vertical="center"/>
    </xf>
    <xf numFmtId="0" fontId="0" fillId="2" borderId="1" xfId="0" applyFill="1" applyBorder="1" applyAlignment="1">
      <alignment horizontal="center"/>
    </xf>
    <xf numFmtId="0" fontId="0" fillId="7" borderId="0" xfId="0" applyFill="1"/>
    <xf numFmtId="0" fontId="0" fillId="12" borderId="1" xfId="0" applyFill="1" applyBorder="1" applyAlignment="1">
      <alignment horizontal="center"/>
    </xf>
    <xf numFmtId="0" fontId="0" fillId="0" borderId="1" xfId="0" applyBorder="1"/>
    <xf numFmtId="0" fontId="7" fillId="12" borderId="1" xfId="0" applyFont="1" applyFill="1" applyBorder="1" applyAlignment="1">
      <alignment horizontal="center" vertical="center"/>
    </xf>
    <xf numFmtId="0" fontId="0" fillId="12" borderId="0" xfId="0" applyFill="1"/>
    <xf numFmtId="49" fontId="10" fillId="0" borderId="0" xfId="0" applyNumberFormat="1" applyFont="1"/>
    <xf numFmtId="0" fontId="8" fillId="0" borderId="0" xfId="0" applyFont="1"/>
    <xf numFmtId="0" fontId="7" fillId="0" borderId="0" xfId="0" applyFont="1" applyAlignment="1">
      <alignment vertical="center"/>
    </xf>
    <xf numFmtId="0" fontId="5" fillId="17" borderId="0" xfId="0" applyFont="1" applyFill="1" applyAlignment="1">
      <alignment horizontal="center"/>
    </xf>
    <xf numFmtId="0" fontId="0" fillId="19" borderId="1" xfId="0" applyFill="1" applyBorder="1"/>
    <xf numFmtId="0" fontId="1" fillId="0" borderId="0" xfId="0" applyFont="1" applyAlignment="1">
      <alignment horizontal="center"/>
    </xf>
    <xf numFmtId="0" fontId="0" fillId="19" borderId="4" xfId="0" applyFill="1" applyBorder="1"/>
    <xf numFmtId="0" fontId="7" fillId="0" borderId="1" xfId="0" applyFont="1" applyBorder="1" applyAlignment="1">
      <alignment horizontal="center" vertical="center"/>
    </xf>
    <xf numFmtId="0" fontId="0" fillId="3" borderId="0" xfId="0" applyFill="1"/>
    <xf numFmtId="0" fontId="0" fillId="5" borderId="0" xfId="0" applyFill="1"/>
    <xf numFmtId="0" fontId="0" fillId="3" borderId="1" xfId="0" applyFill="1" applyBorder="1"/>
    <xf numFmtId="0" fontId="0" fillId="3" borderId="1" xfId="0" applyFill="1" applyBorder="1" applyAlignment="1">
      <alignment horizontal="center"/>
    </xf>
    <xf numFmtId="0" fontId="0" fillId="5" borderId="1" xfId="0" applyFill="1" applyBorder="1"/>
    <xf numFmtId="0" fontId="1" fillId="7" borderId="1" xfId="0" applyFont="1" applyFill="1" applyBorder="1" applyAlignment="1">
      <alignment horizontal="center"/>
    </xf>
    <xf numFmtId="0" fontId="1" fillId="7" borderId="9" xfId="0" applyFont="1" applyFill="1" applyBorder="1" applyAlignment="1">
      <alignment horizontal="center"/>
    </xf>
    <xf numFmtId="0" fontId="0" fillId="2" borderId="9" xfId="0" applyFill="1" applyBorder="1" applyAlignment="1">
      <alignment horizontal="center"/>
    </xf>
    <xf numFmtId="0" fontId="1" fillId="4" borderId="1" xfId="0" applyFont="1" applyFill="1" applyBorder="1" applyAlignment="1">
      <alignment horizontal="center"/>
    </xf>
    <xf numFmtId="0" fontId="1" fillId="4" borderId="9" xfId="0" applyFont="1" applyFill="1" applyBorder="1" applyAlignment="1">
      <alignment horizontal="center"/>
    </xf>
    <xf numFmtId="0" fontId="0" fillId="3" borderId="9" xfId="0" applyFill="1" applyBorder="1" applyAlignment="1">
      <alignment horizontal="center"/>
    </xf>
    <xf numFmtId="0" fontId="1" fillId="13" borderId="1" xfId="0" applyFont="1" applyFill="1" applyBorder="1" applyAlignment="1">
      <alignment horizontal="center" vertical="center"/>
    </xf>
    <xf numFmtId="0" fontId="1" fillId="6" borderId="1" xfId="0" applyFont="1" applyFill="1" applyBorder="1" applyAlignment="1">
      <alignment horizontal="center"/>
    </xf>
    <xf numFmtId="0" fontId="0" fillId="5" borderId="1" xfId="0" applyFill="1" applyBorder="1" applyAlignment="1">
      <alignment horizontal="center" vertical="center"/>
    </xf>
    <xf numFmtId="0" fontId="0" fillId="6" borderId="1" xfId="0" applyFill="1" applyBorder="1"/>
    <xf numFmtId="0" fontId="0" fillId="5" borderId="1" xfId="0" applyFill="1" applyBorder="1" applyAlignment="1">
      <alignment horizontal="center"/>
    </xf>
    <xf numFmtId="0" fontId="0" fillId="5" borderId="4" xfId="0" applyFill="1" applyBorder="1" applyAlignment="1">
      <alignment horizontal="center" vertical="center"/>
    </xf>
    <xf numFmtId="0" fontId="1" fillId="5" borderId="13" xfId="0" applyFont="1" applyFill="1" applyBorder="1" applyAlignment="1">
      <alignment horizontal="center" vertical="center"/>
    </xf>
    <xf numFmtId="0" fontId="1" fillId="18" borderId="4" xfId="0" applyFont="1" applyFill="1" applyBorder="1" applyAlignment="1">
      <alignment horizontal="center"/>
    </xf>
    <xf numFmtId="0" fontId="0" fillId="7" borderId="1" xfId="0" applyFill="1" applyBorder="1"/>
    <xf numFmtId="0" fontId="0" fillId="4" borderId="1" xfId="0" applyFill="1" applyBorder="1"/>
    <xf numFmtId="0" fontId="0" fillId="13" borderId="1" xfId="0" applyFill="1" applyBorder="1"/>
    <xf numFmtId="0" fontId="1" fillId="5" borderId="13" xfId="0" applyFont="1" applyFill="1" applyBorder="1" applyAlignment="1">
      <alignment horizontal="center"/>
    </xf>
    <xf numFmtId="0" fontId="0" fillId="6" borderId="9" xfId="0" applyFill="1" applyBorder="1"/>
    <xf numFmtId="0" fontId="1" fillId="14" borderId="0" xfId="0" applyFont="1" applyFill="1" applyAlignment="1">
      <alignment horizontal="center" vertical="center"/>
    </xf>
    <xf numFmtId="0" fontId="0" fillId="2" borderId="9" xfId="0" applyFill="1" applyBorder="1"/>
    <xf numFmtId="0" fontId="0" fillId="3" borderId="9" xfId="0" applyFill="1" applyBorder="1"/>
    <xf numFmtId="0" fontId="0" fillId="12" borderId="9" xfId="0" applyFill="1" applyBorder="1"/>
    <xf numFmtId="0" fontId="0" fillId="5" borderId="9" xfId="0" applyFill="1" applyBorder="1"/>
    <xf numFmtId="0" fontId="11" fillId="7" borderId="1" xfId="1" applyFill="1" applyBorder="1"/>
    <xf numFmtId="0" fontId="11" fillId="4" borderId="1" xfId="1" applyFill="1" applyBorder="1"/>
    <xf numFmtId="0" fontId="11" fillId="13" borderId="1" xfId="1" applyFill="1" applyBorder="1"/>
    <xf numFmtId="0" fontId="11" fillId="6" borderId="1" xfId="1" applyFill="1" applyBorder="1"/>
    <xf numFmtId="0" fontId="0" fillId="0" borderId="7"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15" xfId="0" applyBorder="1"/>
    <xf numFmtId="0" fontId="0" fillId="3" borderId="1" xfId="0" applyFill="1" applyBorder="1" applyAlignment="1">
      <alignment horizontal="center" vertical="center"/>
    </xf>
    <xf numFmtId="0" fontId="0" fillId="0" borderId="10" xfId="0" applyBorder="1" applyAlignment="1">
      <alignment horizontal="center"/>
    </xf>
    <xf numFmtId="0" fontId="7" fillId="2" borderId="1" xfId="0" applyFont="1" applyFill="1" applyBorder="1" applyAlignment="1">
      <alignment horizontal="center"/>
    </xf>
    <xf numFmtId="0" fontId="0" fillId="4" borderId="0" xfId="0" applyFill="1"/>
    <xf numFmtId="0" fontId="0" fillId="19" borderId="9" xfId="0" applyFill="1" applyBorder="1"/>
    <xf numFmtId="0" fontId="0" fillId="13" borderId="0" xfId="0" applyFill="1"/>
    <xf numFmtId="0" fontId="0" fillId="6" borderId="0" xfId="0" applyFill="1"/>
    <xf numFmtId="0" fontId="7" fillId="3" borderId="1" xfId="0" applyFont="1" applyFill="1" applyBorder="1" applyAlignment="1">
      <alignment horizontal="center" vertical="center"/>
    </xf>
    <xf numFmtId="0" fontId="0" fillId="2" borderId="10" xfId="0" applyFill="1" applyBorder="1" applyAlignment="1">
      <alignment horizontal="center"/>
    </xf>
    <xf numFmtId="0" fontId="0" fillId="3" borderId="10" xfId="0" applyFill="1" applyBorder="1" applyAlignment="1">
      <alignment horizontal="center"/>
    </xf>
    <xf numFmtId="0" fontId="0" fillId="12" borderId="10" xfId="0" applyFill="1" applyBorder="1" applyAlignment="1">
      <alignment horizontal="center"/>
    </xf>
    <xf numFmtId="0" fontId="0" fillId="5" borderId="10" xfId="0" applyFill="1" applyBorder="1" applyAlignment="1">
      <alignment horizontal="center"/>
    </xf>
    <xf numFmtId="0" fontId="11" fillId="0" borderId="0" xfId="1" applyBorder="1" applyAlignment="1">
      <alignment horizontal="center"/>
    </xf>
    <xf numFmtId="0" fontId="7" fillId="5" borderId="1" xfId="0" applyFont="1" applyFill="1" applyBorder="1" applyAlignment="1">
      <alignment horizontal="center" vertical="center"/>
    </xf>
    <xf numFmtId="0" fontId="0" fillId="3" borderId="5" xfId="0" applyFill="1" applyBorder="1" applyAlignment="1">
      <alignment horizontal="center"/>
    </xf>
    <xf numFmtId="0" fontId="0" fillId="21" borderId="10" xfId="0" applyFill="1" applyBorder="1" applyAlignment="1">
      <alignment horizontal="center" vertical="center"/>
    </xf>
    <xf numFmtId="0" fontId="0" fillId="21" borderId="11" xfId="0" applyFill="1" applyBorder="1" applyAlignment="1">
      <alignment horizontal="center" vertical="center"/>
    </xf>
    <xf numFmtId="0" fontId="0" fillId="0" borderId="16" xfId="0" applyBorder="1"/>
    <xf numFmtId="0" fontId="1" fillId="0" borderId="16" xfId="0" applyFont="1" applyBorder="1" applyAlignment="1">
      <alignment horizontal="center" vertical="center"/>
    </xf>
    <xf numFmtId="0" fontId="0" fillId="0" borderId="16" xfId="0" applyBorder="1" applyAlignment="1">
      <alignment horizontal="center"/>
    </xf>
    <xf numFmtId="0" fontId="1" fillId="18" borderId="17" xfId="0" applyFont="1" applyFill="1" applyBorder="1" applyAlignment="1">
      <alignment horizontal="center"/>
    </xf>
    <xf numFmtId="0" fontId="0" fillId="6" borderId="18" xfId="0" applyFill="1" applyBorder="1"/>
    <xf numFmtId="0" fontId="1" fillId="5" borderId="19" xfId="0" applyFont="1" applyFill="1" applyBorder="1" applyAlignment="1">
      <alignment horizontal="center" vertical="center"/>
    </xf>
    <xf numFmtId="0" fontId="0" fillId="5" borderId="17" xfId="0" applyFill="1" applyBorder="1" applyAlignment="1">
      <alignment horizontal="center"/>
    </xf>
    <xf numFmtId="0" fontId="0" fillId="5" borderId="18" xfId="0" applyFill="1" applyBorder="1" applyAlignment="1">
      <alignment horizontal="center"/>
    </xf>
    <xf numFmtId="0" fontId="0" fillId="21" borderId="20" xfId="0" applyFill="1" applyBorder="1" applyAlignment="1">
      <alignment horizontal="center" vertical="center"/>
    </xf>
    <xf numFmtId="0" fontId="0" fillId="3" borderId="18" xfId="0" applyFill="1" applyBorder="1"/>
    <xf numFmtId="0" fontId="0" fillId="0" borderId="18" xfId="0" applyBorder="1"/>
    <xf numFmtId="0" fontId="0" fillId="0" borderId="18" xfId="0" applyBorder="1" applyAlignment="1">
      <alignment horizontal="center" vertical="center"/>
    </xf>
    <xf numFmtId="0" fontId="1" fillId="18" borderId="18" xfId="0" applyFont="1" applyFill="1" applyBorder="1" applyAlignment="1">
      <alignment horizontal="center"/>
    </xf>
    <xf numFmtId="0" fontId="0" fillId="19" borderId="18" xfId="0" applyFill="1" applyBorder="1" applyAlignment="1">
      <alignment horizontal="center"/>
    </xf>
    <xf numFmtId="0" fontId="0" fillId="3" borderId="18" xfId="0" applyFill="1" applyBorder="1" applyAlignment="1">
      <alignment horizontal="center"/>
    </xf>
    <xf numFmtId="0" fontId="1" fillId="6" borderId="1" xfId="0" applyFont="1" applyFill="1" applyBorder="1" applyAlignment="1">
      <alignment horizontal="center" wrapText="1"/>
    </xf>
    <xf numFmtId="0" fontId="7" fillId="5" borderId="18" xfId="0" applyFont="1" applyFill="1" applyBorder="1" applyAlignment="1">
      <alignment horizontal="center" vertical="center"/>
    </xf>
    <xf numFmtId="0" fontId="0" fillId="5" borderId="17" xfId="0" applyFill="1" applyBorder="1" applyAlignment="1">
      <alignment horizontal="center" vertical="center"/>
    </xf>
    <xf numFmtId="0" fontId="12" fillId="0" borderId="0" xfId="1" applyFont="1"/>
    <xf numFmtId="0" fontId="11" fillId="5" borderId="1" xfId="1" applyFill="1" applyBorder="1"/>
    <xf numFmtId="0" fontId="7" fillId="5" borderId="9" xfId="0" applyFont="1" applyFill="1" applyBorder="1" applyAlignment="1">
      <alignment horizontal="center" vertical="center"/>
    </xf>
    <xf numFmtId="0" fontId="0" fillId="5" borderId="5" xfId="0" applyFill="1" applyBorder="1" applyAlignment="1">
      <alignment horizontal="center" vertical="center"/>
    </xf>
    <xf numFmtId="0" fontId="0" fillId="5" borderId="4" xfId="0" applyFill="1" applyBorder="1" applyAlignment="1">
      <alignment horizontal="center"/>
    </xf>
    <xf numFmtId="0" fontId="1" fillId="7" borderId="15" xfId="0" applyFont="1" applyFill="1" applyBorder="1"/>
    <xf numFmtId="0" fontId="1" fillId="4" borderId="15" xfId="0" applyFont="1" applyFill="1" applyBorder="1"/>
    <xf numFmtId="0" fontId="1" fillId="13" borderId="15" xfId="0" applyFont="1" applyFill="1" applyBorder="1"/>
    <xf numFmtId="0" fontId="1" fillId="6" borderId="15" xfId="0" applyFont="1" applyFill="1" applyBorder="1"/>
    <xf numFmtId="0" fontId="1" fillId="6" borderId="1" xfId="0" applyFont="1" applyFill="1" applyBorder="1"/>
    <xf numFmtId="0" fontId="5" fillId="22" borderId="8" xfId="0" applyFont="1" applyFill="1" applyBorder="1" applyAlignment="1">
      <alignment vertical="top" wrapText="1"/>
    </xf>
    <xf numFmtId="0" fontId="7" fillId="22" borderId="1" xfId="0" applyFont="1" applyFill="1" applyBorder="1" applyAlignment="1">
      <alignment horizontal="center" vertical="center"/>
    </xf>
    <xf numFmtId="0" fontId="0" fillId="22" borderId="4" xfId="0" applyFill="1" applyBorder="1" applyAlignment="1">
      <alignment horizontal="center" vertical="center"/>
    </xf>
    <xf numFmtId="0" fontId="0" fillId="22" borderId="1" xfId="0" applyFill="1" applyBorder="1" applyAlignment="1">
      <alignment horizontal="center" vertical="center"/>
    </xf>
    <xf numFmtId="0" fontId="15" fillId="0" borderId="0" xfId="0" applyFont="1" applyAlignment="1">
      <alignment vertical="center"/>
    </xf>
    <xf numFmtId="0" fontId="1" fillId="18" borderId="1" xfId="0" applyFont="1" applyFill="1" applyBorder="1" applyAlignment="1">
      <alignment horizontal="center"/>
    </xf>
    <xf numFmtId="10" fontId="0" fillId="22" borderId="4" xfId="0" applyNumberFormat="1" applyFill="1" applyBorder="1" applyAlignment="1">
      <alignment horizontal="center" vertical="center"/>
    </xf>
    <xf numFmtId="2" fontId="0" fillId="22" borderId="4" xfId="0" applyNumberFormat="1" applyFill="1" applyBorder="1" applyAlignment="1">
      <alignment horizontal="center" vertical="center"/>
    </xf>
    <xf numFmtId="0" fontId="0" fillId="22" borderId="1" xfId="0" applyFill="1" applyBorder="1" applyAlignment="1">
      <alignment horizontal="center"/>
    </xf>
    <xf numFmtId="0" fontId="0" fillId="19" borderId="1" xfId="0" applyFill="1" applyBorder="1" applyAlignment="1">
      <alignment horizontal="center" vertical="center"/>
    </xf>
    <xf numFmtId="0" fontId="9" fillId="0" borderId="0" xfId="0" applyFont="1" applyAlignment="1">
      <alignment vertical="center"/>
    </xf>
    <xf numFmtId="0" fontId="0" fillId="0" borderId="0" xfId="0" applyAlignment="1">
      <alignment horizontal="left"/>
    </xf>
    <xf numFmtId="0" fontId="3" fillId="22" borderId="1" xfId="0" applyFont="1" applyFill="1" applyBorder="1" applyAlignment="1">
      <alignment horizontal="center"/>
    </xf>
    <xf numFmtId="0" fontId="8" fillId="19" borderId="1" xfId="0" applyFont="1" applyFill="1" applyBorder="1" applyAlignment="1">
      <alignment horizontal="center" vertical="center"/>
    </xf>
    <xf numFmtId="0" fontId="3" fillId="19" borderId="1" xfId="0" applyFont="1" applyFill="1" applyBorder="1" applyAlignment="1">
      <alignment horizontal="center"/>
    </xf>
    <xf numFmtId="0" fontId="5" fillId="19" borderId="1" xfId="0" applyFont="1" applyFill="1" applyBorder="1" applyAlignment="1">
      <alignment horizontal="center" vertical="center"/>
    </xf>
    <xf numFmtId="0" fontId="5" fillId="22" borderId="1" xfId="0" applyFont="1" applyFill="1" applyBorder="1" applyAlignment="1">
      <alignment horizontal="center" vertical="center"/>
    </xf>
    <xf numFmtId="0" fontId="3" fillId="22" borderId="1" xfId="0" applyFont="1" applyFill="1" applyBorder="1" applyAlignment="1">
      <alignment horizontal="center" vertical="center"/>
    </xf>
    <xf numFmtId="10" fontId="3" fillId="22" borderId="1" xfId="0" applyNumberFormat="1" applyFont="1" applyFill="1" applyBorder="1" applyAlignment="1">
      <alignment horizontal="center" vertical="center"/>
    </xf>
    <xf numFmtId="0" fontId="8" fillId="22" borderId="1" xfId="0" applyFont="1" applyFill="1" applyBorder="1" applyAlignment="1">
      <alignment horizontal="center" vertical="center"/>
    </xf>
    <xf numFmtId="0" fontId="8" fillId="19"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6" borderId="18"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18" xfId="0" applyFill="1" applyBorder="1" applyAlignment="1">
      <alignment horizontal="center" vertical="center"/>
    </xf>
    <xf numFmtId="0" fontId="7" fillId="14" borderId="0" xfId="0" applyFont="1" applyFill="1" applyAlignment="1">
      <alignment horizontal="center" vertical="center"/>
    </xf>
    <xf numFmtId="0" fontId="0" fillId="0" borderId="21" xfId="0" applyBorder="1" applyAlignment="1">
      <alignment horizontal="center"/>
    </xf>
    <xf numFmtId="0" fontId="0" fillId="0" borderId="0" xfId="0" applyAlignment="1">
      <alignment vertical="top" wrapText="1"/>
    </xf>
    <xf numFmtId="0" fontId="0" fillId="19" borderId="5" xfId="0" applyFill="1" applyBorder="1"/>
    <xf numFmtId="0" fontId="0" fillId="22" borderId="1" xfId="0" applyFill="1" applyBorder="1"/>
    <xf numFmtId="0" fontId="3" fillId="0" borderId="23" xfId="0" applyFont="1" applyBorder="1" applyAlignment="1">
      <alignment horizontal="center"/>
    </xf>
    <xf numFmtId="0" fontId="3" fillId="0" borderId="23" xfId="0" applyFont="1" applyBorder="1" applyAlignment="1">
      <alignment horizontal="center" vertical="center"/>
    </xf>
    <xf numFmtId="0" fontId="21" fillId="0" borderId="0" xfId="0" applyFont="1"/>
    <xf numFmtId="0" fontId="22" fillId="0" borderId="0" xfId="0" applyFont="1" applyAlignment="1">
      <alignment vertical="center"/>
    </xf>
    <xf numFmtId="0" fontId="9" fillId="25" borderId="1" xfId="0" applyFont="1" applyFill="1" applyBorder="1" applyAlignment="1">
      <alignment horizontal="center" vertical="center"/>
    </xf>
    <xf numFmtId="0" fontId="18" fillId="25" borderId="1" xfId="0" applyFont="1" applyFill="1" applyBorder="1" applyAlignment="1">
      <alignment horizontal="center" vertical="center"/>
    </xf>
    <xf numFmtId="10" fontId="18" fillId="25" borderId="1" xfId="0" applyNumberFormat="1" applyFont="1" applyFill="1" applyBorder="1" applyAlignment="1">
      <alignment horizontal="center" vertical="center"/>
    </xf>
    <xf numFmtId="0" fontId="18" fillId="25" borderId="1" xfId="0" applyFont="1" applyFill="1" applyBorder="1" applyAlignment="1">
      <alignment horizontal="center"/>
    </xf>
    <xf numFmtId="0" fontId="18" fillId="25" borderId="10" xfId="0" applyFont="1" applyFill="1" applyBorder="1" applyAlignment="1">
      <alignment horizontal="center" vertical="center"/>
    </xf>
    <xf numFmtId="0" fontId="9" fillId="25" borderId="15" xfId="0" applyFont="1" applyFill="1" applyBorder="1" applyAlignment="1">
      <alignment horizontal="center" vertical="center"/>
    </xf>
    <xf numFmtId="0" fontId="0" fillId="25" borderId="0" xfId="0" applyFill="1"/>
    <xf numFmtId="0" fontId="18" fillId="25" borderId="10" xfId="0" applyFont="1" applyFill="1" applyBorder="1" applyAlignment="1">
      <alignment horizontal="center"/>
    </xf>
    <xf numFmtId="0" fontId="18" fillId="25" borderId="25" xfId="0" applyFont="1" applyFill="1" applyBorder="1"/>
    <xf numFmtId="0" fontId="18" fillId="25" borderId="25" xfId="0" applyFont="1" applyFill="1" applyBorder="1" applyAlignment="1">
      <alignment horizontal="center" vertical="center"/>
    </xf>
    <xf numFmtId="0" fontId="3" fillId="0" borderId="26" xfId="0" applyFont="1" applyBorder="1" applyAlignment="1">
      <alignment horizontal="center"/>
    </xf>
    <xf numFmtId="0" fontId="0" fillId="0" borderId="31" xfId="0" applyBorder="1"/>
    <xf numFmtId="0" fontId="0" fillId="0" borderId="32" xfId="0" applyBorder="1"/>
    <xf numFmtId="0" fontId="0" fillId="0" borderId="24" xfId="0" applyBorder="1"/>
    <xf numFmtId="0" fontId="0" fillId="0" borderId="2" xfId="0" applyBorder="1"/>
    <xf numFmtId="0" fontId="0" fillId="0" borderId="33" xfId="0" applyBorder="1"/>
    <xf numFmtId="0" fontId="0" fillId="25" borderId="31" xfId="0" applyFill="1" applyBorder="1"/>
    <xf numFmtId="0" fontId="0" fillId="25" borderId="32" xfId="0" applyFill="1" applyBorder="1"/>
    <xf numFmtId="0" fontId="0" fillId="25" borderId="24" xfId="0" applyFill="1" applyBorder="1"/>
    <xf numFmtId="0" fontId="0" fillId="25" borderId="2" xfId="0" applyFill="1" applyBorder="1"/>
    <xf numFmtId="0" fontId="18" fillId="25" borderId="2" xfId="0" applyFont="1" applyFill="1" applyBorder="1" applyAlignment="1">
      <alignment horizontal="center" vertical="center"/>
    </xf>
    <xf numFmtId="10" fontId="18" fillId="25" borderId="2" xfId="0" applyNumberFormat="1" applyFont="1" applyFill="1" applyBorder="1" applyAlignment="1">
      <alignment horizontal="center" vertical="center"/>
    </xf>
    <xf numFmtId="0" fontId="0" fillId="25" borderId="33" xfId="0" applyFill="1" applyBorder="1"/>
    <xf numFmtId="0" fontId="23" fillId="0" borderId="0" xfId="0" applyFont="1"/>
    <xf numFmtId="0" fontId="24" fillId="0" borderId="0" xfId="0" applyFont="1" applyAlignment="1">
      <alignment vertical="center"/>
    </xf>
    <xf numFmtId="0" fontId="25" fillId="0" borderId="0" xfId="0" applyFont="1" applyAlignment="1">
      <alignment vertical="center"/>
    </xf>
    <xf numFmtId="0" fontId="25" fillId="0" borderId="0" xfId="0" applyFont="1" applyAlignment="1">
      <alignment horizontal="left" vertical="center" wrapText="1" indent="1"/>
    </xf>
    <xf numFmtId="0" fontId="23" fillId="0" borderId="0" xfId="0" applyFont="1" applyAlignment="1">
      <alignment horizontal="center"/>
    </xf>
    <xf numFmtId="0" fontId="23" fillId="0" borderId="1" xfId="0" applyFont="1" applyBorder="1"/>
    <xf numFmtId="0" fontId="26" fillId="0" borderId="1" xfId="0" applyFont="1" applyBorder="1" applyAlignment="1">
      <alignment horizontal="center" vertical="center"/>
    </xf>
    <xf numFmtId="10" fontId="23" fillId="0" borderId="0" xfId="0" applyNumberFormat="1" applyFont="1" applyAlignment="1">
      <alignment horizontal="center"/>
    </xf>
    <xf numFmtId="0" fontId="26" fillId="0" borderId="0" xfId="0" applyFont="1" applyAlignment="1">
      <alignment horizontal="center" vertical="center"/>
    </xf>
    <xf numFmtId="0" fontId="23" fillId="22" borderId="1" xfId="0" applyFont="1" applyFill="1" applyBorder="1" applyAlignment="1">
      <alignment horizontal="center"/>
    </xf>
    <xf numFmtId="10" fontId="23" fillId="22" borderId="1" xfId="0" applyNumberFormat="1" applyFont="1" applyFill="1" applyBorder="1" applyAlignment="1">
      <alignment horizontal="center"/>
    </xf>
    <xf numFmtId="0" fontId="23" fillId="14" borderId="1" xfId="0" applyFont="1" applyFill="1" applyBorder="1" applyAlignment="1">
      <alignment horizontal="center"/>
    </xf>
    <xf numFmtId="10" fontId="23" fillId="14" borderId="1" xfId="0" applyNumberFormat="1" applyFont="1" applyFill="1" applyBorder="1" applyAlignment="1">
      <alignment horizontal="center"/>
    </xf>
    <xf numFmtId="0" fontId="0" fillId="5" borderId="4" xfId="0" applyFill="1" applyBorder="1"/>
    <xf numFmtId="0" fontId="7" fillId="6" borderId="1" xfId="0" applyFont="1" applyFill="1" applyBorder="1" applyAlignment="1">
      <alignment vertical="center"/>
    </xf>
    <xf numFmtId="0" fontId="7" fillId="0" borderId="10" xfId="0" applyFont="1" applyBorder="1" applyAlignment="1">
      <alignment horizontal="center" vertical="center"/>
    </xf>
    <xf numFmtId="0" fontId="5" fillId="20" borderId="32" xfId="0" applyFont="1" applyFill="1" applyBorder="1" applyAlignment="1">
      <alignment horizontal="center"/>
    </xf>
    <xf numFmtId="0" fontId="11" fillId="0" borderId="32" xfId="1" applyBorder="1" applyAlignment="1">
      <alignment horizontal="left"/>
    </xf>
    <xf numFmtId="0" fontId="11" fillId="0" borderId="32" xfId="1" applyBorder="1"/>
    <xf numFmtId="0" fontId="7" fillId="0" borderId="32" xfId="0" applyFont="1" applyBorder="1" applyAlignment="1">
      <alignment vertical="center"/>
    </xf>
    <xf numFmtId="0" fontId="2" fillId="2" borderId="1" xfId="0" applyFont="1" applyFill="1" applyBorder="1" applyAlignment="1">
      <alignment horizontal="center" vertical="center"/>
    </xf>
    <xf numFmtId="0" fontId="0" fillId="6" borderId="1" xfId="0" quotePrefix="1" applyFill="1" applyBorder="1" applyAlignment="1">
      <alignment horizontal="left" vertical="center" wrapText="1" indent="1"/>
    </xf>
    <xf numFmtId="0" fontId="0" fillId="6" borderId="1" xfId="0" applyFill="1" applyBorder="1" applyAlignment="1">
      <alignment horizontal="left" vertical="center" wrapText="1" indent="1"/>
    </xf>
    <xf numFmtId="0" fontId="0" fillId="6" borderId="0" xfId="0" quotePrefix="1" applyFill="1" applyAlignment="1">
      <alignment horizontal="left" vertical="center" wrapText="1" indent="1"/>
    </xf>
    <xf numFmtId="0" fontId="1" fillId="10" borderId="1" xfId="0" applyFont="1" applyFill="1" applyBorder="1" applyAlignment="1">
      <alignment horizontal="center" vertical="center"/>
    </xf>
    <xf numFmtId="0" fontId="4" fillId="2" borderId="1" xfId="0" applyFont="1" applyFill="1" applyBorder="1" applyAlignment="1">
      <alignment horizontal="left" vertical="center" wrapText="1" indent="1"/>
    </xf>
    <xf numFmtId="0" fontId="4" fillId="2" borderId="9" xfId="0" applyFont="1" applyFill="1" applyBorder="1" applyAlignment="1">
      <alignment horizontal="left" vertical="center" wrapText="1" indent="1"/>
    </xf>
    <xf numFmtId="0" fontId="1" fillId="10" borderId="15" xfId="0" applyFont="1" applyFill="1" applyBorder="1" applyAlignment="1">
      <alignment horizontal="center" vertical="center"/>
    </xf>
    <xf numFmtId="0" fontId="1" fillId="10" borderId="34" xfId="0" applyFont="1" applyFill="1" applyBorder="1" applyAlignment="1">
      <alignment horizontal="center" vertical="center"/>
    </xf>
    <xf numFmtId="0" fontId="4" fillId="7" borderId="1" xfId="0" applyFont="1" applyFill="1" applyBorder="1" applyAlignment="1">
      <alignment horizontal="left" vertical="center" wrapText="1" indent="1"/>
    </xf>
    <xf numFmtId="0" fontId="4" fillId="7" borderId="0" xfId="0" quotePrefix="1" applyFont="1" applyFill="1" applyAlignment="1">
      <alignment horizontal="left" vertical="center" wrapText="1" indent="1"/>
    </xf>
    <xf numFmtId="0" fontId="1" fillId="9" borderId="1" xfId="0" applyFont="1" applyFill="1" applyBorder="1" applyAlignment="1">
      <alignment horizontal="center" vertical="center"/>
    </xf>
    <xf numFmtId="0" fontId="4" fillId="5" borderId="1" xfId="0" applyFont="1" applyFill="1" applyBorder="1" applyAlignment="1">
      <alignment horizontal="left" vertical="center" wrapText="1" indent="1"/>
    </xf>
    <xf numFmtId="0" fontId="1" fillId="9" borderId="15" xfId="0" applyFont="1" applyFill="1" applyBorder="1" applyAlignment="1">
      <alignment horizontal="center" vertical="center"/>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xf>
    <xf numFmtId="0" fontId="4" fillId="3" borderId="1" xfId="0" applyFont="1" applyFill="1" applyBorder="1" applyAlignment="1">
      <alignment horizontal="left" vertical="center" wrapText="1" indent="1"/>
    </xf>
    <xf numFmtId="0" fontId="4" fillId="4" borderId="1" xfId="0" applyFont="1" applyFill="1" applyBorder="1" applyAlignment="1">
      <alignment horizontal="left" vertical="center" wrapText="1" indent="1"/>
    </xf>
    <xf numFmtId="0" fontId="1" fillId="11" borderId="1" xfId="0" applyFont="1" applyFill="1" applyBorder="1" applyAlignment="1">
      <alignment horizontal="center" vertical="center" wrapText="1"/>
    </xf>
    <xf numFmtId="0" fontId="1" fillId="11" borderId="4" xfId="0" applyFont="1" applyFill="1" applyBorder="1" applyAlignment="1">
      <alignment horizontal="center" vertical="center"/>
    </xf>
    <xf numFmtId="0" fontId="4" fillId="12" borderId="1" xfId="0" applyFont="1" applyFill="1" applyBorder="1" applyAlignment="1">
      <alignment horizontal="left" vertical="center" wrapText="1" indent="1"/>
    </xf>
    <xf numFmtId="0" fontId="4" fillId="13" borderId="1" xfId="0" applyFont="1" applyFill="1" applyBorder="1" applyAlignment="1">
      <alignment horizontal="left" vertical="center" wrapText="1" indent="1"/>
    </xf>
    <xf numFmtId="0" fontId="4" fillId="13" borderId="1" xfId="0" applyFont="1" applyFill="1" applyBorder="1" applyAlignment="1">
      <alignment horizontal="left" vertical="center" indent="1"/>
    </xf>
    <xf numFmtId="0" fontId="1" fillId="18" borderId="1" xfId="0" applyFont="1" applyFill="1" applyBorder="1" applyAlignment="1">
      <alignment horizontal="center" vertical="center" wrapText="1"/>
    </xf>
    <xf numFmtId="0" fontId="1" fillId="18" borderId="15" xfId="0" applyFont="1" applyFill="1" applyBorder="1" applyAlignment="1">
      <alignment horizontal="center" vertical="center" wrapText="1"/>
    </xf>
    <xf numFmtId="0" fontId="1" fillId="18" borderId="1" xfId="0" applyFont="1" applyFill="1" applyBorder="1" applyAlignment="1">
      <alignment horizontal="center" vertical="center"/>
    </xf>
    <xf numFmtId="0" fontId="4" fillId="26" borderId="1" xfId="0" applyFont="1" applyFill="1" applyBorder="1" applyAlignment="1">
      <alignment horizontal="left" vertical="center" wrapText="1" indent="1"/>
    </xf>
    <xf numFmtId="0" fontId="4" fillId="26" borderId="1" xfId="0" applyFont="1" applyFill="1" applyBorder="1" applyAlignment="1">
      <alignment horizontal="left" vertical="center" indent="1"/>
    </xf>
    <xf numFmtId="0" fontId="4" fillId="22" borderId="1" xfId="0" applyFont="1" applyFill="1" applyBorder="1" applyAlignment="1">
      <alignment horizontal="left" vertical="center" wrapText="1" indent="1"/>
    </xf>
    <xf numFmtId="0" fontId="4" fillId="22" borderId="9" xfId="0" applyFont="1" applyFill="1" applyBorder="1" applyAlignment="1">
      <alignment horizontal="left" vertical="center" wrapText="1" indent="1"/>
    </xf>
    <xf numFmtId="0" fontId="4" fillId="22" borderId="0" xfId="0" quotePrefix="1" applyFont="1" applyFill="1" applyAlignment="1">
      <alignment horizontal="left" vertical="center" wrapText="1" indent="1"/>
    </xf>
    <xf numFmtId="0" fontId="1" fillId="27" borderId="1" xfId="0" applyFont="1" applyFill="1" applyBorder="1" applyAlignment="1">
      <alignment horizontal="center" vertical="center"/>
    </xf>
    <xf numFmtId="0" fontId="1" fillId="27" borderId="4" xfId="0" applyFont="1" applyFill="1" applyBorder="1" applyAlignment="1">
      <alignment horizontal="center" vertical="center"/>
    </xf>
    <xf numFmtId="0" fontId="4" fillId="28" borderId="1" xfId="0" applyFont="1" applyFill="1" applyBorder="1" applyAlignment="1">
      <alignment horizontal="left" vertical="center" wrapText="1" indent="1"/>
    </xf>
    <xf numFmtId="0" fontId="4" fillId="28" borderId="1" xfId="0" applyFont="1" applyFill="1" applyBorder="1" applyAlignment="1">
      <alignment horizontal="left" vertical="center" indent="1"/>
    </xf>
    <xf numFmtId="0" fontId="1" fillId="15" borderId="1" xfId="0" applyFont="1" applyFill="1" applyBorder="1" applyAlignment="1">
      <alignment horizontal="center" vertical="center"/>
    </xf>
    <xf numFmtId="0" fontId="18" fillId="23" borderId="1" xfId="0" applyFont="1" applyFill="1" applyBorder="1" applyAlignment="1">
      <alignment horizontal="center" vertical="center" wrapText="1"/>
    </xf>
    <xf numFmtId="0" fontId="18" fillId="23" borderId="1" xfId="0" applyFont="1" applyFill="1" applyBorder="1" applyAlignment="1">
      <alignment horizontal="center" vertical="center"/>
    </xf>
    <xf numFmtId="0" fontId="7" fillId="0" borderId="0" xfId="0" applyFont="1" applyAlignment="1">
      <alignment horizontal="center" vertical="center"/>
    </xf>
    <xf numFmtId="0" fontId="9" fillId="7" borderId="0" xfId="0" applyFont="1" applyFill="1" applyAlignment="1">
      <alignment horizontal="center" vertical="center"/>
    </xf>
    <xf numFmtId="0" fontId="9" fillId="4" borderId="0" xfId="0" applyFont="1" applyFill="1" applyAlignment="1">
      <alignment horizontal="center" vertical="center"/>
    </xf>
    <xf numFmtId="0" fontId="9" fillId="13" borderId="0" xfId="0" applyFont="1" applyFill="1" applyAlignment="1">
      <alignment horizontal="center" vertical="center"/>
    </xf>
    <xf numFmtId="0" fontId="9" fillId="6" borderId="0" xfId="0" applyFont="1" applyFill="1" applyAlignment="1">
      <alignment horizontal="center" vertical="center"/>
    </xf>
    <xf numFmtId="0" fontId="7" fillId="0" borderId="13" xfId="0" applyFont="1" applyBorder="1" applyAlignment="1">
      <alignment horizontal="center" vertical="center"/>
    </xf>
    <xf numFmtId="0" fontId="0" fillId="0" borderId="14" xfId="0" applyBorder="1" applyAlignment="1">
      <alignment horizontal="center"/>
    </xf>
    <xf numFmtId="0" fontId="0" fillId="0" borderId="12" xfId="0" applyBorder="1" applyAlignment="1">
      <alignment horizontal="center"/>
    </xf>
    <xf numFmtId="0" fontId="0" fillId="0" borderId="5" xfId="0" applyBorder="1" applyAlignment="1">
      <alignment horizontal="center"/>
    </xf>
    <xf numFmtId="0" fontId="7" fillId="18" borderId="9" xfId="0" applyFont="1" applyFill="1" applyBorder="1" applyAlignment="1">
      <alignment horizontal="center" vertical="center"/>
    </xf>
    <xf numFmtId="0" fontId="7" fillId="18" borderId="11" xfId="0" applyFont="1" applyFill="1" applyBorder="1" applyAlignment="1">
      <alignment horizontal="center" vertical="center"/>
    </xf>
    <xf numFmtId="0" fontId="7" fillId="18" borderId="10" xfId="0" applyFont="1" applyFill="1" applyBorder="1" applyAlignment="1">
      <alignment horizontal="center" vertical="center"/>
    </xf>
    <xf numFmtId="0" fontId="7" fillId="14" borderId="0" xfId="0" applyFont="1" applyFill="1" applyAlignment="1">
      <alignment horizontal="center" vertical="center"/>
    </xf>
    <xf numFmtId="0" fontId="7" fillId="6" borderId="1" xfId="0" applyFont="1" applyFill="1" applyBorder="1" applyAlignment="1">
      <alignment horizontal="left"/>
    </xf>
    <xf numFmtId="0" fontId="7" fillId="0" borderId="0" xfId="0" applyFont="1" applyAlignment="1">
      <alignment horizontal="center"/>
    </xf>
    <xf numFmtId="0" fontId="7" fillId="0" borderId="2" xfId="0" applyFont="1" applyBorder="1" applyAlignment="1">
      <alignment horizontal="center" vertical="center"/>
    </xf>
    <xf numFmtId="0" fontId="7" fillId="4" borderId="1" xfId="0" applyFont="1" applyFill="1" applyBorder="1" applyAlignment="1">
      <alignment horizontal="left" vertical="center"/>
    </xf>
    <xf numFmtId="0" fontId="7" fillId="7" borderId="6" xfId="0" applyFont="1" applyFill="1" applyBorder="1" applyAlignment="1">
      <alignment horizontal="left"/>
    </xf>
    <xf numFmtId="0" fontId="7" fillId="13" borderId="1" xfId="0" applyFont="1" applyFill="1" applyBorder="1" applyAlignment="1">
      <alignment horizontal="left"/>
    </xf>
    <xf numFmtId="0" fontId="9" fillId="13" borderId="1" xfId="0" applyFont="1" applyFill="1" applyBorder="1" applyAlignment="1">
      <alignment horizontal="center" vertical="center"/>
    </xf>
    <xf numFmtId="0" fontId="2" fillId="7" borderId="0" xfId="0" applyFont="1" applyFill="1" applyAlignment="1">
      <alignment horizontal="center" vertical="center"/>
    </xf>
    <xf numFmtId="0" fontId="2" fillId="4" borderId="9" xfId="0" applyFont="1" applyFill="1" applyBorder="1" applyAlignment="1">
      <alignment horizontal="center" vertical="center"/>
    </xf>
    <xf numFmtId="0" fontId="2" fillId="4" borderId="11" xfId="0" applyFont="1" applyFill="1" applyBorder="1" applyAlignment="1">
      <alignment horizontal="center" vertical="center"/>
    </xf>
    <xf numFmtId="0" fontId="2" fillId="4" borderId="10" xfId="0" applyFont="1" applyFill="1" applyBorder="1" applyAlignment="1">
      <alignment horizontal="center" vertical="center"/>
    </xf>
    <xf numFmtId="0" fontId="9" fillId="4" borderId="9" xfId="0" applyFont="1" applyFill="1" applyBorder="1" applyAlignment="1">
      <alignment horizontal="center" vertical="center"/>
    </xf>
    <xf numFmtId="0" fontId="9" fillId="4" borderId="11" xfId="0" applyFont="1" applyFill="1" applyBorder="1" applyAlignment="1">
      <alignment horizontal="center" vertical="center"/>
    </xf>
    <xf numFmtId="0" fontId="9" fillId="4" borderId="10"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1" xfId="0" applyFont="1" applyFill="1" applyBorder="1" applyAlignment="1">
      <alignment horizontal="center" vertical="center"/>
    </xf>
    <xf numFmtId="0" fontId="9" fillId="6" borderId="10" xfId="0" applyFont="1" applyFill="1" applyBorder="1" applyAlignment="1">
      <alignment horizontal="center" vertical="center"/>
    </xf>
    <xf numFmtId="0" fontId="9" fillId="4" borderId="7"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1" xfId="0" applyFont="1" applyFill="1" applyBorder="1" applyAlignment="1">
      <alignment horizontal="center" vertical="center"/>
    </xf>
    <xf numFmtId="0" fontId="27" fillId="4" borderId="1" xfId="0" applyFont="1" applyFill="1" applyBorder="1" applyAlignment="1">
      <alignment horizontal="center" vertical="center"/>
    </xf>
    <xf numFmtId="0" fontId="0" fillId="0" borderId="1" xfId="0" applyBorder="1" applyAlignment="1">
      <alignment horizontal="center"/>
    </xf>
    <xf numFmtId="0" fontId="7" fillId="22" borderId="1" xfId="0" applyFont="1" applyFill="1" applyBorder="1" applyAlignment="1">
      <alignment horizontal="center" vertical="center" wrapText="1"/>
    </xf>
    <xf numFmtId="0" fontId="7" fillId="22" borderId="1" xfId="0" applyFont="1" applyFill="1" applyBorder="1" applyAlignment="1">
      <alignment horizontal="center" vertical="center"/>
    </xf>
    <xf numFmtId="0" fontId="7" fillId="19" borderId="1" xfId="0" applyFont="1" applyFill="1" applyBorder="1" applyAlignment="1">
      <alignment horizontal="center" vertical="center" wrapText="1"/>
    </xf>
    <xf numFmtId="0" fontId="7" fillId="19" borderId="1" xfId="0" applyFont="1" applyFill="1" applyBorder="1" applyAlignment="1">
      <alignment horizontal="center" vertical="center"/>
    </xf>
    <xf numFmtId="0" fontId="9" fillId="23" borderId="0" xfId="0" applyFont="1" applyFill="1" applyAlignment="1">
      <alignment horizontal="center" vertical="center"/>
    </xf>
    <xf numFmtId="0" fontId="4" fillId="22" borderId="10" xfId="0" applyFont="1" applyFill="1" applyBorder="1" applyAlignment="1">
      <alignment horizontal="left" vertical="center"/>
    </xf>
    <xf numFmtId="0" fontId="4" fillId="14" borderId="1" xfId="0" applyFont="1" applyFill="1" applyBorder="1" applyAlignment="1">
      <alignment horizontal="left" vertical="center"/>
    </xf>
    <xf numFmtId="0" fontId="4" fillId="14" borderId="10" xfId="0" applyFont="1" applyFill="1" applyBorder="1" applyAlignment="1">
      <alignment horizontal="left" vertical="center"/>
    </xf>
    <xf numFmtId="0" fontId="4" fillId="22" borderId="1" xfId="0" applyFont="1" applyFill="1" applyBorder="1" applyAlignment="1">
      <alignment horizontal="left" vertical="center"/>
    </xf>
    <xf numFmtId="10" fontId="0" fillId="0" borderId="23" xfId="0" applyNumberFormat="1" applyBorder="1" applyAlignment="1">
      <alignment horizontal="center"/>
    </xf>
    <xf numFmtId="0" fontId="19" fillId="5" borderId="0" xfId="0" applyFont="1" applyFill="1" applyAlignment="1">
      <alignment horizontal="center" vertical="center"/>
    </xf>
    <xf numFmtId="0" fontId="20" fillId="5" borderId="29" xfId="0" applyFont="1" applyFill="1" applyBorder="1" applyAlignment="1">
      <alignment horizontal="center" vertical="center"/>
    </xf>
    <xf numFmtId="0" fontId="20" fillId="5" borderId="3" xfId="0" applyFont="1" applyFill="1" applyBorder="1" applyAlignment="1">
      <alignment horizontal="center" vertical="center"/>
    </xf>
    <xf numFmtId="0" fontId="20" fillId="5" borderId="30" xfId="0" applyFont="1" applyFill="1" applyBorder="1" applyAlignment="1">
      <alignment horizontal="center" vertical="center"/>
    </xf>
    <xf numFmtId="0" fontId="20" fillId="5" borderId="31" xfId="0" applyFont="1" applyFill="1" applyBorder="1" applyAlignment="1">
      <alignment horizontal="center" vertical="center"/>
    </xf>
    <xf numFmtId="0" fontId="20" fillId="5" borderId="0" xfId="0" applyFont="1" applyFill="1" applyAlignment="1">
      <alignment horizontal="center" vertical="center"/>
    </xf>
    <xf numFmtId="0" fontId="20" fillId="5" borderId="32" xfId="0" applyFont="1" applyFill="1" applyBorder="1" applyAlignment="1">
      <alignment horizontal="center" vertical="center"/>
    </xf>
    <xf numFmtId="0" fontId="0" fillId="0" borderId="23" xfId="0" applyBorder="1" applyAlignment="1">
      <alignment horizontal="center"/>
    </xf>
    <xf numFmtId="0" fontId="19" fillId="5" borderId="29"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30" xfId="0" applyFont="1" applyFill="1" applyBorder="1" applyAlignment="1">
      <alignment horizontal="center" vertical="center"/>
    </xf>
    <xf numFmtId="0" fontId="19" fillId="5" borderId="31" xfId="0" applyFont="1" applyFill="1" applyBorder="1" applyAlignment="1">
      <alignment horizontal="center" vertical="center"/>
    </xf>
    <xf numFmtId="0" fontId="19" fillId="5" borderId="32" xfId="0" applyFont="1" applyFill="1" applyBorder="1" applyAlignment="1">
      <alignment horizontal="center" vertical="center"/>
    </xf>
    <xf numFmtId="0" fontId="7" fillId="21" borderId="27" xfId="0" applyFont="1" applyFill="1" applyBorder="1" applyAlignment="1">
      <alignment horizontal="center" vertical="center"/>
    </xf>
    <xf numFmtId="0" fontId="7" fillId="21" borderId="28" xfId="0" applyFont="1" applyFill="1" applyBorder="1" applyAlignment="1">
      <alignment horizontal="center" vertical="center"/>
    </xf>
    <xf numFmtId="0" fontId="32" fillId="15" borderId="35" xfId="0" applyFont="1" applyFill="1" applyBorder="1" applyAlignment="1">
      <alignment horizontal="center" vertical="center" wrapText="1"/>
    </xf>
    <xf numFmtId="0" fontId="30" fillId="14" borderId="1" xfId="0" applyFont="1" applyFill="1" applyBorder="1" applyAlignment="1">
      <alignment horizontal="center" vertical="center" wrapText="1"/>
    </xf>
    <xf numFmtId="0" fontId="31" fillId="14" borderId="1" xfId="0" applyFont="1" applyFill="1" applyBorder="1" applyAlignment="1">
      <alignment horizontal="center" vertical="center" wrapText="1"/>
    </xf>
    <xf numFmtId="0" fontId="29" fillId="22" borderId="0" xfId="0" applyFont="1" applyFill="1" applyBorder="1" applyAlignment="1">
      <alignment horizontal="center" vertical="center" wrapText="1"/>
    </xf>
    <xf numFmtId="0" fontId="0" fillId="22" borderId="0" xfId="0" applyFill="1" applyBorder="1" applyAlignment="1">
      <alignment horizontal="center" vertical="center"/>
    </xf>
    <xf numFmtId="0" fontId="8" fillId="0" borderId="23" xfId="0" applyFont="1" applyBorder="1"/>
    <xf numFmtId="0" fontId="8" fillId="0" borderId="23" xfId="0" applyFont="1" applyBorder="1" applyAlignment="1">
      <alignment wrapText="1"/>
    </xf>
    <xf numFmtId="10" fontId="5" fillId="0" borderId="23" xfId="0" applyNumberFormat="1" applyFont="1" applyBorder="1"/>
    <xf numFmtId="0" fontId="0" fillId="0" borderId="0" xfId="0" applyBorder="1"/>
    <xf numFmtId="0" fontId="19" fillId="5" borderId="36" xfId="0" applyFont="1" applyFill="1" applyBorder="1" applyAlignment="1">
      <alignment horizontal="center" vertical="center"/>
    </xf>
    <xf numFmtId="0" fontId="19" fillId="5" borderId="37" xfId="0" applyFont="1" applyFill="1" applyBorder="1" applyAlignment="1">
      <alignment horizontal="center" vertical="center"/>
    </xf>
    <xf numFmtId="0" fontId="19" fillId="5" borderId="38" xfId="0" applyFont="1" applyFill="1" applyBorder="1" applyAlignment="1">
      <alignment horizontal="center" vertical="center"/>
    </xf>
    <xf numFmtId="0" fontId="19" fillId="5" borderId="39" xfId="0" applyFont="1" applyFill="1" applyBorder="1" applyAlignment="1">
      <alignment horizontal="center" vertical="center"/>
    </xf>
    <xf numFmtId="0" fontId="19" fillId="5" borderId="0" xfId="0" applyFont="1" applyFill="1" applyBorder="1" applyAlignment="1">
      <alignment horizontal="center" vertical="center"/>
    </xf>
    <xf numFmtId="0" fontId="19" fillId="5" borderId="40" xfId="0" applyFont="1" applyFill="1" applyBorder="1" applyAlignment="1">
      <alignment horizontal="center" vertical="center"/>
    </xf>
    <xf numFmtId="0" fontId="0" fillId="0" borderId="39" xfId="0" applyBorder="1"/>
    <xf numFmtId="0" fontId="0" fillId="0" borderId="40" xfId="0" applyBorder="1"/>
    <xf numFmtId="0" fontId="7" fillId="24" borderId="41" xfId="0" applyFont="1" applyFill="1" applyBorder="1" applyAlignment="1">
      <alignment horizontal="center" vertical="center"/>
    </xf>
    <xf numFmtId="0" fontId="7" fillId="24" borderId="42" xfId="0" applyFont="1" applyFill="1" applyBorder="1" applyAlignment="1">
      <alignment horizontal="center" vertical="center"/>
    </xf>
  </cellXfs>
  <cellStyles count="2">
    <cellStyle name="Lien hypertexte" xfId="1" builtinId="8"/>
    <cellStyle name="Normal" xfId="0" builtinId="0"/>
  </cellStyles>
  <dxfs count="18">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tint="-9.9948118533890809E-2"/>
        </patternFill>
      </fill>
    </dxf>
    <dxf>
      <fill>
        <patternFill>
          <bgColor theme="9"/>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s>
  <tableStyles count="0" defaultTableStyle="TableStyleMedium2" defaultPivotStyle="PivotStyleLight16"/>
  <colors>
    <mruColors>
      <color rgb="FFFF6161"/>
      <color rgb="FFFEA4A8"/>
      <color rgb="FFCC0018"/>
      <color rgb="FFF1F68C"/>
      <color rgb="FFFFFFCC"/>
      <color rgb="FFFFFF00"/>
      <color rgb="FF5168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EVOLUTION DES BUTS PAR EDITION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RESUME!$E$15</c:f>
              <c:strCache>
                <c:ptCount val="1"/>
                <c:pt idx="0">
                  <c:v>Nombre d'équipes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RESUME!$E$16:$E$38</c:f>
              <c:numCache>
                <c:formatCode>General</c:formatCode>
                <c:ptCount val="23"/>
                <c:pt idx="0">
                  <c:v>13</c:v>
                </c:pt>
                <c:pt idx="1">
                  <c:v>16</c:v>
                </c:pt>
                <c:pt idx="2">
                  <c:v>15</c:v>
                </c:pt>
                <c:pt idx="3">
                  <c:v>13</c:v>
                </c:pt>
                <c:pt idx="4">
                  <c:v>16</c:v>
                </c:pt>
                <c:pt idx="5">
                  <c:v>16</c:v>
                </c:pt>
                <c:pt idx="6">
                  <c:v>16</c:v>
                </c:pt>
                <c:pt idx="7">
                  <c:v>16</c:v>
                </c:pt>
                <c:pt idx="8">
                  <c:v>16</c:v>
                </c:pt>
                <c:pt idx="9">
                  <c:v>16</c:v>
                </c:pt>
                <c:pt idx="10">
                  <c:v>16</c:v>
                </c:pt>
                <c:pt idx="11">
                  <c:v>24</c:v>
                </c:pt>
                <c:pt idx="12">
                  <c:v>24</c:v>
                </c:pt>
                <c:pt idx="13">
                  <c:v>24</c:v>
                </c:pt>
                <c:pt idx="14">
                  <c:v>24</c:v>
                </c:pt>
                <c:pt idx="15">
                  <c:v>32</c:v>
                </c:pt>
                <c:pt idx="16">
                  <c:v>32</c:v>
                </c:pt>
                <c:pt idx="17">
                  <c:v>32</c:v>
                </c:pt>
                <c:pt idx="18">
                  <c:v>32</c:v>
                </c:pt>
                <c:pt idx="19">
                  <c:v>32</c:v>
                </c:pt>
                <c:pt idx="20">
                  <c:v>32</c:v>
                </c:pt>
                <c:pt idx="21">
                  <c:v>32</c:v>
                </c:pt>
                <c:pt idx="22">
                  <c:v>48</c:v>
                </c:pt>
              </c:numCache>
            </c:numRef>
          </c:val>
          <c:extLst>
            <c:ext xmlns:c16="http://schemas.microsoft.com/office/drawing/2014/chart" uri="{C3380CC4-5D6E-409C-BE32-E72D297353CC}">
              <c16:uniqueId val="{00000000-0805-4095-A9DD-65AAF6620EF1}"/>
            </c:ext>
          </c:extLst>
        </c:ser>
        <c:ser>
          <c:idx val="2"/>
          <c:order val="2"/>
          <c:tx>
            <c:strRef>
              <c:f>RESUME!$G$15</c:f>
              <c:strCache>
                <c:ptCount val="1"/>
                <c:pt idx="0">
                  <c:v>Buts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RESUME!$G$16:$G$38</c:f>
              <c:numCache>
                <c:formatCode>General</c:formatCode>
                <c:ptCount val="23"/>
                <c:pt idx="0">
                  <c:v>70</c:v>
                </c:pt>
                <c:pt idx="1">
                  <c:v>70</c:v>
                </c:pt>
                <c:pt idx="2">
                  <c:v>84</c:v>
                </c:pt>
                <c:pt idx="3">
                  <c:v>88</c:v>
                </c:pt>
                <c:pt idx="4">
                  <c:v>140</c:v>
                </c:pt>
                <c:pt idx="5">
                  <c:v>126</c:v>
                </c:pt>
                <c:pt idx="6">
                  <c:v>89</c:v>
                </c:pt>
                <c:pt idx="7">
                  <c:v>89</c:v>
                </c:pt>
                <c:pt idx="8">
                  <c:v>95</c:v>
                </c:pt>
                <c:pt idx="9">
                  <c:v>97</c:v>
                </c:pt>
                <c:pt idx="10">
                  <c:v>102</c:v>
                </c:pt>
                <c:pt idx="11">
                  <c:v>146</c:v>
                </c:pt>
                <c:pt idx="12">
                  <c:v>132</c:v>
                </c:pt>
                <c:pt idx="13">
                  <c:v>115</c:v>
                </c:pt>
                <c:pt idx="14">
                  <c:v>141</c:v>
                </c:pt>
                <c:pt idx="15">
                  <c:v>171</c:v>
                </c:pt>
                <c:pt idx="16">
                  <c:v>161</c:v>
                </c:pt>
                <c:pt idx="17">
                  <c:v>147</c:v>
                </c:pt>
                <c:pt idx="18">
                  <c:v>145</c:v>
                </c:pt>
                <c:pt idx="19">
                  <c:v>171</c:v>
                </c:pt>
                <c:pt idx="20">
                  <c:v>169</c:v>
                </c:pt>
                <c:pt idx="21">
                  <c:v>172</c:v>
                </c:pt>
                <c:pt idx="22">
                  <c:v>275</c:v>
                </c:pt>
              </c:numCache>
            </c:numRef>
          </c:val>
          <c:extLst>
            <c:ext xmlns:c16="http://schemas.microsoft.com/office/drawing/2014/chart" uri="{C3380CC4-5D6E-409C-BE32-E72D297353CC}">
              <c16:uniqueId val="{00000002-0805-4095-A9DD-65AAF6620EF1}"/>
            </c:ext>
          </c:extLst>
        </c:ser>
        <c:dLbls>
          <c:showLegendKey val="0"/>
          <c:showVal val="0"/>
          <c:showCatName val="0"/>
          <c:showSerName val="0"/>
          <c:showPercent val="0"/>
          <c:showBubbleSize val="0"/>
        </c:dLbls>
        <c:gapWidth val="150"/>
        <c:axId val="544658431"/>
        <c:axId val="202092095"/>
        <c:extLst>
          <c:ext xmlns:c15="http://schemas.microsoft.com/office/drawing/2012/chart" uri="{02D57815-91ED-43cb-92C2-25804820EDAC}">
            <c15:filteredBarSeries>
              <c15:ser>
                <c:idx val="1"/>
                <c:order val="1"/>
                <c:tx>
                  <c:strRef>
                    <c:extLst>
                      <c:ext uri="{02D57815-91ED-43cb-92C2-25804820EDAC}">
                        <c15:formulaRef>
                          <c15:sqref>RESUME!$F$15</c15:sqref>
                        </c15:formulaRef>
                      </c:ext>
                    </c:extLst>
                    <c:strCache>
                      <c:ptCount val="1"/>
                      <c:pt idx="0">
                        <c:v>Matchs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extLst>
                      <c:ext uri="{02D57815-91ED-43cb-92C2-25804820EDAC}">
                        <c15:formulaRef>
                          <c15:sqref>RESUME!$D$16:$D$38</c15:sqref>
                        </c15:formulaRef>
                      </c:ext>
                    </c:extLst>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extLst>
                      <c:ext uri="{02D57815-91ED-43cb-92C2-25804820EDAC}">
                        <c15:formulaRef>
                          <c15:sqref>RESUME!$F$16:$F$38</c15:sqref>
                        </c15:formulaRef>
                      </c:ext>
                    </c:extLst>
                    <c:numCache>
                      <c:formatCode>General</c:formatCode>
                      <c:ptCount val="23"/>
                      <c:pt idx="0">
                        <c:v>18</c:v>
                      </c:pt>
                      <c:pt idx="1">
                        <c:v>17</c:v>
                      </c:pt>
                      <c:pt idx="2">
                        <c:v>18</c:v>
                      </c:pt>
                      <c:pt idx="3">
                        <c:v>22</c:v>
                      </c:pt>
                      <c:pt idx="4">
                        <c:v>26</c:v>
                      </c:pt>
                      <c:pt idx="5">
                        <c:v>35</c:v>
                      </c:pt>
                      <c:pt idx="6">
                        <c:v>32</c:v>
                      </c:pt>
                      <c:pt idx="7">
                        <c:v>32</c:v>
                      </c:pt>
                      <c:pt idx="8">
                        <c:v>32</c:v>
                      </c:pt>
                      <c:pt idx="9">
                        <c:v>38</c:v>
                      </c:pt>
                      <c:pt idx="10">
                        <c:v>38</c:v>
                      </c:pt>
                      <c:pt idx="11">
                        <c:v>52</c:v>
                      </c:pt>
                      <c:pt idx="12">
                        <c:v>52</c:v>
                      </c:pt>
                      <c:pt idx="13">
                        <c:v>52</c:v>
                      </c:pt>
                      <c:pt idx="14">
                        <c:v>52</c:v>
                      </c:pt>
                      <c:pt idx="15">
                        <c:v>64</c:v>
                      </c:pt>
                      <c:pt idx="16">
                        <c:v>64</c:v>
                      </c:pt>
                      <c:pt idx="17">
                        <c:v>64</c:v>
                      </c:pt>
                      <c:pt idx="18">
                        <c:v>64</c:v>
                      </c:pt>
                      <c:pt idx="19">
                        <c:v>64</c:v>
                      </c:pt>
                      <c:pt idx="20">
                        <c:v>64</c:v>
                      </c:pt>
                      <c:pt idx="21">
                        <c:v>64</c:v>
                      </c:pt>
                      <c:pt idx="22">
                        <c:v>94</c:v>
                      </c:pt>
                    </c:numCache>
                  </c:numRef>
                </c:val>
                <c:extLst>
                  <c:ext xmlns:c16="http://schemas.microsoft.com/office/drawing/2014/chart" uri="{C3380CC4-5D6E-409C-BE32-E72D297353CC}">
                    <c16:uniqueId val="{00000001-0805-4095-A9DD-65AAF6620EF1}"/>
                  </c:ext>
                </c:extLst>
              </c15:ser>
            </c15:filteredBarSeries>
          </c:ext>
        </c:extLst>
      </c:barChart>
      <c:lineChart>
        <c:grouping val="standard"/>
        <c:varyColors val="0"/>
        <c:ser>
          <c:idx val="3"/>
          <c:order val="3"/>
          <c:tx>
            <c:strRef>
              <c:f>RESUME!$H$15</c:f>
              <c:strCache>
                <c:ptCount val="1"/>
                <c:pt idx="0">
                  <c:v>Moy. buts/match</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RESUME!$H$16:$H$38</c:f>
              <c:numCache>
                <c:formatCode>General</c:formatCode>
                <c:ptCount val="23"/>
                <c:pt idx="0">
                  <c:v>3.89</c:v>
                </c:pt>
                <c:pt idx="1">
                  <c:v>4.12</c:v>
                </c:pt>
                <c:pt idx="2">
                  <c:v>4.67</c:v>
                </c:pt>
                <c:pt idx="3">
                  <c:v>4</c:v>
                </c:pt>
                <c:pt idx="4">
                  <c:v>5.38</c:v>
                </c:pt>
                <c:pt idx="5">
                  <c:v>3.6</c:v>
                </c:pt>
                <c:pt idx="6">
                  <c:v>2.78</c:v>
                </c:pt>
                <c:pt idx="7">
                  <c:v>2.78</c:v>
                </c:pt>
                <c:pt idx="8">
                  <c:v>2.97</c:v>
                </c:pt>
                <c:pt idx="9">
                  <c:v>2.5499999999999998</c:v>
                </c:pt>
                <c:pt idx="10">
                  <c:v>2.68</c:v>
                </c:pt>
                <c:pt idx="11">
                  <c:v>2.81</c:v>
                </c:pt>
                <c:pt idx="12">
                  <c:v>2.54</c:v>
                </c:pt>
                <c:pt idx="13">
                  <c:v>2.21</c:v>
                </c:pt>
                <c:pt idx="14">
                  <c:v>2.71</c:v>
                </c:pt>
                <c:pt idx="15">
                  <c:v>2.67</c:v>
                </c:pt>
                <c:pt idx="16">
                  <c:v>2.52</c:v>
                </c:pt>
                <c:pt idx="17">
                  <c:v>2.2999999999999998</c:v>
                </c:pt>
                <c:pt idx="18">
                  <c:v>2.27</c:v>
                </c:pt>
                <c:pt idx="19">
                  <c:v>2.67</c:v>
                </c:pt>
                <c:pt idx="20">
                  <c:v>2.64</c:v>
                </c:pt>
                <c:pt idx="21">
                  <c:v>2.69</c:v>
                </c:pt>
                <c:pt idx="22">
                  <c:v>2.93</c:v>
                </c:pt>
              </c:numCache>
            </c:numRef>
          </c:val>
          <c:smooth val="0"/>
          <c:extLst>
            <c:ext xmlns:c16="http://schemas.microsoft.com/office/drawing/2014/chart" uri="{C3380CC4-5D6E-409C-BE32-E72D297353CC}">
              <c16:uniqueId val="{00000003-0805-4095-A9DD-65AAF6620EF1}"/>
            </c:ext>
          </c:extLst>
        </c:ser>
        <c:ser>
          <c:idx val="4"/>
          <c:order val="4"/>
          <c:tx>
            <c:strRef>
              <c:f>RESUME!$I$15</c:f>
              <c:strCache>
                <c:ptCount val="1"/>
                <c:pt idx="0">
                  <c:v>Médiane</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RESUME!$I$16:$I$38</c:f>
              <c:numCache>
                <c:formatCode>General</c:formatCode>
                <c:ptCount val="23"/>
                <c:pt idx="0">
                  <c:v>4</c:v>
                </c:pt>
                <c:pt idx="1">
                  <c:v>4</c:v>
                </c:pt>
                <c:pt idx="2">
                  <c:v>4</c:v>
                </c:pt>
                <c:pt idx="3">
                  <c:v>4</c:v>
                </c:pt>
                <c:pt idx="4">
                  <c:v>5</c:v>
                </c:pt>
                <c:pt idx="5">
                  <c:v>3</c:v>
                </c:pt>
                <c:pt idx="6">
                  <c:v>3</c:v>
                </c:pt>
                <c:pt idx="7">
                  <c:v>3</c:v>
                </c:pt>
                <c:pt idx="8">
                  <c:v>3</c:v>
                </c:pt>
                <c:pt idx="9">
                  <c:v>2</c:v>
                </c:pt>
                <c:pt idx="10">
                  <c:v>3</c:v>
                </c:pt>
                <c:pt idx="11">
                  <c:v>2</c:v>
                </c:pt>
                <c:pt idx="12">
                  <c:v>2</c:v>
                </c:pt>
                <c:pt idx="13">
                  <c:v>2</c:v>
                </c:pt>
                <c:pt idx="14">
                  <c:v>3</c:v>
                </c:pt>
                <c:pt idx="15">
                  <c:v>3</c:v>
                </c:pt>
                <c:pt idx="16">
                  <c:v>2</c:v>
                </c:pt>
                <c:pt idx="17">
                  <c:v>2</c:v>
                </c:pt>
                <c:pt idx="18">
                  <c:v>2</c:v>
                </c:pt>
                <c:pt idx="19">
                  <c:v>3</c:v>
                </c:pt>
                <c:pt idx="20">
                  <c:v>2</c:v>
                </c:pt>
                <c:pt idx="21">
                  <c:v>2</c:v>
                </c:pt>
                <c:pt idx="22">
                  <c:v>3</c:v>
                </c:pt>
              </c:numCache>
            </c:numRef>
          </c:val>
          <c:smooth val="0"/>
          <c:extLst>
            <c:ext xmlns:c16="http://schemas.microsoft.com/office/drawing/2014/chart" uri="{C3380CC4-5D6E-409C-BE32-E72D297353CC}">
              <c16:uniqueId val="{00000004-0805-4095-A9DD-65AAF6620EF1}"/>
            </c:ext>
          </c:extLst>
        </c:ser>
        <c:dLbls>
          <c:showLegendKey val="0"/>
          <c:showVal val="0"/>
          <c:showCatName val="0"/>
          <c:showSerName val="0"/>
          <c:showPercent val="0"/>
          <c:showBubbleSize val="0"/>
        </c:dLbls>
        <c:marker val="1"/>
        <c:smooth val="0"/>
        <c:axId val="727105631"/>
        <c:axId val="202096415"/>
      </c:lineChart>
      <c:catAx>
        <c:axId val="544658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202092095"/>
        <c:crosses val="autoZero"/>
        <c:auto val="1"/>
        <c:lblAlgn val="ctr"/>
        <c:lblOffset val="100"/>
        <c:noMultiLvlLbl val="0"/>
      </c:catAx>
      <c:valAx>
        <c:axId val="2020920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Médiane de buts / match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44658431"/>
        <c:crosses val="autoZero"/>
        <c:crossBetween val="between"/>
      </c:valAx>
      <c:valAx>
        <c:axId val="202096415"/>
        <c:scaling>
          <c:orientation val="minMax"/>
        </c:scaling>
        <c:delete val="0"/>
        <c:axPos val="r"/>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fr-FR"/>
                  <a:t>Nombre de buts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fr-FR"/>
            </a:p>
          </c:txPr>
        </c:title>
        <c:numFmt formatCode="General"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727105631"/>
        <c:crosses val="max"/>
        <c:crossBetween val="between"/>
      </c:valAx>
      <c:catAx>
        <c:axId val="727105631"/>
        <c:scaling>
          <c:orientation val="minMax"/>
        </c:scaling>
        <c:delete val="1"/>
        <c:axPos val="b"/>
        <c:numFmt formatCode="General" sourceLinked="1"/>
        <c:majorTickMark val="none"/>
        <c:minorTickMark val="none"/>
        <c:tickLblPos val="nextTo"/>
        <c:crossAx val="20209641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MATCHS PAR EDITION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RESUME!$E$15</c:f>
              <c:strCache>
                <c:ptCount val="1"/>
                <c:pt idx="0">
                  <c:v>Nombre d'équipes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RESUME!$E$16:$E$38</c:f>
              <c:numCache>
                <c:formatCode>General</c:formatCode>
                <c:ptCount val="23"/>
                <c:pt idx="0">
                  <c:v>13</c:v>
                </c:pt>
                <c:pt idx="1">
                  <c:v>16</c:v>
                </c:pt>
                <c:pt idx="2">
                  <c:v>15</c:v>
                </c:pt>
                <c:pt idx="3">
                  <c:v>13</c:v>
                </c:pt>
                <c:pt idx="4">
                  <c:v>16</c:v>
                </c:pt>
                <c:pt idx="5">
                  <c:v>16</c:v>
                </c:pt>
                <c:pt idx="6">
                  <c:v>16</c:v>
                </c:pt>
                <c:pt idx="7">
                  <c:v>16</c:v>
                </c:pt>
                <c:pt idx="8">
                  <c:v>16</c:v>
                </c:pt>
                <c:pt idx="9">
                  <c:v>16</c:v>
                </c:pt>
                <c:pt idx="10">
                  <c:v>16</c:v>
                </c:pt>
                <c:pt idx="11">
                  <c:v>24</c:v>
                </c:pt>
                <c:pt idx="12">
                  <c:v>24</c:v>
                </c:pt>
                <c:pt idx="13">
                  <c:v>24</c:v>
                </c:pt>
                <c:pt idx="14">
                  <c:v>24</c:v>
                </c:pt>
                <c:pt idx="15">
                  <c:v>32</c:v>
                </c:pt>
                <c:pt idx="16">
                  <c:v>32</c:v>
                </c:pt>
                <c:pt idx="17">
                  <c:v>32</c:v>
                </c:pt>
                <c:pt idx="18">
                  <c:v>32</c:v>
                </c:pt>
                <c:pt idx="19">
                  <c:v>32</c:v>
                </c:pt>
                <c:pt idx="20">
                  <c:v>32</c:v>
                </c:pt>
                <c:pt idx="21">
                  <c:v>32</c:v>
                </c:pt>
                <c:pt idx="22">
                  <c:v>48</c:v>
                </c:pt>
              </c:numCache>
            </c:numRef>
          </c:val>
          <c:extLst>
            <c:ext xmlns:c16="http://schemas.microsoft.com/office/drawing/2014/chart" uri="{C3380CC4-5D6E-409C-BE32-E72D297353CC}">
              <c16:uniqueId val="{00000000-7AF8-4180-A565-63853DBAAA22}"/>
            </c:ext>
          </c:extLst>
        </c:ser>
        <c:ser>
          <c:idx val="1"/>
          <c:order val="1"/>
          <c:tx>
            <c:strRef>
              <c:f>RESUME!$F$15</c:f>
              <c:strCache>
                <c:ptCount val="1"/>
                <c:pt idx="0">
                  <c:v>Matchs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RESUME!$D$16:$D$38</c:f>
              <c:numCache>
                <c:formatCode>General</c:formatCode>
                <c:ptCount val="23"/>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pt idx="20">
                  <c:v>2018</c:v>
                </c:pt>
                <c:pt idx="21">
                  <c:v>2022</c:v>
                </c:pt>
                <c:pt idx="22">
                  <c:v>2026</c:v>
                </c:pt>
              </c:numCache>
            </c:numRef>
          </c:cat>
          <c:val>
            <c:numRef>
              <c:f>RESUME!$F$16:$F$38</c:f>
              <c:numCache>
                <c:formatCode>General</c:formatCode>
                <c:ptCount val="23"/>
                <c:pt idx="0">
                  <c:v>18</c:v>
                </c:pt>
                <c:pt idx="1">
                  <c:v>17</c:v>
                </c:pt>
                <c:pt idx="2">
                  <c:v>18</c:v>
                </c:pt>
                <c:pt idx="3">
                  <c:v>22</c:v>
                </c:pt>
                <c:pt idx="4">
                  <c:v>26</c:v>
                </c:pt>
                <c:pt idx="5">
                  <c:v>35</c:v>
                </c:pt>
                <c:pt idx="6">
                  <c:v>32</c:v>
                </c:pt>
                <c:pt idx="7">
                  <c:v>32</c:v>
                </c:pt>
                <c:pt idx="8">
                  <c:v>32</c:v>
                </c:pt>
                <c:pt idx="9">
                  <c:v>38</c:v>
                </c:pt>
                <c:pt idx="10">
                  <c:v>38</c:v>
                </c:pt>
                <c:pt idx="11">
                  <c:v>52</c:v>
                </c:pt>
                <c:pt idx="12">
                  <c:v>52</c:v>
                </c:pt>
                <c:pt idx="13">
                  <c:v>52</c:v>
                </c:pt>
                <c:pt idx="14">
                  <c:v>52</c:v>
                </c:pt>
                <c:pt idx="15">
                  <c:v>64</c:v>
                </c:pt>
                <c:pt idx="16">
                  <c:v>64</c:v>
                </c:pt>
                <c:pt idx="17">
                  <c:v>64</c:v>
                </c:pt>
                <c:pt idx="18">
                  <c:v>64</c:v>
                </c:pt>
                <c:pt idx="19">
                  <c:v>64</c:v>
                </c:pt>
                <c:pt idx="20">
                  <c:v>64</c:v>
                </c:pt>
                <c:pt idx="21">
                  <c:v>64</c:v>
                </c:pt>
                <c:pt idx="22">
                  <c:v>94</c:v>
                </c:pt>
              </c:numCache>
            </c:numRef>
          </c:val>
          <c:extLst>
            <c:ext xmlns:c16="http://schemas.microsoft.com/office/drawing/2014/chart" uri="{C3380CC4-5D6E-409C-BE32-E72D297353CC}">
              <c16:uniqueId val="{00000001-7AF8-4180-A565-63853DBAAA22}"/>
            </c:ext>
          </c:extLst>
        </c:ser>
        <c:dLbls>
          <c:showLegendKey val="0"/>
          <c:showVal val="0"/>
          <c:showCatName val="0"/>
          <c:showSerName val="0"/>
          <c:showPercent val="0"/>
          <c:showBubbleSize val="0"/>
        </c:dLbls>
        <c:gapWidth val="100"/>
        <c:overlap val="-24"/>
        <c:axId val="526539776"/>
        <c:axId val="574773280"/>
      </c:barChart>
      <c:catAx>
        <c:axId val="5265397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574773280"/>
        <c:crosses val="autoZero"/>
        <c:auto val="1"/>
        <c:lblAlgn val="ctr"/>
        <c:lblOffset val="100"/>
        <c:noMultiLvlLbl val="0"/>
      </c:catAx>
      <c:valAx>
        <c:axId val="5747732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526539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Victoire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bar"/>
        <c:grouping val="clustered"/>
        <c:varyColors val="0"/>
        <c:ser>
          <c:idx val="0"/>
          <c:order val="0"/>
          <c:tx>
            <c:strRef>
              <c:f>RESUME!$F$40</c:f>
              <c:strCache>
                <c:ptCount val="1"/>
                <c:pt idx="0">
                  <c:v>Victoires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RESUME!$E$41:$E$50</c15:sqref>
                  </c15:fullRef>
                </c:ext>
              </c:extLst>
              <c:f>RESUME!$E$41:$E$49</c:f>
              <c:strCache>
                <c:ptCount val="9"/>
                <c:pt idx="0">
                  <c:v>Brazil</c:v>
                </c:pt>
                <c:pt idx="1">
                  <c:v>Italy</c:v>
                </c:pt>
                <c:pt idx="2">
                  <c:v>Argentina</c:v>
                </c:pt>
                <c:pt idx="3">
                  <c:v>FR Germany</c:v>
                </c:pt>
                <c:pt idx="4">
                  <c:v>France</c:v>
                </c:pt>
                <c:pt idx="5">
                  <c:v>Spain</c:v>
                </c:pt>
                <c:pt idx="6">
                  <c:v>England</c:v>
                </c:pt>
                <c:pt idx="7">
                  <c:v>Germany</c:v>
                </c:pt>
                <c:pt idx="8">
                  <c:v>Uruguay</c:v>
                </c:pt>
              </c:strCache>
            </c:strRef>
          </c:cat>
          <c:val>
            <c:numRef>
              <c:extLst>
                <c:ext xmlns:c15="http://schemas.microsoft.com/office/drawing/2012/chart" uri="{02D57815-91ED-43cb-92C2-25804820EDAC}">
                  <c15:fullRef>
                    <c15:sqref>RESUME!$F$41:$F$50</c15:sqref>
                  </c15:fullRef>
                </c:ext>
              </c:extLst>
              <c:f>RESUME!$F$41:$F$49</c:f>
              <c:numCache>
                <c:formatCode>General</c:formatCode>
                <c:ptCount val="9"/>
                <c:pt idx="0">
                  <c:v>5</c:v>
                </c:pt>
                <c:pt idx="1">
                  <c:v>4</c:v>
                </c:pt>
                <c:pt idx="2">
                  <c:v>3</c:v>
                </c:pt>
                <c:pt idx="3">
                  <c:v>3</c:v>
                </c:pt>
                <c:pt idx="4">
                  <c:v>2</c:v>
                </c:pt>
                <c:pt idx="5">
                  <c:v>2</c:v>
                </c:pt>
                <c:pt idx="6">
                  <c:v>1</c:v>
                </c:pt>
                <c:pt idx="7">
                  <c:v>1</c:v>
                </c:pt>
                <c:pt idx="8">
                  <c:v>1</c:v>
                </c:pt>
              </c:numCache>
            </c:numRef>
          </c:val>
          <c:extLst>
            <c:ext xmlns:c16="http://schemas.microsoft.com/office/drawing/2014/chart" uri="{C3380CC4-5D6E-409C-BE32-E72D297353CC}">
              <c16:uniqueId val="{00000000-C1ED-4C45-87A6-7ECE3953E98D}"/>
            </c:ext>
          </c:extLst>
        </c:ser>
        <c:dLbls>
          <c:dLblPos val="inEnd"/>
          <c:showLegendKey val="0"/>
          <c:showVal val="1"/>
          <c:showCatName val="0"/>
          <c:showSerName val="0"/>
          <c:showPercent val="0"/>
          <c:showBubbleSize val="0"/>
        </c:dLbls>
        <c:gapWidth val="115"/>
        <c:overlap val="-20"/>
        <c:axId val="674915312"/>
        <c:axId val="279203712"/>
      </c:barChart>
      <c:catAx>
        <c:axId val="674915312"/>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279203712"/>
        <c:crosses val="autoZero"/>
        <c:auto val="1"/>
        <c:lblAlgn val="ctr"/>
        <c:lblOffset val="100"/>
        <c:noMultiLvlLbl val="0"/>
      </c:catAx>
      <c:valAx>
        <c:axId val="279203712"/>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67491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Nombre de buts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bar"/>
        <c:grouping val="clustered"/>
        <c:varyColors val="0"/>
        <c:ser>
          <c:idx val="0"/>
          <c:order val="0"/>
          <c:tx>
            <c:strRef>
              <c:f>RESUME!$L$40</c:f>
              <c:strCache>
                <c:ptCount val="1"/>
                <c:pt idx="0">
                  <c:v>Nombres de buts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RESUME!$K$41:$K$50</c:f>
              <c:strCache>
                <c:ptCount val="10"/>
                <c:pt idx="0">
                  <c:v>Brazil</c:v>
                </c:pt>
                <c:pt idx="1">
                  <c:v>Argentina</c:v>
                </c:pt>
                <c:pt idx="2">
                  <c:v>Italy</c:v>
                </c:pt>
                <c:pt idx="3">
                  <c:v>Spain</c:v>
                </c:pt>
                <c:pt idx="4">
                  <c:v>England</c:v>
                </c:pt>
                <c:pt idx="5">
                  <c:v>France</c:v>
                </c:pt>
                <c:pt idx="6">
                  <c:v>FR Germany</c:v>
                </c:pt>
                <c:pt idx="7">
                  <c:v>Netherlands</c:v>
                </c:pt>
                <c:pt idx="8">
                  <c:v>Uruguay</c:v>
                </c:pt>
                <c:pt idx="9">
                  <c:v>Sweden</c:v>
                </c:pt>
              </c:strCache>
            </c:strRef>
          </c:cat>
          <c:val>
            <c:numRef>
              <c:f>RESUME!$L$41:$L$50</c:f>
              <c:numCache>
                <c:formatCode>General</c:formatCode>
                <c:ptCount val="10"/>
                <c:pt idx="0">
                  <c:v>203</c:v>
                </c:pt>
                <c:pt idx="1">
                  <c:v>159</c:v>
                </c:pt>
                <c:pt idx="2">
                  <c:v>124</c:v>
                </c:pt>
                <c:pt idx="3">
                  <c:v>124</c:v>
                </c:pt>
                <c:pt idx="4">
                  <c:v>120</c:v>
                </c:pt>
                <c:pt idx="5">
                  <c:v>120</c:v>
                </c:pt>
                <c:pt idx="6">
                  <c:v>113</c:v>
                </c:pt>
                <c:pt idx="7">
                  <c:v>104</c:v>
                </c:pt>
                <c:pt idx="8">
                  <c:v>100</c:v>
                </c:pt>
                <c:pt idx="9">
                  <c:v>87</c:v>
                </c:pt>
              </c:numCache>
            </c:numRef>
          </c:val>
          <c:extLst>
            <c:ext xmlns:c16="http://schemas.microsoft.com/office/drawing/2014/chart" uri="{C3380CC4-5D6E-409C-BE32-E72D297353CC}">
              <c16:uniqueId val="{00000000-527F-42A7-9793-547FB16A8ED3}"/>
            </c:ext>
          </c:extLst>
        </c:ser>
        <c:dLbls>
          <c:showLegendKey val="0"/>
          <c:showVal val="0"/>
          <c:showCatName val="0"/>
          <c:showSerName val="0"/>
          <c:showPercent val="0"/>
          <c:showBubbleSize val="0"/>
        </c:dLbls>
        <c:gapWidth val="75"/>
        <c:overlap val="40"/>
        <c:axId val="746717935"/>
        <c:axId val="545385039"/>
      </c:barChart>
      <c:catAx>
        <c:axId val="746717935"/>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545385039"/>
        <c:crosses val="autoZero"/>
        <c:auto val="1"/>
        <c:lblAlgn val="ctr"/>
        <c:lblOffset val="100"/>
        <c:noMultiLvlLbl val="0"/>
      </c:catAx>
      <c:valAx>
        <c:axId val="545385039"/>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74671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bar"/>
        <c:grouping val="clustered"/>
        <c:varyColors val="0"/>
        <c:ser>
          <c:idx val="0"/>
          <c:order val="0"/>
          <c:tx>
            <c:strRef>
              <c:f>RESUME!$F$52</c:f>
              <c:strCache>
                <c:ptCount val="1"/>
                <c:pt idx="0">
                  <c:v>Participations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RESUME!$E$53:$E$62</c:f>
              <c:strCache>
                <c:ptCount val="10"/>
                <c:pt idx="0">
                  <c:v>Brazil</c:v>
                </c:pt>
                <c:pt idx="1">
                  <c:v>Argentina</c:v>
                </c:pt>
                <c:pt idx="2">
                  <c:v>Italy</c:v>
                </c:pt>
                <c:pt idx="3">
                  <c:v>Mexico</c:v>
                </c:pt>
                <c:pt idx="4">
                  <c:v>England</c:v>
                </c:pt>
                <c:pt idx="5">
                  <c:v>France</c:v>
                </c:pt>
                <c:pt idx="6">
                  <c:v>Spain</c:v>
                </c:pt>
                <c:pt idx="7">
                  <c:v>Belgium</c:v>
                </c:pt>
                <c:pt idx="8">
                  <c:v>Uruguay</c:v>
                </c:pt>
                <c:pt idx="9">
                  <c:v>Sweden</c:v>
                </c:pt>
              </c:strCache>
            </c:strRef>
          </c:cat>
          <c:val>
            <c:numRef>
              <c:f>RESUME!$F$53:$F$62</c:f>
              <c:numCache>
                <c:formatCode>General</c:formatCode>
                <c:ptCount val="10"/>
                <c:pt idx="0">
                  <c:v>23</c:v>
                </c:pt>
                <c:pt idx="1">
                  <c:v>19</c:v>
                </c:pt>
                <c:pt idx="2">
                  <c:v>18</c:v>
                </c:pt>
                <c:pt idx="3">
                  <c:v>18</c:v>
                </c:pt>
                <c:pt idx="4">
                  <c:v>17</c:v>
                </c:pt>
                <c:pt idx="5">
                  <c:v>17</c:v>
                </c:pt>
                <c:pt idx="6">
                  <c:v>17</c:v>
                </c:pt>
                <c:pt idx="7">
                  <c:v>15</c:v>
                </c:pt>
                <c:pt idx="8">
                  <c:v>15</c:v>
                </c:pt>
                <c:pt idx="9">
                  <c:v>13</c:v>
                </c:pt>
              </c:numCache>
            </c:numRef>
          </c:val>
          <c:extLst>
            <c:ext xmlns:c16="http://schemas.microsoft.com/office/drawing/2014/chart" uri="{C3380CC4-5D6E-409C-BE32-E72D297353CC}">
              <c16:uniqueId val="{00000000-5049-4717-8F6D-7E61A6B573DE}"/>
            </c:ext>
          </c:extLst>
        </c:ser>
        <c:dLbls>
          <c:showLegendKey val="0"/>
          <c:showVal val="0"/>
          <c:showCatName val="0"/>
          <c:showSerName val="0"/>
          <c:showPercent val="0"/>
          <c:showBubbleSize val="0"/>
        </c:dLbls>
        <c:gapWidth val="75"/>
        <c:overlap val="40"/>
        <c:axId val="929050447"/>
        <c:axId val="545383119"/>
      </c:barChart>
      <c:catAx>
        <c:axId val="929050447"/>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crossAx val="545383119"/>
        <c:crosses val="autoZero"/>
        <c:auto val="1"/>
        <c:lblAlgn val="ctr"/>
        <c:lblOffset val="100"/>
        <c:noMultiLvlLbl val="0"/>
      </c:catAx>
      <c:valAx>
        <c:axId val="545383119"/>
        <c:scaling>
          <c:orientation val="minMax"/>
        </c:scaling>
        <c:delete val="0"/>
        <c:axPos val="t"/>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92905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FIN</a:t>
            </a:r>
            <a:r>
              <a:rPr lang="en-US" baseline="0"/>
              <a:t> DES MATCHS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RESUME!$K$64</c:f>
              <c:strCache>
                <c:ptCount val="1"/>
                <c:pt idx="0">
                  <c:v>Nombre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EE1-4EE5-8EA6-A178A59D61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EE1-4EE5-8EA6-A178A59D61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EE1-4EE5-8EA6-A178A59D611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EE1-4EE5-8EA6-A178A59D611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EE1-4EE5-8EA6-A178A59D611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fr-FR"/>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RESUME!$J$65:$J$70</c15:sqref>
                  </c15:fullRef>
                </c:ext>
              </c:extLst>
              <c:f>RESUME!$J$65:$J$69</c:f>
              <c:strCache>
                <c:ptCount val="5"/>
                <c:pt idx="0">
                  <c:v>WIN_BY_SCORE</c:v>
                </c:pt>
                <c:pt idx="1">
                  <c:v>WIN_BY_PENALTY</c:v>
                </c:pt>
                <c:pt idx="2">
                  <c:v>WIN_BY_GOLDEN_GOAL</c:v>
                </c:pt>
                <c:pt idx="3">
                  <c:v>WIN_BY_EXTRA_TIME</c:v>
                </c:pt>
                <c:pt idx="4">
                  <c:v>MATCH_NUL</c:v>
                </c:pt>
              </c:strCache>
            </c:strRef>
          </c:cat>
          <c:val>
            <c:numRef>
              <c:extLst>
                <c:ext xmlns:c15="http://schemas.microsoft.com/office/drawing/2012/chart" uri="{02D57815-91ED-43cb-92C2-25804820EDAC}">
                  <c15:fullRef>
                    <c15:sqref>RESUME!$K$65:$K$70</c15:sqref>
                  </c15:fullRef>
                </c:ext>
              </c:extLst>
              <c:f>RESUME!$K$65:$K$69</c:f>
              <c:numCache>
                <c:formatCode>General</c:formatCode>
                <c:ptCount val="5"/>
                <c:pt idx="0">
                  <c:v>786</c:v>
                </c:pt>
                <c:pt idx="1">
                  <c:v>39</c:v>
                </c:pt>
                <c:pt idx="2">
                  <c:v>3</c:v>
                </c:pt>
                <c:pt idx="3">
                  <c:v>34</c:v>
                </c:pt>
                <c:pt idx="4">
                  <c:v>196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A-6EE1-4EE5-8EA6-A178A59D6119}"/>
            </c:ext>
          </c:extLst>
        </c:ser>
        <c:ser>
          <c:idx val="1"/>
          <c:order val="1"/>
          <c:tx>
            <c:strRef>
              <c:f>RESUME!$L$64</c:f>
              <c:strCache>
                <c:ptCount val="1"/>
                <c:pt idx="0">
                  <c:v>Pourcentage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6EE1-4EE5-8EA6-A178A59D611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6EE1-4EE5-8EA6-A178A59D611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6EE1-4EE5-8EA6-A178A59D611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6EE1-4EE5-8EA6-A178A59D611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6EE1-4EE5-8EA6-A178A59D61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fr-FR"/>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RESUME!$J$65:$J$70</c15:sqref>
                  </c15:fullRef>
                </c:ext>
              </c:extLst>
              <c:f>RESUME!$J$65:$J$69</c:f>
              <c:strCache>
                <c:ptCount val="5"/>
                <c:pt idx="0">
                  <c:v>WIN_BY_SCORE</c:v>
                </c:pt>
                <c:pt idx="1">
                  <c:v>WIN_BY_PENALTY</c:v>
                </c:pt>
                <c:pt idx="2">
                  <c:v>WIN_BY_GOLDEN_GOAL</c:v>
                </c:pt>
                <c:pt idx="3">
                  <c:v>WIN_BY_EXTRA_TIME</c:v>
                </c:pt>
                <c:pt idx="4">
                  <c:v>MATCH_NUL</c:v>
                </c:pt>
              </c:strCache>
            </c:strRef>
          </c:cat>
          <c:val>
            <c:numRef>
              <c:extLst>
                <c:ext xmlns:c15="http://schemas.microsoft.com/office/drawing/2012/chart" uri="{02D57815-91ED-43cb-92C2-25804820EDAC}">
                  <c15:fullRef>
                    <c15:sqref>RESUME!$L$65:$L$70</c15:sqref>
                  </c15:fullRef>
                </c:ext>
              </c:extLst>
              <c:f>RESUME!$L$65:$L$69</c:f>
              <c:numCache>
                <c:formatCode>0.00%</c:formatCode>
                <c:ptCount val="5"/>
                <c:pt idx="0">
                  <c:v>0.74291115311909262</c:v>
                </c:pt>
                <c:pt idx="1">
                  <c:v>3.6862003780718335E-2</c:v>
                </c:pt>
                <c:pt idx="2">
                  <c:v>2.8355387523629491E-3</c:v>
                </c:pt>
                <c:pt idx="3">
                  <c:v>3.2136105860113423E-2</c:v>
                </c:pt>
                <c:pt idx="4">
                  <c:v>0.18525519848771266</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15-6EE1-4EE5-8EA6-A178A59D6119}"/>
            </c:ext>
          </c:extLst>
        </c:ser>
        <c:dLbls>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TOP 10 EQUIPES OFFENSIVES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RESUME!$E$77</c:f>
              <c:strCache>
                <c:ptCount val="1"/>
                <c:pt idx="0">
                  <c:v>Brazil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RESUME!$F$77</c:f>
              <c:numCache>
                <c:formatCode>General</c:formatCode>
                <c:ptCount val="1"/>
                <c:pt idx="0">
                  <c:v>67.98</c:v>
                </c:pt>
              </c:numCache>
            </c:numRef>
          </c:val>
          <c:extLst>
            <c:ext xmlns:c16="http://schemas.microsoft.com/office/drawing/2014/chart" uri="{C3380CC4-5D6E-409C-BE32-E72D297353CC}">
              <c16:uniqueId val="{00000000-F127-4BA6-87FD-A3AE1D68C508}"/>
            </c:ext>
          </c:extLst>
        </c:ser>
        <c:ser>
          <c:idx val="1"/>
          <c:order val="1"/>
          <c:tx>
            <c:strRef>
              <c:f>RESUME!$E$78</c:f>
              <c:strCache>
                <c:ptCount val="1"/>
                <c:pt idx="0">
                  <c:v>Argentina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RESUME!$F$78</c:f>
              <c:numCache>
                <c:formatCode>General</c:formatCode>
                <c:ptCount val="1"/>
                <c:pt idx="0">
                  <c:v>55.63</c:v>
                </c:pt>
              </c:numCache>
            </c:numRef>
          </c:val>
          <c:extLst>
            <c:ext xmlns:c16="http://schemas.microsoft.com/office/drawing/2014/chart" uri="{C3380CC4-5D6E-409C-BE32-E72D297353CC}">
              <c16:uniqueId val="{00000001-F127-4BA6-87FD-A3AE1D68C508}"/>
            </c:ext>
          </c:extLst>
        </c:ser>
        <c:ser>
          <c:idx val="2"/>
          <c:order val="2"/>
          <c:tx>
            <c:strRef>
              <c:f>RESUME!$E$79</c:f>
              <c:strCache>
                <c:ptCount val="1"/>
                <c:pt idx="0">
                  <c:v>FR Germany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RESUME!$F$79</c:f>
              <c:numCache>
                <c:formatCode>General</c:formatCode>
                <c:ptCount val="1"/>
                <c:pt idx="0">
                  <c:v>47.57</c:v>
                </c:pt>
              </c:numCache>
            </c:numRef>
          </c:val>
          <c:extLst>
            <c:ext xmlns:c16="http://schemas.microsoft.com/office/drawing/2014/chart" uri="{C3380CC4-5D6E-409C-BE32-E72D297353CC}">
              <c16:uniqueId val="{00000002-F127-4BA6-87FD-A3AE1D68C508}"/>
            </c:ext>
          </c:extLst>
        </c:ser>
        <c:ser>
          <c:idx val="3"/>
          <c:order val="3"/>
          <c:tx>
            <c:strRef>
              <c:f>RESUME!$E$80</c:f>
              <c:strCache>
                <c:ptCount val="1"/>
                <c:pt idx="0">
                  <c:v>France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RESUME!$F$80</c:f>
              <c:numCache>
                <c:formatCode>General</c:formatCode>
                <c:ptCount val="1"/>
                <c:pt idx="0">
                  <c:v>46.06</c:v>
                </c:pt>
              </c:numCache>
            </c:numRef>
          </c:val>
          <c:extLst>
            <c:ext xmlns:c16="http://schemas.microsoft.com/office/drawing/2014/chart" uri="{C3380CC4-5D6E-409C-BE32-E72D297353CC}">
              <c16:uniqueId val="{00000003-F127-4BA6-87FD-A3AE1D68C508}"/>
            </c:ext>
          </c:extLst>
        </c:ser>
        <c:ser>
          <c:idx val="4"/>
          <c:order val="4"/>
          <c:tx>
            <c:strRef>
              <c:f>RESUME!$E$81</c:f>
              <c:strCache>
                <c:ptCount val="1"/>
                <c:pt idx="0">
                  <c:v>Netherlands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RESUME!$F$81</c:f>
              <c:numCache>
                <c:formatCode>General</c:formatCode>
                <c:ptCount val="1"/>
                <c:pt idx="0">
                  <c:v>42.11</c:v>
                </c:pt>
              </c:numCache>
            </c:numRef>
          </c:val>
          <c:extLst>
            <c:ext xmlns:c16="http://schemas.microsoft.com/office/drawing/2014/chart" uri="{C3380CC4-5D6E-409C-BE32-E72D297353CC}">
              <c16:uniqueId val="{00000004-F127-4BA6-87FD-A3AE1D68C508}"/>
            </c:ext>
          </c:extLst>
        </c:ser>
        <c:ser>
          <c:idx val="5"/>
          <c:order val="5"/>
          <c:tx>
            <c:strRef>
              <c:f>RESUME!$E$82</c:f>
              <c:strCache>
                <c:ptCount val="1"/>
                <c:pt idx="0">
                  <c:v>Germany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RESUME!$F$82</c:f>
              <c:numCache>
                <c:formatCode>General</c:formatCode>
                <c:ptCount val="1"/>
                <c:pt idx="0">
                  <c:v>38.520000000000003</c:v>
                </c:pt>
              </c:numCache>
            </c:numRef>
          </c:val>
          <c:extLst>
            <c:ext xmlns:c16="http://schemas.microsoft.com/office/drawing/2014/chart" uri="{C3380CC4-5D6E-409C-BE32-E72D297353CC}">
              <c16:uniqueId val="{00000005-F127-4BA6-87FD-A3AE1D68C508}"/>
            </c:ext>
          </c:extLst>
        </c:ser>
        <c:ser>
          <c:idx val="6"/>
          <c:order val="6"/>
          <c:tx>
            <c:strRef>
              <c:f>RESUME!$E$83</c:f>
              <c:strCache>
                <c:ptCount val="1"/>
                <c:pt idx="0">
                  <c:v>Italy</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RESUME!$F$83</c:f>
              <c:numCache>
                <c:formatCode>General</c:formatCode>
                <c:ptCount val="1"/>
                <c:pt idx="0">
                  <c:v>38.11</c:v>
                </c:pt>
              </c:numCache>
            </c:numRef>
          </c:val>
          <c:extLst>
            <c:ext xmlns:c16="http://schemas.microsoft.com/office/drawing/2014/chart" uri="{C3380CC4-5D6E-409C-BE32-E72D297353CC}">
              <c16:uniqueId val="{00000006-F127-4BA6-87FD-A3AE1D68C508}"/>
            </c:ext>
          </c:extLst>
        </c:ser>
        <c:ser>
          <c:idx val="7"/>
          <c:order val="7"/>
          <c:tx>
            <c:strRef>
              <c:f>RESUME!$E$84</c:f>
              <c:strCache>
                <c:ptCount val="1"/>
                <c:pt idx="0">
                  <c:v>Spain</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RESUME!$F$84</c:f>
              <c:numCache>
                <c:formatCode>General</c:formatCode>
                <c:ptCount val="1"/>
                <c:pt idx="0">
                  <c:v>36.83</c:v>
                </c:pt>
              </c:numCache>
            </c:numRef>
          </c:val>
          <c:extLst>
            <c:ext xmlns:c16="http://schemas.microsoft.com/office/drawing/2014/chart" uri="{C3380CC4-5D6E-409C-BE32-E72D297353CC}">
              <c16:uniqueId val="{00000007-F127-4BA6-87FD-A3AE1D68C508}"/>
            </c:ext>
          </c:extLst>
        </c:ser>
        <c:ser>
          <c:idx val="8"/>
          <c:order val="8"/>
          <c:tx>
            <c:strRef>
              <c:f>RESUME!$E$85</c:f>
              <c:strCache>
                <c:ptCount val="1"/>
                <c:pt idx="0">
                  <c:v>England</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RESUME!$F$85</c:f>
              <c:numCache>
                <c:formatCode>General</c:formatCode>
                <c:ptCount val="1"/>
                <c:pt idx="0">
                  <c:v>33.950000000000003</c:v>
                </c:pt>
              </c:numCache>
            </c:numRef>
          </c:val>
          <c:extLst>
            <c:ext xmlns:c16="http://schemas.microsoft.com/office/drawing/2014/chart" uri="{C3380CC4-5D6E-409C-BE32-E72D297353CC}">
              <c16:uniqueId val="{00000008-F127-4BA6-87FD-A3AE1D68C508}"/>
            </c:ext>
          </c:extLst>
        </c:ser>
        <c:ser>
          <c:idx val="9"/>
          <c:order val="9"/>
          <c:tx>
            <c:strRef>
              <c:f>RESUME!$E$86</c:f>
              <c:strCache>
                <c:ptCount val="1"/>
                <c:pt idx="0">
                  <c:v>Uruguay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RESUME!$F$76</c:f>
              <c:strCache>
                <c:ptCount val="1"/>
                <c:pt idx="0">
                  <c:v>Score offensif</c:v>
                </c:pt>
              </c:strCache>
            </c:strRef>
          </c:cat>
          <c:val>
            <c:numRef>
              <c:f>RESUME!$F$86</c:f>
              <c:numCache>
                <c:formatCode>General</c:formatCode>
                <c:ptCount val="1"/>
                <c:pt idx="0">
                  <c:v>28.49</c:v>
                </c:pt>
              </c:numCache>
            </c:numRef>
          </c:val>
          <c:extLst>
            <c:ext xmlns:c16="http://schemas.microsoft.com/office/drawing/2014/chart" uri="{C3380CC4-5D6E-409C-BE32-E72D297353CC}">
              <c16:uniqueId val="{00000009-F127-4BA6-87FD-A3AE1D68C508}"/>
            </c:ext>
          </c:extLst>
        </c:ser>
        <c:dLbls>
          <c:showLegendKey val="0"/>
          <c:showVal val="0"/>
          <c:showCatName val="0"/>
          <c:showSerName val="0"/>
          <c:showPercent val="0"/>
          <c:showBubbleSize val="0"/>
        </c:dLbls>
        <c:gapWidth val="100"/>
        <c:overlap val="-24"/>
        <c:axId val="982355279"/>
        <c:axId val="839653999"/>
      </c:barChart>
      <c:catAx>
        <c:axId val="982355279"/>
        <c:scaling>
          <c:orientation val="minMax"/>
        </c:scaling>
        <c:delete val="1"/>
        <c:axPos val="b"/>
        <c:numFmt formatCode="General" sourceLinked="1"/>
        <c:majorTickMark val="none"/>
        <c:minorTickMark val="none"/>
        <c:tickLblPos val="nextTo"/>
        <c:crossAx val="839653999"/>
        <c:crosses val="autoZero"/>
        <c:auto val="1"/>
        <c:lblAlgn val="ctr"/>
        <c:lblOffset val="100"/>
        <c:noMultiLvlLbl val="0"/>
      </c:catAx>
      <c:valAx>
        <c:axId val="839653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982355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fr-FR"/>
              <a:t>TOP 10 EQUIPES DEFENSIVES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fr-FR"/>
        </a:p>
      </c:txPr>
    </c:title>
    <c:autoTitleDeleted val="0"/>
    <c:plotArea>
      <c:layout/>
      <c:barChart>
        <c:barDir val="col"/>
        <c:grouping val="clustered"/>
        <c:varyColors val="0"/>
        <c:ser>
          <c:idx val="0"/>
          <c:order val="0"/>
          <c:tx>
            <c:strRef>
              <c:f>RESUME!$K$77</c:f>
              <c:strCache>
                <c:ptCount val="1"/>
                <c:pt idx="0">
                  <c:v>Brazil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RESUME!$L$77</c:f>
              <c:numCache>
                <c:formatCode>General</c:formatCode>
                <c:ptCount val="1"/>
                <c:pt idx="0">
                  <c:v>52.6</c:v>
                </c:pt>
              </c:numCache>
            </c:numRef>
          </c:val>
          <c:extLst>
            <c:ext xmlns:c16="http://schemas.microsoft.com/office/drawing/2014/chart" uri="{C3380CC4-5D6E-409C-BE32-E72D297353CC}">
              <c16:uniqueId val="{00000000-A969-4E63-8C4F-5BE0AEBBA95E}"/>
            </c:ext>
          </c:extLst>
        </c:ser>
        <c:ser>
          <c:idx val="1"/>
          <c:order val="1"/>
          <c:tx>
            <c:strRef>
              <c:f>RESUME!$K$78</c:f>
              <c:strCache>
                <c:ptCount val="1"/>
                <c:pt idx="0">
                  <c:v>Argentina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RESUME!$L$78</c:f>
              <c:numCache>
                <c:formatCode>General</c:formatCode>
                <c:ptCount val="1"/>
                <c:pt idx="0">
                  <c:v>41.38</c:v>
                </c:pt>
              </c:numCache>
            </c:numRef>
          </c:val>
          <c:extLst>
            <c:ext xmlns:c16="http://schemas.microsoft.com/office/drawing/2014/chart" uri="{C3380CC4-5D6E-409C-BE32-E72D297353CC}">
              <c16:uniqueId val="{00000001-A969-4E63-8C4F-5BE0AEBBA95E}"/>
            </c:ext>
          </c:extLst>
        </c:ser>
        <c:ser>
          <c:idx val="2"/>
          <c:order val="2"/>
          <c:tx>
            <c:strRef>
              <c:f>RESUME!$K$79</c:f>
              <c:strCache>
                <c:ptCount val="1"/>
                <c:pt idx="0">
                  <c:v>Italy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RESUME!$L$79</c:f>
              <c:numCache>
                <c:formatCode>General</c:formatCode>
                <c:ptCount val="1"/>
                <c:pt idx="0">
                  <c:v>38.5</c:v>
                </c:pt>
              </c:numCache>
            </c:numRef>
          </c:val>
          <c:extLst>
            <c:ext xmlns:c16="http://schemas.microsoft.com/office/drawing/2014/chart" uri="{C3380CC4-5D6E-409C-BE32-E72D297353CC}">
              <c16:uniqueId val="{00000002-A969-4E63-8C4F-5BE0AEBBA95E}"/>
            </c:ext>
          </c:extLst>
        </c:ser>
        <c:ser>
          <c:idx val="3"/>
          <c:order val="3"/>
          <c:tx>
            <c:strRef>
              <c:f>RESUME!$K$80</c:f>
              <c:strCache>
                <c:ptCount val="1"/>
                <c:pt idx="0">
                  <c:v>France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RESUME!$L$80</c:f>
              <c:numCache>
                <c:formatCode>General</c:formatCode>
                <c:ptCount val="1"/>
                <c:pt idx="0">
                  <c:v>37.450000000000003</c:v>
                </c:pt>
              </c:numCache>
            </c:numRef>
          </c:val>
          <c:extLst>
            <c:ext xmlns:c16="http://schemas.microsoft.com/office/drawing/2014/chart" uri="{C3380CC4-5D6E-409C-BE32-E72D297353CC}">
              <c16:uniqueId val="{00000003-A969-4E63-8C4F-5BE0AEBBA95E}"/>
            </c:ext>
          </c:extLst>
        </c:ser>
        <c:ser>
          <c:idx val="4"/>
          <c:order val="4"/>
          <c:tx>
            <c:strRef>
              <c:f>RESUME!$K$81</c:f>
              <c:strCache>
                <c:ptCount val="1"/>
                <c:pt idx="0">
                  <c:v>England</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RESUME!$L$81</c:f>
              <c:numCache>
                <c:formatCode>General</c:formatCode>
                <c:ptCount val="1"/>
                <c:pt idx="0">
                  <c:v>36.28</c:v>
                </c:pt>
              </c:numCache>
            </c:numRef>
          </c:val>
          <c:extLst>
            <c:ext xmlns:c16="http://schemas.microsoft.com/office/drawing/2014/chart" uri="{C3380CC4-5D6E-409C-BE32-E72D297353CC}">
              <c16:uniqueId val="{00000004-A969-4E63-8C4F-5BE0AEBBA95E}"/>
            </c:ext>
          </c:extLst>
        </c:ser>
        <c:ser>
          <c:idx val="5"/>
          <c:order val="5"/>
          <c:tx>
            <c:strRef>
              <c:f>RESUME!$K$82</c:f>
              <c:strCache>
                <c:ptCount val="1"/>
                <c:pt idx="0">
                  <c:v>FR Germany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RESUME!$L$82</c:f>
              <c:numCache>
                <c:formatCode>General</c:formatCode>
                <c:ptCount val="1"/>
                <c:pt idx="0">
                  <c:v>34.479999999999997</c:v>
                </c:pt>
              </c:numCache>
            </c:numRef>
          </c:val>
          <c:extLst>
            <c:ext xmlns:c16="http://schemas.microsoft.com/office/drawing/2014/chart" uri="{C3380CC4-5D6E-409C-BE32-E72D297353CC}">
              <c16:uniqueId val="{00000005-A969-4E63-8C4F-5BE0AEBBA95E}"/>
            </c:ext>
          </c:extLst>
        </c:ser>
        <c:ser>
          <c:idx val="6"/>
          <c:order val="6"/>
          <c:tx>
            <c:strRef>
              <c:f>RESUME!$K$83</c:f>
              <c:strCache>
                <c:ptCount val="1"/>
                <c:pt idx="0">
                  <c:v>Spain</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RESUME!$L$83</c:f>
              <c:numCache>
                <c:formatCode>General</c:formatCode>
                <c:ptCount val="1"/>
                <c:pt idx="0">
                  <c:v>33.79</c:v>
                </c:pt>
              </c:numCache>
            </c:numRef>
          </c:val>
          <c:extLst>
            <c:ext xmlns:c16="http://schemas.microsoft.com/office/drawing/2014/chart" uri="{C3380CC4-5D6E-409C-BE32-E72D297353CC}">
              <c16:uniqueId val="{00000006-A969-4E63-8C4F-5BE0AEBBA95E}"/>
            </c:ext>
          </c:extLst>
        </c:ser>
        <c:ser>
          <c:idx val="7"/>
          <c:order val="7"/>
          <c:tx>
            <c:strRef>
              <c:f>RESUME!$K$84</c:f>
              <c:strCache>
                <c:ptCount val="1"/>
                <c:pt idx="0">
                  <c:v>Germany</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RESUME!$L$84</c:f>
              <c:numCache>
                <c:formatCode>General</c:formatCode>
                <c:ptCount val="1"/>
                <c:pt idx="0">
                  <c:v>31.88</c:v>
                </c:pt>
              </c:numCache>
            </c:numRef>
          </c:val>
          <c:extLst>
            <c:ext xmlns:c16="http://schemas.microsoft.com/office/drawing/2014/chart" uri="{C3380CC4-5D6E-409C-BE32-E72D297353CC}">
              <c16:uniqueId val="{00000007-A969-4E63-8C4F-5BE0AEBBA95E}"/>
            </c:ext>
          </c:extLst>
        </c:ser>
        <c:ser>
          <c:idx val="8"/>
          <c:order val="8"/>
          <c:tx>
            <c:strRef>
              <c:f>RESUME!$K$85</c:f>
              <c:strCache>
                <c:ptCount val="1"/>
                <c:pt idx="0">
                  <c:v>Netherlands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RESUME!$L$85</c:f>
              <c:numCache>
                <c:formatCode>General</c:formatCode>
                <c:ptCount val="1"/>
                <c:pt idx="0">
                  <c:v>30.7</c:v>
                </c:pt>
              </c:numCache>
            </c:numRef>
          </c:val>
          <c:extLst>
            <c:ext xmlns:c16="http://schemas.microsoft.com/office/drawing/2014/chart" uri="{C3380CC4-5D6E-409C-BE32-E72D297353CC}">
              <c16:uniqueId val="{00000008-A969-4E63-8C4F-5BE0AEBBA95E}"/>
            </c:ext>
          </c:extLst>
        </c:ser>
        <c:ser>
          <c:idx val="9"/>
          <c:order val="9"/>
          <c:tx>
            <c:strRef>
              <c:f>RESUME!$K$86</c:f>
              <c:strCache>
                <c:ptCount val="1"/>
                <c:pt idx="0">
                  <c:v>Uruguay</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RESUME!$L$76</c:f>
              <c:strCache>
                <c:ptCount val="1"/>
                <c:pt idx="0">
                  <c:v>Score défensif</c:v>
                </c:pt>
              </c:strCache>
            </c:strRef>
          </c:cat>
          <c:val>
            <c:numRef>
              <c:f>RESUME!$L$86</c:f>
              <c:numCache>
                <c:formatCode>General</c:formatCode>
                <c:ptCount val="1"/>
                <c:pt idx="0">
                  <c:v>29.39</c:v>
                </c:pt>
              </c:numCache>
            </c:numRef>
          </c:val>
          <c:extLst>
            <c:ext xmlns:c16="http://schemas.microsoft.com/office/drawing/2014/chart" uri="{C3380CC4-5D6E-409C-BE32-E72D297353CC}">
              <c16:uniqueId val="{00000009-A969-4E63-8C4F-5BE0AEBBA95E}"/>
            </c:ext>
          </c:extLst>
        </c:ser>
        <c:dLbls>
          <c:showLegendKey val="0"/>
          <c:showVal val="0"/>
          <c:showCatName val="0"/>
          <c:showSerName val="0"/>
          <c:showPercent val="0"/>
          <c:showBubbleSize val="0"/>
        </c:dLbls>
        <c:gapWidth val="100"/>
        <c:overlap val="-24"/>
        <c:axId val="1249333887"/>
        <c:axId val="612961167"/>
      </c:barChart>
      <c:catAx>
        <c:axId val="1249333887"/>
        <c:scaling>
          <c:orientation val="minMax"/>
        </c:scaling>
        <c:delete val="1"/>
        <c:axPos val="b"/>
        <c:numFmt formatCode="General" sourceLinked="1"/>
        <c:majorTickMark val="none"/>
        <c:minorTickMark val="none"/>
        <c:tickLblPos val="nextTo"/>
        <c:crossAx val="612961167"/>
        <c:crosses val="autoZero"/>
        <c:auto val="1"/>
        <c:lblAlgn val="ctr"/>
        <c:lblOffset val="100"/>
        <c:noMultiLvlLbl val="0"/>
      </c:catAx>
      <c:valAx>
        <c:axId val="61296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fr-FR"/>
          </a:p>
        </c:txPr>
        <c:crossAx val="1249333887"/>
        <c:crosses val="autoZero"/>
        <c:crossBetween val="between"/>
      </c:valAx>
      <c:spPr>
        <a:noFill/>
        <a:ln>
          <a:noFill/>
        </a:ln>
        <a:effectLst/>
      </c:spPr>
    </c:plotArea>
    <c:legend>
      <c:legendPos val="b"/>
      <c:layout>
        <c:manualLayout>
          <c:xMode val="edge"/>
          <c:yMode val="edge"/>
          <c:x val="7.8511485293824929E-2"/>
          <c:y val="0.90475895899443914"/>
          <c:w val="0.84226324508482397"/>
          <c:h val="9.524104100556081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fr-F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260910</xdr:colOff>
      <xdr:row>13</xdr:row>
      <xdr:rowOff>3362</xdr:rowOff>
    </xdr:from>
    <xdr:to>
      <xdr:col>13</xdr:col>
      <xdr:colOff>616511</xdr:colOff>
      <xdr:row>37</xdr:row>
      <xdr:rowOff>23905</xdr:rowOff>
    </xdr:to>
    <xdr:graphicFrame macro="">
      <xdr:nvGraphicFramePr>
        <xdr:cNvPr id="2" name="Graphique 1">
          <a:extLst>
            <a:ext uri="{FF2B5EF4-FFF2-40B4-BE49-F238E27FC236}">
              <a16:creationId xmlns:a16="http://schemas.microsoft.com/office/drawing/2014/main" id="{21554E97-EE1C-4F61-A75D-D533B2821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949138</xdr:colOff>
      <xdr:row>13</xdr:row>
      <xdr:rowOff>0</xdr:rowOff>
    </xdr:from>
    <xdr:to>
      <xdr:col>22</xdr:col>
      <xdr:colOff>649940</xdr:colOff>
      <xdr:row>36</xdr:row>
      <xdr:rowOff>161925</xdr:rowOff>
    </xdr:to>
    <xdr:graphicFrame macro="">
      <xdr:nvGraphicFramePr>
        <xdr:cNvPr id="3" name="Graphique 2">
          <a:extLst>
            <a:ext uri="{FF2B5EF4-FFF2-40B4-BE49-F238E27FC236}">
              <a16:creationId xmlns:a16="http://schemas.microsoft.com/office/drawing/2014/main" id="{41C9E3EA-C2C1-4CD0-81ED-106D99991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276972</xdr:colOff>
      <xdr:row>43</xdr:row>
      <xdr:rowOff>0</xdr:rowOff>
    </xdr:from>
    <xdr:to>
      <xdr:col>7</xdr:col>
      <xdr:colOff>280147</xdr:colOff>
      <xdr:row>65</xdr:row>
      <xdr:rowOff>0</xdr:rowOff>
    </xdr:to>
    <xdr:graphicFrame macro="">
      <xdr:nvGraphicFramePr>
        <xdr:cNvPr id="6" name="Graphique 5">
          <a:extLst>
            <a:ext uri="{FF2B5EF4-FFF2-40B4-BE49-F238E27FC236}">
              <a16:creationId xmlns:a16="http://schemas.microsoft.com/office/drawing/2014/main" id="{D802DE45-5AC8-4564-81F8-119E1AFBB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33619</xdr:colOff>
      <xdr:row>43</xdr:row>
      <xdr:rowOff>0</xdr:rowOff>
    </xdr:from>
    <xdr:to>
      <xdr:col>13</xdr:col>
      <xdr:colOff>2610971</xdr:colOff>
      <xdr:row>64</xdr:row>
      <xdr:rowOff>168089</xdr:rowOff>
    </xdr:to>
    <xdr:graphicFrame macro="">
      <xdr:nvGraphicFramePr>
        <xdr:cNvPr id="4" name="Graphique 3">
          <a:extLst>
            <a:ext uri="{FF2B5EF4-FFF2-40B4-BE49-F238E27FC236}">
              <a16:creationId xmlns:a16="http://schemas.microsoft.com/office/drawing/2014/main" id="{1FB4DD9F-170F-44FF-B2B8-D29214B25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347863</xdr:colOff>
      <xdr:row>42</xdr:row>
      <xdr:rowOff>188099</xdr:rowOff>
    </xdr:from>
    <xdr:to>
      <xdr:col>22</xdr:col>
      <xdr:colOff>312965</xdr:colOff>
      <xdr:row>64</xdr:row>
      <xdr:rowOff>176893</xdr:rowOff>
    </xdr:to>
    <xdr:graphicFrame macro="">
      <xdr:nvGraphicFramePr>
        <xdr:cNvPr id="5" name="Graphique 4">
          <a:extLst>
            <a:ext uri="{FF2B5EF4-FFF2-40B4-BE49-F238E27FC236}">
              <a16:creationId xmlns:a16="http://schemas.microsoft.com/office/drawing/2014/main" id="{73D37A93-3DAA-405A-9066-B3CB9340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246531</xdr:colOff>
      <xdr:row>71</xdr:row>
      <xdr:rowOff>11206</xdr:rowOff>
    </xdr:from>
    <xdr:to>
      <xdr:col>7</xdr:col>
      <xdr:colOff>414618</xdr:colOff>
      <xdr:row>95</xdr:row>
      <xdr:rowOff>179294</xdr:rowOff>
    </xdr:to>
    <xdr:graphicFrame macro="">
      <xdr:nvGraphicFramePr>
        <xdr:cNvPr id="7" name="Graphique 6">
          <a:extLst>
            <a:ext uri="{FF2B5EF4-FFF2-40B4-BE49-F238E27FC236}">
              <a16:creationId xmlns:a16="http://schemas.microsoft.com/office/drawing/2014/main" id="{8B580D88-D0E3-4EC4-A27B-C835084DF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324969</xdr:colOff>
      <xdr:row>71</xdr:row>
      <xdr:rowOff>10968</xdr:rowOff>
    </xdr:from>
    <xdr:to>
      <xdr:col>14</xdr:col>
      <xdr:colOff>3510643</xdr:colOff>
      <xdr:row>95</xdr:row>
      <xdr:rowOff>161738</xdr:rowOff>
    </xdr:to>
    <xdr:graphicFrame macro="">
      <xdr:nvGraphicFramePr>
        <xdr:cNvPr id="9" name="Graphique 8">
          <a:extLst>
            <a:ext uri="{FF2B5EF4-FFF2-40B4-BE49-F238E27FC236}">
              <a16:creationId xmlns:a16="http://schemas.microsoft.com/office/drawing/2014/main" id="{D4D9A96A-A0F0-430B-955B-465248B13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347382</xdr:colOff>
      <xdr:row>70</xdr:row>
      <xdr:rowOff>179294</xdr:rowOff>
    </xdr:from>
    <xdr:to>
      <xdr:col>22</xdr:col>
      <xdr:colOff>403411</xdr:colOff>
      <xdr:row>96</xdr:row>
      <xdr:rowOff>11206</xdr:rowOff>
    </xdr:to>
    <xdr:graphicFrame macro="">
      <xdr:nvGraphicFramePr>
        <xdr:cNvPr id="12" name="Graphique 11">
          <a:extLst>
            <a:ext uri="{FF2B5EF4-FFF2-40B4-BE49-F238E27FC236}">
              <a16:creationId xmlns:a16="http://schemas.microsoft.com/office/drawing/2014/main" id="{B20C20E7-52D6-466A-9516-F0458E050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270B9-275D-4B8F-8B3E-112C542233A7}">
  <dimension ref="B5:S175"/>
  <sheetViews>
    <sheetView tabSelected="1" workbookViewId="0">
      <selection activeCell="K34" sqref="K34:O54"/>
    </sheetView>
  </sheetViews>
  <sheetFormatPr baseColWidth="10" defaultRowHeight="15"/>
  <sheetData>
    <row r="5" spans="2:19" ht="15" customHeight="1">
      <c r="B5" s="187" t="s">
        <v>86</v>
      </c>
      <c r="C5" s="187"/>
      <c r="D5" s="187"/>
      <c r="E5" s="187"/>
      <c r="F5" s="187"/>
      <c r="G5" s="187"/>
      <c r="H5" s="187"/>
      <c r="I5" s="187"/>
      <c r="J5" s="187"/>
      <c r="K5" s="187"/>
      <c r="L5" s="187"/>
      <c r="M5" s="187"/>
      <c r="N5" s="187"/>
      <c r="O5" s="187"/>
      <c r="P5" s="187"/>
      <c r="Q5" s="187"/>
      <c r="R5" s="187"/>
      <c r="S5" s="187"/>
    </row>
    <row r="6" spans="2:19">
      <c r="B6" s="187"/>
      <c r="C6" s="187"/>
      <c r="D6" s="187"/>
      <c r="E6" s="187"/>
      <c r="F6" s="187"/>
      <c r="G6" s="187"/>
      <c r="H6" s="187"/>
      <c r="I6" s="187"/>
      <c r="J6" s="187"/>
      <c r="K6" s="187"/>
      <c r="L6" s="187"/>
      <c r="M6" s="187"/>
      <c r="N6" s="187"/>
      <c r="O6" s="187"/>
      <c r="P6" s="187"/>
      <c r="Q6" s="187"/>
      <c r="R6" s="187"/>
      <c r="S6" s="187"/>
    </row>
    <row r="7" spans="2:19">
      <c r="B7" s="187"/>
      <c r="C7" s="187"/>
      <c r="D7" s="187"/>
      <c r="E7" s="187"/>
      <c r="F7" s="187"/>
      <c r="G7" s="187"/>
      <c r="H7" s="187"/>
      <c r="I7" s="187"/>
      <c r="J7" s="187"/>
      <c r="K7" s="187"/>
      <c r="L7" s="187"/>
      <c r="M7" s="187"/>
      <c r="N7" s="187"/>
      <c r="O7" s="187"/>
      <c r="P7" s="187"/>
      <c r="Q7" s="187"/>
      <c r="R7" s="187"/>
      <c r="S7" s="187"/>
    </row>
    <row r="8" spans="2:19">
      <c r="B8" s="187"/>
      <c r="C8" s="187"/>
      <c r="D8" s="187"/>
      <c r="E8" s="187"/>
      <c r="F8" s="187"/>
      <c r="G8" s="187"/>
      <c r="H8" s="187"/>
      <c r="I8" s="187"/>
      <c r="J8" s="187"/>
      <c r="K8" s="187"/>
      <c r="L8" s="187"/>
      <c r="M8" s="187"/>
      <c r="N8" s="187"/>
      <c r="O8" s="187"/>
      <c r="P8" s="187"/>
      <c r="Q8" s="187"/>
      <c r="R8" s="187"/>
      <c r="S8" s="187"/>
    </row>
    <row r="9" spans="2:19">
      <c r="B9" s="187"/>
      <c r="C9" s="187"/>
      <c r="D9" s="187"/>
      <c r="E9" s="187"/>
      <c r="F9" s="187"/>
      <c r="G9" s="187"/>
      <c r="H9" s="187"/>
      <c r="I9" s="187"/>
      <c r="J9" s="187"/>
      <c r="K9" s="187"/>
      <c r="L9" s="187"/>
      <c r="M9" s="187"/>
      <c r="N9" s="187"/>
      <c r="O9" s="187"/>
      <c r="P9" s="187"/>
      <c r="Q9" s="187"/>
      <c r="R9" s="187"/>
      <c r="S9" s="187"/>
    </row>
    <row r="10" spans="2:19">
      <c r="B10" s="187"/>
      <c r="C10" s="187"/>
      <c r="D10" s="187"/>
      <c r="E10" s="187"/>
      <c r="F10" s="187"/>
      <c r="G10" s="187"/>
      <c r="H10" s="187"/>
      <c r="I10" s="187"/>
      <c r="J10" s="187"/>
      <c r="K10" s="187"/>
      <c r="L10" s="187"/>
      <c r="M10" s="187"/>
      <c r="N10" s="187"/>
      <c r="O10" s="187"/>
      <c r="P10" s="187"/>
      <c r="Q10" s="187"/>
      <c r="R10" s="187"/>
      <c r="S10" s="187"/>
    </row>
    <row r="11" spans="2:19" ht="34.5" customHeight="1">
      <c r="B11" s="201" t="s">
        <v>87</v>
      </c>
      <c r="C11" s="202"/>
      <c r="D11" s="202"/>
      <c r="E11" s="202"/>
      <c r="F11" s="202"/>
      <c r="G11" s="202"/>
      <c r="H11" s="202"/>
      <c r="I11" s="202"/>
      <c r="J11" s="202"/>
      <c r="K11" s="202" t="s">
        <v>88</v>
      </c>
      <c r="L11" s="202"/>
      <c r="M11" s="202"/>
      <c r="N11" s="202"/>
      <c r="O11" s="202"/>
      <c r="P11" s="202"/>
      <c r="Q11" s="202"/>
      <c r="R11" s="202"/>
      <c r="S11" s="202"/>
    </row>
    <row r="12" spans="2:19" ht="15" customHeight="1">
      <c r="B12" s="203" t="s">
        <v>3943</v>
      </c>
      <c r="C12" s="203"/>
      <c r="D12" s="203"/>
      <c r="E12" s="203"/>
      <c r="F12" s="203"/>
      <c r="G12" s="203"/>
      <c r="H12" s="203"/>
      <c r="I12" s="203"/>
      <c r="J12" s="203"/>
      <c r="K12" s="204" t="s">
        <v>3944</v>
      </c>
      <c r="L12" s="204"/>
      <c r="M12" s="204"/>
      <c r="N12" s="204"/>
      <c r="O12" s="204"/>
      <c r="P12" s="204"/>
      <c r="Q12" s="204"/>
      <c r="R12" s="204"/>
      <c r="S12" s="204"/>
    </row>
    <row r="13" spans="2:19" ht="15" customHeight="1">
      <c r="B13" s="203"/>
      <c r="C13" s="203"/>
      <c r="D13" s="203"/>
      <c r="E13" s="203"/>
      <c r="F13" s="203"/>
      <c r="G13" s="203"/>
      <c r="H13" s="203"/>
      <c r="I13" s="203"/>
      <c r="J13" s="203"/>
      <c r="K13" s="204"/>
      <c r="L13" s="204"/>
      <c r="M13" s="204"/>
      <c r="N13" s="204"/>
      <c r="O13" s="204"/>
      <c r="P13" s="204"/>
      <c r="Q13" s="204"/>
      <c r="R13" s="204"/>
      <c r="S13" s="204"/>
    </row>
    <row r="14" spans="2:19" ht="15" customHeight="1">
      <c r="B14" s="203"/>
      <c r="C14" s="203"/>
      <c r="D14" s="203"/>
      <c r="E14" s="203"/>
      <c r="F14" s="203"/>
      <c r="G14" s="203"/>
      <c r="H14" s="203"/>
      <c r="I14" s="203"/>
      <c r="J14" s="203"/>
      <c r="K14" s="204"/>
      <c r="L14" s="204"/>
      <c r="M14" s="204"/>
      <c r="N14" s="204"/>
      <c r="O14" s="204"/>
      <c r="P14" s="204"/>
      <c r="Q14" s="204"/>
      <c r="R14" s="204"/>
      <c r="S14" s="204"/>
    </row>
    <row r="15" spans="2:19" ht="15" customHeight="1">
      <c r="B15" s="203"/>
      <c r="C15" s="203"/>
      <c r="D15" s="203"/>
      <c r="E15" s="203"/>
      <c r="F15" s="203"/>
      <c r="G15" s="203"/>
      <c r="H15" s="203"/>
      <c r="I15" s="203"/>
      <c r="J15" s="203"/>
      <c r="K15" s="204"/>
      <c r="L15" s="204"/>
      <c r="M15" s="204"/>
      <c r="N15" s="204"/>
      <c r="O15" s="204"/>
      <c r="P15" s="204"/>
      <c r="Q15" s="204"/>
      <c r="R15" s="204"/>
      <c r="S15" s="204"/>
    </row>
    <row r="16" spans="2:19" ht="15" customHeight="1">
      <c r="B16" s="203"/>
      <c r="C16" s="203"/>
      <c r="D16" s="203"/>
      <c r="E16" s="203"/>
      <c r="F16" s="203"/>
      <c r="G16" s="203"/>
      <c r="H16" s="203"/>
      <c r="I16" s="203"/>
      <c r="J16" s="203"/>
      <c r="K16" s="204"/>
      <c r="L16" s="204"/>
      <c r="M16" s="204"/>
      <c r="N16" s="204"/>
      <c r="O16" s="204"/>
      <c r="P16" s="204"/>
      <c r="Q16" s="204"/>
      <c r="R16" s="204"/>
      <c r="S16" s="204"/>
    </row>
    <row r="17" spans="2:19" ht="15" customHeight="1">
      <c r="B17" s="203"/>
      <c r="C17" s="203"/>
      <c r="D17" s="203"/>
      <c r="E17" s="203"/>
      <c r="F17" s="203"/>
      <c r="G17" s="203"/>
      <c r="H17" s="203"/>
      <c r="I17" s="203"/>
      <c r="J17" s="203"/>
      <c r="K17" s="204"/>
      <c r="L17" s="204"/>
      <c r="M17" s="204"/>
      <c r="N17" s="204"/>
      <c r="O17" s="204"/>
      <c r="P17" s="204"/>
      <c r="Q17" s="204"/>
      <c r="R17" s="204"/>
      <c r="S17" s="204"/>
    </row>
    <row r="18" spans="2:19" ht="15" customHeight="1">
      <c r="B18" s="203"/>
      <c r="C18" s="203"/>
      <c r="D18" s="203"/>
      <c r="E18" s="203"/>
      <c r="F18" s="203"/>
      <c r="G18" s="203"/>
      <c r="H18" s="203"/>
      <c r="I18" s="203"/>
      <c r="J18" s="203"/>
      <c r="K18" s="204"/>
      <c r="L18" s="204"/>
      <c r="M18" s="204"/>
      <c r="N18" s="204"/>
      <c r="O18" s="204"/>
      <c r="P18" s="204"/>
      <c r="Q18" s="204"/>
      <c r="R18" s="204"/>
      <c r="S18" s="204"/>
    </row>
    <row r="19" spans="2:19" ht="15" customHeight="1">
      <c r="B19" s="203"/>
      <c r="C19" s="203"/>
      <c r="D19" s="203"/>
      <c r="E19" s="203"/>
      <c r="F19" s="203"/>
      <c r="G19" s="203"/>
      <c r="H19" s="203"/>
      <c r="I19" s="203"/>
      <c r="J19" s="203"/>
      <c r="K19" s="204"/>
      <c r="L19" s="204"/>
      <c r="M19" s="204"/>
      <c r="N19" s="204"/>
      <c r="O19" s="204"/>
      <c r="P19" s="204"/>
      <c r="Q19" s="204"/>
      <c r="R19" s="204"/>
      <c r="S19" s="204"/>
    </row>
    <row r="20" spans="2:19" ht="15" customHeight="1">
      <c r="B20" s="203"/>
      <c r="C20" s="203"/>
      <c r="D20" s="203"/>
      <c r="E20" s="203"/>
      <c r="F20" s="203"/>
      <c r="G20" s="203"/>
      <c r="H20" s="203"/>
      <c r="I20" s="203"/>
      <c r="J20" s="203"/>
      <c r="K20" s="204"/>
      <c r="L20" s="204"/>
      <c r="M20" s="204"/>
      <c r="N20" s="204"/>
      <c r="O20" s="204"/>
      <c r="P20" s="204"/>
      <c r="Q20" s="204"/>
      <c r="R20" s="204"/>
      <c r="S20" s="204"/>
    </row>
    <row r="21" spans="2:19" ht="15" customHeight="1">
      <c r="B21" s="203"/>
      <c r="C21" s="203"/>
      <c r="D21" s="203"/>
      <c r="E21" s="203"/>
      <c r="F21" s="203"/>
      <c r="G21" s="203"/>
      <c r="H21" s="203"/>
      <c r="I21" s="203"/>
      <c r="J21" s="203"/>
      <c r="K21" s="204"/>
      <c r="L21" s="204"/>
      <c r="M21" s="204"/>
      <c r="N21" s="204"/>
      <c r="O21" s="204"/>
      <c r="P21" s="204"/>
      <c r="Q21" s="204"/>
      <c r="R21" s="204"/>
      <c r="S21" s="204"/>
    </row>
    <row r="22" spans="2:19" ht="15" customHeight="1">
      <c r="B22" s="203"/>
      <c r="C22" s="203"/>
      <c r="D22" s="203"/>
      <c r="E22" s="203"/>
      <c r="F22" s="203"/>
      <c r="G22" s="203"/>
      <c r="H22" s="203"/>
      <c r="I22" s="203"/>
      <c r="J22" s="203"/>
      <c r="K22" s="204"/>
      <c r="L22" s="204"/>
      <c r="M22" s="204"/>
      <c r="N22" s="204"/>
      <c r="O22" s="204"/>
      <c r="P22" s="204"/>
      <c r="Q22" s="204"/>
      <c r="R22" s="204"/>
      <c r="S22" s="204"/>
    </row>
    <row r="23" spans="2:19" ht="15" customHeight="1">
      <c r="B23" s="203"/>
      <c r="C23" s="203"/>
      <c r="D23" s="203"/>
      <c r="E23" s="203"/>
      <c r="F23" s="203"/>
      <c r="G23" s="203"/>
      <c r="H23" s="203"/>
      <c r="I23" s="203"/>
      <c r="J23" s="203"/>
      <c r="K23" s="204"/>
      <c r="L23" s="204"/>
      <c r="M23" s="204"/>
      <c r="N23" s="204"/>
      <c r="O23" s="204"/>
      <c r="P23" s="204"/>
      <c r="Q23" s="204"/>
      <c r="R23" s="204"/>
      <c r="S23" s="204"/>
    </row>
    <row r="24" spans="2:19" ht="15" customHeight="1">
      <c r="B24" s="203"/>
      <c r="C24" s="203"/>
      <c r="D24" s="203"/>
      <c r="E24" s="203"/>
      <c r="F24" s="203"/>
      <c r="G24" s="203"/>
      <c r="H24" s="203"/>
      <c r="I24" s="203"/>
      <c r="J24" s="203"/>
      <c r="K24" s="204"/>
      <c r="L24" s="204"/>
      <c r="M24" s="204"/>
      <c r="N24" s="204"/>
      <c r="O24" s="204"/>
      <c r="P24" s="204"/>
      <c r="Q24" s="204"/>
      <c r="R24" s="204"/>
      <c r="S24" s="204"/>
    </row>
    <row r="25" spans="2:19" ht="15" customHeight="1">
      <c r="B25" s="203"/>
      <c r="C25" s="203"/>
      <c r="D25" s="203"/>
      <c r="E25" s="203"/>
      <c r="F25" s="203"/>
      <c r="G25" s="203"/>
      <c r="H25" s="203"/>
      <c r="I25" s="203"/>
      <c r="J25" s="203"/>
      <c r="K25" s="204"/>
      <c r="L25" s="204"/>
      <c r="M25" s="204"/>
      <c r="N25" s="204"/>
      <c r="O25" s="204"/>
      <c r="P25" s="204"/>
      <c r="Q25" s="204"/>
      <c r="R25" s="204"/>
      <c r="S25" s="204"/>
    </row>
    <row r="26" spans="2:19" ht="15" customHeight="1">
      <c r="B26" s="203"/>
      <c r="C26" s="203"/>
      <c r="D26" s="203"/>
      <c r="E26" s="203"/>
      <c r="F26" s="203"/>
      <c r="G26" s="203"/>
      <c r="H26" s="203"/>
      <c r="I26" s="203"/>
      <c r="J26" s="203"/>
      <c r="K26" s="204"/>
      <c r="L26" s="204"/>
      <c r="M26" s="204"/>
      <c r="N26" s="204"/>
      <c r="O26" s="204"/>
      <c r="P26" s="204"/>
      <c r="Q26" s="204"/>
      <c r="R26" s="204"/>
      <c r="S26" s="204"/>
    </row>
    <row r="27" spans="2:19" ht="15" customHeight="1">
      <c r="B27" s="203"/>
      <c r="C27" s="203"/>
      <c r="D27" s="203"/>
      <c r="E27" s="203"/>
      <c r="F27" s="203"/>
      <c r="G27" s="203"/>
      <c r="H27" s="203"/>
      <c r="I27" s="203"/>
      <c r="J27" s="203"/>
      <c r="K27" s="204"/>
      <c r="L27" s="204"/>
      <c r="M27" s="204"/>
      <c r="N27" s="204"/>
      <c r="O27" s="204"/>
      <c r="P27" s="204"/>
      <c r="Q27" s="204"/>
      <c r="R27" s="204"/>
      <c r="S27" s="204"/>
    </row>
    <row r="28" spans="2:19" ht="15" customHeight="1">
      <c r="B28" s="203"/>
      <c r="C28" s="203"/>
      <c r="D28" s="203"/>
      <c r="E28" s="203"/>
      <c r="F28" s="203"/>
      <c r="G28" s="203"/>
      <c r="H28" s="203"/>
      <c r="I28" s="203"/>
      <c r="J28" s="203"/>
      <c r="K28" s="204"/>
      <c r="L28" s="204"/>
      <c r="M28" s="204"/>
      <c r="N28" s="204"/>
      <c r="O28" s="204"/>
      <c r="P28" s="204"/>
      <c r="Q28" s="204"/>
      <c r="R28" s="204"/>
      <c r="S28" s="204"/>
    </row>
    <row r="29" spans="2:19" ht="15" customHeight="1">
      <c r="B29" s="203"/>
      <c r="C29" s="203"/>
      <c r="D29" s="203"/>
      <c r="E29" s="203"/>
      <c r="F29" s="203"/>
      <c r="G29" s="203"/>
      <c r="H29" s="203"/>
      <c r="I29" s="203"/>
      <c r="J29" s="203"/>
      <c r="K29" s="204"/>
      <c r="L29" s="204"/>
      <c r="M29" s="204"/>
      <c r="N29" s="204"/>
      <c r="O29" s="204"/>
      <c r="P29" s="204"/>
      <c r="Q29" s="204"/>
      <c r="R29" s="204"/>
      <c r="S29" s="204"/>
    </row>
    <row r="30" spans="2:19" ht="15" customHeight="1">
      <c r="B30" s="203"/>
      <c r="C30" s="203"/>
      <c r="D30" s="203"/>
      <c r="E30" s="203"/>
      <c r="F30" s="203"/>
      <c r="G30" s="203"/>
      <c r="H30" s="203"/>
      <c r="I30" s="203"/>
      <c r="J30" s="203"/>
      <c r="K30" s="204"/>
      <c r="L30" s="204"/>
      <c r="M30" s="204"/>
      <c r="N30" s="204"/>
      <c r="O30" s="204"/>
      <c r="P30" s="204"/>
      <c r="Q30" s="204"/>
      <c r="R30" s="204"/>
      <c r="S30" s="204"/>
    </row>
    <row r="31" spans="2:19" ht="15" customHeight="1">
      <c r="B31" s="203"/>
      <c r="C31" s="203"/>
      <c r="D31" s="203"/>
      <c r="E31" s="203"/>
      <c r="F31" s="203"/>
      <c r="G31" s="203"/>
      <c r="H31" s="203"/>
      <c r="I31" s="203"/>
      <c r="J31" s="203"/>
      <c r="K31" s="204"/>
      <c r="L31" s="204"/>
      <c r="M31" s="204"/>
      <c r="N31" s="204"/>
      <c r="O31" s="204"/>
      <c r="P31" s="204"/>
      <c r="Q31" s="204"/>
      <c r="R31" s="204"/>
      <c r="S31" s="204"/>
    </row>
    <row r="32" spans="2:19" ht="15" customHeight="1">
      <c r="B32" s="203"/>
      <c r="C32" s="203"/>
      <c r="D32" s="203"/>
      <c r="E32" s="203"/>
      <c r="F32" s="203"/>
      <c r="G32" s="203"/>
      <c r="H32" s="203"/>
      <c r="I32" s="203"/>
      <c r="J32" s="203"/>
      <c r="K32" s="204"/>
      <c r="L32" s="204"/>
      <c r="M32" s="204"/>
      <c r="N32" s="204"/>
      <c r="O32" s="204"/>
      <c r="P32" s="204"/>
      <c r="Q32" s="204"/>
      <c r="R32" s="204"/>
      <c r="S32" s="204"/>
    </row>
    <row r="33" spans="2:19" ht="29.25" customHeight="1">
      <c r="B33" s="198" t="s">
        <v>89</v>
      </c>
      <c r="C33" s="198"/>
      <c r="D33" s="198"/>
      <c r="E33" s="198"/>
      <c r="F33" s="198"/>
      <c r="G33" s="198"/>
      <c r="H33" s="198"/>
      <c r="I33" s="198"/>
      <c r="J33" s="198"/>
      <c r="K33" s="198" t="s">
        <v>3948</v>
      </c>
      <c r="L33" s="198"/>
      <c r="M33" s="198"/>
      <c r="N33" s="198"/>
      <c r="O33" s="198"/>
      <c r="P33" s="200"/>
      <c r="Q33" s="200"/>
      <c r="R33" s="200"/>
      <c r="S33" s="200"/>
    </row>
    <row r="34" spans="2:19" ht="15" customHeight="1">
      <c r="B34" s="199" t="s">
        <v>3945</v>
      </c>
      <c r="C34" s="199"/>
      <c r="D34" s="199"/>
      <c r="E34" s="199"/>
      <c r="F34" s="199"/>
      <c r="G34" s="199"/>
      <c r="H34" s="199"/>
      <c r="I34" s="199"/>
      <c r="J34" s="199"/>
      <c r="K34" s="188" t="s">
        <v>3947</v>
      </c>
      <c r="L34" s="189"/>
      <c r="M34" s="189"/>
      <c r="N34" s="189"/>
      <c r="O34" s="189"/>
      <c r="P34" s="190" t="s">
        <v>3946</v>
      </c>
      <c r="Q34" s="190"/>
      <c r="R34" s="190"/>
      <c r="S34" s="190"/>
    </row>
    <row r="35" spans="2:19" ht="15" customHeight="1">
      <c r="B35" s="199"/>
      <c r="C35" s="199"/>
      <c r="D35" s="199"/>
      <c r="E35" s="199"/>
      <c r="F35" s="199"/>
      <c r="G35" s="199"/>
      <c r="H35" s="199"/>
      <c r="I35" s="199"/>
      <c r="J35" s="199"/>
      <c r="K35" s="189"/>
      <c r="L35" s="189"/>
      <c r="M35" s="189"/>
      <c r="N35" s="189"/>
      <c r="O35" s="189"/>
      <c r="P35" s="190"/>
      <c r="Q35" s="190"/>
      <c r="R35" s="190"/>
      <c r="S35" s="190"/>
    </row>
    <row r="36" spans="2:19" ht="15" customHeight="1">
      <c r="B36" s="199"/>
      <c r="C36" s="199"/>
      <c r="D36" s="199"/>
      <c r="E36" s="199"/>
      <c r="F36" s="199"/>
      <c r="G36" s="199"/>
      <c r="H36" s="199"/>
      <c r="I36" s="199"/>
      <c r="J36" s="199"/>
      <c r="K36" s="189"/>
      <c r="L36" s="189"/>
      <c r="M36" s="189"/>
      <c r="N36" s="189"/>
      <c r="O36" s="189"/>
      <c r="P36" s="190"/>
      <c r="Q36" s="190"/>
      <c r="R36" s="190"/>
      <c r="S36" s="190"/>
    </row>
    <row r="37" spans="2:19" ht="15" customHeight="1">
      <c r="B37" s="199"/>
      <c r="C37" s="199"/>
      <c r="D37" s="199"/>
      <c r="E37" s="199"/>
      <c r="F37" s="199"/>
      <c r="G37" s="199"/>
      <c r="H37" s="199"/>
      <c r="I37" s="199"/>
      <c r="J37" s="199"/>
      <c r="K37" s="189"/>
      <c r="L37" s="189"/>
      <c r="M37" s="189"/>
      <c r="N37" s="189"/>
      <c r="O37" s="189"/>
      <c r="P37" s="190"/>
      <c r="Q37" s="190"/>
      <c r="R37" s="190"/>
      <c r="S37" s="190"/>
    </row>
    <row r="38" spans="2:19" ht="15" customHeight="1">
      <c r="B38" s="199"/>
      <c r="C38" s="199"/>
      <c r="D38" s="199"/>
      <c r="E38" s="199"/>
      <c r="F38" s="199"/>
      <c r="G38" s="199"/>
      <c r="H38" s="199"/>
      <c r="I38" s="199"/>
      <c r="J38" s="199"/>
      <c r="K38" s="189"/>
      <c r="L38" s="189"/>
      <c r="M38" s="189"/>
      <c r="N38" s="189"/>
      <c r="O38" s="189"/>
      <c r="P38" s="190"/>
      <c r="Q38" s="190"/>
      <c r="R38" s="190"/>
      <c r="S38" s="190"/>
    </row>
    <row r="39" spans="2:19" ht="15" customHeight="1">
      <c r="B39" s="199"/>
      <c r="C39" s="199"/>
      <c r="D39" s="199"/>
      <c r="E39" s="199"/>
      <c r="F39" s="199"/>
      <c r="G39" s="199"/>
      <c r="H39" s="199"/>
      <c r="I39" s="199"/>
      <c r="J39" s="199"/>
      <c r="K39" s="189"/>
      <c r="L39" s="189"/>
      <c r="M39" s="189"/>
      <c r="N39" s="189"/>
      <c r="O39" s="189"/>
      <c r="P39" s="190"/>
      <c r="Q39" s="190"/>
      <c r="R39" s="190"/>
      <c r="S39" s="190"/>
    </row>
    <row r="40" spans="2:19" ht="15" customHeight="1">
      <c r="B40" s="199"/>
      <c r="C40" s="199"/>
      <c r="D40" s="199"/>
      <c r="E40" s="199"/>
      <c r="F40" s="199"/>
      <c r="G40" s="199"/>
      <c r="H40" s="199"/>
      <c r="I40" s="199"/>
      <c r="J40" s="199"/>
      <c r="K40" s="189"/>
      <c r="L40" s="189"/>
      <c r="M40" s="189"/>
      <c r="N40" s="189"/>
      <c r="O40" s="189"/>
      <c r="P40" s="190"/>
      <c r="Q40" s="190"/>
      <c r="R40" s="190"/>
      <c r="S40" s="190"/>
    </row>
    <row r="41" spans="2:19" ht="15" customHeight="1">
      <c r="B41" s="199"/>
      <c r="C41" s="199"/>
      <c r="D41" s="199"/>
      <c r="E41" s="199"/>
      <c r="F41" s="199"/>
      <c r="G41" s="199"/>
      <c r="H41" s="199"/>
      <c r="I41" s="199"/>
      <c r="J41" s="199"/>
      <c r="K41" s="189"/>
      <c r="L41" s="189"/>
      <c r="M41" s="189"/>
      <c r="N41" s="189"/>
      <c r="O41" s="189"/>
      <c r="P41" s="190"/>
      <c r="Q41" s="190"/>
      <c r="R41" s="190"/>
      <c r="S41" s="190"/>
    </row>
    <row r="42" spans="2:19" ht="15" customHeight="1">
      <c r="B42" s="199"/>
      <c r="C42" s="199"/>
      <c r="D42" s="199"/>
      <c r="E42" s="199"/>
      <c r="F42" s="199"/>
      <c r="G42" s="199"/>
      <c r="H42" s="199"/>
      <c r="I42" s="199"/>
      <c r="J42" s="199"/>
      <c r="K42" s="189"/>
      <c r="L42" s="189"/>
      <c r="M42" s="189"/>
      <c r="N42" s="189"/>
      <c r="O42" s="189"/>
      <c r="P42" s="190"/>
      <c r="Q42" s="190"/>
      <c r="R42" s="190"/>
      <c r="S42" s="190"/>
    </row>
    <row r="43" spans="2:19" ht="15" customHeight="1">
      <c r="B43" s="199"/>
      <c r="C43" s="199"/>
      <c r="D43" s="199"/>
      <c r="E43" s="199"/>
      <c r="F43" s="199"/>
      <c r="G43" s="199"/>
      <c r="H43" s="199"/>
      <c r="I43" s="199"/>
      <c r="J43" s="199"/>
      <c r="K43" s="189"/>
      <c r="L43" s="189"/>
      <c r="M43" s="189"/>
      <c r="N43" s="189"/>
      <c r="O43" s="189"/>
      <c r="P43" s="190"/>
      <c r="Q43" s="190"/>
      <c r="R43" s="190"/>
      <c r="S43" s="190"/>
    </row>
    <row r="44" spans="2:19" ht="15" customHeight="1">
      <c r="B44" s="199"/>
      <c r="C44" s="199"/>
      <c r="D44" s="199"/>
      <c r="E44" s="199"/>
      <c r="F44" s="199"/>
      <c r="G44" s="199"/>
      <c r="H44" s="199"/>
      <c r="I44" s="199"/>
      <c r="J44" s="199"/>
      <c r="K44" s="189"/>
      <c r="L44" s="189"/>
      <c r="M44" s="189"/>
      <c r="N44" s="189"/>
      <c r="O44" s="189"/>
      <c r="P44" s="190"/>
      <c r="Q44" s="190"/>
      <c r="R44" s="190"/>
      <c r="S44" s="190"/>
    </row>
    <row r="45" spans="2:19" ht="15" customHeight="1">
      <c r="B45" s="199"/>
      <c r="C45" s="199"/>
      <c r="D45" s="199"/>
      <c r="E45" s="199"/>
      <c r="F45" s="199"/>
      <c r="G45" s="199"/>
      <c r="H45" s="199"/>
      <c r="I45" s="199"/>
      <c r="J45" s="199"/>
      <c r="K45" s="189"/>
      <c r="L45" s="189"/>
      <c r="M45" s="189"/>
      <c r="N45" s="189"/>
      <c r="O45" s="189"/>
      <c r="P45" s="190"/>
      <c r="Q45" s="190"/>
      <c r="R45" s="190"/>
      <c r="S45" s="190"/>
    </row>
    <row r="46" spans="2:19" ht="15" customHeight="1">
      <c r="B46" s="199"/>
      <c r="C46" s="199"/>
      <c r="D46" s="199"/>
      <c r="E46" s="199"/>
      <c r="F46" s="199"/>
      <c r="G46" s="199"/>
      <c r="H46" s="199"/>
      <c r="I46" s="199"/>
      <c r="J46" s="199"/>
      <c r="K46" s="189"/>
      <c r="L46" s="189"/>
      <c r="M46" s="189"/>
      <c r="N46" s="189"/>
      <c r="O46" s="189"/>
      <c r="P46" s="190"/>
      <c r="Q46" s="190"/>
      <c r="R46" s="190"/>
      <c r="S46" s="190"/>
    </row>
    <row r="47" spans="2:19" ht="15" customHeight="1">
      <c r="B47" s="199"/>
      <c r="C47" s="199"/>
      <c r="D47" s="199"/>
      <c r="E47" s="199"/>
      <c r="F47" s="199"/>
      <c r="G47" s="199"/>
      <c r="H47" s="199"/>
      <c r="I47" s="199"/>
      <c r="J47" s="199"/>
      <c r="K47" s="189"/>
      <c r="L47" s="189"/>
      <c r="M47" s="189"/>
      <c r="N47" s="189"/>
      <c r="O47" s="189"/>
      <c r="P47" s="190"/>
      <c r="Q47" s="190"/>
      <c r="R47" s="190"/>
      <c r="S47" s="190"/>
    </row>
    <row r="48" spans="2:19" ht="15" customHeight="1">
      <c r="B48" s="199"/>
      <c r="C48" s="199"/>
      <c r="D48" s="199"/>
      <c r="E48" s="199"/>
      <c r="F48" s="199"/>
      <c r="G48" s="199"/>
      <c r="H48" s="199"/>
      <c r="I48" s="199"/>
      <c r="J48" s="199"/>
      <c r="K48" s="189"/>
      <c r="L48" s="189"/>
      <c r="M48" s="189"/>
      <c r="N48" s="189"/>
      <c r="O48" s="189"/>
      <c r="P48" s="190"/>
      <c r="Q48" s="190"/>
      <c r="R48" s="190"/>
      <c r="S48" s="190"/>
    </row>
    <row r="49" spans="2:19" ht="15" customHeight="1">
      <c r="B49" s="199"/>
      <c r="C49" s="199"/>
      <c r="D49" s="199"/>
      <c r="E49" s="199"/>
      <c r="F49" s="199"/>
      <c r="G49" s="199"/>
      <c r="H49" s="199"/>
      <c r="I49" s="199"/>
      <c r="J49" s="199"/>
      <c r="K49" s="189"/>
      <c r="L49" s="189"/>
      <c r="M49" s="189"/>
      <c r="N49" s="189"/>
      <c r="O49" s="189"/>
      <c r="P49" s="190"/>
      <c r="Q49" s="190"/>
      <c r="R49" s="190"/>
      <c r="S49" s="190"/>
    </row>
    <row r="50" spans="2:19" ht="15" customHeight="1">
      <c r="B50" s="199"/>
      <c r="C50" s="199"/>
      <c r="D50" s="199"/>
      <c r="E50" s="199"/>
      <c r="F50" s="199"/>
      <c r="G50" s="199"/>
      <c r="H50" s="199"/>
      <c r="I50" s="199"/>
      <c r="J50" s="199"/>
      <c r="K50" s="189"/>
      <c r="L50" s="189"/>
      <c r="M50" s="189"/>
      <c r="N50" s="189"/>
      <c r="O50" s="189"/>
      <c r="P50" s="190"/>
      <c r="Q50" s="190"/>
      <c r="R50" s="190"/>
      <c r="S50" s="190"/>
    </row>
    <row r="51" spans="2:19" ht="15" customHeight="1">
      <c r="B51" s="199"/>
      <c r="C51" s="199"/>
      <c r="D51" s="199"/>
      <c r="E51" s="199"/>
      <c r="F51" s="199"/>
      <c r="G51" s="199"/>
      <c r="H51" s="199"/>
      <c r="I51" s="199"/>
      <c r="J51" s="199"/>
      <c r="K51" s="189"/>
      <c r="L51" s="189"/>
      <c r="M51" s="189"/>
      <c r="N51" s="189"/>
      <c r="O51" s="189"/>
      <c r="P51" s="190"/>
      <c r="Q51" s="190"/>
      <c r="R51" s="190"/>
      <c r="S51" s="190"/>
    </row>
    <row r="52" spans="2:19" ht="15" customHeight="1">
      <c r="B52" s="199"/>
      <c r="C52" s="199"/>
      <c r="D52" s="199"/>
      <c r="E52" s="199"/>
      <c r="F52" s="199"/>
      <c r="G52" s="199"/>
      <c r="H52" s="199"/>
      <c r="I52" s="199"/>
      <c r="J52" s="199"/>
      <c r="K52" s="189"/>
      <c r="L52" s="189"/>
      <c r="M52" s="189"/>
      <c r="N52" s="189"/>
      <c r="O52" s="189"/>
      <c r="P52" s="190"/>
      <c r="Q52" s="190"/>
      <c r="R52" s="190"/>
      <c r="S52" s="190"/>
    </row>
    <row r="53" spans="2:19" ht="15" customHeight="1">
      <c r="B53" s="199"/>
      <c r="C53" s="199"/>
      <c r="D53" s="199"/>
      <c r="E53" s="199"/>
      <c r="F53" s="199"/>
      <c r="G53" s="199"/>
      <c r="H53" s="199"/>
      <c r="I53" s="199"/>
      <c r="J53" s="199"/>
      <c r="K53" s="189"/>
      <c r="L53" s="189"/>
      <c r="M53" s="189"/>
      <c r="N53" s="189"/>
      <c r="O53" s="189"/>
      <c r="P53" s="190"/>
      <c r="Q53" s="190"/>
      <c r="R53" s="190"/>
      <c r="S53" s="190"/>
    </row>
    <row r="54" spans="2:19" ht="26.25" customHeight="1">
      <c r="B54" s="199"/>
      <c r="C54" s="199"/>
      <c r="D54" s="199"/>
      <c r="E54" s="199"/>
      <c r="F54" s="199"/>
      <c r="G54" s="199"/>
      <c r="H54" s="199"/>
      <c r="I54" s="199"/>
      <c r="J54" s="199"/>
      <c r="K54" s="189"/>
      <c r="L54" s="189"/>
      <c r="M54" s="189"/>
      <c r="N54" s="189"/>
      <c r="O54" s="189"/>
      <c r="P54" s="190"/>
      <c r="Q54" s="190"/>
      <c r="R54" s="190"/>
      <c r="S54" s="190"/>
    </row>
    <row r="55" spans="2:19" ht="27" customHeight="1">
      <c r="B55" s="191" t="s">
        <v>3949</v>
      </c>
      <c r="C55" s="191"/>
      <c r="D55" s="191"/>
      <c r="E55" s="191"/>
      <c r="F55" s="191"/>
      <c r="G55" s="191"/>
      <c r="H55" s="191"/>
      <c r="I55" s="191"/>
      <c r="J55" s="191"/>
      <c r="K55" s="194" t="s">
        <v>3950</v>
      </c>
      <c r="L55" s="194"/>
      <c r="M55" s="194"/>
      <c r="N55" s="194"/>
      <c r="O55" s="194"/>
      <c r="P55" s="195"/>
      <c r="Q55" s="195"/>
      <c r="R55" s="195"/>
      <c r="S55" s="195"/>
    </row>
    <row r="56" spans="2:19" ht="15" customHeight="1">
      <c r="B56" s="192" t="s">
        <v>3953</v>
      </c>
      <c r="C56" s="192"/>
      <c r="D56" s="192"/>
      <c r="E56" s="192"/>
      <c r="F56" s="192"/>
      <c r="G56" s="192"/>
      <c r="H56" s="192"/>
      <c r="I56" s="192"/>
      <c r="J56" s="193"/>
      <c r="K56" s="196" t="s">
        <v>3952</v>
      </c>
      <c r="L56" s="196"/>
      <c r="M56" s="196"/>
      <c r="N56" s="196"/>
      <c r="O56" s="196"/>
      <c r="P56" s="197" t="s">
        <v>3951</v>
      </c>
      <c r="Q56" s="197"/>
      <c r="R56" s="197"/>
      <c r="S56" s="197"/>
    </row>
    <row r="57" spans="2:19" ht="15" customHeight="1">
      <c r="B57" s="192"/>
      <c r="C57" s="192"/>
      <c r="D57" s="192"/>
      <c r="E57" s="192"/>
      <c r="F57" s="192"/>
      <c r="G57" s="192"/>
      <c r="H57" s="192"/>
      <c r="I57" s="192"/>
      <c r="J57" s="193"/>
      <c r="K57" s="196"/>
      <c r="L57" s="196"/>
      <c r="M57" s="196"/>
      <c r="N57" s="196"/>
      <c r="O57" s="196"/>
      <c r="P57" s="197"/>
      <c r="Q57" s="197"/>
      <c r="R57" s="197"/>
      <c r="S57" s="197"/>
    </row>
    <row r="58" spans="2:19" ht="15" customHeight="1">
      <c r="B58" s="192"/>
      <c r="C58" s="192"/>
      <c r="D58" s="192"/>
      <c r="E58" s="192"/>
      <c r="F58" s="192"/>
      <c r="G58" s="192"/>
      <c r="H58" s="192"/>
      <c r="I58" s="192"/>
      <c r="J58" s="193"/>
      <c r="K58" s="196"/>
      <c r="L58" s="196"/>
      <c r="M58" s="196"/>
      <c r="N58" s="196"/>
      <c r="O58" s="196"/>
      <c r="P58" s="197"/>
      <c r="Q58" s="197"/>
      <c r="R58" s="197"/>
      <c r="S58" s="197"/>
    </row>
    <row r="59" spans="2:19" ht="15" customHeight="1">
      <c r="B59" s="192"/>
      <c r="C59" s="192"/>
      <c r="D59" s="192"/>
      <c r="E59" s="192"/>
      <c r="F59" s="192"/>
      <c r="G59" s="192"/>
      <c r="H59" s="192"/>
      <c r="I59" s="192"/>
      <c r="J59" s="193"/>
      <c r="K59" s="196"/>
      <c r="L59" s="196"/>
      <c r="M59" s="196"/>
      <c r="N59" s="196"/>
      <c r="O59" s="196"/>
      <c r="P59" s="197"/>
      <c r="Q59" s="197"/>
      <c r="R59" s="197"/>
      <c r="S59" s="197"/>
    </row>
    <row r="60" spans="2:19" ht="15" customHeight="1">
      <c r="B60" s="192"/>
      <c r="C60" s="192"/>
      <c r="D60" s="192"/>
      <c r="E60" s="192"/>
      <c r="F60" s="192"/>
      <c r="G60" s="192"/>
      <c r="H60" s="192"/>
      <c r="I60" s="192"/>
      <c r="J60" s="193"/>
      <c r="K60" s="196"/>
      <c r="L60" s="196"/>
      <c r="M60" s="196"/>
      <c r="N60" s="196"/>
      <c r="O60" s="196"/>
      <c r="P60" s="197"/>
      <c r="Q60" s="197"/>
      <c r="R60" s="197"/>
      <c r="S60" s="197"/>
    </row>
    <row r="61" spans="2:19" ht="15" customHeight="1">
      <c r="B61" s="192"/>
      <c r="C61" s="192"/>
      <c r="D61" s="192"/>
      <c r="E61" s="192"/>
      <c r="F61" s="192"/>
      <c r="G61" s="192"/>
      <c r="H61" s="192"/>
      <c r="I61" s="192"/>
      <c r="J61" s="193"/>
      <c r="K61" s="196"/>
      <c r="L61" s="196"/>
      <c r="M61" s="196"/>
      <c r="N61" s="196"/>
      <c r="O61" s="196"/>
      <c r="P61" s="197"/>
      <c r="Q61" s="197"/>
      <c r="R61" s="197"/>
      <c r="S61" s="197"/>
    </row>
    <row r="62" spans="2:19" ht="15" customHeight="1">
      <c r="B62" s="192"/>
      <c r="C62" s="192"/>
      <c r="D62" s="192"/>
      <c r="E62" s="192"/>
      <c r="F62" s="192"/>
      <c r="G62" s="192"/>
      <c r="H62" s="192"/>
      <c r="I62" s="192"/>
      <c r="J62" s="193"/>
      <c r="K62" s="196"/>
      <c r="L62" s="196"/>
      <c r="M62" s="196"/>
      <c r="N62" s="196"/>
      <c r="O62" s="196"/>
      <c r="P62" s="197"/>
      <c r="Q62" s="197"/>
      <c r="R62" s="197"/>
      <c r="S62" s="197"/>
    </row>
    <row r="63" spans="2:19" ht="15" customHeight="1">
      <c r="B63" s="192"/>
      <c r="C63" s="192"/>
      <c r="D63" s="192"/>
      <c r="E63" s="192"/>
      <c r="F63" s="192"/>
      <c r="G63" s="192"/>
      <c r="H63" s="192"/>
      <c r="I63" s="192"/>
      <c r="J63" s="193"/>
      <c r="K63" s="196"/>
      <c r="L63" s="196"/>
      <c r="M63" s="196"/>
      <c r="N63" s="196"/>
      <c r="O63" s="196"/>
      <c r="P63" s="197"/>
      <c r="Q63" s="197"/>
      <c r="R63" s="197"/>
      <c r="S63" s="197"/>
    </row>
    <row r="64" spans="2:19" ht="15" customHeight="1">
      <c r="B64" s="192"/>
      <c r="C64" s="192"/>
      <c r="D64" s="192"/>
      <c r="E64" s="192"/>
      <c r="F64" s="192"/>
      <c r="G64" s="192"/>
      <c r="H64" s="192"/>
      <c r="I64" s="192"/>
      <c r="J64" s="193"/>
      <c r="K64" s="196"/>
      <c r="L64" s="196"/>
      <c r="M64" s="196"/>
      <c r="N64" s="196"/>
      <c r="O64" s="196"/>
      <c r="P64" s="197"/>
      <c r="Q64" s="197"/>
      <c r="R64" s="197"/>
      <c r="S64" s="197"/>
    </row>
    <row r="65" spans="2:19" ht="15" customHeight="1">
      <c r="B65" s="192"/>
      <c r="C65" s="192"/>
      <c r="D65" s="192"/>
      <c r="E65" s="192"/>
      <c r="F65" s="192"/>
      <c r="G65" s="192"/>
      <c r="H65" s="192"/>
      <c r="I65" s="192"/>
      <c r="J65" s="193"/>
      <c r="K65" s="196"/>
      <c r="L65" s="196"/>
      <c r="M65" s="196"/>
      <c r="N65" s="196"/>
      <c r="O65" s="196"/>
      <c r="P65" s="197"/>
      <c r="Q65" s="197"/>
      <c r="R65" s="197"/>
      <c r="S65" s="197"/>
    </row>
    <row r="66" spans="2:19" ht="15" customHeight="1">
      <c r="B66" s="192"/>
      <c r="C66" s="192"/>
      <c r="D66" s="192"/>
      <c r="E66" s="192"/>
      <c r="F66" s="192"/>
      <c r="G66" s="192"/>
      <c r="H66" s="192"/>
      <c r="I66" s="192"/>
      <c r="J66" s="193"/>
      <c r="K66" s="196"/>
      <c r="L66" s="196"/>
      <c r="M66" s="196"/>
      <c r="N66" s="196"/>
      <c r="O66" s="196"/>
      <c r="P66" s="197"/>
      <c r="Q66" s="197"/>
      <c r="R66" s="197"/>
      <c r="S66" s="197"/>
    </row>
    <row r="67" spans="2:19" ht="15" customHeight="1">
      <c r="B67" s="192"/>
      <c r="C67" s="192"/>
      <c r="D67" s="192"/>
      <c r="E67" s="192"/>
      <c r="F67" s="192"/>
      <c r="G67" s="192"/>
      <c r="H67" s="192"/>
      <c r="I67" s="192"/>
      <c r="J67" s="193"/>
      <c r="K67" s="196"/>
      <c r="L67" s="196"/>
      <c r="M67" s="196"/>
      <c r="N67" s="196"/>
      <c r="O67" s="196"/>
      <c r="P67" s="197"/>
      <c r="Q67" s="197"/>
      <c r="R67" s="197"/>
      <c r="S67" s="197"/>
    </row>
    <row r="68" spans="2:19" ht="15" customHeight="1">
      <c r="B68" s="192"/>
      <c r="C68" s="192"/>
      <c r="D68" s="192"/>
      <c r="E68" s="192"/>
      <c r="F68" s="192"/>
      <c r="G68" s="192"/>
      <c r="H68" s="192"/>
      <c r="I68" s="192"/>
      <c r="J68" s="193"/>
      <c r="K68" s="196"/>
      <c r="L68" s="196"/>
      <c r="M68" s="196"/>
      <c r="N68" s="196"/>
      <c r="O68" s="196"/>
      <c r="P68" s="197"/>
      <c r="Q68" s="197"/>
      <c r="R68" s="197"/>
      <c r="S68" s="197"/>
    </row>
    <row r="69" spans="2:19" ht="15" customHeight="1">
      <c r="B69" s="192"/>
      <c r="C69" s="192"/>
      <c r="D69" s="192"/>
      <c r="E69" s="192"/>
      <c r="F69" s="192"/>
      <c r="G69" s="192"/>
      <c r="H69" s="192"/>
      <c r="I69" s="192"/>
      <c r="J69" s="193"/>
      <c r="K69" s="196"/>
      <c r="L69" s="196"/>
      <c r="M69" s="196"/>
      <c r="N69" s="196"/>
      <c r="O69" s="196"/>
      <c r="P69" s="197"/>
      <c r="Q69" s="197"/>
      <c r="R69" s="197"/>
      <c r="S69" s="197"/>
    </row>
    <row r="70" spans="2:19" ht="15" customHeight="1">
      <c r="B70" s="192"/>
      <c r="C70" s="192"/>
      <c r="D70" s="192"/>
      <c r="E70" s="192"/>
      <c r="F70" s="192"/>
      <c r="G70" s="192"/>
      <c r="H70" s="192"/>
      <c r="I70" s="192"/>
      <c r="J70" s="193"/>
      <c r="K70" s="196"/>
      <c r="L70" s="196"/>
      <c r="M70" s="196"/>
      <c r="N70" s="196"/>
      <c r="O70" s="196"/>
      <c r="P70" s="197"/>
      <c r="Q70" s="197"/>
      <c r="R70" s="197"/>
      <c r="S70" s="197"/>
    </row>
    <row r="71" spans="2:19" ht="15" customHeight="1">
      <c r="B71" s="192"/>
      <c r="C71" s="192"/>
      <c r="D71" s="192"/>
      <c r="E71" s="192"/>
      <c r="F71" s="192"/>
      <c r="G71" s="192"/>
      <c r="H71" s="192"/>
      <c r="I71" s="192"/>
      <c r="J71" s="193"/>
      <c r="K71" s="196"/>
      <c r="L71" s="196"/>
      <c r="M71" s="196"/>
      <c r="N71" s="196"/>
      <c r="O71" s="196"/>
      <c r="P71" s="197"/>
      <c r="Q71" s="197"/>
      <c r="R71" s="197"/>
      <c r="S71" s="197"/>
    </row>
    <row r="72" spans="2:19" ht="15" customHeight="1">
      <c r="B72" s="192"/>
      <c r="C72" s="192"/>
      <c r="D72" s="192"/>
      <c r="E72" s="192"/>
      <c r="F72" s="192"/>
      <c r="G72" s="192"/>
      <c r="H72" s="192"/>
      <c r="I72" s="192"/>
      <c r="J72" s="193"/>
      <c r="K72" s="196"/>
      <c r="L72" s="196"/>
      <c r="M72" s="196"/>
      <c r="N72" s="196"/>
      <c r="O72" s="196"/>
      <c r="P72" s="197"/>
      <c r="Q72" s="197"/>
      <c r="R72" s="197"/>
      <c r="S72" s="197"/>
    </row>
    <row r="73" spans="2:19" ht="15" customHeight="1">
      <c r="B73" s="192"/>
      <c r="C73" s="192"/>
      <c r="D73" s="192"/>
      <c r="E73" s="192"/>
      <c r="F73" s="192"/>
      <c r="G73" s="192"/>
      <c r="H73" s="192"/>
      <c r="I73" s="192"/>
      <c r="J73" s="193"/>
      <c r="K73" s="196"/>
      <c r="L73" s="196"/>
      <c r="M73" s="196"/>
      <c r="N73" s="196"/>
      <c r="O73" s="196"/>
      <c r="P73" s="197"/>
      <c r="Q73" s="197"/>
      <c r="R73" s="197"/>
      <c r="S73" s="197"/>
    </row>
    <row r="74" spans="2:19" ht="15" customHeight="1">
      <c r="B74" s="192"/>
      <c r="C74" s="192"/>
      <c r="D74" s="192"/>
      <c r="E74" s="192"/>
      <c r="F74" s="192"/>
      <c r="G74" s="192"/>
      <c r="H74" s="192"/>
      <c r="I74" s="192"/>
      <c r="J74" s="193"/>
      <c r="K74" s="196"/>
      <c r="L74" s="196"/>
      <c r="M74" s="196"/>
      <c r="N74" s="196"/>
      <c r="O74" s="196"/>
      <c r="P74" s="197"/>
      <c r="Q74" s="197"/>
      <c r="R74" s="197"/>
      <c r="S74" s="197"/>
    </row>
    <row r="75" spans="2:19" ht="15" customHeight="1">
      <c r="B75" s="192"/>
      <c r="C75" s="192"/>
      <c r="D75" s="192"/>
      <c r="E75" s="192"/>
      <c r="F75" s="192"/>
      <c r="G75" s="192"/>
      <c r="H75" s="192"/>
      <c r="I75" s="192"/>
      <c r="J75" s="193"/>
      <c r="K75" s="196"/>
      <c r="L75" s="196"/>
      <c r="M75" s="196"/>
      <c r="N75" s="196"/>
      <c r="O75" s="196"/>
      <c r="P75" s="197"/>
      <c r="Q75" s="197"/>
      <c r="R75" s="197"/>
      <c r="S75" s="197"/>
    </row>
    <row r="76" spans="2:19" ht="15" customHeight="1">
      <c r="B76" s="192"/>
      <c r="C76" s="192"/>
      <c r="D76" s="192"/>
      <c r="E76" s="192"/>
      <c r="F76" s="192"/>
      <c r="G76" s="192"/>
      <c r="H76" s="192"/>
      <c r="I76" s="192"/>
      <c r="J76" s="193"/>
      <c r="K76" s="196"/>
      <c r="L76" s="196"/>
      <c r="M76" s="196"/>
      <c r="N76" s="196"/>
      <c r="O76" s="196"/>
      <c r="P76" s="197"/>
      <c r="Q76" s="197"/>
      <c r="R76" s="197"/>
      <c r="S76" s="197"/>
    </row>
    <row r="77" spans="2:19" ht="27.75" customHeight="1">
      <c r="B77" s="205" t="s">
        <v>3954</v>
      </c>
      <c r="C77" s="205"/>
      <c r="D77" s="205"/>
      <c r="E77" s="205"/>
      <c r="F77" s="205"/>
      <c r="G77" s="205"/>
      <c r="H77" s="205"/>
      <c r="I77" s="205"/>
      <c r="J77" s="205"/>
      <c r="K77" s="206" t="s">
        <v>3956</v>
      </c>
      <c r="L77" s="206"/>
      <c r="M77" s="206"/>
      <c r="N77" s="206"/>
      <c r="O77" s="206"/>
      <c r="P77" s="206"/>
      <c r="Q77" s="206"/>
      <c r="R77" s="206"/>
      <c r="S77" s="206"/>
    </row>
    <row r="78" spans="2:19" ht="15" customHeight="1">
      <c r="B78" s="207" t="s">
        <v>3955</v>
      </c>
      <c r="C78" s="207"/>
      <c r="D78" s="207"/>
      <c r="E78" s="207"/>
      <c r="F78" s="207"/>
      <c r="G78" s="207"/>
      <c r="H78" s="207"/>
      <c r="I78" s="207"/>
      <c r="J78" s="207"/>
      <c r="K78" s="208" t="s">
        <v>3957</v>
      </c>
      <c r="L78" s="209"/>
      <c r="M78" s="209"/>
      <c r="N78" s="209"/>
      <c r="O78" s="209"/>
      <c r="P78" s="209"/>
      <c r="Q78" s="209"/>
      <c r="R78" s="209"/>
      <c r="S78" s="209"/>
    </row>
    <row r="79" spans="2:19" ht="15" customHeight="1">
      <c r="B79" s="207"/>
      <c r="C79" s="207"/>
      <c r="D79" s="207"/>
      <c r="E79" s="207"/>
      <c r="F79" s="207"/>
      <c r="G79" s="207"/>
      <c r="H79" s="207"/>
      <c r="I79" s="207"/>
      <c r="J79" s="207"/>
      <c r="K79" s="209"/>
      <c r="L79" s="209"/>
      <c r="M79" s="209"/>
      <c r="N79" s="209"/>
      <c r="O79" s="209"/>
      <c r="P79" s="209"/>
      <c r="Q79" s="209"/>
      <c r="R79" s="209"/>
      <c r="S79" s="209"/>
    </row>
    <row r="80" spans="2:19" ht="15" customHeight="1">
      <c r="B80" s="207"/>
      <c r="C80" s="207"/>
      <c r="D80" s="207"/>
      <c r="E80" s="207"/>
      <c r="F80" s="207"/>
      <c r="G80" s="207"/>
      <c r="H80" s="207"/>
      <c r="I80" s="207"/>
      <c r="J80" s="207"/>
      <c r="K80" s="209"/>
      <c r="L80" s="209"/>
      <c r="M80" s="209"/>
      <c r="N80" s="209"/>
      <c r="O80" s="209"/>
      <c r="P80" s="209"/>
      <c r="Q80" s="209"/>
      <c r="R80" s="209"/>
      <c r="S80" s="209"/>
    </row>
    <row r="81" spans="2:19" ht="15" customHeight="1">
      <c r="B81" s="207"/>
      <c r="C81" s="207"/>
      <c r="D81" s="207"/>
      <c r="E81" s="207"/>
      <c r="F81" s="207"/>
      <c r="G81" s="207"/>
      <c r="H81" s="207"/>
      <c r="I81" s="207"/>
      <c r="J81" s="207"/>
      <c r="K81" s="209"/>
      <c r="L81" s="209"/>
      <c r="M81" s="209"/>
      <c r="N81" s="209"/>
      <c r="O81" s="209"/>
      <c r="P81" s="209"/>
      <c r="Q81" s="209"/>
      <c r="R81" s="209"/>
      <c r="S81" s="209"/>
    </row>
    <row r="82" spans="2:19" ht="15" customHeight="1">
      <c r="B82" s="207"/>
      <c r="C82" s="207"/>
      <c r="D82" s="207"/>
      <c r="E82" s="207"/>
      <c r="F82" s="207"/>
      <c r="G82" s="207"/>
      <c r="H82" s="207"/>
      <c r="I82" s="207"/>
      <c r="J82" s="207"/>
      <c r="K82" s="209"/>
      <c r="L82" s="209"/>
      <c r="M82" s="209"/>
      <c r="N82" s="209"/>
      <c r="O82" s="209"/>
      <c r="P82" s="209"/>
      <c r="Q82" s="209"/>
      <c r="R82" s="209"/>
      <c r="S82" s="209"/>
    </row>
    <row r="83" spans="2:19" ht="15" customHeight="1">
      <c r="B83" s="207"/>
      <c r="C83" s="207"/>
      <c r="D83" s="207"/>
      <c r="E83" s="207"/>
      <c r="F83" s="207"/>
      <c r="G83" s="207"/>
      <c r="H83" s="207"/>
      <c r="I83" s="207"/>
      <c r="J83" s="207"/>
      <c r="K83" s="209"/>
      <c r="L83" s="209"/>
      <c r="M83" s="209"/>
      <c r="N83" s="209"/>
      <c r="O83" s="209"/>
      <c r="P83" s="209"/>
      <c r="Q83" s="209"/>
      <c r="R83" s="209"/>
      <c r="S83" s="209"/>
    </row>
    <row r="84" spans="2:19" ht="15" customHeight="1">
      <c r="B84" s="207"/>
      <c r="C84" s="207"/>
      <c r="D84" s="207"/>
      <c r="E84" s="207"/>
      <c r="F84" s="207"/>
      <c r="G84" s="207"/>
      <c r="H84" s="207"/>
      <c r="I84" s="207"/>
      <c r="J84" s="207"/>
      <c r="K84" s="209"/>
      <c r="L84" s="209"/>
      <c r="M84" s="209"/>
      <c r="N84" s="209"/>
      <c r="O84" s="209"/>
      <c r="P84" s="209"/>
      <c r="Q84" s="209"/>
      <c r="R84" s="209"/>
      <c r="S84" s="209"/>
    </row>
    <row r="85" spans="2:19" ht="15" customHeight="1">
      <c r="B85" s="207"/>
      <c r="C85" s="207"/>
      <c r="D85" s="207"/>
      <c r="E85" s="207"/>
      <c r="F85" s="207"/>
      <c r="G85" s="207"/>
      <c r="H85" s="207"/>
      <c r="I85" s="207"/>
      <c r="J85" s="207"/>
      <c r="K85" s="209"/>
      <c r="L85" s="209"/>
      <c r="M85" s="209"/>
      <c r="N85" s="209"/>
      <c r="O85" s="209"/>
      <c r="P85" s="209"/>
      <c r="Q85" s="209"/>
      <c r="R85" s="209"/>
      <c r="S85" s="209"/>
    </row>
    <row r="86" spans="2:19" ht="15" customHeight="1">
      <c r="B86" s="207"/>
      <c r="C86" s="207"/>
      <c r="D86" s="207"/>
      <c r="E86" s="207"/>
      <c r="F86" s="207"/>
      <c r="G86" s="207"/>
      <c r="H86" s="207"/>
      <c r="I86" s="207"/>
      <c r="J86" s="207"/>
      <c r="K86" s="209"/>
      <c r="L86" s="209"/>
      <c r="M86" s="209"/>
      <c r="N86" s="209"/>
      <c r="O86" s="209"/>
      <c r="P86" s="209"/>
      <c r="Q86" s="209"/>
      <c r="R86" s="209"/>
      <c r="S86" s="209"/>
    </row>
    <row r="87" spans="2:19" ht="15" customHeight="1">
      <c r="B87" s="207"/>
      <c r="C87" s="207"/>
      <c r="D87" s="207"/>
      <c r="E87" s="207"/>
      <c r="F87" s="207"/>
      <c r="G87" s="207"/>
      <c r="H87" s="207"/>
      <c r="I87" s="207"/>
      <c r="J87" s="207"/>
      <c r="K87" s="209"/>
      <c r="L87" s="209"/>
      <c r="M87" s="209"/>
      <c r="N87" s="209"/>
      <c r="O87" s="209"/>
      <c r="P87" s="209"/>
      <c r="Q87" s="209"/>
      <c r="R87" s="209"/>
      <c r="S87" s="209"/>
    </row>
    <row r="88" spans="2:19" ht="15" customHeight="1">
      <c r="B88" s="207"/>
      <c r="C88" s="207"/>
      <c r="D88" s="207"/>
      <c r="E88" s="207"/>
      <c r="F88" s="207"/>
      <c r="G88" s="207"/>
      <c r="H88" s="207"/>
      <c r="I88" s="207"/>
      <c r="J88" s="207"/>
      <c r="K88" s="209"/>
      <c r="L88" s="209"/>
      <c r="M88" s="209"/>
      <c r="N88" s="209"/>
      <c r="O88" s="209"/>
      <c r="P88" s="209"/>
      <c r="Q88" s="209"/>
      <c r="R88" s="209"/>
      <c r="S88" s="209"/>
    </row>
    <row r="89" spans="2:19" ht="15" customHeight="1">
      <c r="B89" s="207"/>
      <c r="C89" s="207"/>
      <c r="D89" s="207"/>
      <c r="E89" s="207"/>
      <c r="F89" s="207"/>
      <c r="G89" s="207"/>
      <c r="H89" s="207"/>
      <c r="I89" s="207"/>
      <c r="J89" s="207"/>
      <c r="K89" s="209"/>
      <c r="L89" s="209"/>
      <c r="M89" s="209"/>
      <c r="N89" s="209"/>
      <c r="O89" s="209"/>
      <c r="P89" s="209"/>
      <c r="Q89" s="209"/>
      <c r="R89" s="209"/>
      <c r="S89" s="209"/>
    </row>
    <row r="90" spans="2:19" ht="15" customHeight="1">
      <c r="B90" s="207"/>
      <c r="C90" s="207"/>
      <c r="D90" s="207"/>
      <c r="E90" s="207"/>
      <c r="F90" s="207"/>
      <c r="G90" s="207"/>
      <c r="H90" s="207"/>
      <c r="I90" s="207"/>
      <c r="J90" s="207"/>
      <c r="K90" s="209"/>
      <c r="L90" s="209"/>
      <c r="M90" s="209"/>
      <c r="N90" s="209"/>
      <c r="O90" s="209"/>
      <c r="P90" s="209"/>
      <c r="Q90" s="209"/>
      <c r="R90" s="209"/>
      <c r="S90" s="209"/>
    </row>
    <row r="91" spans="2:19" ht="15" customHeight="1">
      <c r="B91" s="207"/>
      <c r="C91" s="207"/>
      <c r="D91" s="207"/>
      <c r="E91" s="207"/>
      <c r="F91" s="207"/>
      <c r="G91" s="207"/>
      <c r="H91" s="207"/>
      <c r="I91" s="207"/>
      <c r="J91" s="207"/>
      <c r="K91" s="209"/>
      <c r="L91" s="209"/>
      <c r="M91" s="209"/>
      <c r="N91" s="209"/>
      <c r="O91" s="209"/>
      <c r="P91" s="209"/>
      <c r="Q91" s="209"/>
      <c r="R91" s="209"/>
      <c r="S91" s="209"/>
    </row>
    <row r="92" spans="2:19" ht="15" customHeight="1">
      <c r="B92" s="207"/>
      <c r="C92" s="207"/>
      <c r="D92" s="207"/>
      <c r="E92" s="207"/>
      <c r="F92" s="207"/>
      <c r="G92" s="207"/>
      <c r="H92" s="207"/>
      <c r="I92" s="207"/>
      <c r="J92" s="207"/>
      <c r="K92" s="209"/>
      <c r="L92" s="209"/>
      <c r="M92" s="209"/>
      <c r="N92" s="209"/>
      <c r="O92" s="209"/>
      <c r="P92" s="209"/>
      <c r="Q92" s="209"/>
      <c r="R92" s="209"/>
      <c r="S92" s="209"/>
    </row>
    <row r="93" spans="2:19" ht="15" customHeight="1">
      <c r="B93" s="207"/>
      <c r="C93" s="207"/>
      <c r="D93" s="207"/>
      <c r="E93" s="207"/>
      <c r="F93" s="207"/>
      <c r="G93" s="207"/>
      <c r="H93" s="207"/>
      <c r="I93" s="207"/>
      <c r="J93" s="207"/>
      <c r="K93" s="209"/>
      <c r="L93" s="209"/>
      <c r="M93" s="209"/>
      <c r="N93" s="209"/>
      <c r="O93" s="209"/>
      <c r="P93" s="209"/>
      <c r="Q93" s="209"/>
      <c r="R93" s="209"/>
      <c r="S93" s="209"/>
    </row>
    <row r="94" spans="2:19" ht="15" customHeight="1">
      <c r="B94" s="207"/>
      <c r="C94" s="207"/>
      <c r="D94" s="207"/>
      <c r="E94" s="207"/>
      <c r="F94" s="207"/>
      <c r="G94" s="207"/>
      <c r="H94" s="207"/>
      <c r="I94" s="207"/>
      <c r="J94" s="207"/>
      <c r="K94" s="209"/>
      <c r="L94" s="209"/>
      <c r="M94" s="209"/>
      <c r="N94" s="209"/>
      <c r="O94" s="209"/>
      <c r="P94" s="209"/>
      <c r="Q94" s="209"/>
      <c r="R94" s="209"/>
      <c r="S94" s="209"/>
    </row>
    <row r="95" spans="2:19" ht="15" customHeight="1">
      <c r="B95" s="207"/>
      <c r="C95" s="207"/>
      <c r="D95" s="207"/>
      <c r="E95" s="207"/>
      <c r="F95" s="207"/>
      <c r="G95" s="207"/>
      <c r="H95" s="207"/>
      <c r="I95" s="207"/>
      <c r="J95" s="207"/>
      <c r="K95" s="209"/>
      <c r="L95" s="209"/>
      <c r="M95" s="209"/>
      <c r="N95" s="209"/>
      <c r="O95" s="209"/>
      <c r="P95" s="209"/>
      <c r="Q95" s="209"/>
      <c r="R95" s="209"/>
      <c r="S95" s="209"/>
    </row>
    <row r="96" spans="2:19" ht="15" customHeight="1">
      <c r="B96" s="207"/>
      <c r="C96" s="207"/>
      <c r="D96" s="207"/>
      <c r="E96" s="207"/>
      <c r="F96" s="207"/>
      <c r="G96" s="207"/>
      <c r="H96" s="207"/>
      <c r="I96" s="207"/>
      <c r="J96" s="207"/>
      <c r="K96" s="209"/>
      <c r="L96" s="209"/>
      <c r="M96" s="209"/>
      <c r="N96" s="209"/>
      <c r="O96" s="209"/>
      <c r="P96" s="209"/>
      <c r="Q96" s="209"/>
      <c r="R96" s="209"/>
      <c r="S96" s="209"/>
    </row>
    <row r="97" spans="2:19" ht="15" customHeight="1">
      <c r="B97" s="207"/>
      <c r="C97" s="207"/>
      <c r="D97" s="207"/>
      <c r="E97" s="207"/>
      <c r="F97" s="207"/>
      <c r="G97" s="207"/>
      <c r="H97" s="207"/>
      <c r="I97" s="207"/>
      <c r="J97" s="207"/>
      <c r="K97" s="209"/>
      <c r="L97" s="209"/>
      <c r="M97" s="209"/>
      <c r="N97" s="209"/>
      <c r="O97" s="209"/>
      <c r="P97" s="209"/>
      <c r="Q97" s="209"/>
      <c r="R97" s="209"/>
      <c r="S97" s="209"/>
    </row>
    <row r="98" spans="2:19" ht="15" customHeight="1">
      <c r="B98" s="207"/>
      <c r="C98" s="207"/>
      <c r="D98" s="207"/>
      <c r="E98" s="207"/>
      <c r="F98" s="207"/>
      <c r="G98" s="207"/>
      <c r="H98" s="207"/>
      <c r="I98" s="207"/>
      <c r="J98" s="207"/>
      <c r="K98" s="209"/>
      <c r="L98" s="209"/>
      <c r="M98" s="209"/>
      <c r="N98" s="209"/>
      <c r="O98" s="209"/>
      <c r="P98" s="209"/>
      <c r="Q98" s="209"/>
      <c r="R98" s="209"/>
      <c r="S98" s="209"/>
    </row>
    <row r="99" spans="2:19" ht="24.75" customHeight="1">
      <c r="B99" s="210" t="s">
        <v>90</v>
      </c>
      <c r="C99" s="210"/>
      <c r="D99" s="210"/>
      <c r="E99" s="210"/>
      <c r="F99" s="210"/>
      <c r="G99" s="211"/>
      <c r="H99" s="211"/>
      <c r="I99" s="211"/>
      <c r="J99" s="211"/>
      <c r="K99" s="212" t="s">
        <v>3960</v>
      </c>
      <c r="L99" s="212"/>
      <c r="M99" s="212"/>
      <c r="N99" s="212"/>
      <c r="O99" s="212"/>
      <c r="P99" s="212"/>
      <c r="Q99" s="212"/>
      <c r="R99" s="212"/>
      <c r="S99" s="212"/>
    </row>
    <row r="100" spans="2:19" ht="15" customHeight="1">
      <c r="B100" s="215" t="s">
        <v>3958</v>
      </c>
      <c r="C100" s="215"/>
      <c r="D100" s="215"/>
      <c r="E100" s="215"/>
      <c r="F100" s="216"/>
      <c r="G100" s="217" t="s">
        <v>3959</v>
      </c>
      <c r="H100" s="217"/>
      <c r="I100" s="217"/>
      <c r="J100" s="217"/>
      <c r="K100" s="213" t="s">
        <v>3961</v>
      </c>
      <c r="L100" s="214"/>
      <c r="M100" s="214"/>
      <c r="N100" s="214"/>
      <c r="O100" s="214"/>
      <c r="P100" s="214"/>
      <c r="Q100" s="214"/>
      <c r="R100" s="214"/>
      <c r="S100" s="214"/>
    </row>
    <row r="101" spans="2:19" ht="15" customHeight="1">
      <c r="B101" s="215"/>
      <c r="C101" s="215"/>
      <c r="D101" s="215"/>
      <c r="E101" s="215"/>
      <c r="F101" s="216"/>
      <c r="G101" s="217"/>
      <c r="H101" s="217"/>
      <c r="I101" s="217"/>
      <c r="J101" s="217"/>
      <c r="K101" s="214"/>
      <c r="L101" s="214"/>
      <c r="M101" s="214"/>
      <c r="N101" s="214"/>
      <c r="O101" s="214"/>
      <c r="P101" s="214"/>
      <c r="Q101" s="214"/>
      <c r="R101" s="214"/>
      <c r="S101" s="214"/>
    </row>
    <row r="102" spans="2:19" ht="15" customHeight="1">
      <c r="B102" s="215"/>
      <c r="C102" s="215"/>
      <c r="D102" s="215"/>
      <c r="E102" s="215"/>
      <c r="F102" s="216"/>
      <c r="G102" s="217"/>
      <c r="H102" s="217"/>
      <c r="I102" s="217"/>
      <c r="J102" s="217"/>
      <c r="K102" s="214"/>
      <c r="L102" s="214"/>
      <c r="M102" s="214"/>
      <c r="N102" s="214"/>
      <c r="O102" s="214"/>
      <c r="P102" s="214"/>
      <c r="Q102" s="214"/>
      <c r="R102" s="214"/>
      <c r="S102" s="214"/>
    </row>
    <row r="103" spans="2:19" ht="15" customHeight="1">
      <c r="B103" s="215"/>
      <c r="C103" s="215"/>
      <c r="D103" s="215"/>
      <c r="E103" s="215"/>
      <c r="F103" s="216"/>
      <c r="G103" s="217"/>
      <c r="H103" s="217"/>
      <c r="I103" s="217"/>
      <c r="J103" s="217"/>
      <c r="K103" s="214"/>
      <c r="L103" s="214"/>
      <c r="M103" s="214"/>
      <c r="N103" s="214"/>
      <c r="O103" s="214"/>
      <c r="P103" s="214"/>
      <c r="Q103" s="214"/>
      <c r="R103" s="214"/>
      <c r="S103" s="214"/>
    </row>
    <row r="104" spans="2:19" ht="15" customHeight="1">
      <c r="B104" s="215"/>
      <c r="C104" s="215"/>
      <c r="D104" s="215"/>
      <c r="E104" s="215"/>
      <c r="F104" s="216"/>
      <c r="G104" s="217"/>
      <c r="H104" s="217"/>
      <c r="I104" s="217"/>
      <c r="J104" s="217"/>
      <c r="K104" s="214"/>
      <c r="L104" s="214"/>
      <c r="M104" s="214"/>
      <c r="N104" s="214"/>
      <c r="O104" s="214"/>
      <c r="P104" s="214"/>
      <c r="Q104" s="214"/>
      <c r="R104" s="214"/>
      <c r="S104" s="214"/>
    </row>
    <row r="105" spans="2:19" ht="15" customHeight="1">
      <c r="B105" s="215"/>
      <c r="C105" s="215"/>
      <c r="D105" s="215"/>
      <c r="E105" s="215"/>
      <c r="F105" s="216"/>
      <c r="G105" s="217"/>
      <c r="H105" s="217"/>
      <c r="I105" s="217"/>
      <c r="J105" s="217"/>
      <c r="K105" s="214"/>
      <c r="L105" s="214"/>
      <c r="M105" s="214"/>
      <c r="N105" s="214"/>
      <c r="O105" s="214"/>
      <c r="P105" s="214"/>
      <c r="Q105" s="214"/>
      <c r="R105" s="214"/>
      <c r="S105" s="214"/>
    </row>
    <row r="106" spans="2:19" ht="15" customHeight="1">
      <c r="B106" s="215"/>
      <c r="C106" s="215"/>
      <c r="D106" s="215"/>
      <c r="E106" s="215"/>
      <c r="F106" s="216"/>
      <c r="G106" s="217"/>
      <c r="H106" s="217"/>
      <c r="I106" s="217"/>
      <c r="J106" s="217"/>
      <c r="K106" s="214"/>
      <c r="L106" s="214"/>
      <c r="M106" s="214"/>
      <c r="N106" s="214"/>
      <c r="O106" s="214"/>
      <c r="P106" s="214"/>
      <c r="Q106" s="214"/>
      <c r="R106" s="214"/>
      <c r="S106" s="214"/>
    </row>
    <row r="107" spans="2:19" ht="15" customHeight="1">
      <c r="B107" s="215"/>
      <c r="C107" s="215"/>
      <c r="D107" s="215"/>
      <c r="E107" s="215"/>
      <c r="F107" s="216"/>
      <c r="G107" s="217"/>
      <c r="H107" s="217"/>
      <c r="I107" s="217"/>
      <c r="J107" s="217"/>
      <c r="K107" s="214"/>
      <c r="L107" s="214"/>
      <c r="M107" s="214"/>
      <c r="N107" s="214"/>
      <c r="O107" s="214"/>
      <c r="P107" s="214"/>
      <c r="Q107" s="214"/>
      <c r="R107" s="214"/>
      <c r="S107" s="214"/>
    </row>
    <row r="108" spans="2:19" ht="15" customHeight="1">
      <c r="B108" s="215"/>
      <c r="C108" s="215"/>
      <c r="D108" s="215"/>
      <c r="E108" s="215"/>
      <c r="F108" s="216"/>
      <c r="G108" s="217"/>
      <c r="H108" s="217"/>
      <c r="I108" s="217"/>
      <c r="J108" s="217"/>
      <c r="K108" s="214"/>
      <c r="L108" s="214"/>
      <c r="M108" s="214"/>
      <c r="N108" s="214"/>
      <c r="O108" s="214"/>
      <c r="P108" s="214"/>
      <c r="Q108" s="214"/>
      <c r="R108" s="214"/>
      <c r="S108" s="214"/>
    </row>
    <row r="109" spans="2:19" ht="15" customHeight="1">
      <c r="B109" s="215"/>
      <c r="C109" s="215"/>
      <c r="D109" s="215"/>
      <c r="E109" s="215"/>
      <c r="F109" s="216"/>
      <c r="G109" s="217"/>
      <c r="H109" s="217"/>
      <c r="I109" s="217"/>
      <c r="J109" s="217"/>
      <c r="K109" s="214"/>
      <c r="L109" s="214"/>
      <c r="M109" s="214"/>
      <c r="N109" s="214"/>
      <c r="O109" s="214"/>
      <c r="P109" s="214"/>
      <c r="Q109" s="214"/>
      <c r="R109" s="214"/>
      <c r="S109" s="214"/>
    </row>
    <row r="110" spans="2:19" ht="15" customHeight="1">
      <c r="B110" s="215"/>
      <c r="C110" s="215"/>
      <c r="D110" s="215"/>
      <c r="E110" s="215"/>
      <c r="F110" s="216"/>
      <c r="G110" s="217"/>
      <c r="H110" s="217"/>
      <c r="I110" s="217"/>
      <c r="J110" s="217"/>
      <c r="K110" s="214"/>
      <c r="L110" s="214"/>
      <c r="M110" s="214"/>
      <c r="N110" s="214"/>
      <c r="O110" s="214"/>
      <c r="P110" s="214"/>
      <c r="Q110" s="214"/>
      <c r="R110" s="214"/>
      <c r="S110" s="214"/>
    </row>
    <row r="111" spans="2:19" ht="15" customHeight="1">
      <c r="B111" s="215"/>
      <c r="C111" s="215"/>
      <c r="D111" s="215"/>
      <c r="E111" s="215"/>
      <c r="F111" s="216"/>
      <c r="G111" s="217"/>
      <c r="H111" s="217"/>
      <c r="I111" s="217"/>
      <c r="J111" s="217"/>
      <c r="K111" s="214"/>
      <c r="L111" s="214"/>
      <c r="M111" s="214"/>
      <c r="N111" s="214"/>
      <c r="O111" s="214"/>
      <c r="P111" s="214"/>
      <c r="Q111" s="214"/>
      <c r="R111" s="214"/>
      <c r="S111" s="214"/>
    </row>
    <row r="112" spans="2:19" ht="15" customHeight="1">
      <c r="B112" s="215"/>
      <c r="C112" s="215"/>
      <c r="D112" s="215"/>
      <c r="E112" s="215"/>
      <c r="F112" s="216"/>
      <c r="G112" s="217"/>
      <c r="H112" s="217"/>
      <c r="I112" s="217"/>
      <c r="J112" s="217"/>
      <c r="K112" s="214"/>
      <c r="L112" s="214"/>
      <c r="M112" s="214"/>
      <c r="N112" s="214"/>
      <c r="O112" s="214"/>
      <c r="P112" s="214"/>
      <c r="Q112" s="214"/>
      <c r="R112" s="214"/>
      <c r="S112" s="214"/>
    </row>
    <row r="113" spans="2:19" ht="15" customHeight="1">
      <c r="B113" s="215"/>
      <c r="C113" s="215"/>
      <c r="D113" s="215"/>
      <c r="E113" s="215"/>
      <c r="F113" s="216"/>
      <c r="G113" s="217"/>
      <c r="H113" s="217"/>
      <c r="I113" s="217"/>
      <c r="J113" s="217"/>
      <c r="K113" s="214"/>
      <c r="L113" s="214"/>
      <c r="M113" s="214"/>
      <c r="N113" s="214"/>
      <c r="O113" s="214"/>
      <c r="P113" s="214"/>
      <c r="Q113" s="214"/>
      <c r="R113" s="214"/>
      <c r="S113" s="214"/>
    </row>
    <row r="114" spans="2:19" ht="15" customHeight="1">
      <c r="B114" s="215"/>
      <c r="C114" s="215"/>
      <c r="D114" s="215"/>
      <c r="E114" s="215"/>
      <c r="F114" s="216"/>
      <c r="G114" s="217"/>
      <c r="H114" s="217"/>
      <c r="I114" s="217"/>
      <c r="J114" s="217"/>
      <c r="K114" s="214"/>
      <c r="L114" s="214"/>
      <c r="M114" s="214"/>
      <c r="N114" s="214"/>
      <c r="O114" s="214"/>
      <c r="P114" s="214"/>
      <c r="Q114" s="214"/>
      <c r="R114" s="214"/>
      <c r="S114" s="214"/>
    </row>
    <row r="115" spans="2:19" ht="15" customHeight="1">
      <c r="B115" s="215"/>
      <c r="C115" s="215"/>
      <c r="D115" s="215"/>
      <c r="E115" s="215"/>
      <c r="F115" s="216"/>
      <c r="G115" s="217"/>
      <c r="H115" s="217"/>
      <c r="I115" s="217"/>
      <c r="J115" s="217"/>
      <c r="K115" s="214"/>
      <c r="L115" s="214"/>
      <c r="M115" s="214"/>
      <c r="N115" s="214"/>
      <c r="O115" s="214"/>
      <c r="P115" s="214"/>
      <c r="Q115" s="214"/>
      <c r="R115" s="214"/>
      <c r="S115" s="214"/>
    </row>
    <row r="116" spans="2:19" ht="15" customHeight="1">
      <c r="B116" s="215"/>
      <c r="C116" s="215"/>
      <c r="D116" s="215"/>
      <c r="E116" s="215"/>
      <c r="F116" s="216"/>
      <c r="G116" s="217"/>
      <c r="H116" s="217"/>
      <c r="I116" s="217"/>
      <c r="J116" s="217"/>
      <c r="K116" s="214"/>
      <c r="L116" s="214"/>
      <c r="M116" s="214"/>
      <c r="N116" s="214"/>
      <c r="O116" s="214"/>
      <c r="P116" s="214"/>
      <c r="Q116" s="214"/>
      <c r="R116" s="214"/>
      <c r="S116" s="214"/>
    </row>
    <row r="117" spans="2:19" ht="15" customHeight="1">
      <c r="B117" s="215"/>
      <c r="C117" s="215"/>
      <c r="D117" s="215"/>
      <c r="E117" s="215"/>
      <c r="F117" s="216"/>
      <c r="G117" s="217"/>
      <c r="H117" s="217"/>
      <c r="I117" s="217"/>
      <c r="J117" s="217"/>
      <c r="K117" s="214"/>
      <c r="L117" s="214"/>
      <c r="M117" s="214"/>
      <c r="N117" s="214"/>
      <c r="O117" s="214"/>
      <c r="P117" s="214"/>
      <c r="Q117" s="214"/>
      <c r="R117" s="214"/>
      <c r="S117" s="214"/>
    </row>
    <row r="118" spans="2:19" ht="15" customHeight="1">
      <c r="B118" s="215"/>
      <c r="C118" s="215"/>
      <c r="D118" s="215"/>
      <c r="E118" s="215"/>
      <c r="F118" s="216"/>
      <c r="G118" s="217"/>
      <c r="H118" s="217"/>
      <c r="I118" s="217"/>
      <c r="J118" s="217"/>
      <c r="K118" s="214"/>
      <c r="L118" s="214"/>
      <c r="M118" s="214"/>
      <c r="N118" s="214"/>
      <c r="O118" s="214"/>
      <c r="P118" s="214"/>
      <c r="Q118" s="214"/>
      <c r="R118" s="214"/>
      <c r="S118" s="214"/>
    </row>
    <row r="119" spans="2:19" ht="15" customHeight="1">
      <c r="B119" s="215"/>
      <c r="C119" s="215"/>
      <c r="D119" s="215"/>
      <c r="E119" s="215"/>
      <c r="F119" s="216"/>
      <c r="G119" s="217"/>
      <c r="H119" s="217"/>
      <c r="I119" s="217"/>
      <c r="J119" s="217"/>
      <c r="K119" s="214"/>
      <c r="L119" s="214"/>
      <c r="M119" s="214"/>
      <c r="N119" s="214"/>
      <c r="O119" s="214"/>
      <c r="P119" s="214"/>
      <c r="Q119" s="214"/>
      <c r="R119" s="214"/>
      <c r="S119" s="214"/>
    </row>
    <row r="120" spans="2:19" ht="15" customHeight="1">
      <c r="B120" s="215"/>
      <c r="C120" s="215"/>
      <c r="D120" s="215"/>
      <c r="E120" s="215"/>
      <c r="F120" s="216"/>
      <c r="G120" s="217"/>
      <c r="H120" s="217"/>
      <c r="I120" s="217"/>
      <c r="J120" s="217"/>
      <c r="K120" s="214"/>
      <c r="L120" s="214"/>
      <c r="M120" s="214"/>
      <c r="N120" s="214"/>
      <c r="O120" s="214"/>
      <c r="P120" s="214"/>
      <c r="Q120" s="214"/>
      <c r="R120" s="214"/>
      <c r="S120" s="214"/>
    </row>
    <row r="121" spans="2:19" ht="15" customHeight="1">
      <c r="B121" s="218" t="s">
        <v>3962</v>
      </c>
      <c r="C121" s="218"/>
      <c r="D121" s="218"/>
      <c r="E121" s="218"/>
      <c r="F121" s="218"/>
      <c r="G121" s="219"/>
      <c r="H121" s="219"/>
      <c r="I121" s="219"/>
      <c r="J121" s="219"/>
      <c r="K121" s="222" t="s">
        <v>91</v>
      </c>
      <c r="L121" s="222"/>
      <c r="M121" s="222"/>
      <c r="N121" s="222"/>
      <c r="O121" s="222"/>
      <c r="P121" s="222"/>
      <c r="Q121" s="222"/>
      <c r="R121" s="222"/>
      <c r="S121" s="222"/>
    </row>
    <row r="122" spans="2:19" ht="15" customHeight="1">
      <c r="B122" s="220" t="s">
        <v>3963</v>
      </c>
      <c r="C122" s="221"/>
      <c r="D122" s="221"/>
      <c r="E122" s="221"/>
      <c r="F122" s="221"/>
      <c r="G122" s="221"/>
      <c r="H122" s="221"/>
      <c r="I122" s="221"/>
      <c r="J122" s="221"/>
      <c r="K122" s="223" t="s">
        <v>92</v>
      </c>
      <c r="L122" s="224"/>
      <c r="M122" s="224"/>
      <c r="N122" s="224"/>
      <c r="O122" s="224"/>
      <c r="P122" s="224"/>
      <c r="Q122" s="224"/>
      <c r="R122" s="224"/>
      <c r="S122" s="224"/>
    </row>
    <row r="123" spans="2:19" ht="15" customHeight="1">
      <c r="B123" s="221"/>
      <c r="C123" s="221"/>
      <c r="D123" s="221"/>
      <c r="E123" s="221"/>
      <c r="F123" s="221"/>
      <c r="G123" s="221"/>
      <c r="H123" s="221"/>
      <c r="I123" s="221"/>
      <c r="J123" s="221"/>
      <c r="K123" s="224"/>
      <c r="L123" s="224"/>
      <c r="M123" s="224"/>
      <c r="N123" s="224"/>
      <c r="O123" s="224"/>
      <c r="P123" s="224"/>
      <c r="Q123" s="224"/>
      <c r="R123" s="224"/>
      <c r="S123" s="224"/>
    </row>
    <row r="124" spans="2:19" ht="15" customHeight="1">
      <c r="B124" s="221"/>
      <c r="C124" s="221"/>
      <c r="D124" s="221"/>
      <c r="E124" s="221"/>
      <c r="F124" s="221"/>
      <c r="G124" s="221"/>
      <c r="H124" s="221"/>
      <c r="I124" s="221"/>
      <c r="J124" s="221"/>
      <c r="K124" s="224"/>
      <c r="L124" s="224"/>
      <c r="M124" s="224"/>
      <c r="N124" s="224"/>
      <c r="O124" s="224"/>
      <c r="P124" s="224"/>
      <c r="Q124" s="224"/>
      <c r="R124" s="224"/>
      <c r="S124" s="224"/>
    </row>
    <row r="125" spans="2:19" ht="15" customHeight="1">
      <c r="B125" s="221"/>
      <c r="C125" s="221"/>
      <c r="D125" s="221"/>
      <c r="E125" s="221"/>
      <c r="F125" s="221"/>
      <c r="G125" s="221"/>
      <c r="H125" s="221"/>
      <c r="I125" s="221"/>
      <c r="J125" s="221"/>
      <c r="K125" s="224"/>
      <c r="L125" s="224"/>
      <c r="M125" s="224"/>
      <c r="N125" s="224"/>
      <c r="O125" s="224"/>
      <c r="P125" s="224"/>
      <c r="Q125" s="224"/>
      <c r="R125" s="224"/>
      <c r="S125" s="224"/>
    </row>
    <row r="126" spans="2:19" ht="15" customHeight="1">
      <c r="B126" s="221"/>
      <c r="C126" s="221"/>
      <c r="D126" s="221"/>
      <c r="E126" s="221"/>
      <c r="F126" s="221"/>
      <c r="G126" s="221"/>
      <c r="H126" s="221"/>
      <c r="I126" s="221"/>
      <c r="J126" s="221"/>
      <c r="K126" s="224"/>
      <c r="L126" s="224"/>
      <c r="M126" s="224"/>
      <c r="N126" s="224"/>
      <c r="O126" s="224"/>
      <c r="P126" s="224"/>
      <c r="Q126" s="224"/>
      <c r="R126" s="224"/>
      <c r="S126" s="224"/>
    </row>
    <row r="127" spans="2:19" ht="15" customHeight="1">
      <c r="B127" s="221"/>
      <c r="C127" s="221"/>
      <c r="D127" s="221"/>
      <c r="E127" s="221"/>
      <c r="F127" s="221"/>
      <c r="G127" s="221"/>
      <c r="H127" s="221"/>
      <c r="I127" s="221"/>
      <c r="J127" s="221"/>
      <c r="K127" s="224"/>
      <c r="L127" s="224"/>
      <c r="M127" s="224"/>
      <c r="N127" s="224"/>
      <c r="O127" s="224"/>
      <c r="P127" s="224"/>
      <c r="Q127" s="224"/>
      <c r="R127" s="224"/>
      <c r="S127" s="224"/>
    </row>
    <row r="128" spans="2:19" ht="15" customHeight="1">
      <c r="B128" s="221"/>
      <c r="C128" s="221"/>
      <c r="D128" s="221"/>
      <c r="E128" s="221"/>
      <c r="F128" s="221"/>
      <c r="G128" s="221"/>
      <c r="H128" s="221"/>
      <c r="I128" s="221"/>
      <c r="J128" s="221"/>
      <c r="K128" s="224"/>
      <c r="L128" s="224"/>
      <c r="M128" s="224"/>
      <c r="N128" s="224"/>
      <c r="O128" s="224"/>
      <c r="P128" s="224"/>
      <c r="Q128" s="224"/>
      <c r="R128" s="224"/>
      <c r="S128" s="224"/>
    </row>
    <row r="129" spans="2:19" ht="15" customHeight="1">
      <c r="B129" s="221"/>
      <c r="C129" s="221"/>
      <c r="D129" s="221"/>
      <c r="E129" s="221"/>
      <c r="F129" s="221"/>
      <c r="G129" s="221"/>
      <c r="H129" s="221"/>
      <c r="I129" s="221"/>
      <c r="J129" s="221"/>
      <c r="K129" s="224"/>
      <c r="L129" s="224"/>
      <c r="M129" s="224"/>
      <c r="N129" s="224"/>
      <c r="O129" s="224"/>
      <c r="P129" s="224"/>
      <c r="Q129" s="224"/>
      <c r="R129" s="224"/>
      <c r="S129" s="224"/>
    </row>
    <row r="130" spans="2:19" ht="15" customHeight="1">
      <c r="B130" s="221"/>
      <c r="C130" s="221"/>
      <c r="D130" s="221"/>
      <c r="E130" s="221"/>
      <c r="F130" s="221"/>
      <c r="G130" s="221"/>
      <c r="H130" s="221"/>
      <c r="I130" s="221"/>
      <c r="J130" s="221"/>
      <c r="K130" s="224"/>
      <c r="L130" s="224"/>
      <c r="M130" s="224"/>
      <c r="N130" s="224"/>
      <c r="O130" s="224"/>
      <c r="P130" s="224"/>
      <c r="Q130" s="224"/>
      <c r="R130" s="224"/>
      <c r="S130" s="224"/>
    </row>
    <row r="131" spans="2:19" ht="15" customHeight="1">
      <c r="B131" s="221"/>
      <c r="C131" s="221"/>
      <c r="D131" s="221"/>
      <c r="E131" s="221"/>
      <c r="F131" s="221"/>
      <c r="G131" s="221"/>
      <c r="H131" s="221"/>
      <c r="I131" s="221"/>
      <c r="J131" s="221"/>
      <c r="K131" s="224"/>
      <c r="L131" s="224"/>
      <c r="M131" s="224"/>
      <c r="N131" s="224"/>
      <c r="O131" s="224"/>
      <c r="P131" s="224"/>
      <c r="Q131" s="224"/>
      <c r="R131" s="224"/>
      <c r="S131" s="224"/>
    </row>
    <row r="132" spans="2:19" ht="15" customHeight="1">
      <c r="B132" s="221"/>
      <c r="C132" s="221"/>
      <c r="D132" s="221"/>
      <c r="E132" s="221"/>
      <c r="F132" s="221"/>
      <c r="G132" s="221"/>
      <c r="H132" s="221"/>
      <c r="I132" s="221"/>
      <c r="J132" s="221"/>
      <c r="K132" s="224"/>
      <c r="L132" s="224"/>
      <c r="M132" s="224"/>
      <c r="N132" s="224"/>
      <c r="O132" s="224"/>
      <c r="P132" s="224"/>
      <c r="Q132" s="224"/>
      <c r="R132" s="224"/>
      <c r="S132" s="224"/>
    </row>
    <row r="133" spans="2:19" ht="15" customHeight="1">
      <c r="B133" s="221"/>
      <c r="C133" s="221"/>
      <c r="D133" s="221"/>
      <c r="E133" s="221"/>
      <c r="F133" s="221"/>
      <c r="G133" s="221"/>
      <c r="H133" s="221"/>
      <c r="I133" s="221"/>
      <c r="J133" s="221"/>
      <c r="K133" s="224"/>
      <c r="L133" s="224"/>
      <c r="M133" s="224"/>
      <c r="N133" s="224"/>
      <c r="O133" s="224"/>
      <c r="P133" s="224"/>
      <c r="Q133" s="224"/>
      <c r="R133" s="224"/>
      <c r="S133" s="224"/>
    </row>
    <row r="134" spans="2:19" ht="15" customHeight="1">
      <c r="B134" s="221"/>
      <c r="C134" s="221"/>
      <c r="D134" s="221"/>
      <c r="E134" s="221"/>
      <c r="F134" s="221"/>
      <c r="G134" s="221"/>
      <c r="H134" s="221"/>
      <c r="I134" s="221"/>
      <c r="J134" s="221"/>
      <c r="K134" s="224"/>
      <c r="L134" s="224"/>
      <c r="M134" s="224"/>
      <c r="N134" s="224"/>
      <c r="O134" s="224"/>
      <c r="P134" s="224"/>
      <c r="Q134" s="224"/>
      <c r="R134" s="224"/>
      <c r="S134" s="224"/>
    </row>
    <row r="135" spans="2:19" ht="15" customHeight="1">
      <c r="B135" s="221"/>
      <c r="C135" s="221"/>
      <c r="D135" s="221"/>
      <c r="E135" s="221"/>
      <c r="F135" s="221"/>
      <c r="G135" s="221"/>
      <c r="H135" s="221"/>
      <c r="I135" s="221"/>
      <c r="J135" s="221"/>
      <c r="K135" s="224"/>
      <c r="L135" s="224"/>
      <c r="M135" s="224"/>
      <c r="N135" s="224"/>
      <c r="O135" s="224"/>
      <c r="P135" s="224"/>
      <c r="Q135" s="224"/>
      <c r="R135" s="224"/>
      <c r="S135" s="224"/>
    </row>
    <row r="136" spans="2:19" ht="15" customHeight="1">
      <c r="B136" s="221"/>
      <c r="C136" s="221"/>
      <c r="D136" s="221"/>
      <c r="E136" s="221"/>
      <c r="F136" s="221"/>
      <c r="G136" s="221"/>
      <c r="H136" s="221"/>
      <c r="I136" s="221"/>
      <c r="J136" s="221"/>
      <c r="K136" s="224"/>
      <c r="L136" s="224"/>
      <c r="M136" s="224"/>
      <c r="N136" s="224"/>
      <c r="O136" s="224"/>
      <c r="P136" s="224"/>
      <c r="Q136" s="224"/>
      <c r="R136" s="224"/>
      <c r="S136" s="224"/>
    </row>
    <row r="137" spans="2:19" ht="15" customHeight="1">
      <c r="B137" s="221"/>
      <c r="C137" s="221"/>
      <c r="D137" s="221"/>
      <c r="E137" s="221"/>
      <c r="F137" s="221"/>
      <c r="G137" s="221"/>
      <c r="H137" s="221"/>
      <c r="I137" s="221"/>
      <c r="J137" s="221"/>
      <c r="K137" s="224"/>
      <c r="L137" s="224"/>
      <c r="M137" s="224"/>
      <c r="N137" s="224"/>
      <c r="O137" s="224"/>
      <c r="P137" s="224"/>
      <c r="Q137" s="224"/>
      <c r="R137" s="224"/>
      <c r="S137" s="224"/>
    </row>
    <row r="138" spans="2:19" ht="15" customHeight="1">
      <c r="B138" s="221"/>
      <c r="C138" s="221"/>
      <c r="D138" s="221"/>
      <c r="E138" s="221"/>
      <c r="F138" s="221"/>
      <c r="G138" s="221"/>
      <c r="H138" s="221"/>
      <c r="I138" s="221"/>
      <c r="J138" s="221"/>
      <c r="K138" s="224"/>
      <c r="L138" s="224"/>
      <c r="M138" s="224"/>
      <c r="N138" s="224"/>
      <c r="O138" s="224"/>
      <c r="P138" s="224"/>
      <c r="Q138" s="224"/>
      <c r="R138" s="224"/>
      <c r="S138" s="224"/>
    </row>
    <row r="139" spans="2:19" ht="15" customHeight="1">
      <c r="B139" s="221"/>
      <c r="C139" s="221"/>
      <c r="D139" s="221"/>
      <c r="E139" s="221"/>
      <c r="F139" s="221"/>
      <c r="G139" s="221"/>
      <c r="H139" s="221"/>
      <c r="I139" s="221"/>
      <c r="J139" s="221"/>
      <c r="K139" s="224"/>
      <c r="L139" s="224"/>
      <c r="M139" s="224"/>
      <c r="N139" s="224"/>
      <c r="O139" s="224"/>
      <c r="P139" s="224"/>
      <c r="Q139" s="224"/>
      <c r="R139" s="224"/>
      <c r="S139" s="224"/>
    </row>
    <row r="140" spans="2:19" ht="15" customHeight="1">
      <c r="B140" s="221"/>
      <c r="C140" s="221"/>
      <c r="D140" s="221"/>
      <c r="E140" s="221"/>
      <c r="F140" s="221"/>
      <c r="G140" s="221"/>
      <c r="H140" s="221"/>
      <c r="I140" s="221"/>
      <c r="J140" s="221"/>
      <c r="K140" s="224"/>
      <c r="L140" s="224"/>
      <c r="M140" s="224"/>
      <c r="N140" s="224"/>
      <c r="O140" s="224"/>
      <c r="P140" s="224"/>
      <c r="Q140" s="224"/>
      <c r="R140" s="224"/>
      <c r="S140" s="224"/>
    </row>
    <row r="141" spans="2:19" ht="15" customHeight="1">
      <c r="B141" s="221"/>
      <c r="C141" s="221"/>
      <c r="D141" s="221"/>
      <c r="E141" s="221"/>
      <c r="F141" s="221"/>
      <c r="G141" s="221"/>
      <c r="H141" s="221"/>
      <c r="I141" s="221"/>
      <c r="J141" s="221"/>
      <c r="K141" s="224"/>
      <c r="L141" s="224"/>
      <c r="M141" s="224"/>
      <c r="N141" s="224"/>
      <c r="O141" s="224"/>
      <c r="P141" s="224"/>
      <c r="Q141" s="224"/>
      <c r="R141" s="224"/>
      <c r="S141" s="224"/>
    </row>
    <row r="142" spans="2:19" ht="15" customHeight="1">
      <c r="B142" s="221"/>
      <c r="C142" s="221"/>
      <c r="D142" s="221"/>
      <c r="E142" s="221"/>
      <c r="F142" s="221"/>
      <c r="G142" s="221"/>
      <c r="H142" s="221"/>
      <c r="I142" s="221"/>
      <c r="J142" s="221"/>
      <c r="K142" s="224"/>
      <c r="L142" s="224"/>
      <c r="M142" s="224"/>
      <c r="N142" s="224"/>
      <c r="O142" s="224"/>
      <c r="P142" s="224"/>
      <c r="Q142" s="224"/>
      <c r="R142" s="224"/>
      <c r="S142" s="224"/>
    </row>
    <row r="143" spans="2:19" ht="15" customHeight="1"/>
    <row r="144" spans="2:19" ht="15" customHeight="1"/>
    <row r="145" spans="2:10" ht="15" customHeight="1"/>
    <row r="146" spans="2:10" ht="15" customHeight="1"/>
    <row r="147" spans="2:10" ht="15" customHeight="1"/>
    <row r="148" spans="2:10" ht="15" customHeight="1"/>
    <row r="149" spans="2:10" ht="15" customHeight="1"/>
    <row r="150" spans="2:10" ht="15" customHeight="1"/>
    <row r="151" spans="2:10" ht="15" customHeight="1"/>
    <row r="152" spans="2:10" ht="15" customHeight="1"/>
    <row r="153" spans="2:10" ht="15" customHeight="1"/>
    <row r="154" spans="2:10" ht="15" customHeight="1"/>
    <row r="155" spans="2:10" ht="15" customHeight="1"/>
    <row r="156" spans="2:10" ht="15" customHeight="1"/>
    <row r="157" spans="2:10" ht="15" customHeight="1"/>
    <row r="158" spans="2:10" ht="15" customHeight="1"/>
    <row r="159" spans="2:10" ht="15" customHeight="1"/>
    <row r="160" spans="2:10" ht="15" customHeight="1">
      <c r="B160" s="1"/>
      <c r="C160" s="1"/>
      <c r="D160" s="1"/>
      <c r="E160" s="1"/>
      <c r="F160" s="1"/>
      <c r="G160" s="1"/>
      <c r="H160" s="1"/>
      <c r="I160" s="1"/>
      <c r="J160" s="1"/>
    </row>
    <row r="161" spans="2:10" ht="15" customHeight="1">
      <c r="B161" s="1"/>
      <c r="C161" s="1"/>
      <c r="D161" s="1"/>
      <c r="E161" s="1"/>
      <c r="F161" s="1"/>
      <c r="G161" s="1"/>
      <c r="H161" s="1"/>
      <c r="I161" s="1"/>
      <c r="J161" s="1"/>
    </row>
    <row r="162" spans="2:10" ht="15" customHeight="1">
      <c r="B162" s="1"/>
      <c r="C162" s="1"/>
      <c r="D162" s="1"/>
      <c r="E162" s="1"/>
      <c r="F162" s="1"/>
      <c r="G162" s="1"/>
      <c r="H162" s="1"/>
      <c r="I162" s="1"/>
      <c r="J162" s="1"/>
    </row>
    <row r="163" spans="2:10" ht="15" customHeight="1"/>
    <row r="164" spans="2:10" ht="15" customHeight="1"/>
    <row r="165" spans="2:10" ht="15" customHeight="1"/>
    <row r="166" spans="2:10" ht="15" customHeight="1"/>
    <row r="167" spans="2:10" ht="15" customHeight="1"/>
    <row r="168" spans="2:10" ht="15" customHeight="1"/>
    <row r="169" spans="2:10" ht="15" customHeight="1"/>
    <row r="170" spans="2:10" ht="15" customHeight="1"/>
    <row r="171" spans="2:10" ht="15" customHeight="1"/>
    <row r="172" spans="2:10" ht="15" customHeight="1"/>
    <row r="173" spans="2:10" ht="15" customHeight="1"/>
    <row r="174" spans="2:10" ht="15" customHeight="1"/>
    <row r="175" spans="2:10" ht="15" customHeight="1"/>
  </sheetData>
  <mergeCells count="28">
    <mergeCell ref="K100:S120"/>
    <mergeCell ref="B100:F120"/>
    <mergeCell ref="G100:J120"/>
    <mergeCell ref="B121:J121"/>
    <mergeCell ref="B122:J142"/>
    <mergeCell ref="K121:S121"/>
    <mergeCell ref="K122:S142"/>
    <mergeCell ref="B77:J77"/>
    <mergeCell ref="K77:S77"/>
    <mergeCell ref="B78:J98"/>
    <mergeCell ref="K78:S98"/>
    <mergeCell ref="B99:J99"/>
    <mergeCell ref="K99:S99"/>
    <mergeCell ref="B5:S10"/>
    <mergeCell ref="K34:O54"/>
    <mergeCell ref="P34:S54"/>
    <mergeCell ref="B55:J55"/>
    <mergeCell ref="B56:J76"/>
    <mergeCell ref="K55:S55"/>
    <mergeCell ref="K56:O76"/>
    <mergeCell ref="P56:S76"/>
    <mergeCell ref="B33:J33"/>
    <mergeCell ref="B34:J54"/>
    <mergeCell ref="K33:S33"/>
    <mergeCell ref="B11:J11"/>
    <mergeCell ref="B12:J32"/>
    <mergeCell ref="K11:S11"/>
    <mergeCell ref="K12:S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C00FC-FDA4-41B4-A4E4-C59F640A083E}">
  <dimension ref="A1:L25"/>
  <sheetViews>
    <sheetView zoomScaleNormal="100" workbookViewId="0">
      <selection activeCell="D25" sqref="D25"/>
    </sheetView>
  </sheetViews>
  <sheetFormatPr baseColWidth="10" defaultColWidth="11.42578125" defaultRowHeight="15"/>
  <cols>
    <col min="1" max="1" width="41.7109375" customWidth="1"/>
    <col min="2" max="2" width="28" customWidth="1"/>
    <col min="3" max="3" width="21.7109375" customWidth="1"/>
    <col min="4" max="4" width="41.28515625" customWidth="1"/>
    <col min="6" max="6" width="9.42578125" style="9" customWidth="1"/>
    <col min="7" max="8" width="26.85546875" style="9" customWidth="1"/>
    <col min="9" max="9" width="15.7109375" style="9" customWidth="1"/>
    <col min="10" max="10" width="18.140625" customWidth="1"/>
    <col min="11" max="11" width="15.42578125" bestFit="1" customWidth="1"/>
  </cols>
  <sheetData>
    <row r="1" spans="1:12">
      <c r="A1" s="3"/>
      <c r="B1" s="3"/>
      <c r="C1" s="3"/>
      <c r="D1" s="3"/>
      <c r="E1" s="3"/>
      <c r="F1" s="2"/>
      <c r="G1" s="2"/>
      <c r="H1" s="2"/>
      <c r="I1" s="2"/>
      <c r="J1" s="3"/>
      <c r="K1" s="3"/>
      <c r="L1" s="3"/>
    </row>
    <row r="2" spans="1:12" ht="21">
      <c r="A2" s="225" t="s">
        <v>3577</v>
      </c>
      <c r="B2" s="225"/>
      <c r="C2" s="225"/>
      <c r="D2" s="225"/>
      <c r="E2" s="225"/>
      <c r="F2" s="2"/>
      <c r="G2" s="225" t="s">
        <v>587</v>
      </c>
      <c r="H2" s="225"/>
      <c r="I2" s="225"/>
      <c r="J2" s="225"/>
      <c r="K2" s="225"/>
      <c r="L2" s="3"/>
    </row>
    <row r="3" spans="1:12">
      <c r="A3" s="4" t="s">
        <v>531</v>
      </c>
      <c r="B3" s="4" t="s">
        <v>532</v>
      </c>
      <c r="C3" s="5" t="s">
        <v>612</v>
      </c>
      <c r="D3" s="4" t="s">
        <v>533</v>
      </c>
      <c r="E3" s="4" t="s">
        <v>534</v>
      </c>
      <c r="F3" s="2"/>
      <c r="G3" s="4" t="s">
        <v>531</v>
      </c>
      <c r="H3" s="4" t="s">
        <v>532</v>
      </c>
      <c r="I3" s="5" t="s">
        <v>612</v>
      </c>
      <c r="J3" s="4" t="s">
        <v>533</v>
      </c>
      <c r="K3" s="4" t="s">
        <v>534</v>
      </c>
      <c r="L3" s="3"/>
    </row>
    <row r="4" spans="1:12" ht="30">
      <c r="A4" s="6" t="s">
        <v>526</v>
      </c>
      <c r="B4" s="6" t="s">
        <v>535</v>
      </c>
      <c r="C4" s="7" t="s">
        <v>111</v>
      </c>
      <c r="D4" s="6" t="s">
        <v>536</v>
      </c>
      <c r="E4" s="6" t="s">
        <v>5</v>
      </c>
      <c r="F4" s="2"/>
      <c r="G4" s="6" t="s">
        <v>588</v>
      </c>
      <c r="H4" s="6" t="s">
        <v>542</v>
      </c>
      <c r="I4" s="7" t="s">
        <v>111</v>
      </c>
      <c r="J4" s="6" t="s">
        <v>589</v>
      </c>
      <c r="K4" s="6">
        <v>1998</v>
      </c>
      <c r="L4" s="3"/>
    </row>
    <row r="5" spans="1:12" ht="30">
      <c r="A5" s="6" t="s">
        <v>537</v>
      </c>
      <c r="B5" s="6" t="s">
        <v>538</v>
      </c>
      <c r="C5" s="7" t="s">
        <v>111</v>
      </c>
      <c r="D5" s="6" t="s">
        <v>539</v>
      </c>
      <c r="E5" s="6" t="s">
        <v>540</v>
      </c>
      <c r="F5" s="2"/>
      <c r="G5" s="6" t="s">
        <v>590</v>
      </c>
      <c r="H5" s="6" t="s">
        <v>591</v>
      </c>
      <c r="I5" s="7" t="s">
        <v>111</v>
      </c>
      <c r="J5" s="6" t="s">
        <v>592</v>
      </c>
      <c r="K5" s="8">
        <v>35988.875</v>
      </c>
      <c r="L5" s="3"/>
    </row>
    <row r="6" spans="1:12" ht="30">
      <c r="A6" s="6" t="s">
        <v>541</v>
      </c>
      <c r="B6" s="6" t="s">
        <v>542</v>
      </c>
      <c r="C6" s="7" t="s">
        <v>111</v>
      </c>
      <c r="D6" s="6" t="s">
        <v>543</v>
      </c>
      <c r="E6" s="6">
        <v>18</v>
      </c>
      <c r="F6" s="2"/>
      <c r="G6" s="6" t="s">
        <v>593</v>
      </c>
      <c r="H6" s="6" t="s">
        <v>535</v>
      </c>
      <c r="I6" s="7" t="s">
        <v>111</v>
      </c>
      <c r="J6" s="6" t="s">
        <v>594</v>
      </c>
      <c r="K6" s="6" t="s">
        <v>238</v>
      </c>
      <c r="L6" s="3"/>
    </row>
    <row r="7" spans="1:12" ht="45">
      <c r="A7" s="6" t="s">
        <v>544</v>
      </c>
      <c r="B7" s="6" t="s">
        <v>542</v>
      </c>
      <c r="C7" s="7" t="s">
        <v>111</v>
      </c>
      <c r="D7" s="6" t="s">
        <v>545</v>
      </c>
      <c r="E7" s="6">
        <v>122</v>
      </c>
      <c r="F7" s="2"/>
      <c r="G7" s="6" t="s">
        <v>595</v>
      </c>
      <c r="H7" s="6" t="s">
        <v>535</v>
      </c>
      <c r="I7" s="7" t="s">
        <v>111</v>
      </c>
      <c r="J7" s="6" t="s">
        <v>596</v>
      </c>
      <c r="K7" s="6" t="s">
        <v>597</v>
      </c>
      <c r="L7" s="3"/>
    </row>
    <row r="8" spans="1:12" ht="30">
      <c r="A8" s="6" t="s">
        <v>546</v>
      </c>
      <c r="B8" s="6" t="s">
        <v>542</v>
      </c>
      <c r="C8" s="7" t="s">
        <v>111</v>
      </c>
      <c r="D8" s="6" t="s">
        <v>547</v>
      </c>
      <c r="E8" s="6">
        <v>245</v>
      </c>
      <c r="F8" s="2"/>
      <c r="G8" s="6" t="s">
        <v>598</v>
      </c>
      <c r="H8" s="6" t="s">
        <v>535</v>
      </c>
      <c r="I8" s="7" t="s">
        <v>111</v>
      </c>
      <c r="J8" s="6" t="s">
        <v>599</v>
      </c>
      <c r="K8" s="6" t="s">
        <v>600</v>
      </c>
      <c r="L8" s="3"/>
    </row>
    <row r="9" spans="1:12" ht="30">
      <c r="A9" s="3"/>
      <c r="B9" s="3"/>
      <c r="C9" s="3"/>
      <c r="D9" s="3"/>
      <c r="E9" s="3"/>
      <c r="F9" s="2"/>
      <c r="G9" s="6" t="s">
        <v>601</v>
      </c>
      <c r="H9" s="6" t="s">
        <v>535</v>
      </c>
      <c r="I9" s="7" t="s">
        <v>111</v>
      </c>
      <c r="J9" s="6" t="s">
        <v>602</v>
      </c>
      <c r="K9" s="6" t="s">
        <v>5</v>
      </c>
      <c r="L9" s="3"/>
    </row>
    <row r="10" spans="1:12" ht="45">
      <c r="A10" s="225" t="s">
        <v>548</v>
      </c>
      <c r="B10" s="225"/>
      <c r="C10" s="225"/>
      <c r="D10" s="225"/>
      <c r="E10" s="225"/>
      <c r="F10" s="2"/>
      <c r="G10" s="6" t="s">
        <v>603</v>
      </c>
      <c r="H10" s="6" t="s">
        <v>542</v>
      </c>
      <c r="I10" s="7" t="s">
        <v>111</v>
      </c>
      <c r="J10" s="6" t="s">
        <v>604</v>
      </c>
      <c r="K10" s="6">
        <v>3</v>
      </c>
      <c r="L10" s="3"/>
    </row>
    <row r="11" spans="1:12" ht="45">
      <c r="A11" s="4" t="s">
        <v>531</v>
      </c>
      <c r="B11" s="4" t="s">
        <v>532</v>
      </c>
      <c r="C11" s="5" t="s">
        <v>612</v>
      </c>
      <c r="D11" s="4" t="s">
        <v>533</v>
      </c>
      <c r="E11" s="4" t="s">
        <v>534</v>
      </c>
      <c r="F11" s="2"/>
      <c r="G11" s="6" t="s">
        <v>605</v>
      </c>
      <c r="H11" s="6" t="s">
        <v>542</v>
      </c>
      <c r="I11" s="7" t="s">
        <v>111</v>
      </c>
      <c r="J11" s="6" t="s">
        <v>606</v>
      </c>
      <c r="K11" s="6">
        <v>0</v>
      </c>
      <c r="L11" s="3"/>
    </row>
    <row r="12" spans="1:12" ht="30">
      <c r="A12" s="6" t="s">
        <v>93</v>
      </c>
      <c r="B12" s="6" t="s">
        <v>542</v>
      </c>
      <c r="C12" s="7" t="s">
        <v>111</v>
      </c>
      <c r="D12" s="6" t="s">
        <v>549</v>
      </c>
      <c r="E12" s="6">
        <v>2022</v>
      </c>
      <c r="F12" s="2"/>
      <c r="G12" s="6" t="s">
        <v>607</v>
      </c>
      <c r="H12" s="6" t="s">
        <v>535</v>
      </c>
      <c r="I12" s="7" t="s">
        <v>111</v>
      </c>
      <c r="J12" s="6" t="s">
        <v>608</v>
      </c>
      <c r="K12" s="6" t="s">
        <v>12</v>
      </c>
      <c r="L12" s="3"/>
    </row>
    <row r="13" spans="1:12" ht="90">
      <c r="A13" s="6" t="s">
        <v>94</v>
      </c>
      <c r="B13" s="6" t="s">
        <v>535</v>
      </c>
      <c r="C13" s="7" t="s">
        <v>111</v>
      </c>
      <c r="D13" s="6" t="s">
        <v>550</v>
      </c>
      <c r="E13" s="6" t="s">
        <v>135</v>
      </c>
      <c r="F13" s="2"/>
      <c r="G13" s="6" t="s">
        <v>609</v>
      </c>
      <c r="H13" s="6" t="s">
        <v>535</v>
      </c>
      <c r="I13" s="7" t="s">
        <v>131</v>
      </c>
      <c r="J13" s="6" t="s">
        <v>610</v>
      </c>
      <c r="K13" s="6" t="s">
        <v>611</v>
      </c>
      <c r="L13" s="3"/>
    </row>
    <row r="14" spans="1:12">
      <c r="A14" s="6" t="s">
        <v>95</v>
      </c>
      <c r="B14" s="6" t="s">
        <v>535</v>
      </c>
      <c r="C14" s="7" t="s">
        <v>111</v>
      </c>
      <c r="D14" s="6" t="s">
        <v>551</v>
      </c>
      <c r="E14" s="6" t="s">
        <v>9</v>
      </c>
      <c r="F14" s="2"/>
      <c r="G14" s="2"/>
      <c r="H14" s="2"/>
      <c r="I14" s="2"/>
      <c r="J14" s="3"/>
      <c r="K14" s="3"/>
      <c r="L14" s="3"/>
    </row>
    <row r="15" spans="1:12" ht="30">
      <c r="A15" s="6" t="s">
        <v>96</v>
      </c>
      <c r="B15" s="6" t="s">
        <v>535</v>
      </c>
      <c r="C15" s="7" t="s">
        <v>111</v>
      </c>
      <c r="D15" s="6" t="s">
        <v>552</v>
      </c>
      <c r="E15" s="6" t="s">
        <v>40</v>
      </c>
      <c r="F15" s="2"/>
      <c r="G15" s="225" t="s">
        <v>570</v>
      </c>
      <c r="H15" s="225"/>
      <c r="I15" s="225"/>
      <c r="J15" s="225"/>
      <c r="K15" s="225"/>
      <c r="L15" s="2"/>
    </row>
    <row r="16" spans="1:12">
      <c r="A16" s="6" t="s">
        <v>97</v>
      </c>
      <c r="B16" s="6" t="s">
        <v>535</v>
      </c>
      <c r="C16" s="7" t="s">
        <v>111</v>
      </c>
      <c r="D16" s="6" t="s">
        <v>553</v>
      </c>
      <c r="E16" s="6" t="s">
        <v>9</v>
      </c>
      <c r="F16" s="2"/>
      <c r="G16" s="4" t="s">
        <v>531</v>
      </c>
      <c r="H16" s="4" t="s">
        <v>532</v>
      </c>
      <c r="I16" s="5" t="s">
        <v>612</v>
      </c>
      <c r="J16" s="4" t="s">
        <v>533</v>
      </c>
      <c r="K16" s="4" t="s">
        <v>534</v>
      </c>
      <c r="L16" s="2"/>
    </row>
    <row r="17" spans="1:12" ht="30">
      <c r="A17" s="6" t="s">
        <v>98</v>
      </c>
      <c r="B17" s="6" t="s">
        <v>535</v>
      </c>
      <c r="C17" s="7" t="s">
        <v>111</v>
      </c>
      <c r="D17" s="6" t="s">
        <v>554</v>
      </c>
      <c r="E17" s="6" t="s">
        <v>385</v>
      </c>
      <c r="F17" s="2"/>
      <c r="G17" s="6" t="s">
        <v>571</v>
      </c>
      <c r="H17" s="6" t="s">
        <v>542</v>
      </c>
      <c r="I17" s="7" t="s">
        <v>111</v>
      </c>
      <c r="J17" s="6" t="s">
        <v>572</v>
      </c>
      <c r="K17" s="6">
        <v>145</v>
      </c>
      <c r="L17" s="2"/>
    </row>
    <row r="18" spans="1:12" ht="30">
      <c r="A18" s="6" t="s">
        <v>99</v>
      </c>
      <c r="B18" s="6" t="s">
        <v>535</v>
      </c>
      <c r="C18" s="7" t="s">
        <v>111</v>
      </c>
      <c r="D18" s="6" t="s">
        <v>555</v>
      </c>
      <c r="E18" s="6" t="s">
        <v>457</v>
      </c>
      <c r="F18" s="2"/>
      <c r="G18" s="6" t="s">
        <v>573</v>
      </c>
      <c r="H18" s="6" t="s">
        <v>535</v>
      </c>
      <c r="I18" s="7" t="s">
        <v>111</v>
      </c>
      <c r="J18" s="6" t="s">
        <v>574</v>
      </c>
      <c r="K18" s="6" t="s">
        <v>466</v>
      </c>
      <c r="L18" s="2"/>
    </row>
    <row r="19" spans="1:12" ht="45">
      <c r="A19" s="6" t="s">
        <v>100</v>
      </c>
      <c r="B19" s="6" t="s">
        <v>542</v>
      </c>
      <c r="C19" s="7" t="s">
        <v>111</v>
      </c>
      <c r="D19" s="6" t="s">
        <v>556</v>
      </c>
      <c r="E19" s="6">
        <v>5</v>
      </c>
      <c r="F19" s="2"/>
      <c r="G19" s="6" t="s">
        <v>575</v>
      </c>
      <c r="H19" s="6" t="s">
        <v>542</v>
      </c>
      <c r="I19" s="7" t="s">
        <v>111</v>
      </c>
      <c r="J19" s="6" t="s">
        <v>576</v>
      </c>
      <c r="K19" s="6">
        <v>27</v>
      </c>
      <c r="L19" s="2"/>
    </row>
    <row r="20" spans="1:12" ht="45">
      <c r="A20" s="6" t="s">
        <v>101</v>
      </c>
      <c r="B20" s="6" t="s">
        <v>542</v>
      </c>
      <c r="C20" s="7" t="s">
        <v>111</v>
      </c>
      <c r="D20" s="6" t="s">
        <v>557</v>
      </c>
      <c r="E20" s="6">
        <v>3</v>
      </c>
      <c r="F20" s="2"/>
      <c r="G20" s="6" t="s">
        <v>577</v>
      </c>
      <c r="H20" s="6" t="s">
        <v>535</v>
      </c>
      <c r="I20" s="7" t="s">
        <v>111</v>
      </c>
      <c r="J20" s="6" t="s">
        <v>578</v>
      </c>
      <c r="K20" s="6" t="s">
        <v>5</v>
      </c>
      <c r="L20" s="2"/>
    </row>
    <row r="21" spans="1:12" ht="30">
      <c r="A21" s="6" t="s">
        <v>102</v>
      </c>
      <c r="B21" s="6" t="s">
        <v>535</v>
      </c>
      <c r="C21" s="7" t="s">
        <v>111</v>
      </c>
      <c r="D21" s="6" t="s">
        <v>558</v>
      </c>
      <c r="E21" s="6" t="s">
        <v>559</v>
      </c>
      <c r="F21" s="2"/>
      <c r="G21" s="6" t="s">
        <v>579</v>
      </c>
      <c r="H21" s="6" t="s">
        <v>535</v>
      </c>
      <c r="I21" s="7" t="s">
        <v>111</v>
      </c>
      <c r="J21" s="6" t="s">
        <v>580</v>
      </c>
      <c r="K21" s="6" t="s">
        <v>581</v>
      </c>
      <c r="L21" s="2"/>
    </row>
    <row r="22" spans="1:12" ht="45">
      <c r="A22" s="6" t="s">
        <v>103</v>
      </c>
      <c r="B22" s="6" t="s">
        <v>560</v>
      </c>
      <c r="C22" s="7" t="s">
        <v>111</v>
      </c>
      <c r="D22" s="6" t="s">
        <v>561</v>
      </c>
      <c r="E22" s="6" t="s">
        <v>562</v>
      </c>
      <c r="F22" s="2"/>
      <c r="G22" s="6" t="s">
        <v>582</v>
      </c>
      <c r="H22" s="6" t="s">
        <v>535</v>
      </c>
      <c r="I22" s="7" t="s">
        <v>111</v>
      </c>
      <c r="J22" s="6" t="s">
        <v>583</v>
      </c>
      <c r="K22" s="6" t="s">
        <v>584</v>
      </c>
      <c r="L22" s="2"/>
    </row>
    <row r="23" spans="1:12" ht="45">
      <c r="A23" s="6" t="s">
        <v>104</v>
      </c>
      <c r="B23" s="6" t="s">
        <v>560</v>
      </c>
      <c r="C23" s="7" t="s">
        <v>111</v>
      </c>
      <c r="D23" s="6" t="s">
        <v>563</v>
      </c>
      <c r="E23" s="6" t="s">
        <v>564</v>
      </c>
      <c r="F23" s="2"/>
      <c r="G23" s="6" t="s">
        <v>585</v>
      </c>
      <c r="H23" s="6" t="s">
        <v>542</v>
      </c>
      <c r="I23" s="7" t="s">
        <v>111</v>
      </c>
      <c r="J23" s="6" t="s">
        <v>586</v>
      </c>
      <c r="K23" s="6">
        <v>10</v>
      </c>
      <c r="L23" s="2"/>
    </row>
    <row r="24" spans="1:12" ht="30">
      <c r="A24" s="6" t="s">
        <v>105</v>
      </c>
      <c r="B24" s="6" t="s">
        <v>535</v>
      </c>
      <c r="C24" s="7" t="s">
        <v>111</v>
      </c>
      <c r="D24" s="6" t="s">
        <v>565</v>
      </c>
      <c r="E24" s="6" t="s">
        <v>566</v>
      </c>
      <c r="F24" s="2"/>
      <c r="G24" s="3"/>
      <c r="H24" s="3"/>
      <c r="I24" s="3"/>
      <c r="J24" s="3"/>
      <c r="K24" s="3"/>
      <c r="L24" s="2"/>
    </row>
    <row r="25" spans="1:12">
      <c r="A25" s="3"/>
      <c r="B25" s="3"/>
      <c r="C25" s="3"/>
      <c r="D25" s="3"/>
      <c r="E25" s="3"/>
      <c r="F25" s="2"/>
      <c r="G25" s="2"/>
      <c r="H25" s="2"/>
      <c r="I25" s="2"/>
      <c r="J25" s="3"/>
      <c r="K25" s="3"/>
      <c r="L25" s="3"/>
    </row>
  </sheetData>
  <mergeCells count="4">
    <mergeCell ref="A2:E2"/>
    <mergeCell ref="A10:E10"/>
    <mergeCell ref="G2:K2"/>
    <mergeCell ref="G15:K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6296E-F5B1-457C-98D4-495483601649}">
  <dimension ref="B1:G37"/>
  <sheetViews>
    <sheetView workbookViewId="0">
      <selection activeCell="C28" sqref="C28"/>
    </sheetView>
  </sheetViews>
  <sheetFormatPr baseColWidth="10" defaultRowHeight="15"/>
  <cols>
    <col min="2" max="4" width="24.7109375" customWidth="1"/>
    <col min="5" max="5" width="46.5703125" customWidth="1"/>
    <col min="6" max="7" width="24.7109375" customWidth="1"/>
  </cols>
  <sheetData>
    <row r="1" spans="2:7" ht="15.75" thickBot="1"/>
    <row r="2" spans="2:7" ht="20.25">
      <c r="B2" s="287" t="s">
        <v>3964</v>
      </c>
      <c r="C2" s="287" t="s">
        <v>3965</v>
      </c>
      <c r="D2" s="287" t="s">
        <v>3966</v>
      </c>
      <c r="E2" s="287" t="s">
        <v>3967</v>
      </c>
      <c r="F2" s="287" t="s">
        <v>3968</v>
      </c>
      <c r="G2" s="287" t="s">
        <v>3969</v>
      </c>
    </row>
    <row r="3" spans="2:7" ht="51.75">
      <c r="B3" s="288" t="s">
        <v>3970</v>
      </c>
      <c r="C3" s="288" t="s">
        <v>3971</v>
      </c>
      <c r="D3" s="288" t="s">
        <v>3972</v>
      </c>
      <c r="E3" s="289" t="s">
        <v>3973</v>
      </c>
      <c r="F3" s="288" t="s">
        <v>3974</v>
      </c>
      <c r="G3" s="288" t="s">
        <v>3975</v>
      </c>
    </row>
    <row r="4" spans="2:7" ht="34.5">
      <c r="B4" s="288" t="s">
        <v>3976</v>
      </c>
      <c r="C4" s="288" t="s">
        <v>3971</v>
      </c>
      <c r="D4" s="288" t="s">
        <v>3977</v>
      </c>
      <c r="E4" s="289" t="s">
        <v>3978</v>
      </c>
      <c r="F4" s="288" t="s">
        <v>3974</v>
      </c>
      <c r="G4" s="288" t="s">
        <v>3979</v>
      </c>
    </row>
    <row r="5" spans="2:7" ht="69">
      <c r="B5" s="288" t="s">
        <v>3980</v>
      </c>
      <c r="C5" s="288" t="s">
        <v>3971</v>
      </c>
      <c r="D5" s="288" t="s">
        <v>3981</v>
      </c>
      <c r="E5" s="289" t="s">
        <v>4092</v>
      </c>
      <c r="F5" s="288" t="s">
        <v>3974</v>
      </c>
      <c r="G5" s="288" t="s">
        <v>3982</v>
      </c>
    </row>
    <row r="6" spans="2:7" ht="69">
      <c r="B6" s="288" t="s">
        <v>0</v>
      </c>
      <c r="C6" s="288" t="s">
        <v>3971</v>
      </c>
      <c r="D6" s="288" t="s">
        <v>3983</v>
      </c>
      <c r="E6" s="289" t="s">
        <v>3984</v>
      </c>
      <c r="F6" s="288" t="s">
        <v>3974</v>
      </c>
      <c r="G6" s="288" t="s">
        <v>3985</v>
      </c>
    </row>
    <row r="7" spans="2:7" ht="51.75">
      <c r="B7" s="288" t="s">
        <v>1</v>
      </c>
      <c r="C7" s="288" t="s">
        <v>3971</v>
      </c>
      <c r="D7" s="288" t="s">
        <v>3986</v>
      </c>
      <c r="E7" s="289" t="s">
        <v>3984</v>
      </c>
      <c r="F7" s="288" t="s">
        <v>3987</v>
      </c>
      <c r="G7" s="288" t="s">
        <v>3988</v>
      </c>
    </row>
    <row r="8" spans="2:7" ht="51.75">
      <c r="B8" s="288" t="s">
        <v>3872</v>
      </c>
      <c r="C8" s="288" t="s">
        <v>3971</v>
      </c>
      <c r="D8" s="288" t="s">
        <v>3989</v>
      </c>
      <c r="E8" s="289" t="s">
        <v>3984</v>
      </c>
      <c r="F8" s="288" t="s">
        <v>3987</v>
      </c>
      <c r="G8" s="288" t="s">
        <v>3990</v>
      </c>
    </row>
    <row r="9" spans="2:7" ht="69">
      <c r="B9" s="288" t="s">
        <v>3991</v>
      </c>
      <c r="C9" s="288" t="s">
        <v>3992</v>
      </c>
      <c r="D9" s="288" t="s">
        <v>3993</v>
      </c>
      <c r="E9" s="288" t="s">
        <v>3994</v>
      </c>
      <c r="F9" s="288" t="s">
        <v>3974</v>
      </c>
      <c r="G9" s="288" t="s">
        <v>3995</v>
      </c>
    </row>
    <row r="10" spans="2:7" ht="51.75">
      <c r="B10" s="288" t="s">
        <v>3916</v>
      </c>
      <c r="C10" s="288" t="s">
        <v>3992</v>
      </c>
      <c r="D10" s="288" t="s">
        <v>3996</v>
      </c>
      <c r="E10" s="288" t="s">
        <v>3997</v>
      </c>
      <c r="F10" s="288" t="s">
        <v>3974</v>
      </c>
      <c r="G10" s="288" t="s">
        <v>3998</v>
      </c>
    </row>
    <row r="11" spans="2:7" ht="51.75">
      <c r="B11" s="288" t="s">
        <v>3999</v>
      </c>
      <c r="C11" s="288" t="s">
        <v>3992</v>
      </c>
      <c r="D11" s="288" t="s">
        <v>4000</v>
      </c>
      <c r="E11" s="288" t="s">
        <v>4001</v>
      </c>
      <c r="F11" s="288" t="s">
        <v>3974</v>
      </c>
      <c r="G11" s="288" t="s">
        <v>4002</v>
      </c>
    </row>
    <row r="12" spans="2:7" ht="69">
      <c r="B12" s="288" t="s">
        <v>3840</v>
      </c>
      <c r="C12" s="288" t="s">
        <v>3919</v>
      </c>
      <c r="D12" s="288" t="s">
        <v>4003</v>
      </c>
      <c r="E12" s="289" t="s">
        <v>4004</v>
      </c>
      <c r="F12" s="288" t="s">
        <v>3974</v>
      </c>
      <c r="G12" s="288" t="s">
        <v>4005</v>
      </c>
    </row>
    <row r="13" spans="2:7" ht="51.75">
      <c r="B13" s="288" t="s">
        <v>4006</v>
      </c>
      <c r="C13" s="288" t="s">
        <v>3919</v>
      </c>
      <c r="D13" s="288" t="s">
        <v>4007</v>
      </c>
      <c r="E13" s="289" t="s">
        <v>4008</v>
      </c>
      <c r="F13" s="288" t="s">
        <v>3974</v>
      </c>
      <c r="G13" s="288" t="s">
        <v>4009</v>
      </c>
    </row>
    <row r="14" spans="2:7" ht="69">
      <c r="B14" s="288" t="s">
        <v>3566</v>
      </c>
      <c r="C14" s="288" t="s">
        <v>3919</v>
      </c>
      <c r="D14" s="288" t="s">
        <v>4010</v>
      </c>
      <c r="E14" s="289" t="s">
        <v>4011</v>
      </c>
      <c r="F14" s="288" t="s">
        <v>3974</v>
      </c>
      <c r="G14" s="288" t="s">
        <v>4012</v>
      </c>
    </row>
    <row r="15" spans="2:7" ht="34.5">
      <c r="B15" s="288" t="s">
        <v>3883</v>
      </c>
      <c r="C15" s="288" t="s">
        <v>3919</v>
      </c>
      <c r="D15" s="288" t="s">
        <v>4013</v>
      </c>
      <c r="E15" s="289" t="s">
        <v>4014</v>
      </c>
      <c r="F15" s="288" t="s">
        <v>3974</v>
      </c>
      <c r="G15" s="288" t="s">
        <v>4015</v>
      </c>
    </row>
    <row r="16" spans="2:7" ht="34.5">
      <c r="B16" s="288" t="s">
        <v>3568</v>
      </c>
      <c r="C16" s="288" t="s">
        <v>3919</v>
      </c>
      <c r="D16" s="288" t="s">
        <v>4016</v>
      </c>
      <c r="E16" s="289" t="s">
        <v>4017</v>
      </c>
      <c r="F16" s="288" t="s">
        <v>3974</v>
      </c>
      <c r="G16" s="288" t="s">
        <v>4018</v>
      </c>
    </row>
    <row r="17" spans="2:7" ht="34.5">
      <c r="B17" s="288" t="s">
        <v>3922</v>
      </c>
      <c r="C17" s="288" t="s">
        <v>3919</v>
      </c>
      <c r="D17" s="288" t="s">
        <v>4019</v>
      </c>
      <c r="E17" s="289" t="s">
        <v>4020</v>
      </c>
      <c r="F17" s="288" t="s">
        <v>3833</v>
      </c>
      <c r="G17" s="288" t="s">
        <v>4021</v>
      </c>
    </row>
    <row r="18" spans="2:7" ht="34.5">
      <c r="B18" s="288" t="s">
        <v>3882</v>
      </c>
      <c r="C18" s="288" t="s">
        <v>3919</v>
      </c>
      <c r="D18" s="288" t="s">
        <v>4022</v>
      </c>
      <c r="E18" s="289" t="s">
        <v>4023</v>
      </c>
      <c r="F18" s="288" t="s">
        <v>3974</v>
      </c>
      <c r="G18" s="288" t="s">
        <v>4024</v>
      </c>
    </row>
    <row r="19" spans="2:7" ht="34.5">
      <c r="B19" s="288" t="s">
        <v>3</v>
      </c>
      <c r="C19" s="288" t="s">
        <v>3919</v>
      </c>
      <c r="D19" s="288" t="s">
        <v>4025</v>
      </c>
      <c r="E19" s="289" t="s">
        <v>4026</v>
      </c>
      <c r="F19" s="288" t="s">
        <v>3974</v>
      </c>
      <c r="G19" s="288" t="s">
        <v>4027</v>
      </c>
    </row>
    <row r="20" spans="2:7" ht="34.5">
      <c r="B20" s="288" t="s">
        <v>4028</v>
      </c>
      <c r="C20" s="288" t="s">
        <v>3919</v>
      </c>
      <c r="D20" s="288" t="s">
        <v>4029</v>
      </c>
      <c r="E20" s="289" t="s">
        <v>4030</v>
      </c>
      <c r="F20" s="288" t="s">
        <v>3987</v>
      </c>
      <c r="G20" s="288" t="s">
        <v>4031</v>
      </c>
    </row>
    <row r="21" spans="2:7" ht="51.75">
      <c r="B21" s="288" t="s">
        <v>3926</v>
      </c>
      <c r="C21" s="288" t="s">
        <v>3919</v>
      </c>
      <c r="D21" s="288" t="s">
        <v>4032</v>
      </c>
      <c r="E21" s="288" t="s">
        <v>4093</v>
      </c>
      <c r="F21" s="288" t="s">
        <v>3987</v>
      </c>
      <c r="G21" s="288" t="s">
        <v>4033</v>
      </c>
    </row>
    <row r="22" spans="2:7" ht="34.5">
      <c r="B22" s="288" t="s">
        <v>4</v>
      </c>
      <c r="C22" s="288" t="s">
        <v>3919</v>
      </c>
      <c r="D22" s="288" t="s">
        <v>4034</v>
      </c>
      <c r="E22" s="289" t="s">
        <v>4035</v>
      </c>
      <c r="F22" s="288" t="s">
        <v>3974</v>
      </c>
      <c r="G22" s="288" t="s">
        <v>4036</v>
      </c>
    </row>
    <row r="23" spans="2:7" ht="51.75">
      <c r="B23" s="288" t="s">
        <v>3927</v>
      </c>
      <c r="C23" s="288" t="s">
        <v>3919</v>
      </c>
      <c r="D23" s="288" t="s">
        <v>4037</v>
      </c>
      <c r="E23" s="289" t="s">
        <v>4038</v>
      </c>
      <c r="F23" s="288" t="s">
        <v>3987</v>
      </c>
      <c r="G23" s="288" t="s">
        <v>4039</v>
      </c>
    </row>
    <row r="24" spans="2:7" ht="69">
      <c r="B24" s="288" t="s">
        <v>4040</v>
      </c>
      <c r="C24" s="288" t="s">
        <v>4041</v>
      </c>
      <c r="D24" s="288" t="s">
        <v>4042</v>
      </c>
      <c r="E24" s="289" t="s">
        <v>4043</v>
      </c>
      <c r="F24" s="288" t="s">
        <v>3833</v>
      </c>
      <c r="G24" s="288" t="s">
        <v>4044</v>
      </c>
    </row>
    <row r="25" spans="2:7" ht="51.75">
      <c r="B25" s="288" t="s">
        <v>3860</v>
      </c>
      <c r="C25" s="288" t="s">
        <v>4045</v>
      </c>
      <c r="D25" s="288" t="s">
        <v>4046</v>
      </c>
      <c r="E25" s="289" t="s">
        <v>4047</v>
      </c>
      <c r="F25" s="288" t="s">
        <v>4048</v>
      </c>
      <c r="G25" s="288" t="s">
        <v>4049</v>
      </c>
    </row>
    <row r="26" spans="2:7" ht="34.5">
      <c r="B26" s="288" t="s">
        <v>4050</v>
      </c>
      <c r="C26" s="288" t="s">
        <v>4051</v>
      </c>
      <c r="D26" s="288" t="s">
        <v>4052</v>
      </c>
      <c r="E26" s="289" t="s">
        <v>4053</v>
      </c>
      <c r="F26" s="288" t="s">
        <v>3974</v>
      </c>
      <c r="G26" s="288" t="s">
        <v>4054</v>
      </c>
    </row>
    <row r="27" spans="2:7" ht="69">
      <c r="B27" s="288" t="s">
        <v>3859</v>
      </c>
      <c r="C27" s="288" t="s">
        <v>4055</v>
      </c>
      <c r="D27" s="288" t="s">
        <v>4056</v>
      </c>
      <c r="E27" s="289" t="s">
        <v>4057</v>
      </c>
      <c r="F27" s="288" t="s">
        <v>4058</v>
      </c>
      <c r="G27" s="288" t="s">
        <v>4059</v>
      </c>
    </row>
    <row r="28" spans="2:7" ht="69">
      <c r="B28" s="288" t="s">
        <v>3856</v>
      </c>
      <c r="C28" s="288" t="s">
        <v>4055</v>
      </c>
      <c r="D28" s="288" t="s">
        <v>4060</v>
      </c>
      <c r="E28" s="289" t="s">
        <v>4061</v>
      </c>
      <c r="F28" s="288" t="s">
        <v>4058</v>
      </c>
      <c r="G28" s="288" t="s">
        <v>4062</v>
      </c>
    </row>
    <row r="29" spans="2:7" ht="51.75">
      <c r="B29" s="288" t="s">
        <v>3885</v>
      </c>
      <c r="C29" s="288" t="s">
        <v>4055</v>
      </c>
      <c r="D29" s="288" t="s">
        <v>4063</v>
      </c>
      <c r="E29" s="289" t="s">
        <v>4064</v>
      </c>
      <c r="F29" s="288" t="s">
        <v>4058</v>
      </c>
      <c r="G29" s="288" t="s">
        <v>4065</v>
      </c>
    </row>
    <row r="30" spans="2:7" ht="86.25">
      <c r="B30" s="288" t="s">
        <v>4066</v>
      </c>
      <c r="C30" s="288" t="s">
        <v>4067</v>
      </c>
      <c r="D30" s="288" t="s">
        <v>4068</v>
      </c>
      <c r="E30" s="289" t="s">
        <v>4094</v>
      </c>
      <c r="F30" s="288" t="s">
        <v>4095</v>
      </c>
      <c r="G30" s="288" t="s">
        <v>4069</v>
      </c>
    </row>
    <row r="31" spans="2:7" ht="69">
      <c r="B31" s="288" t="s">
        <v>4070</v>
      </c>
      <c r="C31" s="288" t="s">
        <v>4071</v>
      </c>
      <c r="D31" s="288" t="s">
        <v>4072</v>
      </c>
      <c r="E31" s="288" t="s">
        <v>4096</v>
      </c>
      <c r="F31" s="288" t="s">
        <v>3987</v>
      </c>
      <c r="G31" s="288" t="s">
        <v>4073</v>
      </c>
    </row>
    <row r="32" spans="2:7" ht="69">
      <c r="B32" s="288" t="s">
        <v>4074</v>
      </c>
      <c r="C32" s="288" t="s">
        <v>4071</v>
      </c>
      <c r="D32" s="288" t="s">
        <v>4075</v>
      </c>
      <c r="E32" s="288" t="s">
        <v>4076</v>
      </c>
      <c r="F32" s="288" t="s">
        <v>3833</v>
      </c>
      <c r="G32" s="288" t="s">
        <v>4077</v>
      </c>
    </row>
    <row r="33" spans="2:7" ht="51.75">
      <c r="B33" s="288" t="s">
        <v>4078</v>
      </c>
      <c r="C33" s="288" t="s">
        <v>4071</v>
      </c>
      <c r="D33" s="288" t="s">
        <v>4079</v>
      </c>
      <c r="E33" s="288" t="s">
        <v>4076</v>
      </c>
      <c r="F33" s="288" t="s">
        <v>3833</v>
      </c>
      <c r="G33" s="288" t="s">
        <v>4080</v>
      </c>
    </row>
    <row r="34" spans="2:7" ht="69">
      <c r="B34" s="288" t="s">
        <v>4081</v>
      </c>
      <c r="C34" s="288" t="s">
        <v>4071</v>
      </c>
      <c r="D34" s="288" t="s">
        <v>4082</v>
      </c>
      <c r="E34" s="288" t="s">
        <v>4076</v>
      </c>
      <c r="F34" s="288" t="s">
        <v>3833</v>
      </c>
      <c r="G34" s="288" t="s">
        <v>4083</v>
      </c>
    </row>
    <row r="35" spans="2:7" ht="51.75">
      <c r="B35" s="288" t="s">
        <v>3907</v>
      </c>
      <c r="C35" s="288" t="s">
        <v>4071</v>
      </c>
      <c r="D35" s="288" t="s">
        <v>4084</v>
      </c>
      <c r="E35" s="288" t="s">
        <v>4076</v>
      </c>
      <c r="F35" s="288" t="s">
        <v>4097</v>
      </c>
      <c r="G35" s="288" t="s">
        <v>4085</v>
      </c>
    </row>
    <row r="36" spans="2:7" ht="51.75">
      <c r="B36" s="288" t="s">
        <v>4086</v>
      </c>
      <c r="C36" s="288" t="s">
        <v>4071</v>
      </c>
      <c r="D36" s="288" t="s">
        <v>4087</v>
      </c>
      <c r="E36" s="288" t="s">
        <v>4076</v>
      </c>
      <c r="F36" s="288" t="s">
        <v>3833</v>
      </c>
      <c r="G36" s="288" t="s">
        <v>4088</v>
      </c>
    </row>
    <row r="37" spans="2:7" ht="69">
      <c r="B37" s="288" t="s">
        <v>3910</v>
      </c>
      <c r="C37" s="288" t="s">
        <v>4071</v>
      </c>
      <c r="D37" s="288" t="s">
        <v>4089</v>
      </c>
      <c r="E37" s="288" t="s">
        <v>4096</v>
      </c>
      <c r="F37" s="288" t="s">
        <v>4090</v>
      </c>
      <c r="G37" s="288" t="s">
        <v>4091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0782-4AB8-4160-9599-A252C889410B}">
  <dimension ref="A1:AM1250"/>
  <sheetViews>
    <sheetView topLeftCell="U1" workbookViewId="0">
      <selection activeCell="AC467" sqref="AC467:AC518"/>
    </sheetView>
  </sheetViews>
  <sheetFormatPr baseColWidth="10" defaultRowHeight="15"/>
  <cols>
    <col min="1" max="1" width="22.42578125" bestFit="1" customWidth="1"/>
    <col min="2" max="2" width="16.85546875" bestFit="1" customWidth="1"/>
    <col min="3" max="3" width="30.140625" bestFit="1" customWidth="1"/>
    <col min="4" max="4" width="24.85546875" bestFit="1" customWidth="1"/>
    <col min="5" max="5" width="22.7109375" bestFit="1" customWidth="1"/>
    <col min="8" max="8" width="16.5703125" bestFit="1" customWidth="1"/>
    <col min="9" max="9" width="13.42578125" bestFit="1" customWidth="1"/>
    <col min="10" max="12" width="17.7109375" bestFit="1" customWidth="1"/>
    <col min="13" max="13" width="26.140625" bestFit="1" customWidth="1"/>
    <col min="14" max="14" width="21.42578125" bestFit="1" customWidth="1"/>
    <col min="15" max="15" width="16.85546875" bestFit="1" customWidth="1"/>
    <col min="16" max="16" width="15.7109375" bestFit="1" customWidth="1"/>
    <col min="17" max="17" width="17" bestFit="1" customWidth="1"/>
    <col min="18" max="18" width="13.42578125" bestFit="1" customWidth="1"/>
    <col min="19" max="19" width="15.28515625" bestFit="1" customWidth="1"/>
    <col min="20" max="20" width="14.85546875" bestFit="1" customWidth="1"/>
    <col min="21" max="21" width="5.7109375" bestFit="1" customWidth="1"/>
    <col min="22" max="22" width="27.5703125" bestFit="1" customWidth="1"/>
    <col min="23" max="23" width="4.140625" bestFit="1" customWidth="1"/>
    <col min="24" max="24" width="22.42578125" bestFit="1" customWidth="1"/>
    <col min="25" max="25" width="8.28515625" bestFit="1" customWidth="1"/>
    <col min="26" max="26" width="30.5703125" bestFit="1" customWidth="1"/>
    <col min="27" max="27" width="13.85546875" bestFit="1" customWidth="1"/>
    <col min="28" max="28" width="13.7109375" customWidth="1"/>
    <col min="29" max="29" width="6.5703125" bestFit="1" customWidth="1"/>
    <col min="30" max="30" width="18.5703125" bestFit="1" customWidth="1"/>
    <col min="31" max="31" width="20.5703125" bestFit="1" customWidth="1"/>
    <col min="32" max="32" width="49.5703125" bestFit="1" customWidth="1"/>
    <col min="33" max="33" width="32.7109375" bestFit="1" customWidth="1"/>
    <col min="34" max="34" width="26" bestFit="1" customWidth="1"/>
    <col min="35" max="35" width="17.140625" bestFit="1" customWidth="1"/>
    <col min="36" max="36" width="16.5703125" bestFit="1" customWidth="1"/>
    <col min="37" max="37" width="26" bestFit="1" customWidth="1"/>
    <col min="38" max="38" width="39" bestFit="1" customWidth="1"/>
  </cols>
  <sheetData>
    <row r="1" spans="1:39" ht="24">
      <c r="A1" s="226" t="s">
        <v>3577</v>
      </c>
      <c r="B1" s="226"/>
      <c r="C1" s="226"/>
      <c r="D1" s="226"/>
      <c r="E1" s="226"/>
      <c r="G1" s="227" t="s">
        <v>3578</v>
      </c>
      <c r="H1" s="227"/>
      <c r="I1" s="227"/>
      <c r="J1" s="227"/>
      <c r="K1" s="227"/>
      <c r="L1" s="227"/>
      <c r="M1" s="227"/>
      <c r="N1" s="227"/>
      <c r="O1" s="227"/>
      <c r="P1" s="227"/>
      <c r="Q1" s="227"/>
      <c r="R1" s="227"/>
      <c r="S1" s="227"/>
      <c r="U1" s="228" t="s">
        <v>570</v>
      </c>
      <c r="V1" s="228"/>
      <c r="W1" s="228"/>
      <c r="X1" s="228"/>
      <c r="Y1" s="228"/>
      <c r="Z1" s="228"/>
      <c r="AA1" s="228"/>
      <c r="AC1" s="229" t="s">
        <v>3579</v>
      </c>
      <c r="AD1" s="229"/>
      <c r="AE1" s="229"/>
      <c r="AF1" s="229"/>
      <c r="AG1" s="229"/>
      <c r="AH1" s="229"/>
      <c r="AI1" s="229"/>
      <c r="AJ1" s="229"/>
      <c r="AK1" s="229"/>
      <c r="AL1" s="229"/>
    </row>
    <row r="2" spans="1:39">
      <c r="A2" s="10" t="s">
        <v>526</v>
      </c>
      <c r="B2" s="10" t="s">
        <v>537</v>
      </c>
      <c r="C2" s="10" t="s">
        <v>541</v>
      </c>
      <c r="D2" s="10" t="s">
        <v>544</v>
      </c>
      <c r="E2" s="10" t="s">
        <v>546</v>
      </c>
      <c r="G2" s="27" t="s">
        <v>93</v>
      </c>
      <c r="H2" s="27" t="s">
        <v>94</v>
      </c>
      <c r="I2" s="27" t="s">
        <v>95</v>
      </c>
      <c r="J2" s="27" t="s">
        <v>96</v>
      </c>
      <c r="K2" s="27" t="s">
        <v>97</v>
      </c>
      <c r="L2" s="27" t="s">
        <v>98</v>
      </c>
      <c r="M2" s="27" t="s">
        <v>99</v>
      </c>
      <c r="N2" s="27" t="s">
        <v>100</v>
      </c>
      <c r="O2" s="27" t="s">
        <v>101</v>
      </c>
      <c r="P2" s="27" t="s">
        <v>102</v>
      </c>
      <c r="Q2" s="27" t="s">
        <v>103</v>
      </c>
      <c r="R2" s="27" t="s">
        <v>104</v>
      </c>
      <c r="S2" s="27" t="s">
        <v>105</v>
      </c>
      <c r="U2" s="18" t="s">
        <v>571</v>
      </c>
      <c r="V2" s="18" t="s">
        <v>573</v>
      </c>
      <c r="W2" s="18" t="s">
        <v>575</v>
      </c>
      <c r="X2" s="18" t="s">
        <v>577</v>
      </c>
      <c r="Y2" s="18" t="s">
        <v>579</v>
      </c>
      <c r="Z2" s="18" t="s">
        <v>582</v>
      </c>
      <c r="AA2" s="18" t="s">
        <v>585</v>
      </c>
      <c r="AC2" s="28" t="s">
        <v>588</v>
      </c>
      <c r="AD2" s="28" t="s">
        <v>590</v>
      </c>
      <c r="AE2" s="28" t="s">
        <v>593</v>
      </c>
      <c r="AF2" s="28" t="s">
        <v>595</v>
      </c>
      <c r="AG2" s="28" t="s">
        <v>598</v>
      </c>
      <c r="AH2" s="28" t="s">
        <v>601</v>
      </c>
      <c r="AI2" s="28" t="s">
        <v>603</v>
      </c>
      <c r="AJ2" s="28" t="s">
        <v>605</v>
      </c>
      <c r="AK2" s="28" t="s">
        <v>607</v>
      </c>
      <c r="AL2" s="28" t="s">
        <v>609</v>
      </c>
      <c r="AM2" s="114"/>
    </row>
    <row r="3" spans="1:39">
      <c r="A3" s="10" t="s">
        <v>12</v>
      </c>
      <c r="B3" s="10" t="s">
        <v>613</v>
      </c>
      <c r="C3" s="10">
        <v>20</v>
      </c>
      <c r="D3" s="10">
        <v>123</v>
      </c>
      <c r="E3" s="10">
        <v>251</v>
      </c>
      <c r="G3" s="27">
        <v>1982</v>
      </c>
      <c r="H3" s="27" t="s">
        <v>106</v>
      </c>
      <c r="I3" s="27" t="s">
        <v>107</v>
      </c>
      <c r="J3" s="27" t="s">
        <v>5</v>
      </c>
      <c r="K3" s="27" t="s">
        <v>5</v>
      </c>
      <c r="L3" s="27" t="s">
        <v>108</v>
      </c>
      <c r="M3" s="27" t="s">
        <v>109</v>
      </c>
      <c r="N3" s="27">
        <v>1</v>
      </c>
      <c r="O3" s="27">
        <v>1</v>
      </c>
      <c r="P3" s="27" t="s">
        <v>110</v>
      </c>
      <c r="Q3" s="27" t="s">
        <v>111</v>
      </c>
      <c r="R3" s="27" t="s">
        <v>111</v>
      </c>
      <c r="S3" s="27" t="s">
        <v>112</v>
      </c>
      <c r="U3" s="18">
        <v>1</v>
      </c>
      <c r="V3" s="18" t="s">
        <v>641</v>
      </c>
      <c r="W3" s="18">
        <v>26</v>
      </c>
      <c r="X3" s="18" t="s">
        <v>69</v>
      </c>
      <c r="Y3" s="18" t="s">
        <v>642</v>
      </c>
      <c r="Z3" s="18" t="s">
        <v>643</v>
      </c>
      <c r="AA3" s="18">
        <v>1</v>
      </c>
      <c r="AC3" s="28" t="s">
        <v>2291</v>
      </c>
      <c r="AD3" s="28" t="s">
        <v>2292</v>
      </c>
      <c r="AE3" s="28" t="s">
        <v>2293</v>
      </c>
      <c r="AF3" s="28" t="s">
        <v>2294</v>
      </c>
      <c r="AG3" s="28" t="s">
        <v>2295</v>
      </c>
      <c r="AH3" s="28" t="s">
        <v>5</v>
      </c>
      <c r="AI3" s="28" t="s">
        <v>2296</v>
      </c>
      <c r="AJ3" s="28" t="s">
        <v>2297</v>
      </c>
      <c r="AK3" s="28" t="s">
        <v>28</v>
      </c>
      <c r="AL3" s="28" t="s">
        <v>2298</v>
      </c>
      <c r="AM3" s="114"/>
    </row>
    <row r="4" spans="1:39">
      <c r="A4" s="10" t="s">
        <v>9</v>
      </c>
      <c r="B4" s="10" t="s">
        <v>614</v>
      </c>
      <c r="C4" s="10">
        <v>19</v>
      </c>
      <c r="D4" s="10">
        <v>98</v>
      </c>
      <c r="E4" s="10">
        <v>168</v>
      </c>
      <c r="G4" s="27">
        <v>1982</v>
      </c>
      <c r="H4" s="27" t="s">
        <v>106</v>
      </c>
      <c r="I4" s="27" t="s">
        <v>107</v>
      </c>
      <c r="J4" s="27" t="s">
        <v>5</v>
      </c>
      <c r="K4" s="27" t="s">
        <v>107</v>
      </c>
      <c r="L4" s="27" t="s">
        <v>113</v>
      </c>
      <c r="M4" s="27" t="s">
        <v>114</v>
      </c>
      <c r="N4" s="27">
        <v>2</v>
      </c>
      <c r="O4" s="27">
        <v>1</v>
      </c>
      <c r="P4" s="27" t="s">
        <v>115</v>
      </c>
      <c r="Q4" s="27" t="s">
        <v>111</v>
      </c>
      <c r="R4" s="27" t="s">
        <v>111</v>
      </c>
      <c r="S4" s="27" t="s">
        <v>112</v>
      </c>
      <c r="U4" s="18">
        <v>2</v>
      </c>
      <c r="V4" s="18" t="s">
        <v>644</v>
      </c>
      <c r="W4" s="18">
        <v>30</v>
      </c>
      <c r="X4" s="18" t="s">
        <v>69</v>
      </c>
      <c r="Y4" s="18" t="s">
        <v>642</v>
      </c>
      <c r="Z4" s="18" t="s">
        <v>645</v>
      </c>
      <c r="AA4" s="18">
        <v>16</v>
      </c>
      <c r="AC4" s="28" t="s">
        <v>2291</v>
      </c>
      <c r="AD4" s="28" t="s">
        <v>2292</v>
      </c>
      <c r="AE4" s="28" t="s">
        <v>2299</v>
      </c>
      <c r="AF4" s="28" t="s">
        <v>2300</v>
      </c>
      <c r="AG4" s="28" t="s">
        <v>2295</v>
      </c>
      <c r="AH4" s="28" t="s">
        <v>6</v>
      </c>
      <c r="AI4" s="28" t="s">
        <v>2301</v>
      </c>
      <c r="AJ4" s="28" t="s">
        <v>2302</v>
      </c>
      <c r="AK4" s="28" t="s">
        <v>33</v>
      </c>
      <c r="AL4" s="28" t="s">
        <v>2298</v>
      </c>
      <c r="AM4" s="114"/>
    </row>
    <row r="5" spans="1:39">
      <c r="A5" s="10" t="s">
        <v>5</v>
      </c>
      <c r="B5" s="10" t="s">
        <v>615</v>
      </c>
      <c r="C5" s="10">
        <v>18</v>
      </c>
      <c r="D5" s="10">
        <v>82</v>
      </c>
      <c r="E5" s="10">
        <v>155</v>
      </c>
      <c r="G5" s="27">
        <v>1982</v>
      </c>
      <c r="H5" s="27" t="s">
        <v>106</v>
      </c>
      <c r="I5" s="27" t="s">
        <v>107</v>
      </c>
      <c r="J5" s="27" t="s">
        <v>5</v>
      </c>
      <c r="K5" s="27" t="s">
        <v>5</v>
      </c>
      <c r="L5" s="27" t="s">
        <v>116</v>
      </c>
      <c r="M5" s="27" t="s">
        <v>109</v>
      </c>
      <c r="N5" s="27">
        <v>3</v>
      </c>
      <c r="O5" s="27">
        <v>2</v>
      </c>
      <c r="P5" s="27" t="s">
        <v>117</v>
      </c>
      <c r="Q5" s="27" t="s">
        <v>111</v>
      </c>
      <c r="R5" s="27" t="s">
        <v>111</v>
      </c>
      <c r="S5" s="27" t="s">
        <v>112</v>
      </c>
      <c r="U5" s="18">
        <v>3</v>
      </c>
      <c r="V5" s="18" t="s">
        <v>646</v>
      </c>
      <c r="W5" s="18">
        <v>23</v>
      </c>
      <c r="X5" s="18" t="s">
        <v>69</v>
      </c>
      <c r="Y5" s="18" t="s">
        <v>642</v>
      </c>
      <c r="Z5" s="18" t="s">
        <v>647</v>
      </c>
      <c r="AA5" s="18">
        <v>23</v>
      </c>
      <c r="AC5" s="28" t="s">
        <v>2291</v>
      </c>
      <c r="AD5" s="28" t="s">
        <v>2303</v>
      </c>
      <c r="AE5" s="28" t="s">
        <v>2304</v>
      </c>
      <c r="AF5" s="28" t="s">
        <v>2300</v>
      </c>
      <c r="AG5" s="28" t="s">
        <v>2295</v>
      </c>
      <c r="AH5" s="28" t="s">
        <v>7</v>
      </c>
      <c r="AI5" s="28" t="s">
        <v>2305</v>
      </c>
      <c r="AJ5" s="28" t="s">
        <v>2297</v>
      </c>
      <c r="AK5" s="28" t="s">
        <v>12</v>
      </c>
      <c r="AL5" s="28" t="s">
        <v>2298</v>
      </c>
      <c r="AM5" s="114"/>
    </row>
    <row r="6" spans="1:39">
      <c r="A6" s="10" t="s">
        <v>23</v>
      </c>
      <c r="B6" s="10" t="s">
        <v>616</v>
      </c>
      <c r="C6" s="10">
        <v>16</v>
      </c>
      <c r="D6" s="10">
        <v>81</v>
      </c>
      <c r="E6" s="10">
        <v>124</v>
      </c>
      <c r="G6" s="27">
        <v>1982</v>
      </c>
      <c r="H6" s="27" t="s">
        <v>106</v>
      </c>
      <c r="I6" s="27" t="s">
        <v>107</v>
      </c>
      <c r="J6" s="27" t="s">
        <v>5</v>
      </c>
      <c r="K6" s="27" t="s">
        <v>107</v>
      </c>
      <c r="L6" s="27" t="s">
        <v>118</v>
      </c>
      <c r="M6" s="27" t="s">
        <v>114</v>
      </c>
      <c r="N6" s="27">
        <v>4</v>
      </c>
      <c r="O6" s="27">
        <v>2</v>
      </c>
      <c r="P6" s="27" t="s">
        <v>119</v>
      </c>
      <c r="Q6" s="27" t="s">
        <v>111</v>
      </c>
      <c r="R6" s="27" t="s">
        <v>111</v>
      </c>
      <c r="S6" s="27" t="s">
        <v>112</v>
      </c>
      <c r="U6" s="18">
        <v>4</v>
      </c>
      <c r="V6" s="18" t="s">
        <v>648</v>
      </c>
      <c r="W6" s="18">
        <v>25</v>
      </c>
      <c r="X6" s="18" t="s">
        <v>69</v>
      </c>
      <c r="Y6" s="18" t="s">
        <v>649</v>
      </c>
      <c r="Z6" s="18" t="s">
        <v>645</v>
      </c>
      <c r="AA6" s="18">
        <v>2</v>
      </c>
      <c r="AC6" s="28" t="s">
        <v>2291</v>
      </c>
      <c r="AD6" s="28" t="s">
        <v>2306</v>
      </c>
      <c r="AE6" s="28" t="s">
        <v>2307</v>
      </c>
      <c r="AF6" s="28" t="s">
        <v>2294</v>
      </c>
      <c r="AG6" s="28" t="s">
        <v>2295</v>
      </c>
      <c r="AH6" s="28" t="s">
        <v>8</v>
      </c>
      <c r="AI6" s="28" t="s">
        <v>2301</v>
      </c>
      <c r="AJ6" s="28" t="s">
        <v>2297</v>
      </c>
      <c r="AK6" s="28" t="s">
        <v>32</v>
      </c>
      <c r="AL6" s="28" t="s">
        <v>2298</v>
      </c>
      <c r="AM6" s="114"/>
    </row>
    <row r="7" spans="1:39">
      <c r="A7" s="10" t="s">
        <v>18</v>
      </c>
      <c r="B7" s="10" t="s">
        <v>568</v>
      </c>
      <c r="C7" s="10">
        <v>13</v>
      </c>
      <c r="D7" s="10">
        <v>58</v>
      </c>
      <c r="E7" s="10">
        <v>123</v>
      </c>
      <c r="G7" s="27">
        <v>1982</v>
      </c>
      <c r="H7" s="27" t="s">
        <v>106</v>
      </c>
      <c r="I7" s="27" t="s">
        <v>107</v>
      </c>
      <c r="J7" s="27" t="s">
        <v>5</v>
      </c>
      <c r="K7" s="27" t="s">
        <v>5</v>
      </c>
      <c r="L7" s="27" t="s">
        <v>120</v>
      </c>
      <c r="M7" s="27" t="s">
        <v>109</v>
      </c>
      <c r="N7" s="27">
        <v>5</v>
      </c>
      <c r="O7" s="27">
        <v>3</v>
      </c>
      <c r="P7" s="27" t="s">
        <v>121</v>
      </c>
      <c r="Q7" s="27" t="s">
        <v>111</v>
      </c>
      <c r="R7" s="27" t="s">
        <v>111</v>
      </c>
      <c r="S7" s="27" t="s">
        <v>112</v>
      </c>
      <c r="U7" s="18">
        <v>5</v>
      </c>
      <c r="V7" s="18" t="s">
        <v>650</v>
      </c>
      <c r="W7" s="18">
        <v>33</v>
      </c>
      <c r="X7" s="18" t="s">
        <v>69</v>
      </c>
      <c r="Y7" s="18" t="s">
        <v>649</v>
      </c>
      <c r="Z7" s="18" t="s">
        <v>645</v>
      </c>
      <c r="AA7" s="18">
        <v>3</v>
      </c>
      <c r="AC7" s="28" t="s">
        <v>2291</v>
      </c>
      <c r="AD7" s="28" t="s">
        <v>2308</v>
      </c>
      <c r="AE7" s="28" t="s">
        <v>2293</v>
      </c>
      <c r="AF7" s="28" t="s">
        <v>2300</v>
      </c>
      <c r="AG7" s="28" t="s">
        <v>2295</v>
      </c>
      <c r="AH7" s="28" t="s">
        <v>9</v>
      </c>
      <c r="AI7" s="28" t="s">
        <v>2297</v>
      </c>
      <c r="AJ7" s="28" t="s">
        <v>2302</v>
      </c>
      <c r="AK7" s="28" t="s">
        <v>5</v>
      </c>
      <c r="AL7" s="28" t="s">
        <v>2298</v>
      </c>
      <c r="AM7" s="114"/>
    </row>
    <row r="8" spans="1:39">
      <c r="A8" s="10" t="s">
        <v>19</v>
      </c>
      <c r="B8" s="10" t="s">
        <v>617</v>
      </c>
      <c r="C8" s="10">
        <v>13</v>
      </c>
      <c r="D8" s="10">
        <v>75</v>
      </c>
      <c r="E8" s="10">
        <v>122</v>
      </c>
      <c r="G8" s="27">
        <v>1982</v>
      </c>
      <c r="H8" s="27" t="s">
        <v>106</v>
      </c>
      <c r="I8" s="27" t="s">
        <v>107</v>
      </c>
      <c r="J8" s="27" t="s">
        <v>5</v>
      </c>
      <c r="K8" s="27" t="s">
        <v>107</v>
      </c>
      <c r="L8" s="27" t="s">
        <v>122</v>
      </c>
      <c r="M8" s="27" t="s">
        <v>114</v>
      </c>
      <c r="N8" s="27">
        <v>6</v>
      </c>
      <c r="O8" s="27">
        <v>3</v>
      </c>
      <c r="P8" s="27" t="s">
        <v>123</v>
      </c>
      <c r="Q8" s="27" t="s">
        <v>111</v>
      </c>
      <c r="R8" s="27" t="s">
        <v>111</v>
      </c>
      <c r="S8" s="27" t="s">
        <v>124</v>
      </c>
      <c r="U8" s="18">
        <v>6</v>
      </c>
      <c r="V8" s="18" t="s">
        <v>651</v>
      </c>
      <c r="W8" s="18">
        <v>26</v>
      </c>
      <c r="X8" s="18" t="s">
        <v>69</v>
      </c>
      <c r="Y8" s="18" t="s">
        <v>649</v>
      </c>
      <c r="Z8" s="18" t="s">
        <v>652</v>
      </c>
      <c r="AA8" s="18">
        <v>4</v>
      </c>
      <c r="AC8" s="28" t="s">
        <v>2291</v>
      </c>
      <c r="AD8" s="28" t="s">
        <v>2309</v>
      </c>
      <c r="AE8" s="28" t="s">
        <v>2293</v>
      </c>
      <c r="AF8" s="28" t="s">
        <v>2300</v>
      </c>
      <c r="AG8" s="28" t="s">
        <v>2295</v>
      </c>
      <c r="AH8" s="28" t="s">
        <v>10</v>
      </c>
      <c r="AI8" s="28" t="s">
        <v>2301</v>
      </c>
      <c r="AJ8" s="28" t="s">
        <v>2302</v>
      </c>
      <c r="AK8" s="28" t="s">
        <v>28</v>
      </c>
      <c r="AL8" s="28" t="s">
        <v>2298</v>
      </c>
      <c r="AM8" s="114"/>
    </row>
    <row r="9" spans="1:39">
      <c r="A9" s="10" t="s">
        <v>40</v>
      </c>
      <c r="B9" s="10" t="s">
        <v>618</v>
      </c>
      <c r="C9" s="10">
        <v>19</v>
      </c>
      <c r="D9" s="10">
        <v>63</v>
      </c>
      <c r="E9" s="10">
        <v>112</v>
      </c>
      <c r="G9" s="27">
        <v>1982</v>
      </c>
      <c r="H9" s="27" t="s">
        <v>106</v>
      </c>
      <c r="I9" s="27" t="s">
        <v>107</v>
      </c>
      <c r="J9" s="27" t="s">
        <v>5</v>
      </c>
      <c r="K9" s="27" t="s">
        <v>5</v>
      </c>
      <c r="L9" s="27" t="s">
        <v>125</v>
      </c>
      <c r="M9" s="27" t="s">
        <v>109</v>
      </c>
      <c r="N9" s="27">
        <v>7</v>
      </c>
      <c r="O9" s="27">
        <v>4</v>
      </c>
      <c r="P9" s="27" t="s">
        <v>123</v>
      </c>
      <c r="Q9" s="27" t="s">
        <v>111</v>
      </c>
      <c r="R9" s="27" t="s">
        <v>111</v>
      </c>
      <c r="S9" s="27" t="s">
        <v>124</v>
      </c>
      <c r="U9" s="18">
        <v>7</v>
      </c>
      <c r="V9" s="18" t="s">
        <v>653</v>
      </c>
      <c r="W9" s="18">
        <v>23</v>
      </c>
      <c r="X9" s="18" t="s">
        <v>69</v>
      </c>
      <c r="Y9" s="18" t="s">
        <v>649</v>
      </c>
      <c r="Z9" s="18" t="s">
        <v>645</v>
      </c>
      <c r="AA9" s="18">
        <v>6</v>
      </c>
      <c r="AC9" s="28" t="s">
        <v>2291</v>
      </c>
      <c r="AD9" s="28" t="s">
        <v>2310</v>
      </c>
      <c r="AE9" s="28" t="s">
        <v>2304</v>
      </c>
      <c r="AF9" s="28" t="s">
        <v>2300</v>
      </c>
      <c r="AG9" s="28" t="s">
        <v>2295</v>
      </c>
      <c r="AH9" s="28" t="s">
        <v>7</v>
      </c>
      <c r="AI9" s="28" t="s">
        <v>2296</v>
      </c>
      <c r="AJ9" s="28" t="s">
        <v>2302</v>
      </c>
      <c r="AK9" s="28" t="s">
        <v>57</v>
      </c>
      <c r="AL9" s="28" t="s">
        <v>2298</v>
      </c>
      <c r="AM9" s="114"/>
    </row>
    <row r="10" spans="1:39">
      <c r="A10" s="10" t="s">
        <v>11</v>
      </c>
      <c r="B10" s="10" t="s">
        <v>619</v>
      </c>
      <c r="C10" s="10">
        <v>22</v>
      </c>
      <c r="D10" s="10">
        <v>63</v>
      </c>
      <c r="E10" s="10">
        <v>92</v>
      </c>
      <c r="G10" s="27">
        <v>1982</v>
      </c>
      <c r="H10" s="27" t="s">
        <v>106</v>
      </c>
      <c r="I10" s="27" t="s">
        <v>107</v>
      </c>
      <c r="J10" s="27" t="s">
        <v>5</v>
      </c>
      <c r="K10" s="27" t="s">
        <v>107</v>
      </c>
      <c r="L10" s="27" t="s">
        <v>126</v>
      </c>
      <c r="M10" s="27" t="s">
        <v>114</v>
      </c>
      <c r="N10" s="27">
        <v>8</v>
      </c>
      <c r="O10" s="27">
        <v>4</v>
      </c>
      <c r="P10" s="27" t="s">
        <v>123</v>
      </c>
      <c r="Q10" s="27" t="s">
        <v>111</v>
      </c>
      <c r="R10" s="27" t="s">
        <v>111</v>
      </c>
      <c r="S10" s="27" t="s">
        <v>112</v>
      </c>
      <c r="U10" s="18">
        <v>8</v>
      </c>
      <c r="V10" s="18" t="s">
        <v>654</v>
      </c>
      <c r="W10" s="18">
        <v>27</v>
      </c>
      <c r="X10" s="18" t="s">
        <v>69</v>
      </c>
      <c r="Y10" s="18" t="s">
        <v>649</v>
      </c>
      <c r="Z10" s="18" t="s">
        <v>655</v>
      </c>
      <c r="AA10" s="18">
        <v>7</v>
      </c>
      <c r="AC10" s="28" t="s">
        <v>2291</v>
      </c>
      <c r="AD10" s="28" t="s">
        <v>2311</v>
      </c>
      <c r="AE10" s="28" t="s">
        <v>2299</v>
      </c>
      <c r="AF10" s="28" t="s">
        <v>2300</v>
      </c>
      <c r="AG10" s="28" t="s">
        <v>2295</v>
      </c>
      <c r="AH10" s="28" t="s">
        <v>6</v>
      </c>
      <c r="AI10" s="28" t="s">
        <v>2301</v>
      </c>
      <c r="AJ10" s="28" t="s">
        <v>2302</v>
      </c>
      <c r="AK10" s="28" t="s">
        <v>13</v>
      </c>
      <c r="AL10" s="28" t="s">
        <v>2298</v>
      </c>
      <c r="AM10" s="114"/>
    </row>
    <row r="11" spans="1:39">
      <c r="A11" s="10" t="s">
        <v>17</v>
      </c>
      <c r="B11" s="10" t="s">
        <v>620</v>
      </c>
      <c r="C11" s="10">
        <v>26</v>
      </c>
      <c r="D11" s="10">
        <v>55</v>
      </c>
      <c r="E11" s="10">
        <v>87</v>
      </c>
      <c r="G11" s="27">
        <v>1982</v>
      </c>
      <c r="H11" s="27" t="s">
        <v>106</v>
      </c>
      <c r="I11" s="27" t="s">
        <v>107</v>
      </c>
      <c r="J11" s="27" t="s">
        <v>5</v>
      </c>
      <c r="K11" s="27" t="s">
        <v>5</v>
      </c>
      <c r="L11" s="27" t="s">
        <v>127</v>
      </c>
      <c r="M11" s="27" t="s">
        <v>109</v>
      </c>
      <c r="N11" s="27">
        <v>9</v>
      </c>
      <c r="O11" s="27">
        <v>5</v>
      </c>
      <c r="P11" s="27" t="s">
        <v>128</v>
      </c>
      <c r="Q11" s="27" t="s">
        <v>111</v>
      </c>
      <c r="R11" s="27" t="s">
        <v>111</v>
      </c>
      <c r="S11" s="27" t="s">
        <v>112</v>
      </c>
      <c r="U11" s="18">
        <v>9</v>
      </c>
      <c r="V11" s="18" t="s">
        <v>656</v>
      </c>
      <c r="W11" s="18">
        <v>25</v>
      </c>
      <c r="X11" s="18" t="s">
        <v>69</v>
      </c>
      <c r="Y11" s="18" t="s">
        <v>657</v>
      </c>
      <c r="Z11" s="18" t="s">
        <v>645</v>
      </c>
      <c r="AA11" s="18">
        <v>14</v>
      </c>
      <c r="AC11" s="28" t="s">
        <v>2291</v>
      </c>
      <c r="AD11" s="28" t="s">
        <v>2312</v>
      </c>
      <c r="AE11" s="28" t="s">
        <v>2307</v>
      </c>
      <c r="AF11" s="28" t="s">
        <v>2313</v>
      </c>
      <c r="AG11" s="28" t="s">
        <v>2295</v>
      </c>
      <c r="AH11" s="28" t="s">
        <v>11</v>
      </c>
      <c r="AI11" s="28" t="s">
        <v>2297</v>
      </c>
      <c r="AJ11" s="28" t="s">
        <v>2302</v>
      </c>
      <c r="AK11" s="28" t="s">
        <v>32</v>
      </c>
      <c r="AL11" s="28" t="s">
        <v>2298</v>
      </c>
      <c r="AM11" s="114"/>
    </row>
    <row r="12" spans="1:39">
      <c r="A12" s="10" t="s">
        <v>33</v>
      </c>
      <c r="B12" s="10" t="s">
        <v>621</v>
      </c>
      <c r="C12" s="10">
        <v>18</v>
      </c>
      <c r="D12" s="10">
        <v>59</v>
      </c>
      <c r="E12" s="10">
        <v>85</v>
      </c>
      <c r="G12" s="27">
        <v>1982</v>
      </c>
      <c r="H12" s="27" t="s">
        <v>106</v>
      </c>
      <c r="I12" s="27" t="s">
        <v>107</v>
      </c>
      <c r="J12" s="27" t="s">
        <v>5</v>
      </c>
      <c r="K12" s="27" t="s">
        <v>107</v>
      </c>
      <c r="L12" s="27" t="s">
        <v>129</v>
      </c>
      <c r="M12" s="27" t="s">
        <v>114</v>
      </c>
      <c r="N12" s="27">
        <v>10</v>
      </c>
      <c r="O12" s="27">
        <v>5</v>
      </c>
      <c r="P12" s="27" t="s">
        <v>130</v>
      </c>
      <c r="Q12" s="27" t="s">
        <v>131</v>
      </c>
      <c r="R12" s="27" t="s">
        <v>111</v>
      </c>
      <c r="S12" s="27" t="s">
        <v>112</v>
      </c>
      <c r="U12" s="18">
        <v>10</v>
      </c>
      <c r="V12" s="18" t="s">
        <v>658</v>
      </c>
      <c r="W12" s="18">
        <v>33</v>
      </c>
      <c r="X12" s="18" t="s">
        <v>69</v>
      </c>
      <c r="Y12" s="18" t="s">
        <v>657</v>
      </c>
      <c r="Z12" s="18" t="s">
        <v>659</v>
      </c>
      <c r="AA12" s="18">
        <v>20</v>
      </c>
      <c r="AC12" s="28" t="s">
        <v>2291</v>
      </c>
      <c r="AD12" s="28" t="s">
        <v>2314</v>
      </c>
      <c r="AE12" s="28" t="s">
        <v>2293</v>
      </c>
      <c r="AF12" s="28" t="s">
        <v>2313</v>
      </c>
      <c r="AG12" s="28" t="s">
        <v>2295</v>
      </c>
      <c r="AH12" s="28" t="s">
        <v>10</v>
      </c>
      <c r="AI12" s="28" t="s">
        <v>2297</v>
      </c>
      <c r="AJ12" s="28" t="s">
        <v>2302</v>
      </c>
      <c r="AK12" s="28" t="s">
        <v>5</v>
      </c>
      <c r="AL12" s="28" t="s">
        <v>2298</v>
      </c>
      <c r="AM12" s="114"/>
    </row>
    <row r="13" spans="1:39">
      <c r="A13" s="10" t="s">
        <v>28</v>
      </c>
      <c r="B13" s="10" t="s">
        <v>567</v>
      </c>
      <c r="C13" s="10">
        <v>21</v>
      </c>
      <c r="D13" s="10">
        <v>66</v>
      </c>
      <c r="E13" s="10">
        <v>73</v>
      </c>
      <c r="G13" s="27">
        <v>1982</v>
      </c>
      <c r="H13" s="27" t="s">
        <v>106</v>
      </c>
      <c r="I13" s="27" t="s">
        <v>107</v>
      </c>
      <c r="J13" s="27" t="s">
        <v>5</v>
      </c>
      <c r="K13" s="27" t="s">
        <v>5</v>
      </c>
      <c r="L13" s="27" t="s">
        <v>132</v>
      </c>
      <c r="M13" s="27" t="s">
        <v>109</v>
      </c>
      <c r="N13" s="27">
        <v>11</v>
      </c>
      <c r="O13" s="27">
        <v>6</v>
      </c>
      <c r="P13" s="27" t="s">
        <v>133</v>
      </c>
      <c r="Q13" s="27" t="s">
        <v>111</v>
      </c>
      <c r="R13" s="27" t="s">
        <v>111</v>
      </c>
      <c r="S13" s="27" t="s">
        <v>124</v>
      </c>
      <c r="U13" s="18">
        <v>11</v>
      </c>
      <c r="V13" s="18" t="s">
        <v>660</v>
      </c>
      <c r="W13" s="18">
        <v>33</v>
      </c>
      <c r="X13" s="18" t="s">
        <v>69</v>
      </c>
      <c r="Y13" s="18" t="s">
        <v>661</v>
      </c>
      <c r="Z13" s="18" t="s">
        <v>652</v>
      </c>
      <c r="AA13" s="18">
        <v>5</v>
      </c>
      <c r="AC13" s="28" t="s">
        <v>2291</v>
      </c>
      <c r="AD13" s="28" t="s">
        <v>2315</v>
      </c>
      <c r="AE13" s="28" t="s">
        <v>2293</v>
      </c>
      <c r="AF13" s="28" t="s">
        <v>2313</v>
      </c>
      <c r="AG13" s="28" t="s">
        <v>2295</v>
      </c>
      <c r="AH13" s="28" t="s">
        <v>9</v>
      </c>
      <c r="AI13" s="28" t="s">
        <v>2316</v>
      </c>
      <c r="AJ13" s="28" t="s">
        <v>2301</v>
      </c>
      <c r="AK13" s="28" t="s">
        <v>28</v>
      </c>
      <c r="AL13" s="28" t="s">
        <v>2298</v>
      </c>
      <c r="AM13" s="114"/>
    </row>
    <row r="14" spans="1:39">
      <c r="A14" s="10" t="s">
        <v>16</v>
      </c>
      <c r="B14" s="10" t="s">
        <v>622</v>
      </c>
      <c r="C14" s="10">
        <v>24</v>
      </c>
      <c r="D14" s="10">
        <v>48</v>
      </c>
      <c r="E14" s="10">
        <v>65</v>
      </c>
      <c r="G14" s="27">
        <v>1982</v>
      </c>
      <c r="H14" s="27" t="s">
        <v>106</v>
      </c>
      <c r="I14" s="27" t="s">
        <v>107</v>
      </c>
      <c r="J14" s="27" t="s">
        <v>5</v>
      </c>
      <c r="K14" s="27" t="s">
        <v>107</v>
      </c>
      <c r="L14" s="27" t="s">
        <v>134</v>
      </c>
      <c r="M14" s="27" t="s">
        <v>114</v>
      </c>
      <c r="N14" s="27">
        <v>12</v>
      </c>
      <c r="O14" s="27">
        <v>6</v>
      </c>
      <c r="P14" s="27" t="s">
        <v>133</v>
      </c>
      <c r="Q14" s="27" t="s">
        <v>111</v>
      </c>
      <c r="R14" s="27" t="s">
        <v>131</v>
      </c>
      <c r="S14" s="27" t="s">
        <v>112</v>
      </c>
      <c r="U14" s="18">
        <v>12</v>
      </c>
      <c r="V14" s="18" t="s">
        <v>662</v>
      </c>
      <c r="W14" s="18">
        <v>28</v>
      </c>
      <c r="X14" s="18" t="s">
        <v>69</v>
      </c>
      <c r="Y14" s="18" t="s">
        <v>661</v>
      </c>
      <c r="Z14" s="18" t="s">
        <v>645</v>
      </c>
      <c r="AA14" s="18">
        <v>21</v>
      </c>
      <c r="AC14" s="28" t="s">
        <v>2291</v>
      </c>
      <c r="AD14" s="28" t="s">
        <v>2317</v>
      </c>
      <c r="AE14" s="28" t="s">
        <v>2304</v>
      </c>
      <c r="AF14" s="28" t="s">
        <v>2313</v>
      </c>
      <c r="AG14" s="28" t="s">
        <v>2295</v>
      </c>
      <c r="AH14" s="28" t="s">
        <v>12</v>
      </c>
      <c r="AI14" s="28" t="s">
        <v>2296</v>
      </c>
      <c r="AJ14" s="28" t="s">
        <v>2302</v>
      </c>
      <c r="AK14" s="28" t="s">
        <v>57</v>
      </c>
      <c r="AL14" s="28" t="s">
        <v>2298</v>
      </c>
      <c r="AM14" s="114"/>
    </row>
    <row r="15" spans="1:39">
      <c r="A15" s="10" t="s">
        <v>30</v>
      </c>
      <c r="B15" s="10" t="s">
        <v>567</v>
      </c>
      <c r="C15" s="10">
        <v>17</v>
      </c>
      <c r="D15" s="10">
        <v>38</v>
      </c>
      <c r="E15" s="10">
        <v>64</v>
      </c>
      <c r="G15" s="27">
        <v>1986</v>
      </c>
      <c r="H15" s="27" t="s">
        <v>135</v>
      </c>
      <c r="I15" s="27" t="s">
        <v>33</v>
      </c>
      <c r="J15" s="27" t="s">
        <v>19</v>
      </c>
      <c r="K15" s="27" t="s">
        <v>33</v>
      </c>
      <c r="L15" s="27" t="s">
        <v>136</v>
      </c>
      <c r="M15" s="27" t="s">
        <v>137</v>
      </c>
      <c r="N15" s="27">
        <v>1</v>
      </c>
      <c r="O15" s="27">
        <v>1</v>
      </c>
      <c r="P15" s="27" t="s">
        <v>110</v>
      </c>
      <c r="Q15" s="27" t="s">
        <v>111</v>
      </c>
      <c r="R15" s="27" t="s">
        <v>111</v>
      </c>
      <c r="S15" s="27" t="s">
        <v>112</v>
      </c>
      <c r="U15" s="18">
        <v>13</v>
      </c>
      <c r="V15" s="18" t="s">
        <v>663</v>
      </c>
      <c r="W15" s="18">
        <v>25</v>
      </c>
      <c r="X15" s="18" t="s">
        <v>69</v>
      </c>
      <c r="Y15" s="18" t="s">
        <v>664</v>
      </c>
      <c r="Z15" s="18" t="s">
        <v>665</v>
      </c>
      <c r="AA15" s="18">
        <v>12</v>
      </c>
      <c r="AC15" s="28" t="s">
        <v>2291</v>
      </c>
      <c r="AD15" s="28" t="s">
        <v>2318</v>
      </c>
      <c r="AE15" s="28" t="s">
        <v>2299</v>
      </c>
      <c r="AF15" s="28" t="s">
        <v>2313</v>
      </c>
      <c r="AG15" s="28" t="s">
        <v>2295</v>
      </c>
      <c r="AH15" s="28" t="s">
        <v>13</v>
      </c>
      <c r="AI15" s="28" t="s">
        <v>2297</v>
      </c>
      <c r="AJ15" s="28" t="s">
        <v>2302</v>
      </c>
      <c r="AK15" s="28" t="s">
        <v>33</v>
      </c>
      <c r="AL15" s="28" t="s">
        <v>2298</v>
      </c>
      <c r="AM15" s="114"/>
    </row>
    <row r="16" spans="1:39">
      <c r="A16" s="10" t="s">
        <v>63</v>
      </c>
      <c r="B16" s="10" t="s">
        <v>623</v>
      </c>
      <c r="C16" s="10">
        <v>24</v>
      </c>
      <c r="D16" s="10">
        <v>34</v>
      </c>
      <c r="E16" s="10">
        <v>49</v>
      </c>
      <c r="G16" s="27">
        <v>1986</v>
      </c>
      <c r="H16" s="27" t="s">
        <v>135</v>
      </c>
      <c r="I16" s="27" t="s">
        <v>33</v>
      </c>
      <c r="J16" s="27" t="s">
        <v>19</v>
      </c>
      <c r="K16" s="27" t="s">
        <v>19</v>
      </c>
      <c r="L16" s="27" t="s">
        <v>138</v>
      </c>
      <c r="M16" s="27" t="s">
        <v>139</v>
      </c>
      <c r="N16" s="27">
        <v>2</v>
      </c>
      <c r="O16" s="27">
        <v>1</v>
      </c>
      <c r="P16" s="27" t="s">
        <v>140</v>
      </c>
      <c r="Q16" s="27" t="s">
        <v>111</v>
      </c>
      <c r="R16" s="27" t="s">
        <v>111</v>
      </c>
      <c r="S16" s="27" t="s">
        <v>112</v>
      </c>
      <c r="U16" s="18">
        <v>14</v>
      </c>
      <c r="V16" s="18" t="s">
        <v>666</v>
      </c>
      <c r="W16" s="18">
        <v>31</v>
      </c>
      <c r="X16" s="18" t="s">
        <v>69</v>
      </c>
      <c r="Y16" s="18" t="s">
        <v>664</v>
      </c>
      <c r="Z16" s="18" t="s">
        <v>667</v>
      </c>
      <c r="AA16" s="18">
        <v>22</v>
      </c>
      <c r="AC16" s="28" t="s">
        <v>2291</v>
      </c>
      <c r="AD16" s="28" t="s">
        <v>2319</v>
      </c>
      <c r="AE16" s="28" t="s">
        <v>2307</v>
      </c>
      <c r="AF16" s="28" t="s">
        <v>2313</v>
      </c>
      <c r="AG16" s="28" t="s">
        <v>2295</v>
      </c>
      <c r="AH16" s="28" t="s">
        <v>11</v>
      </c>
      <c r="AI16" s="28" t="s">
        <v>2296</v>
      </c>
      <c r="AJ16" s="28" t="s">
        <v>2302</v>
      </c>
      <c r="AK16" s="28" t="s">
        <v>8</v>
      </c>
      <c r="AL16" s="28" t="s">
        <v>2298</v>
      </c>
      <c r="AM16" s="114"/>
    </row>
    <row r="17" spans="1:39">
      <c r="A17" s="10" t="s">
        <v>14</v>
      </c>
      <c r="B17" s="10" t="s">
        <v>619</v>
      </c>
      <c r="C17" s="10">
        <v>22</v>
      </c>
      <c r="D17" s="10">
        <v>31</v>
      </c>
      <c r="E17" s="10">
        <v>46</v>
      </c>
      <c r="G17" s="27">
        <v>1986</v>
      </c>
      <c r="H17" s="27" t="s">
        <v>135</v>
      </c>
      <c r="I17" s="27" t="s">
        <v>33</v>
      </c>
      <c r="J17" s="27" t="s">
        <v>19</v>
      </c>
      <c r="K17" s="27" t="s">
        <v>33</v>
      </c>
      <c r="L17" s="27" t="s">
        <v>141</v>
      </c>
      <c r="M17" s="27" t="s">
        <v>137</v>
      </c>
      <c r="N17" s="27">
        <v>3</v>
      </c>
      <c r="O17" s="27">
        <v>2</v>
      </c>
      <c r="P17" s="27" t="s">
        <v>117</v>
      </c>
      <c r="Q17" s="27" t="s">
        <v>111</v>
      </c>
      <c r="R17" s="27" t="s">
        <v>111</v>
      </c>
      <c r="S17" s="27" t="s">
        <v>112</v>
      </c>
      <c r="U17" s="18">
        <v>15</v>
      </c>
      <c r="V17" s="18" t="s">
        <v>668</v>
      </c>
      <c r="W17" s="18">
        <v>35</v>
      </c>
      <c r="X17" s="18" t="s">
        <v>69</v>
      </c>
      <c r="Y17" s="18" t="s">
        <v>669</v>
      </c>
      <c r="Z17" s="18" t="s">
        <v>670</v>
      </c>
      <c r="AA17" s="18">
        <v>8</v>
      </c>
      <c r="AC17" s="28" t="s">
        <v>2291</v>
      </c>
      <c r="AD17" s="28" t="s">
        <v>2320</v>
      </c>
      <c r="AE17" s="28" t="s">
        <v>2293</v>
      </c>
      <c r="AF17" s="28" t="s">
        <v>2313</v>
      </c>
      <c r="AG17" s="28" t="s">
        <v>2295</v>
      </c>
      <c r="AH17" s="28" t="s">
        <v>9</v>
      </c>
      <c r="AI17" s="28" t="s">
        <v>2301</v>
      </c>
      <c r="AJ17" s="28" t="s">
        <v>2297</v>
      </c>
      <c r="AK17" s="28" t="s">
        <v>10</v>
      </c>
      <c r="AL17" s="28" t="s">
        <v>2298</v>
      </c>
      <c r="AM17" s="114"/>
    </row>
    <row r="18" spans="1:39">
      <c r="A18" s="10" t="s">
        <v>53</v>
      </c>
      <c r="B18" s="10" t="s">
        <v>624</v>
      </c>
      <c r="C18" s="10">
        <v>24</v>
      </c>
      <c r="D18" s="10">
        <v>28</v>
      </c>
      <c r="E18" s="10">
        <v>40</v>
      </c>
      <c r="G18" s="27">
        <v>1986</v>
      </c>
      <c r="H18" s="27" t="s">
        <v>135</v>
      </c>
      <c r="I18" s="27" t="s">
        <v>33</v>
      </c>
      <c r="J18" s="27" t="s">
        <v>19</v>
      </c>
      <c r="K18" s="27" t="s">
        <v>19</v>
      </c>
      <c r="L18" s="27" t="s">
        <v>142</v>
      </c>
      <c r="M18" s="27" t="s">
        <v>139</v>
      </c>
      <c r="N18" s="27">
        <v>4</v>
      </c>
      <c r="O18" s="27">
        <v>2</v>
      </c>
      <c r="P18" s="27" t="s">
        <v>119</v>
      </c>
      <c r="Q18" s="27" t="s">
        <v>111</v>
      </c>
      <c r="R18" s="27" t="s">
        <v>111</v>
      </c>
      <c r="S18" s="27" t="s">
        <v>124</v>
      </c>
      <c r="U18" s="18">
        <v>16</v>
      </c>
      <c r="V18" s="18" t="s">
        <v>671</v>
      </c>
      <c r="W18" s="18">
        <v>29</v>
      </c>
      <c r="X18" s="18" t="s">
        <v>69</v>
      </c>
      <c r="Y18" s="18" t="s">
        <v>669</v>
      </c>
      <c r="Z18" s="18" t="s">
        <v>645</v>
      </c>
      <c r="AA18" s="18">
        <v>17</v>
      </c>
      <c r="AC18" s="28" t="s">
        <v>2291</v>
      </c>
      <c r="AD18" s="28" t="s">
        <v>2321</v>
      </c>
      <c r="AE18" s="28" t="s">
        <v>106</v>
      </c>
      <c r="AF18" s="28" t="s">
        <v>2313</v>
      </c>
      <c r="AG18" s="28" t="s">
        <v>2295</v>
      </c>
      <c r="AH18" s="28" t="s">
        <v>9</v>
      </c>
      <c r="AI18" s="28" t="s">
        <v>2316</v>
      </c>
      <c r="AJ18" s="28" t="s">
        <v>2297</v>
      </c>
      <c r="AK18" s="28" t="s">
        <v>6</v>
      </c>
      <c r="AL18" s="28" t="s">
        <v>2298</v>
      </c>
      <c r="AM18" s="114"/>
    </row>
    <row r="19" spans="1:39">
      <c r="A19" s="10" t="s">
        <v>13</v>
      </c>
      <c r="B19" s="10" t="s">
        <v>625</v>
      </c>
      <c r="C19" s="10">
        <v>22</v>
      </c>
      <c r="D19" s="10">
        <v>32</v>
      </c>
      <c r="E19" s="10">
        <v>33</v>
      </c>
      <c r="G19" s="27">
        <v>1986</v>
      </c>
      <c r="H19" s="27" t="s">
        <v>135</v>
      </c>
      <c r="I19" s="27" t="s">
        <v>33</v>
      </c>
      <c r="J19" s="27" t="s">
        <v>19</v>
      </c>
      <c r="K19" s="27" t="s">
        <v>33</v>
      </c>
      <c r="L19" s="27" t="s">
        <v>143</v>
      </c>
      <c r="M19" s="27" t="s">
        <v>137</v>
      </c>
      <c r="N19" s="27">
        <v>5</v>
      </c>
      <c r="O19" s="27">
        <v>3</v>
      </c>
      <c r="P19" s="27" t="s">
        <v>119</v>
      </c>
      <c r="Q19" s="27" t="s">
        <v>111</v>
      </c>
      <c r="R19" s="27" t="s">
        <v>111</v>
      </c>
      <c r="S19" s="27" t="s">
        <v>112</v>
      </c>
      <c r="U19" s="18">
        <v>17</v>
      </c>
      <c r="V19" s="18" t="s">
        <v>672</v>
      </c>
      <c r="W19" s="18">
        <v>27</v>
      </c>
      <c r="X19" s="18" t="s">
        <v>69</v>
      </c>
      <c r="Y19" s="18" t="s">
        <v>669</v>
      </c>
      <c r="Z19" s="18" t="s">
        <v>645</v>
      </c>
      <c r="AA19" s="18">
        <v>18</v>
      </c>
      <c r="AC19" s="28" t="s">
        <v>2291</v>
      </c>
      <c r="AD19" s="28" t="s">
        <v>2322</v>
      </c>
      <c r="AE19" s="28" t="s">
        <v>106</v>
      </c>
      <c r="AF19" s="28" t="s">
        <v>2313</v>
      </c>
      <c r="AG19" s="28" t="s">
        <v>2295</v>
      </c>
      <c r="AH19" s="28" t="s">
        <v>11</v>
      </c>
      <c r="AI19" s="28" t="s">
        <v>2316</v>
      </c>
      <c r="AJ19" s="28" t="s">
        <v>2297</v>
      </c>
      <c r="AK19" s="28" t="s">
        <v>7</v>
      </c>
      <c r="AL19" s="28" t="s">
        <v>2298</v>
      </c>
      <c r="AM19" s="114"/>
    </row>
    <row r="20" spans="1:39">
      <c r="A20" s="10" t="s">
        <v>62</v>
      </c>
      <c r="B20" s="10" t="s">
        <v>626</v>
      </c>
      <c r="C20" s="10">
        <v>23</v>
      </c>
      <c r="D20" s="10">
        <v>29</v>
      </c>
      <c r="E20" s="10">
        <v>33</v>
      </c>
      <c r="G20" s="27">
        <v>1986</v>
      </c>
      <c r="H20" s="27" t="s">
        <v>135</v>
      </c>
      <c r="I20" s="27" t="s">
        <v>33</v>
      </c>
      <c r="J20" s="27" t="s">
        <v>19</v>
      </c>
      <c r="K20" s="27" t="s">
        <v>19</v>
      </c>
      <c r="L20" s="27" t="s">
        <v>144</v>
      </c>
      <c r="M20" s="27" t="s">
        <v>139</v>
      </c>
      <c r="N20" s="27">
        <v>6</v>
      </c>
      <c r="O20" s="27">
        <v>3</v>
      </c>
      <c r="P20" s="27" t="s">
        <v>145</v>
      </c>
      <c r="Q20" s="27" t="s">
        <v>111</v>
      </c>
      <c r="R20" s="27" t="s">
        <v>111</v>
      </c>
      <c r="S20" s="27" t="s">
        <v>112</v>
      </c>
      <c r="U20" s="18">
        <v>18</v>
      </c>
      <c r="V20" s="18" t="s">
        <v>673</v>
      </c>
      <c r="W20" s="18">
        <v>23</v>
      </c>
      <c r="X20" s="18" t="s">
        <v>69</v>
      </c>
      <c r="Y20" s="18" t="s">
        <v>669</v>
      </c>
      <c r="Z20" s="18" t="s">
        <v>665</v>
      </c>
      <c r="AA20" s="18">
        <v>24</v>
      </c>
      <c r="AC20" s="28" t="s">
        <v>2291</v>
      </c>
      <c r="AD20" s="28" t="s">
        <v>2323</v>
      </c>
      <c r="AE20" s="28" t="s">
        <v>238</v>
      </c>
      <c r="AF20" s="28" t="s">
        <v>2313</v>
      </c>
      <c r="AG20" s="28" t="s">
        <v>2295</v>
      </c>
      <c r="AH20" s="28" t="s">
        <v>11</v>
      </c>
      <c r="AI20" s="28" t="s">
        <v>2296</v>
      </c>
      <c r="AJ20" s="28" t="s">
        <v>2305</v>
      </c>
      <c r="AK20" s="28" t="s">
        <v>9</v>
      </c>
      <c r="AL20" s="28" t="s">
        <v>2298</v>
      </c>
      <c r="AM20" s="114"/>
    </row>
    <row r="21" spans="1:39">
      <c r="A21" s="10" t="s">
        <v>46</v>
      </c>
      <c r="B21" s="10" t="s">
        <v>627</v>
      </c>
      <c r="C21" s="10">
        <v>24</v>
      </c>
      <c r="D21" s="10">
        <v>29</v>
      </c>
      <c r="E21" s="10">
        <v>30</v>
      </c>
      <c r="G21" s="27">
        <v>1986</v>
      </c>
      <c r="H21" s="27" t="s">
        <v>135</v>
      </c>
      <c r="I21" s="27" t="s">
        <v>33</v>
      </c>
      <c r="J21" s="27" t="s">
        <v>19</v>
      </c>
      <c r="K21" s="27" t="s">
        <v>33</v>
      </c>
      <c r="L21" s="27" t="s">
        <v>146</v>
      </c>
      <c r="M21" s="27" t="s">
        <v>137</v>
      </c>
      <c r="N21" s="27">
        <v>7</v>
      </c>
      <c r="O21" s="27">
        <v>4</v>
      </c>
      <c r="P21" s="27" t="s">
        <v>123</v>
      </c>
      <c r="Q21" s="27" t="s">
        <v>111</v>
      </c>
      <c r="R21" s="27" t="s">
        <v>111</v>
      </c>
      <c r="S21" s="27" t="s">
        <v>112</v>
      </c>
      <c r="U21" s="18">
        <v>19</v>
      </c>
      <c r="V21" s="18" t="s">
        <v>674</v>
      </c>
      <c r="W21" s="18">
        <v>25</v>
      </c>
      <c r="X21" s="18" t="s">
        <v>69</v>
      </c>
      <c r="Y21" s="18" t="s">
        <v>675</v>
      </c>
      <c r="Z21" s="18" t="s">
        <v>676</v>
      </c>
      <c r="AA21" s="18">
        <v>15</v>
      </c>
      <c r="AC21" s="28" t="s">
        <v>2324</v>
      </c>
      <c r="AD21" s="28" t="s">
        <v>2325</v>
      </c>
      <c r="AE21" s="28" t="s">
        <v>2326</v>
      </c>
      <c r="AF21" s="28" t="s">
        <v>2327</v>
      </c>
      <c r="AG21" s="28" t="s">
        <v>2328</v>
      </c>
      <c r="AH21" s="28" t="s">
        <v>14</v>
      </c>
      <c r="AI21" s="28" t="s">
        <v>2301</v>
      </c>
      <c r="AJ21" s="28" t="s">
        <v>2305</v>
      </c>
      <c r="AK21" s="28" t="s">
        <v>5</v>
      </c>
      <c r="AL21" s="28" t="s">
        <v>2329</v>
      </c>
      <c r="AM21" s="114"/>
    </row>
    <row r="22" spans="1:39">
      <c r="A22" s="10" t="s">
        <v>39</v>
      </c>
      <c r="B22" s="10" t="s">
        <v>614</v>
      </c>
      <c r="C22" s="10">
        <v>22</v>
      </c>
      <c r="D22" s="10">
        <v>26</v>
      </c>
      <c r="E22" s="10">
        <v>26</v>
      </c>
      <c r="G22" s="27">
        <v>1986</v>
      </c>
      <c r="H22" s="27" t="s">
        <v>135</v>
      </c>
      <c r="I22" s="27" t="s">
        <v>33</v>
      </c>
      <c r="J22" s="27" t="s">
        <v>19</v>
      </c>
      <c r="K22" s="27" t="s">
        <v>19</v>
      </c>
      <c r="L22" s="27" t="s">
        <v>147</v>
      </c>
      <c r="M22" s="27" t="s">
        <v>137</v>
      </c>
      <c r="N22" s="27">
        <v>8</v>
      </c>
      <c r="O22" s="27">
        <v>4</v>
      </c>
      <c r="P22" s="27" t="s">
        <v>148</v>
      </c>
      <c r="Q22" s="27" t="s">
        <v>111</v>
      </c>
      <c r="R22" s="27" t="s">
        <v>111</v>
      </c>
      <c r="S22" s="27" t="s">
        <v>112</v>
      </c>
      <c r="U22" s="18">
        <v>20</v>
      </c>
      <c r="V22" s="18" t="s">
        <v>677</v>
      </c>
      <c r="W22" s="18">
        <v>18</v>
      </c>
      <c r="X22" s="18" t="s">
        <v>69</v>
      </c>
      <c r="Y22" s="18" t="s">
        <v>675</v>
      </c>
      <c r="Z22" s="18" t="s">
        <v>659</v>
      </c>
      <c r="AA22" s="18">
        <v>25</v>
      </c>
      <c r="AC22" s="28" t="s">
        <v>2324</v>
      </c>
      <c r="AD22" s="28" t="s">
        <v>2325</v>
      </c>
      <c r="AE22" s="28" t="s">
        <v>2326</v>
      </c>
      <c r="AF22" s="28" t="s">
        <v>2330</v>
      </c>
      <c r="AG22" s="28" t="s">
        <v>2331</v>
      </c>
      <c r="AH22" s="28" t="s">
        <v>15</v>
      </c>
      <c r="AI22" s="28" t="s">
        <v>2296</v>
      </c>
      <c r="AJ22" s="28" t="s">
        <v>2305</v>
      </c>
      <c r="AK22" s="28" t="s">
        <v>79</v>
      </c>
      <c r="AL22" s="28" t="s">
        <v>2298</v>
      </c>
      <c r="AM22" s="114"/>
    </row>
    <row r="23" spans="1:39">
      <c r="A23" s="10" t="s">
        <v>65</v>
      </c>
      <c r="B23" s="10" t="s">
        <v>615</v>
      </c>
      <c r="C23" s="10">
        <v>22</v>
      </c>
      <c r="D23" s="10">
        <v>15</v>
      </c>
      <c r="E23" s="10">
        <v>24</v>
      </c>
      <c r="G23" s="27">
        <v>1986</v>
      </c>
      <c r="H23" s="27" t="s">
        <v>135</v>
      </c>
      <c r="I23" s="27" t="s">
        <v>33</v>
      </c>
      <c r="J23" s="27" t="s">
        <v>19</v>
      </c>
      <c r="K23" s="27" t="s">
        <v>33</v>
      </c>
      <c r="L23" s="27" t="s">
        <v>149</v>
      </c>
      <c r="M23" s="27" t="s">
        <v>137</v>
      </c>
      <c r="N23" s="27">
        <v>9</v>
      </c>
      <c r="O23" s="27">
        <v>5</v>
      </c>
      <c r="P23" s="27" t="s">
        <v>130</v>
      </c>
      <c r="Q23" s="27" t="s">
        <v>111</v>
      </c>
      <c r="R23" s="27" t="s">
        <v>131</v>
      </c>
      <c r="S23" s="27" t="s">
        <v>112</v>
      </c>
      <c r="U23" s="18">
        <v>21</v>
      </c>
      <c r="V23" s="18" t="s">
        <v>678</v>
      </c>
      <c r="W23" s="18">
        <v>23</v>
      </c>
      <c r="X23" s="18" t="s">
        <v>69</v>
      </c>
      <c r="Y23" s="18" t="s">
        <v>679</v>
      </c>
      <c r="Z23" s="18" t="s">
        <v>652</v>
      </c>
      <c r="AA23" s="18">
        <v>9</v>
      </c>
      <c r="AC23" s="28" t="s">
        <v>2324</v>
      </c>
      <c r="AD23" s="28" t="s">
        <v>2325</v>
      </c>
      <c r="AE23" s="28" t="s">
        <v>2326</v>
      </c>
      <c r="AF23" s="28" t="s">
        <v>2332</v>
      </c>
      <c r="AG23" s="28" t="s">
        <v>2333</v>
      </c>
      <c r="AH23" s="28" t="s">
        <v>16</v>
      </c>
      <c r="AI23" s="28" t="s">
        <v>2301</v>
      </c>
      <c r="AJ23" s="28" t="s">
        <v>2305</v>
      </c>
      <c r="AK23" s="28" t="s">
        <v>40</v>
      </c>
      <c r="AL23" s="28" t="s">
        <v>2298</v>
      </c>
      <c r="AM23" s="114"/>
    </row>
    <row r="24" spans="1:39">
      <c r="A24" s="10" t="s">
        <v>25</v>
      </c>
      <c r="B24" s="10" t="s">
        <v>628</v>
      </c>
      <c r="C24" s="10">
        <v>16</v>
      </c>
      <c r="D24" s="10">
        <v>10</v>
      </c>
      <c r="E24" s="10">
        <v>20</v>
      </c>
      <c r="G24" s="27">
        <v>1986</v>
      </c>
      <c r="H24" s="27" t="s">
        <v>135</v>
      </c>
      <c r="I24" s="27" t="s">
        <v>12</v>
      </c>
      <c r="J24" s="27" t="s">
        <v>5</v>
      </c>
      <c r="K24" s="27" t="s">
        <v>12</v>
      </c>
      <c r="L24" s="27" t="s">
        <v>150</v>
      </c>
      <c r="M24" s="27" t="s">
        <v>151</v>
      </c>
      <c r="N24" s="27">
        <v>1</v>
      </c>
      <c r="O24" s="27">
        <v>1</v>
      </c>
      <c r="P24" s="27" t="s">
        <v>110</v>
      </c>
      <c r="Q24" s="27" t="s">
        <v>111</v>
      </c>
      <c r="R24" s="27" t="s">
        <v>111</v>
      </c>
      <c r="S24" s="27" t="s">
        <v>124</v>
      </c>
      <c r="U24" s="18">
        <v>22</v>
      </c>
      <c r="V24" s="18" t="s">
        <v>680</v>
      </c>
      <c r="W24" s="18">
        <v>23</v>
      </c>
      <c r="X24" s="18" t="s">
        <v>69</v>
      </c>
      <c r="Y24" s="18" t="s">
        <v>681</v>
      </c>
      <c r="Z24" s="18" t="s">
        <v>665</v>
      </c>
      <c r="AA24" s="18">
        <v>26</v>
      </c>
      <c r="AC24" s="28" t="s">
        <v>2324</v>
      </c>
      <c r="AD24" s="28" t="s">
        <v>2325</v>
      </c>
      <c r="AE24" s="28" t="s">
        <v>2326</v>
      </c>
      <c r="AF24" s="28" t="s">
        <v>2334</v>
      </c>
      <c r="AG24" s="28" t="s">
        <v>2335</v>
      </c>
      <c r="AH24" s="28" t="s">
        <v>17</v>
      </c>
      <c r="AI24" s="28" t="s">
        <v>2301</v>
      </c>
      <c r="AJ24" s="28" t="s">
        <v>2305</v>
      </c>
      <c r="AK24" s="28" t="s">
        <v>9</v>
      </c>
      <c r="AL24" s="28" t="s">
        <v>2298</v>
      </c>
      <c r="AM24" s="114"/>
    </row>
    <row r="25" spans="1:39">
      <c r="A25" s="10" t="s">
        <v>38</v>
      </c>
      <c r="B25" s="10" t="s">
        <v>626</v>
      </c>
      <c r="C25" s="10">
        <v>22</v>
      </c>
      <c r="D25" s="10">
        <v>24</v>
      </c>
      <c r="E25" s="10">
        <v>20</v>
      </c>
      <c r="G25" s="27">
        <v>1986</v>
      </c>
      <c r="H25" s="27" t="s">
        <v>135</v>
      </c>
      <c r="I25" s="27" t="s">
        <v>12</v>
      </c>
      <c r="J25" s="27" t="s">
        <v>5</v>
      </c>
      <c r="K25" s="27" t="s">
        <v>5</v>
      </c>
      <c r="L25" s="27" t="s">
        <v>152</v>
      </c>
      <c r="M25" s="27" t="s">
        <v>153</v>
      </c>
      <c r="N25" s="27">
        <v>2</v>
      </c>
      <c r="O25" s="27">
        <v>1</v>
      </c>
      <c r="P25" s="27" t="s">
        <v>110</v>
      </c>
      <c r="Q25" s="27" t="s">
        <v>111</v>
      </c>
      <c r="R25" s="27" t="s">
        <v>111</v>
      </c>
      <c r="S25" s="27" t="s">
        <v>112</v>
      </c>
      <c r="U25" s="18">
        <v>23</v>
      </c>
      <c r="V25" s="18" t="s">
        <v>682</v>
      </c>
      <c r="W25" s="18">
        <v>30</v>
      </c>
      <c r="X25" s="18" t="s">
        <v>69</v>
      </c>
      <c r="Y25" s="18" t="s">
        <v>683</v>
      </c>
      <c r="Z25" s="18" t="s">
        <v>684</v>
      </c>
      <c r="AA25" s="18">
        <v>10</v>
      </c>
      <c r="AC25" s="28" t="s">
        <v>2324</v>
      </c>
      <c r="AD25" s="28" t="s">
        <v>2325</v>
      </c>
      <c r="AE25" s="28" t="s">
        <v>2326</v>
      </c>
      <c r="AF25" s="28" t="s">
        <v>2336</v>
      </c>
      <c r="AG25" s="28" t="s">
        <v>2337</v>
      </c>
      <c r="AH25" s="28" t="s">
        <v>18</v>
      </c>
      <c r="AI25" s="28" t="s">
        <v>2338</v>
      </c>
      <c r="AJ25" s="28" t="s">
        <v>2305</v>
      </c>
      <c r="AK25" s="28" t="s">
        <v>33</v>
      </c>
      <c r="AL25" s="28" t="s">
        <v>2298</v>
      </c>
      <c r="AM25" s="114"/>
    </row>
    <row r="26" spans="1:39">
      <c r="A26" s="10" t="s">
        <v>73</v>
      </c>
      <c r="B26" s="10" t="s">
        <v>629</v>
      </c>
      <c r="C26" s="10">
        <v>23</v>
      </c>
      <c r="D26" s="10">
        <v>18</v>
      </c>
      <c r="E26" s="10">
        <v>20</v>
      </c>
      <c r="G26" s="27">
        <v>1986</v>
      </c>
      <c r="H26" s="27" t="s">
        <v>135</v>
      </c>
      <c r="I26" s="27" t="s">
        <v>12</v>
      </c>
      <c r="J26" s="27" t="s">
        <v>5</v>
      </c>
      <c r="K26" s="27" t="s">
        <v>12</v>
      </c>
      <c r="L26" s="27" t="s">
        <v>154</v>
      </c>
      <c r="M26" s="27" t="s">
        <v>151</v>
      </c>
      <c r="N26" s="27">
        <v>3</v>
      </c>
      <c r="O26" s="27">
        <v>2</v>
      </c>
      <c r="P26" s="27" t="s">
        <v>115</v>
      </c>
      <c r="Q26" s="27" t="s">
        <v>111</v>
      </c>
      <c r="R26" s="27" t="s">
        <v>111</v>
      </c>
      <c r="S26" s="27" t="s">
        <v>112</v>
      </c>
      <c r="U26" s="18">
        <v>24</v>
      </c>
      <c r="V26" s="18" t="s">
        <v>685</v>
      </c>
      <c r="W26" s="18">
        <v>29</v>
      </c>
      <c r="X26" s="18" t="s">
        <v>69</v>
      </c>
      <c r="Y26" s="18" t="s">
        <v>683</v>
      </c>
      <c r="Z26" s="18" t="s">
        <v>659</v>
      </c>
      <c r="AA26" s="18">
        <v>11</v>
      </c>
      <c r="AC26" s="28" t="s">
        <v>2324</v>
      </c>
      <c r="AD26" s="28" t="s">
        <v>2325</v>
      </c>
      <c r="AE26" s="28" t="s">
        <v>2326</v>
      </c>
      <c r="AF26" s="28" t="s">
        <v>2339</v>
      </c>
      <c r="AG26" s="28" t="s">
        <v>2340</v>
      </c>
      <c r="AH26" s="28" t="s">
        <v>19</v>
      </c>
      <c r="AI26" s="28" t="s">
        <v>2301</v>
      </c>
      <c r="AJ26" s="28" t="s">
        <v>2297</v>
      </c>
      <c r="AK26" s="28" t="s">
        <v>12</v>
      </c>
      <c r="AL26" s="28" t="s">
        <v>2298</v>
      </c>
      <c r="AM26" s="114"/>
    </row>
    <row r="27" spans="1:39">
      <c r="A27" s="10" t="s">
        <v>54</v>
      </c>
      <c r="B27" s="10" t="s">
        <v>630</v>
      </c>
      <c r="C27" s="10">
        <v>22</v>
      </c>
      <c r="D27" s="10">
        <v>13</v>
      </c>
      <c r="E27" s="10">
        <v>17</v>
      </c>
      <c r="G27" s="27">
        <v>1986</v>
      </c>
      <c r="H27" s="27" t="s">
        <v>135</v>
      </c>
      <c r="I27" s="27" t="s">
        <v>12</v>
      </c>
      <c r="J27" s="27" t="s">
        <v>5</v>
      </c>
      <c r="K27" s="27" t="s">
        <v>12</v>
      </c>
      <c r="L27" s="27" t="s">
        <v>154</v>
      </c>
      <c r="M27" s="27" t="s">
        <v>151</v>
      </c>
      <c r="N27" s="27">
        <v>3</v>
      </c>
      <c r="O27" s="27">
        <v>2</v>
      </c>
      <c r="P27" s="27" t="s">
        <v>140</v>
      </c>
      <c r="Q27" s="27" t="s">
        <v>111</v>
      </c>
      <c r="R27" s="27" t="s">
        <v>111</v>
      </c>
      <c r="S27" s="27" t="s">
        <v>112</v>
      </c>
      <c r="U27" s="18">
        <v>25</v>
      </c>
      <c r="V27" s="18" t="s">
        <v>686</v>
      </c>
      <c r="W27" s="18">
        <v>27</v>
      </c>
      <c r="X27" s="18" t="s">
        <v>69</v>
      </c>
      <c r="Y27" s="18" t="s">
        <v>683</v>
      </c>
      <c r="Z27" s="18" t="s">
        <v>645</v>
      </c>
      <c r="AA27" s="18">
        <v>13</v>
      </c>
      <c r="AC27" s="28" t="s">
        <v>2324</v>
      </c>
      <c r="AD27" s="28" t="s">
        <v>2325</v>
      </c>
      <c r="AE27" s="28" t="s">
        <v>2326</v>
      </c>
      <c r="AF27" s="28" t="s">
        <v>2341</v>
      </c>
      <c r="AG27" s="28" t="s">
        <v>2342</v>
      </c>
      <c r="AH27" s="28" t="s">
        <v>20</v>
      </c>
      <c r="AI27" s="28" t="s">
        <v>2343</v>
      </c>
      <c r="AJ27" s="28" t="s">
        <v>2297</v>
      </c>
      <c r="AK27" s="28" t="s">
        <v>6</v>
      </c>
      <c r="AL27" s="28" t="s">
        <v>2298</v>
      </c>
      <c r="AM27" s="114"/>
    </row>
    <row r="28" spans="1:39">
      <c r="A28" s="10" t="s">
        <v>67</v>
      </c>
      <c r="B28" s="10" t="s">
        <v>631</v>
      </c>
      <c r="C28" s="10">
        <v>23</v>
      </c>
      <c r="D28" s="10">
        <v>17</v>
      </c>
      <c r="E28" s="10">
        <v>16</v>
      </c>
      <c r="G28" s="27">
        <v>1986</v>
      </c>
      <c r="H28" s="27" t="s">
        <v>135</v>
      </c>
      <c r="I28" s="27" t="s">
        <v>12</v>
      </c>
      <c r="J28" s="27" t="s">
        <v>5</v>
      </c>
      <c r="K28" s="27" t="s">
        <v>5</v>
      </c>
      <c r="L28" s="27" t="s">
        <v>116</v>
      </c>
      <c r="M28" s="27" t="s">
        <v>153</v>
      </c>
      <c r="N28" s="27">
        <v>4</v>
      </c>
      <c r="O28" s="27">
        <v>2</v>
      </c>
      <c r="P28" s="27" t="s">
        <v>117</v>
      </c>
      <c r="Q28" s="27" t="s">
        <v>111</v>
      </c>
      <c r="R28" s="27" t="s">
        <v>111</v>
      </c>
      <c r="S28" s="27" t="s">
        <v>112</v>
      </c>
      <c r="U28" s="18">
        <v>26</v>
      </c>
      <c r="V28" s="18" t="s">
        <v>687</v>
      </c>
      <c r="W28" s="18">
        <v>31</v>
      </c>
      <c r="X28" s="18" t="s">
        <v>69</v>
      </c>
      <c r="Y28" s="18" t="s">
        <v>683</v>
      </c>
      <c r="Z28" s="18" t="s">
        <v>645</v>
      </c>
      <c r="AA28" s="18">
        <v>19</v>
      </c>
      <c r="AC28" s="28" t="s">
        <v>2324</v>
      </c>
      <c r="AD28" s="28" t="s">
        <v>2325</v>
      </c>
      <c r="AE28" s="28" t="s">
        <v>2326</v>
      </c>
      <c r="AF28" s="28" t="s">
        <v>2344</v>
      </c>
      <c r="AG28" s="28" t="s">
        <v>2345</v>
      </c>
      <c r="AH28" s="28" t="s">
        <v>21</v>
      </c>
      <c r="AI28" s="28" t="s">
        <v>2305</v>
      </c>
      <c r="AJ28" s="28" t="s">
        <v>2297</v>
      </c>
      <c r="AK28" s="28" t="s">
        <v>8</v>
      </c>
      <c r="AL28" s="28" t="s">
        <v>2298</v>
      </c>
      <c r="AM28" s="114"/>
    </row>
    <row r="29" spans="1:39">
      <c r="A29" s="10" t="s">
        <v>42</v>
      </c>
      <c r="B29" s="10" t="s">
        <v>617</v>
      </c>
      <c r="C29" s="10">
        <v>24</v>
      </c>
      <c r="D29" s="10">
        <v>21</v>
      </c>
      <c r="E29" s="10">
        <v>16</v>
      </c>
      <c r="G29" s="27">
        <v>1986</v>
      </c>
      <c r="H29" s="27" t="s">
        <v>135</v>
      </c>
      <c r="I29" s="27" t="s">
        <v>12</v>
      </c>
      <c r="J29" s="27" t="s">
        <v>5</v>
      </c>
      <c r="K29" s="27" t="s">
        <v>12</v>
      </c>
      <c r="L29" s="27" t="s">
        <v>155</v>
      </c>
      <c r="M29" s="27" t="s">
        <v>151</v>
      </c>
      <c r="N29" s="27">
        <v>5</v>
      </c>
      <c r="O29" s="27">
        <v>3</v>
      </c>
      <c r="P29" s="27" t="s">
        <v>156</v>
      </c>
      <c r="Q29" s="27" t="s">
        <v>111</v>
      </c>
      <c r="R29" s="27" t="s">
        <v>111</v>
      </c>
      <c r="S29" s="27" t="s">
        <v>112</v>
      </c>
      <c r="U29" s="18">
        <v>27</v>
      </c>
      <c r="V29" s="18" t="s">
        <v>688</v>
      </c>
      <c r="W29" s="18">
        <v>26</v>
      </c>
      <c r="X29" s="18" t="s">
        <v>28</v>
      </c>
      <c r="Y29" s="18" t="s">
        <v>642</v>
      </c>
      <c r="Z29" s="18" t="s">
        <v>689</v>
      </c>
      <c r="AA29" s="18">
        <v>1</v>
      </c>
      <c r="AC29" s="28" t="s">
        <v>2324</v>
      </c>
      <c r="AD29" s="28" t="s">
        <v>2346</v>
      </c>
      <c r="AE29" s="28" t="s">
        <v>135</v>
      </c>
      <c r="AF29" s="28" t="s">
        <v>2327</v>
      </c>
      <c r="AG29" s="28" t="s">
        <v>2328</v>
      </c>
      <c r="AH29" s="28" t="s">
        <v>21</v>
      </c>
      <c r="AI29" s="28" t="s">
        <v>2301</v>
      </c>
      <c r="AJ29" s="28" t="s">
        <v>2305</v>
      </c>
      <c r="AK29" s="28" t="s">
        <v>16</v>
      </c>
      <c r="AL29" s="28" t="s">
        <v>2298</v>
      </c>
      <c r="AM29" s="114"/>
    </row>
    <row r="30" spans="1:39">
      <c r="A30" s="10" t="s">
        <v>56</v>
      </c>
      <c r="B30" s="10" t="s">
        <v>632</v>
      </c>
      <c r="C30" s="10">
        <v>9</v>
      </c>
      <c r="D30" s="10">
        <v>22</v>
      </c>
      <c r="E30" s="10">
        <v>15</v>
      </c>
      <c r="G30" s="27">
        <v>1986</v>
      </c>
      <c r="H30" s="27" t="s">
        <v>135</v>
      </c>
      <c r="I30" s="27" t="s">
        <v>12</v>
      </c>
      <c r="J30" s="27" t="s">
        <v>5</v>
      </c>
      <c r="K30" s="27" t="s">
        <v>5</v>
      </c>
      <c r="L30" s="27" t="s">
        <v>157</v>
      </c>
      <c r="M30" s="27" t="s">
        <v>153</v>
      </c>
      <c r="N30" s="27">
        <v>6</v>
      </c>
      <c r="O30" s="27">
        <v>3</v>
      </c>
      <c r="P30" s="27" t="s">
        <v>121</v>
      </c>
      <c r="Q30" s="27" t="s">
        <v>111</v>
      </c>
      <c r="R30" s="27" t="s">
        <v>111</v>
      </c>
      <c r="S30" s="27" t="s">
        <v>112</v>
      </c>
      <c r="U30" s="18">
        <v>28</v>
      </c>
      <c r="V30" s="18" t="s">
        <v>690</v>
      </c>
      <c r="W30" s="18">
        <v>30</v>
      </c>
      <c r="X30" s="18" t="s">
        <v>28</v>
      </c>
      <c r="Y30" s="18" t="s">
        <v>642</v>
      </c>
      <c r="Z30" s="18" t="s">
        <v>691</v>
      </c>
      <c r="AA30" s="18">
        <v>12</v>
      </c>
      <c r="AC30" s="28" t="s">
        <v>2324</v>
      </c>
      <c r="AD30" s="28" t="s">
        <v>2346</v>
      </c>
      <c r="AE30" s="28" t="s">
        <v>135</v>
      </c>
      <c r="AF30" s="28" t="s">
        <v>2332</v>
      </c>
      <c r="AG30" s="28" t="s">
        <v>2333</v>
      </c>
      <c r="AH30" s="28" t="s">
        <v>18</v>
      </c>
      <c r="AI30" s="28" t="s">
        <v>2305</v>
      </c>
      <c r="AJ30" s="28" t="s">
        <v>2297</v>
      </c>
      <c r="AK30" s="28" t="s">
        <v>17</v>
      </c>
      <c r="AL30" s="28" t="s">
        <v>2298</v>
      </c>
      <c r="AM30" s="114"/>
    </row>
    <row r="31" spans="1:39">
      <c r="A31" s="10" t="s">
        <v>43</v>
      </c>
      <c r="B31" s="10" t="s">
        <v>633</v>
      </c>
      <c r="C31" s="10">
        <v>24</v>
      </c>
      <c r="D31" s="10">
        <v>16</v>
      </c>
      <c r="E31" s="10">
        <v>14</v>
      </c>
      <c r="G31" s="27">
        <v>1986</v>
      </c>
      <c r="H31" s="27" t="s">
        <v>135</v>
      </c>
      <c r="I31" s="27" t="s">
        <v>12</v>
      </c>
      <c r="J31" s="27" t="s">
        <v>5</v>
      </c>
      <c r="K31" s="27" t="s">
        <v>12</v>
      </c>
      <c r="L31" s="27" t="s">
        <v>158</v>
      </c>
      <c r="M31" s="27" t="s">
        <v>151</v>
      </c>
      <c r="N31" s="27">
        <v>7</v>
      </c>
      <c r="O31" s="27">
        <v>4</v>
      </c>
      <c r="P31" s="27" t="s">
        <v>159</v>
      </c>
      <c r="Q31" s="27" t="s">
        <v>111</v>
      </c>
      <c r="R31" s="27" t="s">
        <v>111</v>
      </c>
      <c r="S31" s="27" t="s">
        <v>112</v>
      </c>
      <c r="U31" s="18">
        <v>29</v>
      </c>
      <c r="V31" s="18" t="s">
        <v>692</v>
      </c>
      <c r="W31" s="18">
        <v>40</v>
      </c>
      <c r="X31" s="18" t="s">
        <v>28</v>
      </c>
      <c r="Y31" s="18" t="s">
        <v>642</v>
      </c>
      <c r="Z31" s="18" t="s">
        <v>693</v>
      </c>
      <c r="AA31" s="18">
        <v>13</v>
      </c>
      <c r="AC31" s="28" t="s">
        <v>2324</v>
      </c>
      <c r="AD31" s="28" t="s">
        <v>2346</v>
      </c>
      <c r="AE31" s="28" t="s">
        <v>135</v>
      </c>
      <c r="AF31" s="28" t="s">
        <v>2336</v>
      </c>
      <c r="AG31" s="28" t="s">
        <v>2337</v>
      </c>
      <c r="AH31" s="28" t="s">
        <v>20</v>
      </c>
      <c r="AI31" s="28" t="s">
        <v>2297</v>
      </c>
      <c r="AJ31" s="28" t="s">
        <v>2297</v>
      </c>
      <c r="AK31" s="28" t="s">
        <v>19</v>
      </c>
      <c r="AL31" s="28" t="s">
        <v>2298</v>
      </c>
      <c r="AM31" s="114"/>
    </row>
    <row r="32" spans="1:39">
      <c r="A32" s="10" t="s">
        <v>71</v>
      </c>
      <c r="B32" s="10" t="s">
        <v>634</v>
      </c>
      <c r="C32" s="10">
        <v>14</v>
      </c>
      <c r="D32" s="10">
        <v>15</v>
      </c>
      <c r="E32" s="10">
        <v>14</v>
      </c>
      <c r="G32" s="27">
        <v>1986</v>
      </c>
      <c r="H32" s="27" t="s">
        <v>135</v>
      </c>
      <c r="I32" s="27" t="s">
        <v>12</v>
      </c>
      <c r="J32" s="27" t="s">
        <v>5</v>
      </c>
      <c r="K32" s="27" t="s">
        <v>5</v>
      </c>
      <c r="L32" s="27" t="s">
        <v>127</v>
      </c>
      <c r="M32" s="27" t="s">
        <v>153</v>
      </c>
      <c r="N32" s="27">
        <v>8</v>
      </c>
      <c r="O32" s="27">
        <v>4</v>
      </c>
      <c r="P32" s="27" t="s">
        <v>128</v>
      </c>
      <c r="Q32" s="27" t="s">
        <v>111</v>
      </c>
      <c r="R32" s="27" t="s">
        <v>111</v>
      </c>
      <c r="S32" s="27" t="s">
        <v>160</v>
      </c>
      <c r="U32" s="18">
        <v>30</v>
      </c>
      <c r="V32" s="18" t="s">
        <v>694</v>
      </c>
      <c r="W32" s="18">
        <v>29</v>
      </c>
      <c r="X32" s="18" t="s">
        <v>28</v>
      </c>
      <c r="Y32" s="18" t="s">
        <v>649</v>
      </c>
      <c r="Z32" s="18" t="s">
        <v>695</v>
      </c>
      <c r="AA32" s="18">
        <v>3</v>
      </c>
      <c r="AC32" s="28" t="s">
        <v>2324</v>
      </c>
      <c r="AD32" s="28" t="s">
        <v>2346</v>
      </c>
      <c r="AE32" s="28" t="s">
        <v>135</v>
      </c>
      <c r="AF32" s="28" t="s">
        <v>2334</v>
      </c>
      <c r="AG32" s="28" t="s">
        <v>2335</v>
      </c>
      <c r="AH32" s="28" t="s">
        <v>14</v>
      </c>
      <c r="AI32" s="28" t="s">
        <v>2305</v>
      </c>
      <c r="AJ32" s="28" t="s">
        <v>2297</v>
      </c>
      <c r="AK32" s="28" t="s">
        <v>15</v>
      </c>
      <c r="AL32" s="28" t="s">
        <v>2298</v>
      </c>
      <c r="AM32" s="114"/>
    </row>
    <row r="33" spans="1:39">
      <c r="A33" s="10" t="s">
        <v>79</v>
      </c>
      <c r="B33" s="10" t="s">
        <v>614</v>
      </c>
      <c r="C33" s="10">
        <v>14</v>
      </c>
      <c r="D33" s="10">
        <v>12</v>
      </c>
      <c r="E33" s="10">
        <v>13</v>
      </c>
      <c r="G33" s="27">
        <v>1986</v>
      </c>
      <c r="H33" s="27" t="s">
        <v>135</v>
      </c>
      <c r="I33" s="27" t="s">
        <v>12</v>
      </c>
      <c r="J33" s="27" t="s">
        <v>5</v>
      </c>
      <c r="K33" s="27" t="s">
        <v>12</v>
      </c>
      <c r="L33" s="27" t="s">
        <v>161</v>
      </c>
      <c r="M33" s="27" t="s">
        <v>151</v>
      </c>
      <c r="N33" s="27">
        <v>9</v>
      </c>
      <c r="O33" s="27">
        <v>5</v>
      </c>
      <c r="P33" s="27" t="s">
        <v>128</v>
      </c>
      <c r="Q33" s="27" t="s">
        <v>111</v>
      </c>
      <c r="R33" s="27" t="s">
        <v>111</v>
      </c>
      <c r="S33" s="27" t="s">
        <v>160</v>
      </c>
      <c r="U33" s="18">
        <v>31</v>
      </c>
      <c r="V33" s="18" t="s">
        <v>696</v>
      </c>
      <c r="W33" s="18">
        <v>27</v>
      </c>
      <c r="X33" s="18" t="s">
        <v>28</v>
      </c>
      <c r="Y33" s="18" t="s">
        <v>649</v>
      </c>
      <c r="Z33" s="18" t="s">
        <v>697</v>
      </c>
      <c r="AA33" s="18">
        <v>5</v>
      </c>
      <c r="AC33" s="28" t="s">
        <v>2324</v>
      </c>
      <c r="AD33" s="28" t="s">
        <v>2347</v>
      </c>
      <c r="AE33" s="28" t="s">
        <v>135</v>
      </c>
      <c r="AF33" s="28" t="s">
        <v>2336</v>
      </c>
      <c r="AG33" s="28" t="s">
        <v>2337</v>
      </c>
      <c r="AH33" s="28" t="s">
        <v>20</v>
      </c>
      <c r="AI33" s="28" t="s">
        <v>2297</v>
      </c>
      <c r="AJ33" s="28" t="s">
        <v>2302</v>
      </c>
      <c r="AK33" s="28" t="s">
        <v>19</v>
      </c>
      <c r="AL33" s="28" t="s">
        <v>2298</v>
      </c>
      <c r="AM33" s="114"/>
    </row>
    <row r="34" spans="1:39">
      <c r="A34" s="10" t="s">
        <v>61</v>
      </c>
      <c r="B34" s="10" t="s">
        <v>630</v>
      </c>
      <c r="C34" s="10">
        <v>12</v>
      </c>
      <c r="D34" s="10">
        <v>13</v>
      </c>
      <c r="E34" s="10">
        <v>13</v>
      </c>
      <c r="G34" s="27">
        <v>1986</v>
      </c>
      <c r="H34" s="27" t="s">
        <v>135</v>
      </c>
      <c r="I34" s="27" t="s">
        <v>12</v>
      </c>
      <c r="J34" s="27" t="s">
        <v>5</v>
      </c>
      <c r="K34" s="27" t="s">
        <v>5</v>
      </c>
      <c r="L34" s="27" t="s">
        <v>162</v>
      </c>
      <c r="M34" s="27" t="s">
        <v>153</v>
      </c>
      <c r="N34" s="27">
        <v>10</v>
      </c>
      <c r="O34" s="27">
        <v>5</v>
      </c>
      <c r="P34" s="27" t="s">
        <v>128</v>
      </c>
      <c r="Q34" s="27" t="s">
        <v>111</v>
      </c>
      <c r="R34" s="27" t="s">
        <v>131</v>
      </c>
      <c r="S34" s="27" t="s">
        <v>112</v>
      </c>
      <c r="U34" s="18">
        <v>32</v>
      </c>
      <c r="V34" s="18" t="s">
        <v>698</v>
      </c>
      <c r="W34" s="18">
        <v>26</v>
      </c>
      <c r="X34" s="18" t="s">
        <v>28</v>
      </c>
      <c r="Y34" s="18" t="s">
        <v>649</v>
      </c>
      <c r="Z34" s="18" t="s">
        <v>699</v>
      </c>
      <c r="AA34" s="18">
        <v>15</v>
      </c>
      <c r="AC34" s="28" t="s">
        <v>2324</v>
      </c>
      <c r="AD34" s="28" t="s">
        <v>2348</v>
      </c>
      <c r="AE34" s="28" t="s">
        <v>106</v>
      </c>
      <c r="AF34" s="28" t="s">
        <v>2332</v>
      </c>
      <c r="AG34" s="28" t="s">
        <v>2333</v>
      </c>
      <c r="AH34" s="28" t="s">
        <v>20</v>
      </c>
      <c r="AI34" s="28" t="s">
        <v>2297</v>
      </c>
      <c r="AJ34" s="28" t="s">
        <v>2302</v>
      </c>
      <c r="AK34" s="28" t="s">
        <v>14</v>
      </c>
      <c r="AL34" s="28" t="s">
        <v>2298</v>
      </c>
      <c r="AM34" s="114"/>
    </row>
    <row r="35" spans="1:39">
      <c r="A35" s="10" t="s">
        <v>45</v>
      </c>
      <c r="B35" s="10" t="s">
        <v>633</v>
      </c>
      <c r="C35" s="10">
        <v>22</v>
      </c>
      <c r="D35" s="10">
        <v>11</v>
      </c>
      <c r="E35" s="10">
        <v>11</v>
      </c>
      <c r="G35" s="27">
        <v>1986</v>
      </c>
      <c r="H35" s="27" t="s">
        <v>135</v>
      </c>
      <c r="I35" s="27" t="s">
        <v>107</v>
      </c>
      <c r="J35" s="27" t="s">
        <v>28</v>
      </c>
      <c r="K35" s="27" t="s">
        <v>107</v>
      </c>
      <c r="L35" s="27" t="s">
        <v>163</v>
      </c>
      <c r="M35" s="27" t="s">
        <v>164</v>
      </c>
      <c r="N35" s="27">
        <v>1</v>
      </c>
      <c r="O35" s="27">
        <v>1</v>
      </c>
      <c r="P35" s="27" t="s">
        <v>110</v>
      </c>
      <c r="Q35" s="27" t="s">
        <v>111</v>
      </c>
      <c r="R35" s="27" t="s">
        <v>111</v>
      </c>
      <c r="S35" s="27" t="s">
        <v>112</v>
      </c>
      <c r="U35" s="18">
        <v>33</v>
      </c>
      <c r="V35" s="18" t="s">
        <v>700</v>
      </c>
      <c r="W35" s="18">
        <v>22</v>
      </c>
      <c r="X35" s="18" t="s">
        <v>28</v>
      </c>
      <c r="Y35" s="18" t="s">
        <v>657</v>
      </c>
      <c r="Z35" s="18" t="s">
        <v>701</v>
      </c>
      <c r="AA35" s="18">
        <v>20</v>
      </c>
      <c r="AC35" s="28" t="s">
        <v>2324</v>
      </c>
      <c r="AD35" s="28" t="s">
        <v>2348</v>
      </c>
      <c r="AE35" s="28" t="s">
        <v>106</v>
      </c>
      <c r="AF35" s="28" t="s">
        <v>2341</v>
      </c>
      <c r="AG35" s="28" t="s">
        <v>2342</v>
      </c>
      <c r="AH35" s="28" t="s">
        <v>21</v>
      </c>
      <c r="AI35" s="28" t="s">
        <v>2301</v>
      </c>
      <c r="AJ35" s="28" t="s">
        <v>2297</v>
      </c>
      <c r="AK35" s="28" t="s">
        <v>18</v>
      </c>
      <c r="AL35" s="28" t="s">
        <v>2298</v>
      </c>
      <c r="AM35" s="114"/>
    </row>
    <row r="36" spans="1:39">
      <c r="A36" s="10" t="s">
        <v>76</v>
      </c>
      <c r="B36" s="10" t="s">
        <v>622</v>
      </c>
      <c r="C36" s="10">
        <v>19</v>
      </c>
      <c r="D36" s="10">
        <v>9</v>
      </c>
      <c r="E36" s="10">
        <v>8</v>
      </c>
      <c r="G36" s="27">
        <v>1986</v>
      </c>
      <c r="H36" s="27" t="s">
        <v>135</v>
      </c>
      <c r="I36" s="27" t="s">
        <v>107</v>
      </c>
      <c r="J36" s="27" t="s">
        <v>28</v>
      </c>
      <c r="K36" s="27" t="s">
        <v>28</v>
      </c>
      <c r="L36" s="27" t="s">
        <v>165</v>
      </c>
      <c r="M36" s="27" t="s">
        <v>109</v>
      </c>
      <c r="N36" s="27">
        <v>2</v>
      </c>
      <c r="O36" s="27">
        <v>1</v>
      </c>
      <c r="P36" s="27" t="s">
        <v>140</v>
      </c>
      <c r="Q36" s="27" t="s">
        <v>111</v>
      </c>
      <c r="R36" s="27" t="s">
        <v>111</v>
      </c>
      <c r="S36" s="27" t="s">
        <v>112</v>
      </c>
      <c r="U36" s="18">
        <v>34</v>
      </c>
      <c r="V36" s="18" t="s">
        <v>702</v>
      </c>
      <c r="W36" s="18">
        <v>31</v>
      </c>
      <c r="X36" s="18" t="s">
        <v>28</v>
      </c>
      <c r="Y36" s="18" t="s">
        <v>657</v>
      </c>
      <c r="Z36" s="18" t="s">
        <v>703</v>
      </c>
      <c r="AA36" s="18">
        <v>23</v>
      </c>
      <c r="AC36" s="28" t="s">
        <v>2324</v>
      </c>
      <c r="AD36" s="28" t="s">
        <v>2349</v>
      </c>
      <c r="AE36" s="28" t="s">
        <v>2350</v>
      </c>
      <c r="AF36" s="28" t="s">
        <v>2330</v>
      </c>
      <c r="AG36" s="28" t="s">
        <v>2331</v>
      </c>
      <c r="AH36" s="28" t="s">
        <v>18</v>
      </c>
      <c r="AI36" s="28" t="s">
        <v>2301</v>
      </c>
      <c r="AJ36" s="28" t="s">
        <v>2305</v>
      </c>
      <c r="AK36" s="28" t="s">
        <v>14</v>
      </c>
      <c r="AL36" s="28" t="s">
        <v>2298</v>
      </c>
      <c r="AM36" s="114"/>
    </row>
    <row r="37" spans="1:39">
      <c r="A37" s="10" t="s">
        <v>78</v>
      </c>
      <c r="B37" s="10" t="s">
        <v>635</v>
      </c>
      <c r="C37" s="10">
        <v>24</v>
      </c>
      <c r="D37" s="10">
        <v>4</v>
      </c>
      <c r="E37" s="10">
        <v>5</v>
      </c>
      <c r="G37" s="27">
        <v>1986</v>
      </c>
      <c r="H37" s="27" t="s">
        <v>135</v>
      </c>
      <c r="I37" s="27" t="s">
        <v>107</v>
      </c>
      <c r="J37" s="27" t="s">
        <v>28</v>
      </c>
      <c r="K37" s="27" t="s">
        <v>107</v>
      </c>
      <c r="L37" s="27" t="s">
        <v>166</v>
      </c>
      <c r="M37" s="27" t="s">
        <v>164</v>
      </c>
      <c r="N37" s="27">
        <v>3</v>
      </c>
      <c r="O37" s="27">
        <v>2</v>
      </c>
      <c r="P37" s="27" t="s">
        <v>117</v>
      </c>
      <c r="Q37" s="27" t="s">
        <v>111</v>
      </c>
      <c r="R37" s="27" t="s">
        <v>111</v>
      </c>
      <c r="S37" s="27" t="s">
        <v>112</v>
      </c>
      <c r="U37" s="18">
        <v>35</v>
      </c>
      <c r="V37" s="18" t="s">
        <v>704</v>
      </c>
      <c r="W37" s="18">
        <v>28</v>
      </c>
      <c r="X37" s="18" t="s">
        <v>28</v>
      </c>
      <c r="Y37" s="18" t="s">
        <v>661</v>
      </c>
      <c r="Z37" s="18" t="s">
        <v>705</v>
      </c>
      <c r="AA37" s="18">
        <v>2</v>
      </c>
      <c r="AC37" s="28" t="s">
        <v>2324</v>
      </c>
      <c r="AD37" s="28" t="s">
        <v>2351</v>
      </c>
      <c r="AE37" s="28" t="s">
        <v>238</v>
      </c>
      <c r="AF37" s="28" t="s">
        <v>2341</v>
      </c>
      <c r="AG37" s="28" t="s">
        <v>2342</v>
      </c>
      <c r="AH37" s="28" t="s">
        <v>20</v>
      </c>
      <c r="AI37" s="28" t="s">
        <v>2305</v>
      </c>
      <c r="AJ37" s="28" t="s">
        <v>2297</v>
      </c>
      <c r="AK37" s="28" t="s">
        <v>21</v>
      </c>
      <c r="AL37" s="28" t="s">
        <v>2352</v>
      </c>
      <c r="AM37" s="114"/>
    </row>
    <row r="38" spans="1:39">
      <c r="A38" s="10" t="s">
        <v>72</v>
      </c>
      <c r="B38" s="10" t="s">
        <v>636</v>
      </c>
      <c r="C38" s="10">
        <v>25</v>
      </c>
      <c r="D38" s="10">
        <v>3</v>
      </c>
      <c r="E38" s="10">
        <v>4</v>
      </c>
      <c r="G38" s="27">
        <v>1986</v>
      </c>
      <c r="H38" s="27" t="s">
        <v>135</v>
      </c>
      <c r="I38" s="27" t="s">
        <v>107</v>
      </c>
      <c r="J38" s="27" t="s">
        <v>28</v>
      </c>
      <c r="K38" s="27" t="s">
        <v>28</v>
      </c>
      <c r="L38" s="27" t="s">
        <v>167</v>
      </c>
      <c r="M38" s="27" t="s">
        <v>109</v>
      </c>
      <c r="N38" s="27">
        <v>4</v>
      </c>
      <c r="O38" s="27">
        <v>2</v>
      </c>
      <c r="P38" s="27" t="s">
        <v>119</v>
      </c>
      <c r="Q38" s="27" t="s">
        <v>111</v>
      </c>
      <c r="R38" s="27" t="s">
        <v>111</v>
      </c>
      <c r="S38" s="27" t="s">
        <v>124</v>
      </c>
      <c r="U38" s="18">
        <v>36</v>
      </c>
      <c r="V38" s="18" t="s">
        <v>706</v>
      </c>
      <c r="W38" s="18">
        <v>28</v>
      </c>
      <c r="X38" s="18" t="s">
        <v>28</v>
      </c>
      <c r="Y38" s="18" t="s">
        <v>664</v>
      </c>
      <c r="Z38" s="18" t="s">
        <v>707</v>
      </c>
      <c r="AA38" s="18">
        <v>4</v>
      </c>
      <c r="AC38" s="28" t="s">
        <v>2353</v>
      </c>
      <c r="AD38" s="28" t="s">
        <v>2354</v>
      </c>
      <c r="AE38" s="28" t="s">
        <v>2355</v>
      </c>
      <c r="AF38" s="28" t="s">
        <v>2356</v>
      </c>
      <c r="AG38" s="28" t="s">
        <v>2357</v>
      </c>
      <c r="AH38" s="28" t="s">
        <v>16</v>
      </c>
      <c r="AI38" s="28" t="s">
        <v>2297</v>
      </c>
      <c r="AJ38" s="28" t="s">
        <v>2297</v>
      </c>
      <c r="AK38" s="28" t="s">
        <v>18</v>
      </c>
      <c r="AL38" s="28" t="s">
        <v>2298</v>
      </c>
      <c r="AM38" s="114"/>
    </row>
    <row r="39" spans="1:39">
      <c r="A39" s="10" t="s">
        <v>41</v>
      </c>
      <c r="B39" s="10" t="s">
        <v>620</v>
      </c>
      <c r="C39" s="10">
        <v>25</v>
      </c>
      <c r="D39" s="10">
        <v>6</v>
      </c>
      <c r="E39" s="10">
        <v>4</v>
      </c>
      <c r="G39" s="27">
        <v>1986</v>
      </c>
      <c r="H39" s="27" t="s">
        <v>135</v>
      </c>
      <c r="I39" s="27" t="s">
        <v>107</v>
      </c>
      <c r="J39" s="27" t="s">
        <v>28</v>
      </c>
      <c r="K39" s="27" t="s">
        <v>107</v>
      </c>
      <c r="L39" s="27" t="s">
        <v>168</v>
      </c>
      <c r="M39" s="27" t="s">
        <v>164</v>
      </c>
      <c r="N39" s="27">
        <v>5</v>
      </c>
      <c r="O39" s="27">
        <v>3</v>
      </c>
      <c r="P39" s="27" t="s">
        <v>119</v>
      </c>
      <c r="Q39" s="27" t="s">
        <v>111</v>
      </c>
      <c r="R39" s="27" t="s">
        <v>111</v>
      </c>
      <c r="S39" s="27" t="s">
        <v>112</v>
      </c>
      <c r="U39" s="18">
        <v>37</v>
      </c>
      <c r="V39" s="18" t="s">
        <v>708</v>
      </c>
      <c r="W39" s="18">
        <v>26</v>
      </c>
      <c r="X39" s="18" t="s">
        <v>28</v>
      </c>
      <c r="Y39" s="18" t="s">
        <v>664</v>
      </c>
      <c r="Z39" s="18" t="s">
        <v>709</v>
      </c>
      <c r="AA39" s="18">
        <v>6</v>
      </c>
      <c r="AC39" s="28" t="s">
        <v>2353</v>
      </c>
      <c r="AD39" s="28" t="s">
        <v>2358</v>
      </c>
      <c r="AE39" s="28" t="s">
        <v>2355</v>
      </c>
      <c r="AF39" s="28" t="s">
        <v>2359</v>
      </c>
      <c r="AG39" s="28" t="s">
        <v>2360</v>
      </c>
      <c r="AH39" s="28" t="s">
        <v>15</v>
      </c>
      <c r="AI39" s="28" t="s">
        <v>2316</v>
      </c>
      <c r="AJ39" s="28" t="s">
        <v>2302</v>
      </c>
      <c r="AK39" s="28" t="s">
        <v>2361</v>
      </c>
      <c r="AL39" s="28" t="s">
        <v>2298</v>
      </c>
      <c r="AM39" s="114"/>
    </row>
    <row r="40" spans="1:39">
      <c r="A40" s="10" t="s">
        <v>6</v>
      </c>
      <c r="B40" s="10" t="s">
        <v>629</v>
      </c>
      <c r="C40" s="10">
        <v>24</v>
      </c>
      <c r="D40" s="10">
        <v>5</v>
      </c>
      <c r="E40" s="10">
        <v>4</v>
      </c>
      <c r="G40" s="27">
        <v>1986</v>
      </c>
      <c r="H40" s="27" t="s">
        <v>135</v>
      </c>
      <c r="I40" s="27" t="s">
        <v>107</v>
      </c>
      <c r="J40" s="27" t="s">
        <v>28</v>
      </c>
      <c r="K40" s="27" t="s">
        <v>28</v>
      </c>
      <c r="L40" s="27" t="s">
        <v>169</v>
      </c>
      <c r="M40" s="27" t="s">
        <v>109</v>
      </c>
      <c r="N40" s="27">
        <v>6</v>
      </c>
      <c r="O40" s="27">
        <v>3</v>
      </c>
      <c r="P40" s="27" t="s">
        <v>145</v>
      </c>
      <c r="Q40" s="27" t="s">
        <v>111</v>
      </c>
      <c r="R40" s="27" t="s">
        <v>111</v>
      </c>
      <c r="S40" s="27" t="s">
        <v>124</v>
      </c>
      <c r="U40" s="18">
        <v>38</v>
      </c>
      <c r="V40" s="18" t="s">
        <v>710</v>
      </c>
      <c r="W40" s="18">
        <v>20</v>
      </c>
      <c r="X40" s="18" t="s">
        <v>28</v>
      </c>
      <c r="Y40" s="18" t="s">
        <v>664</v>
      </c>
      <c r="Z40" s="18" t="s">
        <v>711</v>
      </c>
      <c r="AA40" s="18">
        <v>18</v>
      </c>
      <c r="AC40" s="28" t="s">
        <v>2353</v>
      </c>
      <c r="AD40" s="28" t="s">
        <v>2358</v>
      </c>
      <c r="AE40" s="28" t="s">
        <v>2355</v>
      </c>
      <c r="AF40" s="28" t="s">
        <v>2362</v>
      </c>
      <c r="AG40" s="28" t="s">
        <v>2363</v>
      </c>
      <c r="AH40" s="28" t="s">
        <v>5</v>
      </c>
      <c r="AI40" s="28" t="s">
        <v>2301</v>
      </c>
      <c r="AJ40" s="28" t="s">
        <v>2297</v>
      </c>
      <c r="AK40" s="28" t="s">
        <v>33</v>
      </c>
      <c r="AL40" s="28" t="s">
        <v>2298</v>
      </c>
      <c r="AM40" s="114"/>
    </row>
    <row r="41" spans="1:39">
      <c r="A41" s="10" t="s">
        <v>82</v>
      </c>
      <c r="B41" s="10" t="s">
        <v>637</v>
      </c>
      <c r="C41" s="10">
        <v>8</v>
      </c>
      <c r="D41" s="10">
        <v>6</v>
      </c>
      <c r="E41" s="10">
        <v>3</v>
      </c>
      <c r="G41" s="27">
        <v>1986</v>
      </c>
      <c r="H41" s="27" t="s">
        <v>135</v>
      </c>
      <c r="I41" s="27" t="s">
        <v>107</v>
      </c>
      <c r="J41" s="27" t="s">
        <v>28</v>
      </c>
      <c r="K41" s="27" t="s">
        <v>107</v>
      </c>
      <c r="L41" s="27" t="s">
        <v>126</v>
      </c>
      <c r="M41" s="27" t="s">
        <v>164</v>
      </c>
      <c r="N41" s="27">
        <v>7</v>
      </c>
      <c r="O41" s="27">
        <v>4</v>
      </c>
      <c r="P41" s="27" t="s">
        <v>145</v>
      </c>
      <c r="Q41" s="27" t="s">
        <v>111</v>
      </c>
      <c r="R41" s="27" t="s">
        <v>131</v>
      </c>
      <c r="S41" s="27" t="s">
        <v>112</v>
      </c>
      <c r="U41" s="18">
        <v>39</v>
      </c>
      <c r="V41" s="18" t="s">
        <v>712</v>
      </c>
      <c r="W41" s="18">
        <v>31</v>
      </c>
      <c r="X41" s="18" t="s">
        <v>28</v>
      </c>
      <c r="Y41" s="18" t="s">
        <v>669</v>
      </c>
      <c r="Z41" s="18" t="s">
        <v>689</v>
      </c>
      <c r="AA41" s="18">
        <v>7</v>
      </c>
      <c r="AC41" s="28" t="s">
        <v>2353</v>
      </c>
      <c r="AD41" s="28" t="s">
        <v>2358</v>
      </c>
      <c r="AE41" s="28" t="s">
        <v>2355</v>
      </c>
      <c r="AF41" s="28" t="s">
        <v>2364</v>
      </c>
      <c r="AG41" s="28" t="s">
        <v>2365</v>
      </c>
      <c r="AH41" s="28" t="s">
        <v>22</v>
      </c>
      <c r="AI41" s="28" t="s">
        <v>2301</v>
      </c>
      <c r="AJ41" s="28" t="s">
        <v>2301</v>
      </c>
      <c r="AK41" s="28" t="s">
        <v>8</v>
      </c>
      <c r="AL41" s="28" t="s">
        <v>2298</v>
      </c>
      <c r="AM41" s="114"/>
    </row>
    <row r="42" spans="1:39">
      <c r="A42" s="10" t="s">
        <v>69</v>
      </c>
      <c r="B42" s="10" t="s">
        <v>628</v>
      </c>
      <c r="C42" s="10">
        <v>11</v>
      </c>
      <c r="D42" s="10">
        <v>3</v>
      </c>
      <c r="E42" s="10">
        <v>2</v>
      </c>
      <c r="G42" s="27">
        <v>1990</v>
      </c>
      <c r="H42" s="27" t="s">
        <v>170</v>
      </c>
      <c r="I42" s="27" t="s">
        <v>52</v>
      </c>
      <c r="J42" s="27" t="s">
        <v>8</v>
      </c>
      <c r="K42" s="27" t="s">
        <v>52</v>
      </c>
      <c r="L42" s="27" t="s">
        <v>171</v>
      </c>
      <c r="M42" s="27" t="s">
        <v>172</v>
      </c>
      <c r="N42" s="27">
        <v>1</v>
      </c>
      <c r="O42" s="27">
        <v>1</v>
      </c>
      <c r="P42" s="27" t="s">
        <v>110</v>
      </c>
      <c r="Q42" s="27" t="s">
        <v>111</v>
      </c>
      <c r="R42" s="27" t="s">
        <v>111</v>
      </c>
      <c r="S42" s="27" t="s">
        <v>112</v>
      </c>
      <c r="U42" s="18">
        <v>40</v>
      </c>
      <c r="V42" s="18" t="s">
        <v>713</v>
      </c>
      <c r="W42" s="18">
        <v>29</v>
      </c>
      <c r="X42" s="18" t="s">
        <v>28</v>
      </c>
      <c r="Y42" s="18" t="s">
        <v>669</v>
      </c>
      <c r="Z42" s="18" t="s">
        <v>714</v>
      </c>
      <c r="AA42" s="18">
        <v>8</v>
      </c>
      <c r="AC42" s="28" t="s">
        <v>2353</v>
      </c>
      <c r="AD42" s="28" t="s">
        <v>2358</v>
      </c>
      <c r="AE42" s="28" t="s">
        <v>2355</v>
      </c>
      <c r="AF42" s="28" t="s">
        <v>2366</v>
      </c>
      <c r="AG42" s="28" t="s">
        <v>2367</v>
      </c>
      <c r="AH42" s="28" t="s">
        <v>20</v>
      </c>
      <c r="AI42" s="28" t="s">
        <v>2305</v>
      </c>
      <c r="AJ42" s="28" t="s">
        <v>2297</v>
      </c>
      <c r="AK42" s="28" t="s">
        <v>54</v>
      </c>
      <c r="AL42" s="28" t="s">
        <v>2352</v>
      </c>
      <c r="AM42" s="114"/>
    </row>
    <row r="43" spans="1:39">
      <c r="A43" s="10" t="s">
        <v>81</v>
      </c>
      <c r="B43" s="10" t="s">
        <v>638</v>
      </c>
      <c r="C43" s="10">
        <v>23</v>
      </c>
      <c r="D43" s="10">
        <v>6</v>
      </c>
      <c r="E43" s="10">
        <v>2</v>
      </c>
      <c r="G43" s="27">
        <v>1990</v>
      </c>
      <c r="H43" s="27" t="s">
        <v>170</v>
      </c>
      <c r="I43" s="27" t="s">
        <v>52</v>
      </c>
      <c r="J43" s="27" t="s">
        <v>8</v>
      </c>
      <c r="K43" s="27" t="s">
        <v>8</v>
      </c>
      <c r="L43" s="27" t="s">
        <v>173</v>
      </c>
      <c r="M43" s="27" t="s">
        <v>174</v>
      </c>
      <c r="N43" s="27">
        <v>2</v>
      </c>
      <c r="O43" s="27">
        <v>1</v>
      </c>
      <c r="P43" s="27" t="s">
        <v>140</v>
      </c>
      <c r="Q43" s="27" t="s">
        <v>111</v>
      </c>
      <c r="R43" s="27" t="s">
        <v>111</v>
      </c>
      <c r="S43" s="27" t="s">
        <v>112</v>
      </c>
      <c r="U43" s="18">
        <v>41</v>
      </c>
      <c r="V43" s="18" t="s">
        <v>715</v>
      </c>
      <c r="W43" s="18">
        <v>30</v>
      </c>
      <c r="X43" s="18" t="s">
        <v>28</v>
      </c>
      <c r="Y43" s="18" t="s">
        <v>669</v>
      </c>
      <c r="Z43" s="18" t="s">
        <v>716</v>
      </c>
      <c r="AA43" s="18">
        <v>24</v>
      </c>
      <c r="AC43" s="28" t="s">
        <v>2353</v>
      </c>
      <c r="AD43" s="28" t="s">
        <v>2368</v>
      </c>
      <c r="AE43" s="28" t="s">
        <v>2355</v>
      </c>
      <c r="AF43" s="28" t="s">
        <v>2369</v>
      </c>
      <c r="AG43" s="28" t="s">
        <v>2370</v>
      </c>
      <c r="AH43" s="28" t="s">
        <v>12</v>
      </c>
      <c r="AI43" s="28" t="s">
        <v>2316</v>
      </c>
      <c r="AJ43" s="28" t="s">
        <v>2338</v>
      </c>
      <c r="AK43" s="28" t="s">
        <v>37</v>
      </c>
      <c r="AL43" s="28" t="s">
        <v>2371</v>
      </c>
      <c r="AM43" s="114"/>
    </row>
    <row r="44" spans="1:39">
      <c r="A44" s="10" t="s">
        <v>48</v>
      </c>
      <c r="B44" s="10" t="s">
        <v>629</v>
      </c>
      <c r="C44" s="10">
        <v>20</v>
      </c>
      <c r="D44" s="10">
        <v>5</v>
      </c>
      <c r="E44" s="10">
        <v>2</v>
      </c>
      <c r="G44" s="27">
        <v>1990</v>
      </c>
      <c r="H44" s="27" t="s">
        <v>170</v>
      </c>
      <c r="I44" s="27" t="s">
        <v>52</v>
      </c>
      <c r="J44" s="27" t="s">
        <v>8</v>
      </c>
      <c r="K44" s="27" t="s">
        <v>52</v>
      </c>
      <c r="L44" s="27" t="s">
        <v>175</v>
      </c>
      <c r="M44" s="27" t="s">
        <v>172</v>
      </c>
      <c r="N44" s="27">
        <v>3</v>
      </c>
      <c r="O44" s="27">
        <v>2</v>
      </c>
      <c r="P44" s="27" t="s">
        <v>117</v>
      </c>
      <c r="Q44" s="27" t="s">
        <v>111</v>
      </c>
      <c r="R44" s="27" t="s">
        <v>111</v>
      </c>
      <c r="S44" s="27" t="s">
        <v>112</v>
      </c>
      <c r="U44" s="18">
        <v>42</v>
      </c>
      <c r="V44" s="18" t="s">
        <v>717</v>
      </c>
      <c r="W44" s="18">
        <v>30</v>
      </c>
      <c r="X44" s="18" t="s">
        <v>28</v>
      </c>
      <c r="Y44" s="18" t="s">
        <v>675</v>
      </c>
      <c r="Z44" s="18" t="s">
        <v>718</v>
      </c>
      <c r="AA44" s="18">
        <v>17</v>
      </c>
      <c r="AC44" s="28" t="s">
        <v>2353</v>
      </c>
      <c r="AD44" s="28" t="s">
        <v>2372</v>
      </c>
      <c r="AE44" s="28" t="s">
        <v>2355</v>
      </c>
      <c r="AF44" s="28" t="s">
        <v>2373</v>
      </c>
      <c r="AG44" s="28" t="s">
        <v>2374</v>
      </c>
      <c r="AH44" s="28" t="s">
        <v>21</v>
      </c>
      <c r="AI44" s="28" t="s">
        <v>2301</v>
      </c>
      <c r="AJ44" s="28" t="s">
        <v>2302</v>
      </c>
      <c r="AK44" s="28" t="s">
        <v>40</v>
      </c>
      <c r="AL44" s="28" t="s">
        <v>2375</v>
      </c>
      <c r="AM44" s="114"/>
    </row>
    <row r="45" spans="1:39">
      <c r="A45" s="10" t="s">
        <v>83</v>
      </c>
      <c r="B45" s="10" t="s">
        <v>569</v>
      </c>
      <c r="C45" s="10">
        <v>16</v>
      </c>
      <c r="D45" s="10">
        <v>1</v>
      </c>
      <c r="E45" s="10">
        <v>1</v>
      </c>
      <c r="G45" s="27">
        <v>1990</v>
      </c>
      <c r="H45" s="27" t="s">
        <v>170</v>
      </c>
      <c r="I45" s="27" t="s">
        <v>52</v>
      </c>
      <c r="J45" s="27" t="s">
        <v>8</v>
      </c>
      <c r="K45" s="27" t="s">
        <v>8</v>
      </c>
      <c r="L45" s="27" t="s">
        <v>176</v>
      </c>
      <c r="M45" s="27" t="s">
        <v>174</v>
      </c>
      <c r="N45" s="27">
        <v>4</v>
      </c>
      <c r="O45" s="27">
        <v>2</v>
      </c>
      <c r="P45" s="27" t="s">
        <v>119</v>
      </c>
      <c r="Q45" s="27" t="s">
        <v>111</v>
      </c>
      <c r="R45" s="27" t="s">
        <v>111</v>
      </c>
      <c r="S45" s="27" t="s">
        <v>112</v>
      </c>
      <c r="U45" s="18">
        <v>43</v>
      </c>
      <c r="V45" s="18" t="s">
        <v>719</v>
      </c>
      <c r="W45" s="18">
        <v>17</v>
      </c>
      <c r="X45" s="18" t="s">
        <v>28</v>
      </c>
      <c r="Y45" s="18" t="s">
        <v>675</v>
      </c>
      <c r="Z45" s="18" t="s">
        <v>720</v>
      </c>
      <c r="AA45" s="18">
        <v>19</v>
      </c>
      <c r="AC45" s="28" t="s">
        <v>2353</v>
      </c>
      <c r="AD45" s="28" t="s">
        <v>2376</v>
      </c>
      <c r="AE45" s="28" t="s">
        <v>2355</v>
      </c>
      <c r="AF45" s="28" t="s">
        <v>2364</v>
      </c>
      <c r="AG45" s="28" t="s">
        <v>2365</v>
      </c>
      <c r="AH45" s="28" t="s">
        <v>22</v>
      </c>
      <c r="AI45" s="28" t="s">
        <v>2305</v>
      </c>
      <c r="AJ45" s="28" t="s">
        <v>2297</v>
      </c>
      <c r="AK45" s="28" t="s">
        <v>8</v>
      </c>
      <c r="AL45" s="28" t="s">
        <v>2298</v>
      </c>
      <c r="AM45" s="114"/>
    </row>
    <row r="46" spans="1:39">
      <c r="A46" s="10" t="s">
        <v>84</v>
      </c>
      <c r="B46" s="10" t="s">
        <v>567</v>
      </c>
      <c r="C46" s="10">
        <v>22</v>
      </c>
      <c r="D46" s="10">
        <v>3</v>
      </c>
      <c r="E46" s="10">
        <v>1</v>
      </c>
      <c r="G46" s="27">
        <v>1990</v>
      </c>
      <c r="H46" s="27" t="s">
        <v>170</v>
      </c>
      <c r="I46" s="27" t="s">
        <v>52</v>
      </c>
      <c r="J46" s="27" t="s">
        <v>8</v>
      </c>
      <c r="K46" s="27" t="s">
        <v>52</v>
      </c>
      <c r="L46" s="27" t="s">
        <v>177</v>
      </c>
      <c r="M46" s="27" t="s">
        <v>172</v>
      </c>
      <c r="N46" s="27">
        <v>5</v>
      </c>
      <c r="O46" s="27">
        <v>3</v>
      </c>
      <c r="P46" s="27" t="s">
        <v>121</v>
      </c>
      <c r="Q46" s="27" t="s">
        <v>111</v>
      </c>
      <c r="R46" s="27" t="s">
        <v>111</v>
      </c>
      <c r="S46" s="27" t="s">
        <v>112</v>
      </c>
      <c r="U46" s="18">
        <v>44</v>
      </c>
      <c r="V46" s="18" t="s">
        <v>721</v>
      </c>
      <c r="W46" s="18">
        <v>22</v>
      </c>
      <c r="X46" s="18" t="s">
        <v>28</v>
      </c>
      <c r="Y46" s="18" t="s">
        <v>675</v>
      </c>
      <c r="Z46" s="18" t="s">
        <v>689</v>
      </c>
      <c r="AA46" s="18">
        <v>26</v>
      </c>
      <c r="AC46" s="28" t="s">
        <v>2353</v>
      </c>
      <c r="AD46" s="28" t="s">
        <v>2376</v>
      </c>
      <c r="AE46" s="28" t="s">
        <v>2355</v>
      </c>
      <c r="AF46" s="28" t="s">
        <v>2356</v>
      </c>
      <c r="AG46" s="28" t="s">
        <v>2357</v>
      </c>
      <c r="AH46" s="28" t="s">
        <v>16</v>
      </c>
      <c r="AI46" s="28" t="s">
        <v>2296</v>
      </c>
      <c r="AJ46" s="28" t="s">
        <v>2305</v>
      </c>
      <c r="AK46" s="28" t="s">
        <v>18</v>
      </c>
      <c r="AL46" s="28" t="s">
        <v>2298</v>
      </c>
      <c r="AM46" s="114"/>
    </row>
    <row r="47" spans="1:39">
      <c r="A47" s="10" t="s">
        <v>529</v>
      </c>
      <c r="B47" s="10" t="s">
        <v>639</v>
      </c>
      <c r="C47" s="10">
        <v>14</v>
      </c>
      <c r="D47" s="10">
        <v>1</v>
      </c>
      <c r="E47" s="10">
        <v>1</v>
      </c>
      <c r="G47" s="27">
        <v>1990</v>
      </c>
      <c r="H47" s="27" t="s">
        <v>170</v>
      </c>
      <c r="I47" s="27" t="s">
        <v>52</v>
      </c>
      <c r="J47" s="27" t="s">
        <v>8</v>
      </c>
      <c r="K47" s="27" t="s">
        <v>8</v>
      </c>
      <c r="L47" s="27" t="s">
        <v>178</v>
      </c>
      <c r="M47" s="27" t="s">
        <v>174</v>
      </c>
      <c r="N47" s="27">
        <v>6</v>
      </c>
      <c r="O47" s="27">
        <v>3</v>
      </c>
      <c r="P47" s="27" t="s">
        <v>123</v>
      </c>
      <c r="Q47" s="27" t="s">
        <v>111</v>
      </c>
      <c r="R47" s="27" t="s">
        <v>111</v>
      </c>
      <c r="S47" s="27" t="s">
        <v>112</v>
      </c>
      <c r="U47" s="18">
        <v>45</v>
      </c>
      <c r="V47" s="18" t="s">
        <v>722</v>
      </c>
      <c r="W47" s="18">
        <v>28</v>
      </c>
      <c r="X47" s="18" t="s">
        <v>28</v>
      </c>
      <c r="Y47" s="18" t="s">
        <v>679</v>
      </c>
      <c r="Z47" s="18" t="s">
        <v>703</v>
      </c>
      <c r="AA47" s="18">
        <v>10</v>
      </c>
      <c r="AC47" s="28" t="s">
        <v>2353</v>
      </c>
      <c r="AD47" s="28" t="s">
        <v>2377</v>
      </c>
      <c r="AE47" s="28" t="s">
        <v>135</v>
      </c>
      <c r="AF47" s="28" t="s">
        <v>2378</v>
      </c>
      <c r="AG47" s="28" t="s">
        <v>2379</v>
      </c>
      <c r="AH47" s="28" t="s">
        <v>12</v>
      </c>
      <c r="AI47" s="28" t="s">
        <v>2297</v>
      </c>
      <c r="AJ47" s="28" t="s">
        <v>2297</v>
      </c>
      <c r="AK47" s="28" t="s">
        <v>21</v>
      </c>
      <c r="AL47" s="28" t="s">
        <v>2298</v>
      </c>
      <c r="AM47" s="114"/>
    </row>
    <row r="48" spans="1:39">
      <c r="A48" s="10" t="s">
        <v>530</v>
      </c>
      <c r="B48" s="10" t="s">
        <v>567</v>
      </c>
      <c r="C48" s="10">
        <v>22</v>
      </c>
      <c r="D48" s="10">
        <v>0</v>
      </c>
      <c r="E48" s="10">
        <v>0</v>
      </c>
      <c r="G48" s="27">
        <v>1990</v>
      </c>
      <c r="H48" s="27" t="s">
        <v>170</v>
      </c>
      <c r="I48" s="27" t="s">
        <v>52</v>
      </c>
      <c r="J48" s="27" t="s">
        <v>8</v>
      </c>
      <c r="K48" s="27" t="s">
        <v>52</v>
      </c>
      <c r="L48" s="27" t="s">
        <v>179</v>
      </c>
      <c r="M48" s="27" t="s">
        <v>172</v>
      </c>
      <c r="N48" s="27">
        <v>7</v>
      </c>
      <c r="O48" s="27">
        <v>4</v>
      </c>
      <c r="P48" s="27" t="s">
        <v>128</v>
      </c>
      <c r="Q48" s="27" t="s">
        <v>111</v>
      </c>
      <c r="R48" s="27" t="s">
        <v>111</v>
      </c>
      <c r="S48" s="27" t="s">
        <v>112</v>
      </c>
      <c r="U48" s="18">
        <v>46</v>
      </c>
      <c r="V48" s="18" t="s">
        <v>723</v>
      </c>
      <c r="W48" s="18">
        <v>25</v>
      </c>
      <c r="X48" s="18" t="s">
        <v>28</v>
      </c>
      <c r="Y48" s="18" t="s">
        <v>679</v>
      </c>
      <c r="Z48" s="18" t="s">
        <v>724</v>
      </c>
      <c r="AA48" s="18">
        <v>21</v>
      </c>
      <c r="AC48" s="28" t="s">
        <v>2353</v>
      </c>
      <c r="AD48" s="28" t="s">
        <v>2377</v>
      </c>
      <c r="AE48" s="28" t="s">
        <v>135</v>
      </c>
      <c r="AF48" s="28" t="s">
        <v>2380</v>
      </c>
      <c r="AG48" s="28" t="s">
        <v>2381</v>
      </c>
      <c r="AH48" s="28" t="s">
        <v>15</v>
      </c>
      <c r="AI48" s="28" t="s">
        <v>2305</v>
      </c>
      <c r="AJ48" s="28" t="s">
        <v>2302</v>
      </c>
      <c r="AK48" s="28" t="s">
        <v>16</v>
      </c>
      <c r="AL48" s="28" t="s">
        <v>2298</v>
      </c>
      <c r="AM48" s="114"/>
    </row>
    <row r="49" spans="1:39">
      <c r="A49" s="10" t="s">
        <v>527</v>
      </c>
      <c r="B49" s="10" t="s">
        <v>640</v>
      </c>
      <c r="C49" s="10">
        <v>26</v>
      </c>
      <c r="D49" s="10">
        <v>0</v>
      </c>
      <c r="E49" s="10">
        <v>0</v>
      </c>
      <c r="G49" s="27">
        <v>1990</v>
      </c>
      <c r="H49" s="27" t="s">
        <v>170</v>
      </c>
      <c r="I49" s="27" t="s">
        <v>52</v>
      </c>
      <c r="J49" s="27" t="s">
        <v>8</v>
      </c>
      <c r="K49" s="27" t="s">
        <v>8</v>
      </c>
      <c r="L49" s="27" t="s">
        <v>180</v>
      </c>
      <c r="M49" s="27" t="s">
        <v>174</v>
      </c>
      <c r="N49" s="27">
        <v>8</v>
      </c>
      <c r="O49" s="27">
        <v>4</v>
      </c>
      <c r="P49" s="27" t="s">
        <v>130</v>
      </c>
      <c r="Q49" s="27" t="s">
        <v>111</v>
      </c>
      <c r="R49" s="27" t="s">
        <v>111</v>
      </c>
      <c r="S49" s="27" t="s">
        <v>112</v>
      </c>
      <c r="U49" s="18">
        <v>47</v>
      </c>
      <c r="V49" s="18" t="s">
        <v>725</v>
      </c>
      <c r="W49" s="18">
        <v>29</v>
      </c>
      <c r="X49" s="18" t="s">
        <v>28</v>
      </c>
      <c r="Y49" s="18" t="s">
        <v>681</v>
      </c>
      <c r="Z49" s="18" t="s">
        <v>726</v>
      </c>
      <c r="AA49" s="18">
        <v>16</v>
      </c>
      <c r="AC49" s="28" t="s">
        <v>2353</v>
      </c>
      <c r="AD49" s="28" t="s">
        <v>2377</v>
      </c>
      <c r="AE49" s="28" t="s">
        <v>135</v>
      </c>
      <c r="AF49" s="28" t="s">
        <v>2382</v>
      </c>
      <c r="AG49" s="28" t="s">
        <v>2383</v>
      </c>
      <c r="AH49" s="28" t="s">
        <v>17</v>
      </c>
      <c r="AI49" s="28" t="s">
        <v>2384</v>
      </c>
      <c r="AJ49" s="28" t="s">
        <v>2302</v>
      </c>
      <c r="AK49" s="28" t="s">
        <v>22</v>
      </c>
      <c r="AL49" s="28" t="s">
        <v>2298</v>
      </c>
      <c r="AM49" s="114"/>
    </row>
    <row r="50" spans="1:39">
      <c r="A50" s="10" t="s">
        <v>528</v>
      </c>
      <c r="B50" s="10" t="s">
        <v>625</v>
      </c>
      <c r="C50" s="10">
        <v>24</v>
      </c>
      <c r="D50" s="10">
        <v>0</v>
      </c>
      <c r="E50" s="10">
        <v>0</v>
      </c>
      <c r="G50" s="27">
        <v>1990</v>
      </c>
      <c r="H50" s="27" t="s">
        <v>170</v>
      </c>
      <c r="I50" s="27" t="s">
        <v>52</v>
      </c>
      <c r="J50" s="27" t="s">
        <v>8</v>
      </c>
      <c r="K50" s="27" t="s">
        <v>52</v>
      </c>
      <c r="L50" s="27" t="s">
        <v>181</v>
      </c>
      <c r="M50" s="27" t="s">
        <v>172</v>
      </c>
      <c r="N50" s="27">
        <v>9</v>
      </c>
      <c r="O50" s="27">
        <v>5</v>
      </c>
      <c r="P50" s="27" t="s">
        <v>133</v>
      </c>
      <c r="Q50" s="27" t="s">
        <v>111</v>
      </c>
      <c r="R50" s="27" t="s">
        <v>111</v>
      </c>
      <c r="S50" s="27" t="s">
        <v>112</v>
      </c>
      <c r="U50" s="18">
        <v>48</v>
      </c>
      <c r="V50" s="18" t="s">
        <v>727</v>
      </c>
      <c r="W50" s="18">
        <v>27</v>
      </c>
      <c r="X50" s="18" t="s">
        <v>28</v>
      </c>
      <c r="Y50" s="18" t="s">
        <v>681</v>
      </c>
      <c r="Z50" s="18" t="s">
        <v>689</v>
      </c>
      <c r="AA50" s="18">
        <v>25</v>
      </c>
      <c r="AC50" s="28" t="s">
        <v>2353</v>
      </c>
      <c r="AD50" s="28" t="s">
        <v>2377</v>
      </c>
      <c r="AE50" s="28" t="s">
        <v>135</v>
      </c>
      <c r="AF50" s="28" t="s">
        <v>2362</v>
      </c>
      <c r="AG50" s="28" t="s">
        <v>2363</v>
      </c>
      <c r="AH50" s="28" t="s">
        <v>20</v>
      </c>
      <c r="AI50" s="28" t="s">
        <v>2301</v>
      </c>
      <c r="AJ50" s="28" t="s">
        <v>2297</v>
      </c>
      <c r="AK50" s="28" t="s">
        <v>5</v>
      </c>
      <c r="AL50" s="28" t="s">
        <v>2298</v>
      </c>
      <c r="AM50" s="114"/>
    </row>
    <row r="51" spans="1:39">
      <c r="G51" s="27">
        <v>1990</v>
      </c>
      <c r="H51" s="27" t="s">
        <v>170</v>
      </c>
      <c r="I51" s="27" t="s">
        <v>52</v>
      </c>
      <c r="J51" s="27" t="s">
        <v>8</v>
      </c>
      <c r="K51" s="27" t="s">
        <v>8</v>
      </c>
      <c r="L51" s="27" t="s">
        <v>182</v>
      </c>
      <c r="M51" s="27" t="s">
        <v>174</v>
      </c>
      <c r="N51" s="27">
        <v>10</v>
      </c>
      <c r="O51" s="27">
        <v>5</v>
      </c>
      <c r="P51" s="27" t="s">
        <v>183</v>
      </c>
      <c r="Q51" s="27" t="s">
        <v>131</v>
      </c>
      <c r="R51" s="27" t="s">
        <v>131</v>
      </c>
      <c r="S51" s="27" t="s">
        <v>124</v>
      </c>
      <c r="U51" s="18">
        <v>49</v>
      </c>
      <c r="V51" s="18" t="s">
        <v>728</v>
      </c>
      <c r="W51" s="18">
        <v>35</v>
      </c>
      <c r="X51" s="18" t="s">
        <v>28</v>
      </c>
      <c r="Y51" s="18" t="s">
        <v>683</v>
      </c>
      <c r="Z51" s="18" t="s">
        <v>729</v>
      </c>
      <c r="AA51" s="18">
        <v>9</v>
      </c>
      <c r="AC51" s="28" t="s">
        <v>2353</v>
      </c>
      <c r="AD51" s="28" t="s">
        <v>2385</v>
      </c>
      <c r="AE51" s="28" t="s">
        <v>135</v>
      </c>
      <c r="AF51" s="28" t="s">
        <v>2378</v>
      </c>
      <c r="AG51" s="28" t="s">
        <v>2379</v>
      </c>
      <c r="AH51" s="28" t="s">
        <v>12</v>
      </c>
      <c r="AI51" s="28" t="s">
        <v>2305</v>
      </c>
      <c r="AJ51" s="28" t="s">
        <v>2297</v>
      </c>
      <c r="AK51" s="28" t="s">
        <v>21</v>
      </c>
      <c r="AL51" s="28" t="s">
        <v>2298</v>
      </c>
      <c r="AM51" s="114"/>
    </row>
    <row r="52" spans="1:39">
      <c r="G52" s="27">
        <v>1990</v>
      </c>
      <c r="H52" s="27" t="s">
        <v>135</v>
      </c>
      <c r="I52" s="27" t="s">
        <v>9</v>
      </c>
      <c r="J52" s="27" t="s">
        <v>7</v>
      </c>
      <c r="K52" s="27" t="s">
        <v>9</v>
      </c>
      <c r="L52" s="27" t="s">
        <v>184</v>
      </c>
      <c r="M52" s="27" t="s">
        <v>185</v>
      </c>
      <c r="N52" s="27">
        <v>1</v>
      </c>
      <c r="O52" s="27">
        <v>1</v>
      </c>
      <c r="P52" s="27" t="s">
        <v>110</v>
      </c>
      <c r="Q52" s="27" t="s">
        <v>111</v>
      </c>
      <c r="R52" s="27" t="s">
        <v>111</v>
      </c>
      <c r="S52" s="27" t="s">
        <v>112</v>
      </c>
      <c r="U52" s="18">
        <v>50</v>
      </c>
      <c r="V52" s="18" t="s">
        <v>730</v>
      </c>
      <c r="W52" s="18">
        <v>25</v>
      </c>
      <c r="X52" s="18" t="s">
        <v>28</v>
      </c>
      <c r="Y52" s="18" t="s">
        <v>683</v>
      </c>
      <c r="Z52" s="18" t="s">
        <v>731</v>
      </c>
      <c r="AA52" s="18">
        <v>11</v>
      </c>
      <c r="AC52" s="28" t="s">
        <v>2353</v>
      </c>
      <c r="AD52" s="28" t="s">
        <v>2386</v>
      </c>
      <c r="AE52" s="28" t="s">
        <v>106</v>
      </c>
      <c r="AF52" s="28" t="s">
        <v>2356</v>
      </c>
      <c r="AG52" s="28" t="s">
        <v>2357</v>
      </c>
      <c r="AH52" s="28" t="s">
        <v>15</v>
      </c>
      <c r="AI52" s="28" t="s">
        <v>2338</v>
      </c>
      <c r="AJ52" s="28" t="s">
        <v>2297</v>
      </c>
      <c r="AK52" s="28" t="s">
        <v>17</v>
      </c>
      <c r="AL52" s="28" t="s">
        <v>2298</v>
      </c>
      <c r="AM52" s="114"/>
    </row>
    <row r="53" spans="1:39">
      <c r="G53" s="27">
        <v>1990</v>
      </c>
      <c r="H53" s="27" t="s">
        <v>135</v>
      </c>
      <c r="I53" s="27" t="s">
        <v>9</v>
      </c>
      <c r="J53" s="27" t="s">
        <v>7</v>
      </c>
      <c r="K53" s="27" t="s">
        <v>7</v>
      </c>
      <c r="L53" s="27" t="s">
        <v>186</v>
      </c>
      <c r="M53" s="27" t="s">
        <v>187</v>
      </c>
      <c r="N53" s="27">
        <v>2</v>
      </c>
      <c r="O53" s="27">
        <v>1</v>
      </c>
      <c r="P53" s="27" t="s">
        <v>140</v>
      </c>
      <c r="Q53" s="27" t="s">
        <v>111</v>
      </c>
      <c r="R53" s="27" t="s">
        <v>111</v>
      </c>
      <c r="S53" s="27" t="s">
        <v>160</v>
      </c>
      <c r="U53" s="18">
        <v>51</v>
      </c>
      <c r="V53" s="18" t="s">
        <v>732</v>
      </c>
      <c r="W53" s="18">
        <v>23</v>
      </c>
      <c r="X53" s="18" t="s">
        <v>28</v>
      </c>
      <c r="Y53" s="18" t="s">
        <v>683</v>
      </c>
      <c r="Z53" s="18" t="s">
        <v>689</v>
      </c>
      <c r="AA53" s="18">
        <v>14</v>
      </c>
      <c r="AC53" s="28" t="s">
        <v>2353</v>
      </c>
      <c r="AD53" s="28" t="s">
        <v>2386</v>
      </c>
      <c r="AE53" s="28" t="s">
        <v>106</v>
      </c>
      <c r="AF53" s="28" t="s">
        <v>2366</v>
      </c>
      <c r="AG53" s="28" t="s">
        <v>2367</v>
      </c>
      <c r="AH53" s="28" t="s">
        <v>20</v>
      </c>
      <c r="AI53" s="28" t="s">
        <v>2305</v>
      </c>
      <c r="AJ53" s="28" t="s">
        <v>2297</v>
      </c>
      <c r="AK53" s="28" t="s">
        <v>12</v>
      </c>
      <c r="AL53" s="28" t="s">
        <v>2298</v>
      </c>
      <c r="AM53" s="114"/>
    </row>
    <row r="54" spans="1:39">
      <c r="G54" s="27">
        <v>1990</v>
      </c>
      <c r="H54" s="27" t="s">
        <v>135</v>
      </c>
      <c r="I54" s="27" t="s">
        <v>9</v>
      </c>
      <c r="J54" s="27" t="s">
        <v>7</v>
      </c>
      <c r="K54" s="27" t="s">
        <v>9</v>
      </c>
      <c r="L54" s="27" t="s">
        <v>188</v>
      </c>
      <c r="M54" s="27" t="s">
        <v>185</v>
      </c>
      <c r="N54" s="27">
        <v>3</v>
      </c>
      <c r="O54" s="27">
        <v>2</v>
      </c>
      <c r="P54" s="27" t="s">
        <v>140</v>
      </c>
      <c r="Q54" s="27" t="s">
        <v>111</v>
      </c>
      <c r="R54" s="27" t="s">
        <v>111</v>
      </c>
      <c r="S54" s="27" t="s">
        <v>112</v>
      </c>
      <c r="U54" s="18">
        <v>52</v>
      </c>
      <c r="V54" s="18" t="s">
        <v>733</v>
      </c>
      <c r="W54" s="18">
        <v>31</v>
      </c>
      <c r="X54" s="18" t="s">
        <v>28</v>
      </c>
      <c r="Y54" s="18" t="s">
        <v>683</v>
      </c>
      <c r="Z54" s="18" t="s">
        <v>734</v>
      </c>
      <c r="AA54" s="18">
        <v>22</v>
      </c>
      <c r="AC54" s="28" t="s">
        <v>2353</v>
      </c>
      <c r="AD54" s="28" t="s">
        <v>2387</v>
      </c>
      <c r="AE54" s="28" t="s">
        <v>2350</v>
      </c>
      <c r="AF54" s="28" t="s">
        <v>2378</v>
      </c>
      <c r="AG54" s="28" t="s">
        <v>2379</v>
      </c>
      <c r="AH54" s="28" t="s">
        <v>12</v>
      </c>
      <c r="AI54" s="28" t="s">
        <v>2296</v>
      </c>
      <c r="AJ54" s="28" t="s">
        <v>2305</v>
      </c>
      <c r="AK54" s="28" t="s">
        <v>17</v>
      </c>
      <c r="AL54" s="28" t="s">
        <v>2298</v>
      </c>
      <c r="AM54" s="114"/>
    </row>
    <row r="55" spans="1:39">
      <c r="G55" s="27">
        <v>1990</v>
      </c>
      <c r="H55" s="27" t="s">
        <v>135</v>
      </c>
      <c r="I55" s="27" t="s">
        <v>9</v>
      </c>
      <c r="J55" s="27" t="s">
        <v>7</v>
      </c>
      <c r="K55" s="27" t="s">
        <v>7</v>
      </c>
      <c r="L55" s="27" t="s">
        <v>189</v>
      </c>
      <c r="M55" s="27" t="s">
        <v>187</v>
      </c>
      <c r="N55" s="27">
        <v>4</v>
      </c>
      <c r="O55" s="27">
        <v>2</v>
      </c>
      <c r="P55" s="27" t="s">
        <v>190</v>
      </c>
      <c r="Q55" s="27" t="s">
        <v>111</v>
      </c>
      <c r="R55" s="27" t="s">
        <v>111</v>
      </c>
      <c r="S55" s="27" t="s">
        <v>112</v>
      </c>
      <c r="U55" s="18">
        <v>53</v>
      </c>
      <c r="V55" s="18" t="s">
        <v>735</v>
      </c>
      <c r="W55" s="18">
        <v>34</v>
      </c>
      <c r="X55" s="18" t="s">
        <v>61</v>
      </c>
      <c r="Y55" s="18" t="s">
        <v>642</v>
      </c>
      <c r="Z55" s="18" t="s">
        <v>736</v>
      </c>
      <c r="AA55" s="18">
        <v>1</v>
      </c>
      <c r="AC55" s="28" t="s">
        <v>2353</v>
      </c>
      <c r="AD55" s="28" t="s">
        <v>2387</v>
      </c>
      <c r="AE55" s="28" t="s">
        <v>238</v>
      </c>
      <c r="AF55" s="28" t="s">
        <v>2362</v>
      </c>
      <c r="AG55" s="28" t="s">
        <v>2363</v>
      </c>
      <c r="AH55" s="28" t="s">
        <v>20</v>
      </c>
      <c r="AI55" s="28" t="s">
        <v>2296</v>
      </c>
      <c r="AJ55" s="28" t="s">
        <v>2305</v>
      </c>
      <c r="AK55" s="28" t="s">
        <v>15</v>
      </c>
      <c r="AL55" s="28" t="s">
        <v>2298</v>
      </c>
      <c r="AM55" s="114"/>
    </row>
    <row r="56" spans="1:39">
      <c r="G56" s="27">
        <v>1990</v>
      </c>
      <c r="H56" s="27" t="s">
        <v>135</v>
      </c>
      <c r="I56" s="27" t="s">
        <v>9</v>
      </c>
      <c r="J56" s="27" t="s">
        <v>7</v>
      </c>
      <c r="K56" s="27" t="s">
        <v>9</v>
      </c>
      <c r="L56" s="27" t="s">
        <v>191</v>
      </c>
      <c r="M56" s="27" t="s">
        <v>185</v>
      </c>
      <c r="N56" s="27">
        <v>5</v>
      </c>
      <c r="O56" s="27">
        <v>3</v>
      </c>
      <c r="P56" s="27" t="s">
        <v>119</v>
      </c>
      <c r="Q56" s="27" t="s">
        <v>111</v>
      </c>
      <c r="R56" s="27" t="s">
        <v>111</v>
      </c>
      <c r="S56" s="27" t="s">
        <v>124</v>
      </c>
      <c r="U56" s="18">
        <v>54</v>
      </c>
      <c r="V56" s="18" t="s">
        <v>737</v>
      </c>
      <c r="W56" s="18">
        <v>29</v>
      </c>
      <c r="X56" s="18" t="s">
        <v>61</v>
      </c>
      <c r="Y56" s="18" t="s">
        <v>642</v>
      </c>
      <c r="Z56" s="18" t="s">
        <v>738</v>
      </c>
      <c r="AA56" s="18">
        <v>16</v>
      </c>
      <c r="AC56" s="28" t="s">
        <v>2388</v>
      </c>
      <c r="AD56" s="28" t="s">
        <v>2389</v>
      </c>
      <c r="AE56" s="28" t="s">
        <v>2293</v>
      </c>
      <c r="AF56" s="28" t="s">
        <v>2390</v>
      </c>
      <c r="AG56" s="28" t="s">
        <v>2391</v>
      </c>
      <c r="AH56" s="28" t="s">
        <v>12</v>
      </c>
      <c r="AI56" s="28" t="s">
        <v>2296</v>
      </c>
      <c r="AJ56" s="28" t="s">
        <v>2302</v>
      </c>
      <c r="AK56" s="28" t="s">
        <v>28</v>
      </c>
      <c r="AL56" s="28" t="s">
        <v>2298</v>
      </c>
      <c r="AM56" s="114"/>
    </row>
    <row r="57" spans="1:39">
      <c r="G57" s="27">
        <v>1990</v>
      </c>
      <c r="H57" s="27" t="s">
        <v>135</v>
      </c>
      <c r="I57" s="27" t="s">
        <v>9</v>
      </c>
      <c r="J57" s="27" t="s">
        <v>7</v>
      </c>
      <c r="K57" s="27" t="s">
        <v>7</v>
      </c>
      <c r="L57" s="27" t="s">
        <v>192</v>
      </c>
      <c r="M57" s="27" t="s">
        <v>187</v>
      </c>
      <c r="N57" s="27">
        <v>6</v>
      </c>
      <c r="O57" s="27">
        <v>3</v>
      </c>
      <c r="P57" s="27" t="s">
        <v>119</v>
      </c>
      <c r="Q57" s="27" t="s">
        <v>111</v>
      </c>
      <c r="R57" s="27" t="s">
        <v>111</v>
      </c>
      <c r="S57" s="27" t="s">
        <v>112</v>
      </c>
      <c r="U57" s="18">
        <v>55</v>
      </c>
      <c r="V57" s="18" t="s">
        <v>739</v>
      </c>
      <c r="W57" s="18">
        <v>32</v>
      </c>
      <c r="X57" s="18" t="s">
        <v>61</v>
      </c>
      <c r="Y57" s="18" t="s">
        <v>642</v>
      </c>
      <c r="Z57" s="18" t="s">
        <v>740</v>
      </c>
      <c r="AA57" s="18">
        <v>22</v>
      </c>
      <c r="AC57" s="28" t="s">
        <v>2388</v>
      </c>
      <c r="AD57" s="28" t="s">
        <v>2392</v>
      </c>
      <c r="AE57" s="28" t="s">
        <v>2304</v>
      </c>
      <c r="AF57" s="28" t="s">
        <v>2390</v>
      </c>
      <c r="AG57" s="28" t="s">
        <v>2391</v>
      </c>
      <c r="AH57" s="28" t="s">
        <v>23</v>
      </c>
      <c r="AI57" s="28" t="s">
        <v>2305</v>
      </c>
      <c r="AJ57" s="28" t="s">
        <v>2302</v>
      </c>
      <c r="AK57" s="28" t="s">
        <v>10</v>
      </c>
      <c r="AL57" s="28" t="s">
        <v>2298</v>
      </c>
      <c r="AM57" s="114"/>
    </row>
    <row r="58" spans="1:39">
      <c r="G58" s="27">
        <v>1990</v>
      </c>
      <c r="H58" s="27" t="s">
        <v>135</v>
      </c>
      <c r="I58" s="27" t="s">
        <v>9</v>
      </c>
      <c r="J58" s="27" t="s">
        <v>7</v>
      </c>
      <c r="K58" s="27" t="s">
        <v>9</v>
      </c>
      <c r="L58" s="27" t="s">
        <v>193</v>
      </c>
      <c r="M58" s="27" t="s">
        <v>185</v>
      </c>
      <c r="N58" s="27">
        <v>7</v>
      </c>
      <c r="O58" s="27">
        <v>4</v>
      </c>
      <c r="P58" s="27" t="s">
        <v>121</v>
      </c>
      <c r="Q58" s="27" t="s">
        <v>111</v>
      </c>
      <c r="R58" s="27" t="s">
        <v>111</v>
      </c>
      <c r="S58" s="27" t="s">
        <v>160</v>
      </c>
      <c r="U58" s="18">
        <v>56</v>
      </c>
      <c r="V58" s="18" t="s">
        <v>741</v>
      </c>
      <c r="W58" s="18">
        <v>22</v>
      </c>
      <c r="X58" s="18" t="s">
        <v>61</v>
      </c>
      <c r="Y58" s="18" t="s">
        <v>649</v>
      </c>
      <c r="Z58" s="18" t="s">
        <v>736</v>
      </c>
      <c r="AA58" s="18">
        <v>3</v>
      </c>
      <c r="AC58" s="28" t="s">
        <v>2388</v>
      </c>
      <c r="AD58" s="28" t="s">
        <v>2392</v>
      </c>
      <c r="AE58" s="28" t="s">
        <v>2304</v>
      </c>
      <c r="AF58" s="28" t="s">
        <v>2393</v>
      </c>
      <c r="AG58" s="28" t="s">
        <v>2394</v>
      </c>
      <c r="AH58" s="28" t="s">
        <v>19</v>
      </c>
      <c r="AI58" s="28" t="s">
        <v>2301</v>
      </c>
      <c r="AJ58" s="28" t="s">
        <v>2297</v>
      </c>
      <c r="AK58" s="28" t="s">
        <v>6</v>
      </c>
      <c r="AL58" s="28" t="s">
        <v>2298</v>
      </c>
      <c r="AM58" s="114"/>
    </row>
    <row r="59" spans="1:39">
      <c r="G59" s="27">
        <v>1990</v>
      </c>
      <c r="H59" s="27" t="s">
        <v>135</v>
      </c>
      <c r="I59" s="27" t="s">
        <v>9</v>
      </c>
      <c r="J59" s="27" t="s">
        <v>7</v>
      </c>
      <c r="K59" s="27" t="s">
        <v>7</v>
      </c>
      <c r="L59" s="27" t="s">
        <v>194</v>
      </c>
      <c r="M59" s="27" t="s">
        <v>187</v>
      </c>
      <c r="N59" s="27">
        <v>8</v>
      </c>
      <c r="O59" s="27">
        <v>4</v>
      </c>
      <c r="P59" s="27" t="s">
        <v>121</v>
      </c>
      <c r="Q59" s="27" t="s">
        <v>111</v>
      </c>
      <c r="R59" s="27" t="s">
        <v>111</v>
      </c>
      <c r="S59" s="27" t="s">
        <v>124</v>
      </c>
      <c r="U59" s="18">
        <v>57</v>
      </c>
      <c r="V59" s="18" t="s">
        <v>742</v>
      </c>
      <c r="W59" s="18">
        <v>20</v>
      </c>
      <c r="X59" s="18" t="s">
        <v>61</v>
      </c>
      <c r="Y59" s="18" t="s">
        <v>649</v>
      </c>
      <c r="Z59" s="18" t="s">
        <v>743</v>
      </c>
      <c r="AA59" s="18">
        <v>14</v>
      </c>
      <c r="AC59" s="28" t="s">
        <v>2388</v>
      </c>
      <c r="AD59" s="28" t="s">
        <v>2392</v>
      </c>
      <c r="AE59" s="28" t="s">
        <v>2307</v>
      </c>
      <c r="AF59" s="28" t="s">
        <v>2395</v>
      </c>
      <c r="AG59" s="28" t="s">
        <v>2396</v>
      </c>
      <c r="AH59" s="28" t="s">
        <v>17</v>
      </c>
      <c r="AI59" s="28" t="s">
        <v>2301</v>
      </c>
      <c r="AJ59" s="28" t="s">
        <v>2305</v>
      </c>
      <c r="AK59" s="28" t="s">
        <v>20</v>
      </c>
      <c r="AL59" s="28" t="s">
        <v>2298</v>
      </c>
      <c r="AM59" s="114"/>
    </row>
    <row r="60" spans="1:39">
      <c r="G60" s="27">
        <v>1990</v>
      </c>
      <c r="H60" s="27" t="s">
        <v>135</v>
      </c>
      <c r="I60" s="27" t="s">
        <v>9</v>
      </c>
      <c r="J60" s="27" t="s">
        <v>7</v>
      </c>
      <c r="K60" s="27" t="s">
        <v>9</v>
      </c>
      <c r="L60" s="27" t="s">
        <v>195</v>
      </c>
      <c r="M60" s="27" t="s">
        <v>185</v>
      </c>
      <c r="N60" s="27">
        <v>9</v>
      </c>
      <c r="O60" s="27">
        <v>5</v>
      </c>
      <c r="P60" s="27" t="s">
        <v>121</v>
      </c>
      <c r="Q60" s="27" t="s">
        <v>111</v>
      </c>
      <c r="R60" s="27" t="s">
        <v>111</v>
      </c>
      <c r="S60" s="27" t="s">
        <v>112</v>
      </c>
      <c r="U60" s="18">
        <v>58</v>
      </c>
      <c r="V60" s="18" t="s">
        <v>744</v>
      </c>
      <c r="W60" s="18">
        <v>30</v>
      </c>
      <c r="X60" s="18" t="s">
        <v>61</v>
      </c>
      <c r="Y60" s="18" t="s">
        <v>649</v>
      </c>
      <c r="Z60" s="18" t="s">
        <v>738</v>
      </c>
      <c r="AA60" s="18">
        <v>19</v>
      </c>
      <c r="AC60" s="28" t="s">
        <v>2388</v>
      </c>
      <c r="AD60" s="28" t="s">
        <v>2392</v>
      </c>
      <c r="AE60" s="28" t="s">
        <v>2293</v>
      </c>
      <c r="AF60" s="28" t="s">
        <v>2397</v>
      </c>
      <c r="AG60" s="28" t="s">
        <v>2398</v>
      </c>
      <c r="AH60" s="28" t="s">
        <v>7</v>
      </c>
      <c r="AI60" s="28" t="s">
        <v>2301</v>
      </c>
      <c r="AJ60" s="28" t="s">
        <v>2302</v>
      </c>
      <c r="AK60" s="28" t="s">
        <v>16</v>
      </c>
      <c r="AL60" s="28" t="s">
        <v>2298</v>
      </c>
      <c r="AM60" s="114"/>
    </row>
    <row r="61" spans="1:39">
      <c r="G61" s="27">
        <v>1990</v>
      </c>
      <c r="H61" s="27" t="s">
        <v>135</v>
      </c>
      <c r="I61" s="27" t="s">
        <v>9</v>
      </c>
      <c r="J61" s="27" t="s">
        <v>7</v>
      </c>
      <c r="K61" s="27" t="s">
        <v>7</v>
      </c>
      <c r="L61" s="27" t="s">
        <v>196</v>
      </c>
      <c r="M61" s="27" t="s">
        <v>187</v>
      </c>
      <c r="N61" s="27">
        <v>10</v>
      </c>
      <c r="O61" s="27">
        <v>5</v>
      </c>
      <c r="P61" s="27" t="s">
        <v>123</v>
      </c>
      <c r="Q61" s="27" t="s">
        <v>131</v>
      </c>
      <c r="R61" s="27" t="s">
        <v>131</v>
      </c>
      <c r="S61" s="27" t="s">
        <v>124</v>
      </c>
      <c r="U61" s="18">
        <v>59</v>
      </c>
      <c r="V61" s="18" t="s">
        <v>745</v>
      </c>
      <c r="W61" s="18">
        <v>22</v>
      </c>
      <c r="X61" s="18" t="s">
        <v>61</v>
      </c>
      <c r="Y61" s="18" t="s">
        <v>649</v>
      </c>
      <c r="Z61" s="18" t="s">
        <v>746</v>
      </c>
      <c r="AA61" s="18">
        <v>21</v>
      </c>
      <c r="AC61" s="28" t="s">
        <v>2388</v>
      </c>
      <c r="AD61" s="28" t="s">
        <v>2399</v>
      </c>
      <c r="AE61" s="28" t="s">
        <v>2293</v>
      </c>
      <c r="AF61" s="28" t="s">
        <v>2395</v>
      </c>
      <c r="AG61" s="28" t="s">
        <v>2396</v>
      </c>
      <c r="AH61" s="28" t="s">
        <v>12</v>
      </c>
      <c r="AI61" s="28" t="s">
        <v>2305</v>
      </c>
      <c r="AJ61" s="28" t="s">
        <v>2305</v>
      </c>
      <c r="AK61" s="28" t="s">
        <v>16</v>
      </c>
      <c r="AL61" s="28" t="s">
        <v>2298</v>
      </c>
      <c r="AM61" s="114"/>
    </row>
    <row r="62" spans="1:39">
      <c r="G62" s="27">
        <v>1990</v>
      </c>
      <c r="H62" s="27" t="s">
        <v>106</v>
      </c>
      <c r="I62" s="27" t="s">
        <v>9</v>
      </c>
      <c r="J62" s="27" t="s">
        <v>20</v>
      </c>
      <c r="K62" s="27" t="s">
        <v>20</v>
      </c>
      <c r="L62" s="27" t="s">
        <v>197</v>
      </c>
      <c r="M62" s="27" t="s">
        <v>187</v>
      </c>
      <c r="N62" s="27">
        <v>1</v>
      </c>
      <c r="O62" s="27">
        <v>1</v>
      </c>
      <c r="P62" s="27" t="s">
        <v>110</v>
      </c>
      <c r="Q62" s="27" t="s">
        <v>111</v>
      </c>
      <c r="R62" s="27" t="s">
        <v>111</v>
      </c>
      <c r="S62" s="27" t="s">
        <v>112</v>
      </c>
      <c r="U62" s="18">
        <v>60</v>
      </c>
      <c r="V62" s="18" t="s">
        <v>747</v>
      </c>
      <c r="W62" s="18">
        <v>22</v>
      </c>
      <c r="X62" s="18" t="s">
        <v>61</v>
      </c>
      <c r="Y62" s="18" t="s">
        <v>649</v>
      </c>
      <c r="Z62" s="18" t="s">
        <v>748</v>
      </c>
      <c r="AA62" s="18">
        <v>24</v>
      </c>
      <c r="AC62" s="28" t="s">
        <v>2388</v>
      </c>
      <c r="AD62" s="28" t="s">
        <v>2399</v>
      </c>
      <c r="AE62" s="28" t="s">
        <v>2293</v>
      </c>
      <c r="AF62" s="28" t="s">
        <v>2400</v>
      </c>
      <c r="AG62" s="28" t="s">
        <v>2401</v>
      </c>
      <c r="AH62" s="28" t="s">
        <v>7</v>
      </c>
      <c r="AI62" s="28" t="s">
        <v>2296</v>
      </c>
      <c r="AJ62" s="28" t="s">
        <v>2297</v>
      </c>
      <c r="AK62" s="28" t="s">
        <v>28</v>
      </c>
      <c r="AL62" s="28" t="s">
        <v>2298</v>
      </c>
      <c r="AM62" s="114"/>
    </row>
    <row r="63" spans="1:39">
      <c r="G63" s="27">
        <v>1990</v>
      </c>
      <c r="H63" s="27" t="s">
        <v>106</v>
      </c>
      <c r="I63" s="27" t="s">
        <v>9</v>
      </c>
      <c r="J63" s="27" t="s">
        <v>20</v>
      </c>
      <c r="K63" s="27" t="s">
        <v>9</v>
      </c>
      <c r="L63" s="27" t="s">
        <v>184</v>
      </c>
      <c r="M63" s="27" t="s">
        <v>198</v>
      </c>
      <c r="N63" s="27">
        <v>2</v>
      </c>
      <c r="O63" s="27">
        <v>1</v>
      </c>
      <c r="P63" s="27" t="s">
        <v>115</v>
      </c>
      <c r="Q63" s="27" t="s">
        <v>111</v>
      </c>
      <c r="R63" s="27" t="s">
        <v>111</v>
      </c>
      <c r="S63" s="27" t="s">
        <v>112</v>
      </c>
      <c r="U63" s="18">
        <v>61</v>
      </c>
      <c r="V63" s="18" t="s">
        <v>749</v>
      </c>
      <c r="W63" s="18">
        <v>30</v>
      </c>
      <c r="X63" s="18" t="s">
        <v>61</v>
      </c>
      <c r="Y63" s="18" t="s">
        <v>657</v>
      </c>
      <c r="Z63" s="18" t="s">
        <v>736</v>
      </c>
      <c r="AA63" s="18">
        <v>6</v>
      </c>
      <c r="AC63" s="28" t="s">
        <v>2388</v>
      </c>
      <c r="AD63" s="28" t="s">
        <v>2402</v>
      </c>
      <c r="AE63" s="28" t="s">
        <v>2304</v>
      </c>
      <c r="AF63" s="28" t="s">
        <v>2390</v>
      </c>
      <c r="AG63" s="28" t="s">
        <v>2391</v>
      </c>
      <c r="AH63" s="28" t="s">
        <v>19</v>
      </c>
      <c r="AI63" s="28" t="s">
        <v>2305</v>
      </c>
      <c r="AJ63" s="28" t="s">
        <v>2302</v>
      </c>
      <c r="AK63" s="28" t="s">
        <v>10</v>
      </c>
      <c r="AL63" s="28" t="s">
        <v>2298</v>
      </c>
      <c r="AM63" s="114"/>
    </row>
    <row r="64" spans="1:39">
      <c r="G64" s="27">
        <v>1990</v>
      </c>
      <c r="H64" s="27" t="s">
        <v>106</v>
      </c>
      <c r="I64" s="27" t="s">
        <v>9</v>
      </c>
      <c r="J64" s="27" t="s">
        <v>20</v>
      </c>
      <c r="K64" s="27" t="s">
        <v>20</v>
      </c>
      <c r="L64" s="27" t="s">
        <v>199</v>
      </c>
      <c r="M64" s="27" t="s">
        <v>187</v>
      </c>
      <c r="N64" s="27">
        <v>3</v>
      </c>
      <c r="O64" s="27">
        <v>2</v>
      </c>
      <c r="P64" s="27" t="s">
        <v>117</v>
      </c>
      <c r="Q64" s="27" t="s">
        <v>111</v>
      </c>
      <c r="R64" s="27" t="s">
        <v>111</v>
      </c>
      <c r="S64" s="27" t="s">
        <v>112</v>
      </c>
      <c r="U64" s="18">
        <v>62</v>
      </c>
      <c r="V64" s="18" t="s">
        <v>750</v>
      </c>
      <c r="W64" s="18">
        <v>22</v>
      </c>
      <c r="X64" s="18" t="s">
        <v>61</v>
      </c>
      <c r="Y64" s="18" t="s">
        <v>657</v>
      </c>
      <c r="Z64" s="18" t="s">
        <v>751</v>
      </c>
      <c r="AA64" s="18">
        <v>18</v>
      </c>
      <c r="AC64" s="28" t="s">
        <v>2388</v>
      </c>
      <c r="AD64" s="28" t="s">
        <v>2403</v>
      </c>
      <c r="AE64" s="28" t="s">
        <v>2307</v>
      </c>
      <c r="AF64" s="28" t="s">
        <v>2393</v>
      </c>
      <c r="AG64" s="28" t="s">
        <v>2394</v>
      </c>
      <c r="AH64" s="28" t="s">
        <v>17</v>
      </c>
      <c r="AI64" s="28" t="s">
        <v>2305</v>
      </c>
      <c r="AJ64" s="28" t="s">
        <v>2305</v>
      </c>
      <c r="AK64" s="28" t="s">
        <v>13</v>
      </c>
      <c r="AL64" s="28" t="s">
        <v>2298</v>
      </c>
      <c r="AM64" s="114"/>
    </row>
    <row r="65" spans="7:39">
      <c r="G65" s="27">
        <v>1990</v>
      </c>
      <c r="H65" s="27" t="s">
        <v>106</v>
      </c>
      <c r="I65" s="27" t="s">
        <v>9</v>
      </c>
      <c r="J65" s="27" t="s">
        <v>20</v>
      </c>
      <c r="K65" s="27" t="s">
        <v>9</v>
      </c>
      <c r="L65" s="27" t="s">
        <v>188</v>
      </c>
      <c r="M65" s="27" t="s">
        <v>198</v>
      </c>
      <c r="N65" s="27">
        <v>4</v>
      </c>
      <c r="O65" s="27">
        <v>2</v>
      </c>
      <c r="P65" s="27" t="s">
        <v>156</v>
      </c>
      <c r="Q65" s="27" t="s">
        <v>111</v>
      </c>
      <c r="R65" s="27" t="s">
        <v>111</v>
      </c>
      <c r="S65" s="27" t="s">
        <v>112</v>
      </c>
      <c r="U65" s="18">
        <v>63</v>
      </c>
      <c r="V65" s="18" t="s">
        <v>752</v>
      </c>
      <c r="W65" s="18">
        <v>25</v>
      </c>
      <c r="X65" s="18" t="s">
        <v>61</v>
      </c>
      <c r="Y65" s="18" t="s">
        <v>657</v>
      </c>
      <c r="Z65" s="18" t="s">
        <v>753</v>
      </c>
      <c r="AA65" s="18">
        <v>26</v>
      </c>
      <c r="AC65" s="28" t="s">
        <v>2388</v>
      </c>
      <c r="AD65" s="28" t="s">
        <v>2402</v>
      </c>
      <c r="AE65" s="28" t="s">
        <v>2304</v>
      </c>
      <c r="AF65" s="28" t="s">
        <v>2397</v>
      </c>
      <c r="AG65" s="28" t="s">
        <v>2398</v>
      </c>
      <c r="AH65" s="28" t="s">
        <v>6</v>
      </c>
      <c r="AI65" s="28" t="s">
        <v>2297</v>
      </c>
      <c r="AJ65" s="28" t="s">
        <v>2302</v>
      </c>
      <c r="AK65" s="28" t="s">
        <v>23</v>
      </c>
      <c r="AL65" s="28" t="s">
        <v>2298</v>
      </c>
      <c r="AM65" s="114"/>
    </row>
    <row r="66" spans="7:39">
      <c r="G66" s="27">
        <v>1990</v>
      </c>
      <c r="H66" s="27" t="s">
        <v>106</v>
      </c>
      <c r="I66" s="27" t="s">
        <v>9</v>
      </c>
      <c r="J66" s="27" t="s">
        <v>20</v>
      </c>
      <c r="K66" s="27" t="s">
        <v>20</v>
      </c>
      <c r="L66" s="27" t="s">
        <v>200</v>
      </c>
      <c r="M66" s="27" t="s">
        <v>187</v>
      </c>
      <c r="N66" s="27">
        <v>5</v>
      </c>
      <c r="O66" s="27">
        <v>3</v>
      </c>
      <c r="P66" s="27" t="s">
        <v>121</v>
      </c>
      <c r="Q66" s="27" t="s">
        <v>111</v>
      </c>
      <c r="R66" s="27" t="s">
        <v>111</v>
      </c>
      <c r="S66" s="27" t="s">
        <v>112</v>
      </c>
      <c r="U66" s="18">
        <v>64</v>
      </c>
      <c r="V66" s="18" t="s">
        <v>754</v>
      </c>
      <c r="W66" s="18">
        <v>27</v>
      </c>
      <c r="X66" s="18" t="s">
        <v>61</v>
      </c>
      <c r="Y66" s="18" t="s">
        <v>661</v>
      </c>
      <c r="Z66" s="18" t="s">
        <v>755</v>
      </c>
      <c r="AA66" s="18">
        <v>2</v>
      </c>
      <c r="AC66" s="28" t="s">
        <v>2388</v>
      </c>
      <c r="AD66" s="28" t="s">
        <v>2404</v>
      </c>
      <c r="AE66" s="28" t="s">
        <v>2293</v>
      </c>
      <c r="AF66" s="28" t="s">
        <v>2390</v>
      </c>
      <c r="AG66" s="28" t="s">
        <v>2391</v>
      </c>
      <c r="AH66" s="28" t="s">
        <v>12</v>
      </c>
      <c r="AI66" s="28" t="s">
        <v>2305</v>
      </c>
      <c r="AJ66" s="28" t="s">
        <v>2302</v>
      </c>
      <c r="AK66" s="28" t="s">
        <v>7</v>
      </c>
      <c r="AL66" s="28" t="s">
        <v>2298</v>
      </c>
      <c r="AM66" s="114"/>
    </row>
    <row r="67" spans="7:39">
      <c r="G67" s="27">
        <v>1990</v>
      </c>
      <c r="H67" s="27" t="s">
        <v>106</v>
      </c>
      <c r="I67" s="27" t="s">
        <v>9</v>
      </c>
      <c r="J67" s="27" t="s">
        <v>20</v>
      </c>
      <c r="K67" s="27" t="s">
        <v>9</v>
      </c>
      <c r="L67" s="27" t="s">
        <v>201</v>
      </c>
      <c r="M67" s="27" t="s">
        <v>198</v>
      </c>
      <c r="N67" s="27">
        <v>6</v>
      </c>
      <c r="O67" s="27">
        <v>3</v>
      </c>
      <c r="P67" s="27" t="s">
        <v>159</v>
      </c>
      <c r="Q67" s="27" t="s">
        <v>111</v>
      </c>
      <c r="R67" s="27" t="s">
        <v>111</v>
      </c>
      <c r="S67" s="27" t="s">
        <v>112</v>
      </c>
      <c r="U67" s="18">
        <v>65</v>
      </c>
      <c r="V67" s="18" t="s">
        <v>756</v>
      </c>
      <c r="W67" s="18">
        <v>31</v>
      </c>
      <c r="X67" s="18" t="s">
        <v>61</v>
      </c>
      <c r="Y67" s="18" t="s">
        <v>661</v>
      </c>
      <c r="Z67" s="18" t="s">
        <v>736</v>
      </c>
      <c r="AA67" s="18">
        <v>20</v>
      </c>
      <c r="AC67" s="28" t="s">
        <v>2388</v>
      </c>
      <c r="AD67" s="28" t="s">
        <v>2405</v>
      </c>
      <c r="AE67" s="28" t="s">
        <v>2304</v>
      </c>
      <c r="AF67" s="28" t="s">
        <v>2390</v>
      </c>
      <c r="AG67" s="28" t="s">
        <v>2391</v>
      </c>
      <c r="AH67" s="28" t="s">
        <v>19</v>
      </c>
      <c r="AI67" s="28" t="s">
        <v>2297</v>
      </c>
      <c r="AJ67" s="28" t="s">
        <v>2302</v>
      </c>
      <c r="AK67" s="28" t="s">
        <v>23</v>
      </c>
      <c r="AL67" s="28" t="s">
        <v>2298</v>
      </c>
      <c r="AM67" s="114"/>
    </row>
    <row r="68" spans="7:39">
      <c r="G68" s="27">
        <v>1990</v>
      </c>
      <c r="H68" s="27" t="s">
        <v>106</v>
      </c>
      <c r="I68" s="27" t="s">
        <v>9</v>
      </c>
      <c r="J68" s="27" t="s">
        <v>20</v>
      </c>
      <c r="K68" s="27" t="s">
        <v>20</v>
      </c>
      <c r="L68" s="27" t="s">
        <v>202</v>
      </c>
      <c r="M68" s="27" t="s">
        <v>187</v>
      </c>
      <c r="N68" s="27">
        <v>7</v>
      </c>
      <c r="O68" s="27">
        <v>4</v>
      </c>
      <c r="P68" s="27" t="s">
        <v>128</v>
      </c>
      <c r="Q68" s="27" t="s">
        <v>111</v>
      </c>
      <c r="R68" s="27" t="s">
        <v>111</v>
      </c>
      <c r="S68" s="27" t="s">
        <v>124</v>
      </c>
      <c r="U68" s="18">
        <v>66</v>
      </c>
      <c r="V68" s="18" t="s">
        <v>757</v>
      </c>
      <c r="W68" s="18">
        <v>29</v>
      </c>
      <c r="X68" s="18" t="s">
        <v>61</v>
      </c>
      <c r="Y68" s="18" t="s">
        <v>664</v>
      </c>
      <c r="Z68" s="18" t="s">
        <v>736</v>
      </c>
      <c r="AA68" s="18">
        <v>4</v>
      </c>
      <c r="AC68" s="28" t="s">
        <v>2388</v>
      </c>
      <c r="AD68" s="28" t="s">
        <v>2405</v>
      </c>
      <c r="AE68" s="28" t="s">
        <v>2307</v>
      </c>
      <c r="AF68" s="28" t="s">
        <v>2395</v>
      </c>
      <c r="AG68" s="28" t="s">
        <v>2396</v>
      </c>
      <c r="AH68" s="28" t="s">
        <v>20</v>
      </c>
      <c r="AI68" s="28" t="s">
        <v>2305</v>
      </c>
      <c r="AJ68" s="28" t="s">
        <v>2302</v>
      </c>
      <c r="AK68" s="28" t="s">
        <v>13</v>
      </c>
      <c r="AL68" s="28" t="s">
        <v>2298</v>
      </c>
      <c r="AM68" s="114"/>
    </row>
    <row r="69" spans="7:39">
      <c r="G69" s="27">
        <v>1990</v>
      </c>
      <c r="H69" s="27" t="s">
        <v>106</v>
      </c>
      <c r="I69" s="27" t="s">
        <v>9</v>
      </c>
      <c r="J69" s="27" t="s">
        <v>20</v>
      </c>
      <c r="K69" s="27" t="s">
        <v>9</v>
      </c>
      <c r="L69" s="27" t="s">
        <v>191</v>
      </c>
      <c r="M69" s="27" t="s">
        <v>198</v>
      </c>
      <c r="N69" s="27">
        <v>8</v>
      </c>
      <c r="O69" s="27">
        <v>4</v>
      </c>
      <c r="P69" s="27" t="s">
        <v>128</v>
      </c>
      <c r="Q69" s="27" t="s">
        <v>111</v>
      </c>
      <c r="R69" s="27" t="s">
        <v>111</v>
      </c>
      <c r="S69" s="27" t="s">
        <v>112</v>
      </c>
      <c r="U69" s="18">
        <v>67</v>
      </c>
      <c r="V69" s="18" t="s">
        <v>758</v>
      </c>
      <c r="W69" s="18">
        <v>27</v>
      </c>
      <c r="X69" s="18" t="s">
        <v>61</v>
      </c>
      <c r="Y69" s="18" t="s">
        <v>664</v>
      </c>
      <c r="Z69" s="18" t="s">
        <v>759</v>
      </c>
      <c r="AA69" s="18">
        <v>13</v>
      </c>
      <c r="AC69" s="28" t="s">
        <v>2388</v>
      </c>
      <c r="AD69" s="28" t="s">
        <v>2405</v>
      </c>
      <c r="AE69" s="28" t="s">
        <v>2299</v>
      </c>
      <c r="AF69" s="28" t="s">
        <v>2397</v>
      </c>
      <c r="AG69" s="28" t="s">
        <v>2398</v>
      </c>
      <c r="AH69" s="28" t="s">
        <v>11</v>
      </c>
      <c r="AI69" s="28" t="s">
        <v>2384</v>
      </c>
      <c r="AJ69" s="28" t="s">
        <v>2302</v>
      </c>
      <c r="AK69" s="28" t="s">
        <v>57</v>
      </c>
      <c r="AL69" s="28" t="s">
        <v>2298</v>
      </c>
      <c r="AM69" s="114"/>
    </row>
    <row r="70" spans="7:39">
      <c r="G70" s="27">
        <v>1990</v>
      </c>
      <c r="H70" s="27" t="s">
        <v>106</v>
      </c>
      <c r="I70" s="27" t="s">
        <v>9</v>
      </c>
      <c r="J70" s="27" t="s">
        <v>20</v>
      </c>
      <c r="K70" s="27" t="s">
        <v>20</v>
      </c>
      <c r="L70" s="27" t="s">
        <v>203</v>
      </c>
      <c r="M70" s="27" t="s">
        <v>187</v>
      </c>
      <c r="N70" s="27">
        <v>9</v>
      </c>
      <c r="O70" s="27">
        <v>5</v>
      </c>
      <c r="P70" s="27" t="s">
        <v>204</v>
      </c>
      <c r="Q70" s="27" t="s">
        <v>131</v>
      </c>
      <c r="R70" s="27" t="s">
        <v>131</v>
      </c>
      <c r="S70" s="27" t="s">
        <v>124</v>
      </c>
      <c r="U70" s="18">
        <v>68</v>
      </c>
      <c r="V70" s="18" t="s">
        <v>760</v>
      </c>
      <c r="W70" s="18">
        <v>26</v>
      </c>
      <c r="X70" s="18" t="s">
        <v>61</v>
      </c>
      <c r="Y70" s="18" t="s">
        <v>669</v>
      </c>
      <c r="Z70" s="18" t="s">
        <v>738</v>
      </c>
      <c r="AA70" s="18">
        <v>5</v>
      </c>
      <c r="AC70" s="28" t="s">
        <v>2388</v>
      </c>
      <c r="AD70" s="28" t="s">
        <v>2406</v>
      </c>
      <c r="AE70" s="28" t="s">
        <v>2293</v>
      </c>
      <c r="AF70" s="28" t="s">
        <v>2400</v>
      </c>
      <c r="AG70" s="28" t="s">
        <v>2401</v>
      </c>
      <c r="AH70" s="28" t="s">
        <v>16</v>
      </c>
      <c r="AI70" s="28" t="s">
        <v>2305</v>
      </c>
      <c r="AJ70" s="28" t="s">
        <v>2297</v>
      </c>
      <c r="AK70" s="28" t="s">
        <v>28</v>
      </c>
      <c r="AL70" s="28" t="s">
        <v>2298</v>
      </c>
      <c r="AM70" s="114"/>
    </row>
    <row r="71" spans="7:39">
      <c r="G71" s="27">
        <v>1990</v>
      </c>
      <c r="H71" s="27" t="s">
        <v>106</v>
      </c>
      <c r="I71" s="27" t="s">
        <v>107</v>
      </c>
      <c r="J71" s="27" t="s">
        <v>23</v>
      </c>
      <c r="K71" s="27" t="s">
        <v>107</v>
      </c>
      <c r="L71" s="27" t="s">
        <v>166</v>
      </c>
      <c r="M71" s="27" t="s">
        <v>205</v>
      </c>
      <c r="N71" s="27">
        <v>1</v>
      </c>
      <c r="O71" s="27">
        <v>1</v>
      </c>
      <c r="P71" s="27" t="s">
        <v>110</v>
      </c>
      <c r="Q71" s="27" t="s">
        <v>111</v>
      </c>
      <c r="R71" s="27" t="s">
        <v>111</v>
      </c>
      <c r="S71" s="27" t="s">
        <v>112</v>
      </c>
      <c r="U71" s="18">
        <v>69</v>
      </c>
      <c r="V71" s="18" t="s">
        <v>761</v>
      </c>
      <c r="W71" s="18">
        <v>25</v>
      </c>
      <c r="X71" s="18" t="s">
        <v>61</v>
      </c>
      <c r="Y71" s="18" t="s">
        <v>669</v>
      </c>
      <c r="Z71" s="18" t="s">
        <v>736</v>
      </c>
      <c r="AA71" s="18">
        <v>23</v>
      </c>
      <c r="AC71" s="28" t="s">
        <v>2388</v>
      </c>
      <c r="AD71" s="28" t="s">
        <v>2405</v>
      </c>
      <c r="AE71" s="28" t="s">
        <v>2304</v>
      </c>
      <c r="AF71" s="28" t="s">
        <v>2407</v>
      </c>
      <c r="AG71" s="28" t="s">
        <v>2408</v>
      </c>
      <c r="AH71" s="28" t="s">
        <v>10</v>
      </c>
      <c r="AI71" s="28" t="s">
        <v>2338</v>
      </c>
      <c r="AJ71" s="28" t="s">
        <v>2305</v>
      </c>
      <c r="AK71" s="28" t="s">
        <v>6</v>
      </c>
      <c r="AL71" s="28" t="s">
        <v>2298</v>
      </c>
      <c r="AM71" s="114"/>
    </row>
    <row r="72" spans="7:39">
      <c r="G72" s="27">
        <v>1990</v>
      </c>
      <c r="H72" s="27" t="s">
        <v>106</v>
      </c>
      <c r="I72" s="27" t="s">
        <v>107</v>
      </c>
      <c r="J72" s="27" t="s">
        <v>23</v>
      </c>
      <c r="K72" s="27" t="s">
        <v>23</v>
      </c>
      <c r="L72" s="27" t="s">
        <v>206</v>
      </c>
      <c r="M72" s="27" t="s">
        <v>207</v>
      </c>
      <c r="N72" s="27">
        <v>2</v>
      </c>
      <c r="O72" s="27">
        <v>1</v>
      </c>
      <c r="P72" s="27" t="s">
        <v>140</v>
      </c>
      <c r="Q72" s="27" t="s">
        <v>111</v>
      </c>
      <c r="R72" s="27" t="s">
        <v>111</v>
      </c>
      <c r="S72" s="27" t="s">
        <v>112</v>
      </c>
      <c r="U72" s="18">
        <v>70</v>
      </c>
      <c r="V72" s="18" t="s">
        <v>762</v>
      </c>
      <c r="W72" s="18">
        <v>36</v>
      </c>
      <c r="X72" s="18" t="s">
        <v>61</v>
      </c>
      <c r="Y72" s="18" t="s">
        <v>675</v>
      </c>
      <c r="Z72" s="18" t="s">
        <v>736</v>
      </c>
      <c r="AA72" s="18">
        <v>11</v>
      </c>
      <c r="AC72" s="28" t="s">
        <v>2388</v>
      </c>
      <c r="AD72" s="28" t="s">
        <v>2409</v>
      </c>
      <c r="AE72" s="28" t="s">
        <v>2410</v>
      </c>
      <c r="AF72" s="28" t="s">
        <v>2395</v>
      </c>
      <c r="AG72" s="28" t="s">
        <v>2396</v>
      </c>
      <c r="AH72" s="28" t="s">
        <v>11</v>
      </c>
      <c r="AI72" s="28" t="s">
        <v>2305</v>
      </c>
      <c r="AJ72" s="28" t="s">
        <v>2305</v>
      </c>
      <c r="AK72" s="28" t="s">
        <v>19</v>
      </c>
      <c r="AL72" s="28" t="s">
        <v>2298</v>
      </c>
      <c r="AM72" s="114"/>
    </row>
    <row r="73" spans="7:39">
      <c r="G73" s="27">
        <v>1990</v>
      </c>
      <c r="H73" s="27" t="s">
        <v>106</v>
      </c>
      <c r="I73" s="27" t="s">
        <v>107</v>
      </c>
      <c r="J73" s="27" t="s">
        <v>23</v>
      </c>
      <c r="K73" s="27" t="s">
        <v>107</v>
      </c>
      <c r="L73" s="27" t="s">
        <v>168</v>
      </c>
      <c r="M73" s="27" t="s">
        <v>205</v>
      </c>
      <c r="N73" s="27">
        <v>3</v>
      </c>
      <c r="O73" s="27">
        <v>2</v>
      </c>
      <c r="P73" s="27" t="s">
        <v>117</v>
      </c>
      <c r="Q73" s="27" t="s">
        <v>111</v>
      </c>
      <c r="R73" s="27" t="s">
        <v>111</v>
      </c>
      <c r="S73" s="27" t="s">
        <v>112</v>
      </c>
      <c r="U73" s="18">
        <v>71</v>
      </c>
      <c r="V73" s="18" t="s">
        <v>763</v>
      </c>
      <c r="W73" s="18">
        <v>24</v>
      </c>
      <c r="X73" s="18" t="s">
        <v>61</v>
      </c>
      <c r="Y73" s="18" t="s">
        <v>679</v>
      </c>
      <c r="Z73" s="18" t="s">
        <v>738</v>
      </c>
      <c r="AA73" s="18">
        <v>7</v>
      </c>
      <c r="AC73" s="28" t="s">
        <v>2388</v>
      </c>
      <c r="AD73" s="28" t="s">
        <v>2409</v>
      </c>
      <c r="AE73" s="28" t="s">
        <v>2410</v>
      </c>
      <c r="AF73" s="28" t="s">
        <v>2390</v>
      </c>
      <c r="AG73" s="28" t="s">
        <v>2391</v>
      </c>
      <c r="AH73" s="28" t="s">
        <v>12</v>
      </c>
      <c r="AI73" s="28" t="s">
        <v>2343</v>
      </c>
      <c r="AJ73" s="28" t="s">
        <v>2297</v>
      </c>
      <c r="AK73" s="28" t="s">
        <v>17</v>
      </c>
      <c r="AL73" s="28" t="s">
        <v>2298</v>
      </c>
      <c r="AM73" s="114"/>
    </row>
    <row r="74" spans="7:39">
      <c r="G74" s="27">
        <v>1990</v>
      </c>
      <c r="H74" s="27" t="s">
        <v>106</v>
      </c>
      <c r="I74" s="27" t="s">
        <v>107</v>
      </c>
      <c r="J74" s="27" t="s">
        <v>23</v>
      </c>
      <c r="K74" s="27" t="s">
        <v>23</v>
      </c>
      <c r="L74" s="27" t="s">
        <v>208</v>
      </c>
      <c r="M74" s="27" t="s">
        <v>207</v>
      </c>
      <c r="N74" s="27">
        <v>4</v>
      </c>
      <c r="O74" s="27">
        <v>2</v>
      </c>
      <c r="P74" s="27" t="s">
        <v>119</v>
      </c>
      <c r="Q74" s="27" t="s">
        <v>111</v>
      </c>
      <c r="R74" s="27" t="s">
        <v>111</v>
      </c>
      <c r="S74" s="27" t="s">
        <v>112</v>
      </c>
      <c r="U74" s="18">
        <v>72</v>
      </c>
      <c r="V74" s="18" t="s">
        <v>764</v>
      </c>
      <c r="W74" s="18">
        <v>21</v>
      </c>
      <c r="X74" s="18" t="s">
        <v>61</v>
      </c>
      <c r="Y74" s="18" t="s">
        <v>679</v>
      </c>
      <c r="Z74" s="18" t="s">
        <v>738</v>
      </c>
      <c r="AA74" s="18">
        <v>10</v>
      </c>
      <c r="AC74" s="28" t="s">
        <v>2388</v>
      </c>
      <c r="AD74" s="28" t="s">
        <v>2411</v>
      </c>
      <c r="AE74" s="28" t="s">
        <v>2410</v>
      </c>
      <c r="AF74" s="28" t="s">
        <v>2390</v>
      </c>
      <c r="AG74" s="28" t="s">
        <v>2391</v>
      </c>
      <c r="AH74" s="28" t="s">
        <v>12</v>
      </c>
      <c r="AI74" s="28" t="s">
        <v>2316</v>
      </c>
      <c r="AJ74" s="28" t="s">
        <v>2297</v>
      </c>
      <c r="AK74" s="28" t="s">
        <v>19</v>
      </c>
      <c r="AL74" s="28" t="s">
        <v>2298</v>
      </c>
      <c r="AM74" s="114"/>
    </row>
    <row r="75" spans="7:39">
      <c r="G75" s="27">
        <v>1990</v>
      </c>
      <c r="H75" s="27" t="s">
        <v>106</v>
      </c>
      <c r="I75" s="27" t="s">
        <v>107</v>
      </c>
      <c r="J75" s="27" t="s">
        <v>23</v>
      </c>
      <c r="K75" s="27" t="s">
        <v>107</v>
      </c>
      <c r="L75" s="27" t="s">
        <v>209</v>
      </c>
      <c r="M75" s="27" t="s">
        <v>205</v>
      </c>
      <c r="N75" s="27">
        <v>5</v>
      </c>
      <c r="O75" s="27">
        <v>3</v>
      </c>
      <c r="P75" s="27" t="s">
        <v>121</v>
      </c>
      <c r="Q75" s="27" t="s">
        <v>111</v>
      </c>
      <c r="R75" s="27" t="s">
        <v>111</v>
      </c>
      <c r="S75" s="27" t="s">
        <v>112</v>
      </c>
      <c r="U75" s="18">
        <v>73</v>
      </c>
      <c r="V75" s="18" t="s">
        <v>765</v>
      </c>
      <c r="W75" s="18">
        <v>25</v>
      </c>
      <c r="X75" s="18" t="s">
        <v>61</v>
      </c>
      <c r="Y75" s="18" t="s">
        <v>681</v>
      </c>
      <c r="Z75" s="18" t="s">
        <v>738</v>
      </c>
      <c r="AA75" s="18">
        <v>8</v>
      </c>
      <c r="AC75" s="28" t="s">
        <v>2388</v>
      </c>
      <c r="AD75" s="28" t="s">
        <v>2411</v>
      </c>
      <c r="AE75" s="28" t="s">
        <v>2410</v>
      </c>
      <c r="AF75" s="28" t="s">
        <v>2395</v>
      </c>
      <c r="AG75" s="28" t="s">
        <v>2396</v>
      </c>
      <c r="AH75" s="28" t="s">
        <v>11</v>
      </c>
      <c r="AI75" s="28" t="s">
        <v>2301</v>
      </c>
      <c r="AJ75" s="28" t="s">
        <v>2305</v>
      </c>
      <c r="AK75" s="28" t="s">
        <v>17</v>
      </c>
      <c r="AL75" s="28" t="s">
        <v>2298</v>
      </c>
      <c r="AM75" s="114"/>
    </row>
    <row r="76" spans="7:39">
      <c r="G76" s="27">
        <v>1990</v>
      </c>
      <c r="H76" s="27" t="s">
        <v>106</v>
      </c>
      <c r="I76" s="27" t="s">
        <v>107</v>
      </c>
      <c r="J76" s="27" t="s">
        <v>23</v>
      </c>
      <c r="K76" s="27" t="s">
        <v>23</v>
      </c>
      <c r="L76" s="27" t="s">
        <v>210</v>
      </c>
      <c r="M76" s="27" t="s">
        <v>207</v>
      </c>
      <c r="N76" s="27">
        <v>6</v>
      </c>
      <c r="O76" s="27">
        <v>3</v>
      </c>
      <c r="P76" s="27" t="s">
        <v>123</v>
      </c>
      <c r="Q76" s="27" t="s">
        <v>111</v>
      </c>
      <c r="R76" s="27" t="s">
        <v>111</v>
      </c>
      <c r="S76" s="27" t="s">
        <v>112</v>
      </c>
      <c r="U76" s="18">
        <v>74</v>
      </c>
      <c r="V76" s="18" t="s">
        <v>766</v>
      </c>
      <c r="W76" s="18">
        <v>22</v>
      </c>
      <c r="X76" s="18" t="s">
        <v>61</v>
      </c>
      <c r="Y76" s="18" t="s">
        <v>681</v>
      </c>
      <c r="Z76" s="18" t="s">
        <v>693</v>
      </c>
      <c r="AA76" s="18">
        <v>12</v>
      </c>
      <c r="AC76" s="28" t="s">
        <v>2388</v>
      </c>
      <c r="AD76" s="28" t="s">
        <v>2412</v>
      </c>
      <c r="AE76" s="28" t="s">
        <v>2410</v>
      </c>
      <c r="AF76" s="28" t="s">
        <v>2395</v>
      </c>
      <c r="AG76" s="28" t="s">
        <v>2396</v>
      </c>
      <c r="AH76" s="28" t="s">
        <v>17</v>
      </c>
      <c r="AI76" s="28" t="s">
        <v>2301</v>
      </c>
      <c r="AJ76" s="28" t="s">
        <v>2297</v>
      </c>
      <c r="AK76" s="28" t="s">
        <v>19</v>
      </c>
      <c r="AL76" s="28" t="s">
        <v>2298</v>
      </c>
      <c r="AM76" s="114"/>
    </row>
    <row r="77" spans="7:39">
      <c r="G77" s="27">
        <v>1990</v>
      </c>
      <c r="H77" s="27" t="s">
        <v>106</v>
      </c>
      <c r="I77" s="27" t="s">
        <v>107</v>
      </c>
      <c r="J77" s="27" t="s">
        <v>23</v>
      </c>
      <c r="K77" s="27" t="s">
        <v>107</v>
      </c>
      <c r="L77" s="27" t="s">
        <v>211</v>
      </c>
      <c r="M77" s="27" t="s">
        <v>205</v>
      </c>
      <c r="N77" s="27">
        <v>7</v>
      </c>
      <c r="O77" s="27">
        <v>4</v>
      </c>
      <c r="P77" s="27" t="s">
        <v>128</v>
      </c>
      <c r="Q77" s="27" t="s">
        <v>111</v>
      </c>
      <c r="R77" s="27" t="s">
        <v>111</v>
      </c>
      <c r="S77" s="27" t="s">
        <v>112</v>
      </c>
      <c r="U77" s="18">
        <v>75</v>
      </c>
      <c r="V77" s="18" t="s">
        <v>767</v>
      </c>
      <c r="W77" s="18">
        <v>23</v>
      </c>
      <c r="X77" s="18" t="s">
        <v>61</v>
      </c>
      <c r="Y77" s="18" t="s">
        <v>681</v>
      </c>
      <c r="Z77" s="18" t="s">
        <v>738</v>
      </c>
      <c r="AA77" s="18">
        <v>25</v>
      </c>
      <c r="AC77" s="28" t="s">
        <v>2388</v>
      </c>
      <c r="AD77" s="28" t="s">
        <v>2412</v>
      </c>
      <c r="AE77" s="28" t="s">
        <v>2410</v>
      </c>
      <c r="AF77" s="28" t="s">
        <v>2390</v>
      </c>
      <c r="AG77" s="28" t="s">
        <v>2391</v>
      </c>
      <c r="AH77" s="28" t="s">
        <v>11</v>
      </c>
      <c r="AI77" s="28" t="s">
        <v>2305</v>
      </c>
      <c r="AJ77" s="28" t="s">
        <v>2297</v>
      </c>
      <c r="AK77" s="28" t="s">
        <v>12</v>
      </c>
      <c r="AL77" s="28" t="s">
        <v>2298</v>
      </c>
      <c r="AM77" s="114"/>
    </row>
    <row r="78" spans="7:39">
      <c r="G78" s="27">
        <v>1990</v>
      </c>
      <c r="H78" s="27" t="s">
        <v>106</v>
      </c>
      <c r="I78" s="27" t="s">
        <v>107</v>
      </c>
      <c r="J78" s="27" t="s">
        <v>23</v>
      </c>
      <c r="K78" s="27" t="s">
        <v>23</v>
      </c>
      <c r="L78" s="27" t="s">
        <v>212</v>
      </c>
      <c r="M78" s="27" t="s">
        <v>207</v>
      </c>
      <c r="N78" s="27">
        <v>8</v>
      </c>
      <c r="O78" s="27">
        <v>4</v>
      </c>
      <c r="P78" s="27" t="s">
        <v>130</v>
      </c>
      <c r="Q78" s="27" t="s">
        <v>111</v>
      </c>
      <c r="R78" s="27" t="s">
        <v>111</v>
      </c>
      <c r="S78" s="27" t="s">
        <v>124</v>
      </c>
      <c r="U78" s="18">
        <v>76</v>
      </c>
      <c r="V78" s="18" t="s">
        <v>768</v>
      </c>
      <c r="W78" s="18">
        <v>25</v>
      </c>
      <c r="X78" s="18" t="s">
        <v>61</v>
      </c>
      <c r="Y78" s="18" t="s">
        <v>683</v>
      </c>
      <c r="Z78" s="18" t="s">
        <v>769</v>
      </c>
      <c r="AA78" s="18">
        <v>9</v>
      </c>
      <c r="AC78" s="28" t="s">
        <v>2413</v>
      </c>
      <c r="AD78" s="28" t="s">
        <v>2414</v>
      </c>
      <c r="AE78" s="28" t="s">
        <v>2307</v>
      </c>
      <c r="AF78" s="28" t="s">
        <v>2415</v>
      </c>
      <c r="AG78" s="28" t="s">
        <v>2416</v>
      </c>
      <c r="AH78" s="28" t="s">
        <v>11</v>
      </c>
      <c r="AI78" s="28" t="s">
        <v>2305</v>
      </c>
      <c r="AJ78" s="28" t="s">
        <v>2302</v>
      </c>
      <c r="AK78" s="28" t="s">
        <v>21</v>
      </c>
      <c r="AL78" s="28" t="s">
        <v>2298</v>
      </c>
      <c r="AM78" s="114"/>
    </row>
    <row r="79" spans="7:39">
      <c r="G79" s="27">
        <v>1990</v>
      </c>
      <c r="H79" s="27" t="s">
        <v>106</v>
      </c>
      <c r="I79" s="27" t="s">
        <v>107</v>
      </c>
      <c r="J79" s="27" t="s">
        <v>23</v>
      </c>
      <c r="K79" s="27" t="s">
        <v>23</v>
      </c>
      <c r="L79" s="27" t="s">
        <v>213</v>
      </c>
      <c r="M79" s="27" t="s">
        <v>207</v>
      </c>
      <c r="N79" s="27">
        <v>9</v>
      </c>
      <c r="O79" s="27">
        <v>5</v>
      </c>
      <c r="P79" s="27" t="s">
        <v>130</v>
      </c>
      <c r="Q79" s="27" t="s">
        <v>131</v>
      </c>
      <c r="R79" s="27" t="s">
        <v>131</v>
      </c>
      <c r="S79" s="27" t="s">
        <v>160</v>
      </c>
      <c r="U79" s="18">
        <v>77</v>
      </c>
      <c r="V79" s="18" t="s">
        <v>770</v>
      </c>
      <c r="W79" s="18">
        <v>30</v>
      </c>
      <c r="X79" s="18" t="s">
        <v>61</v>
      </c>
      <c r="Y79" s="18" t="s">
        <v>683</v>
      </c>
      <c r="Z79" s="18" t="s">
        <v>736</v>
      </c>
      <c r="AA79" s="18">
        <v>15</v>
      </c>
      <c r="AC79" s="28" t="s">
        <v>2413</v>
      </c>
      <c r="AD79" s="28" t="s">
        <v>2414</v>
      </c>
      <c r="AE79" s="28" t="s">
        <v>2307</v>
      </c>
      <c r="AF79" s="28" t="s">
        <v>2417</v>
      </c>
      <c r="AG79" s="28" t="s">
        <v>2418</v>
      </c>
      <c r="AH79" s="28" t="s">
        <v>14</v>
      </c>
      <c r="AI79" s="28" t="s">
        <v>2297</v>
      </c>
      <c r="AJ79" s="28" t="s">
        <v>2302</v>
      </c>
      <c r="AK79" s="28" t="s">
        <v>39</v>
      </c>
      <c r="AL79" s="28" t="s">
        <v>2298</v>
      </c>
      <c r="AM79" s="114"/>
    </row>
    <row r="80" spans="7:39">
      <c r="G80" s="27">
        <v>1994</v>
      </c>
      <c r="H80" s="27" t="s">
        <v>170</v>
      </c>
      <c r="I80" s="27" t="s">
        <v>28</v>
      </c>
      <c r="J80" s="27" t="s">
        <v>34</v>
      </c>
      <c r="K80" s="27" t="s">
        <v>34</v>
      </c>
      <c r="L80" s="27" t="s">
        <v>214</v>
      </c>
      <c r="M80" s="27" t="s">
        <v>215</v>
      </c>
      <c r="N80" s="27">
        <v>1</v>
      </c>
      <c r="O80" s="27">
        <v>1</v>
      </c>
      <c r="P80" s="27" t="s">
        <v>110</v>
      </c>
      <c r="Q80" s="27" t="s">
        <v>111</v>
      </c>
      <c r="R80" s="27" t="s">
        <v>111</v>
      </c>
      <c r="S80" s="27" t="s">
        <v>124</v>
      </c>
      <c r="U80" s="18">
        <v>78</v>
      </c>
      <c r="V80" s="18" t="s">
        <v>771</v>
      </c>
      <c r="W80" s="18">
        <v>26</v>
      </c>
      <c r="X80" s="18" t="s">
        <v>61</v>
      </c>
      <c r="Y80" s="18" t="s">
        <v>683</v>
      </c>
      <c r="Z80" s="18" t="s">
        <v>738</v>
      </c>
      <c r="AA80" s="18">
        <v>17</v>
      </c>
      <c r="AC80" s="28" t="s">
        <v>2413</v>
      </c>
      <c r="AD80" s="28" t="s">
        <v>2414</v>
      </c>
      <c r="AE80" s="28" t="s">
        <v>2293</v>
      </c>
      <c r="AF80" s="28" t="s">
        <v>2419</v>
      </c>
      <c r="AG80" s="28" t="s">
        <v>2420</v>
      </c>
      <c r="AH80" s="28" t="s">
        <v>12</v>
      </c>
      <c r="AI80" s="28" t="s">
        <v>2338</v>
      </c>
      <c r="AJ80" s="28" t="s">
        <v>2302</v>
      </c>
      <c r="AK80" s="28" t="s">
        <v>28</v>
      </c>
      <c r="AL80" s="28" t="s">
        <v>2298</v>
      </c>
      <c r="AM80" s="114"/>
    </row>
    <row r="81" spans="7:39">
      <c r="G81" s="27">
        <v>1994</v>
      </c>
      <c r="H81" s="27" t="s">
        <v>170</v>
      </c>
      <c r="I81" s="27" t="s">
        <v>28</v>
      </c>
      <c r="J81" s="27" t="s">
        <v>34</v>
      </c>
      <c r="K81" s="27" t="s">
        <v>28</v>
      </c>
      <c r="L81" s="27" t="s">
        <v>216</v>
      </c>
      <c r="M81" s="27" t="s">
        <v>217</v>
      </c>
      <c r="N81" s="27">
        <v>2</v>
      </c>
      <c r="O81" s="27">
        <v>1</v>
      </c>
      <c r="P81" s="27" t="s">
        <v>110</v>
      </c>
      <c r="Q81" s="27" t="s">
        <v>111</v>
      </c>
      <c r="R81" s="27" t="s">
        <v>111</v>
      </c>
      <c r="S81" s="27" t="s">
        <v>160</v>
      </c>
      <c r="U81" s="18">
        <v>79</v>
      </c>
      <c r="V81" s="18" t="s">
        <v>772</v>
      </c>
      <c r="W81" s="18">
        <v>35</v>
      </c>
      <c r="X81" s="18" t="s">
        <v>530</v>
      </c>
      <c r="Y81" s="18" t="s">
        <v>642</v>
      </c>
      <c r="Z81" s="18" t="s">
        <v>773</v>
      </c>
      <c r="AA81" s="18">
        <v>1</v>
      </c>
      <c r="AC81" s="28" t="s">
        <v>2413</v>
      </c>
      <c r="AD81" s="28" t="s">
        <v>2414</v>
      </c>
      <c r="AE81" s="28" t="s">
        <v>2293</v>
      </c>
      <c r="AF81" s="28" t="s">
        <v>2421</v>
      </c>
      <c r="AG81" s="28" t="s">
        <v>2422</v>
      </c>
      <c r="AH81" s="28" t="s">
        <v>7</v>
      </c>
      <c r="AI81" s="28" t="s">
        <v>2297</v>
      </c>
      <c r="AJ81" s="28" t="s">
        <v>2302</v>
      </c>
      <c r="AK81" s="28" t="s">
        <v>5</v>
      </c>
      <c r="AL81" s="28" t="s">
        <v>2298</v>
      </c>
      <c r="AM81" s="114"/>
    </row>
    <row r="82" spans="7:39">
      <c r="G82" s="27">
        <v>1994</v>
      </c>
      <c r="H82" s="27" t="s">
        <v>170</v>
      </c>
      <c r="I82" s="27" t="s">
        <v>28</v>
      </c>
      <c r="J82" s="27" t="s">
        <v>34</v>
      </c>
      <c r="K82" s="27" t="s">
        <v>34</v>
      </c>
      <c r="L82" s="27" t="s">
        <v>218</v>
      </c>
      <c r="M82" s="27" t="s">
        <v>215</v>
      </c>
      <c r="N82" s="27">
        <v>3</v>
      </c>
      <c r="O82" s="27">
        <v>2</v>
      </c>
      <c r="P82" s="27" t="s">
        <v>110</v>
      </c>
      <c r="Q82" s="27" t="s">
        <v>111</v>
      </c>
      <c r="R82" s="27" t="s">
        <v>111</v>
      </c>
      <c r="S82" s="27" t="s">
        <v>112</v>
      </c>
      <c r="U82" s="18">
        <v>80</v>
      </c>
      <c r="V82" s="18" t="s">
        <v>774</v>
      </c>
      <c r="W82" s="18">
        <v>28</v>
      </c>
      <c r="X82" s="18" t="s">
        <v>530</v>
      </c>
      <c r="Y82" s="18" t="s">
        <v>642</v>
      </c>
      <c r="Z82" s="18" t="s">
        <v>775</v>
      </c>
      <c r="AA82" s="18">
        <v>12</v>
      </c>
      <c r="AC82" s="28" t="s">
        <v>2413</v>
      </c>
      <c r="AD82" s="28" t="s">
        <v>2423</v>
      </c>
      <c r="AE82" s="28" t="s">
        <v>2304</v>
      </c>
      <c r="AF82" s="28" t="s">
        <v>2415</v>
      </c>
      <c r="AG82" s="28" t="s">
        <v>2416</v>
      </c>
      <c r="AH82" s="28" t="s">
        <v>24</v>
      </c>
      <c r="AI82" s="28" t="s">
        <v>2296</v>
      </c>
      <c r="AJ82" s="28" t="s">
        <v>2297</v>
      </c>
      <c r="AK82" s="28" t="s">
        <v>25</v>
      </c>
      <c r="AL82" s="28" t="s">
        <v>2298</v>
      </c>
      <c r="AM82" s="114"/>
    </row>
    <row r="83" spans="7:39">
      <c r="G83" s="27">
        <v>1994</v>
      </c>
      <c r="H83" s="27" t="s">
        <v>170</v>
      </c>
      <c r="I83" s="27" t="s">
        <v>28</v>
      </c>
      <c r="J83" s="27" t="s">
        <v>34</v>
      </c>
      <c r="K83" s="27" t="s">
        <v>28</v>
      </c>
      <c r="L83" s="27" t="s">
        <v>219</v>
      </c>
      <c r="M83" s="27" t="s">
        <v>217</v>
      </c>
      <c r="N83" s="27">
        <v>4</v>
      </c>
      <c r="O83" s="27">
        <v>2</v>
      </c>
      <c r="P83" s="27" t="s">
        <v>115</v>
      </c>
      <c r="Q83" s="27" t="s">
        <v>111</v>
      </c>
      <c r="R83" s="27" t="s">
        <v>111</v>
      </c>
      <c r="S83" s="27" t="s">
        <v>124</v>
      </c>
      <c r="U83" s="18">
        <v>81</v>
      </c>
      <c r="V83" s="18" t="s">
        <v>776</v>
      </c>
      <c r="W83" s="18">
        <v>34</v>
      </c>
      <c r="X83" s="18" t="s">
        <v>530</v>
      </c>
      <c r="Y83" s="18" t="s">
        <v>642</v>
      </c>
      <c r="Z83" s="18" t="s">
        <v>777</v>
      </c>
      <c r="AA83" s="18">
        <v>21</v>
      </c>
      <c r="AC83" s="28" t="s">
        <v>2413</v>
      </c>
      <c r="AD83" s="28" t="s">
        <v>2423</v>
      </c>
      <c r="AE83" s="28" t="s">
        <v>2304</v>
      </c>
      <c r="AF83" s="28" t="s">
        <v>2417</v>
      </c>
      <c r="AG83" s="28" t="s">
        <v>2418</v>
      </c>
      <c r="AH83" s="28" t="s">
        <v>15</v>
      </c>
      <c r="AI83" s="28" t="s">
        <v>2424</v>
      </c>
      <c r="AJ83" s="28" t="s">
        <v>2302</v>
      </c>
      <c r="AK83" s="28" t="s">
        <v>2425</v>
      </c>
      <c r="AL83" s="28" t="s">
        <v>2298</v>
      </c>
      <c r="AM83" s="114"/>
    </row>
    <row r="84" spans="7:39">
      <c r="G84" s="27">
        <v>1994</v>
      </c>
      <c r="H84" s="27" t="s">
        <v>170</v>
      </c>
      <c r="I84" s="27" t="s">
        <v>28</v>
      </c>
      <c r="J84" s="27" t="s">
        <v>34</v>
      </c>
      <c r="K84" s="27" t="s">
        <v>34</v>
      </c>
      <c r="L84" s="27" t="s">
        <v>220</v>
      </c>
      <c r="M84" s="27" t="s">
        <v>215</v>
      </c>
      <c r="N84" s="27">
        <v>5</v>
      </c>
      <c r="O84" s="27">
        <v>3</v>
      </c>
      <c r="P84" s="27" t="s">
        <v>115</v>
      </c>
      <c r="Q84" s="27" t="s">
        <v>111</v>
      </c>
      <c r="R84" s="27" t="s">
        <v>111</v>
      </c>
      <c r="S84" s="27" t="s">
        <v>112</v>
      </c>
      <c r="U84" s="18">
        <v>82</v>
      </c>
      <c r="V84" s="18" t="s">
        <v>778</v>
      </c>
      <c r="W84" s="18">
        <v>23</v>
      </c>
      <c r="X84" s="18" t="s">
        <v>530</v>
      </c>
      <c r="Y84" s="18" t="s">
        <v>649</v>
      </c>
      <c r="Z84" s="18" t="s">
        <v>779</v>
      </c>
      <c r="AA84" s="18">
        <v>2</v>
      </c>
      <c r="AC84" s="28" t="s">
        <v>2413</v>
      </c>
      <c r="AD84" s="28" t="s">
        <v>2426</v>
      </c>
      <c r="AE84" s="28" t="s">
        <v>2299</v>
      </c>
      <c r="AF84" s="28" t="s">
        <v>2427</v>
      </c>
      <c r="AG84" s="28" t="s">
        <v>2428</v>
      </c>
      <c r="AH84" s="28" t="s">
        <v>23</v>
      </c>
      <c r="AI84" s="28" t="s">
        <v>2296</v>
      </c>
      <c r="AJ84" s="28" t="s">
        <v>2296</v>
      </c>
      <c r="AK84" s="28" t="s">
        <v>33</v>
      </c>
      <c r="AL84" s="28" t="s">
        <v>2298</v>
      </c>
      <c r="AM84" s="114"/>
    </row>
    <row r="85" spans="7:39">
      <c r="G85" s="27">
        <v>1994</v>
      </c>
      <c r="H85" s="27" t="s">
        <v>170</v>
      </c>
      <c r="I85" s="27" t="s">
        <v>28</v>
      </c>
      <c r="J85" s="27" t="s">
        <v>34</v>
      </c>
      <c r="K85" s="27" t="s">
        <v>28</v>
      </c>
      <c r="L85" s="27" t="s">
        <v>221</v>
      </c>
      <c r="M85" s="27" t="s">
        <v>217</v>
      </c>
      <c r="N85" s="27">
        <v>6</v>
      </c>
      <c r="O85" s="27">
        <v>3</v>
      </c>
      <c r="P85" s="27" t="s">
        <v>222</v>
      </c>
      <c r="Q85" s="27" t="s">
        <v>111</v>
      </c>
      <c r="R85" s="27" t="s">
        <v>111</v>
      </c>
      <c r="S85" s="27" t="s">
        <v>124</v>
      </c>
      <c r="U85" s="18">
        <v>83</v>
      </c>
      <c r="V85" s="18" t="s">
        <v>780</v>
      </c>
      <c r="W85" s="18">
        <v>29</v>
      </c>
      <c r="X85" s="18" t="s">
        <v>530</v>
      </c>
      <c r="Y85" s="18" t="s">
        <v>649</v>
      </c>
      <c r="Z85" s="18" t="s">
        <v>781</v>
      </c>
      <c r="AA85" s="18">
        <v>4</v>
      </c>
      <c r="AC85" s="28" t="s">
        <v>2413</v>
      </c>
      <c r="AD85" s="28" t="s">
        <v>2429</v>
      </c>
      <c r="AE85" s="28" t="s">
        <v>2299</v>
      </c>
      <c r="AF85" s="28" t="s">
        <v>2421</v>
      </c>
      <c r="AG85" s="28" t="s">
        <v>2422</v>
      </c>
      <c r="AH85" s="28" t="s">
        <v>16</v>
      </c>
      <c r="AI85" s="28" t="s">
        <v>2305</v>
      </c>
      <c r="AJ85" s="28" t="s">
        <v>2297</v>
      </c>
      <c r="AK85" s="28" t="s">
        <v>20</v>
      </c>
      <c r="AL85" s="28" t="s">
        <v>2298</v>
      </c>
      <c r="AM85" s="114"/>
    </row>
    <row r="86" spans="7:39">
      <c r="G86" s="27">
        <v>1994</v>
      </c>
      <c r="H86" s="27" t="s">
        <v>170</v>
      </c>
      <c r="I86" s="27" t="s">
        <v>28</v>
      </c>
      <c r="J86" s="27" t="s">
        <v>34</v>
      </c>
      <c r="K86" s="27" t="s">
        <v>34</v>
      </c>
      <c r="L86" s="27" t="s">
        <v>223</v>
      </c>
      <c r="M86" s="27" t="s">
        <v>215</v>
      </c>
      <c r="N86" s="27">
        <v>7</v>
      </c>
      <c r="O86" s="27">
        <v>4</v>
      </c>
      <c r="P86" s="27" t="s">
        <v>222</v>
      </c>
      <c r="Q86" s="27" t="s">
        <v>111</v>
      </c>
      <c r="R86" s="27" t="s">
        <v>131</v>
      </c>
      <c r="S86" s="27" t="s">
        <v>112</v>
      </c>
      <c r="U86" s="18">
        <v>84</v>
      </c>
      <c r="V86" s="18" t="s">
        <v>782</v>
      </c>
      <c r="W86" s="18">
        <v>25</v>
      </c>
      <c r="X86" s="18" t="s">
        <v>530</v>
      </c>
      <c r="Y86" s="18" t="s">
        <v>649</v>
      </c>
      <c r="Z86" s="18" t="s">
        <v>783</v>
      </c>
      <c r="AA86" s="18">
        <v>5</v>
      </c>
      <c r="AC86" s="28" t="s">
        <v>2413</v>
      </c>
      <c r="AD86" s="28" t="s">
        <v>2430</v>
      </c>
      <c r="AE86" s="28" t="s">
        <v>2307</v>
      </c>
      <c r="AF86" s="28" t="s">
        <v>2427</v>
      </c>
      <c r="AG86" s="28" t="s">
        <v>2428</v>
      </c>
      <c r="AH86" s="28" t="s">
        <v>11</v>
      </c>
      <c r="AI86" s="28" t="s">
        <v>2343</v>
      </c>
      <c r="AJ86" s="28" t="s">
        <v>2302</v>
      </c>
      <c r="AK86" s="28" t="s">
        <v>39</v>
      </c>
      <c r="AL86" s="28" t="s">
        <v>2298</v>
      </c>
      <c r="AM86" s="114"/>
    </row>
    <row r="87" spans="7:39">
      <c r="G87" s="27">
        <v>1994</v>
      </c>
      <c r="H87" s="27" t="s">
        <v>170</v>
      </c>
      <c r="I87" s="27" t="s">
        <v>28</v>
      </c>
      <c r="J87" s="27" t="s">
        <v>34</v>
      </c>
      <c r="K87" s="27" t="s">
        <v>28</v>
      </c>
      <c r="L87" s="27" t="s">
        <v>224</v>
      </c>
      <c r="M87" s="27" t="s">
        <v>217</v>
      </c>
      <c r="N87" s="27">
        <v>8</v>
      </c>
      <c r="O87" s="27">
        <v>4</v>
      </c>
      <c r="P87" s="27" t="s">
        <v>156</v>
      </c>
      <c r="Q87" s="27" t="s">
        <v>131</v>
      </c>
      <c r="R87" s="27" t="s">
        <v>111</v>
      </c>
      <c r="S87" s="27" t="s">
        <v>112</v>
      </c>
      <c r="U87" s="18">
        <v>85</v>
      </c>
      <c r="V87" s="18" t="s">
        <v>784</v>
      </c>
      <c r="W87" s="18">
        <v>24</v>
      </c>
      <c r="X87" s="18" t="s">
        <v>530</v>
      </c>
      <c r="Y87" s="18" t="s">
        <v>649</v>
      </c>
      <c r="Z87" s="18" t="s">
        <v>775</v>
      </c>
      <c r="AA87" s="18">
        <v>14</v>
      </c>
      <c r="AC87" s="28" t="s">
        <v>2413</v>
      </c>
      <c r="AD87" s="28" t="s">
        <v>2431</v>
      </c>
      <c r="AE87" s="28" t="s">
        <v>2307</v>
      </c>
      <c r="AF87" s="28" t="s">
        <v>2417</v>
      </c>
      <c r="AG87" s="28" t="s">
        <v>2418</v>
      </c>
      <c r="AH87" s="28" t="s">
        <v>14</v>
      </c>
      <c r="AI87" s="28" t="s">
        <v>2338</v>
      </c>
      <c r="AJ87" s="28" t="s">
        <v>2302</v>
      </c>
      <c r="AK87" s="28" t="s">
        <v>21</v>
      </c>
      <c r="AL87" s="28" t="s">
        <v>2298</v>
      </c>
      <c r="AM87" s="114"/>
    </row>
    <row r="88" spans="7:39">
      <c r="G88" s="27">
        <v>1994</v>
      </c>
      <c r="H88" s="27" t="s">
        <v>135</v>
      </c>
      <c r="I88" s="27" t="s">
        <v>8</v>
      </c>
      <c r="J88" s="27" t="s">
        <v>17</v>
      </c>
      <c r="K88" s="27" t="s">
        <v>17</v>
      </c>
      <c r="L88" s="27" t="s">
        <v>225</v>
      </c>
      <c r="M88" s="27" t="s">
        <v>226</v>
      </c>
      <c r="N88" s="27">
        <v>1</v>
      </c>
      <c r="O88" s="27">
        <v>1</v>
      </c>
      <c r="P88" s="27" t="s">
        <v>110</v>
      </c>
      <c r="Q88" s="27" t="s">
        <v>111</v>
      </c>
      <c r="R88" s="27" t="s">
        <v>111</v>
      </c>
      <c r="S88" s="27" t="s">
        <v>160</v>
      </c>
      <c r="U88" s="18">
        <v>86</v>
      </c>
      <c r="V88" s="18" t="s">
        <v>785</v>
      </c>
      <c r="W88" s="18">
        <v>30</v>
      </c>
      <c r="X88" s="18" t="s">
        <v>530</v>
      </c>
      <c r="Y88" s="18" t="s">
        <v>649</v>
      </c>
      <c r="Z88" s="18" t="s">
        <v>786</v>
      </c>
      <c r="AA88" s="18">
        <v>16</v>
      </c>
      <c r="AC88" s="28" t="s">
        <v>2413</v>
      </c>
      <c r="AD88" s="28" t="s">
        <v>2432</v>
      </c>
      <c r="AE88" s="28" t="s">
        <v>2293</v>
      </c>
      <c r="AF88" s="28" t="s">
        <v>2419</v>
      </c>
      <c r="AG88" s="28" t="s">
        <v>2420</v>
      </c>
      <c r="AH88" s="28" t="s">
        <v>5</v>
      </c>
      <c r="AI88" s="28" t="s">
        <v>2301</v>
      </c>
      <c r="AJ88" s="28" t="s">
        <v>2305</v>
      </c>
      <c r="AK88" s="28" t="s">
        <v>28</v>
      </c>
      <c r="AL88" s="28" t="s">
        <v>2298</v>
      </c>
      <c r="AM88" s="114"/>
    </row>
    <row r="89" spans="7:39">
      <c r="G89" s="27">
        <v>1994</v>
      </c>
      <c r="H89" s="27" t="s">
        <v>135</v>
      </c>
      <c r="I89" s="27" t="s">
        <v>8</v>
      </c>
      <c r="J89" s="27" t="s">
        <v>17</v>
      </c>
      <c r="K89" s="27" t="s">
        <v>8</v>
      </c>
      <c r="L89" s="27" t="s">
        <v>227</v>
      </c>
      <c r="M89" s="27" t="s">
        <v>228</v>
      </c>
      <c r="N89" s="27">
        <v>2</v>
      </c>
      <c r="O89" s="27">
        <v>1</v>
      </c>
      <c r="P89" s="27" t="s">
        <v>110</v>
      </c>
      <c r="Q89" s="27" t="s">
        <v>111</v>
      </c>
      <c r="R89" s="27" t="s">
        <v>111</v>
      </c>
      <c r="S89" s="27" t="s">
        <v>112</v>
      </c>
      <c r="U89" s="18">
        <v>87</v>
      </c>
      <c r="V89" s="18" t="s">
        <v>787</v>
      </c>
      <c r="W89" s="18">
        <v>23</v>
      </c>
      <c r="X89" s="18" t="s">
        <v>530</v>
      </c>
      <c r="Y89" s="18" t="s">
        <v>657</v>
      </c>
      <c r="Z89" s="18" t="s">
        <v>788</v>
      </c>
      <c r="AA89" s="18">
        <v>13</v>
      </c>
      <c r="AC89" s="28" t="s">
        <v>2413</v>
      </c>
      <c r="AD89" s="28" t="s">
        <v>2431</v>
      </c>
      <c r="AE89" s="28" t="s">
        <v>2293</v>
      </c>
      <c r="AF89" s="28" t="s">
        <v>2421</v>
      </c>
      <c r="AG89" s="28" t="s">
        <v>2422</v>
      </c>
      <c r="AH89" s="28" t="s">
        <v>12</v>
      </c>
      <c r="AI89" s="28" t="s">
        <v>2297</v>
      </c>
      <c r="AJ89" s="28" t="s">
        <v>2297</v>
      </c>
      <c r="AK89" s="28" t="s">
        <v>7</v>
      </c>
      <c r="AL89" s="28" t="s">
        <v>2298</v>
      </c>
      <c r="AM89" s="114"/>
    </row>
    <row r="90" spans="7:39">
      <c r="G90" s="27">
        <v>1994</v>
      </c>
      <c r="H90" s="27" t="s">
        <v>135</v>
      </c>
      <c r="I90" s="27" t="s">
        <v>8</v>
      </c>
      <c r="J90" s="27" t="s">
        <v>17</v>
      </c>
      <c r="K90" s="27" t="s">
        <v>17</v>
      </c>
      <c r="L90" s="27" t="s">
        <v>229</v>
      </c>
      <c r="M90" s="27" t="s">
        <v>226</v>
      </c>
      <c r="N90" s="27">
        <v>3</v>
      </c>
      <c r="O90" s="27">
        <v>2</v>
      </c>
      <c r="P90" s="27" t="s">
        <v>115</v>
      </c>
      <c r="Q90" s="27" t="s">
        <v>111</v>
      </c>
      <c r="R90" s="27" t="s">
        <v>111</v>
      </c>
      <c r="S90" s="27" t="s">
        <v>112</v>
      </c>
      <c r="U90" s="18">
        <v>88</v>
      </c>
      <c r="V90" s="18" t="s">
        <v>789</v>
      </c>
      <c r="W90" s="18">
        <v>30</v>
      </c>
      <c r="X90" s="18" t="s">
        <v>530</v>
      </c>
      <c r="Y90" s="18" t="s">
        <v>661</v>
      </c>
      <c r="Z90" s="18" t="s">
        <v>790</v>
      </c>
      <c r="AA90" s="18">
        <v>15</v>
      </c>
      <c r="AC90" s="28" t="s">
        <v>2413</v>
      </c>
      <c r="AD90" s="28" t="s">
        <v>2433</v>
      </c>
      <c r="AE90" s="28" t="s">
        <v>2304</v>
      </c>
      <c r="AF90" s="28" t="s">
        <v>2427</v>
      </c>
      <c r="AG90" s="28" t="s">
        <v>2428</v>
      </c>
      <c r="AH90" s="28" t="s">
        <v>15</v>
      </c>
      <c r="AI90" s="28" t="s">
        <v>2384</v>
      </c>
      <c r="AJ90" s="28" t="s">
        <v>2301</v>
      </c>
      <c r="AK90" s="28" t="s">
        <v>24</v>
      </c>
      <c r="AL90" s="28" t="s">
        <v>2298</v>
      </c>
      <c r="AM90" s="114"/>
    </row>
    <row r="91" spans="7:39">
      <c r="G91" s="27">
        <v>1994</v>
      </c>
      <c r="H91" s="27" t="s">
        <v>135</v>
      </c>
      <c r="I91" s="27" t="s">
        <v>8</v>
      </c>
      <c r="J91" s="27" t="s">
        <v>17</v>
      </c>
      <c r="K91" s="27" t="s">
        <v>8</v>
      </c>
      <c r="L91" s="27" t="s">
        <v>173</v>
      </c>
      <c r="M91" s="27" t="s">
        <v>228</v>
      </c>
      <c r="N91" s="27">
        <v>4</v>
      </c>
      <c r="O91" s="27">
        <v>2</v>
      </c>
      <c r="P91" s="27" t="s">
        <v>117</v>
      </c>
      <c r="Q91" s="27" t="s">
        <v>111</v>
      </c>
      <c r="R91" s="27" t="s">
        <v>111</v>
      </c>
      <c r="S91" s="27" t="s">
        <v>112</v>
      </c>
      <c r="U91" s="18">
        <v>89</v>
      </c>
      <c r="V91" s="18" t="s">
        <v>791</v>
      </c>
      <c r="W91" s="18">
        <v>27</v>
      </c>
      <c r="X91" s="18" t="s">
        <v>530</v>
      </c>
      <c r="Y91" s="18" t="s">
        <v>661</v>
      </c>
      <c r="Z91" s="18" t="s">
        <v>792</v>
      </c>
      <c r="AA91" s="18">
        <v>22</v>
      </c>
      <c r="AC91" s="28" t="s">
        <v>2413</v>
      </c>
      <c r="AD91" s="28" t="s">
        <v>2434</v>
      </c>
      <c r="AE91" s="28" t="s">
        <v>2304</v>
      </c>
      <c r="AF91" s="28" t="s">
        <v>2419</v>
      </c>
      <c r="AG91" s="28" t="s">
        <v>2420</v>
      </c>
      <c r="AH91" s="28" t="s">
        <v>25</v>
      </c>
      <c r="AI91" s="28" t="s">
        <v>2343</v>
      </c>
      <c r="AJ91" s="28" t="s">
        <v>2302</v>
      </c>
      <c r="AK91" s="28" t="s">
        <v>2425</v>
      </c>
      <c r="AL91" s="28" t="s">
        <v>2298</v>
      </c>
      <c r="AM91" s="114"/>
    </row>
    <row r="92" spans="7:39">
      <c r="G92" s="27">
        <v>1994</v>
      </c>
      <c r="H92" s="27" t="s">
        <v>135</v>
      </c>
      <c r="I92" s="27" t="s">
        <v>8</v>
      </c>
      <c r="J92" s="27" t="s">
        <v>17</v>
      </c>
      <c r="K92" s="27" t="s">
        <v>17</v>
      </c>
      <c r="L92" s="27" t="s">
        <v>230</v>
      </c>
      <c r="M92" s="27" t="s">
        <v>226</v>
      </c>
      <c r="N92" s="27">
        <v>5</v>
      </c>
      <c r="O92" s="27">
        <v>3</v>
      </c>
      <c r="P92" s="27" t="s">
        <v>156</v>
      </c>
      <c r="Q92" s="27" t="s">
        <v>111</v>
      </c>
      <c r="R92" s="27" t="s">
        <v>111</v>
      </c>
      <c r="S92" s="27" t="s">
        <v>112</v>
      </c>
      <c r="U92" s="18">
        <v>90</v>
      </c>
      <c r="V92" s="18" t="s">
        <v>793</v>
      </c>
      <c r="W92" s="18">
        <v>22</v>
      </c>
      <c r="X92" s="18" t="s">
        <v>530</v>
      </c>
      <c r="Y92" s="18" t="s">
        <v>661</v>
      </c>
      <c r="Z92" s="18" t="s">
        <v>794</v>
      </c>
      <c r="AA92" s="18">
        <v>23</v>
      </c>
      <c r="AC92" s="28" t="s">
        <v>2413</v>
      </c>
      <c r="AD92" s="28" t="s">
        <v>2435</v>
      </c>
      <c r="AE92" s="28" t="s">
        <v>2299</v>
      </c>
      <c r="AF92" s="28" t="s">
        <v>2415</v>
      </c>
      <c r="AG92" s="28" t="s">
        <v>2416</v>
      </c>
      <c r="AH92" s="28" t="s">
        <v>23</v>
      </c>
      <c r="AI92" s="28" t="s">
        <v>2305</v>
      </c>
      <c r="AJ92" s="28" t="s">
        <v>2302</v>
      </c>
      <c r="AK92" s="28" t="s">
        <v>16</v>
      </c>
      <c r="AL92" s="28" t="s">
        <v>2298</v>
      </c>
      <c r="AM92" s="114"/>
    </row>
    <row r="93" spans="7:39">
      <c r="G93" s="27">
        <v>1994</v>
      </c>
      <c r="H93" s="27" t="s">
        <v>135</v>
      </c>
      <c r="I93" s="27" t="s">
        <v>8</v>
      </c>
      <c r="J93" s="27" t="s">
        <v>17</v>
      </c>
      <c r="K93" s="27" t="s">
        <v>8</v>
      </c>
      <c r="L93" s="27" t="s">
        <v>180</v>
      </c>
      <c r="M93" s="27" t="s">
        <v>228</v>
      </c>
      <c r="N93" s="27">
        <v>6</v>
      </c>
      <c r="O93" s="27">
        <v>3</v>
      </c>
      <c r="P93" s="27" t="s">
        <v>121</v>
      </c>
      <c r="Q93" s="27" t="s">
        <v>111</v>
      </c>
      <c r="R93" s="27" t="s">
        <v>111</v>
      </c>
      <c r="S93" s="27" t="s">
        <v>112</v>
      </c>
      <c r="U93" s="18">
        <v>91</v>
      </c>
      <c r="V93" s="18" t="s">
        <v>795</v>
      </c>
      <c r="W93" s="18">
        <v>25</v>
      </c>
      <c r="X93" s="18" t="s">
        <v>530</v>
      </c>
      <c r="Y93" s="18" t="s">
        <v>669</v>
      </c>
      <c r="Z93" s="18" t="s">
        <v>796</v>
      </c>
      <c r="AA93" s="18">
        <v>3</v>
      </c>
      <c r="AC93" s="28" t="s">
        <v>2413</v>
      </c>
      <c r="AD93" s="28" t="s">
        <v>2434</v>
      </c>
      <c r="AE93" s="28" t="s">
        <v>2299</v>
      </c>
      <c r="AF93" s="28" t="s">
        <v>2436</v>
      </c>
      <c r="AG93" s="28" t="s">
        <v>2437</v>
      </c>
      <c r="AH93" s="28" t="s">
        <v>20</v>
      </c>
      <c r="AI93" s="28" t="s">
        <v>2296</v>
      </c>
      <c r="AJ93" s="28" t="s">
        <v>2297</v>
      </c>
      <c r="AK93" s="28" t="s">
        <v>33</v>
      </c>
      <c r="AL93" s="28" t="s">
        <v>2298</v>
      </c>
      <c r="AM93" s="114"/>
    </row>
    <row r="94" spans="7:39">
      <c r="G94" s="27">
        <v>1994</v>
      </c>
      <c r="H94" s="27" t="s">
        <v>135</v>
      </c>
      <c r="I94" s="27" t="s">
        <v>8</v>
      </c>
      <c r="J94" s="27" t="s">
        <v>17</v>
      </c>
      <c r="K94" s="27" t="s">
        <v>17</v>
      </c>
      <c r="L94" s="27" t="s">
        <v>231</v>
      </c>
      <c r="M94" s="27" t="s">
        <v>226</v>
      </c>
      <c r="N94" s="27">
        <v>7</v>
      </c>
      <c r="O94" s="27">
        <v>4</v>
      </c>
      <c r="P94" s="27" t="s">
        <v>159</v>
      </c>
      <c r="Q94" s="27" t="s">
        <v>111</v>
      </c>
      <c r="R94" s="27" t="s">
        <v>111</v>
      </c>
      <c r="S94" s="27" t="s">
        <v>112</v>
      </c>
      <c r="U94" s="18">
        <v>92</v>
      </c>
      <c r="V94" s="18" t="s">
        <v>797</v>
      </c>
      <c r="W94" s="18">
        <v>29</v>
      </c>
      <c r="X94" s="18" t="s">
        <v>530</v>
      </c>
      <c r="Y94" s="18" t="s">
        <v>669</v>
      </c>
      <c r="Z94" s="18" t="s">
        <v>798</v>
      </c>
      <c r="AA94" s="18">
        <v>6</v>
      </c>
      <c r="AC94" s="28" t="s">
        <v>2413</v>
      </c>
      <c r="AD94" s="28" t="s">
        <v>2438</v>
      </c>
      <c r="AE94" s="28" t="s">
        <v>2304</v>
      </c>
      <c r="AF94" s="28" t="s">
        <v>2417</v>
      </c>
      <c r="AG94" s="28" t="s">
        <v>2418</v>
      </c>
      <c r="AH94" s="28" t="s">
        <v>24</v>
      </c>
      <c r="AI94" s="28" t="s">
        <v>2343</v>
      </c>
      <c r="AJ94" s="28" t="s">
        <v>2305</v>
      </c>
      <c r="AK94" s="28" t="s">
        <v>25</v>
      </c>
      <c r="AL94" s="28" t="s">
        <v>2298</v>
      </c>
      <c r="AM94" s="114"/>
    </row>
    <row r="95" spans="7:39">
      <c r="G95" s="27">
        <v>1994</v>
      </c>
      <c r="H95" s="27" t="s">
        <v>135</v>
      </c>
      <c r="I95" s="27" t="s">
        <v>8</v>
      </c>
      <c r="J95" s="27" t="s">
        <v>17</v>
      </c>
      <c r="K95" s="27" t="s">
        <v>8</v>
      </c>
      <c r="L95" s="27" t="s">
        <v>232</v>
      </c>
      <c r="M95" s="27" t="s">
        <v>228</v>
      </c>
      <c r="N95" s="27">
        <v>8</v>
      </c>
      <c r="O95" s="27">
        <v>4</v>
      </c>
      <c r="P95" s="27" t="s">
        <v>128</v>
      </c>
      <c r="Q95" s="27" t="s">
        <v>111</v>
      </c>
      <c r="R95" s="27" t="s">
        <v>111</v>
      </c>
      <c r="S95" s="27" t="s">
        <v>124</v>
      </c>
      <c r="U95" s="18">
        <v>93</v>
      </c>
      <c r="V95" s="18" t="s">
        <v>799</v>
      </c>
      <c r="W95" s="18">
        <v>29</v>
      </c>
      <c r="X95" s="18" t="s">
        <v>530</v>
      </c>
      <c r="Y95" s="18" t="s">
        <v>669</v>
      </c>
      <c r="Z95" s="18" t="s">
        <v>800</v>
      </c>
      <c r="AA95" s="18">
        <v>8</v>
      </c>
      <c r="AC95" s="28" t="s">
        <v>2413</v>
      </c>
      <c r="AD95" s="28" t="s">
        <v>2438</v>
      </c>
      <c r="AE95" s="28" t="s">
        <v>2299</v>
      </c>
      <c r="AF95" s="28" t="s">
        <v>2427</v>
      </c>
      <c r="AG95" s="28" t="s">
        <v>2428</v>
      </c>
      <c r="AH95" s="28" t="s">
        <v>16</v>
      </c>
      <c r="AI95" s="28" t="s">
        <v>2296</v>
      </c>
      <c r="AJ95" s="28" t="s">
        <v>2297</v>
      </c>
      <c r="AK95" s="28" t="s">
        <v>20</v>
      </c>
      <c r="AL95" s="28" t="s">
        <v>2298</v>
      </c>
      <c r="AM95" s="114"/>
    </row>
    <row r="96" spans="7:39">
      <c r="G96" s="27">
        <v>1994</v>
      </c>
      <c r="H96" s="27" t="s">
        <v>135</v>
      </c>
      <c r="I96" s="27" t="s">
        <v>8</v>
      </c>
      <c r="J96" s="27" t="s">
        <v>17</v>
      </c>
      <c r="K96" s="27" t="s">
        <v>17</v>
      </c>
      <c r="L96" s="27" t="s">
        <v>233</v>
      </c>
      <c r="M96" s="27" t="s">
        <v>226</v>
      </c>
      <c r="N96" s="27">
        <v>9</v>
      </c>
      <c r="O96" s="27">
        <v>5</v>
      </c>
      <c r="P96" s="27" t="s">
        <v>128</v>
      </c>
      <c r="Q96" s="27" t="s">
        <v>111</v>
      </c>
      <c r="R96" s="27" t="s">
        <v>111</v>
      </c>
      <c r="S96" s="27" t="s">
        <v>112</v>
      </c>
      <c r="U96" s="18">
        <v>94</v>
      </c>
      <c r="V96" s="18" t="s">
        <v>801</v>
      </c>
      <c r="W96" s="18">
        <v>29</v>
      </c>
      <c r="X96" s="18" t="s">
        <v>530</v>
      </c>
      <c r="Y96" s="18" t="s">
        <v>669</v>
      </c>
      <c r="Z96" s="18" t="s">
        <v>775</v>
      </c>
      <c r="AA96" s="18">
        <v>24</v>
      </c>
      <c r="AC96" s="28" t="s">
        <v>2413</v>
      </c>
      <c r="AD96" s="28" t="s">
        <v>2439</v>
      </c>
      <c r="AE96" s="28" t="s">
        <v>135</v>
      </c>
      <c r="AF96" s="28" t="s">
        <v>2427</v>
      </c>
      <c r="AG96" s="28" t="s">
        <v>2428</v>
      </c>
      <c r="AH96" s="28" t="s">
        <v>11</v>
      </c>
      <c r="AI96" s="28" t="s">
        <v>2296</v>
      </c>
      <c r="AJ96" s="28" t="s">
        <v>2305</v>
      </c>
      <c r="AK96" s="28" t="s">
        <v>23</v>
      </c>
      <c r="AL96" s="28" t="s">
        <v>2298</v>
      </c>
      <c r="AM96" s="114"/>
    </row>
    <row r="97" spans="7:39">
      <c r="G97" s="27">
        <v>1994</v>
      </c>
      <c r="H97" s="27" t="s">
        <v>135</v>
      </c>
      <c r="I97" s="27" t="s">
        <v>8</v>
      </c>
      <c r="J97" s="27" t="s">
        <v>17</v>
      </c>
      <c r="K97" s="27" t="s">
        <v>8</v>
      </c>
      <c r="L97" s="27" t="s">
        <v>234</v>
      </c>
      <c r="M97" s="27" t="s">
        <v>228</v>
      </c>
      <c r="N97" s="27">
        <v>10</v>
      </c>
      <c r="O97" s="27">
        <v>5</v>
      </c>
      <c r="P97" s="27" t="s">
        <v>130</v>
      </c>
      <c r="Q97" s="27" t="s">
        <v>131</v>
      </c>
      <c r="R97" s="27" t="s">
        <v>111</v>
      </c>
      <c r="S97" s="27" t="s">
        <v>112</v>
      </c>
      <c r="U97" s="18">
        <v>95</v>
      </c>
      <c r="V97" s="18" t="s">
        <v>802</v>
      </c>
      <c r="W97" s="18">
        <v>33</v>
      </c>
      <c r="X97" s="18" t="s">
        <v>530</v>
      </c>
      <c r="Y97" s="18" t="s">
        <v>675</v>
      </c>
      <c r="Z97" s="18" t="s">
        <v>803</v>
      </c>
      <c r="AA97" s="18">
        <v>10</v>
      </c>
      <c r="AC97" s="28" t="s">
        <v>2413</v>
      </c>
      <c r="AD97" s="28" t="s">
        <v>2439</v>
      </c>
      <c r="AE97" s="28" t="s">
        <v>135</v>
      </c>
      <c r="AF97" s="28" t="s">
        <v>2421</v>
      </c>
      <c r="AG97" s="28" t="s">
        <v>2422</v>
      </c>
      <c r="AH97" s="28" t="s">
        <v>14</v>
      </c>
      <c r="AI97" s="28" t="s">
        <v>2343</v>
      </c>
      <c r="AJ97" s="28" t="s">
        <v>2338</v>
      </c>
      <c r="AK97" s="28" t="s">
        <v>16</v>
      </c>
      <c r="AL97" s="28" t="s">
        <v>2298</v>
      </c>
      <c r="AM97" s="114"/>
    </row>
    <row r="98" spans="7:39">
      <c r="G98" s="27">
        <v>1994</v>
      </c>
      <c r="H98" s="27" t="s">
        <v>135</v>
      </c>
      <c r="I98" s="27" t="s">
        <v>8</v>
      </c>
      <c r="J98" s="27" t="s">
        <v>17</v>
      </c>
      <c r="K98" s="27" t="s">
        <v>17</v>
      </c>
      <c r="L98" s="27" t="s">
        <v>235</v>
      </c>
      <c r="M98" s="27" t="s">
        <v>226</v>
      </c>
      <c r="N98" s="27">
        <v>11</v>
      </c>
      <c r="O98" s="27">
        <v>6</v>
      </c>
      <c r="P98" s="27" t="s">
        <v>133</v>
      </c>
      <c r="Q98" s="27" t="s">
        <v>111</v>
      </c>
      <c r="R98" s="27" t="s">
        <v>111</v>
      </c>
      <c r="S98" s="27" t="s">
        <v>112</v>
      </c>
      <c r="U98" s="18">
        <v>96</v>
      </c>
      <c r="V98" s="18" t="s">
        <v>804</v>
      </c>
      <c r="W98" s="18">
        <v>22</v>
      </c>
      <c r="X98" s="18" t="s">
        <v>530</v>
      </c>
      <c r="Y98" s="18" t="s">
        <v>675</v>
      </c>
      <c r="Z98" s="18" t="s">
        <v>805</v>
      </c>
      <c r="AA98" s="18">
        <v>17</v>
      </c>
      <c r="AC98" s="28" t="s">
        <v>2413</v>
      </c>
      <c r="AD98" s="28" t="s">
        <v>2440</v>
      </c>
      <c r="AE98" s="28" t="s">
        <v>135</v>
      </c>
      <c r="AF98" s="28" t="s">
        <v>2419</v>
      </c>
      <c r="AG98" s="28" t="s">
        <v>2420</v>
      </c>
      <c r="AH98" s="28" t="s">
        <v>24</v>
      </c>
      <c r="AI98" s="28" t="s">
        <v>2305</v>
      </c>
      <c r="AJ98" s="28" t="s">
        <v>2302</v>
      </c>
      <c r="AK98" s="28" t="s">
        <v>7</v>
      </c>
      <c r="AL98" s="28" t="s">
        <v>2298</v>
      </c>
      <c r="AM98" s="114"/>
    </row>
    <row r="99" spans="7:39">
      <c r="G99" s="27">
        <v>1994</v>
      </c>
      <c r="H99" s="27" t="s">
        <v>135</v>
      </c>
      <c r="I99" s="27" t="s">
        <v>8</v>
      </c>
      <c r="J99" s="27" t="s">
        <v>17</v>
      </c>
      <c r="K99" s="27" t="s">
        <v>8</v>
      </c>
      <c r="L99" s="27" t="s">
        <v>236</v>
      </c>
      <c r="M99" s="27" t="s">
        <v>228</v>
      </c>
      <c r="N99" s="27">
        <v>12</v>
      </c>
      <c r="O99" s="27">
        <v>6</v>
      </c>
      <c r="P99" s="27" t="s">
        <v>237</v>
      </c>
      <c r="Q99" s="27" t="s">
        <v>131</v>
      </c>
      <c r="R99" s="27" t="s">
        <v>131</v>
      </c>
      <c r="S99" s="27" t="s">
        <v>124</v>
      </c>
      <c r="U99" s="18">
        <v>97</v>
      </c>
      <c r="V99" s="18" t="s">
        <v>806</v>
      </c>
      <c r="W99" s="18">
        <v>28</v>
      </c>
      <c r="X99" s="18" t="s">
        <v>530</v>
      </c>
      <c r="Y99" s="18" t="s">
        <v>675</v>
      </c>
      <c r="Z99" s="18" t="s">
        <v>777</v>
      </c>
      <c r="AA99" s="18">
        <v>26</v>
      </c>
      <c r="AC99" s="28" t="s">
        <v>2413</v>
      </c>
      <c r="AD99" s="28" t="s">
        <v>2440</v>
      </c>
      <c r="AE99" s="28" t="s">
        <v>135</v>
      </c>
      <c r="AF99" s="28" t="s">
        <v>2415</v>
      </c>
      <c r="AG99" s="28" t="s">
        <v>2416</v>
      </c>
      <c r="AH99" s="28" t="s">
        <v>15</v>
      </c>
      <c r="AI99" s="28" t="s">
        <v>2296</v>
      </c>
      <c r="AJ99" s="28" t="s">
        <v>2305</v>
      </c>
      <c r="AK99" s="28" t="s">
        <v>12</v>
      </c>
      <c r="AL99" s="28" t="s">
        <v>2298</v>
      </c>
      <c r="AM99" s="114"/>
    </row>
    <row r="100" spans="7:39">
      <c r="G100" s="27">
        <v>1994</v>
      </c>
      <c r="H100" s="27" t="s">
        <v>238</v>
      </c>
      <c r="I100" s="27" t="s">
        <v>12</v>
      </c>
      <c r="J100" s="27" t="s">
        <v>20</v>
      </c>
      <c r="K100" s="27" t="s">
        <v>20</v>
      </c>
      <c r="L100" s="27" t="s">
        <v>197</v>
      </c>
      <c r="M100" s="27" t="s">
        <v>239</v>
      </c>
      <c r="N100" s="27">
        <v>1</v>
      </c>
      <c r="O100" s="27">
        <v>1</v>
      </c>
      <c r="P100" s="27" t="s">
        <v>110</v>
      </c>
      <c r="Q100" s="27" t="s">
        <v>111</v>
      </c>
      <c r="R100" s="27" t="s">
        <v>111</v>
      </c>
      <c r="S100" s="27" t="s">
        <v>160</v>
      </c>
      <c r="U100" s="18">
        <v>98</v>
      </c>
      <c r="V100" s="18" t="s">
        <v>807</v>
      </c>
      <c r="W100" s="18">
        <v>33</v>
      </c>
      <c r="X100" s="18" t="s">
        <v>530</v>
      </c>
      <c r="Y100" s="18" t="s">
        <v>679</v>
      </c>
      <c r="Z100" s="18" t="s">
        <v>808</v>
      </c>
      <c r="AA100" s="18">
        <v>7</v>
      </c>
      <c r="AC100" s="28" t="s">
        <v>2413</v>
      </c>
      <c r="AD100" s="28" t="s">
        <v>2441</v>
      </c>
      <c r="AE100" s="28" t="s">
        <v>106</v>
      </c>
      <c r="AF100" s="28" t="s">
        <v>2427</v>
      </c>
      <c r="AG100" s="28" t="s">
        <v>2428</v>
      </c>
      <c r="AH100" s="28" t="s">
        <v>24</v>
      </c>
      <c r="AI100" s="28" t="s">
        <v>2316</v>
      </c>
      <c r="AJ100" s="28" t="s">
        <v>2297</v>
      </c>
      <c r="AK100" s="28" t="s">
        <v>14</v>
      </c>
      <c r="AL100" s="28" t="s">
        <v>2298</v>
      </c>
      <c r="AM100" s="114"/>
    </row>
    <row r="101" spans="7:39">
      <c r="G101" s="27">
        <v>1994</v>
      </c>
      <c r="H101" s="27" t="s">
        <v>238</v>
      </c>
      <c r="I101" s="27" t="s">
        <v>12</v>
      </c>
      <c r="J101" s="27" t="s">
        <v>20</v>
      </c>
      <c r="K101" s="27" t="s">
        <v>12</v>
      </c>
      <c r="L101" s="27" t="s">
        <v>240</v>
      </c>
      <c r="M101" s="27" t="s">
        <v>241</v>
      </c>
      <c r="N101" s="27">
        <v>2</v>
      </c>
      <c r="O101" s="27">
        <v>1</v>
      </c>
      <c r="P101" s="27" t="s">
        <v>110</v>
      </c>
      <c r="Q101" s="27" t="s">
        <v>111</v>
      </c>
      <c r="R101" s="27" t="s">
        <v>111</v>
      </c>
      <c r="S101" s="27" t="s">
        <v>124</v>
      </c>
      <c r="U101" s="18">
        <v>99</v>
      </c>
      <c r="V101" s="18" t="s">
        <v>809</v>
      </c>
      <c r="W101" s="18">
        <v>30</v>
      </c>
      <c r="X101" s="18" t="s">
        <v>530</v>
      </c>
      <c r="Y101" s="18" t="s">
        <v>679</v>
      </c>
      <c r="Z101" s="18" t="s">
        <v>655</v>
      </c>
      <c r="AA101" s="18">
        <v>11</v>
      </c>
      <c r="AC101" s="28" t="s">
        <v>2413</v>
      </c>
      <c r="AD101" s="28" t="s">
        <v>2441</v>
      </c>
      <c r="AE101" s="28" t="s">
        <v>106</v>
      </c>
      <c r="AF101" s="28" t="s">
        <v>2421</v>
      </c>
      <c r="AG101" s="28" t="s">
        <v>2422</v>
      </c>
      <c r="AH101" s="28" t="s">
        <v>15</v>
      </c>
      <c r="AI101" s="28" t="s">
        <v>2296</v>
      </c>
      <c r="AJ101" s="28" t="s">
        <v>2305</v>
      </c>
      <c r="AK101" s="28" t="s">
        <v>11</v>
      </c>
      <c r="AL101" s="28" t="s">
        <v>2442</v>
      </c>
      <c r="AM101" s="114"/>
    </row>
    <row r="102" spans="7:39">
      <c r="G102" s="27">
        <v>1994</v>
      </c>
      <c r="H102" s="27" t="s">
        <v>238</v>
      </c>
      <c r="I102" s="27" t="s">
        <v>12</v>
      </c>
      <c r="J102" s="27" t="s">
        <v>20</v>
      </c>
      <c r="K102" s="27" t="s">
        <v>20</v>
      </c>
      <c r="L102" s="27" t="s">
        <v>242</v>
      </c>
      <c r="M102" s="27" t="s">
        <v>239</v>
      </c>
      <c r="N102" s="27">
        <v>3</v>
      </c>
      <c r="O102" s="27">
        <v>2</v>
      </c>
      <c r="P102" s="27" t="s">
        <v>110</v>
      </c>
      <c r="Q102" s="27" t="s">
        <v>111</v>
      </c>
      <c r="R102" s="27" t="s">
        <v>111</v>
      </c>
      <c r="S102" s="27" t="s">
        <v>112</v>
      </c>
      <c r="U102" s="18">
        <v>100</v>
      </c>
      <c r="V102" s="18" t="s">
        <v>810</v>
      </c>
      <c r="W102" s="18">
        <v>24</v>
      </c>
      <c r="X102" s="18" t="s">
        <v>530</v>
      </c>
      <c r="Y102" s="18" t="s">
        <v>679</v>
      </c>
      <c r="Z102" s="18" t="s">
        <v>811</v>
      </c>
      <c r="AA102" s="18">
        <v>25</v>
      </c>
      <c r="AC102" s="28" t="s">
        <v>2413</v>
      </c>
      <c r="AD102" s="28" t="s">
        <v>2443</v>
      </c>
      <c r="AE102" s="28" t="s">
        <v>2350</v>
      </c>
      <c r="AF102" s="28" t="s">
        <v>2417</v>
      </c>
      <c r="AG102" s="28" t="s">
        <v>2418</v>
      </c>
      <c r="AH102" s="28" t="s">
        <v>14</v>
      </c>
      <c r="AI102" s="28" t="s">
        <v>2301</v>
      </c>
      <c r="AJ102" s="28" t="s">
        <v>2297</v>
      </c>
      <c r="AK102" s="28" t="s">
        <v>11</v>
      </c>
      <c r="AL102" s="28" t="s">
        <v>2298</v>
      </c>
      <c r="AM102" s="114"/>
    </row>
    <row r="103" spans="7:39">
      <c r="G103" s="27">
        <v>1994</v>
      </c>
      <c r="H103" s="27" t="s">
        <v>238</v>
      </c>
      <c r="I103" s="27" t="s">
        <v>12</v>
      </c>
      <c r="J103" s="27" t="s">
        <v>20</v>
      </c>
      <c r="K103" s="27" t="s">
        <v>12</v>
      </c>
      <c r="L103" s="27" t="s">
        <v>243</v>
      </c>
      <c r="M103" s="27" t="s">
        <v>241</v>
      </c>
      <c r="N103" s="27">
        <v>4</v>
      </c>
      <c r="O103" s="27">
        <v>2</v>
      </c>
      <c r="P103" s="27" t="s">
        <v>115</v>
      </c>
      <c r="Q103" s="27" t="s">
        <v>111</v>
      </c>
      <c r="R103" s="27" t="s">
        <v>111</v>
      </c>
      <c r="S103" s="27" t="s">
        <v>112</v>
      </c>
      <c r="U103" s="18">
        <v>101</v>
      </c>
      <c r="V103" s="18" t="s">
        <v>812</v>
      </c>
      <c r="W103" s="18">
        <v>25</v>
      </c>
      <c r="X103" s="18" t="s">
        <v>530</v>
      </c>
      <c r="Y103" s="18" t="s">
        <v>681</v>
      </c>
      <c r="Z103" s="18" t="s">
        <v>813</v>
      </c>
      <c r="AA103" s="18">
        <v>19</v>
      </c>
      <c r="AC103" s="28" t="s">
        <v>2413</v>
      </c>
      <c r="AD103" s="28" t="s">
        <v>2444</v>
      </c>
      <c r="AE103" s="28" t="s">
        <v>238</v>
      </c>
      <c r="AF103" s="28" t="s">
        <v>2415</v>
      </c>
      <c r="AG103" s="28" t="s">
        <v>2416</v>
      </c>
      <c r="AH103" s="28" t="s">
        <v>24</v>
      </c>
      <c r="AI103" s="28" t="s">
        <v>2301</v>
      </c>
      <c r="AJ103" s="28" t="s">
        <v>2305</v>
      </c>
      <c r="AK103" s="28" t="s">
        <v>15</v>
      </c>
      <c r="AL103" s="28" t="s">
        <v>2298</v>
      </c>
      <c r="AM103" s="114"/>
    </row>
    <row r="104" spans="7:39">
      <c r="G104" s="27">
        <v>1994</v>
      </c>
      <c r="H104" s="27" t="s">
        <v>238</v>
      </c>
      <c r="I104" s="27" t="s">
        <v>12</v>
      </c>
      <c r="J104" s="27" t="s">
        <v>20</v>
      </c>
      <c r="K104" s="27" t="s">
        <v>20</v>
      </c>
      <c r="L104" s="27" t="s">
        <v>244</v>
      </c>
      <c r="M104" s="27" t="s">
        <v>239</v>
      </c>
      <c r="N104" s="27">
        <v>5</v>
      </c>
      <c r="O104" s="27">
        <v>3</v>
      </c>
      <c r="P104" s="27" t="s">
        <v>117</v>
      </c>
      <c r="Q104" s="27" t="s">
        <v>111</v>
      </c>
      <c r="R104" s="27" t="s">
        <v>111</v>
      </c>
      <c r="S104" s="27" t="s">
        <v>112</v>
      </c>
      <c r="U104" s="18">
        <v>102</v>
      </c>
      <c r="V104" s="18" t="s">
        <v>814</v>
      </c>
      <c r="W104" s="18">
        <v>24</v>
      </c>
      <c r="X104" s="18" t="s">
        <v>530</v>
      </c>
      <c r="Y104" s="18" t="s">
        <v>681</v>
      </c>
      <c r="Z104" s="18" t="s">
        <v>815</v>
      </c>
      <c r="AA104" s="18">
        <v>20</v>
      </c>
      <c r="AC104" s="28" t="s">
        <v>2445</v>
      </c>
      <c r="AD104" s="28" t="s">
        <v>2446</v>
      </c>
      <c r="AE104" s="28" t="s">
        <v>2307</v>
      </c>
      <c r="AF104" s="28" t="s">
        <v>2447</v>
      </c>
      <c r="AG104" s="28" t="s">
        <v>2448</v>
      </c>
      <c r="AH104" s="28" t="s">
        <v>17</v>
      </c>
      <c r="AI104" s="28" t="s">
        <v>2301</v>
      </c>
      <c r="AJ104" s="28" t="s">
        <v>2302</v>
      </c>
      <c r="AK104" s="28" t="s">
        <v>28</v>
      </c>
      <c r="AL104" s="28" t="s">
        <v>2298</v>
      </c>
      <c r="AM104" s="114"/>
    </row>
    <row r="105" spans="7:39">
      <c r="G105" s="27">
        <v>1994</v>
      </c>
      <c r="H105" s="27" t="s">
        <v>238</v>
      </c>
      <c r="I105" s="27" t="s">
        <v>12</v>
      </c>
      <c r="J105" s="27" t="s">
        <v>20</v>
      </c>
      <c r="K105" s="27" t="s">
        <v>12</v>
      </c>
      <c r="L105" s="27" t="s">
        <v>158</v>
      </c>
      <c r="M105" s="27" t="s">
        <v>241</v>
      </c>
      <c r="N105" s="27">
        <v>6</v>
      </c>
      <c r="O105" s="27">
        <v>3</v>
      </c>
      <c r="P105" s="27" t="s">
        <v>156</v>
      </c>
      <c r="Q105" s="27" t="s">
        <v>111</v>
      </c>
      <c r="R105" s="27" t="s">
        <v>111</v>
      </c>
      <c r="S105" s="27" t="s">
        <v>112</v>
      </c>
      <c r="U105" s="18">
        <v>103</v>
      </c>
      <c r="V105" s="18" t="s">
        <v>816</v>
      </c>
      <c r="W105" s="18">
        <v>28</v>
      </c>
      <c r="X105" s="18" t="s">
        <v>530</v>
      </c>
      <c r="Y105" s="18" t="s">
        <v>683</v>
      </c>
      <c r="Z105" s="18" t="s">
        <v>779</v>
      </c>
      <c r="AA105" s="18">
        <v>9</v>
      </c>
      <c r="AC105" s="28" t="s">
        <v>2445</v>
      </c>
      <c r="AD105" s="28" t="s">
        <v>2449</v>
      </c>
      <c r="AE105" s="28" t="s">
        <v>2299</v>
      </c>
      <c r="AF105" s="28" t="s">
        <v>2450</v>
      </c>
      <c r="AG105" s="28" t="s">
        <v>2451</v>
      </c>
      <c r="AH105" s="28" t="s">
        <v>26</v>
      </c>
      <c r="AI105" s="28" t="s">
        <v>2305</v>
      </c>
      <c r="AJ105" s="28" t="s">
        <v>2305</v>
      </c>
      <c r="AK105" s="28" t="s">
        <v>23</v>
      </c>
      <c r="AL105" s="28" t="s">
        <v>2298</v>
      </c>
      <c r="AM105" s="114"/>
    </row>
    <row r="106" spans="7:39">
      <c r="G106" s="27">
        <v>1994</v>
      </c>
      <c r="H106" s="27" t="s">
        <v>238</v>
      </c>
      <c r="I106" s="27" t="s">
        <v>12</v>
      </c>
      <c r="J106" s="27" t="s">
        <v>20</v>
      </c>
      <c r="K106" s="27" t="s">
        <v>20</v>
      </c>
      <c r="L106" s="27" t="s">
        <v>245</v>
      </c>
      <c r="M106" s="27" t="s">
        <v>239</v>
      </c>
      <c r="N106" s="27">
        <v>7</v>
      </c>
      <c r="O106" s="27">
        <v>4</v>
      </c>
      <c r="P106" s="27" t="s">
        <v>121</v>
      </c>
      <c r="Q106" s="27" t="s">
        <v>111</v>
      </c>
      <c r="R106" s="27" t="s">
        <v>111</v>
      </c>
      <c r="S106" s="27" t="s">
        <v>124</v>
      </c>
      <c r="U106" s="18">
        <v>104</v>
      </c>
      <c r="V106" s="18" t="s">
        <v>817</v>
      </c>
      <c r="W106" s="18">
        <v>25</v>
      </c>
      <c r="X106" s="18" t="s">
        <v>530</v>
      </c>
      <c r="Y106" s="18" t="s">
        <v>683</v>
      </c>
      <c r="Z106" s="18" t="s">
        <v>818</v>
      </c>
      <c r="AA106" s="18">
        <v>18</v>
      </c>
      <c r="AC106" s="28" t="s">
        <v>2445</v>
      </c>
      <c r="AD106" s="28" t="s">
        <v>2449</v>
      </c>
      <c r="AE106" s="28" t="s">
        <v>2293</v>
      </c>
      <c r="AF106" s="28" t="s">
        <v>2452</v>
      </c>
      <c r="AG106" s="28" t="s">
        <v>2453</v>
      </c>
      <c r="AH106" s="28" t="s">
        <v>9</v>
      </c>
      <c r="AI106" s="28" t="s">
        <v>2297</v>
      </c>
      <c r="AJ106" s="28" t="s">
        <v>2301</v>
      </c>
      <c r="AK106" s="28" t="s">
        <v>24</v>
      </c>
      <c r="AL106" s="28" t="s">
        <v>2298</v>
      </c>
      <c r="AM106" s="114"/>
    </row>
    <row r="107" spans="7:39">
      <c r="G107" s="27">
        <v>1994</v>
      </c>
      <c r="H107" s="27" t="s">
        <v>238</v>
      </c>
      <c r="I107" s="27" t="s">
        <v>12</v>
      </c>
      <c r="J107" s="27" t="s">
        <v>20</v>
      </c>
      <c r="K107" s="27" t="s">
        <v>12</v>
      </c>
      <c r="L107" s="27" t="s">
        <v>246</v>
      </c>
      <c r="M107" s="27" t="s">
        <v>241</v>
      </c>
      <c r="N107" s="27">
        <v>8</v>
      </c>
      <c r="O107" s="27">
        <v>4</v>
      </c>
      <c r="P107" s="27" t="s">
        <v>121</v>
      </c>
      <c r="Q107" s="27" t="s">
        <v>111</v>
      </c>
      <c r="R107" s="27" t="s">
        <v>111</v>
      </c>
      <c r="S107" s="27" t="s">
        <v>112</v>
      </c>
      <c r="U107" s="18">
        <v>105</v>
      </c>
      <c r="V107" s="18" t="s">
        <v>819</v>
      </c>
      <c r="W107" s="18">
        <v>30</v>
      </c>
      <c r="X107" s="18" t="s">
        <v>78</v>
      </c>
      <c r="Y107" s="18" t="s">
        <v>642</v>
      </c>
      <c r="Z107" s="18" t="s">
        <v>820</v>
      </c>
      <c r="AA107" s="18">
        <v>1</v>
      </c>
      <c r="AC107" s="28" t="s">
        <v>2445</v>
      </c>
      <c r="AD107" s="28" t="s">
        <v>2449</v>
      </c>
      <c r="AE107" s="28" t="s">
        <v>2307</v>
      </c>
      <c r="AF107" s="28" t="s">
        <v>2454</v>
      </c>
      <c r="AG107" s="28" t="s">
        <v>2455</v>
      </c>
      <c r="AH107" s="28" t="s">
        <v>15</v>
      </c>
      <c r="AI107" s="28" t="s">
        <v>2297</v>
      </c>
      <c r="AJ107" s="28" t="s">
        <v>2297</v>
      </c>
      <c r="AK107" s="28" t="s">
        <v>29</v>
      </c>
      <c r="AL107" s="28" t="s">
        <v>2298</v>
      </c>
      <c r="AM107" s="114"/>
    </row>
    <row r="108" spans="7:39">
      <c r="G108" s="27">
        <v>1994</v>
      </c>
      <c r="H108" s="27" t="s">
        <v>238</v>
      </c>
      <c r="I108" s="27" t="s">
        <v>12</v>
      </c>
      <c r="J108" s="27" t="s">
        <v>20</v>
      </c>
      <c r="K108" s="27" t="s">
        <v>20</v>
      </c>
      <c r="L108" s="27" t="s">
        <v>199</v>
      </c>
      <c r="M108" s="27" t="s">
        <v>239</v>
      </c>
      <c r="N108" s="27">
        <v>9</v>
      </c>
      <c r="O108" s="27">
        <v>5</v>
      </c>
      <c r="P108" s="27" t="s">
        <v>159</v>
      </c>
      <c r="Q108" s="27" t="s">
        <v>131</v>
      </c>
      <c r="R108" s="27" t="s">
        <v>131</v>
      </c>
      <c r="S108" s="27" t="s">
        <v>160</v>
      </c>
      <c r="U108" s="18">
        <v>106</v>
      </c>
      <c r="V108" s="18" t="s">
        <v>821</v>
      </c>
      <c r="W108" s="18">
        <v>18</v>
      </c>
      <c r="X108" s="18" t="s">
        <v>78</v>
      </c>
      <c r="Y108" s="18" t="s">
        <v>642</v>
      </c>
      <c r="Z108" s="18" t="s">
        <v>822</v>
      </c>
      <c r="AA108" s="18">
        <v>12</v>
      </c>
      <c r="AC108" s="28" t="s">
        <v>2445</v>
      </c>
      <c r="AD108" s="28" t="s">
        <v>2449</v>
      </c>
      <c r="AE108" s="28" t="s">
        <v>2304</v>
      </c>
      <c r="AF108" s="28" t="s">
        <v>2456</v>
      </c>
      <c r="AG108" s="28" t="s">
        <v>2457</v>
      </c>
      <c r="AH108" s="28" t="s">
        <v>5</v>
      </c>
      <c r="AI108" s="28" t="s">
        <v>2343</v>
      </c>
      <c r="AJ108" s="28" t="s">
        <v>2301</v>
      </c>
      <c r="AK108" s="28" t="s">
        <v>13</v>
      </c>
      <c r="AL108" s="28" t="s">
        <v>2298</v>
      </c>
      <c r="AM108" s="114"/>
    </row>
    <row r="109" spans="7:39">
      <c r="G109" s="27">
        <v>1998</v>
      </c>
      <c r="H109" s="27" t="s">
        <v>170</v>
      </c>
      <c r="I109" s="27" t="s">
        <v>9</v>
      </c>
      <c r="J109" s="27" t="s">
        <v>23</v>
      </c>
      <c r="K109" s="27" t="s">
        <v>23</v>
      </c>
      <c r="L109" s="27" t="s">
        <v>247</v>
      </c>
      <c r="M109" s="27" t="s">
        <v>248</v>
      </c>
      <c r="N109" s="27">
        <v>1</v>
      </c>
      <c r="O109" s="27">
        <v>1</v>
      </c>
      <c r="P109" s="27" t="s">
        <v>110</v>
      </c>
      <c r="Q109" s="27" t="s">
        <v>111</v>
      </c>
      <c r="R109" s="27" t="s">
        <v>111</v>
      </c>
      <c r="S109" s="27" t="s">
        <v>112</v>
      </c>
      <c r="U109" s="18">
        <v>107</v>
      </c>
      <c r="V109" s="18" t="s">
        <v>823</v>
      </c>
      <c r="W109" s="18">
        <v>27</v>
      </c>
      <c r="X109" s="18" t="s">
        <v>78</v>
      </c>
      <c r="Y109" s="18" t="s">
        <v>642</v>
      </c>
      <c r="Z109" s="18" t="s">
        <v>824</v>
      </c>
      <c r="AA109" s="18">
        <v>22</v>
      </c>
      <c r="AC109" s="28" t="s">
        <v>2445</v>
      </c>
      <c r="AD109" s="28" t="s">
        <v>2449</v>
      </c>
      <c r="AE109" s="28" t="s">
        <v>2304</v>
      </c>
      <c r="AF109" s="28" t="s">
        <v>2458</v>
      </c>
      <c r="AG109" s="28" t="s">
        <v>2459</v>
      </c>
      <c r="AH109" s="28" t="s">
        <v>7</v>
      </c>
      <c r="AI109" s="28" t="s">
        <v>2297</v>
      </c>
      <c r="AJ109" s="28" t="s">
        <v>2297</v>
      </c>
      <c r="AK109" s="28" t="s">
        <v>39</v>
      </c>
      <c r="AL109" s="28" t="s">
        <v>2298</v>
      </c>
      <c r="AM109" s="114"/>
    </row>
    <row r="110" spans="7:39">
      <c r="G110" s="27">
        <v>1998</v>
      </c>
      <c r="H110" s="27" t="s">
        <v>170</v>
      </c>
      <c r="I110" s="27" t="s">
        <v>9</v>
      </c>
      <c r="J110" s="27" t="s">
        <v>23</v>
      </c>
      <c r="K110" s="27" t="s">
        <v>9</v>
      </c>
      <c r="L110" s="27" t="s">
        <v>249</v>
      </c>
      <c r="M110" s="27" t="s">
        <v>248</v>
      </c>
      <c r="N110" s="27">
        <v>2</v>
      </c>
      <c r="O110" s="27">
        <v>1</v>
      </c>
      <c r="P110" s="27" t="s">
        <v>115</v>
      </c>
      <c r="Q110" s="27" t="s">
        <v>111</v>
      </c>
      <c r="R110" s="27" t="s">
        <v>111</v>
      </c>
      <c r="S110" s="27" t="s">
        <v>112</v>
      </c>
      <c r="U110" s="18">
        <v>108</v>
      </c>
      <c r="V110" s="18" t="s">
        <v>825</v>
      </c>
      <c r="W110" s="18">
        <v>28</v>
      </c>
      <c r="X110" s="18" t="s">
        <v>78</v>
      </c>
      <c r="Y110" s="18" t="s">
        <v>649</v>
      </c>
      <c r="Z110" s="18" t="s">
        <v>826</v>
      </c>
      <c r="AA110" s="18">
        <v>2</v>
      </c>
      <c r="AC110" s="28" t="s">
        <v>2445</v>
      </c>
      <c r="AD110" s="28" t="s">
        <v>2449</v>
      </c>
      <c r="AE110" s="28" t="s">
        <v>2299</v>
      </c>
      <c r="AF110" s="28" t="s">
        <v>2460</v>
      </c>
      <c r="AG110" s="28" t="s">
        <v>2461</v>
      </c>
      <c r="AH110" s="28" t="s">
        <v>12</v>
      </c>
      <c r="AI110" s="28" t="s">
        <v>2301</v>
      </c>
      <c r="AJ110" s="28" t="s">
        <v>2302</v>
      </c>
      <c r="AK110" s="28" t="s">
        <v>14</v>
      </c>
      <c r="AL110" s="28" t="s">
        <v>2298</v>
      </c>
      <c r="AM110" s="114"/>
    </row>
    <row r="111" spans="7:39">
      <c r="G111" s="27">
        <v>1998</v>
      </c>
      <c r="H111" s="27" t="s">
        <v>170</v>
      </c>
      <c r="I111" s="27" t="s">
        <v>9</v>
      </c>
      <c r="J111" s="27" t="s">
        <v>23</v>
      </c>
      <c r="K111" s="27" t="s">
        <v>23</v>
      </c>
      <c r="L111" s="27" t="s">
        <v>250</v>
      </c>
      <c r="M111" s="27" t="s">
        <v>248</v>
      </c>
      <c r="N111" s="27">
        <v>3</v>
      </c>
      <c r="O111" s="27">
        <v>2</v>
      </c>
      <c r="P111" s="27" t="s">
        <v>117</v>
      </c>
      <c r="Q111" s="27" t="s">
        <v>111</v>
      </c>
      <c r="R111" s="27" t="s">
        <v>111</v>
      </c>
      <c r="S111" s="27" t="s">
        <v>124</v>
      </c>
      <c r="U111" s="18">
        <v>109</v>
      </c>
      <c r="V111" s="18" t="s">
        <v>827</v>
      </c>
      <c r="W111" s="18">
        <v>27</v>
      </c>
      <c r="X111" s="18" t="s">
        <v>78</v>
      </c>
      <c r="Y111" s="18" t="s">
        <v>649</v>
      </c>
      <c r="Z111" s="18" t="s">
        <v>828</v>
      </c>
      <c r="AA111" s="18">
        <v>3</v>
      </c>
      <c r="AC111" s="28" t="s">
        <v>2445</v>
      </c>
      <c r="AD111" s="28" t="s">
        <v>2449</v>
      </c>
      <c r="AE111" s="28" t="s">
        <v>2293</v>
      </c>
      <c r="AF111" s="28" t="s">
        <v>2462</v>
      </c>
      <c r="AG111" s="28" t="s">
        <v>2463</v>
      </c>
      <c r="AH111" s="28" t="s">
        <v>27</v>
      </c>
      <c r="AI111" s="28" t="s">
        <v>2297</v>
      </c>
      <c r="AJ111" s="28" t="s">
        <v>2302</v>
      </c>
      <c r="AK111" s="28" t="s">
        <v>21</v>
      </c>
      <c r="AL111" s="28" t="s">
        <v>2298</v>
      </c>
      <c r="AM111" s="114"/>
    </row>
    <row r="112" spans="7:39">
      <c r="G112" s="27">
        <v>1998</v>
      </c>
      <c r="H112" s="27" t="s">
        <v>170</v>
      </c>
      <c r="I112" s="27" t="s">
        <v>9</v>
      </c>
      <c r="J112" s="27" t="s">
        <v>23</v>
      </c>
      <c r="K112" s="27" t="s">
        <v>9</v>
      </c>
      <c r="L112" s="27" t="s">
        <v>251</v>
      </c>
      <c r="M112" s="27" t="s">
        <v>252</v>
      </c>
      <c r="N112" s="27">
        <v>4</v>
      </c>
      <c r="O112" s="27">
        <v>2</v>
      </c>
      <c r="P112" s="27" t="s">
        <v>117</v>
      </c>
      <c r="Q112" s="27" t="s">
        <v>111</v>
      </c>
      <c r="R112" s="27" t="s">
        <v>111</v>
      </c>
      <c r="S112" s="27" t="s">
        <v>124</v>
      </c>
      <c r="U112" s="18">
        <v>110</v>
      </c>
      <c r="V112" s="18" t="s">
        <v>829</v>
      </c>
      <c r="W112" s="18">
        <v>23</v>
      </c>
      <c r="X112" s="18" t="s">
        <v>78</v>
      </c>
      <c r="Y112" s="18" t="s">
        <v>649</v>
      </c>
      <c r="Z112" s="18" t="s">
        <v>830</v>
      </c>
      <c r="AA112" s="18">
        <v>4</v>
      </c>
      <c r="AC112" s="28" t="s">
        <v>2445</v>
      </c>
      <c r="AD112" s="28" t="s">
        <v>2464</v>
      </c>
      <c r="AE112" s="28" t="s">
        <v>2299</v>
      </c>
      <c r="AF112" s="28" t="s">
        <v>2450</v>
      </c>
      <c r="AG112" s="28" t="s">
        <v>2451</v>
      </c>
      <c r="AH112" s="28" t="s">
        <v>12</v>
      </c>
      <c r="AI112" s="28" t="s">
        <v>2302</v>
      </c>
      <c r="AJ112" s="28" t="s">
        <v>2302</v>
      </c>
      <c r="AK112" s="28" t="s">
        <v>23</v>
      </c>
      <c r="AL112" s="28" t="s">
        <v>2298</v>
      </c>
      <c r="AM112" s="114"/>
    </row>
    <row r="113" spans="7:39">
      <c r="G113" s="27">
        <v>1998</v>
      </c>
      <c r="H113" s="27" t="s">
        <v>170</v>
      </c>
      <c r="I113" s="27" t="s">
        <v>9</v>
      </c>
      <c r="J113" s="27" t="s">
        <v>23</v>
      </c>
      <c r="K113" s="27" t="s">
        <v>23</v>
      </c>
      <c r="L113" s="27" t="s">
        <v>253</v>
      </c>
      <c r="M113" s="27" t="s">
        <v>248</v>
      </c>
      <c r="N113" s="27">
        <v>5</v>
      </c>
      <c r="O113" s="27">
        <v>3</v>
      </c>
      <c r="P113" s="27" t="s">
        <v>117</v>
      </c>
      <c r="Q113" s="27" t="s">
        <v>111</v>
      </c>
      <c r="R113" s="27" t="s">
        <v>111</v>
      </c>
      <c r="S113" s="27" t="s">
        <v>112</v>
      </c>
      <c r="U113" s="18">
        <v>111</v>
      </c>
      <c r="V113" s="18" t="s">
        <v>831</v>
      </c>
      <c r="W113" s="18">
        <v>29</v>
      </c>
      <c r="X113" s="18" t="s">
        <v>78</v>
      </c>
      <c r="Y113" s="18" t="s">
        <v>649</v>
      </c>
      <c r="Z113" s="18" t="s">
        <v>832</v>
      </c>
      <c r="AA113" s="18">
        <v>18</v>
      </c>
      <c r="AC113" s="28" t="s">
        <v>2445</v>
      </c>
      <c r="AD113" s="28" t="s">
        <v>2464</v>
      </c>
      <c r="AE113" s="28" t="s">
        <v>2307</v>
      </c>
      <c r="AF113" s="28" t="s">
        <v>2447</v>
      </c>
      <c r="AG113" s="28" t="s">
        <v>2448</v>
      </c>
      <c r="AH113" s="28" t="s">
        <v>28</v>
      </c>
      <c r="AI113" s="28" t="s">
        <v>2297</v>
      </c>
      <c r="AJ113" s="28" t="s">
        <v>2297</v>
      </c>
      <c r="AK113" s="28" t="s">
        <v>29</v>
      </c>
      <c r="AL113" s="28" t="s">
        <v>2298</v>
      </c>
      <c r="AM113" s="114"/>
    </row>
    <row r="114" spans="7:39">
      <c r="G114" s="27">
        <v>1998</v>
      </c>
      <c r="H114" s="27" t="s">
        <v>170</v>
      </c>
      <c r="I114" s="27" t="s">
        <v>9</v>
      </c>
      <c r="J114" s="27" t="s">
        <v>23</v>
      </c>
      <c r="K114" s="27" t="s">
        <v>9</v>
      </c>
      <c r="L114" s="27" t="s">
        <v>254</v>
      </c>
      <c r="M114" s="27" t="s">
        <v>252</v>
      </c>
      <c r="N114" s="27">
        <v>6</v>
      </c>
      <c r="O114" s="27">
        <v>3</v>
      </c>
      <c r="P114" s="27" t="s">
        <v>156</v>
      </c>
      <c r="Q114" s="27" t="s">
        <v>111</v>
      </c>
      <c r="R114" s="27" t="s">
        <v>111</v>
      </c>
      <c r="S114" s="27" t="s">
        <v>112</v>
      </c>
      <c r="U114" s="18">
        <v>112</v>
      </c>
      <c r="V114" s="18" t="s">
        <v>833</v>
      </c>
      <c r="W114" s="18">
        <v>28</v>
      </c>
      <c r="X114" s="18" t="s">
        <v>78</v>
      </c>
      <c r="Y114" s="18" t="s">
        <v>649</v>
      </c>
      <c r="Z114" s="18" t="s">
        <v>824</v>
      </c>
      <c r="AA114" s="18">
        <v>21</v>
      </c>
      <c r="AC114" s="28" t="s">
        <v>2445</v>
      </c>
      <c r="AD114" s="28" t="s">
        <v>2464</v>
      </c>
      <c r="AE114" s="28" t="s">
        <v>2304</v>
      </c>
      <c r="AF114" s="28" t="s">
        <v>2456</v>
      </c>
      <c r="AG114" s="28" t="s">
        <v>2457</v>
      </c>
      <c r="AH114" s="28" t="s">
        <v>13</v>
      </c>
      <c r="AI114" s="28" t="s">
        <v>2301</v>
      </c>
      <c r="AJ114" s="28" t="s">
        <v>2305</v>
      </c>
      <c r="AK114" s="28" t="s">
        <v>39</v>
      </c>
      <c r="AL114" s="28" t="s">
        <v>2298</v>
      </c>
      <c r="AM114" s="114"/>
    </row>
    <row r="115" spans="7:39">
      <c r="G115" s="27">
        <v>1998</v>
      </c>
      <c r="H115" s="27" t="s">
        <v>170</v>
      </c>
      <c r="I115" s="27" t="s">
        <v>9</v>
      </c>
      <c r="J115" s="27" t="s">
        <v>23</v>
      </c>
      <c r="K115" s="27" t="s">
        <v>23</v>
      </c>
      <c r="L115" s="27" t="s">
        <v>255</v>
      </c>
      <c r="M115" s="27" t="s">
        <v>248</v>
      </c>
      <c r="N115" s="27">
        <v>7</v>
      </c>
      <c r="O115" s="27">
        <v>4</v>
      </c>
      <c r="P115" s="27" t="s">
        <v>121</v>
      </c>
      <c r="Q115" s="27" t="s">
        <v>111</v>
      </c>
      <c r="R115" s="27" t="s">
        <v>111</v>
      </c>
      <c r="S115" s="27" t="s">
        <v>112</v>
      </c>
      <c r="U115" s="18">
        <v>113</v>
      </c>
      <c r="V115" s="18" t="s">
        <v>834</v>
      </c>
      <c r="W115" s="18">
        <v>20</v>
      </c>
      <c r="X115" s="18" t="s">
        <v>78</v>
      </c>
      <c r="Y115" s="18" t="s">
        <v>649</v>
      </c>
      <c r="Z115" s="18" t="s">
        <v>835</v>
      </c>
      <c r="AA115" s="18">
        <v>24</v>
      </c>
      <c r="AC115" s="28" t="s">
        <v>2445</v>
      </c>
      <c r="AD115" s="28" t="s">
        <v>2464</v>
      </c>
      <c r="AE115" s="28" t="s">
        <v>2304</v>
      </c>
      <c r="AF115" s="28" t="s">
        <v>2458</v>
      </c>
      <c r="AG115" s="28" t="s">
        <v>2459</v>
      </c>
      <c r="AH115" s="28" t="s">
        <v>7</v>
      </c>
      <c r="AI115" s="28" t="s">
        <v>2301</v>
      </c>
      <c r="AJ115" s="28" t="s">
        <v>2305</v>
      </c>
      <c r="AK115" s="28" t="s">
        <v>5</v>
      </c>
      <c r="AL115" s="28" t="s">
        <v>2298</v>
      </c>
      <c r="AM115" s="114"/>
    </row>
    <row r="116" spans="7:39">
      <c r="G116" s="27">
        <v>1998</v>
      </c>
      <c r="H116" s="27" t="s">
        <v>170</v>
      </c>
      <c r="I116" s="27" t="s">
        <v>9</v>
      </c>
      <c r="J116" s="27" t="s">
        <v>23</v>
      </c>
      <c r="K116" s="27" t="s">
        <v>9</v>
      </c>
      <c r="L116" s="27" t="s">
        <v>256</v>
      </c>
      <c r="M116" s="27" t="s">
        <v>252</v>
      </c>
      <c r="N116" s="27">
        <v>8</v>
      </c>
      <c r="O116" s="27">
        <v>4</v>
      </c>
      <c r="P116" s="27" t="s">
        <v>159</v>
      </c>
      <c r="Q116" s="27" t="s">
        <v>111</v>
      </c>
      <c r="R116" s="27" t="s">
        <v>111</v>
      </c>
      <c r="S116" s="27" t="s">
        <v>112</v>
      </c>
      <c r="U116" s="18">
        <v>114</v>
      </c>
      <c r="V116" s="18" t="s">
        <v>836</v>
      </c>
      <c r="W116" s="18">
        <v>32</v>
      </c>
      <c r="X116" s="18" t="s">
        <v>78</v>
      </c>
      <c r="Y116" s="18" t="s">
        <v>657</v>
      </c>
      <c r="Z116" s="18" t="s">
        <v>837</v>
      </c>
      <c r="AA116" s="18">
        <v>5</v>
      </c>
      <c r="AC116" s="28" t="s">
        <v>2445</v>
      </c>
      <c r="AD116" s="28" t="s">
        <v>2464</v>
      </c>
      <c r="AE116" s="28" t="s">
        <v>2299</v>
      </c>
      <c r="AF116" s="28" t="s">
        <v>2465</v>
      </c>
      <c r="AG116" s="28" t="s">
        <v>2466</v>
      </c>
      <c r="AH116" s="28" t="s">
        <v>26</v>
      </c>
      <c r="AI116" s="28" t="s">
        <v>2305</v>
      </c>
      <c r="AJ116" s="28" t="s">
        <v>2302</v>
      </c>
      <c r="AK116" s="28" t="s">
        <v>14</v>
      </c>
      <c r="AL116" s="28" t="s">
        <v>2298</v>
      </c>
      <c r="AM116" s="114"/>
    </row>
    <row r="117" spans="7:39">
      <c r="G117" s="27">
        <v>1998</v>
      </c>
      <c r="H117" s="27" t="s">
        <v>170</v>
      </c>
      <c r="I117" s="27" t="s">
        <v>9</v>
      </c>
      <c r="J117" s="27" t="s">
        <v>23</v>
      </c>
      <c r="K117" s="27" t="s">
        <v>23</v>
      </c>
      <c r="L117" s="27" t="s">
        <v>257</v>
      </c>
      <c r="M117" s="27" t="s">
        <v>248</v>
      </c>
      <c r="N117" s="27">
        <v>9</v>
      </c>
      <c r="O117" s="27">
        <v>5</v>
      </c>
      <c r="P117" s="27" t="s">
        <v>128</v>
      </c>
      <c r="Q117" s="27" t="s">
        <v>131</v>
      </c>
      <c r="R117" s="27" t="s">
        <v>131</v>
      </c>
      <c r="S117" s="27" t="s">
        <v>124</v>
      </c>
      <c r="U117" s="18">
        <v>115</v>
      </c>
      <c r="V117" s="18" t="s">
        <v>838</v>
      </c>
      <c r="W117" s="18">
        <v>23</v>
      </c>
      <c r="X117" s="18" t="s">
        <v>78</v>
      </c>
      <c r="Y117" s="18" t="s">
        <v>661</v>
      </c>
      <c r="Z117" s="18" t="s">
        <v>839</v>
      </c>
      <c r="AA117" s="18">
        <v>7</v>
      </c>
      <c r="AC117" s="28" t="s">
        <v>2445</v>
      </c>
      <c r="AD117" s="28" t="s">
        <v>2464</v>
      </c>
      <c r="AE117" s="28" t="s">
        <v>2293</v>
      </c>
      <c r="AF117" s="28" t="s">
        <v>2467</v>
      </c>
      <c r="AG117" s="28" t="s">
        <v>2468</v>
      </c>
      <c r="AH117" s="28" t="s">
        <v>24</v>
      </c>
      <c r="AI117" s="28" t="s">
        <v>2305</v>
      </c>
      <c r="AJ117" s="28" t="s">
        <v>2305</v>
      </c>
      <c r="AK117" s="28" t="s">
        <v>21</v>
      </c>
      <c r="AL117" s="28" t="s">
        <v>2298</v>
      </c>
      <c r="AM117" s="114"/>
    </row>
    <row r="118" spans="7:39">
      <c r="G118" s="27">
        <v>1998</v>
      </c>
      <c r="H118" s="27" t="s">
        <v>135</v>
      </c>
      <c r="I118" s="27" t="s">
        <v>20</v>
      </c>
      <c r="J118" s="27" t="s">
        <v>5</v>
      </c>
      <c r="K118" s="27" t="s">
        <v>5</v>
      </c>
      <c r="L118" s="27" t="s">
        <v>258</v>
      </c>
      <c r="M118" s="27" t="s">
        <v>241</v>
      </c>
      <c r="N118" s="27">
        <v>1</v>
      </c>
      <c r="O118" s="27">
        <v>1</v>
      </c>
      <c r="P118" s="27" t="s">
        <v>110</v>
      </c>
      <c r="Q118" s="27" t="s">
        <v>111</v>
      </c>
      <c r="R118" s="27" t="s">
        <v>111</v>
      </c>
      <c r="S118" s="27" t="s">
        <v>112</v>
      </c>
      <c r="U118" s="18">
        <v>116</v>
      </c>
      <c r="V118" s="18" t="s">
        <v>840</v>
      </c>
      <c r="W118" s="18">
        <v>23</v>
      </c>
      <c r="X118" s="18" t="s">
        <v>78</v>
      </c>
      <c r="Y118" s="18" t="s">
        <v>664</v>
      </c>
      <c r="Z118" s="18" t="s">
        <v>841</v>
      </c>
      <c r="AA118" s="18">
        <v>6</v>
      </c>
      <c r="AC118" s="28" t="s">
        <v>2445</v>
      </c>
      <c r="AD118" s="28" t="s">
        <v>2464</v>
      </c>
      <c r="AE118" s="28" t="s">
        <v>2293</v>
      </c>
      <c r="AF118" s="28" t="s">
        <v>2462</v>
      </c>
      <c r="AG118" s="28" t="s">
        <v>2463</v>
      </c>
      <c r="AH118" s="28" t="s">
        <v>9</v>
      </c>
      <c r="AI118" s="28" t="s">
        <v>2301</v>
      </c>
      <c r="AJ118" s="28" t="s">
        <v>2297</v>
      </c>
      <c r="AK118" s="28" t="s">
        <v>27</v>
      </c>
      <c r="AL118" s="28" t="s">
        <v>2298</v>
      </c>
      <c r="AM118" s="114"/>
    </row>
    <row r="119" spans="7:39">
      <c r="G119" s="27">
        <v>1998</v>
      </c>
      <c r="H119" s="27" t="s">
        <v>135</v>
      </c>
      <c r="I119" s="27" t="s">
        <v>20</v>
      </c>
      <c r="J119" s="27" t="s">
        <v>5</v>
      </c>
      <c r="K119" s="27" t="s">
        <v>20</v>
      </c>
      <c r="L119" s="27" t="s">
        <v>199</v>
      </c>
      <c r="M119" s="27" t="s">
        <v>259</v>
      </c>
      <c r="N119" s="27">
        <v>2</v>
      </c>
      <c r="O119" s="27">
        <v>1</v>
      </c>
      <c r="P119" s="27" t="s">
        <v>115</v>
      </c>
      <c r="Q119" s="27" t="s">
        <v>111</v>
      </c>
      <c r="R119" s="27" t="s">
        <v>111</v>
      </c>
      <c r="S119" s="27" t="s">
        <v>112</v>
      </c>
      <c r="U119" s="18">
        <v>117</v>
      </c>
      <c r="V119" s="18" t="s">
        <v>842</v>
      </c>
      <c r="W119" s="18">
        <v>29</v>
      </c>
      <c r="X119" s="18" t="s">
        <v>78</v>
      </c>
      <c r="Y119" s="18" t="s">
        <v>664</v>
      </c>
      <c r="Z119" s="18" t="s">
        <v>843</v>
      </c>
      <c r="AA119" s="18">
        <v>14</v>
      </c>
      <c r="AC119" s="28" t="s">
        <v>2445</v>
      </c>
      <c r="AD119" s="28" t="s">
        <v>2469</v>
      </c>
      <c r="AE119" s="28" t="s">
        <v>2307</v>
      </c>
      <c r="AF119" s="28" t="s">
        <v>2447</v>
      </c>
      <c r="AG119" s="28" t="s">
        <v>2448</v>
      </c>
      <c r="AH119" s="28" t="s">
        <v>17</v>
      </c>
      <c r="AI119" s="28" t="s">
        <v>2305</v>
      </c>
      <c r="AJ119" s="28" t="s">
        <v>2297</v>
      </c>
      <c r="AK119" s="28" t="s">
        <v>15</v>
      </c>
      <c r="AL119" s="28" t="s">
        <v>2298</v>
      </c>
      <c r="AM119" s="114"/>
    </row>
    <row r="120" spans="7:39">
      <c r="G120" s="27">
        <v>1998</v>
      </c>
      <c r="H120" s="27" t="s">
        <v>135</v>
      </c>
      <c r="I120" s="27" t="s">
        <v>20</v>
      </c>
      <c r="J120" s="27" t="s">
        <v>5</v>
      </c>
      <c r="K120" s="27" t="s">
        <v>5</v>
      </c>
      <c r="L120" s="27" t="s">
        <v>260</v>
      </c>
      <c r="M120" s="27" t="s">
        <v>241</v>
      </c>
      <c r="N120" s="27">
        <v>3</v>
      </c>
      <c r="O120" s="27">
        <v>2</v>
      </c>
      <c r="P120" s="27" t="s">
        <v>117</v>
      </c>
      <c r="Q120" s="27" t="s">
        <v>111</v>
      </c>
      <c r="R120" s="27" t="s">
        <v>111</v>
      </c>
      <c r="S120" s="27" t="s">
        <v>124</v>
      </c>
      <c r="U120" s="18">
        <v>118</v>
      </c>
      <c r="V120" s="18" t="s">
        <v>844</v>
      </c>
      <c r="W120" s="18">
        <v>24</v>
      </c>
      <c r="X120" s="18" t="s">
        <v>78</v>
      </c>
      <c r="Y120" s="18" t="s">
        <v>669</v>
      </c>
      <c r="Z120" s="18" t="s">
        <v>845</v>
      </c>
      <c r="AA120" s="18">
        <v>8</v>
      </c>
      <c r="AC120" s="28" t="s">
        <v>2445</v>
      </c>
      <c r="AD120" s="28" t="s">
        <v>2470</v>
      </c>
      <c r="AE120" s="28" t="s">
        <v>2307</v>
      </c>
      <c r="AF120" s="28" t="s">
        <v>2447</v>
      </c>
      <c r="AG120" s="28" t="s">
        <v>2448</v>
      </c>
      <c r="AH120" s="28" t="s">
        <v>17</v>
      </c>
      <c r="AI120" s="28" t="s">
        <v>2302</v>
      </c>
      <c r="AJ120" s="28" t="s">
        <v>2302</v>
      </c>
      <c r="AK120" s="28" t="s">
        <v>29</v>
      </c>
      <c r="AL120" s="28" t="s">
        <v>2298</v>
      </c>
      <c r="AM120" s="114"/>
    </row>
    <row r="121" spans="7:39">
      <c r="G121" s="27">
        <v>1998</v>
      </c>
      <c r="H121" s="27" t="s">
        <v>135</v>
      </c>
      <c r="I121" s="27" t="s">
        <v>20</v>
      </c>
      <c r="J121" s="27" t="s">
        <v>5</v>
      </c>
      <c r="K121" s="27" t="s">
        <v>20</v>
      </c>
      <c r="L121" s="27" t="s">
        <v>242</v>
      </c>
      <c r="M121" s="27" t="s">
        <v>259</v>
      </c>
      <c r="N121" s="27">
        <v>4</v>
      </c>
      <c r="O121" s="27">
        <v>2</v>
      </c>
      <c r="P121" s="27" t="s">
        <v>117</v>
      </c>
      <c r="Q121" s="27" t="s">
        <v>111</v>
      </c>
      <c r="R121" s="27" t="s">
        <v>111</v>
      </c>
      <c r="S121" s="27" t="s">
        <v>124</v>
      </c>
      <c r="U121" s="18">
        <v>119</v>
      </c>
      <c r="V121" s="18" t="s">
        <v>846</v>
      </c>
      <c r="W121" s="18">
        <v>24</v>
      </c>
      <c r="X121" s="18" t="s">
        <v>78</v>
      </c>
      <c r="Y121" s="18" t="s">
        <v>669</v>
      </c>
      <c r="Z121" s="18" t="s">
        <v>847</v>
      </c>
      <c r="AA121" s="18">
        <v>13</v>
      </c>
      <c r="AC121" s="28" t="s">
        <v>2445</v>
      </c>
      <c r="AD121" s="28" t="s">
        <v>2471</v>
      </c>
      <c r="AE121" s="28" t="s">
        <v>2299</v>
      </c>
      <c r="AF121" s="28" t="s">
        <v>2450</v>
      </c>
      <c r="AG121" s="28" t="s">
        <v>2451</v>
      </c>
      <c r="AH121" s="28" t="s">
        <v>12</v>
      </c>
      <c r="AI121" s="28" t="s">
        <v>2305</v>
      </c>
      <c r="AJ121" s="28" t="s">
        <v>2302</v>
      </c>
      <c r="AK121" s="28" t="s">
        <v>26</v>
      </c>
      <c r="AL121" s="28" t="s">
        <v>2298</v>
      </c>
      <c r="AM121" s="114"/>
    </row>
    <row r="122" spans="7:39">
      <c r="G122" s="27">
        <v>1998</v>
      </c>
      <c r="H122" s="27" t="s">
        <v>135</v>
      </c>
      <c r="I122" s="27" t="s">
        <v>20</v>
      </c>
      <c r="J122" s="27" t="s">
        <v>5</v>
      </c>
      <c r="K122" s="27" t="s">
        <v>5</v>
      </c>
      <c r="L122" s="27" t="s">
        <v>261</v>
      </c>
      <c r="M122" s="27" t="s">
        <v>241</v>
      </c>
      <c r="N122" s="27">
        <v>5</v>
      </c>
      <c r="O122" s="27">
        <v>3</v>
      </c>
      <c r="P122" s="27" t="s">
        <v>117</v>
      </c>
      <c r="Q122" s="27" t="s">
        <v>111</v>
      </c>
      <c r="R122" s="27" t="s">
        <v>111</v>
      </c>
      <c r="S122" s="27" t="s">
        <v>112</v>
      </c>
      <c r="U122" s="18">
        <v>120</v>
      </c>
      <c r="V122" s="18" t="s">
        <v>848</v>
      </c>
      <c r="W122" s="18">
        <v>29</v>
      </c>
      <c r="X122" s="18" t="s">
        <v>78</v>
      </c>
      <c r="Y122" s="18" t="s">
        <v>669</v>
      </c>
      <c r="Z122" s="18" t="s">
        <v>849</v>
      </c>
      <c r="AA122" s="18">
        <v>16</v>
      </c>
      <c r="AC122" s="28" t="s">
        <v>2445</v>
      </c>
      <c r="AD122" s="28" t="s">
        <v>2471</v>
      </c>
      <c r="AE122" s="28" t="s">
        <v>2293</v>
      </c>
      <c r="AF122" s="28" t="s">
        <v>2452</v>
      </c>
      <c r="AG122" s="28" t="s">
        <v>2453</v>
      </c>
      <c r="AH122" s="28" t="s">
        <v>24</v>
      </c>
      <c r="AI122" s="28" t="s">
        <v>2305</v>
      </c>
      <c r="AJ122" s="28" t="s">
        <v>2305</v>
      </c>
      <c r="AK122" s="28" t="s">
        <v>27</v>
      </c>
      <c r="AL122" s="28" t="s">
        <v>2298</v>
      </c>
      <c r="AM122" s="114"/>
    </row>
    <row r="123" spans="7:39">
      <c r="G123" s="27">
        <v>1998</v>
      </c>
      <c r="H123" s="27" t="s">
        <v>135</v>
      </c>
      <c r="I123" s="27" t="s">
        <v>20</v>
      </c>
      <c r="J123" s="27" t="s">
        <v>5</v>
      </c>
      <c r="K123" s="27" t="s">
        <v>20</v>
      </c>
      <c r="L123" s="27" t="s">
        <v>262</v>
      </c>
      <c r="M123" s="27" t="s">
        <v>259</v>
      </c>
      <c r="N123" s="27">
        <v>6</v>
      </c>
      <c r="O123" s="27">
        <v>3</v>
      </c>
      <c r="P123" s="27" t="s">
        <v>156</v>
      </c>
      <c r="Q123" s="27" t="s">
        <v>111</v>
      </c>
      <c r="R123" s="27" t="s">
        <v>111</v>
      </c>
      <c r="S123" s="27" t="s">
        <v>112</v>
      </c>
      <c r="U123" s="18">
        <v>121</v>
      </c>
      <c r="V123" s="18" t="s">
        <v>850</v>
      </c>
      <c r="W123" s="18">
        <v>28</v>
      </c>
      <c r="X123" s="18" t="s">
        <v>78</v>
      </c>
      <c r="Y123" s="18" t="s">
        <v>669</v>
      </c>
      <c r="Z123" s="18" t="s">
        <v>851</v>
      </c>
      <c r="AA123" s="18">
        <v>17</v>
      </c>
      <c r="AC123" s="28" t="s">
        <v>2445</v>
      </c>
      <c r="AD123" s="28" t="s">
        <v>2471</v>
      </c>
      <c r="AE123" s="28" t="s">
        <v>2307</v>
      </c>
      <c r="AF123" s="28" t="s">
        <v>2454</v>
      </c>
      <c r="AG123" s="28" t="s">
        <v>2455</v>
      </c>
      <c r="AH123" s="28" t="s">
        <v>15</v>
      </c>
      <c r="AI123" s="28" t="s">
        <v>2296</v>
      </c>
      <c r="AJ123" s="28" t="s">
        <v>2302</v>
      </c>
      <c r="AK123" s="28" t="s">
        <v>28</v>
      </c>
      <c r="AL123" s="28" t="s">
        <v>2298</v>
      </c>
      <c r="AM123" s="114"/>
    </row>
    <row r="124" spans="7:39">
      <c r="G124" s="27">
        <v>1998</v>
      </c>
      <c r="H124" s="27" t="s">
        <v>135</v>
      </c>
      <c r="I124" s="27" t="s">
        <v>20</v>
      </c>
      <c r="J124" s="27" t="s">
        <v>5</v>
      </c>
      <c r="K124" s="27" t="s">
        <v>5</v>
      </c>
      <c r="L124" s="27" t="s">
        <v>263</v>
      </c>
      <c r="M124" s="27" t="s">
        <v>241</v>
      </c>
      <c r="N124" s="27">
        <v>7</v>
      </c>
      <c r="O124" s="27">
        <v>4</v>
      </c>
      <c r="P124" s="27" t="s">
        <v>121</v>
      </c>
      <c r="Q124" s="27" t="s">
        <v>111</v>
      </c>
      <c r="R124" s="27" t="s">
        <v>111</v>
      </c>
      <c r="S124" s="27" t="s">
        <v>112</v>
      </c>
      <c r="U124" s="18">
        <v>122</v>
      </c>
      <c r="V124" s="18" t="s">
        <v>852</v>
      </c>
      <c r="W124" s="18">
        <v>25</v>
      </c>
      <c r="X124" s="18" t="s">
        <v>78</v>
      </c>
      <c r="Y124" s="18" t="s">
        <v>853</v>
      </c>
      <c r="Z124" s="18" t="s">
        <v>665</v>
      </c>
      <c r="AA124" s="18">
        <v>15</v>
      </c>
      <c r="AC124" s="28" t="s">
        <v>2445</v>
      </c>
      <c r="AD124" s="28" t="s">
        <v>2471</v>
      </c>
      <c r="AE124" s="28" t="s">
        <v>2304</v>
      </c>
      <c r="AF124" s="28" t="s">
        <v>2472</v>
      </c>
      <c r="AG124" s="28" t="s">
        <v>2473</v>
      </c>
      <c r="AH124" s="28" t="s">
        <v>13</v>
      </c>
      <c r="AI124" s="28" t="s">
        <v>2301</v>
      </c>
      <c r="AJ124" s="28" t="s">
        <v>2301</v>
      </c>
      <c r="AK124" s="28" t="s">
        <v>7</v>
      </c>
      <c r="AL124" s="28" t="s">
        <v>2298</v>
      </c>
      <c r="AM124" s="114"/>
    </row>
    <row r="125" spans="7:39">
      <c r="G125" s="27">
        <v>1998</v>
      </c>
      <c r="H125" s="27" t="s">
        <v>135</v>
      </c>
      <c r="I125" s="27" t="s">
        <v>20</v>
      </c>
      <c r="J125" s="27" t="s">
        <v>5</v>
      </c>
      <c r="K125" s="27" t="s">
        <v>20</v>
      </c>
      <c r="L125" s="27" t="s">
        <v>264</v>
      </c>
      <c r="M125" s="27" t="s">
        <v>259</v>
      </c>
      <c r="N125" s="27">
        <v>8</v>
      </c>
      <c r="O125" s="27">
        <v>4</v>
      </c>
      <c r="P125" s="27" t="s">
        <v>159</v>
      </c>
      <c r="Q125" s="27" t="s">
        <v>111</v>
      </c>
      <c r="R125" s="27" t="s">
        <v>111</v>
      </c>
      <c r="S125" s="27" t="s">
        <v>112</v>
      </c>
      <c r="U125" s="18">
        <v>123</v>
      </c>
      <c r="V125" s="18" t="s">
        <v>854</v>
      </c>
      <c r="W125" s="18">
        <v>21</v>
      </c>
      <c r="X125" s="18" t="s">
        <v>78</v>
      </c>
      <c r="Y125" s="18" t="s">
        <v>855</v>
      </c>
      <c r="Z125" s="18" t="s">
        <v>856</v>
      </c>
      <c r="AA125" s="18">
        <v>26</v>
      </c>
      <c r="AC125" s="28" t="s">
        <v>2445</v>
      </c>
      <c r="AD125" s="28" t="s">
        <v>2471</v>
      </c>
      <c r="AE125" s="28" t="s">
        <v>2304</v>
      </c>
      <c r="AF125" s="28" t="s">
        <v>2474</v>
      </c>
      <c r="AG125" s="28" t="s">
        <v>2475</v>
      </c>
      <c r="AH125" s="28" t="s">
        <v>5</v>
      </c>
      <c r="AI125" s="28" t="s">
        <v>2305</v>
      </c>
      <c r="AJ125" s="28" t="s">
        <v>2297</v>
      </c>
      <c r="AK125" s="28" t="s">
        <v>39</v>
      </c>
      <c r="AL125" s="28" t="s">
        <v>2298</v>
      </c>
      <c r="AM125" s="114"/>
    </row>
    <row r="126" spans="7:39">
      <c r="G126" s="27">
        <v>1998</v>
      </c>
      <c r="H126" s="27" t="s">
        <v>135</v>
      </c>
      <c r="I126" s="27" t="s">
        <v>20</v>
      </c>
      <c r="J126" s="27" t="s">
        <v>5</v>
      </c>
      <c r="K126" s="27" t="s">
        <v>5</v>
      </c>
      <c r="L126" s="27" t="s">
        <v>265</v>
      </c>
      <c r="M126" s="27" t="s">
        <v>241</v>
      </c>
      <c r="N126" s="27">
        <v>9</v>
      </c>
      <c r="O126" s="27">
        <v>5</v>
      </c>
      <c r="P126" s="27" t="s">
        <v>128</v>
      </c>
      <c r="Q126" s="27" t="s">
        <v>111</v>
      </c>
      <c r="R126" s="27" t="s">
        <v>111</v>
      </c>
      <c r="S126" s="27" t="s">
        <v>112</v>
      </c>
      <c r="U126" s="18">
        <v>124</v>
      </c>
      <c r="V126" s="18" t="s">
        <v>857</v>
      </c>
      <c r="W126" s="18">
        <v>18</v>
      </c>
      <c r="X126" s="18" t="s">
        <v>78</v>
      </c>
      <c r="Y126" s="18" t="s">
        <v>679</v>
      </c>
      <c r="Z126" s="18" t="s">
        <v>858</v>
      </c>
      <c r="AA126" s="18">
        <v>19</v>
      </c>
      <c r="AC126" s="28" t="s">
        <v>2445</v>
      </c>
      <c r="AD126" s="28" t="s">
        <v>2471</v>
      </c>
      <c r="AE126" s="28" t="s">
        <v>2299</v>
      </c>
      <c r="AF126" s="28" t="s">
        <v>2465</v>
      </c>
      <c r="AG126" s="28" t="s">
        <v>2466</v>
      </c>
      <c r="AH126" s="28" t="s">
        <v>23</v>
      </c>
      <c r="AI126" s="28" t="s">
        <v>2305</v>
      </c>
      <c r="AJ126" s="28" t="s">
        <v>2305</v>
      </c>
      <c r="AK126" s="28" t="s">
        <v>14</v>
      </c>
      <c r="AL126" s="28" t="s">
        <v>2298</v>
      </c>
      <c r="AM126" s="114"/>
    </row>
    <row r="127" spans="7:39">
      <c r="G127" s="27">
        <v>1998</v>
      </c>
      <c r="H127" s="27" t="s">
        <v>135</v>
      </c>
      <c r="I127" s="27" t="s">
        <v>20</v>
      </c>
      <c r="J127" s="27" t="s">
        <v>5</v>
      </c>
      <c r="K127" s="27" t="s">
        <v>20</v>
      </c>
      <c r="L127" s="27" t="s">
        <v>266</v>
      </c>
      <c r="M127" s="27" t="s">
        <v>259</v>
      </c>
      <c r="N127" s="27">
        <v>10</v>
      </c>
      <c r="O127" s="27">
        <v>5</v>
      </c>
      <c r="P127" s="27" t="s">
        <v>204</v>
      </c>
      <c r="Q127" s="27" t="s">
        <v>131</v>
      </c>
      <c r="R127" s="27" t="s">
        <v>131</v>
      </c>
      <c r="S127" s="27" t="s">
        <v>160</v>
      </c>
      <c r="U127" s="18">
        <v>125</v>
      </c>
      <c r="V127" s="18" t="s">
        <v>859</v>
      </c>
      <c r="W127" s="18">
        <v>21</v>
      </c>
      <c r="X127" s="18" t="s">
        <v>78</v>
      </c>
      <c r="Y127" s="18" t="s">
        <v>679</v>
      </c>
      <c r="Z127" s="18" t="s">
        <v>643</v>
      </c>
      <c r="AA127" s="18">
        <v>20</v>
      </c>
      <c r="AC127" s="28" t="s">
        <v>2445</v>
      </c>
      <c r="AD127" s="28" t="s">
        <v>2471</v>
      </c>
      <c r="AE127" s="28" t="s">
        <v>2293</v>
      </c>
      <c r="AF127" s="28" t="s">
        <v>2467</v>
      </c>
      <c r="AG127" s="28" t="s">
        <v>2468</v>
      </c>
      <c r="AH127" s="28" t="s">
        <v>21</v>
      </c>
      <c r="AI127" s="28" t="s">
        <v>2316</v>
      </c>
      <c r="AJ127" s="28" t="s">
        <v>2297</v>
      </c>
      <c r="AK127" s="28" t="s">
        <v>9</v>
      </c>
      <c r="AL127" s="28" t="s">
        <v>2298</v>
      </c>
      <c r="AM127" s="114"/>
    </row>
    <row r="128" spans="7:39">
      <c r="G128" s="27">
        <v>1998</v>
      </c>
      <c r="H128" s="27" t="s">
        <v>106</v>
      </c>
      <c r="I128" s="27" t="s">
        <v>12</v>
      </c>
      <c r="J128" s="27" t="s">
        <v>40</v>
      </c>
      <c r="K128" s="27" t="s">
        <v>12</v>
      </c>
      <c r="L128" s="27" t="s">
        <v>267</v>
      </c>
      <c r="M128" s="27" t="s">
        <v>268</v>
      </c>
      <c r="N128" s="27">
        <v>1</v>
      </c>
      <c r="O128" s="27">
        <v>1</v>
      </c>
      <c r="P128" s="27" t="s">
        <v>110</v>
      </c>
      <c r="Q128" s="27" t="s">
        <v>111</v>
      </c>
      <c r="R128" s="27" t="s">
        <v>111</v>
      </c>
      <c r="S128" s="27" t="s">
        <v>112</v>
      </c>
      <c r="U128" s="18">
        <v>126</v>
      </c>
      <c r="V128" s="18" t="s">
        <v>860</v>
      </c>
      <c r="W128" s="18">
        <v>22</v>
      </c>
      <c r="X128" s="18" t="s">
        <v>78</v>
      </c>
      <c r="Y128" s="18" t="s">
        <v>683</v>
      </c>
      <c r="Z128" s="18" t="s">
        <v>861</v>
      </c>
      <c r="AA128" s="18">
        <v>9</v>
      </c>
      <c r="AC128" s="28" t="s">
        <v>2445</v>
      </c>
      <c r="AD128" s="28" t="s">
        <v>2476</v>
      </c>
      <c r="AE128" s="28" t="s">
        <v>2299</v>
      </c>
      <c r="AF128" s="28" t="s">
        <v>2450</v>
      </c>
      <c r="AG128" s="28" t="s">
        <v>2451</v>
      </c>
      <c r="AH128" s="28" t="s">
        <v>26</v>
      </c>
      <c r="AI128" s="28" t="s">
        <v>2297</v>
      </c>
      <c r="AJ128" s="28" t="s">
        <v>2302</v>
      </c>
      <c r="AK128" s="28" t="s">
        <v>23</v>
      </c>
      <c r="AL128" s="28" t="s">
        <v>2298</v>
      </c>
      <c r="AM128" s="114"/>
    </row>
    <row r="129" spans="7:39">
      <c r="G129" s="27">
        <v>1998</v>
      </c>
      <c r="H129" s="27" t="s">
        <v>106</v>
      </c>
      <c r="I129" s="27" t="s">
        <v>12</v>
      </c>
      <c r="J129" s="27" t="s">
        <v>40</v>
      </c>
      <c r="K129" s="27" t="s">
        <v>40</v>
      </c>
      <c r="L129" s="27" t="s">
        <v>269</v>
      </c>
      <c r="M129" s="27" t="s">
        <v>239</v>
      </c>
      <c r="N129" s="27">
        <v>2</v>
      </c>
      <c r="O129" s="27">
        <v>1</v>
      </c>
      <c r="P129" s="27" t="s">
        <v>140</v>
      </c>
      <c r="Q129" s="27" t="s">
        <v>111</v>
      </c>
      <c r="R129" s="27" t="s">
        <v>111</v>
      </c>
      <c r="S129" s="27" t="s">
        <v>112</v>
      </c>
      <c r="U129" s="18">
        <v>127</v>
      </c>
      <c r="V129" s="18" t="s">
        <v>862</v>
      </c>
      <c r="W129" s="18">
        <v>28</v>
      </c>
      <c r="X129" s="18" t="s">
        <v>78</v>
      </c>
      <c r="Y129" s="18" t="s">
        <v>683</v>
      </c>
      <c r="Z129" s="18" t="s">
        <v>863</v>
      </c>
      <c r="AA129" s="18">
        <v>10</v>
      </c>
      <c r="AC129" s="28" t="s">
        <v>2445</v>
      </c>
      <c r="AD129" s="28" t="s">
        <v>2476</v>
      </c>
      <c r="AE129" s="28" t="s">
        <v>2293</v>
      </c>
      <c r="AF129" s="28" t="s">
        <v>2452</v>
      </c>
      <c r="AG129" s="28" t="s">
        <v>2453</v>
      </c>
      <c r="AH129" s="28" t="s">
        <v>27</v>
      </c>
      <c r="AI129" s="28" t="s">
        <v>2305</v>
      </c>
      <c r="AJ129" s="28" t="s">
        <v>2297</v>
      </c>
      <c r="AK129" s="28" t="s">
        <v>21</v>
      </c>
      <c r="AL129" s="28" t="s">
        <v>2477</v>
      </c>
      <c r="AM129" s="114"/>
    </row>
    <row r="130" spans="7:39">
      <c r="G130" s="27">
        <v>1998</v>
      </c>
      <c r="H130" s="27" t="s">
        <v>106</v>
      </c>
      <c r="I130" s="27" t="s">
        <v>12</v>
      </c>
      <c r="J130" s="27" t="s">
        <v>40</v>
      </c>
      <c r="K130" s="27" t="s">
        <v>12</v>
      </c>
      <c r="L130" s="27" t="s">
        <v>270</v>
      </c>
      <c r="M130" s="27" t="s">
        <v>268</v>
      </c>
      <c r="N130" s="27">
        <v>3</v>
      </c>
      <c r="O130" s="27">
        <v>2</v>
      </c>
      <c r="P130" s="27" t="s">
        <v>117</v>
      </c>
      <c r="Q130" s="27" t="s">
        <v>111</v>
      </c>
      <c r="R130" s="27" t="s">
        <v>111</v>
      </c>
      <c r="S130" s="27" t="s">
        <v>112</v>
      </c>
      <c r="U130" s="18">
        <v>128</v>
      </c>
      <c r="V130" s="18" t="s">
        <v>864</v>
      </c>
      <c r="W130" s="18">
        <v>40</v>
      </c>
      <c r="X130" s="18" t="s">
        <v>78</v>
      </c>
      <c r="Y130" s="18" t="s">
        <v>683</v>
      </c>
      <c r="Z130" s="18" t="s">
        <v>832</v>
      </c>
      <c r="AA130" s="18">
        <v>11</v>
      </c>
      <c r="AC130" s="28" t="s">
        <v>2445</v>
      </c>
      <c r="AD130" s="28" t="s">
        <v>2476</v>
      </c>
      <c r="AE130" s="28" t="s">
        <v>2307</v>
      </c>
      <c r="AF130" s="28" t="s">
        <v>2447</v>
      </c>
      <c r="AG130" s="28" t="s">
        <v>2448</v>
      </c>
      <c r="AH130" s="28" t="s">
        <v>29</v>
      </c>
      <c r="AI130" s="28" t="s">
        <v>2305</v>
      </c>
      <c r="AJ130" s="28" t="s">
        <v>2297</v>
      </c>
      <c r="AK130" s="28" t="s">
        <v>15</v>
      </c>
      <c r="AL130" s="28" t="s">
        <v>2298</v>
      </c>
      <c r="AM130" s="114"/>
    </row>
    <row r="131" spans="7:39">
      <c r="G131" s="27">
        <v>1998</v>
      </c>
      <c r="H131" s="27" t="s">
        <v>106</v>
      </c>
      <c r="I131" s="27" t="s">
        <v>12</v>
      </c>
      <c r="J131" s="27" t="s">
        <v>40</v>
      </c>
      <c r="K131" s="27" t="s">
        <v>40</v>
      </c>
      <c r="L131" s="27" t="s">
        <v>271</v>
      </c>
      <c r="M131" s="27" t="s">
        <v>239</v>
      </c>
      <c r="N131" s="27">
        <v>4</v>
      </c>
      <c r="O131" s="27">
        <v>2</v>
      </c>
      <c r="P131" s="27" t="s">
        <v>119</v>
      </c>
      <c r="Q131" s="27" t="s">
        <v>111</v>
      </c>
      <c r="R131" s="27" t="s">
        <v>111</v>
      </c>
      <c r="S131" s="27" t="s">
        <v>112</v>
      </c>
      <c r="U131" s="18">
        <v>129</v>
      </c>
      <c r="V131" s="18" t="s">
        <v>865</v>
      </c>
      <c r="W131" s="18">
        <v>31</v>
      </c>
      <c r="X131" s="18" t="s">
        <v>78</v>
      </c>
      <c r="Y131" s="18" t="s">
        <v>683</v>
      </c>
      <c r="Z131" s="18" t="s">
        <v>794</v>
      </c>
      <c r="AA131" s="18">
        <v>23</v>
      </c>
      <c r="AC131" s="28" t="s">
        <v>2445</v>
      </c>
      <c r="AD131" s="28" t="s">
        <v>2478</v>
      </c>
      <c r="AE131" s="28" t="s">
        <v>135</v>
      </c>
      <c r="AF131" s="28" t="s">
        <v>2450</v>
      </c>
      <c r="AG131" s="28" t="s">
        <v>2451</v>
      </c>
      <c r="AH131" s="28" t="s">
        <v>12</v>
      </c>
      <c r="AI131" s="28" t="s">
        <v>2297</v>
      </c>
      <c r="AJ131" s="28" t="s">
        <v>2302</v>
      </c>
      <c r="AK131" s="28" t="s">
        <v>29</v>
      </c>
      <c r="AL131" s="28" t="s">
        <v>2298</v>
      </c>
      <c r="AM131" s="114"/>
    </row>
    <row r="132" spans="7:39">
      <c r="G132" s="27">
        <v>1998</v>
      </c>
      <c r="H132" s="27" t="s">
        <v>106</v>
      </c>
      <c r="I132" s="27" t="s">
        <v>12</v>
      </c>
      <c r="J132" s="27" t="s">
        <v>40</v>
      </c>
      <c r="K132" s="27" t="s">
        <v>12</v>
      </c>
      <c r="L132" s="27" t="s">
        <v>272</v>
      </c>
      <c r="M132" s="27" t="s">
        <v>268</v>
      </c>
      <c r="N132" s="27">
        <v>5</v>
      </c>
      <c r="O132" s="27">
        <v>3</v>
      </c>
      <c r="P132" s="27" t="s">
        <v>121</v>
      </c>
      <c r="Q132" s="27" t="s">
        <v>111</v>
      </c>
      <c r="R132" s="27" t="s">
        <v>111</v>
      </c>
      <c r="S132" s="27" t="s">
        <v>112</v>
      </c>
      <c r="U132" s="18">
        <v>130</v>
      </c>
      <c r="V132" s="18" t="s">
        <v>866</v>
      </c>
      <c r="W132" s="18">
        <v>27</v>
      </c>
      <c r="X132" s="18" t="s">
        <v>78</v>
      </c>
      <c r="Y132" s="18" t="s">
        <v>683</v>
      </c>
      <c r="Z132" s="18" t="s">
        <v>867</v>
      </c>
      <c r="AA132" s="18">
        <v>25</v>
      </c>
      <c r="AC132" s="28" t="s">
        <v>2445</v>
      </c>
      <c r="AD132" s="28" t="s">
        <v>2478</v>
      </c>
      <c r="AE132" s="28" t="s">
        <v>135</v>
      </c>
      <c r="AF132" s="28" t="s">
        <v>2452</v>
      </c>
      <c r="AG132" s="28" t="s">
        <v>2453</v>
      </c>
      <c r="AH132" s="28" t="s">
        <v>24</v>
      </c>
      <c r="AI132" s="28" t="s">
        <v>2297</v>
      </c>
      <c r="AJ132" s="28" t="s">
        <v>2302</v>
      </c>
      <c r="AK132" s="28" t="s">
        <v>7</v>
      </c>
      <c r="AL132" s="28" t="s">
        <v>2298</v>
      </c>
      <c r="AM132" s="114"/>
    </row>
    <row r="133" spans="7:39">
      <c r="G133" s="27">
        <v>1998</v>
      </c>
      <c r="H133" s="27" t="s">
        <v>106</v>
      </c>
      <c r="I133" s="27" t="s">
        <v>12</v>
      </c>
      <c r="J133" s="27" t="s">
        <v>40</v>
      </c>
      <c r="K133" s="27" t="s">
        <v>40</v>
      </c>
      <c r="L133" s="27" t="s">
        <v>273</v>
      </c>
      <c r="M133" s="27" t="s">
        <v>239</v>
      </c>
      <c r="N133" s="27">
        <v>6</v>
      </c>
      <c r="O133" s="27">
        <v>3</v>
      </c>
      <c r="P133" s="27" t="s">
        <v>123</v>
      </c>
      <c r="Q133" s="27" t="s">
        <v>111</v>
      </c>
      <c r="R133" s="27" t="s">
        <v>111</v>
      </c>
      <c r="S133" s="27" t="s">
        <v>124</v>
      </c>
      <c r="U133" s="18">
        <v>131</v>
      </c>
      <c r="V133" s="18" t="s">
        <v>868</v>
      </c>
      <c r="W133" s="18">
        <v>29</v>
      </c>
      <c r="X133" s="18" t="s">
        <v>45</v>
      </c>
      <c r="Y133" s="18" t="s">
        <v>642</v>
      </c>
      <c r="Z133" s="18" t="s">
        <v>869</v>
      </c>
      <c r="AA133" s="18">
        <v>1</v>
      </c>
      <c r="AC133" s="28" t="s">
        <v>2445</v>
      </c>
      <c r="AD133" s="28" t="s">
        <v>2478</v>
      </c>
      <c r="AE133" s="28" t="s">
        <v>135</v>
      </c>
      <c r="AF133" s="28" t="s">
        <v>2447</v>
      </c>
      <c r="AG133" s="28" t="s">
        <v>2448</v>
      </c>
      <c r="AH133" s="28" t="s">
        <v>17</v>
      </c>
      <c r="AI133" s="28" t="s">
        <v>2305</v>
      </c>
      <c r="AJ133" s="28" t="s">
        <v>2302</v>
      </c>
      <c r="AK133" s="28" t="s">
        <v>26</v>
      </c>
      <c r="AL133" s="28" t="s">
        <v>2298</v>
      </c>
      <c r="AM133" s="114"/>
    </row>
    <row r="134" spans="7:39">
      <c r="G134" s="27">
        <v>1998</v>
      </c>
      <c r="H134" s="27" t="s">
        <v>106</v>
      </c>
      <c r="I134" s="27" t="s">
        <v>12</v>
      </c>
      <c r="J134" s="27" t="s">
        <v>40</v>
      </c>
      <c r="K134" s="27" t="s">
        <v>12</v>
      </c>
      <c r="L134" s="27" t="s">
        <v>246</v>
      </c>
      <c r="M134" s="27" t="s">
        <v>268</v>
      </c>
      <c r="N134" s="27">
        <v>7</v>
      </c>
      <c r="O134" s="27">
        <v>4</v>
      </c>
      <c r="P134" s="27" t="s">
        <v>123</v>
      </c>
      <c r="Q134" s="27" t="s">
        <v>111</v>
      </c>
      <c r="R134" s="27" t="s">
        <v>111</v>
      </c>
      <c r="S134" s="27" t="s">
        <v>112</v>
      </c>
      <c r="U134" s="18">
        <v>132</v>
      </c>
      <c r="V134" s="18" t="s">
        <v>870</v>
      </c>
      <c r="W134" s="18">
        <v>32</v>
      </c>
      <c r="X134" s="18" t="s">
        <v>45</v>
      </c>
      <c r="Y134" s="18" t="s">
        <v>642</v>
      </c>
      <c r="Z134" s="18" t="s">
        <v>871</v>
      </c>
      <c r="AA134" s="18">
        <v>16</v>
      </c>
      <c r="AC134" s="28" t="s">
        <v>2445</v>
      </c>
      <c r="AD134" s="28" t="s">
        <v>2478</v>
      </c>
      <c r="AE134" s="28" t="s">
        <v>135</v>
      </c>
      <c r="AF134" s="28" t="s">
        <v>2456</v>
      </c>
      <c r="AG134" s="28" t="s">
        <v>2457</v>
      </c>
      <c r="AH134" s="28" t="s">
        <v>5</v>
      </c>
      <c r="AI134" s="28" t="s">
        <v>2296</v>
      </c>
      <c r="AJ134" s="28" t="s">
        <v>2302</v>
      </c>
      <c r="AK134" s="28" t="s">
        <v>27</v>
      </c>
      <c r="AL134" s="28" t="s">
        <v>2298</v>
      </c>
      <c r="AM134" s="114"/>
    </row>
    <row r="135" spans="7:39">
      <c r="G135" s="27">
        <v>1998</v>
      </c>
      <c r="H135" s="27" t="s">
        <v>106</v>
      </c>
      <c r="I135" s="27" t="s">
        <v>12</v>
      </c>
      <c r="J135" s="27" t="s">
        <v>40</v>
      </c>
      <c r="K135" s="27" t="s">
        <v>40</v>
      </c>
      <c r="L135" s="27" t="s">
        <v>274</v>
      </c>
      <c r="M135" s="27" t="s">
        <v>239</v>
      </c>
      <c r="N135" s="27">
        <v>8</v>
      </c>
      <c r="O135" s="27">
        <v>4</v>
      </c>
      <c r="P135" s="27" t="s">
        <v>148</v>
      </c>
      <c r="Q135" s="27" t="s">
        <v>131</v>
      </c>
      <c r="R135" s="27" t="s">
        <v>131</v>
      </c>
      <c r="S135" s="27" t="s">
        <v>124</v>
      </c>
      <c r="U135" s="18">
        <v>133</v>
      </c>
      <c r="V135" s="18" t="s">
        <v>872</v>
      </c>
      <c r="W135" s="18">
        <v>22</v>
      </c>
      <c r="X135" s="18" t="s">
        <v>45</v>
      </c>
      <c r="Y135" s="18" t="s">
        <v>642</v>
      </c>
      <c r="Z135" s="18" t="s">
        <v>873</v>
      </c>
      <c r="AA135" s="18">
        <v>18</v>
      </c>
      <c r="AC135" s="28" t="s">
        <v>2445</v>
      </c>
      <c r="AD135" s="28" t="s">
        <v>2479</v>
      </c>
      <c r="AE135" s="28" t="s">
        <v>106</v>
      </c>
      <c r="AF135" s="28" t="s">
        <v>2450</v>
      </c>
      <c r="AG135" s="28" t="s">
        <v>2451</v>
      </c>
      <c r="AH135" s="28" t="s">
        <v>17</v>
      </c>
      <c r="AI135" s="28" t="s">
        <v>2301</v>
      </c>
      <c r="AJ135" s="28" t="s">
        <v>2297</v>
      </c>
      <c r="AK135" s="28" t="s">
        <v>24</v>
      </c>
      <c r="AL135" s="28" t="s">
        <v>2298</v>
      </c>
      <c r="AM135" s="114"/>
    </row>
    <row r="136" spans="7:39">
      <c r="G136" s="27">
        <v>2002</v>
      </c>
      <c r="H136" s="27" t="s">
        <v>170</v>
      </c>
      <c r="I136" s="27" t="s">
        <v>19</v>
      </c>
      <c r="J136" s="27" t="s">
        <v>52</v>
      </c>
      <c r="K136" s="27" t="s">
        <v>19</v>
      </c>
      <c r="L136" s="27" t="s">
        <v>275</v>
      </c>
      <c r="M136" s="27" t="s">
        <v>276</v>
      </c>
      <c r="N136" s="27">
        <v>1</v>
      </c>
      <c r="O136" s="27">
        <v>1</v>
      </c>
      <c r="P136" s="27" t="s">
        <v>110</v>
      </c>
      <c r="Q136" s="27" t="s">
        <v>111</v>
      </c>
      <c r="R136" s="27" t="s">
        <v>111</v>
      </c>
      <c r="S136" s="27" t="s">
        <v>112</v>
      </c>
      <c r="U136" s="18">
        <v>134</v>
      </c>
      <c r="V136" s="18" t="s">
        <v>874</v>
      </c>
      <c r="W136" s="18">
        <v>28</v>
      </c>
      <c r="X136" s="18" t="s">
        <v>45</v>
      </c>
      <c r="Y136" s="18" t="s">
        <v>649</v>
      </c>
      <c r="Z136" s="18" t="s">
        <v>875</v>
      </c>
      <c r="AA136" s="18">
        <v>3</v>
      </c>
      <c r="AC136" s="28" t="s">
        <v>2445</v>
      </c>
      <c r="AD136" s="28" t="s">
        <v>2479</v>
      </c>
      <c r="AE136" s="28" t="s">
        <v>106</v>
      </c>
      <c r="AF136" s="28" t="s">
        <v>2447</v>
      </c>
      <c r="AG136" s="28" t="s">
        <v>2448</v>
      </c>
      <c r="AH136" s="28" t="s">
        <v>12</v>
      </c>
      <c r="AI136" s="28" t="s">
        <v>2338</v>
      </c>
      <c r="AJ136" s="28" t="s">
        <v>2305</v>
      </c>
      <c r="AK136" s="28" t="s">
        <v>5</v>
      </c>
      <c r="AL136" s="28" t="s">
        <v>2298</v>
      </c>
      <c r="AM136" s="114"/>
    </row>
    <row r="137" spans="7:39">
      <c r="G137" s="27">
        <v>2002</v>
      </c>
      <c r="H137" s="27" t="s">
        <v>170</v>
      </c>
      <c r="I137" s="27" t="s">
        <v>19</v>
      </c>
      <c r="J137" s="27" t="s">
        <v>52</v>
      </c>
      <c r="K137" s="27" t="s">
        <v>52</v>
      </c>
      <c r="L137" s="27" t="s">
        <v>277</v>
      </c>
      <c r="M137" s="27" t="s">
        <v>276</v>
      </c>
      <c r="N137" s="27">
        <v>2</v>
      </c>
      <c r="O137" s="27">
        <v>1</v>
      </c>
      <c r="P137" s="27" t="s">
        <v>140</v>
      </c>
      <c r="Q137" s="27" t="s">
        <v>111</v>
      </c>
      <c r="R137" s="27" t="s">
        <v>111</v>
      </c>
      <c r="S137" s="27" t="s">
        <v>124</v>
      </c>
      <c r="U137" s="18">
        <v>135</v>
      </c>
      <c r="V137" s="18" t="s">
        <v>876</v>
      </c>
      <c r="W137" s="18">
        <v>20</v>
      </c>
      <c r="X137" s="18" t="s">
        <v>45</v>
      </c>
      <c r="Y137" s="18" t="s">
        <v>649</v>
      </c>
      <c r="Z137" s="18" t="s">
        <v>877</v>
      </c>
      <c r="AA137" s="18">
        <v>4</v>
      </c>
      <c r="AC137" s="28" t="s">
        <v>2445</v>
      </c>
      <c r="AD137" s="28" t="s">
        <v>2480</v>
      </c>
      <c r="AE137" s="28" t="s">
        <v>2350</v>
      </c>
      <c r="AF137" s="28" t="s">
        <v>2450</v>
      </c>
      <c r="AG137" s="28" t="s">
        <v>2451</v>
      </c>
      <c r="AH137" s="28" t="s">
        <v>5</v>
      </c>
      <c r="AI137" s="28" t="s">
        <v>2316</v>
      </c>
      <c r="AJ137" s="28" t="s">
        <v>2301</v>
      </c>
      <c r="AK137" s="28" t="s">
        <v>24</v>
      </c>
      <c r="AL137" s="28" t="s">
        <v>2298</v>
      </c>
      <c r="AM137" s="114"/>
    </row>
    <row r="138" spans="7:39">
      <c r="G138" s="27">
        <v>2002</v>
      </c>
      <c r="H138" s="27" t="s">
        <v>170</v>
      </c>
      <c r="I138" s="27" t="s">
        <v>19</v>
      </c>
      <c r="J138" s="27" t="s">
        <v>52</v>
      </c>
      <c r="K138" s="27" t="s">
        <v>19</v>
      </c>
      <c r="L138" s="27" t="s">
        <v>278</v>
      </c>
      <c r="M138" s="27" t="s">
        <v>279</v>
      </c>
      <c r="N138" s="27">
        <v>3</v>
      </c>
      <c r="O138" s="27">
        <v>2</v>
      </c>
      <c r="P138" s="27" t="s">
        <v>140</v>
      </c>
      <c r="Q138" s="27" t="s">
        <v>111</v>
      </c>
      <c r="R138" s="27" t="s">
        <v>111</v>
      </c>
      <c r="S138" s="27" t="s">
        <v>112</v>
      </c>
      <c r="U138" s="18">
        <v>136</v>
      </c>
      <c r="V138" s="18" t="s">
        <v>878</v>
      </c>
      <c r="W138" s="18">
        <v>30</v>
      </c>
      <c r="X138" s="18" t="s">
        <v>45</v>
      </c>
      <c r="Y138" s="18" t="s">
        <v>649</v>
      </c>
      <c r="Z138" s="18" t="s">
        <v>743</v>
      </c>
      <c r="AA138" s="18">
        <v>5</v>
      </c>
      <c r="AC138" s="28" t="s">
        <v>2445</v>
      </c>
      <c r="AD138" s="28" t="s">
        <v>2481</v>
      </c>
      <c r="AE138" s="28" t="s">
        <v>238</v>
      </c>
      <c r="AF138" s="28" t="s">
        <v>2447</v>
      </c>
      <c r="AG138" s="28" t="s">
        <v>2448</v>
      </c>
      <c r="AH138" s="28" t="s">
        <v>12</v>
      </c>
      <c r="AI138" s="28" t="s">
        <v>2338</v>
      </c>
      <c r="AJ138" s="28" t="s">
        <v>2305</v>
      </c>
      <c r="AK138" s="28" t="s">
        <v>17</v>
      </c>
      <c r="AL138" s="28" t="s">
        <v>2298</v>
      </c>
      <c r="AM138" s="114"/>
    </row>
    <row r="139" spans="7:39">
      <c r="G139" s="27">
        <v>2002</v>
      </c>
      <c r="H139" s="27" t="s">
        <v>170</v>
      </c>
      <c r="I139" s="27" t="s">
        <v>19</v>
      </c>
      <c r="J139" s="27" t="s">
        <v>52</v>
      </c>
      <c r="K139" s="27" t="s">
        <v>52</v>
      </c>
      <c r="L139" s="27" t="s">
        <v>280</v>
      </c>
      <c r="M139" s="27" t="s">
        <v>276</v>
      </c>
      <c r="N139" s="27">
        <v>4</v>
      </c>
      <c r="O139" s="27">
        <v>2</v>
      </c>
      <c r="P139" s="27" t="s">
        <v>190</v>
      </c>
      <c r="Q139" s="27" t="s">
        <v>111</v>
      </c>
      <c r="R139" s="27" t="s">
        <v>111</v>
      </c>
      <c r="S139" s="27" t="s">
        <v>124</v>
      </c>
      <c r="U139" s="18">
        <v>137</v>
      </c>
      <c r="V139" s="18" t="s">
        <v>879</v>
      </c>
      <c r="W139" s="18">
        <v>28</v>
      </c>
      <c r="X139" s="18" t="s">
        <v>45</v>
      </c>
      <c r="Y139" s="18" t="s">
        <v>649</v>
      </c>
      <c r="Z139" s="18" t="s">
        <v>880</v>
      </c>
      <c r="AA139" s="18">
        <v>13</v>
      </c>
      <c r="AC139" s="28" t="s">
        <v>2482</v>
      </c>
      <c r="AD139" s="28" t="s">
        <v>2483</v>
      </c>
      <c r="AE139" s="28" t="s">
        <v>2293</v>
      </c>
      <c r="AF139" s="28" t="s">
        <v>2484</v>
      </c>
      <c r="AG139" s="28" t="s">
        <v>2485</v>
      </c>
      <c r="AH139" s="28" t="s">
        <v>11</v>
      </c>
      <c r="AI139" s="28" t="s">
        <v>2305</v>
      </c>
      <c r="AJ139" s="28" t="s">
        <v>2297</v>
      </c>
      <c r="AK139" s="28" t="s">
        <v>53</v>
      </c>
      <c r="AL139" s="28" t="s">
        <v>2298</v>
      </c>
      <c r="AM139" s="114"/>
    </row>
    <row r="140" spans="7:39">
      <c r="G140" s="27">
        <v>2002</v>
      </c>
      <c r="H140" s="27" t="s">
        <v>170</v>
      </c>
      <c r="I140" s="27" t="s">
        <v>19</v>
      </c>
      <c r="J140" s="27" t="s">
        <v>52</v>
      </c>
      <c r="K140" s="27" t="s">
        <v>19</v>
      </c>
      <c r="L140" s="27" t="s">
        <v>281</v>
      </c>
      <c r="M140" s="27" t="s">
        <v>279</v>
      </c>
      <c r="N140" s="27">
        <v>5</v>
      </c>
      <c r="O140" s="27">
        <v>3</v>
      </c>
      <c r="P140" s="27" t="s">
        <v>190</v>
      </c>
      <c r="Q140" s="27" t="s">
        <v>111</v>
      </c>
      <c r="R140" s="27" t="s">
        <v>111</v>
      </c>
      <c r="S140" s="27" t="s">
        <v>160</v>
      </c>
      <c r="U140" s="18">
        <v>138</v>
      </c>
      <c r="V140" s="18" t="s">
        <v>881</v>
      </c>
      <c r="W140" s="18">
        <v>26</v>
      </c>
      <c r="X140" s="18" t="s">
        <v>45</v>
      </c>
      <c r="Y140" s="18" t="s">
        <v>649</v>
      </c>
      <c r="Z140" s="18" t="s">
        <v>882</v>
      </c>
      <c r="AA140" s="18">
        <v>15</v>
      </c>
      <c r="AC140" s="28" t="s">
        <v>2482</v>
      </c>
      <c r="AD140" s="28" t="s">
        <v>2483</v>
      </c>
      <c r="AE140" s="28" t="s">
        <v>2307</v>
      </c>
      <c r="AF140" s="28" t="s">
        <v>2486</v>
      </c>
      <c r="AG140" s="28" t="s">
        <v>2487</v>
      </c>
      <c r="AH140" s="28" t="s">
        <v>12</v>
      </c>
      <c r="AI140" s="28" t="s">
        <v>2305</v>
      </c>
      <c r="AJ140" s="28" t="s">
        <v>2302</v>
      </c>
      <c r="AK140" s="28" t="s">
        <v>28</v>
      </c>
      <c r="AL140" s="28" t="s">
        <v>2298</v>
      </c>
      <c r="AM140" s="114"/>
    </row>
    <row r="141" spans="7:39">
      <c r="G141" s="27">
        <v>2002</v>
      </c>
      <c r="H141" s="27" t="s">
        <v>170</v>
      </c>
      <c r="I141" s="27" t="s">
        <v>19</v>
      </c>
      <c r="J141" s="27" t="s">
        <v>52</v>
      </c>
      <c r="K141" s="27" t="s">
        <v>52</v>
      </c>
      <c r="L141" s="27" t="s">
        <v>282</v>
      </c>
      <c r="M141" s="27" t="s">
        <v>276</v>
      </c>
      <c r="N141" s="27">
        <v>6</v>
      </c>
      <c r="O141" s="27">
        <v>3</v>
      </c>
      <c r="P141" s="27" t="s">
        <v>190</v>
      </c>
      <c r="Q141" s="27" t="s">
        <v>111</v>
      </c>
      <c r="R141" s="27" t="s">
        <v>111</v>
      </c>
      <c r="S141" s="27" t="s">
        <v>124</v>
      </c>
      <c r="U141" s="18">
        <v>139</v>
      </c>
      <c r="V141" s="18" t="s">
        <v>883</v>
      </c>
      <c r="W141" s="18">
        <v>25</v>
      </c>
      <c r="X141" s="18" t="s">
        <v>45</v>
      </c>
      <c r="Y141" s="18" t="s">
        <v>657</v>
      </c>
      <c r="Z141" s="18" t="s">
        <v>781</v>
      </c>
      <c r="AA141" s="18">
        <v>19</v>
      </c>
      <c r="AC141" s="28" t="s">
        <v>2482</v>
      </c>
      <c r="AD141" s="28" t="s">
        <v>2483</v>
      </c>
      <c r="AE141" s="28" t="s">
        <v>2299</v>
      </c>
      <c r="AF141" s="28" t="s">
        <v>2488</v>
      </c>
      <c r="AG141" s="28" t="s">
        <v>2489</v>
      </c>
      <c r="AH141" s="28" t="s">
        <v>9</v>
      </c>
      <c r="AI141" s="28" t="s">
        <v>2297</v>
      </c>
      <c r="AJ141" s="28" t="s">
        <v>2302</v>
      </c>
      <c r="AK141" s="28" t="s">
        <v>34</v>
      </c>
      <c r="AL141" s="28" t="s">
        <v>2298</v>
      </c>
      <c r="AM141" s="114"/>
    </row>
    <row r="142" spans="7:39">
      <c r="G142" s="27">
        <v>2002</v>
      </c>
      <c r="H142" s="27" t="s">
        <v>170</v>
      </c>
      <c r="I142" s="27" t="s">
        <v>19</v>
      </c>
      <c r="J142" s="27" t="s">
        <v>52</v>
      </c>
      <c r="K142" s="27" t="s">
        <v>19</v>
      </c>
      <c r="L142" s="27" t="s">
        <v>283</v>
      </c>
      <c r="M142" s="27" t="s">
        <v>279</v>
      </c>
      <c r="N142" s="27">
        <v>7</v>
      </c>
      <c r="O142" s="27">
        <v>4</v>
      </c>
      <c r="P142" s="27" t="s">
        <v>190</v>
      </c>
      <c r="Q142" s="27" t="s">
        <v>111</v>
      </c>
      <c r="R142" s="27" t="s">
        <v>111</v>
      </c>
      <c r="S142" s="27" t="s">
        <v>160</v>
      </c>
      <c r="U142" s="18">
        <v>140</v>
      </c>
      <c r="V142" s="18" t="s">
        <v>884</v>
      </c>
      <c r="W142" s="18">
        <v>27</v>
      </c>
      <c r="X142" s="18" t="s">
        <v>45</v>
      </c>
      <c r="Y142" s="18" t="s">
        <v>661</v>
      </c>
      <c r="Z142" s="18" t="s">
        <v>815</v>
      </c>
      <c r="AA142" s="18">
        <v>2</v>
      </c>
      <c r="AC142" s="28" t="s">
        <v>2482</v>
      </c>
      <c r="AD142" s="28" t="s">
        <v>2483</v>
      </c>
      <c r="AE142" s="28" t="s">
        <v>2304</v>
      </c>
      <c r="AF142" s="28" t="s">
        <v>2249</v>
      </c>
      <c r="AG142" s="28" t="s">
        <v>2490</v>
      </c>
      <c r="AH142" s="28" t="s">
        <v>10</v>
      </c>
      <c r="AI142" s="28" t="s">
        <v>2301</v>
      </c>
      <c r="AJ142" s="28" t="s">
        <v>2297</v>
      </c>
      <c r="AK142" s="28" t="s">
        <v>16</v>
      </c>
      <c r="AL142" s="28" t="s">
        <v>2298</v>
      </c>
      <c r="AM142" s="114"/>
    </row>
    <row r="143" spans="7:39">
      <c r="G143" s="27">
        <v>2002</v>
      </c>
      <c r="H143" s="27" t="s">
        <v>170</v>
      </c>
      <c r="I143" s="27" t="s">
        <v>19</v>
      </c>
      <c r="J143" s="27" t="s">
        <v>52</v>
      </c>
      <c r="K143" s="27" t="s">
        <v>52</v>
      </c>
      <c r="L143" s="27" t="s">
        <v>284</v>
      </c>
      <c r="M143" s="27" t="s">
        <v>276</v>
      </c>
      <c r="N143" s="27">
        <v>8</v>
      </c>
      <c r="O143" s="27">
        <v>4</v>
      </c>
      <c r="P143" s="27" t="s">
        <v>190</v>
      </c>
      <c r="Q143" s="27" t="s">
        <v>111</v>
      </c>
      <c r="R143" s="27" t="s">
        <v>111</v>
      </c>
      <c r="S143" s="27" t="s">
        <v>112</v>
      </c>
      <c r="U143" s="18">
        <v>141</v>
      </c>
      <c r="V143" s="18" t="s">
        <v>885</v>
      </c>
      <c r="W143" s="18">
        <v>31</v>
      </c>
      <c r="X143" s="18" t="s">
        <v>45</v>
      </c>
      <c r="Y143" s="18" t="s">
        <v>661</v>
      </c>
      <c r="Z143" s="18" t="s">
        <v>886</v>
      </c>
      <c r="AA143" s="18">
        <v>22</v>
      </c>
      <c r="AC143" s="28" t="s">
        <v>2482</v>
      </c>
      <c r="AD143" s="28" t="s">
        <v>2491</v>
      </c>
      <c r="AE143" s="28" t="s">
        <v>2293</v>
      </c>
      <c r="AF143" s="28" t="s">
        <v>2484</v>
      </c>
      <c r="AG143" s="28" t="s">
        <v>2485</v>
      </c>
      <c r="AH143" s="28" t="s">
        <v>26</v>
      </c>
      <c r="AI143" s="28" t="s">
        <v>2305</v>
      </c>
      <c r="AJ143" s="28" t="s">
        <v>2302</v>
      </c>
      <c r="AK143" s="28" t="s">
        <v>7</v>
      </c>
      <c r="AL143" s="28" t="s">
        <v>2298</v>
      </c>
      <c r="AM143" s="114"/>
    </row>
    <row r="144" spans="7:39">
      <c r="G144" s="27">
        <v>2002</v>
      </c>
      <c r="H144" s="27" t="s">
        <v>170</v>
      </c>
      <c r="I144" s="27" t="s">
        <v>19</v>
      </c>
      <c r="J144" s="27" t="s">
        <v>52</v>
      </c>
      <c r="K144" s="27" t="s">
        <v>19</v>
      </c>
      <c r="L144" s="27" t="s">
        <v>285</v>
      </c>
      <c r="M144" s="27" t="s">
        <v>279</v>
      </c>
      <c r="N144" s="27">
        <v>9</v>
      </c>
      <c r="O144" s="27">
        <v>5</v>
      </c>
      <c r="P144" s="27" t="s">
        <v>119</v>
      </c>
      <c r="Q144" s="27" t="s">
        <v>111</v>
      </c>
      <c r="R144" s="27" t="s">
        <v>131</v>
      </c>
      <c r="S144" s="27" t="s">
        <v>112</v>
      </c>
      <c r="U144" s="18">
        <v>142</v>
      </c>
      <c r="V144" s="18" t="s">
        <v>887</v>
      </c>
      <c r="W144" s="18">
        <v>29</v>
      </c>
      <c r="X144" s="18" t="s">
        <v>45</v>
      </c>
      <c r="Y144" s="18" t="s">
        <v>664</v>
      </c>
      <c r="Z144" s="18" t="s">
        <v>808</v>
      </c>
      <c r="AA144" s="18">
        <v>7</v>
      </c>
      <c r="AC144" s="28" t="s">
        <v>2482</v>
      </c>
      <c r="AD144" s="28" t="s">
        <v>2491</v>
      </c>
      <c r="AE144" s="28" t="s">
        <v>2307</v>
      </c>
      <c r="AF144" s="28" t="s">
        <v>2486</v>
      </c>
      <c r="AG144" s="28" t="s">
        <v>2487</v>
      </c>
      <c r="AH144" s="28" t="s">
        <v>21</v>
      </c>
      <c r="AI144" s="28" t="s">
        <v>2297</v>
      </c>
      <c r="AJ144" s="28" t="s">
        <v>2302</v>
      </c>
      <c r="AK144" s="28" t="s">
        <v>19</v>
      </c>
      <c r="AL144" s="28" t="s">
        <v>2298</v>
      </c>
      <c r="AM144" s="114"/>
    </row>
    <row r="145" spans="7:39">
      <c r="G145" s="27">
        <v>2002</v>
      </c>
      <c r="H145" s="27" t="s">
        <v>135</v>
      </c>
      <c r="I145" s="27" t="s">
        <v>19</v>
      </c>
      <c r="J145" s="27" t="s">
        <v>47</v>
      </c>
      <c r="K145" s="27" t="s">
        <v>19</v>
      </c>
      <c r="L145" s="27" t="s">
        <v>286</v>
      </c>
      <c r="M145" s="27" t="s">
        <v>287</v>
      </c>
      <c r="N145" s="27">
        <v>1</v>
      </c>
      <c r="O145" s="27">
        <v>1</v>
      </c>
      <c r="P145" s="27" t="s">
        <v>110</v>
      </c>
      <c r="Q145" s="27" t="s">
        <v>111</v>
      </c>
      <c r="R145" s="27" t="s">
        <v>111</v>
      </c>
      <c r="S145" s="27" t="s">
        <v>124</v>
      </c>
      <c r="U145" s="18">
        <v>143</v>
      </c>
      <c r="V145" s="18" t="s">
        <v>888</v>
      </c>
      <c r="W145" s="18">
        <v>22</v>
      </c>
      <c r="X145" s="18" t="s">
        <v>45</v>
      </c>
      <c r="Y145" s="18" t="s">
        <v>664</v>
      </c>
      <c r="Z145" s="18" t="s">
        <v>889</v>
      </c>
      <c r="AA145" s="18">
        <v>23</v>
      </c>
      <c r="AC145" s="28" t="s">
        <v>2482</v>
      </c>
      <c r="AD145" s="28" t="s">
        <v>2491</v>
      </c>
      <c r="AE145" s="28" t="s">
        <v>2299</v>
      </c>
      <c r="AF145" s="28" t="s">
        <v>2488</v>
      </c>
      <c r="AG145" s="28" t="s">
        <v>2489</v>
      </c>
      <c r="AH145" s="28" t="s">
        <v>15</v>
      </c>
      <c r="AI145" s="28" t="s">
        <v>2305</v>
      </c>
      <c r="AJ145" s="28" t="s">
        <v>2297</v>
      </c>
      <c r="AK145" s="28" t="s">
        <v>23</v>
      </c>
      <c r="AL145" s="28" t="s">
        <v>2298</v>
      </c>
      <c r="AM145" s="114"/>
    </row>
    <row r="146" spans="7:39">
      <c r="G146" s="27">
        <v>2002</v>
      </c>
      <c r="H146" s="27" t="s">
        <v>135</v>
      </c>
      <c r="I146" s="27" t="s">
        <v>19</v>
      </c>
      <c r="J146" s="27" t="s">
        <v>47</v>
      </c>
      <c r="K146" s="27" t="s">
        <v>47</v>
      </c>
      <c r="L146" s="27" t="s">
        <v>288</v>
      </c>
      <c r="M146" s="27" t="s">
        <v>276</v>
      </c>
      <c r="N146" s="27">
        <v>2</v>
      </c>
      <c r="O146" s="27">
        <v>1</v>
      </c>
      <c r="P146" s="27" t="s">
        <v>110</v>
      </c>
      <c r="Q146" s="27" t="s">
        <v>111</v>
      </c>
      <c r="R146" s="27" t="s">
        <v>111</v>
      </c>
      <c r="S146" s="27" t="s">
        <v>112</v>
      </c>
      <c r="U146" s="18">
        <v>144</v>
      </c>
      <c r="V146" s="18" t="s">
        <v>890</v>
      </c>
      <c r="W146" s="18">
        <v>27</v>
      </c>
      <c r="X146" s="18" t="s">
        <v>45</v>
      </c>
      <c r="Y146" s="18" t="s">
        <v>669</v>
      </c>
      <c r="Z146" s="18" t="s">
        <v>808</v>
      </c>
      <c r="AA146" s="18">
        <v>6</v>
      </c>
      <c r="AC146" s="28" t="s">
        <v>2482</v>
      </c>
      <c r="AD146" s="28" t="s">
        <v>2491</v>
      </c>
      <c r="AE146" s="28" t="s">
        <v>2304</v>
      </c>
      <c r="AF146" s="28" t="s">
        <v>2249</v>
      </c>
      <c r="AG146" s="28" t="s">
        <v>2490</v>
      </c>
      <c r="AH146" s="28" t="s">
        <v>24</v>
      </c>
      <c r="AI146" s="28" t="s">
        <v>2302</v>
      </c>
      <c r="AJ146" s="28" t="s">
        <v>2302</v>
      </c>
      <c r="AK146" s="28" t="s">
        <v>20</v>
      </c>
      <c r="AL146" s="28" t="s">
        <v>2298</v>
      </c>
      <c r="AM146" s="114"/>
    </row>
    <row r="147" spans="7:39">
      <c r="G147" s="27">
        <v>2002</v>
      </c>
      <c r="H147" s="27" t="s">
        <v>135</v>
      </c>
      <c r="I147" s="27" t="s">
        <v>19</v>
      </c>
      <c r="J147" s="27" t="s">
        <v>47</v>
      </c>
      <c r="K147" s="27" t="s">
        <v>19</v>
      </c>
      <c r="L147" s="27" t="s">
        <v>278</v>
      </c>
      <c r="M147" s="27" t="s">
        <v>287</v>
      </c>
      <c r="N147" s="27">
        <v>3</v>
      </c>
      <c r="O147" s="27">
        <v>2</v>
      </c>
      <c r="P147" s="27" t="s">
        <v>115</v>
      </c>
      <c r="Q147" s="27" t="s">
        <v>111</v>
      </c>
      <c r="R147" s="27" t="s">
        <v>111</v>
      </c>
      <c r="S147" s="27" t="s">
        <v>112</v>
      </c>
      <c r="U147" s="18">
        <v>145</v>
      </c>
      <c r="V147" s="18" t="s">
        <v>891</v>
      </c>
      <c r="W147" s="18">
        <v>23</v>
      </c>
      <c r="X147" s="18" t="s">
        <v>45</v>
      </c>
      <c r="Y147" s="18" t="s">
        <v>669</v>
      </c>
      <c r="Z147" s="18" t="s">
        <v>830</v>
      </c>
      <c r="AA147" s="18">
        <v>8</v>
      </c>
      <c r="AC147" s="28" t="s">
        <v>2482</v>
      </c>
      <c r="AD147" s="28" t="s">
        <v>2492</v>
      </c>
      <c r="AE147" s="28" t="s">
        <v>2293</v>
      </c>
      <c r="AF147" s="28" t="s">
        <v>2484</v>
      </c>
      <c r="AG147" s="28" t="s">
        <v>2485</v>
      </c>
      <c r="AH147" s="28" t="s">
        <v>7</v>
      </c>
      <c r="AI147" s="28" t="s">
        <v>2301</v>
      </c>
      <c r="AJ147" s="28" t="s">
        <v>2297</v>
      </c>
      <c r="AK147" s="28" t="s">
        <v>11</v>
      </c>
      <c r="AL147" s="28" t="s">
        <v>2298</v>
      </c>
      <c r="AM147" s="114"/>
    </row>
    <row r="148" spans="7:39">
      <c r="G148" s="27">
        <v>2002</v>
      </c>
      <c r="H148" s="27" t="s">
        <v>135</v>
      </c>
      <c r="I148" s="27" t="s">
        <v>19</v>
      </c>
      <c r="J148" s="27" t="s">
        <v>47</v>
      </c>
      <c r="K148" s="27" t="s">
        <v>47</v>
      </c>
      <c r="L148" s="27" t="s">
        <v>289</v>
      </c>
      <c r="M148" s="27" t="s">
        <v>276</v>
      </c>
      <c r="N148" s="27">
        <v>4</v>
      </c>
      <c r="O148" s="27">
        <v>2</v>
      </c>
      <c r="P148" s="27" t="s">
        <v>117</v>
      </c>
      <c r="Q148" s="27" t="s">
        <v>111</v>
      </c>
      <c r="R148" s="27" t="s">
        <v>111</v>
      </c>
      <c r="S148" s="27" t="s">
        <v>112</v>
      </c>
      <c r="U148" s="18">
        <v>146</v>
      </c>
      <c r="V148" s="18" t="s">
        <v>892</v>
      </c>
      <c r="W148" s="18">
        <v>33</v>
      </c>
      <c r="X148" s="18" t="s">
        <v>45</v>
      </c>
      <c r="Y148" s="18" t="s">
        <v>669</v>
      </c>
      <c r="Z148" s="18" t="s">
        <v>886</v>
      </c>
      <c r="AA148" s="18">
        <v>21</v>
      </c>
      <c r="AC148" s="28" t="s">
        <v>2482</v>
      </c>
      <c r="AD148" s="28" t="s">
        <v>2492</v>
      </c>
      <c r="AE148" s="28" t="s">
        <v>2307</v>
      </c>
      <c r="AF148" s="28" t="s">
        <v>2486</v>
      </c>
      <c r="AG148" s="28" t="s">
        <v>2487</v>
      </c>
      <c r="AH148" s="28" t="s">
        <v>12</v>
      </c>
      <c r="AI148" s="28" t="s">
        <v>2302</v>
      </c>
      <c r="AJ148" s="28" t="s">
        <v>2302</v>
      </c>
      <c r="AK148" s="28" t="s">
        <v>21</v>
      </c>
      <c r="AL148" s="28" t="s">
        <v>2298</v>
      </c>
      <c r="AM148" s="114"/>
    </row>
    <row r="149" spans="7:39">
      <c r="G149" s="27">
        <v>2002</v>
      </c>
      <c r="H149" s="27" t="s">
        <v>135</v>
      </c>
      <c r="I149" s="27" t="s">
        <v>19</v>
      </c>
      <c r="J149" s="27" t="s">
        <v>47</v>
      </c>
      <c r="K149" s="27" t="s">
        <v>19</v>
      </c>
      <c r="L149" s="27" t="s">
        <v>290</v>
      </c>
      <c r="M149" s="27" t="s">
        <v>287</v>
      </c>
      <c r="N149" s="27">
        <v>5</v>
      </c>
      <c r="O149" s="27">
        <v>3</v>
      </c>
      <c r="P149" s="27" t="s">
        <v>156</v>
      </c>
      <c r="Q149" s="27" t="s">
        <v>111</v>
      </c>
      <c r="R149" s="27" t="s">
        <v>111</v>
      </c>
      <c r="S149" s="27" t="s">
        <v>112</v>
      </c>
      <c r="U149" s="18">
        <v>147</v>
      </c>
      <c r="V149" s="18" t="s">
        <v>893</v>
      </c>
      <c r="W149" s="18">
        <v>22</v>
      </c>
      <c r="X149" s="18" t="s">
        <v>45</v>
      </c>
      <c r="Y149" s="18" t="s">
        <v>669</v>
      </c>
      <c r="Z149" s="18" t="s">
        <v>724</v>
      </c>
      <c r="AA149" s="18">
        <v>25</v>
      </c>
      <c r="AC149" s="28" t="s">
        <v>2482</v>
      </c>
      <c r="AD149" s="28" t="s">
        <v>2492</v>
      </c>
      <c r="AE149" s="28" t="s">
        <v>2299</v>
      </c>
      <c r="AF149" s="28" t="s">
        <v>2488</v>
      </c>
      <c r="AG149" s="28" t="s">
        <v>2489</v>
      </c>
      <c r="AH149" s="28" t="s">
        <v>23</v>
      </c>
      <c r="AI149" s="28" t="s">
        <v>2301</v>
      </c>
      <c r="AJ149" s="28" t="s">
        <v>2297</v>
      </c>
      <c r="AK149" s="28" t="s">
        <v>9</v>
      </c>
      <c r="AL149" s="28" t="s">
        <v>2298</v>
      </c>
      <c r="AM149" s="114"/>
    </row>
    <row r="150" spans="7:39">
      <c r="G150" s="27">
        <v>2002</v>
      </c>
      <c r="H150" s="27" t="s">
        <v>135</v>
      </c>
      <c r="I150" s="27" t="s">
        <v>19</v>
      </c>
      <c r="J150" s="27" t="s">
        <v>47</v>
      </c>
      <c r="K150" s="27" t="s">
        <v>47</v>
      </c>
      <c r="L150" s="27" t="s">
        <v>291</v>
      </c>
      <c r="M150" s="27" t="s">
        <v>276</v>
      </c>
      <c r="N150" s="27">
        <v>6</v>
      </c>
      <c r="O150" s="27">
        <v>3</v>
      </c>
      <c r="P150" s="27" t="s">
        <v>121</v>
      </c>
      <c r="Q150" s="27" t="s">
        <v>111</v>
      </c>
      <c r="R150" s="27" t="s">
        <v>111</v>
      </c>
      <c r="S150" s="27" t="s">
        <v>112</v>
      </c>
      <c r="U150" s="18">
        <v>148</v>
      </c>
      <c r="V150" s="18" t="s">
        <v>894</v>
      </c>
      <c r="W150" s="18">
        <v>25</v>
      </c>
      <c r="X150" s="18" t="s">
        <v>45</v>
      </c>
      <c r="Y150" s="18" t="s">
        <v>853</v>
      </c>
      <c r="Z150" s="18" t="s">
        <v>895</v>
      </c>
      <c r="AA150" s="18">
        <v>20</v>
      </c>
      <c r="AC150" s="28" t="s">
        <v>2482</v>
      </c>
      <c r="AD150" s="28" t="s">
        <v>2492</v>
      </c>
      <c r="AE150" s="28" t="s">
        <v>2304</v>
      </c>
      <c r="AF150" s="28" t="s">
        <v>2249</v>
      </c>
      <c r="AG150" s="28" t="s">
        <v>2490</v>
      </c>
      <c r="AH150" s="28" t="s">
        <v>10</v>
      </c>
      <c r="AI150" s="28" t="s">
        <v>2305</v>
      </c>
      <c r="AJ150" s="28" t="s">
        <v>2302</v>
      </c>
      <c r="AK150" s="28" t="s">
        <v>20</v>
      </c>
      <c r="AL150" s="28" t="s">
        <v>2298</v>
      </c>
      <c r="AM150" s="114"/>
    </row>
    <row r="151" spans="7:39">
      <c r="G151" s="27">
        <v>2002</v>
      </c>
      <c r="H151" s="27" t="s">
        <v>135</v>
      </c>
      <c r="I151" s="27" t="s">
        <v>19</v>
      </c>
      <c r="J151" s="27" t="s">
        <v>47</v>
      </c>
      <c r="K151" s="27" t="s">
        <v>19</v>
      </c>
      <c r="L151" s="27" t="s">
        <v>292</v>
      </c>
      <c r="M151" s="27" t="s">
        <v>287</v>
      </c>
      <c r="N151" s="27">
        <v>7</v>
      </c>
      <c r="O151" s="27">
        <v>4</v>
      </c>
      <c r="P151" s="27" t="s">
        <v>159</v>
      </c>
      <c r="Q151" s="27" t="s">
        <v>111</v>
      </c>
      <c r="R151" s="27" t="s">
        <v>111</v>
      </c>
      <c r="S151" s="27" t="s">
        <v>112</v>
      </c>
      <c r="U151" s="18">
        <v>149</v>
      </c>
      <c r="V151" s="18" t="s">
        <v>896</v>
      </c>
      <c r="W151" s="18">
        <v>26</v>
      </c>
      <c r="X151" s="18" t="s">
        <v>45</v>
      </c>
      <c r="Y151" s="18" t="s">
        <v>855</v>
      </c>
      <c r="Z151" s="18" t="s">
        <v>849</v>
      </c>
      <c r="AA151" s="18">
        <v>11</v>
      </c>
      <c r="AC151" s="28" t="s">
        <v>2482</v>
      </c>
      <c r="AD151" s="28" t="s">
        <v>2493</v>
      </c>
      <c r="AE151" s="28" t="s">
        <v>2293</v>
      </c>
      <c r="AF151" s="28" t="s">
        <v>2484</v>
      </c>
      <c r="AG151" s="28" t="s">
        <v>2485</v>
      </c>
      <c r="AH151" s="28" t="s">
        <v>26</v>
      </c>
      <c r="AI151" s="28" t="s">
        <v>2296</v>
      </c>
      <c r="AJ151" s="28" t="s">
        <v>2296</v>
      </c>
      <c r="AK151" s="28" t="s">
        <v>53</v>
      </c>
      <c r="AL151" s="28" t="s">
        <v>2298</v>
      </c>
      <c r="AM151" s="114"/>
    </row>
    <row r="152" spans="7:39">
      <c r="G152" s="27">
        <v>2002</v>
      </c>
      <c r="H152" s="27" t="s">
        <v>135</v>
      </c>
      <c r="I152" s="27" t="s">
        <v>19</v>
      </c>
      <c r="J152" s="27" t="s">
        <v>47</v>
      </c>
      <c r="K152" s="27" t="s">
        <v>47</v>
      </c>
      <c r="L152" s="27" t="s">
        <v>293</v>
      </c>
      <c r="M152" s="27" t="s">
        <v>276</v>
      </c>
      <c r="N152" s="27">
        <v>8</v>
      </c>
      <c r="O152" s="27">
        <v>4</v>
      </c>
      <c r="P152" s="27" t="s">
        <v>128</v>
      </c>
      <c r="Q152" s="27" t="s">
        <v>111</v>
      </c>
      <c r="R152" s="27" t="s">
        <v>111</v>
      </c>
      <c r="S152" s="27" t="s">
        <v>112</v>
      </c>
      <c r="U152" s="18">
        <v>150</v>
      </c>
      <c r="V152" s="18" t="s">
        <v>897</v>
      </c>
      <c r="W152" s="18">
        <v>26</v>
      </c>
      <c r="X152" s="18" t="s">
        <v>45</v>
      </c>
      <c r="Y152" s="18" t="s">
        <v>679</v>
      </c>
      <c r="Z152" s="18" t="s">
        <v>808</v>
      </c>
      <c r="AA152" s="18">
        <v>14</v>
      </c>
      <c r="AC152" s="28" t="s">
        <v>2482</v>
      </c>
      <c r="AD152" s="28" t="s">
        <v>2493</v>
      </c>
      <c r="AE152" s="28" t="s">
        <v>2307</v>
      </c>
      <c r="AF152" s="28" t="s">
        <v>2486</v>
      </c>
      <c r="AG152" s="28" t="s">
        <v>2487</v>
      </c>
      <c r="AH152" s="28" t="s">
        <v>19</v>
      </c>
      <c r="AI152" s="28" t="s">
        <v>2297</v>
      </c>
      <c r="AJ152" s="28" t="s">
        <v>2302</v>
      </c>
      <c r="AK152" s="28" t="s">
        <v>28</v>
      </c>
      <c r="AL152" s="28" t="s">
        <v>2298</v>
      </c>
      <c r="AM152" s="114"/>
    </row>
    <row r="153" spans="7:39">
      <c r="G153" s="27">
        <v>2002</v>
      </c>
      <c r="H153" s="27" t="s">
        <v>135</v>
      </c>
      <c r="I153" s="27" t="s">
        <v>19</v>
      </c>
      <c r="J153" s="27" t="s">
        <v>47</v>
      </c>
      <c r="K153" s="27" t="s">
        <v>47</v>
      </c>
      <c r="L153" s="27" t="s">
        <v>294</v>
      </c>
      <c r="M153" s="27" t="s">
        <v>276</v>
      </c>
      <c r="N153" s="27">
        <v>9</v>
      </c>
      <c r="O153" s="27">
        <v>5</v>
      </c>
      <c r="P153" s="27" t="s">
        <v>204</v>
      </c>
      <c r="Q153" s="27" t="s">
        <v>111</v>
      </c>
      <c r="R153" s="27" t="s">
        <v>131</v>
      </c>
      <c r="S153" s="27" t="s">
        <v>112</v>
      </c>
      <c r="U153" s="18">
        <v>151</v>
      </c>
      <c r="V153" s="18" t="s">
        <v>898</v>
      </c>
      <c r="W153" s="18">
        <v>23</v>
      </c>
      <c r="X153" s="18" t="s">
        <v>45</v>
      </c>
      <c r="Y153" s="18" t="s">
        <v>679</v>
      </c>
      <c r="Z153" s="18" t="s">
        <v>899</v>
      </c>
      <c r="AA153" s="18">
        <v>26</v>
      </c>
      <c r="AC153" s="28" t="s">
        <v>2482</v>
      </c>
      <c r="AD153" s="28" t="s">
        <v>2493</v>
      </c>
      <c r="AE153" s="28" t="s">
        <v>2299</v>
      </c>
      <c r="AF153" s="28" t="s">
        <v>2488</v>
      </c>
      <c r="AG153" s="28" t="s">
        <v>2489</v>
      </c>
      <c r="AH153" s="28" t="s">
        <v>15</v>
      </c>
      <c r="AI153" s="28" t="s">
        <v>2316</v>
      </c>
      <c r="AJ153" s="28" t="s">
        <v>2297</v>
      </c>
      <c r="AK153" s="28" t="s">
        <v>34</v>
      </c>
      <c r="AL153" s="28" t="s">
        <v>2298</v>
      </c>
      <c r="AM153" s="114"/>
    </row>
    <row r="154" spans="7:39">
      <c r="G154" s="27">
        <v>2006</v>
      </c>
      <c r="H154" s="27" t="s">
        <v>170</v>
      </c>
      <c r="I154" s="27" t="s">
        <v>74</v>
      </c>
      <c r="J154" s="27" t="s">
        <v>16</v>
      </c>
      <c r="K154" s="27" t="s">
        <v>74</v>
      </c>
      <c r="L154" s="27" t="s">
        <v>295</v>
      </c>
      <c r="M154" s="27" t="s">
        <v>296</v>
      </c>
      <c r="N154" s="27">
        <v>1</v>
      </c>
      <c r="O154" s="27">
        <v>1</v>
      </c>
      <c r="P154" s="27" t="s">
        <v>110</v>
      </c>
      <c r="Q154" s="27" t="s">
        <v>111</v>
      </c>
      <c r="R154" s="27" t="s">
        <v>111</v>
      </c>
      <c r="S154" s="27" t="s">
        <v>124</v>
      </c>
      <c r="U154" s="18">
        <v>152</v>
      </c>
      <c r="V154" s="18" t="s">
        <v>900</v>
      </c>
      <c r="W154" s="18">
        <v>27</v>
      </c>
      <c r="X154" s="18" t="s">
        <v>45</v>
      </c>
      <c r="Y154" s="18" t="s">
        <v>681</v>
      </c>
      <c r="Z154" s="18" t="s">
        <v>901</v>
      </c>
      <c r="AA154" s="18">
        <v>17</v>
      </c>
      <c r="AC154" s="28" t="s">
        <v>2482</v>
      </c>
      <c r="AD154" s="28" t="s">
        <v>2493</v>
      </c>
      <c r="AE154" s="28" t="s">
        <v>2304</v>
      </c>
      <c r="AF154" s="28" t="s">
        <v>2249</v>
      </c>
      <c r="AG154" s="28" t="s">
        <v>2490</v>
      </c>
      <c r="AH154" s="28" t="s">
        <v>24</v>
      </c>
      <c r="AI154" s="28" t="s">
        <v>2305</v>
      </c>
      <c r="AJ154" s="28" t="s">
        <v>2297</v>
      </c>
      <c r="AK154" s="28" t="s">
        <v>16</v>
      </c>
      <c r="AL154" s="28" t="s">
        <v>2298</v>
      </c>
      <c r="AM154" s="114"/>
    </row>
    <row r="155" spans="7:39">
      <c r="G155" s="27">
        <v>2006</v>
      </c>
      <c r="H155" s="27" t="s">
        <v>170</v>
      </c>
      <c r="I155" s="27" t="s">
        <v>74</v>
      </c>
      <c r="J155" s="27" t="s">
        <v>16</v>
      </c>
      <c r="K155" s="27" t="s">
        <v>16</v>
      </c>
      <c r="L155" s="27" t="s">
        <v>297</v>
      </c>
      <c r="M155" s="27" t="s">
        <v>298</v>
      </c>
      <c r="N155" s="27">
        <v>2</v>
      </c>
      <c r="O155" s="27">
        <v>1</v>
      </c>
      <c r="P155" s="27" t="s">
        <v>110</v>
      </c>
      <c r="Q155" s="27" t="s">
        <v>111</v>
      </c>
      <c r="R155" s="27" t="s">
        <v>111</v>
      </c>
      <c r="S155" s="27" t="s">
        <v>124</v>
      </c>
      <c r="U155" s="18">
        <v>153</v>
      </c>
      <c r="V155" s="18" t="s">
        <v>902</v>
      </c>
      <c r="W155" s="18">
        <v>31</v>
      </c>
      <c r="X155" s="18" t="s">
        <v>45</v>
      </c>
      <c r="Y155" s="18" t="s">
        <v>683</v>
      </c>
      <c r="Z155" s="18" t="s">
        <v>903</v>
      </c>
      <c r="AA155" s="18">
        <v>9</v>
      </c>
      <c r="AC155" s="28" t="s">
        <v>2482</v>
      </c>
      <c r="AD155" s="28" t="s">
        <v>2494</v>
      </c>
      <c r="AE155" s="28" t="s">
        <v>2293</v>
      </c>
      <c r="AF155" s="28" t="s">
        <v>2484</v>
      </c>
      <c r="AG155" s="28" t="s">
        <v>2485</v>
      </c>
      <c r="AH155" s="28" t="s">
        <v>26</v>
      </c>
      <c r="AI155" s="28" t="s">
        <v>2305</v>
      </c>
      <c r="AJ155" s="28" t="s">
        <v>2297</v>
      </c>
      <c r="AK155" s="28" t="s">
        <v>11</v>
      </c>
      <c r="AL155" s="28" t="s">
        <v>2298</v>
      </c>
      <c r="AM155" s="114"/>
    </row>
    <row r="156" spans="7:39">
      <c r="G156" s="27">
        <v>2006</v>
      </c>
      <c r="H156" s="27" t="s">
        <v>170</v>
      </c>
      <c r="I156" s="27" t="s">
        <v>74</v>
      </c>
      <c r="J156" s="27" t="s">
        <v>16</v>
      </c>
      <c r="K156" s="27" t="s">
        <v>74</v>
      </c>
      <c r="L156" s="27" t="s">
        <v>299</v>
      </c>
      <c r="M156" s="27" t="s">
        <v>296</v>
      </c>
      <c r="N156" s="27">
        <v>3</v>
      </c>
      <c r="O156" s="27">
        <v>2</v>
      </c>
      <c r="P156" s="27" t="s">
        <v>110</v>
      </c>
      <c r="Q156" s="27" t="s">
        <v>111</v>
      </c>
      <c r="R156" s="27" t="s">
        <v>111</v>
      </c>
      <c r="S156" s="27" t="s">
        <v>112</v>
      </c>
      <c r="U156" s="18">
        <v>154</v>
      </c>
      <c r="V156" s="18" t="s">
        <v>904</v>
      </c>
      <c r="W156" s="18">
        <v>26</v>
      </c>
      <c r="X156" s="18" t="s">
        <v>45</v>
      </c>
      <c r="Y156" s="18" t="s">
        <v>683</v>
      </c>
      <c r="Z156" s="18" t="s">
        <v>905</v>
      </c>
      <c r="AA156" s="18">
        <v>10</v>
      </c>
      <c r="AC156" s="28" t="s">
        <v>2482</v>
      </c>
      <c r="AD156" s="28" t="s">
        <v>2494</v>
      </c>
      <c r="AE156" s="28" t="s">
        <v>2307</v>
      </c>
      <c r="AF156" s="28" t="s">
        <v>2486</v>
      </c>
      <c r="AG156" s="28" t="s">
        <v>2487</v>
      </c>
      <c r="AH156" s="28" t="s">
        <v>12</v>
      </c>
      <c r="AI156" s="28" t="s">
        <v>2305</v>
      </c>
      <c r="AJ156" s="28" t="s">
        <v>2297</v>
      </c>
      <c r="AK156" s="28" t="s">
        <v>19</v>
      </c>
      <c r="AL156" s="28" t="s">
        <v>2298</v>
      </c>
      <c r="AM156" s="114"/>
    </row>
    <row r="157" spans="7:39">
      <c r="G157" s="27">
        <v>2006</v>
      </c>
      <c r="H157" s="27" t="s">
        <v>170</v>
      </c>
      <c r="I157" s="27" t="s">
        <v>74</v>
      </c>
      <c r="J157" s="27" t="s">
        <v>16</v>
      </c>
      <c r="K157" s="27" t="s">
        <v>16</v>
      </c>
      <c r="L157" s="27" t="s">
        <v>300</v>
      </c>
      <c r="M157" s="27" t="s">
        <v>298</v>
      </c>
      <c r="N157" s="27">
        <v>4</v>
      </c>
      <c r="O157" s="27">
        <v>2</v>
      </c>
      <c r="P157" s="27" t="s">
        <v>140</v>
      </c>
      <c r="Q157" s="27" t="s">
        <v>111</v>
      </c>
      <c r="R157" s="27" t="s">
        <v>111</v>
      </c>
      <c r="S157" s="27" t="s">
        <v>160</v>
      </c>
      <c r="U157" s="18">
        <v>155</v>
      </c>
      <c r="V157" s="18" t="s">
        <v>906</v>
      </c>
      <c r="W157" s="18">
        <v>26</v>
      </c>
      <c r="X157" s="18" t="s">
        <v>45</v>
      </c>
      <c r="Y157" s="18" t="s">
        <v>683</v>
      </c>
      <c r="Z157" s="18" t="s">
        <v>901</v>
      </c>
      <c r="AA157" s="18">
        <v>12</v>
      </c>
      <c r="AC157" s="28" t="s">
        <v>2482</v>
      </c>
      <c r="AD157" s="28" t="s">
        <v>2494</v>
      </c>
      <c r="AE157" s="28" t="s">
        <v>2299</v>
      </c>
      <c r="AF157" s="28" t="s">
        <v>2488</v>
      </c>
      <c r="AG157" s="28" t="s">
        <v>2489</v>
      </c>
      <c r="AH157" s="28" t="s">
        <v>15</v>
      </c>
      <c r="AI157" s="28" t="s">
        <v>2302</v>
      </c>
      <c r="AJ157" s="28" t="s">
        <v>2302</v>
      </c>
      <c r="AK157" s="28" t="s">
        <v>9</v>
      </c>
      <c r="AL157" s="28" t="s">
        <v>2298</v>
      </c>
      <c r="AM157" s="114"/>
    </row>
    <row r="158" spans="7:39">
      <c r="G158" s="27">
        <v>2006</v>
      </c>
      <c r="H158" s="27" t="s">
        <v>170</v>
      </c>
      <c r="I158" s="27" t="s">
        <v>74</v>
      </c>
      <c r="J158" s="27" t="s">
        <v>16</v>
      </c>
      <c r="K158" s="27" t="s">
        <v>74</v>
      </c>
      <c r="L158" s="27" t="s">
        <v>301</v>
      </c>
      <c r="M158" s="27" t="s">
        <v>296</v>
      </c>
      <c r="N158" s="27">
        <v>5</v>
      </c>
      <c r="O158" s="27">
        <v>3</v>
      </c>
      <c r="P158" s="27" t="s">
        <v>140</v>
      </c>
      <c r="Q158" s="27" t="s">
        <v>111</v>
      </c>
      <c r="R158" s="27" t="s">
        <v>111</v>
      </c>
      <c r="S158" s="27" t="s">
        <v>112</v>
      </c>
      <c r="U158" s="18">
        <v>156</v>
      </c>
      <c r="V158" s="18" t="s">
        <v>907</v>
      </c>
      <c r="W158" s="18">
        <v>24</v>
      </c>
      <c r="X158" s="18" t="s">
        <v>45</v>
      </c>
      <c r="Y158" s="18" t="s">
        <v>683</v>
      </c>
      <c r="Z158" s="18" t="s">
        <v>908</v>
      </c>
      <c r="AA158" s="18">
        <v>24</v>
      </c>
      <c r="AC158" s="28" t="s">
        <v>2482</v>
      </c>
      <c r="AD158" s="28" t="s">
        <v>2494</v>
      </c>
      <c r="AE158" s="28" t="s">
        <v>2304</v>
      </c>
      <c r="AF158" s="28" t="s">
        <v>2249</v>
      </c>
      <c r="AG158" s="28" t="s">
        <v>2490</v>
      </c>
      <c r="AH158" s="28" t="s">
        <v>24</v>
      </c>
      <c r="AI158" s="28" t="s">
        <v>2305</v>
      </c>
      <c r="AJ158" s="28" t="s">
        <v>2302</v>
      </c>
      <c r="AK158" s="28" t="s">
        <v>10</v>
      </c>
      <c r="AL158" s="28" t="s">
        <v>2298</v>
      </c>
      <c r="AM158" s="114"/>
    </row>
    <row r="159" spans="7:39">
      <c r="G159" s="27">
        <v>2006</v>
      </c>
      <c r="H159" s="27" t="s">
        <v>170</v>
      </c>
      <c r="I159" s="27" t="s">
        <v>74</v>
      </c>
      <c r="J159" s="27" t="s">
        <v>16</v>
      </c>
      <c r="K159" s="27" t="s">
        <v>16</v>
      </c>
      <c r="L159" s="27" t="s">
        <v>302</v>
      </c>
      <c r="M159" s="27" t="s">
        <v>298</v>
      </c>
      <c r="N159" s="27">
        <v>6</v>
      </c>
      <c r="O159" s="27">
        <v>3</v>
      </c>
      <c r="P159" s="27" t="s">
        <v>190</v>
      </c>
      <c r="Q159" s="27" t="s">
        <v>111</v>
      </c>
      <c r="R159" s="27" t="s">
        <v>111</v>
      </c>
      <c r="S159" s="27" t="s">
        <v>124</v>
      </c>
      <c r="U159" s="18">
        <v>157</v>
      </c>
      <c r="V159" s="18" t="s">
        <v>909</v>
      </c>
      <c r="W159" s="18">
        <v>26</v>
      </c>
      <c r="X159" s="18" t="s">
        <v>82</v>
      </c>
      <c r="Y159" s="18" t="s">
        <v>642</v>
      </c>
      <c r="Z159" s="18" t="s">
        <v>910</v>
      </c>
      <c r="AA159" s="18">
        <v>1</v>
      </c>
      <c r="AC159" s="28" t="s">
        <v>2482</v>
      </c>
      <c r="AD159" s="28" t="s">
        <v>2495</v>
      </c>
      <c r="AE159" s="28" t="s">
        <v>2293</v>
      </c>
      <c r="AF159" s="28" t="s">
        <v>2484</v>
      </c>
      <c r="AG159" s="28" t="s">
        <v>2485</v>
      </c>
      <c r="AH159" s="28" t="s">
        <v>7</v>
      </c>
      <c r="AI159" s="28" t="s">
        <v>2338</v>
      </c>
      <c r="AJ159" s="28" t="s">
        <v>2302</v>
      </c>
      <c r="AK159" s="28" t="s">
        <v>53</v>
      </c>
      <c r="AL159" s="28" t="s">
        <v>2298</v>
      </c>
      <c r="AM159" s="114"/>
    </row>
    <row r="160" spans="7:39">
      <c r="G160" s="27">
        <v>2006</v>
      </c>
      <c r="H160" s="27" t="s">
        <v>170</v>
      </c>
      <c r="I160" s="27" t="s">
        <v>74</v>
      </c>
      <c r="J160" s="27" t="s">
        <v>16</v>
      </c>
      <c r="K160" s="27" t="s">
        <v>74</v>
      </c>
      <c r="L160" s="27" t="s">
        <v>303</v>
      </c>
      <c r="M160" s="27" t="s">
        <v>296</v>
      </c>
      <c r="N160" s="27">
        <v>7</v>
      </c>
      <c r="O160" s="27">
        <v>4</v>
      </c>
      <c r="P160" s="27" t="s">
        <v>190</v>
      </c>
      <c r="Q160" s="27" t="s">
        <v>111</v>
      </c>
      <c r="R160" s="27" t="s">
        <v>131</v>
      </c>
      <c r="S160" s="27" t="s">
        <v>112</v>
      </c>
      <c r="U160" s="18">
        <v>158</v>
      </c>
      <c r="V160" s="18" t="s">
        <v>911</v>
      </c>
      <c r="W160" s="18">
        <v>27</v>
      </c>
      <c r="X160" s="18" t="s">
        <v>82</v>
      </c>
      <c r="Y160" s="18" t="s">
        <v>642</v>
      </c>
      <c r="Z160" s="18" t="s">
        <v>912</v>
      </c>
      <c r="AA160" s="18">
        <v>21</v>
      </c>
      <c r="AC160" s="28" t="s">
        <v>2482</v>
      </c>
      <c r="AD160" s="28" t="s">
        <v>2495</v>
      </c>
      <c r="AE160" s="28" t="s">
        <v>2307</v>
      </c>
      <c r="AF160" s="28" t="s">
        <v>2486</v>
      </c>
      <c r="AG160" s="28" t="s">
        <v>2487</v>
      </c>
      <c r="AH160" s="28" t="s">
        <v>28</v>
      </c>
      <c r="AI160" s="28" t="s">
        <v>2301</v>
      </c>
      <c r="AJ160" s="28" t="s">
        <v>2297</v>
      </c>
      <c r="AK160" s="28" t="s">
        <v>21</v>
      </c>
      <c r="AL160" s="28" t="s">
        <v>2298</v>
      </c>
      <c r="AM160" s="114"/>
    </row>
    <row r="161" spans="7:39">
      <c r="G161" s="27">
        <v>2006</v>
      </c>
      <c r="H161" s="27" t="s">
        <v>135</v>
      </c>
      <c r="I161" s="27" t="s">
        <v>18</v>
      </c>
      <c r="J161" s="27" t="s">
        <v>9</v>
      </c>
      <c r="K161" s="27" t="s">
        <v>18</v>
      </c>
      <c r="L161" s="27" t="s">
        <v>304</v>
      </c>
      <c r="M161" s="27" t="s">
        <v>305</v>
      </c>
      <c r="N161" s="27">
        <v>1</v>
      </c>
      <c r="O161" s="27">
        <v>1</v>
      </c>
      <c r="P161" s="27" t="s">
        <v>110</v>
      </c>
      <c r="Q161" s="27" t="s">
        <v>111</v>
      </c>
      <c r="R161" s="27" t="s">
        <v>111</v>
      </c>
      <c r="S161" s="27" t="s">
        <v>112</v>
      </c>
      <c r="U161" s="18">
        <v>159</v>
      </c>
      <c r="V161" s="18" t="s">
        <v>913</v>
      </c>
      <c r="W161" s="18">
        <v>28</v>
      </c>
      <c r="X161" s="18" t="s">
        <v>82</v>
      </c>
      <c r="Y161" s="18" t="s">
        <v>642</v>
      </c>
      <c r="Z161" s="18" t="s">
        <v>914</v>
      </c>
      <c r="AA161" s="18">
        <v>22</v>
      </c>
      <c r="AC161" s="28" t="s">
        <v>2482</v>
      </c>
      <c r="AD161" s="28" t="s">
        <v>2495</v>
      </c>
      <c r="AE161" s="28" t="s">
        <v>2299</v>
      </c>
      <c r="AF161" s="28" t="s">
        <v>2488</v>
      </c>
      <c r="AG161" s="28" t="s">
        <v>2489</v>
      </c>
      <c r="AH161" s="28" t="s">
        <v>23</v>
      </c>
      <c r="AI161" s="28" t="s">
        <v>2302</v>
      </c>
      <c r="AJ161" s="28" t="s">
        <v>2302</v>
      </c>
      <c r="AK161" s="28" t="s">
        <v>34</v>
      </c>
      <c r="AL161" s="28" t="s">
        <v>2298</v>
      </c>
      <c r="AM161" s="114"/>
    </row>
    <row r="162" spans="7:39">
      <c r="G162" s="27">
        <v>2006</v>
      </c>
      <c r="H162" s="27" t="s">
        <v>135</v>
      </c>
      <c r="I162" s="27" t="s">
        <v>18</v>
      </c>
      <c r="J162" s="27" t="s">
        <v>9</v>
      </c>
      <c r="K162" s="27" t="s">
        <v>9</v>
      </c>
      <c r="L162" s="27" t="s">
        <v>306</v>
      </c>
      <c r="M162" s="27" t="s">
        <v>307</v>
      </c>
      <c r="N162" s="27">
        <v>2</v>
      </c>
      <c r="O162" s="27">
        <v>1</v>
      </c>
      <c r="P162" s="27" t="s">
        <v>140</v>
      </c>
      <c r="Q162" s="27" t="s">
        <v>111</v>
      </c>
      <c r="R162" s="27" t="s">
        <v>111</v>
      </c>
      <c r="S162" s="27" t="s">
        <v>112</v>
      </c>
      <c r="U162" s="18">
        <v>160</v>
      </c>
      <c r="V162" s="18" t="s">
        <v>915</v>
      </c>
      <c r="W162" s="18">
        <v>35</v>
      </c>
      <c r="X162" s="18" t="s">
        <v>82</v>
      </c>
      <c r="Y162" s="18" t="s">
        <v>649</v>
      </c>
      <c r="Z162" s="18" t="s">
        <v>916</v>
      </c>
      <c r="AA162" s="18">
        <v>3</v>
      </c>
      <c r="AC162" s="28" t="s">
        <v>2482</v>
      </c>
      <c r="AD162" s="28" t="s">
        <v>2495</v>
      </c>
      <c r="AE162" s="28" t="s">
        <v>2304</v>
      </c>
      <c r="AF162" s="28" t="s">
        <v>2249</v>
      </c>
      <c r="AG162" s="28" t="s">
        <v>2490</v>
      </c>
      <c r="AH162" s="28" t="s">
        <v>20</v>
      </c>
      <c r="AI162" s="28" t="s">
        <v>2301</v>
      </c>
      <c r="AJ162" s="28" t="s">
        <v>2302</v>
      </c>
      <c r="AK162" s="28" t="s">
        <v>16</v>
      </c>
      <c r="AL162" s="28" t="s">
        <v>2298</v>
      </c>
      <c r="AM162" s="114"/>
    </row>
    <row r="163" spans="7:39">
      <c r="G163" s="27">
        <v>2006</v>
      </c>
      <c r="H163" s="27" t="s">
        <v>135</v>
      </c>
      <c r="I163" s="27" t="s">
        <v>18</v>
      </c>
      <c r="J163" s="27" t="s">
        <v>9</v>
      </c>
      <c r="K163" s="27" t="s">
        <v>18</v>
      </c>
      <c r="L163" s="27" t="s">
        <v>308</v>
      </c>
      <c r="M163" s="27" t="s">
        <v>305</v>
      </c>
      <c r="N163" s="27">
        <v>3</v>
      </c>
      <c r="O163" s="27">
        <v>2</v>
      </c>
      <c r="P163" s="27" t="s">
        <v>117</v>
      </c>
      <c r="Q163" s="27" t="s">
        <v>111</v>
      </c>
      <c r="R163" s="27" t="s">
        <v>111</v>
      </c>
      <c r="S163" s="27" t="s">
        <v>112</v>
      </c>
      <c r="U163" s="18">
        <v>161</v>
      </c>
      <c r="V163" s="18" t="s">
        <v>917</v>
      </c>
      <c r="W163" s="18">
        <v>28</v>
      </c>
      <c r="X163" s="18" t="s">
        <v>82</v>
      </c>
      <c r="Y163" s="18" t="s">
        <v>649</v>
      </c>
      <c r="Z163" s="18" t="s">
        <v>918</v>
      </c>
      <c r="AA163" s="18">
        <v>4</v>
      </c>
      <c r="AC163" s="28" t="s">
        <v>2482</v>
      </c>
      <c r="AD163" s="28" t="s">
        <v>2496</v>
      </c>
      <c r="AE163" s="28" t="s">
        <v>135</v>
      </c>
      <c r="AF163" s="28" t="s">
        <v>2484</v>
      </c>
      <c r="AG163" s="28" t="s">
        <v>2485</v>
      </c>
      <c r="AH163" s="28" t="s">
        <v>10</v>
      </c>
      <c r="AI163" s="28" t="s">
        <v>2305</v>
      </c>
      <c r="AJ163" s="28" t="s">
        <v>2297</v>
      </c>
      <c r="AK163" s="28" t="s">
        <v>26</v>
      </c>
      <c r="AL163" s="28" t="s">
        <v>2298</v>
      </c>
      <c r="AM163" s="114"/>
    </row>
    <row r="164" spans="7:39">
      <c r="G164" s="27">
        <v>2006</v>
      </c>
      <c r="H164" s="27" t="s">
        <v>135</v>
      </c>
      <c r="I164" s="27" t="s">
        <v>18</v>
      </c>
      <c r="J164" s="27" t="s">
        <v>9</v>
      </c>
      <c r="K164" s="27" t="s">
        <v>9</v>
      </c>
      <c r="L164" s="27" t="s">
        <v>309</v>
      </c>
      <c r="M164" s="27" t="s">
        <v>307</v>
      </c>
      <c r="N164" s="27">
        <v>4</v>
      </c>
      <c r="O164" s="27">
        <v>2</v>
      </c>
      <c r="P164" s="27" t="s">
        <v>119</v>
      </c>
      <c r="Q164" s="27" t="s">
        <v>111</v>
      </c>
      <c r="R164" s="27" t="s">
        <v>111</v>
      </c>
      <c r="S164" s="27" t="s">
        <v>124</v>
      </c>
      <c r="U164" s="18">
        <v>162</v>
      </c>
      <c r="V164" s="18" t="s">
        <v>919</v>
      </c>
      <c r="W164" s="18">
        <v>24</v>
      </c>
      <c r="X164" s="18" t="s">
        <v>82</v>
      </c>
      <c r="Y164" s="18" t="s">
        <v>649</v>
      </c>
      <c r="Z164" s="18" t="s">
        <v>910</v>
      </c>
      <c r="AA164" s="18">
        <v>5</v>
      </c>
      <c r="AC164" s="28" t="s">
        <v>2482</v>
      </c>
      <c r="AD164" s="28" t="s">
        <v>2496</v>
      </c>
      <c r="AE164" s="28" t="s">
        <v>135</v>
      </c>
      <c r="AF164" s="28" t="s">
        <v>2486</v>
      </c>
      <c r="AG164" s="28" t="s">
        <v>2487</v>
      </c>
      <c r="AH164" s="28" t="s">
        <v>12</v>
      </c>
      <c r="AI164" s="28" t="s">
        <v>2301</v>
      </c>
      <c r="AJ164" s="28" t="s">
        <v>2297</v>
      </c>
      <c r="AK164" s="28" t="s">
        <v>23</v>
      </c>
      <c r="AL164" s="28" t="s">
        <v>2298</v>
      </c>
      <c r="AM164" s="114"/>
    </row>
    <row r="165" spans="7:39">
      <c r="G165" s="27">
        <v>2006</v>
      </c>
      <c r="H165" s="27" t="s">
        <v>135</v>
      </c>
      <c r="I165" s="27" t="s">
        <v>18</v>
      </c>
      <c r="J165" s="27" t="s">
        <v>9</v>
      </c>
      <c r="K165" s="27" t="s">
        <v>18</v>
      </c>
      <c r="L165" s="27" t="s">
        <v>310</v>
      </c>
      <c r="M165" s="27" t="s">
        <v>305</v>
      </c>
      <c r="N165" s="27">
        <v>5</v>
      </c>
      <c r="O165" s="27">
        <v>3</v>
      </c>
      <c r="P165" s="27" t="s">
        <v>119</v>
      </c>
      <c r="Q165" s="27" t="s">
        <v>111</v>
      </c>
      <c r="R165" s="27" t="s">
        <v>111</v>
      </c>
      <c r="S165" s="27" t="s">
        <v>112</v>
      </c>
      <c r="U165" s="18">
        <v>163</v>
      </c>
      <c r="V165" s="18" t="s">
        <v>920</v>
      </c>
      <c r="W165" s="18">
        <v>21</v>
      </c>
      <c r="X165" s="18" t="s">
        <v>82</v>
      </c>
      <c r="Y165" s="18" t="s">
        <v>649</v>
      </c>
      <c r="Z165" s="18" t="s">
        <v>921</v>
      </c>
      <c r="AA165" s="18">
        <v>13</v>
      </c>
      <c r="AC165" s="28" t="s">
        <v>2482</v>
      </c>
      <c r="AD165" s="28" t="s">
        <v>2496</v>
      </c>
      <c r="AE165" s="28" t="s">
        <v>135</v>
      </c>
      <c r="AF165" s="28" t="s">
        <v>2488</v>
      </c>
      <c r="AG165" s="28" t="s">
        <v>2489</v>
      </c>
      <c r="AH165" s="28" t="s">
        <v>21</v>
      </c>
      <c r="AI165" s="28" t="s">
        <v>2297</v>
      </c>
      <c r="AJ165" s="28" t="s">
        <v>2302</v>
      </c>
      <c r="AK165" s="28" t="s">
        <v>15</v>
      </c>
      <c r="AL165" s="28" t="s">
        <v>2298</v>
      </c>
      <c r="AM165" s="114"/>
    </row>
    <row r="166" spans="7:39">
      <c r="G166" s="27">
        <v>2006</v>
      </c>
      <c r="H166" s="27" t="s">
        <v>135</v>
      </c>
      <c r="I166" s="27" t="s">
        <v>18</v>
      </c>
      <c r="J166" s="27" t="s">
        <v>9</v>
      </c>
      <c r="K166" s="27" t="s">
        <v>9</v>
      </c>
      <c r="L166" s="27" t="s">
        <v>311</v>
      </c>
      <c r="M166" s="27" t="s">
        <v>307</v>
      </c>
      <c r="N166" s="27">
        <v>6</v>
      </c>
      <c r="O166" s="27">
        <v>3</v>
      </c>
      <c r="P166" s="27" t="s">
        <v>145</v>
      </c>
      <c r="Q166" s="27" t="s">
        <v>111</v>
      </c>
      <c r="R166" s="27" t="s">
        <v>111</v>
      </c>
      <c r="S166" s="27" t="s">
        <v>112</v>
      </c>
      <c r="U166" s="18">
        <v>164</v>
      </c>
      <c r="V166" s="18" t="s">
        <v>922</v>
      </c>
      <c r="W166" s="18">
        <v>35</v>
      </c>
      <c r="X166" s="18" t="s">
        <v>82</v>
      </c>
      <c r="Y166" s="18" t="s">
        <v>649</v>
      </c>
      <c r="Z166" s="18" t="s">
        <v>914</v>
      </c>
      <c r="AA166" s="18">
        <v>16</v>
      </c>
      <c r="AC166" s="28" t="s">
        <v>2482</v>
      </c>
      <c r="AD166" s="28" t="s">
        <v>2496</v>
      </c>
      <c r="AE166" s="28" t="s">
        <v>135</v>
      </c>
      <c r="AF166" s="28" t="s">
        <v>2249</v>
      </c>
      <c r="AG166" s="28" t="s">
        <v>2490</v>
      </c>
      <c r="AH166" s="28" t="s">
        <v>7</v>
      </c>
      <c r="AI166" s="28" t="s">
        <v>2297</v>
      </c>
      <c r="AJ166" s="28" t="s">
        <v>2302</v>
      </c>
      <c r="AK166" s="28" t="s">
        <v>24</v>
      </c>
      <c r="AL166" s="28" t="s">
        <v>2298</v>
      </c>
      <c r="AM166" s="114"/>
    </row>
    <row r="167" spans="7:39">
      <c r="G167" s="27">
        <v>2006</v>
      </c>
      <c r="H167" s="27" t="s">
        <v>135</v>
      </c>
      <c r="I167" s="27" t="s">
        <v>18</v>
      </c>
      <c r="J167" s="27" t="s">
        <v>9</v>
      </c>
      <c r="K167" s="27" t="s">
        <v>18</v>
      </c>
      <c r="L167" s="27" t="s">
        <v>312</v>
      </c>
      <c r="M167" s="27" t="s">
        <v>305</v>
      </c>
      <c r="N167" s="27">
        <v>7</v>
      </c>
      <c r="O167" s="27">
        <v>4</v>
      </c>
      <c r="P167" s="27" t="s">
        <v>123</v>
      </c>
      <c r="Q167" s="27" t="s">
        <v>111</v>
      </c>
      <c r="R167" s="27" t="s">
        <v>111</v>
      </c>
      <c r="S167" s="27" t="s">
        <v>112</v>
      </c>
      <c r="U167" s="18">
        <v>165</v>
      </c>
      <c r="V167" s="18" t="s">
        <v>923</v>
      </c>
      <c r="W167" s="18">
        <v>22</v>
      </c>
      <c r="X167" s="18" t="s">
        <v>82</v>
      </c>
      <c r="Y167" s="18" t="s">
        <v>649</v>
      </c>
      <c r="Z167" s="18" t="s">
        <v>918</v>
      </c>
      <c r="AA167" s="18">
        <v>25</v>
      </c>
      <c r="AC167" s="28" t="s">
        <v>2482</v>
      </c>
      <c r="AD167" s="28" t="s">
        <v>2497</v>
      </c>
      <c r="AE167" s="28" t="s">
        <v>106</v>
      </c>
      <c r="AF167" s="28" t="s">
        <v>2486</v>
      </c>
      <c r="AG167" s="28" t="s">
        <v>2487</v>
      </c>
      <c r="AH167" s="28" t="s">
        <v>21</v>
      </c>
      <c r="AI167" s="28" t="s">
        <v>2301</v>
      </c>
      <c r="AJ167" s="28" t="s">
        <v>2297</v>
      </c>
      <c r="AK167" s="28" t="s">
        <v>7</v>
      </c>
      <c r="AL167" s="28" t="s">
        <v>2298</v>
      </c>
      <c r="AM167" s="114"/>
    </row>
    <row r="168" spans="7:39">
      <c r="G168" s="27">
        <v>2006</v>
      </c>
      <c r="H168" s="27" t="s">
        <v>135</v>
      </c>
      <c r="I168" s="27" t="s">
        <v>18</v>
      </c>
      <c r="J168" s="27" t="s">
        <v>9</v>
      </c>
      <c r="K168" s="27" t="s">
        <v>9</v>
      </c>
      <c r="L168" s="27" t="s">
        <v>313</v>
      </c>
      <c r="M168" s="27" t="s">
        <v>307</v>
      </c>
      <c r="N168" s="27">
        <v>8</v>
      </c>
      <c r="O168" s="27">
        <v>4</v>
      </c>
      <c r="P168" s="27" t="s">
        <v>148</v>
      </c>
      <c r="Q168" s="27" t="s">
        <v>131</v>
      </c>
      <c r="R168" s="27" t="s">
        <v>131</v>
      </c>
      <c r="S168" s="27" t="s">
        <v>124</v>
      </c>
      <c r="U168" s="18">
        <v>166</v>
      </c>
      <c r="V168" s="18" t="s">
        <v>924</v>
      </c>
      <c r="W168" s="18">
        <v>26</v>
      </c>
      <c r="X168" s="18" t="s">
        <v>82</v>
      </c>
      <c r="Y168" s="18" t="s">
        <v>657</v>
      </c>
      <c r="Z168" s="18" t="s">
        <v>925</v>
      </c>
      <c r="AA168" s="18">
        <v>14</v>
      </c>
      <c r="AC168" s="28" t="s">
        <v>2482</v>
      </c>
      <c r="AD168" s="28" t="s">
        <v>2497</v>
      </c>
      <c r="AE168" s="28" t="s">
        <v>106</v>
      </c>
      <c r="AF168" s="28" t="s">
        <v>2249</v>
      </c>
      <c r="AG168" s="28" t="s">
        <v>2490</v>
      </c>
      <c r="AH168" s="28" t="s">
        <v>12</v>
      </c>
      <c r="AI168" s="28" t="s">
        <v>2296</v>
      </c>
      <c r="AJ168" s="28" t="s">
        <v>2305</v>
      </c>
      <c r="AK168" s="28" t="s">
        <v>10</v>
      </c>
      <c r="AL168" s="28" t="s">
        <v>2298</v>
      </c>
      <c r="AM168" s="114"/>
    </row>
    <row r="169" spans="7:39">
      <c r="G169" s="27">
        <v>2006</v>
      </c>
      <c r="H169" s="27" t="s">
        <v>135</v>
      </c>
      <c r="I169" s="27" t="s">
        <v>30</v>
      </c>
      <c r="J169" s="27" t="s">
        <v>23</v>
      </c>
      <c r="K169" s="27" t="s">
        <v>30</v>
      </c>
      <c r="L169" s="27" t="s">
        <v>314</v>
      </c>
      <c r="M169" s="27" t="s">
        <v>315</v>
      </c>
      <c r="N169" s="27">
        <v>1</v>
      </c>
      <c r="O169" s="27">
        <v>1</v>
      </c>
      <c r="P169" s="27" t="s">
        <v>110</v>
      </c>
      <c r="Q169" s="27" t="s">
        <v>111</v>
      </c>
      <c r="R169" s="27" t="s">
        <v>111</v>
      </c>
      <c r="S169" s="27" t="s">
        <v>112</v>
      </c>
      <c r="U169" s="18">
        <v>167</v>
      </c>
      <c r="V169" s="18" t="s">
        <v>926</v>
      </c>
      <c r="W169" s="18">
        <v>30</v>
      </c>
      <c r="X169" s="18" t="s">
        <v>82</v>
      </c>
      <c r="Y169" s="18" t="s">
        <v>657</v>
      </c>
      <c r="Z169" s="18" t="s">
        <v>912</v>
      </c>
      <c r="AA169" s="18">
        <v>18</v>
      </c>
      <c r="AC169" s="28" t="s">
        <v>2482</v>
      </c>
      <c r="AD169" s="28" t="s">
        <v>2498</v>
      </c>
      <c r="AE169" s="28" t="s">
        <v>2350</v>
      </c>
      <c r="AF169" s="28" t="s">
        <v>2249</v>
      </c>
      <c r="AG169" s="28" t="s">
        <v>2490</v>
      </c>
      <c r="AH169" s="28" t="s">
        <v>10</v>
      </c>
      <c r="AI169" s="28" t="s">
        <v>2297</v>
      </c>
      <c r="AJ169" s="28" t="s">
        <v>2302</v>
      </c>
      <c r="AK169" s="28" t="s">
        <v>7</v>
      </c>
      <c r="AL169" s="28" t="s">
        <v>2298</v>
      </c>
      <c r="AM169" s="114"/>
    </row>
    <row r="170" spans="7:39">
      <c r="G170" s="27">
        <v>2006</v>
      </c>
      <c r="H170" s="27" t="s">
        <v>135</v>
      </c>
      <c r="I170" s="27" t="s">
        <v>30</v>
      </c>
      <c r="J170" s="27" t="s">
        <v>23</v>
      </c>
      <c r="K170" s="27" t="s">
        <v>23</v>
      </c>
      <c r="L170" s="27" t="s">
        <v>316</v>
      </c>
      <c r="M170" s="27" t="s">
        <v>317</v>
      </c>
      <c r="N170" s="27">
        <v>2</v>
      </c>
      <c r="O170" s="27">
        <v>1</v>
      </c>
      <c r="P170" s="27" t="s">
        <v>140</v>
      </c>
      <c r="Q170" s="27" t="s">
        <v>111</v>
      </c>
      <c r="R170" s="27" t="s">
        <v>111</v>
      </c>
      <c r="S170" s="27" t="s">
        <v>124</v>
      </c>
      <c r="U170" s="18">
        <v>168</v>
      </c>
      <c r="V170" s="18" t="s">
        <v>927</v>
      </c>
      <c r="W170" s="18">
        <v>35</v>
      </c>
      <c r="X170" s="18" t="s">
        <v>82</v>
      </c>
      <c r="Y170" s="18" t="s">
        <v>661</v>
      </c>
      <c r="Z170" s="18" t="s">
        <v>914</v>
      </c>
      <c r="AA170" s="18">
        <v>2</v>
      </c>
      <c r="AC170" s="28" t="s">
        <v>2482</v>
      </c>
      <c r="AD170" s="28" t="s">
        <v>2499</v>
      </c>
      <c r="AE170" s="28" t="s">
        <v>238</v>
      </c>
      <c r="AF170" s="28" t="s">
        <v>2249</v>
      </c>
      <c r="AG170" s="28" t="s">
        <v>2490</v>
      </c>
      <c r="AH170" s="28" t="s">
        <v>12</v>
      </c>
      <c r="AI170" s="28" t="s">
        <v>2301</v>
      </c>
      <c r="AJ170" s="28" t="s">
        <v>2297</v>
      </c>
      <c r="AK170" s="28" t="s">
        <v>21</v>
      </c>
      <c r="AL170" s="28" t="s">
        <v>2298</v>
      </c>
      <c r="AM170" s="114"/>
    </row>
    <row r="171" spans="7:39">
      <c r="G171" s="27">
        <v>2006</v>
      </c>
      <c r="H171" s="27" t="s">
        <v>135</v>
      </c>
      <c r="I171" s="27" t="s">
        <v>30</v>
      </c>
      <c r="J171" s="27" t="s">
        <v>23</v>
      </c>
      <c r="K171" s="27" t="s">
        <v>30</v>
      </c>
      <c r="L171" s="27" t="s">
        <v>318</v>
      </c>
      <c r="M171" s="27" t="s">
        <v>315</v>
      </c>
      <c r="N171" s="27">
        <v>3</v>
      </c>
      <c r="O171" s="27">
        <v>2</v>
      </c>
      <c r="P171" s="27" t="s">
        <v>140</v>
      </c>
      <c r="Q171" s="27" t="s">
        <v>111</v>
      </c>
      <c r="R171" s="27" t="s">
        <v>111</v>
      </c>
      <c r="S171" s="27" t="s">
        <v>160</v>
      </c>
      <c r="U171" s="18">
        <v>169</v>
      </c>
      <c r="V171" s="18" t="s">
        <v>928</v>
      </c>
      <c r="W171" s="18">
        <v>33</v>
      </c>
      <c r="X171" s="18" t="s">
        <v>82</v>
      </c>
      <c r="Y171" s="18" t="s">
        <v>664</v>
      </c>
      <c r="Z171" s="18" t="s">
        <v>918</v>
      </c>
      <c r="AA171" s="18">
        <v>20</v>
      </c>
      <c r="AC171" s="28" t="s">
        <v>2500</v>
      </c>
      <c r="AD171" s="28" t="s">
        <v>2501</v>
      </c>
      <c r="AE171" s="28" t="s">
        <v>2293</v>
      </c>
      <c r="AF171" s="28" t="s">
        <v>2502</v>
      </c>
      <c r="AG171" s="28" t="s">
        <v>2503</v>
      </c>
      <c r="AH171" s="28" t="s">
        <v>23</v>
      </c>
      <c r="AI171" s="28" t="s">
        <v>2302</v>
      </c>
      <c r="AJ171" s="28" t="s">
        <v>2302</v>
      </c>
      <c r="AK171" s="28" t="s">
        <v>11</v>
      </c>
      <c r="AL171" s="28" t="s">
        <v>2298</v>
      </c>
      <c r="AM171" s="114"/>
    </row>
    <row r="172" spans="7:39">
      <c r="G172" s="27">
        <v>2006</v>
      </c>
      <c r="H172" s="27" t="s">
        <v>135</v>
      </c>
      <c r="I172" s="27" t="s">
        <v>30</v>
      </c>
      <c r="J172" s="27" t="s">
        <v>23</v>
      </c>
      <c r="K172" s="27" t="s">
        <v>23</v>
      </c>
      <c r="L172" s="27" t="s">
        <v>319</v>
      </c>
      <c r="M172" s="27" t="s">
        <v>317</v>
      </c>
      <c r="N172" s="27">
        <v>4</v>
      </c>
      <c r="O172" s="27">
        <v>2</v>
      </c>
      <c r="P172" s="27" t="s">
        <v>140</v>
      </c>
      <c r="Q172" s="27" t="s">
        <v>111</v>
      </c>
      <c r="R172" s="27" t="s">
        <v>111</v>
      </c>
      <c r="S172" s="27" t="s">
        <v>112</v>
      </c>
      <c r="U172" s="18">
        <v>170</v>
      </c>
      <c r="V172" s="18" t="s">
        <v>929</v>
      </c>
      <c r="W172" s="18">
        <v>29</v>
      </c>
      <c r="X172" s="18" t="s">
        <v>82</v>
      </c>
      <c r="Y172" s="18" t="s">
        <v>664</v>
      </c>
      <c r="Z172" s="18" t="s">
        <v>916</v>
      </c>
      <c r="AA172" s="18">
        <v>23</v>
      </c>
      <c r="AC172" s="28" t="s">
        <v>2500</v>
      </c>
      <c r="AD172" s="28" t="s">
        <v>2504</v>
      </c>
      <c r="AE172" s="28" t="s">
        <v>2304</v>
      </c>
      <c r="AF172" s="28" t="s">
        <v>2505</v>
      </c>
      <c r="AG172" s="28" t="s">
        <v>2506</v>
      </c>
      <c r="AH172" s="28" t="s">
        <v>24</v>
      </c>
      <c r="AI172" s="28" t="s">
        <v>2338</v>
      </c>
      <c r="AJ172" s="28" t="s">
        <v>2302</v>
      </c>
      <c r="AK172" s="28" t="s">
        <v>16</v>
      </c>
      <c r="AL172" s="28" t="s">
        <v>2298</v>
      </c>
      <c r="AM172" s="114"/>
    </row>
    <row r="173" spans="7:39">
      <c r="G173" s="27">
        <v>2006</v>
      </c>
      <c r="H173" s="27" t="s">
        <v>135</v>
      </c>
      <c r="I173" s="27" t="s">
        <v>30</v>
      </c>
      <c r="J173" s="27" t="s">
        <v>23</v>
      </c>
      <c r="K173" s="27" t="s">
        <v>30</v>
      </c>
      <c r="L173" s="27" t="s">
        <v>320</v>
      </c>
      <c r="M173" s="27" t="s">
        <v>315</v>
      </c>
      <c r="N173" s="27">
        <v>5</v>
      </c>
      <c r="O173" s="27">
        <v>3</v>
      </c>
      <c r="P173" s="27" t="s">
        <v>117</v>
      </c>
      <c r="Q173" s="27" t="s">
        <v>111</v>
      </c>
      <c r="R173" s="27" t="s">
        <v>111</v>
      </c>
      <c r="S173" s="27" t="s">
        <v>160</v>
      </c>
      <c r="U173" s="18">
        <v>171</v>
      </c>
      <c r="V173" s="18" t="s">
        <v>930</v>
      </c>
      <c r="W173" s="18">
        <v>36</v>
      </c>
      <c r="X173" s="18" t="s">
        <v>82</v>
      </c>
      <c r="Y173" s="18" t="s">
        <v>669</v>
      </c>
      <c r="Z173" s="18" t="s">
        <v>910</v>
      </c>
      <c r="AA173" s="18">
        <v>6</v>
      </c>
      <c r="AC173" s="28" t="s">
        <v>2500</v>
      </c>
      <c r="AD173" s="28" t="s">
        <v>2504</v>
      </c>
      <c r="AE173" s="28" t="s">
        <v>2307</v>
      </c>
      <c r="AF173" s="28" t="s">
        <v>2507</v>
      </c>
      <c r="AG173" s="28" t="s">
        <v>2508</v>
      </c>
      <c r="AH173" s="28" t="s">
        <v>12</v>
      </c>
      <c r="AI173" s="28" t="s">
        <v>2305</v>
      </c>
      <c r="AJ173" s="28" t="s">
        <v>2302</v>
      </c>
      <c r="AK173" s="28" t="s">
        <v>34</v>
      </c>
      <c r="AL173" s="28" t="s">
        <v>2298</v>
      </c>
      <c r="AM173" s="114"/>
    </row>
    <row r="174" spans="7:39">
      <c r="G174" s="27">
        <v>2006</v>
      </c>
      <c r="H174" s="27" t="s">
        <v>135</v>
      </c>
      <c r="I174" s="27" t="s">
        <v>30</v>
      </c>
      <c r="J174" s="27" t="s">
        <v>23</v>
      </c>
      <c r="K174" s="27" t="s">
        <v>23</v>
      </c>
      <c r="L174" s="27" t="s">
        <v>321</v>
      </c>
      <c r="M174" s="27" t="s">
        <v>317</v>
      </c>
      <c r="N174" s="27">
        <v>6</v>
      </c>
      <c r="O174" s="27">
        <v>3</v>
      </c>
      <c r="P174" s="27" t="s">
        <v>117</v>
      </c>
      <c r="Q174" s="27" t="s">
        <v>111</v>
      </c>
      <c r="R174" s="27" t="s">
        <v>111</v>
      </c>
      <c r="S174" s="27" t="s">
        <v>124</v>
      </c>
      <c r="U174" s="18">
        <v>172</v>
      </c>
      <c r="V174" s="18" t="s">
        <v>931</v>
      </c>
      <c r="W174" s="18">
        <v>35</v>
      </c>
      <c r="X174" s="18" t="s">
        <v>82</v>
      </c>
      <c r="Y174" s="18" t="s">
        <v>669</v>
      </c>
      <c r="Z174" s="18" t="s">
        <v>912</v>
      </c>
      <c r="AA174" s="18">
        <v>12</v>
      </c>
      <c r="AC174" s="28" t="s">
        <v>2500</v>
      </c>
      <c r="AD174" s="28" t="s">
        <v>2504</v>
      </c>
      <c r="AE174" s="28" t="s">
        <v>2299</v>
      </c>
      <c r="AF174" s="28" t="s">
        <v>2509</v>
      </c>
      <c r="AG174" s="28" t="s">
        <v>2510</v>
      </c>
      <c r="AH174" s="28" t="s">
        <v>26</v>
      </c>
      <c r="AI174" s="28" t="s">
        <v>2301</v>
      </c>
      <c r="AJ174" s="28" t="s">
        <v>2302</v>
      </c>
      <c r="AK174" s="28" t="s">
        <v>31</v>
      </c>
      <c r="AL174" s="28" t="s">
        <v>2298</v>
      </c>
      <c r="AM174" s="114"/>
    </row>
    <row r="175" spans="7:39">
      <c r="G175" s="27">
        <v>2006</v>
      </c>
      <c r="H175" s="27" t="s">
        <v>135</v>
      </c>
      <c r="I175" s="27" t="s">
        <v>30</v>
      </c>
      <c r="J175" s="27" t="s">
        <v>23</v>
      </c>
      <c r="K175" s="27" t="s">
        <v>30</v>
      </c>
      <c r="L175" s="27" t="s">
        <v>322</v>
      </c>
      <c r="M175" s="27" t="s">
        <v>315</v>
      </c>
      <c r="N175" s="27">
        <v>7</v>
      </c>
      <c r="O175" s="27">
        <v>4</v>
      </c>
      <c r="P175" s="27" t="s">
        <v>117</v>
      </c>
      <c r="Q175" s="27" t="s">
        <v>111</v>
      </c>
      <c r="R175" s="27" t="s">
        <v>111</v>
      </c>
      <c r="S175" s="27" t="s">
        <v>112</v>
      </c>
      <c r="U175" s="18">
        <v>173</v>
      </c>
      <c r="V175" s="18" t="s">
        <v>932</v>
      </c>
      <c r="W175" s="18">
        <v>35</v>
      </c>
      <c r="X175" s="18" t="s">
        <v>82</v>
      </c>
      <c r="Y175" s="18" t="s">
        <v>675</v>
      </c>
      <c r="Z175" s="18" t="s">
        <v>914</v>
      </c>
      <c r="AA175" s="18">
        <v>10</v>
      </c>
      <c r="AC175" s="28" t="s">
        <v>2500</v>
      </c>
      <c r="AD175" s="28" t="s">
        <v>2511</v>
      </c>
      <c r="AE175" s="28" t="s">
        <v>2293</v>
      </c>
      <c r="AF175" s="28" t="s">
        <v>2502</v>
      </c>
      <c r="AG175" s="28" t="s">
        <v>2503</v>
      </c>
      <c r="AH175" s="28" t="s">
        <v>5</v>
      </c>
      <c r="AI175" s="28" t="s">
        <v>2297</v>
      </c>
      <c r="AJ175" s="28" t="s">
        <v>2297</v>
      </c>
      <c r="AK175" s="28" t="s">
        <v>28</v>
      </c>
      <c r="AL175" s="28" t="s">
        <v>2298</v>
      </c>
      <c r="AM175" s="114"/>
    </row>
    <row r="176" spans="7:39">
      <c r="G176" s="27">
        <v>2006</v>
      </c>
      <c r="H176" s="27" t="s">
        <v>135</v>
      </c>
      <c r="I176" s="27" t="s">
        <v>30</v>
      </c>
      <c r="J176" s="27" t="s">
        <v>23</v>
      </c>
      <c r="K176" s="27" t="s">
        <v>23</v>
      </c>
      <c r="L176" s="27" t="s">
        <v>323</v>
      </c>
      <c r="M176" s="27" t="s">
        <v>317</v>
      </c>
      <c r="N176" s="27">
        <v>8</v>
      </c>
      <c r="O176" s="27">
        <v>4</v>
      </c>
      <c r="P176" s="27" t="s">
        <v>119</v>
      </c>
      <c r="Q176" s="27" t="s">
        <v>111</v>
      </c>
      <c r="R176" s="27" t="s">
        <v>111</v>
      </c>
      <c r="S176" s="27" t="s">
        <v>124</v>
      </c>
      <c r="U176" s="18">
        <v>174</v>
      </c>
      <c r="V176" s="18" t="s">
        <v>933</v>
      </c>
      <c r="W176" s="18">
        <v>25</v>
      </c>
      <c r="X176" s="18" t="s">
        <v>82</v>
      </c>
      <c r="Y176" s="18" t="s">
        <v>855</v>
      </c>
      <c r="Z176" s="18" t="s">
        <v>921</v>
      </c>
      <c r="AA176" s="18">
        <v>17</v>
      </c>
      <c r="AC176" s="28" t="s">
        <v>2500</v>
      </c>
      <c r="AD176" s="28" t="s">
        <v>2511</v>
      </c>
      <c r="AE176" s="28" t="s">
        <v>2307</v>
      </c>
      <c r="AF176" s="28" t="s">
        <v>2512</v>
      </c>
      <c r="AG176" s="28" t="s">
        <v>2513</v>
      </c>
      <c r="AH176" s="28" t="s">
        <v>30</v>
      </c>
      <c r="AI176" s="28" t="s">
        <v>2301</v>
      </c>
      <c r="AJ176" s="28" t="s">
        <v>2297</v>
      </c>
      <c r="AK176" s="28" t="s">
        <v>15</v>
      </c>
      <c r="AL176" s="28" t="s">
        <v>2298</v>
      </c>
      <c r="AM176" s="114"/>
    </row>
    <row r="177" spans="7:39">
      <c r="G177" s="27">
        <v>2006</v>
      </c>
      <c r="H177" s="27" t="s">
        <v>135</v>
      </c>
      <c r="I177" s="27" t="s">
        <v>30</v>
      </c>
      <c r="J177" s="27" t="s">
        <v>23</v>
      </c>
      <c r="K177" s="27" t="s">
        <v>30</v>
      </c>
      <c r="L177" s="27" t="s">
        <v>324</v>
      </c>
      <c r="M177" s="27" t="s">
        <v>315</v>
      </c>
      <c r="N177" s="27">
        <v>9</v>
      </c>
      <c r="O177" s="27">
        <v>5</v>
      </c>
      <c r="P177" s="27" t="s">
        <v>119</v>
      </c>
      <c r="Q177" s="27" t="s">
        <v>111</v>
      </c>
      <c r="R177" s="27" t="s">
        <v>131</v>
      </c>
      <c r="S177" s="27" t="s">
        <v>112</v>
      </c>
      <c r="U177" s="18">
        <v>175</v>
      </c>
      <c r="V177" s="18" t="s">
        <v>934</v>
      </c>
      <c r="W177" s="18">
        <v>29</v>
      </c>
      <c r="X177" s="18" t="s">
        <v>82</v>
      </c>
      <c r="Y177" s="18" t="s">
        <v>679</v>
      </c>
      <c r="Z177" s="18" t="s">
        <v>914</v>
      </c>
      <c r="AA177" s="18">
        <v>11</v>
      </c>
      <c r="AC177" s="28" t="s">
        <v>2500</v>
      </c>
      <c r="AD177" s="28" t="s">
        <v>2511</v>
      </c>
      <c r="AE177" s="28" t="s">
        <v>2304</v>
      </c>
      <c r="AF177" s="28" t="s">
        <v>2514</v>
      </c>
      <c r="AG177" s="28" t="s">
        <v>2515</v>
      </c>
      <c r="AH177" s="28" t="s">
        <v>9</v>
      </c>
      <c r="AI177" s="28" t="s">
        <v>2305</v>
      </c>
      <c r="AJ177" s="28" t="s">
        <v>2297</v>
      </c>
      <c r="AK177" s="28" t="s">
        <v>19</v>
      </c>
      <c r="AL177" s="28" t="s">
        <v>2298</v>
      </c>
      <c r="AM177" s="114"/>
    </row>
    <row r="178" spans="7:39">
      <c r="G178" s="27">
        <v>2006</v>
      </c>
      <c r="H178" s="27" t="s">
        <v>238</v>
      </c>
      <c r="I178" s="27" t="s">
        <v>20</v>
      </c>
      <c r="J178" s="27" t="s">
        <v>5</v>
      </c>
      <c r="K178" s="27" t="s">
        <v>20</v>
      </c>
      <c r="L178" s="27" t="s">
        <v>325</v>
      </c>
      <c r="M178" s="27" t="s">
        <v>259</v>
      </c>
      <c r="N178" s="27">
        <v>1</v>
      </c>
      <c r="O178" s="27">
        <v>1</v>
      </c>
      <c r="P178" s="27" t="s">
        <v>110</v>
      </c>
      <c r="Q178" s="27" t="s">
        <v>111</v>
      </c>
      <c r="R178" s="27" t="s">
        <v>111</v>
      </c>
      <c r="S178" s="27" t="s">
        <v>112</v>
      </c>
      <c r="U178" s="18">
        <v>176</v>
      </c>
      <c r="V178" s="18" t="s">
        <v>935</v>
      </c>
      <c r="W178" s="18">
        <v>31</v>
      </c>
      <c r="X178" s="18" t="s">
        <v>82</v>
      </c>
      <c r="Y178" s="18" t="s">
        <v>681</v>
      </c>
      <c r="Z178" s="18" t="s">
        <v>912</v>
      </c>
      <c r="AA178" s="18">
        <v>8</v>
      </c>
      <c r="AC178" s="28" t="s">
        <v>2500</v>
      </c>
      <c r="AD178" s="28" t="s">
        <v>2511</v>
      </c>
      <c r="AE178" s="28" t="s">
        <v>2299</v>
      </c>
      <c r="AF178" s="28" t="s">
        <v>2516</v>
      </c>
      <c r="AG178" s="28" t="s">
        <v>2517</v>
      </c>
      <c r="AH178" s="28" t="s">
        <v>20</v>
      </c>
      <c r="AI178" s="28" t="s">
        <v>2305</v>
      </c>
      <c r="AJ178" s="28" t="s">
        <v>2302</v>
      </c>
      <c r="AK178" s="28" t="s">
        <v>10</v>
      </c>
      <c r="AL178" s="28" t="s">
        <v>2298</v>
      </c>
      <c r="AM178" s="114"/>
    </row>
    <row r="179" spans="7:39">
      <c r="G179" s="27">
        <v>2006</v>
      </c>
      <c r="H179" s="27" t="s">
        <v>238</v>
      </c>
      <c r="I179" s="27" t="s">
        <v>20</v>
      </c>
      <c r="J179" s="27" t="s">
        <v>5</v>
      </c>
      <c r="K179" s="27" t="s">
        <v>5</v>
      </c>
      <c r="L179" s="27" t="s">
        <v>326</v>
      </c>
      <c r="M179" s="27" t="s">
        <v>327</v>
      </c>
      <c r="N179" s="27">
        <v>2</v>
      </c>
      <c r="O179" s="27">
        <v>1</v>
      </c>
      <c r="P179" s="27" t="s">
        <v>140</v>
      </c>
      <c r="Q179" s="27" t="s">
        <v>111</v>
      </c>
      <c r="R179" s="27" t="s">
        <v>111</v>
      </c>
      <c r="S179" s="27" t="s">
        <v>112</v>
      </c>
      <c r="U179" s="18">
        <v>177</v>
      </c>
      <c r="V179" s="18" t="s">
        <v>936</v>
      </c>
      <c r="W179" s="18">
        <v>26</v>
      </c>
      <c r="X179" s="18" t="s">
        <v>82</v>
      </c>
      <c r="Y179" s="18" t="s">
        <v>681</v>
      </c>
      <c r="Z179" s="18" t="s">
        <v>916</v>
      </c>
      <c r="AA179" s="18">
        <v>15</v>
      </c>
      <c r="AC179" s="28" t="s">
        <v>2500</v>
      </c>
      <c r="AD179" s="28" t="s">
        <v>2518</v>
      </c>
      <c r="AE179" s="28" t="s">
        <v>2293</v>
      </c>
      <c r="AF179" s="28" t="s">
        <v>2519</v>
      </c>
      <c r="AG179" s="28" t="s">
        <v>2503</v>
      </c>
      <c r="AH179" s="28" t="s">
        <v>11</v>
      </c>
      <c r="AI179" s="28" t="s">
        <v>2305</v>
      </c>
      <c r="AJ179" s="28" t="s">
        <v>2297</v>
      </c>
      <c r="AK179" s="28" t="s">
        <v>5</v>
      </c>
      <c r="AL179" s="28" t="s">
        <v>2298</v>
      </c>
      <c r="AM179" s="114"/>
    </row>
    <row r="180" spans="7:39">
      <c r="G180" s="27">
        <v>2006</v>
      </c>
      <c r="H180" s="27" t="s">
        <v>238</v>
      </c>
      <c r="I180" s="27" t="s">
        <v>20</v>
      </c>
      <c r="J180" s="27" t="s">
        <v>5</v>
      </c>
      <c r="K180" s="27" t="s">
        <v>20</v>
      </c>
      <c r="L180" s="27" t="s">
        <v>328</v>
      </c>
      <c r="M180" s="27" t="s">
        <v>259</v>
      </c>
      <c r="N180" s="27">
        <v>3</v>
      </c>
      <c r="O180" s="27">
        <v>2</v>
      </c>
      <c r="P180" s="27" t="s">
        <v>117</v>
      </c>
      <c r="Q180" s="27" t="s">
        <v>111</v>
      </c>
      <c r="R180" s="27" t="s">
        <v>111</v>
      </c>
      <c r="S180" s="27" t="s">
        <v>112</v>
      </c>
      <c r="U180" s="18">
        <v>178</v>
      </c>
      <c r="V180" s="18" t="s">
        <v>937</v>
      </c>
      <c r="W180" s="18">
        <v>19</v>
      </c>
      <c r="X180" s="18" t="s">
        <v>82</v>
      </c>
      <c r="Y180" s="18" t="s">
        <v>681</v>
      </c>
      <c r="Z180" s="18" t="s">
        <v>912</v>
      </c>
      <c r="AA180" s="18">
        <v>24</v>
      </c>
      <c r="AC180" s="28" t="s">
        <v>2500</v>
      </c>
      <c r="AD180" s="28" t="s">
        <v>2518</v>
      </c>
      <c r="AE180" s="28" t="s">
        <v>2304</v>
      </c>
      <c r="AF180" s="28" t="s">
        <v>2505</v>
      </c>
      <c r="AG180" s="28" t="s">
        <v>2506</v>
      </c>
      <c r="AH180" s="28" t="s">
        <v>19</v>
      </c>
      <c r="AI180" s="28" t="s">
        <v>2305</v>
      </c>
      <c r="AJ180" s="28" t="s">
        <v>2297</v>
      </c>
      <c r="AK180" s="28" t="s">
        <v>16</v>
      </c>
      <c r="AL180" s="28" t="s">
        <v>2298</v>
      </c>
      <c r="AM180" s="114"/>
    </row>
    <row r="181" spans="7:39">
      <c r="G181" s="27">
        <v>2006</v>
      </c>
      <c r="H181" s="27" t="s">
        <v>238</v>
      </c>
      <c r="I181" s="27" t="s">
        <v>20</v>
      </c>
      <c r="J181" s="27" t="s">
        <v>5</v>
      </c>
      <c r="K181" s="27" t="s">
        <v>5</v>
      </c>
      <c r="L181" s="27" t="s">
        <v>261</v>
      </c>
      <c r="M181" s="27" t="s">
        <v>327</v>
      </c>
      <c r="N181" s="27">
        <v>4</v>
      </c>
      <c r="O181" s="27">
        <v>2</v>
      </c>
      <c r="P181" s="27" t="s">
        <v>119</v>
      </c>
      <c r="Q181" s="27" t="s">
        <v>111</v>
      </c>
      <c r="R181" s="27" t="s">
        <v>111</v>
      </c>
      <c r="S181" s="27" t="s">
        <v>160</v>
      </c>
      <c r="U181" s="18">
        <v>179</v>
      </c>
      <c r="V181" s="18" t="s">
        <v>938</v>
      </c>
      <c r="W181" s="18">
        <v>33</v>
      </c>
      <c r="X181" s="18" t="s">
        <v>82</v>
      </c>
      <c r="Y181" s="18" t="s">
        <v>683</v>
      </c>
      <c r="Z181" s="18" t="s">
        <v>910</v>
      </c>
      <c r="AA181" s="18">
        <v>7</v>
      </c>
      <c r="AC181" s="28" t="s">
        <v>2500</v>
      </c>
      <c r="AD181" s="28" t="s">
        <v>2518</v>
      </c>
      <c r="AE181" s="28" t="s">
        <v>2307</v>
      </c>
      <c r="AF181" s="28" t="s">
        <v>2507</v>
      </c>
      <c r="AG181" s="28" t="s">
        <v>2508</v>
      </c>
      <c r="AH181" s="28" t="s">
        <v>15</v>
      </c>
      <c r="AI181" s="28" t="s">
        <v>2301</v>
      </c>
      <c r="AJ181" s="28" t="s">
        <v>2297</v>
      </c>
      <c r="AK181" s="28" t="s">
        <v>12</v>
      </c>
      <c r="AL181" s="28" t="s">
        <v>2298</v>
      </c>
      <c r="AM181" s="114"/>
    </row>
    <row r="182" spans="7:39">
      <c r="G182" s="27">
        <v>2006</v>
      </c>
      <c r="H182" s="27" t="s">
        <v>238</v>
      </c>
      <c r="I182" s="27" t="s">
        <v>20</v>
      </c>
      <c r="J182" s="27" t="s">
        <v>5</v>
      </c>
      <c r="K182" s="27" t="s">
        <v>20</v>
      </c>
      <c r="L182" s="27" t="s">
        <v>329</v>
      </c>
      <c r="M182" s="27" t="s">
        <v>259</v>
      </c>
      <c r="N182" s="27">
        <v>5</v>
      </c>
      <c r="O182" s="27">
        <v>3</v>
      </c>
      <c r="P182" s="27" t="s">
        <v>119</v>
      </c>
      <c r="Q182" s="27" t="s">
        <v>111</v>
      </c>
      <c r="R182" s="27" t="s">
        <v>111</v>
      </c>
      <c r="S182" s="27" t="s">
        <v>112</v>
      </c>
      <c r="U182" s="18">
        <v>180</v>
      </c>
      <c r="V182" s="18" t="s">
        <v>939</v>
      </c>
      <c r="W182" s="18">
        <v>32</v>
      </c>
      <c r="X182" s="18" t="s">
        <v>82</v>
      </c>
      <c r="Y182" s="18" t="s">
        <v>683</v>
      </c>
      <c r="Z182" s="18" t="s">
        <v>921</v>
      </c>
      <c r="AA182" s="18">
        <v>9</v>
      </c>
      <c r="AC182" s="28" t="s">
        <v>2500</v>
      </c>
      <c r="AD182" s="28" t="s">
        <v>2518</v>
      </c>
      <c r="AE182" s="28" t="s">
        <v>2299</v>
      </c>
      <c r="AF182" s="28" t="s">
        <v>2509</v>
      </c>
      <c r="AG182" s="28" t="s">
        <v>2510</v>
      </c>
      <c r="AH182" s="28" t="s">
        <v>31</v>
      </c>
      <c r="AI182" s="28" t="s">
        <v>2297</v>
      </c>
      <c r="AJ182" s="28" t="s">
        <v>2297</v>
      </c>
      <c r="AK182" s="28" t="s">
        <v>10</v>
      </c>
      <c r="AL182" s="28" t="s">
        <v>2298</v>
      </c>
      <c r="AM182" s="114"/>
    </row>
    <row r="183" spans="7:39">
      <c r="G183" s="27">
        <v>2006</v>
      </c>
      <c r="H183" s="27" t="s">
        <v>238</v>
      </c>
      <c r="I183" s="27" t="s">
        <v>20</v>
      </c>
      <c r="J183" s="27" t="s">
        <v>5</v>
      </c>
      <c r="K183" s="27" t="s">
        <v>5</v>
      </c>
      <c r="L183" s="27" t="s">
        <v>330</v>
      </c>
      <c r="M183" s="27" t="s">
        <v>327</v>
      </c>
      <c r="N183" s="27">
        <v>6</v>
      </c>
      <c r="O183" s="27">
        <v>3</v>
      </c>
      <c r="P183" s="27" t="s">
        <v>145</v>
      </c>
      <c r="Q183" s="27" t="s">
        <v>111</v>
      </c>
      <c r="R183" s="27" t="s">
        <v>111</v>
      </c>
      <c r="S183" s="27" t="s">
        <v>112</v>
      </c>
      <c r="U183" s="18">
        <v>181</v>
      </c>
      <c r="V183" s="18" t="s">
        <v>940</v>
      </c>
      <c r="W183" s="18">
        <v>29</v>
      </c>
      <c r="X183" s="18" t="s">
        <v>82</v>
      </c>
      <c r="Y183" s="18" t="s">
        <v>683</v>
      </c>
      <c r="Z183" s="18" t="s">
        <v>912</v>
      </c>
      <c r="AA183" s="18">
        <v>19</v>
      </c>
      <c r="AC183" s="28" t="s">
        <v>2500</v>
      </c>
      <c r="AD183" s="28" t="s">
        <v>2520</v>
      </c>
      <c r="AE183" s="28" t="s">
        <v>2307</v>
      </c>
      <c r="AF183" s="28" t="s">
        <v>2512</v>
      </c>
      <c r="AG183" s="28" t="s">
        <v>2513</v>
      </c>
      <c r="AH183" s="28" t="s">
        <v>30</v>
      </c>
      <c r="AI183" s="28" t="s">
        <v>2301</v>
      </c>
      <c r="AJ183" s="28" t="s">
        <v>2302</v>
      </c>
      <c r="AK183" s="28" t="s">
        <v>34</v>
      </c>
      <c r="AL183" s="28" t="s">
        <v>2298</v>
      </c>
      <c r="AM183" s="114"/>
    </row>
    <row r="184" spans="7:39">
      <c r="G184" s="27">
        <v>2006</v>
      </c>
      <c r="H184" s="27" t="s">
        <v>238</v>
      </c>
      <c r="I184" s="27" t="s">
        <v>20</v>
      </c>
      <c r="J184" s="27" t="s">
        <v>5</v>
      </c>
      <c r="K184" s="27" t="s">
        <v>20</v>
      </c>
      <c r="L184" s="27" t="s">
        <v>331</v>
      </c>
      <c r="M184" s="27" t="s">
        <v>259</v>
      </c>
      <c r="N184" s="27">
        <v>7</v>
      </c>
      <c r="O184" s="27">
        <v>4</v>
      </c>
      <c r="P184" s="27" t="s">
        <v>123</v>
      </c>
      <c r="Q184" s="27" t="s">
        <v>111</v>
      </c>
      <c r="R184" s="27" t="s">
        <v>111</v>
      </c>
      <c r="S184" s="27" t="s">
        <v>112</v>
      </c>
      <c r="U184" s="18">
        <v>182</v>
      </c>
      <c r="V184" s="18" t="s">
        <v>941</v>
      </c>
      <c r="W184" s="18">
        <v>23</v>
      </c>
      <c r="X184" s="18" t="s">
        <v>82</v>
      </c>
      <c r="Y184" s="18" t="s">
        <v>683</v>
      </c>
      <c r="Z184" s="18" t="s">
        <v>942</v>
      </c>
      <c r="AA184" s="18">
        <v>26</v>
      </c>
      <c r="AC184" s="28" t="s">
        <v>2500</v>
      </c>
      <c r="AD184" s="28" t="s">
        <v>2520</v>
      </c>
      <c r="AE184" s="28" t="s">
        <v>2304</v>
      </c>
      <c r="AF184" s="28" t="s">
        <v>2514</v>
      </c>
      <c r="AG184" s="28" t="s">
        <v>2515</v>
      </c>
      <c r="AH184" s="28" t="s">
        <v>24</v>
      </c>
      <c r="AI184" s="28" t="s">
        <v>2302</v>
      </c>
      <c r="AJ184" s="28" t="s">
        <v>2302</v>
      </c>
      <c r="AK184" s="28" t="s">
        <v>9</v>
      </c>
      <c r="AL184" s="28" t="s">
        <v>2298</v>
      </c>
      <c r="AM184" s="114"/>
    </row>
    <row r="185" spans="7:39">
      <c r="G185" s="27">
        <v>2006</v>
      </c>
      <c r="H185" s="27" t="s">
        <v>238</v>
      </c>
      <c r="I185" s="27" t="s">
        <v>20</v>
      </c>
      <c r="J185" s="27" t="s">
        <v>5</v>
      </c>
      <c r="K185" s="27" t="s">
        <v>5</v>
      </c>
      <c r="L185" s="27" t="s">
        <v>332</v>
      </c>
      <c r="M185" s="27" t="s">
        <v>327</v>
      </c>
      <c r="N185" s="27">
        <v>8</v>
      </c>
      <c r="O185" s="27">
        <v>4</v>
      </c>
      <c r="P185" s="27" t="s">
        <v>148</v>
      </c>
      <c r="Q185" s="27" t="s">
        <v>111</v>
      </c>
      <c r="R185" s="27" t="s">
        <v>111</v>
      </c>
      <c r="S185" s="27" t="s">
        <v>112</v>
      </c>
      <c r="U185" s="18">
        <v>183</v>
      </c>
      <c r="V185" s="18" t="s">
        <v>943</v>
      </c>
      <c r="W185" s="18">
        <v>28</v>
      </c>
      <c r="X185" s="18" t="s">
        <v>16</v>
      </c>
      <c r="Y185" s="18" t="s">
        <v>642</v>
      </c>
      <c r="Z185" s="18" t="s">
        <v>944</v>
      </c>
      <c r="AA185" s="18">
        <v>1</v>
      </c>
      <c r="AC185" s="28" t="s">
        <v>2500</v>
      </c>
      <c r="AD185" s="28" t="s">
        <v>2520</v>
      </c>
      <c r="AE185" s="28" t="s">
        <v>2299</v>
      </c>
      <c r="AF185" s="28" t="s">
        <v>2516</v>
      </c>
      <c r="AG185" s="28" t="s">
        <v>2517</v>
      </c>
      <c r="AH185" s="28" t="s">
        <v>26</v>
      </c>
      <c r="AI185" s="28" t="s">
        <v>2297</v>
      </c>
      <c r="AJ185" s="28" t="s">
        <v>2302</v>
      </c>
      <c r="AK185" s="28" t="s">
        <v>20</v>
      </c>
      <c r="AL185" s="28" t="s">
        <v>2298</v>
      </c>
      <c r="AM185" s="114"/>
    </row>
    <row r="186" spans="7:39">
      <c r="G186" s="27">
        <v>2006</v>
      </c>
      <c r="H186" s="27" t="s">
        <v>238</v>
      </c>
      <c r="I186" s="27" t="s">
        <v>20</v>
      </c>
      <c r="J186" s="27" t="s">
        <v>5</v>
      </c>
      <c r="K186" s="27" t="s">
        <v>20</v>
      </c>
      <c r="L186" s="27" t="s">
        <v>333</v>
      </c>
      <c r="M186" s="27" t="s">
        <v>259</v>
      </c>
      <c r="N186" s="27">
        <v>9</v>
      </c>
      <c r="O186" s="27">
        <v>5</v>
      </c>
      <c r="P186" s="27" t="s">
        <v>130</v>
      </c>
      <c r="Q186" s="27" t="s">
        <v>111</v>
      </c>
      <c r="R186" s="27" t="s">
        <v>131</v>
      </c>
      <c r="S186" s="27" t="s">
        <v>112</v>
      </c>
      <c r="U186" s="18">
        <v>184</v>
      </c>
      <c r="V186" s="18" t="s">
        <v>945</v>
      </c>
      <c r="W186" s="18">
        <v>32</v>
      </c>
      <c r="X186" s="18" t="s">
        <v>16</v>
      </c>
      <c r="Y186" s="18" t="s">
        <v>642</v>
      </c>
      <c r="Z186" s="18" t="s">
        <v>946</v>
      </c>
      <c r="AA186" s="18">
        <v>12</v>
      </c>
      <c r="AC186" s="28" t="s">
        <v>2500</v>
      </c>
      <c r="AD186" s="28" t="s">
        <v>2521</v>
      </c>
      <c r="AE186" s="28" t="s">
        <v>2293</v>
      </c>
      <c r="AF186" s="28" t="s">
        <v>2502</v>
      </c>
      <c r="AG186" s="28" t="s">
        <v>2503</v>
      </c>
      <c r="AH186" s="28" t="s">
        <v>23</v>
      </c>
      <c r="AI186" s="28" t="s">
        <v>2305</v>
      </c>
      <c r="AJ186" s="28" t="s">
        <v>2302</v>
      </c>
      <c r="AK186" s="28" t="s">
        <v>28</v>
      </c>
      <c r="AL186" s="28" t="s">
        <v>2298</v>
      </c>
      <c r="AM186" s="114"/>
    </row>
    <row r="187" spans="7:39">
      <c r="G187" s="27">
        <v>2010</v>
      </c>
      <c r="H187" s="27" t="s">
        <v>170</v>
      </c>
      <c r="I187" s="27" t="s">
        <v>13</v>
      </c>
      <c r="J187" s="27" t="s">
        <v>62</v>
      </c>
      <c r="K187" s="27" t="s">
        <v>13</v>
      </c>
      <c r="L187" s="27" t="s">
        <v>334</v>
      </c>
      <c r="M187" s="27" t="s">
        <v>335</v>
      </c>
      <c r="N187" s="27">
        <v>1</v>
      </c>
      <c r="O187" s="27">
        <v>1</v>
      </c>
      <c r="P187" s="27" t="s">
        <v>110</v>
      </c>
      <c r="Q187" s="27" t="s">
        <v>111</v>
      </c>
      <c r="R187" s="27" t="s">
        <v>111</v>
      </c>
      <c r="S187" s="27" t="s">
        <v>112</v>
      </c>
      <c r="U187" s="18">
        <v>185</v>
      </c>
      <c r="V187" s="18" t="s">
        <v>947</v>
      </c>
      <c r="W187" s="18">
        <v>23</v>
      </c>
      <c r="X187" s="18" t="s">
        <v>16</v>
      </c>
      <c r="Y187" s="18" t="s">
        <v>642</v>
      </c>
      <c r="Z187" s="18" t="s">
        <v>845</v>
      </c>
      <c r="AA187" s="18">
        <v>21</v>
      </c>
      <c r="AC187" s="28" t="s">
        <v>2500</v>
      </c>
      <c r="AD187" s="28" t="s">
        <v>2522</v>
      </c>
      <c r="AE187" s="28" t="s">
        <v>2293</v>
      </c>
      <c r="AF187" s="28" t="s">
        <v>2502</v>
      </c>
      <c r="AG187" s="28" t="s">
        <v>2503</v>
      </c>
      <c r="AH187" s="28" t="s">
        <v>11</v>
      </c>
      <c r="AI187" s="28" t="s">
        <v>2302</v>
      </c>
      <c r="AJ187" s="28" t="s">
        <v>2302</v>
      </c>
      <c r="AK187" s="28" t="s">
        <v>28</v>
      </c>
      <c r="AL187" s="28" t="s">
        <v>2298</v>
      </c>
      <c r="AM187" s="114"/>
    </row>
    <row r="188" spans="7:39">
      <c r="G188" s="27">
        <v>2010</v>
      </c>
      <c r="H188" s="27" t="s">
        <v>170</v>
      </c>
      <c r="I188" s="27" t="s">
        <v>13</v>
      </c>
      <c r="J188" s="27" t="s">
        <v>62</v>
      </c>
      <c r="K188" s="27" t="s">
        <v>62</v>
      </c>
      <c r="L188" s="27" t="s">
        <v>336</v>
      </c>
      <c r="M188" s="27" t="s">
        <v>337</v>
      </c>
      <c r="N188" s="27">
        <v>2</v>
      </c>
      <c r="O188" s="27">
        <v>1</v>
      </c>
      <c r="P188" s="27" t="s">
        <v>140</v>
      </c>
      <c r="Q188" s="27" t="s">
        <v>111</v>
      </c>
      <c r="R188" s="27" t="s">
        <v>111</v>
      </c>
      <c r="S188" s="27" t="s">
        <v>112</v>
      </c>
      <c r="U188" s="18">
        <v>186</v>
      </c>
      <c r="V188" s="18" t="s">
        <v>948</v>
      </c>
      <c r="W188" s="18">
        <v>29</v>
      </c>
      <c r="X188" s="18" t="s">
        <v>16</v>
      </c>
      <c r="Y188" s="18" t="s">
        <v>649</v>
      </c>
      <c r="Z188" s="18" t="s">
        <v>794</v>
      </c>
      <c r="AA188" s="18">
        <v>4</v>
      </c>
      <c r="AC188" s="28" t="s">
        <v>2500</v>
      </c>
      <c r="AD188" s="28" t="s">
        <v>2523</v>
      </c>
      <c r="AE188" s="28" t="s">
        <v>2304</v>
      </c>
      <c r="AF188" s="28" t="s">
        <v>2505</v>
      </c>
      <c r="AG188" s="28" t="s">
        <v>2506</v>
      </c>
      <c r="AH188" s="28" t="s">
        <v>9</v>
      </c>
      <c r="AI188" s="28" t="s">
        <v>2305</v>
      </c>
      <c r="AJ188" s="28" t="s">
        <v>2302</v>
      </c>
      <c r="AK188" s="28" t="s">
        <v>16</v>
      </c>
      <c r="AL188" s="28" t="s">
        <v>2298</v>
      </c>
      <c r="AM188" s="114"/>
    </row>
    <row r="189" spans="7:39">
      <c r="G189" s="27">
        <v>2010</v>
      </c>
      <c r="H189" s="27" t="s">
        <v>170</v>
      </c>
      <c r="I189" s="27" t="s">
        <v>13</v>
      </c>
      <c r="J189" s="27" t="s">
        <v>62</v>
      </c>
      <c r="K189" s="27" t="s">
        <v>13</v>
      </c>
      <c r="L189" s="27" t="s">
        <v>338</v>
      </c>
      <c r="M189" s="27" t="s">
        <v>335</v>
      </c>
      <c r="N189" s="27">
        <v>3</v>
      </c>
      <c r="O189" s="27">
        <v>2</v>
      </c>
      <c r="P189" s="27" t="s">
        <v>117</v>
      </c>
      <c r="Q189" s="27" t="s">
        <v>111</v>
      </c>
      <c r="R189" s="27" t="s">
        <v>111</v>
      </c>
      <c r="S189" s="27" t="s">
        <v>112</v>
      </c>
      <c r="U189" s="18">
        <v>187</v>
      </c>
      <c r="V189" s="18" t="s">
        <v>512</v>
      </c>
      <c r="W189" s="18">
        <v>30</v>
      </c>
      <c r="X189" s="18" t="s">
        <v>16</v>
      </c>
      <c r="Y189" s="18" t="s">
        <v>649</v>
      </c>
      <c r="Z189" s="18" t="s">
        <v>949</v>
      </c>
      <c r="AA189" s="18">
        <v>5</v>
      </c>
      <c r="AC189" s="28" t="s">
        <v>2500</v>
      </c>
      <c r="AD189" s="28" t="s">
        <v>2523</v>
      </c>
      <c r="AE189" s="28" t="s">
        <v>2307</v>
      </c>
      <c r="AF189" s="28" t="s">
        <v>2507</v>
      </c>
      <c r="AG189" s="28" t="s">
        <v>2508</v>
      </c>
      <c r="AH189" s="28" t="s">
        <v>30</v>
      </c>
      <c r="AI189" s="28" t="s">
        <v>2301</v>
      </c>
      <c r="AJ189" s="28" t="s">
        <v>2297</v>
      </c>
      <c r="AK189" s="28" t="s">
        <v>12</v>
      </c>
      <c r="AL189" s="28" t="s">
        <v>2298</v>
      </c>
      <c r="AM189" s="114"/>
    </row>
    <row r="190" spans="7:39">
      <c r="G190" s="27">
        <v>2010</v>
      </c>
      <c r="H190" s="27" t="s">
        <v>170</v>
      </c>
      <c r="I190" s="27" t="s">
        <v>13</v>
      </c>
      <c r="J190" s="27" t="s">
        <v>62</v>
      </c>
      <c r="K190" s="27" t="s">
        <v>62</v>
      </c>
      <c r="L190" s="27" t="s">
        <v>339</v>
      </c>
      <c r="M190" s="27" t="s">
        <v>337</v>
      </c>
      <c r="N190" s="27">
        <v>4</v>
      </c>
      <c r="O190" s="27">
        <v>2</v>
      </c>
      <c r="P190" s="27" t="s">
        <v>119</v>
      </c>
      <c r="Q190" s="27" t="s">
        <v>111</v>
      </c>
      <c r="R190" s="27" t="s">
        <v>111</v>
      </c>
      <c r="S190" s="27" t="s">
        <v>112</v>
      </c>
      <c r="U190" s="18">
        <v>188</v>
      </c>
      <c r="V190" s="18" t="s">
        <v>950</v>
      </c>
      <c r="W190" s="18">
        <v>28</v>
      </c>
      <c r="X190" s="18" t="s">
        <v>16</v>
      </c>
      <c r="Y190" s="18" t="s">
        <v>649</v>
      </c>
      <c r="Z190" s="18" t="s">
        <v>951</v>
      </c>
      <c r="AA190" s="18">
        <v>18</v>
      </c>
      <c r="AC190" s="28" t="s">
        <v>2500</v>
      </c>
      <c r="AD190" s="28" t="s">
        <v>2523</v>
      </c>
      <c r="AE190" s="28" t="s">
        <v>2299</v>
      </c>
      <c r="AF190" s="28" t="s">
        <v>2509</v>
      </c>
      <c r="AG190" s="28" t="s">
        <v>2510</v>
      </c>
      <c r="AH190" s="28" t="s">
        <v>31</v>
      </c>
      <c r="AI190" s="28" t="s">
        <v>2297</v>
      </c>
      <c r="AJ190" s="28" t="s">
        <v>2302</v>
      </c>
      <c r="AK190" s="28" t="s">
        <v>20</v>
      </c>
      <c r="AL190" s="28" t="s">
        <v>2298</v>
      </c>
      <c r="AM190" s="114"/>
    </row>
    <row r="191" spans="7:39">
      <c r="G191" s="27">
        <v>2010</v>
      </c>
      <c r="H191" s="27" t="s">
        <v>170</v>
      </c>
      <c r="I191" s="27" t="s">
        <v>13</v>
      </c>
      <c r="J191" s="27" t="s">
        <v>62</v>
      </c>
      <c r="K191" s="27" t="s">
        <v>13</v>
      </c>
      <c r="L191" s="27" t="s">
        <v>340</v>
      </c>
      <c r="M191" s="27" t="s">
        <v>335</v>
      </c>
      <c r="N191" s="27">
        <v>5</v>
      </c>
      <c r="O191" s="27">
        <v>3</v>
      </c>
      <c r="P191" s="27" t="s">
        <v>121</v>
      </c>
      <c r="Q191" s="27" t="s">
        <v>111</v>
      </c>
      <c r="R191" s="27" t="s">
        <v>111</v>
      </c>
      <c r="S191" s="27" t="s">
        <v>112</v>
      </c>
      <c r="U191" s="18">
        <v>189</v>
      </c>
      <c r="V191" s="18" t="s">
        <v>952</v>
      </c>
      <c r="W191" s="18">
        <v>22</v>
      </c>
      <c r="X191" s="18" t="s">
        <v>16</v>
      </c>
      <c r="Y191" s="18" t="s">
        <v>649</v>
      </c>
      <c r="Z191" s="18" t="s">
        <v>953</v>
      </c>
      <c r="AA191" s="18">
        <v>24</v>
      </c>
      <c r="AC191" s="28" t="s">
        <v>2500</v>
      </c>
      <c r="AD191" s="28" t="s">
        <v>2524</v>
      </c>
      <c r="AE191" s="28" t="s">
        <v>2293</v>
      </c>
      <c r="AF191" s="28" t="s">
        <v>2502</v>
      </c>
      <c r="AG191" s="28" t="s">
        <v>2503</v>
      </c>
      <c r="AH191" s="28" t="s">
        <v>23</v>
      </c>
      <c r="AI191" s="28" t="s">
        <v>2305</v>
      </c>
      <c r="AJ191" s="28" t="s">
        <v>2302</v>
      </c>
      <c r="AK191" s="28" t="s">
        <v>5</v>
      </c>
      <c r="AL191" s="28" t="s">
        <v>2298</v>
      </c>
      <c r="AM191" s="114"/>
    </row>
    <row r="192" spans="7:39">
      <c r="G192" s="27">
        <v>2010</v>
      </c>
      <c r="H192" s="27" t="s">
        <v>170</v>
      </c>
      <c r="I192" s="27" t="s">
        <v>13</v>
      </c>
      <c r="J192" s="27" t="s">
        <v>62</v>
      </c>
      <c r="K192" s="27" t="s">
        <v>62</v>
      </c>
      <c r="L192" s="27" t="s">
        <v>341</v>
      </c>
      <c r="M192" s="27" t="s">
        <v>337</v>
      </c>
      <c r="N192" s="27">
        <v>6</v>
      </c>
      <c r="O192" s="27">
        <v>3</v>
      </c>
      <c r="P192" s="27" t="s">
        <v>123</v>
      </c>
      <c r="Q192" s="27" t="s">
        <v>111</v>
      </c>
      <c r="R192" s="27" t="s">
        <v>111</v>
      </c>
      <c r="S192" s="27" t="s">
        <v>160</v>
      </c>
      <c r="U192" s="18">
        <v>190</v>
      </c>
      <c r="V192" s="18" t="s">
        <v>954</v>
      </c>
      <c r="W192" s="18">
        <v>23</v>
      </c>
      <c r="X192" s="18" t="s">
        <v>16</v>
      </c>
      <c r="Y192" s="18" t="s">
        <v>649</v>
      </c>
      <c r="Z192" s="18" t="s">
        <v>863</v>
      </c>
      <c r="AA192" s="18">
        <v>25</v>
      </c>
      <c r="AC192" s="28" t="s">
        <v>2500</v>
      </c>
      <c r="AD192" s="28" t="s">
        <v>2524</v>
      </c>
      <c r="AE192" s="28" t="s">
        <v>2307</v>
      </c>
      <c r="AF192" s="28" t="s">
        <v>2512</v>
      </c>
      <c r="AG192" s="28" t="s">
        <v>2513</v>
      </c>
      <c r="AH192" s="28" t="s">
        <v>15</v>
      </c>
      <c r="AI192" s="28" t="s">
        <v>2301</v>
      </c>
      <c r="AJ192" s="28" t="s">
        <v>2297</v>
      </c>
      <c r="AK192" s="28" t="s">
        <v>34</v>
      </c>
      <c r="AL192" s="28" t="s">
        <v>2298</v>
      </c>
      <c r="AM192" s="114"/>
    </row>
    <row r="193" spans="7:39">
      <c r="G193" s="27">
        <v>2010</v>
      </c>
      <c r="H193" s="27" t="s">
        <v>170</v>
      </c>
      <c r="I193" s="27" t="s">
        <v>13</v>
      </c>
      <c r="J193" s="27" t="s">
        <v>62</v>
      </c>
      <c r="K193" s="27" t="s">
        <v>13</v>
      </c>
      <c r="L193" s="27" t="s">
        <v>342</v>
      </c>
      <c r="M193" s="27" t="s">
        <v>335</v>
      </c>
      <c r="N193" s="27">
        <v>7</v>
      </c>
      <c r="O193" s="27">
        <v>4</v>
      </c>
      <c r="P193" s="27" t="s">
        <v>123</v>
      </c>
      <c r="Q193" s="27" t="s">
        <v>111</v>
      </c>
      <c r="R193" s="27" t="s">
        <v>111</v>
      </c>
      <c r="S193" s="27" t="s">
        <v>112</v>
      </c>
      <c r="U193" s="18">
        <v>191</v>
      </c>
      <c r="V193" s="18" t="s">
        <v>955</v>
      </c>
      <c r="W193" s="18">
        <v>28</v>
      </c>
      <c r="X193" s="18" t="s">
        <v>16</v>
      </c>
      <c r="Y193" s="18" t="s">
        <v>657</v>
      </c>
      <c r="Z193" s="18" t="s">
        <v>956</v>
      </c>
      <c r="AA193" s="18">
        <v>2</v>
      </c>
      <c r="AC193" s="28" t="s">
        <v>2500</v>
      </c>
      <c r="AD193" s="28" t="s">
        <v>2524</v>
      </c>
      <c r="AE193" s="28" t="s">
        <v>2304</v>
      </c>
      <c r="AF193" s="28" t="s">
        <v>2514</v>
      </c>
      <c r="AG193" s="28" t="s">
        <v>2515</v>
      </c>
      <c r="AH193" s="28" t="s">
        <v>24</v>
      </c>
      <c r="AI193" s="28" t="s">
        <v>2305</v>
      </c>
      <c r="AJ193" s="28" t="s">
        <v>2297</v>
      </c>
      <c r="AK193" s="28" t="s">
        <v>19</v>
      </c>
      <c r="AL193" s="28" t="s">
        <v>2298</v>
      </c>
      <c r="AM193" s="114"/>
    </row>
    <row r="194" spans="7:39">
      <c r="G194" s="27">
        <v>2010</v>
      </c>
      <c r="H194" s="27" t="s">
        <v>170</v>
      </c>
      <c r="I194" s="27" t="s">
        <v>13</v>
      </c>
      <c r="J194" s="27" t="s">
        <v>62</v>
      </c>
      <c r="K194" s="27" t="s">
        <v>62</v>
      </c>
      <c r="L194" s="27" t="s">
        <v>343</v>
      </c>
      <c r="M194" s="27" t="s">
        <v>337</v>
      </c>
      <c r="N194" s="27">
        <v>8</v>
      </c>
      <c r="O194" s="27">
        <v>4</v>
      </c>
      <c r="P194" s="27" t="s">
        <v>148</v>
      </c>
      <c r="Q194" s="27" t="s">
        <v>111</v>
      </c>
      <c r="R194" s="27" t="s">
        <v>111</v>
      </c>
      <c r="S194" s="27" t="s">
        <v>112</v>
      </c>
      <c r="U194" s="18">
        <v>192</v>
      </c>
      <c r="V194" s="18" t="s">
        <v>957</v>
      </c>
      <c r="W194" s="18">
        <v>33</v>
      </c>
      <c r="X194" s="18" t="s">
        <v>16</v>
      </c>
      <c r="Y194" s="18" t="s">
        <v>657</v>
      </c>
      <c r="Z194" s="18" t="s">
        <v>714</v>
      </c>
      <c r="AA194" s="18">
        <v>13</v>
      </c>
      <c r="AC194" s="28" t="s">
        <v>2500</v>
      </c>
      <c r="AD194" s="28" t="s">
        <v>2524</v>
      </c>
      <c r="AE194" s="28" t="s">
        <v>2299</v>
      </c>
      <c r="AF194" s="28" t="s">
        <v>2516</v>
      </c>
      <c r="AG194" s="28" t="s">
        <v>2517</v>
      </c>
      <c r="AH194" s="28" t="s">
        <v>26</v>
      </c>
      <c r="AI194" s="28" t="s">
        <v>2305</v>
      </c>
      <c r="AJ194" s="28" t="s">
        <v>2297</v>
      </c>
      <c r="AK194" s="28" t="s">
        <v>10</v>
      </c>
      <c r="AL194" s="28" t="s">
        <v>2298</v>
      </c>
      <c r="AM194" s="114"/>
    </row>
    <row r="195" spans="7:39">
      <c r="G195" s="27">
        <v>2010</v>
      </c>
      <c r="H195" s="27" t="s">
        <v>170</v>
      </c>
      <c r="I195" s="27" t="s">
        <v>13</v>
      </c>
      <c r="J195" s="27" t="s">
        <v>62</v>
      </c>
      <c r="K195" s="27" t="s">
        <v>13</v>
      </c>
      <c r="L195" s="27" t="s">
        <v>344</v>
      </c>
      <c r="M195" s="27" t="s">
        <v>335</v>
      </c>
      <c r="N195" s="27">
        <v>9</v>
      </c>
      <c r="O195" s="27">
        <v>5</v>
      </c>
      <c r="P195" s="27" t="s">
        <v>130</v>
      </c>
      <c r="Q195" s="27" t="s">
        <v>111</v>
      </c>
      <c r="R195" s="27" t="s">
        <v>131</v>
      </c>
      <c r="S195" s="27" t="s">
        <v>112</v>
      </c>
      <c r="U195" s="18">
        <v>193</v>
      </c>
      <c r="V195" s="18" t="s">
        <v>958</v>
      </c>
      <c r="W195" s="18">
        <v>33</v>
      </c>
      <c r="X195" s="18" t="s">
        <v>16</v>
      </c>
      <c r="Y195" s="18" t="s">
        <v>661</v>
      </c>
      <c r="Z195" s="18" t="s">
        <v>803</v>
      </c>
      <c r="AA195" s="18">
        <v>3</v>
      </c>
      <c r="AC195" s="28" t="s">
        <v>2500</v>
      </c>
      <c r="AD195" s="28" t="s">
        <v>2525</v>
      </c>
      <c r="AE195" s="28" t="s">
        <v>135</v>
      </c>
      <c r="AF195" s="28" t="s">
        <v>2502</v>
      </c>
      <c r="AG195" s="28" t="s">
        <v>2503</v>
      </c>
      <c r="AH195" s="28" t="s">
        <v>23</v>
      </c>
      <c r="AI195" s="28" t="s">
        <v>2297</v>
      </c>
      <c r="AJ195" s="28" t="s">
        <v>2302</v>
      </c>
      <c r="AK195" s="28" t="s">
        <v>9</v>
      </c>
      <c r="AL195" s="28" t="s">
        <v>2298</v>
      </c>
      <c r="AM195" s="114"/>
    </row>
    <row r="196" spans="7:39">
      <c r="G196" s="27">
        <v>2010</v>
      </c>
      <c r="H196" s="27" t="s">
        <v>135</v>
      </c>
      <c r="I196" s="27" t="s">
        <v>11</v>
      </c>
      <c r="J196" s="27" t="s">
        <v>73</v>
      </c>
      <c r="K196" s="27" t="s">
        <v>11</v>
      </c>
      <c r="L196" s="27" t="s">
        <v>345</v>
      </c>
      <c r="M196" s="27" t="s">
        <v>346</v>
      </c>
      <c r="N196" s="27">
        <v>1</v>
      </c>
      <c r="O196" s="27">
        <v>1</v>
      </c>
      <c r="P196" s="27" t="s">
        <v>110</v>
      </c>
      <c r="Q196" s="27" t="s">
        <v>111</v>
      </c>
      <c r="R196" s="27" t="s">
        <v>111</v>
      </c>
      <c r="S196" s="27" t="s">
        <v>112</v>
      </c>
      <c r="U196" s="18">
        <v>194</v>
      </c>
      <c r="V196" s="18" t="s">
        <v>959</v>
      </c>
      <c r="W196" s="18">
        <v>29</v>
      </c>
      <c r="X196" s="18" t="s">
        <v>16</v>
      </c>
      <c r="Y196" s="18" t="s">
        <v>664</v>
      </c>
      <c r="Z196" s="18" t="s">
        <v>960</v>
      </c>
      <c r="AA196" s="18">
        <v>6</v>
      </c>
      <c r="AC196" s="28" t="s">
        <v>2500</v>
      </c>
      <c r="AD196" s="28" t="s">
        <v>2525</v>
      </c>
      <c r="AE196" s="28" t="s">
        <v>135</v>
      </c>
      <c r="AF196" s="28" t="s">
        <v>2505</v>
      </c>
      <c r="AG196" s="28" t="s">
        <v>2506</v>
      </c>
      <c r="AH196" s="28" t="s">
        <v>24</v>
      </c>
      <c r="AI196" s="28" t="s">
        <v>2296</v>
      </c>
      <c r="AJ196" s="28" t="s">
        <v>2302</v>
      </c>
      <c r="AK196" s="28" t="s">
        <v>11</v>
      </c>
      <c r="AL196" s="28" t="s">
        <v>2298</v>
      </c>
      <c r="AM196" s="114"/>
    </row>
    <row r="197" spans="7:39">
      <c r="G197" s="27">
        <v>2010</v>
      </c>
      <c r="H197" s="27" t="s">
        <v>135</v>
      </c>
      <c r="I197" s="27" t="s">
        <v>11</v>
      </c>
      <c r="J197" s="27" t="s">
        <v>73</v>
      </c>
      <c r="K197" s="27" t="s">
        <v>73</v>
      </c>
      <c r="L197" s="27" t="s">
        <v>347</v>
      </c>
      <c r="M197" s="27" t="s">
        <v>348</v>
      </c>
      <c r="N197" s="27">
        <v>2</v>
      </c>
      <c r="O197" s="27">
        <v>1</v>
      </c>
      <c r="P197" s="27" t="s">
        <v>140</v>
      </c>
      <c r="Q197" s="27" t="s">
        <v>111</v>
      </c>
      <c r="R197" s="27" t="s">
        <v>111</v>
      </c>
      <c r="S197" s="27" t="s">
        <v>112</v>
      </c>
      <c r="U197" s="18">
        <v>195</v>
      </c>
      <c r="V197" s="18" t="s">
        <v>961</v>
      </c>
      <c r="W197" s="18">
        <v>23</v>
      </c>
      <c r="X197" s="18" t="s">
        <v>16</v>
      </c>
      <c r="Y197" s="18" t="s">
        <v>664</v>
      </c>
      <c r="Z197" s="18" t="s">
        <v>731</v>
      </c>
      <c r="AA197" s="18">
        <v>14</v>
      </c>
      <c r="AC197" s="28" t="s">
        <v>2500</v>
      </c>
      <c r="AD197" s="28" t="s">
        <v>2525</v>
      </c>
      <c r="AE197" s="28" t="s">
        <v>135</v>
      </c>
      <c r="AF197" s="28" t="s">
        <v>2516</v>
      </c>
      <c r="AG197" s="28" t="s">
        <v>2517</v>
      </c>
      <c r="AH197" s="28" t="s">
        <v>26</v>
      </c>
      <c r="AI197" s="28" t="s">
        <v>2305</v>
      </c>
      <c r="AJ197" s="28" t="s">
        <v>2297</v>
      </c>
      <c r="AK197" s="28" t="s">
        <v>15</v>
      </c>
      <c r="AL197" s="28" t="s">
        <v>2298</v>
      </c>
      <c r="AM197" s="114"/>
    </row>
    <row r="198" spans="7:39">
      <c r="G198" s="27">
        <v>2010</v>
      </c>
      <c r="H198" s="27" t="s">
        <v>135</v>
      </c>
      <c r="I198" s="27" t="s">
        <v>11</v>
      </c>
      <c r="J198" s="27" t="s">
        <v>73</v>
      </c>
      <c r="K198" s="27" t="s">
        <v>11</v>
      </c>
      <c r="L198" s="27" t="s">
        <v>349</v>
      </c>
      <c r="M198" s="27" t="s">
        <v>346</v>
      </c>
      <c r="N198" s="27">
        <v>3</v>
      </c>
      <c r="O198" s="27">
        <v>2</v>
      </c>
      <c r="P198" s="27" t="s">
        <v>117</v>
      </c>
      <c r="Q198" s="27" t="s">
        <v>111</v>
      </c>
      <c r="R198" s="27" t="s">
        <v>111</v>
      </c>
      <c r="S198" s="27" t="s">
        <v>112</v>
      </c>
      <c r="U198" s="18">
        <v>196</v>
      </c>
      <c r="V198" s="18" t="s">
        <v>519</v>
      </c>
      <c r="W198" s="18">
        <v>34</v>
      </c>
      <c r="X198" s="18" t="s">
        <v>16</v>
      </c>
      <c r="Y198" s="18" t="s">
        <v>669</v>
      </c>
      <c r="Z198" s="18" t="s">
        <v>962</v>
      </c>
      <c r="AA198" s="18">
        <v>8</v>
      </c>
      <c r="AC198" s="28" t="s">
        <v>2500</v>
      </c>
      <c r="AD198" s="28" t="s">
        <v>2525</v>
      </c>
      <c r="AE198" s="28" t="s">
        <v>135</v>
      </c>
      <c r="AF198" s="28" t="s">
        <v>2507</v>
      </c>
      <c r="AG198" s="28" t="s">
        <v>2508</v>
      </c>
      <c r="AH198" s="28" t="s">
        <v>30</v>
      </c>
      <c r="AI198" s="28" t="s">
        <v>2338</v>
      </c>
      <c r="AJ198" s="28" t="s">
        <v>2301</v>
      </c>
      <c r="AK198" s="28" t="s">
        <v>31</v>
      </c>
      <c r="AL198" s="28" t="s">
        <v>2298</v>
      </c>
      <c r="AM198" s="114"/>
    </row>
    <row r="199" spans="7:39">
      <c r="G199" s="27">
        <v>2010</v>
      </c>
      <c r="H199" s="27" t="s">
        <v>135</v>
      </c>
      <c r="I199" s="27" t="s">
        <v>11</v>
      </c>
      <c r="J199" s="27" t="s">
        <v>73</v>
      </c>
      <c r="K199" s="27" t="s">
        <v>73</v>
      </c>
      <c r="L199" s="27" t="s">
        <v>350</v>
      </c>
      <c r="M199" s="27" t="s">
        <v>348</v>
      </c>
      <c r="N199" s="27">
        <v>4</v>
      </c>
      <c r="O199" s="27">
        <v>2</v>
      </c>
      <c r="P199" s="27" t="s">
        <v>119</v>
      </c>
      <c r="Q199" s="27" t="s">
        <v>111</v>
      </c>
      <c r="R199" s="27" t="s">
        <v>111</v>
      </c>
      <c r="S199" s="27" t="s">
        <v>112</v>
      </c>
      <c r="U199" s="18">
        <v>197</v>
      </c>
      <c r="V199" s="18" t="s">
        <v>963</v>
      </c>
      <c r="W199" s="18">
        <v>20</v>
      </c>
      <c r="X199" s="18" t="s">
        <v>16</v>
      </c>
      <c r="Y199" s="18" t="s">
        <v>669</v>
      </c>
      <c r="Z199" s="18" t="s">
        <v>964</v>
      </c>
      <c r="AA199" s="18">
        <v>9</v>
      </c>
      <c r="AC199" s="28" t="s">
        <v>2500</v>
      </c>
      <c r="AD199" s="28" t="s">
        <v>2526</v>
      </c>
      <c r="AE199" s="28" t="s">
        <v>106</v>
      </c>
      <c r="AF199" s="28" t="s">
        <v>2507</v>
      </c>
      <c r="AG199" s="28" t="s">
        <v>2508</v>
      </c>
      <c r="AH199" s="28" t="s">
        <v>24</v>
      </c>
      <c r="AI199" s="28" t="s">
        <v>2305</v>
      </c>
      <c r="AJ199" s="28" t="s">
        <v>2297</v>
      </c>
      <c r="AK199" s="28" t="s">
        <v>26</v>
      </c>
      <c r="AL199" s="28" t="s">
        <v>2298</v>
      </c>
      <c r="AM199" s="114"/>
    </row>
    <row r="200" spans="7:39">
      <c r="G200" s="27">
        <v>2010</v>
      </c>
      <c r="H200" s="27" t="s">
        <v>135</v>
      </c>
      <c r="I200" s="27" t="s">
        <v>11</v>
      </c>
      <c r="J200" s="27" t="s">
        <v>73</v>
      </c>
      <c r="K200" s="27" t="s">
        <v>11</v>
      </c>
      <c r="L200" s="27" t="s">
        <v>351</v>
      </c>
      <c r="M200" s="27" t="s">
        <v>346</v>
      </c>
      <c r="N200" s="27">
        <v>5</v>
      </c>
      <c r="O200" s="27">
        <v>3</v>
      </c>
      <c r="P200" s="27" t="s">
        <v>121</v>
      </c>
      <c r="Q200" s="27" t="s">
        <v>111</v>
      </c>
      <c r="R200" s="27" t="s">
        <v>111</v>
      </c>
      <c r="S200" s="27" t="s">
        <v>112</v>
      </c>
      <c r="U200" s="18">
        <v>198</v>
      </c>
      <c r="V200" s="18" t="s">
        <v>516</v>
      </c>
      <c r="W200" s="18">
        <v>33</v>
      </c>
      <c r="X200" s="18" t="s">
        <v>16</v>
      </c>
      <c r="Y200" s="18" t="s">
        <v>669</v>
      </c>
      <c r="Z200" s="18" t="s">
        <v>965</v>
      </c>
      <c r="AA200" s="18">
        <v>10</v>
      </c>
      <c r="AC200" s="28" t="s">
        <v>2500</v>
      </c>
      <c r="AD200" s="28" t="s">
        <v>2527</v>
      </c>
      <c r="AE200" s="28" t="s">
        <v>106</v>
      </c>
      <c r="AF200" s="28" t="s">
        <v>2502</v>
      </c>
      <c r="AG200" s="28" t="s">
        <v>2503</v>
      </c>
      <c r="AH200" s="28" t="s">
        <v>23</v>
      </c>
      <c r="AI200" s="28" t="s">
        <v>2305</v>
      </c>
      <c r="AJ200" s="28" t="s">
        <v>2297</v>
      </c>
      <c r="AK200" s="28" t="s">
        <v>30</v>
      </c>
      <c r="AL200" s="28" t="s">
        <v>2298</v>
      </c>
      <c r="AM200" s="114"/>
    </row>
    <row r="201" spans="7:39">
      <c r="G201" s="27">
        <v>2010</v>
      </c>
      <c r="H201" s="27" t="s">
        <v>135</v>
      </c>
      <c r="I201" s="27" t="s">
        <v>11</v>
      </c>
      <c r="J201" s="27" t="s">
        <v>73</v>
      </c>
      <c r="K201" s="27" t="s">
        <v>73</v>
      </c>
      <c r="L201" s="27" t="s">
        <v>352</v>
      </c>
      <c r="M201" s="27" t="s">
        <v>348</v>
      </c>
      <c r="N201" s="27">
        <v>6</v>
      </c>
      <c r="O201" s="27">
        <v>3</v>
      </c>
      <c r="P201" s="27" t="s">
        <v>123</v>
      </c>
      <c r="Q201" s="27" t="s">
        <v>111</v>
      </c>
      <c r="R201" s="27" t="s">
        <v>111</v>
      </c>
      <c r="S201" s="27" t="s">
        <v>124</v>
      </c>
      <c r="U201" s="18">
        <v>199</v>
      </c>
      <c r="V201" s="18" t="s">
        <v>966</v>
      </c>
      <c r="W201" s="18">
        <v>29</v>
      </c>
      <c r="X201" s="18" t="s">
        <v>16</v>
      </c>
      <c r="Y201" s="18" t="s">
        <v>669</v>
      </c>
      <c r="Z201" s="18" t="s">
        <v>967</v>
      </c>
      <c r="AA201" s="18">
        <v>15</v>
      </c>
      <c r="AC201" s="28" t="s">
        <v>2500</v>
      </c>
      <c r="AD201" s="28" t="s">
        <v>2528</v>
      </c>
      <c r="AE201" s="28" t="s">
        <v>2350</v>
      </c>
      <c r="AF201" s="28" t="s">
        <v>2502</v>
      </c>
      <c r="AG201" s="28" t="s">
        <v>2503</v>
      </c>
      <c r="AH201" s="28" t="s">
        <v>30</v>
      </c>
      <c r="AI201" s="28" t="s">
        <v>2305</v>
      </c>
      <c r="AJ201" s="28" t="s">
        <v>2297</v>
      </c>
      <c r="AK201" s="28" t="s">
        <v>26</v>
      </c>
      <c r="AL201" s="28" t="s">
        <v>2298</v>
      </c>
      <c r="AM201" s="114"/>
    </row>
    <row r="202" spans="7:39">
      <c r="G202" s="27">
        <v>2010</v>
      </c>
      <c r="H202" s="27" t="s">
        <v>135</v>
      </c>
      <c r="I202" s="27" t="s">
        <v>11</v>
      </c>
      <c r="J202" s="27" t="s">
        <v>73</v>
      </c>
      <c r="K202" s="27" t="s">
        <v>11</v>
      </c>
      <c r="L202" s="27" t="s">
        <v>353</v>
      </c>
      <c r="M202" s="27" t="s">
        <v>346</v>
      </c>
      <c r="N202" s="27">
        <v>7</v>
      </c>
      <c r="O202" s="27">
        <v>4</v>
      </c>
      <c r="P202" s="27" t="s">
        <v>123</v>
      </c>
      <c r="Q202" s="27" t="s">
        <v>111</v>
      </c>
      <c r="R202" s="27" t="s">
        <v>111</v>
      </c>
      <c r="S202" s="27" t="s">
        <v>160</v>
      </c>
      <c r="U202" s="18">
        <v>200</v>
      </c>
      <c r="V202" s="18" t="s">
        <v>968</v>
      </c>
      <c r="W202" s="18">
        <v>29</v>
      </c>
      <c r="X202" s="18" t="s">
        <v>16</v>
      </c>
      <c r="Y202" s="18" t="s">
        <v>669</v>
      </c>
      <c r="Z202" s="18" t="s">
        <v>969</v>
      </c>
      <c r="AA202" s="18">
        <v>20</v>
      </c>
      <c r="AC202" s="28" t="s">
        <v>2500</v>
      </c>
      <c r="AD202" s="28" t="s">
        <v>2529</v>
      </c>
      <c r="AE202" s="28" t="s">
        <v>238</v>
      </c>
      <c r="AF202" s="28" t="s">
        <v>2502</v>
      </c>
      <c r="AG202" s="28" t="s">
        <v>2503</v>
      </c>
      <c r="AH202" s="28" t="s">
        <v>23</v>
      </c>
      <c r="AI202" s="28" t="s">
        <v>2296</v>
      </c>
      <c r="AJ202" s="28" t="s">
        <v>2305</v>
      </c>
      <c r="AK202" s="28" t="s">
        <v>24</v>
      </c>
      <c r="AL202" s="28" t="s">
        <v>2530</v>
      </c>
      <c r="AM202" s="114"/>
    </row>
    <row r="203" spans="7:39">
      <c r="G203" s="27">
        <v>2010</v>
      </c>
      <c r="H203" s="27" t="s">
        <v>135</v>
      </c>
      <c r="I203" s="27" t="s">
        <v>11</v>
      </c>
      <c r="J203" s="27" t="s">
        <v>73</v>
      </c>
      <c r="K203" s="27" t="s">
        <v>73</v>
      </c>
      <c r="L203" s="27" t="s">
        <v>354</v>
      </c>
      <c r="M203" s="27" t="s">
        <v>348</v>
      </c>
      <c r="N203" s="27">
        <v>8</v>
      </c>
      <c r="O203" s="27">
        <v>4</v>
      </c>
      <c r="P203" s="27" t="s">
        <v>123</v>
      </c>
      <c r="Q203" s="27" t="s">
        <v>111</v>
      </c>
      <c r="R203" s="27" t="s">
        <v>111</v>
      </c>
      <c r="S203" s="27" t="s">
        <v>124</v>
      </c>
      <c r="U203" s="18">
        <v>201</v>
      </c>
      <c r="V203" s="18" t="s">
        <v>970</v>
      </c>
      <c r="W203" s="18">
        <v>24</v>
      </c>
      <c r="X203" s="18" t="s">
        <v>16</v>
      </c>
      <c r="Y203" s="18" t="s">
        <v>675</v>
      </c>
      <c r="Z203" s="18" t="s">
        <v>971</v>
      </c>
      <c r="AA203" s="18">
        <v>22</v>
      </c>
      <c r="AC203" s="28" t="s">
        <v>2531</v>
      </c>
      <c r="AD203" s="28" t="s">
        <v>2532</v>
      </c>
      <c r="AE203" s="28" t="s">
        <v>2293</v>
      </c>
      <c r="AF203" s="28" t="s">
        <v>2533</v>
      </c>
      <c r="AG203" s="28" t="s">
        <v>2534</v>
      </c>
      <c r="AH203" s="28" t="s">
        <v>28</v>
      </c>
      <c r="AI203" s="28" t="s">
        <v>2302</v>
      </c>
      <c r="AJ203" s="28" t="s">
        <v>2302</v>
      </c>
      <c r="AK203" s="28" t="s">
        <v>26</v>
      </c>
      <c r="AL203" s="28" t="s">
        <v>2298</v>
      </c>
      <c r="AM203" s="114"/>
    </row>
    <row r="204" spans="7:39">
      <c r="G204" s="27">
        <v>2010</v>
      </c>
      <c r="H204" s="27" t="s">
        <v>135</v>
      </c>
      <c r="I204" s="27" t="s">
        <v>11</v>
      </c>
      <c r="J204" s="27" t="s">
        <v>73</v>
      </c>
      <c r="K204" s="27" t="s">
        <v>11</v>
      </c>
      <c r="L204" s="27" t="s">
        <v>355</v>
      </c>
      <c r="M204" s="27" t="s">
        <v>346</v>
      </c>
      <c r="N204" s="27">
        <v>9</v>
      </c>
      <c r="O204" s="27">
        <v>5</v>
      </c>
      <c r="P204" s="27" t="s">
        <v>123</v>
      </c>
      <c r="Q204" s="27" t="s">
        <v>111</v>
      </c>
      <c r="R204" s="27" t="s">
        <v>131</v>
      </c>
      <c r="S204" s="27" t="s">
        <v>112</v>
      </c>
      <c r="U204" s="18">
        <v>202</v>
      </c>
      <c r="V204" s="18" t="s">
        <v>972</v>
      </c>
      <c r="W204" s="18">
        <v>32</v>
      </c>
      <c r="X204" s="18" t="s">
        <v>16</v>
      </c>
      <c r="Y204" s="18" t="s">
        <v>853</v>
      </c>
      <c r="Z204" s="18" t="s">
        <v>845</v>
      </c>
      <c r="AA204" s="18">
        <v>16</v>
      </c>
      <c r="AC204" s="28" t="s">
        <v>2531</v>
      </c>
      <c r="AD204" s="28" t="s">
        <v>2535</v>
      </c>
      <c r="AE204" s="28" t="s">
        <v>2304</v>
      </c>
      <c r="AF204" s="28" t="s">
        <v>2536</v>
      </c>
      <c r="AG204" s="28" t="s">
        <v>2537</v>
      </c>
      <c r="AH204" s="28" t="s">
        <v>11</v>
      </c>
      <c r="AI204" s="28" t="s">
        <v>2305</v>
      </c>
      <c r="AJ204" s="28" t="s">
        <v>2302</v>
      </c>
      <c r="AK204" s="28" t="s">
        <v>2538</v>
      </c>
      <c r="AL204" s="28" t="s">
        <v>2298</v>
      </c>
      <c r="AM204" s="114"/>
    </row>
    <row r="205" spans="7:39">
      <c r="G205" s="27">
        <v>2014</v>
      </c>
      <c r="H205" s="27" t="s">
        <v>170</v>
      </c>
      <c r="I205" s="27" t="s">
        <v>12</v>
      </c>
      <c r="J205" s="27" t="s">
        <v>10</v>
      </c>
      <c r="K205" s="27" t="s">
        <v>12</v>
      </c>
      <c r="L205" s="27" t="s">
        <v>356</v>
      </c>
      <c r="M205" s="27" t="s">
        <v>357</v>
      </c>
      <c r="N205" s="27">
        <v>1</v>
      </c>
      <c r="O205" s="27">
        <v>1</v>
      </c>
      <c r="P205" s="27" t="s">
        <v>110</v>
      </c>
      <c r="Q205" s="27" t="s">
        <v>111</v>
      </c>
      <c r="R205" s="27" t="s">
        <v>111</v>
      </c>
      <c r="S205" s="27" t="s">
        <v>112</v>
      </c>
      <c r="U205" s="18">
        <v>203</v>
      </c>
      <c r="V205" s="18" t="s">
        <v>973</v>
      </c>
      <c r="W205" s="18">
        <v>27</v>
      </c>
      <c r="X205" s="18" t="s">
        <v>16</v>
      </c>
      <c r="Y205" s="18" t="s">
        <v>679</v>
      </c>
      <c r="Z205" s="18" t="s">
        <v>967</v>
      </c>
      <c r="AA205" s="18">
        <v>17</v>
      </c>
      <c r="AC205" s="28" t="s">
        <v>2531</v>
      </c>
      <c r="AD205" s="28" t="s">
        <v>2535</v>
      </c>
      <c r="AE205" s="28" t="s">
        <v>2299</v>
      </c>
      <c r="AF205" s="28" t="s">
        <v>2539</v>
      </c>
      <c r="AG205" s="28" t="s">
        <v>2540</v>
      </c>
      <c r="AH205" s="28" t="s">
        <v>32</v>
      </c>
      <c r="AI205" s="28" t="s">
        <v>2301</v>
      </c>
      <c r="AJ205" s="28" t="s">
        <v>2305</v>
      </c>
      <c r="AK205" s="28" t="s">
        <v>34</v>
      </c>
      <c r="AL205" s="28" t="s">
        <v>2298</v>
      </c>
      <c r="AM205" s="114"/>
    </row>
    <row r="206" spans="7:39">
      <c r="G206" s="27">
        <v>2014</v>
      </c>
      <c r="H206" s="27" t="s">
        <v>170</v>
      </c>
      <c r="I206" s="27" t="s">
        <v>12</v>
      </c>
      <c r="J206" s="27" t="s">
        <v>10</v>
      </c>
      <c r="K206" s="27" t="s">
        <v>10</v>
      </c>
      <c r="L206" s="27" t="s">
        <v>358</v>
      </c>
      <c r="M206" s="27" t="s">
        <v>161</v>
      </c>
      <c r="N206" s="27">
        <v>2</v>
      </c>
      <c r="O206" s="27">
        <v>1</v>
      </c>
      <c r="P206" s="27" t="s">
        <v>140</v>
      </c>
      <c r="Q206" s="27" t="s">
        <v>111</v>
      </c>
      <c r="R206" s="27" t="s">
        <v>111</v>
      </c>
      <c r="S206" s="27" t="s">
        <v>124</v>
      </c>
      <c r="U206" s="18">
        <v>204</v>
      </c>
      <c r="V206" s="18" t="s">
        <v>974</v>
      </c>
      <c r="W206" s="18">
        <v>26</v>
      </c>
      <c r="X206" s="18" t="s">
        <v>16</v>
      </c>
      <c r="Y206" s="18" t="s">
        <v>679</v>
      </c>
      <c r="Z206" s="18" t="s">
        <v>975</v>
      </c>
      <c r="AA206" s="18">
        <v>19</v>
      </c>
      <c r="AC206" s="28" t="s">
        <v>2531</v>
      </c>
      <c r="AD206" s="28" t="s">
        <v>2535</v>
      </c>
      <c r="AE206" s="28" t="s">
        <v>2307</v>
      </c>
      <c r="AF206" s="28" t="s">
        <v>2541</v>
      </c>
      <c r="AG206" s="28" t="s">
        <v>2542</v>
      </c>
      <c r="AH206" s="28" t="s">
        <v>23</v>
      </c>
      <c r="AI206" s="28" t="s">
        <v>2297</v>
      </c>
      <c r="AJ206" s="28" t="s">
        <v>2302</v>
      </c>
      <c r="AK206" s="28" t="s">
        <v>8</v>
      </c>
      <c r="AL206" s="28" t="s">
        <v>2298</v>
      </c>
      <c r="AM206" s="114"/>
    </row>
    <row r="207" spans="7:39">
      <c r="G207" s="27">
        <v>2014</v>
      </c>
      <c r="H207" s="27" t="s">
        <v>170</v>
      </c>
      <c r="I207" s="27" t="s">
        <v>12</v>
      </c>
      <c r="J207" s="27" t="s">
        <v>10</v>
      </c>
      <c r="K207" s="27" t="s">
        <v>12</v>
      </c>
      <c r="L207" s="27" t="s">
        <v>359</v>
      </c>
      <c r="M207" s="27" t="s">
        <v>357</v>
      </c>
      <c r="N207" s="27">
        <v>3</v>
      </c>
      <c r="O207" s="27">
        <v>2</v>
      </c>
      <c r="P207" s="27" t="s">
        <v>140</v>
      </c>
      <c r="Q207" s="27" t="s">
        <v>111</v>
      </c>
      <c r="R207" s="27" t="s">
        <v>111</v>
      </c>
      <c r="S207" s="27" t="s">
        <v>160</v>
      </c>
      <c r="U207" s="18">
        <v>205</v>
      </c>
      <c r="V207" s="18" t="s">
        <v>976</v>
      </c>
      <c r="W207" s="18">
        <v>25</v>
      </c>
      <c r="X207" s="18" t="s">
        <v>16</v>
      </c>
      <c r="Y207" s="18" t="s">
        <v>681</v>
      </c>
      <c r="Z207" s="18" t="s">
        <v>977</v>
      </c>
      <c r="AA207" s="18">
        <v>11</v>
      </c>
      <c r="AC207" s="28" t="s">
        <v>2531</v>
      </c>
      <c r="AD207" s="28" t="s">
        <v>2543</v>
      </c>
      <c r="AE207" s="28" t="s">
        <v>2304</v>
      </c>
      <c r="AF207" s="28" t="s">
        <v>2544</v>
      </c>
      <c r="AG207" s="28" t="s">
        <v>2545</v>
      </c>
      <c r="AH207" s="28" t="s">
        <v>20</v>
      </c>
      <c r="AI207" s="28" t="s">
        <v>2297</v>
      </c>
      <c r="AJ207" s="28" t="s">
        <v>2302</v>
      </c>
      <c r="AK207" s="28" t="s">
        <v>17</v>
      </c>
      <c r="AL207" s="28" t="s">
        <v>2298</v>
      </c>
      <c r="AM207" s="114"/>
    </row>
    <row r="208" spans="7:39">
      <c r="G208" s="27">
        <v>2014</v>
      </c>
      <c r="H208" s="27" t="s">
        <v>170</v>
      </c>
      <c r="I208" s="27" t="s">
        <v>12</v>
      </c>
      <c r="J208" s="27" t="s">
        <v>10</v>
      </c>
      <c r="K208" s="27" t="s">
        <v>10</v>
      </c>
      <c r="L208" s="27" t="s">
        <v>360</v>
      </c>
      <c r="M208" s="27" t="s">
        <v>161</v>
      </c>
      <c r="N208" s="27">
        <v>4</v>
      </c>
      <c r="O208" s="27">
        <v>2</v>
      </c>
      <c r="P208" s="27" t="s">
        <v>140</v>
      </c>
      <c r="Q208" s="27" t="s">
        <v>111</v>
      </c>
      <c r="R208" s="27" t="s">
        <v>111</v>
      </c>
      <c r="S208" s="27" t="s">
        <v>124</v>
      </c>
      <c r="U208" s="18">
        <v>206</v>
      </c>
      <c r="V208" s="18" t="s">
        <v>522</v>
      </c>
      <c r="W208" s="18">
        <v>29</v>
      </c>
      <c r="X208" s="18" t="s">
        <v>16</v>
      </c>
      <c r="Y208" s="18" t="s">
        <v>683</v>
      </c>
      <c r="Z208" s="18" t="s">
        <v>978</v>
      </c>
      <c r="AA208" s="18">
        <v>7</v>
      </c>
      <c r="AC208" s="28" t="s">
        <v>2531</v>
      </c>
      <c r="AD208" s="28" t="s">
        <v>2543</v>
      </c>
      <c r="AE208" s="28" t="s">
        <v>2299</v>
      </c>
      <c r="AF208" s="28" t="s">
        <v>2539</v>
      </c>
      <c r="AG208" s="28" t="s">
        <v>2540</v>
      </c>
      <c r="AH208" s="28" t="s">
        <v>24</v>
      </c>
      <c r="AI208" s="28" t="s">
        <v>2305</v>
      </c>
      <c r="AJ208" s="28" t="s">
        <v>2297</v>
      </c>
      <c r="AK208" s="28" t="s">
        <v>46</v>
      </c>
      <c r="AL208" s="28" t="s">
        <v>2298</v>
      </c>
      <c r="AM208" s="114"/>
    </row>
    <row r="209" spans="7:39">
      <c r="G209" s="27">
        <v>2014</v>
      </c>
      <c r="H209" s="27" t="s">
        <v>170</v>
      </c>
      <c r="I209" s="27" t="s">
        <v>12</v>
      </c>
      <c r="J209" s="27" t="s">
        <v>10</v>
      </c>
      <c r="K209" s="27" t="s">
        <v>12</v>
      </c>
      <c r="L209" s="27" t="s">
        <v>361</v>
      </c>
      <c r="M209" s="27" t="s">
        <v>357</v>
      </c>
      <c r="N209" s="27">
        <v>5</v>
      </c>
      <c r="O209" s="27">
        <v>3</v>
      </c>
      <c r="P209" s="27" t="s">
        <v>140</v>
      </c>
      <c r="Q209" s="27" t="s">
        <v>111</v>
      </c>
      <c r="R209" s="27" t="s">
        <v>111</v>
      </c>
      <c r="S209" s="27" t="s">
        <v>112</v>
      </c>
      <c r="U209" s="18">
        <v>207</v>
      </c>
      <c r="V209" s="18" t="s">
        <v>525</v>
      </c>
      <c r="W209" s="18">
        <v>25</v>
      </c>
      <c r="X209" s="18" t="s">
        <v>16</v>
      </c>
      <c r="Y209" s="18" t="s">
        <v>683</v>
      </c>
      <c r="Z209" s="18" t="s">
        <v>769</v>
      </c>
      <c r="AA209" s="18">
        <v>23</v>
      </c>
      <c r="AC209" s="28" t="s">
        <v>2531</v>
      </c>
      <c r="AD209" s="28" t="s">
        <v>2543</v>
      </c>
      <c r="AE209" s="28" t="s">
        <v>2307</v>
      </c>
      <c r="AF209" s="28" t="s">
        <v>2541</v>
      </c>
      <c r="AG209" s="28" t="s">
        <v>2542</v>
      </c>
      <c r="AH209" s="28" t="s">
        <v>12</v>
      </c>
      <c r="AI209" s="28" t="s">
        <v>2296</v>
      </c>
      <c r="AJ209" s="28" t="s">
        <v>2297</v>
      </c>
      <c r="AK209" s="28" t="s">
        <v>21</v>
      </c>
      <c r="AL209" s="28" t="s">
        <v>2298</v>
      </c>
      <c r="AM209" s="114"/>
    </row>
    <row r="210" spans="7:39">
      <c r="G210" s="27">
        <v>2014</v>
      </c>
      <c r="H210" s="27" t="s">
        <v>170</v>
      </c>
      <c r="I210" s="27" t="s">
        <v>12</v>
      </c>
      <c r="J210" s="27" t="s">
        <v>10</v>
      </c>
      <c r="K210" s="27" t="s">
        <v>10</v>
      </c>
      <c r="L210" s="27" t="s">
        <v>362</v>
      </c>
      <c r="M210" s="27" t="s">
        <v>161</v>
      </c>
      <c r="N210" s="27">
        <v>6</v>
      </c>
      <c r="O210" s="27">
        <v>3</v>
      </c>
      <c r="P210" s="27" t="s">
        <v>119</v>
      </c>
      <c r="Q210" s="27" t="s">
        <v>111</v>
      </c>
      <c r="R210" s="27" t="s">
        <v>111</v>
      </c>
      <c r="S210" s="27" t="s">
        <v>112</v>
      </c>
      <c r="U210" s="18">
        <v>208</v>
      </c>
      <c r="V210" s="18" t="s">
        <v>979</v>
      </c>
      <c r="W210" s="18">
        <v>29</v>
      </c>
      <c r="X210" s="18" t="s">
        <v>16</v>
      </c>
      <c r="Y210" s="18" t="s">
        <v>683</v>
      </c>
      <c r="Z210" s="18" t="s">
        <v>980</v>
      </c>
      <c r="AA210" s="18">
        <v>26</v>
      </c>
      <c r="AC210" s="28" t="s">
        <v>2531</v>
      </c>
      <c r="AD210" s="28" t="s">
        <v>2543</v>
      </c>
      <c r="AE210" s="28" t="s">
        <v>2293</v>
      </c>
      <c r="AF210" s="28" t="s">
        <v>2533</v>
      </c>
      <c r="AG210" s="28" t="s">
        <v>2534</v>
      </c>
      <c r="AH210" s="28" t="s">
        <v>33</v>
      </c>
      <c r="AI210" s="28" t="s">
        <v>2301</v>
      </c>
      <c r="AJ210" s="28" t="s">
        <v>2302</v>
      </c>
      <c r="AK210" s="28" t="s">
        <v>2546</v>
      </c>
      <c r="AL210" s="28" t="s">
        <v>2298</v>
      </c>
      <c r="AM210" s="114"/>
    </row>
    <row r="211" spans="7:39">
      <c r="G211" s="27">
        <v>2014</v>
      </c>
      <c r="H211" s="27" t="s">
        <v>170</v>
      </c>
      <c r="I211" s="27" t="s">
        <v>12</v>
      </c>
      <c r="J211" s="27" t="s">
        <v>10</v>
      </c>
      <c r="K211" s="27" t="s">
        <v>12</v>
      </c>
      <c r="L211" s="27" t="s">
        <v>363</v>
      </c>
      <c r="M211" s="27" t="s">
        <v>357</v>
      </c>
      <c r="N211" s="27">
        <v>7</v>
      </c>
      <c r="O211" s="27">
        <v>4</v>
      </c>
      <c r="P211" s="27" t="s">
        <v>119</v>
      </c>
      <c r="Q211" s="27" t="s">
        <v>111</v>
      </c>
      <c r="R211" s="27" t="s">
        <v>111</v>
      </c>
      <c r="S211" s="27" t="s">
        <v>124</v>
      </c>
      <c r="U211" s="18">
        <v>209</v>
      </c>
      <c r="V211" s="18" t="s">
        <v>448</v>
      </c>
      <c r="W211" s="18">
        <v>33</v>
      </c>
      <c r="X211" s="18" t="s">
        <v>12</v>
      </c>
      <c r="Y211" s="18" t="s">
        <v>642</v>
      </c>
      <c r="Z211" s="18" t="s">
        <v>981</v>
      </c>
      <c r="AA211" s="18">
        <v>1</v>
      </c>
      <c r="AC211" s="28" t="s">
        <v>2531</v>
      </c>
      <c r="AD211" s="28" t="s">
        <v>2547</v>
      </c>
      <c r="AE211" s="28" t="s">
        <v>2304</v>
      </c>
      <c r="AF211" s="28" t="s">
        <v>2536</v>
      </c>
      <c r="AG211" s="28" t="s">
        <v>2537</v>
      </c>
      <c r="AH211" s="28" t="s">
        <v>11</v>
      </c>
      <c r="AI211" s="28" t="s">
        <v>2302</v>
      </c>
      <c r="AJ211" s="28" t="s">
        <v>2302</v>
      </c>
      <c r="AK211" s="28" t="s">
        <v>20</v>
      </c>
      <c r="AL211" s="28" t="s">
        <v>2298</v>
      </c>
      <c r="AM211" s="114"/>
    </row>
    <row r="212" spans="7:39">
      <c r="G212" s="27">
        <v>2014</v>
      </c>
      <c r="H212" s="27" t="s">
        <v>170</v>
      </c>
      <c r="I212" s="27" t="s">
        <v>12</v>
      </c>
      <c r="J212" s="27" t="s">
        <v>10</v>
      </c>
      <c r="K212" s="27" t="s">
        <v>10</v>
      </c>
      <c r="L212" s="27" t="s">
        <v>364</v>
      </c>
      <c r="M212" s="27" t="s">
        <v>161</v>
      </c>
      <c r="N212" s="27">
        <v>8</v>
      </c>
      <c r="O212" s="27">
        <v>4</v>
      </c>
      <c r="P212" s="27" t="s">
        <v>121</v>
      </c>
      <c r="Q212" s="27" t="s">
        <v>111</v>
      </c>
      <c r="R212" s="27" t="s">
        <v>111</v>
      </c>
      <c r="S212" s="27" t="s">
        <v>112</v>
      </c>
      <c r="U212" s="18">
        <v>210</v>
      </c>
      <c r="V212" s="18" t="s">
        <v>982</v>
      </c>
      <c r="W212" s="18">
        <v>38</v>
      </c>
      <c r="X212" s="18" t="s">
        <v>12</v>
      </c>
      <c r="Y212" s="18" t="s">
        <v>642</v>
      </c>
      <c r="Z212" s="18" t="s">
        <v>983</v>
      </c>
      <c r="AA212" s="18">
        <v>12</v>
      </c>
      <c r="AC212" s="28" t="s">
        <v>2531</v>
      </c>
      <c r="AD212" s="28" t="s">
        <v>2547</v>
      </c>
      <c r="AE212" s="28" t="s">
        <v>2299</v>
      </c>
      <c r="AF212" s="28" t="s">
        <v>2539</v>
      </c>
      <c r="AG212" s="28" t="s">
        <v>2540</v>
      </c>
      <c r="AH212" s="28" t="s">
        <v>32</v>
      </c>
      <c r="AI212" s="28" t="s">
        <v>2301</v>
      </c>
      <c r="AJ212" s="28" t="s">
        <v>2302</v>
      </c>
      <c r="AK212" s="28" t="s">
        <v>46</v>
      </c>
      <c r="AL212" s="28" t="s">
        <v>2298</v>
      </c>
      <c r="AM212" s="114"/>
    </row>
    <row r="213" spans="7:39">
      <c r="G213" s="27">
        <v>2014</v>
      </c>
      <c r="H213" s="27" t="s">
        <v>170</v>
      </c>
      <c r="I213" s="27" t="s">
        <v>12</v>
      </c>
      <c r="J213" s="27" t="s">
        <v>10</v>
      </c>
      <c r="K213" s="27" t="s">
        <v>12</v>
      </c>
      <c r="L213" s="27" t="s">
        <v>365</v>
      </c>
      <c r="M213" s="27" t="s">
        <v>357</v>
      </c>
      <c r="N213" s="27">
        <v>9</v>
      </c>
      <c r="O213" s="27">
        <v>5</v>
      </c>
      <c r="P213" s="27" t="s">
        <v>121</v>
      </c>
      <c r="Q213" s="27" t="s">
        <v>111</v>
      </c>
      <c r="R213" s="27" t="s">
        <v>111</v>
      </c>
      <c r="S213" s="27" t="s">
        <v>112</v>
      </c>
      <c r="U213" s="18">
        <v>211</v>
      </c>
      <c r="V213" s="18" t="s">
        <v>984</v>
      </c>
      <c r="W213" s="18">
        <v>32</v>
      </c>
      <c r="X213" s="18" t="s">
        <v>12</v>
      </c>
      <c r="Y213" s="18" t="s">
        <v>642</v>
      </c>
      <c r="Z213" s="18" t="s">
        <v>707</v>
      </c>
      <c r="AA213" s="18">
        <v>23</v>
      </c>
      <c r="AC213" s="28" t="s">
        <v>2531</v>
      </c>
      <c r="AD213" s="28" t="s">
        <v>2547</v>
      </c>
      <c r="AE213" s="28" t="s">
        <v>2307</v>
      </c>
      <c r="AF213" s="28" t="s">
        <v>2541</v>
      </c>
      <c r="AG213" s="28" t="s">
        <v>2542</v>
      </c>
      <c r="AH213" s="28" t="s">
        <v>8</v>
      </c>
      <c r="AI213" s="28" t="s">
        <v>2305</v>
      </c>
      <c r="AJ213" s="28" t="s">
        <v>2297</v>
      </c>
      <c r="AK213" s="28" t="s">
        <v>21</v>
      </c>
      <c r="AL213" s="28" t="s">
        <v>2298</v>
      </c>
      <c r="AM213" s="114"/>
    </row>
    <row r="214" spans="7:39">
      <c r="G214" s="27">
        <v>2014</v>
      </c>
      <c r="H214" s="27" t="s">
        <v>170</v>
      </c>
      <c r="I214" s="27" t="s">
        <v>12</v>
      </c>
      <c r="J214" s="27" t="s">
        <v>10</v>
      </c>
      <c r="K214" s="27" t="s">
        <v>10</v>
      </c>
      <c r="L214" s="27" t="s">
        <v>366</v>
      </c>
      <c r="M214" s="27" t="s">
        <v>161</v>
      </c>
      <c r="N214" s="27">
        <v>10</v>
      </c>
      <c r="O214" s="27">
        <v>5</v>
      </c>
      <c r="P214" s="27" t="s">
        <v>123</v>
      </c>
      <c r="Q214" s="27" t="s">
        <v>131</v>
      </c>
      <c r="R214" s="27" t="s">
        <v>131</v>
      </c>
      <c r="S214" s="27" t="s">
        <v>160</v>
      </c>
      <c r="U214" s="18">
        <v>212</v>
      </c>
      <c r="V214" s="18" t="s">
        <v>985</v>
      </c>
      <c r="W214" s="18">
        <v>28</v>
      </c>
      <c r="X214" s="18" t="s">
        <v>12</v>
      </c>
      <c r="Y214" s="18" t="s">
        <v>649</v>
      </c>
      <c r="Z214" s="18" t="s">
        <v>986</v>
      </c>
      <c r="AA214" s="18">
        <v>3</v>
      </c>
      <c r="AC214" s="28" t="s">
        <v>2531</v>
      </c>
      <c r="AD214" s="28" t="s">
        <v>2547</v>
      </c>
      <c r="AE214" s="28" t="s">
        <v>2293</v>
      </c>
      <c r="AF214" s="28" t="s">
        <v>2533</v>
      </c>
      <c r="AG214" s="28" t="s">
        <v>2534</v>
      </c>
      <c r="AH214" s="28" t="s">
        <v>26</v>
      </c>
      <c r="AI214" s="28" t="s">
        <v>2296</v>
      </c>
      <c r="AJ214" s="28" t="s">
        <v>2297</v>
      </c>
      <c r="AK214" s="28" t="s">
        <v>33</v>
      </c>
      <c r="AL214" s="28" t="s">
        <v>2298</v>
      </c>
      <c r="AM214" s="114"/>
    </row>
    <row r="215" spans="7:39">
      <c r="G215" s="27">
        <v>2014</v>
      </c>
      <c r="H215" s="27" t="s">
        <v>170</v>
      </c>
      <c r="I215" s="27" t="s">
        <v>50</v>
      </c>
      <c r="J215" s="27" t="s">
        <v>59</v>
      </c>
      <c r="K215" s="27" t="s">
        <v>50</v>
      </c>
      <c r="L215" s="27" t="s">
        <v>367</v>
      </c>
      <c r="M215" s="27" t="s">
        <v>368</v>
      </c>
      <c r="N215" s="27">
        <v>1</v>
      </c>
      <c r="O215" s="27">
        <v>1</v>
      </c>
      <c r="P215" s="27" t="s">
        <v>110</v>
      </c>
      <c r="Q215" s="27" t="s">
        <v>111</v>
      </c>
      <c r="R215" s="27" t="s">
        <v>111</v>
      </c>
      <c r="S215" s="27" t="s">
        <v>112</v>
      </c>
      <c r="U215" s="18">
        <v>213</v>
      </c>
      <c r="V215" s="18" t="s">
        <v>454</v>
      </c>
      <c r="W215" s="18">
        <v>32</v>
      </c>
      <c r="X215" s="18" t="s">
        <v>12</v>
      </c>
      <c r="Y215" s="18" t="s">
        <v>649</v>
      </c>
      <c r="Z215" s="18" t="s">
        <v>813</v>
      </c>
      <c r="AA215" s="18">
        <v>4</v>
      </c>
      <c r="AC215" s="28" t="s">
        <v>2531</v>
      </c>
      <c r="AD215" s="28" t="s">
        <v>2548</v>
      </c>
      <c r="AE215" s="28" t="s">
        <v>2304</v>
      </c>
      <c r="AF215" s="28" t="s">
        <v>2544</v>
      </c>
      <c r="AG215" s="28" t="s">
        <v>2545</v>
      </c>
      <c r="AH215" s="28" t="s">
        <v>17</v>
      </c>
      <c r="AI215" s="28" t="s">
        <v>2297</v>
      </c>
      <c r="AJ215" s="28" t="s">
        <v>2297</v>
      </c>
      <c r="AK215" s="28" t="s">
        <v>2538</v>
      </c>
      <c r="AL215" s="28" t="s">
        <v>2298</v>
      </c>
      <c r="AM215" s="114"/>
    </row>
    <row r="216" spans="7:39">
      <c r="G216" s="27">
        <v>2014</v>
      </c>
      <c r="H216" s="27" t="s">
        <v>170</v>
      </c>
      <c r="I216" s="27" t="s">
        <v>50</v>
      </c>
      <c r="J216" s="27" t="s">
        <v>59</v>
      </c>
      <c r="K216" s="27" t="s">
        <v>59</v>
      </c>
      <c r="L216" s="27" t="s">
        <v>369</v>
      </c>
      <c r="M216" s="27" t="s">
        <v>370</v>
      </c>
      <c r="N216" s="27">
        <v>2</v>
      </c>
      <c r="O216" s="27">
        <v>1</v>
      </c>
      <c r="P216" s="27" t="s">
        <v>140</v>
      </c>
      <c r="Q216" s="27" t="s">
        <v>111</v>
      </c>
      <c r="R216" s="27" t="s">
        <v>111</v>
      </c>
      <c r="S216" s="27" t="s">
        <v>112</v>
      </c>
      <c r="U216" s="18">
        <v>214</v>
      </c>
      <c r="V216" s="18" t="s">
        <v>987</v>
      </c>
      <c r="W216" s="18">
        <v>29</v>
      </c>
      <c r="X216" s="18" t="s">
        <v>12</v>
      </c>
      <c r="Y216" s="18" t="s">
        <v>649</v>
      </c>
      <c r="Z216" s="18" t="s">
        <v>905</v>
      </c>
      <c r="AA216" s="18">
        <v>14</v>
      </c>
      <c r="AC216" s="28" t="s">
        <v>2531</v>
      </c>
      <c r="AD216" s="28" t="s">
        <v>2548</v>
      </c>
      <c r="AE216" s="28" t="s">
        <v>2299</v>
      </c>
      <c r="AF216" s="28" t="s">
        <v>2539</v>
      </c>
      <c r="AG216" s="28" t="s">
        <v>2540</v>
      </c>
      <c r="AH216" s="28" t="s">
        <v>24</v>
      </c>
      <c r="AI216" s="28" t="s">
        <v>2338</v>
      </c>
      <c r="AJ216" s="28" t="s">
        <v>2305</v>
      </c>
      <c r="AK216" s="28" t="s">
        <v>34</v>
      </c>
      <c r="AL216" s="28" t="s">
        <v>2298</v>
      </c>
      <c r="AM216" s="114"/>
    </row>
    <row r="217" spans="7:39">
      <c r="G217" s="27">
        <v>2014</v>
      </c>
      <c r="H217" s="27" t="s">
        <v>170</v>
      </c>
      <c r="I217" s="27" t="s">
        <v>50</v>
      </c>
      <c r="J217" s="27" t="s">
        <v>59</v>
      </c>
      <c r="K217" s="27" t="s">
        <v>50</v>
      </c>
      <c r="L217" s="27" t="s">
        <v>371</v>
      </c>
      <c r="M217" s="27" t="s">
        <v>368</v>
      </c>
      <c r="N217" s="27">
        <v>3</v>
      </c>
      <c r="O217" s="27">
        <v>2</v>
      </c>
      <c r="P217" s="27" t="s">
        <v>117</v>
      </c>
      <c r="Q217" s="27" t="s">
        <v>111</v>
      </c>
      <c r="R217" s="27" t="s">
        <v>111</v>
      </c>
      <c r="S217" s="27" t="s">
        <v>112</v>
      </c>
      <c r="U217" s="18">
        <v>215</v>
      </c>
      <c r="V217" s="18" t="s">
        <v>988</v>
      </c>
      <c r="W217" s="18">
        <v>30</v>
      </c>
      <c r="X217" s="18" t="s">
        <v>12</v>
      </c>
      <c r="Y217" s="18" t="s">
        <v>649</v>
      </c>
      <c r="Z217" s="18" t="s">
        <v>989</v>
      </c>
      <c r="AA217" s="18">
        <v>15</v>
      </c>
      <c r="AC217" s="28" t="s">
        <v>2531</v>
      </c>
      <c r="AD217" s="28" t="s">
        <v>2548</v>
      </c>
      <c r="AE217" s="28" t="s">
        <v>2307</v>
      </c>
      <c r="AF217" s="28" t="s">
        <v>2541</v>
      </c>
      <c r="AG217" s="28" t="s">
        <v>2542</v>
      </c>
      <c r="AH217" s="28" t="s">
        <v>12</v>
      </c>
      <c r="AI217" s="28" t="s">
        <v>2297</v>
      </c>
      <c r="AJ217" s="28" t="s">
        <v>2302</v>
      </c>
      <c r="AK217" s="28" t="s">
        <v>23</v>
      </c>
      <c r="AL217" s="28" t="s">
        <v>2298</v>
      </c>
      <c r="AM217" s="114"/>
    </row>
    <row r="218" spans="7:39">
      <c r="G218" s="27">
        <v>2014</v>
      </c>
      <c r="H218" s="27" t="s">
        <v>170</v>
      </c>
      <c r="I218" s="27" t="s">
        <v>50</v>
      </c>
      <c r="J218" s="27" t="s">
        <v>59</v>
      </c>
      <c r="K218" s="27" t="s">
        <v>59</v>
      </c>
      <c r="L218" s="27" t="s">
        <v>372</v>
      </c>
      <c r="M218" s="27" t="s">
        <v>370</v>
      </c>
      <c r="N218" s="27">
        <v>4</v>
      </c>
      <c r="O218" s="27">
        <v>2</v>
      </c>
      <c r="P218" s="27" t="s">
        <v>121</v>
      </c>
      <c r="Q218" s="27" t="s">
        <v>111</v>
      </c>
      <c r="R218" s="27" t="s">
        <v>111</v>
      </c>
      <c r="S218" s="27" t="s">
        <v>112</v>
      </c>
      <c r="U218" s="18">
        <v>216</v>
      </c>
      <c r="V218" s="18" t="s">
        <v>990</v>
      </c>
      <c r="W218" s="18">
        <v>27</v>
      </c>
      <c r="X218" s="18" t="s">
        <v>12</v>
      </c>
      <c r="Y218" s="18" t="s">
        <v>649</v>
      </c>
      <c r="Z218" s="18" t="s">
        <v>991</v>
      </c>
      <c r="AA218" s="18">
        <v>24</v>
      </c>
      <c r="AC218" s="28" t="s">
        <v>2531</v>
      </c>
      <c r="AD218" s="28" t="s">
        <v>2548</v>
      </c>
      <c r="AE218" s="28" t="s">
        <v>2293</v>
      </c>
      <c r="AF218" s="28" t="s">
        <v>2533</v>
      </c>
      <c r="AG218" s="28" t="s">
        <v>2534</v>
      </c>
      <c r="AH218" s="28" t="s">
        <v>28</v>
      </c>
      <c r="AI218" s="28" t="s">
        <v>2296</v>
      </c>
      <c r="AJ218" s="28" t="s">
        <v>2302</v>
      </c>
      <c r="AK218" s="28" t="s">
        <v>2546</v>
      </c>
      <c r="AL218" s="28" t="s">
        <v>2298</v>
      </c>
      <c r="AM218" s="114"/>
    </row>
    <row r="219" spans="7:39">
      <c r="G219" s="27">
        <v>2014</v>
      </c>
      <c r="H219" s="27" t="s">
        <v>170</v>
      </c>
      <c r="I219" s="27" t="s">
        <v>50</v>
      </c>
      <c r="J219" s="27" t="s">
        <v>59</v>
      </c>
      <c r="K219" s="27" t="s">
        <v>50</v>
      </c>
      <c r="L219" s="27" t="s">
        <v>373</v>
      </c>
      <c r="M219" s="27" t="s">
        <v>368</v>
      </c>
      <c r="N219" s="27">
        <v>5</v>
      </c>
      <c r="O219" s="27">
        <v>3</v>
      </c>
      <c r="P219" s="27" t="s">
        <v>121</v>
      </c>
      <c r="Q219" s="27" t="s">
        <v>111</v>
      </c>
      <c r="R219" s="27" t="s">
        <v>111</v>
      </c>
      <c r="S219" s="27" t="s">
        <v>112</v>
      </c>
      <c r="U219" s="18">
        <v>217</v>
      </c>
      <c r="V219" s="18" t="s">
        <v>992</v>
      </c>
      <c r="W219" s="18">
        <v>35</v>
      </c>
      <c r="X219" s="18" t="s">
        <v>12</v>
      </c>
      <c r="Y219" s="18" t="s">
        <v>657</v>
      </c>
      <c r="Z219" s="18" t="s">
        <v>989</v>
      </c>
      <c r="AA219" s="18">
        <v>6</v>
      </c>
      <c r="AC219" s="28" t="s">
        <v>2531</v>
      </c>
      <c r="AD219" s="28" t="s">
        <v>2549</v>
      </c>
      <c r="AE219" s="28" t="s">
        <v>2304</v>
      </c>
      <c r="AF219" s="28" t="s">
        <v>2536</v>
      </c>
      <c r="AG219" s="28" t="s">
        <v>2537</v>
      </c>
      <c r="AH219" s="28" t="s">
        <v>17</v>
      </c>
      <c r="AI219" s="28" t="s">
        <v>2297</v>
      </c>
      <c r="AJ219" s="28" t="s">
        <v>2302</v>
      </c>
      <c r="AK219" s="28" t="s">
        <v>11</v>
      </c>
      <c r="AL219" s="28" t="s">
        <v>2298</v>
      </c>
      <c r="AM219" s="114"/>
    </row>
    <row r="220" spans="7:39">
      <c r="G220" s="27">
        <v>2014</v>
      </c>
      <c r="H220" s="27" t="s">
        <v>170</v>
      </c>
      <c r="I220" s="27" t="s">
        <v>50</v>
      </c>
      <c r="J220" s="27" t="s">
        <v>59</v>
      </c>
      <c r="K220" s="27" t="s">
        <v>59</v>
      </c>
      <c r="L220" s="27" t="s">
        <v>374</v>
      </c>
      <c r="M220" s="27" t="s">
        <v>370</v>
      </c>
      <c r="N220" s="27">
        <v>6</v>
      </c>
      <c r="O220" s="27">
        <v>3</v>
      </c>
      <c r="P220" s="27" t="s">
        <v>128</v>
      </c>
      <c r="Q220" s="27" t="s">
        <v>111</v>
      </c>
      <c r="R220" s="27" t="s">
        <v>111</v>
      </c>
      <c r="S220" s="27" t="s">
        <v>112</v>
      </c>
      <c r="U220" s="18">
        <v>218</v>
      </c>
      <c r="V220" s="18" t="s">
        <v>993</v>
      </c>
      <c r="W220" s="18">
        <v>32</v>
      </c>
      <c r="X220" s="18" t="s">
        <v>12</v>
      </c>
      <c r="Y220" s="18" t="s">
        <v>657</v>
      </c>
      <c r="Z220" s="18" t="s">
        <v>994</v>
      </c>
      <c r="AA220" s="18">
        <v>16</v>
      </c>
      <c r="AC220" s="28" t="s">
        <v>2531</v>
      </c>
      <c r="AD220" s="28" t="s">
        <v>2549</v>
      </c>
      <c r="AE220" s="28" t="s">
        <v>2299</v>
      </c>
      <c r="AF220" s="28" t="s">
        <v>2539</v>
      </c>
      <c r="AG220" s="28" t="s">
        <v>2540</v>
      </c>
      <c r="AH220" s="28" t="s">
        <v>24</v>
      </c>
      <c r="AI220" s="28" t="s">
        <v>2301</v>
      </c>
      <c r="AJ220" s="28" t="s">
        <v>2297</v>
      </c>
      <c r="AK220" s="28" t="s">
        <v>32</v>
      </c>
      <c r="AL220" s="28" t="s">
        <v>2298</v>
      </c>
      <c r="AM220" s="114"/>
    </row>
    <row r="221" spans="7:39">
      <c r="G221" s="27">
        <v>2014</v>
      </c>
      <c r="H221" s="27" t="s">
        <v>170</v>
      </c>
      <c r="I221" s="27" t="s">
        <v>50</v>
      </c>
      <c r="J221" s="27" t="s">
        <v>59</v>
      </c>
      <c r="K221" s="27" t="s">
        <v>50</v>
      </c>
      <c r="L221" s="27" t="s">
        <v>375</v>
      </c>
      <c r="M221" s="27" t="s">
        <v>368</v>
      </c>
      <c r="N221" s="27">
        <v>7</v>
      </c>
      <c r="O221" s="27">
        <v>4</v>
      </c>
      <c r="P221" s="27" t="s">
        <v>128</v>
      </c>
      <c r="Q221" s="27" t="s">
        <v>111</v>
      </c>
      <c r="R221" s="27" t="s">
        <v>111</v>
      </c>
      <c r="S221" s="27" t="s">
        <v>112</v>
      </c>
      <c r="U221" s="18">
        <v>219</v>
      </c>
      <c r="V221" s="18" t="s">
        <v>995</v>
      </c>
      <c r="W221" s="18">
        <v>34</v>
      </c>
      <c r="X221" s="18" t="s">
        <v>12</v>
      </c>
      <c r="Y221" s="18" t="s">
        <v>661</v>
      </c>
      <c r="Z221" s="18" t="s">
        <v>989</v>
      </c>
      <c r="AA221" s="18">
        <v>13</v>
      </c>
      <c r="AC221" s="28" t="s">
        <v>2531</v>
      </c>
      <c r="AD221" s="28" t="s">
        <v>2549</v>
      </c>
      <c r="AE221" s="28" t="s">
        <v>2307</v>
      </c>
      <c r="AF221" s="28" t="s">
        <v>2541</v>
      </c>
      <c r="AG221" s="28" t="s">
        <v>2542</v>
      </c>
      <c r="AH221" s="28" t="s">
        <v>12</v>
      </c>
      <c r="AI221" s="28" t="s">
        <v>2301</v>
      </c>
      <c r="AJ221" s="28" t="s">
        <v>2305</v>
      </c>
      <c r="AK221" s="28" t="s">
        <v>8</v>
      </c>
      <c r="AL221" s="28" t="s">
        <v>2298</v>
      </c>
      <c r="AM221" s="114"/>
    </row>
    <row r="222" spans="7:39">
      <c r="G222" s="27">
        <v>2014</v>
      </c>
      <c r="H222" s="27" t="s">
        <v>170</v>
      </c>
      <c r="I222" s="27" t="s">
        <v>50</v>
      </c>
      <c r="J222" s="27" t="s">
        <v>59</v>
      </c>
      <c r="K222" s="27" t="s">
        <v>59</v>
      </c>
      <c r="L222" s="27" t="s">
        <v>376</v>
      </c>
      <c r="M222" s="27" t="s">
        <v>370</v>
      </c>
      <c r="N222" s="27">
        <v>8</v>
      </c>
      <c r="O222" s="27">
        <v>4</v>
      </c>
      <c r="P222" s="27" t="s">
        <v>133</v>
      </c>
      <c r="Q222" s="27" t="s">
        <v>111</v>
      </c>
      <c r="R222" s="27" t="s">
        <v>111</v>
      </c>
      <c r="S222" s="27" t="s">
        <v>124</v>
      </c>
      <c r="U222" s="18">
        <v>220</v>
      </c>
      <c r="V222" s="18" t="s">
        <v>451</v>
      </c>
      <c r="W222" s="18">
        <v>34</v>
      </c>
      <c r="X222" s="18" t="s">
        <v>12</v>
      </c>
      <c r="Y222" s="18" t="s">
        <v>664</v>
      </c>
      <c r="Z222" s="18" t="s">
        <v>996</v>
      </c>
      <c r="AA222" s="18">
        <v>5</v>
      </c>
      <c r="AC222" s="28" t="s">
        <v>2531</v>
      </c>
      <c r="AD222" s="28" t="s">
        <v>2549</v>
      </c>
      <c r="AE222" s="28" t="s">
        <v>2293</v>
      </c>
      <c r="AF222" s="28" t="s">
        <v>2533</v>
      </c>
      <c r="AG222" s="28" t="s">
        <v>2534</v>
      </c>
      <c r="AH222" s="28" t="s">
        <v>26</v>
      </c>
      <c r="AI222" s="28" t="s">
        <v>2305</v>
      </c>
      <c r="AJ222" s="28" t="s">
        <v>2302</v>
      </c>
      <c r="AK222" s="28" t="s">
        <v>2546</v>
      </c>
      <c r="AL222" s="28" t="s">
        <v>2298</v>
      </c>
      <c r="AM222" s="114"/>
    </row>
    <row r="223" spans="7:39">
      <c r="G223" s="27">
        <v>2014</v>
      </c>
      <c r="H223" s="27" t="s">
        <v>170</v>
      </c>
      <c r="I223" s="27" t="s">
        <v>50</v>
      </c>
      <c r="J223" s="27" t="s">
        <v>59</v>
      </c>
      <c r="K223" s="27" t="s">
        <v>50</v>
      </c>
      <c r="L223" s="27" t="s">
        <v>377</v>
      </c>
      <c r="M223" s="27" t="s">
        <v>368</v>
      </c>
      <c r="N223" s="27">
        <v>9</v>
      </c>
      <c r="O223" s="27">
        <v>5</v>
      </c>
      <c r="P223" s="27" t="s">
        <v>133</v>
      </c>
      <c r="Q223" s="27" t="s">
        <v>111</v>
      </c>
      <c r="R223" s="27" t="s">
        <v>131</v>
      </c>
      <c r="S223" s="27" t="s">
        <v>112</v>
      </c>
      <c r="U223" s="18">
        <v>221</v>
      </c>
      <c r="V223" s="18" t="s">
        <v>997</v>
      </c>
      <c r="W223" s="18">
        <v>32</v>
      </c>
      <c r="X223" s="18" t="s">
        <v>12</v>
      </c>
      <c r="Y223" s="18" t="s">
        <v>664</v>
      </c>
      <c r="Z223" s="18" t="s">
        <v>998</v>
      </c>
      <c r="AA223" s="18">
        <v>17</v>
      </c>
      <c r="AC223" s="28" t="s">
        <v>2531</v>
      </c>
      <c r="AD223" s="28" t="s">
        <v>2550</v>
      </c>
      <c r="AE223" s="28" t="s">
        <v>2304</v>
      </c>
      <c r="AF223" s="28" t="s">
        <v>2544</v>
      </c>
      <c r="AG223" s="28" t="s">
        <v>2545</v>
      </c>
      <c r="AH223" s="28" t="s">
        <v>20</v>
      </c>
      <c r="AI223" s="28" t="s">
        <v>2302</v>
      </c>
      <c r="AJ223" s="28" t="s">
        <v>2302</v>
      </c>
      <c r="AK223" s="28" t="s">
        <v>2538</v>
      </c>
      <c r="AL223" s="28" t="s">
        <v>2298</v>
      </c>
      <c r="AM223" s="114"/>
    </row>
    <row r="224" spans="7:39">
      <c r="G224" s="27">
        <v>2014</v>
      </c>
      <c r="H224" s="27" t="s">
        <v>135</v>
      </c>
      <c r="I224" s="27" t="s">
        <v>40</v>
      </c>
      <c r="J224" s="27" t="s">
        <v>50</v>
      </c>
      <c r="K224" s="27" t="s">
        <v>40</v>
      </c>
      <c r="L224" s="27" t="s">
        <v>378</v>
      </c>
      <c r="M224" s="27" t="s">
        <v>370</v>
      </c>
      <c r="N224" s="27">
        <v>1</v>
      </c>
      <c r="O224" s="27">
        <v>1</v>
      </c>
      <c r="P224" s="27" t="s">
        <v>110</v>
      </c>
      <c r="Q224" s="27" t="s">
        <v>111</v>
      </c>
      <c r="R224" s="27" t="s">
        <v>111</v>
      </c>
      <c r="S224" s="27" t="s">
        <v>112</v>
      </c>
      <c r="U224" s="18">
        <v>222</v>
      </c>
      <c r="V224" s="18" t="s">
        <v>999</v>
      </c>
      <c r="W224" s="18">
        <v>25</v>
      </c>
      <c r="X224" s="18" t="s">
        <v>12</v>
      </c>
      <c r="Y224" s="18" t="s">
        <v>664</v>
      </c>
      <c r="Z224" s="18" t="s">
        <v>1000</v>
      </c>
      <c r="AA224" s="18">
        <v>18</v>
      </c>
      <c r="AC224" s="28" t="s">
        <v>2531</v>
      </c>
      <c r="AD224" s="28" t="s">
        <v>2550</v>
      </c>
      <c r="AE224" s="28" t="s">
        <v>2299</v>
      </c>
      <c r="AF224" s="28" t="s">
        <v>2539</v>
      </c>
      <c r="AG224" s="28" t="s">
        <v>2540</v>
      </c>
      <c r="AH224" s="28" t="s">
        <v>34</v>
      </c>
      <c r="AI224" s="28" t="s">
        <v>2297</v>
      </c>
      <c r="AJ224" s="28" t="s">
        <v>2297</v>
      </c>
      <c r="AK224" s="28" t="s">
        <v>46</v>
      </c>
      <c r="AL224" s="28" t="s">
        <v>2298</v>
      </c>
      <c r="AM224" s="114"/>
    </row>
    <row r="225" spans="7:39">
      <c r="G225" s="27">
        <v>2014</v>
      </c>
      <c r="H225" s="27" t="s">
        <v>135</v>
      </c>
      <c r="I225" s="27" t="s">
        <v>40</v>
      </c>
      <c r="J225" s="27" t="s">
        <v>50</v>
      </c>
      <c r="K225" s="27" t="s">
        <v>50</v>
      </c>
      <c r="L225" s="27" t="s">
        <v>367</v>
      </c>
      <c r="M225" s="27" t="s">
        <v>379</v>
      </c>
      <c r="N225" s="27">
        <v>2</v>
      </c>
      <c r="O225" s="27">
        <v>1</v>
      </c>
      <c r="P225" s="27" t="s">
        <v>140</v>
      </c>
      <c r="Q225" s="27" t="s">
        <v>111</v>
      </c>
      <c r="R225" s="27" t="s">
        <v>111</v>
      </c>
      <c r="S225" s="27" t="s">
        <v>112</v>
      </c>
      <c r="U225" s="18">
        <v>223</v>
      </c>
      <c r="V225" s="18" t="s">
        <v>1001</v>
      </c>
      <c r="W225" s="18">
        <v>26</v>
      </c>
      <c r="X225" s="18" t="s">
        <v>12</v>
      </c>
      <c r="Y225" s="18" t="s">
        <v>669</v>
      </c>
      <c r="Z225" s="18" t="s">
        <v>837</v>
      </c>
      <c r="AA225" s="18">
        <v>2</v>
      </c>
      <c r="AC225" s="28" t="s">
        <v>2531</v>
      </c>
      <c r="AD225" s="28" t="s">
        <v>2550</v>
      </c>
      <c r="AE225" s="28" t="s">
        <v>2307</v>
      </c>
      <c r="AF225" s="28" t="s">
        <v>2541</v>
      </c>
      <c r="AG225" s="28" t="s">
        <v>2542</v>
      </c>
      <c r="AH225" s="28" t="s">
        <v>23</v>
      </c>
      <c r="AI225" s="28" t="s">
        <v>2297</v>
      </c>
      <c r="AJ225" s="28" t="s">
        <v>2302</v>
      </c>
      <c r="AK225" s="28" t="s">
        <v>21</v>
      </c>
      <c r="AL225" s="28" t="s">
        <v>2298</v>
      </c>
      <c r="AM225" s="114"/>
    </row>
    <row r="226" spans="7:39">
      <c r="G226" s="27">
        <v>2014</v>
      </c>
      <c r="H226" s="27" t="s">
        <v>135</v>
      </c>
      <c r="I226" s="27" t="s">
        <v>40</v>
      </c>
      <c r="J226" s="27" t="s">
        <v>50</v>
      </c>
      <c r="K226" s="27" t="s">
        <v>40</v>
      </c>
      <c r="L226" s="27" t="s">
        <v>380</v>
      </c>
      <c r="M226" s="27" t="s">
        <v>370</v>
      </c>
      <c r="N226" s="27">
        <v>3</v>
      </c>
      <c r="O226" s="27">
        <v>2</v>
      </c>
      <c r="P226" s="27" t="s">
        <v>117</v>
      </c>
      <c r="Q226" s="27" t="s">
        <v>111</v>
      </c>
      <c r="R226" s="27" t="s">
        <v>111</v>
      </c>
      <c r="S226" s="27" t="s">
        <v>112</v>
      </c>
      <c r="U226" s="18">
        <v>224</v>
      </c>
      <c r="V226" s="18" t="s">
        <v>1002</v>
      </c>
      <c r="W226" s="18">
        <v>28</v>
      </c>
      <c r="X226" s="18" t="s">
        <v>12</v>
      </c>
      <c r="Y226" s="18" t="s">
        <v>669</v>
      </c>
      <c r="Z226" s="18" t="s">
        <v>1003</v>
      </c>
      <c r="AA226" s="18">
        <v>8</v>
      </c>
      <c r="AC226" s="28" t="s">
        <v>2531</v>
      </c>
      <c r="AD226" s="28" t="s">
        <v>2550</v>
      </c>
      <c r="AE226" s="28" t="s">
        <v>2293</v>
      </c>
      <c r="AF226" s="28" t="s">
        <v>2533</v>
      </c>
      <c r="AG226" s="28" t="s">
        <v>2534</v>
      </c>
      <c r="AH226" s="28" t="s">
        <v>28</v>
      </c>
      <c r="AI226" s="28" t="s">
        <v>2297</v>
      </c>
      <c r="AJ226" s="28" t="s">
        <v>2302</v>
      </c>
      <c r="AK226" s="28" t="s">
        <v>33</v>
      </c>
      <c r="AL226" s="28" t="s">
        <v>2298</v>
      </c>
      <c r="AM226" s="114"/>
    </row>
    <row r="227" spans="7:39">
      <c r="G227" s="27">
        <v>2014</v>
      </c>
      <c r="H227" s="27" t="s">
        <v>135</v>
      </c>
      <c r="I227" s="27" t="s">
        <v>40</v>
      </c>
      <c r="J227" s="27" t="s">
        <v>50</v>
      </c>
      <c r="K227" s="27" t="s">
        <v>50</v>
      </c>
      <c r="L227" s="27" t="s">
        <v>371</v>
      </c>
      <c r="M227" s="27" t="s">
        <v>379</v>
      </c>
      <c r="N227" s="27">
        <v>4</v>
      </c>
      <c r="O227" s="27">
        <v>2</v>
      </c>
      <c r="P227" s="27" t="s">
        <v>119</v>
      </c>
      <c r="Q227" s="27" t="s">
        <v>111</v>
      </c>
      <c r="R227" s="27" t="s">
        <v>111</v>
      </c>
      <c r="S227" s="27" t="s">
        <v>124</v>
      </c>
      <c r="U227" s="18">
        <v>225</v>
      </c>
      <c r="V227" s="18" t="s">
        <v>1004</v>
      </c>
      <c r="W227" s="18">
        <v>28</v>
      </c>
      <c r="X227" s="18" t="s">
        <v>12</v>
      </c>
      <c r="Y227" s="18" t="s">
        <v>675</v>
      </c>
      <c r="Z227" s="18" t="s">
        <v>989</v>
      </c>
      <c r="AA227" s="18">
        <v>20</v>
      </c>
      <c r="AC227" s="28" t="s">
        <v>2531</v>
      </c>
      <c r="AD227" s="28" t="s">
        <v>2551</v>
      </c>
      <c r="AE227" s="28" t="s">
        <v>135</v>
      </c>
      <c r="AF227" s="28" t="s">
        <v>2544</v>
      </c>
      <c r="AG227" s="28" t="s">
        <v>2545</v>
      </c>
      <c r="AH227" s="28" t="s">
        <v>20</v>
      </c>
      <c r="AI227" s="28" t="s">
        <v>2296</v>
      </c>
      <c r="AJ227" s="28" t="s">
        <v>2297</v>
      </c>
      <c r="AK227" s="28" t="s">
        <v>28</v>
      </c>
      <c r="AL227" s="28" t="s">
        <v>2298</v>
      </c>
      <c r="AM227" s="114"/>
    </row>
    <row r="228" spans="7:39">
      <c r="G228" s="27">
        <v>2014</v>
      </c>
      <c r="H228" s="27" t="s">
        <v>135</v>
      </c>
      <c r="I228" s="27" t="s">
        <v>40</v>
      </c>
      <c r="J228" s="27" t="s">
        <v>50</v>
      </c>
      <c r="K228" s="27" t="s">
        <v>40</v>
      </c>
      <c r="L228" s="27" t="s">
        <v>381</v>
      </c>
      <c r="M228" s="27" t="s">
        <v>370</v>
      </c>
      <c r="N228" s="27">
        <v>5</v>
      </c>
      <c r="O228" s="27">
        <v>3</v>
      </c>
      <c r="P228" s="27" t="s">
        <v>119</v>
      </c>
      <c r="Q228" s="27" t="s">
        <v>111</v>
      </c>
      <c r="R228" s="27" t="s">
        <v>111</v>
      </c>
      <c r="S228" s="27" t="s">
        <v>112</v>
      </c>
      <c r="U228" s="18">
        <v>226</v>
      </c>
      <c r="V228" s="18" t="s">
        <v>1005</v>
      </c>
      <c r="W228" s="18">
        <v>25</v>
      </c>
      <c r="X228" s="18" t="s">
        <v>12</v>
      </c>
      <c r="Y228" s="18" t="s">
        <v>679</v>
      </c>
      <c r="Z228" s="18" t="s">
        <v>584</v>
      </c>
      <c r="AA228" s="18">
        <v>7</v>
      </c>
      <c r="AC228" s="28" t="s">
        <v>2531</v>
      </c>
      <c r="AD228" s="28" t="s">
        <v>2551</v>
      </c>
      <c r="AE228" s="28" t="s">
        <v>135</v>
      </c>
      <c r="AF228" s="28" t="s">
        <v>2539</v>
      </c>
      <c r="AG228" s="28" t="s">
        <v>2540</v>
      </c>
      <c r="AH228" s="28" t="s">
        <v>24</v>
      </c>
      <c r="AI228" s="28" t="s">
        <v>2301</v>
      </c>
      <c r="AJ228" s="28" t="s">
        <v>2305</v>
      </c>
      <c r="AK228" s="28" t="s">
        <v>23</v>
      </c>
      <c r="AL228" s="28" t="s">
        <v>2552</v>
      </c>
      <c r="AM228" s="114"/>
    </row>
    <row r="229" spans="7:39">
      <c r="G229" s="27">
        <v>2014</v>
      </c>
      <c r="H229" s="27" t="s">
        <v>135</v>
      </c>
      <c r="I229" s="27" t="s">
        <v>40</v>
      </c>
      <c r="J229" s="27" t="s">
        <v>50</v>
      </c>
      <c r="K229" s="27" t="s">
        <v>50</v>
      </c>
      <c r="L229" s="27" t="s">
        <v>373</v>
      </c>
      <c r="M229" s="27" t="s">
        <v>379</v>
      </c>
      <c r="N229" s="27">
        <v>6</v>
      </c>
      <c r="O229" s="27">
        <v>3</v>
      </c>
      <c r="P229" s="27" t="s">
        <v>123</v>
      </c>
      <c r="Q229" s="27" t="s">
        <v>111</v>
      </c>
      <c r="R229" s="27" t="s">
        <v>111</v>
      </c>
      <c r="S229" s="27" t="s">
        <v>112</v>
      </c>
      <c r="U229" s="18">
        <v>227</v>
      </c>
      <c r="V229" s="18" t="s">
        <v>1006</v>
      </c>
      <c r="W229" s="18">
        <v>24</v>
      </c>
      <c r="X229" s="18" t="s">
        <v>12</v>
      </c>
      <c r="Y229" s="18" t="s">
        <v>679</v>
      </c>
      <c r="Z229" s="18" t="s">
        <v>986</v>
      </c>
      <c r="AA229" s="18">
        <v>22</v>
      </c>
      <c r="AC229" s="28" t="s">
        <v>2531</v>
      </c>
      <c r="AD229" s="28" t="s">
        <v>2551</v>
      </c>
      <c r="AE229" s="28" t="s">
        <v>135</v>
      </c>
      <c r="AF229" s="28" t="s">
        <v>2541</v>
      </c>
      <c r="AG229" s="28" t="s">
        <v>2542</v>
      </c>
      <c r="AH229" s="28" t="s">
        <v>12</v>
      </c>
      <c r="AI229" s="28" t="s">
        <v>2296</v>
      </c>
      <c r="AJ229" s="28" t="s">
        <v>2305</v>
      </c>
      <c r="AK229" s="28" t="s">
        <v>32</v>
      </c>
      <c r="AL229" s="28" t="s">
        <v>2298</v>
      </c>
      <c r="AM229" s="114"/>
    </row>
    <row r="230" spans="7:39">
      <c r="G230" s="27">
        <v>2014</v>
      </c>
      <c r="H230" s="27" t="s">
        <v>135</v>
      </c>
      <c r="I230" s="27" t="s">
        <v>40</v>
      </c>
      <c r="J230" s="27" t="s">
        <v>50</v>
      </c>
      <c r="K230" s="27" t="s">
        <v>40</v>
      </c>
      <c r="L230" s="27" t="s">
        <v>382</v>
      </c>
      <c r="M230" s="27" t="s">
        <v>370</v>
      </c>
      <c r="N230" s="27">
        <v>7</v>
      </c>
      <c r="O230" s="27">
        <v>4</v>
      </c>
      <c r="P230" s="27" t="s">
        <v>123</v>
      </c>
      <c r="Q230" s="27" t="s">
        <v>111</v>
      </c>
      <c r="R230" s="27" t="s">
        <v>111</v>
      </c>
      <c r="S230" s="27" t="s">
        <v>112</v>
      </c>
      <c r="U230" s="18">
        <v>228</v>
      </c>
      <c r="V230" s="18" t="s">
        <v>1007</v>
      </c>
      <c r="W230" s="18">
        <v>29</v>
      </c>
      <c r="X230" s="18" t="s">
        <v>12</v>
      </c>
      <c r="Y230" s="18" t="s">
        <v>681</v>
      </c>
      <c r="Z230" s="18" t="s">
        <v>1008</v>
      </c>
      <c r="AA230" s="18">
        <v>11</v>
      </c>
      <c r="AC230" s="28" t="s">
        <v>2531</v>
      </c>
      <c r="AD230" s="28" t="s">
        <v>2551</v>
      </c>
      <c r="AE230" s="28" t="s">
        <v>135</v>
      </c>
      <c r="AF230" s="28" t="s">
        <v>2533</v>
      </c>
      <c r="AG230" s="28" t="s">
        <v>2534</v>
      </c>
      <c r="AH230" s="28" t="s">
        <v>11</v>
      </c>
      <c r="AI230" s="28" t="s">
        <v>2297</v>
      </c>
      <c r="AJ230" s="28" t="s">
        <v>2302</v>
      </c>
      <c r="AK230" s="28" t="s">
        <v>26</v>
      </c>
      <c r="AL230" s="28" t="s">
        <v>2553</v>
      </c>
      <c r="AM230" s="114"/>
    </row>
    <row r="231" spans="7:39">
      <c r="G231" s="27">
        <v>2014</v>
      </c>
      <c r="H231" s="27" t="s">
        <v>135</v>
      </c>
      <c r="I231" s="27" t="s">
        <v>40</v>
      </c>
      <c r="J231" s="27" t="s">
        <v>50</v>
      </c>
      <c r="K231" s="27" t="s">
        <v>50</v>
      </c>
      <c r="L231" s="27" t="s">
        <v>377</v>
      </c>
      <c r="M231" s="27" t="s">
        <v>379</v>
      </c>
      <c r="N231" s="27">
        <v>8</v>
      </c>
      <c r="O231" s="27">
        <v>4</v>
      </c>
      <c r="P231" s="27" t="s">
        <v>148</v>
      </c>
      <c r="Q231" s="27" t="s">
        <v>131</v>
      </c>
      <c r="R231" s="27" t="s">
        <v>131</v>
      </c>
      <c r="S231" s="27" t="s">
        <v>124</v>
      </c>
      <c r="U231" s="18">
        <v>229</v>
      </c>
      <c r="V231" s="18" t="s">
        <v>1009</v>
      </c>
      <c r="W231" s="18">
        <v>25</v>
      </c>
      <c r="X231" s="18" t="s">
        <v>12</v>
      </c>
      <c r="Y231" s="18" t="s">
        <v>681</v>
      </c>
      <c r="Z231" s="18" t="s">
        <v>994</v>
      </c>
      <c r="AA231" s="18">
        <v>21</v>
      </c>
      <c r="AC231" s="28" t="s">
        <v>2531</v>
      </c>
      <c r="AD231" s="28" t="s">
        <v>2554</v>
      </c>
      <c r="AE231" s="28" t="s">
        <v>106</v>
      </c>
      <c r="AF231" s="28" t="s">
        <v>2541</v>
      </c>
      <c r="AG231" s="28" t="s">
        <v>2542</v>
      </c>
      <c r="AH231" s="28" t="s">
        <v>12</v>
      </c>
      <c r="AI231" s="28" t="s">
        <v>2301</v>
      </c>
      <c r="AJ231" s="28" t="s">
        <v>2297</v>
      </c>
      <c r="AK231" s="28" t="s">
        <v>11</v>
      </c>
      <c r="AL231" s="28" t="s">
        <v>2298</v>
      </c>
      <c r="AM231" s="114"/>
    </row>
    <row r="232" spans="7:39">
      <c r="G232" s="27">
        <v>2014</v>
      </c>
      <c r="H232" s="27" t="s">
        <v>106</v>
      </c>
      <c r="I232" s="27" t="s">
        <v>40</v>
      </c>
      <c r="J232" s="27" t="s">
        <v>9</v>
      </c>
      <c r="K232" s="27" t="s">
        <v>9</v>
      </c>
      <c r="L232" s="27" t="s">
        <v>383</v>
      </c>
      <c r="M232" s="27" t="s">
        <v>384</v>
      </c>
      <c r="N232" s="27">
        <v>1</v>
      </c>
      <c r="O232" s="27">
        <v>1</v>
      </c>
      <c r="P232" s="27" t="s">
        <v>110</v>
      </c>
      <c r="Q232" s="27" t="s">
        <v>111</v>
      </c>
      <c r="R232" s="27" t="s">
        <v>111</v>
      </c>
      <c r="S232" s="27" t="s">
        <v>124</v>
      </c>
      <c r="U232" s="18">
        <v>230</v>
      </c>
      <c r="V232" s="18" t="s">
        <v>1010</v>
      </c>
      <c r="W232" s="18">
        <v>19</v>
      </c>
      <c r="X232" s="18" t="s">
        <v>12</v>
      </c>
      <c r="Y232" s="18" t="s">
        <v>681</v>
      </c>
      <c r="Z232" s="18" t="s">
        <v>1011</v>
      </c>
      <c r="AA232" s="18">
        <v>26</v>
      </c>
      <c r="AC232" s="28" t="s">
        <v>2531</v>
      </c>
      <c r="AD232" s="28" t="s">
        <v>2555</v>
      </c>
      <c r="AE232" s="28" t="s">
        <v>106</v>
      </c>
      <c r="AF232" s="28" t="s">
        <v>2533</v>
      </c>
      <c r="AG232" s="28" t="s">
        <v>2534</v>
      </c>
      <c r="AH232" s="28" t="s">
        <v>20</v>
      </c>
      <c r="AI232" s="28" t="s">
        <v>2296</v>
      </c>
      <c r="AJ232" s="28" t="s">
        <v>2301</v>
      </c>
      <c r="AK232" s="28" t="s">
        <v>24</v>
      </c>
      <c r="AL232" s="28" t="s">
        <v>2352</v>
      </c>
      <c r="AM232" s="114"/>
    </row>
    <row r="233" spans="7:39">
      <c r="G233" s="27">
        <v>2014</v>
      </c>
      <c r="H233" s="27" t="s">
        <v>106</v>
      </c>
      <c r="I233" s="27" t="s">
        <v>40</v>
      </c>
      <c r="J233" s="27" t="s">
        <v>9</v>
      </c>
      <c r="K233" s="27" t="s">
        <v>40</v>
      </c>
      <c r="L233" s="27" t="s">
        <v>385</v>
      </c>
      <c r="M233" s="27" t="s">
        <v>386</v>
      </c>
      <c r="N233" s="27">
        <v>2</v>
      </c>
      <c r="O233" s="27">
        <v>1</v>
      </c>
      <c r="P233" s="27" t="s">
        <v>115</v>
      </c>
      <c r="Q233" s="27" t="s">
        <v>111</v>
      </c>
      <c r="R233" s="27" t="s">
        <v>111</v>
      </c>
      <c r="S233" s="27" t="s">
        <v>112</v>
      </c>
      <c r="U233" s="18">
        <v>231</v>
      </c>
      <c r="V233" s="18" t="s">
        <v>1012</v>
      </c>
      <c r="W233" s="18">
        <v>27</v>
      </c>
      <c r="X233" s="18" t="s">
        <v>12</v>
      </c>
      <c r="Y233" s="18" t="s">
        <v>683</v>
      </c>
      <c r="Z233" s="18" t="s">
        <v>996</v>
      </c>
      <c r="AA233" s="18">
        <v>9</v>
      </c>
      <c r="AC233" s="28" t="s">
        <v>2531</v>
      </c>
      <c r="AD233" s="28" t="s">
        <v>2556</v>
      </c>
      <c r="AE233" s="28" t="s">
        <v>2350</v>
      </c>
      <c r="AF233" s="28" t="s">
        <v>2533</v>
      </c>
      <c r="AG233" s="28" t="s">
        <v>2534</v>
      </c>
      <c r="AH233" s="28" t="s">
        <v>24</v>
      </c>
      <c r="AI233" s="28" t="s">
        <v>2297</v>
      </c>
      <c r="AJ233" s="28" t="s">
        <v>2302</v>
      </c>
      <c r="AK233" s="28" t="s">
        <v>11</v>
      </c>
      <c r="AL233" s="28" t="s">
        <v>2298</v>
      </c>
      <c r="AM233" s="114"/>
    </row>
    <row r="234" spans="7:39">
      <c r="G234" s="27">
        <v>2014</v>
      </c>
      <c r="H234" s="27" t="s">
        <v>106</v>
      </c>
      <c r="I234" s="27" t="s">
        <v>40</v>
      </c>
      <c r="J234" s="27" t="s">
        <v>9</v>
      </c>
      <c r="K234" s="27" t="s">
        <v>9</v>
      </c>
      <c r="L234" s="27" t="s">
        <v>380</v>
      </c>
      <c r="M234" s="27" t="s">
        <v>384</v>
      </c>
      <c r="N234" s="27">
        <v>3</v>
      </c>
      <c r="O234" s="27">
        <v>2</v>
      </c>
      <c r="P234" s="27" t="s">
        <v>117</v>
      </c>
      <c r="Q234" s="27" t="s">
        <v>111</v>
      </c>
      <c r="R234" s="27" t="s">
        <v>111</v>
      </c>
      <c r="S234" s="27" t="s">
        <v>112</v>
      </c>
      <c r="U234" s="18">
        <v>232</v>
      </c>
      <c r="V234" s="18" t="s">
        <v>365</v>
      </c>
      <c r="W234" s="18">
        <v>34</v>
      </c>
      <c r="X234" s="18" t="s">
        <v>12</v>
      </c>
      <c r="Y234" s="18" t="s">
        <v>683</v>
      </c>
      <c r="Z234" s="18" t="s">
        <v>1013</v>
      </c>
      <c r="AA234" s="18">
        <v>10</v>
      </c>
      <c r="AC234" s="28" t="s">
        <v>2531</v>
      </c>
      <c r="AD234" s="28" t="s">
        <v>2557</v>
      </c>
      <c r="AE234" s="28" t="s">
        <v>238</v>
      </c>
      <c r="AF234" s="28" t="s">
        <v>2533</v>
      </c>
      <c r="AG234" s="28" t="s">
        <v>2534</v>
      </c>
      <c r="AH234" s="28" t="s">
        <v>12</v>
      </c>
      <c r="AI234" s="28" t="s">
        <v>2296</v>
      </c>
      <c r="AJ234" s="28" t="s">
        <v>2297</v>
      </c>
      <c r="AK234" s="28" t="s">
        <v>20</v>
      </c>
      <c r="AL234" s="28" t="s">
        <v>2298</v>
      </c>
      <c r="AM234" s="114"/>
    </row>
    <row r="235" spans="7:39">
      <c r="G235" s="27">
        <v>2014</v>
      </c>
      <c r="H235" s="27" t="s">
        <v>106</v>
      </c>
      <c r="I235" s="27" t="s">
        <v>40</v>
      </c>
      <c r="J235" s="27" t="s">
        <v>9</v>
      </c>
      <c r="K235" s="27" t="s">
        <v>40</v>
      </c>
      <c r="L235" s="27" t="s">
        <v>387</v>
      </c>
      <c r="M235" s="27" t="s">
        <v>386</v>
      </c>
      <c r="N235" s="27">
        <v>4</v>
      </c>
      <c r="O235" s="27">
        <v>2</v>
      </c>
      <c r="P235" s="27" t="s">
        <v>156</v>
      </c>
      <c r="Q235" s="27" t="s">
        <v>111</v>
      </c>
      <c r="R235" s="27" t="s">
        <v>111</v>
      </c>
      <c r="S235" s="27" t="s">
        <v>112</v>
      </c>
      <c r="U235" s="18">
        <v>233</v>
      </c>
      <c r="V235" s="18" t="s">
        <v>1014</v>
      </c>
      <c r="W235" s="18">
        <v>19</v>
      </c>
      <c r="X235" s="18" t="s">
        <v>12</v>
      </c>
      <c r="Y235" s="18" t="s">
        <v>683</v>
      </c>
      <c r="Z235" s="18" t="s">
        <v>676</v>
      </c>
      <c r="AA235" s="18">
        <v>19</v>
      </c>
      <c r="AC235" s="28" t="s">
        <v>2558</v>
      </c>
      <c r="AD235" s="28" t="s">
        <v>2559</v>
      </c>
      <c r="AE235" s="28" t="s">
        <v>2304</v>
      </c>
      <c r="AF235" s="28" t="s">
        <v>2560</v>
      </c>
      <c r="AG235" s="28" t="s">
        <v>2561</v>
      </c>
      <c r="AH235" s="28" t="s">
        <v>12</v>
      </c>
      <c r="AI235" s="28" t="s">
        <v>2302</v>
      </c>
      <c r="AJ235" s="28" t="s">
        <v>2302</v>
      </c>
      <c r="AK235" s="28" t="s">
        <v>7</v>
      </c>
      <c r="AL235" s="28" t="s">
        <v>2298</v>
      </c>
      <c r="AM235" s="114"/>
    </row>
    <row r="236" spans="7:39">
      <c r="G236" s="27">
        <v>2014</v>
      </c>
      <c r="H236" s="27" t="s">
        <v>106</v>
      </c>
      <c r="I236" s="27" t="s">
        <v>40</v>
      </c>
      <c r="J236" s="27" t="s">
        <v>9</v>
      </c>
      <c r="K236" s="27" t="s">
        <v>9</v>
      </c>
      <c r="L236" s="27" t="s">
        <v>381</v>
      </c>
      <c r="M236" s="27" t="s">
        <v>384</v>
      </c>
      <c r="N236" s="27">
        <v>5</v>
      </c>
      <c r="O236" s="27">
        <v>3</v>
      </c>
      <c r="P236" s="27" t="s">
        <v>156</v>
      </c>
      <c r="Q236" s="27" t="s">
        <v>111</v>
      </c>
      <c r="R236" s="27" t="s">
        <v>111</v>
      </c>
      <c r="S236" s="27" t="s">
        <v>124</v>
      </c>
      <c r="U236" s="18">
        <v>234</v>
      </c>
      <c r="V236" s="18" t="s">
        <v>1015</v>
      </c>
      <c r="W236" s="18">
        <v>24</v>
      </c>
      <c r="X236" s="18" t="s">
        <v>12</v>
      </c>
      <c r="Y236" s="18" t="s">
        <v>683</v>
      </c>
      <c r="Z236" s="18" t="s">
        <v>1016</v>
      </c>
      <c r="AA236" s="18">
        <v>25</v>
      </c>
      <c r="AC236" s="28" t="s">
        <v>2558</v>
      </c>
      <c r="AD236" s="28" t="s">
        <v>2562</v>
      </c>
      <c r="AE236" s="28" t="s">
        <v>2293</v>
      </c>
      <c r="AF236" s="28" t="s">
        <v>2563</v>
      </c>
      <c r="AG236" s="28" t="s">
        <v>2564</v>
      </c>
      <c r="AH236" s="28" t="s">
        <v>24</v>
      </c>
      <c r="AI236" s="28" t="s">
        <v>2297</v>
      </c>
      <c r="AJ236" s="28" t="s">
        <v>2302</v>
      </c>
      <c r="AK236" s="28" t="s">
        <v>10</v>
      </c>
      <c r="AL236" s="28" t="s">
        <v>2298</v>
      </c>
      <c r="AM236" s="114"/>
    </row>
    <row r="237" spans="7:39">
      <c r="G237" s="27">
        <v>2014</v>
      </c>
      <c r="H237" s="27" t="s">
        <v>106</v>
      </c>
      <c r="I237" s="27" t="s">
        <v>40</v>
      </c>
      <c r="J237" s="27" t="s">
        <v>9</v>
      </c>
      <c r="K237" s="27" t="s">
        <v>40</v>
      </c>
      <c r="L237" s="27" t="s">
        <v>388</v>
      </c>
      <c r="M237" s="27" t="s">
        <v>386</v>
      </c>
      <c r="N237" s="27">
        <v>6</v>
      </c>
      <c r="O237" s="27">
        <v>3</v>
      </c>
      <c r="P237" s="27" t="s">
        <v>389</v>
      </c>
      <c r="Q237" s="27" t="s">
        <v>111</v>
      </c>
      <c r="R237" s="27" t="s">
        <v>111</v>
      </c>
      <c r="S237" s="27" t="s">
        <v>112</v>
      </c>
      <c r="U237" s="18">
        <v>235</v>
      </c>
      <c r="V237" s="18" t="s">
        <v>1017</v>
      </c>
      <c r="W237" s="18">
        <v>38</v>
      </c>
      <c r="X237" s="18" t="s">
        <v>41</v>
      </c>
      <c r="Y237" s="18" t="s">
        <v>642</v>
      </c>
      <c r="Z237" s="18" t="s">
        <v>1018</v>
      </c>
      <c r="AA237" s="18">
        <v>1</v>
      </c>
      <c r="AC237" s="28" t="s">
        <v>2558</v>
      </c>
      <c r="AD237" s="28" t="s">
        <v>2565</v>
      </c>
      <c r="AE237" s="28" t="s">
        <v>2293</v>
      </c>
      <c r="AF237" s="28" t="s">
        <v>2566</v>
      </c>
      <c r="AG237" s="28" t="s">
        <v>2567</v>
      </c>
      <c r="AH237" s="28" t="s">
        <v>35</v>
      </c>
      <c r="AI237" s="28" t="s">
        <v>2305</v>
      </c>
      <c r="AJ237" s="28" t="s">
        <v>2302</v>
      </c>
      <c r="AK237" s="28" t="s">
        <v>38</v>
      </c>
      <c r="AL237" s="28" t="s">
        <v>2298</v>
      </c>
      <c r="AM237" s="114"/>
    </row>
    <row r="238" spans="7:39">
      <c r="G238" s="27">
        <v>2014</v>
      </c>
      <c r="H238" s="27" t="s">
        <v>106</v>
      </c>
      <c r="I238" s="27" t="s">
        <v>40</v>
      </c>
      <c r="J238" s="27" t="s">
        <v>9</v>
      </c>
      <c r="K238" s="27" t="s">
        <v>9</v>
      </c>
      <c r="L238" s="27" t="s">
        <v>382</v>
      </c>
      <c r="M238" s="27" t="s">
        <v>384</v>
      </c>
      <c r="N238" s="27">
        <v>7</v>
      </c>
      <c r="O238" s="27">
        <v>4</v>
      </c>
      <c r="P238" s="27" t="s">
        <v>159</v>
      </c>
      <c r="Q238" s="27" t="s">
        <v>111</v>
      </c>
      <c r="R238" s="27" t="s">
        <v>111</v>
      </c>
      <c r="S238" s="27" t="s">
        <v>112</v>
      </c>
      <c r="U238" s="18">
        <v>236</v>
      </c>
      <c r="V238" s="18" t="s">
        <v>1019</v>
      </c>
      <c r="W238" s="18">
        <v>25</v>
      </c>
      <c r="X238" s="18" t="s">
        <v>41</v>
      </c>
      <c r="Y238" s="18" t="s">
        <v>642</v>
      </c>
      <c r="Z238" s="18" t="s">
        <v>1020</v>
      </c>
      <c r="AA238" s="18">
        <v>12</v>
      </c>
      <c r="AC238" s="28" t="s">
        <v>2558</v>
      </c>
      <c r="AD238" s="28" t="s">
        <v>2565</v>
      </c>
      <c r="AE238" s="28" t="s">
        <v>2304</v>
      </c>
      <c r="AF238" s="28" t="s">
        <v>2568</v>
      </c>
      <c r="AG238" s="28" t="s">
        <v>2569</v>
      </c>
      <c r="AH238" s="28" t="s">
        <v>36</v>
      </c>
      <c r="AI238" s="28" t="s">
        <v>2302</v>
      </c>
      <c r="AJ238" s="28" t="s">
        <v>2305</v>
      </c>
      <c r="AK238" s="28" t="s">
        <v>39</v>
      </c>
      <c r="AL238" s="28" t="s">
        <v>2298</v>
      </c>
      <c r="AM238" s="114"/>
    </row>
    <row r="239" spans="7:39">
      <c r="G239" s="27">
        <v>2014</v>
      </c>
      <c r="H239" s="27" t="s">
        <v>106</v>
      </c>
      <c r="I239" s="27" t="s">
        <v>40</v>
      </c>
      <c r="J239" s="27" t="s">
        <v>9</v>
      </c>
      <c r="K239" s="27" t="s">
        <v>40</v>
      </c>
      <c r="L239" s="27" t="s">
        <v>311</v>
      </c>
      <c r="M239" s="27" t="s">
        <v>386</v>
      </c>
      <c r="N239" s="27">
        <v>8</v>
      </c>
      <c r="O239" s="27">
        <v>4</v>
      </c>
      <c r="P239" s="27" t="s">
        <v>159</v>
      </c>
      <c r="Q239" s="27" t="s">
        <v>111</v>
      </c>
      <c r="R239" s="27" t="s">
        <v>131</v>
      </c>
      <c r="S239" s="27" t="s">
        <v>112</v>
      </c>
      <c r="U239" s="18">
        <v>237</v>
      </c>
      <c r="V239" s="18" t="s">
        <v>1021</v>
      </c>
      <c r="W239" s="18">
        <v>26</v>
      </c>
      <c r="X239" s="18" t="s">
        <v>41</v>
      </c>
      <c r="Y239" s="18" t="s">
        <v>642</v>
      </c>
      <c r="Z239" s="18" t="s">
        <v>1022</v>
      </c>
      <c r="AA239" s="18">
        <v>23</v>
      </c>
      <c r="AC239" s="28" t="s">
        <v>2558</v>
      </c>
      <c r="AD239" s="28" t="s">
        <v>2570</v>
      </c>
      <c r="AE239" s="28" t="s">
        <v>2307</v>
      </c>
      <c r="AF239" s="28" t="s">
        <v>2571</v>
      </c>
      <c r="AG239" s="28" t="s">
        <v>2572</v>
      </c>
      <c r="AH239" s="28" t="s">
        <v>11</v>
      </c>
      <c r="AI239" s="28" t="s">
        <v>2302</v>
      </c>
      <c r="AJ239" s="28" t="s">
        <v>2305</v>
      </c>
      <c r="AK239" s="28" t="s">
        <v>40</v>
      </c>
      <c r="AL239" s="28" t="s">
        <v>2298</v>
      </c>
      <c r="AM239" s="114"/>
    </row>
    <row r="240" spans="7:39">
      <c r="G240" s="27">
        <v>2018</v>
      </c>
      <c r="H240" s="27" t="s">
        <v>170</v>
      </c>
      <c r="I240" s="27" t="s">
        <v>53</v>
      </c>
      <c r="J240" s="27" t="s">
        <v>23</v>
      </c>
      <c r="K240" s="27" t="s">
        <v>53</v>
      </c>
      <c r="L240" s="27" t="s">
        <v>390</v>
      </c>
      <c r="M240" s="27" t="s">
        <v>391</v>
      </c>
      <c r="N240" s="27">
        <v>1</v>
      </c>
      <c r="O240" s="27">
        <v>1</v>
      </c>
      <c r="P240" s="27" t="s">
        <v>110</v>
      </c>
      <c r="Q240" s="27" t="s">
        <v>111</v>
      </c>
      <c r="R240" s="27" t="s">
        <v>111</v>
      </c>
      <c r="S240" s="27" t="s">
        <v>112</v>
      </c>
      <c r="U240" s="18">
        <v>238</v>
      </c>
      <c r="V240" s="18" t="s">
        <v>1023</v>
      </c>
      <c r="W240" s="18">
        <v>36</v>
      </c>
      <c r="X240" s="18" t="s">
        <v>41</v>
      </c>
      <c r="Y240" s="18" t="s">
        <v>649</v>
      </c>
      <c r="Z240" s="18" t="s">
        <v>1024</v>
      </c>
      <c r="AA240" s="18">
        <v>4</v>
      </c>
      <c r="AC240" s="28" t="s">
        <v>2558</v>
      </c>
      <c r="AD240" s="28" t="s">
        <v>2570</v>
      </c>
      <c r="AE240" s="28" t="s">
        <v>2307</v>
      </c>
      <c r="AF240" s="28" t="s">
        <v>2573</v>
      </c>
      <c r="AG240" s="28" t="s">
        <v>2574</v>
      </c>
      <c r="AH240" s="28" t="s">
        <v>17</v>
      </c>
      <c r="AI240" s="28" t="s">
        <v>2302</v>
      </c>
      <c r="AJ240" s="28" t="s">
        <v>2302</v>
      </c>
      <c r="AK240" s="28" t="s">
        <v>34</v>
      </c>
      <c r="AL240" s="28" t="s">
        <v>2298</v>
      </c>
      <c r="AM240" s="114"/>
    </row>
    <row r="241" spans="7:39">
      <c r="G241" s="27">
        <v>2018</v>
      </c>
      <c r="H241" s="27" t="s">
        <v>170</v>
      </c>
      <c r="I241" s="27" t="s">
        <v>53</v>
      </c>
      <c r="J241" s="27" t="s">
        <v>23</v>
      </c>
      <c r="K241" s="27" t="s">
        <v>23</v>
      </c>
      <c r="L241" s="27" t="s">
        <v>392</v>
      </c>
      <c r="M241" s="27" t="s">
        <v>393</v>
      </c>
      <c r="N241" s="27">
        <v>2</v>
      </c>
      <c r="O241" s="27">
        <v>1</v>
      </c>
      <c r="P241" s="27" t="s">
        <v>140</v>
      </c>
      <c r="Q241" s="27" t="s">
        <v>111</v>
      </c>
      <c r="R241" s="27" t="s">
        <v>111</v>
      </c>
      <c r="S241" s="27" t="s">
        <v>112</v>
      </c>
      <c r="U241" s="18">
        <v>239</v>
      </c>
      <c r="V241" s="18" t="s">
        <v>1025</v>
      </c>
      <c r="W241" s="18">
        <v>27</v>
      </c>
      <c r="X241" s="18" t="s">
        <v>41</v>
      </c>
      <c r="Y241" s="18" t="s">
        <v>649</v>
      </c>
      <c r="Z241" s="18" t="s">
        <v>1026</v>
      </c>
      <c r="AA241" s="18">
        <v>5</v>
      </c>
      <c r="AC241" s="28" t="s">
        <v>2558</v>
      </c>
      <c r="AD241" s="28" t="s">
        <v>2575</v>
      </c>
      <c r="AE241" s="28" t="s">
        <v>2299</v>
      </c>
      <c r="AF241" s="28" t="s">
        <v>2563</v>
      </c>
      <c r="AG241" s="28" t="s">
        <v>2576</v>
      </c>
      <c r="AH241" s="28" t="s">
        <v>20</v>
      </c>
      <c r="AI241" s="28" t="s">
        <v>2301</v>
      </c>
      <c r="AJ241" s="28" t="s">
        <v>2297</v>
      </c>
      <c r="AK241" s="28" t="s">
        <v>41</v>
      </c>
      <c r="AL241" s="28" t="s">
        <v>2298</v>
      </c>
      <c r="AM241" s="114"/>
    </row>
    <row r="242" spans="7:39">
      <c r="G242" s="27">
        <v>2018</v>
      </c>
      <c r="H242" s="27" t="s">
        <v>170</v>
      </c>
      <c r="I242" s="27" t="s">
        <v>53</v>
      </c>
      <c r="J242" s="27" t="s">
        <v>23</v>
      </c>
      <c r="K242" s="27" t="s">
        <v>53</v>
      </c>
      <c r="L242" s="27" t="s">
        <v>394</v>
      </c>
      <c r="M242" s="27" t="s">
        <v>391</v>
      </c>
      <c r="N242" s="27">
        <v>3</v>
      </c>
      <c r="O242" s="27">
        <v>2</v>
      </c>
      <c r="P242" s="27" t="s">
        <v>117</v>
      </c>
      <c r="Q242" s="27" t="s">
        <v>111</v>
      </c>
      <c r="R242" s="27" t="s">
        <v>111</v>
      </c>
      <c r="S242" s="27" t="s">
        <v>112</v>
      </c>
      <c r="U242" s="18">
        <v>240</v>
      </c>
      <c r="V242" s="18" t="s">
        <v>1027</v>
      </c>
      <c r="W242" s="18">
        <v>26</v>
      </c>
      <c r="X242" s="18" t="s">
        <v>41</v>
      </c>
      <c r="Y242" s="18" t="s">
        <v>649</v>
      </c>
      <c r="Z242" s="18" t="s">
        <v>1028</v>
      </c>
      <c r="AA242" s="18">
        <v>14</v>
      </c>
      <c r="AC242" s="28" t="s">
        <v>2558</v>
      </c>
      <c r="AD242" s="28" t="s">
        <v>2575</v>
      </c>
      <c r="AE242" s="28" t="s">
        <v>2299</v>
      </c>
      <c r="AF242" s="28" t="s">
        <v>2577</v>
      </c>
      <c r="AG242" s="28" t="s">
        <v>2578</v>
      </c>
      <c r="AH242" s="28" t="s">
        <v>37</v>
      </c>
      <c r="AI242" s="28" t="s">
        <v>2301</v>
      </c>
      <c r="AJ242" s="28" t="s">
        <v>2305</v>
      </c>
      <c r="AK242" s="28" t="s">
        <v>9</v>
      </c>
      <c r="AL242" s="28" t="s">
        <v>2298</v>
      </c>
      <c r="AM242" s="114"/>
    </row>
    <row r="243" spans="7:39">
      <c r="G243" s="27">
        <v>2018</v>
      </c>
      <c r="H243" s="27" t="s">
        <v>170</v>
      </c>
      <c r="I243" s="27" t="s">
        <v>53</v>
      </c>
      <c r="J243" s="27" t="s">
        <v>23</v>
      </c>
      <c r="K243" s="27" t="s">
        <v>23</v>
      </c>
      <c r="L243" s="27" t="s">
        <v>395</v>
      </c>
      <c r="M243" s="27" t="s">
        <v>393</v>
      </c>
      <c r="N243" s="27">
        <v>4</v>
      </c>
      <c r="O243" s="27">
        <v>2</v>
      </c>
      <c r="P243" s="27" t="s">
        <v>119</v>
      </c>
      <c r="Q243" s="27" t="s">
        <v>111</v>
      </c>
      <c r="R243" s="27" t="s">
        <v>111</v>
      </c>
      <c r="S243" s="27" t="s">
        <v>112</v>
      </c>
      <c r="U243" s="18">
        <v>241</v>
      </c>
      <c r="V243" s="18" t="s">
        <v>1029</v>
      </c>
      <c r="W243" s="18">
        <v>28</v>
      </c>
      <c r="X243" s="18" t="s">
        <v>41</v>
      </c>
      <c r="Y243" s="18" t="s">
        <v>649</v>
      </c>
      <c r="Z243" s="18" t="s">
        <v>1030</v>
      </c>
      <c r="AA243" s="18">
        <v>22</v>
      </c>
      <c r="AC243" s="28" t="s">
        <v>2558</v>
      </c>
      <c r="AD243" s="28" t="s">
        <v>2579</v>
      </c>
      <c r="AE243" s="28" t="s">
        <v>2293</v>
      </c>
      <c r="AF243" s="28" t="s">
        <v>2566</v>
      </c>
      <c r="AG243" s="28" t="s">
        <v>2567</v>
      </c>
      <c r="AH243" s="28" t="s">
        <v>38</v>
      </c>
      <c r="AI243" s="28" t="s">
        <v>2302</v>
      </c>
      <c r="AJ243" s="28" t="s">
        <v>2301</v>
      </c>
      <c r="AK243" s="28" t="s">
        <v>24</v>
      </c>
      <c r="AL243" s="28" t="s">
        <v>2298</v>
      </c>
      <c r="AM243" s="114"/>
    </row>
    <row r="244" spans="7:39">
      <c r="G244" s="27">
        <v>2018</v>
      </c>
      <c r="H244" s="27" t="s">
        <v>170</v>
      </c>
      <c r="I244" s="27" t="s">
        <v>53</v>
      </c>
      <c r="J244" s="27" t="s">
        <v>23</v>
      </c>
      <c r="K244" s="27" t="s">
        <v>53</v>
      </c>
      <c r="L244" s="27" t="s">
        <v>396</v>
      </c>
      <c r="M244" s="27" t="s">
        <v>391</v>
      </c>
      <c r="N244" s="27">
        <v>5</v>
      </c>
      <c r="O244" s="27">
        <v>3</v>
      </c>
      <c r="P244" s="27" t="s">
        <v>121</v>
      </c>
      <c r="Q244" s="27" t="s">
        <v>111</v>
      </c>
      <c r="R244" s="27" t="s">
        <v>111</v>
      </c>
      <c r="S244" s="27" t="s">
        <v>112</v>
      </c>
      <c r="U244" s="18">
        <v>242</v>
      </c>
      <c r="V244" s="18" t="s">
        <v>1031</v>
      </c>
      <c r="W244" s="18">
        <v>24</v>
      </c>
      <c r="X244" s="18" t="s">
        <v>41</v>
      </c>
      <c r="Y244" s="18" t="s">
        <v>649</v>
      </c>
      <c r="Z244" s="18" t="s">
        <v>1032</v>
      </c>
      <c r="AA244" s="18">
        <v>24</v>
      </c>
      <c r="AC244" s="28" t="s">
        <v>2558</v>
      </c>
      <c r="AD244" s="28" t="s">
        <v>2580</v>
      </c>
      <c r="AE244" s="28" t="s">
        <v>2304</v>
      </c>
      <c r="AF244" s="28" t="s">
        <v>2560</v>
      </c>
      <c r="AG244" s="28" t="s">
        <v>2561</v>
      </c>
      <c r="AH244" s="28" t="s">
        <v>39</v>
      </c>
      <c r="AI244" s="28" t="s">
        <v>2302</v>
      </c>
      <c r="AJ244" s="28" t="s">
        <v>2302</v>
      </c>
      <c r="AK244" s="28" t="s">
        <v>12</v>
      </c>
      <c r="AL244" s="28" t="s">
        <v>2298</v>
      </c>
      <c r="AM244" s="114"/>
    </row>
    <row r="245" spans="7:39">
      <c r="G245" s="27">
        <v>2018</v>
      </c>
      <c r="H245" s="27" t="s">
        <v>170</v>
      </c>
      <c r="I245" s="27" t="s">
        <v>53</v>
      </c>
      <c r="J245" s="27" t="s">
        <v>23</v>
      </c>
      <c r="K245" s="27" t="s">
        <v>23</v>
      </c>
      <c r="L245" s="27" t="s">
        <v>397</v>
      </c>
      <c r="M245" s="27" t="s">
        <v>393</v>
      </c>
      <c r="N245" s="27">
        <v>6</v>
      </c>
      <c r="O245" s="27">
        <v>3</v>
      </c>
      <c r="P245" s="27" t="s">
        <v>123</v>
      </c>
      <c r="Q245" s="27" t="s">
        <v>111</v>
      </c>
      <c r="R245" s="27" t="s">
        <v>111</v>
      </c>
      <c r="S245" s="27" t="s">
        <v>124</v>
      </c>
      <c r="U245" s="18">
        <v>243</v>
      </c>
      <c r="V245" s="18" t="s">
        <v>1033</v>
      </c>
      <c r="W245" s="18">
        <v>27</v>
      </c>
      <c r="X245" s="18" t="s">
        <v>41</v>
      </c>
      <c r="Y245" s="18" t="s">
        <v>657</v>
      </c>
      <c r="Z245" s="18" t="s">
        <v>1034</v>
      </c>
      <c r="AA245" s="18">
        <v>8</v>
      </c>
      <c r="AC245" s="28" t="s">
        <v>2558</v>
      </c>
      <c r="AD245" s="28" t="s">
        <v>2580</v>
      </c>
      <c r="AE245" s="28" t="s">
        <v>2293</v>
      </c>
      <c r="AF245" s="28" t="s">
        <v>2563</v>
      </c>
      <c r="AG245" s="28" t="s">
        <v>2564</v>
      </c>
      <c r="AH245" s="28" t="s">
        <v>10</v>
      </c>
      <c r="AI245" s="28" t="s">
        <v>2297</v>
      </c>
      <c r="AJ245" s="28" t="s">
        <v>2297</v>
      </c>
      <c r="AK245" s="28" t="s">
        <v>35</v>
      </c>
      <c r="AL245" s="28" t="s">
        <v>2298</v>
      </c>
      <c r="AM245" s="114"/>
    </row>
    <row r="246" spans="7:39">
      <c r="G246" s="27">
        <v>2018</v>
      </c>
      <c r="H246" s="27" t="s">
        <v>170</v>
      </c>
      <c r="I246" s="27" t="s">
        <v>53</v>
      </c>
      <c r="J246" s="27" t="s">
        <v>23</v>
      </c>
      <c r="K246" s="27" t="s">
        <v>53</v>
      </c>
      <c r="L246" s="27" t="s">
        <v>398</v>
      </c>
      <c r="M246" s="27" t="s">
        <v>391</v>
      </c>
      <c r="N246" s="27">
        <v>7</v>
      </c>
      <c r="O246" s="27">
        <v>4</v>
      </c>
      <c r="P246" s="27" t="s">
        <v>123</v>
      </c>
      <c r="Q246" s="27" t="s">
        <v>111</v>
      </c>
      <c r="R246" s="27" t="s">
        <v>111</v>
      </c>
      <c r="S246" s="27" t="s">
        <v>160</v>
      </c>
      <c r="U246" s="18">
        <v>244</v>
      </c>
      <c r="V246" s="18" t="s">
        <v>1035</v>
      </c>
      <c r="W246" s="18">
        <v>32</v>
      </c>
      <c r="X246" s="18" t="s">
        <v>41</v>
      </c>
      <c r="Y246" s="18" t="s">
        <v>657</v>
      </c>
      <c r="Z246" s="18" t="s">
        <v>1028</v>
      </c>
      <c r="AA246" s="18">
        <v>13</v>
      </c>
      <c r="AC246" s="28" t="s">
        <v>2558</v>
      </c>
      <c r="AD246" s="28" t="s">
        <v>2580</v>
      </c>
      <c r="AE246" s="28" t="s">
        <v>2304</v>
      </c>
      <c r="AF246" s="28" t="s">
        <v>2581</v>
      </c>
      <c r="AG246" s="28" t="s">
        <v>2582</v>
      </c>
      <c r="AH246" s="28" t="s">
        <v>7</v>
      </c>
      <c r="AI246" s="28" t="s">
        <v>2424</v>
      </c>
      <c r="AJ246" s="28" t="s">
        <v>2302</v>
      </c>
      <c r="AK246" s="28" t="s">
        <v>36</v>
      </c>
      <c r="AL246" s="28" t="s">
        <v>2298</v>
      </c>
      <c r="AM246" s="114"/>
    </row>
    <row r="247" spans="7:39">
      <c r="G247" s="27">
        <v>2018</v>
      </c>
      <c r="H247" s="27" t="s">
        <v>170</v>
      </c>
      <c r="I247" s="27" t="s">
        <v>53</v>
      </c>
      <c r="J247" s="27" t="s">
        <v>23</v>
      </c>
      <c r="K247" s="27" t="s">
        <v>23</v>
      </c>
      <c r="L247" s="27" t="s">
        <v>399</v>
      </c>
      <c r="M247" s="27" t="s">
        <v>393</v>
      </c>
      <c r="N247" s="27">
        <v>8</v>
      </c>
      <c r="O247" s="27">
        <v>4</v>
      </c>
      <c r="P247" s="27" t="s">
        <v>123</v>
      </c>
      <c r="Q247" s="27" t="s">
        <v>111</v>
      </c>
      <c r="R247" s="27" t="s">
        <v>111</v>
      </c>
      <c r="S247" s="27" t="s">
        <v>112</v>
      </c>
      <c r="U247" s="18">
        <v>245</v>
      </c>
      <c r="V247" s="18" t="s">
        <v>1036</v>
      </c>
      <c r="W247" s="18">
        <v>29</v>
      </c>
      <c r="X247" s="18" t="s">
        <v>41</v>
      </c>
      <c r="Y247" s="18" t="s">
        <v>661</v>
      </c>
      <c r="Z247" s="18" t="s">
        <v>1037</v>
      </c>
      <c r="AA247" s="18">
        <v>2</v>
      </c>
      <c r="AC247" s="28" t="s">
        <v>2558</v>
      </c>
      <c r="AD247" s="28" t="s">
        <v>2583</v>
      </c>
      <c r="AE247" s="28" t="s">
        <v>2307</v>
      </c>
      <c r="AF247" s="28" t="s">
        <v>2568</v>
      </c>
      <c r="AG247" s="28" t="s">
        <v>2569</v>
      </c>
      <c r="AH247" s="28" t="s">
        <v>40</v>
      </c>
      <c r="AI247" s="28" t="s">
        <v>2302</v>
      </c>
      <c r="AJ247" s="28" t="s">
        <v>2302</v>
      </c>
      <c r="AK247" s="28" t="s">
        <v>17</v>
      </c>
      <c r="AL247" s="28" t="s">
        <v>2298</v>
      </c>
      <c r="AM247" s="114"/>
    </row>
    <row r="248" spans="7:39">
      <c r="G248" s="27">
        <v>2018</v>
      </c>
      <c r="H248" s="27" t="s">
        <v>170</v>
      </c>
      <c r="I248" s="27" t="s">
        <v>53</v>
      </c>
      <c r="J248" s="27" t="s">
        <v>23</v>
      </c>
      <c r="K248" s="27" t="s">
        <v>53</v>
      </c>
      <c r="L248" s="27" t="s">
        <v>400</v>
      </c>
      <c r="M248" s="27" t="s">
        <v>391</v>
      </c>
      <c r="N248" s="27">
        <v>9</v>
      </c>
      <c r="O248" s="27">
        <v>5</v>
      </c>
      <c r="P248" s="27" t="s">
        <v>128</v>
      </c>
      <c r="Q248" s="27" t="s">
        <v>111</v>
      </c>
      <c r="R248" s="27" t="s">
        <v>111</v>
      </c>
      <c r="S248" s="27" t="s">
        <v>124</v>
      </c>
      <c r="U248" s="18">
        <v>246</v>
      </c>
      <c r="V248" s="18" t="s">
        <v>1038</v>
      </c>
      <c r="W248" s="18">
        <v>20</v>
      </c>
      <c r="X248" s="18" t="s">
        <v>41</v>
      </c>
      <c r="Y248" s="18" t="s">
        <v>661</v>
      </c>
      <c r="Z248" s="18" t="s">
        <v>845</v>
      </c>
      <c r="AA248" s="18">
        <v>3</v>
      </c>
      <c r="AC248" s="28" t="s">
        <v>2558</v>
      </c>
      <c r="AD248" s="28" t="s">
        <v>2583</v>
      </c>
      <c r="AE248" s="28" t="s">
        <v>2307</v>
      </c>
      <c r="AF248" s="28" t="s">
        <v>2571</v>
      </c>
      <c r="AG248" s="28" t="s">
        <v>2572</v>
      </c>
      <c r="AH248" s="28" t="s">
        <v>34</v>
      </c>
      <c r="AI248" s="28" t="s">
        <v>2297</v>
      </c>
      <c r="AJ248" s="28" t="s">
        <v>2297</v>
      </c>
      <c r="AK248" s="28" t="s">
        <v>11</v>
      </c>
      <c r="AL248" s="28" t="s">
        <v>2298</v>
      </c>
      <c r="AM248" s="114"/>
    </row>
    <row r="249" spans="7:39">
      <c r="G249" s="27">
        <v>2018</v>
      </c>
      <c r="H249" s="27" t="s">
        <v>170</v>
      </c>
      <c r="I249" s="27" t="s">
        <v>53</v>
      </c>
      <c r="J249" s="27" t="s">
        <v>23</v>
      </c>
      <c r="K249" s="27" t="s">
        <v>23</v>
      </c>
      <c r="L249" s="27" t="s">
        <v>401</v>
      </c>
      <c r="M249" s="27" t="s">
        <v>393</v>
      </c>
      <c r="N249" s="27">
        <v>10</v>
      </c>
      <c r="O249" s="27">
        <v>5</v>
      </c>
      <c r="P249" s="27" t="s">
        <v>128</v>
      </c>
      <c r="Q249" s="27" t="s">
        <v>111</v>
      </c>
      <c r="R249" s="27" t="s">
        <v>131</v>
      </c>
      <c r="S249" s="27" t="s">
        <v>112</v>
      </c>
      <c r="U249" s="18">
        <v>247</v>
      </c>
      <c r="V249" s="18" t="s">
        <v>1039</v>
      </c>
      <c r="W249" s="18">
        <v>23</v>
      </c>
      <c r="X249" s="18" t="s">
        <v>41</v>
      </c>
      <c r="Y249" s="18" t="s">
        <v>664</v>
      </c>
      <c r="Z249" s="18" t="s">
        <v>1040</v>
      </c>
      <c r="AA249" s="18">
        <v>6</v>
      </c>
      <c r="AC249" s="28" t="s">
        <v>2558</v>
      </c>
      <c r="AD249" s="28" t="s">
        <v>2583</v>
      </c>
      <c r="AE249" s="28" t="s">
        <v>2299</v>
      </c>
      <c r="AF249" s="28" t="s">
        <v>2563</v>
      </c>
      <c r="AG249" s="28" t="s">
        <v>2576</v>
      </c>
      <c r="AH249" s="28" t="s">
        <v>41</v>
      </c>
      <c r="AI249" s="28" t="s">
        <v>2302</v>
      </c>
      <c r="AJ249" s="28" t="s">
        <v>2343</v>
      </c>
      <c r="AK249" s="28" t="s">
        <v>37</v>
      </c>
      <c r="AL249" s="28" t="s">
        <v>2298</v>
      </c>
      <c r="AM249" s="114"/>
    </row>
    <row r="250" spans="7:39">
      <c r="G250" s="27">
        <v>2018</v>
      </c>
      <c r="H250" s="27" t="s">
        <v>170</v>
      </c>
      <c r="I250" s="27" t="s">
        <v>63</v>
      </c>
      <c r="J250" s="27" t="s">
        <v>49</v>
      </c>
      <c r="K250" s="27" t="s">
        <v>49</v>
      </c>
      <c r="L250" s="27" t="s">
        <v>402</v>
      </c>
      <c r="M250" s="27" t="s">
        <v>403</v>
      </c>
      <c r="N250" s="27">
        <v>1</v>
      </c>
      <c r="O250" s="27">
        <v>1</v>
      </c>
      <c r="P250" s="27" t="s">
        <v>110</v>
      </c>
      <c r="Q250" s="27" t="s">
        <v>111</v>
      </c>
      <c r="R250" s="27" t="s">
        <v>111</v>
      </c>
      <c r="S250" s="27" t="s">
        <v>124</v>
      </c>
      <c r="U250" s="18">
        <v>248</v>
      </c>
      <c r="V250" s="18" t="s">
        <v>1041</v>
      </c>
      <c r="W250" s="18">
        <v>26</v>
      </c>
      <c r="X250" s="18" t="s">
        <v>41</v>
      </c>
      <c r="Y250" s="18" t="s">
        <v>664</v>
      </c>
      <c r="Z250" s="18" t="s">
        <v>748</v>
      </c>
      <c r="AA250" s="18">
        <v>17</v>
      </c>
      <c r="AC250" s="28" t="s">
        <v>2558</v>
      </c>
      <c r="AD250" s="28" t="s">
        <v>2583</v>
      </c>
      <c r="AE250" s="28" t="s">
        <v>2299</v>
      </c>
      <c r="AF250" s="28" t="s">
        <v>2577</v>
      </c>
      <c r="AG250" s="28" t="s">
        <v>2578</v>
      </c>
      <c r="AH250" s="28" t="s">
        <v>9</v>
      </c>
      <c r="AI250" s="28" t="s">
        <v>2297</v>
      </c>
      <c r="AJ250" s="28" t="s">
        <v>2297</v>
      </c>
      <c r="AK250" s="28" t="s">
        <v>20</v>
      </c>
      <c r="AL250" s="28" t="s">
        <v>2298</v>
      </c>
      <c r="AM250" s="114"/>
    </row>
    <row r="251" spans="7:39">
      <c r="G251" s="27">
        <v>2018</v>
      </c>
      <c r="H251" s="27" t="s">
        <v>170</v>
      </c>
      <c r="I251" s="27" t="s">
        <v>63</v>
      </c>
      <c r="J251" s="27" t="s">
        <v>49</v>
      </c>
      <c r="K251" s="27" t="s">
        <v>63</v>
      </c>
      <c r="L251" s="27" t="s">
        <v>404</v>
      </c>
      <c r="M251" s="27" t="s">
        <v>405</v>
      </c>
      <c r="N251" s="27">
        <v>2</v>
      </c>
      <c r="O251" s="27">
        <v>1</v>
      </c>
      <c r="P251" s="27" t="s">
        <v>110</v>
      </c>
      <c r="Q251" s="27" t="s">
        <v>111</v>
      </c>
      <c r="R251" s="27" t="s">
        <v>111</v>
      </c>
      <c r="S251" s="27" t="s">
        <v>124</v>
      </c>
      <c r="U251" s="18">
        <v>249</v>
      </c>
      <c r="V251" s="18" t="s">
        <v>1042</v>
      </c>
      <c r="W251" s="18">
        <v>25</v>
      </c>
      <c r="X251" s="18" t="s">
        <v>41</v>
      </c>
      <c r="Y251" s="18" t="s">
        <v>669</v>
      </c>
      <c r="Z251" s="18" t="s">
        <v>1043</v>
      </c>
      <c r="AA251" s="18">
        <v>25</v>
      </c>
      <c r="AC251" s="28" t="s">
        <v>2558</v>
      </c>
      <c r="AD251" s="28" t="s">
        <v>2584</v>
      </c>
      <c r="AE251" s="28" t="s">
        <v>2304</v>
      </c>
      <c r="AF251" s="28" t="s">
        <v>2560</v>
      </c>
      <c r="AG251" s="28" t="s">
        <v>2561</v>
      </c>
      <c r="AH251" s="28" t="s">
        <v>39</v>
      </c>
      <c r="AI251" s="28" t="s">
        <v>2297</v>
      </c>
      <c r="AJ251" s="28" t="s">
        <v>2297</v>
      </c>
      <c r="AK251" s="28" t="s">
        <v>7</v>
      </c>
      <c r="AL251" s="28" t="s">
        <v>2298</v>
      </c>
      <c r="AM251" s="114"/>
    </row>
    <row r="252" spans="7:39">
      <c r="G252" s="27">
        <v>2018</v>
      </c>
      <c r="H252" s="27" t="s">
        <v>170</v>
      </c>
      <c r="I252" s="27" t="s">
        <v>63</v>
      </c>
      <c r="J252" s="27" t="s">
        <v>49</v>
      </c>
      <c r="K252" s="27" t="s">
        <v>49</v>
      </c>
      <c r="L252" s="27" t="s">
        <v>406</v>
      </c>
      <c r="M252" s="27" t="s">
        <v>403</v>
      </c>
      <c r="N252" s="27">
        <v>3</v>
      </c>
      <c r="O252" s="27">
        <v>2</v>
      </c>
      <c r="P252" s="27" t="s">
        <v>110</v>
      </c>
      <c r="Q252" s="27" t="s">
        <v>111</v>
      </c>
      <c r="R252" s="27" t="s">
        <v>111</v>
      </c>
      <c r="S252" s="27" t="s">
        <v>112</v>
      </c>
      <c r="U252" s="18">
        <v>250</v>
      </c>
      <c r="V252" s="18" t="s">
        <v>1044</v>
      </c>
      <c r="W252" s="18">
        <v>21</v>
      </c>
      <c r="X252" s="18" t="s">
        <v>41</v>
      </c>
      <c r="Y252" s="18" t="s">
        <v>669</v>
      </c>
      <c r="Z252" s="18" t="s">
        <v>1045</v>
      </c>
      <c r="AA252" s="18">
        <v>26</v>
      </c>
      <c r="AC252" s="28" t="s">
        <v>2558</v>
      </c>
      <c r="AD252" s="28" t="s">
        <v>2584</v>
      </c>
      <c r="AE252" s="28" t="s">
        <v>2293</v>
      </c>
      <c r="AF252" s="28" t="s">
        <v>2563</v>
      </c>
      <c r="AG252" s="28" t="s">
        <v>2564</v>
      </c>
      <c r="AH252" s="28" t="s">
        <v>38</v>
      </c>
      <c r="AI252" s="28" t="s">
        <v>2302</v>
      </c>
      <c r="AJ252" s="28" t="s">
        <v>2302</v>
      </c>
      <c r="AK252" s="28" t="s">
        <v>10</v>
      </c>
      <c r="AL252" s="28" t="s">
        <v>2298</v>
      </c>
      <c r="AM252" s="114"/>
    </row>
    <row r="253" spans="7:39">
      <c r="G253" s="27">
        <v>2018</v>
      </c>
      <c r="H253" s="27" t="s">
        <v>170</v>
      </c>
      <c r="I253" s="27" t="s">
        <v>63</v>
      </c>
      <c r="J253" s="27" t="s">
        <v>49</v>
      </c>
      <c r="K253" s="27" t="s">
        <v>63</v>
      </c>
      <c r="L253" s="27" t="s">
        <v>407</v>
      </c>
      <c r="M253" s="27" t="s">
        <v>405</v>
      </c>
      <c r="N253" s="27">
        <v>4</v>
      </c>
      <c r="O253" s="27">
        <v>2</v>
      </c>
      <c r="P253" s="27" t="s">
        <v>115</v>
      </c>
      <c r="Q253" s="27" t="s">
        <v>111</v>
      </c>
      <c r="R253" s="27" t="s">
        <v>111</v>
      </c>
      <c r="S253" s="27" t="s">
        <v>112</v>
      </c>
      <c r="U253" s="18">
        <v>251</v>
      </c>
      <c r="V253" s="18" t="s">
        <v>1046</v>
      </c>
      <c r="W253" s="18">
        <v>27</v>
      </c>
      <c r="X253" s="18" t="s">
        <v>41</v>
      </c>
      <c r="Y253" s="18" t="s">
        <v>675</v>
      </c>
      <c r="Z253" s="18" t="s">
        <v>655</v>
      </c>
      <c r="AA253" s="18">
        <v>10</v>
      </c>
      <c r="AC253" s="28" t="s">
        <v>2558</v>
      </c>
      <c r="AD253" s="28" t="s">
        <v>2584</v>
      </c>
      <c r="AE253" s="28" t="s">
        <v>2304</v>
      </c>
      <c r="AF253" s="28" t="s">
        <v>2581</v>
      </c>
      <c r="AG253" s="28" t="s">
        <v>2582</v>
      </c>
      <c r="AH253" s="28" t="s">
        <v>36</v>
      </c>
      <c r="AI253" s="28" t="s">
        <v>2302</v>
      </c>
      <c r="AJ253" s="28" t="s">
        <v>2301</v>
      </c>
      <c r="AK253" s="28" t="s">
        <v>12</v>
      </c>
      <c r="AL253" s="28" t="s">
        <v>2298</v>
      </c>
      <c r="AM253" s="114"/>
    </row>
    <row r="254" spans="7:39">
      <c r="G254" s="27">
        <v>2018</v>
      </c>
      <c r="H254" s="27" t="s">
        <v>170</v>
      </c>
      <c r="I254" s="27" t="s">
        <v>63</v>
      </c>
      <c r="J254" s="27" t="s">
        <v>49</v>
      </c>
      <c r="K254" s="27" t="s">
        <v>49</v>
      </c>
      <c r="L254" s="27" t="s">
        <v>408</v>
      </c>
      <c r="M254" s="27" t="s">
        <v>403</v>
      </c>
      <c r="N254" s="27">
        <v>5</v>
      </c>
      <c r="O254" s="27">
        <v>3</v>
      </c>
      <c r="P254" s="27" t="s">
        <v>117</v>
      </c>
      <c r="Q254" s="27" t="s">
        <v>111</v>
      </c>
      <c r="R254" s="27" t="s">
        <v>111</v>
      </c>
      <c r="S254" s="27" t="s">
        <v>112</v>
      </c>
      <c r="U254" s="18">
        <v>252</v>
      </c>
      <c r="V254" s="18" t="s">
        <v>1047</v>
      </c>
      <c r="W254" s="18">
        <v>29</v>
      </c>
      <c r="X254" s="18" t="s">
        <v>41</v>
      </c>
      <c r="Y254" s="18" t="s">
        <v>679</v>
      </c>
      <c r="Z254" s="18" t="s">
        <v>886</v>
      </c>
      <c r="AA254" s="18">
        <v>7</v>
      </c>
      <c r="AC254" s="28" t="s">
        <v>2558</v>
      </c>
      <c r="AD254" s="28" t="s">
        <v>2585</v>
      </c>
      <c r="AE254" s="28" t="s">
        <v>2293</v>
      </c>
      <c r="AF254" s="28" t="s">
        <v>2566</v>
      </c>
      <c r="AG254" s="28" t="s">
        <v>2567</v>
      </c>
      <c r="AH254" s="28" t="s">
        <v>35</v>
      </c>
      <c r="AI254" s="28" t="s">
        <v>2297</v>
      </c>
      <c r="AJ254" s="28" t="s">
        <v>2302</v>
      </c>
      <c r="AK254" s="28" t="s">
        <v>24</v>
      </c>
      <c r="AL254" s="28" t="s">
        <v>2298</v>
      </c>
      <c r="AM254" s="114"/>
    </row>
    <row r="255" spans="7:39">
      <c r="G255" s="27">
        <v>2018</v>
      </c>
      <c r="H255" s="27" t="s">
        <v>170</v>
      </c>
      <c r="I255" s="27" t="s">
        <v>63</v>
      </c>
      <c r="J255" s="27" t="s">
        <v>49</v>
      </c>
      <c r="K255" s="27" t="s">
        <v>63</v>
      </c>
      <c r="L255" s="27" t="s">
        <v>409</v>
      </c>
      <c r="M255" s="27" t="s">
        <v>405</v>
      </c>
      <c r="N255" s="27">
        <v>6</v>
      </c>
      <c r="O255" s="27">
        <v>3</v>
      </c>
      <c r="P255" s="27" t="s">
        <v>156</v>
      </c>
      <c r="Q255" s="27" t="s">
        <v>111</v>
      </c>
      <c r="R255" s="27" t="s">
        <v>111</v>
      </c>
      <c r="S255" s="27" t="s">
        <v>112</v>
      </c>
      <c r="U255" s="18">
        <v>253</v>
      </c>
      <c r="V255" s="18" t="s">
        <v>1048</v>
      </c>
      <c r="W255" s="18">
        <v>24</v>
      </c>
      <c r="X255" s="18" t="s">
        <v>41</v>
      </c>
      <c r="Y255" s="18" t="s">
        <v>679</v>
      </c>
      <c r="Z255" s="18" t="s">
        <v>1049</v>
      </c>
      <c r="AA255" s="18">
        <v>15</v>
      </c>
      <c r="AC255" s="28" t="s">
        <v>2558</v>
      </c>
      <c r="AD255" s="28" t="s">
        <v>2586</v>
      </c>
      <c r="AE255" s="28" t="s">
        <v>2307</v>
      </c>
      <c r="AF255" s="28" t="s">
        <v>2568</v>
      </c>
      <c r="AG255" s="28" t="s">
        <v>2569</v>
      </c>
      <c r="AH255" s="28" t="s">
        <v>34</v>
      </c>
      <c r="AI255" s="28" t="s">
        <v>2297</v>
      </c>
      <c r="AJ255" s="28" t="s">
        <v>2296</v>
      </c>
      <c r="AK255" s="28" t="s">
        <v>40</v>
      </c>
      <c r="AL255" s="28" t="s">
        <v>2298</v>
      </c>
      <c r="AM255" s="114"/>
    </row>
    <row r="256" spans="7:39">
      <c r="G256" s="27">
        <v>2018</v>
      </c>
      <c r="H256" s="27" t="s">
        <v>170</v>
      </c>
      <c r="I256" s="27" t="s">
        <v>63</v>
      </c>
      <c r="J256" s="27" t="s">
        <v>49</v>
      </c>
      <c r="K256" s="27" t="s">
        <v>49</v>
      </c>
      <c r="L256" s="27" t="s">
        <v>410</v>
      </c>
      <c r="M256" s="27" t="s">
        <v>403</v>
      </c>
      <c r="N256" s="27">
        <v>7</v>
      </c>
      <c r="O256" s="27">
        <v>4</v>
      </c>
      <c r="P256" s="27" t="s">
        <v>121</v>
      </c>
      <c r="Q256" s="27" t="s">
        <v>111</v>
      </c>
      <c r="R256" s="27" t="s">
        <v>111</v>
      </c>
      <c r="S256" s="27" t="s">
        <v>124</v>
      </c>
      <c r="U256" s="18">
        <v>254</v>
      </c>
      <c r="V256" s="18" t="s">
        <v>1050</v>
      </c>
      <c r="W256" s="18">
        <v>27</v>
      </c>
      <c r="X256" s="18" t="s">
        <v>41</v>
      </c>
      <c r="Y256" s="18" t="s">
        <v>679</v>
      </c>
      <c r="Z256" s="18" t="s">
        <v>1051</v>
      </c>
      <c r="AA256" s="18">
        <v>19</v>
      </c>
      <c r="AC256" s="28" t="s">
        <v>2558</v>
      </c>
      <c r="AD256" s="28" t="s">
        <v>2586</v>
      </c>
      <c r="AE256" s="28" t="s">
        <v>2299</v>
      </c>
      <c r="AF256" s="28" t="s">
        <v>2563</v>
      </c>
      <c r="AG256" s="28" t="s">
        <v>2576</v>
      </c>
      <c r="AH256" s="28" t="s">
        <v>9</v>
      </c>
      <c r="AI256" s="28" t="s">
        <v>2296</v>
      </c>
      <c r="AJ256" s="28" t="s">
        <v>2297</v>
      </c>
      <c r="AK256" s="28" t="s">
        <v>41</v>
      </c>
      <c r="AL256" s="28" t="s">
        <v>2298</v>
      </c>
      <c r="AM256" s="114"/>
    </row>
    <row r="257" spans="7:39">
      <c r="G257" s="27">
        <v>2018</v>
      </c>
      <c r="H257" s="27" t="s">
        <v>170</v>
      </c>
      <c r="I257" s="27" t="s">
        <v>63</v>
      </c>
      <c r="J257" s="27" t="s">
        <v>49</v>
      </c>
      <c r="K257" s="27" t="s">
        <v>63</v>
      </c>
      <c r="L257" s="27" t="s">
        <v>411</v>
      </c>
      <c r="M257" s="27" t="s">
        <v>405</v>
      </c>
      <c r="N257" s="27">
        <v>8</v>
      </c>
      <c r="O257" s="27">
        <v>4</v>
      </c>
      <c r="P257" s="27" t="s">
        <v>121</v>
      </c>
      <c r="Q257" s="27" t="s">
        <v>111</v>
      </c>
      <c r="R257" s="27" t="s">
        <v>111</v>
      </c>
      <c r="S257" s="27" t="s">
        <v>124</v>
      </c>
      <c r="U257" s="18">
        <v>255</v>
      </c>
      <c r="V257" s="18" t="s">
        <v>1052</v>
      </c>
      <c r="W257" s="18">
        <v>25</v>
      </c>
      <c r="X257" s="18" t="s">
        <v>41</v>
      </c>
      <c r="Y257" s="18" t="s">
        <v>681</v>
      </c>
      <c r="Z257" s="18" t="s">
        <v>1053</v>
      </c>
      <c r="AA257" s="18">
        <v>11</v>
      </c>
      <c r="AC257" s="28" t="s">
        <v>2558</v>
      </c>
      <c r="AD257" s="28" t="s">
        <v>2586</v>
      </c>
      <c r="AE257" s="28" t="s">
        <v>2307</v>
      </c>
      <c r="AF257" s="28" t="s">
        <v>2573</v>
      </c>
      <c r="AG257" s="28" t="s">
        <v>2574</v>
      </c>
      <c r="AH257" s="28" t="s">
        <v>17</v>
      </c>
      <c r="AI257" s="28" t="s">
        <v>2301</v>
      </c>
      <c r="AJ257" s="28" t="s">
        <v>2302</v>
      </c>
      <c r="AK257" s="28" t="s">
        <v>11</v>
      </c>
      <c r="AL257" s="28" t="s">
        <v>2298</v>
      </c>
      <c r="AM257" s="114"/>
    </row>
    <row r="258" spans="7:39">
      <c r="G258" s="27">
        <v>2018</v>
      </c>
      <c r="H258" s="27" t="s">
        <v>170</v>
      </c>
      <c r="I258" s="27" t="s">
        <v>63</v>
      </c>
      <c r="J258" s="27" t="s">
        <v>49</v>
      </c>
      <c r="K258" s="27" t="s">
        <v>49</v>
      </c>
      <c r="L258" s="27" t="s">
        <v>412</v>
      </c>
      <c r="M258" s="27" t="s">
        <v>403</v>
      </c>
      <c r="N258" s="27">
        <v>9</v>
      </c>
      <c r="O258" s="27">
        <v>5</v>
      </c>
      <c r="P258" s="27" t="s">
        <v>121</v>
      </c>
      <c r="Q258" s="27" t="s">
        <v>111</v>
      </c>
      <c r="R258" s="27" t="s">
        <v>111</v>
      </c>
      <c r="S258" s="27" t="s">
        <v>124</v>
      </c>
      <c r="U258" s="18">
        <v>256</v>
      </c>
      <c r="V258" s="18" t="s">
        <v>1054</v>
      </c>
      <c r="W258" s="18">
        <v>25</v>
      </c>
      <c r="X258" s="18" t="s">
        <v>41</v>
      </c>
      <c r="Y258" s="18" t="s">
        <v>681</v>
      </c>
      <c r="Z258" s="18" t="s">
        <v>1055</v>
      </c>
      <c r="AA258" s="18">
        <v>16</v>
      </c>
      <c r="AC258" s="28" t="s">
        <v>2558</v>
      </c>
      <c r="AD258" s="28" t="s">
        <v>2586</v>
      </c>
      <c r="AE258" s="28" t="s">
        <v>2299</v>
      </c>
      <c r="AF258" s="28" t="s">
        <v>2577</v>
      </c>
      <c r="AG258" s="28" t="s">
        <v>2578</v>
      </c>
      <c r="AH258" s="28" t="s">
        <v>37</v>
      </c>
      <c r="AI258" s="28" t="s">
        <v>2305</v>
      </c>
      <c r="AJ258" s="28" t="s">
        <v>2297</v>
      </c>
      <c r="AK258" s="28" t="s">
        <v>20</v>
      </c>
      <c r="AL258" s="28" t="s">
        <v>2298</v>
      </c>
      <c r="AM258" s="114"/>
    </row>
    <row r="259" spans="7:39">
      <c r="G259" s="27">
        <v>2018</v>
      </c>
      <c r="H259" s="27" t="s">
        <v>170</v>
      </c>
      <c r="I259" s="27" t="s">
        <v>63</v>
      </c>
      <c r="J259" s="27" t="s">
        <v>49</v>
      </c>
      <c r="K259" s="27" t="s">
        <v>63</v>
      </c>
      <c r="L259" s="27" t="s">
        <v>413</v>
      </c>
      <c r="M259" s="27" t="s">
        <v>405</v>
      </c>
      <c r="N259" s="27">
        <v>10</v>
      </c>
      <c r="O259" s="27">
        <v>5</v>
      </c>
      <c r="P259" s="27" t="s">
        <v>121</v>
      </c>
      <c r="Q259" s="27" t="s">
        <v>111</v>
      </c>
      <c r="R259" s="27" t="s">
        <v>131</v>
      </c>
      <c r="S259" s="27" t="s">
        <v>112</v>
      </c>
      <c r="U259" s="18">
        <v>257</v>
      </c>
      <c r="V259" s="18" t="s">
        <v>1056</v>
      </c>
      <c r="W259" s="18">
        <v>24</v>
      </c>
      <c r="X259" s="18" t="s">
        <v>41</v>
      </c>
      <c r="Y259" s="18" t="s">
        <v>681</v>
      </c>
      <c r="Z259" s="18" t="s">
        <v>1057</v>
      </c>
      <c r="AA259" s="18">
        <v>21</v>
      </c>
      <c r="AC259" s="28" t="s">
        <v>2558</v>
      </c>
      <c r="AD259" s="28" t="s">
        <v>2587</v>
      </c>
      <c r="AE259" s="28" t="s">
        <v>2588</v>
      </c>
      <c r="AF259" s="28" t="s">
        <v>2573</v>
      </c>
      <c r="AG259" s="28" t="s">
        <v>2574</v>
      </c>
      <c r="AH259" s="28" t="s">
        <v>7</v>
      </c>
      <c r="AI259" s="28" t="s">
        <v>2302</v>
      </c>
      <c r="AJ259" s="28" t="s">
        <v>2305</v>
      </c>
      <c r="AK259" s="28" t="s">
        <v>24</v>
      </c>
      <c r="AL259" s="28" t="s">
        <v>2298</v>
      </c>
      <c r="AM259" s="114"/>
    </row>
    <row r="260" spans="7:39">
      <c r="G260" s="27">
        <v>2018</v>
      </c>
      <c r="H260" s="27" t="s">
        <v>170</v>
      </c>
      <c r="I260" s="27" t="s">
        <v>19</v>
      </c>
      <c r="J260" s="27" t="s">
        <v>58</v>
      </c>
      <c r="K260" s="27" t="s">
        <v>19</v>
      </c>
      <c r="L260" s="27" t="s">
        <v>414</v>
      </c>
      <c r="M260" s="27" t="s">
        <v>415</v>
      </c>
      <c r="N260" s="27">
        <v>1</v>
      </c>
      <c r="O260" s="27">
        <v>1</v>
      </c>
      <c r="P260" s="27" t="s">
        <v>110</v>
      </c>
      <c r="Q260" s="27" t="s">
        <v>111</v>
      </c>
      <c r="R260" s="27" t="s">
        <v>111</v>
      </c>
      <c r="S260" s="27" t="s">
        <v>112</v>
      </c>
      <c r="U260" s="18">
        <v>258</v>
      </c>
      <c r="V260" s="18" t="s">
        <v>1058</v>
      </c>
      <c r="W260" s="18">
        <v>32</v>
      </c>
      <c r="X260" s="18" t="s">
        <v>41</v>
      </c>
      <c r="Y260" s="18" t="s">
        <v>683</v>
      </c>
      <c r="Z260" s="18" t="s">
        <v>1059</v>
      </c>
      <c r="AA260" s="18">
        <v>9</v>
      </c>
      <c r="AC260" s="28" t="s">
        <v>2558</v>
      </c>
      <c r="AD260" s="28" t="s">
        <v>2589</v>
      </c>
      <c r="AE260" s="28" t="s">
        <v>2590</v>
      </c>
      <c r="AF260" s="28" t="s">
        <v>2571</v>
      </c>
      <c r="AG260" s="28" t="s">
        <v>2572</v>
      </c>
      <c r="AH260" s="28" t="s">
        <v>12</v>
      </c>
      <c r="AI260" s="28" t="s">
        <v>2297</v>
      </c>
      <c r="AJ260" s="28" t="s">
        <v>2302</v>
      </c>
      <c r="AK260" s="28" t="s">
        <v>35</v>
      </c>
      <c r="AL260" s="28" t="s">
        <v>2298</v>
      </c>
      <c r="AM260" s="114"/>
    </row>
    <row r="261" spans="7:39">
      <c r="G261" s="27">
        <v>2018</v>
      </c>
      <c r="H261" s="27" t="s">
        <v>170</v>
      </c>
      <c r="I261" s="27" t="s">
        <v>19</v>
      </c>
      <c r="J261" s="27" t="s">
        <v>58</v>
      </c>
      <c r="K261" s="27" t="s">
        <v>58</v>
      </c>
      <c r="L261" s="27" t="s">
        <v>416</v>
      </c>
      <c r="M261" s="27" t="s">
        <v>417</v>
      </c>
      <c r="N261" s="27">
        <v>2</v>
      </c>
      <c r="O261" s="27">
        <v>1</v>
      </c>
      <c r="P261" s="27" t="s">
        <v>140</v>
      </c>
      <c r="Q261" s="27" t="s">
        <v>111</v>
      </c>
      <c r="R261" s="27" t="s">
        <v>111</v>
      </c>
      <c r="S261" s="27" t="s">
        <v>112</v>
      </c>
      <c r="U261" s="18">
        <v>259</v>
      </c>
      <c r="V261" s="18" t="s">
        <v>1060</v>
      </c>
      <c r="W261" s="18">
        <v>25</v>
      </c>
      <c r="X261" s="18" t="s">
        <v>41</v>
      </c>
      <c r="Y261" s="18" t="s">
        <v>683</v>
      </c>
      <c r="Z261" s="18" t="s">
        <v>965</v>
      </c>
      <c r="AA261" s="18">
        <v>18</v>
      </c>
      <c r="AC261" s="28" t="s">
        <v>2558</v>
      </c>
      <c r="AD261" s="28" t="s">
        <v>2589</v>
      </c>
      <c r="AE261" s="28" t="s">
        <v>2590</v>
      </c>
      <c r="AF261" s="28" t="s">
        <v>2581</v>
      </c>
      <c r="AG261" s="28" t="s">
        <v>2582</v>
      </c>
      <c r="AH261" s="28" t="s">
        <v>40</v>
      </c>
      <c r="AI261" s="28" t="s">
        <v>2296</v>
      </c>
      <c r="AJ261" s="28" t="s">
        <v>2302</v>
      </c>
      <c r="AK261" s="28" t="s">
        <v>9</v>
      </c>
      <c r="AL261" s="28" t="s">
        <v>2298</v>
      </c>
      <c r="AM261" s="114"/>
    </row>
    <row r="262" spans="7:39">
      <c r="G262" s="27">
        <v>2018</v>
      </c>
      <c r="H262" s="27" t="s">
        <v>170</v>
      </c>
      <c r="I262" s="27" t="s">
        <v>19</v>
      </c>
      <c r="J262" s="27" t="s">
        <v>58</v>
      </c>
      <c r="K262" s="27" t="s">
        <v>19</v>
      </c>
      <c r="L262" s="27" t="s">
        <v>418</v>
      </c>
      <c r="M262" s="27" t="s">
        <v>415</v>
      </c>
      <c r="N262" s="27">
        <v>3</v>
      </c>
      <c r="O262" s="27">
        <v>2</v>
      </c>
      <c r="P262" s="27" t="s">
        <v>117</v>
      </c>
      <c r="Q262" s="27" t="s">
        <v>111</v>
      </c>
      <c r="R262" s="27" t="s">
        <v>111</v>
      </c>
      <c r="S262" s="27" t="s">
        <v>112</v>
      </c>
      <c r="U262" s="18">
        <v>260</v>
      </c>
      <c r="V262" s="18" t="s">
        <v>1061</v>
      </c>
      <c r="W262" s="18">
        <v>31</v>
      </c>
      <c r="X262" s="18" t="s">
        <v>41</v>
      </c>
      <c r="Y262" s="18" t="s">
        <v>683</v>
      </c>
      <c r="Z262" s="18" t="s">
        <v>1062</v>
      </c>
      <c r="AA262" s="18">
        <v>20</v>
      </c>
      <c r="AC262" s="28" t="s">
        <v>2558</v>
      </c>
      <c r="AD262" s="28" t="s">
        <v>2589</v>
      </c>
      <c r="AE262" s="28" t="s">
        <v>2588</v>
      </c>
      <c r="AF262" s="28" t="s">
        <v>2577</v>
      </c>
      <c r="AG262" s="28" t="s">
        <v>2578</v>
      </c>
      <c r="AH262" s="28" t="s">
        <v>17</v>
      </c>
      <c r="AI262" s="28" t="s">
        <v>2302</v>
      </c>
      <c r="AJ262" s="28" t="s">
        <v>2297</v>
      </c>
      <c r="AK262" s="28" t="s">
        <v>37</v>
      </c>
      <c r="AL262" s="28" t="s">
        <v>2298</v>
      </c>
      <c r="AM262" s="114"/>
    </row>
    <row r="263" spans="7:39">
      <c r="G263" s="27">
        <v>2018</v>
      </c>
      <c r="H263" s="27" t="s">
        <v>170</v>
      </c>
      <c r="I263" s="27" t="s">
        <v>19</v>
      </c>
      <c r="J263" s="27" t="s">
        <v>58</v>
      </c>
      <c r="K263" s="27" t="s">
        <v>58</v>
      </c>
      <c r="L263" s="27" t="s">
        <v>419</v>
      </c>
      <c r="M263" s="27" t="s">
        <v>417</v>
      </c>
      <c r="N263" s="27">
        <v>4</v>
      </c>
      <c r="O263" s="27">
        <v>2</v>
      </c>
      <c r="P263" s="27" t="s">
        <v>119</v>
      </c>
      <c r="Q263" s="27" t="s">
        <v>111</v>
      </c>
      <c r="R263" s="27" t="s">
        <v>111</v>
      </c>
      <c r="S263" s="27" t="s">
        <v>112</v>
      </c>
      <c r="U263" s="18">
        <v>261</v>
      </c>
      <c r="V263" s="18" t="s">
        <v>442</v>
      </c>
      <c r="W263" s="18">
        <v>35</v>
      </c>
      <c r="X263" s="18" t="s">
        <v>46</v>
      </c>
      <c r="Y263" s="18" t="s">
        <v>642</v>
      </c>
      <c r="Z263" s="18" t="s">
        <v>1063</v>
      </c>
      <c r="AA263" s="18">
        <v>1</v>
      </c>
      <c r="AC263" s="28" t="s">
        <v>2558</v>
      </c>
      <c r="AD263" s="28" t="s">
        <v>2591</v>
      </c>
      <c r="AE263" s="28" t="s">
        <v>2590</v>
      </c>
      <c r="AF263" s="28" t="s">
        <v>2571</v>
      </c>
      <c r="AG263" s="28" t="s">
        <v>2572</v>
      </c>
      <c r="AH263" s="28" t="s">
        <v>9</v>
      </c>
      <c r="AI263" s="28" t="s">
        <v>2297</v>
      </c>
      <c r="AJ263" s="28" t="s">
        <v>2305</v>
      </c>
      <c r="AK263" s="28" t="s">
        <v>12</v>
      </c>
      <c r="AL263" s="28" t="s">
        <v>2298</v>
      </c>
      <c r="AM263" s="114"/>
    </row>
    <row r="264" spans="7:39">
      <c r="G264" s="27">
        <v>2018</v>
      </c>
      <c r="H264" s="27" t="s">
        <v>170</v>
      </c>
      <c r="I264" s="27" t="s">
        <v>19</v>
      </c>
      <c r="J264" s="27" t="s">
        <v>58</v>
      </c>
      <c r="K264" s="27" t="s">
        <v>19</v>
      </c>
      <c r="L264" s="27" t="s">
        <v>420</v>
      </c>
      <c r="M264" s="27" t="s">
        <v>415</v>
      </c>
      <c r="N264" s="27">
        <v>5</v>
      </c>
      <c r="O264" s="27">
        <v>3</v>
      </c>
      <c r="P264" s="27" t="s">
        <v>121</v>
      </c>
      <c r="Q264" s="27" t="s">
        <v>111</v>
      </c>
      <c r="R264" s="27" t="s">
        <v>111</v>
      </c>
      <c r="S264" s="27" t="s">
        <v>124</v>
      </c>
      <c r="U264" s="18">
        <v>262</v>
      </c>
      <c r="V264" s="18" t="s">
        <v>1064</v>
      </c>
      <c r="W264" s="18">
        <v>37</v>
      </c>
      <c r="X264" s="18" t="s">
        <v>46</v>
      </c>
      <c r="Y264" s="18" t="s">
        <v>642</v>
      </c>
      <c r="Z264" s="18" t="s">
        <v>1065</v>
      </c>
      <c r="AA264" s="18">
        <v>12</v>
      </c>
      <c r="AC264" s="28" t="s">
        <v>2558</v>
      </c>
      <c r="AD264" s="28" t="s">
        <v>2591</v>
      </c>
      <c r="AE264" s="28" t="s">
        <v>2588</v>
      </c>
      <c r="AF264" s="28" t="s">
        <v>2560</v>
      </c>
      <c r="AG264" s="28" t="s">
        <v>2561</v>
      </c>
      <c r="AH264" s="28" t="s">
        <v>37</v>
      </c>
      <c r="AI264" s="28" t="s">
        <v>2305</v>
      </c>
      <c r="AJ264" s="28" t="s">
        <v>2297</v>
      </c>
      <c r="AK264" s="28" t="s">
        <v>7</v>
      </c>
      <c r="AL264" s="28" t="s">
        <v>2298</v>
      </c>
      <c r="AM264" s="114"/>
    </row>
    <row r="265" spans="7:39">
      <c r="G265" s="27">
        <v>2018</v>
      </c>
      <c r="H265" s="27" t="s">
        <v>170</v>
      </c>
      <c r="I265" s="27" t="s">
        <v>19</v>
      </c>
      <c r="J265" s="27" t="s">
        <v>58</v>
      </c>
      <c r="K265" s="27" t="s">
        <v>58</v>
      </c>
      <c r="L265" s="27" t="s">
        <v>421</v>
      </c>
      <c r="M265" s="27" t="s">
        <v>417</v>
      </c>
      <c r="N265" s="27">
        <v>6</v>
      </c>
      <c r="O265" s="27">
        <v>3</v>
      </c>
      <c r="P265" s="27" t="s">
        <v>121</v>
      </c>
      <c r="Q265" s="27" t="s">
        <v>111</v>
      </c>
      <c r="R265" s="27" t="s">
        <v>111</v>
      </c>
      <c r="S265" s="27" t="s">
        <v>112</v>
      </c>
      <c r="U265" s="18">
        <v>263</v>
      </c>
      <c r="V265" s="18" t="s">
        <v>1066</v>
      </c>
      <c r="W265" s="18">
        <v>30</v>
      </c>
      <c r="X265" s="18" t="s">
        <v>46</v>
      </c>
      <c r="Y265" s="18" t="s">
        <v>642</v>
      </c>
      <c r="Z265" s="18" t="s">
        <v>1067</v>
      </c>
      <c r="AA265" s="18">
        <v>22</v>
      </c>
      <c r="AC265" s="28" t="s">
        <v>2558</v>
      </c>
      <c r="AD265" s="28" t="s">
        <v>2591</v>
      </c>
      <c r="AE265" s="28" t="s">
        <v>2590</v>
      </c>
      <c r="AF265" s="28" t="s">
        <v>2581</v>
      </c>
      <c r="AG265" s="28" t="s">
        <v>2582</v>
      </c>
      <c r="AH265" s="28" t="s">
        <v>35</v>
      </c>
      <c r="AI265" s="28" t="s">
        <v>2302</v>
      </c>
      <c r="AJ265" s="28" t="s">
        <v>2305</v>
      </c>
      <c r="AK265" s="28" t="s">
        <v>40</v>
      </c>
      <c r="AL265" s="28" t="s">
        <v>2298</v>
      </c>
      <c r="AM265" s="114"/>
    </row>
    <row r="266" spans="7:39">
      <c r="G266" s="27">
        <v>2018</v>
      </c>
      <c r="H266" s="27" t="s">
        <v>170</v>
      </c>
      <c r="I266" s="27" t="s">
        <v>19</v>
      </c>
      <c r="J266" s="27" t="s">
        <v>58</v>
      </c>
      <c r="K266" s="27" t="s">
        <v>19</v>
      </c>
      <c r="L266" s="27" t="s">
        <v>422</v>
      </c>
      <c r="M266" s="27" t="s">
        <v>415</v>
      </c>
      <c r="N266" s="27">
        <v>7</v>
      </c>
      <c r="O266" s="27">
        <v>4</v>
      </c>
      <c r="P266" s="27" t="s">
        <v>159</v>
      </c>
      <c r="Q266" s="27" t="s">
        <v>111</v>
      </c>
      <c r="R266" s="27" t="s">
        <v>111</v>
      </c>
      <c r="S266" s="27" t="s">
        <v>124</v>
      </c>
      <c r="U266" s="18">
        <v>264</v>
      </c>
      <c r="V266" s="18" t="s">
        <v>1068</v>
      </c>
      <c r="W266" s="18">
        <v>34</v>
      </c>
      <c r="X266" s="18" t="s">
        <v>46</v>
      </c>
      <c r="Y266" s="18" t="s">
        <v>649</v>
      </c>
      <c r="Z266" s="18" t="s">
        <v>1069</v>
      </c>
      <c r="AA266" s="18">
        <v>5</v>
      </c>
      <c r="AC266" s="28" t="s">
        <v>2558</v>
      </c>
      <c r="AD266" s="28" t="s">
        <v>2592</v>
      </c>
      <c r="AE266" s="28" t="s">
        <v>2588</v>
      </c>
      <c r="AF266" s="28" t="s">
        <v>2573</v>
      </c>
      <c r="AG266" s="28" t="s">
        <v>2574</v>
      </c>
      <c r="AH266" s="28" t="s">
        <v>24</v>
      </c>
      <c r="AI266" s="28" t="s">
        <v>2296</v>
      </c>
      <c r="AJ266" s="28" t="s">
        <v>2305</v>
      </c>
      <c r="AK266" s="28" t="s">
        <v>17</v>
      </c>
      <c r="AL266" s="28" t="s">
        <v>2298</v>
      </c>
      <c r="AM266" s="114"/>
    </row>
    <row r="267" spans="7:39">
      <c r="G267" s="27">
        <v>2018</v>
      </c>
      <c r="H267" s="27" t="s">
        <v>170</v>
      </c>
      <c r="I267" s="27" t="s">
        <v>19</v>
      </c>
      <c r="J267" s="27" t="s">
        <v>58</v>
      </c>
      <c r="K267" s="27" t="s">
        <v>58</v>
      </c>
      <c r="L267" s="27" t="s">
        <v>423</v>
      </c>
      <c r="M267" s="27" t="s">
        <v>417</v>
      </c>
      <c r="N267" s="27">
        <v>8</v>
      </c>
      <c r="O267" s="27">
        <v>4</v>
      </c>
      <c r="P267" s="27" t="s">
        <v>159</v>
      </c>
      <c r="Q267" s="27" t="s">
        <v>111</v>
      </c>
      <c r="R267" s="27" t="s">
        <v>111</v>
      </c>
      <c r="S267" s="27" t="s">
        <v>112</v>
      </c>
      <c r="U267" s="18">
        <v>265</v>
      </c>
      <c r="V267" s="18" t="s">
        <v>1070</v>
      </c>
      <c r="W267" s="18">
        <v>29</v>
      </c>
      <c r="X267" s="18" t="s">
        <v>46</v>
      </c>
      <c r="Y267" s="18" t="s">
        <v>649</v>
      </c>
      <c r="Z267" s="18" t="s">
        <v>729</v>
      </c>
      <c r="AA267" s="18">
        <v>14</v>
      </c>
      <c r="AC267" s="28" t="s">
        <v>2558</v>
      </c>
      <c r="AD267" s="28" t="s">
        <v>2593</v>
      </c>
      <c r="AE267" s="28" t="s">
        <v>2588</v>
      </c>
      <c r="AF267" s="28" t="s">
        <v>2560</v>
      </c>
      <c r="AG267" s="28" t="s">
        <v>2561</v>
      </c>
      <c r="AH267" s="28" t="s">
        <v>37</v>
      </c>
      <c r="AI267" s="28" t="s">
        <v>2302</v>
      </c>
      <c r="AJ267" s="28" t="s">
        <v>2297</v>
      </c>
      <c r="AK267" s="28" t="s">
        <v>24</v>
      </c>
      <c r="AL267" s="28" t="s">
        <v>2298</v>
      </c>
      <c r="AM267" s="114"/>
    </row>
    <row r="268" spans="7:39">
      <c r="G268" s="27">
        <v>2018</v>
      </c>
      <c r="H268" s="27" t="s">
        <v>135</v>
      </c>
      <c r="I268" s="27" t="s">
        <v>58</v>
      </c>
      <c r="J268" s="27" t="s">
        <v>63</v>
      </c>
      <c r="K268" s="27" t="s">
        <v>58</v>
      </c>
      <c r="L268" s="27" t="s">
        <v>416</v>
      </c>
      <c r="M268" s="27" t="s">
        <v>403</v>
      </c>
      <c r="N268" s="27">
        <v>1</v>
      </c>
      <c r="O268" s="27">
        <v>1</v>
      </c>
      <c r="P268" s="27" t="s">
        <v>110</v>
      </c>
      <c r="Q268" s="27" t="s">
        <v>111</v>
      </c>
      <c r="R268" s="27" t="s">
        <v>111</v>
      </c>
      <c r="S268" s="27" t="s">
        <v>124</v>
      </c>
      <c r="U268" s="18">
        <v>266</v>
      </c>
      <c r="V268" s="18" t="s">
        <v>1071</v>
      </c>
      <c r="W268" s="18">
        <v>22</v>
      </c>
      <c r="X268" s="18" t="s">
        <v>46</v>
      </c>
      <c r="Y268" s="18" t="s">
        <v>649</v>
      </c>
      <c r="Z268" s="18" t="s">
        <v>1072</v>
      </c>
      <c r="AA268" s="18">
        <v>18</v>
      </c>
      <c r="AC268" s="28" t="s">
        <v>2558</v>
      </c>
      <c r="AD268" s="28" t="s">
        <v>2594</v>
      </c>
      <c r="AE268" s="28" t="s">
        <v>2590</v>
      </c>
      <c r="AF268" s="28" t="s">
        <v>2568</v>
      </c>
      <c r="AG268" s="28" t="s">
        <v>2569</v>
      </c>
      <c r="AH268" s="28" t="s">
        <v>40</v>
      </c>
      <c r="AI268" s="28" t="s">
        <v>2305</v>
      </c>
      <c r="AJ268" s="28" t="s">
        <v>2302</v>
      </c>
      <c r="AK268" s="28" t="s">
        <v>12</v>
      </c>
      <c r="AL268" s="28" t="s">
        <v>2298</v>
      </c>
      <c r="AM268" s="114"/>
    </row>
    <row r="269" spans="7:39">
      <c r="G269" s="27">
        <v>2018</v>
      </c>
      <c r="H269" s="27" t="s">
        <v>135</v>
      </c>
      <c r="I269" s="27" t="s">
        <v>58</v>
      </c>
      <c r="J269" s="27" t="s">
        <v>63</v>
      </c>
      <c r="K269" s="27" t="s">
        <v>63</v>
      </c>
      <c r="L269" s="27" t="s">
        <v>424</v>
      </c>
      <c r="M269" s="27" t="s">
        <v>415</v>
      </c>
      <c r="N269" s="27">
        <v>2</v>
      </c>
      <c r="O269" s="27">
        <v>1</v>
      </c>
      <c r="P269" s="27" t="s">
        <v>110</v>
      </c>
      <c r="Q269" s="27" t="s">
        <v>111</v>
      </c>
      <c r="R269" s="27" t="s">
        <v>111</v>
      </c>
      <c r="S269" s="27" t="s">
        <v>112</v>
      </c>
      <c r="U269" s="18">
        <v>267</v>
      </c>
      <c r="V269" s="18" t="s">
        <v>1073</v>
      </c>
      <c r="W269" s="18">
        <v>23</v>
      </c>
      <c r="X269" s="18" t="s">
        <v>46</v>
      </c>
      <c r="Y269" s="18" t="s">
        <v>649</v>
      </c>
      <c r="Z269" s="18" t="s">
        <v>1074</v>
      </c>
      <c r="AA269" s="18">
        <v>25</v>
      </c>
      <c r="AC269" s="28" t="s">
        <v>2558</v>
      </c>
      <c r="AD269" s="28" t="s">
        <v>2594</v>
      </c>
      <c r="AE269" s="28" t="s">
        <v>2590</v>
      </c>
      <c r="AF269" s="28" t="s">
        <v>2581</v>
      </c>
      <c r="AG269" s="28" t="s">
        <v>2582</v>
      </c>
      <c r="AH269" s="28" t="s">
        <v>9</v>
      </c>
      <c r="AI269" s="28" t="s">
        <v>2297</v>
      </c>
      <c r="AJ269" s="28" t="s">
        <v>2297</v>
      </c>
      <c r="AK269" s="28" t="s">
        <v>35</v>
      </c>
      <c r="AL269" s="28" t="s">
        <v>2298</v>
      </c>
      <c r="AM269" s="114"/>
    </row>
    <row r="270" spans="7:39">
      <c r="G270" s="27">
        <v>2018</v>
      </c>
      <c r="H270" s="27" t="s">
        <v>135</v>
      </c>
      <c r="I270" s="27" t="s">
        <v>58</v>
      </c>
      <c r="J270" s="27" t="s">
        <v>63</v>
      </c>
      <c r="K270" s="27" t="s">
        <v>58</v>
      </c>
      <c r="L270" s="27" t="s">
        <v>425</v>
      </c>
      <c r="M270" s="27" t="s">
        <v>403</v>
      </c>
      <c r="N270" s="27">
        <v>3</v>
      </c>
      <c r="O270" s="27">
        <v>2</v>
      </c>
      <c r="P270" s="27" t="s">
        <v>115</v>
      </c>
      <c r="Q270" s="27" t="s">
        <v>111</v>
      </c>
      <c r="R270" s="27" t="s">
        <v>111</v>
      </c>
      <c r="S270" s="27" t="s">
        <v>112</v>
      </c>
      <c r="U270" s="18">
        <v>268</v>
      </c>
      <c r="V270" s="18" t="s">
        <v>1075</v>
      </c>
      <c r="W270" s="18">
        <v>28</v>
      </c>
      <c r="X270" s="18" t="s">
        <v>46</v>
      </c>
      <c r="Y270" s="18" t="s">
        <v>657</v>
      </c>
      <c r="Z270" s="18" t="s">
        <v>996</v>
      </c>
      <c r="AA270" s="18">
        <v>3</v>
      </c>
      <c r="AC270" s="28" t="s">
        <v>2558</v>
      </c>
      <c r="AD270" s="28" t="s">
        <v>2594</v>
      </c>
      <c r="AE270" s="28" t="s">
        <v>2588</v>
      </c>
      <c r="AF270" s="28" t="s">
        <v>2573</v>
      </c>
      <c r="AG270" s="28" t="s">
        <v>2574</v>
      </c>
      <c r="AH270" s="28" t="s">
        <v>17</v>
      </c>
      <c r="AI270" s="28" t="s">
        <v>2305</v>
      </c>
      <c r="AJ270" s="28" t="s">
        <v>2297</v>
      </c>
      <c r="AK270" s="28" t="s">
        <v>7</v>
      </c>
      <c r="AL270" s="28" t="s">
        <v>2298</v>
      </c>
      <c r="AM270" s="114"/>
    </row>
    <row r="271" spans="7:39">
      <c r="G271" s="27">
        <v>2018</v>
      </c>
      <c r="H271" s="27" t="s">
        <v>135</v>
      </c>
      <c r="I271" s="27" t="s">
        <v>58</v>
      </c>
      <c r="J271" s="27" t="s">
        <v>63</v>
      </c>
      <c r="K271" s="27" t="s">
        <v>63</v>
      </c>
      <c r="L271" s="27" t="s">
        <v>426</v>
      </c>
      <c r="M271" s="27" t="s">
        <v>415</v>
      </c>
      <c r="N271" s="27">
        <v>4</v>
      </c>
      <c r="O271" s="27">
        <v>2</v>
      </c>
      <c r="P271" s="27" t="s">
        <v>117</v>
      </c>
      <c r="Q271" s="27" t="s">
        <v>111</v>
      </c>
      <c r="R271" s="27" t="s">
        <v>111</v>
      </c>
      <c r="S271" s="27" t="s">
        <v>124</v>
      </c>
      <c r="U271" s="18">
        <v>269</v>
      </c>
      <c r="V271" s="18" t="s">
        <v>1076</v>
      </c>
      <c r="W271" s="18">
        <v>27</v>
      </c>
      <c r="X271" s="18" t="s">
        <v>46</v>
      </c>
      <c r="Y271" s="18" t="s">
        <v>657</v>
      </c>
      <c r="Z271" s="18" t="s">
        <v>1077</v>
      </c>
      <c r="AA271" s="18">
        <v>19</v>
      </c>
      <c r="AC271" s="28" t="s">
        <v>2558</v>
      </c>
      <c r="AD271" s="28" t="s">
        <v>2595</v>
      </c>
      <c r="AE271" s="28" t="s">
        <v>2350</v>
      </c>
      <c r="AF271" s="28" t="s">
        <v>2563</v>
      </c>
      <c r="AG271" s="28" t="s">
        <v>2576</v>
      </c>
      <c r="AH271" s="28" t="s">
        <v>12</v>
      </c>
      <c r="AI271" s="28" t="s">
        <v>2302</v>
      </c>
      <c r="AJ271" s="28" t="s">
        <v>2297</v>
      </c>
      <c r="AK271" s="28" t="s">
        <v>37</v>
      </c>
      <c r="AL271" s="28" t="s">
        <v>2298</v>
      </c>
      <c r="AM271" s="114"/>
    </row>
    <row r="272" spans="7:39">
      <c r="G272" s="27">
        <v>2018</v>
      </c>
      <c r="H272" s="27" t="s">
        <v>135</v>
      </c>
      <c r="I272" s="27" t="s">
        <v>58</v>
      </c>
      <c r="J272" s="27" t="s">
        <v>63</v>
      </c>
      <c r="K272" s="27" t="s">
        <v>58</v>
      </c>
      <c r="L272" s="27" t="s">
        <v>427</v>
      </c>
      <c r="M272" s="27" t="s">
        <v>403</v>
      </c>
      <c r="N272" s="27">
        <v>5</v>
      </c>
      <c r="O272" s="27">
        <v>3</v>
      </c>
      <c r="P272" s="27" t="s">
        <v>117</v>
      </c>
      <c r="Q272" s="27" t="s">
        <v>111</v>
      </c>
      <c r="R272" s="27" t="s">
        <v>111</v>
      </c>
      <c r="S272" s="27" t="s">
        <v>160</v>
      </c>
      <c r="U272" s="18">
        <v>270</v>
      </c>
      <c r="V272" s="18" t="s">
        <v>1078</v>
      </c>
      <c r="W272" s="18">
        <v>24</v>
      </c>
      <c r="X272" s="18" t="s">
        <v>46</v>
      </c>
      <c r="Y272" s="18" t="s">
        <v>657</v>
      </c>
      <c r="Z272" s="18" t="s">
        <v>643</v>
      </c>
      <c r="AA272" s="18">
        <v>26</v>
      </c>
      <c r="AC272" s="28" t="s">
        <v>2558</v>
      </c>
      <c r="AD272" s="28" t="s">
        <v>2596</v>
      </c>
      <c r="AE272" s="28" t="s">
        <v>238</v>
      </c>
      <c r="AF272" s="28" t="s">
        <v>2563</v>
      </c>
      <c r="AG272" s="28" t="s">
        <v>2576</v>
      </c>
      <c r="AH272" s="28" t="s">
        <v>40</v>
      </c>
      <c r="AI272" s="28" t="s">
        <v>2297</v>
      </c>
      <c r="AJ272" s="28" t="s">
        <v>2305</v>
      </c>
      <c r="AK272" s="28" t="s">
        <v>24</v>
      </c>
      <c r="AL272" s="28" t="s">
        <v>2298</v>
      </c>
      <c r="AM272" s="114"/>
    </row>
    <row r="273" spans="7:39">
      <c r="G273" s="27">
        <v>2018</v>
      </c>
      <c r="H273" s="27" t="s">
        <v>135</v>
      </c>
      <c r="I273" s="27" t="s">
        <v>58</v>
      </c>
      <c r="J273" s="27" t="s">
        <v>63</v>
      </c>
      <c r="K273" s="27" t="s">
        <v>63</v>
      </c>
      <c r="L273" s="27" t="s">
        <v>409</v>
      </c>
      <c r="M273" s="27" t="s">
        <v>415</v>
      </c>
      <c r="N273" s="27">
        <v>6</v>
      </c>
      <c r="O273" s="27">
        <v>3</v>
      </c>
      <c r="P273" s="27" t="s">
        <v>117</v>
      </c>
      <c r="Q273" s="27" t="s">
        <v>111</v>
      </c>
      <c r="R273" s="27" t="s">
        <v>111</v>
      </c>
      <c r="S273" s="27" t="s">
        <v>112</v>
      </c>
      <c r="U273" s="18">
        <v>271</v>
      </c>
      <c r="V273" s="18" t="s">
        <v>447</v>
      </c>
      <c r="W273" s="18">
        <v>27</v>
      </c>
      <c r="X273" s="18" t="s">
        <v>46</v>
      </c>
      <c r="Y273" s="18" t="s">
        <v>661</v>
      </c>
      <c r="Z273" s="18" t="s">
        <v>813</v>
      </c>
      <c r="AA273" s="18">
        <v>2</v>
      </c>
      <c r="AC273" s="28" t="s">
        <v>2597</v>
      </c>
      <c r="AD273" s="28" t="s">
        <v>2598</v>
      </c>
      <c r="AE273" s="28" t="s">
        <v>2304</v>
      </c>
      <c r="AF273" s="28" t="s">
        <v>2599</v>
      </c>
      <c r="AG273" s="28" t="s">
        <v>2600</v>
      </c>
      <c r="AH273" s="28" t="s">
        <v>24</v>
      </c>
      <c r="AI273" s="28" t="s">
        <v>2302</v>
      </c>
      <c r="AJ273" s="28" t="s">
        <v>2302</v>
      </c>
      <c r="AK273" s="28" t="s">
        <v>37</v>
      </c>
      <c r="AL273" s="28" t="s">
        <v>2298</v>
      </c>
      <c r="AM273" s="114"/>
    </row>
    <row r="274" spans="7:39">
      <c r="G274" s="27">
        <v>2018</v>
      </c>
      <c r="H274" s="27" t="s">
        <v>135</v>
      </c>
      <c r="I274" s="27" t="s">
        <v>58</v>
      </c>
      <c r="J274" s="27" t="s">
        <v>63</v>
      </c>
      <c r="K274" s="27" t="s">
        <v>58</v>
      </c>
      <c r="L274" s="27" t="s">
        <v>423</v>
      </c>
      <c r="M274" s="27" t="s">
        <v>403</v>
      </c>
      <c r="N274" s="27">
        <v>7</v>
      </c>
      <c r="O274" s="27">
        <v>4</v>
      </c>
      <c r="P274" s="27" t="s">
        <v>156</v>
      </c>
      <c r="Q274" s="27" t="s">
        <v>111</v>
      </c>
      <c r="R274" s="27" t="s">
        <v>111</v>
      </c>
      <c r="S274" s="27" t="s">
        <v>112</v>
      </c>
      <c r="U274" s="18">
        <v>272</v>
      </c>
      <c r="V274" s="18" t="s">
        <v>1079</v>
      </c>
      <c r="W274" s="18">
        <v>24</v>
      </c>
      <c r="X274" s="18" t="s">
        <v>46</v>
      </c>
      <c r="Y274" s="18" t="s">
        <v>661</v>
      </c>
      <c r="Z274" s="18" t="s">
        <v>1080</v>
      </c>
      <c r="AA274" s="18">
        <v>13</v>
      </c>
      <c r="AC274" s="28" t="s">
        <v>2597</v>
      </c>
      <c r="AD274" s="28" t="s">
        <v>2601</v>
      </c>
      <c r="AE274" s="28" t="s">
        <v>2293</v>
      </c>
      <c r="AF274" s="28" t="s">
        <v>2602</v>
      </c>
      <c r="AG274" s="28" t="s">
        <v>2603</v>
      </c>
      <c r="AH274" s="28" t="s">
        <v>20</v>
      </c>
      <c r="AI274" s="28" t="s">
        <v>2305</v>
      </c>
      <c r="AJ274" s="28" t="s">
        <v>2297</v>
      </c>
      <c r="AK274" s="28" t="s">
        <v>5</v>
      </c>
      <c r="AL274" s="28" t="s">
        <v>2298</v>
      </c>
      <c r="AM274" s="114"/>
    </row>
    <row r="275" spans="7:39">
      <c r="G275" s="27">
        <v>2018</v>
      </c>
      <c r="H275" s="27" t="s">
        <v>135</v>
      </c>
      <c r="I275" s="27" t="s">
        <v>58</v>
      </c>
      <c r="J275" s="27" t="s">
        <v>63</v>
      </c>
      <c r="K275" s="27" t="s">
        <v>63</v>
      </c>
      <c r="L275" s="27" t="s">
        <v>428</v>
      </c>
      <c r="M275" s="27" t="s">
        <v>415</v>
      </c>
      <c r="N275" s="27">
        <v>8</v>
      </c>
      <c r="O275" s="27">
        <v>4</v>
      </c>
      <c r="P275" s="27" t="s">
        <v>121</v>
      </c>
      <c r="Q275" s="27" t="s">
        <v>111</v>
      </c>
      <c r="R275" s="27" t="s">
        <v>111</v>
      </c>
      <c r="S275" s="27" t="s">
        <v>112</v>
      </c>
      <c r="U275" s="18">
        <v>273</v>
      </c>
      <c r="V275" s="18" t="s">
        <v>497</v>
      </c>
      <c r="W275" s="18">
        <v>29</v>
      </c>
      <c r="X275" s="18" t="s">
        <v>46</v>
      </c>
      <c r="Y275" s="18" t="s">
        <v>664</v>
      </c>
      <c r="Z275" s="18" t="s">
        <v>714</v>
      </c>
      <c r="AA275" s="18">
        <v>4</v>
      </c>
      <c r="AC275" s="28" t="s">
        <v>2597</v>
      </c>
      <c r="AD275" s="28" t="s">
        <v>2604</v>
      </c>
      <c r="AE275" s="28" t="s">
        <v>2304</v>
      </c>
      <c r="AF275" s="28" t="s">
        <v>2605</v>
      </c>
      <c r="AG275" s="28" t="s">
        <v>2606</v>
      </c>
      <c r="AH275" s="28" t="s">
        <v>42</v>
      </c>
      <c r="AI275" s="28" t="s">
        <v>2301</v>
      </c>
      <c r="AJ275" s="28" t="s">
        <v>2297</v>
      </c>
      <c r="AK275" s="28" t="s">
        <v>28</v>
      </c>
      <c r="AL275" s="28" t="s">
        <v>2298</v>
      </c>
      <c r="AM275" s="114"/>
    </row>
    <row r="276" spans="7:39">
      <c r="G276" s="27">
        <v>2018</v>
      </c>
      <c r="H276" s="27" t="s">
        <v>135</v>
      </c>
      <c r="I276" s="27" t="s">
        <v>58</v>
      </c>
      <c r="J276" s="27" t="s">
        <v>63</v>
      </c>
      <c r="K276" s="27" t="s">
        <v>58</v>
      </c>
      <c r="L276" s="27" t="s">
        <v>429</v>
      </c>
      <c r="M276" s="27" t="s">
        <v>403</v>
      </c>
      <c r="N276" s="27">
        <v>9</v>
      </c>
      <c r="O276" s="27">
        <v>5</v>
      </c>
      <c r="P276" s="27" t="s">
        <v>159</v>
      </c>
      <c r="Q276" s="27" t="s">
        <v>111</v>
      </c>
      <c r="R276" s="27" t="s">
        <v>111</v>
      </c>
      <c r="S276" s="27" t="s">
        <v>112</v>
      </c>
      <c r="U276" s="18">
        <v>274</v>
      </c>
      <c r="V276" s="18" t="s">
        <v>1081</v>
      </c>
      <c r="W276" s="18">
        <v>18</v>
      </c>
      <c r="X276" s="18" t="s">
        <v>46</v>
      </c>
      <c r="Y276" s="18" t="s">
        <v>664</v>
      </c>
      <c r="Z276" s="18" t="s">
        <v>1082</v>
      </c>
      <c r="AA276" s="18">
        <v>6</v>
      </c>
      <c r="AC276" s="28" t="s">
        <v>2597</v>
      </c>
      <c r="AD276" s="28" t="s">
        <v>2607</v>
      </c>
      <c r="AE276" s="28" t="s">
        <v>2293</v>
      </c>
      <c r="AF276" s="28" t="s">
        <v>2599</v>
      </c>
      <c r="AG276" s="28" t="s">
        <v>2600</v>
      </c>
      <c r="AH276" s="28" t="s">
        <v>9</v>
      </c>
      <c r="AI276" s="28" t="s">
        <v>2305</v>
      </c>
      <c r="AJ276" s="28" t="s">
        <v>2297</v>
      </c>
      <c r="AK276" s="28" t="s">
        <v>15</v>
      </c>
      <c r="AL276" s="28" t="s">
        <v>2298</v>
      </c>
      <c r="AM276" s="114"/>
    </row>
    <row r="277" spans="7:39">
      <c r="G277" s="27">
        <v>2018</v>
      </c>
      <c r="H277" s="27" t="s">
        <v>135</v>
      </c>
      <c r="I277" s="27" t="s">
        <v>58</v>
      </c>
      <c r="J277" s="27" t="s">
        <v>63</v>
      </c>
      <c r="K277" s="27" t="s">
        <v>63</v>
      </c>
      <c r="L277" s="27" t="s">
        <v>413</v>
      </c>
      <c r="M277" s="27" t="s">
        <v>415</v>
      </c>
      <c r="N277" s="27">
        <v>10</v>
      </c>
      <c r="O277" s="27">
        <v>5</v>
      </c>
      <c r="P277" s="27" t="s">
        <v>128</v>
      </c>
      <c r="Q277" s="27" t="s">
        <v>111</v>
      </c>
      <c r="R277" s="27" t="s">
        <v>131</v>
      </c>
      <c r="S277" s="27" t="s">
        <v>112</v>
      </c>
      <c r="U277" s="18">
        <v>275</v>
      </c>
      <c r="V277" s="18" t="s">
        <v>1083</v>
      </c>
      <c r="W277" s="18">
        <v>26</v>
      </c>
      <c r="X277" s="18" t="s">
        <v>46</v>
      </c>
      <c r="Y277" s="18" t="s">
        <v>669</v>
      </c>
      <c r="Z277" s="18" t="s">
        <v>1084</v>
      </c>
      <c r="AA277" s="18">
        <v>8</v>
      </c>
      <c r="AC277" s="28" t="s">
        <v>2597</v>
      </c>
      <c r="AD277" s="28" t="s">
        <v>2608</v>
      </c>
      <c r="AE277" s="28" t="s">
        <v>2307</v>
      </c>
      <c r="AF277" s="28" t="s">
        <v>2602</v>
      </c>
      <c r="AG277" s="28" t="s">
        <v>2603</v>
      </c>
      <c r="AH277" s="28" t="s">
        <v>17</v>
      </c>
      <c r="AI277" s="28" t="s">
        <v>2297</v>
      </c>
      <c r="AJ277" s="28" t="s">
        <v>2297</v>
      </c>
      <c r="AK277" s="28" t="s">
        <v>12</v>
      </c>
      <c r="AL277" s="28" t="s">
        <v>2298</v>
      </c>
      <c r="AM277" s="114"/>
    </row>
    <row r="278" spans="7:39">
      <c r="G278" s="27">
        <v>2022</v>
      </c>
      <c r="H278" s="27" t="s">
        <v>170</v>
      </c>
      <c r="I278" s="27" t="s">
        <v>62</v>
      </c>
      <c r="J278" s="27" t="s">
        <v>63</v>
      </c>
      <c r="K278" s="27" t="s">
        <v>62</v>
      </c>
      <c r="L278" s="27" t="s">
        <v>430</v>
      </c>
      <c r="M278" s="27" t="s">
        <v>431</v>
      </c>
      <c r="N278" s="27">
        <v>1</v>
      </c>
      <c r="O278" s="27">
        <v>1</v>
      </c>
      <c r="P278" s="27" t="s">
        <v>110</v>
      </c>
      <c r="Q278" s="27" t="s">
        <v>111</v>
      </c>
      <c r="R278" s="27" t="s">
        <v>111</v>
      </c>
      <c r="S278" s="27" t="s">
        <v>124</v>
      </c>
      <c r="U278" s="18">
        <v>276</v>
      </c>
      <c r="V278" s="18" t="s">
        <v>1085</v>
      </c>
      <c r="W278" s="18">
        <v>20</v>
      </c>
      <c r="X278" s="18" t="s">
        <v>46</v>
      </c>
      <c r="Y278" s="18" t="s">
        <v>669</v>
      </c>
      <c r="Z278" s="18" t="s">
        <v>1086</v>
      </c>
      <c r="AA278" s="18">
        <v>15</v>
      </c>
      <c r="AC278" s="28" t="s">
        <v>2597</v>
      </c>
      <c r="AD278" s="28" t="s">
        <v>2608</v>
      </c>
      <c r="AE278" s="28" t="s">
        <v>2307</v>
      </c>
      <c r="AF278" s="28" t="s">
        <v>2609</v>
      </c>
      <c r="AG278" s="28" t="s">
        <v>2600</v>
      </c>
      <c r="AH278" s="28" t="s">
        <v>14</v>
      </c>
      <c r="AI278" s="28" t="s">
        <v>2305</v>
      </c>
      <c r="AJ278" s="28" t="s">
        <v>2297</v>
      </c>
      <c r="AK278" s="28" t="s">
        <v>19</v>
      </c>
      <c r="AL278" s="28" t="s">
        <v>2298</v>
      </c>
      <c r="AM278" s="114"/>
    </row>
    <row r="279" spans="7:39">
      <c r="G279" s="27">
        <v>2022</v>
      </c>
      <c r="H279" s="27" t="s">
        <v>170</v>
      </c>
      <c r="I279" s="27" t="s">
        <v>62</v>
      </c>
      <c r="J279" s="27" t="s">
        <v>63</v>
      </c>
      <c r="K279" s="27" t="s">
        <v>63</v>
      </c>
      <c r="L279" s="27" t="s">
        <v>432</v>
      </c>
      <c r="M279" s="27" t="s">
        <v>433</v>
      </c>
      <c r="N279" s="27">
        <v>2</v>
      </c>
      <c r="O279" s="27">
        <v>1</v>
      </c>
      <c r="P279" s="27" t="s">
        <v>110</v>
      </c>
      <c r="Q279" s="27" t="s">
        <v>111</v>
      </c>
      <c r="R279" s="27" t="s">
        <v>111</v>
      </c>
      <c r="S279" s="27" t="s">
        <v>112</v>
      </c>
      <c r="U279" s="18">
        <v>277</v>
      </c>
      <c r="V279" s="18" t="s">
        <v>1087</v>
      </c>
      <c r="W279" s="18">
        <v>20</v>
      </c>
      <c r="X279" s="18" t="s">
        <v>46</v>
      </c>
      <c r="Y279" s="18" t="s">
        <v>669</v>
      </c>
      <c r="Z279" s="18" t="s">
        <v>1086</v>
      </c>
      <c r="AA279" s="18">
        <v>16</v>
      </c>
      <c r="AC279" s="28" t="s">
        <v>2597</v>
      </c>
      <c r="AD279" s="28" t="s">
        <v>2610</v>
      </c>
      <c r="AE279" s="28" t="s">
        <v>2299</v>
      </c>
      <c r="AF279" s="28" t="s">
        <v>2611</v>
      </c>
      <c r="AG279" s="28" t="s">
        <v>2612</v>
      </c>
      <c r="AH279" s="28" t="s">
        <v>32</v>
      </c>
      <c r="AI279" s="28" t="s">
        <v>2301</v>
      </c>
      <c r="AJ279" s="28" t="s">
        <v>2297</v>
      </c>
      <c r="AK279" s="28" t="s">
        <v>39</v>
      </c>
      <c r="AL279" s="28" t="s">
        <v>2298</v>
      </c>
      <c r="AM279" s="114"/>
    </row>
    <row r="280" spans="7:39">
      <c r="G280" s="27">
        <v>2022</v>
      </c>
      <c r="H280" s="27" t="s">
        <v>170</v>
      </c>
      <c r="I280" s="27" t="s">
        <v>62</v>
      </c>
      <c r="J280" s="27" t="s">
        <v>63</v>
      </c>
      <c r="K280" s="27" t="s">
        <v>62</v>
      </c>
      <c r="L280" s="27" t="s">
        <v>434</v>
      </c>
      <c r="M280" s="27" t="s">
        <v>431</v>
      </c>
      <c r="N280" s="27">
        <v>3</v>
      </c>
      <c r="O280" s="27">
        <v>2</v>
      </c>
      <c r="P280" s="27" t="s">
        <v>115</v>
      </c>
      <c r="Q280" s="27" t="s">
        <v>111</v>
      </c>
      <c r="R280" s="27" t="s">
        <v>111</v>
      </c>
      <c r="S280" s="27" t="s">
        <v>124</v>
      </c>
      <c r="U280" s="18">
        <v>278</v>
      </c>
      <c r="V280" s="18" t="s">
        <v>1088</v>
      </c>
      <c r="W280" s="18">
        <v>24</v>
      </c>
      <c r="X280" s="18" t="s">
        <v>46</v>
      </c>
      <c r="Y280" s="18" t="s">
        <v>669</v>
      </c>
      <c r="Z280" s="18" t="s">
        <v>1089</v>
      </c>
      <c r="AA280" s="18">
        <v>24</v>
      </c>
      <c r="AC280" s="28" t="s">
        <v>2597</v>
      </c>
      <c r="AD280" s="28" t="s">
        <v>2610</v>
      </c>
      <c r="AE280" s="28" t="s">
        <v>2299</v>
      </c>
      <c r="AF280" s="28" t="s">
        <v>2613</v>
      </c>
      <c r="AG280" s="28" t="s">
        <v>2614</v>
      </c>
      <c r="AH280" s="28" t="s">
        <v>40</v>
      </c>
      <c r="AI280" s="28" t="s">
        <v>2301</v>
      </c>
      <c r="AJ280" s="28" t="s">
        <v>2302</v>
      </c>
      <c r="AK280" s="28" t="s">
        <v>3580</v>
      </c>
      <c r="AL280" s="28" t="s">
        <v>2298</v>
      </c>
      <c r="AM280" s="114"/>
    </row>
    <row r="281" spans="7:39">
      <c r="G281" s="27">
        <v>2022</v>
      </c>
      <c r="H281" s="27" t="s">
        <v>170</v>
      </c>
      <c r="I281" s="27" t="s">
        <v>62</v>
      </c>
      <c r="J281" s="27" t="s">
        <v>63</v>
      </c>
      <c r="K281" s="27" t="s">
        <v>63</v>
      </c>
      <c r="L281" s="27" t="s">
        <v>424</v>
      </c>
      <c r="M281" s="27" t="s">
        <v>433</v>
      </c>
      <c r="N281" s="27">
        <v>4</v>
      </c>
      <c r="O281" s="27">
        <v>2</v>
      </c>
      <c r="P281" s="27" t="s">
        <v>115</v>
      </c>
      <c r="Q281" s="27" t="s">
        <v>111</v>
      </c>
      <c r="R281" s="27" t="s">
        <v>111</v>
      </c>
      <c r="S281" s="27" t="s">
        <v>112</v>
      </c>
      <c r="U281" s="18">
        <v>279</v>
      </c>
      <c r="V281" s="18" t="s">
        <v>1090</v>
      </c>
      <c r="W281" s="18">
        <v>21</v>
      </c>
      <c r="X281" s="18" t="s">
        <v>46</v>
      </c>
      <c r="Y281" s="18" t="s">
        <v>675</v>
      </c>
      <c r="Z281" s="18" t="s">
        <v>965</v>
      </c>
      <c r="AA281" s="18">
        <v>7</v>
      </c>
      <c r="AC281" s="28" t="s">
        <v>2597</v>
      </c>
      <c r="AD281" s="28" t="s">
        <v>2615</v>
      </c>
      <c r="AE281" s="28" t="s">
        <v>2293</v>
      </c>
      <c r="AF281" s="28" t="s">
        <v>2602</v>
      </c>
      <c r="AG281" s="28" t="s">
        <v>2603</v>
      </c>
      <c r="AH281" s="28" t="s">
        <v>20</v>
      </c>
      <c r="AI281" s="28" t="s">
        <v>2301</v>
      </c>
      <c r="AJ281" s="28" t="s">
        <v>2297</v>
      </c>
      <c r="AK281" s="28" t="s">
        <v>15</v>
      </c>
      <c r="AL281" s="28" t="s">
        <v>2298</v>
      </c>
      <c r="AM281" s="114"/>
    </row>
    <row r="282" spans="7:39">
      <c r="G282" s="27">
        <v>2022</v>
      </c>
      <c r="H282" s="27" t="s">
        <v>170</v>
      </c>
      <c r="I282" s="27" t="s">
        <v>62</v>
      </c>
      <c r="J282" s="27" t="s">
        <v>63</v>
      </c>
      <c r="K282" s="27" t="s">
        <v>62</v>
      </c>
      <c r="L282" s="27" t="s">
        <v>435</v>
      </c>
      <c r="M282" s="27" t="s">
        <v>431</v>
      </c>
      <c r="N282" s="27">
        <v>5</v>
      </c>
      <c r="O282" s="27">
        <v>3</v>
      </c>
      <c r="P282" s="27" t="s">
        <v>222</v>
      </c>
      <c r="Q282" s="27" t="s">
        <v>111</v>
      </c>
      <c r="R282" s="27" t="s">
        <v>111</v>
      </c>
      <c r="S282" s="27" t="s">
        <v>112</v>
      </c>
      <c r="U282" s="18">
        <v>280</v>
      </c>
      <c r="V282" s="18" t="s">
        <v>1091</v>
      </c>
      <c r="W282" s="18">
        <v>25</v>
      </c>
      <c r="X282" s="18" t="s">
        <v>46</v>
      </c>
      <c r="Y282" s="18" t="s">
        <v>675</v>
      </c>
      <c r="Z282" s="18" t="s">
        <v>643</v>
      </c>
      <c r="AA282" s="18">
        <v>11</v>
      </c>
      <c r="AC282" s="28" t="s">
        <v>2597</v>
      </c>
      <c r="AD282" s="28" t="s">
        <v>2616</v>
      </c>
      <c r="AE282" s="28" t="s">
        <v>2304</v>
      </c>
      <c r="AF282" s="28" t="s">
        <v>2605</v>
      </c>
      <c r="AG282" s="28" t="s">
        <v>2606</v>
      </c>
      <c r="AH282" s="28" t="s">
        <v>37</v>
      </c>
      <c r="AI282" s="28" t="s">
        <v>2297</v>
      </c>
      <c r="AJ282" s="28" t="s">
        <v>2302</v>
      </c>
      <c r="AK282" s="28" t="s">
        <v>42</v>
      </c>
      <c r="AL282" s="28" t="s">
        <v>2298</v>
      </c>
      <c r="AM282" s="114"/>
    </row>
    <row r="283" spans="7:39">
      <c r="G283" s="27">
        <v>2022</v>
      </c>
      <c r="H283" s="27" t="s">
        <v>170</v>
      </c>
      <c r="I283" s="27" t="s">
        <v>62</v>
      </c>
      <c r="J283" s="27" t="s">
        <v>63</v>
      </c>
      <c r="K283" s="27" t="s">
        <v>63</v>
      </c>
      <c r="L283" s="27" t="s">
        <v>436</v>
      </c>
      <c r="M283" s="27" t="s">
        <v>433</v>
      </c>
      <c r="N283" s="27">
        <v>6</v>
      </c>
      <c r="O283" s="27">
        <v>3</v>
      </c>
      <c r="P283" s="27" t="s">
        <v>156</v>
      </c>
      <c r="Q283" s="27" t="s">
        <v>111</v>
      </c>
      <c r="R283" s="27" t="s">
        <v>111</v>
      </c>
      <c r="S283" s="27" t="s">
        <v>160</v>
      </c>
      <c r="U283" s="18">
        <v>281</v>
      </c>
      <c r="V283" s="18" t="s">
        <v>1092</v>
      </c>
      <c r="W283" s="18">
        <v>22</v>
      </c>
      <c r="X283" s="18" t="s">
        <v>46</v>
      </c>
      <c r="Y283" s="18" t="s">
        <v>675</v>
      </c>
      <c r="Z283" s="18" t="s">
        <v>863</v>
      </c>
      <c r="AA283" s="18">
        <v>23</v>
      </c>
      <c r="AC283" s="28" t="s">
        <v>2597</v>
      </c>
      <c r="AD283" s="28" t="s">
        <v>2616</v>
      </c>
      <c r="AE283" s="28" t="s">
        <v>2304</v>
      </c>
      <c r="AF283" s="28" t="s">
        <v>2611</v>
      </c>
      <c r="AG283" s="28" t="s">
        <v>2612</v>
      </c>
      <c r="AH283" s="28" t="s">
        <v>24</v>
      </c>
      <c r="AI283" s="28" t="s">
        <v>2316</v>
      </c>
      <c r="AJ283" s="28" t="s">
        <v>2302</v>
      </c>
      <c r="AK283" s="28" t="s">
        <v>28</v>
      </c>
      <c r="AL283" s="28" t="s">
        <v>2298</v>
      </c>
      <c r="AM283" s="114"/>
    </row>
    <row r="284" spans="7:39">
      <c r="G284" s="27">
        <v>2022</v>
      </c>
      <c r="H284" s="27" t="s">
        <v>170</v>
      </c>
      <c r="I284" s="27" t="s">
        <v>62</v>
      </c>
      <c r="J284" s="27" t="s">
        <v>63</v>
      </c>
      <c r="K284" s="27" t="s">
        <v>62</v>
      </c>
      <c r="L284" s="27" t="s">
        <v>437</v>
      </c>
      <c r="M284" s="27" t="s">
        <v>431</v>
      </c>
      <c r="N284" s="27">
        <v>7</v>
      </c>
      <c r="O284" s="27">
        <v>4</v>
      </c>
      <c r="P284" s="27" t="s">
        <v>156</v>
      </c>
      <c r="Q284" s="27" t="s">
        <v>111</v>
      </c>
      <c r="R284" s="27" t="s">
        <v>111</v>
      </c>
      <c r="S284" s="27" t="s">
        <v>124</v>
      </c>
      <c r="U284" s="18">
        <v>282</v>
      </c>
      <c r="V284" s="18" t="s">
        <v>1093</v>
      </c>
      <c r="W284" s="18">
        <v>26</v>
      </c>
      <c r="X284" s="18" t="s">
        <v>46</v>
      </c>
      <c r="Y284" s="18" t="s">
        <v>679</v>
      </c>
      <c r="Z284" s="18" t="s">
        <v>584</v>
      </c>
      <c r="AA284" s="18">
        <v>10</v>
      </c>
      <c r="AC284" s="28" t="s">
        <v>2597</v>
      </c>
      <c r="AD284" s="28" t="s">
        <v>2617</v>
      </c>
      <c r="AE284" s="28" t="s">
        <v>2293</v>
      </c>
      <c r="AF284" s="28" t="s">
        <v>2599</v>
      </c>
      <c r="AG284" s="28" t="s">
        <v>2600</v>
      </c>
      <c r="AH284" s="28" t="s">
        <v>9</v>
      </c>
      <c r="AI284" s="28" t="s">
        <v>2305</v>
      </c>
      <c r="AJ284" s="28" t="s">
        <v>2297</v>
      </c>
      <c r="AK284" s="28" t="s">
        <v>5</v>
      </c>
      <c r="AL284" s="28" t="s">
        <v>2298</v>
      </c>
      <c r="AM284" s="114"/>
    </row>
    <row r="285" spans="7:39">
      <c r="G285" s="27">
        <v>2022</v>
      </c>
      <c r="H285" s="27" t="s">
        <v>170</v>
      </c>
      <c r="I285" s="27" t="s">
        <v>62</v>
      </c>
      <c r="J285" s="27" t="s">
        <v>63</v>
      </c>
      <c r="K285" s="27" t="s">
        <v>63</v>
      </c>
      <c r="L285" s="27" t="s">
        <v>438</v>
      </c>
      <c r="M285" s="27" t="s">
        <v>433</v>
      </c>
      <c r="N285" s="27">
        <v>8</v>
      </c>
      <c r="O285" s="27">
        <v>4</v>
      </c>
      <c r="P285" s="27" t="s">
        <v>156</v>
      </c>
      <c r="Q285" s="27" t="s">
        <v>111</v>
      </c>
      <c r="R285" s="27" t="s">
        <v>131</v>
      </c>
      <c r="S285" s="27" t="s">
        <v>112</v>
      </c>
      <c r="U285" s="18">
        <v>283</v>
      </c>
      <c r="V285" s="18" t="s">
        <v>1094</v>
      </c>
      <c r="W285" s="18">
        <v>25</v>
      </c>
      <c r="X285" s="18" t="s">
        <v>46</v>
      </c>
      <c r="Y285" s="18" t="s">
        <v>679</v>
      </c>
      <c r="Z285" s="18" t="s">
        <v>1037</v>
      </c>
      <c r="AA285" s="18">
        <v>17</v>
      </c>
      <c r="AC285" s="28" t="s">
        <v>2597</v>
      </c>
      <c r="AD285" s="28" t="s">
        <v>2618</v>
      </c>
      <c r="AE285" s="28" t="s">
        <v>2307</v>
      </c>
      <c r="AF285" s="28" t="s">
        <v>2602</v>
      </c>
      <c r="AG285" s="28" t="s">
        <v>2603</v>
      </c>
      <c r="AH285" s="28" t="s">
        <v>12</v>
      </c>
      <c r="AI285" s="28" t="s">
        <v>2302</v>
      </c>
      <c r="AJ285" s="28" t="s">
        <v>2302</v>
      </c>
      <c r="AK285" s="28" t="s">
        <v>19</v>
      </c>
      <c r="AL285" s="28" t="s">
        <v>2298</v>
      </c>
      <c r="AM285" s="114"/>
    </row>
    <row r="286" spans="7:39">
      <c r="G286" s="27">
        <v>2022</v>
      </c>
      <c r="H286" s="27" t="s">
        <v>170</v>
      </c>
      <c r="I286" s="27" t="s">
        <v>46</v>
      </c>
      <c r="J286" s="27" t="s">
        <v>19</v>
      </c>
      <c r="K286" s="27" t="s">
        <v>46</v>
      </c>
      <c r="L286" s="27" t="s">
        <v>439</v>
      </c>
      <c r="M286" s="27" t="s">
        <v>440</v>
      </c>
      <c r="N286" s="27">
        <v>1</v>
      </c>
      <c r="O286" s="27">
        <v>1</v>
      </c>
      <c r="P286" s="27" t="s">
        <v>110</v>
      </c>
      <c r="Q286" s="27" t="s">
        <v>111</v>
      </c>
      <c r="R286" s="27" t="s">
        <v>111</v>
      </c>
      <c r="S286" s="27" t="s">
        <v>112</v>
      </c>
      <c r="U286" s="18">
        <v>284</v>
      </c>
      <c r="V286" s="18" t="s">
        <v>1095</v>
      </c>
      <c r="W286" s="18">
        <v>21</v>
      </c>
      <c r="X286" s="18" t="s">
        <v>46</v>
      </c>
      <c r="Y286" s="18" t="s">
        <v>681</v>
      </c>
      <c r="Z286" s="18" t="s">
        <v>953</v>
      </c>
      <c r="AA286" s="18">
        <v>21</v>
      </c>
      <c r="AC286" s="28" t="s">
        <v>2597</v>
      </c>
      <c r="AD286" s="28" t="s">
        <v>2618</v>
      </c>
      <c r="AE286" s="28" t="s">
        <v>2307</v>
      </c>
      <c r="AF286" s="28" t="s">
        <v>2609</v>
      </c>
      <c r="AG286" s="28" t="s">
        <v>2600</v>
      </c>
      <c r="AH286" s="28" t="s">
        <v>14</v>
      </c>
      <c r="AI286" s="28" t="s">
        <v>2297</v>
      </c>
      <c r="AJ286" s="28" t="s">
        <v>2302</v>
      </c>
      <c r="AK286" s="28" t="s">
        <v>17</v>
      </c>
      <c r="AL286" s="28" t="s">
        <v>2298</v>
      </c>
      <c r="AM286" s="114"/>
    </row>
    <row r="287" spans="7:39">
      <c r="G287" s="27">
        <v>2022</v>
      </c>
      <c r="H287" s="27" t="s">
        <v>170</v>
      </c>
      <c r="I287" s="27" t="s">
        <v>46</v>
      </c>
      <c r="J287" s="27" t="s">
        <v>19</v>
      </c>
      <c r="K287" s="27" t="s">
        <v>19</v>
      </c>
      <c r="L287" s="27" t="s">
        <v>441</v>
      </c>
      <c r="M287" s="27" t="s">
        <v>442</v>
      </c>
      <c r="N287" s="27">
        <v>2</v>
      </c>
      <c r="O287" s="27">
        <v>1</v>
      </c>
      <c r="P287" s="27" t="s">
        <v>140</v>
      </c>
      <c r="Q287" s="27" t="s">
        <v>111</v>
      </c>
      <c r="R287" s="27" t="s">
        <v>111</v>
      </c>
      <c r="S287" s="27" t="s">
        <v>160</v>
      </c>
      <c r="U287" s="18">
        <v>285</v>
      </c>
      <c r="V287" s="18" t="s">
        <v>1096</v>
      </c>
      <c r="W287" s="18">
        <v>30</v>
      </c>
      <c r="X287" s="18" t="s">
        <v>46</v>
      </c>
      <c r="Y287" s="18" t="s">
        <v>683</v>
      </c>
      <c r="Z287" s="18" t="s">
        <v>1097</v>
      </c>
      <c r="AA287" s="18">
        <v>9</v>
      </c>
      <c r="AC287" s="28" t="s">
        <v>2597</v>
      </c>
      <c r="AD287" s="28" t="s">
        <v>2619</v>
      </c>
      <c r="AE287" s="28" t="s">
        <v>2299</v>
      </c>
      <c r="AF287" s="28" t="s">
        <v>2611</v>
      </c>
      <c r="AG287" s="28" t="s">
        <v>2612</v>
      </c>
      <c r="AH287" s="28" t="s">
        <v>39</v>
      </c>
      <c r="AI287" s="28" t="s">
        <v>2297</v>
      </c>
      <c r="AJ287" s="28" t="s">
        <v>2297</v>
      </c>
      <c r="AK287" s="28" t="s">
        <v>3580</v>
      </c>
      <c r="AL287" s="28" t="s">
        <v>2298</v>
      </c>
      <c r="AM287" s="114"/>
    </row>
    <row r="288" spans="7:39">
      <c r="G288" s="27">
        <v>2022</v>
      </c>
      <c r="H288" s="27" t="s">
        <v>170</v>
      </c>
      <c r="I288" s="27" t="s">
        <v>46</v>
      </c>
      <c r="J288" s="27" t="s">
        <v>19</v>
      </c>
      <c r="K288" s="27" t="s">
        <v>46</v>
      </c>
      <c r="L288" s="27" t="s">
        <v>443</v>
      </c>
      <c r="M288" s="27" t="s">
        <v>440</v>
      </c>
      <c r="N288" s="27">
        <v>3</v>
      </c>
      <c r="O288" s="27">
        <v>2</v>
      </c>
      <c r="P288" s="27" t="s">
        <v>140</v>
      </c>
      <c r="Q288" s="27" t="s">
        <v>111</v>
      </c>
      <c r="R288" s="27" t="s">
        <v>111</v>
      </c>
      <c r="S288" s="27" t="s">
        <v>112</v>
      </c>
      <c r="U288" s="18">
        <v>286</v>
      </c>
      <c r="V288" s="18" t="s">
        <v>1098</v>
      </c>
      <c r="W288" s="18">
        <v>32</v>
      </c>
      <c r="X288" s="18" t="s">
        <v>46</v>
      </c>
      <c r="Y288" s="18" t="s">
        <v>683</v>
      </c>
      <c r="Z288" s="18" t="s">
        <v>1099</v>
      </c>
      <c r="AA288" s="18">
        <v>20</v>
      </c>
      <c r="AC288" s="28" t="s">
        <v>2597</v>
      </c>
      <c r="AD288" s="28" t="s">
        <v>2619</v>
      </c>
      <c r="AE288" s="28" t="s">
        <v>2299</v>
      </c>
      <c r="AF288" s="28" t="s">
        <v>2613</v>
      </c>
      <c r="AG288" s="28" t="s">
        <v>2614</v>
      </c>
      <c r="AH288" s="28" t="s">
        <v>40</v>
      </c>
      <c r="AI288" s="28" t="s">
        <v>2302</v>
      </c>
      <c r="AJ288" s="28" t="s">
        <v>2302</v>
      </c>
      <c r="AK288" s="28" t="s">
        <v>32</v>
      </c>
      <c r="AL288" s="28" t="s">
        <v>2298</v>
      </c>
      <c r="AM288" s="114"/>
    </row>
    <row r="289" spans="7:39">
      <c r="G289" s="27">
        <v>2022</v>
      </c>
      <c r="H289" s="27" t="s">
        <v>170</v>
      </c>
      <c r="I289" s="27" t="s">
        <v>46</v>
      </c>
      <c r="J289" s="27" t="s">
        <v>19</v>
      </c>
      <c r="K289" s="27" t="s">
        <v>19</v>
      </c>
      <c r="L289" s="27" t="s">
        <v>444</v>
      </c>
      <c r="M289" s="27" t="s">
        <v>442</v>
      </c>
      <c r="N289" s="27">
        <v>4</v>
      </c>
      <c r="O289" s="27">
        <v>2</v>
      </c>
      <c r="P289" s="27" t="s">
        <v>190</v>
      </c>
      <c r="Q289" s="27" t="s">
        <v>111</v>
      </c>
      <c r="R289" s="27" t="s">
        <v>111</v>
      </c>
      <c r="S289" s="27" t="s">
        <v>124</v>
      </c>
      <c r="U289" s="18">
        <v>287</v>
      </c>
      <c r="V289" s="18" t="s">
        <v>1100</v>
      </c>
      <c r="W289" s="18">
        <v>30</v>
      </c>
      <c r="X289" s="18" t="s">
        <v>39</v>
      </c>
      <c r="Y289" s="18" t="s">
        <v>642</v>
      </c>
      <c r="Z289" s="18" t="s">
        <v>977</v>
      </c>
      <c r="AA289" s="18">
        <v>1</v>
      </c>
      <c r="AC289" s="28" t="s">
        <v>2597</v>
      </c>
      <c r="AD289" s="28" t="s">
        <v>2620</v>
      </c>
      <c r="AE289" s="28" t="s">
        <v>2293</v>
      </c>
      <c r="AF289" s="28" t="s">
        <v>2602</v>
      </c>
      <c r="AG289" s="28" t="s">
        <v>2603</v>
      </c>
      <c r="AH289" s="28" t="s">
        <v>5</v>
      </c>
      <c r="AI289" s="28" t="s">
        <v>2301</v>
      </c>
      <c r="AJ289" s="28" t="s">
        <v>2297</v>
      </c>
      <c r="AK289" s="28" t="s">
        <v>15</v>
      </c>
      <c r="AL289" s="28" t="s">
        <v>2298</v>
      </c>
      <c r="AM289" s="114"/>
    </row>
    <row r="290" spans="7:39">
      <c r="G290" s="27">
        <v>2022</v>
      </c>
      <c r="H290" s="27" t="s">
        <v>170</v>
      </c>
      <c r="I290" s="27" t="s">
        <v>46</v>
      </c>
      <c r="J290" s="27" t="s">
        <v>19</v>
      </c>
      <c r="K290" s="27" t="s">
        <v>46</v>
      </c>
      <c r="L290" s="27" t="s">
        <v>445</v>
      </c>
      <c r="M290" s="27" t="s">
        <v>440</v>
      </c>
      <c r="N290" s="27">
        <v>5</v>
      </c>
      <c r="O290" s="27">
        <v>3</v>
      </c>
      <c r="P290" s="27" t="s">
        <v>190</v>
      </c>
      <c r="Q290" s="27" t="s">
        <v>111</v>
      </c>
      <c r="R290" s="27" t="s">
        <v>111</v>
      </c>
      <c r="S290" s="27" t="s">
        <v>124</v>
      </c>
      <c r="U290" s="18">
        <v>288</v>
      </c>
      <c r="V290" s="18" t="s">
        <v>1101</v>
      </c>
      <c r="W290" s="18">
        <v>30</v>
      </c>
      <c r="X290" s="18" t="s">
        <v>39</v>
      </c>
      <c r="Y290" s="18" t="s">
        <v>642</v>
      </c>
      <c r="Z290" s="18" t="s">
        <v>880</v>
      </c>
      <c r="AA290" s="18">
        <v>12</v>
      </c>
      <c r="AC290" s="28" t="s">
        <v>2597</v>
      </c>
      <c r="AD290" s="28" t="s">
        <v>2621</v>
      </c>
      <c r="AE290" s="28" t="s">
        <v>2304</v>
      </c>
      <c r="AF290" s="28" t="s">
        <v>2605</v>
      </c>
      <c r="AG290" s="28" t="s">
        <v>2606</v>
      </c>
      <c r="AH290" s="28" t="s">
        <v>37</v>
      </c>
      <c r="AI290" s="28" t="s">
        <v>2301</v>
      </c>
      <c r="AJ290" s="28" t="s">
        <v>2297</v>
      </c>
      <c r="AK290" s="28" t="s">
        <v>28</v>
      </c>
      <c r="AL290" s="28" t="s">
        <v>2298</v>
      </c>
      <c r="AM290" s="114"/>
    </row>
    <row r="291" spans="7:39">
      <c r="G291" s="27">
        <v>2022</v>
      </c>
      <c r="H291" s="27" t="s">
        <v>170</v>
      </c>
      <c r="I291" s="27" t="s">
        <v>46</v>
      </c>
      <c r="J291" s="27" t="s">
        <v>19</v>
      </c>
      <c r="K291" s="27" t="s">
        <v>19</v>
      </c>
      <c r="L291" s="27" t="s">
        <v>446</v>
      </c>
      <c r="M291" s="27" t="s">
        <v>442</v>
      </c>
      <c r="N291" s="27">
        <v>6</v>
      </c>
      <c r="O291" s="27">
        <v>3</v>
      </c>
      <c r="P291" s="27" t="s">
        <v>190</v>
      </c>
      <c r="Q291" s="27" t="s">
        <v>111</v>
      </c>
      <c r="R291" s="27" t="s">
        <v>111</v>
      </c>
      <c r="S291" s="27" t="s">
        <v>124</v>
      </c>
      <c r="U291" s="18">
        <v>289</v>
      </c>
      <c r="V291" s="18" t="s">
        <v>1102</v>
      </c>
      <c r="W291" s="18">
        <v>43</v>
      </c>
      <c r="X291" s="18" t="s">
        <v>39</v>
      </c>
      <c r="Y291" s="18" t="s">
        <v>642</v>
      </c>
      <c r="Z291" s="18" t="s">
        <v>1103</v>
      </c>
      <c r="AA291" s="18">
        <v>21</v>
      </c>
      <c r="AC291" s="28" t="s">
        <v>2597</v>
      </c>
      <c r="AD291" s="28" t="s">
        <v>2621</v>
      </c>
      <c r="AE291" s="28" t="s">
        <v>2304</v>
      </c>
      <c r="AF291" s="28" t="s">
        <v>2611</v>
      </c>
      <c r="AG291" s="28" t="s">
        <v>2612</v>
      </c>
      <c r="AH291" s="28" t="s">
        <v>24</v>
      </c>
      <c r="AI291" s="28" t="s">
        <v>2302</v>
      </c>
      <c r="AJ291" s="28" t="s">
        <v>2302</v>
      </c>
      <c r="AK291" s="28" t="s">
        <v>42</v>
      </c>
      <c r="AL291" s="28" t="s">
        <v>2298</v>
      </c>
      <c r="AM291" s="114"/>
    </row>
    <row r="292" spans="7:39">
      <c r="G292" s="27">
        <v>2022</v>
      </c>
      <c r="H292" s="27" t="s">
        <v>170</v>
      </c>
      <c r="I292" s="27" t="s">
        <v>46</v>
      </c>
      <c r="J292" s="27" t="s">
        <v>19</v>
      </c>
      <c r="K292" s="27" t="s">
        <v>46</v>
      </c>
      <c r="L292" s="27" t="s">
        <v>447</v>
      </c>
      <c r="M292" s="27" t="s">
        <v>440</v>
      </c>
      <c r="N292" s="27">
        <v>7</v>
      </c>
      <c r="O292" s="27">
        <v>4</v>
      </c>
      <c r="P292" s="27" t="s">
        <v>190</v>
      </c>
      <c r="Q292" s="27" t="s">
        <v>111</v>
      </c>
      <c r="R292" s="27" t="s">
        <v>131</v>
      </c>
      <c r="S292" s="27" t="s">
        <v>112</v>
      </c>
      <c r="U292" s="18">
        <v>290</v>
      </c>
      <c r="V292" s="18" t="s">
        <v>1104</v>
      </c>
      <c r="W292" s="18">
        <v>34</v>
      </c>
      <c r="X292" s="18" t="s">
        <v>39</v>
      </c>
      <c r="Y292" s="18" t="s">
        <v>649</v>
      </c>
      <c r="Z292" s="18" t="s">
        <v>1105</v>
      </c>
      <c r="AA292" s="18">
        <v>5</v>
      </c>
      <c r="AC292" s="28" t="s">
        <v>2597</v>
      </c>
      <c r="AD292" s="28" t="s">
        <v>2622</v>
      </c>
      <c r="AE292" s="28" t="s">
        <v>2293</v>
      </c>
      <c r="AF292" s="28" t="s">
        <v>2599</v>
      </c>
      <c r="AG292" s="28" t="s">
        <v>2600</v>
      </c>
      <c r="AH292" s="28" t="s">
        <v>20</v>
      </c>
      <c r="AI292" s="28" t="s">
        <v>2297</v>
      </c>
      <c r="AJ292" s="28" t="s">
        <v>2302</v>
      </c>
      <c r="AK292" s="28" t="s">
        <v>9</v>
      </c>
      <c r="AL292" s="28" t="s">
        <v>2298</v>
      </c>
      <c r="AM292" s="114"/>
    </row>
    <row r="293" spans="7:39">
      <c r="G293" s="27">
        <v>2022</v>
      </c>
      <c r="H293" s="27" t="s">
        <v>135</v>
      </c>
      <c r="I293" s="27" t="s">
        <v>63</v>
      </c>
      <c r="J293" s="27" t="s">
        <v>12</v>
      </c>
      <c r="K293" s="27" t="s">
        <v>63</v>
      </c>
      <c r="L293" s="27" t="s">
        <v>432</v>
      </c>
      <c r="M293" s="27" t="s">
        <v>448</v>
      </c>
      <c r="N293" s="27">
        <v>1</v>
      </c>
      <c r="O293" s="27">
        <v>1</v>
      </c>
      <c r="P293" s="27" t="s">
        <v>110</v>
      </c>
      <c r="Q293" s="27" t="s">
        <v>111</v>
      </c>
      <c r="R293" s="27" t="s">
        <v>111</v>
      </c>
      <c r="S293" s="27" t="s">
        <v>112</v>
      </c>
      <c r="U293" s="18">
        <v>291</v>
      </c>
      <c r="V293" s="18" t="s">
        <v>1106</v>
      </c>
      <c r="W293" s="18">
        <v>29</v>
      </c>
      <c r="X293" s="18" t="s">
        <v>39</v>
      </c>
      <c r="Y293" s="18" t="s">
        <v>649</v>
      </c>
      <c r="Z293" s="18" t="s">
        <v>815</v>
      </c>
      <c r="AA293" s="18">
        <v>6</v>
      </c>
      <c r="AC293" s="28" t="s">
        <v>2597</v>
      </c>
      <c r="AD293" s="28" t="s">
        <v>2623</v>
      </c>
      <c r="AE293" s="28" t="s">
        <v>2307</v>
      </c>
      <c r="AF293" s="28" t="s">
        <v>2602</v>
      </c>
      <c r="AG293" s="28" t="s">
        <v>2603</v>
      </c>
      <c r="AH293" s="28" t="s">
        <v>12</v>
      </c>
      <c r="AI293" s="28" t="s">
        <v>2297</v>
      </c>
      <c r="AJ293" s="28" t="s">
        <v>2302</v>
      </c>
      <c r="AK293" s="28" t="s">
        <v>14</v>
      </c>
      <c r="AL293" s="28" t="s">
        <v>2298</v>
      </c>
      <c r="AM293" s="114"/>
    </row>
    <row r="294" spans="7:39">
      <c r="G294" s="27">
        <v>2022</v>
      </c>
      <c r="H294" s="27" t="s">
        <v>135</v>
      </c>
      <c r="I294" s="27" t="s">
        <v>63</v>
      </c>
      <c r="J294" s="27" t="s">
        <v>12</v>
      </c>
      <c r="K294" s="27" t="s">
        <v>12</v>
      </c>
      <c r="L294" s="27" t="s">
        <v>449</v>
      </c>
      <c r="M294" s="27" t="s">
        <v>431</v>
      </c>
      <c r="N294" s="27">
        <v>2</v>
      </c>
      <c r="O294" s="27">
        <v>1</v>
      </c>
      <c r="P294" s="27" t="s">
        <v>140</v>
      </c>
      <c r="Q294" s="27" t="s">
        <v>111</v>
      </c>
      <c r="R294" s="27" t="s">
        <v>111</v>
      </c>
      <c r="S294" s="27" t="s">
        <v>124</v>
      </c>
      <c r="U294" s="18">
        <v>292</v>
      </c>
      <c r="V294" s="18" t="s">
        <v>1107</v>
      </c>
      <c r="W294" s="18">
        <v>31</v>
      </c>
      <c r="X294" s="18" t="s">
        <v>39</v>
      </c>
      <c r="Y294" s="18" t="s">
        <v>649</v>
      </c>
      <c r="Z294" s="18" t="s">
        <v>1108</v>
      </c>
      <c r="AA294" s="18">
        <v>13</v>
      </c>
      <c r="AC294" s="28" t="s">
        <v>2597</v>
      </c>
      <c r="AD294" s="28" t="s">
        <v>2623</v>
      </c>
      <c r="AE294" s="28" t="s">
        <v>2307</v>
      </c>
      <c r="AF294" s="28" t="s">
        <v>2609</v>
      </c>
      <c r="AG294" s="28" t="s">
        <v>2600</v>
      </c>
      <c r="AH294" s="28" t="s">
        <v>19</v>
      </c>
      <c r="AI294" s="28" t="s">
        <v>2297</v>
      </c>
      <c r="AJ294" s="28" t="s">
        <v>2302</v>
      </c>
      <c r="AK294" s="28" t="s">
        <v>17</v>
      </c>
      <c r="AL294" s="28" t="s">
        <v>2298</v>
      </c>
      <c r="AM294" s="114"/>
    </row>
    <row r="295" spans="7:39">
      <c r="G295" s="27">
        <v>2022</v>
      </c>
      <c r="H295" s="27" t="s">
        <v>135</v>
      </c>
      <c r="I295" s="27" t="s">
        <v>63</v>
      </c>
      <c r="J295" s="27" t="s">
        <v>12</v>
      </c>
      <c r="K295" s="27" t="s">
        <v>63</v>
      </c>
      <c r="L295" s="27" t="s">
        <v>450</v>
      </c>
      <c r="M295" s="27" t="s">
        <v>448</v>
      </c>
      <c r="N295" s="27">
        <v>3</v>
      </c>
      <c r="O295" s="27">
        <v>2</v>
      </c>
      <c r="P295" s="27" t="s">
        <v>140</v>
      </c>
      <c r="Q295" s="27" t="s">
        <v>111</v>
      </c>
      <c r="R295" s="27" t="s">
        <v>111</v>
      </c>
      <c r="S295" s="27" t="s">
        <v>112</v>
      </c>
      <c r="U295" s="18">
        <v>293</v>
      </c>
      <c r="V295" s="18" t="s">
        <v>1109</v>
      </c>
      <c r="W295" s="18">
        <v>29</v>
      </c>
      <c r="X295" s="18" t="s">
        <v>39</v>
      </c>
      <c r="Y295" s="18" t="s">
        <v>649</v>
      </c>
      <c r="Z295" s="18" t="s">
        <v>880</v>
      </c>
      <c r="AA295" s="18">
        <v>15</v>
      </c>
      <c r="AC295" s="28" t="s">
        <v>2597</v>
      </c>
      <c r="AD295" s="28" t="s">
        <v>2624</v>
      </c>
      <c r="AE295" s="28" t="s">
        <v>2299</v>
      </c>
      <c r="AF295" s="28" t="s">
        <v>2611</v>
      </c>
      <c r="AG295" s="28" t="s">
        <v>2612</v>
      </c>
      <c r="AH295" s="28" t="s">
        <v>32</v>
      </c>
      <c r="AI295" s="28" t="s">
        <v>2296</v>
      </c>
      <c r="AJ295" s="28" t="s">
        <v>2297</v>
      </c>
      <c r="AK295" s="28" t="s">
        <v>71</v>
      </c>
      <c r="AL295" s="28" t="s">
        <v>2298</v>
      </c>
      <c r="AM295" s="114"/>
    </row>
    <row r="296" spans="7:39">
      <c r="G296" s="27">
        <v>2022</v>
      </c>
      <c r="H296" s="27" t="s">
        <v>135</v>
      </c>
      <c r="I296" s="27" t="s">
        <v>63</v>
      </c>
      <c r="J296" s="27" t="s">
        <v>12</v>
      </c>
      <c r="K296" s="27" t="s">
        <v>12</v>
      </c>
      <c r="L296" s="27" t="s">
        <v>451</v>
      </c>
      <c r="M296" s="27" t="s">
        <v>431</v>
      </c>
      <c r="N296" s="27">
        <v>4</v>
      </c>
      <c r="O296" s="27">
        <v>2</v>
      </c>
      <c r="P296" s="27" t="s">
        <v>190</v>
      </c>
      <c r="Q296" s="27" t="s">
        <v>111</v>
      </c>
      <c r="R296" s="27" t="s">
        <v>111</v>
      </c>
      <c r="S296" s="27" t="s">
        <v>112</v>
      </c>
      <c r="U296" s="18">
        <v>294</v>
      </c>
      <c r="V296" s="18" t="s">
        <v>1110</v>
      </c>
      <c r="W296" s="18">
        <v>30</v>
      </c>
      <c r="X296" s="18" t="s">
        <v>39</v>
      </c>
      <c r="Y296" s="18" t="s">
        <v>649</v>
      </c>
      <c r="Z296" s="18" t="s">
        <v>1111</v>
      </c>
      <c r="AA296" s="18">
        <v>16</v>
      </c>
      <c r="AC296" s="28" t="s">
        <v>2597</v>
      </c>
      <c r="AD296" s="28" t="s">
        <v>2624</v>
      </c>
      <c r="AE296" s="28" t="s">
        <v>2299</v>
      </c>
      <c r="AF296" s="28" t="s">
        <v>2613</v>
      </c>
      <c r="AG296" s="28" t="s">
        <v>2614</v>
      </c>
      <c r="AH296" s="28" t="s">
        <v>39</v>
      </c>
      <c r="AI296" s="28" t="s">
        <v>2301</v>
      </c>
      <c r="AJ296" s="28" t="s">
        <v>2305</v>
      </c>
      <c r="AK296" s="28" t="s">
        <v>40</v>
      </c>
      <c r="AL296" s="28" t="s">
        <v>2298</v>
      </c>
      <c r="AM296" s="114"/>
    </row>
    <row r="297" spans="7:39">
      <c r="G297" s="27">
        <v>2022</v>
      </c>
      <c r="H297" s="27" t="s">
        <v>135</v>
      </c>
      <c r="I297" s="27" t="s">
        <v>63</v>
      </c>
      <c r="J297" s="27" t="s">
        <v>12</v>
      </c>
      <c r="K297" s="27" t="s">
        <v>63</v>
      </c>
      <c r="L297" s="27" t="s">
        <v>409</v>
      </c>
      <c r="M297" s="27" t="s">
        <v>448</v>
      </c>
      <c r="N297" s="27">
        <v>5</v>
      </c>
      <c r="O297" s="27">
        <v>3</v>
      </c>
      <c r="P297" s="27" t="s">
        <v>119</v>
      </c>
      <c r="Q297" s="27" t="s">
        <v>111</v>
      </c>
      <c r="R297" s="27" t="s">
        <v>111</v>
      </c>
      <c r="S297" s="27" t="s">
        <v>112</v>
      </c>
      <c r="U297" s="18">
        <v>295</v>
      </c>
      <c r="V297" s="18" t="s">
        <v>1112</v>
      </c>
      <c r="W297" s="18">
        <v>29</v>
      </c>
      <c r="X297" s="18" t="s">
        <v>39</v>
      </c>
      <c r="Y297" s="18" t="s">
        <v>649</v>
      </c>
      <c r="Z297" s="18" t="s">
        <v>1113</v>
      </c>
      <c r="AA297" s="18">
        <v>26</v>
      </c>
      <c r="AC297" s="28" t="s">
        <v>2597</v>
      </c>
      <c r="AD297" s="28" t="s">
        <v>2625</v>
      </c>
      <c r="AE297" s="28" t="s">
        <v>2590</v>
      </c>
      <c r="AF297" s="28" t="s">
        <v>2599</v>
      </c>
      <c r="AG297" s="28" t="s">
        <v>2600</v>
      </c>
      <c r="AH297" s="28" t="s">
        <v>24</v>
      </c>
      <c r="AI297" s="28" t="s">
        <v>2302</v>
      </c>
      <c r="AJ297" s="28" t="s">
        <v>2302</v>
      </c>
      <c r="AK297" s="28" t="s">
        <v>20</v>
      </c>
      <c r="AL297" s="28" t="s">
        <v>2298</v>
      </c>
      <c r="AM297" s="114"/>
    </row>
    <row r="298" spans="7:39">
      <c r="G298" s="27">
        <v>2022</v>
      </c>
      <c r="H298" s="27" t="s">
        <v>135</v>
      </c>
      <c r="I298" s="27" t="s">
        <v>63</v>
      </c>
      <c r="J298" s="27" t="s">
        <v>12</v>
      </c>
      <c r="K298" s="27" t="s">
        <v>12</v>
      </c>
      <c r="L298" s="27" t="s">
        <v>452</v>
      </c>
      <c r="M298" s="27" t="s">
        <v>431</v>
      </c>
      <c r="N298" s="27">
        <v>6</v>
      </c>
      <c r="O298" s="27">
        <v>3</v>
      </c>
      <c r="P298" s="27" t="s">
        <v>145</v>
      </c>
      <c r="Q298" s="27" t="s">
        <v>111</v>
      </c>
      <c r="R298" s="27" t="s">
        <v>111</v>
      </c>
      <c r="S298" s="27" t="s">
        <v>112</v>
      </c>
      <c r="U298" s="18">
        <v>296</v>
      </c>
      <c r="V298" s="18" t="s">
        <v>1114</v>
      </c>
      <c r="W298" s="18">
        <v>32</v>
      </c>
      <c r="X298" s="18" t="s">
        <v>39</v>
      </c>
      <c r="Y298" s="18" t="s">
        <v>657</v>
      </c>
      <c r="Z298" s="18" t="s">
        <v>981</v>
      </c>
      <c r="AA298" s="18">
        <v>3</v>
      </c>
      <c r="AC298" s="28" t="s">
        <v>2597</v>
      </c>
      <c r="AD298" s="28" t="s">
        <v>2625</v>
      </c>
      <c r="AE298" s="28" t="s">
        <v>2590</v>
      </c>
      <c r="AF298" s="28" t="s">
        <v>2611</v>
      </c>
      <c r="AG298" s="28" t="s">
        <v>2612</v>
      </c>
      <c r="AH298" s="28" t="s">
        <v>40</v>
      </c>
      <c r="AI298" s="28" t="s">
        <v>2338</v>
      </c>
      <c r="AJ298" s="28" t="s">
        <v>2297</v>
      </c>
      <c r="AK298" s="28" t="s">
        <v>14</v>
      </c>
      <c r="AL298" s="28" t="s">
        <v>2298</v>
      </c>
      <c r="AM298" s="114"/>
    </row>
    <row r="299" spans="7:39">
      <c r="G299" s="27">
        <v>2022</v>
      </c>
      <c r="H299" s="27" t="s">
        <v>135</v>
      </c>
      <c r="I299" s="27" t="s">
        <v>63</v>
      </c>
      <c r="J299" s="27" t="s">
        <v>12</v>
      </c>
      <c r="K299" s="27" t="s">
        <v>63</v>
      </c>
      <c r="L299" s="27" t="s">
        <v>453</v>
      </c>
      <c r="M299" s="27" t="s">
        <v>448</v>
      </c>
      <c r="N299" s="27">
        <v>7</v>
      </c>
      <c r="O299" s="27">
        <v>4</v>
      </c>
      <c r="P299" s="27" t="s">
        <v>123</v>
      </c>
      <c r="Q299" s="27" t="s">
        <v>111</v>
      </c>
      <c r="R299" s="27" t="s">
        <v>111</v>
      </c>
      <c r="S299" s="27" t="s">
        <v>112</v>
      </c>
      <c r="U299" s="18">
        <v>297</v>
      </c>
      <c r="V299" s="18" t="s">
        <v>1115</v>
      </c>
      <c r="W299" s="18">
        <v>24</v>
      </c>
      <c r="X299" s="18" t="s">
        <v>39</v>
      </c>
      <c r="Y299" s="18" t="s">
        <v>661</v>
      </c>
      <c r="Z299" s="18" t="s">
        <v>1016</v>
      </c>
      <c r="AA299" s="18">
        <v>2</v>
      </c>
      <c r="AC299" s="28" t="s">
        <v>2597</v>
      </c>
      <c r="AD299" s="28" t="s">
        <v>2626</v>
      </c>
      <c r="AE299" s="28" t="s">
        <v>2588</v>
      </c>
      <c r="AF299" s="28" t="s">
        <v>2613</v>
      </c>
      <c r="AG299" s="28" t="s">
        <v>2614</v>
      </c>
      <c r="AH299" s="28" t="s">
        <v>12</v>
      </c>
      <c r="AI299" s="28" t="s">
        <v>2301</v>
      </c>
      <c r="AJ299" s="28" t="s">
        <v>2302</v>
      </c>
      <c r="AK299" s="28" t="s">
        <v>32</v>
      </c>
      <c r="AL299" s="28" t="s">
        <v>2298</v>
      </c>
      <c r="AM299" s="114"/>
    </row>
    <row r="300" spans="7:39">
      <c r="G300" s="27">
        <v>2022</v>
      </c>
      <c r="H300" s="27" t="s">
        <v>135</v>
      </c>
      <c r="I300" s="27" t="s">
        <v>63</v>
      </c>
      <c r="J300" s="27" t="s">
        <v>12</v>
      </c>
      <c r="K300" s="27" t="s">
        <v>12</v>
      </c>
      <c r="L300" s="27" t="s">
        <v>454</v>
      </c>
      <c r="M300" s="27" t="s">
        <v>431</v>
      </c>
      <c r="N300" s="27">
        <v>8</v>
      </c>
      <c r="O300" s="27">
        <v>4</v>
      </c>
      <c r="P300" s="27" t="s">
        <v>148</v>
      </c>
      <c r="Q300" s="27" t="s">
        <v>131</v>
      </c>
      <c r="R300" s="27" t="s">
        <v>131</v>
      </c>
      <c r="S300" s="27" t="s">
        <v>160</v>
      </c>
      <c r="U300" s="18">
        <v>298</v>
      </c>
      <c r="V300" s="18" t="s">
        <v>1116</v>
      </c>
      <c r="W300" s="18">
        <v>24</v>
      </c>
      <c r="X300" s="18" t="s">
        <v>39</v>
      </c>
      <c r="Y300" s="18" t="s">
        <v>661</v>
      </c>
      <c r="Z300" s="18" t="s">
        <v>1117</v>
      </c>
      <c r="AA300" s="18">
        <v>22</v>
      </c>
      <c r="AC300" s="28" t="s">
        <v>2597</v>
      </c>
      <c r="AD300" s="28" t="s">
        <v>2627</v>
      </c>
      <c r="AE300" s="28" t="s">
        <v>2588</v>
      </c>
      <c r="AF300" s="28" t="s">
        <v>2605</v>
      </c>
      <c r="AG300" s="28" t="s">
        <v>2606</v>
      </c>
      <c r="AH300" s="28" t="s">
        <v>9</v>
      </c>
      <c r="AI300" s="28" t="s">
        <v>2305</v>
      </c>
      <c r="AJ300" s="28" t="s">
        <v>2302</v>
      </c>
      <c r="AK300" s="28" t="s">
        <v>37</v>
      </c>
      <c r="AL300" s="28" t="s">
        <v>2298</v>
      </c>
      <c r="AM300" s="114"/>
    </row>
    <row r="301" spans="7:39">
      <c r="G301" s="27">
        <v>2022</v>
      </c>
      <c r="H301" s="27" t="s">
        <v>135</v>
      </c>
      <c r="I301" s="27" t="s">
        <v>40</v>
      </c>
      <c r="J301" s="27" t="s">
        <v>9</v>
      </c>
      <c r="K301" s="27" t="s">
        <v>40</v>
      </c>
      <c r="L301" s="27" t="s">
        <v>455</v>
      </c>
      <c r="M301" s="27" t="s">
        <v>456</v>
      </c>
      <c r="N301" s="27">
        <v>1</v>
      </c>
      <c r="O301" s="27">
        <v>1</v>
      </c>
      <c r="P301" s="27" t="s">
        <v>110</v>
      </c>
      <c r="Q301" s="27" t="s">
        <v>111</v>
      </c>
      <c r="R301" s="27" t="s">
        <v>111</v>
      </c>
      <c r="S301" s="27" t="s">
        <v>124</v>
      </c>
      <c r="U301" s="18">
        <v>299</v>
      </c>
      <c r="V301" s="18" t="s">
        <v>1118</v>
      </c>
      <c r="W301" s="18">
        <v>27</v>
      </c>
      <c r="X301" s="18" t="s">
        <v>39</v>
      </c>
      <c r="Y301" s="18" t="s">
        <v>661</v>
      </c>
      <c r="Z301" s="18" t="s">
        <v>815</v>
      </c>
      <c r="AA301" s="18">
        <v>24</v>
      </c>
      <c r="AC301" s="28" t="s">
        <v>2597</v>
      </c>
      <c r="AD301" s="28" t="s">
        <v>2628</v>
      </c>
      <c r="AE301" s="28" t="s">
        <v>2588</v>
      </c>
      <c r="AF301" s="28" t="s">
        <v>2613</v>
      </c>
      <c r="AG301" s="28" t="s">
        <v>2614</v>
      </c>
      <c r="AH301" s="28" t="s">
        <v>37</v>
      </c>
      <c r="AI301" s="28" t="s">
        <v>2297</v>
      </c>
      <c r="AJ301" s="28" t="s">
        <v>2302</v>
      </c>
      <c r="AK301" s="28" t="s">
        <v>32</v>
      </c>
      <c r="AL301" s="28" t="s">
        <v>2298</v>
      </c>
      <c r="AM301" s="114"/>
    </row>
    <row r="302" spans="7:39">
      <c r="G302" s="27">
        <v>2022</v>
      </c>
      <c r="H302" s="27" t="s">
        <v>135</v>
      </c>
      <c r="I302" s="27" t="s">
        <v>40</v>
      </c>
      <c r="J302" s="27" t="s">
        <v>9</v>
      </c>
      <c r="K302" s="27" t="s">
        <v>9</v>
      </c>
      <c r="L302" s="27" t="s">
        <v>385</v>
      </c>
      <c r="M302" s="27" t="s">
        <v>457</v>
      </c>
      <c r="N302" s="27">
        <v>2</v>
      </c>
      <c r="O302" s="27">
        <v>1</v>
      </c>
      <c r="P302" s="27" t="s">
        <v>110</v>
      </c>
      <c r="Q302" s="27" t="s">
        <v>111</v>
      </c>
      <c r="R302" s="27" t="s">
        <v>111</v>
      </c>
      <c r="S302" s="27" t="s">
        <v>112</v>
      </c>
      <c r="U302" s="18">
        <v>300</v>
      </c>
      <c r="V302" s="18" t="s">
        <v>1119</v>
      </c>
      <c r="W302" s="18">
        <v>19</v>
      </c>
      <c r="X302" s="18" t="s">
        <v>39</v>
      </c>
      <c r="Y302" s="18" t="s">
        <v>664</v>
      </c>
      <c r="Z302" s="18" t="s">
        <v>996</v>
      </c>
      <c r="AA302" s="18">
        <v>8</v>
      </c>
      <c r="AC302" s="28" t="s">
        <v>2597</v>
      </c>
      <c r="AD302" s="28" t="s">
        <v>2629</v>
      </c>
      <c r="AE302" s="28" t="s">
        <v>2590</v>
      </c>
      <c r="AF302" s="28" t="s">
        <v>2599</v>
      </c>
      <c r="AG302" s="28" t="s">
        <v>2600</v>
      </c>
      <c r="AH302" s="28" t="s">
        <v>20</v>
      </c>
      <c r="AI302" s="28" t="s">
        <v>2297</v>
      </c>
      <c r="AJ302" s="28" t="s">
        <v>2302</v>
      </c>
      <c r="AK302" s="28" t="s">
        <v>14</v>
      </c>
      <c r="AL302" s="28" t="s">
        <v>2298</v>
      </c>
      <c r="AM302" s="114"/>
    </row>
    <row r="303" spans="7:39">
      <c r="G303" s="27">
        <v>2022</v>
      </c>
      <c r="H303" s="27" t="s">
        <v>135</v>
      </c>
      <c r="I303" s="27" t="s">
        <v>40</v>
      </c>
      <c r="J303" s="27" t="s">
        <v>9</v>
      </c>
      <c r="K303" s="27" t="s">
        <v>40</v>
      </c>
      <c r="L303" s="27" t="s">
        <v>458</v>
      </c>
      <c r="M303" s="27" t="s">
        <v>456</v>
      </c>
      <c r="N303" s="27">
        <v>3</v>
      </c>
      <c r="O303" s="27">
        <v>2</v>
      </c>
      <c r="P303" s="27" t="s">
        <v>115</v>
      </c>
      <c r="Q303" s="27" t="s">
        <v>111</v>
      </c>
      <c r="R303" s="27" t="s">
        <v>111</v>
      </c>
      <c r="S303" s="27" t="s">
        <v>124</v>
      </c>
      <c r="U303" s="18">
        <v>301</v>
      </c>
      <c r="V303" s="18" t="s">
        <v>1120</v>
      </c>
      <c r="W303" s="18">
        <v>31</v>
      </c>
      <c r="X303" s="18" t="s">
        <v>39</v>
      </c>
      <c r="Y303" s="18" t="s">
        <v>669</v>
      </c>
      <c r="Z303" s="18" t="s">
        <v>1011</v>
      </c>
      <c r="AA303" s="18">
        <v>11</v>
      </c>
      <c r="AC303" s="28" t="s">
        <v>2597</v>
      </c>
      <c r="AD303" s="28" t="s">
        <v>2629</v>
      </c>
      <c r="AE303" s="28" t="s">
        <v>2590</v>
      </c>
      <c r="AF303" s="28" t="s">
        <v>2611</v>
      </c>
      <c r="AG303" s="28" t="s">
        <v>2612</v>
      </c>
      <c r="AH303" s="28" t="s">
        <v>24</v>
      </c>
      <c r="AI303" s="28" t="s">
        <v>2305</v>
      </c>
      <c r="AJ303" s="28" t="s">
        <v>2305</v>
      </c>
      <c r="AK303" s="28" t="s">
        <v>40</v>
      </c>
      <c r="AL303" s="28" t="s">
        <v>2298</v>
      </c>
      <c r="AM303" s="114"/>
    </row>
    <row r="304" spans="7:39">
      <c r="G304" s="27">
        <v>2022</v>
      </c>
      <c r="H304" s="27" t="s">
        <v>135</v>
      </c>
      <c r="I304" s="27" t="s">
        <v>40</v>
      </c>
      <c r="J304" s="27" t="s">
        <v>9</v>
      </c>
      <c r="K304" s="27" t="s">
        <v>9</v>
      </c>
      <c r="L304" s="27" t="s">
        <v>459</v>
      </c>
      <c r="M304" s="27" t="s">
        <v>457</v>
      </c>
      <c r="N304" s="27">
        <v>4</v>
      </c>
      <c r="O304" s="27">
        <v>2</v>
      </c>
      <c r="P304" s="27" t="s">
        <v>115</v>
      </c>
      <c r="Q304" s="27" t="s">
        <v>111</v>
      </c>
      <c r="R304" s="27" t="s">
        <v>111</v>
      </c>
      <c r="S304" s="27" t="s">
        <v>112</v>
      </c>
      <c r="U304" s="18">
        <v>302</v>
      </c>
      <c r="V304" s="18" t="s">
        <v>1121</v>
      </c>
      <c r="W304" s="18">
        <v>26</v>
      </c>
      <c r="X304" s="18" t="s">
        <v>39</v>
      </c>
      <c r="Y304" s="18" t="s">
        <v>669</v>
      </c>
      <c r="Z304" s="18" t="s">
        <v>962</v>
      </c>
      <c r="AA304" s="18">
        <v>19</v>
      </c>
      <c r="AC304" s="28" t="s">
        <v>2597</v>
      </c>
      <c r="AD304" s="28" t="s">
        <v>2630</v>
      </c>
      <c r="AE304" s="28" t="s">
        <v>2588</v>
      </c>
      <c r="AF304" s="28" t="s">
        <v>2605</v>
      </c>
      <c r="AG304" s="28" t="s">
        <v>2606</v>
      </c>
      <c r="AH304" s="28" t="s">
        <v>9</v>
      </c>
      <c r="AI304" s="28" t="s">
        <v>2302</v>
      </c>
      <c r="AJ304" s="28" t="s">
        <v>2302</v>
      </c>
      <c r="AK304" s="28" t="s">
        <v>12</v>
      </c>
      <c r="AL304" s="28" t="s">
        <v>2298</v>
      </c>
      <c r="AM304" s="114"/>
    </row>
    <row r="305" spans="7:39">
      <c r="G305" s="27">
        <v>2022</v>
      </c>
      <c r="H305" s="27" t="s">
        <v>135</v>
      </c>
      <c r="I305" s="27" t="s">
        <v>40</v>
      </c>
      <c r="J305" s="27" t="s">
        <v>9</v>
      </c>
      <c r="K305" s="27" t="s">
        <v>40</v>
      </c>
      <c r="L305" s="27" t="s">
        <v>460</v>
      </c>
      <c r="M305" s="27" t="s">
        <v>456</v>
      </c>
      <c r="N305" s="27">
        <v>5</v>
      </c>
      <c r="O305" s="27">
        <v>3</v>
      </c>
      <c r="P305" s="27" t="s">
        <v>222</v>
      </c>
      <c r="Q305" s="27" t="s">
        <v>111</v>
      </c>
      <c r="R305" s="27" t="s">
        <v>111</v>
      </c>
      <c r="S305" s="27" t="s">
        <v>112</v>
      </c>
      <c r="U305" s="18">
        <v>303</v>
      </c>
      <c r="V305" s="18" t="s">
        <v>1122</v>
      </c>
      <c r="W305" s="18">
        <v>34</v>
      </c>
      <c r="X305" s="18" t="s">
        <v>39</v>
      </c>
      <c r="Y305" s="18" t="s">
        <v>669</v>
      </c>
      <c r="Z305" s="18" t="s">
        <v>895</v>
      </c>
      <c r="AA305" s="18">
        <v>23</v>
      </c>
      <c r="AC305" s="28" t="s">
        <v>2597</v>
      </c>
      <c r="AD305" s="28" t="s">
        <v>2631</v>
      </c>
      <c r="AE305" s="28" t="s">
        <v>2590</v>
      </c>
      <c r="AF305" s="28" t="s">
        <v>2599</v>
      </c>
      <c r="AG305" s="28" t="s">
        <v>2600</v>
      </c>
      <c r="AH305" s="28" t="s">
        <v>40</v>
      </c>
      <c r="AI305" s="28" t="s">
        <v>2305</v>
      </c>
      <c r="AJ305" s="28" t="s">
        <v>2297</v>
      </c>
      <c r="AK305" s="28" t="s">
        <v>20</v>
      </c>
      <c r="AL305" s="28" t="s">
        <v>2298</v>
      </c>
      <c r="AM305" s="114"/>
    </row>
    <row r="306" spans="7:39">
      <c r="G306" s="27">
        <v>2022</v>
      </c>
      <c r="H306" s="27" t="s">
        <v>135</v>
      </c>
      <c r="I306" s="27" t="s">
        <v>40</v>
      </c>
      <c r="J306" s="27" t="s">
        <v>9</v>
      </c>
      <c r="K306" s="27" t="s">
        <v>9</v>
      </c>
      <c r="L306" s="27" t="s">
        <v>461</v>
      </c>
      <c r="M306" s="27" t="s">
        <v>457</v>
      </c>
      <c r="N306" s="27">
        <v>6</v>
      </c>
      <c r="O306" s="27">
        <v>3</v>
      </c>
      <c r="P306" s="27" t="s">
        <v>156</v>
      </c>
      <c r="Q306" s="27" t="s">
        <v>111</v>
      </c>
      <c r="R306" s="27" t="s">
        <v>111</v>
      </c>
      <c r="S306" s="27" t="s">
        <v>112</v>
      </c>
      <c r="U306" s="18">
        <v>304</v>
      </c>
      <c r="V306" s="18" t="s">
        <v>1123</v>
      </c>
      <c r="W306" s="18">
        <v>29</v>
      </c>
      <c r="X306" s="18" t="s">
        <v>39</v>
      </c>
      <c r="Y306" s="18" t="s">
        <v>675</v>
      </c>
      <c r="Z306" s="18" t="s">
        <v>1124</v>
      </c>
      <c r="AA306" s="18">
        <v>4</v>
      </c>
      <c r="AC306" s="28" t="s">
        <v>2597</v>
      </c>
      <c r="AD306" s="28" t="s">
        <v>2631</v>
      </c>
      <c r="AE306" s="28" t="s">
        <v>2590</v>
      </c>
      <c r="AF306" s="28" t="s">
        <v>2611</v>
      </c>
      <c r="AG306" s="28" t="s">
        <v>2612</v>
      </c>
      <c r="AH306" s="28" t="s">
        <v>14</v>
      </c>
      <c r="AI306" s="28" t="s">
        <v>2301</v>
      </c>
      <c r="AJ306" s="28" t="s">
        <v>2305</v>
      </c>
      <c r="AK306" s="28" t="s">
        <v>24</v>
      </c>
      <c r="AL306" s="28" t="s">
        <v>2298</v>
      </c>
      <c r="AM306" s="114"/>
    </row>
    <row r="307" spans="7:39">
      <c r="G307" s="27">
        <v>2022</v>
      </c>
      <c r="H307" s="27" t="s">
        <v>135</v>
      </c>
      <c r="I307" s="27" t="s">
        <v>40</v>
      </c>
      <c r="J307" s="27" t="s">
        <v>9</v>
      </c>
      <c r="K307" s="27" t="s">
        <v>40</v>
      </c>
      <c r="L307" s="27" t="s">
        <v>462</v>
      </c>
      <c r="M307" s="27" t="s">
        <v>456</v>
      </c>
      <c r="N307" s="27">
        <v>7</v>
      </c>
      <c r="O307" s="27">
        <v>4</v>
      </c>
      <c r="P307" s="27" t="s">
        <v>389</v>
      </c>
      <c r="Q307" s="27" t="s">
        <v>111</v>
      </c>
      <c r="R307" s="27" t="s">
        <v>111</v>
      </c>
      <c r="S307" s="27" t="s">
        <v>112</v>
      </c>
      <c r="U307" s="18">
        <v>305</v>
      </c>
      <c r="V307" s="18" t="s">
        <v>1125</v>
      </c>
      <c r="W307" s="18">
        <v>31</v>
      </c>
      <c r="X307" s="18" t="s">
        <v>39</v>
      </c>
      <c r="Y307" s="18" t="s">
        <v>675</v>
      </c>
      <c r="Z307" s="18" t="s">
        <v>1126</v>
      </c>
      <c r="AA307" s="18">
        <v>7</v>
      </c>
      <c r="AC307" s="28" t="s">
        <v>2597</v>
      </c>
      <c r="AD307" s="28" t="s">
        <v>2632</v>
      </c>
      <c r="AE307" s="28" t="s">
        <v>2588</v>
      </c>
      <c r="AF307" s="28" t="s">
        <v>2613</v>
      </c>
      <c r="AG307" s="28" t="s">
        <v>2614</v>
      </c>
      <c r="AH307" s="28" t="s">
        <v>12</v>
      </c>
      <c r="AI307" s="28" t="s">
        <v>2301</v>
      </c>
      <c r="AJ307" s="28" t="s">
        <v>2297</v>
      </c>
      <c r="AK307" s="28" t="s">
        <v>37</v>
      </c>
      <c r="AL307" s="28" t="s">
        <v>2298</v>
      </c>
      <c r="AM307" s="114"/>
    </row>
    <row r="308" spans="7:39">
      <c r="G308" s="27">
        <v>2022</v>
      </c>
      <c r="H308" s="27" t="s">
        <v>135</v>
      </c>
      <c r="I308" s="27" t="s">
        <v>40</v>
      </c>
      <c r="J308" s="27" t="s">
        <v>9</v>
      </c>
      <c r="K308" s="27" t="s">
        <v>9</v>
      </c>
      <c r="L308" s="27" t="s">
        <v>463</v>
      </c>
      <c r="M308" s="27" t="s">
        <v>457</v>
      </c>
      <c r="N308" s="27">
        <v>8</v>
      </c>
      <c r="O308" s="27">
        <v>4</v>
      </c>
      <c r="P308" s="27" t="s">
        <v>159</v>
      </c>
      <c r="Q308" s="27" t="s">
        <v>111</v>
      </c>
      <c r="R308" s="27" t="s">
        <v>111</v>
      </c>
      <c r="S308" s="27" t="s">
        <v>160</v>
      </c>
      <c r="U308" s="18">
        <v>306</v>
      </c>
      <c r="V308" s="18" t="s">
        <v>1127</v>
      </c>
      <c r="W308" s="18">
        <v>20</v>
      </c>
      <c r="X308" s="18" t="s">
        <v>39</v>
      </c>
      <c r="Y308" s="18" t="s">
        <v>679</v>
      </c>
      <c r="Z308" s="18" t="s">
        <v>1011</v>
      </c>
      <c r="AA308" s="18">
        <v>17</v>
      </c>
      <c r="AC308" s="28" t="s">
        <v>2597</v>
      </c>
      <c r="AD308" s="28" t="s">
        <v>2633</v>
      </c>
      <c r="AE308" s="28" t="s">
        <v>2588</v>
      </c>
      <c r="AF308" s="28" t="s">
        <v>2605</v>
      </c>
      <c r="AG308" s="28" t="s">
        <v>2606</v>
      </c>
      <c r="AH308" s="28" t="s">
        <v>9</v>
      </c>
      <c r="AI308" s="28" t="s">
        <v>2316</v>
      </c>
      <c r="AJ308" s="28" t="s">
        <v>2302</v>
      </c>
      <c r="AK308" s="28" t="s">
        <v>32</v>
      </c>
      <c r="AL308" s="28" t="s">
        <v>2298</v>
      </c>
      <c r="AM308" s="114"/>
    </row>
    <row r="309" spans="7:39">
      <c r="G309" s="27">
        <v>2022</v>
      </c>
      <c r="H309" s="27" t="s">
        <v>135</v>
      </c>
      <c r="I309" s="27" t="s">
        <v>40</v>
      </c>
      <c r="J309" s="27" t="s">
        <v>9</v>
      </c>
      <c r="K309" s="27" t="s">
        <v>40</v>
      </c>
      <c r="L309" s="27" t="s">
        <v>464</v>
      </c>
      <c r="M309" s="27" t="s">
        <v>456</v>
      </c>
      <c r="N309" s="27">
        <v>9</v>
      </c>
      <c r="O309" s="27">
        <v>5</v>
      </c>
      <c r="P309" s="27" t="s">
        <v>159</v>
      </c>
      <c r="Q309" s="27" t="s">
        <v>111</v>
      </c>
      <c r="R309" s="27" t="s">
        <v>111</v>
      </c>
      <c r="S309" s="27" t="s">
        <v>112</v>
      </c>
      <c r="U309" s="18">
        <v>307</v>
      </c>
      <c r="V309" s="18" t="s">
        <v>1128</v>
      </c>
      <c r="W309" s="18">
        <v>20</v>
      </c>
      <c r="X309" s="18" t="s">
        <v>39</v>
      </c>
      <c r="Y309" s="18" t="s">
        <v>681</v>
      </c>
      <c r="Z309" s="18" t="s">
        <v>1129</v>
      </c>
      <c r="AA309" s="18">
        <v>25</v>
      </c>
      <c r="AC309" s="28" t="s">
        <v>2597</v>
      </c>
      <c r="AD309" s="28" t="s">
        <v>2634</v>
      </c>
      <c r="AE309" s="28" t="s">
        <v>2350</v>
      </c>
      <c r="AF309" s="28" t="s">
        <v>2599</v>
      </c>
      <c r="AG309" s="28" t="s">
        <v>2600</v>
      </c>
      <c r="AH309" s="28" t="s">
        <v>12</v>
      </c>
      <c r="AI309" s="28" t="s">
        <v>2305</v>
      </c>
      <c r="AJ309" s="28" t="s">
        <v>2297</v>
      </c>
      <c r="AK309" s="28" t="s">
        <v>20</v>
      </c>
      <c r="AL309" s="28" t="s">
        <v>2298</v>
      </c>
      <c r="AM309" s="114"/>
    </row>
    <row r="310" spans="7:39">
      <c r="G310" s="27">
        <v>2022</v>
      </c>
      <c r="H310" s="27" t="s">
        <v>135</v>
      </c>
      <c r="I310" s="27" t="s">
        <v>40</v>
      </c>
      <c r="J310" s="27" t="s">
        <v>9</v>
      </c>
      <c r="K310" s="27" t="s">
        <v>9</v>
      </c>
      <c r="L310" s="27" t="s">
        <v>465</v>
      </c>
      <c r="M310" s="27" t="s">
        <v>457</v>
      </c>
      <c r="N310" s="27">
        <v>10</v>
      </c>
      <c r="O310" s="27">
        <v>5</v>
      </c>
      <c r="P310" s="27" t="s">
        <v>128</v>
      </c>
      <c r="Q310" s="27" t="s">
        <v>111</v>
      </c>
      <c r="R310" s="27" t="s">
        <v>131</v>
      </c>
      <c r="S310" s="27" t="s">
        <v>112</v>
      </c>
      <c r="U310" s="18">
        <v>308</v>
      </c>
      <c r="V310" s="18" t="s">
        <v>1130</v>
      </c>
      <c r="W310" s="18">
        <v>30</v>
      </c>
      <c r="X310" s="18" t="s">
        <v>39</v>
      </c>
      <c r="Y310" s="18" t="s">
        <v>683</v>
      </c>
      <c r="Z310" s="18" t="s">
        <v>1131</v>
      </c>
      <c r="AA310" s="18">
        <v>9</v>
      </c>
      <c r="AC310" s="28" t="s">
        <v>2597</v>
      </c>
      <c r="AD310" s="28" t="s">
        <v>2635</v>
      </c>
      <c r="AE310" s="28" t="s">
        <v>238</v>
      </c>
      <c r="AF310" s="28" t="s">
        <v>2599</v>
      </c>
      <c r="AG310" s="28" t="s">
        <v>2600</v>
      </c>
      <c r="AH310" s="28" t="s">
        <v>9</v>
      </c>
      <c r="AI310" s="28" t="s">
        <v>2301</v>
      </c>
      <c r="AJ310" s="28" t="s">
        <v>2297</v>
      </c>
      <c r="AK310" s="28" t="s">
        <v>40</v>
      </c>
      <c r="AL310" s="28" t="s">
        <v>2636</v>
      </c>
      <c r="AM310" s="114"/>
    </row>
    <row r="311" spans="7:39">
      <c r="G311" s="27">
        <v>2022</v>
      </c>
      <c r="H311" s="27" t="s">
        <v>238</v>
      </c>
      <c r="I311" s="27" t="s">
        <v>9</v>
      </c>
      <c r="J311" s="27" t="s">
        <v>5</v>
      </c>
      <c r="K311" s="27" t="s">
        <v>5</v>
      </c>
      <c r="L311" s="27" t="s">
        <v>466</v>
      </c>
      <c r="M311" s="27" t="s">
        <v>456</v>
      </c>
      <c r="N311" s="27">
        <v>1</v>
      </c>
      <c r="O311" s="27">
        <v>1</v>
      </c>
      <c r="P311" s="27" t="s">
        <v>110</v>
      </c>
      <c r="Q311" s="27" t="s">
        <v>111</v>
      </c>
      <c r="R311" s="27" t="s">
        <v>111</v>
      </c>
      <c r="S311" s="27" t="s">
        <v>112</v>
      </c>
      <c r="U311" s="18">
        <v>309</v>
      </c>
      <c r="V311" s="18" t="s">
        <v>1132</v>
      </c>
      <c r="W311" s="18">
        <v>29</v>
      </c>
      <c r="X311" s="18" t="s">
        <v>39</v>
      </c>
      <c r="Y311" s="18" t="s">
        <v>683</v>
      </c>
      <c r="Z311" s="18" t="s">
        <v>1133</v>
      </c>
      <c r="AA311" s="18">
        <v>10</v>
      </c>
      <c r="AC311" s="28" t="s">
        <v>2637</v>
      </c>
      <c r="AD311" s="28" t="s">
        <v>2638</v>
      </c>
      <c r="AE311" s="28" t="s">
        <v>2307</v>
      </c>
      <c r="AF311" s="28" t="s">
        <v>2639</v>
      </c>
      <c r="AG311" s="28" t="s">
        <v>2640</v>
      </c>
      <c r="AH311" s="28" t="s">
        <v>9</v>
      </c>
      <c r="AI311" s="28" t="s">
        <v>2302</v>
      </c>
      <c r="AJ311" s="28" t="s">
        <v>2297</v>
      </c>
      <c r="AK311" s="28" t="s">
        <v>33</v>
      </c>
      <c r="AL311" s="28" t="s">
        <v>2298</v>
      </c>
      <c r="AM311" s="114"/>
    </row>
    <row r="312" spans="7:39">
      <c r="G312" s="27">
        <v>2022</v>
      </c>
      <c r="H312" s="27" t="s">
        <v>238</v>
      </c>
      <c r="I312" s="27" t="s">
        <v>9</v>
      </c>
      <c r="J312" s="27" t="s">
        <v>5</v>
      </c>
      <c r="K312" s="27" t="s">
        <v>9</v>
      </c>
      <c r="L312" s="27" t="s">
        <v>385</v>
      </c>
      <c r="M312" s="27" t="s">
        <v>467</v>
      </c>
      <c r="N312" s="27">
        <v>2</v>
      </c>
      <c r="O312" s="27">
        <v>1</v>
      </c>
      <c r="P312" s="27" t="s">
        <v>115</v>
      </c>
      <c r="Q312" s="27" t="s">
        <v>111</v>
      </c>
      <c r="R312" s="27" t="s">
        <v>111</v>
      </c>
      <c r="S312" s="27" t="s">
        <v>112</v>
      </c>
      <c r="U312" s="18">
        <v>310</v>
      </c>
      <c r="V312" s="18" t="s">
        <v>1134</v>
      </c>
      <c r="W312" s="18">
        <v>29</v>
      </c>
      <c r="X312" s="18" t="s">
        <v>39</v>
      </c>
      <c r="Y312" s="18" t="s">
        <v>683</v>
      </c>
      <c r="Z312" s="18" t="s">
        <v>903</v>
      </c>
      <c r="AA312" s="18">
        <v>14</v>
      </c>
      <c r="AC312" s="28" t="s">
        <v>2637</v>
      </c>
      <c r="AD312" s="28" t="s">
        <v>2641</v>
      </c>
      <c r="AE312" s="28" t="s">
        <v>2293</v>
      </c>
      <c r="AF312" s="28" t="s">
        <v>2642</v>
      </c>
      <c r="AG312" s="28" t="s">
        <v>2643</v>
      </c>
      <c r="AH312" s="28" t="s">
        <v>20</v>
      </c>
      <c r="AI312" s="28" t="s">
        <v>2302</v>
      </c>
      <c r="AJ312" s="28" t="s">
        <v>2302</v>
      </c>
      <c r="AK312" s="28" t="s">
        <v>37</v>
      </c>
      <c r="AL312" s="28" t="s">
        <v>2298</v>
      </c>
      <c r="AM312" s="114"/>
    </row>
    <row r="313" spans="7:39">
      <c r="G313" s="27">
        <v>2022</v>
      </c>
      <c r="H313" s="27" t="s">
        <v>238</v>
      </c>
      <c r="I313" s="27" t="s">
        <v>9</v>
      </c>
      <c r="J313" s="27" t="s">
        <v>5</v>
      </c>
      <c r="K313" s="27" t="s">
        <v>5</v>
      </c>
      <c r="L313" s="27" t="s">
        <v>468</v>
      </c>
      <c r="M313" s="27" t="s">
        <v>456</v>
      </c>
      <c r="N313" s="27">
        <v>3</v>
      </c>
      <c r="O313" s="27">
        <v>2</v>
      </c>
      <c r="P313" s="27" t="s">
        <v>117</v>
      </c>
      <c r="Q313" s="27" t="s">
        <v>111</v>
      </c>
      <c r="R313" s="27" t="s">
        <v>111</v>
      </c>
      <c r="S313" s="27" t="s">
        <v>124</v>
      </c>
      <c r="U313" s="18">
        <v>311</v>
      </c>
      <c r="V313" s="18" t="s">
        <v>1135</v>
      </c>
      <c r="W313" s="18">
        <v>27</v>
      </c>
      <c r="X313" s="18" t="s">
        <v>39</v>
      </c>
      <c r="Y313" s="18" t="s">
        <v>683</v>
      </c>
      <c r="Z313" s="18" t="s">
        <v>1136</v>
      </c>
      <c r="AA313" s="18">
        <v>18</v>
      </c>
      <c r="AC313" s="28" t="s">
        <v>2637</v>
      </c>
      <c r="AD313" s="28" t="s">
        <v>2644</v>
      </c>
      <c r="AE313" s="28" t="s">
        <v>2410</v>
      </c>
      <c r="AF313" s="28" t="s">
        <v>2645</v>
      </c>
      <c r="AG313" s="28" t="s">
        <v>2646</v>
      </c>
      <c r="AH313" s="28" t="s">
        <v>12</v>
      </c>
      <c r="AI313" s="28" t="s">
        <v>2305</v>
      </c>
      <c r="AJ313" s="28" t="s">
        <v>2297</v>
      </c>
      <c r="AK313" s="28" t="s">
        <v>26</v>
      </c>
      <c r="AL313" s="28" t="s">
        <v>2298</v>
      </c>
      <c r="AM313" s="114"/>
    </row>
    <row r="314" spans="7:39">
      <c r="G314" s="27">
        <v>2022</v>
      </c>
      <c r="H314" s="27" t="s">
        <v>238</v>
      </c>
      <c r="I314" s="27" t="s">
        <v>9</v>
      </c>
      <c r="J314" s="27" t="s">
        <v>5</v>
      </c>
      <c r="K314" s="27" t="s">
        <v>9</v>
      </c>
      <c r="L314" s="27" t="s">
        <v>469</v>
      </c>
      <c r="M314" s="27" t="s">
        <v>467</v>
      </c>
      <c r="N314" s="27">
        <v>4</v>
      </c>
      <c r="O314" s="27">
        <v>2</v>
      </c>
      <c r="P314" s="27" t="s">
        <v>117</v>
      </c>
      <c r="Q314" s="27" t="s">
        <v>111</v>
      </c>
      <c r="R314" s="27" t="s">
        <v>111</v>
      </c>
      <c r="S314" s="27" t="s">
        <v>112</v>
      </c>
      <c r="U314" s="18">
        <v>312</v>
      </c>
      <c r="V314" s="18" t="s">
        <v>1137</v>
      </c>
      <c r="W314" s="18">
        <v>30</v>
      </c>
      <c r="X314" s="18" t="s">
        <v>39</v>
      </c>
      <c r="Y314" s="18" t="s">
        <v>683</v>
      </c>
      <c r="Z314" s="18" t="s">
        <v>1103</v>
      </c>
      <c r="AA314" s="18">
        <v>20</v>
      </c>
      <c r="AC314" s="28" t="s">
        <v>2637</v>
      </c>
      <c r="AD314" s="28" t="s">
        <v>2647</v>
      </c>
      <c r="AE314" s="28" t="s">
        <v>2293</v>
      </c>
      <c r="AF314" s="28" t="s">
        <v>2648</v>
      </c>
      <c r="AG314" s="28" t="s">
        <v>2649</v>
      </c>
      <c r="AH314" s="28" t="s">
        <v>32</v>
      </c>
      <c r="AI314" s="28" t="s">
        <v>2302</v>
      </c>
      <c r="AJ314" s="28" t="s">
        <v>2302</v>
      </c>
      <c r="AK314" s="28" t="s">
        <v>51</v>
      </c>
      <c r="AL314" s="28" t="s">
        <v>2298</v>
      </c>
      <c r="AM314" s="114"/>
    </row>
    <row r="315" spans="7:39">
      <c r="G315" s="27">
        <v>2022</v>
      </c>
      <c r="H315" s="27" t="s">
        <v>238</v>
      </c>
      <c r="I315" s="27" t="s">
        <v>9</v>
      </c>
      <c r="J315" s="27" t="s">
        <v>5</v>
      </c>
      <c r="K315" s="27" t="s">
        <v>5</v>
      </c>
      <c r="L315" s="27" t="s">
        <v>470</v>
      </c>
      <c r="M315" s="27" t="s">
        <v>456</v>
      </c>
      <c r="N315" s="27">
        <v>5</v>
      </c>
      <c r="O315" s="27">
        <v>3</v>
      </c>
      <c r="P315" s="27" t="s">
        <v>156</v>
      </c>
      <c r="Q315" s="27" t="s">
        <v>111</v>
      </c>
      <c r="R315" s="27" t="s">
        <v>111</v>
      </c>
      <c r="S315" s="27" t="s">
        <v>160</v>
      </c>
      <c r="U315" s="18">
        <v>313</v>
      </c>
      <c r="V315" s="18" t="s">
        <v>1138</v>
      </c>
      <c r="W315" s="18">
        <v>38</v>
      </c>
      <c r="X315" s="18" t="s">
        <v>13</v>
      </c>
      <c r="Y315" s="18" t="s">
        <v>642</v>
      </c>
      <c r="Z315" s="18" t="s">
        <v>1139</v>
      </c>
      <c r="AA315" s="18">
        <v>1</v>
      </c>
      <c r="AC315" s="28" t="s">
        <v>2637</v>
      </c>
      <c r="AD315" s="28" t="s">
        <v>2650</v>
      </c>
      <c r="AE315" s="28" t="s">
        <v>2307</v>
      </c>
      <c r="AF315" s="28" t="s">
        <v>2651</v>
      </c>
      <c r="AG315" s="28" t="s">
        <v>2652</v>
      </c>
      <c r="AH315" s="28" t="s">
        <v>15</v>
      </c>
      <c r="AI315" s="28" t="s">
        <v>2653</v>
      </c>
      <c r="AJ315" s="28" t="s">
        <v>2297</v>
      </c>
      <c r="AK315" s="28" t="s">
        <v>2546</v>
      </c>
      <c r="AL315" s="28" t="s">
        <v>2298</v>
      </c>
      <c r="AM315" s="114"/>
    </row>
    <row r="316" spans="7:39">
      <c r="G316" s="27">
        <v>2022</v>
      </c>
      <c r="H316" s="27" t="s">
        <v>238</v>
      </c>
      <c r="I316" s="27" t="s">
        <v>9</v>
      </c>
      <c r="J316" s="27" t="s">
        <v>5</v>
      </c>
      <c r="K316" s="27" t="s">
        <v>9</v>
      </c>
      <c r="L316" s="27" t="s">
        <v>459</v>
      </c>
      <c r="M316" s="27" t="s">
        <v>467</v>
      </c>
      <c r="N316" s="27">
        <v>6</v>
      </c>
      <c r="O316" s="27">
        <v>3</v>
      </c>
      <c r="P316" s="27" t="s">
        <v>156</v>
      </c>
      <c r="Q316" s="27" t="s">
        <v>111</v>
      </c>
      <c r="R316" s="27" t="s">
        <v>111</v>
      </c>
      <c r="S316" s="27" t="s">
        <v>112</v>
      </c>
      <c r="U316" s="18">
        <v>314</v>
      </c>
      <c r="V316" s="18" t="s">
        <v>1140</v>
      </c>
      <c r="W316" s="18">
        <v>26</v>
      </c>
      <c r="X316" s="18" t="s">
        <v>13</v>
      </c>
      <c r="Y316" s="18" t="s">
        <v>642</v>
      </c>
      <c r="Z316" s="18" t="s">
        <v>1141</v>
      </c>
      <c r="AA316" s="18">
        <v>12</v>
      </c>
      <c r="AC316" s="28" t="s">
        <v>2637</v>
      </c>
      <c r="AD316" s="28" t="s">
        <v>2650</v>
      </c>
      <c r="AE316" s="28" t="s">
        <v>2410</v>
      </c>
      <c r="AF316" s="28" t="s">
        <v>2654</v>
      </c>
      <c r="AG316" s="28" t="s">
        <v>2655</v>
      </c>
      <c r="AH316" s="28" t="s">
        <v>39</v>
      </c>
      <c r="AI316" s="28" t="s">
        <v>2338</v>
      </c>
      <c r="AJ316" s="28" t="s">
        <v>2305</v>
      </c>
      <c r="AK316" s="28" t="s">
        <v>76</v>
      </c>
      <c r="AL316" s="28" t="s">
        <v>2298</v>
      </c>
      <c r="AM316" s="114"/>
    </row>
    <row r="317" spans="7:39">
      <c r="G317" s="27">
        <v>2022</v>
      </c>
      <c r="H317" s="27" t="s">
        <v>238</v>
      </c>
      <c r="I317" s="27" t="s">
        <v>9</v>
      </c>
      <c r="J317" s="27" t="s">
        <v>5</v>
      </c>
      <c r="K317" s="27" t="s">
        <v>5</v>
      </c>
      <c r="L317" s="27" t="s">
        <v>471</v>
      </c>
      <c r="M317" s="27" t="s">
        <v>456</v>
      </c>
      <c r="N317" s="27">
        <v>7</v>
      </c>
      <c r="O317" s="27">
        <v>4</v>
      </c>
      <c r="P317" s="27" t="s">
        <v>389</v>
      </c>
      <c r="Q317" s="27" t="s">
        <v>111</v>
      </c>
      <c r="R317" s="27" t="s">
        <v>111</v>
      </c>
      <c r="S317" s="27" t="s">
        <v>112</v>
      </c>
      <c r="U317" s="18">
        <v>315</v>
      </c>
      <c r="V317" s="18" t="s">
        <v>1142</v>
      </c>
      <c r="W317" s="18">
        <v>33</v>
      </c>
      <c r="X317" s="18" t="s">
        <v>13</v>
      </c>
      <c r="Y317" s="18" t="s">
        <v>642</v>
      </c>
      <c r="Z317" s="18" t="s">
        <v>1143</v>
      </c>
      <c r="AA317" s="18">
        <v>22</v>
      </c>
      <c r="AC317" s="28" t="s">
        <v>2637</v>
      </c>
      <c r="AD317" s="28" t="s">
        <v>2656</v>
      </c>
      <c r="AE317" s="28" t="s">
        <v>2304</v>
      </c>
      <c r="AF317" s="28" t="s">
        <v>2657</v>
      </c>
      <c r="AG317" s="28" t="s">
        <v>2658</v>
      </c>
      <c r="AH317" s="28" t="s">
        <v>24</v>
      </c>
      <c r="AI317" s="28" t="s">
        <v>2297</v>
      </c>
      <c r="AJ317" s="28" t="s">
        <v>2305</v>
      </c>
      <c r="AK317" s="28" t="s">
        <v>43</v>
      </c>
      <c r="AL317" s="28" t="s">
        <v>2298</v>
      </c>
      <c r="AM317" s="114"/>
    </row>
    <row r="318" spans="7:39">
      <c r="G318" s="27">
        <v>2022</v>
      </c>
      <c r="H318" s="27" t="s">
        <v>238</v>
      </c>
      <c r="I318" s="27" t="s">
        <v>9</v>
      </c>
      <c r="J318" s="27" t="s">
        <v>5</v>
      </c>
      <c r="K318" s="27" t="s">
        <v>9</v>
      </c>
      <c r="L318" s="27" t="s">
        <v>461</v>
      </c>
      <c r="M318" s="27" t="s">
        <v>467</v>
      </c>
      <c r="N318" s="27">
        <v>8</v>
      </c>
      <c r="O318" s="27">
        <v>4</v>
      </c>
      <c r="P318" s="27" t="s">
        <v>159</v>
      </c>
      <c r="Q318" s="27" t="s">
        <v>111</v>
      </c>
      <c r="R318" s="27" t="s">
        <v>131</v>
      </c>
      <c r="S318" s="27" t="s">
        <v>112</v>
      </c>
      <c r="U318" s="18">
        <v>316</v>
      </c>
      <c r="V318" s="18" t="s">
        <v>1144</v>
      </c>
      <c r="W318" s="18">
        <v>29</v>
      </c>
      <c r="X318" s="18" t="s">
        <v>13</v>
      </c>
      <c r="Y318" s="18" t="s">
        <v>649</v>
      </c>
      <c r="Z318" s="18" t="s">
        <v>965</v>
      </c>
      <c r="AA318" s="18">
        <v>3</v>
      </c>
      <c r="AC318" s="28" t="s">
        <v>2637</v>
      </c>
      <c r="AD318" s="28" t="s">
        <v>2656</v>
      </c>
      <c r="AE318" s="28" t="s">
        <v>2299</v>
      </c>
      <c r="AF318" s="28" t="s">
        <v>2659</v>
      </c>
      <c r="AG318" s="28" t="s">
        <v>2660</v>
      </c>
      <c r="AH318" s="28" t="s">
        <v>23</v>
      </c>
      <c r="AI318" s="28" t="s">
        <v>2301</v>
      </c>
      <c r="AJ318" s="28" t="s">
        <v>2297</v>
      </c>
      <c r="AK318" s="28" t="s">
        <v>5</v>
      </c>
      <c r="AL318" s="28" t="s">
        <v>2298</v>
      </c>
      <c r="AM318" s="114"/>
    </row>
    <row r="319" spans="7:39">
      <c r="G319" s="27">
        <v>2026</v>
      </c>
      <c r="H319" s="27" t="s">
        <v>472</v>
      </c>
      <c r="I319" s="27" t="s">
        <v>18</v>
      </c>
      <c r="J319" s="27" t="s">
        <v>13</v>
      </c>
      <c r="K319" s="27" t="s">
        <v>18</v>
      </c>
      <c r="L319" s="27" t="s">
        <v>473</v>
      </c>
      <c r="M319" s="27" t="s">
        <v>474</v>
      </c>
      <c r="N319" s="27">
        <v>1</v>
      </c>
      <c r="O319" s="27">
        <v>1</v>
      </c>
      <c r="P319" s="27" t="s">
        <v>475</v>
      </c>
      <c r="Q319" s="27" t="s">
        <v>111</v>
      </c>
      <c r="R319" s="27" t="s">
        <v>111</v>
      </c>
      <c r="S319" s="27" t="s">
        <v>112</v>
      </c>
      <c r="U319" s="18">
        <v>317</v>
      </c>
      <c r="V319" s="18" t="s">
        <v>1145</v>
      </c>
      <c r="W319" s="18">
        <v>34</v>
      </c>
      <c r="X319" s="18" t="s">
        <v>13</v>
      </c>
      <c r="Y319" s="18" t="s">
        <v>649</v>
      </c>
      <c r="Z319" s="18" t="s">
        <v>983</v>
      </c>
      <c r="AA319" s="18">
        <v>5</v>
      </c>
      <c r="AC319" s="28" t="s">
        <v>2637</v>
      </c>
      <c r="AD319" s="28" t="s">
        <v>2661</v>
      </c>
      <c r="AE319" s="28" t="s">
        <v>2662</v>
      </c>
      <c r="AF319" s="28" t="s">
        <v>2663</v>
      </c>
      <c r="AG319" s="28" t="s">
        <v>2664</v>
      </c>
      <c r="AH319" s="28" t="s">
        <v>19</v>
      </c>
      <c r="AI319" s="28" t="s">
        <v>2297</v>
      </c>
      <c r="AJ319" s="28" t="s">
        <v>2297</v>
      </c>
      <c r="AK319" s="28" t="s">
        <v>44</v>
      </c>
      <c r="AL319" s="28" t="s">
        <v>2298</v>
      </c>
      <c r="AM319" s="114"/>
    </row>
    <row r="320" spans="7:39">
      <c r="G320" s="27">
        <v>2026</v>
      </c>
      <c r="H320" s="27" t="s">
        <v>472</v>
      </c>
      <c r="I320" s="27" t="s">
        <v>18</v>
      </c>
      <c r="J320" s="27" t="s">
        <v>13</v>
      </c>
      <c r="K320" s="27" t="s">
        <v>13</v>
      </c>
      <c r="L320" s="27" t="s">
        <v>476</v>
      </c>
      <c r="M320" s="27" t="s">
        <v>477</v>
      </c>
      <c r="N320" s="27">
        <v>2</v>
      </c>
      <c r="O320" s="27">
        <v>1</v>
      </c>
      <c r="P320" s="27" t="s">
        <v>478</v>
      </c>
      <c r="Q320" s="27" t="s">
        <v>111</v>
      </c>
      <c r="R320" s="27" t="s">
        <v>111</v>
      </c>
      <c r="S320" s="27" t="s">
        <v>112</v>
      </c>
      <c r="U320" s="18">
        <v>318</v>
      </c>
      <c r="V320" s="18" t="s">
        <v>1146</v>
      </c>
      <c r="W320" s="18">
        <v>29</v>
      </c>
      <c r="X320" s="18" t="s">
        <v>13</v>
      </c>
      <c r="Y320" s="18" t="s">
        <v>649</v>
      </c>
      <c r="Z320" s="18" t="s">
        <v>1147</v>
      </c>
      <c r="AA320" s="18">
        <v>13</v>
      </c>
      <c r="AC320" s="28" t="s">
        <v>2637</v>
      </c>
      <c r="AD320" s="28" t="s">
        <v>2665</v>
      </c>
      <c r="AE320" s="28" t="s">
        <v>2304</v>
      </c>
      <c r="AF320" s="28" t="s">
        <v>2666</v>
      </c>
      <c r="AG320" s="28" t="s">
        <v>2667</v>
      </c>
      <c r="AH320" s="28" t="s">
        <v>10</v>
      </c>
      <c r="AI320" s="28" t="s">
        <v>2302</v>
      </c>
      <c r="AJ320" s="28" t="s">
        <v>2297</v>
      </c>
      <c r="AK320" s="28" t="s">
        <v>14</v>
      </c>
      <c r="AL320" s="28" t="s">
        <v>2298</v>
      </c>
      <c r="AM320" s="114"/>
    </row>
    <row r="321" spans="7:39">
      <c r="G321" s="27">
        <v>2026</v>
      </c>
      <c r="H321" s="27" t="s">
        <v>472</v>
      </c>
      <c r="I321" s="27" t="s">
        <v>18</v>
      </c>
      <c r="J321" s="27" t="s">
        <v>13</v>
      </c>
      <c r="K321" s="27" t="s">
        <v>18</v>
      </c>
      <c r="L321" s="27" t="s">
        <v>479</v>
      </c>
      <c r="M321" s="27" t="s">
        <v>474</v>
      </c>
      <c r="N321" s="27">
        <v>3</v>
      </c>
      <c r="O321" s="27">
        <v>2</v>
      </c>
      <c r="P321" s="27" t="s">
        <v>480</v>
      </c>
      <c r="Q321" s="27" t="s">
        <v>111</v>
      </c>
      <c r="R321" s="27" t="s">
        <v>111</v>
      </c>
      <c r="S321" s="27" t="s">
        <v>481</v>
      </c>
      <c r="U321" s="18">
        <v>319</v>
      </c>
      <c r="V321" s="18" t="s">
        <v>492</v>
      </c>
      <c r="W321" s="18">
        <v>33</v>
      </c>
      <c r="X321" s="18" t="s">
        <v>13</v>
      </c>
      <c r="Y321" s="18" t="s">
        <v>649</v>
      </c>
      <c r="Z321" s="18" t="s">
        <v>1148</v>
      </c>
      <c r="AA321" s="18">
        <v>15</v>
      </c>
      <c r="AC321" s="28" t="s">
        <v>2637</v>
      </c>
      <c r="AD321" s="28" t="s">
        <v>2668</v>
      </c>
      <c r="AE321" s="28" t="s">
        <v>2299</v>
      </c>
      <c r="AF321" s="28" t="s">
        <v>2669</v>
      </c>
      <c r="AG321" s="28" t="s">
        <v>2670</v>
      </c>
      <c r="AH321" s="28" t="s">
        <v>21</v>
      </c>
      <c r="AI321" s="28" t="s">
        <v>2297</v>
      </c>
      <c r="AJ321" s="28" t="s">
        <v>2297</v>
      </c>
      <c r="AK321" s="28" t="s">
        <v>2671</v>
      </c>
      <c r="AL321" s="28" t="s">
        <v>2298</v>
      </c>
      <c r="AM321" s="114"/>
    </row>
    <row r="322" spans="7:39">
      <c r="G322" s="27">
        <v>2026</v>
      </c>
      <c r="H322" s="27" t="s">
        <v>472</v>
      </c>
      <c r="I322" s="27" t="s">
        <v>18</v>
      </c>
      <c r="J322" s="27" t="s">
        <v>13</v>
      </c>
      <c r="K322" s="27" t="s">
        <v>13</v>
      </c>
      <c r="L322" s="27" t="s">
        <v>482</v>
      </c>
      <c r="M322" s="27" t="s">
        <v>477</v>
      </c>
      <c r="N322" s="27">
        <v>4</v>
      </c>
      <c r="O322" s="27">
        <v>2</v>
      </c>
      <c r="P322" s="27" t="s">
        <v>480</v>
      </c>
      <c r="Q322" s="27" t="s">
        <v>111</v>
      </c>
      <c r="R322" s="27" t="s">
        <v>111</v>
      </c>
      <c r="S322" s="27" t="s">
        <v>112</v>
      </c>
      <c r="U322" s="18">
        <v>320</v>
      </c>
      <c r="V322" s="18" t="s">
        <v>1149</v>
      </c>
      <c r="W322" s="18">
        <v>20</v>
      </c>
      <c r="X322" s="18" t="s">
        <v>13</v>
      </c>
      <c r="Y322" s="18" t="s">
        <v>649</v>
      </c>
      <c r="Z322" s="18" t="s">
        <v>1150</v>
      </c>
      <c r="AA322" s="18">
        <v>26</v>
      </c>
      <c r="AC322" s="28" t="s">
        <v>2637</v>
      </c>
      <c r="AD322" s="28" t="s">
        <v>2672</v>
      </c>
      <c r="AE322" s="28" t="s">
        <v>2662</v>
      </c>
      <c r="AF322" s="28" t="s">
        <v>2673</v>
      </c>
      <c r="AG322" s="28" t="s">
        <v>2674</v>
      </c>
      <c r="AH322" s="28" t="s">
        <v>7</v>
      </c>
      <c r="AI322" s="28" t="s">
        <v>2302</v>
      </c>
      <c r="AJ322" s="28" t="s">
        <v>2302</v>
      </c>
      <c r="AK322" s="28" t="s">
        <v>27</v>
      </c>
      <c r="AL322" s="28" t="s">
        <v>2298</v>
      </c>
      <c r="AM322" s="114"/>
    </row>
    <row r="323" spans="7:39">
      <c r="G323" s="27">
        <v>2026</v>
      </c>
      <c r="H323" s="27" t="s">
        <v>472</v>
      </c>
      <c r="I323" s="27" t="s">
        <v>18</v>
      </c>
      <c r="J323" s="27" t="s">
        <v>13</v>
      </c>
      <c r="K323" s="27" t="s">
        <v>18</v>
      </c>
      <c r="L323" s="27" t="s">
        <v>483</v>
      </c>
      <c r="M323" s="27" t="s">
        <v>474</v>
      </c>
      <c r="N323" s="27">
        <v>5</v>
      </c>
      <c r="O323" s="27">
        <v>3</v>
      </c>
      <c r="P323" s="27" t="s">
        <v>484</v>
      </c>
      <c r="Q323" s="27" t="s">
        <v>111</v>
      </c>
      <c r="R323" s="27" t="s">
        <v>111</v>
      </c>
      <c r="S323" s="27" t="s">
        <v>112</v>
      </c>
      <c r="U323" s="18">
        <v>321</v>
      </c>
      <c r="V323" s="18" t="s">
        <v>1151</v>
      </c>
      <c r="W323" s="18">
        <v>33</v>
      </c>
      <c r="X323" s="18" t="s">
        <v>13</v>
      </c>
      <c r="Y323" s="18" t="s">
        <v>657</v>
      </c>
      <c r="Z323" s="18" t="s">
        <v>1152</v>
      </c>
      <c r="AA323" s="18">
        <v>6</v>
      </c>
      <c r="AC323" s="28" t="s">
        <v>2637</v>
      </c>
      <c r="AD323" s="28" t="s">
        <v>2675</v>
      </c>
      <c r="AE323" s="28" t="s">
        <v>2293</v>
      </c>
      <c r="AF323" s="28" t="s">
        <v>2642</v>
      </c>
      <c r="AG323" s="28" t="s">
        <v>2643</v>
      </c>
      <c r="AH323" s="28" t="s">
        <v>20</v>
      </c>
      <c r="AI323" s="28" t="s">
        <v>2297</v>
      </c>
      <c r="AJ323" s="28" t="s">
        <v>2297</v>
      </c>
      <c r="AK323" s="28" t="s">
        <v>32</v>
      </c>
      <c r="AL323" s="28" t="s">
        <v>2298</v>
      </c>
      <c r="AM323" s="114"/>
    </row>
    <row r="324" spans="7:39">
      <c r="G324" s="27">
        <v>2026</v>
      </c>
      <c r="H324" s="27" t="s">
        <v>472</v>
      </c>
      <c r="I324" s="27" t="s">
        <v>18</v>
      </c>
      <c r="J324" s="27" t="s">
        <v>13</v>
      </c>
      <c r="K324" s="27" t="s">
        <v>13</v>
      </c>
      <c r="L324" s="27" t="s">
        <v>485</v>
      </c>
      <c r="M324" s="27" t="s">
        <v>477</v>
      </c>
      <c r="N324" s="27">
        <v>6</v>
      </c>
      <c r="O324" s="27">
        <v>3</v>
      </c>
      <c r="P324" s="27" t="s">
        <v>486</v>
      </c>
      <c r="Q324" s="27" t="s">
        <v>111</v>
      </c>
      <c r="R324" s="27" t="s">
        <v>111</v>
      </c>
      <c r="S324" s="27" t="s">
        <v>112</v>
      </c>
      <c r="U324" s="18">
        <v>322</v>
      </c>
      <c r="V324" s="18" t="s">
        <v>1153</v>
      </c>
      <c r="W324" s="18">
        <v>35</v>
      </c>
      <c r="X324" s="18" t="s">
        <v>13</v>
      </c>
      <c r="Y324" s="18" t="s">
        <v>661</v>
      </c>
      <c r="Z324" s="18" t="s">
        <v>1139</v>
      </c>
      <c r="AA324" s="18">
        <v>2</v>
      </c>
      <c r="AC324" s="28" t="s">
        <v>2637</v>
      </c>
      <c r="AD324" s="28" t="s">
        <v>2676</v>
      </c>
      <c r="AE324" s="28" t="s">
        <v>2307</v>
      </c>
      <c r="AF324" s="28" t="s">
        <v>2677</v>
      </c>
      <c r="AG324" s="28" t="s">
        <v>2678</v>
      </c>
      <c r="AH324" s="28" t="s">
        <v>9</v>
      </c>
      <c r="AI324" s="28" t="s">
        <v>2296</v>
      </c>
      <c r="AJ324" s="28" t="s">
        <v>2297</v>
      </c>
      <c r="AK324" s="28" t="s">
        <v>15</v>
      </c>
      <c r="AL324" s="28" t="s">
        <v>2298</v>
      </c>
      <c r="AM324" s="114"/>
    </row>
    <row r="325" spans="7:39">
      <c r="G325" s="27">
        <v>2026</v>
      </c>
      <c r="H325" s="27" t="s">
        <v>472</v>
      </c>
      <c r="I325" s="27" t="s">
        <v>18</v>
      </c>
      <c r="J325" s="27" t="s">
        <v>13</v>
      </c>
      <c r="K325" s="27" t="s">
        <v>18</v>
      </c>
      <c r="L325" s="27" t="s">
        <v>487</v>
      </c>
      <c r="M325" s="27" t="s">
        <v>474</v>
      </c>
      <c r="N325" s="27">
        <v>7</v>
      </c>
      <c r="O325" s="27">
        <v>4</v>
      </c>
      <c r="P325" s="27" t="s">
        <v>488</v>
      </c>
      <c r="Q325" s="27" t="s">
        <v>111</v>
      </c>
      <c r="R325" s="27" t="s">
        <v>111</v>
      </c>
      <c r="S325" s="27" t="s">
        <v>112</v>
      </c>
      <c r="U325" s="18">
        <v>323</v>
      </c>
      <c r="V325" s="18" t="s">
        <v>1154</v>
      </c>
      <c r="W325" s="18">
        <v>26</v>
      </c>
      <c r="X325" s="18" t="s">
        <v>13</v>
      </c>
      <c r="Y325" s="18" t="s">
        <v>661</v>
      </c>
      <c r="Z325" s="18" t="s">
        <v>716</v>
      </c>
      <c r="AA325" s="18">
        <v>4</v>
      </c>
      <c r="AC325" s="28" t="s">
        <v>2637</v>
      </c>
      <c r="AD325" s="28" t="s">
        <v>2676</v>
      </c>
      <c r="AE325" s="28" t="s">
        <v>2410</v>
      </c>
      <c r="AF325" s="28" t="s">
        <v>2679</v>
      </c>
      <c r="AG325" s="28" t="s">
        <v>2646</v>
      </c>
      <c r="AH325" s="28" t="s">
        <v>12</v>
      </c>
      <c r="AI325" s="28" t="s">
        <v>2296</v>
      </c>
      <c r="AJ325" s="28" t="s">
        <v>2297</v>
      </c>
      <c r="AK325" s="28" t="s">
        <v>39</v>
      </c>
      <c r="AL325" s="28" t="s">
        <v>2298</v>
      </c>
      <c r="AM325" s="114"/>
    </row>
    <row r="326" spans="7:39">
      <c r="G326" s="27">
        <v>2026</v>
      </c>
      <c r="H326" s="27" t="s">
        <v>472</v>
      </c>
      <c r="I326" s="27" t="s">
        <v>18</v>
      </c>
      <c r="J326" s="27" t="s">
        <v>13</v>
      </c>
      <c r="K326" s="27" t="s">
        <v>13</v>
      </c>
      <c r="L326" s="27" t="s">
        <v>489</v>
      </c>
      <c r="M326" s="27" t="s">
        <v>477</v>
      </c>
      <c r="N326" s="27">
        <v>8</v>
      </c>
      <c r="O326" s="27">
        <v>4</v>
      </c>
      <c r="P326" s="27" t="s">
        <v>490</v>
      </c>
      <c r="Q326" s="27" t="s">
        <v>111</v>
      </c>
      <c r="R326" s="27" t="s">
        <v>111</v>
      </c>
      <c r="S326" s="27" t="s">
        <v>481</v>
      </c>
      <c r="U326" s="18">
        <v>324</v>
      </c>
      <c r="V326" s="18" t="s">
        <v>1155</v>
      </c>
      <c r="W326" s="18">
        <v>30</v>
      </c>
      <c r="X326" s="18" t="s">
        <v>13</v>
      </c>
      <c r="Y326" s="18" t="s">
        <v>664</v>
      </c>
      <c r="Z326" s="18" t="s">
        <v>1156</v>
      </c>
      <c r="AA326" s="18">
        <v>14</v>
      </c>
      <c r="AC326" s="28" t="s">
        <v>2637</v>
      </c>
      <c r="AD326" s="28" t="s">
        <v>2680</v>
      </c>
      <c r="AE326" s="28" t="s">
        <v>2293</v>
      </c>
      <c r="AF326" s="28" t="s">
        <v>2648</v>
      </c>
      <c r="AG326" s="28" t="s">
        <v>2649</v>
      </c>
      <c r="AH326" s="28" t="s">
        <v>37</v>
      </c>
      <c r="AI326" s="28" t="s">
        <v>2302</v>
      </c>
      <c r="AJ326" s="28" t="s">
        <v>2302</v>
      </c>
      <c r="AK326" s="28" t="s">
        <v>51</v>
      </c>
      <c r="AL326" s="28" t="s">
        <v>2298</v>
      </c>
      <c r="AM326" s="114"/>
    </row>
    <row r="327" spans="7:39">
      <c r="G327" s="27">
        <v>2026</v>
      </c>
      <c r="H327" s="27" t="s">
        <v>472</v>
      </c>
      <c r="I327" s="27" t="s">
        <v>18</v>
      </c>
      <c r="J327" s="27" t="s">
        <v>13</v>
      </c>
      <c r="K327" s="27" t="s">
        <v>18</v>
      </c>
      <c r="L327" s="27" t="s">
        <v>491</v>
      </c>
      <c r="M327" s="27" t="s">
        <v>474</v>
      </c>
      <c r="N327" s="27">
        <v>9</v>
      </c>
      <c r="O327" s="27">
        <v>5</v>
      </c>
      <c r="P327" s="27" t="s">
        <v>490</v>
      </c>
      <c r="Q327" s="27" t="s">
        <v>111</v>
      </c>
      <c r="R327" s="27" t="s">
        <v>111</v>
      </c>
      <c r="S327" s="27" t="s">
        <v>481</v>
      </c>
      <c r="U327" s="18">
        <v>325</v>
      </c>
      <c r="V327" s="18" t="s">
        <v>1157</v>
      </c>
      <c r="W327" s="18">
        <v>25</v>
      </c>
      <c r="X327" s="18" t="s">
        <v>13</v>
      </c>
      <c r="Y327" s="18" t="s">
        <v>664</v>
      </c>
      <c r="Z327" s="18" t="s">
        <v>871</v>
      </c>
      <c r="AA327" s="18">
        <v>20</v>
      </c>
      <c r="AC327" s="28" t="s">
        <v>2637</v>
      </c>
      <c r="AD327" s="28" t="s">
        <v>2681</v>
      </c>
      <c r="AE327" s="28" t="s">
        <v>2307</v>
      </c>
      <c r="AF327" s="28" t="s">
        <v>2651</v>
      </c>
      <c r="AG327" s="28" t="s">
        <v>2652</v>
      </c>
      <c r="AH327" s="28" t="s">
        <v>33</v>
      </c>
      <c r="AI327" s="28" t="s">
        <v>2297</v>
      </c>
      <c r="AJ327" s="28" t="s">
        <v>2302</v>
      </c>
      <c r="AK327" s="28" t="s">
        <v>2546</v>
      </c>
      <c r="AL327" s="28" t="s">
        <v>2298</v>
      </c>
      <c r="AM327" s="114"/>
    </row>
    <row r="328" spans="7:39">
      <c r="G328" s="27">
        <v>2026</v>
      </c>
      <c r="H328" s="27" t="s">
        <v>472</v>
      </c>
      <c r="I328" s="27" t="s">
        <v>18</v>
      </c>
      <c r="J328" s="27" t="s">
        <v>13</v>
      </c>
      <c r="K328" s="27" t="s">
        <v>13</v>
      </c>
      <c r="L328" s="27" t="s">
        <v>492</v>
      </c>
      <c r="M328" s="27" t="s">
        <v>477</v>
      </c>
      <c r="N328" s="27">
        <v>10</v>
      </c>
      <c r="O328" s="27">
        <v>5</v>
      </c>
      <c r="P328" s="27" t="s">
        <v>490</v>
      </c>
      <c r="Q328" s="27" t="s">
        <v>111</v>
      </c>
      <c r="R328" s="27" t="s">
        <v>131</v>
      </c>
      <c r="S328" s="27" t="s">
        <v>112</v>
      </c>
      <c r="U328" s="18">
        <v>326</v>
      </c>
      <c r="V328" s="18" t="s">
        <v>1158</v>
      </c>
      <c r="W328" s="18">
        <v>23</v>
      </c>
      <c r="X328" s="18" t="s">
        <v>13</v>
      </c>
      <c r="Y328" s="18" t="s">
        <v>669</v>
      </c>
      <c r="Z328" s="18" t="s">
        <v>1159</v>
      </c>
      <c r="AA328" s="18">
        <v>8</v>
      </c>
      <c r="AC328" s="28" t="s">
        <v>2637</v>
      </c>
      <c r="AD328" s="28" t="s">
        <v>2681</v>
      </c>
      <c r="AE328" s="28" t="s">
        <v>2410</v>
      </c>
      <c r="AF328" s="28" t="s">
        <v>2654</v>
      </c>
      <c r="AG328" s="28" t="s">
        <v>2655</v>
      </c>
      <c r="AH328" s="28" t="s">
        <v>26</v>
      </c>
      <c r="AI328" s="28" t="s">
        <v>2301</v>
      </c>
      <c r="AJ328" s="28" t="s">
        <v>2302</v>
      </c>
      <c r="AK328" s="28" t="s">
        <v>76</v>
      </c>
      <c r="AL328" s="28" t="s">
        <v>2298</v>
      </c>
      <c r="AM328" s="114"/>
    </row>
    <row r="329" spans="7:39">
      <c r="G329" s="27">
        <v>2026</v>
      </c>
      <c r="H329" s="27" t="s">
        <v>472</v>
      </c>
      <c r="I329" s="27" t="s">
        <v>40</v>
      </c>
      <c r="J329" s="27" t="s">
        <v>46</v>
      </c>
      <c r="K329" s="27" t="s">
        <v>40</v>
      </c>
      <c r="L329" s="27" t="s">
        <v>493</v>
      </c>
      <c r="M329" s="27" t="s">
        <v>442</v>
      </c>
      <c r="N329" s="27">
        <v>1</v>
      </c>
      <c r="O329" s="27">
        <v>1</v>
      </c>
      <c r="P329" s="27" t="s">
        <v>475</v>
      </c>
      <c r="Q329" s="27" t="s">
        <v>111</v>
      </c>
      <c r="R329" s="27" t="s">
        <v>111</v>
      </c>
      <c r="S329" s="27" t="s">
        <v>112</v>
      </c>
      <c r="U329" s="18">
        <v>327</v>
      </c>
      <c r="V329" s="18" t="s">
        <v>1160</v>
      </c>
      <c r="W329" s="18">
        <v>24</v>
      </c>
      <c r="X329" s="18" t="s">
        <v>13</v>
      </c>
      <c r="Y329" s="18" t="s">
        <v>669</v>
      </c>
      <c r="Z329" s="18" t="s">
        <v>1148</v>
      </c>
      <c r="AA329" s="18">
        <v>11</v>
      </c>
      <c r="AC329" s="28" t="s">
        <v>2637</v>
      </c>
      <c r="AD329" s="28" t="s">
        <v>2682</v>
      </c>
      <c r="AE329" s="28" t="s">
        <v>2304</v>
      </c>
      <c r="AF329" s="28" t="s">
        <v>2657</v>
      </c>
      <c r="AG329" s="28" t="s">
        <v>2658</v>
      </c>
      <c r="AH329" s="28" t="s">
        <v>24</v>
      </c>
      <c r="AI329" s="28" t="s">
        <v>2296</v>
      </c>
      <c r="AJ329" s="28" t="s">
        <v>2297</v>
      </c>
      <c r="AK329" s="28" t="s">
        <v>10</v>
      </c>
      <c r="AL329" s="28" t="s">
        <v>2298</v>
      </c>
      <c r="AM329" s="114"/>
    </row>
    <row r="330" spans="7:39">
      <c r="G330" s="27">
        <v>2026</v>
      </c>
      <c r="H330" s="27" t="s">
        <v>472</v>
      </c>
      <c r="I330" s="27" t="s">
        <v>40</v>
      </c>
      <c r="J330" s="27" t="s">
        <v>46</v>
      </c>
      <c r="K330" s="27" t="s">
        <v>46</v>
      </c>
      <c r="L330" s="27" t="s">
        <v>447</v>
      </c>
      <c r="M330" s="27" t="s">
        <v>494</v>
      </c>
      <c r="N330" s="27">
        <v>2</v>
      </c>
      <c r="O330" s="27">
        <v>1</v>
      </c>
      <c r="P330" s="27" t="s">
        <v>478</v>
      </c>
      <c r="Q330" s="27" t="s">
        <v>111</v>
      </c>
      <c r="R330" s="27" t="s">
        <v>111</v>
      </c>
      <c r="S330" s="27" t="s">
        <v>112</v>
      </c>
      <c r="U330" s="18">
        <v>328</v>
      </c>
      <c r="V330" s="18" t="s">
        <v>1161</v>
      </c>
      <c r="W330" s="18">
        <v>24</v>
      </c>
      <c r="X330" s="18" t="s">
        <v>13</v>
      </c>
      <c r="Y330" s="18" t="s">
        <v>669</v>
      </c>
      <c r="Z330" s="18" t="s">
        <v>1162</v>
      </c>
      <c r="AA330" s="18">
        <v>16</v>
      </c>
      <c r="AC330" s="28" t="s">
        <v>2637</v>
      </c>
      <c r="AD330" s="28" t="s">
        <v>2682</v>
      </c>
      <c r="AE330" s="28" t="s">
        <v>2299</v>
      </c>
      <c r="AF330" s="28" t="s">
        <v>2659</v>
      </c>
      <c r="AG330" s="28" t="s">
        <v>2660</v>
      </c>
      <c r="AH330" s="28" t="s">
        <v>23</v>
      </c>
      <c r="AI330" s="28" t="s">
        <v>2305</v>
      </c>
      <c r="AJ330" s="28" t="s">
        <v>2302</v>
      </c>
      <c r="AK330" s="28" t="s">
        <v>21</v>
      </c>
      <c r="AL330" s="28" t="s">
        <v>2298</v>
      </c>
      <c r="AM330" s="114"/>
    </row>
    <row r="331" spans="7:39">
      <c r="G331" s="27">
        <v>2026</v>
      </c>
      <c r="H331" s="27" t="s">
        <v>472</v>
      </c>
      <c r="I331" s="27" t="s">
        <v>40</v>
      </c>
      <c r="J331" s="27" t="s">
        <v>46</v>
      </c>
      <c r="K331" s="27" t="s">
        <v>40</v>
      </c>
      <c r="L331" s="27" t="s">
        <v>495</v>
      </c>
      <c r="M331" s="27" t="s">
        <v>442</v>
      </c>
      <c r="N331" s="27">
        <v>3</v>
      </c>
      <c r="O331" s="27">
        <v>2</v>
      </c>
      <c r="P331" s="27" t="s">
        <v>480</v>
      </c>
      <c r="Q331" s="27" t="s">
        <v>111</v>
      </c>
      <c r="R331" s="27" t="s">
        <v>111</v>
      </c>
      <c r="S331" s="27" t="s">
        <v>481</v>
      </c>
      <c r="U331" s="18">
        <v>329</v>
      </c>
      <c r="V331" s="18" t="s">
        <v>1163</v>
      </c>
      <c r="W331" s="18">
        <v>24</v>
      </c>
      <c r="X331" s="18" t="s">
        <v>13</v>
      </c>
      <c r="Y331" s="18" t="s">
        <v>669</v>
      </c>
      <c r="Z331" s="18" t="s">
        <v>1164</v>
      </c>
      <c r="AA331" s="18">
        <v>23</v>
      </c>
      <c r="AC331" s="28" t="s">
        <v>2637</v>
      </c>
      <c r="AD331" s="28" t="s">
        <v>2683</v>
      </c>
      <c r="AE331" s="28" t="s">
        <v>2662</v>
      </c>
      <c r="AF331" s="28" t="s">
        <v>2663</v>
      </c>
      <c r="AG331" s="28" t="s">
        <v>2664</v>
      </c>
      <c r="AH331" s="28" t="s">
        <v>19</v>
      </c>
      <c r="AI331" s="28" t="s">
        <v>2305</v>
      </c>
      <c r="AJ331" s="28" t="s">
        <v>2297</v>
      </c>
      <c r="AK331" s="28" t="s">
        <v>7</v>
      </c>
      <c r="AL331" s="28" t="s">
        <v>2298</v>
      </c>
      <c r="AM331" s="114"/>
    </row>
    <row r="332" spans="7:39">
      <c r="G332" s="27">
        <v>2026</v>
      </c>
      <c r="H332" s="27" t="s">
        <v>472</v>
      </c>
      <c r="I332" s="27" t="s">
        <v>40</v>
      </c>
      <c r="J332" s="27" t="s">
        <v>46</v>
      </c>
      <c r="K332" s="27" t="s">
        <v>46</v>
      </c>
      <c r="L332" s="27" t="s">
        <v>443</v>
      </c>
      <c r="M332" s="27" t="s">
        <v>494</v>
      </c>
      <c r="N332" s="27">
        <v>4</v>
      </c>
      <c r="O332" s="27">
        <v>2</v>
      </c>
      <c r="P332" s="27" t="s">
        <v>480</v>
      </c>
      <c r="Q332" s="27" t="s">
        <v>111</v>
      </c>
      <c r="R332" s="27" t="s">
        <v>111</v>
      </c>
      <c r="S332" s="27" t="s">
        <v>112</v>
      </c>
      <c r="U332" s="18">
        <v>330</v>
      </c>
      <c r="V332" s="18" t="s">
        <v>482</v>
      </c>
      <c r="W332" s="18">
        <v>32</v>
      </c>
      <c r="X332" s="18" t="s">
        <v>13</v>
      </c>
      <c r="Y332" s="18" t="s">
        <v>675</v>
      </c>
      <c r="Z332" s="18" t="s">
        <v>1164</v>
      </c>
      <c r="AA332" s="18">
        <v>10</v>
      </c>
      <c r="AC332" s="28" t="s">
        <v>2637</v>
      </c>
      <c r="AD332" s="28" t="s">
        <v>2684</v>
      </c>
      <c r="AE332" s="28" t="s">
        <v>2304</v>
      </c>
      <c r="AF332" s="28" t="s">
        <v>2666</v>
      </c>
      <c r="AG332" s="28" t="s">
        <v>2667</v>
      </c>
      <c r="AH332" s="28" t="s">
        <v>43</v>
      </c>
      <c r="AI332" s="28" t="s">
        <v>2302</v>
      </c>
      <c r="AJ332" s="28" t="s">
        <v>2305</v>
      </c>
      <c r="AK332" s="28" t="s">
        <v>14</v>
      </c>
      <c r="AL332" s="28" t="s">
        <v>2298</v>
      </c>
      <c r="AM332" s="114"/>
    </row>
    <row r="333" spans="7:39">
      <c r="G333" s="27">
        <v>2026</v>
      </c>
      <c r="H333" s="27" t="s">
        <v>472</v>
      </c>
      <c r="I333" s="27" t="s">
        <v>40</v>
      </c>
      <c r="J333" s="27" t="s">
        <v>46</v>
      </c>
      <c r="K333" s="27" t="s">
        <v>40</v>
      </c>
      <c r="L333" s="27" t="s">
        <v>496</v>
      </c>
      <c r="M333" s="27" t="s">
        <v>442</v>
      </c>
      <c r="N333" s="27">
        <v>5</v>
      </c>
      <c r="O333" s="27">
        <v>3</v>
      </c>
      <c r="P333" s="27" t="s">
        <v>484</v>
      </c>
      <c r="Q333" s="27" t="s">
        <v>111</v>
      </c>
      <c r="R333" s="27" t="s">
        <v>111</v>
      </c>
      <c r="S333" s="27" t="s">
        <v>112</v>
      </c>
      <c r="U333" s="18">
        <v>331</v>
      </c>
      <c r="V333" s="18" t="s">
        <v>1165</v>
      </c>
      <c r="W333" s="18">
        <v>31</v>
      </c>
      <c r="X333" s="18" t="s">
        <v>13</v>
      </c>
      <c r="Y333" s="18" t="s">
        <v>675</v>
      </c>
      <c r="Z333" s="18" t="s">
        <v>1097</v>
      </c>
      <c r="AA333" s="18">
        <v>17</v>
      </c>
      <c r="AC333" s="28" t="s">
        <v>2637</v>
      </c>
      <c r="AD333" s="28" t="s">
        <v>2684</v>
      </c>
      <c r="AE333" s="28" t="s">
        <v>2299</v>
      </c>
      <c r="AF333" s="28" t="s">
        <v>2669</v>
      </c>
      <c r="AG333" s="28" t="s">
        <v>2670</v>
      </c>
      <c r="AH333" s="28" t="s">
        <v>5</v>
      </c>
      <c r="AI333" s="28" t="s">
        <v>2296</v>
      </c>
      <c r="AJ333" s="28" t="s">
        <v>2297</v>
      </c>
      <c r="AK333" s="28" t="s">
        <v>2671</v>
      </c>
      <c r="AL333" s="28" t="s">
        <v>2298</v>
      </c>
      <c r="AM333" s="114"/>
    </row>
    <row r="334" spans="7:39">
      <c r="G334" s="27">
        <v>2026</v>
      </c>
      <c r="H334" s="27" t="s">
        <v>472</v>
      </c>
      <c r="I334" s="27" t="s">
        <v>40</v>
      </c>
      <c r="J334" s="27" t="s">
        <v>46</v>
      </c>
      <c r="K334" s="27" t="s">
        <v>46</v>
      </c>
      <c r="L334" s="27" t="s">
        <v>497</v>
      </c>
      <c r="M334" s="27" t="s">
        <v>494</v>
      </c>
      <c r="N334" s="27">
        <v>6</v>
      </c>
      <c r="O334" s="27">
        <v>3</v>
      </c>
      <c r="P334" s="27" t="s">
        <v>486</v>
      </c>
      <c r="Q334" s="27" t="s">
        <v>111</v>
      </c>
      <c r="R334" s="27" t="s">
        <v>111</v>
      </c>
      <c r="S334" s="27" t="s">
        <v>481</v>
      </c>
      <c r="U334" s="18">
        <v>332</v>
      </c>
      <c r="V334" s="18" t="s">
        <v>1166</v>
      </c>
      <c r="W334" s="18">
        <v>24</v>
      </c>
      <c r="X334" s="18" t="s">
        <v>13</v>
      </c>
      <c r="Y334" s="18" t="s">
        <v>675</v>
      </c>
      <c r="Z334" s="18" t="s">
        <v>1167</v>
      </c>
      <c r="AA334" s="18">
        <v>24</v>
      </c>
      <c r="AC334" s="28" t="s">
        <v>2637</v>
      </c>
      <c r="AD334" s="28" t="s">
        <v>2685</v>
      </c>
      <c r="AE334" s="28" t="s">
        <v>2662</v>
      </c>
      <c r="AF334" s="28" t="s">
        <v>2673</v>
      </c>
      <c r="AG334" s="28" t="s">
        <v>2674</v>
      </c>
      <c r="AH334" s="28" t="s">
        <v>44</v>
      </c>
      <c r="AI334" s="28" t="s">
        <v>2297</v>
      </c>
      <c r="AJ334" s="28" t="s">
        <v>2297</v>
      </c>
      <c r="AK334" s="28" t="s">
        <v>27</v>
      </c>
      <c r="AL334" s="28" t="s">
        <v>2298</v>
      </c>
      <c r="AM334" s="114"/>
    </row>
    <row r="335" spans="7:39">
      <c r="G335" s="27">
        <v>2026</v>
      </c>
      <c r="H335" s="27" t="s">
        <v>472</v>
      </c>
      <c r="I335" s="27" t="s">
        <v>40</v>
      </c>
      <c r="J335" s="27" t="s">
        <v>46</v>
      </c>
      <c r="K335" s="27" t="s">
        <v>40</v>
      </c>
      <c r="L335" s="27" t="s">
        <v>498</v>
      </c>
      <c r="M335" s="27" t="s">
        <v>442</v>
      </c>
      <c r="N335" s="27">
        <v>7</v>
      </c>
      <c r="O335" s="27">
        <v>4</v>
      </c>
      <c r="P335" s="27" t="s">
        <v>486</v>
      </c>
      <c r="Q335" s="27" t="s">
        <v>111</v>
      </c>
      <c r="R335" s="27" t="s">
        <v>111</v>
      </c>
      <c r="S335" s="27" t="s">
        <v>481</v>
      </c>
      <c r="U335" s="18">
        <v>333</v>
      </c>
      <c r="V335" s="18" t="s">
        <v>489</v>
      </c>
      <c r="W335" s="18">
        <v>26</v>
      </c>
      <c r="X335" s="18" t="s">
        <v>13</v>
      </c>
      <c r="Y335" s="18" t="s">
        <v>679</v>
      </c>
      <c r="Z335" s="18" t="s">
        <v>1148</v>
      </c>
      <c r="AA335" s="18">
        <v>7</v>
      </c>
      <c r="AC335" s="28" t="s">
        <v>2637</v>
      </c>
      <c r="AD335" s="28" t="s">
        <v>2686</v>
      </c>
      <c r="AE335" s="28" t="s">
        <v>2293</v>
      </c>
      <c r="AF335" s="28" t="s">
        <v>2648</v>
      </c>
      <c r="AG335" s="28" t="s">
        <v>2649</v>
      </c>
      <c r="AH335" s="28" t="s">
        <v>37</v>
      </c>
      <c r="AI335" s="28" t="s">
        <v>2338</v>
      </c>
      <c r="AJ335" s="28" t="s">
        <v>2297</v>
      </c>
      <c r="AK335" s="28" t="s">
        <v>32</v>
      </c>
      <c r="AL335" s="28" t="s">
        <v>2298</v>
      </c>
      <c r="AM335" s="114"/>
    </row>
    <row r="336" spans="7:39">
      <c r="G336" s="27">
        <v>2026</v>
      </c>
      <c r="H336" s="27" t="s">
        <v>472</v>
      </c>
      <c r="I336" s="27" t="s">
        <v>40</v>
      </c>
      <c r="J336" s="27" t="s">
        <v>46</v>
      </c>
      <c r="K336" s="27" t="s">
        <v>46</v>
      </c>
      <c r="L336" s="27" t="s">
        <v>499</v>
      </c>
      <c r="M336" s="27" t="s">
        <v>494</v>
      </c>
      <c r="N336" s="27">
        <v>8</v>
      </c>
      <c r="O336" s="27">
        <v>4</v>
      </c>
      <c r="P336" s="27" t="s">
        <v>486</v>
      </c>
      <c r="Q336" s="27" t="s">
        <v>111</v>
      </c>
      <c r="R336" s="27" t="s">
        <v>111</v>
      </c>
      <c r="S336" s="27" t="s">
        <v>112</v>
      </c>
      <c r="U336" s="18">
        <v>334</v>
      </c>
      <c r="V336" s="18" t="s">
        <v>476</v>
      </c>
      <c r="W336" s="18">
        <v>22</v>
      </c>
      <c r="X336" s="18" t="s">
        <v>13</v>
      </c>
      <c r="Y336" s="18" t="s">
        <v>679</v>
      </c>
      <c r="Z336" s="18" t="s">
        <v>1086</v>
      </c>
      <c r="AA336" s="18">
        <v>19</v>
      </c>
      <c r="AC336" s="28" t="s">
        <v>2637</v>
      </c>
      <c r="AD336" s="28" t="s">
        <v>2687</v>
      </c>
      <c r="AE336" s="28" t="s">
        <v>2307</v>
      </c>
      <c r="AF336" s="28" t="s">
        <v>2651</v>
      </c>
      <c r="AG336" s="28" t="s">
        <v>2652</v>
      </c>
      <c r="AH336" s="28" t="s">
        <v>33</v>
      </c>
      <c r="AI336" s="28" t="s">
        <v>2297</v>
      </c>
      <c r="AJ336" s="28" t="s">
        <v>2297</v>
      </c>
      <c r="AK336" s="28" t="s">
        <v>15</v>
      </c>
      <c r="AL336" s="28" t="s">
        <v>2298</v>
      </c>
      <c r="AM336" s="114"/>
    </row>
    <row r="337" spans="7:39">
      <c r="G337" s="27">
        <v>2026</v>
      </c>
      <c r="H337" s="27" t="s">
        <v>472</v>
      </c>
      <c r="I337" s="27" t="s">
        <v>40</v>
      </c>
      <c r="J337" s="27" t="s">
        <v>46</v>
      </c>
      <c r="K337" s="27" t="s">
        <v>40</v>
      </c>
      <c r="L337" s="27" t="s">
        <v>500</v>
      </c>
      <c r="M337" s="27" t="s">
        <v>442</v>
      </c>
      <c r="N337" s="27">
        <v>9</v>
      </c>
      <c r="O337" s="27">
        <v>5</v>
      </c>
      <c r="P337" s="27" t="s">
        <v>488</v>
      </c>
      <c r="Q337" s="27" t="s">
        <v>131</v>
      </c>
      <c r="R337" s="27" t="s">
        <v>111</v>
      </c>
      <c r="S337" s="27" t="s">
        <v>481</v>
      </c>
      <c r="U337" s="18">
        <v>335</v>
      </c>
      <c r="V337" s="18" t="s">
        <v>1168</v>
      </c>
      <c r="W337" s="18">
        <v>26</v>
      </c>
      <c r="X337" s="18" t="s">
        <v>13</v>
      </c>
      <c r="Y337" s="18" t="s">
        <v>681</v>
      </c>
      <c r="Z337" s="18" t="s">
        <v>1169</v>
      </c>
      <c r="AA337" s="18">
        <v>25</v>
      </c>
      <c r="AC337" s="28" t="s">
        <v>2637</v>
      </c>
      <c r="AD337" s="28" t="s">
        <v>2687</v>
      </c>
      <c r="AE337" s="28" t="s">
        <v>2410</v>
      </c>
      <c r="AF337" s="28" t="s">
        <v>2654</v>
      </c>
      <c r="AG337" s="28" t="s">
        <v>2655</v>
      </c>
      <c r="AH337" s="28" t="s">
        <v>26</v>
      </c>
      <c r="AI337" s="28" t="s">
        <v>2305</v>
      </c>
      <c r="AJ337" s="28" t="s">
        <v>2305</v>
      </c>
      <c r="AK337" s="28" t="s">
        <v>39</v>
      </c>
      <c r="AL337" s="28" t="s">
        <v>2298</v>
      </c>
      <c r="AM337" s="114"/>
    </row>
    <row r="338" spans="7:39">
      <c r="G338" s="27">
        <v>2026</v>
      </c>
      <c r="H338" s="27" t="s">
        <v>472</v>
      </c>
      <c r="I338" s="27" t="s">
        <v>38</v>
      </c>
      <c r="J338" s="27" t="s">
        <v>79</v>
      </c>
      <c r="K338" s="27" t="s">
        <v>38</v>
      </c>
      <c r="L338" s="27" t="s">
        <v>501</v>
      </c>
      <c r="M338" s="27" t="s">
        <v>502</v>
      </c>
      <c r="N338" s="27">
        <v>1</v>
      </c>
      <c r="O338" s="27">
        <v>1</v>
      </c>
      <c r="P338" s="27" t="s">
        <v>475</v>
      </c>
      <c r="Q338" s="27" t="s">
        <v>111</v>
      </c>
      <c r="R338" s="27" t="s">
        <v>111</v>
      </c>
      <c r="S338" s="27" t="s">
        <v>481</v>
      </c>
      <c r="U338" s="18">
        <v>336</v>
      </c>
      <c r="V338" s="18" t="s">
        <v>1170</v>
      </c>
      <c r="W338" s="18">
        <v>30</v>
      </c>
      <c r="X338" s="18" t="s">
        <v>13</v>
      </c>
      <c r="Y338" s="18" t="s">
        <v>683</v>
      </c>
      <c r="Z338" s="18" t="s">
        <v>1171</v>
      </c>
      <c r="AA338" s="18">
        <v>9</v>
      </c>
      <c r="AC338" s="28" t="s">
        <v>2637</v>
      </c>
      <c r="AD338" s="28" t="s">
        <v>2688</v>
      </c>
      <c r="AE338" s="28" t="s">
        <v>2293</v>
      </c>
      <c r="AF338" s="28" t="s">
        <v>2642</v>
      </c>
      <c r="AG338" s="28" t="s">
        <v>2643</v>
      </c>
      <c r="AH338" s="28" t="s">
        <v>20</v>
      </c>
      <c r="AI338" s="28" t="s">
        <v>2297</v>
      </c>
      <c r="AJ338" s="28" t="s">
        <v>2297</v>
      </c>
      <c r="AK338" s="28" t="s">
        <v>51</v>
      </c>
      <c r="AL338" s="28" t="s">
        <v>2298</v>
      </c>
      <c r="AM338" s="114"/>
    </row>
    <row r="339" spans="7:39">
      <c r="G339" s="27">
        <v>2026</v>
      </c>
      <c r="H339" s="27" t="s">
        <v>472</v>
      </c>
      <c r="I339" s="27" t="s">
        <v>38</v>
      </c>
      <c r="J339" s="27" t="s">
        <v>79</v>
      </c>
      <c r="K339" s="27" t="s">
        <v>79</v>
      </c>
      <c r="L339" s="27" t="s">
        <v>503</v>
      </c>
      <c r="M339" s="27" t="s">
        <v>504</v>
      </c>
      <c r="N339" s="27">
        <v>2</v>
      </c>
      <c r="O339" s="27">
        <v>1</v>
      </c>
      <c r="P339" s="27" t="s">
        <v>475</v>
      </c>
      <c r="Q339" s="27" t="s">
        <v>111</v>
      </c>
      <c r="R339" s="27" t="s">
        <v>111</v>
      </c>
      <c r="S339" s="27" t="s">
        <v>112</v>
      </c>
      <c r="U339" s="18">
        <v>337</v>
      </c>
      <c r="V339" s="18" t="s">
        <v>1172</v>
      </c>
      <c r="W339" s="18">
        <v>30</v>
      </c>
      <c r="X339" s="18" t="s">
        <v>13</v>
      </c>
      <c r="Y339" s="18" t="s">
        <v>683</v>
      </c>
      <c r="Z339" s="18" t="s">
        <v>1173</v>
      </c>
      <c r="AA339" s="18">
        <v>18</v>
      </c>
      <c r="AC339" s="28" t="s">
        <v>2637</v>
      </c>
      <c r="AD339" s="28" t="s">
        <v>2689</v>
      </c>
      <c r="AE339" s="28" t="s">
        <v>2307</v>
      </c>
      <c r="AF339" s="28" t="s">
        <v>2677</v>
      </c>
      <c r="AG339" s="28" t="s">
        <v>2678</v>
      </c>
      <c r="AH339" s="28" t="s">
        <v>9</v>
      </c>
      <c r="AI339" s="28" t="s">
        <v>2305</v>
      </c>
      <c r="AJ339" s="28" t="s">
        <v>2302</v>
      </c>
      <c r="AK339" s="28" t="s">
        <v>2546</v>
      </c>
      <c r="AL339" s="28" t="s">
        <v>2298</v>
      </c>
      <c r="AM339" s="114"/>
    </row>
    <row r="340" spans="7:39">
      <c r="G340" s="27">
        <v>2026</v>
      </c>
      <c r="H340" s="27" t="s">
        <v>472</v>
      </c>
      <c r="I340" s="27" t="s">
        <v>38</v>
      </c>
      <c r="J340" s="27" t="s">
        <v>79</v>
      </c>
      <c r="K340" s="27" t="s">
        <v>38</v>
      </c>
      <c r="L340" s="27" t="s">
        <v>505</v>
      </c>
      <c r="M340" s="27" t="s">
        <v>502</v>
      </c>
      <c r="N340" s="27">
        <v>3</v>
      </c>
      <c r="O340" s="27">
        <v>2</v>
      </c>
      <c r="P340" s="27" t="s">
        <v>506</v>
      </c>
      <c r="Q340" s="27" t="s">
        <v>111</v>
      </c>
      <c r="R340" s="27" t="s">
        <v>111</v>
      </c>
      <c r="S340" s="27" t="s">
        <v>112</v>
      </c>
      <c r="U340" s="18">
        <v>338</v>
      </c>
      <c r="V340" s="18" t="s">
        <v>1174</v>
      </c>
      <c r="W340" s="18">
        <v>34</v>
      </c>
      <c r="X340" s="18" t="s">
        <v>13</v>
      </c>
      <c r="Y340" s="18" t="s">
        <v>683</v>
      </c>
      <c r="Z340" s="18" t="s">
        <v>1175</v>
      </c>
      <c r="AA340" s="18">
        <v>21</v>
      </c>
      <c r="AC340" s="28" t="s">
        <v>2637</v>
      </c>
      <c r="AD340" s="28" t="s">
        <v>2689</v>
      </c>
      <c r="AE340" s="28" t="s">
        <v>2410</v>
      </c>
      <c r="AF340" s="28" t="s">
        <v>2679</v>
      </c>
      <c r="AG340" s="28" t="s">
        <v>2646</v>
      </c>
      <c r="AH340" s="28" t="s">
        <v>12</v>
      </c>
      <c r="AI340" s="28" t="s">
        <v>2296</v>
      </c>
      <c r="AJ340" s="28" t="s">
        <v>2302</v>
      </c>
      <c r="AK340" s="28" t="s">
        <v>76</v>
      </c>
      <c r="AL340" s="28" t="s">
        <v>2298</v>
      </c>
      <c r="AM340" s="114"/>
    </row>
    <row r="341" spans="7:39">
      <c r="G341" s="27">
        <v>2026</v>
      </c>
      <c r="H341" s="27" t="s">
        <v>472</v>
      </c>
      <c r="I341" s="27" t="s">
        <v>38</v>
      </c>
      <c r="J341" s="27" t="s">
        <v>79</v>
      </c>
      <c r="K341" s="27" t="s">
        <v>79</v>
      </c>
      <c r="L341" s="27" t="s">
        <v>507</v>
      </c>
      <c r="M341" s="27" t="s">
        <v>504</v>
      </c>
      <c r="N341" s="27">
        <v>4</v>
      </c>
      <c r="O341" s="27">
        <v>2</v>
      </c>
      <c r="P341" s="27" t="s">
        <v>480</v>
      </c>
      <c r="Q341" s="27" t="s">
        <v>111</v>
      </c>
      <c r="R341" s="27" t="s">
        <v>111</v>
      </c>
      <c r="S341" s="27" t="s">
        <v>112</v>
      </c>
      <c r="U341" s="18">
        <v>339</v>
      </c>
      <c r="V341" s="18" t="s">
        <v>1176</v>
      </c>
      <c r="W341" s="18">
        <v>37</v>
      </c>
      <c r="X341" s="18" t="s">
        <v>25</v>
      </c>
      <c r="Y341" s="18" t="s">
        <v>642</v>
      </c>
      <c r="Z341" s="18" t="s">
        <v>707</v>
      </c>
      <c r="AA341" s="18">
        <v>1</v>
      </c>
      <c r="AC341" s="28" t="s">
        <v>2637</v>
      </c>
      <c r="AD341" s="28" t="s">
        <v>2690</v>
      </c>
      <c r="AE341" s="28" t="s">
        <v>2304</v>
      </c>
      <c r="AF341" s="28" t="s">
        <v>2666</v>
      </c>
      <c r="AG341" s="28" t="s">
        <v>2667</v>
      </c>
      <c r="AH341" s="28" t="s">
        <v>43</v>
      </c>
      <c r="AI341" s="28" t="s">
        <v>2301</v>
      </c>
      <c r="AJ341" s="28" t="s">
        <v>2305</v>
      </c>
      <c r="AK341" s="28" t="s">
        <v>10</v>
      </c>
      <c r="AL341" s="28" t="s">
        <v>2298</v>
      </c>
      <c r="AM341" s="114"/>
    </row>
    <row r="342" spans="7:39">
      <c r="G342" s="27">
        <v>2026</v>
      </c>
      <c r="H342" s="27" t="s">
        <v>472</v>
      </c>
      <c r="I342" s="27" t="s">
        <v>38</v>
      </c>
      <c r="J342" s="27" t="s">
        <v>79</v>
      </c>
      <c r="K342" s="27" t="s">
        <v>38</v>
      </c>
      <c r="L342" s="27" t="s">
        <v>508</v>
      </c>
      <c r="M342" s="27" t="s">
        <v>502</v>
      </c>
      <c r="N342" s="27">
        <v>5</v>
      </c>
      <c r="O342" s="27">
        <v>3</v>
      </c>
      <c r="P342" s="27" t="s">
        <v>484</v>
      </c>
      <c r="Q342" s="27" t="s">
        <v>111</v>
      </c>
      <c r="R342" s="27" t="s">
        <v>111</v>
      </c>
      <c r="S342" s="27" t="s">
        <v>112</v>
      </c>
      <c r="U342" s="18">
        <v>340</v>
      </c>
      <c r="V342" s="18" t="s">
        <v>1177</v>
      </c>
      <c r="W342" s="18">
        <v>28</v>
      </c>
      <c r="X342" s="18" t="s">
        <v>25</v>
      </c>
      <c r="Y342" s="18" t="s">
        <v>642</v>
      </c>
      <c r="Z342" s="18" t="s">
        <v>996</v>
      </c>
      <c r="AA342" s="18">
        <v>12</v>
      </c>
      <c r="AC342" s="28" t="s">
        <v>2637</v>
      </c>
      <c r="AD342" s="28" t="s">
        <v>2690</v>
      </c>
      <c r="AE342" s="28" t="s">
        <v>2299</v>
      </c>
      <c r="AF342" s="28" t="s">
        <v>2669</v>
      </c>
      <c r="AG342" s="28" t="s">
        <v>2670</v>
      </c>
      <c r="AH342" s="28" t="s">
        <v>5</v>
      </c>
      <c r="AI342" s="28" t="s">
        <v>2297</v>
      </c>
      <c r="AJ342" s="28" t="s">
        <v>2297</v>
      </c>
      <c r="AK342" s="28" t="s">
        <v>21</v>
      </c>
      <c r="AL342" s="28" t="s">
        <v>2298</v>
      </c>
      <c r="AM342" s="114"/>
    </row>
    <row r="343" spans="7:39">
      <c r="G343" s="27">
        <v>2026</v>
      </c>
      <c r="H343" s="27" t="s">
        <v>472</v>
      </c>
      <c r="I343" s="27" t="s">
        <v>38</v>
      </c>
      <c r="J343" s="27" t="s">
        <v>79</v>
      </c>
      <c r="K343" s="27" t="s">
        <v>79</v>
      </c>
      <c r="L343" s="27" t="s">
        <v>509</v>
      </c>
      <c r="M343" s="27" t="s">
        <v>504</v>
      </c>
      <c r="N343" s="27">
        <v>6</v>
      </c>
      <c r="O343" s="27">
        <v>3</v>
      </c>
      <c r="P343" s="27" t="s">
        <v>486</v>
      </c>
      <c r="Q343" s="27" t="s">
        <v>111</v>
      </c>
      <c r="R343" s="27" t="s">
        <v>111</v>
      </c>
      <c r="S343" s="27" t="s">
        <v>112</v>
      </c>
      <c r="U343" s="18">
        <v>341</v>
      </c>
      <c r="V343" s="18" t="s">
        <v>1178</v>
      </c>
      <c r="W343" s="18">
        <v>30</v>
      </c>
      <c r="X343" s="18" t="s">
        <v>25</v>
      </c>
      <c r="Y343" s="18" t="s">
        <v>642</v>
      </c>
      <c r="Z343" s="18" t="s">
        <v>1179</v>
      </c>
      <c r="AA343" s="18">
        <v>23</v>
      </c>
      <c r="AC343" s="28" t="s">
        <v>2637</v>
      </c>
      <c r="AD343" s="28" t="s">
        <v>2691</v>
      </c>
      <c r="AE343" s="28" t="s">
        <v>2662</v>
      </c>
      <c r="AF343" s="28" t="s">
        <v>2673</v>
      </c>
      <c r="AG343" s="28" t="s">
        <v>2674</v>
      </c>
      <c r="AH343" s="28" t="s">
        <v>44</v>
      </c>
      <c r="AI343" s="28" t="s">
        <v>2302</v>
      </c>
      <c r="AJ343" s="28" t="s">
        <v>2297</v>
      </c>
      <c r="AK343" s="28" t="s">
        <v>7</v>
      </c>
      <c r="AL343" s="28" t="s">
        <v>2298</v>
      </c>
      <c r="AM343" s="114"/>
    </row>
    <row r="344" spans="7:39">
      <c r="G344" s="27">
        <v>2026</v>
      </c>
      <c r="H344" s="27" t="s">
        <v>472</v>
      </c>
      <c r="I344" s="27" t="s">
        <v>38</v>
      </c>
      <c r="J344" s="27" t="s">
        <v>79</v>
      </c>
      <c r="K344" s="27" t="s">
        <v>38</v>
      </c>
      <c r="L344" s="27" t="s">
        <v>510</v>
      </c>
      <c r="M344" s="27" t="s">
        <v>502</v>
      </c>
      <c r="N344" s="27">
        <v>7</v>
      </c>
      <c r="O344" s="27">
        <v>4</v>
      </c>
      <c r="P344" s="27" t="s">
        <v>488</v>
      </c>
      <c r="Q344" s="27" t="s">
        <v>111</v>
      </c>
      <c r="R344" s="27" t="s">
        <v>111</v>
      </c>
      <c r="S344" s="27" t="s">
        <v>481</v>
      </c>
      <c r="U344" s="18">
        <v>342</v>
      </c>
      <c r="V344" s="18" t="s">
        <v>1180</v>
      </c>
      <c r="W344" s="18">
        <v>28</v>
      </c>
      <c r="X344" s="18" t="s">
        <v>25</v>
      </c>
      <c r="Y344" s="18" t="s">
        <v>649</v>
      </c>
      <c r="Z344" s="18" t="s">
        <v>991</v>
      </c>
      <c r="AA344" s="18">
        <v>3</v>
      </c>
      <c r="AC344" s="28" t="s">
        <v>2637</v>
      </c>
      <c r="AD344" s="28" t="s">
        <v>2692</v>
      </c>
      <c r="AE344" s="28" t="s">
        <v>2304</v>
      </c>
      <c r="AF344" s="28" t="s">
        <v>2657</v>
      </c>
      <c r="AG344" s="28" t="s">
        <v>2658</v>
      </c>
      <c r="AH344" s="28" t="s">
        <v>24</v>
      </c>
      <c r="AI344" s="28" t="s">
        <v>2297</v>
      </c>
      <c r="AJ344" s="28" t="s">
        <v>2302</v>
      </c>
      <c r="AK344" s="28" t="s">
        <v>14</v>
      </c>
      <c r="AL344" s="28" t="s">
        <v>2298</v>
      </c>
      <c r="AM344" s="114"/>
    </row>
    <row r="345" spans="7:39">
      <c r="G345" s="27">
        <v>2026</v>
      </c>
      <c r="H345" s="27" t="s">
        <v>472</v>
      </c>
      <c r="I345" s="27" t="s">
        <v>38</v>
      </c>
      <c r="J345" s="27" t="s">
        <v>79</v>
      </c>
      <c r="K345" s="27" t="s">
        <v>79</v>
      </c>
      <c r="L345" s="27" t="s">
        <v>511</v>
      </c>
      <c r="M345" s="27" t="s">
        <v>504</v>
      </c>
      <c r="N345" s="27">
        <v>8</v>
      </c>
      <c r="O345" s="27">
        <v>4</v>
      </c>
      <c r="P345" s="27" t="s">
        <v>488</v>
      </c>
      <c r="Q345" s="27" t="s">
        <v>111</v>
      </c>
      <c r="R345" s="27" t="s">
        <v>131</v>
      </c>
      <c r="S345" s="27" t="s">
        <v>112</v>
      </c>
      <c r="U345" s="18">
        <v>343</v>
      </c>
      <c r="V345" s="18" t="s">
        <v>1181</v>
      </c>
      <c r="W345" s="18">
        <v>30</v>
      </c>
      <c r="X345" s="18" t="s">
        <v>25</v>
      </c>
      <c r="Y345" s="18" t="s">
        <v>649</v>
      </c>
      <c r="Z345" s="18" t="s">
        <v>707</v>
      </c>
      <c r="AA345" s="18">
        <v>4</v>
      </c>
      <c r="AC345" s="28" t="s">
        <v>2637</v>
      </c>
      <c r="AD345" s="28" t="s">
        <v>2692</v>
      </c>
      <c r="AE345" s="28" t="s">
        <v>2299</v>
      </c>
      <c r="AF345" s="28" t="s">
        <v>2659</v>
      </c>
      <c r="AG345" s="28" t="s">
        <v>2660</v>
      </c>
      <c r="AH345" s="28" t="s">
        <v>23</v>
      </c>
      <c r="AI345" s="28" t="s">
        <v>2297</v>
      </c>
      <c r="AJ345" s="28" t="s">
        <v>2302</v>
      </c>
      <c r="AK345" s="28" t="s">
        <v>2671</v>
      </c>
      <c r="AL345" s="28" t="s">
        <v>2298</v>
      </c>
      <c r="AM345" s="114"/>
    </row>
    <row r="346" spans="7:39">
      <c r="G346" s="27">
        <v>2026</v>
      </c>
      <c r="H346" s="27" t="s">
        <v>170</v>
      </c>
      <c r="I346" s="27" t="s">
        <v>16</v>
      </c>
      <c r="J346" s="27" t="s">
        <v>53</v>
      </c>
      <c r="K346" s="27" t="s">
        <v>16</v>
      </c>
      <c r="L346" s="27" t="s">
        <v>512</v>
      </c>
      <c r="M346" s="27" t="s">
        <v>513</v>
      </c>
      <c r="N346" s="27">
        <v>1</v>
      </c>
      <c r="O346" s="27">
        <v>1</v>
      </c>
      <c r="P346" s="27" t="s">
        <v>475</v>
      </c>
      <c r="Q346" s="27" t="s">
        <v>111</v>
      </c>
      <c r="R346" s="27" t="s">
        <v>111</v>
      </c>
      <c r="S346" s="27" t="s">
        <v>112</v>
      </c>
      <c r="U346" s="18">
        <v>344</v>
      </c>
      <c r="V346" s="18" t="s">
        <v>1182</v>
      </c>
      <c r="W346" s="18">
        <v>31</v>
      </c>
      <c r="X346" s="18" t="s">
        <v>25</v>
      </c>
      <c r="Y346" s="18" t="s">
        <v>649</v>
      </c>
      <c r="Z346" s="18" t="s">
        <v>1179</v>
      </c>
      <c r="AA346" s="18">
        <v>14</v>
      </c>
      <c r="AC346" s="28" t="s">
        <v>2637</v>
      </c>
      <c r="AD346" s="28" t="s">
        <v>2693</v>
      </c>
      <c r="AE346" s="28" t="s">
        <v>2662</v>
      </c>
      <c r="AF346" s="28" t="s">
        <v>2663</v>
      </c>
      <c r="AG346" s="28" t="s">
        <v>2664</v>
      </c>
      <c r="AH346" s="28" t="s">
        <v>27</v>
      </c>
      <c r="AI346" s="28" t="s">
        <v>2297</v>
      </c>
      <c r="AJ346" s="28" t="s">
        <v>2302</v>
      </c>
      <c r="AK346" s="28" t="s">
        <v>19</v>
      </c>
      <c r="AL346" s="28" t="s">
        <v>2298</v>
      </c>
      <c r="AM346" s="114"/>
    </row>
    <row r="347" spans="7:39">
      <c r="G347" s="27">
        <v>2026</v>
      </c>
      <c r="H347" s="27" t="s">
        <v>170</v>
      </c>
      <c r="I347" s="27" t="s">
        <v>16</v>
      </c>
      <c r="J347" s="27" t="s">
        <v>53</v>
      </c>
      <c r="K347" s="27" t="s">
        <v>53</v>
      </c>
      <c r="L347" s="27" t="s">
        <v>514</v>
      </c>
      <c r="M347" s="27" t="s">
        <v>515</v>
      </c>
      <c r="N347" s="27">
        <v>2</v>
      </c>
      <c r="O347" s="27">
        <v>1</v>
      </c>
      <c r="P347" s="27" t="s">
        <v>478</v>
      </c>
      <c r="Q347" s="27" t="s">
        <v>111</v>
      </c>
      <c r="R347" s="27" t="s">
        <v>111</v>
      </c>
      <c r="S347" s="27" t="s">
        <v>112</v>
      </c>
      <c r="U347" s="18">
        <v>345</v>
      </c>
      <c r="V347" s="18" t="s">
        <v>1183</v>
      </c>
      <c r="W347" s="18">
        <v>26</v>
      </c>
      <c r="X347" s="18" t="s">
        <v>25</v>
      </c>
      <c r="Y347" s="18" t="s">
        <v>649</v>
      </c>
      <c r="Z347" s="18" t="s">
        <v>652</v>
      </c>
      <c r="AA347" s="18">
        <v>15</v>
      </c>
      <c r="AC347" s="28" t="s">
        <v>2637</v>
      </c>
      <c r="AD347" s="28" t="s">
        <v>2694</v>
      </c>
      <c r="AE347" s="28" t="s">
        <v>2299</v>
      </c>
      <c r="AF347" s="28" t="s">
        <v>2695</v>
      </c>
      <c r="AG347" s="28" t="s">
        <v>2696</v>
      </c>
      <c r="AH347" s="28" t="s">
        <v>14</v>
      </c>
      <c r="AI347" s="28" t="s">
        <v>2302</v>
      </c>
      <c r="AJ347" s="28" t="s">
        <v>2297</v>
      </c>
      <c r="AK347" s="28" t="s">
        <v>5</v>
      </c>
      <c r="AL347" s="28" t="s">
        <v>2298</v>
      </c>
      <c r="AM347" s="114"/>
    </row>
    <row r="348" spans="7:39">
      <c r="G348" s="27">
        <v>2026</v>
      </c>
      <c r="H348" s="27" t="s">
        <v>170</v>
      </c>
      <c r="I348" s="27" t="s">
        <v>16</v>
      </c>
      <c r="J348" s="27" t="s">
        <v>53</v>
      </c>
      <c r="K348" s="27" t="s">
        <v>16</v>
      </c>
      <c r="L348" s="27" t="s">
        <v>516</v>
      </c>
      <c r="M348" s="27" t="s">
        <v>513</v>
      </c>
      <c r="N348" s="27">
        <v>3</v>
      </c>
      <c r="O348" s="27">
        <v>2</v>
      </c>
      <c r="P348" s="27" t="s">
        <v>480</v>
      </c>
      <c r="Q348" s="27" t="s">
        <v>111</v>
      </c>
      <c r="R348" s="27" t="s">
        <v>111</v>
      </c>
      <c r="S348" s="27" t="s">
        <v>112</v>
      </c>
      <c r="U348" s="18">
        <v>346</v>
      </c>
      <c r="V348" s="18" t="s">
        <v>1184</v>
      </c>
      <c r="W348" s="18">
        <v>32</v>
      </c>
      <c r="X348" s="18" t="s">
        <v>25</v>
      </c>
      <c r="Y348" s="18" t="s">
        <v>649</v>
      </c>
      <c r="Z348" s="18" t="s">
        <v>1062</v>
      </c>
      <c r="AA348" s="18">
        <v>25</v>
      </c>
      <c r="AC348" s="28" t="s">
        <v>2637</v>
      </c>
      <c r="AD348" s="28" t="s">
        <v>2697</v>
      </c>
      <c r="AE348" s="28" t="s">
        <v>2293</v>
      </c>
      <c r="AF348" s="28" t="s">
        <v>2639</v>
      </c>
      <c r="AG348" s="28" t="s">
        <v>2640</v>
      </c>
      <c r="AH348" s="28" t="s">
        <v>37</v>
      </c>
      <c r="AI348" s="28" t="s">
        <v>2301</v>
      </c>
      <c r="AJ348" s="28" t="s">
        <v>2302</v>
      </c>
      <c r="AK348" s="28" t="s">
        <v>33</v>
      </c>
      <c r="AL348" s="28" t="s">
        <v>2298</v>
      </c>
      <c r="AM348" s="114"/>
    </row>
    <row r="349" spans="7:39">
      <c r="G349" s="27">
        <v>2026</v>
      </c>
      <c r="H349" s="27" t="s">
        <v>170</v>
      </c>
      <c r="I349" s="27" t="s">
        <v>16</v>
      </c>
      <c r="J349" s="27" t="s">
        <v>53</v>
      </c>
      <c r="K349" s="27" t="s">
        <v>53</v>
      </c>
      <c r="L349" s="27" t="s">
        <v>517</v>
      </c>
      <c r="M349" s="27" t="s">
        <v>515</v>
      </c>
      <c r="N349" s="27">
        <v>4</v>
      </c>
      <c r="O349" s="27">
        <v>2</v>
      </c>
      <c r="P349" s="27" t="s">
        <v>518</v>
      </c>
      <c r="Q349" s="27" t="s">
        <v>111</v>
      </c>
      <c r="R349" s="27" t="s">
        <v>111</v>
      </c>
      <c r="S349" s="27" t="s">
        <v>481</v>
      </c>
      <c r="U349" s="18">
        <v>347</v>
      </c>
      <c r="V349" s="18" t="s">
        <v>1185</v>
      </c>
      <c r="W349" s="18">
        <v>25</v>
      </c>
      <c r="X349" s="18" t="s">
        <v>25</v>
      </c>
      <c r="Y349" s="18" t="s">
        <v>657</v>
      </c>
      <c r="Z349" s="18" t="s">
        <v>1179</v>
      </c>
      <c r="AA349" s="18">
        <v>13</v>
      </c>
      <c r="AC349" s="28" t="s">
        <v>2637</v>
      </c>
      <c r="AD349" s="28" t="s">
        <v>2698</v>
      </c>
      <c r="AE349" s="28" t="s">
        <v>2307</v>
      </c>
      <c r="AF349" s="28" t="s">
        <v>2699</v>
      </c>
      <c r="AG349" s="28" t="s">
        <v>2640</v>
      </c>
      <c r="AH349" s="28" t="s">
        <v>20</v>
      </c>
      <c r="AI349" s="28" t="s">
        <v>2305</v>
      </c>
      <c r="AJ349" s="28" t="s">
        <v>2297</v>
      </c>
      <c r="AK349" s="28" t="s">
        <v>9</v>
      </c>
      <c r="AL349" s="28" t="s">
        <v>2298</v>
      </c>
      <c r="AM349" s="114"/>
    </row>
    <row r="350" spans="7:39">
      <c r="G350" s="27">
        <v>2026</v>
      </c>
      <c r="H350" s="27" t="s">
        <v>170</v>
      </c>
      <c r="I350" s="27" t="s">
        <v>16</v>
      </c>
      <c r="J350" s="27" t="s">
        <v>53</v>
      </c>
      <c r="K350" s="27" t="s">
        <v>16</v>
      </c>
      <c r="L350" s="27" t="s">
        <v>519</v>
      </c>
      <c r="M350" s="27" t="s">
        <v>513</v>
      </c>
      <c r="N350" s="27">
        <v>5</v>
      </c>
      <c r="O350" s="27">
        <v>3</v>
      </c>
      <c r="P350" s="27" t="s">
        <v>518</v>
      </c>
      <c r="Q350" s="27" t="s">
        <v>111</v>
      </c>
      <c r="R350" s="27" t="s">
        <v>111</v>
      </c>
      <c r="S350" s="27" t="s">
        <v>112</v>
      </c>
      <c r="U350" s="18">
        <v>348</v>
      </c>
      <c r="V350" s="18" t="s">
        <v>1186</v>
      </c>
      <c r="W350" s="18">
        <v>26</v>
      </c>
      <c r="X350" s="18" t="s">
        <v>25</v>
      </c>
      <c r="Y350" s="18" t="s">
        <v>657</v>
      </c>
      <c r="Z350" s="18" t="s">
        <v>1159</v>
      </c>
      <c r="AA350" s="18">
        <v>20</v>
      </c>
      <c r="AC350" s="28" t="s">
        <v>2637</v>
      </c>
      <c r="AD350" s="28" t="s">
        <v>2700</v>
      </c>
      <c r="AE350" s="28" t="s">
        <v>2304</v>
      </c>
      <c r="AF350" s="28" t="s">
        <v>2701</v>
      </c>
      <c r="AG350" s="28" t="s">
        <v>2696</v>
      </c>
      <c r="AH350" s="28" t="s">
        <v>24</v>
      </c>
      <c r="AI350" s="28" t="s">
        <v>2302</v>
      </c>
      <c r="AJ350" s="28" t="s">
        <v>2302</v>
      </c>
      <c r="AK350" s="28" t="s">
        <v>23</v>
      </c>
      <c r="AL350" s="28" t="s">
        <v>2298</v>
      </c>
      <c r="AM350" s="114"/>
    </row>
    <row r="351" spans="7:39">
      <c r="G351" s="27">
        <v>2026</v>
      </c>
      <c r="H351" s="27" t="s">
        <v>170</v>
      </c>
      <c r="I351" s="27" t="s">
        <v>16</v>
      </c>
      <c r="J351" s="27" t="s">
        <v>53</v>
      </c>
      <c r="K351" s="27" t="s">
        <v>53</v>
      </c>
      <c r="L351" s="27" t="s">
        <v>520</v>
      </c>
      <c r="M351" s="27" t="s">
        <v>515</v>
      </c>
      <c r="N351" s="27">
        <v>6</v>
      </c>
      <c r="O351" s="27">
        <v>3</v>
      </c>
      <c r="P351" s="27" t="s">
        <v>521</v>
      </c>
      <c r="Q351" s="27" t="s">
        <v>111</v>
      </c>
      <c r="R351" s="27" t="s">
        <v>111</v>
      </c>
      <c r="S351" s="27" t="s">
        <v>112</v>
      </c>
      <c r="U351" s="18">
        <v>349</v>
      </c>
      <c r="V351" s="18" t="s">
        <v>1187</v>
      </c>
      <c r="W351" s="18">
        <v>29</v>
      </c>
      <c r="X351" s="18" t="s">
        <v>25</v>
      </c>
      <c r="Y351" s="18" t="s">
        <v>661</v>
      </c>
      <c r="Z351" s="18" t="s">
        <v>1089</v>
      </c>
      <c r="AA351" s="18">
        <v>2</v>
      </c>
      <c r="AC351" s="28" t="s">
        <v>2637</v>
      </c>
      <c r="AD351" s="28" t="s">
        <v>2702</v>
      </c>
      <c r="AE351" s="28" t="s">
        <v>2299</v>
      </c>
      <c r="AF351" s="28" t="s">
        <v>2695</v>
      </c>
      <c r="AG351" s="28" t="s">
        <v>2696</v>
      </c>
      <c r="AH351" s="28" t="s">
        <v>14</v>
      </c>
      <c r="AI351" s="28" t="s">
        <v>2305</v>
      </c>
      <c r="AJ351" s="28" t="s">
        <v>2305</v>
      </c>
      <c r="AK351" s="28" t="s">
        <v>27</v>
      </c>
      <c r="AL351" s="28" t="s">
        <v>2298</v>
      </c>
      <c r="AM351" s="114"/>
    </row>
    <row r="352" spans="7:39">
      <c r="G352" s="27">
        <v>2026</v>
      </c>
      <c r="H352" s="27" t="s">
        <v>170</v>
      </c>
      <c r="I352" s="27" t="s">
        <v>16</v>
      </c>
      <c r="J352" s="27" t="s">
        <v>53</v>
      </c>
      <c r="K352" s="27" t="s">
        <v>16</v>
      </c>
      <c r="L352" s="27" t="s">
        <v>522</v>
      </c>
      <c r="M352" s="27" t="s">
        <v>513</v>
      </c>
      <c r="N352" s="27">
        <v>7</v>
      </c>
      <c r="O352" s="27">
        <v>4</v>
      </c>
      <c r="P352" s="27" t="s">
        <v>523</v>
      </c>
      <c r="Q352" s="27" t="s">
        <v>111</v>
      </c>
      <c r="R352" s="27" t="s">
        <v>111</v>
      </c>
      <c r="S352" s="27" t="s">
        <v>481</v>
      </c>
      <c r="U352" s="18">
        <v>350</v>
      </c>
      <c r="V352" s="18" t="s">
        <v>1188</v>
      </c>
      <c r="W352" s="18">
        <v>27</v>
      </c>
      <c r="X352" s="18" t="s">
        <v>25</v>
      </c>
      <c r="Y352" s="18" t="s">
        <v>661</v>
      </c>
      <c r="Z352" s="18" t="s">
        <v>707</v>
      </c>
      <c r="AA352" s="18">
        <v>18</v>
      </c>
      <c r="AC352" s="28" t="s">
        <v>2637</v>
      </c>
      <c r="AD352" s="28" t="s">
        <v>2703</v>
      </c>
      <c r="AE352" s="28" t="s">
        <v>2293</v>
      </c>
      <c r="AF352" s="28" t="s">
        <v>2639</v>
      </c>
      <c r="AG352" s="28" t="s">
        <v>2640</v>
      </c>
      <c r="AH352" s="28" t="s">
        <v>33</v>
      </c>
      <c r="AI352" s="28" t="s">
        <v>2302</v>
      </c>
      <c r="AJ352" s="28" t="s">
        <v>2297</v>
      </c>
      <c r="AK352" s="28" t="s">
        <v>26</v>
      </c>
      <c r="AL352" s="28" t="s">
        <v>2298</v>
      </c>
      <c r="AM352" s="114"/>
    </row>
    <row r="353" spans="7:39">
      <c r="G353" s="27">
        <v>2026</v>
      </c>
      <c r="H353" s="27" t="s">
        <v>170</v>
      </c>
      <c r="I353" s="27" t="s">
        <v>16</v>
      </c>
      <c r="J353" s="27" t="s">
        <v>53</v>
      </c>
      <c r="K353" s="27" t="s">
        <v>53</v>
      </c>
      <c r="L353" s="27" t="s">
        <v>524</v>
      </c>
      <c r="M353" s="27" t="s">
        <v>515</v>
      </c>
      <c r="N353" s="27">
        <v>8</v>
      </c>
      <c r="O353" s="27">
        <v>4</v>
      </c>
      <c r="P353" s="27" t="s">
        <v>523</v>
      </c>
      <c r="Q353" s="27" t="s">
        <v>111</v>
      </c>
      <c r="R353" s="27" t="s">
        <v>111</v>
      </c>
      <c r="S353" s="27" t="s">
        <v>112</v>
      </c>
      <c r="U353" s="18">
        <v>351</v>
      </c>
      <c r="V353" s="18" t="s">
        <v>1189</v>
      </c>
      <c r="W353" s="18">
        <v>28</v>
      </c>
      <c r="X353" s="18" t="s">
        <v>25</v>
      </c>
      <c r="Y353" s="18" t="s">
        <v>664</v>
      </c>
      <c r="Z353" s="18" t="s">
        <v>944</v>
      </c>
      <c r="AA353" s="18">
        <v>5</v>
      </c>
      <c r="AC353" s="28" t="s">
        <v>2637</v>
      </c>
      <c r="AD353" s="28" t="s">
        <v>2704</v>
      </c>
      <c r="AE353" s="28" t="s">
        <v>2307</v>
      </c>
      <c r="AF353" s="28" t="s">
        <v>2699</v>
      </c>
      <c r="AG353" s="28" t="s">
        <v>2640</v>
      </c>
      <c r="AH353" s="28" t="s">
        <v>9</v>
      </c>
      <c r="AI353" s="28" t="s">
        <v>2297</v>
      </c>
      <c r="AJ353" s="28" t="s">
        <v>2301</v>
      </c>
      <c r="AK353" s="28" t="s">
        <v>12</v>
      </c>
      <c r="AL353" s="28" t="s">
        <v>2298</v>
      </c>
      <c r="AM353" s="114"/>
    </row>
    <row r="354" spans="7:39">
      <c r="G354" s="27">
        <v>2026</v>
      </c>
      <c r="H354" s="27" t="s">
        <v>170</v>
      </c>
      <c r="I354" s="27" t="s">
        <v>16</v>
      </c>
      <c r="J354" s="27" t="s">
        <v>53</v>
      </c>
      <c r="K354" s="27" t="s">
        <v>16</v>
      </c>
      <c r="L354" s="27" t="s">
        <v>525</v>
      </c>
      <c r="M354" s="27" t="s">
        <v>513</v>
      </c>
      <c r="N354" s="27">
        <v>9</v>
      </c>
      <c r="O354" s="27">
        <v>5</v>
      </c>
      <c r="P354" s="27" t="s">
        <v>490</v>
      </c>
      <c r="Q354" s="27" t="s">
        <v>111</v>
      </c>
      <c r="R354" s="27" t="s">
        <v>131</v>
      </c>
      <c r="S354" s="27" t="s">
        <v>112</v>
      </c>
      <c r="U354" s="18">
        <v>352</v>
      </c>
      <c r="V354" s="18" t="s">
        <v>1190</v>
      </c>
      <c r="W354" s="18">
        <v>27</v>
      </c>
      <c r="X354" s="18" t="s">
        <v>25</v>
      </c>
      <c r="Y354" s="18" t="s">
        <v>664</v>
      </c>
      <c r="Z354" s="18" t="s">
        <v>707</v>
      </c>
      <c r="AA354" s="18">
        <v>16</v>
      </c>
      <c r="AC354" s="28" t="s">
        <v>2637</v>
      </c>
      <c r="AD354" s="28" t="s">
        <v>2705</v>
      </c>
      <c r="AE354" s="28" t="s">
        <v>2304</v>
      </c>
      <c r="AF354" s="28" t="s">
        <v>2701</v>
      </c>
      <c r="AG354" s="28" t="s">
        <v>2696</v>
      </c>
      <c r="AH354" s="28" t="s">
        <v>24</v>
      </c>
      <c r="AI354" s="28" t="s">
        <v>2305</v>
      </c>
      <c r="AJ354" s="28" t="s">
        <v>2297</v>
      </c>
      <c r="AK354" s="28" t="s">
        <v>19</v>
      </c>
      <c r="AL354" s="28" t="s">
        <v>2298</v>
      </c>
      <c r="AM354" s="114"/>
    </row>
    <row r="355" spans="7:39">
      <c r="U355" s="18">
        <v>353</v>
      </c>
      <c r="V355" s="18" t="s">
        <v>1191</v>
      </c>
      <c r="W355" s="18">
        <v>31</v>
      </c>
      <c r="X355" s="18" t="s">
        <v>25</v>
      </c>
      <c r="Y355" s="18" t="s">
        <v>664</v>
      </c>
      <c r="Z355" s="18" t="s">
        <v>1179</v>
      </c>
      <c r="AA355" s="18">
        <v>22</v>
      </c>
      <c r="AC355" s="28" t="s">
        <v>2637</v>
      </c>
      <c r="AD355" s="28" t="s">
        <v>2706</v>
      </c>
      <c r="AE355" s="28" t="s">
        <v>2299</v>
      </c>
      <c r="AF355" s="28" t="s">
        <v>2695</v>
      </c>
      <c r="AG355" s="28" t="s">
        <v>2696</v>
      </c>
      <c r="AH355" s="28" t="s">
        <v>5</v>
      </c>
      <c r="AI355" s="28" t="s">
        <v>2296</v>
      </c>
      <c r="AJ355" s="28" t="s">
        <v>2297</v>
      </c>
      <c r="AK355" s="28" t="s">
        <v>27</v>
      </c>
      <c r="AL355" s="28" t="s">
        <v>2298</v>
      </c>
      <c r="AM355" s="114"/>
    </row>
    <row r="356" spans="7:39">
      <c r="U356" s="18">
        <v>354</v>
      </c>
      <c r="V356" s="18" t="s">
        <v>1192</v>
      </c>
      <c r="W356" s="18">
        <v>25</v>
      </c>
      <c r="X356" s="18" t="s">
        <v>25</v>
      </c>
      <c r="Y356" s="18" t="s">
        <v>669</v>
      </c>
      <c r="Z356" s="18" t="s">
        <v>818</v>
      </c>
      <c r="AA356" s="18">
        <v>6</v>
      </c>
      <c r="AC356" s="28" t="s">
        <v>2637</v>
      </c>
      <c r="AD356" s="28" t="s">
        <v>2707</v>
      </c>
      <c r="AE356" s="28" t="s">
        <v>2293</v>
      </c>
      <c r="AF356" s="28" t="s">
        <v>2639</v>
      </c>
      <c r="AG356" s="28" t="s">
        <v>2640</v>
      </c>
      <c r="AH356" s="28" t="s">
        <v>37</v>
      </c>
      <c r="AI356" s="28" t="s">
        <v>2302</v>
      </c>
      <c r="AJ356" s="28" t="s">
        <v>2302</v>
      </c>
      <c r="AK356" s="28" t="s">
        <v>26</v>
      </c>
      <c r="AL356" s="28" t="s">
        <v>2298</v>
      </c>
      <c r="AM356" s="114"/>
    </row>
    <row r="357" spans="7:39">
      <c r="U357" s="18">
        <v>355</v>
      </c>
      <c r="V357" s="18" t="s">
        <v>1193</v>
      </c>
      <c r="W357" s="18">
        <v>21</v>
      </c>
      <c r="X357" s="18" t="s">
        <v>25</v>
      </c>
      <c r="Y357" s="18" t="s">
        <v>675</v>
      </c>
      <c r="Z357" s="18" t="s">
        <v>584</v>
      </c>
      <c r="AA357" s="18">
        <v>8</v>
      </c>
      <c r="AC357" s="28" t="s">
        <v>2637</v>
      </c>
      <c r="AD357" s="28" t="s">
        <v>2708</v>
      </c>
      <c r="AE357" s="28" t="s">
        <v>2307</v>
      </c>
      <c r="AF357" s="28" t="s">
        <v>2699</v>
      </c>
      <c r="AG357" s="28" t="s">
        <v>2640</v>
      </c>
      <c r="AH357" s="28" t="s">
        <v>20</v>
      </c>
      <c r="AI357" s="28" t="s">
        <v>2301</v>
      </c>
      <c r="AJ357" s="28" t="s">
        <v>2305</v>
      </c>
      <c r="AK357" s="28" t="s">
        <v>12</v>
      </c>
      <c r="AL357" s="28" t="s">
        <v>2298</v>
      </c>
      <c r="AM357" s="114"/>
    </row>
    <row r="358" spans="7:39">
      <c r="U358" s="18">
        <v>356</v>
      </c>
      <c r="V358" s="18" t="s">
        <v>1194</v>
      </c>
      <c r="W358" s="18">
        <v>32</v>
      </c>
      <c r="X358" s="18" t="s">
        <v>25</v>
      </c>
      <c r="Y358" s="18" t="s">
        <v>675</v>
      </c>
      <c r="Z358" s="18" t="s">
        <v>949</v>
      </c>
      <c r="AA358" s="18">
        <v>10</v>
      </c>
      <c r="AC358" s="28" t="s">
        <v>2637</v>
      </c>
      <c r="AD358" s="28" t="s">
        <v>2709</v>
      </c>
      <c r="AE358" s="28" t="s">
        <v>2304</v>
      </c>
      <c r="AF358" s="28" t="s">
        <v>2701</v>
      </c>
      <c r="AG358" s="28" t="s">
        <v>2696</v>
      </c>
      <c r="AH358" s="28" t="s">
        <v>19</v>
      </c>
      <c r="AI358" s="28" t="s">
        <v>2302</v>
      </c>
      <c r="AJ358" s="28" t="s">
        <v>2302</v>
      </c>
      <c r="AK358" s="28" t="s">
        <v>23</v>
      </c>
      <c r="AL358" s="28" t="s">
        <v>2298</v>
      </c>
      <c r="AM358" s="114"/>
    </row>
    <row r="359" spans="7:39">
      <c r="U359" s="18">
        <v>357</v>
      </c>
      <c r="V359" s="18" t="s">
        <v>1195</v>
      </c>
      <c r="W359" s="18">
        <v>27</v>
      </c>
      <c r="X359" s="18" t="s">
        <v>25</v>
      </c>
      <c r="Y359" s="18" t="s">
        <v>679</v>
      </c>
      <c r="Z359" s="18" t="s">
        <v>707</v>
      </c>
      <c r="AA359" s="18">
        <v>7</v>
      </c>
      <c r="AC359" s="28" t="s">
        <v>2637</v>
      </c>
      <c r="AD359" s="28" t="s">
        <v>2710</v>
      </c>
      <c r="AE359" s="28" t="s">
        <v>106</v>
      </c>
      <c r="AF359" s="28" t="s">
        <v>2639</v>
      </c>
      <c r="AG359" s="28" t="s">
        <v>2640</v>
      </c>
      <c r="AH359" s="28" t="s">
        <v>37</v>
      </c>
      <c r="AI359" s="28" t="s">
        <v>2302</v>
      </c>
      <c r="AJ359" s="28" t="s">
        <v>2305</v>
      </c>
      <c r="AK359" s="28" t="s">
        <v>20</v>
      </c>
      <c r="AL359" s="28" t="s">
        <v>2298</v>
      </c>
      <c r="AM359" s="114"/>
    </row>
    <row r="360" spans="7:39">
      <c r="U360" s="18">
        <v>358</v>
      </c>
      <c r="V360" s="18" t="s">
        <v>1196</v>
      </c>
      <c r="W360" s="18">
        <v>21</v>
      </c>
      <c r="X360" s="18" t="s">
        <v>25</v>
      </c>
      <c r="Y360" s="18" t="s">
        <v>679</v>
      </c>
      <c r="Z360" s="18" t="s">
        <v>905</v>
      </c>
      <c r="AA360" s="18">
        <v>11</v>
      </c>
      <c r="AC360" s="28" t="s">
        <v>2637</v>
      </c>
      <c r="AD360" s="28" t="s">
        <v>2711</v>
      </c>
      <c r="AE360" s="28" t="s">
        <v>106</v>
      </c>
      <c r="AF360" s="28" t="s">
        <v>2645</v>
      </c>
      <c r="AG360" s="28" t="s">
        <v>2646</v>
      </c>
      <c r="AH360" s="28" t="s">
        <v>24</v>
      </c>
      <c r="AI360" s="28" t="s">
        <v>2301</v>
      </c>
      <c r="AJ360" s="28" t="s">
        <v>2301</v>
      </c>
      <c r="AK360" s="28" t="s">
        <v>5</v>
      </c>
      <c r="AL360" s="28" t="s">
        <v>3581</v>
      </c>
      <c r="AM360" s="114"/>
    </row>
    <row r="361" spans="7:39">
      <c r="U361" s="18">
        <v>359</v>
      </c>
      <c r="V361" s="18" t="s">
        <v>1197</v>
      </c>
      <c r="W361" s="18">
        <v>30</v>
      </c>
      <c r="X361" s="18" t="s">
        <v>25</v>
      </c>
      <c r="Y361" s="18" t="s">
        <v>681</v>
      </c>
      <c r="Z361" s="18" t="s">
        <v>1198</v>
      </c>
      <c r="AA361" s="18">
        <v>17</v>
      </c>
      <c r="AC361" s="28" t="s">
        <v>2637</v>
      </c>
      <c r="AD361" s="28" t="s">
        <v>2712</v>
      </c>
      <c r="AE361" s="28" t="s">
        <v>2350</v>
      </c>
      <c r="AF361" s="28" t="s">
        <v>2677</v>
      </c>
      <c r="AG361" s="28" t="s">
        <v>2678</v>
      </c>
      <c r="AH361" s="28" t="s">
        <v>37</v>
      </c>
      <c r="AI361" s="28" t="s">
        <v>2301</v>
      </c>
      <c r="AJ361" s="28" t="s">
        <v>2305</v>
      </c>
      <c r="AK361" s="28" t="s">
        <v>5</v>
      </c>
      <c r="AL361" s="28" t="s">
        <v>2298</v>
      </c>
      <c r="AM361" s="114"/>
    </row>
    <row r="362" spans="7:39">
      <c r="U362" s="18">
        <v>360</v>
      </c>
      <c r="V362" s="18" t="s">
        <v>1199</v>
      </c>
      <c r="W362" s="18">
        <v>25</v>
      </c>
      <c r="X362" s="18" t="s">
        <v>25</v>
      </c>
      <c r="Y362" s="18" t="s">
        <v>681</v>
      </c>
      <c r="Z362" s="18" t="s">
        <v>1179</v>
      </c>
      <c r="AA362" s="18">
        <v>19</v>
      </c>
      <c r="AC362" s="28" t="s">
        <v>2637</v>
      </c>
      <c r="AD362" s="28" t="s">
        <v>2713</v>
      </c>
      <c r="AE362" s="28" t="s">
        <v>238</v>
      </c>
      <c r="AF362" s="28" t="s">
        <v>2701</v>
      </c>
      <c r="AG362" s="28" t="s">
        <v>2696</v>
      </c>
      <c r="AH362" s="28" t="s">
        <v>20</v>
      </c>
      <c r="AI362" s="28" t="s">
        <v>2301</v>
      </c>
      <c r="AJ362" s="28" t="s">
        <v>2297</v>
      </c>
      <c r="AK362" s="28" t="s">
        <v>24</v>
      </c>
      <c r="AL362" s="28" t="s">
        <v>2298</v>
      </c>
      <c r="AM362" s="114"/>
    </row>
    <row r="363" spans="7:39">
      <c r="U363" s="18">
        <v>361</v>
      </c>
      <c r="V363" s="18" t="s">
        <v>1200</v>
      </c>
      <c r="W363" s="18">
        <v>25</v>
      </c>
      <c r="X363" s="18" t="s">
        <v>25</v>
      </c>
      <c r="Y363" s="18" t="s">
        <v>681</v>
      </c>
      <c r="Z363" s="18" t="s">
        <v>707</v>
      </c>
      <c r="AA363" s="18">
        <v>24</v>
      </c>
      <c r="AC363" s="28" t="s">
        <v>2714</v>
      </c>
      <c r="AD363" s="28" t="s">
        <v>2715</v>
      </c>
      <c r="AE363" s="28" t="s">
        <v>2590</v>
      </c>
      <c r="AF363" s="28" t="s">
        <v>2533</v>
      </c>
      <c r="AG363" s="28" t="s">
        <v>2534</v>
      </c>
      <c r="AH363" s="28" t="s">
        <v>34</v>
      </c>
      <c r="AI363" s="28" t="s">
        <v>2297</v>
      </c>
      <c r="AJ363" s="28" t="s">
        <v>2297</v>
      </c>
      <c r="AK363" s="28" t="s">
        <v>20</v>
      </c>
      <c r="AL363" s="28" t="s">
        <v>2298</v>
      </c>
      <c r="AM363" s="114"/>
    </row>
    <row r="364" spans="7:39">
      <c r="U364" s="18">
        <v>362</v>
      </c>
      <c r="V364" s="18" t="s">
        <v>1201</v>
      </c>
      <c r="W364" s="18">
        <v>21</v>
      </c>
      <c r="X364" s="18" t="s">
        <v>25</v>
      </c>
      <c r="Y364" s="18" t="s">
        <v>683</v>
      </c>
      <c r="Z364" s="18" t="s">
        <v>1202</v>
      </c>
      <c r="AA364" s="18">
        <v>9</v>
      </c>
      <c r="AC364" s="28" t="s">
        <v>2714</v>
      </c>
      <c r="AD364" s="28" t="s">
        <v>2716</v>
      </c>
      <c r="AE364" s="28" t="s">
        <v>2717</v>
      </c>
      <c r="AF364" s="28" t="s">
        <v>2539</v>
      </c>
      <c r="AG364" s="28" t="s">
        <v>2540</v>
      </c>
      <c r="AH364" s="28" t="s">
        <v>45</v>
      </c>
      <c r="AI364" s="28" t="s">
        <v>2302</v>
      </c>
      <c r="AJ364" s="28" t="s">
        <v>2297</v>
      </c>
      <c r="AK364" s="28" t="s">
        <v>5</v>
      </c>
      <c r="AL364" s="28" t="s">
        <v>2298</v>
      </c>
      <c r="AM364" s="114"/>
    </row>
    <row r="365" spans="7:39">
      <c r="U365" s="18">
        <v>363</v>
      </c>
      <c r="V365" s="18" t="s">
        <v>1203</v>
      </c>
      <c r="W365" s="18">
        <v>26</v>
      </c>
      <c r="X365" s="18" t="s">
        <v>25</v>
      </c>
      <c r="Y365" s="18" t="s">
        <v>683</v>
      </c>
      <c r="Z365" s="18" t="s">
        <v>1179</v>
      </c>
      <c r="AA365" s="18">
        <v>21</v>
      </c>
      <c r="AC365" s="28" t="s">
        <v>2714</v>
      </c>
      <c r="AD365" s="28" t="s">
        <v>2718</v>
      </c>
      <c r="AE365" s="28" t="s">
        <v>2719</v>
      </c>
      <c r="AF365" s="28" t="s">
        <v>2541</v>
      </c>
      <c r="AG365" s="28" t="s">
        <v>2542</v>
      </c>
      <c r="AH365" s="28" t="s">
        <v>19</v>
      </c>
      <c r="AI365" s="28" t="s">
        <v>2302</v>
      </c>
      <c r="AJ365" s="28" t="s">
        <v>2297</v>
      </c>
      <c r="AK365" s="28" t="s">
        <v>12</v>
      </c>
      <c r="AL365" s="28" t="s">
        <v>2298</v>
      </c>
      <c r="AM365" s="114"/>
    </row>
    <row r="366" spans="7:39">
      <c r="U366" s="18">
        <v>364</v>
      </c>
      <c r="V366" s="18" t="s">
        <v>1204</v>
      </c>
      <c r="W366" s="18">
        <v>20</v>
      </c>
      <c r="X366" s="18" t="s">
        <v>25</v>
      </c>
      <c r="Y366" s="18" t="s">
        <v>683</v>
      </c>
      <c r="Z366" s="18" t="s">
        <v>953</v>
      </c>
      <c r="AA366" s="18">
        <v>26</v>
      </c>
      <c r="AC366" s="28" t="s">
        <v>2714</v>
      </c>
      <c r="AD366" s="28" t="s">
        <v>2720</v>
      </c>
      <c r="AE366" s="28" t="s">
        <v>2717</v>
      </c>
      <c r="AF366" s="28" t="s">
        <v>2721</v>
      </c>
      <c r="AG366" s="28" t="s">
        <v>2722</v>
      </c>
      <c r="AH366" s="28" t="s">
        <v>26</v>
      </c>
      <c r="AI366" s="28" t="s">
        <v>2316</v>
      </c>
      <c r="AJ366" s="28" t="s">
        <v>2302</v>
      </c>
      <c r="AK366" s="28" t="s">
        <v>15</v>
      </c>
      <c r="AL366" s="28" t="s">
        <v>2298</v>
      </c>
      <c r="AM366" s="114"/>
    </row>
    <row r="367" spans="7:39">
      <c r="U367" s="18">
        <v>365</v>
      </c>
      <c r="V367" s="18" t="s">
        <v>504</v>
      </c>
      <c r="W367" s="18">
        <v>34</v>
      </c>
      <c r="X367" s="18" t="s">
        <v>38</v>
      </c>
      <c r="Y367" s="18" t="s">
        <v>642</v>
      </c>
      <c r="Z367" s="18" t="s">
        <v>1205</v>
      </c>
      <c r="AA367" s="18">
        <v>1</v>
      </c>
      <c r="AC367" s="28" t="s">
        <v>2714</v>
      </c>
      <c r="AD367" s="28" t="s">
        <v>2720</v>
      </c>
      <c r="AE367" s="28" t="s">
        <v>2590</v>
      </c>
      <c r="AF367" s="28" t="s">
        <v>2723</v>
      </c>
      <c r="AG367" s="28" t="s">
        <v>2534</v>
      </c>
      <c r="AH367" s="28" t="s">
        <v>9</v>
      </c>
      <c r="AI367" s="28" t="s">
        <v>2301</v>
      </c>
      <c r="AJ367" s="28" t="s">
        <v>2297</v>
      </c>
      <c r="AK367" s="28" t="s">
        <v>2425</v>
      </c>
      <c r="AL367" s="28" t="s">
        <v>2298</v>
      </c>
      <c r="AM367" s="114"/>
    </row>
    <row r="368" spans="7:39">
      <c r="U368" s="18">
        <v>366</v>
      </c>
      <c r="V368" s="18" t="s">
        <v>1206</v>
      </c>
      <c r="W368" s="18">
        <v>31</v>
      </c>
      <c r="X368" s="18" t="s">
        <v>38</v>
      </c>
      <c r="Y368" s="18" t="s">
        <v>642</v>
      </c>
      <c r="Z368" s="18" t="s">
        <v>1207</v>
      </c>
      <c r="AA368" s="18">
        <v>12</v>
      </c>
      <c r="AC368" s="28" t="s">
        <v>2714</v>
      </c>
      <c r="AD368" s="28" t="s">
        <v>2724</v>
      </c>
      <c r="AE368" s="28" t="s">
        <v>2725</v>
      </c>
      <c r="AF368" s="28" t="s">
        <v>2726</v>
      </c>
      <c r="AG368" s="28" t="s">
        <v>2727</v>
      </c>
      <c r="AH368" s="28" t="s">
        <v>46</v>
      </c>
      <c r="AI368" s="28" t="s">
        <v>2302</v>
      </c>
      <c r="AJ368" s="28" t="s">
        <v>2302</v>
      </c>
      <c r="AK368" s="28" t="s">
        <v>37</v>
      </c>
      <c r="AL368" s="28" t="s">
        <v>2298</v>
      </c>
      <c r="AM368" s="114"/>
    </row>
    <row r="369" spans="21:39">
      <c r="U369" s="18">
        <v>367</v>
      </c>
      <c r="V369" s="18" t="s">
        <v>1208</v>
      </c>
      <c r="W369" s="18">
        <v>22</v>
      </c>
      <c r="X369" s="18" t="s">
        <v>38</v>
      </c>
      <c r="Y369" s="18" t="s">
        <v>642</v>
      </c>
      <c r="Z369" s="18" t="s">
        <v>1209</v>
      </c>
      <c r="AA369" s="18">
        <v>18</v>
      </c>
      <c r="AC369" s="28" t="s">
        <v>2714</v>
      </c>
      <c r="AD369" s="28" t="s">
        <v>2728</v>
      </c>
      <c r="AE369" s="28" t="s">
        <v>2719</v>
      </c>
      <c r="AF369" s="28" t="s">
        <v>2729</v>
      </c>
      <c r="AG369" s="28" t="s">
        <v>2542</v>
      </c>
      <c r="AH369" s="28" t="s">
        <v>43</v>
      </c>
      <c r="AI369" s="28" t="s">
        <v>2297</v>
      </c>
      <c r="AJ369" s="28" t="s">
        <v>2297</v>
      </c>
      <c r="AK369" s="28" t="s">
        <v>27</v>
      </c>
      <c r="AL369" s="28" t="s">
        <v>2298</v>
      </c>
      <c r="AM369" s="114"/>
    </row>
    <row r="370" spans="21:39">
      <c r="U370" s="18">
        <v>368</v>
      </c>
      <c r="V370" s="18" t="s">
        <v>1210</v>
      </c>
      <c r="W370" s="18">
        <v>32</v>
      </c>
      <c r="X370" s="18" t="s">
        <v>38</v>
      </c>
      <c r="Y370" s="18" t="s">
        <v>649</v>
      </c>
      <c r="Z370" s="18" t="s">
        <v>1211</v>
      </c>
      <c r="AA370" s="18">
        <v>2</v>
      </c>
      <c r="AC370" s="28" t="s">
        <v>2714</v>
      </c>
      <c r="AD370" s="28" t="s">
        <v>2728</v>
      </c>
      <c r="AE370" s="28" t="s">
        <v>2588</v>
      </c>
      <c r="AF370" s="28" t="s">
        <v>2533</v>
      </c>
      <c r="AG370" s="28" t="s">
        <v>2534</v>
      </c>
      <c r="AH370" s="28" t="s">
        <v>33</v>
      </c>
      <c r="AI370" s="28" t="s">
        <v>2297</v>
      </c>
      <c r="AJ370" s="28" t="s">
        <v>2305</v>
      </c>
      <c r="AK370" s="28" t="s">
        <v>28</v>
      </c>
      <c r="AL370" s="28" t="s">
        <v>2298</v>
      </c>
      <c r="AM370" s="114"/>
    </row>
    <row r="371" spans="21:39">
      <c r="U371" s="18">
        <v>369</v>
      </c>
      <c r="V371" s="18" t="s">
        <v>1212</v>
      </c>
      <c r="W371" s="18">
        <v>22</v>
      </c>
      <c r="X371" s="18" t="s">
        <v>38</v>
      </c>
      <c r="Y371" s="18" t="s">
        <v>649</v>
      </c>
      <c r="Z371" s="18" t="s">
        <v>1213</v>
      </c>
      <c r="AA371" s="18">
        <v>3</v>
      </c>
      <c r="AC371" s="28" t="s">
        <v>2714</v>
      </c>
      <c r="AD371" s="28" t="s">
        <v>2730</v>
      </c>
      <c r="AE371" s="28" t="s">
        <v>2725</v>
      </c>
      <c r="AF371" s="28" t="s">
        <v>2731</v>
      </c>
      <c r="AG371" s="28" t="s">
        <v>2727</v>
      </c>
      <c r="AH371" s="28" t="s">
        <v>30</v>
      </c>
      <c r="AI371" s="28" t="s">
        <v>2297</v>
      </c>
      <c r="AJ371" s="28" t="s">
        <v>2302</v>
      </c>
      <c r="AK371" s="28" t="s">
        <v>23</v>
      </c>
      <c r="AL371" s="28" t="s">
        <v>2298</v>
      </c>
      <c r="AM371" s="114"/>
    </row>
    <row r="372" spans="21:39">
      <c r="U372" s="18">
        <v>370</v>
      </c>
      <c r="V372" s="18" t="s">
        <v>1214</v>
      </c>
      <c r="W372" s="18">
        <v>25</v>
      </c>
      <c r="X372" s="18" t="s">
        <v>38</v>
      </c>
      <c r="Y372" s="18" t="s">
        <v>649</v>
      </c>
      <c r="Z372" s="18" t="s">
        <v>1215</v>
      </c>
      <c r="AA372" s="18">
        <v>15</v>
      </c>
      <c r="AC372" s="28" t="s">
        <v>2714</v>
      </c>
      <c r="AD372" s="28" t="s">
        <v>2732</v>
      </c>
      <c r="AE372" s="28" t="s">
        <v>2588</v>
      </c>
      <c r="AF372" s="28" t="s">
        <v>2733</v>
      </c>
      <c r="AG372" s="28" t="s">
        <v>2545</v>
      </c>
      <c r="AH372" s="28" t="s">
        <v>13</v>
      </c>
      <c r="AI372" s="28" t="s">
        <v>2297</v>
      </c>
      <c r="AJ372" s="28" t="s">
        <v>2302</v>
      </c>
      <c r="AK372" s="28" t="s">
        <v>48</v>
      </c>
      <c r="AL372" s="28" t="s">
        <v>2298</v>
      </c>
      <c r="AM372" s="114"/>
    </row>
    <row r="373" spans="21:39">
      <c r="U373" s="18">
        <v>371</v>
      </c>
      <c r="V373" s="18" t="s">
        <v>501</v>
      </c>
      <c r="W373" s="18">
        <v>27</v>
      </c>
      <c r="X373" s="18" t="s">
        <v>38</v>
      </c>
      <c r="Y373" s="18" t="s">
        <v>649</v>
      </c>
      <c r="Z373" s="18" t="s">
        <v>1216</v>
      </c>
      <c r="AA373" s="18">
        <v>19</v>
      </c>
      <c r="AC373" s="28" t="s">
        <v>2714</v>
      </c>
      <c r="AD373" s="28" t="s">
        <v>2734</v>
      </c>
      <c r="AE373" s="28" t="s">
        <v>2735</v>
      </c>
      <c r="AF373" s="28" t="s">
        <v>2736</v>
      </c>
      <c r="AG373" s="28" t="s">
        <v>2737</v>
      </c>
      <c r="AH373" s="28" t="s">
        <v>39</v>
      </c>
      <c r="AI373" s="28" t="s">
        <v>2302</v>
      </c>
      <c r="AJ373" s="28" t="s">
        <v>2297</v>
      </c>
      <c r="AK373" s="28" t="s">
        <v>49</v>
      </c>
      <c r="AL373" s="28" t="s">
        <v>2298</v>
      </c>
      <c r="AM373" s="114"/>
    </row>
    <row r="374" spans="21:39">
      <c r="U374" s="18">
        <v>372</v>
      </c>
      <c r="V374" s="18" t="s">
        <v>1217</v>
      </c>
      <c r="W374" s="18">
        <v>30</v>
      </c>
      <c r="X374" s="18" t="s">
        <v>38</v>
      </c>
      <c r="Y374" s="18" t="s">
        <v>649</v>
      </c>
      <c r="Z374" s="18" t="s">
        <v>811</v>
      </c>
      <c r="AA374" s="18">
        <v>21</v>
      </c>
      <c r="AC374" s="28" t="s">
        <v>2714</v>
      </c>
      <c r="AD374" s="28" t="s">
        <v>2732</v>
      </c>
      <c r="AE374" s="28" t="s">
        <v>2735</v>
      </c>
      <c r="AF374" s="28" t="s">
        <v>2738</v>
      </c>
      <c r="AG374" s="28" t="s">
        <v>2739</v>
      </c>
      <c r="AH374" s="28" t="s">
        <v>11</v>
      </c>
      <c r="AI374" s="28" t="s">
        <v>2297</v>
      </c>
      <c r="AJ374" s="28" t="s">
        <v>2297</v>
      </c>
      <c r="AK374" s="28" t="s">
        <v>24</v>
      </c>
      <c r="AL374" s="28" t="s">
        <v>2298</v>
      </c>
      <c r="AM374" s="114"/>
    </row>
    <row r="375" spans="21:39">
      <c r="U375" s="18">
        <v>373</v>
      </c>
      <c r="V375" s="18" t="s">
        <v>1218</v>
      </c>
      <c r="W375" s="18">
        <v>18</v>
      </c>
      <c r="X375" s="18" t="s">
        <v>38</v>
      </c>
      <c r="Y375" s="18" t="s">
        <v>649</v>
      </c>
      <c r="Z375" s="18" t="s">
        <v>1219</v>
      </c>
      <c r="AA375" s="18">
        <v>25</v>
      </c>
      <c r="AC375" s="28" t="s">
        <v>2714</v>
      </c>
      <c r="AD375" s="28" t="s">
        <v>2740</v>
      </c>
      <c r="AE375" s="28" t="s">
        <v>2590</v>
      </c>
      <c r="AF375" s="28" t="s">
        <v>2536</v>
      </c>
      <c r="AG375" s="28" t="s">
        <v>2537</v>
      </c>
      <c r="AH375" s="28" t="s">
        <v>20</v>
      </c>
      <c r="AI375" s="28" t="s">
        <v>2297</v>
      </c>
      <c r="AJ375" s="28" t="s">
        <v>2297</v>
      </c>
      <c r="AK375" s="28" t="s">
        <v>9</v>
      </c>
      <c r="AL375" s="28" t="s">
        <v>2298</v>
      </c>
      <c r="AM375" s="114"/>
    </row>
    <row r="376" spans="21:39">
      <c r="U376" s="18">
        <v>374</v>
      </c>
      <c r="V376" s="18" t="s">
        <v>1220</v>
      </c>
      <c r="W376" s="18">
        <v>23</v>
      </c>
      <c r="X376" s="18" t="s">
        <v>38</v>
      </c>
      <c r="Y376" s="18" t="s">
        <v>657</v>
      </c>
      <c r="Z376" s="18" t="s">
        <v>798</v>
      </c>
      <c r="AA376" s="18">
        <v>5</v>
      </c>
      <c r="AC376" s="28" t="s">
        <v>2714</v>
      </c>
      <c r="AD376" s="28" t="s">
        <v>2740</v>
      </c>
      <c r="AE376" s="28" t="s">
        <v>2717</v>
      </c>
      <c r="AF376" s="28" t="s">
        <v>2539</v>
      </c>
      <c r="AG376" s="28" t="s">
        <v>2540</v>
      </c>
      <c r="AH376" s="28" t="s">
        <v>5</v>
      </c>
      <c r="AI376" s="28" t="s">
        <v>2297</v>
      </c>
      <c r="AJ376" s="28" t="s">
        <v>2297</v>
      </c>
      <c r="AK376" s="28" t="s">
        <v>26</v>
      </c>
      <c r="AL376" s="28" t="s">
        <v>2298</v>
      </c>
      <c r="AM376" s="114"/>
    </row>
    <row r="377" spans="21:39">
      <c r="U377" s="18">
        <v>375</v>
      </c>
      <c r="V377" s="18" t="s">
        <v>1221</v>
      </c>
      <c r="W377" s="18">
        <v>35</v>
      </c>
      <c r="X377" s="18" t="s">
        <v>38</v>
      </c>
      <c r="Y377" s="18" t="s">
        <v>657</v>
      </c>
      <c r="Z377" s="18" t="s">
        <v>1209</v>
      </c>
      <c r="AA377" s="18">
        <v>16</v>
      </c>
      <c r="AC377" s="28" t="s">
        <v>2714</v>
      </c>
      <c r="AD377" s="28" t="s">
        <v>2741</v>
      </c>
      <c r="AE377" s="28" t="s">
        <v>2590</v>
      </c>
      <c r="AF377" s="28" t="s">
        <v>2723</v>
      </c>
      <c r="AG377" s="28" t="s">
        <v>2534</v>
      </c>
      <c r="AH377" s="28" t="s">
        <v>2425</v>
      </c>
      <c r="AI377" s="28" t="s">
        <v>2297</v>
      </c>
      <c r="AJ377" s="28" t="s">
        <v>2297</v>
      </c>
      <c r="AK377" s="28" t="s">
        <v>34</v>
      </c>
      <c r="AL377" s="28" t="s">
        <v>2298</v>
      </c>
      <c r="AM377" s="114"/>
    </row>
    <row r="378" spans="21:39">
      <c r="U378" s="18">
        <v>376</v>
      </c>
      <c r="V378" s="18" t="s">
        <v>1222</v>
      </c>
      <c r="W378" s="18">
        <v>24</v>
      </c>
      <c r="X378" s="18" t="s">
        <v>38</v>
      </c>
      <c r="Y378" s="18" t="s">
        <v>661</v>
      </c>
      <c r="Z378" s="18" t="s">
        <v>1223</v>
      </c>
      <c r="AA378" s="18">
        <v>4</v>
      </c>
      <c r="AC378" s="28" t="s">
        <v>2714</v>
      </c>
      <c r="AD378" s="28" t="s">
        <v>2742</v>
      </c>
      <c r="AE378" s="28" t="s">
        <v>2717</v>
      </c>
      <c r="AF378" s="28" t="s">
        <v>2721</v>
      </c>
      <c r="AG378" s="28" t="s">
        <v>2722</v>
      </c>
      <c r="AH378" s="28" t="s">
        <v>15</v>
      </c>
      <c r="AI378" s="28" t="s">
        <v>2305</v>
      </c>
      <c r="AJ378" s="28" t="s">
        <v>2302</v>
      </c>
      <c r="AK378" s="28" t="s">
        <v>45</v>
      </c>
      <c r="AL378" s="28" t="s">
        <v>2298</v>
      </c>
      <c r="AM378" s="114"/>
    </row>
    <row r="379" spans="21:39">
      <c r="U379" s="18">
        <v>377</v>
      </c>
      <c r="V379" s="18" t="s">
        <v>1224</v>
      </c>
      <c r="W379" s="18">
        <v>33</v>
      </c>
      <c r="X379" s="18" t="s">
        <v>38</v>
      </c>
      <c r="Y379" s="18" t="s">
        <v>661</v>
      </c>
      <c r="Z379" s="18" t="s">
        <v>1225</v>
      </c>
      <c r="AA379" s="18">
        <v>6</v>
      </c>
      <c r="AC379" s="28" t="s">
        <v>2714</v>
      </c>
      <c r="AD379" s="28" t="s">
        <v>2742</v>
      </c>
      <c r="AE379" s="28" t="s">
        <v>2719</v>
      </c>
      <c r="AF379" s="28" t="s">
        <v>2541</v>
      </c>
      <c r="AG379" s="28" t="s">
        <v>2542</v>
      </c>
      <c r="AH379" s="28" t="s">
        <v>12</v>
      </c>
      <c r="AI379" s="28" t="s">
        <v>2297</v>
      </c>
      <c r="AJ379" s="28" t="s">
        <v>2302</v>
      </c>
      <c r="AK379" s="28" t="s">
        <v>43</v>
      </c>
      <c r="AL379" s="28" t="s">
        <v>2298</v>
      </c>
      <c r="AM379" s="114"/>
    </row>
    <row r="380" spans="21:39">
      <c r="U380" s="18">
        <v>378</v>
      </c>
      <c r="V380" s="18" t="s">
        <v>1226</v>
      </c>
      <c r="W380" s="18">
        <v>27</v>
      </c>
      <c r="X380" s="18" t="s">
        <v>38</v>
      </c>
      <c r="Y380" s="18" t="s">
        <v>664</v>
      </c>
      <c r="Z380" s="18" t="s">
        <v>1215</v>
      </c>
      <c r="AA380" s="18">
        <v>13</v>
      </c>
      <c r="AC380" s="28" t="s">
        <v>2714</v>
      </c>
      <c r="AD380" s="28" t="s">
        <v>2743</v>
      </c>
      <c r="AE380" s="28" t="s">
        <v>2725</v>
      </c>
      <c r="AF380" s="28" t="s">
        <v>2731</v>
      </c>
      <c r="AG380" s="28" t="s">
        <v>2727</v>
      </c>
      <c r="AH380" s="28" t="s">
        <v>23</v>
      </c>
      <c r="AI380" s="28" t="s">
        <v>2302</v>
      </c>
      <c r="AJ380" s="28" t="s">
        <v>2302</v>
      </c>
      <c r="AK380" s="28" t="s">
        <v>46</v>
      </c>
      <c r="AL380" s="28" t="s">
        <v>2298</v>
      </c>
      <c r="AM380" s="114"/>
    </row>
    <row r="381" spans="21:39">
      <c r="U381" s="18">
        <v>379</v>
      </c>
      <c r="V381" s="18" t="s">
        <v>1227</v>
      </c>
      <c r="W381" s="18">
        <v>28</v>
      </c>
      <c r="X381" s="18" t="s">
        <v>38</v>
      </c>
      <c r="Y381" s="18" t="s">
        <v>664</v>
      </c>
      <c r="Z381" s="18" t="s">
        <v>1103</v>
      </c>
      <c r="AA381" s="18">
        <v>14</v>
      </c>
      <c r="AC381" s="28" t="s">
        <v>2714</v>
      </c>
      <c r="AD381" s="28" t="s">
        <v>2744</v>
      </c>
      <c r="AE381" s="28" t="s">
        <v>2719</v>
      </c>
      <c r="AF381" s="28" t="s">
        <v>2729</v>
      </c>
      <c r="AG381" s="28" t="s">
        <v>2542</v>
      </c>
      <c r="AH381" s="28" t="s">
        <v>27</v>
      </c>
      <c r="AI381" s="28" t="s">
        <v>2297</v>
      </c>
      <c r="AJ381" s="28" t="s">
        <v>2305</v>
      </c>
      <c r="AK381" s="28" t="s">
        <v>19</v>
      </c>
      <c r="AL381" s="28" t="s">
        <v>2298</v>
      </c>
      <c r="AM381" s="114"/>
    </row>
    <row r="382" spans="21:39">
      <c r="U382" s="18">
        <v>380</v>
      </c>
      <c r="V382" s="18" t="s">
        <v>1228</v>
      </c>
      <c r="W382" s="18">
        <v>26</v>
      </c>
      <c r="X382" s="18" t="s">
        <v>38</v>
      </c>
      <c r="Y382" s="18" t="s">
        <v>669</v>
      </c>
      <c r="Z382" s="18" t="s">
        <v>820</v>
      </c>
      <c r="AA382" s="18">
        <v>8</v>
      </c>
      <c r="AC382" s="28" t="s">
        <v>2714</v>
      </c>
      <c r="AD382" s="28" t="s">
        <v>2744</v>
      </c>
      <c r="AE382" s="28" t="s">
        <v>2588</v>
      </c>
      <c r="AF382" s="28" t="s">
        <v>2533</v>
      </c>
      <c r="AG382" s="28" t="s">
        <v>2534</v>
      </c>
      <c r="AH382" s="28" t="s">
        <v>28</v>
      </c>
      <c r="AI382" s="28" t="s">
        <v>2297</v>
      </c>
      <c r="AJ382" s="28" t="s">
        <v>2297</v>
      </c>
      <c r="AK382" s="28" t="s">
        <v>13</v>
      </c>
      <c r="AL382" s="28" t="s">
        <v>2298</v>
      </c>
      <c r="AM382" s="114"/>
    </row>
    <row r="383" spans="21:39">
      <c r="U383" s="18">
        <v>381</v>
      </c>
      <c r="V383" s="18" t="s">
        <v>505</v>
      </c>
      <c r="W383" s="18">
        <v>33</v>
      </c>
      <c r="X383" s="18" t="s">
        <v>38</v>
      </c>
      <c r="Y383" s="18" t="s">
        <v>669</v>
      </c>
      <c r="Z383" s="18" t="s">
        <v>820</v>
      </c>
      <c r="AA383" s="18">
        <v>22</v>
      </c>
      <c r="AC383" s="28" t="s">
        <v>2714</v>
      </c>
      <c r="AD383" s="28" t="s">
        <v>2745</v>
      </c>
      <c r="AE383" s="28" t="s">
        <v>2725</v>
      </c>
      <c r="AF383" s="28" t="s">
        <v>2726</v>
      </c>
      <c r="AG383" s="28" t="s">
        <v>2727</v>
      </c>
      <c r="AH383" s="28" t="s">
        <v>37</v>
      </c>
      <c r="AI383" s="28" t="s">
        <v>2297</v>
      </c>
      <c r="AJ383" s="28" t="s">
        <v>2302</v>
      </c>
      <c r="AK383" s="28" t="s">
        <v>30</v>
      </c>
      <c r="AL383" s="28" t="s">
        <v>2298</v>
      </c>
      <c r="AM383" s="114"/>
    </row>
    <row r="384" spans="21:39">
      <c r="U384" s="18">
        <v>382</v>
      </c>
      <c r="V384" s="18" t="s">
        <v>1229</v>
      </c>
      <c r="W384" s="18">
        <v>21</v>
      </c>
      <c r="X384" s="18" t="s">
        <v>38</v>
      </c>
      <c r="Y384" s="18" t="s">
        <v>669</v>
      </c>
      <c r="Z384" s="18" t="s">
        <v>1230</v>
      </c>
      <c r="AA384" s="18">
        <v>24</v>
      </c>
      <c r="AC384" s="28" t="s">
        <v>2714</v>
      </c>
      <c r="AD384" s="28" t="s">
        <v>2746</v>
      </c>
      <c r="AE384" s="28" t="s">
        <v>2588</v>
      </c>
      <c r="AF384" s="28" t="s">
        <v>2733</v>
      </c>
      <c r="AG384" s="28" t="s">
        <v>2545</v>
      </c>
      <c r="AH384" s="28" t="s">
        <v>48</v>
      </c>
      <c r="AI384" s="28" t="s">
        <v>2297</v>
      </c>
      <c r="AJ384" s="28" t="s">
        <v>2305</v>
      </c>
      <c r="AK384" s="28" t="s">
        <v>33</v>
      </c>
      <c r="AL384" s="28" t="s">
        <v>2298</v>
      </c>
      <c r="AM384" s="114"/>
    </row>
    <row r="385" spans="21:39">
      <c r="U385" s="18">
        <v>383</v>
      </c>
      <c r="V385" s="18" t="s">
        <v>1231</v>
      </c>
      <c r="W385" s="18">
        <v>29</v>
      </c>
      <c r="X385" s="18" t="s">
        <v>38</v>
      </c>
      <c r="Y385" s="18" t="s">
        <v>675</v>
      </c>
      <c r="Z385" s="18" t="s">
        <v>1232</v>
      </c>
      <c r="AA385" s="18">
        <v>10</v>
      </c>
      <c r="AC385" s="28" t="s">
        <v>2714</v>
      </c>
      <c r="AD385" s="28" t="s">
        <v>2747</v>
      </c>
      <c r="AE385" s="28" t="s">
        <v>2735</v>
      </c>
      <c r="AF385" s="28" t="s">
        <v>2736</v>
      </c>
      <c r="AG385" s="28" t="s">
        <v>2737</v>
      </c>
      <c r="AH385" s="28" t="s">
        <v>49</v>
      </c>
      <c r="AI385" s="28" t="s">
        <v>2316</v>
      </c>
      <c r="AJ385" s="28" t="s">
        <v>2297</v>
      </c>
      <c r="AK385" s="28" t="s">
        <v>11</v>
      </c>
      <c r="AL385" s="28" t="s">
        <v>2298</v>
      </c>
      <c r="AM385" s="114"/>
    </row>
    <row r="386" spans="21:39">
      <c r="U386" s="18">
        <v>384</v>
      </c>
      <c r="V386" s="18" t="s">
        <v>1233</v>
      </c>
      <c r="W386" s="18">
        <v>35</v>
      </c>
      <c r="X386" s="18" t="s">
        <v>38</v>
      </c>
      <c r="Y386" s="18" t="s">
        <v>679</v>
      </c>
      <c r="Z386" s="18" t="s">
        <v>1209</v>
      </c>
      <c r="AA386" s="18">
        <v>7</v>
      </c>
      <c r="AC386" s="28" t="s">
        <v>2714</v>
      </c>
      <c r="AD386" s="28" t="s">
        <v>2746</v>
      </c>
      <c r="AE386" s="28" t="s">
        <v>2735</v>
      </c>
      <c r="AF386" s="28" t="s">
        <v>2738</v>
      </c>
      <c r="AG386" s="28" t="s">
        <v>2739</v>
      </c>
      <c r="AH386" s="28" t="s">
        <v>24</v>
      </c>
      <c r="AI386" s="28" t="s">
        <v>2305</v>
      </c>
      <c r="AJ386" s="28" t="s">
        <v>2297</v>
      </c>
      <c r="AK386" s="28" t="s">
        <v>39</v>
      </c>
      <c r="AL386" s="28" t="s">
        <v>2298</v>
      </c>
      <c r="AM386" s="114"/>
    </row>
    <row r="387" spans="21:39">
      <c r="U387" s="18">
        <v>385</v>
      </c>
      <c r="V387" s="18" t="s">
        <v>1234</v>
      </c>
      <c r="W387" s="18">
        <v>30</v>
      </c>
      <c r="X387" s="18" t="s">
        <v>38</v>
      </c>
      <c r="Y387" s="18" t="s">
        <v>679</v>
      </c>
      <c r="Z387" s="18" t="s">
        <v>1235</v>
      </c>
      <c r="AA387" s="18">
        <v>11</v>
      </c>
      <c r="AC387" s="28" t="s">
        <v>2714</v>
      </c>
      <c r="AD387" s="28" t="s">
        <v>2748</v>
      </c>
      <c r="AE387" s="28" t="s">
        <v>2717</v>
      </c>
      <c r="AF387" s="28" t="s">
        <v>2539</v>
      </c>
      <c r="AG387" s="28" t="s">
        <v>2540</v>
      </c>
      <c r="AH387" s="28" t="s">
        <v>15</v>
      </c>
      <c r="AI387" s="28" t="s">
        <v>2302</v>
      </c>
      <c r="AJ387" s="28" t="s">
        <v>2301</v>
      </c>
      <c r="AK387" s="28" t="s">
        <v>5</v>
      </c>
      <c r="AL387" s="28" t="s">
        <v>2298</v>
      </c>
      <c r="AM387" s="114"/>
    </row>
    <row r="388" spans="21:39">
      <c r="U388" s="18">
        <v>386</v>
      </c>
      <c r="V388" s="18" t="s">
        <v>1236</v>
      </c>
      <c r="W388" s="18">
        <v>25</v>
      </c>
      <c r="X388" s="18" t="s">
        <v>38</v>
      </c>
      <c r="Y388" s="18" t="s">
        <v>679</v>
      </c>
      <c r="Z388" s="18" t="s">
        <v>1237</v>
      </c>
      <c r="AA388" s="18">
        <v>23</v>
      </c>
      <c r="AC388" s="28" t="s">
        <v>2714</v>
      </c>
      <c r="AD388" s="28" t="s">
        <v>2748</v>
      </c>
      <c r="AE388" s="28" t="s">
        <v>2717</v>
      </c>
      <c r="AF388" s="28" t="s">
        <v>2721</v>
      </c>
      <c r="AG388" s="28" t="s">
        <v>2722</v>
      </c>
      <c r="AH388" s="28" t="s">
        <v>26</v>
      </c>
      <c r="AI388" s="28" t="s">
        <v>2305</v>
      </c>
      <c r="AJ388" s="28" t="s">
        <v>2302</v>
      </c>
      <c r="AK388" s="28" t="s">
        <v>45</v>
      </c>
      <c r="AL388" s="28" t="s">
        <v>2298</v>
      </c>
      <c r="AM388" s="114"/>
    </row>
    <row r="389" spans="21:39">
      <c r="U389" s="18">
        <v>387</v>
      </c>
      <c r="V389" s="18" t="s">
        <v>1238</v>
      </c>
      <c r="W389" s="18">
        <v>20</v>
      </c>
      <c r="X389" s="18" t="s">
        <v>38</v>
      </c>
      <c r="Y389" s="18" t="s">
        <v>681</v>
      </c>
      <c r="Z389" s="18" t="s">
        <v>1239</v>
      </c>
      <c r="AA389" s="18">
        <v>17</v>
      </c>
      <c r="AC389" s="28" t="s">
        <v>2714</v>
      </c>
      <c r="AD389" s="28" t="s">
        <v>2749</v>
      </c>
      <c r="AE389" s="28" t="s">
        <v>2590</v>
      </c>
      <c r="AF389" s="28" t="s">
        <v>2536</v>
      </c>
      <c r="AG389" s="28" t="s">
        <v>2537</v>
      </c>
      <c r="AH389" s="28" t="s">
        <v>2425</v>
      </c>
      <c r="AI389" s="28" t="s">
        <v>2305</v>
      </c>
      <c r="AJ389" s="28" t="s">
        <v>2301</v>
      </c>
      <c r="AK389" s="28" t="s">
        <v>20</v>
      </c>
      <c r="AL389" s="28" t="s">
        <v>2298</v>
      </c>
      <c r="AM389" s="114"/>
    </row>
    <row r="390" spans="21:39">
      <c r="U390" s="18">
        <v>388</v>
      </c>
      <c r="V390" s="18" t="s">
        <v>1240</v>
      </c>
      <c r="W390" s="18">
        <v>22</v>
      </c>
      <c r="X390" s="18" t="s">
        <v>38</v>
      </c>
      <c r="Y390" s="18" t="s">
        <v>681</v>
      </c>
      <c r="Z390" s="18" t="s">
        <v>830</v>
      </c>
      <c r="AA390" s="18">
        <v>20</v>
      </c>
      <c r="AC390" s="28" t="s">
        <v>2714</v>
      </c>
      <c r="AD390" s="28" t="s">
        <v>2749</v>
      </c>
      <c r="AE390" s="28" t="s">
        <v>2590</v>
      </c>
      <c r="AF390" s="28" t="s">
        <v>2723</v>
      </c>
      <c r="AG390" s="28" t="s">
        <v>2534</v>
      </c>
      <c r="AH390" s="28" t="s">
        <v>9</v>
      </c>
      <c r="AI390" s="28" t="s">
        <v>2305</v>
      </c>
      <c r="AJ390" s="28" t="s">
        <v>2302</v>
      </c>
      <c r="AK390" s="28" t="s">
        <v>34</v>
      </c>
      <c r="AL390" s="28" t="s">
        <v>2298</v>
      </c>
      <c r="AM390" s="114"/>
    </row>
    <row r="391" spans="21:39">
      <c r="U391" s="18">
        <v>389</v>
      </c>
      <c r="V391" s="18" t="s">
        <v>1241</v>
      </c>
      <c r="W391" s="18">
        <v>22</v>
      </c>
      <c r="X391" s="18" t="s">
        <v>38</v>
      </c>
      <c r="Y391" s="18" t="s">
        <v>683</v>
      </c>
      <c r="Z391" s="18" t="s">
        <v>895</v>
      </c>
      <c r="AA391" s="18">
        <v>9</v>
      </c>
      <c r="AC391" s="28" t="s">
        <v>2714</v>
      </c>
      <c r="AD391" s="28" t="s">
        <v>2750</v>
      </c>
      <c r="AE391" s="28" t="s">
        <v>2588</v>
      </c>
      <c r="AF391" s="28" t="s">
        <v>2733</v>
      </c>
      <c r="AG391" s="28" t="s">
        <v>2545</v>
      </c>
      <c r="AH391" s="28" t="s">
        <v>13</v>
      </c>
      <c r="AI391" s="28" t="s">
        <v>2305</v>
      </c>
      <c r="AJ391" s="28" t="s">
        <v>2305</v>
      </c>
      <c r="AK391" s="28" t="s">
        <v>33</v>
      </c>
      <c r="AL391" s="28" t="s">
        <v>2298</v>
      </c>
      <c r="AM391" s="114"/>
    </row>
    <row r="392" spans="21:39">
      <c r="U392" s="18">
        <v>390</v>
      </c>
      <c r="V392" s="18" t="s">
        <v>1242</v>
      </c>
      <c r="W392" s="18">
        <v>25</v>
      </c>
      <c r="X392" s="18" t="s">
        <v>38</v>
      </c>
      <c r="Y392" s="18" t="s">
        <v>683</v>
      </c>
      <c r="Z392" s="18" t="s">
        <v>1243</v>
      </c>
      <c r="AA392" s="18">
        <v>26</v>
      </c>
      <c r="AC392" s="28" t="s">
        <v>2714</v>
      </c>
      <c r="AD392" s="28" t="s">
        <v>2750</v>
      </c>
      <c r="AE392" s="28" t="s">
        <v>2588</v>
      </c>
      <c r="AF392" s="28" t="s">
        <v>2533</v>
      </c>
      <c r="AG392" s="28" t="s">
        <v>2534</v>
      </c>
      <c r="AH392" s="28" t="s">
        <v>48</v>
      </c>
      <c r="AI392" s="28" t="s">
        <v>2302</v>
      </c>
      <c r="AJ392" s="28" t="s">
        <v>2297</v>
      </c>
      <c r="AK392" s="28" t="s">
        <v>28</v>
      </c>
      <c r="AL392" s="28" t="s">
        <v>2298</v>
      </c>
      <c r="AM392" s="114"/>
    </row>
    <row r="393" spans="21:39">
      <c r="U393" s="18">
        <v>391</v>
      </c>
      <c r="V393" s="18" t="s">
        <v>1244</v>
      </c>
      <c r="W393" s="18">
        <v>31</v>
      </c>
      <c r="X393" s="18" t="s">
        <v>6</v>
      </c>
      <c r="Y393" s="18" t="s">
        <v>642</v>
      </c>
      <c r="Z393" s="18" t="s">
        <v>1245</v>
      </c>
      <c r="AA393" s="18">
        <v>1</v>
      </c>
      <c r="AC393" s="28" t="s">
        <v>2714</v>
      </c>
      <c r="AD393" s="28" t="s">
        <v>2751</v>
      </c>
      <c r="AE393" s="28" t="s">
        <v>2725</v>
      </c>
      <c r="AF393" s="28" t="s">
        <v>2729</v>
      </c>
      <c r="AG393" s="28" t="s">
        <v>2542</v>
      </c>
      <c r="AH393" s="28" t="s">
        <v>30</v>
      </c>
      <c r="AI393" s="28" t="s">
        <v>2297</v>
      </c>
      <c r="AJ393" s="28" t="s">
        <v>2301</v>
      </c>
      <c r="AK393" s="28" t="s">
        <v>46</v>
      </c>
      <c r="AL393" s="28" t="s">
        <v>2298</v>
      </c>
      <c r="AM393" s="114"/>
    </row>
    <row r="394" spans="21:39">
      <c r="U394" s="18">
        <v>392</v>
      </c>
      <c r="V394" s="18" t="s">
        <v>1246</v>
      </c>
      <c r="W394" s="18">
        <v>27</v>
      </c>
      <c r="X394" s="18" t="s">
        <v>6</v>
      </c>
      <c r="Y394" s="18" t="s">
        <v>642</v>
      </c>
      <c r="Z394" s="18" t="s">
        <v>1215</v>
      </c>
      <c r="AA394" s="18">
        <v>24</v>
      </c>
      <c r="AC394" s="28" t="s">
        <v>2714</v>
      </c>
      <c r="AD394" s="28" t="s">
        <v>2751</v>
      </c>
      <c r="AE394" s="28" t="s">
        <v>2725</v>
      </c>
      <c r="AF394" s="28" t="s">
        <v>2731</v>
      </c>
      <c r="AG394" s="28" t="s">
        <v>2727</v>
      </c>
      <c r="AH394" s="28" t="s">
        <v>23</v>
      </c>
      <c r="AI394" s="28" t="s">
        <v>2301</v>
      </c>
      <c r="AJ394" s="28" t="s">
        <v>2302</v>
      </c>
      <c r="AK394" s="28" t="s">
        <v>37</v>
      </c>
      <c r="AL394" s="28" t="s">
        <v>2298</v>
      </c>
      <c r="AM394" s="114"/>
    </row>
    <row r="395" spans="21:39">
      <c r="U395" s="18">
        <v>393</v>
      </c>
      <c r="V395" s="18" t="s">
        <v>1247</v>
      </c>
      <c r="W395" s="18">
        <v>22</v>
      </c>
      <c r="X395" s="18" t="s">
        <v>6</v>
      </c>
      <c r="Y395" s="18" t="s">
        <v>642</v>
      </c>
      <c r="Z395" s="18" t="s">
        <v>743</v>
      </c>
      <c r="AA395" s="18">
        <v>25</v>
      </c>
      <c r="AC395" s="28" t="s">
        <v>2714</v>
      </c>
      <c r="AD395" s="28" t="s">
        <v>2752</v>
      </c>
      <c r="AE395" s="28" t="s">
        <v>2719</v>
      </c>
      <c r="AF395" s="28" t="s">
        <v>2541</v>
      </c>
      <c r="AG395" s="28" t="s">
        <v>2542</v>
      </c>
      <c r="AH395" s="28" t="s">
        <v>27</v>
      </c>
      <c r="AI395" s="28" t="s">
        <v>2302</v>
      </c>
      <c r="AJ395" s="28" t="s">
        <v>2301</v>
      </c>
      <c r="AK395" s="28" t="s">
        <v>12</v>
      </c>
      <c r="AL395" s="28" t="s">
        <v>2298</v>
      </c>
      <c r="AM395" s="114"/>
    </row>
    <row r="396" spans="21:39">
      <c r="U396" s="18">
        <v>394</v>
      </c>
      <c r="V396" s="18" t="s">
        <v>1248</v>
      </c>
      <c r="W396" s="18">
        <v>26</v>
      </c>
      <c r="X396" s="18" t="s">
        <v>6</v>
      </c>
      <c r="Y396" s="18" t="s">
        <v>649</v>
      </c>
      <c r="Z396" s="18" t="s">
        <v>1072</v>
      </c>
      <c r="AA396" s="18">
        <v>3</v>
      </c>
      <c r="AC396" s="28" t="s">
        <v>2714</v>
      </c>
      <c r="AD396" s="28" t="s">
        <v>2752</v>
      </c>
      <c r="AE396" s="28" t="s">
        <v>2719</v>
      </c>
      <c r="AF396" s="28" t="s">
        <v>2731</v>
      </c>
      <c r="AG396" s="28" t="s">
        <v>2727</v>
      </c>
      <c r="AH396" s="28" t="s">
        <v>43</v>
      </c>
      <c r="AI396" s="28" t="s">
        <v>2302</v>
      </c>
      <c r="AJ396" s="28" t="s">
        <v>2301</v>
      </c>
      <c r="AK396" s="28" t="s">
        <v>19</v>
      </c>
      <c r="AL396" s="28" t="s">
        <v>2298</v>
      </c>
      <c r="AM396" s="114"/>
    </row>
    <row r="397" spans="21:39">
      <c r="U397" s="18">
        <v>395</v>
      </c>
      <c r="V397" s="18" t="s">
        <v>1249</v>
      </c>
      <c r="W397" s="18">
        <v>27</v>
      </c>
      <c r="X397" s="18" t="s">
        <v>6</v>
      </c>
      <c r="Y397" s="18" t="s">
        <v>649</v>
      </c>
      <c r="Z397" s="18" t="s">
        <v>815</v>
      </c>
      <c r="AA397" s="18">
        <v>6</v>
      </c>
      <c r="AC397" s="28" t="s">
        <v>2714</v>
      </c>
      <c r="AD397" s="28" t="s">
        <v>2753</v>
      </c>
      <c r="AE397" s="28" t="s">
        <v>2735</v>
      </c>
      <c r="AF397" s="28" t="s">
        <v>2736</v>
      </c>
      <c r="AG397" s="28" t="s">
        <v>2737</v>
      </c>
      <c r="AH397" s="28" t="s">
        <v>39</v>
      </c>
      <c r="AI397" s="28" t="s">
        <v>2302</v>
      </c>
      <c r="AJ397" s="28" t="s">
        <v>2302</v>
      </c>
      <c r="AK397" s="28" t="s">
        <v>11</v>
      </c>
      <c r="AL397" s="28" t="s">
        <v>2298</v>
      </c>
      <c r="AM397" s="114"/>
    </row>
    <row r="398" spans="21:39">
      <c r="U398" s="18">
        <v>396</v>
      </c>
      <c r="V398" s="18" t="s">
        <v>1250</v>
      </c>
      <c r="W398" s="18">
        <v>29</v>
      </c>
      <c r="X398" s="18" t="s">
        <v>6</v>
      </c>
      <c r="Y398" s="18" t="s">
        <v>649</v>
      </c>
      <c r="Z398" s="18" t="s">
        <v>1251</v>
      </c>
      <c r="AA398" s="18">
        <v>12</v>
      </c>
      <c r="AC398" s="28" t="s">
        <v>2714</v>
      </c>
      <c r="AD398" s="28" t="s">
        <v>2753</v>
      </c>
      <c r="AE398" s="28" t="s">
        <v>2735</v>
      </c>
      <c r="AF398" s="28" t="s">
        <v>2738</v>
      </c>
      <c r="AG398" s="28" t="s">
        <v>2739</v>
      </c>
      <c r="AH398" s="28" t="s">
        <v>49</v>
      </c>
      <c r="AI398" s="28" t="s">
        <v>2305</v>
      </c>
      <c r="AJ398" s="28" t="s">
        <v>2302</v>
      </c>
      <c r="AK398" s="28" t="s">
        <v>24</v>
      </c>
      <c r="AL398" s="28" t="s">
        <v>2298</v>
      </c>
      <c r="AM398" s="114"/>
    </row>
    <row r="399" spans="21:39">
      <c r="U399" s="18">
        <v>397</v>
      </c>
      <c r="V399" s="18" t="s">
        <v>1252</v>
      </c>
      <c r="W399" s="18">
        <v>38</v>
      </c>
      <c r="X399" s="18" t="s">
        <v>6</v>
      </c>
      <c r="Y399" s="18" t="s">
        <v>649</v>
      </c>
      <c r="Z399" s="18" t="s">
        <v>1253</v>
      </c>
      <c r="AA399" s="18">
        <v>13</v>
      </c>
      <c r="AC399" s="28" t="s">
        <v>2714</v>
      </c>
      <c r="AD399" s="28" t="s">
        <v>2754</v>
      </c>
      <c r="AE399" s="28" t="s">
        <v>170</v>
      </c>
      <c r="AF399" s="28" t="s">
        <v>2539</v>
      </c>
      <c r="AG399" s="28" t="s">
        <v>2540</v>
      </c>
      <c r="AH399" s="28" t="s">
        <v>26</v>
      </c>
      <c r="AI399" s="28" t="s">
        <v>2301</v>
      </c>
      <c r="AJ399" s="28" t="s">
        <v>2296</v>
      </c>
      <c r="AK399" s="28" t="s">
        <v>33</v>
      </c>
      <c r="AL399" s="28" t="s">
        <v>2755</v>
      </c>
      <c r="AM399" s="114"/>
    </row>
    <row r="400" spans="21:39">
      <c r="U400" s="18">
        <v>398</v>
      </c>
      <c r="V400" s="18" t="s">
        <v>1254</v>
      </c>
      <c r="W400" s="18">
        <v>27</v>
      </c>
      <c r="X400" s="18" t="s">
        <v>6</v>
      </c>
      <c r="Y400" s="18" t="s">
        <v>649</v>
      </c>
      <c r="Z400" s="18" t="s">
        <v>1255</v>
      </c>
      <c r="AA400" s="18">
        <v>22</v>
      </c>
      <c r="AC400" s="28" t="s">
        <v>2714</v>
      </c>
      <c r="AD400" s="28" t="s">
        <v>2756</v>
      </c>
      <c r="AE400" s="28" t="s">
        <v>170</v>
      </c>
      <c r="AF400" s="28" t="s">
        <v>2533</v>
      </c>
      <c r="AG400" s="28" t="s">
        <v>2534</v>
      </c>
      <c r="AH400" s="28" t="s">
        <v>28</v>
      </c>
      <c r="AI400" s="28" t="s">
        <v>2305</v>
      </c>
      <c r="AJ400" s="28" t="s">
        <v>2302</v>
      </c>
      <c r="AK400" s="28" t="s">
        <v>34</v>
      </c>
      <c r="AL400" s="28" t="s">
        <v>2298</v>
      </c>
      <c r="AM400" s="114"/>
    </row>
    <row r="401" spans="21:39">
      <c r="U401" s="18">
        <v>399</v>
      </c>
      <c r="V401" s="18" t="s">
        <v>1256</v>
      </c>
      <c r="W401" s="18">
        <v>28</v>
      </c>
      <c r="X401" s="18" t="s">
        <v>6</v>
      </c>
      <c r="Y401" s="18" t="s">
        <v>657</v>
      </c>
      <c r="Z401" s="18" t="s">
        <v>729</v>
      </c>
      <c r="AA401" s="18">
        <v>5</v>
      </c>
      <c r="AC401" s="28" t="s">
        <v>2714</v>
      </c>
      <c r="AD401" s="28" t="s">
        <v>2757</v>
      </c>
      <c r="AE401" s="28" t="s">
        <v>170</v>
      </c>
      <c r="AF401" s="28" t="s">
        <v>2536</v>
      </c>
      <c r="AG401" s="28" t="s">
        <v>2537</v>
      </c>
      <c r="AH401" s="28" t="s">
        <v>9</v>
      </c>
      <c r="AI401" s="28" t="s">
        <v>2297</v>
      </c>
      <c r="AJ401" s="28" t="s">
        <v>2302</v>
      </c>
      <c r="AK401" s="28" t="s">
        <v>11</v>
      </c>
      <c r="AL401" s="28" t="s">
        <v>2298</v>
      </c>
      <c r="AM401" s="114"/>
    </row>
    <row r="402" spans="21:39">
      <c r="U402" s="18">
        <v>400</v>
      </c>
      <c r="V402" s="18" t="s">
        <v>1257</v>
      </c>
      <c r="W402" s="18">
        <v>25</v>
      </c>
      <c r="X402" s="18" t="s">
        <v>6</v>
      </c>
      <c r="Y402" s="18" t="s">
        <v>657</v>
      </c>
      <c r="Z402" s="18" t="s">
        <v>1258</v>
      </c>
      <c r="AA402" s="18">
        <v>18</v>
      </c>
      <c r="AC402" s="28" t="s">
        <v>2714</v>
      </c>
      <c r="AD402" s="28" t="s">
        <v>2758</v>
      </c>
      <c r="AE402" s="28" t="s">
        <v>170</v>
      </c>
      <c r="AF402" s="28" t="s">
        <v>2541</v>
      </c>
      <c r="AG402" s="28" t="s">
        <v>2542</v>
      </c>
      <c r="AH402" s="28" t="s">
        <v>12</v>
      </c>
      <c r="AI402" s="28" t="s">
        <v>2296</v>
      </c>
      <c r="AJ402" s="28" t="s">
        <v>2302</v>
      </c>
      <c r="AK402" s="28" t="s">
        <v>37</v>
      </c>
      <c r="AL402" s="28" t="s">
        <v>2298</v>
      </c>
      <c r="AM402" s="114"/>
    </row>
    <row r="403" spans="21:39">
      <c r="U403" s="18">
        <v>401</v>
      </c>
      <c r="V403" s="18" t="s">
        <v>1259</v>
      </c>
      <c r="W403" s="18">
        <v>25</v>
      </c>
      <c r="X403" s="18" t="s">
        <v>6</v>
      </c>
      <c r="Y403" s="18" t="s">
        <v>661</v>
      </c>
      <c r="Z403" s="18" t="s">
        <v>643</v>
      </c>
      <c r="AA403" s="18">
        <v>2</v>
      </c>
      <c r="AC403" s="28" t="s">
        <v>2714</v>
      </c>
      <c r="AD403" s="28" t="s">
        <v>2759</v>
      </c>
      <c r="AE403" s="28" t="s">
        <v>170</v>
      </c>
      <c r="AF403" s="28" t="s">
        <v>2723</v>
      </c>
      <c r="AG403" s="28" t="s">
        <v>2534</v>
      </c>
      <c r="AH403" s="28" t="s">
        <v>20</v>
      </c>
      <c r="AI403" s="28" t="s">
        <v>2302</v>
      </c>
      <c r="AJ403" s="28" t="s">
        <v>2305</v>
      </c>
      <c r="AK403" s="28" t="s">
        <v>5</v>
      </c>
      <c r="AL403" s="28" t="s">
        <v>2298</v>
      </c>
      <c r="AM403" s="114"/>
    </row>
    <row r="404" spans="21:39">
      <c r="U404" s="18">
        <v>402</v>
      </c>
      <c r="V404" s="18" t="s">
        <v>1260</v>
      </c>
      <c r="W404" s="18">
        <v>21</v>
      </c>
      <c r="X404" s="18" t="s">
        <v>6</v>
      </c>
      <c r="Y404" s="18" t="s">
        <v>661</v>
      </c>
      <c r="Z404" s="18" t="s">
        <v>901</v>
      </c>
      <c r="AA404" s="18">
        <v>16</v>
      </c>
      <c r="AC404" s="28" t="s">
        <v>2714</v>
      </c>
      <c r="AD404" s="28" t="s">
        <v>2760</v>
      </c>
      <c r="AE404" s="28" t="s">
        <v>170</v>
      </c>
      <c r="AF404" s="28" t="s">
        <v>2726</v>
      </c>
      <c r="AG404" s="28" t="s">
        <v>2727</v>
      </c>
      <c r="AH404" s="28" t="s">
        <v>46</v>
      </c>
      <c r="AI404" s="28" t="s">
        <v>2302</v>
      </c>
      <c r="AJ404" s="28" t="s">
        <v>2297</v>
      </c>
      <c r="AK404" s="28" t="s">
        <v>24</v>
      </c>
      <c r="AL404" s="28" t="s">
        <v>2298</v>
      </c>
      <c r="AM404" s="114"/>
    </row>
    <row r="405" spans="21:39">
      <c r="U405" s="18">
        <v>403</v>
      </c>
      <c r="V405" s="18" t="s">
        <v>1261</v>
      </c>
      <c r="W405" s="18">
        <v>23</v>
      </c>
      <c r="X405" s="18" t="s">
        <v>6</v>
      </c>
      <c r="Y405" s="18" t="s">
        <v>661</v>
      </c>
      <c r="Z405" s="18" t="s">
        <v>794</v>
      </c>
      <c r="AA405" s="18">
        <v>23</v>
      </c>
      <c r="AC405" s="28" t="s">
        <v>2714</v>
      </c>
      <c r="AD405" s="28" t="s">
        <v>2761</v>
      </c>
      <c r="AE405" s="28" t="s">
        <v>170</v>
      </c>
      <c r="AF405" s="28" t="s">
        <v>2533</v>
      </c>
      <c r="AG405" s="28" t="s">
        <v>2534</v>
      </c>
      <c r="AH405" s="28" t="s">
        <v>23</v>
      </c>
      <c r="AI405" s="28" t="s">
        <v>2301</v>
      </c>
      <c r="AJ405" s="28" t="s">
        <v>2302</v>
      </c>
      <c r="AK405" s="28" t="s">
        <v>13</v>
      </c>
      <c r="AL405" s="28" t="s">
        <v>2298</v>
      </c>
      <c r="AM405" s="114"/>
    </row>
    <row r="406" spans="21:39">
      <c r="U406" s="18">
        <v>404</v>
      </c>
      <c r="V406" s="18" t="s">
        <v>1262</v>
      </c>
      <c r="W406" s="18">
        <v>27</v>
      </c>
      <c r="X406" s="18" t="s">
        <v>6</v>
      </c>
      <c r="Y406" s="18" t="s">
        <v>664</v>
      </c>
      <c r="Z406" s="18" t="s">
        <v>1011</v>
      </c>
      <c r="AA406" s="18">
        <v>4</v>
      </c>
      <c r="AC406" s="28" t="s">
        <v>2714</v>
      </c>
      <c r="AD406" s="28" t="s">
        <v>2762</v>
      </c>
      <c r="AE406" s="28" t="s">
        <v>170</v>
      </c>
      <c r="AF406" s="28" t="s">
        <v>2738</v>
      </c>
      <c r="AG406" s="28" t="s">
        <v>2739</v>
      </c>
      <c r="AH406" s="28" t="s">
        <v>49</v>
      </c>
      <c r="AI406" s="28" t="s">
        <v>2297</v>
      </c>
      <c r="AJ406" s="28" t="s">
        <v>2338</v>
      </c>
      <c r="AK406" s="28" t="s">
        <v>19</v>
      </c>
      <c r="AL406" s="28" t="s">
        <v>2298</v>
      </c>
      <c r="AM406" s="114"/>
    </row>
    <row r="407" spans="21:39">
      <c r="U407" s="18">
        <v>405</v>
      </c>
      <c r="V407" s="18" t="s">
        <v>1263</v>
      </c>
      <c r="W407" s="18">
        <v>25</v>
      </c>
      <c r="X407" s="18" t="s">
        <v>6</v>
      </c>
      <c r="Y407" s="18" t="s">
        <v>664</v>
      </c>
      <c r="Z407" s="18" t="s">
        <v>1156</v>
      </c>
      <c r="AA407" s="18">
        <v>14</v>
      </c>
      <c r="AC407" s="28" t="s">
        <v>2714</v>
      </c>
      <c r="AD407" s="28" t="s">
        <v>2763</v>
      </c>
      <c r="AE407" s="28" t="s">
        <v>135</v>
      </c>
      <c r="AF407" s="28" t="s">
        <v>2541</v>
      </c>
      <c r="AG407" s="28" t="s">
        <v>2542</v>
      </c>
      <c r="AH407" s="28" t="s">
        <v>12</v>
      </c>
      <c r="AI407" s="28" t="s">
        <v>2297</v>
      </c>
      <c r="AJ407" s="28" t="s">
        <v>2297</v>
      </c>
      <c r="AK407" s="28" t="s">
        <v>5</v>
      </c>
      <c r="AL407" s="28" t="s">
        <v>2764</v>
      </c>
      <c r="AM407" s="114"/>
    </row>
    <row r="408" spans="21:39">
      <c r="U408" s="18">
        <v>406</v>
      </c>
      <c r="V408" s="18" t="s">
        <v>1264</v>
      </c>
      <c r="W408" s="18">
        <v>27</v>
      </c>
      <c r="X408" s="18" t="s">
        <v>6</v>
      </c>
      <c r="Y408" s="18" t="s">
        <v>669</v>
      </c>
      <c r="Z408" s="18" t="s">
        <v>905</v>
      </c>
      <c r="AA408" s="18">
        <v>8</v>
      </c>
      <c r="AC408" s="28" t="s">
        <v>2714</v>
      </c>
      <c r="AD408" s="28" t="s">
        <v>2765</v>
      </c>
      <c r="AE408" s="28" t="s">
        <v>135</v>
      </c>
      <c r="AF408" s="28" t="s">
        <v>2726</v>
      </c>
      <c r="AG408" s="28" t="s">
        <v>2727</v>
      </c>
      <c r="AH408" s="28" t="s">
        <v>24</v>
      </c>
      <c r="AI408" s="28" t="s">
        <v>2302</v>
      </c>
      <c r="AJ408" s="28" t="s">
        <v>2302</v>
      </c>
      <c r="AK408" s="28" t="s">
        <v>28</v>
      </c>
      <c r="AL408" s="28" t="s">
        <v>2766</v>
      </c>
      <c r="AM408" s="114"/>
    </row>
    <row r="409" spans="21:39">
      <c r="U409" s="18">
        <v>407</v>
      </c>
      <c r="V409" s="18" t="s">
        <v>1265</v>
      </c>
      <c r="W409" s="18">
        <v>31</v>
      </c>
      <c r="X409" s="18" t="s">
        <v>6</v>
      </c>
      <c r="Y409" s="18" t="s">
        <v>669</v>
      </c>
      <c r="Z409" s="18" t="s">
        <v>1266</v>
      </c>
      <c r="AA409" s="18">
        <v>15</v>
      </c>
      <c r="AC409" s="28" t="s">
        <v>2714</v>
      </c>
      <c r="AD409" s="28" t="s">
        <v>2767</v>
      </c>
      <c r="AE409" s="28" t="s">
        <v>135</v>
      </c>
      <c r="AF409" s="28" t="s">
        <v>2536</v>
      </c>
      <c r="AG409" s="28" t="s">
        <v>2537</v>
      </c>
      <c r="AH409" s="28" t="s">
        <v>19</v>
      </c>
      <c r="AI409" s="28" t="s">
        <v>2297</v>
      </c>
      <c r="AJ409" s="28" t="s">
        <v>2297</v>
      </c>
      <c r="AK409" s="28" t="s">
        <v>33</v>
      </c>
      <c r="AL409" s="28" t="s">
        <v>2768</v>
      </c>
      <c r="AM409" s="114"/>
    </row>
    <row r="410" spans="21:39">
      <c r="U410" s="18">
        <v>408</v>
      </c>
      <c r="V410" s="18" t="s">
        <v>1267</v>
      </c>
      <c r="W410" s="18">
        <v>23</v>
      </c>
      <c r="X410" s="18" t="s">
        <v>6</v>
      </c>
      <c r="Y410" s="18" t="s">
        <v>675</v>
      </c>
      <c r="Z410" s="18" t="s">
        <v>794</v>
      </c>
      <c r="AA410" s="18">
        <v>7</v>
      </c>
      <c r="AC410" s="28" t="s">
        <v>2714</v>
      </c>
      <c r="AD410" s="28" t="s">
        <v>2769</v>
      </c>
      <c r="AE410" s="28" t="s">
        <v>135</v>
      </c>
      <c r="AF410" s="28" t="s">
        <v>2533</v>
      </c>
      <c r="AG410" s="28" t="s">
        <v>2534</v>
      </c>
      <c r="AH410" s="28" t="s">
        <v>9</v>
      </c>
      <c r="AI410" s="28" t="s">
        <v>2305</v>
      </c>
      <c r="AJ410" s="28" t="s">
        <v>2297</v>
      </c>
      <c r="AK410" s="28" t="s">
        <v>23</v>
      </c>
      <c r="AL410" s="28" t="s">
        <v>2298</v>
      </c>
      <c r="AM410" s="114"/>
    </row>
    <row r="411" spans="21:39">
      <c r="U411" s="18">
        <v>409</v>
      </c>
      <c r="V411" s="18" t="s">
        <v>1268</v>
      </c>
      <c r="W411" s="18">
        <v>24</v>
      </c>
      <c r="X411" s="18" t="s">
        <v>6</v>
      </c>
      <c r="Y411" s="18" t="s">
        <v>675</v>
      </c>
      <c r="Z411" s="18" t="s">
        <v>684</v>
      </c>
      <c r="AA411" s="18">
        <v>17</v>
      </c>
      <c r="AC411" s="28" t="s">
        <v>2714</v>
      </c>
      <c r="AD411" s="28" t="s">
        <v>2770</v>
      </c>
      <c r="AE411" s="28" t="s">
        <v>106</v>
      </c>
      <c r="AF411" s="28" t="s">
        <v>2541</v>
      </c>
      <c r="AG411" s="28" t="s">
        <v>2542</v>
      </c>
      <c r="AH411" s="28" t="s">
        <v>5</v>
      </c>
      <c r="AI411" s="28" t="s">
        <v>2302</v>
      </c>
      <c r="AJ411" s="28" t="s">
        <v>2305</v>
      </c>
      <c r="AK411" s="28" t="s">
        <v>24</v>
      </c>
      <c r="AL411" s="28" t="s">
        <v>2298</v>
      </c>
      <c r="AM411" s="114"/>
    </row>
    <row r="412" spans="21:39">
      <c r="U412" s="18">
        <v>410</v>
      </c>
      <c r="V412" s="18" t="s">
        <v>1269</v>
      </c>
      <c r="W412" s="18">
        <v>27</v>
      </c>
      <c r="X412" s="18" t="s">
        <v>6</v>
      </c>
      <c r="Y412" s="18" t="s">
        <v>679</v>
      </c>
      <c r="Z412" s="18" t="s">
        <v>731</v>
      </c>
      <c r="AA412" s="18">
        <v>10</v>
      </c>
      <c r="AC412" s="28" t="s">
        <v>2714</v>
      </c>
      <c r="AD412" s="28" t="s">
        <v>2771</v>
      </c>
      <c r="AE412" s="28" t="s">
        <v>106</v>
      </c>
      <c r="AF412" s="28" t="s">
        <v>2533</v>
      </c>
      <c r="AG412" s="28" t="s">
        <v>2534</v>
      </c>
      <c r="AH412" s="28" t="s">
        <v>9</v>
      </c>
      <c r="AI412" s="28" t="s">
        <v>2305</v>
      </c>
      <c r="AJ412" s="28" t="s">
        <v>2302</v>
      </c>
      <c r="AK412" s="28" t="s">
        <v>33</v>
      </c>
      <c r="AL412" s="28" t="s">
        <v>2298</v>
      </c>
      <c r="AM412" s="114"/>
    </row>
    <row r="413" spans="21:39">
      <c r="U413" s="18">
        <v>411</v>
      </c>
      <c r="V413" s="18" t="s">
        <v>1270</v>
      </c>
      <c r="W413" s="18">
        <v>25</v>
      </c>
      <c r="X413" s="18" t="s">
        <v>6</v>
      </c>
      <c r="Y413" s="18" t="s">
        <v>679</v>
      </c>
      <c r="Z413" s="18" t="s">
        <v>975</v>
      </c>
      <c r="AA413" s="18">
        <v>11</v>
      </c>
      <c r="AC413" s="28" t="s">
        <v>2714</v>
      </c>
      <c r="AD413" s="28" t="s">
        <v>2772</v>
      </c>
      <c r="AE413" s="28" t="s">
        <v>2350</v>
      </c>
      <c r="AF413" s="28" t="s">
        <v>2536</v>
      </c>
      <c r="AG413" s="28" t="s">
        <v>2537</v>
      </c>
      <c r="AH413" s="28" t="s">
        <v>5</v>
      </c>
      <c r="AI413" s="28" t="s">
        <v>2296</v>
      </c>
      <c r="AJ413" s="28" t="s">
        <v>2305</v>
      </c>
      <c r="AK413" s="28" t="s">
        <v>33</v>
      </c>
      <c r="AL413" s="28" t="s">
        <v>2773</v>
      </c>
      <c r="AM413" s="114"/>
    </row>
    <row r="414" spans="21:39">
      <c r="U414" s="18">
        <v>412</v>
      </c>
      <c r="V414" s="18" t="s">
        <v>1271</v>
      </c>
      <c r="W414" s="18">
        <v>28</v>
      </c>
      <c r="X414" s="18" t="s">
        <v>6</v>
      </c>
      <c r="Y414" s="18" t="s">
        <v>679</v>
      </c>
      <c r="Z414" s="18" t="s">
        <v>1272</v>
      </c>
      <c r="AA414" s="18">
        <v>19</v>
      </c>
      <c r="AC414" s="28" t="s">
        <v>2714</v>
      </c>
      <c r="AD414" s="28" t="s">
        <v>2774</v>
      </c>
      <c r="AE414" s="28" t="s">
        <v>238</v>
      </c>
      <c r="AF414" s="28" t="s">
        <v>2533</v>
      </c>
      <c r="AG414" s="28" t="s">
        <v>2534</v>
      </c>
      <c r="AH414" s="28" t="s">
        <v>9</v>
      </c>
      <c r="AI414" s="28" t="s">
        <v>2301</v>
      </c>
      <c r="AJ414" s="28" t="s">
        <v>2305</v>
      </c>
      <c r="AK414" s="28" t="s">
        <v>24</v>
      </c>
      <c r="AL414" s="28" t="s">
        <v>2298</v>
      </c>
      <c r="AM414" s="114"/>
    </row>
    <row r="415" spans="21:39">
      <c r="U415" s="18">
        <v>413</v>
      </c>
      <c r="V415" s="18" t="s">
        <v>1273</v>
      </c>
      <c r="W415" s="18">
        <v>26</v>
      </c>
      <c r="X415" s="18" t="s">
        <v>6</v>
      </c>
      <c r="Y415" s="18" t="s">
        <v>681</v>
      </c>
      <c r="Z415" s="18" t="s">
        <v>1274</v>
      </c>
      <c r="AA415" s="18">
        <v>21</v>
      </c>
      <c r="AC415" s="28" t="s">
        <v>2775</v>
      </c>
      <c r="AD415" s="28" t="s">
        <v>2776</v>
      </c>
      <c r="AE415" s="28" t="s">
        <v>2588</v>
      </c>
      <c r="AF415" s="28" t="s">
        <v>2777</v>
      </c>
      <c r="AG415" s="28" t="s">
        <v>2333</v>
      </c>
      <c r="AH415" s="28" t="s">
        <v>9</v>
      </c>
      <c r="AI415" s="28" t="s">
        <v>2302</v>
      </c>
      <c r="AJ415" s="28" t="s">
        <v>2297</v>
      </c>
      <c r="AK415" s="28" t="s">
        <v>51</v>
      </c>
      <c r="AL415" s="28" t="s">
        <v>2298</v>
      </c>
      <c r="AM415" s="114"/>
    </row>
    <row r="416" spans="21:39">
      <c r="U416" s="18">
        <v>414</v>
      </c>
      <c r="V416" s="18" t="s">
        <v>1275</v>
      </c>
      <c r="W416" s="18">
        <v>28</v>
      </c>
      <c r="X416" s="18" t="s">
        <v>6</v>
      </c>
      <c r="Y416" s="18" t="s">
        <v>681</v>
      </c>
      <c r="Z416" s="18" t="s">
        <v>699</v>
      </c>
      <c r="AA416" s="18">
        <v>26</v>
      </c>
      <c r="AC416" s="28" t="s">
        <v>2775</v>
      </c>
      <c r="AD416" s="28" t="s">
        <v>2778</v>
      </c>
      <c r="AE416" s="28" t="s">
        <v>2588</v>
      </c>
      <c r="AF416" s="28" t="s">
        <v>2779</v>
      </c>
      <c r="AG416" s="28" t="s">
        <v>2780</v>
      </c>
      <c r="AH416" s="28" t="s">
        <v>26</v>
      </c>
      <c r="AI416" s="28" t="s">
        <v>2302</v>
      </c>
      <c r="AJ416" s="28" t="s">
        <v>2305</v>
      </c>
      <c r="AK416" s="28" t="s">
        <v>8</v>
      </c>
      <c r="AL416" s="28" t="s">
        <v>2298</v>
      </c>
      <c r="AM416" s="114"/>
    </row>
    <row r="417" spans="21:39">
      <c r="U417" s="18">
        <v>415</v>
      </c>
      <c r="V417" s="18" t="s">
        <v>1276</v>
      </c>
      <c r="W417" s="18">
        <v>23</v>
      </c>
      <c r="X417" s="18" t="s">
        <v>6</v>
      </c>
      <c r="Y417" s="18" t="s">
        <v>683</v>
      </c>
      <c r="Z417" s="18" t="s">
        <v>643</v>
      </c>
      <c r="AA417" s="18">
        <v>9</v>
      </c>
      <c r="AC417" s="28" t="s">
        <v>2775</v>
      </c>
      <c r="AD417" s="28" t="s">
        <v>2778</v>
      </c>
      <c r="AE417" s="28" t="s">
        <v>2719</v>
      </c>
      <c r="AF417" s="28" t="s">
        <v>2781</v>
      </c>
      <c r="AG417" s="28" t="s">
        <v>2335</v>
      </c>
      <c r="AH417" s="28" t="s">
        <v>3582</v>
      </c>
      <c r="AI417" s="28" t="s">
        <v>2302</v>
      </c>
      <c r="AJ417" s="28" t="s">
        <v>2305</v>
      </c>
      <c r="AK417" s="28" t="s">
        <v>53</v>
      </c>
      <c r="AL417" s="28" t="s">
        <v>2298</v>
      </c>
      <c r="AM417" s="114"/>
    </row>
    <row r="418" spans="21:39">
      <c r="U418" s="18">
        <v>416</v>
      </c>
      <c r="V418" s="18" t="s">
        <v>1277</v>
      </c>
      <c r="W418" s="18">
        <v>24</v>
      </c>
      <c r="X418" s="18" t="s">
        <v>6</v>
      </c>
      <c r="Y418" s="18" t="s">
        <v>683</v>
      </c>
      <c r="Z418" s="18" t="s">
        <v>960</v>
      </c>
      <c r="AA418" s="18">
        <v>20</v>
      </c>
      <c r="AC418" s="28" t="s">
        <v>2775</v>
      </c>
      <c r="AD418" s="28" t="s">
        <v>2782</v>
      </c>
      <c r="AE418" s="28" t="s">
        <v>2590</v>
      </c>
      <c r="AF418" s="28" t="s">
        <v>2783</v>
      </c>
      <c r="AG418" s="28" t="s">
        <v>2342</v>
      </c>
      <c r="AH418" s="28" t="s">
        <v>20</v>
      </c>
      <c r="AI418" s="28" t="s">
        <v>2297</v>
      </c>
      <c r="AJ418" s="28" t="s">
        <v>2302</v>
      </c>
      <c r="AK418" s="28" t="s">
        <v>14</v>
      </c>
      <c r="AL418" s="28" t="s">
        <v>2298</v>
      </c>
      <c r="AM418" s="114"/>
    </row>
    <row r="419" spans="21:39">
      <c r="U419" s="18">
        <v>417</v>
      </c>
      <c r="V419" s="18" t="s">
        <v>1278</v>
      </c>
      <c r="W419" s="18">
        <v>37</v>
      </c>
      <c r="X419" s="18" t="s">
        <v>84</v>
      </c>
      <c r="Y419" s="18" t="s">
        <v>642</v>
      </c>
      <c r="Z419" s="18" t="s">
        <v>1279</v>
      </c>
      <c r="AA419" s="18">
        <v>1</v>
      </c>
      <c r="AC419" s="28" t="s">
        <v>2775</v>
      </c>
      <c r="AD419" s="28" t="s">
        <v>2784</v>
      </c>
      <c r="AE419" s="28" t="s">
        <v>2590</v>
      </c>
      <c r="AF419" s="28" t="s">
        <v>2785</v>
      </c>
      <c r="AG419" s="28" t="s">
        <v>2337</v>
      </c>
      <c r="AH419" s="28" t="s">
        <v>6</v>
      </c>
      <c r="AI419" s="28" t="s">
        <v>2297</v>
      </c>
      <c r="AJ419" s="28" t="s">
        <v>2338</v>
      </c>
      <c r="AK419" s="28" t="s">
        <v>21</v>
      </c>
      <c r="AL419" s="28" t="s">
        <v>2298</v>
      </c>
      <c r="AM419" s="114"/>
    </row>
    <row r="420" spans="21:39">
      <c r="U420" s="18">
        <v>418</v>
      </c>
      <c r="V420" s="18" t="s">
        <v>1280</v>
      </c>
      <c r="W420" s="18">
        <v>24</v>
      </c>
      <c r="X420" s="18" t="s">
        <v>84</v>
      </c>
      <c r="Y420" s="18" t="s">
        <v>642</v>
      </c>
      <c r="Z420" s="18" t="s">
        <v>1281</v>
      </c>
      <c r="AA420" s="18">
        <v>25</v>
      </c>
      <c r="AC420" s="28" t="s">
        <v>2775</v>
      </c>
      <c r="AD420" s="28" t="s">
        <v>2786</v>
      </c>
      <c r="AE420" s="28" t="s">
        <v>2717</v>
      </c>
      <c r="AF420" s="28" t="s">
        <v>2787</v>
      </c>
      <c r="AG420" s="28" t="s">
        <v>2328</v>
      </c>
      <c r="AH420" s="28" t="s">
        <v>12</v>
      </c>
      <c r="AI420" s="28" t="s">
        <v>2305</v>
      </c>
      <c r="AJ420" s="28" t="s">
        <v>2297</v>
      </c>
      <c r="AK420" s="28" t="s">
        <v>17</v>
      </c>
      <c r="AL420" s="28" t="s">
        <v>2298</v>
      </c>
      <c r="AM420" s="114"/>
    </row>
    <row r="421" spans="21:39">
      <c r="U421" s="18">
        <v>419</v>
      </c>
      <c r="V421" s="18" t="s">
        <v>1282</v>
      </c>
      <c r="W421" s="18">
        <v>26</v>
      </c>
      <c r="X421" s="18" t="s">
        <v>84</v>
      </c>
      <c r="Y421" s="18" t="s">
        <v>642</v>
      </c>
      <c r="Z421" s="18" t="s">
        <v>1283</v>
      </c>
      <c r="AA421" s="18">
        <v>26</v>
      </c>
      <c r="AC421" s="28" t="s">
        <v>2775</v>
      </c>
      <c r="AD421" s="28" t="s">
        <v>2786</v>
      </c>
      <c r="AE421" s="28" t="s">
        <v>2719</v>
      </c>
      <c r="AF421" s="28" t="s">
        <v>2777</v>
      </c>
      <c r="AG421" s="28" t="s">
        <v>2333</v>
      </c>
      <c r="AH421" s="28" t="s">
        <v>24</v>
      </c>
      <c r="AI421" s="28" t="s">
        <v>2296</v>
      </c>
      <c r="AJ421" s="28" t="s">
        <v>2297</v>
      </c>
      <c r="AK421" s="28" t="s">
        <v>7</v>
      </c>
      <c r="AL421" s="28" t="s">
        <v>2298</v>
      </c>
      <c r="AM421" s="114"/>
    </row>
    <row r="422" spans="21:39">
      <c r="U422" s="18">
        <v>420</v>
      </c>
      <c r="V422" s="18" t="s">
        <v>1284</v>
      </c>
      <c r="W422" s="18">
        <v>32</v>
      </c>
      <c r="X422" s="18" t="s">
        <v>84</v>
      </c>
      <c r="Y422" s="18" t="s">
        <v>649</v>
      </c>
      <c r="Z422" s="18" t="s">
        <v>1285</v>
      </c>
      <c r="AA422" s="18">
        <v>3</v>
      </c>
      <c r="AC422" s="28" t="s">
        <v>2775</v>
      </c>
      <c r="AD422" s="28" t="s">
        <v>2788</v>
      </c>
      <c r="AE422" s="28" t="s">
        <v>2717</v>
      </c>
      <c r="AF422" s="28" t="s">
        <v>2339</v>
      </c>
      <c r="AG422" s="28" t="s">
        <v>2340</v>
      </c>
      <c r="AH422" s="28" t="s">
        <v>50</v>
      </c>
      <c r="AI422" s="28" t="s">
        <v>2297</v>
      </c>
      <c r="AJ422" s="28" t="s">
        <v>2302</v>
      </c>
      <c r="AK422" s="28" t="s">
        <v>39</v>
      </c>
      <c r="AL422" s="28" t="s">
        <v>2298</v>
      </c>
      <c r="AM422" s="114"/>
    </row>
    <row r="423" spans="21:39">
      <c r="U423" s="18">
        <v>421</v>
      </c>
      <c r="V423" s="18" t="s">
        <v>1286</v>
      </c>
      <c r="W423" s="18">
        <v>28</v>
      </c>
      <c r="X423" s="18" t="s">
        <v>84</v>
      </c>
      <c r="Y423" s="18" t="s">
        <v>649</v>
      </c>
      <c r="Z423" s="18" t="s">
        <v>1287</v>
      </c>
      <c r="AA423" s="18">
        <v>4</v>
      </c>
      <c r="AC423" s="28" t="s">
        <v>2775</v>
      </c>
      <c r="AD423" s="28" t="s">
        <v>2789</v>
      </c>
      <c r="AE423" s="28" t="s">
        <v>2725</v>
      </c>
      <c r="AF423" s="28" t="s">
        <v>2790</v>
      </c>
      <c r="AG423" s="28" t="s">
        <v>2791</v>
      </c>
      <c r="AH423" s="28" t="s">
        <v>23</v>
      </c>
      <c r="AI423" s="28" t="s">
        <v>2297</v>
      </c>
      <c r="AJ423" s="28" t="s">
        <v>2297</v>
      </c>
      <c r="AK423" s="28" t="s">
        <v>3583</v>
      </c>
      <c r="AL423" s="28" t="s">
        <v>2298</v>
      </c>
      <c r="AM423" s="114"/>
    </row>
    <row r="424" spans="21:39">
      <c r="U424" s="18">
        <v>422</v>
      </c>
      <c r="V424" s="18" t="s">
        <v>1288</v>
      </c>
      <c r="W424" s="18">
        <v>27</v>
      </c>
      <c r="X424" s="18" t="s">
        <v>84</v>
      </c>
      <c r="Y424" s="18" t="s">
        <v>649</v>
      </c>
      <c r="Z424" s="18" t="s">
        <v>643</v>
      </c>
      <c r="AA424" s="18">
        <v>18</v>
      </c>
      <c r="AC424" s="28" t="s">
        <v>2775</v>
      </c>
      <c r="AD424" s="28" t="s">
        <v>2792</v>
      </c>
      <c r="AE424" s="28" t="s">
        <v>2735</v>
      </c>
      <c r="AF424" s="28" t="s">
        <v>2793</v>
      </c>
      <c r="AG424" s="28" t="s">
        <v>2794</v>
      </c>
      <c r="AH424" s="28" t="s">
        <v>33</v>
      </c>
      <c r="AI424" s="28" t="s">
        <v>2305</v>
      </c>
      <c r="AJ424" s="28" t="s">
        <v>2302</v>
      </c>
      <c r="AK424" s="28" t="s">
        <v>2425</v>
      </c>
      <c r="AL424" s="28" t="s">
        <v>2298</v>
      </c>
      <c r="AM424" s="114"/>
    </row>
    <row r="425" spans="21:39">
      <c r="U425" s="18">
        <v>423</v>
      </c>
      <c r="V425" s="18" t="s">
        <v>1289</v>
      </c>
      <c r="W425" s="18">
        <v>29</v>
      </c>
      <c r="X425" s="18" t="s">
        <v>84</v>
      </c>
      <c r="Y425" s="18" t="s">
        <v>649</v>
      </c>
      <c r="Z425" s="18" t="s">
        <v>1290</v>
      </c>
      <c r="AA425" s="18">
        <v>23</v>
      </c>
      <c r="AC425" s="28" t="s">
        <v>2775</v>
      </c>
      <c r="AD425" s="28" t="s">
        <v>2795</v>
      </c>
      <c r="AE425" s="28" t="s">
        <v>2725</v>
      </c>
      <c r="AF425" s="28" t="s">
        <v>2796</v>
      </c>
      <c r="AG425" s="28" t="s">
        <v>2797</v>
      </c>
      <c r="AH425" s="28" t="s">
        <v>40</v>
      </c>
      <c r="AI425" s="28" t="s">
        <v>2297</v>
      </c>
      <c r="AJ425" s="28" t="s">
        <v>2297</v>
      </c>
      <c r="AK425" s="28" t="s">
        <v>79</v>
      </c>
      <c r="AL425" s="28" t="s">
        <v>2298</v>
      </c>
      <c r="AM425" s="114"/>
    </row>
    <row r="426" spans="21:39">
      <c r="U426" s="18">
        <v>424</v>
      </c>
      <c r="V426" s="18" t="s">
        <v>1291</v>
      </c>
      <c r="W426" s="18">
        <v>23</v>
      </c>
      <c r="X426" s="18" t="s">
        <v>84</v>
      </c>
      <c r="Y426" s="18" t="s">
        <v>649</v>
      </c>
      <c r="Z426" s="18" t="s">
        <v>1292</v>
      </c>
      <c r="AA426" s="18">
        <v>24</v>
      </c>
      <c r="AC426" s="28" t="s">
        <v>2775</v>
      </c>
      <c r="AD426" s="28" t="s">
        <v>2798</v>
      </c>
      <c r="AE426" s="28" t="s">
        <v>2735</v>
      </c>
      <c r="AF426" s="28" t="s">
        <v>2799</v>
      </c>
      <c r="AG426" s="28" t="s">
        <v>2800</v>
      </c>
      <c r="AH426" s="28" t="s">
        <v>11</v>
      </c>
      <c r="AI426" s="28" t="s">
        <v>2302</v>
      </c>
      <c r="AJ426" s="28" t="s">
        <v>2302</v>
      </c>
      <c r="AK426" s="28" t="s">
        <v>19</v>
      </c>
      <c r="AL426" s="28" t="s">
        <v>2298</v>
      </c>
      <c r="AM426" s="114"/>
    </row>
    <row r="427" spans="21:39">
      <c r="U427" s="18">
        <v>425</v>
      </c>
      <c r="V427" s="18" t="s">
        <v>1293</v>
      </c>
      <c r="W427" s="18">
        <v>27</v>
      </c>
      <c r="X427" s="18" t="s">
        <v>84</v>
      </c>
      <c r="Y427" s="18" t="s">
        <v>657</v>
      </c>
      <c r="Z427" s="18" t="s">
        <v>1294</v>
      </c>
      <c r="AA427" s="18">
        <v>5</v>
      </c>
      <c r="AC427" s="28" t="s">
        <v>2775</v>
      </c>
      <c r="AD427" s="28" t="s">
        <v>2801</v>
      </c>
      <c r="AE427" s="28" t="s">
        <v>2588</v>
      </c>
      <c r="AF427" s="28" t="s">
        <v>2802</v>
      </c>
      <c r="AG427" s="28" t="s">
        <v>2331</v>
      </c>
      <c r="AH427" s="28" t="s">
        <v>9</v>
      </c>
      <c r="AI427" s="28" t="s">
        <v>2305</v>
      </c>
      <c r="AJ427" s="28" t="s">
        <v>2302</v>
      </c>
      <c r="AK427" s="28" t="s">
        <v>26</v>
      </c>
      <c r="AL427" s="28" t="s">
        <v>2298</v>
      </c>
      <c r="AM427" s="114"/>
    </row>
    <row r="428" spans="21:39">
      <c r="U428" s="18">
        <v>426</v>
      </c>
      <c r="V428" s="18" t="s">
        <v>1295</v>
      </c>
      <c r="W428" s="18">
        <v>24</v>
      </c>
      <c r="X428" s="18" t="s">
        <v>84</v>
      </c>
      <c r="Y428" s="18" t="s">
        <v>661</v>
      </c>
      <c r="Z428" s="18" t="s">
        <v>1296</v>
      </c>
      <c r="AA428" s="18">
        <v>2</v>
      </c>
      <c r="AC428" s="28" t="s">
        <v>2775</v>
      </c>
      <c r="AD428" s="28" t="s">
        <v>2803</v>
      </c>
      <c r="AE428" s="28" t="s">
        <v>2588</v>
      </c>
      <c r="AF428" s="28" t="s">
        <v>2779</v>
      </c>
      <c r="AG428" s="28" t="s">
        <v>2780</v>
      </c>
      <c r="AH428" s="28" t="s">
        <v>51</v>
      </c>
      <c r="AI428" s="28" t="s">
        <v>2305</v>
      </c>
      <c r="AJ428" s="28" t="s">
        <v>2297</v>
      </c>
      <c r="AK428" s="28" t="s">
        <v>8</v>
      </c>
      <c r="AL428" s="28" t="s">
        <v>2298</v>
      </c>
      <c r="AM428" s="114"/>
    </row>
    <row r="429" spans="21:39">
      <c r="U429" s="18">
        <v>427</v>
      </c>
      <c r="V429" s="18" t="s">
        <v>1297</v>
      </c>
      <c r="W429" s="18">
        <v>32</v>
      </c>
      <c r="X429" s="18" t="s">
        <v>84</v>
      </c>
      <c r="Y429" s="18" t="s">
        <v>661</v>
      </c>
      <c r="Z429" s="18" t="s">
        <v>1298</v>
      </c>
      <c r="AA429" s="18">
        <v>20</v>
      </c>
      <c r="AC429" s="28" t="s">
        <v>2775</v>
      </c>
      <c r="AD429" s="28" t="s">
        <v>2803</v>
      </c>
      <c r="AE429" s="28" t="s">
        <v>2719</v>
      </c>
      <c r="AF429" s="28" t="s">
        <v>2781</v>
      </c>
      <c r="AG429" s="28" t="s">
        <v>2335</v>
      </c>
      <c r="AH429" s="28" t="s">
        <v>7</v>
      </c>
      <c r="AI429" s="28" t="s">
        <v>2297</v>
      </c>
      <c r="AJ429" s="28" t="s">
        <v>2302</v>
      </c>
      <c r="AK429" s="28" t="s">
        <v>53</v>
      </c>
      <c r="AL429" s="28" t="s">
        <v>2298</v>
      </c>
      <c r="AM429" s="114"/>
    </row>
    <row r="430" spans="21:39">
      <c r="U430" s="18">
        <v>428</v>
      </c>
      <c r="V430" s="18" t="s">
        <v>1299</v>
      </c>
      <c r="W430" s="18">
        <v>26</v>
      </c>
      <c r="X430" s="18" t="s">
        <v>84</v>
      </c>
      <c r="Y430" s="18" t="s">
        <v>664</v>
      </c>
      <c r="Z430" s="18" t="s">
        <v>1287</v>
      </c>
      <c r="AA430" s="18">
        <v>6</v>
      </c>
      <c r="AC430" s="28" t="s">
        <v>2775</v>
      </c>
      <c r="AD430" s="28" t="s">
        <v>2804</v>
      </c>
      <c r="AE430" s="28" t="s">
        <v>2590</v>
      </c>
      <c r="AF430" s="28" t="s">
        <v>2783</v>
      </c>
      <c r="AG430" s="28" t="s">
        <v>2342</v>
      </c>
      <c r="AH430" s="28" t="s">
        <v>20</v>
      </c>
      <c r="AI430" s="28" t="s">
        <v>2297</v>
      </c>
      <c r="AJ430" s="28" t="s">
        <v>2302</v>
      </c>
      <c r="AK430" s="28" t="s">
        <v>6</v>
      </c>
      <c r="AL430" s="28" t="s">
        <v>2298</v>
      </c>
      <c r="AM430" s="114"/>
    </row>
    <row r="431" spans="21:39">
      <c r="U431" s="18">
        <v>429</v>
      </c>
      <c r="V431" s="18" t="s">
        <v>1300</v>
      </c>
      <c r="W431" s="18">
        <v>26</v>
      </c>
      <c r="X431" s="18" t="s">
        <v>84</v>
      </c>
      <c r="Y431" s="18" t="s">
        <v>664</v>
      </c>
      <c r="Z431" s="18" t="s">
        <v>1301</v>
      </c>
      <c r="AA431" s="18">
        <v>22</v>
      </c>
      <c r="AC431" s="28" t="s">
        <v>2775</v>
      </c>
      <c r="AD431" s="28" t="s">
        <v>2805</v>
      </c>
      <c r="AE431" s="28" t="s">
        <v>2590</v>
      </c>
      <c r="AF431" s="28" t="s">
        <v>2785</v>
      </c>
      <c r="AG431" s="28" t="s">
        <v>2337</v>
      </c>
      <c r="AH431" s="28" t="s">
        <v>14</v>
      </c>
      <c r="AI431" s="28" t="s">
        <v>2302</v>
      </c>
      <c r="AJ431" s="28" t="s">
        <v>2297</v>
      </c>
      <c r="AK431" s="28" t="s">
        <v>21</v>
      </c>
      <c r="AL431" s="28" t="s">
        <v>2298</v>
      </c>
      <c r="AM431" s="114"/>
    </row>
    <row r="432" spans="21:39">
      <c r="U432" s="18">
        <v>430</v>
      </c>
      <c r="V432" s="18" t="s">
        <v>1302</v>
      </c>
      <c r="W432" s="18">
        <v>28</v>
      </c>
      <c r="X432" s="18" t="s">
        <v>84</v>
      </c>
      <c r="Y432" s="18" t="s">
        <v>669</v>
      </c>
      <c r="Z432" s="18" t="s">
        <v>1303</v>
      </c>
      <c r="AA432" s="18">
        <v>7</v>
      </c>
      <c r="AC432" s="28" t="s">
        <v>2775</v>
      </c>
      <c r="AD432" s="28" t="s">
        <v>2806</v>
      </c>
      <c r="AE432" s="28" t="s">
        <v>2719</v>
      </c>
      <c r="AF432" s="28" t="s">
        <v>2777</v>
      </c>
      <c r="AG432" s="28" t="s">
        <v>2333</v>
      </c>
      <c r="AH432" s="28" t="s">
        <v>24</v>
      </c>
      <c r="AI432" s="28" t="s">
        <v>2338</v>
      </c>
      <c r="AJ432" s="28" t="s">
        <v>2297</v>
      </c>
      <c r="AK432" s="28" t="s">
        <v>3582</v>
      </c>
      <c r="AL432" s="28" t="s">
        <v>2298</v>
      </c>
      <c r="AM432" s="114"/>
    </row>
    <row r="433" spans="21:39">
      <c r="U433" s="18">
        <v>431</v>
      </c>
      <c r="V433" s="18" t="s">
        <v>1304</v>
      </c>
      <c r="W433" s="18">
        <v>22</v>
      </c>
      <c r="X433" s="18" t="s">
        <v>84</v>
      </c>
      <c r="Y433" s="18" t="s">
        <v>669</v>
      </c>
      <c r="Z433" s="18" t="s">
        <v>1305</v>
      </c>
      <c r="AA433" s="18">
        <v>8</v>
      </c>
      <c r="AC433" s="28" t="s">
        <v>2775</v>
      </c>
      <c r="AD433" s="28" t="s">
        <v>2807</v>
      </c>
      <c r="AE433" s="28" t="s">
        <v>2717</v>
      </c>
      <c r="AF433" s="28" t="s">
        <v>2787</v>
      </c>
      <c r="AG433" s="28" t="s">
        <v>2328</v>
      </c>
      <c r="AH433" s="28" t="s">
        <v>12</v>
      </c>
      <c r="AI433" s="28" t="s">
        <v>2297</v>
      </c>
      <c r="AJ433" s="28" t="s">
        <v>2302</v>
      </c>
      <c r="AK433" s="28" t="s">
        <v>50</v>
      </c>
      <c r="AL433" s="28" t="s">
        <v>2298</v>
      </c>
      <c r="AM433" s="114"/>
    </row>
    <row r="434" spans="21:39">
      <c r="U434" s="18">
        <v>432</v>
      </c>
      <c r="V434" s="18" t="s">
        <v>1306</v>
      </c>
      <c r="W434" s="18">
        <v>22</v>
      </c>
      <c r="X434" s="18" t="s">
        <v>84</v>
      </c>
      <c r="Y434" s="18" t="s">
        <v>669</v>
      </c>
      <c r="Z434" s="18" t="s">
        <v>1307</v>
      </c>
      <c r="AA434" s="18">
        <v>15</v>
      </c>
      <c r="AC434" s="28" t="s">
        <v>2775</v>
      </c>
      <c r="AD434" s="28" t="s">
        <v>2808</v>
      </c>
      <c r="AE434" s="28" t="s">
        <v>2717</v>
      </c>
      <c r="AF434" s="28" t="s">
        <v>2339</v>
      </c>
      <c r="AG434" s="28" t="s">
        <v>2340</v>
      </c>
      <c r="AH434" s="28" t="s">
        <v>17</v>
      </c>
      <c r="AI434" s="28" t="s">
        <v>2297</v>
      </c>
      <c r="AJ434" s="28" t="s">
        <v>2305</v>
      </c>
      <c r="AK434" s="28" t="s">
        <v>39</v>
      </c>
      <c r="AL434" s="28" t="s">
        <v>2298</v>
      </c>
      <c r="AM434" s="114"/>
    </row>
    <row r="435" spans="21:39">
      <c r="U435" s="18">
        <v>433</v>
      </c>
      <c r="V435" s="18" t="s">
        <v>1308</v>
      </c>
      <c r="W435" s="18">
        <v>34</v>
      </c>
      <c r="X435" s="18" t="s">
        <v>84</v>
      </c>
      <c r="Y435" s="18" t="s">
        <v>675</v>
      </c>
      <c r="Z435" s="18" t="s">
        <v>1309</v>
      </c>
      <c r="AA435" s="18">
        <v>10</v>
      </c>
      <c r="AC435" s="28" t="s">
        <v>2775</v>
      </c>
      <c r="AD435" s="28" t="s">
        <v>2808</v>
      </c>
      <c r="AE435" s="28" t="s">
        <v>2725</v>
      </c>
      <c r="AF435" s="28" t="s">
        <v>2790</v>
      </c>
      <c r="AG435" s="28" t="s">
        <v>2791</v>
      </c>
      <c r="AH435" s="28" t="s">
        <v>23</v>
      </c>
      <c r="AI435" s="28" t="s">
        <v>2302</v>
      </c>
      <c r="AJ435" s="28" t="s">
        <v>2302</v>
      </c>
      <c r="AK435" s="28" t="s">
        <v>40</v>
      </c>
      <c r="AL435" s="28" t="s">
        <v>2298</v>
      </c>
      <c r="AM435" s="114"/>
    </row>
    <row r="436" spans="21:39">
      <c r="U436" s="18">
        <v>434</v>
      </c>
      <c r="V436" s="18" t="s">
        <v>1310</v>
      </c>
      <c r="W436" s="18">
        <v>26</v>
      </c>
      <c r="X436" s="18" t="s">
        <v>84</v>
      </c>
      <c r="Y436" s="18" t="s">
        <v>675</v>
      </c>
      <c r="Z436" s="18" t="s">
        <v>1311</v>
      </c>
      <c r="AA436" s="18">
        <v>21</v>
      </c>
      <c r="AC436" s="28" t="s">
        <v>2775</v>
      </c>
      <c r="AD436" s="28" t="s">
        <v>2809</v>
      </c>
      <c r="AE436" s="28" t="s">
        <v>2725</v>
      </c>
      <c r="AF436" s="28" t="s">
        <v>2796</v>
      </c>
      <c r="AG436" s="28" t="s">
        <v>2797</v>
      </c>
      <c r="AH436" s="28" t="s">
        <v>3583</v>
      </c>
      <c r="AI436" s="28" t="s">
        <v>2302</v>
      </c>
      <c r="AJ436" s="28" t="s">
        <v>2302</v>
      </c>
      <c r="AK436" s="28" t="s">
        <v>79</v>
      </c>
      <c r="AL436" s="28" t="s">
        <v>2298</v>
      </c>
      <c r="AM436" s="114"/>
    </row>
    <row r="437" spans="21:39">
      <c r="U437" s="18">
        <v>435</v>
      </c>
      <c r="V437" s="18" t="s">
        <v>1312</v>
      </c>
      <c r="W437" s="18">
        <v>24</v>
      </c>
      <c r="X437" s="18" t="s">
        <v>84</v>
      </c>
      <c r="Y437" s="18" t="s">
        <v>679</v>
      </c>
      <c r="Z437" s="18" t="s">
        <v>1313</v>
      </c>
      <c r="AA437" s="18">
        <v>11</v>
      </c>
      <c r="AC437" s="28" t="s">
        <v>2775</v>
      </c>
      <c r="AD437" s="28" t="s">
        <v>2810</v>
      </c>
      <c r="AE437" s="28" t="s">
        <v>2735</v>
      </c>
      <c r="AF437" s="28" t="s">
        <v>2799</v>
      </c>
      <c r="AG437" s="28" t="s">
        <v>2800</v>
      </c>
      <c r="AH437" s="28" t="s">
        <v>2425</v>
      </c>
      <c r="AI437" s="28" t="s">
        <v>2297</v>
      </c>
      <c r="AJ437" s="28" t="s">
        <v>2301</v>
      </c>
      <c r="AK437" s="28" t="s">
        <v>19</v>
      </c>
      <c r="AL437" s="28" t="s">
        <v>2298</v>
      </c>
      <c r="AM437" s="114"/>
    </row>
    <row r="438" spans="21:39">
      <c r="U438" s="18">
        <v>436</v>
      </c>
      <c r="V438" s="18" t="s">
        <v>1314</v>
      </c>
      <c r="W438" s="18">
        <v>31</v>
      </c>
      <c r="X438" s="18" t="s">
        <v>84</v>
      </c>
      <c r="Y438" s="18" t="s">
        <v>679</v>
      </c>
      <c r="Z438" s="18" t="s">
        <v>1315</v>
      </c>
      <c r="AA438" s="18">
        <v>14</v>
      </c>
      <c r="AC438" s="28" t="s">
        <v>2775</v>
      </c>
      <c r="AD438" s="28" t="s">
        <v>2810</v>
      </c>
      <c r="AE438" s="28" t="s">
        <v>2735</v>
      </c>
      <c r="AF438" s="28" t="s">
        <v>2793</v>
      </c>
      <c r="AG438" s="28" t="s">
        <v>2794</v>
      </c>
      <c r="AH438" s="28" t="s">
        <v>33</v>
      </c>
      <c r="AI438" s="28" t="s">
        <v>2301</v>
      </c>
      <c r="AJ438" s="28" t="s">
        <v>2297</v>
      </c>
      <c r="AK438" s="28" t="s">
        <v>11</v>
      </c>
      <c r="AL438" s="28" t="s">
        <v>2298</v>
      </c>
      <c r="AM438" s="114"/>
    </row>
    <row r="439" spans="21:39">
      <c r="U439" s="18">
        <v>437</v>
      </c>
      <c r="V439" s="18" t="s">
        <v>1316</v>
      </c>
      <c r="W439" s="18">
        <v>30</v>
      </c>
      <c r="X439" s="18" t="s">
        <v>84</v>
      </c>
      <c r="Y439" s="18" t="s">
        <v>679</v>
      </c>
      <c r="Z439" s="18" t="s">
        <v>1317</v>
      </c>
      <c r="AA439" s="18">
        <v>19</v>
      </c>
      <c r="AC439" s="28" t="s">
        <v>2775</v>
      </c>
      <c r="AD439" s="28" t="s">
        <v>2811</v>
      </c>
      <c r="AE439" s="28" t="s">
        <v>2588</v>
      </c>
      <c r="AF439" s="28" t="s">
        <v>2802</v>
      </c>
      <c r="AG439" s="28" t="s">
        <v>2331</v>
      </c>
      <c r="AH439" s="28" t="s">
        <v>9</v>
      </c>
      <c r="AI439" s="28" t="s">
        <v>2297</v>
      </c>
      <c r="AJ439" s="28" t="s">
        <v>2297</v>
      </c>
      <c r="AK439" s="28" t="s">
        <v>8</v>
      </c>
      <c r="AL439" s="28" t="s">
        <v>2298</v>
      </c>
      <c r="AM439" s="114"/>
    </row>
    <row r="440" spans="21:39">
      <c r="U440" s="18">
        <v>438</v>
      </c>
      <c r="V440" s="18" t="s">
        <v>1318</v>
      </c>
      <c r="W440" s="18">
        <v>24</v>
      </c>
      <c r="X440" s="18" t="s">
        <v>84</v>
      </c>
      <c r="Y440" s="18" t="s">
        <v>681</v>
      </c>
      <c r="Z440" s="18" t="s">
        <v>875</v>
      </c>
      <c r="AA440" s="18">
        <v>12</v>
      </c>
      <c r="AC440" s="28" t="s">
        <v>2775</v>
      </c>
      <c r="AD440" s="28" t="s">
        <v>2811</v>
      </c>
      <c r="AE440" s="28" t="s">
        <v>2588</v>
      </c>
      <c r="AF440" s="28" t="s">
        <v>2779</v>
      </c>
      <c r="AG440" s="28" t="s">
        <v>2780</v>
      </c>
      <c r="AH440" s="28" t="s">
        <v>51</v>
      </c>
      <c r="AI440" s="28" t="s">
        <v>2302</v>
      </c>
      <c r="AJ440" s="28" t="s">
        <v>2296</v>
      </c>
      <c r="AK440" s="28" t="s">
        <v>26</v>
      </c>
      <c r="AL440" s="28" t="s">
        <v>2298</v>
      </c>
      <c r="AM440" s="114"/>
    </row>
    <row r="441" spans="21:39">
      <c r="U441" s="18">
        <v>439</v>
      </c>
      <c r="V441" s="18" t="s">
        <v>1319</v>
      </c>
      <c r="W441" s="18">
        <v>26</v>
      </c>
      <c r="X441" s="18" t="s">
        <v>84</v>
      </c>
      <c r="Y441" s="18" t="s">
        <v>681</v>
      </c>
      <c r="Z441" s="18" t="s">
        <v>1320</v>
      </c>
      <c r="AA441" s="18">
        <v>16</v>
      </c>
      <c r="AC441" s="28" t="s">
        <v>2775</v>
      </c>
      <c r="AD441" s="28" t="s">
        <v>2812</v>
      </c>
      <c r="AE441" s="28" t="s">
        <v>2719</v>
      </c>
      <c r="AF441" s="28" t="s">
        <v>2777</v>
      </c>
      <c r="AG441" s="28" t="s">
        <v>2333</v>
      </c>
      <c r="AH441" s="28" t="s">
        <v>24</v>
      </c>
      <c r="AI441" s="28" t="s">
        <v>2297</v>
      </c>
      <c r="AJ441" s="28" t="s">
        <v>2297</v>
      </c>
      <c r="AK441" s="28" t="s">
        <v>53</v>
      </c>
      <c r="AL441" s="28" t="s">
        <v>2298</v>
      </c>
      <c r="AM441" s="114"/>
    </row>
    <row r="442" spans="21:39">
      <c r="U442" s="18">
        <v>440</v>
      </c>
      <c r="V442" s="18" t="s">
        <v>1321</v>
      </c>
      <c r="W442" s="18">
        <v>33</v>
      </c>
      <c r="X442" s="18" t="s">
        <v>84</v>
      </c>
      <c r="Y442" s="18" t="s">
        <v>681</v>
      </c>
      <c r="Z442" s="18" t="s">
        <v>1303</v>
      </c>
      <c r="AA442" s="18">
        <v>17</v>
      </c>
      <c r="AC442" s="28" t="s">
        <v>2775</v>
      </c>
      <c r="AD442" s="28" t="s">
        <v>2812</v>
      </c>
      <c r="AE442" s="28" t="s">
        <v>2719</v>
      </c>
      <c r="AF442" s="28" t="s">
        <v>2781</v>
      </c>
      <c r="AG442" s="28" t="s">
        <v>2335</v>
      </c>
      <c r="AH442" s="28" t="s">
        <v>7</v>
      </c>
      <c r="AI442" s="28" t="s">
        <v>2296</v>
      </c>
      <c r="AJ442" s="28" t="s">
        <v>2297</v>
      </c>
      <c r="AK442" s="28" t="s">
        <v>3582</v>
      </c>
      <c r="AL442" s="28" t="s">
        <v>2298</v>
      </c>
      <c r="AM442" s="114"/>
    </row>
    <row r="443" spans="21:39">
      <c r="U443" s="18">
        <v>441</v>
      </c>
      <c r="V443" s="18" t="s">
        <v>1322</v>
      </c>
      <c r="W443" s="18">
        <v>32</v>
      </c>
      <c r="X443" s="18" t="s">
        <v>84</v>
      </c>
      <c r="Y443" s="18" t="s">
        <v>683</v>
      </c>
      <c r="Z443" s="18" t="s">
        <v>1279</v>
      </c>
      <c r="AA443" s="18">
        <v>9</v>
      </c>
      <c r="AC443" s="28" t="s">
        <v>2775</v>
      </c>
      <c r="AD443" s="28" t="s">
        <v>2813</v>
      </c>
      <c r="AE443" s="28" t="s">
        <v>2590</v>
      </c>
      <c r="AF443" s="28" t="s">
        <v>2783</v>
      </c>
      <c r="AG443" s="28" t="s">
        <v>2342</v>
      </c>
      <c r="AH443" s="28" t="s">
        <v>20</v>
      </c>
      <c r="AI443" s="28" t="s">
        <v>2305</v>
      </c>
      <c r="AJ443" s="28" t="s">
        <v>2302</v>
      </c>
      <c r="AK443" s="28" t="s">
        <v>21</v>
      </c>
      <c r="AL443" s="28" t="s">
        <v>2298</v>
      </c>
      <c r="AM443" s="114"/>
    </row>
    <row r="444" spans="21:39">
      <c r="U444" s="18">
        <v>442</v>
      </c>
      <c r="V444" s="18" t="s">
        <v>1323</v>
      </c>
      <c r="W444" s="18">
        <v>23</v>
      </c>
      <c r="X444" s="18" t="s">
        <v>84</v>
      </c>
      <c r="Y444" s="18" t="s">
        <v>683</v>
      </c>
      <c r="Z444" s="18" t="s">
        <v>1281</v>
      </c>
      <c r="AA444" s="18">
        <v>13</v>
      </c>
      <c r="AC444" s="28" t="s">
        <v>2775</v>
      </c>
      <c r="AD444" s="28" t="s">
        <v>2813</v>
      </c>
      <c r="AE444" s="28" t="s">
        <v>2590</v>
      </c>
      <c r="AF444" s="28" t="s">
        <v>2785</v>
      </c>
      <c r="AG444" s="28" t="s">
        <v>2337</v>
      </c>
      <c r="AH444" s="28" t="s">
        <v>14</v>
      </c>
      <c r="AI444" s="28" t="s">
        <v>2305</v>
      </c>
      <c r="AJ444" s="28" t="s">
        <v>2297</v>
      </c>
      <c r="AK444" s="28" t="s">
        <v>6</v>
      </c>
      <c r="AL444" s="28" t="s">
        <v>2298</v>
      </c>
      <c r="AM444" s="114"/>
    </row>
    <row r="445" spans="21:39">
      <c r="U445" s="18">
        <v>443</v>
      </c>
      <c r="V445" s="18" t="s">
        <v>1324</v>
      </c>
      <c r="W445" s="18">
        <v>39</v>
      </c>
      <c r="X445" s="18" t="s">
        <v>67</v>
      </c>
      <c r="Y445" s="18" t="s">
        <v>642</v>
      </c>
      <c r="Z445" s="18" t="s">
        <v>1325</v>
      </c>
      <c r="AA445" s="18">
        <v>1</v>
      </c>
      <c r="AC445" s="28" t="s">
        <v>2775</v>
      </c>
      <c r="AD445" s="28" t="s">
        <v>2814</v>
      </c>
      <c r="AE445" s="28" t="s">
        <v>2717</v>
      </c>
      <c r="AF445" s="28" t="s">
        <v>2787</v>
      </c>
      <c r="AG445" s="28" t="s">
        <v>2328</v>
      </c>
      <c r="AH445" s="28" t="s">
        <v>12</v>
      </c>
      <c r="AI445" s="28" t="s">
        <v>2297</v>
      </c>
      <c r="AJ445" s="28" t="s">
        <v>2302</v>
      </c>
      <c r="AK445" s="28" t="s">
        <v>39</v>
      </c>
      <c r="AL445" s="28" t="s">
        <v>2298</v>
      </c>
      <c r="AM445" s="114"/>
    </row>
    <row r="446" spans="21:39">
      <c r="U446" s="18">
        <v>444</v>
      </c>
      <c r="V446" s="18" t="s">
        <v>1326</v>
      </c>
      <c r="W446" s="18">
        <v>25</v>
      </c>
      <c r="X446" s="18" t="s">
        <v>67</v>
      </c>
      <c r="Y446" s="18" t="s">
        <v>642</v>
      </c>
      <c r="Z446" s="18" t="s">
        <v>1313</v>
      </c>
      <c r="AA446" s="18">
        <v>12</v>
      </c>
      <c r="AC446" s="28" t="s">
        <v>2775</v>
      </c>
      <c r="AD446" s="28" t="s">
        <v>2814</v>
      </c>
      <c r="AE446" s="28" t="s">
        <v>2717</v>
      </c>
      <c r="AF446" s="28" t="s">
        <v>2339</v>
      </c>
      <c r="AG446" s="28" t="s">
        <v>2340</v>
      </c>
      <c r="AH446" s="28" t="s">
        <v>17</v>
      </c>
      <c r="AI446" s="28" t="s">
        <v>2297</v>
      </c>
      <c r="AJ446" s="28" t="s">
        <v>2305</v>
      </c>
      <c r="AK446" s="28" t="s">
        <v>50</v>
      </c>
      <c r="AL446" s="28" t="s">
        <v>2298</v>
      </c>
      <c r="AM446" s="114"/>
    </row>
    <row r="447" spans="21:39">
      <c r="U447" s="18">
        <v>445</v>
      </c>
      <c r="V447" s="18" t="s">
        <v>1327</v>
      </c>
      <c r="W447" s="18">
        <v>30</v>
      </c>
      <c r="X447" s="18" t="s">
        <v>67</v>
      </c>
      <c r="Y447" s="18" t="s">
        <v>642</v>
      </c>
      <c r="Z447" s="18" t="s">
        <v>1024</v>
      </c>
      <c r="AA447" s="18">
        <v>22</v>
      </c>
      <c r="AC447" s="28" t="s">
        <v>2775</v>
      </c>
      <c r="AD447" s="28" t="s">
        <v>2815</v>
      </c>
      <c r="AE447" s="28" t="s">
        <v>2735</v>
      </c>
      <c r="AF447" s="28" t="s">
        <v>2816</v>
      </c>
      <c r="AG447" s="28" t="s">
        <v>2800</v>
      </c>
      <c r="AH447" s="28" t="s">
        <v>2425</v>
      </c>
      <c r="AI447" s="28" t="s">
        <v>2302</v>
      </c>
      <c r="AJ447" s="28" t="s">
        <v>2297</v>
      </c>
      <c r="AK447" s="28" t="s">
        <v>11</v>
      </c>
      <c r="AL447" s="28" t="s">
        <v>2298</v>
      </c>
      <c r="AM447" s="114"/>
    </row>
    <row r="448" spans="21:39">
      <c r="U448" s="18">
        <v>446</v>
      </c>
      <c r="V448" s="18" t="s">
        <v>1328</v>
      </c>
      <c r="W448" s="18">
        <v>29</v>
      </c>
      <c r="X448" s="18" t="s">
        <v>67</v>
      </c>
      <c r="Y448" s="18" t="s">
        <v>649</v>
      </c>
      <c r="Z448" s="18" t="s">
        <v>1329</v>
      </c>
      <c r="AA448" s="18">
        <v>2</v>
      </c>
      <c r="AC448" s="28" t="s">
        <v>2775</v>
      </c>
      <c r="AD448" s="28" t="s">
        <v>2815</v>
      </c>
      <c r="AE448" s="28" t="s">
        <v>2735</v>
      </c>
      <c r="AF448" s="28" t="s">
        <v>2793</v>
      </c>
      <c r="AG448" s="28" t="s">
        <v>2794</v>
      </c>
      <c r="AH448" s="28" t="s">
        <v>33</v>
      </c>
      <c r="AI448" s="28" t="s">
        <v>2297</v>
      </c>
      <c r="AJ448" s="28" t="s">
        <v>2305</v>
      </c>
      <c r="AK448" s="28" t="s">
        <v>19</v>
      </c>
      <c r="AL448" s="28" t="s">
        <v>2298</v>
      </c>
      <c r="AM448" s="114"/>
    </row>
    <row r="449" spans="21:39">
      <c r="U449" s="18">
        <v>447</v>
      </c>
      <c r="V449" s="18" t="s">
        <v>1330</v>
      </c>
      <c r="W449" s="18">
        <v>24</v>
      </c>
      <c r="X449" s="18" t="s">
        <v>67</v>
      </c>
      <c r="Y449" s="18" t="s">
        <v>649</v>
      </c>
      <c r="Z449" s="18" t="s">
        <v>986</v>
      </c>
      <c r="AA449" s="18">
        <v>3</v>
      </c>
      <c r="AC449" s="28" t="s">
        <v>2775</v>
      </c>
      <c r="AD449" s="28" t="s">
        <v>2817</v>
      </c>
      <c r="AE449" s="28" t="s">
        <v>2725</v>
      </c>
      <c r="AF449" s="28" t="s">
        <v>2796</v>
      </c>
      <c r="AG449" s="28" t="s">
        <v>2797</v>
      </c>
      <c r="AH449" s="28" t="s">
        <v>3583</v>
      </c>
      <c r="AI449" s="28" t="s">
        <v>2297</v>
      </c>
      <c r="AJ449" s="28" t="s">
        <v>2297</v>
      </c>
      <c r="AK449" s="28" t="s">
        <v>40</v>
      </c>
      <c r="AL449" s="28" t="s">
        <v>2298</v>
      </c>
      <c r="AM449" s="114"/>
    </row>
    <row r="450" spans="21:39">
      <c r="U450" s="18">
        <v>448</v>
      </c>
      <c r="V450" s="18" t="s">
        <v>1331</v>
      </c>
      <c r="W450" s="18">
        <v>22</v>
      </c>
      <c r="X450" s="18" t="s">
        <v>67</v>
      </c>
      <c r="Y450" s="18" t="s">
        <v>649</v>
      </c>
      <c r="Z450" s="18" t="s">
        <v>1332</v>
      </c>
      <c r="AA450" s="18">
        <v>4</v>
      </c>
      <c r="AC450" s="28" t="s">
        <v>2775</v>
      </c>
      <c r="AD450" s="28" t="s">
        <v>2817</v>
      </c>
      <c r="AE450" s="28" t="s">
        <v>2725</v>
      </c>
      <c r="AF450" s="28" t="s">
        <v>2790</v>
      </c>
      <c r="AG450" s="28" t="s">
        <v>2791</v>
      </c>
      <c r="AH450" s="28" t="s">
        <v>23</v>
      </c>
      <c r="AI450" s="28" t="s">
        <v>2297</v>
      </c>
      <c r="AJ450" s="28" t="s">
        <v>2302</v>
      </c>
      <c r="AK450" s="28" t="s">
        <v>79</v>
      </c>
      <c r="AL450" s="28" t="s">
        <v>2298</v>
      </c>
      <c r="AM450" s="114"/>
    </row>
    <row r="451" spans="21:39">
      <c r="U451" s="18">
        <v>449</v>
      </c>
      <c r="V451" s="18" t="s">
        <v>1333</v>
      </c>
      <c r="W451" s="18">
        <v>24</v>
      </c>
      <c r="X451" s="18" t="s">
        <v>67</v>
      </c>
      <c r="Y451" s="18" t="s">
        <v>649</v>
      </c>
      <c r="Z451" s="18" t="s">
        <v>813</v>
      </c>
      <c r="AA451" s="18">
        <v>6</v>
      </c>
      <c r="AC451" s="28" t="s">
        <v>2775</v>
      </c>
      <c r="AD451" s="28" t="s">
        <v>2818</v>
      </c>
      <c r="AE451" s="28" t="s">
        <v>170</v>
      </c>
      <c r="AF451" s="28" t="s">
        <v>2802</v>
      </c>
      <c r="AG451" s="28" t="s">
        <v>2331</v>
      </c>
      <c r="AH451" s="28" t="s">
        <v>51</v>
      </c>
      <c r="AI451" s="28" t="s">
        <v>2305</v>
      </c>
      <c r="AJ451" s="28" t="s">
        <v>2297</v>
      </c>
      <c r="AK451" s="28" t="s">
        <v>53</v>
      </c>
      <c r="AL451" s="28" t="s">
        <v>2819</v>
      </c>
      <c r="AM451" s="114"/>
    </row>
    <row r="452" spans="21:39">
      <c r="U452" s="18">
        <v>450</v>
      </c>
      <c r="V452" s="18" t="s">
        <v>1334</v>
      </c>
      <c r="W452" s="18">
        <v>25</v>
      </c>
      <c r="X452" s="18" t="s">
        <v>67</v>
      </c>
      <c r="Y452" s="18" t="s">
        <v>649</v>
      </c>
      <c r="Z452" s="18" t="s">
        <v>720</v>
      </c>
      <c r="AA452" s="18">
        <v>25</v>
      </c>
      <c r="AC452" s="28" t="s">
        <v>2775</v>
      </c>
      <c r="AD452" s="28" t="s">
        <v>2820</v>
      </c>
      <c r="AE452" s="28" t="s">
        <v>170</v>
      </c>
      <c r="AF452" s="28" t="s">
        <v>2779</v>
      </c>
      <c r="AG452" s="28" t="s">
        <v>2780</v>
      </c>
      <c r="AH452" s="28" t="s">
        <v>21</v>
      </c>
      <c r="AI452" s="28" t="s">
        <v>2296</v>
      </c>
      <c r="AJ452" s="28" t="s">
        <v>2297</v>
      </c>
      <c r="AK452" s="28" t="s">
        <v>50</v>
      </c>
      <c r="AL452" s="28" t="s">
        <v>2298</v>
      </c>
      <c r="AM452" s="114"/>
    </row>
    <row r="453" spans="21:39">
      <c r="U453" s="18">
        <v>451</v>
      </c>
      <c r="V453" s="18" t="s">
        <v>1335</v>
      </c>
      <c r="W453" s="18">
        <v>28</v>
      </c>
      <c r="X453" s="18" t="s">
        <v>67</v>
      </c>
      <c r="Y453" s="18" t="s">
        <v>657</v>
      </c>
      <c r="Z453" s="18" t="s">
        <v>731</v>
      </c>
      <c r="AA453" s="18">
        <v>7</v>
      </c>
      <c r="AC453" s="28" t="s">
        <v>2775</v>
      </c>
      <c r="AD453" s="28" t="s">
        <v>2821</v>
      </c>
      <c r="AE453" s="28" t="s">
        <v>170</v>
      </c>
      <c r="AF453" s="28" t="s">
        <v>2787</v>
      </c>
      <c r="AG453" s="28" t="s">
        <v>2328</v>
      </c>
      <c r="AH453" s="28" t="s">
        <v>12</v>
      </c>
      <c r="AI453" s="28" t="s">
        <v>2302</v>
      </c>
      <c r="AJ453" s="28" t="s">
        <v>2297</v>
      </c>
      <c r="AK453" s="28" t="s">
        <v>9</v>
      </c>
      <c r="AL453" s="28" t="s">
        <v>2298</v>
      </c>
      <c r="AM453" s="114"/>
    </row>
    <row r="454" spans="21:39">
      <c r="U454" s="18">
        <v>452</v>
      </c>
      <c r="V454" s="18" t="s">
        <v>1336</v>
      </c>
      <c r="W454" s="18">
        <v>21</v>
      </c>
      <c r="X454" s="18" t="s">
        <v>67</v>
      </c>
      <c r="Y454" s="18" t="s">
        <v>657</v>
      </c>
      <c r="Z454" s="18" t="s">
        <v>1080</v>
      </c>
      <c r="AA454" s="18">
        <v>26</v>
      </c>
      <c r="AC454" s="28" t="s">
        <v>2775</v>
      </c>
      <c r="AD454" s="28" t="s">
        <v>2822</v>
      </c>
      <c r="AE454" s="28" t="s">
        <v>170</v>
      </c>
      <c r="AF454" s="28" t="s">
        <v>2777</v>
      </c>
      <c r="AG454" s="28" t="s">
        <v>2333</v>
      </c>
      <c r="AH454" s="28" t="s">
        <v>24</v>
      </c>
      <c r="AI454" s="28" t="s">
        <v>2305</v>
      </c>
      <c r="AJ454" s="28" t="s">
        <v>2297</v>
      </c>
      <c r="AK454" s="28" t="s">
        <v>40</v>
      </c>
      <c r="AL454" s="28" t="s">
        <v>2298</v>
      </c>
      <c r="AM454" s="114"/>
    </row>
    <row r="455" spans="21:39">
      <c r="U455" s="18">
        <v>453</v>
      </c>
      <c r="V455" s="18" t="s">
        <v>1337</v>
      </c>
      <c r="W455" s="18">
        <v>28</v>
      </c>
      <c r="X455" s="18" t="s">
        <v>67</v>
      </c>
      <c r="Y455" s="18" t="s">
        <v>661</v>
      </c>
      <c r="Z455" s="18" t="s">
        <v>1152</v>
      </c>
      <c r="AA455" s="18">
        <v>17</v>
      </c>
      <c r="AC455" s="28" t="s">
        <v>2775</v>
      </c>
      <c r="AD455" s="28" t="s">
        <v>2823</v>
      </c>
      <c r="AE455" s="28" t="s">
        <v>170</v>
      </c>
      <c r="AF455" s="28" t="s">
        <v>2339</v>
      </c>
      <c r="AG455" s="28" t="s">
        <v>2340</v>
      </c>
      <c r="AH455" s="28" t="s">
        <v>3583</v>
      </c>
      <c r="AI455" s="28" t="s">
        <v>2302</v>
      </c>
      <c r="AJ455" s="28" t="s">
        <v>2302</v>
      </c>
      <c r="AK455" s="28" t="s">
        <v>8</v>
      </c>
      <c r="AL455" s="28" t="s">
        <v>2824</v>
      </c>
      <c r="AM455" s="114"/>
    </row>
    <row r="456" spans="21:39">
      <c r="U456" s="18">
        <v>454</v>
      </c>
      <c r="V456" s="18" t="s">
        <v>1338</v>
      </c>
      <c r="W456" s="18">
        <v>24</v>
      </c>
      <c r="X456" s="18" t="s">
        <v>67</v>
      </c>
      <c r="Y456" s="18" t="s">
        <v>664</v>
      </c>
      <c r="Z456" s="18" t="s">
        <v>1339</v>
      </c>
      <c r="AA456" s="18">
        <v>23</v>
      </c>
      <c r="AC456" s="28" t="s">
        <v>2775</v>
      </c>
      <c r="AD456" s="28" t="s">
        <v>2825</v>
      </c>
      <c r="AE456" s="28" t="s">
        <v>170</v>
      </c>
      <c r="AF456" s="28" t="s">
        <v>2783</v>
      </c>
      <c r="AG456" s="28" t="s">
        <v>2342</v>
      </c>
      <c r="AH456" s="28" t="s">
        <v>20</v>
      </c>
      <c r="AI456" s="28" t="s">
        <v>2305</v>
      </c>
      <c r="AJ456" s="28" t="s">
        <v>2302</v>
      </c>
      <c r="AK456" s="28" t="s">
        <v>11</v>
      </c>
      <c r="AL456" s="28" t="s">
        <v>2298</v>
      </c>
      <c r="AM456" s="114"/>
    </row>
    <row r="457" spans="21:39">
      <c r="U457" s="18">
        <v>455</v>
      </c>
      <c r="V457" s="18" t="s">
        <v>1340</v>
      </c>
      <c r="W457" s="18">
        <v>26</v>
      </c>
      <c r="X457" s="18" t="s">
        <v>67</v>
      </c>
      <c r="Y457" s="18" t="s">
        <v>669</v>
      </c>
      <c r="Z457" s="18" t="s">
        <v>1341</v>
      </c>
      <c r="AA457" s="18">
        <v>5</v>
      </c>
      <c r="AC457" s="28" t="s">
        <v>2775</v>
      </c>
      <c r="AD457" s="28" t="s">
        <v>2826</v>
      </c>
      <c r="AE457" s="28" t="s">
        <v>170</v>
      </c>
      <c r="AF457" s="28" t="s">
        <v>2793</v>
      </c>
      <c r="AG457" s="28" t="s">
        <v>2794</v>
      </c>
      <c r="AH457" s="28" t="s">
        <v>19</v>
      </c>
      <c r="AI457" s="28" t="s">
        <v>2297</v>
      </c>
      <c r="AJ457" s="28" t="s">
        <v>2305</v>
      </c>
      <c r="AK457" s="28" t="s">
        <v>7</v>
      </c>
      <c r="AL457" s="28" t="s">
        <v>2827</v>
      </c>
      <c r="AM457" s="114"/>
    </row>
    <row r="458" spans="21:39">
      <c r="U458" s="18">
        <v>456</v>
      </c>
      <c r="V458" s="18" t="s">
        <v>1342</v>
      </c>
      <c r="W458" s="18">
        <v>22</v>
      </c>
      <c r="X458" s="18" t="s">
        <v>67</v>
      </c>
      <c r="Y458" s="18" t="s">
        <v>669</v>
      </c>
      <c r="Z458" s="18" t="s">
        <v>1343</v>
      </c>
      <c r="AA458" s="18">
        <v>8</v>
      </c>
      <c r="AC458" s="28" t="s">
        <v>2775</v>
      </c>
      <c r="AD458" s="28" t="s">
        <v>2828</v>
      </c>
      <c r="AE458" s="28" t="s">
        <v>170</v>
      </c>
      <c r="AF458" s="28" t="s">
        <v>2781</v>
      </c>
      <c r="AG458" s="28" t="s">
        <v>2335</v>
      </c>
      <c r="AH458" s="28" t="s">
        <v>23</v>
      </c>
      <c r="AI458" s="28" t="s">
        <v>2297</v>
      </c>
      <c r="AJ458" s="28" t="s">
        <v>2302</v>
      </c>
      <c r="AK458" s="28" t="s">
        <v>33</v>
      </c>
      <c r="AL458" s="28" t="s">
        <v>2530</v>
      </c>
      <c r="AM458" s="114"/>
    </row>
    <row r="459" spans="21:39">
      <c r="U459" s="18">
        <v>457</v>
      </c>
      <c r="V459" s="18" t="s">
        <v>1344</v>
      </c>
      <c r="W459" s="18">
        <v>22</v>
      </c>
      <c r="X459" s="18" t="s">
        <v>67</v>
      </c>
      <c r="Y459" s="18" t="s">
        <v>669</v>
      </c>
      <c r="Z459" s="18" t="s">
        <v>779</v>
      </c>
      <c r="AA459" s="18">
        <v>18</v>
      </c>
      <c r="AC459" s="28" t="s">
        <v>2775</v>
      </c>
      <c r="AD459" s="28" t="s">
        <v>2829</v>
      </c>
      <c r="AE459" s="28" t="s">
        <v>135</v>
      </c>
      <c r="AF459" s="28" t="s">
        <v>2785</v>
      </c>
      <c r="AG459" s="28" t="s">
        <v>2337</v>
      </c>
      <c r="AH459" s="28" t="s">
        <v>7</v>
      </c>
      <c r="AI459" s="28" t="s">
        <v>2302</v>
      </c>
      <c r="AJ459" s="28" t="s">
        <v>2302</v>
      </c>
      <c r="AK459" s="28" t="s">
        <v>9</v>
      </c>
      <c r="AL459" s="28" t="s">
        <v>2830</v>
      </c>
      <c r="AM459" s="114"/>
    </row>
    <row r="460" spans="21:39">
      <c r="U460" s="18">
        <v>458</v>
      </c>
      <c r="V460" s="18" t="s">
        <v>1345</v>
      </c>
      <c r="W460" s="18">
        <v>27</v>
      </c>
      <c r="X460" s="18" t="s">
        <v>67</v>
      </c>
      <c r="Y460" s="18" t="s">
        <v>669</v>
      </c>
      <c r="Z460" s="18" t="s">
        <v>1152</v>
      </c>
      <c r="AA460" s="18">
        <v>21</v>
      </c>
      <c r="AC460" s="28" t="s">
        <v>2775</v>
      </c>
      <c r="AD460" s="28" t="s">
        <v>2831</v>
      </c>
      <c r="AE460" s="28" t="s">
        <v>135</v>
      </c>
      <c r="AF460" s="28" t="s">
        <v>2783</v>
      </c>
      <c r="AG460" s="28" t="s">
        <v>2342</v>
      </c>
      <c r="AH460" s="28" t="s">
        <v>20</v>
      </c>
      <c r="AI460" s="28" t="s">
        <v>2297</v>
      </c>
      <c r="AJ460" s="28" t="s">
        <v>2302</v>
      </c>
      <c r="AK460" s="28" t="s">
        <v>3583</v>
      </c>
      <c r="AL460" s="28" t="s">
        <v>2298</v>
      </c>
      <c r="AM460" s="114"/>
    </row>
    <row r="461" spans="21:39">
      <c r="U461" s="18">
        <v>459</v>
      </c>
      <c r="V461" s="18" t="s">
        <v>1346</v>
      </c>
      <c r="W461" s="18">
        <v>19</v>
      </c>
      <c r="X461" s="18" t="s">
        <v>67</v>
      </c>
      <c r="Y461" s="18" t="s">
        <v>675</v>
      </c>
      <c r="Z461" s="18" t="s">
        <v>1347</v>
      </c>
      <c r="AA461" s="18">
        <v>10</v>
      </c>
      <c r="AC461" s="28" t="s">
        <v>2775</v>
      </c>
      <c r="AD461" s="28" t="s">
        <v>2832</v>
      </c>
      <c r="AE461" s="28" t="s">
        <v>135</v>
      </c>
      <c r="AF461" s="28" t="s">
        <v>2777</v>
      </c>
      <c r="AG461" s="28" t="s">
        <v>2333</v>
      </c>
      <c r="AH461" s="28" t="s">
        <v>24</v>
      </c>
      <c r="AI461" s="28" t="s">
        <v>2297</v>
      </c>
      <c r="AJ461" s="28" t="s">
        <v>2302</v>
      </c>
      <c r="AK461" s="28" t="s">
        <v>21</v>
      </c>
      <c r="AL461" s="28" t="s">
        <v>2298</v>
      </c>
      <c r="AM461" s="114"/>
    </row>
    <row r="462" spans="21:39">
      <c r="U462" s="18">
        <v>460</v>
      </c>
      <c r="V462" s="18" t="s">
        <v>1348</v>
      </c>
      <c r="W462" s="18">
        <v>24</v>
      </c>
      <c r="X462" s="18" t="s">
        <v>67</v>
      </c>
      <c r="Y462" s="18" t="s">
        <v>675</v>
      </c>
      <c r="Z462" s="18" t="s">
        <v>734</v>
      </c>
      <c r="AA462" s="18">
        <v>15</v>
      </c>
      <c r="AC462" s="28" t="s">
        <v>2775</v>
      </c>
      <c r="AD462" s="28" t="s">
        <v>2833</v>
      </c>
      <c r="AE462" s="28" t="s">
        <v>135</v>
      </c>
      <c r="AF462" s="28" t="s">
        <v>2802</v>
      </c>
      <c r="AG462" s="28" t="s">
        <v>2331</v>
      </c>
      <c r="AH462" s="28" t="s">
        <v>23</v>
      </c>
      <c r="AI462" s="28" t="s">
        <v>2301</v>
      </c>
      <c r="AJ462" s="28" t="s">
        <v>2305</v>
      </c>
      <c r="AK462" s="28" t="s">
        <v>51</v>
      </c>
      <c r="AL462" s="28" t="s">
        <v>2530</v>
      </c>
      <c r="AM462" s="114"/>
    </row>
    <row r="463" spans="21:39">
      <c r="U463" s="18">
        <v>461</v>
      </c>
      <c r="V463" s="18" t="s">
        <v>1349</v>
      </c>
      <c r="W463" s="18">
        <v>23</v>
      </c>
      <c r="X463" s="18" t="s">
        <v>67</v>
      </c>
      <c r="Y463" s="18" t="s">
        <v>679</v>
      </c>
      <c r="Z463" s="18" t="s">
        <v>1152</v>
      </c>
      <c r="AA463" s="18">
        <v>14</v>
      </c>
      <c r="AC463" s="28" t="s">
        <v>2775</v>
      </c>
      <c r="AD463" s="28" t="s">
        <v>2834</v>
      </c>
      <c r="AE463" s="28" t="s">
        <v>106</v>
      </c>
      <c r="AF463" s="28" t="s">
        <v>2802</v>
      </c>
      <c r="AG463" s="28" t="s">
        <v>2331</v>
      </c>
      <c r="AH463" s="28" t="s">
        <v>20</v>
      </c>
      <c r="AI463" s="28" t="s">
        <v>2297</v>
      </c>
      <c r="AJ463" s="28" t="s">
        <v>2297</v>
      </c>
      <c r="AK463" s="28" t="s">
        <v>9</v>
      </c>
      <c r="AL463" s="28" t="s">
        <v>2835</v>
      </c>
      <c r="AM463" s="114"/>
    </row>
    <row r="464" spans="21:39">
      <c r="U464" s="18">
        <v>462</v>
      </c>
      <c r="V464" s="18" t="s">
        <v>1350</v>
      </c>
      <c r="W464" s="18">
        <v>25</v>
      </c>
      <c r="X464" s="18" t="s">
        <v>67</v>
      </c>
      <c r="Y464" s="18" t="s">
        <v>679</v>
      </c>
      <c r="Z464" s="18" t="s">
        <v>989</v>
      </c>
      <c r="AA464" s="18">
        <v>19</v>
      </c>
      <c r="AC464" s="28" t="s">
        <v>2775</v>
      </c>
      <c r="AD464" s="28" t="s">
        <v>2836</v>
      </c>
      <c r="AE464" s="28" t="s">
        <v>106</v>
      </c>
      <c r="AF464" s="28" t="s">
        <v>2787</v>
      </c>
      <c r="AG464" s="28" t="s">
        <v>2328</v>
      </c>
      <c r="AH464" s="28" t="s">
        <v>24</v>
      </c>
      <c r="AI464" s="28" t="s">
        <v>2297</v>
      </c>
      <c r="AJ464" s="28" t="s">
        <v>2297</v>
      </c>
      <c r="AK464" s="28" t="s">
        <v>23</v>
      </c>
      <c r="AL464" s="28" t="s">
        <v>2837</v>
      </c>
      <c r="AM464" s="114"/>
    </row>
    <row r="465" spans="21:39">
      <c r="U465" s="18">
        <v>463</v>
      </c>
      <c r="V465" s="18" t="s">
        <v>1351</v>
      </c>
      <c r="W465" s="18">
        <v>22</v>
      </c>
      <c r="X465" s="18" t="s">
        <v>67</v>
      </c>
      <c r="Y465" s="18" t="s">
        <v>679</v>
      </c>
      <c r="Z465" s="18" t="s">
        <v>965</v>
      </c>
      <c r="AA465" s="18">
        <v>20</v>
      </c>
      <c r="AC465" s="28" t="s">
        <v>2775</v>
      </c>
      <c r="AD465" s="28" t="s">
        <v>2838</v>
      </c>
      <c r="AE465" s="28" t="s">
        <v>2350</v>
      </c>
      <c r="AF465" s="28" t="s">
        <v>2779</v>
      </c>
      <c r="AG465" s="28" t="s">
        <v>2780</v>
      </c>
      <c r="AH465" s="28" t="s">
        <v>20</v>
      </c>
      <c r="AI465" s="28" t="s">
        <v>2305</v>
      </c>
      <c r="AJ465" s="28" t="s">
        <v>2297</v>
      </c>
      <c r="AK465" s="28" t="s">
        <v>23</v>
      </c>
      <c r="AL465" s="28" t="s">
        <v>2298</v>
      </c>
      <c r="AM465" s="114"/>
    </row>
    <row r="466" spans="21:39">
      <c r="U466" s="18">
        <v>464</v>
      </c>
      <c r="V466" s="18" t="s">
        <v>1352</v>
      </c>
      <c r="W466" s="18">
        <v>25</v>
      </c>
      <c r="X466" s="18" t="s">
        <v>67</v>
      </c>
      <c r="Y466" s="18" t="s">
        <v>681</v>
      </c>
      <c r="Z466" s="18" t="s">
        <v>1353</v>
      </c>
      <c r="AA466" s="18">
        <v>9</v>
      </c>
      <c r="AC466" s="28" t="s">
        <v>2775</v>
      </c>
      <c r="AD466" s="28" t="s">
        <v>2839</v>
      </c>
      <c r="AE466" s="28" t="s">
        <v>238</v>
      </c>
      <c r="AF466" s="28" t="s">
        <v>2783</v>
      </c>
      <c r="AG466" s="28" t="s">
        <v>2342</v>
      </c>
      <c r="AH466" s="28" t="s">
        <v>24</v>
      </c>
      <c r="AI466" s="28" t="s">
        <v>2297</v>
      </c>
      <c r="AJ466" s="28" t="s">
        <v>2302</v>
      </c>
      <c r="AK466" s="28" t="s">
        <v>9</v>
      </c>
      <c r="AL466" s="28" t="s">
        <v>2298</v>
      </c>
      <c r="AM466" s="114"/>
    </row>
    <row r="467" spans="21:39">
      <c r="U467" s="18">
        <v>465</v>
      </c>
      <c r="V467" s="18" t="s">
        <v>1354</v>
      </c>
      <c r="W467" s="18">
        <v>21</v>
      </c>
      <c r="X467" s="18" t="s">
        <v>67</v>
      </c>
      <c r="Y467" s="18" t="s">
        <v>681</v>
      </c>
      <c r="Z467" s="18" t="s">
        <v>863</v>
      </c>
      <c r="AA467" s="18">
        <v>24</v>
      </c>
      <c r="AC467" s="28" t="s">
        <v>2840</v>
      </c>
      <c r="AD467" s="28" t="s">
        <v>2841</v>
      </c>
      <c r="AE467" s="28" t="s">
        <v>2717</v>
      </c>
      <c r="AF467" s="28" t="s">
        <v>2842</v>
      </c>
      <c r="AG467" s="28" t="s">
        <v>2843</v>
      </c>
      <c r="AH467" s="28" t="s">
        <v>19</v>
      </c>
      <c r="AI467" s="28" t="s">
        <v>2305</v>
      </c>
      <c r="AJ467" s="28" t="s">
        <v>2305</v>
      </c>
      <c r="AK467" s="28" t="s">
        <v>2425</v>
      </c>
      <c r="AL467" s="28" t="s">
        <v>2298</v>
      </c>
      <c r="AM467" s="114"/>
    </row>
    <row r="468" spans="21:39">
      <c r="U468" s="18">
        <v>466</v>
      </c>
      <c r="V468" s="18" t="s">
        <v>1355</v>
      </c>
      <c r="W468" s="18">
        <v>26</v>
      </c>
      <c r="X468" s="18" t="s">
        <v>67</v>
      </c>
      <c r="Y468" s="18" t="s">
        <v>683</v>
      </c>
      <c r="Z468" s="18" t="s">
        <v>908</v>
      </c>
      <c r="AA468" s="18">
        <v>11</v>
      </c>
      <c r="AC468" s="28" t="s">
        <v>2840</v>
      </c>
      <c r="AD468" s="28" t="s">
        <v>2844</v>
      </c>
      <c r="AE468" s="28" t="s">
        <v>2717</v>
      </c>
      <c r="AF468" s="28" t="s">
        <v>2845</v>
      </c>
      <c r="AG468" s="28" t="s">
        <v>2846</v>
      </c>
      <c r="AH468" s="28" t="s">
        <v>18</v>
      </c>
      <c r="AI468" s="28" t="s">
        <v>2297</v>
      </c>
      <c r="AJ468" s="28" t="s">
        <v>2302</v>
      </c>
      <c r="AK468" s="28" t="s">
        <v>57</v>
      </c>
      <c r="AL468" s="28" t="s">
        <v>2298</v>
      </c>
      <c r="AM468" s="114"/>
    </row>
    <row r="469" spans="21:39">
      <c r="U469" s="18">
        <v>467</v>
      </c>
      <c r="V469" s="18" t="s">
        <v>1356</v>
      </c>
      <c r="W469" s="18">
        <v>36</v>
      </c>
      <c r="X469" s="18" t="s">
        <v>67</v>
      </c>
      <c r="Y469" s="18" t="s">
        <v>683</v>
      </c>
      <c r="Z469" s="18" t="s">
        <v>1357</v>
      </c>
      <c r="AA469" s="18">
        <v>13</v>
      </c>
      <c r="AC469" s="28" t="s">
        <v>2840</v>
      </c>
      <c r="AD469" s="28" t="s">
        <v>2847</v>
      </c>
      <c r="AE469" s="28" t="s">
        <v>2590</v>
      </c>
      <c r="AF469" s="28" t="s">
        <v>2848</v>
      </c>
      <c r="AG469" s="28" t="s">
        <v>2849</v>
      </c>
      <c r="AH469" s="28" t="s">
        <v>6</v>
      </c>
      <c r="AI469" s="28" t="s">
        <v>2297</v>
      </c>
      <c r="AJ469" s="28" t="s">
        <v>2297</v>
      </c>
      <c r="AK469" s="28" t="s">
        <v>16</v>
      </c>
      <c r="AL469" s="28" t="s">
        <v>2298</v>
      </c>
      <c r="AM469" s="114"/>
    </row>
    <row r="470" spans="21:39">
      <c r="U470" s="18">
        <v>468</v>
      </c>
      <c r="V470" s="18" t="s">
        <v>1358</v>
      </c>
      <c r="W470" s="18">
        <v>28</v>
      </c>
      <c r="X470" s="18" t="s">
        <v>67</v>
      </c>
      <c r="Y470" s="18" t="s">
        <v>683</v>
      </c>
      <c r="Z470" s="18" t="s">
        <v>1325</v>
      </c>
      <c r="AA470" s="18">
        <v>16</v>
      </c>
      <c r="AC470" s="28" t="s">
        <v>2840</v>
      </c>
      <c r="AD470" s="28" t="s">
        <v>2850</v>
      </c>
      <c r="AE470" s="28" t="s">
        <v>2735</v>
      </c>
      <c r="AF470" s="28" t="s">
        <v>2851</v>
      </c>
      <c r="AG470" s="28" t="s">
        <v>2852</v>
      </c>
      <c r="AH470" s="28" t="s">
        <v>20</v>
      </c>
      <c r="AI470" s="28" t="s">
        <v>2302</v>
      </c>
      <c r="AJ470" s="28" t="s">
        <v>2297</v>
      </c>
      <c r="AK470" s="28" t="s">
        <v>3583</v>
      </c>
      <c r="AL470" s="28" t="s">
        <v>2298</v>
      </c>
      <c r="AM470" s="114"/>
    </row>
    <row r="471" spans="21:39">
      <c r="U471" s="18">
        <v>469</v>
      </c>
      <c r="V471" s="18" t="s">
        <v>1359</v>
      </c>
      <c r="W471" s="18">
        <v>40</v>
      </c>
      <c r="X471" s="18" t="s">
        <v>18</v>
      </c>
      <c r="Y471" s="18" t="s">
        <v>642</v>
      </c>
      <c r="Z471" s="18" t="s">
        <v>781</v>
      </c>
      <c r="AA471" s="18">
        <v>1</v>
      </c>
      <c r="AC471" s="28" t="s">
        <v>2840</v>
      </c>
      <c r="AD471" s="28" t="s">
        <v>2853</v>
      </c>
      <c r="AE471" s="28" t="s">
        <v>2590</v>
      </c>
      <c r="AF471" s="28" t="s">
        <v>2854</v>
      </c>
      <c r="AG471" s="28" t="s">
        <v>2855</v>
      </c>
      <c r="AH471" s="28" t="s">
        <v>53</v>
      </c>
      <c r="AI471" s="28" t="s">
        <v>2297</v>
      </c>
      <c r="AJ471" s="28" t="s">
        <v>2301</v>
      </c>
      <c r="AK471" s="28" t="s">
        <v>8</v>
      </c>
      <c r="AL471" s="28" t="s">
        <v>2298</v>
      </c>
      <c r="AM471" s="114"/>
    </row>
    <row r="472" spans="21:39">
      <c r="U472" s="18">
        <v>470</v>
      </c>
      <c r="V472" s="18" t="s">
        <v>1360</v>
      </c>
      <c r="W472" s="18">
        <v>36</v>
      </c>
      <c r="X472" s="18" t="s">
        <v>18</v>
      </c>
      <c r="Y472" s="18" t="s">
        <v>642</v>
      </c>
      <c r="Z472" s="18" t="s">
        <v>652</v>
      </c>
      <c r="AA472" s="18">
        <v>12</v>
      </c>
      <c r="AC472" s="28" t="s">
        <v>2840</v>
      </c>
      <c r="AD472" s="28" t="s">
        <v>2856</v>
      </c>
      <c r="AE472" s="28" t="s">
        <v>2725</v>
      </c>
      <c r="AF472" s="28" t="s">
        <v>2857</v>
      </c>
      <c r="AG472" s="28" t="s">
        <v>2858</v>
      </c>
      <c r="AH472" s="28" t="s">
        <v>33</v>
      </c>
      <c r="AI472" s="28" t="s">
        <v>2297</v>
      </c>
      <c r="AJ472" s="28" t="s">
        <v>2302</v>
      </c>
      <c r="AK472" s="28" t="s">
        <v>46</v>
      </c>
      <c r="AL472" s="28" t="s">
        <v>2298</v>
      </c>
      <c r="AM472" s="114"/>
    </row>
    <row r="473" spans="21:39">
      <c r="U473" s="18">
        <v>471</v>
      </c>
      <c r="V473" s="18" t="s">
        <v>1361</v>
      </c>
      <c r="W473" s="18">
        <v>29</v>
      </c>
      <c r="X473" s="18" t="s">
        <v>18</v>
      </c>
      <c r="Y473" s="18" t="s">
        <v>642</v>
      </c>
      <c r="Z473" s="18" t="s">
        <v>863</v>
      </c>
      <c r="AA473" s="18">
        <v>21</v>
      </c>
      <c r="AC473" s="28" t="s">
        <v>2840</v>
      </c>
      <c r="AD473" s="28" t="s">
        <v>2859</v>
      </c>
      <c r="AE473" s="28" t="s">
        <v>2735</v>
      </c>
      <c r="AF473" s="28" t="s">
        <v>2860</v>
      </c>
      <c r="AG473" s="28" t="s">
        <v>2861</v>
      </c>
      <c r="AH473" s="28" t="s">
        <v>54</v>
      </c>
      <c r="AI473" s="28" t="s">
        <v>2297</v>
      </c>
      <c r="AJ473" s="28" t="s">
        <v>2302</v>
      </c>
      <c r="AK473" s="28" t="s">
        <v>28</v>
      </c>
      <c r="AL473" s="28" t="s">
        <v>2298</v>
      </c>
      <c r="AM473" s="114"/>
    </row>
    <row r="474" spans="21:39">
      <c r="U474" s="18">
        <v>472</v>
      </c>
      <c r="V474" s="18" t="s">
        <v>1362</v>
      </c>
      <c r="W474" s="18">
        <v>33</v>
      </c>
      <c r="X474" s="18" t="s">
        <v>18</v>
      </c>
      <c r="Y474" s="18" t="s">
        <v>649</v>
      </c>
      <c r="Z474" s="18" t="s">
        <v>584</v>
      </c>
      <c r="AA474" s="18">
        <v>2</v>
      </c>
      <c r="AC474" s="28" t="s">
        <v>2840</v>
      </c>
      <c r="AD474" s="28" t="s">
        <v>2862</v>
      </c>
      <c r="AE474" s="28" t="s">
        <v>2588</v>
      </c>
      <c r="AF474" s="28" t="s">
        <v>2854</v>
      </c>
      <c r="AG474" s="28" t="s">
        <v>2855</v>
      </c>
      <c r="AH474" s="28" t="s">
        <v>51</v>
      </c>
      <c r="AI474" s="28" t="s">
        <v>2305</v>
      </c>
      <c r="AJ474" s="28" t="s">
        <v>2305</v>
      </c>
      <c r="AK474" s="28" t="s">
        <v>17</v>
      </c>
      <c r="AL474" s="28" t="s">
        <v>2298</v>
      </c>
      <c r="AM474" s="114"/>
    </row>
    <row r="475" spans="21:39">
      <c r="U475" s="18">
        <v>473</v>
      </c>
      <c r="V475" s="18" t="s">
        <v>1363</v>
      </c>
      <c r="W475" s="18">
        <v>29</v>
      </c>
      <c r="X475" s="18" t="s">
        <v>18</v>
      </c>
      <c r="Y475" s="18" t="s">
        <v>649</v>
      </c>
      <c r="Z475" s="18" t="s">
        <v>944</v>
      </c>
      <c r="AA475" s="18">
        <v>3</v>
      </c>
      <c r="AC475" s="28" t="s">
        <v>2840</v>
      </c>
      <c r="AD475" s="28" t="s">
        <v>2863</v>
      </c>
      <c r="AE475" s="28" t="s">
        <v>2725</v>
      </c>
      <c r="AF475" s="28" t="s">
        <v>2860</v>
      </c>
      <c r="AG475" s="28" t="s">
        <v>2861</v>
      </c>
      <c r="AH475" s="28" t="s">
        <v>40</v>
      </c>
      <c r="AI475" s="28" t="s">
        <v>2305</v>
      </c>
      <c r="AJ475" s="28" t="s">
        <v>2297</v>
      </c>
      <c r="AK475" s="28" t="s">
        <v>56</v>
      </c>
      <c r="AL475" s="28" t="s">
        <v>2298</v>
      </c>
      <c r="AM475" s="114"/>
    </row>
    <row r="476" spans="21:39">
      <c r="U476" s="18">
        <v>474</v>
      </c>
      <c r="V476" s="18" t="s">
        <v>1364</v>
      </c>
      <c r="W476" s="18">
        <v>30</v>
      </c>
      <c r="X476" s="18" t="s">
        <v>18</v>
      </c>
      <c r="Y476" s="18" t="s">
        <v>649</v>
      </c>
      <c r="Z476" s="18" t="s">
        <v>781</v>
      </c>
      <c r="AA476" s="18">
        <v>4</v>
      </c>
      <c r="AC476" s="28" t="s">
        <v>2840</v>
      </c>
      <c r="AD476" s="28" t="s">
        <v>2864</v>
      </c>
      <c r="AE476" s="28" t="s">
        <v>2588</v>
      </c>
      <c r="AF476" s="28" t="s">
        <v>2865</v>
      </c>
      <c r="AG476" s="28" t="s">
        <v>2866</v>
      </c>
      <c r="AH476" s="28" t="s">
        <v>12</v>
      </c>
      <c r="AI476" s="28" t="s">
        <v>2305</v>
      </c>
      <c r="AJ476" s="28" t="s">
        <v>2302</v>
      </c>
      <c r="AK476" s="28" t="s">
        <v>58</v>
      </c>
      <c r="AL476" s="28" t="s">
        <v>2298</v>
      </c>
      <c r="AM476" s="114"/>
    </row>
    <row r="477" spans="21:39">
      <c r="U477" s="18">
        <v>475</v>
      </c>
      <c r="V477" s="18" t="s">
        <v>1365</v>
      </c>
      <c r="W477" s="18">
        <v>26</v>
      </c>
      <c r="X477" s="18" t="s">
        <v>18</v>
      </c>
      <c r="Y477" s="18" t="s">
        <v>649</v>
      </c>
      <c r="Z477" s="18" t="s">
        <v>944</v>
      </c>
      <c r="AA477" s="18">
        <v>15</v>
      </c>
      <c r="AC477" s="28" t="s">
        <v>2840</v>
      </c>
      <c r="AD477" s="28" t="s">
        <v>2867</v>
      </c>
      <c r="AE477" s="28" t="s">
        <v>2719</v>
      </c>
      <c r="AF477" s="28" t="s">
        <v>2868</v>
      </c>
      <c r="AG477" s="28" t="s">
        <v>2869</v>
      </c>
      <c r="AH477" s="28" t="s">
        <v>9</v>
      </c>
      <c r="AI477" s="28" t="s">
        <v>2296</v>
      </c>
      <c r="AJ477" s="28" t="s">
        <v>2302</v>
      </c>
      <c r="AK477" s="28" t="s">
        <v>59</v>
      </c>
      <c r="AL477" s="28" t="s">
        <v>2298</v>
      </c>
      <c r="AM477" s="114"/>
    </row>
    <row r="478" spans="21:39">
      <c r="U478" s="18">
        <v>476</v>
      </c>
      <c r="V478" s="18" t="s">
        <v>1366</v>
      </c>
      <c r="W478" s="18">
        <v>24</v>
      </c>
      <c r="X478" s="18" t="s">
        <v>18</v>
      </c>
      <c r="Y478" s="18" t="s">
        <v>649</v>
      </c>
      <c r="Z478" s="18" t="s">
        <v>1003</v>
      </c>
      <c r="AA478" s="18">
        <v>24</v>
      </c>
      <c r="AC478" s="28" t="s">
        <v>2840</v>
      </c>
      <c r="AD478" s="28" t="s">
        <v>2870</v>
      </c>
      <c r="AE478" s="28" t="s">
        <v>2719</v>
      </c>
      <c r="AF478" s="28" t="s">
        <v>2842</v>
      </c>
      <c r="AG478" s="28" t="s">
        <v>2843</v>
      </c>
      <c r="AH478" s="28" t="s">
        <v>55</v>
      </c>
      <c r="AI478" s="28" t="s">
        <v>2301</v>
      </c>
      <c r="AJ478" s="28" t="s">
        <v>2302</v>
      </c>
      <c r="AK478" s="28" t="s">
        <v>34</v>
      </c>
      <c r="AL478" s="28" t="s">
        <v>2298</v>
      </c>
      <c r="AM478" s="114"/>
    </row>
    <row r="479" spans="21:39">
      <c r="U479" s="18">
        <v>477</v>
      </c>
      <c r="V479" s="18" t="s">
        <v>1367</v>
      </c>
      <c r="W479" s="18">
        <v>22</v>
      </c>
      <c r="X479" s="18" t="s">
        <v>18</v>
      </c>
      <c r="Y479" s="18" t="s">
        <v>657</v>
      </c>
      <c r="Z479" s="18" t="s">
        <v>953</v>
      </c>
      <c r="AA479" s="18">
        <v>18</v>
      </c>
      <c r="AC479" s="28" t="s">
        <v>2840</v>
      </c>
      <c r="AD479" s="28" t="s">
        <v>2871</v>
      </c>
      <c r="AE479" s="28" t="s">
        <v>2717</v>
      </c>
      <c r="AF479" s="28" t="s">
        <v>2845</v>
      </c>
      <c r="AG479" s="28" t="s">
        <v>2846</v>
      </c>
      <c r="AH479" s="28" t="s">
        <v>18</v>
      </c>
      <c r="AI479" s="28" t="s">
        <v>2297</v>
      </c>
      <c r="AJ479" s="28" t="s">
        <v>2297</v>
      </c>
      <c r="AK479" s="28" t="s">
        <v>19</v>
      </c>
      <c r="AL479" s="28" t="s">
        <v>2298</v>
      </c>
      <c r="AM479" s="114"/>
    </row>
    <row r="480" spans="21:39">
      <c r="U480" s="18">
        <v>478</v>
      </c>
      <c r="V480" s="18" t="s">
        <v>1368</v>
      </c>
      <c r="W480" s="18">
        <v>28</v>
      </c>
      <c r="X480" s="18" t="s">
        <v>18</v>
      </c>
      <c r="Y480" s="18" t="s">
        <v>657</v>
      </c>
      <c r="Z480" s="18" t="s">
        <v>1369</v>
      </c>
      <c r="AA480" s="18">
        <v>22</v>
      </c>
      <c r="AC480" s="28" t="s">
        <v>2840</v>
      </c>
      <c r="AD480" s="28" t="s">
        <v>2872</v>
      </c>
      <c r="AE480" s="28" t="s">
        <v>2590</v>
      </c>
      <c r="AF480" s="28" t="s">
        <v>2848</v>
      </c>
      <c r="AG480" s="28" t="s">
        <v>2849</v>
      </c>
      <c r="AH480" s="28" t="s">
        <v>8</v>
      </c>
      <c r="AI480" s="28" t="s">
        <v>2297</v>
      </c>
      <c r="AJ480" s="28" t="s">
        <v>2296</v>
      </c>
      <c r="AK480" s="28" t="s">
        <v>16</v>
      </c>
      <c r="AL480" s="28" t="s">
        <v>2298</v>
      </c>
      <c r="AM480" s="114"/>
    </row>
    <row r="481" spans="21:39">
      <c r="U481" s="18">
        <v>479</v>
      </c>
      <c r="V481" s="18" t="s">
        <v>491</v>
      </c>
      <c r="W481" s="18">
        <v>31</v>
      </c>
      <c r="X481" s="18" t="s">
        <v>18</v>
      </c>
      <c r="Y481" s="18" t="s">
        <v>661</v>
      </c>
      <c r="Z481" s="18" t="s">
        <v>781</v>
      </c>
      <c r="AA481" s="18">
        <v>6</v>
      </c>
      <c r="AC481" s="28" t="s">
        <v>2840</v>
      </c>
      <c r="AD481" s="28" t="s">
        <v>2873</v>
      </c>
      <c r="AE481" s="28" t="s">
        <v>2590</v>
      </c>
      <c r="AF481" s="28" t="s">
        <v>2854</v>
      </c>
      <c r="AG481" s="28" t="s">
        <v>2855</v>
      </c>
      <c r="AH481" s="28" t="s">
        <v>6</v>
      </c>
      <c r="AI481" s="28" t="s">
        <v>2305</v>
      </c>
      <c r="AJ481" s="28" t="s">
        <v>2297</v>
      </c>
      <c r="AK481" s="28" t="s">
        <v>53</v>
      </c>
      <c r="AL481" s="28" t="s">
        <v>2298</v>
      </c>
      <c r="AM481" s="114"/>
    </row>
    <row r="482" spans="21:39">
      <c r="U482" s="18">
        <v>480</v>
      </c>
      <c r="V482" s="18" t="s">
        <v>1370</v>
      </c>
      <c r="W482" s="18">
        <v>22</v>
      </c>
      <c r="X482" s="18" t="s">
        <v>18</v>
      </c>
      <c r="Y482" s="18" t="s">
        <v>664</v>
      </c>
      <c r="Z482" s="18" t="s">
        <v>781</v>
      </c>
      <c r="AA482" s="18">
        <v>5</v>
      </c>
      <c r="AC482" s="28" t="s">
        <v>2840</v>
      </c>
      <c r="AD482" s="28" t="s">
        <v>2874</v>
      </c>
      <c r="AE482" s="28" t="s">
        <v>2735</v>
      </c>
      <c r="AF482" s="28" t="s">
        <v>2851</v>
      </c>
      <c r="AG482" s="28" t="s">
        <v>2852</v>
      </c>
      <c r="AH482" s="28" t="s">
        <v>20</v>
      </c>
      <c r="AI482" s="28" t="s">
        <v>2297</v>
      </c>
      <c r="AJ482" s="28" t="s">
        <v>2302</v>
      </c>
      <c r="AK482" s="28" t="s">
        <v>54</v>
      </c>
      <c r="AL482" s="28" t="s">
        <v>2298</v>
      </c>
      <c r="AM482" s="114"/>
    </row>
    <row r="483" spans="21:39">
      <c r="U483" s="18">
        <v>481</v>
      </c>
      <c r="V483" s="18" t="s">
        <v>1371</v>
      </c>
      <c r="W483" s="18">
        <v>25</v>
      </c>
      <c r="X483" s="18" t="s">
        <v>18</v>
      </c>
      <c r="Y483" s="18" t="s">
        <v>664</v>
      </c>
      <c r="Z483" s="18" t="s">
        <v>863</v>
      </c>
      <c r="AA483" s="18">
        <v>16</v>
      </c>
      <c r="AC483" s="28" t="s">
        <v>2840</v>
      </c>
      <c r="AD483" s="28" t="s">
        <v>2875</v>
      </c>
      <c r="AE483" s="28" t="s">
        <v>2717</v>
      </c>
      <c r="AF483" s="28" t="s">
        <v>2868</v>
      </c>
      <c r="AG483" s="28" t="s">
        <v>2869</v>
      </c>
      <c r="AH483" s="28" t="s">
        <v>2425</v>
      </c>
      <c r="AI483" s="28" t="s">
        <v>2302</v>
      </c>
      <c r="AJ483" s="28" t="s">
        <v>2302</v>
      </c>
      <c r="AK483" s="28" t="s">
        <v>57</v>
      </c>
      <c r="AL483" s="28" t="s">
        <v>2298</v>
      </c>
      <c r="AM483" s="114"/>
    </row>
    <row r="484" spans="21:39">
      <c r="U484" s="18">
        <v>482</v>
      </c>
      <c r="V484" s="18" t="s">
        <v>1372</v>
      </c>
      <c r="W484" s="18">
        <v>31</v>
      </c>
      <c r="X484" s="18" t="s">
        <v>18</v>
      </c>
      <c r="Y484" s="18" t="s">
        <v>669</v>
      </c>
      <c r="Z484" s="18" t="s">
        <v>781</v>
      </c>
      <c r="AA484" s="18">
        <v>8</v>
      </c>
      <c r="AC484" s="28" t="s">
        <v>2840</v>
      </c>
      <c r="AD484" s="28" t="s">
        <v>2876</v>
      </c>
      <c r="AE484" s="28" t="s">
        <v>2735</v>
      </c>
      <c r="AF484" s="28" t="s">
        <v>2857</v>
      </c>
      <c r="AG484" s="28" t="s">
        <v>2858</v>
      </c>
      <c r="AH484" s="28" t="s">
        <v>28</v>
      </c>
      <c r="AI484" s="28" t="s">
        <v>2305</v>
      </c>
      <c r="AJ484" s="28" t="s">
        <v>2297</v>
      </c>
      <c r="AK484" s="28" t="s">
        <v>3583</v>
      </c>
      <c r="AL484" s="28" t="s">
        <v>2298</v>
      </c>
      <c r="AM484" s="114"/>
    </row>
    <row r="485" spans="21:39">
      <c r="U485" s="18">
        <v>483</v>
      </c>
      <c r="V485" s="18" t="s">
        <v>1373</v>
      </c>
      <c r="W485" s="18">
        <v>34</v>
      </c>
      <c r="X485" s="18" t="s">
        <v>18</v>
      </c>
      <c r="Y485" s="18" t="s">
        <v>669</v>
      </c>
      <c r="Z485" s="18" t="s">
        <v>1159</v>
      </c>
      <c r="AA485" s="18">
        <v>13</v>
      </c>
      <c r="AC485" s="28" t="s">
        <v>2840</v>
      </c>
      <c r="AD485" s="28" t="s">
        <v>2877</v>
      </c>
      <c r="AE485" s="28" t="s">
        <v>2588</v>
      </c>
      <c r="AF485" s="28" t="s">
        <v>2848</v>
      </c>
      <c r="AG485" s="28" t="s">
        <v>2849</v>
      </c>
      <c r="AH485" s="28" t="s">
        <v>17</v>
      </c>
      <c r="AI485" s="28" t="s">
        <v>2301</v>
      </c>
      <c r="AJ485" s="28" t="s">
        <v>2297</v>
      </c>
      <c r="AK485" s="28" t="s">
        <v>58</v>
      </c>
      <c r="AL485" s="28" t="s">
        <v>2298</v>
      </c>
      <c r="AM485" s="114"/>
    </row>
    <row r="486" spans="21:39">
      <c r="U486" s="18">
        <v>484</v>
      </c>
      <c r="V486" s="18" t="s">
        <v>1374</v>
      </c>
      <c r="W486" s="18">
        <v>29</v>
      </c>
      <c r="X486" s="18" t="s">
        <v>18</v>
      </c>
      <c r="Y486" s="18" t="s">
        <v>669</v>
      </c>
      <c r="Z486" s="18" t="s">
        <v>803</v>
      </c>
      <c r="AA486" s="18">
        <v>20</v>
      </c>
      <c r="AC486" s="28" t="s">
        <v>2840</v>
      </c>
      <c r="AD486" s="28" t="s">
        <v>2878</v>
      </c>
      <c r="AE486" s="28" t="s">
        <v>2588</v>
      </c>
      <c r="AF486" s="28" t="s">
        <v>2865</v>
      </c>
      <c r="AG486" s="28" t="s">
        <v>2866</v>
      </c>
      <c r="AH486" s="28" t="s">
        <v>12</v>
      </c>
      <c r="AI486" s="28" t="s">
        <v>2301</v>
      </c>
      <c r="AJ486" s="28" t="s">
        <v>2302</v>
      </c>
      <c r="AK486" s="28" t="s">
        <v>51</v>
      </c>
      <c r="AL486" s="28" t="s">
        <v>2298</v>
      </c>
      <c r="AM486" s="114"/>
    </row>
    <row r="487" spans="21:39">
      <c r="U487" s="18">
        <v>485</v>
      </c>
      <c r="V487" s="18" t="s">
        <v>1375</v>
      </c>
      <c r="W487" s="18">
        <v>25</v>
      </c>
      <c r="X487" s="18" t="s">
        <v>18</v>
      </c>
      <c r="Y487" s="18" t="s">
        <v>669</v>
      </c>
      <c r="Z487" s="18" t="s">
        <v>944</v>
      </c>
      <c r="AA487" s="18">
        <v>23</v>
      </c>
      <c r="AC487" s="28" t="s">
        <v>2840</v>
      </c>
      <c r="AD487" s="28" t="s">
        <v>2879</v>
      </c>
      <c r="AE487" s="28" t="s">
        <v>2725</v>
      </c>
      <c r="AF487" s="28" t="s">
        <v>2857</v>
      </c>
      <c r="AG487" s="28" t="s">
        <v>2858</v>
      </c>
      <c r="AH487" s="28" t="s">
        <v>33</v>
      </c>
      <c r="AI487" s="28" t="s">
        <v>2297</v>
      </c>
      <c r="AJ487" s="28" t="s">
        <v>2302</v>
      </c>
      <c r="AK487" s="28" t="s">
        <v>40</v>
      </c>
      <c r="AL487" s="28" t="s">
        <v>2298</v>
      </c>
      <c r="AM487" s="114"/>
    </row>
    <row r="488" spans="21:39">
      <c r="U488" s="18">
        <v>486</v>
      </c>
      <c r="V488" s="18" t="s">
        <v>1376</v>
      </c>
      <c r="W488" s="18">
        <v>20</v>
      </c>
      <c r="X488" s="18" t="s">
        <v>18</v>
      </c>
      <c r="Y488" s="18" t="s">
        <v>669</v>
      </c>
      <c r="Z488" s="18" t="s">
        <v>1369</v>
      </c>
      <c r="AA488" s="18">
        <v>25</v>
      </c>
      <c r="AC488" s="28" t="s">
        <v>2840</v>
      </c>
      <c r="AD488" s="28" t="s">
        <v>2879</v>
      </c>
      <c r="AE488" s="28" t="s">
        <v>2725</v>
      </c>
      <c r="AF488" s="28" t="s">
        <v>2851</v>
      </c>
      <c r="AG488" s="28" t="s">
        <v>2852</v>
      </c>
      <c r="AH488" s="28" t="s">
        <v>56</v>
      </c>
      <c r="AI488" s="28" t="s">
        <v>2305</v>
      </c>
      <c r="AJ488" s="28" t="s">
        <v>2297</v>
      </c>
      <c r="AK488" s="28" t="s">
        <v>46</v>
      </c>
      <c r="AL488" s="28" t="s">
        <v>2298</v>
      </c>
      <c r="AM488" s="114"/>
    </row>
    <row r="489" spans="21:39">
      <c r="U489" s="18">
        <v>487</v>
      </c>
      <c r="V489" s="18" t="s">
        <v>483</v>
      </c>
      <c r="W489" s="18">
        <v>23</v>
      </c>
      <c r="X489" s="18" t="s">
        <v>18</v>
      </c>
      <c r="Y489" s="18" t="s">
        <v>675</v>
      </c>
      <c r="Z489" s="18" t="s">
        <v>781</v>
      </c>
      <c r="AA489" s="18">
        <v>10</v>
      </c>
      <c r="AC489" s="28" t="s">
        <v>2840</v>
      </c>
      <c r="AD489" s="28" t="s">
        <v>2880</v>
      </c>
      <c r="AE489" s="28" t="s">
        <v>2719</v>
      </c>
      <c r="AF489" s="28" t="s">
        <v>2868</v>
      </c>
      <c r="AG489" s="28" t="s">
        <v>2869</v>
      </c>
      <c r="AH489" s="28" t="s">
        <v>9</v>
      </c>
      <c r="AI489" s="28" t="s">
        <v>2305</v>
      </c>
      <c r="AJ489" s="28" t="s">
        <v>2297</v>
      </c>
      <c r="AK489" s="28" t="s">
        <v>55</v>
      </c>
      <c r="AL489" s="28" t="s">
        <v>2298</v>
      </c>
      <c r="AM489" s="114"/>
    </row>
    <row r="490" spans="21:39">
      <c r="U490" s="18">
        <v>488</v>
      </c>
      <c r="V490" s="18" t="s">
        <v>473</v>
      </c>
      <c r="W490" s="18">
        <v>23</v>
      </c>
      <c r="X490" s="18" t="s">
        <v>18</v>
      </c>
      <c r="Y490" s="18" t="s">
        <v>675</v>
      </c>
      <c r="Z490" s="18" t="s">
        <v>981</v>
      </c>
      <c r="AA490" s="18">
        <v>17</v>
      </c>
      <c r="AC490" s="28" t="s">
        <v>2840</v>
      </c>
      <c r="AD490" s="28" t="s">
        <v>2881</v>
      </c>
      <c r="AE490" s="28" t="s">
        <v>2719</v>
      </c>
      <c r="AF490" s="28" t="s">
        <v>2845</v>
      </c>
      <c r="AG490" s="28" t="s">
        <v>2846</v>
      </c>
      <c r="AH490" s="28" t="s">
        <v>34</v>
      </c>
      <c r="AI490" s="28" t="s">
        <v>2296</v>
      </c>
      <c r="AJ490" s="28" t="s">
        <v>2302</v>
      </c>
      <c r="AK490" s="28" t="s">
        <v>59</v>
      </c>
      <c r="AL490" s="28" t="s">
        <v>2298</v>
      </c>
      <c r="AM490" s="114"/>
    </row>
    <row r="491" spans="21:39">
      <c r="U491" s="18">
        <v>489</v>
      </c>
      <c r="V491" s="18" t="s">
        <v>1377</v>
      </c>
      <c r="W491" s="18">
        <v>25</v>
      </c>
      <c r="X491" s="18" t="s">
        <v>18</v>
      </c>
      <c r="Y491" s="18" t="s">
        <v>679</v>
      </c>
      <c r="Z491" s="18" t="s">
        <v>863</v>
      </c>
      <c r="AA491" s="18">
        <v>9</v>
      </c>
      <c r="AC491" s="28" t="s">
        <v>2840</v>
      </c>
      <c r="AD491" s="28" t="s">
        <v>2882</v>
      </c>
      <c r="AE491" s="28" t="s">
        <v>2590</v>
      </c>
      <c r="AF491" s="28" t="s">
        <v>2854</v>
      </c>
      <c r="AG491" s="28" t="s">
        <v>2855</v>
      </c>
      <c r="AH491" s="28" t="s">
        <v>6</v>
      </c>
      <c r="AI491" s="28" t="s">
        <v>2302</v>
      </c>
      <c r="AJ491" s="28" t="s">
        <v>2297</v>
      </c>
      <c r="AK491" s="28" t="s">
        <v>8</v>
      </c>
      <c r="AL491" s="28" t="s">
        <v>2298</v>
      </c>
      <c r="AM491" s="114"/>
    </row>
    <row r="492" spans="21:39">
      <c r="U492" s="18">
        <v>490</v>
      </c>
      <c r="V492" s="18" t="s">
        <v>1378</v>
      </c>
      <c r="W492" s="18">
        <v>30</v>
      </c>
      <c r="X492" s="18" t="s">
        <v>18</v>
      </c>
      <c r="Y492" s="18" t="s">
        <v>679</v>
      </c>
      <c r="Z492" s="18" t="s">
        <v>1179</v>
      </c>
      <c r="AA492" s="18">
        <v>19</v>
      </c>
      <c r="AC492" s="28" t="s">
        <v>2840</v>
      </c>
      <c r="AD492" s="28" t="s">
        <v>2882</v>
      </c>
      <c r="AE492" s="28" t="s">
        <v>2590</v>
      </c>
      <c r="AF492" s="28" t="s">
        <v>2865</v>
      </c>
      <c r="AG492" s="28" t="s">
        <v>2866</v>
      </c>
      <c r="AH492" s="28" t="s">
        <v>16</v>
      </c>
      <c r="AI492" s="28" t="s">
        <v>2302</v>
      </c>
      <c r="AJ492" s="28" t="s">
        <v>2305</v>
      </c>
      <c r="AK492" s="28" t="s">
        <v>53</v>
      </c>
      <c r="AL492" s="28" t="s">
        <v>2298</v>
      </c>
      <c r="AM492" s="114"/>
    </row>
    <row r="493" spans="21:39">
      <c r="U493" s="18">
        <v>491</v>
      </c>
      <c r="V493" s="18" t="s">
        <v>1379</v>
      </c>
      <c r="W493" s="18">
        <v>23</v>
      </c>
      <c r="X493" s="18" t="s">
        <v>18</v>
      </c>
      <c r="Y493" s="18" t="s">
        <v>681</v>
      </c>
      <c r="Z493" s="18" t="s">
        <v>944</v>
      </c>
      <c r="AA493" s="18">
        <v>14</v>
      </c>
      <c r="AC493" s="28" t="s">
        <v>2840</v>
      </c>
      <c r="AD493" s="28" t="s">
        <v>2883</v>
      </c>
      <c r="AE493" s="28" t="s">
        <v>2717</v>
      </c>
      <c r="AF493" s="28" t="s">
        <v>2842</v>
      </c>
      <c r="AG493" s="28" t="s">
        <v>2843</v>
      </c>
      <c r="AH493" s="28" t="s">
        <v>18</v>
      </c>
      <c r="AI493" s="28" t="s">
        <v>2301</v>
      </c>
      <c r="AJ493" s="28" t="s">
        <v>2305</v>
      </c>
      <c r="AK493" s="28" t="s">
        <v>2425</v>
      </c>
      <c r="AL493" s="28" t="s">
        <v>2298</v>
      </c>
      <c r="AM493" s="114"/>
    </row>
    <row r="494" spans="21:39">
      <c r="U494" s="18">
        <v>492</v>
      </c>
      <c r="V494" s="18" t="s">
        <v>479</v>
      </c>
      <c r="W494" s="18">
        <v>27</v>
      </c>
      <c r="X494" s="18" t="s">
        <v>18</v>
      </c>
      <c r="Y494" s="18" t="s">
        <v>683</v>
      </c>
      <c r="Z494" s="18" t="s">
        <v>986</v>
      </c>
      <c r="AA494" s="18">
        <v>7</v>
      </c>
      <c r="AC494" s="28" t="s">
        <v>2840</v>
      </c>
      <c r="AD494" s="28" t="s">
        <v>2883</v>
      </c>
      <c r="AE494" s="28" t="s">
        <v>2717</v>
      </c>
      <c r="AF494" s="28" t="s">
        <v>2845</v>
      </c>
      <c r="AG494" s="28" t="s">
        <v>2846</v>
      </c>
      <c r="AH494" s="28" t="s">
        <v>57</v>
      </c>
      <c r="AI494" s="28" t="s">
        <v>2297</v>
      </c>
      <c r="AJ494" s="28" t="s">
        <v>2301</v>
      </c>
      <c r="AK494" s="28" t="s">
        <v>19</v>
      </c>
      <c r="AL494" s="28" t="s">
        <v>2298</v>
      </c>
      <c r="AM494" s="114"/>
    </row>
    <row r="495" spans="21:39">
      <c r="U495" s="18">
        <v>493</v>
      </c>
      <c r="V495" s="18" t="s">
        <v>1380</v>
      </c>
      <c r="W495" s="18">
        <v>24</v>
      </c>
      <c r="X495" s="18" t="s">
        <v>18</v>
      </c>
      <c r="Y495" s="18" t="s">
        <v>683</v>
      </c>
      <c r="Z495" s="18" t="s">
        <v>1003</v>
      </c>
      <c r="AA495" s="18">
        <v>11</v>
      </c>
      <c r="AC495" s="28" t="s">
        <v>2840</v>
      </c>
      <c r="AD495" s="28" t="s">
        <v>2884</v>
      </c>
      <c r="AE495" s="28" t="s">
        <v>2735</v>
      </c>
      <c r="AF495" s="28" t="s">
        <v>2851</v>
      </c>
      <c r="AG495" s="28" t="s">
        <v>2852</v>
      </c>
      <c r="AH495" s="28" t="s">
        <v>3583</v>
      </c>
      <c r="AI495" s="28" t="s">
        <v>2302</v>
      </c>
      <c r="AJ495" s="28" t="s">
        <v>2302</v>
      </c>
      <c r="AK495" s="28" t="s">
        <v>54</v>
      </c>
      <c r="AL495" s="28" t="s">
        <v>2298</v>
      </c>
      <c r="AM495" s="114"/>
    </row>
    <row r="496" spans="21:39">
      <c r="U496" s="18">
        <v>494</v>
      </c>
      <c r="V496" s="18" t="s">
        <v>1381</v>
      </c>
      <c r="W496" s="18">
        <v>29</v>
      </c>
      <c r="X496" s="18" t="s">
        <v>18</v>
      </c>
      <c r="Y496" s="18" t="s">
        <v>683</v>
      </c>
      <c r="Z496" s="18" t="s">
        <v>863</v>
      </c>
      <c r="AA496" s="18">
        <v>26</v>
      </c>
      <c r="AC496" s="28" t="s">
        <v>2840</v>
      </c>
      <c r="AD496" s="28" t="s">
        <v>2885</v>
      </c>
      <c r="AE496" s="28" t="s">
        <v>2588</v>
      </c>
      <c r="AF496" s="28" t="s">
        <v>2848</v>
      </c>
      <c r="AG496" s="28" t="s">
        <v>2849</v>
      </c>
      <c r="AH496" s="28" t="s">
        <v>12</v>
      </c>
      <c r="AI496" s="28" t="s">
        <v>2297</v>
      </c>
      <c r="AJ496" s="28" t="s">
        <v>2297</v>
      </c>
      <c r="AK496" s="28" t="s">
        <v>17</v>
      </c>
      <c r="AL496" s="28" t="s">
        <v>2298</v>
      </c>
      <c r="AM496" s="114"/>
    </row>
    <row r="497" spans="21:39">
      <c r="U497" s="18">
        <v>495</v>
      </c>
      <c r="V497" s="18" t="s">
        <v>1382</v>
      </c>
      <c r="W497" s="18">
        <v>25</v>
      </c>
      <c r="X497" s="18" t="s">
        <v>72</v>
      </c>
      <c r="Y497" s="18" t="s">
        <v>642</v>
      </c>
      <c r="Z497" s="18" t="s">
        <v>1062</v>
      </c>
      <c r="AA497" s="18">
        <v>1</v>
      </c>
      <c r="AC497" s="28" t="s">
        <v>2840</v>
      </c>
      <c r="AD497" s="28" t="s">
        <v>2884</v>
      </c>
      <c r="AE497" s="28" t="s">
        <v>2735</v>
      </c>
      <c r="AF497" s="28" t="s">
        <v>2860</v>
      </c>
      <c r="AG497" s="28" t="s">
        <v>2861</v>
      </c>
      <c r="AH497" s="28" t="s">
        <v>20</v>
      </c>
      <c r="AI497" s="28" t="s">
        <v>2297</v>
      </c>
      <c r="AJ497" s="28" t="s">
        <v>2297</v>
      </c>
      <c r="AK497" s="28" t="s">
        <v>28</v>
      </c>
      <c r="AL497" s="28" t="s">
        <v>2298</v>
      </c>
      <c r="AM497" s="114"/>
    </row>
    <row r="498" spans="21:39">
      <c r="U498" s="18">
        <v>496</v>
      </c>
      <c r="V498" s="18" t="s">
        <v>1383</v>
      </c>
      <c r="W498" s="18">
        <v>24</v>
      </c>
      <c r="X498" s="18" t="s">
        <v>72</v>
      </c>
      <c r="Y498" s="18" t="s">
        <v>642</v>
      </c>
      <c r="Z498" s="18" t="s">
        <v>1384</v>
      </c>
      <c r="AA498" s="18">
        <v>16</v>
      </c>
      <c r="AC498" s="28" t="s">
        <v>2840</v>
      </c>
      <c r="AD498" s="28" t="s">
        <v>2885</v>
      </c>
      <c r="AE498" s="28" t="s">
        <v>2588</v>
      </c>
      <c r="AF498" s="28" t="s">
        <v>2865</v>
      </c>
      <c r="AG498" s="28" t="s">
        <v>2866</v>
      </c>
      <c r="AH498" s="28" t="s">
        <v>58</v>
      </c>
      <c r="AI498" s="28" t="s">
        <v>2316</v>
      </c>
      <c r="AJ498" s="28" t="s">
        <v>2297</v>
      </c>
      <c r="AK498" s="28" t="s">
        <v>51</v>
      </c>
      <c r="AL498" s="28" t="s">
        <v>2298</v>
      </c>
      <c r="AM498" s="114"/>
    </row>
    <row r="499" spans="21:39">
      <c r="U499" s="18">
        <v>497</v>
      </c>
      <c r="V499" s="18" t="s">
        <v>1385</v>
      </c>
      <c r="W499" s="18">
        <v>27</v>
      </c>
      <c r="X499" s="18" t="s">
        <v>72</v>
      </c>
      <c r="Y499" s="18" t="s">
        <v>642</v>
      </c>
      <c r="Z499" s="18" t="s">
        <v>1386</v>
      </c>
      <c r="AA499" s="18">
        <v>23</v>
      </c>
      <c r="AC499" s="28" t="s">
        <v>2840</v>
      </c>
      <c r="AD499" s="28" t="s">
        <v>2886</v>
      </c>
      <c r="AE499" s="28" t="s">
        <v>2725</v>
      </c>
      <c r="AF499" s="28" t="s">
        <v>2857</v>
      </c>
      <c r="AG499" s="28" t="s">
        <v>2858</v>
      </c>
      <c r="AH499" s="28" t="s">
        <v>46</v>
      </c>
      <c r="AI499" s="28" t="s">
        <v>2297</v>
      </c>
      <c r="AJ499" s="28" t="s">
        <v>2305</v>
      </c>
      <c r="AK499" s="28" t="s">
        <v>40</v>
      </c>
      <c r="AL499" s="28" t="s">
        <v>2298</v>
      </c>
      <c r="AM499" s="114"/>
    </row>
    <row r="500" spans="21:39">
      <c r="U500" s="18">
        <v>498</v>
      </c>
      <c r="V500" s="18" t="s">
        <v>1387</v>
      </c>
      <c r="W500" s="18">
        <v>22</v>
      </c>
      <c r="X500" s="18" t="s">
        <v>72</v>
      </c>
      <c r="Y500" s="18" t="s">
        <v>649</v>
      </c>
      <c r="Z500" s="18" t="s">
        <v>1388</v>
      </c>
      <c r="AA500" s="18">
        <v>2</v>
      </c>
      <c r="AC500" s="28" t="s">
        <v>2840</v>
      </c>
      <c r="AD500" s="28" t="s">
        <v>2886</v>
      </c>
      <c r="AE500" s="28" t="s">
        <v>2725</v>
      </c>
      <c r="AF500" s="28" t="s">
        <v>2860</v>
      </c>
      <c r="AG500" s="28" t="s">
        <v>2861</v>
      </c>
      <c r="AH500" s="28" t="s">
        <v>33</v>
      </c>
      <c r="AI500" s="28" t="s">
        <v>2302</v>
      </c>
      <c r="AJ500" s="28" t="s">
        <v>2297</v>
      </c>
      <c r="AK500" s="28" t="s">
        <v>56</v>
      </c>
      <c r="AL500" s="28" t="s">
        <v>2298</v>
      </c>
      <c r="AM500" s="114"/>
    </row>
    <row r="501" spans="21:39">
      <c r="U501" s="18">
        <v>499</v>
      </c>
      <c r="V501" s="18" t="s">
        <v>1389</v>
      </c>
      <c r="W501" s="18">
        <v>25</v>
      </c>
      <c r="X501" s="18" t="s">
        <v>72</v>
      </c>
      <c r="Y501" s="18" t="s">
        <v>649</v>
      </c>
      <c r="Z501" s="18" t="s">
        <v>837</v>
      </c>
      <c r="AA501" s="18">
        <v>7</v>
      </c>
      <c r="AC501" s="28" t="s">
        <v>2840</v>
      </c>
      <c r="AD501" s="28" t="s">
        <v>2887</v>
      </c>
      <c r="AE501" s="28" t="s">
        <v>2719</v>
      </c>
      <c r="AF501" s="28" t="s">
        <v>2868</v>
      </c>
      <c r="AG501" s="28" t="s">
        <v>2869</v>
      </c>
      <c r="AH501" s="28" t="s">
        <v>59</v>
      </c>
      <c r="AI501" s="28" t="s">
        <v>2302</v>
      </c>
      <c r="AJ501" s="28" t="s">
        <v>2305</v>
      </c>
      <c r="AK501" s="28" t="s">
        <v>55</v>
      </c>
      <c r="AL501" s="28" t="s">
        <v>2298</v>
      </c>
      <c r="AM501" s="114"/>
    </row>
    <row r="502" spans="21:39">
      <c r="U502" s="18">
        <v>500</v>
      </c>
      <c r="V502" s="18" t="s">
        <v>1390</v>
      </c>
      <c r="W502" s="18">
        <v>28</v>
      </c>
      <c r="X502" s="18" t="s">
        <v>72</v>
      </c>
      <c r="Y502" s="18" t="s">
        <v>649</v>
      </c>
      <c r="Z502" s="18" t="s">
        <v>818</v>
      </c>
      <c r="AA502" s="18">
        <v>20</v>
      </c>
      <c r="AC502" s="28" t="s">
        <v>2840</v>
      </c>
      <c r="AD502" s="28" t="s">
        <v>2887</v>
      </c>
      <c r="AE502" s="28" t="s">
        <v>2719</v>
      </c>
      <c r="AF502" s="28" t="s">
        <v>2842</v>
      </c>
      <c r="AG502" s="28" t="s">
        <v>2843</v>
      </c>
      <c r="AH502" s="28" t="s">
        <v>9</v>
      </c>
      <c r="AI502" s="28" t="s">
        <v>2302</v>
      </c>
      <c r="AJ502" s="28" t="s">
        <v>2305</v>
      </c>
      <c r="AK502" s="28" t="s">
        <v>34</v>
      </c>
      <c r="AL502" s="28" t="s">
        <v>2298</v>
      </c>
      <c r="AM502" s="114"/>
    </row>
    <row r="503" spans="21:39">
      <c r="U503" s="18">
        <v>501</v>
      </c>
      <c r="V503" s="18" t="s">
        <v>1391</v>
      </c>
      <c r="W503" s="18">
        <v>26</v>
      </c>
      <c r="X503" s="18" t="s">
        <v>72</v>
      </c>
      <c r="Y503" s="18" t="s">
        <v>649</v>
      </c>
      <c r="Z503" s="18" t="s">
        <v>1089</v>
      </c>
      <c r="AA503" s="18">
        <v>21</v>
      </c>
      <c r="AC503" s="28" t="s">
        <v>2840</v>
      </c>
      <c r="AD503" s="28" t="s">
        <v>2888</v>
      </c>
      <c r="AE503" s="28" t="s">
        <v>170</v>
      </c>
      <c r="AF503" s="28" t="s">
        <v>2845</v>
      </c>
      <c r="AG503" s="28" t="s">
        <v>2846</v>
      </c>
      <c r="AH503" s="28" t="s">
        <v>18</v>
      </c>
      <c r="AI503" s="28" t="s">
        <v>2301</v>
      </c>
      <c r="AJ503" s="28" t="s">
        <v>2305</v>
      </c>
      <c r="AK503" s="28" t="s">
        <v>33</v>
      </c>
      <c r="AL503" s="28" t="s">
        <v>2298</v>
      </c>
      <c r="AM503" s="114"/>
    </row>
    <row r="504" spans="21:39">
      <c r="U504" s="18">
        <v>502</v>
      </c>
      <c r="V504" s="18" t="s">
        <v>1392</v>
      </c>
      <c r="W504" s="18">
        <v>30</v>
      </c>
      <c r="X504" s="18" t="s">
        <v>72</v>
      </c>
      <c r="Y504" s="18" t="s">
        <v>657</v>
      </c>
      <c r="Z504" s="18" t="s">
        <v>1393</v>
      </c>
      <c r="AA504" s="18">
        <v>3</v>
      </c>
      <c r="AC504" s="28" t="s">
        <v>2840</v>
      </c>
      <c r="AD504" s="28" t="s">
        <v>2889</v>
      </c>
      <c r="AE504" s="28" t="s">
        <v>170</v>
      </c>
      <c r="AF504" s="28" t="s">
        <v>2860</v>
      </c>
      <c r="AG504" s="28" t="s">
        <v>2861</v>
      </c>
      <c r="AH504" s="28" t="s">
        <v>19</v>
      </c>
      <c r="AI504" s="28" t="s">
        <v>2301</v>
      </c>
      <c r="AJ504" s="28" t="s">
        <v>2302</v>
      </c>
      <c r="AK504" s="28" t="s">
        <v>16</v>
      </c>
      <c r="AL504" s="28" t="s">
        <v>2298</v>
      </c>
      <c r="AM504" s="114"/>
    </row>
    <row r="505" spans="21:39">
      <c r="U505" s="18">
        <v>503</v>
      </c>
      <c r="V505" s="18" t="s">
        <v>1394</v>
      </c>
      <c r="W505" s="18">
        <v>29</v>
      </c>
      <c r="X505" s="18" t="s">
        <v>72</v>
      </c>
      <c r="Y505" s="18" t="s">
        <v>657</v>
      </c>
      <c r="Z505" s="18" t="s">
        <v>1395</v>
      </c>
      <c r="AA505" s="18">
        <v>13</v>
      </c>
      <c r="AC505" s="28" t="s">
        <v>2840</v>
      </c>
      <c r="AD505" s="28" t="s">
        <v>2890</v>
      </c>
      <c r="AE505" s="28" t="s">
        <v>170</v>
      </c>
      <c r="AF505" s="28" t="s">
        <v>2842</v>
      </c>
      <c r="AG505" s="28" t="s">
        <v>2843</v>
      </c>
      <c r="AH505" s="28" t="s">
        <v>56</v>
      </c>
      <c r="AI505" s="28" t="s">
        <v>2297</v>
      </c>
      <c r="AJ505" s="28" t="s">
        <v>2301</v>
      </c>
      <c r="AK505" s="28" t="s">
        <v>17</v>
      </c>
      <c r="AL505" s="28" t="s">
        <v>2298</v>
      </c>
      <c r="AM505" s="114"/>
    </row>
    <row r="506" spans="21:39">
      <c r="U506" s="18">
        <v>504</v>
      </c>
      <c r="V506" s="18" t="s">
        <v>1396</v>
      </c>
      <c r="W506" s="18">
        <v>25</v>
      </c>
      <c r="X506" s="18" t="s">
        <v>72</v>
      </c>
      <c r="Y506" s="18" t="s">
        <v>661</v>
      </c>
      <c r="Z506" s="18" t="s">
        <v>1179</v>
      </c>
      <c r="AA506" s="18">
        <v>5</v>
      </c>
      <c r="AC506" s="28" t="s">
        <v>2840</v>
      </c>
      <c r="AD506" s="28" t="s">
        <v>2891</v>
      </c>
      <c r="AE506" s="28" t="s">
        <v>170</v>
      </c>
      <c r="AF506" s="28" t="s">
        <v>2854</v>
      </c>
      <c r="AG506" s="28" t="s">
        <v>2855</v>
      </c>
      <c r="AH506" s="28" t="s">
        <v>8</v>
      </c>
      <c r="AI506" s="28" t="s">
        <v>2301</v>
      </c>
      <c r="AJ506" s="28" t="s">
        <v>2305</v>
      </c>
      <c r="AK506" s="28" t="s">
        <v>9</v>
      </c>
      <c r="AL506" s="28" t="s">
        <v>2298</v>
      </c>
      <c r="AM506" s="114"/>
    </row>
    <row r="507" spans="21:39">
      <c r="U507" s="18">
        <v>505</v>
      </c>
      <c r="V507" s="18" t="s">
        <v>1397</v>
      </c>
      <c r="W507" s="18">
        <v>23</v>
      </c>
      <c r="X507" s="18" t="s">
        <v>72</v>
      </c>
      <c r="Y507" s="18" t="s">
        <v>661</v>
      </c>
      <c r="Z507" s="18" t="s">
        <v>1086</v>
      </c>
      <c r="AA507" s="18">
        <v>17</v>
      </c>
      <c r="AC507" s="28" t="s">
        <v>2840</v>
      </c>
      <c r="AD507" s="28" t="s">
        <v>2892</v>
      </c>
      <c r="AE507" s="28" t="s">
        <v>170</v>
      </c>
      <c r="AF507" s="28" t="s">
        <v>2857</v>
      </c>
      <c r="AG507" s="28" t="s">
        <v>2858</v>
      </c>
      <c r="AH507" s="28" t="s">
        <v>40</v>
      </c>
      <c r="AI507" s="28" t="s">
        <v>2305</v>
      </c>
      <c r="AJ507" s="28" t="s">
        <v>2302</v>
      </c>
      <c r="AK507" s="28" t="s">
        <v>3583</v>
      </c>
      <c r="AL507" s="28" t="s">
        <v>2298</v>
      </c>
      <c r="AM507" s="114"/>
    </row>
    <row r="508" spans="21:39">
      <c r="U508" s="18">
        <v>506</v>
      </c>
      <c r="V508" s="18" t="s">
        <v>1398</v>
      </c>
      <c r="W508" s="18">
        <v>34</v>
      </c>
      <c r="X508" s="18" t="s">
        <v>72</v>
      </c>
      <c r="Y508" s="18" t="s">
        <v>664</v>
      </c>
      <c r="Z508" s="18" t="s">
        <v>1399</v>
      </c>
      <c r="AA508" s="18">
        <v>4</v>
      </c>
      <c r="AC508" s="28" t="s">
        <v>2840</v>
      </c>
      <c r="AD508" s="28" t="s">
        <v>2893</v>
      </c>
      <c r="AE508" s="28" t="s">
        <v>170</v>
      </c>
      <c r="AF508" s="28" t="s">
        <v>2865</v>
      </c>
      <c r="AG508" s="28" t="s">
        <v>2866</v>
      </c>
      <c r="AH508" s="28" t="s">
        <v>12</v>
      </c>
      <c r="AI508" s="28" t="s">
        <v>2297</v>
      </c>
      <c r="AJ508" s="28" t="s">
        <v>2302</v>
      </c>
      <c r="AK508" s="28" t="s">
        <v>6</v>
      </c>
      <c r="AL508" s="28" t="s">
        <v>2298</v>
      </c>
      <c r="AM508" s="114"/>
    </row>
    <row r="509" spans="21:39">
      <c r="U509" s="18">
        <v>507</v>
      </c>
      <c r="V509" s="18" t="s">
        <v>1400</v>
      </c>
      <c r="W509" s="18">
        <v>28</v>
      </c>
      <c r="X509" s="18" t="s">
        <v>72</v>
      </c>
      <c r="Y509" s="18" t="s">
        <v>664</v>
      </c>
      <c r="Z509" s="18" t="s">
        <v>977</v>
      </c>
      <c r="AA509" s="18">
        <v>18</v>
      </c>
      <c r="AC509" s="28" t="s">
        <v>2840</v>
      </c>
      <c r="AD509" s="28" t="s">
        <v>2894</v>
      </c>
      <c r="AE509" s="28" t="s">
        <v>170</v>
      </c>
      <c r="AF509" s="28" t="s">
        <v>2868</v>
      </c>
      <c r="AG509" s="28" t="s">
        <v>2869</v>
      </c>
      <c r="AH509" s="28" t="s">
        <v>55</v>
      </c>
      <c r="AI509" s="28" t="s">
        <v>2297</v>
      </c>
      <c r="AJ509" s="28" t="s">
        <v>2305</v>
      </c>
      <c r="AK509" s="28" t="s">
        <v>20</v>
      </c>
      <c r="AL509" s="28" t="s">
        <v>2352</v>
      </c>
      <c r="AM509" s="114"/>
    </row>
    <row r="510" spans="21:39">
      <c r="U510" s="18">
        <v>508</v>
      </c>
      <c r="V510" s="18" t="s">
        <v>1401</v>
      </c>
      <c r="W510" s="18">
        <v>20</v>
      </c>
      <c r="X510" s="18" t="s">
        <v>72</v>
      </c>
      <c r="Y510" s="18" t="s">
        <v>664</v>
      </c>
      <c r="Z510" s="18" t="s">
        <v>1402</v>
      </c>
      <c r="AA510" s="18">
        <v>26</v>
      </c>
      <c r="AC510" s="28" t="s">
        <v>2840</v>
      </c>
      <c r="AD510" s="28" t="s">
        <v>2895</v>
      </c>
      <c r="AE510" s="28" t="s">
        <v>170</v>
      </c>
      <c r="AF510" s="28" t="s">
        <v>2851</v>
      </c>
      <c r="AG510" s="28" t="s">
        <v>2852</v>
      </c>
      <c r="AH510" s="28" t="s">
        <v>28</v>
      </c>
      <c r="AI510" s="28" t="s">
        <v>2297</v>
      </c>
      <c r="AJ510" s="28" t="s">
        <v>2297</v>
      </c>
      <c r="AK510" s="28" t="s">
        <v>34</v>
      </c>
      <c r="AL510" s="28" t="s">
        <v>2896</v>
      </c>
      <c r="AM510" s="114"/>
    </row>
    <row r="511" spans="21:39">
      <c r="U511" s="18">
        <v>509</v>
      </c>
      <c r="V511" s="18" t="s">
        <v>1403</v>
      </c>
      <c r="W511" s="18">
        <v>31</v>
      </c>
      <c r="X511" s="18" t="s">
        <v>72</v>
      </c>
      <c r="Y511" s="18" t="s">
        <v>669</v>
      </c>
      <c r="Z511" s="18" t="s">
        <v>1202</v>
      </c>
      <c r="AA511" s="18">
        <v>6</v>
      </c>
      <c r="AC511" s="28" t="s">
        <v>2840</v>
      </c>
      <c r="AD511" s="28" t="s">
        <v>2897</v>
      </c>
      <c r="AE511" s="28" t="s">
        <v>135</v>
      </c>
      <c r="AF511" s="28" t="s">
        <v>2868</v>
      </c>
      <c r="AG511" s="28" t="s">
        <v>2869</v>
      </c>
      <c r="AH511" s="28" t="s">
        <v>20</v>
      </c>
      <c r="AI511" s="28" t="s">
        <v>2305</v>
      </c>
      <c r="AJ511" s="28" t="s">
        <v>2297</v>
      </c>
      <c r="AK511" s="28" t="s">
        <v>19</v>
      </c>
      <c r="AL511" s="28" t="s">
        <v>2298</v>
      </c>
      <c r="AM511" s="114"/>
    </row>
    <row r="512" spans="21:39">
      <c r="U512" s="18">
        <v>510</v>
      </c>
      <c r="V512" s="18" t="s">
        <v>1404</v>
      </c>
      <c r="W512" s="18">
        <v>29</v>
      </c>
      <c r="X512" s="18" t="s">
        <v>72</v>
      </c>
      <c r="Y512" s="18" t="s">
        <v>669</v>
      </c>
      <c r="Z512" s="18" t="s">
        <v>991</v>
      </c>
      <c r="AA512" s="18">
        <v>8</v>
      </c>
      <c r="AC512" s="28" t="s">
        <v>2840</v>
      </c>
      <c r="AD512" s="28" t="s">
        <v>2898</v>
      </c>
      <c r="AE512" s="28" t="s">
        <v>135</v>
      </c>
      <c r="AF512" s="28" t="s">
        <v>2842</v>
      </c>
      <c r="AG512" s="28" t="s">
        <v>2843</v>
      </c>
      <c r="AH512" s="28" t="s">
        <v>40</v>
      </c>
      <c r="AI512" s="28" t="s">
        <v>2305</v>
      </c>
      <c r="AJ512" s="28" t="s">
        <v>2301</v>
      </c>
      <c r="AK512" s="28" t="s">
        <v>12</v>
      </c>
      <c r="AL512" s="28" t="s">
        <v>2298</v>
      </c>
      <c r="AM512" s="114"/>
    </row>
    <row r="513" spans="21:39">
      <c r="U513" s="18">
        <v>511</v>
      </c>
      <c r="V513" s="18" t="s">
        <v>1405</v>
      </c>
      <c r="W513" s="18">
        <v>25</v>
      </c>
      <c r="X513" s="18" t="s">
        <v>72</v>
      </c>
      <c r="Y513" s="18" t="s">
        <v>669</v>
      </c>
      <c r="Z513" s="18" t="s">
        <v>1384</v>
      </c>
      <c r="AA513" s="18">
        <v>25</v>
      </c>
      <c r="AC513" s="28" t="s">
        <v>2840</v>
      </c>
      <c r="AD513" s="28" t="s">
        <v>2899</v>
      </c>
      <c r="AE513" s="28" t="s">
        <v>135</v>
      </c>
      <c r="AF513" s="28" t="s">
        <v>2851</v>
      </c>
      <c r="AG513" s="28" t="s">
        <v>2852</v>
      </c>
      <c r="AH513" s="28" t="s">
        <v>34</v>
      </c>
      <c r="AI513" s="28" t="s">
        <v>2305</v>
      </c>
      <c r="AJ513" s="28" t="s">
        <v>2297</v>
      </c>
      <c r="AK513" s="28" t="s">
        <v>18</v>
      </c>
      <c r="AL513" s="28" t="s">
        <v>2298</v>
      </c>
      <c r="AM513" s="114"/>
    </row>
    <row r="514" spans="21:39">
      <c r="U514" s="18">
        <v>512</v>
      </c>
      <c r="V514" s="18" t="s">
        <v>1406</v>
      </c>
      <c r="W514" s="18">
        <v>24</v>
      </c>
      <c r="X514" s="18" t="s">
        <v>72</v>
      </c>
      <c r="Y514" s="18" t="s">
        <v>679</v>
      </c>
      <c r="Z514" s="18" t="s">
        <v>960</v>
      </c>
      <c r="AA514" s="18">
        <v>10</v>
      </c>
      <c r="AC514" s="28" t="s">
        <v>2840</v>
      </c>
      <c r="AD514" s="28" t="s">
        <v>2900</v>
      </c>
      <c r="AE514" s="28" t="s">
        <v>135</v>
      </c>
      <c r="AF514" s="28" t="s">
        <v>2865</v>
      </c>
      <c r="AG514" s="28" t="s">
        <v>2866</v>
      </c>
      <c r="AH514" s="28" t="s">
        <v>8</v>
      </c>
      <c r="AI514" s="28" t="s">
        <v>2305</v>
      </c>
      <c r="AJ514" s="28" t="s">
        <v>2305</v>
      </c>
      <c r="AK514" s="28" t="s">
        <v>17</v>
      </c>
      <c r="AL514" s="28" t="s">
        <v>2901</v>
      </c>
      <c r="AM514" s="114"/>
    </row>
    <row r="515" spans="21:39">
      <c r="U515" s="18">
        <v>513</v>
      </c>
      <c r="V515" s="18" t="s">
        <v>1407</v>
      </c>
      <c r="W515" s="18">
        <v>23</v>
      </c>
      <c r="X515" s="18" t="s">
        <v>72</v>
      </c>
      <c r="Y515" s="18" t="s">
        <v>679</v>
      </c>
      <c r="Z515" s="18" t="s">
        <v>996</v>
      </c>
      <c r="AA515" s="18">
        <v>15</v>
      </c>
      <c r="AC515" s="28" t="s">
        <v>2840</v>
      </c>
      <c r="AD515" s="28" t="s">
        <v>2902</v>
      </c>
      <c r="AE515" s="28" t="s">
        <v>106</v>
      </c>
      <c r="AF515" s="28" t="s">
        <v>2851</v>
      </c>
      <c r="AG515" s="28" t="s">
        <v>2852</v>
      </c>
      <c r="AH515" s="28" t="s">
        <v>34</v>
      </c>
      <c r="AI515" s="28" t="s">
        <v>2297</v>
      </c>
      <c r="AJ515" s="28" t="s">
        <v>2305</v>
      </c>
      <c r="AK515" s="28" t="s">
        <v>20</v>
      </c>
      <c r="AL515" s="28" t="s">
        <v>2298</v>
      </c>
      <c r="AM515" s="114"/>
    </row>
    <row r="516" spans="21:39">
      <c r="U516" s="18">
        <v>514</v>
      </c>
      <c r="V516" s="18" t="s">
        <v>1408</v>
      </c>
      <c r="W516" s="18">
        <v>20</v>
      </c>
      <c r="X516" s="18" t="s">
        <v>72</v>
      </c>
      <c r="Y516" s="18" t="s">
        <v>679</v>
      </c>
      <c r="Z516" s="18" t="s">
        <v>652</v>
      </c>
      <c r="AA516" s="18">
        <v>24</v>
      </c>
      <c r="AC516" s="28" t="s">
        <v>2840</v>
      </c>
      <c r="AD516" s="28" t="s">
        <v>2903</v>
      </c>
      <c r="AE516" s="28" t="s">
        <v>106</v>
      </c>
      <c r="AF516" s="28" t="s">
        <v>2854</v>
      </c>
      <c r="AG516" s="28" t="s">
        <v>2855</v>
      </c>
      <c r="AH516" s="28" t="s">
        <v>17</v>
      </c>
      <c r="AI516" s="28" t="s">
        <v>2302</v>
      </c>
      <c r="AJ516" s="28" t="s">
        <v>2297</v>
      </c>
      <c r="AK516" s="28" t="s">
        <v>12</v>
      </c>
      <c r="AL516" s="28" t="s">
        <v>2298</v>
      </c>
      <c r="AM516" s="114"/>
    </row>
    <row r="517" spans="21:39">
      <c r="U517" s="18">
        <v>515</v>
      </c>
      <c r="V517" s="18" t="s">
        <v>1409</v>
      </c>
      <c r="W517" s="18">
        <v>31</v>
      </c>
      <c r="X517" s="18" t="s">
        <v>72</v>
      </c>
      <c r="Y517" s="18" t="s">
        <v>681</v>
      </c>
      <c r="Z517" s="18" t="s">
        <v>901</v>
      </c>
      <c r="AA517" s="18">
        <v>19</v>
      </c>
      <c r="AC517" s="28" t="s">
        <v>2840</v>
      </c>
      <c r="AD517" s="28" t="s">
        <v>2904</v>
      </c>
      <c r="AE517" s="28" t="s">
        <v>2350</v>
      </c>
      <c r="AF517" s="28" t="s">
        <v>2854</v>
      </c>
      <c r="AG517" s="28" t="s">
        <v>2855</v>
      </c>
      <c r="AH517" s="28" t="s">
        <v>17</v>
      </c>
      <c r="AI517" s="28" t="s">
        <v>2296</v>
      </c>
      <c r="AJ517" s="28" t="s">
        <v>2302</v>
      </c>
      <c r="AK517" s="28" t="s">
        <v>34</v>
      </c>
      <c r="AL517" s="28" t="s">
        <v>2298</v>
      </c>
      <c r="AM517" s="114"/>
    </row>
    <row r="518" spans="21:39">
      <c r="U518" s="18">
        <v>516</v>
      </c>
      <c r="V518" s="18" t="s">
        <v>1410</v>
      </c>
      <c r="W518" s="18">
        <v>22</v>
      </c>
      <c r="X518" s="18" t="s">
        <v>72</v>
      </c>
      <c r="Y518" s="18" t="s">
        <v>683</v>
      </c>
      <c r="Z518" s="18" t="s">
        <v>949</v>
      </c>
      <c r="AA518" s="18">
        <v>9</v>
      </c>
      <c r="AC518" s="28" t="s">
        <v>2840</v>
      </c>
      <c r="AD518" s="28" t="s">
        <v>2905</v>
      </c>
      <c r="AE518" s="28" t="s">
        <v>238</v>
      </c>
      <c r="AF518" s="28" t="s">
        <v>2854</v>
      </c>
      <c r="AG518" s="28" t="s">
        <v>2855</v>
      </c>
      <c r="AH518" s="28" t="s">
        <v>12</v>
      </c>
      <c r="AI518" s="28" t="s">
        <v>2302</v>
      </c>
      <c r="AJ518" s="28" t="s">
        <v>2302</v>
      </c>
      <c r="AK518" s="28" t="s">
        <v>20</v>
      </c>
      <c r="AL518" s="28" t="s">
        <v>2906</v>
      </c>
      <c r="AM518" s="114"/>
    </row>
    <row r="519" spans="21:39">
      <c r="U519" s="18">
        <v>517</v>
      </c>
      <c r="V519" s="18" t="s">
        <v>1411</v>
      </c>
      <c r="W519" s="18">
        <v>19</v>
      </c>
      <c r="X519" s="18" t="s">
        <v>72</v>
      </c>
      <c r="Y519" s="18" t="s">
        <v>683</v>
      </c>
      <c r="Z519" s="18" t="s">
        <v>1369</v>
      </c>
      <c r="AA519" s="18">
        <v>11</v>
      </c>
      <c r="AC519" s="28" t="s">
        <v>2907</v>
      </c>
      <c r="AD519" s="28" t="s">
        <v>2908</v>
      </c>
      <c r="AE519" s="28" t="s">
        <v>2590</v>
      </c>
      <c r="AF519" s="28" t="s">
        <v>597</v>
      </c>
      <c r="AG519" s="28" t="s">
        <v>2909</v>
      </c>
      <c r="AH519" s="28" t="s">
        <v>12</v>
      </c>
      <c r="AI519" s="28" t="s">
        <v>2305</v>
      </c>
      <c r="AJ519" s="28" t="s">
        <v>2297</v>
      </c>
      <c r="AK519" s="28" t="s">
        <v>39</v>
      </c>
      <c r="AL519" s="28" t="s">
        <v>2298</v>
      </c>
      <c r="AM519" s="114"/>
    </row>
    <row r="520" spans="21:39">
      <c r="U520" s="18">
        <v>518</v>
      </c>
      <c r="V520" s="18" t="s">
        <v>1412</v>
      </c>
      <c r="W520" s="18">
        <v>23</v>
      </c>
      <c r="X520" s="18" t="s">
        <v>72</v>
      </c>
      <c r="Y520" s="18" t="s">
        <v>683</v>
      </c>
      <c r="Z520" s="18" t="s">
        <v>882</v>
      </c>
      <c r="AA520" s="18">
        <v>12</v>
      </c>
      <c r="AC520" s="28" t="s">
        <v>2907</v>
      </c>
      <c r="AD520" s="28" t="s">
        <v>2910</v>
      </c>
      <c r="AE520" s="28" t="s">
        <v>2590</v>
      </c>
      <c r="AF520" s="28" t="s">
        <v>2911</v>
      </c>
      <c r="AG520" s="28" t="s">
        <v>2912</v>
      </c>
      <c r="AH520" s="28" t="s">
        <v>46</v>
      </c>
      <c r="AI520" s="28" t="s">
        <v>2305</v>
      </c>
      <c r="AJ520" s="28" t="s">
        <v>2305</v>
      </c>
      <c r="AK520" s="28" t="s">
        <v>54</v>
      </c>
      <c r="AL520" s="28" t="s">
        <v>2298</v>
      </c>
      <c r="AM520" s="114"/>
    </row>
    <row r="521" spans="21:39">
      <c r="U521" s="18">
        <v>519</v>
      </c>
      <c r="V521" s="18" t="s">
        <v>1413</v>
      </c>
      <c r="W521" s="18">
        <v>22</v>
      </c>
      <c r="X521" s="18" t="s">
        <v>72</v>
      </c>
      <c r="Y521" s="18" t="s">
        <v>683</v>
      </c>
      <c r="Z521" s="18" t="s">
        <v>1414</v>
      </c>
      <c r="AA521" s="18">
        <v>14</v>
      </c>
      <c r="AC521" s="28" t="s">
        <v>2907</v>
      </c>
      <c r="AD521" s="28" t="s">
        <v>2913</v>
      </c>
      <c r="AE521" s="28" t="s">
        <v>2588</v>
      </c>
      <c r="AF521" s="28" t="s">
        <v>2378</v>
      </c>
      <c r="AG521" s="28" t="s">
        <v>2379</v>
      </c>
      <c r="AH521" s="28" t="s">
        <v>20</v>
      </c>
      <c r="AI521" s="28" t="s">
        <v>2305</v>
      </c>
      <c r="AJ521" s="28" t="s">
        <v>2305</v>
      </c>
      <c r="AK521" s="28" t="s">
        <v>10</v>
      </c>
      <c r="AL521" s="28" t="s">
        <v>2298</v>
      </c>
      <c r="AM521" s="114"/>
    </row>
    <row r="522" spans="21:39">
      <c r="U522" s="18">
        <v>520</v>
      </c>
      <c r="V522" s="18" t="s">
        <v>1415</v>
      </c>
      <c r="W522" s="18">
        <v>24</v>
      </c>
      <c r="X522" s="18" t="s">
        <v>72</v>
      </c>
      <c r="Y522" s="18" t="s">
        <v>683</v>
      </c>
      <c r="Z522" s="18" t="s">
        <v>1072</v>
      </c>
      <c r="AA522" s="18">
        <v>22</v>
      </c>
      <c r="AC522" s="28" t="s">
        <v>2907</v>
      </c>
      <c r="AD522" s="28" t="s">
        <v>2914</v>
      </c>
      <c r="AE522" s="28" t="s">
        <v>2588</v>
      </c>
      <c r="AF522" s="28" t="s">
        <v>2364</v>
      </c>
      <c r="AG522" s="28" t="s">
        <v>2365</v>
      </c>
      <c r="AH522" s="28" t="s">
        <v>51</v>
      </c>
      <c r="AI522" s="28" t="s">
        <v>2297</v>
      </c>
      <c r="AJ522" s="28" t="s">
        <v>2297</v>
      </c>
      <c r="AK522" s="28" t="s">
        <v>14</v>
      </c>
      <c r="AL522" s="28" t="s">
        <v>2298</v>
      </c>
      <c r="AM522" s="114"/>
    </row>
    <row r="523" spans="21:39">
      <c r="U523" s="18">
        <v>521</v>
      </c>
      <c r="V523" s="18" t="s">
        <v>1416</v>
      </c>
      <c r="W523" s="18">
        <v>23</v>
      </c>
      <c r="X523" s="18" t="s">
        <v>62</v>
      </c>
      <c r="Y523" s="18" t="s">
        <v>642</v>
      </c>
      <c r="Z523" s="18" t="s">
        <v>1213</v>
      </c>
      <c r="AA523" s="18">
        <v>1</v>
      </c>
      <c r="AC523" s="28" t="s">
        <v>2907</v>
      </c>
      <c r="AD523" s="28" t="s">
        <v>2915</v>
      </c>
      <c r="AE523" s="28" t="s">
        <v>2719</v>
      </c>
      <c r="AF523" s="28" t="s">
        <v>2911</v>
      </c>
      <c r="AG523" s="28" t="s">
        <v>2912</v>
      </c>
      <c r="AH523" s="28" t="s">
        <v>13</v>
      </c>
      <c r="AI523" s="28" t="s">
        <v>2302</v>
      </c>
      <c r="AJ523" s="28" t="s">
        <v>2302</v>
      </c>
      <c r="AK523" s="28" t="s">
        <v>34</v>
      </c>
      <c r="AL523" s="28" t="s">
        <v>2298</v>
      </c>
      <c r="AM523" s="114"/>
    </row>
    <row r="524" spans="21:39">
      <c r="U524" s="18">
        <v>522</v>
      </c>
      <c r="V524" s="18" t="s">
        <v>1417</v>
      </c>
      <c r="W524" s="18">
        <v>26</v>
      </c>
      <c r="X524" s="18" t="s">
        <v>62</v>
      </c>
      <c r="Y524" s="18" t="s">
        <v>642</v>
      </c>
      <c r="Z524" s="18" t="s">
        <v>1418</v>
      </c>
      <c r="AA524" s="18">
        <v>12</v>
      </c>
      <c r="AC524" s="28" t="s">
        <v>2907</v>
      </c>
      <c r="AD524" s="28" t="s">
        <v>2916</v>
      </c>
      <c r="AE524" s="28" t="s">
        <v>2717</v>
      </c>
      <c r="AF524" s="28" t="s">
        <v>2917</v>
      </c>
      <c r="AG524" s="28" t="s">
        <v>2918</v>
      </c>
      <c r="AH524" s="28" t="s">
        <v>56</v>
      </c>
      <c r="AI524" s="28" t="s">
        <v>2302</v>
      </c>
      <c r="AJ524" s="28" t="s">
        <v>2297</v>
      </c>
      <c r="AK524" s="28" t="s">
        <v>49</v>
      </c>
      <c r="AL524" s="28" t="s">
        <v>2298</v>
      </c>
      <c r="AM524" s="114"/>
    </row>
    <row r="525" spans="21:39">
      <c r="U525" s="18">
        <v>523</v>
      </c>
      <c r="V525" s="18" t="s">
        <v>1419</v>
      </c>
      <c r="W525" s="18">
        <v>27</v>
      </c>
      <c r="X525" s="18" t="s">
        <v>62</v>
      </c>
      <c r="Y525" s="18" t="s">
        <v>642</v>
      </c>
      <c r="Z525" s="18" t="s">
        <v>783</v>
      </c>
      <c r="AA525" s="18">
        <v>23</v>
      </c>
      <c r="AC525" s="28" t="s">
        <v>2907</v>
      </c>
      <c r="AD525" s="28" t="s">
        <v>2919</v>
      </c>
      <c r="AE525" s="28" t="s">
        <v>2717</v>
      </c>
      <c r="AF525" s="28" t="s">
        <v>2366</v>
      </c>
      <c r="AG525" s="28" t="s">
        <v>2367</v>
      </c>
      <c r="AH525" s="28" t="s">
        <v>5</v>
      </c>
      <c r="AI525" s="28" t="s">
        <v>2301</v>
      </c>
      <c r="AJ525" s="28" t="s">
        <v>2302</v>
      </c>
      <c r="AK525" s="28" t="s">
        <v>61</v>
      </c>
      <c r="AL525" s="28" t="s">
        <v>2298</v>
      </c>
      <c r="AM525" s="114"/>
    </row>
    <row r="526" spans="21:39">
      <c r="U526" s="18">
        <v>524</v>
      </c>
      <c r="V526" s="18" t="s">
        <v>1420</v>
      </c>
      <c r="W526" s="18">
        <v>34</v>
      </c>
      <c r="X526" s="18" t="s">
        <v>62</v>
      </c>
      <c r="Y526" s="18" t="s">
        <v>649</v>
      </c>
      <c r="Z526" s="18" t="s">
        <v>1421</v>
      </c>
      <c r="AA526" s="18">
        <v>3</v>
      </c>
      <c r="AC526" s="28" t="s">
        <v>2907</v>
      </c>
      <c r="AD526" s="28" t="s">
        <v>2920</v>
      </c>
      <c r="AE526" s="28" t="s">
        <v>2719</v>
      </c>
      <c r="AF526" s="28" t="s">
        <v>2921</v>
      </c>
      <c r="AG526" s="28" t="s">
        <v>2922</v>
      </c>
      <c r="AH526" s="28" t="s">
        <v>19</v>
      </c>
      <c r="AI526" s="28" t="s">
        <v>2305</v>
      </c>
      <c r="AJ526" s="28" t="s">
        <v>2301</v>
      </c>
      <c r="AK526" s="28" t="s">
        <v>55</v>
      </c>
      <c r="AL526" s="28" t="s">
        <v>2298</v>
      </c>
      <c r="AM526" s="114"/>
    </row>
    <row r="527" spans="21:39">
      <c r="U527" s="18">
        <v>525</v>
      </c>
      <c r="V527" s="18" t="s">
        <v>1422</v>
      </c>
      <c r="W527" s="18">
        <v>29</v>
      </c>
      <c r="X527" s="18" t="s">
        <v>62</v>
      </c>
      <c r="Y527" s="18" t="s">
        <v>649</v>
      </c>
      <c r="Z527" s="18" t="s">
        <v>1423</v>
      </c>
      <c r="AA527" s="18">
        <v>4</v>
      </c>
      <c r="AC527" s="28" t="s">
        <v>2907</v>
      </c>
      <c r="AD527" s="28" t="s">
        <v>2923</v>
      </c>
      <c r="AE527" s="28" t="s">
        <v>2735</v>
      </c>
      <c r="AF527" s="28" t="s">
        <v>2924</v>
      </c>
      <c r="AG527" s="28" t="s">
        <v>2925</v>
      </c>
      <c r="AH527" s="28" t="s">
        <v>2425</v>
      </c>
      <c r="AI527" s="28" t="s">
        <v>2297</v>
      </c>
      <c r="AJ527" s="28" t="s">
        <v>2301</v>
      </c>
      <c r="AK527" s="28" t="s">
        <v>28</v>
      </c>
      <c r="AL527" s="28" t="s">
        <v>2298</v>
      </c>
      <c r="AM527" s="114"/>
    </row>
    <row r="528" spans="21:39">
      <c r="U528" s="18">
        <v>526</v>
      </c>
      <c r="V528" s="18" t="s">
        <v>1424</v>
      </c>
      <c r="W528" s="18">
        <v>29</v>
      </c>
      <c r="X528" s="18" t="s">
        <v>62</v>
      </c>
      <c r="Y528" s="18" t="s">
        <v>649</v>
      </c>
      <c r="Z528" s="18" t="s">
        <v>798</v>
      </c>
      <c r="AA528" s="18">
        <v>16</v>
      </c>
      <c r="AC528" s="28" t="s">
        <v>2907</v>
      </c>
      <c r="AD528" s="28" t="s">
        <v>2926</v>
      </c>
      <c r="AE528" s="28" t="s">
        <v>2735</v>
      </c>
      <c r="AF528" s="28" t="s">
        <v>597</v>
      </c>
      <c r="AG528" s="28" t="s">
        <v>2909</v>
      </c>
      <c r="AH528" s="28" t="s">
        <v>40</v>
      </c>
      <c r="AI528" s="28" t="s">
        <v>2302</v>
      </c>
      <c r="AJ528" s="28" t="s">
        <v>2302</v>
      </c>
      <c r="AK528" s="28" t="s">
        <v>33</v>
      </c>
      <c r="AL528" s="28" t="s">
        <v>2298</v>
      </c>
      <c r="AM528" s="114"/>
    </row>
    <row r="529" spans="21:39">
      <c r="U529" s="18">
        <v>527</v>
      </c>
      <c r="V529" s="18" t="s">
        <v>1425</v>
      </c>
      <c r="W529" s="18">
        <v>26</v>
      </c>
      <c r="X529" s="18" t="s">
        <v>62</v>
      </c>
      <c r="Y529" s="18" t="s">
        <v>649</v>
      </c>
      <c r="Z529" s="18" t="s">
        <v>1426</v>
      </c>
      <c r="AA529" s="18">
        <v>20</v>
      </c>
      <c r="AC529" s="28" t="s">
        <v>2907</v>
      </c>
      <c r="AD529" s="28" t="s">
        <v>2927</v>
      </c>
      <c r="AE529" s="28" t="s">
        <v>2928</v>
      </c>
      <c r="AF529" s="28" t="s">
        <v>2364</v>
      </c>
      <c r="AG529" s="28" t="s">
        <v>2365</v>
      </c>
      <c r="AH529" s="28" t="s">
        <v>9</v>
      </c>
      <c r="AI529" s="28" t="s">
        <v>2297</v>
      </c>
      <c r="AJ529" s="28" t="s">
        <v>2302</v>
      </c>
      <c r="AK529" s="28" t="s">
        <v>62</v>
      </c>
      <c r="AL529" s="28" t="s">
        <v>2298</v>
      </c>
      <c r="AM529" s="114"/>
    </row>
    <row r="530" spans="21:39">
      <c r="U530" s="18">
        <v>528</v>
      </c>
      <c r="V530" s="18" t="s">
        <v>1427</v>
      </c>
      <c r="W530" s="18">
        <v>27</v>
      </c>
      <c r="X530" s="18" t="s">
        <v>62</v>
      </c>
      <c r="Y530" s="18" t="s">
        <v>649</v>
      </c>
      <c r="Z530" s="18" t="s">
        <v>781</v>
      </c>
      <c r="AA530" s="18">
        <v>21</v>
      </c>
      <c r="AC530" s="28" t="s">
        <v>2907</v>
      </c>
      <c r="AD530" s="28" t="s">
        <v>2929</v>
      </c>
      <c r="AE530" s="28" t="s">
        <v>2725</v>
      </c>
      <c r="AF530" s="28" t="s">
        <v>2930</v>
      </c>
      <c r="AG530" s="28" t="s">
        <v>2931</v>
      </c>
      <c r="AH530" s="28" t="s">
        <v>7</v>
      </c>
      <c r="AI530" s="28" t="s">
        <v>2297</v>
      </c>
      <c r="AJ530" s="28" t="s">
        <v>2302</v>
      </c>
      <c r="AK530" s="28" t="s">
        <v>71</v>
      </c>
      <c r="AL530" s="28" t="s">
        <v>2298</v>
      </c>
      <c r="AM530" s="114"/>
    </row>
    <row r="531" spans="21:39">
      <c r="U531" s="18">
        <v>529</v>
      </c>
      <c r="V531" s="18" t="s">
        <v>1428</v>
      </c>
      <c r="W531" s="18">
        <v>27</v>
      </c>
      <c r="X531" s="18" t="s">
        <v>62</v>
      </c>
      <c r="Y531" s="18" t="s">
        <v>649</v>
      </c>
      <c r="Z531" s="18" t="s">
        <v>1423</v>
      </c>
      <c r="AA531" s="18">
        <v>22</v>
      </c>
      <c r="AC531" s="28" t="s">
        <v>2907</v>
      </c>
      <c r="AD531" s="28" t="s">
        <v>2932</v>
      </c>
      <c r="AE531" s="28" t="s">
        <v>2928</v>
      </c>
      <c r="AF531" s="28" t="s">
        <v>2917</v>
      </c>
      <c r="AG531" s="28" t="s">
        <v>2918</v>
      </c>
      <c r="AH531" s="28" t="s">
        <v>60</v>
      </c>
      <c r="AI531" s="28" t="s">
        <v>2297</v>
      </c>
      <c r="AJ531" s="28" t="s">
        <v>2301</v>
      </c>
      <c r="AK531" s="28" t="s">
        <v>63</v>
      </c>
      <c r="AL531" s="28" t="s">
        <v>2298</v>
      </c>
      <c r="AM531" s="114"/>
    </row>
    <row r="532" spans="21:39">
      <c r="U532" s="18">
        <v>530</v>
      </c>
      <c r="V532" s="18" t="s">
        <v>1429</v>
      </c>
      <c r="W532" s="18">
        <v>39</v>
      </c>
      <c r="X532" s="18" t="s">
        <v>62</v>
      </c>
      <c r="Y532" s="18" t="s">
        <v>657</v>
      </c>
      <c r="Z532" s="18" t="s">
        <v>773</v>
      </c>
      <c r="AA532" s="18">
        <v>5</v>
      </c>
      <c r="AC532" s="28" t="s">
        <v>2907</v>
      </c>
      <c r="AD532" s="28" t="s">
        <v>2933</v>
      </c>
      <c r="AE532" s="28" t="s">
        <v>2934</v>
      </c>
      <c r="AF532" s="28" t="s">
        <v>2366</v>
      </c>
      <c r="AG532" s="28" t="s">
        <v>2367</v>
      </c>
      <c r="AH532" s="28" t="s">
        <v>23</v>
      </c>
      <c r="AI532" s="28" t="s">
        <v>2305</v>
      </c>
      <c r="AJ532" s="28" t="s">
        <v>2302</v>
      </c>
      <c r="AK532" s="28" t="s">
        <v>42</v>
      </c>
      <c r="AL532" s="28" t="s">
        <v>2298</v>
      </c>
      <c r="AM532" s="114"/>
    </row>
    <row r="533" spans="21:39">
      <c r="U533" s="18">
        <v>531</v>
      </c>
      <c r="V533" s="18" t="s">
        <v>1430</v>
      </c>
      <c r="W533" s="18">
        <v>22</v>
      </c>
      <c r="X533" s="18" t="s">
        <v>62</v>
      </c>
      <c r="Y533" s="18" t="s">
        <v>657</v>
      </c>
      <c r="Z533" s="18" t="s">
        <v>1431</v>
      </c>
      <c r="AA533" s="18">
        <v>25</v>
      </c>
      <c r="AC533" s="28" t="s">
        <v>2907</v>
      </c>
      <c r="AD533" s="28" t="s">
        <v>2935</v>
      </c>
      <c r="AE533" s="28" t="s">
        <v>2934</v>
      </c>
      <c r="AF533" s="28" t="s">
        <v>2924</v>
      </c>
      <c r="AG533" s="28" t="s">
        <v>2925</v>
      </c>
      <c r="AH533" s="28" t="s">
        <v>8</v>
      </c>
      <c r="AI533" s="28" t="s">
        <v>2297</v>
      </c>
      <c r="AJ533" s="28" t="s">
        <v>2302</v>
      </c>
      <c r="AK533" s="28" t="s">
        <v>53</v>
      </c>
      <c r="AL533" s="28" t="s">
        <v>2298</v>
      </c>
      <c r="AM533" s="114"/>
    </row>
    <row r="534" spans="21:39">
      <c r="U534" s="18">
        <v>532</v>
      </c>
      <c r="V534" s="18" t="s">
        <v>1432</v>
      </c>
      <c r="W534" s="18">
        <v>25</v>
      </c>
      <c r="X534" s="18" t="s">
        <v>62</v>
      </c>
      <c r="Y534" s="18" t="s">
        <v>661</v>
      </c>
      <c r="Z534" s="18" t="s">
        <v>1433</v>
      </c>
      <c r="AA534" s="18">
        <v>2</v>
      </c>
      <c r="AC534" s="28" t="s">
        <v>2907</v>
      </c>
      <c r="AD534" s="28" t="s">
        <v>2936</v>
      </c>
      <c r="AE534" s="28" t="s">
        <v>2725</v>
      </c>
      <c r="AF534" s="28" t="s">
        <v>2356</v>
      </c>
      <c r="AG534" s="28" t="s">
        <v>2357</v>
      </c>
      <c r="AH534" s="28" t="s">
        <v>18</v>
      </c>
      <c r="AI534" s="28" t="s">
        <v>2305</v>
      </c>
      <c r="AJ534" s="28" t="s">
        <v>2302</v>
      </c>
      <c r="AK534" s="28" t="s">
        <v>6</v>
      </c>
      <c r="AL534" s="28" t="s">
        <v>2298</v>
      </c>
      <c r="AM534" s="114"/>
    </row>
    <row r="535" spans="21:39">
      <c r="U535" s="18">
        <v>533</v>
      </c>
      <c r="V535" s="18" t="s">
        <v>1434</v>
      </c>
      <c r="W535" s="18">
        <v>25</v>
      </c>
      <c r="X535" s="18" t="s">
        <v>62</v>
      </c>
      <c r="Y535" s="18" t="s">
        <v>664</v>
      </c>
      <c r="Z535" s="18" t="s">
        <v>803</v>
      </c>
      <c r="AA535" s="18">
        <v>24</v>
      </c>
      <c r="AC535" s="28" t="s">
        <v>2907</v>
      </c>
      <c r="AD535" s="28" t="s">
        <v>2937</v>
      </c>
      <c r="AE535" s="28" t="s">
        <v>2590</v>
      </c>
      <c r="AF535" s="28" t="s">
        <v>2378</v>
      </c>
      <c r="AG535" s="28" t="s">
        <v>2379</v>
      </c>
      <c r="AH535" s="28" t="s">
        <v>39</v>
      </c>
      <c r="AI535" s="28" t="s">
        <v>2297</v>
      </c>
      <c r="AJ535" s="28" t="s">
        <v>2297</v>
      </c>
      <c r="AK535" s="28" t="s">
        <v>54</v>
      </c>
      <c r="AL535" s="28" t="s">
        <v>2298</v>
      </c>
      <c r="AM535" s="114"/>
    </row>
    <row r="536" spans="21:39">
      <c r="U536" s="18">
        <v>534</v>
      </c>
      <c r="V536" s="18" t="s">
        <v>1435</v>
      </c>
      <c r="W536" s="18">
        <v>27</v>
      </c>
      <c r="X536" s="18" t="s">
        <v>62</v>
      </c>
      <c r="Y536" s="18" t="s">
        <v>669</v>
      </c>
      <c r="Z536" s="18" t="s">
        <v>975</v>
      </c>
      <c r="AA536" s="18">
        <v>7</v>
      </c>
      <c r="AC536" s="28" t="s">
        <v>2907</v>
      </c>
      <c r="AD536" s="28" t="s">
        <v>2938</v>
      </c>
      <c r="AE536" s="28" t="s">
        <v>2590</v>
      </c>
      <c r="AF536" s="28" t="s">
        <v>2921</v>
      </c>
      <c r="AG536" s="28" t="s">
        <v>2922</v>
      </c>
      <c r="AH536" s="28" t="s">
        <v>12</v>
      </c>
      <c r="AI536" s="28" t="s">
        <v>2301</v>
      </c>
      <c r="AJ536" s="28" t="s">
        <v>2302</v>
      </c>
      <c r="AK536" s="28" t="s">
        <v>46</v>
      </c>
      <c r="AL536" s="28" t="s">
        <v>2298</v>
      </c>
      <c r="AM536" s="114"/>
    </row>
    <row r="537" spans="21:39">
      <c r="U537" s="18">
        <v>535</v>
      </c>
      <c r="V537" s="18" t="s">
        <v>1436</v>
      </c>
      <c r="W537" s="18">
        <v>25</v>
      </c>
      <c r="X537" s="18" t="s">
        <v>62</v>
      </c>
      <c r="Y537" s="18" t="s">
        <v>675</v>
      </c>
      <c r="Z537" s="18" t="s">
        <v>1437</v>
      </c>
      <c r="AA537" s="18">
        <v>8</v>
      </c>
      <c r="AC537" s="28" t="s">
        <v>2907</v>
      </c>
      <c r="AD537" s="28" t="s">
        <v>2939</v>
      </c>
      <c r="AE537" s="28" t="s">
        <v>2588</v>
      </c>
      <c r="AF537" s="28" t="s">
        <v>2930</v>
      </c>
      <c r="AG537" s="28" t="s">
        <v>2931</v>
      </c>
      <c r="AH537" s="28" t="s">
        <v>10</v>
      </c>
      <c r="AI537" s="28" t="s">
        <v>2297</v>
      </c>
      <c r="AJ537" s="28" t="s">
        <v>2297</v>
      </c>
      <c r="AK537" s="28" t="s">
        <v>14</v>
      </c>
      <c r="AL537" s="28" t="s">
        <v>2298</v>
      </c>
      <c r="AM537" s="114"/>
    </row>
    <row r="538" spans="21:39">
      <c r="U538" s="18">
        <v>536</v>
      </c>
      <c r="V538" s="18" t="s">
        <v>1438</v>
      </c>
      <c r="W538" s="18">
        <v>27</v>
      </c>
      <c r="X538" s="18" t="s">
        <v>62</v>
      </c>
      <c r="Y538" s="18" t="s">
        <v>675</v>
      </c>
      <c r="Z538" s="18" t="s">
        <v>953</v>
      </c>
      <c r="AA538" s="18">
        <v>10</v>
      </c>
      <c r="AC538" s="28" t="s">
        <v>2907</v>
      </c>
      <c r="AD538" s="28" t="s">
        <v>2940</v>
      </c>
      <c r="AE538" s="28" t="s">
        <v>2588</v>
      </c>
      <c r="AF538" s="28" t="s">
        <v>2911</v>
      </c>
      <c r="AG538" s="28" t="s">
        <v>2912</v>
      </c>
      <c r="AH538" s="28" t="s">
        <v>20</v>
      </c>
      <c r="AI538" s="28" t="s">
        <v>2301</v>
      </c>
      <c r="AJ538" s="28" t="s">
        <v>2302</v>
      </c>
      <c r="AK538" s="28" t="s">
        <v>51</v>
      </c>
      <c r="AL538" s="28" t="s">
        <v>2298</v>
      </c>
      <c r="AM538" s="114"/>
    </row>
    <row r="539" spans="21:39">
      <c r="U539" s="18">
        <v>537</v>
      </c>
      <c r="V539" s="18" t="s">
        <v>1439</v>
      </c>
      <c r="W539" s="18">
        <v>29</v>
      </c>
      <c r="X539" s="18" t="s">
        <v>62</v>
      </c>
      <c r="Y539" s="18" t="s">
        <v>675</v>
      </c>
      <c r="Z539" s="18" t="s">
        <v>1072</v>
      </c>
      <c r="AA539" s="18">
        <v>15</v>
      </c>
      <c r="AC539" s="28" t="s">
        <v>2907</v>
      </c>
      <c r="AD539" s="28" t="s">
        <v>2941</v>
      </c>
      <c r="AE539" s="28" t="s">
        <v>2717</v>
      </c>
      <c r="AF539" s="28" t="s">
        <v>2364</v>
      </c>
      <c r="AG539" s="28" t="s">
        <v>2365</v>
      </c>
      <c r="AH539" s="28" t="s">
        <v>61</v>
      </c>
      <c r="AI539" s="28" t="s">
        <v>2297</v>
      </c>
      <c r="AJ539" s="28" t="s">
        <v>2297</v>
      </c>
      <c r="AK539" s="28" t="s">
        <v>49</v>
      </c>
      <c r="AL539" s="28" t="s">
        <v>2298</v>
      </c>
      <c r="AM539" s="114"/>
    </row>
    <row r="540" spans="21:39">
      <c r="U540" s="18">
        <v>538</v>
      </c>
      <c r="V540" s="18" t="s">
        <v>1440</v>
      </c>
      <c r="W540" s="18">
        <v>24</v>
      </c>
      <c r="X540" s="18" t="s">
        <v>62</v>
      </c>
      <c r="Y540" s="18" t="s">
        <v>675</v>
      </c>
      <c r="Z540" s="18" t="s">
        <v>964</v>
      </c>
      <c r="AA540" s="18">
        <v>17</v>
      </c>
      <c r="AC540" s="28" t="s">
        <v>2907</v>
      </c>
      <c r="AD540" s="28" t="s">
        <v>2942</v>
      </c>
      <c r="AE540" s="28" t="s">
        <v>2717</v>
      </c>
      <c r="AF540" s="28" t="s">
        <v>597</v>
      </c>
      <c r="AG540" s="28" t="s">
        <v>2909</v>
      </c>
      <c r="AH540" s="28" t="s">
        <v>5</v>
      </c>
      <c r="AI540" s="28" t="s">
        <v>2296</v>
      </c>
      <c r="AJ540" s="28" t="s">
        <v>2302</v>
      </c>
      <c r="AK540" s="28" t="s">
        <v>56</v>
      </c>
      <c r="AL540" s="28" t="s">
        <v>2298</v>
      </c>
      <c r="AM540" s="114"/>
    </row>
    <row r="541" spans="21:39">
      <c r="U541" s="18">
        <v>539</v>
      </c>
      <c r="V541" s="18" t="s">
        <v>1441</v>
      </c>
      <c r="W541" s="18">
        <v>28</v>
      </c>
      <c r="X541" s="18" t="s">
        <v>62</v>
      </c>
      <c r="Y541" s="18" t="s">
        <v>679</v>
      </c>
      <c r="Z541" s="18" t="s">
        <v>815</v>
      </c>
      <c r="AA541" s="18">
        <v>11</v>
      </c>
      <c r="AC541" s="28" t="s">
        <v>2907</v>
      </c>
      <c r="AD541" s="28" t="s">
        <v>2943</v>
      </c>
      <c r="AE541" s="28" t="s">
        <v>2719</v>
      </c>
      <c r="AF541" s="28" t="s">
        <v>2356</v>
      </c>
      <c r="AG541" s="28" t="s">
        <v>2357</v>
      </c>
      <c r="AH541" s="28" t="s">
        <v>55</v>
      </c>
      <c r="AI541" s="28" t="s">
        <v>2297</v>
      </c>
      <c r="AJ541" s="28" t="s">
        <v>2302</v>
      </c>
      <c r="AK541" s="28" t="s">
        <v>34</v>
      </c>
      <c r="AL541" s="28" t="s">
        <v>2298</v>
      </c>
      <c r="AM541" s="114"/>
    </row>
    <row r="542" spans="21:39">
      <c r="U542" s="18">
        <v>540</v>
      </c>
      <c r="V542" s="18" t="s">
        <v>1442</v>
      </c>
      <c r="W542" s="18">
        <v>25</v>
      </c>
      <c r="X542" s="18" t="s">
        <v>62</v>
      </c>
      <c r="Y542" s="18" t="s">
        <v>679</v>
      </c>
      <c r="Z542" s="18" t="s">
        <v>1443</v>
      </c>
      <c r="AA542" s="18">
        <v>13</v>
      </c>
      <c r="AC542" s="28" t="s">
        <v>2907</v>
      </c>
      <c r="AD542" s="28" t="s">
        <v>2944</v>
      </c>
      <c r="AE542" s="28" t="s">
        <v>2719</v>
      </c>
      <c r="AF542" s="28" t="s">
        <v>2930</v>
      </c>
      <c r="AG542" s="28" t="s">
        <v>2931</v>
      </c>
      <c r="AH542" s="28" t="s">
        <v>19</v>
      </c>
      <c r="AI542" s="28" t="s">
        <v>2302</v>
      </c>
      <c r="AJ542" s="28" t="s">
        <v>2302</v>
      </c>
      <c r="AK542" s="28" t="s">
        <v>13</v>
      </c>
      <c r="AL542" s="28" t="s">
        <v>2298</v>
      </c>
      <c r="AM542" s="114"/>
    </row>
    <row r="543" spans="21:39">
      <c r="U543" s="18">
        <v>541</v>
      </c>
      <c r="V543" s="18" t="s">
        <v>1444</v>
      </c>
      <c r="W543" s="18">
        <v>33</v>
      </c>
      <c r="X543" s="18" t="s">
        <v>62</v>
      </c>
      <c r="Y543" s="18" t="s">
        <v>681</v>
      </c>
      <c r="Z543" s="18" t="s">
        <v>1080</v>
      </c>
      <c r="AA543" s="18">
        <v>14</v>
      </c>
      <c r="AC543" s="28" t="s">
        <v>2907</v>
      </c>
      <c r="AD543" s="28" t="s">
        <v>2945</v>
      </c>
      <c r="AE543" s="28" t="s">
        <v>2928</v>
      </c>
      <c r="AF543" s="28" t="s">
        <v>2921</v>
      </c>
      <c r="AG543" s="28" t="s">
        <v>2922</v>
      </c>
      <c r="AH543" s="28" t="s">
        <v>62</v>
      </c>
      <c r="AI543" s="28" t="s">
        <v>2302</v>
      </c>
      <c r="AJ543" s="28" t="s">
        <v>2297</v>
      </c>
      <c r="AK543" s="28" t="s">
        <v>63</v>
      </c>
      <c r="AL543" s="28" t="s">
        <v>2298</v>
      </c>
      <c r="AM543" s="114"/>
    </row>
    <row r="544" spans="21:39">
      <c r="U544" s="18">
        <v>542</v>
      </c>
      <c r="V544" s="18" t="s">
        <v>1445</v>
      </c>
      <c r="W544" s="18">
        <v>26</v>
      </c>
      <c r="X544" s="18" t="s">
        <v>62</v>
      </c>
      <c r="Y544" s="18" t="s">
        <v>683</v>
      </c>
      <c r="Z544" s="18" t="s">
        <v>794</v>
      </c>
      <c r="AA544" s="18">
        <v>6</v>
      </c>
      <c r="AC544" s="28" t="s">
        <v>2907</v>
      </c>
      <c r="AD544" s="28" t="s">
        <v>2946</v>
      </c>
      <c r="AE544" s="28" t="s">
        <v>2735</v>
      </c>
      <c r="AF544" s="28" t="s">
        <v>2378</v>
      </c>
      <c r="AG544" s="28" t="s">
        <v>2379</v>
      </c>
      <c r="AH544" s="28" t="s">
        <v>33</v>
      </c>
      <c r="AI544" s="28" t="s">
        <v>2305</v>
      </c>
      <c r="AJ544" s="28" t="s">
        <v>2305</v>
      </c>
      <c r="AK544" s="28" t="s">
        <v>28</v>
      </c>
      <c r="AL544" s="28" t="s">
        <v>2298</v>
      </c>
      <c r="AM544" s="114"/>
    </row>
    <row r="545" spans="21:39">
      <c r="U545" s="18">
        <v>543</v>
      </c>
      <c r="V545" s="18" t="s">
        <v>1446</v>
      </c>
      <c r="W545" s="18">
        <v>21</v>
      </c>
      <c r="X545" s="18" t="s">
        <v>62</v>
      </c>
      <c r="Y545" s="18" t="s">
        <v>683</v>
      </c>
      <c r="Z545" s="18" t="s">
        <v>1421</v>
      </c>
      <c r="AA545" s="18">
        <v>9</v>
      </c>
      <c r="AC545" s="28" t="s">
        <v>2907</v>
      </c>
      <c r="AD545" s="28" t="s">
        <v>2947</v>
      </c>
      <c r="AE545" s="28" t="s">
        <v>2735</v>
      </c>
      <c r="AF545" s="28" t="s">
        <v>2366</v>
      </c>
      <c r="AG545" s="28" t="s">
        <v>2367</v>
      </c>
      <c r="AH545" s="28" t="s">
        <v>40</v>
      </c>
      <c r="AI545" s="28" t="s">
        <v>2338</v>
      </c>
      <c r="AJ545" s="28" t="s">
        <v>2302</v>
      </c>
      <c r="AK545" s="28" t="s">
        <v>2425</v>
      </c>
      <c r="AL545" s="28" t="s">
        <v>2298</v>
      </c>
      <c r="AM545" s="114"/>
    </row>
    <row r="546" spans="21:39">
      <c r="U546" s="18">
        <v>544</v>
      </c>
      <c r="V546" s="18" t="s">
        <v>1447</v>
      </c>
      <c r="W546" s="18">
        <v>27</v>
      </c>
      <c r="X546" s="18" t="s">
        <v>62</v>
      </c>
      <c r="Y546" s="18" t="s">
        <v>683</v>
      </c>
      <c r="Z546" s="18" t="s">
        <v>798</v>
      </c>
      <c r="AA546" s="18">
        <v>18</v>
      </c>
      <c r="AC546" s="28" t="s">
        <v>2907</v>
      </c>
      <c r="AD546" s="28" t="s">
        <v>2948</v>
      </c>
      <c r="AE546" s="28" t="s">
        <v>2725</v>
      </c>
      <c r="AF546" s="28" t="s">
        <v>2917</v>
      </c>
      <c r="AG546" s="28" t="s">
        <v>2918</v>
      </c>
      <c r="AH546" s="28" t="s">
        <v>18</v>
      </c>
      <c r="AI546" s="28" t="s">
        <v>2305</v>
      </c>
      <c r="AJ546" s="28" t="s">
        <v>2305</v>
      </c>
      <c r="AK546" s="28" t="s">
        <v>7</v>
      </c>
      <c r="AL546" s="28" t="s">
        <v>2298</v>
      </c>
      <c r="AM546" s="114"/>
    </row>
    <row r="547" spans="21:39">
      <c r="U547" s="18">
        <v>545</v>
      </c>
      <c r="V547" s="18" t="s">
        <v>1448</v>
      </c>
      <c r="W547" s="18">
        <v>28</v>
      </c>
      <c r="X547" s="18" t="s">
        <v>62</v>
      </c>
      <c r="Y547" s="18" t="s">
        <v>683</v>
      </c>
      <c r="Z547" s="18" t="s">
        <v>1292</v>
      </c>
      <c r="AA547" s="18">
        <v>19</v>
      </c>
      <c r="AC547" s="28" t="s">
        <v>2907</v>
      </c>
      <c r="AD547" s="28" t="s">
        <v>2949</v>
      </c>
      <c r="AE547" s="28" t="s">
        <v>2928</v>
      </c>
      <c r="AF547" s="28" t="s">
        <v>2356</v>
      </c>
      <c r="AG547" s="28" t="s">
        <v>2357</v>
      </c>
      <c r="AH547" s="28" t="s">
        <v>9</v>
      </c>
      <c r="AI547" s="28" t="s">
        <v>2338</v>
      </c>
      <c r="AJ547" s="28" t="s">
        <v>2302</v>
      </c>
      <c r="AK547" s="28" t="s">
        <v>60</v>
      </c>
      <c r="AL547" s="28" t="s">
        <v>2298</v>
      </c>
      <c r="AM547" s="114"/>
    </row>
    <row r="548" spans="21:39">
      <c r="U548" s="18">
        <v>546</v>
      </c>
      <c r="V548" s="18" t="s">
        <v>1449</v>
      </c>
      <c r="W548" s="18">
        <v>21</v>
      </c>
      <c r="X548" s="18" t="s">
        <v>62</v>
      </c>
      <c r="Y548" s="18" t="s">
        <v>683</v>
      </c>
      <c r="Z548" s="18" t="s">
        <v>1450</v>
      </c>
      <c r="AA548" s="18">
        <v>26</v>
      </c>
      <c r="AC548" s="28" t="s">
        <v>2907</v>
      </c>
      <c r="AD548" s="28" t="s">
        <v>2950</v>
      </c>
      <c r="AE548" s="28" t="s">
        <v>2725</v>
      </c>
      <c r="AF548" s="28" t="s">
        <v>2924</v>
      </c>
      <c r="AG548" s="28" t="s">
        <v>2925</v>
      </c>
      <c r="AH548" s="28" t="s">
        <v>6</v>
      </c>
      <c r="AI548" s="28" t="s">
        <v>2297</v>
      </c>
      <c r="AJ548" s="28" t="s">
        <v>2305</v>
      </c>
      <c r="AK548" s="28" t="s">
        <v>71</v>
      </c>
      <c r="AL548" s="28" t="s">
        <v>2298</v>
      </c>
      <c r="AM548" s="114"/>
    </row>
    <row r="549" spans="21:39">
      <c r="U549" s="18">
        <v>547</v>
      </c>
      <c r="V549" s="18" t="s">
        <v>494</v>
      </c>
      <c r="W549" s="18">
        <v>23</v>
      </c>
      <c r="X549" s="18" t="s">
        <v>40</v>
      </c>
      <c r="Y549" s="18" t="s">
        <v>642</v>
      </c>
      <c r="Z549" s="18" t="s">
        <v>1159</v>
      </c>
      <c r="AA549" s="18">
        <v>1</v>
      </c>
      <c r="AC549" s="28" t="s">
        <v>2907</v>
      </c>
      <c r="AD549" s="28" t="s">
        <v>2951</v>
      </c>
      <c r="AE549" s="28" t="s">
        <v>2934</v>
      </c>
      <c r="AF549" s="28" t="s">
        <v>2911</v>
      </c>
      <c r="AG549" s="28" t="s">
        <v>2912</v>
      </c>
      <c r="AH549" s="28" t="s">
        <v>53</v>
      </c>
      <c r="AI549" s="28" t="s">
        <v>2297</v>
      </c>
      <c r="AJ549" s="28" t="s">
        <v>2302</v>
      </c>
      <c r="AK549" s="28" t="s">
        <v>42</v>
      </c>
      <c r="AL549" s="28" t="s">
        <v>2298</v>
      </c>
      <c r="AM549" s="114"/>
    </row>
    <row r="550" spans="21:39">
      <c r="U550" s="18">
        <v>548</v>
      </c>
      <c r="V550" s="18" t="s">
        <v>1451</v>
      </c>
      <c r="W550" s="18">
        <v>23</v>
      </c>
      <c r="X550" s="18" t="s">
        <v>40</v>
      </c>
      <c r="Y550" s="18" t="s">
        <v>642</v>
      </c>
      <c r="Z550" s="18" t="s">
        <v>965</v>
      </c>
      <c r="AA550" s="18">
        <v>13</v>
      </c>
      <c r="AC550" s="28" t="s">
        <v>2907</v>
      </c>
      <c r="AD550" s="28" t="s">
        <v>2952</v>
      </c>
      <c r="AE550" s="28" t="s">
        <v>2934</v>
      </c>
      <c r="AF550" s="28" t="s">
        <v>2364</v>
      </c>
      <c r="AG550" s="28" t="s">
        <v>2365</v>
      </c>
      <c r="AH550" s="28" t="s">
        <v>8</v>
      </c>
      <c r="AI550" s="28" t="s">
        <v>2305</v>
      </c>
      <c r="AJ550" s="28" t="s">
        <v>2297</v>
      </c>
      <c r="AK550" s="28" t="s">
        <v>23</v>
      </c>
      <c r="AL550" s="28" t="s">
        <v>2298</v>
      </c>
      <c r="AM550" s="114"/>
    </row>
    <row r="551" spans="21:39">
      <c r="U551" s="18">
        <v>549</v>
      </c>
      <c r="V551" s="18" t="s">
        <v>1452</v>
      </c>
      <c r="W551" s="18">
        <v>32</v>
      </c>
      <c r="X551" s="18" t="s">
        <v>40</v>
      </c>
      <c r="Y551" s="18" t="s">
        <v>642</v>
      </c>
      <c r="Z551" s="18" t="s">
        <v>684</v>
      </c>
      <c r="AA551" s="18">
        <v>23</v>
      </c>
      <c r="AC551" s="28" t="s">
        <v>2907</v>
      </c>
      <c r="AD551" s="28" t="s">
        <v>2953</v>
      </c>
      <c r="AE551" s="28" t="s">
        <v>2588</v>
      </c>
      <c r="AF551" s="28" t="s">
        <v>597</v>
      </c>
      <c r="AG551" s="28" t="s">
        <v>2909</v>
      </c>
      <c r="AH551" s="28" t="s">
        <v>20</v>
      </c>
      <c r="AI551" s="28" t="s">
        <v>2305</v>
      </c>
      <c r="AJ551" s="28" t="s">
        <v>2297</v>
      </c>
      <c r="AK551" s="28" t="s">
        <v>14</v>
      </c>
      <c r="AL551" s="28" t="s">
        <v>2298</v>
      </c>
      <c r="AM551" s="114"/>
    </row>
    <row r="552" spans="21:39">
      <c r="U552" s="18">
        <v>550</v>
      </c>
      <c r="V552" s="18" t="s">
        <v>455</v>
      </c>
      <c r="W552" s="18">
        <v>34</v>
      </c>
      <c r="X552" s="18" t="s">
        <v>40</v>
      </c>
      <c r="Y552" s="18" t="s">
        <v>649</v>
      </c>
      <c r="Z552" s="18" t="s">
        <v>981</v>
      </c>
      <c r="AA552" s="18">
        <v>4</v>
      </c>
      <c r="AC552" s="28" t="s">
        <v>2907</v>
      </c>
      <c r="AD552" s="28" t="s">
        <v>2953</v>
      </c>
      <c r="AE552" s="28" t="s">
        <v>2588</v>
      </c>
      <c r="AF552" s="28" t="s">
        <v>2921</v>
      </c>
      <c r="AG552" s="28" t="s">
        <v>2922</v>
      </c>
      <c r="AH552" s="28" t="s">
        <v>10</v>
      </c>
      <c r="AI552" s="28" t="s">
        <v>2297</v>
      </c>
      <c r="AJ552" s="28" t="s">
        <v>2297</v>
      </c>
      <c r="AK552" s="28" t="s">
        <v>51</v>
      </c>
      <c r="AL552" s="28" t="s">
        <v>2298</v>
      </c>
      <c r="AM552" s="114"/>
    </row>
    <row r="553" spans="21:39">
      <c r="U553" s="18">
        <v>551</v>
      </c>
      <c r="V553" s="18" t="s">
        <v>1453</v>
      </c>
      <c r="W553" s="18">
        <v>31</v>
      </c>
      <c r="X553" s="18" t="s">
        <v>40</v>
      </c>
      <c r="Y553" s="18" t="s">
        <v>649</v>
      </c>
      <c r="Z553" s="18" t="s">
        <v>1454</v>
      </c>
      <c r="AA553" s="18">
        <v>5</v>
      </c>
      <c r="AC553" s="28" t="s">
        <v>2907</v>
      </c>
      <c r="AD553" s="28" t="s">
        <v>2954</v>
      </c>
      <c r="AE553" s="28" t="s">
        <v>2590</v>
      </c>
      <c r="AF553" s="28" t="s">
        <v>2930</v>
      </c>
      <c r="AG553" s="28" t="s">
        <v>2931</v>
      </c>
      <c r="AH553" s="28" t="s">
        <v>39</v>
      </c>
      <c r="AI553" s="28" t="s">
        <v>2302</v>
      </c>
      <c r="AJ553" s="28" t="s">
        <v>2301</v>
      </c>
      <c r="AK553" s="28" t="s">
        <v>46</v>
      </c>
      <c r="AL553" s="28" t="s">
        <v>2298</v>
      </c>
      <c r="AM553" s="114"/>
    </row>
    <row r="554" spans="21:39">
      <c r="U554" s="18">
        <v>552</v>
      </c>
      <c r="V554" s="18" t="s">
        <v>1455</v>
      </c>
      <c r="W554" s="18">
        <v>26</v>
      </c>
      <c r="X554" s="18" t="s">
        <v>40</v>
      </c>
      <c r="Y554" s="18" t="s">
        <v>649</v>
      </c>
      <c r="Z554" s="18" t="s">
        <v>1159</v>
      </c>
      <c r="AA554" s="18">
        <v>6</v>
      </c>
      <c r="AC554" s="28" t="s">
        <v>2907</v>
      </c>
      <c r="AD554" s="28" t="s">
        <v>2954</v>
      </c>
      <c r="AE554" s="28" t="s">
        <v>2590</v>
      </c>
      <c r="AF554" s="28" t="s">
        <v>2366</v>
      </c>
      <c r="AG554" s="28" t="s">
        <v>2367</v>
      </c>
      <c r="AH554" s="28" t="s">
        <v>12</v>
      </c>
      <c r="AI554" s="28" t="s">
        <v>2297</v>
      </c>
      <c r="AJ554" s="28" t="s">
        <v>2305</v>
      </c>
      <c r="AK554" s="28" t="s">
        <v>54</v>
      </c>
      <c r="AL554" s="28" t="s">
        <v>2298</v>
      </c>
      <c r="AM554" s="114"/>
    </row>
    <row r="555" spans="21:39">
      <c r="U555" s="18">
        <v>553</v>
      </c>
      <c r="V555" s="18" t="s">
        <v>1456</v>
      </c>
      <c r="W555" s="18">
        <v>26</v>
      </c>
      <c r="X555" s="18" t="s">
        <v>40</v>
      </c>
      <c r="Y555" s="18" t="s">
        <v>649</v>
      </c>
      <c r="Z555" s="18" t="s">
        <v>1159</v>
      </c>
      <c r="AA555" s="18">
        <v>12</v>
      </c>
      <c r="AC555" s="28" t="s">
        <v>2907</v>
      </c>
      <c r="AD555" s="28" t="s">
        <v>2955</v>
      </c>
      <c r="AE555" s="28" t="s">
        <v>2717</v>
      </c>
      <c r="AF555" s="28" t="s">
        <v>2924</v>
      </c>
      <c r="AG555" s="28" t="s">
        <v>2925</v>
      </c>
      <c r="AH555" s="28" t="s">
        <v>5</v>
      </c>
      <c r="AI555" s="28" t="s">
        <v>2305</v>
      </c>
      <c r="AJ555" s="28" t="s">
        <v>2297</v>
      </c>
      <c r="AK555" s="28" t="s">
        <v>49</v>
      </c>
      <c r="AL555" s="28" t="s">
        <v>2298</v>
      </c>
      <c r="AM555" s="114"/>
    </row>
    <row r="556" spans="21:39">
      <c r="U556" s="18">
        <v>554</v>
      </c>
      <c r="V556" s="18" t="s">
        <v>1457</v>
      </c>
      <c r="W556" s="18">
        <v>25</v>
      </c>
      <c r="X556" s="18" t="s">
        <v>40</v>
      </c>
      <c r="Y556" s="18" t="s">
        <v>649</v>
      </c>
      <c r="Z556" s="18" t="s">
        <v>1458</v>
      </c>
      <c r="AA556" s="18">
        <v>15</v>
      </c>
      <c r="AC556" s="28" t="s">
        <v>2907</v>
      </c>
      <c r="AD556" s="28" t="s">
        <v>2955</v>
      </c>
      <c r="AE556" s="28" t="s">
        <v>2717</v>
      </c>
      <c r="AF556" s="28" t="s">
        <v>2378</v>
      </c>
      <c r="AG556" s="28" t="s">
        <v>2379</v>
      </c>
      <c r="AH556" s="28" t="s">
        <v>61</v>
      </c>
      <c r="AI556" s="28" t="s">
        <v>2305</v>
      </c>
      <c r="AJ556" s="28" t="s">
        <v>2305</v>
      </c>
      <c r="AK556" s="28" t="s">
        <v>56</v>
      </c>
      <c r="AL556" s="28" t="s">
        <v>2298</v>
      </c>
      <c r="AM556" s="114"/>
    </row>
    <row r="557" spans="21:39">
      <c r="U557" s="18">
        <v>555</v>
      </c>
      <c r="V557" s="18" t="s">
        <v>1459</v>
      </c>
      <c r="W557" s="18">
        <v>20</v>
      </c>
      <c r="X557" s="18" t="s">
        <v>40</v>
      </c>
      <c r="Y557" s="18" t="s">
        <v>649</v>
      </c>
      <c r="Z557" s="18" t="s">
        <v>1339</v>
      </c>
      <c r="AA557" s="18">
        <v>25</v>
      </c>
      <c r="AC557" s="28" t="s">
        <v>2907</v>
      </c>
      <c r="AD557" s="28" t="s">
        <v>2956</v>
      </c>
      <c r="AE557" s="28" t="s">
        <v>2719</v>
      </c>
      <c r="AF557" s="28" t="s">
        <v>2917</v>
      </c>
      <c r="AG557" s="28" t="s">
        <v>2918</v>
      </c>
      <c r="AH557" s="28" t="s">
        <v>19</v>
      </c>
      <c r="AI557" s="28" t="s">
        <v>2316</v>
      </c>
      <c r="AJ557" s="28" t="s">
        <v>2297</v>
      </c>
      <c r="AK557" s="28" t="s">
        <v>34</v>
      </c>
      <c r="AL557" s="28" t="s">
        <v>2298</v>
      </c>
      <c r="AM557" s="114"/>
    </row>
    <row r="558" spans="21:39">
      <c r="U558" s="18">
        <v>556</v>
      </c>
      <c r="V558" s="18" t="s">
        <v>1460</v>
      </c>
      <c r="W558" s="18">
        <v>25</v>
      </c>
      <c r="X558" s="18" t="s">
        <v>40</v>
      </c>
      <c r="Y558" s="18" t="s">
        <v>661</v>
      </c>
      <c r="Z558" s="18" t="s">
        <v>965</v>
      </c>
      <c r="AA558" s="18">
        <v>2</v>
      </c>
      <c r="AC558" s="28" t="s">
        <v>2907</v>
      </c>
      <c r="AD558" s="28" t="s">
        <v>2956</v>
      </c>
      <c r="AE558" s="28" t="s">
        <v>2719</v>
      </c>
      <c r="AF558" s="28" t="s">
        <v>2364</v>
      </c>
      <c r="AG558" s="28" t="s">
        <v>2365</v>
      </c>
      <c r="AH558" s="28" t="s">
        <v>55</v>
      </c>
      <c r="AI558" s="28" t="s">
        <v>2297</v>
      </c>
      <c r="AJ558" s="28" t="s">
        <v>2301</v>
      </c>
      <c r="AK558" s="28" t="s">
        <v>13</v>
      </c>
      <c r="AL558" s="28" t="s">
        <v>2298</v>
      </c>
      <c r="AM558" s="114"/>
    </row>
    <row r="559" spans="21:39">
      <c r="U559" s="18">
        <v>557</v>
      </c>
      <c r="V559" s="18" t="s">
        <v>1461</v>
      </c>
      <c r="W559" s="18">
        <v>30</v>
      </c>
      <c r="X559" s="18" t="s">
        <v>40</v>
      </c>
      <c r="Y559" s="18" t="s">
        <v>661</v>
      </c>
      <c r="Z559" s="18" t="s">
        <v>949</v>
      </c>
      <c r="AA559" s="18">
        <v>22</v>
      </c>
      <c r="AC559" s="28" t="s">
        <v>2907</v>
      </c>
      <c r="AD559" s="28" t="s">
        <v>2957</v>
      </c>
      <c r="AE559" s="28" t="s">
        <v>2735</v>
      </c>
      <c r="AF559" s="28" t="s">
        <v>2356</v>
      </c>
      <c r="AG559" s="28" t="s">
        <v>2357</v>
      </c>
      <c r="AH559" s="28" t="s">
        <v>33</v>
      </c>
      <c r="AI559" s="28" t="s">
        <v>2297</v>
      </c>
      <c r="AJ559" s="28" t="s">
        <v>2297</v>
      </c>
      <c r="AK559" s="28" t="s">
        <v>2425</v>
      </c>
      <c r="AL559" s="28" t="s">
        <v>2298</v>
      </c>
      <c r="AM559" s="114"/>
    </row>
    <row r="560" spans="21:39">
      <c r="U560" s="18">
        <v>558</v>
      </c>
      <c r="V560" s="18" t="s">
        <v>1462</v>
      </c>
      <c r="W560" s="18">
        <v>35</v>
      </c>
      <c r="X560" s="18" t="s">
        <v>40</v>
      </c>
      <c r="Y560" s="18" t="s">
        <v>664</v>
      </c>
      <c r="Z560" s="18" t="s">
        <v>837</v>
      </c>
      <c r="AA560" s="18">
        <v>3</v>
      </c>
      <c r="AC560" s="28" t="s">
        <v>2907</v>
      </c>
      <c r="AD560" s="28" t="s">
        <v>2957</v>
      </c>
      <c r="AE560" s="28" t="s">
        <v>2735</v>
      </c>
      <c r="AF560" s="28" t="s">
        <v>2930</v>
      </c>
      <c r="AG560" s="28" t="s">
        <v>2931</v>
      </c>
      <c r="AH560" s="28" t="s">
        <v>40</v>
      </c>
      <c r="AI560" s="28" t="s">
        <v>2305</v>
      </c>
      <c r="AJ560" s="28" t="s">
        <v>2305</v>
      </c>
      <c r="AK560" s="28" t="s">
        <v>28</v>
      </c>
      <c r="AL560" s="28" t="s">
        <v>2298</v>
      </c>
      <c r="AM560" s="114"/>
    </row>
    <row r="561" spans="21:39">
      <c r="U561" s="18">
        <v>559</v>
      </c>
      <c r="V561" s="18" t="s">
        <v>1463</v>
      </c>
      <c r="W561" s="18">
        <v>29</v>
      </c>
      <c r="X561" s="18" t="s">
        <v>40</v>
      </c>
      <c r="Y561" s="18" t="s">
        <v>664</v>
      </c>
      <c r="Z561" s="18" t="s">
        <v>1008</v>
      </c>
      <c r="AA561" s="18">
        <v>21</v>
      </c>
      <c r="AC561" s="28" t="s">
        <v>2907</v>
      </c>
      <c r="AD561" s="28" t="s">
        <v>2958</v>
      </c>
      <c r="AE561" s="28" t="s">
        <v>2725</v>
      </c>
      <c r="AF561" s="28" t="s">
        <v>2911</v>
      </c>
      <c r="AG561" s="28" t="s">
        <v>2912</v>
      </c>
      <c r="AH561" s="28" t="s">
        <v>18</v>
      </c>
      <c r="AI561" s="28" t="s">
        <v>2305</v>
      </c>
      <c r="AJ561" s="28" t="s">
        <v>2302</v>
      </c>
      <c r="AK561" s="28" t="s">
        <v>71</v>
      </c>
      <c r="AL561" s="28" t="s">
        <v>2298</v>
      </c>
      <c r="AM561" s="114"/>
    </row>
    <row r="562" spans="21:39">
      <c r="U562" s="18">
        <v>560</v>
      </c>
      <c r="V562" s="18" t="s">
        <v>1464</v>
      </c>
      <c r="W562" s="18">
        <v>24</v>
      </c>
      <c r="X562" s="18" t="s">
        <v>40</v>
      </c>
      <c r="Y562" s="18" t="s">
        <v>669</v>
      </c>
      <c r="Z562" s="18" t="s">
        <v>981</v>
      </c>
      <c r="AA562" s="18">
        <v>8</v>
      </c>
      <c r="AC562" s="28" t="s">
        <v>2907</v>
      </c>
      <c r="AD562" s="28" t="s">
        <v>2958</v>
      </c>
      <c r="AE562" s="28" t="s">
        <v>2725</v>
      </c>
      <c r="AF562" s="28" t="s">
        <v>2921</v>
      </c>
      <c r="AG562" s="28" t="s">
        <v>2922</v>
      </c>
      <c r="AH562" s="28" t="s">
        <v>6</v>
      </c>
      <c r="AI562" s="28" t="s">
        <v>2302</v>
      </c>
      <c r="AJ562" s="28" t="s">
        <v>2297</v>
      </c>
      <c r="AK562" s="28" t="s">
        <v>7</v>
      </c>
      <c r="AL562" s="28" t="s">
        <v>2298</v>
      </c>
      <c r="AM562" s="114"/>
    </row>
    <row r="563" spans="21:39">
      <c r="U563" s="18">
        <v>561</v>
      </c>
      <c r="V563" s="18" t="s">
        <v>496</v>
      </c>
      <c r="W563" s="18">
        <v>27</v>
      </c>
      <c r="X563" s="18" t="s">
        <v>40</v>
      </c>
      <c r="Y563" s="18" t="s">
        <v>669</v>
      </c>
      <c r="Z563" s="18" t="s">
        <v>1454</v>
      </c>
      <c r="AA563" s="18">
        <v>14</v>
      </c>
      <c r="AC563" s="28" t="s">
        <v>2907</v>
      </c>
      <c r="AD563" s="28" t="s">
        <v>2959</v>
      </c>
      <c r="AE563" s="28" t="s">
        <v>2928</v>
      </c>
      <c r="AF563" s="28" t="s">
        <v>2924</v>
      </c>
      <c r="AG563" s="28" t="s">
        <v>2925</v>
      </c>
      <c r="AH563" s="28" t="s">
        <v>62</v>
      </c>
      <c r="AI563" s="28" t="s">
        <v>2297</v>
      </c>
      <c r="AJ563" s="28" t="s">
        <v>2305</v>
      </c>
      <c r="AK563" s="28" t="s">
        <v>60</v>
      </c>
      <c r="AL563" s="28" t="s">
        <v>2298</v>
      </c>
      <c r="AM563" s="114"/>
    </row>
    <row r="564" spans="21:39">
      <c r="U564" s="18">
        <v>562</v>
      </c>
      <c r="V564" s="18" t="s">
        <v>1465</v>
      </c>
      <c r="W564" s="18">
        <v>24</v>
      </c>
      <c r="X564" s="18" t="s">
        <v>40</v>
      </c>
      <c r="Y564" s="18" t="s">
        <v>669</v>
      </c>
      <c r="Z564" s="18" t="s">
        <v>1274</v>
      </c>
      <c r="AA564" s="18">
        <v>26</v>
      </c>
      <c r="AC564" s="28" t="s">
        <v>2907</v>
      </c>
      <c r="AD564" s="28" t="s">
        <v>2959</v>
      </c>
      <c r="AE564" s="28" t="s">
        <v>2928</v>
      </c>
      <c r="AF564" s="28" t="s">
        <v>2378</v>
      </c>
      <c r="AG564" s="28" t="s">
        <v>2379</v>
      </c>
      <c r="AH564" s="28" t="s">
        <v>9</v>
      </c>
      <c r="AI564" s="28" t="s">
        <v>2297</v>
      </c>
      <c r="AJ564" s="28" t="s">
        <v>2302</v>
      </c>
      <c r="AK564" s="28" t="s">
        <v>63</v>
      </c>
      <c r="AL564" s="28" t="s">
        <v>2298</v>
      </c>
      <c r="AM564" s="114"/>
    </row>
    <row r="565" spans="21:39">
      <c r="U565" s="18">
        <v>563</v>
      </c>
      <c r="V565" s="18" t="s">
        <v>1466</v>
      </c>
      <c r="W565" s="18">
        <v>28</v>
      </c>
      <c r="X565" s="18" t="s">
        <v>40</v>
      </c>
      <c r="Y565" s="18" t="s">
        <v>675</v>
      </c>
      <c r="Z565" s="18" t="s">
        <v>643</v>
      </c>
      <c r="AA565" s="18">
        <v>16</v>
      </c>
      <c r="AC565" s="28" t="s">
        <v>2907</v>
      </c>
      <c r="AD565" s="28" t="s">
        <v>2960</v>
      </c>
      <c r="AE565" s="28" t="s">
        <v>2934</v>
      </c>
      <c r="AF565" s="28" t="s">
        <v>597</v>
      </c>
      <c r="AG565" s="28" t="s">
        <v>2909</v>
      </c>
      <c r="AH565" s="28" t="s">
        <v>8</v>
      </c>
      <c r="AI565" s="28" t="s">
        <v>2297</v>
      </c>
      <c r="AJ565" s="28" t="s">
        <v>2297</v>
      </c>
      <c r="AK565" s="28" t="s">
        <v>42</v>
      </c>
      <c r="AL565" s="28" t="s">
        <v>2298</v>
      </c>
      <c r="AM565" s="114"/>
    </row>
    <row r="566" spans="21:39">
      <c r="U566" s="18">
        <v>564</v>
      </c>
      <c r="V566" s="18" t="s">
        <v>460</v>
      </c>
      <c r="W566" s="18">
        <v>28</v>
      </c>
      <c r="X566" s="18" t="s">
        <v>40</v>
      </c>
      <c r="Y566" s="18" t="s">
        <v>675</v>
      </c>
      <c r="Z566" s="18" t="s">
        <v>905</v>
      </c>
      <c r="AA566" s="18">
        <v>20</v>
      </c>
      <c r="AC566" s="28" t="s">
        <v>2907</v>
      </c>
      <c r="AD566" s="28" t="s">
        <v>2960</v>
      </c>
      <c r="AE566" s="28" t="s">
        <v>2934</v>
      </c>
      <c r="AF566" s="28" t="s">
        <v>2917</v>
      </c>
      <c r="AG566" s="28" t="s">
        <v>2918</v>
      </c>
      <c r="AH566" s="28" t="s">
        <v>53</v>
      </c>
      <c r="AI566" s="28" t="s">
        <v>2302</v>
      </c>
      <c r="AJ566" s="28" t="s">
        <v>2305</v>
      </c>
      <c r="AK566" s="28" t="s">
        <v>23</v>
      </c>
      <c r="AL566" s="28" t="s">
        <v>2298</v>
      </c>
      <c r="AM566" s="114"/>
    </row>
    <row r="567" spans="21:39">
      <c r="U567" s="18">
        <v>565</v>
      </c>
      <c r="V567" s="18" t="s">
        <v>1467</v>
      </c>
      <c r="W567" s="18">
        <v>27</v>
      </c>
      <c r="X567" s="18" t="s">
        <v>40</v>
      </c>
      <c r="Y567" s="18" t="s">
        <v>679</v>
      </c>
      <c r="Z567" s="18" t="s">
        <v>1011</v>
      </c>
      <c r="AA567" s="18">
        <v>7</v>
      </c>
      <c r="AC567" s="28" t="s">
        <v>2907</v>
      </c>
      <c r="AD567" s="28" t="s">
        <v>2961</v>
      </c>
      <c r="AE567" s="28" t="s">
        <v>170</v>
      </c>
      <c r="AF567" s="28" t="s">
        <v>2366</v>
      </c>
      <c r="AG567" s="28" t="s">
        <v>2367</v>
      </c>
      <c r="AH567" s="28" t="s">
        <v>20</v>
      </c>
      <c r="AI567" s="28" t="s">
        <v>2297</v>
      </c>
      <c r="AJ567" s="28" t="s">
        <v>2302</v>
      </c>
      <c r="AK567" s="28" t="s">
        <v>54</v>
      </c>
      <c r="AL567" s="28" t="s">
        <v>2298</v>
      </c>
      <c r="AM567" s="114"/>
    </row>
    <row r="568" spans="21:39">
      <c r="U568" s="18">
        <v>566</v>
      </c>
      <c r="V568" s="18" t="s">
        <v>493</v>
      </c>
      <c r="W568" s="18">
        <v>27</v>
      </c>
      <c r="X568" s="18" t="s">
        <v>40</v>
      </c>
      <c r="Y568" s="18" t="s">
        <v>679</v>
      </c>
      <c r="Z568" s="18" t="s">
        <v>981</v>
      </c>
      <c r="AA568" s="18">
        <v>11</v>
      </c>
      <c r="AC568" s="28" t="s">
        <v>2907</v>
      </c>
      <c r="AD568" s="28" t="s">
        <v>2962</v>
      </c>
      <c r="AE568" s="28" t="s">
        <v>170</v>
      </c>
      <c r="AF568" s="28" t="s">
        <v>2356</v>
      </c>
      <c r="AG568" s="28" t="s">
        <v>2357</v>
      </c>
      <c r="AH568" s="28" t="s">
        <v>12</v>
      </c>
      <c r="AI568" s="28" t="s">
        <v>2296</v>
      </c>
      <c r="AJ568" s="28" t="s">
        <v>2297</v>
      </c>
      <c r="AK568" s="28" t="s">
        <v>10</v>
      </c>
      <c r="AL568" s="28" t="s">
        <v>2298</v>
      </c>
      <c r="AM568" s="114"/>
    </row>
    <row r="569" spans="21:39">
      <c r="U569" s="18">
        <v>567</v>
      </c>
      <c r="V569" s="18" t="s">
        <v>1468</v>
      </c>
      <c r="W569" s="18">
        <v>26</v>
      </c>
      <c r="X569" s="18" t="s">
        <v>40</v>
      </c>
      <c r="Y569" s="18" t="s">
        <v>679</v>
      </c>
      <c r="Z569" s="18" t="s">
        <v>1179</v>
      </c>
      <c r="AA569" s="18">
        <v>17</v>
      </c>
      <c r="AC569" s="28" t="s">
        <v>2907</v>
      </c>
      <c r="AD569" s="28" t="s">
        <v>2963</v>
      </c>
      <c r="AE569" s="28" t="s">
        <v>170</v>
      </c>
      <c r="AF569" s="28" t="s">
        <v>2917</v>
      </c>
      <c r="AG569" s="28" t="s">
        <v>2918</v>
      </c>
      <c r="AH569" s="28" t="s">
        <v>5</v>
      </c>
      <c r="AI569" s="28" t="s">
        <v>2297</v>
      </c>
      <c r="AJ569" s="28" t="s">
        <v>2302</v>
      </c>
      <c r="AK569" s="28" t="s">
        <v>13</v>
      </c>
      <c r="AL569" s="28" t="s">
        <v>2773</v>
      </c>
      <c r="AM569" s="114"/>
    </row>
    <row r="570" spans="21:39">
      <c r="U570" s="18">
        <v>568</v>
      </c>
      <c r="V570" s="18" t="s">
        <v>1469</v>
      </c>
      <c r="W570" s="18">
        <v>24</v>
      </c>
      <c r="X570" s="18" t="s">
        <v>40</v>
      </c>
      <c r="Y570" s="18" t="s">
        <v>679</v>
      </c>
      <c r="Z570" s="18" t="s">
        <v>667</v>
      </c>
      <c r="AA570" s="18">
        <v>24</v>
      </c>
      <c r="AC570" s="28" t="s">
        <v>2907</v>
      </c>
      <c r="AD570" s="28" t="s">
        <v>2964</v>
      </c>
      <c r="AE570" s="28" t="s">
        <v>170</v>
      </c>
      <c r="AF570" s="28" t="s">
        <v>597</v>
      </c>
      <c r="AG570" s="28" t="s">
        <v>2909</v>
      </c>
      <c r="AH570" s="28" t="s">
        <v>55</v>
      </c>
      <c r="AI570" s="28" t="s">
        <v>2297</v>
      </c>
      <c r="AJ570" s="28" t="s">
        <v>2296</v>
      </c>
      <c r="AK570" s="28" t="s">
        <v>49</v>
      </c>
      <c r="AL570" s="28" t="s">
        <v>2298</v>
      </c>
      <c r="AM570" s="114"/>
    </row>
    <row r="571" spans="21:39">
      <c r="U571" s="18">
        <v>569</v>
      </c>
      <c r="V571" s="18" t="s">
        <v>498</v>
      </c>
      <c r="W571" s="18">
        <v>27</v>
      </c>
      <c r="X571" s="18" t="s">
        <v>40</v>
      </c>
      <c r="Y571" s="18" t="s">
        <v>681</v>
      </c>
      <c r="Z571" s="18" t="s">
        <v>1089</v>
      </c>
      <c r="AA571" s="18">
        <v>18</v>
      </c>
      <c r="AC571" s="28" t="s">
        <v>2907</v>
      </c>
      <c r="AD571" s="28" t="s">
        <v>2965</v>
      </c>
      <c r="AE571" s="28" t="s">
        <v>170</v>
      </c>
      <c r="AF571" s="28" t="s">
        <v>2911</v>
      </c>
      <c r="AG571" s="28" t="s">
        <v>2912</v>
      </c>
      <c r="AH571" s="28" t="s">
        <v>18</v>
      </c>
      <c r="AI571" s="28" t="s">
        <v>2305</v>
      </c>
      <c r="AJ571" s="28" t="s">
        <v>2297</v>
      </c>
      <c r="AK571" s="28" t="s">
        <v>28</v>
      </c>
      <c r="AL571" s="28" t="s">
        <v>2298</v>
      </c>
      <c r="AM571" s="114"/>
    </row>
    <row r="572" spans="21:39">
      <c r="U572" s="18">
        <v>570</v>
      </c>
      <c r="V572" s="18" t="s">
        <v>462</v>
      </c>
      <c r="W572" s="18">
        <v>33</v>
      </c>
      <c r="X572" s="18" t="s">
        <v>40</v>
      </c>
      <c r="Y572" s="18" t="s">
        <v>683</v>
      </c>
      <c r="Z572" s="18" t="s">
        <v>1423</v>
      </c>
      <c r="AA572" s="18">
        <v>9</v>
      </c>
      <c r="AC572" s="28" t="s">
        <v>2907</v>
      </c>
      <c r="AD572" s="28" t="s">
        <v>2966</v>
      </c>
      <c r="AE572" s="28" t="s">
        <v>170</v>
      </c>
      <c r="AF572" s="28" t="s">
        <v>2364</v>
      </c>
      <c r="AG572" s="28" t="s">
        <v>2365</v>
      </c>
      <c r="AH572" s="28" t="s">
        <v>40</v>
      </c>
      <c r="AI572" s="28" t="s">
        <v>2305</v>
      </c>
      <c r="AJ572" s="28" t="s">
        <v>2297</v>
      </c>
      <c r="AK572" s="28" t="s">
        <v>7</v>
      </c>
      <c r="AL572" s="28" t="s">
        <v>2298</v>
      </c>
      <c r="AM572" s="114"/>
    </row>
    <row r="573" spans="21:39">
      <c r="U573" s="18">
        <v>571</v>
      </c>
      <c r="V573" s="18" t="s">
        <v>1470</v>
      </c>
      <c r="W573" s="18">
        <v>32</v>
      </c>
      <c r="X573" s="18" t="s">
        <v>40</v>
      </c>
      <c r="Y573" s="18" t="s">
        <v>683</v>
      </c>
      <c r="Z573" s="18" t="s">
        <v>1471</v>
      </c>
      <c r="AA573" s="18">
        <v>10</v>
      </c>
      <c r="AC573" s="28" t="s">
        <v>2907</v>
      </c>
      <c r="AD573" s="28" t="s">
        <v>2967</v>
      </c>
      <c r="AE573" s="28" t="s">
        <v>170</v>
      </c>
      <c r="AF573" s="28" t="s">
        <v>2378</v>
      </c>
      <c r="AG573" s="28" t="s">
        <v>2379</v>
      </c>
      <c r="AH573" s="28" t="s">
        <v>8</v>
      </c>
      <c r="AI573" s="28" t="s">
        <v>2302</v>
      </c>
      <c r="AJ573" s="28" t="s">
        <v>2297</v>
      </c>
      <c r="AK573" s="28" t="s">
        <v>63</v>
      </c>
      <c r="AL573" s="28" t="s">
        <v>2298</v>
      </c>
      <c r="AM573" s="114"/>
    </row>
    <row r="574" spans="21:39">
      <c r="U574" s="18">
        <v>572</v>
      </c>
      <c r="V574" s="18" t="s">
        <v>1472</v>
      </c>
      <c r="W574" s="18">
        <v>24</v>
      </c>
      <c r="X574" s="18" t="s">
        <v>40</v>
      </c>
      <c r="Y574" s="18" t="s">
        <v>683</v>
      </c>
      <c r="Z574" s="18" t="s">
        <v>965</v>
      </c>
      <c r="AA574" s="18">
        <v>19</v>
      </c>
      <c r="AC574" s="28" t="s">
        <v>2907</v>
      </c>
      <c r="AD574" s="28" t="s">
        <v>2968</v>
      </c>
      <c r="AE574" s="28" t="s">
        <v>170</v>
      </c>
      <c r="AF574" s="28" t="s">
        <v>2930</v>
      </c>
      <c r="AG574" s="28" t="s">
        <v>2931</v>
      </c>
      <c r="AH574" s="28" t="s">
        <v>9</v>
      </c>
      <c r="AI574" s="28" t="s">
        <v>2305</v>
      </c>
      <c r="AJ574" s="28" t="s">
        <v>2305</v>
      </c>
      <c r="AK574" s="28" t="s">
        <v>23</v>
      </c>
      <c r="AL574" s="28" t="s">
        <v>2969</v>
      </c>
      <c r="AM574" s="114"/>
    </row>
    <row r="575" spans="21:39">
      <c r="U575" s="18">
        <v>573</v>
      </c>
      <c r="V575" s="18" t="s">
        <v>1473</v>
      </c>
      <c r="W575" s="18">
        <v>24</v>
      </c>
      <c r="X575" s="18" t="s">
        <v>42</v>
      </c>
      <c r="Y575" s="18" t="s">
        <v>642</v>
      </c>
      <c r="Z575" s="18" t="s">
        <v>1474</v>
      </c>
      <c r="AA575" s="18">
        <v>1</v>
      </c>
      <c r="AC575" s="28" t="s">
        <v>2907</v>
      </c>
      <c r="AD575" s="28" t="s">
        <v>2970</v>
      </c>
      <c r="AE575" s="28" t="s">
        <v>135</v>
      </c>
      <c r="AF575" s="28" t="s">
        <v>597</v>
      </c>
      <c r="AG575" s="28" t="s">
        <v>2909</v>
      </c>
      <c r="AH575" s="28" t="s">
        <v>20</v>
      </c>
      <c r="AI575" s="28" t="s">
        <v>2302</v>
      </c>
      <c r="AJ575" s="28" t="s">
        <v>2302</v>
      </c>
      <c r="AK575" s="28" t="s">
        <v>5</v>
      </c>
      <c r="AL575" s="28" t="s">
        <v>2764</v>
      </c>
      <c r="AM575" s="114"/>
    </row>
    <row r="576" spans="21:39">
      <c r="U576" s="18">
        <v>574</v>
      </c>
      <c r="V576" s="18" t="s">
        <v>1475</v>
      </c>
      <c r="W576" s="18">
        <v>29</v>
      </c>
      <c r="X576" s="18" t="s">
        <v>42</v>
      </c>
      <c r="Y576" s="18" t="s">
        <v>642</v>
      </c>
      <c r="Z576" s="18" t="s">
        <v>1476</v>
      </c>
      <c r="AA576" s="18">
        <v>16</v>
      </c>
      <c r="AC576" s="28" t="s">
        <v>2907</v>
      </c>
      <c r="AD576" s="28" t="s">
        <v>2971</v>
      </c>
      <c r="AE576" s="28" t="s">
        <v>135</v>
      </c>
      <c r="AF576" s="28" t="s">
        <v>2921</v>
      </c>
      <c r="AG576" s="28" t="s">
        <v>2922</v>
      </c>
      <c r="AH576" s="28" t="s">
        <v>12</v>
      </c>
      <c r="AI576" s="28" t="s">
        <v>2301</v>
      </c>
      <c r="AJ576" s="28" t="s">
        <v>2305</v>
      </c>
      <c r="AK576" s="28" t="s">
        <v>49</v>
      </c>
      <c r="AL576" s="28" t="s">
        <v>2298</v>
      </c>
      <c r="AM576" s="114"/>
    </row>
    <row r="577" spans="21:39">
      <c r="U577" s="18">
        <v>575</v>
      </c>
      <c r="V577" s="18" t="s">
        <v>1477</v>
      </c>
      <c r="W577" s="18">
        <v>29</v>
      </c>
      <c r="X577" s="18" t="s">
        <v>42</v>
      </c>
      <c r="Y577" s="18" t="s">
        <v>642</v>
      </c>
      <c r="Z577" s="18" t="s">
        <v>1478</v>
      </c>
      <c r="AA577" s="18">
        <v>22</v>
      </c>
      <c r="AC577" s="28" t="s">
        <v>2907</v>
      </c>
      <c r="AD577" s="28" t="s">
        <v>2972</v>
      </c>
      <c r="AE577" s="28" t="s">
        <v>135</v>
      </c>
      <c r="AF577" s="28" t="s">
        <v>2366</v>
      </c>
      <c r="AG577" s="28" t="s">
        <v>2367</v>
      </c>
      <c r="AH577" s="28" t="s">
        <v>40</v>
      </c>
      <c r="AI577" s="28" t="s">
        <v>2305</v>
      </c>
      <c r="AJ577" s="28" t="s">
        <v>2297</v>
      </c>
      <c r="AK577" s="28" t="s">
        <v>9</v>
      </c>
      <c r="AL577" s="28" t="s">
        <v>2298</v>
      </c>
      <c r="AM577" s="114"/>
    </row>
    <row r="578" spans="21:39">
      <c r="U578" s="18">
        <v>576</v>
      </c>
      <c r="V578" s="18" t="s">
        <v>1479</v>
      </c>
      <c r="W578" s="18">
        <v>28</v>
      </c>
      <c r="X578" s="18" t="s">
        <v>42</v>
      </c>
      <c r="Y578" s="18" t="s">
        <v>649</v>
      </c>
      <c r="Z578" s="18" t="s">
        <v>946</v>
      </c>
      <c r="AA578" s="18">
        <v>3</v>
      </c>
      <c r="AC578" s="28" t="s">
        <v>2907</v>
      </c>
      <c r="AD578" s="28" t="s">
        <v>2973</v>
      </c>
      <c r="AE578" s="28" t="s">
        <v>135</v>
      </c>
      <c r="AF578" s="28" t="s">
        <v>2924</v>
      </c>
      <c r="AG578" s="28" t="s">
        <v>2925</v>
      </c>
      <c r="AH578" s="28" t="s">
        <v>18</v>
      </c>
      <c r="AI578" s="28" t="s">
        <v>2302</v>
      </c>
      <c r="AJ578" s="28" t="s">
        <v>2301</v>
      </c>
      <c r="AK578" s="28" t="s">
        <v>63</v>
      </c>
      <c r="AL578" s="28" t="s">
        <v>2298</v>
      </c>
      <c r="AM578" s="114"/>
    </row>
    <row r="579" spans="21:39">
      <c r="U579" s="18">
        <v>577</v>
      </c>
      <c r="V579" s="18" t="s">
        <v>1480</v>
      </c>
      <c r="W579" s="18">
        <v>24</v>
      </c>
      <c r="X579" s="18" t="s">
        <v>42</v>
      </c>
      <c r="Y579" s="18" t="s">
        <v>649</v>
      </c>
      <c r="Z579" s="18" t="s">
        <v>1399</v>
      </c>
      <c r="AA579" s="18">
        <v>4</v>
      </c>
      <c r="AC579" s="28" t="s">
        <v>2907</v>
      </c>
      <c r="AD579" s="28" t="s">
        <v>2974</v>
      </c>
      <c r="AE579" s="28" t="s">
        <v>106</v>
      </c>
      <c r="AF579" s="28" t="s">
        <v>2366</v>
      </c>
      <c r="AG579" s="28" t="s">
        <v>2367</v>
      </c>
      <c r="AH579" s="28" t="s">
        <v>12</v>
      </c>
      <c r="AI579" s="28" t="s">
        <v>2297</v>
      </c>
      <c r="AJ579" s="28" t="s">
        <v>2297</v>
      </c>
      <c r="AK579" s="28" t="s">
        <v>40</v>
      </c>
      <c r="AL579" s="28" t="s">
        <v>2975</v>
      </c>
      <c r="AM579" s="114"/>
    </row>
    <row r="580" spans="21:39">
      <c r="U580" s="18">
        <v>578</v>
      </c>
      <c r="V580" s="18" t="s">
        <v>1481</v>
      </c>
      <c r="W580" s="18">
        <v>30</v>
      </c>
      <c r="X580" s="18" t="s">
        <v>42</v>
      </c>
      <c r="Y580" s="18" t="s">
        <v>649</v>
      </c>
      <c r="Z580" s="18" t="s">
        <v>1482</v>
      </c>
      <c r="AA580" s="18">
        <v>6</v>
      </c>
      <c r="AC580" s="28" t="s">
        <v>2907</v>
      </c>
      <c r="AD580" s="28" t="s">
        <v>2976</v>
      </c>
      <c r="AE580" s="28" t="s">
        <v>106</v>
      </c>
      <c r="AF580" s="28" t="s">
        <v>597</v>
      </c>
      <c r="AG580" s="28" t="s">
        <v>2909</v>
      </c>
      <c r="AH580" s="28" t="s">
        <v>5</v>
      </c>
      <c r="AI580" s="28" t="s">
        <v>2305</v>
      </c>
      <c r="AJ580" s="28" t="s">
        <v>2297</v>
      </c>
      <c r="AK580" s="28" t="s">
        <v>63</v>
      </c>
      <c r="AL580" s="28" t="s">
        <v>2298</v>
      </c>
      <c r="AM580" s="114"/>
    </row>
    <row r="581" spans="21:39">
      <c r="U581" s="18">
        <v>579</v>
      </c>
      <c r="V581" s="18" t="s">
        <v>1483</v>
      </c>
      <c r="W581" s="18">
        <v>22</v>
      </c>
      <c r="X581" s="18" t="s">
        <v>42</v>
      </c>
      <c r="Y581" s="18" t="s">
        <v>649</v>
      </c>
      <c r="Z581" s="18" t="s">
        <v>1484</v>
      </c>
      <c r="AA581" s="18">
        <v>24</v>
      </c>
      <c r="AC581" s="28" t="s">
        <v>2907</v>
      </c>
      <c r="AD581" s="28" t="s">
        <v>2977</v>
      </c>
      <c r="AE581" s="28" t="s">
        <v>2350</v>
      </c>
      <c r="AF581" s="28" t="s">
        <v>2356</v>
      </c>
      <c r="AG581" s="28" t="s">
        <v>2357</v>
      </c>
      <c r="AH581" s="28" t="s">
        <v>40</v>
      </c>
      <c r="AI581" s="28" t="s">
        <v>2297</v>
      </c>
      <c r="AJ581" s="28" t="s">
        <v>2305</v>
      </c>
      <c r="AK581" s="28" t="s">
        <v>63</v>
      </c>
      <c r="AL581" s="28" t="s">
        <v>2298</v>
      </c>
      <c r="AM581" s="114"/>
    </row>
    <row r="582" spans="21:39">
      <c r="U582" s="18">
        <v>580</v>
      </c>
      <c r="V582" s="18" t="s">
        <v>1485</v>
      </c>
      <c r="W582" s="18">
        <v>32</v>
      </c>
      <c r="X582" s="18" t="s">
        <v>42</v>
      </c>
      <c r="Y582" s="18" t="s">
        <v>657</v>
      </c>
      <c r="Z582" s="18" t="s">
        <v>882</v>
      </c>
      <c r="AA582" s="18">
        <v>2</v>
      </c>
      <c r="AC582" s="28" t="s">
        <v>2907</v>
      </c>
      <c r="AD582" s="28" t="s">
        <v>2978</v>
      </c>
      <c r="AE582" s="28" t="s">
        <v>238</v>
      </c>
      <c r="AF582" s="28" t="s">
        <v>597</v>
      </c>
      <c r="AG582" s="28" t="s">
        <v>2909</v>
      </c>
      <c r="AH582" s="28" t="s">
        <v>12</v>
      </c>
      <c r="AI582" s="28" t="s">
        <v>2302</v>
      </c>
      <c r="AJ582" s="28" t="s">
        <v>2301</v>
      </c>
      <c r="AK582" s="28" t="s">
        <v>5</v>
      </c>
      <c r="AL582" s="28" t="s">
        <v>2298</v>
      </c>
      <c r="AM582" s="114"/>
    </row>
    <row r="583" spans="21:39">
      <c r="U583" s="18">
        <v>581</v>
      </c>
      <c r="V583" s="18" t="s">
        <v>1486</v>
      </c>
      <c r="W583" s="18">
        <v>30</v>
      </c>
      <c r="X583" s="18" t="s">
        <v>42</v>
      </c>
      <c r="Y583" s="18" t="s">
        <v>657</v>
      </c>
      <c r="Z583" s="18" t="s">
        <v>1487</v>
      </c>
      <c r="AA583" s="18">
        <v>21</v>
      </c>
      <c r="AC583" s="28" t="s">
        <v>2979</v>
      </c>
      <c r="AD583" s="28" t="s">
        <v>2980</v>
      </c>
      <c r="AE583" s="28" t="s">
        <v>2590</v>
      </c>
      <c r="AF583" s="28" t="s">
        <v>2981</v>
      </c>
      <c r="AG583" s="28" t="s">
        <v>2982</v>
      </c>
      <c r="AH583" s="28" t="s">
        <v>5</v>
      </c>
      <c r="AI583" s="28" t="s">
        <v>2302</v>
      </c>
      <c r="AJ583" s="28" t="s">
        <v>2297</v>
      </c>
      <c r="AK583" s="28" t="s">
        <v>65</v>
      </c>
      <c r="AL583" s="28" t="s">
        <v>2298</v>
      </c>
      <c r="AM583" s="114"/>
    </row>
    <row r="584" spans="21:39">
      <c r="U584" s="18">
        <v>582</v>
      </c>
      <c r="V584" s="18" t="s">
        <v>1488</v>
      </c>
      <c r="W584" s="18">
        <v>21</v>
      </c>
      <c r="X584" s="18" t="s">
        <v>42</v>
      </c>
      <c r="Y584" s="18" t="s">
        <v>661</v>
      </c>
      <c r="Z584" s="18" t="s">
        <v>1198</v>
      </c>
      <c r="AA584" s="18">
        <v>5</v>
      </c>
      <c r="AC584" s="28" t="s">
        <v>2979</v>
      </c>
      <c r="AD584" s="28" t="s">
        <v>2983</v>
      </c>
      <c r="AE584" s="28" t="s">
        <v>2590</v>
      </c>
      <c r="AF584" s="28" t="s">
        <v>2984</v>
      </c>
      <c r="AG584" s="28" t="s">
        <v>2985</v>
      </c>
      <c r="AH584" s="28" t="s">
        <v>11</v>
      </c>
      <c r="AI584" s="28" t="s">
        <v>2297</v>
      </c>
      <c r="AJ584" s="28" t="s">
        <v>2305</v>
      </c>
      <c r="AK584" s="28" t="s">
        <v>49</v>
      </c>
      <c r="AL584" s="28" t="s">
        <v>2298</v>
      </c>
      <c r="AM584" s="114"/>
    </row>
    <row r="585" spans="21:39">
      <c r="U585" s="18">
        <v>583</v>
      </c>
      <c r="V585" s="18" t="s">
        <v>1489</v>
      </c>
      <c r="W585" s="18">
        <v>31</v>
      </c>
      <c r="X585" s="18" t="s">
        <v>42</v>
      </c>
      <c r="Y585" s="18" t="s">
        <v>661</v>
      </c>
      <c r="Z585" s="18" t="s">
        <v>1198</v>
      </c>
      <c r="AA585" s="18">
        <v>12</v>
      </c>
      <c r="AC585" s="28" t="s">
        <v>2979</v>
      </c>
      <c r="AD585" s="28" t="s">
        <v>2986</v>
      </c>
      <c r="AE585" s="28" t="s">
        <v>2735</v>
      </c>
      <c r="AF585" s="28" t="s">
        <v>2987</v>
      </c>
      <c r="AG585" s="28" t="s">
        <v>2988</v>
      </c>
      <c r="AH585" s="28" t="s">
        <v>3583</v>
      </c>
      <c r="AI585" s="28" t="s">
        <v>2297</v>
      </c>
      <c r="AJ585" s="28" t="s">
        <v>2297</v>
      </c>
      <c r="AK585" s="28" t="s">
        <v>51</v>
      </c>
      <c r="AL585" s="28" t="s">
        <v>2298</v>
      </c>
      <c r="AM585" s="114"/>
    </row>
    <row r="586" spans="21:39">
      <c r="U586" s="18">
        <v>584</v>
      </c>
      <c r="V586" s="18" t="s">
        <v>1490</v>
      </c>
      <c r="W586" s="18">
        <v>27</v>
      </c>
      <c r="X586" s="18" t="s">
        <v>42</v>
      </c>
      <c r="Y586" s="18" t="s">
        <v>661</v>
      </c>
      <c r="Z586" s="18" t="s">
        <v>845</v>
      </c>
      <c r="AA586" s="18">
        <v>20</v>
      </c>
      <c r="AC586" s="28" t="s">
        <v>2979</v>
      </c>
      <c r="AD586" s="28" t="s">
        <v>2989</v>
      </c>
      <c r="AE586" s="28" t="s">
        <v>2735</v>
      </c>
      <c r="AF586" s="28" t="s">
        <v>2990</v>
      </c>
      <c r="AG586" s="28" t="s">
        <v>2991</v>
      </c>
      <c r="AH586" s="28" t="s">
        <v>18</v>
      </c>
      <c r="AI586" s="28" t="s">
        <v>2384</v>
      </c>
      <c r="AJ586" s="28" t="s">
        <v>2302</v>
      </c>
      <c r="AK586" s="28" t="s">
        <v>56</v>
      </c>
      <c r="AL586" s="28" t="s">
        <v>2298</v>
      </c>
      <c r="AM586" s="114"/>
    </row>
    <row r="587" spans="21:39">
      <c r="U587" s="18">
        <v>585</v>
      </c>
      <c r="V587" s="18" t="s">
        <v>1491</v>
      </c>
      <c r="W587" s="18">
        <v>21</v>
      </c>
      <c r="X587" s="18" t="s">
        <v>42</v>
      </c>
      <c r="Y587" s="18" t="s">
        <v>661</v>
      </c>
      <c r="Z587" s="18" t="s">
        <v>1492</v>
      </c>
      <c r="AA587" s="18">
        <v>23</v>
      </c>
      <c r="AC587" s="28" t="s">
        <v>2979</v>
      </c>
      <c r="AD587" s="28" t="s">
        <v>2992</v>
      </c>
      <c r="AE587" s="28" t="s">
        <v>2725</v>
      </c>
      <c r="AF587" s="28" t="s">
        <v>2993</v>
      </c>
      <c r="AG587" s="28" t="s">
        <v>2994</v>
      </c>
      <c r="AH587" s="28" t="s">
        <v>9</v>
      </c>
      <c r="AI587" s="28" t="s">
        <v>2297</v>
      </c>
      <c r="AJ587" s="28" t="s">
        <v>2302</v>
      </c>
      <c r="AK587" s="28" t="s">
        <v>55</v>
      </c>
      <c r="AL587" s="28" t="s">
        <v>2298</v>
      </c>
      <c r="AM587" s="114"/>
    </row>
    <row r="588" spans="21:39">
      <c r="U588" s="18">
        <v>586</v>
      </c>
      <c r="V588" s="18" t="s">
        <v>1493</v>
      </c>
      <c r="W588" s="18">
        <v>32</v>
      </c>
      <c r="X588" s="18" t="s">
        <v>42</v>
      </c>
      <c r="Y588" s="18" t="s">
        <v>664</v>
      </c>
      <c r="Z588" s="18" t="s">
        <v>1494</v>
      </c>
      <c r="AA588" s="18">
        <v>13</v>
      </c>
      <c r="AC588" s="28" t="s">
        <v>2979</v>
      </c>
      <c r="AD588" s="28" t="s">
        <v>2995</v>
      </c>
      <c r="AE588" s="28" t="s">
        <v>2588</v>
      </c>
      <c r="AF588" s="28" t="s">
        <v>2996</v>
      </c>
      <c r="AG588" s="28" t="s">
        <v>2997</v>
      </c>
      <c r="AH588" s="28" t="s">
        <v>13</v>
      </c>
      <c r="AI588" s="28" t="s">
        <v>2305</v>
      </c>
      <c r="AJ588" s="28" t="s">
        <v>2305</v>
      </c>
      <c r="AK588" s="28" t="s">
        <v>61</v>
      </c>
      <c r="AL588" s="28" t="s">
        <v>2298</v>
      </c>
      <c r="AM588" s="114"/>
    </row>
    <row r="589" spans="21:39">
      <c r="U589" s="18">
        <v>587</v>
      </c>
      <c r="V589" s="18" t="s">
        <v>1495</v>
      </c>
      <c r="W589" s="18">
        <v>31</v>
      </c>
      <c r="X589" s="18" t="s">
        <v>42</v>
      </c>
      <c r="Y589" s="18" t="s">
        <v>664</v>
      </c>
      <c r="Z589" s="18" t="s">
        <v>953</v>
      </c>
      <c r="AA589" s="18">
        <v>17</v>
      </c>
      <c r="AC589" s="28" t="s">
        <v>2979</v>
      </c>
      <c r="AD589" s="28" t="s">
        <v>2998</v>
      </c>
      <c r="AE589" s="28" t="s">
        <v>2725</v>
      </c>
      <c r="AF589" s="28" t="s">
        <v>2999</v>
      </c>
      <c r="AG589" s="28" t="s">
        <v>3000</v>
      </c>
      <c r="AH589" s="28" t="s">
        <v>23</v>
      </c>
      <c r="AI589" s="28" t="s">
        <v>2297</v>
      </c>
      <c r="AJ589" s="28" t="s">
        <v>2297</v>
      </c>
      <c r="AK589" s="28" t="s">
        <v>17</v>
      </c>
      <c r="AL589" s="28" t="s">
        <v>2298</v>
      </c>
      <c r="AM589" s="114"/>
    </row>
    <row r="590" spans="21:39">
      <c r="U590" s="18">
        <v>588</v>
      </c>
      <c r="V590" s="18" t="s">
        <v>1496</v>
      </c>
      <c r="W590" s="18">
        <v>21</v>
      </c>
      <c r="X590" s="18" t="s">
        <v>42</v>
      </c>
      <c r="Y590" s="18" t="s">
        <v>669</v>
      </c>
      <c r="Z590" s="18" t="s">
        <v>813</v>
      </c>
      <c r="AA590" s="18">
        <v>14</v>
      </c>
      <c r="AC590" s="28" t="s">
        <v>2979</v>
      </c>
      <c r="AD590" s="28" t="s">
        <v>3001</v>
      </c>
      <c r="AE590" s="28" t="s">
        <v>2588</v>
      </c>
      <c r="AF590" s="28" t="s">
        <v>3002</v>
      </c>
      <c r="AG590" s="28" t="s">
        <v>3003</v>
      </c>
      <c r="AH590" s="28" t="s">
        <v>19</v>
      </c>
      <c r="AI590" s="28" t="s">
        <v>2301</v>
      </c>
      <c r="AJ590" s="28" t="s">
        <v>2297</v>
      </c>
      <c r="AK590" s="28" t="s">
        <v>66</v>
      </c>
      <c r="AL590" s="28" t="s">
        <v>2298</v>
      </c>
      <c r="AM590" s="114"/>
    </row>
    <row r="591" spans="21:39">
      <c r="U591" s="18">
        <v>589</v>
      </c>
      <c r="V591" s="18" t="s">
        <v>1497</v>
      </c>
      <c r="W591" s="18">
        <v>26</v>
      </c>
      <c r="X591" s="18" t="s">
        <v>42</v>
      </c>
      <c r="Y591" s="18" t="s">
        <v>669</v>
      </c>
      <c r="Z591" s="18" t="s">
        <v>1026</v>
      </c>
      <c r="AA591" s="18">
        <v>15</v>
      </c>
      <c r="AC591" s="28" t="s">
        <v>2979</v>
      </c>
      <c r="AD591" s="28" t="s">
        <v>3004</v>
      </c>
      <c r="AE591" s="28" t="s">
        <v>2717</v>
      </c>
      <c r="AF591" s="28" t="s">
        <v>2984</v>
      </c>
      <c r="AG591" s="28" t="s">
        <v>2985</v>
      </c>
      <c r="AH591" s="28" t="s">
        <v>12</v>
      </c>
      <c r="AI591" s="28" t="s">
        <v>2305</v>
      </c>
      <c r="AJ591" s="28" t="s">
        <v>2297</v>
      </c>
      <c r="AK591" s="28" t="s">
        <v>25</v>
      </c>
      <c r="AL591" s="28" t="s">
        <v>2298</v>
      </c>
      <c r="AM591" s="114"/>
    </row>
    <row r="592" spans="21:39">
      <c r="U592" s="18">
        <v>590</v>
      </c>
      <c r="V592" s="18" t="s">
        <v>1498</v>
      </c>
      <c r="W592" s="18">
        <v>25</v>
      </c>
      <c r="X592" s="18" t="s">
        <v>42</v>
      </c>
      <c r="Y592" s="18" t="s">
        <v>669</v>
      </c>
      <c r="Z592" s="18" t="s">
        <v>895</v>
      </c>
      <c r="AA592" s="18">
        <v>25</v>
      </c>
      <c r="AC592" s="28" t="s">
        <v>2979</v>
      </c>
      <c r="AD592" s="28" t="s">
        <v>3005</v>
      </c>
      <c r="AE592" s="28" t="s">
        <v>2934</v>
      </c>
      <c r="AF592" s="28" t="s">
        <v>2990</v>
      </c>
      <c r="AG592" s="28" t="s">
        <v>2991</v>
      </c>
      <c r="AH592" s="28" t="s">
        <v>20</v>
      </c>
      <c r="AI592" s="28" t="s">
        <v>2305</v>
      </c>
      <c r="AJ592" s="28" t="s">
        <v>2302</v>
      </c>
      <c r="AK592" s="28" t="s">
        <v>67</v>
      </c>
      <c r="AL592" s="28" t="s">
        <v>2298</v>
      </c>
      <c r="AM592" s="114"/>
    </row>
    <row r="593" spans="21:39">
      <c r="U593" s="18">
        <v>591</v>
      </c>
      <c r="V593" s="18" t="s">
        <v>1499</v>
      </c>
      <c r="W593" s="18">
        <v>23</v>
      </c>
      <c r="X593" s="18" t="s">
        <v>42</v>
      </c>
      <c r="Y593" s="18" t="s">
        <v>675</v>
      </c>
      <c r="Z593" s="18" t="s">
        <v>769</v>
      </c>
      <c r="AA593" s="18">
        <v>10</v>
      </c>
      <c r="AC593" s="28" t="s">
        <v>2979</v>
      </c>
      <c r="AD593" s="28" t="s">
        <v>3006</v>
      </c>
      <c r="AE593" s="28" t="s">
        <v>2934</v>
      </c>
      <c r="AF593" s="28" t="s">
        <v>2987</v>
      </c>
      <c r="AG593" s="28" t="s">
        <v>2988</v>
      </c>
      <c r="AH593" s="28" t="s">
        <v>63</v>
      </c>
      <c r="AI593" s="28" t="s">
        <v>2302</v>
      </c>
      <c r="AJ593" s="28" t="s">
        <v>2297</v>
      </c>
      <c r="AK593" s="28" t="s">
        <v>28</v>
      </c>
      <c r="AL593" s="28" t="s">
        <v>2298</v>
      </c>
      <c r="AM593" s="114"/>
    </row>
    <row r="594" spans="21:39">
      <c r="U594" s="18">
        <v>592</v>
      </c>
      <c r="V594" s="18" t="s">
        <v>1500</v>
      </c>
      <c r="W594" s="18">
        <v>22</v>
      </c>
      <c r="X594" s="18" t="s">
        <v>42</v>
      </c>
      <c r="Y594" s="18" t="s">
        <v>675</v>
      </c>
      <c r="Z594" s="18" t="s">
        <v>971</v>
      </c>
      <c r="AA594" s="18">
        <v>11</v>
      </c>
      <c r="AC594" s="28" t="s">
        <v>2979</v>
      </c>
      <c r="AD594" s="28" t="s">
        <v>3007</v>
      </c>
      <c r="AE594" s="28" t="s">
        <v>2717</v>
      </c>
      <c r="AF594" s="28" t="s">
        <v>3002</v>
      </c>
      <c r="AG594" s="28" t="s">
        <v>3003</v>
      </c>
      <c r="AH594" s="28" t="s">
        <v>64</v>
      </c>
      <c r="AI594" s="28" t="s">
        <v>2302</v>
      </c>
      <c r="AJ594" s="28" t="s">
        <v>2305</v>
      </c>
      <c r="AK594" s="28" t="s">
        <v>50</v>
      </c>
      <c r="AL594" s="28" t="s">
        <v>2298</v>
      </c>
      <c r="AM594" s="114"/>
    </row>
    <row r="595" spans="21:39">
      <c r="U595" s="18">
        <v>593</v>
      </c>
      <c r="V595" s="18" t="s">
        <v>1501</v>
      </c>
      <c r="W595" s="18">
        <v>23</v>
      </c>
      <c r="X595" s="18" t="s">
        <v>42</v>
      </c>
      <c r="Y595" s="18" t="s">
        <v>675</v>
      </c>
      <c r="Z595" s="18" t="s">
        <v>815</v>
      </c>
      <c r="AA595" s="18">
        <v>26</v>
      </c>
      <c r="AC595" s="28" t="s">
        <v>2979</v>
      </c>
      <c r="AD595" s="28" t="s">
        <v>3008</v>
      </c>
      <c r="AE595" s="28" t="s">
        <v>2928</v>
      </c>
      <c r="AF595" s="28" t="s">
        <v>2999</v>
      </c>
      <c r="AG595" s="28" t="s">
        <v>3000</v>
      </c>
      <c r="AH595" s="28" t="s">
        <v>62</v>
      </c>
      <c r="AI595" s="28" t="s">
        <v>2305</v>
      </c>
      <c r="AJ595" s="28" t="s">
        <v>2305</v>
      </c>
      <c r="AK595" s="28" t="s">
        <v>33</v>
      </c>
      <c r="AL595" s="28" t="s">
        <v>2298</v>
      </c>
      <c r="AM595" s="114"/>
    </row>
    <row r="596" spans="21:39">
      <c r="U596" s="18">
        <v>594</v>
      </c>
      <c r="V596" s="18" t="s">
        <v>1502</v>
      </c>
      <c r="W596" s="18">
        <v>27</v>
      </c>
      <c r="X596" s="18" t="s">
        <v>42</v>
      </c>
      <c r="Y596" s="18" t="s">
        <v>679</v>
      </c>
      <c r="Z596" s="18" t="s">
        <v>1431</v>
      </c>
      <c r="AA596" s="18">
        <v>7</v>
      </c>
      <c r="AC596" s="28" t="s">
        <v>2979</v>
      </c>
      <c r="AD596" s="28" t="s">
        <v>3009</v>
      </c>
      <c r="AE596" s="28" t="s">
        <v>2719</v>
      </c>
      <c r="AF596" s="28" t="s">
        <v>2996</v>
      </c>
      <c r="AG596" s="28" t="s">
        <v>2997</v>
      </c>
      <c r="AH596" s="28" t="s">
        <v>2425</v>
      </c>
      <c r="AI596" s="28" t="s">
        <v>2305</v>
      </c>
      <c r="AJ596" s="28" t="s">
        <v>2302</v>
      </c>
      <c r="AK596" s="28" t="s">
        <v>37</v>
      </c>
      <c r="AL596" s="28" t="s">
        <v>2298</v>
      </c>
      <c r="AM596" s="114"/>
    </row>
    <row r="597" spans="21:39">
      <c r="U597" s="18">
        <v>595</v>
      </c>
      <c r="V597" s="18" t="s">
        <v>1503</v>
      </c>
      <c r="W597" s="18">
        <v>26</v>
      </c>
      <c r="X597" s="18" t="s">
        <v>42</v>
      </c>
      <c r="Y597" s="18" t="s">
        <v>679</v>
      </c>
      <c r="Z597" s="18" t="s">
        <v>746</v>
      </c>
      <c r="AA597" s="18">
        <v>8</v>
      </c>
      <c r="AC597" s="28" t="s">
        <v>2979</v>
      </c>
      <c r="AD597" s="28" t="s">
        <v>3010</v>
      </c>
      <c r="AE597" s="28" t="s">
        <v>2928</v>
      </c>
      <c r="AF597" s="28" t="s">
        <v>3011</v>
      </c>
      <c r="AG597" s="28" t="s">
        <v>3012</v>
      </c>
      <c r="AH597" s="28" t="s">
        <v>58</v>
      </c>
      <c r="AI597" s="28" t="s">
        <v>2305</v>
      </c>
      <c r="AJ597" s="28" t="s">
        <v>2302</v>
      </c>
      <c r="AK597" s="28" t="s">
        <v>42</v>
      </c>
      <c r="AL597" s="28" t="s">
        <v>2298</v>
      </c>
      <c r="AM597" s="114"/>
    </row>
    <row r="598" spans="21:39">
      <c r="U598" s="18">
        <v>596</v>
      </c>
      <c r="V598" s="18" t="s">
        <v>1504</v>
      </c>
      <c r="W598" s="18">
        <v>18</v>
      </c>
      <c r="X598" s="18" t="s">
        <v>42</v>
      </c>
      <c r="Y598" s="18" t="s">
        <v>681</v>
      </c>
      <c r="Z598" s="18" t="s">
        <v>1156</v>
      </c>
      <c r="AA598" s="18">
        <v>18</v>
      </c>
      <c r="AC598" s="28" t="s">
        <v>2979</v>
      </c>
      <c r="AD598" s="28" t="s">
        <v>3013</v>
      </c>
      <c r="AE598" s="28" t="s">
        <v>2719</v>
      </c>
      <c r="AF598" s="28" t="s">
        <v>3014</v>
      </c>
      <c r="AG598" s="28" t="s">
        <v>3015</v>
      </c>
      <c r="AH598" s="28" t="s">
        <v>6</v>
      </c>
      <c r="AI598" s="28" t="s">
        <v>2301</v>
      </c>
      <c r="AJ598" s="28" t="s">
        <v>2305</v>
      </c>
      <c r="AK598" s="28" t="s">
        <v>30</v>
      </c>
      <c r="AL598" s="28" t="s">
        <v>2298</v>
      </c>
      <c r="AM598" s="114"/>
    </row>
    <row r="599" spans="21:39">
      <c r="U599" s="18">
        <v>597</v>
      </c>
      <c r="V599" s="18" t="s">
        <v>1505</v>
      </c>
      <c r="W599" s="18">
        <v>28</v>
      </c>
      <c r="X599" s="18" t="s">
        <v>42</v>
      </c>
      <c r="Y599" s="18" t="s">
        <v>683</v>
      </c>
      <c r="Z599" s="18" t="s">
        <v>1506</v>
      </c>
      <c r="AA599" s="18">
        <v>9</v>
      </c>
      <c r="AC599" s="28" t="s">
        <v>2979</v>
      </c>
      <c r="AD599" s="28" t="s">
        <v>3016</v>
      </c>
      <c r="AE599" s="28" t="s">
        <v>2735</v>
      </c>
      <c r="AF599" s="28" t="s">
        <v>2993</v>
      </c>
      <c r="AG599" s="28" t="s">
        <v>2994</v>
      </c>
      <c r="AH599" s="28" t="s">
        <v>18</v>
      </c>
      <c r="AI599" s="28" t="s">
        <v>2297</v>
      </c>
      <c r="AJ599" s="28" t="s">
        <v>2297</v>
      </c>
      <c r="AK599" s="28" t="s">
        <v>3583</v>
      </c>
      <c r="AL599" s="28" t="s">
        <v>2298</v>
      </c>
      <c r="AM599" s="114"/>
    </row>
    <row r="600" spans="21:39">
      <c r="U600" s="18">
        <v>598</v>
      </c>
      <c r="V600" s="18" t="s">
        <v>1507</v>
      </c>
      <c r="W600" s="18">
        <v>30</v>
      </c>
      <c r="X600" s="18" t="s">
        <v>42</v>
      </c>
      <c r="Y600" s="18" t="s">
        <v>683</v>
      </c>
      <c r="Z600" s="18" t="s">
        <v>1474</v>
      </c>
      <c r="AA600" s="18">
        <v>19</v>
      </c>
      <c r="AC600" s="28" t="s">
        <v>2979</v>
      </c>
      <c r="AD600" s="28" t="s">
        <v>3017</v>
      </c>
      <c r="AE600" s="28" t="s">
        <v>2590</v>
      </c>
      <c r="AF600" s="28" t="s">
        <v>3018</v>
      </c>
      <c r="AG600" s="28" t="s">
        <v>3019</v>
      </c>
      <c r="AH600" s="28" t="s">
        <v>49</v>
      </c>
      <c r="AI600" s="28" t="s">
        <v>2297</v>
      </c>
      <c r="AJ600" s="28" t="s">
        <v>2297</v>
      </c>
      <c r="AK600" s="28" t="s">
        <v>65</v>
      </c>
      <c r="AL600" s="28" t="s">
        <v>2298</v>
      </c>
      <c r="AM600" s="114"/>
    </row>
    <row r="601" spans="21:39">
      <c r="U601" s="18">
        <v>599</v>
      </c>
      <c r="V601" s="18" t="s">
        <v>1508</v>
      </c>
      <c r="W601" s="18">
        <v>27</v>
      </c>
      <c r="X601" s="18" t="s">
        <v>17</v>
      </c>
      <c r="Y601" s="18" t="s">
        <v>642</v>
      </c>
      <c r="Z601" s="18" t="s">
        <v>1509</v>
      </c>
      <c r="AA601" s="18">
        <v>1</v>
      </c>
      <c r="AC601" s="28" t="s">
        <v>2979</v>
      </c>
      <c r="AD601" s="28" t="s">
        <v>3020</v>
      </c>
      <c r="AE601" s="28" t="s">
        <v>2735</v>
      </c>
      <c r="AF601" s="28" t="s">
        <v>2999</v>
      </c>
      <c r="AG601" s="28" t="s">
        <v>3000</v>
      </c>
      <c r="AH601" s="28" t="s">
        <v>51</v>
      </c>
      <c r="AI601" s="28" t="s">
        <v>2297</v>
      </c>
      <c r="AJ601" s="28" t="s">
        <v>2302</v>
      </c>
      <c r="AK601" s="28" t="s">
        <v>56</v>
      </c>
      <c r="AL601" s="28" t="s">
        <v>2298</v>
      </c>
      <c r="AM601" s="114"/>
    </row>
    <row r="602" spans="21:39">
      <c r="U602" s="18">
        <v>600</v>
      </c>
      <c r="V602" s="18" t="s">
        <v>1510</v>
      </c>
      <c r="W602" s="18">
        <v>27</v>
      </c>
      <c r="X602" s="18" t="s">
        <v>17</v>
      </c>
      <c r="Y602" s="18" t="s">
        <v>642</v>
      </c>
      <c r="Z602" s="18" t="s">
        <v>805</v>
      </c>
      <c r="AA602" s="18">
        <v>12</v>
      </c>
      <c r="AC602" s="28" t="s">
        <v>2979</v>
      </c>
      <c r="AD602" s="28" t="s">
        <v>3021</v>
      </c>
      <c r="AE602" s="28" t="s">
        <v>2590</v>
      </c>
      <c r="AF602" s="28" t="s">
        <v>2996</v>
      </c>
      <c r="AG602" s="28" t="s">
        <v>2997</v>
      </c>
      <c r="AH602" s="28" t="s">
        <v>5</v>
      </c>
      <c r="AI602" s="28" t="s">
        <v>2302</v>
      </c>
      <c r="AJ602" s="28" t="s">
        <v>2302</v>
      </c>
      <c r="AK602" s="28" t="s">
        <v>11</v>
      </c>
      <c r="AL602" s="28" t="s">
        <v>2298</v>
      </c>
      <c r="AM602" s="114"/>
    </row>
    <row r="603" spans="21:39">
      <c r="U603" s="18">
        <v>601</v>
      </c>
      <c r="V603" s="18" t="s">
        <v>1511</v>
      </c>
      <c r="W603" s="18">
        <v>36</v>
      </c>
      <c r="X603" s="18" t="s">
        <v>17</v>
      </c>
      <c r="Y603" s="18" t="s">
        <v>642</v>
      </c>
      <c r="Z603" s="18" t="s">
        <v>1512</v>
      </c>
      <c r="AA603" s="18">
        <v>23</v>
      </c>
      <c r="AC603" s="28" t="s">
        <v>2979</v>
      </c>
      <c r="AD603" s="28" t="s">
        <v>3022</v>
      </c>
      <c r="AE603" s="28" t="s">
        <v>2725</v>
      </c>
      <c r="AF603" s="28" t="s">
        <v>3011</v>
      </c>
      <c r="AG603" s="28" t="s">
        <v>3012</v>
      </c>
      <c r="AH603" s="28" t="s">
        <v>17</v>
      </c>
      <c r="AI603" s="28" t="s">
        <v>2305</v>
      </c>
      <c r="AJ603" s="28" t="s">
        <v>2297</v>
      </c>
      <c r="AK603" s="28" t="s">
        <v>55</v>
      </c>
      <c r="AL603" s="28" t="s">
        <v>2298</v>
      </c>
      <c r="AM603" s="114"/>
    </row>
    <row r="604" spans="21:39">
      <c r="U604" s="18">
        <v>602</v>
      </c>
      <c r="V604" s="18" t="s">
        <v>1513</v>
      </c>
      <c r="W604" s="18">
        <v>26</v>
      </c>
      <c r="X604" s="18" t="s">
        <v>17</v>
      </c>
      <c r="Y604" s="18" t="s">
        <v>649</v>
      </c>
      <c r="Z604" s="18" t="s">
        <v>647</v>
      </c>
      <c r="AA604" s="18">
        <v>2</v>
      </c>
      <c r="AC604" s="28" t="s">
        <v>2979</v>
      </c>
      <c r="AD604" s="28" t="s">
        <v>3023</v>
      </c>
      <c r="AE604" s="28" t="s">
        <v>2725</v>
      </c>
      <c r="AF604" s="28" t="s">
        <v>2990</v>
      </c>
      <c r="AG604" s="28" t="s">
        <v>2991</v>
      </c>
      <c r="AH604" s="28" t="s">
        <v>9</v>
      </c>
      <c r="AI604" s="28" t="s">
        <v>2302</v>
      </c>
      <c r="AJ604" s="28" t="s">
        <v>2297</v>
      </c>
      <c r="AK604" s="28" t="s">
        <v>23</v>
      </c>
      <c r="AL604" s="28" t="s">
        <v>2298</v>
      </c>
      <c r="AM604" s="114"/>
    </row>
    <row r="605" spans="21:39">
      <c r="U605" s="18">
        <v>603</v>
      </c>
      <c r="V605" s="18" t="s">
        <v>1514</v>
      </c>
      <c r="W605" s="18">
        <v>31</v>
      </c>
      <c r="X605" s="18" t="s">
        <v>17</v>
      </c>
      <c r="Y605" s="18" t="s">
        <v>649</v>
      </c>
      <c r="Z605" s="18" t="s">
        <v>1126</v>
      </c>
      <c r="AA605" s="18">
        <v>3</v>
      </c>
      <c r="AC605" s="28" t="s">
        <v>2979</v>
      </c>
      <c r="AD605" s="28" t="s">
        <v>3024</v>
      </c>
      <c r="AE605" s="28" t="s">
        <v>2588</v>
      </c>
      <c r="AF605" s="28" t="s">
        <v>3025</v>
      </c>
      <c r="AG605" s="28" t="s">
        <v>3026</v>
      </c>
      <c r="AH605" s="28" t="s">
        <v>19</v>
      </c>
      <c r="AI605" s="28" t="s">
        <v>2301</v>
      </c>
      <c r="AJ605" s="28" t="s">
        <v>2297</v>
      </c>
      <c r="AK605" s="28" t="s">
        <v>13</v>
      </c>
      <c r="AL605" s="28" t="s">
        <v>2298</v>
      </c>
      <c r="AM605" s="114"/>
    </row>
    <row r="606" spans="21:39">
      <c r="U606" s="18">
        <v>604</v>
      </c>
      <c r="V606" s="18" t="s">
        <v>1515</v>
      </c>
      <c r="W606" s="18">
        <v>27</v>
      </c>
      <c r="X606" s="18" t="s">
        <v>17</v>
      </c>
      <c r="Y606" s="18" t="s">
        <v>649</v>
      </c>
      <c r="Z606" s="18" t="s">
        <v>837</v>
      </c>
      <c r="AA606" s="18">
        <v>4</v>
      </c>
      <c r="AC606" s="28" t="s">
        <v>2979</v>
      </c>
      <c r="AD606" s="28" t="s">
        <v>3027</v>
      </c>
      <c r="AE606" s="28" t="s">
        <v>2588</v>
      </c>
      <c r="AF606" s="28" t="s">
        <v>3018</v>
      </c>
      <c r="AG606" s="28" t="s">
        <v>3019</v>
      </c>
      <c r="AH606" s="28" t="s">
        <v>61</v>
      </c>
      <c r="AI606" s="28" t="s">
        <v>2297</v>
      </c>
      <c r="AJ606" s="28" t="s">
        <v>2302</v>
      </c>
      <c r="AK606" s="28" t="s">
        <v>66</v>
      </c>
      <c r="AL606" s="28" t="s">
        <v>2298</v>
      </c>
      <c r="AM606" s="114"/>
    </row>
    <row r="607" spans="21:39">
      <c r="U607" s="18">
        <v>605</v>
      </c>
      <c r="V607" s="18" t="s">
        <v>1516</v>
      </c>
      <c r="W607" s="18">
        <v>27</v>
      </c>
      <c r="X607" s="18" t="s">
        <v>17</v>
      </c>
      <c r="Y607" s="18" t="s">
        <v>649</v>
      </c>
      <c r="Z607" s="18" t="s">
        <v>769</v>
      </c>
      <c r="AA607" s="18">
        <v>14</v>
      </c>
      <c r="AC607" s="28" t="s">
        <v>2979</v>
      </c>
      <c r="AD607" s="28" t="s">
        <v>3028</v>
      </c>
      <c r="AE607" s="28" t="s">
        <v>2717</v>
      </c>
      <c r="AF607" s="28" t="s">
        <v>3029</v>
      </c>
      <c r="AG607" s="28" t="s">
        <v>3030</v>
      </c>
      <c r="AH607" s="28" t="s">
        <v>12</v>
      </c>
      <c r="AI607" s="28" t="s">
        <v>2296</v>
      </c>
      <c r="AJ607" s="28" t="s">
        <v>2302</v>
      </c>
      <c r="AK607" s="28" t="s">
        <v>64</v>
      </c>
      <c r="AL607" s="28" t="s">
        <v>2298</v>
      </c>
      <c r="AM607" s="114"/>
    </row>
    <row r="608" spans="21:39">
      <c r="U608" s="18">
        <v>606</v>
      </c>
      <c r="V608" s="18" t="s">
        <v>1517</v>
      </c>
      <c r="W608" s="18">
        <v>31</v>
      </c>
      <c r="X608" s="18" t="s">
        <v>17</v>
      </c>
      <c r="Y608" s="18" t="s">
        <v>649</v>
      </c>
      <c r="Z608" s="18" t="s">
        <v>1518</v>
      </c>
      <c r="AA608" s="18">
        <v>15</v>
      </c>
      <c r="AC608" s="28" t="s">
        <v>2979</v>
      </c>
      <c r="AD608" s="28" t="s">
        <v>3031</v>
      </c>
      <c r="AE608" s="28" t="s">
        <v>2934</v>
      </c>
      <c r="AF608" s="28" t="s">
        <v>2993</v>
      </c>
      <c r="AG608" s="28" t="s">
        <v>2994</v>
      </c>
      <c r="AH608" s="28" t="s">
        <v>20</v>
      </c>
      <c r="AI608" s="28" t="s">
        <v>2297</v>
      </c>
      <c r="AJ608" s="28" t="s">
        <v>2305</v>
      </c>
      <c r="AK608" s="28" t="s">
        <v>63</v>
      </c>
      <c r="AL608" s="28" t="s">
        <v>2298</v>
      </c>
      <c r="AM608" s="114"/>
    </row>
    <row r="609" spans="21:39">
      <c r="U609" s="18">
        <v>607</v>
      </c>
      <c r="V609" s="18" t="s">
        <v>1519</v>
      </c>
      <c r="W609" s="18">
        <v>29</v>
      </c>
      <c r="X609" s="18" t="s">
        <v>17</v>
      </c>
      <c r="Y609" s="18" t="s">
        <v>649</v>
      </c>
      <c r="Z609" s="18" t="s">
        <v>820</v>
      </c>
      <c r="AA609" s="18">
        <v>20</v>
      </c>
      <c r="AC609" s="28" t="s">
        <v>2979</v>
      </c>
      <c r="AD609" s="28" t="s">
        <v>3032</v>
      </c>
      <c r="AE609" s="28" t="s">
        <v>2717</v>
      </c>
      <c r="AF609" s="28" t="s">
        <v>3033</v>
      </c>
      <c r="AG609" s="28" t="s">
        <v>3034</v>
      </c>
      <c r="AH609" s="28" t="s">
        <v>50</v>
      </c>
      <c r="AI609" s="28" t="s">
        <v>2297</v>
      </c>
      <c r="AJ609" s="28" t="s">
        <v>2297</v>
      </c>
      <c r="AK609" s="28" t="s">
        <v>25</v>
      </c>
      <c r="AL609" s="28" t="s">
        <v>2298</v>
      </c>
      <c r="AM609" s="114"/>
    </row>
    <row r="610" spans="21:39">
      <c r="U610" s="18">
        <v>608</v>
      </c>
      <c r="V610" s="18" t="s">
        <v>1520</v>
      </c>
      <c r="W610" s="18">
        <v>27</v>
      </c>
      <c r="X610" s="18" t="s">
        <v>17</v>
      </c>
      <c r="Y610" s="18" t="s">
        <v>657</v>
      </c>
      <c r="Z610" s="18" t="s">
        <v>975</v>
      </c>
      <c r="AA610" s="18">
        <v>5</v>
      </c>
      <c r="AC610" s="28" t="s">
        <v>2979</v>
      </c>
      <c r="AD610" s="28" t="s">
        <v>3035</v>
      </c>
      <c r="AE610" s="28" t="s">
        <v>2928</v>
      </c>
      <c r="AF610" s="28" t="s">
        <v>3036</v>
      </c>
      <c r="AG610" s="28" t="s">
        <v>3037</v>
      </c>
      <c r="AH610" s="28" t="s">
        <v>62</v>
      </c>
      <c r="AI610" s="28" t="s">
        <v>2297</v>
      </c>
      <c r="AJ610" s="28" t="s">
        <v>2302</v>
      </c>
      <c r="AK610" s="28" t="s">
        <v>58</v>
      </c>
      <c r="AL610" s="28" t="s">
        <v>2298</v>
      </c>
      <c r="AM610" s="114"/>
    </row>
    <row r="611" spans="21:39">
      <c r="U611" s="18">
        <v>609</v>
      </c>
      <c r="V611" s="18" t="s">
        <v>1521</v>
      </c>
      <c r="W611" s="18">
        <v>24</v>
      </c>
      <c r="X611" s="18" t="s">
        <v>17</v>
      </c>
      <c r="Y611" s="18" t="s">
        <v>657</v>
      </c>
      <c r="Z611" s="18" t="s">
        <v>944</v>
      </c>
      <c r="AA611" s="18">
        <v>8</v>
      </c>
      <c r="AC611" s="28" t="s">
        <v>2979</v>
      </c>
      <c r="AD611" s="28" t="s">
        <v>3038</v>
      </c>
      <c r="AE611" s="28" t="s">
        <v>2934</v>
      </c>
      <c r="AF611" s="28" t="s">
        <v>3039</v>
      </c>
      <c r="AG611" s="28" t="s">
        <v>3040</v>
      </c>
      <c r="AH611" s="28" t="s">
        <v>28</v>
      </c>
      <c r="AI611" s="28" t="s">
        <v>2305</v>
      </c>
      <c r="AJ611" s="28" t="s">
        <v>2297</v>
      </c>
      <c r="AK611" s="28" t="s">
        <v>67</v>
      </c>
      <c r="AL611" s="28" t="s">
        <v>2298</v>
      </c>
      <c r="AM611" s="114"/>
    </row>
    <row r="612" spans="21:39">
      <c r="U612" s="18">
        <v>610</v>
      </c>
      <c r="V612" s="18" t="s">
        <v>1522</v>
      </c>
      <c r="W612" s="18">
        <v>23</v>
      </c>
      <c r="X612" s="18" t="s">
        <v>17</v>
      </c>
      <c r="Y612" s="18" t="s">
        <v>657</v>
      </c>
      <c r="Z612" s="18" t="s">
        <v>1523</v>
      </c>
      <c r="AA612" s="18">
        <v>24</v>
      </c>
      <c r="AC612" s="28" t="s">
        <v>2979</v>
      </c>
      <c r="AD612" s="28" t="s">
        <v>3041</v>
      </c>
      <c r="AE612" s="28" t="s">
        <v>2719</v>
      </c>
      <c r="AF612" s="28" t="s">
        <v>3018</v>
      </c>
      <c r="AG612" s="28" t="s">
        <v>3019</v>
      </c>
      <c r="AH612" s="28" t="s">
        <v>2425</v>
      </c>
      <c r="AI612" s="28" t="s">
        <v>2297</v>
      </c>
      <c r="AJ612" s="28" t="s">
        <v>2297</v>
      </c>
      <c r="AK612" s="28" t="s">
        <v>6</v>
      </c>
      <c r="AL612" s="28" t="s">
        <v>2298</v>
      </c>
      <c r="AM612" s="114"/>
    </row>
    <row r="613" spans="21:39">
      <c r="U613" s="18">
        <v>611</v>
      </c>
      <c r="V613" s="18" t="s">
        <v>1524</v>
      </c>
      <c r="W613" s="18">
        <v>28</v>
      </c>
      <c r="X613" s="18" t="s">
        <v>17</v>
      </c>
      <c r="Y613" s="18" t="s">
        <v>661</v>
      </c>
      <c r="Z613" s="18" t="s">
        <v>1053</v>
      </c>
      <c r="AA613" s="18">
        <v>6</v>
      </c>
      <c r="AC613" s="28" t="s">
        <v>2979</v>
      </c>
      <c r="AD613" s="28" t="s">
        <v>3042</v>
      </c>
      <c r="AE613" s="28" t="s">
        <v>2719</v>
      </c>
      <c r="AF613" s="28" t="s">
        <v>3025</v>
      </c>
      <c r="AG613" s="28" t="s">
        <v>3026</v>
      </c>
      <c r="AH613" s="28" t="s">
        <v>30</v>
      </c>
      <c r="AI613" s="28" t="s">
        <v>2296</v>
      </c>
      <c r="AJ613" s="28" t="s">
        <v>2302</v>
      </c>
      <c r="AK613" s="28" t="s">
        <v>37</v>
      </c>
      <c r="AL613" s="28" t="s">
        <v>2298</v>
      </c>
      <c r="AM613" s="114"/>
    </row>
    <row r="614" spans="21:39">
      <c r="U614" s="18">
        <v>612</v>
      </c>
      <c r="V614" s="18" t="s">
        <v>1525</v>
      </c>
      <c r="W614" s="18">
        <v>27</v>
      </c>
      <c r="X614" s="18" t="s">
        <v>17</v>
      </c>
      <c r="Y614" s="18" t="s">
        <v>661</v>
      </c>
      <c r="Z614" s="18" t="s">
        <v>1526</v>
      </c>
      <c r="AA614" s="18">
        <v>21</v>
      </c>
      <c r="AC614" s="28" t="s">
        <v>2979</v>
      </c>
      <c r="AD614" s="28" t="s">
        <v>3043</v>
      </c>
      <c r="AE614" s="28" t="s">
        <v>2928</v>
      </c>
      <c r="AF614" s="28" t="s">
        <v>3044</v>
      </c>
      <c r="AG614" s="28" t="s">
        <v>3045</v>
      </c>
      <c r="AH614" s="28" t="s">
        <v>42</v>
      </c>
      <c r="AI614" s="28" t="s">
        <v>2297</v>
      </c>
      <c r="AJ614" s="28" t="s">
        <v>2297</v>
      </c>
      <c r="AK614" s="28" t="s">
        <v>33</v>
      </c>
      <c r="AL614" s="28" t="s">
        <v>2298</v>
      </c>
      <c r="AM614" s="114"/>
    </row>
    <row r="615" spans="21:39">
      <c r="U615" s="18">
        <v>613</v>
      </c>
      <c r="V615" s="18" t="s">
        <v>1527</v>
      </c>
      <c r="W615" s="18">
        <v>30</v>
      </c>
      <c r="X615" s="18" t="s">
        <v>17</v>
      </c>
      <c r="Y615" s="18" t="s">
        <v>664</v>
      </c>
      <c r="Z615" s="18" t="s">
        <v>1528</v>
      </c>
      <c r="AA615" s="18">
        <v>16</v>
      </c>
      <c r="AC615" s="28" t="s">
        <v>2979</v>
      </c>
      <c r="AD615" s="28" t="s">
        <v>3046</v>
      </c>
      <c r="AE615" s="28" t="s">
        <v>2590</v>
      </c>
      <c r="AF615" s="28" t="s">
        <v>3033</v>
      </c>
      <c r="AG615" s="28" t="s">
        <v>3034</v>
      </c>
      <c r="AH615" s="28" t="s">
        <v>49</v>
      </c>
      <c r="AI615" s="28" t="s">
        <v>2305</v>
      </c>
      <c r="AJ615" s="28" t="s">
        <v>2302</v>
      </c>
      <c r="AK615" s="28" t="s">
        <v>5</v>
      </c>
      <c r="AL615" s="28" t="s">
        <v>2298</v>
      </c>
      <c r="AM615" s="114"/>
    </row>
    <row r="616" spans="21:39">
      <c r="U616" s="18">
        <v>614</v>
      </c>
      <c r="V616" s="18" t="s">
        <v>1529</v>
      </c>
      <c r="W616" s="18">
        <v>20</v>
      </c>
      <c r="X616" s="18" t="s">
        <v>17</v>
      </c>
      <c r="Y616" s="18" t="s">
        <v>669</v>
      </c>
      <c r="Z616" s="18" t="s">
        <v>1458</v>
      </c>
      <c r="AA616" s="18">
        <v>7</v>
      </c>
      <c r="AC616" s="28" t="s">
        <v>2979</v>
      </c>
      <c r="AD616" s="28" t="s">
        <v>3047</v>
      </c>
      <c r="AE616" s="28" t="s">
        <v>2590</v>
      </c>
      <c r="AF616" s="28" t="s">
        <v>3014</v>
      </c>
      <c r="AG616" s="28" t="s">
        <v>3015</v>
      </c>
      <c r="AH616" s="28" t="s">
        <v>65</v>
      </c>
      <c r="AI616" s="28" t="s">
        <v>2301</v>
      </c>
      <c r="AJ616" s="28" t="s">
        <v>2301</v>
      </c>
      <c r="AK616" s="28" t="s">
        <v>11</v>
      </c>
      <c r="AL616" s="28" t="s">
        <v>2298</v>
      </c>
      <c r="AM616" s="114"/>
    </row>
    <row r="617" spans="21:39">
      <c r="U617" s="18">
        <v>615</v>
      </c>
      <c r="V617" s="18" t="s">
        <v>1530</v>
      </c>
      <c r="W617" s="18">
        <v>22</v>
      </c>
      <c r="X617" s="18" t="s">
        <v>17</v>
      </c>
      <c r="Y617" s="18" t="s">
        <v>669</v>
      </c>
      <c r="Z617" s="18" t="s">
        <v>1159</v>
      </c>
      <c r="AA617" s="18">
        <v>18</v>
      </c>
      <c r="AC617" s="28" t="s">
        <v>2979</v>
      </c>
      <c r="AD617" s="28" t="s">
        <v>3048</v>
      </c>
      <c r="AE617" s="28" t="s">
        <v>2735</v>
      </c>
      <c r="AF617" s="28" t="s">
        <v>3036</v>
      </c>
      <c r="AG617" s="28" t="s">
        <v>3037</v>
      </c>
      <c r="AH617" s="28" t="s">
        <v>56</v>
      </c>
      <c r="AI617" s="28" t="s">
        <v>2302</v>
      </c>
      <c r="AJ617" s="28" t="s">
        <v>2301</v>
      </c>
      <c r="AK617" s="28" t="s">
        <v>3583</v>
      </c>
      <c r="AL617" s="28" t="s">
        <v>2298</v>
      </c>
      <c r="AM617" s="114"/>
    </row>
    <row r="618" spans="21:39">
      <c r="U618" s="18">
        <v>616</v>
      </c>
      <c r="V618" s="18" t="s">
        <v>1531</v>
      </c>
      <c r="W618" s="18">
        <v>27</v>
      </c>
      <c r="X618" s="18" t="s">
        <v>17</v>
      </c>
      <c r="Y618" s="18" t="s">
        <v>669</v>
      </c>
      <c r="Z618" s="18" t="s">
        <v>1450</v>
      </c>
      <c r="AA618" s="18">
        <v>19</v>
      </c>
      <c r="AC618" s="28" t="s">
        <v>2979</v>
      </c>
      <c r="AD618" s="28" t="s">
        <v>3048</v>
      </c>
      <c r="AE618" s="28" t="s">
        <v>2735</v>
      </c>
      <c r="AF618" s="28" t="s">
        <v>3049</v>
      </c>
      <c r="AG618" s="28" t="s">
        <v>3050</v>
      </c>
      <c r="AH618" s="28" t="s">
        <v>51</v>
      </c>
      <c r="AI618" s="28" t="s">
        <v>2302</v>
      </c>
      <c r="AJ618" s="28" t="s">
        <v>2305</v>
      </c>
      <c r="AK618" s="28" t="s">
        <v>18</v>
      </c>
      <c r="AL618" s="28" t="s">
        <v>2298</v>
      </c>
      <c r="AM618" s="114"/>
    </row>
    <row r="619" spans="21:39">
      <c r="U619" s="18">
        <v>617</v>
      </c>
      <c r="V619" s="18" t="s">
        <v>1532</v>
      </c>
      <c r="W619" s="18">
        <v>23</v>
      </c>
      <c r="X619" s="18" t="s">
        <v>17</v>
      </c>
      <c r="Y619" s="18" t="s">
        <v>669</v>
      </c>
      <c r="Z619" s="18" t="s">
        <v>908</v>
      </c>
      <c r="AA619" s="18">
        <v>22</v>
      </c>
      <c r="AC619" s="28" t="s">
        <v>2979</v>
      </c>
      <c r="AD619" s="28" t="s">
        <v>3051</v>
      </c>
      <c r="AE619" s="28" t="s">
        <v>2725</v>
      </c>
      <c r="AF619" s="28" t="s">
        <v>3039</v>
      </c>
      <c r="AG619" s="28" t="s">
        <v>3040</v>
      </c>
      <c r="AH619" s="28" t="s">
        <v>17</v>
      </c>
      <c r="AI619" s="28" t="s">
        <v>2297</v>
      </c>
      <c r="AJ619" s="28" t="s">
        <v>2297</v>
      </c>
      <c r="AK619" s="28" t="s">
        <v>9</v>
      </c>
      <c r="AL619" s="28" t="s">
        <v>2298</v>
      </c>
      <c r="AM619" s="114"/>
    </row>
    <row r="620" spans="21:39">
      <c r="U620" s="18">
        <v>618</v>
      </c>
      <c r="V620" s="18" t="s">
        <v>1533</v>
      </c>
      <c r="W620" s="18">
        <v>24</v>
      </c>
      <c r="X620" s="18" t="s">
        <v>17</v>
      </c>
      <c r="Y620" s="18" t="s">
        <v>675</v>
      </c>
      <c r="Z620" s="18" t="s">
        <v>815</v>
      </c>
      <c r="AA620" s="18">
        <v>10</v>
      </c>
      <c r="AC620" s="28" t="s">
        <v>2979</v>
      </c>
      <c r="AD620" s="28" t="s">
        <v>3051</v>
      </c>
      <c r="AE620" s="28" t="s">
        <v>2725</v>
      </c>
      <c r="AF620" s="28" t="s">
        <v>3052</v>
      </c>
      <c r="AG620" s="28" t="s">
        <v>3053</v>
      </c>
      <c r="AH620" s="28" t="s">
        <v>55</v>
      </c>
      <c r="AI620" s="28" t="s">
        <v>2302</v>
      </c>
      <c r="AJ620" s="28" t="s">
        <v>2302</v>
      </c>
      <c r="AK620" s="28" t="s">
        <v>23</v>
      </c>
      <c r="AL620" s="28" t="s">
        <v>2298</v>
      </c>
      <c r="AM620" s="114"/>
    </row>
    <row r="621" spans="21:39">
      <c r="U621" s="18">
        <v>619</v>
      </c>
      <c r="V621" s="18" t="s">
        <v>1534</v>
      </c>
      <c r="W621" s="18">
        <v>32</v>
      </c>
      <c r="X621" s="18" t="s">
        <v>17</v>
      </c>
      <c r="Y621" s="18" t="s">
        <v>675</v>
      </c>
      <c r="Z621" s="18" t="s">
        <v>843</v>
      </c>
      <c r="AA621" s="18">
        <v>13</v>
      </c>
      <c r="AC621" s="28" t="s">
        <v>2979</v>
      </c>
      <c r="AD621" s="28" t="s">
        <v>3054</v>
      </c>
      <c r="AE621" s="28" t="s">
        <v>2588</v>
      </c>
      <c r="AF621" s="28" t="s">
        <v>3029</v>
      </c>
      <c r="AG621" s="28" t="s">
        <v>3030</v>
      </c>
      <c r="AH621" s="28" t="s">
        <v>66</v>
      </c>
      <c r="AI621" s="28" t="s">
        <v>2297</v>
      </c>
      <c r="AJ621" s="28" t="s">
        <v>2301</v>
      </c>
      <c r="AK621" s="28" t="s">
        <v>13</v>
      </c>
      <c r="AL621" s="28" t="s">
        <v>2298</v>
      </c>
      <c r="AM621" s="114"/>
    </row>
    <row r="622" spans="21:39">
      <c r="U622" s="18">
        <v>620</v>
      </c>
      <c r="V622" s="18" t="s">
        <v>1535</v>
      </c>
      <c r="W622" s="18">
        <v>24</v>
      </c>
      <c r="X622" s="18" t="s">
        <v>17</v>
      </c>
      <c r="Y622" s="18" t="s">
        <v>679</v>
      </c>
      <c r="Z622" s="18" t="s">
        <v>1003</v>
      </c>
      <c r="AA622" s="18">
        <v>11</v>
      </c>
      <c r="AC622" s="28" t="s">
        <v>2979</v>
      </c>
      <c r="AD622" s="28" t="s">
        <v>3054</v>
      </c>
      <c r="AE622" s="28" t="s">
        <v>2588</v>
      </c>
      <c r="AF622" s="28" t="s">
        <v>3055</v>
      </c>
      <c r="AG622" s="28" t="s">
        <v>3056</v>
      </c>
      <c r="AH622" s="28" t="s">
        <v>61</v>
      </c>
      <c r="AI622" s="28" t="s">
        <v>2305</v>
      </c>
      <c r="AJ622" s="28" t="s">
        <v>2301</v>
      </c>
      <c r="AK622" s="28" t="s">
        <v>19</v>
      </c>
      <c r="AL622" s="28" t="s">
        <v>2298</v>
      </c>
      <c r="AM622" s="114"/>
    </row>
    <row r="623" spans="21:39">
      <c r="U623" s="18">
        <v>621</v>
      </c>
      <c r="V623" s="18" t="s">
        <v>1536</v>
      </c>
      <c r="W623" s="18">
        <v>27</v>
      </c>
      <c r="X623" s="18" t="s">
        <v>17</v>
      </c>
      <c r="Y623" s="18" t="s">
        <v>679</v>
      </c>
      <c r="Z623" s="18" t="s">
        <v>1537</v>
      </c>
      <c r="AA623" s="18">
        <v>26</v>
      </c>
      <c r="AC623" s="28" t="s">
        <v>2979</v>
      </c>
      <c r="AD623" s="28" t="s">
        <v>3057</v>
      </c>
      <c r="AE623" s="28" t="s">
        <v>2717</v>
      </c>
      <c r="AF623" s="28" t="s">
        <v>3014</v>
      </c>
      <c r="AG623" s="28" t="s">
        <v>3015</v>
      </c>
      <c r="AH623" s="28" t="s">
        <v>50</v>
      </c>
      <c r="AI623" s="28" t="s">
        <v>2305</v>
      </c>
      <c r="AJ623" s="28" t="s">
        <v>2338</v>
      </c>
      <c r="AK623" s="28" t="s">
        <v>12</v>
      </c>
      <c r="AL623" s="28" t="s">
        <v>2298</v>
      </c>
      <c r="AM623" s="114"/>
    </row>
    <row r="624" spans="21:39">
      <c r="U624" s="18">
        <v>622</v>
      </c>
      <c r="V624" s="18" t="s">
        <v>1538</v>
      </c>
      <c r="W624" s="18">
        <v>26</v>
      </c>
      <c r="X624" s="18" t="s">
        <v>17</v>
      </c>
      <c r="Y624" s="18" t="s">
        <v>683</v>
      </c>
      <c r="Z624" s="18" t="s">
        <v>981</v>
      </c>
      <c r="AA624" s="18">
        <v>9</v>
      </c>
      <c r="AC624" s="28" t="s">
        <v>2979</v>
      </c>
      <c r="AD624" s="28" t="s">
        <v>3057</v>
      </c>
      <c r="AE624" s="28" t="s">
        <v>2717</v>
      </c>
      <c r="AF624" s="28" t="s">
        <v>2981</v>
      </c>
      <c r="AG624" s="28" t="s">
        <v>2982</v>
      </c>
      <c r="AH624" s="28" t="s">
        <v>25</v>
      </c>
      <c r="AI624" s="28" t="s">
        <v>2301</v>
      </c>
      <c r="AJ624" s="28" t="s">
        <v>2302</v>
      </c>
      <c r="AK624" s="28" t="s">
        <v>64</v>
      </c>
      <c r="AL624" s="28" t="s">
        <v>2298</v>
      </c>
      <c r="AM624" s="114"/>
    </row>
    <row r="625" spans="21:39">
      <c r="U625" s="18">
        <v>623</v>
      </c>
      <c r="V625" s="18" t="s">
        <v>1539</v>
      </c>
      <c r="W625" s="18">
        <v>28</v>
      </c>
      <c r="X625" s="18" t="s">
        <v>17</v>
      </c>
      <c r="Y625" s="18" t="s">
        <v>683</v>
      </c>
      <c r="Z625" s="18" t="s">
        <v>986</v>
      </c>
      <c r="AA625" s="18">
        <v>17</v>
      </c>
      <c r="AC625" s="28" t="s">
        <v>2979</v>
      </c>
      <c r="AD625" s="28" t="s">
        <v>3058</v>
      </c>
      <c r="AE625" s="28" t="s">
        <v>2934</v>
      </c>
      <c r="AF625" s="28" t="s">
        <v>3036</v>
      </c>
      <c r="AG625" s="28" t="s">
        <v>3037</v>
      </c>
      <c r="AH625" s="28" t="s">
        <v>67</v>
      </c>
      <c r="AI625" s="28" t="s">
        <v>2297</v>
      </c>
      <c r="AJ625" s="28" t="s">
        <v>2302</v>
      </c>
      <c r="AK625" s="28" t="s">
        <v>63</v>
      </c>
      <c r="AL625" s="28" t="s">
        <v>2298</v>
      </c>
      <c r="AM625" s="114"/>
    </row>
    <row r="626" spans="21:39">
      <c r="U626" s="18">
        <v>624</v>
      </c>
      <c r="V626" s="18" t="s">
        <v>1540</v>
      </c>
      <c r="W626" s="18">
        <v>29</v>
      </c>
      <c r="X626" s="18" t="s">
        <v>17</v>
      </c>
      <c r="Y626" s="18" t="s">
        <v>683</v>
      </c>
      <c r="Z626" s="18" t="s">
        <v>1332</v>
      </c>
      <c r="AA626" s="18">
        <v>25</v>
      </c>
      <c r="AC626" s="28" t="s">
        <v>2979</v>
      </c>
      <c r="AD626" s="28" t="s">
        <v>3058</v>
      </c>
      <c r="AE626" s="28" t="s">
        <v>2934</v>
      </c>
      <c r="AF626" s="28" t="s">
        <v>3044</v>
      </c>
      <c r="AG626" s="28" t="s">
        <v>3045</v>
      </c>
      <c r="AH626" s="28" t="s">
        <v>28</v>
      </c>
      <c r="AI626" s="28" t="s">
        <v>2297</v>
      </c>
      <c r="AJ626" s="28" t="s">
        <v>2297</v>
      </c>
      <c r="AK626" s="28" t="s">
        <v>20</v>
      </c>
      <c r="AL626" s="28" t="s">
        <v>2298</v>
      </c>
      <c r="AM626" s="114"/>
    </row>
    <row r="627" spans="21:39">
      <c r="U627" s="18">
        <v>625</v>
      </c>
      <c r="V627" s="18" t="s">
        <v>1541</v>
      </c>
      <c r="W627" s="18">
        <v>34</v>
      </c>
      <c r="X627" s="18" t="s">
        <v>33</v>
      </c>
      <c r="Y627" s="18" t="s">
        <v>642</v>
      </c>
      <c r="Z627" s="18" t="s">
        <v>584</v>
      </c>
      <c r="AA627" s="18">
        <v>1</v>
      </c>
      <c r="AC627" s="28" t="s">
        <v>2979</v>
      </c>
      <c r="AD627" s="28" t="s">
        <v>3059</v>
      </c>
      <c r="AE627" s="28" t="s">
        <v>2928</v>
      </c>
      <c r="AF627" s="28" t="s">
        <v>3052</v>
      </c>
      <c r="AG627" s="28" t="s">
        <v>3053</v>
      </c>
      <c r="AH627" s="28" t="s">
        <v>42</v>
      </c>
      <c r="AI627" s="28" t="s">
        <v>2302</v>
      </c>
      <c r="AJ627" s="28" t="s">
        <v>2305</v>
      </c>
      <c r="AK627" s="28" t="s">
        <v>62</v>
      </c>
      <c r="AL627" s="28" t="s">
        <v>2298</v>
      </c>
      <c r="AM627" s="114"/>
    </row>
    <row r="628" spans="21:39">
      <c r="U628" s="18">
        <v>626</v>
      </c>
      <c r="V628" s="18" t="s">
        <v>1542</v>
      </c>
      <c r="W628" s="18">
        <v>23</v>
      </c>
      <c r="X628" s="18" t="s">
        <v>33</v>
      </c>
      <c r="Y628" s="18" t="s">
        <v>642</v>
      </c>
      <c r="Z628" s="18" t="s">
        <v>996</v>
      </c>
      <c r="AA628" s="18">
        <v>12</v>
      </c>
      <c r="AC628" s="28" t="s">
        <v>2979</v>
      </c>
      <c r="AD628" s="28" t="s">
        <v>3060</v>
      </c>
      <c r="AE628" s="28" t="s">
        <v>2719</v>
      </c>
      <c r="AF628" s="28" t="s">
        <v>3033</v>
      </c>
      <c r="AG628" s="28" t="s">
        <v>3034</v>
      </c>
      <c r="AH628" s="28" t="s">
        <v>30</v>
      </c>
      <c r="AI628" s="28" t="s">
        <v>2302</v>
      </c>
      <c r="AJ628" s="28" t="s">
        <v>2297</v>
      </c>
      <c r="AK628" s="28" t="s">
        <v>2425</v>
      </c>
      <c r="AL628" s="28" t="s">
        <v>2298</v>
      </c>
      <c r="AM628" s="114"/>
    </row>
    <row r="629" spans="21:39">
      <c r="U629" s="18">
        <v>627</v>
      </c>
      <c r="V629" s="18" t="s">
        <v>1543</v>
      </c>
      <c r="W629" s="18">
        <v>20</v>
      </c>
      <c r="X629" s="18" t="s">
        <v>33</v>
      </c>
      <c r="Y629" s="18" t="s">
        <v>642</v>
      </c>
      <c r="Z629" s="18" t="s">
        <v>1086</v>
      </c>
      <c r="AA629" s="18">
        <v>13</v>
      </c>
      <c r="AC629" s="28" t="s">
        <v>2979</v>
      </c>
      <c r="AD629" s="28" t="s">
        <v>3060</v>
      </c>
      <c r="AE629" s="28" t="s">
        <v>2719</v>
      </c>
      <c r="AF629" s="28" t="s">
        <v>3055</v>
      </c>
      <c r="AG629" s="28" t="s">
        <v>3056</v>
      </c>
      <c r="AH629" s="28" t="s">
        <v>37</v>
      </c>
      <c r="AI629" s="28" t="s">
        <v>2301</v>
      </c>
      <c r="AJ629" s="28" t="s">
        <v>2297</v>
      </c>
      <c r="AK629" s="28" t="s">
        <v>6</v>
      </c>
      <c r="AL629" s="28" t="s">
        <v>2298</v>
      </c>
      <c r="AM629" s="114"/>
    </row>
    <row r="630" spans="21:39">
      <c r="U630" s="18">
        <v>628</v>
      </c>
      <c r="V630" s="18" t="s">
        <v>1544</v>
      </c>
      <c r="W630" s="18">
        <v>22</v>
      </c>
      <c r="X630" s="18" t="s">
        <v>33</v>
      </c>
      <c r="Y630" s="18" t="s">
        <v>649</v>
      </c>
      <c r="Z630" s="18" t="s">
        <v>1388</v>
      </c>
      <c r="AA630" s="18">
        <v>2</v>
      </c>
      <c r="AC630" s="28" t="s">
        <v>2979</v>
      </c>
      <c r="AD630" s="28" t="s">
        <v>3059</v>
      </c>
      <c r="AE630" s="28" t="s">
        <v>2928</v>
      </c>
      <c r="AF630" s="28" t="s">
        <v>3049</v>
      </c>
      <c r="AG630" s="28" t="s">
        <v>3050</v>
      </c>
      <c r="AH630" s="28" t="s">
        <v>33</v>
      </c>
      <c r="AI630" s="28" t="s">
        <v>2301</v>
      </c>
      <c r="AJ630" s="28" t="s">
        <v>2305</v>
      </c>
      <c r="AK630" s="28" t="s">
        <v>58</v>
      </c>
      <c r="AL630" s="28" t="s">
        <v>2298</v>
      </c>
      <c r="AM630" s="114"/>
    </row>
    <row r="631" spans="21:39">
      <c r="U631" s="18">
        <v>629</v>
      </c>
      <c r="V631" s="18" t="s">
        <v>1545</v>
      </c>
      <c r="W631" s="18">
        <v>26</v>
      </c>
      <c r="X631" s="18" t="s">
        <v>33</v>
      </c>
      <c r="Y631" s="18" t="s">
        <v>649</v>
      </c>
      <c r="Z631" s="18" t="s">
        <v>953</v>
      </c>
      <c r="AA631" s="18">
        <v>3</v>
      </c>
      <c r="AC631" s="28" t="s">
        <v>2979</v>
      </c>
      <c r="AD631" s="28" t="s">
        <v>3061</v>
      </c>
      <c r="AE631" s="28" t="s">
        <v>170</v>
      </c>
      <c r="AF631" s="28" t="s">
        <v>2987</v>
      </c>
      <c r="AG631" s="28" t="s">
        <v>2988</v>
      </c>
      <c r="AH631" s="28" t="s">
        <v>49</v>
      </c>
      <c r="AI631" s="28" t="s">
        <v>2302</v>
      </c>
      <c r="AJ631" s="28" t="s">
        <v>2301</v>
      </c>
      <c r="AK631" s="28" t="s">
        <v>23</v>
      </c>
      <c r="AL631" s="28" t="s">
        <v>2298</v>
      </c>
      <c r="AM631" s="114"/>
    </row>
    <row r="632" spans="21:39">
      <c r="U632" s="18">
        <v>630</v>
      </c>
      <c r="V632" s="18" t="s">
        <v>1546</v>
      </c>
      <c r="W632" s="18">
        <v>33</v>
      </c>
      <c r="X632" s="18" t="s">
        <v>33</v>
      </c>
      <c r="Y632" s="18" t="s">
        <v>649</v>
      </c>
      <c r="Z632" s="18" t="s">
        <v>1332</v>
      </c>
      <c r="AA632" s="18">
        <v>4</v>
      </c>
      <c r="AC632" s="28" t="s">
        <v>2979</v>
      </c>
      <c r="AD632" s="28" t="s">
        <v>3062</v>
      </c>
      <c r="AE632" s="28" t="s">
        <v>170</v>
      </c>
      <c r="AF632" s="28" t="s">
        <v>3029</v>
      </c>
      <c r="AG632" s="28" t="s">
        <v>3030</v>
      </c>
      <c r="AH632" s="28" t="s">
        <v>18</v>
      </c>
      <c r="AI632" s="28" t="s">
        <v>2297</v>
      </c>
      <c r="AJ632" s="28" t="s">
        <v>2302</v>
      </c>
      <c r="AK632" s="28" t="s">
        <v>13</v>
      </c>
      <c r="AL632" s="28" t="s">
        <v>2298</v>
      </c>
      <c r="AM632" s="114"/>
    </row>
    <row r="633" spans="21:39">
      <c r="U633" s="18">
        <v>631</v>
      </c>
      <c r="V633" s="18" t="s">
        <v>1547</v>
      </c>
      <c r="W633" s="18">
        <v>23</v>
      </c>
      <c r="X633" s="18" t="s">
        <v>33</v>
      </c>
      <c r="Y633" s="18" t="s">
        <v>649</v>
      </c>
      <c r="Z633" s="18" t="s">
        <v>731</v>
      </c>
      <c r="AA633" s="18">
        <v>16</v>
      </c>
      <c r="AC633" s="28" t="s">
        <v>2979</v>
      </c>
      <c r="AD633" s="28" t="s">
        <v>3063</v>
      </c>
      <c r="AE633" s="28" t="s">
        <v>170</v>
      </c>
      <c r="AF633" s="28" t="s">
        <v>3014</v>
      </c>
      <c r="AG633" s="28" t="s">
        <v>3015</v>
      </c>
      <c r="AH633" s="28" t="s">
        <v>19</v>
      </c>
      <c r="AI633" s="28" t="s">
        <v>2297</v>
      </c>
      <c r="AJ633" s="28" t="s">
        <v>2297</v>
      </c>
      <c r="AK633" s="28" t="s">
        <v>3583</v>
      </c>
      <c r="AL633" s="28" t="s">
        <v>3064</v>
      </c>
      <c r="AM633" s="114"/>
    </row>
    <row r="634" spans="21:39">
      <c r="U634" s="18">
        <v>632</v>
      </c>
      <c r="V634" s="18" t="s">
        <v>1548</v>
      </c>
      <c r="W634" s="18">
        <v>23</v>
      </c>
      <c r="X634" s="18" t="s">
        <v>33</v>
      </c>
      <c r="Y634" s="18" t="s">
        <v>649</v>
      </c>
      <c r="Z634" s="18" t="s">
        <v>1082</v>
      </c>
      <c r="AA634" s="18">
        <v>25</v>
      </c>
      <c r="AC634" s="28" t="s">
        <v>2979</v>
      </c>
      <c r="AD634" s="28" t="s">
        <v>3065</v>
      </c>
      <c r="AE634" s="28" t="s">
        <v>170</v>
      </c>
      <c r="AF634" s="28" t="s">
        <v>3044</v>
      </c>
      <c r="AG634" s="28" t="s">
        <v>3045</v>
      </c>
      <c r="AH634" s="28" t="s">
        <v>17</v>
      </c>
      <c r="AI634" s="28" t="s">
        <v>2297</v>
      </c>
      <c r="AJ634" s="28" t="s">
        <v>2305</v>
      </c>
      <c r="AK634" s="28" t="s">
        <v>65</v>
      </c>
      <c r="AL634" s="28" t="s">
        <v>3066</v>
      </c>
      <c r="AM634" s="114"/>
    </row>
    <row r="635" spans="21:39">
      <c r="U635" s="18">
        <v>633</v>
      </c>
      <c r="V635" s="18" t="s">
        <v>1549</v>
      </c>
      <c r="W635" s="18">
        <v>25</v>
      </c>
      <c r="X635" s="18" t="s">
        <v>33</v>
      </c>
      <c r="Y635" s="18" t="s">
        <v>657</v>
      </c>
      <c r="Z635" s="18" t="s">
        <v>1159</v>
      </c>
      <c r="AA635" s="18">
        <v>5</v>
      </c>
      <c r="AC635" s="28" t="s">
        <v>2979</v>
      </c>
      <c r="AD635" s="28" t="s">
        <v>3067</v>
      </c>
      <c r="AE635" s="28" t="s">
        <v>170</v>
      </c>
      <c r="AF635" s="28" t="s">
        <v>3011</v>
      </c>
      <c r="AG635" s="28" t="s">
        <v>3012</v>
      </c>
      <c r="AH635" s="28" t="s">
        <v>12</v>
      </c>
      <c r="AI635" s="28" t="s">
        <v>2305</v>
      </c>
      <c r="AJ635" s="28" t="s">
        <v>2302</v>
      </c>
      <c r="AK635" s="28" t="s">
        <v>33</v>
      </c>
      <c r="AL635" s="28" t="s">
        <v>2298</v>
      </c>
      <c r="AM635" s="114"/>
    </row>
    <row r="636" spans="21:39">
      <c r="U636" s="18">
        <v>634</v>
      </c>
      <c r="V636" s="18" t="s">
        <v>1550</v>
      </c>
      <c r="W636" s="18">
        <v>21</v>
      </c>
      <c r="X636" s="18" t="s">
        <v>33</v>
      </c>
      <c r="Y636" s="18" t="s">
        <v>657</v>
      </c>
      <c r="Z636" s="18" t="s">
        <v>1332</v>
      </c>
      <c r="AA636" s="18">
        <v>18</v>
      </c>
      <c r="AC636" s="28" t="s">
        <v>2979</v>
      </c>
      <c r="AD636" s="28" t="s">
        <v>3068</v>
      </c>
      <c r="AE636" s="28" t="s">
        <v>170</v>
      </c>
      <c r="AF636" s="28" t="s">
        <v>3025</v>
      </c>
      <c r="AG636" s="28" t="s">
        <v>3026</v>
      </c>
      <c r="AH636" s="28" t="s">
        <v>28</v>
      </c>
      <c r="AI636" s="28" t="s">
        <v>2302</v>
      </c>
      <c r="AJ636" s="28" t="s">
        <v>2305</v>
      </c>
      <c r="AK636" s="28" t="s">
        <v>6</v>
      </c>
      <c r="AL636" s="28" t="s">
        <v>2298</v>
      </c>
      <c r="AM636" s="114"/>
    </row>
    <row r="637" spans="21:39">
      <c r="U637" s="18">
        <v>635</v>
      </c>
      <c r="V637" s="18" t="s">
        <v>1551</v>
      </c>
      <c r="W637" s="18">
        <v>34</v>
      </c>
      <c r="X637" s="18" t="s">
        <v>33</v>
      </c>
      <c r="Y637" s="18" t="s">
        <v>661</v>
      </c>
      <c r="Z637" s="18" t="s">
        <v>1082</v>
      </c>
      <c r="AA637" s="18">
        <v>15</v>
      </c>
      <c r="AC637" s="28" t="s">
        <v>2979</v>
      </c>
      <c r="AD637" s="28" t="s">
        <v>3069</v>
      </c>
      <c r="AE637" s="28" t="s">
        <v>170</v>
      </c>
      <c r="AF637" s="28" t="s">
        <v>3039</v>
      </c>
      <c r="AG637" s="28" t="s">
        <v>3040</v>
      </c>
      <c r="AH637" s="28" t="s">
        <v>62</v>
      </c>
      <c r="AI637" s="28" t="s">
        <v>2302</v>
      </c>
      <c r="AJ637" s="28" t="s">
        <v>2297</v>
      </c>
      <c r="AK637" s="28" t="s">
        <v>25</v>
      </c>
      <c r="AL637" s="28" t="s">
        <v>2298</v>
      </c>
      <c r="AM637" s="114"/>
    </row>
    <row r="638" spans="21:39">
      <c r="U638" s="18">
        <v>636</v>
      </c>
      <c r="V638" s="18" t="s">
        <v>1552</v>
      </c>
      <c r="W638" s="18">
        <v>30</v>
      </c>
      <c r="X638" s="18" t="s">
        <v>33</v>
      </c>
      <c r="Y638" s="18" t="s">
        <v>661</v>
      </c>
      <c r="Z638" s="18" t="s">
        <v>729</v>
      </c>
      <c r="AA638" s="18">
        <v>21</v>
      </c>
      <c r="AC638" s="28" t="s">
        <v>2979</v>
      </c>
      <c r="AD638" s="28" t="s">
        <v>3070</v>
      </c>
      <c r="AE638" s="28" t="s">
        <v>170</v>
      </c>
      <c r="AF638" s="28" t="s">
        <v>3055</v>
      </c>
      <c r="AG638" s="28" t="s">
        <v>3056</v>
      </c>
      <c r="AH638" s="28" t="s">
        <v>2425</v>
      </c>
      <c r="AI638" s="28" t="s">
        <v>2305</v>
      </c>
      <c r="AJ638" s="28" t="s">
        <v>2297</v>
      </c>
      <c r="AK638" s="28" t="s">
        <v>20</v>
      </c>
      <c r="AL638" s="28" t="s">
        <v>3066</v>
      </c>
      <c r="AM638" s="114"/>
    </row>
    <row r="639" spans="21:39">
      <c r="U639" s="18">
        <v>637</v>
      </c>
      <c r="V639" s="18" t="s">
        <v>1553</v>
      </c>
      <c r="W639" s="18">
        <v>37</v>
      </c>
      <c r="X639" s="18" t="s">
        <v>33</v>
      </c>
      <c r="Y639" s="18" t="s">
        <v>664</v>
      </c>
      <c r="Z639" s="18" t="s">
        <v>1084</v>
      </c>
      <c r="AA639" s="18">
        <v>6</v>
      </c>
      <c r="AC639" s="28" t="s">
        <v>2979</v>
      </c>
      <c r="AD639" s="28" t="s">
        <v>3071</v>
      </c>
      <c r="AE639" s="28" t="s">
        <v>135</v>
      </c>
      <c r="AF639" s="28" t="s">
        <v>3049</v>
      </c>
      <c r="AG639" s="28" t="s">
        <v>3050</v>
      </c>
      <c r="AH639" s="28" t="s">
        <v>23</v>
      </c>
      <c r="AI639" s="28" t="s">
        <v>2297</v>
      </c>
      <c r="AJ639" s="28" t="s">
        <v>2305</v>
      </c>
      <c r="AK639" s="28" t="s">
        <v>12</v>
      </c>
      <c r="AL639" s="28" t="s">
        <v>2298</v>
      </c>
      <c r="AM639" s="114"/>
    </row>
    <row r="640" spans="21:39">
      <c r="U640" s="18">
        <v>638</v>
      </c>
      <c r="V640" s="18" t="s">
        <v>1554</v>
      </c>
      <c r="W640" s="18">
        <v>24</v>
      </c>
      <c r="X640" s="18" t="s">
        <v>33</v>
      </c>
      <c r="Y640" s="18" t="s">
        <v>664</v>
      </c>
      <c r="Z640" s="18" t="s">
        <v>1126</v>
      </c>
      <c r="AA640" s="18">
        <v>24</v>
      </c>
      <c r="AC640" s="28" t="s">
        <v>2979</v>
      </c>
      <c r="AD640" s="28" t="s">
        <v>3072</v>
      </c>
      <c r="AE640" s="28" t="s">
        <v>135</v>
      </c>
      <c r="AF640" s="28" t="s">
        <v>2984</v>
      </c>
      <c r="AG640" s="28" t="s">
        <v>2985</v>
      </c>
      <c r="AH640" s="28" t="s">
        <v>18</v>
      </c>
      <c r="AI640" s="28" t="s">
        <v>2297</v>
      </c>
      <c r="AJ640" s="28" t="s">
        <v>2302</v>
      </c>
      <c r="AK640" s="28" t="s">
        <v>6</v>
      </c>
      <c r="AL640" s="28" t="s">
        <v>2298</v>
      </c>
      <c r="AM640" s="114"/>
    </row>
    <row r="641" spans="21:39">
      <c r="U641" s="18">
        <v>639</v>
      </c>
      <c r="V641" s="18" t="s">
        <v>1555</v>
      </c>
      <c r="W641" s="18">
        <v>29</v>
      </c>
      <c r="X641" s="18" t="s">
        <v>33</v>
      </c>
      <c r="Y641" s="18" t="s">
        <v>669</v>
      </c>
      <c r="Z641" s="18" t="s">
        <v>1126</v>
      </c>
      <c r="AA641" s="18">
        <v>8</v>
      </c>
      <c r="AC641" s="28" t="s">
        <v>2979</v>
      </c>
      <c r="AD641" s="28" t="s">
        <v>3073</v>
      </c>
      <c r="AE641" s="28" t="s">
        <v>135</v>
      </c>
      <c r="AF641" s="28" t="s">
        <v>3052</v>
      </c>
      <c r="AG641" s="28" t="s">
        <v>3053</v>
      </c>
      <c r="AH641" s="28" t="s">
        <v>65</v>
      </c>
      <c r="AI641" s="28" t="s">
        <v>2302</v>
      </c>
      <c r="AJ641" s="28" t="s">
        <v>2297</v>
      </c>
      <c r="AK641" s="28" t="s">
        <v>25</v>
      </c>
      <c r="AL641" s="28" t="s">
        <v>3066</v>
      </c>
      <c r="AM641" s="114"/>
    </row>
    <row r="642" spans="21:39">
      <c r="U642" s="18">
        <v>640</v>
      </c>
      <c r="V642" s="18" t="s">
        <v>1556</v>
      </c>
      <c r="W642" s="18">
        <v>33</v>
      </c>
      <c r="X642" s="18" t="s">
        <v>33</v>
      </c>
      <c r="Y642" s="18" t="s">
        <v>669</v>
      </c>
      <c r="Z642" s="18" t="s">
        <v>1332</v>
      </c>
      <c r="AA642" s="18">
        <v>20</v>
      </c>
      <c r="AC642" s="28" t="s">
        <v>2979</v>
      </c>
      <c r="AD642" s="28" t="s">
        <v>3074</v>
      </c>
      <c r="AE642" s="28" t="s">
        <v>135</v>
      </c>
      <c r="AF642" s="28" t="s">
        <v>3002</v>
      </c>
      <c r="AG642" s="28" t="s">
        <v>3003</v>
      </c>
      <c r="AH642" s="28" t="s">
        <v>19</v>
      </c>
      <c r="AI642" s="28" t="s">
        <v>2302</v>
      </c>
      <c r="AJ642" s="28" t="s">
        <v>2302</v>
      </c>
      <c r="AK642" s="28" t="s">
        <v>2425</v>
      </c>
      <c r="AL642" s="28" t="s">
        <v>3075</v>
      </c>
      <c r="AM642" s="114"/>
    </row>
    <row r="643" spans="21:39">
      <c r="U643" s="18">
        <v>641</v>
      </c>
      <c r="V643" s="18" t="s">
        <v>1557</v>
      </c>
      <c r="W643" s="18">
        <v>25</v>
      </c>
      <c r="X643" s="18" t="s">
        <v>33</v>
      </c>
      <c r="Y643" s="18" t="s">
        <v>669</v>
      </c>
      <c r="Z643" s="18" t="s">
        <v>880</v>
      </c>
      <c r="AA643" s="18">
        <v>23</v>
      </c>
      <c r="AC643" s="28" t="s">
        <v>2979</v>
      </c>
      <c r="AD643" s="28" t="s">
        <v>3076</v>
      </c>
      <c r="AE643" s="28" t="s">
        <v>106</v>
      </c>
      <c r="AF643" s="28" t="s">
        <v>2981</v>
      </c>
      <c r="AG643" s="28" t="s">
        <v>2982</v>
      </c>
      <c r="AH643" s="28" t="s">
        <v>18</v>
      </c>
      <c r="AI643" s="28" t="s">
        <v>2297</v>
      </c>
      <c r="AJ643" s="28" t="s">
        <v>2302</v>
      </c>
      <c r="AK643" s="28" t="s">
        <v>2425</v>
      </c>
      <c r="AL643" s="28" t="s">
        <v>2298</v>
      </c>
      <c r="AM643" s="114"/>
    </row>
    <row r="644" spans="21:39">
      <c r="U644" s="18">
        <v>642</v>
      </c>
      <c r="V644" s="18" t="s">
        <v>1558</v>
      </c>
      <c r="W644" s="18">
        <v>34</v>
      </c>
      <c r="X644" s="18" t="s">
        <v>33</v>
      </c>
      <c r="Y644" s="18" t="s">
        <v>675</v>
      </c>
      <c r="Z644" s="18" t="s">
        <v>1124</v>
      </c>
      <c r="AA644" s="18">
        <v>7</v>
      </c>
      <c r="AC644" s="28" t="s">
        <v>2979</v>
      </c>
      <c r="AD644" s="28" t="s">
        <v>3077</v>
      </c>
      <c r="AE644" s="28" t="s">
        <v>106</v>
      </c>
      <c r="AF644" s="28" t="s">
        <v>2999</v>
      </c>
      <c r="AG644" s="28" t="s">
        <v>3000</v>
      </c>
      <c r="AH644" s="28" t="s">
        <v>12</v>
      </c>
      <c r="AI644" s="28" t="s">
        <v>2297</v>
      </c>
      <c r="AJ644" s="28" t="s">
        <v>2302</v>
      </c>
      <c r="AK644" s="28" t="s">
        <v>25</v>
      </c>
      <c r="AL644" s="28" t="s">
        <v>2298</v>
      </c>
      <c r="AM644" s="114"/>
    </row>
    <row r="645" spans="21:39">
      <c r="U645" s="18">
        <v>643</v>
      </c>
      <c r="V645" s="18" t="s">
        <v>1559</v>
      </c>
      <c r="W645" s="18">
        <v>21</v>
      </c>
      <c r="X645" s="18" t="s">
        <v>33</v>
      </c>
      <c r="Y645" s="18" t="s">
        <v>675</v>
      </c>
      <c r="Z645" s="18" t="s">
        <v>1086</v>
      </c>
      <c r="AA645" s="18">
        <v>19</v>
      </c>
      <c r="AC645" s="28" t="s">
        <v>2979</v>
      </c>
      <c r="AD645" s="28" t="s">
        <v>3078</v>
      </c>
      <c r="AE645" s="28" t="s">
        <v>3079</v>
      </c>
      <c r="AF645" s="28" t="s">
        <v>3018</v>
      </c>
      <c r="AG645" s="28" t="s">
        <v>3019</v>
      </c>
      <c r="AH645" s="28" t="s">
        <v>2425</v>
      </c>
      <c r="AI645" s="28" t="s">
        <v>2305</v>
      </c>
      <c r="AJ645" s="28" t="s">
        <v>2301</v>
      </c>
      <c r="AK645" s="28" t="s">
        <v>25</v>
      </c>
      <c r="AL645" s="28" t="s">
        <v>2298</v>
      </c>
      <c r="AM645" s="114"/>
    </row>
    <row r="646" spans="21:39">
      <c r="U646" s="18">
        <v>644</v>
      </c>
      <c r="V646" s="18" t="s">
        <v>1560</v>
      </c>
      <c r="W646" s="18">
        <v>31</v>
      </c>
      <c r="X646" s="18" t="s">
        <v>33</v>
      </c>
      <c r="Y646" s="18" t="s">
        <v>679</v>
      </c>
      <c r="Z646" s="18" t="s">
        <v>986</v>
      </c>
      <c r="AA646" s="18">
        <v>10</v>
      </c>
      <c r="AC646" s="28" t="s">
        <v>2979</v>
      </c>
      <c r="AD646" s="28" t="s">
        <v>3080</v>
      </c>
      <c r="AE646" s="28" t="s">
        <v>238</v>
      </c>
      <c r="AF646" s="28" t="s">
        <v>3036</v>
      </c>
      <c r="AG646" s="28" t="s">
        <v>3037</v>
      </c>
      <c r="AH646" s="28" t="s">
        <v>18</v>
      </c>
      <c r="AI646" s="28" t="s">
        <v>2302</v>
      </c>
      <c r="AJ646" s="28" t="s">
        <v>2305</v>
      </c>
      <c r="AK646" s="28" t="s">
        <v>12</v>
      </c>
      <c r="AL646" s="28" t="s">
        <v>2298</v>
      </c>
      <c r="AM646" s="114"/>
    </row>
    <row r="647" spans="21:39">
      <c r="U647" s="18">
        <v>645</v>
      </c>
      <c r="V647" s="18" t="s">
        <v>1561</v>
      </c>
      <c r="W647" s="18">
        <v>24</v>
      </c>
      <c r="X647" s="18" t="s">
        <v>33</v>
      </c>
      <c r="Y647" s="18" t="s">
        <v>679</v>
      </c>
      <c r="Z647" s="18" t="s">
        <v>1454</v>
      </c>
      <c r="AA647" s="18">
        <v>11</v>
      </c>
      <c r="AC647" s="28" t="s">
        <v>3081</v>
      </c>
      <c r="AD647" s="28" t="s">
        <v>3082</v>
      </c>
      <c r="AE647" s="28" t="s">
        <v>2590</v>
      </c>
      <c r="AF647" s="28" t="s">
        <v>3083</v>
      </c>
      <c r="AG647" s="28" t="s">
        <v>2576</v>
      </c>
      <c r="AH647" s="28" t="s">
        <v>18</v>
      </c>
      <c r="AI647" s="28" t="s">
        <v>2296</v>
      </c>
      <c r="AJ647" s="28" t="s">
        <v>2305</v>
      </c>
      <c r="AK647" s="28" t="s">
        <v>50</v>
      </c>
      <c r="AL647" s="28" t="s">
        <v>2298</v>
      </c>
      <c r="AM647" s="114"/>
    </row>
    <row r="648" spans="21:39">
      <c r="U648" s="18">
        <v>646</v>
      </c>
      <c r="V648" s="18" t="s">
        <v>1562</v>
      </c>
      <c r="W648" s="18">
        <v>26</v>
      </c>
      <c r="X648" s="18" t="s">
        <v>33</v>
      </c>
      <c r="Y648" s="18" t="s">
        <v>679</v>
      </c>
      <c r="Z648" s="18" t="s">
        <v>731</v>
      </c>
      <c r="AA648" s="18">
        <v>22</v>
      </c>
      <c r="AC648" s="28" t="s">
        <v>3081</v>
      </c>
      <c r="AD648" s="28" t="s">
        <v>3084</v>
      </c>
      <c r="AE648" s="28" t="s">
        <v>2590</v>
      </c>
      <c r="AF648" s="28" t="s">
        <v>3085</v>
      </c>
      <c r="AG648" s="28" t="s">
        <v>2582</v>
      </c>
      <c r="AH648" s="28" t="s">
        <v>37</v>
      </c>
      <c r="AI648" s="28" t="s">
        <v>2302</v>
      </c>
      <c r="AJ648" s="28" t="s">
        <v>2305</v>
      </c>
      <c r="AK648" s="28" t="s">
        <v>67</v>
      </c>
      <c r="AL648" s="28" t="s">
        <v>2298</v>
      </c>
      <c r="AM648" s="114"/>
    </row>
    <row r="649" spans="21:39">
      <c r="U649" s="18">
        <v>647</v>
      </c>
      <c r="V649" s="18" t="s">
        <v>1563</v>
      </c>
      <c r="W649" s="18">
        <v>28</v>
      </c>
      <c r="X649" s="18" t="s">
        <v>33</v>
      </c>
      <c r="Y649" s="18" t="s">
        <v>681</v>
      </c>
      <c r="Z649" s="18" t="s">
        <v>839</v>
      </c>
      <c r="AA649" s="18">
        <v>14</v>
      </c>
      <c r="AC649" s="28" t="s">
        <v>3081</v>
      </c>
      <c r="AD649" s="28" t="s">
        <v>3086</v>
      </c>
      <c r="AE649" s="28" t="s">
        <v>2588</v>
      </c>
      <c r="AF649" s="28" t="s">
        <v>3087</v>
      </c>
      <c r="AG649" s="28" t="s">
        <v>2561</v>
      </c>
      <c r="AH649" s="28" t="s">
        <v>23</v>
      </c>
      <c r="AI649" s="28" t="s">
        <v>2297</v>
      </c>
      <c r="AJ649" s="28" t="s">
        <v>2302</v>
      </c>
      <c r="AK649" s="28" t="s">
        <v>13</v>
      </c>
      <c r="AL649" s="28" t="s">
        <v>2298</v>
      </c>
      <c r="AM649" s="114"/>
    </row>
    <row r="650" spans="21:39">
      <c r="U650" s="18">
        <v>648</v>
      </c>
      <c r="V650" s="18" t="s">
        <v>1564</v>
      </c>
      <c r="W650" s="18">
        <v>21</v>
      </c>
      <c r="X650" s="18" t="s">
        <v>33</v>
      </c>
      <c r="Y650" s="18" t="s">
        <v>681</v>
      </c>
      <c r="Z650" s="18" t="s">
        <v>1082</v>
      </c>
      <c r="AA650" s="18">
        <v>26</v>
      </c>
      <c r="AC650" s="28" t="s">
        <v>3081</v>
      </c>
      <c r="AD650" s="28" t="s">
        <v>3088</v>
      </c>
      <c r="AE650" s="28" t="s">
        <v>2588</v>
      </c>
      <c r="AF650" s="28" t="s">
        <v>3089</v>
      </c>
      <c r="AG650" s="28" t="s">
        <v>2569</v>
      </c>
      <c r="AH650" s="28" t="s">
        <v>3584</v>
      </c>
      <c r="AI650" s="28" t="s">
        <v>2302</v>
      </c>
      <c r="AJ650" s="28" t="s">
        <v>2302</v>
      </c>
      <c r="AK650" s="28" t="s">
        <v>17</v>
      </c>
      <c r="AL650" s="28" t="s">
        <v>2298</v>
      </c>
      <c r="AM650" s="114"/>
    </row>
    <row r="651" spans="21:39">
      <c r="U651" s="18">
        <v>649</v>
      </c>
      <c r="V651" s="18" t="s">
        <v>1565</v>
      </c>
      <c r="W651" s="18">
        <v>33</v>
      </c>
      <c r="X651" s="18" t="s">
        <v>33</v>
      </c>
      <c r="Y651" s="18" t="s">
        <v>683</v>
      </c>
      <c r="Z651" s="18" t="s">
        <v>1124</v>
      </c>
      <c r="AA651" s="18">
        <v>9</v>
      </c>
      <c r="AC651" s="28" t="s">
        <v>3081</v>
      </c>
      <c r="AD651" s="28" t="s">
        <v>3090</v>
      </c>
      <c r="AE651" s="28" t="s">
        <v>2717</v>
      </c>
      <c r="AF651" s="28" t="s">
        <v>3091</v>
      </c>
      <c r="AG651" s="28" t="s">
        <v>2567</v>
      </c>
      <c r="AH651" s="28" t="s">
        <v>9</v>
      </c>
      <c r="AI651" s="28" t="s">
        <v>2305</v>
      </c>
      <c r="AJ651" s="28" t="s">
        <v>2297</v>
      </c>
      <c r="AK651" s="28" t="s">
        <v>3585</v>
      </c>
      <c r="AL651" s="28" t="s">
        <v>2298</v>
      </c>
      <c r="AM651" s="114"/>
    </row>
    <row r="652" spans="21:39">
      <c r="U652" s="18">
        <v>650</v>
      </c>
      <c r="V652" s="18" t="s">
        <v>1566</v>
      </c>
      <c r="W652" s="18">
        <v>25</v>
      </c>
      <c r="X652" s="18" t="s">
        <v>33</v>
      </c>
      <c r="Y652" s="18" t="s">
        <v>683</v>
      </c>
      <c r="Z652" s="18" t="s">
        <v>837</v>
      </c>
      <c r="AA652" s="18">
        <v>17</v>
      </c>
      <c r="AC652" s="28" t="s">
        <v>3081</v>
      </c>
      <c r="AD652" s="28" t="s">
        <v>3092</v>
      </c>
      <c r="AE652" s="28" t="s">
        <v>2717</v>
      </c>
      <c r="AF652" s="28" t="s">
        <v>3093</v>
      </c>
      <c r="AG652" s="28" t="s">
        <v>3094</v>
      </c>
      <c r="AH652" s="28" t="s">
        <v>3586</v>
      </c>
      <c r="AI652" s="28" t="s">
        <v>2302</v>
      </c>
      <c r="AJ652" s="28" t="s">
        <v>2297</v>
      </c>
      <c r="AK652" s="28" t="s">
        <v>40</v>
      </c>
      <c r="AL652" s="28" t="s">
        <v>2298</v>
      </c>
      <c r="AM652" s="114"/>
    </row>
    <row r="653" spans="21:39">
      <c r="U653" s="18">
        <v>651</v>
      </c>
      <c r="V653" s="18" t="s">
        <v>502</v>
      </c>
      <c r="W653" s="18">
        <v>37</v>
      </c>
      <c r="X653" s="18" t="s">
        <v>79</v>
      </c>
      <c r="Y653" s="18" t="s">
        <v>642</v>
      </c>
      <c r="Z653" s="18" t="s">
        <v>1077</v>
      </c>
      <c r="AA653" s="18">
        <v>1</v>
      </c>
      <c r="AC653" s="28" t="s">
        <v>3081</v>
      </c>
      <c r="AD653" s="28" t="s">
        <v>3095</v>
      </c>
      <c r="AE653" s="28" t="s">
        <v>2719</v>
      </c>
      <c r="AF653" s="28" t="s">
        <v>3096</v>
      </c>
      <c r="AG653" s="28" t="s">
        <v>3097</v>
      </c>
      <c r="AH653" s="28" t="s">
        <v>28</v>
      </c>
      <c r="AI653" s="28" t="s">
        <v>2301</v>
      </c>
      <c r="AJ653" s="28" t="s">
        <v>2297</v>
      </c>
      <c r="AK653" s="28" t="s">
        <v>71</v>
      </c>
      <c r="AL653" s="28" t="s">
        <v>2298</v>
      </c>
      <c r="AM653" s="114"/>
    </row>
    <row r="654" spans="21:39">
      <c r="U654" s="18">
        <v>652</v>
      </c>
      <c r="V654" s="18" t="s">
        <v>1567</v>
      </c>
      <c r="W654" s="18">
        <v>39</v>
      </c>
      <c r="X654" s="18" t="s">
        <v>79</v>
      </c>
      <c r="Y654" s="18" t="s">
        <v>642</v>
      </c>
      <c r="Z654" s="18" t="s">
        <v>1568</v>
      </c>
      <c r="AA654" s="18">
        <v>16</v>
      </c>
      <c r="AC654" s="28" t="s">
        <v>3081</v>
      </c>
      <c r="AD654" s="28" t="s">
        <v>3098</v>
      </c>
      <c r="AE654" s="28" t="s">
        <v>2719</v>
      </c>
      <c r="AF654" s="28" t="s">
        <v>3099</v>
      </c>
      <c r="AG654" s="28" t="s">
        <v>3100</v>
      </c>
      <c r="AH654" s="28" t="s">
        <v>68</v>
      </c>
      <c r="AI654" s="28" t="s">
        <v>2302</v>
      </c>
      <c r="AJ654" s="28" t="s">
        <v>2297</v>
      </c>
      <c r="AK654" s="28" t="s">
        <v>30</v>
      </c>
      <c r="AL654" s="28" t="s">
        <v>2298</v>
      </c>
      <c r="AM654" s="114"/>
    </row>
    <row r="655" spans="21:39">
      <c r="U655" s="18">
        <v>653</v>
      </c>
      <c r="V655" s="18" t="s">
        <v>1569</v>
      </c>
      <c r="W655" s="18">
        <v>26</v>
      </c>
      <c r="X655" s="18" t="s">
        <v>79</v>
      </c>
      <c r="Y655" s="18" t="s">
        <v>642</v>
      </c>
      <c r="Z655" s="18" t="s">
        <v>1077</v>
      </c>
      <c r="AA655" s="18">
        <v>23</v>
      </c>
      <c r="AC655" s="28" t="s">
        <v>3081</v>
      </c>
      <c r="AD655" s="28" t="s">
        <v>3101</v>
      </c>
      <c r="AE655" s="28" t="s">
        <v>2725</v>
      </c>
      <c r="AF655" s="28" t="s">
        <v>3102</v>
      </c>
      <c r="AG655" s="28" t="s">
        <v>3103</v>
      </c>
      <c r="AH655" s="28" t="s">
        <v>38</v>
      </c>
      <c r="AI655" s="28" t="s">
        <v>2301</v>
      </c>
      <c r="AJ655" s="28" t="s">
        <v>2297</v>
      </c>
      <c r="AK655" s="28" t="s">
        <v>62</v>
      </c>
      <c r="AL655" s="28" t="s">
        <v>2298</v>
      </c>
      <c r="AM655" s="114"/>
    </row>
    <row r="656" spans="21:39">
      <c r="U656" s="18">
        <v>654</v>
      </c>
      <c r="V656" s="18" t="s">
        <v>1570</v>
      </c>
      <c r="W656" s="18">
        <v>27</v>
      </c>
      <c r="X656" s="18" t="s">
        <v>79</v>
      </c>
      <c r="Y656" s="18" t="s">
        <v>642</v>
      </c>
      <c r="Z656" s="18" t="s">
        <v>1571</v>
      </c>
      <c r="AA656" s="18">
        <v>26</v>
      </c>
      <c r="AC656" s="28" t="s">
        <v>3081</v>
      </c>
      <c r="AD656" s="28" t="s">
        <v>3104</v>
      </c>
      <c r="AE656" s="28" t="s">
        <v>2735</v>
      </c>
      <c r="AF656" s="28" t="s">
        <v>3085</v>
      </c>
      <c r="AG656" s="28" t="s">
        <v>2582</v>
      </c>
      <c r="AH656" s="28" t="s">
        <v>6</v>
      </c>
      <c r="AI656" s="28" t="s">
        <v>2302</v>
      </c>
      <c r="AJ656" s="28" t="s">
        <v>2301</v>
      </c>
      <c r="AK656" s="28" t="s">
        <v>69</v>
      </c>
      <c r="AL656" s="28" t="s">
        <v>2298</v>
      </c>
      <c r="AM656" s="114"/>
    </row>
    <row r="657" spans="21:39">
      <c r="U657" s="18">
        <v>655</v>
      </c>
      <c r="V657" s="18" t="s">
        <v>1572</v>
      </c>
      <c r="W657" s="18">
        <v>33</v>
      </c>
      <c r="X657" s="18" t="s">
        <v>79</v>
      </c>
      <c r="Y657" s="18" t="s">
        <v>649</v>
      </c>
      <c r="Z657" s="18" t="s">
        <v>1077</v>
      </c>
      <c r="AA657" s="18">
        <v>2</v>
      </c>
      <c r="AC657" s="28" t="s">
        <v>3081</v>
      </c>
      <c r="AD657" s="28" t="s">
        <v>3105</v>
      </c>
      <c r="AE657" s="28" t="s">
        <v>2735</v>
      </c>
      <c r="AF657" s="28" t="s">
        <v>3106</v>
      </c>
      <c r="AG657" s="28" t="s">
        <v>2572</v>
      </c>
      <c r="AH657" s="28" t="s">
        <v>20</v>
      </c>
      <c r="AI657" s="28" t="s">
        <v>2305</v>
      </c>
      <c r="AJ657" s="28" t="s">
        <v>2302</v>
      </c>
      <c r="AK657" s="28" t="s">
        <v>73</v>
      </c>
      <c r="AL657" s="28" t="s">
        <v>2298</v>
      </c>
      <c r="AM657" s="114"/>
    </row>
    <row r="658" spans="21:39">
      <c r="U658" s="18">
        <v>656</v>
      </c>
      <c r="V658" s="18" t="s">
        <v>1573</v>
      </c>
      <c r="W658" s="18">
        <v>25</v>
      </c>
      <c r="X658" s="18" t="s">
        <v>79</v>
      </c>
      <c r="Y658" s="18" t="s">
        <v>649</v>
      </c>
      <c r="Z658" s="18" t="s">
        <v>1568</v>
      </c>
      <c r="AA658" s="18">
        <v>4</v>
      </c>
      <c r="AC658" s="28" t="s">
        <v>3081</v>
      </c>
      <c r="AD658" s="28" t="s">
        <v>3107</v>
      </c>
      <c r="AE658" s="28" t="s">
        <v>2934</v>
      </c>
      <c r="AF658" s="28" t="s">
        <v>3087</v>
      </c>
      <c r="AG658" s="28" t="s">
        <v>2561</v>
      </c>
      <c r="AH658" s="28" t="s">
        <v>2425</v>
      </c>
      <c r="AI658" s="28" t="s">
        <v>2305</v>
      </c>
      <c r="AJ658" s="28" t="s">
        <v>2297</v>
      </c>
      <c r="AK658" s="28" t="s">
        <v>70</v>
      </c>
      <c r="AL658" s="28" t="s">
        <v>2298</v>
      </c>
      <c r="AM658" s="114"/>
    </row>
    <row r="659" spans="21:39">
      <c r="U659" s="18">
        <v>657</v>
      </c>
      <c r="V659" s="18" t="s">
        <v>1574</v>
      </c>
      <c r="W659" s="18">
        <v>33</v>
      </c>
      <c r="X659" s="18" t="s">
        <v>79</v>
      </c>
      <c r="Y659" s="18" t="s">
        <v>649</v>
      </c>
      <c r="Z659" s="18" t="s">
        <v>1097</v>
      </c>
      <c r="AA659" s="18">
        <v>5</v>
      </c>
      <c r="AC659" s="28" t="s">
        <v>3081</v>
      </c>
      <c r="AD659" s="28" t="s">
        <v>3108</v>
      </c>
      <c r="AE659" s="28" t="s">
        <v>2934</v>
      </c>
      <c r="AF659" s="28" t="s">
        <v>3109</v>
      </c>
      <c r="AG659" s="28" t="s">
        <v>2578</v>
      </c>
      <c r="AH659" s="28" t="s">
        <v>5</v>
      </c>
      <c r="AI659" s="28" t="s">
        <v>2302</v>
      </c>
      <c r="AJ659" s="28" t="s">
        <v>2302</v>
      </c>
      <c r="AK659" s="28" t="s">
        <v>16</v>
      </c>
      <c r="AL659" s="28" t="s">
        <v>2298</v>
      </c>
      <c r="AM659" s="114"/>
    </row>
    <row r="660" spans="21:39">
      <c r="U660" s="18">
        <v>658</v>
      </c>
      <c r="V660" s="18" t="s">
        <v>1575</v>
      </c>
      <c r="W660" s="18">
        <v>27</v>
      </c>
      <c r="X660" s="18" t="s">
        <v>79</v>
      </c>
      <c r="Y660" s="18" t="s">
        <v>649</v>
      </c>
      <c r="Z660" s="18" t="s">
        <v>882</v>
      </c>
      <c r="AA660" s="18">
        <v>6</v>
      </c>
      <c r="AC660" s="28" t="s">
        <v>3081</v>
      </c>
      <c r="AD660" s="28" t="s">
        <v>3110</v>
      </c>
      <c r="AE660" s="28" t="s">
        <v>2725</v>
      </c>
      <c r="AF660" s="28" t="s">
        <v>2563</v>
      </c>
      <c r="AG660" s="28" t="s">
        <v>3111</v>
      </c>
      <c r="AH660" s="28" t="s">
        <v>12</v>
      </c>
      <c r="AI660" s="28" t="s">
        <v>2297</v>
      </c>
      <c r="AJ660" s="28" t="s">
        <v>2302</v>
      </c>
      <c r="AK660" s="28" t="s">
        <v>63</v>
      </c>
      <c r="AL660" s="28" t="s">
        <v>2298</v>
      </c>
      <c r="AM660" s="114"/>
    </row>
    <row r="661" spans="21:39">
      <c r="U661" s="18">
        <v>659</v>
      </c>
      <c r="V661" s="18" t="s">
        <v>1576</v>
      </c>
      <c r="W661" s="18">
        <v>28</v>
      </c>
      <c r="X661" s="18" t="s">
        <v>79</v>
      </c>
      <c r="Y661" s="18" t="s">
        <v>657</v>
      </c>
      <c r="Z661" s="18" t="s">
        <v>1568</v>
      </c>
      <c r="AA661" s="18">
        <v>13</v>
      </c>
      <c r="AC661" s="28" t="s">
        <v>3081</v>
      </c>
      <c r="AD661" s="28" t="s">
        <v>3112</v>
      </c>
      <c r="AE661" s="28" t="s">
        <v>2928</v>
      </c>
      <c r="AF661" s="28" t="s">
        <v>3093</v>
      </c>
      <c r="AG661" s="28" t="s">
        <v>3094</v>
      </c>
      <c r="AH661" s="28" t="s">
        <v>19</v>
      </c>
      <c r="AI661" s="28" t="s">
        <v>2296</v>
      </c>
      <c r="AJ661" s="28" t="s">
        <v>2302</v>
      </c>
      <c r="AK661" s="28" t="s">
        <v>74</v>
      </c>
      <c r="AL661" s="28" t="s">
        <v>2298</v>
      </c>
      <c r="AM661" s="114"/>
    </row>
    <row r="662" spans="21:39">
      <c r="U662" s="18">
        <v>660</v>
      </c>
      <c r="V662" s="18" t="s">
        <v>1577</v>
      </c>
      <c r="W662" s="18">
        <v>30</v>
      </c>
      <c r="X662" s="18" t="s">
        <v>79</v>
      </c>
      <c r="Y662" s="18" t="s">
        <v>657</v>
      </c>
      <c r="Z662" s="18" t="s">
        <v>1578</v>
      </c>
      <c r="AA662" s="18">
        <v>15</v>
      </c>
      <c r="AC662" s="28" t="s">
        <v>3081</v>
      </c>
      <c r="AD662" s="28" t="s">
        <v>3113</v>
      </c>
      <c r="AE662" s="28" t="s">
        <v>2928</v>
      </c>
      <c r="AF662" s="28" t="s">
        <v>3083</v>
      </c>
      <c r="AG662" s="28" t="s">
        <v>2576</v>
      </c>
      <c r="AH662" s="28" t="s">
        <v>42</v>
      </c>
      <c r="AI662" s="28" t="s">
        <v>2305</v>
      </c>
      <c r="AJ662" s="28" t="s">
        <v>2305</v>
      </c>
      <c r="AK662" s="28" t="s">
        <v>56</v>
      </c>
      <c r="AL662" s="28" t="s">
        <v>2298</v>
      </c>
      <c r="AM662" s="114"/>
    </row>
    <row r="663" spans="21:39">
      <c r="U663" s="18">
        <v>661</v>
      </c>
      <c r="V663" s="18" t="s">
        <v>1579</v>
      </c>
      <c r="W663" s="18">
        <v>30</v>
      </c>
      <c r="X663" s="18" t="s">
        <v>79</v>
      </c>
      <c r="Y663" s="18" t="s">
        <v>661</v>
      </c>
      <c r="Z663" s="18" t="s">
        <v>1077</v>
      </c>
      <c r="AA663" s="18">
        <v>3</v>
      </c>
      <c r="AC663" s="28" t="s">
        <v>3081</v>
      </c>
      <c r="AD663" s="28" t="s">
        <v>3114</v>
      </c>
      <c r="AE663" s="28" t="s">
        <v>2590</v>
      </c>
      <c r="AF663" s="28" t="s">
        <v>3089</v>
      </c>
      <c r="AG663" s="28" t="s">
        <v>2569</v>
      </c>
      <c r="AH663" s="28" t="s">
        <v>18</v>
      </c>
      <c r="AI663" s="28" t="s">
        <v>2297</v>
      </c>
      <c r="AJ663" s="28" t="s">
        <v>2302</v>
      </c>
      <c r="AK663" s="28" t="s">
        <v>37</v>
      </c>
      <c r="AL663" s="28" t="s">
        <v>2298</v>
      </c>
      <c r="AM663" s="114"/>
    </row>
    <row r="664" spans="21:39">
      <c r="U664" s="18">
        <v>662</v>
      </c>
      <c r="V664" s="18" t="s">
        <v>1580</v>
      </c>
      <c r="W664" s="18">
        <v>24</v>
      </c>
      <c r="X664" s="18" t="s">
        <v>79</v>
      </c>
      <c r="Y664" s="18" t="s">
        <v>661</v>
      </c>
      <c r="Z664" s="18" t="s">
        <v>1581</v>
      </c>
      <c r="AA664" s="18">
        <v>24</v>
      </c>
      <c r="AC664" s="28" t="s">
        <v>3081</v>
      </c>
      <c r="AD664" s="28" t="s">
        <v>3115</v>
      </c>
      <c r="AE664" s="28" t="s">
        <v>2590</v>
      </c>
      <c r="AF664" s="28" t="s">
        <v>3091</v>
      </c>
      <c r="AG664" s="28" t="s">
        <v>2567</v>
      </c>
      <c r="AH664" s="28" t="s">
        <v>67</v>
      </c>
      <c r="AI664" s="28" t="s">
        <v>2301</v>
      </c>
      <c r="AJ664" s="28" t="s">
        <v>2302</v>
      </c>
      <c r="AK664" s="28" t="s">
        <v>50</v>
      </c>
      <c r="AL664" s="28" t="s">
        <v>2298</v>
      </c>
      <c r="AM664" s="114"/>
    </row>
    <row r="665" spans="21:39">
      <c r="U665" s="18">
        <v>663</v>
      </c>
      <c r="V665" s="18" t="s">
        <v>1582</v>
      </c>
      <c r="W665" s="18">
        <v>31</v>
      </c>
      <c r="X665" s="18" t="s">
        <v>79</v>
      </c>
      <c r="Y665" s="18" t="s">
        <v>664</v>
      </c>
      <c r="Z665" s="18" t="s">
        <v>916</v>
      </c>
      <c r="AA665" s="18">
        <v>14</v>
      </c>
      <c r="AC665" s="28" t="s">
        <v>3081</v>
      </c>
      <c r="AD665" s="28" t="s">
        <v>3116</v>
      </c>
      <c r="AE665" s="28" t="s">
        <v>2588</v>
      </c>
      <c r="AF665" s="28" t="s">
        <v>3096</v>
      </c>
      <c r="AG665" s="28" t="s">
        <v>3097</v>
      </c>
      <c r="AH665" s="28" t="s">
        <v>23</v>
      </c>
      <c r="AI665" s="28" t="s">
        <v>2305</v>
      </c>
      <c r="AJ665" s="28" t="s">
        <v>2302</v>
      </c>
      <c r="AK665" s="28" t="s">
        <v>3584</v>
      </c>
      <c r="AL665" s="28" t="s">
        <v>2298</v>
      </c>
      <c r="AM665" s="114"/>
    </row>
    <row r="666" spans="21:39">
      <c r="U666" s="18">
        <v>664</v>
      </c>
      <c r="V666" s="18" t="s">
        <v>1583</v>
      </c>
      <c r="W666" s="18">
        <v>30</v>
      </c>
      <c r="X666" s="18" t="s">
        <v>79</v>
      </c>
      <c r="Y666" s="18" t="s">
        <v>664</v>
      </c>
      <c r="Z666" s="18" t="s">
        <v>1584</v>
      </c>
      <c r="AA666" s="18">
        <v>18</v>
      </c>
      <c r="AC666" s="28" t="s">
        <v>3081</v>
      </c>
      <c r="AD666" s="28" t="s">
        <v>3117</v>
      </c>
      <c r="AE666" s="28" t="s">
        <v>2588</v>
      </c>
      <c r="AF666" s="28" t="s">
        <v>2563</v>
      </c>
      <c r="AG666" s="28" t="s">
        <v>3111</v>
      </c>
      <c r="AH666" s="28" t="s">
        <v>17</v>
      </c>
      <c r="AI666" s="28" t="s">
        <v>2297</v>
      </c>
      <c r="AJ666" s="28" t="s">
        <v>2302</v>
      </c>
      <c r="AK666" s="28" t="s">
        <v>13</v>
      </c>
      <c r="AL666" s="28" t="s">
        <v>2298</v>
      </c>
      <c r="AM666" s="114"/>
    </row>
    <row r="667" spans="21:39">
      <c r="U667" s="18">
        <v>665</v>
      </c>
      <c r="V667" s="18" t="s">
        <v>1585</v>
      </c>
      <c r="W667" s="18">
        <v>27</v>
      </c>
      <c r="X667" s="18" t="s">
        <v>79</v>
      </c>
      <c r="Y667" s="18" t="s">
        <v>664</v>
      </c>
      <c r="Z667" s="18" t="s">
        <v>1077</v>
      </c>
      <c r="AA667" s="18">
        <v>19</v>
      </c>
      <c r="AC667" s="28" t="s">
        <v>3081</v>
      </c>
      <c r="AD667" s="28" t="s">
        <v>3118</v>
      </c>
      <c r="AE667" s="28" t="s">
        <v>2717</v>
      </c>
      <c r="AF667" s="28" t="s">
        <v>3085</v>
      </c>
      <c r="AG667" s="28" t="s">
        <v>2582</v>
      </c>
      <c r="AH667" s="28" t="s">
        <v>9</v>
      </c>
      <c r="AI667" s="28" t="s">
        <v>2316</v>
      </c>
      <c r="AJ667" s="28" t="s">
        <v>2302</v>
      </c>
      <c r="AK667" s="28" t="s">
        <v>3586</v>
      </c>
      <c r="AL667" s="28" t="s">
        <v>2298</v>
      </c>
      <c r="AM667" s="114"/>
    </row>
    <row r="668" spans="21:39">
      <c r="U668" s="18">
        <v>666</v>
      </c>
      <c r="V668" s="18" t="s">
        <v>1586</v>
      </c>
      <c r="W668" s="18">
        <v>28</v>
      </c>
      <c r="X668" s="18" t="s">
        <v>79</v>
      </c>
      <c r="Y668" s="18" t="s">
        <v>669</v>
      </c>
      <c r="Z668" s="18" t="s">
        <v>1077</v>
      </c>
      <c r="AA668" s="18">
        <v>8</v>
      </c>
      <c r="AC668" s="28" t="s">
        <v>3081</v>
      </c>
      <c r="AD668" s="28" t="s">
        <v>3119</v>
      </c>
      <c r="AE668" s="28" t="s">
        <v>2717</v>
      </c>
      <c r="AF668" s="28" t="s">
        <v>3109</v>
      </c>
      <c r="AG668" s="28" t="s">
        <v>2578</v>
      </c>
      <c r="AH668" s="28" t="s">
        <v>40</v>
      </c>
      <c r="AI668" s="28" t="s">
        <v>2305</v>
      </c>
      <c r="AJ668" s="28" t="s">
        <v>2297</v>
      </c>
      <c r="AK668" s="28" t="s">
        <v>3585</v>
      </c>
      <c r="AL668" s="28" t="s">
        <v>2298</v>
      </c>
      <c r="AM668" s="114"/>
    </row>
    <row r="669" spans="21:39">
      <c r="U669" s="18">
        <v>667</v>
      </c>
      <c r="V669" s="18" t="s">
        <v>1587</v>
      </c>
      <c r="W669" s="18">
        <v>30</v>
      </c>
      <c r="X669" s="18" t="s">
        <v>79</v>
      </c>
      <c r="Y669" s="18" t="s">
        <v>669</v>
      </c>
      <c r="Z669" s="18" t="s">
        <v>1578</v>
      </c>
      <c r="AA669" s="18">
        <v>17</v>
      </c>
      <c r="AC669" s="28" t="s">
        <v>3081</v>
      </c>
      <c r="AD669" s="28" t="s">
        <v>3120</v>
      </c>
      <c r="AE669" s="28" t="s">
        <v>2719</v>
      </c>
      <c r="AF669" s="28" t="s">
        <v>3106</v>
      </c>
      <c r="AG669" s="28" t="s">
        <v>2572</v>
      </c>
      <c r="AH669" s="28" t="s">
        <v>28</v>
      </c>
      <c r="AI669" s="28" t="s">
        <v>2302</v>
      </c>
      <c r="AJ669" s="28" t="s">
        <v>2302</v>
      </c>
      <c r="AK669" s="28" t="s">
        <v>68</v>
      </c>
      <c r="AL669" s="28" t="s">
        <v>2298</v>
      </c>
      <c r="AM669" s="114"/>
    </row>
    <row r="670" spans="21:39">
      <c r="U670" s="18">
        <v>668</v>
      </c>
      <c r="V670" s="18" t="s">
        <v>1588</v>
      </c>
      <c r="W670" s="18">
        <v>29</v>
      </c>
      <c r="X670" s="18" t="s">
        <v>79</v>
      </c>
      <c r="Y670" s="18" t="s">
        <v>675</v>
      </c>
      <c r="Z670" s="18" t="s">
        <v>1578</v>
      </c>
      <c r="AA670" s="18">
        <v>11</v>
      </c>
      <c r="AC670" s="28" t="s">
        <v>3081</v>
      </c>
      <c r="AD670" s="28" t="s">
        <v>3121</v>
      </c>
      <c r="AE670" s="28" t="s">
        <v>2719</v>
      </c>
      <c r="AF670" s="28" t="s">
        <v>3087</v>
      </c>
      <c r="AG670" s="28" t="s">
        <v>2561</v>
      </c>
      <c r="AH670" s="28" t="s">
        <v>30</v>
      </c>
      <c r="AI670" s="28" t="s">
        <v>2305</v>
      </c>
      <c r="AJ670" s="28" t="s">
        <v>2302</v>
      </c>
      <c r="AK670" s="28" t="s">
        <v>3580</v>
      </c>
      <c r="AL670" s="28" t="s">
        <v>2298</v>
      </c>
      <c r="AM670" s="114"/>
    </row>
    <row r="671" spans="21:39">
      <c r="U671" s="18">
        <v>669</v>
      </c>
      <c r="V671" s="18" t="s">
        <v>1589</v>
      </c>
      <c r="W671" s="18">
        <v>24</v>
      </c>
      <c r="X671" s="18" t="s">
        <v>79</v>
      </c>
      <c r="Y671" s="18" t="s">
        <v>675</v>
      </c>
      <c r="Z671" s="18" t="s">
        <v>1581</v>
      </c>
      <c r="AA671" s="18">
        <v>21</v>
      </c>
      <c r="AC671" s="28" t="s">
        <v>3081</v>
      </c>
      <c r="AD671" s="28" t="s">
        <v>3122</v>
      </c>
      <c r="AE671" s="28" t="s">
        <v>2735</v>
      </c>
      <c r="AF671" s="28" t="s">
        <v>3099</v>
      </c>
      <c r="AG671" s="28" t="s">
        <v>3100</v>
      </c>
      <c r="AH671" s="28" t="s">
        <v>69</v>
      </c>
      <c r="AI671" s="28" t="s">
        <v>2302</v>
      </c>
      <c r="AJ671" s="28" t="s">
        <v>2305</v>
      </c>
      <c r="AK671" s="28" t="s">
        <v>73</v>
      </c>
      <c r="AL671" s="28" t="s">
        <v>2298</v>
      </c>
      <c r="AM671" s="114"/>
    </row>
    <row r="672" spans="21:39">
      <c r="U672" s="18">
        <v>670</v>
      </c>
      <c r="V672" s="18" t="s">
        <v>1590</v>
      </c>
      <c r="W672" s="18">
        <v>31</v>
      </c>
      <c r="X672" s="18" t="s">
        <v>79</v>
      </c>
      <c r="Y672" s="18" t="s">
        <v>679</v>
      </c>
      <c r="Z672" s="18" t="s">
        <v>1077</v>
      </c>
      <c r="AA672" s="18">
        <v>7</v>
      </c>
      <c r="AC672" s="28" t="s">
        <v>3081</v>
      </c>
      <c r="AD672" s="28" t="s">
        <v>3123</v>
      </c>
      <c r="AE672" s="28" t="s">
        <v>2735</v>
      </c>
      <c r="AF672" s="28" t="s">
        <v>3102</v>
      </c>
      <c r="AG672" s="28" t="s">
        <v>3103</v>
      </c>
      <c r="AH672" s="28" t="s">
        <v>20</v>
      </c>
      <c r="AI672" s="28" t="s">
        <v>2297</v>
      </c>
      <c r="AJ672" s="28" t="s">
        <v>2297</v>
      </c>
      <c r="AK672" s="28" t="s">
        <v>6</v>
      </c>
      <c r="AL672" s="28" t="s">
        <v>2298</v>
      </c>
      <c r="AM672" s="114"/>
    </row>
    <row r="673" spans="21:39">
      <c r="U673" s="18">
        <v>671</v>
      </c>
      <c r="V673" s="18" t="s">
        <v>1591</v>
      </c>
      <c r="W673" s="18">
        <v>24</v>
      </c>
      <c r="X673" s="18" t="s">
        <v>79</v>
      </c>
      <c r="Y673" s="18" t="s">
        <v>679</v>
      </c>
      <c r="Z673" s="18" t="s">
        <v>1592</v>
      </c>
      <c r="AA673" s="18">
        <v>12</v>
      </c>
      <c r="AC673" s="28" t="s">
        <v>3081</v>
      </c>
      <c r="AD673" s="28" t="s">
        <v>3124</v>
      </c>
      <c r="AE673" s="28" t="s">
        <v>2725</v>
      </c>
      <c r="AF673" s="28" t="s">
        <v>3096</v>
      </c>
      <c r="AG673" s="28" t="s">
        <v>3097</v>
      </c>
      <c r="AH673" s="28" t="s">
        <v>62</v>
      </c>
      <c r="AI673" s="28" t="s">
        <v>2302</v>
      </c>
      <c r="AJ673" s="28" t="s">
        <v>2302</v>
      </c>
      <c r="AK673" s="28" t="s">
        <v>63</v>
      </c>
      <c r="AL673" s="28" t="s">
        <v>2298</v>
      </c>
      <c r="AM673" s="114"/>
    </row>
    <row r="674" spans="21:39">
      <c r="U674" s="18">
        <v>672</v>
      </c>
      <c r="V674" s="18" t="s">
        <v>1593</v>
      </c>
      <c r="W674" s="18">
        <v>25</v>
      </c>
      <c r="X674" s="18" t="s">
        <v>79</v>
      </c>
      <c r="Y674" s="18" t="s">
        <v>679</v>
      </c>
      <c r="Z674" s="18" t="s">
        <v>1594</v>
      </c>
      <c r="AA674" s="18">
        <v>20</v>
      </c>
      <c r="AC674" s="28" t="s">
        <v>3081</v>
      </c>
      <c r="AD674" s="28" t="s">
        <v>3125</v>
      </c>
      <c r="AE674" s="28" t="s">
        <v>2725</v>
      </c>
      <c r="AF674" s="28" t="s">
        <v>3083</v>
      </c>
      <c r="AG674" s="28" t="s">
        <v>2576</v>
      </c>
      <c r="AH674" s="28" t="s">
        <v>12</v>
      </c>
      <c r="AI674" s="28" t="s">
        <v>2305</v>
      </c>
      <c r="AJ674" s="28" t="s">
        <v>2302</v>
      </c>
      <c r="AK674" s="28" t="s">
        <v>38</v>
      </c>
      <c r="AL674" s="28" t="s">
        <v>2298</v>
      </c>
      <c r="AM674" s="114"/>
    </row>
    <row r="675" spans="21:39">
      <c r="U675" s="18">
        <v>673</v>
      </c>
      <c r="V675" s="18" t="s">
        <v>511</v>
      </c>
      <c r="W675" s="18">
        <v>33</v>
      </c>
      <c r="X675" s="18" t="s">
        <v>79</v>
      </c>
      <c r="Y675" s="18" t="s">
        <v>681</v>
      </c>
      <c r="Z675" s="18" t="s">
        <v>981</v>
      </c>
      <c r="AA675" s="18">
        <v>10</v>
      </c>
      <c r="AC675" s="28" t="s">
        <v>3081</v>
      </c>
      <c r="AD675" s="28" t="s">
        <v>3126</v>
      </c>
      <c r="AE675" s="28" t="s">
        <v>2934</v>
      </c>
      <c r="AF675" s="28" t="s">
        <v>3093</v>
      </c>
      <c r="AG675" s="28" t="s">
        <v>3094</v>
      </c>
      <c r="AH675" s="28" t="s">
        <v>5</v>
      </c>
      <c r="AI675" s="28" t="s">
        <v>2297</v>
      </c>
      <c r="AJ675" s="28" t="s">
        <v>2297</v>
      </c>
      <c r="AK675" s="28" t="s">
        <v>2425</v>
      </c>
      <c r="AL675" s="28" t="s">
        <v>2298</v>
      </c>
      <c r="AM675" s="114"/>
    </row>
    <row r="676" spans="21:39">
      <c r="U676" s="18">
        <v>674</v>
      </c>
      <c r="V676" s="18" t="s">
        <v>1595</v>
      </c>
      <c r="W676" s="18">
        <v>30</v>
      </c>
      <c r="X676" s="18" t="s">
        <v>79</v>
      </c>
      <c r="Y676" s="18" t="s">
        <v>681</v>
      </c>
      <c r="Z676" s="18" t="s">
        <v>1077</v>
      </c>
      <c r="AA676" s="18">
        <v>25</v>
      </c>
      <c r="AC676" s="28" t="s">
        <v>3081</v>
      </c>
      <c r="AD676" s="28" t="s">
        <v>3127</v>
      </c>
      <c r="AE676" s="28" t="s">
        <v>2934</v>
      </c>
      <c r="AF676" s="28" t="s">
        <v>3089</v>
      </c>
      <c r="AG676" s="28" t="s">
        <v>2569</v>
      </c>
      <c r="AH676" s="28" t="s">
        <v>70</v>
      </c>
      <c r="AI676" s="28" t="s">
        <v>2302</v>
      </c>
      <c r="AJ676" s="28" t="s">
        <v>2305</v>
      </c>
      <c r="AK676" s="28" t="s">
        <v>16</v>
      </c>
      <c r="AL676" s="28" t="s">
        <v>2298</v>
      </c>
      <c r="AM676" s="114"/>
    </row>
    <row r="677" spans="21:39">
      <c r="U677" s="18">
        <v>675</v>
      </c>
      <c r="V677" s="18" t="s">
        <v>1596</v>
      </c>
      <c r="W677" s="18">
        <v>18</v>
      </c>
      <c r="X677" s="18" t="s">
        <v>79</v>
      </c>
      <c r="Y677" s="18" t="s">
        <v>683</v>
      </c>
      <c r="Z677" s="18" t="s">
        <v>1597</v>
      </c>
      <c r="AA677" s="18">
        <v>9</v>
      </c>
      <c r="AC677" s="28" t="s">
        <v>3081</v>
      </c>
      <c r="AD677" s="28" t="s">
        <v>3128</v>
      </c>
      <c r="AE677" s="28" t="s">
        <v>2928</v>
      </c>
      <c r="AF677" s="28" t="s">
        <v>3091</v>
      </c>
      <c r="AG677" s="28" t="s">
        <v>2567</v>
      </c>
      <c r="AH677" s="28" t="s">
        <v>56</v>
      </c>
      <c r="AI677" s="28" t="s">
        <v>2302</v>
      </c>
      <c r="AJ677" s="28" t="s">
        <v>2296</v>
      </c>
      <c r="AK677" s="28" t="s">
        <v>74</v>
      </c>
      <c r="AL677" s="28" t="s">
        <v>2298</v>
      </c>
      <c r="AM677" s="114"/>
    </row>
    <row r="678" spans="21:39">
      <c r="U678" s="18">
        <v>676</v>
      </c>
      <c r="V678" s="18" t="s">
        <v>507</v>
      </c>
      <c r="W678" s="18">
        <v>27</v>
      </c>
      <c r="X678" s="18" t="s">
        <v>79</v>
      </c>
      <c r="Y678" s="18" t="s">
        <v>683</v>
      </c>
      <c r="Z678" s="18" t="s">
        <v>1454</v>
      </c>
      <c r="AA678" s="18">
        <v>22</v>
      </c>
      <c r="AC678" s="28" t="s">
        <v>3081</v>
      </c>
      <c r="AD678" s="28" t="s">
        <v>3129</v>
      </c>
      <c r="AE678" s="28" t="s">
        <v>2928</v>
      </c>
      <c r="AF678" s="28" t="s">
        <v>3109</v>
      </c>
      <c r="AG678" s="28" t="s">
        <v>2578</v>
      </c>
      <c r="AH678" s="28" t="s">
        <v>19</v>
      </c>
      <c r="AI678" s="28" t="s">
        <v>2301</v>
      </c>
      <c r="AJ678" s="28" t="s">
        <v>2297</v>
      </c>
      <c r="AK678" s="28" t="s">
        <v>42</v>
      </c>
      <c r="AL678" s="28" t="s">
        <v>2298</v>
      </c>
      <c r="AM678" s="114"/>
    </row>
    <row r="679" spans="21:39">
      <c r="U679" s="18">
        <v>677</v>
      </c>
      <c r="V679" s="18" t="s">
        <v>1598</v>
      </c>
      <c r="W679" s="18">
        <v>33</v>
      </c>
      <c r="X679" s="18" t="s">
        <v>71</v>
      </c>
      <c r="Y679" s="18" t="s">
        <v>642</v>
      </c>
      <c r="Z679" s="18" t="s">
        <v>1599</v>
      </c>
      <c r="AA679" s="18">
        <v>1</v>
      </c>
      <c r="AC679" s="28" t="s">
        <v>3081</v>
      </c>
      <c r="AD679" s="28" t="s">
        <v>3130</v>
      </c>
      <c r="AE679" s="28" t="s">
        <v>2590</v>
      </c>
      <c r="AF679" s="28" t="s">
        <v>2563</v>
      </c>
      <c r="AG679" s="28" t="s">
        <v>3111</v>
      </c>
      <c r="AH679" s="28" t="s">
        <v>67</v>
      </c>
      <c r="AI679" s="28" t="s">
        <v>2302</v>
      </c>
      <c r="AJ679" s="28" t="s">
        <v>2301</v>
      </c>
      <c r="AK679" s="28" t="s">
        <v>18</v>
      </c>
      <c r="AL679" s="28" t="s">
        <v>2298</v>
      </c>
      <c r="AM679" s="114"/>
    </row>
    <row r="680" spans="21:39">
      <c r="U680" s="18">
        <v>678</v>
      </c>
      <c r="V680" s="18" t="s">
        <v>1600</v>
      </c>
      <c r="W680" s="18">
        <v>31</v>
      </c>
      <c r="X680" s="18" t="s">
        <v>71</v>
      </c>
      <c r="Y680" s="18" t="s">
        <v>642</v>
      </c>
      <c r="Z680" s="18" t="s">
        <v>1601</v>
      </c>
      <c r="AA680" s="18">
        <v>12</v>
      </c>
      <c r="AC680" s="28" t="s">
        <v>3081</v>
      </c>
      <c r="AD680" s="28" t="s">
        <v>3130</v>
      </c>
      <c r="AE680" s="28" t="s">
        <v>2590</v>
      </c>
      <c r="AF680" s="28" t="s">
        <v>3106</v>
      </c>
      <c r="AG680" s="28" t="s">
        <v>2572</v>
      </c>
      <c r="AH680" s="28" t="s">
        <v>50</v>
      </c>
      <c r="AI680" s="28" t="s">
        <v>2297</v>
      </c>
      <c r="AJ680" s="28" t="s">
        <v>2305</v>
      </c>
      <c r="AK680" s="28" t="s">
        <v>37</v>
      </c>
      <c r="AL680" s="28" t="s">
        <v>2298</v>
      </c>
      <c r="AM680" s="114"/>
    </row>
    <row r="681" spans="21:39">
      <c r="U681" s="18">
        <v>679</v>
      </c>
      <c r="V681" s="18" t="s">
        <v>1602</v>
      </c>
      <c r="W681" s="18">
        <v>33</v>
      </c>
      <c r="X681" s="18" t="s">
        <v>71</v>
      </c>
      <c r="Y681" s="18" t="s">
        <v>642</v>
      </c>
      <c r="Z681" s="18" t="s">
        <v>1603</v>
      </c>
      <c r="AA681" s="18">
        <v>22</v>
      </c>
      <c r="AC681" s="28" t="s">
        <v>3081</v>
      </c>
      <c r="AD681" s="28" t="s">
        <v>3131</v>
      </c>
      <c r="AE681" s="28" t="s">
        <v>2588</v>
      </c>
      <c r="AF681" s="28" t="s">
        <v>3099</v>
      </c>
      <c r="AG681" s="28" t="s">
        <v>3100</v>
      </c>
      <c r="AH681" s="28" t="s">
        <v>17</v>
      </c>
      <c r="AI681" s="28" t="s">
        <v>2305</v>
      </c>
      <c r="AJ681" s="28" t="s">
        <v>2305</v>
      </c>
      <c r="AK681" s="28" t="s">
        <v>23</v>
      </c>
      <c r="AL681" s="28" t="s">
        <v>2298</v>
      </c>
      <c r="AM681" s="114"/>
    </row>
    <row r="682" spans="21:39">
      <c r="U682" s="18">
        <v>680</v>
      </c>
      <c r="V682" s="18" t="s">
        <v>1604</v>
      </c>
      <c r="W682" s="18">
        <v>37</v>
      </c>
      <c r="X682" s="18" t="s">
        <v>71</v>
      </c>
      <c r="Y682" s="18" t="s">
        <v>649</v>
      </c>
      <c r="Z682" s="18" t="s">
        <v>1599</v>
      </c>
      <c r="AA682" s="18">
        <v>4</v>
      </c>
      <c r="AC682" s="28" t="s">
        <v>3081</v>
      </c>
      <c r="AD682" s="28" t="s">
        <v>3131</v>
      </c>
      <c r="AE682" s="28" t="s">
        <v>2588</v>
      </c>
      <c r="AF682" s="28" t="s">
        <v>3102</v>
      </c>
      <c r="AG682" s="28" t="s">
        <v>3103</v>
      </c>
      <c r="AH682" s="28" t="s">
        <v>13</v>
      </c>
      <c r="AI682" s="28" t="s">
        <v>2305</v>
      </c>
      <c r="AJ682" s="28" t="s">
        <v>2302</v>
      </c>
      <c r="AK682" s="28" t="s">
        <v>3584</v>
      </c>
      <c r="AL682" s="28" t="s">
        <v>2298</v>
      </c>
      <c r="AM682" s="114"/>
    </row>
    <row r="683" spans="21:39">
      <c r="U683" s="18">
        <v>681</v>
      </c>
      <c r="V683" s="18" t="s">
        <v>1605</v>
      </c>
      <c r="W683" s="18">
        <v>32</v>
      </c>
      <c r="X683" s="18" t="s">
        <v>71</v>
      </c>
      <c r="Y683" s="18" t="s">
        <v>649</v>
      </c>
      <c r="Z683" s="18" t="s">
        <v>1601</v>
      </c>
      <c r="AA683" s="18">
        <v>13</v>
      </c>
      <c r="AC683" s="28" t="s">
        <v>3081</v>
      </c>
      <c r="AD683" s="28" t="s">
        <v>3132</v>
      </c>
      <c r="AE683" s="28" t="s">
        <v>2719</v>
      </c>
      <c r="AF683" s="28" t="s">
        <v>3093</v>
      </c>
      <c r="AG683" s="28" t="s">
        <v>3094</v>
      </c>
      <c r="AH683" s="28" t="s">
        <v>71</v>
      </c>
      <c r="AI683" s="28" t="s">
        <v>2297</v>
      </c>
      <c r="AJ683" s="28" t="s">
        <v>2297</v>
      </c>
      <c r="AK683" s="28" t="s">
        <v>68</v>
      </c>
      <c r="AL683" s="28" t="s">
        <v>2298</v>
      </c>
      <c r="AM683" s="114"/>
    </row>
    <row r="684" spans="21:39">
      <c r="U684" s="18">
        <v>682</v>
      </c>
      <c r="V684" s="18" t="s">
        <v>1606</v>
      </c>
      <c r="W684" s="18">
        <v>30</v>
      </c>
      <c r="X684" s="18" t="s">
        <v>71</v>
      </c>
      <c r="Y684" s="18" t="s">
        <v>649</v>
      </c>
      <c r="Z684" s="18" t="s">
        <v>1607</v>
      </c>
      <c r="AA684" s="18">
        <v>19</v>
      </c>
      <c r="AC684" s="28" t="s">
        <v>3081</v>
      </c>
      <c r="AD684" s="28" t="s">
        <v>3132</v>
      </c>
      <c r="AE684" s="28" t="s">
        <v>2719</v>
      </c>
      <c r="AF684" s="28" t="s">
        <v>3085</v>
      </c>
      <c r="AG684" s="28" t="s">
        <v>2582</v>
      </c>
      <c r="AH684" s="28" t="s">
        <v>30</v>
      </c>
      <c r="AI684" s="28" t="s">
        <v>2305</v>
      </c>
      <c r="AJ684" s="28" t="s">
        <v>2297</v>
      </c>
      <c r="AK684" s="28" t="s">
        <v>28</v>
      </c>
      <c r="AL684" s="28" t="s">
        <v>2298</v>
      </c>
      <c r="AM684" s="114"/>
    </row>
    <row r="685" spans="21:39">
      <c r="U685" s="18">
        <v>683</v>
      </c>
      <c r="V685" s="18" t="s">
        <v>1608</v>
      </c>
      <c r="W685" s="18">
        <v>22</v>
      </c>
      <c r="X685" s="18" t="s">
        <v>71</v>
      </c>
      <c r="Y685" s="18" t="s">
        <v>649</v>
      </c>
      <c r="Z685" s="18" t="s">
        <v>1609</v>
      </c>
      <c r="AA685" s="18">
        <v>25</v>
      </c>
      <c r="AC685" s="28" t="s">
        <v>3081</v>
      </c>
      <c r="AD685" s="28" t="s">
        <v>3133</v>
      </c>
      <c r="AE685" s="28" t="s">
        <v>2717</v>
      </c>
      <c r="AF685" s="28" t="s">
        <v>3087</v>
      </c>
      <c r="AG685" s="28" t="s">
        <v>2561</v>
      </c>
      <c r="AH685" s="28" t="s">
        <v>40</v>
      </c>
      <c r="AI685" s="28" t="s">
        <v>2302</v>
      </c>
      <c r="AJ685" s="28" t="s">
        <v>2302</v>
      </c>
      <c r="AK685" s="28" t="s">
        <v>9</v>
      </c>
      <c r="AL685" s="28" t="s">
        <v>2298</v>
      </c>
      <c r="AM685" s="114"/>
    </row>
    <row r="686" spans="21:39">
      <c r="U686" s="18">
        <v>684</v>
      </c>
      <c r="V686" s="18" t="s">
        <v>1610</v>
      </c>
      <c r="W686" s="18">
        <v>36</v>
      </c>
      <c r="X686" s="18" t="s">
        <v>71</v>
      </c>
      <c r="Y686" s="18" t="s">
        <v>657</v>
      </c>
      <c r="Z686" s="18" t="s">
        <v>1603</v>
      </c>
      <c r="AA686" s="18">
        <v>3</v>
      </c>
      <c r="AC686" s="28" t="s">
        <v>3081</v>
      </c>
      <c r="AD686" s="28" t="s">
        <v>3133</v>
      </c>
      <c r="AE686" s="28" t="s">
        <v>2717</v>
      </c>
      <c r="AF686" s="28" t="s">
        <v>3083</v>
      </c>
      <c r="AG686" s="28" t="s">
        <v>2576</v>
      </c>
      <c r="AH686" s="28" t="s">
        <v>3585</v>
      </c>
      <c r="AI686" s="28" t="s">
        <v>2301</v>
      </c>
      <c r="AJ686" s="28" t="s">
        <v>2305</v>
      </c>
      <c r="AK686" s="28" t="s">
        <v>3586</v>
      </c>
      <c r="AL686" s="28" t="s">
        <v>2298</v>
      </c>
      <c r="AM686" s="114"/>
    </row>
    <row r="687" spans="21:39">
      <c r="U687" s="18">
        <v>685</v>
      </c>
      <c r="V687" s="18" t="s">
        <v>1611</v>
      </c>
      <c r="W687" s="18">
        <v>32</v>
      </c>
      <c r="X687" s="18" t="s">
        <v>71</v>
      </c>
      <c r="Y687" s="18" t="s">
        <v>657</v>
      </c>
      <c r="Z687" s="18" t="s">
        <v>1601</v>
      </c>
      <c r="AA687" s="18">
        <v>5</v>
      </c>
      <c r="AC687" s="28" t="s">
        <v>3081</v>
      </c>
      <c r="AD687" s="28" t="s">
        <v>3134</v>
      </c>
      <c r="AE687" s="28" t="s">
        <v>2735</v>
      </c>
      <c r="AF687" s="28" t="s">
        <v>3091</v>
      </c>
      <c r="AG687" s="28" t="s">
        <v>2567</v>
      </c>
      <c r="AH687" s="28" t="s">
        <v>69</v>
      </c>
      <c r="AI687" s="28" t="s">
        <v>2302</v>
      </c>
      <c r="AJ687" s="28" t="s">
        <v>2305</v>
      </c>
      <c r="AK687" s="28" t="s">
        <v>20</v>
      </c>
      <c r="AL687" s="28" t="s">
        <v>2298</v>
      </c>
      <c r="AM687" s="114"/>
    </row>
    <row r="688" spans="21:39">
      <c r="U688" s="18">
        <v>686</v>
      </c>
      <c r="V688" s="18" t="s">
        <v>1612</v>
      </c>
      <c r="W688" s="18">
        <v>27</v>
      </c>
      <c r="X688" s="18" t="s">
        <v>71</v>
      </c>
      <c r="Y688" s="18" t="s">
        <v>661</v>
      </c>
      <c r="Z688" s="18" t="s">
        <v>1059</v>
      </c>
      <c r="AA688" s="18">
        <v>2</v>
      </c>
      <c r="AC688" s="28" t="s">
        <v>3081</v>
      </c>
      <c r="AD688" s="28" t="s">
        <v>3134</v>
      </c>
      <c r="AE688" s="28" t="s">
        <v>2735</v>
      </c>
      <c r="AF688" s="28" t="s">
        <v>3096</v>
      </c>
      <c r="AG688" s="28" t="s">
        <v>3097</v>
      </c>
      <c r="AH688" s="28" t="s">
        <v>73</v>
      </c>
      <c r="AI688" s="28" t="s">
        <v>2305</v>
      </c>
      <c r="AJ688" s="28" t="s">
        <v>2297</v>
      </c>
      <c r="AK688" s="28" t="s">
        <v>6</v>
      </c>
      <c r="AL688" s="28" t="s">
        <v>2298</v>
      </c>
      <c r="AM688" s="114"/>
    </row>
    <row r="689" spans="21:39">
      <c r="U689" s="18">
        <v>687</v>
      </c>
      <c r="V689" s="18" t="s">
        <v>1613</v>
      </c>
      <c r="W689" s="18">
        <v>24</v>
      </c>
      <c r="X689" s="18" t="s">
        <v>71</v>
      </c>
      <c r="Y689" s="18" t="s">
        <v>661</v>
      </c>
      <c r="Z689" s="18" t="s">
        <v>1603</v>
      </c>
      <c r="AA689" s="18">
        <v>17</v>
      </c>
      <c r="AC689" s="28" t="s">
        <v>3081</v>
      </c>
      <c r="AD689" s="28" t="s">
        <v>3135</v>
      </c>
      <c r="AE689" s="28" t="s">
        <v>2725</v>
      </c>
      <c r="AF689" s="28" t="s">
        <v>3089</v>
      </c>
      <c r="AG689" s="28" t="s">
        <v>2569</v>
      </c>
      <c r="AH689" s="28" t="s">
        <v>62</v>
      </c>
      <c r="AI689" s="28" t="s">
        <v>2297</v>
      </c>
      <c r="AJ689" s="28" t="s">
        <v>2296</v>
      </c>
      <c r="AK689" s="28" t="s">
        <v>12</v>
      </c>
      <c r="AL689" s="28" t="s">
        <v>2298</v>
      </c>
      <c r="AM689" s="114"/>
    </row>
    <row r="690" spans="21:39">
      <c r="U690" s="18">
        <v>688</v>
      </c>
      <c r="V690" s="18" t="s">
        <v>1614</v>
      </c>
      <c r="W690" s="18">
        <v>36</v>
      </c>
      <c r="X690" s="18" t="s">
        <v>71</v>
      </c>
      <c r="Y690" s="18" t="s">
        <v>661</v>
      </c>
      <c r="Z690" s="18" t="s">
        <v>1607</v>
      </c>
      <c r="AA690" s="18">
        <v>23</v>
      </c>
      <c r="AC690" s="28" t="s">
        <v>3081</v>
      </c>
      <c r="AD690" s="28" t="s">
        <v>3135</v>
      </c>
      <c r="AE690" s="28" t="s">
        <v>2725</v>
      </c>
      <c r="AF690" s="28" t="s">
        <v>3109</v>
      </c>
      <c r="AG690" s="28" t="s">
        <v>2578</v>
      </c>
      <c r="AH690" s="28" t="s">
        <v>63</v>
      </c>
      <c r="AI690" s="28" t="s">
        <v>2305</v>
      </c>
      <c r="AJ690" s="28" t="s">
        <v>2305</v>
      </c>
      <c r="AK690" s="28" t="s">
        <v>38</v>
      </c>
      <c r="AL690" s="28" t="s">
        <v>2298</v>
      </c>
      <c r="AM690" s="114"/>
    </row>
    <row r="691" spans="21:39">
      <c r="U691" s="18">
        <v>689</v>
      </c>
      <c r="V691" s="18" t="s">
        <v>1615</v>
      </c>
      <c r="W691" s="18">
        <v>29</v>
      </c>
      <c r="X691" s="18" t="s">
        <v>71</v>
      </c>
      <c r="Y691" s="18" t="s">
        <v>664</v>
      </c>
      <c r="Z691" s="18" t="s">
        <v>1616</v>
      </c>
      <c r="AA691" s="18">
        <v>6</v>
      </c>
      <c r="AC691" s="28" t="s">
        <v>3081</v>
      </c>
      <c r="AD691" s="28" t="s">
        <v>3136</v>
      </c>
      <c r="AE691" s="28" t="s">
        <v>2928</v>
      </c>
      <c r="AF691" s="28" t="s">
        <v>2563</v>
      </c>
      <c r="AG691" s="28" t="s">
        <v>3111</v>
      </c>
      <c r="AH691" s="28" t="s">
        <v>74</v>
      </c>
      <c r="AI691" s="28" t="s">
        <v>2297</v>
      </c>
      <c r="AJ691" s="28" t="s">
        <v>2302</v>
      </c>
      <c r="AK691" s="28" t="s">
        <v>42</v>
      </c>
      <c r="AL691" s="28" t="s">
        <v>2298</v>
      </c>
      <c r="AM691" s="114"/>
    </row>
    <row r="692" spans="21:39">
      <c r="U692" s="18">
        <v>690</v>
      </c>
      <c r="V692" s="18" t="s">
        <v>1617</v>
      </c>
      <c r="W692" s="18">
        <v>32</v>
      </c>
      <c r="X692" s="18" t="s">
        <v>71</v>
      </c>
      <c r="Y692" s="18" t="s">
        <v>664</v>
      </c>
      <c r="Z692" s="18" t="s">
        <v>1059</v>
      </c>
      <c r="AA692" s="18">
        <v>15</v>
      </c>
      <c r="AC692" s="28" t="s">
        <v>3081</v>
      </c>
      <c r="AD692" s="28" t="s">
        <v>3136</v>
      </c>
      <c r="AE692" s="28" t="s">
        <v>2928</v>
      </c>
      <c r="AF692" s="28" t="s">
        <v>3102</v>
      </c>
      <c r="AG692" s="28" t="s">
        <v>3103</v>
      </c>
      <c r="AH692" s="28" t="s">
        <v>56</v>
      </c>
      <c r="AI692" s="28" t="s">
        <v>2302</v>
      </c>
      <c r="AJ692" s="28" t="s">
        <v>2297</v>
      </c>
      <c r="AK692" s="28" t="s">
        <v>19</v>
      </c>
      <c r="AL692" s="28" t="s">
        <v>2298</v>
      </c>
      <c r="AM692" s="114"/>
    </row>
    <row r="693" spans="21:39">
      <c r="U693" s="18">
        <v>691</v>
      </c>
      <c r="V693" s="18" t="s">
        <v>1618</v>
      </c>
      <c r="W693" s="18">
        <v>24</v>
      </c>
      <c r="X693" s="18" t="s">
        <v>71</v>
      </c>
      <c r="Y693" s="18" t="s">
        <v>669</v>
      </c>
      <c r="Z693" s="18" t="s">
        <v>1619</v>
      </c>
      <c r="AA693" s="18">
        <v>21</v>
      </c>
      <c r="AC693" s="28" t="s">
        <v>3081</v>
      </c>
      <c r="AD693" s="28" t="s">
        <v>3137</v>
      </c>
      <c r="AE693" s="28" t="s">
        <v>2934</v>
      </c>
      <c r="AF693" s="28" t="s">
        <v>3099</v>
      </c>
      <c r="AG693" s="28" t="s">
        <v>3100</v>
      </c>
      <c r="AH693" s="28" t="s">
        <v>70</v>
      </c>
      <c r="AI693" s="28" t="s">
        <v>2302</v>
      </c>
      <c r="AJ693" s="28" t="s">
        <v>2305</v>
      </c>
      <c r="AK693" s="28" t="s">
        <v>5</v>
      </c>
      <c r="AL693" s="28" t="s">
        <v>2298</v>
      </c>
      <c r="AM693" s="114"/>
    </row>
    <row r="694" spans="21:39">
      <c r="U694" s="18">
        <v>692</v>
      </c>
      <c r="V694" s="18" t="s">
        <v>1620</v>
      </c>
      <c r="W694" s="18">
        <v>20</v>
      </c>
      <c r="X694" s="18" t="s">
        <v>71</v>
      </c>
      <c r="Y694" s="18" t="s">
        <v>669</v>
      </c>
      <c r="Z694" s="18" t="s">
        <v>1059</v>
      </c>
      <c r="AA694" s="18">
        <v>26</v>
      </c>
      <c r="AC694" s="28" t="s">
        <v>3081</v>
      </c>
      <c r="AD694" s="28" t="s">
        <v>3137</v>
      </c>
      <c r="AE694" s="28" t="s">
        <v>2934</v>
      </c>
      <c r="AF694" s="28" t="s">
        <v>3106</v>
      </c>
      <c r="AG694" s="28" t="s">
        <v>2572</v>
      </c>
      <c r="AH694" s="28" t="s">
        <v>16</v>
      </c>
      <c r="AI694" s="28" t="s">
        <v>2305</v>
      </c>
      <c r="AJ694" s="28" t="s">
        <v>2302</v>
      </c>
      <c r="AK694" s="28" t="s">
        <v>2425</v>
      </c>
      <c r="AL694" s="28" t="s">
        <v>2298</v>
      </c>
      <c r="AM694" s="114"/>
    </row>
    <row r="695" spans="21:39">
      <c r="U695" s="18">
        <v>693</v>
      </c>
      <c r="V695" s="18" t="s">
        <v>1621</v>
      </c>
      <c r="W695" s="18">
        <v>32</v>
      </c>
      <c r="X695" s="18" t="s">
        <v>71</v>
      </c>
      <c r="Y695" s="18" t="s">
        <v>675</v>
      </c>
      <c r="Z695" s="18" t="s">
        <v>1622</v>
      </c>
      <c r="AA695" s="18">
        <v>14</v>
      </c>
      <c r="AC695" s="28" t="s">
        <v>3081</v>
      </c>
      <c r="AD695" s="28" t="s">
        <v>3138</v>
      </c>
      <c r="AE695" s="28" t="s">
        <v>170</v>
      </c>
      <c r="AF695" s="28" t="s">
        <v>3083</v>
      </c>
      <c r="AG695" s="28" t="s">
        <v>2576</v>
      </c>
      <c r="AH695" s="28" t="s">
        <v>18</v>
      </c>
      <c r="AI695" s="28" t="s">
        <v>2305</v>
      </c>
      <c r="AJ695" s="28" t="s">
        <v>2302</v>
      </c>
      <c r="AK695" s="28" t="s">
        <v>17</v>
      </c>
      <c r="AL695" s="28" t="s">
        <v>2298</v>
      </c>
      <c r="AM695" s="114"/>
    </row>
    <row r="696" spans="21:39">
      <c r="U696" s="18">
        <v>694</v>
      </c>
      <c r="V696" s="18" t="s">
        <v>1623</v>
      </c>
      <c r="W696" s="18">
        <v>27</v>
      </c>
      <c r="X696" s="18" t="s">
        <v>71</v>
      </c>
      <c r="Y696" s="18" t="s">
        <v>679</v>
      </c>
      <c r="Z696" s="18" t="s">
        <v>1624</v>
      </c>
      <c r="AA696" s="18">
        <v>8</v>
      </c>
      <c r="AC696" s="28" t="s">
        <v>3081</v>
      </c>
      <c r="AD696" s="28" t="s">
        <v>3139</v>
      </c>
      <c r="AE696" s="28" t="s">
        <v>170</v>
      </c>
      <c r="AF696" s="28" t="s">
        <v>3093</v>
      </c>
      <c r="AG696" s="28" t="s">
        <v>3094</v>
      </c>
      <c r="AH696" s="28" t="s">
        <v>9</v>
      </c>
      <c r="AI696" s="28" t="s">
        <v>2305</v>
      </c>
      <c r="AJ696" s="28" t="s">
        <v>2297</v>
      </c>
      <c r="AK696" s="28" t="s">
        <v>28</v>
      </c>
      <c r="AL696" s="28" t="s">
        <v>2636</v>
      </c>
      <c r="AM696" s="114"/>
    </row>
    <row r="697" spans="21:39">
      <c r="U697" s="18">
        <v>695</v>
      </c>
      <c r="V697" s="18" t="s">
        <v>1625</v>
      </c>
      <c r="W697" s="18">
        <v>27</v>
      </c>
      <c r="X697" s="18" t="s">
        <v>71</v>
      </c>
      <c r="Y697" s="18" t="s">
        <v>679</v>
      </c>
      <c r="Z697" s="18" t="s">
        <v>1626</v>
      </c>
      <c r="AA697" s="18">
        <v>10</v>
      </c>
      <c r="AC697" s="28" t="s">
        <v>3081</v>
      </c>
      <c r="AD697" s="28" t="s">
        <v>3140</v>
      </c>
      <c r="AE697" s="28" t="s">
        <v>170</v>
      </c>
      <c r="AF697" s="28" t="s">
        <v>3109</v>
      </c>
      <c r="AG697" s="28" t="s">
        <v>2578</v>
      </c>
      <c r="AH697" s="28" t="s">
        <v>23</v>
      </c>
      <c r="AI697" s="28" t="s">
        <v>2297</v>
      </c>
      <c r="AJ697" s="28" t="s">
        <v>2302</v>
      </c>
      <c r="AK697" s="28" t="s">
        <v>67</v>
      </c>
      <c r="AL697" s="28" t="s">
        <v>2298</v>
      </c>
      <c r="AM697" s="114"/>
    </row>
    <row r="698" spans="21:39">
      <c r="U698" s="18">
        <v>696</v>
      </c>
      <c r="V698" s="18" t="s">
        <v>1627</v>
      </c>
      <c r="W698" s="18">
        <v>31</v>
      </c>
      <c r="X698" s="18" t="s">
        <v>71</v>
      </c>
      <c r="Y698" s="18" t="s">
        <v>679</v>
      </c>
      <c r="Z698" s="18" t="s">
        <v>1599</v>
      </c>
      <c r="AA698" s="18">
        <v>16</v>
      </c>
      <c r="AC698" s="28" t="s">
        <v>3081</v>
      </c>
      <c r="AD698" s="28" t="s">
        <v>3141</v>
      </c>
      <c r="AE698" s="28" t="s">
        <v>170</v>
      </c>
      <c r="AF698" s="28" t="s">
        <v>3096</v>
      </c>
      <c r="AG698" s="28" t="s">
        <v>3097</v>
      </c>
      <c r="AH698" s="28" t="s">
        <v>30</v>
      </c>
      <c r="AI698" s="28" t="s">
        <v>2297</v>
      </c>
      <c r="AJ698" s="28" t="s">
        <v>2302</v>
      </c>
      <c r="AK698" s="28" t="s">
        <v>40</v>
      </c>
      <c r="AL698" s="28" t="s">
        <v>2298</v>
      </c>
      <c r="AM698" s="114"/>
    </row>
    <row r="699" spans="21:39">
      <c r="U699" s="18">
        <v>697</v>
      </c>
      <c r="V699" s="18" t="s">
        <v>1628</v>
      </c>
      <c r="W699" s="18">
        <v>32</v>
      </c>
      <c r="X699" s="18" t="s">
        <v>71</v>
      </c>
      <c r="Y699" s="18" t="s">
        <v>681</v>
      </c>
      <c r="Z699" s="18" t="s">
        <v>877</v>
      </c>
      <c r="AA699" s="18">
        <v>7</v>
      </c>
      <c r="AC699" s="28" t="s">
        <v>3081</v>
      </c>
      <c r="AD699" s="28" t="s">
        <v>3142</v>
      </c>
      <c r="AE699" s="28" t="s">
        <v>170</v>
      </c>
      <c r="AF699" s="28" t="s">
        <v>3102</v>
      </c>
      <c r="AG699" s="28" t="s">
        <v>3103</v>
      </c>
      <c r="AH699" s="28" t="s">
        <v>20</v>
      </c>
      <c r="AI699" s="28" t="s">
        <v>2297</v>
      </c>
      <c r="AJ699" s="28" t="s">
        <v>2302</v>
      </c>
      <c r="AK699" s="28" t="s">
        <v>38</v>
      </c>
      <c r="AL699" s="28" t="s">
        <v>2298</v>
      </c>
      <c r="AM699" s="114"/>
    </row>
    <row r="700" spans="21:39">
      <c r="U700" s="18">
        <v>698</v>
      </c>
      <c r="V700" s="18" t="s">
        <v>1629</v>
      </c>
      <c r="W700" s="18">
        <v>25</v>
      </c>
      <c r="X700" s="18" t="s">
        <v>71</v>
      </c>
      <c r="Y700" s="18" t="s">
        <v>681</v>
      </c>
      <c r="Z700" s="18" t="s">
        <v>1599</v>
      </c>
      <c r="AA700" s="18">
        <v>18</v>
      </c>
      <c r="AC700" s="28" t="s">
        <v>3081</v>
      </c>
      <c r="AD700" s="28" t="s">
        <v>3143</v>
      </c>
      <c r="AE700" s="28" t="s">
        <v>170</v>
      </c>
      <c r="AF700" s="28" t="s">
        <v>3099</v>
      </c>
      <c r="AG700" s="28" t="s">
        <v>3100</v>
      </c>
      <c r="AH700" s="28" t="s">
        <v>16</v>
      </c>
      <c r="AI700" s="28" t="s">
        <v>2302</v>
      </c>
      <c r="AJ700" s="28" t="s">
        <v>2302</v>
      </c>
      <c r="AK700" s="28" t="s">
        <v>74</v>
      </c>
      <c r="AL700" s="28" t="s">
        <v>3144</v>
      </c>
      <c r="AM700" s="114"/>
    </row>
    <row r="701" spans="21:39">
      <c r="U701" s="18">
        <v>699</v>
      </c>
      <c r="V701" s="18" t="s">
        <v>1630</v>
      </c>
      <c r="W701" s="18">
        <v>33</v>
      </c>
      <c r="X701" s="18" t="s">
        <v>71</v>
      </c>
      <c r="Y701" s="18" t="s">
        <v>683</v>
      </c>
      <c r="Z701" s="18" t="s">
        <v>1099</v>
      </c>
      <c r="AA701" s="18">
        <v>9</v>
      </c>
      <c r="AC701" s="28" t="s">
        <v>3081</v>
      </c>
      <c r="AD701" s="28" t="s">
        <v>3145</v>
      </c>
      <c r="AE701" s="28" t="s">
        <v>170</v>
      </c>
      <c r="AF701" s="28" t="s">
        <v>3089</v>
      </c>
      <c r="AG701" s="28" t="s">
        <v>2569</v>
      </c>
      <c r="AH701" s="28" t="s">
        <v>12</v>
      </c>
      <c r="AI701" s="28" t="s">
        <v>2301</v>
      </c>
      <c r="AJ701" s="28" t="s">
        <v>2302</v>
      </c>
      <c r="AK701" s="28" t="s">
        <v>73</v>
      </c>
      <c r="AL701" s="28" t="s">
        <v>2298</v>
      </c>
      <c r="AM701" s="114"/>
    </row>
    <row r="702" spans="21:39">
      <c r="U702" s="18">
        <v>700</v>
      </c>
      <c r="V702" s="18" t="s">
        <v>1631</v>
      </c>
      <c r="W702" s="18">
        <v>30</v>
      </c>
      <c r="X702" s="18" t="s">
        <v>71</v>
      </c>
      <c r="Y702" s="18" t="s">
        <v>683</v>
      </c>
      <c r="Z702" s="18" t="s">
        <v>1601</v>
      </c>
      <c r="AA702" s="18">
        <v>11</v>
      </c>
      <c r="AC702" s="28" t="s">
        <v>3081</v>
      </c>
      <c r="AD702" s="28" t="s">
        <v>3146</v>
      </c>
      <c r="AE702" s="28" t="s">
        <v>170</v>
      </c>
      <c r="AF702" s="28" t="s">
        <v>3106</v>
      </c>
      <c r="AG702" s="28" t="s">
        <v>2572</v>
      </c>
      <c r="AH702" s="28" t="s">
        <v>19</v>
      </c>
      <c r="AI702" s="28" t="s">
        <v>2297</v>
      </c>
      <c r="AJ702" s="28" t="s">
        <v>2301</v>
      </c>
      <c r="AK702" s="28" t="s">
        <v>5</v>
      </c>
      <c r="AL702" s="28" t="s">
        <v>2298</v>
      </c>
      <c r="AM702" s="114"/>
    </row>
    <row r="703" spans="21:39">
      <c r="U703" s="18">
        <v>701</v>
      </c>
      <c r="V703" s="18" t="s">
        <v>1632</v>
      </c>
      <c r="W703" s="18">
        <v>31</v>
      </c>
      <c r="X703" s="18" t="s">
        <v>71</v>
      </c>
      <c r="Y703" s="18" t="s">
        <v>683</v>
      </c>
      <c r="Z703" s="18" t="s">
        <v>1622</v>
      </c>
      <c r="AA703" s="18">
        <v>20</v>
      </c>
      <c r="AC703" s="28" t="s">
        <v>3081</v>
      </c>
      <c r="AD703" s="28" t="s">
        <v>3147</v>
      </c>
      <c r="AE703" s="28" t="s">
        <v>135</v>
      </c>
      <c r="AF703" s="28" t="s">
        <v>2563</v>
      </c>
      <c r="AG703" s="28" t="s">
        <v>3111</v>
      </c>
      <c r="AH703" s="28" t="s">
        <v>18</v>
      </c>
      <c r="AI703" s="28" t="s">
        <v>2297</v>
      </c>
      <c r="AJ703" s="28" t="s">
        <v>2297</v>
      </c>
      <c r="AK703" s="28" t="s">
        <v>9</v>
      </c>
      <c r="AL703" s="28" t="s">
        <v>3148</v>
      </c>
      <c r="AM703" s="114"/>
    </row>
    <row r="704" spans="21:39">
      <c r="U704" s="18">
        <v>702</v>
      </c>
      <c r="V704" s="18" t="s">
        <v>1633</v>
      </c>
      <c r="W704" s="18">
        <v>29</v>
      </c>
      <c r="X704" s="18" t="s">
        <v>71</v>
      </c>
      <c r="Y704" s="18" t="s">
        <v>683</v>
      </c>
      <c r="Z704" s="18" t="s">
        <v>1634</v>
      </c>
      <c r="AA704" s="18">
        <v>24</v>
      </c>
      <c r="AC704" s="28" t="s">
        <v>3081</v>
      </c>
      <c r="AD704" s="28" t="s">
        <v>3149</v>
      </c>
      <c r="AE704" s="28" t="s">
        <v>135</v>
      </c>
      <c r="AF704" s="28" t="s">
        <v>3091</v>
      </c>
      <c r="AG704" s="28" t="s">
        <v>2567</v>
      </c>
      <c r="AH704" s="28" t="s">
        <v>20</v>
      </c>
      <c r="AI704" s="28" t="s">
        <v>2301</v>
      </c>
      <c r="AJ704" s="28" t="s">
        <v>2302</v>
      </c>
      <c r="AK704" s="28" t="s">
        <v>74</v>
      </c>
      <c r="AL704" s="28" t="s">
        <v>2298</v>
      </c>
      <c r="AM704" s="114"/>
    </row>
    <row r="705" spans="21:39">
      <c r="U705" s="18">
        <v>703</v>
      </c>
      <c r="V705" s="18" t="s">
        <v>1635</v>
      </c>
      <c r="W705" s="18">
        <v>32</v>
      </c>
      <c r="X705" s="18" t="s">
        <v>76</v>
      </c>
      <c r="Y705" s="18" t="s">
        <v>642</v>
      </c>
      <c r="Z705" s="18" t="s">
        <v>1636</v>
      </c>
      <c r="AA705" s="18">
        <v>1</v>
      </c>
      <c r="AC705" s="28" t="s">
        <v>3081</v>
      </c>
      <c r="AD705" s="28" t="s">
        <v>3150</v>
      </c>
      <c r="AE705" s="28" t="s">
        <v>135</v>
      </c>
      <c r="AF705" s="28" t="s">
        <v>3085</v>
      </c>
      <c r="AG705" s="28" t="s">
        <v>2582</v>
      </c>
      <c r="AH705" s="28" t="s">
        <v>23</v>
      </c>
      <c r="AI705" s="28" t="s">
        <v>2302</v>
      </c>
      <c r="AJ705" s="28" t="s">
        <v>2302</v>
      </c>
      <c r="AK705" s="28" t="s">
        <v>30</v>
      </c>
      <c r="AL705" s="28" t="s">
        <v>3151</v>
      </c>
      <c r="AM705" s="114"/>
    </row>
    <row r="706" spans="21:39">
      <c r="U706" s="18">
        <v>704</v>
      </c>
      <c r="V706" s="18" t="s">
        <v>1637</v>
      </c>
      <c r="W706" s="18">
        <v>23</v>
      </c>
      <c r="X706" s="18" t="s">
        <v>76</v>
      </c>
      <c r="Y706" s="18" t="s">
        <v>642</v>
      </c>
      <c r="Z706" s="18" t="s">
        <v>1638</v>
      </c>
      <c r="AA706" s="18">
        <v>12</v>
      </c>
      <c r="AC706" s="28" t="s">
        <v>3081</v>
      </c>
      <c r="AD706" s="28" t="s">
        <v>3152</v>
      </c>
      <c r="AE706" s="28" t="s">
        <v>135</v>
      </c>
      <c r="AF706" s="28" t="s">
        <v>3087</v>
      </c>
      <c r="AG706" s="28" t="s">
        <v>2561</v>
      </c>
      <c r="AH706" s="28" t="s">
        <v>12</v>
      </c>
      <c r="AI706" s="28" t="s">
        <v>2302</v>
      </c>
      <c r="AJ706" s="28" t="s">
        <v>2297</v>
      </c>
      <c r="AK706" s="28" t="s">
        <v>5</v>
      </c>
      <c r="AL706" s="28" t="s">
        <v>2298</v>
      </c>
      <c r="AM706" s="114"/>
    </row>
    <row r="707" spans="21:39">
      <c r="U707" s="18">
        <v>705</v>
      </c>
      <c r="V707" s="18" t="s">
        <v>1639</v>
      </c>
      <c r="W707" s="18">
        <v>27</v>
      </c>
      <c r="X707" s="18" t="s">
        <v>76</v>
      </c>
      <c r="Y707" s="18" t="s">
        <v>642</v>
      </c>
      <c r="Z707" s="18" t="s">
        <v>1640</v>
      </c>
      <c r="AA707" s="18">
        <v>22</v>
      </c>
      <c r="AC707" s="28" t="s">
        <v>3081</v>
      </c>
      <c r="AD707" s="28" t="s">
        <v>3153</v>
      </c>
      <c r="AE707" s="28" t="s">
        <v>106</v>
      </c>
      <c r="AF707" s="28" t="s">
        <v>3089</v>
      </c>
      <c r="AG707" s="28" t="s">
        <v>2569</v>
      </c>
      <c r="AH707" s="28" t="s">
        <v>18</v>
      </c>
      <c r="AI707" s="28" t="s">
        <v>2302</v>
      </c>
      <c r="AJ707" s="28" t="s">
        <v>2305</v>
      </c>
      <c r="AK707" s="28" t="s">
        <v>20</v>
      </c>
      <c r="AL707" s="28" t="s">
        <v>2352</v>
      </c>
      <c r="AM707" s="114"/>
    </row>
    <row r="708" spans="21:39">
      <c r="U708" s="18">
        <v>706</v>
      </c>
      <c r="V708" s="18" t="s">
        <v>1641</v>
      </c>
      <c r="W708" s="18">
        <v>21</v>
      </c>
      <c r="X708" s="18" t="s">
        <v>76</v>
      </c>
      <c r="Y708" s="18" t="s">
        <v>649</v>
      </c>
      <c r="Z708" s="18" t="s">
        <v>1311</v>
      </c>
      <c r="AA708" s="18">
        <v>4</v>
      </c>
      <c r="AC708" s="28" t="s">
        <v>3081</v>
      </c>
      <c r="AD708" s="28" t="s">
        <v>3154</v>
      </c>
      <c r="AE708" s="28" t="s">
        <v>106</v>
      </c>
      <c r="AF708" s="28" t="s">
        <v>3083</v>
      </c>
      <c r="AG708" s="28" t="s">
        <v>2576</v>
      </c>
      <c r="AH708" s="28" t="s">
        <v>30</v>
      </c>
      <c r="AI708" s="28" t="s">
        <v>2302</v>
      </c>
      <c r="AJ708" s="28" t="s">
        <v>2297</v>
      </c>
      <c r="AK708" s="28" t="s">
        <v>5</v>
      </c>
      <c r="AL708" s="28" t="s">
        <v>2298</v>
      </c>
      <c r="AM708" s="114"/>
    </row>
    <row r="709" spans="21:39">
      <c r="U709" s="18">
        <v>707</v>
      </c>
      <c r="V709" s="18" t="s">
        <v>1642</v>
      </c>
      <c r="W709" s="18">
        <v>37</v>
      </c>
      <c r="X709" s="18" t="s">
        <v>76</v>
      </c>
      <c r="Y709" s="18" t="s">
        <v>649</v>
      </c>
      <c r="Z709" s="18" t="s">
        <v>1643</v>
      </c>
      <c r="AA709" s="18">
        <v>5</v>
      </c>
      <c r="AC709" s="28" t="s">
        <v>3081</v>
      </c>
      <c r="AD709" s="28" t="s">
        <v>3155</v>
      </c>
      <c r="AE709" s="28" t="s">
        <v>3079</v>
      </c>
      <c r="AF709" s="28" t="s">
        <v>3109</v>
      </c>
      <c r="AG709" s="28" t="s">
        <v>2578</v>
      </c>
      <c r="AH709" s="28" t="s">
        <v>18</v>
      </c>
      <c r="AI709" s="28" t="s">
        <v>2301</v>
      </c>
      <c r="AJ709" s="28" t="s">
        <v>2297</v>
      </c>
      <c r="AK709" s="28" t="s">
        <v>30</v>
      </c>
      <c r="AL709" s="28" t="s">
        <v>2298</v>
      </c>
      <c r="AM709" s="114"/>
    </row>
    <row r="710" spans="21:39">
      <c r="U710" s="18">
        <v>708</v>
      </c>
      <c r="V710" s="18" t="s">
        <v>1644</v>
      </c>
      <c r="W710" s="18">
        <v>27</v>
      </c>
      <c r="X710" s="18" t="s">
        <v>76</v>
      </c>
      <c r="Y710" s="18" t="s">
        <v>649</v>
      </c>
      <c r="Z710" s="18" t="s">
        <v>1640</v>
      </c>
      <c r="AA710" s="18">
        <v>15</v>
      </c>
      <c r="AC710" s="28" t="s">
        <v>3081</v>
      </c>
      <c r="AD710" s="28" t="s">
        <v>3156</v>
      </c>
      <c r="AE710" s="28" t="s">
        <v>238</v>
      </c>
      <c r="AF710" s="28" t="s">
        <v>2563</v>
      </c>
      <c r="AG710" s="28" t="s">
        <v>3111</v>
      </c>
      <c r="AH710" s="28" t="s">
        <v>20</v>
      </c>
      <c r="AI710" s="28" t="s">
        <v>2297</v>
      </c>
      <c r="AJ710" s="28" t="s">
        <v>2297</v>
      </c>
      <c r="AK710" s="28" t="s">
        <v>5</v>
      </c>
      <c r="AL710" s="28" t="s">
        <v>3157</v>
      </c>
      <c r="AM710" s="114"/>
    </row>
    <row r="711" spans="21:39">
      <c r="U711" s="18">
        <v>709</v>
      </c>
      <c r="V711" s="18" t="s">
        <v>1645</v>
      </c>
      <c r="W711" s="18">
        <v>22</v>
      </c>
      <c r="X711" s="18" t="s">
        <v>76</v>
      </c>
      <c r="Y711" s="18" t="s">
        <v>649</v>
      </c>
      <c r="Z711" s="18" t="s">
        <v>1646</v>
      </c>
      <c r="AA711" s="18">
        <v>16</v>
      </c>
      <c r="AC711" s="28" t="s">
        <v>3158</v>
      </c>
      <c r="AD711" s="28" t="s">
        <v>3159</v>
      </c>
      <c r="AE711" s="28" t="s">
        <v>2590</v>
      </c>
      <c r="AF711" s="28" t="s">
        <v>3160</v>
      </c>
      <c r="AG711" s="28" t="s">
        <v>3161</v>
      </c>
      <c r="AH711" s="28" t="s">
        <v>61</v>
      </c>
      <c r="AI711" s="28" t="s">
        <v>2297</v>
      </c>
      <c r="AJ711" s="28" t="s">
        <v>2297</v>
      </c>
      <c r="AK711" s="28" t="s">
        <v>28</v>
      </c>
      <c r="AL711" s="28" t="s">
        <v>2298</v>
      </c>
      <c r="AM711" s="114"/>
    </row>
    <row r="712" spans="21:39">
      <c r="U712" s="18">
        <v>710</v>
      </c>
      <c r="V712" s="18" t="s">
        <v>1647</v>
      </c>
      <c r="W712" s="18">
        <v>36</v>
      </c>
      <c r="X712" s="18" t="s">
        <v>76</v>
      </c>
      <c r="Y712" s="18" t="s">
        <v>649</v>
      </c>
      <c r="Z712" s="18" t="s">
        <v>1648</v>
      </c>
      <c r="AA712" s="18">
        <v>26</v>
      </c>
      <c r="AC712" s="28" t="s">
        <v>3158</v>
      </c>
      <c r="AD712" s="28" t="s">
        <v>3162</v>
      </c>
      <c r="AE712" s="28" t="s">
        <v>2590</v>
      </c>
      <c r="AF712" s="28" t="s">
        <v>3163</v>
      </c>
      <c r="AG712" s="28" t="s">
        <v>3164</v>
      </c>
      <c r="AH712" s="28" t="s">
        <v>11</v>
      </c>
      <c r="AI712" s="28" t="s">
        <v>2302</v>
      </c>
      <c r="AJ712" s="28" t="s">
        <v>2302</v>
      </c>
      <c r="AK712" s="28" t="s">
        <v>5</v>
      </c>
      <c r="AL712" s="28" t="s">
        <v>2298</v>
      </c>
      <c r="AM712" s="114"/>
    </row>
    <row r="713" spans="21:39">
      <c r="U713" s="18">
        <v>711</v>
      </c>
      <c r="V713" s="18" t="s">
        <v>1649</v>
      </c>
      <c r="W713" s="18">
        <v>31</v>
      </c>
      <c r="X713" s="18" t="s">
        <v>76</v>
      </c>
      <c r="Y713" s="18" t="s">
        <v>657</v>
      </c>
      <c r="Z713" s="18" t="s">
        <v>1640</v>
      </c>
      <c r="AA713" s="18">
        <v>3</v>
      </c>
      <c r="AC713" s="28" t="s">
        <v>3158</v>
      </c>
      <c r="AD713" s="28" t="s">
        <v>3165</v>
      </c>
      <c r="AE713" s="28" t="s">
        <v>2588</v>
      </c>
      <c r="AF713" s="28" t="s">
        <v>3166</v>
      </c>
      <c r="AG713" s="28" t="s">
        <v>3167</v>
      </c>
      <c r="AH713" s="28" t="s">
        <v>2425</v>
      </c>
      <c r="AI713" s="28" t="s">
        <v>2305</v>
      </c>
      <c r="AJ713" s="28" t="s">
        <v>2302</v>
      </c>
      <c r="AK713" s="28" t="s">
        <v>59</v>
      </c>
      <c r="AL713" s="28" t="s">
        <v>2298</v>
      </c>
      <c r="AM713" s="114"/>
    </row>
    <row r="714" spans="21:39">
      <c r="U714" s="18">
        <v>712</v>
      </c>
      <c r="V714" s="18" t="s">
        <v>1650</v>
      </c>
      <c r="W714" s="18">
        <v>25</v>
      </c>
      <c r="X714" s="18" t="s">
        <v>76</v>
      </c>
      <c r="Y714" s="18" t="s">
        <v>657</v>
      </c>
      <c r="Z714" s="18" t="s">
        <v>1111</v>
      </c>
      <c r="AA714" s="18">
        <v>13</v>
      </c>
      <c r="AC714" s="28" t="s">
        <v>3158</v>
      </c>
      <c r="AD714" s="28" t="s">
        <v>3168</v>
      </c>
      <c r="AE714" s="28" t="s">
        <v>2588</v>
      </c>
      <c r="AF714" s="28" t="s">
        <v>3169</v>
      </c>
      <c r="AG714" s="28" t="s">
        <v>3161</v>
      </c>
      <c r="AH714" s="28" t="s">
        <v>9</v>
      </c>
      <c r="AI714" s="28" t="s">
        <v>2297</v>
      </c>
      <c r="AJ714" s="28" t="s">
        <v>2302</v>
      </c>
      <c r="AK714" s="28" t="s">
        <v>55</v>
      </c>
      <c r="AL714" s="28" t="s">
        <v>2298</v>
      </c>
      <c r="AM714" s="114"/>
    </row>
    <row r="715" spans="21:39">
      <c r="U715" s="18">
        <v>713</v>
      </c>
      <c r="V715" s="18" t="s">
        <v>1651</v>
      </c>
      <c r="W715" s="18">
        <v>32</v>
      </c>
      <c r="X715" s="18" t="s">
        <v>76</v>
      </c>
      <c r="Y715" s="18" t="s">
        <v>661</v>
      </c>
      <c r="Z715" s="18" t="s">
        <v>1652</v>
      </c>
      <c r="AA715" s="18">
        <v>2</v>
      </c>
      <c r="AC715" s="28" t="s">
        <v>3158</v>
      </c>
      <c r="AD715" s="28" t="s">
        <v>3170</v>
      </c>
      <c r="AE715" s="28" t="s">
        <v>2717</v>
      </c>
      <c r="AF715" s="28" t="s">
        <v>3171</v>
      </c>
      <c r="AG715" s="28" t="s">
        <v>3172</v>
      </c>
      <c r="AH715" s="28" t="s">
        <v>23</v>
      </c>
      <c r="AI715" s="28" t="s">
        <v>2297</v>
      </c>
      <c r="AJ715" s="28" t="s">
        <v>2297</v>
      </c>
      <c r="AK715" s="28" t="s">
        <v>6</v>
      </c>
      <c r="AL715" s="28" t="s">
        <v>2298</v>
      </c>
      <c r="AM715" s="114"/>
    </row>
    <row r="716" spans="21:39">
      <c r="U716" s="18">
        <v>714</v>
      </c>
      <c r="V716" s="18" t="s">
        <v>1653</v>
      </c>
      <c r="W716" s="18">
        <v>26</v>
      </c>
      <c r="X716" s="18" t="s">
        <v>76</v>
      </c>
      <c r="Y716" s="18" t="s">
        <v>661</v>
      </c>
      <c r="Z716" s="18" t="s">
        <v>1640</v>
      </c>
      <c r="AA716" s="18">
        <v>24</v>
      </c>
      <c r="AC716" s="28" t="s">
        <v>3158</v>
      </c>
      <c r="AD716" s="28" t="s">
        <v>3173</v>
      </c>
      <c r="AE716" s="28" t="s">
        <v>2717</v>
      </c>
      <c r="AF716" s="28" t="s">
        <v>3174</v>
      </c>
      <c r="AG716" s="28" t="s">
        <v>3175</v>
      </c>
      <c r="AH716" s="28" t="s">
        <v>43</v>
      </c>
      <c r="AI716" s="28" t="s">
        <v>2302</v>
      </c>
      <c r="AJ716" s="28" t="s">
        <v>2297</v>
      </c>
      <c r="AK716" s="28" t="s">
        <v>66</v>
      </c>
      <c r="AL716" s="28" t="s">
        <v>2298</v>
      </c>
      <c r="AM716" s="114"/>
    </row>
    <row r="717" spans="21:39">
      <c r="U717" s="18">
        <v>715</v>
      </c>
      <c r="V717" s="18" t="s">
        <v>1654</v>
      </c>
      <c r="W717" s="18">
        <v>27</v>
      </c>
      <c r="X717" s="18" t="s">
        <v>76</v>
      </c>
      <c r="Y717" s="18" t="s">
        <v>664</v>
      </c>
      <c r="Z717" s="18" t="s">
        <v>1655</v>
      </c>
      <c r="AA717" s="18">
        <v>6</v>
      </c>
      <c r="AC717" s="28" t="s">
        <v>3158</v>
      </c>
      <c r="AD717" s="28" t="s">
        <v>3176</v>
      </c>
      <c r="AE717" s="28" t="s">
        <v>2719</v>
      </c>
      <c r="AF717" s="28" t="s">
        <v>3177</v>
      </c>
      <c r="AG717" s="28" t="s">
        <v>3178</v>
      </c>
      <c r="AH717" s="28" t="s">
        <v>75</v>
      </c>
      <c r="AI717" s="28" t="s">
        <v>2302</v>
      </c>
      <c r="AJ717" s="28" t="s">
        <v>2297</v>
      </c>
      <c r="AK717" s="28" t="s">
        <v>73</v>
      </c>
      <c r="AL717" s="28" t="s">
        <v>2298</v>
      </c>
      <c r="AM717" s="114"/>
    </row>
    <row r="718" spans="21:39">
      <c r="U718" s="18">
        <v>716</v>
      </c>
      <c r="V718" s="18" t="s">
        <v>1656</v>
      </c>
      <c r="W718" s="18">
        <v>29</v>
      </c>
      <c r="X718" s="18" t="s">
        <v>76</v>
      </c>
      <c r="Y718" s="18" t="s">
        <v>664</v>
      </c>
      <c r="Z718" s="18" t="s">
        <v>1652</v>
      </c>
      <c r="AA718" s="18">
        <v>14</v>
      </c>
      <c r="AC718" s="28" t="s">
        <v>3158</v>
      </c>
      <c r="AD718" s="28" t="s">
        <v>3179</v>
      </c>
      <c r="AE718" s="28" t="s">
        <v>2719</v>
      </c>
      <c r="AF718" s="28" t="s">
        <v>3180</v>
      </c>
      <c r="AG718" s="28" t="s">
        <v>3181</v>
      </c>
      <c r="AH718" s="28" t="s">
        <v>18</v>
      </c>
      <c r="AI718" s="28" t="s">
        <v>2296</v>
      </c>
      <c r="AJ718" s="28" t="s">
        <v>2302</v>
      </c>
      <c r="AK718" s="28" t="s">
        <v>38</v>
      </c>
      <c r="AL718" s="28" t="s">
        <v>2298</v>
      </c>
      <c r="AM718" s="114"/>
    </row>
    <row r="719" spans="21:39">
      <c r="U719" s="18">
        <v>717</v>
      </c>
      <c r="V719" s="18" t="s">
        <v>1657</v>
      </c>
      <c r="W719" s="18">
        <v>24</v>
      </c>
      <c r="X719" s="18" t="s">
        <v>76</v>
      </c>
      <c r="Y719" s="18" t="s">
        <v>669</v>
      </c>
      <c r="Z719" s="18" t="s">
        <v>811</v>
      </c>
      <c r="AA719" s="18">
        <v>8</v>
      </c>
      <c r="AC719" s="28" t="s">
        <v>3158</v>
      </c>
      <c r="AD719" s="28" t="s">
        <v>3182</v>
      </c>
      <c r="AE719" s="28" t="s">
        <v>2735</v>
      </c>
      <c r="AF719" s="28" t="s">
        <v>3160</v>
      </c>
      <c r="AG719" s="28" t="s">
        <v>3161</v>
      </c>
      <c r="AH719" s="28" t="s">
        <v>40</v>
      </c>
      <c r="AI719" s="28" t="s">
        <v>2305</v>
      </c>
      <c r="AJ719" s="28" t="s">
        <v>2302</v>
      </c>
      <c r="AK719" s="28" t="s">
        <v>49</v>
      </c>
      <c r="AL719" s="28" t="s">
        <v>2298</v>
      </c>
      <c r="AM719" s="114"/>
    </row>
    <row r="720" spans="21:39">
      <c r="U720" s="18">
        <v>718</v>
      </c>
      <c r="V720" s="18" t="s">
        <v>1658</v>
      </c>
      <c r="W720" s="18">
        <v>31</v>
      </c>
      <c r="X720" s="18" t="s">
        <v>76</v>
      </c>
      <c r="Y720" s="18" t="s">
        <v>669</v>
      </c>
      <c r="Z720" s="18" t="s">
        <v>1294</v>
      </c>
      <c r="AA720" s="18">
        <v>23</v>
      </c>
      <c r="AC720" s="28" t="s">
        <v>3158</v>
      </c>
      <c r="AD720" s="28" t="s">
        <v>3183</v>
      </c>
      <c r="AE720" s="28" t="s">
        <v>2735</v>
      </c>
      <c r="AF720" s="28" t="s">
        <v>3184</v>
      </c>
      <c r="AG720" s="28" t="s">
        <v>3185</v>
      </c>
      <c r="AH720" s="28" t="s">
        <v>62</v>
      </c>
      <c r="AI720" s="28" t="s">
        <v>2297</v>
      </c>
      <c r="AJ720" s="28" t="s">
        <v>2302</v>
      </c>
      <c r="AK720" s="28" t="s">
        <v>51</v>
      </c>
      <c r="AL720" s="28" t="s">
        <v>2298</v>
      </c>
      <c r="AM720" s="114"/>
    </row>
    <row r="721" spans="21:39">
      <c r="U721" s="18">
        <v>719</v>
      </c>
      <c r="V721" s="18" t="s">
        <v>1659</v>
      </c>
      <c r="W721" s="18">
        <v>23</v>
      </c>
      <c r="X721" s="18" t="s">
        <v>76</v>
      </c>
      <c r="Y721" s="18" t="s">
        <v>669</v>
      </c>
      <c r="Z721" s="18" t="s">
        <v>1660</v>
      </c>
      <c r="AA721" s="18">
        <v>25</v>
      </c>
      <c r="AC721" s="28" t="s">
        <v>3158</v>
      </c>
      <c r="AD721" s="28" t="s">
        <v>3186</v>
      </c>
      <c r="AE721" s="28" t="s">
        <v>2725</v>
      </c>
      <c r="AF721" s="28" t="s">
        <v>3163</v>
      </c>
      <c r="AG721" s="28" t="s">
        <v>3164</v>
      </c>
      <c r="AH721" s="28" t="s">
        <v>20</v>
      </c>
      <c r="AI721" s="28" t="s">
        <v>2297</v>
      </c>
      <c r="AJ721" s="28" t="s">
        <v>2297</v>
      </c>
      <c r="AK721" s="28" t="s">
        <v>13</v>
      </c>
      <c r="AL721" s="28" t="s">
        <v>2298</v>
      </c>
      <c r="AM721" s="114"/>
    </row>
    <row r="722" spans="21:39">
      <c r="U722" s="18">
        <v>720</v>
      </c>
      <c r="V722" s="18" t="s">
        <v>1661</v>
      </c>
      <c r="W722" s="18">
        <v>27</v>
      </c>
      <c r="X722" s="18" t="s">
        <v>76</v>
      </c>
      <c r="Y722" s="18" t="s">
        <v>675</v>
      </c>
      <c r="Z722" s="18" t="s">
        <v>1652</v>
      </c>
      <c r="AA722" s="18">
        <v>10</v>
      </c>
      <c r="AC722" s="28" t="s">
        <v>3158</v>
      </c>
      <c r="AD722" s="28" t="s">
        <v>3187</v>
      </c>
      <c r="AE722" s="28" t="s">
        <v>2725</v>
      </c>
      <c r="AF722" s="28" t="s">
        <v>3171</v>
      </c>
      <c r="AG722" s="28" t="s">
        <v>3172</v>
      </c>
      <c r="AH722" s="28" t="s">
        <v>76</v>
      </c>
      <c r="AI722" s="28" t="s">
        <v>2297</v>
      </c>
      <c r="AJ722" s="28" t="s">
        <v>2297</v>
      </c>
      <c r="AK722" s="28" t="s">
        <v>77</v>
      </c>
      <c r="AL722" s="28" t="s">
        <v>2298</v>
      </c>
      <c r="AM722" s="114"/>
    </row>
    <row r="723" spans="21:39">
      <c r="U723" s="18">
        <v>721</v>
      </c>
      <c r="V723" s="18" t="s">
        <v>1662</v>
      </c>
      <c r="W723" s="18">
        <v>23</v>
      </c>
      <c r="X723" s="18" t="s">
        <v>76</v>
      </c>
      <c r="Y723" s="18" t="s">
        <v>675</v>
      </c>
      <c r="Z723" s="18" t="s">
        <v>1663</v>
      </c>
      <c r="AA723" s="18">
        <v>19</v>
      </c>
      <c r="AC723" s="28" t="s">
        <v>3158</v>
      </c>
      <c r="AD723" s="28" t="s">
        <v>3188</v>
      </c>
      <c r="AE723" s="28" t="s">
        <v>2934</v>
      </c>
      <c r="AF723" s="28" t="s">
        <v>3166</v>
      </c>
      <c r="AG723" s="28" t="s">
        <v>3167</v>
      </c>
      <c r="AH723" s="28" t="s">
        <v>3585</v>
      </c>
      <c r="AI723" s="28" t="s">
        <v>2302</v>
      </c>
      <c r="AJ723" s="28" t="s">
        <v>2302</v>
      </c>
      <c r="AK723" s="28" t="s">
        <v>30</v>
      </c>
      <c r="AL723" s="28" t="s">
        <v>2298</v>
      </c>
      <c r="AM723" s="114"/>
    </row>
    <row r="724" spans="21:39">
      <c r="U724" s="18">
        <v>722</v>
      </c>
      <c r="V724" s="18" t="s">
        <v>1664</v>
      </c>
      <c r="W724" s="18">
        <v>27</v>
      </c>
      <c r="X724" s="18" t="s">
        <v>76</v>
      </c>
      <c r="Y724" s="18" t="s">
        <v>675</v>
      </c>
      <c r="Z724" s="18" t="s">
        <v>1665</v>
      </c>
      <c r="AA724" s="18">
        <v>20</v>
      </c>
      <c r="AC724" s="28" t="s">
        <v>3158</v>
      </c>
      <c r="AD724" s="28" t="s">
        <v>3189</v>
      </c>
      <c r="AE724" s="28" t="s">
        <v>2934</v>
      </c>
      <c r="AF724" s="28" t="s">
        <v>3169</v>
      </c>
      <c r="AG724" s="28" t="s">
        <v>3161</v>
      </c>
      <c r="AH724" s="28" t="s">
        <v>12</v>
      </c>
      <c r="AI724" s="28" t="s">
        <v>2305</v>
      </c>
      <c r="AJ724" s="28" t="s">
        <v>2297</v>
      </c>
      <c r="AK724" s="28" t="s">
        <v>31</v>
      </c>
      <c r="AL724" s="28" t="s">
        <v>2298</v>
      </c>
      <c r="AM724" s="114"/>
    </row>
    <row r="725" spans="21:39">
      <c r="U725" s="18">
        <v>723</v>
      </c>
      <c r="V725" s="18" t="s">
        <v>1666</v>
      </c>
      <c r="W725" s="18">
        <v>26</v>
      </c>
      <c r="X725" s="18" t="s">
        <v>76</v>
      </c>
      <c r="Y725" s="18" t="s">
        <v>679</v>
      </c>
      <c r="Z725" s="18" t="s">
        <v>1667</v>
      </c>
      <c r="AA725" s="18">
        <v>11</v>
      </c>
      <c r="AC725" s="28" t="s">
        <v>3158</v>
      </c>
      <c r="AD725" s="28" t="s">
        <v>3190</v>
      </c>
      <c r="AE725" s="28" t="s">
        <v>2928</v>
      </c>
      <c r="AF725" s="28" t="s">
        <v>3191</v>
      </c>
      <c r="AG725" s="28" t="s">
        <v>3192</v>
      </c>
      <c r="AH725" s="28" t="s">
        <v>44</v>
      </c>
      <c r="AI725" s="28" t="s">
        <v>2302</v>
      </c>
      <c r="AJ725" s="28" t="s">
        <v>2297</v>
      </c>
      <c r="AK725" s="28" t="s">
        <v>10</v>
      </c>
      <c r="AL725" s="28" t="s">
        <v>2298</v>
      </c>
      <c r="AM725" s="114"/>
    </row>
    <row r="726" spans="21:39">
      <c r="U726" s="18">
        <v>724</v>
      </c>
      <c r="V726" s="18" t="s">
        <v>1668</v>
      </c>
      <c r="W726" s="18">
        <v>23</v>
      </c>
      <c r="X726" s="18" t="s">
        <v>76</v>
      </c>
      <c r="Y726" s="18" t="s">
        <v>679</v>
      </c>
      <c r="Z726" s="18" t="s">
        <v>1640</v>
      </c>
      <c r="AA726" s="18">
        <v>21</v>
      </c>
      <c r="AC726" s="28" t="s">
        <v>3158</v>
      </c>
      <c r="AD726" s="28" t="s">
        <v>3193</v>
      </c>
      <c r="AE726" s="28" t="s">
        <v>2928</v>
      </c>
      <c r="AF726" s="28" t="s">
        <v>3180</v>
      </c>
      <c r="AG726" s="28" t="s">
        <v>3181</v>
      </c>
      <c r="AH726" s="28" t="s">
        <v>19</v>
      </c>
      <c r="AI726" s="28" t="s">
        <v>2302</v>
      </c>
      <c r="AJ726" s="28" t="s">
        <v>2297</v>
      </c>
      <c r="AK726" s="28" t="s">
        <v>16</v>
      </c>
      <c r="AL726" s="28" t="s">
        <v>2298</v>
      </c>
      <c r="AM726" s="114"/>
    </row>
    <row r="727" spans="21:39">
      <c r="U727" s="18">
        <v>725</v>
      </c>
      <c r="V727" s="18" t="s">
        <v>1669</v>
      </c>
      <c r="W727" s="18">
        <v>28</v>
      </c>
      <c r="X727" s="18" t="s">
        <v>76</v>
      </c>
      <c r="Y727" s="18" t="s">
        <v>681</v>
      </c>
      <c r="Z727" s="18" t="s">
        <v>1640</v>
      </c>
      <c r="AA727" s="18">
        <v>7</v>
      </c>
      <c r="AC727" s="28" t="s">
        <v>3158</v>
      </c>
      <c r="AD727" s="28" t="s">
        <v>3194</v>
      </c>
      <c r="AE727" s="28" t="s">
        <v>2590</v>
      </c>
      <c r="AF727" s="28" t="s">
        <v>3177</v>
      </c>
      <c r="AG727" s="28" t="s">
        <v>3178</v>
      </c>
      <c r="AH727" s="28" t="s">
        <v>61</v>
      </c>
      <c r="AI727" s="28" t="s">
        <v>2302</v>
      </c>
      <c r="AJ727" s="28" t="s">
        <v>2301</v>
      </c>
      <c r="AK727" s="28" t="s">
        <v>11</v>
      </c>
      <c r="AL727" s="28" t="s">
        <v>2298</v>
      </c>
      <c r="AM727" s="114"/>
    </row>
    <row r="728" spans="21:39">
      <c r="U728" s="18">
        <v>726</v>
      </c>
      <c r="V728" s="18" t="s">
        <v>1670</v>
      </c>
      <c r="W728" s="18">
        <v>36</v>
      </c>
      <c r="X728" s="18" t="s">
        <v>76</v>
      </c>
      <c r="Y728" s="18" t="s">
        <v>681</v>
      </c>
      <c r="Z728" s="18" t="s">
        <v>1671</v>
      </c>
      <c r="AA728" s="18">
        <v>17</v>
      </c>
      <c r="AC728" s="28" t="s">
        <v>3158</v>
      </c>
      <c r="AD728" s="28" t="s">
        <v>3195</v>
      </c>
      <c r="AE728" s="28" t="s">
        <v>2588</v>
      </c>
      <c r="AF728" s="28" t="s">
        <v>3160</v>
      </c>
      <c r="AG728" s="28" t="s">
        <v>3161</v>
      </c>
      <c r="AH728" s="28" t="s">
        <v>9</v>
      </c>
      <c r="AI728" s="28" t="s">
        <v>2296</v>
      </c>
      <c r="AJ728" s="28" t="s">
        <v>2297</v>
      </c>
      <c r="AK728" s="28" t="s">
        <v>2425</v>
      </c>
      <c r="AL728" s="28" t="s">
        <v>2298</v>
      </c>
      <c r="AM728" s="114"/>
    </row>
    <row r="729" spans="21:39">
      <c r="U729" s="18">
        <v>727</v>
      </c>
      <c r="V729" s="18" t="s">
        <v>1672</v>
      </c>
      <c r="W729" s="18">
        <v>34</v>
      </c>
      <c r="X729" s="18" t="s">
        <v>76</v>
      </c>
      <c r="Y729" s="18" t="s">
        <v>683</v>
      </c>
      <c r="Z729" s="18" t="s">
        <v>977</v>
      </c>
      <c r="AA729" s="18">
        <v>9</v>
      </c>
      <c r="AC729" s="28" t="s">
        <v>3158</v>
      </c>
      <c r="AD729" s="28" t="s">
        <v>3196</v>
      </c>
      <c r="AE729" s="28" t="s">
        <v>2588</v>
      </c>
      <c r="AF729" s="28" t="s">
        <v>3184</v>
      </c>
      <c r="AG729" s="28" t="s">
        <v>3185</v>
      </c>
      <c r="AH729" s="28" t="s">
        <v>59</v>
      </c>
      <c r="AI729" s="28" t="s">
        <v>2305</v>
      </c>
      <c r="AJ729" s="28" t="s">
        <v>2297</v>
      </c>
      <c r="AK729" s="28" t="s">
        <v>55</v>
      </c>
      <c r="AL729" s="28" t="s">
        <v>2298</v>
      </c>
      <c r="AM729" s="114"/>
    </row>
    <row r="730" spans="21:39">
      <c r="U730" s="18">
        <v>728</v>
      </c>
      <c r="V730" s="18" t="s">
        <v>1673</v>
      </c>
      <c r="W730" s="18">
        <v>25</v>
      </c>
      <c r="X730" s="18" t="s">
        <v>76</v>
      </c>
      <c r="Y730" s="18" t="s">
        <v>683</v>
      </c>
      <c r="Z730" s="18" t="s">
        <v>1674</v>
      </c>
      <c r="AA730" s="18">
        <v>18</v>
      </c>
      <c r="AC730" s="28" t="s">
        <v>3158</v>
      </c>
      <c r="AD730" s="28" t="s">
        <v>3197</v>
      </c>
      <c r="AE730" s="28" t="s">
        <v>2590</v>
      </c>
      <c r="AF730" s="28" t="s">
        <v>3174</v>
      </c>
      <c r="AG730" s="28" t="s">
        <v>3175</v>
      </c>
      <c r="AH730" s="28" t="s">
        <v>5</v>
      </c>
      <c r="AI730" s="28" t="s">
        <v>2302</v>
      </c>
      <c r="AJ730" s="28" t="s">
        <v>2305</v>
      </c>
      <c r="AK730" s="28" t="s">
        <v>28</v>
      </c>
      <c r="AL730" s="28" t="s">
        <v>2298</v>
      </c>
      <c r="AM730" s="114"/>
    </row>
    <row r="731" spans="21:39">
      <c r="U731" s="18">
        <v>729</v>
      </c>
      <c r="V731" s="18" t="s">
        <v>1675</v>
      </c>
      <c r="W731" s="18">
        <v>40</v>
      </c>
      <c r="X731" s="18" t="s">
        <v>527</v>
      </c>
      <c r="Y731" s="18" t="s">
        <v>642</v>
      </c>
      <c r="Z731" s="18" t="s">
        <v>1676</v>
      </c>
      <c r="AA731" s="18">
        <v>1</v>
      </c>
      <c r="AC731" s="28" t="s">
        <v>3158</v>
      </c>
      <c r="AD731" s="28" t="s">
        <v>3198</v>
      </c>
      <c r="AE731" s="28" t="s">
        <v>2719</v>
      </c>
      <c r="AF731" s="28" t="s">
        <v>3166</v>
      </c>
      <c r="AG731" s="28" t="s">
        <v>3167</v>
      </c>
      <c r="AH731" s="28" t="s">
        <v>18</v>
      </c>
      <c r="AI731" s="28" t="s">
        <v>2302</v>
      </c>
      <c r="AJ731" s="28" t="s">
        <v>2297</v>
      </c>
      <c r="AK731" s="28" t="s">
        <v>75</v>
      </c>
      <c r="AL731" s="28" t="s">
        <v>2298</v>
      </c>
      <c r="AM731" s="114"/>
    </row>
    <row r="732" spans="21:39">
      <c r="U732" s="18">
        <v>730</v>
      </c>
      <c r="V732" s="18" t="s">
        <v>1677</v>
      </c>
      <c r="W732" s="18">
        <v>29</v>
      </c>
      <c r="X732" s="18" t="s">
        <v>527</v>
      </c>
      <c r="Y732" s="18" t="s">
        <v>642</v>
      </c>
      <c r="Z732" s="18" t="s">
        <v>1678</v>
      </c>
      <c r="AA732" s="18">
        <v>12</v>
      </c>
      <c r="AC732" s="28" t="s">
        <v>3158</v>
      </c>
      <c r="AD732" s="28" t="s">
        <v>3199</v>
      </c>
      <c r="AE732" s="28" t="s">
        <v>2717</v>
      </c>
      <c r="AF732" s="28" t="s">
        <v>3169</v>
      </c>
      <c r="AG732" s="28" t="s">
        <v>3161</v>
      </c>
      <c r="AH732" s="28" t="s">
        <v>66</v>
      </c>
      <c r="AI732" s="28" t="s">
        <v>2305</v>
      </c>
      <c r="AJ732" s="28" t="s">
        <v>2305</v>
      </c>
      <c r="AK732" s="28" t="s">
        <v>6</v>
      </c>
      <c r="AL732" s="28" t="s">
        <v>2298</v>
      </c>
      <c r="AM732" s="114"/>
    </row>
    <row r="733" spans="21:39">
      <c r="U733" s="18">
        <v>731</v>
      </c>
      <c r="V733" s="18" t="s">
        <v>1679</v>
      </c>
      <c r="W733" s="18">
        <v>25</v>
      </c>
      <c r="X733" s="18" t="s">
        <v>527</v>
      </c>
      <c r="Y733" s="18" t="s">
        <v>642</v>
      </c>
      <c r="Z733" s="18" t="s">
        <v>1680</v>
      </c>
      <c r="AA733" s="18">
        <v>23</v>
      </c>
      <c r="AC733" s="28" t="s">
        <v>3158</v>
      </c>
      <c r="AD733" s="28" t="s">
        <v>3200</v>
      </c>
      <c r="AE733" s="28" t="s">
        <v>2717</v>
      </c>
      <c r="AF733" s="28" t="s">
        <v>3163</v>
      </c>
      <c r="AG733" s="28" t="s">
        <v>3164</v>
      </c>
      <c r="AH733" s="28" t="s">
        <v>23</v>
      </c>
      <c r="AI733" s="28" t="s">
        <v>2302</v>
      </c>
      <c r="AJ733" s="28" t="s">
        <v>2302</v>
      </c>
      <c r="AK733" s="28" t="s">
        <v>43</v>
      </c>
      <c r="AL733" s="28" t="s">
        <v>2298</v>
      </c>
      <c r="AM733" s="114"/>
    </row>
    <row r="734" spans="21:39">
      <c r="U734" s="18">
        <v>732</v>
      </c>
      <c r="V734" s="18" t="s">
        <v>1681</v>
      </c>
      <c r="W734" s="18">
        <v>31</v>
      </c>
      <c r="X734" s="18" t="s">
        <v>527</v>
      </c>
      <c r="Y734" s="18" t="s">
        <v>649</v>
      </c>
      <c r="Z734" s="18" t="s">
        <v>1682</v>
      </c>
      <c r="AA734" s="18">
        <v>3</v>
      </c>
      <c r="AC734" s="28" t="s">
        <v>3158</v>
      </c>
      <c r="AD734" s="28" t="s">
        <v>3201</v>
      </c>
      <c r="AE734" s="28" t="s">
        <v>2735</v>
      </c>
      <c r="AF734" s="28" t="s">
        <v>3180</v>
      </c>
      <c r="AG734" s="28" t="s">
        <v>3181</v>
      </c>
      <c r="AH734" s="28" t="s">
        <v>40</v>
      </c>
      <c r="AI734" s="28" t="s">
        <v>2297</v>
      </c>
      <c r="AJ734" s="28" t="s">
        <v>2302</v>
      </c>
      <c r="AK734" s="28" t="s">
        <v>62</v>
      </c>
      <c r="AL734" s="28" t="s">
        <v>2298</v>
      </c>
      <c r="AM734" s="114"/>
    </row>
    <row r="735" spans="21:39">
      <c r="U735" s="18">
        <v>733</v>
      </c>
      <c r="V735" s="18" t="s">
        <v>1683</v>
      </c>
      <c r="W735" s="18">
        <v>33</v>
      </c>
      <c r="X735" s="18" t="s">
        <v>527</v>
      </c>
      <c r="Y735" s="18" t="s">
        <v>649</v>
      </c>
      <c r="Z735" s="18" t="s">
        <v>1684</v>
      </c>
      <c r="AA735" s="18">
        <v>4</v>
      </c>
      <c r="AC735" s="28" t="s">
        <v>3158</v>
      </c>
      <c r="AD735" s="28" t="s">
        <v>3202</v>
      </c>
      <c r="AE735" s="28" t="s">
        <v>2719</v>
      </c>
      <c r="AF735" s="28" t="s">
        <v>3171</v>
      </c>
      <c r="AG735" s="28" t="s">
        <v>3172</v>
      </c>
      <c r="AH735" s="28" t="s">
        <v>73</v>
      </c>
      <c r="AI735" s="28" t="s">
        <v>2297</v>
      </c>
      <c r="AJ735" s="28" t="s">
        <v>2297</v>
      </c>
      <c r="AK735" s="28" t="s">
        <v>38</v>
      </c>
      <c r="AL735" s="28" t="s">
        <v>2298</v>
      </c>
      <c r="AM735" s="114"/>
    </row>
    <row r="736" spans="21:39">
      <c r="U736" s="18">
        <v>734</v>
      </c>
      <c r="V736" s="18" t="s">
        <v>1685</v>
      </c>
      <c r="W736" s="18">
        <v>25</v>
      </c>
      <c r="X736" s="18" t="s">
        <v>527</v>
      </c>
      <c r="Y736" s="18" t="s">
        <v>649</v>
      </c>
      <c r="Z736" s="18" t="s">
        <v>901</v>
      </c>
      <c r="AA736" s="18">
        <v>5</v>
      </c>
      <c r="AC736" s="28" t="s">
        <v>3158</v>
      </c>
      <c r="AD736" s="28" t="s">
        <v>3203</v>
      </c>
      <c r="AE736" s="28" t="s">
        <v>2735</v>
      </c>
      <c r="AF736" s="28" t="s">
        <v>3177</v>
      </c>
      <c r="AG736" s="28" t="s">
        <v>3178</v>
      </c>
      <c r="AH736" s="28" t="s">
        <v>51</v>
      </c>
      <c r="AI736" s="28" t="s">
        <v>2297</v>
      </c>
      <c r="AJ736" s="28" t="s">
        <v>2305</v>
      </c>
      <c r="AK736" s="28" t="s">
        <v>49</v>
      </c>
      <c r="AL736" s="28" t="s">
        <v>2298</v>
      </c>
      <c r="AM736" s="114"/>
    </row>
    <row r="737" spans="21:39">
      <c r="U737" s="18">
        <v>735</v>
      </c>
      <c r="V737" s="18" t="s">
        <v>1686</v>
      </c>
      <c r="W737" s="18">
        <v>26</v>
      </c>
      <c r="X737" s="18" t="s">
        <v>527</v>
      </c>
      <c r="Y737" s="18" t="s">
        <v>649</v>
      </c>
      <c r="Z737" s="18" t="s">
        <v>1687</v>
      </c>
      <c r="AA737" s="18">
        <v>25</v>
      </c>
      <c r="AC737" s="28" t="s">
        <v>3158</v>
      </c>
      <c r="AD737" s="28" t="s">
        <v>3204</v>
      </c>
      <c r="AE737" s="28" t="s">
        <v>2725</v>
      </c>
      <c r="AF737" s="28" t="s">
        <v>3184</v>
      </c>
      <c r="AG737" s="28" t="s">
        <v>3185</v>
      </c>
      <c r="AH737" s="28" t="s">
        <v>77</v>
      </c>
      <c r="AI737" s="28" t="s">
        <v>2302</v>
      </c>
      <c r="AJ737" s="28" t="s">
        <v>2305</v>
      </c>
      <c r="AK737" s="28" t="s">
        <v>13</v>
      </c>
      <c r="AL737" s="28" t="s">
        <v>2298</v>
      </c>
      <c r="AM737" s="114"/>
    </row>
    <row r="738" spans="21:39">
      <c r="U738" s="18">
        <v>736</v>
      </c>
      <c r="V738" s="18" t="s">
        <v>1688</v>
      </c>
      <c r="W738" s="18">
        <v>38</v>
      </c>
      <c r="X738" s="18" t="s">
        <v>527</v>
      </c>
      <c r="Y738" s="18" t="s">
        <v>657</v>
      </c>
      <c r="Z738" s="18" t="s">
        <v>1689</v>
      </c>
      <c r="AA738" s="18">
        <v>2</v>
      </c>
      <c r="AC738" s="28" t="s">
        <v>3158</v>
      </c>
      <c r="AD738" s="28" t="s">
        <v>3205</v>
      </c>
      <c r="AE738" s="28" t="s">
        <v>2725</v>
      </c>
      <c r="AF738" s="28" t="s">
        <v>3191</v>
      </c>
      <c r="AG738" s="28" t="s">
        <v>3192</v>
      </c>
      <c r="AH738" s="28" t="s">
        <v>20</v>
      </c>
      <c r="AI738" s="28" t="s">
        <v>2297</v>
      </c>
      <c r="AJ738" s="28" t="s">
        <v>2297</v>
      </c>
      <c r="AK738" s="28" t="s">
        <v>76</v>
      </c>
      <c r="AL738" s="28" t="s">
        <v>2298</v>
      </c>
      <c r="AM738" s="114"/>
    </row>
    <row r="739" spans="21:39">
      <c r="U739" s="18">
        <v>737</v>
      </c>
      <c r="V739" s="18" t="s">
        <v>1690</v>
      </c>
      <c r="W739" s="18">
        <v>23</v>
      </c>
      <c r="X739" s="18" t="s">
        <v>527</v>
      </c>
      <c r="Y739" s="18" t="s">
        <v>657</v>
      </c>
      <c r="Z739" s="18" t="s">
        <v>839</v>
      </c>
      <c r="AA739" s="18">
        <v>13</v>
      </c>
      <c r="AC739" s="28" t="s">
        <v>3158</v>
      </c>
      <c r="AD739" s="28" t="s">
        <v>3206</v>
      </c>
      <c r="AE739" s="28" t="s">
        <v>2934</v>
      </c>
      <c r="AF739" s="28" t="s">
        <v>3160</v>
      </c>
      <c r="AG739" s="28" t="s">
        <v>3161</v>
      </c>
      <c r="AH739" s="28" t="s">
        <v>12</v>
      </c>
      <c r="AI739" s="28" t="s">
        <v>2301</v>
      </c>
      <c r="AJ739" s="28" t="s">
        <v>2297</v>
      </c>
      <c r="AK739" s="28" t="s">
        <v>3585</v>
      </c>
      <c r="AL739" s="28" t="s">
        <v>2298</v>
      </c>
      <c r="AM739" s="114"/>
    </row>
    <row r="740" spans="21:39">
      <c r="U740" s="18">
        <v>738</v>
      </c>
      <c r="V740" s="18" t="s">
        <v>1691</v>
      </c>
      <c r="W740" s="18">
        <v>31</v>
      </c>
      <c r="X740" s="18" t="s">
        <v>527</v>
      </c>
      <c r="Y740" s="18" t="s">
        <v>661</v>
      </c>
      <c r="Z740" s="18" t="s">
        <v>1258</v>
      </c>
      <c r="AA740" s="18">
        <v>22</v>
      </c>
      <c r="AC740" s="28" t="s">
        <v>3158</v>
      </c>
      <c r="AD740" s="28" t="s">
        <v>3207</v>
      </c>
      <c r="AE740" s="28" t="s">
        <v>2934</v>
      </c>
      <c r="AF740" s="28" t="s">
        <v>3163</v>
      </c>
      <c r="AG740" s="28" t="s">
        <v>3164</v>
      </c>
      <c r="AH740" s="28" t="s">
        <v>30</v>
      </c>
      <c r="AI740" s="28" t="s">
        <v>2343</v>
      </c>
      <c r="AJ740" s="28" t="s">
        <v>2302</v>
      </c>
      <c r="AK740" s="28" t="s">
        <v>31</v>
      </c>
      <c r="AL740" s="28" t="s">
        <v>2298</v>
      </c>
      <c r="AM740" s="114"/>
    </row>
    <row r="741" spans="21:39">
      <c r="U741" s="18">
        <v>739</v>
      </c>
      <c r="V741" s="18" t="s">
        <v>1692</v>
      </c>
      <c r="W741" s="18">
        <v>23</v>
      </c>
      <c r="X741" s="18" t="s">
        <v>527</v>
      </c>
      <c r="Y741" s="18" t="s">
        <v>661</v>
      </c>
      <c r="Z741" s="18" t="s">
        <v>1402</v>
      </c>
      <c r="AA741" s="18">
        <v>24</v>
      </c>
      <c r="AC741" s="28" t="s">
        <v>3158</v>
      </c>
      <c r="AD741" s="28" t="s">
        <v>3208</v>
      </c>
      <c r="AE741" s="28" t="s">
        <v>2928</v>
      </c>
      <c r="AF741" s="28" t="s">
        <v>3166</v>
      </c>
      <c r="AG741" s="28" t="s">
        <v>3167</v>
      </c>
      <c r="AH741" s="28" t="s">
        <v>10</v>
      </c>
      <c r="AI741" s="28" t="s">
        <v>2297</v>
      </c>
      <c r="AJ741" s="28" t="s">
        <v>2302</v>
      </c>
      <c r="AK741" s="28" t="s">
        <v>16</v>
      </c>
      <c r="AL741" s="28" t="s">
        <v>2298</v>
      </c>
      <c r="AM741" s="114"/>
    </row>
    <row r="742" spans="21:39">
      <c r="U742" s="18">
        <v>740</v>
      </c>
      <c r="V742" s="18" t="s">
        <v>1693</v>
      </c>
      <c r="W742" s="18">
        <v>29</v>
      </c>
      <c r="X742" s="18" t="s">
        <v>527</v>
      </c>
      <c r="Y742" s="18" t="s">
        <v>664</v>
      </c>
      <c r="Z742" s="18" t="s">
        <v>1694</v>
      </c>
      <c r="AA742" s="18">
        <v>6</v>
      </c>
      <c r="AC742" s="28" t="s">
        <v>3158</v>
      </c>
      <c r="AD742" s="28" t="s">
        <v>3209</v>
      </c>
      <c r="AE742" s="28" t="s">
        <v>2928</v>
      </c>
      <c r="AF742" s="28" t="s">
        <v>3169</v>
      </c>
      <c r="AG742" s="28" t="s">
        <v>3161</v>
      </c>
      <c r="AH742" s="28" t="s">
        <v>19</v>
      </c>
      <c r="AI742" s="28" t="s">
        <v>2305</v>
      </c>
      <c r="AJ742" s="28" t="s">
        <v>2302</v>
      </c>
      <c r="AK742" s="28" t="s">
        <v>44</v>
      </c>
      <c r="AL742" s="28" t="s">
        <v>2298</v>
      </c>
      <c r="AM742" s="114"/>
    </row>
    <row r="743" spans="21:39">
      <c r="U743" s="18">
        <v>741</v>
      </c>
      <c r="V743" s="18" t="s">
        <v>1695</v>
      </c>
      <c r="W743" s="18">
        <v>30</v>
      </c>
      <c r="X743" s="18" t="s">
        <v>527</v>
      </c>
      <c r="Y743" s="18" t="s">
        <v>664</v>
      </c>
      <c r="Z743" s="18" t="s">
        <v>1696</v>
      </c>
      <c r="AA743" s="18">
        <v>16</v>
      </c>
      <c r="AC743" s="28" t="s">
        <v>3158</v>
      </c>
      <c r="AD743" s="28" t="s">
        <v>3210</v>
      </c>
      <c r="AE743" s="28" t="s">
        <v>2590</v>
      </c>
      <c r="AF743" s="28" t="s">
        <v>3171</v>
      </c>
      <c r="AG743" s="28" t="s">
        <v>3172</v>
      </c>
      <c r="AH743" s="28" t="s">
        <v>28</v>
      </c>
      <c r="AI743" s="28" t="s">
        <v>2302</v>
      </c>
      <c r="AJ743" s="28" t="s">
        <v>2297</v>
      </c>
      <c r="AK743" s="28" t="s">
        <v>11</v>
      </c>
      <c r="AL743" s="28" t="s">
        <v>2298</v>
      </c>
      <c r="AM743" s="114"/>
    </row>
    <row r="744" spans="21:39">
      <c r="U744" s="18">
        <v>742</v>
      </c>
      <c r="V744" s="18" t="s">
        <v>1697</v>
      </c>
      <c r="W744" s="18">
        <v>28</v>
      </c>
      <c r="X744" s="18" t="s">
        <v>527</v>
      </c>
      <c r="Y744" s="18" t="s">
        <v>669</v>
      </c>
      <c r="Z744" s="18" t="s">
        <v>1698</v>
      </c>
      <c r="AA744" s="18">
        <v>8</v>
      </c>
      <c r="AC744" s="28" t="s">
        <v>3158</v>
      </c>
      <c r="AD744" s="28" t="s">
        <v>3210</v>
      </c>
      <c r="AE744" s="28" t="s">
        <v>2590</v>
      </c>
      <c r="AF744" s="28" t="s">
        <v>3184</v>
      </c>
      <c r="AG744" s="28" t="s">
        <v>3185</v>
      </c>
      <c r="AH744" s="28" t="s">
        <v>5</v>
      </c>
      <c r="AI744" s="28" t="s">
        <v>2297</v>
      </c>
      <c r="AJ744" s="28" t="s">
        <v>2305</v>
      </c>
      <c r="AK744" s="28" t="s">
        <v>61</v>
      </c>
      <c r="AL744" s="28" t="s">
        <v>2298</v>
      </c>
      <c r="AM744" s="114"/>
    </row>
    <row r="745" spans="21:39">
      <c r="U745" s="18">
        <v>743</v>
      </c>
      <c r="V745" s="18" t="s">
        <v>1699</v>
      </c>
      <c r="W745" s="18">
        <v>26</v>
      </c>
      <c r="X745" s="18" t="s">
        <v>527</v>
      </c>
      <c r="Y745" s="18" t="s">
        <v>669</v>
      </c>
      <c r="Z745" s="18" t="s">
        <v>1700</v>
      </c>
      <c r="AA745" s="18">
        <v>14</v>
      </c>
      <c r="AC745" s="28" t="s">
        <v>3158</v>
      </c>
      <c r="AD745" s="28" t="s">
        <v>3211</v>
      </c>
      <c r="AE745" s="28" t="s">
        <v>2588</v>
      </c>
      <c r="AF745" s="28" t="s">
        <v>3180</v>
      </c>
      <c r="AG745" s="28" t="s">
        <v>3181</v>
      </c>
      <c r="AH745" s="28" t="s">
        <v>55</v>
      </c>
      <c r="AI745" s="28" t="s">
        <v>2305</v>
      </c>
      <c r="AJ745" s="28" t="s">
        <v>2305</v>
      </c>
      <c r="AK745" s="28" t="s">
        <v>2425</v>
      </c>
      <c r="AL745" s="28" t="s">
        <v>2298</v>
      </c>
      <c r="AM745" s="114"/>
    </row>
    <row r="746" spans="21:39">
      <c r="U746" s="18">
        <v>744</v>
      </c>
      <c r="V746" s="18" t="s">
        <v>1701</v>
      </c>
      <c r="W746" s="18">
        <v>29</v>
      </c>
      <c r="X746" s="18" t="s">
        <v>527</v>
      </c>
      <c r="Y746" s="18" t="s">
        <v>669</v>
      </c>
      <c r="Z746" s="18" t="s">
        <v>1702</v>
      </c>
      <c r="AA746" s="18">
        <v>15</v>
      </c>
      <c r="AC746" s="28" t="s">
        <v>3158</v>
      </c>
      <c r="AD746" s="28" t="s">
        <v>3211</v>
      </c>
      <c r="AE746" s="28" t="s">
        <v>2588</v>
      </c>
      <c r="AF746" s="28" t="s">
        <v>3174</v>
      </c>
      <c r="AG746" s="28" t="s">
        <v>3175</v>
      </c>
      <c r="AH746" s="28" t="s">
        <v>59</v>
      </c>
      <c r="AI746" s="28" t="s">
        <v>2302</v>
      </c>
      <c r="AJ746" s="28" t="s">
        <v>2305</v>
      </c>
      <c r="AK746" s="28" t="s">
        <v>9</v>
      </c>
      <c r="AL746" s="28" t="s">
        <v>2298</v>
      </c>
      <c r="AM746" s="114"/>
    </row>
    <row r="747" spans="21:39">
      <c r="U747" s="18">
        <v>745</v>
      </c>
      <c r="V747" s="18" t="s">
        <v>1703</v>
      </c>
      <c r="W747" s="18">
        <v>24</v>
      </c>
      <c r="X747" s="18" t="s">
        <v>527</v>
      </c>
      <c r="Y747" s="18" t="s">
        <v>669</v>
      </c>
      <c r="Z747" s="18" t="s">
        <v>1704</v>
      </c>
      <c r="AA747" s="18">
        <v>18</v>
      </c>
      <c r="AC747" s="28" t="s">
        <v>3158</v>
      </c>
      <c r="AD747" s="28" t="s">
        <v>3212</v>
      </c>
      <c r="AE747" s="28" t="s">
        <v>2717</v>
      </c>
      <c r="AF747" s="28" t="s">
        <v>3166</v>
      </c>
      <c r="AG747" s="28" t="s">
        <v>3167</v>
      </c>
      <c r="AH747" s="28" t="s">
        <v>66</v>
      </c>
      <c r="AI747" s="28" t="s">
        <v>2302</v>
      </c>
      <c r="AJ747" s="28" t="s">
        <v>2297</v>
      </c>
      <c r="AK747" s="28" t="s">
        <v>23</v>
      </c>
      <c r="AL747" s="28" t="s">
        <v>2298</v>
      </c>
      <c r="AM747" s="114"/>
    </row>
    <row r="748" spans="21:39">
      <c r="U748" s="18">
        <v>746</v>
      </c>
      <c r="V748" s="18" t="s">
        <v>1705</v>
      </c>
      <c r="W748" s="18">
        <v>32</v>
      </c>
      <c r="X748" s="18" t="s">
        <v>527</v>
      </c>
      <c r="Y748" s="18" t="s">
        <v>675</v>
      </c>
      <c r="Z748" s="18" t="s">
        <v>1294</v>
      </c>
      <c r="AA748" s="18">
        <v>10</v>
      </c>
      <c r="AC748" s="28" t="s">
        <v>3158</v>
      </c>
      <c r="AD748" s="28" t="s">
        <v>3212</v>
      </c>
      <c r="AE748" s="28" t="s">
        <v>2717</v>
      </c>
      <c r="AF748" s="28" t="s">
        <v>3177</v>
      </c>
      <c r="AG748" s="28" t="s">
        <v>3178</v>
      </c>
      <c r="AH748" s="28" t="s">
        <v>6</v>
      </c>
      <c r="AI748" s="28" t="s">
        <v>2297</v>
      </c>
      <c r="AJ748" s="28" t="s">
        <v>2302</v>
      </c>
      <c r="AK748" s="28" t="s">
        <v>43</v>
      </c>
      <c r="AL748" s="28" t="s">
        <v>2298</v>
      </c>
      <c r="AM748" s="114"/>
    </row>
    <row r="749" spans="21:39">
      <c r="U749" s="18">
        <v>747</v>
      </c>
      <c r="V749" s="18" t="s">
        <v>1706</v>
      </c>
      <c r="W749" s="18">
        <v>35</v>
      </c>
      <c r="X749" s="18" t="s">
        <v>527</v>
      </c>
      <c r="Y749" s="18" t="s">
        <v>675</v>
      </c>
      <c r="Z749" s="18" t="s">
        <v>1395</v>
      </c>
      <c r="AA749" s="18">
        <v>21</v>
      </c>
      <c r="AC749" s="28" t="s">
        <v>3158</v>
      </c>
      <c r="AD749" s="28" t="s">
        <v>3213</v>
      </c>
      <c r="AE749" s="28" t="s">
        <v>2719</v>
      </c>
      <c r="AF749" s="28" t="s">
        <v>3160</v>
      </c>
      <c r="AG749" s="28" t="s">
        <v>3161</v>
      </c>
      <c r="AH749" s="28" t="s">
        <v>73</v>
      </c>
      <c r="AI749" s="28" t="s">
        <v>2302</v>
      </c>
      <c r="AJ749" s="28" t="s">
        <v>2297</v>
      </c>
      <c r="AK749" s="28" t="s">
        <v>18</v>
      </c>
      <c r="AL749" s="28" t="s">
        <v>2298</v>
      </c>
      <c r="AM749" s="114"/>
    </row>
    <row r="750" spans="21:39">
      <c r="U750" s="18">
        <v>748</v>
      </c>
      <c r="V750" s="18" t="s">
        <v>1707</v>
      </c>
      <c r="W750" s="18">
        <v>27</v>
      </c>
      <c r="X750" s="18" t="s">
        <v>527</v>
      </c>
      <c r="Y750" s="18" t="s">
        <v>679</v>
      </c>
      <c r="Z750" s="18" t="s">
        <v>1708</v>
      </c>
      <c r="AA750" s="18">
        <v>7</v>
      </c>
      <c r="AC750" s="28" t="s">
        <v>3158</v>
      </c>
      <c r="AD750" s="28" t="s">
        <v>3213</v>
      </c>
      <c r="AE750" s="28" t="s">
        <v>2719</v>
      </c>
      <c r="AF750" s="28" t="s">
        <v>3191</v>
      </c>
      <c r="AG750" s="28" t="s">
        <v>3192</v>
      </c>
      <c r="AH750" s="28" t="s">
        <v>38</v>
      </c>
      <c r="AI750" s="28" t="s">
        <v>2305</v>
      </c>
      <c r="AJ750" s="28" t="s">
        <v>2297</v>
      </c>
      <c r="AK750" s="28" t="s">
        <v>75</v>
      </c>
      <c r="AL750" s="28" t="s">
        <v>2298</v>
      </c>
      <c r="AM750" s="114"/>
    </row>
    <row r="751" spans="21:39">
      <c r="U751" s="18">
        <v>749</v>
      </c>
      <c r="V751" s="18" t="s">
        <v>1709</v>
      </c>
      <c r="W751" s="18">
        <v>32</v>
      </c>
      <c r="X751" s="18" t="s">
        <v>527</v>
      </c>
      <c r="Y751" s="18" t="s">
        <v>679</v>
      </c>
      <c r="Z751" s="18" t="s">
        <v>1710</v>
      </c>
      <c r="AA751" s="18">
        <v>17</v>
      </c>
      <c r="AC751" s="28" t="s">
        <v>3158</v>
      </c>
      <c r="AD751" s="28" t="s">
        <v>3214</v>
      </c>
      <c r="AE751" s="28" t="s">
        <v>2725</v>
      </c>
      <c r="AF751" s="28" t="s">
        <v>3169</v>
      </c>
      <c r="AG751" s="28" t="s">
        <v>3161</v>
      </c>
      <c r="AH751" s="28" t="s">
        <v>77</v>
      </c>
      <c r="AI751" s="28" t="s">
        <v>2301</v>
      </c>
      <c r="AJ751" s="28" t="s">
        <v>2305</v>
      </c>
      <c r="AK751" s="28" t="s">
        <v>20</v>
      </c>
      <c r="AL751" s="28" t="s">
        <v>2298</v>
      </c>
      <c r="AM751" s="114"/>
    </row>
    <row r="752" spans="21:39">
      <c r="U752" s="18">
        <v>750</v>
      </c>
      <c r="V752" s="18" t="s">
        <v>1711</v>
      </c>
      <c r="W752" s="18">
        <v>24</v>
      </c>
      <c r="X752" s="18" t="s">
        <v>527</v>
      </c>
      <c r="Y752" s="18" t="s">
        <v>679</v>
      </c>
      <c r="Z752" s="18" t="s">
        <v>1712</v>
      </c>
      <c r="AA752" s="18">
        <v>26</v>
      </c>
      <c r="AC752" s="28" t="s">
        <v>3158</v>
      </c>
      <c r="AD752" s="28" t="s">
        <v>3214</v>
      </c>
      <c r="AE752" s="28" t="s">
        <v>2725</v>
      </c>
      <c r="AF752" s="28" t="s">
        <v>3174</v>
      </c>
      <c r="AG752" s="28" t="s">
        <v>3175</v>
      </c>
      <c r="AH752" s="28" t="s">
        <v>13</v>
      </c>
      <c r="AI752" s="28" t="s">
        <v>2302</v>
      </c>
      <c r="AJ752" s="28" t="s">
        <v>2302</v>
      </c>
      <c r="AK752" s="28" t="s">
        <v>76</v>
      </c>
      <c r="AL752" s="28" t="s">
        <v>2298</v>
      </c>
      <c r="AM752" s="114"/>
    </row>
    <row r="753" spans="21:39">
      <c r="U753" s="18">
        <v>751</v>
      </c>
      <c r="V753" s="18" t="s">
        <v>1713</v>
      </c>
      <c r="W753" s="18">
        <v>35</v>
      </c>
      <c r="X753" s="18" t="s">
        <v>527</v>
      </c>
      <c r="Y753" s="18" t="s">
        <v>681</v>
      </c>
      <c r="Z753" s="18" t="s">
        <v>1714</v>
      </c>
      <c r="AA753" s="18">
        <v>11</v>
      </c>
      <c r="AC753" s="28" t="s">
        <v>3158</v>
      </c>
      <c r="AD753" s="28" t="s">
        <v>3215</v>
      </c>
      <c r="AE753" s="28" t="s">
        <v>2735</v>
      </c>
      <c r="AF753" s="28" t="s">
        <v>3171</v>
      </c>
      <c r="AG753" s="28" t="s">
        <v>3172</v>
      </c>
      <c r="AH753" s="28" t="s">
        <v>49</v>
      </c>
      <c r="AI753" s="28" t="s">
        <v>2297</v>
      </c>
      <c r="AJ753" s="28" t="s">
        <v>2301</v>
      </c>
      <c r="AK753" s="28" t="s">
        <v>62</v>
      </c>
      <c r="AL753" s="28" t="s">
        <v>2298</v>
      </c>
      <c r="AM753" s="114"/>
    </row>
    <row r="754" spans="21:39">
      <c r="U754" s="18">
        <v>752</v>
      </c>
      <c r="V754" s="18" t="s">
        <v>1715</v>
      </c>
      <c r="W754" s="18">
        <v>36</v>
      </c>
      <c r="X754" s="18" t="s">
        <v>527</v>
      </c>
      <c r="Y754" s="18" t="s">
        <v>681</v>
      </c>
      <c r="Z754" s="18" t="s">
        <v>1309</v>
      </c>
      <c r="AA754" s="18">
        <v>20</v>
      </c>
      <c r="AC754" s="28" t="s">
        <v>3158</v>
      </c>
      <c r="AD754" s="28" t="s">
        <v>3215</v>
      </c>
      <c r="AE754" s="28" t="s">
        <v>2735</v>
      </c>
      <c r="AF754" s="28" t="s">
        <v>3163</v>
      </c>
      <c r="AG754" s="28" t="s">
        <v>3164</v>
      </c>
      <c r="AH754" s="28" t="s">
        <v>51</v>
      </c>
      <c r="AI754" s="28" t="s">
        <v>2297</v>
      </c>
      <c r="AJ754" s="28" t="s">
        <v>2305</v>
      </c>
      <c r="AK754" s="28" t="s">
        <v>40</v>
      </c>
      <c r="AL754" s="28" t="s">
        <v>2298</v>
      </c>
      <c r="AM754" s="114"/>
    </row>
    <row r="755" spans="21:39">
      <c r="U755" s="18">
        <v>753</v>
      </c>
      <c r="V755" s="18" t="s">
        <v>1716</v>
      </c>
      <c r="W755" s="18">
        <v>24</v>
      </c>
      <c r="X755" s="18" t="s">
        <v>527</v>
      </c>
      <c r="Y755" s="18" t="s">
        <v>683</v>
      </c>
      <c r="Z755" s="18" t="s">
        <v>1717</v>
      </c>
      <c r="AA755" s="18">
        <v>9</v>
      </c>
      <c r="AC755" s="28" t="s">
        <v>3158</v>
      </c>
      <c r="AD755" s="28" t="s">
        <v>3216</v>
      </c>
      <c r="AE755" s="28" t="s">
        <v>2934</v>
      </c>
      <c r="AF755" s="28" t="s">
        <v>3180</v>
      </c>
      <c r="AG755" s="28" t="s">
        <v>3181</v>
      </c>
      <c r="AH755" s="28" t="s">
        <v>30</v>
      </c>
      <c r="AI755" s="28" t="s">
        <v>2302</v>
      </c>
      <c r="AJ755" s="28" t="s">
        <v>2302</v>
      </c>
      <c r="AK755" s="28" t="s">
        <v>12</v>
      </c>
      <c r="AL755" s="28" t="s">
        <v>2298</v>
      </c>
      <c r="AM755" s="114"/>
    </row>
    <row r="756" spans="21:39">
      <c r="U756" s="18">
        <v>754</v>
      </c>
      <c r="V756" s="18" t="s">
        <v>1718</v>
      </c>
      <c r="W756" s="18">
        <v>25</v>
      </c>
      <c r="X756" s="18" t="s">
        <v>527</v>
      </c>
      <c r="Y756" s="18" t="s">
        <v>683</v>
      </c>
      <c r="Z756" s="18" t="s">
        <v>1719</v>
      </c>
      <c r="AA756" s="18">
        <v>19</v>
      </c>
      <c r="AC756" s="28" t="s">
        <v>3158</v>
      </c>
      <c r="AD756" s="28" t="s">
        <v>3216</v>
      </c>
      <c r="AE756" s="28" t="s">
        <v>2934</v>
      </c>
      <c r="AF756" s="28" t="s">
        <v>3191</v>
      </c>
      <c r="AG756" s="28" t="s">
        <v>3192</v>
      </c>
      <c r="AH756" s="28" t="s">
        <v>31</v>
      </c>
      <c r="AI756" s="28" t="s">
        <v>2302</v>
      </c>
      <c r="AJ756" s="28" t="s">
        <v>2301</v>
      </c>
      <c r="AK756" s="28" t="s">
        <v>3585</v>
      </c>
      <c r="AL756" s="28" t="s">
        <v>2298</v>
      </c>
      <c r="AM756" s="114"/>
    </row>
    <row r="757" spans="21:39">
      <c r="U757" s="18">
        <v>755</v>
      </c>
      <c r="V757" s="18" t="s">
        <v>1720</v>
      </c>
      <c r="W757" s="18">
        <v>26</v>
      </c>
      <c r="X757" s="18" t="s">
        <v>56</v>
      </c>
      <c r="Y757" s="18" t="s">
        <v>642</v>
      </c>
      <c r="Z757" s="18" t="s">
        <v>1721</v>
      </c>
      <c r="AA757" s="18">
        <v>1</v>
      </c>
      <c r="AC757" s="28" t="s">
        <v>3158</v>
      </c>
      <c r="AD757" s="28" t="s">
        <v>3217</v>
      </c>
      <c r="AE757" s="28" t="s">
        <v>2928</v>
      </c>
      <c r="AF757" s="28" t="s">
        <v>3177</v>
      </c>
      <c r="AG757" s="28" t="s">
        <v>3178</v>
      </c>
      <c r="AH757" s="28" t="s">
        <v>10</v>
      </c>
      <c r="AI757" s="28" t="s">
        <v>2297</v>
      </c>
      <c r="AJ757" s="28" t="s">
        <v>2305</v>
      </c>
      <c r="AK757" s="28" t="s">
        <v>19</v>
      </c>
      <c r="AL757" s="28" t="s">
        <v>2298</v>
      </c>
      <c r="AM757" s="114"/>
    </row>
    <row r="758" spans="21:39">
      <c r="U758" s="18">
        <v>756</v>
      </c>
      <c r="V758" s="18" t="s">
        <v>1722</v>
      </c>
      <c r="W758" s="18">
        <v>34</v>
      </c>
      <c r="X758" s="18" t="s">
        <v>56</v>
      </c>
      <c r="Y758" s="18" t="s">
        <v>642</v>
      </c>
      <c r="Z758" s="18" t="s">
        <v>1723</v>
      </c>
      <c r="AA758" s="18">
        <v>21</v>
      </c>
      <c r="AC758" s="28" t="s">
        <v>3158</v>
      </c>
      <c r="AD758" s="28" t="s">
        <v>3217</v>
      </c>
      <c r="AE758" s="28" t="s">
        <v>2928</v>
      </c>
      <c r="AF758" s="28" t="s">
        <v>3184</v>
      </c>
      <c r="AG758" s="28" t="s">
        <v>3185</v>
      </c>
      <c r="AH758" s="28" t="s">
        <v>16</v>
      </c>
      <c r="AI758" s="28" t="s">
        <v>2302</v>
      </c>
      <c r="AJ758" s="28" t="s">
        <v>2302</v>
      </c>
      <c r="AK758" s="28" t="s">
        <v>44</v>
      </c>
      <c r="AL758" s="28" t="s">
        <v>2298</v>
      </c>
      <c r="AM758" s="114"/>
    </row>
    <row r="759" spans="21:39">
      <c r="U759" s="18">
        <v>757</v>
      </c>
      <c r="V759" s="18" t="s">
        <v>1724</v>
      </c>
      <c r="W759" s="18">
        <v>35</v>
      </c>
      <c r="X759" s="18" t="s">
        <v>56</v>
      </c>
      <c r="Y759" s="18" t="s">
        <v>642</v>
      </c>
      <c r="Z759" s="18" t="s">
        <v>726</v>
      </c>
      <c r="AA759" s="18">
        <v>22</v>
      </c>
      <c r="AC759" s="28" t="s">
        <v>3158</v>
      </c>
      <c r="AD759" s="28" t="s">
        <v>3218</v>
      </c>
      <c r="AE759" s="28" t="s">
        <v>170</v>
      </c>
      <c r="AF759" s="28" t="s">
        <v>3166</v>
      </c>
      <c r="AG759" s="28" t="s">
        <v>3167</v>
      </c>
      <c r="AH759" s="28" t="s">
        <v>11</v>
      </c>
      <c r="AI759" s="28" t="s">
        <v>2305</v>
      </c>
      <c r="AJ759" s="28" t="s">
        <v>2297</v>
      </c>
      <c r="AK759" s="28" t="s">
        <v>2425</v>
      </c>
      <c r="AL759" s="28" t="s">
        <v>2298</v>
      </c>
      <c r="AM759" s="114"/>
    </row>
    <row r="760" spans="21:39">
      <c r="U760" s="18">
        <v>758</v>
      </c>
      <c r="V760" s="18" t="s">
        <v>1725</v>
      </c>
      <c r="W760" s="18">
        <v>30</v>
      </c>
      <c r="X760" s="18" t="s">
        <v>56</v>
      </c>
      <c r="Y760" s="18" t="s">
        <v>649</v>
      </c>
      <c r="Z760" s="18" t="s">
        <v>1063</v>
      </c>
      <c r="AA760" s="18">
        <v>3</v>
      </c>
      <c r="AC760" s="28" t="s">
        <v>3158</v>
      </c>
      <c r="AD760" s="28" t="s">
        <v>3219</v>
      </c>
      <c r="AE760" s="28" t="s">
        <v>170</v>
      </c>
      <c r="AF760" s="28" t="s">
        <v>3171</v>
      </c>
      <c r="AG760" s="28" t="s">
        <v>3172</v>
      </c>
      <c r="AH760" s="28" t="s">
        <v>6</v>
      </c>
      <c r="AI760" s="28" t="s">
        <v>2297</v>
      </c>
      <c r="AJ760" s="28" t="s">
        <v>2305</v>
      </c>
      <c r="AK760" s="28" t="s">
        <v>73</v>
      </c>
      <c r="AL760" s="28" t="s">
        <v>3220</v>
      </c>
      <c r="AM760" s="114"/>
    </row>
    <row r="761" spans="21:39">
      <c r="U761" s="18">
        <v>759</v>
      </c>
      <c r="V761" s="18" t="s">
        <v>1726</v>
      </c>
      <c r="W761" s="18">
        <v>29</v>
      </c>
      <c r="X761" s="18" t="s">
        <v>56</v>
      </c>
      <c r="Y761" s="18" t="s">
        <v>649</v>
      </c>
      <c r="Z761" s="18" t="s">
        <v>1721</v>
      </c>
      <c r="AA761" s="18">
        <v>4</v>
      </c>
      <c r="AC761" s="28" t="s">
        <v>3158</v>
      </c>
      <c r="AD761" s="28" t="s">
        <v>3221</v>
      </c>
      <c r="AE761" s="28" t="s">
        <v>170</v>
      </c>
      <c r="AF761" s="28" t="s">
        <v>3184</v>
      </c>
      <c r="AG761" s="28" t="s">
        <v>3185</v>
      </c>
      <c r="AH761" s="28" t="s">
        <v>18</v>
      </c>
      <c r="AI761" s="28" t="s">
        <v>2296</v>
      </c>
      <c r="AJ761" s="28" t="s">
        <v>2297</v>
      </c>
      <c r="AK761" s="28" t="s">
        <v>23</v>
      </c>
      <c r="AL761" s="28" t="s">
        <v>2298</v>
      </c>
      <c r="AM761" s="114"/>
    </row>
    <row r="762" spans="21:39">
      <c r="U762" s="18">
        <v>760</v>
      </c>
      <c r="V762" s="18" t="s">
        <v>1727</v>
      </c>
      <c r="W762" s="18">
        <v>27</v>
      </c>
      <c r="X762" s="18" t="s">
        <v>56</v>
      </c>
      <c r="Y762" s="18" t="s">
        <v>649</v>
      </c>
      <c r="Z762" s="18" t="s">
        <v>1063</v>
      </c>
      <c r="AA762" s="18">
        <v>5</v>
      </c>
      <c r="AC762" s="28" t="s">
        <v>3158</v>
      </c>
      <c r="AD762" s="28" t="s">
        <v>3222</v>
      </c>
      <c r="AE762" s="28" t="s">
        <v>170</v>
      </c>
      <c r="AF762" s="28" t="s">
        <v>3160</v>
      </c>
      <c r="AG762" s="28" t="s">
        <v>3161</v>
      </c>
      <c r="AH762" s="28" t="s">
        <v>9</v>
      </c>
      <c r="AI762" s="28" t="s">
        <v>2301</v>
      </c>
      <c r="AJ762" s="28" t="s">
        <v>2297</v>
      </c>
      <c r="AK762" s="28" t="s">
        <v>28</v>
      </c>
      <c r="AL762" s="28" t="s">
        <v>2298</v>
      </c>
      <c r="AM762" s="114"/>
    </row>
    <row r="763" spans="21:39">
      <c r="U763" s="18">
        <v>761</v>
      </c>
      <c r="V763" s="18" t="s">
        <v>1728</v>
      </c>
      <c r="W763" s="18">
        <v>33</v>
      </c>
      <c r="X763" s="18" t="s">
        <v>56</v>
      </c>
      <c r="Y763" s="18" t="s">
        <v>649</v>
      </c>
      <c r="Z763" s="18" t="s">
        <v>998</v>
      </c>
      <c r="AA763" s="18">
        <v>14</v>
      </c>
      <c r="AC763" s="28" t="s">
        <v>3158</v>
      </c>
      <c r="AD763" s="28" t="s">
        <v>3223</v>
      </c>
      <c r="AE763" s="28" t="s">
        <v>170</v>
      </c>
      <c r="AF763" s="28" t="s">
        <v>3180</v>
      </c>
      <c r="AG763" s="28" t="s">
        <v>3181</v>
      </c>
      <c r="AH763" s="28" t="s">
        <v>40</v>
      </c>
      <c r="AI763" s="28" t="s">
        <v>2305</v>
      </c>
      <c r="AJ763" s="28" t="s">
        <v>2297</v>
      </c>
      <c r="AK763" s="28" t="s">
        <v>77</v>
      </c>
      <c r="AL763" s="28" t="s">
        <v>2298</v>
      </c>
      <c r="AM763" s="114"/>
    </row>
    <row r="764" spans="21:39">
      <c r="U764" s="18">
        <v>762</v>
      </c>
      <c r="V764" s="18" t="s">
        <v>1729</v>
      </c>
      <c r="W764" s="18">
        <v>24</v>
      </c>
      <c r="X764" s="18" t="s">
        <v>56</v>
      </c>
      <c r="Y764" s="18" t="s">
        <v>649</v>
      </c>
      <c r="Z764" s="18" t="s">
        <v>726</v>
      </c>
      <c r="AA764" s="18">
        <v>25</v>
      </c>
      <c r="AC764" s="28" t="s">
        <v>3158</v>
      </c>
      <c r="AD764" s="28" t="s">
        <v>3224</v>
      </c>
      <c r="AE764" s="28" t="s">
        <v>170</v>
      </c>
      <c r="AF764" s="28" t="s">
        <v>3169</v>
      </c>
      <c r="AG764" s="28" t="s">
        <v>3161</v>
      </c>
      <c r="AH764" s="28" t="s">
        <v>12</v>
      </c>
      <c r="AI764" s="28" t="s">
        <v>2301</v>
      </c>
      <c r="AJ764" s="28" t="s">
        <v>2302</v>
      </c>
      <c r="AK764" s="28" t="s">
        <v>10</v>
      </c>
      <c r="AL764" s="28" t="s">
        <v>2298</v>
      </c>
      <c r="AM764" s="114"/>
    </row>
    <row r="765" spans="21:39">
      <c r="U765" s="18">
        <v>763</v>
      </c>
      <c r="V765" s="18" t="s">
        <v>1730</v>
      </c>
      <c r="W765" s="18">
        <v>27</v>
      </c>
      <c r="X765" s="18" t="s">
        <v>56</v>
      </c>
      <c r="Y765" s="18" t="s">
        <v>657</v>
      </c>
      <c r="Z765" s="18" t="s">
        <v>1063</v>
      </c>
      <c r="AA765" s="18">
        <v>6</v>
      </c>
      <c r="AC765" s="28" t="s">
        <v>3158</v>
      </c>
      <c r="AD765" s="28" t="s">
        <v>3225</v>
      </c>
      <c r="AE765" s="28" t="s">
        <v>170</v>
      </c>
      <c r="AF765" s="28" t="s">
        <v>3177</v>
      </c>
      <c r="AG765" s="28" t="s">
        <v>3178</v>
      </c>
      <c r="AH765" s="28" t="s">
        <v>13</v>
      </c>
      <c r="AI765" s="28" t="s">
        <v>2302</v>
      </c>
      <c r="AJ765" s="28" t="s">
        <v>2302</v>
      </c>
      <c r="AK765" s="28" t="s">
        <v>62</v>
      </c>
      <c r="AL765" s="28" t="s">
        <v>3226</v>
      </c>
      <c r="AM765" s="114"/>
    </row>
    <row r="766" spans="21:39">
      <c r="U766" s="18">
        <v>764</v>
      </c>
      <c r="V766" s="18" t="s">
        <v>1731</v>
      </c>
      <c r="W766" s="18">
        <v>26</v>
      </c>
      <c r="X766" s="18" t="s">
        <v>56</v>
      </c>
      <c r="Y766" s="18" t="s">
        <v>657</v>
      </c>
      <c r="Z766" s="18" t="s">
        <v>1063</v>
      </c>
      <c r="AA766" s="18">
        <v>24</v>
      </c>
      <c r="AC766" s="28" t="s">
        <v>3158</v>
      </c>
      <c r="AD766" s="28" t="s">
        <v>3227</v>
      </c>
      <c r="AE766" s="28" t="s">
        <v>170</v>
      </c>
      <c r="AF766" s="28" t="s">
        <v>3163</v>
      </c>
      <c r="AG766" s="28" t="s">
        <v>3164</v>
      </c>
      <c r="AH766" s="28" t="s">
        <v>19</v>
      </c>
      <c r="AI766" s="28" t="s">
        <v>2297</v>
      </c>
      <c r="AJ766" s="28" t="s">
        <v>2302</v>
      </c>
      <c r="AK766" s="28" t="s">
        <v>30</v>
      </c>
      <c r="AL766" s="28" t="s">
        <v>2298</v>
      </c>
      <c r="AM766" s="114"/>
    </row>
    <row r="767" spans="21:39">
      <c r="U767" s="18">
        <v>765</v>
      </c>
      <c r="V767" s="18" t="s">
        <v>1732</v>
      </c>
      <c r="W767" s="18">
        <v>26</v>
      </c>
      <c r="X767" s="18" t="s">
        <v>56</v>
      </c>
      <c r="Y767" s="18" t="s">
        <v>661</v>
      </c>
      <c r="Z767" s="18" t="s">
        <v>991</v>
      </c>
      <c r="AA767" s="18">
        <v>2</v>
      </c>
      <c r="AC767" s="28" t="s">
        <v>3158</v>
      </c>
      <c r="AD767" s="28" t="s">
        <v>3228</v>
      </c>
      <c r="AE767" s="28" t="s">
        <v>135</v>
      </c>
      <c r="AF767" s="28" t="s">
        <v>3166</v>
      </c>
      <c r="AG767" s="28" t="s">
        <v>3167</v>
      </c>
      <c r="AH767" s="28" t="s">
        <v>40</v>
      </c>
      <c r="AI767" s="28" t="s">
        <v>2305</v>
      </c>
      <c r="AJ767" s="28" t="s">
        <v>2297</v>
      </c>
      <c r="AK767" s="28" t="s">
        <v>12</v>
      </c>
      <c r="AL767" s="28" t="s">
        <v>2298</v>
      </c>
      <c r="AM767" s="114"/>
    </row>
    <row r="768" spans="21:39">
      <c r="U768" s="18">
        <v>766</v>
      </c>
      <c r="V768" s="18" t="s">
        <v>1733</v>
      </c>
      <c r="W768" s="18">
        <v>26</v>
      </c>
      <c r="X768" s="18" t="s">
        <v>56</v>
      </c>
      <c r="Y768" s="18" t="s">
        <v>661</v>
      </c>
      <c r="Z768" s="18" t="s">
        <v>1734</v>
      </c>
      <c r="AA768" s="18">
        <v>12</v>
      </c>
      <c r="AC768" s="28" t="s">
        <v>3158</v>
      </c>
      <c r="AD768" s="28" t="s">
        <v>3229</v>
      </c>
      <c r="AE768" s="28" t="s">
        <v>135</v>
      </c>
      <c r="AF768" s="28" t="s">
        <v>3160</v>
      </c>
      <c r="AG768" s="28" t="s">
        <v>3161</v>
      </c>
      <c r="AH768" s="28" t="s">
        <v>11</v>
      </c>
      <c r="AI768" s="28" t="s">
        <v>2297</v>
      </c>
      <c r="AJ768" s="28" t="s">
        <v>2297</v>
      </c>
      <c r="AK768" s="28" t="s">
        <v>73</v>
      </c>
      <c r="AL768" s="28" t="s">
        <v>3230</v>
      </c>
      <c r="AM768" s="114"/>
    </row>
    <row r="769" spans="21:39">
      <c r="U769" s="18">
        <v>767</v>
      </c>
      <c r="V769" s="18" t="s">
        <v>1735</v>
      </c>
      <c r="W769" s="18">
        <v>26</v>
      </c>
      <c r="X769" s="18" t="s">
        <v>56</v>
      </c>
      <c r="Y769" s="18" t="s">
        <v>661</v>
      </c>
      <c r="Z769" s="18" t="s">
        <v>1721</v>
      </c>
      <c r="AA769" s="18">
        <v>13</v>
      </c>
      <c r="AC769" s="28" t="s">
        <v>3158</v>
      </c>
      <c r="AD769" s="28" t="s">
        <v>3231</v>
      </c>
      <c r="AE769" s="28" t="s">
        <v>135</v>
      </c>
      <c r="AF769" s="28" t="s">
        <v>3163</v>
      </c>
      <c r="AG769" s="28" t="s">
        <v>3164</v>
      </c>
      <c r="AH769" s="28" t="s">
        <v>9</v>
      </c>
      <c r="AI769" s="28" t="s">
        <v>2302</v>
      </c>
      <c r="AJ769" s="28" t="s">
        <v>2296</v>
      </c>
      <c r="AK769" s="28" t="s">
        <v>18</v>
      </c>
      <c r="AL769" s="28" t="s">
        <v>2298</v>
      </c>
      <c r="AM769" s="114"/>
    </row>
    <row r="770" spans="21:39">
      <c r="U770" s="18">
        <v>768</v>
      </c>
      <c r="V770" s="18" t="s">
        <v>1736</v>
      </c>
      <c r="W770" s="18">
        <v>23</v>
      </c>
      <c r="X770" s="18" t="s">
        <v>56</v>
      </c>
      <c r="Y770" s="18" t="s">
        <v>661</v>
      </c>
      <c r="Z770" s="18" t="s">
        <v>726</v>
      </c>
      <c r="AA770" s="18">
        <v>26</v>
      </c>
      <c r="AC770" s="28" t="s">
        <v>3158</v>
      </c>
      <c r="AD770" s="28" t="s">
        <v>3232</v>
      </c>
      <c r="AE770" s="28" t="s">
        <v>135</v>
      </c>
      <c r="AF770" s="28" t="s">
        <v>3169</v>
      </c>
      <c r="AG770" s="28" t="s">
        <v>3161</v>
      </c>
      <c r="AH770" s="28" t="s">
        <v>13</v>
      </c>
      <c r="AI770" s="28" t="s">
        <v>2302</v>
      </c>
      <c r="AJ770" s="28" t="s">
        <v>2297</v>
      </c>
      <c r="AK770" s="28" t="s">
        <v>19</v>
      </c>
      <c r="AL770" s="28" t="s">
        <v>2298</v>
      </c>
      <c r="AM770" s="114"/>
    </row>
    <row r="771" spans="21:39">
      <c r="U771" s="18">
        <v>769</v>
      </c>
      <c r="V771" s="18" t="s">
        <v>1737</v>
      </c>
      <c r="W771" s="18">
        <v>29</v>
      </c>
      <c r="X771" s="18" t="s">
        <v>56</v>
      </c>
      <c r="Y771" s="18" t="s">
        <v>664</v>
      </c>
      <c r="Z771" s="18" t="s">
        <v>1721</v>
      </c>
      <c r="AA771" s="18">
        <v>15</v>
      </c>
      <c r="AC771" s="28" t="s">
        <v>3158</v>
      </c>
      <c r="AD771" s="28" t="s">
        <v>3233</v>
      </c>
      <c r="AE771" s="28" t="s">
        <v>106</v>
      </c>
      <c r="AF771" s="28" t="s">
        <v>3163</v>
      </c>
      <c r="AG771" s="28" t="s">
        <v>3164</v>
      </c>
      <c r="AH771" s="28" t="s">
        <v>11</v>
      </c>
      <c r="AI771" s="28" t="s">
        <v>2305</v>
      </c>
      <c r="AJ771" s="28" t="s">
        <v>2301</v>
      </c>
      <c r="AK771" s="28" t="s">
        <v>40</v>
      </c>
      <c r="AL771" s="28" t="s">
        <v>2298</v>
      </c>
      <c r="AM771" s="114"/>
    </row>
    <row r="772" spans="21:39">
      <c r="U772" s="18">
        <v>770</v>
      </c>
      <c r="V772" s="18" t="s">
        <v>1738</v>
      </c>
      <c r="W772" s="18">
        <v>30</v>
      </c>
      <c r="X772" s="18" t="s">
        <v>56</v>
      </c>
      <c r="Y772" s="18" t="s">
        <v>664</v>
      </c>
      <c r="Z772" s="18" t="s">
        <v>1739</v>
      </c>
      <c r="AA772" s="18">
        <v>18</v>
      </c>
      <c r="AC772" s="28" t="s">
        <v>3158</v>
      </c>
      <c r="AD772" s="28" t="s">
        <v>3234</v>
      </c>
      <c r="AE772" s="28" t="s">
        <v>106</v>
      </c>
      <c r="AF772" s="28" t="s">
        <v>3180</v>
      </c>
      <c r="AG772" s="28" t="s">
        <v>3181</v>
      </c>
      <c r="AH772" s="28" t="s">
        <v>18</v>
      </c>
      <c r="AI772" s="28" t="s">
        <v>2302</v>
      </c>
      <c r="AJ772" s="28" t="s">
        <v>2297</v>
      </c>
      <c r="AK772" s="28" t="s">
        <v>19</v>
      </c>
      <c r="AL772" s="28" t="s">
        <v>2298</v>
      </c>
      <c r="AM772" s="114"/>
    </row>
    <row r="773" spans="21:39">
      <c r="U773" s="18">
        <v>771</v>
      </c>
      <c r="V773" s="18" t="s">
        <v>1740</v>
      </c>
      <c r="W773" s="18">
        <v>24</v>
      </c>
      <c r="X773" s="18" t="s">
        <v>56</v>
      </c>
      <c r="Y773" s="18" t="s">
        <v>669</v>
      </c>
      <c r="Z773" s="18" t="s">
        <v>991</v>
      </c>
      <c r="AA773" s="18">
        <v>16</v>
      </c>
      <c r="AC773" s="28" t="s">
        <v>3158</v>
      </c>
      <c r="AD773" s="28" t="s">
        <v>3235</v>
      </c>
      <c r="AE773" s="28" t="s">
        <v>2350</v>
      </c>
      <c r="AF773" s="28" t="s">
        <v>3166</v>
      </c>
      <c r="AG773" s="28" t="s">
        <v>3167</v>
      </c>
      <c r="AH773" s="28" t="s">
        <v>11</v>
      </c>
      <c r="AI773" s="28" t="s">
        <v>2305</v>
      </c>
      <c r="AJ773" s="28" t="s">
        <v>2301</v>
      </c>
      <c r="AK773" s="28" t="s">
        <v>18</v>
      </c>
      <c r="AL773" s="28" t="s">
        <v>2298</v>
      </c>
      <c r="AM773" s="114"/>
    </row>
    <row r="774" spans="21:39">
      <c r="U774" s="18">
        <v>772</v>
      </c>
      <c r="V774" s="18" t="s">
        <v>1741</v>
      </c>
      <c r="W774" s="18">
        <v>31</v>
      </c>
      <c r="X774" s="18" t="s">
        <v>56</v>
      </c>
      <c r="Y774" s="18" t="s">
        <v>669</v>
      </c>
      <c r="Z774" s="18" t="s">
        <v>1063</v>
      </c>
      <c r="AA774" s="18">
        <v>23</v>
      </c>
      <c r="AC774" s="28" t="s">
        <v>3158</v>
      </c>
      <c r="AD774" s="28" t="s">
        <v>3236</v>
      </c>
      <c r="AE774" s="28" t="s">
        <v>238</v>
      </c>
      <c r="AF774" s="28" t="s">
        <v>3160</v>
      </c>
      <c r="AG774" s="28" t="s">
        <v>3161</v>
      </c>
      <c r="AH774" s="28" t="s">
        <v>40</v>
      </c>
      <c r="AI774" s="28" t="s">
        <v>2302</v>
      </c>
      <c r="AJ774" s="28" t="s">
        <v>2297</v>
      </c>
      <c r="AK774" s="28" t="s">
        <v>19</v>
      </c>
      <c r="AL774" s="28" t="s">
        <v>3237</v>
      </c>
      <c r="AM774" s="114"/>
    </row>
    <row r="775" spans="21:39">
      <c r="U775" s="18">
        <v>773</v>
      </c>
      <c r="V775" s="18" t="s">
        <v>1742</v>
      </c>
      <c r="W775" s="18">
        <v>22</v>
      </c>
      <c r="X775" s="18" t="s">
        <v>56</v>
      </c>
      <c r="Y775" s="18" t="s">
        <v>675</v>
      </c>
      <c r="Z775" s="18" t="s">
        <v>726</v>
      </c>
      <c r="AA775" s="18">
        <v>7</v>
      </c>
      <c r="AC775" s="28" t="s">
        <v>3238</v>
      </c>
      <c r="AD775" s="28" t="s">
        <v>3239</v>
      </c>
      <c r="AE775" s="28" t="s">
        <v>2590</v>
      </c>
      <c r="AF775" s="28" t="s">
        <v>3240</v>
      </c>
      <c r="AG775" s="28" t="s">
        <v>2396</v>
      </c>
      <c r="AH775" s="28" t="s">
        <v>12</v>
      </c>
      <c r="AI775" s="28" t="s">
        <v>2301</v>
      </c>
      <c r="AJ775" s="28" t="s">
        <v>2297</v>
      </c>
      <c r="AK775" s="28" t="s">
        <v>63</v>
      </c>
      <c r="AL775" s="28" t="s">
        <v>2298</v>
      </c>
      <c r="AM775" s="114"/>
    </row>
    <row r="776" spans="21:39">
      <c r="U776" s="18">
        <v>774</v>
      </c>
      <c r="V776" s="18" t="s">
        <v>1743</v>
      </c>
      <c r="W776" s="18">
        <v>34</v>
      </c>
      <c r="X776" s="18" t="s">
        <v>56</v>
      </c>
      <c r="Y776" s="18" t="s">
        <v>679</v>
      </c>
      <c r="Z776" s="18" t="s">
        <v>1063</v>
      </c>
      <c r="AA776" s="18">
        <v>10</v>
      </c>
      <c r="AC776" s="28" t="s">
        <v>3238</v>
      </c>
      <c r="AD776" s="28" t="s">
        <v>3241</v>
      </c>
      <c r="AE776" s="28" t="s">
        <v>2590</v>
      </c>
      <c r="AF776" s="28" t="s">
        <v>3242</v>
      </c>
      <c r="AG776" s="28" t="s">
        <v>3243</v>
      </c>
      <c r="AH776" s="28" t="s">
        <v>28</v>
      </c>
      <c r="AI776" s="28" t="s">
        <v>2297</v>
      </c>
      <c r="AJ776" s="28" t="s">
        <v>2302</v>
      </c>
      <c r="AK776" s="28" t="s">
        <v>51</v>
      </c>
      <c r="AL776" s="28" t="s">
        <v>2298</v>
      </c>
      <c r="AM776" s="114"/>
    </row>
    <row r="777" spans="21:39">
      <c r="U777" s="18">
        <v>775</v>
      </c>
      <c r="V777" s="18" t="s">
        <v>1744</v>
      </c>
      <c r="W777" s="18">
        <v>25</v>
      </c>
      <c r="X777" s="18" t="s">
        <v>56</v>
      </c>
      <c r="Y777" s="18" t="s">
        <v>679</v>
      </c>
      <c r="Z777" s="18" t="s">
        <v>1108</v>
      </c>
      <c r="AA777" s="18">
        <v>17</v>
      </c>
      <c r="AC777" s="28" t="s">
        <v>3238</v>
      </c>
      <c r="AD777" s="28" t="s">
        <v>3244</v>
      </c>
      <c r="AE777" s="28" t="s">
        <v>2588</v>
      </c>
      <c r="AF777" s="28" t="s">
        <v>3245</v>
      </c>
      <c r="AG777" s="28" t="s">
        <v>3246</v>
      </c>
      <c r="AH777" s="28" t="s">
        <v>19</v>
      </c>
      <c r="AI777" s="28" t="s">
        <v>2297</v>
      </c>
      <c r="AJ777" s="28" t="s">
        <v>2338</v>
      </c>
      <c r="AK777" s="28" t="s">
        <v>40</v>
      </c>
      <c r="AL777" s="28" t="s">
        <v>2298</v>
      </c>
      <c r="AM777" s="114"/>
    </row>
    <row r="778" spans="21:39">
      <c r="U778" s="18">
        <v>776</v>
      </c>
      <c r="V778" s="18" t="s">
        <v>1745</v>
      </c>
      <c r="W778" s="18">
        <v>25</v>
      </c>
      <c r="X778" s="18" t="s">
        <v>56</v>
      </c>
      <c r="Y778" s="18" t="s">
        <v>681</v>
      </c>
      <c r="Z778" s="18" t="s">
        <v>1721</v>
      </c>
      <c r="AA778" s="18">
        <v>8</v>
      </c>
      <c r="AC778" s="28" t="s">
        <v>3238</v>
      </c>
      <c r="AD778" s="28" t="s">
        <v>3247</v>
      </c>
      <c r="AE778" s="28" t="s">
        <v>2588</v>
      </c>
      <c r="AF778" s="28" t="s">
        <v>3248</v>
      </c>
      <c r="AG778" s="28" t="s">
        <v>3249</v>
      </c>
      <c r="AH778" s="28" t="s">
        <v>10</v>
      </c>
      <c r="AI778" s="28" t="s">
        <v>2301</v>
      </c>
      <c r="AJ778" s="28" t="s">
        <v>2297</v>
      </c>
      <c r="AK778" s="28" t="s">
        <v>38</v>
      </c>
      <c r="AL778" s="28" t="s">
        <v>2298</v>
      </c>
      <c r="AM778" s="114"/>
    </row>
    <row r="779" spans="21:39">
      <c r="U779" s="18">
        <v>777</v>
      </c>
      <c r="V779" s="18" t="s">
        <v>1746</v>
      </c>
      <c r="W779" s="18">
        <v>31</v>
      </c>
      <c r="X779" s="18" t="s">
        <v>56</v>
      </c>
      <c r="Y779" s="18" t="s">
        <v>681</v>
      </c>
      <c r="Z779" s="18" t="s">
        <v>1063</v>
      </c>
      <c r="AA779" s="18">
        <v>20</v>
      </c>
      <c r="AC779" s="28" t="s">
        <v>3238</v>
      </c>
      <c r="AD779" s="28" t="s">
        <v>3250</v>
      </c>
      <c r="AE779" s="28" t="s">
        <v>2717</v>
      </c>
      <c r="AF779" s="28" t="s">
        <v>3251</v>
      </c>
      <c r="AG779" s="28" t="s">
        <v>2398</v>
      </c>
      <c r="AH779" s="28" t="s">
        <v>53</v>
      </c>
      <c r="AI779" s="28" t="s">
        <v>2301</v>
      </c>
      <c r="AJ779" s="28" t="s">
        <v>2302</v>
      </c>
      <c r="AK779" s="28" t="s">
        <v>59</v>
      </c>
      <c r="AL779" s="28" t="s">
        <v>2298</v>
      </c>
      <c r="AM779" s="114"/>
    </row>
    <row r="780" spans="21:39">
      <c r="U780" s="18">
        <v>778</v>
      </c>
      <c r="V780" s="18" t="s">
        <v>1747</v>
      </c>
      <c r="W780" s="18">
        <v>26</v>
      </c>
      <c r="X780" s="18" t="s">
        <v>56</v>
      </c>
      <c r="Y780" s="18" t="s">
        <v>683</v>
      </c>
      <c r="Z780" s="18" t="s">
        <v>991</v>
      </c>
      <c r="AA780" s="18">
        <v>9</v>
      </c>
      <c r="AC780" s="28" t="s">
        <v>3238</v>
      </c>
      <c r="AD780" s="28" t="s">
        <v>3252</v>
      </c>
      <c r="AE780" s="28" t="s">
        <v>2719</v>
      </c>
      <c r="AF780" s="28" t="s">
        <v>3253</v>
      </c>
      <c r="AG780" s="28" t="s">
        <v>3254</v>
      </c>
      <c r="AH780" s="28" t="s">
        <v>11</v>
      </c>
      <c r="AI780" s="28" t="s">
        <v>2297</v>
      </c>
      <c r="AJ780" s="28" t="s">
        <v>2301</v>
      </c>
      <c r="AK780" s="28" t="s">
        <v>50</v>
      </c>
      <c r="AL780" s="28" t="s">
        <v>2298</v>
      </c>
      <c r="AM780" s="114"/>
    </row>
    <row r="781" spans="21:39">
      <c r="U781" s="18">
        <v>779</v>
      </c>
      <c r="V781" s="18" t="s">
        <v>1748</v>
      </c>
      <c r="W781" s="18">
        <v>32</v>
      </c>
      <c r="X781" s="18" t="s">
        <v>56</v>
      </c>
      <c r="Y781" s="18" t="s">
        <v>683</v>
      </c>
      <c r="Z781" s="18" t="s">
        <v>998</v>
      </c>
      <c r="AA781" s="18">
        <v>11</v>
      </c>
      <c r="AC781" s="28" t="s">
        <v>3238</v>
      </c>
      <c r="AD781" s="28" t="s">
        <v>3255</v>
      </c>
      <c r="AE781" s="28" t="s">
        <v>2719</v>
      </c>
      <c r="AF781" s="28" t="s">
        <v>3256</v>
      </c>
      <c r="AG781" s="28" t="s">
        <v>3257</v>
      </c>
      <c r="AH781" s="28" t="s">
        <v>23</v>
      </c>
      <c r="AI781" s="28" t="s">
        <v>2297</v>
      </c>
      <c r="AJ781" s="28" t="s">
        <v>2305</v>
      </c>
      <c r="AK781" s="28" t="s">
        <v>20</v>
      </c>
      <c r="AL781" s="28" t="s">
        <v>2298</v>
      </c>
      <c r="AM781" s="114"/>
    </row>
    <row r="782" spans="21:39">
      <c r="U782" s="18">
        <v>780</v>
      </c>
      <c r="V782" s="18" t="s">
        <v>1749</v>
      </c>
      <c r="W782" s="18">
        <v>26</v>
      </c>
      <c r="X782" s="18" t="s">
        <v>56</v>
      </c>
      <c r="Y782" s="18" t="s">
        <v>683</v>
      </c>
      <c r="Z782" s="18" t="s">
        <v>1721</v>
      </c>
      <c r="AA782" s="18">
        <v>19</v>
      </c>
      <c r="AC782" s="28" t="s">
        <v>3238</v>
      </c>
      <c r="AD782" s="28" t="s">
        <v>3258</v>
      </c>
      <c r="AE782" s="28" t="s">
        <v>2717</v>
      </c>
      <c r="AF782" s="28" t="s">
        <v>3259</v>
      </c>
      <c r="AG782" s="28" t="s">
        <v>2408</v>
      </c>
      <c r="AH782" s="28" t="s">
        <v>3585</v>
      </c>
      <c r="AI782" s="28" t="s">
        <v>2305</v>
      </c>
      <c r="AJ782" s="28" t="s">
        <v>2297</v>
      </c>
      <c r="AK782" s="28" t="s">
        <v>62</v>
      </c>
      <c r="AL782" s="28" t="s">
        <v>2298</v>
      </c>
      <c r="AM782" s="114"/>
    </row>
    <row r="783" spans="21:39">
      <c r="U783" s="18">
        <v>781</v>
      </c>
      <c r="V783" s="18" t="s">
        <v>1750</v>
      </c>
      <c r="W783" s="18">
        <v>30</v>
      </c>
      <c r="X783" s="18" t="s">
        <v>19</v>
      </c>
      <c r="Y783" s="18" t="s">
        <v>642</v>
      </c>
      <c r="Z783" s="18" t="s">
        <v>986</v>
      </c>
      <c r="AA783" s="18">
        <v>1</v>
      </c>
      <c r="AC783" s="28" t="s">
        <v>3238</v>
      </c>
      <c r="AD783" s="28" t="s">
        <v>3260</v>
      </c>
      <c r="AE783" s="28" t="s">
        <v>2735</v>
      </c>
      <c r="AF783" s="28" t="s">
        <v>3261</v>
      </c>
      <c r="AG783" s="28" t="s">
        <v>3262</v>
      </c>
      <c r="AH783" s="28" t="s">
        <v>16</v>
      </c>
      <c r="AI783" s="28" t="s">
        <v>2305</v>
      </c>
      <c r="AJ783" s="28" t="s">
        <v>2297</v>
      </c>
      <c r="AK783" s="28" t="s">
        <v>67</v>
      </c>
      <c r="AL783" s="28" t="s">
        <v>2298</v>
      </c>
      <c r="AM783" s="114"/>
    </row>
    <row r="784" spans="21:39">
      <c r="U784" s="18">
        <v>782</v>
      </c>
      <c r="V784" s="18" t="s">
        <v>1751</v>
      </c>
      <c r="W784" s="18">
        <v>25</v>
      </c>
      <c r="X784" s="18" t="s">
        <v>19</v>
      </c>
      <c r="Y784" s="18" t="s">
        <v>642</v>
      </c>
      <c r="Z784" s="18" t="s">
        <v>1008</v>
      </c>
      <c r="AA784" s="18">
        <v>13</v>
      </c>
      <c r="AC784" s="28" t="s">
        <v>3238</v>
      </c>
      <c r="AD784" s="28" t="s">
        <v>3263</v>
      </c>
      <c r="AE784" s="28" t="s">
        <v>2735</v>
      </c>
      <c r="AF784" s="28" t="s">
        <v>3264</v>
      </c>
      <c r="AG784" s="28" t="s">
        <v>2401</v>
      </c>
      <c r="AH784" s="28" t="s">
        <v>5</v>
      </c>
      <c r="AI784" s="28" t="s">
        <v>2301</v>
      </c>
      <c r="AJ784" s="28" t="s">
        <v>2302</v>
      </c>
      <c r="AK784" s="28" t="s">
        <v>44</v>
      </c>
      <c r="AL784" s="28" t="s">
        <v>2298</v>
      </c>
      <c r="AM784" s="114"/>
    </row>
    <row r="785" spans="21:39">
      <c r="U785" s="18">
        <v>783</v>
      </c>
      <c r="V785" s="18" t="s">
        <v>440</v>
      </c>
      <c r="W785" s="18">
        <v>29</v>
      </c>
      <c r="X785" s="18" t="s">
        <v>19</v>
      </c>
      <c r="Y785" s="18" t="s">
        <v>642</v>
      </c>
      <c r="Z785" s="18" t="s">
        <v>1752</v>
      </c>
      <c r="AA785" s="18">
        <v>23</v>
      </c>
      <c r="AC785" s="28" t="s">
        <v>3238</v>
      </c>
      <c r="AD785" s="28" t="s">
        <v>3265</v>
      </c>
      <c r="AE785" s="28" t="s">
        <v>2725</v>
      </c>
      <c r="AF785" s="28" t="s">
        <v>3266</v>
      </c>
      <c r="AG785" s="28" t="s">
        <v>2391</v>
      </c>
      <c r="AH785" s="28" t="s">
        <v>9</v>
      </c>
      <c r="AI785" s="28" t="s">
        <v>2305</v>
      </c>
      <c r="AJ785" s="28" t="s">
        <v>2297</v>
      </c>
      <c r="AK785" s="28" t="s">
        <v>3587</v>
      </c>
      <c r="AL785" s="28" t="s">
        <v>2298</v>
      </c>
      <c r="AM785" s="114"/>
    </row>
    <row r="786" spans="21:39">
      <c r="U786" s="18">
        <v>784</v>
      </c>
      <c r="V786" s="18" t="s">
        <v>1753</v>
      </c>
      <c r="W786" s="18">
        <v>25</v>
      </c>
      <c r="X786" s="18" t="s">
        <v>19</v>
      </c>
      <c r="Y786" s="18" t="s">
        <v>649</v>
      </c>
      <c r="Z786" s="18" t="s">
        <v>1008</v>
      </c>
      <c r="AA786" s="18">
        <v>4</v>
      </c>
      <c r="AC786" s="28" t="s">
        <v>3238</v>
      </c>
      <c r="AD786" s="28" t="s">
        <v>3267</v>
      </c>
      <c r="AE786" s="28" t="s">
        <v>2934</v>
      </c>
      <c r="AF786" s="28" t="s">
        <v>3245</v>
      </c>
      <c r="AG786" s="28" t="s">
        <v>3246</v>
      </c>
      <c r="AH786" s="28" t="s">
        <v>18</v>
      </c>
      <c r="AI786" s="28" t="s">
        <v>2296</v>
      </c>
      <c r="AJ786" s="28" t="s">
        <v>2302</v>
      </c>
      <c r="AK786" s="28" t="s">
        <v>30</v>
      </c>
      <c r="AL786" s="28" t="s">
        <v>2298</v>
      </c>
      <c r="AM786" s="114"/>
    </row>
    <row r="787" spans="21:39">
      <c r="U787" s="18">
        <v>785</v>
      </c>
      <c r="V787" s="18" t="s">
        <v>1754</v>
      </c>
      <c r="W787" s="18">
        <v>32</v>
      </c>
      <c r="X787" s="18" t="s">
        <v>19</v>
      </c>
      <c r="Y787" s="18" t="s">
        <v>649</v>
      </c>
      <c r="Z787" s="18" t="s">
        <v>1752</v>
      </c>
      <c r="AA787" s="18">
        <v>14</v>
      </c>
      <c r="AC787" s="28" t="s">
        <v>3238</v>
      </c>
      <c r="AD787" s="28" t="s">
        <v>3268</v>
      </c>
      <c r="AE787" s="28" t="s">
        <v>2725</v>
      </c>
      <c r="AF787" s="28" t="s">
        <v>3269</v>
      </c>
      <c r="AG787" s="28" t="s">
        <v>2394</v>
      </c>
      <c r="AH787" s="28" t="s">
        <v>3580</v>
      </c>
      <c r="AI787" s="28" t="s">
        <v>2302</v>
      </c>
      <c r="AJ787" s="28" t="s">
        <v>2302</v>
      </c>
      <c r="AK787" s="28" t="s">
        <v>55</v>
      </c>
      <c r="AL787" s="28" t="s">
        <v>2298</v>
      </c>
      <c r="AM787" s="114"/>
    </row>
    <row r="788" spans="21:39">
      <c r="U788" s="18">
        <v>786</v>
      </c>
      <c r="V788" s="18" t="s">
        <v>1755</v>
      </c>
      <c r="W788" s="18">
        <v>19</v>
      </c>
      <c r="X788" s="18" t="s">
        <v>19</v>
      </c>
      <c r="Y788" s="18" t="s">
        <v>649</v>
      </c>
      <c r="Z788" s="18" t="s">
        <v>1008</v>
      </c>
      <c r="AA788" s="18">
        <v>22</v>
      </c>
      <c r="AC788" s="28" t="s">
        <v>3238</v>
      </c>
      <c r="AD788" s="28" t="s">
        <v>3270</v>
      </c>
      <c r="AE788" s="28" t="s">
        <v>2934</v>
      </c>
      <c r="AF788" s="28" t="s">
        <v>3242</v>
      </c>
      <c r="AG788" s="28" t="s">
        <v>3243</v>
      </c>
      <c r="AH788" s="28" t="s">
        <v>73</v>
      </c>
      <c r="AI788" s="28" t="s">
        <v>2297</v>
      </c>
      <c r="AJ788" s="28" t="s">
        <v>2305</v>
      </c>
      <c r="AK788" s="28" t="s">
        <v>6</v>
      </c>
      <c r="AL788" s="28" t="s">
        <v>2298</v>
      </c>
      <c r="AM788" s="114"/>
    </row>
    <row r="789" spans="21:39">
      <c r="U789" s="18">
        <v>787</v>
      </c>
      <c r="V789" s="18" t="s">
        <v>1756</v>
      </c>
      <c r="W789" s="18">
        <v>30</v>
      </c>
      <c r="X789" s="18" t="s">
        <v>19</v>
      </c>
      <c r="Y789" s="18" t="s">
        <v>657</v>
      </c>
      <c r="Z789" s="18" t="s">
        <v>684</v>
      </c>
      <c r="AA789" s="18">
        <v>3</v>
      </c>
      <c r="AC789" s="28" t="s">
        <v>3238</v>
      </c>
      <c r="AD789" s="28" t="s">
        <v>3271</v>
      </c>
      <c r="AE789" s="28" t="s">
        <v>2928</v>
      </c>
      <c r="AF789" s="28" t="s">
        <v>3251</v>
      </c>
      <c r="AG789" s="28" t="s">
        <v>2398</v>
      </c>
      <c r="AH789" s="28" t="s">
        <v>33</v>
      </c>
      <c r="AI789" s="28" t="s">
        <v>2305</v>
      </c>
      <c r="AJ789" s="28" t="s">
        <v>2297</v>
      </c>
      <c r="AK789" s="28" t="s">
        <v>43</v>
      </c>
      <c r="AL789" s="28" t="s">
        <v>2298</v>
      </c>
      <c r="AM789" s="114"/>
    </row>
    <row r="790" spans="21:39">
      <c r="U790" s="18">
        <v>788</v>
      </c>
      <c r="V790" s="18" t="s">
        <v>1757</v>
      </c>
      <c r="W790" s="18">
        <v>27</v>
      </c>
      <c r="X790" s="18" t="s">
        <v>19</v>
      </c>
      <c r="Y790" s="18" t="s">
        <v>657</v>
      </c>
      <c r="Z790" s="18" t="s">
        <v>1339</v>
      </c>
      <c r="AA790" s="18">
        <v>24</v>
      </c>
      <c r="AC790" s="28" t="s">
        <v>3238</v>
      </c>
      <c r="AD790" s="28" t="s">
        <v>3272</v>
      </c>
      <c r="AE790" s="28" t="s">
        <v>2590</v>
      </c>
      <c r="AF790" s="28" t="s">
        <v>3253</v>
      </c>
      <c r="AG790" s="28" t="s">
        <v>3254</v>
      </c>
      <c r="AH790" s="28" t="s">
        <v>12</v>
      </c>
      <c r="AI790" s="28" t="s">
        <v>2302</v>
      </c>
      <c r="AJ790" s="28" t="s">
        <v>2302</v>
      </c>
      <c r="AK790" s="28" t="s">
        <v>28</v>
      </c>
      <c r="AL790" s="28" t="s">
        <v>2298</v>
      </c>
      <c r="AM790" s="114"/>
    </row>
    <row r="791" spans="21:39">
      <c r="U791" s="18">
        <v>789</v>
      </c>
      <c r="V791" s="18" t="s">
        <v>1758</v>
      </c>
      <c r="W791" s="18">
        <v>22</v>
      </c>
      <c r="X791" s="18" t="s">
        <v>19</v>
      </c>
      <c r="Y791" s="18" t="s">
        <v>661</v>
      </c>
      <c r="Z791" s="18" t="s">
        <v>711</v>
      </c>
      <c r="AA791" s="18">
        <v>2</v>
      </c>
      <c r="AC791" s="28" t="s">
        <v>3238</v>
      </c>
      <c r="AD791" s="28" t="s">
        <v>3273</v>
      </c>
      <c r="AE791" s="28" t="s">
        <v>2928</v>
      </c>
      <c r="AF791" s="28" t="s">
        <v>3248</v>
      </c>
      <c r="AG791" s="28" t="s">
        <v>3249</v>
      </c>
      <c r="AH791" s="28" t="s">
        <v>58</v>
      </c>
      <c r="AI791" s="28" t="s">
        <v>2297</v>
      </c>
      <c r="AJ791" s="28" t="s">
        <v>2297</v>
      </c>
      <c r="AK791" s="28" t="s">
        <v>2425</v>
      </c>
      <c r="AL791" s="28" t="s">
        <v>2298</v>
      </c>
      <c r="AM791" s="114"/>
    </row>
    <row r="792" spans="21:39">
      <c r="U792" s="18">
        <v>790</v>
      </c>
      <c r="V792" s="18" t="s">
        <v>1759</v>
      </c>
      <c r="W792" s="18">
        <v>31</v>
      </c>
      <c r="X792" s="18" t="s">
        <v>19</v>
      </c>
      <c r="Y792" s="18" t="s">
        <v>661</v>
      </c>
      <c r="Z792" s="18" t="s">
        <v>711</v>
      </c>
      <c r="AA792" s="18">
        <v>5</v>
      </c>
      <c r="AC792" s="28" t="s">
        <v>3238</v>
      </c>
      <c r="AD792" s="28" t="s">
        <v>3274</v>
      </c>
      <c r="AE792" s="28" t="s">
        <v>2588</v>
      </c>
      <c r="AF792" s="28" t="s">
        <v>3264</v>
      </c>
      <c r="AG792" s="28" t="s">
        <v>2401</v>
      </c>
      <c r="AH792" s="28" t="s">
        <v>38</v>
      </c>
      <c r="AI792" s="28" t="s">
        <v>2305</v>
      </c>
      <c r="AJ792" s="28" t="s">
        <v>2301</v>
      </c>
      <c r="AK792" s="28" t="s">
        <v>40</v>
      </c>
      <c r="AL792" s="28" t="s">
        <v>2298</v>
      </c>
      <c r="AM792" s="114"/>
    </row>
    <row r="793" spans="21:39">
      <c r="U793" s="18">
        <v>791</v>
      </c>
      <c r="V793" s="18" t="s">
        <v>1760</v>
      </c>
      <c r="W793" s="18">
        <v>26</v>
      </c>
      <c r="X793" s="18" t="s">
        <v>19</v>
      </c>
      <c r="Y793" s="18" t="s">
        <v>661</v>
      </c>
      <c r="Z793" s="18" t="s">
        <v>1458</v>
      </c>
      <c r="AA793" s="18">
        <v>12</v>
      </c>
      <c r="AC793" s="28" t="s">
        <v>3238</v>
      </c>
      <c r="AD793" s="28" t="s">
        <v>3275</v>
      </c>
      <c r="AE793" s="28" t="s">
        <v>2588</v>
      </c>
      <c r="AF793" s="28" t="s">
        <v>3266</v>
      </c>
      <c r="AG793" s="28" t="s">
        <v>2391</v>
      </c>
      <c r="AH793" s="28" t="s">
        <v>19</v>
      </c>
      <c r="AI793" s="28" t="s">
        <v>2302</v>
      </c>
      <c r="AJ793" s="28" t="s">
        <v>2305</v>
      </c>
      <c r="AK793" s="28" t="s">
        <v>10</v>
      </c>
      <c r="AL793" s="28" t="s">
        <v>2298</v>
      </c>
      <c r="AM793" s="114"/>
    </row>
    <row r="794" spans="21:39">
      <c r="U794" s="18">
        <v>792</v>
      </c>
      <c r="V794" s="18" t="s">
        <v>1761</v>
      </c>
      <c r="W794" s="18">
        <v>29</v>
      </c>
      <c r="X794" s="18" t="s">
        <v>19</v>
      </c>
      <c r="Y794" s="18" t="s">
        <v>664</v>
      </c>
      <c r="Z794" s="18" t="s">
        <v>1454</v>
      </c>
      <c r="AA794" s="18">
        <v>16</v>
      </c>
      <c r="AC794" s="28" t="s">
        <v>3238</v>
      </c>
      <c r="AD794" s="28" t="s">
        <v>3276</v>
      </c>
      <c r="AE794" s="28" t="s">
        <v>2590</v>
      </c>
      <c r="AF794" s="28" t="s">
        <v>3256</v>
      </c>
      <c r="AG794" s="28" t="s">
        <v>3257</v>
      </c>
      <c r="AH794" s="28" t="s">
        <v>51</v>
      </c>
      <c r="AI794" s="28" t="s">
        <v>2302</v>
      </c>
      <c r="AJ794" s="28" t="s">
        <v>2296</v>
      </c>
      <c r="AK794" s="28" t="s">
        <v>63</v>
      </c>
      <c r="AL794" s="28" t="s">
        <v>2298</v>
      </c>
      <c r="AM794" s="114"/>
    </row>
    <row r="795" spans="21:39">
      <c r="U795" s="18">
        <v>793</v>
      </c>
      <c r="V795" s="18" t="s">
        <v>1762</v>
      </c>
      <c r="W795" s="18">
        <v>27</v>
      </c>
      <c r="X795" s="18" t="s">
        <v>19</v>
      </c>
      <c r="Y795" s="18" t="s">
        <v>664</v>
      </c>
      <c r="Z795" s="18" t="s">
        <v>986</v>
      </c>
      <c r="AA795" s="18">
        <v>18</v>
      </c>
      <c r="AC795" s="28" t="s">
        <v>3238</v>
      </c>
      <c r="AD795" s="28" t="s">
        <v>3277</v>
      </c>
      <c r="AE795" s="28" t="s">
        <v>2717</v>
      </c>
      <c r="AF795" s="28" t="s">
        <v>3261</v>
      </c>
      <c r="AG795" s="28" t="s">
        <v>3262</v>
      </c>
      <c r="AH795" s="28" t="s">
        <v>53</v>
      </c>
      <c r="AI795" s="28" t="s">
        <v>2305</v>
      </c>
      <c r="AJ795" s="28" t="s">
        <v>2297</v>
      </c>
      <c r="AK795" s="28" t="s">
        <v>3585</v>
      </c>
      <c r="AL795" s="28" t="s">
        <v>2298</v>
      </c>
      <c r="AM795" s="114"/>
    </row>
    <row r="796" spans="21:39">
      <c r="U796" s="18">
        <v>794</v>
      </c>
      <c r="V796" s="18" t="s">
        <v>1763</v>
      </c>
      <c r="W796" s="18">
        <v>29</v>
      </c>
      <c r="X796" s="18" t="s">
        <v>19</v>
      </c>
      <c r="Y796" s="18" t="s">
        <v>669</v>
      </c>
      <c r="Z796" s="18" t="s">
        <v>986</v>
      </c>
      <c r="AA796" s="18">
        <v>6</v>
      </c>
      <c r="AC796" s="28" t="s">
        <v>3238</v>
      </c>
      <c r="AD796" s="28" t="s">
        <v>3278</v>
      </c>
      <c r="AE796" s="28" t="s">
        <v>2719</v>
      </c>
      <c r="AF796" s="28" t="s">
        <v>3240</v>
      </c>
      <c r="AG796" s="28" t="s">
        <v>2396</v>
      </c>
      <c r="AH796" s="28" t="s">
        <v>11</v>
      </c>
      <c r="AI796" s="28" t="s">
        <v>2305</v>
      </c>
      <c r="AJ796" s="28" t="s">
        <v>2297</v>
      </c>
      <c r="AK796" s="28" t="s">
        <v>23</v>
      </c>
      <c r="AL796" s="28" t="s">
        <v>2298</v>
      </c>
      <c r="AM796" s="114"/>
    </row>
    <row r="797" spans="21:39">
      <c r="U797" s="18">
        <v>795</v>
      </c>
      <c r="V797" s="18" t="s">
        <v>1764</v>
      </c>
      <c r="W797" s="18">
        <v>30</v>
      </c>
      <c r="X797" s="18" t="s">
        <v>19</v>
      </c>
      <c r="Y797" s="18" t="s">
        <v>669</v>
      </c>
      <c r="Z797" s="18" t="s">
        <v>813</v>
      </c>
      <c r="AA797" s="18">
        <v>8</v>
      </c>
      <c r="AC797" s="28" t="s">
        <v>3238</v>
      </c>
      <c r="AD797" s="28" t="s">
        <v>3279</v>
      </c>
      <c r="AE797" s="28" t="s">
        <v>2717</v>
      </c>
      <c r="AF797" s="28" t="s">
        <v>3242</v>
      </c>
      <c r="AG797" s="28" t="s">
        <v>3243</v>
      </c>
      <c r="AH797" s="28" t="s">
        <v>62</v>
      </c>
      <c r="AI797" s="28" t="s">
        <v>2302</v>
      </c>
      <c r="AJ797" s="28" t="s">
        <v>2302</v>
      </c>
      <c r="AK797" s="28" t="s">
        <v>59</v>
      </c>
      <c r="AL797" s="28" t="s">
        <v>2298</v>
      </c>
      <c r="AM797" s="114"/>
    </row>
    <row r="798" spans="21:39">
      <c r="U798" s="18">
        <v>796</v>
      </c>
      <c r="V798" s="18" t="s">
        <v>1765</v>
      </c>
      <c r="W798" s="18">
        <v>21</v>
      </c>
      <c r="X798" s="18" t="s">
        <v>19</v>
      </c>
      <c r="Y798" s="18" t="s">
        <v>669</v>
      </c>
      <c r="Z798" s="18" t="s">
        <v>1008</v>
      </c>
      <c r="AA798" s="18">
        <v>9</v>
      </c>
      <c r="AC798" s="28" t="s">
        <v>3238</v>
      </c>
      <c r="AD798" s="28" t="s">
        <v>3280</v>
      </c>
      <c r="AE798" s="28" t="s">
        <v>2719</v>
      </c>
      <c r="AF798" s="28" t="s">
        <v>3259</v>
      </c>
      <c r="AG798" s="28" t="s">
        <v>2408</v>
      </c>
      <c r="AH798" s="28" t="s">
        <v>20</v>
      </c>
      <c r="AI798" s="28" t="s">
        <v>2302</v>
      </c>
      <c r="AJ798" s="28" t="s">
        <v>2297</v>
      </c>
      <c r="AK798" s="28" t="s">
        <v>50</v>
      </c>
      <c r="AL798" s="28" t="s">
        <v>2298</v>
      </c>
      <c r="AM798" s="114"/>
    </row>
    <row r="799" spans="21:39">
      <c r="U799" s="18">
        <v>797</v>
      </c>
      <c r="V799" s="18" t="s">
        <v>1766</v>
      </c>
      <c r="W799" s="18">
        <v>24</v>
      </c>
      <c r="X799" s="18" t="s">
        <v>19</v>
      </c>
      <c r="Y799" s="18" t="s">
        <v>675</v>
      </c>
      <c r="Z799" s="18" t="s">
        <v>711</v>
      </c>
      <c r="AA799" s="18">
        <v>15</v>
      </c>
      <c r="AC799" s="28" t="s">
        <v>3238</v>
      </c>
      <c r="AD799" s="28" t="s">
        <v>3281</v>
      </c>
      <c r="AE799" s="28" t="s">
        <v>2735</v>
      </c>
      <c r="AF799" s="28" t="s">
        <v>3245</v>
      </c>
      <c r="AG799" s="28" t="s">
        <v>3246</v>
      </c>
      <c r="AH799" s="28" t="s">
        <v>16</v>
      </c>
      <c r="AI799" s="28" t="s">
        <v>2305</v>
      </c>
      <c r="AJ799" s="28" t="s">
        <v>2338</v>
      </c>
      <c r="AK799" s="28" t="s">
        <v>5</v>
      </c>
      <c r="AL799" s="28" t="s">
        <v>2298</v>
      </c>
      <c r="AM799" s="114"/>
    </row>
    <row r="800" spans="21:39">
      <c r="U800" s="18">
        <v>798</v>
      </c>
      <c r="V800" s="18" t="s">
        <v>1767</v>
      </c>
      <c r="W800" s="18">
        <v>23</v>
      </c>
      <c r="X800" s="18" t="s">
        <v>19</v>
      </c>
      <c r="Y800" s="18" t="s">
        <v>675</v>
      </c>
      <c r="Z800" s="18" t="s">
        <v>1008</v>
      </c>
      <c r="AA800" s="18">
        <v>20</v>
      </c>
      <c r="AC800" s="28" t="s">
        <v>3238</v>
      </c>
      <c r="AD800" s="28" t="s">
        <v>3282</v>
      </c>
      <c r="AE800" s="28" t="s">
        <v>2735</v>
      </c>
      <c r="AF800" s="28" t="s">
        <v>3269</v>
      </c>
      <c r="AG800" s="28" t="s">
        <v>2394</v>
      </c>
      <c r="AH800" s="28" t="s">
        <v>44</v>
      </c>
      <c r="AI800" s="28" t="s">
        <v>2297</v>
      </c>
      <c r="AJ800" s="28" t="s">
        <v>2305</v>
      </c>
      <c r="AK800" s="28" t="s">
        <v>67</v>
      </c>
      <c r="AL800" s="28" t="s">
        <v>2298</v>
      </c>
      <c r="AM800" s="114"/>
    </row>
    <row r="801" spans="21:39">
      <c r="U801" s="18">
        <v>799</v>
      </c>
      <c r="V801" s="18" t="s">
        <v>1768</v>
      </c>
      <c r="W801" s="18">
        <v>26</v>
      </c>
      <c r="X801" s="18" t="s">
        <v>19</v>
      </c>
      <c r="Y801" s="18" t="s">
        <v>679</v>
      </c>
      <c r="Z801" s="18" t="s">
        <v>1008</v>
      </c>
      <c r="AA801" s="18">
        <v>7</v>
      </c>
      <c r="AC801" s="28" t="s">
        <v>3238</v>
      </c>
      <c r="AD801" s="28" t="s">
        <v>3283</v>
      </c>
      <c r="AE801" s="28" t="s">
        <v>2725</v>
      </c>
      <c r="AF801" s="28" t="s">
        <v>3251</v>
      </c>
      <c r="AG801" s="28" t="s">
        <v>2398</v>
      </c>
      <c r="AH801" s="28" t="s">
        <v>9</v>
      </c>
      <c r="AI801" s="28" t="s">
        <v>2297</v>
      </c>
      <c r="AJ801" s="28" t="s">
        <v>2302</v>
      </c>
      <c r="AK801" s="28" t="s">
        <v>3580</v>
      </c>
      <c r="AL801" s="28" t="s">
        <v>2298</v>
      </c>
      <c r="AM801" s="114"/>
    </row>
    <row r="802" spans="21:39">
      <c r="U802" s="18">
        <v>800</v>
      </c>
      <c r="V802" s="18" t="s">
        <v>1769</v>
      </c>
      <c r="W802" s="18">
        <v>23</v>
      </c>
      <c r="X802" s="18" t="s">
        <v>19</v>
      </c>
      <c r="Y802" s="18" t="s">
        <v>679</v>
      </c>
      <c r="Z802" s="18" t="s">
        <v>1752</v>
      </c>
      <c r="AA802" s="18">
        <v>17</v>
      </c>
      <c r="AC802" s="28" t="s">
        <v>3238</v>
      </c>
      <c r="AD802" s="28" t="s">
        <v>3284</v>
      </c>
      <c r="AE802" s="28" t="s">
        <v>2934</v>
      </c>
      <c r="AF802" s="28" t="s">
        <v>3253</v>
      </c>
      <c r="AG802" s="28" t="s">
        <v>3254</v>
      </c>
      <c r="AH802" s="28" t="s">
        <v>18</v>
      </c>
      <c r="AI802" s="28" t="s">
        <v>2305</v>
      </c>
      <c r="AJ802" s="28" t="s">
        <v>2305</v>
      </c>
      <c r="AK802" s="28" t="s">
        <v>73</v>
      </c>
      <c r="AL802" s="28" t="s">
        <v>2298</v>
      </c>
      <c r="AM802" s="114"/>
    </row>
    <row r="803" spans="21:39">
      <c r="U803" s="18">
        <v>801</v>
      </c>
      <c r="V803" s="18" t="s">
        <v>1770</v>
      </c>
      <c r="W803" s="18">
        <v>23</v>
      </c>
      <c r="X803" s="18" t="s">
        <v>19</v>
      </c>
      <c r="Y803" s="18" t="s">
        <v>681</v>
      </c>
      <c r="Z803" s="18" t="s">
        <v>1072</v>
      </c>
      <c r="AA803" s="18">
        <v>11</v>
      </c>
      <c r="AC803" s="28" t="s">
        <v>3238</v>
      </c>
      <c r="AD803" s="28" t="s">
        <v>3285</v>
      </c>
      <c r="AE803" s="28" t="s">
        <v>2725</v>
      </c>
      <c r="AF803" s="28" t="s">
        <v>3248</v>
      </c>
      <c r="AG803" s="28" t="s">
        <v>3249</v>
      </c>
      <c r="AH803" s="28" t="s">
        <v>55</v>
      </c>
      <c r="AI803" s="28" t="s">
        <v>2297</v>
      </c>
      <c r="AJ803" s="28" t="s">
        <v>2302</v>
      </c>
      <c r="AK803" s="28" t="s">
        <v>3587</v>
      </c>
      <c r="AL803" s="28" t="s">
        <v>2298</v>
      </c>
      <c r="AM803" s="114"/>
    </row>
    <row r="804" spans="21:39">
      <c r="U804" s="18">
        <v>802</v>
      </c>
      <c r="V804" s="18" t="s">
        <v>1771</v>
      </c>
      <c r="W804" s="18">
        <v>18</v>
      </c>
      <c r="X804" s="18" t="s">
        <v>19</v>
      </c>
      <c r="Y804" s="18" t="s">
        <v>681</v>
      </c>
      <c r="Z804" s="18" t="s">
        <v>1008</v>
      </c>
      <c r="AA804" s="18">
        <v>19</v>
      </c>
      <c r="AC804" s="28" t="s">
        <v>3238</v>
      </c>
      <c r="AD804" s="28" t="s">
        <v>3286</v>
      </c>
      <c r="AE804" s="28" t="s">
        <v>2928</v>
      </c>
      <c r="AF804" s="28" t="s">
        <v>3266</v>
      </c>
      <c r="AG804" s="28" t="s">
        <v>2391</v>
      </c>
      <c r="AH804" s="28" t="s">
        <v>33</v>
      </c>
      <c r="AI804" s="28" t="s">
        <v>2297</v>
      </c>
      <c r="AJ804" s="28" t="s">
        <v>2302</v>
      </c>
      <c r="AK804" s="28" t="s">
        <v>58</v>
      </c>
      <c r="AL804" s="28" t="s">
        <v>2298</v>
      </c>
      <c r="AM804" s="114"/>
    </row>
    <row r="805" spans="21:39">
      <c r="U805" s="18">
        <v>803</v>
      </c>
      <c r="V805" s="18" t="s">
        <v>1772</v>
      </c>
      <c r="W805" s="18">
        <v>22</v>
      </c>
      <c r="X805" s="18" t="s">
        <v>19</v>
      </c>
      <c r="Y805" s="18" t="s">
        <v>681</v>
      </c>
      <c r="Z805" s="18" t="s">
        <v>1773</v>
      </c>
      <c r="AA805" s="18">
        <v>25</v>
      </c>
      <c r="AC805" s="28" t="s">
        <v>3238</v>
      </c>
      <c r="AD805" s="28" t="s">
        <v>3287</v>
      </c>
      <c r="AE805" s="28" t="s">
        <v>2928</v>
      </c>
      <c r="AF805" s="28" t="s">
        <v>3264</v>
      </c>
      <c r="AG805" s="28" t="s">
        <v>2401</v>
      </c>
      <c r="AH805" s="28" t="s">
        <v>2425</v>
      </c>
      <c r="AI805" s="28" t="s">
        <v>2305</v>
      </c>
      <c r="AJ805" s="28" t="s">
        <v>2296</v>
      </c>
      <c r="AK805" s="28" t="s">
        <v>43</v>
      </c>
      <c r="AL805" s="28" t="s">
        <v>2298</v>
      </c>
      <c r="AM805" s="114"/>
    </row>
    <row r="806" spans="21:39">
      <c r="U806" s="18">
        <v>804</v>
      </c>
      <c r="V806" s="18" t="s">
        <v>1774</v>
      </c>
      <c r="W806" s="18">
        <v>28</v>
      </c>
      <c r="X806" s="18" t="s">
        <v>19</v>
      </c>
      <c r="Y806" s="18" t="s">
        <v>683</v>
      </c>
      <c r="Z806" s="18" t="s">
        <v>1008</v>
      </c>
      <c r="AA806" s="18">
        <v>10</v>
      </c>
      <c r="AC806" s="28" t="s">
        <v>3238</v>
      </c>
      <c r="AD806" s="28" t="s">
        <v>3288</v>
      </c>
      <c r="AE806" s="28" t="s">
        <v>2934</v>
      </c>
      <c r="AF806" s="28" t="s">
        <v>3256</v>
      </c>
      <c r="AG806" s="28" t="s">
        <v>3257</v>
      </c>
      <c r="AH806" s="28" t="s">
        <v>6</v>
      </c>
      <c r="AI806" s="28" t="s">
        <v>2305</v>
      </c>
      <c r="AJ806" s="28" t="s">
        <v>2305</v>
      </c>
      <c r="AK806" s="28" t="s">
        <v>30</v>
      </c>
      <c r="AL806" s="28" t="s">
        <v>2298</v>
      </c>
      <c r="AM806" s="114"/>
    </row>
    <row r="807" spans="21:39">
      <c r="U807" s="18">
        <v>805</v>
      </c>
      <c r="V807" s="18" t="s">
        <v>1775</v>
      </c>
      <c r="W807" s="18">
        <v>29</v>
      </c>
      <c r="X807" s="18" t="s">
        <v>19</v>
      </c>
      <c r="Y807" s="18" t="s">
        <v>683</v>
      </c>
      <c r="Z807" s="18" t="s">
        <v>1437</v>
      </c>
      <c r="AA807" s="18">
        <v>21</v>
      </c>
      <c r="AC807" s="28" t="s">
        <v>3238</v>
      </c>
      <c r="AD807" s="28" t="s">
        <v>3289</v>
      </c>
      <c r="AE807" s="28" t="s">
        <v>2588</v>
      </c>
      <c r="AF807" s="28" t="s">
        <v>3269</v>
      </c>
      <c r="AG807" s="28" t="s">
        <v>2394</v>
      </c>
      <c r="AH807" s="28" t="s">
        <v>38</v>
      </c>
      <c r="AI807" s="28" t="s">
        <v>2302</v>
      </c>
      <c r="AJ807" s="28" t="s">
        <v>2301</v>
      </c>
      <c r="AK807" s="28" t="s">
        <v>19</v>
      </c>
      <c r="AL807" s="28" t="s">
        <v>2298</v>
      </c>
      <c r="AM807" s="114"/>
    </row>
    <row r="808" spans="21:39">
      <c r="U808" s="18">
        <v>806</v>
      </c>
      <c r="V808" s="18" t="s">
        <v>1776</v>
      </c>
      <c r="W808" s="18">
        <v>33</v>
      </c>
      <c r="X808" s="18" t="s">
        <v>19</v>
      </c>
      <c r="Y808" s="18" t="s">
        <v>683</v>
      </c>
      <c r="Z808" s="18" t="s">
        <v>1518</v>
      </c>
      <c r="AA808" s="18">
        <v>26</v>
      </c>
      <c r="AC808" s="28" t="s">
        <v>3238</v>
      </c>
      <c r="AD808" s="28" t="s">
        <v>3289</v>
      </c>
      <c r="AE808" s="28" t="s">
        <v>2588</v>
      </c>
      <c r="AF808" s="28" t="s">
        <v>3240</v>
      </c>
      <c r="AG808" s="28" t="s">
        <v>2396</v>
      </c>
      <c r="AH808" s="28" t="s">
        <v>40</v>
      </c>
      <c r="AI808" s="28" t="s">
        <v>2305</v>
      </c>
      <c r="AJ808" s="28" t="s">
        <v>2302</v>
      </c>
      <c r="AK808" s="28" t="s">
        <v>10</v>
      </c>
      <c r="AL808" s="28" t="s">
        <v>2298</v>
      </c>
      <c r="AM808" s="114"/>
    </row>
    <row r="809" spans="21:39">
      <c r="U809" s="18">
        <v>807</v>
      </c>
      <c r="V809" s="18" t="s">
        <v>1777</v>
      </c>
      <c r="W809" s="18">
        <v>33</v>
      </c>
      <c r="X809" s="18" t="s">
        <v>11</v>
      </c>
      <c r="Y809" s="18" t="s">
        <v>642</v>
      </c>
      <c r="Z809" s="18" t="s">
        <v>1329</v>
      </c>
      <c r="AA809" s="18">
        <v>1</v>
      </c>
      <c r="AC809" s="28" t="s">
        <v>3238</v>
      </c>
      <c r="AD809" s="28" t="s">
        <v>3290</v>
      </c>
      <c r="AE809" s="28" t="s">
        <v>2590</v>
      </c>
      <c r="AF809" s="28" t="s">
        <v>3261</v>
      </c>
      <c r="AG809" s="28" t="s">
        <v>3262</v>
      </c>
      <c r="AH809" s="28" t="s">
        <v>51</v>
      </c>
      <c r="AI809" s="28" t="s">
        <v>2297</v>
      </c>
      <c r="AJ809" s="28" t="s">
        <v>2296</v>
      </c>
      <c r="AK809" s="28" t="s">
        <v>12</v>
      </c>
      <c r="AL809" s="28" t="s">
        <v>2298</v>
      </c>
      <c r="AM809" s="114"/>
    </row>
    <row r="810" spans="21:39">
      <c r="U810" s="18">
        <v>808</v>
      </c>
      <c r="V810" s="18" t="s">
        <v>1778</v>
      </c>
      <c r="W810" s="18">
        <v>28</v>
      </c>
      <c r="X810" s="18" t="s">
        <v>11</v>
      </c>
      <c r="Y810" s="18" t="s">
        <v>642</v>
      </c>
      <c r="Z810" s="18" t="s">
        <v>1779</v>
      </c>
      <c r="AA810" s="18">
        <v>12</v>
      </c>
      <c r="AC810" s="28" t="s">
        <v>3238</v>
      </c>
      <c r="AD810" s="28" t="s">
        <v>3290</v>
      </c>
      <c r="AE810" s="28" t="s">
        <v>2590</v>
      </c>
      <c r="AF810" s="28" t="s">
        <v>3259</v>
      </c>
      <c r="AG810" s="28" t="s">
        <v>2408</v>
      </c>
      <c r="AH810" s="28" t="s">
        <v>63</v>
      </c>
      <c r="AI810" s="28" t="s">
        <v>2297</v>
      </c>
      <c r="AJ810" s="28" t="s">
        <v>2301</v>
      </c>
      <c r="AK810" s="28" t="s">
        <v>28</v>
      </c>
      <c r="AL810" s="28" t="s">
        <v>2298</v>
      </c>
      <c r="AM810" s="114"/>
    </row>
    <row r="811" spans="21:39">
      <c r="U811" s="18">
        <v>809</v>
      </c>
      <c r="V811" s="18" t="s">
        <v>348</v>
      </c>
      <c r="W811" s="18">
        <v>39</v>
      </c>
      <c r="X811" s="18" t="s">
        <v>11</v>
      </c>
      <c r="Y811" s="18" t="s">
        <v>642</v>
      </c>
      <c r="Z811" s="18" t="s">
        <v>1780</v>
      </c>
      <c r="AA811" s="18">
        <v>23</v>
      </c>
      <c r="AC811" s="28" t="s">
        <v>3238</v>
      </c>
      <c r="AD811" s="28" t="s">
        <v>3291</v>
      </c>
      <c r="AE811" s="28" t="s">
        <v>2719</v>
      </c>
      <c r="AF811" s="28" t="s">
        <v>3242</v>
      </c>
      <c r="AG811" s="28" t="s">
        <v>3243</v>
      </c>
      <c r="AH811" s="28" t="s">
        <v>20</v>
      </c>
      <c r="AI811" s="28" t="s">
        <v>2302</v>
      </c>
      <c r="AJ811" s="28" t="s">
        <v>2297</v>
      </c>
      <c r="AK811" s="28" t="s">
        <v>11</v>
      </c>
      <c r="AL811" s="28" t="s">
        <v>2298</v>
      </c>
      <c r="AM811" s="114"/>
    </row>
    <row r="812" spans="21:39">
      <c r="U812" s="18">
        <v>810</v>
      </c>
      <c r="V812" s="18" t="s">
        <v>1781</v>
      </c>
      <c r="W812" s="18">
        <v>31</v>
      </c>
      <c r="X812" s="18" t="s">
        <v>11</v>
      </c>
      <c r="Y812" s="18" t="s">
        <v>649</v>
      </c>
      <c r="Z812" s="18" t="s">
        <v>711</v>
      </c>
      <c r="AA812" s="18">
        <v>2</v>
      </c>
      <c r="AC812" s="28" t="s">
        <v>3238</v>
      </c>
      <c r="AD812" s="28" t="s">
        <v>3291</v>
      </c>
      <c r="AE812" s="28" t="s">
        <v>2719</v>
      </c>
      <c r="AF812" s="28" t="s">
        <v>3251</v>
      </c>
      <c r="AG812" s="28" t="s">
        <v>2398</v>
      </c>
      <c r="AH812" s="28" t="s">
        <v>50</v>
      </c>
      <c r="AI812" s="28" t="s">
        <v>2302</v>
      </c>
      <c r="AJ812" s="28" t="s">
        <v>2302</v>
      </c>
      <c r="AK812" s="28" t="s">
        <v>23</v>
      </c>
      <c r="AL812" s="28" t="s">
        <v>2298</v>
      </c>
      <c r="AM812" s="114"/>
    </row>
    <row r="813" spans="21:39">
      <c r="U813" s="18">
        <v>811</v>
      </c>
      <c r="V813" s="18" t="s">
        <v>1782</v>
      </c>
      <c r="W813" s="18">
        <v>26</v>
      </c>
      <c r="X813" s="18" t="s">
        <v>11</v>
      </c>
      <c r="Y813" s="18" t="s">
        <v>649</v>
      </c>
      <c r="Z813" s="18" t="s">
        <v>699</v>
      </c>
      <c r="AA813" s="18">
        <v>3</v>
      </c>
      <c r="AC813" s="28" t="s">
        <v>3238</v>
      </c>
      <c r="AD813" s="28" t="s">
        <v>3292</v>
      </c>
      <c r="AE813" s="28" t="s">
        <v>2717</v>
      </c>
      <c r="AF813" s="28" t="s">
        <v>3248</v>
      </c>
      <c r="AG813" s="28" t="s">
        <v>3249</v>
      </c>
      <c r="AH813" s="28" t="s">
        <v>62</v>
      </c>
      <c r="AI813" s="28" t="s">
        <v>2297</v>
      </c>
      <c r="AJ813" s="28" t="s">
        <v>2296</v>
      </c>
      <c r="AK813" s="28" t="s">
        <v>53</v>
      </c>
      <c r="AL813" s="28" t="s">
        <v>2298</v>
      </c>
      <c r="AM813" s="114"/>
    </row>
    <row r="814" spans="21:39">
      <c r="U814" s="18">
        <v>812</v>
      </c>
      <c r="V814" s="18" t="s">
        <v>1783</v>
      </c>
      <c r="W814" s="18">
        <v>27</v>
      </c>
      <c r="X814" s="18" t="s">
        <v>11</v>
      </c>
      <c r="Y814" s="18" t="s">
        <v>649</v>
      </c>
      <c r="Z814" s="18" t="s">
        <v>1008</v>
      </c>
      <c r="AA814" s="18">
        <v>4</v>
      </c>
      <c r="AC814" s="28" t="s">
        <v>3238</v>
      </c>
      <c r="AD814" s="28" t="s">
        <v>3293</v>
      </c>
      <c r="AE814" s="28" t="s">
        <v>2717</v>
      </c>
      <c r="AF814" s="28" t="s">
        <v>3253</v>
      </c>
      <c r="AG814" s="28" t="s">
        <v>3254</v>
      </c>
      <c r="AH814" s="28" t="s">
        <v>59</v>
      </c>
      <c r="AI814" s="28" t="s">
        <v>2305</v>
      </c>
      <c r="AJ814" s="28" t="s">
        <v>2297</v>
      </c>
      <c r="AK814" s="28" t="s">
        <v>3585</v>
      </c>
      <c r="AL814" s="28" t="s">
        <v>2298</v>
      </c>
      <c r="AM814" s="114"/>
    </row>
    <row r="815" spans="21:39">
      <c r="U815" s="18">
        <v>813</v>
      </c>
      <c r="V815" s="18" t="s">
        <v>1784</v>
      </c>
      <c r="W815" s="18">
        <v>27</v>
      </c>
      <c r="X815" s="18" t="s">
        <v>11</v>
      </c>
      <c r="Y815" s="18" t="s">
        <v>649</v>
      </c>
      <c r="Z815" s="18" t="s">
        <v>655</v>
      </c>
      <c r="AA815" s="18">
        <v>24</v>
      </c>
      <c r="AC815" s="28" t="s">
        <v>3238</v>
      </c>
      <c r="AD815" s="28" t="s">
        <v>3294</v>
      </c>
      <c r="AE815" s="28" t="s">
        <v>2725</v>
      </c>
      <c r="AF815" s="28" t="s">
        <v>3264</v>
      </c>
      <c r="AG815" s="28" t="s">
        <v>2401</v>
      </c>
      <c r="AH815" s="28" t="s">
        <v>55</v>
      </c>
      <c r="AI815" s="28" t="s">
        <v>2305</v>
      </c>
      <c r="AJ815" s="28" t="s">
        <v>2301</v>
      </c>
      <c r="AK815" s="28" t="s">
        <v>9</v>
      </c>
      <c r="AL815" s="28" t="s">
        <v>2298</v>
      </c>
      <c r="AM815" s="114"/>
    </row>
    <row r="816" spans="21:39">
      <c r="U816" s="18">
        <v>814</v>
      </c>
      <c r="V816" s="18" t="s">
        <v>1785</v>
      </c>
      <c r="W816" s="18">
        <v>28</v>
      </c>
      <c r="X816" s="18" t="s">
        <v>11</v>
      </c>
      <c r="Y816" s="18" t="s">
        <v>657</v>
      </c>
      <c r="Z816" s="18" t="s">
        <v>1124</v>
      </c>
      <c r="AA816" s="18">
        <v>16</v>
      </c>
      <c r="AC816" s="28" t="s">
        <v>3238</v>
      </c>
      <c r="AD816" s="28" t="s">
        <v>3294</v>
      </c>
      <c r="AE816" s="28" t="s">
        <v>2725</v>
      </c>
      <c r="AF816" s="28" t="s">
        <v>3245</v>
      </c>
      <c r="AG816" s="28" t="s">
        <v>3246</v>
      </c>
      <c r="AH816" s="28" t="s">
        <v>3587</v>
      </c>
      <c r="AI816" s="28" t="s">
        <v>2301</v>
      </c>
      <c r="AJ816" s="28" t="s">
        <v>2297</v>
      </c>
      <c r="AK816" s="28" t="s">
        <v>3580</v>
      </c>
      <c r="AL816" s="28" t="s">
        <v>2298</v>
      </c>
      <c r="AM816" s="114"/>
    </row>
    <row r="817" spans="21:39">
      <c r="U817" s="18">
        <v>815</v>
      </c>
      <c r="V817" s="18" t="s">
        <v>1786</v>
      </c>
      <c r="W817" s="18">
        <v>28</v>
      </c>
      <c r="X817" s="18" t="s">
        <v>11</v>
      </c>
      <c r="Y817" s="18" t="s">
        <v>657</v>
      </c>
      <c r="Z817" s="18" t="s">
        <v>1347</v>
      </c>
      <c r="AA817" s="18">
        <v>17</v>
      </c>
      <c r="AC817" s="28" t="s">
        <v>3238</v>
      </c>
      <c r="AD817" s="28" t="s">
        <v>3295</v>
      </c>
      <c r="AE817" s="28" t="s">
        <v>2735</v>
      </c>
      <c r="AF817" s="28" t="s">
        <v>3256</v>
      </c>
      <c r="AG817" s="28" t="s">
        <v>3257</v>
      </c>
      <c r="AH817" s="28" t="s">
        <v>44</v>
      </c>
      <c r="AI817" s="28" t="s">
        <v>2302</v>
      </c>
      <c r="AJ817" s="28" t="s">
        <v>2301</v>
      </c>
      <c r="AK817" s="28" t="s">
        <v>16</v>
      </c>
      <c r="AL817" s="28" t="s">
        <v>2298</v>
      </c>
      <c r="AM817" s="114"/>
    </row>
    <row r="818" spans="21:39">
      <c r="U818" s="18">
        <v>816</v>
      </c>
      <c r="V818" s="18" t="s">
        <v>1787</v>
      </c>
      <c r="W818" s="18">
        <v>33</v>
      </c>
      <c r="X818" s="18" t="s">
        <v>11</v>
      </c>
      <c r="Y818" s="18" t="s">
        <v>661</v>
      </c>
      <c r="Z818" s="18" t="s">
        <v>989</v>
      </c>
      <c r="AA818" s="18">
        <v>13</v>
      </c>
      <c r="AC818" s="28" t="s">
        <v>3238</v>
      </c>
      <c r="AD818" s="28" t="s">
        <v>3296</v>
      </c>
      <c r="AE818" s="28" t="s">
        <v>2735</v>
      </c>
      <c r="AF818" s="28" t="s">
        <v>3266</v>
      </c>
      <c r="AG818" s="28" t="s">
        <v>2391</v>
      </c>
      <c r="AH818" s="28" t="s">
        <v>67</v>
      </c>
      <c r="AI818" s="28" t="s">
        <v>2302</v>
      </c>
      <c r="AJ818" s="28" t="s">
        <v>2302</v>
      </c>
      <c r="AK818" s="28" t="s">
        <v>5</v>
      </c>
      <c r="AL818" s="28" t="s">
        <v>2298</v>
      </c>
      <c r="AM818" s="114"/>
    </row>
    <row r="819" spans="21:39">
      <c r="U819" s="18">
        <v>817</v>
      </c>
      <c r="V819" s="18" t="s">
        <v>1788</v>
      </c>
      <c r="W819" s="18">
        <v>25</v>
      </c>
      <c r="X819" s="18" t="s">
        <v>11</v>
      </c>
      <c r="Y819" s="18" t="s">
        <v>664</v>
      </c>
      <c r="Z819" s="18" t="s">
        <v>996</v>
      </c>
      <c r="AA819" s="18">
        <v>5</v>
      </c>
      <c r="AC819" s="28" t="s">
        <v>3238</v>
      </c>
      <c r="AD819" s="28" t="s">
        <v>3297</v>
      </c>
      <c r="AE819" s="28" t="s">
        <v>2934</v>
      </c>
      <c r="AF819" s="28" t="s">
        <v>3259</v>
      </c>
      <c r="AG819" s="28" t="s">
        <v>2408</v>
      </c>
      <c r="AH819" s="28" t="s">
        <v>6</v>
      </c>
      <c r="AI819" s="28" t="s">
        <v>2302</v>
      </c>
      <c r="AJ819" s="28" t="s">
        <v>2297</v>
      </c>
      <c r="AK819" s="28" t="s">
        <v>18</v>
      </c>
      <c r="AL819" s="28" t="s">
        <v>2298</v>
      </c>
      <c r="AM819" s="114"/>
    </row>
    <row r="820" spans="21:39">
      <c r="U820" s="18">
        <v>818</v>
      </c>
      <c r="V820" s="18" t="s">
        <v>456</v>
      </c>
      <c r="W820" s="18">
        <v>26</v>
      </c>
      <c r="X820" s="18" t="s">
        <v>11</v>
      </c>
      <c r="Y820" s="18" t="s">
        <v>664</v>
      </c>
      <c r="Z820" s="18" t="s">
        <v>1148</v>
      </c>
      <c r="AA820" s="18">
        <v>15</v>
      </c>
      <c r="AC820" s="28" t="s">
        <v>3238</v>
      </c>
      <c r="AD820" s="28" t="s">
        <v>3297</v>
      </c>
      <c r="AE820" s="28" t="s">
        <v>2934</v>
      </c>
      <c r="AF820" s="28" t="s">
        <v>3261</v>
      </c>
      <c r="AG820" s="28" t="s">
        <v>3262</v>
      </c>
      <c r="AH820" s="28" t="s">
        <v>30</v>
      </c>
      <c r="AI820" s="28" t="s">
        <v>2305</v>
      </c>
      <c r="AJ820" s="28" t="s">
        <v>2297</v>
      </c>
      <c r="AK820" s="28" t="s">
        <v>73</v>
      </c>
      <c r="AL820" s="28" t="s">
        <v>2298</v>
      </c>
      <c r="AM820" s="114"/>
    </row>
    <row r="821" spans="21:39">
      <c r="U821" s="18">
        <v>819</v>
      </c>
      <c r="V821" s="18" t="s">
        <v>1789</v>
      </c>
      <c r="W821" s="18">
        <v>28</v>
      </c>
      <c r="X821" s="18" t="s">
        <v>11</v>
      </c>
      <c r="Y821" s="18" t="s">
        <v>669</v>
      </c>
      <c r="Z821" s="18" t="s">
        <v>1458</v>
      </c>
      <c r="AA821" s="18">
        <v>6</v>
      </c>
      <c r="AC821" s="28" t="s">
        <v>3238</v>
      </c>
      <c r="AD821" s="28" t="s">
        <v>3298</v>
      </c>
      <c r="AE821" s="28" t="s">
        <v>2928</v>
      </c>
      <c r="AF821" s="28" t="s">
        <v>3240</v>
      </c>
      <c r="AG821" s="28" t="s">
        <v>2396</v>
      </c>
      <c r="AH821" s="28" t="s">
        <v>2425</v>
      </c>
      <c r="AI821" s="28" t="s">
        <v>2302</v>
      </c>
      <c r="AJ821" s="28" t="s">
        <v>2297</v>
      </c>
      <c r="AK821" s="28" t="s">
        <v>33</v>
      </c>
      <c r="AL821" s="28" t="s">
        <v>2298</v>
      </c>
      <c r="AM821" s="114"/>
    </row>
    <row r="822" spans="21:39">
      <c r="U822" s="18">
        <v>820</v>
      </c>
      <c r="V822" s="18" t="s">
        <v>1790</v>
      </c>
      <c r="W822" s="18">
        <v>27</v>
      </c>
      <c r="X822" s="18" t="s">
        <v>11</v>
      </c>
      <c r="Y822" s="18" t="s">
        <v>669</v>
      </c>
      <c r="Z822" s="18" t="s">
        <v>584</v>
      </c>
      <c r="AA822" s="18">
        <v>8</v>
      </c>
      <c r="AC822" s="28" t="s">
        <v>3238</v>
      </c>
      <c r="AD822" s="28" t="s">
        <v>3298</v>
      </c>
      <c r="AE822" s="28" t="s">
        <v>2928</v>
      </c>
      <c r="AF822" s="28" t="s">
        <v>3269</v>
      </c>
      <c r="AG822" s="28" t="s">
        <v>2394</v>
      </c>
      <c r="AH822" s="28" t="s">
        <v>43</v>
      </c>
      <c r="AI822" s="28" t="s">
        <v>2297</v>
      </c>
      <c r="AJ822" s="28" t="s">
        <v>2297</v>
      </c>
      <c r="AK822" s="28" t="s">
        <v>58</v>
      </c>
      <c r="AL822" s="28" t="s">
        <v>2298</v>
      </c>
      <c r="AM822" s="114"/>
    </row>
    <row r="823" spans="21:39">
      <c r="U823" s="18">
        <v>821</v>
      </c>
      <c r="V823" s="18" t="s">
        <v>1791</v>
      </c>
      <c r="W823" s="18">
        <v>27</v>
      </c>
      <c r="X823" s="18" t="s">
        <v>11</v>
      </c>
      <c r="Y823" s="18" t="s">
        <v>669</v>
      </c>
      <c r="Z823" s="18" t="s">
        <v>1792</v>
      </c>
      <c r="AA823" s="18">
        <v>14</v>
      </c>
      <c r="AC823" s="28" t="s">
        <v>3238</v>
      </c>
      <c r="AD823" s="28" t="s">
        <v>3299</v>
      </c>
      <c r="AE823" s="28" t="s">
        <v>170</v>
      </c>
      <c r="AF823" s="28" t="s">
        <v>3251</v>
      </c>
      <c r="AG823" s="28" t="s">
        <v>2398</v>
      </c>
      <c r="AH823" s="28" t="s">
        <v>12</v>
      </c>
      <c r="AI823" s="28" t="s">
        <v>2297</v>
      </c>
      <c r="AJ823" s="28" t="s">
        <v>2297</v>
      </c>
      <c r="AK823" s="28" t="s">
        <v>10</v>
      </c>
      <c r="AL823" s="28" t="s">
        <v>2906</v>
      </c>
      <c r="AM823" s="114"/>
    </row>
    <row r="824" spans="21:39">
      <c r="U824" s="18">
        <v>822</v>
      </c>
      <c r="V824" s="18" t="s">
        <v>1793</v>
      </c>
      <c r="W824" s="18">
        <v>27</v>
      </c>
      <c r="X824" s="18" t="s">
        <v>11</v>
      </c>
      <c r="Y824" s="18" t="s">
        <v>669</v>
      </c>
      <c r="Z824" s="18" t="s">
        <v>1148</v>
      </c>
      <c r="AA824" s="18">
        <v>22</v>
      </c>
      <c r="AC824" s="28" t="s">
        <v>3238</v>
      </c>
      <c r="AD824" s="28" t="s">
        <v>3300</v>
      </c>
      <c r="AE824" s="28" t="s">
        <v>170</v>
      </c>
      <c r="AF824" s="28" t="s">
        <v>3266</v>
      </c>
      <c r="AG824" s="28" t="s">
        <v>2391</v>
      </c>
      <c r="AH824" s="28" t="s">
        <v>53</v>
      </c>
      <c r="AI824" s="28" t="s">
        <v>2305</v>
      </c>
      <c r="AJ824" s="28" t="s">
        <v>2302</v>
      </c>
      <c r="AK824" s="28" t="s">
        <v>11</v>
      </c>
      <c r="AL824" s="28" t="s">
        <v>2298</v>
      </c>
      <c r="AM824" s="114"/>
    </row>
    <row r="825" spans="21:39">
      <c r="U825" s="18">
        <v>823</v>
      </c>
      <c r="V825" s="18" t="s">
        <v>1794</v>
      </c>
      <c r="W825" s="18">
        <v>26</v>
      </c>
      <c r="X825" s="18" t="s">
        <v>11</v>
      </c>
      <c r="Y825" s="18" t="s">
        <v>669</v>
      </c>
      <c r="Z825" s="18" t="s">
        <v>1795</v>
      </c>
      <c r="AA825" s="18">
        <v>25</v>
      </c>
      <c r="AC825" s="28" t="s">
        <v>3238</v>
      </c>
      <c r="AD825" s="28" t="s">
        <v>3301</v>
      </c>
      <c r="AE825" s="28" t="s">
        <v>170</v>
      </c>
      <c r="AF825" s="28" t="s">
        <v>3261</v>
      </c>
      <c r="AG825" s="28" t="s">
        <v>3262</v>
      </c>
      <c r="AH825" s="28" t="s">
        <v>5</v>
      </c>
      <c r="AI825" s="28" t="s">
        <v>2305</v>
      </c>
      <c r="AJ825" s="28" t="s">
        <v>2302</v>
      </c>
      <c r="AK825" s="28" t="s">
        <v>55</v>
      </c>
      <c r="AL825" s="28" t="s">
        <v>2298</v>
      </c>
      <c r="AM825" s="114"/>
    </row>
    <row r="826" spans="21:39">
      <c r="U826" s="18">
        <v>824</v>
      </c>
      <c r="V826" s="18" t="s">
        <v>1796</v>
      </c>
      <c r="W826" s="18">
        <v>26</v>
      </c>
      <c r="X826" s="18" t="s">
        <v>11</v>
      </c>
      <c r="Y826" s="18" t="s">
        <v>669</v>
      </c>
      <c r="Z826" s="18" t="s">
        <v>647</v>
      </c>
      <c r="AA826" s="18">
        <v>26</v>
      </c>
      <c r="AC826" s="28" t="s">
        <v>3238</v>
      </c>
      <c r="AD826" s="28" t="s">
        <v>3302</v>
      </c>
      <c r="AE826" s="28" t="s">
        <v>170</v>
      </c>
      <c r="AF826" s="28" t="s">
        <v>3264</v>
      </c>
      <c r="AG826" s="28" t="s">
        <v>2401</v>
      </c>
      <c r="AH826" s="28" t="s">
        <v>18</v>
      </c>
      <c r="AI826" s="28" t="s">
        <v>2305</v>
      </c>
      <c r="AJ826" s="28" t="s">
        <v>2297</v>
      </c>
      <c r="AK826" s="28" t="s">
        <v>43</v>
      </c>
      <c r="AL826" s="28" t="s">
        <v>3303</v>
      </c>
      <c r="AM826" s="114"/>
    </row>
    <row r="827" spans="21:39">
      <c r="U827" s="18">
        <v>825</v>
      </c>
      <c r="V827" s="18" t="s">
        <v>1797</v>
      </c>
      <c r="W827" s="18">
        <v>29</v>
      </c>
      <c r="X827" s="18" t="s">
        <v>11</v>
      </c>
      <c r="Y827" s="18" t="s">
        <v>675</v>
      </c>
      <c r="Z827" s="18" t="s">
        <v>989</v>
      </c>
      <c r="AA827" s="18">
        <v>7</v>
      </c>
      <c r="AC827" s="28" t="s">
        <v>3238</v>
      </c>
      <c r="AD827" s="28" t="s">
        <v>3304</v>
      </c>
      <c r="AE827" s="28" t="s">
        <v>135</v>
      </c>
      <c r="AF827" s="28" t="s">
        <v>3253</v>
      </c>
      <c r="AG827" s="28" t="s">
        <v>3254</v>
      </c>
      <c r="AH827" s="28" t="s">
        <v>12</v>
      </c>
      <c r="AI827" s="28" t="s">
        <v>2305</v>
      </c>
      <c r="AJ827" s="28" t="s">
        <v>2297</v>
      </c>
      <c r="AK827" s="28" t="s">
        <v>53</v>
      </c>
      <c r="AL827" s="28" t="s">
        <v>2298</v>
      </c>
      <c r="AM827" s="114"/>
    </row>
    <row r="828" spans="21:39">
      <c r="U828" s="18">
        <v>826</v>
      </c>
      <c r="V828" s="18" t="s">
        <v>1798</v>
      </c>
      <c r="W828" s="18">
        <v>32</v>
      </c>
      <c r="X828" s="18" t="s">
        <v>11</v>
      </c>
      <c r="Y828" s="18" t="s">
        <v>675</v>
      </c>
      <c r="Z828" s="18" t="s">
        <v>989</v>
      </c>
      <c r="AA828" s="18">
        <v>10</v>
      </c>
      <c r="AC828" s="28" t="s">
        <v>3238</v>
      </c>
      <c r="AD828" s="28" t="s">
        <v>3305</v>
      </c>
      <c r="AE828" s="28" t="s">
        <v>135</v>
      </c>
      <c r="AF828" s="28" t="s">
        <v>3266</v>
      </c>
      <c r="AG828" s="28" t="s">
        <v>2391</v>
      </c>
      <c r="AH828" s="28" t="s">
        <v>5</v>
      </c>
      <c r="AI828" s="28" t="s">
        <v>2302</v>
      </c>
      <c r="AJ828" s="28" t="s">
        <v>2297</v>
      </c>
      <c r="AK828" s="28" t="s">
        <v>18</v>
      </c>
      <c r="AL828" s="28" t="s">
        <v>2298</v>
      </c>
      <c r="AM828" s="114"/>
    </row>
    <row r="829" spans="21:39">
      <c r="U829" s="18">
        <v>827</v>
      </c>
      <c r="V829" s="18" t="s">
        <v>1799</v>
      </c>
      <c r="W829" s="18">
        <v>26</v>
      </c>
      <c r="X829" s="18" t="s">
        <v>11</v>
      </c>
      <c r="Y829" s="18" t="s">
        <v>679</v>
      </c>
      <c r="Z829" s="18" t="s">
        <v>699</v>
      </c>
      <c r="AA829" s="18">
        <v>18</v>
      </c>
      <c r="AC829" s="28" t="s">
        <v>3238</v>
      </c>
      <c r="AD829" s="28" t="s">
        <v>3306</v>
      </c>
      <c r="AE829" s="28" t="s">
        <v>106</v>
      </c>
      <c r="AF829" s="28" t="s">
        <v>3251</v>
      </c>
      <c r="AG829" s="28" t="s">
        <v>2398</v>
      </c>
      <c r="AH829" s="28" t="s">
        <v>12</v>
      </c>
      <c r="AI829" s="28" t="s">
        <v>2297</v>
      </c>
      <c r="AJ829" s="28" t="s">
        <v>2343</v>
      </c>
      <c r="AK829" s="28" t="s">
        <v>18</v>
      </c>
      <c r="AL829" s="28" t="s">
        <v>2298</v>
      </c>
      <c r="AM829" s="114"/>
    </row>
    <row r="830" spans="21:39">
      <c r="U830" s="18">
        <v>828</v>
      </c>
      <c r="V830" s="18" t="s">
        <v>1800</v>
      </c>
      <c r="W830" s="18">
        <v>26</v>
      </c>
      <c r="X830" s="18" t="s">
        <v>11</v>
      </c>
      <c r="Y830" s="18" t="s">
        <v>679</v>
      </c>
      <c r="Z830" s="18" t="s">
        <v>1388</v>
      </c>
      <c r="AA830" s="18">
        <v>20</v>
      </c>
      <c r="AC830" s="28" t="s">
        <v>3238</v>
      </c>
      <c r="AD830" s="28" t="s">
        <v>3307</v>
      </c>
      <c r="AE830" s="28" t="s">
        <v>3308</v>
      </c>
      <c r="AF830" s="28" t="s">
        <v>3261</v>
      </c>
      <c r="AG830" s="28" t="s">
        <v>3262</v>
      </c>
      <c r="AH830" s="28" t="s">
        <v>12</v>
      </c>
      <c r="AI830" s="28" t="s">
        <v>2302</v>
      </c>
      <c r="AJ830" s="28" t="s">
        <v>2301</v>
      </c>
      <c r="AK830" s="28" t="s">
        <v>40</v>
      </c>
      <c r="AL830" s="28" t="s">
        <v>2298</v>
      </c>
      <c r="AM830" s="114"/>
    </row>
    <row r="831" spans="21:39">
      <c r="U831" s="18">
        <v>829</v>
      </c>
      <c r="V831" s="18" t="s">
        <v>1801</v>
      </c>
      <c r="W831" s="18">
        <v>24</v>
      </c>
      <c r="X831" s="18" t="s">
        <v>11</v>
      </c>
      <c r="Y831" s="18" t="s">
        <v>681</v>
      </c>
      <c r="Z831" s="18" t="s">
        <v>1386</v>
      </c>
      <c r="AA831" s="18">
        <v>11</v>
      </c>
      <c r="AC831" s="28" t="s">
        <v>3238</v>
      </c>
      <c r="AD831" s="28" t="s">
        <v>3309</v>
      </c>
      <c r="AE831" s="28" t="s">
        <v>238</v>
      </c>
      <c r="AF831" s="28" t="s">
        <v>3266</v>
      </c>
      <c r="AG831" s="28" t="s">
        <v>2391</v>
      </c>
      <c r="AH831" s="28" t="s">
        <v>18</v>
      </c>
      <c r="AI831" s="28" t="s">
        <v>2297</v>
      </c>
      <c r="AJ831" s="28" t="s">
        <v>2302</v>
      </c>
      <c r="AK831" s="28" t="s">
        <v>9</v>
      </c>
      <c r="AL831" s="28" t="s">
        <v>3303</v>
      </c>
      <c r="AM831" s="114"/>
    </row>
    <row r="832" spans="21:39">
      <c r="U832" s="18">
        <v>830</v>
      </c>
      <c r="V832" s="18" t="s">
        <v>1802</v>
      </c>
      <c r="W832" s="18">
        <v>26</v>
      </c>
      <c r="X832" s="18" t="s">
        <v>11</v>
      </c>
      <c r="Y832" s="18" t="s">
        <v>683</v>
      </c>
      <c r="Z832" s="18" t="s">
        <v>1063</v>
      </c>
      <c r="AA832" s="18">
        <v>9</v>
      </c>
      <c r="AC832" s="28" t="s">
        <v>3238</v>
      </c>
      <c r="AD832" s="28" t="s">
        <v>3310</v>
      </c>
      <c r="AE832" s="28" t="s">
        <v>106</v>
      </c>
      <c r="AF832" s="28" t="s">
        <v>3240</v>
      </c>
      <c r="AG832" s="28" t="s">
        <v>2396</v>
      </c>
      <c r="AH832" s="28" t="s">
        <v>40</v>
      </c>
      <c r="AI832" s="28" t="s">
        <v>2302</v>
      </c>
      <c r="AJ832" s="28" t="s">
        <v>2302</v>
      </c>
      <c r="AK832" s="28" t="s">
        <v>9</v>
      </c>
      <c r="AL832" s="28" t="s">
        <v>3311</v>
      </c>
      <c r="AM832" s="114"/>
    </row>
    <row r="833" spans="21:39">
      <c r="U833" s="18">
        <v>831</v>
      </c>
      <c r="V833" s="18" t="s">
        <v>1803</v>
      </c>
      <c r="W833" s="18">
        <v>31</v>
      </c>
      <c r="X833" s="18" t="s">
        <v>11</v>
      </c>
      <c r="Y833" s="18" t="s">
        <v>683</v>
      </c>
      <c r="Z833" s="18" t="s">
        <v>1804</v>
      </c>
      <c r="AA833" s="18">
        <v>19</v>
      </c>
      <c r="AC833" s="28" t="s">
        <v>3238</v>
      </c>
      <c r="AD833" s="28" t="s">
        <v>3312</v>
      </c>
      <c r="AE833" s="28" t="s">
        <v>135</v>
      </c>
      <c r="AF833" s="28" t="s">
        <v>3245</v>
      </c>
      <c r="AG833" s="28" t="s">
        <v>3246</v>
      </c>
      <c r="AH833" s="28" t="s">
        <v>40</v>
      </c>
      <c r="AI833" s="28" t="s">
        <v>2302</v>
      </c>
      <c r="AJ833" s="28" t="s">
        <v>2302</v>
      </c>
      <c r="AK833" s="28" t="s">
        <v>50</v>
      </c>
      <c r="AL833" s="28" t="s">
        <v>3313</v>
      </c>
      <c r="AM833" s="114"/>
    </row>
    <row r="834" spans="21:39">
      <c r="U834" s="18">
        <v>832</v>
      </c>
      <c r="V834" s="18" t="s">
        <v>1805</v>
      </c>
      <c r="W834" s="18">
        <v>27</v>
      </c>
      <c r="X834" s="18" t="s">
        <v>11</v>
      </c>
      <c r="Y834" s="18" t="s">
        <v>683</v>
      </c>
      <c r="Z834" s="18" t="s">
        <v>1592</v>
      </c>
      <c r="AA834" s="18">
        <v>21</v>
      </c>
      <c r="AC834" s="28" t="s">
        <v>3238</v>
      </c>
      <c r="AD834" s="28" t="s">
        <v>3314</v>
      </c>
      <c r="AE834" s="28" t="s">
        <v>135</v>
      </c>
      <c r="AF834" s="28" t="s">
        <v>3261</v>
      </c>
      <c r="AG834" s="28" t="s">
        <v>3262</v>
      </c>
      <c r="AH834" s="28" t="s">
        <v>9</v>
      </c>
      <c r="AI834" s="28" t="s">
        <v>2297</v>
      </c>
      <c r="AJ834" s="28" t="s">
        <v>2302</v>
      </c>
      <c r="AK834" s="28" t="s">
        <v>33</v>
      </c>
      <c r="AL834" s="28" t="s">
        <v>2298</v>
      </c>
      <c r="AM834" s="114"/>
    </row>
    <row r="835" spans="21:39">
      <c r="U835" s="18">
        <v>833</v>
      </c>
      <c r="V835" s="18" t="s">
        <v>1806</v>
      </c>
      <c r="W835" s="18">
        <v>32</v>
      </c>
      <c r="X835" s="18" t="s">
        <v>5</v>
      </c>
      <c r="Y835" s="18" t="s">
        <v>642</v>
      </c>
      <c r="Z835" s="18" t="s">
        <v>978</v>
      </c>
      <c r="AA835" s="18">
        <v>1</v>
      </c>
      <c r="AC835" s="28" t="s">
        <v>3238</v>
      </c>
      <c r="AD835" s="28" t="s">
        <v>3315</v>
      </c>
      <c r="AE835" s="28" t="s">
        <v>170</v>
      </c>
      <c r="AF835" s="28" t="s">
        <v>3253</v>
      </c>
      <c r="AG835" s="28" t="s">
        <v>3254</v>
      </c>
      <c r="AH835" s="28" t="s">
        <v>40</v>
      </c>
      <c r="AI835" s="28" t="s">
        <v>2305</v>
      </c>
      <c r="AJ835" s="28" t="s">
        <v>2297</v>
      </c>
      <c r="AK835" s="28" t="s">
        <v>28</v>
      </c>
      <c r="AL835" s="28" t="s">
        <v>2298</v>
      </c>
      <c r="AM835" s="114"/>
    </row>
    <row r="836" spans="21:39">
      <c r="U836" s="18">
        <v>834</v>
      </c>
      <c r="V836" s="18" t="s">
        <v>1807</v>
      </c>
      <c r="W836" s="18">
        <v>30</v>
      </c>
      <c r="X836" s="18" t="s">
        <v>5</v>
      </c>
      <c r="Y836" s="18" t="s">
        <v>642</v>
      </c>
      <c r="Z836" s="18" t="s">
        <v>731</v>
      </c>
      <c r="AA836" s="18">
        <v>16</v>
      </c>
      <c r="AC836" s="28" t="s">
        <v>3238</v>
      </c>
      <c r="AD836" s="28" t="s">
        <v>3316</v>
      </c>
      <c r="AE836" s="28" t="s">
        <v>170</v>
      </c>
      <c r="AF836" s="28" t="s">
        <v>3259</v>
      </c>
      <c r="AG836" s="28" t="s">
        <v>2408</v>
      </c>
      <c r="AH836" s="28" t="s">
        <v>50</v>
      </c>
      <c r="AI836" s="28" t="s">
        <v>2297</v>
      </c>
      <c r="AJ836" s="28" t="s">
        <v>2297</v>
      </c>
      <c r="AK836" s="28" t="s">
        <v>59</v>
      </c>
      <c r="AL836" s="28" t="s">
        <v>3317</v>
      </c>
      <c r="AM836" s="114"/>
    </row>
    <row r="837" spans="21:39">
      <c r="U837" s="18">
        <v>835</v>
      </c>
      <c r="V837" s="18" t="s">
        <v>1808</v>
      </c>
      <c r="W837" s="18">
        <v>21</v>
      </c>
      <c r="X837" s="18" t="s">
        <v>5</v>
      </c>
      <c r="Y837" s="18" t="s">
        <v>642</v>
      </c>
      <c r="Z837" s="18" t="s">
        <v>1734</v>
      </c>
      <c r="AA837" s="18">
        <v>23</v>
      </c>
      <c r="AC837" s="28" t="s">
        <v>3238</v>
      </c>
      <c r="AD837" s="28" t="s">
        <v>3318</v>
      </c>
      <c r="AE837" s="28" t="s">
        <v>170</v>
      </c>
      <c r="AF837" s="28" t="s">
        <v>3240</v>
      </c>
      <c r="AG837" s="28" t="s">
        <v>2396</v>
      </c>
      <c r="AH837" s="28" t="s">
        <v>9</v>
      </c>
      <c r="AI837" s="28" t="s">
        <v>2297</v>
      </c>
      <c r="AJ837" s="28" t="s">
        <v>2302</v>
      </c>
      <c r="AK837" s="28" t="s">
        <v>16</v>
      </c>
      <c r="AL837" s="28" t="s">
        <v>2636</v>
      </c>
      <c r="AM837" s="114"/>
    </row>
    <row r="838" spans="21:39">
      <c r="U838" s="18">
        <v>836</v>
      </c>
      <c r="V838" s="18" t="s">
        <v>1809</v>
      </c>
      <c r="W838" s="18">
        <v>27</v>
      </c>
      <c r="X838" s="18" t="s">
        <v>5</v>
      </c>
      <c r="Y838" s="18" t="s">
        <v>649</v>
      </c>
      <c r="Z838" s="18" t="s">
        <v>781</v>
      </c>
      <c r="AA838" s="18">
        <v>4</v>
      </c>
      <c r="AC838" s="28" t="s">
        <v>3238</v>
      </c>
      <c r="AD838" s="28" t="s">
        <v>3319</v>
      </c>
      <c r="AE838" s="28" t="s">
        <v>170</v>
      </c>
      <c r="AF838" s="28" t="s">
        <v>3245</v>
      </c>
      <c r="AG838" s="28" t="s">
        <v>3246</v>
      </c>
      <c r="AH838" s="28" t="s">
        <v>33</v>
      </c>
      <c r="AI838" s="28" t="s">
        <v>2305</v>
      </c>
      <c r="AJ838" s="28" t="s">
        <v>2297</v>
      </c>
      <c r="AK838" s="28" t="s">
        <v>6</v>
      </c>
      <c r="AL838" s="28" t="s">
        <v>2755</v>
      </c>
      <c r="AM838" s="114"/>
    </row>
    <row r="839" spans="21:39">
      <c r="U839" s="18">
        <v>837</v>
      </c>
      <c r="V839" s="18" t="s">
        <v>1810</v>
      </c>
      <c r="W839" s="18">
        <v>27</v>
      </c>
      <c r="X839" s="18" t="s">
        <v>5</v>
      </c>
      <c r="Y839" s="18" t="s">
        <v>649</v>
      </c>
      <c r="Z839" s="18" t="s">
        <v>981</v>
      </c>
      <c r="AA839" s="18">
        <v>15</v>
      </c>
      <c r="AC839" s="28" t="s">
        <v>3238</v>
      </c>
      <c r="AD839" s="28" t="s">
        <v>3299</v>
      </c>
      <c r="AE839" s="28" t="s">
        <v>170</v>
      </c>
      <c r="AF839" s="28" t="s">
        <v>3251</v>
      </c>
      <c r="AG839" s="28" t="s">
        <v>2398</v>
      </c>
      <c r="AH839" s="28" t="s">
        <v>12</v>
      </c>
      <c r="AI839" s="28" t="s">
        <v>2297</v>
      </c>
      <c r="AJ839" s="28" t="s">
        <v>2297</v>
      </c>
      <c r="AK839" s="28" t="s">
        <v>10</v>
      </c>
      <c r="AL839" s="28" t="s">
        <v>2906</v>
      </c>
      <c r="AM839" s="114"/>
    </row>
    <row r="840" spans="21:39">
      <c r="U840" s="18">
        <v>838</v>
      </c>
      <c r="V840" s="18" t="s">
        <v>1811</v>
      </c>
      <c r="W840" s="18">
        <v>25</v>
      </c>
      <c r="X840" s="18" t="s">
        <v>5</v>
      </c>
      <c r="Y840" s="18" t="s">
        <v>649</v>
      </c>
      <c r="Z840" s="18" t="s">
        <v>986</v>
      </c>
      <c r="AA840" s="18">
        <v>17</v>
      </c>
      <c r="AC840" s="28" t="s">
        <v>3238</v>
      </c>
      <c r="AD840" s="28" t="s">
        <v>3300</v>
      </c>
      <c r="AE840" s="28" t="s">
        <v>170</v>
      </c>
      <c r="AF840" s="28" t="s">
        <v>3266</v>
      </c>
      <c r="AG840" s="28" t="s">
        <v>2391</v>
      </c>
      <c r="AH840" s="28" t="s">
        <v>53</v>
      </c>
      <c r="AI840" s="28" t="s">
        <v>2305</v>
      </c>
      <c r="AJ840" s="28" t="s">
        <v>2302</v>
      </c>
      <c r="AK840" s="28" t="s">
        <v>11</v>
      </c>
      <c r="AL840" s="28" t="s">
        <v>2298</v>
      </c>
      <c r="AM840" s="114"/>
    </row>
    <row r="841" spans="21:39">
      <c r="U841" s="18">
        <v>839</v>
      </c>
      <c r="V841" s="18" t="s">
        <v>1812</v>
      </c>
      <c r="W841" s="18">
        <v>30</v>
      </c>
      <c r="X841" s="18" t="s">
        <v>5</v>
      </c>
      <c r="Y841" s="18" t="s">
        <v>649</v>
      </c>
      <c r="Z841" s="18" t="s">
        <v>813</v>
      </c>
      <c r="AA841" s="18">
        <v>21</v>
      </c>
      <c r="AC841" s="28" t="s">
        <v>3238</v>
      </c>
      <c r="AD841" s="28" t="s">
        <v>3315</v>
      </c>
      <c r="AE841" s="28" t="s">
        <v>170</v>
      </c>
      <c r="AF841" s="28" t="s">
        <v>3253</v>
      </c>
      <c r="AG841" s="28" t="s">
        <v>3254</v>
      </c>
      <c r="AH841" s="28" t="s">
        <v>40</v>
      </c>
      <c r="AI841" s="28" t="s">
        <v>2305</v>
      </c>
      <c r="AJ841" s="28" t="s">
        <v>2297</v>
      </c>
      <c r="AK841" s="28" t="s">
        <v>28</v>
      </c>
      <c r="AL841" s="28" t="s">
        <v>2298</v>
      </c>
      <c r="AM841" s="114"/>
    </row>
    <row r="842" spans="21:39">
      <c r="U842" s="18">
        <v>840</v>
      </c>
      <c r="V842" s="18" t="s">
        <v>1813</v>
      </c>
      <c r="W842" s="18">
        <v>26</v>
      </c>
      <c r="X842" s="18" t="s">
        <v>5</v>
      </c>
      <c r="Y842" s="18" t="s">
        <v>649</v>
      </c>
      <c r="Z842" s="18" t="s">
        <v>1072</v>
      </c>
      <c r="AA842" s="18">
        <v>26</v>
      </c>
      <c r="AC842" s="28" t="s">
        <v>3238</v>
      </c>
      <c r="AD842" s="28" t="s">
        <v>3316</v>
      </c>
      <c r="AE842" s="28" t="s">
        <v>170</v>
      </c>
      <c r="AF842" s="28" t="s">
        <v>3259</v>
      </c>
      <c r="AG842" s="28" t="s">
        <v>2408</v>
      </c>
      <c r="AH842" s="28" t="s">
        <v>50</v>
      </c>
      <c r="AI842" s="28" t="s">
        <v>2297</v>
      </c>
      <c r="AJ842" s="28" t="s">
        <v>2297</v>
      </c>
      <c r="AK842" s="28" t="s">
        <v>59</v>
      </c>
      <c r="AL842" s="28" t="s">
        <v>3317</v>
      </c>
      <c r="AM842" s="114"/>
    </row>
    <row r="843" spans="21:39">
      <c r="U843" s="18">
        <v>841</v>
      </c>
      <c r="V843" s="18" t="s">
        <v>1814</v>
      </c>
      <c r="W843" s="18">
        <v>32</v>
      </c>
      <c r="X843" s="18" t="s">
        <v>5</v>
      </c>
      <c r="Y843" s="18" t="s">
        <v>657</v>
      </c>
      <c r="Z843" s="18" t="s">
        <v>1126</v>
      </c>
      <c r="AA843" s="18">
        <v>3</v>
      </c>
      <c r="AC843" s="28" t="s">
        <v>3238</v>
      </c>
      <c r="AD843" s="28" t="s">
        <v>3301</v>
      </c>
      <c r="AE843" s="28" t="s">
        <v>170</v>
      </c>
      <c r="AF843" s="28" t="s">
        <v>3261</v>
      </c>
      <c r="AG843" s="28" t="s">
        <v>3262</v>
      </c>
      <c r="AH843" s="28" t="s">
        <v>5</v>
      </c>
      <c r="AI843" s="28" t="s">
        <v>2305</v>
      </c>
      <c r="AJ843" s="28" t="s">
        <v>2302</v>
      </c>
      <c r="AK843" s="28" t="s">
        <v>55</v>
      </c>
      <c r="AL843" s="28" t="s">
        <v>2298</v>
      </c>
      <c r="AM843" s="114"/>
    </row>
    <row r="844" spans="21:39">
      <c r="U844" s="18">
        <v>842</v>
      </c>
      <c r="V844" s="18" t="s">
        <v>1815</v>
      </c>
      <c r="W844" s="18">
        <v>28</v>
      </c>
      <c r="X844" s="18" t="s">
        <v>5</v>
      </c>
      <c r="Y844" s="18" t="s">
        <v>657</v>
      </c>
      <c r="Z844" s="18" t="s">
        <v>1063</v>
      </c>
      <c r="AA844" s="18">
        <v>19</v>
      </c>
      <c r="AC844" s="28" t="s">
        <v>3238</v>
      </c>
      <c r="AD844" s="28" t="s">
        <v>3302</v>
      </c>
      <c r="AE844" s="28" t="s">
        <v>170</v>
      </c>
      <c r="AF844" s="28" t="s">
        <v>3264</v>
      </c>
      <c r="AG844" s="28" t="s">
        <v>2401</v>
      </c>
      <c r="AH844" s="28" t="s">
        <v>18</v>
      </c>
      <c r="AI844" s="28" t="s">
        <v>2305</v>
      </c>
      <c r="AJ844" s="28" t="s">
        <v>2297</v>
      </c>
      <c r="AK844" s="28" t="s">
        <v>43</v>
      </c>
      <c r="AL844" s="28" t="s">
        <v>3303</v>
      </c>
      <c r="AM844" s="114"/>
    </row>
    <row r="845" spans="21:39">
      <c r="U845" s="18">
        <v>843</v>
      </c>
      <c r="V845" s="18" t="s">
        <v>1816</v>
      </c>
      <c r="W845" s="18">
        <v>23</v>
      </c>
      <c r="X845" s="18" t="s">
        <v>5</v>
      </c>
      <c r="Y845" s="18" t="s">
        <v>661</v>
      </c>
      <c r="Z845" s="18" t="s">
        <v>1339</v>
      </c>
      <c r="AA845" s="18">
        <v>2</v>
      </c>
      <c r="AC845" s="28" t="s">
        <v>3238</v>
      </c>
      <c r="AD845" s="28" t="s">
        <v>3318</v>
      </c>
      <c r="AE845" s="28" t="s">
        <v>170</v>
      </c>
      <c r="AF845" s="28" t="s">
        <v>3240</v>
      </c>
      <c r="AG845" s="28" t="s">
        <v>2396</v>
      </c>
      <c r="AH845" s="28" t="s">
        <v>9</v>
      </c>
      <c r="AI845" s="28" t="s">
        <v>2297</v>
      </c>
      <c r="AJ845" s="28" t="s">
        <v>2302</v>
      </c>
      <c r="AK845" s="28" t="s">
        <v>16</v>
      </c>
      <c r="AL845" s="28" t="s">
        <v>2636</v>
      </c>
      <c r="AM845" s="114"/>
    </row>
    <row r="846" spans="21:39">
      <c r="U846" s="18">
        <v>844</v>
      </c>
      <c r="V846" s="18" t="s">
        <v>1817</v>
      </c>
      <c r="W846" s="18">
        <v>27</v>
      </c>
      <c r="X846" s="18" t="s">
        <v>5</v>
      </c>
      <c r="Y846" s="18" t="s">
        <v>661</v>
      </c>
      <c r="Z846" s="18" t="s">
        <v>1008</v>
      </c>
      <c r="AA846" s="18">
        <v>5</v>
      </c>
      <c r="AC846" s="28" t="s">
        <v>3238</v>
      </c>
      <c r="AD846" s="28" t="s">
        <v>3319</v>
      </c>
      <c r="AE846" s="28" t="s">
        <v>170</v>
      </c>
      <c r="AF846" s="28" t="s">
        <v>3245</v>
      </c>
      <c r="AG846" s="28" t="s">
        <v>3246</v>
      </c>
      <c r="AH846" s="28" t="s">
        <v>33</v>
      </c>
      <c r="AI846" s="28" t="s">
        <v>2305</v>
      </c>
      <c r="AJ846" s="28" t="s">
        <v>2297</v>
      </c>
      <c r="AK846" s="28" t="s">
        <v>6</v>
      </c>
      <c r="AL846" s="28" t="s">
        <v>2755</v>
      </c>
      <c r="AM846" s="114"/>
    </row>
    <row r="847" spans="21:39">
      <c r="U847" s="18">
        <v>845</v>
      </c>
      <c r="V847" s="18" t="s">
        <v>470</v>
      </c>
      <c r="W847" s="18">
        <v>26</v>
      </c>
      <c r="X847" s="18" t="s">
        <v>5</v>
      </c>
      <c r="Y847" s="18" t="s">
        <v>664</v>
      </c>
      <c r="Z847" s="18" t="s">
        <v>584</v>
      </c>
      <c r="AA847" s="18">
        <v>8</v>
      </c>
      <c r="AC847" s="28" t="s">
        <v>3238</v>
      </c>
      <c r="AD847" s="28" t="s">
        <v>3305</v>
      </c>
      <c r="AE847" s="28" t="s">
        <v>135</v>
      </c>
      <c r="AF847" s="28" t="s">
        <v>3266</v>
      </c>
      <c r="AG847" s="28" t="s">
        <v>2391</v>
      </c>
      <c r="AH847" s="28" t="s">
        <v>5</v>
      </c>
      <c r="AI847" s="28" t="s">
        <v>2302</v>
      </c>
      <c r="AJ847" s="28" t="s">
        <v>2297</v>
      </c>
      <c r="AK847" s="28" t="s">
        <v>18</v>
      </c>
      <c r="AL847" s="28" t="s">
        <v>2298</v>
      </c>
      <c r="AM847" s="114"/>
    </row>
    <row r="848" spans="21:39">
      <c r="U848" s="18">
        <v>846</v>
      </c>
      <c r="V848" s="18" t="s">
        <v>1818</v>
      </c>
      <c r="W848" s="18">
        <v>35</v>
      </c>
      <c r="X848" s="18" t="s">
        <v>5</v>
      </c>
      <c r="Y848" s="18" t="s">
        <v>664</v>
      </c>
      <c r="Z848" s="18" t="s">
        <v>707</v>
      </c>
      <c r="AA848" s="18">
        <v>13</v>
      </c>
      <c r="AC848" s="28" t="s">
        <v>3238</v>
      </c>
      <c r="AD848" s="28" t="s">
        <v>3304</v>
      </c>
      <c r="AE848" s="28" t="s">
        <v>135</v>
      </c>
      <c r="AF848" s="28" t="s">
        <v>3253</v>
      </c>
      <c r="AG848" s="28" t="s">
        <v>3254</v>
      </c>
      <c r="AH848" s="28" t="s">
        <v>12</v>
      </c>
      <c r="AI848" s="28" t="s">
        <v>2305</v>
      </c>
      <c r="AJ848" s="28" t="s">
        <v>2297</v>
      </c>
      <c r="AK848" s="28" t="s">
        <v>53</v>
      </c>
      <c r="AL848" s="28" t="s">
        <v>2298</v>
      </c>
      <c r="AM848" s="114"/>
    </row>
    <row r="849" spans="21:39">
      <c r="U849" s="18">
        <v>847</v>
      </c>
      <c r="V849" s="18" t="s">
        <v>1819</v>
      </c>
      <c r="W849" s="18">
        <v>25</v>
      </c>
      <c r="X849" s="18" t="s">
        <v>5</v>
      </c>
      <c r="Y849" s="18" t="s">
        <v>669</v>
      </c>
      <c r="Z849" s="18" t="s">
        <v>1089</v>
      </c>
      <c r="AA849" s="18">
        <v>6</v>
      </c>
      <c r="AC849" s="28" t="s">
        <v>3238</v>
      </c>
      <c r="AD849" s="28" t="s">
        <v>3314</v>
      </c>
      <c r="AE849" s="28" t="s">
        <v>135</v>
      </c>
      <c r="AF849" s="28" t="s">
        <v>3261</v>
      </c>
      <c r="AG849" s="28" t="s">
        <v>3262</v>
      </c>
      <c r="AH849" s="28" t="s">
        <v>9</v>
      </c>
      <c r="AI849" s="28" t="s">
        <v>2297</v>
      </c>
      <c r="AJ849" s="28" t="s">
        <v>2302</v>
      </c>
      <c r="AK849" s="28" t="s">
        <v>33</v>
      </c>
      <c r="AL849" s="28" t="s">
        <v>2298</v>
      </c>
      <c r="AM849" s="114"/>
    </row>
    <row r="850" spans="21:39">
      <c r="U850" s="18">
        <v>848</v>
      </c>
      <c r="V850" s="18" t="s">
        <v>1820</v>
      </c>
      <c r="W850" s="18">
        <v>31</v>
      </c>
      <c r="X850" s="18" t="s">
        <v>5</v>
      </c>
      <c r="Y850" s="18" t="s">
        <v>669</v>
      </c>
      <c r="Z850" s="18" t="s">
        <v>731</v>
      </c>
      <c r="AA850" s="18">
        <v>14</v>
      </c>
      <c r="AC850" s="28" t="s">
        <v>3238</v>
      </c>
      <c r="AD850" s="28" t="s">
        <v>3312</v>
      </c>
      <c r="AE850" s="28" t="s">
        <v>135</v>
      </c>
      <c r="AF850" s="28" t="s">
        <v>3245</v>
      </c>
      <c r="AG850" s="28" t="s">
        <v>3246</v>
      </c>
      <c r="AH850" s="28" t="s">
        <v>40</v>
      </c>
      <c r="AI850" s="28" t="s">
        <v>2302</v>
      </c>
      <c r="AJ850" s="28" t="s">
        <v>2302</v>
      </c>
      <c r="AK850" s="28" t="s">
        <v>50</v>
      </c>
      <c r="AL850" s="28" t="s">
        <v>3313</v>
      </c>
      <c r="AM850" s="114"/>
    </row>
    <row r="851" spans="21:39">
      <c r="U851" s="18">
        <v>849</v>
      </c>
      <c r="V851" s="18" t="s">
        <v>1821</v>
      </c>
      <c r="W851" s="18">
        <v>20</v>
      </c>
      <c r="X851" s="18" t="s">
        <v>5</v>
      </c>
      <c r="Y851" s="18" t="s">
        <v>669</v>
      </c>
      <c r="Z851" s="18" t="s">
        <v>813</v>
      </c>
      <c r="AA851" s="18">
        <v>18</v>
      </c>
      <c r="AC851" s="28" t="s">
        <v>3238</v>
      </c>
      <c r="AD851" s="28" t="s">
        <v>3306</v>
      </c>
      <c r="AE851" s="28" t="s">
        <v>106</v>
      </c>
      <c r="AF851" s="28" t="s">
        <v>3251</v>
      </c>
      <c r="AG851" s="28" t="s">
        <v>2398</v>
      </c>
      <c r="AH851" s="28" t="s">
        <v>12</v>
      </c>
      <c r="AI851" s="28" t="s">
        <v>2297</v>
      </c>
      <c r="AJ851" s="28" t="s">
        <v>2343</v>
      </c>
      <c r="AK851" s="28" t="s">
        <v>18</v>
      </c>
      <c r="AL851" s="28" t="s">
        <v>2298</v>
      </c>
      <c r="AM851" s="114"/>
    </row>
    <row r="852" spans="21:39">
      <c r="U852" s="18">
        <v>850</v>
      </c>
      <c r="V852" s="18" t="s">
        <v>1822</v>
      </c>
      <c r="W852" s="18">
        <v>22</v>
      </c>
      <c r="X852" s="18" t="s">
        <v>5</v>
      </c>
      <c r="Y852" s="18" t="s">
        <v>675</v>
      </c>
      <c r="Z852" s="18" t="s">
        <v>1454</v>
      </c>
      <c r="AA852" s="18">
        <v>24</v>
      </c>
      <c r="AC852" s="28" t="s">
        <v>3238</v>
      </c>
      <c r="AD852" s="28" t="s">
        <v>3310</v>
      </c>
      <c r="AE852" s="28" t="s">
        <v>106</v>
      </c>
      <c r="AF852" s="28" t="s">
        <v>3240</v>
      </c>
      <c r="AG852" s="28" t="s">
        <v>2396</v>
      </c>
      <c r="AH852" s="28" t="s">
        <v>40</v>
      </c>
      <c r="AI852" s="28" t="s">
        <v>2302</v>
      </c>
      <c r="AJ852" s="28" t="s">
        <v>2302</v>
      </c>
      <c r="AK852" s="28" t="s">
        <v>9</v>
      </c>
      <c r="AL852" s="28" t="s">
        <v>3311</v>
      </c>
      <c r="AM852" s="114"/>
    </row>
    <row r="853" spans="21:39">
      <c r="U853" s="18">
        <v>851</v>
      </c>
      <c r="V853" s="18" t="s">
        <v>1823</v>
      </c>
      <c r="W853" s="18">
        <v>24</v>
      </c>
      <c r="X853" s="18" t="s">
        <v>5</v>
      </c>
      <c r="Y853" s="18" t="s">
        <v>675</v>
      </c>
      <c r="Z853" s="18" t="s">
        <v>960</v>
      </c>
      <c r="AA853" s="18">
        <v>25</v>
      </c>
      <c r="AC853" s="28" t="s">
        <v>3238</v>
      </c>
      <c r="AD853" s="28" t="s">
        <v>3307</v>
      </c>
      <c r="AE853" s="28" t="s">
        <v>3308</v>
      </c>
      <c r="AF853" s="28" t="s">
        <v>3261</v>
      </c>
      <c r="AG853" s="28" t="s">
        <v>3262</v>
      </c>
      <c r="AH853" s="28" t="s">
        <v>12</v>
      </c>
      <c r="AI853" s="28" t="s">
        <v>2302</v>
      </c>
      <c r="AJ853" s="28" t="s">
        <v>2301</v>
      </c>
      <c r="AK853" s="28" t="s">
        <v>40</v>
      </c>
      <c r="AL853" s="28" t="s">
        <v>2298</v>
      </c>
      <c r="AM853" s="114"/>
    </row>
    <row r="854" spans="21:39">
      <c r="U854" s="18">
        <v>852</v>
      </c>
      <c r="V854" s="18" t="s">
        <v>1824</v>
      </c>
      <c r="W854" s="18">
        <v>23</v>
      </c>
      <c r="X854" s="18" t="s">
        <v>5</v>
      </c>
      <c r="Y854" s="18" t="s">
        <v>679</v>
      </c>
      <c r="Z854" s="18" t="s">
        <v>813</v>
      </c>
      <c r="AA854" s="18">
        <v>12</v>
      </c>
      <c r="AC854" s="28" t="s">
        <v>3238</v>
      </c>
      <c r="AD854" s="28" t="s">
        <v>3309</v>
      </c>
      <c r="AE854" s="28" t="s">
        <v>238</v>
      </c>
      <c r="AF854" s="28" t="s">
        <v>3266</v>
      </c>
      <c r="AG854" s="28" t="s">
        <v>2391</v>
      </c>
      <c r="AH854" s="28" t="s">
        <v>18</v>
      </c>
      <c r="AI854" s="28" t="s">
        <v>2297</v>
      </c>
      <c r="AJ854" s="28" t="s">
        <v>2302</v>
      </c>
      <c r="AK854" s="28" t="s">
        <v>9</v>
      </c>
      <c r="AL854" s="28" t="s">
        <v>3303</v>
      </c>
      <c r="AM854" s="114"/>
    </row>
    <row r="855" spans="21:39">
      <c r="U855" s="18">
        <v>853</v>
      </c>
      <c r="V855" s="18" t="s">
        <v>1825</v>
      </c>
      <c r="W855" s="18">
        <v>21</v>
      </c>
      <c r="X855" s="18" t="s">
        <v>5</v>
      </c>
      <c r="Y855" s="18" t="s">
        <v>679</v>
      </c>
      <c r="Z855" s="18" t="s">
        <v>813</v>
      </c>
      <c r="AA855" s="18">
        <v>20</v>
      </c>
      <c r="AC855" s="28" t="s">
        <v>3320</v>
      </c>
      <c r="AD855" s="28" t="s">
        <v>3321</v>
      </c>
      <c r="AE855" s="28" t="s">
        <v>3322</v>
      </c>
      <c r="AF855" s="28" t="s">
        <v>3323</v>
      </c>
      <c r="AG855" s="28" t="s">
        <v>3324</v>
      </c>
      <c r="AH855" s="28" t="s">
        <v>58</v>
      </c>
      <c r="AI855" s="28" t="s">
        <v>2338</v>
      </c>
      <c r="AJ855" s="28" t="s">
        <v>2302</v>
      </c>
      <c r="AK855" s="28" t="s">
        <v>56</v>
      </c>
      <c r="AL855" s="28" t="s">
        <v>2298</v>
      </c>
      <c r="AM855" s="114"/>
    </row>
    <row r="856" spans="21:39">
      <c r="U856" s="18">
        <v>854</v>
      </c>
      <c r="V856" s="18" t="s">
        <v>1826</v>
      </c>
      <c r="W856" s="18">
        <v>29</v>
      </c>
      <c r="X856" s="18" t="s">
        <v>5</v>
      </c>
      <c r="Y856" s="18" t="s">
        <v>681</v>
      </c>
      <c r="Z856" s="18" t="s">
        <v>813</v>
      </c>
      <c r="AA856" s="18">
        <v>7</v>
      </c>
      <c r="AC856" s="28" t="s">
        <v>3320</v>
      </c>
      <c r="AD856" s="28" t="s">
        <v>3325</v>
      </c>
      <c r="AE856" s="28" t="s">
        <v>3322</v>
      </c>
      <c r="AF856" s="28" t="s">
        <v>3326</v>
      </c>
      <c r="AG856" s="28" t="s">
        <v>3327</v>
      </c>
      <c r="AH856" s="28" t="s">
        <v>79</v>
      </c>
      <c r="AI856" s="28" t="s">
        <v>2302</v>
      </c>
      <c r="AJ856" s="28" t="s">
        <v>2297</v>
      </c>
      <c r="AK856" s="28" t="s">
        <v>11</v>
      </c>
      <c r="AL856" s="28" t="s">
        <v>2298</v>
      </c>
      <c r="AM856" s="114"/>
    </row>
    <row r="857" spans="21:39">
      <c r="U857" s="18">
        <v>855</v>
      </c>
      <c r="V857" s="18" t="s">
        <v>1827</v>
      </c>
      <c r="W857" s="18">
        <v>24</v>
      </c>
      <c r="X857" s="18" t="s">
        <v>5</v>
      </c>
      <c r="Y857" s="18" t="s">
        <v>681</v>
      </c>
      <c r="Z857" s="18" t="s">
        <v>781</v>
      </c>
      <c r="AA857" s="18">
        <v>11</v>
      </c>
      <c r="AC857" s="28" t="s">
        <v>3320</v>
      </c>
      <c r="AD857" s="28" t="s">
        <v>3328</v>
      </c>
      <c r="AE857" s="28" t="s">
        <v>3322</v>
      </c>
      <c r="AF857" s="28" t="s">
        <v>3329</v>
      </c>
      <c r="AG857" s="28" t="s">
        <v>3330</v>
      </c>
      <c r="AH857" s="28" t="s">
        <v>46</v>
      </c>
      <c r="AI857" s="28" t="s">
        <v>2302</v>
      </c>
      <c r="AJ857" s="28" t="s">
        <v>2297</v>
      </c>
      <c r="AK857" s="28" t="s">
        <v>71</v>
      </c>
      <c r="AL857" s="28" t="s">
        <v>2298</v>
      </c>
      <c r="AM857" s="114"/>
    </row>
    <row r="858" spans="21:39">
      <c r="U858" s="18">
        <v>856</v>
      </c>
      <c r="V858" s="18" t="s">
        <v>1828</v>
      </c>
      <c r="W858" s="18">
        <v>28</v>
      </c>
      <c r="X858" s="18" t="s">
        <v>5</v>
      </c>
      <c r="Y858" s="18" t="s">
        <v>683</v>
      </c>
      <c r="Z858" s="18" t="s">
        <v>949</v>
      </c>
      <c r="AA858" s="18">
        <v>9</v>
      </c>
      <c r="AC858" s="28" t="s">
        <v>3320</v>
      </c>
      <c r="AD858" s="28" t="s">
        <v>3331</v>
      </c>
      <c r="AE858" s="28" t="s">
        <v>3322</v>
      </c>
      <c r="AF858" s="28" t="s">
        <v>3332</v>
      </c>
      <c r="AG858" s="28" t="s">
        <v>3333</v>
      </c>
      <c r="AH858" s="28" t="s">
        <v>30</v>
      </c>
      <c r="AI858" s="28" t="s">
        <v>2301</v>
      </c>
      <c r="AJ858" s="28" t="s">
        <v>2301</v>
      </c>
      <c r="AK858" s="28" t="s">
        <v>19</v>
      </c>
      <c r="AL858" s="28" t="s">
        <v>2298</v>
      </c>
      <c r="AM858" s="114"/>
    </row>
    <row r="859" spans="21:39">
      <c r="U859" s="18">
        <v>857</v>
      </c>
      <c r="V859" s="18" t="s">
        <v>466</v>
      </c>
      <c r="W859" s="18">
        <v>27</v>
      </c>
      <c r="X859" s="18" t="s">
        <v>5</v>
      </c>
      <c r="Y859" s="18" t="s">
        <v>683</v>
      </c>
      <c r="Z859" s="18" t="s">
        <v>584</v>
      </c>
      <c r="AA859" s="18">
        <v>10</v>
      </c>
      <c r="AC859" s="28" t="s">
        <v>3320</v>
      </c>
      <c r="AD859" s="28" t="s">
        <v>3334</v>
      </c>
      <c r="AE859" s="28" t="s">
        <v>3322</v>
      </c>
      <c r="AF859" s="28" t="s">
        <v>3335</v>
      </c>
      <c r="AG859" s="28" t="s">
        <v>3336</v>
      </c>
      <c r="AH859" s="28" t="s">
        <v>5</v>
      </c>
      <c r="AI859" s="28" t="s">
        <v>2305</v>
      </c>
      <c r="AJ859" s="28" t="s">
        <v>2297</v>
      </c>
      <c r="AK859" s="28" t="s">
        <v>38</v>
      </c>
      <c r="AL859" s="28" t="s">
        <v>2298</v>
      </c>
      <c r="AM859" s="114"/>
    </row>
    <row r="860" spans="21:39">
      <c r="U860" s="18">
        <v>858</v>
      </c>
      <c r="V860" s="18" t="s">
        <v>1829</v>
      </c>
      <c r="W860" s="18">
        <v>28</v>
      </c>
      <c r="X860" s="18" t="s">
        <v>5</v>
      </c>
      <c r="Y860" s="18" t="s">
        <v>683</v>
      </c>
      <c r="Z860" s="18" t="s">
        <v>1072</v>
      </c>
      <c r="AA860" s="18">
        <v>22</v>
      </c>
      <c r="AC860" s="28" t="s">
        <v>3320</v>
      </c>
      <c r="AD860" s="28" t="s">
        <v>3337</v>
      </c>
      <c r="AE860" s="28" t="s">
        <v>3322</v>
      </c>
      <c r="AF860" s="28" t="s">
        <v>3338</v>
      </c>
      <c r="AG860" s="28" t="s">
        <v>3324</v>
      </c>
      <c r="AH860" s="28" t="s">
        <v>9</v>
      </c>
      <c r="AI860" s="28" t="s">
        <v>2297</v>
      </c>
      <c r="AJ860" s="28" t="s">
        <v>2297</v>
      </c>
      <c r="AK860" s="28" t="s">
        <v>80</v>
      </c>
      <c r="AL860" s="28" t="s">
        <v>2298</v>
      </c>
      <c r="AM860" s="114"/>
    </row>
    <row r="861" spans="21:39">
      <c r="U861" s="18">
        <v>859</v>
      </c>
      <c r="V861" s="18" t="s">
        <v>1830</v>
      </c>
      <c r="W861" s="18">
        <v>31</v>
      </c>
      <c r="X861" s="18" t="s">
        <v>48</v>
      </c>
      <c r="Y861" s="18" t="s">
        <v>642</v>
      </c>
      <c r="Z861" s="18" t="s">
        <v>1831</v>
      </c>
      <c r="AA861" s="18">
        <v>1</v>
      </c>
      <c r="AC861" s="28" t="s">
        <v>3320</v>
      </c>
      <c r="AD861" s="28" t="s">
        <v>3339</v>
      </c>
      <c r="AE861" s="28" t="s">
        <v>3322</v>
      </c>
      <c r="AF861" s="28" t="s">
        <v>3340</v>
      </c>
      <c r="AG861" s="28" t="s">
        <v>3341</v>
      </c>
      <c r="AH861" s="28" t="s">
        <v>32</v>
      </c>
      <c r="AI861" s="28" t="s">
        <v>2302</v>
      </c>
      <c r="AJ861" s="28" t="s">
        <v>2297</v>
      </c>
      <c r="AK861" s="28" t="s">
        <v>49</v>
      </c>
      <c r="AL861" s="28" t="s">
        <v>2298</v>
      </c>
      <c r="AM861" s="114"/>
    </row>
    <row r="862" spans="21:39">
      <c r="U862" s="18">
        <v>860</v>
      </c>
      <c r="V862" s="18" t="s">
        <v>1832</v>
      </c>
      <c r="W862" s="18">
        <v>35</v>
      </c>
      <c r="X862" s="18" t="s">
        <v>48</v>
      </c>
      <c r="Y862" s="18" t="s">
        <v>642</v>
      </c>
      <c r="Z862" s="18" t="s">
        <v>1833</v>
      </c>
      <c r="AA862" s="18">
        <v>12</v>
      </c>
      <c r="AC862" s="28" t="s">
        <v>3320</v>
      </c>
      <c r="AD862" s="28" t="s">
        <v>3342</v>
      </c>
      <c r="AE862" s="28" t="s">
        <v>3322</v>
      </c>
      <c r="AF862" s="28" t="s">
        <v>3343</v>
      </c>
      <c r="AG862" s="28" t="s">
        <v>3344</v>
      </c>
      <c r="AH862" s="28" t="s">
        <v>63</v>
      </c>
      <c r="AI862" s="28" t="s">
        <v>2305</v>
      </c>
      <c r="AJ862" s="28" t="s">
        <v>2302</v>
      </c>
      <c r="AK862" s="28" t="s">
        <v>55</v>
      </c>
      <c r="AL862" s="28" t="s">
        <v>2298</v>
      </c>
      <c r="AM862" s="114"/>
    </row>
    <row r="863" spans="21:39">
      <c r="U863" s="18">
        <v>861</v>
      </c>
      <c r="V863" s="18" t="s">
        <v>1834</v>
      </c>
      <c r="W863" s="18">
        <v>29</v>
      </c>
      <c r="X863" s="18" t="s">
        <v>48</v>
      </c>
      <c r="Y863" s="18" t="s">
        <v>642</v>
      </c>
      <c r="Z863" s="18" t="s">
        <v>1835</v>
      </c>
      <c r="AA863" s="18">
        <v>22</v>
      </c>
      <c r="AC863" s="28" t="s">
        <v>3320</v>
      </c>
      <c r="AD863" s="28" t="s">
        <v>3345</v>
      </c>
      <c r="AE863" s="28" t="s">
        <v>3322</v>
      </c>
      <c r="AF863" s="28" t="s">
        <v>3346</v>
      </c>
      <c r="AG863" s="28" t="s">
        <v>3347</v>
      </c>
      <c r="AH863" s="28" t="s">
        <v>50</v>
      </c>
      <c r="AI863" s="28" t="s">
        <v>2302</v>
      </c>
      <c r="AJ863" s="28" t="s">
        <v>2297</v>
      </c>
      <c r="AK863" s="28" t="s">
        <v>75</v>
      </c>
      <c r="AL863" s="28" t="s">
        <v>2298</v>
      </c>
      <c r="AM863" s="114"/>
    </row>
    <row r="864" spans="21:39">
      <c r="U864" s="18">
        <v>862</v>
      </c>
      <c r="V864" s="18" t="s">
        <v>1836</v>
      </c>
      <c r="W864" s="18">
        <v>34</v>
      </c>
      <c r="X864" s="18" t="s">
        <v>48</v>
      </c>
      <c r="Y864" s="18" t="s">
        <v>649</v>
      </c>
      <c r="Z864" s="18" t="s">
        <v>1837</v>
      </c>
      <c r="AA864" s="18">
        <v>2</v>
      </c>
      <c r="AC864" s="28" t="s">
        <v>3320</v>
      </c>
      <c r="AD864" s="28" t="s">
        <v>3348</v>
      </c>
      <c r="AE864" s="28" t="s">
        <v>3322</v>
      </c>
      <c r="AF864" s="28" t="s">
        <v>3323</v>
      </c>
      <c r="AG864" s="28" t="s">
        <v>3324</v>
      </c>
      <c r="AH864" s="28" t="s">
        <v>18</v>
      </c>
      <c r="AI864" s="28" t="s">
        <v>2302</v>
      </c>
      <c r="AJ864" s="28" t="s">
        <v>2297</v>
      </c>
      <c r="AK864" s="28" t="s">
        <v>28</v>
      </c>
      <c r="AL864" s="28" t="s">
        <v>2298</v>
      </c>
      <c r="AM864" s="114"/>
    </row>
    <row r="865" spans="21:39">
      <c r="U865" s="18">
        <v>863</v>
      </c>
      <c r="V865" s="18" t="s">
        <v>1838</v>
      </c>
      <c r="W865" s="18">
        <v>25</v>
      </c>
      <c r="X865" s="18" t="s">
        <v>48</v>
      </c>
      <c r="Y865" s="18" t="s">
        <v>649</v>
      </c>
      <c r="Z865" s="18" t="s">
        <v>1839</v>
      </c>
      <c r="AA865" s="18">
        <v>4</v>
      </c>
      <c r="AC865" s="28" t="s">
        <v>3320</v>
      </c>
      <c r="AD865" s="28" t="s">
        <v>3349</v>
      </c>
      <c r="AE865" s="28" t="s">
        <v>3322</v>
      </c>
      <c r="AF865" s="28" t="s">
        <v>3350</v>
      </c>
      <c r="AG865" s="28" t="s">
        <v>3351</v>
      </c>
      <c r="AH865" s="28" t="s">
        <v>12</v>
      </c>
      <c r="AI865" s="28" t="s">
        <v>2297</v>
      </c>
      <c r="AJ865" s="28" t="s">
        <v>2297</v>
      </c>
      <c r="AK865" s="28" t="s">
        <v>16</v>
      </c>
      <c r="AL865" s="28" t="s">
        <v>2298</v>
      </c>
      <c r="AM865" s="114"/>
    </row>
    <row r="866" spans="21:39">
      <c r="U866" s="18">
        <v>864</v>
      </c>
      <c r="V866" s="18" t="s">
        <v>1840</v>
      </c>
      <c r="W866" s="18">
        <v>27</v>
      </c>
      <c r="X866" s="18" t="s">
        <v>48</v>
      </c>
      <c r="Y866" s="18" t="s">
        <v>649</v>
      </c>
      <c r="Z866" s="18" t="s">
        <v>1833</v>
      </c>
      <c r="AA866" s="18">
        <v>5</v>
      </c>
      <c r="AC866" s="28" t="s">
        <v>3320</v>
      </c>
      <c r="AD866" s="28" t="s">
        <v>3352</v>
      </c>
      <c r="AE866" s="28" t="s">
        <v>3322</v>
      </c>
      <c r="AF866" s="28" t="s">
        <v>3353</v>
      </c>
      <c r="AG866" s="28" t="s">
        <v>3354</v>
      </c>
      <c r="AH866" s="28" t="s">
        <v>17</v>
      </c>
      <c r="AI866" s="28" t="s">
        <v>2297</v>
      </c>
      <c r="AJ866" s="28" t="s">
        <v>2302</v>
      </c>
      <c r="AK866" s="28" t="s">
        <v>47</v>
      </c>
      <c r="AL866" s="28" t="s">
        <v>2298</v>
      </c>
      <c r="AM866" s="114"/>
    </row>
    <row r="867" spans="21:39">
      <c r="U867" s="18">
        <v>865</v>
      </c>
      <c r="V867" s="18" t="s">
        <v>1841</v>
      </c>
      <c r="W867" s="18">
        <v>29</v>
      </c>
      <c r="X867" s="18" t="s">
        <v>48</v>
      </c>
      <c r="Y867" s="18" t="s">
        <v>649</v>
      </c>
      <c r="Z867" s="18" t="s">
        <v>1835</v>
      </c>
      <c r="AA867" s="18">
        <v>6</v>
      </c>
      <c r="AC867" s="28" t="s">
        <v>3320</v>
      </c>
      <c r="AD867" s="28" t="s">
        <v>3355</v>
      </c>
      <c r="AE867" s="28" t="s">
        <v>3322</v>
      </c>
      <c r="AF867" s="28" t="s">
        <v>3332</v>
      </c>
      <c r="AG867" s="28" t="s">
        <v>3333</v>
      </c>
      <c r="AH867" s="28" t="s">
        <v>33</v>
      </c>
      <c r="AI867" s="28" t="s">
        <v>2301</v>
      </c>
      <c r="AJ867" s="28" t="s">
        <v>2302</v>
      </c>
      <c r="AK867" s="28" t="s">
        <v>81</v>
      </c>
      <c r="AL867" s="28" t="s">
        <v>2298</v>
      </c>
      <c r="AM867" s="114"/>
    </row>
    <row r="868" spans="21:39">
      <c r="U868" s="18">
        <v>866</v>
      </c>
      <c r="V868" s="18" t="s">
        <v>1842</v>
      </c>
      <c r="W868" s="18">
        <v>32</v>
      </c>
      <c r="X868" s="18" t="s">
        <v>48</v>
      </c>
      <c r="Y868" s="18" t="s">
        <v>649</v>
      </c>
      <c r="Z868" s="18" t="s">
        <v>1843</v>
      </c>
      <c r="AA868" s="18">
        <v>26</v>
      </c>
      <c r="AC868" s="28" t="s">
        <v>3320</v>
      </c>
      <c r="AD868" s="28" t="s">
        <v>3356</v>
      </c>
      <c r="AE868" s="28" t="s">
        <v>3322</v>
      </c>
      <c r="AF868" s="28" t="s">
        <v>3357</v>
      </c>
      <c r="AG868" s="28" t="s">
        <v>3358</v>
      </c>
      <c r="AH868" s="28" t="s">
        <v>42</v>
      </c>
      <c r="AI868" s="28" t="s">
        <v>2297</v>
      </c>
      <c r="AJ868" s="28" t="s">
        <v>2305</v>
      </c>
      <c r="AK868" s="28" t="s">
        <v>23</v>
      </c>
      <c r="AL868" s="28" t="s">
        <v>2298</v>
      </c>
      <c r="AM868" s="114"/>
    </row>
    <row r="869" spans="21:39">
      <c r="U869" s="18">
        <v>867</v>
      </c>
      <c r="V869" s="18" t="s">
        <v>1844</v>
      </c>
      <c r="W869" s="18">
        <v>24</v>
      </c>
      <c r="X869" s="18" t="s">
        <v>48</v>
      </c>
      <c r="Y869" s="18" t="s">
        <v>657</v>
      </c>
      <c r="Z869" s="18" t="s">
        <v>1845</v>
      </c>
      <c r="AA869" s="18">
        <v>15</v>
      </c>
      <c r="AC869" s="28" t="s">
        <v>3320</v>
      </c>
      <c r="AD869" s="28" t="s">
        <v>3359</v>
      </c>
      <c r="AE869" s="28" t="s">
        <v>3322</v>
      </c>
      <c r="AF869" s="28" t="s">
        <v>3340</v>
      </c>
      <c r="AG869" s="28" t="s">
        <v>3341</v>
      </c>
      <c r="AH869" s="28" t="s">
        <v>53</v>
      </c>
      <c r="AI869" s="28" t="s">
        <v>2297</v>
      </c>
      <c r="AJ869" s="28" t="s">
        <v>2305</v>
      </c>
      <c r="AK869" s="28" t="s">
        <v>62</v>
      </c>
      <c r="AL869" s="28" t="s">
        <v>2298</v>
      </c>
      <c r="AM869" s="114"/>
    </row>
    <row r="870" spans="21:39">
      <c r="U870" s="18">
        <v>868</v>
      </c>
      <c r="V870" s="18" t="s">
        <v>1846</v>
      </c>
      <c r="W870" s="18">
        <v>26</v>
      </c>
      <c r="X870" s="18" t="s">
        <v>48</v>
      </c>
      <c r="Y870" s="18" t="s">
        <v>657</v>
      </c>
      <c r="Z870" s="18" t="s">
        <v>665</v>
      </c>
      <c r="AA870" s="18">
        <v>23</v>
      </c>
      <c r="AC870" s="28" t="s">
        <v>3320</v>
      </c>
      <c r="AD870" s="28" t="s">
        <v>3360</v>
      </c>
      <c r="AE870" s="28" t="s">
        <v>3322</v>
      </c>
      <c r="AF870" s="28" t="s">
        <v>3338</v>
      </c>
      <c r="AG870" s="28" t="s">
        <v>3324</v>
      </c>
      <c r="AH870" s="28" t="s">
        <v>37</v>
      </c>
      <c r="AI870" s="28" t="s">
        <v>2297</v>
      </c>
      <c r="AJ870" s="28" t="s">
        <v>2305</v>
      </c>
      <c r="AK870" s="28" t="s">
        <v>65</v>
      </c>
      <c r="AL870" s="28" t="s">
        <v>2298</v>
      </c>
      <c r="AM870" s="114"/>
    </row>
    <row r="871" spans="21:39">
      <c r="U871" s="18">
        <v>869</v>
      </c>
      <c r="V871" s="18" t="s">
        <v>1847</v>
      </c>
      <c r="W871" s="18">
        <v>24</v>
      </c>
      <c r="X871" s="18" t="s">
        <v>48</v>
      </c>
      <c r="Y871" s="18" t="s">
        <v>661</v>
      </c>
      <c r="Z871" s="18" t="s">
        <v>1848</v>
      </c>
      <c r="AA871" s="18">
        <v>3</v>
      </c>
      <c r="AC871" s="28" t="s">
        <v>3320</v>
      </c>
      <c r="AD871" s="28" t="s">
        <v>3361</v>
      </c>
      <c r="AE871" s="28" t="s">
        <v>3322</v>
      </c>
      <c r="AF871" s="28" t="s">
        <v>3329</v>
      </c>
      <c r="AG871" s="28" t="s">
        <v>3330</v>
      </c>
      <c r="AH871" s="28" t="s">
        <v>58</v>
      </c>
      <c r="AI871" s="28" t="s">
        <v>2301</v>
      </c>
      <c r="AJ871" s="28" t="s">
        <v>2297</v>
      </c>
      <c r="AK871" s="28" t="s">
        <v>79</v>
      </c>
      <c r="AL871" s="28" t="s">
        <v>2298</v>
      </c>
      <c r="AM871" s="114"/>
    </row>
    <row r="872" spans="21:39">
      <c r="U872" s="18">
        <v>870</v>
      </c>
      <c r="V872" s="18" t="s">
        <v>1849</v>
      </c>
      <c r="W872" s="18">
        <v>25</v>
      </c>
      <c r="X872" s="18" t="s">
        <v>48</v>
      </c>
      <c r="Y872" s="18" t="s">
        <v>661</v>
      </c>
      <c r="Z872" s="18" t="s">
        <v>1835</v>
      </c>
      <c r="AA872" s="18">
        <v>25</v>
      </c>
      <c r="AC872" s="28" t="s">
        <v>3320</v>
      </c>
      <c r="AD872" s="28" t="s">
        <v>3362</v>
      </c>
      <c r="AE872" s="28" t="s">
        <v>3322</v>
      </c>
      <c r="AF872" s="28" t="s">
        <v>3323</v>
      </c>
      <c r="AG872" s="28" t="s">
        <v>3324</v>
      </c>
      <c r="AH872" s="28" t="s">
        <v>30</v>
      </c>
      <c r="AI872" s="28" t="s">
        <v>2297</v>
      </c>
      <c r="AJ872" s="28" t="s">
        <v>2302</v>
      </c>
      <c r="AK872" s="28" t="s">
        <v>46</v>
      </c>
      <c r="AL872" s="28" t="s">
        <v>2298</v>
      </c>
      <c r="AM872" s="114"/>
    </row>
    <row r="873" spans="21:39">
      <c r="U873" s="18">
        <v>871</v>
      </c>
      <c r="V873" s="18" t="s">
        <v>1850</v>
      </c>
      <c r="W873" s="18">
        <v>24</v>
      </c>
      <c r="X873" s="18" t="s">
        <v>48</v>
      </c>
      <c r="Y873" s="18" t="s">
        <v>664</v>
      </c>
      <c r="Z873" s="18" t="s">
        <v>1831</v>
      </c>
      <c r="AA873" s="18">
        <v>24</v>
      </c>
      <c r="AC873" s="28" t="s">
        <v>3320</v>
      </c>
      <c r="AD873" s="28" t="s">
        <v>3363</v>
      </c>
      <c r="AE873" s="28" t="s">
        <v>3322</v>
      </c>
      <c r="AF873" s="28" t="s">
        <v>3350</v>
      </c>
      <c r="AG873" s="28" t="s">
        <v>3351</v>
      </c>
      <c r="AH873" s="28" t="s">
        <v>11</v>
      </c>
      <c r="AI873" s="28" t="s">
        <v>2297</v>
      </c>
      <c r="AJ873" s="28" t="s">
        <v>2302</v>
      </c>
      <c r="AK873" s="28" t="s">
        <v>56</v>
      </c>
      <c r="AL873" s="28" t="s">
        <v>2298</v>
      </c>
      <c r="AM873" s="114"/>
    </row>
    <row r="874" spans="21:39">
      <c r="U874" s="18">
        <v>872</v>
      </c>
      <c r="V874" s="18" t="s">
        <v>1851</v>
      </c>
      <c r="W874" s="18">
        <v>28</v>
      </c>
      <c r="X874" s="18" t="s">
        <v>48</v>
      </c>
      <c r="Y874" s="18" t="s">
        <v>669</v>
      </c>
      <c r="Z874" s="18" t="s">
        <v>1852</v>
      </c>
      <c r="AA874" s="18">
        <v>16</v>
      </c>
      <c r="AC874" s="28" t="s">
        <v>3320</v>
      </c>
      <c r="AD874" s="28" t="s">
        <v>3364</v>
      </c>
      <c r="AE874" s="28" t="s">
        <v>3322</v>
      </c>
      <c r="AF874" s="28" t="s">
        <v>3335</v>
      </c>
      <c r="AG874" s="28" t="s">
        <v>3336</v>
      </c>
      <c r="AH874" s="28" t="s">
        <v>71</v>
      </c>
      <c r="AI874" s="28" t="s">
        <v>2302</v>
      </c>
      <c r="AJ874" s="28" t="s">
        <v>2297</v>
      </c>
      <c r="AK874" s="28" t="s">
        <v>19</v>
      </c>
      <c r="AL874" s="28" t="s">
        <v>2298</v>
      </c>
      <c r="AM874" s="114"/>
    </row>
    <row r="875" spans="21:39">
      <c r="U875" s="18">
        <v>873</v>
      </c>
      <c r="V875" s="18" t="s">
        <v>1853</v>
      </c>
      <c r="W875" s="18">
        <v>23</v>
      </c>
      <c r="X875" s="18" t="s">
        <v>48</v>
      </c>
      <c r="Y875" s="18" t="s">
        <v>669</v>
      </c>
      <c r="Z875" s="18" t="s">
        <v>1854</v>
      </c>
      <c r="AA875" s="18">
        <v>20</v>
      </c>
      <c r="AC875" s="28" t="s">
        <v>3320</v>
      </c>
      <c r="AD875" s="28" t="s">
        <v>3365</v>
      </c>
      <c r="AE875" s="28" t="s">
        <v>3322</v>
      </c>
      <c r="AF875" s="28" t="s">
        <v>3346</v>
      </c>
      <c r="AG875" s="28" t="s">
        <v>3347</v>
      </c>
      <c r="AH875" s="28" t="s">
        <v>49</v>
      </c>
      <c r="AI875" s="28" t="s">
        <v>2297</v>
      </c>
      <c r="AJ875" s="28" t="s">
        <v>2297</v>
      </c>
      <c r="AK875" s="28" t="s">
        <v>38</v>
      </c>
      <c r="AL875" s="28" t="s">
        <v>2298</v>
      </c>
      <c r="AM875" s="114"/>
    </row>
    <row r="876" spans="21:39">
      <c r="U876" s="18">
        <v>874</v>
      </c>
      <c r="V876" s="18" t="s">
        <v>1855</v>
      </c>
      <c r="W876" s="18">
        <v>26</v>
      </c>
      <c r="X876" s="18" t="s">
        <v>48</v>
      </c>
      <c r="Y876" s="18" t="s">
        <v>675</v>
      </c>
      <c r="Z876" s="18" t="s">
        <v>1856</v>
      </c>
      <c r="AA876" s="18">
        <v>8</v>
      </c>
      <c r="AC876" s="28" t="s">
        <v>3320</v>
      </c>
      <c r="AD876" s="28" t="s">
        <v>3366</v>
      </c>
      <c r="AE876" s="28" t="s">
        <v>3322</v>
      </c>
      <c r="AF876" s="28" t="s">
        <v>3326</v>
      </c>
      <c r="AG876" s="28" t="s">
        <v>3327</v>
      </c>
      <c r="AH876" s="28" t="s">
        <v>5</v>
      </c>
      <c r="AI876" s="28" t="s">
        <v>2297</v>
      </c>
      <c r="AJ876" s="28" t="s">
        <v>2302</v>
      </c>
      <c r="AK876" s="28" t="s">
        <v>32</v>
      </c>
      <c r="AL876" s="28" t="s">
        <v>2298</v>
      </c>
      <c r="AM876" s="114"/>
    </row>
    <row r="877" spans="21:39">
      <c r="U877" s="18">
        <v>875</v>
      </c>
      <c r="V877" s="18" t="s">
        <v>1857</v>
      </c>
      <c r="W877" s="18">
        <v>23</v>
      </c>
      <c r="X877" s="18" t="s">
        <v>48</v>
      </c>
      <c r="Y877" s="18" t="s">
        <v>675</v>
      </c>
      <c r="Z877" s="18" t="s">
        <v>1858</v>
      </c>
      <c r="AA877" s="18">
        <v>14</v>
      </c>
      <c r="AC877" s="28" t="s">
        <v>3320</v>
      </c>
      <c r="AD877" s="28" t="s">
        <v>3367</v>
      </c>
      <c r="AE877" s="28" t="s">
        <v>3322</v>
      </c>
      <c r="AF877" s="28" t="s">
        <v>3353</v>
      </c>
      <c r="AG877" s="28" t="s">
        <v>3354</v>
      </c>
      <c r="AH877" s="28" t="s">
        <v>9</v>
      </c>
      <c r="AI877" s="28" t="s">
        <v>2302</v>
      </c>
      <c r="AJ877" s="28" t="s">
        <v>2301</v>
      </c>
      <c r="AK877" s="28" t="s">
        <v>63</v>
      </c>
      <c r="AL877" s="28" t="s">
        <v>2298</v>
      </c>
      <c r="AM877" s="114"/>
    </row>
    <row r="878" spans="21:39">
      <c r="U878" s="18">
        <v>876</v>
      </c>
      <c r="V878" s="18" t="s">
        <v>1859</v>
      </c>
      <c r="W878" s="18">
        <v>25</v>
      </c>
      <c r="X878" s="18" t="s">
        <v>48</v>
      </c>
      <c r="Y878" s="18" t="s">
        <v>675</v>
      </c>
      <c r="Z878" s="18" t="s">
        <v>1860</v>
      </c>
      <c r="AA878" s="18">
        <v>19</v>
      </c>
      <c r="AC878" s="28" t="s">
        <v>3320</v>
      </c>
      <c r="AD878" s="28" t="s">
        <v>3368</v>
      </c>
      <c r="AE878" s="28" t="s">
        <v>3322</v>
      </c>
      <c r="AF878" s="28" t="s">
        <v>3329</v>
      </c>
      <c r="AG878" s="28" t="s">
        <v>3330</v>
      </c>
      <c r="AH878" s="28" t="s">
        <v>12</v>
      </c>
      <c r="AI878" s="28" t="s">
        <v>2305</v>
      </c>
      <c r="AJ878" s="28" t="s">
        <v>2302</v>
      </c>
      <c r="AK878" s="28" t="s">
        <v>50</v>
      </c>
      <c r="AL878" s="28" t="s">
        <v>2298</v>
      </c>
      <c r="AM878" s="114"/>
    </row>
    <row r="879" spans="21:39">
      <c r="U879" s="18">
        <v>877</v>
      </c>
      <c r="V879" s="18" t="s">
        <v>1861</v>
      </c>
      <c r="W879" s="18">
        <v>22</v>
      </c>
      <c r="X879" s="18" t="s">
        <v>48</v>
      </c>
      <c r="Y879" s="18" t="s">
        <v>679</v>
      </c>
      <c r="Z879" s="18" t="s">
        <v>1862</v>
      </c>
      <c r="AA879" s="18">
        <v>7</v>
      </c>
      <c r="AC879" s="28" t="s">
        <v>3320</v>
      </c>
      <c r="AD879" s="28" t="s">
        <v>3369</v>
      </c>
      <c r="AE879" s="28" t="s">
        <v>3322</v>
      </c>
      <c r="AF879" s="28" t="s">
        <v>3357</v>
      </c>
      <c r="AG879" s="28" t="s">
        <v>3358</v>
      </c>
      <c r="AH879" s="28" t="s">
        <v>55</v>
      </c>
      <c r="AI879" s="28" t="s">
        <v>2305</v>
      </c>
      <c r="AJ879" s="28" t="s">
        <v>2302</v>
      </c>
      <c r="AK879" s="28" t="s">
        <v>80</v>
      </c>
      <c r="AL879" s="28" t="s">
        <v>2298</v>
      </c>
      <c r="AM879" s="114"/>
    </row>
    <row r="880" spans="21:39">
      <c r="U880" s="18">
        <v>878</v>
      </c>
      <c r="V880" s="18" t="s">
        <v>1863</v>
      </c>
      <c r="W880" s="18">
        <v>22</v>
      </c>
      <c r="X880" s="18" t="s">
        <v>48</v>
      </c>
      <c r="Y880" s="18" t="s">
        <v>679</v>
      </c>
      <c r="Z880" s="18" t="s">
        <v>1584</v>
      </c>
      <c r="AA880" s="18">
        <v>17</v>
      </c>
      <c r="AC880" s="28" t="s">
        <v>3320</v>
      </c>
      <c r="AD880" s="28" t="s">
        <v>3370</v>
      </c>
      <c r="AE880" s="28" t="s">
        <v>3322</v>
      </c>
      <c r="AF880" s="28" t="s">
        <v>3343</v>
      </c>
      <c r="AG880" s="28" t="s">
        <v>3344</v>
      </c>
      <c r="AH880" s="28" t="s">
        <v>75</v>
      </c>
      <c r="AI880" s="28" t="s">
        <v>2297</v>
      </c>
      <c r="AJ880" s="28" t="s">
        <v>2305</v>
      </c>
      <c r="AK880" s="28" t="s">
        <v>16</v>
      </c>
      <c r="AL880" s="28" t="s">
        <v>2298</v>
      </c>
      <c r="AM880" s="114"/>
    </row>
    <row r="881" spans="21:39">
      <c r="U881" s="18">
        <v>879</v>
      </c>
      <c r="V881" s="18" t="s">
        <v>1864</v>
      </c>
      <c r="W881" s="18">
        <v>22</v>
      </c>
      <c r="X881" s="18" t="s">
        <v>48</v>
      </c>
      <c r="Y881" s="18" t="s">
        <v>681</v>
      </c>
      <c r="Z881" s="18" t="s">
        <v>1865</v>
      </c>
      <c r="AA881" s="18">
        <v>11</v>
      </c>
      <c r="AC881" s="28" t="s">
        <v>3320</v>
      </c>
      <c r="AD881" s="28" t="s">
        <v>3371</v>
      </c>
      <c r="AE881" s="28" t="s">
        <v>3322</v>
      </c>
      <c r="AF881" s="28" t="s">
        <v>3338</v>
      </c>
      <c r="AG881" s="28" t="s">
        <v>3324</v>
      </c>
      <c r="AH881" s="28" t="s">
        <v>33</v>
      </c>
      <c r="AI881" s="28" t="s">
        <v>2338</v>
      </c>
      <c r="AJ881" s="28" t="s">
        <v>2305</v>
      </c>
      <c r="AK881" s="28" t="s">
        <v>42</v>
      </c>
      <c r="AL881" s="28" t="s">
        <v>2298</v>
      </c>
      <c r="AM881" s="114"/>
    </row>
    <row r="882" spans="21:39">
      <c r="U882" s="18">
        <v>880</v>
      </c>
      <c r="V882" s="18" t="s">
        <v>1866</v>
      </c>
      <c r="W882" s="18">
        <v>22</v>
      </c>
      <c r="X882" s="18" t="s">
        <v>48</v>
      </c>
      <c r="Y882" s="18" t="s">
        <v>681</v>
      </c>
      <c r="Z882" s="18" t="s">
        <v>1353</v>
      </c>
      <c r="AA882" s="18">
        <v>21</v>
      </c>
      <c r="AC882" s="28" t="s">
        <v>3320</v>
      </c>
      <c r="AD882" s="28" t="s">
        <v>3372</v>
      </c>
      <c r="AE882" s="28" t="s">
        <v>3322</v>
      </c>
      <c r="AF882" s="28" t="s">
        <v>3350</v>
      </c>
      <c r="AG882" s="28" t="s">
        <v>3351</v>
      </c>
      <c r="AH882" s="28" t="s">
        <v>47</v>
      </c>
      <c r="AI882" s="28" t="s">
        <v>2297</v>
      </c>
      <c r="AJ882" s="28" t="s">
        <v>2305</v>
      </c>
      <c r="AK882" s="28" t="s">
        <v>28</v>
      </c>
      <c r="AL882" s="28" t="s">
        <v>2298</v>
      </c>
      <c r="AM882" s="114"/>
    </row>
    <row r="883" spans="21:39">
      <c r="U883" s="18">
        <v>881</v>
      </c>
      <c r="V883" s="18" t="s">
        <v>1867</v>
      </c>
      <c r="W883" s="18">
        <v>24</v>
      </c>
      <c r="X883" s="18" t="s">
        <v>48</v>
      </c>
      <c r="Y883" s="18" t="s">
        <v>683</v>
      </c>
      <c r="Z883" s="18" t="s">
        <v>1868</v>
      </c>
      <c r="AA883" s="18">
        <v>9</v>
      </c>
      <c r="AC883" s="28" t="s">
        <v>3320</v>
      </c>
      <c r="AD883" s="28" t="s">
        <v>3373</v>
      </c>
      <c r="AE883" s="28" t="s">
        <v>3322</v>
      </c>
      <c r="AF883" s="28" t="s">
        <v>3332</v>
      </c>
      <c r="AG883" s="28" t="s">
        <v>3333</v>
      </c>
      <c r="AH883" s="28" t="s">
        <v>18</v>
      </c>
      <c r="AI883" s="28" t="s">
        <v>2305</v>
      </c>
      <c r="AJ883" s="28" t="s">
        <v>2297</v>
      </c>
      <c r="AK883" s="28" t="s">
        <v>17</v>
      </c>
      <c r="AL883" s="28" t="s">
        <v>2298</v>
      </c>
      <c r="AM883" s="114"/>
    </row>
    <row r="884" spans="21:39">
      <c r="U884" s="18">
        <v>882</v>
      </c>
      <c r="V884" s="18" t="s">
        <v>1869</v>
      </c>
      <c r="W884" s="18">
        <v>25</v>
      </c>
      <c r="X884" s="18" t="s">
        <v>48</v>
      </c>
      <c r="Y884" s="18" t="s">
        <v>683</v>
      </c>
      <c r="Z884" s="18" t="s">
        <v>1870</v>
      </c>
      <c r="AA884" s="18">
        <v>10</v>
      </c>
      <c r="AC884" s="28" t="s">
        <v>3320</v>
      </c>
      <c r="AD884" s="28" t="s">
        <v>3374</v>
      </c>
      <c r="AE884" s="28" t="s">
        <v>3322</v>
      </c>
      <c r="AF884" s="28" t="s">
        <v>3353</v>
      </c>
      <c r="AG884" s="28" t="s">
        <v>3354</v>
      </c>
      <c r="AH884" s="28" t="s">
        <v>23</v>
      </c>
      <c r="AI884" s="28" t="s">
        <v>2316</v>
      </c>
      <c r="AJ884" s="28" t="s">
        <v>2297</v>
      </c>
      <c r="AK884" s="28" t="s">
        <v>81</v>
      </c>
      <c r="AL884" s="28" t="s">
        <v>2298</v>
      </c>
      <c r="AM884" s="114"/>
    </row>
    <row r="885" spans="21:39">
      <c r="U885" s="18">
        <v>883</v>
      </c>
      <c r="V885" s="18" t="s">
        <v>1871</v>
      </c>
      <c r="W885" s="18">
        <v>30</v>
      </c>
      <c r="X885" s="18" t="s">
        <v>48</v>
      </c>
      <c r="Y885" s="18" t="s">
        <v>683</v>
      </c>
      <c r="Z885" s="18" t="s">
        <v>1831</v>
      </c>
      <c r="AA885" s="18">
        <v>13</v>
      </c>
      <c r="AC885" s="28" t="s">
        <v>3320</v>
      </c>
      <c r="AD885" s="28" t="s">
        <v>3375</v>
      </c>
      <c r="AE885" s="28" t="s">
        <v>3322</v>
      </c>
      <c r="AF885" s="28" t="s">
        <v>3326</v>
      </c>
      <c r="AG885" s="28" t="s">
        <v>3327</v>
      </c>
      <c r="AH885" s="28" t="s">
        <v>62</v>
      </c>
      <c r="AI885" s="28" t="s">
        <v>2305</v>
      </c>
      <c r="AJ885" s="28" t="s">
        <v>2305</v>
      </c>
      <c r="AK885" s="28" t="s">
        <v>65</v>
      </c>
      <c r="AL885" s="28" t="s">
        <v>2298</v>
      </c>
      <c r="AM885" s="114"/>
    </row>
    <row r="886" spans="21:39">
      <c r="U886" s="18">
        <v>884</v>
      </c>
      <c r="V886" s="18" t="s">
        <v>1872</v>
      </c>
      <c r="W886" s="18">
        <v>30</v>
      </c>
      <c r="X886" s="18" t="s">
        <v>48</v>
      </c>
      <c r="Y886" s="18" t="s">
        <v>683</v>
      </c>
      <c r="Z886" s="18" t="s">
        <v>1845</v>
      </c>
      <c r="AA886" s="18">
        <v>18</v>
      </c>
      <c r="AC886" s="28" t="s">
        <v>3320</v>
      </c>
      <c r="AD886" s="28" t="s">
        <v>3376</v>
      </c>
      <c r="AE886" s="28" t="s">
        <v>3322</v>
      </c>
      <c r="AF886" s="28" t="s">
        <v>3335</v>
      </c>
      <c r="AG886" s="28" t="s">
        <v>3336</v>
      </c>
      <c r="AH886" s="28" t="s">
        <v>37</v>
      </c>
      <c r="AI886" s="28" t="s">
        <v>2302</v>
      </c>
      <c r="AJ886" s="28" t="s">
        <v>2301</v>
      </c>
      <c r="AK886" s="28" t="s">
        <v>53</v>
      </c>
      <c r="AL886" s="28" t="s">
        <v>2298</v>
      </c>
      <c r="AM886" s="114"/>
    </row>
    <row r="887" spans="21:39">
      <c r="U887" s="18">
        <v>885</v>
      </c>
      <c r="V887" s="18" t="s">
        <v>1873</v>
      </c>
      <c r="W887" s="18">
        <v>35</v>
      </c>
      <c r="X887" s="18" t="s">
        <v>54</v>
      </c>
      <c r="Y887" s="18" t="s">
        <v>642</v>
      </c>
      <c r="Z887" s="18" t="s">
        <v>967</v>
      </c>
      <c r="AA887" s="18">
        <v>1</v>
      </c>
      <c r="AC887" s="28" t="s">
        <v>3320</v>
      </c>
      <c r="AD887" s="28" t="s">
        <v>3377</v>
      </c>
      <c r="AE887" s="28" t="s">
        <v>3322</v>
      </c>
      <c r="AF887" s="28" t="s">
        <v>3357</v>
      </c>
      <c r="AG887" s="28" t="s">
        <v>3358</v>
      </c>
      <c r="AH887" s="28" t="s">
        <v>56</v>
      </c>
      <c r="AI887" s="28" t="s">
        <v>2305</v>
      </c>
      <c r="AJ887" s="28" t="s">
        <v>2297</v>
      </c>
      <c r="AK887" s="28" t="s">
        <v>79</v>
      </c>
      <c r="AL887" s="28" t="s">
        <v>2298</v>
      </c>
      <c r="AM887" s="114"/>
    </row>
    <row r="888" spans="21:39">
      <c r="U888" s="18">
        <v>886</v>
      </c>
      <c r="V888" s="18" t="s">
        <v>1874</v>
      </c>
      <c r="W888" s="18">
        <v>23</v>
      </c>
      <c r="X888" s="18" t="s">
        <v>54</v>
      </c>
      <c r="Y888" s="18" t="s">
        <v>642</v>
      </c>
      <c r="Z888" s="18" t="s">
        <v>956</v>
      </c>
      <c r="AA888" s="18">
        <v>12</v>
      </c>
      <c r="AC888" s="28" t="s">
        <v>3320</v>
      </c>
      <c r="AD888" s="28" t="s">
        <v>3378</v>
      </c>
      <c r="AE888" s="28" t="s">
        <v>3322</v>
      </c>
      <c r="AF888" s="28" t="s">
        <v>3346</v>
      </c>
      <c r="AG888" s="28" t="s">
        <v>3347</v>
      </c>
      <c r="AH888" s="28" t="s">
        <v>11</v>
      </c>
      <c r="AI888" s="28" t="s">
        <v>2301</v>
      </c>
      <c r="AJ888" s="28" t="s">
        <v>2302</v>
      </c>
      <c r="AK888" s="28" t="s">
        <v>58</v>
      </c>
      <c r="AL888" s="28" t="s">
        <v>2298</v>
      </c>
      <c r="AM888" s="114"/>
    </row>
    <row r="889" spans="21:39">
      <c r="U889" s="18">
        <v>887</v>
      </c>
      <c r="V889" s="18" t="s">
        <v>1875</v>
      </c>
      <c r="W889" s="18">
        <v>28</v>
      </c>
      <c r="X889" s="18" t="s">
        <v>54</v>
      </c>
      <c r="Y889" s="18" t="s">
        <v>642</v>
      </c>
      <c r="Z889" s="18" t="s">
        <v>1239</v>
      </c>
      <c r="AA889" s="18">
        <v>13</v>
      </c>
      <c r="AC889" s="28" t="s">
        <v>3320</v>
      </c>
      <c r="AD889" s="28" t="s">
        <v>3379</v>
      </c>
      <c r="AE889" s="28" t="s">
        <v>3322</v>
      </c>
      <c r="AF889" s="28" t="s">
        <v>3343</v>
      </c>
      <c r="AG889" s="28" t="s">
        <v>3344</v>
      </c>
      <c r="AH889" s="28" t="s">
        <v>19</v>
      </c>
      <c r="AI889" s="28" t="s">
        <v>2305</v>
      </c>
      <c r="AJ889" s="28" t="s">
        <v>2305</v>
      </c>
      <c r="AK889" s="28" t="s">
        <v>46</v>
      </c>
      <c r="AL889" s="28" t="s">
        <v>2298</v>
      </c>
      <c r="AM889" s="114"/>
    </row>
    <row r="890" spans="21:39">
      <c r="U890" s="18">
        <v>888</v>
      </c>
      <c r="V890" s="18" t="s">
        <v>1876</v>
      </c>
      <c r="W890" s="18">
        <v>28</v>
      </c>
      <c r="X890" s="18" t="s">
        <v>54</v>
      </c>
      <c r="Y890" s="18" t="s">
        <v>649</v>
      </c>
      <c r="Z890" s="18" t="s">
        <v>1016</v>
      </c>
      <c r="AA890" s="18">
        <v>3</v>
      </c>
      <c r="AC890" s="28" t="s">
        <v>3320</v>
      </c>
      <c r="AD890" s="28" t="s">
        <v>3380</v>
      </c>
      <c r="AE890" s="28" t="s">
        <v>3322</v>
      </c>
      <c r="AF890" s="28" t="s">
        <v>3340</v>
      </c>
      <c r="AG890" s="28" t="s">
        <v>3341</v>
      </c>
      <c r="AH890" s="28" t="s">
        <v>71</v>
      </c>
      <c r="AI890" s="28" t="s">
        <v>2297</v>
      </c>
      <c r="AJ890" s="28" t="s">
        <v>2297</v>
      </c>
      <c r="AK890" s="28" t="s">
        <v>30</v>
      </c>
      <c r="AL890" s="28" t="s">
        <v>2298</v>
      </c>
      <c r="AM890" s="114"/>
    </row>
    <row r="891" spans="21:39">
      <c r="U891" s="18">
        <v>889</v>
      </c>
      <c r="V891" s="18" t="s">
        <v>1877</v>
      </c>
      <c r="W891" s="18">
        <v>26</v>
      </c>
      <c r="X891" s="18" t="s">
        <v>54</v>
      </c>
      <c r="Y891" s="18" t="s">
        <v>649</v>
      </c>
      <c r="Z891" s="18" t="s">
        <v>697</v>
      </c>
      <c r="AA891" s="18">
        <v>4</v>
      </c>
      <c r="AC891" s="28" t="s">
        <v>3320</v>
      </c>
      <c r="AD891" s="28" t="s">
        <v>3381</v>
      </c>
      <c r="AE891" s="28" t="s">
        <v>3322</v>
      </c>
      <c r="AF891" s="28" t="s">
        <v>3332</v>
      </c>
      <c r="AG891" s="28" t="s">
        <v>3333</v>
      </c>
      <c r="AH891" s="28" t="s">
        <v>38</v>
      </c>
      <c r="AI891" s="28" t="s">
        <v>2302</v>
      </c>
      <c r="AJ891" s="28" t="s">
        <v>2305</v>
      </c>
      <c r="AK891" s="28" t="s">
        <v>32</v>
      </c>
      <c r="AL891" s="28" t="s">
        <v>2298</v>
      </c>
      <c r="AM891" s="114"/>
    </row>
    <row r="892" spans="21:39">
      <c r="U892" s="18">
        <v>890</v>
      </c>
      <c r="V892" s="18" t="s">
        <v>1878</v>
      </c>
      <c r="W892" s="18">
        <v>27</v>
      </c>
      <c r="X892" s="18" t="s">
        <v>54</v>
      </c>
      <c r="Y892" s="18" t="s">
        <v>649</v>
      </c>
      <c r="Z892" s="18" t="s">
        <v>962</v>
      </c>
      <c r="AA892" s="18">
        <v>17</v>
      </c>
      <c r="AC892" s="28" t="s">
        <v>3320</v>
      </c>
      <c r="AD892" s="28" t="s">
        <v>3381</v>
      </c>
      <c r="AE892" s="28" t="s">
        <v>3322</v>
      </c>
      <c r="AF892" s="28" t="s">
        <v>3323</v>
      </c>
      <c r="AG892" s="28" t="s">
        <v>3324</v>
      </c>
      <c r="AH892" s="28" t="s">
        <v>49</v>
      </c>
      <c r="AI892" s="28" t="s">
        <v>2302</v>
      </c>
      <c r="AJ892" s="28" t="s">
        <v>2302</v>
      </c>
      <c r="AK892" s="28" t="s">
        <v>5</v>
      </c>
      <c r="AL892" s="28" t="s">
        <v>2298</v>
      </c>
      <c r="AM892" s="114"/>
    </row>
    <row r="893" spans="21:39">
      <c r="U893" s="18">
        <v>891</v>
      </c>
      <c r="V893" s="18" t="s">
        <v>1879</v>
      </c>
      <c r="W893" s="18">
        <v>25</v>
      </c>
      <c r="X893" s="18" t="s">
        <v>54</v>
      </c>
      <c r="Y893" s="18" t="s">
        <v>649</v>
      </c>
      <c r="Z893" s="18" t="s">
        <v>1509</v>
      </c>
      <c r="AA893" s="18">
        <v>24</v>
      </c>
      <c r="AC893" s="28" t="s">
        <v>3320</v>
      </c>
      <c r="AD893" s="28" t="s">
        <v>3382</v>
      </c>
      <c r="AE893" s="28" t="s">
        <v>3322</v>
      </c>
      <c r="AF893" s="28" t="s">
        <v>3350</v>
      </c>
      <c r="AG893" s="28" t="s">
        <v>3351</v>
      </c>
      <c r="AH893" s="28" t="s">
        <v>80</v>
      </c>
      <c r="AI893" s="28" t="s">
        <v>2297</v>
      </c>
      <c r="AJ893" s="28" t="s">
        <v>2305</v>
      </c>
      <c r="AK893" s="28" t="s">
        <v>63</v>
      </c>
      <c r="AL893" s="28" t="s">
        <v>2298</v>
      </c>
      <c r="AM893" s="114"/>
    </row>
    <row r="894" spans="21:39">
      <c r="U894" s="18">
        <v>892</v>
      </c>
      <c r="V894" s="18" t="s">
        <v>1880</v>
      </c>
      <c r="W894" s="18">
        <v>23</v>
      </c>
      <c r="X894" s="18" t="s">
        <v>54</v>
      </c>
      <c r="Y894" s="18" t="s">
        <v>649</v>
      </c>
      <c r="Z894" s="18" t="s">
        <v>1655</v>
      </c>
      <c r="AA894" s="18">
        <v>25</v>
      </c>
      <c r="AC894" s="28" t="s">
        <v>3320</v>
      </c>
      <c r="AD894" s="28" t="s">
        <v>3382</v>
      </c>
      <c r="AE894" s="28" t="s">
        <v>3322</v>
      </c>
      <c r="AF894" s="28" t="s">
        <v>3329</v>
      </c>
      <c r="AG894" s="28" t="s">
        <v>3330</v>
      </c>
      <c r="AH894" s="28" t="s">
        <v>55</v>
      </c>
      <c r="AI894" s="28" t="s">
        <v>2297</v>
      </c>
      <c r="AJ894" s="28" t="s">
        <v>2305</v>
      </c>
      <c r="AK894" s="28" t="s">
        <v>9</v>
      </c>
      <c r="AL894" s="28" t="s">
        <v>2298</v>
      </c>
      <c r="AM894" s="114"/>
    </row>
    <row r="895" spans="21:39">
      <c r="U895" s="18">
        <v>893</v>
      </c>
      <c r="V895" s="18" t="s">
        <v>1881</v>
      </c>
      <c r="W895" s="18">
        <v>24</v>
      </c>
      <c r="X895" s="18" t="s">
        <v>54</v>
      </c>
      <c r="Y895" s="18" t="s">
        <v>657</v>
      </c>
      <c r="Z895" s="18" t="s">
        <v>655</v>
      </c>
      <c r="AA895" s="18">
        <v>5</v>
      </c>
      <c r="AC895" s="28" t="s">
        <v>3320</v>
      </c>
      <c r="AD895" s="28" t="s">
        <v>3383</v>
      </c>
      <c r="AE895" s="28" t="s">
        <v>3322</v>
      </c>
      <c r="AF895" s="28" t="s">
        <v>3335</v>
      </c>
      <c r="AG895" s="28" t="s">
        <v>3336</v>
      </c>
      <c r="AH895" s="28" t="s">
        <v>47</v>
      </c>
      <c r="AI895" s="28" t="s">
        <v>2305</v>
      </c>
      <c r="AJ895" s="28" t="s">
        <v>2302</v>
      </c>
      <c r="AK895" s="28" t="s">
        <v>18</v>
      </c>
      <c r="AL895" s="28" t="s">
        <v>2298</v>
      </c>
      <c r="AM895" s="114"/>
    </row>
    <row r="896" spans="21:39">
      <c r="U896" s="18">
        <v>894</v>
      </c>
      <c r="V896" s="18" t="s">
        <v>1882</v>
      </c>
      <c r="W896" s="18">
        <v>27</v>
      </c>
      <c r="X896" s="18" t="s">
        <v>54</v>
      </c>
      <c r="Y896" s="18" t="s">
        <v>657</v>
      </c>
      <c r="Z896" s="18" t="s">
        <v>1883</v>
      </c>
      <c r="AA896" s="18">
        <v>15</v>
      </c>
      <c r="AC896" s="28" t="s">
        <v>3320</v>
      </c>
      <c r="AD896" s="28" t="s">
        <v>3384</v>
      </c>
      <c r="AE896" s="28" t="s">
        <v>3322</v>
      </c>
      <c r="AF896" s="28" t="s">
        <v>3326</v>
      </c>
      <c r="AG896" s="28" t="s">
        <v>3327</v>
      </c>
      <c r="AH896" s="28" t="s">
        <v>28</v>
      </c>
      <c r="AI896" s="28" t="s">
        <v>2302</v>
      </c>
      <c r="AJ896" s="28" t="s">
        <v>2301</v>
      </c>
      <c r="AK896" s="28" t="s">
        <v>17</v>
      </c>
      <c r="AL896" s="28" t="s">
        <v>2298</v>
      </c>
      <c r="AM896" s="114"/>
    </row>
    <row r="897" spans="21:39">
      <c r="U897" s="18">
        <v>895</v>
      </c>
      <c r="V897" s="18" t="s">
        <v>1884</v>
      </c>
      <c r="W897" s="18">
        <v>25</v>
      </c>
      <c r="X897" s="18" t="s">
        <v>54</v>
      </c>
      <c r="Y897" s="18" t="s">
        <v>661</v>
      </c>
      <c r="Z897" s="18" t="s">
        <v>1133</v>
      </c>
      <c r="AA897" s="18">
        <v>16</v>
      </c>
      <c r="AC897" s="28" t="s">
        <v>3320</v>
      </c>
      <c r="AD897" s="28" t="s">
        <v>3385</v>
      </c>
      <c r="AE897" s="28" t="s">
        <v>3322</v>
      </c>
      <c r="AF897" s="28" t="s">
        <v>3338</v>
      </c>
      <c r="AG897" s="28" t="s">
        <v>3324</v>
      </c>
      <c r="AH897" s="28" t="s">
        <v>75</v>
      </c>
      <c r="AI897" s="28" t="s">
        <v>2302</v>
      </c>
      <c r="AJ897" s="28" t="s">
        <v>2305</v>
      </c>
      <c r="AK897" s="28" t="s">
        <v>12</v>
      </c>
      <c r="AL897" s="28" t="s">
        <v>2298</v>
      </c>
      <c r="AM897" s="114"/>
    </row>
    <row r="898" spans="21:39">
      <c r="U898" s="18">
        <v>896</v>
      </c>
      <c r="V898" s="18" t="s">
        <v>1885</v>
      </c>
      <c r="W898" s="18">
        <v>28</v>
      </c>
      <c r="X898" s="18" t="s">
        <v>54</v>
      </c>
      <c r="Y898" s="18" t="s">
        <v>661</v>
      </c>
      <c r="Z898" s="18" t="s">
        <v>944</v>
      </c>
      <c r="AA898" s="18">
        <v>26</v>
      </c>
      <c r="AC898" s="28" t="s">
        <v>3320</v>
      </c>
      <c r="AD898" s="28" t="s">
        <v>3385</v>
      </c>
      <c r="AE898" s="28" t="s">
        <v>3322</v>
      </c>
      <c r="AF898" s="28" t="s">
        <v>3353</v>
      </c>
      <c r="AG898" s="28" t="s">
        <v>3354</v>
      </c>
      <c r="AH898" s="28" t="s">
        <v>16</v>
      </c>
      <c r="AI898" s="28" t="s">
        <v>2305</v>
      </c>
      <c r="AJ898" s="28" t="s">
        <v>2305</v>
      </c>
      <c r="AK898" s="28" t="s">
        <v>50</v>
      </c>
      <c r="AL898" s="28" t="s">
        <v>2298</v>
      </c>
      <c r="AM898" s="114"/>
    </row>
    <row r="899" spans="21:39">
      <c r="U899" s="18">
        <v>897</v>
      </c>
      <c r="V899" s="18" t="s">
        <v>1886</v>
      </c>
      <c r="W899" s="18">
        <v>28</v>
      </c>
      <c r="X899" s="18" t="s">
        <v>54</v>
      </c>
      <c r="Y899" s="18" t="s">
        <v>664</v>
      </c>
      <c r="Z899" s="18" t="s">
        <v>1883</v>
      </c>
      <c r="AA899" s="18">
        <v>6</v>
      </c>
      <c r="AC899" s="28" t="s">
        <v>3320</v>
      </c>
      <c r="AD899" s="28" t="s">
        <v>3386</v>
      </c>
      <c r="AE899" s="28" t="s">
        <v>3322</v>
      </c>
      <c r="AF899" s="28" t="s">
        <v>3357</v>
      </c>
      <c r="AG899" s="28" t="s">
        <v>3358</v>
      </c>
      <c r="AH899" s="28" t="s">
        <v>62</v>
      </c>
      <c r="AI899" s="28" t="s">
        <v>2302</v>
      </c>
      <c r="AJ899" s="28" t="s">
        <v>2297</v>
      </c>
      <c r="AK899" s="28" t="s">
        <v>37</v>
      </c>
      <c r="AL899" s="28" t="s">
        <v>2298</v>
      </c>
      <c r="AM899" s="114"/>
    </row>
    <row r="900" spans="21:39">
      <c r="U900" s="18">
        <v>898</v>
      </c>
      <c r="V900" s="18" t="s">
        <v>1887</v>
      </c>
      <c r="W900" s="18">
        <v>28</v>
      </c>
      <c r="X900" s="18" t="s">
        <v>54</v>
      </c>
      <c r="Y900" s="18" t="s">
        <v>664</v>
      </c>
      <c r="Z900" s="18" t="s">
        <v>729</v>
      </c>
      <c r="AA900" s="18">
        <v>8</v>
      </c>
      <c r="AC900" s="28" t="s">
        <v>3320</v>
      </c>
      <c r="AD900" s="28" t="s">
        <v>3387</v>
      </c>
      <c r="AE900" s="28" t="s">
        <v>3322</v>
      </c>
      <c r="AF900" s="28" t="s">
        <v>3346</v>
      </c>
      <c r="AG900" s="28" t="s">
        <v>3347</v>
      </c>
      <c r="AH900" s="28" t="s">
        <v>65</v>
      </c>
      <c r="AI900" s="28" t="s">
        <v>2302</v>
      </c>
      <c r="AJ900" s="28" t="s">
        <v>2297</v>
      </c>
      <c r="AK900" s="28" t="s">
        <v>53</v>
      </c>
      <c r="AL900" s="28" t="s">
        <v>2298</v>
      </c>
      <c r="AM900" s="114"/>
    </row>
    <row r="901" spans="21:39">
      <c r="U901" s="18">
        <v>899</v>
      </c>
      <c r="V901" s="18" t="s">
        <v>1888</v>
      </c>
      <c r="W901" s="18">
        <v>30</v>
      </c>
      <c r="X901" s="18" t="s">
        <v>54</v>
      </c>
      <c r="Y901" s="18" t="s">
        <v>669</v>
      </c>
      <c r="Z901" s="18" t="s">
        <v>1171</v>
      </c>
      <c r="AA901" s="18">
        <v>2</v>
      </c>
      <c r="AC901" s="28" t="s">
        <v>3320</v>
      </c>
      <c r="AD901" s="28" t="s">
        <v>3388</v>
      </c>
      <c r="AE901" s="28" t="s">
        <v>3322</v>
      </c>
      <c r="AF901" s="28" t="s">
        <v>3343</v>
      </c>
      <c r="AG901" s="28" t="s">
        <v>3344</v>
      </c>
      <c r="AH901" s="28" t="s">
        <v>23</v>
      </c>
      <c r="AI901" s="28" t="s">
        <v>2302</v>
      </c>
      <c r="AJ901" s="28" t="s">
        <v>2297</v>
      </c>
      <c r="AK901" s="28" t="s">
        <v>33</v>
      </c>
      <c r="AL901" s="28" t="s">
        <v>2298</v>
      </c>
      <c r="AM901" s="114"/>
    </row>
    <row r="902" spans="21:39">
      <c r="U902" s="18">
        <v>900</v>
      </c>
      <c r="V902" s="18" t="s">
        <v>1889</v>
      </c>
      <c r="W902" s="18">
        <v>30</v>
      </c>
      <c r="X902" s="18" t="s">
        <v>54</v>
      </c>
      <c r="Y902" s="18" t="s">
        <v>669</v>
      </c>
      <c r="Z902" s="18" t="s">
        <v>839</v>
      </c>
      <c r="AA902" s="18">
        <v>14</v>
      </c>
      <c r="AC902" s="28" t="s">
        <v>3320</v>
      </c>
      <c r="AD902" s="28" t="s">
        <v>3389</v>
      </c>
      <c r="AE902" s="28" t="s">
        <v>3322</v>
      </c>
      <c r="AF902" s="28" t="s">
        <v>3340</v>
      </c>
      <c r="AG902" s="28" t="s">
        <v>3341</v>
      </c>
      <c r="AH902" s="28" t="s">
        <v>81</v>
      </c>
      <c r="AI902" s="28" t="s">
        <v>2297</v>
      </c>
      <c r="AJ902" s="28" t="s">
        <v>2305</v>
      </c>
      <c r="AK902" s="28" t="s">
        <v>42</v>
      </c>
      <c r="AL902" s="28" t="s">
        <v>2298</v>
      </c>
      <c r="AM902" s="114"/>
    </row>
    <row r="903" spans="21:39">
      <c r="U903" s="18">
        <v>901</v>
      </c>
      <c r="V903" s="18" t="s">
        <v>1890</v>
      </c>
      <c r="W903" s="18">
        <v>27</v>
      </c>
      <c r="X903" s="18" t="s">
        <v>54</v>
      </c>
      <c r="Y903" s="18" t="s">
        <v>669</v>
      </c>
      <c r="Z903" s="18" t="s">
        <v>830</v>
      </c>
      <c r="AA903" s="18">
        <v>18</v>
      </c>
      <c r="AC903" s="28" t="s">
        <v>3320</v>
      </c>
      <c r="AD903" s="28" t="s">
        <v>3390</v>
      </c>
      <c r="AE903" s="28" t="s">
        <v>3391</v>
      </c>
      <c r="AF903" s="28" t="s">
        <v>3335</v>
      </c>
      <c r="AG903" s="28" t="s">
        <v>3336</v>
      </c>
      <c r="AH903" s="28" t="s">
        <v>5</v>
      </c>
      <c r="AI903" s="28" t="s">
        <v>2296</v>
      </c>
      <c r="AJ903" s="28" t="s">
        <v>2301</v>
      </c>
      <c r="AK903" s="28" t="s">
        <v>9</v>
      </c>
      <c r="AL903" s="28" t="s">
        <v>2298</v>
      </c>
      <c r="AM903" s="114"/>
    </row>
    <row r="904" spans="21:39">
      <c r="U904" s="18">
        <v>902</v>
      </c>
      <c r="V904" s="18" t="s">
        <v>1891</v>
      </c>
      <c r="W904" s="18">
        <v>27</v>
      </c>
      <c r="X904" s="18" t="s">
        <v>54</v>
      </c>
      <c r="Y904" s="18" t="s">
        <v>675</v>
      </c>
      <c r="Z904" s="18" t="s">
        <v>986</v>
      </c>
      <c r="AA904" s="18">
        <v>10</v>
      </c>
      <c r="AC904" s="28" t="s">
        <v>3320</v>
      </c>
      <c r="AD904" s="28" t="s">
        <v>3392</v>
      </c>
      <c r="AE904" s="28" t="s">
        <v>3391</v>
      </c>
      <c r="AF904" s="28" t="s">
        <v>3332</v>
      </c>
      <c r="AG904" s="28" t="s">
        <v>3333</v>
      </c>
      <c r="AH904" s="28" t="s">
        <v>11</v>
      </c>
      <c r="AI904" s="28" t="s">
        <v>2305</v>
      </c>
      <c r="AJ904" s="28" t="s">
        <v>2297</v>
      </c>
      <c r="AK904" s="28" t="s">
        <v>30</v>
      </c>
      <c r="AL904" s="28" t="s">
        <v>2298</v>
      </c>
      <c r="AM904" s="114"/>
    </row>
    <row r="905" spans="21:39">
      <c r="U905" s="18">
        <v>903</v>
      </c>
      <c r="V905" s="18" t="s">
        <v>1892</v>
      </c>
      <c r="W905" s="18">
        <v>24</v>
      </c>
      <c r="X905" s="18" t="s">
        <v>54</v>
      </c>
      <c r="Y905" s="18" t="s">
        <v>675</v>
      </c>
      <c r="Z905" s="18" t="s">
        <v>880</v>
      </c>
      <c r="AA905" s="18">
        <v>19</v>
      </c>
      <c r="AC905" s="28" t="s">
        <v>3320</v>
      </c>
      <c r="AD905" s="28" t="s">
        <v>3393</v>
      </c>
      <c r="AE905" s="28" t="s">
        <v>3391</v>
      </c>
      <c r="AF905" s="28" t="s">
        <v>3323</v>
      </c>
      <c r="AG905" s="28" t="s">
        <v>3324</v>
      </c>
      <c r="AH905" s="28" t="s">
        <v>19</v>
      </c>
      <c r="AI905" s="28" t="s">
        <v>2297</v>
      </c>
      <c r="AJ905" s="28" t="s">
        <v>2297</v>
      </c>
      <c r="AK905" s="28" t="s">
        <v>58</v>
      </c>
      <c r="AL905" s="28" t="s">
        <v>3394</v>
      </c>
      <c r="AM905" s="114"/>
    </row>
    <row r="906" spans="21:39">
      <c r="U906" s="18">
        <v>904</v>
      </c>
      <c r="V906" s="18" t="s">
        <v>1893</v>
      </c>
      <c r="W906" s="18">
        <v>21</v>
      </c>
      <c r="X906" s="18" t="s">
        <v>54</v>
      </c>
      <c r="Y906" s="18" t="s">
        <v>679</v>
      </c>
      <c r="Z906" s="18" t="s">
        <v>1369</v>
      </c>
      <c r="AA906" s="18">
        <v>20</v>
      </c>
      <c r="AC906" s="28" t="s">
        <v>3320</v>
      </c>
      <c r="AD906" s="28" t="s">
        <v>3395</v>
      </c>
      <c r="AE906" s="28" t="s">
        <v>3391</v>
      </c>
      <c r="AF906" s="28" t="s">
        <v>3353</v>
      </c>
      <c r="AG906" s="28" t="s">
        <v>3354</v>
      </c>
      <c r="AH906" s="28" t="s">
        <v>63</v>
      </c>
      <c r="AI906" s="28" t="s">
        <v>2297</v>
      </c>
      <c r="AJ906" s="28" t="s">
        <v>2297</v>
      </c>
      <c r="AK906" s="28" t="s">
        <v>49</v>
      </c>
      <c r="AL906" s="28" t="s">
        <v>3396</v>
      </c>
      <c r="AM906" s="114"/>
    </row>
    <row r="907" spans="21:39">
      <c r="U907" s="18">
        <v>905</v>
      </c>
      <c r="V907" s="18" t="s">
        <v>1894</v>
      </c>
      <c r="W907" s="18">
        <v>26</v>
      </c>
      <c r="X907" s="18" t="s">
        <v>54</v>
      </c>
      <c r="Y907" s="18" t="s">
        <v>679</v>
      </c>
      <c r="Z907" s="18" t="s">
        <v>1883</v>
      </c>
      <c r="AA907" s="18">
        <v>23</v>
      </c>
      <c r="AC907" s="28" t="s">
        <v>3320</v>
      </c>
      <c r="AD907" s="28" t="s">
        <v>3397</v>
      </c>
      <c r="AE907" s="28" t="s">
        <v>3391</v>
      </c>
      <c r="AF907" s="28" t="s">
        <v>3346</v>
      </c>
      <c r="AG907" s="28" t="s">
        <v>3347</v>
      </c>
      <c r="AH907" s="28" t="s">
        <v>12</v>
      </c>
      <c r="AI907" s="28" t="s">
        <v>2305</v>
      </c>
      <c r="AJ907" s="28" t="s">
        <v>2302</v>
      </c>
      <c r="AK907" s="28" t="s">
        <v>28</v>
      </c>
      <c r="AL907" s="28" t="s">
        <v>2298</v>
      </c>
      <c r="AM907" s="114"/>
    </row>
    <row r="908" spans="21:39">
      <c r="U908" s="18">
        <v>906</v>
      </c>
      <c r="V908" s="18" t="s">
        <v>1895</v>
      </c>
      <c r="W908" s="18">
        <v>22</v>
      </c>
      <c r="X908" s="18" t="s">
        <v>54</v>
      </c>
      <c r="Y908" s="18" t="s">
        <v>681</v>
      </c>
      <c r="Z908" s="18" t="s">
        <v>839</v>
      </c>
      <c r="AA908" s="18">
        <v>21</v>
      </c>
      <c r="AC908" s="28" t="s">
        <v>3320</v>
      </c>
      <c r="AD908" s="28" t="s">
        <v>3398</v>
      </c>
      <c r="AE908" s="28" t="s">
        <v>3391</v>
      </c>
      <c r="AF908" s="28" t="s">
        <v>3350</v>
      </c>
      <c r="AG908" s="28" t="s">
        <v>3351</v>
      </c>
      <c r="AH908" s="28" t="s">
        <v>33</v>
      </c>
      <c r="AI908" s="28" t="s">
        <v>2301</v>
      </c>
      <c r="AJ908" s="28" t="s">
        <v>2305</v>
      </c>
      <c r="AK908" s="28" t="s">
        <v>62</v>
      </c>
      <c r="AL908" s="28" t="s">
        <v>2298</v>
      </c>
      <c r="AM908" s="114"/>
    </row>
    <row r="909" spans="21:39">
      <c r="U909" s="18">
        <v>907</v>
      </c>
      <c r="V909" s="18" t="s">
        <v>1896</v>
      </c>
      <c r="W909" s="18">
        <v>22</v>
      </c>
      <c r="X909" s="18" t="s">
        <v>54</v>
      </c>
      <c r="Y909" s="18" t="s">
        <v>681</v>
      </c>
      <c r="Z909" s="18" t="s">
        <v>729</v>
      </c>
      <c r="AA909" s="18">
        <v>22</v>
      </c>
      <c r="AC909" s="28" t="s">
        <v>3320</v>
      </c>
      <c r="AD909" s="28" t="s">
        <v>3399</v>
      </c>
      <c r="AE909" s="28" t="s">
        <v>3391</v>
      </c>
      <c r="AF909" s="28" t="s">
        <v>3329</v>
      </c>
      <c r="AG909" s="28" t="s">
        <v>3330</v>
      </c>
      <c r="AH909" s="28" t="s">
        <v>17</v>
      </c>
      <c r="AI909" s="28" t="s">
        <v>2297</v>
      </c>
      <c r="AJ909" s="28" t="s">
        <v>2302</v>
      </c>
      <c r="AK909" s="28" t="s">
        <v>16</v>
      </c>
      <c r="AL909" s="28" t="s">
        <v>2298</v>
      </c>
      <c r="AM909" s="114"/>
    </row>
    <row r="910" spans="21:39">
      <c r="U910" s="18">
        <v>908</v>
      </c>
      <c r="V910" s="18" t="s">
        <v>1897</v>
      </c>
      <c r="W910" s="18">
        <v>30</v>
      </c>
      <c r="X910" s="18" t="s">
        <v>54</v>
      </c>
      <c r="Y910" s="18" t="s">
        <v>683</v>
      </c>
      <c r="Z910" s="18" t="s">
        <v>711</v>
      </c>
      <c r="AA910" s="18">
        <v>7</v>
      </c>
      <c r="AC910" s="28" t="s">
        <v>3320</v>
      </c>
      <c r="AD910" s="28" t="s">
        <v>3400</v>
      </c>
      <c r="AE910" s="28" t="s">
        <v>3391</v>
      </c>
      <c r="AF910" s="28" t="s">
        <v>3338</v>
      </c>
      <c r="AG910" s="28" t="s">
        <v>3324</v>
      </c>
      <c r="AH910" s="28" t="s">
        <v>53</v>
      </c>
      <c r="AI910" s="28" t="s">
        <v>2297</v>
      </c>
      <c r="AJ910" s="28" t="s">
        <v>2297</v>
      </c>
      <c r="AK910" s="28" t="s">
        <v>23</v>
      </c>
      <c r="AL910" s="28" t="s">
        <v>3401</v>
      </c>
      <c r="AM910" s="114"/>
    </row>
    <row r="911" spans="21:39">
      <c r="U911" s="18">
        <v>909</v>
      </c>
      <c r="V911" s="18" t="s">
        <v>1898</v>
      </c>
      <c r="W911" s="18">
        <v>25</v>
      </c>
      <c r="X911" s="18" t="s">
        <v>54</v>
      </c>
      <c r="Y911" s="18" t="s">
        <v>683</v>
      </c>
      <c r="Z911" s="18" t="s">
        <v>1454</v>
      </c>
      <c r="AA911" s="18">
        <v>9</v>
      </c>
      <c r="AC911" s="28" t="s">
        <v>3320</v>
      </c>
      <c r="AD911" s="28" t="s">
        <v>3402</v>
      </c>
      <c r="AE911" s="28" t="s">
        <v>3403</v>
      </c>
      <c r="AF911" s="28" t="s">
        <v>3353</v>
      </c>
      <c r="AG911" s="28" t="s">
        <v>3354</v>
      </c>
      <c r="AH911" s="28" t="s">
        <v>11</v>
      </c>
      <c r="AI911" s="28" t="s">
        <v>2302</v>
      </c>
      <c r="AJ911" s="28" t="s">
        <v>2305</v>
      </c>
      <c r="AK911" s="28" t="s">
        <v>5</v>
      </c>
      <c r="AL911" s="28" t="s">
        <v>2298</v>
      </c>
      <c r="AM911" s="114"/>
    </row>
    <row r="912" spans="21:39">
      <c r="U912" s="18">
        <v>910</v>
      </c>
      <c r="V912" s="18" t="s">
        <v>1899</v>
      </c>
      <c r="W912" s="18">
        <v>26</v>
      </c>
      <c r="X912" s="18" t="s">
        <v>54</v>
      </c>
      <c r="Y912" s="18" t="s">
        <v>683</v>
      </c>
      <c r="Z912" s="18" t="s">
        <v>1072</v>
      </c>
      <c r="AA912" s="18">
        <v>11</v>
      </c>
      <c r="AC912" s="28" t="s">
        <v>3320</v>
      </c>
      <c r="AD912" s="28" t="s">
        <v>3404</v>
      </c>
      <c r="AE912" s="28" t="s">
        <v>3403</v>
      </c>
      <c r="AF912" s="28" t="s">
        <v>3335</v>
      </c>
      <c r="AG912" s="28" t="s">
        <v>3336</v>
      </c>
      <c r="AH912" s="28" t="s">
        <v>12</v>
      </c>
      <c r="AI912" s="28" t="s">
        <v>2297</v>
      </c>
      <c r="AJ912" s="28" t="s">
        <v>2305</v>
      </c>
      <c r="AK912" s="28" t="s">
        <v>33</v>
      </c>
      <c r="AL912" s="28" t="s">
        <v>2298</v>
      </c>
      <c r="AM912" s="114"/>
    </row>
    <row r="913" spans="21:39">
      <c r="U913" s="18">
        <v>911</v>
      </c>
      <c r="V913" s="18" t="s">
        <v>1900</v>
      </c>
      <c r="W913" s="18">
        <v>26</v>
      </c>
      <c r="X913" s="18" t="s">
        <v>65</v>
      </c>
      <c r="Y913" s="18" t="s">
        <v>642</v>
      </c>
      <c r="Z913" s="18" t="s">
        <v>882</v>
      </c>
      <c r="AA913" s="18">
        <v>1</v>
      </c>
      <c r="AC913" s="28" t="s">
        <v>3320</v>
      </c>
      <c r="AD913" s="28" t="s">
        <v>3405</v>
      </c>
      <c r="AE913" s="28" t="s">
        <v>3403</v>
      </c>
      <c r="AF913" s="28" t="s">
        <v>3346</v>
      </c>
      <c r="AG913" s="28" t="s">
        <v>3347</v>
      </c>
      <c r="AH913" s="28" t="s">
        <v>17</v>
      </c>
      <c r="AI913" s="28" t="s">
        <v>2302</v>
      </c>
      <c r="AJ913" s="28" t="s">
        <v>2305</v>
      </c>
      <c r="AK913" s="28" t="s">
        <v>23</v>
      </c>
      <c r="AL913" s="28" t="s">
        <v>2298</v>
      </c>
      <c r="AM913" s="114"/>
    </row>
    <row r="914" spans="21:39">
      <c r="U914" s="18">
        <v>912</v>
      </c>
      <c r="V914" s="18" t="s">
        <v>1901</v>
      </c>
      <c r="W914" s="18">
        <v>34</v>
      </c>
      <c r="X914" s="18" t="s">
        <v>65</v>
      </c>
      <c r="Y914" s="18" t="s">
        <v>642</v>
      </c>
      <c r="Z914" s="18" t="s">
        <v>991</v>
      </c>
      <c r="AA914" s="18">
        <v>16</v>
      </c>
      <c r="AC914" s="28" t="s">
        <v>3320</v>
      </c>
      <c r="AD914" s="28" t="s">
        <v>3406</v>
      </c>
      <c r="AE914" s="28" t="s">
        <v>3403</v>
      </c>
      <c r="AF914" s="28" t="s">
        <v>3332</v>
      </c>
      <c r="AG914" s="28" t="s">
        <v>3333</v>
      </c>
      <c r="AH914" s="28" t="s">
        <v>58</v>
      </c>
      <c r="AI914" s="28" t="s">
        <v>2305</v>
      </c>
      <c r="AJ914" s="28" t="s">
        <v>2305</v>
      </c>
      <c r="AK914" s="28" t="s">
        <v>63</v>
      </c>
      <c r="AL914" s="28" t="s">
        <v>3407</v>
      </c>
      <c r="AM914" s="114"/>
    </row>
    <row r="915" spans="21:39">
      <c r="U915" s="18">
        <v>913</v>
      </c>
      <c r="V915" s="18" t="s">
        <v>1902</v>
      </c>
      <c r="W915" s="18">
        <v>32</v>
      </c>
      <c r="X915" s="18" t="s">
        <v>65</v>
      </c>
      <c r="Y915" s="18" t="s">
        <v>642</v>
      </c>
      <c r="Z915" s="18" t="s">
        <v>1426</v>
      </c>
      <c r="AA915" s="18">
        <v>23</v>
      </c>
      <c r="AC915" s="28" t="s">
        <v>3320</v>
      </c>
      <c r="AD915" s="28" t="s">
        <v>3408</v>
      </c>
      <c r="AE915" s="28" t="s">
        <v>3409</v>
      </c>
      <c r="AF915" s="28" t="s">
        <v>3329</v>
      </c>
      <c r="AG915" s="28" t="s">
        <v>3330</v>
      </c>
      <c r="AH915" s="28" t="s">
        <v>5</v>
      </c>
      <c r="AI915" s="28" t="s">
        <v>2297</v>
      </c>
      <c r="AJ915" s="28" t="s">
        <v>2302</v>
      </c>
      <c r="AK915" s="28" t="s">
        <v>33</v>
      </c>
      <c r="AL915" s="28" t="s">
        <v>2298</v>
      </c>
      <c r="AM915" s="114"/>
    </row>
    <row r="916" spans="21:39">
      <c r="U916" s="18">
        <v>914</v>
      </c>
      <c r="V916" s="18" t="s">
        <v>1903</v>
      </c>
      <c r="W916" s="18">
        <v>20</v>
      </c>
      <c r="X916" s="18" t="s">
        <v>65</v>
      </c>
      <c r="Y916" s="18" t="s">
        <v>649</v>
      </c>
      <c r="Z916" s="18" t="s">
        <v>1339</v>
      </c>
      <c r="AA916" s="18">
        <v>2</v>
      </c>
      <c r="AC916" s="28" t="s">
        <v>3320</v>
      </c>
      <c r="AD916" s="28" t="s">
        <v>3410</v>
      </c>
      <c r="AE916" s="28" t="s">
        <v>3409</v>
      </c>
      <c r="AF916" s="28" t="s">
        <v>3323</v>
      </c>
      <c r="AG916" s="28" t="s">
        <v>3324</v>
      </c>
      <c r="AH916" s="28" t="s">
        <v>63</v>
      </c>
      <c r="AI916" s="28" t="s">
        <v>2305</v>
      </c>
      <c r="AJ916" s="28" t="s">
        <v>2297</v>
      </c>
      <c r="AK916" s="28" t="s">
        <v>23</v>
      </c>
      <c r="AL916" s="28" t="s">
        <v>3411</v>
      </c>
      <c r="AM916" s="114"/>
    </row>
    <row r="917" spans="21:39">
      <c r="U917" s="18">
        <v>915</v>
      </c>
      <c r="V917" s="18" t="s">
        <v>1904</v>
      </c>
      <c r="W917" s="18">
        <v>34</v>
      </c>
      <c r="X917" s="18" t="s">
        <v>65</v>
      </c>
      <c r="Y917" s="18" t="s">
        <v>649</v>
      </c>
      <c r="Z917" s="18" t="s">
        <v>1063</v>
      </c>
      <c r="AA917" s="18">
        <v>3</v>
      </c>
      <c r="AC917" s="28" t="s">
        <v>3320</v>
      </c>
      <c r="AD917" s="28" t="s">
        <v>3412</v>
      </c>
      <c r="AE917" s="28" t="s">
        <v>3413</v>
      </c>
      <c r="AF917" s="28" t="s">
        <v>3329</v>
      </c>
      <c r="AG917" s="28" t="s">
        <v>3330</v>
      </c>
      <c r="AH917" s="28" t="s">
        <v>33</v>
      </c>
      <c r="AI917" s="28" t="s">
        <v>2305</v>
      </c>
      <c r="AJ917" s="28" t="s">
        <v>2302</v>
      </c>
      <c r="AK917" s="28" t="s">
        <v>23</v>
      </c>
      <c r="AL917" s="28" t="s">
        <v>2298</v>
      </c>
      <c r="AM917" s="114"/>
    </row>
    <row r="918" spans="21:39">
      <c r="U918" s="18">
        <v>916</v>
      </c>
      <c r="V918" s="18" t="s">
        <v>1905</v>
      </c>
      <c r="W918" s="18">
        <v>34</v>
      </c>
      <c r="X918" s="18" t="s">
        <v>65</v>
      </c>
      <c r="Y918" s="18" t="s">
        <v>649</v>
      </c>
      <c r="Z918" s="18" t="s">
        <v>1315</v>
      </c>
      <c r="AA918" s="18">
        <v>4</v>
      </c>
      <c r="AC918" s="28" t="s">
        <v>3320</v>
      </c>
      <c r="AD918" s="28" t="s">
        <v>3414</v>
      </c>
      <c r="AE918" s="28" t="s">
        <v>3415</v>
      </c>
      <c r="AF918" s="28" t="s">
        <v>3323</v>
      </c>
      <c r="AG918" s="28" t="s">
        <v>3324</v>
      </c>
      <c r="AH918" s="28" t="s">
        <v>5</v>
      </c>
      <c r="AI918" s="28" t="s">
        <v>2296</v>
      </c>
      <c r="AJ918" s="28" t="s">
        <v>2305</v>
      </c>
      <c r="AK918" s="28" t="s">
        <v>63</v>
      </c>
      <c r="AL918" s="28" t="s">
        <v>2298</v>
      </c>
      <c r="AM918" s="114"/>
    </row>
    <row r="919" spans="21:39">
      <c r="U919" s="18">
        <v>917</v>
      </c>
      <c r="V919" s="18" t="s">
        <v>1906</v>
      </c>
      <c r="W919" s="18">
        <v>30</v>
      </c>
      <c r="X919" s="18" t="s">
        <v>65</v>
      </c>
      <c r="Y919" s="18" t="s">
        <v>649</v>
      </c>
      <c r="Z919" s="18" t="s">
        <v>676</v>
      </c>
      <c r="AA919" s="18">
        <v>19</v>
      </c>
      <c r="AC919" s="28" t="s">
        <v>3416</v>
      </c>
      <c r="AD919" s="28" t="s">
        <v>3417</v>
      </c>
      <c r="AE919" s="28" t="s">
        <v>3322</v>
      </c>
      <c r="AF919" s="28" t="s">
        <v>3418</v>
      </c>
      <c r="AG919" s="28" t="s">
        <v>3419</v>
      </c>
      <c r="AH919" s="28" t="s">
        <v>82</v>
      </c>
      <c r="AI919" s="28" t="s">
        <v>2302</v>
      </c>
      <c r="AJ919" s="28" t="s">
        <v>2305</v>
      </c>
      <c r="AK919" s="28" t="s">
        <v>67</v>
      </c>
      <c r="AL919" s="28" t="s">
        <v>2298</v>
      </c>
      <c r="AM919" s="114"/>
    </row>
    <row r="920" spans="21:39">
      <c r="U920" s="18">
        <v>918</v>
      </c>
      <c r="V920" s="18" t="s">
        <v>1907</v>
      </c>
      <c r="W920" s="18">
        <v>26</v>
      </c>
      <c r="X920" s="18" t="s">
        <v>65</v>
      </c>
      <c r="Y920" s="18" t="s">
        <v>657</v>
      </c>
      <c r="Z920" s="18" t="s">
        <v>1179</v>
      </c>
      <c r="AA920" s="18">
        <v>14</v>
      </c>
      <c r="AC920" s="28" t="s">
        <v>3416</v>
      </c>
      <c r="AD920" s="28" t="s">
        <v>3420</v>
      </c>
      <c r="AE920" s="28" t="s">
        <v>3322</v>
      </c>
      <c r="AF920" s="28" t="s">
        <v>3421</v>
      </c>
      <c r="AG920" s="28" t="s">
        <v>3422</v>
      </c>
      <c r="AH920" s="28" t="s">
        <v>23</v>
      </c>
      <c r="AI920" s="28" t="s">
        <v>2316</v>
      </c>
      <c r="AJ920" s="28" t="s">
        <v>2305</v>
      </c>
      <c r="AK920" s="28" t="s">
        <v>71</v>
      </c>
      <c r="AL920" s="28" t="s">
        <v>2298</v>
      </c>
      <c r="AM920" s="114"/>
    </row>
    <row r="921" spans="21:39">
      <c r="U921" s="18">
        <v>919</v>
      </c>
      <c r="V921" s="18" t="s">
        <v>1908</v>
      </c>
      <c r="W921" s="18">
        <v>21</v>
      </c>
      <c r="X921" s="18" t="s">
        <v>65</v>
      </c>
      <c r="Y921" s="18" t="s">
        <v>657</v>
      </c>
      <c r="Z921" s="18" t="s">
        <v>667</v>
      </c>
      <c r="AA921" s="18">
        <v>25</v>
      </c>
      <c r="AC921" s="28" t="s">
        <v>3416</v>
      </c>
      <c r="AD921" s="28" t="s">
        <v>3423</v>
      </c>
      <c r="AE921" s="28" t="s">
        <v>3322</v>
      </c>
      <c r="AF921" s="28" t="s">
        <v>3424</v>
      </c>
      <c r="AG921" s="28" t="s">
        <v>3425</v>
      </c>
      <c r="AH921" s="28" t="s">
        <v>65</v>
      </c>
      <c r="AI921" s="28" t="s">
        <v>2302</v>
      </c>
      <c r="AJ921" s="28" t="s">
        <v>2305</v>
      </c>
      <c r="AK921" s="28" t="s">
        <v>40</v>
      </c>
      <c r="AL921" s="28" t="s">
        <v>2298</v>
      </c>
      <c r="AM921" s="114"/>
    </row>
    <row r="922" spans="21:39">
      <c r="U922" s="18">
        <v>920</v>
      </c>
      <c r="V922" s="18" t="s">
        <v>1909</v>
      </c>
      <c r="W922" s="18">
        <v>27</v>
      </c>
      <c r="X922" s="18" t="s">
        <v>65</v>
      </c>
      <c r="Y922" s="18" t="s">
        <v>661</v>
      </c>
      <c r="Z922" s="18" t="s">
        <v>960</v>
      </c>
      <c r="AA922" s="18">
        <v>15</v>
      </c>
      <c r="AC922" s="28" t="s">
        <v>3416</v>
      </c>
      <c r="AD922" s="28" t="s">
        <v>3426</v>
      </c>
      <c r="AE922" s="28" t="s">
        <v>3322</v>
      </c>
      <c r="AF922" s="28" t="s">
        <v>3427</v>
      </c>
      <c r="AG922" s="28" t="s">
        <v>3422</v>
      </c>
      <c r="AH922" s="28" t="s">
        <v>3588</v>
      </c>
      <c r="AI922" s="28" t="s">
        <v>2297</v>
      </c>
      <c r="AJ922" s="28" t="s">
        <v>2297</v>
      </c>
      <c r="AK922" s="28" t="s">
        <v>29</v>
      </c>
      <c r="AL922" s="28" t="s">
        <v>2298</v>
      </c>
      <c r="AM922" s="114"/>
    </row>
    <row r="923" spans="21:39">
      <c r="U923" s="18">
        <v>921</v>
      </c>
      <c r="V923" s="18" t="s">
        <v>1910</v>
      </c>
      <c r="W923" s="18">
        <v>22</v>
      </c>
      <c r="X923" s="18" t="s">
        <v>65</v>
      </c>
      <c r="Y923" s="18" t="s">
        <v>661</v>
      </c>
      <c r="Z923" s="18" t="s">
        <v>882</v>
      </c>
      <c r="AA923" s="18">
        <v>24</v>
      </c>
      <c r="AC923" s="28" t="s">
        <v>3416</v>
      </c>
      <c r="AD923" s="28" t="s">
        <v>3428</v>
      </c>
      <c r="AE923" s="28" t="s">
        <v>3322</v>
      </c>
      <c r="AF923" s="28" t="s">
        <v>3429</v>
      </c>
      <c r="AG923" s="28" t="s">
        <v>3430</v>
      </c>
      <c r="AH923" s="28" t="s">
        <v>9</v>
      </c>
      <c r="AI923" s="28" t="s">
        <v>2297</v>
      </c>
      <c r="AJ923" s="28" t="s">
        <v>2305</v>
      </c>
      <c r="AK923" s="28" t="s">
        <v>56</v>
      </c>
      <c r="AL923" s="28" t="s">
        <v>2298</v>
      </c>
      <c r="AM923" s="114"/>
    </row>
    <row r="924" spans="21:39">
      <c r="U924" s="18">
        <v>922</v>
      </c>
      <c r="V924" s="18" t="s">
        <v>1911</v>
      </c>
      <c r="W924" s="18">
        <v>36</v>
      </c>
      <c r="X924" s="18" t="s">
        <v>65</v>
      </c>
      <c r="Y924" s="18" t="s">
        <v>664</v>
      </c>
      <c r="Z924" s="18" t="s">
        <v>1117</v>
      </c>
      <c r="AA924" s="18">
        <v>5</v>
      </c>
      <c r="AC924" s="28" t="s">
        <v>3416</v>
      </c>
      <c r="AD924" s="28" t="s">
        <v>3431</v>
      </c>
      <c r="AE924" s="28" t="s">
        <v>3322</v>
      </c>
      <c r="AF924" s="28" t="s">
        <v>3432</v>
      </c>
      <c r="AG924" s="28" t="s">
        <v>3422</v>
      </c>
      <c r="AH924" s="28" t="s">
        <v>49</v>
      </c>
      <c r="AI924" s="28" t="s">
        <v>2302</v>
      </c>
      <c r="AJ924" s="28" t="s">
        <v>2302</v>
      </c>
      <c r="AK924" s="28" t="s">
        <v>42</v>
      </c>
      <c r="AL924" s="28" t="s">
        <v>2298</v>
      </c>
      <c r="AM924" s="114"/>
    </row>
    <row r="925" spans="21:39">
      <c r="U925" s="18">
        <v>923</v>
      </c>
      <c r="V925" s="18" t="s">
        <v>1912</v>
      </c>
      <c r="W925" s="18">
        <v>32</v>
      </c>
      <c r="X925" s="18" t="s">
        <v>65</v>
      </c>
      <c r="Y925" s="18" t="s">
        <v>664</v>
      </c>
      <c r="Z925" s="18" t="s">
        <v>1913</v>
      </c>
      <c r="AA925" s="18">
        <v>6</v>
      </c>
      <c r="AC925" s="28" t="s">
        <v>3416</v>
      </c>
      <c r="AD925" s="28" t="s">
        <v>3433</v>
      </c>
      <c r="AE925" s="28" t="s">
        <v>3322</v>
      </c>
      <c r="AF925" s="28" t="s">
        <v>3434</v>
      </c>
      <c r="AG925" s="28" t="s">
        <v>3425</v>
      </c>
      <c r="AH925" s="28" t="s">
        <v>28</v>
      </c>
      <c r="AI925" s="28" t="s">
        <v>2302</v>
      </c>
      <c r="AJ925" s="28" t="s">
        <v>2302</v>
      </c>
      <c r="AK925" s="28" t="s">
        <v>37</v>
      </c>
      <c r="AL925" s="28" t="s">
        <v>2298</v>
      </c>
      <c r="AM925" s="114"/>
    </row>
    <row r="926" spans="21:39">
      <c r="U926" s="18">
        <v>924</v>
      </c>
      <c r="V926" s="18" t="s">
        <v>1914</v>
      </c>
      <c r="W926" s="18">
        <v>27</v>
      </c>
      <c r="X926" s="18" t="s">
        <v>65</v>
      </c>
      <c r="Y926" s="18" t="s">
        <v>664</v>
      </c>
      <c r="Z926" s="18" t="s">
        <v>901</v>
      </c>
      <c r="AA926" s="18">
        <v>26</v>
      </c>
      <c r="AC926" s="28" t="s">
        <v>3416</v>
      </c>
      <c r="AD926" s="28" t="s">
        <v>3435</v>
      </c>
      <c r="AE926" s="28" t="s">
        <v>3322</v>
      </c>
      <c r="AF926" s="28" t="s">
        <v>3436</v>
      </c>
      <c r="AG926" s="28" t="s">
        <v>3437</v>
      </c>
      <c r="AH926" s="28" t="s">
        <v>5</v>
      </c>
      <c r="AI926" s="28" t="s">
        <v>2296</v>
      </c>
      <c r="AJ926" s="28" t="s">
        <v>2297</v>
      </c>
      <c r="AK926" s="28" t="s">
        <v>38</v>
      </c>
      <c r="AL926" s="28" t="s">
        <v>2298</v>
      </c>
      <c r="AM926" s="114"/>
    </row>
    <row r="927" spans="21:39">
      <c r="U927" s="18">
        <v>925</v>
      </c>
      <c r="V927" s="18" t="s">
        <v>1915</v>
      </c>
      <c r="W927" s="18">
        <v>22</v>
      </c>
      <c r="X927" s="18" t="s">
        <v>65</v>
      </c>
      <c r="Y927" s="18" t="s">
        <v>669</v>
      </c>
      <c r="Z927" s="18" t="s">
        <v>960</v>
      </c>
      <c r="AA927" s="18">
        <v>8</v>
      </c>
      <c r="AC927" s="28" t="s">
        <v>3416</v>
      </c>
      <c r="AD927" s="28" t="s">
        <v>3438</v>
      </c>
      <c r="AE927" s="28" t="s">
        <v>3322</v>
      </c>
      <c r="AF927" s="28" t="s">
        <v>3418</v>
      </c>
      <c r="AG927" s="28" t="s">
        <v>3419</v>
      </c>
      <c r="AH927" s="28" t="s">
        <v>46</v>
      </c>
      <c r="AI927" s="28" t="s">
        <v>2302</v>
      </c>
      <c r="AJ927" s="28" t="s">
        <v>2302</v>
      </c>
      <c r="AK927" s="28" t="s">
        <v>63</v>
      </c>
      <c r="AL927" s="28" t="s">
        <v>2298</v>
      </c>
      <c r="AM927" s="114"/>
    </row>
    <row r="928" spans="21:39">
      <c r="U928" s="18">
        <v>926</v>
      </c>
      <c r="V928" s="18" t="s">
        <v>1916</v>
      </c>
      <c r="W928" s="18">
        <v>23</v>
      </c>
      <c r="X928" s="18" t="s">
        <v>65</v>
      </c>
      <c r="Y928" s="18" t="s">
        <v>669</v>
      </c>
      <c r="Z928" s="18" t="s">
        <v>1458</v>
      </c>
      <c r="AA928" s="18">
        <v>17</v>
      </c>
      <c r="AC928" s="28" t="s">
        <v>3416</v>
      </c>
      <c r="AD928" s="28" t="s">
        <v>3439</v>
      </c>
      <c r="AE928" s="28" t="s">
        <v>3322</v>
      </c>
      <c r="AF928" s="28" t="s">
        <v>3421</v>
      </c>
      <c r="AG928" s="28" t="s">
        <v>3422</v>
      </c>
      <c r="AH928" s="28" t="s">
        <v>18</v>
      </c>
      <c r="AI928" s="28" t="s">
        <v>2297</v>
      </c>
      <c r="AJ928" s="28" t="s">
        <v>2305</v>
      </c>
      <c r="AK928" s="28" t="s">
        <v>62</v>
      </c>
      <c r="AL928" s="28" t="s">
        <v>2298</v>
      </c>
      <c r="AM928" s="114"/>
    </row>
    <row r="929" spans="21:39">
      <c r="U929" s="18">
        <v>927</v>
      </c>
      <c r="V929" s="18" t="s">
        <v>1917</v>
      </c>
      <c r="W929" s="18">
        <v>22</v>
      </c>
      <c r="X929" s="18" t="s">
        <v>65</v>
      </c>
      <c r="Y929" s="18" t="s">
        <v>669</v>
      </c>
      <c r="Z929" s="18" t="s">
        <v>965</v>
      </c>
      <c r="AA929" s="18">
        <v>21</v>
      </c>
      <c r="AC929" s="28" t="s">
        <v>3416</v>
      </c>
      <c r="AD929" s="28" t="s">
        <v>3440</v>
      </c>
      <c r="AE929" s="28" t="s">
        <v>3322</v>
      </c>
      <c r="AF929" s="28" t="s">
        <v>3424</v>
      </c>
      <c r="AG929" s="28" t="s">
        <v>3425</v>
      </c>
      <c r="AH929" s="28" t="s">
        <v>19</v>
      </c>
      <c r="AI929" s="28" t="s">
        <v>2343</v>
      </c>
      <c r="AJ929" s="28" t="s">
        <v>2302</v>
      </c>
      <c r="AK929" s="28" t="s">
        <v>50</v>
      </c>
      <c r="AL929" s="28" t="s">
        <v>2298</v>
      </c>
      <c r="AM929" s="114"/>
    </row>
    <row r="930" spans="21:39">
      <c r="U930" s="18">
        <v>928</v>
      </c>
      <c r="V930" s="18" t="s">
        <v>1918</v>
      </c>
      <c r="W930" s="18">
        <v>18</v>
      </c>
      <c r="X930" s="18" t="s">
        <v>65</v>
      </c>
      <c r="Y930" s="18" t="s">
        <v>669</v>
      </c>
      <c r="Z930" s="18" t="s">
        <v>781</v>
      </c>
      <c r="AA930" s="18">
        <v>22</v>
      </c>
      <c r="AC930" s="28" t="s">
        <v>3416</v>
      </c>
      <c r="AD930" s="28" t="s">
        <v>3441</v>
      </c>
      <c r="AE930" s="28" t="s">
        <v>3322</v>
      </c>
      <c r="AF930" s="28" t="s">
        <v>3427</v>
      </c>
      <c r="AG930" s="28" t="s">
        <v>3422</v>
      </c>
      <c r="AH930" s="28" t="s">
        <v>33</v>
      </c>
      <c r="AI930" s="28" t="s">
        <v>2297</v>
      </c>
      <c r="AJ930" s="28" t="s">
        <v>2302</v>
      </c>
      <c r="AK930" s="28" t="s">
        <v>45</v>
      </c>
      <c r="AL930" s="28" t="s">
        <v>2298</v>
      </c>
      <c r="AM930" s="114"/>
    </row>
    <row r="931" spans="21:39">
      <c r="U931" s="18">
        <v>929</v>
      </c>
      <c r="V931" s="18" t="s">
        <v>1919</v>
      </c>
      <c r="W931" s="18">
        <v>26</v>
      </c>
      <c r="X931" s="18" t="s">
        <v>65</v>
      </c>
      <c r="Y931" s="18" t="s">
        <v>675</v>
      </c>
      <c r="Z931" s="18" t="s">
        <v>1117</v>
      </c>
      <c r="AA931" s="18">
        <v>13</v>
      </c>
      <c r="AC931" s="28" t="s">
        <v>3416</v>
      </c>
      <c r="AD931" s="28" t="s">
        <v>3442</v>
      </c>
      <c r="AE931" s="28" t="s">
        <v>3322</v>
      </c>
      <c r="AF931" s="28" t="s">
        <v>3436</v>
      </c>
      <c r="AG931" s="28" t="s">
        <v>3437</v>
      </c>
      <c r="AH931" s="28" t="s">
        <v>16</v>
      </c>
      <c r="AI931" s="28" t="s">
        <v>2297</v>
      </c>
      <c r="AJ931" s="28" t="s">
        <v>2302</v>
      </c>
      <c r="AK931" s="28" t="s">
        <v>51</v>
      </c>
      <c r="AL931" s="28" t="s">
        <v>2298</v>
      </c>
      <c r="AM931" s="114"/>
    </row>
    <row r="932" spans="21:39">
      <c r="U932" s="18">
        <v>930</v>
      </c>
      <c r="V932" s="18" t="s">
        <v>1920</v>
      </c>
      <c r="W932" s="18">
        <v>34</v>
      </c>
      <c r="X932" s="18" t="s">
        <v>65</v>
      </c>
      <c r="Y932" s="18" t="s">
        <v>679</v>
      </c>
      <c r="Z932" s="18" t="s">
        <v>1721</v>
      </c>
      <c r="AA932" s="18">
        <v>10</v>
      </c>
      <c r="AC932" s="28" t="s">
        <v>3416</v>
      </c>
      <c r="AD932" s="28" t="s">
        <v>3443</v>
      </c>
      <c r="AE932" s="28" t="s">
        <v>3322</v>
      </c>
      <c r="AF932" s="28" t="s">
        <v>3432</v>
      </c>
      <c r="AG932" s="28" t="s">
        <v>3422</v>
      </c>
      <c r="AH932" s="28" t="s">
        <v>11</v>
      </c>
      <c r="AI932" s="28" t="s">
        <v>2302</v>
      </c>
      <c r="AJ932" s="28" t="s">
        <v>2302</v>
      </c>
      <c r="AK932" s="28" t="s">
        <v>47</v>
      </c>
      <c r="AL932" s="28" t="s">
        <v>2298</v>
      </c>
      <c r="AM932" s="114"/>
    </row>
    <row r="933" spans="21:39">
      <c r="U933" s="18">
        <v>931</v>
      </c>
      <c r="V933" s="18" t="s">
        <v>1921</v>
      </c>
      <c r="W933" s="18">
        <v>18</v>
      </c>
      <c r="X933" s="18" t="s">
        <v>65</v>
      </c>
      <c r="Y933" s="18" t="s">
        <v>679</v>
      </c>
      <c r="Z933" s="18" t="s">
        <v>813</v>
      </c>
      <c r="AA933" s="18">
        <v>20</v>
      </c>
      <c r="AC933" s="28" t="s">
        <v>3416</v>
      </c>
      <c r="AD933" s="28" t="s">
        <v>3444</v>
      </c>
      <c r="AE933" s="28" t="s">
        <v>3322</v>
      </c>
      <c r="AF933" s="28" t="s">
        <v>3434</v>
      </c>
      <c r="AG933" s="28" t="s">
        <v>3425</v>
      </c>
      <c r="AH933" s="28" t="s">
        <v>30</v>
      </c>
      <c r="AI933" s="28" t="s">
        <v>2301</v>
      </c>
      <c r="AJ933" s="28" t="s">
        <v>2305</v>
      </c>
      <c r="AK933" s="28" t="s">
        <v>73</v>
      </c>
      <c r="AL933" s="28" t="s">
        <v>2298</v>
      </c>
      <c r="AM933" s="114"/>
    </row>
    <row r="934" spans="21:39">
      <c r="U934" s="18">
        <v>932</v>
      </c>
      <c r="V934" s="18" t="s">
        <v>1922</v>
      </c>
      <c r="W934" s="18">
        <v>20</v>
      </c>
      <c r="X934" s="18" t="s">
        <v>65</v>
      </c>
      <c r="Y934" s="18" t="s">
        <v>681</v>
      </c>
      <c r="Z934" s="18" t="s">
        <v>1923</v>
      </c>
      <c r="AA934" s="18">
        <v>7</v>
      </c>
      <c r="AC934" s="28" t="s">
        <v>3416</v>
      </c>
      <c r="AD934" s="28" t="s">
        <v>3445</v>
      </c>
      <c r="AE934" s="28" t="s">
        <v>3322</v>
      </c>
      <c r="AF934" s="28" t="s">
        <v>3429</v>
      </c>
      <c r="AG934" s="28" t="s">
        <v>3430</v>
      </c>
      <c r="AH934" s="28" t="s">
        <v>12</v>
      </c>
      <c r="AI934" s="28" t="s">
        <v>2305</v>
      </c>
      <c r="AJ934" s="28" t="s">
        <v>2302</v>
      </c>
      <c r="AK934" s="28" t="s">
        <v>75</v>
      </c>
      <c r="AL934" s="28" t="s">
        <v>2298</v>
      </c>
      <c r="AM934" s="114"/>
    </row>
    <row r="935" spans="21:39">
      <c r="U935" s="18">
        <v>933</v>
      </c>
      <c r="V935" s="18" t="s">
        <v>1924</v>
      </c>
      <c r="W935" s="18">
        <v>28</v>
      </c>
      <c r="X935" s="18" t="s">
        <v>65</v>
      </c>
      <c r="Y935" s="18" t="s">
        <v>681</v>
      </c>
      <c r="Z935" s="18" t="s">
        <v>1072</v>
      </c>
      <c r="AA935" s="18">
        <v>18</v>
      </c>
      <c r="AC935" s="28" t="s">
        <v>3416</v>
      </c>
      <c r="AD935" s="28" t="s">
        <v>3446</v>
      </c>
      <c r="AE935" s="28" t="s">
        <v>3322</v>
      </c>
      <c r="AF935" s="28" t="s">
        <v>3427</v>
      </c>
      <c r="AG935" s="28" t="s">
        <v>3422</v>
      </c>
      <c r="AH935" s="28" t="s">
        <v>29</v>
      </c>
      <c r="AI935" s="28" t="s">
        <v>2302</v>
      </c>
      <c r="AJ935" s="28" t="s">
        <v>2305</v>
      </c>
      <c r="AK935" s="28" t="s">
        <v>71</v>
      </c>
      <c r="AL935" s="28" t="s">
        <v>2298</v>
      </c>
      <c r="AM935" s="114"/>
    </row>
    <row r="936" spans="21:39">
      <c r="U936" s="18">
        <v>934</v>
      </c>
      <c r="V936" s="18" t="s">
        <v>1925</v>
      </c>
      <c r="W936" s="18">
        <v>26</v>
      </c>
      <c r="X936" s="18" t="s">
        <v>65</v>
      </c>
      <c r="Y936" s="18" t="s">
        <v>683</v>
      </c>
      <c r="Z936" s="18" t="s">
        <v>946</v>
      </c>
      <c r="AA936" s="18">
        <v>9</v>
      </c>
      <c r="AC936" s="28" t="s">
        <v>3416</v>
      </c>
      <c r="AD936" s="28" t="s">
        <v>3447</v>
      </c>
      <c r="AE936" s="28" t="s">
        <v>3322</v>
      </c>
      <c r="AF936" s="28" t="s">
        <v>3424</v>
      </c>
      <c r="AG936" s="28" t="s">
        <v>3425</v>
      </c>
      <c r="AH936" s="28" t="s">
        <v>82</v>
      </c>
      <c r="AI936" s="28" t="s">
        <v>2297</v>
      </c>
      <c r="AJ936" s="28" t="s">
        <v>2301</v>
      </c>
      <c r="AK936" s="28" t="s">
        <v>65</v>
      </c>
      <c r="AL936" s="28" t="s">
        <v>2298</v>
      </c>
      <c r="AM936" s="114"/>
    </row>
    <row r="937" spans="21:39">
      <c r="U937" s="18">
        <v>935</v>
      </c>
      <c r="V937" s="18" t="s">
        <v>1926</v>
      </c>
      <c r="W937" s="18">
        <v>24</v>
      </c>
      <c r="X937" s="18" t="s">
        <v>65</v>
      </c>
      <c r="Y937" s="18" t="s">
        <v>683</v>
      </c>
      <c r="Z937" s="18" t="s">
        <v>781</v>
      </c>
      <c r="AA937" s="18">
        <v>11</v>
      </c>
      <c r="AC937" s="28" t="s">
        <v>3416</v>
      </c>
      <c r="AD937" s="28" t="s">
        <v>3448</v>
      </c>
      <c r="AE937" s="28" t="s">
        <v>3322</v>
      </c>
      <c r="AF937" s="28" t="s">
        <v>3421</v>
      </c>
      <c r="AG937" s="28" t="s">
        <v>3422</v>
      </c>
      <c r="AH937" s="28" t="s">
        <v>40</v>
      </c>
      <c r="AI937" s="28" t="s">
        <v>2297</v>
      </c>
      <c r="AJ937" s="28" t="s">
        <v>2297</v>
      </c>
      <c r="AK937" s="28" t="s">
        <v>67</v>
      </c>
      <c r="AL937" s="28" t="s">
        <v>2298</v>
      </c>
      <c r="AM937" s="114"/>
    </row>
    <row r="938" spans="21:39">
      <c r="U938" s="18">
        <v>936</v>
      </c>
      <c r="V938" s="18" t="s">
        <v>1927</v>
      </c>
      <c r="W938" s="18">
        <v>30</v>
      </c>
      <c r="X938" s="18" t="s">
        <v>65</v>
      </c>
      <c r="Y938" s="18" t="s">
        <v>683</v>
      </c>
      <c r="Z938" s="18" t="s">
        <v>1928</v>
      </c>
      <c r="AA938" s="18">
        <v>12</v>
      </c>
      <c r="AC938" s="28" t="s">
        <v>3416</v>
      </c>
      <c r="AD938" s="28" t="s">
        <v>3449</v>
      </c>
      <c r="AE938" s="28" t="s">
        <v>3322</v>
      </c>
      <c r="AF938" s="28" t="s">
        <v>3418</v>
      </c>
      <c r="AG938" s="28" t="s">
        <v>3419</v>
      </c>
      <c r="AH938" s="28" t="s">
        <v>23</v>
      </c>
      <c r="AI938" s="28" t="s">
        <v>2302</v>
      </c>
      <c r="AJ938" s="28" t="s">
        <v>2302</v>
      </c>
      <c r="AK938" s="28" t="s">
        <v>3588</v>
      </c>
      <c r="AL938" s="28" t="s">
        <v>2298</v>
      </c>
      <c r="AM938" s="114"/>
    </row>
    <row r="939" spans="21:39">
      <c r="U939" s="18">
        <v>937</v>
      </c>
      <c r="V939" s="18" t="s">
        <v>1929</v>
      </c>
      <c r="W939" s="18">
        <v>26</v>
      </c>
      <c r="X939" s="18" t="s">
        <v>43</v>
      </c>
      <c r="Y939" s="18" t="s">
        <v>642</v>
      </c>
      <c r="Z939" s="18" t="s">
        <v>1930</v>
      </c>
      <c r="AA939" s="18">
        <v>1</v>
      </c>
      <c r="AC939" s="28" t="s">
        <v>3416</v>
      </c>
      <c r="AD939" s="28" t="s">
        <v>3450</v>
      </c>
      <c r="AE939" s="28" t="s">
        <v>3322</v>
      </c>
      <c r="AF939" s="28" t="s">
        <v>3436</v>
      </c>
      <c r="AG939" s="28" t="s">
        <v>3437</v>
      </c>
      <c r="AH939" s="28" t="s">
        <v>42</v>
      </c>
      <c r="AI939" s="28" t="s">
        <v>2302</v>
      </c>
      <c r="AJ939" s="28" t="s">
        <v>2297</v>
      </c>
      <c r="AK939" s="28" t="s">
        <v>38</v>
      </c>
      <c r="AL939" s="28" t="s">
        <v>2298</v>
      </c>
      <c r="AM939" s="114"/>
    </row>
    <row r="940" spans="21:39">
      <c r="U940" s="18">
        <v>938</v>
      </c>
      <c r="V940" s="18" t="s">
        <v>1931</v>
      </c>
      <c r="W940" s="18">
        <v>31</v>
      </c>
      <c r="X940" s="18" t="s">
        <v>43</v>
      </c>
      <c r="Y940" s="18" t="s">
        <v>642</v>
      </c>
      <c r="Z940" s="18" t="s">
        <v>1932</v>
      </c>
      <c r="AA940" s="18">
        <v>16</v>
      </c>
      <c r="AC940" s="28" t="s">
        <v>3416</v>
      </c>
      <c r="AD940" s="28" t="s">
        <v>3451</v>
      </c>
      <c r="AE940" s="28" t="s">
        <v>3322</v>
      </c>
      <c r="AF940" s="28" t="s">
        <v>3432</v>
      </c>
      <c r="AG940" s="28" t="s">
        <v>3422</v>
      </c>
      <c r="AH940" s="28" t="s">
        <v>37</v>
      </c>
      <c r="AI940" s="28" t="s">
        <v>2305</v>
      </c>
      <c r="AJ940" s="28" t="s">
        <v>2302</v>
      </c>
      <c r="AK940" s="28" t="s">
        <v>56</v>
      </c>
      <c r="AL940" s="28" t="s">
        <v>2298</v>
      </c>
      <c r="AM940" s="114"/>
    </row>
    <row r="941" spans="21:39">
      <c r="U941" s="18">
        <v>939</v>
      </c>
      <c r="V941" s="18" t="s">
        <v>1933</v>
      </c>
      <c r="W941" s="18">
        <v>28</v>
      </c>
      <c r="X941" s="18" t="s">
        <v>43</v>
      </c>
      <c r="Y941" s="18" t="s">
        <v>642</v>
      </c>
      <c r="Z941" s="18" t="s">
        <v>1934</v>
      </c>
      <c r="AA941" s="18">
        <v>23</v>
      </c>
      <c r="AC941" s="28" t="s">
        <v>3416</v>
      </c>
      <c r="AD941" s="28" t="s">
        <v>3452</v>
      </c>
      <c r="AE941" s="28" t="s">
        <v>3322</v>
      </c>
      <c r="AF941" s="28" t="s">
        <v>3434</v>
      </c>
      <c r="AG941" s="28" t="s">
        <v>3425</v>
      </c>
      <c r="AH941" s="28" t="s">
        <v>5</v>
      </c>
      <c r="AI941" s="28" t="s">
        <v>2305</v>
      </c>
      <c r="AJ941" s="28" t="s">
        <v>2297</v>
      </c>
      <c r="AK941" s="28" t="s">
        <v>49</v>
      </c>
      <c r="AL941" s="28" t="s">
        <v>2298</v>
      </c>
      <c r="AM941" s="114"/>
    </row>
    <row r="942" spans="21:39">
      <c r="U942" s="18">
        <v>940</v>
      </c>
      <c r="V942" s="18" t="s">
        <v>1935</v>
      </c>
      <c r="W942" s="18">
        <v>34</v>
      </c>
      <c r="X942" s="18" t="s">
        <v>43</v>
      </c>
      <c r="Y942" s="18" t="s">
        <v>649</v>
      </c>
      <c r="Z942" s="18" t="s">
        <v>1082</v>
      </c>
      <c r="AA942" s="18">
        <v>2</v>
      </c>
      <c r="AC942" s="28" t="s">
        <v>3416</v>
      </c>
      <c r="AD942" s="28" t="s">
        <v>3453</v>
      </c>
      <c r="AE942" s="28" t="s">
        <v>3322</v>
      </c>
      <c r="AF942" s="28" t="s">
        <v>3429</v>
      </c>
      <c r="AG942" s="28" t="s">
        <v>3430</v>
      </c>
      <c r="AH942" s="28" t="s">
        <v>9</v>
      </c>
      <c r="AI942" s="28" t="s">
        <v>2305</v>
      </c>
      <c r="AJ942" s="28" t="s">
        <v>2302</v>
      </c>
      <c r="AK942" s="28" t="s">
        <v>28</v>
      </c>
      <c r="AL942" s="28" t="s">
        <v>2298</v>
      </c>
      <c r="AM942" s="114"/>
    </row>
    <row r="943" spans="21:39">
      <c r="U943" s="18">
        <v>941</v>
      </c>
      <c r="V943" s="18" t="s">
        <v>1936</v>
      </c>
      <c r="W943" s="18">
        <v>26</v>
      </c>
      <c r="X943" s="18" t="s">
        <v>43</v>
      </c>
      <c r="Y943" s="18" t="s">
        <v>649</v>
      </c>
      <c r="Z943" s="18" t="s">
        <v>1487</v>
      </c>
      <c r="AA943" s="18">
        <v>4</v>
      </c>
      <c r="AC943" s="28" t="s">
        <v>3416</v>
      </c>
      <c r="AD943" s="28" t="s">
        <v>3454</v>
      </c>
      <c r="AE943" s="28" t="s">
        <v>3322</v>
      </c>
      <c r="AF943" s="28" t="s">
        <v>3427</v>
      </c>
      <c r="AG943" s="28" t="s">
        <v>3422</v>
      </c>
      <c r="AH943" s="28" t="s">
        <v>62</v>
      </c>
      <c r="AI943" s="28" t="s">
        <v>2302</v>
      </c>
      <c r="AJ943" s="28" t="s">
        <v>2297</v>
      </c>
      <c r="AK943" s="28" t="s">
        <v>50</v>
      </c>
      <c r="AL943" s="28" t="s">
        <v>2298</v>
      </c>
      <c r="AM943" s="114"/>
    </row>
    <row r="944" spans="21:39">
      <c r="U944" s="18">
        <v>942</v>
      </c>
      <c r="V944" s="18" t="s">
        <v>1937</v>
      </c>
      <c r="W944" s="18">
        <v>27</v>
      </c>
      <c r="X944" s="18" t="s">
        <v>43</v>
      </c>
      <c r="Y944" s="18" t="s">
        <v>649</v>
      </c>
      <c r="Z944" s="18" t="s">
        <v>1938</v>
      </c>
      <c r="AA944" s="18">
        <v>5</v>
      </c>
      <c r="AC944" s="28" t="s">
        <v>3416</v>
      </c>
      <c r="AD944" s="28" t="s">
        <v>3455</v>
      </c>
      <c r="AE944" s="28" t="s">
        <v>3322</v>
      </c>
      <c r="AF944" s="28" t="s">
        <v>3424</v>
      </c>
      <c r="AG944" s="28" t="s">
        <v>3425</v>
      </c>
      <c r="AH944" s="28" t="s">
        <v>33</v>
      </c>
      <c r="AI944" s="28" t="s">
        <v>2302</v>
      </c>
      <c r="AJ944" s="28" t="s">
        <v>2305</v>
      </c>
      <c r="AK944" s="28" t="s">
        <v>46</v>
      </c>
      <c r="AL944" s="28" t="s">
        <v>2298</v>
      </c>
      <c r="AM944" s="114"/>
    </row>
    <row r="945" spans="21:39">
      <c r="U945" s="18">
        <v>943</v>
      </c>
      <c r="V945" s="18" t="s">
        <v>1939</v>
      </c>
      <c r="W945" s="18">
        <v>31</v>
      </c>
      <c r="X945" s="18" t="s">
        <v>43</v>
      </c>
      <c r="Y945" s="18" t="s">
        <v>649</v>
      </c>
      <c r="Z945" s="18" t="s">
        <v>944</v>
      </c>
      <c r="AA945" s="18">
        <v>21</v>
      </c>
      <c r="AC945" s="28" t="s">
        <v>3416</v>
      </c>
      <c r="AD945" s="28" t="s">
        <v>3456</v>
      </c>
      <c r="AE945" s="28" t="s">
        <v>3322</v>
      </c>
      <c r="AF945" s="28" t="s">
        <v>3421</v>
      </c>
      <c r="AG945" s="28" t="s">
        <v>3422</v>
      </c>
      <c r="AH945" s="28" t="s">
        <v>63</v>
      </c>
      <c r="AI945" s="28" t="s">
        <v>2296</v>
      </c>
      <c r="AJ945" s="28" t="s">
        <v>2297</v>
      </c>
      <c r="AK945" s="28" t="s">
        <v>45</v>
      </c>
      <c r="AL945" s="28" t="s">
        <v>2298</v>
      </c>
      <c r="AM945" s="114"/>
    </row>
    <row r="946" spans="21:39">
      <c r="U946" s="18">
        <v>944</v>
      </c>
      <c r="V946" s="18" t="s">
        <v>1940</v>
      </c>
      <c r="W946" s="18">
        <v>27</v>
      </c>
      <c r="X946" s="18" t="s">
        <v>43</v>
      </c>
      <c r="Y946" s="18" t="s">
        <v>649</v>
      </c>
      <c r="Z946" s="18" t="s">
        <v>1941</v>
      </c>
      <c r="AA946" s="18">
        <v>26</v>
      </c>
      <c r="AC946" s="28" t="s">
        <v>3416</v>
      </c>
      <c r="AD946" s="28" t="s">
        <v>3457</v>
      </c>
      <c r="AE946" s="28" t="s">
        <v>3322</v>
      </c>
      <c r="AF946" s="28" t="s">
        <v>3418</v>
      </c>
      <c r="AG946" s="28" t="s">
        <v>3419</v>
      </c>
      <c r="AH946" s="28" t="s">
        <v>19</v>
      </c>
      <c r="AI946" s="28" t="s">
        <v>2297</v>
      </c>
      <c r="AJ946" s="28" t="s">
        <v>2297</v>
      </c>
      <c r="AK946" s="28" t="s">
        <v>18</v>
      </c>
      <c r="AL946" s="28" t="s">
        <v>2298</v>
      </c>
      <c r="AM946" s="114"/>
    </row>
    <row r="947" spans="21:39">
      <c r="U947" s="18">
        <v>945</v>
      </c>
      <c r="V947" s="18" t="s">
        <v>1942</v>
      </c>
      <c r="W947" s="18">
        <v>26</v>
      </c>
      <c r="X947" s="18" t="s">
        <v>43</v>
      </c>
      <c r="Y947" s="18" t="s">
        <v>657</v>
      </c>
      <c r="Z947" s="18" t="s">
        <v>1932</v>
      </c>
      <c r="AA947" s="18">
        <v>3</v>
      </c>
      <c r="AC947" s="28" t="s">
        <v>3416</v>
      </c>
      <c r="AD947" s="28" t="s">
        <v>3458</v>
      </c>
      <c r="AE947" s="28" t="s">
        <v>3322</v>
      </c>
      <c r="AF947" s="28" t="s">
        <v>3436</v>
      </c>
      <c r="AG947" s="28" t="s">
        <v>3437</v>
      </c>
      <c r="AH947" s="28" t="s">
        <v>51</v>
      </c>
      <c r="AI947" s="28" t="s">
        <v>2301</v>
      </c>
      <c r="AJ947" s="28" t="s">
        <v>2301</v>
      </c>
      <c r="AK947" s="28" t="s">
        <v>75</v>
      </c>
      <c r="AL947" s="28" t="s">
        <v>2298</v>
      </c>
      <c r="AM947" s="114"/>
    </row>
    <row r="948" spans="21:39">
      <c r="U948" s="18">
        <v>946</v>
      </c>
      <c r="V948" s="18" t="s">
        <v>1943</v>
      </c>
      <c r="W948" s="18">
        <v>23</v>
      </c>
      <c r="X948" s="18" t="s">
        <v>43</v>
      </c>
      <c r="Y948" s="18" t="s">
        <v>657</v>
      </c>
      <c r="Z948" s="18" t="s">
        <v>845</v>
      </c>
      <c r="AA948" s="18">
        <v>13</v>
      </c>
      <c r="AC948" s="28" t="s">
        <v>3416</v>
      </c>
      <c r="AD948" s="28" t="s">
        <v>3459</v>
      </c>
      <c r="AE948" s="28" t="s">
        <v>3322</v>
      </c>
      <c r="AF948" s="28" t="s">
        <v>3432</v>
      </c>
      <c r="AG948" s="28" t="s">
        <v>3422</v>
      </c>
      <c r="AH948" s="28" t="s">
        <v>47</v>
      </c>
      <c r="AI948" s="28" t="s">
        <v>2305</v>
      </c>
      <c r="AJ948" s="28" t="s">
        <v>2301</v>
      </c>
      <c r="AK948" s="28" t="s">
        <v>73</v>
      </c>
      <c r="AL948" s="28" t="s">
        <v>2298</v>
      </c>
      <c r="AM948" s="114"/>
    </row>
    <row r="949" spans="21:39">
      <c r="U949" s="18">
        <v>947</v>
      </c>
      <c r="V949" s="18" t="s">
        <v>1944</v>
      </c>
      <c r="W949" s="18">
        <v>25</v>
      </c>
      <c r="X949" s="18" t="s">
        <v>43</v>
      </c>
      <c r="Y949" s="18" t="s">
        <v>657</v>
      </c>
      <c r="Z949" s="18" t="s">
        <v>1454</v>
      </c>
      <c r="AA949" s="18">
        <v>15</v>
      </c>
      <c r="AC949" s="28" t="s">
        <v>3416</v>
      </c>
      <c r="AD949" s="28" t="s">
        <v>3460</v>
      </c>
      <c r="AE949" s="28" t="s">
        <v>3322</v>
      </c>
      <c r="AF949" s="28" t="s">
        <v>3434</v>
      </c>
      <c r="AG949" s="28" t="s">
        <v>3425</v>
      </c>
      <c r="AH949" s="28" t="s">
        <v>12</v>
      </c>
      <c r="AI949" s="28" t="s">
        <v>2297</v>
      </c>
      <c r="AJ949" s="28" t="s">
        <v>2302</v>
      </c>
      <c r="AK949" s="28" t="s">
        <v>16</v>
      </c>
      <c r="AL949" s="28" t="s">
        <v>2298</v>
      </c>
      <c r="AM949" s="114"/>
    </row>
    <row r="950" spans="21:39">
      <c r="U950" s="18">
        <v>948</v>
      </c>
      <c r="V950" s="18" t="s">
        <v>1945</v>
      </c>
      <c r="W950" s="18">
        <v>24</v>
      </c>
      <c r="X950" s="18" t="s">
        <v>43</v>
      </c>
      <c r="Y950" s="18" t="s">
        <v>661</v>
      </c>
      <c r="Z950" s="18" t="s">
        <v>1946</v>
      </c>
      <c r="AA950" s="18">
        <v>17</v>
      </c>
      <c r="AC950" s="28" t="s">
        <v>3416</v>
      </c>
      <c r="AD950" s="28" t="s">
        <v>3461</v>
      </c>
      <c r="AE950" s="28" t="s">
        <v>3322</v>
      </c>
      <c r="AF950" s="28" t="s">
        <v>3429</v>
      </c>
      <c r="AG950" s="28" t="s">
        <v>3430</v>
      </c>
      <c r="AH950" s="28" t="s">
        <v>30</v>
      </c>
      <c r="AI950" s="28" t="s">
        <v>2305</v>
      </c>
      <c r="AJ950" s="28" t="s">
        <v>2302</v>
      </c>
      <c r="AK950" s="28" t="s">
        <v>11</v>
      </c>
      <c r="AL950" s="28" t="s">
        <v>2298</v>
      </c>
      <c r="AM950" s="114"/>
    </row>
    <row r="951" spans="21:39">
      <c r="U951" s="18">
        <v>949</v>
      </c>
      <c r="V951" s="18" t="s">
        <v>1947</v>
      </c>
      <c r="W951" s="18">
        <v>28</v>
      </c>
      <c r="X951" s="18" t="s">
        <v>43</v>
      </c>
      <c r="Y951" s="18" t="s">
        <v>664</v>
      </c>
      <c r="Z951" s="18" t="s">
        <v>1948</v>
      </c>
      <c r="AA951" s="18">
        <v>6</v>
      </c>
      <c r="AC951" s="28" t="s">
        <v>3416</v>
      </c>
      <c r="AD951" s="28" t="s">
        <v>3462</v>
      </c>
      <c r="AE951" s="28" t="s">
        <v>3322</v>
      </c>
      <c r="AF951" s="28" t="s">
        <v>3421</v>
      </c>
      <c r="AG951" s="28" t="s">
        <v>3422</v>
      </c>
      <c r="AH951" s="28" t="s">
        <v>67</v>
      </c>
      <c r="AI951" s="28" t="s">
        <v>2297</v>
      </c>
      <c r="AJ951" s="28" t="s">
        <v>2305</v>
      </c>
      <c r="AK951" s="28" t="s">
        <v>65</v>
      </c>
      <c r="AL951" s="28" t="s">
        <v>2298</v>
      </c>
      <c r="AM951" s="114"/>
    </row>
    <row r="952" spans="21:39">
      <c r="U952" s="18">
        <v>950</v>
      </c>
      <c r="V952" s="18" t="s">
        <v>1949</v>
      </c>
      <c r="W952" s="18">
        <v>31</v>
      </c>
      <c r="X952" s="18" t="s">
        <v>43</v>
      </c>
      <c r="Y952" s="18" t="s">
        <v>664</v>
      </c>
      <c r="Z952" s="18" t="s">
        <v>1082</v>
      </c>
      <c r="AA952" s="18">
        <v>19</v>
      </c>
      <c r="AC952" s="28" t="s">
        <v>3416</v>
      </c>
      <c r="AD952" s="28" t="s">
        <v>3462</v>
      </c>
      <c r="AE952" s="28" t="s">
        <v>3322</v>
      </c>
      <c r="AF952" s="28" t="s">
        <v>3418</v>
      </c>
      <c r="AG952" s="28" t="s">
        <v>3419</v>
      </c>
      <c r="AH952" s="28" t="s">
        <v>40</v>
      </c>
      <c r="AI952" s="28" t="s">
        <v>2305</v>
      </c>
      <c r="AJ952" s="28" t="s">
        <v>2302</v>
      </c>
      <c r="AK952" s="28" t="s">
        <v>82</v>
      </c>
      <c r="AL952" s="28" t="s">
        <v>2298</v>
      </c>
      <c r="AM952" s="114"/>
    </row>
    <row r="953" spans="21:39">
      <c r="U953" s="18">
        <v>951</v>
      </c>
      <c r="V953" s="18" t="s">
        <v>1950</v>
      </c>
      <c r="W953" s="18">
        <v>27</v>
      </c>
      <c r="X953" s="18" t="s">
        <v>43</v>
      </c>
      <c r="Y953" s="18" t="s">
        <v>669</v>
      </c>
      <c r="Z953" s="18" t="s">
        <v>998</v>
      </c>
      <c r="AA953" s="18">
        <v>8</v>
      </c>
      <c r="AC953" s="28" t="s">
        <v>3416</v>
      </c>
      <c r="AD953" s="28" t="s">
        <v>3463</v>
      </c>
      <c r="AE953" s="28" t="s">
        <v>3322</v>
      </c>
      <c r="AF953" s="28" t="s">
        <v>3424</v>
      </c>
      <c r="AG953" s="28" t="s">
        <v>3425</v>
      </c>
      <c r="AH953" s="28" t="s">
        <v>71</v>
      </c>
      <c r="AI953" s="28" t="s">
        <v>2302</v>
      </c>
      <c r="AJ953" s="28" t="s">
        <v>2297</v>
      </c>
      <c r="AK953" s="28" t="s">
        <v>3588</v>
      </c>
      <c r="AL953" s="28" t="s">
        <v>2298</v>
      </c>
      <c r="AM953" s="114"/>
    </row>
    <row r="954" spans="21:39">
      <c r="U954" s="18">
        <v>952</v>
      </c>
      <c r="V954" s="18" t="s">
        <v>1951</v>
      </c>
      <c r="W954" s="18">
        <v>26</v>
      </c>
      <c r="X954" s="18" t="s">
        <v>43</v>
      </c>
      <c r="Y954" s="18" t="s">
        <v>669</v>
      </c>
      <c r="Z954" s="18" t="s">
        <v>882</v>
      </c>
      <c r="AA954" s="18">
        <v>14</v>
      </c>
      <c r="AC954" s="28" t="s">
        <v>3416</v>
      </c>
      <c r="AD954" s="28" t="s">
        <v>3463</v>
      </c>
      <c r="AE954" s="28" t="s">
        <v>3322</v>
      </c>
      <c r="AF954" s="28" t="s">
        <v>3427</v>
      </c>
      <c r="AG954" s="28" t="s">
        <v>3422</v>
      </c>
      <c r="AH954" s="28" t="s">
        <v>29</v>
      </c>
      <c r="AI954" s="28" t="s">
        <v>2302</v>
      </c>
      <c r="AJ954" s="28" t="s">
        <v>2301</v>
      </c>
      <c r="AK954" s="28" t="s">
        <v>23</v>
      </c>
      <c r="AL954" s="28" t="s">
        <v>2298</v>
      </c>
      <c r="AM954" s="114"/>
    </row>
    <row r="955" spans="21:39">
      <c r="U955" s="18">
        <v>953</v>
      </c>
      <c r="V955" s="18" t="s">
        <v>1952</v>
      </c>
      <c r="W955" s="18">
        <v>22</v>
      </c>
      <c r="X955" s="18" t="s">
        <v>43</v>
      </c>
      <c r="Y955" s="18" t="s">
        <v>669</v>
      </c>
      <c r="Z955" s="18" t="s">
        <v>1384</v>
      </c>
      <c r="AA955" s="18">
        <v>24</v>
      </c>
      <c r="AC955" s="28" t="s">
        <v>3416</v>
      </c>
      <c r="AD955" s="28" t="s">
        <v>3464</v>
      </c>
      <c r="AE955" s="28" t="s">
        <v>3322</v>
      </c>
      <c r="AF955" s="28" t="s">
        <v>3436</v>
      </c>
      <c r="AG955" s="28" t="s">
        <v>3437</v>
      </c>
      <c r="AH955" s="28" t="s">
        <v>38</v>
      </c>
      <c r="AI955" s="28" t="s">
        <v>2297</v>
      </c>
      <c r="AJ955" s="28" t="s">
        <v>2302</v>
      </c>
      <c r="AK955" s="28" t="s">
        <v>49</v>
      </c>
      <c r="AL955" s="28" t="s">
        <v>2298</v>
      </c>
      <c r="AM955" s="114"/>
    </row>
    <row r="956" spans="21:39">
      <c r="U956" s="18">
        <v>954</v>
      </c>
      <c r="V956" s="18" t="s">
        <v>1953</v>
      </c>
      <c r="W956" s="18">
        <v>23</v>
      </c>
      <c r="X956" s="18" t="s">
        <v>43</v>
      </c>
      <c r="Y956" s="18" t="s">
        <v>675</v>
      </c>
      <c r="Z956" s="18" t="s">
        <v>953</v>
      </c>
      <c r="AA956" s="18">
        <v>10</v>
      </c>
      <c r="AC956" s="28" t="s">
        <v>3416</v>
      </c>
      <c r="AD956" s="28" t="s">
        <v>3464</v>
      </c>
      <c r="AE956" s="28" t="s">
        <v>3322</v>
      </c>
      <c r="AF956" s="28" t="s">
        <v>3432</v>
      </c>
      <c r="AG956" s="28" t="s">
        <v>3422</v>
      </c>
      <c r="AH956" s="28" t="s">
        <v>42</v>
      </c>
      <c r="AI956" s="28" t="s">
        <v>2297</v>
      </c>
      <c r="AJ956" s="28" t="s">
        <v>2302</v>
      </c>
      <c r="AK956" s="28" t="s">
        <v>5</v>
      </c>
      <c r="AL956" s="28" t="s">
        <v>2298</v>
      </c>
      <c r="AM956" s="114"/>
    </row>
    <row r="957" spans="21:39">
      <c r="U957" s="18">
        <v>955</v>
      </c>
      <c r="V957" s="18" t="s">
        <v>1954</v>
      </c>
      <c r="W957" s="18">
        <v>20</v>
      </c>
      <c r="X957" s="18" t="s">
        <v>43</v>
      </c>
      <c r="Y957" s="18" t="s">
        <v>675</v>
      </c>
      <c r="Z957" s="18" t="s">
        <v>684</v>
      </c>
      <c r="AA957" s="18">
        <v>22</v>
      </c>
      <c r="AC957" s="28" t="s">
        <v>3416</v>
      </c>
      <c r="AD957" s="28" t="s">
        <v>3465</v>
      </c>
      <c r="AE957" s="28" t="s">
        <v>3322</v>
      </c>
      <c r="AF957" s="28" t="s">
        <v>3434</v>
      </c>
      <c r="AG957" s="28" t="s">
        <v>3425</v>
      </c>
      <c r="AH957" s="28" t="s">
        <v>37</v>
      </c>
      <c r="AI957" s="28" t="s">
        <v>2302</v>
      </c>
      <c r="AJ957" s="28" t="s">
        <v>2305</v>
      </c>
      <c r="AK957" s="28" t="s">
        <v>9</v>
      </c>
      <c r="AL957" s="28" t="s">
        <v>2298</v>
      </c>
      <c r="AM957" s="114"/>
    </row>
    <row r="958" spans="21:39">
      <c r="U958" s="18">
        <v>956</v>
      </c>
      <c r="V958" s="18" t="s">
        <v>1955</v>
      </c>
      <c r="W958" s="18">
        <v>24</v>
      </c>
      <c r="X958" s="18" t="s">
        <v>43</v>
      </c>
      <c r="Y958" s="18" t="s">
        <v>679</v>
      </c>
      <c r="Z958" s="18" t="s">
        <v>798</v>
      </c>
      <c r="AA958" s="18">
        <v>11</v>
      </c>
      <c r="AC958" s="28" t="s">
        <v>3416</v>
      </c>
      <c r="AD958" s="28" t="s">
        <v>3465</v>
      </c>
      <c r="AE958" s="28" t="s">
        <v>3322</v>
      </c>
      <c r="AF958" s="28" t="s">
        <v>3429</v>
      </c>
      <c r="AG958" s="28" t="s">
        <v>3430</v>
      </c>
      <c r="AH958" s="28" t="s">
        <v>56</v>
      </c>
      <c r="AI958" s="28" t="s">
        <v>2297</v>
      </c>
      <c r="AJ958" s="28" t="s">
        <v>2305</v>
      </c>
      <c r="AK958" s="28" t="s">
        <v>28</v>
      </c>
      <c r="AL958" s="28" t="s">
        <v>2298</v>
      </c>
      <c r="AM958" s="114"/>
    </row>
    <row r="959" spans="21:39">
      <c r="U959" s="18">
        <v>957</v>
      </c>
      <c r="V959" s="18" t="s">
        <v>1956</v>
      </c>
      <c r="W959" s="18">
        <v>23</v>
      </c>
      <c r="X959" s="18" t="s">
        <v>43</v>
      </c>
      <c r="Y959" s="18" t="s">
        <v>679</v>
      </c>
      <c r="Z959" s="18" t="s">
        <v>912</v>
      </c>
      <c r="AA959" s="18">
        <v>20</v>
      </c>
      <c r="AC959" s="28" t="s">
        <v>3416</v>
      </c>
      <c r="AD959" s="28" t="s">
        <v>3466</v>
      </c>
      <c r="AE959" s="28" t="s">
        <v>3322</v>
      </c>
      <c r="AF959" s="28" t="s">
        <v>3424</v>
      </c>
      <c r="AG959" s="28" t="s">
        <v>3425</v>
      </c>
      <c r="AH959" s="28" t="s">
        <v>45</v>
      </c>
      <c r="AI959" s="28" t="s">
        <v>2297</v>
      </c>
      <c r="AJ959" s="28" t="s">
        <v>2305</v>
      </c>
      <c r="AK959" s="28" t="s">
        <v>46</v>
      </c>
      <c r="AL959" s="28" t="s">
        <v>2298</v>
      </c>
      <c r="AM959" s="114"/>
    </row>
    <row r="960" spans="21:39">
      <c r="U960" s="18">
        <v>958</v>
      </c>
      <c r="V960" s="18" t="s">
        <v>1957</v>
      </c>
      <c r="W960" s="18">
        <v>35</v>
      </c>
      <c r="X960" s="18" t="s">
        <v>43</v>
      </c>
      <c r="Y960" s="18" t="s">
        <v>681</v>
      </c>
      <c r="Z960" s="18" t="s">
        <v>991</v>
      </c>
      <c r="AA960" s="18">
        <v>7</v>
      </c>
      <c r="AC960" s="28" t="s">
        <v>3416</v>
      </c>
      <c r="AD960" s="28" t="s">
        <v>3466</v>
      </c>
      <c r="AE960" s="28" t="s">
        <v>3322</v>
      </c>
      <c r="AF960" s="28" t="s">
        <v>3427</v>
      </c>
      <c r="AG960" s="28" t="s">
        <v>3422</v>
      </c>
      <c r="AH960" s="28" t="s">
        <v>63</v>
      </c>
      <c r="AI960" s="28" t="s">
        <v>2302</v>
      </c>
      <c r="AJ960" s="28" t="s">
        <v>2302</v>
      </c>
      <c r="AK960" s="28" t="s">
        <v>33</v>
      </c>
      <c r="AL960" s="28" t="s">
        <v>2298</v>
      </c>
      <c r="AM960" s="114"/>
    </row>
    <row r="961" spans="21:39">
      <c r="U961" s="18">
        <v>959</v>
      </c>
      <c r="V961" s="18" t="s">
        <v>1958</v>
      </c>
      <c r="W961" s="18">
        <v>23</v>
      </c>
      <c r="X961" s="18" t="s">
        <v>43</v>
      </c>
      <c r="Y961" s="18" t="s">
        <v>681</v>
      </c>
      <c r="Z961" s="18" t="s">
        <v>1959</v>
      </c>
      <c r="AA961" s="18">
        <v>25</v>
      </c>
      <c r="AC961" s="28" t="s">
        <v>3416</v>
      </c>
      <c r="AD961" s="28" t="s">
        <v>3467</v>
      </c>
      <c r="AE961" s="28" t="s">
        <v>3322</v>
      </c>
      <c r="AF961" s="28" t="s">
        <v>3418</v>
      </c>
      <c r="AG961" s="28" t="s">
        <v>3419</v>
      </c>
      <c r="AH961" s="28" t="s">
        <v>50</v>
      </c>
      <c r="AI961" s="28" t="s">
        <v>2305</v>
      </c>
      <c r="AJ961" s="28" t="s">
        <v>2296</v>
      </c>
      <c r="AK961" s="28" t="s">
        <v>18</v>
      </c>
      <c r="AL961" s="28" t="s">
        <v>2298</v>
      </c>
      <c r="AM961" s="114"/>
    </row>
    <row r="962" spans="21:39">
      <c r="U962" s="18">
        <v>960</v>
      </c>
      <c r="V962" s="18" t="s">
        <v>1960</v>
      </c>
      <c r="W962" s="18">
        <v>26</v>
      </c>
      <c r="X962" s="18" t="s">
        <v>43</v>
      </c>
      <c r="Y962" s="18" t="s">
        <v>683</v>
      </c>
      <c r="Z962" s="18" t="s">
        <v>1274</v>
      </c>
      <c r="AA962" s="18">
        <v>9</v>
      </c>
      <c r="AC962" s="28" t="s">
        <v>3416</v>
      </c>
      <c r="AD962" s="28" t="s">
        <v>3467</v>
      </c>
      <c r="AE962" s="28" t="s">
        <v>3322</v>
      </c>
      <c r="AF962" s="28" t="s">
        <v>3421</v>
      </c>
      <c r="AG962" s="28" t="s">
        <v>3422</v>
      </c>
      <c r="AH962" s="28" t="s">
        <v>62</v>
      </c>
      <c r="AI962" s="28" t="s">
        <v>2305</v>
      </c>
      <c r="AJ962" s="28" t="s">
        <v>2297</v>
      </c>
      <c r="AK962" s="28" t="s">
        <v>19</v>
      </c>
      <c r="AL962" s="28" t="s">
        <v>2298</v>
      </c>
      <c r="AM962" s="114"/>
    </row>
    <row r="963" spans="21:39">
      <c r="U963" s="18">
        <v>961</v>
      </c>
      <c r="V963" s="18" t="s">
        <v>1961</v>
      </c>
      <c r="W963" s="18">
        <v>26</v>
      </c>
      <c r="X963" s="18" t="s">
        <v>43</v>
      </c>
      <c r="Y963" s="18" t="s">
        <v>683</v>
      </c>
      <c r="Z963" s="18" t="s">
        <v>1962</v>
      </c>
      <c r="AA963" s="18">
        <v>12</v>
      </c>
      <c r="AC963" s="28" t="s">
        <v>3416</v>
      </c>
      <c r="AD963" s="28" t="s">
        <v>3468</v>
      </c>
      <c r="AE963" s="28" t="s">
        <v>3322</v>
      </c>
      <c r="AF963" s="28" t="s">
        <v>3436</v>
      </c>
      <c r="AG963" s="28" t="s">
        <v>3437</v>
      </c>
      <c r="AH963" s="28" t="s">
        <v>73</v>
      </c>
      <c r="AI963" s="28" t="s">
        <v>2302</v>
      </c>
      <c r="AJ963" s="28" t="s">
        <v>2305</v>
      </c>
      <c r="AK963" s="28" t="s">
        <v>11</v>
      </c>
      <c r="AL963" s="28" t="s">
        <v>2298</v>
      </c>
      <c r="AM963" s="114"/>
    </row>
    <row r="964" spans="21:39">
      <c r="U964" s="18">
        <v>962</v>
      </c>
      <c r="V964" s="18" t="s">
        <v>1963</v>
      </c>
      <c r="W964" s="18">
        <v>26</v>
      </c>
      <c r="X964" s="18" t="s">
        <v>43</v>
      </c>
      <c r="Y964" s="18" t="s">
        <v>683</v>
      </c>
      <c r="Z964" s="18" t="s">
        <v>1450</v>
      </c>
      <c r="AA964" s="18">
        <v>18</v>
      </c>
      <c r="AC964" s="28" t="s">
        <v>3416</v>
      </c>
      <c r="AD964" s="28" t="s">
        <v>3468</v>
      </c>
      <c r="AE964" s="28" t="s">
        <v>3322</v>
      </c>
      <c r="AF964" s="28" t="s">
        <v>3432</v>
      </c>
      <c r="AG964" s="28" t="s">
        <v>3422</v>
      </c>
      <c r="AH964" s="28" t="s">
        <v>47</v>
      </c>
      <c r="AI964" s="28" t="s">
        <v>2305</v>
      </c>
      <c r="AJ964" s="28" t="s">
        <v>2297</v>
      </c>
      <c r="AK964" s="28" t="s">
        <v>30</v>
      </c>
      <c r="AL964" s="28" t="s">
        <v>2298</v>
      </c>
      <c r="AM964" s="114"/>
    </row>
    <row r="965" spans="21:39">
      <c r="U965" s="18">
        <v>963</v>
      </c>
      <c r="V965" s="18" t="s">
        <v>1964</v>
      </c>
      <c r="W965" s="18">
        <v>32</v>
      </c>
      <c r="X965" s="18" t="s">
        <v>9</v>
      </c>
      <c r="Y965" s="18" t="s">
        <v>642</v>
      </c>
      <c r="Z965" s="18" t="s">
        <v>711</v>
      </c>
      <c r="AA965" s="18">
        <v>1</v>
      </c>
      <c r="AC965" s="28" t="s">
        <v>3416</v>
      </c>
      <c r="AD965" s="28" t="s">
        <v>3469</v>
      </c>
      <c r="AE965" s="28" t="s">
        <v>3322</v>
      </c>
      <c r="AF965" s="28" t="s">
        <v>3429</v>
      </c>
      <c r="AG965" s="28" t="s">
        <v>3430</v>
      </c>
      <c r="AH965" s="28" t="s">
        <v>51</v>
      </c>
      <c r="AI965" s="28" t="s">
        <v>2297</v>
      </c>
      <c r="AJ965" s="28" t="s">
        <v>2302</v>
      </c>
      <c r="AK965" s="28" t="s">
        <v>12</v>
      </c>
      <c r="AL965" s="28" t="s">
        <v>2298</v>
      </c>
      <c r="AM965" s="114"/>
    </row>
    <row r="966" spans="21:39">
      <c r="U966" s="18">
        <v>964</v>
      </c>
      <c r="V966" s="18" t="s">
        <v>1965</v>
      </c>
      <c r="W966" s="18">
        <v>34</v>
      </c>
      <c r="X966" s="18" t="s">
        <v>9</v>
      </c>
      <c r="Y966" s="18" t="s">
        <v>642</v>
      </c>
      <c r="Z966" s="18" t="s">
        <v>1274</v>
      </c>
      <c r="AA966" s="18">
        <v>12</v>
      </c>
      <c r="AC966" s="28" t="s">
        <v>3416</v>
      </c>
      <c r="AD966" s="28" t="s">
        <v>3469</v>
      </c>
      <c r="AE966" s="28" t="s">
        <v>3322</v>
      </c>
      <c r="AF966" s="28" t="s">
        <v>3434</v>
      </c>
      <c r="AG966" s="28" t="s">
        <v>3425</v>
      </c>
      <c r="AH966" s="28" t="s">
        <v>75</v>
      </c>
      <c r="AI966" s="28" t="s">
        <v>2305</v>
      </c>
      <c r="AJ966" s="28" t="s">
        <v>2301</v>
      </c>
      <c r="AK966" s="28" t="s">
        <v>16</v>
      </c>
      <c r="AL966" s="28" t="s">
        <v>2298</v>
      </c>
      <c r="AM966" s="114"/>
    </row>
    <row r="967" spans="21:39">
      <c r="U967" s="18">
        <v>965</v>
      </c>
      <c r="V967" s="18" t="s">
        <v>456</v>
      </c>
      <c r="W967" s="18">
        <v>33</v>
      </c>
      <c r="X967" s="18" t="s">
        <v>9</v>
      </c>
      <c r="Y967" s="18" t="s">
        <v>642</v>
      </c>
      <c r="Z967" s="18" t="s">
        <v>1126</v>
      </c>
      <c r="AA967" s="18">
        <v>23</v>
      </c>
      <c r="AC967" s="28" t="s">
        <v>3416</v>
      </c>
      <c r="AD967" s="28" t="s">
        <v>3470</v>
      </c>
      <c r="AE967" s="28" t="s">
        <v>3391</v>
      </c>
      <c r="AF967" s="28" t="s">
        <v>3421</v>
      </c>
      <c r="AG967" s="28" t="s">
        <v>3422</v>
      </c>
      <c r="AH967" s="28" t="s">
        <v>40</v>
      </c>
      <c r="AI967" s="28" t="s">
        <v>2301</v>
      </c>
      <c r="AJ967" s="28" t="s">
        <v>2297</v>
      </c>
      <c r="AK967" s="28" t="s">
        <v>3588</v>
      </c>
      <c r="AL967" s="28" t="s">
        <v>2298</v>
      </c>
      <c r="AM967" s="114"/>
    </row>
    <row r="968" spans="21:39">
      <c r="U968" s="18">
        <v>966</v>
      </c>
      <c r="V968" s="18" t="s">
        <v>1966</v>
      </c>
      <c r="W968" s="18">
        <v>29</v>
      </c>
      <c r="X968" s="18" t="s">
        <v>9</v>
      </c>
      <c r="Y968" s="18" t="s">
        <v>649</v>
      </c>
      <c r="Z968" s="18" t="s">
        <v>1011</v>
      </c>
      <c r="AA968" s="18">
        <v>2</v>
      </c>
      <c r="AC968" s="28" t="s">
        <v>3416</v>
      </c>
      <c r="AD968" s="28" t="s">
        <v>3471</v>
      </c>
      <c r="AE968" s="28" t="s">
        <v>3391</v>
      </c>
      <c r="AF968" s="28" t="s">
        <v>3427</v>
      </c>
      <c r="AG968" s="28" t="s">
        <v>3422</v>
      </c>
      <c r="AH968" s="28" t="s">
        <v>9</v>
      </c>
      <c r="AI968" s="28" t="s">
        <v>2305</v>
      </c>
      <c r="AJ968" s="28" t="s">
        <v>2297</v>
      </c>
      <c r="AK968" s="28" t="s">
        <v>38</v>
      </c>
      <c r="AL968" s="28" t="s">
        <v>2298</v>
      </c>
      <c r="AM968" s="114"/>
    </row>
    <row r="969" spans="21:39">
      <c r="U969" s="18">
        <v>967</v>
      </c>
      <c r="V969" s="18" t="s">
        <v>1967</v>
      </c>
      <c r="W969" s="18">
        <v>28</v>
      </c>
      <c r="X969" s="18" t="s">
        <v>9</v>
      </c>
      <c r="Y969" s="18" t="s">
        <v>649</v>
      </c>
      <c r="Z969" s="18" t="s">
        <v>996</v>
      </c>
      <c r="AA969" s="18">
        <v>6</v>
      </c>
      <c r="AC969" s="28" t="s">
        <v>3416</v>
      </c>
      <c r="AD969" s="28" t="s">
        <v>3472</v>
      </c>
      <c r="AE969" s="28" t="s">
        <v>3391</v>
      </c>
      <c r="AF969" s="28" t="s">
        <v>3424</v>
      </c>
      <c r="AG969" s="28" t="s">
        <v>3425</v>
      </c>
      <c r="AH969" s="28" t="s">
        <v>5</v>
      </c>
      <c r="AI969" s="28" t="s">
        <v>2301</v>
      </c>
      <c r="AJ969" s="28" t="s">
        <v>2297</v>
      </c>
      <c r="AK969" s="28" t="s">
        <v>37</v>
      </c>
      <c r="AL969" s="28" t="s">
        <v>2298</v>
      </c>
      <c r="AM969" s="114"/>
    </row>
    <row r="970" spans="21:39">
      <c r="U970" s="18">
        <v>968</v>
      </c>
      <c r="V970" s="18" t="s">
        <v>1968</v>
      </c>
      <c r="W970" s="18">
        <v>28</v>
      </c>
      <c r="X970" s="18" t="s">
        <v>9</v>
      </c>
      <c r="Y970" s="18" t="s">
        <v>649</v>
      </c>
      <c r="Z970" s="18" t="s">
        <v>1458</v>
      </c>
      <c r="AA970" s="18">
        <v>13</v>
      </c>
      <c r="AC970" s="28" t="s">
        <v>3416</v>
      </c>
      <c r="AD970" s="28" t="s">
        <v>3473</v>
      </c>
      <c r="AE970" s="28" t="s">
        <v>3391</v>
      </c>
      <c r="AF970" s="28" t="s">
        <v>3418</v>
      </c>
      <c r="AG970" s="28" t="s">
        <v>3419</v>
      </c>
      <c r="AH970" s="28" t="s">
        <v>23</v>
      </c>
      <c r="AI970" s="28" t="s">
        <v>2301</v>
      </c>
      <c r="AJ970" s="28" t="s">
        <v>2302</v>
      </c>
      <c r="AK970" s="28" t="s">
        <v>65</v>
      </c>
      <c r="AL970" s="28" t="s">
        <v>2298</v>
      </c>
      <c r="AM970" s="114"/>
    </row>
    <row r="971" spans="21:39">
      <c r="U971" s="18">
        <v>969</v>
      </c>
      <c r="V971" s="18" t="s">
        <v>1969</v>
      </c>
      <c r="W971" s="18">
        <v>38</v>
      </c>
      <c r="X971" s="18" t="s">
        <v>9</v>
      </c>
      <c r="Y971" s="18" t="s">
        <v>649</v>
      </c>
      <c r="Z971" s="18" t="s">
        <v>839</v>
      </c>
      <c r="AA971" s="18">
        <v>19</v>
      </c>
      <c r="AC971" s="28" t="s">
        <v>3416</v>
      </c>
      <c r="AD971" s="28" t="s">
        <v>3474</v>
      </c>
      <c r="AE971" s="28" t="s">
        <v>3391</v>
      </c>
      <c r="AF971" s="28" t="s">
        <v>3436</v>
      </c>
      <c r="AG971" s="28" t="s">
        <v>3437</v>
      </c>
      <c r="AH971" s="28" t="s">
        <v>62</v>
      </c>
      <c r="AI971" s="28" t="s">
        <v>2297</v>
      </c>
      <c r="AJ971" s="28" t="s">
        <v>2297</v>
      </c>
      <c r="AK971" s="28" t="s">
        <v>63</v>
      </c>
      <c r="AL971" s="28" t="s">
        <v>3475</v>
      </c>
      <c r="AM971" s="114"/>
    </row>
    <row r="972" spans="21:39">
      <c r="U972" s="18">
        <v>970</v>
      </c>
      <c r="V972" s="18" t="s">
        <v>1970</v>
      </c>
      <c r="W972" s="18">
        <v>27</v>
      </c>
      <c r="X972" s="18" t="s">
        <v>9</v>
      </c>
      <c r="Y972" s="18" t="s">
        <v>649</v>
      </c>
      <c r="Z972" s="18" t="s">
        <v>1274</v>
      </c>
      <c r="AA972" s="18">
        <v>25</v>
      </c>
      <c r="AC972" s="28" t="s">
        <v>3416</v>
      </c>
      <c r="AD972" s="28" t="s">
        <v>3476</v>
      </c>
      <c r="AE972" s="28" t="s">
        <v>3391</v>
      </c>
      <c r="AF972" s="28" t="s">
        <v>3434</v>
      </c>
      <c r="AG972" s="28" t="s">
        <v>3425</v>
      </c>
      <c r="AH972" s="28" t="s">
        <v>12</v>
      </c>
      <c r="AI972" s="28" t="s">
        <v>2296</v>
      </c>
      <c r="AJ972" s="28" t="s">
        <v>2297</v>
      </c>
      <c r="AK972" s="28" t="s">
        <v>47</v>
      </c>
      <c r="AL972" s="28" t="s">
        <v>2298</v>
      </c>
      <c r="AM972" s="114"/>
    </row>
    <row r="973" spans="21:39">
      <c r="U973" s="18">
        <v>971</v>
      </c>
      <c r="V973" s="18" t="s">
        <v>1971</v>
      </c>
      <c r="W973" s="18">
        <v>33</v>
      </c>
      <c r="X973" s="18" t="s">
        <v>9</v>
      </c>
      <c r="Y973" s="18" t="s">
        <v>657</v>
      </c>
      <c r="Z973" s="18" t="s">
        <v>676</v>
      </c>
      <c r="AA973" s="18">
        <v>3</v>
      </c>
      <c r="AC973" s="28" t="s">
        <v>3416</v>
      </c>
      <c r="AD973" s="28" t="s">
        <v>3477</v>
      </c>
      <c r="AE973" s="28" t="s">
        <v>3391</v>
      </c>
      <c r="AF973" s="28" t="s">
        <v>3432</v>
      </c>
      <c r="AG973" s="28" t="s">
        <v>3422</v>
      </c>
      <c r="AH973" s="28" t="s">
        <v>46</v>
      </c>
      <c r="AI973" s="28" t="s">
        <v>2302</v>
      </c>
      <c r="AJ973" s="28" t="s">
        <v>2302</v>
      </c>
      <c r="AK973" s="28" t="s">
        <v>19</v>
      </c>
      <c r="AL973" s="28" t="s">
        <v>3478</v>
      </c>
      <c r="AM973" s="114"/>
    </row>
    <row r="974" spans="21:39">
      <c r="U974" s="18">
        <v>972</v>
      </c>
      <c r="V974" s="18" t="s">
        <v>1972</v>
      </c>
      <c r="W974" s="18">
        <v>21</v>
      </c>
      <c r="X974" s="18" t="s">
        <v>9</v>
      </c>
      <c r="Y974" s="18" t="s">
        <v>657</v>
      </c>
      <c r="Z974" s="18" t="s">
        <v>1086</v>
      </c>
      <c r="AA974" s="18">
        <v>8</v>
      </c>
      <c r="AC974" s="28" t="s">
        <v>3416</v>
      </c>
      <c r="AD974" s="28" t="s">
        <v>3479</v>
      </c>
      <c r="AE974" s="28" t="s">
        <v>3391</v>
      </c>
      <c r="AF974" s="28" t="s">
        <v>3429</v>
      </c>
      <c r="AG974" s="28" t="s">
        <v>3430</v>
      </c>
      <c r="AH974" s="28" t="s">
        <v>30</v>
      </c>
      <c r="AI974" s="28" t="s">
        <v>2316</v>
      </c>
      <c r="AJ974" s="28" t="s">
        <v>2297</v>
      </c>
      <c r="AK974" s="28" t="s">
        <v>16</v>
      </c>
      <c r="AL974" s="28" t="s">
        <v>2298</v>
      </c>
      <c r="AM974" s="114"/>
    </row>
    <row r="975" spans="21:39">
      <c r="U975" s="18">
        <v>973</v>
      </c>
      <c r="V975" s="18" t="s">
        <v>461</v>
      </c>
      <c r="W975" s="18">
        <v>29</v>
      </c>
      <c r="X975" s="18" t="s">
        <v>9</v>
      </c>
      <c r="Y975" s="18" t="s">
        <v>661</v>
      </c>
      <c r="Z975" s="18" t="s">
        <v>1347</v>
      </c>
      <c r="AA975" s="18">
        <v>4</v>
      </c>
      <c r="AC975" s="28" t="s">
        <v>3416</v>
      </c>
      <c r="AD975" s="28" t="s">
        <v>3480</v>
      </c>
      <c r="AE975" s="28" t="s">
        <v>3403</v>
      </c>
      <c r="AF975" s="28" t="s">
        <v>3432</v>
      </c>
      <c r="AG975" s="28" t="s">
        <v>3422</v>
      </c>
      <c r="AH975" s="28" t="s">
        <v>63</v>
      </c>
      <c r="AI975" s="28" t="s">
        <v>2297</v>
      </c>
      <c r="AJ975" s="28" t="s">
        <v>2297</v>
      </c>
      <c r="AK975" s="28" t="s">
        <v>12</v>
      </c>
      <c r="AL975" s="28" t="s">
        <v>3481</v>
      </c>
      <c r="AM975" s="114"/>
    </row>
    <row r="976" spans="21:39">
      <c r="U976" s="18">
        <v>974</v>
      </c>
      <c r="V976" s="18" t="s">
        <v>1973</v>
      </c>
      <c r="W976" s="18">
        <v>28</v>
      </c>
      <c r="X976" s="18" t="s">
        <v>9</v>
      </c>
      <c r="Y976" s="18" t="s">
        <v>661</v>
      </c>
      <c r="Z976" s="18" t="s">
        <v>711</v>
      </c>
      <c r="AA976" s="18">
        <v>26</v>
      </c>
      <c r="AC976" s="28" t="s">
        <v>3416</v>
      </c>
      <c r="AD976" s="28" t="s">
        <v>3482</v>
      </c>
      <c r="AE976" s="28" t="s">
        <v>3403</v>
      </c>
      <c r="AF976" s="28" t="s">
        <v>3429</v>
      </c>
      <c r="AG976" s="28" t="s">
        <v>3430</v>
      </c>
      <c r="AH976" s="28" t="s">
        <v>40</v>
      </c>
      <c r="AI976" s="28" t="s">
        <v>2305</v>
      </c>
      <c r="AJ976" s="28" t="s">
        <v>2305</v>
      </c>
      <c r="AK976" s="28" t="s">
        <v>9</v>
      </c>
      <c r="AL976" s="28" t="s">
        <v>3483</v>
      </c>
      <c r="AM976" s="114"/>
    </row>
    <row r="977" spans="21:39">
      <c r="U977" s="18">
        <v>975</v>
      </c>
      <c r="V977" s="18" t="s">
        <v>459</v>
      </c>
      <c r="W977" s="18">
        <v>31</v>
      </c>
      <c r="X977" s="18" t="s">
        <v>9</v>
      </c>
      <c r="Y977" s="18" t="s">
        <v>664</v>
      </c>
      <c r="Z977" s="18" t="s">
        <v>1974</v>
      </c>
      <c r="AA977" s="18">
        <v>5</v>
      </c>
      <c r="AC977" s="28" t="s">
        <v>3416</v>
      </c>
      <c r="AD977" s="28" t="s">
        <v>3484</v>
      </c>
      <c r="AE977" s="28" t="s">
        <v>3403</v>
      </c>
      <c r="AF977" s="28" t="s">
        <v>3424</v>
      </c>
      <c r="AG977" s="28" t="s">
        <v>3425</v>
      </c>
      <c r="AH977" s="28" t="s">
        <v>46</v>
      </c>
      <c r="AI977" s="28" t="s">
        <v>2297</v>
      </c>
      <c r="AJ977" s="28" t="s">
        <v>2302</v>
      </c>
      <c r="AK977" s="28" t="s">
        <v>30</v>
      </c>
      <c r="AL977" s="28" t="s">
        <v>2298</v>
      </c>
      <c r="AM977" s="114"/>
    </row>
    <row r="978" spans="21:39">
      <c r="U978" s="18">
        <v>976</v>
      </c>
      <c r="V978" s="18" t="s">
        <v>463</v>
      </c>
      <c r="W978" s="18">
        <v>25</v>
      </c>
      <c r="X978" s="18" t="s">
        <v>9</v>
      </c>
      <c r="Y978" s="18" t="s">
        <v>664</v>
      </c>
      <c r="Z978" s="18" t="s">
        <v>1339</v>
      </c>
      <c r="AA978" s="18">
        <v>24</v>
      </c>
      <c r="AC978" s="28" t="s">
        <v>3416</v>
      </c>
      <c r="AD978" s="28" t="s">
        <v>3485</v>
      </c>
      <c r="AE978" s="28" t="s">
        <v>3403</v>
      </c>
      <c r="AF978" s="28" t="s">
        <v>3418</v>
      </c>
      <c r="AG978" s="28" t="s">
        <v>3419</v>
      </c>
      <c r="AH978" s="28" t="s">
        <v>23</v>
      </c>
      <c r="AI978" s="28" t="s">
        <v>2297</v>
      </c>
      <c r="AJ978" s="28" t="s">
        <v>2305</v>
      </c>
      <c r="AK978" s="28" t="s">
        <v>5</v>
      </c>
      <c r="AL978" s="28" t="s">
        <v>2298</v>
      </c>
      <c r="AM978" s="114"/>
    </row>
    <row r="979" spans="21:39">
      <c r="U979" s="18">
        <v>977</v>
      </c>
      <c r="V979" s="18" t="s">
        <v>1975</v>
      </c>
      <c r="W979" s="18">
        <v>32</v>
      </c>
      <c r="X979" s="18" t="s">
        <v>9</v>
      </c>
      <c r="Y979" s="18" t="s">
        <v>669</v>
      </c>
      <c r="Z979" s="18" t="s">
        <v>869</v>
      </c>
      <c r="AA979" s="18">
        <v>7</v>
      </c>
      <c r="AC979" s="28" t="s">
        <v>3416</v>
      </c>
      <c r="AD979" s="28" t="s">
        <v>3486</v>
      </c>
      <c r="AE979" s="28" t="s">
        <v>3409</v>
      </c>
      <c r="AF979" s="28" t="s">
        <v>3429</v>
      </c>
      <c r="AG979" s="28" t="s">
        <v>3430</v>
      </c>
      <c r="AH979" s="28" t="s">
        <v>9</v>
      </c>
      <c r="AI979" s="28" t="s">
        <v>2301</v>
      </c>
      <c r="AJ979" s="28" t="s">
        <v>2302</v>
      </c>
      <c r="AK979" s="28" t="s">
        <v>63</v>
      </c>
      <c r="AL979" s="28" t="s">
        <v>2298</v>
      </c>
      <c r="AM979" s="114"/>
    </row>
    <row r="980" spans="21:39">
      <c r="U980" s="18">
        <v>978</v>
      </c>
      <c r="V980" s="18" t="s">
        <v>1976</v>
      </c>
      <c r="W980" s="18">
        <v>27</v>
      </c>
      <c r="X980" s="18" t="s">
        <v>9</v>
      </c>
      <c r="Y980" s="18" t="s">
        <v>669</v>
      </c>
      <c r="Z980" s="18" t="s">
        <v>684</v>
      </c>
      <c r="AA980" s="18">
        <v>14</v>
      </c>
      <c r="AC980" s="28" t="s">
        <v>3416</v>
      </c>
      <c r="AD980" s="28" t="s">
        <v>3487</v>
      </c>
      <c r="AE980" s="28" t="s">
        <v>3409</v>
      </c>
      <c r="AF980" s="28" t="s">
        <v>3418</v>
      </c>
      <c r="AG980" s="28" t="s">
        <v>3419</v>
      </c>
      <c r="AH980" s="28" t="s">
        <v>5</v>
      </c>
      <c r="AI980" s="28" t="s">
        <v>2305</v>
      </c>
      <c r="AJ980" s="28" t="s">
        <v>2302</v>
      </c>
      <c r="AK980" s="28" t="s">
        <v>46</v>
      </c>
      <c r="AL980" s="28" t="s">
        <v>2298</v>
      </c>
      <c r="AM980" s="114"/>
    </row>
    <row r="981" spans="21:39">
      <c r="U981" s="18">
        <v>979</v>
      </c>
      <c r="V981" s="18" t="s">
        <v>1977</v>
      </c>
      <c r="W981" s="18">
        <v>27</v>
      </c>
      <c r="X981" s="18" t="s">
        <v>9</v>
      </c>
      <c r="Y981" s="18" t="s">
        <v>669</v>
      </c>
      <c r="Z981" s="18" t="s">
        <v>981</v>
      </c>
      <c r="AA981" s="18">
        <v>20</v>
      </c>
      <c r="AC981" s="28" t="s">
        <v>3416</v>
      </c>
      <c r="AD981" s="28" t="s">
        <v>3488</v>
      </c>
      <c r="AE981" s="28" t="s">
        <v>3413</v>
      </c>
      <c r="AF981" s="28" t="s">
        <v>3421</v>
      </c>
      <c r="AG981" s="28" t="s">
        <v>3422</v>
      </c>
      <c r="AH981" s="28" t="s">
        <v>63</v>
      </c>
      <c r="AI981" s="28" t="s">
        <v>2305</v>
      </c>
      <c r="AJ981" s="28" t="s">
        <v>2297</v>
      </c>
      <c r="AK981" s="28" t="s">
        <v>46</v>
      </c>
      <c r="AL981" s="28" t="s">
        <v>2298</v>
      </c>
      <c r="AM981" s="114"/>
    </row>
    <row r="982" spans="21:39">
      <c r="U982" s="18">
        <v>980</v>
      </c>
      <c r="V982" s="18" t="s">
        <v>1978</v>
      </c>
      <c r="W982" s="18">
        <v>30</v>
      </c>
      <c r="X982" s="18" t="s">
        <v>9</v>
      </c>
      <c r="Y982" s="18" t="s">
        <v>675</v>
      </c>
      <c r="Z982" s="18" t="s">
        <v>714</v>
      </c>
      <c r="AA982" s="18">
        <v>11</v>
      </c>
      <c r="AC982" s="28" t="s">
        <v>3416</v>
      </c>
      <c r="AD982" s="28" t="s">
        <v>3489</v>
      </c>
      <c r="AE982" s="28" t="s">
        <v>3415</v>
      </c>
      <c r="AF982" s="28" t="s">
        <v>3429</v>
      </c>
      <c r="AG982" s="28" t="s">
        <v>3430</v>
      </c>
      <c r="AH982" s="28" t="s">
        <v>9</v>
      </c>
      <c r="AI982" s="28" t="s">
        <v>2301</v>
      </c>
      <c r="AJ982" s="28" t="s">
        <v>2301</v>
      </c>
      <c r="AK982" s="28" t="s">
        <v>5</v>
      </c>
      <c r="AL982" s="28" t="s">
        <v>3490</v>
      </c>
      <c r="AM982" s="114"/>
    </row>
    <row r="983" spans="21:39">
      <c r="U983" s="18">
        <v>981</v>
      </c>
      <c r="V983" s="18" t="s">
        <v>1979</v>
      </c>
      <c r="W983" s="18">
        <v>25</v>
      </c>
      <c r="X983" s="18" t="s">
        <v>9</v>
      </c>
      <c r="Y983" s="18" t="s">
        <v>675</v>
      </c>
      <c r="Z983" s="18" t="s">
        <v>711</v>
      </c>
      <c r="AA983" s="18">
        <v>16</v>
      </c>
      <c r="AC983" s="28" t="s">
        <v>3491</v>
      </c>
      <c r="AD983" s="28"/>
      <c r="AE983" s="28" t="s">
        <v>3492</v>
      </c>
      <c r="AF983" s="28" t="s">
        <v>3493</v>
      </c>
      <c r="AG983" s="28" t="s">
        <v>3494</v>
      </c>
      <c r="AH983" s="28" t="s">
        <v>28</v>
      </c>
      <c r="AI983" s="28" t="s">
        <v>2305</v>
      </c>
      <c r="AJ983" s="28" t="s">
        <v>2302</v>
      </c>
      <c r="AK983" s="28" t="s">
        <v>61</v>
      </c>
      <c r="AL983" s="28" t="s">
        <v>2298</v>
      </c>
      <c r="AM983" s="114"/>
    </row>
    <row r="984" spans="21:39">
      <c r="U984" s="18">
        <v>982</v>
      </c>
      <c r="V984" s="18" t="s">
        <v>1980</v>
      </c>
      <c r="W984" s="18">
        <v>21</v>
      </c>
      <c r="X984" s="18" t="s">
        <v>9</v>
      </c>
      <c r="Y984" s="18" t="s">
        <v>675</v>
      </c>
      <c r="Z984" s="18" t="s">
        <v>1923</v>
      </c>
      <c r="AA984" s="18">
        <v>18</v>
      </c>
      <c r="AC984" s="28" t="s">
        <v>3491</v>
      </c>
      <c r="AD984" s="28"/>
      <c r="AE984" s="28" t="s">
        <v>3492</v>
      </c>
      <c r="AF984" s="28" t="s">
        <v>3495</v>
      </c>
      <c r="AG984" s="28" t="s">
        <v>689</v>
      </c>
      <c r="AH984" s="28" t="s">
        <v>47</v>
      </c>
      <c r="AI984" s="28" t="s">
        <v>2305</v>
      </c>
      <c r="AJ984" s="28" t="s">
        <v>2297</v>
      </c>
      <c r="AK984" s="28" t="s">
        <v>3589</v>
      </c>
      <c r="AL984" s="28" t="s">
        <v>2298</v>
      </c>
      <c r="AM984" s="114"/>
    </row>
    <row r="985" spans="21:39">
      <c r="U985" s="18">
        <v>983</v>
      </c>
      <c r="V985" s="18" t="s">
        <v>1981</v>
      </c>
      <c r="W985" s="18">
        <v>28</v>
      </c>
      <c r="X985" s="18" t="s">
        <v>9</v>
      </c>
      <c r="Y985" s="18" t="s">
        <v>679</v>
      </c>
      <c r="Z985" s="18" t="s">
        <v>711</v>
      </c>
      <c r="AA985" s="18">
        <v>15</v>
      </c>
      <c r="AC985" s="28" t="s">
        <v>3491</v>
      </c>
      <c r="AD985" s="28"/>
      <c r="AE985" s="28" t="s">
        <v>3492</v>
      </c>
      <c r="AF985" s="28" t="s">
        <v>3496</v>
      </c>
      <c r="AG985" s="28" t="s">
        <v>3497</v>
      </c>
      <c r="AH985" s="28" t="s">
        <v>45</v>
      </c>
      <c r="AI985" s="28" t="s">
        <v>2297</v>
      </c>
      <c r="AJ985" s="28" t="s">
        <v>2297</v>
      </c>
      <c r="AK985" s="28" t="s">
        <v>78</v>
      </c>
      <c r="AL985" s="28" t="s">
        <v>2298</v>
      </c>
      <c r="AM985" s="114"/>
    </row>
    <row r="986" spans="21:39">
      <c r="U986" s="18">
        <v>984</v>
      </c>
      <c r="V986" s="18" t="s">
        <v>1982</v>
      </c>
      <c r="W986" s="18">
        <v>23</v>
      </c>
      <c r="X986" s="18" t="s">
        <v>9</v>
      </c>
      <c r="Y986" s="18" t="s">
        <v>679</v>
      </c>
      <c r="Z986" s="18" t="s">
        <v>711</v>
      </c>
      <c r="AA986" s="18">
        <v>17</v>
      </c>
      <c r="AC986" s="28" t="s">
        <v>3491</v>
      </c>
      <c r="AD986" s="28"/>
      <c r="AE986" s="28" t="s">
        <v>3492</v>
      </c>
      <c r="AF986" s="28" t="s">
        <v>3498</v>
      </c>
      <c r="AG986" s="28" t="s">
        <v>3499</v>
      </c>
      <c r="AH986" s="28" t="s">
        <v>6</v>
      </c>
      <c r="AI986" s="28" t="s">
        <v>2296</v>
      </c>
      <c r="AJ986" s="28" t="s">
        <v>2297</v>
      </c>
      <c r="AK986" s="28" t="s">
        <v>13</v>
      </c>
      <c r="AL986" s="28" t="s">
        <v>2298</v>
      </c>
      <c r="AM986" s="114"/>
    </row>
    <row r="987" spans="21:39">
      <c r="U987" s="18">
        <v>985</v>
      </c>
      <c r="V987" s="18" t="s">
        <v>385</v>
      </c>
      <c r="W987" s="18">
        <v>38</v>
      </c>
      <c r="X987" s="18" t="s">
        <v>9</v>
      </c>
      <c r="Y987" s="18" t="s">
        <v>681</v>
      </c>
      <c r="Z987" s="18" t="s">
        <v>869</v>
      </c>
      <c r="AA987" s="18">
        <v>10</v>
      </c>
      <c r="AC987" s="28" t="s">
        <v>3491</v>
      </c>
      <c r="AD987" s="28"/>
      <c r="AE987" s="28" t="s">
        <v>3492</v>
      </c>
      <c r="AF987" s="28" t="s">
        <v>3500</v>
      </c>
      <c r="AG987" s="28" t="s">
        <v>3501</v>
      </c>
      <c r="AH987" s="28" t="s">
        <v>41</v>
      </c>
      <c r="AI987" s="28" t="s">
        <v>2302</v>
      </c>
      <c r="AJ987" s="28" t="s">
        <v>2297</v>
      </c>
      <c r="AK987" s="28" t="s">
        <v>39</v>
      </c>
      <c r="AL987" s="28" t="s">
        <v>2298</v>
      </c>
      <c r="AM987" s="114"/>
    </row>
    <row r="988" spans="21:39">
      <c r="U988" s="18">
        <v>986</v>
      </c>
      <c r="V988" s="18" t="s">
        <v>1983</v>
      </c>
      <c r="W988" s="18">
        <v>26</v>
      </c>
      <c r="X988" s="18" t="s">
        <v>9</v>
      </c>
      <c r="Y988" s="18" t="s">
        <v>683</v>
      </c>
      <c r="Z988" s="18" t="s">
        <v>711</v>
      </c>
      <c r="AA988" s="18">
        <v>9</v>
      </c>
      <c r="AC988" s="28" t="s">
        <v>3491</v>
      </c>
      <c r="AD988" s="28"/>
      <c r="AE988" s="28" t="s">
        <v>3492</v>
      </c>
      <c r="AF988" s="28" t="s">
        <v>3502</v>
      </c>
      <c r="AG988" s="28" t="s">
        <v>3503</v>
      </c>
      <c r="AH988" s="28" t="s">
        <v>38</v>
      </c>
      <c r="AI988" s="28" t="s">
        <v>2305</v>
      </c>
      <c r="AJ988" s="28" t="s">
        <v>2302</v>
      </c>
      <c r="AK988" s="28" t="s">
        <v>3590</v>
      </c>
      <c r="AL988" s="28" t="s">
        <v>2298</v>
      </c>
      <c r="AM988" s="114"/>
    </row>
    <row r="989" spans="21:39">
      <c r="U989" s="18">
        <v>987</v>
      </c>
      <c r="V989" s="18" t="s">
        <v>1984</v>
      </c>
      <c r="W989" s="18">
        <v>25</v>
      </c>
      <c r="X989" s="18" t="s">
        <v>9</v>
      </c>
      <c r="Y989" s="18" t="s">
        <v>683</v>
      </c>
      <c r="Z989" s="18" t="s">
        <v>1148</v>
      </c>
      <c r="AA989" s="18">
        <v>21</v>
      </c>
      <c r="AC989" s="28" t="s">
        <v>3491</v>
      </c>
      <c r="AD989" s="28"/>
      <c r="AE989" s="28" t="s">
        <v>3492</v>
      </c>
      <c r="AF989" s="28" t="s">
        <v>3504</v>
      </c>
      <c r="AG989" s="28" t="s">
        <v>3505</v>
      </c>
      <c r="AH989" s="28" t="s">
        <v>12</v>
      </c>
      <c r="AI989" s="28" t="s">
        <v>2297</v>
      </c>
      <c r="AJ989" s="28" t="s">
        <v>2297</v>
      </c>
      <c r="AK989" s="28" t="s">
        <v>46</v>
      </c>
      <c r="AL989" s="28" t="s">
        <v>2298</v>
      </c>
      <c r="AM989" s="114"/>
    </row>
    <row r="990" spans="21:39">
      <c r="U990" s="18">
        <v>988</v>
      </c>
      <c r="V990" s="18" t="s">
        <v>465</v>
      </c>
      <c r="W990" s="18">
        <v>28</v>
      </c>
      <c r="X990" s="18" t="s">
        <v>9</v>
      </c>
      <c r="Y990" s="18" t="s">
        <v>683</v>
      </c>
      <c r="Z990" s="18" t="s">
        <v>949</v>
      </c>
      <c r="AA990" s="18">
        <v>22</v>
      </c>
      <c r="AC990" s="28" t="s">
        <v>3491</v>
      </c>
      <c r="AD990" s="28"/>
      <c r="AE990" s="28" t="s">
        <v>3492</v>
      </c>
      <c r="AF990" s="28" t="s">
        <v>3506</v>
      </c>
      <c r="AG990" s="28" t="s">
        <v>3507</v>
      </c>
      <c r="AH990" s="28" t="s">
        <v>82</v>
      </c>
      <c r="AI990" s="28" t="s">
        <v>2297</v>
      </c>
      <c r="AJ990" s="28" t="s">
        <v>2297</v>
      </c>
      <c r="AK990" s="28" t="s">
        <v>16</v>
      </c>
      <c r="AL990" s="28" t="s">
        <v>2298</v>
      </c>
      <c r="AM990" s="114"/>
    </row>
    <row r="991" spans="21:39">
      <c r="U991" s="18">
        <v>989</v>
      </c>
      <c r="V991" s="18" t="s">
        <v>1985</v>
      </c>
      <c r="W991" s="18">
        <v>30</v>
      </c>
      <c r="X991" s="18" t="s">
        <v>14</v>
      </c>
      <c r="Y991" s="18" t="s">
        <v>642</v>
      </c>
      <c r="Z991" s="18" t="s">
        <v>858</v>
      </c>
      <c r="AA991" s="18">
        <v>1</v>
      </c>
      <c r="AC991" s="28" t="s">
        <v>3491</v>
      </c>
      <c r="AD991" s="28"/>
      <c r="AE991" s="28" t="s">
        <v>3492</v>
      </c>
      <c r="AF991" s="28" t="s">
        <v>3508</v>
      </c>
      <c r="AG991" s="28" t="s">
        <v>3509</v>
      </c>
      <c r="AH991" s="28" t="s">
        <v>18</v>
      </c>
      <c r="AI991" s="28" t="s">
        <v>2343</v>
      </c>
      <c r="AJ991" s="28" t="s">
        <v>2297</v>
      </c>
      <c r="AK991" s="28" t="s">
        <v>84</v>
      </c>
      <c r="AL991" s="28" t="s">
        <v>2298</v>
      </c>
      <c r="AM991" s="114"/>
    </row>
    <row r="992" spans="21:39">
      <c r="U992" s="18">
        <v>990</v>
      </c>
      <c r="V992" s="18" t="s">
        <v>1986</v>
      </c>
      <c r="W992" s="18">
        <v>25</v>
      </c>
      <c r="X992" s="18" t="s">
        <v>14</v>
      </c>
      <c r="Y992" s="18" t="s">
        <v>642</v>
      </c>
      <c r="Z992" s="18" t="s">
        <v>665</v>
      </c>
      <c r="AA992" s="18">
        <v>12</v>
      </c>
      <c r="AC992" s="28" t="s">
        <v>3491</v>
      </c>
      <c r="AD992" s="28"/>
      <c r="AE992" s="28" t="s">
        <v>3492</v>
      </c>
      <c r="AF992" s="28" t="s">
        <v>3510</v>
      </c>
      <c r="AG992" s="28" t="s">
        <v>3511</v>
      </c>
      <c r="AH992" s="28" t="s">
        <v>40</v>
      </c>
      <c r="AI992" s="28" t="s">
        <v>2305</v>
      </c>
      <c r="AJ992" s="28" t="s">
        <v>2305</v>
      </c>
      <c r="AK992" s="28" t="s">
        <v>62</v>
      </c>
      <c r="AL992" s="28" t="s">
        <v>2298</v>
      </c>
      <c r="AM992" s="114"/>
    </row>
    <row r="993" spans="21:39">
      <c r="U993" s="18">
        <v>991</v>
      </c>
      <c r="V993" s="18" t="s">
        <v>1987</v>
      </c>
      <c r="W993" s="18">
        <v>29</v>
      </c>
      <c r="X993" s="18" t="s">
        <v>14</v>
      </c>
      <c r="Y993" s="18" t="s">
        <v>642</v>
      </c>
      <c r="Z993" s="18" t="s">
        <v>841</v>
      </c>
      <c r="AA993" s="18">
        <v>13</v>
      </c>
      <c r="AC993" s="28" t="s">
        <v>3491</v>
      </c>
      <c r="AD993" s="28"/>
      <c r="AE993" s="28" t="s">
        <v>3492</v>
      </c>
      <c r="AF993" s="28" t="s">
        <v>3512</v>
      </c>
      <c r="AG993" s="28" t="s">
        <v>3513</v>
      </c>
      <c r="AH993" s="28" t="s">
        <v>72</v>
      </c>
      <c r="AI993" s="28" t="s">
        <v>2297</v>
      </c>
      <c r="AJ993" s="28" t="s">
        <v>2302</v>
      </c>
      <c r="AK993" s="28" t="s">
        <v>67</v>
      </c>
      <c r="AL993" s="28" t="s">
        <v>2298</v>
      </c>
      <c r="AM993" s="114"/>
    </row>
    <row r="994" spans="21:39">
      <c r="U994" s="18">
        <v>992</v>
      </c>
      <c r="V994" s="18" t="s">
        <v>1988</v>
      </c>
      <c r="W994" s="18">
        <v>25</v>
      </c>
      <c r="X994" s="18" t="s">
        <v>14</v>
      </c>
      <c r="Y994" s="18" t="s">
        <v>649</v>
      </c>
      <c r="Z994" s="18" t="s">
        <v>1989</v>
      </c>
      <c r="AA994" s="18">
        <v>2</v>
      </c>
      <c r="AC994" s="28" t="s">
        <v>3491</v>
      </c>
      <c r="AD994" s="28"/>
      <c r="AE994" s="28" t="s">
        <v>3492</v>
      </c>
      <c r="AF994" s="28" t="s">
        <v>3514</v>
      </c>
      <c r="AG994" s="28" t="s">
        <v>1779</v>
      </c>
      <c r="AH994" s="28" t="s">
        <v>17</v>
      </c>
      <c r="AI994" s="28" t="s">
        <v>2338</v>
      </c>
      <c r="AJ994" s="28" t="s">
        <v>2297</v>
      </c>
      <c r="AK994" s="28" t="s">
        <v>42</v>
      </c>
      <c r="AL994" s="28" t="s">
        <v>2298</v>
      </c>
      <c r="AM994" s="114"/>
    </row>
    <row r="995" spans="21:39">
      <c r="U995" s="18">
        <v>993</v>
      </c>
      <c r="V995" s="18" t="s">
        <v>1990</v>
      </c>
      <c r="W995" s="18">
        <v>27</v>
      </c>
      <c r="X995" s="18" t="s">
        <v>14</v>
      </c>
      <c r="Y995" s="18" t="s">
        <v>649</v>
      </c>
      <c r="Z995" s="18" t="s">
        <v>1458</v>
      </c>
      <c r="AA995" s="18">
        <v>3</v>
      </c>
      <c r="AC995" s="28" t="s">
        <v>3491</v>
      </c>
      <c r="AD995" s="28"/>
      <c r="AE995" s="28" t="s">
        <v>3492</v>
      </c>
      <c r="AF995" s="28" t="s">
        <v>3515</v>
      </c>
      <c r="AG995" s="28" t="s">
        <v>3516</v>
      </c>
      <c r="AH995" s="28" t="s">
        <v>19</v>
      </c>
      <c r="AI995" s="28" t="s">
        <v>2302</v>
      </c>
      <c r="AJ995" s="28" t="s">
        <v>2302</v>
      </c>
      <c r="AK995" s="28" t="s">
        <v>85</v>
      </c>
      <c r="AL995" s="28" t="s">
        <v>2298</v>
      </c>
      <c r="AM995" s="114"/>
    </row>
    <row r="996" spans="21:39">
      <c r="U996" s="18">
        <v>994</v>
      </c>
      <c r="V996" s="18" t="s">
        <v>1991</v>
      </c>
      <c r="W996" s="18">
        <v>29</v>
      </c>
      <c r="X996" s="18" t="s">
        <v>14</v>
      </c>
      <c r="Y996" s="18" t="s">
        <v>649</v>
      </c>
      <c r="Z996" s="18" t="s">
        <v>964</v>
      </c>
      <c r="AA996" s="18">
        <v>15</v>
      </c>
      <c r="AC996" s="28" t="s">
        <v>3491</v>
      </c>
      <c r="AD996" s="28"/>
      <c r="AE996" s="28" t="s">
        <v>3492</v>
      </c>
      <c r="AF996" s="28" t="s">
        <v>3517</v>
      </c>
      <c r="AG996" s="28" t="s">
        <v>3518</v>
      </c>
      <c r="AH996" s="28" t="s">
        <v>33</v>
      </c>
      <c r="AI996" s="28" t="s">
        <v>2297</v>
      </c>
      <c r="AJ996" s="28" t="s">
        <v>2297</v>
      </c>
      <c r="AK996" s="28" t="s">
        <v>79</v>
      </c>
      <c r="AL996" s="28" t="s">
        <v>2298</v>
      </c>
      <c r="AM996" s="114"/>
    </row>
    <row r="997" spans="21:39">
      <c r="U997" s="18">
        <v>995</v>
      </c>
      <c r="V997" s="18" t="s">
        <v>1992</v>
      </c>
      <c r="W997" s="18">
        <v>28</v>
      </c>
      <c r="X997" s="18" t="s">
        <v>14</v>
      </c>
      <c r="Y997" s="18" t="s">
        <v>649</v>
      </c>
      <c r="Z997" s="18" t="s">
        <v>1433</v>
      </c>
      <c r="AA997" s="18">
        <v>23</v>
      </c>
      <c r="AC997" s="28" t="s">
        <v>3491</v>
      </c>
      <c r="AD997" s="28"/>
      <c r="AE997" s="28" t="s">
        <v>3492</v>
      </c>
      <c r="AF997" s="28" t="s">
        <v>3519</v>
      </c>
      <c r="AG997" s="28" t="s">
        <v>3520</v>
      </c>
      <c r="AH997" s="28" t="s">
        <v>56</v>
      </c>
      <c r="AI997" s="28" t="s">
        <v>2297</v>
      </c>
      <c r="AJ997" s="28" t="s">
        <v>2297</v>
      </c>
      <c r="AK997" s="28" t="s">
        <v>11</v>
      </c>
      <c r="AL997" s="28" t="s">
        <v>2298</v>
      </c>
      <c r="AM997" s="114"/>
    </row>
    <row r="998" spans="21:39">
      <c r="U998" s="18">
        <v>996</v>
      </c>
      <c r="V998" s="18" t="s">
        <v>1993</v>
      </c>
      <c r="W998" s="18">
        <v>27</v>
      </c>
      <c r="X998" s="18" t="s">
        <v>14</v>
      </c>
      <c r="Y998" s="18" t="s">
        <v>649</v>
      </c>
      <c r="Z998" s="18" t="s">
        <v>1353</v>
      </c>
      <c r="AA998" s="18">
        <v>25</v>
      </c>
      <c r="AC998" s="28" t="s">
        <v>3491</v>
      </c>
      <c r="AD998" s="28"/>
      <c r="AE998" s="28" t="s">
        <v>3492</v>
      </c>
      <c r="AF998" s="28" t="s">
        <v>3498</v>
      </c>
      <c r="AG998" s="28" t="s">
        <v>3499</v>
      </c>
      <c r="AH998" s="28" t="s">
        <v>71</v>
      </c>
      <c r="AI998" s="28" t="s">
        <v>2305</v>
      </c>
      <c r="AJ998" s="28" t="s">
        <v>2305</v>
      </c>
      <c r="AK998" s="28" t="s">
        <v>76</v>
      </c>
      <c r="AL998" s="28" t="s">
        <v>2298</v>
      </c>
      <c r="AM998" s="114"/>
    </row>
    <row r="999" spans="21:39">
      <c r="U999" s="18">
        <v>997</v>
      </c>
      <c r="V999" s="18" t="s">
        <v>1994</v>
      </c>
      <c r="W999" s="18">
        <v>33</v>
      </c>
      <c r="X999" s="18" t="s">
        <v>14</v>
      </c>
      <c r="Y999" s="18" t="s">
        <v>657</v>
      </c>
      <c r="Z999" s="18" t="s">
        <v>584</v>
      </c>
      <c r="AA999" s="18">
        <v>8</v>
      </c>
      <c r="AC999" s="28" t="s">
        <v>3491</v>
      </c>
      <c r="AD999" s="28"/>
      <c r="AE999" s="28" t="s">
        <v>3492</v>
      </c>
      <c r="AF999" s="28" t="s">
        <v>3504</v>
      </c>
      <c r="AG999" s="28" t="s">
        <v>3505</v>
      </c>
      <c r="AH999" s="28" t="s">
        <v>5</v>
      </c>
      <c r="AI999" s="28" t="s">
        <v>2301</v>
      </c>
      <c r="AJ999" s="28" t="s">
        <v>2297</v>
      </c>
      <c r="AK999" s="28" t="s">
        <v>65</v>
      </c>
      <c r="AL999" s="28" t="s">
        <v>2298</v>
      </c>
      <c r="AM999" s="114"/>
    </row>
    <row r="1000" spans="21:39">
      <c r="U1000" s="18">
        <v>998</v>
      </c>
      <c r="V1000" s="18" t="s">
        <v>1995</v>
      </c>
      <c r="W1000" s="18">
        <v>32</v>
      </c>
      <c r="X1000" s="18" t="s">
        <v>14</v>
      </c>
      <c r="Y1000" s="18" t="s">
        <v>657</v>
      </c>
      <c r="Z1000" s="18" t="s">
        <v>803</v>
      </c>
      <c r="AA1000" s="18">
        <v>16</v>
      </c>
      <c r="AC1000" s="28" t="s">
        <v>3491</v>
      </c>
      <c r="AD1000" s="28"/>
      <c r="AE1000" s="28" t="s">
        <v>3492</v>
      </c>
      <c r="AF1000" s="28" t="s">
        <v>3500</v>
      </c>
      <c r="AG1000" s="28" t="s">
        <v>3501</v>
      </c>
      <c r="AH1000" s="28" t="s">
        <v>48</v>
      </c>
      <c r="AI1000" s="28" t="s">
        <v>2297</v>
      </c>
      <c r="AJ1000" s="28" t="s">
        <v>2296</v>
      </c>
      <c r="AK1000" s="28" t="s">
        <v>54</v>
      </c>
      <c r="AL1000" s="28" t="s">
        <v>2298</v>
      </c>
      <c r="AM1000" s="114"/>
    </row>
    <row r="1001" spans="21:39">
      <c r="U1001" s="18">
        <v>999</v>
      </c>
      <c r="V1001" s="18" t="s">
        <v>1996</v>
      </c>
      <c r="W1001" s="18">
        <v>29</v>
      </c>
      <c r="X1001" s="18" t="s">
        <v>14</v>
      </c>
      <c r="Y1001" s="18" t="s">
        <v>661</v>
      </c>
      <c r="Z1001" s="18" t="s">
        <v>803</v>
      </c>
      <c r="AA1001" s="18">
        <v>5</v>
      </c>
      <c r="AC1001" s="28" t="s">
        <v>3491</v>
      </c>
      <c r="AD1001" s="28"/>
      <c r="AE1001" s="28" t="s">
        <v>3492</v>
      </c>
      <c r="AF1001" s="28" t="s">
        <v>3521</v>
      </c>
      <c r="AG1001" s="28" t="s">
        <v>3522</v>
      </c>
      <c r="AH1001" s="28" t="s">
        <v>9</v>
      </c>
      <c r="AI1001" s="28" t="s">
        <v>2301</v>
      </c>
      <c r="AJ1001" s="28" t="s">
        <v>2302</v>
      </c>
      <c r="AK1001" s="28" t="s">
        <v>43</v>
      </c>
      <c r="AL1001" s="28" t="s">
        <v>2298</v>
      </c>
      <c r="AM1001" s="114"/>
    </row>
    <row r="1002" spans="21:39">
      <c r="U1002" s="18">
        <v>1000</v>
      </c>
      <c r="V1002" s="18" t="s">
        <v>1997</v>
      </c>
      <c r="W1002" s="18">
        <v>28</v>
      </c>
      <c r="X1002" s="18" t="s">
        <v>14</v>
      </c>
      <c r="Y1002" s="18" t="s">
        <v>664</v>
      </c>
      <c r="Z1002" s="18" t="s">
        <v>1369</v>
      </c>
      <c r="AA1002" s="18">
        <v>4</v>
      </c>
      <c r="AC1002" s="28" t="s">
        <v>3491</v>
      </c>
      <c r="AD1002" s="28"/>
      <c r="AE1002" s="28" t="s">
        <v>3492</v>
      </c>
      <c r="AF1002" s="28" t="s">
        <v>3506</v>
      </c>
      <c r="AG1002" s="28" t="s">
        <v>3507</v>
      </c>
      <c r="AH1002" s="28" t="s">
        <v>14</v>
      </c>
      <c r="AI1002" s="28" t="s">
        <v>2301</v>
      </c>
      <c r="AJ1002" s="28" t="s">
        <v>2297</v>
      </c>
      <c r="AK1002" s="28" t="s">
        <v>529</v>
      </c>
      <c r="AL1002" s="28" t="s">
        <v>2298</v>
      </c>
      <c r="AM1002" s="114"/>
    </row>
    <row r="1003" spans="21:39">
      <c r="U1003" s="18">
        <v>1001</v>
      </c>
      <c r="V1003" s="18" t="s">
        <v>1998</v>
      </c>
      <c r="W1003" s="18">
        <v>25</v>
      </c>
      <c r="X1003" s="18" t="s">
        <v>14</v>
      </c>
      <c r="Y1003" s="18" t="s">
        <v>664</v>
      </c>
      <c r="Z1003" s="18" t="s">
        <v>1369</v>
      </c>
      <c r="AA1003" s="18">
        <v>6</v>
      </c>
      <c r="AC1003" s="28" t="s">
        <v>3491</v>
      </c>
      <c r="AD1003" s="28"/>
      <c r="AE1003" s="28" t="s">
        <v>3492</v>
      </c>
      <c r="AF1003" s="28" t="s">
        <v>3508</v>
      </c>
      <c r="AG1003" s="28" t="s">
        <v>3509</v>
      </c>
      <c r="AH1003" s="28" t="s">
        <v>30</v>
      </c>
      <c r="AI1003" s="28" t="s">
        <v>2297</v>
      </c>
      <c r="AJ1003" s="28" t="s">
        <v>2297</v>
      </c>
      <c r="AK1003" s="28" t="s">
        <v>3523</v>
      </c>
      <c r="AL1003" s="28" t="s">
        <v>2298</v>
      </c>
      <c r="AM1003" s="114"/>
    </row>
    <row r="1004" spans="21:39">
      <c r="U1004" s="18">
        <v>1002</v>
      </c>
      <c r="V1004" s="18" t="s">
        <v>1999</v>
      </c>
      <c r="W1004" s="18">
        <v>30</v>
      </c>
      <c r="X1004" s="18" t="s">
        <v>14</v>
      </c>
      <c r="Y1004" s="18" t="s">
        <v>664</v>
      </c>
      <c r="Z1004" s="18" t="s">
        <v>647</v>
      </c>
      <c r="AA1004" s="18">
        <v>10</v>
      </c>
      <c r="AC1004" s="28" t="s">
        <v>3491</v>
      </c>
      <c r="AD1004" s="28"/>
      <c r="AE1004" s="28" t="s">
        <v>3492</v>
      </c>
      <c r="AF1004" s="28" t="s">
        <v>3510</v>
      </c>
      <c r="AG1004" s="28" t="s">
        <v>3511</v>
      </c>
      <c r="AH1004" s="28" t="s">
        <v>23</v>
      </c>
      <c r="AI1004" s="28" t="s">
        <v>2296</v>
      </c>
      <c r="AJ1004" s="28" t="s">
        <v>2305</v>
      </c>
      <c r="AK1004" s="28" t="s">
        <v>63</v>
      </c>
      <c r="AL1004" s="28" t="s">
        <v>2298</v>
      </c>
      <c r="AM1004" s="114"/>
    </row>
    <row r="1005" spans="21:39">
      <c r="U1005" s="18">
        <v>1003</v>
      </c>
      <c r="V1005" s="18" t="s">
        <v>2000</v>
      </c>
      <c r="W1005" s="18">
        <v>32</v>
      </c>
      <c r="X1005" s="18" t="s">
        <v>14</v>
      </c>
      <c r="Y1005" s="18" t="s">
        <v>669</v>
      </c>
      <c r="Z1005" s="18" t="s">
        <v>944</v>
      </c>
      <c r="AA1005" s="18">
        <v>9</v>
      </c>
      <c r="AC1005" s="28" t="s">
        <v>3491</v>
      </c>
      <c r="AD1005" s="28"/>
      <c r="AE1005" s="28" t="s">
        <v>3492</v>
      </c>
      <c r="AF1005" s="28" t="s">
        <v>3496</v>
      </c>
      <c r="AG1005" s="28" t="s">
        <v>3497</v>
      </c>
      <c r="AH1005" s="28" t="s">
        <v>73</v>
      </c>
      <c r="AI1005" s="28" t="s">
        <v>2297</v>
      </c>
      <c r="AJ1005" s="28" t="s">
        <v>2302</v>
      </c>
      <c r="AK1005" s="28" t="s">
        <v>81</v>
      </c>
      <c r="AL1005" s="28" t="s">
        <v>2298</v>
      </c>
      <c r="AM1005" s="114"/>
    </row>
    <row r="1006" spans="21:39">
      <c r="U1006" s="18">
        <v>1004</v>
      </c>
      <c r="V1006" s="18" t="s">
        <v>2001</v>
      </c>
      <c r="W1006" s="18">
        <v>29</v>
      </c>
      <c r="X1006" s="18" t="s">
        <v>14</v>
      </c>
      <c r="Y1006" s="18" t="s">
        <v>669</v>
      </c>
      <c r="Z1006" s="18" t="s">
        <v>781</v>
      </c>
      <c r="AA1006" s="18">
        <v>20</v>
      </c>
      <c r="AC1006" s="28" t="s">
        <v>3491</v>
      </c>
      <c r="AD1006" s="28"/>
      <c r="AE1006" s="28" t="s">
        <v>3492</v>
      </c>
      <c r="AF1006" s="28" t="s">
        <v>3493</v>
      </c>
      <c r="AG1006" s="28" t="s">
        <v>3494</v>
      </c>
      <c r="AH1006" s="28" t="s">
        <v>83</v>
      </c>
      <c r="AI1006" s="28" t="s">
        <v>2297</v>
      </c>
      <c r="AJ1006" s="28" t="s">
        <v>2301</v>
      </c>
      <c r="AK1006" s="28" t="s">
        <v>53</v>
      </c>
      <c r="AL1006" s="28" t="s">
        <v>2298</v>
      </c>
      <c r="AM1006" s="114"/>
    </row>
    <row r="1007" spans="21:39">
      <c r="U1007" s="18">
        <v>1005</v>
      </c>
      <c r="V1007" s="18" t="s">
        <v>2002</v>
      </c>
      <c r="W1007" s="18">
        <v>25</v>
      </c>
      <c r="X1007" s="18" t="s">
        <v>14</v>
      </c>
      <c r="Y1007" s="18" t="s">
        <v>669</v>
      </c>
      <c r="Z1007" s="18" t="s">
        <v>652</v>
      </c>
      <c r="AA1007" s="18">
        <v>22</v>
      </c>
      <c r="AC1007" s="28" t="s">
        <v>3491</v>
      </c>
      <c r="AD1007" s="28"/>
      <c r="AE1007" s="28" t="s">
        <v>3492</v>
      </c>
      <c r="AF1007" s="28" t="s">
        <v>3515</v>
      </c>
      <c r="AG1007" s="28" t="s">
        <v>3516</v>
      </c>
      <c r="AH1007" s="28" t="s">
        <v>3589</v>
      </c>
      <c r="AI1007" s="28" t="s">
        <v>2297</v>
      </c>
      <c r="AJ1007" s="28" t="s">
        <v>2297</v>
      </c>
      <c r="AK1007" s="28" t="s">
        <v>61</v>
      </c>
      <c r="AL1007" s="28" t="s">
        <v>2298</v>
      </c>
      <c r="AM1007" s="114"/>
    </row>
    <row r="1008" spans="21:39">
      <c r="U1008" s="18">
        <v>1006</v>
      </c>
      <c r="V1008" s="18" t="s">
        <v>2003</v>
      </c>
      <c r="W1008" s="18">
        <v>32</v>
      </c>
      <c r="X1008" s="18" t="s">
        <v>14</v>
      </c>
      <c r="Y1008" s="18" t="s">
        <v>669</v>
      </c>
      <c r="Z1008" s="18" t="s">
        <v>2004</v>
      </c>
      <c r="AA1008" s="18">
        <v>26</v>
      </c>
      <c r="AC1008" s="28" t="s">
        <v>3491</v>
      </c>
      <c r="AD1008" s="28"/>
      <c r="AE1008" s="28" t="s">
        <v>3492</v>
      </c>
      <c r="AF1008" s="28" t="s">
        <v>3498</v>
      </c>
      <c r="AG1008" s="28" t="s">
        <v>3499</v>
      </c>
      <c r="AH1008" s="28" t="s">
        <v>16</v>
      </c>
      <c r="AI1008" s="28" t="s">
        <v>2296</v>
      </c>
      <c r="AJ1008" s="28" t="s">
        <v>2297</v>
      </c>
      <c r="AK1008" s="28" t="s">
        <v>78</v>
      </c>
      <c r="AL1008" s="28" t="s">
        <v>2298</v>
      </c>
      <c r="AM1008" s="114"/>
    </row>
    <row r="1009" spans="21:39">
      <c r="U1009" s="18">
        <v>1007</v>
      </c>
      <c r="V1009" s="18" t="s">
        <v>2005</v>
      </c>
      <c r="W1009" s="18">
        <v>22</v>
      </c>
      <c r="X1009" s="18" t="s">
        <v>14</v>
      </c>
      <c r="Y1009" s="18" t="s">
        <v>675</v>
      </c>
      <c r="Z1009" s="18" t="s">
        <v>944</v>
      </c>
      <c r="AA1009" s="18">
        <v>17</v>
      </c>
      <c r="AC1009" s="28" t="s">
        <v>3491</v>
      </c>
      <c r="AD1009" s="28"/>
      <c r="AE1009" s="28" t="s">
        <v>3492</v>
      </c>
      <c r="AF1009" s="28" t="s">
        <v>3502</v>
      </c>
      <c r="AG1009" s="28" t="s">
        <v>3503</v>
      </c>
      <c r="AH1009" s="28" t="s">
        <v>45</v>
      </c>
      <c r="AI1009" s="28" t="s">
        <v>2316</v>
      </c>
      <c r="AJ1009" s="28" t="s">
        <v>2302</v>
      </c>
      <c r="AK1009" s="28" t="s">
        <v>82</v>
      </c>
      <c r="AL1009" s="28" t="s">
        <v>2298</v>
      </c>
      <c r="AM1009" s="114"/>
    </row>
    <row r="1010" spans="21:39">
      <c r="U1010" s="18">
        <v>1008</v>
      </c>
      <c r="V1010" s="18" t="s">
        <v>2006</v>
      </c>
      <c r="W1010" s="18">
        <v>26</v>
      </c>
      <c r="X1010" s="18" t="s">
        <v>14</v>
      </c>
      <c r="Y1010" s="18" t="s">
        <v>675</v>
      </c>
      <c r="Z1010" s="18" t="s">
        <v>1433</v>
      </c>
      <c r="AA1010" s="18">
        <v>18</v>
      </c>
      <c r="AC1010" s="28" t="s">
        <v>3491</v>
      </c>
      <c r="AD1010" s="28"/>
      <c r="AE1010" s="28" t="s">
        <v>3492</v>
      </c>
      <c r="AF1010" s="28" t="s">
        <v>3495</v>
      </c>
      <c r="AG1010" s="28" t="s">
        <v>689</v>
      </c>
      <c r="AH1010" s="28" t="s">
        <v>28</v>
      </c>
      <c r="AI1010" s="28" t="s">
        <v>2297</v>
      </c>
      <c r="AJ1010" s="28" t="s">
        <v>2302</v>
      </c>
      <c r="AK1010" s="28" t="s">
        <v>47</v>
      </c>
      <c r="AL1010" s="28" t="s">
        <v>2298</v>
      </c>
      <c r="AM1010" s="114"/>
    </row>
    <row r="1011" spans="21:39">
      <c r="U1011" s="18">
        <v>1009</v>
      </c>
      <c r="V1011" s="18" t="s">
        <v>2007</v>
      </c>
      <c r="W1011" s="18">
        <v>28</v>
      </c>
      <c r="X1011" s="18" t="s">
        <v>14</v>
      </c>
      <c r="Y1011" s="18" t="s">
        <v>675</v>
      </c>
      <c r="Z1011" s="18" t="s">
        <v>832</v>
      </c>
      <c r="AA1011" s="18">
        <v>19</v>
      </c>
      <c r="AC1011" s="28" t="s">
        <v>3491</v>
      </c>
      <c r="AD1011" s="28"/>
      <c r="AE1011" s="28" t="s">
        <v>3492</v>
      </c>
      <c r="AF1011" s="28" t="s">
        <v>3517</v>
      </c>
      <c r="AG1011" s="28" t="s">
        <v>3518</v>
      </c>
      <c r="AH1011" s="28" t="s">
        <v>6</v>
      </c>
      <c r="AI1011" s="28" t="s">
        <v>2297</v>
      </c>
      <c r="AJ1011" s="28" t="s">
        <v>2302</v>
      </c>
      <c r="AK1011" s="28" t="s">
        <v>38</v>
      </c>
      <c r="AL1011" s="28" t="s">
        <v>2298</v>
      </c>
      <c r="AM1011" s="114"/>
    </row>
    <row r="1012" spans="21:39">
      <c r="U1012" s="18">
        <v>1010</v>
      </c>
      <c r="V1012" s="18" t="s">
        <v>2008</v>
      </c>
      <c r="W1012" s="18">
        <v>20</v>
      </c>
      <c r="X1012" s="18" t="s">
        <v>14</v>
      </c>
      <c r="Y1012" s="18" t="s">
        <v>675</v>
      </c>
      <c r="Z1012" s="18" t="s">
        <v>643</v>
      </c>
      <c r="AA1012" s="18">
        <v>24</v>
      </c>
      <c r="AC1012" s="28" t="s">
        <v>3491</v>
      </c>
      <c r="AD1012" s="28"/>
      <c r="AE1012" s="28" t="s">
        <v>3492</v>
      </c>
      <c r="AF1012" s="28" t="s">
        <v>3500</v>
      </c>
      <c r="AG1012" s="28" t="s">
        <v>3501</v>
      </c>
      <c r="AH1012" s="28" t="s">
        <v>39</v>
      </c>
      <c r="AI1012" s="28" t="s">
        <v>2302</v>
      </c>
      <c r="AJ1012" s="28" t="s">
        <v>2297</v>
      </c>
      <c r="AK1012" s="28" t="s">
        <v>46</v>
      </c>
      <c r="AL1012" s="28" t="s">
        <v>2298</v>
      </c>
      <c r="AM1012" s="114"/>
    </row>
    <row r="1013" spans="21:39">
      <c r="U1013" s="18">
        <v>1011</v>
      </c>
      <c r="V1013" s="18" t="s">
        <v>2009</v>
      </c>
      <c r="W1013" s="18">
        <v>25</v>
      </c>
      <c r="X1013" s="18" t="s">
        <v>14</v>
      </c>
      <c r="Y1013" s="18" t="s">
        <v>679</v>
      </c>
      <c r="Z1013" s="18" t="s">
        <v>1450</v>
      </c>
      <c r="AA1013" s="18">
        <v>21</v>
      </c>
      <c r="AC1013" s="28" t="s">
        <v>3491</v>
      </c>
      <c r="AD1013" s="28"/>
      <c r="AE1013" s="28" t="s">
        <v>3492</v>
      </c>
      <c r="AF1013" s="28" t="s">
        <v>3512</v>
      </c>
      <c r="AG1013" s="28" t="s">
        <v>3513</v>
      </c>
      <c r="AH1013" s="28" t="s">
        <v>12</v>
      </c>
      <c r="AI1013" s="28" t="s">
        <v>2301</v>
      </c>
      <c r="AJ1013" s="28" t="s">
        <v>2302</v>
      </c>
      <c r="AK1013" s="28" t="s">
        <v>41</v>
      </c>
      <c r="AL1013" s="28" t="s">
        <v>2298</v>
      </c>
      <c r="AM1013" s="114"/>
    </row>
    <row r="1014" spans="21:39">
      <c r="U1014" s="18">
        <v>1012</v>
      </c>
      <c r="V1014" s="18" t="s">
        <v>2010</v>
      </c>
      <c r="W1014" s="18">
        <v>37</v>
      </c>
      <c r="X1014" s="18" t="s">
        <v>14</v>
      </c>
      <c r="Y1014" s="18" t="s">
        <v>683</v>
      </c>
      <c r="Z1014" s="18" t="s">
        <v>792</v>
      </c>
      <c r="AA1014" s="18">
        <v>7</v>
      </c>
      <c r="AC1014" s="28" t="s">
        <v>3491</v>
      </c>
      <c r="AD1014" s="28"/>
      <c r="AE1014" s="28" t="s">
        <v>3492</v>
      </c>
      <c r="AF1014" s="28" t="s">
        <v>3524</v>
      </c>
      <c r="AG1014" s="28" t="s">
        <v>3525</v>
      </c>
      <c r="AH1014" s="28" t="s">
        <v>3590</v>
      </c>
      <c r="AI1014" s="28" t="s">
        <v>2302</v>
      </c>
      <c r="AJ1014" s="28" t="s">
        <v>2297</v>
      </c>
      <c r="AK1014" s="28" t="s">
        <v>13</v>
      </c>
      <c r="AL1014" s="28" t="s">
        <v>2298</v>
      </c>
      <c r="AM1014" s="114"/>
    </row>
    <row r="1015" spans="21:39">
      <c r="U1015" s="18">
        <v>1013</v>
      </c>
      <c r="V1015" s="18" t="s">
        <v>2011</v>
      </c>
      <c r="W1015" s="18">
        <v>32</v>
      </c>
      <c r="X1015" s="18" t="s">
        <v>14</v>
      </c>
      <c r="Y1015" s="18" t="s">
        <v>683</v>
      </c>
      <c r="Z1015" s="18" t="s">
        <v>971</v>
      </c>
      <c r="AA1015" s="18">
        <v>11</v>
      </c>
      <c r="AC1015" s="28" t="s">
        <v>3491</v>
      </c>
      <c r="AD1015" s="28"/>
      <c r="AE1015" s="28" t="s">
        <v>3492</v>
      </c>
      <c r="AF1015" s="28" t="s">
        <v>3508</v>
      </c>
      <c r="AG1015" s="28" t="s">
        <v>3509</v>
      </c>
      <c r="AH1015" s="28" t="s">
        <v>40</v>
      </c>
      <c r="AI1015" s="28" t="s">
        <v>2338</v>
      </c>
      <c r="AJ1015" s="28" t="s">
        <v>2297</v>
      </c>
      <c r="AK1015" s="28" t="s">
        <v>17</v>
      </c>
      <c r="AL1015" s="28" t="s">
        <v>2298</v>
      </c>
      <c r="AM1015" s="114"/>
    </row>
    <row r="1016" spans="21:39">
      <c r="U1016" s="18">
        <v>1014</v>
      </c>
      <c r="V1016" s="18" t="s">
        <v>2012</v>
      </c>
      <c r="W1016" s="18">
        <v>28</v>
      </c>
      <c r="X1016" s="18" t="s">
        <v>14</v>
      </c>
      <c r="Y1016" s="18" t="s">
        <v>683</v>
      </c>
      <c r="Z1016" s="18" t="s">
        <v>2013</v>
      </c>
      <c r="AA1016" s="18">
        <v>14</v>
      </c>
      <c r="AC1016" s="28" t="s">
        <v>3491</v>
      </c>
      <c r="AD1016" s="28"/>
      <c r="AE1016" s="28" t="s">
        <v>3492</v>
      </c>
      <c r="AF1016" s="28" t="s">
        <v>3496</v>
      </c>
      <c r="AG1016" s="28" t="s">
        <v>3497</v>
      </c>
      <c r="AH1016" s="28" t="s">
        <v>18</v>
      </c>
      <c r="AI1016" s="28" t="s">
        <v>2305</v>
      </c>
      <c r="AJ1016" s="28" t="s">
        <v>2297</v>
      </c>
      <c r="AK1016" s="28" t="s">
        <v>3591</v>
      </c>
      <c r="AL1016" s="28" t="s">
        <v>2298</v>
      </c>
      <c r="AM1016" s="114"/>
    </row>
    <row r="1017" spans="21:39">
      <c r="U1017" s="18">
        <v>1015</v>
      </c>
      <c r="V1017" s="18" t="s">
        <v>2014</v>
      </c>
      <c r="W1017" s="18">
        <v>33</v>
      </c>
      <c r="X1017" s="18" t="s">
        <v>529</v>
      </c>
      <c r="Y1017" s="18" t="s">
        <v>642</v>
      </c>
      <c r="Z1017" s="18" t="s">
        <v>2015</v>
      </c>
      <c r="AA1017" s="18">
        <v>1</v>
      </c>
      <c r="AC1017" s="28" t="s">
        <v>3491</v>
      </c>
      <c r="AD1017" s="28"/>
      <c r="AE1017" s="28" t="s">
        <v>3492</v>
      </c>
      <c r="AF1017" s="28" t="s">
        <v>3521</v>
      </c>
      <c r="AG1017" s="28" t="s">
        <v>3522</v>
      </c>
      <c r="AH1017" s="28" t="s">
        <v>67</v>
      </c>
      <c r="AI1017" s="28" t="s">
        <v>2302</v>
      </c>
      <c r="AJ1017" s="28" t="s">
        <v>2302</v>
      </c>
      <c r="AK1017" s="28" t="s">
        <v>84</v>
      </c>
      <c r="AL1017" s="28" t="s">
        <v>2298</v>
      </c>
      <c r="AM1017" s="114"/>
    </row>
    <row r="1018" spans="21:39">
      <c r="U1018" s="18">
        <v>1016</v>
      </c>
      <c r="V1018" s="18" t="s">
        <v>2016</v>
      </c>
      <c r="W1018" s="18">
        <v>33</v>
      </c>
      <c r="X1018" s="18" t="s">
        <v>529</v>
      </c>
      <c r="Y1018" s="18" t="s">
        <v>642</v>
      </c>
      <c r="Z1018" s="18" t="s">
        <v>2017</v>
      </c>
      <c r="AA1018" s="18">
        <v>12</v>
      </c>
      <c r="AC1018" s="28" t="s">
        <v>3491</v>
      </c>
      <c r="AD1018" s="28"/>
      <c r="AE1018" s="28" t="s">
        <v>3492</v>
      </c>
      <c r="AF1018" s="28" t="s">
        <v>3495</v>
      </c>
      <c r="AG1018" s="28" t="s">
        <v>689</v>
      </c>
      <c r="AH1018" s="28" t="s">
        <v>42</v>
      </c>
      <c r="AI1018" s="28" t="s">
        <v>2302</v>
      </c>
      <c r="AJ1018" s="28" t="s">
        <v>2296</v>
      </c>
      <c r="AK1018" s="28" t="s">
        <v>62</v>
      </c>
      <c r="AL1018" s="28" t="s">
        <v>2298</v>
      </c>
      <c r="AM1018" s="114"/>
    </row>
    <row r="1019" spans="21:39">
      <c r="U1019" s="18">
        <v>1017</v>
      </c>
      <c r="V1019" s="18" t="s">
        <v>2018</v>
      </c>
      <c r="W1019" s="18">
        <v>26</v>
      </c>
      <c r="X1019" s="18" t="s">
        <v>529</v>
      </c>
      <c r="Y1019" s="18" t="s">
        <v>642</v>
      </c>
      <c r="Z1019" s="18" t="s">
        <v>2019</v>
      </c>
      <c r="AA1019" s="18">
        <v>22</v>
      </c>
      <c r="AC1019" s="28" t="s">
        <v>3491</v>
      </c>
      <c r="AD1019" s="28"/>
      <c r="AE1019" s="28" t="s">
        <v>3492</v>
      </c>
      <c r="AF1019" s="28" t="s">
        <v>3515</v>
      </c>
      <c r="AG1019" s="28" t="s">
        <v>3516</v>
      </c>
      <c r="AH1019" s="28" t="s">
        <v>19</v>
      </c>
      <c r="AI1019" s="28" t="s">
        <v>2296</v>
      </c>
      <c r="AJ1019" s="28" t="s">
        <v>2302</v>
      </c>
      <c r="AK1019" s="28" t="s">
        <v>56</v>
      </c>
      <c r="AL1019" s="28" t="s">
        <v>2298</v>
      </c>
      <c r="AM1019" s="114"/>
    </row>
    <row r="1020" spans="21:39">
      <c r="U1020" s="18">
        <v>1018</v>
      </c>
      <c r="V1020" s="18" t="s">
        <v>2020</v>
      </c>
      <c r="W1020" s="18">
        <v>32</v>
      </c>
      <c r="X1020" s="18" t="s">
        <v>529</v>
      </c>
      <c r="Y1020" s="18" t="s">
        <v>649</v>
      </c>
      <c r="Z1020" s="18" t="s">
        <v>1833</v>
      </c>
      <c r="AA1020" s="18">
        <v>3</v>
      </c>
      <c r="AC1020" s="28" t="s">
        <v>3491</v>
      </c>
      <c r="AD1020" s="28"/>
      <c r="AE1020" s="28" t="s">
        <v>3492</v>
      </c>
      <c r="AF1020" s="28" t="s">
        <v>3498</v>
      </c>
      <c r="AG1020" s="28" t="s">
        <v>3499</v>
      </c>
      <c r="AH1020" s="28" t="s">
        <v>33</v>
      </c>
      <c r="AI1020" s="28" t="s">
        <v>2302</v>
      </c>
      <c r="AJ1020" s="28" t="s">
        <v>2302</v>
      </c>
      <c r="AK1020" s="28" t="s">
        <v>71</v>
      </c>
      <c r="AL1020" s="28" t="s">
        <v>2298</v>
      </c>
      <c r="AM1020" s="114"/>
    </row>
    <row r="1021" spans="21:39">
      <c r="U1021" s="18">
        <v>1019</v>
      </c>
      <c r="V1021" s="18" t="s">
        <v>2021</v>
      </c>
      <c r="W1021" s="18">
        <v>26</v>
      </c>
      <c r="X1021" s="18" t="s">
        <v>529</v>
      </c>
      <c r="Y1021" s="18" t="s">
        <v>649</v>
      </c>
      <c r="Z1021" s="18" t="s">
        <v>2017</v>
      </c>
      <c r="AA1021" s="18">
        <v>4</v>
      </c>
      <c r="AC1021" s="28" t="s">
        <v>3491</v>
      </c>
      <c r="AD1021" s="28"/>
      <c r="AE1021" s="28" t="s">
        <v>3492</v>
      </c>
      <c r="AF1021" s="28" t="s">
        <v>3519</v>
      </c>
      <c r="AG1021" s="28" t="s">
        <v>3520</v>
      </c>
      <c r="AH1021" s="28" t="s">
        <v>11</v>
      </c>
      <c r="AI1021" s="28" t="s">
        <v>2305</v>
      </c>
      <c r="AJ1021" s="28" t="s">
        <v>2305</v>
      </c>
      <c r="AK1021" s="28" t="s">
        <v>85</v>
      </c>
      <c r="AL1021" s="28" t="s">
        <v>2298</v>
      </c>
      <c r="AM1021" s="114"/>
    </row>
    <row r="1022" spans="21:39">
      <c r="U1022" s="18">
        <v>1020</v>
      </c>
      <c r="V1022" s="18" t="s">
        <v>2022</v>
      </c>
      <c r="W1022" s="18">
        <v>30</v>
      </c>
      <c r="X1022" s="18" t="s">
        <v>529</v>
      </c>
      <c r="Y1022" s="18" t="s">
        <v>649</v>
      </c>
      <c r="Z1022" s="18" t="s">
        <v>2023</v>
      </c>
      <c r="AA1022" s="18">
        <v>5</v>
      </c>
      <c r="AC1022" s="28" t="s">
        <v>3491</v>
      </c>
      <c r="AD1022" s="28"/>
      <c r="AE1022" s="28" t="s">
        <v>3492</v>
      </c>
      <c r="AF1022" s="28" t="s">
        <v>3526</v>
      </c>
      <c r="AG1022" s="28" t="s">
        <v>3503</v>
      </c>
      <c r="AH1022" s="28" t="s">
        <v>76</v>
      </c>
      <c r="AI1022" s="28" t="s">
        <v>2297</v>
      </c>
      <c r="AJ1022" s="28" t="s">
        <v>2301</v>
      </c>
      <c r="AK1022" s="28" t="s">
        <v>79</v>
      </c>
      <c r="AL1022" s="28" t="s">
        <v>2298</v>
      </c>
      <c r="AM1022" s="114"/>
    </row>
    <row r="1023" spans="21:39">
      <c r="U1023" s="18">
        <v>1021</v>
      </c>
      <c r="V1023" s="18" t="s">
        <v>2024</v>
      </c>
      <c r="W1023" s="18">
        <v>34</v>
      </c>
      <c r="X1023" s="18" t="s">
        <v>529</v>
      </c>
      <c r="Y1023" s="18" t="s">
        <v>649</v>
      </c>
      <c r="Z1023" s="18" t="s">
        <v>2015</v>
      </c>
      <c r="AA1023" s="18">
        <v>17</v>
      </c>
      <c r="AC1023" s="28" t="s">
        <v>3491</v>
      </c>
      <c r="AD1023" s="28"/>
      <c r="AE1023" s="28" t="s">
        <v>3492</v>
      </c>
      <c r="AF1023" s="28" t="s">
        <v>3496</v>
      </c>
      <c r="AG1023" s="28" t="s">
        <v>3497</v>
      </c>
      <c r="AH1023" s="28" t="s">
        <v>81</v>
      </c>
      <c r="AI1023" s="28" t="s">
        <v>2302</v>
      </c>
      <c r="AJ1023" s="28" t="s">
        <v>2297</v>
      </c>
      <c r="AK1023" s="28" t="s">
        <v>63</v>
      </c>
      <c r="AL1023" s="28" t="s">
        <v>2298</v>
      </c>
      <c r="AM1023" s="114"/>
    </row>
    <row r="1024" spans="21:39">
      <c r="U1024" s="18">
        <v>1022</v>
      </c>
      <c r="V1024" s="18" t="s">
        <v>2025</v>
      </c>
      <c r="W1024" s="18">
        <v>29</v>
      </c>
      <c r="X1024" s="18" t="s">
        <v>529</v>
      </c>
      <c r="Y1024" s="18" t="s">
        <v>649</v>
      </c>
      <c r="Z1024" s="18" t="s">
        <v>2015</v>
      </c>
      <c r="AA1024" s="18">
        <v>19</v>
      </c>
      <c r="AC1024" s="28" t="s">
        <v>3491</v>
      </c>
      <c r="AD1024" s="28"/>
      <c r="AE1024" s="28" t="s">
        <v>3492</v>
      </c>
      <c r="AF1024" s="28" t="s">
        <v>3527</v>
      </c>
      <c r="AG1024" s="28" t="s">
        <v>3528</v>
      </c>
      <c r="AH1024" s="28" t="s">
        <v>53</v>
      </c>
      <c r="AI1024" s="28" t="s">
        <v>2297</v>
      </c>
      <c r="AJ1024" s="28" t="s">
        <v>2302</v>
      </c>
      <c r="AK1024" s="28" t="s">
        <v>3523</v>
      </c>
      <c r="AL1024" s="28" t="s">
        <v>2298</v>
      </c>
      <c r="AM1024" s="114"/>
    </row>
    <row r="1025" spans="21:39">
      <c r="U1025" s="18">
        <v>1023</v>
      </c>
      <c r="V1025" s="18" t="s">
        <v>2026</v>
      </c>
      <c r="W1025" s="18">
        <v>31</v>
      </c>
      <c r="X1025" s="18" t="s">
        <v>529</v>
      </c>
      <c r="Y1025" s="18" t="s">
        <v>657</v>
      </c>
      <c r="Z1025" s="18" t="s">
        <v>1845</v>
      </c>
      <c r="AA1025" s="18">
        <v>2</v>
      </c>
      <c r="AC1025" s="28" t="s">
        <v>3491</v>
      </c>
      <c r="AD1025" s="28"/>
      <c r="AE1025" s="28" t="s">
        <v>3492</v>
      </c>
      <c r="AF1025" s="28" t="s">
        <v>3526</v>
      </c>
      <c r="AG1025" s="28" t="s">
        <v>3503</v>
      </c>
      <c r="AH1025" s="28" t="s">
        <v>16</v>
      </c>
      <c r="AI1025" s="28" t="s">
        <v>2305</v>
      </c>
      <c r="AJ1025" s="28" t="s">
        <v>2297</v>
      </c>
      <c r="AK1025" s="28" t="s">
        <v>45</v>
      </c>
      <c r="AL1025" s="28" t="s">
        <v>2298</v>
      </c>
      <c r="AM1025" s="114"/>
    </row>
    <row r="1026" spans="21:39">
      <c r="U1026" s="18">
        <v>1024</v>
      </c>
      <c r="V1026" s="18" t="s">
        <v>2027</v>
      </c>
      <c r="W1026" s="18">
        <v>25</v>
      </c>
      <c r="X1026" s="18" t="s">
        <v>529</v>
      </c>
      <c r="Y1026" s="18" t="s">
        <v>657</v>
      </c>
      <c r="Z1026" s="18" t="s">
        <v>2028</v>
      </c>
      <c r="AA1026" s="18">
        <v>16</v>
      </c>
      <c r="AC1026" s="28" t="s">
        <v>3491</v>
      </c>
      <c r="AD1026" s="28"/>
      <c r="AE1026" s="28" t="s">
        <v>3492</v>
      </c>
      <c r="AF1026" s="28" t="s">
        <v>3517</v>
      </c>
      <c r="AG1026" s="28" t="s">
        <v>3518</v>
      </c>
      <c r="AH1026" s="28" t="s">
        <v>78</v>
      </c>
      <c r="AI1026" s="28" t="s">
        <v>2301</v>
      </c>
      <c r="AJ1026" s="28" t="s">
        <v>2297</v>
      </c>
      <c r="AK1026" s="28" t="s">
        <v>82</v>
      </c>
      <c r="AL1026" s="28" t="s">
        <v>2298</v>
      </c>
      <c r="AM1026" s="114"/>
    </row>
    <row r="1027" spans="21:39">
      <c r="U1027" s="18">
        <v>1025</v>
      </c>
      <c r="V1027" s="18" t="s">
        <v>2029</v>
      </c>
      <c r="W1027" s="18">
        <v>32</v>
      </c>
      <c r="X1027" s="18" t="s">
        <v>529</v>
      </c>
      <c r="Y1027" s="18" t="s">
        <v>661</v>
      </c>
      <c r="Z1027" s="18" t="s">
        <v>2015</v>
      </c>
      <c r="AA1027" s="18">
        <v>23</v>
      </c>
      <c r="AC1027" s="28" t="s">
        <v>3491</v>
      </c>
      <c r="AD1027" s="28"/>
      <c r="AE1027" s="28" t="s">
        <v>3492</v>
      </c>
      <c r="AF1027" s="28" t="s">
        <v>3515</v>
      </c>
      <c r="AG1027" s="28" t="s">
        <v>3516</v>
      </c>
      <c r="AH1027" s="28" t="s">
        <v>46</v>
      </c>
      <c r="AI1027" s="28" t="s">
        <v>2296</v>
      </c>
      <c r="AJ1027" s="28" t="s">
        <v>2305</v>
      </c>
      <c r="AK1027" s="28" t="s">
        <v>41</v>
      </c>
      <c r="AL1027" s="28" t="s">
        <v>2298</v>
      </c>
      <c r="AM1027" s="114"/>
    </row>
    <row r="1028" spans="21:39">
      <c r="U1028" s="18">
        <v>1026</v>
      </c>
      <c r="V1028" s="18" t="s">
        <v>2030</v>
      </c>
      <c r="W1028" s="18">
        <v>28</v>
      </c>
      <c r="X1028" s="18" t="s">
        <v>529</v>
      </c>
      <c r="Y1028" s="18" t="s">
        <v>661</v>
      </c>
      <c r="Z1028" s="18" t="s">
        <v>2017</v>
      </c>
      <c r="AA1028" s="18">
        <v>26</v>
      </c>
      <c r="AC1028" s="28" t="s">
        <v>3491</v>
      </c>
      <c r="AD1028" s="28"/>
      <c r="AE1028" s="28" t="s">
        <v>3492</v>
      </c>
      <c r="AF1028" s="28" t="s">
        <v>3519</v>
      </c>
      <c r="AG1028" s="28" t="s">
        <v>3520</v>
      </c>
      <c r="AH1028" s="28" t="s">
        <v>39</v>
      </c>
      <c r="AI1028" s="28" t="s">
        <v>2302</v>
      </c>
      <c r="AJ1028" s="28" t="s">
        <v>2301</v>
      </c>
      <c r="AK1028" s="28" t="s">
        <v>12</v>
      </c>
      <c r="AL1028" s="28" t="s">
        <v>2298</v>
      </c>
      <c r="AM1028" s="114"/>
    </row>
    <row r="1029" spans="21:39">
      <c r="U1029" s="18">
        <v>1027</v>
      </c>
      <c r="V1029" s="18" t="s">
        <v>2031</v>
      </c>
      <c r="W1029" s="18">
        <v>32</v>
      </c>
      <c r="X1029" s="18" t="s">
        <v>529</v>
      </c>
      <c r="Y1029" s="18" t="s">
        <v>664</v>
      </c>
      <c r="Z1029" s="18" t="s">
        <v>2015</v>
      </c>
      <c r="AA1029" s="18">
        <v>14</v>
      </c>
      <c r="AC1029" s="28" t="s">
        <v>3491</v>
      </c>
      <c r="AD1029" s="28"/>
      <c r="AE1029" s="28" t="s">
        <v>3492</v>
      </c>
      <c r="AF1029" s="28" t="s">
        <v>3495</v>
      </c>
      <c r="AG1029" s="28" t="s">
        <v>689</v>
      </c>
      <c r="AH1029" s="28" t="s">
        <v>61</v>
      </c>
      <c r="AI1029" s="28" t="s">
        <v>2297</v>
      </c>
      <c r="AJ1029" s="28" t="s">
        <v>2302</v>
      </c>
      <c r="AK1029" s="28" t="s">
        <v>47</v>
      </c>
      <c r="AL1029" s="28" t="s">
        <v>2298</v>
      </c>
      <c r="AM1029" s="114"/>
    </row>
    <row r="1030" spans="21:39">
      <c r="U1030" s="18">
        <v>1028</v>
      </c>
      <c r="V1030" s="18" t="s">
        <v>2032</v>
      </c>
      <c r="W1030" s="18">
        <v>27</v>
      </c>
      <c r="X1030" s="18" t="s">
        <v>529</v>
      </c>
      <c r="Y1030" s="18" t="s">
        <v>664</v>
      </c>
      <c r="Z1030" s="18" t="s">
        <v>2033</v>
      </c>
      <c r="AA1030" s="18">
        <v>21</v>
      </c>
      <c r="AC1030" s="28" t="s">
        <v>3491</v>
      </c>
      <c r="AD1030" s="28"/>
      <c r="AE1030" s="28" t="s">
        <v>3492</v>
      </c>
      <c r="AF1030" s="28" t="s">
        <v>3493</v>
      </c>
      <c r="AG1030" s="28" t="s">
        <v>3494</v>
      </c>
      <c r="AH1030" s="28" t="s">
        <v>3589</v>
      </c>
      <c r="AI1030" s="28" t="s">
        <v>2302</v>
      </c>
      <c r="AJ1030" s="28" t="s">
        <v>2301</v>
      </c>
      <c r="AK1030" s="28" t="s">
        <v>28</v>
      </c>
      <c r="AL1030" s="28" t="s">
        <v>2298</v>
      </c>
      <c r="AM1030" s="114"/>
    </row>
    <row r="1031" spans="21:39">
      <c r="U1031" s="18">
        <v>1029</v>
      </c>
      <c r="V1031" s="18" t="s">
        <v>2034</v>
      </c>
      <c r="W1031" s="18">
        <v>23</v>
      </c>
      <c r="X1031" s="18" t="s">
        <v>529</v>
      </c>
      <c r="Y1031" s="18" t="s">
        <v>669</v>
      </c>
      <c r="Z1031" s="18" t="s">
        <v>1833</v>
      </c>
      <c r="AA1031" s="18">
        <v>6</v>
      </c>
      <c r="AC1031" s="28" t="s">
        <v>3491</v>
      </c>
      <c r="AD1031" s="28"/>
      <c r="AE1031" s="28" t="s">
        <v>3492</v>
      </c>
      <c r="AF1031" s="28" t="s">
        <v>3512</v>
      </c>
      <c r="AG1031" s="28" t="s">
        <v>3513</v>
      </c>
      <c r="AH1031" s="28" t="s">
        <v>84</v>
      </c>
      <c r="AI1031" s="28" t="s">
        <v>2302</v>
      </c>
      <c r="AJ1031" s="28" t="s">
        <v>2305</v>
      </c>
      <c r="AK1031" s="28" t="s">
        <v>3591</v>
      </c>
      <c r="AL1031" s="28" t="s">
        <v>2298</v>
      </c>
      <c r="AM1031" s="114"/>
    </row>
    <row r="1032" spans="21:39">
      <c r="U1032" s="18">
        <v>1030</v>
      </c>
      <c r="V1032" s="18" t="s">
        <v>2035</v>
      </c>
      <c r="W1032" s="18">
        <v>29</v>
      </c>
      <c r="X1032" s="18" t="s">
        <v>529</v>
      </c>
      <c r="Y1032" s="18" t="s">
        <v>669</v>
      </c>
      <c r="Z1032" s="18" t="s">
        <v>2028</v>
      </c>
      <c r="AA1032" s="18">
        <v>8</v>
      </c>
      <c r="AC1032" s="28" t="s">
        <v>3491</v>
      </c>
      <c r="AD1032" s="28"/>
      <c r="AE1032" s="28" t="s">
        <v>3492</v>
      </c>
      <c r="AF1032" s="28" t="s">
        <v>3529</v>
      </c>
      <c r="AG1032" s="28" t="s">
        <v>3505</v>
      </c>
      <c r="AH1032" s="28" t="s">
        <v>67</v>
      </c>
      <c r="AI1032" s="28" t="s">
        <v>2305</v>
      </c>
      <c r="AJ1032" s="28" t="s">
        <v>2297</v>
      </c>
      <c r="AK1032" s="28" t="s">
        <v>18</v>
      </c>
      <c r="AL1032" s="28" t="s">
        <v>2298</v>
      </c>
      <c r="AM1032" s="114"/>
    </row>
    <row r="1033" spans="21:39">
      <c r="U1033" s="18">
        <v>1031</v>
      </c>
      <c r="V1033" s="18" t="s">
        <v>2036</v>
      </c>
      <c r="W1033" s="18">
        <v>26</v>
      </c>
      <c r="X1033" s="18" t="s">
        <v>529</v>
      </c>
      <c r="Y1033" s="18" t="s">
        <v>669</v>
      </c>
      <c r="Z1033" s="18" t="s">
        <v>1845</v>
      </c>
      <c r="AA1033" s="18">
        <v>15</v>
      </c>
      <c r="AC1033" s="28" t="s">
        <v>3491</v>
      </c>
      <c r="AD1033" s="28"/>
      <c r="AE1033" s="28" t="s">
        <v>3492</v>
      </c>
      <c r="AF1033" s="28" t="s">
        <v>3521</v>
      </c>
      <c r="AG1033" s="28" t="s">
        <v>3522</v>
      </c>
      <c r="AH1033" s="28" t="s">
        <v>42</v>
      </c>
      <c r="AI1033" s="28" t="s">
        <v>2297</v>
      </c>
      <c r="AJ1033" s="28" t="s">
        <v>2301</v>
      </c>
      <c r="AK1033" s="28" t="s">
        <v>40</v>
      </c>
      <c r="AL1033" s="28" t="s">
        <v>2298</v>
      </c>
      <c r="AM1033" s="114"/>
    </row>
    <row r="1034" spans="21:39">
      <c r="U1034" s="18">
        <v>1032</v>
      </c>
      <c r="V1034" s="18" t="s">
        <v>2037</v>
      </c>
      <c r="W1034" s="18">
        <v>20</v>
      </c>
      <c r="X1034" s="18" t="s">
        <v>529</v>
      </c>
      <c r="Y1034" s="18" t="s">
        <v>669</v>
      </c>
      <c r="Z1034" s="18" t="s">
        <v>2015</v>
      </c>
      <c r="AA1034" s="18">
        <v>18</v>
      </c>
      <c r="AC1034" s="28" t="s">
        <v>3491</v>
      </c>
      <c r="AD1034" s="28"/>
      <c r="AE1034" s="28" t="s">
        <v>3492</v>
      </c>
      <c r="AF1034" s="28" t="s">
        <v>3530</v>
      </c>
      <c r="AG1034" s="28" t="s">
        <v>3531</v>
      </c>
      <c r="AH1034" s="28" t="s">
        <v>62</v>
      </c>
      <c r="AI1034" s="28" t="s">
        <v>2297</v>
      </c>
      <c r="AJ1034" s="28" t="s">
        <v>2297</v>
      </c>
      <c r="AK1034" s="28" t="s">
        <v>17</v>
      </c>
      <c r="AL1034" s="28" t="s">
        <v>2298</v>
      </c>
      <c r="AM1034" s="114"/>
    </row>
    <row r="1035" spans="21:39">
      <c r="U1035" s="18">
        <v>1033</v>
      </c>
      <c r="V1035" s="18" t="s">
        <v>2038</v>
      </c>
      <c r="W1035" s="18">
        <v>34</v>
      </c>
      <c r="X1035" s="18" t="s">
        <v>529</v>
      </c>
      <c r="Y1035" s="18" t="s">
        <v>669</v>
      </c>
      <c r="Z1035" s="18" t="s">
        <v>2019</v>
      </c>
      <c r="AA1035" s="18">
        <v>25</v>
      </c>
      <c r="AC1035" s="28" t="s">
        <v>3491</v>
      </c>
      <c r="AD1035" s="28"/>
      <c r="AE1035" s="28" t="s">
        <v>3492</v>
      </c>
      <c r="AF1035" s="28" t="s">
        <v>3498</v>
      </c>
      <c r="AG1035" s="28" t="s">
        <v>3499</v>
      </c>
      <c r="AH1035" s="28" t="s">
        <v>3590</v>
      </c>
      <c r="AI1035" s="28" t="s">
        <v>2301</v>
      </c>
      <c r="AJ1035" s="28" t="s">
        <v>2305</v>
      </c>
      <c r="AK1035" s="28" t="s">
        <v>6</v>
      </c>
      <c r="AL1035" s="28" t="s">
        <v>2298</v>
      </c>
      <c r="AM1035" s="114"/>
    </row>
    <row r="1036" spans="21:39">
      <c r="U1036" s="18">
        <v>1034</v>
      </c>
      <c r="V1036" s="18" t="s">
        <v>2039</v>
      </c>
      <c r="W1036" s="18">
        <v>23</v>
      </c>
      <c r="X1036" s="18" t="s">
        <v>529</v>
      </c>
      <c r="Y1036" s="18" t="s">
        <v>675</v>
      </c>
      <c r="Z1036" s="18" t="s">
        <v>2040</v>
      </c>
      <c r="AA1036" s="18">
        <v>20</v>
      </c>
      <c r="AC1036" s="28" t="s">
        <v>3491</v>
      </c>
      <c r="AD1036" s="28"/>
      <c r="AE1036" s="28" t="s">
        <v>3492</v>
      </c>
      <c r="AF1036" s="28" t="s">
        <v>3524</v>
      </c>
      <c r="AG1036" s="28" t="s">
        <v>3525</v>
      </c>
      <c r="AH1036" s="28" t="s">
        <v>13</v>
      </c>
      <c r="AI1036" s="28" t="s">
        <v>2302</v>
      </c>
      <c r="AJ1036" s="28" t="s">
        <v>2302</v>
      </c>
      <c r="AK1036" s="28" t="s">
        <v>38</v>
      </c>
      <c r="AL1036" s="28" t="s">
        <v>2298</v>
      </c>
      <c r="AM1036" s="114"/>
    </row>
    <row r="1037" spans="21:39">
      <c r="U1037" s="18">
        <v>1035</v>
      </c>
      <c r="V1037" s="18" t="s">
        <v>2041</v>
      </c>
      <c r="W1037" s="18">
        <v>28</v>
      </c>
      <c r="X1037" s="18" t="s">
        <v>529</v>
      </c>
      <c r="Y1037" s="18" t="s">
        <v>679</v>
      </c>
      <c r="Z1037" s="18" t="s">
        <v>2042</v>
      </c>
      <c r="AA1037" s="18">
        <v>7</v>
      </c>
      <c r="AC1037" s="28" t="s">
        <v>3491</v>
      </c>
      <c r="AD1037" s="28"/>
      <c r="AE1037" s="28" t="s">
        <v>3492</v>
      </c>
      <c r="AF1037" s="28" t="s">
        <v>3532</v>
      </c>
      <c r="AG1037" s="28" t="s">
        <v>3533</v>
      </c>
      <c r="AH1037" s="28" t="s">
        <v>54</v>
      </c>
      <c r="AI1037" s="28" t="s">
        <v>2297</v>
      </c>
      <c r="AJ1037" s="28" t="s">
        <v>2296</v>
      </c>
      <c r="AK1037" s="28" t="s">
        <v>5</v>
      </c>
      <c r="AL1037" s="28" t="s">
        <v>2298</v>
      </c>
      <c r="AM1037" s="114"/>
    </row>
    <row r="1038" spans="21:39">
      <c r="U1038" s="18">
        <v>1036</v>
      </c>
      <c r="V1038" s="18" t="s">
        <v>2043</v>
      </c>
      <c r="W1038" s="18">
        <v>32</v>
      </c>
      <c r="X1038" s="18" t="s">
        <v>529</v>
      </c>
      <c r="Y1038" s="18" t="s">
        <v>679</v>
      </c>
      <c r="Z1038" s="18" t="s">
        <v>2015</v>
      </c>
      <c r="AA1038" s="18">
        <v>13</v>
      </c>
      <c r="AC1038" s="28" t="s">
        <v>3491</v>
      </c>
      <c r="AD1038" s="28"/>
      <c r="AE1038" s="28" t="s">
        <v>3492</v>
      </c>
      <c r="AF1038" s="28" t="s">
        <v>3496</v>
      </c>
      <c r="AG1038" s="28" t="s">
        <v>3497</v>
      </c>
      <c r="AH1038" s="28" t="s">
        <v>65</v>
      </c>
      <c r="AI1038" s="28" t="s">
        <v>2338</v>
      </c>
      <c r="AJ1038" s="28" t="s">
        <v>2302</v>
      </c>
      <c r="AK1038" s="28" t="s">
        <v>48</v>
      </c>
      <c r="AL1038" s="28" t="s">
        <v>2298</v>
      </c>
      <c r="AM1038" s="114"/>
    </row>
    <row r="1039" spans="21:39">
      <c r="U1039" s="18">
        <v>1037</v>
      </c>
      <c r="V1039" s="18" t="s">
        <v>2044</v>
      </c>
      <c r="W1039" s="18">
        <v>29</v>
      </c>
      <c r="X1039" s="18" t="s">
        <v>529</v>
      </c>
      <c r="Y1039" s="18" t="s">
        <v>681</v>
      </c>
      <c r="Z1039" s="18" t="s">
        <v>978</v>
      </c>
      <c r="AA1039" s="18">
        <v>10</v>
      </c>
      <c r="AC1039" s="28" t="s">
        <v>3491</v>
      </c>
      <c r="AD1039" s="28"/>
      <c r="AE1039" s="28" t="s">
        <v>3492</v>
      </c>
      <c r="AF1039" s="28" t="s">
        <v>3508</v>
      </c>
      <c r="AG1039" s="28" t="s">
        <v>3509</v>
      </c>
      <c r="AH1039" s="28" t="s">
        <v>85</v>
      </c>
      <c r="AI1039" s="28" t="s">
        <v>2302</v>
      </c>
      <c r="AJ1039" s="28" t="s">
        <v>2302</v>
      </c>
      <c r="AK1039" s="28" t="s">
        <v>56</v>
      </c>
      <c r="AL1039" s="28" t="s">
        <v>2298</v>
      </c>
      <c r="AM1039" s="114"/>
    </row>
    <row r="1040" spans="21:39">
      <c r="U1040" s="18">
        <v>1038</v>
      </c>
      <c r="V1040" s="18" t="s">
        <v>2045</v>
      </c>
      <c r="W1040" s="18">
        <v>20</v>
      </c>
      <c r="X1040" s="18" t="s">
        <v>529</v>
      </c>
      <c r="Y1040" s="18" t="s">
        <v>681</v>
      </c>
      <c r="Z1040" s="18" t="s">
        <v>1578</v>
      </c>
      <c r="AA1040" s="18">
        <v>11</v>
      </c>
      <c r="AC1040" s="28" t="s">
        <v>3491</v>
      </c>
      <c r="AD1040" s="28"/>
      <c r="AE1040" s="28" t="s">
        <v>3492</v>
      </c>
      <c r="AF1040" s="28" t="s">
        <v>3527</v>
      </c>
      <c r="AG1040" s="28" t="s">
        <v>3528</v>
      </c>
      <c r="AH1040" s="28" t="s">
        <v>11</v>
      </c>
      <c r="AI1040" s="28" t="s">
        <v>2302</v>
      </c>
      <c r="AJ1040" s="28" t="s">
        <v>2297</v>
      </c>
      <c r="AK1040" s="28" t="s">
        <v>19</v>
      </c>
      <c r="AL1040" s="28" t="s">
        <v>2298</v>
      </c>
      <c r="AM1040" s="114"/>
    </row>
    <row r="1041" spans="21:39">
      <c r="U1041" s="18">
        <v>1039</v>
      </c>
      <c r="V1041" s="18" t="s">
        <v>2046</v>
      </c>
      <c r="W1041" s="18">
        <v>22</v>
      </c>
      <c r="X1041" s="18" t="s">
        <v>529</v>
      </c>
      <c r="Y1041" s="18" t="s">
        <v>681</v>
      </c>
      <c r="Z1041" s="18" t="s">
        <v>2047</v>
      </c>
      <c r="AA1041" s="18">
        <v>24</v>
      </c>
      <c r="AC1041" s="28" t="s">
        <v>3491</v>
      </c>
      <c r="AD1041" s="28"/>
      <c r="AE1041" s="28" t="s">
        <v>3492</v>
      </c>
      <c r="AF1041" s="28" t="s">
        <v>3526</v>
      </c>
      <c r="AG1041" s="28" t="s">
        <v>3503</v>
      </c>
      <c r="AH1041" s="28" t="s">
        <v>76</v>
      </c>
      <c r="AI1041" s="28" t="s">
        <v>2297</v>
      </c>
      <c r="AJ1041" s="28" t="s">
        <v>2338</v>
      </c>
      <c r="AK1041" s="28" t="s">
        <v>33</v>
      </c>
      <c r="AL1041" s="28" t="s">
        <v>2298</v>
      </c>
      <c r="AM1041" s="114"/>
    </row>
    <row r="1042" spans="21:39">
      <c r="U1042" s="18">
        <v>1040</v>
      </c>
      <c r="V1042" s="18" t="s">
        <v>2048</v>
      </c>
      <c r="W1042" s="18">
        <v>26</v>
      </c>
      <c r="X1042" s="18" t="s">
        <v>529</v>
      </c>
      <c r="Y1042" s="18" t="s">
        <v>683</v>
      </c>
      <c r="Z1042" s="18" t="s">
        <v>2049</v>
      </c>
      <c r="AA1042" s="18">
        <v>9</v>
      </c>
      <c r="AC1042" s="28" t="s">
        <v>3491</v>
      </c>
      <c r="AD1042" s="28"/>
      <c r="AE1042" s="28" t="s">
        <v>3492</v>
      </c>
      <c r="AF1042" s="28" t="s">
        <v>3517</v>
      </c>
      <c r="AG1042" s="28" t="s">
        <v>3518</v>
      </c>
      <c r="AH1042" s="28" t="s">
        <v>79</v>
      </c>
      <c r="AI1042" s="28" t="s">
        <v>2297</v>
      </c>
      <c r="AJ1042" s="28" t="s">
        <v>2297</v>
      </c>
      <c r="AK1042" s="28" t="s">
        <v>71</v>
      </c>
      <c r="AL1042" s="28" t="s">
        <v>2298</v>
      </c>
      <c r="AM1042" s="114"/>
    </row>
    <row r="1043" spans="21:39">
      <c r="U1043" s="18">
        <v>1041</v>
      </c>
      <c r="V1043" s="18" t="s">
        <v>393</v>
      </c>
      <c r="W1043" s="18">
        <v>37</v>
      </c>
      <c r="X1043" s="18" t="s">
        <v>53</v>
      </c>
      <c r="Y1043" s="18" t="s">
        <v>642</v>
      </c>
      <c r="Z1043" s="18" t="s">
        <v>2050</v>
      </c>
      <c r="AA1043" s="18">
        <v>1</v>
      </c>
      <c r="AC1043" s="28" t="s">
        <v>3491</v>
      </c>
      <c r="AD1043" s="28"/>
      <c r="AE1043" s="28" t="s">
        <v>3492</v>
      </c>
      <c r="AF1043" s="28" t="s">
        <v>3529</v>
      </c>
      <c r="AG1043" s="28" t="s">
        <v>3505</v>
      </c>
      <c r="AH1043" s="28" t="s">
        <v>81</v>
      </c>
      <c r="AI1043" s="28" t="s">
        <v>2302</v>
      </c>
      <c r="AJ1043" s="28" t="s">
        <v>2305</v>
      </c>
      <c r="AK1043" s="28" t="s">
        <v>23</v>
      </c>
      <c r="AL1043" s="28" t="s">
        <v>2298</v>
      </c>
      <c r="AM1043" s="114"/>
    </row>
    <row r="1044" spans="21:39">
      <c r="U1044" s="18">
        <v>1042</v>
      </c>
      <c r="V1044" s="18" t="s">
        <v>513</v>
      </c>
      <c r="W1044" s="18">
        <v>37</v>
      </c>
      <c r="X1044" s="18" t="s">
        <v>53</v>
      </c>
      <c r="Y1044" s="18" t="s">
        <v>642</v>
      </c>
      <c r="Z1044" s="18" t="s">
        <v>2051</v>
      </c>
      <c r="AA1044" s="18">
        <v>12</v>
      </c>
      <c r="AC1044" s="28" t="s">
        <v>3491</v>
      </c>
      <c r="AD1044" s="28"/>
      <c r="AE1044" s="28" t="s">
        <v>3492</v>
      </c>
      <c r="AF1044" s="28" t="s">
        <v>3512</v>
      </c>
      <c r="AG1044" s="28" t="s">
        <v>3513</v>
      </c>
      <c r="AH1044" s="28" t="s">
        <v>63</v>
      </c>
      <c r="AI1044" s="28" t="s">
        <v>2305</v>
      </c>
      <c r="AJ1044" s="28" t="s">
        <v>2297</v>
      </c>
      <c r="AK1044" s="28" t="s">
        <v>73</v>
      </c>
      <c r="AL1044" s="28" t="s">
        <v>2298</v>
      </c>
      <c r="AM1044" s="114"/>
    </row>
    <row r="1045" spans="21:39">
      <c r="U1045" s="18">
        <v>1043</v>
      </c>
      <c r="V1045" s="18" t="s">
        <v>2052</v>
      </c>
      <c r="W1045" s="18">
        <v>31</v>
      </c>
      <c r="X1045" s="18" t="s">
        <v>53</v>
      </c>
      <c r="Y1045" s="18" t="s">
        <v>642</v>
      </c>
      <c r="Z1045" s="18" t="s">
        <v>2053</v>
      </c>
      <c r="AA1045" s="18">
        <v>24</v>
      </c>
      <c r="AC1045" s="28" t="s">
        <v>3491</v>
      </c>
      <c r="AD1045" s="28"/>
      <c r="AE1045" s="28" t="s">
        <v>472</v>
      </c>
      <c r="AF1045" s="28" t="s">
        <v>3498</v>
      </c>
      <c r="AG1045" s="28" t="s">
        <v>3499</v>
      </c>
      <c r="AH1045" s="28" t="s">
        <v>61</v>
      </c>
      <c r="AI1045" s="28" t="s">
        <v>2302</v>
      </c>
      <c r="AJ1045" s="28" t="s">
        <v>2297</v>
      </c>
      <c r="AK1045" s="28" t="s">
        <v>45</v>
      </c>
      <c r="AL1045" s="28" t="s">
        <v>2298</v>
      </c>
      <c r="AM1045" s="114"/>
    </row>
    <row r="1046" spans="21:39">
      <c r="U1046" s="18">
        <v>1044</v>
      </c>
      <c r="V1046" s="18" t="s">
        <v>2054</v>
      </c>
      <c r="W1046" s="18">
        <v>27</v>
      </c>
      <c r="X1046" s="18" t="s">
        <v>53</v>
      </c>
      <c r="Y1046" s="18" t="s">
        <v>649</v>
      </c>
      <c r="Z1046" s="18" t="s">
        <v>962</v>
      </c>
      <c r="AA1046" s="18">
        <v>3</v>
      </c>
      <c r="AC1046" s="28" t="s">
        <v>3491</v>
      </c>
      <c r="AD1046" s="28"/>
      <c r="AE1046" s="28" t="s">
        <v>472</v>
      </c>
      <c r="AF1046" s="28" t="s">
        <v>3500</v>
      </c>
      <c r="AG1046" s="28" t="s">
        <v>3501</v>
      </c>
      <c r="AH1046" s="28" t="s">
        <v>18</v>
      </c>
      <c r="AI1046" s="28" t="s">
        <v>2297</v>
      </c>
      <c r="AJ1046" s="28" t="s">
        <v>2297</v>
      </c>
      <c r="AK1046" s="28" t="s">
        <v>13</v>
      </c>
      <c r="AL1046" s="28" t="s">
        <v>3534</v>
      </c>
      <c r="AM1046" s="114"/>
    </row>
    <row r="1047" spans="21:39">
      <c r="U1047" s="18">
        <v>1045</v>
      </c>
      <c r="V1047" s="18" t="s">
        <v>2055</v>
      </c>
      <c r="W1047" s="18">
        <v>31</v>
      </c>
      <c r="X1047" s="18" t="s">
        <v>53</v>
      </c>
      <c r="Y1047" s="18" t="s">
        <v>649</v>
      </c>
      <c r="Z1047" s="18" t="s">
        <v>2056</v>
      </c>
      <c r="AA1047" s="18">
        <v>13</v>
      </c>
      <c r="AC1047" s="28" t="s">
        <v>3491</v>
      </c>
      <c r="AD1047" s="28"/>
      <c r="AE1047" s="28" t="s">
        <v>472</v>
      </c>
      <c r="AF1047" s="28" t="s">
        <v>3535</v>
      </c>
      <c r="AG1047" s="28" t="s">
        <v>1779</v>
      </c>
      <c r="AH1047" s="28" t="s">
        <v>40</v>
      </c>
      <c r="AI1047" s="28" t="s">
        <v>2297</v>
      </c>
      <c r="AJ1047" s="28" t="s">
        <v>2297</v>
      </c>
      <c r="AK1047" s="28" t="s">
        <v>46</v>
      </c>
      <c r="AL1047" s="28" t="s">
        <v>3536</v>
      </c>
      <c r="AM1047" s="114"/>
    </row>
    <row r="1048" spans="21:39">
      <c r="U1048" s="18">
        <v>1046</v>
      </c>
      <c r="V1048" s="18" t="s">
        <v>2057</v>
      </c>
      <c r="W1048" s="18">
        <v>28</v>
      </c>
      <c r="X1048" s="18" t="s">
        <v>53</v>
      </c>
      <c r="Y1048" s="18" t="s">
        <v>649</v>
      </c>
      <c r="Z1048" s="18" t="s">
        <v>709</v>
      </c>
      <c r="AA1048" s="18">
        <v>18</v>
      </c>
      <c r="AC1048" s="28" t="s">
        <v>3491</v>
      </c>
      <c r="AD1048" s="28"/>
      <c r="AE1048" s="28" t="s">
        <v>472</v>
      </c>
      <c r="AF1048" s="28" t="s">
        <v>3508</v>
      </c>
      <c r="AG1048" s="28" t="s">
        <v>3509</v>
      </c>
      <c r="AH1048" s="28" t="s">
        <v>12</v>
      </c>
      <c r="AI1048" s="28" t="s">
        <v>2305</v>
      </c>
      <c r="AJ1048" s="28" t="s">
        <v>2297</v>
      </c>
      <c r="AK1048" s="28" t="s">
        <v>62</v>
      </c>
      <c r="AL1048" s="28" t="s">
        <v>2298</v>
      </c>
      <c r="AM1048" s="114"/>
    </row>
    <row r="1049" spans="21:39">
      <c r="U1049" s="18">
        <v>1047</v>
      </c>
      <c r="V1049" s="18" t="s">
        <v>2058</v>
      </c>
      <c r="W1049" s="18">
        <v>29</v>
      </c>
      <c r="X1049" s="18" t="s">
        <v>53</v>
      </c>
      <c r="Y1049" s="18" t="s">
        <v>649</v>
      </c>
      <c r="Z1049" s="18" t="s">
        <v>1179</v>
      </c>
      <c r="AA1049" s="18">
        <v>23</v>
      </c>
      <c r="AC1049" s="28" t="s">
        <v>3491</v>
      </c>
      <c r="AD1049" s="28"/>
      <c r="AE1049" s="28" t="s">
        <v>472</v>
      </c>
      <c r="AF1049" s="28" t="s">
        <v>3504</v>
      </c>
      <c r="AG1049" s="28" t="s">
        <v>3505</v>
      </c>
      <c r="AH1049" s="28" t="s">
        <v>5</v>
      </c>
      <c r="AI1049" s="28" t="s">
        <v>2301</v>
      </c>
      <c r="AJ1049" s="28" t="s">
        <v>2302</v>
      </c>
      <c r="AK1049" s="28" t="s">
        <v>17</v>
      </c>
      <c r="AL1049" s="28" t="s">
        <v>2298</v>
      </c>
      <c r="AM1049" s="114"/>
    </row>
    <row r="1050" spans="21:39">
      <c r="U1050" s="18">
        <v>1048</v>
      </c>
      <c r="V1050" s="18" t="s">
        <v>2059</v>
      </c>
      <c r="W1050" s="18">
        <v>33</v>
      </c>
      <c r="X1050" s="18" t="s">
        <v>53</v>
      </c>
      <c r="Y1050" s="18" t="s">
        <v>657</v>
      </c>
      <c r="Z1050" s="18" t="s">
        <v>2060</v>
      </c>
      <c r="AA1050" s="18">
        <v>17</v>
      </c>
      <c r="AC1050" s="28" t="s">
        <v>3491</v>
      </c>
      <c r="AD1050" s="28"/>
      <c r="AE1050" s="28" t="s">
        <v>472</v>
      </c>
      <c r="AF1050" s="28" t="s">
        <v>3510</v>
      </c>
      <c r="AG1050" s="28" t="s">
        <v>3511</v>
      </c>
      <c r="AH1050" s="28" t="s">
        <v>3591</v>
      </c>
      <c r="AI1050" s="28" t="s">
        <v>2297</v>
      </c>
      <c r="AJ1050" s="28" t="s">
        <v>2305</v>
      </c>
      <c r="AK1050" s="28" t="s">
        <v>54</v>
      </c>
      <c r="AL1050" s="28" t="s">
        <v>2298</v>
      </c>
      <c r="AM1050" s="114"/>
    </row>
    <row r="1051" spans="21:39">
      <c r="U1051" s="18">
        <v>1049</v>
      </c>
      <c r="V1051" s="18" t="s">
        <v>2061</v>
      </c>
      <c r="W1051" s="18">
        <v>32</v>
      </c>
      <c r="X1051" s="18" t="s">
        <v>53</v>
      </c>
      <c r="Y1051" s="18" t="s">
        <v>657</v>
      </c>
      <c r="Z1051" s="18" t="s">
        <v>2062</v>
      </c>
      <c r="AA1051" s="18">
        <v>22</v>
      </c>
      <c r="AC1051" s="28" t="s">
        <v>3491</v>
      </c>
      <c r="AD1051" s="28"/>
      <c r="AE1051" s="28" t="s">
        <v>472</v>
      </c>
      <c r="AF1051" s="28" t="s">
        <v>3493</v>
      </c>
      <c r="AG1051" s="28" t="s">
        <v>3494</v>
      </c>
      <c r="AH1051" s="28" t="s">
        <v>28</v>
      </c>
      <c r="AI1051" s="28" t="s">
        <v>2305</v>
      </c>
      <c r="AJ1051" s="28" t="s">
        <v>2302</v>
      </c>
      <c r="AK1051" s="28" t="s">
        <v>67</v>
      </c>
      <c r="AL1051" s="28" t="s">
        <v>2298</v>
      </c>
      <c r="AM1051" s="114"/>
    </row>
    <row r="1052" spans="21:39">
      <c r="U1052" s="18">
        <v>1050</v>
      </c>
      <c r="V1052" s="18" t="s">
        <v>524</v>
      </c>
      <c r="W1052" s="18">
        <v>30</v>
      </c>
      <c r="X1052" s="18" t="s">
        <v>53</v>
      </c>
      <c r="Y1052" s="18" t="s">
        <v>661</v>
      </c>
      <c r="Z1052" s="18" t="s">
        <v>1072</v>
      </c>
      <c r="AA1052" s="18">
        <v>2</v>
      </c>
      <c r="AC1052" s="28" t="s">
        <v>3491</v>
      </c>
      <c r="AD1052" s="28"/>
      <c r="AE1052" s="28" t="s">
        <v>472</v>
      </c>
      <c r="AF1052" s="28" t="s">
        <v>3515</v>
      </c>
      <c r="AG1052" s="28" t="s">
        <v>3516</v>
      </c>
      <c r="AH1052" s="28" t="s">
        <v>23</v>
      </c>
      <c r="AI1052" s="28" t="s">
        <v>2305</v>
      </c>
      <c r="AJ1052" s="28" t="s">
        <v>2297</v>
      </c>
      <c r="AK1052" s="28" t="s">
        <v>3523</v>
      </c>
      <c r="AL1052" s="28" t="s">
        <v>2298</v>
      </c>
      <c r="AM1052" s="114"/>
    </row>
    <row r="1053" spans="21:39">
      <c r="U1053" s="18">
        <v>1051</v>
      </c>
      <c r="V1053" s="18" t="s">
        <v>2063</v>
      </c>
      <c r="W1053" s="18">
        <v>34</v>
      </c>
      <c r="X1053" s="18" t="s">
        <v>53</v>
      </c>
      <c r="Y1053" s="18" t="s">
        <v>661</v>
      </c>
      <c r="Z1053" s="18" t="s">
        <v>1175</v>
      </c>
      <c r="AA1053" s="18">
        <v>4</v>
      </c>
      <c r="AC1053" s="28" t="s">
        <v>3491</v>
      </c>
      <c r="AD1053" s="28"/>
      <c r="AE1053" s="28" t="s">
        <v>472</v>
      </c>
      <c r="AF1053" s="28" t="s">
        <v>3517</v>
      </c>
      <c r="AG1053" s="28" t="s">
        <v>3518</v>
      </c>
      <c r="AH1053" s="28" t="s">
        <v>33</v>
      </c>
      <c r="AI1053" s="28" t="s">
        <v>2301</v>
      </c>
      <c r="AJ1053" s="28" t="s">
        <v>2305</v>
      </c>
      <c r="AK1053" s="28" t="s">
        <v>65</v>
      </c>
      <c r="AL1053" s="28" t="s">
        <v>3537</v>
      </c>
      <c r="AM1053" s="114"/>
    </row>
    <row r="1054" spans="21:39">
      <c r="U1054" s="18">
        <v>1052</v>
      </c>
      <c r="V1054" s="18" t="s">
        <v>2064</v>
      </c>
      <c r="W1054" s="18">
        <v>22</v>
      </c>
      <c r="X1054" s="18" t="s">
        <v>53</v>
      </c>
      <c r="Y1054" s="18" t="s">
        <v>661</v>
      </c>
      <c r="Z1054" s="18" t="s">
        <v>2065</v>
      </c>
      <c r="AA1054" s="18">
        <v>14</v>
      </c>
      <c r="AC1054" s="28" t="s">
        <v>3491</v>
      </c>
      <c r="AD1054" s="28"/>
      <c r="AE1054" s="28" t="s">
        <v>472</v>
      </c>
      <c r="AF1054" s="28" t="s">
        <v>3506</v>
      </c>
      <c r="AG1054" s="28" t="s">
        <v>3507</v>
      </c>
      <c r="AH1054" s="28" t="s">
        <v>6</v>
      </c>
      <c r="AI1054" s="28" t="s">
        <v>2305</v>
      </c>
      <c r="AJ1054" s="28" t="s">
        <v>2302</v>
      </c>
      <c r="AK1054" s="28" t="s">
        <v>78</v>
      </c>
      <c r="AL1054" s="28" t="s">
        <v>2298</v>
      </c>
      <c r="AM1054" s="114"/>
    </row>
    <row r="1055" spans="21:39">
      <c r="U1055" s="18">
        <v>1053</v>
      </c>
      <c r="V1055" s="18" t="s">
        <v>2066</v>
      </c>
      <c r="W1055" s="18">
        <v>25</v>
      </c>
      <c r="X1055" s="18" t="s">
        <v>53</v>
      </c>
      <c r="Y1055" s="18" t="s">
        <v>664</v>
      </c>
      <c r="Z1055" s="18" t="s">
        <v>1347</v>
      </c>
      <c r="AA1055" s="18">
        <v>5</v>
      </c>
      <c r="AC1055" s="28" t="s">
        <v>3491</v>
      </c>
      <c r="AD1055" s="28"/>
      <c r="AE1055" s="28" t="s">
        <v>472</v>
      </c>
      <c r="AF1055" s="28" t="s">
        <v>3496</v>
      </c>
      <c r="AG1055" s="28" t="s">
        <v>3497</v>
      </c>
      <c r="AH1055" s="28" t="s">
        <v>30</v>
      </c>
      <c r="AI1055" s="28" t="s">
        <v>2305</v>
      </c>
      <c r="AJ1055" s="28" t="s">
        <v>2297</v>
      </c>
      <c r="AK1055" s="28" t="s">
        <v>63</v>
      </c>
      <c r="AL1055" s="28" t="s">
        <v>2298</v>
      </c>
      <c r="AM1055" s="114"/>
    </row>
    <row r="1056" spans="21:39">
      <c r="U1056" s="18">
        <v>1054</v>
      </c>
      <c r="V1056" s="18" t="s">
        <v>2067</v>
      </c>
      <c r="W1056" s="18">
        <v>31</v>
      </c>
      <c r="X1056" s="18" t="s">
        <v>53</v>
      </c>
      <c r="Y1056" s="18" t="s">
        <v>664</v>
      </c>
      <c r="Z1056" s="18" t="s">
        <v>1072</v>
      </c>
      <c r="AA1056" s="18">
        <v>16</v>
      </c>
      <c r="AC1056" s="28" t="s">
        <v>3491</v>
      </c>
      <c r="AD1056" s="28"/>
      <c r="AE1056" s="28" t="s">
        <v>472</v>
      </c>
      <c r="AF1056" s="28" t="s">
        <v>3498</v>
      </c>
      <c r="AG1056" s="28" t="s">
        <v>3499</v>
      </c>
      <c r="AH1056" s="28" t="s">
        <v>19</v>
      </c>
      <c r="AI1056" s="28" t="s">
        <v>2301</v>
      </c>
      <c r="AJ1056" s="28" t="s">
        <v>2302</v>
      </c>
      <c r="AK1056" s="28" t="s">
        <v>14</v>
      </c>
      <c r="AL1056" s="28" t="s">
        <v>2298</v>
      </c>
      <c r="AM1056" s="114"/>
    </row>
    <row r="1057" spans="21:39">
      <c r="U1057" s="18">
        <v>1055</v>
      </c>
      <c r="V1057" s="18" t="s">
        <v>2068</v>
      </c>
      <c r="W1057" s="18">
        <v>26</v>
      </c>
      <c r="X1057" s="18" t="s">
        <v>53</v>
      </c>
      <c r="Y1057" s="18" t="s">
        <v>669</v>
      </c>
      <c r="Z1057" s="18" t="s">
        <v>839</v>
      </c>
      <c r="AA1057" s="18">
        <v>6</v>
      </c>
      <c r="AC1057" s="28" t="s">
        <v>3491</v>
      </c>
      <c r="AD1057" s="28"/>
      <c r="AE1057" s="28" t="s">
        <v>472</v>
      </c>
      <c r="AF1057" s="28" t="s">
        <v>3502</v>
      </c>
      <c r="AG1057" s="28" t="s">
        <v>3503</v>
      </c>
      <c r="AH1057" s="28" t="s">
        <v>16</v>
      </c>
      <c r="AI1057" s="28" t="s">
        <v>2305</v>
      </c>
      <c r="AJ1057" s="28" t="s">
        <v>2302</v>
      </c>
      <c r="AK1057" s="28" t="s">
        <v>43</v>
      </c>
      <c r="AL1057" s="28" t="s">
        <v>2298</v>
      </c>
      <c r="AM1057" s="114"/>
    </row>
    <row r="1058" spans="21:39">
      <c r="U1058" s="18">
        <v>1056</v>
      </c>
      <c r="V1058" s="18" t="s">
        <v>2069</v>
      </c>
      <c r="W1058" s="18">
        <v>27</v>
      </c>
      <c r="X1058" s="18" t="s">
        <v>53</v>
      </c>
      <c r="Y1058" s="18" t="s">
        <v>669</v>
      </c>
      <c r="Z1058" s="18" t="s">
        <v>2070</v>
      </c>
      <c r="AA1058" s="18">
        <v>15</v>
      </c>
      <c r="AC1058" s="28" t="s">
        <v>3491</v>
      </c>
      <c r="AD1058" s="28"/>
      <c r="AE1058" s="28" t="s">
        <v>472</v>
      </c>
      <c r="AF1058" s="28" t="s">
        <v>3519</v>
      </c>
      <c r="AG1058" s="28" t="s">
        <v>3520</v>
      </c>
      <c r="AH1058" s="28" t="s">
        <v>38</v>
      </c>
      <c r="AI1058" s="28" t="s">
        <v>2297</v>
      </c>
      <c r="AJ1058" s="28" t="s">
        <v>2297</v>
      </c>
      <c r="AK1058" s="28" t="s">
        <v>79</v>
      </c>
      <c r="AL1058" s="28" t="s">
        <v>3538</v>
      </c>
      <c r="AM1058" s="114"/>
    </row>
    <row r="1059" spans="21:39">
      <c r="U1059" s="18">
        <v>1057</v>
      </c>
      <c r="V1059" s="18" t="s">
        <v>2071</v>
      </c>
      <c r="W1059" s="18">
        <v>28</v>
      </c>
      <c r="X1059" s="18" t="s">
        <v>53</v>
      </c>
      <c r="Y1059" s="18" t="s">
        <v>675</v>
      </c>
      <c r="Z1059" s="18" t="s">
        <v>989</v>
      </c>
      <c r="AA1059" s="18">
        <v>8</v>
      </c>
      <c r="AC1059" s="28" t="s">
        <v>3491</v>
      </c>
      <c r="AD1059" s="28"/>
      <c r="AE1059" s="28" t="s">
        <v>472</v>
      </c>
      <c r="AF1059" s="28" t="s">
        <v>3519</v>
      </c>
      <c r="AG1059" s="28" t="s">
        <v>3520</v>
      </c>
      <c r="AH1059" s="28" t="s">
        <v>9</v>
      </c>
      <c r="AI1059" s="28" t="s">
        <v>2301</v>
      </c>
      <c r="AJ1059" s="28" t="s">
        <v>2305</v>
      </c>
      <c r="AK1059" s="28" t="s">
        <v>85</v>
      </c>
      <c r="AL1059" s="28" t="s">
        <v>3539</v>
      </c>
      <c r="AM1059" s="114"/>
    </row>
    <row r="1060" spans="21:39">
      <c r="U1060" s="18">
        <v>1058</v>
      </c>
      <c r="V1060" s="18" t="s">
        <v>517</v>
      </c>
      <c r="W1060" s="18">
        <v>34</v>
      </c>
      <c r="X1060" s="18" t="s">
        <v>53</v>
      </c>
      <c r="Y1060" s="18" t="s">
        <v>675</v>
      </c>
      <c r="Z1060" s="18" t="s">
        <v>1643</v>
      </c>
      <c r="AA1060" s="18">
        <v>10</v>
      </c>
      <c r="AC1060" s="28" t="s">
        <v>3491</v>
      </c>
      <c r="AD1060" s="28"/>
      <c r="AE1060" s="28" t="s">
        <v>472</v>
      </c>
      <c r="AF1060" s="28" t="s">
        <v>3521</v>
      </c>
      <c r="AG1060" s="28" t="s">
        <v>3522</v>
      </c>
      <c r="AH1060" s="28" t="s">
        <v>53</v>
      </c>
      <c r="AI1060" s="28" t="s">
        <v>2297</v>
      </c>
      <c r="AJ1060" s="28" t="s">
        <v>2302</v>
      </c>
      <c r="AK1060" s="28" t="s">
        <v>73</v>
      </c>
      <c r="AL1060" s="28" t="s">
        <v>2298</v>
      </c>
      <c r="AM1060" s="114"/>
    </row>
    <row r="1061" spans="21:39">
      <c r="U1061" s="18">
        <v>1059</v>
      </c>
      <c r="V1061" s="18" t="s">
        <v>2072</v>
      </c>
      <c r="W1061" s="18">
        <v>33</v>
      </c>
      <c r="X1061" s="18" t="s">
        <v>53</v>
      </c>
      <c r="Y1061" s="18" t="s">
        <v>675</v>
      </c>
      <c r="Z1061" s="18" t="s">
        <v>1347</v>
      </c>
      <c r="AA1061" s="18">
        <v>20</v>
      </c>
      <c r="AC1061" s="28" t="s">
        <v>3491</v>
      </c>
      <c r="AD1061" s="28"/>
      <c r="AE1061" s="28" t="s">
        <v>170</v>
      </c>
      <c r="AF1061" s="28" t="s">
        <v>3540</v>
      </c>
      <c r="AG1061" s="28" t="s">
        <v>3509</v>
      </c>
      <c r="AH1061" s="28" t="s">
        <v>45</v>
      </c>
      <c r="AI1061" s="28" t="s">
        <v>2302</v>
      </c>
      <c r="AJ1061" s="28" t="s">
        <v>2301</v>
      </c>
      <c r="AK1061" s="28" t="s">
        <v>46</v>
      </c>
      <c r="AL1061" s="28" t="s">
        <v>2298</v>
      </c>
      <c r="AM1061" s="114"/>
    </row>
    <row r="1062" spans="21:39">
      <c r="U1062" s="18">
        <v>1060</v>
      </c>
      <c r="V1062" s="18" t="s">
        <v>514</v>
      </c>
      <c r="W1062" s="18">
        <v>29</v>
      </c>
      <c r="X1062" s="18" t="s">
        <v>53</v>
      </c>
      <c r="Y1062" s="18" t="s">
        <v>679</v>
      </c>
      <c r="Z1062" s="18" t="s">
        <v>781</v>
      </c>
      <c r="AA1062" s="18">
        <v>7</v>
      </c>
      <c r="AC1062" s="28" t="s">
        <v>3491</v>
      </c>
      <c r="AD1062" s="28"/>
      <c r="AE1062" s="28" t="s">
        <v>170</v>
      </c>
      <c r="AF1062" s="28" t="s">
        <v>3541</v>
      </c>
      <c r="AG1062" s="28" t="s">
        <v>3513</v>
      </c>
      <c r="AH1062" s="28" t="s">
        <v>13</v>
      </c>
      <c r="AI1062" s="28" t="s">
        <v>2302</v>
      </c>
      <c r="AJ1062" s="28" t="s">
        <v>2297</v>
      </c>
      <c r="AK1062" s="28" t="s">
        <v>5</v>
      </c>
      <c r="AL1062" s="28" t="s">
        <v>2298</v>
      </c>
      <c r="AM1062" s="114"/>
    </row>
    <row r="1063" spans="21:39">
      <c r="U1063" s="18">
        <v>1061</v>
      </c>
      <c r="V1063" s="18" t="s">
        <v>2073</v>
      </c>
      <c r="W1063" s="18">
        <v>26</v>
      </c>
      <c r="X1063" s="18" t="s">
        <v>53</v>
      </c>
      <c r="Y1063" s="18" t="s">
        <v>679</v>
      </c>
      <c r="Z1063" s="18" t="s">
        <v>2074</v>
      </c>
      <c r="AA1063" s="18">
        <v>21</v>
      </c>
      <c r="AC1063" s="28" t="s">
        <v>3491</v>
      </c>
      <c r="AD1063" s="28"/>
      <c r="AE1063" s="28" t="s">
        <v>170</v>
      </c>
      <c r="AF1063" s="28" t="s">
        <v>3504</v>
      </c>
      <c r="AG1063" s="28" t="s">
        <v>3505</v>
      </c>
      <c r="AH1063" s="28" t="s">
        <v>12</v>
      </c>
      <c r="AI1063" s="28" t="s">
        <v>2297</v>
      </c>
      <c r="AJ1063" s="28" t="s">
        <v>2305</v>
      </c>
      <c r="AK1063" s="28" t="s">
        <v>54</v>
      </c>
      <c r="AL1063" s="28" t="s">
        <v>2298</v>
      </c>
      <c r="AM1063" s="114"/>
    </row>
    <row r="1064" spans="21:39">
      <c r="U1064" s="18">
        <v>1062</v>
      </c>
      <c r="V1064" s="18" t="s">
        <v>2075</v>
      </c>
      <c r="W1064" s="18">
        <v>28</v>
      </c>
      <c r="X1064" s="18" t="s">
        <v>53</v>
      </c>
      <c r="Y1064" s="18" t="s">
        <v>681</v>
      </c>
      <c r="Z1064" s="18" t="s">
        <v>1148</v>
      </c>
      <c r="AA1064" s="18">
        <v>11</v>
      </c>
      <c r="AC1064" s="28" t="s">
        <v>3491</v>
      </c>
      <c r="AD1064" s="28"/>
      <c r="AE1064" s="28" t="s">
        <v>170</v>
      </c>
      <c r="AF1064" s="28" t="s">
        <v>3542</v>
      </c>
      <c r="AG1064" s="28" t="s">
        <v>1779</v>
      </c>
      <c r="AH1064" s="28" t="s">
        <v>28</v>
      </c>
      <c r="AI1064" s="28" t="s">
        <v>2305</v>
      </c>
      <c r="AJ1064" s="28" t="s">
        <v>2301</v>
      </c>
      <c r="AK1064" s="28" t="s">
        <v>23</v>
      </c>
      <c r="AL1064" s="28" t="s">
        <v>2298</v>
      </c>
      <c r="AM1064" s="114"/>
    </row>
    <row r="1065" spans="21:39">
      <c r="U1065" s="18">
        <v>1063</v>
      </c>
      <c r="V1065" s="18" t="s">
        <v>2076</v>
      </c>
      <c r="W1065" s="18">
        <v>23</v>
      </c>
      <c r="X1065" s="18" t="s">
        <v>53</v>
      </c>
      <c r="Y1065" s="18" t="s">
        <v>681</v>
      </c>
      <c r="Z1065" s="18" t="s">
        <v>2077</v>
      </c>
      <c r="AA1065" s="18">
        <v>26</v>
      </c>
      <c r="AC1065" s="28" t="s">
        <v>3491</v>
      </c>
      <c r="AD1065" s="28"/>
      <c r="AE1065" s="28" t="s">
        <v>170</v>
      </c>
      <c r="AF1065" s="28" t="s">
        <v>3543</v>
      </c>
      <c r="AG1065" s="28" t="s">
        <v>3511</v>
      </c>
      <c r="AH1065" s="28" t="s">
        <v>30</v>
      </c>
      <c r="AI1065" s="28" t="s">
        <v>2302</v>
      </c>
      <c r="AJ1065" s="28" t="s">
        <v>2297</v>
      </c>
      <c r="AK1065" s="28" t="s">
        <v>19</v>
      </c>
      <c r="AL1065" s="28" t="s">
        <v>2298</v>
      </c>
    </row>
    <row r="1066" spans="21:39">
      <c r="U1066" s="18">
        <v>1064</v>
      </c>
      <c r="V1066" s="18" t="s">
        <v>2078</v>
      </c>
      <c r="W1066" s="18">
        <v>33</v>
      </c>
      <c r="X1066" s="18" t="s">
        <v>53</v>
      </c>
      <c r="Y1066" s="18" t="s">
        <v>683</v>
      </c>
      <c r="Z1066" s="18" t="s">
        <v>1694</v>
      </c>
      <c r="AA1066" s="18">
        <v>9</v>
      </c>
      <c r="AC1066" s="28" t="s">
        <v>3491</v>
      </c>
      <c r="AD1066" s="28"/>
      <c r="AE1066" s="28" t="s">
        <v>170</v>
      </c>
      <c r="AF1066" s="28" t="s">
        <v>3544</v>
      </c>
      <c r="AG1066" s="28" t="s">
        <v>3518</v>
      </c>
      <c r="AH1066" s="28" t="s">
        <v>3588</v>
      </c>
      <c r="AI1066" s="28" t="s">
        <v>2297</v>
      </c>
      <c r="AJ1066" s="28" t="s">
        <v>2296</v>
      </c>
      <c r="AK1066" s="28" t="s">
        <v>33</v>
      </c>
      <c r="AL1066" s="28" t="s">
        <v>2298</v>
      </c>
    </row>
    <row r="1067" spans="21:39">
      <c r="U1067" s="18">
        <v>1065</v>
      </c>
      <c r="V1067" s="18" t="s">
        <v>2079</v>
      </c>
      <c r="W1067" s="18">
        <v>27</v>
      </c>
      <c r="X1067" s="18" t="s">
        <v>53</v>
      </c>
      <c r="Y1067" s="18" t="s">
        <v>683</v>
      </c>
      <c r="Z1067" s="18" t="s">
        <v>714</v>
      </c>
      <c r="AA1067" s="18">
        <v>19</v>
      </c>
      <c r="AC1067" s="28" t="s">
        <v>3491</v>
      </c>
      <c r="AD1067" s="28"/>
      <c r="AE1067" s="28" t="s">
        <v>170</v>
      </c>
      <c r="AF1067" s="28" t="s">
        <v>3545</v>
      </c>
      <c r="AG1067" s="28" t="s">
        <v>3516</v>
      </c>
      <c r="AH1067" s="28" t="s">
        <v>9</v>
      </c>
      <c r="AI1067" s="28" t="s">
        <v>2301</v>
      </c>
      <c r="AJ1067" s="28" t="s">
        <v>2305</v>
      </c>
      <c r="AK1067" s="28" t="s">
        <v>79</v>
      </c>
      <c r="AL1067" s="28" t="s">
        <v>2298</v>
      </c>
    </row>
    <row r="1068" spans="21:39">
      <c r="U1068" s="18">
        <v>1066</v>
      </c>
      <c r="V1068" s="18" t="s">
        <v>2080</v>
      </c>
      <c r="W1068" s="18">
        <v>28</v>
      </c>
      <c r="X1068" s="18" t="s">
        <v>53</v>
      </c>
      <c r="Y1068" s="18" t="s">
        <v>683</v>
      </c>
      <c r="Z1068" s="18" t="s">
        <v>1388</v>
      </c>
      <c r="AA1068" s="18">
        <v>25</v>
      </c>
      <c r="AC1068" s="28" t="s">
        <v>3491</v>
      </c>
      <c r="AD1068" s="28"/>
      <c r="AE1068" s="28" t="s">
        <v>170</v>
      </c>
      <c r="AF1068" s="28" t="s">
        <v>3546</v>
      </c>
      <c r="AG1068" s="28" t="s">
        <v>3503</v>
      </c>
      <c r="AH1068" s="28" t="s">
        <v>16</v>
      </c>
      <c r="AI1068" s="28" t="s">
        <v>2302</v>
      </c>
      <c r="AJ1068" s="28" t="s">
        <v>2302</v>
      </c>
      <c r="AK1068" s="28" t="s">
        <v>53</v>
      </c>
      <c r="AL1068" s="28" t="s">
        <v>3547</v>
      </c>
    </row>
    <row r="1069" spans="21:39">
      <c r="U1069" s="18">
        <v>1067</v>
      </c>
      <c r="V1069" s="18" t="s">
        <v>2081</v>
      </c>
      <c r="W1069" s="18">
        <v>31</v>
      </c>
      <c r="X1069" s="18" t="s">
        <v>528</v>
      </c>
      <c r="Y1069" s="18" t="s">
        <v>642</v>
      </c>
      <c r="Z1069" s="18" t="s">
        <v>1426</v>
      </c>
      <c r="AA1069" s="18">
        <v>1</v>
      </c>
      <c r="AC1069" s="28" t="s">
        <v>3491</v>
      </c>
      <c r="AD1069" s="28"/>
      <c r="AE1069" s="28" t="s">
        <v>135</v>
      </c>
      <c r="AF1069" s="28" t="s">
        <v>3548</v>
      </c>
      <c r="AG1069" s="28" t="s">
        <v>3501</v>
      </c>
      <c r="AH1069" s="28" t="s">
        <v>5</v>
      </c>
      <c r="AI1069" s="28" t="s">
        <v>2305</v>
      </c>
      <c r="AJ1069" s="28" t="s">
        <v>2302</v>
      </c>
      <c r="AK1069" s="28" t="s">
        <v>46</v>
      </c>
      <c r="AL1069" s="28" t="s">
        <v>2298</v>
      </c>
    </row>
    <row r="1070" spans="21:39">
      <c r="U1070" s="18">
        <v>1068</v>
      </c>
      <c r="V1070" s="18" t="s">
        <v>2082</v>
      </c>
      <c r="W1070" s="18">
        <v>26</v>
      </c>
      <c r="X1070" s="18" t="s">
        <v>528</v>
      </c>
      <c r="Y1070" s="18" t="s">
        <v>642</v>
      </c>
      <c r="Z1070" s="18" t="s">
        <v>2083</v>
      </c>
      <c r="AA1070" s="18">
        <v>16</v>
      </c>
      <c r="AC1070" s="28" t="s">
        <v>3491</v>
      </c>
      <c r="AD1070" s="28"/>
      <c r="AE1070" s="28" t="s">
        <v>135</v>
      </c>
      <c r="AF1070" s="28" t="s">
        <v>3549</v>
      </c>
      <c r="AG1070" s="28" t="s">
        <v>3499</v>
      </c>
      <c r="AH1070" s="28" t="s">
        <v>19</v>
      </c>
      <c r="AI1070" s="28" t="s">
        <v>2305</v>
      </c>
      <c r="AJ1070" s="28" t="s">
        <v>2297</v>
      </c>
      <c r="AK1070" s="28" t="s">
        <v>33</v>
      </c>
      <c r="AL1070" s="28" t="s">
        <v>2298</v>
      </c>
    </row>
    <row r="1071" spans="21:39">
      <c r="U1071" s="18">
        <v>1069</v>
      </c>
      <c r="V1071" s="18" t="s">
        <v>2084</v>
      </c>
      <c r="W1071" s="18">
        <v>21</v>
      </c>
      <c r="X1071" s="18" t="s">
        <v>528</v>
      </c>
      <c r="Y1071" s="18" t="s">
        <v>642</v>
      </c>
      <c r="Z1071" s="18" t="s">
        <v>1634</v>
      </c>
      <c r="AA1071" s="18">
        <v>21</v>
      </c>
      <c r="AC1071" s="28" t="s">
        <v>3491</v>
      </c>
      <c r="AD1071" s="28"/>
      <c r="AE1071" s="28" t="s">
        <v>135</v>
      </c>
      <c r="AF1071" s="28" t="s">
        <v>3519</v>
      </c>
      <c r="AG1071" s="28" t="s">
        <v>3520</v>
      </c>
      <c r="AH1071" s="28" t="s">
        <v>54</v>
      </c>
      <c r="AI1071" s="28" t="s">
        <v>2297</v>
      </c>
      <c r="AJ1071" s="28" t="s">
        <v>2305</v>
      </c>
      <c r="AK1071" s="28" t="s">
        <v>23</v>
      </c>
      <c r="AL1071" s="28" t="s">
        <v>3550</v>
      </c>
    </row>
    <row r="1072" spans="21:39">
      <c r="U1072" s="18">
        <v>1070</v>
      </c>
      <c r="V1072" s="18" t="s">
        <v>2085</v>
      </c>
      <c r="W1072" s="18">
        <v>28</v>
      </c>
      <c r="X1072" s="18" t="s">
        <v>528</v>
      </c>
      <c r="Y1072" s="18" t="s">
        <v>649</v>
      </c>
      <c r="Z1072" s="18" t="s">
        <v>2086</v>
      </c>
      <c r="AA1072" s="18">
        <v>3</v>
      </c>
      <c r="AC1072" s="28" t="s">
        <v>3491</v>
      </c>
      <c r="AD1072" s="28"/>
      <c r="AE1072" s="28" t="s">
        <v>135</v>
      </c>
      <c r="AF1072" s="28" t="s">
        <v>3551</v>
      </c>
      <c r="AG1072" s="28" t="s">
        <v>3522</v>
      </c>
      <c r="AH1072" s="28" t="s">
        <v>9</v>
      </c>
      <c r="AI1072" s="28" t="s">
        <v>2301</v>
      </c>
      <c r="AJ1072" s="28" t="s">
        <v>2297</v>
      </c>
      <c r="AK1072" s="28" t="s">
        <v>16</v>
      </c>
      <c r="AL1072" s="28" t="s">
        <v>3539</v>
      </c>
    </row>
    <row r="1073" spans="21:38">
      <c r="U1073" s="18">
        <v>1071</v>
      </c>
      <c r="V1073" s="18" t="s">
        <v>2087</v>
      </c>
      <c r="W1073" s="18">
        <v>28</v>
      </c>
      <c r="X1073" s="18" t="s">
        <v>528</v>
      </c>
      <c r="Y1073" s="18" t="s">
        <v>649</v>
      </c>
      <c r="Z1073" s="18" t="s">
        <v>769</v>
      </c>
      <c r="AA1073" s="18">
        <v>4</v>
      </c>
      <c r="AC1073" s="28" t="s">
        <v>3491</v>
      </c>
      <c r="AD1073" s="28"/>
      <c r="AE1073" s="28" t="s">
        <v>106</v>
      </c>
      <c r="AF1073" s="28" t="s">
        <v>3543</v>
      </c>
      <c r="AG1073" s="28" t="s">
        <v>3511</v>
      </c>
      <c r="AH1073" s="28" t="s">
        <v>5</v>
      </c>
      <c r="AI1073" s="28" t="s">
        <v>2302</v>
      </c>
      <c r="AJ1073" s="28" t="s">
        <v>2305</v>
      </c>
      <c r="AK1073" s="28" t="s">
        <v>19</v>
      </c>
      <c r="AL1073" s="28" t="s">
        <v>2298</v>
      </c>
    </row>
    <row r="1074" spans="21:38">
      <c r="U1074" s="18">
        <v>1072</v>
      </c>
      <c r="V1074" s="18" t="s">
        <v>2088</v>
      </c>
      <c r="W1074" s="18">
        <v>30</v>
      </c>
      <c r="X1074" s="18" t="s">
        <v>528</v>
      </c>
      <c r="Y1074" s="18" t="s">
        <v>649</v>
      </c>
      <c r="Z1074" s="18" t="s">
        <v>2089</v>
      </c>
      <c r="AA1074" s="18">
        <v>5</v>
      </c>
      <c r="AC1074" s="28" t="s">
        <v>3491</v>
      </c>
      <c r="AD1074" s="28"/>
      <c r="AE1074" s="28" t="s">
        <v>106</v>
      </c>
      <c r="AF1074" s="28" t="s">
        <v>3545</v>
      </c>
      <c r="AG1074" s="28" t="s">
        <v>3516</v>
      </c>
      <c r="AH1074" s="28" t="s">
        <v>23</v>
      </c>
      <c r="AI1074" s="28" t="s">
        <v>2297</v>
      </c>
      <c r="AJ1074" s="28" t="s">
        <v>2305</v>
      </c>
      <c r="AK1074" s="28" t="s">
        <v>9</v>
      </c>
      <c r="AL1074" s="28" t="s">
        <v>2298</v>
      </c>
    </row>
    <row r="1075" spans="21:38">
      <c r="U1075" s="18">
        <v>1073</v>
      </c>
      <c r="V1075" s="18" t="s">
        <v>2090</v>
      </c>
      <c r="W1075" s="18">
        <v>31</v>
      </c>
      <c r="X1075" s="18" t="s">
        <v>528</v>
      </c>
      <c r="Y1075" s="18" t="s">
        <v>649</v>
      </c>
      <c r="Z1075" s="18" t="s">
        <v>1082</v>
      </c>
      <c r="AA1075" s="18">
        <v>22</v>
      </c>
      <c r="AC1075" s="28" t="s">
        <v>3491</v>
      </c>
      <c r="AD1075" s="28"/>
      <c r="AE1075" s="28" t="s">
        <v>3552</v>
      </c>
      <c r="AF1075" s="28" t="s">
        <v>3519</v>
      </c>
      <c r="AG1075" s="28" t="s">
        <v>3520</v>
      </c>
      <c r="AH1075" s="28" t="s">
        <v>5</v>
      </c>
      <c r="AI1075" s="28" t="s">
        <v>2296</v>
      </c>
      <c r="AJ1075" s="28" t="s">
        <v>2316</v>
      </c>
      <c r="AK1075" s="28" t="s">
        <v>23</v>
      </c>
      <c r="AL1075" s="28" t="s">
        <v>2298</v>
      </c>
    </row>
    <row r="1076" spans="21:38">
      <c r="U1076" s="18">
        <v>1074</v>
      </c>
      <c r="V1076" s="18" t="s">
        <v>2091</v>
      </c>
      <c r="W1076" s="18">
        <v>31</v>
      </c>
      <c r="X1076" s="18" t="s">
        <v>528</v>
      </c>
      <c r="Y1076" s="18" t="s">
        <v>657</v>
      </c>
      <c r="Z1076" s="18" t="s">
        <v>1080</v>
      </c>
      <c r="AA1076" s="18">
        <v>12</v>
      </c>
      <c r="AC1076" s="28" t="s">
        <v>3491</v>
      </c>
      <c r="AD1076" s="28"/>
      <c r="AE1076" s="28" t="s">
        <v>3592</v>
      </c>
      <c r="AF1076" s="28" t="s">
        <v>3504</v>
      </c>
      <c r="AG1076" s="28" t="s">
        <v>3505</v>
      </c>
      <c r="AH1076" s="28" t="s">
        <v>19</v>
      </c>
      <c r="AI1076" s="28" t="s">
        <v>2297</v>
      </c>
      <c r="AJ1076" s="28" t="s">
        <v>2302</v>
      </c>
      <c r="AK1076" s="28" t="s">
        <v>9</v>
      </c>
      <c r="AL1076" s="28" t="s">
        <v>3553</v>
      </c>
    </row>
    <row r="1077" spans="21:38">
      <c r="U1077" s="18">
        <v>1075</v>
      </c>
      <c r="V1077" s="18" t="s">
        <v>2092</v>
      </c>
      <c r="W1077" s="18">
        <v>32</v>
      </c>
      <c r="X1077" s="18" t="s">
        <v>528</v>
      </c>
      <c r="Y1077" s="18" t="s">
        <v>657</v>
      </c>
      <c r="Z1077" s="18" t="s">
        <v>1734</v>
      </c>
      <c r="AA1077" s="18">
        <v>26</v>
      </c>
    </row>
    <row r="1078" spans="21:38">
      <c r="U1078" s="18">
        <v>1076</v>
      </c>
      <c r="V1078" s="18" t="s">
        <v>2093</v>
      </c>
      <c r="W1078" s="18">
        <v>28</v>
      </c>
      <c r="X1078" s="18" t="s">
        <v>528</v>
      </c>
      <c r="Y1078" s="18" t="s">
        <v>661</v>
      </c>
      <c r="Z1078" s="18" t="s">
        <v>667</v>
      </c>
      <c r="AA1078" s="18">
        <v>2</v>
      </c>
    </row>
    <row r="1079" spans="21:38">
      <c r="U1079" s="18">
        <v>1077</v>
      </c>
      <c r="V1079" s="18" t="s">
        <v>2094</v>
      </c>
      <c r="W1079" s="18">
        <v>28</v>
      </c>
      <c r="X1079" s="18" t="s">
        <v>528</v>
      </c>
      <c r="Y1079" s="18" t="s">
        <v>661</v>
      </c>
      <c r="Z1079" s="18" t="s">
        <v>2095</v>
      </c>
      <c r="AA1079" s="18">
        <v>24</v>
      </c>
    </row>
    <row r="1080" spans="21:38">
      <c r="U1080" s="18">
        <v>1078</v>
      </c>
      <c r="V1080" s="18" t="s">
        <v>2096</v>
      </c>
      <c r="W1080" s="18">
        <v>21</v>
      </c>
      <c r="X1080" s="18" t="s">
        <v>528</v>
      </c>
      <c r="Y1080" s="18" t="s">
        <v>664</v>
      </c>
      <c r="Z1080" s="18" t="s">
        <v>1082</v>
      </c>
      <c r="AA1080" s="18">
        <v>6</v>
      </c>
    </row>
    <row r="1081" spans="21:38">
      <c r="U1081" s="18">
        <v>1079</v>
      </c>
      <c r="V1081" s="18" t="s">
        <v>2097</v>
      </c>
      <c r="W1081" s="18">
        <v>29</v>
      </c>
      <c r="X1081" s="18" t="s">
        <v>528</v>
      </c>
      <c r="Y1081" s="18" t="s">
        <v>664</v>
      </c>
      <c r="Z1081" s="18" t="s">
        <v>2098</v>
      </c>
      <c r="AA1081" s="18">
        <v>18</v>
      </c>
    </row>
    <row r="1082" spans="21:38">
      <c r="U1082" s="18">
        <v>1080</v>
      </c>
      <c r="V1082" s="18" t="s">
        <v>2099</v>
      </c>
      <c r="W1082" s="18">
        <v>29</v>
      </c>
      <c r="X1082" s="18" t="s">
        <v>528</v>
      </c>
      <c r="Y1082" s="18" t="s">
        <v>669</v>
      </c>
      <c r="Z1082" s="18" t="s">
        <v>2100</v>
      </c>
      <c r="AA1082" s="18">
        <v>8</v>
      </c>
    </row>
    <row r="1083" spans="21:38">
      <c r="U1083" s="18">
        <v>1081</v>
      </c>
      <c r="V1083" s="18" t="s">
        <v>2101</v>
      </c>
      <c r="W1083" s="18">
        <v>21</v>
      </c>
      <c r="X1083" s="18" t="s">
        <v>528</v>
      </c>
      <c r="Y1083" s="18" t="s">
        <v>669</v>
      </c>
      <c r="Z1083" s="18" t="s">
        <v>965</v>
      </c>
      <c r="AA1083" s="18">
        <v>14</v>
      </c>
    </row>
    <row r="1084" spans="21:38">
      <c r="U1084" s="18">
        <v>1082</v>
      </c>
      <c r="V1084" s="18" t="s">
        <v>2102</v>
      </c>
      <c r="W1084" s="18">
        <v>31</v>
      </c>
      <c r="X1084" s="18" t="s">
        <v>528</v>
      </c>
      <c r="Y1084" s="18" t="s">
        <v>669</v>
      </c>
      <c r="Z1084" s="18" t="s">
        <v>1129</v>
      </c>
      <c r="AA1084" s="18">
        <v>15</v>
      </c>
    </row>
    <row r="1085" spans="21:38">
      <c r="U1085" s="18">
        <v>1083</v>
      </c>
      <c r="V1085" s="18" t="s">
        <v>2103</v>
      </c>
      <c r="W1085" s="18">
        <v>28</v>
      </c>
      <c r="X1085" s="18" t="s">
        <v>528</v>
      </c>
      <c r="Y1085" s="18" t="s">
        <v>669</v>
      </c>
      <c r="Z1085" s="18" t="s">
        <v>1239</v>
      </c>
      <c r="AA1085" s="18">
        <v>25</v>
      </c>
    </row>
    <row r="1086" spans="21:38">
      <c r="U1086" s="18">
        <v>1084</v>
      </c>
      <c r="V1086" s="18" t="s">
        <v>2104</v>
      </c>
      <c r="W1086" s="18">
        <v>30</v>
      </c>
      <c r="X1086" s="18" t="s">
        <v>528</v>
      </c>
      <c r="Y1086" s="18" t="s">
        <v>675</v>
      </c>
      <c r="Z1086" s="18" t="s">
        <v>2105</v>
      </c>
      <c r="AA1086" s="18">
        <v>10</v>
      </c>
    </row>
    <row r="1087" spans="21:38">
      <c r="U1087" s="18">
        <v>1085</v>
      </c>
      <c r="V1087" s="18" t="s">
        <v>2106</v>
      </c>
      <c r="W1087" s="18">
        <v>24</v>
      </c>
      <c r="X1087" s="18" t="s">
        <v>528</v>
      </c>
      <c r="Y1087" s="18" t="s">
        <v>679</v>
      </c>
      <c r="Z1087" s="18" t="s">
        <v>2107</v>
      </c>
      <c r="AA1087" s="18">
        <v>7</v>
      </c>
    </row>
    <row r="1088" spans="21:38">
      <c r="U1088" s="18">
        <v>1086</v>
      </c>
      <c r="V1088" s="18" t="s">
        <v>2108</v>
      </c>
      <c r="W1088" s="18">
        <v>28</v>
      </c>
      <c r="X1088" s="18" t="s">
        <v>528</v>
      </c>
      <c r="Y1088" s="18" t="s">
        <v>679</v>
      </c>
      <c r="Z1088" s="18" t="s">
        <v>2109</v>
      </c>
      <c r="AA1088" s="18">
        <v>13</v>
      </c>
    </row>
    <row r="1089" spans="21:27">
      <c r="U1089" s="18">
        <v>1087</v>
      </c>
      <c r="V1089" s="18" t="s">
        <v>2110</v>
      </c>
      <c r="W1089" s="18">
        <v>29</v>
      </c>
      <c r="X1089" s="18" t="s">
        <v>528</v>
      </c>
      <c r="Y1089" s="18" t="s">
        <v>679</v>
      </c>
      <c r="Z1089" s="18" t="s">
        <v>1003</v>
      </c>
      <c r="AA1089" s="18">
        <v>20</v>
      </c>
    </row>
    <row r="1090" spans="21:27">
      <c r="U1090" s="18">
        <v>1088</v>
      </c>
      <c r="V1090" s="18" t="s">
        <v>2111</v>
      </c>
      <c r="W1090" s="18">
        <v>28</v>
      </c>
      <c r="X1090" s="18" t="s">
        <v>528</v>
      </c>
      <c r="Y1090" s="18" t="s">
        <v>681</v>
      </c>
      <c r="Z1090" s="18" t="s">
        <v>1235</v>
      </c>
      <c r="AA1090" s="18">
        <v>9</v>
      </c>
    </row>
    <row r="1091" spans="21:27">
      <c r="U1091" s="18">
        <v>1089</v>
      </c>
      <c r="V1091" s="18" t="s">
        <v>2112</v>
      </c>
      <c r="W1091" s="18">
        <v>34</v>
      </c>
      <c r="X1091" s="18" t="s">
        <v>528</v>
      </c>
      <c r="Y1091" s="18" t="s">
        <v>681</v>
      </c>
      <c r="Z1091" s="18" t="s">
        <v>2089</v>
      </c>
      <c r="AA1091" s="18">
        <v>11</v>
      </c>
    </row>
    <row r="1092" spans="21:27">
      <c r="U1092" s="18">
        <v>1090</v>
      </c>
      <c r="V1092" s="18" t="s">
        <v>2113</v>
      </c>
      <c r="W1092" s="18">
        <v>35</v>
      </c>
      <c r="X1092" s="18" t="s">
        <v>528</v>
      </c>
      <c r="Y1092" s="18" t="s">
        <v>683</v>
      </c>
      <c r="Z1092" s="18" t="s">
        <v>714</v>
      </c>
      <c r="AA1092" s="18">
        <v>17</v>
      </c>
    </row>
    <row r="1093" spans="21:27">
      <c r="U1093" s="18">
        <v>1091</v>
      </c>
      <c r="V1093" s="18" t="s">
        <v>2114</v>
      </c>
      <c r="W1093" s="18">
        <v>31</v>
      </c>
      <c r="X1093" s="18" t="s">
        <v>528</v>
      </c>
      <c r="Y1093" s="18" t="s">
        <v>683</v>
      </c>
      <c r="Z1093" s="18" t="s">
        <v>1578</v>
      </c>
      <c r="AA1093" s="18">
        <v>19</v>
      </c>
    </row>
    <row r="1094" spans="21:27">
      <c r="U1094" s="18">
        <v>1092</v>
      </c>
      <c r="V1094" s="18" t="s">
        <v>2115</v>
      </c>
      <c r="W1094" s="18">
        <v>29</v>
      </c>
      <c r="X1094" s="18" t="s">
        <v>528</v>
      </c>
      <c r="Y1094" s="18" t="s">
        <v>683</v>
      </c>
      <c r="Z1094" s="18" t="s">
        <v>2116</v>
      </c>
      <c r="AA1094" s="18">
        <v>23</v>
      </c>
    </row>
    <row r="1095" spans="21:27">
      <c r="U1095" s="18">
        <v>1093</v>
      </c>
      <c r="V1095" s="18" t="s">
        <v>2117</v>
      </c>
      <c r="W1095" s="18">
        <v>26</v>
      </c>
      <c r="X1095" s="18" t="s">
        <v>30</v>
      </c>
      <c r="Y1095" s="18" t="s">
        <v>642</v>
      </c>
      <c r="Z1095" s="18" t="s">
        <v>1202</v>
      </c>
      <c r="AA1095" s="18">
        <v>1</v>
      </c>
    </row>
    <row r="1096" spans="21:27">
      <c r="U1096" s="18">
        <v>1094</v>
      </c>
      <c r="V1096" s="18" t="s">
        <v>2118</v>
      </c>
      <c r="W1096" s="18">
        <v>33</v>
      </c>
      <c r="X1096" s="18" t="s">
        <v>30</v>
      </c>
      <c r="Y1096" s="18" t="s">
        <v>642</v>
      </c>
      <c r="Z1096" s="18" t="s">
        <v>655</v>
      </c>
      <c r="AA1096" s="18">
        <v>12</v>
      </c>
    </row>
    <row r="1097" spans="21:27">
      <c r="U1097" s="18">
        <v>1095</v>
      </c>
      <c r="V1097" s="18" t="s">
        <v>2119</v>
      </c>
      <c r="W1097" s="18">
        <v>32</v>
      </c>
      <c r="X1097" s="18" t="s">
        <v>30</v>
      </c>
      <c r="Y1097" s="18" t="s">
        <v>642</v>
      </c>
      <c r="Z1097" s="18" t="s">
        <v>1388</v>
      </c>
      <c r="AA1097" s="18">
        <v>22</v>
      </c>
    </row>
    <row r="1098" spans="21:27">
      <c r="U1098" s="18">
        <v>1096</v>
      </c>
      <c r="V1098" s="18" t="s">
        <v>2120</v>
      </c>
      <c r="W1098" s="18">
        <v>29</v>
      </c>
      <c r="X1098" s="18" t="s">
        <v>30</v>
      </c>
      <c r="Y1098" s="18" t="s">
        <v>649</v>
      </c>
      <c r="Z1098" s="18" t="s">
        <v>1454</v>
      </c>
      <c r="AA1098" s="18">
        <v>3</v>
      </c>
    </row>
    <row r="1099" spans="21:27">
      <c r="U1099" s="18">
        <v>1097</v>
      </c>
      <c r="V1099" s="18" t="s">
        <v>2121</v>
      </c>
      <c r="W1099" s="18">
        <v>24</v>
      </c>
      <c r="X1099" s="18" t="s">
        <v>30</v>
      </c>
      <c r="Y1099" s="18" t="s">
        <v>649</v>
      </c>
      <c r="Z1099" s="18" t="s">
        <v>839</v>
      </c>
      <c r="AA1099" s="18">
        <v>4</v>
      </c>
    </row>
    <row r="1100" spans="21:27">
      <c r="U1100" s="18">
        <v>1098</v>
      </c>
      <c r="V1100" s="18" t="s">
        <v>2122</v>
      </c>
      <c r="W1100" s="18">
        <v>22</v>
      </c>
      <c r="X1100" s="18" t="s">
        <v>30</v>
      </c>
      <c r="Y1100" s="18" t="s">
        <v>649</v>
      </c>
      <c r="Z1100" s="18" t="s">
        <v>901</v>
      </c>
      <c r="AA1100" s="18">
        <v>13</v>
      </c>
    </row>
    <row r="1101" spans="21:27">
      <c r="U1101" s="18">
        <v>1099</v>
      </c>
      <c r="V1101" s="18" t="s">
        <v>2123</v>
      </c>
      <c r="W1101" s="18">
        <v>24</v>
      </c>
      <c r="X1101" s="18" t="s">
        <v>30</v>
      </c>
      <c r="Y1101" s="18" t="s">
        <v>649</v>
      </c>
      <c r="Z1101" s="18" t="s">
        <v>1388</v>
      </c>
      <c r="AA1101" s="18">
        <v>14</v>
      </c>
    </row>
    <row r="1102" spans="21:27">
      <c r="U1102" s="18">
        <v>1100</v>
      </c>
      <c r="V1102" s="18" t="s">
        <v>2124</v>
      </c>
      <c r="W1102" s="18">
        <v>23</v>
      </c>
      <c r="X1102" s="18" t="s">
        <v>30</v>
      </c>
      <c r="Y1102" s="18" t="s">
        <v>657</v>
      </c>
      <c r="Z1102" s="18" t="s">
        <v>813</v>
      </c>
      <c r="AA1102" s="18">
        <v>25</v>
      </c>
    </row>
    <row r="1103" spans="21:27">
      <c r="U1103" s="18">
        <v>1101</v>
      </c>
      <c r="V1103" s="18" t="s">
        <v>2125</v>
      </c>
      <c r="W1103" s="18">
        <v>32</v>
      </c>
      <c r="X1103" s="18" t="s">
        <v>30</v>
      </c>
      <c r="Y1103" s="18" t="s">
        <v>661</v>
      </c>
      <c r="Z1103" s="18" t="s">
        <v>707</v>
      </c>
      <c r="AA1103" s="18">
        <v>2</v>
      </c>
    </row>
    <row r="1104" spans="21:27">
      <c r="U1104" s="18">
        <v>1102</v>
      </c>
      <c r="V1104" s="18" t="s">
        <v>2126</v>
      </c>
      <c r="W1104" s="18">
        <v>27</v>
      </c>
      <c r="X1104" s="18" t="s">
        <v>30</v>
      </c>
      <c r="Y1104" s="18" t="s">
        <v>661</v>
      </c>
      <c r="Z1104" s="18" t="s">
        <v>996</v>
      </c>
      <c r="AA1104" s="18">
        <v>5</v>
      </c>
    </row>
    <row r="1105" spans="21:27">
      <c r="U1105" s="18">
        <v>1103</v>
      </c>
      <c r="V1105" s="18" t="s">
        <v>2127</v>
      </c>
      <c r="W1105" s="18">
        <v>32</v>
      </c>
      <c r="X1105" s="18" t="s">
        <v>30</v>
      </c>
      <c r="Y1105" s="18" t="s">
        <v>661</v>
      </c>
      <c r="Z1105" s="18" t="s">
        <v>1008</v>
      </c>
      <c r="AA1105" s="18">
        <v>20</v>
      </c>
    </row>
    <row r="1106" spans="21:27">
      <c r="U1106" s="18">
        <v>1104</v>
      </c>
      <c r="V1106" s="18" t="s">
        <v>2128</v>
      </c>
      <c r="W1106" s="18">
        <v>29</v>
      </c>
      <c r="X1106" s="18" t="s">
        <v>30</v>
      </c>
      <c r="Y1106" s="18" t="s">
        <v>664</v>
      </c>
      <c r="Z1106" s="18" t="s">
        <v>1063</v>
      </c>
      <c r="AA1106" s="18">
        <v>21</v>
      </c>
    </row>
    <row r="1107" spans="21:27">
      <c r="U1107" s="18">
        <v>1105</v>
      </c>
      <c r="V1107" s="18" t="s">
        <v>2129</v>
      </c>
      <c r="W1107" s="18">
        <v>25</v>
      </c>
      <c r="X1107" s="18" t="s">
        <v>30</v>
      </c>
      <c r="Y1107" s="18" t="s">
        <v>664</v>
      </c>
      <c r="Z1107" s="18" t="s">
        <v>2060</v>
      </c>
      <c r="AA1107" s="18">
        <v>24</v>
      </c>
    </row>
    <row r="1108" spans="21:27">
      <c r="U1108" s="18">
        <v>1106</v>
      </c>
      <c r="V1108" s="18" t="s">
        <v>2130</v>
      </c>
      <c r="W1108" s="18">
        <v>27</v>
      </c>
      <c r="X1108" s="18" t="s">
        <v>30</v>
      </c>
      <c r="Y1108" s="18" t="s">
        <v>669</v>
      </c>
      <c r="Z1108" s="18" t="s">
        <v>1454</v>
      </c>
      <c r="AA1108" s="18">
        <v>6</v>
      </c>
    </row>
    <row r="1109" spans="21:27">
      <c r="U1109" s="18">
        <v>1107</v>
      </c>
      <c r="V1109" s="18" t="s">
        <v>2131</v>
      </c>
      <c r="W1109" s="18">
        <v>21</v>
      </c>
      <c r="X1109" s="18" t="s">
        <v>30</v>
      </c>
      <c r="Y1109" s="18" t="s">
        <v>669</v>
      </c>
      <c r="Z1109" s="18" t="s">
        <v>813</v>
      </c>
      <c r="AA1109" s="18">
        <v>15</v>
      </c>
    </row>
    <row r="1110" spans="21:27">
      <c r="U1110" s="18">
        <v>1108</v>
      </c>
      <c r="V1110" s="18" t="s">
        <v>2132</v>
      </c>
      <c r="W1110" s="18">
        <v>26</v>
      </c>
      <c r="X1110" s="18" t="s">
        <v>30</v>
      </c>
      <c r="Y1110" s="18" t="s">
        <v>669</v>
      </c>
      <c r="Z1110" s="18" t="s">
        <v>813</v>
      </c>
      <c r="AA1110" s="18">
        <v>23</v>
      </c>
    </row>
    <row r="1111" spans="21:27">
      <c r="U1111" s="18">
        <v>1109</v>
      </c>
      <c r="V1111" s="18" t="s">
        <v>2133</v>
      </c>
      <c r="W1111" s="18">
        <v>31</v>
      </c>
      <c r="X1111" s="18" t="s">
        <v>30</v>
      </c>
      <c r="Y1111" s="18" t="s">
        <v>675</v>
      </c>
      <c r="Z1111" s="18" t="s">
        <v>996</v>
      </c>
      <c r="AA1111" s="18">
        <v>8</v>
      </c>
    </row>
    <row r="1112" spans="21:27">
      <c r="U1112" s="18">
        <v>1110</v>
      </c>
      <c r="V1112" s="18" t="s">
        <v>2134</v>
      </c>
      <c r="W1112" s="18">
        <v>31</v>
      </c>
      <c r="X1112" s="18" t="s">
        <v>30</v>
      </c>
      <c r="Y1112" s="18" t="s">
        <v>675</v>
      </c>
      <c r="Z1112" s="18" t="s">
        <v>1454</v>
      </c>
      <c r="AA1112" s="18">
        <v>10</v>
      </c>
    </row>
    <row r="1113" spans="21:27">
      <c r="U1113" s="18">
        <v>1111</v>
      </c>
      <c r="V1113" s="18" t="s">
        <v>2135</v>
      </c>
      <c r="W1113" s="18">
        <v>27</v>
      </c>
      <c r="X1113" s="18" t="s">
        <v>30</v>
      </c>
      <c r="Y1113" s="18" t="s">
        <v>679</v>
      </c>
      <c r="Z1113" s="18" t="s">
        <v>731</v>
      </c>
      <c r="AA1113" s="18">
        <v>17</v>
      </c>
    </row>
    <row r="1114" spans="21:27">
      <c r="U1114" s="18">
        <v>1112</v>
      </c>
      <c r="V1114" s="18" t="s">
        <v>2136</v>
      </c>
      <c r="W1114" s="18">
        <v>29</v>
      </c>
      <c r="X1114" s="18" t="s">
        <v>30</v>
      </c>
      <c r="Y1114" s="18" t="s">
        <v>679</v>
      </c>
      <c r="Z1114" s="18" t="s">
        <v>1437</v>
      </c>
      <c r="AA1114" s="18">
        <v>19</v>
      </c>
    </row>
    <row r="1115" spans="21:27">
      <c r="U1115" s="18">
        <v>1113</v>
      </c>
      <c r="V1115" s="18" t="s">
        <v>2137</v>
      </c>
      <c r="W1115" s="18">
        <v>26</v>
      </c>
      <c r="X1115" s="18" t="s">
        <v>30</v>
      </c>
      <c r="Y1115" s="18" t="s">
        <v>681</v>
      </c>
      <c r="Z1115" s="18" t="s">
        <v>1388</v>
      </c>
      <c r="AA1115" s="18">
        <v>16</v>
      </c>
    </row>
    <row r="1116" spans="21:27">
      <c r="U1116" s="18">
        <v>1114</v>
      </c>
      <c r="V1116" s="18" t="s">
        <v>2138</v>
      </c>
      <c r="W1116" s="18">
        <v>26</v>
      </c>
      <c r="X1116" s="18" t="s">
        <v>30</v>
      </c>
      <c r="Y1116" s="18" t="s">
        <v>681</v>
      </c>
      <c r="Z1116" s="18" t="s">
        <v>1339</v>
      </c>
      <c r="AA1116" s="18">
        <v>18</v>
      </c>
    </row>
    <row r="1117" spans="21:27">
      <c r="U1117" s="18">
        <v>1115</v>
      </c>
      <c r="V1117" s="18" t="s">
        <v>2139</v>
      </c>
      <c r="W1117" s="18">
        <v>23</v>
      </c>
      <c r="X1117" s="18" t="s">
        <v>30</v>
      </c>
      <c r="Y1117" s="18" t="s">
        <v>681</v>
      </c>
      <c r="Z1117" s="18" t="s">
        <v>905</v>
      </c>
      <c r="AA1117" s="18">
        <v>26</v>
      </c>
    </row>
    <row r="1118" spans="21:27">
      <c r="U1118" s="18">
        <v>1116</v>
      </c>
      <c r="V1118" s="18" t="s">
        <v>324</v>
      </c>
      <c r="W1118" s="18">
        <v>41</v>
      </c>
      <c r="X1118" s="18" t="s">
        <v>30</v>
      </c>
      <c r="Y1118" s="18" t="s">
        <v>683</v>
      </c>
      <c r="Z1118" s="18" t="s">
        <v>1721</v>
      </c>
      <c r="AA1118" s="18">
        <v>7</v>
      </c>
    </row>
    <row r="1119" spans="21:27">
      <c r="U1119" s="18">
        <v>1117</v>
      </c>
      <c r="V1119" s="18" t="s">
        <v>2140</v>
      </c>
      <c r="W1119" s="18">
        <v>24</v>
      </c>
      <c r="X1119" s="18" t="s">
        <v>30</v>
      </c>
      <c r="Y1119" s="18" t="s">
        <v>683</v>
      </c>
      <c r="Z1119" s="18" t="s">
        <v>813</v>
      </c>
      <c r="AA1119" s="18">
        <v>9</v>
      </c>
    </row>
    <row r="1120" spans="21:27">
      <c r="U1120" s="18">
        <v>1118</v>
      </c>
      <c r="V1120" s="18" t="s">
        <v>2141</v>
      </c>
      <c r="W1120" s="18">
        <v>26</v>
      </c>
      <c r="X1120" s="18" t="s">
        <v>30</v>
      </c>
      <c r="Y1120" s="18" t="s">
        <v>683</v>
      </c>
      <c r="Z1120" s="18" t="s">
        <v>1721</v>
      </c>
      <c r="AA1120" s="18">
        <v>11</v>
      </c>
    </row>
    <row r="1121" spans="21:27">
      <c r="U1121" s="18">
        <v>1119</v>
      </c>
      <c r="V1121" s="18" t="s">
        <v>2142</v>
      </c>
      <c r="W1121" s="18">
        <v>35</v>
      </c>
      <c r="X1121" s="18" t="s">
        <v>83</v>
      </c>
      <c r="Y1121" s="18" t="s">
        <v>642</v>
      </c>
      <c r="Z1121" s="18" t="s">
        <v>2143</v>
      </c>
      <c r="AA1121" s="18">
        <v>1</v>
      </c>
    </row>
    <row r="1122" spans="21:27">
      <c r="U1122" s="18">
        <v>1120</v>
      </c>
      <c r="V1122" s="18" t="s">
        <v>2144</v>
      </c>
      <c r="W1122" s="18">
        <v>25</v>
      </c>
      <c r="X1122" s="18" t="s">
        <v>83</v>
      </c>
      <c r="Y1122" s="18" t="s">
        <v>642</v>
      </c>
      <c r="Z1122" s="18" t="s">
        <v>2145</v>
      </c>
      <c r="AA1122" s="18">
        <v>12</v>
      </c>
    </row>
    <row r="1123" spans="21:27">
      <c r="U1123" s="18">
        <v>1121</v>
      </c>
      <c r="V1123" s="18" t="s">
        <v>2146</v>
      </c>
      <c r="W1123" s="18">
        <v>30</v>
      </c>
      <c r="X1123" s="18" t="s">
        <v>83</v>
      </c>
      <c r="Y1123" s="18" t="s">
        <v>642</v>
      </c>
      <c r="Z1123" s="18" t="s">
        <v>2147</v>
      </c>
      <c r="AA1123" s="18">
        <v>16</v>
      </c>
    </row>
    <row r="1124" spans="21:27">
      <c r="U1124" s="18">
        <v>1122</v>
      </c>
      <c r="V1124" s="18" t="s">
        <v>2148</v>
      </c>
      <c r="W1124" s="18">
        <v>22</v>
      </c>
      <c r="X1124" s="18" t="s">
        <v>83</v>
      </c>
      <c r="Y1124" s="18" t="s">
        <v>649</v>
      </c>
      <c r="Z1124" s="18" t="s">
        <v>1454</v>
      </c>
      <c r="AA1124" s="18">
        <v>2</v>
      </c>
    </row>
    <row r="1125" spans="21:27">
      <c r="U1125" s="18">
        <v>1123</v>
      </c>
      <c r="V1125" s="18" t="s">
        <v>2149</v>
      </c>
      <c r="W1125" s="18">
        <v>29</v>
      </c>
      <c r="X1125" s="18" t="s">
        <v>83</v>
      </c>
      <c r="Y1125" s="18" t="s">
        <v>649</v>
      </c>
      <c r="Z1125" s="18" t="s">
        <v>1059</v>
      </c>
      <c r="AA1125" s="18">
        <v>5</v>
      </c>
    </row>
    <row r="1126" spans="21:27">
      <c r="U1126" s="18">
        <v>1124</v>
      </c>
      <c r="V1126" s="18" t="s">
        <v>2150</v>
      </c>
      <c r="W1126" s="18">
        <v>33</v>
      </c>
      <c r="X1126" s="18" t="s">
        <v>83</v>
      </c>
      <c r="Y1126" s="18" t="s">
        <v>649</v>
      </c>
      <c r="Z1126" s="18" t="s">
        <v>2145</v>
      </c>
      <c r="AA1126" s="18">
        <v>15</v>
      </c>
    </row>
    <row r="1127" spans="21:27">
      <c r="U1127" s="18">
        <v>1125</v>
      </c>
      <c r="V1127" s="18" t="s">
        <v>2151</v>
      </c>
      <c r="W1127" s="18">
        <v>28</v>
      </c>
      <c r="X1127" s="18" t="s">
        <v>83</v>
      </c>
      <c r="Y1127" s="18" t="s">
        <v>649</v>
      </c>
      <c r="Z1127" s="18" t="s">
        <v>1870</v>
      </c>
      <c r="AA1127" s="18">
        <v>18</v>
      </c>
    </row>
    <row r="1128" spans="21:27">
      <c r="U1128" s="18">
        <v>1126</v>
      </c>
      <c r="V1128" s="18" t="s">
        <v>2152</v>
      </c>
      <c r="W1128" s="18">
        <v>26</v>
      </c>
      <c r="X1128" s="18" t="s">
        <v>83</v>
      </c>
      <c r="Y1128" s="18" t="s">
        <v>649</v>
      </c>
      <c r="Z1128" s="18" t="s">
        <v>2153</v>
      </c>
      <c r="AA1128" s="18">
        <v>25</v>
      </c>
    </row>
    <row r="1129" spans="21:27">
      <c r="U1129" s="18">
        <v>1127</v>
      </c>
      <c r="V1129" s="18" t="s">
        <v>2154</v>
      </c>
      <c r="W1129" s="18">
        <v>22</v>
      </c>
      <c r="X1129" s="18" t="s">
        <v>83</v>
      </c>
      <c r="Y1129" s="18" t="s">
        <v>649</v>
      </c>
      <c r="Z1129" s="18" t="s">
        <v>2155</v>
      </c>
      <c r="AA1129" s="18">
        <v>26</v>
      </c>
    </row>
    <row r="1130" spans="21:27">
      <c r="U1130" s="18">
        <v>1128</v>
      </c>
      <c r="V1130" s="18" t="s">
        <v>2156</v>
      </c>
      <c r="W1130" s="18">
        <v>35</v>
      </c>
      <c r="X1130" s="18" t="s">
        <v>83</v>
      </c>
      <c r="Y1130" s="18" t="s">
        <v>657</v>
      </c>
      <c r="Z1130" s="18" t="s">
        <v>2147</v>
      </c>
      <c r="AA1130" s="18">
        <v>4</v>
      </c>
    </row>
    <row r="1131" spans="21:27">
      <c r="U1131" s="18">
        <v>1129</v>
      </c>
      <c r="V1131" s="18" t="s">
        <v>2157</v>
      </c>
      <c r="W1131" s="18">
        <v>27</v>
      </c>
      <c r="X1131" s="18" t="s">
        <v>83</v>
      </c>
      <c r="Y1131" s="18" t="s">
        <v>657</v>
      </c>
      <c r="Z1131" s="18" t="s">
        <v>2145</v>
      </c>
      <c r="AA1131" s="18">
        <v>13</v>
      </c>
    </row>
    <row r="1132" spans="21:27">
      <c r="U1132" s="18">
        <v>1130</v>
      </c>
      <c r="V1132" s="18" t="s">
        <v>2158</v>
      </c>
      <c r="W1132" s="18">
        <v>18</v>
      </c>
      <c r="X1132" s="18" t="s">
        <v>83</v>
      </c>
      <c r="Y1132" s="18" t="s">
        <v>657</v>
      </c>
      <c r="Z1132" s="18" t="s">
        <v>2159</v>
      </c>
      <c r="AA1132" s="18">
        <v>24</v>
      </c>
    </row>
    <row r="1133" spans="21:27">
      <c r="U1133" s="18">
        <v>1131</v>
      </c>
      <c r="V1133" s="18" t="s">
        <v>2160</v>
      </c>
      <c r="W1133" s="18">
        <v>29</v>
      </c>
      <c r="X1133" s="18" t="s">
        <v>83</v>
      </c>
      <c r="Y1133" s="18" t="s">
        <v>661</v>
      </c>
      <c r="Z1133" s="18" t="s">
        <v>1839</v>
      </c>
      <c r="AA1133" s="18">
        <v>3</v>
      </c>
    </row>
    <row r="1134" spans="21:27">
      <c r="U1134" s="18">
        <v>1132</v>
      </c>
      <c r="V1134" s="18" t="s">
        <v>2161</v>
      </c>
      <c r="W1134" s="18">
        <v>27</v>
      </c>
      <c r="X1134" s="18" t="s">
        <v>83</v>
      </c>
      <c r="Y1134" s="18" t="s">
        <v>664</v>
      </c>
      <c r="Z1134" s="18" t="s">
        <v>1839</v>
      </c>
      <c r="AA1134" s="18">
        <v>6</v>
      </c>
    </row>
    <row r="1135" spans="21:27">
      <c r="U1135" s="18">
        <v>1133</v>
      </c>
      <c r="V1135" s="18" t="s">
        <v>2162</v>
      </c>
      <c r="W1135" s="18">
        <v>30</v>
      </c>
      <c r="X1135" s="18" t="s">
        <v>83</v>
      </c>
      <c r="Y1135" s="18" t="s">
        <v>664</v>
      </c>
      <c r="Z1135" s="18" t="s">
        <v>1599</v>
      </c>
      <c r="AA1135" s="18">
        <v>9</v>
      </c>
    </row>
    <row r="1136" spans="21:27">
      <c r="U1136" s="18">
        <v>1134</v>
      </c>
      <c r="V1136" s="18" t="s">
        <v>2163</v>
      </c>
      <c r="W1136" s="18">
        <v>29</v>
      </c>
      <c r="X1136" s="18" t="s">
        <v>83</v>
      </c>
      <c r="Y1136" s="18" t="s">
        <v>669</v>
      </c>
      <c r="Z1136" s="18" t="s">
        <v>2164</v>
      </c>
      <c r="AA1136" s="18">
        <v>7</v>
      </c>
    </row>
    <row r="1137" spans="21:27">
      <c r="U1137" s="18">
        <v>1135</v>
      </c>
      <c r="V1137" s="18" t="s">
        <v>2165</v>
      </c>
      <c r="W1137" s="18">
        <v>32</v>
      </c>
      <c r="X1137" s="18" t="s">
        <v>83</v>
      </c>
      <c r="Y1137" s="18" t="s">
        <v>669</v>
      </c>
      <c r="Z1137" s="18" t="s">
        <v>2147</v>
      </c>
      <c r="AA1137" s="18">
        <v>8</v>
      </c>
    </row>
    <row r="1138" spans="21:27">
      <c r="U1138" s="18">
        <v>1136</v>
      </c>
      <c r="V1138" s="18" t="s">
        <v>2166</v>
      </c>
      <c r="W1138" s="18">
        <v>28</v>
      </c>
      <c r="X1138" s="18" t="s">
        <v>83</v>
      </c>
      <c r="Y1138" s="18" t="s">
        <v>669</v>
      </c>
      <c r="Z1138" s="18" t="s">
        <v>1682</v>
      </c>
      <c r="AA1138" s="18">
        <v>19</v>
      </c>
    </row>
    <row r="1139" spans="21:27">
      <c r="U1139" s="18">
        <v>1137</v>
      </c>
      <c r="V1139" s="18" t="s">
        <v>2167</v>
      </c>
      <c r="W1139" s="18">
        <v>23</v>
      </c>
      <c r="X1139" s="18" t="s">
        <v>83</v>
      </c>
      <c r="Y1139" s="18" t="s">
        <v>669</v>
      </c>
      <c r="Z1139" s="18" t="s">
        <v>2168</v>
      </c>
      <c r="AA1139" s="18">
        <v>23</v>
      </c>
    </row>
    <row r="1140" spans="21:27">
      <c r="U1140" s="18">
        <v>1138</v>
      </c>
      <c r="V1140" s="18" t="s">
        <v>2169</v>
      </c>
      <c r="W1140" s="18">
        <v>25</v>
      </c>
      <c r="X1140" s="18" t="s">
        <v>83</v>
      </c>
      <c r="Y1140" s="18" t="s">
        <v>675</v>
      </c>
      <c r="Z1140" s="18" t="s">
        <v>2143</v>
      </c>
      <c r="AA1140" s="18">
        <v>10</v>
      </c>
    </row>
    <row r="1141" spans="21:27">
      <c r="U1141" s="18">
        <v>1139</v>
      </c>
      <c r="V1141" s="18" t="s">
        <v>2170</v>
      </c>
      <c r="W1141" s="18">
        <v>29</v>
      </c>
      <c r="X1141" s="18" t="s">
        <v>83</v>
      </c>
      <c r="Y1141" s="18" t="s">
        <v>675</v>
      </c>
      <c r="Z1141" s="18" t="s">
        <v>1839</v>
      </c>
      <c r="AA1141" s="18">
        <v>17</v>
      </c>
    </row>
    <row r="1142" spans="21:27">
      <c r="U1142" s="18">
        <v>1140</v>
      </c>
      <c r="V1142" s="18" t="s">
        <v>2171</v>
      </c>
      <c r="W1142" s="18">
        <v>22</v>
      </c>
      <c r="X1142" s="18" t="s">
        <v>83</v>
      </c>
      <c r="Y1142" s="18" t="s">
        <v>675</v>
      </c>
      <c r="Z1142" s="18" t="s">
        <v>1395</v>
      </c>
      <c r="AA1142" s="18">
        <v>22</v>
      </c>
    </row>
    <row r="1143" spans="21:27">
      <c r="U1143" s="18">
        <v>1141</v>
      </c>
      <c r="V1143" s="18" t="s">
        <v>2172</v>
      </c>
      <c r="W1143" s="18">
        <v>25</v>
      </c>
      <c r="X1143" s="18" t="s">
        <v>83</v>
      </c>
      <c r="Y1143" s="18" t="s">
        <v>679</v>
      </c>
      <c r="Z1143" s="18" t="s">
        <v>1601</v>
      </c>
      <c r="AA1143" s="18">
        <v>11</v>
      </c>
    </row>
    <row r="1144" spans="21:27">
      <c r="U1144" s="18">
        <v>1142</v>
      </c>
      <c r="V1144" s="18" t="s">
        <v>2173</v>
      </c>
      <c r="W1144" s="18">
        <v>28</v>
      </c>
      <c r="X1144" s="18" t="s">
        <v>83</v>
      </c>
      <c r="Y1144" s="18" t="s">
        <v>681</v>
      </c>
      <c r="Z1144" s="18" t="s">
        <v>2155</v>
      </c>
      <c r="AA1144" s="18">
        <v>20</v>
      </c>
    </row>
    <row r="1145" spans="21:27">
      <c r="U1145" s="18">
        <v>1143</v>
      </c>
      <c r="V1145" s="18" t="s">
        <v>2174</v>
      </c>
      <c r="W1145" s="18">
        <v>30</v>
      </c>
      <c r="X1145" s="18" t="s">
        <v>83</v>
      </c>
      <c r="Y1145" s="18" t="s">
        <v>683</v>
      </c>
      <c r="Z1145" s="18" t="s">
        <v>1395</v>
      </c>
      <c r="AA1145" s="18">
        <v>14</v>
      </c>
    </row>
    <row r="1146" spans="21:27">
      <c r="U1146" s="18">
        <v>1144</v>
      </c>
      <c r="V1146" s="18" t="s">
        <v>2175</v>
      </c>
      <c r="W1146" s="18">
        <v>33</v>
      </c>
      <c r="X1146" s="18" t="s">
        <v>83</v>
      </c>
      <c r="Y1146" s="18" t="s">
        <v>683</v>
      </c>
      <c r="Z1146" s="18" t="s">
        <v>1601</v>
      </c>
      <c r="AA1146" s="18">
        <v>21</v>
      </c>
    </row>
    <row r="1147" spans="21:27">
      <c r="U1147" s="18">
        <v>1145</v>
      </c>
      <c r="V1147" s="18" t="s">
        <v>431</v>
      </c>
      <c r="W1147" s="18">
        <v>31</v>
      </c>
      <c r="X1147" s="18" t="s">
        <v>63</v>
      </c>
      <c r="Y1147" s="18" t="s">
        <v>642</v>
      </c>
      <c r="Z1147" s="18" t="s">
        <v>1113</v>
      </c>
      <c r="AA1147" s="18">
        <v>1</v>
      </c>
    </row>
    <row r="1148" spans="21:27">
      <c r="U1148" s="18">
        <v>1146</v>
      </c>
      <c r="V1148" s="18" t="s">
        <v>2176</v>
      </c>
      <c r="W1148" s="18">
        <v>26</v>
      </c>
      <c r="X1148" s="18" t="s">
        <v>63</v>
      </c>
      <c r="Y1148" s="18" t="s">
        <v>642</v>
      </c>
      <c r="Z1148" s="18" t="s">
        <v>849</v>
      </c>
      <c r="AA1148" s="18">
        <v>12</v>
      </c>
    </row>
    <row r="1149" spans="21:27">
      <c r="U1149" s="18">
        <v>1147</v>
      </c>
      <c r="V1149" s="18" t="s">
        <v>2177</v>
      </c>
      <c r="W1149" s="18">
        <v>26</v>
      </c>
      <c r="X1149" s="18" t="s">
        <v>63</v>
      </c>
      <c r="Y1149" s="18" t="s">
        <v>642</v>
      </c>
      <c r="Z1149" s="18" t="s">
        <v>1431</v>
      </c>
      <c r="AA1149" s="18">
        <v>23</v>
      </c>
    </row>
    <row r="1150" spans="21:27">
      <c r="U1150" s="18">
        <v>1148</v>
      </c>
      <c r="V1150" s="18" t="s">
        <v>2178</v>
      </c>
      <c r="W1150" s="18">
        <v>28</v>
      </c>
      <c r="X1150" s="18" t="s">
        <v>63</v>
      </c>
      <c r="Y1150" s="18" t="s">
        <v>649</v>
      </c>
      <c r="Z1150" s="18" t="s">
        <v>2179</v>
      </c>
      <c r="AA1150" s="18">
        <v>3</v>
      </c>
    </row>
    <row r="1151" spans="21:27">
      <c r="U1151" s="18">
        <v>1149</v>
      </c>
      <c r="V1151" s="18" t="s">
        <v>2180</v>
      </c>
      <c r="W1151" s="18">
        <v>29</v>
      </c>
      <c r="X1151" s="18" t="s">
        <v>63</v>
      </c>
      <c r="Y1151" s="18" t="s">
        <v>649</v>
      </c>
      <c r="Z1151" s="18" t="s">
        <v>1437</v>
      </c>
      <c r="AA1151" s="18">
        <v>5</v>
      </c>
    </row>
    <row r="1152" spans="21:27">
      <c r="U1152" s="18">
        <v>1150</v>
      </c>
      <c r="V1152" s="18" t="s">
        <v>2181</v>
      </c>
      <c r="W1152" s="18">
        <v>26</v>
      </c>
      <c r="X1152" s="18" t="s">
        <v>63</v>
      </c>
      <c r="Y1152" s="18" t="s">
        <v>649</v>
      </c>
      <c r="Z1152" s="18" t="s">
        <v>1423</v>
      </c>
      <c r="AA1152" s="18">
        <v>6</v>
      </c>
    </row>
    <row r="1153" spans="21:27">
      <c r="U1153" s="18">
        <v>1151</v>
      </c>
      <c r="V1153" s="18" t="s">
        <v>2182</v>
      </c>
      <c r="W1153" s="18">
        <v>19</v>
      </c>
      <c r="X1153" s="18" t="s">
        <v>63</v>
      </c>
      <c r="Y1153" s="18" t="s">
        <v>649</v>
      </c>
      <c r="Z1153" s="18" t="s">
        <v>956</v>
      </c>
      <c r="AA1153" s="18">
        <v>22</v>
      </c>
    </row>
    <row r="1154" spans="21:27">
      <c r="U1154" s="18">
        <v>1152</v>
      </c>
      <c r="V1154" s="18" t="s">
        <v>2183</v>
      </c>
      <c r="W1154" s="18">
        <v>28</v>
      </c>
      <c r="X1154" s="18" t="s">
        <v>63</v>
      </c>
      <c r="Y1154" s="18" t="s">
        <v>649</v>
      </c>
      <c r="Z1154" s="18" t="s">
        <v>779</v>
      </c>
      <c r="AA1154" s="18">
        <v>25</v>
      </c>
    </row>
    <row r="1155" spans="21:27">
      <c r="U1155" s="18">
        <v>1153</v>
      </c>
      <c r="V1155" s="18" t="s">
        <v>2184</v>
      </c>
      <c r="W1155" s="18">
        <v>24</v>
      </c>
      <c r="X1155" s="18" t="s">
        <v>63</v>
      </c>
      <c r="Y1155" s="18" t="s">
        <v>657</v>
      </c>
      <c r="Z1155" s="18" t="s">
        <v>1454</v>
      </c>
      <c r="AA1155" s="18">
        <v>4</v>
      </c>
    </row>
    <row r="1156" spans="21:27">
      <c r="U1156" s="18">
        <v>1154</v>
      </c>
      <c r="V1156" s="18" t="s">
        <v>2185</v>
      </c>
      <c r="W1156" s="18">
        <v>26</v>
      </c>
      <c r="X1156" s="18" t="s">
        <v>63</v>
      </c>
      <c r="Y1156" s="18" t="s">
        <v>661</v>
      </c>
      <c r="Z1156" s="18" t="s">
        <v>781</v>
      </c>
      <c r="AA1156" s="18">
        <v>2</v>
      </c>
    </row>
    <row r="1157" spans="21:27">
      <c r="U1157" s="18">
        <v>1155</v>
      </c>
      <c r="V1157" s="18" t="s">
        <v>2186</v>
      </c>
      <c r="W1157" s="18">
        <v>29</v>
      </c>
      <c r="X1157" s="18" t="s">
        <v>63</v>
      </c>
      <c r="Y1157" s="18" t="s">
        <v>661</v>
      </c>
      <c r="Z1157" s="18" t="s">
        <v>971</v>
      </c>
      <c r="AA1157" s="18">
        <v>18</v>
      </c>
    </row>
    <row r="1158" spans="21:27">
      <c r="U1158" s="18">
        <v>1156</v>
      </c>
      <c r="V1158" s="18" t="s">
        <v>2187</v>
      </c>
      <c r="W1158" s="18">
        <v>28</v>
      </c>
      <c r="X1158" s="18" t="s">
        <v>63</v>
      </c>
      <c r="Y1158" s="18" t="s">
        <v>664</v>
      </c>
      <c r="Z1158" s="18" t="s">
        <v>962</v>
      </c>
      <c r="AA1158" s="18">
        <v>7</v>
      </c>
    </row>
    <row r="1159" spans="21:27">
      <c r="U1159" s="18">
        <v>1157</v>
      </c>
      <c r="V1159" s="18" t="s">
        <v>2188</v>
      </c>
      <c r="W1159" s="18">
        <v>22</v>
      </c>
      <c r="X1159" s="18" t="s">
        <v>63</v>
      </c>
      <c r="Y1159" s="18" t="s">
        <v>664</v>
      </c>
      <c r="Z1159" s="18" t="s">
        <v>949</v>
      </c>
      <c r="AA1159" s="18">
        <v>17</v>
      </c>
    </row>
    <row r="1160" spans="21:27">
      <c r="U1160" s="18">
        <v>1158</v>
      </c>
      <c r="V1160" s="18" t="s">
        <v>426</v>
      </c>
      <c r="W1160" s="18">
        <v>32</v>
      </c>
      <c r="X1160" s="18" t="s">
        <v>63</v>
      </c>
      <c r="Y1160" s="18" t="s">
        <v>669</v>
      </c>
      <c r="Z1160" s="18" t="s">
        <v>1454</v>
      </c>
      <c r="AA1160" s="18">
        <v>8</v>
      </c>
    </row>
    <row r="1161" spans="21:27">
      <c r="U1161" s="18">
        <v>1159</v>
      </c>
      <c r="V1161" s="18" t="s">
        <v>409</v>
      </c>
      <c r="W1161" s="18">
        <v>40</v>
      </c>
      <c r="X1161" s="18" t="s">
        <v>63</v>
      </c>
      <c r="Y1161" s="18" t="s">
        <v>669</v>
      </c>
      <c r="Z1161" s="18" t="s">
        <v>731</v>
      </c>
      <c r="AA1161" s="18">
        <v>10</v>
      </c>
    </row>
    <row r="1162" spans="21:27">
      <c r="U1162" s="18">
        <v>1160</v>
      </c>
      <c r="V1162" s="18" t="s">
        <v>438</v>
      </c>
      <c r="W1162" s="18">
        <v>31</v>
      </c>
      <c r="X1162" s="18" t="s">
        <v>63</v>
      </c>
      <c r="Y1162" s="18" t="s">
        <v>669</v>
      </c>
      <c r="Z1162" s="18" t="s">
        <v>837</v>
      </c>
      <c r="AA1162" s="18">
        <v>15</v>
      </c>
    </row>
    <row r="1163" spans="21:27">
      <c r="U1163" s="18">
        <v>1161</v>
      </c>
      <c r="V1163" s="18" t="s">
        <v>432</v>
      </c>
      <c r="W1163" s="18">
        <v>28</v>
      </c>
      <c r="X1163" s="18" t="s">
        <v>63</v>
      </c>
      <c r="Y1163" s="18" t="s">
        <v>675</v>
      </c>
      <c r="Z1163" s="18" t="s">
        <v>1133</v>
      </c>
      <c r="AA1163" s="18">
        <v>13</v>
      </c>
    </row>
    <row r="1164" spans="21:27">
      <c r="U1164" s="18">
        <v>1162</v>
      </c>
      <c r="V1164" s="18" t="s">
        <v>2189</v>
      </c>
      <c r="W1164" s="18">
        <v>23</v>
      </c>
      <c r="X1164" s="18" t="s">
        <v>63</v>
      </c>
      <c r="Y1164" s="18" t="s">
        <v>675</v>
      </c>
      <c r="Z1164" s="18" t="s">
        <v>1923</v>
      </c>
      <c r="AA1164" s="18">
        <v>16</v>
      </c>
    </row>
    <row r="1165" spans="21:27">
      <c r="U1165" s="18">
        <v>1163</v>
      </c>
      <c r="V1165" s="18" t="s">
        <v>2190</v>
      </c>
      <c r="W1165" s="18">
        <v>25</v>
      </c>
      <c r="X1165" s="18" t="s">
        <v>63</v>
      </c>
      <c r="Y1165" s="18" t="s">
        <v>675</v>
      </c>
      <c r="Z1165" s="18" t="s">
        <v>824</v>
      </c>
      <c r="AA1165" s="18">
        <v>19</v>
      </c>
    </row>
    <row r="1166" spans="21:27">
      <c r="U1166" s="18">
        <v>1164</v>
      </c>
      <c r="V1166" s="18" t="s">
        <v>2191</v>
      </c>
      <c r="W1166" s="18">
        <v>23</v>
      </c>
      <c r="X1166" s="18" t="s">
        <v>63</v>
      </c>
      <c r="Y1166" s="18" t="s">
        <v>675</v>
      </c>
      <c r="Z1166" s="18" t="s">
        <v>1437</v>
      </c>
      <c r="AA1166" s="18">
        <v>21</v>
      </c>
    </row>
    <row r="1167" spans="21:27">
      <c r="U1167" s="18">
        <v>1165</v>
      </c>
      <c r="V1167" s="18" t="s">
        <v>2192</v>
      </c>
      <c r="W1167" s="18">
        <v>37</v>
      </c>
      <c r="X1167" s="18" t="s">
        <v>63</v>
      </c>
      <c r="Y1167" s="18" t="s">
        <v>679</v>
      </c>
      <c r="Z1167" s="18" t="s">
        <v>643</v>
      </c>
      <c r="AA1167" s="18">
        <v>14</v>
      </c>
    </row>
    <row r="1168" spans="21:27">
      <c r="U1168" s="18">
        <v>1166</v>
      </c>
      <c r="V1168" s="18" t="s">
        <v>2193</v>
      </c>
      <c r="W1168" s="18">
        <v>25</v>
      </c>
      <c r="X1168" s="18" t="s">
        <v>63</v>
      </c>
      <c r="Y1168" s="18" t="s">
        <v>681</v>
      </c>
      <c r="Z1168" s="18" t="s">
        <v>871</v>
      </c>
      <c r="AA1168" s="18">
        <v>24</v>
      </c>
    </row>
    <row r="1169" spans="21:27">
      <c r="U1169" s="18">
        <v>1167</v>
      </c>
      <c r="V1169" s="18" t="s">
        <v>407</v>
      </c>
      <c r="W1169" s="18">
        <v>34</v>
      </c>
      <c r="X1169" s="18" t="s">
        <v>63</v>
      </c>
      <c r="Y1169" s="18" t="s">
        <v>683</v>
      </c>
      <c r="Z1169" s="18" t="s">
        <v>652</v>
      </c>
      <c r="AA1169" s="18">
        <v>9</v>
      </c>
    </row>
    <row r="1170" spans="21:27">
      <c r="U1170" s="18">
        <v>1168</v>
      </c>
      <c r="V1170" s="18" t="s">
        <v>2194</v>
      </c>
      <c r="W1170" s="18">
        <v>34</v>
      </c>
      <c r="X1170" s="18" t="s">
        <v>63</v>
      </c>
      <c r="Y1170" s="18" t="s">
        <v>683</v>
      </c>
      <c r="Z1170" s="18" t="s">
        <v>1773</v>
      </c>
      <c r="AA1170" s="18">
        <v>11</v>
      </c>
    </row>
    <row r="1171" spans="21:27">
      <c r="U1171" s="18">
        <v>1169</v>
      </c>
      <c r="V1171" s="18" t="s">
        <v>2195</v>
      </c>
      <c r="W1171" s="18">
        <v>23</v>
      </c>
      <c r="X1171" s="18" t="s">
        <v>63</v>
      </c>
      <c r="Y1171" s="18" t="s">
        <v>683</v>
      </c>
      <c r="Z1171" s="18" t="s">
        <v>964</v>
      </c>
      <c r="AA1171" s="18">
        <v>20</v>
      </c>
    </row>
    <row r="1172" spans="21:27">
      <c r="U1172" s="18">
        <v>1170</v>
      </c>
      <c r="V1172" s="18" t="s">
        <v>2196</v>
      </c>
      <c r="W1172" s="18">
        <v>28</v>
      </c>
      <c r="X1172" s="18" t="s">
        <v>63</v>
      </c>
      <c r="Y1172" s="18" t="s">
        <v>683</v>
      </c>
      <c r="Z1172" s="18" t="s">
        <v>1053</v>
      </c>
      <c r="AA1172" s="18">
        <v>26</v>
      </c>
    </row>
    <row r="1173" spans="21:27">
      <c r="U1173" s="18">
        <v>1171</v>
      </c>
      <c r="V1173" s="18" t="s">
        <v>391</v>
      </c>
      <c r="W1173" s="18">
        <v>32</v>
      </c>
      <c r="X1173" s="18" t="s">
        <v>23</v>
      </c>
      <c r="Y1173" s="18" t="s">
        <v>642</v>
      </c>
      <c r="Z1173" s="18" t="s">
        <v>1117</v>
      </c>
      <c r="AA1173" s="18">
        <v>1</v>
      </c>
    </row>
    <row r="1174" spans="21:27">
      <c r="U1174" s="18">
        <v>1172</v>
      </c>
      <c r="V1174" s="18" t="s">
        <v>2197</v>
      </c>
      <c r="W1174" s="18">
        <v>29</v>
      </c>
      <c r="X1174" s="18" t="s">
        <v>23</v>
      </c>
      <c r="Y1174" s="18" t="s">
        <v>642</v>
      </c>
      <c r="Z1174" s="18" t="s">
        <v>1072</v>
      </c>
      <c r="AA1174" s="18">
        <v>13</v>
      </c>
    </row>
    <row r="1175" spans="21:27">
      <c r="U1175" s="18">
        <v>1173</v>
      </c>
      <c r="V1175" s="18" t="s">
        <v>2198</v>
      </c>
      <c r="W1175" s="18">
        <v>23</v>
      </c>
      <c r="X1175" s="18" t="s">
        <v>23</v>
      </c>
      <c r="Y1175" s="18" t="s">
        <v>642</v>
      </c>
      <c r="Z1175" s="18" t="s">
        <v>1454</v>
      </c>
      <c r="AA1175" s="18">
        <v>23</v>
      </c>
    </row>
    <row r="1176" spans="21:27">
      <c r="U1176" s="18">
        <v>1174</v>
      </c>
      <c r="V1176" s="18" t="s">
        <v>2199</v>
      </c>
      <c r="W1176" s="18">
        <v>28</v>
      </c>
      <c r="X1176" s="18" t="s">
        <v>23</v>
      </c>
      <c r="Y1176" s="18" t="s">
        <v>649</v>
      </c>
      <c r="Z1176" s="18" t="s">
        <v>1126</v>
      </c>
      <c r="AA1176" s="18">
        <v>2</v>
      </c>
    </row>
    <row r="1177" spans="21:27">
      <c r="U1177" s="18">
        <v>1175</v>
      </c>
      <c r="V1177" s="18" t="s">
        <v>2200</v>
      </c>
      <c r="W1177" s="18">
        <v>32</v>
      </c>
      <c r="X1177" s="18" t="s">
        <v>23</v>
      </c>
      <c r="Y1177" s="18" t="s">
        <v>649</v>
      </c>
      <c r="Z1177" s="18" t="s">
        <v>1454</v>
      </c>
      <c r="AA1177" s="18">
        <v>5</v>
      </c>
    </row>
    <row r="1178" spans="21:27">
      <c r="U1178" s="18">
        <v>1176</v>
      </c>
      <c r="V1178" s="18" t="s">
        <v>2201</v>
      </c>
      <c r="W1178" s="18">
        <v>25</v>
      </c>
      <c r="X1178" s="18" t="s">
        <v>23</v>
      </c>
      <c r="Y1178" s="18" t="s">
        <v>649</v>
      </c>
      <c r="Z1178" s="18" t="s">
        <v>1454</v>
      </c>
      <c r="AA1178" s="18">
        <v>6</v>
      </c>
    </row>
    <row r="1179" spans="21:27">
      <c r="U1179" s="18">
        <v>1177</v>
      </c>
      <c r="V1179" s="18" t="s">
        <v>2202</v>
      </c>
      <c r="W1179" s="18">
        <v>26</v>
      </c>
      <c r="X1179" s="18" t="s">
        <v>23</v>
      </c>
      <c r="Y1179" s="18" t="s">
        <v>649</v>
      </c>
      <c r="Z1179" s="18" t="s">
        <v>1339</v>
      </c>
      <c r="AA1179" s="18">
        <v>12</v>
      </c>
    </row>
    <row r="1180" spans="21:27">
      <c r="U1180" s="18">
        <v>1178</v>
      </c>
      <c r="V1180" s="18" t="s">
        <v>2203</v>
      </c>
      <c r="W1180" s="18">
        <v>23</v>
      </c>
      <c r="X1180" s="18" t="s">
        <v>23</v>
      </c>
      <c r="Y1180" s="18" t="s">
        <v>649</v>
      </c>
      <c r="Z1180" s="18" t="s">
        <v>684</v>
      </c>
      <c r="AA1180" s="18">
        <v>26</v>
      </c>
    </row>
    <row r="1181" spans="21:27">
      <c r="U1181" s="18">
        <v>1179</v>
      </c>
      <c r="V1181" s="18" t="s">
        <v>2204</v>
      </c>
      <c r="W1181" s="18">
        <v>21</v>
      </c>
      <c r="X1181" s="18" t="s">
        <v>23</v>
      </c>
      <c r="Y1181" s="18" t="s">
        <v>657</v>
      </c>
      <c r="Z1181" s="18" t="s">
        <v>1454</v>
      </c>
      <c r="AA1181" s="18">
        <v>3</v>
      </c>
    </row>
    <row r="1182" spans="21:27">
      <c r="U1182" s="18">
        <v>1180</v>
      </c>
      <c r="V1182" s="18" t="s">
        <v>2205</v>
      </c>
      <c r="W1182" s="18">
        <v>34</v>
      </c>
      <c r="X1182" s="18" t="s">
        <v>23</v>
      </c>
      <c r="Y1182" s="18" t="s">
        <v>657</v>
      </c>
      <c r="Z1182" s="18" t="s">
        <v>1003</v>
      </c>
      <c r="AA1182" s="18">
        <v>15</v>
      </c>
    </row>
    <row r="1183" spans="21:27">
      <c r="U1183" s="18">
        <v>1181</v>
      </c>
      <c r="V1183" s="18" t="s">
        <v>2206</v>
      </c>
      <c r="W1183" s="18">
        <v>26</v>
      </c>
      <c r="X1183" s="18" t="s">
        <v>23</v>
      </c>
      <c r="Y1183" s="18" t="s">
        <v>661</v>
      </c>
      <c r="Z1183" s="18" t="s">
        <v>1339</v>
      </c>
      <c r="AA1183" s="18">
        <v>24</v>
      </c>
    </row>
    <row r="1184" spans="21:27">
      <c r="U1184" s="18">
        <v>1182</v>
      </c>
      <c r="V1184" s="18" t="s">
        <v>2207</v>
      </c>
      <c r="W1184" s="18">
        <v>25</v>
      </c>
      <c r="X1184" s="18" t="s">
        <v>23</v>
      </c>
      <c r="Y1184" s="18" t="s">
        <v>661</v>
      </c>
      <c r="Z1184" s="18" t="s">
        <v>1458</v>
      </c>
      <c r="AA1184" s="18">
        <v>25</v>
      </c>
    </row>
    <row r="1185" spans="21:27">
      <c r="U1185" s="18">
        <v>1183</v>
      </c>
      <c r="V1185" s="18" t="s">
        <v>2208</v>
      </c>
      <c r="W1185" s="18">
        <v>27</v>
      </c>
      <c r="X1185" s="18" t="s">
        <v>23</v>
      </c>
      <c r="Y1185" s="18" t="s">
        <v>664</v>
      </c>
      <c r="Z1185" s="18" t="s">
        <v>986</v>
      </c>
      <c r="AA1185" s="18">
        <v>4</v>
      </c>
    </row>
    <row r="1186" spans="21:27">
      <c r="U1186" s="18">
        <v>1184</v>
      </c>
      <c r="V1186" s="18" t="s">
        <v>2209</v>
      </c>
      <c r="W1186" s="18">
        <v>21</v>
      </c>
      <c r="X1186" s="18" t="s">
        <v>23</v>
      </c>
      <c r="Y1186" s="18" t="s">
        <v>664</v>
      </c>
      <c r="Z1186" s="18" t="s">
        <v>996</v>
      </c>
      <c r="AA1186" s="18">
        <v>16</v>
      </c>
    </row>
    <row r="1187" spans="21:27">
      <c r="U1187" s="18">
        <v>1185</v>
      </c>
      <c r="V1187" s="18" t="s">
        <v>2210</v>
      </c>
      <c r="W1187" s="18">
        <v>23</v>
      </c>
      <c r="X1187" s="18" t="s">
        <v>23</v>
      </c>
      <c r="Y1187" s="18" t="s">
        <v>669</v>
      </c>
      <c r="Z1187" s="18" t="s">
        <v>977</v>
      </c>
      <c r="AA1187" s="18">
        <v>8</v>
      </c>
    </row>
    <row r="1188" spans="21:27">
      <c r="U1188" s="18">
        <v>1186</v>
      </c>
      <c r="V1188" s="18" t="s">
        <v>397</v>
      </c>
      <c r="W1188" s="18">
        <v>35</v>
      </c>
      <c r="X1188" s="18" t="s">
        <v>23</v>
      </c>
      <c r="Y1188" s="18" t="s">
        <v>669</v>
      </c>
      <c r="Z1188" s="18" t="s">
        <v>1016</v>
      </c>
      <c r="AA1188" s="18">
        <v>14</v>
      </c>
    </row>
    <row r="1189" spans="21:27">
      <c r="U1189" s="18">
        <v>1187</v>
      </c>
      <c r="V1189" s="18" t="s">
        <v>2211</v>
      </c>
      <c r="W1189" s="18">
        <v>22</v>
      </c>
      <c r="X1189" s="18" t="s">
        <v>23</v>
      </c>
      <c r="Y1189" s="18" t="s">
        <v>675</v>
      </c>
      <c r="Z1189" s="18" t="s">
        <v>584</v>
      </c>
      <c r="AA1189" s="18">
        <v>10</v>
      </c>
    </row>
    <row r="1190" spans="21:27">
      <c r="U1190" s="18">
        <v>1188</v>
      </c>
      <c r="V1190" s="18" t="s">
        <v>2212</v>
      </c>
      <c r="W1190" s="18">
        <v>23</v>
      </c>
      <c r="X1190" s="18" t="s">
        <v>23</v>
      </c>
      <c r="Y1190" s="18" t="s">
        <v>675</v>
      </c>
      <c r="Z1190" s="18" t="s">
        <v>1126</v>
      </c>
      <c r="AA1190" s="18">
        <v>17</v>
      </c>
    </row>
    <row r="1191" spans="21:27">
      <c r="U1191" s="18">
        <v>1189</v>
      </c>
      <c r="V1191" s="18" t="s">
        <v>2213</v>
      </c>
      <c r="W1191" s="18">
        <v>27</v>
      </c>
      <c r="X1191" s="18" t="s">
        <v>23</v>
      </c>
      <c r="Y1191" s="18" t="s">
        <v>675</v>
      </c>
      <c r="Z1191" s="18" t="s">
        <v>986</v>
      </c>
      <c r="AA1191" s="18">
        <v>21</v>
      </c>
    </row>
    <row r="1192" spans="21:27">
      <c r="U1192" s="18">
        <v>1190</v>
      </c>
      <c r="V1192" s="18" t="s">
        <v>395</v>
      </c>
      <c r="W1192" s="18">
        <v>28</v>
      </c>
      <c r="X1192" s="18" t="s">
        <v>23</v>
      </c>
      <c r="Y1192" s="18" t="s">
        <v>679</v>
      </c>
      <c r="Z1192" s="18" t="s">
        <v>1008</v>
      </c>
      <c r="AA1192" s="18">
        <v>11</v>
      </c>
    </row>
    <row r="1193" spans="21:27">
      <c r="U1193" s="18">
        <v>1191</v>
      </c>
      <c r="V1193" s="18" t="s">
        <v>2214</v>
      </c>
      <c r="W1193" s="18">
        <v>25</v>
      </c>
      <c r="X1193" s="18" t="s">
        <v>23</v>
      </c>
      <c r="Y1193" s="18" t="s">
        <v>679</v>
      </c>
      <c r="Z1193" s="18" t="s">
        <v>1003</v>
      </c>
      <c r="AA1193" s="18">
        <v>18</v>
      </c>
    </row>
    <row r="1194" spans="21:27">
      <c r="U1194" s="18">
        <v>1192</v>
      </c>
      <c r="V1194" s="18" t="s">
        <v>2215</v>
      </c>
      <c r="W1194" s="18">
        <v>24</v>
      </c>
      <c r="X1194" s="18" t="s">
        <v>23</v>
      </c>
      <c r="Y1194" s="18" t="s">
        <v>681</v>
      </c>
      <c r="Z1194" s="18" t="s">
        <v>986</v>
      </c>
      <c r="AA1194" s="18">
        <v>7</v>
      </c>
    </row>
    <row r="1195" spans="21:27">
      <c r="U1195" s="18">
        <v>1193</v>
      </c>
      <c r="V1195" s="18" t="s">
        <v>2216</v>
      </c>
      <c r="W1195" s="18">
        <v>24</v>
      </c>
      <c r="X1195" s="18" t="s">
        <v>23</v>
      </c>
      <c r="Y1195" s="18" t="s">
        <v>681</v>
      </c>
      <c r="Z1195" s="18" t="s">
        <v>986</v>
      </c>
      <c r="AA1195" s="18">
        <v>20</v>
      </c>
    </row>
    <row r="1196" spans="21:27">
      <c r="U1196" s="18">
        <v>1194</v>
      </c>
      <c r="V1196" s="18" t="s">
        <v>392</v>
      </c>
      <c r="W1196" s="18">
        <v>32</v>
      </c>
      <c r="X1196" s="18" t="s">
        <v>23</v>
      </c>
      <c r="Y1196" s="18" t="s">
        <v>683</v>
      </c>
      <c r="Z1196" s="18" t="s">
        <v>781</v>
      </c>
      <c r="AA1196" s="18">
        <v>9</v>
      </c>
    </row>
    <row r="1197" spans="21:27">
      <c r="U1197" s="18">
        <v>1195</v>
      </c>
      <c r="V1197" s="18" t="s">
        <v>2217</v>
      </c>
      <c r="W1197" s="18">
        <v>30</v>
      </c>
      <c r="X1197" s="18" t="s">
        <v>23</v>
      </c>
      <c r="Y1197" s="18" t="s">
        <v>683</v>
      </c>
      <c r="Z1197" s="18" t="s">
        <v>1126</v>
      </c>
      <c r="AA1197" s="18">
        <v>19</v>
      </c>
    </row>
    <row r="1198" spans="21:27">
      <c r="U1198" s="18">
        <v>1196</v>
      </c>
      <c r="V1198" s="18" t="s">
        <v>2218</v>
      </c>
      <c r="W1198" s="18">
        <v>30</v>
      </c>
      <c r="X1198" s="18" t="s">
        <v>23</v>
      </c>
      <c r="Y1198" s="18" t="s">
        <v>683</v>
      </c>
      <c r="Z1198" s="18" t="s">
        <v>991</v>
      </c>
      <c r="AA1198" s="18">
        <v>22</v>
      </c>
    </row>
    <row r="1199" spans="21:27">
      <c r="U1199" s="18">
        <v>1197</v>
      </c>
      <c r="V1199" s="18" t="s">
        <v>2219</v>
      </c>
      <c r="W1199" s="18">
        <v>29</v>
      </c>
      <c r="X1199" s="18" t="s">
        <v>73</v>
      </c>
      <c r="Y1199" s="18" t="s">
        <v>642</v>
      </c>
      <c r="Z1199" s="18" t="s">
        <v>2220</v>
      </c>
      <c r="AA1199" s="18">
        <v>1</v>
      </c>
    </row>
    <row r="1200" spans="21:27">
      <c r="U1200" s="18">
        <v>1198</v>
      </c>
      <c r="V1200" s="18" t="s">
        <v>2221</v>
      </c>
      <c r="W1200" s="18">
        <v>26</v>
      </c>
      <c r="X1200" s="18" t="s">
        <v>73</v>
      </c>
      <c r="Y1200" s="18" t="s">
        <v>642</v>
      </c>
      <c r="Z1200" s="18" t="s">
        <v>2222</v>
      </c>
      <c r="AA1200" s="18">
        <v>12</v>
      </c>
    </row>
    <row r="1201" spans="21:27">
      <c r="U1201" s="18">
        <v>1199</v>
      </c>
      <c r="V1201" s="18" t="s">
        <v>2223</v>
      </c>
      <c r="W1201" s="18">
        <v>33</v>
      </c>
      <c r="X1201" s="18" t="s">
        <v>73</v>
      </c>
      <c r="Y1201" s="18" t="s">
        <v>642</v>
      </c>
      <c r="Z1201" s="18" t="s">
        <v>2224</v>
      </c>
      <c r="AA1201" s="18">
        <v>16</v>
      </c>
    </row>
    <row r="1202" spans="21:27">
      <c r="U1202" s="18">
        <v>1200</v>
      </c>
      <c r="V1202" s="18" t="s">
        <v>2225</v>
      </c>
      <c r="W1202" s="18">
        <v>22</v>
      </c>
      <c r="X1202" s="18" t="s">
        <v>73</v>
      </c>
      <c r="Y1202" s="18" t="s">
        <v>649</v>
      </c>
      <c r="Z1202" s="18" t="s">
        <v>1450</v>
      </c>
      <c r="AA1202" s="18">
        <v>4</v>
      </c>
    </row>
    <row r="1203" spans="21:27">
      <c r="U1203" s="18">
        <v>1201</v>
      </c>
      <c r="V1203" s="18" t="s">
        <v>2226</v>
      </c>
      <c r="W1203" s="18">
        <v>28</v>
      </c>
      <c r="X1203" s="18" t="s">
        <v>73</v>
      </c>
      <c r="Y1203" s="18" t="s">
        <v>649</v>
      </c>
      <c r="Z1203" s="18" t="s">
        <v>1913</v>
      </c>
      <c r="AA1203" s="18">
        <v>6</v>
      </c>
    </row>
    <row r="1204" spans="21:27">
      <c r="U1204" s="18">
        <v>1202</v>
      </c>
      <c r="V1204" s="18" t="s">
        <v>2227</v>
      </c>
      <c r="W1204" s="18">
        <v>27</v>
      </c>
      <c r="X1204" s="18" t="s">
        <v>73</v>
      </c>
      <c r="Y1204" s="18" t="s">
        <v>649</v>
      </c>
      <c r="Z1204" s="18" t="s">
        <v>1395</v>
      </c>
      <c r="AA1204" s="18">
        <v>18</v>
      </c>
    </row>
    <row r="1205" spans="21:27">
      <c r="U1205" s="18">
        <v>1203</v>
      </c>
      <c r="V1205" s="18" t="s">
        <v>2228</v>
      </c>
      <c r="W1205" s="18">
        <v>22</v>
      </c>
      <c r="X1205" s="18" t="s">
        <v>73</v>
      </c>
      <c r="Y1205" s="18" t="s">
        <v>649</v>
      </c>
      <c r="Z1205" s="18" t="s">
        <v>882</v>
      </c>
      <c r="AA1205" s="18">
        <v>21</v>
      </c>
    </row>
    <row r="1206" spans="21:27">
      <c r="U1206" s="18">
        <v>1204</v>
      </c>
      <c r="V1206" s="18" t="s">
        <v>2229</v>
      </c>
      <c r="W1206" s="18">
        <v>30</v>
      </c>
      <c r="X1206" s="18" t="s">
        <v>73</v>
      </c>
      <c r="Y1206" s="18" t="s">
        <v>649</v>
      </c>
      <c r="Z1206" s="18" t="s">
        <v>843</v>
      </c>
      <c r="AA1206" s="18">
        <v>23</v>
      </c>
    </row>
    <row r="1207" spans="21:27">
      <c r="U1207" s="18">
        <v>1205</v>
      </c>
      <c r="V1207" s="18" t="s">
        <v>2230</v>
      </c>
      <c r="W1207" s="18">
        <v>27</v>
      </c>
      <c r="X1207" s="18" t="s">
        <v>73</v>
      </c>
      <c r="Y1207" s="18" t="s">
        <v>657</v>
      </c>
      <c r="Z1207" s="18" t="s">
        <v>1057</v>
      </c>
      <c r="AA1207" s="18">
        <v>14</v>
      </c>
    </row>
    <row r="1208" spans="21:27">
      <c r="U1208" s="18">
        <v>1206</v>
      </c>
      <c r="V1208" s="18" t="s">
        <v>2231</v>
      </c>
      <c r="W1208" s="18">
        <v>31</v>
      </c>
      <c r="X1208" s="18" t="s">
        <v>73</v>
      </c>
      <c r="Y1208" s="18" t="s">
        <v>657</v>
      </c>
      <c r="Z1208" s="18" t="s">
        <v>705</v>
      </c>
      <c r="AA1208" s="18">
        <v>17</v>
      </c>
    </row>
    <row r="1209" spans="21:27">
      <c r="U1209" s="18">
        <v>1207</v>
      </c>
      <c r="V1209" s="18" t="s">
        <v>2232</v>
      </c>
      <c r="W1209" s="18">
        <v>26</v>
      </c>
      <c r="X1209" s="18" t="s">
        <v>73</v>
      </c>
      <c r="Y1209" s="18" t="s">
        <v>661</v>
      </c>
      <c r="Z1209" s="18" t="s">
        <v>978</v>
      </c>
      <c r="AA1209" s="18">
        <v>2</v>
      </c>
    </row>
    <row r="1210" spans="21:27">
      <c r="U1210" s="18">
        <v>1208</v>
      </c>
      <c r="V1210" s="18" t="s">
        <v>2233</v>
      </c>
      <c r="W1210" s="18">
        <v>25</v>
      </c>
      <c r="X1210" s="18" t="s">
        <v>73</v>
      </c>
      <c r="Y1210" s="18" t="s">
        <v>661</v>
      </c>
      <c r="Z1210" s="18" t="s">
        <v>1057</v>
      </c>
      <c r="AA1210" s="18">
        <v>26</v>
      </c>
    </row>
    <row r="1211" spans="21:27">
      <c r="U1211" s="18">
        <v>1209</v>
      </c>
      <c r="V1211" s="18" t="s">
        <v>2234</v>
      </c>
      <c r="W1211" s="18">
        <v>32</v>
      </c>
      <c r="X1211" s="18" t="s">
        <v>73</v>
      </c>
      <c r="Y1211" s="18" t="s">
        <v>664</v>
      </c>
      <c r="Z1211" s="18" t="s">
        <v>901</v>
      </c>
      <c r="AA1211" s="18">
        <v>5</v>
      </c>
    </row>
    <row r="1212" spans="21:27">
      <c r="U1212" s="18">
        <v>1210</v>
      </c>
      <c r="V1212" s="18" t="s">
        <v>2235</v>
      </c>
      <c r="W1212" s="18">
        <v>28</v>
      </c>
      <c r="X1212" s="18" t="s">
        <v>73</v>
      </c>
      <c r="Y1212" s="18" t="s">
        <v>664</v>
      </c>
      <c r="Z1212" s="18" t="s">
        <v>1057</v>
      </c>
      <c r="AA1212" s="18">
        <v>15</v>
      </c>
    </row>
    <row r="1213" spans="21:27">
      <c r="U1213" s="18">
        <v>1211</v>
      </c>
      <c r="V1213" s="18" t="s">
        <v>2236</v>
      </c>
      <c r="W1213" s="18">
        <v>20</v>
      </c>
      <c r="X1213" s="18" t="s">
        <v>73</v>
      </c>
      <c r="Y1213" s="18" t="s">
        <v>669</v>
      </c>
      <c r="Z1213" s="18" t="s">
        <v>1594</v>
      </c>
      <c r="AA1213" s="18">
        <v>3</v>
      </c>
    </row>
    <row r="1214" spans="21:27">
      <c r="U1214" s="18">
        <v>1212</v>
      </c>
      <c r="V1214" s="18" t="s">
        <v>2237</v>
      </c>
      <c r="W1214" s="18">
        <v>27</v>
      </c>
      <c r="X1214" s="18" t="s">
        <v>73</v>
      </c>
      <c r="Y1214" s="18" t="s">
        <v>669</v>
      </c>
      <c r="Z1214" s="18" t="s">
        <v>1592</v>
      </c>
      <c r="AA1214" s="18">
        <v>8</v>
      </c>
    </row>
    <row r="1215" spans="21:27">
      <c r="U1215" s="18">
        <v>1213</v>
      </c>
      <c r="V1215" s="18" t="s">
        <v>2238</v>
      </c>
      <c r="W1215" s="18">
        <v>25</v>
      </c>
      <c r="X1215" s="18" t="s">
        <v>73</v>
      </c>
      <c r="Y1215" s="18" t="s">
        <v>669</v>
      </c>
      <c r="Z1215" s="18" t="s">
        <v>1663</v>
      </c>
      <c r="AA1215" s="18">
        <v>20</v>
      </c>
    </row>
    <row r="1216" spans="21:27">
      <c r="U1216" s="18">
        <v>1214</v>
      </c>
      <c r="V1216" s="18" t="s">
        <v>2239</v>
      </c>
      <c r="W1216" s="18">
        <v>26</v>
      </c>
      <c r="X1216" s="18" t="s">
        <v>73</v>
      </c>
      <c r="Y1216" s="18" t="s">
        <v>675</v>
      </c>
      <c r="Z1216" s="18" t="s">
        <v>1454</v>
      </c>
      <c r="AA1216" s="18">
        <v>11</v>
      </c>
    </row>
    <row r="1217" spans="21:27">
      <c r="U1217" s="18">
        <v>1215</v>
      </c>
      <c r="V1217" s="18" t="s">
        <v>2240</v>
      </c>
      <c r="W1217" s="18">
        <v>31</v>
      </c>
      <c r="X1217" s="18" t="s">
        <v>73</v>
      </c>
      <c r="Y1217" s="18" t="s">
        <v>679</v>
      </c>
      <c r="Z1217" s="18" t="s">
        <v>1752</v>
      </c>
      <c r="AA1217" s="18">
        <v>19</v>
      </c>
    </row>
    <row r="1218" spans="21:27">
      <c r="U1218" s="18">
        <v>1216</v>
      </c>
      <c r="V1218" s="18" t="s">
        <v>2241</v>
      </c>
      <c r="W1218" s="18">
        <v>24</v>
      </c>
      <c r="X1218" s="18" t="s">
        <v>73</v>
      </c>
      <c r="Y1218" s="18" t="s">
        <v>679</v>
      </c>
      <c r="Z1218" s="18" t="s">
        <v>837</v>
      </c>
      <c r="AA1218" s="18">
        <v>22</v>
      </c>
    </row>
    <row r="1219" spans="21:27">
      <c r="U1219" s="18">
        <v>1217</v>
      </c>
      <c r="V1219" s="18" t="s">
        <v>2242</v>
      </c>
      <c r="W1219" s="18">
        <v>22</v>
      </c>
      <c r="X1219" s="18" t="s">
        <v>73</v>
      </c>
      <c r="Y1219" s="18" t="s">
        <v>681</v>
      </c>
      <c r="Z1219" s="18" t="s">
        <v>1216</v>
      </c>
      <c r="AA1219" s="18">
        <v>7</v>
      </c>
    </row>
    <row r="1220" spans="21:27">
      <c r="U1220" s="18">
        <v>1218</v>
      </c>
      <c r="V1220" s="18" t="s">
        <v>2243</v>
      </c>
      <c r="W1220" s="18">
        <v>21</v>
      </c>
      <c r="X1220" s="18" t="s">
        <v>73</v>
      </c>
      <c r="Y1220" s="18" t="s">
        <v>681</v>
      </c>
      <c r="Z1220" s="18" t="s">
        <v>726</v>
      </c>
      <c r="AA1220" s="18">
        <v>13</v>
      </c>
    </row>
    <row r="1221" spans="21:27">
      <c r="U1221" s="18">
        <v>1219</v>
      </c>
      <c r="V1221" s="18" t="s">
        <v>2244</v>
      </c>
      <c r="W1221" s="18">
        <v>22</v>
      </c>
      <c r="X1221" s="18" t="s">
        <v>73</v>
      </c>
      <c r="Y1221" s="18" t="s">
        <v>681</v>
      </c>
      <c r="Z1221" s="18" t="s">
        <v>676</v>
      </c>
      <c r="AA1221" s="18">
        <v>24</v>
      </c>
    </row>
    <row r="1222" spans="21:27">
      <c r="U1222" s="18">
        <v>1220</v>
      </c>
      <c r="V1222" s="18" t="s">
        <v>2245</v>
      </c>
      <c r="W1222" s="18">
        <v>34</v>
      </c>
      <c r="X1222" s="18" t="s">
        <v>73</v>
      </c>
      <c r="Y1222" s="18" t="s">
        <v>683</v>
      </c>
      <c r="Z1222" s="18" t="s">
        <v>1216</v>
      </c>
      <c r="AA1222" s="18">
        <v>9</v>
      </c>
    </row>
    <row r="1223" spans="21:27">
      <c r="U1223" s="18">
        <v>1221</v>
      </c>
      <c r="V1223" s="18" t="s">
        <v>2246</v>
      </c>
      <c r="W1223" s="18">
        <v>27</v>
      </c>
      <c r="X1223" s="18" t="s">
        <v>73</v>
      </c>
      <c r="Y1223" s="18" t="s">
        <v>683</v>
      </c>
      <c r="Z1223" s="18" t="s">
        <v>1272</v>
      </c>
      <c r="AA1223" s="18">
        <v>10</v>
      </c>
    </row>
    <row r="1224" spans="21:27">
      <c r="U1224" s="18">
        <v>1222</v>
      </c>
      <c r="V1224" s="18" t="s">
        <v>2247</v>
      </c>
      <c r="W1224" s="18">
        <v>22</v>
      </c>
      <c r="X1224" s="18" t="s">
        <v>73</v>
      </c>
      <c r="Y1224" s="18" t="s">
        <v>683</v>
      </c>
      <c r="Z1224" s="18" t="s">
        <v>665</v>
      </c>
      <c r="AA1224" s="18">
        <v>25</v>
      </c>
    </row>
    <row r="1225" spans="21:27">
      <c r="U1225" s="18">
        <v>1223</v>
      </c>
      <c r="V1225" s="18" t="s">
        <v>2248</v>
      </c>
      <c r="W1225" s="18">
        <v>35</v>
      </c>
      <c r="X1225" s="18" t="s">
        <v>81</v>
      </c>
      <c r="Y1225" s="18" t="s">
        <v>642</v>
      </c>
      <c r="Z1225" s="18" t="s">
        <v>2249</v>
      </c>
      <c r="AA1225" s="18">
        <v>1</v>
      </c>
    </row>
    <row r="1226" spans="21:27">
      <c r="U1226" s="18">
        <v>1224</v>
      </c>
      <c r="V1226" s="18" t="s">
        <v>2250</v>
      </c>
      <c r="W1226" s="18">
        <v>32</v>
      </c>
      <c r="X1226" s="18" t="s">
        <v>81</v>
      </c>
      <c r="Y1226" s="18" t="s">
        <v>642</v>
      </c>
      <c r="Z1226" s="18" t="s">
        <v>2251</v>
      </c>
      <c r="AA1226" s="18">
        <v>12</v>
      </c>
    </row>
    <row r="1227" spans="21:27">
      <c r="U1227" s="18">
        <v>1225</v>
      </c>
      <c r="V1227" s="18" t="s">
        <v>2252</v>
      </c>
      <c r="W1227" s="18">
        <v>31</v>
      </c>
      <c r="X1227" s="18" t="s">
        <v>81</v>
      </c>
      <c r="Y1227" s="18" t="s">
        <v>642</v>
      </c>
      <c r="Z1227" s="18" t="s">
        <v>2253</v>
      </c>
      <c r="AA1227" s="18">
        <v>22</v>
      </c>
    </row>
    <row r="1228" spans="21:27">
      <c r="U1228" s="18">
        <v>1226</v>
      </c>
      <c r="V1228" s="18" t="s">
        <v>2254</v>
      </c>
      <c r="W1228" s="18">
        <v>25</v>
      </c>
      <c r="X1228" s="18" t="s">
        <v>81</v>
      </c>
      <c r="Y1228" s="18" t="s">
        <v>649</v>
      </c>
      <c r="Z1228" s="18" t="s">
        <v>895</v>
      </c>
      <c r="AA1228" s="18">
        <v>3</v>
      </c>
    </row>
    <row r="1229" spans="21:27">
      <c r="U1229" s="18">
        <v>1227</v>
      </c>
      <c r="V1229" s="18" t="s">
        <v>2255</v>
      </c>
      <c r="W1229" s="18">
        <v>31</v>
      </c>
      <c r="X1229" s="18" t="s">
        <v>81</v>
      </c>
      <c r="Y1229" s="18" t="s">
        <v>649</v>
      </c>
      <c r="Z1229" s="18" t="s">
        <v>2256</v>
      </c>
      <c r="AA1229" s="18">
        <v>4</v>
      </c>
    </row>
    <row r="1230" spans="21:27">
      <c r="U1230" s="18">
        <v>1228</v>
      </c>
      <c r="V1230" s="18" t="s">
        <v>2257</v>
      </c>
      <c r="W1230" s="18">
        <v>24</v>
      </c>
      <c r="X1230" s="18" t="s">
        <v>81</v>
      </c>
      <c r="Y1230" s="18" t="s">
        <v>649</v>
      </c>
      <c r="Z1230" s="18" t="s">
        <v>2258</v>
      </c>
      <c r="AA1230" s="18">
        <v>5</v>
      </c>
    </row>
    <row r="1231" spans="21:27">
      <c r="U1231" s="18">
        <v>1229</v>
      </c>
      <c r="V1231" s="18" t="s">
        <v>2259</v>
      </c>
      <c r="W1231" s="18">
        <v>29</v>
      </c>
      <c r="X1231" s="18" t="s">
        <v>81</v>
      </c>
      <c r="Y1231" s="18" t="s">
        <v>649</v>
      </c>
      <c r="Z1231" s="18" t="s">
        <v>2260</v>
      </c>
      <c r="AA1231" s="18">
        <v>13</v>
      </c>
    </row>
    <row r="1232" spans="21:27">
      <c r="U1232" s="18">
        <v>1230</v>
      </c>
      <c r="V1232" s="18" t="s">
        <v>2261</v>
      </c>
      <c r="W1232" s="18">
        <v>26</v>
      </c>
      <c r="X1232" s="18" t="s">
        <v>81</v>
      </c>
      <c r="Y1232" s="18" t="s">
        <v>649</v>
      </c>
      <c r="Z1232" s="18" t="s">
        <v>1643</v>
      </c>
      <c r="AA1232" s="18">
        <v>14</v>
      </c>
    </row>
    <row r="1233" spans="21:27">
      <c r="U1233" s="18">
        <v>1231</v>
      </c>
      <c r="V1233" s="18" t="s">
        <v>2262</v>
      </c>
      <c r="W1233" s="18">
        <v>34</v>
      </c>
      <c r="X1233" s="18" t="s">
        <v>81</v>
      </c>
      <c r="Y1233" s="18" t="s">
        <v>649</v>
      </c>
      <c r="Z1233" s="18" t="s">
        <v>2263</v>
      </c>
      <c r="AA1233" s="18">
        <v>25</v>
      </c>
    </row>
    <row r="1234" spans="21:27">
      <c r="U1234" s="18">
        <v>1232</v>
      </c>
      <c r="V1234" s="18" t="s">
        <v>2264</v>
      </c>
      <c r="W1234" s="18">
        <v>35</v>
      </c>
      <c r="X1234" s="18" t="s">
        <v>81</v>
      </c>
      <c r="Y1234" s="18" t="s">
        <v>657</v>
      </c>
      <c r="Z1234" s="18" t="s">
        <v>2265</v>
      </c>
      <c r="AA1234" s="18">
        <v>15</v>
      </c>
    </row>
    <row r="1235" spans="21:27">
      <c r="U1235" s="18">
        <v>1233</v>
      </c>
      <c r="V1235" s="18" t="s">
        <v>2266</v>
      </c>
      <c r="W1235" s="18">
        <v>27</v>
      </c>
      <c r="X1235" s="18" t="s">
        <v>81</v>
      </c>
      <c r="Y1235" s="18" t="s">
        <v>657</v>
      </c>
      <c r="Z1235" s="18" t="s">
        <v>2013</v>
      </c>
      <c r="AA1235" s="18">
        <v>16</v>
      </c>
    </row>
    <row r="1236" spans="21:27">
      <c r="U1236" s="18">
        <v>1234</v>
      </c>
      <c r="V1236" s="18" t="s">
        <v>2267</v>
      </c>
      <c r="W1236" s="18">
        <v>27</v>
      </c>
      <c r="X1236" s="18" t="s">
        <v>81</v>
      </c>
      <c r="Y1236" s="18" t="s">
        <v>657</v>
      </c>
      <c r="Z1236" s="18" t="s">
        <v>2268</v>
      </c>
      <c r="AA1236" s="18">
        <v>26</v>
      </c>
    </row>
    <row r="1237" spans="21:27">
      <c r="U1237" s="18">
        <v>1235</v>
      </c>
      <c r="V1237" s="18" t="s">
        <v>2269</v>
      </c>
      <c r="W1237" s="18">
        <v>28</v>
      </c>
      <c r="X1237" s="18" t="s">
        <v>81</v>
      </c>
      <c r="Y1237" s="18" t="s">
        <v>661</v>
      </c>
      <c r="Z1237" s="18" t="s">
        <v>2270</v>
      </c>
      <c r="AA1237" s="18">
        <v>2</v>
      </c>
    </row>
    <row r="1238" spans="21:27">
      <c r="U1238" s="18">
        <v>1236</v>
      </c>
      <c r="V1238" s="18" t="s">
        <v>2271</v>
      </c>
      <c r="W1238" s="18">
        <v>30</v>
      </c>
      <c r="X1238" s="18" t="s">
        <v>81</v>
      </c>
      <c r="Y1238" s="18" t="s">
        <v>661</v>
      </c>
      <c r="Z1238" s="18" t="s">
        <v>818</v>
      </c>
      <c r="AA1238" s="18">
        <v>23</v>
      </c>
    </row>
    <row r="1239" spans="21:27">
      <c r="U1239" s="18">
        <v>1237</v>
      </c>
      <c r="V1239" s="18" t="s">
        <v>2272</v>
      </c>
      <c r="W1239" s="18">
        <v>29</v>
      </c>
      <c r="X1239" s="18" t="s">
        <v>81</v>
      </c>
      <c r="Y1239" s="18" t="s">
        <v>664</v>
      </c>
      <c r="Z1239" s="18" t="s">
        <v>2273</v>
      </c>
      <c r="AA1239" s="18">
        <v>6</v>
      </c>
    </row>
    <row r="1240" spans="21:27">
      <c r="U1240" s="18">
        <v>1238</v>
      </c>
      <c r="V1240" s="18" t="s">
        <v>2274</v>
      </c>
      <c r="W1240" s="18">
        <v>36</v>
      </c>
      <c r="X1240" s="18" t="s">
        <v>81</v>
      </c>
      <c r="Y1240" s="18" t="s">
        <v>664</v>
      </c>
      <c r="Z1240" s="18" t="s">
        <v>1680</v>
      </c>
      <c r="AA1240" s="18">
        <v>20</v>
      </c>
    </row>
    <row r="1241" spans="21:27">
      <c r="U1241" s="18">
        <v>1239</v>
      </c>
      <c r="V1241" s="18" t="s">
        <v>2275</v>
      </c>
      <c r="W1241" s="18">
        <v>27</v>
      </c>
      <c r="X1241" s="18" t="s">
        <v>81</v>
      </c>
      <c r="Y1241" s="18" t="s">
        <v>669</v>
      </c>
      <c r="Z1241" s="18" t="s">
        <v>734</v>
      </c>
      <c r="AA1241" s="18">
        <v>8</v>
      </c>
    </row>
    <row r="1242" spans="21:27">
      <c r="U1242" s="18">
        <v>1240</v>
      </c>
      <c r="V1242" s="18" t="s">
        <v>2276</v>
      </c>
      <c r="W1242" s="18">
        <v>38</v>
      </c>
      <c r="X1242" s="18" t="s">
        <v>81</v>
      </c>
      <c r="Y1242" s="18" t="s">
        <v>669</v>
      </c>
      <c r="Z1242" s="18" t="s">
        <v>2265</v>
      </c>
      <c r="AA1242" s="18">
        <v>19</v>
      </c>
    </row>
    <row r="1243" spans="21:27">
      <c r="U1243" s="18">
        <v>1241</v>
      </c>
      <c r="V1243" s="18" t="s">
        <v>2277</v>
      </c>
      <c r="W1243" s="18">
        <v>27</v>
      </c>
      <c r="X1243" s="18" t="s">
        <v>81</v>
      </c>
      <c r="Y1243" s="18" t="s">
        <v>675</v>
      </c>
      <c r="Z1243" s="18" t="s">
        <v>2278</v>
      </c>
      <c r="AA1243" s="18">
        <v>7</v>
      </c>
    </row>
    <row r="1244" spans="21:27">
      <c r="U1244" s="18">
        <v>1242</v>
      </c>
      <c r="V1244" s="18" t="s">
        <v>2279</v>
      </c>
      <c r="W1244" s="18">
        <v>32</v>
      </c>
      <c r="X1244" s="18" t="s">
        <v>81</v>
      </c>
      <c r="Y1244" s="18" t="s">
        <v>675</v>
      </c>
      <c r="Z1244" s="18" t="s">
        <v>2280</v>
      </c>
      <c r="AA1244" s="18">
        <v>11</v>
      </c>
    </row>
    <row r="1245" spans="21:27">
      <c r="U1245" s="18">
        <v>1243</v>
      </c>
      <c r="V1245" s="18" t="s">
        <v>2281</v>
      </c>
      <c r="W1245" s="18">
        <v>30</v>
      </c>
      <c r="X1245" s="18" t="s">
        <v>81</v>
      </c>
      <c r="Y1245" s="18" t="s">
        <v>675</v>
      </c>
      <c r="Z1245" s="18" t="s">
        <v>2282</v>
      </c>
      <c r="AA1245" s="18">
        <v>21</v>
      </c>
    </row>
    <row r="1246" spans="21:27">
      <c r="U1246" s="18">
        <v>1244</v>
      </c>
      <c r="V1246" s="18" t="s">
        <v>2283</v>
      </c>
      <c r="W1246" s="18">
        <v>29</v>
      </c>
      <c r="X1246" s="18" t="s">
        <v>81</v>
      </c>
      <c r="Y1246" s="18" t="s">
        <v>679</v>
      </c>
      <c r="Z1246" s="18" t="s">
        <v>2284</v>
      </c>
      <c r="AA1246" s="18">
        <v>10</v>
      </c>
    </row>
    <row r="1247" spans="21:27">
      <c r="U1247" s="18">
        <v>1245</v>
      </c>
      <c r="V1247" s="18" t="s">
        <v>2285</v>
      </c>
      <c r="W1247" s="18">
        <v>27</v>
      </c>
      <c r="X1247" s="18" t="s">
        <v>81</v>
      </c>
      <c r="Y1247" s="18" t="s">
        <v>683</v>
      </c>
      <c r="Z1247" s="18" t="s">
        <v>2256</v>
      </c>
      <c r="AA1247" s="18">
        <v>9</v>
      </c>
    </row>
    <row r="1248" spans="21:27">
      <c r="U1248" s="18">
        <v>1246</v>
      </c>
      <c r="V1248" s="18" t="s">
        <v>2286</v>
      </c>
      <c r="W1248" s="18">
        <v>32</v>
      </c>
      <c r="X1248" s="18" t="s">
        <v>81</v>
      </c>
      <c r="Y1248" s="18" t="s">
        <v>683</v>
      </c>
      <c r="Z1248" s="18" t="s">
        <v>2287</v>
      </c>
      <c r="AA1248" s="18">
        <v>17</v>
      </c>
    </row>
    <row r="1249" spans="21:27">
      <c r="U1249" s="18">
        <v>1247</v>
      </c>
      <c r="V1249" s="18" t="s">
        <v>2288</v>
      </c>
      <c r="W1249" s="18">
        <v>35</v>
      </c>
      <c r="X1249" s="18" t="s">
        <v>81</v>
      </c>
      <c r="Y1249" s="18" t="s">
        <v>683</v>
      </c>
      <c r="Z1249" s="18" t="s">
        <v>2289</v>
      </c>
      <c r="AA1249" s="18">
        <v>18</v>
      </c>
    </row>
    <row r="1250" spans="21:27">
      <c r="U1250" s="18">
        <v>1248</v>
      </c>
      <c r="V1250" s="18" t="s">
        <v>2290</v>
      </c>
      <c r="W1250" s="18">
        <v>24</v>
      </c>
      <c r="X1250" s="18" t="s">
        <v>81</v>
      </c>
      <c r="Y1250" s="18" t="s">
        <v>683</v>
      </c>
      <c r="Z1250" s="18" t="s">
        <v>2287</v>
      </c>
      <c r="AA1250" s="18">
        <v>24</v>
      </c>
    </row>
  </sheetData>
  <mergeCells count="4">
    <mergeCell ref="A1:E1"/>
    <mergeCell ref="G1:S1"/>
    <mergeCell ref="U1:AA1"/>
    <mergeCell ref="AC1:A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893D-CA85-4AEC-B393-1F31776FD6F5}">
  <dimension ref="A1:BN5582"/>
  <sheetViews>
    <sheetView zoomScale="85" zoomScaleNormal="85"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RowHeight="15"/>
  <cols>
    <col min="1" max="1" width="38.5703125" style="156" bestFit="1" customWidth="1"/>
    <col min="2" max="2" width="22.42578125" bestFit="1" customWidth="1"/>
    <col min="3" max="3" width="38.85546875" bestFit="1" customWidth="1"/>
    <col min="4" max="4" width="30.140625" bestFit="1" customWidth="1"/>
    <col min="5" max="5" width="49.5703125" bestFit="1" customWidth="1"/>
    <col min="6" max="6" width="32.7109375" bestFit="1" customWidth="1"/>
    <col min="7" max="7" width="34.28515625" bestFit="1" customWidth="1"/>
    <col min="8" max="9" width="19.5703125" customWidth="1"/>
    <col min="10" max="10" width="33.5703125" bestFit="1" customWidth="1"/>
    <col min="11" max="11" width="39" bestFit="1" customWidth="1"/>
    <col min="12" max="14" width="19.5703125" customWidth="1"/>
    <col min="15" max="15" width="17.7109375" customWidth="1"/>
    <col min="16" max="16" width="10.85546875" style="82"/>
    <col min="18" max="18" width="36.140625" bestFit="1" customWidth="1"/>
    <col min="19" max="19" width="89.7109375" bestFit="1" customWidth="1"/>
    <col min="20" max="20" width="47.28515625" bestFit="1" customWidth="1"/>
    <col min="21" max="21" width="19.28515625" customWidth="1"/>
    <col min="22" max="22" width="31" bestFit="1" customWidth="1"/>
    <col min="23" max="23" width="39.85546875" bestFit="1" customWidth="1"/>
    <col min="24" max="24" width="32.85546875" style="82" bestFit="1" customWidth="1"/>
    <col min="26" max="26" width="44.42578125" bestFit="1" customWidth="1"/>
    <col min="27" max="27" width="49.5703125" bestFit="1" customWidth="1"/>
    <col min="28" max="28" width="37.5703125" bestFit="1" customWidth="1"/>
    <col min="29" max="29" width="37.5703125" style="82" bestFit="1" customWidth="1"/>
    <col min="30" max="30" width="15.85546875" bestFit="1" customWidth="1"/>
    <col min="31" max="31" width="52.85546875" customWidth="1"/>
    <col min="32" max="32" width="38.42578125" bestFit="1" customWidth="1"/>
    <col min="33" max="33" width="28.140625" bestFit="1" customWidth="1"/>
    <col min="34" max="34" width="22.85546875" bestFit="1" customWidth="1"/>
    <col min="35" max="35" width="22.7109375" bestFit="1" customWidth="1"/>
    <col min="36" max="36" width="15.5703125" bestFit="1" customWidth="1"/>
    <col min="37" max="37" width="15.7109375" bestFit="1" customWidth="1"/>
    <col min="38" max="38" width="14.85546875" bestFit="1" customWidth="1"/>
    <col min="39" max="39" width="16.85546875" bestFit="1" customWidth="1"/>
    <col min="40" max="40" width="15.7109375" bestFit="1" customWidth="1"/>
    <col min="41" max="41" width="12.42578125" bestFit="1" customWidth="1"/>
    <col min="42" max="42" width="13.5703125" bestFit="1" customWidth="1"/>
    <col min="43" max="43" width="14.85546875" style="82" bestFit="1" customWidth="1"/>
    <col min="45" max="45" width="36" bestFit="1" customWidth="1"/>
    <col min="46" max="46" width="38.42578125" bestFit="1" customWidth="1"/>
    <col min="47" max="47" width="38.42578125" customWidth="1"/>
    <col min="48" max="48" width="43.85546875" bestFit="1" customWidth="1"/>
    <col min="49" max="49" width="33.5703125" style="82" bestFit="1" customWidth="1"/>
    <col min="51" max="51" width="36" bestFit="1" customWidth="1"/>
    <col min="52" max="52" width="29.42578125" customWidth="1"/>
    <col min="53" max="53" width="22.42578125" bestFit="1" customWidth="1"/>
    <col min="54" max="54" width="22.42578125" customWidth="1"/>
    <col min="55" max="55" width="24.42578125" style="82" bestFit="1" customWidth="1"/>
    <col min="56" max="56" width="10" customWidth="1"/>
    <col min="57" max="57" width="33.7109375" bestFit="1" customWidth="1"/>
    <col min="58" max="60" width="24.42578125" customWidth="1"/>
    <col min="61" max="61" width="24.42578125" style="82" customWidth="1"/>
    <col min="63" max="63" width="33.7109375" bestFit="1" customWidth="1"/>
    <col min="64" max="64" width="21.5703125" bestFit="1" customWidth="1"/>
    <col min="65" max="65" width="12.5703125" bestFit="1" customWidth="1"/>
    <col min="66" max="66" width="18.42578125" style="82" bestFit="1" customWidth="1"/>
  </cols>
  <sheetData>
    <row r="1" spans="1:66">
      <c r="A1" s="183" t="s">
        <v>3596</v>
      </c>
      <c r="B1" s="77" t="s">
        <v>3802</v>
      </c>
      <c r="C1" s="77" t="s">
        <v>3597</v>
      </c>
      <c r="D1" s="77" t="s">
        <v>3716</v>
      </c>
      <c r="E1" s="77" t="s">
        <v>3769</v>
      </c>
      <c r="F1" s="77" t="s">
        <v>3796</v>
      </c>
      <c r="G1" s="77" t="s">
        <v>3797</v>
      </c>
      <c r="AG1" s="7"/>
      <c r="AH1" s="7"/>
      <c r="AI1" s="7"/>
      <c r="AJ1" s="7"/>
      <c r="AK1" s="7"/>
      <c r="AL1" s="7"/>
      <c r="AM1" s="7"/>
      <c r="AN1" s="7"/>
    </row>
    <row r="2" spans="1:66">
      <c r="A2" s="184" t="s">
        <v>3802</v>
      </c>
      <c r="AG2" s="7"/>
      <c r="AH2" s="7"/>
      <c r="AI2" s="7"/>
      <c r="AJ2" s="7"/>
      <c r="AK2" s="7"/>
      <c r="AL2" s="7"/>
      <c r="AM2" s="7"/>
      <c r="AN2" s="7"/>
    </row>
    <row r="3" spans="1:66" ht="21">
      <c r="A3" s="184" t="s">
        <v>3597</v>
      </c>
      <c r="C3" s="237" t="s">
        <v>3597</v>
      </c>
      <c r="D3" s="237"/>
      <c r="R3" s="237" t="s">
        <v>3845</v>
      </c>
      <c r="S3" s="237"/>
      <c r="Z3" s="237" t="s">
        <v>3846</v>
      </c>
      <c r="AA3" s="237"/>
      <c r="AE3" s="237" t="s">
        <v>3847</v>
      </c>
      <c r="AF3" s="237"/>
      <c r="AG3" s="7"/>
      <c r="AH3" s="7"/>
      <c r="AI3" s="7"/>
      <c r="AJ3" s="7"/>
      <c r="AK3" s="7"/>
      <c r="AL3" s="7"/>
      <c r="AM3" s="7"/>
      <c r="AN3" s="7"/>
      <c r="AS3" s="237" t="s">
        <v>3844</v>
      </c>
      <c r="AT3" s="237"/>
      <c r="AU3" s="135"/>
      <c r="AY3" s="237" t="s">
        <v>3850</v>
      </c>
      <c r="AZ3" s="237"/>
      <c r="BE3" s="237" t="s">
        <v>3849</v>
      </c>
      <c r="BF3" s="237"/>
      <c r="BK3" s="237" t="s">
        <v>3848</v>
      </c>
      <c r="BL3" s="237"/>
    </row>
    <row r="4" spans="1:66" ht="15.75">
      <c r="A4" s="184" t="s">
        <v>3845</v>
      </c>
      <c r="B4" s="20"/>
      <c r="C4" s="56" t="s">
        <v>3577</v>
      </c>
      <c r="D4" s="16" t="str">
        <f>IF(COUNTIF(H32:H79,"DOUBLON")=0,"PAS DE DOUBLONS","DOUBLONS = "&amp;COUNTIF(H32:H79,"DUPLICATE"))</f>
        <v>PAS DE DOUBLONS</v>
      </c>
      <c r="R4" s="56" t="s">
        <v>3577</v>
      </c>
      <c r="S4" s="16" t="str">
        <f>IF(COUNTIF(T$13:T$60,"ERREUR")&gt;0,"ERREURS DETECTEES = "&amp;COUNTIF(T$13:T$60,"ERREUR")&amp;" || ACTIONS APPORTEES : *AUCUNE = "&amp;COUNTIF(U$13:U$60,"AUCUNE")&amp;" *RENOMMER = "&amp;COUNTIF(U$13:U$60,"RENOMMER"),"PAS D'ACTIONS ENTREPRISES")</f>
        <v>ERREURS DETECTEES = 6 || ACTIONS APPORTEES : *AUCUNE = 2 *RENOMMER = 4</v>
      </c>
      <c r="Z4" s="46" t="s">
        <v>3577</v>
      </c>
      <c r="AA4" s="16" t="str">
        <f>IF(AB11="Aucuns caractères spéciaux détectés","PAS DE CORRECTIONS","ERREURS A CORRIGER")</f>
        <v>PAS DE CORRECTIONS</v>
      </c>
      <c r="AE4" s="56" t="s">
        <v>3577</v>
      </c>
      <c r="AF4" s="61" t="str">
        <f>"Colonne à convertir (texte &gt; numérique) : "&amp;COUNTIF(AE14:AI14,"OUI")</f>
        <v>Colonne à convertir (texte &gt; numérique) : 1</v>
      </c>
      <c r="AG4" s="7"/>
      <c r="AH4" s="7"/>
      <c r="AI4" s="7"/>
      <c r="AJ4" s="7"/>
      <c r="AK4" s="7"/>
      <c r="AL4" s="7"/>
      <c r="AM4" s="7"/>
      <c r="AN4" s="7"/>
      <c r="AS4" s="14" t="s">
        <v>3577</v>
      </c>
      <c r="AT4" s="61" t="s">
        <v>3798</v>
      </c>
      <c r="AU4" s="9"/>
      <c r="AY4" s="14" t="s">
        <v>3577</v>
      </c>
      <c r="AZ4" s="61" t="s">
        <v>3798</v>
      </c>
      <c r="BE4" s="14" t="s">
        <v>3577</v>
      </c>
      <c r="BF4" s="61" t="s">
        <v>3803</v>
      </c>
      <c r="BG4" s="9"/>
      <c r="BH4" s="9"/>
      <c r="BK4" s="14" t="s">
        <v>3577</v>
      </c>
      <c r="BL4" s="61" t="s">
        <v>3843</v>
      </c>
    </row>
    <row r="5" spans="1:66">
      <c r="A5" s="184" t="s">
        <v>3846</v>
      </c>
      <c r="C5" s="57" t="s">
        <v>3578</v>
      </c>
      <c r="D5" s="16" t="str">
        <f>IF(COUNTIF(P83:P434,"DOUBLON")=0,"PAS DE DOUBLONS","DOUBLONS = "&amp;COUNTIF(P83:P434,"DUPLICATE"))</f>
        <v>PAS DE DOUBLONS</v>
      </c>
      <c r="R5" s="57" t="s">
        <v>3578</v>
      </c>
      <c r="S5" s="16" t="str">
        <f>IF(COUNTIF(T$63:T$1118,"ERREUR")&gt;0,"ERREURS DETECTEES = "&amp;COUNTIF(T$63:T$1118,"ERREUR")&amp;" || ACTIONS APPORTEES : *AUCUNE = "&amp;COUNTIF(U$63:U$1118,"AUCUNE")&amp;" *RENOMMER = "&amp;COUNTIF(U$63:U$1118,"RENOMMER"),"PAS D'ACTIONS ENTREPRISES")</f>
        <v>ERREURS DETECTEES = 141 || ACTIONS APPORTEES : *AUCUNE = 71 *RENOMMER = 70</v>
      </c>
      <c r="Z5" s="47" t="s">
        <v>3578</v>
      </c>
      <c r="AA5" s="16" t="str">
        <f>IF(AND(AB12="Aucuns caractères spéciaux détectés",AB13="Aucuns caractères spéciaux détectés"),"PAS DE CORRECTIONS","ERREURS A CORRIGER")</f>
        <v>PAS DE CORRECTIONS</v>
      </c>
      <c r="AE5" s="57" t="s">
        <v>3578</v>
      </c>
      <c r="AF5" s="61" t="str">
        <f>"Colonne à convertir (texte &gt; numérique) : "&amp;COUNTIF(AE68:AQ68,"OUI")</f>
        <v>Colonne à convertir (texte &gt; numérique) : 0</v>
      </c>
      <c r="AG5" s="7"/>
      <c r="AH5" s="7"/>
      <c r="AI5" s="7"/>
      <c r="AJ5" s="7"/>
      <c r="AK5" s="7"/>
      <c r="AL5" s="7"/>
      <c r="AM5" s="7"/>
      <c r="AN5" s="7"/>
      <c r="AS5" s="68" t="s">
        <v>3578</v>
      </c>
      <c r="AT5" s="61" t="s">
        <v>3799</v>
      </c>
      <c r="AU5" s="9"/>
      <c r="AY5" s="68" t="s">
        <v>3578</v>
      </c>
      <c r="AZ5" s="61" t="s">
        <v>3798</v>
      </c>
      <c r="BE5" s="68" t="s">
        <v>3578</v>
      </c>
      <c r="BF5" s="61" t="s">
        <v>3803</v>
      </c>
      <c r="BG5" s="9"/>
      <c r="BH5" s="9"/>
      <c r="BK5" s="68" t="s">
        <v>3578</v>
      </c>
      <c r="BL5" s="61" t="s">
        <v>3843</v>
      </c>
    </row>
    <row r="6" spans="1:66">
      <c r="A6" s="184" t="s">
        <v>3847</v>
      </c>
      <c r="C6" s="58" t="s">
        <v>570</v>
      </c>
      <c r="D6" s="16" t="str">
        <f>IF(COUNTIF(J438:J1685,"DOUBLON")=0,"PAS DE DOUBLONS","DOUBLONS = "&amp;COUNTIF(J438:J1685,"DUPLICATE"))</f>
        <v>PAS DE DOUBLONS</v>
      </c>
      <c r="R6" s="58" t="s">
        <v>570</v>
      </c>
      <c r="S6" s="16" t="str">
        <f>IF(COUNTIF(T$1121:T$2368,"ERREUR")&gt;0,"ERREURS DETECTEES = "&amp;COUNTIF(T$1121:T$2368,"ERREUR")&amp;" || ACTIONS APPORTEES : *AUCUNE = "&amp;COUNTIF(U$1121:U$2368,"AUCUNE")&amp;" *RENOMMER = "&amp;COUNTIF(U$1121:U$2368,"RENOMMER"),"PAS D'ACTIONS ENTREPRISES")</f>
        <v>ERREURS DETECTEES = 156 || ACTIONS APPORTEES : *AUCUNE = 52 *RENOMMER = 104</v>
      </c>
      <c r="Z6" s="48" t="s">
        <v>570</v>
      </c>
      <c r="AA6" s="16" t="str">
        <f>IF(AND(AB14="Aucuns caractères spéciaux détectés",AB15="Aucuns caractères spéciaux détectés"),"PAS DE CORRECTIONS","ERREURS A CORRIGER")</f>
        <v>PAS DE CORRECTIONS</v>
      </c>
      <c r="AE6" s="58" t="s">
        <v>570</v>
      </c>
      <c r="AF6" s="61" t="str">
        <f>"Colonne à convertir (texte &gt; numérique) : "&amp;COUNTIF(AE75:AK75,"OUI")</f>
        <v>Colonne à convertir (texte &gt; numérique) : 0</v>
      </c>
      <c r="AG6" s="7"/>
      <c r="AH6" s="7"/>
      <c r="AI6" s="7"/>
      <c r="AJ6" s="7"/>
      <c r="AK6" s="7"/>
      <c r="AL6" s="7"/>
      <c r="AM6" s="7"/>
      <c r="AN6" s="7"/>
      <c r="AS6" s="70" t="s">
        <v>570</v>
      </c>
      <c r="AT6" s="61" t="s">
        <v>3798</v>
      </c>
      <c r="AU6" s="9"/>
      <c r="AY6" s="70" t="s">
        <v>570</v>
      </c>
      <c r="AZ6" s="61" t="s">
        <v>3798</v>
      </c>
      <c r="BE6" s="70" t="s">
        <v>570</v>
      </c>
      <c r="BF6" s="61" t="s">
        <v>3803</v>
      </c>
      <c r="BG6" s="9"/>
      <c r="BH6" s="9"/>
      <c r="BK6" s="70" t="s">
        <v>570</v>
      </c>
      <c r="BL6" s="61" t="s">
        <v>3942</v>
      </c>
    </row>
    <row r="7" spans="1:66">
      <c r="A7" s="184" t="s">
        <v>3844</v>
      </c>
      <c r="C7" s="59" t="s">
        <v>3579</v>
      </c>
      <c r="D7" s="16" t="str">
        <f>IF(COUNTIF(M1689:M2762,"DOUBLON")=0,"PAS DE DOUBLONS","DOUBLONS = "&amp;COUNTIF(M1689:M2762,"DOUBLON"))</f>
        <v>DOUBLONS = 16</v>
      </c>
      <c r="R7" s="59" t="s">
        <v>3579</v>
      </c>
      <c r="S7" s="16" t="str">
        <f>IF(COUNTIF(T2371:T4486,"ERREUR")&gt;0,"ERREURS DETECTEES = "&amp;COUNTIF(T2371:T4486,"ERREUR")&amp;" || ACTIONS APPORTEES : *AUCUNE = "&amp;COUNTIF(U2371:U4486,"AUCUNE")&amp;" *RENOMMER = "&amp;COUNTIF(U2371:U4486,"RENOMMER"),"PAS D'ACTIONS ENTREPRISES")</f>
        <v>ERREURS DETECTEES = 428 || ACTIONS APPORTEES : *AUCUNE = 230 *RENOMMER = 198</v>
      </c>
      <c r="Z7" s="41" t="s">
        <v>3579</v>
      </c>
      <c r="AA7" s="16" t="str">
        <f>IF(AB16="Aucuns caractères spéciaux détectés","PAS DE CORRECTIONS","ERREURS A CORRIGER")</f>
        <v>ERREURS A CORRIGER</v>
      </c>
      <c r="AE7" s="59" t="s">
        <v>3579</v>
      </c>
      <c r="AF7" s="61" t="str">
        <f>"Colonne à convertir (texte &gt; numérique) : "&amp;COUNTIF(AE82:AN82,"OUI")</f>
        <v>Colonne à convertir (texte &gt; numérique) : 3</v>
      </c>
      <c r="AG7" s="7"/>
      <c r="AH7" s="7"/>
      <c r="AI7" s="7"/>
      <c r="AJ7" s="7"/>
      <c r="AK7" s="7"/>
      <c r="AL7" s="7"/>
      <c r="AM7" s="7"/>
      <c r="AN7" s="7"/>
      <c r="AS7" s="71" t="s">
        <v>3579</v>
      </c>
      <c r="AT7" s="61" t="s">
        <v>3799</v>
      </c>
      <c r="AU7" s="9"/>
      <c r="AY7" s="71" t="s">
        <v>3579</v>
      </c>
      <c r="AZ7" s="61" t="str">
        <f>IF(COUNTIF(BC12:BC71,"OK")&lt;COUNTA(BC12:BC71),"ERREUR","OK")</f>
        <v>OK</v>
      </c>
      <c r="BE7" s="71" t="s">
        <v>3579</v>
      </c>
      <c r="BF7" s="61" t="str">
        <f>IF(COUNTIF(BF12:BF1069,"OK")&lt;COUNTA(BF12:BF1069),"ERREUR","OK")</f>
        <v>OK</v>
      </c>
      <c r="BG7" s="9"/>
      <c r="BH7" s="9"/>
      <c r="BK7" s="71" t="s">
        <v>3579</v>
      </c>
      <c r="BL7" s="61" t="str">
        <f>IF(COUNTIF(BN12:BN34,"OK")&lt;COUNTA(BN12:BN34),"ERREUR","OK")</f>
        <v>ERREUR</v>
      </c>
    </row>
    <row r="8" spans="1:66">
      <c r="A8" s="185" t="s">
        <v>3850</v>
      </c>
      <c r="R8" s="101" t="s">
        <v>3808</v>
      </c>
      <c r="S8" s="16" t="str">
        <f>IF(COUNTA(T4489:T5546)-COUNTIF(T4489:T5546,"-")&gt;0,"ERREURS DETECTEES = "&amp;COUNTA(T4489:T5546)-COUNTIF(T4489:T5546,"-")&amp;" || ACTIONS APPORTEES : *AUCUNE = "&amp;COUNTIF(U4489:U5546,"AUCUNE")&amp;" *RENOMMER = "&amp;COUNTIF(U4489:U5546,"RENOMMER"),"PAS D'ACTIONS ENTREPRISES")</f>
        <v>ERREURS DETECTEES = 69 || ACTIONS APPORTEES : *AUCUNE = 66 *RENOMMER = 3</v>
      </c>
      <c r="AG8" s="7"/>
      <c r="AH8" s="7"/>
      <c r="AI8" s="7"/>
      <c r="AJ8" s="7"/>
      <c r="AK8" s="7"/>
      <c r="AL8" s="7"/>
      <c r="AM8" s="7"/>
      <c r="AN8" s="7"/>
    </row>
    <row r="9" spans="1:66">
      <c r="A9" s="185" t="s">
        <v>3849</v>
      </c>
      <c r="AG9" s="7"/>
      <c r="AH9" s="7"/>
      <c r="AI9" s="7"/>
      <c r="AJ9" s="7"/>
      <c r="AK9" s="7"/>
      <c r="AL9" s="7"/>
      <c r="AM9" s="7"/>
      <c r="AN9" s="7"/>
    </row>
    <row r="10" spans="1:66" ht="21">
      <c r="A10" s="185" t="s">
        <v>3848</v>
      </c>
      <c r="B10" s="239" t="s">
        <v>3594</v>
      </c>
      <c r="C10" s="239"/>
      <c r="D10" s="239"/>
      <c r="R10" s="100"/>
      <c r="AB10" s="51" t="s">
        <v>3770</v>
      </c>
      <c r="AC10" s="83"/>
      <c r="AD10" s="24"/>
      <c r="AE10" s="105" t="s">
        <v>3577</v>
      </c>
      <c r="AG10" s="7"/>
      <c r="AH10" s="7"/>
      <c r="AI10" s="7"/>
      <c r="AJ10" s="7"/>
      <c r="AK10" s="7"/>
      <c r="AL10" s="7"/>
      <c r="AM10" s="7"/>
      <c r="AN10" s="7"/>
      <c r="AY10" s="109" t="s">
        <v>3579</v>
      </c>
      <c r="BE10" s="109" t="s">
        <v>3579</v>
      </c>
      <c r="BK10" s="108" t="s">
        <v>3579</v>
      </c>
    </row>
    <row r="11" spans="1:66" ht="84">
      <c r="B11" s="182" t="s">
        <v>3593</v>
      </c>
      <c r="C11" s="181" t="s">
        <v>3579</v>
      </c>
      <c r="R11" s="26" t="s">
        <v>3598</v>
      </c>
      <c r="Z11" s="46" t="s">
        <v>3577</v>
      </c>
      <c r="AA11" s="52" t="s">
        <v>526</v>
      </c>
      <c r="AB11" s="16" t="str" cm="1">
        <f t="array" ref="AB11">_xlfn._xlws.FILTER(DATA_BRUT!A2:A50,ISNUMBER(SEARCH(_xlfn.UNICHAR(65533),DATA_BRUT!A2:A50)),"Aucuns caractères spéciaux détectés")</f>
        <v>Aucuns caractères spéciaux détectés</v>
      </c>
      <c r="AC11" s="84"/>
      <c r="AD11" s="60"/>
      <c r="AE11" s="64" t="str">
        <f>"Nombre de colonnes : "&amp;COLUMNS(DATA_BRUT!A2:E2)</f>
        <v>Nombre de colonnes : 5</v>
      </c>
      <c r="AG11" s="7"/>
      <c r="AH11" s="7"/>
      <c r="AI11" s="7"/>
      <c r="AJ11" s="7"/>
      <c r="AK11" s="7"/>
      <c r="AL11" s="7"/>
      <c r="AM11" s="7"/>
      <c r="AN11" s="7"/>
      <c r="AS11" s="234" t="s">
        <v>3598</v>
      </c>
      <c r="AT11" s="235"/>
      <c r="AU11" s="236"/>
      <c r="AV11" s="131" t="s">
        <v>3578</v>
      </c>
      <c r="AW11" s="132" t="s">
        <v>3579</v>
      </c>
      <c r="AY11" s="78" t="s">
        <v>3555</v>
      </c>
      <c r="AZ11" s="78" t="s">
        <v>3813</v>
      </c>
      <c r="BA11" s="78" t="s">
        <v>3556</v>
      </c>
      <c r="BB11" s="78" t="s">
        <v>3557</v>
      </c>
      <c r="BC11" s="98" t="s">
        <v>3558</v>
      </c>
      <c r="BE11" s="78" t="s">
        <v>3804</v>
      </c>
      <c r="BF11" s="78" t="s">
        <v>3805</v>
      </c>
      <c r="BG11" s="78" t="s">
        <v>3807</v>
      </c>
      <c r="BH11" s="102" t="s">
        <v>3812</v>
      </c>
      <c r="BI11" s="98" t="s">
        <v>3806</v>
      </c>
      <c r="BK11" s="78" t="s">
        <v>3555</v>
      </c>
      <c r="BL11" s="133" t="s">
        <v>3940</v>
      </c>
      <c r="BM11" s="133" t="s">
        <v>3941</v>
      </c>
      <c r="BN11" s="98" t="s">
        <v>3558</v>
      </c>
    </row>
    <row r="12" spans="1:66" ht="18.75">
      <c r="B12" s="22" t="str">
        <f>UPPER("retiré")</f>
        <v>RETIRÉ</v>
      </c>
      <c r="C12" s="180" t="str" cm="1">
        <f t="array" ref="C12:N27">_xlfn._xlws.FILTER(B1689:M2762,M1689:M2762="DOUBLON")</f>
        <v>2014.0</v>
      </c>
      <c r="D12" s="31" t="str">
        <v xml:space="preserve">28 Jun 2014 - 13:00 </v>
      </c>
      <c r="E12" s="31" t="str">
        <v>Round of 16</v>
      </c>
      <c r="F12" s="31" t="str">
        <v>Estadio Mineirao</v>
      </c>
      <c r="G12" s="31" t="str">
        <v xml:space="preserve">Belo Horizonte </v>
      </c>
      <c r="H12" s="31" t="str">
        <v>Brazil</v>
      </c>
      <c r="I12" s="31" t="str">
        <v>1.0</v>
      </c>
      <c r="J12" s="31" t="str">
        <v>1.0</v>
      </c>
      <c r="K12" s="31" t="str">
        <v>Chile</v>
      </c>
      <c r="L12" s="31" t="str">
        <v xml:space="preserve">Brazil win on penalties (3 - 2) </v>
      </c>
      <c r="M12" s="31" t="str">
        <v xml:space="preserve">2014.0|28 Jun 2014 - 13:00 |Round of 16|Estadio Mineirao|Belo Horizonte |Brazil|1.0|1.0|Chile|Brazil win on penalties (3 - 2) </v>
      </c>
      <c r="N12" s="31" t="str">
        <v>DOUBLON</v>
      </c>
      <c r="R12" s="115" t="s">
        <v>3715</v>
      </c>
      <c r="S12" s="32" t="s">
        <v>3577</v>
      </c>
      <c r="T12" s="32" t="s">
        <v>3558</v>
      </c>
      <c r="U12" s="32" t="s">
        <v>3593</v>
      </c>
      <c r="V12" s="32" t="s">
        <v>3764</v>
      </c>
      <c r="W12" s="33" t="s">
        <v>3765</v>
      </c>
      <c r="X12" s="94" t="s">
        <v>3768</v>
      </c>
      <c r="Z12" s="47" t="s">
        <v>3578</v>
      </c>
      <c r="AA12" s="53" t="s">
        <v>98</v>
      </c>
      <c r="AB12" s="16" t="str" cm="1">
        <f t="array" ref="AB12">_xlfn._xlws.FILTER(DATA_BRUT!G2:S354,ISNUMBER(SEARCH(_xlfn.UNICHAR(65533),DATA_BRUT!L2:L354)),"Aucuns caractères spéciaux détectés")</f>
        <v>Aucuns caractères spéciaux détectés</v>
      </c>
      <c r="AC12" s="84"/>
      <c r="AD12" s="80" t="s">
        <v>3789</v>
      </c>
      <c r="AE12" s="11" t="str" cm="1">
        <f t="array" ref="AE12:AI12">DATA_BRUT!A2:E2</f>
        <v>Country</v>
      </c>
      <c r="AF12" s="11" t="str">
        <v>2026_Average_Age</v>
      </c>
      <c r="AG12" s="11" t="str">
        <v>2026_Unique_Clubs_Represented</v>
      </c>
      <c r="AH12" s="11" t="str">
        <v>Historical_Matches_Played</v>
      </c>
      <c r="AI12" s="11" t="str">
        <v>Historical_Goals_Scored</v>
      </c>
      <c r="AJ12" s="7"/>
      <c r="AK12" s="7"/>
      <c r="AL12" s="7"/>
      <c r="AM12" s="7"/>
      <c r="AN12" s="7"/>
      <c r="AS12" s="23" t="str" cm="1">
        <f t="array" ref="AS12:AS38">_xlfn._xlws.SORT(_xlfn.UNIQUE(_xlfn.VSTACK(DATA_BRUT!H3:H354,DATA_BRUT!AE3:AE1076)))</f>
        <v>Final</v>
      </c>
      <c r="AT12" s="69" t="s">
        <v>3561</v>
      </c>
      <c r="AU12" s="138">
        <v>1</v>
      </c>
      <c r="AV12" s="79" t="str" cm="1">
        <f t="array" ref="AV12:AV363">_xlfn.XLOOKUP(DATA_BRUT!H3:H354,_xlfn.ANCHORARRAY(DATA_QUALITE!AS12),DATA_QUALITE!AT12:AT38)</f>
        <v>SEMI_FINALS</v>
      </c>
      <c r="AW12" s="89" t="str" cm="1">
        <f t="array" ref="AW12:AW1069">_xlfn._xlws.FILTER(_xlfn.XLOOKUP(DATA_BRUT!AE3:AE1076,_xlfn.ANCHORARRAY(DATA_QUALITE!AS12),DATA_QUALITE!AT12:AT38),M1689:M2762="OK")</f>
        <v>GROUP_STAGE</v>
      </c>
      <c r="AY12" s="42" cm="1">
        <f t="array" ref="AY12">INDEX(_xlfn.UNIQUE(DATA_CLEANED!AF3:'DATA_CLEANED'!AF1060),INT((ROWS(AY$12:AY12)-1)/3)+1)</f>
        <v>1930</v>
      </c>
      <c r="AZ12" s="42" t="s">
        <v>3560</v>
      </c>
      <c r="BA12" s="42">
        <v>0</v>
      </c>
      <c r="BB12" s="42">
        <f>COUNTIFS(DATA_CLEANED!AH$3:AH$1060,AZ12,DATA_CLEANED!AF$3:AF$1060,AY12)</f>
        <v>0</v>
      </c>
      <c r="BC12" s="89" t="str">
        <f t="shared" ref="BC12:BC43" si="0">IF(BA12&gt;BB12,"Donnée manquante",IF(BA12&lt;BB12,"A VERIFIER","OK"))</f>
        <v>OK</v>
      </c>
      <c r="BE12" s="43" t="str">
        <f>IF(OR(DATA_CLEANED!AL3="",DATA_CLEANED!AM3=""),"MANQUANT",IF(OR(NOT(ISNUMBER(DATA_CLEANED!AL3)),NOT(ISNUMBER(DATA_CLEANED!AM3))),"ENTREE INVALIDE",IF(OR(DATA_CLEANED!AL3&lt;0,DATA_CLEANED!AM3&lt;0),"SCORE NEGATIF","OK")))</f>
        <v>OK</v>
      </c>
      <c r="BF12" s="43" t="str">
        <f>IF(DATA_CLEANED!AK3&lt;&gt;DATA_CLEANED!AN3,"OK","ERREUR")</f>
        <v>OK</v>
      </c>
      <c r="BG12" s="43" t="str">
        <f>IF(DATA_CLEANED!AL3&gt;DATA_CLEANED!AM3,DATA_CLEANED!AK3,IF(AND(DATA_QUALITE!W4489="-",DATA_CLEANED!AM3=DATA_CLEANED!AL3),"MATCH NUL",IF(AND(DATA_QUALITE!V4489="-",DATA_QUALITE!U4489="AUCUNE"),DATA_QUALITE!T4489,IF(DATA_QUALITE!V4489&lt;&gt;"-",DATA_QUALITE!V4489,DATA_CLEANED!AN3))))</f>
        <v>France</v>
      </c>
      <c r="BH12" s="103" t="str">
        <f>IF(AND(BG12="MATCH NUL",DATA_CLEANED!AO3="-"),"MATCH_NUL",IF(ISNUMBER(SEARCH("win on penalties",W4489)),"WIN_BY_PENALTY",IF(ISNUMBER(SEARCH("win after extra time",W4489)),"WIN_BY_EXTRA_TIME",IF(ISNUMBER(SEARCH("Golden Goal",W4489)),"WIN_BY_GOLDEN_GOAL","WIN_BY_SCORE"))))</f>
        <v>WIN_BY_SCORE</v>
      </c>
      <c r="BI12" s="99" t="str">
        <f>IF(OR(BG12=DATA_CLEANED!AK3,BG12=DATA_CLEANED!AN3,BG12="MATCH NUL"),"OK","ERREUR")</f>
        <v>OK</v>
      </c>
      <c r="BK12" s="40" cm="1">
        <f t="array" ref="BK12:BK34">_xlfn.UNIQUE(_xlfn.ANCHORARRAY(DATA_CLEANED!AF3))</f>
        <v>1930</v>
      </c>
      <c r="BL12" s="40">
        <v>18</v>
      </c>
      <c r="BM12" s="40" cm="1">
        <f t="array" ref="BM12:BM34">RESUME!F16:F38</f>
        <v>18</v>
      </c>
      <c r="BN12" s="134" t="str">
        <f>IF(BL12=BM12,"OK","MATCH_MANQUANTS")</f>
        <v>OK</v>
      </c>
    </row>
    <row r="13" spans="1:66">
      <c r="B13" s="22" t="str">
        <f t="shared" ref="B13:B27" si="1">UPPER("retiré")</f>
        <v>RETIRÉ</v>
      </c>
      <c r="C13" s="31" t="str">
        <v>2014.0</v>
      </c>
      <c r="D13" s="31" t="str">
        <v xml:space="preserve">28 Jun 2014 - 17:00 </v>
      </c>
      <c r="E13" s="31" t="str">
        <v>Round of 16</v>
      </c>
      <c r="F13" s="31" t="str">
        <v>Estadio do Maracana</v>
      </c>
      <c r="G13" s="31" t="str">
        <v xml:space="preserve">Rio De Janeiro </v>
      </c>
      <c r="H13" s="31" t="str">
        <v>Colombia</v>
      </c>
      <c r="I13" s="31" t="str">
        <v>2.0</v>
      </c>
      <c r="J13" s="31" t="str">
        <v>0.0</v>
      </c>
      <c r="K13" s="31" t="str">
        <v>Uruguay</v>
      </c>
      <c r="L13" s="31" t="str">
        <v xml:space="preserve"> </v>
      </c>
      <c r="M13" s="31" t="str">
        <v xml:space="preserve">2014.0|28 Jun 2014 - 17:00 |Round of 16|Estadio do Maracana|Rio De Janeiro |Colombia|2.0|0.0|Uruguay| </v>
      </c>
      <c r="N13" s="31" t="str">
        <v>DOUBLON</v>
      </c>
      <c r="R13" s="23" t="s">
        <v>3599</v>
      </c>
      <c r="S13" s="13" t="str" cm="1">
        <f t="array" ref="S13:S60">DATA_BRUT!A3:A50</f>
        <v>Brazil</v>
      </c>
      <c r="T13" s="13" t="str">
        <f t="shared" ref="T13:T60" si="2">IF(COUNTIF(R$13:R$250,S13)=1,"OK","ERREUR")</f>
        <v>OK</v>
      </c>
      <c r="U13" s="13" t="str">
        <f>IF(OR(S13="Scotland",S13="England",S13="Wales",S13="Yugoslavia",S13="Czechoslovakia",S13="Northern Ireland",S13="Soviet Union",S13="Zaire",S13="Dutch East Indies"),"AUCUNE",IF(OR(S13="Cape Verde",S13="USA",S13="DR Congo",S13="Republic of Korea",S13="Germany FR",S13="Germany DR",S13="Czechia",S13="Ivory Coast",S13="Korea DPR",S13="China PR",S13="IR Iran",S13="Türkiye",S13="Congo DR",S13="German DR",ISNUMBER(SEARCH("rn""&gt;United Arab Emirates",S13)),ISNUMBER(SEARCH("rn""&gt;Republic of Ireland",S13)),ISNUMBER(SEARCH("rn""&gt;Bosnia and Herzegovina",S13)),ISNUMBER(SEARCH("rn""&gt;Trinidad and Tobago",S13)),ISNUMBER(SEARCH("rn""&gt;Serbia and Montenegro",S13)),ISNUMBER(SEARCH(_xlfn.UNICHAR(65533),S13))),"RENOMMER","-"))</f>
        <v>-</v>
      </c>
      <c r="V13" s="13" t="str" cm="1">
        <f t="array" ref="V13">_xlfn.IFS(
ISNUMBER(SEARCH("USA",S13)),"United States",
ISNUMBER(SEARCH("Republic of Korea",S13)),"South Korea",
ISNUMBER(SEARCH("Cape Verde",S13)),"Cabo Verde",
ISNUMBER(SEARCH("Czechia",S13)),"Czech Republic",
ISNUMBER(SEARCH("Türkiye",S13)),"Turkey",
ISNUMBER(SEARCH("Ivory Coast",S13)),"Côte d'Ivoire",
ISNUMBER(SEARCH("Korea Republic",S13)),"South Korea",
ISNUMBER(SEARCH("Germany FR",S13)),"FR Germany",
ISNUMBER(SEARCH("Germany DR",S13)),"DR Germany",
ISNUMBER(SEARCH("Korea DPR",S13)),"North Korea",
ISNUMBER(SEARCH("China PR",S13)),"China",
ISNUMBER(SEARCH("IR Iran",S13)),"Iran",
ISNUMBER(SEARCH("Congo DR",S13)),"Democratic Republic of the Congo",
ISNUMBER(SEARCH("DR Congo",S13)),"Democratic Republic of the Congo",
ISNUMBER(SEARCH("German DR",S13)),"DR Germany",
ISNUMBER(SEARCH("rn""&gt;United Arab Emirates",S13)),"United Arab Emirates",
ISNUMBER(SEARCH("rn""&gt;Republic of Ireland",S13)),"Ireland",
ISNUMBER(SEARCH("rn""&gt;Bosnia and Herzegovina",S13)),"Bosnia and Herzegovina",
ISNUMBER(SEARCH("rn""&gt;Trinidad and Tobago",S13)),"Trinidad and Tobago",
ISNUMBER(SEARCH("rn""&gt;Serbia and Montenegro",S13)),"Serbia and Montenegro",
ISNUMBER(SEARCH(_xlfn.UNICHAR(65533),S13)),"Côte d'Ivoire",
TRUE,""
)</f>
        <v/>
      </c>
      <c r="W13" s="34" t="str">
        <f>IF(V13="",S13,V13)</f>
        <v>Brazil</v>
      </c>
      <c r="X13" s="95" t="str" cm="1">
        <f t="array" ref="X13:X103">_xlfn._xlws.SORT(_xlfn.UNIQUE(_xlfn.VSTACK(_xlfn.UNIQUE(W13:W60),_xlfn.UNIQUE(W63:W1118),_xlfn.UNIQUE(W1121:W2368),_xlfn.UNIQUE(W2371:W4486))),1,1)</f>
        <v>Algeria</v>
      </c>
      <c r="AA13" s="53" t="s">
        <v>99</v>
      </c>
      <c r="AB13" s="16" t="str" cm="1">
        <f t="array" ref="AB13">_xlfn._xlws.FILTER(DATA_BRUT!G2:S354,ISNUMBER(SEARCH(_xlfn.UNICHAR(65533),DATA_BRUT!M2:M354)),"Aucuns caractères spéciaux détectés")</f>
        <v>Aucuns caractères spéciaux détectés</v>
      </c>
      <c r="AC13" s="84"/>
      <c r="AD13" s="80" t="s">
        <v>3786</v>
      </c>
      <c r="AE13" s="62" t="b" cm="1">
        <f t="array" ref="AE13:AI13">ISNUMBER(DATA_BRUT!A3:E3)</f>
        <v>0</v>
      </c>
      <c r="AF13" s="62" t="b">
        <v>0</v>
      </c>
      <c r="AG13" s="62" t="b">
        <v>1</v>
      </c>
      <c r="AH13" s="62" t="b">
        <v>1</v>
      </c>
      <c r="AI13" s="62" t="b">
        <v>1</v>
      </c>
      <c r="AJ13" s="7"/>
      <c r="AK13" s="7"/>
      <c r="AL13" s="7"/>
      <c r="AM13" s="7"/>
      <c r="AN13" s="7"/>
      <c r="AS13" s="23" t="str">
        <v>Finals</v>
      </c>
      <c r="AT13" s="69" t="s">
        <v>3561</v>
      </c>
      <c r="AU13" s="69">
        <v>1</v>
      </c>
      <c r="AV13" s="37" t="str">
        <v>SEMI_FINALS</v>
      </c>
      <c r="AW13" s="89" t="str">
        <v>GROUP_STAGE</v>
      </c>
      <c r="AY13" s="42" cm="1">
        <f t="array" ref="AY13">INDEX(_xlfn.UNIQUE(DATA_CLEANED!AF4:'DATA_CLEANED'!AF1061),INT((ROWS(AY$12:AY13)-1)/3)+1)</f>
        <v>1930</v>
      </c>
      <c r="AZ13" s="42" t="s">
        <v>3562</v>
      </c>
      <c r="BA13" s="42">
        <v>2</v>
      </c>
      <c r="BB13" s="42">
        <f>COUNTIFS(DATA_CLEANED!AH$3:AH$1060,AZ13,DATA_CLEANED!AF$3:AF$1060,AY13)</f>
        <v>2</v>
      </c>
      <c r="BC13" s="89" t="str">
        <f t="shared" si="0"/>
        <v>OK</v>
      </c>
      <c r="BE13" s="43" t="str">
        <f>IF(OR(DATA_CLEANED!AL4="",DATA_CLEANED!AM4=""),"MANQUANT",IF(OR(NOT(ISNUMBER(DATA_CLEANED!AL4)),NOT(ISNUMBER(DATA_CLEANED!AM4))),"ENTREE INVALIDE",IF(OR(DATA_CLEANED!AL4&lt;0,DATA_CLEANED!AM4&lt;0),"SCORE NEGATIF","OK")))</f>
        <v>OK</v>
      </c>
      <c r="BF13" s="43" t="str">
        <f>IF(DATA_CLEANED!AK4&lt;&gt;DATA_CLEANED!AN4,"OK","ERREUR")</f>
        <v>OK</v>
      </c>
      <c r="BG13" s="43" t="str">
        <f>IF(DATA_CLEANED!AL4&gt;DATA_CLEANED!AM4,DATA_CLEANED!AK4,IF(AND(DATA_QUALITE!W4490="-",DATA_CLEANED!AM4=DATA_CLEANED!AL4),"MATCH NUL",IF(AND(DATA_QUALITE!V4490="-",DATA_QUALITE!U4490="AUCUNE"),DATA_QUALITE!T4490,IF(DATA_QUALITE!V4490&lt;&gt;"-",DATA_QUALITE!V4490,DATA_CLEANED!AN4))))</f>
        <v>United States</v>
      </c>
      <c r="BH13" s="103" t="str">
        <f>IF(AND(BG13="MATCH NUL",DATA_CLEANED!AO4="-"),"MATCH_NUL",IF(ISNUMBER(SEARCH("win on penalties",W4490)),"WIN_BY_PENALTY",IF(ISNUMBER(SEARCH("win after extra time",W4490)),"WIN_BY_EXTRA_TIME",IF(ISNUMBER(SEARCH("Golden Goal",W4490)),"WIN_BY_GOLDEN_GOAL","WIN_BY_SCORE"))))</f>
        <v>WIN_BY_SCORE</v>
      </c>
      <c r="BI13" s="99" t="str">
        <f>IF(OR(BG13=DATA_CLEANED!AK4,BG13=DATA_CLEANED!AN4,BG13="MATCH NUL"),"OK","ERREUR")</f>
        <v>OK</v>
      </c>
      <c r="BK13" s="40">
        <v>1934</v>
      </c>
      <c r="BL13" s="40">
        <v>17</v>
      </c>
      <c r="BM13" s="40">
        <v>17</v>
      </c>
      <c r="BN13" s="134" t="str">
        <f t="shared" ref="BN13:BN33" si="3">IF(BL13=BM13,"OK","MATCH_MANQUANTS")</f>
        <v>OK</v>
      </c>
    </row>
    <row r="14" spans="1:66">
      <c r="B14" s="22" t="str">
        <f t="shared" si="1"/>
        <v>RETIRÉ</v>
      </c>
      <c r="C14" s="31" t="str">
        <v>2014.0</v>
      </c>
      <c r="D14" s="31" t="str">
        <v xml:space="preserve">29 Jun 2014 - 13:00 </v>
      </c>
      <c r="E14" s="31" t="str">
        <v>Round of 16</v>
      </c>
      <c r="F14" s="31" t="str">
        <v>Estadio Castelao</v>
      </c>
      <c r="G14" s="31" t="str">
        <v xml:space="preserve">Fortaleza </v>
      </c>
      <c r="H14" s="31" t="str">
        <v>Netherlands</v>
      </c>
      <c r="I14" s="31" t="str">
        <v>2.0</v>
      </c>
      <c r="J14" s="31" t="str">
        <v>1.0</v>
      </c>
      <c r="K14" s="31" t="str">
        <v>Mexico</v>
      </c>
      <c r="L14" s="31" t="str">
        <v xml:space="preserve"> </v>
      </c>
      <c r="M14" s="31" t="str">
        <v xml:space="preserve">2014.0|29 Jun 2014 - 13:00 |Round of 16|Estadio Castelao|Fortaleza |Netherlands|2.0|1.0|Mexico| </v>
      </c>
      <c r="N14" s="31" t="str">
        <v>DOUBLON</v>
      </c>
      <c r="R14" s="23" t="s">
        <v>3600</v>
      </c>
      <c r="S14" s="13" t="str">
        <v>Argentina</v>
      </c>
      <c r="T14" s="13" t="str">
        <f t="shared" si="2"/>
        <v>OK</v>
      </c>
      <c r="U14" s="13" t="str">
        <f t="shared" ref="U14:U60" si="4">IF(OR(S14="Scotland",S14="England",S14="Wales",S14="Yugoslavia",S14="Czechoslovakia",S14="Northern Ireland",S14="Soviet Union",S14="Zaire",S14="Dutch East Indies"),"AUCUNE",IF(OR(S14="Cape Verde",S14="USA",S14="DR Congo",S14="Republic of Korea",S14="Germany FR",S14="Germany DR",S14="Czechia",S14="Ivory Coast",S14="Korea DPR",S14="China PR",S14="IR Iran",S14="Türkiye",S14="Congo DR",S14="German DR",ISNUMBER(SEARCH("rn""&gt;United Arab Emirates",S14)),ISNUMBER(SEARCH("rn""&gt;Republic of Ireland",S14)),ISNUMBER(SEARCH("rn""&gt;Bosnia and Herzegovina",S14)),ISNUMBER(SEARCH("rn""&gt;Trinidad and Tobago",S14)),ISNUMBER(SEARCH("rn""&gt;Serbia and Montenegro",S14)),ISNUMBER(SEARCH(_xlfn.UNICHAR(65533),S14))),"RENOMMER","-"))</f>
        <v>-</v>
      </c>
      <c r="V14" s="13" t="str" cm="1">
        <f t="array" ref="V14">_xlfn.IFS(
ISNUMBER(SEARCH("USA",S14)),"United States",
ISNUMBER(SEARCH("Republic of Korea",S14)),"South Korea",
ISNUMBER(SEARCH("Cape Verde",S14)),"Cabo Verde",
ISNUMBER(SEARCH("Czechia",S14)),"Czech Republic",
ISNUMBER(SEARCH("Türkiye",S14)),"Turkey",
ISNUMBER(SEARCH("Ivory Coast",S14)),"Côte d'Ivoire",
ISNUMBER(SEARCH("Korea Republic",S14)),"South Korea",
ISNUMBER(SEARCH("Germany FR",S14)),"FR Germany",
ISNUMBER(SEARCH("Germany DR",S14)),"DR Germany",
ISNUMBER(SEARCH("Korea DPR",S14)),"North Korea",
ISNUMBER(SEARCH("China PR",S14)),"China",
ISNUMBER(SEARCH("IR Iran",S14)),"Iran",
ISNUMBER(SEARCH("Congo DR",S14)),"Democratic Republic of the Congo",
ISNUMBER(SEARCH("DR Congo",S14)),"Democratic Republic of the Congo",
ISNUMBER(SEARCH("German DR",S14)),"DR Germany",
ISNUMBER(SEARCH("rn""&gt;United Arab Emirates",S14)),"United Arab Emirates",
ISNUMBER(SEARCH("rn""&gt;Republic of Ireland",S14)),"Ireland",
ISNUMBER(SEARCH("rn""&gt;Bosnia and Herzegovina",S14)),"Bosnia and Herzegovina",
ISNUMBER(SEARCH("rn""&gt;Trinidad and Tobago",S14)),"Trinidad and Tobago",
ISNUMBER(SEARCH("rn""&gt;Serbia and Montenegro",S14)),"Serbia and Montenegro",
ISNUMBER(SEARCH("te d'Ivoire",S14)),"Côte d'Ivoire",
TRUE,""
)</f>
        <v/>
      </c>
      <c r="W14" s="34" t="str">
        <f t="shared" ref="W14:W77" si="5">IF(V14="",S14,V14)</f>
        <v>Argentina</v>
      </c>
      <c r="X14" s="95" t="str">
        <v>Angola</v>
      </c>
      <c r="Z14" s="48" t="s">
        <v>570</v>
      </c>
      <c r="AA14" s="54" t="s">
        <v>573</v>
      </c>
      <c r="AB14" s="16" t="str" cm="1">
        <f t="array" ref="AB14">_xlfn._xlws.FILTER(DATA_BRUT!U2:AA1250,ISNUMBER(SEARCH(_xlfn.UNICHAR(65533),DATA_BRUT!V2:V1250)),"Aucuns caractères spéciaux détectés")</f>
        <v>Aucuns caractères spéciaux détectés</v>
      </c>
      <c r="AC14" s="84"/>
      <c r="AD14" s="80" t="s">
        <v>3787</v>
      </c>
      <c r="AE14" s="62" t="s">
        <v>3791</v>
      </c>
      <c r="AF14" s="62" t="s">
        <v>3792</v>
      </c>
      <c r="AG14" s="62" t="str">
        <f>IF(AG13=FALSE,"OUI","NON")</f>
        <v>NON</v>
      </c>
      <c r="AH14" s="62" t="str">
        <f>IF(AH13=FALSE,"OUI","NON")</f>
        <v>NON</v>
      </c>
      <c r="AI14" s="62" t="str">
        <f>IF(AI13=FALSE,"OUI","NON")</f>
        <v>NON</v>
      </c>
      <c r="AJ14" s="7"/>
      <c r="AK14" s="7"/>
      <c r="AL14" s="7"/>
      <c r="AM14" s="7"/>
      <c r="AN14" s="7"/>
      <c r="AS14" s="23" t="str">
        <v>First round</v>
      </c>
      <c r="AT14" s="69" t="s">
        <v>3559</v>
      </c>
      <c r="AU14" s="69">
        <v>6</v>
      </c>
      <c r="AV14" s="37" t="str">
        <v>SEMI_FINALS</v>
      </c>
      <c r="AW14" s="89" t="str">
        <v>GROUP_STAGE</v>
      </c>
      <c r="AY14" s="42" cm="1">
        <f t="array" ref="AY14">INDEX(_xlfn.UNIQUE(DATA_CLEANED!AF5:'DATA_CLEANED'!AF1062),INT((ROWS(AY$12:AY14)-1)/3)+1)</f>
        <v>1930</v>
      </c>
      <c r="AZ14" s="42" t="s">
        <v>3561</v>
      </c>
      <c r="BA14" s="42">
        <v>1</v>
      </c>
      <c r="BB14" s="42">
        <f>COUNTIFS(DATA_CLEANED!AH$3:AH$1060,AZ14,DATA_CLEANED!AF$3:AF$1060,AY14)</f>
        <v>1</v>
      </c>
      <c r="BC14" s="89" t="str">
        <f t="shared" si="0"/>
        <v>OK</v>
      </c>
      <c r="BE14" s="43" t="str">
        <f>IF(OR(DATA_CLEANED!AL5="",DATA_CLEANED!AM5=""),"MANQUANT",IF(OR(NOT(ISNUMBER(DATA_CLEANED!AL5)),NOT(ISNUMBER(DATA_CLEANED!AM5))),"ENTREE INVALIDE",IF(OR(DATA_CLEANED!AL5&lt;0,DATA_CLEANED!AM5&lt;0),"SCORE NEGATIF","OK")))</f>
        <v>OK</v>
      </c>
      <c r="BF14" s="43" t="str">
        <f>IF(DATA_CLEANED!AK5&lt;&gt;DATA_CLEANED!AN5,"OK","ERREUR")</f>
        <v>OK</v>
      </c>
      <c r="BG14" s="43" t="str">
        <f>IF(DATA_CLEANED!AL5&gt;DATA_CLEANED!AM5,DATA_CLEANED!AK5,IF(AND(DATA_QUALITE!W4491="-",DATA_CLEANED!AM5=DATA_CLEANED!AL5),"MATCH NUL",IF(AND(DATA_QUALITE!V4491="-",DATA_QUALITE!U4491="AUCUNE"),DATA_QUALITE!T4491,IF(DATA_QUALITE!V4491&lt;&gt;"-",DATA_QUALITE!V4491,DATA_CLEANED!AN5))))</f>
        <v>Yugoslavia</v>
      </c>
      <c r="BH14" s="103" t="str">
        <f>IF(AND(BG14="MATCH NUL",DATA_CLEANED!AO5="-"),"MATCH_NUL",IF(ISNUMBER(SEARCH("win on penalties",W4491)),"WIN_BY_PENALTY",IF(ISNUMBER(SEARCH("win after extra time",W4491)),"WIN_BY_EXTRA_TIME",IF(ISNUMBER(SEARCH("Golden Goal",W4491)),"WIN_BY_GOLDEN_GOAL","WIN_BY_SCORE"))))</f>
        <v>WIN_BY_SCORE</v>
      </c>
      <c r="BI14" s="99" t="str">
        <f>IF(OR(BG14=DATA_CLEANED!AK5,BG14=DATA_CLEANED!AN5,BG14="MATCH NUL"),"OK","ERREUR")</f>
        <v>OK</v>
      </c>
      <c r="BK14" s="40">
        <v>1938</v>
      </c>
      <c r="BL14" s="40">
        <v>18</v>
      </c>
      <c r="BM14" s="40">
        <v>18</v>
      </c>
      <c r="BN14" s="134" t="str">
        <f t="shared" si="3"/>
        <v>OK</v>
      </c>
    </row>
    <row r="15" spans="1:66">
      <c r="B15" s="22" t="str">
        <f t="shared" si="1"/>
        <v>RETIRÉ</v>
      </c>
      <c r="C15" s="31" t="str">
        <v>2014.0</v>
      </c>
      <c r="D15" s="31" t="str">
        <v xml:space="preserve">29 Jun 2014 - 17:00 </v>
      </c>
      <c r="E15" s="31" t="str">
        <v>Round of 16</v>
      </c>
      <c r="F15" s="31" t="str">
        <v>Arena Pernambuco</v>
      </c>
      <c r="G15" s="31" t="str">
        <v xml:space="preserve">Recife </v>
      </c>
      <c r="H15" s="31" t="str">
        <v>Costa Rica</v>
      </c>
      <c r="I15" s="31" t="str">
        <v>1.0</v>
      </c>
      <c r="J15" s="31" t="str">
        <v>1.0</v>
      </c>
      <c r="K15" s="31" t="str">
        <v>Greece</v>
      </c>
      <c r="L15" s="31" t="str">
        <v xml:space="preserve">Costa Rica win on penalties (5 - 3) </v>
      </c>
      <c r="M15" s="31" t="str">
        <v xml:space="preserve">2014.0|29 Jun 2014 - 17:00 |Round of 16|Arena Pernambuco|Recife |Costa Rica|1.0|1.0|Greece|Costa Rica win on penalties (5 - 3) </v>
      </c>
      <c r="N15" s="31" t="str">
        <v>DOUBLON</v>
      </c>
      <c r="R15" s="23" t="s">
        <v>43</v>
      </c>
      <c r="S15" s="13" t="str">
        <v>France</v>
      </c>
      <c r="T15" s="13" t="str">
        <f t="shared" si="2"/>
        <v>OK</v>
      </c>
      <c r="U15" s="13" t="str">
        <f t="shared" si="4"/>
        <v>-</v>
      </c>
      <c r="V15" s="13" t="str" cm="1">
        <f t="array" ref="V15">_xlfn.IFS(
ISNUMBER(SEARCH("USA",S15)),"United States",
ISNUMBER(SEARCH("Republic of Korea",S15)),"South Korea",
ISNUMBER(SEARCH("Cape Verde",S15)),"Cabo Verde",
ISNUMBER(SEARCH("Czechia",S15)),"Czech Republic",
ISNUMBER(SEARCH("Türkiye",S15)),"Turkey",
ISNUMBER(SEARCH("Ivory Coast",S15)),"Côte d'Ivoire",
ISNUMBER(SEARCH("Korea Republic",S15)),"South Korea",
ISNUMBER(SEARCH("Germany FR",S15)),"FR Germany",
ISNUMBER(SEARCH("Germany DR",S15)),"DR Germany",
ISNUMBER(SEARCH("Korea DPR",S15)),"North Korea",
ISNUMBER(SEARCH("China PR",S15)),"China",
ISNUMBER(SEARCH("IR Iran",S15)),"Iran",
ISNUMBER(SEARCH("Congo DR",S15)),"Democratic Republic of the Congo",
ISNUMBER(SEARCH("DR Congo",S15)),"Democratic Republic of the Congo",
ISNUMBER(SEARCH("German DR",S15)),"DR Germany",
ISNUMBER(SEARCH("rn""&gt;United Arab Emirates",S15)),"United Arab Emirates",
ISNUMBER(SEARCH("rn""&gt;Republic of Ireland",S15)),"Ireland",
ISNUMBER(SEARCH("rn""&gt;Bosnia and Herzegovina",S15)),"Bosnia and Herzegovina",
ISNUMBER(SEARCH("rn""&gt;Trinidad and Tobago",S15)),"Trinidad and Tobago",
ISNUMBER(SEARCH("rn""&gt;Serbia and Montenegro",S15)),"Serbia and Montenegro",
ISNUMBER(SEARCH("te d'Ivoire",S15)),"Côte d'Ivoire",
TRUE,""
)</f>
        <v/>
      </c>
      <c r="W15" s="34" t="str">
        <f t="shared" si="5"/>
        <v>France</v>
      </c>
      <c r="X15" s="95" t="str">
        <v>Argentina</v>
      </c>
      <c r="AA15" s="54" t="s">
        <v>582</v>
      </c>
      <c r="AB15" s="16" t="str" cm="1">
        <f t="array" ref="AB15">_xlfn._xlws.FILTER(DATA_BRUT!U2:AA1250,ISNUMBER(SEARCH(_xlfn.UNICHAR(65533),DATA_BRUT!Z2:Z1250)),"Aucuns caractères spéciaux détectés")</f>
        <v>Aucuns caractères spéciaux détectés</v>
      </c>
      <c r="AC15" s="9"/>
      <c r="AD15" s="90" t="s">
        <v>3790</v>
      </c>
      <c r="AE15" s="62" t="str">
        <f>IF(AE14="NON","-","")</f>
        <v>-</v>
      </c>
      <c r="AF15" s="11" cm="1">
        <f t="array" ref="AF15:AF62">VALUE(SUBSTITUTE(DATA_BRUT!B3:B50,".",","))</f>
        <v>28.8</v>
      </c>
      <c r="AG15" s="62" t="str">
        <f>IF(AG14="NON","-","")</f>
        <v>-</v>
      </c>
      <c r="AH15" s="62" t="str">
        <f>IF(AH14="NON","-","")</f>
        <v>-</v>
      </c>
      <c r="AI15" s="62" t="str">
        <f>IF(AI14="NON","-","")</f>
        <v>-</v>
      </c>
      <c r="AJ15" s="7"/>
      <c r="AK15" s="7"/>
      <c r="AL15" s="7"/>
      <c r="AM15" s="7"/>
      <c r="AN15" s="7"/>
      <c r="AS15" s="23" t="str">
        <v>Group 1</v>
      </c>
      <c r="AT15" s="69" t="s">
        <v>3559</v>
      </c>
      <c r="AU15" s="69">
        <v>6</v>
      </c>
      <c r="AV15" s="37" t="str">
        <v>SEMI_FINALS</v>
      </c>
      <c r="AW15" s="89" t="str">
        <v>GROUP_STAGE</v>
      </c>
      <c r="AY15" s="42" cm="1">
        <f t="array" ref="AY15">INDEX(_xlfn.UNIQUE(DATA_CLEANED!AF6:'DATA_CLEANED'!AF1063),INT((ROWS(AY$12:AY15)-1)/3)+1)</f>
        <v>1934</v>
      </c>
      <c r="AZ15" s="42" t="s">
        <v>3560</v>
      </c>
      <c r="BA15" s="42">
        <v>5</v>
      </c>
      <c r="BB15" s="42">
        <f>COUNTIFS(DATA_CLEANED!AH$3:AH$1060,AZ15,DATA_CLEANED!AF$3:AF$1060,AY15)</f>
        <v>5</v>
      </c>
      <c r="BC15" s="89" t="str">
        <f t="shared" si="0"/>
        <v>OK</v>
      </c>
      <c r="BE15" s="43" t="str">
        <f>IF(OR(DATA_CLEANED!AL6="",DATA_CLEANED!AM6=""),"MANQUANT",IF(OR(NOT(ISNUMBER(DATA_CLEANED!AL6)),NOT(ISNUMBER(DATA_CLEANED!AM6))),"ENTREE INVALIDE",IF(OR(DATA_CLEANED!AL6&lt;0,DATA_CLEANED!AM6&lt;0),"SCORE NEGATIF","OK")))</f>
        <v>OK</v>
      </c>
      <c r="BF15" s="43" t="str">
        <f>IF(DATA_CLEANED!AK6&lt;&gt;DATA_CLEANED!AN6,"OK","ERREUR")</f>
        <v>OK</v>
      </c>
      <c r="BG15" s="43" t="str">
        <f>IF(DATA_CLEANED!AL6&gt;DATA_CLEANED!AM6,DATA_CLEANED!AK6,IF(AND(DATA_QUALITE!W4492="-",DATA_CLEANED!AM6=DATA_CLEANED!AL6),"MATCH NUL",IF(AND(DATA_QUALITE!V4492="-",DATA_QUALITE!U4492="AUCUNE"),DATA_QUALITE!T4492,IF(DATA_QUALITE!V4492&lt;&gt;"-",DATA_QUALITE!V4492,DATA_CLEANED!AN6))))</f>
        <v>Romania</v>
      </c>
      <c r="BH15" s="103" t="str">
        <f>IF(AND(BG15="MATCH NUL",DATA_CLEANED!AO6="-"),"MATCH_NUL",IF(ISNUMBER(SEARCH("win on penalties",W4492)),"WIN_BY_PENALTY",IF(ISNUMBER(SEARCH("win after extra time",W4492)),"WIN_BY_EXTRA_TIME",IF(ISNUMBER(SEARCH("Golden Goal",W4492)),"WIN_BY_GOLDEN_GOAL","WIN_BY_SCORE"))))</f>
        <v>WIN_BY_SCORE</v>
      </c>
      <c r="BI15" s="99" t="str">
        <f>IF(OR(BG15=DATA_CLEANED!AK6,BG15=DATA_CLEANED!AN6,BG15="MATCH NUL"),"OK","ERREUR")</f>
        <v>OK</v>
      </c>
      <c r="BK15" s="40">
        <v>1950</v>
      </c>
      <c r="BL15" s="40">
        <v>22</v>
      </c>
      <c r="BM15" s="40">
        <v>22</v>
      </c>
      <c r="BN15" s="134" t="str">
        <f t="shared" si="3"/>
        <v>OK</v>
      </c>
    </row>
    <row r="16" spans="1:66">
      <c r="B16" s="22" t="str">
        <f t="shared" si="1"/>
        <v>RETIRÉ</v>
      </c>
      <c r="C16" s="31" t="str">
        <v>2014.0</v>
      </c>
      <c r="D16" s="31" t="str">
        <v xml:space="preserve">30 Jun 2014 - 13:00 </v>
      </c>
      <c r="E16" s="31" t="str">
        <v>Round of 16</v>
      </c>
      <c r="F16" s="31" t="str">
        <v>Estadio Nacional</v>
      </c>
      <c r="G16" s="31" t="str">
        <v xml:space="preserve">Brasilia </v>
      </c>
      <c r="H16" s="31" t="str">
        <v>France</v>
      </c>
      <c r="I16" s="31" t="str">
        <v>2.0</v>
      </c>
      <c r="J16" s="31" t="str">
        <v>0.0</v>
      </c>
      <c r="K16" s="31" t="str">
        <v>Nigeria</v>
      </c>
      <c r="L16" s="31" t="str">
        <v xml:space="preserve"> </v>
      </c>
      <c r="M16" s="31" t="str">
        <v xml:space="preserve">2014.0|30 Jun 2014 - 13:00 |Round of 16|Estadio Nacional|Brasilia |France|2.0|0.0|Nigeria| </v>
      </c>
      <c r="N16" s="31" t="str">
        <v>DOUBLON</v>
      </c>
      <c r="R16" s="23" t="s">
        <v>3717</v>
      </c>
      <c r="S16" s="13" t="str">
        <v>England</v>
      </c>
      <c r="T16" s="13" t="str">
        <f t="shared" si="2"/>
        <v>ERREUR</v>
      </c>
      <c r="U16" s="13" t="str">
        <f t="shared" si="4"/>
        <v>AUCUNE</v>
      </c>
      <c r="V16" s="13" t="str" cm="1">
        <f t="array" ref="V16">_xlfn.IFS(
ISNUMBER(SEARCH("USA",S16)),"United States",
ISNUMBER(SEARCH("Republic of Korea",S16)),"South Korea",
ISNUMBER(SEARCH("Cape Verde",S16)),"Cabo Verde",
ISNUMBER(SEARCH("Czechia",S16)),"Czech Republic",
ISNUMBER(SEARCH("Türkiye",S16)),"Turkey",
ISNUMBER(SEARCH("Ivory Coast",S16)),"Côte d'Ivoire",
ISNUMBER(SEARCH("Korea Republic",S16)),"South Korea",
ISNUMBER(SEARCH("Germany FR",S16)),"FR Germany",
ISNUMBER(SEARCH("Germany DR",S16)),"DR Germany",
ISNUMBER(SEARCH("Korea DPR",S16)),"North Korea",
ISNUMBER(SEARCH("China PR",S16)),"China",
ISNUMBER(SEARCH("IR Iran",S16)),"Iran",
ISNUMBER(SEARCH("Congo DR",S16)),"Democratic Republic of the Congo",
ISNUMBER(SEARCH("DR Congo",S16)),"Democratic Republic of the Congo",
ISNUMBER(SEARCH("German DR",S16)),"DR Germany",
ISNUMBER(SEARCH("rn""&gt;United Arab Emirates",S16)),"United Arab Emirates",
ISNUMBER(SEARCH("rn""&gt;Republic of Ireland",S16)),"Ireland",
ISNUMBER(SEARCH("rn""&gt;Bosnia and Herzegovina",S16)),"Bosnia and Herzegovina",
ISNUMBER(SEARCH("rn""&gt;Trinidad and Tobago",S16)),"Trinidad and Tobago",
ISNUMBER(SEARCH("rn""&gt;Serbia and Montenegro",S16)),"Serbia and Montenegro",
ISNUMBER(SEARCH("te d'Ivoire",S16)),"Côte d'Ivoire",
TRUE,""
)</f>
        <v/>
      </c>
      <c r="W16" s="34" t="str">
        <f t="shared" si="5"/>
        <v>England</v>
      </c>
      <c r="X16" s="95" t="str">
        <v>Australia</v>
      </c>
      <c r="Z16" s="50" t="s">
        <v>3579</v>
      </c>
      <c r="AA16" s="55" t="s">
        <v>595</v>
      </c>
      <c r="AB16" s="16" t="str" cm="1">
        <f t="array" ref="AB16:AB22">_xlfn.UNIQUE(_xlfn._xlws.FILTER(DATA_BRUT!AF2:AF1076,ISNUMBER(SEARCH(_xlfn.UNICHAR(65533),DATA_BRUT!AF2:AF1076)),"Aucuns caractères spéciaux détectés"))</f>
        <v>Stade V�lodrome</v>
      </c>
      <c r="AC16" s="84"/>
      <c r="AD16" s="7"/>
      <c r="AE16" s="7"/>
      <c r="AF16" s="13">
        <v>28.7</v>
      </c>
      <c r="AG16" s="7"/>
      <c r="AH16" s="7"/>
      <c r="AI16" s="7"/>
      <c r="AJ16" s="7"/>
      <c r="AK16" s="7"/>
      <c r="AL16" s="7"/>
      <c r="AM16" s="7"/>
      <c r="AN16" s="7"/>
      <c r="AS16" s="23" t="str">
        <v>Group 2</v>
      </c>
      <c r="AT16" s="69" t="s">
        <v>3559</v>
      </c>
      <c r="AU16" s="69">
        <v>6</v>
      </c>
      <c r="AV16" s="37" t="str">
        <v>SEMI_FINALS</v>
      </c>
      <c r="AW16" s="89" t="str">
        <v>GROUP_STAGE</v>
      </c>
      <c r="AY16" s="42" cm="1">
        <f t="array" ref="AY16">INDEX(_xlfn.UNIQUE(DATA_CLEANED!AF7:'DATA_CLEANED'!AF1064),INT((ROWS(AY$12:AY16)-1)/3)+1)</f>
        <v>1934</v>
      </c>
      <c r="AZ16" s="42" t="s">
        <v>3562</v>
      </c>
      <c r="BA16" s="42" cm="1">
        <f t="array" ref="BA16">INDEX($BA$12:$BA$14,MOD(ROWS($BA$15:BA16)-1,3)+1)</f>
        <v>2</v>
      </c>
      <c r="BB16" s="42">
        <f>COUNTIFS(DATA_CLEANED!AH$3:AH$1060,AZ16,DATA_CLEANED!AF$3:AF$1060,AY16)</f>
        <v>2</v>
      </c>
      <c r="BC16" s="89" t="str">
        <f t="shared" si="0"/>
        <v>OK</v>
      </c>
      <c r="BE16" s="43" t="str">
        <f>IF(OR(DATA_CLEANED!AL7="",DATA_CLEANED!AM7=""),"MANQUANT",IF(OR(NOT(ISNUMBER(DATA_CLEANED!AL7)),NOT(ISNUMBER(DATA_CLEANED!AM7))),"ENTREE INVALIDE",IF(OR(DATA_CLEANED!AL7&lt;0,DATA_CLEANED!AM7&lt;0),"SCORE NEGATIF","OK")))</f>
        <v>OK</v>
      </c>
      <c r="BF16" s="43" t="str">
        <f>IF(DATA_CLEANED!AK7&lt;&gt;DATA_CLEANED!AN7,"OK","ERREUR")</f>
        <v>OK</v>
      </c>
      <c r="BG16" s="43" t="str">
        <f>IF(DATA_CLEANED!AL7&gt;DATA_CLEANED!AM7,DATA_CLEANED!AK7,IF(AND(DATA_QUALITE!W4493="-",DATA_CLEANED!AM7=DATA_CLEANED!AL7),"MATCH NUL",IF(AND(DATA_QUALITE!V4493="-",DATA_QUALITE!U4493="AUCUNE"),DATA_QUALITE!T4493,IF(DATA_QUALITE!V4493&lt;&gt;"-",DATA_QUALITE!V4493,DATA_CLEANED!AN7))))</f>
        <v>Argentina</v>
      </c>
      <c r="BH16" s="103" t="str">
        <f>IF(AND(BG16="MATCH NUL",DATA_CLEANED!AO7="-"),"MATCH_NUL",IF(ISNUMBER(SEARCH("win on penalties",W4493)),"WIN_BY_PENALTY",IF(ISNUMBER(SEARCH("win after extra time",W4493)),"WIN_BY_EXTRA_TIME",IF(ISNUMBER(SEARCH("Golden Goal",W4493)),"WIN_BY_GOLDEN_GOAL","WIN_BY_SCORE"))))</f>
        <v>WIN_BY_SCORE</v>
      </c>
      <c r="BI16" s="99" t="str">
        <f>IF(OR(BG16=DATA_CLEANED!AK7,BG16=DATA_CLEANED!AN7,BG16="MATCH NUL"),"OK","ERREUR")</f>
        <v>OK</v>
      </c>
      <c r="BK16" s="40">
        <v>1954</v>
      </c>
      <c r="BL16" s="40">
        <v>26</v>
      </c>
      <c r="BM16" s="40">
        <v>26</v>
      </c>
      <c r="BN16" s="134" t="str">
        <f t="shared" si="3"/>
        <v>OK</v>
      </c>
    </row>
    <row r="17" spans="2:66">
      <c r="B17" s="22" t="str">
        <f t="shared" si="1"/>
        <v>RETIRÉ</v>
      </c>
      <c r="C17" s="31" t="str">
        <v>2014.0</v>
      </c>
      <c r="D17" s="31" t="str">
        <v xml:space="preserve">30 Jun 2014 - 17:00 </v>
      </c>
      <c r="E17" s="31" t="str">
        <v>Round of 16</v>
      </c>
      <c r="F17" s="31" t="str">
        <v>Estadio Beira-Rio</v>
      </c>
      <c r="G17" s="31" t="str">
        <v xml:space="preserve">Porto Alegre </v>
      </c>
      <c r="H17" s="31" t="str">
        <v>Germany</v>
      </c>
      <c r="I17" s="31" t="str">
        <v>2.0</v>
      </c>
      <c r="J17" s="31" t="str">
        <v>1.0</v>
      </c>
      <c r="K17" s="31" t="str">
        <v>Algeria</v>
      </c>
      <c r="L17" s="31" t="str">
        <v xml:space="preserve">Germany win after extra time </v>
      </c>
      <c r="M17" s="31" t="str">
        <v xml:space="preserve">2014.0|30 Jun 2014 - 17:00 |Round of 16|Estadio Beira-Rio|Porto Alegre |Germany|2.0|1.0|Algeria|Germany win after extra time </v>
      </c>
      <c r="N17" s="31" t="str">
        <v>DOUBLON</v>
      </c>
      <c r="R17" s="23" t="s">
        <v>3601</v>
      </c>
      <c r="S17" s="13" t="str">
        <v>Germany</v>
      </c>
      <c r="T17" s="13" t="str">
        <f t="shared" si="2"/>
        <v>OK</v>
      </c>
      <c r="U17" s="13" t="str">
        <f t="shared" si="4"/>
        <v>-</v>
      </c>
      <c r="V17" s="13" t="str" cm="1">
        <f t="array" ref="V17">_xlfn.IFS(
ISNUMBER(SEARCH("USA",S17)),"United States",
ISNUMBER(SEARCH("Republic of Korea",S17)),"South Korea",
ISNUMBER(SEARCH("Cape Verde",S17)),"Cabo Verde",
ISNUMBER(SEARCH("Czechia",S17)),"Czech Republic",
ISNUMBER(SEARCH("Türkiye",S17)),"Turkey",
ISNUMBER(SEARCH("Ivory Coast",S17)),"Côte d'Ivoire",
ISNUMBER(SEARCH("Korea Republic",S17)),"South Korea",
ISNUMBER(SEARCH("Germany FR",S17)),"FR Germany",
ISNUMBER(SEARCH("Germany DR",S17)),"DR Germany",
ISNUMBER(SEARCH("Korea DPR",S17)),"North Korea",
ISNUMBER(SEARCH("China PR",S17)),"China",
ISNUMBER(SEARCH("IR Iran",S17)),"Iran",
ISNUMBER(SEARCH("Congo DR",S17)),"Democratic Republic of the Congo",
ISNUMBER(SEARCH("DR Congo",S17)),"Democratic Republic of the Congo",
ISNUMBER(SEARCH("German DR",S17)),"DR Germany",
ISNUMBER(SEARCH("rn""&gt;United Arab Emirates",S17)),"United Arab Emirates",
ISNUMBER(SEARCH("rn""&gt;Republic of Ireland",S17)),"Ireland",
ISNUMBER(SEARCH("rn""&gt;Bosnia and Herzegovina",S17)),"Bosnia and Herzegovina",
ISNUMBER(SEARCH("rn""&gt;Trinidad and Tobago",S17)),"Trinidad and Tobago",
ISNUMBER(SEARCH("rn""&gt;Serbia and Montenegro",S17)),"Serbia and Montenegro",
ISNUMBER(SEARCH("te d'Ivoire",S17)),"Côte d'Ivoire",
TRUE,""
)</f>
        <v/>
      </c>
      <c r="W17" s="34" t="str">
        <f t="shared" si="5"/>
        <v>Germany</v>
      </c>
      <c r="X17" s="95" t="str">
        <v>Austria</v>
      </c>
      <c r="AA17" s="231"/>
      <c r="AB17" s="16" t="str">
        <v>Maracan� - Est�dio Jornalista M�rio Filho</v>
      </c>
      <c r="AC17" s="84"/>
      <c r="AF17" s="13">
        <v>26.6</v>
      </c>
      <c r="AG17" s="7"/>
      <c r="AH17" s="7"/>
      <c r="AI17" s="7"/>
      <c r="AJ17" s="7"/>
      <c r="AK17" s="7"/>
      <c r="AL17" s="7"/>
      <c r="AM17" s="7"/>
      <c r="AN17" s="7"/>
      <c r="AS17" s="23" t="str">
        <v>Group 3</v>
      </c>
      <c r="AT17" s="69" t="s">
        <v>3559</v>
      </c>
      <c r="AU17" s="69">
        <v>6</v>
      </c>
      <c r="AV17" s="37" t="str">
        <v>SEMI_FINALS</v>
      </c>
      <c r="AW17" s="89" t="str">
        <v>GROUP_STAGE</v>
      </c>
      <c r="AY17" s="42" cm="1">
        <f t="array" ref="AY17">INDEX(_xlfn.UNIQUE(DATA_CLEANED!AF8:'DATA_CLEANED'!AF1065),INT((ROWS(AY$12:AY17)-1)/3)+1)</f>
        <v>1934</v>
      </c>
      <c r="AZ17" s="42" t="s">
        <v>3561</v>
      </c>
      <c r="BA17" s="42" cm="1">
        <f t="array" ref="BA17">INDEX($BA$12:$BA$14,MOD(ROWS($BA$15:BA17)-1,3)+1)</f>
        <v>1</v>
      </c>
      <c r="BB17" s="42">
        <f>COUNTIFS(DATA_CLEANED!AH$3:AH$1060,AZ17,DATA_CLEANED!AF$3:AF$1060,AY17)</f>
        <v>1</v>
      </c>
      <c r="BC17" s="89" t="str">
        <f t="shared" si="0"/>
        <v>OK</v>
      </c>
      <c r="BE17" s="43" t="str">
        <f>IF(OR(DATA_CLEANED!AL8="",DATA_CLEANED!AM8=""),"MANQUANT",IF(OR(NOT(ISNUMBER(DATA_CLEANED!AL8)),NOT(ISNUMBER(DATA_CLEANED!AM8))),"ENTREE INVALIDE",IF(OR(DATA_CLEANED!AL8&lt;0,DATA_CLEANED!AM8&lt;0),"SCORE NEGATIF","OK")))</f>
        <v>OK</v>
      </c>
      <c r="BF17" s="43" t="str">
        <f>IF(DATA_CLEANED!AK8&lt;&gt;DATA_CLEANED!AN8,"OK","ERREUR")</f>
        <v>OK</v>
      </c>
      <c r="BG17" s="43" t="str">
        <f>IF(DATA_CLEANED!AL8&gt;DATA_CLEANED!AM8,DATA_CLEANED!AK8,IF(AND(DATA_QUALITE!W4494="-",DATA_CLEANED!AM8=DATA_CLEANED!AL8),"MATCH NUL",IF(AND(DATA_QUALITE!V4494="-",DATA_QUALITE!U4494="AUCUNE"),DATA_QUALITE!T4494,IF(DATA_QUALITE!V4494&lt;&gt;"-",DATA_QUALITE!V4494,DATA_CLEANED!AN8))))</f>
        <v>Chile</v>
      </c>
      <c r="BH17" s="103" t="str">
        <f>IF(AND(BG17="MATCH NUL",DATA_CLEANED!AO8="-"),"MATCH_NUL",IF(ISNUMBER(SEARCH("win on penalties",W4494)),"WIN_BY_PENALTY",IF(ISNUMBER(SEARCH("win after extra time",W4494)),"WIN_BY_EXTRA_TIME",IF(ISNUMBER(SEARCH("Golden Goal",W4494)),"WIN_BY_GOLDEN_GOAL","WIN_BY_SCORE"))))</f>
        <v>WIN_BY_SCORE</v>
      </c>
      <c r="BI17" s="99" t="str">
        <f>IF(OR(BG17=DATA_CLEANED!AK8,BG17=DATA_CLEANED!AN8,BG17="MATCH NUL"),"OK","ERREUR")</f>
        <v>OK</v>
      </c>
      <c r="BK17" s="40">
        <v>1958</v>
      </c>
      <c r="BL17" s="40">
        <v>35</v>
      </c>
      <c r="BM17" s="40">
        <v>35</v>
      </c>
      <c r="BN17" s="134" t="str">
        <f t="shared" si="3"/>
        <v>OK</v>
      </c>
    </row>
    <row r="18" spans="2:66">
      <c r="B18" s="22" t="str">
        <f t="shared" si="1"/>
        <v>RETIRÉ</v>
      </c>
      <c r="C18" s="31" t="str">
        <v>2014.0</v>
      </c>
      <c r="D18" s="31" t="str">
        <v xml:space="preserve">01 Jul 2014 - 13:00 </v>
      </c>
      <c r="E18" s="31" t="str">
        <v>Round of 16</v>
      </c>
      <c r="F18" s="31" t="str">
        <v>Arena de Sao Paulo</v>
      </c>
      <c r="G18" s="31" t="str">
        <v xml:space="preserve">Sao Paulo </v>
      </c>
      <c r="H18" s="31" t="str">
        <v>Argentina</v>
      </c>
      <c r="I18" s="31" t="str">
        <v>1.0</v>
      </c>
      <c r="J18" s="31" t="str">
        <v>0.0</v>
      </c>
      <c r="K18" s="31" t="str">
        <v>Switzerland</v>
      </c>
      <c r="L18" s="31" t="str">
        <v xml:space="preserve">Argentina win after extra time </v>
      </c>
      <c r="M18" s="31" t="str">
        <v xml:space="preserve">2014.0|01 Jul 2014 - 13:00 |Round of 16|Arena de Sao Paulo|Sao Paulo |Argentina|1.0|0.0|Switzerland|Argentina win after extra time </v>
      </c>
      <c r="N18" s="31" t="str">
        <v>DOUBLON</v>
      </c>
      <c r="R18" s="23" t="s">
        <v>68</v>
      </c>
      <c r="S18" s="13" t="str">
        <v>Spain</v>
      </c>
      <c r="T18" s="13" t="str">
        <f t="shared" si="2"/>
        <v>OK</v>
      </c>
      <c r="U18" s="13" t="str">
        <f t="shared" si="4"/>
        <v>-</v>
      </c>
      <c r="V18" s="13" t="str" cm="1">
        <f t="array" ref="V18">_xlfn.IFS(
ISNUMBER(SEARCH("USA",S18)),"United States",
ISNUMBER(SEARCH("Republic of Korea",S18)),"South Korea",
ISNUMBER(SEARCH("Cape Verde",S18)),"Cabo Verde",
ISNUMBER(SEARCH("Czechia",S18)),"Czech Republic",
ISNUMBER(SEARCH("Türkiye",S18)),"Turkey",
ISNUMBER(SEARCH("Ivory Coast",S18)),"Côte d'Ivoire",
ISNUMBER(SEARCH("Korea Republic",S18)),"South Korea",
ISNUMBER(SEARCH("Germany FR",S18)),"FR Germany",
ISNUMBER(SEARCH("Germany DR",S18)),"DR Germany",
ISNUMBER(SEARCH("Korea DPR",S18)),"North Korea",
ISNUMBER(SEARCH("China PR",S18)),"China",
ISNUMBER(SEARCH("IR Iran",S18)),"Iran",
ISNUMBER(SEARCH("Congo DR",S18)),"Democratic Republic of the Congo",
ISNUMBER(SEARCH("DR Congo",S18)),"Democratic Republic of the Congo",
ISNUMBER(SEARCH("German DR",S18)),"DR Germany",
ISNUMBER(SEARCH("rn""&gt;United Arab Emirates",S18)),"United Arab Emirates",
ISNUMBER(SEARCH("rn""&gt;Republic of Ireland",S18)),"Ireland",
ISNUMBER(SEARCH("rn""&gt;Bosnia and Herzegovina",S18)),"Bosnia and Herzegovina",
ISNUMBER(SEARCH("rn""&gt;Trinidad and Tobago",S18)),"Trinidad and Tobago",
ISNUMBER(SEARCH("rn""&gt;Serbia and Montenegro",S18)),"Serbia and Montenegro",
ISNUMBER(SEARCH("te d'Ivoire",S18)),"Côte d'Ivoire",
TRUE,""
)</f>
        <v/>
      </c>
      <c r="W18" s="34" t="str">
        <f t="shared" si="5"/>
        <v>Spain</v>
      </c>
      <c r="X18" s="95" t="str">
        <v>Belgium</v>
      </c>
      <c r="AA18" s="232"/>
      <c r="AB18" s="16" t="str">
        <v>Nou Camp - Estadio Le�n</v>
      </c>
      <c r="AC18" s="84"/>
      <c r="AF18" s="13">
        <v>26.7</v>
      </c>
      <c r="AG18" s="7"/>
      <c r="AH18" s="7"/>
      <c r="AI18" s="7"/>
      <c r="AJ18" s="7"/>
      <c r="AK18" s="7"/>
      <c r="AL18" s="7"/>
      <c r="AM18" s="7"/>
      <c r="AN18" s="7"/>
      <c r="AS18" s="23" t="str">
        <v>Group 4</v>
      </c>
      <c r="AT18" s="69" t="s">
        <v>3559</v>
      </c>
      <c r="AU18" s="69">
        <v>6</v>
      </c>
      <c r="AV18" s="37" t="str">
        <v>SEMI_FINALS</v>
      </c>
      <c r="AW18" s="89" t="str">
        <v>GROUP_STAGE</v>
      </c>
      <c r="AY18" s="42" cm="1">
        <f t="array" ref="AY18">INDEX(_xlfn.UNIQUE(DATA_CLEANED!AF9:'DATA_CLEANED'!AF1066),INT((ROWS(AY$12:AY18)-1)/3)+1)</f>
        <v>1938</v>
      </c>
      <c r="AZ18" s="42" t="s">
        <v>3560</v>
      </c>
      <c r="BA18" s="42">
        <v>5</v>
      </c>
      <c r="BB18" s="42">
        <f>COUNTIFS(DATA_CLEANED!AH$3:AH$1060,AZ18,DATA_CLEANED!AF$3:AF$1060,AY18)</f>
        <v>5</v>
      </c>
      <c r="BC18" s="89" t="str">
        <f t="shared" si="0"/>
        <v>OK</v>
      </c>
      <c r="BE18" s="43" t="str">
        <f>IF(OR(DATA_CLEANED!AL9="",DATA_CLEANED!AM9=""),"MANQUANT",IF(OR(NOT(ISNUMBER(DATA_CLEANED!AL9)),NOT(ISNUMBER(DATA_CLEANED!AM9))),"ENTREE INVALIDE",IF(OR(DATA_CLEANED!AL9&lt;0,DATA_CLEANED!AM9&lt;0),"SCORE NEGATIF","OK")))</f>
        <v>OK</v>
      </c>
      <c r="BF18" s="43" t="str">
        <f>IF(DATA_CLEANED!AK9&lt;&gt;DATA_CLEANED!AN9,"OK","ERREUR")</f>
        <v>OK</v>
      </c>
      <c r="BG18" s="43" t="str">
        <f>IF(DATA_CLEANED!AL9&gt;DATA_CLEANED!AM9,DATA_CLEANED!AK9,IF(AND(DATA_QUALITE!W4495="-",DATA_CLEANED!AM9=DATA_CLEANED!AL9),"MATCH NUL",IF(AND(DATA_QUALITE!V4495="-",DATA_QUALITE!U4495="AUCUNE"),DATA_QUALITE!T4495,IF(DATA_QUALITE!V4495&lt;&gt;"-",DATA_QUALITE!V4495,DATA_CLEANED!AN9))))</f>
        <v>Yugoslavia</v>
      </c>
      <c r="BH18" s="103" t="str">
        <f>IF(AND(BG18="MATCH NUL",DATA_CLEANED!AO9="-"),"MATCH_NUL",IF(ISNUMBER(SEARCH("win on penalties",W4495)),"WIN_BY_PENALTY",IF(ISNUMBER(SEARCH("win after extra time",W4495)),"WIN_BY_EXTRA_TIME",IF(ISNUMBER(SEARCH("Golden Goal",W4495)),"WIN_BY_GOLDEN_GOAL","WIN_BY_SCORE"))))</f>
        <v>WIN_BY_SCORE</v>
      </c>
      <c r="BI18" s="99" t="str">
        <f>IF(OR(BG18=DATA_CLEANED!AK9,BG18=DATA_CLEANED!AN9,BG18="MATCH NUL"),"OK","ERREUR")</f>
        <v>OK</v>
      </c>
      <c r="BK18" s="40">
        <v>1962</v>
      </c>
      <c r="BL18" s="40">
        <v>32</v>
      </c>
      <c r="BM18" s="40">
        <v>32</v>
      </c>
      <c r="BN18" s="134" t="str">
        <f t="shared" si="3"/>
        <v>OK</v>
      </c>
    </row>
    <row r="19" spans="2:66">
      <c r="B19" s="22" t="str">
        <f t="shared" si="1"/>
        <v>RETIRÉ</v>
      </c>
      <c r="C19" s="31" t="str">
        <v>2014.0</v>
      </c>
      <c r="D19" s="31" t="str">
        <v xml:space="preserve">01 Jul 2014 - 17:00 </v>
      </c>
      <c r="E19" s="31" t="str">
        <v>Round of 16</v>
      </c>
      <c r="F19" s="31" t="str">
        <v>Arena Fonte Nova</v>
      </c>
      <c r="G19" s="31" t="str">
        <v xml:space="preserve">Salvador </v>
      </c>
      <c r="H19" s="31" t="str">
        <v>Belgium</v>
      </c>
      <c r="I19" s="31" t="str">
        <v>2.0</v>
      </c>
      <c r="J19" s="31" t="str">
        <v>1.0</v>
      </c>
      <c r="K19" s="31" t="str">
        <v>USA</v>
      </c>
      <c r="L19" s="31" t="str">
        <v xml:space="preserve">Belgium win after extra time </v>
      </c>
      <c r="M19" s="31" t="str">
        <v xml:space="preserve">2014.0|01 Jul 2014 - 17:00 |Round of 16|Arena Fonte Nova|Salvador |Belgium|2.0|1.0|USA|Belgium win after extra time </v>
      </c>
      <c r="N19" s="31" t="str">
        <v>DOUBLON</v>
      </c>
      <c r="R19" s="23" t="s">
        <v>3718</v>
      </c>
      <c r="S19" s="13" t="str">
        <v>Netherlands</v>
      </c>
      <c r="T19" s="13" t="str">
        <f t="shared" si="2"/>
        <v>OK</v>
      </c>
      <c r="U19" s="13" t="str">
        <f t="shared" si="4"/>
        <v>-</v>
      </c>
      <c r="V19" s="13" t="str" cm="1">
        <f t="array" ref="V19">_xlfn.IFS(
ISNUMBER(SEARCH("USA",S19)),"United States",
ISNUMBER(SEARCH("Republic of Korea",S19)),"South Korea",
ISNUMBER(SEARCH("Cape Verde",S19)),"Cabo Verde",
ISNUMBER(SEARCH("Czechia",S19)),"Czech Republic",
ISNUMBER(SEARCH("Türkiye",S19)),"Turkey",
ISNUMBER(SEARCH("Ivory Coast",S19)),"Côte d'Ivoire",
ISNUMBER(SEARCH("Korea Republic",S19)),"South Korea",
ISNUMBER(SEARCH("Germany FR",S19)),"FR Germany",
ISNUMBER(SEARCH("Germany DR",S19)),"DR Germany",
ISNUMBER(SEARCH("Korea DPR",S19)),"North Korea",
ISNUMBER(SEARCH("China PR",S19)),"China",
ISNUMBER(SEARCH("IR Iran",S19)),"Iran",
ISNUMBER(SEARCH("Congo DR",S19)),"Democratic Republic of the Congo",
ISNUMBER(SEARCH("DR Congo",S19)),"Democratic Republic of the Congo",
ISNUMBER(SEARCH("German DR",S19)),"DR Germany",
ISNUMBER(SEARCH("rn""&gt;United Arab Emirates",S19)),"United Arab Emirates",
ISNUMBER(SEARCH("rn""&gt;Republic of Ireland",S19)),"Ireland",
ISNUMBER(SEARCH("rn""&gt;Bosnia and Herzegovina",S19)),"Bosnia and Herzegovina",
ISNUMBER(SEARCH("rn""&gt;Trinidad and Tobago",S19)),"Trinidad and Tobago",
ISNUMBER(SEARCH("rn""&gt;Serbia and Montenegro",S19)),"Serbia and Montenegro",
ISNUMBER(SEARCH("te d'Ivoire",S19)),"Côte d'Ivoire",
TRUE,""
)</f>
        <v/>
      </c>
      <c r="W19" s="34" t="str">
        <f t="shared" si="5"/>
        <v>Netherlands</v>
      </c>
      <c r="X19" s="95" t="str">
        <v>Bolivia</v>
      </c>
      <c r="AA19" s="232"/>
      <c r="AB19" s="16" t="str">
        <v>Estadio Jos� Mar�a Minella</v>
      </c>
      <c r="AC19" s="84"/>
      <c r="AF19" s="13">
        <v>27.6</v>
      </c>
      <c r="AG19" s="7"/>
      <c r="AH19" s="7"/>
      <c r="AI19" s="7"/>
      <c r="AJ19" s="7"/>
      <c r="AK19" s="7"/>
      <c r="AL19" s="7"/>
      <c r="AM19" s="7"/>
      <c r="AN19" s="7"/>
      <c r="AS19" s="23" t="str">
        <v>Group 5</v>
      </c>
      <c r="AT19" s="69" t="s">
        <v>3559</v>
      </c>
      <c r="AU19" s="69">
        <v>6</v>
      </c>
      <c r="AV19" s="37" t="str">
        <v>SEMI_FINALS</v>
      </c>
      <c r="AW19" s="89" t="str">
        <v>GROUP_STAGE</v>
      </c>
      <c r="AY19" s="42" cm="1">
        <f t="array" ref="AY19">INDEX(_xlfn.UNIQUE(DATA_CLEANED!AF10:'DATA_CLEANED'!AF1067),INT((ROWS(AY$12:AY19)-1)/3)+1)</f>
        <v>1938</v>
      </c>
      <c r="AZ19" s="42" t="s">
        <v>3562</v>
      </c>
      <c r="BA19" s="42" cm="1">
        <f t="array" ref="BA19">INDEX($BA$12:$BA$14,MOD(ROWS($BA$15:BA19)-1,3)+1)</f>
        <v>2</v>
      </c>
      <c r="BB19" s="42">
        <f>COUNTIFS(DATA_CLEANED!AH$3:AH$1060,AZ19,DATA_CLEANED!AF$3:AF$1060,AY19)</f>
        <v>2</v>
      </c>
      <c r="BC19" s="89" t="str">
        <f t="shared" si="0"/>
        <v>OK</v>
      </c>
      <c r="BE19" s="43" t="str">
        <f>IF(OR(DATA_CLEANED!AL10="",DATA_CLEANED!AM10=""),"MANQUANT",IF(OR(NOT(ISNUMBER(DATA_CLEANED!AL10)),NOT(ISNUMBER(DATA_CLEANED!AM10))),"ENTREE INVALIDE",IF(OR(DATA_CLEANED!AL10&lt;0,DATA_CLEANED!AM10&lt;0),"SCORE NEGATIF","OK")))</f>
        <v>OK</v>
      </c>
      <c r="BF19" s="43" t="str">
        <f>IF(DATA_CLEANED!AK10&lt;&gt;DATA_CLEANED!AN10,"OK","ERREUR")</f>
        <v>OK</v>
      </c>
      <c r="BG19" s="43" t="str">
        <f>IF(DATA_CLEANED!AL10&gt;DATA_CLEANED!AM10,DATA_CLEANED!AK10,IF(AND(DATA_QUALITE!W4496="-",DATA_CLEANED!AM10=DATA_CLEANED!AL10),"MATCH NUL",IF(AND(DATA_QUALITE!V4496="-",DATA_QUALITE!U4496="AUCUNE"),DATA_QUALITE!T4496,IF(DATA_QUALITE!V4496&lt;&gt;"-",DATA_QUALITE!V4496,DATA_CLEANED!AN10))))</f>
        <v>United States</v>
      </c>
      <c r="BH19" s="103" t="str">
        <f>IF(AND(BG19="MATCH NUL",DATA_CLEANED!AO10="-"),"MATCH_NUL",IF(ISNUMBER(SEARCH("win on penalties",W4496)),"WIN_BY_PENALTY",IF(ISNUMBER(SEARCH("win after extra time",W4496)),"WIN_BY_EXTRA_TIME",IF(ISNUMBER(SEARCH("Golden Goal",W4496)),"WIN_BY_GOLDEN_GOAL","WIN_BY_SCORE"))))</f>
        <v>WIN_BY_SCORE</v>
      </c>
      <c r="BI19" s="99" t="str">
        <f>IF(OR(BG19=DATA_CLEANED!AK10,BG19=DATA_CLEANED!AN10,BG19="MATCH NUL"),"OK","ERREUR")</f>
        <v>OK</v>
      </c>
      <c r="BK19" s="40">
        <v>1966</v>
      </c>
      <c r="BL19" s="40">
        <v>32</v>
      </c>
      <c r="BM19" s="40">
        <v>32</v>
      </c>
      <c r="BN19" s="134" t="str">
        <f t="shared" si="3"/>
        <v>OK</v>
      </c>
    </row>
    <row r="20" spans="2:66">
      <c r="B20" s="22" t="str">
        <f t="shared" si="1"/>
        <v>RETIRÉ</v>
      </c>
      <c r="C20" s="31" t="str">
        <v>2014.0</v>
      </c>
      <c r="D20" s="31" t="str">
        <v xml:space="preserve">04 Jul 2014 - 13:00 </v>
      </c>
      <c r="E20" s="31" t="str">
        <v>Quarter-finals</v>
      </c>
      <c r="F20" s="31" t="str">
        <v>Estadio do Maracana</v>
      </c>
      <c r="G20" s="31" t="str">
        <v xml:space="preserve">Rio De Janeiro </v>
      </c>
      <c r="H20" s="31" t="str">
        <v>France</v>
      </c>
      <c r="I20" s="31" t="str">
        <v>0.0</v>
      </c>
      <c r="J20" s="31" t="str">
        <v>1.0</v>
      </c>
      <c r="K20" s="31" t="str">
        <v>Germany</v>
      </c>
      <c r="L20" s="31" t="str">
        <v xml:space="preserve"> </v>
      </c>
      <c r="M20" s="31" t="str">
        <v xml:space="preserve">2014.0|04 Jul 2014 - 13:00 |Quarter-finals|Estadio do Maracana|Rio De Janeiro |France|0.0|1.0|Germany| </v>
      </c>
      <c r="N20" s="31" t="str">
        <v>DOUBLON</v>
      </c>
      <c r="R20" s="23" t="s">
        <v>3602</v>
      </c>
      <c r="S20" s="13" t="str">
        <v>Uruguay</v>
      </c>
      <c r="T20" s="13" t="str">
        <f t="shared" si="2"/>
        <v>OK</v>
      </c>
      <c r="U20" s="13" t="str">
        <f t="shared" si="4"/>
        <v>-</v>
      </c>
      <c r="V20" s="13" t="str" cm="1">
        <f t="array" ref="V20">_xlfn.IFS(
ISNUMBER(SEARCH("USA",S20)),"United States",
ISNUMBER(SEARCH("Republic of Korea",S20)),"South Korea",
ISNUMBER(SEARCH("Cape Verde",S20)),"Cabo Verde",
ISNUMBER(SEARCH("Czechia",S20)),"Czech Republic",
ISNUMBER(SEARCH("Türkiye",S20)),"Turkey",
ISNUMBER(SEARCH("Ivory Coast",S20)),"Côte d'Ivoire",
ISNUMBER(SEARCH("Korea Republic",S20)),"South Korea",
ISNUMBER(SEARCH("Germany FR",S20)),"FR Germany",
ISNUMBER(SEARCH("Germany DR",S20)),"DR Germany",
ISNUMBER(SEARCH("Korea DPR",S20)),"North Korea",
ISNUMBER(SEARCH("China PR",S20)),"China",
ISNUMBER(SEARCH("IR Iran",S20)),"Iran",
ISNUMBER(SEARCH("Congo DR",S20)),"Democratic Republic of the Congo",
ISNUMBER(SEARCH("DR Congo",S20)),"Democratic Republic of the Congo",
ISNUMBER(SEARCH("German DR",S20)),"DR Germany",
ISNUMBER(SEARCH("rn""&gt;United Arab Emirates",S20)),"United Arab Emirates",
ISNUMBER(SEARCH("rn""&gt;Republic of Ireland",S20)),"Ireland",
ISNUMBER(SEARCH("rn""&gt;Bosnia and Herzegovina",S20)),"Bosnia and Herzegovina",
ISNUMBER(SEARCH("rn""&gt;Trinidad and Tobago",S20)),"Trinidad and Tobago",
ISNUMBER(SEARCH("rn""&gt;Serbia and Montenegro",S20)),"Serbia and Montenegro",
ISNUMBER(SEARCH("te d'Ivoire",S20)),"Côte d'Ivoire",
TRUE,""
)</f>
        <v/>
      </c>
      <c r="W20" s="34" t="str">
        <f t="shared" si="5"/>
        <v>Uruguay</v>
      </c>
      <c r="X20" s="95" t="str">
        <v>Bosnia and Herzegovina</v>
      </c>
      <c r="AA20" s="232"/>
      <c r="AB20" s="16" t="str">
        <v>Estadio Ol�mpico Chateau Carreras</v>
      </c>
      <c r="AC20" s="84"/>
      <c r="AF20" s="13">
        <v>26.2</v>
      </c>
      <c r="AG20" s="7"/>
      <c r="AH20" s="7"/>
      <c r="AI20" s="7"/>
      <c r="AJ20" s="7"/>
      <c r="AK20" s="7"/>
      <c r="AL20" s="7"/>
      <c r="AM20" s="7"/>
      <c r="AN20" s="7"/>
      <c r="AS20" s="23" t="str">
        <v>Group 6</v>
      </c>
      <c r="AT20" s="69" t="s">
        <v>3559</v>
      </c>
      <c r="AU20" s="69">
        <v>6</v>
      </c>
      <c r="AV20" s="37" t="str">
        <v>SEMI_FINALS</v>
      </c>
      <c r="AW20" s="89" t="str">
        <v>GROUP_STAGE</v>
      </c>
      <c r="AY20" s="42" cm="1">
        <f t="array" ref="AY20">INDEX(_xlfn.UNIQUE(DATA_CLEANED!AF11:'DATA_CLEANED'!AF1068),INT((ROWS(AY$12:AY20)-1)/3)+1)</f>
        <v>1938</v>
      </c>
      <c r="AZ20" s="42" t="s">
        <v>3561</v>
      </c>
      <c r="BA20" s="42" cm="1">
        <f t="array" ref="BA20">INDEX($BA$12:$BA$14,MOD(ROWS($BA$15:BA20)-1,3)+1)</f>
        <v>1</v>
      </c>
      <c r="BB20" s="42">
        <f>COUNTIFS(DATA_CLEANED!AH$3:AH$1060,AZ20,DATA_CLEANED!AF$3:AF$1060,AY20)</f>
        <v>1</v>
      </c>
      <c r="BC20" s="89" t="str">
        <f t="shared" si="0"/>
        <v>OK</v>
      </c>
      <c r="BE20" s="43" t="str">
        <f>IF(OR(DATA_CLEANED!AL11="",DATA_CLEANED!AM11=""),"MANQUANT",IF(OR(NOT(ISNUMBER(DATA_CLEANED!AL11)),NOT(ISNUMBER(DATA_CLEANED!AM11))),"ENTREE INVALIDE",IF(OR(DATA_CLEANED!AL11&lt;0,DATA_CLEANED!AM11&lt;0),"SCORE NEGATIF","OK")))</f>
        <v>OK</v>
      </c>
      <c r="BF20" s="43" t="str">
        <f>IF(DATA_CLEANED!AK11&lt;&gt;DATA_CLEANED!AN11,"OK","ERREUR")</f>
        <v>OK</v>
      </c>
      <c r="BG20" s="43" t="str">
        <f>IF(DATA_CLEANED!AL11&gt;DATA_CLEANED!AM11,DATA_CLEANED!AK11,IF(AND(DATA_QUALITE!W4497="-",DATA_CLEANED!AM11=DATA_CLEANED!AL11),"MATCH NUL",IF(AND(DATA_QUALITE!V4497="-",DATA_QUALITE!U4497="AUCUNE"),DATA_QUALITE!T4497,IF(DATA_QUALITE!V4497&lt;&gt;"-",DATA_QUALITE!V4497,DATA_CLEANED!AN11))))</f>
        <v>Uruguay</v>
      </c>
      <c r="BH20" s="103" t="str">
        <f>IF(AND(BG20="MATCH NUL",DATA_CLEANED!AO11="-"),"MATCH_NUL",IF(ISNUMBER(SEARCH("win on penalties",W4497)),"WIN_BY_PENALTY",IF(ISNUMBER(SEARCH("win after extra time",W4497)),"WIN_BY_EXTRA_TIME",IF(ISNUMBER(SEARCH("Golden Goal",W4497)),"WIN_BY_GOLDEN_GOAL","WIN_BY_SCORE"))))</f>
        <v>WIN_BY_SCORE</v>
      </c>
      <c r="BI20" s="99" t="str">
        <f>IF(OR(BG20=DATA_CLEANED!AK11,BG20=DATA_CLEANED!AN11,BG20="MATCH NUL"),"OK","ERREUR")</f>
        <v>OK</v>
      </c>
      <c r="BK20" s="40">
        <v>1970</v>
      </c>
      <c r="BL20" s="40">
        <v>32</v>
      </c>
      <c r="BM20" s="40">
        <v>32</v>
      </c>
      <c r="BN20" s="134" t="str">
        <f t="shared" si="3"/>
        <v>OK</v>
      </c>
    </row>
    <row r="21" spans="2:66">
      <c r="B21" s="22" t="str">
        <f t="shared" si="1"/>
        <v>RETIRÉ</v>
      </c>
      <c r="C21" s="31" t="str">
        <v>2014.0</v>
      </c>
      <c r="D21" s="31" t="str">
        <v xml:space="preserve">04 Jul 2014 - 17:00 </v>
      </c>
      <c r="E21" s="31" t="str">
        <v>Quarter-finals</v>
      </c>
      <c r="F21" s="31" t="str">
        <v>Estadio Castelao</v>
      </c>
      <c r="G21" s="31" t="str">
        <v xml:space="preserve">Fortaleza </v>
      </c>
      <c r="H21" s="31" t="str">
        <v>Brazil</v>
      </c>
      <c r="I21" s="31" t="str">
        <v>2.0</v>
      </c>
      <c r="J21" s="31" t="str">
        <v>1.0</v>
      </c>
      <c r="K21" s="31" t="str">
        <v>Colombia</v>
      </c>
      <c r="L21" s="31" t="str">
        <v xml:space="preserve"> </v>
      </c>
      <c r="M21" s="31" t="str">
        <v xml:space="preserve">2014.0|04 Jul 2014 - 17:00 |Quarter-finals|Estadio Castelao|Fortaleza |Brazil|2.0|1.0|Colombia| </v>
      </c>
      <c r="N21" s="31" t="str">
        <v>DOUBLON</v>
      </c>
      <c r="R21" s="23" t="s">
        <v>9</v>
      </c>
      <c r="S21" s="13" t="str">
        <v>Sweden</v>
      </c>
      <c r="T21" s="13" t="str">
        <f t="shared" si="2"/>
        <v>OK</v>
      </c>
      <c r="U21" s="13" t="str">
        <f t="shared" si="4"/>
        <v>-</v>
      </c>
      <c r="V21" s="13" t="str" cm="1">
        <f t="array" ref="V21">_xlfn.IFS(
ISNUMBER(SEARCH("USA",S21)),"United States",
ISNUMBER(SEARCH("Republic of Korea",S21)),"South Korea",
ISNUMBER(SEARCH("Cape Verde",S21)),"Cabo Verde",
ISNUMBER(SEARCH("Czechia",S21)),"Czech Republic",
ISNUMBER(SEARCH("Türkiye",S21)),"Turkey",
ISNUMBER(SEARCH("Ivory Coast",S21)),"Côte d'Ivoire",
ISNUMBER(SEARCH("Korea Republic",S21)),"South Korea",
ISNUMBER(SEARCH("Germany FR",S21)),"FR Germany",
ISNUMBER(SEARCH("Germany DR",S21)),"DR Germany",
ISNUMBER(SEARCH("Korea DPR",S21)),"North Korea",
ISNUMBER(SEARCH("China PR",S21)),"China",
ISNUMBER(SEARCH("IR Iran",S21)),"Iran",
ISNUMBER(SEARCH("Congo DR",S21)),"Democratic Republic of the Congo",
ISNUMBER(SEARCH("DR Congo",S21)),"Democratic Republic of the Congo",
ISNUMBER(SEARCH("German DR",S21)),"DR Germany",
ISNUMBER(SEARCH("rn""&gt;United Arab Emirates",S21)),"United Arab Emirates",
ISNUMBER(SEARCH("rn""&gt;Republic of Ireland",S21)),"Ireland",
ISNUMBER(SEARCH("rn""&gt;Bosnia and Herzegovina",S21)),"Bosnia and Herzegovina",
ISNUMBER(SEARCH("rn""&gt;Trinidad and Tobago",S21)),"Trinidad and Tobago",
ISNUMBER(SEARCH("rn""&gt;Serbia and Montenegro",S21)),"Serbia and Montenegro",
ISNUMBER(SEARCH("te d'Ivoire",S21)),"Côte d'Ivoire",
TRUE,""
)</f>
        <v/>
      </c>
      <c r="W21" s="34" t="str">
        <f t="shared" si="5"/>
        <v>Sweden</v>
      </c>
      <c r="X21" s="95" t="str">
        <v>Brazil</v>
      </c>
      <c r="AA21" s="232"/>
      <c r="AB21" s="16" t="str">
        <v>Estadio Municipal de Bala�dos</v>
      </c>
      <c r="AC21" s="84"/>
      <c r="AF21" s="13">
        <v>27.3</v>
      </c>
      <c r="AG21" s="7"/>
      <c r="AH21" s="7"/>
      <c r="AI21" s="7"/>
      <c r="AJ21" s="7"/>
      <c r="AK21" s="7"/>
      <c r="AL21" s="7"/>
      <c r="AM21" s="7"/>
      <c r="AN21" s="7"/>
      <c r="AS21" s="23" t="str">
        <v>Group A</v>
      </c>
      <c r="AT21" s="69" t="s">
        <v>3559</v>
      </c>
      <c r="AU21" s="69">
        <v>6</v>
      </c>
      <c r="AV21" s="37" t="str">
        <v>SEMI_FINALS</v>
      </c>
      <c r="AW21" s="89" t="str">
        <v>GROUP_STAGE</v>
      </c>
      <c r="AY21" s="42" cm="1">
        <f t="array" ref="AY21">INDEX(_xlfn.UNIQUE(DATA_CLEANED!AF12:'DATA_CLEANED'!AF1069),INT((ROWS(AY$12:AY21)-1)/3)+1)</f>
        <v>1950</v>
      </c>
      <c r="AZ21" s="42" t="s">
        <v>3560</v>
      </c>
      <c r="BA21" s="42" cm="1">
        <f t="array" ref="BA21">INDEX($BA$12:$BA$14,MOD(ROWS($BA$15:BA21)-1,3)+1)</f>
        <v>0</v>
      </c>
      <c r="BB21" s="42">
        <f>COUNTIFS(DATA_CLEANED!AH$3:AH$1060,AZ21,DATA_CLEANED!AF$3:AF$1060,AY21)</f>
        <v>0</v>
      </c>
      <c r="BC21" s="89" t="str">
        <f t="shared" si="0"/>
        <v>OK</v>
      </c>
      <c r="BE21" s="43" t="str">
        <f>IF(OR(DATA_CLEANED!AL12="",DATA_CLEANED!AM12=""),"MANQUANT",IF(OR(NOT(ISNUMBER(DATA_CLEANED!AL12)),NOT(ISNUMBER(DATA_CLEANED!AM12))),"ENTREE INVALIDE",IF(OR(DATA_CLEANED!AL12&lt;0,DATA_CLEANED!AM12&lt;0),"SCORE NEGATIF","OK")))</f>
        <v>OK</v>
      </c>
      <c r="BF21" s="43" t="str">
        <f>IF(DATA_CLEANED!AK12&lt;&gt;DATA_CLEANED!AN12,"OK","ERREUR")</f>
        <v>OK</v>
      </c>
      <c r="BG21" s="43" t="str">
        <f>IF(DATA_CLEANED!AL12&gt;DATA_CLEANED!AM12,DATA_CLEANED!AK12,IF(AND(DATA_QUALITE!W4498="-",DATA_CLEANED!AM12=DATA_CLEANED!AL12),"MATCH NUL",IF(AND(DATA_QUALITE!V4498="-",DATA_QUALITE!U4498="AUCUNE"),DATA_QUALITE!T4498,IF(DATA_QUALITE!V4498&lt;&gt;"-",DATA_QUALITE!V4498,DATA_CLEANED!AN12))))</f>
        <v>Chile</v>
      </c>
      <c r="BH21" s="103" t="str">
        <f>IF(AND(BG21="MATCH NUL",DATA_CLEANED!AO12="-"),"MATCH_NUL",IF(ISNUMBER(SEARCH("win on penalties",W4498)),"WIN_BY_PENALTY",IF(ISNUMBER(SEARCH("win after extra time",W4498)),"WIN_BY_EXTRA_TIME",IF(ISNUMBER(SEARCH("Golden Goal",W4498)),"WIN_BY_GOLDEN_GOAL","WIN_BY_SCORE"))))</f>
        <v>WIN_BY_SCORE</v>
      </c>
      <c r="BI21" s="99" t="str">
        <f>IF(OR(BG21=DATA_CLEANED!AK12,BG21=DATA_CLEANED!AN12,BG21="MATCH NUL"),"OK","ERREUR")</f>
        <v>OK</v>
      </c>
      <c r="BK21" s="40">
        <v>1974</v>
      </c>
      <c r="BL21" s="40">
        <v>38</v>
      </c>
      <c r="BM21" s="40">
        <v>38</v>
      </c>
      <c r="BN21" s="134" t="str">
        <f t="shared" si="3"/>
        <v>OK</v>
      </c>
    </row>
    <row r="22" spans="2:66">
      <c r="B22" s="22" t="str">
        <f t="shared" si="1"/>
        <v>RETIRÉ</v>
      </c>
      <c r="C22" s="31" t="str">
        <v>2014.0</v>
      </c>
      <c r="D22" s="31" t="str">
        <v xml:space="preserve">05 Jul 2014 - 13:00 </v>
      </c>
      <c r="E22" s="31" t="str">
        <v>Quarter-finals</v>
      </c>
      <c r="F22" s="31" t="str">
        <v>Estadio Nacional</v>
      </c>
      <c r="G22" s="31" t="str">
        <v xml:space="preserve">Brasilia </v>
      </c>
      <c r="H22" s="31" t="str">
        <v>Argentina</v>
      </c>
      <c r="I22" s="31" t="str">
        <v>1.0</v>
      </c>
      <c r="J22" s="31" t="str">
        <v>0.0</v>
      </c>
      <c r="K22" s="31" t="str">
        <v>Belgium</v>
      </c>
      <c r="L22" s="31" t="str">
        <v xml:space="preserve"> </v>
      </c>
      <c r="M22" s="31" t="str">
        <v xml:space="preserve">2014.0|05 Jul 2014 - 13:00 |Quarter-finals|Estadio Nacional|Brasilia |Argentina|1.0|0.0|Belgium| </v>
      </c>
      <c r="N22" s="31" t="str">
        <v>DOUBLON</v>
      </c>
      <c r="R22" s="23" t="s">
        <v>3603</v>
      </c>
      <c r="S22" s="13" t="str">
        <v>Belgium</v>
      </c>
      <c r="T22" s="13" t="str">
        <f t="shared" si="2"/>
        <v>OK</v>
      </c>
      <c r="U22" s="13" t="str">
        <f t="shared" si="4"/>
        <v>-</v>
      </c>
      <c r="V22" s="13" t="str" cm="1">
        <f t="array" ref="V22">_xlfn.IFS(
ISNUMBER(SEARCH("USA",S22)),"United States",
ISNUMBER(SEARCH("Republic of Korea",S22)),"South Korea",
ISNUMBER(SEARCH("Cape Verde",S22)),"Cabo Verde",
ISNUMBER(SEARCH("Czechia",S22)),"Czech Republic",
ISNUMBER(SEARCH("Türkiye",S22)),"Turkey",
ISNUMBER(SEARCH("Ivory Coast",S22)),"Côte d'Ivoire",
ISNUMBER(SEARCH("Korea Republic",S22)),"South Korea",
ISNUMBER(SEARCH("Germany FR",S22)),"FR Germany",
ISNUMBER(SEARCH("Germany DR",S22)),"DR Germany",
ISNUMBER(SEARCH("Korea DPR",S22)),"North Korea",
ISNUMBER(SEARCH("China PR",S22)),"China",
ISNUMBER(SEARCH("IR Iran",S22)),"Iran",
ISNUMBER(SEARCH("Congo DR",S22)),"Democratic Republic of the Congo",
ISNUMBER(SEARCH("DR Congo",S22)),"Democratic Republic of the Congo",
ISNUMBER(SEARCH("German DR",S22)),"DR Germany",
ISNUMBER(SEARCH("rn""&gt;United Arab Emirates",S22)),"United Arab Emirates",
ISNUMBER(SEARCH("rn""&gt;Republic of Ireland",S22)),"Ireland",
ISNUMBER(SEARCH("rn""&gt;Bosnia and Herzegovina",S22)),"Bosnia and Herzegovina",
ISNUMBER(SEARCH("rn""&gt;Trinidad and Tobago",S22)),"Trinidad and Tobago",
ISNUMBER(SEARCH("rn""&gt;Serbia and Montenegro",S22)),"Serbia and Montenegro",
ISNUMBER(SEARCH("te d'Ivoire",S22)),"Côte d'Ivoire",
TRUE,""
)</f>
        <v/>
      </c>
      <c r="W22" s="34" t="str">
        <f t="shared" si="5"/>
        <v>Belgium</v>
      </c>
      <c r="X22" s="95" t="str">
        <v>Bulgaria</v>
      </c>
      <c r="AA22" s="233"/>
      <c r="AB22" s="16" t="str">
        <v>Estadio Ol�mpico Universitario</v>
      </c>
      <c r="AC22" s="84"/>
      <c r="AF22" s="13">
        <v>28.2</v>
      </c>
      <c r="AG22" s="7"/>
      <c r="AH22" s="7"/>
      <c r="AI22" s="7"/>
      <c r="AJ22" s="7"/>
      <c r="AK22" s="7"/>
      <c r="AL22" s="7"/>
      <c r="AM22" s="7"/>
      <c r="AN22" s="7"/>
      <c r="AS22" s="23" t="str">
        <v>Group B</v>
      </c>
      <c r="AT22" s="69" t="s">
        <v>3559</v>
      </c>
      <c r="AU22" s="69">
        <v>6</v>
      </c>
      <c r="AV22" s="37" t="str">
        <v>SEMI_FINALS</v>
      </c>
      <c r="AW22" s="89" t="str">
        <v>GROUP_STAGE</v>
      </c>
      <c r="AY22" s="42" cm="1">
        <f t="array" ref="AY22">INDEX(_xlfn.UNIQUE(DATA_CLEANED!AF13:'DATA_CLEANED'!AF1070),INT((ROWS(AY$12:AY22)-1)/3)+1)</f>
        <v>1950</v>
      </c>
      <c r="AZ22" s="42" t="s">
        <v>3562</v>
      </c>
      <c r="BA22" s="42">
        <v>0</v>
      </c>
      <c r="BB22" s="42">
        <f>COUNTIFS(DATA_CLEANED!AH$3:AH$1060,AZ22,DATA_CLEANED!AF$3:AF$1060,AY22)</f>
        <v>0</v>
      </c>
      <c r="BC22" s="89" t="str">
        <f t="shared" si="0"/>
        <v>OK</v>
      </c>
      <c r="BE22" s="43" t="str">
        <f>IF(OR(DATA_CLEANED!AL13="",DATA_CLEANED!AM13=""),"MANQUANT",IF(OR(NOT(ISNUMBER(DATA_CLEANED!AL13)),NOT(ISNUMBER(DATA_CLEANED!AM13))),"ENTREE INVALIDE",IF(OR(DATA_CLEANED!AL13&lt;0,DATA_CLEANED!AM13&lt;0),"SCORE NEGATIF","OK")))</f>
        <v>OK</v>
      </c>
      <c r="BF22" s="43" t="str">
        <f>IF(DATA_CLEANED!AK13&lt;&gt;DATA_CLEANED!AN13,"OK","ERREUR")</f>
        <v>OK</v>
      </c>
      <c r="BG22" s="43" t="str">
        <f>IF(DATA_CLEANED!AL13&gt;DATA_CLEANED!AM13,DATA_CLEANED!AK13,IF(AND(DATA_QUALITE!W4499="-",DATA_CLEANED!AM13=DATA_CLEANED!AL13),"MATCH NUL",IF(AND(DATA_QUALITE!V4499="-",DATA_QUALITE!U4499="AUCUNE"),DATA_QUALITE!T4499,IF(DATA_QUALITE!V4499&lt;&gt;"-",DATA_QUALITE!V4499,DATA_CLEANED!AN13))))</f>
        <v>Argentina</v>
      </c>
      <c r="BH22" s="103" t="str">
        <f>IF(AND(BG22="MATCH NUL",DATA_CLEANED!AO13="-"),"MATCH_NUL",IF(ISNUMBER(SEARCH("win on penalties",W4499)),"WIN_BY_PENALTY",IF(ISNUMBER(SEARCH("win after extra time",W4499)),"WIN_BY_EXTRA_TIME",IF(ISNUMBER(SEARCH("Golden Goal",W4499)),"WIN_BY_GOLDEN_GOAL","WIN_BY_SCORE"))))</f>
        <v>WIN_BY_SCORE</v>
      </c>
      <c r="BI22" s="99" t="str">
        <f>IF(OR(BG22=DATA_CLEANED!AK13,BG22=DATA_CLEANED!AN13,BG22="MATCH NUL"),"OK","ERREUR")</f>
        <v>OK</v>
      </c>
      <c r="BK22" s="40">
        <v>1978</v>
      </c>
      <c r="BL22" s="40">
        <v>38</v>
      </c>
      <c r="BM22" s="40">
        <v>38</v>
      </c>
      <c r="BN22" s="134" t="str">
        <f t="shared" si="3"/>
        <v>OK</v>
      </c>
    </row>
    <row r="23" spans="2:66">
      <c r="B23" s="22" t="str">
        <f t="shared" si="1"/>
        <v>RETIRÉ</v>
      </c>
      <c r="C23" s="31" t="str">
        <v>2014.0</v>
      </c>
      <c r="D23" s="31" t="str">
        <v xml:space="preserve">05 Jul 2014 - 17:00 </v>
      </c>
      <c r="E23" s="31" t="str">
        <v>Quarter-finals</v>
      </c>
      <c r="F23" s="31" t="str">
        <v>Arena Fonte Nova</v>
      </c>
      <c r="G23" s="31" t="str">
        <v xml:space="preserve">Salvador </v>
      </c>
      <c r="H23" s="31" t="str">
        <v>Netherlands</v>
      </c>
      <c r="I23" s="31" t="str">
        <v>0.0</v>
      </c>
      <c r="J23" s="31" t="str">
        <v>0.0</v>
      </c>
      <c r="K23" s="31" t="str">
        <v>Costa Rica</v>
      </c>
      <c r="L23" s="31" t="str">
        <v xml:space="preserve">Netherlands win on penalties (4 - 3) </v>
      </c>
      <c r="M23" s="31" t="str">
        <v xml:space="preserve">2014.0|05 Jul 2014 - 17:00 |Quarter-finals|Arena Fonte Nova|Salvador |Netherlands|0.0|0.0|Costa Rica|Netherlands win on penalties (4 - 3) </v>
      </c>
      <c r="N23" s="31" t="str">
        <v>DOUBLON</v>
      </c>
      <c r="R23" s="23" t="s">
        <v>3719</v>
      </c>
      <c r="S23" s="13" t="str">
        <v>Mexico</v>
      </c>
      <c r="T23" s="13" t="str">
        <f t="shared" si="2"/>
        <v>OK</v>
      </c>
      <c r="U23" s="13" t="str">
        <f t="shared" si="4"/>
        <v>-</v>
      </c>
      <c r="V23" s="13" t="str" cm="1">
        <f t="array" ref="V23">_xlfn.IFS(
ISNUMBER(SEARCH("USA",S23)),"United States",
ISNUMBER(SEARCH("Republic of Korea",S23)),"South Korea",
ISNUMBER(SEARCH("Cape Verde",S23)),"Cabo Verde",
ISNUMBER(SEARCH("Czechia",S23)),"Czech Republic",
ISNUMBER(SEARCH("Türkiye",S23)),"Turkey",
ISNUMBER(SEARCH("Ivory Coast",S23)),"Côte d'Ivoire",
ISNUMBER(SEARCH("Korea Republic",S23)),"South Korea",
ISNUMBER(SEARCH("Germany FR",S23)),"FR Germany",
ISNUMBER(SEARCH("Germany DR",S23)),"DR Germany",
ISNUMBER(SEARCH("Korea DPR",S23)),"North Korea",
ISNUMBER(SEARCH("China PR",S23)),"China",
ISNUMBER(SEARCH("IR Iran",S23)),"Iran",
ISNUMBER(SEARCH("Congo DR",S23)),"Democratic Republic of the Congo",
ISNUMBER(SEARCH("DR Congo",S23)),"Democratic Republic of the Congo",
ISNUMBER(SEARCH("German DR",S23)),"DR Germany",
ISNUMBER(SEARCH("rn""&gt;United Arab Emirates",S23)),"United Arab Emirates",
ISNUMBER(SEARCH("rn""&gt;Republic of Ireland",S23)),"Ireland",
ISNUMBER(SEARCH("rn""&gt;Bosnia and Herzegovina",S23)),"Bosnia and Herzegovina",
ISNUMBER(SEARCH("rn""&gt;Trinidad and Tobago",S23)),"Trinidad and Tobago",
ISNUMBER(SEARCH("rn""&gt;Serbia and Montenegro",S23)),"Serbia and Montenegro",
ISNUMBER(SEARCH("te d'Ivoire",S23)),"Côte d'Ivoire",
TRUE,""
)</f>
        <v/>
      </c>
      <c r="W23" s="34" t="str">
        <f t="shared" si="5"/>
        <v>Mexico</v>
      </c>
      <c r="X23" s="95" t="str">
        <v>Cabo Verde</v>
      </c>
      <c r="AA23" s="55" t="s">
        <v>598</v>
      </c>
      <c r="AB23" s="16" t="str" cm="1">
        <f t="array" ref="AB23:AB26">_xlfn.UNIQUE(_xlfn._xlws.FILTER(DATA_BRUT!AG2:AG1076,ISNUMBER(SEARCH(_xlfn.UNICHAR(65533),DATA_BRUT!AG2:AG1076)),"Aucuns caractères spéciaux détectés"))</f>
        <v xml:space="preserve">Malm� </v>
      </c>
      <c r="AC23" s="84"/>
      <c r="AF23" s="13">
        <v>27</v>
      </c>
      <c r="AG23" s="7"/>
      <c r="AH23" s="7"/>
      <c r="AI23" s="7"/>
      <c r="AJ23" s="7"/>
      <c r="AK23" s="7"/>
      <c r="AL23" s="7"/>
      <c r="AM23" s="7"/>
      <c r="AN23" s="7"/>
      <c r="AS23" s="23" t="str">
        <v>Group C</v>
      </c>
      <c r="AT23" s="69" t="s">
        <v>3559</v>
      </c>
      <c r="AU23" s="69">
        <v>6</v>
      </c>
      <c r="AV23" s="37" t="str">
        <v>SEMI_FINALS</v>
      </c>
      <c r="AW23" s="89" t="str">
        <v>GROUP_STAGE</v>
      </c>
      <c r="AY23" s="42" cm="1">
        <f t="array" ref="AY23">INDEX(_xlfn.UNIQUE(DATA_CLEANED!AF14:'DATA_CLEANED'!AF1071),INT((ROWS(AY$12:AY23)-1)/3)+1)</f>
        <v>1950</v>
      </c>
      <c r="AZ23" s="42" t="s">
        <v>3561</v>
      </c>
      <c r="BA23" s="42">
        <v>0</v>
      </c>
      <c r="BB23" s="42">
        <f>COUNTIFS(DATA_CLEANED!AH$3:AH$1060,AZ23,DATA_CLEANED!AF$3:AF$1060,AY23)</f>
        <v>0</v>
      </c>
      <c r="BC23" s="89" t="str">
        <f t="shared" si="0"/>
        <v>OK</v>
      </c>
      <c r="BE23" s="43" t="str">
        <f>IF(OR(DATA_CLEANED!AL14="",DATA_CLEANED!AM14=""),"MANQUANT",IF(OR(NOT(ISNUMBER(DATA_CLEANED!AL14)),NOT(ISNUMBER(DATA_CLEANED!AM14))),"ENTREE INVALIDE",IF(OR(DATA_CLEANED!AL14&lt;0,DATA_CLEANED!AM14&lt;0),"SCORE NEGATIF","OK")))</f>
        <v>OK</v>
      </c>
      <c r="BF23" s="43" t="str">
        <f>IF(DATA_CLEANED!AK14&lt;&gt;DATA_CLEANED!AN14,"OK","ERREUR")</f>
        <v>OK</v>
      </c>
      <c r="BG23" s="43" t="str">
        <f>IF(DATA_CLEANED!AL14&gt;DATA_CLEANED!AM14,DATA_CLEANED!AK14,IF(AND(DATA_QUALITE!W4500="-",DATA_CLEANED!AM14=DATA_CLEANED!AL14),"MATCH NUL",IF(AND(DATA_QUALITE!V4500="-",DATA_QUALITE!U4500="AUCUNE"),DATA_QUALITE!T4500,IF(DATA_QUALITE!V4500&lt;&gt;"-",DATA_QUALITE!V4500,DATA_CLEANED!AN14))))</f>
        <v>Brazil</v>
      </c>
      <c r="BH23" s="103" t="str">
        <f>IF(AND(BG23="MATCH NUL",DATA_CLEANED!AO14="-"),"MATCH_NUL",IF(ISNUMBER(SEARCH("win on penalties",W4500)),"WIN_BY_PENALTY",IF(ISNUMBER(SEARCH("win after extra time",W4500)),"WIN_BY_EXTRA_TIME",IF(ISNUMBER(SEARCH("Golden Goal",W4500)),"WIN_BY_GOLDEN_GOAL","WIN_BY_SCORE"))))</f>
        <v>WIN_BY_SCORE</v>
      </c>
      <c r="BI23" s="99" t="str">
        <f>IF(OR(BG23=DATA_CLEANED!AK14,BG23=DATA_CLEANED!AN14,BG23="MATCH NUL"),"OK","ERREUR")</f>
        <v>OK</v>
      </c>
      <c r="BK23" s="40">
        <v>1982</v>
      </c>
      <c r="BL23" s="40">
        <v>52</v>
      </c>
      <c r="BM23" s="40">
        <v>52</v>
      </c>
      <c r="BN23" s="134" t="str">
        <f t="shared" si="3"/>
        <v>OK</v>
      </c>
    </row>
    <row r="24" spans="2:66">
      <c r="B24" s="22" t="str">
        <f t="shared" si="1"/>
        <v>RETIRÉ</v>
      </c>
      <c r="C24" s="31" t="str">
        <v>2014.0</v>
      </c>
      <c r="D24" s="31" t="str">
        <v xml:space="preserve">08 Jul 2014 - 17:00 </v>
      </c>
      <c r="E24" s="31" t="str">
        <v>Semi-finals</v>
      </c>
      <c r="F24" s="31" t="str">
        <v>Estadio Mineirao</v>
      </c>
      <c r="G24" s="31" t="str">
        <v xml:space="preserve">Belo Horizonte </v>
      </c>
      <c r="H24" s="31" t="str">
        <v>Brazil</v>
      </c>
      <c r="I24" s="31" t="str">
        <v>1.0</v>
      </c>
      <c r="J24" s="31" t="str">
        <v>7.0</v>
      </c>
      <c r="K24" s="31" t="str">
        <v>Germany</v>
      </c>
      <c r="L24" s="31" t="str">
        <v xml:space="preserve"> </v>
      </c>
      <c r="M24" s="31" t="str">
        <v xml:space="preserve">2014.0|08 Jul 2014 - 17:00 |Semi-finals|Estadio Mineirao|Belo Horizonte |Brazil|1.0|7.0|Germany| </v>
      </c>
      <c r="N24" s="31" t="str">
        <v>DOUBLON</v>
      </c>
      <c r="R24" s="23" t="s">
        <v>38</v>
      </c>
      <c r="S24" s="13" t="str">
        <v>Switzerland</v>
      </c>
      <c r="T24" s="13" t="str">
        <f t="shared" si="2"/>
        <v>OK</v>
      </c>
      <c r="U24" s="13" t="str">
        <f t="shared" si="4"/>
        <v>-</v>
      </c>
      <c r="V24" s="13" t="str" cm="1">
        <f t="array" ref="V24">_xlfn.IFS(
ISNUMBER(SEARCH("USA",S24)),"United States",
ISNUMBER(SEARCH("Republic of Korea",S24)),"South Korea",
ISNUMBER(SEARCH("Cape Verde",S24)),"Cabo Verde",
ISNUMBER(SEARCH("Czechia",S24)),"Czech Republic",
ISNUMBER(SEARCH("Türkiye",S24)),"Turkey",
ISNUMBER(SEARCH("Ivory Coast",S24)),"Côte d'Ivoire",
ISNUMBER(SEARCH("Korea Republic",S24)),"South Korea",
ISNUMBER(SEARCH("Germany FR",S24)),"FR Germany",
ISNUMBER(SEARCH("Germany DR",S24)),"DR Germany",
ISNUMBER(SEARCH("Korea DPR",S24)),"North Korea",
ISNUMBER(SEARCH("China PR",S24)),"China",
ISNUMBER(SEARCH("IR Iran",S24)),"Iran",
ISNUMBER(SEARCH("Congo DR",S24)),"Democratic Republic of the Congo",
ISNUMBER(SEARCH("DR Congo",S24)),"Democratic Republic of the Congo",
ISNUMBER(SEARCH("German DR",S24)),"DR Germany",
ISNUMBER(SEARCH("rn""&gt;United Arab Emirates",S24)),"United Arab Emirates",
ISNUMBER(SEARCH("rn""&gt;Republic of Ireland",S24)),"Ireland",
ISNUMBER(SEARCH("rn""&gt;Bosnia and Herzegovina",S24)),"Bosnia and Herzegovina",
ISNUMBER(SEARCH("rn""&gt;Trinidad and Tobago",S24)),"Trinidad and Tobago",
ISNUMBER(SEARCH("rn""&gt;Serbia and Montenegro",S24)),"Serbia and Montenegro",
ISNUMBER(SEARCH("te d'Ivoire",S24)),"Côte d'Ivoire",
TRUE,""
)</f>
        <v/>
      </c>
      <c r="W24" s="34" t="str">
        <f t="shared" si="5"/>
        <v>Switzerland</v>
      </c>
      <c r="X24" s="95" t="str">
        <v>Cameroon</v>
      </c>
      <c r="AB24" s="16" t="str">
        <v xml:space="preserve">Norrk�Ping </v>
      </c>
      <c r="AC24" s="84"/>
      <c r="AF24" s="13">
        <v>27.1</v>
      </c>
      <c r="AG24" s="7"/>
      <c r="AH24" s="7"/>
      <c r="AI24" s="7"/>
      <c r="AJ24" s="7"/>
      <c r="AK24" s="7"/>
      <c r="AL24" s="7"/>
      <c r="AM24" s="7"/>
      <c r="AN24" s="7"/>
      <c r="AS24" s="23" t="str">
        <v>Group D</v>
      </c>
      <c r="AT24" s="69" t="s">
        <v>3559</v>
      </c>
      <c r="AU24" s="69">
        <v>6</v>
      </c>
      <c r="AV24" s="37" t="str">
        <v>QUARTER_FINALS</v>
      </c>
      <c r="AW24" s="89" t="str">
        <v>GROUP_STAGE</v>
      </c>
      <c r="AY24" s="42" cm="1">
        <f t="array" ref="AY24">INDEX(_xlfn.UNIQUE(DATA_CLEANED!AF15:'DATA_CLEANED'!AF1072),INT((ROWS(AY$12:AY24)-1)/3)+1)</f>
        <v>1954</v>
      </c>
      <c r="AZ24" s="42" t="s">
        <v>3560</v>
      </c>
      <c r="BA24" s="42">
        <v>4</v>
      </c>
      <c r="BB24" s="42">
        <f>COUNTIFS(DATA_CLEANED!AH$3:AH$1060,AZ24,DATA_CLEANED!AF$3:AF$1060,AY24)</f>
        <v>4</v>
      </c>
      <c r="BC24" s="89" t="str">
        <f t="shared" si="0"/>
        <v>OK</v>
      </c>
      <c r="BE24" s="43" t="str">
        <f>IF(OR(DATA_CLEANED!AL15="",DATA_CLEANED!AM15=""),"MANQUANT",IF(OR(NOT(ISNUMBER(DATA_CLEANED!AL15)),NOT(ISNUMBER(DATA_CLEANED!AM15))),"ENTREE INVALIDE",IF(OR(DATA_CLEANED!AL15&lt;0,DATA_CLEANED!AM15&lt;0),"SCORE NEGATIF","OK")))</f>
        <v>OK</v>
      </c>
      <c r="BF24" s="43" t="str">
        <f>IF(DATA_CLEANED!AK15&lt;&gt;DATA_CLEANED!AN15,"OK","ERREUR")</f>
        <v>OK</v>
      </c>
      <c r="BG24" s="43" t="str">
        <f>IF(DATA_CLEANED!AL15&gt;DATA_CLEANED!AM15,DATA_CLEANED!AK15,IF(AND(DATA_QUALITE!W4501="-",DATA_CLEANED!AM15=DATA_CLEANED!AL15),"MATCH NUL",IF(AND(DATA_QUALITE!V4501="-",DATA_QUALITE!U4501="AUCUNE"),DATA_QUALITE!T4501,IF(DATA_QUALITE!V4501&lt;&gt;"-",DATA_QUALITE!V4501,DATA_CLEANED!AN15))))</f>
        <v>Paraguay</v>
      </c>
      <c r="BH24" s="103" t="str">
        <f>IF(AND(BG24="MATCH NUL",DATA_CLEANED!AO15="-"),"MATCH_NUL",IF(ISNUMBER(SEARCH("win on penalties",W4501)),"WIN_BY_PENALTY",IF(ISNUMBER(SEARCH("win after extra time",W4501)),"WIN_BY_EXTRA_TIME",IF(ISNUMBER(SEARCH("Golden Goal",W4501)),"WIN_BY_GOLDEN_GOAL","WIN_BY_SCORE"))))</f>
        <v>WIN_BY_SCORE</v>
      </c>
      <c r="BI24" s="99" t="str">
        <f>IF(OR(BG24=DATA_CLEANED!AK15,BG24=DATA_CLEANED!AN15,BG24="MATCH NUL"),"OK","ERREUR")</f>
        <v>OK</v>
      </c>
      <c r="BK24" s="40">
        <v>1986</v>
      </c>
      <c r="BL24" s="40">
        <v>52</v>
      </c>
      <c r="BM24" s="40">
        <v>52</v>
      </c>
      <c r="BN24" s="134" t="str">
        <f t="shared" si="3"/>
        <v>OK</v>
      </c>
    </row>
    <row r="25" spans="2:66">
      <c r="B25" s="22" t="str">
        <f t="shared" si="1"/>
        <v>RETIRÉ</v>
      </c>
      <c r="C25" s="31" t="str">
        <v>2014.0</v>
      </c>
      <c r="D25" s="31" t="str">
        <v xml:space="preserve">09 Jul 2014 - 17:00 </v>
      </c>
      <c r="E25" s="31" t="str">
        <v>Semi-finals</v>
      </c>
      <c r="F25" s="31" t="str">
        <v>Arena de Sao Paulo</v>
      </c>
      <c r="G25" s="31" t="str">
        <v xml:space="preserve">Sao Paulo </v>
      </c>
      <c r="H25" s="31" t="str">
        <v>Netherlands</v>
      </c>
      <c r="I25" s="31" t="str">
        <v>0.0</v>
      </c>
      <c r="J25" s="31" t="str">
        <v>0.0</v>
      </c>
      <c r="K25" s="31" t="str">
        <v>Argentina</v>
      </c>
      <c r="L25" s="31" t="str">
        <v xml:space="preserve">Argentina win on penalties (2 - 4) </v>
      </c>
      <c r="M25" s="31" t="str">
        <v xml:space="preserve">2014.0|09 Jul 2014 - 17:00 |Semi-finals|Arena de Sao Paulo|Sao Paulo |Netherlands|0.0|0.0|Argentina|Argentina win on penalties (2 - 4) </v>
      </c>
      <c r="N25" s="31" t="str">
        <v>DOUBLON</v>
      </c>
      <c r="R25" s="23" t="s">
        <v>14</v>
      </c>
      <c r="S25" s="13" t="str">
        <v>Portugal</v>
      </c>
      <c r="T25" s="13" t="str">
        <f t="shared" si="2"/>
        <v>OK</v>
      </c>
      <c r="U25" s="13" t="str">
        <f t="shared" si="4"/>
        <v>-</v>
      </c>
      <c r="V25" s="13" t="str" cm="1">
        <f t="array" ref="V25">_xlfn.IFS(
ISNUMBER(SEARCH("USA",S25)),"United States",
ISNUMBER(SEARCH("Republic of Korea",S25)),"South Korea",
ISNUMBER(SEARCH("Cape Verde",S25)),"Cabo Verde",
ISNUMBER(SEARCH("Czechia",S25)),"Czech Republic",
ISNUMBER(SEARCH("Türkiye",S25)),"Turkey",
ISNUMBER(SEARCH("Ivory Coast",S25)),"Côte d'Ivoire",
ISNUMBER(SEARCH("Korea Republic",S25)),"South Korea",
ISNUMBER(SEARCH("Germany FR",S25)),"FR Germany",
ISNUMBER(SEARCH("Germany DR",S25)),"DR Germany",
ISNUMBER(SEARCH("Korea DPR",S25)),"North Korea",
ISNUMBER(SEARCH("China PR",S25)),"China",
ISNUMBER(SEARCH("IR Iran",S25)),"Iran",
ISNUMBER(SEARCH("Congo DR",S25)),"Democratic Republic of the Congo",
ISNUMBER(SEARCH("DR Congo",S25)),"Democratic Republic of the Congo",
ISNUMBER(SEARCH("German DR",S25)),"DR Germany",
ISNUMBER(SEARCH("rn""&gt;United Arab Emirates",S25)),"United Arab Emirates",
ISNUMBER(SEARCH("rn""&gt;Republic of Ireland",S25)),"Ireland",
ISNUMBER(SEARCH("rn""&gt;Bosnia and Herzegovina",S25)),"Bosnia and Herzegovina",
ISNUMBER(SEARCH("rn""&gt;Trinidad and Tobago",S25)),"Trinidad and Tobago",
ISNUMBER(SEARCH("rn""&gt;Serbia and Montenegro",S25)),"Serbia and Montenegro",
ISNUMBER(SEARCH("te d'Ivoire",S25)),"Côte d'Ivoire",
TRUE,""
)</f>
        <v/>
      </c>
      <c r="W25" s="34" t="str">
        <f t="shared" si="5"/>
        <v>Portugal</v>
      </c>
      <c r="X25" s="95" t="str">
        <v>Canada</v>
      </c>
      <c r="AB25" s="16" t="str">
        <v xml:space="preserve">D�Sseldorf </v>
      </c>
      <c r="AC25" s="84"/>
      <c r="AF25" s="13">
        <v>27.5</v>
      </c>
      <c r="AG25" s="7"/>
      <c r="AH25" s="7"/>
      <c r="AI25" s="7"/>
      <c r="AJ25" s="7"/>
      <c r="AK25" s="7"/>
      <c r="AL25" s="7"/>
      <c r="AM25" s="7"/>
      <c r="AN25" s="7"/>
      <c r="AS25" s="23" t="str">
        <v>Group E</v>
      </c>
      <c r="AT25" s="69" t="s">
        <v>3559</v>
      </c>
      <c r="AU25" s="69">
        <v>6</v>
      </c>
      <c r="AV25" s="37" t="str">
        <v>QUARTER_FINALS</v>
      </c>
      <c r="AW25" s="89" t="str">
        <v>GROUP_STAGE</v>
      </c>
      <c r="AY25" s="42" cm="1">
        <f t="array" ref="AY25">INDEX(_xlfn.UNIQUE(DATA_CLEANED!AF16:'DATA_CLEANED'!AF1073),INT((ROWS(AY$12:AY25)-1)/3)+1)</f>
        <v>1954</v>
      </c>
      <c r="AZ25" s="42" t="s">
        <v>3562</v>
      </c>
      <c r="BA25" s="42" cm="1">
        <f t="array" ref="BA25">INDEX($BA$12:$BA$14,MOD(ROWS($BA$15:BA25)-1,3)+1)</f>
        <v>2</v>
      </c>
      <c r="BB25" s="42">
        <f>COUNTIFS(DATA_CLEANED!AH$3:AH$1060,AZ25,DATA_CLEANED!AF$3:AF$1060,AY25)</f>
        <v>2</v>
      </c>
      <c r="BC25" s="89" t="str">
        <f t="shared" si="0"/>
        <v>OK</v>
      </c>
      <c r="BE25" s="43" t="str">
        <f>IF(OR(DATA_CLEANED!AL16="",DATA_CLEANED!AM16=""),"MANQUANT",IF(OR(NOT(ISNUMBER(DATA_CLEANED!AL16)),NOT(ISNUMBER(DATA_CLEANED!AM16))),"ENTREE INVALIDE",IF(OR(DATA_CLEANED!AL16&lt;0,DATA_CLEANED!AM16&lt;0),"SCORE NEGATIF","OK")))</f>
        <v>OK</v>
      </c>
      <c r="BF25" s="43" t="str">
        <f>IF(DATA_CLEANED!AK16&lt;&gt;DATA_CLEANED!AN16,"OK","ERREUR")</f>
        <v>OK</v>
      </c>
      <c r="BG25" s="43" t="str">
        <f>IF(DATA_CLEANED!AL16&gt;DATA_CLEANED!AM16,DATA_CLEANED!AK16,IF(AND(DATA_QUALITE!W4502="-",DATA_CLEANED!AM16=DATA_CLEANED!AL16),"MATCH NUL",IF(AND(DATA_QUALITE!V4502="-",DATA_QUALITE!U4502="AUCUNE"),DATA_QUALITE!T4502,IF(DATA_QUALITE!V4502&lt;&gt;"-",DATA_QUALITE!V4502,DATA_CLEANED!AN16))))</f>
        <v>Uruguay</v>
      </c>
      <c r="BH25" s="103" t="str">
        <f>IF(AND(BG25="MATCH NUL",DATA_CLEANED!AO16="-"),"MATCH_NUL",IF(ISNUMBER(SEARCH("win on penalties",W4502)),"WIN_BY_PENALTY",IF(ISNUMBER(SEARCH("win after extra time",W4502)),"WIN_BY_EXTRA_TIME",IF(ISNUMBER(SEARCH("Golden Goal",W4502)),"WIN_BY_GOLDEN_GOAL","WIN_BY_SCORE"))))</f>
        <v>WIN_BY_SCORE</v>
      </c>
      <c r="BI25" s="99" t="str">
        <f>IF(OR(BG25=DATA_CLEANED!AK16,BG25=DATA_CLEANED!AN16,BG25="MATCH NUL"),"OK","ERREUR")</f>
        <v>OK</v>
      </c>
      <c r="BK25" s="40">
        <v>1990</v>
      </c>
      <c r="BL25" s="40">
        <v>52</v>
      </c>
      <c r="BM25" s="40">
        <v>52</v>
      </c>
      <c r="BN25" s="134" t="str">
        <f t="shared" si="3"/>
        <v>OK</v>
      </c>
    </row>
    <row r="26" spans="2:66">
      <c r="B26" s="22" t="str">
        <f t="shared" si="1"/>
        <v>RETIRÉ</v>
      </c>
      <c r="C26" s="31" t="str">
        <v>2014.0</v>
      </c>
      <c r="D26" s="31" t="str">
        <v xml:space="preserve">12 Jul 2014 - 17:00 </v>
      </c>
      <c r="E26" s="31" t="str">
        <v>Play-off for third place</v>
      </c>
      <c r="F26" s="31" t="str">
        <v>Estadio Nacional</v>
      </c>
      <c r="G26" s="31" t="str">
        <v xml:space="preserve">Brasilia </v>
      </c>
      <c r="H26" s="31" t="str">
        <v>Brazil</v>
      </c>
      <c r="I26" s="31" t="str">
        <v>0.0</v>
      </c>
      <c r="J26" s="31" t="str">
        <v>3.0</v>
      </c>
      <c r="K26" s="31" t="str">
        <v>Netherlands</v>
      </c>
      <c r="L26" s="31" t="str">
        <v xml:space="preserve"> </v>
      </c>
      <c r="M26" s="31" t="str">
        <v xml:space="preserve">2014.0|12 Jul 2014 - 17:00 |Play-off for third place|Estadio Nacional|Brasilia |Brazil|0.0|3.0|Netherlands| </v>
      </c>
      <c r="N26" s="31" t="str">
        <v>DOUBLON</v>
      </c>
      <c r="R26" s="23" t="s">
        <v>3604</v>
      </c>
      <c r="S26" s="13" t="str">
        <v>Croatia</v>
      </c>
      <c r="T26" s="13" t="str">
        <f t="shared" si="2"/>
        <v>OK</v>
      </c>
      <c r="U26" s="13" t="str">
        <f t="shared" si="4"/>
        <v>-</v>
      </c>
      <c r="V26" s="13" t="str" cm="1">
        <f t="array" ref="V26">_xlfn.IFS(
ISNUMBER(SEARCH("USA",S26)),"United States",
ISNUMBER(SEARCH("Republic of Korea",S26)),"South Korea",
ISNUMBER(SEARCH("Cape Verde",S26)),"Cabo Verde",
ISNUMBER(SEARCH("Czechia",S26)),"Czech Republic",
ISNUMBER(SEARCH("Türkiye",S26)),"Turkey",
ISNUMBER(SEARCH("Ivory Coast",S26)),"Côte d'Ivoire",
ISNUMBER(SEARCH("Korea Republic",S26)),"South Korea",
ISNUMBER(SEARCH("Germany FR",S26)),"FR Germany",
ISNUMBER(SEARCH("Germany DR",S26)),"DR Germany",
ISNUMBER(SEARCH("Korea DPR",S26)),"North Korea",
ISNUMBER(SEARCH("China PR",S26)),"China",
ISNUMBER(SEARCH("IR Iran",S26)),"Iran",
ISNUMBER(SEARCH("Congo DR",S26)),"Democratic Republic of the Congo",
ISNUMBER(SEARCH("DR Congo",S26)),"Democratic Republic of the Congo",
ISNUMBER(SEARCH("German DR",S26)),"DR Germany",
ISNUMBER(SEARCH("rn""&gt;United Arab Emirates",S26)),"United Arab Emirates",
ISNUMBER(SEARCH("rn""&gt;Republic of Ireland",S26)),"Ireland",
ISNUMBER(SEARCH("rn""&gt;Bosnia and Herzegovina",S26)),"Bosnia and Herzegovina",
ISNUMBER(SEARCH("rn""&gt;Trinidad and Tobago",S26)),"Trinidad and Tobago",
ISNUMBER(SEARCH("rn""&gt;Serbia and Montenegro",S26)),"Serbia and Montenegro",
ISNUMBER(SEARCH("te d'Ivoire",S26)),"Côte d'Ivoire",
TRUE,""
)</f>
        <v/>
      </c>
      <c r="W26" s="34" t="str">
        <f t="shared" si="5"/>
        <v>Croatia</v>
      </c>
      <c r="X26" s="95" t="str">
        <v>Chile</v>
      </c>
      <c r="AB26" s="16" t="str">
        <v xml:space="preserve">La Coru�A </v>
      </c>
      <c r="AC26" s="84"/>
      <c r="AF26" s="13">
        <v>27.8</v>
      </c>
      <c r="AG26" s="7"/>
      <c r="AH26" s="7"/>
      <c r="AI26" s="7"/>
      <c r="AJ26" s="7"/>
      <c r="AK26" s="7"/>
      <c r="AL26" s="7"/>
      <c r="AM26" s="7"/>
      <c r="AN26" s="7"/>
      <c r="AS26" s="23" t="str">
        <v>Group F</v>
      </c>
      <c r="AT26" s="69" t="s">
        <v>3559</v>
      </c>
      <c r="AU26" s="69">
        <v>6</v>
      </c>
      <c r="AV26" s="37" t="str">
        <v>QUARTER_FINALS</v>
      </c>
      <c r="AW26" s="89" t="str">
        <v>GROUP_STAGE</v>
      </c>
      <c r="AY26" s="42" cm="1">
        <f t="array" ref="AY26">INDEX(_xlfn.UNIQUE(DATA_CLEANED!AF17:'DATA_CLEANED'!AF1074),INT((ROWS(AY$12:AY26)-1)/3)+1)</f>
        <v>1954</v>
      </c>
      <c r="AZ26" s="42" t="s">
        <v>3561</v>
      </c>
      <c r="BA26" s="42" cm="1">
        <f t="array" ref="BA26">INDEX($BA$12:$BA$14,MOD(ROWS($BA$15:BA26)-1,3)+1)</f>
        <v>1</v>
      </c>
      <c r="BB26" s="42">
        <f>COUNTIFS(DATA_CLEANED!AH$3:AH$1060,AZ26,DATA_CLEANED!AF$3:AF$1060,AY26)</f>
        <v>1</v>
      </c>
      <c r="BC26" s="89" t="str">
        <f t="shared" si="0"/>
        <v>OK</v>
      </c>
      <c r="BE26" s="43" t="str">
        <f>IF(OR(DATA_CLEANED!AL17="",DATA_CLEANED!AM17=""),"MANQUANT",IF(OR(NOT(ISNUMBER(DATA_CLEANED!AL17)),NOT(ISNUMBER(DATA_CLEANED!AM17))),"ENTREE INVALIDE",IF(OR(DATA_CLEANED!AL17&lt;0,DATA_CLEANED!AM17&lt;0),"SCORE NEGATIF","OK")))</f>
        <v>OK</v>
      </c>
      <c r="BF26" s="43" t="str">
        <f>IF(DATA_CLEANED!AK17&lt;&gt;DATA_CLEANED!AN17,"OK","ERREUR")</f>
        <v>OK</v>
      </c>
      <c r="BG26" s="43" t="str">
        <f>IF(DATA_CLEANED!AL17&gt;DATA_CLEANED!AM17,DATA_CLEANED!AK17,IF(AND(DATA_QUALITE!W4503="-",DATA_CLEANED!AM17=DATA_CLEANED!AL17),"MATCH NUL",IF(AND(DATA_QUALITE!V4503="-",DATA_QUALITE!U4503="AUCUNE"),DATA_QUALITE!T4503,IF(DATA_QUALITE!V4503&lt;&gt;"-",DATA_QUALITE!V4503,DATA_CLEANED!AN17))))</f>
        <v>Argentina</v>
      </c>
      <c r="BH26" s="103" t="str">
        <f>IF(AND(BG26="MATCH NUL",DATA_CLEANED!AO17="-"),"MATCH_NUL",IF(ISNUMBER(SEARCH("win on penalties",W4503)),"WIN_BY_PENALTY",IF(ISNUMBER(SEARCH("win after extra time",W4503)),"WIN_BY_EXTRA_TIME",IF(ISNUMBER(SEARCH("Golden Goal",W4503)),"WIN_BY_GOLDEN_GOAL","WIN_BY_SCORE"))))</f>
        <v>WIN_BY_SCORE</v>
      </c>
      <c r="BI26" s="99" t="str">
        <f>IF(OR(BG26=DATA_CLEANED!AK17,BG26=DATA_CLEANED!AN17,BG26="MATCH NUL"),"OK","ERREUR")</f>
        <v>OK</v>
      </c>
      <c r="BK26" s="40">
        <v>1994</v>
      </c>
      <c r="BL26" s="40">
        <v>52</v>
      </c>
      <c r="BM26" s="40">
        <v>52</v>
      </c>
      <c r="BN26" s="134" t="str">
        <f t="shared" si="3"/>
        <v>OK</v>
      </c>
    </row>
    <row r="27" spans="2:66">
      <c r="B27" s="22" t="str">
        <f t="shared" si="1"/>
        <v>RETIRÉ</v>
      </c>
      <c r="C27" s="31" t="str">
        <v>2014.0</v>
      </c>
      <c r="D27" s="31" t="str">
        <v xml:space="preserve">13 Jul 2014 - 16:00 </v>
      </c>
      <c r="E27" s="31" t="str">
        <v>Final</v>
      </c>
      <c r="F27" s="31" t="str">
        <v>Estadio do Maracana</v>
      </c>
      <c r="G27" s="31" t="str">
        <v xml:space="preserve">Rio De Janeiro </v>
      </c>
      <c r="H27" s="31" t="str">
        <v>Germany</v>
      </c>
      <c r="I27" s="31" t="str">
        <v>1.0</v>
      </c>
      <c r="J27" s="31" t="str">
        <v>0.0</v>
      </c>
      <c r="K27" s="31" t="str">
        <v>Argentina</v>
      </c>
      <c r="L27" s="31" t="str">
        <v xml:space="preserve">Germany win after extra time </v>
      </c>
      <c r="M27" s="31" t="str">
        <v xml:space="preserve">2014.0|13 Jul 2014 - 16:00 |Final|Estadio do Maracana|Rio De Janeiro |Germany|1.0|0.0|Argentina|Germany win after extra time </v>
      </c>
      <c r="N27" s="31" t="str">
        <v>DOUBLON</v>
      </c>
      <c r="R27" s="23" t="s">
        <v>3720</v>
      </c>
      <c r="S27" s="13" t="str">
        <v>Austria</v>
      </c>
      <c r="T27" s="13" t="str">
        <f t="shared" si="2"/>
        <v>OK</v>
      </c>
      <c r="U27" s="13" t="str">
        <f t="shared" si="4"/>
        <v>-</v>
      </c>
      <c r="V27" s="13" t="str" cm="1">
        <f t="array" ref="V27">_xlfn.IFS(
ISNUMBER(SEARCH("USA",S27)),"United States",
ISNUMBER(SEARCH("Republic of Korea",S27)),"South Korea",
ISNUMBER(SEARCH("Cape Verde",S27)),"Cabo Verde",
ISNUMBER(SEARCH("Czechia",S27)),"Czech Republic",
ISNUMBER(SEARCH("Türkiye",S27)),"Turkey",
ISNUMBER(SEARCH("Ivory Coast",S27)),"Côte d'Ivoire",
ISNUMBER(SEARCH("Korea Republic",S27)),"South Korea",
ISNUMBER(SEARCH("Germany FR",S27)),"FR Germany",
ISNUMBER(SEARCH("Germany DR",S27)),"DR Germany",
ISNUMBER(SEARCH("Korea DPR",S27)),"North Korea",
ISNUMBER(SEARCH("China PR",S27)),"China",
ISNUMBER(SEARCH("IR Iran",S27)),"Iran",
ISNUMBER(SEARCH("Congo DR",S27)),"Democratic Republic of the Congo",
ISNUMBER(SEARCH("DR Congo",S27)),"Democratic Republic of the Congo",
ISNUMBER(SEARCH("German DR",S27)),"DR Germany",
ISNUMBER(SEARCH("rn""&gt;United Arab Emirates",S27)),"United Arab Emirates",
ISNUMBER(SEARCH("rn""&gt;Republic of Ireland",S27)),"Ireland",
ISNUMBER(SEARCH("rn""&gt;Bosnia and Herzegovina",S27)),"Bosnia and Herzegovina",
ISNUMBER(SEARCH("rn""&gt;Trinidad and Tobago",S27)),"Trinidad and Tobago",
ISNUMBER(SEARCH("rn""&gt;Serbia and Montenegro",S27)),"Serbia and Montenegro",
ISNUMBER(SEARCH("te d'Ivoire",S27)),"Côte d'Ivoire",
TRUE,""
)</f>
        <v/>
      </c>
      <c r="W27" s="34" t="str">
        <f t="shared" si="5"/>
        <v>Austria</v>
      </c>
      <c r="X27" s="95" t="str">
        <v>China</v>
      </c>
      <c r="AC27" s="84"/>
      <c r="AF27" s="13">
        <v>27.5</v>
      </c>
      <c r="AG27" s="7"/>
      <c r="AH27" s="7"/>
      <c r="AI27" s="7"/>
      <c r="AJ27" s="7"/>
      <c r="AK27" s="7"/>
      <c r="AL27" s="7"/>
      <c r="AM27" s="7"/>
      <c r="AN27" s="7"/>
      <c r="AS27" s="23" t="str">
        <v>Group G</v>
      </c>
      <c r="AT27" s="69" t="s">
        <v>3559</v>
      </c>
      <c r="AU27" s="69">
        <v>6</v>
      </c>
      <c r="AV27" s="37" t="str">
        <v>QUARTER_FINALS</v>
      </c>
      <c r="AW27" s="89" t="str">
        <v>SEMI_FINALS</v>
      </c>
      <c r="AY27" s="42" cm="1">
        <f t="array" ref="AY27">INDEX(_xlfn.UNIQUE(DATA_CLEANED!AF18:'DATA_CLEANED'!AF1075),INT((ROWS(AY$12:AY27)-1)/3)+1)</f>
        <v>1958</v>
      </c>
      <c r="AZ27" s="42" t="s">
        <v>3560</v>
      </c>
      <c r="BA27" s="42">
        <v>4</v>
      </c>
      <c r="BB27" s="42">
        <f>COUNTIFS(DATA_CLEANED!AH$3:AH$1060,AZ27,DATA_CLEANED!AF$3:AF$1060,AY27)</f>
        <v>4</v>
      </c>
      <c r="BC27" s="89" t="str">
        <f t="shared" si="0"/>
        <v>OK</v>
      </c>
      <c r="BE27" s="43" t="str">
        <f>IF(OR(DATA_CLEANED!AL18="",DATA_CLEANED!AM18=""),"MANQUANT",IF(OR(NOT(ISNUMBER(DATA_CLEANED!AL18)),NOT(ISNUMBER(DATA_CLEANED!AM18))),"ENTREE INVALIDE",IF(OR(DATA_CLEANED!AL18&lt;0,DATA_CLEANED!AM18&lt;0),"SCORE NEGATIF","OK")))</f>
        <v>OK</v>
      </c>
      <c r="BF27" s="43" t="str">
        <f>IF(DATA_CLEANED!AK18&lt;&gt;DATA_CLEANED!AN18,"OK","ERREUR")</f>
        <v>OK</v>
      </c>
      <c r="BG27" s="43" t="str">
        <f>IF(DATA_CLEANED!AL18&gt;DATA_CLEANED!AM18,DATA_CLEANED!AK18,IF(AND(DATA_QUALITE!W4504="-",DATA_CLEANED!AM18=DATA_CLEANED!AL18),"MATCH NUL",IF(AND(DATA_QUALITE!V4504="-",DATA_QUALITE!U4504="AUCUNE"),DATA_QUALITE!T4504,IF(DATA_QUALITE!V4504&lt;&gt;"-",DATA_QUALITE!V4504,DATA_CLEANED!AN18))))</f>
        <v>Argentina</v>
      </c>
      <c r="BH27" s="103" t="str">
        <f>IF(AND(BG27="MATCH NUL",DATA_CLEANED!AO18="-"),"MATCH_NUL",IF(ISNUMBER(SEARCH("win on penalties",W4504)),"WIN_BY_PENALTY",IF(ISNUMBER(SEARCH("win after extra time",W4504)),"WIN_BY_EXTRA_TIME",IF(ISNUMBER(SEARCH("Golden Goal",W4504)),"WIN_BY_GOLDEN_GOAL","WIN_BY_SCORE"))))</f>
        <v>WIN_BY_SCORE</v>
      </c>
      <c r="BI27" s="99" t="str">
        <f>IF(OR(BG27=DATA_CLEANED!AK18,BG27=DATA_CLEANED!AN18,BG27="MATCH NUL"),"OK","ERREUR")</f>
        <v>OK</v>
      </c>
      <c r="BK27" s="40">
        <v>1998</v>
      </c>
      <c r="BL27" s="40">
        <v>64</v>
      </c>
      <c r="BM27" s="40">
        <v>64</v>
      </c>
      <c r="BN27" s="134" t="str">
        <f t="shared" si="3"/>
        <v>OK</v>
      </c>
    </row>
    <row r="28" spans="2:66">
      <c r="R28" s="23" t="s">
        <v>3605</v>
      </c>
      <c r="S28" s="13" t="str">
        <v>Colombia</v>
      </c>
      <c r="T28" s="13" t="str">
        <f t="shared" si="2"/>
        <v>OK</v>
      </c>
      <c r="U28" s="13" t="str">
        <f t="shared" si="4"/>
        <v>-</v>
      </c>
      <c r="V28" s="13" t="str" cm="1">
        <f t="array" ref="V28">_xlfn.IFS(
ISNUMBER(SEARCH("USA",S28)),"United States",
ISNUMBER(SEARCH("Republic of Korea",S28)),"South Korea",
ISNUMBER(SEARCH("Cape Verde",S28)),"Cabo Verde",
ISNUMBER(SEARCH("Czechia",S28)),"Czech Republic",
ISNUMBER(SEARCH("Türkiye",S28)),"Turkey",
ISNUMBER(SEARCH("Ivory Coast",S28)),"Côte d'Ivoire",
ISNUMBER(SEARCH("Korea Republic",S28)),"South Korea",
ISNUMBER(SEARCH("Germany FR",S28)),"FR Germany",
ISNUMBER(SEARCH("Germany DR",S28)),"DR Germany",
ISNUMBER(SEARCH("Korea DPR",S28)),"North Korea",
ISNUMBER(SEARCH("China PR",S28)),"China",
ISNUMBER(SEARCH("IR Iran",S28)),"Iran",
ISNUMBER(SEARCH("Congo DR",S28)),"Democratic Republic of the Congo",
ISNUMBER(SEARCH("DR Congo",S28)),"Democratic Republic of the Congo",
ISNUMBER(SEARCH("German DR",S28)),"DR Germany",
ISNUMBER(SEARCH("rn""&gt;United Arab Emirates",S28)),"United Arab Emirates",
ISNUMBER(SEARCH("rn""&gt;Republic of Ireland",S28)),"Ireland",
ISNUMBER(SEARCH("rn""&gt;Bosnia and Herzegovina",S28)),"Bosnia and Herzegovina",
ISNUMBER(SEARCH("rn""&gt;Trinidad and Tobago",S28)),"Trinidad and Tobago",
ISNUMBER(SEARCH("rn""&gt;Serbia and Montenegro",S28)),"Serbia and Montenegro",
ISNUMBER(SEARCH("te d'Ivoire",S28)),"Côte d'Ivoire",
TRUE,""
)</f>
        <v/>
      </c>
      <c r="W28" s="34" t="str">
        <f t="shared" si="5"/>
        <v>Colombia</v>
      </c>
      <c r="X28" s="95" t="str">
        <v>Colombia</v>
      </c>
      <c r="AC28" s="84"/>
      <c r="AF28" s="13">
        <v>27.9</v>
      </c>
      <c r="AG28" s="7"/>
      <c r="AH28" s="7"/>
      <c r="AI28" s="7"/>
      <c r="AJ28" s="7"/>
      <c r="AK28" s="7"/>
      <c r="AL28" s="7"/>
      <c r="AM28" s="7"/>
      <c r="AN28" s="7"/>
      <c r="AS28" s="23" t="str">
        <v>Group H</v>
      </c>
      <c r="AT28" s="69" t="s">
        <v>3559</v>
      </c>
      <c r="AU28" s="69">
        <v>6</v>
      </c>
      <c r="AV28" s="37" t="str">
        <v>QUARTER_FINALS</v>
      </c>
      <c r="AW28" s="89" t="str">
        <v>SEMI_FINALS</v>
      </c>
      <c r="AY28" s="42" cm="1">
        <f t="array" ref="AY28">INDEX(_xlfn.UNIQUE(DATA_CLEANED!AF19:'DATA_CLEANED'!AF1076),INT((ROWS(AY$12:AY28)-1)/3)+1)</f>
        <v>1958</v>
      </c>
      <c r="AZ28" s="42" t="s">
        <v>3562</v>
      </c>
      <c r="BA28" s="42" cm="1">
        <f t="array" ref="BA28">INDEX($BA$12:$BA$14,MOD(ROWS($BA$15:BA28)-1,3)+1)</f>
        <v>2</v>
      </c>
      <c r="BB28" s="42">
        <f>COUNTIFS(DATA_CLEANED!AH$3:AH$1060,AZ28,DATA_CLEANED!AF$3:AF$1060,AY28)</f>
        <v>2</v>
      </c>
      <c r="BC28" s="89" t="str">
        <f t="shared" si="0"/>
        <v>OK</v>
      </c>
      <c r="BE28" s="43" t="str">
        <f>IF(OR(DATA_CLEANED!AL19="",DATA_CLEANED!AM19=""),"MANQUANT",IF(OR(NOT(ISNUMBER(DATA_CLEANED!AL19)),NOT(ISNUMBER(DATA_CLEANED!AM19))),"ENTREE INVALIDE",IF(OR(DATA_CLEANED!AL19&lt;0,DATA_CLEANED!AM19&lt;0),"SCORE NEGATIF","OK")))</f>
        <v>OK</v>
      </c>
      <c r="BF28" s="43" t="str">
        <f>IF(DATA_CLEANED!AK19&lt;&gt;DATA_CLEANED!AN19,"OK","ERREUR")</f>
        <v>OK</v>
      </c>
      <c r="BG28" s="43" t="str">
        <f>IF(DATA_CLEANED!AL19&gt;DATA_CLEANED!AM19,DATA_CLEANED!AK19,IF(AND(DATA_QUALITE!W4505="-",DATA_CLEANED!AM19=DATA_CLEANED!AL19),"MATCH NUL",IF(AND(DATA_QUALITE!V4505="-",DATA_QUALITE!U4505="AUCUNE"),DATA_QUALITE!T4505,IF(DATA_QUALITE!V4505&lt;&gt;"-",DATA_QUALITE!V4505,DATA_CLEANED!AN19))))</f>
        <v>Uruguay</v>
      </c>
      <c r="BH28" s="103" t="str">
        <f>IF(AND(BG28="MATCH NUL",DATA_CLEANED!AO19="-"),"MATCH_NUL",IF(ISNUMBER(SEARCH("win on penalties",W4505)),"WIN_BY_PENALTY",IF(ISNUMBER(SEARCH("win after extra time",W4505)),"WIN_BY_EXTRA_TIME",IF(ISNUMBER(SEARCH("Golden Goal",W4505)),"WIN_BY_GOLDEN_GOAL","WIN_BY_SCORE"))))</f>
        <v>WIN_BY_SCORE</v>
      </c>
      <c r="BI28" s="99" t="str">
        <f>IF(OR(BG28=DATA_CLEANED!AK19,BG28=DATA_CLEANED!AN19,BG28="MATCH NUL"),"OK","ERREUR")</f>
        <v>OK</v>
      </c>
      <c r="BK28" s="40">
        <v>2002</v>
      </c>
      <c r="BL28" s="40">
        <v>64</v>
      </c>
      <c r="BM28" s="40">
        <v>64</v>
      </c>
      <c r="BN28" s="134" t="str">
        <f t="shared" si="3"/>
        <v>OK</v>
      </c>
    </row>
    <row r="29" spans="2:66" ht="21.75" thickBot="1">
      <c r="B29" s="240" t="s">
        <v>3595</v>
      </c>
      <c r="C29" s="240"/>
      <c r="D29" s="240"/>
      <c r="E29" s="240"/>
      <c r="F29" s="240"/>
      <c r="G29" s="240"/>
      <c r="H29" s="240"/>
      <c r="R29" s="23" t="s">
        <v>3606</v>
      </c>
      <c r="S29" s="13" t="str">
        <v>Paraguay</v>
      </c>
      <c r="T29" s="13" t="str">
        <f t="shared" si="2"/>
        <v>OK</v>
      </c>
      <c r="U29" s="13" t="str">
        <f t="shared" si="4"/>
        <v>-</v>
      </c>
      <c r="V29" s="13" t="str" cm="1">
        <f t="array" ref="V29">_xlfn.IFS(
ISNUMBER(SEARCH("USA",S29)),"United States",
ISNUMBER(SEARCH("Republic of Korea",S29)),"South Korea",
ISNUMBER(SEARCH("Cape Verde",S29)),"Cabo Verde",
ISNUMBER(SEARCH("Czechia",S29)),"Czech Republic",
ISNUMBER(SEARCH("Türkiye",S29)),"Turkey",
ISNUMBER(SEARCH("Ivory Coast",S29)),"Côte d'Ivoire",
ISNUMBER(SEARCH("Korea Republic",S29)),"South Korea",
ISNUMBER(SEARCH("Germany FR",S29)),"FR Germany",
ISNUMBER(SEARCH("Germany DR",S29)),"DR Germany",
ISNUMBER(SEARCH("Korea DPR",S29)),"North Korea",
ISNUMBER(SEARCH("China PR",S29)),"China",
ISNUMBER(SEARCH("IR Iran",S29)),"Iran",
ISNUMBER(SEARCH("Congo DR",S29)),"Democratic Republic of the Congo",
ISNUMBER(SEARCH("DR Congo",S29)),"Democratic Republic of the Congo",
ISNUMBER(SEARCH("German DR",S29)),"DR Germany",
ISNUMBER(SEARCH("rn""&gt;United Arab Emirates",S29)),"United Arab Emirates",
ISNUMBER(SEARCH("rn""&gt;Republic of Ireland",S29)),"Ireland",
ISNUMBER(SEARCH("rn""&gt;Bosnia and Herzegovina",S29)),"Bosnia and Herzegovina",
ISNUMBER(SEARCH("rn""&gt;Trinidad and Tobago",S29)),"Trinidad and Tobago",
ISNUMBER(SEARCH("rn""&gt;Serbia and Montenegro",S29)),"Serbia and Montenegro",
ISNUMBER(SEARCH("te d'Ivoire",S29)),"Côte d'Ivoire",
TRUE,""
)</f>
        <v/>
      </c>
      <c r="W29" s="34" t="str">
        <f t="shared" si="5"/>
        <v>Paraguay</v>
      </c>
      <c r="X29" s="95" t="str">
        <v>Costa Rica</v>
      </c>
      <c r="Z29" s="230" t="s">
        <v>3598</v>
      </c>
      <c r="AA29" s="230"/>
      <c r="AB29" s="230"/>
      <c r="AC29" s="230"/>
      <c r="AF29" s="13">
        <v>28.2</v>
      </c>
      <c r="AG29" s="7"/>
      <c r="AH29" s="7"/>
      <c r="AI29" s="7"/>
      <c r="AJ29" s="7"/>
      <c r="AK29" s="7"/>
      <c r="AL29" s="7"/>
      <c r="AM29" s="7"/>
      <c r="AN29" s="7"/>
      <c r="AS29" s="23" t="str">
        <v>group stage</v>
      </c>
      <c r="AT29" s="69" t="s">
        <v>3559</v>
      </c>
      <c r="AU29" s="69">
        <v>6</v>
      </c>
      <c r="AV29" s="37" t="str">
        <v>QUARTER_FINALS</v>
      </c>
      <c r="AW29" s="89" t="str">
        <v>FINAL</v>
      </c>
      <c r="AY29" s="42" cm="1">
        <f t="array" ref="AY29">INDEX(_xlfn.UNIQUE(DATA_CLEANED!AF20:'DATA_CLEANED'!AF1077),INT((ROWS(AY$12:AY29)-1)/3)+1)</f>
        <v>1958</v>
      </c>
      <c r="AZ29" s="42" t="s">
        <v>3561</v>
      </c>
      <c r="BA29" s="42" cm="1">
        <f t="array" ref="BA29">INDEX($BA$12:$BA$14,MOD(ROWS($BA$15:BA29)-1,3)+1)</f>
        <v>1</v>
      </c>
      <c r="BB29" s="42">
        <f>COUNTIFS(DATA_CLEANED!AH$3:AH$1060,AZ29,DATA_CLEANED!AF$3:AF$1060,AY29)</f>
        <v>1</v>
      </c>
      <c r="BC29" s="89" t="str">
        <f t="shared" si="0"/>
        <v>OK</v>
      </c>
      <c r="BE29" s="43" t="str">
        <f>IF(OR(DATA_CLEANED!AL20="",DATA_CLEANED!AM20=""),"MANQUANT",IF(OR(NOT(ISNUMBER(DATA_CLEANED!AL20)),NOT(ISNUMBER(DATA_CLEANED!AM20))),"ENTREE INVALIDE",IF(OR(DATA_CLEANED!AL20&lt;0,DATA_CLEANED!AM20&lt;0),"SCORE NEGATIF","OK")))</f>
        <v>OK</v>
      </c>
      <c r="BF29" s="43" t="str">
        <f>IF(DATA_CLEANED!AK20&lt;&gt;DATA_CLEANED!AN20,"OK","ERREUR")</f>
        <v>OK</v>
      </c>
      <c r="BG29" s="43" t="str">
        <f>IF(DATA_CLEANED!AL20&gt;DATA_CLEANED!AM20,DATA_CLEANED!AK20,IF(AND(DATA_QUALITE!W4506="-",DATA_CLEANED!AM20=DATA_CLEANED!AL20),"MATCH NUL",IF(AND(DATA_QUALITE!V4506="-",DATA_QUALITE!U4506="AUCUNE"),DATA_QUALITE!T4506,IF(DATA_QUALITE!V4506&lt;&gt;"-",DATA_QUALITE!V4506,DATA_CLEANED!AN20))))</f>
        <v>Uruguay</v>
      </c>
      <c r="BH29" s="103" t="str">
        <f>IF(AND(BG29="MATCH NUL",DATA_CLEANED!AO20="-"),"MATCH_NUL",IF(ISNUMBER(SEARCH("win on penalties",W4506)),"WIN_BY_PENALTY",IF(ISNUMBER(SEARCH("win after extra time",W4506)),"WIN_BY_EXTRA_TIME",IF(ISNUMBER(SEARCH("Golden Goal",W4506)),"WIN_BY_GOLDEN_GOAL","WIN_BY_SCORE"))))</f>
        <v>WIN_BY_SCORE</v>
      </c>
      <c r="BI29" s="99" t="str">
        <f>IF(OR(BG29=DATA_CLEANED!AK20,BG29=DATA_CLEANED!AN20,BG29="MATCH NUL"),"OK","ERREUR")</f>
        <v>OK</v>
      </c>
      <c r="BK29" s="40">
        <v>2006</v>
      </c>
      <c r="BL29" s="40">
        <v>64</v>
      </c>
      <c r="BM29" s="40">
        <v>64</v>
      </c>
      <c r="BN29" s="134" t="str">
        <f t="shared" si="3"/>
        <v>OK</v>
      </c>
    </row>
    <row r="30" spans="2:66" ht="21">
      <c r="B30" s="242" t="s">
        <v>3577</v>
      </c>
      <c r="C30" s="242"/>
      <c r="D30" s="242"/>
      <c r="E30" s="242"/>
      <c r="F30" s="242"/>
      <c r="G30" s="242"/>
      <c r="H30" s="242"/>
      <c r="R30" s="23" t="s">
        <v>3607</v>
      </c>
      <c r="S30" s="13" t="str">
        <v>Japan</v>
      </c>
      <c r="T30" s="13" t="str">
        <f t="shared" si="2"/>
        <v>OK</v>
      </c>
      <c r="U30" s="13" t="str">
        <f t="shared" si="4"/>
        <v>-</v>
      </c>
      <c r="V30" s="13" t="str" cm="1">
        <f t="array" ref="V30">_xlfn.IFS(
ISNUMBER(SEARCH("USA",S30)),"United States",
ISNUMBER(SEARCH("Republic of Korea",S30)),"South Korea",
ISNUMBER(SEARCH("Cape Verde",S30)),"Cabo Verde",
ISNUMBER(SEARCH("Czechia",S30)),"Czech Republic",
ISNUMBER(SEARCH("Türkiye",S30)),"Turkey",
ISNUMBER(SEARCH("Ivory Coast",S30)),"Côte d'Ivoire",
ISNUMBER(SEARCH("Korea Republic",S30)),"South Korea",
ISNUMBER(SEARCH("Germany FR",S30)),"FR Germany",
ISNUMBER(SEARCH("Germany DR",S30)),"DR Germany",
ISNUMBER(SEARCH("Korea DPR",S30)),"North Korea",
ISNUMBER(SEARCH("China PR",S30)),"China",
ISNUMBER(SEARCH("IR Iran",S30)),"Iran",
ISNUMBER(SEARCH("Congo DR",S30)),"Democratic Republic of the Congo",
ISNUMBER(SEARCH("DR Congo",S30)),"Democratic Republic of the Congo",
ISNUMBER(SEARCH("German DR",S30)),"DR Germany",
ISNUMBER(SEARCH("rn""&gt;United Arab Emirates",S30)),"United Arab Emirates",
ISNUMBER(SEARCH("rn""&gt;Republic of Ireland",S30)),"Ireland",
ISNUMBER(SEARCH("rn""&gt;Bosnia and Herzegovina",S30)),"Bosnia and Herzegovina",
ISNUMBER(SEARCH("rn""&gt;Trinidad and Tobago",S30)),"Trinidad and Tobago",
ISNUMBER(SEARCH("rn""&gt;Serbia and Montenegro",S30)),"Serbia and Montenegro",
ISNUMBER(SEARCH("te d'Ivoire",S30)),"Côte d'Ivoire",
TRUE,""
)</f>
        <v/>
      </c>
      <c r="W30" s="34" t="str">
        <f t="shared" si="5"/>
        <v>Japan</v>
      </c>
      <c r="X30" s="95" t="str">
        <v>Côte d'Ivoire</v>
      </c>
      <c r="Z30" s="45" t="s">
        <v>3800</v>
      </c>
      <c r="AA30" s="45" t="s">
        <v>3778</v>
      </c>
      <c r="AB30" s="45" t="s">
        <v>3801</v>
      </c>
      <c r="AC30" s="85" t="s">
        <v>3780</v>
      </c>
      <c r="AF30" s="13">
        <v>29.6</v>
      </c>
      <c r="AG30" s="7"/>
      <c r="AH30" s="7"/>
      <c r="AI30" s="7"/>
      <c r="AJ30" s="7"/>
      <c r="AK30" s="7"/>
      <c r="AL30" s="7"/>
      <c r="AM30" s="7"/>
      <c r="AN30" s="7"/>
      <c r="AS30" s="23" t="str">
        <v>Match for third place</v>
      </c>
      <c r="AT30" s="69" t="s">
        <v>3565</v>
      </c>
      <c r="AU30" s="69">
        <v>2</v>
      </c>
      <c r="AV30" s="37" t="str">
        <v>QUARTER_FINALS</v>
      </c>
      <c r="AW30" s="89" t="str">
        <v>GROUP_STAGE</v>
      </c>
      <c r="AY30" s="42" cm="1">
        <f t="array" ref="AY30">INDEX(_xlfn.UNIQUE(DATA_CLEANED!AF21:'DATA_CLEANED'!AF1078),INT((ROWS(AY$12:AY30)-1)/3)+1)</f>
        <v>1966</v>
      </c>
      <c r="AZ30" s="42" t="s">
        <v>3560</v>
      </c>
      <c r="BA30" s="42">
        <v>4</v>
      </c>
      <c r="BB30" s="42">
        <f>COUNTIFS(DATA_CLEANED!AH$3:AH$1060,AZ30,DATA_CLEANED!AF$3:AF$1060,AY30)</f>
        <v>4</v>
      </c>
      <c r="BC30" s="89" t="str">
        <f t="shared" si="0"/>
        <v>OK</v>
      </c>
      <c r="BE30" s="43" t="str">
        <f>IF(OR(DATA_CLEANED!AL21="",DATA_CLEANED!AM21=""),"MANQUANT",IF(OR(NOT(ISNUMBER(DATA_CLEANED!AL21)),NOT(ISNUMBER(DATA_CLEANED!AM21))),"ENTREE INVALIDE",IF(OR(DATA_CLEANED!AL21&lt;0,DATA_CLEANED!AM21&lt;0),"SCORE NEGATIF","OK")))</f>
        <v>OK</v>
      </c>
      <c r="BF30" s="43" t="str">
        <f>IF(DATA_CLEANED!AK21&lt;&gt;DATA_CLEANED!AN21,"OK","ERREUR")</f>
        <v>OK</v>
      </c>
      <c r="BG30" s="43" t="str">
        <f>IF(DATA_CLEANED!AL21&gt;DATA_CLEANED!AM21,DATA_CLEANED!AK21,IF(AND(DATA_QUALITE!W4507="-",DATA_CLEANED!AM21=DATA_CLEANED!AL21),"MATCH NUL",IF(AND(DATA_QUALITE!V4507="-",DATA_QUALITE!U4507="AUCUNE"),DATA_QUALITE!T4507,IF(DATA_QUALITE!V4507&lt;&gt;"-",DATA_QUALITE!V4507,DATA_CLEANED!AN21))))</f>
        <v>Austria</v>
      </c>
      <c r="BH30" s="103" t="str">
        <f>IF(AND(BG30="MATCH NUL",DATA_CLEANED!AO21="-"),"MATCH_NUL",IF(ISNUMBER(SEARCH("win on penalties",W4507)),"WIN_BY_PENALTY",IF(ISNUMBER(SEARCH("win after extra time",W4507)),"WIN_BY_EXTRA_TIME",IF(ISNUMBER(SEARCH("Golden Goal",W4507)),"WIN_BY_GOLDEN_GOAL","WIN_BY_SCORE"))))</f>
        <v>WIN_BY_EXTRA_TIME</v>
      </c>
      <c r="BI30" s="99" t="str">
        <f>IF(OR(BG30=DATA_CLEANED!AK21,BG30=DATA_CLEANED!AN21,BG30="MATCH NUL"),"OK","ERREUR")</f>
        <v>OK</v>
      </c>
      <c r="BK30" s="40">
        <v>2010</v>
      </c>
      <c r="BL30" s="40">
        <v>64</v>
      </c>
      <c r="BM30" s="40">
        <v>64</v>
      </c>
      <c r="BN30" s="134" t="str">
        <f t="shared" si="3"/>
        <v>OK</v>
      </c>
    </row>
    <row r="31" spans="2:66">
      <c r="B31" s="73" t="str" cm="1">
        <f t="array" ref="B31:F79">DATA_BRUT!A2:E50</f>
        <v>Country</v>
      </c>
      <c r="C31" s="13" t="str">
        <v>2026_Average_Age</v>
      </c>
      <c r="D31" s="13" t="str">
        <v>2026_Unique_Clubs_Represented</v>
      </c>
      <c r="E31" s="13" t="str">
        <v>Historical_Matches_Played</v>
      </c>
      <c r="F31" s="13" t="str">
        <v>Historical_Goals_Scored</v>
      </c>
      <c r="G31" s="13" t="s">
        <v>3793</v>
      </c>
      <c r="H31" s="13" t="s">
        <v>3794</v>
      </c>
      <c r="R31" s="23" t="s">
        <v>3608</v>
      </c>
      <c r="S31" s="13" t="str">
        <v>Morocco</v>
      </c>
      <c r="T31" s="13" t="str">
        <f t="shared" si="2"/>
        <v>OK</v>
      </c>
      <c r="U31" s="13" t="str">
        <f t="shared" si="4"/>
        <v>-</v>
      </c>
      <c r="V31" s="13" t="str" cm="1">
        <f t="array" ref="V31">_xlfn.IFS(
ISNUMBER(SEARCH("USA",S31)),"United States",
ISNUMBER(SEARCH("Republic of Korea",S31)),"South Korea",
ISNUMBER(SEARCH("Cape Verde",S31)),"Cabo Verde",
ISNUMBER(SEARCH("Czechia",S31)),"Czech Republic",
ISNUMBER(SEARCH("Türkiye",S31)),"Turkey",
ISNUMBER(SEARCH("Ivory Coast",S31)),"Côte d'Ivoire",
ISNUMBER(SEARCH("Korea Republic",S31)),"South Korea",
ISNUMBER(SEARCH("Germany FR",S31)),"FR Germany",
ISNUMBER(SEARCH("Germany DR",S31)),"DR Germany",
ISNUMBER(SEARCH("Korea DPR",S31)),"North Korea",
ISNUMBER(SEARCH("China PR",S31)),"China",
ISNUMBER(SEARCH("IR Iran",S31)),"Iran",
ISNUMBER(SEARCH("Congo DR",S31)),"Democratic Republic of the Congo",
ISNUMBER(SEARCH("DR Congo",S31)),"Democratic Republic of the Congo",
ISNUMBER(SEARCH("German DR",S31)),"DR Germany",
ISNUMBER(SEARCH("rn""&gt;United Arab Emirates",S31)),"United Arab Emirates",
ISNUMBER(SEARCH("rn""&gt;Republic of Ireland",S31)),"Ireland",
ISNUMBER(SEARCH("rn""&gt;Bosnia and Herzegovina",S31)),"Bosnia and Herzegovina",
ISNUMBER(SEARCH("rn""&gt;Trinidad and Tobago",S31)),"Trinidad and Tobago",
ISNUMBER(SEARCH("rn""&gt;Serbia and Montenegro",S31)),"Serbia and Montenegro",
ISNUMBER(SEARCH("te d'Ivoire",S31)),"Côte d'Ivoire",
TRUE,""
)</f>
        <v/>
      </c>
      <c r="W31" s="34" t="str">
        <f t="shared" si="5"/>
        <v>Morocco</v>
      </c>
      <c r="X31" s="95" t="str">
        <v>Croatia</v>
      </c>
      <c r="Z31" s="23" t="str" cm="1">
        <f t="array" ref="Z31:Z37">_xlfn.ANCHORARRAY(AB16)</f>
        <v>Stade V�lodrome</v>
      </c>
      <c r="AA31" s="41" t="s">
        <v>3771</v>
      </c>
      <c r="AB31" s="23" t="str" cm="1">
        <f t="array" ref="AB31:AB34">_xlfn.ANCHORARRAY(AB23)</f>
        <v xml:space="preserve">Malm� </v>
      </c>
      <c r="AC31" s="86" t="s">
        <v>3781</v>
      </c>
      <c r="AF31" s="13">
        <v>28.5</v>
      </c>
      <c r="AG31" s="7"/>
      <c r="AH31" s="7"/>
      <c r="AI31" s="7"/>
      <c r="AJ31" s="7"/>
      <c r="AK31" s="7"/>
      <c r="AL31" s="7"/>
      <c r="AM31" s="7"/>
      <c r="AN31" s="7"/>
      <c r="AS31" s="23" t="str">
        <v>Play-off for third place</v>
      </c>
      <c r="AT31" s="69" t="s">
        <v>3565</v>
      </c>
      <c r="AU31" s="69">
        <v>2</v>
      </c>
      <c r="AV31" s="37" t="str">
        <v>QUARTER_FINALS</v>
      </c>
      <c r="AW31" s="89" t="str">
        <v>GROUP_STAGE</v>
      </c>
      <c r="AY31" s="42" cm="1">
        <f t="array" ref="AY31">INDEX(_xlfn.UNIQUE(DATA_CLEANED!AF22:'DATA_CLEANED'!AF1079),INT((ROWS(AY$12:AY31)-1)/3)+1)</f>
        <v>1966</v>
      </c>
      <c r="AZ31" s="42" t="s">
        <v>3562</v>
      </c>
      <c r="BA31" s="42" cm="1">
        <f t="array" ref="BA31">INDEX($BA$12:$BA$14,MOD(ROWS($BA$15:BA31)-1,3)+1)</f>
        <v>2</v>
      </c>
      <c r="BB31" s="42">
        <f>COUNTIFS(DATA_CLEANED!AH$3:AH$1060,AZ31,DATA_CLEANED!AF$3:AF$1060,AY31)</f>
        <v>2</v>
      </c>
      <c r="BC31" s="89" t="str">
        <f t="shared" si="0"/>
        <v>OK</v>
      </c>
      <c r="BE31" s="43" t="str">
        <f>IF(OR(DATA_CLEANED!AL22="",DATA_CLEANED!AM22=""),"MANQUANT",IF(OR(NOT(ISNUMBER(DATA_CLEANED!AL22)),NOT(ISNUMBER(DATA_CLEANED!AM22))),"ENTREE INVALIDE",IF(OR(DATA_CLEANED!AL22&lt;0,DATA_CLEANED!AM22&lt;0),"SCORE NEGATIF","OK")))</f>
        <v>OK</v>
      </c>
      <c r="BF31" s="43" t="str">
        <f>IF(DATA_CLEANED!AK22&lt;&gt;DATA_CLEANED!AN22,"OK","ERREUR")</f>
        <v>OK</v>
      </c>
      <c r="BG31" s="43" t="str">
        <f>IF(DATA_CLEANED!AL22&gt;DATA_CLEANED!AM22,DATA_CLEANED!AK22,IF(AND(DATA_QUALITE!W4508="-",DATA_CLEANED!AM22=DATA_CLEANED!AL22),"MATCH NUL",IF(AND(DATA_QUALITE!V4508="-",DATA_QUALITE!U4508="AUCUNE"),DATA_QUALITE!T4508,IF(DATA_QUALITE!V4508&lt;&gt;"-",DATA_QUALITE!V4508,DATA_CLEANED!AN22))))</f>
        <v>Hungary</v>
      </c>
      <c r="BH31" s="103" t="str">
        <f>IF(AND(BG31="MATCH NUL",DATA_CLEANED!AO22="-"),"MATCH_NUL",IF(ISNUMBER(SEARCH("win on penalties",W4508)),"WIN_BY_PENALTY",IF(ISNUMBER(SEARCH("win after extra time",W4508)),"WIN_BY_EXTRA_TIME",IF(ISNUMBER(SEARCH("Golden Goal",W4508)),"WIN_BY_GOLDEN_GOAL","WIN_BY_SCORE"))))</f>
        <v>WIN_BY_SCORE</v>
      </c>
      <c r="BI31" s="99" t="str">
        <f>IF(OR(BG31=DATA_CLEANED!AK22,BG31=DATA_CLEANED!AN22,BG31="MATCH NUL"),"OK","ERREUR")</f>
        <v>OK</v>
      </c>
      <c r="BK31" s="40">
        <v>2014</v>
      </c>
      <c r="BL31" s="40">
        <v>64</v>
      </c>
      <c r="BM31" s="40">
        <v>64</v>
      </c>
      <c r="BN31" s="134" t="str">
        <f t="shared" si="3"/>
        <v>OK</v>
      </c>
    </row>
    <row r="32" spans="2:66">
      <c r="B32" s="73" t="str">
        <v>Brazil</v>
      </c>
      <c r="C32" s="13" t="str">
        <v>28.8</v>
      </c>
      <c r="D32" s="13">
        <v>20</v>
      </c>
      <c r="E32" s="13">
        <v>123</v>
      </c>
      <c r="F32" s="13">
        <v>251</v>
      </c>
      <c r="G32" s="13" t="str">
        <f t="shared" ref="G32:G79" si="6">B32&amp;"|"&amp;C32&amp;"|"&amp;D32&amp;"|"&amp;E32&amp;"|"&amp;F32</f>
        <v>Brazil|28.8|20|123|251</v>
      </c>
      <c r="H32" s="13" t="str">
        <f>IF(COUNTIF($G$32:G32,G32)&gt;1,"DOUBLON","OK")</f>
        <v>OK</v>
      </c>
      <c r="R32" s="23" t="s">
        <v>33</v>
      </c>
      <c r="S32" s="13" t="str">
        <v>Scotland</v>
      </c>
      <c r="T32" s="13" t="str">
        <f t="shared" si="2"/>
        <v>ERREUR</v>
      </c>
      <c r="U32" s="13" t="str">
        <f t="shared" si="4"/>
        <v>AUCUNE</v>
      </c>
      <c r="V32" s="13" t="str" cm="1">
        <f t="array" ref="V32">_xlfn.IFS(
ISNUMBER(SEARCH("USA",S32)),"United States",
ISNUMBER(SEARCH("Republic of Korea",S32)),"South Korea",
ISNUMBER(SEARCH("Cape Verde",S32)),"Cabo Verde",
ISNUMBER(SEARCH("Czechia",S32)),"Czech Republic",
ISNUMBER(SEARCH("Türkiye",S32)),"Turkey",
ISNUMBER(SEARCH("Ivory Coast",S32)),"Côte d'Ivoire",
ISNUMBER(SEARCH("Korea Republic",S32)),"South Korea",
ISNUMBER(SEARCH("Germany FR",S32)),"FR Germany",
ISNUMBER(SEARCH("Germany DR",S32)),"DR Germany",
ISNUMBER(SEARCH("Korea DPR",S32)),"North Korea",
ISNUMBER(SEARCH("China PR",S32)),"China",
ISNUMBER(SEARCH("IR Iran",S32)),"Iran",
ISNUMBER(SEARCH("Congo DR",S32)),"Democratic Republic of the Congo",
ISNUMBER(SEARCH("DR Congo",S32)),"Democratic Republic of the Congo",
ISNUMBER(SEARCH("German DR",S32)),"DR Germany",
ISNUMBER(SEARCH("rn""&gt;United Arab Emirates",S32)),"United Arab Emirates",
ISNUMBER(SEARCH("rn""&gt;Republic of Ireland",S32)),"Ireland",
ISNUMBER(SEARCH("rn""&gt;Bosnia and Herzegovina",S32)),"Bosnia and Herzegovina",
ISNUMBER(SEARCH("rn""&gt;Trinidad and Tobago",S32)),"Trinidad and Tobago",
ISNUMBER(SEARCH("rn""&gt;Serbia and Montenegro",S32)),"Serbia and Montenegro",
ISNUMBER(SEARCH("te d'Ivoire",S32)),"Côte d'Ivoire",
TRUE,""
)</f>
        <v/>
      </c>
      <c r="W32" s="34" t="str">
        <f t="shared" si="5"/>
        <v>Scotland</v>
      </c>
      <c r="X32" s="95" t="str">
        <v>Cuba</v>
      </c>
      <c r="Z32" s="23" t="str">
        <v>Maracan� - Est�dio Jornalista M�rio Filho</v>
      </c>
      <c r="AA32" s="41" t="s">
        <v>3772</v>
      </c>
      <c r="AB32" s="23" t="str">
        <v xml:space="preserve">Norrk�Ping </v>
      </c>
      <c r="AC32" s="86" t="s">
        <v>3782</v>
      </c>
      <c r="AF32" s="13">
        <v>26.9</v>
      </c>
      <c r="AG32" s="7"/>
      <c r="AH32" s="7"/>
      <c r="AI32" s="7"/>
      <c r="AJ32" s="7"/>
      <c r="AK32" s="7"/>
      <c r="AL32" s="7"/>
      <c r="AM32" s="7"/>
      <c r="AN32" s="7"/>
      <c r="AS32" s="23" t="str">
        <v>Preliminary round</v>
      </c>
      <c r="AT32" s="69" t="s">
        <v>3559</v>
      </c>
      <c r="AU32" s="69">
        <v>6</v>
      </c>
      <c r="AV32" s="37" t="str">
        <v>QUARTER_FINALS</v>
      </c>
      <c r="AW32" s="89" t="str">
        <v>GROUP_STAGE</v>
      </c>
      <c r="AY32" s="42" cm="1">
        <f t="array" ref="AY32">INDEX(_xlfn.UNIQUE(DATA_CLEANED!AF23:'DATA_CLEANED'!AF1080),INT((ROWS(AY$12:AY32)-1)/3)+1)</f>
        <v>1966</v>
      </c>
      <c r="AZ32" s="42" t="s">
        <v>3561</v>
      </c>
      <c r="BA32" s="42" cm="1">
        <f t="array" ref="BA32">INDEX($BA$12:$BA$14,MOD(ROWS($BA$15:BA32)-1,3)+1)</f>
        <v>1</v>
      </c>
      <c r="BB32" s="42">
        <f>COUNTIFS(DATA_CLEANED!AH$3:AH$1060,AZ32,DATA_CLEANED!AF$3:AF$1060,AY32)</f>
        <v>1</v>
      </c>
      <c r="BC32" s="89" t="str">
        <f t="shared" si="0"/>
        <v>OK</v>
      </c>
      <c r="BE32" s="43" t="str">
        <f>IF(OR(DATA_CLEANED!AL23="",DATA_CLEANED!AM23=""),"MANQUANT",IF(OR(NOT(ISNUMBER(DATA_CLEANED!AL23)),NOT(ISNUMBER(DATA_CLEANED!AM23))),"ENTREE INVALIDE",IF(OR(DATA_CLEANED!AL23&lt;0,DATA_CLEANED!AM23&lt;0),"SCORE NEGATIF","OK")))</f>
        <v>OK</v>
      </c>
      <c r="BF32" s="43" t="str">
        <f>IF(DATA_CLEANED!AK23&lt;&gt;DATA_CLEANED!AN23,"OK","ERREUR")</f>
        <v>OK</v>
      </c>
      <c r="BG32" s="43" t="str">
        <f>IF(DATA_CLEANED!AL23&gt;DATA_CLEANED!AM23,DATA_CLEANED!AK23,IF(AND(DATA_QUALITE!W4509="-",DATA_CLEANED!AM23=DATA_CLEANED!AL23),"MATCH NUL",IF(AND(DATA_QUALITE!V4509="-",DATA_QUALITE!U4509="AUCUNE"),DATA_QUALITE!T4509,IF(DATA_QUALITE!V4509&lt;&gt;"-",DATA_QUALITE!V4509,DATA_CLEANED!AN23))))</f>
        <v>Switzerland</v>
      </c>
      <c r="BH32" s="103" t="str">
        <f>IF(AND(BG32="MATCH NUL",DATA_CLEANED!AO23="-"),"MATCH_NUL",IF(ISNUMBER(SEARCH("win on penalties",W4509)),"WIN_BY_PENALTY",IF(ISNUMBER(SEARCH("win after extra time",W4509)),"WIN_BY_EXTRA_TIME",IF(ISNUMBER(SEARCH("Golden Goal",W4509)),"WIN_BY_GOLDEN_GOAL","WIN_BY_SCORE"))))</f>
        <v>WIN_BY_SCORE</v>
      </c>
      <c r="BI32" s="99" t="str">
        <f>IF(OR(BG32=DATA_CLEANED!AK23,BG32=DATA_CLEANED!AN23,BG32="MATCH NUL"),"OK","ERREUR")</f>
        <v>OK</v>
      </c>
      <c r="BK32" s="40">
        <v>2018</v>
      </c>
      <c r="BL32" s="40">
        <v>64</v>
      </c>
      <c r="BM32" s="40">
        <v>64</v>
      </c>
      <c r="BN32" s="134" t="str">
        <f t="shared" si="3"/>
        <v>OK</v>
      </c>
    </row>
    <row r="33" spans="2:66">
      <c r="B33" s="73" t="str">
        <v>Argentina</v>
      </c>
      <c r="C33" s="13" t="str">
        <v>28.7</v>
      </c>
      <c r="D33" s="13">
        <v>19</v>
      </c>
      <c r="E33" s="13">
        <v>98</v>
      </c>
      <c r="F33" s="13">
        <v>168</v>
      </c>
      <c r="G33" s="13" t="str">
        <f t="shared" si="6"/>
        <v>Argentina|28.7|19|98|168</v>
      </c>
      <c r="H33" s="13" t="str">
        <f>IF(COUNTIF($G$32:G33,G33)&gt;1,"DOUBLON","OK")</f>
        <v>OK</v>
      </c>
      <c r="R33" s="23" t="s">
        <v>3609</v>
      </c>
      <c r="S33" s="13" t="str">
        <v>Senegal</v>
      </c>
      <c r="T33" s="13" t="str">
        <f t="shared" si="2"/>
        <v>OK</v>
      </c>
      <c r="U33" s="13" t="str">
        <f t="shared" si="4"/>
        <v>-</v>
      </c>
      <c r="V33" s="13" t="str" cm="1">
        <f t="array" ref="V33">_xlfn.IFS(
ISNUMBER(SEARCH("USA",S33)),"United States",
ISNUMBER(SEARCH("Republic of Korea",S33)),"South Korea",
ISNUMBER(SEARCH("Cape Verde",S33)),"Cabo Verde",
ISNUMBER(SEARCH("Czechia",S33)),"Czech Republic",
ISNUMBER(SEARCH("Türkiye",S33)),"Turkey",
ISNUMBER(SEARCH("Ivory Coast",S33)),"Côte d'Ivoire",
ISNUMBER(SEARCH("Korea Republic",S33)),"South Korea",
ISNUMBER(SEARCH("Germany FR",S33)),"FR Germany",
ISNUMBER(SEARCH("Germany DR",S33)),"DR Germany",
ISNUMBER(SEARCH("Korea DPR",S33)),"North Korea",
ISNUMBER(SEARCH("China PR",S33)),"China",
ISNUMBER(SEARCH("IR Iran",S33)),"Iran",
ISNUMBER(SEARCH("Congo DR",S33)),"Democratic Republic of the Congo",
ISNUMBER(SEARCH("DR Congo",S33)),"Democratic Republic of the Congo",
ISNUMBER(SEARCH("German DR",S33)),"DR Germany",
ISNUMBER(SEARCH("rn""&gt;United Arab Emirates",S33)),"United Arab Emirates",
ISNUMBER(SEARCH("rn""&gt;Republic of Ireland",S33)),"Ireland",
ISNUMBER(SEARCH("rn""&gt;Bosnia and Herzegovina",S33)),"Bosnia and Herzegovina",
ISNUMBER(SEARCH("rn""&gt;Trinidad and Tobago",S33)),"Trinidad and Tobago",
ISNUMBER(SEARCH("rn""&gt;Serbia and Montenegro",S33)),"Serbia and Montenegro",
ISNUMBER(SEARCH("te d'Ivoire",S33)),"Côte d'Ivoire",
TRUE,""
)</f>
        <v/>
      </c>
      <c r="W33" s="34" t="str">
        <f t="shared" si="5"/>
        <v>Senegal</v>
      </c>
      <c r="X33" s="95" t="str">
        <v>Curaçao</v>
      </c>
      <c r="Z33" s="23" t="str">
        <v>Nou Camp - Estadio Le�n</v>
      </c>
      <c r="AA33" s="41" t="s">
        <v>3773</v>
      </c>
      <c r="AB33" s="23" t="str">
        <v xml:space="preserve">D�Sseldorf </v>
      </c>
      <c r="AC33" s="86" t="s">
        <v>3783</v>
      </c>
      <c r="AF33" s="13">
        <v>26.1</v>
      </c>
      <c r="AG33" s="7"/>
      <c r="AH33" s="7"/>
      <c r="AI33" s="7"/>
      <c r="AJ33" s="7"/>
      <c r="AK33" s="7"/>
      <c r="AL33" s="7"/>
      <c r="AM33" s="7"/>
      <c r="AN33" s="7"/>
      <c r="AS33" s="23" t="str">
        <v>Quarter-finals</v>
      </c>
      <c r="AT33" s="69" t="s">
        <v>3560</v>
      </c>
      <c r="AU33" s="69">
        <v>3</v>
      </c>
      <c r="AV33" s="37" t="str">
        <v>QUARTER_FINALS</v>
      </c>
      <c r="AW33" s="89" t="str">
        <v>GROUP_STAGE</v>
      </c>
      <c r="AY33" s="42" cm="1">
        <f t="array" ref="AY33">INDEX(_xlfn.UNIQUE(DATA_CLEANED!AF24:'DATA_CLEANED'!AF1081),INT((ROWS(AY$12:AY33)-1)/3)+1)</f>
        <v>1970</v>
      </c>
      <c r="AZ33" s="42" t="s">
        <v>3560</v>
      </c>
      <c r="BA33" s="42">
        <v>4</v>
      </c>
      <c r="BB33" s="42">
        <f>COUNTIFS(DATA_CLEANED!AH$3:AH$1060,AZ33,DATA_CLEANED!AF$3:AF$1060,AY33)</f>
        <v>4</v>
      </c>
      <c r="BC33" s="89" t="str">
        <f t="shared" si="0"/>
        <v>OK</v>
      </c>
      <c r="BE33" s="43" t="str">
        <f>IF(OR(DATA_CLEANED!AL24="",DATA_CLEANED!AM24=""),"MANQUANT",IF(OR(NOT(ISNUMBER(DATA_CLEANED!AL24)),NOT(ISNUMBER(DATA_CLEANED!AM24))),"ENTREE INVALIDE",IF(OR(DATA_CLEANED!AL24&lt;0,DATA_CLEANED!AM24&lt;0),"SCORE NEGATIF","OK")))</f>
        <v>OK</v>
      </c>
      <c r="BF33" s="43" t="str">
        <f>IF(DATA_CLEANED!AK24&lt;&gt;DATA_CLEANED!AN24,"OK","ERREUR")</f>
        <v>OK</v>
      </c>
      <c r="BG33" s="43" t="str">
        <f>IF(DATA_CLEANED!AL24&gt;DATA_CLEANED!AM24,DATA_CLEANED!AK24,IF(AND(DATA_QUALITE!W4510="-",DATA_CLEANED!AM24=DATA_CLEANED!AL24),"MATCH NUL",IF(AND(DATA_QUALITE!V4510="-",DATA_QUALITE!U4510="AUCUNE"),DATA_QUALITE!T4510,IF(DATA_QUALITE!V4510&lt;&gt;"-",DATA_QUALITE!V4510,DATA_CLEANED!AN24))))</f>
        <v>Sweden</v>
      </c>
      <c r="BH33" s="103" t="str">
        <f>IF(AND(BG33="MATCH NUL",DATA_CLEANED!AO24="-"),"MATCH_NUL",IF(ISNUMBER(SEARCH("win on penalties",W4510)),"WIN_BY_PENALTY",IF(ISNUMBER(SEARCH("win after extra time",W4510)),"WIN_BY_EXTRA_TIME",IF(ISNUMBER(SEARCH("Golden Goal",W4510)),"WIN_BY_GOLDEN_GOAL","WIN_BY_SCORE"))))</f>
        <v>WIN_BY_SCORE</v>
      </c>
      <c r="BI33" s="99" t="str">
        <f>IF(OR(BG33=DATA_CLEANED!AK24,BG33=DATA_CLEANED!AN24,BG33="MATCH NUL"),"OK","ERREUR")</f>
        <v>OK</v>
      </c>
      <c r="BK33" s="40">
        <v>2022</v>
      </c>
      <c r="BL33" s="40">
        <v>64</v>
      </c>
      <c r="BM33" s="40">
        <v>64</v>
      </c>
      <c r="BN33" s="134" t="str">
        <f t="shared" si="3"/>
        <v>OK</v>
      </c>
    </row>
    <row r="34" spans="2:66">
      <c r="B34" s="73" t="str">
        <v>France</v>
      </c>
      <c r="C34" s="13" t="str">
        <v>26.6</v>
      </c>
      <c r="D34" s="13">
        <v>18</v>
      </c>
      <c r="E34" s="13">
        <v>82</v>
      </c>
      <c r="F34" s="13">
        <v>155</v>
      </c>
      <c r="G34" s="13" t="str">
        <f t="shared" si="6"/>
        <v>France|26.6|18|82|155</v>
      </c>
      <c r="H34" s="13" t="str">
        <f>IF(COUNTIF($G$32:G34,G34)&gt;1,"DOUBLON","OK")</f>
        <v>OK</v>
      </c>
      <c r="R34" s="23" t="s">
        <v>3610</v>
      </c>
      <c r="S34" s="13" t="str">
        <v>Turkey</v>
      </c>
      <c r="T34" s="13" t="str">
        <f t="shared" si="2"/>
        <v>OK</v>
      </c>
      <c r="U34" s="13" t="str">
        <f t="shared" si="4"/>
        <v>-</v>
      </c>
      <c r="V34" s="13" t="str" cm="1">
        <f t="array" ref="V34">_xlfn.IFS(
ISNUMBER(SEARCH("USA",S34)),"United States",
ISNUMBER(SEARCH("Republic of Korea",S34)),"South Korea",
ISNUMBER(SEARCH("Cape Verde",S34)),"Cabo Verde",
ISNUMBER(SEARCH("Czechia",S34)),"Czech Republic",
ISNUMBER(SEARCH("Türkiye",S34)),"Turkey",
ISNUMBER(SEARCH("Ivory Coast",S34)),"Côte d'Ivoire",
ISNUMBER(SEARCH("Korea Republic",S34)),"South Korea",
ISNUMBER(SEARCH("Germany FR",S34)),"FR Germany",
ISNUMBER(SEARCH("Germany DR",S34)),"DR Germany",
ISNUMBER(SEARCH("Korea DPR",S34)),"North Korea",
ISNUMBER(SEARCH("China PR",S34)),"China",
ISNUMBER(SEARCH("IR Iran",S34)),"Iran",
ISNUMBER(SEARCH("Congo DR",S34)),"Democratic Republic of the Congo",
ISNUMBER(SEARCH("DR Congo",S34)),"Democratic Republic of the Congo",
ISNUMBER(SEARCH("German DR",S34)),"DR Germany",
ISNUMBER(SEARCH("rn""&gt;United Arab Emirates",S34)),"United Arab Emirates",
ISNUMBER(SEARCH("rn""&gt;Republic of Ireland",S34)),"Ireland",
ISNUMBER(SEARCH("rn""&gt;Bosnia and Herzegovina",S34)),"Bosnia and Herzegovina",
ISNUMBER(SEARCH("rn""&gt;Trinidad and Tobago",S34)),"Trinidad and Tobago",
ISNUMBER(SEARCH("rn""&gt;Serbia and Montenegro",S34)),"Serbia and Montenegro",
ISNUMBER(SEARCH("te d'Ivoire",S34)),"Côte d'Ivoire",
TRUE,""
)</f>
        <v/>
      </c>
      <c r="W34" s="34" t="str">
        <f t="shared" si="5"/>
        <v>Turkey</v>
      </c>
      <c r="X34" s="95" t="str">
        <v>Czech Republic</v>
      </c>
      <c r="Z34" s="23" t="str">
        <v>Estadio Jos� Mar�a Minella</v>
      </c>
      <c r="AA34" s="41" t="s">
        <v>3774</v>
      </c>
      <c r="AB34" s="23" t="str">
        <v xml:space="preserve">La Coru�A </v>
      </c>
      <c r="AC34" s="86" t="s">
        <v>3784</v>
      </c>
      <c r="AF34" s="13">
        <v>28.7</v>
      </c>
      <c r="AG34" s="7"/>
      <c r="AH34" s="7"/>
      <c r="AI34" s="7"/>
      <c r="AJ34" s="7"/>
      <c r="AK34" s="7"/>
      <c r="AL34" s="7"/>
      <c r="AM34" s="7"/>
      <c r="AN34" s="7"/>
      <c r="AS34" s="23" t="str">
        <v>Round of 16</v>
      </c>
      <c r="AT34" s="69" t="s">
        <v>3563</v>
      </c>
      <c r="AU34" s="69">
        <v>4</v>
      </c>
      <c r="AV34" s="37" t="str">
        <v>QUARTER_FINALS</v>
      </c>
      <c r="AW34" s="89" t="str">
        <v>GROUP_STAGE</v>
      </c>
      <c r="AY34" s="42" cm="1">
        <f t="array" ref="AY34">INDEX(_xlfn.UNIQUE(DATA_CLEANED!AF25:'DATA_CLEANED'!AF1082),INT((ROWS(AY$12:AY34)-1)/3)+1)</f>
        <v>1970</v>
      </c>
      <c r="AZ34" s="42" t="s">
        <v>3562</v>
      </c>
      <c r="BA34" s="42" cm="1">
        <f t="array" ref="BA34">INDEX($BA$12:$BA$14,MOD(ROWS($BA$15:BA34)-1,3)+1)</f>
        <v>2</v>
      </c>
      <c r="BB34" s="42">
        <f>COUNTIFS(DATA_CLEANED!AH$3:AH$1060,AZ34,DATA_CLEANED!AF$3:AF$1060,AY34)</f>
        <v>2</v>
      </c>
      <c r="BC34" s="89" t="str">
        <f t="shared" si="0"/>
        <v>OK</v>
      </c>
      <c r="BE34" s="43" t="str">
        <f>IF(OR(DATA_CLEANED!AL25="",DATA_CLEANED!AM25=""),"MANQUANT",IF(OR(NOT(ISNUMBER(DATA_CLEANED!AL25)),NOT(ISNUMBER(DATA_CLEANED!AM25))),"ENTREE INVALIDE",IF(OR(DATA_CLEANED!AL25&lt;0,DATA_CLEANED!AM25&lt;0),"SCORE NEGATIF","OK")))</f>
        <v>OK</v>
      </c>
      <c r="BF34" s="43" t="str">
        <f>IF(DATA_CLEANED!AK25&lt;&gt;DATA_CLEANED!AN25,"OK","ERREUR")</f>
        <v>OK</v>
      </c>
      <c r="BG34" s="43" t="str">
        <f>IF(DATA_CLEANED!AL25&gt;DATA_CLEANED!AM25,DATA_CLEANED!AK25,IF(AND(DATA_QUALITE!W4511="-",DATA_CLEANED!AM25=DATA_CLEANED!AL25),"MATCH NUL",IF(AND(DATA_QUALITE!V4511="-",DATA_QUALITE!U4511="AUCUNE"),DATA_QUALITE!T4511,IF(DATA_QUALITE!V4511&lt;&gt;"-",DATA_QUALITE!V4511,DATA_CLEANED!AN25))))</f>
        <v>Germany</v>
      </c>
      <c r="BH34" s="103" t="str">
        <f>IF(AND(BG34="MATCH NUL",DATA_CLEANED!AO25="-"),"MATCH_NUL",IF(ISNUMBER(SEARCH("win on penalties",W4511)),"WIN_BY_PENALTY",IF(ISNUMBER(SEARCH("win after extra time",W4511)),"WIN_BY_EXTRA_TIME",IF(ISNUMBER(SEARCH("Golden Goal",W4511)),"WIN_BY_GOLDEN_GOAL","WIN_BY_SCORE"))))</f>
        <v>WIN_BY_SCORE</v>
      </c>
      <c r="BI34" s="99" t="str">
        <f>IF(OR(BG34=DATA_CLEANED!AK25,BG34=DATA_CLEANED!AN25,BG34="MATCH NUL"),"OK","ERREUR")</f>
        <v>OK</v>
      </c>
      <c r="BK34" s="40">
        <v>2026</v>
      </c>
      <c r="BL34" s="40">
        <v>104</v>
      </c>
      <c r="BM34" s="40">
        <v>94</v>
      </c>
      <c r="BN34" s="134" t="str">
        <f>IF(BL34=BM34,"OK",BL34-BM34&amp;" matchs manquants")</f>
        <v>10 matchs manquants</v>
      </c>
    </row>
    <row r="35" spans="2:66">
      <c r="B35" s="73" t="str">
        <v>England</v>
      </c>
      <c r="C35" s="13" t="str">
        <v>26.7</v>
      </c>
      <c r="D35" s="13">
        <v>16</v>
      </c>
      <c r="E35" s="13">
        <v>81</v>
      </c>
      <c r="F35" s="13">
        <v>124</v>
      </c>
      <c r="G35" s="13" t="str">
        <f t="shared" si="6"/>
        <v>England|26.7|16|81|124</v>
      </c>
      <c r="H35" s="13" t="str">
        <f>IF(COUNTIF($G$32:G35,G35)&gt;1,"DOUBLON","OK")</f>
        <v>OK</v>
      </c>
      <c r="R35" s="23" t="s">
        <v>3721</v>
      </c>
      <c r="S35" s="13" t="str">
        <v>Australia</v>
      </c>
      <c r="T35" s="13" t="str">
        <f t="shared" si="2"/>
        <v>OK</v>
      </c>
      <c r="U35" s="13" t="str">
        <f t="shared" si="4"/>
        <v>-</v>
      </c>
      <c r="V35" s="13" t="str" cm="1">
        <f t="array" ref="V35">_xlfn.IFS(
ISNUMBER(SEARCH("USA",S35)),"United States",
ISNUMBER(SEARCH("Republic of Korea",S35)),"South Korea",
ISNUMBER(SEARCH("Cape Verde",S35)),"Cabo Verde",
ISNUMBER(SEARCH("Czechia",S35)),"Czech Republic",
ISNUMBER(SEARCH("Türkiye",S35)),"Turkey",
ISNUMBER(SEARCH("Ivory Coast",S35)),"Côte d'Ivoire",
ISNUMBER(SEARCH("Korea Republic",S35)),"South Korea",
ISNUMBER(SEARCH("Germany FR",S35)),"FR Germany",
ISNUMBER(SEARCH("Germany DR",S35)),"DR Germany",
ISNUMBER(SEARCH("Korea DPR",S35)),"North Korea",
ISNUMBER(SEARCH("China PR",S35)),"China",
ISNUMBER(SEARCH("IR Iran",S35)),"Iran",
ISNUMBER(SEARCH("Congo DR",S35)),"Democratic Republic of the Congo",
ISNUMBER(SEARCH("DR Congo",S35)),"Democratic Republic of the Congo",
ISNUMBER(SEARCH("German DR",S35)),"DR Germany",
ISNUMBER(SEARCH("rn""&gt;United Arab Emirates",S35)),"United Arab Emirates",
ISNUMBER(SEARCH("rn""&gt;Republic of Ireland",S35)),"Ireland",
ISNUMBER(SEARCH("rn""&gt;Bosnia and Herzegovina",S35)),"Bosnia and Herzegovina",
ISNUMBER(SEARCH("rn""&gt;Trinidad and Tobago",S35)),"Trinidad and Tobago",
ISNUMBER(SEARCH("rn""&gt;Serbia and Montenegro",S35)),"Serbia and Montenegro",
ISNUMBER(SEARCH("te d'Ivoire",S35)),"Côte d'Ivoire",
TRUE,""
)</f>
        <v/>
      </c>
      <c r="W35" s="34" t="str">
        <f t="shared" si="5"/>
        <v>Australia</v>
      </c>
      <c r="X35" s="95" t="str">
        <v>Czechoslovakia</v>
      </c>
      <c r="Z35" s="23" t="str">
        <v>Estadio Ol�mpico Chateau Carreras</v>
      </c>
      <c r="AA35" s="41" t="s">
        <v>3775</v>
      </c>
      <c r="AC35" s="84"/>
      <c r="AF35" s="13">
        <v>26.6</v>
      </c>
      <c r="AG35" s="7"/>
      <c r="AH35" s="7"/>
      <c r="AI35" s="7"/>
      <c r="AJ35" s="7"/>
      <c r="AK35" s="7"/>
      <c r="AL35" s="7"/>
      <c r="AM35" s="7"/>
      <c r="AN35" s="7"/>
      <c r="AS35" s="23" t="str">
        <v>Round of 32</v>
      </c>
      <c r="AT35" s="69" t="s">
        <v>3564</v>
      </c>
      <c r="AU35" s="69">
        <v>5</v>
      </c>
      <c r="AV35" s="37" t="str">
        <v>QUARTER_FINALS</v>
      </c>
      <c r="AW35" s="89" t="str">
        <v>GROUP_STAGE</v>
      </c>
      <c r="AY35" s="42" cm="1">
        <f t="array" ref="AY35">INDEX(_xlfn.UNIQUE(DATA_CLEANED!AF26:'DATA_CLEANED'!AF1083),INT((ROWS(AY$12:AY35)-1)/3)+1)</f>
        <v>1970</v>
      </c>
      <c r="AZ35" s="42" t="s">
        <v>3561</v>
      </c>
      <c r="BA35" s="42" cm="1">
        <f t="array" ref="BA35">INDEX($BA$12:$BA$14,MOD(ROWS($BA$15:BA35)-1,3)+1)</f>
        <v>1</v>
      </c>
      <c r="BB35" s="42">
        <f>COUNTIFS(DATA_CLEANED!AH$3:AH$1060,AZ35,DATA_CLEANED!AF$3:AF$1060,AY35)</f>
        <v>1</v>
      </c>
      <c r="BC35" s="89" t="str">
        <f t="shared" si="0"/>
        <v>OK</v>
      </c>
      <c r="BE35" s="43" t="str">
        <f>IF(OR(DATA_CLEANED!AL26="",DATA_CLEANED!AM26=""),"MANQUANT",IF(OR(NOT(ISNUMBER(DATA_CLEANED!AL26)),NOT(ISNUMBER(DATA_CLEANED!AM26))),"ENTREE INVALIDE",IF(OR(DATA_CLEANED!AL26&lt;0,DATA_CLEANED!AM26&lt;0),"SCORE NEGATIF","OK")))</f>
        <v>OK</v>
      </c>
      <c r="BF35" s="43" t="str">
        <f>IF(DATA_CLEANED!AK26&lt;&gt;DATA_CLEANED!AN26,"OK","ERREUR")</f>
        <v>OK</v>
      </c>
      <c r="BG35" s="43" t="str">
        <f>IF(DATA_CLEANED!AL26&gt;DATA_CLEANED!AM26,DATA_CLEANED!AK26,IF(AND(DATA_QUALITE!W4512="-",DATA_CLEANED!AM26=DATA_CLEANED!AL26),"MATCH NUL",IF(AND(DATA_QUALITE!V4512="-",DATA_QUALITE!U4512="AUCUNE"),DATA_QUALITE!T4512,IF(DATA_QUALITE!V4512&lt;&gt;"-",DATA_QUALITE!V4512,DATA_CLEANED!AN26))))</f>
        <v>Spain</v>
      </c>
      <c r="BH35" s="103" t="str">
        <f>IF(AND(BG35="MATCH NUL",DATA_CLEANED!AO26="-"),"MATCH_NUL",IF(ISNUMBER(SEARCH("win on penalties",W4512)),"WIN_BY_PENALTY",IF(ISNUMBER(SEARCH("win after extra time",W4512)),"WIN_BY_EXTRA_TIME",IF(ISNUMBER(SEARCH("Golden Goal",W4512)),"WIN_BY_GOLDEN_GOAL","WIN_BY_SCORE"))))</f>
        <v>WIN_BY_SCORE</v>
      </c>
      <c r="BI35" s="99" t="str">
        <f>IF(OR(BG35=DATA_CLEANED!AK26,BG35=DATA_CLEANED!AN26,BG35="MATCH NUL"),"OK","ERREUR")</f>
        <v>OK</v>
      </c>
    </row>
    <row r="36" spans="2:66">
      <c r="B36" s="73" t="str">
        <v>Germany</v>
      </c>
      <c r="C36" s="13" t="str">
        <v>27.6</v>
      </c>
      <c r="D36" s="13">
        <v>13</v>
      </c>
      <c r="E36" s="13">
        <v>58</v>
      </c>
      <c r="F36" s="13">
        <v>123</v>
      </c>
      <c r="G36" s="13" t="str">
        <f t="shared" si="6"/>
        <v>Germany|27.6|13|58|123</v>
      </c>
      <c r="H36" s="13" t="str">
        <f>IF(COUNTIF($G$32:G36,G36)&gt;1,"DOUBLON","OK")</f>
        <v>OK</v>
      </c>
      <c r="R36" s="23" t="s">
        <v>3611</v>
      </c>
      <c r="S36" s="13" t="str">
        <v>Ghana</v>
      </c>
      <c r="T36" s="13" t="str">
        <f t="shared" si="2"/>
        <v>OK</v>
      </c>
      <c r="U36" s="13" t="str">
        <f t="shared" si="4"/>
        <v>-</v>
      </c>
      <c r="V36" s="13" t="str" cm="1">
        <f t="array" ref="V36">_xlfn.IFS(
ISNUMBER(SEARCH("USA",S36)),"United States",
ISNUMBER(SEARCH("Republic of Korea",S36)),"South Korea",
ISNUMBER(SEARCH("Cape Verde",S36)),"Cabo Verde",
ISNUMBER(SEARCH("Czechia",S36)),"Czech Republic",
ISNUMBER(SEARCH("Türkiye",S36)),"Turkey",
ISNUMBER(SEARCH("Ivory Coast",S36)),"Côte d'Ivoire",
ISNUMBER(SEARCH("Korea Republic",S36)),"South Korea",
ISNUMBER(SEARCH("Germany FR",S36)),"FR Germany",
ISNUMBER(SEARCH("Germany DR",S36)),"DR Germany",
ISNUMBER(SEARCH("Korea DPR",S36)),"North Korea",
ISNUMBER(SEARCH("China PR",S36)),"China",
ISNUMBER(SEARCH("IR Iran",S36)),"Iran",
ISNUMBER(SEARCH("Congo DR",S36)),"Democratic Republic of the Congo",
ISNUMBER(SEARCH("DR Congo",S36)),"Democratic Republic of the Congo",
ISNUMBER(SEARCH("German DR",S36)),"DR Germany",
ISNUMBER(SEARCH("rn""&gt;United Arab Emirates",S36)),"United Arab Emirates",
ISNUMBER(SEARCH("rn""&gt;Republic of Ireland",S36)),"Ireland",
ISNUMBER(SEARCH("rn""&gt;Bosnia and Herzegovina",S36)),"Bosnia and Herzegovina",
ISNUMBER(SEARCH("rn""&gt;Trinidad and Tobago",S36)),"Trinidad and Tobago",
ISNUMBER(SEARCH("rn""&gt;Serbia and Montenegro",S36)),"Serbia and Montenegro",
ISNUMBER(SEARCH("te d'Ivoire",S36)),"Côte d'Ivoire",
TRUE,""
)</f>
        <v/>
      </c>
      <c r="W36" s="34" t="str">
        <f t="shared" si="5"/>
        <v>Ghana</v>
      </c>
      <c r="X36" s="95" t="str">
        <v>Democratic Republic of the Congo</v>
      </c>
      <c r="Z36" s="23" t="str">
        <v>Estadio Municipal de Bala�dos</v>
      </c>
      <c r="AA36" s="41" t="s">
        <v>3776</v>
      </c>
      <c r="AC36" s="84"/>
      <c r="AF36" s="13">
        <v>27.2</v>
      </c>
      <c r="AG36" s="7"/>
      <c r="AH36" s="7"/>
      <c r="AI36" s="7"/>
      <c r="AJ36" s="7"/>
      <c r="AK36" s="7"/>
      <c r="AL36" s="7"/>
      <c r="AM36" s="7"/>
      <c r="AN36" s="7"/>
      <c r="AS36" s="23" t="str">
        <v>Semi-finals</v>
      </c>
      <c r="AT36" s="69" t="s">
        <v>3562</v>
      </c>
      <c r="AU36" s="69">
        <v>2</v>
      </c>
      <c r="AV36" s="37" t="str">
        <v>QUARTER_FINALS</v>
      </c>
      <c r="AW36" s="89" t="str">
        <v>GROUP_STAGE</v>
      </c>
      <c r="AY36" s="42" cm="1">
        <f t="array" ref="AY36">INDEX(_xlfn.UNIQUE(DATA_CLEANED!AF27:'DATA_CLEANED'!AF1084),INT((ROWS(AY$12:AY36)-1)/3)+1)</f>
        <v>1974</v>
      </c>
      <c r="AZ36" s="42" t="s">
        <v>3560</v>
      </c>
      <c r="BA36" s="42">
        <v>0</v>
      </c>
      <c r="BB36" s="42">
        <f>COUNTIFS(DATA_CLEANED!AH$3:AH$1060,AZ36,DATA_CLEANED!AF$3:AF$1060,AY36)</f>
        <v>0</v>
      </c>
      <c r="BC36" s="89" t="str">
        <f t="shared" si="0"/>
        <v>OK</v>
      </c>
      <c r="BE36" s="43" t="str">
        <f>IF(OR(DATA_CLEANED!AL27="",DATA_CLEANED!AM27=""),"MANQUANT",IF(OR(NOT(ISNUMBER(DATA_CLEANED!AL27)),NOT(ISNUMBER(DATA_CLEANED!AM27))),"ENTREE INVALIDE",IF(OR(DATA_CLEANED!AL27&lt;0,DATA_CLEANED!AM27&lt;0),"SCORE NEGATIF","OK")))</f>
        <v>OK</v>
      </c>
      <c r="BF36" s="43" t="str">
        <f>IF(DATA_CLEANED!AK27&lt;&gt;DATA_CLEANED!AN27,"OK","ERREUR")</f>
        <v>OK</v>
      </c>
      <c r="BG36" s="43" t="str">
        <f>IF(DATA_CLEANED!AL27&gt;DATA_CLEANED!AM27,DATA_CLEANED!AK27,IF(AND(DATA_QUALITE!W4513="-",DATA_CLEANED!AM27=DATA_CLEANED!AL27),"MATCH NUL",IF(AND(DATA_QUALITE!V4513="-",DATA_QUALITE!U4513="AUCUNE"),DATA_QUALITE!T4513,IF(DATA_QUALITE!V4513&lt;&gt;"-",DATA_QUALITE!V4513,DATA_CLEANED!AN27))))</f>
        <v>Italy</v>
      </c>
      <c r="BH36" s="103" t="str">
        <f>IF(AND(BG36="MATCH NUL",DATA_CLEANED!AO27="-"),"MATCH_NUL",IF(ISNUMBER(SEARCH("win on penalties",W4513)),"WIN_BY_PENALTY",IF(ISNUMBER(SEARCH("win after extra time",W4513)),"WIN_BY_EXTRA_TIME",IF(ISNUMBER(SEARCH("Golden Goal",W4513)),"WIN_BY_GOLDEN_GOAL","WIN_BY_SCORE"))))</f>
        <v>WIN_BY_SCORE</v>
      </c>
      <c r="BI36" s="99" t="str">
        <f>IF(OR(BG36=DATA_CLEANED!AK27,BG36=DATA_CLEANED!AN27,BG36="MATCH NUL"),"OK","ERREUR")</f>
        <v>OK</v>
      </c>
    </row>
    <row r="37" spans="2:66">
      <c r="B37" s="73" t="str">
        <v>Spain</v>
      </c>
      <c r="C37" s="13" t="str">
        <v>26.2</v>
      </c>
      <c r="D37" s="13">
        <v>13</v>
      </c>
      <c r="E37" s="13">
        <v>75</v>
      </c>
      <c r="F37" s="13">
        <v>122</v>
      </c>
      <c r="G37" s="13" t="str">
        <f t="shared" si="6"/>
        <v>Spain|26.2|13|75|122</v>
      </c>
      <c r="H37" s="13" t="str">
        <f>IF(COUNTIF($G$32:G37,G37)&gt;1,"DOUBLON","OK")</f>
        <v>OK</v>
      </c>
      <c r="R37" s="23" t="s">
        <v>57</v>
      </c>
      <c r="S37" s="13" t="str">
        <v>Norway</v>
      </c>
      <c r="T37" s="13" t="str">
        <f t="shared" si="2"/>
        <v>OK</v>
      </c>
      <c r="U37" s="13" t="str">
        <f t="shared" si="4"/>
        <v>-</v>
      </c>
      <c r="V37" s="13" t="str" cm="1">
        <f t="array" ref="V37">_xlfn.IFS(
ISNUMBER(SEARCH("USA",S37)),"United States",
ISNUMBER(SEARCH("Republic of Korea",S37)),"South Korea",
ISNUMBER(SEARCH("Cape Verde",S37)),"Cabo Verde",
ISNUMBER(SEARCH("Czechia",S37)),"Czech Republic",
ISNUMBER(SEARCH("Türkiye",S37)),"Turkey",
ISNUMBER(SEARCH("Ivory Coast",S37)),"Côte d'Ivoire",
ISNUMBER(SEARCH("Korea Republic",S37)),"South Korea",
ISNUMBER(SEARCH("Germany FR",S37)),"FR Germany",
ISNUMBER(SEARCH("Germany DR",S37)),"DR Germany",
ISNUMBER(SEARCH("Korea DPR",S37)),"North Korea",
ISNUMBER(SEARCH("China PR",S37)),"China",
ISNUMBER(SEARCH("IR Iran",S37)),"Iran",
ISNUMBER(SEARCH("Congo DR",S37)),"Democratic Republic of the Congo",
ISNUMBER(SEARCH("DR Congo",S37)),"Democratic Republic of the Congo",
ISNUMBER(SEARCH("German DR",S37)),"DR Germany",
ISNUMBER(SEARCH("rn""&gt;United Arab Emirates",S37)),"United Arab Emirates",
ISNUMBER(SEARCH("rn""&gt;Republic of Ireland",S37)),"Ireland",
ISNUMBER(SEARCH("rn""&gt;Bosnia and Herzegovina",S37)),"Bosnia and Herzegovina",
ISNUMBER(SEARCH("rn""&gt;Trinidad and Tobago",S37)),"Trinidad and Tobago",
ISNUMBER(SEARCH("rn""&gt;Serbia and Montenegro",S37)),"Serbia and Montenegro",
ISNUMBER(SEARCH("te d'Ivoire",S37)),"Côte d'Ivoire",
TRUE,""
)</f>
        <v/>
      </c>
      <c r="W37" s="34" t="str">
        <f t="shared" si="5"/>
        <v>Norway</v>
      </c>
      <c r="X37" s="95" t="str">
        <v>Denmark</v>
      </c>
      <c r="Z37" s="23" t="str">
        <v>Estadio Ol�mpico Universitario</v>
      </c>
      <c r="AA37" s="41" t="s">
        <v>3777</v>
      </c>
      <c r="AC37" s="84"/>
      <c r="AF37" s="13">
        <v>26.9</v>
      </c>
      <c r="AG37" s="7"/>
      <c r="AH37" s="7"/>
      <c r="AI37" s="7"/>
      <c r="AJ37" s="7"/>
      <c r="AK37" s="7"/>
      <c r="AL37" s="7"/>
      <c r="AM37" s="7"/>
      <c r="AN37" s="7"/>
      <c r="AS37" s="23" t="str">
        <v>Third place</v>
      </c>
      <c r="AT37" s="69" t="s">
        <v>3565</v>
      </c>
      <c r="AU37" s="69">
        <v>2</v>
      </c>
      <c r="AV37" s="37" t="str">
        <v>QUARTER_FINALS</v>
      </c>
      <c r="AW37" s="89" t="str">
        <v>GROUP_STAGE</v>
      </c>
      <c r="AY37" s="42" cm="1">
        <f t="array" ref="AY37">INDEX(_xlfn.UNIQUE(DATA_CLEANED!AF28:'DATA_CLEANED'!AF1085),INT((ROWS(AY$12:AY37)-1)/3)+1)</f>
        <v>1974</v>
      </c>
      <c r="AZ37" s="42" t="s">
        <v>3562</v>
      </c>
      <c r="BA37" s="42">
        <v>0</v>
      </c>
      <c r="BB37" s="42">
        <f>COUNTIFS(DATA_CLEANED!AH$3:AH$1060,AZ37,DATA_CLEANED!AF$3:AF$1060,AY37)</f>
        <v>0</v>
      </c>
      <c r="BC37" s="89" t="str">
        <f t="shared" si="0"/>
        <v>OK</v>
      </c>
      <c r="BE37" s="43" t="str">
        <f>IF(OR(DATA_CLEANED!AL28="",DATA_CLEANED!AM28=""),"MANQUANT",IF(OR(NOT(ISNUMBER(DATA_CLEANED!AL28)),NOT(ISNUMBER(DATA_CLEANED!AM28))),"ENTREE INVALIDE",IF(OR(DATA_CLEANED!AL28&lt;0,DATA_CLEANED!AM28&lt;0),"SCORE NEGATIF","OK")))</f>
        <v>OK</v>
      </c>
      <c r="BF37" s="43" t="str">
        <f>IF(DATA_CLEANED!AK28&lt;&gt;DATA_CLEANED!AN28,"OK","ERREUR")</f>
        <v>OK</v>
      </c>
      <c r="BG37" s="43" t="str">
        <f>IF(DATA_CLEANED!AL28&gt;DATA_CLEANED!AM28,DATA_CLEANED!AK28,IF(AND(DATA_QUALITE!W4514="-",DATA_CLEANED!AM28=DATA_CLEANED!AL28),"MATCH NUL",IF(AND(DATA_QUALITE!V4514="-",DATA_QUALITE!U4514="AUCUNE"),DATA_QUALITE!T4514,IF(DATA_QUALITE!V4514&lt;&gt;"-",DATA_QUALITE!V4514,DATA_CLEANED!AN28))))</f>
        <v>Czechoslovakia</v>
      </c>
      <c r="BH37" s="103" t="str">
        <f>IF(AND(BG37="MATCH NUL",DATA_CLEANED!AO28="-"),"MATCH_NUL",IF(ISNUMBER(SEARCH("win on penalties",W4514)),"WIN_BY_PENALTY",IF(ISNUMBER(SEARCH("win after extra time",W4514)),"WIN_BY_EXTRA_TIME",IF(ISNUMBER(SEARCH("Golden Goal",W4514)),"WIN_BY_GOLDEN_GOAL","WIN_BY_SCORE"))))</f>
        <v>WIN_BY_SCORE</v>
      </c>
      <c r="BI37" s="99" t="str">
        <f>IF(OR(BG37=DATA_CLEANED!AK28,BG37=DATA_CLEANED!AN28,BG37="MATCH NUL"),"OK","ERREUR")</f>
        <v>OK</v>
      </c>
    </row>
    <row r="38" spans="2:66">
      <c r="B38" s="73" t="str">
        <v>Netherlands</v>
      </c>
      <c r="C38" s="13" t="str">
        <v>27.3</v>
      </c>
      <c r="D38" s="13">
        <v>19</v>
      </c>
      <c r="E38" s="13">
        <v>63</v>
      </c>
      <c r="F38" s="13">
        <v>112</v>
      </c>
      <c r="G38" s="13" t="str">
        <f t="shared" si="6"/>
        <v>Netherlands|27.3|19|63|112</v>
      </c>
      <c r="H38" s="13" t="str">
        <f>IF(COUNTIF($G$32:G38,G38)&gt;1,"DOUBLON","OK")</f>
        <v>OK</v>
      </c>
      <c r="R38" s="23" t="s">
        <v>78</v>
      </c>
      <c r="S38" s="13" t="str">
        <v>Ecuador</v>
      </c>
      <c r="T38" s="13" t="str">
        <f t="shared" si="2"/>
        <v>OK</v>
      </c>
      <c r="U38" s="13" t="str">
        <f t="shared" si="4"/>
        <v>-</v>
      </c>
      <c r="V38" s="13" t="str" cm="1">
        <f t="array" ref="V38">_xlfn.IFS(
ISNUMBER(SEARCH("USA",S38)),"United States",
ISNUMBER(SEARCH("Republic of Korea",S38)),"South Korea",
ISNUMBER(SEARCH("Cape Verde",S38)),"Cabo Verde",
ISNUMBER(SEARCH("Czechia",S38)),"Czech Republic",
ISNUMBER(SEARCH("Türkiye",S38)),"Turkey",
ISNUMBER(SEARCH("Ivory Coast",S38)),"Côte d'Ivoire",
ISNUMBER(SEARCH("Korea Republic",S38)),"South Korea",
ISNUMBER(SEARCH("Germany FR",S38)),"FR Germany",
ISNUMBER(SEARCH("Germany DR",S38)),"DR Germany",
ISNUMBER(SEARCH("Korea DPR",S38)),"North Korea",
ISNUMBER(SEARCH("China PR",S38)),"China",
ISNUMBER(SEARCH("IR Iran",S38)),"Iran",
ISNUMBER(SEARCH("Congo DR",S38)),"Democratic Republic of the Congo",
ISNUMBER(SEARCH("DR Congo",S38)),"Democratic Republic of the Congo",
ISNUMBER(SEARCH("German DR",S38)),"DR Germany",
ISNUMBER(SEARCH("rn""&gt;United Arab Emirates",S38)),"United Arab Emirates",
ISNUMBER(SEARCH("rn""&gt;Republic of Ireland",S38)),"Ireland",
ISNUMBER(SEARCH("rn""&gt;Bosnia and Herzegovina",S38)),"Bosnia and Herzegovina",
ISNUMBER(SEARCH("rn""&gt;Trinidad and Tobago",S38)),"Trinidad and Tobago",
ISNUMBER(SEARCH("rn""&gt;Serbia and Montenegro",S38)),"Serbia and Montenegro",
ISNUMBER(SEARCH("te d'Ivoire",S38)),"Côte d'Ivoire",
TRUE,""
)</f>
        <v/>
      </c>
      <c r="W38" s="34" t="str">
        <f t="shared" si="5"/>
        <v>Ecuador</v>
      </c>
      <c r="X38" s="95" t="str">
        <v>DR Germany</v>
      </c>
      <c r="AC38" s="84"/>
      <c r="AF38" s="13">
        <v>26.4</v>
      </c>
      <c r="AG38" s="7"/>
      <c r="AH38" s="7"/>
      <c r="AI38" s="7"/>
      <c r="AJ38" s="7"/>
      <c r="AK38" s="7"/>
      <c r="AL38" s="7"/>
      <c r="AM38" s="7"/>
      <c r="AN38" s="7"/>
      <c r="AS38" s="23" t="str">
        <v>third-place match</v>
      </c>
      <c r="AT38" s="69" t="s">
        <v>3565</v>
      </c>
      <c r="AU38" s="69">
        <v>2</v>
      </c>
      <c r="AV38" s="37" t="str">
        <v>QUARTER_FINALS</v>
      </c>
      <c r="AW38" s="89" t="str">
        <v>QUARTER_FINALS</v>
      </c>
      <c r="AY38" s="42" cm="1">
        <f t="array" ref="AY38">INDEX(_xlfn.UNIQUE(DATA_CLEANED!AF29:'DATA_CLEANED'!AF1086),INT((ROWS(AY$12:AY38)-1)/3)+1)</f>
        <v>1974</v>
      </c>
      <c r="AZ38" s="42" t="s">
        <v>3561</v>
      </c>
      <c r="BA38" s="42">
        <v>1</v>
      </c>
      <c r="BB38" s="42">
        <f>COUNTIFS(DATA_CLEANED!AH$3:AH$1060,AZ38,DATA_CLEANED!AF$3:AF$1060,AY38)</f>
        <v>1</v>
      </c>
      <c r="BC38" s="89" t="str">
        <f t="shared" si="0"/>
        <v>OK</v>
      </c>
      <c r="BE38" s="43" t="str">
        <f>IF(OR(DATA_CLEANED!AL29="",DATA_CLEANED!AM29=""),"MANQUANT",IF(OR(NOT(ISNUMBER(DATA_CLEANED!AL29)),NOT(ISNUMBER(DATA_CLEANED!AM29))),"ENTREE INVALIDE",IF(OR(DATA_CLEANED!AL29&lt;0,DATA_CLEANED!AM29&lt;0),"SCORE NEGATIF","OK")))</f>
        <v>OK</v>
      </c>
      <c r="BF38" s="43" t="str">
        <f>IF(DATA_CLEANED!AK29&lt;&gt;DATA_CLEANED!AN29,"OK","ERREUR")</f>
        <v>OK</v>
      </c>
      <c r="BG38" s="43" t="str">
        <f>IF(DATA_CLEANED!AL29&gt;DATA_CLEANED!AM29,DATA_CLEANED!AK29,IF(AND(DATA_QUALITE!W4515="-",DATA_CLEANED!AM29=DATA_CLEANED!AL29),"MATCH NUL",IF(AND(DATA_QUALITE!V4515="-",DATA_QUALITE!U4515="AUCUNE"),DATA_QUALITE!T4515,IF(DATA_QUALITE!V4515&lt;&gt;"-",DATA_QUALITE!V4515,DATA_CLEANED!AN29))))</f>
        <v>Czechoslovakia</v>
      </c>
      <c r="BH38" s="103" t="str">
        <f>IF(AND(BG38="MATCH NUL",DATA_CLEANED!AO29="-"),"MATCH_NUL",IF(ISNUMBER(SEARCH("win on penalties",W4515)),"WIN_BY_PENALTY",IF(ISNUMBER(SEARCH("win after extra time",W4515)),"WIN_BY_EXTRA_TIME",IF(ISNUMBER(SEARCH("Golden Goal",W4515)),"WIN_BY_GOLDEN_GOAL","WIN_BY_SCORE"))))</f>
        <v>WIN_BY_SCORE</v>
      </c>
      <c r="BI38" s="99" t="str">
        <f>IF(OR(BG38=DATA_CLEANED!AK29,BG38=DATA_CLEANED!AN29,BG38="MATCH NUL"),"OK","ERREUR")</f>
        <v>OK</v>
      </c>
    </row>
    <row r="39" spans="2:66" ht="19.5" thickBot="1">
      <c r="B39" s="73" t="str">
        <v>Uruguay</v>
      </c>
      <c r="C39" s="13" t="str">
        <v>28.2</v>
      </c>
      <c r="D39" s="13">
        <v>22</v>
      </c>
      <c r="E39" s="13">
        <v>63</v>
      </c>
      <c r="F39" s="13">
        <v>92</v>
      </c>
      <c r="G39" s="13" t="str">
        <f t="shared" si="6"/>
        <v>Uruguay|28.2|22|63|92</v>
      </c>
      <c r="H39" s="13" t="str">
        <f>IF(COUNTIF($G$32:G39,G39)&gt;1,"DOUBLON","OK")</f>
        <v>OK</v>
      </c>
      <c r="R39" s="23" t="s">
        <v>3612</v>
      </c>
      <c r="S39" s="13" t="str">
        <v>Tunisia</v>
      </c>
      <c r="T39" s="13" t="str">
        <f t="shared" si="2"/>
        <v>OK</v>
      </c>
      <c r="U39" s="13" t="str">
        <f t="shared" si="4"/>
        <v>-</v>
      </c>
      <c r="V39" s="13" t="str" cm="1">
        <f t="array" ref="V39">_xlfn.IFS(
ISNUMBER(SEARCH("USA",S39)),"United States",
ISNUMBER(SEARCH("Republic of Korea",S39)),"South Korea",
ISNUMBER(SEARCH("Cape Verde",S39)),"Cabo Verde",
ISNUMBER(SEARCH("Czechia",S39)),"Czech Republic",
ISNUMBER(SEARCH("Türkiye",S39)),"Turkey",
ISNUMBER(SEARCH("Ivory Coast",S39)),"Côte d'Ivoire",
ISNUMBER(SEARCH("Korea Republic",S39)),"South Korea",
ISNUMBER(SEARCH("Germany FR",S39)),"FR Germany",
ISNUMBER(SEARCH("Germany DR",S39)),"DR Germany",
ISNUMBER(SEARCH("Korea DPR",S39)),"North Korea",
ISNUMBER(SEARCH("China PR",S39)),"China",
ISNUMBER(SEARCH("IR Iran",S39)),"Iran",
ISNUMBER(SEARCH("Congo DR",S39)),"Democratic Republic of the Congo",
ISNUMBER(SEARCH("DR Congo",S39)),"Democratic Republic of the Congo",
ISNUMBER(SEARCH("German DR",S39)),"DR Germany",
ISNUMBER(SEARCH("rn""&gt;United Arab Emirates",S39)),"United Arab Emirates",
ISNUMBER(SEARCH("rn""&gt;Republic of Ireland",S39)),"Ireland",
ISNUMBER(SEARCH("rn""&gt;Bosnia and Herzegovina",S39)),"Bosnia and Herzegovina",
ISNUMBER(SEARCH("rn""&gt;Trinidad and Tobago",S39)),"Trinidad and Tobago",
ISNUMBER(SEARCH("rn""&gt;Serbia and Montenegro",S39)),"Serbia and Montenegro",
ISNUMBER(SEARCH("te d'Ivoire",S39)),"Côte d'Ivoire",
TRUE,""
)</f>
        <v/>
      </c>
      <c r="W39" s="34" t="str">
        <f t="shared" si="5"/>
        <v>Tunisia</v>
      </c>
      <c r="X39" s="95" t="str">
        <v>Dutch East Indies</v>
      </c>
      <c r="Z39" s="44" t="s">
        <v>595</v>
      </c>
      <c r="AA39" s="44" t="s">
        <v>3779</v>
      </c>
      <c r="AB39" s="49" t="s">
        <v>598</v>
      </c>
      <c r="AC39" s="87" t="s">
        <v>3785</v>
      </c>
      <c r="AF39" s="13">
        <v>26.3</v>
      </c>
      <c r="AG39" s="7"/>
      <c r="AH39" s="7"/>
      <c r="AI39" s="7"/>
      <c r="AJ39" s="7"/>
      <c r="AK39" s="7"/>
      <c r="AL39" s="7"/>
      <c r="AM39" s="7"/>
      <c r="AN39" s="7"/>
      <c r="AV39" s="37" t="str">
        <v>QUARTER_FINALS</v>
      </c>
      <c r="AW39" s="89" t="str">
        <v>QUARTER_FINALS</v>
      </c>
      <c r="AY39" s="42" cm="1">
        <f t="array" ref="AY39">INDEX(_xlfn.UNIQUE(DATA_CLEANED!AF30:'DATA_CLEANED'!AF1087),INT((ROWS(AY$12:AY39)-1)/3)+1)</f>
        <v>1978</v>
      </c>
      <c r="AZ39" s="42" t="s">
        <v>3560</v>
      </c>
      <c r="BA39" s="42" cm="1">
        <f t="array" ref="BA39">INDEX($BA$12:$BA$14,MOD(ROWS($BA$15:BA39)-1,3)+1)</f>
        <v>0</v>
      </c>
      <c r="BB39" s="42">
        <f>COUNTIFS(DATA_CLEANED!AH$3:AH$1060,AZ39,DATA_CLEANED!AF$3:AF$1060,AY39)</f>
        <v>0</v>
      </c>
      <c r="BC39" s="89" t="str">
        <f t="shared" si="0"/>
        <v>OK</v>
      </c>
      <c r="BE39" s="43" t="str">
        <f>IF(OR(DATA_CLEANED!AL30="",DATA_CLEANED!AM30=""),"MANQUANT",IF(OR(NOT(ISNUMBER(DATA_CLEANED!AL30)),NOT(ISNUMBER(DATA_CLEANED!AM30))),"ENTREE INVALIDE",IF(OR(DATA_CLEANED!AL30&lt;0,DATA_CLEANED!AM30&lt;0),"SCORE NEGATIF","OK")))</f>
        <v>OK</v>
      </c>
      <c r="BF39" s="43" t="str">
        <f>IF(DATA_CLEANED!AK30&lt;&gt;DATA_CLEANED!AN30,"OK","ERREUR")</f>
        <v>OK</v>
      </c>
      <c r="BG39" s="43" t="str">
        <f>IF(DATA_CLEANED!AL30&gt;DATA_CLEANED!AM30,DATA_CLEANED!AK30,IF(AND(DATA_QUALITE!W4516="-",DATA_CLEANED!AM30=DATA_CLEANED!AL30),"MATCH NUL",IF(AND(DATA_QUALITE!V4516="-",DATA_QUALITE!U4516="AUCUNE"),DATA_QUALITE!T4516,IF(DATA_QUALITE!V4516&lt;&gt;"-",DATA_QUALITE!V4516,DATA_CLEANED!AN30))))</f>
        <v>Germany</v>
      </c>
      <c r="BH39" s="103" t="str">
        <f>IF(AND(BG39="MATCH NUL",DATA_CLEANED!AO30="-"),"MATCH_NUL",IF(ISNUMBER(SEARCH("win on penalties",W4516)),"WIN_BY_PENALTY",IF(ISNUMBER(SEARCH("win after extra time",W4516)),"WIN_BY_EXTRA_TIME",IF(ISNUMBER(SEARCH("Golden Goal",W4516)),"WIN_BY_GOLDEN_GOAL","WIN_BY_SCORE"))))</f>
        <v>WIN_BY_SCORE</v>
      </c>
      <c r="BI39" s="99" t="str">
        <f>IF(OR(BG39=DATA_CLEANED!AK30,BG39=DATA_CLEANED!AN30,BG39="MATCH NUL"),"OK","ERREUR")</f>
        <v>OK</v>
      </c>
    </row>
    <row r="40" spans="2:66">
      <c r="B40" s="73" t="str">
        <v>Sweden</v>
      </c>
      <c r="C40" s="13" t="str">
        <v>27.0</v>
      </c>
      <c r="D40" s="13">
        <v>26</v>
      </c>
      <c r="E40" s="13">
        <v>55</v>
      </c>
      <c r="F40" s="13">
        <v>87</v>
      </c>
      <c r="G40" s="13" t="str">
        <f t="shared" si="6"/>
        <v>Sweden|27.0|26|55|87</v>
      </c>
      <c r="H40" s="13" t="str">
        <f>IF(COUNTIF($G$32:G40,G40)&gt;1,"DOUBLON","OK")</f>
        <v>OK</v>
      </c>
      <c r="R40" s="23" t="s">
        <v>12</v>
      </c>
      <c r="S40" s="13" t="str">
        <v>Saudi Arabia</v>
      </c>
      <c r="T40" s="13" t="str">
        <f t="shared" si="2"/>
        <v>OK</v>
      </c>
      <c r="U40" s="13" t="str">
        <f t="shared" si="4"/>
        <v>-</v>
      </c>
      <c r="V40" s="13" t="str" cm="1">
        <f t="array" ref="V40">_xlfn.IFS(
ISNUMBER(SEARCH("USA",S40)),"United States",
ISNUMBER(SEARCH("Republic of Korea",S40)),"South Korea",
ISNUMBER(SEARCH("Cape Verde",S40)),"Cabo Verde",
ISNUMBER(SEARCH("Czechia",S40)),"Czech Republic",
ISNUMBER(SEARCH("Türkiye",S40)),"Turkey",
ISNUMBER(SEARCH("Ivory Coast",S40)),"Côte d'Ivoire",
ISNUMBER(SEARCH("Korea Republic",S40)),"South Korea",
ISNUMBER(SEARCH("Germany FR",S40)),"FR Germany",
ISNUMBER(SEARCH("Germany DR",S40)),"DR Germany",
ISNUMBER(SEARCH("Korea DPR",S40)),"North Korea",
ISNUMBER(SEARCH("China PR",S40)),"China",
ISNUMBER(SEARCH("IR Iran",S40)),"Iran",
ISNUMBER(SEARCH("Congo DR",S40)),"Democratic Republic of the Congo",
ISNUMBER(SEARCH("DR Congo",S40)),"Democratic Republic of the Congo",
ISNUMBER(SEARCH("German DR",S40)),"DR Germany",
ISNUMBER(SEARCH("rn""&gt;United Arab Emirates",S40)),"United Arab Emirates",
ISNUMBER(SEARCH("rn""&gt;Republic of Ireland",S40)),"Ireland",
ISNUMBER(SEARCH("rn""&gt;Bosnia and Herzegovina",S40)),"Bosnia and Herzegovina",
ISNUMBER(SEARCH("rn""&gt;Trinidad and Tobago",S40)),"Trinidad and Tobago",
ISNUMBER(SEARCH("rn""&gt;Serbia and Montenegro",S40)),"Serbia and Montenegro",
ISNUMBER(SEARCH("te d'Ivoire",S40)),"Côte d'Ivoire",
TRUE,""
)</f>
        <v/>
      </c>
      <c r="W40" s="34" t="str">
        <f t="shared" si="5"/>
        <v>Saudi Arabia</v>
      </c>
      <c r="X40" s="95" t="str">
        <v>Ecuador</v>
      </c>
      <c r="Z40" s="43" t="str" cm="1">
        <f t="array" ref="Z40:Z1097">_xlfn._xlws.FILTER(E1689:E2762,M1689:M2762="OK")</f>
        <v>Pocitos</v>
      </c>
      <c r="AA40" s="43" t="str" cm="1">
        <f t="array" ref="AA40">IFERROR(_xlfn.XLOOKUP(Z40,_xlfn.ANCHORARRAY(Z$31),AA$31:AA$37),Z40)</f>
        <v>Pocitos</v>
      </c>
      <c r="AB40" s="104" t="str" cm="1">
        <f t="array" ref="AB40:AB1097">_xlfn._xlws.FILTER(F1689:F2762,M1689:M2762="OK")</f>
        <v xml:space="preserve">Montevideo </v>
      </c>
      <c r="AC40" s="88" t="str">
        <f>IFERROR(_xlfn.XLOOKUP(AB40,AB$31:AB$34,AC$31:AC$34),AB40)</f>
        <v xml:space="preserve">Montevideo </v>
      </c>
      <c r="AF40" s="13">
        <v>25.6</v>
      </c>
      <c r="AG40" s="7"/>
      <c r="AH40" s="7"/>
      <c r="AI40" s="7"/>
      <c r="AJ40" s="7"/>
      <c r="AK40" s="7"/>
      <c r="AL40" s="7"/>
      <c r="AM40" s="7"/>
      <c r="AN40" s="7"/>
      <c r="AV40" s="37" t="str">
        <v>QUARTER_FINALS</v>
      </c>
      <c r="AW40" s="89" t="str">
        <v>QUARTER_FINALS</v>
      </c>
      <c r="AY40" s="42" cm="1">
        <f t="array" ref="AY40">INDEX(_xlfn.UNIQUE(DATA_CLEANED!AF31:'DATA_CLEANED'!AF1088),INT((ROWS(AY$12:AY40)-1)/3)+1)</f>
        <v>1978</v>
      </c>
      <c r="AZ40" s="42" t="s">
        <v>3562</v>
      </c>
      <c r="BA40" s="42">
        <v>0</v>
      </c>
      <c r="BB40" s="42">
        <f>COUNTIFS(DATA_CLEANED!AH$3:AH$1060,AZ40,DATA_CLEANED!AF$3:AF$1060,AY40)</f>
        <v>0</v>
      </c>
      <c r="BC40" s="89" t="str">
        <f t="shared" si="0"/>
        <v>OK</v>
      </c>
      <c r="BE40" s="43" t="str">
        <f>IF(OR(DATA_CLEANED!AL31="",DATA_CLEANED!AM31=""),"MANQUANT",IF(OR(NOT(ISNUMBER(DATA_CLEANED!AL31)),NOT(ISNUMBER(DATA_CLEANED!AM31))),"ENTREE INVALIDE",IF(OR(DATA_CLEANED!AL31&lt;0,DATA_CLEANED!AM31&lt;0),"SCORE NEGATIF","OK")))</f>
        <v>OK</v>
      </c>
      <c r="BF40" s="43" t="str">
        <f>IF(DATA_CLEANED!AK31&lt;&gt;DATA_CLEANED!AN31,"OK","ERREUR")</f>
        <v>OK</v>
      </c>
      <c r="BG40" s="43" t="str">
        <f>IF(DATA_CLEANED!AL31&gt;DATA_CLEANED!AM31,DATA_CLEANED!AK31,IF(AND(DATA_QUALITE!W4517="-",DATA_CLEANED!AM31=DATA_CLEANED!AL31),"MATCH NUL",IF(AND(DATA_QUALITE!V4517="-",DATA_QUALITE!U4517="AUCUNE"),DATA_QUALITE!T4517,IF(DATA_QUALITE!V4517&lt;&gt;"-",DATA_QUALITE!V4517,DATA_CLEANED!AN31))))</f>
        <v>MATCH NUL</v>
      </c>
      <c r="BH40" s="103" t="str">
        <f>IF(AND(BG40="MATCH NUL",DATA_CLEANED!AO31="-"),"MATCH_NUL",IF(ISNUMBER(SEARCH("win on penalties",W4517)),"WIN_BY_PENALTY",IF(ISNUMBER(SEARCH("win after extra time",W4517)),"WIN_BY_EXTRA_TIME",IF(ISNUMBER(SEARCH("Golden Goal",W4517)),"WIN_BY_GOLDEN_GOAL","WIN_BY_SCORE"))))</f>
        <v>MATCH_NUL</v>
      </c>
      <c r="BI40" s="99" t="str">
        <f>IF(OR(BG40=DATA_CLEANED!AK31,BG40=DATA_CLEANED!AN31,BG40="MATCH NUL"),"OK","ERREUR")</f>
        <v>OK</v>
      </c>
    </row>
    <row r="41" spans="2:66">
      <c r="B41" s="73" t="str">
        <v>Belgium</v>
      </c>
      <c r="C41" s="13" t="str">
        <v>27.1</v>
      </c>
      <c r="D41" s="13">
        <v>18</v>
      </c>
      <c r="E41" s="13">
        <v>59</v>
      </c>
      <c r="F41" s="13">
        <v>85</v>
      </c>
      <c r="G41" s="13" t="str">
        <f t="shared" si="6"/>
        <v>Belgium|27.1|18|59|85</v>
      </c>
      <c r="H41" s="13" t="str">
        <f>IF(COUNTIF($G$32:G41,G41)&gt;1,"DOUBLON","OK")</f>
        <v>OK</v>
      </c>
      <c r="R41" s="23" t="s">
        <v>3722</v>
      </c>
      <c r="S41" s="13" t="str">
        <v>Algeria</v>
      </c>
      <c r="T41" s="13" t="str">
        <f t="shared" si="2"/>
        <v>OK</v>
      </c>
      <c r="U41" s="13" t="str">
        <f t="shared" si="4"/>
        <v>-</v>
      </c>
      <c r="V41" s="13" t="str" cm="1">
        <f t="array" ref="V41">_xlfn.IFS(
ISNUMBER(SEARCH("USA",S41)),"United States",
ISNUMBER(SEARCH("Republic of Korea",S41)),"South Korea",
ISNUMBER(SEARCH("Cape Verde",S41)),"Cabo Verde",
ISNUMBER(SEARCH("Czechia",S41)),"Czech Republic",
ISNUMBER(SEARCH("Türkiye",S41)),"Turkey",
ISNUMBER(SEARCH("Ivory Coast",S41)),"Côte d'Ivoire",
ISNUMBER(SEARCH("Korea Republic",S41)),"South Korea",
ISNUMBER(SEARCH("Germany FR",S41)),"FR Germany",
ISNUMBER(SEARCH("Germany DR",S41)),"DR Germany",
ISNUMBER(SEARCH("Korea DPR",S41)),"North Korea",
ISNUMBER(SEARCH("China PR",S41)),"China",
ISNUMBER(SEARCH("IR Iran",S41)),"Iran",
ISNUMBER(SEARCH("Congo DR",S41)),"Democratic Republic of the Congo",
ISNUMBER(SEARCH("DR Congo",S41)),"Democratic Republic of the Congo",
ISNUMBER(SEARCH("German DR",S41)),"DR Germany",
ISNUMBER(SEARCH("rn""&gt;United Arab Emirates",S41)),"United Arab Emirates",
ISNUMBER(SEARCH("rn""&gt;Republic of Ireland",S41)),"Ireland",
ISNUMBER(SEARCH("rn""&gt;Bosnia and Herzegovina",S41)),"Bosnia and Herzegovina",
ISNUMBER(SEARCH("rn""&gt;Trinidad and Tobago",S41)),"Trinidad and Tobago",
ISNUMBER(SEARCH("rn""&gt;Serbia and Montenegro",S41)),"Serbia and Montenegro",
ISNUMBER(SEARCH("te d'Ivoire",S41)),"Côte d'Ivoire",
TRUE,""
)</f>
        <v/>
      </c>
      <c r="W41" s="34" t="str">
        <f t="shared" si="5"/>
        <v>Algeria</v>
      </c>
      <c r="X41" s="95" t="str">
        <v>Egypt</v>
      </c>
      <c r="Z41" s="40" t="str">
        <v>Parque Central</v>
      </c>
      <c r="AA41" s="40" t="str" cm="1">
        <f t="array" ref="AA41">IFERROR(_xlfn.XLOOKUP(Z41,_xlfn.ANCHORARRAY(Z$31),AA$31:AA$37),Z41)</f>
        <v>Parque Central</v>
      </c>
      <c r="AB41" s="42" t="str">
        <v xml:space="preserve">Montevideo </v>
      </c>
      <c r="AC41" s="89" t="str">
        <f t="shared" ref="AC41:AC104" si="7">_xlfn.SINGLE(IFERROR(_xlfn.XLOOKUP(AB41,AB$31:AB$34,AC$31:AC$34),AB41))</f>
        <v xml:space="preserve">Montevideo </v>
      </c>
      <c r="AF41" s="13">
        <v>26.2</v>
      </c>
      <c r="AG41" s="7"/>
      <c r="AH41" s="7"/>
      <c r="AI41" s="7"/>
      <c r="AJ41" s="7"/>
      <c r="AK41" s="7"/>
      <c r="AL41" s="7"/>
      <c r="AM41" s="7"/>
      <c r="AN41" s="7"/>
      <c r="AV41" s="37" t="str">
        <v>QUARTER_FINALS</v>
      </c>
      <c r="AW41" s="89" t="str">
        <v>QUARTER_FINALS</v>
      </c>
      <c r="AY41" s="42" cm="1">
        <f t="array" ref="AY41">INDEX(_xlfn.UNIQUE(DATA_CLEANED!AF32:'DATA_CLEANED'!AF1089),INT((ROWS(AY$12:AY41)-1)/3)+1)</f>
        <v>1978</v>
      </c>
      <c r="AZ41" s="42" t="s">
        <v>3561</v>
      </c>
      <c r="BA41" s="42" cm="1">
        <f t="array" ref="BA41">INDEX($BA$12:$BA$14,MOD(ROWS($BA$15:BA41)-1,3)+1)</f>
        <v>1</v>
      </c>
      <c r="BB41" s="42">
        <f>COUNTIFS(DATA_CLEANED!AH$3:AH$1060,AZ41,DATA_CLEANED!AF$3:AF$1060,AY41)</f>
        <v>1</v>
      </c>
      <c r="BC41" s="89" t="str">
        <f t="shared" si="0"/>
        <v>OK</v>
      </c>
      <c r="BE41" s="43" t="str">
        <f>IF(OR(DATA_CLEANED!AL32="",DATA_CLEANED!AM32=""),"MANQUANT",IF(OR(NOT(ISNUMBER(DATA_CLEANED!AL32)),NOT(ISNUMBER(DATA_CLEANED!AM32))),"ENTREE INVALIDE",IF(OR(DATA_CLEANED!AL32&lt;0,DATA_CLEANED!AM32&lt;0),"SCORE NEGATIF","OK")))</f>
        <v>OK</v>
      </c>
      <c r="BF41" s="43" t="str">
        <f>IF(DATA_CLEANED!AK32&lt;&gt;DATA_CLEANED!AN32,"OK","ERREUR")</f>
        <v>OK</v>
      </c>
      <c r="BG41" s="43" t="str">
        <f>IF(DATA_CLEANED!AL32&gt;DATA_CLEANED!AM32,DATA_CLEANED!AK32,IF(AND(DATA_QUALITE!W4518="-",DATA_CLEANED!AM32=DATA_CLEANED!AL32),"MATCH NUL",IF(AND(DATA_QUALITE!V4518="-",DATA_QUALITE!U4518="AUCUNE"),DATA_QUALITE!T4518,IF(DATA_QUALITE!V4518&lt;&gt;"-",DATA_QUALITE!V4518,DATA_CLEANED!AN32))))</f>
        <v>Austria</v>
      </c>
      <c r="BH41" s="103" t="str">
        <f>IF(AND(BG41="MATCH NUL",DATA_CLEANED!AO32="-"),"MATCH_NUL",IF(ISNUMBER(SEARCH("win on penalties",W4518)),"WIN_BY_PENALTY",IF(ISNUMBER(SEARCH("win after extra time",W4518)),"WIN_BY_EXTRA_TIME",IF(ISNUMBER(SEARCH("Golden Goal",W4518)),"WIN_BY_GOLDEN_GOAL","WIN_BY_SCORE"))))</f>
        <v>WIN_BY_SCORE</v>
      </c>
      <c r="BI41" s="99" t="str">
        <f>IF(OR(BG41=DATA_CLEANED!AK32,BG41=DATA_CLEANED!AN32,BG41="MATCH NUL"),"OK","ERREUR")</f>
        <v>OK</v>
      </c>
    </row>
    <row r="42" spans="2:66">
      <c r="B42" s="73" t="str">
        <v>Mexico</v>
      </c>
      <c r="C42" s="13" t="str">
        <v>27.5</v>
      </c>
      <c r="D42" s="13">
        <v>21</v>
      </c>
      <c r="E42" s="13">
        <v>66</v>
      </c>
      <c r="F42" s="13">
        <v>73</v>
      </c>
      <c r="G42" s="13" t="str">
        <f t="shared" si="6"/>
        <v>Mexico|27.5|21|66|73</v>
      </c>
      <c r="H42" s="13" t="str">
        <f>IF(COUNTIF($G$32:G42,G42)&gt;1,"DOUBLON","OK")</f>
        <v>OK</v>
      </c>
      <c r="R42" s="23" t="s">
        <v>3613</v>
      </c>
      <c r="S42" s="13" t="str">
        <v>Iran</v>
      </c>
      <c r="T42" s="13" t="str">
        <f t="shared" si="2"/>
        <v>OK</v>
      </c>
      <c r="U42" s="13" t="str">
        <f t="shared" si="4"/>
        <v>-</v>
      </c>
      <c r="V42" s="13" t="str" cm="1">
        <f t="array" ref="V42">_xlfn.IFS(
ISNUMBER(SEARCH("USA",S42)),"United States",
ISNUMBER(SEARCH("Republic of Korea",S42)),"South Korea",
ISNUMBER(SEARCH("Cape Verde",S42)),"Cabo Verde",
ISNUMBER(SEARCH("Czechia",S42)),"Czech Republic",
ISNUMBER(SEARCH("Türkiye",S42)),"Turkey",
ISNUMBER(SEARCH("Ivory Coast",S42)),"Côte d'Ivoire",
ISNUMBER(SEARCH("Korea Republic",S42)),"South Korea",
ISNUMBER(SEARCH("Germany FR",S42)),"FR Germany",
ISNUMBER(SEARCH("Germany DR",S42)),"DR Germany",
ISNUMBER(SEARCH("Korea DPR",S42)),"North Korea",
ISNUMBER(SEARCH("China PR",S42)),"China",
ISNUMBER(SEARCH("IR Iran",S42)),"Iran",
ISNUMBER(SEARCH("Congo DR",S42)),"Democratic Republic of the Congo",
ISNUMBER(SEARCH("DR Congo",S42)),"Democratic Republic of the Congo",
ISNUMBER(SEARCH("German DR",S42)),"DR Germany",
ISNUMBER(SEARCH("rn""&gt;United Arab Emirates",S42)),"United Arab Emirates",
ISNUMBER(SEARCH("rn""&gt;Republic of Ireland",S42)),"Ireland",
ISNUMBER(SEARCH("rn""&gt;Bosnia and Herzegovina",S42)),"Bosnia and Herzegovina",
ISNUMBER(SEARCH("rn""&gt;Trinidad and Tobago",S42)),"Trinidad and Tobago",
ISNUMBER(SEARCH("rn""&gt;Serbia and Montenegro",S42)),"Serbia and Montenegro",
ISNUMBER(SEARCH("te d'Ivoire",S42)),"Côte d'Ivoire",
TRUE,""
)</f>
        <v/>
      </c>
      <c r="W42" s="34" t="str">
        <f t="shared" si="5"/>
        <v>Iran</v>
      </c>
      <c r="X42" s="95" t="str">
        <v>El Salvador</v>
      </c>
      <c r="Z42" s="40" t="str">
        <v>Parque Central</v>
      </c>
      <c r="AA42" s="40" t="str" cm="1">
        <f t="array" ref="AA42">IFERROR(_xlfn.XLOOKUP(Z42,_xlfn.ANCHORARRAY(Z$31),AA$31:AA$37),Z42)</f>
        <v>Parque Central</v>
      </c>
      <c r="AB42" s="42" t="str">
        <v xml:space="preserve">Montevideo </v>
      </c>
      <c r="AC42" s="89" t="str">
        <f t="shared" si="7"/>
        <v xml:space="preserve">Montevideo </v>
      </c>
      <c r="AF42" s="13">
        <v>28</v>
      </c>
      <c r="AG42" s="7"/>
      <c r="AH42" s="7"/>
      <c r="AI42" s="7"/>
      <c r="AJ42" s="7"/>
      <c r="AK42" s="7"/>
      <c r="AL42" s="7"/>
      <c r="AM42" s="7"/>
      <c r="AN42" s="7"/>
      <c r="AV42" s="37" t="str">
        <v>QUARTER_FINALS</v>
      </c>
      <c r="AW42" s="89" t="str">
        <v>QUARTER_FINALS</v>
      </c>
      <c r="AY42" s="42" cm="1">
        <f t="array" ref="AY42">INDEX(_xlfn.UNIQUE(DATA_CLEANED!AF33:'DATA_CLEANED'!AF1090),INT((ROWS(AY$12:AY42)-1)/3)+1)</f>
        <v>1982</v>
      </c>
      <c r="AZ42" s="42" t="s">
        <v>3560</v>
      </c>
      <c r="BA42" s="42" cm="1">
        <f t="array" ref="BA42">INDEX($BA$12:$BA$14,MOD(ROWS($BA$15:BA42)-1,3)+1)</f>
        <v>0</v>
      </c>
      <c r="BB42" s="42">
        <f>COUNTIFS(DATA_CLEANED!AH$3:AH$1060,AZ42,DATA_CLEANED!AF$3:AF$1060,AY42)</f>
        <v>0</v>
      </c>
      <c r="BC42" s="89" t="str">
        <f t="shared" si="0"/>
        <v>OK</v>
      </c>
      <c r="BE42" s="43" t="str">
        <f>IF(OR(DATA_CLEANED!AL33="",DATA_CLEANED!AM33=""),"MANQUANT",IF(OR(NOT(ISNUMBER(DATA_CLEANED!AL33)),NOT(ISNUMBER(DATA_CLEANED!AM33))),"ENTREE INVALIDE",IF(OR(DATA_CLEANED!AL33&lt;0,DATA_CLEANED!AM33&lt;0),"SCORE NEGATIF","OK")))</f>
        <v>OK</v>
      </c>
      <c r="BF42" s="43" t="str">
        <f>IF(DATA_CLEANED!AK33&lt;&gt;DATA_CLEANED!AN33,"OK","ERREUR")</f>
        <v>OK</v>
      </c>
      <c r="BG42" s="43" t="str">
        <f>IF(DATA_CLEANED!AL33&gt;DATA_CLEANED!AM33,DATA_CLEANED!AK33,IF(AND(DATA_QUALITE!W4519="-",DATA_CLEANED!AM33=DATA_CLEANED!AL33),"MATCH NUL",IF(AND(DATA_QUALITE!V4519="-",DATA_QUALITE!U4519="AUCUNE"),DATA_QUALITE!T4519,IF(DATA_QUALITE!V4519&lt;&gt;"-",DATA_QUALITE!V4519,DATA_CLEANED!AN33))))</f>
        <v>Italy</v>
      </c>
      <c r="BH42" s="103" t="str">
        <f>IF(AND(BG42="MATCH NUL",DATA_CLEANED!AO33="-"),"MATCH_NUL",IF(ISNUMBER(SEARCH("win on penalties",W4519)),"WIN_BY_PENALTY",IF(ISNUMBER(SEARCH("win after extra time",W4519)),"WIN_BY_EXTRA_TIME",IF(ISNUMBER(SEARCH("Golden Goal",W4519)),"WIN_BY_GOLDEN_GOAL","WIN_BY_SCORE"))))</f>
        <v>WIN_BY_SCORE</v>
      </c>
      <c r="BI42" s="99" t="str">
        <f>IF(OR(BG42=DATA_CLEANED!AK33,BG42=DATA_CLEANED!AN33,BG42="MATCH NUL"),"OK","ERREUR")</f>
        <v>OK</v>
      </c>
    </row>
    <row r="43" spans="2:66">
      <c r="B43" s="73" t="str">
        <v>Switzerland</v>
      </c>
      <c r="C43" s="13" t="str">
        <v>27.8</v>
      </c>
      <c r="D43" s="13">
        <v>24</v>
      </c>
      <c r="E43" s="13">
        <v>48</v>
      </c>
      <c r="F43" s="13">
        <v>65</v>
      </c>
      <c r="G43" s="13" t="str">
        <f t="shared" si="6"/>
        <v>Switzerland|27.8|24|48|65</v>
      </c>
      <c r="H43" s="13" t="str">
        <f>IF(COUNTIF($G$32:G43,G43)&gt;1,"DOUBLON","OK")</f>
        <v>OK</v>
      </c>
      <c r="R43" s="23" t="s">
        <v>34</v>
      </c>
      <c r="S43" s="13" t="str">
        <v>Egypt</v>
      </c>
      <c r="T43" s="13" t="str">
        <f t="shared" si="2"/>
        <v>OK</v>
      </c>
      <c r="U43" s="13" t="str">
        <f t="shared" si="4"/>
        <v>-</v>
      </c>
      <c r="V43" s="13" t="str" cm="1">
        <f t="array" ref="V43">_xlfn.IFS(
ISNUMBER(SEARCH("USA",S43)),"United States",
ISNUMBER(SEARCH("Republic of Korea",S43)),"South Korea",
ISNUMBER(SEARCH("Cape Verde",S43)),"Cabo Verde",
ISNUMBER(SEARCH("Czechia",S43)),"Czech Republic",
ISNUMBER(SEARCH("Türkiye",S43)),"Turkey",
ISNUMBER(SEARCH("Ivory Coast",S43)),"Côte d'Ivoire",
ISNUMBER(SEARCH("Korea Republic",S43)),"South Korea",
ISNUMBER(SEARCH("Germany FR",S43)),"FR Germany",
ISNUMBER(SEARCH("Germany DR",S43)),"DR Germany",
ISNUMBER(SEARCH("Korea DPR",S43)),"North Korea",
ISNUMBER(SEARCH("China PR",S43)),"China",
ISNUMBER(SEARCH("IR Iran",S43)),"Iran",
ISNUMBER(SEARCH("Congo DR",S43)),"Democratic Republic of the Congo",
ISNUMBER(SEARCH("DR Congo",S43)),"Democratic Republic of the Congo",
ISNUMBER(SEARCH("German DR",S43)),"DR Germany",
ISNUMBER(SEARCH("rn""&gt;United Arab Emirates",S43)),"United Arab Emirates",
ISNUMBER(SEARCH("rn""&gt;Republic of Ireland",S43)),"Ireland",
ISNUMBER(SEARCH("rn""&gt;Bosnia and Herzegovina",S43)),"Bosnia and Herzegovina",
ISNUMBER(SEARCH("rn""&gt;Trinidad and Tobago",S43)),"Trinidad and Tobago",
ISNUMBER(SEARCH("rn""&gt;Serbia and Montenegro",S43)),"Serbia and Montenegro",
ISNUMBER(SEARCH("te d'Ivoire",S43)),"Côte d'Ivoire",
TRUE,""
)</f>
        <v/>
      </c>
      <c r="W43" s="34" t="str">
        <f t="shared" si="5"/>
        <v>Egypt</v>
      </c>
      <c r="X43" s="95" t="str">
        <v>England</v>
      </c>
      <c r="Z43" s="40" t="str">
        <v>Pocitos</v>
      </c>
      <c r="AA43" s="40" t="str" cm="1">
        <f t="array" ref="AA43">IFERROR(_xlfn.XLOOKUP(Z43,_xlfn.ANCHORARRAY(Z$31),AA$31:AA$37),Z43)</f>
        <v>Pocitos</v>
      </c>
      <c r="AB43" s="42" t="str">
        <v xml:space="preserve">Montevideo </v>
      </c>
      <c r="AC43" s="89" t="str">
        <f t="shared" si="7"/>
        <v xml:space="preserve">Montevideo </v>
      </c>
      <c r="AF43" s="13">
        <v>26.5</v>
      </c>
      <c r="AG43" s="7"/>
      <c r="AH43" s="7"/>
      <c r="AI43" s="7"/>
      <c r="AJ43" s="7"/>
      <c r="AK43" s="7"/>
      <c r="AL43" s="7"/>
      <c r="AM43" s="7"/>
      <c r="AN43" s="7"/>
      <c r="AV43" s="37" t="str">
        <v>QUARTER_FINALS</v>
      </c>
      <c r="AW43" s="89" t="str">
        <v>SEMI_FINALS</v>
      </c>
      <c r="AY43" s="42" cm="1">
        <f t="array" ref="AY43">INDEX(_xlfn.UNIQUE(DATA_CLEANED!AF34:'DATA_CLEANED'!AF1091),INT((ROWS(AY$12:AY43)-1)/3)+1)</f>
        <v>1982</v>
      </c>
      <c r="AZ43" s="42" t="s">
        <v>3562</v>
      </c>
      <c r="BA43" s="42">
        <v>2</v>
      </c>
      <c r="BB43" s="42">
        <f>COUNTIFS(DATA_CLEANED!AH$3:AH$1060,AZ43,DATA_CLEANED!AF$3:AF$1060,AY43)</f>
        <v>2</v>
      </c>
      <c r="BC43" s="89" t="str">
        <f t="shared" si="0"/>
        <v>OK</v>
      </c>
      <c r="BE43" s="43" t="str">
        <f>IF(OR(DATA_CLEANED!AL34="",DATA_CLEANED!AM34=""),"MANQUANT",IF(OR(NOT(ISNUMBER(DATA_CLEANED!AL34)),NOT(ISNUMBER(DATA_CLEANED!AM34))),"ENTREE INVALIDE",IF(OR(DATA_CLEANED!AL34&lt;0,DATA_CLEANED!AM34&lt;0),"SCORE NEGATIF","OK")))</f>
        <v>OK</v>
      </c>
      <c r="BF43" s="43" t="str">
        <f>IF(DATA_CLEANED!AK34&lt;&gt;DATA_CLEANED!AN34,"OK","ERREUR")</f>
        <v>OK</v>
      </c>
      <c r="BG43" s="43" t="str">
        <f>IF(DATA_CLEANED!AL34&gt;DATA_CLEANED!AM34,DATA_CLEANED!AK34,IF(AND(DATA_QUALITE!W4520="-",DATA_CLEANED!AM34=DATA_CLEANED!AL34),"MATCH NUL",IF(AND(DATA_QUALITE!V4520="-",DATA_QUALITE!U4520="AUCUNE"),DATA_QUALITE!T4520,IF(DATA_QUALITE!V4520&lt;&gt;"-",DATA_QUALITE!V4520,DATA_CLEANED!AN34))))</f>
        <v>Italy</v>
      </c>
      <c r="BH43" s="103" t="str">
        <f>IF(AND(BG43="MATCH NUL",DATA_CLEANED!AO34="-"),"MATCH_NUL",IF(ISNUMBER(SEARCH("win on penalties",W4520)),"WIN_BY_PENALTY",IF(ISNUMBER(SEARCH("win after extra time",W4520)),"WIN_BY_EXTRA_TIME",IF(ISNUMBER(SEARCH("Golden Goal",W4520)),"WIN_BY_GOLDEN_GOAL","WIN_BY_SCORE"))))</f>
        <v>WIN_BY_SCORE</v>
      </c>
      <c r="BI43" s="99" t="str">
        <f>IF(OR(BG43=DATA_CLEANED!AK34,BG43=DATA_CLEANED!AN34,BG43="MATCH NUL"),"OK","ERREUR")</f>
        <v>OK</v>
      </c>
    </row>
    <row r="44" spans="2:66">
      <c r="B44" s="73" t="str">
        <v>Portugal</v>
      </c>
      <c r="C44" s="13" t="str">
        <v>27.5</v>
      </c>
      <c r="D44" s="13">
        <v>17</v>
      </c>
      <c r="E44" s="13">
        <v>38</v>
      </c>
      <c r="F44" s="13">
        <v>64</v>
      </c>
      <c r="G44" s="13" t="str">
        <f t="shared" si="6"/>
        <v>Portugal|27.5|17|38|64</v>
      </c>
      <c r="H44" s="13" t="str">
        <f>IF(COUNTIF($G$32:G44,G44)&gt;1,"DOUBLON","OK")</f>
        <v>OK</v>
      </c>
      <c r="R44" s="23" t="s">
        <v>3614</v>
      </c>
      <c r="S44" s="13" t="str">
        <v>South Africa</v>
      </c>
      <c r="T44" s="13" t="str">
        <f t="shared" si="2"/>
        <v>OK</v>
      </c>
      <c r="U44" s="13" t="str">
        <f t="shared" si="4"/>
        <v>-</v>
      </c>
      <c r="V44" s="13" t="str" cm="1">
        <f t="array" ref="V44">_xlfn.IFS(
ISNUMBER(SEARCH("USA",S44)),"United States",
ISNUMBER(SEARCH("Republic of Korea",S44)),"South Korea",
ISNUMBER(SEARCH("Cape Verde",S44)),"Cabo Verde",
ISNUMBER(SEARCH("Czechia",S44)),"Czech Republic",
ISNUMBER(SEARCH("Türkiye",S44)),"Turkey",
ISNUMBER(SEARCH("Ivory Coast",S44)),"Côte d'Ivoire",
ISNUMBER(SEARCH("Korea Republic",S44)),"South Korea",
ISNUMBER(SEARCH("Germany FR",S44)),"FR Germany",
ISNUMBER(SEARCH("Germany DR",S44)),"DR Germany",
ISNUMBER(SEARCH("Korea DPR",S44)),"North Korea",
ISNUMBER(SEARCH("China PR",S44)),"China",
ISNUMBER(SEARCH("IR Iran",S44)),"Iran",
ISNUMBER(SEARCH("Congo DR",S44)),"Democratic Republic of the Congo",
ISNUMBER(SEARCH("DR Congo",S44)),"Democratic Republic of the Congo",
ISNUMBER(SEARCH("German DR",S44)),"DR Germany",
ISNUMBER(SEARCH("rn""&gt;United Arab Emirates",S44)),"United Arab Emirates",
ISNUMBER(SEARCH("rn""&gt;Republic of Ireland",S44)),"Ireland",
ISNUMBER(SEARCH("rn""&gt;Bosnia and Herzegovina",S44)),"Bosnia and Herzegovina",
ISNUMBER(SEARCH("rn""&gt;Trinidad and Tobago",S44)),"Trinidad and Tobago",
ISNUMBER(SEARCH("rn""&gt;Serbia and Montenegro",S44)),"Serbia and Montenegro",
ISNUMBER(SEARCH("te d'Ivoire",S44)),"Côte d'Ivoire",
TRUE,""
)</f>
        <v/>
      </c>
      <c r="W44" s="34" t="str">
        <f t="shared" si="5"/>
        <v>South Africa</v>
      </c>
      <c r="X44" s="95" t="str">
        <v>FR Germany</v>
      </c>
      <c r="Z44" s="40" t="str">
        <v>Parque Central</v>
      </c>
      <c r="AA44" s="40" t="str" cm="1">
        <f t="array" ref="AA44">IFERROR(_xlfn.XLOOKUP(Z44,_xlfn.ANCHORARRAY(Z$31),AA$31:AA$37),Z44)</f>
        <v>Parque Central</v>
      </c>
      <c r="AB44" s="42" t="str">
        <v xml:space="preserve">Montevideo </v>
      </c>
      <c r="AC44" s="89" t="str">
        <f t="shared" si="7"/>
        <v xml:space="preserve">Montevideo </v>
      </c>
      <c r="AF44" s="13">
        <v>29.8</v>
      </c>
      <c r="AG44" s="7"/>
      <c r="AH44" s="7"/>
      <c r="AI44" s="7"/>
      <c r="AJ44" s="7"/>
      <c r="AK44" s="7"/>
      <c r="AL44" s="7"/>
      <c r="AM44" s="7"/>
      <c r="AN44" s="7"/>
      <c r="AV44" s="37" t="str">
        <v>QUARTER_FINALS</v>
      </c>
      <c r="AW44" s="89" t="str">
        <v>SEMI_FINALS</v>
      </c>
      <c r="AY44" s="42" cm="1">
        <f t="array" ref="AY44">INDEX(_xlfn.UNIQUE(DATA_CLEANED!AF35:'DATA_CLEANED'!AF1092),INT((ROWS(AY$12:AY44)-1)/3)+1)</f>
        <v>1982</v>
      </c>
      <c r="AZ44" s="42" t="s">
        <v>3561</v>
      </c>
      <c r="BA44" s="42" cm="1">
        <f t="array" ref="BA44">INDEX($BA$12:$BA$14,MOD(ROWS($BA$15:BA44)-1,3)+1)</f>
        <v>1</v>
      </c>
      <c r="BB44" s="42">
        <f>COUNTIFS(DATA_CLEANED!AH$3:AH$1060,AZ44,DATA_CLEANED!AF$3:AF$1060,AY44)</f>
        <v>1</v>
      </c>
      <c r="BC44" s="89" t="str">
        <f t="shared" ref="BC44:BC71" si="8">IF(BA44&gt;BB44,"Donnée manquante",IF(BA44&lt;BB44,"A VERIFIER","OK"))</f>
        <v>OK</v>
      </c>
      <c r="BE44" s="43" t="str">
        <f>IF(OR(DATA_CLEANED!AL35="",DATA_CLEANED!AM35=""),"MANQUANT",IF(OR(NOT(ISNUMBER(DATA_CLEANED!AL35)),NOT(ISNUMBER(DATA_CLEANED!AM35))),"ENTREE INVALIDE",IF(OR(DATA_CLEANED!AL35&lt;0,DATA_CLEANED!AM35&lt;0),"SCORE NEGATIF","OK")))</f>
        <v>OK</v>
      </c>
      <c r="BF44" s="43" t="str">
        <f>IF(DATA_CLEANED!AK35&lt;&gt;DATA_CLEANED!AN35,"OK","ERREUR")</f>
        <v>OK</v>
      </c>
      <c r="BG44" s="43" t="str">
        <f>IF(DATA_CLEANED!AL35&gt;DATA_CLEANED!AM35,DATA_CLEANED!AK35,IF(AND(DATA_QUALITE!W4521="-",DATA_CLEANED!AM35=DATA_CLEANED!AL35),"MATCH NUL",IF(AND(DATA_QUALITE!V4521="-",DATA_QUALITE!U4521="AUCUNE"),DATA_QUALITE!T4521,IF(DATA_QUALITE!V4521&lt;&gt;"-",DATA_QUALITE!V4521,DATA_CLEANED!AN35))))</f>
        <v>Czechoslovakia</v>
      </c>
      <c r="BH44" s="103" t="str">
        <f>IF(AND(BG44="MATCH NUL",DATA_CLEANED!AO35="-"),"MATCH_NUL",IF(ISNUMBER(SEARCH("win on penalties",W4521)),"WIN_BY_PENALTY",IF(ISNUMBER(SEARCH("win after extra time",W4521)),"WIN_BY_EXTRA_TIME",IF(ISNUMBER(SEARCH("Golden Goal",W4521)),"WIN_BY_GOLDEN_GOAL","WIN_BY_SCORE"))))</f>
        <v>WIN_BY_SCORE</v>
      </c>
      <c r="BI44" s="99" t="str">
        <f>IF(OR(BG44=DATA_CLEANED!AK35,BG44=DATA_CLEANED!AN35,BG44="MATCH NUL"),"OK","ERREUR")</f>
        <v>OK</v>
      </c>
    </row>
    <row r="45" spans="2:66">
      <c r="B45" s="73" t="str">
        <v>Croatia</v>
      </c>
      <c r="C45" s="13" t="str">
        <v>27.9</v>
      </c>
      <c r="D45" s="13">
        <v>24</v>
      </c>
      <c r="E45" s="13">
        <v>34</v>
      </c>
      <c r="F45" s="13">
        <v>49</v>
      </c>
      <c r="G45" s="13" t="str">
        <f t="shared" si="6"/>
        <v>Croatia|27.9|24|34|49</v>
      </c>
      <c r="H45" s="13" t="str">
        <f>IF(COUNTIF($G$32:G45,G45)&gt;1,"DOUBLON","OK")</f>
        <v>OK</v>
      </c>
      <c r="R45" s="23" t="s">
        <v>3615</v>
      </c>
      <c r="S45" s="13" t="str">
        <v>Canada</v>
      </c>
      <c r="T45" s="13" t="str">
        <f t="shared" si="2"/>
        <v>OK</v>
      </c>
      <c r="U45" s="13" t="str">
        <f t="shared" si="4"/>
        <v>-</v>
      </c>
      <c r="V45" s="13" t="str" cm="1">
        <f t="array" ref="V45">_xlfn.IFS(
ISNUMBER(SEARCH("USA",S45)),"United States",
ISNUMBER(SEARCH("Republic of Korea",S45)),"South Korea",
ISNUMBER(SEARCH("Cape Verde",S45)),"Cabo Verde",
ISNUMBER(SEARCH("Czechia",S45)),"Czech Republic",
ISNUMBER(SEARCH("Türkiye",S45)),"Turkey",
ISNUMBER(SEARCH("Ivory Coast",S45)),"Côte d'Ivoire",
ISNUMBER(SEARCH("Korea Republic",S45)),"South Korea",
ISNUMBER(SEARCH("Germany FR",S45)),"FR Germany",
ISNUMBER(SEARCH("Germany DR",S45)),"DR Germany",
ISNUMBER(SEARCH("Korea DPR",S45)),"North Korea",
ISNUMBER(SEARCH("China PR",S45)),"China",
ISNUMBER(SEARCH("IR Iran",S45)),"Iran",
ISNUMBER(SEARCH("Congo DR",S45)),"Democratic Republic of the Congo",
ISNUMBER(SEARCH("DR Congo",S45)),"Democratic Republic of the Congo",
ISNUMBER(SEARCH("German DR",S45)),"DR Germany",
ISNUMBER(SEARCH("rn""&gt;United Arab Emirates",S45)),"United Arab Emirates",
ISNUMBER(SEARCH("rn""&gt;Republic of Ireland",S45)),"Ireland",
ISNUMBER(SEARCH("rn""&gt;Bosnia and Herzegovina",S45)),"Bosnia and Herzegovina",
ISNUMBER(SEARCH("rn""&gt;Trinidad and Tobago",S45)),"Trinidad and Tobago",
ISNUMBER(SEARCH("rn""&gt;Serbia and Montenegro",S45)),"Serbia and Montenegro",
ISNUMBER(SEARCH("te d'Ivoire",S45)),"Côte d'Ivoire",
TRUE,""
)</f>
        <v/>
      </c>
      <c r="W45" s="34" t="str">
        <f t="shared" si="5"/>
        <v>Canada</v>
      </c>
      <c r="X45" s="95" t="str">
        <v>France</v>
      </c>
      <c r="Z45" s="40" t="str">
        <v>Parque Central</v>
      </c>
      <c r="AA45" s="40" t="str" cm="1">
        <f t="array" ref="AA45">IFERROR(_xlfn.XLOOKUP(Z45,_xlfn.ANCHORARRAY(Z$31),AA$31:AA$37),Z45)</f>
        <v>Parque Central</v>
      </c>
      <c r="AB45" s="42" t="str">
        <v xml:space="preserve">Montevideo </v>
      </c>
      <c r="AC45" s="89" t="str">
        <f t="shared" si="7"/>
        <v xml:space="preserve">Montevideo </v>
      </c>
      <c r="AF45" s="13">
        <v>28.7</v>
      </c>
      <c r="AG45" s="7"/>
      <c r="AH45" s="7"/>
      <c r="AI45" s="7"/>
      <c r="AJ45" s="7"/>
      <c r="AK45" s="7"/>
      <c r="AL45" s="7"/>
      <c r="AM45" s="7"/>
      <c r="AN45" s="7"/>
      <c r="AV45" s="37" t="str">
        <v>QUARTER_FINALS</v>
      </c>
      <c r="AW45" s="89" t="str">
        <v>THIRD_PLACE</v>
      </c>
      <c r="AY45" s="42" cm="1">
        <f t="array" ref="AY45">INDEX(_xlfn.UNIQUE(DATA_CLEANED!AF36:'DATA_CLEANED'!AF1093),INT((ROWS(AY$12:AY45)-1)/3)+1)</f>
        <v>1986</v>
      </c>
      <c r="AZ45" s="42" t="s">
        <v>3560</v>
      </c>
      <c r="BA45" s="42">
        <v>4</v>
      </c>
      <c r="BB45" s="42">
        <f>COUNTIFS(DATA_CLEANED!AH$3:AH$1060,AZ45,DATA_CLEANED!AF$3:AF$1060,AY45)</f>
        <v>4</v>
      </c>
      <c r="BC45" s="89" t="str">
        <f t="shared" si="8"/>
        <v>OK</v>
      </c>
      <c r="BE45" s="43" t="str">
        <f>IF(OR(DATA_CLEANED!AL36="",DATA_CLEANED!AM36=""),"MANQUANT",IF(OR(NOT(ISNUMBER(DATA_CLEANED!AL36)),NOT(ISNUMBER(DATA_CLEANED!AM36))),"ENTREE INVALIDE",IF(OR(DATA_CLEANED!AL36&lt;0,DATA_CLEANED!AM36&lt;0),"SCORE NEGATIF","OK")))</f>
        <v>OK</v>
      </c>
      <c r="BF45" s="43" t="str">
        <f>IF(DATA_CLEANED!AK36&lt;&gt;DATA_CLEANED!AN36,"OK","ERREUR")</f>
        <v>OK</v>
      </c>
      <c r="BG45" s="43" t="str">
        <f>IF(DATA_CLEANED!AL36&gt;DATA_CLEANED!AM36,DATA_CLEANED!AK36,IF(AND(DATA_QUALITE!W4522="-",DATA_CLEANED!AM36=DATA_CLEANED!AL36),"MATCH NUL",IF(AND(DATA_QUALITE!V4522="-",DATA_QUALITE!U4522="AUCUNE"),DATA_QUALITE!T4522,IF(DATA_QUALITE!V4522&lt;&gt;"-",DATA_QUALITE!V4522,DATA_CLEANED!AN36))))</f>
        <v>Germany</v>
      </c>
      <c r="BH45" s="103" t="str">
        <f>IF(AND(BG45="MATCH NUL",DATA_CLEANED!AO36="-"),"MATCH_NUL",IF(ISNUMBER(SEARCH("win on penalties",W4522)),"WIN_BY_PENALTY",IF(ISNUMBER(SEARCH("win after extra time",W4522)),"WIN_BY_EXTRA_TIME",IF(ISNUMBER(SEARCH("Golden Goal",W4522)),"WIN_BY_GOLDEN_GOAL","WIN_BY_SCORE"))))</f>
        <v>WIN_BY_SCORE</v>
      </c>
      <c r="BI45" s="99" t="str">
        <f>IF(OR(BG45=DATA_CLEANED!AK36,BG45=DATA_CLEANED!AN36,BG45="MATCH NUL"),"OK","ERREUR")</f>
        <v>OK</v>
      </c>
    </row>
    <row r="46" spans="2:66">
      <c r="B46" s="73" t="str">
        <v>Austria</v>
      </c>
      <c r="C46" s="13" t="str">
        <v>28.2</v>
      </c>
      <c r="D46" s="13">
        <v>22</v>
      </c>
      <c r="E46" s="13">
        <v>31</v>
      </c>
      <c r="F46" s="13">
        <v>46</v>
      </c>
      <c r="G46" s="13" t="str">
        <f t="shared" si="6"/>
        <v>Austria|28.2|22|31|46</v>
      </c>
      <c r="H46" s="13" t="str">
        <f>IF(COUNTIF($G$32:G46,G46)&gt;1,"DOUBLON","OK")</f>
        <v>OK</v>
      </c>
      <c r="R46" s="23" t="s">
        <v>85</v>
      </c>
      <c r="S46" s="13" t="str">
        <v>New Zealand</v>
      </c>
      <c r="T46" s="13" t="str">
        <f t="shared" si="2"/>
        <v>OK</v>
      </c>
      <c r="U46" s="13" t="str">
        <f t="shared" si="4"/>
        <v>-</v>
      </c>
      <c r="V46" s="13" t="str" cm="1">
        <f t="array" ref="V46">_xlfn.IFS(
ISNUMBER(SEARCH("USA",S46)),"United States",
ISNUMBER(SEARCH("Republic of Korea",S46)),"South Korea",
ISNUMBER(SEARCH("Cape Verde",S46)),"Cabo Verde",
ISNUMBER(SEARCH("Czechia",S46)),"Czech Republic",
ISNUMBER(SEARCH("Türkiye",S46)),"Turkey",
ISNUMBER(SEARCH("Ivory Coast",S46)),"Côte d'Ivoire",
ISNUMBER(SEARCH("Korea Republic",S46)),"South Korea",
ISNUMBER(SEARCH("Germany FR",S46)),"FR Germany",
ISNUMBER(SEARCH("Germany DR",S46)),"DR Germany",
ISNUMBER(SEARCH("Korea DPR",S46)),"North Korea",
ISNUMBER(SEARCH("China PR",S46)),"China",
ISNUMBER(SEARCH("IR Iran",S46)),"Iran",
ISNUMBER(SEARCH("Congo DR",S46)),"Democratic Republic of the Congo",
ISNUMBER(SEARCH("DR Congo",S46)),"Democratic Republic of the Congo",
ISNUMBER(SEARCH("German DR",S46)),"DR Germany",
ISNUMBER(SEARCH("rn""&gt;United Arab Emirates",S46)),"United Arab Emirates",
ISNUMBER(SEARCH("rn""&gt;Republic of Ireland",S46)),"Ireland",
ISNUMBER(SEARCH("rn""&gt;Bosnia and Herzegovina",S46)),"Bosnia and Herzegovina",
ISNUMBER(SEARCH("rn""&gt;Trinidad and Tobago",S46)),"Trinidad and Tobago",
ISNUMBER(SEARCH("rn""&gt;Serbia and Montenegro",S46)),"Serbia and Montenegro",
ISNUMBER(SEARCH("te d'Ivoire",S46)),"Côte d'Ivoire",
TRUE,""
)</f>
        <v/>
      </c>
      <c r="W46" s="34" t="str">
        <f t="shared" si="5"/>
        <v>New Zealand</v>
      </c>
      <c r="X46" s="95" t="str">
        <v>Germany</v>
      </c>
      <c r="Z46" s="40" t="str">
        <v>Parque Central</v>
      </c>
      <c r="AA46" s="40" t="str" cm="1">
        <f t="array" ref="AA46">IFERROR(_xlfn.XLOOKUP(Z46,_xlfn.ANCHORARRAY(Z$31),AA$31:AA$37),Z46)</f>
        <v>Parque Central</v>
      </c>
      <c r="AB46" s="42" t="str">
        <v xml:space="preserve">Montevideo </v>
      </c>
      <c r="AC46" s="89" t="str">
        <f t="shared" si="7"/>
        <v xml:space="preserve">Montevideo </v>
      </c>
      <c r="AF46" s="13">
        <v>26.3</v>
      </c>
      <c r="AG46" s="7"/>
      <c r="AH46" s="7"/>
      <c r="AI46" s="7"/>
      <c r="AJ46" s="7"/>
      <c r="AK46" s="7"/>
      <c r="AL46" s="7"/>
      <c r="AM46" s="7"/>
      <c r="AN46" s="7"/>
      <c r="AV46" s="37" t="str">
        <v>QUARTER_FINALS</v>
      </c>
      <c r="AW46" s="89" t="str">
        <v>FINAL</v>
      </c>
      <c r="AY46" s="42" cm="1">
        <f t="array" ref="AY46">INDEX(_xlfn.UNIQUE(DATA_CLEANED!AF37:'DATA_CLEANED'!AF1094),INT((ROWS(AY$12:AY46)-1)/3)+1)</f>
        <v>1986</v>
      </c>
      <c r="AZ46" s="42" t="s">
        <v>3562</v>
      </c>
      <c r="BA46" s="42" cm="1">
        <f t="array" ref="BA46">INDEX($BA$12:$BA$14,MOD(ROWS($BA$15:BA46)-1,3)+1)</f>
        <v>2</v>
      </c>
      <c r="BB46" s="42">
        <f>COUNTIFS(DATA_CLEANED!AH$3:AH$1060,AZ46,DATA_CLEANED!AF$3:AF$1060,AY46)</f>
        <v>2</v>
      </c>
      <c r="BC46" s="89" t="str">
        <f t="shared" si="8"/>
        <v>OK</v>
      </c>
      <c r="BE46" s="43" t="str">
        <f>IF(OR(DATA_CLEANED!AL37="",DATA_CLEANED!AM37=""),"MANQUANT",IF(OR(NOT(ISNUMBER(DATA_CLEANED!AL37)),NOT(ISNUMBER(DATA_CLEANED!AM37))),"ENTREE INVALIDE",IF(OR(DATA_CLEANED!AL37&lt;0,DATA_CLEANED!AM37&lt;0),"SCORE NEGATIF","OK")))</f>
        <v>OK</v>
      </c>
      <c r="BF46" s="43" t="str">
        <f>IF(DATA_CLEANED!AK37&lt;&gt;DATA_CLEANED!AN37,"OK","ERREUR")</f>
        <v>OK</v>
      </c>
      <c r="BG46" s="43" t="str">
        <f>IF(DATA_CLEANED!AL37&gt;DATA_CLEANED!AM37,DATA_CLEANED!AK37,IF(AND(DATA_QUALITE!W4523="-",DATA_CLEANED!AM37=DATA_CLEANED!AL37),"MATCH NUL",IF(AND(DATA_QUALITE!V4523="-",DATA_QUALITE!U4523="AUCUNE"),DATA_QUALITE!T4523,IF(DATA_QUALITE!V4523&lt;&gt;"-",DATA_QUALITE!V4523,DATA_CLEANED!AN37))))</f>
        <v>Italy</v>
      </c>
      <c r="BH46" s="103" t="str">
        <f>IF(AND(BG46="MATCH NUL",DATA_CLEANED!AO37="-"),"MATCH_NUL",IF(ISNUMBER(SEARCH("win on penalties",W4523)),"WIN_BY_PENALTY",IF(ISNUMBER(SEARCH("win after extra time",W4523)),"WIN_BY_EXTRA_TIME",IF(ISNUMBER(SEARCH("Golden Goal",W4523)),"WIN_BY_GOLDEN_GOAL","WIN_BY_SCORE"))))</f>
        <v>WIN_BY_EXTRA_TIME</v>
      </c>
      <c r="BI46" s="99" t="str">
        <f>IF(OR(BG46=DATA_CLEANED!AK37,BG46=DATA_CLEANED!AN37,BG46="MATCH NUL"),"OK","ERREUR")</f>
        <v>OK</v>
      </c>
    </row>
    <row r="47" spans="2:66">
      <c r="B47" s="73" t="str">
        <v>Colombia</v>
      </c>
      <c r="C47" s="13" t="str">
        <v>29.6</v>
      </c>
      <c r="D47" s="13">
        <v>24</v>
      </c>
      <c r="E47" s="13">
        <v>28</v>
      </c>
      <c r="F47" s="13">
        <v>40</v>
      </c>
      <c r="G47" s="13" t="str">
        <f t="shared" si="6"/>
        <v>Colombia|29.6|24|28|40</v>
      </c>
      <c r="H47" s="13" t="str">
        <f>IF(COUNTIF($G$32:G47,G47)&gt;1,"DOUBLON","OK")</f>
        <v>OK</v>
      </c>
      <c r="R47" s="23" t="s">
        <v>3616</v>
      </c>
      <c r="S47" s="13" t="str">
        <v>Bosnia and Herzegovina</v>
      </c>
      <c r="T47" s="13" t="str">
        <f t="shared" si="2"/>
        <v>OK</v>
      </c>
      <c r="U47" s="13" t="str">
        <f t="shared" si="4"/>
        <v>-</v>
      </c>
      <c r="V47" s="13" t="str" cm="1">
        <f t="array" ref="V47">_xlfn.IFS(
ISNUMBER(SEARCH("USA",S47)),"United States",
ISNUMBER(SEARCH("Republic of Korea",S47)),"South Korea",
ISNUMBER(SEARCH("Cape Verde",S47)),"Cabo Verde",
ISNUMBER(SEARCH("Czechia",S47)),"Czech Republic",
ISNUMBER(SEARCH("Türkiye",S47)),"Turkey",
ISNUMBER(SEARCH("Ivory Coast",S47)),"Côte d'Ivoire",
ISNUMBER(SEARCH("Korea Republic",S47)),"South Korea",
ISNUMBER(SEARCH("Germany FR",S47)),"FR Germany",
ISNUMBER(SEARCH("Germany DR",S47)),"DR Germany",
ISNUMBER(SEARCH("Korea DPR",S47)),"North Korea",
ISNUMBER(SEARCH("China PR",S47)),"China",
ISNUMBER(SEARCH("IR Iran",S47)),"Iran",
ISNUMBER(SEARCH("Congo DR",S47)),"Democratic Republic of the Congo",
ISNUMBER(SEARCH("DR Congo",S47)),"Democratic Republic of the Congo",
ISNUMBER(SEARCH("German DR",S47)),"DR Germany",
ISNUMBER(SEARCH("rn""&gt;United Arab Emirates",S47)),"United Arab Emirates",
ISNUMBER(SEARCH("rn""&gt;Republic of Ireland",S47)),"Ireland",
ISNUMBER(SEARCH("rn""&gt;Bosnia and Herzegovina",S47)),"Bosnia and Herzegovina",
ISNUMBER(SEARCH("rn""&gt;Trinidad and Tobago",S47)),"Trinidad and Tobago",
ISNUMBER(SEARCH("rn""&gt;Serbia and Montenegro",S47)),"Serbia and Montenegro",
ISNUMBER(SEARCH("te d'Ivoire",S47)),"Côte d'Ivoire",
TRUE,""
)</f>
        <v/>
      </c>
      <c r="W47" s="34" t="str">
        <f t="shared" si="5"/>
        <v>Bosnia and Herzegovina</v>
      </c>
      <c r="X47" s="95" t="str">
        <v>Ghana</v>
      </c>
      <c r="Z47" s="40" t="str">
        <v>Parque Central</v>
      </c>
      <c r="AA47" s="40" t="str" cm="1">
        <f t="array" ref="AA47">IFERROR(_xlfn.XLOOKUP(Z47,_xlfn.ANCHORARRAY(Z$31),AA$31:AA$37),Z47)</f>
        <v>Parque Central</v>
      </c>
      <c r="AB47" s="42" t="str">
        <v xml:space="preserve">Montevideo </v>
      </c>
      <c r="AC47" s="89" t="str">
        <f t="shared" si="7"/>
        <v xml:space="preserve">Montevideo </v>
      </c>
      <c r="AF47" s="13">
        <v>26.5</v>
      </c>
      <c r="AG47" s="7"/>
      <c r="AH47" s="7"/>
      <c r="AI47" s="7"/>
      <c r="AJ47" s="7"/>
      <c r="AK47" s="7"/>
      <c r="AL47" s="7"/>
      <c r="AM47" s="7"/>
      <c r="AN47" s="7"/>
      <c r="AV47" s="37" t="str">
        <v>QUARTER_FINALS</v>
      </c>
      <c r="AW47" s="89" t="str">
        <v>GROUP_STAGE</v>
      </c>
      <c r="AY47" s="42" cm="1">
        <f t="array" ref="AY47">INDEX(_xlfn.UNIQUE(DATA_CLEANED!AF38:'DATA_CLEANED'!AF1095),INT((ROWS(AY$12:AY47)-1)/3)+1)</f>
        <v>1990</v>
      </c>
      <c r="AZ47" s="42" t="s">
        <v>3561</v>
      </c>
      <c r="BA47" s="42" cm="1">
        <f t="array" ref="BA47">INDEX($BA$12:$BA$14,MOD(ROWS($BA$15:BA47)-1,3)+1)</f>
        <v>1</v>
      </c>
      <c r="BB47" s="42">
        <f>COUNTIFS(DATA_CLEANED!AH$3:AH$1060,AZ47,DATA_CLEANED!AF$3:AF$1060,AY47)</f>
        <v>1</v>
      </c>
      <c r="BC47" s="89" t="str">
        <f t="shared" si="8"/>
        <v>OK</v>
      </c>
      <c r="BE47" s="43" t="str">
        <f>IF(OR(DATA_CLEANED!AL38="",DATA_CLEANED!AM38=""),"MANQUANT",IF(OR(NOT(ISNUMBER(DATA_CLEANED!AL38)),NOT(ISNUMBER(DATA_CLEANED!AM38))),"ENTREE INVALIDE",IF(OR(DATA_CLEANED!AL38&lt;0,DATA_CLEANED!AM38&lt;0),"SCORE NEGATIF","OK")))</f>
        <v>OK</v>
      </c>
      <c r="BF47" s="43" t="str">
        <f>IF(DATA_CLEANED!AK38&lt;&gt;DATA_CLEANED!AN38,"OK","ERREUR")</f>
        <v>OK</v>
      </c>
      <c r="BG47" s="43" t="str">
        <f>IF(DATA_CLEANED!AL38&gt;DATA_CLEANED!AM38,DATA_CLEANED!AK38,IF(AND(DATA_QUALITE!W4524="-",DATA_CLEANED!AM38=DATA_CLEANED!AL38),"MATCH NUL",IF(AND(DATA_QUALITE!V4524="-",DATA_QUALITE!U4524="AUCUNE"),DATA_QUALITE!T4524,IF(DATA_QUALITE!V4524&lt;&gt;"-",DATA_QUALITE!V4524,DATA_CLEANED!AN38))))</f>
        <v>MATCH NUL</v>
      </c>
      <c r="BH47" s="103" t="str">
        <f>IF(AND(BG47="MATCH NUL",DATA_CLEANED!AO38="-"),"MATCH_NUL",IF(ISNUMBER(SEARCH("win on penalties",W4524)),"WIN_BY_PENALTY",IF(ISNUMBER(SEARCH("win after extra time",W4524)),"WIN_BY_EXTRA_TIME",IF(ISNUMBER(SEARCH("Golden Goal",W4524)),"WIN_BY_GOLDEN_GOAL","WIN_BY_SCORE"))))</f>
        <v>MATCH_NUL</v>
      </c>
      <c r="BI47" s="99" t="str">
        <f>IF(OR(BG47=DATA_CLEANED!AK38,BG47=DATA_CLEANED!AN38,BG47="MATCH NUL"),"OK","ERREUR")</f>
        <v>OK</v>
      </c>
    </row>
    <row r="48" spans="2:66">
      <c r="B48" s="73" t="str">
        <v>Paraguay</v>
      </c>
      <c r="C48" s="13" t="str">
        <v>28.5</v>
      </c>
      <c r="D48" s="13">
        <v>22</v>
      </c>
      <c r="E48" s="13">
        <v>32</v>
      </c>
      <c r="F48" s="13">
        <v>33</v>
      </c>
      <c r="G48" s="13" t="str">
        <f t="shared" si="6"/>
        <v>Paraguay|28.5|22|32|33</v>
      </c>
      <c r="H48" s="13" t="str">
        <f>IF(COUNTIF($G$32:G48,G48)&gt;1,"DOUBLON","OK")</f>
        <v>OK</v>
      </c>
      <c r="R48" s="23" t="s">
        <v>51</v>
      </c>
      <c r="S48" s="13" t="str">
        <v>Côte d'Ivoire</v>
      </c>
      <c r="T48" s="13" t="str">
        <f t="shared" si="2"/>
        <v>OK</v>
      </c>
      <c r="U48" s="13" t="str">
        <f t="shared" si="4"/>
        <v>-</v>
      </c>
      <c r="V48" s="13" t="str" cm="1">
        <f t="array" ref="V48">_xlfn.IFS(
ISNUMBER(SEARCH("USA",S48)),"United States",
ISNUMBER(SEARCH("Republic of Korea",S48)),"South Korea",
ISNUMBER(SEARCH("Cape Verde",S48)),"Cabo Verde",
ISNUMBER(SEARCH("Czechia",S48)),"Czech Republic",
ISNUMBER(SEARCH("Türkiye",S48)),"Turkey",
ISNUMBER(SEARCH("Ivory Coast",S48)),"Côte d'Ivoire",
ISNUMBER(SEARCH("Korea Republic",S48)),"South Korea",
ISNUMBER(SEARCH("Germany FR",S48)),"FR Germany",
ISNUMBER(SEARCH("Germany DR",S48)),"DR Germany",
ISNUMBER(SEARCH("Korea DPR",S48)),"North Korea",
ISNUMBER(SEARCH("China PR",S48)),"China",
ISNUMBER(SEARCH("IR Iran",S48)),"Iran",
ISNUMBER(SEARCH("Congo DR",S48)),"Democratic Republic of the Congo",
ISNUMBER(SEARCH("DR Congo",S48)),"Democratic Republic of the Congo",
ISNUMBER(SEARCH("German DR",S48)),"DR Germany",
ISNUMBER(SEARCH("rn""&gt;United Arab Emirates",S48)),"United Arab Emirates",
ISNUMBER(SEARCH("rn""&gt;Republic of Ireland",S48)),"Ireland",
ISNUMBER(SEARCH("rn""&gt;Bosnia and Herzegovina",S48)),"Bosnia and Herzegovina",
ISNUMBER(SEARCH("rn""&gt;Trinidad and Tobago",S48)),"Trinidad and Tobago",
ISNUMBER(SEARCH("rn""&gt;Serbia and Montenegro",S48)),"Serbia and Montenegro",
ISNUMBER(SEARCH("te d'Ivoire",S48)),"Côte d'Ivoire",
TRUE,""
)</f>
        <v>Côte d'Ivoire</v>
      </c>
      <c r="W48" s="34" t="str">
        <f t="shared" si="5"/>
        <v>Côte d'Ivoire</v>
      </c>
      <c r="X48" s="95" t="str">
        <v>Greece</v>
      </c>
      <c r="Z48" s="40" t="str">
        <v>Estadio Centenario</v>
      </c>
      <c r="AA48" s="40" t="str" cm="1">
        <f t="array" ref="AA48">IFERROR(_xlfn.XLOOKUP(Z48,_xlfn.ANCHORARRAY(Z$31),AA$31:AA$37),Z48)</f>
        <v>Estadio Centenario</v>
      </c>
      <c r="AB48" s="42" t="str">
        <v xml:space="preserve">Montevideo </v>
      </c>
      <c r="AC48" s="89" t="str">
        <f t="shared" si="7"/>
        <v xml:space="preserve">Montevideo </v>
      </c>
      <c r="AF48" s="13">
        <v>27.8</v>
      </c>
      <c r="AG48" s="7"/>
      <c r="AH48" s="7"/>
      <c r="AI48" s="7"/>
      <c r="AJ48" s="7"/>
      <c r="AK48" s="7"/>
      <c r="AL48" s="7"/>
      <c r="AM48" s="7"/>
      <c r="AN48" s="7"/>
      <c r="AV48" s="37" t="str">
        <v>QUARTER_FINALS</v>
      </c>
      <c r="AW48" s="89" t="str">
        <v>GROUP_STAGE</v>
      </c>
      <c r="AY48" s="42" cm="1">
        <f t="array" ref="AY48">INDEX(_xlfn.UNIQUE(DATA_CLEANED!AF39:'DATA_CLEANED'!AF1096),INT((ROWS(AY$12:AY48)-1)/3)+1)</f>
        <v>1994</v>
      </c>
      <c r="AZ48" s="42" t="s">
        <v>3560</v>
      </c>
      <c r="BA48" s="42">
        <v>4</v>
      </c>
      <c r="BB48" s="42">
        <f>COUNTIFS(DATA_CLEANED!AH$3:AH$1060,AZ48,DATA_CLEANED!AF$3:AF$1060,AY48)</f>
        <v>4</v>
      </c>
      <c r="BC48" s="89" t="str">
        <f t="shared" si="8"/>
        <v>OK</v>
      </c>
      <c r="BE48" s="43" t="str">
        <f>IF(OR(DATA_CLEANED!AL39="",DATA_CLEANED!AM39=""),"MANQUANT",IF(OR(NOT(ISNUMBER(DATA_CLEANED!AL39)),NOT(ISNUMBER(DATA_CLEANED!AM39))),"ENTREE INVALIDE",IF(OR(DATA_CLEANED!AL39&lt;0,DATA_CLEANED!AM39&lt;0),"SCORE NEGATIF","OK")))</f>
        <v>OK</v>
      </c>
      <c r="BF48" s="43" t="str">
        <f>IF(DATA_CLEANED!AK39&lt;&gt;DATA_CLEANED!AN39,"OK","ERREUR")</f>
        <v>OK</v>
      </c>
      <c r="BG48" s="43" t="str">
        <f>IF(DATA_CLEANED!AL39&gt;DATA_CLEANED!AM39,DATA_CLEANED!AK39,IF(AND(DATA_QUALITE!W4525="-",DATA_CLEANED!AM39=DATA_CLEANED!AL39),"MATCH NUL",IF(AND(DATA_QUALITE!V4525="-",DATA_QUALITE!U4525="AUCUNE"),DATA_QUALITE!T4525,IF(DATA_QUALITE!V4525&lt;&gt;"-",DATA_QUALITE!V4525,DATA_CLEANED!AN39))))</f>
        <v>Hungary</v>
      </c>
      <c r="BH48" s="103" t="str">
        <f>IF(AND(BG48="MATCH NUL",DATA_CLEANED!AO39="-"),"MATCH_NUL",IF(ISNUMBER(SEARCH("win on penalties",W4525)),"WIN_BY_PENALTY",IF(ISNUMBER(SEARCH("win after extra time",W4525)),"WIN_BY_EXTRA_TIME",IF(ISNUMBER(SEARCH("Golden Goal",W4525)),"WIN_BY_GOLDEN_GOAL","WIN_BY_SCORE"))))</f>
        <v>WIN_BY_SCORE</v>
      </c>
      <c r="BI48" s="99" t="str">
        <f>IF(OR(BG48=DATA_CLEANED!AK39,BG48=DATA_CLEANED!AN39,BG48="MATCH NUL"),"OK","ERREUR")</f>
        <v>OK</v>
      </c>
    </row>
    <row r="49" spans="2:61">
      <c r="B49" s="73" t="str">
        <v>Japan</v>
      </c>
      <c r="C49" s="13" t="str">
        <v>26.9</v>
      </c>
      <c r="D49" s="13">
        <v>23</v>
      </c>
      <c r="E49" s="13">
        <v>29</v>
      </c>
      <c r="F49" s="13">
        <v>33</v>
      </c>
      <c r="G49" s="13" t="str">
        <f t="shared" si="6"/>
        <v>Japan|26.9|23|29|33</v>
      </c>
      <c r="H49" s="13" t="str">
        <f>IF(COUNTIF($G$32:G49,G49)&gt;1,"DOUBLON","OK")</f>
        <v>OK</v>
      </c>
      <c r="R49" s="23" t="s">
        <v>45</v>
      </c>
      <c r="S49" s="13" t="str">
        <v>Haiti</v>
      </c>
      <c r="T49" s="13" t="str">
        <f t="shared" si="2"/>
        <v>OK</v>
      </c>
      <c r="U49" s="13" t="str">
        <f t="shared" si="4"/>
        <v>-</v>
      </c>
      <c r="V49" s="13" t="str" cm="1">
        <f t="array" ref="V49">_xlfn.IFS(
ISNUMBER(SEARCH("USA",S49)),"United States",
ISNUMBER(SEARCH("Republic of Korea",S49)),"South Korea",
ISNUMBER(SEARCH("Cape Verde",S49)),"Cabo Verde",
ISNUMBER(SEARCH("Czechia",S49)),"Czech Republic",
ISNUMBER(SEARCH("Türkiye",S49)),"Turkey",
ISNUMBER(SEARCH("Ivory Coast",S49)),"Côte d'Ivoire",
ISNUMBER(SEARCH("Korea Republic",S49)),"South Korea",
ISNUMBER(SEARCH("Germany FR",S49)),"FR Germany",
ISNUMBER(SEARCH("Germany DR",S49)),"DR Germany",
ISNUMBER(SEARCH("Korea DPR",S49)),"North Korea",
ISNUMBER(SEARCH("China PR",S49)),"China",
ISNUMBER(SEARCH("IR Iran",S49)),"Iran",
ISNUMBER(SEARCH("Congo DR",S49)),"Democratic Republic of the Congo",
ISNUMBER(SEARCH("DR Congo",S49)),"Democratic Republic of the Congo",
ISNUMBER(SEARCH("German DR",S49)),"DR Germany",
ISNUMBER(SEARCH("rn""&gt;United Arab Emirates",S49)),"United Arab Emirates",
ISNUMBER(SEARCH("rn""&gt;Republic of Ireland",S49)),"Ireland",
ISNUMBER(SEARCH("rn""&gt;Bosnia and Herzegovina",S49)),"Bosnia and Herzegovina",
ISNUMBER(SEARCH("rn""&gt;Trinidad and Tobago",S49)),"Trinidad and Tobago",
ISNUMBER(SEARCH("rn""&gt;Serbia and Montenegro",S49)),"Serbia and Montenegro",
ISNUMBER(SEARCH("te d'Ivoire",S49)),"Côte d'Ivoire",
TRUE,""
)</f>
        <v/>
      </c>
      <c r="W49" s="34" t="str">
        <f t="shared" si="5"/>
        <v>Haiti</v>
      </c>
      <c r="X49" s="95" t="str">
        <v>Haiti</v>
      </c>
      <c r="Z49" s="40" t="str">
        <v>Estadio Centenario</v>
      </c>
      <c r="AA49" s="40" t="str" cm="1">
        <f t="array" ref="AA49">IFERROR(_xlfn.XLOOKUP(Z49,_xlfn.ANCHORARRAY(Z$31),AA$31:AA$37),Z49)</f>
        <v>Estadio Centenario</v>
      </c>
      <c r="AB49" s="42" t="str">
        <v xml:space="preserve">Montevideo </v>
      </c>
      <c r="AC49" s="89" t="str">
        <f t="shared" si="7"/>
        <v xml:space="preserve">Montevideo </v>
      </c>
      <c r="AF49" s="13">
        <v>26</v>
      </c>
      <c r="AG49" s="7"/>
      <c r="AH49" s="7"/>
      <c r="AI49" s="7"/>
      <c r="AJ49" s="7"/>
      <c r="AK49" s="7"/>
      <c r="AL49" s="7"/>
      <c r="AM49" s="7"/>
      <c r="AN49" s="7"/>
      <c r="AV49" s="37" t="str">
        <v>QUARTER_FINALS</v>
      </c>
      <c r="AW49" s="89" t="str">
        <v>GROUP_STAGE</v>
      </c>
      <c r="AY49" s="42" cm="1">
        <f t="array" ref="AY49">INDEX(_xlfn.UNIQUE(DATA_CLEANED!AF40:'DATA_CLEANED'!AF1097),INT((ROWS(AY$12:AY49)-1)/3)+1)</f>
        <v>1994</v>
      </c>
      <c r="AZ49" s="42" t="s">
        <v>3562</v>
      </c>
      <c r="BA49" s="42" cm="1">
        <f t="array" ref="BA49">INDEX($BA$12:$BA$14,MOD(ROWS($BA$15:BA49)-1,3)+1)</f>
        <v>2</v>
      </c>
      <c r="BB49" s="42">
        <f>COUNTIFS(DATA_CLEANED!AH$3:AH$1060,AZ49,DATA_CLEANED!AF$3:AF$1060,AY49)</f>
        <v>2</v>
      </c>
      <c r="BC49" s="89" t="str">
        <f t="shared" si="8"/>
        <v>OK</v>
      </c>
      <c r="BE49" s="43" t="str">
        <f>IF(OR(DATA_CLEANED!AL40="",DATA_CLEANED!AM40=""),"MANQUANT",IF(OR(NOT(ISNUMBER(DATA_CLEANED!AL40)),NOT(ISNUMBER(DATA_CLEANED!AM40))),"ENTREE INVALIDE",IF(OR(DATA_CLEANED!AL40&lt;0,DATA_CLEANED!AM40&lt;0),"SCORE NEGATIF","OK")))</f>
        <v>OK</v>
      </c>
      <c r="BF49" s="43" t="str">
        <f>IF(DATA_CLEANED!AK40&lt;&gt;DATA_CLEANED!AN40,"OK","ERREUR")</f>
        <v>OK</v>
      </c>
      <c r="BG49" s="43" t="str">
        <f>IF(DATA_CLEANED!AL40&gt;DATA_CLEANED!AM40,DATA_CLEANED!AK40,IF(AND(DATA_QUALITE!W4526="-",DATA_CLEANED!AM40=DATA_CLEANED!AL40),"MATCH NUL",IF(AND(DATA_QUALITE!V4526="-",DATA_QUALITE!U4526="AUCUNE"),DATA_QUALITE!T4526,IF(DATA_QUALITE!V4526&lt;&gt;"-",DATA_QUALITE!V4526,DATA_CLEANED!AN40))))</f>
        <v>France</v>
      </c>
      <c r="BH49" s="103" t="str">
        <f>IF(AND(BG49="MATCH NUL",DATA_CLEANED!AO40="-"),"MATCH_NUL",IF(ISNUMBER(SEARCH("win on penalties",W4526)),"WIN_BY_PENALTY",IF(ISNUMBER(SEARCH("win after extra time",W4526)),"WIN_BY_EXTRA_TIME",IF(ISNUMBER(SEARCH("Golden Goal",W4526)),"WIN_BY_GOLDEN_GOAL","WIN_BY_SCORE"))))</f>
        <v>WIN_BY_SCORE</v>
      </c>
      <c r="BI49" s="99" t="str">
        <f>IF(OR(BG49=DATA_CLEANED!AK40,BG49=DATA_CLEANED!AN40,BG49="MATCH NUL"),"OK","ERREUR")</f>
        <v>OK</v>
      </c>
    </row>
    <row r="50" spans="2:61">
      <c r="B50" s="73" t="str">
        <v>Morocco</v>
      </c>
      <c r="C50" s="13" t="str">
        <v>26.1</v>
      </c>
      <c r="D50" s="13">
        <v>24</v>
      </c>
      <c r="E50" s="13">
        <v>29</v>
      </c>
      <c r="F50" s="13">
        <v>30</v>
      </c>
      <c r="G50" s="13" t="str">
        <f t="shared" si="6"/>
        <v>Morocco|26.1|24|29|30</v>
      </c>
      <c r="H50" s="13" t="str">
        <f>IF(COUNTIF($G$32:G50,G50)&gt;1,"DOUBLON","OK")</f>
        <v>OK</v>
      </c>
      <c r="R50" s="23" t="s">
        <v>3723</v>
      </c>
      <c r="S50" s="13" t="str">
        <v>USA</v>
      </c>
      <c r="T50" s="13" t="str">
        <f t="shared" si="2"/>
        <v>ERREUR</v>
      </c>
      <c r="U50" s="13" t="str">
        <f t="shared" si="4"/>
        <v>RENOMMER</v>
      </c>
      <c r="V50" s="13" t="str" cm="1">
        <f t="array" ref="V50">_xlfn.IFS(
ISNUMBER(SEARCH("USA",S50)),"United States",
ISNUMBER(SEARCH("Republic of Korea",S50)),"South Korea",
ISNUMBER(SEARCH("Cape Verde",S50)),"Cabo Verde",
ISNUMBER(SEARCH("Czechia",S50)),"Czech Republic",
ISNUMBER(SEARCH("Türkiye",S50)),"Turkey",
ISNUMBER(SEARCH("Ivory Coast",S50)),"Côte d'Ivoire",
ISNUMBER(SEARCH("Korea Republic",S50)),"South Korea",
ISNUMBER(SEARCH("Germany FR",S50)),"FR Germany",
ISNUMBER(SEARCH("Germany DR",S50)),"DR Germany",
ISNUMBER(SEARCH("Korea DPR",S50)),"North Korea",
ISNUMBER(SEARCH("China PR",S50)),"China",
ISNUMBER(SEARCH("IR Iran",S50)),"Iran",
ISNUMBER(SEARCH("Congo DR",S50)),"Democratic Republic of the Congo",
ISNUMBER(SEARCH("DR Congo",S50)),"Democratic Republic of the Congo",
ISNUMBER(SEARCH("German DR",S50)),"DR Germany",
ISNUMBER(SEARCH("rn""&gt;United Arab Emirates",S50)),"United Arab Emirates",
ISNUMBER(SEARCH("rn""&gt;Republic of Ireland",S50)),"Ireland",
ISNUMBER(SEARCH("rn""&gt;Bosnia and Herzegovina",S50)),"Bosnia and Herzegovina",
ISNUMBER(SEARCH("rn""&gt;Trinidad and Tobago",S50)),"Trinidad and Tobago",
ISNUMBER(SEARCH("rn""&gt;Serbia and Montenegro",S50)),"Serbia and Montenegro",
ISNUMBER(SEARCH("te d'Ivoire",S50)),"Côte d'Ivoire",
TRUE,""
)</f>
        <v>United States</v>
      </c>
      <c r="W50" s="34" t="str">
        <f t="shared" si="5"/>
        <v>United States</v>
      </c>
      <c r="X50" s="95" t="str">
        <v>Honduras</v>
      </c>
      <c r="Z50" s="40" t="str">
        <v>Estadio Centenario</v>
      </c>
      <c r="AA50" s="40" t="str" cm="1">
        <f t="array" ref="AA50">IFERROR(_xlfn.XLOOKUP(Z50,_xlfn.ANCHORARRAY(Z$31),AA$31:AA$37),Z50)</f>
        <v>Estadio Centenario</v>
      </c>
      <c r="AB50" s="42" t="str">
        <v xml:space="preserve">Montevideo </v>
      </c>
      <c r="AC50" s="89" t="str">
        <f t="shared" si="7"/>
        <v xml:space="preserve">Montevideo </v>
      </c>
      <c r="AF50" s="13">
        <v>25.3</v>
      </c>
      <c r="AG50" s="7"/>
      <c r="AH50" s="7"/>
      <c r="AI50" s="7"/>
      <c r="AJ50" s="7"/>
      <c r="AK50" s="7"/>
      <c r="AL50" s="7"/>
      <c r="AM50" s="7"/>
      <c r="AN50" s="7"/>
      <c r="AV50" s="37" t="str">
        <v>QUARTER_FINALS</v>
      </c>
      <c r="AW50" s="89" t="str">
        <v>GROUP_STAGE</v>
      </c>
      <c r="AY50" s="42" cm="1">
        <f t="array" ref="AY50">INDEX(_xlfn.UNIQUE(DATA_CLEANED!AF41:'DATA_CLEANED'!AF1098),INT((ROWS(AY$12:AY50)-1)/3)+1)</f>
        <v>1994</v>
      </c>
      <c r="AZ50" s="42" t="s">
        <v>3561</v>
      </c>
      <c r="BA50" s="42" cm="1">
        <f t="array" ref="BA50">INDEX($BA$12:$BA$14,MOD(ROWS($BA$15:BA50)-1,3)+1)</f>
        <v>1</v>
      </c>
      <c r="BB50" s="42">
        <f>COUNTIFS(DATA_CLEANED!AH$3:AH$1060,AZ50,DATA_CLEANED!AF$3:AF$1060,AY50)</f>
        <v>1</v>
      </c>
      <c r="BC50" s="89" t="str">
        <f t="shared" si="8"/>
        <v>OK</v>
      </c>
      <c r="BE50" s="43" t="str">
        <f>IF(OR(DATA_CLEANED!AL41="",DATA_CLEANED!AM41=""),"MANQUANT",IF(OR(NOT(ISNUMBER(DATA_CLEANED!AL41)),NOT(ISNUMBER(DATA_CLEANED!AM41))),"ENTREE INVALIDE",IF(OR(DATA_CLEANED!AL41&lt;0,DATA_CLEANED!AM41&lt;0),"SCORE NEGATIF","OK")))</f>
        <v>OK</v>
      </c>
      <c r="BF50" s="43" t="str">
        <f>IF(DATA_CLEANED!AK41&lt;&gt;DATA_CLEANED!AN41,"OK","ERREUR")</f>
        <v>OK</v>
      </c>
      <c r="BG50" s="43" t="str">
        <f>IF(DATA_CLEANED!AL41&gt;DATA_CLEANED!AM41,DATA_CLEANED!AK41,IF(AND(DATA_QUALITE!W4527="-",DATA_CLEANED!AM41=DATA_CLEANED!AL41),"MATCH NUL",IF(AND(DATA_QUALITE!V4527="-",DATA_QUALITE!U4527="AUCUNE"),DATA_QUALITE!T4527,IF(DATA_QUALITE!V4527&lt;&gt;"-",DATA_QUALITE!V4527,DATA_CLEANED!AN41))))</f>
        <v>MATCH NUL</v>
      </c>
      <c r="BH50" s="103" t="str">
        <f>IF(AND(BG50="MATCH NUL",DATA_CLEANED!AO41="-"),"MATCH_NUL",IF(ISNUMBER(SEARCH("win on penalties",W4527)),"WIN_BY_PENALTY",IF(ISNUMBER(SEARCH("win after extra time",W4527)),"WIN_BY_EXTRA_TIME",IF(ISNUMBER(SEARCH("Golden Goal",W4527)),"WIN_BY_GOLDEN_GOAL","WIN_BY_SCORE"))))</f>
        <v>MATCH_NUL</v>
      </c>
      <c r="BI50" s="99" t="str">
        <f>IF(OR(BG50=DATA_CLEANED!AK41,BG50=DATA_CLEANED!AN41,BG50="MATCH NUL"),"OK","ERREUR")</f>
        <v>OK</v>
      </c>
    </row>
    <row r="51" spans="2:61">
      <c r="B51" s="73" t="str">
        <v>Scotland</v>
      </c>
      <c r="C51" s="13" t="str">
        <v>28.7</v>
      </c>
      <c r="D51" s="13">
        <v>22</v>
      </c>
      <c r="E51" s="13">
        <v>26</v>
      </c>
      <c r="F51" s="13">
        <v>26</v>
      </c>
      <c r="G51" s="13" t="str">
        <f t="shared" si="6"/>
        <v>Scotland|28.7|22|26|26</v>
      </c>
      <c r="H51" s="13" t="str">
        <f>IF(COUNTIF($G$32:G51,G51)&gt;1,"DOUBLON","OK")</f>
        <v>OK</v>
      </c>
      <c r="R51" s="23" t="s">
        <v>3617</v>
      </c>
      <c r="S51" s="13" t="str">
        <v>Qatar</v>
      </c>
      <c r="T51" s="13" t="str">
        <f t="shared" si="2"/>
        <v>OK</v>
      </c>
      <c r="U51" s="13" t="str">
        <f t="shared" si="4"/>
        <v>-</v>
      </c>
      <c r="V51" s="13" t="str" cm="1">
        <f t="array" ref="V51">_xlfn.IFS(
ISNUMBER(SEARCH("USA",S51)),"United States",
ISNUMBER(SEARCH("Republic of Korea",S51)),"South Korea",
ISNUMBER(SEARCH("Cape Verde",S51)),"Cabo Verde",
ISNUMBER(SEARCH("Czechia",S51)),"Czech Republic",
ISNUMBER(SEARCH("Türkiye",S51)),"Turkey",
ISNUMBER(SEARCH("Ivory Coast",S51)),"Côte d'Ivoire",
ISNUMBER(SEARCH("Korea Republic",S51)),"South Korea",
ISNUMBER(SEARCH("Germany FR",S51)),"FR Germany",
ISNUMBER(SEARCH("Germany DR",S51)),"DR Germany",
ISNUMBER(SEARCH("Korea DPR",S51)),"North Korea",
ISNUMBER(SEARCH("China PR",S51)),"China",
ISNUMBER(SEARCH("IR Iran",S51)),"Iran",
ISNUMBER(SEARCH("Congo DR",S51)),"Democratic Republic of the Congo",
ISNUMBER(SEARCH("DR Congo",S51)),"Democratic Republic of the Congo",
ISNUMBER(SEARCH("German DR",S51)),"DR Germany",
ISNUMBER(SEARCH("rn""&gt;United Arab Emirates",S51)),"United Arab Emirates",
ISNUMBER(SEARCH("rn""&gt;Republic of Ireland",S51)),"Ireland",
ISNUMBER(SEARCH("rn""&gt;Bosnia and Herzegovina",S51)),"Bosnia and Herzegovina",
ISNUMBER(SEARCH("rn""&gt;Trinidad and Tobago",S51)),"Trinidad and Tobago",
ISNUMBER(SEARCH("rn""&gt;Serbia and Montenegro",S51)),"Serbia and Montenegro",
ISNUMBER(SEARCH("te d'Ivoire",S51)),"Côte d'Ivoire",
TRUE,""
)</f>
        <v/>
      </c>
      <c r="W51" s="34" t="str">
        <f t="shared" si="5"/>
        <v>Qatar</v>
      </c>
      <c r="X51" s="95" t="str">
        <v>Hungary</v>
      </c>
      <c r="Z51" s="40" t="str">
        <v>Estadio Centenario</v>
      </c>
      <c r="AA51" s="40" t="str" cm="1">
        <f t="array" ref="AA51">IFERROR(_xlfn.XLOOKUP(Z51,_xlfn.ANCHORARRAY(Z$31),AA$31:AA$37),Z51)</f>
        <v>Estadio Centenario</v>
      </c>
      <c r="AB51" s="42" t="str">
        <v xml:space="preserve">Montevideo </v>
      </c>
      <c r="AC51" s="89" t="str">
        <f t="shared" si="7"/>
        <v xml:space="preserve">Montevideo </v>
      </c>
      <c r="AF51" s="13">
        <v>27</v>
      </c>
      <c r="AG51" s="7"/>
      <c r="AH51" s="7"/>
      <c r="AI51" s="7"/>
      <c r="AJ51" s="7"/>
      <c r="AK51" s="7"/>
      <c r="AL51" s="7"/>
      <c r="AM51" s="7"/>
      <c r="AN51" s="7"/>
      <c r="AV51" s="37" t="str">
        <v>ROUND_OF_16</v>
      </c>
      <c r="AW51" s="89" t="str">
        <v>GROUP_STAGE</v>
      </c>
      <c r="AY51" s="42" cm="1">
        <f t="array" ref="AY51">INDEX(_xlfn.UNIQUE(DATA_CLEANED!AF42:'DATA_CLEANED'!AF1099),INT((ROWS(AY$12:AY51)-1)/3)+1)</f>
        <v>1998</v>
      </c>
      <c r="AZ51" s="42" t="s">
        <v>3560</v>
      </c>
      <c r="BA51" s="42">
        <v>4</v>
      </c>
      <c r="BB51" s="42">
        <f>COUNTIFS(DATA_CLEANED!AH$3:AH$1060,AZ51,DATA_CLEANED!AF$3:AF$1060,AY51)</f>
        <v>4</v>
      </c>
      <c r="BC51" s="89" t="str">
        <f t="shared" si="8"/>
        <v>OK</v>
      </c>
      <c r="BE51" s="43" t="str">
        <f>IF(OR(DATA_CLEANED!AL42="",DATA_CLEANED!AM42=""),"MANQUANT",IF(OR(NOT(ISNUMBER(DATA_CLEANED!AL42)),NOT(ISNUMBER(DATA_CLEANED!AM42))),"ENTREE INVALIDE",IF(OR(DATA_CLEANED!AL42&lt;0,DATA_CLEANED!AM42&lt;0),"SCORE NEGATIF","OK")))</f>
        <v>OK</v>
      </c>
      <c r="BF51" s="43" t="str">
        <f>IF(DATA_CLEANED!AK42&lt;&gt;DATA_CLEANED!AN42,"OK","ERREUR")</f>
        <v>OK</v>
      </c>
      <c r="BG51" s="43" t="str">
        <f>IF(DATA_CLEANED!AL42&gt;DATA_CLEANED!AM42,DATA_CLEANED!AK42,IF(AND(DATA_QUALITE!W4528="-",DATA_CLEANED!AM42=DATA_CLEANED!AL42),"MATCH NUL",IF(AND(DATA_QUALITE!V4528="-",DATA_QUALITE!U4528="AUCUNE"),DATA_QUALITE!T4528,IF(DATA_QUALITE!V4528&lt;&gt;"-",DATA_QUALITE!V4528,DATA_CLEANED!AN42))))</f>
        <v>Italy</v>
      </c>
      <c r="BH51" s="103" t="str">
        <f>IF(AND(BG51="MATCH NUL",DATA_CLEANED!AO42="-"),"MATCH_NUL",IF(ISNUMBER(SEARCH("win on penalties",W4528)),"WIN_BY_PENALTY",IF(ISNUMBER(SEARCH("win after extra time",W4528)),"WIN_BY_EXTRA_TIME",IF(ISNUMBER(SEARCH("Golden Goal",W4528)),"WIN_BY_GOLDEN_GOAL","WIN_BY_SCORE"))))</f>
        <v>WIN_BY_EXTRA_TIME</v>
      </c>
      <c r="BI51" s="99" t="str">
        <f>IF(OR(BG51=DATA_CLEANED!AK42,BG51=DATA_CLEANED!AN42,BG51="MATCH NUL"),"OK","ERREUR")</f>
        <v>OK</v>
      </c>
    </row>
    <row r="52" spans="2:61">
      <c r="B52" s="73" t="str">
        <v>Senegal</v>
      </c>
      <c r="C52" s="13" t="str">
        <v>26.6</v>
      </c>
      <c r="D52" s="13">
        <v>22</v>
      </c>
      <c r="E52" s="13">
        <v>15</v>
      </c>
      <c r="F52" s="13">
        <v>24</v>
      </c>
      <c r="G52" s="13" t="str">
        <f t="shared" si="6"/>
        <v>Senegal|26.6|22|15|24</v>
      </c>
      <c r="H52" s="13" t="str">
        <f>IF(COUNTIF($G$32:G52,G52)&gt;1,"DOUBLON","OK")</f>
        <v>OK</v>
      </c>
      <c r="R52" s="23" t="s">
        <v>3618</v>
      </c>
      <c r="S52" s="13" t="str">
        <v>Czech Republic</v>
      </c>
      <c r="T52" s="13" t="str">
        <f t="shared" si="2"/>
        <v>OK</v>
      </c>
      <c r="U52" s="13" t="str">
        <f t="shared" si="4"/>
        <v>-</v>
      </c>
      <c r="V52" s="13" t="str" cm="1">
        <f t="array" ref="V52">_xlfn.IFS(
ISNUMBER(SEARCH("USA",S52)),"United States",
ISNUMBER(SEARCH("Republic of Korea",S52)),"South Korea",
ISNUMBER(SEARCH("Cape Verde",S52)),"Cabo Verde",
ISNUMBER(SEARCH("Czechia",S52)),"Czech Republic",
ISNUMBER(SEARCH("Türkiye",S52)),"Turkey",
ISNUMBER(SEARCH("Ivory Coast",S52)),"Côte d'Ivoire",
ISNUMBER(SEARCH("Korea Republic",S52)),"South Korea",
ISNUMBER(SEARCH("Germany FR",S52)),"FR Germany",
ISNUMBER(SEARCH("Germany DR",S52)),"DR Germany",
ISNUMBER(SEARCH("Korea DPR",S52)),"North Korea",
ISNUMBER(SEARCH("China PR",S52)),"China",
ISNUMBER(SEARCH("IR Iran",S52)),"Iran",
ISNUMBER(SEARCH("Congo DR",S52)),"Democratic Republic of the Congo",
ISNUMBER(SEARCH("DR Congo",S52)),"Democratic Republic of the Congo",
ISNUMBER(SEARCH("German DR",S52)),"DR Germany",
ISNUMBER(SEARCH("rn""&gt;United Arab Emirates",S52)),"United Arab Emirates",
ISNUMBER(SEARCH("rn""&gt;Republic of Ireland",S52)),"Ireland",
ISNUMBER(SEARCH("rn""&gt;Bosnia and Herzegovina",S52)),"Bosnia and Herzegovina",
ISNUMBER(SEARCH("rn""&gt;Trinidad and Tobago",S52)),"Trinidad and Tobago",
ISNUMBER(SEARCH("rn""&gt;Serbia and Montenegro",S52)),"Serbia and Montenegro",
ISNUMBER(SEARCH("te d'Ivoire",S52)),"Côte d'Ivoire",
TRUE,""
)</f>
        <v/>
      </c>
      <c r="W52" s="34" t="str">
        <f t="shared" si="5"/>
        <v>Czech Republic</v>
      </c>
      <c r="X52" s="95" t="str">
        <v>Iceland</v>
      </c>
      <c r="Z52" s="40" t="str">
        <v>Estadio Centenario</v>
      </c>
      <c r="AA52" s="40" t="str" cm="1">
        <f t="array" ref="AA52">IFERROR(_xlfn.XLOOKUP(Z52,_xlfn.ANCHORARRAY(Z$31),AA$31:AA$37),Z52)</f>
        <v>Estadio Centenario</v>
      </c>
      <c r="AB52" s="42" t="str">
        <v xml:space="preserve">Montevideo </v>
      </c>
      <c r="AC52" s="89" t="str">
        <f t="shared" si="7"/>
        <v xml:space="preserve">Montevideo </v>
      </c>
      <c r="AF52" s="13">
        <v>26.4</v>
      </c>
      <c r="AG52" s="7"/>
      <c r="AH52" s="7"/>
      <c r="AI52" s="7"/>
      <c r="AJ52" s="7"/>
      <c r="AK52" s="7"/>
      <c r="AL52" s="7"/>
      <c r="AM52" s="7"/>
      <c r="AN52" s="7"/>
      <c r="AV52" s="37" t="str">
        <v>ROUND_OF_16</v>
      </c>
      <c r="AW52" s="89" t="str">
        <v>GROUP_STAGE</v>
      </c>
      <c r="AY52" s="42" cm="1">
        <f t="array" ref="AY52">INDEX(_xlfn.UNIQUE(DATA_CLEANED!AF43:'DATA_CLEANED'!AF1100),INT((ROWS(AY$12:AY52)-1)/3)+1)</f>
        <v>1998</v>
      </c>
      <c r="AZ52" s="42" t="s">
        <v>3562</v>
      </c>
      <c r="BA52" s="42" cm="1">
        <f t="array" ref="BA52">INDEX($BA$12:$BA$14,MOD(ROWS($BA$15:BA52)-1,3)+1)</f>
        <v>2</v>
      </c>
      <c r="BB52" s="42">
        <f>COUNTIFS(DATA_CLEANED!AH$3:AH$1060,AZ52,DATA_CLEANED!AF$3:AF$1060,AY52)</f>
        <v>2</v>
      </c>
      <c r="BC52" s="89" t="str">
        <f t="shared" si="8"/>
        <v>OK</v>
      </c>
      <c r="BE52" s="43" t="str">
        <f>IF(OR(DATA_CLEANED!AL43="",DATA_CLEANED!AM43=""),"MANQUANT",IF(OR(NOT(ISNUMBER(DATA_CLEANED!AL43)),NOT(ISNUMBER(DATA_CLEANED!AM43))),"ENTREE INVALIDE",IF(OR(DATA_CLEANED!AL43&lt;0,DATA_CLEANED!AM43&lt;0),"SCORE NEGATIF","OK")))</f>
        <v>OK</v>
      </c>
      <c r="BF52" s="43" t="str">
        <f>IF(DATA_CLEANED!AK43&lt;&gt;DATA_CLEANED!AN43,"OK","ERREUR")</f>
        <v>OK</v>
      </c>
      <c r="BG52" s="43" t="str">
        <f>IF(DATA_CLEANED!AL43&gt;DATA_CLEANED!AM43,DATA_CLEANED!AK43,IF(AND(DATA_QUALITE!W4529="-",DATA_CLEANED!AM43=DATA_CLEANED!AL43),"MATCH NUL",IF(AND(DATA_QUALITE!V4529="-",DATA_QUALITE!U4529="AUCUNE"),DATA_QUALITE!T4529,IF(DATA_QUALITE!V4529&lt;&gt;"-",DATA_QUALITE!V4529,DATA_CLEANED!AN43))))</f>
        <v>Brazil</v>
      </c>
      <c r="BH52" s="103" t="str">
        <f>IF(AND(BG52="MATCH NUL",DATA_CLEANED!AO43="-"),"MATCH_NUL",IF(ISNUMBER(SEARCH("win on penalties",W4529)),"WIN_BY_PENALTY",IF(ISNUMBER(SEARCH("win after extra time",W4529)),"WIN_BY_EXTRA_TIME",IF(ISNUMBER(SEARCH("Golden Goal",W4529)),"WIN_BY_GOLDEN_GOAL","WIN_BY_SCORE"))))</f>
        <v>WIN_BY_EXTRA_TIME</v>
      </c>
      <c r="BI52" s="99" t="str">
        <f>IF(OR(BG52=DATA_CLEANED!AK43,BG52=DATA_CLEANED!AN43,BG52="MATCH NUL"),"OK","ERREUR")</f>
        <v>OK</v>
      </c>
    </row>
    <row r="53" spans="2:61">
      <c r="B53" s="73" t="str">
        <v>Turkey</v>
      </c>
      <c r="C53" s="13" t="str">
        <v>27.2</v>
      </c>
      <c r="D53" s="13">
        <v>16</v>
      </c>
      <c r="E53" s="13">
        <v>10</v>
      </c>
      <c r="F53" s="13">
        <v>20</v>
      </c>
      <c r="G53" s="13" t="str">
        <f t="shared" si="6"/>
        <v>Turkey|27.2|16|10|20</v>
      </c>
      <c r="H53" s="13" t="str">
        <f>IF(COUNTIF($G$32:G53,G53)&gt;1,"DOUBLON","OK")</f>
        <v>OK</v>
      </c>
      <c r="R53" s="23" t="s">
        <v>10</v>
      </c>
      <c r="S53" s="13" t="str">
        <v>Panama</v>
      </c>
      <c r="T53" s="13" t="str">
        <f t="shared" si="2"/>
        <v>OK</v>
      </c>
      <c r="U53" s="13" t="str">
        <f t="shared" si="4"/>
        <v>-</v>
      </c>
      <c r="V53" s="13" t="str" cm="1">
        <f t="array" ref="V53">_xlfn.IFS(
ISNUMBER(SEARCH("USA",S53)),"United States",
ISNUMBER(SEARCH("Republic of Korea",S53)),"South Korea",
ISNUMBER(SEARCH("Cape Verde",S53)),"Cabo Verde",
ISNUMBER(SEARCH("Czechia",S53)),"Czech Republic",
ISNUMBER(SEARCH("Türkiye",S53)),"Turkey",
ISNUMBER(SEARCH("Ivory Coast",S53)),"Côte d'Ivoire",
ISNUMBER(SEARCH("Korea Republic",S53)),"South Korea",
ISNUMBER(SEARCH("Germany FR",S53)),"FR Germany",
ISNUMBER(SEARCH("Germany DR",S53)),"DR Germany",
ISNUMBER(SEARCH("Korea DPR",S53)),"North Korea",
ISNUMBER(SEARCH("China PR",S53)),"China",
ISNUMBER(SEARCH("IR Iran",S53)),"Iran",
ISNUMBER(SEARCH("Congo DR",S53)),"Democratic Republic of the Congo",
ISNUMBER(SEARCH("DR Congo",S53)),"Democratic Republic of the Congo",
ISNUMBER(SEARCH("German DR",S53)),"DR Germany",
ISNUMBER(SEARCH("rn""&gt;United Arab Emirates",S53)),"United Arab Emirates",
ISNUMBER(SEARCH("rn""&gt;Republic of Ireland",S53)),"Ireland",
ISNUMBER(SEARCH("rn""&gt;Bosnia and Herzegovina",S53)),"Bosnia and Herzegovina",
ISNUMBER(SEARCH("rn""&gt;Trinidad and Tobago",S53)),"Trinidad and Tobago",
ISNUMBER(SEARCH("rn""&gt;Serbia and Montenegro",S53)),"Serbia and Montenegro",
ISNUMBER(SEARCH("te d'Ivoire",S53)),"Côte d'Ivoire",
TRUE,""
)</f>
        <v/>
      </c>
      <c r="W53" s="34" t="str">
        <f t="shared" si="5"/>
        <v>Panama</v>
      </c>
      <c r="X53" s="95" t="str">
        <v>Iran</v>
      </c>
      <c r="Z53" s="40" t="str">
        <v>Estadio Centenario</v>
      </c>
      <c r="AA53" s="40" t="str" cm="1">
        <f t="array" ref="AA53">IFERROR(_xlfn.XLOOKUP(Z53,_xlfn.ANCHORARRAY(Z$31),AA$31:AA$37),Z53)</f>
        <v>Estadio Centenario</v>
      </c>
      <c r="AB53" s="42" t="str">
        <v xml:space="preserve">Montevideo </v>
      </c>
      <c r="AC53" s="89" t="str">
        <f t="shared" si="7"/>
        <v xml:space="preserve">Montevideo </v>
      </c>
      <c r="AF53" s="13">
        <v>28.9</v>
      </c>
      <c r="AG53" s="7"/>
      <c r="AH53" s="7"/>
      <c r="AI53" s="7"/>
      <c r="AJ53" s="7"/>
      <c r="AK53" s="7"/>
      <c r="AL53" s="7"/>
      <c r="AM53" s="7"/>
      <c r="AN53" s="7"/>
      <c r="AV53" s="37" t="str">
        <v>ROUND_OF_16</v>
      </c>
      <c r="AW53" s="89" t="str">
        <v>GROUP_STAGE</v>
      </c>
      <c r="AY53" s="42" cm="1">
        <f t="array" ref="AY53">INDEX(_xlfn.UNIQUE(DATA_CLEANED!AF44:'DATA_CLEANED'!AF1101),INT((ROWS(AY$12:AY53)-1)/3)+1)</f>
        <v>1998</v>
      </c>
      <c r="AZ53" s="42" t="s">
        <v>3561</v>
      </c>
      <c r="BA53" s="42" cm="1">
        <f t="array" ref="BA53">INDEX($BA$12:$BA$14,MOD(ROWS($BA$15:BA53)-1,3)+1)</f>
        <v>1</v>
      </c>
      <c r="BB53" s="42">
        <f>COUNTIFS(DATA_CLEANED!AH$3:AH$1060,AZ53,DATA_CLEANED!AF$3:AF$1060,AY53)</f>
        <v>1</v>
      </c>
      <c r="BC53" s="89" t="str">
        <f t="shared" si="8"/>
        <v>OK</v>
      </c>
      <c r="BE53" s="43" t="str">
        <f>IF(OR(DATA_CLEANED!AL44="",DATA_CLEANED!AM44=""),"MANQUANT",IF(OR(NOT(ISNUMBER(DATA_CLEANED!AL44)),NOT(ISNUMBER(DATA_CLEANED!AM44))),"ENTREE INVALIDE",IF(OR(DATA_CLEANED!AL44&lt;0,DATA_CLEANED!AM44&lt;0),"SCORE NEGATIF","OK")))</f>
        <v>OK</v>
      </c>
      <c r="BF53" s="43" t="str">
        <f>IF(DATA_CLEANED!AK44&lt;&gt;DATA_CLEANED!AN44,"OK","ERREUR")</f>
        <v>OK</v>
      </c>
      <c r="BG53" s="43" t="str">
        <f>IF(DATA_CLEANED!AL44&gt;DATA_CLEANED!AM44,DATA_CLEANED!AK44,IF(AND(DATA_QUALITE!W4530="-",DATA_CLEANED!AM44=DATA_CLEANED!AL44),"MATCH NUL",IF(AND(DATA_QUALITE!V4530="-",DATA_QUALITE!U4530="AUCUNE"),DATA_QUALITE!T4530,IF(DATA_QUALITE!V4530&lt;&gt;"-",DATA_QUALITE!V4530,DATA_CLEANED!AN44))))</f>
        <v>Czechoslovakia</v>
      </c>
      <c r="BH53" s="103" t="str">
        <f>IF(AND(BG53="MATCH NUL",DATA_CLEANED!AO44="-"),"MATCH_NUL",IF(ISNUMBER(SEARCH("win on penalties",W4530)),"WIN_BY_PENALTY",IF(ISNUMBER(SEARCH("win after extra time",W4530)),"WIN_BY_EXTRA_TIME",IF(ISNUMBER(SEARCH("Golden Goal",W4530)),"WIN_BY_GOLDEN_GOAL","WIN_BY_SCORE"))))</f>
        <v>WIN_BY_EXTRA_TIME</v>
      </c>
      <c r="BI53" s="99" t="str">
        <f>IF(OR(BG53=DATA_CLEANED!AK44,BG53=DATA_CLEANED!AN44,BG53="MATCH NUL"),"OK","ERREUR")</f>
        <v>OK</v>
      </c>
    </row>
    <row r="54" spans="2:61">
      <c r="B54" s="73" t="str">
        <v>Australia</v>
      </c>
      <c r="C54" s="13" t="str">
        <v>26.9</v>
      </c>
      <c r="D54" s="13">
        <v>22</v>
      </c>
      <c r="E54" s="13">
        <v>24</v>
      </c>
      <c r="F54" s="13">
        <v>20</v>
      </c>
      <c r="G54" s="13" t="str">
        <f t="shared" si="6"/>
        <v>Australia|26.9|22|24|20</v>
      </c>
      <c r="H54" s="13" t="str">
        <f>IF(COUNTIF($G$32:G54,G54)&gt;1,"DOUBLON","OK")</f>
        <v>OK</v>
      </c>
      <c r="R54" s="23" t="s">
        <v>3619</v>
      </c>
      <c r="S54" s="13" t="str">
        <v>Iraq</v>
      </c>
      <c r="T54" s="13" t="str">
        <f t="shared" si="2"/>
        <v>OK</v>
      </c>
      <c r="U54" s="13" t="str">
        <f t="shared" si="4"/>
        <v>-</v>
      </c>
      <c r="V54" s="13" t="str" cm="1">
        <f t="array" ref="V54">_xlfn.IFS(
ISNUMBER(SEARCH("USA",S54)),"United States",
ISNUMBER(SEARCH("Republic of Korea",S54)),"South Korea",
ISNUMBER(SEARCH("Cape Verde",S54)),"Cabo Verde",
ISNUMBER(SEARCH("Czechia",S54)),"Czech Republic",
ISNUMBER(SEARCH("Türkiye",S54)),"Turkey",
ISNUMBER(SEARCH("Ivory Coast",S54)),"Côte d'Ivoire",
ISNUMBER(SEARCH("Korea Republic",S54)),"South Korea",
ISNUMBER(SEARCH("Germany FR",S54)),"FR Germany",
ISNUMBER(SEARCH("Germany DR",S54)),"DR Germany",
ISNUMBER(SEARCH("Korea DPR",S54)),"North Korea",
ISNUMBER(SEARCH("China PR",S54)),"China",
ISNUMBER(SEARCH("IR Iran",S54)),"Iran",
ISNUMBER(SEARCH("Congo DR",S54)),"Democratic Republic of the Congo",
ISNUMBER(SEARCH("DR Congo",S54)),"Democratic Republic of the Congo",
ISNUMBER(SEARCH("German DR",S54)),"DR Germany",
ISNUMBER(SEARCH("rn""&gt;United Arab Emirates",S54)),"United Arab Emirates",
ISNUMBER(SEARCH("rn""&gt;Republic of Ireland",S54)),"Ireland",
ISNUMBER(SEARCH("rn""&gt;Bosnia and Herzegovina",S54)),"Bosnia and Herzegovina",
ISNUMBER(SEARCH("rn""&gt;Trinidad and Tobago",S54)),"Trinidad and Tobago",
ISNUMBER(SEARCH("rn""&gt;Serbia and Montenegro",S54)),"Serbia and Montenegro",
ISNUMBER(SEARCH("te d'Ivoire",S54)),"Côte d'Ivoire",
TRUE,""
)</f>
        <v/>
      </c>
      <c r="W54" s="34" t="str">
        <f t="shared" si="5"/>
        <v>Iraq</v>
      </c>
      <c r="X54" s="95" t="str">
        <v>Iraq</v>
      </c>
      <c r="Z54" s="40" t="str">
        <v>Estadio Centenario</v>
      </c>
      <c r="AA54" s="40" t="str" cm="1">
        <f t="array" ref="AA54">IFERROR(_xlfn.XLOOKUP(Z54,_xlfn.ANCHORARRAY(Z$31),AA$31:AA$37),Z54)</f>
        <v>Estadio Centenario</v>
      </c>
      <c r="AB54" s="42" t="str">
        <v xml:space="preserve">Montevideo </v>
      </c>
      <c r="AC54" s="89" t="str">
        <f t="shared" si="7"/>
        <v xml:space="preserve">Montevideo </v>
      </c>
      <c r="AF54" s="13">
        <v>27.2</v>
      </c>
      <c r="AG54" s="7"/>
      <c r="AH54" s="7"/>
      <c r="AI54" s="7"/>
      <c r="AJ54" s="7"/>
      <c r="AK54" s="7"/>
      <c r="AL54" s="7"/>
      <c r="AM54" s="7"/>
      <c r="AN54" s="7"/>
      <c r="AV54" s="37" t="str">
        <v>ROUND_OF_16</v>
      </c>
      <c r="AW54" s="89" t="str">
        <v>GROUP_STAGE</v>
      </c>
      <c r="AY54" s="42" cm="1">
        <f t="array" ref="AY54">INDEX(_xlfn.UNIQUE(DATA_CLEANED!AF45:'DATA_CLEANED'!AF1102),INT((ROWS(AY$12:AY54)-1)/3)+1)</f>
        <v>2002</v>
      </c>
      <c r="AZ54" s="42" t="s">
        <v>3560</v>
      </c>
      <c r="BA54" s="42">
        <v>4</v>
      </c>
      <c r="BB54" s="42">
        <f>COUNTIFS(DATA_CLEANED!AH$3:AH$1060,AZ54,DATA_CLEANED!AF$3:AF$1060,AY54)</f>
        <v>4</v>
      </c>
      <c r="BC54" s="89" t="str">
        <f t="shared" si="8"/>
        <v>OK</v>
      </c>
      <c r="BE54" s="43" t="str">
        <f>IF(OR(DATA_CLEANED!AL45="",DATA_CLEANED!AM45=""),"MANQUANT",IF(OR(NOT(ISNUMBER(DATA_CLEANED!AL45)),NOT(ISNUMBER(DATA_CLEANED!AM45))),"ENTREE INVALIDE",IF(OR(DATA_CLEANED!AL45&lt;0,DATA_CLEANED!AM45&lt;0),"SCORE NEGATIF","OK")))</f>
        <v>OK</v>
      </c>
      <c r="BF54" s="43" t="str">
        <f>IF(DATA_CLEANED!AK45&lt;&gt;DATA_CLEANED!AN45,"OK","ERREUR")</f>
        <v>OK</v>
      </c>
      <c r="BG54" s="43" t="str">
        <f>IF(DATA_CLEANED!AL45&gt;DATA_CLEANED!AM45,DATA_CLEANED!AK45,IF(AND(DATA_QUALITE!W4531="-",DATA_CLEANED!AM45=DATA_CLEANED!AL45),"MATCH NUL",IF(AND(DATA_QUALITE!V4531="-",DATA_QUALITE!U4531="AUCUNE"),DATA_QUALITE!T4531,IF(DATA_QUALITE!V4531&lt;&gt;"-",DATA_QUALITE!V4531,DATA_CLEANED!AN45))))</f>
        <v>Cuba</v>
      </c>
      <c r="BH54" s="103" t="str">
        <f>IF(AND(BG54="MATCH NUL",DATA_CLEANED!AO45="-"),"MATCH_NUL",IF(ISNUMBER(SEARCH("win on penalties",W4531)),"WIN_BY_PENALTY",IF(ISNUMBER(SEARCH("win after extra time",W4531)),"WIN_BY_EXTRA_TIME",IF(ISNUMBER(SEARCH("Golden Goal",W4531)),"WIN_BY_GOLDEN_GOAL","WIN_BY_SCORE"))))</f>
        <v>WIN_BY_SCORE</v>
      </c>
      <c r="BI54" s="99" t="str">
        <f>IF(OR(BG54=DATA_CLEANED!AK45,BG54=DATA_CLEANED!AN45,BG54="MATCH NUL"),"OK","ERREUR")</f>
        <v>OK</v>
      </c>
    </row>
    <row r="55" spans="2:61">
      <c r="B55" s="73" t="str">
        <v>Ghana</v>
      </c>
      <c r="C55" s="13" t="str">
        <v>26.4</v>
      </c>
      <c r="D55" s="13">
        <v>23</v>
      </c>
      <c r="E55" s="13">
        <v>18</v>
      </c>
      <c r="F55" s="13">
        <v>20</v>
      </c>
      <c r="G55" s="13" t="str">
        <f t="shared" si="6"/>
        <v>Ghana|26.4|23|18|20</v>
      </c>
      <c r="H55" s="13" t="str">
        <f>IF(COUNTIF($G$32:G55,G55)&gt;1,"DOUBLON","OK")</f>
        <v>OK</v>
      </c>
      <c r="R55" s="23" t="s">
        <v>3724</v>
      </c>
      <c r="S55" s="13" t="str">
        <v>Uzbekistan</v>
      </c>
      <c r="T55" s="13" t="str">
        <f t="shared" si="2"/>
        <v>OK</v>
      </c>
      <c r="U55" s="13" t="str">
        <f t="shared" si="4"/>
        <v>-</v>
      </c>
      <c r="V55" s="13" t="str" cm="1">
        <f t="array" ref="V55">_xlfn.IFS(
ISNUMBER(SEARCH("USA",S55)),"United States",
ISNUMBER(SEARCH("Republic of Korea",S55)),"South Korea",
ISNUMBER(SEARCH("Cape Verde",S55)),"Cabo Verde",
ISNUMBER(SEARCH("Czechia",S55)),"Czech Republic",
ISNUMBER(SEARCH("Türkiye",S55)),"Turkey",
ISNUMBER(SEARCH("Ivory Coast",S55)),"Côte d'Ivoire",
ISNUMBER(SEARCH("Korea Republic",S55)),"South Korea",
ISNUMBER(SEARCH("Germany FR",S55)),"FR Germany",
ISNUMBER(SEARCH("Germany DR",S55)),"DR Germany",
ISNUMBER(SEARCH("Korea DPR",S55)),"North Korea",
ISNUMBER(SEARCH("China PR",S55)),"China",
ISNUMBER(SEARCH("IR Iran",S55)),"Iran",
ISNUMBER(SEARCH("Congo DR",S55)),"Democratic Republic of the Congo",
ISNUMBER(SEARCH("DR Congo",S55)),"Democratic Republic of the Congo",
ISNUMBER(SEARCH("German DR",S55)),"DR Germany",
ISNUMBER(SEARCH("rn""&gt;United Arab Emirates",S55)),"United Arab Emirates",
ISNUMBER(SEARCH("rn""&gt;Republic of Ireland",S55)),"Ireland",
ISNUMBER(SEARCH("rn""&gt;Bosnia and Herzegovina",S55)),"Bosnia and Herzegovina",
ISNUMBER(SEARCH("rn""&gt;Trinidad and Tobago",S55)),"Trinidad and Tobago",
ISNUMBER(SEARCH("rn""&gt;Serbia and Montenegro",S55)),"Serbia and Montenegro",
ISNUMBER(SEARCH("te d'Ivoire",S55)),"Côte d'Ivoire",
TRUE,""
)</f>
        <v/>
      </c>
      <c r="W55" s="34" t="str">
        <f t="shared" si="5"/>
        <v>Uzbekistan</v>
      </c>
      <c r="X55" s="95" t="str">
        <v>Ireland</v>
      </c>
      <c r="Z55" s="40" t="str">
        <v>Estadio Centenario</v>
      </c>
      <c r="AA55" s="40" t="str" cm="1">
        <f t="array" ref="AA55">IFERROR(_xlfn.XLOOKUP(Z55,_xlfn.ANCHORARRAY(Z$31),AA$31:AA$37),Z55)</f>
        <v>Estadio Centenario</v>
      </c>
      <c r="AB55" s="42" t="str">
        <v xml:space="preserve">Montevideo </v>
      </c>
      <c r="AC55" s="89" t="str">
        <f t="shared" si="7"/>
        <v xml:space="preserve">Montevideo </v>
      </c>
      <c r="AF55" s="13">
        <v>30</v>
      </c>
      <c r="AG55" s="7"/>
      <c r="AH55" s="7"/>
      <c r="AI55" s="7"/>
      <c r="AJ55" s="7"/>
      <c r="AK55" s="7"/>
      <c r="AL55" s="7"/>
      <c r="AM55" s="7"/>
      <c r="AN55" s="7"/>
      <c r="AV55" s="37" t="str">
        <v>ROUND_OF_16</v>
      </c>
      <c r="AW55" s="89" t="str">
        <v>GROUP_STAGE</v>
      </c>
      <c r="AY55" s="42" cm="1">
        <f t="array" ref="AY55">INDEX(_xlfn.UNIQUE(DATA_CLEANED!AF46:'DATA_CLEANED'!AF1103),INT((ROWS(AY$12:AY55)-1)/3)+1)</f>
        <v>2002</v>
      </c>
      <c r="AZ55" s="42" t="s">
        <v>3562</v>
      </c>
      <c r="BA55" s="42" cm="1">
        <f t="array" ref="BA55">INDEX($BA$12:$BA$14,MOD(ROWS($BA$15:BA55)-1,3)+1)</f>
        <v>2</v>
      </c>
      <c r="BB55" s="42">
        <f>COUNTIFS(DATA_CLEANED!AH$3:AH$1060,AZ55,DATA_CLEANED!AF$3:AF$1060,AY55)</f>
        <v>2</v>
      </c>
      <c r="BC55" s="89" t="str">
        <f t="shared" si="8"/>
        <v>OK</v>
      </c>
      <c r="BE55" s="43" t="str">
        <f>IF(OR(DATA_CLEANED!AL46="",DATA_CLEANED!AM46=""),"MANQUANT",IF(OR(NOT(ISNUMBER(DATA_CLEANED!AL46)),NOT(ISNUMBER(DATA_CLEANED!AM46))),"ENTREE INVALIDE",IF(OR(DATA_CLEANED!AL46&lt;0,DATA_CLEANED!AM46&lt;0),"SCORE NEGATIF","OK")))</f>
        <v>OK</v>
      </c>
      <c r="BF55" s="43" t="str">
        <f>IF(DATA_CLEANED!AK46&lt;&gt;DATA_CLEANED!AN46,"OK","ERREUR")</f>
        <v>OK</v>
      </c>
      <c r="BG55" s="43" t="str">
        <f>IF(DATA_CLEANED!AL46&gt;DATA_CLEANED!AM46,DATA_CLEANED!AK46,IF(AND(DATA_QUALITE!W4532="-",DATA_CLEANED!AM46=DATA_CLEANED!AL46),"MATCH NUL",IF(AND(DATA_QUALITE!V4532="-",DATA_QUALITE!U4532="AUCUNE"),DATA_QUALITE!T4532,IF(DATA_QUALITE!V4532&lt;&gt;"-",DATA_QUALITE!V4532,DATA_CLEANED!AN46))))</f>
        <v>Switzerland</v>
      </c>
      <c r="BH55" s="103" t="str">
        <f>IF(AND(BG55="MATCH NUL",DATA_CLEANED!AO46="-"),"MATCH_NUL",IF(ISNUMBER(SEARCH("win on penalties",W4532)),"WIN_BY_PENALTY",IF(ISNUMBER(SEARCH("win after extra time",W4532)),"WIN_BY_EXTRA_TIME",IF(ISNUMBER(SEARCH("Golden Goal",W4532)),"WIN_BY_GOLDEN_GOAL","WIN_BY_SCORE"))))</f>
        <v>WIN_BY_SCORE</v>
      </c>
      <c r="BI55" s="99" t="str">
        <f>IF(OR(BG55=DATA_CLEANED!AK46,BG55=DATA_CLEANED!AN46,BG55="MATCH NUL"),"OK","ERREUR")</f>
        <v>OK</v>
      </c>
    </row>
    <row r="56" spans="2:61">
      <c r="B56" s="73" t="str">
        <v>Norway</v>
      </c>
      <c r="C56" s="13" t="str">
        <v>26.3</v>
      </c>
      <c r="D56" s="13">
        <v>22</v>
      </c>
      <c r="E56" s="13">
        <v>13</v>
      </c>
      <c r="F56" s="13">
        <v>17</v>
      </c>
      <c r="G56" s="13" t="str">
        <f t="shared" si="6"/>
        <v>Norway|26.3|22|13|17</v>
      </c>
      <c r="H56" s="13" t="str">
        <f>IF(COUNTIF($G$32:G56,G56)&gt;1,"DOUBLON","OK")</f>
        <v>OK</v>
      </c>
      <c r="R56" s="23" t="s">
        <v>53</v>
      </c>
      <c r="S56" s="13" t="str">
        <v>Curaçao</v>
      </c>
      <c r="T56" s="13" t="str">
        <f t="shared" si="2"/>
        <v>OK</v>
      </c>
      <c r="U56" s="13" t="str">
        <f t="shared" si="4"/>
        <v>-</v>
      </c>
      <c r="V56" s="13" t="str" cm="1">
        <f t="array" ref="V56">_xlfn.IFS(
ISNUMBER(SEARCH("USA",S56)),"United States",
ISNUMBER(SEARCH("Republic of Korea",S56)),"South Korea",
ISNUMBER(SEARCH("Cape Verde",S56)),"Cabo Verde",
ISNUMBER(SEARCH("Czechia",S56)),"Czech Republic",
ISNUMBER(SEARCH("Türkiye",S56)),"Turkey",
ISNUMBER(SEARCH("Ivory Coast",S56)),"Côte d'Ivoire",
ISNUMBER(SEARCH("Korea Republic",S56)),"South Korea",
ISNUMBER(SEARCH("Germany FR",S56)),"FR Germany",
ISNUMBER(SEARCH("Germany DR",S56)),"DR Germany",
ISNUMBER(SEARCH("Korea DPR",S56)),"North Korea",
ISNUMBER(SEARCH("China PR",S56)),"China",
ISNUMBER(SEARCH("IR Iran",S56)),"Iran",
ISNUMBER(SEARCH("Congo DR",S56)),"Democratic Republic of the Congo",
ISNUMBER(SEARCH("DR Congo",S56)),"Democratic Republic of the Congo",
ISNUMBER(SEARCH("German DR",S56)),"DR Germany",
ISNUMBER(SEARCH("rn""&gt;United Arab Emirates",S56)),"United Arab Emirates",
ISNUMBER(SEARCH("rn""&gt;Republic of Ireland",S56)),"Ireland",
ISNUMBER(SEARCH("rn""&gt;Bosnia and Herzegovina",S56)),"Bosnia and Herzegovina",
ISNUMBER(SEARCH("rn""&gt;Trinidad and Tobago",S56)),"Trinidad and Tobago",
ISNUMBER(SEARCH("rn""&gt;Serbia and Montenegro",S56)),"Serbia and Montenegro",
ISNUMBER(SEARCH("te d'Ivoire",S56)),"Côte d'Ivoire",
TRUE,""
)</f>
        <v/>
      </c>
      <c r="W56" s="34" t="str">
        <f t="shared" si="5"/>
        <v>Curaçao</v>
      </c>
      <c r="X56" s="95" t="str">
        <v>Israel</v>
      </c>
      <c r="Z56" s="40" t="str">
        <v>Estadio Centenario</v>
      </c>
      <c r="AA56" s="40" t="str" cm="1">
        <f t="array" ref="AA56">IFERROR(_xlfn.XLOOKUP(Z56,_xlfn.ANCHORARRAY(Z$31),AA$31:AA$37),Z56)</f>
        <v>Estadio Centenario</v>
      </c>
      <c r="AB56" s="42" t="str">
        <v xml:space="preserve">Montevideo </v>
      </c>
      <c r="AC56" s="89" t="str">
        <f t="shared" si="7"/>
        <v xml:space="preserve">Montevideo </v>
      </c>
      <c r="AF56" s="13">
        <v>26.4</v>
      </c>
      <c r="AG56" s="7"/>
      <c r="AH56" s="7"/>
      <c r="AI56" s="7"/>
      <c r="AJ56" s="7"/>
      <c r="AK56" s="7"/>
      <c r="AL56" s="7"/>
      <c r="AM56" s="7"/>
      <c r="AN56" s="7"/>
      <c r="AV56" s="37" t="str">
        <v>ROUND_OF_16</v>
      </c>
      <c r="AW56" s="89" t="str">
        <v>QUARTER_FINALS</v>
      </c>
      <c r="AY56" s="42" cm="1">
        <f t="array" ref="AY56">INDEX(_xlfn.UNIQUE(DATA_CLEANED!AF47:'DATA_CLEANED'!AF1104),INT((ROWS(AY$12:AY56)-1)/3)+1)</f>
        <v>2002</v>
      </c>
      <c r="AZ56" s="42" t="s">
        <v>3561</v>
      </c>
      <c r="BA56" s="42" cm="1">
        <f t="array" ref="BA56">INDEX($BA$12:$BA$14,MOD(ROWS($BA$15:BA56)-1,3)+1)</f>
        <v>1</v>
      </c>
      <c r="BB56" s="42">
        <f>COUNTIFS(DATA_CLEANED!AH$3:AH$1060,AZ56,DATA_CLEANED!AF$3:AF$1060,AY56)</f>
        <v>1</v>
      </c>
      <c r="BC56" s="89" t="str">
        <f t="shared" si="8"/>
        <v>OK</v>
      </c>
      <c r="BE56" s="43" t="str">
        <f>IF(OR(DATA_CLEANED!AL47="",DATA_CLEANED!AM47=""),"MANQUANT",IF(OR(NOT(ISNUMBER(DATA_CLEANED!AL47)),NOT(ISNUMBER(DATA_CLEANED!AM47))),"ENTREE INVALIDE",IF(OR(DATA_CLEANED!AL47&lt;0,DATA_CLEANED!AM47&lt;0),"SCORE NEGATIF","OK")))</f>
        <v>OK</v>
      </c>
      <c r="BF56" s="43" t="str">
        <f>IF(DATA_CLEANED!AK47&lt;&gt;DATA_CLEANED!AN47,"OK","ERREUR")</f>
        <v>OK</v>
      </c>
      <c r="BG56" s="43" t="str">
        <f>IF(DATA_CLEANED!AL47&gt;DATA_CLEANED!AM47,DATA_CLEANED!AK47,IF(AND(DATA_QUALITE!W4533="-",DATA_CLEANED!AM47=DATA_CLEANED!AL47),"MATCH NUL",IF(AND(DATA_QUALITE!V4533="-",DATA_QUALITE!U4533="AUCUNE"),DATA_QUALITE!T4533,IF(DATA_QUALITE!V4533&lt;&gt;"-",DATA_QUALITE!V4533,DATA_CLEANED!AN47))))</f>
        <v>MATCH NUL</v>
      </c>
      <c r="BH56" s="103" t="str">
        <f>IF(AND(BG56="MATCH NUL",DATA_CLEANED!AO47="-"),"MATCH_NUL",IF(ISNUMBER(SEARCH("win on penalties",W4533)),"WIN_BY_PENALTY",IF(ISNUMBER(SEARCH("win after extra time",W4533)),"WIN_BY_EXTRA_TIME",IF(ISNUMBER(SEARCH("Golden Goal",W4533)),"WIN_BY_GOLDEN_GOAL","WIN_BY_SCORE"))))</f>
        <v>MATCH_NUL</v>
      </c>
      <c r="BI56" s="99" t="str">
        <f>IF(OR(BG56=DATA_CLEANED!AK47,BG56=DATA_CLEANED!AN47,BG56="MATCH NUL"),"OK","ERREUR")</f>
        <v>OK</v>
      </c>
    </row>
    <row r="57" spans="2:61">
      <c r="B57" s="73" t="str">
        <v>Ecuador</v>
      </c>
      <c r="C57" s="13" t="str">
        <v>25.6</v>
      </c>
      <c r="D57" s="13">
        <v>23</v>
      </c>
      <c r="E57" s="13">
        <v>17</v>
      </c>
      <c r="F57" s="13">
        <v>16</v>
      </c>
      <c r="G57" s="13" t="str">
        <f t="shared" si="6"/>
        <v>Ecuador|25.6|23|17|16</v>
      </c>
      <c r="H57" s="13" t="str">
        <f>IF(COUNTIF($G$32:G57,G57)&gt;1,"DOUBLON","OK")</f>
        <v>OK</v>
      </c>
      <c r="R57" s="23" t="s">
        <v>3620</v>
      </c>
      <c r="S57" s="13" t="str">
        <v>Jordan</v>
      </c>
      <c r="T57" s="13" t="str">
        <f t="shared" si="2"/>
        <v>OK</v>
      </c>
      <c r="U57" s="13" t="str">
        <f t="shared" si="4"/>
        <v>-</v>
      </c>
      <c r="V57" s="13" t="str" cm="1">
        <f t="array" ref="V57">_xlfn.IFS(
ISNUMBER(SEARCH("USA",S57)),"United States",
ISNUMBER(SEARCH("Republic of Korea",S57)),"South Korea",
ISNUMBER(SEARCH("Cape Verde",S57)),"Cabo Verde",
ISNUMBER(SEARCH("Czechia",S57)),"Czech Republic",
ISNUMBER(SEARCH("Türkiye",S57)),"Turkey",
ISNUMBER(SEARCH("Ivory Coast",S57)),"Côte d'Ivoire",
ISNUMBER(SEARCH("Korea Republic",S57)),"South Korea",
ISNUMBER(SEARCH("Germany FR",S57)),"FR Germany",
ISNUMBER(SEARCH("Germany DR",S57)),"DR Germany",
ISNUMBER(SEARCH("Korea DPR",S57)),"North Korea",
ISNUMBER(SEARCH("China PR",S57)),"China",
ISNUMBER(SEARCH("IR Iran",S57)),"Iran",
ISNUMBER(SEARCH("Congo DR",S57)),"Democratic Republic of the Congo",
ISNUMBER(SEARCH("DR Congo",S57)),"Democratic Republic of the Congo",
ISNUMBER(SEARCH("German DR",S57)),"DR Germany",
ISNUMBER(SEARCH("rn""&gt;United Arab Emirates",S57)),"United Arab Emirates",
ISNUMBER(SEARCH("rn""&gt;Republic of Ireland",S57)),"Ireland",
ISNUMBER(SEARCH("rn""&gt;Bosnia and Herzegovina",S57)),"Bosnia and Herzegovina",
ISNUMBER(SEARCH("rn""&gt;Trinidad and Tobago",S57)),"Trinidad and Tobago",
ISNUMBER(SEARCH("rn""&gt;Serbia and Montenegro",S57)),"Serbia and Montenegro",
ISNUMBER(SEARCH("te d'Ivoire",S57)),"Côte d'Ivoire",
TRUE,""
)</f>
        <v/>
      </c>
      <c r="W57" s="34" t="str">
        <f t="shared" si="5"/>
        <v>Jordan</v>
      </c>
      <c r="X57" s="95" t="str">
        <v>Italy</v>
      </c>
      <c r="Z57" s="40" t="str">
        <v>Estadio Centenario</v>
      </c>
      <c r="AA57" s="40" t="str" cm="1">
        <f t="array" ref="AA57">IFERROR(_xlfn.XLOOKUP(Z57,_xlfn.ANCHORARRAY(Z$31),AA$31:AA$37),Z57)</f>
        <v>Estadio Centenario</v>
      </c>
      <c r="AB57" s="42" t="str">
        <v xml:space="preserve">Montevideo </v>
      </c>
      <c r="AC57" s="89" t="str">
        <f t="shared" si="7"/>
        <v xml:space="preserve">Montevideo </v>
      </c>
      <c r="AF57" s="13">
        <v>27.7</v>
      </c>
      <c r="AG57" s="7"/>
      <c r="AH57" s="7"/>
      <c r="AI57" s="7"/>
      <c r="AJ57" s="7"/>
      <c r="AK57" s="7"/>
      <c r="AL57" s="7"/>
      <c r="AM57" s="7"/>
      <c r="AN57" s="7"/>
      <c r="AV57" s="37" t="str">
        <v>ROUND_OF_16</v>
      </c>
      <c r="AW57" s="89" t="str">
        <v>QUARTER_FINALS</v>
      </c>
      <c r="AY57" s="42" cm="1">
        <f t="array" ref="AY57">INDEX(_xlfn.UNIQUE(DATA_CLEANED!AF48:'DATA_CLEANED'!AF1105),INT((ROWS(AY$12:AY57)-1)/3)+1)</f>
        <v>2006</v>
      </c>
      <c r="AZ57" s="42" t="s">
        <v>3560</v>
      </c>
      <c r="BA57" s="42">
        <v>4</v>
      </c>
      <c r="BB57" s="42">
        <f>COUNTIFS(DATA_CLEANED!AH$3:AH$1060,AZ57,DATA_CLEANED!AF$3:AF$1060,AY57)</f>
        <v>4</v>
      </c>
      <c r="BC57" s="89" t="str">
        <f t="shared" si="8"/>
        <v>OK</v>
      </c>
      <c r="BE57" s="43" t="str">
        <f>IF(OR(DATA_CLEANED!AL48="",DATA_CLEANED!AM48=""),"MANQUANT",IF(OR(NOT(ISNUMBER(DATA_CLEANED!AL48)),NOT(ISNUMBER(DATA_CLEANED!AM48))),"ENTREE INVALIDE",IF(OR(DATA_CLEANED!AL48&lt;0,DATA_CLEANED!AM48&lt;0),"SCORE NEGATIF","OK")))</f>
        <v>OK</v>
      </c>
      <c r="BF57" s="43" t="str">
        <f>IF(DATA_CLEANED!AK48&lt;&gt;DATA_CLEANED!AN48,"OK","ERREUR")</f>
        <v>OK</v>
      </c>
      <c r="BG57" s="43" t="str">
        <f>IF(DATA_CLEANED!AL48&gt;DATA_CLEANED!AM48,DATA_CLEANED!AK48,IF(AND(DATA_QUALITE!W4534="-",DATA_CLEANED!AM48=DATA_CLEANED!AL48),"MATCH NUL",IF(AND(DATA_QUALITE!V4534="-",DATA_QUALITE!U4534="AUCUNE"),DATA_QUALITE!T4534,IF(DATA_QUALITE!V4534&lt;&gt;"-",DATA_QUALITE!V4534,DATA_CLEANED!AN48))))</f>
        <v>Hungary</v>
      </c>
      <c r="BH57" s="103" t="str">
        <f>IF(AND(BG57="MATCH NUL",DATA_CLEANED!AO48="-"),"MATCH_NUL",IF(ISNUMBER(SEARCH("win on penalties",W4534)),"WIN_BY_PENALTY",IF(ISNUMBER(SEARCH("win after extra time",W4534)),"WIN_BY_EXTRA_TIME",IF(ISNUMBER(SEARCH("Golden Goal",W4534)),"WIN_BY_GOLDEN_GOAL","WIN_BY_SCORE"))))</f>
        <v>WIN_BY_SCORE</v>
      </c>
      <c r="BI57" s="99" t="str">
        <f>IF(OR(BG57=DATA_CLEANED!AK48,BG57=DATA_CLEANED!AN48,BG57="MATCH NUL"),"OK","ERREUR")</f>
        <v>OK</v>
      </c>
    </row>
    <row r="58" spans="2:61">
      <c r="B58" s="73" t="str">
        <v>Tunisia</v>
      </c>
      <c r="C58" s="13" t="str">
        <v>26.2</v>
      </c>
      <c r="D58" s="13">
        <v>24</v>
      </c>
      <c r="E58" s="13">
        <v>21</v>
      </c>
      <c r="F58" s="13">
        <v>16</v>
      </c>
      <c r="G58" s="13" t="str">
        <f t="shared" si="6"/>
        <v>Tunisia|26.2|24|21|16</v>
      </c>
      <c r="H58" s="13" t="str">
        <f>IF(COUNTIF($G$32:G58,G58)&gt;1,"DOUBLON","OK")</f>
        <v>OK</v>
      </c>
      <c r="R58" s="23" t="s">
        <v>3622</v>
      </c>
      <c r="S58" s="13" t="str">
        <v>Republic of Korea</v>
      </c>
      <c r="T58" s="13" t="str">
        <f t="shared" si="2"/>
        <v>ERREUR</v>
      </c>
      <c r="U58" s="13" t="str">
        <f t="shared" si="4"/>
        <v>RENOMMER</v>
      </c>
      <c r="V58" s="13" t="str" cm="1">
        <f t="array" ref="V58">_xlfn.IFS(
ISNUMBER(SEARCH("USA",S58)),"United States",
ISNUMBER(SEARCH("Republic of Korea",S58)),"South Korea",
ISNUMBER(SEARCH("Cape Verde",S58)),"Cabo Verde",
ISNUMBER(SEARCH("Czechia",S58)),"Czech Republic",
ISNUMBER(SEARCH("Türkiye",S58)),"Turkey",
ISNUMBER(SEARCH("Ivory Coast",S58)),"Côte d'Ivoire",
ISNUMBER(SEARCH("Korea Republic",S58)),"South Korea",
ISNUMBER(SEARCH("Germany FR",S58)),"FR Germany",
ISNUMBER(SEARCH("Germany DR",S58)),"DR Germany",
ISNUMBER(SEARCH("Korea DPR",S58)),"North Korea",
ISNUMBER(SEARCH("China PR",S58)),"China",
ISNUMBER(SEARCH("IR Iran",S58)),"Iran",
ISNUMBER(SEARCH("Congo DR",S58)),"Democratic Republic of the Congo",
ISNUMBER(SEARCH("DR Congo",S58)),"Democratic Republic of the Congo",
ISNUMBER(SEARCH("German DR",S58)),"DR Germany",
ISNUMBER(SEARCH("rn""&gt;United Arab Emirates",S58)),"United Arab Emirates",
ISNUMBER(SEARCH("rn""&gt;Republic of Ireland",S58)),"Ireland",
ISNUMBER(SEARCH("rn""&gt;Bosnia and Herzegovina",S58)),"Bosnia and Herzegovina",
ISNUMBER(SEARCH("rn""&gt;Trinidad and Tobago",S58)),"Trinidad and Tobago",
ISNUMBER(SEARCH("rn""&gt;Serbia and Montenegro",S58)),"Serbia and Montenegro",
ISNUMBER(SEARCH("te d'Ivoire",S58)),"Côte d'Ivoire",
TRUE,""
)</f>
        <v>South Korea</v>
      </c>
      <c r="W58" s="34" t="str">
        <f t="shared" si="5"/>
        <v>South Korea</v>
      </c>
      <c r="X58" s="95" t="str">
        <v>Jamaica</v>
      </c>
      <c r="Z58" s="40" t="str">
        <v>Stadio Benito Mussolini</v>
      </c>
      <c r="AA58" s="40" t="str" cm="1">
        <f t="array" ref="AA58">IFERROR(_xlfn.XLOOKUP(Z58,_xlfn.ANCHORARRAY(Z$31),AA$31:AA$37),Z58)</f>
        <v>Stadio Benito Mussolini</v>
      </c>
      <c r="AB58" s="42" t="str">
        <v xml:space="preserve">Turin </v>
      </c>
      <c r="AC58" s="89" t="str">
        <f t="shared" si="7"/>
        <v xml:space="preserve">Turin </v>
      </c>
      <c r="AF58" s="13">
        <v>27.5</v>
      </c>
      <c r="AG58" s="7"/>
      <c r="AH58" s="7"/>
      <c r="AI58" s="7"/>
      <c r="AJ58" s="7"/>
      <c r="AK58" s="7"/>
      <c r="AL58" s="7"/>
      <c r="AM58" s="7"/>
      <c r="AN58" s="7"/>
      <c r="AV58" s="37" t="str">
        <v>ROUND_OF_16</v>
      </c>
      <c r="AW58" s="89" t="str">
        <v>QUARTER_FINALS</v>
      </c>
      <c r="AY58" s="42" cm="1">
        <f t="array" ref="AY58">INDEX(_xlfn.UNIQUE(DATA_CLEANED!AF49:'DATA_CLEANED'!AF1106),INT((ROWS(AY$12:AY58)-1)/3)+1)</f>
        <v>2006</v>
      </c>
      <c r="AZ58" s="42" t="s">
        <v>3562</v>
      </c>
      <c r="BA58" s="42" cm="1">
        <f t="array" ref="BA58">INDEX($BA$12:$BA$14,MOD(ROWS($BA$15:BA58)-1,3)+1)</f>
        <v>2</v>
      </c>
      <c r="BB58" s="42">
        <f>COUNTIFS(DATA_CLEANED!AH$3:AH$1060,AZ58,DATA_CLEANED!AF$3:AF$1060,AY58)</f>
        <v>2</v>
      </c>
      <c r="BC58" s="89" t="str">
        <f t="shared" si="8"/>
        <v>OK</v>
      </c>
      <c r="BE58" s="43" t="str">
        <f>IF(OR(DATA_CLEANED!AL49="",DATA_CLEANED!AM49=""),"MANQUANT",IF(OR(NOT(ISNUMBER(DATA_CLEANED!AL49)),NOT(ISNUMBER(DATA_CLEANED!AM49))),"ENTREE INVALIDE",IF(OR(DATA_CLEANED!AL49&lt;0,DATA_CLEANED!AM49&lt;0),"SCORE NEGATIF","OK")))</f>
        <v>OK</v>
      </c>
      <c r="BF58" s="43" t="str">
        <f>IF(DATA_CLEANED!AK49&lt;&gt;DATA_CLEANED!AN49,"OK","ERREUR")</f>
        <v>OK</v>
      </c>
      <c r="BG58" s="43" t="str">
        <f>IF(DATA_CLEANED!AL49&gt;DATA_CLEANED!AM49,DATA_CLEANED!AK49,IF(AND(DATA_QUALITE!W4535="-",DATA_CLEANED!AM49=DATA_CLEANED!AL49),"MATCH NUL",IF(AND(DATA_QUALITE!V4535="-",DATA_QUALITE!U4535="AUCUNE"),DATA_QUALITE!T4535,IF(DATA_QUALITE!V4535&lt;&gt;"-",DATA_QUALITE!V4535,DATA_CLEANED!AN49))))</f>
        <v>Sweden</v>
      </c>
      <c r="BH58" s="103" t="str">
        <f>IF(AND(BG58="MATCH NUL",DATA_CLEANED!AO49="-"),"MATCH_NUL",IF(ISNUMBER(SEARCH("win on penalties",W4535)),"WIN_BY_PENALTY",IF(ISNUMBER(SEARCH("win after extra time",W4535)),"WIN_BY_EXTRA_TIME",IF(ISNUMBER(SEARCH("Golden Goal",W4535)),"WIN_BY_GOLDEN_GOAL","WIN_BY_SCORE"))))</f>
        <v>WIN_BY_SCORE</v>
      </c>
      <c r="BI58" s="99" t="str">
        <f>IF(OR(BG58=DATA_CLEANED!AK49,BG58=DATA_CLEANED!AN49,BG58="MATCH NUL"),"OK","ERREUR")</f>
        <v>OK</v>
      </c>
    </row>
    <row r="59" spans="2:61">
      <c r="B59" s="73" t="str">
        <v>Saudi Arabia</v>
      </c>
      <c r="C59" s="13" t="str">
        <v>28.0</v>
      </c>
      <c r="D59" s="13">
        <v>9</v>
      </c>
      <c r="E59" s="13">
        <v>22</v>
      </c>
      <c r="F59" s="13">
        <v>15</v>
      </c>
      <c r="G59" s="13" t="str">
        <f t="shared" si="6"/>
        <v>Saudi Arabia|28.0|9|22|15</v>
      </c>
      <c r="H59" s="13" t="str">
        <f>IF(COUNTIF($G$32:G59,G59)&gt;1,"DOUBLON","OK")</f>
        <v>OK</v>
      </c>
      <c r="R59" s="23" t="s">
        <v>3725</v>
      </c>
      <c r="S59" s="13" t="str">
        <v>Cape Verde</v>
      </c>
      <c r="T59" s="13" t="str">
        <f t="shared" si="2"/>
        <v>ERREUR</v>
      </c>
      <c r="U59" s="13" t="str">
        <f t="shared" si="4"/>
        <v>RENOMMER</v>
      </c>
      <c r="V59" s="13" t="str" cm="1">
        <f t="array" ref="V59">_xlfn.IFS(
ISNUMBER(SEARCH("USA",S59)),"United States",
ISNUMBER(SEARCH("Republic of Korea",S59)),"South Korea",
ISNUMBER(SEARCH("Cape Verde",S59)),"Cabo Verde",
ISNUMBER(SEARCH("Czechia",S59)),"Czech Republic",
ISNUMBER(SEARCH("Türkiye",S59)),"Turkey",
ISNUMBER(SEARCH("Ivory Coast",S59)),"Côte d'Ivoire",
ISNUMBER(SEARCH("Korea Republic",S59)),"South Korea",
ISNUMBER(SEARCH("Germany FR",S59)),"FR Germany",
ISNUMBER(SEARCH("Germany DR",S59)),"DR Germany",
ISNUMBER(SEARCH("Korea DPR",S59)),"North Korea",
ISNUMBER(SEARCH("China PR",S59)),"China",
ISNUMBER(SEARCH("IR Iran",S59)),"Iran",
ISNUMBER(SEARCH("Congo DR",S59)),"Democratic Republic of the Congo",
ISNUMBER(SEARCH("DR Congo",S59)),"Democratic Republic of the Congo",
ISNUMBER(SEARCH("German DR",S59)),"DR Germany",
ISNUMBER(SEARCH("rn""&gt;United Arab Emirates",S59)),"United Arab Emirates",
ISNUMBER(SEARCH("rn""&gt;Republic of Ireland",S59)),"Ireland",
ISNUMBER(SEARCH("rn""&gt;Bosnia and Herzegovina",S59)),"Bosnia and Herzegovina",
ISNUMBER(SEARCH("rn""&gt;Trinidad and Tobago",S59)),"Trinidad and Tobago",
ISNUMBER(SEARCH("rn""&gt;Serbia and Montenegro",S59)),"Serbia and Montenegro",
ISNUMBER(SEARCH("te d'Ivoire",S59)),"Côte d'Ivoire",
TRUE,""
)</f>
        <v>Cabo Verde</v>
      </c>
      <c r="W59" s="34" t="str">
        <f t="shared" si="5"/>
        <v>Cabo Verde</v>
      </c>
      <c r="X59" s="95" t="str">
        <v>Japan</v>
      </c>
      <c r="Z59" s="40" t="str">
        <v>Giorgio Ascarelli</v>
      </c>
      <c r="AA59" s="40" t="str" cm="1">
        <f t="array" ref="AA59">IFERROR(_xlfn.XLOOKUP(Z59,_xlfn.ANCHORARRAY(Z$31),AA$31:AA$37),Z59)</f>
        <v>Giorgio Ascarelli</v>
      </c>
      <c r="AB59" s="42" t="str">
        <v xml:space="preserve">Naples </v>
      </c>
      <c r="AC59" s="89" t="str">
        <f t="shared" si="7"/>
        <v xml:space="preserve">Naples </v>
      </c>
      <c r="AF59" s="13">
        <v>28.1</v>
      </c>
      <c r="AG59" s="7"/>
      <c r="AH59" s="7"/>
      <c r="AI59" s="7"/>
      <c r="AJ59" s="7"/>
      <c r="AK59" s="7"/>
      <c r="AL59" s="7"/>
      <c r="AM59" s="7"/>
      <c r="AN59" s="7"/>
      <c r="AV59" s="37" t="str">
        <v>ROUND_OF_16</v>
      </c>
      <c r="AW59" s="89" t="str">
        <v>QUARTER_FINALS</v>
      </c>
      <c r="AY59" s="42" cm="1">
        <f t="array" ref="AY59">INDEX(_xlfn.UNIQUE(DATA_CLEANED!AF50:'DATA_CLEANED'!AF1107),INT((ROWS(AY$12:AY59)-1)/3)+1)</f>
        <v>2006</v>
      </c>
      <c r="AZ59" s="42" t="s">
        <v>3561</v>
      </c>
      <c r="BA59" s="42" cm="1">
        <f t="array" ref="BA59">INDEX($BA$12:$BA$14,MOD(ROWS($BA$15:BA59)-1,3)+1)</f>
        <v>1</v>
      </c>
      <c r="BB59" s="42">
        <f>COUNTIFS(DATA_CLEANED!AH$3:AH$1060,AZ59,DATA_CLEANED!AF$3:AF$1060,AY59)</f>
        <v>1</v>
      </c>
      <c r="BC59" s="89" t="str">
        <f t="shared" si="8"/>
        <v>OK</v>
      </c>
      <c r="BE59" s="43" t="str">
        <f>IF(OR(DATA_CLEANED!AL50="",DATA_CLEANED!AM50=""),"MANQUANT",IF(OR(NOT(ISNUMBER(DATA_CLEANED!AL50)),NOT(ISNUMBER(DATA_CLEANED!AM50))),"ENTREE INVALIDE",IF(OR(DATA_CLEANED!AL50&lt;0,DATA_CLEANED!AM50&lt;0),"SCORE NEGATIF","OK")))</f>
        <v>OK</v>
      </c>
      <c r="BF59" s="43" t="str">
        <f>IF(DATA_CLEANED!AK50&lt;&gt;DATA_CLEANED!AN50,"OK","ERREUR")</f>
        <v>OK</v>
      </c>
      <c r="BG59" s="43" t="str">
        <f>IF(DATA_CLEANED!AL50&gt;DATA_CLEANED!AM50,DATA_CLEANED!AK50,IF(AND(DATA_QUALITE!W4536="-",DATA_CLEANED!AM50=DATA_CLEANED!AL50),"MATCH NUL",IF(AND(DATA_QUALITE!V4536="-",DATA_QUALITE!U4536="AUCUNE"),DATA_QUALITE!T4536,IF(DATA_QUALITE!V4536&lt;&gt;"-",DATA_QUALITE!V4536,DATA_CLEANED!AN50))))</f>
        <v>Italy</v>
      </c>
      <c r="BH59" s="103" t="str">
        <f>IF(AND(BG59="MATCH NUL",DATA_CLEANED!AO50="-"),"MATCH_NUL",IF(ISNUMBER(SEARCH("win on penalties",W4536)),"WIN_BY_PENALTY",IF(ISNUMBER(SEARCH("win after extra time",W4536)),"WIN_BY_EXTRA_TIME",IF(ISNUMBER(SEARCH("Golden Goal",W4536)),"WIN_BY_GOLDEN_GOAL","WIN_BY_SCORE"))))</f>
        <v>WIN_BY_SCORE</v>
      </c>
      <c r="BI59" s="99" t="str">
        <f>IF(OR(BG59=DATA_CLEANED!AK50,BG59=DATA_CLEANED!AN50,BG59="MATCH NUL"),"OK","ERREUR")</f>
        <v>OK</v>
      </c>
    </row>
    <row r="60" spans="2:61">
      <c r="B60" s="73" t="str">
        <v>Algeria</v>
      </c>
      <c r="C60" s="13" t="str">
        <v>26.5</v>
      </c>
      <c r="D60" s="13">
        <v>24</v>
      </c>
      <c r="E60" s="13">
        <v>16</v>
      </c>
      <c r="F60" s="13">
        <v>14</v>
      </c>
      <c r="G60" s="13" t="str">
        <f t="shared" si="6"/>
        <v>Algeria|26.5|24|16|14</v>
      </c>
      <c r="H60" s="13" t="str">
        <f>IF(COUNTIF($G$32:G60,G60)&gt;1,"DOUBLON","OK")</f>
        <v>OK</v>
      </c>
      <c r="R60" s="23" t="s">
        <v>3726</v>
      </c>
      <c r="S60" s="13" t="str">
        <v>DR Congo</v>
      </c>
      <c r="T60" s="13" t="str">
        <f t="shared" si="2"/>
        <v>ERREUR</v>
      </c>
      <c r="U60" s="13" t="str">
        <f t="shared" si="4"/>
        <v>RENOMMER</v>
      </c>
      <c r="V60" s="13" t="str" cm="1">
        <f t="array" ref="V60">_xlfn.IFS(
ISNUMBER(SEARCH("USA",S60)),"United States",
ISNUMBER(SEARCH("Republic of Korea",S60)),"South Korea",
ISNUMBER(SEARCH("Cape Verde",S60)),"Cabo Verde",
ISNUMBER(SEARCH("Czechia",S60)),"Czech Republic",
ISNUMBER(SEARCH("Türkiye",S60)),"Turkey",
ISNUMBER(SEARCH("Ivory Coast",S60)),"Côte d'Ivoire",
ISNUMBER(SEARCH("Korea Republic",S60)),"South Korea",
ISNUMBER(SEARCH("Germany FR",S60)),"FR Germany",
ISNUMBER(SEARCH("Germany DR",S60)),"DR Germany",
ISNUMBER(SEARCH("Korea DPR",S60)),"North Korea",
ISNUMBER(SEARCH("China PR",S60)),"China",
ISNUMBER(SEARCH("IR Iran",S60)),"Iran",
ISNUMBER(SEARCH("Congo DR",S60)),"Democratic Republic of the Congo",
ISNUMBER(SEARCH("DR Congo",S60)),"Democratic Republic of the Congo",
ISNUMBER(SEARCH("German DR",S60)),"DR Germany",
ISNUMBER(SEARCH("rn""&gt;United Arab Emirates",S60)),"United Arab Emirates",
ISNUMBER(SEARCH("rn""&gt;Republic of Ireland",S60)),"Ireland",
ISNUMBER(SEARCH("rn""&gt;Bosnia and Herzegovina",S60)),"Bosnia and Herzegovina",
ISNUMBER(SEARCH("rn""&gt;Trinidad and Tobago",S60)),"Trinidad and Tobago",
ISNUMBER(SEARCH("rn""&gt;Serbia and Montenegro",S60)),"Serbia and Montenegro",
ISNUMBER(SEARCH("te d'Ivoire",S60)),"Côte d'Ivoire",
TRUE,""
)</f>
        <v>Democratic Republic of the Congo</v>
      </c>
      <c r="W60" s="34" t="str">
        <f t="shared" si="5"/>
        <v>Democratic Republic of the Congo</v>
      </c>
      <c r="X60" s="95" t="str">
        <v>Jordan</v>
      </c>
      <c r="Z60" s="40" t="str">
        <v>San Siro</v>
      </c>
      <c r="AA60" s="40" t="str" cm="1">
        <f t="array" ref="AA60">IFERROR(_xlfn.XLOOKUP(Z60,_xlfn.ANCHORARRAY(Z$31),AA$31:AA$37),Z60)</f>
        <v>San Siro</v>
      </c>
      <c r="AB60" s="42" t="str">
        <v xml:space="preserve">Milan </v>
      </c>
      <c r="AC60" s="89" t="str">
        <f t="shared" si="7"/>
        <v xml:space="preserve">Milan </v>
      </c>
      <c r="AF60" s="13">
        <v>27.5</v>
      </c>
      <c r="AG60" s="7"/>
      <c r="AH60" s="7"/>
      <c r="AI60" s="7"/>
      <c r="AJ60" s="7"/>
      <c r="AK60" s="7"/>
      <c r="AL60" s="7"/>
      <c r="AM60" s="7"/>
      <c r="AN60" s="7"/>
      <c r="AV60" s="37" t="str">
        <v>ROUND_OF_16</v>
      </c>
      <c r="AW60" s="89" t="str">
        <v>QUARTER_FINALS</v>
      </c>
      <c r="AY60" s="42" cm="1">
        <f t="array" ref="AY60">INDEX(_xlfn.UNIQUE(DATA_CLEANED!AF51:'DATA_CLEANED'!AF1108),INT((ROWS(AY$12:AY60)-1)/3)+1)</f>
        <v>2010</v>
      </c>
      <c r="AZ60" s="42" t="s">
        <v>3560</v>
      </c>
      <c r="BA60" s="42">
        <v>4</v>
      </c>
      <c r="BB60" s="42">
        <f>COUNTIFS(DATA_CLEANED!AH$3:AH$1060,AZ60,DATA_CLEANED!AF$3:AF$1060,AY60)</f>
        <v>4</v>
      </c>
      <c r="BC60" s="89" t="str">
        <f t="shared" si="8"/>
        <v>OK</v>
      </c>
      <c r="BE60" s="43" t="str">
        <f>IF(OR(DATA_CLEANED!AL51="",DATA_CLEANED!AM51=""),"MANQUANT",IF(OR(NOT(ISNUMBER(DATA_CLEANED!AL51)),NOT(ISNUMBER(DATA_CLEANED!AM51))),"ENTREE INVALIDE",IF(OR(DATA_CLEANED!AL51&lt;0,DATA_CLEANED!AM51&lt;0),"SCORE NEGATIF","OK")))</f>
        <v>OK</v>
      </c>
      <c r="BF60" s="43" t="str">
        <f>IF(DATA_CLEANED!AK51&lt;&gt;DATA_CLEANED!AN51,"OK","ERREUR")</f>
        <v>OK</v>
      </c>
      <c r="BG60" s="43" t="str">
        <f>IF(DATA_CLEANED!AL51&gt;DATA_CLEANED!AM51,DATA_CLEANED!AK51,IF(AND(DATA_QUALITE!W4537="-",DATA_CLEANED!AM51=DATA_CLEANED!AL51),"MATCH NUL",IF(AND(DATA_QUALITE!V4537="-",DATA_QUALITE!U4537="AUCUNE"),DATA_QUALITE!T4537,IF(DATA_QUALITE!V4537&lt;&gt;"-",DATA_QUALITE!V4537,DATA_CLEANED!AN51))))</f>
        <v>Brazil</v>
      </c>
      <c r="BH60" s="103" t="str">
        <f>IF(AND(BG60="MATCH NUL",DATA_CLEANED!AO51="-"),"MATCH_NUL",IF(ISNUMBER(SEARCH("win on penalties",W4537)),"WIN_BY_PENALTY",IF(ISNUMBER(SEARCH("win after extra time",W4537)),"WIN_BY_EXTRA_TIME",IF(ISNUMBER(SEARCH("Golden Goal",W4537)),"WIN_BY_GOLDEN_GOAL","WIN_BY_SCORE"))))</f>
        <v>WIN_BY_SCORE</v>
      </c>
      <c r="BI60" s="99" t="str">
        <f>IF(OR(BG60=DATA_CLEANED!AK51,BG60=DATA_CLEANED!AN51,BG60="MATCH NUL"),"OK","ERREUR")</f>
        <v>OK</v>
      </c>
    </row>
    <row r="61" spans="2:61">
      <c r="B61" s="73" t="str">
        <v>Iran</v>
      </c>
      <c r="C61" s="13" t="str">
        <v>29.8</v>
      </c>
      <c r="D61" s="13">
        <v>14</v>
      </c>
      <c r="E61" s="13">
        <v>15</v>
      </c>
      <c r="F61" s="13">
        <v>14</v>
      </c>
      <c r="G61" s="13" t="str">
        <f t="shared" si="6"/>
        <v>Iran|29.8|14|15|14</v>
      </c>
      <c r="H61" s="13" t="str">
        <f>IF(COUNTIF($G$32:G61,G61)&gt;1,"DOUBLON","OK")</f>
        <v>OK</v>
      </c>
      <c r="R61" s="25" t="s">
        <v>50</v>
      </c>
      <c r="X61" s="95" t="str">
        <v>Kuwait</v>
      </c>
      <c r="Z61" s="40" t="str">
        <v>Littorale</v>
      </c>
      <c r="AA61" s="40" t="str" cm="1">
        <f t="array" ref="AA61">IFERROR(_xlfn.XLOOKUP(Z61,_xlfn.ANCHORARRAY(Z$31),AA$31:AA$37),Z61)</f>
        <v>Littorale</v>
      </c>
      <c r="AB61" s="42" t="str">
        <v xml:space="preserve">Bologna </v>
      </c>
      <c r="AC61" s="89" t="str">
        <f t="shared" si="7"/>
        <v xml:space="preserve">Bologna </v>
      </c>
      <c r="AF61" s="13">
        <v>29.2</v>
      </c>
      <c r="AG61" s="7"/>
      <c r="AH61" s="7"/>
      <c r="AI61" s="7"/>
      <c r="AJ61" s="7"/>
      <c r="AK61" s="7"/>
      <c r="AL61" s="7"/>
      <c r="AM61" s="7"/>
      <c r="AN61" s="7"/>
      <c r="AV61" s="37" t="str">
        <v>QUARTER_FINALS</v>
      </c>
      <c r="AW61" s="89" t="str">
        <v>SEMI_FINALS</v>
      </c>
      <c r="AY61" s="42" cm="1">
        <f t="array" ref="AY61">INDEX(_xlfn.UNIQUE(DATA_CLEANED!AF52:'DATA_CLEANED'!AF1109),INT((ROWS(AY$12:AY61)-1)/3)+1)</f>
        <v>2010</v>
      </c>
      <c r="AZ61" s="42" t="s">
        <v>3562</v>
      </c>
      <c r="BA61" s="42" cm="1">
        <f t="array" ref="BA61">INDEX($BA$12:$BA$14,MOD(ROWS($BA$15:BA61)-1,3)+1)</f>
        <v>2</v>
      </c>
      <c r="BB61" s="42">
        <f>COUNTIFS(DATA_CLEANED!AH$3:AH$1060,AZ61,DATA_CLEANED!AF$3:AF$1060,AY61)</f>
        <v>2</v>
      </c>
      <c r="BC61" s="89" t="str">
        <f t="shared" si="8"/>
        <v>OK</v>
      </c>
      <c r="BE61" s="43" t="str">
        <f>IF(OR(DATA_CLEANED!AL52="",DATA_CLEANED!AM52=""),"MANQUANT",IF(OR(NOT(ISNUMBER(DATA_CLEANED!AL52)),NOT(ISNUMBER(DATA_CLEANED!AM52))),"ENTREE INVALIDE",IF(OR(DATA_CLEANED!AL52&lt;0,DATA_CLEANED!AM52&lt;0),"SCORE NEGATIF","OK")))</f>
        <v>OK</v>
      </c>
      <c r="BF61" s="43" t="str">
        <f>IF(DATA_CLEANED!AK52&lt;&gt;DATA_CLEANED!AN52,"OK","ERREUR")</f>
        <v>OK</v>
      </c>
      <c r="BG61" s="43" t="str">
        <f>IF(DATA_CLEANED!AL52&gt;DATA_CLEANED!AM52,DATA_CLEANED!AK52,IF(AND(DATA_QUALITE!W4538="-",DATA_CLEANED!AM52=DATA_CLEANED!AL52),"MATCH NUL",IF(AND(DATA_QUALITE!V4538="-",DATA_QUALITE!U4538="AUCUNE"),DATA_QUALITE!T4538,IF(DATA_QUALITE!V4538&lt;&gt;"-",DATA_QUALITE!V4538,DATA_CLEANED!AN52))))</f>
        <v>Hungary</v>
      </c>
      <c r="BH61" s="103" t="str">
        <f>IF(AND(BG61="MATCH NUL",DATA_CLEANED!AO52="-"),"MATCH_NUL",IF(ISNUMBER(SEARCH("win on penalties",W4538)),"WIN_BY_PENALTY",IF(ISNUMBER(SEARCH("win after extra time",W4538)),"WIN_BY_EXTRA_TIME",IF(ISNUMBER(SEARCH("Golden Goal",W4538)),"WIN_BY_GOLDEN_GOAL","WIN_BY_SCORE"))))</f>
        <v>WIN_BY_SCORE</v>
      </c>
      <c r="BI61" s="99" t="str">
        <f>IF(OR(BG61=DATA_CLEANED!AK52,BG61=DATA_CLEANED!AN52,BG61="MATCH NUL"),"OK","ERREUR")</f>
        <v>OK</v>
      </c>
    </row>
    <row r="62" spans="2:61" ht="18.75">
      <c r="B62" s="73" t="str">
        <v>Egypt</v>
      </c>
      <c r="C62" s="13" t="str">
        <v>28.7</v>
      </c>
      <c r="D62" s="13">
        <v>14</v>
      </c>
      <c r="E62" s="13">
        <v>12</v>
      </c>
      <c r="F62" s="13">
        <v>13</v>
      </c>
      <c r="G62" s="13" t="str">
        <f t="shared" si="6"/>
        <v>Egypt|28.7|14|12|13</v>
      </c>
      <c r="H62" s="13" t="str">
        <f>IF(COUNTIF($G$32:G62,G62)&gt;1,"DOUBLON","OK")</f>
        <v>OK</v>
      </c>
      <c r="R62" s="23" t="s">
        <v>72</v>
      </c>
      <c r="S62" s="35" t="s">
        <v>3578</v>
      </c>
      <c r="T62" s="35" t="s">
        <v>3558</v>
      </c>
      <c r="U62" s="35" t="s">
        <v>3593</v>
      </c>
      <c r="V62" s="35" t="s">
        <v>3764</v>
      </c>
      <c r="W62" s="36" t="s">
        <v>3765</v>
      </c>
      <c r="X62" s="95" t="str">
        <v>Mexico</v>
      </c>
      <c r="Z62" s="40" t="str">
        <v>Giovanni Berta</v>
      </c>
      <c r="AA62" s="40" t="str" cm="1">
        <f t="array" ref="AA62">IFERROR(_xlfn.XLOOKUP(Z62,_xlfn.ANCHORARRAY(Z$31),AA$31:AA$37),Z62)</f>
        <v>Giovanni Berta</v>
      </c>
      <c r="AB62" s="42" t="str">
        <v xml:space="preserve">Florence </v>
      </c>
      <c r="AC62" s="89" t="str">
        <f t="shared" si="7"/>
        <v xml:space="preserve">Florence </v>
      </c>
      <c r="AF62" s="13">
        <v>28.5</v>
      </c>
      <c r="AG62" s="7"/>
      <c r="AH62" s="7"/>
      <c r="AI62" s="7"/>
      <c r="AJ62" s="7"/>
      <c r="AK62" s="7"/>
      <c r="AL62" s="7"/>
      <c r="AM62" s="7"/>
      <c r="AN62" s="7"/>
      <c r="AV62" s="37" t="str">
        <v>QUARTER_FINALS</v>
      </c>
      <c r="AW62" s="89" t="str">
        <v>SEMI_FINALS</v>
      </c>
      <c r="AY62" s="42" cm="1">
        <f t="array" ref="AY62">INDEX(_xlfn.UNIQUE(DATA_CLEANED!AF53:'DATA_CLEANED'!AF1110),INT((ROWS(AY$12:AY62)-1)/3)+1)</f>
        <v>2010</v>
      </c>
      <c r="AZ62" s="42" t="s">
        <v>3561</v>
      </c>
      <c r="BA62" s="42" cm="1">
        <f t="array" ref="BA62">INDEX($BA$12:$BA$14,MOD(ROWS($BA$15:BA62)-1,3)+1)</f>
        <v>1</v>
      </c>
      <c r="BB62" s="42">
        <f>COUNTIFS(DATA_CLEANED!AH$3:AH$1060,AZ62,DATA_CLEANED!AF$3:AF$1060,AY62)</f>
        <v>1</v>
      </c>
      <c r="BC62" s="89" t="str">
        <f t="shared" si="8"/>
        <v>OK</v>
      </c>
      <c r="BE62" s="43" t="str">
        <f>IF(OR(DATA_CLEANED!AL53="",DATA_CLEANED!AM53=""),"MANQUANT",IF(OR(NOT(ISNUMBER(DATA_CLEANED!AL53)),NOT(ISNUMBER(DATA_CLEANED!AM53))),"ENTREE INVALIDE",IF(OR(DATA_CLEANED!AL53&lt;0,DATA_CLEANED!AM53&lt;0),"SCORE NEGATIF","OK")))</f>
        <v>OK</v>
      </c>
      <c r="BF62" s="43" t="str">
        <f>IF(DATA_CLEANED!AK53&lt;&gt;DATA_CLEANED!AN53,"OK","ERREUR")</f>
        <v>OK</v>
      </c>
      <c r="BG62" s="43" t="str">
        <f>IF(DATA_CLEANED!AL53&gt;DATA_CLEANED!AM53,DATA_CLEANED!AK53,IF(AND(DATA_QUALITE!W4539="-",DATA_CLEANED!AM53=DATA_CLEANED!AL53),"MATCH NUL",IF(AND(DATA_QUALITE!V4539="-",DATA_QUALITE!U4539="AUCUNE"),DATA_QUALITE!T4539,IF(DATA_QUALITE!V4539&lt;&gt;"-",DATA_QUALITE!V4539,DATA_CLEANED!AN53))))</f>
        <v>Italy</v>
      </c>
      <c r="BH62" s="103" t="str">
        <f>IF(AND(BG62="MATCH NUL",DATA_CLEANED!AO53="-"),"MATCH_NUL",IF(ISNUMBER(SEARCH("win on penalties",W4539)),"WIN_BY_PENALTY",IF(ISNUMBER(SEARCH("win after extra time",W4539)),"WIN_BY_EXTRA_TIME",IF(ISNUMBER(SEARCH("Golden Goal",W4539)),"WIN_BY_GOLDEN_GOAL","WIN_BY_SCORE"))))</f>
        <v>WIN_BY_SCORE</v>
      </c>
      <c r="BI62" s="99" t="str">
        <f>IF(OR(BG62=DATA_CLEANED!AK53,BG62=DATA_CLEANED!AN53,BG62="MATCH NUL"),"OK","ERREUR")</f>
        <v>OK</v>
      </c>
    </row>
    <row r="63" spans="2:61">
      <c r="B63" s="73" t="str">
        <v>South Africa</v>
      </c>
      <c r="C63" s="13" t="str">
        <v>26.3</v>
      </c>
      <c r="D63" s="13">
        <v>12</v>
      </c>
      <c r="E63" s="13">
        <v>13</v>
      </c>
      <c r="F63" s="13">
        <v>13</v>
      </c>
      <c r="G63" s="13" t="str">
        <f t="shared" si="6"/>
        <v>South Africa|26.3|12|13|13</v>
      </c>
      <c r="H63" s="13" t="str">
        <f>IF(COUNTIF($G$32:G63,G63)&gt;1,"DOUBLON","OK")</f>
        <v>OK</v>
      </c>
      <c r="R63" s="23" t="s">
        <v>63</v>
      </c>
      <c r="S63" s="30" t="str" cm="1">
        <f t="array" ref="S63:S1118">_xlfn.VSTACK(DATA_BRUT!I3:I354,DATA_BRUT!J3:J354,DATA_BRUT!K3:K354)</f>
        <v>West Germany</v>
      </c>
      <c r="T63" s="30" t="str">
        <f t="shared" ref="T63:T94" si="9">IF(COUNTIF(R$13:R$250,S63)=1,"OK","ERREUR")</f>
        <v>ERREUR</v>
      </c>
      <c r="U63" s="30" t="str">
        <f>IF(OR(S63="Scotland",S63="England",S63="Wales",S63="Yugoslavia",S63="Czechoslovakia",S63="Northern Ireland",S63="Soviet Union",S63="Zaire",S63="Dutch East Indies"),"AUCUNE",IF(OR(S63="Cape Verde",S63="USA",S63="DR Congo",S63="Republic of Korea",S63="Germany FR",S63="Germany DR",S63="Czechia",S63="Ivory Coast",S63="Korea DPR",S63="China PR",S63="IR Iran",S63="Türkiye",S63="Congo DR",S63="German DR",S63="West Germany",S63="Republic of Ireland",ISNUMBER(SEARCH("rn""&gt;United Arab Emirates",S63)),ISNUMBER(SEARCH("rn""&gt;Republic of Ireland",S63)),ISNUMBER(SEARCH("rn""&gt;Bosnia and Herzegovina",S63)),ISNUMBER(SEARCH("rn""&gt;Trinidad and Tobago",S63)),ISNUMBER(SEARCH("rn""&gt;Serbia and Montenegro",S63)),ISNUMBER(SEARCH(_xlfn.UNICHAR(65533),S63))),"RENOMMER","-"))</f>
        <v>RENOMMER</v>
      </c>
      <c r="V63" s="30" t="str" cm="1">
        <f t="array" ref="V63">_xlfn.IFS(
ISNUMBER(SEARCH("USA",S63)),"United States",
ISNUMBER(SEARCH("Republic of Korea",S63)),"South Korea",
ISNUMBER(SEARCH("Cape Verde",S63)),"Cabo Verde",
ISNUMBER(SEARCH("Czechia",S63)),"Czech Republic",
ISNUMBER(SEARCH("Türkiye",S63)),"Turkey",
ISNUMBER(SEARCH("Ivory Coast",S63)),"Côte d'Ivoire",
ISNUMBER(SEARCH("Korea Republic",S63)),"South Korea",
ISNUMBER(SEARCH("Germany FR",S63)),"FR Germany",
ISNUMBER(SEARCH("West Germany",S63)),"FR Germany",
ISNUMBER(SEARCH("Germany DR",S63)),"DR Germany",
ISNUMBER(SEARCH("Korea DPR",S63)),"North Korea",
ISNUMBER(SEARCH("China PR",S63)),"China",
ISNUMBER(SEARCH("IR Iran",S63)),"Iran",
ISNUMBER(SEARCH("Congo DR",S63)),"Democratic Republic of the Congo",
ISNUMBER(SEARCH("DR Congo",S63)),"Democratic Republic of the Congo",
ISNUMBER(SEARCH("German DR",S63)),"DR Germany",
ISNUMBER(SEARCH("rn""&gt;United Arab Emirates",S63)),"United Arab Emirates",
ISNUMBER(SEARCH("rn""&gt;Republic of Ireland",S63)),"Ireland",
ISNUMBER(SEARCH("rn""&gt;Bosnia and Herzegovina",S63)),"Bosnia and Herzegovina",
ISNUMBER(SEARCH("rn""&gt;Trinidad and Tobago",S63)),"Trinidad and Tobago",
ISNUMBER(SEARCH("rn""&gt;Serbia and Montenegro",S63)),"Serbia and Montenegro",
ISNUMBER(SEARCH(_xlfn.UNICHAR(65533),S63)),"Côte d'Ivoire",
TRUE,""
)</f>
        <v>FR Germany</v>
      </c>
      <c r="W63" s="37" t="str">
        <f t="shared" si="5"/>
        <v>FR Germany</v>
      </c>
      <c r="X63" s="95" t="str">
        <v>Morocco</v>
      </c>
      <c r="Z63" s="40" t="str">
        <v>Luigi Ferraris</v>
      </c>
      <c r="AA63" s="40" t="str" cm="1">
        <f t="array" ref="AA63">IFERROR(_xlfn.XLOOKUP(Z63,_xlfn.ANCHORARRAY(Z$31),AA$31:AA$37),Z63)</f>
        <v>Luigi Ferraris</v>
      </c>
      <c r="AB63" s="42" t="str">
        <v xml:space="preserve">Genoa </v>
      </c>
      <c r="AC63" s="89" t="str">
        <f t="shared" si="7"/>
        <v xml:space="preserve">Genoa </v>
      </c>
      <c r="AF63" s="9"/>
      <c r="AG63" s="7"/>
      <c r="AH63" s="7"/>
      <c r="AI63" s="7"/>
      <c r="AJ63" s="7"/>
      <c r="AK63" s="7"/>
      <c r="AL63" s="7"/>
      <c r="AM63" s="7"/>
      <c r="AN63" s="7"/>
      <c r="AV63" s="37" t="str">
        <v>QUARTER_FINALS</v>
      </c>
      <c r="AW63" s="89" t="str">
        <v>THIRD_PLACE</v>
      </c>
      <c r="AY63" s="42" cm="1">
        <f t="array" ref="AY63">INDEX(_xlfn.UNIQUE(DATA_CLEANED!AF54:'DATA_CLEANED'!AF1111),INT((ROWS(AY$12:AY63)-1)/3)+1)</f>
        <v>2014</v>
      </c>
      <c r="AZ63" s="42" t="s">
        <v>3560</v>
      </c>
      <c r="BA63" s="42">
        <v>4</v>
      </c>
      <c r="BB63" s="42">
        <f>COUNTIFS(DATA_CLEANED!AH$3:AH$1060,AZ63,DATA_CLEANED!AF$3:AF$1060,AY63)</f>
        <v>4</v>
      </c>
      <c r="BC63" s="89" t="str">
        <f t="shared" si="8"/>
        <v>OK</v>
      </c>
      <c r="BE63" s="43" t="str">
        <f>IF(OR(DATA_CLEANED!AL54="",DATA_CLEANED!AM54=""),"MANQUANT",IF(OR(NOT(ISNUMBER(DATA_CLEANED!AL54)),NOT(ISNUMBER(DATA_CLEANED!AM54))),"ENTREE INVALIDE",IF(OR(DATA_CLEANED!AL54&lt;0,DATA_CLEANED!AM54&lt;0),"SCORE NEGATIF","OK")))</f>
        <v>OK</v>
      </c>
      <c r="BF63" s="43" t="str">
        <f>IF(DATA_CLEANED!AK54&lt;&gt;DATA_CLEANED!AN54,"OK","ERREUR")</f>
        <v>OK</v>
      </c>
      <c r="BG63" s="43" t="str">
        <f>IF(DATA_CLEANED!AL54&gt;DATA_CLEANED!AM54,DATA_CLEANED!AK54,IF(AND(DATA_QUALITE!W4540="-",DATA_CLEANED!AM54=DATA_CLEANED!AL54),"MATCH NUL",IF(AND(DATA_QUALITE!V4540="-",DATA_QUALITE!U4540="AUCUNE"),DATA_QUALITE!T4540,IF(DATA_QUALITE!V4540&lt;&gt;"-",DATA_QUALITE!V4540,DATA_CLEANED!AN54))))</f>
        <v>Brazil</v>
      </c>
      <c r="BH63" s="103" t="str">
        <f>IF(AND(BG63="MATCH NUL",DATA_CLEANED!AO54="-"),"MATCH_NUL",IF(ISNUMBER(SEARCH("win on penalties",W4540)),"WIN_BY_PENALTY",IF(ISNUMBER(SEARCH("win after extra time",W4540)),"WIN_BY_EXTRA_TIME",IF(ISNUMBER(SEARCH("Golden Goal",W4540)),"WIN_BY_GOLDEN_GOAL","WIN_BY_SCORE"))))</f>
        <v>WIN_BY_SCORE</v>
      </c>
      <c r="BI63" s="99" t="str">
        <f>IF(OR(BG63=DATA_CLEANED!AK54,BG63=DATA_CLEANED!AN54,BG63="MATCH NUL"),"OK","ERREUR")</f>
        <v>OK</v>
      </c>
    </row>
    <row r="64" spans="2:61" ht="18.75">
      <c r="B64" s="73" t="str">
        <v>Canada</v>
      </c>
      <c r="C64" s="13" t="str">
        <v>26.5</v>
      </c>
      <c r="D64" s="13">
        <v>22</v>
      </c>
      <c r="E64" s="13">
        <v>11</v>
      </c>
      <c r="F64" s="13">
        <v>11</v>
      </c>
      <c r="G64" s="13" t="str">
        <f t="shared" si="6"/>
        <v>Canada|26.5|22|11|11</v>
      </c>
      <c r="H64" s="13" t="str">
        <f>IF(COUNTIF($G$32:G64,G64)&gt;1,"DOUBLON","OK")</f>
        <v>OK</v>
      </c>
      <c r="R64" s="23" t="s">
        <v>22</v>
      </c>
      <c r="S64" s="30" t="str">
        <v>West Germany</v>
      </c>
      <c r="T64" s="30" t="str">
        <f t="shared" si="9"/>
        <v>ERREUR</v>
      </c>
      <c r="U64" s="30" t="str">
        <f t="shared" ref="U64:U127" si="10">IF(OR(S64="Scotland",S64="England",S64="Wales",S64="Yugoslavia",S64="Czechoslovakia",S64="Northern Ireland",S64="Soviet Union",S64="Zaire",S64="Dutch East Indies"),"AUCUNE",IF(OR(S64="Cape Verde",S64="USA",S64="DR Congo",S64="Republic of Korea",S64="Germany FR",S64="Germany DR",S64="Czechia",S64="Ivory Coast",S64="Korea DPR",S64="China PR",S64="IR Iran",S64="Türkiye",S64="Congo DR",S64="German DR",S64="West Germany",S64="Republic of Ireland",ISNUMBER(SEARCH("rn""&gt;United Arab Emirates",S64)),ISNUMBER(SEARCH("rn""&gt;Republic of Ireland",S64)),ISNUMBER(SEARCH("rn""&gt;Bosnia and Herzegovina",S64)),ISNUMBER(SEARCH("rn""&gt;Trinidad and Tobago",S64)),ISNUMBER(SEARCH("rn""&gt;Serbia and Montenegro",S64)),ISNUMBER(SEARCH(_xlfn.UNICHAR(65533),S64))),"RENOMMER","-"))</f>
        <v>RENOMMER</v>
      </c>
      <c r="V64" s="30" t="str" cm="1">
        <f t="array" ref="V64">_xlfn.IFS(
ISNUMBER(SEARCH("USA",S64)),"United States",
ISNUMBER(SEARCH("Republic of Korea",S64)),"South Korea",
ISNUMBER(SEARCH("Cape Verde",S64)),"Cabo Verde",
ISNUMBER(SEARCH("Czechia",S64)),"Czech Republic",
ISNUMBER(SEARCH("Türkiye",S64)),"Turkey",
ISNUMBER(SEARCH("Ivory Coast",S64)),"Côte d'Ivoire",
ISNUMBER(SEARCH("Korea Republic",S64)),"South Korea",
ISNUMBER(SEARCH("Germany FR",S64)),"FR Germany",
ISNUMBER(SEARCH("West Germany",S64)),"FR Germany",
ISNUMBER(SEARCH("Germany DR",S64)),"DR Germany",
ISNUMBER(SEARCH("Korea DPR",S64)),"North Korea",
ISNUMBER(SEARCH("China PR",S64)),"China",
ISNUMBER(SEARCH("IR Iran",S64)),"Iran",
ISNUMBER(SEARCH("Congo DR",S64)),"Democratic Republic of the Congo",
ISNUMBER(SEARCH("DR Congo",S64)),"Democratic Republic of the Congo",
ISNUMBER(SEARCH("German DR",S64)),"DR Germany",
ISNUMBER(SEARCH("rn""&gt;United Arab Emirates",S64)),"United Arab Emirates",
ISNUMBER(SEARCH("rn""&gt;Republic of Ireland",S64)),"Ireland",
ISNUMBER(SEARCH("rn""&gt;Bosnia and Herzegovina",S64)),"Bosnia and Herzegovina",
ISNUMBER(SEARCH("rn""&gt;Trinidad and Tobago",S64)),"Trinidad and Tobago",
ISNUMBER(SEARCH("rn""&gt;Serbia and Montenegro",S64)),"Serbia and Montenegro",
ISNUMBER(SEARCH(_xlfn.UNICHAR(65533),S64)),"Côte d'Ivoire",
TRUE,""
)</f>
        <v>FR Germany</v>
      </c>
      <c r="W64" s="37" t="str">
        <f t="shared" si="5"/>
        <v>FR Germany</v>
      </c>
      <c r="X64" s="95" t="str">
        <v>Netherlands</v>
      </c>
      <c r="Z64" s="40" t="str">
        <v>Nazionale PNF</v>
      </c>
      <c r="AA64" s="40" t="str" cm="1">
        <f t="array" ref="AA64">IFERROR(_xlfn.XLOOKUP(Z64,_xlfn.ANCHORARRAY(Z$31),AA$31:AA$37),Z64)</f>
        <v>Nazionale PNF</v>
      </c>
      <c r="AB64" s="42" t="str">
        <v xml:space="preserve">Rome </v>
      </c>
      <c r="AC64" s="89" t="str">
        <f t="shared" si="7"/>
        <v xml:space="preserve">Rome </v>
      </c>
      <c r="AD64" s="24"/>
      <c r="AE64" s="106" t="s">
        <v>3578</v>
      </c>
      <c r="AG64" s="7"/>
      <c r="AH64" s="7"/>
      <c r="AI64" s="7"/>
      <c r="AJ64" s="7"/>
      <c r="AK64" s="7"/>
      <c r="AL64" s="7"/>
      <c r="AM64" s="7"/>
      <c r="AN64" s="7"/>
      <c r="AV64" s="37" t="str">
        <v>QUARTER_FINALS</v>
      </c>
      <c r="AW64" s="89" t="str">
        <v>FINAL</v>
      </c>
      <c r="AY64" s="42" cm="1">
        <f t="array" ref="AY64">INDEX(_xlfn.UNIQUE(DATA_CLEANED!AF55:'DATA_CLEANED'!AF1112),INT((ROWS(AY$12:AY64)-1)/3)+1)</f>
        <v>2014</v>
      </c>
      <c r="AZ64" s="42" t="s">
        <v>3562</v>
      </c>
      <c r="BA64" s="42" cm="1">
        <f t="array" ref="BA64">INDEX($BA$12:$BA$14,MOD(ROWS($BA$15:BA64)-1,3)+1)</f>
        <v>2</v>
      </c>
      <c r="BB64" s="42">
        <f>COUNTIFS(DATA_CLEANED!AH$3:AH$1060,AZ64,DATA_CLEANED!AF$3:AF$1060,AY64)</f>
        <v>2</v>
      </c>
      <c r="BC64" s="89" t="str">
        <f t="shared" si="8"/>
        <v>OK</v>
      </c>
      <c r="BE64" s="43" t="str">
        <f>IF(OR(DATA_CLEANED!AL55="",DATA_CLEANED!AM55=""),"MANQUANT",IF(OR(NOT(ISNUMBER(DATA_CLEANED!AL55)),NOT(ISNUMBER(DATA_CLEANED!AM55))),"ENTREE INVALIDE",IF(OR(DATA_CLEANED!AL55&lt;0,DATA_CLEANED!AM55&lt;0),"SCORE NEGATIF","OK")))</f>
        <v>OK</v>
      </c>
      <c r="BF64" s="43" t="str">
        <f>IF(DATA_CLEANED!AK55&lt;&gt;DATA_CLEANED!AN55,"OK","ERREUR")</f>
        <v>OK</v>
      </c>
      <c r="BG64" s="43" t="str">
        <f>IF(DATA_CLEANED!AL55&gt;DATA_CLEANED!AM55,DATA_CLEANED!AK55,IF(AND(DATA_QUALITE!W4541="-",DATA_CLEANED!AM55=DATA_CLEANED!AL55),"MATCH NUL",IF(AND(DATA_QUALITE!V4541="-",DATA_QUALITE!U4541="AUCUNE"),DATA_QUALITE!T4541,IF(DATA_QUALITE!V4541&lt;&gt;"-",DATA_QUALITE!V4541,DATA_CLEANED!AN55))))</f>
        <v>Italy</v>
      </c>
      <c r="BH64" s="103" t="str">
        <f>IF(AND(BG64="MATCH NUL",DATA_CLEANED!AO55="-"),"MATCH_NUL",IF(ISNUMBER(SEARCH("win on penalties",W4541)),"WIN_BY_PENALTY",IF(ISNUMBER(SEARCH("win after extra time",W4541)),"WIN_BY_EXTRA_TIME",IF(ISNUMBER(SEARCH("Golden Goal",W4541)),"WIN_BY_GOLDEN_GOAL","WIN_BY_SCORE"))))</f>
        <v>WIN_BY_SCORE</v>
      </c>
      <c r="BI64" s="99" t="str">
        <f>IF(OR(BG64=DATA_CLEANED!AK55,BG64=DATA_CLEANED!AN55,BG64="MATCH NUL"),"OK","ERREUR")</f>
        <v>OK</v>
      </c>
    </row>
    <row r="65" spans="2:61">
      <c r="B65" s="73" t="str">
        <v>New Zealand</v>
      </c>
      <c r="C65" s="13" t="str">
        <v>27.8</v>
      </c>
      <c r="D65" s="13">
        <v>19</v>
      </c>
      <c r="E65" s="13">
        <v>9</v>
      </c>
      <c r="F65" s="13">
        <v>8</v>
      </c>
      <c r="G65" s="13" t="str">
        <f t="shared" si="6"/>
        <v>New Zealand|27.8|19|9|8</v>
      </c>
      <c r="H65" s="13" t="str">
        <f>IF(COUNTIF($G$32:G65,G65)&gt;1,"DOUBLON","OK")</f>
        <v>OK</v>
      </c>
      <c r="R65" s="23" t="s">
        <v>84</v>
      </c>
      <c r="S65" s="30" t="str">
        <v>West Germany</v>
      </c>
      <c r="T65" s="30" t="str">
        <f t="shared" si="9"/>
        <v>ERREUR</v>
      </c>
      <c r="U65" s="30" t="str">
        <f t="shared" si="10"/>
        <v>RENOMMER</v>
      </c>
      <c r="V65" s="30" t="str" cm="1">
        <f t="array" ref="V65">_xlfn.IFS(
ISNUMBER(SEARCH("USA",S65)),"United States",
ISNUMBER(SEARCH("Republic of Korea",S65)),"South Korea",
ISNUMBER(SEARCH("Cape Verde",S65)),"Cabo Verde",
ISNUMBER(SEARCH("Czechia",S65)),"Czech Republic",
ISNUMBER(SEARCH("Türkiye",S65)),"Turkey",
ISNUMBER(SEARCH("Ivory Coast",S65)),"Côte d'Ivoire",
ISNUMBER(SEARCH("Korea Republic",S65)),"South Korea",
ISNUMBER(SEARCH("Germany FR",S65)),"FR Germany",
ISNUMBER(SEARCH("West Germany",S65)),"FR Germany",
ISNUMBER(SEARCH("Germany DR",S65)),"DR Germany",
ISNUMBER(SEARCH("Korea DPR",S65)),"North Korea",
ISNUMBER(SEARCH("China PR",S65)),"China",
ISNUMBER(SEARCH("IR Iran",S65)),"Iran",
ISNUMBER(SEARCH("Congo DR",S65)),"Democratic Republic of the Congo",
ISNUMBER(SEARCH("DR Congo",S65)),"Democratic Republic of the Congo",
ISNUMBER(SEARCH("German DR",S65)),"DR Germany",
ISNUMBER(SEARCH("rn""&gt;United Arab Emirates",S65)),"United Arab Emirates",
ISNUMBER(SEARCH("rn""&gt;Republic of Ireland",S65)),"Ireland",
ISNUMBER(SEARCH("rn""&gt;Bosnia and Herzegovina",S65)),"Bosnia and Herzegovina",
ISNUMBER(SEARCH("rn""&gt;Trinidad and Tobago",S65)),"Trinidad and Tobago",
ISNUMBER(SEARCH("rn""&gt;Serbia and Montenegro",S65)),"Serbia and Montenegro",
ISNUMBER(SEARCH(_xlfn.UNICHAR(65533),S65)),"Côte d'Ivoire",
TRUE,""
)</f>
        <v>FR Germany</v>
      </c>
      <c r="W65" s="37" t="str">
        <f t="shared" si="5"/>
        <v>FR Germany</v>
      </c>
      <c r="X65" s="95" t="str">
        <v>New Zealand</v>
      </c>
      <c r="Z65" s="40" t="str">
        <v>Littorio</v>
      </c>
      <c r="AA65" s="40" t="str" cm="1">
        <f t="array" ref="AA65">IFERROR(_xlfn.XLOOKUP(Z65,_xlfn.ANCHORARRAY(Z$31),AA$31:AA$37),Z65)</f>
        <v>Littorio</v>
      </c>
      <c r="AB65" s="42" t="str">
        <v xml:space="preserve">Trieste </v>
      </c>
      <c r="AC65" s="89" t="str">
        <f t="shared" si="7"/>
        <v xml:space="preserve">Trieste </v>
      </c>
      <c r="AD65" s="9"/>
      <c r="AE65" s="16" t="str">
        <f>"Nombre de colonnes : "&amp;COLUMNS(DATA_BRUT!G2:S2)</f>
        <v>Nombre de colonnes : 13</v>
      </c>
      <c r="AG65" s="7"/>
      <c r="AH65" s="7"/>
      <c r="AI65" s="7"/>
      <c r="AJ65" s="7"/>
      <c r="AK65" s="7"/>
      <c r="AL65" s="7"/>
      <c r="AM65" s="7"/>
      <c r="AN65" s="7"/>
      <c r="AV65" s="37" t="str">
        <v>QUARTER_FINALS</v>
      </c>
      <c r="AW65" s="89" t="str">
        <v>GROUP_STAGE</v>
      </c>
      <c r="AY65" s="42" cm="1">
        <f t="array" ref="AY65">INDEX(_xlfn.UNIQUE(DATA_CLEANED!AF56:'DATA_CLEANED'!AF1113),INT((ROWS(AY$12:AY65)-1)/3)+1)</f>
        <v>2018</v>
      </c>
      <c r="AZ65" s="42" t="s">
        <v>3561</v>
      </c>
      <c r="BA65" s="42" cm="1">
        <f t="array" ref="BA65">INDEX($BA$12:$BA$14,MOD(ROWS($BA$15:BA65)-1,3)+1)</f>
        <v>1</v>
      </c>
      <c r="BB65" s="42">
        <f>COUNTIFS(DATA_CLEANED!AH$3:AH$1060,AZ65,DATA_CLEANED!AF$3:AF$1060,AY65)</f>
        <v>1</v>
      </c>
      <c r="BC65" s="89" t="str">
        <f t="shared" si="8"/>
        <v>OK</v>
      </c>
      <c r="BE65" s="43" t="str">
        <f>IF(OR(DATA_CLEANED!AL56="",DATA_CLEANED!AM56=""),"MANQUANT",IF(OR(NOT(ISNUMBER(DATA_CLEANED!AL56)),NOT(ISNUMBER(DATA_CLEANED!AM56))),"ENTREE INVALIDE",IF(OR(DATA_CLEANED!AL56&lt;0,DATA_CLEANED!AM56&lt;0),"SCORE NEGATIF","OK")))</f>
        <v>OK</v>
      </c>
      <c r="BF65" s="43" t="str">
        <f>IF(DATA_CLEANED!AK56&lt;&gt;DATA_CLEANED!AN56,"OK","ERREUR")</f>
        <v>OK</v>
      </c>
      <c r="BG65" s="43" t="str">
        <f>IF(DATA_CLEANED!AL56&gt;DATA_CLEANED!AM56,DATA_CLEANED!AK56,IF(AND(DATA_QUALITE!W4542="-",DATA_CLEANED!AM56=DATA_CLEANED!AL56),"MATCH NUL",IF(AND(DATA_QUALITE!V4542="-",DATA_QUALITE!U4542="AUCUNE"),DATA_QUALITE!T4542,IF(DATA_QUALITE!V4542&lt;&gt;"-",DATA_QUALITE!V4542,DATA_CLEANED!AN56))))</f>
        <v>Brazil</v>
      </c>
      <c r="BH65" s="103" t="str">
        <f>IF(AND(BG65="MATCH NUL",DATA_CLEANED!AO56="-"),"MATCH_NUL",IF(ISNUMBER(SEARCH("win on penalties",W4542)),"WIN_BY_PENALTY",IF(ISNUMBER(SEARCH("win after extra time",W4542)),"WIN_BY_EXTRA_TIME",IF(ISNUMBER(SEARCH("Golden Goal",W4542)),"WIN_BY_GOLDEN_GOAL","WIN_BY_SCORE"))))</f>
        <v>WIN_BY_SCORE</v>
      </c>
      <c r="BI65" s="99" t="str">
        <f>IF(OR(BG65=DATA_CLEANED!AK56,BG65=DATA_CLEANED!AN56,BG65="MATCH NUL"),"OK","ERREUR")</f>
        <v>OK</v>
      </c>
    </row>
    <row r="66" spans="2:61">
      <c r="B66" s="73" t="str">
        <v>Bosnia and Herzegovina</v>
      </c>
      <c r="C66" s="13" t="str">
        <v>26.0</v>
      </c>
      <c r="D66" s="13">
        <v>24</v>
      </c>
      <c r="E66" s="13">
        <v>4</v>
      </c>
      <c r="F66" s="13">
        <v>5</v>
      </c>
      <c r="G66" s="13" t="str">
        <f t="shared" si="6"/>
        <v>Bosnia and Herzegovina|26.0|24|4|5</v>
      </c>
      <c r="H66" s="13" t="str">
        <f>IF(COUNTIF($G$32:G66,G66)&gt;1,"DOUBLON","OK")</f>
        <v>OK</v>
      </c>
      <c r="R66" s="23" t="s">
        <v>3621</v>
      </c>
      <c r="S66" s="30" t="str">
        <v>West Germany</v>
      </c>
      <c r="T66" s="30" t="str">
        <f t="shared" si="9"/>
        <v>ERREUR</v>
      </c>
      <c r="U66" s="30" t="str">
        <f t="shared" si="10"/>
        <v>RENOMMER</v>
      </c>
      <c r="V66" s="30" t="str" cm="1">
        <f t="array" ref="V66">_xlfn.IFS(
ISNUMBER(SEARCH("USA",S66)),"United States",
ISNUMBER(SEARCH("Republic of Korea",S66)),"South Korea",
ISNUMBER(SEARCH("Cape Verde",S66)),"Cabo Verde",
ISNUMBER(SEARCH("Czechia",S66)),"Czech Republic",
ISNUMBER(SEARCH("Türkiye",S66)),"Turkey",
ISNUMBER(SEARCH("Ivory Coast",S66)),"Côte d'Ivoire",
ISNUMBER(SEARCH("Korea Republic",S66)),"South Korea",
ISNUMBER(SEARCH("Germany FR",S66)),"FR Germany",
ISNUMBER(SEARCH("West Germany",S66)),"FR Germany",
ISNUMBER(SEARCH("Germany DR",S66)),"DR Germany",
ISNUMBER(SEARCH("Korea DPR",S66)),"North Korea",
ISNUMBER(SEARCH("China PR",S66)),"China",
ISNUMBER(SEARCH("IR Iran",S66)),"Iran",
ISNUMBER(SEARCH("Congo DR",S66)),"Democratic Republic of the Congo",
ISNUMBER(SEARCH("DR Congo",S66)),"Democratic Republic of the Congo",
ISNUMBER(SEARCH("German DR",S66)),"DR Germany",
ISNUMBER(SEARCH("rn""&gt;United Arab Emirates",S66)),"United Arab Emirates",
ISNUMBER(SEARCH("rn""&gt;Republic of Ireland",S66)),"Ireland",
ISNUMBER(SEARCH("rn""&gt;Bosnia and Herzegovina",S66)),"Bosnia and Herzegovina",
ISNUMBER(SEARCH("rn""&gt;Trinidad and Tobago",S66)),"Trinidad and Tobago",
ISNUMBER(SEARCH("rn""&gt;Serbia and Montenegro",S66)),"Serbia and Montenegro",
ISNUMBER(SEARCH(_xlfn.UNICHAR(65533),S66)),"Côte d'Ivoire",
TRUE,""
)</f>
        <v>FR Germany</v>
      </c>
      <c r="W66" s="37" t="str">
        <f t="shared" si="5"/>
        <v>FR Germany</v>
      </c>
      <c r="X66" s="95" t="str">
        <v>Nigeria</v>
      </c>
      <c r="Z66" s="40" t="str">
        <v>Stadio Benito Mussolini</v>
      </c>
      <c r="AA66" s="40" t="str" cm="1">
        <f t="array" ref="AA66">IFERROR(_xlfn.XLOOKUP(Z66,_xlfn.ANCHORARRAY(Z$31),AA$31:AA$37),Z66)</f>
        <v>Stadio Benito Mussolini</v>
      </c>
      <c r="AB66" s="42" t="str">
        <v xml:space="preserve">Turin </v>
      </c>
      <c r="AC66" s="89" t="str">
        <f t="shared" si="7"/>
        <v xml:space="preserve">Turin </v>
      </c>
      <c r="AD66" s="80" t="s">
        <v>3789</v>
      </c>
      <c r="AE66" s="65" t="str" cm="1">
        <f t="array" ref="AE66:AQ66">DATA_BRUT!G2:S2</f>
        <v>Tournament_Year</v>
      </c>
      <c r="AF66" s="65" t="str">
        <v>Match_Stage</v>
      </c>
      <c r="AG66" s="65" t="str">
        <v>Team_A</v>
      </c>
      <c r="AH66" s="65" t="str">
        <v>Team_B</v>
      </c>
      <c r="AI66" s="65" t="str">
        <v>Shooter_Team</v>
      </c>
      <c r="AJ66" s="65" t="str">
        <v>Shooter_Name</v>
      </c>
      <c r="AK66" s="65" t="str">
        <v>Goalkeeper_Name</v>
      </c>
      <c r="AL66" s="65" t="str">
        <v>Kick_Number</v>
      </c>
      <c r="AM66" s="65" t="str">
        <v>Team_Kick_Number</v>
      </c>
      <c r="AN66" s="65" t="str">
        <v>Score_Before_Kick</v>
      </c>
      <c r="AO66" s="29" t="str">
        <v>Is_Must_Score</v>
      </c>
      <c r="AP66" s="29" t="str">
        <v>Is_Winning_Kick</v>
      </c>
      <c r="AQ66" s="91" t="str">
        <v>Shoot_Outcome</v>
      </c>
      <c r="AV66" s="37" t="str">
        <v>QUARTER_FINALS</v>
      </c>
      <c r="AW66" s="89" t="str">
        <v>GROUP_STAGE</v>
      </c>
      <c r="AY66" s="42" cm="1">
        <f t="array" ref="AY66">INDEX(_xlfn.UNIQUE(DATA_CLEANED!AF57:'DATA_CLEANED'!AF1114),INT((ROWS(AY$12:AY66)-1)/3)+1)</f>
        <v>2022</v>
      </c>
      <c r="AZ66" s="42" t="s">
        <v>3560</v>
      </c>
      <c r="BA66" s="42">
        <v>4</v>
      </c>
      <c r="BB66" s="42">
        <f>COUNTIFS(DATA_CLEANED!AH$3:AH$1060,AZ66,DATA_CLEANED!AF$3:AF$1060,AY66)</f>
        <v>4</v>
      </c>
      <c r="BC66" s="89" t="str">
        <f t="shared" si="8"/>
        <v>OK</v>
      </c>
      <c r="BE66" s="43" t="str">
        <f>IF(OR(DATA_CLEANED!AL57="",DATA_CLEANED!AM57=""),"MANQUANT",IF(OR(NOT(ISNUMBER(DATA_CLEANED!AL57)),NOT(ISNUMBER(DATA_CLEANED!AM57))),"ENTREE INVALIDE",IF(OR(DATA_CLEANED!AL57&lt;0,DATA_CLEANED!AM57&lt;0),"SCORE NEGATIF","OK")))</f>
        <v>OK</v>
      </c>
      <c r="BF66" s="43" t="str">
        <f>IF(DATA_CLEANED!AK57&lt;&gt;DATA_CLEANED!AN57,"OK","ERREUR")</f>
        <v>OK</v>
      </c>
      <c r="BG66" s="43" t="str">
        <f>IF(DATA_CLEANED!AL57&gt;DATA_CLEANED!AM57,DATA_CLEANED!AK57,IF(AND(DATA_QUALITE!W4543="-",DATA_CLEANED!AM57=DATA_CLEANED!AL57),"MATCH NUL",IF(AND(DATA_QUALITE!V4543="-",DATA_QUALITE!U4543="AUCUNE"),DATA_QUALITE!T4543,IF(DATA_QUALITE!V4543&lt;&gt;"-",DATA_QUALITE!V4543,DATA_CLEANED!AN57))))</f>
        <v>England</v>
      </c>
      <c r="BH66" s="103" t="str">
        <f>IF(AND(BG66="MATCH NUL",DATA_CLEANED!AO57="-"),"MATCH_NUL",IF(ISNUMBER(SEARCH("win on penalties",W4543)),"WIN_BY_PENALTY",IF(ISNUMBER(SEARCH("win after extra time",W4543)),"WIN_BY_EXTRA_TIME",IF(ISNUMBER(SEARCH("Golden Goal",W4543)),"WIN_BY_GOLDEN_GOAL","WIN_BY_SCORE"))))</f>
        <v>WIN_BY_SCORE</v>
      </c>
      <c r="BI66" s="99" t="str">
        <f>IF(OR(BG66=DATA_CLEANED!AK57,BG66=DATA_CLEANED!AN57,BG66="MATCH NUL"),"OK","ERREUR")</f>
        <v>OK</v>
      </c>
    </row>
    <row r="67" spans="2:61">
      <c r="B67" s="73" t="str">
        <v>Côte d'Ivoire</v>
      </c>
      <c r="C67" s="13" t="str">
        <v>25.3</v>
      </c>
      <c r="D67" s="13">
        <v>25</v>
      </c>
      <c r="E67" s="13">
        <v>3</v>
      </c>
      <c r="F67" s="13">
        <v>4</v>
      </c>
      <c r="G67" s="13" t="str">
        <f t="shared" si="6"/>
        <v>Côte d'Ivoire|25.3|25|3|4</v>
      </c>
      <c r="H67" s="13" t="str">
        <f>IF(COUNTIF($G$32:G67,G67)&gt;1,"DOUBLON","OK")</f>
        <v>OK</v>
      </c>
      <c r="R67" s="23" t="s">
        <v>69</v>
      </c>
      <c r="S67" s="30" t="str">
        <v>West Germany</v>
      </c>
      <c r="T67" s="30" t="str">
        <f t="shared" si="9"/>
        <v>ERREUR</v>
      </c>
      <c r="U67" s="30" t="str">
        <f t="shared" si="10"/>
        <v>RENOMMER</v>
      </c>
      <c r="V67" s="30" t="str" cm="1">
        <f t="array" ref="V67">_xlfn.IFS(
ISNUMBER(SEARCH("USA",S67)),"United States",
ISNUMBER(SEARCH("Republic of Korea",S67)),"South Korea",
ISNUMBER(SEARCH("Cape Verde",S67)),"Cabo Verde",
ISNUMBER(SEARCH("Czechia",S67)),"Czech Republic",
ISNUMBER(SEARCH("Türkiye",S67)),"Turkey",
ISNUMBER(SEARCH("Ivory Coast",S67)),"Côte d'Ivoire",
ISNUMBER(SEARCH("Korea Republic",S67)),"South Korea",
ISNUMBER(SEARCH("Germany FR",S67)),"FR Germany",
ISNUMBER(SEARCH("West Germany",S67)),"FR Germany",
ISNUMBER(SEARCH("Germany DR",S67)),"DR Germany",
ISNUMBER(SEARCH("Korea DPR",S67)),"North Korea",
ISNUMBER(SEARCH("China PR",S67)),"China",
ISNUMBER(SEARCH("IR Iran",S67)),"Iran",
ISNUMBER(SEARCH("Congo DR",S67)),"Democratic Republic of the Congo",
ISNUMBER(SEARCH("DR Congo",S67)),"Democratic Republic of the Congo",
ISNUMBER(SEARCH("German DR",S67)),"DR Germany",
ISNUMBER(SEARCH("rn""&gt;United Arab Emirates",S67)),"United Arab Emirates",
ISNUMBER(SEARCH("rn""&gt;Republic of Ireland",S67)),"Ireland",
ISNUMBER(SEARCH("rn""&gt;Bosnia and Herzegovina",S67)),"Bosnia and Herzegovina",
ISNUMBER(SEARCH("rn""&gt;Trinidad and Tobago",S67)),"Trinidad and Tobago",
ISNUMBER(SEARCH("rn""&gt;Serbia and Montenegro",S67)),"Serbia and Montenegro",
ISNUMBER(SEARCH(_xlfn.UNICHAR(65533),S67)),"Côte d'Ivoire",
TRUE,""
)</f>
        <v>FR Germany</v>
      </c>
      <c r="W67" s="37" t="str">
        <f t="shared" si="5"/>
        <v>FR Germany</v>
      </c>
      <c r="X67" s="95" t="str">
        <v>North Korea</v>
      </c>
      <c r="Z67" s="40" t="str">
        <v>San Siro</v>
      </c>
      <c r="AA67" s="40" t="str" cm="1">
        <f t="array" ref="AA67">IFERROR(_xlfn.XLOOKUP(Z67,_xlfn.ANCHORARRAY(Z$31),AA$31:AA$37),Z67)</f>
        <v>San Siro</v>
      </c>
      <c r="AB67" s="42" t="str">
        <v xml:space="preserve">Milan </v>
      </c>
      <c r="AC67" s="89" t="str">
        <f t="shared" si="7"/>
        <v xml:space="preserve">Milan </v>
      </c>
      <c r="AD67" s="80" t="s">
        <v>3786</v>
      </c>
      <c r="AE67" s="62" t="b" cm="1">
        <f t="array" ref="AE67:AQ67">ISNUMBER(DATA_BRUT!G3:S3)</f>
        <v>1</v>
      </c>
      <c r="AF67" s="62" t="b">
        <v>0</v>
      </c>
      <c r="AG67" s="62" t="b">
        <v>0</v>
      </c>
      <c r="AH67" s="62" t="b">
        <v>0</v>
      </c>
      <c r="AI67" s="62" t="b">
        <v>0</v>
      </c>
      <c r="AJ67" s="62" t="b">
        <v>0</v>
      </c>
      <c r="AK67" s="62" t="b">
        <v>0</v>
      </c>
      <c r="AL67" s="62" t="b">
        <v>1</v>
      </c>
      <c r="AM67" s="62" t="b">
        <v>1</v>
      </c>
      <c r="AN67" s="62" t="b">
        <v>0</v>
      </c>
      <c r="AO67" s="16" t="b">
        <v>0</v>
      </c>
      <c r="AP67" s="16" t="b">
        <v>0</v>
      </c>
      <c r="AQ67" s="92" t="b">
        <v>0</v>
      </c>
      <c r="AV67" s="37" t="str">
        <v>QUARTER_FINALS</v>
      </c>
      <c r="AW67" s="89" t="str">
        <v>GROUP_STAGE</v>
      </c>
      <c r="AY67" s="42" cm="1">
        <f t="array" ref="AY67">INDEX(_xlfn.UNIQUE(DATA_CLEANED!AF58:'DATA_CLEANED'!AF1115),INT((ROWS(AY$12:AY67)-1)/3)+1)</f>
        <v>2022</v>
      </c>
      <c r="AZ67" s="42" t="s">
        <v>3562</v>
      </c>
      <c r="BA67" s="42" cm="1">
        <f t="array" ref="BA67">INDEX($BA$12:$BA$14,MOD(ROWS($BA$15:BA67)-1,3)+1)</f>
        <v>2</v>
      </c>
      <c r="BB67" s="42">
        <f>COUNTIFS(DATA_CLEANED!AH$3:AH$1060,AZ67,DATA_CLEANED!AF$3:AF$1060,AY67)</f>
        <v>2</v>
      </c>
      <c r="BC67" s="89" t="str">
        <f t="shared" si="8"/>
        <v>OK</v>
      </c>
      <c r="BE67" s="43" t="str">
        <f>IF(OR(DATA_CLEANED!AL58="",DATA_CLEANED!AM58=""),"MANQUANT",IF(OR(NOT(ISNUMBER(DATA_CLEANED!AL58)),NOT(ISNUMBER(DATA_CLEANED!AM58))),"ENTREE INVALIDE",IF(OR(DATA_CLEANED!AL58&lt;0,DATA_CLEANED!AM58&lt;0),"SCORE NEGATIF","OK")))</f>
        <v>OK</v>
      </c>
      <c r="BF67" s="43" t="str">
        <f>IF(DATA_CLEANED!AK58&lt;&gt;DATA_CLEANED!AN58,"OK","ERREUR")</f>
        <v>OK</v>
      </c>
      <c r="BG67" s="43" t="str">
        <f>IF(DATA_CLEANED!AL58&gt;DATA_CLEANED!AM58,DATA_CLEANED!AK58,IF(AND(DATA_QUALITE!W4544="-",DATA_CLEANED!AM58=DATA_CLEANED!AL58),"MATCH NUL",IF(AND(DATA_QUALITE!V4544="-",DATA_QUALITE!U4544="AUCUNE"),DATA_QUALITE!T4544,IF(DATA_QUALITE!V4544&lt;&gt;"-",DATA_QUALITE!V4544,DATA_CLEANED!AN58))))</f>
        <v>Spain</v>
      </c>
      <c r="BH67" s="103" t="str">
        <f>IF(AND(BG67="MATCH NUL",DATA_CLEANED!AO58="-"),"MATCH_NUL",IF(ISNUMBER(SEARCH("win on penalties",W4544)),"WIN_BY_PENALTY",IF(ISNUMBER(SEARCH("win after extra time",W4544)),"WIN_BY_EXTRA_TIME",IF(ISNUMBER(SEARCH("Golden Goal",W4544)),"WIN_BY_GOLDEN_GOAL","WIN_BY_SCORE"))))</f>
        <v>WIN_BY_SCORE</v>
      </c>
      <c r="BI67" s="99" t="str">
        <f>IF(OR(BG67=DATA_CLEANED!AK58,BG67=DATA_CLEANED!AN58,BG67="MATCH NUL"),"OK","ERREUR")</f>
        <v>OK</v>
      </c>
    </row>
    <row r="68" spans="2:61">
      <c r="B68" s="73" t="str">
        <v>Haiti</v>
      </c>
      <c r="C68" s="13" t="str">
        <v>27.0</v>
      </c>
      <c r="D68" s="13">
        <v>25</v>
      </c>
      <c r="E68" s="13">
        <v>6</v>
      </c>
      <c r="F68" s="13">
        <v>4</v>
      </c>
      <c r="G68" s="13" t="str">
        <f t="shared" si="6"/>
        <v>Haiti|27.0|25|6|4</v>
      </c>
      <c r="H68" s="13" t="str">
        <f>IF(COUNTIF($G$32:G68,G68)&gt;1,"DOUBLON","OK")</f>
        <v>OK</v>
      </c>
      <c r="R68" s="23" t="s">
        <v>49</v>
      </c>
      <c r="S68" s="30" t="str">
        <v>West Germany</v>
      </c>
      <c r="T68" s="30" t="str">
        <f t="shared" si="9"/>
        <v>ERREUR</v>
      </c>
      <c r="U68" s="30" t="str">
        <f t="shared" si="10"/>
        <v>RENOMMER</v>
      </c>
      <c r="V68" s="30" t="str" cm="1">
        <f t="array" ref="V68">_xlfn.IFS(
ISNUMBER(SEARCH("USA",S68)),"United States",
ISNUMBER(SEARCH("Republic of Korea",S68)),"South Korea",
ISNUMBER(SEARCH("Cape Verde",S68)),"Cabo Verde",
ISNUMBER(SEARCH("Czechia",S68)),"Czech Republic",
ISNUMBER(SEARCH("Türkiye",S68)),"Turkey",
ISNUMBER(SEARCH("Ivory Coast",S68)),"Côte d'Ivoire",
ISNUMBER(SEARCH("Korea Republic",S68)),"South Korea",
ISNUMBER(SEARCH("Germany FR",S68)),"FR Germany",
ISNUMBER(SEARCH("West Germany",S68)),"FR Germany",
ISNUMBER(SEARCH("Germany DR",S68)),"DR Germany",
ISNUMBER(SEARCH("Korea DPR",S68)),"North Korea",
ISNUMBER(SEARCH("China PR",S68)),"China",
ISNUMBER(SEARCH("IR Iran",S68)),"Iran",
ISNUMBER(SEARCH("Congo DR",S68)),"Democratic Republic of the Congo",
ISNUMBER(SEARCH("DR Congo",S68)),"Democratic Republic of the Congo",
ISNUMBER(SEARCH("German DR",S68)),"DR Germany",
ISNUMBER(SEARCH("rn""&gt;United Arab Emirates",S68)),"United Arab Emirates",
ISNUMBER(SEARCH("rn""&gt;Republic of Ireland",S68)),"Ireland",
ISNUMBER(SEARCH("rn""&gt;Bosnia and Herzegovina",S68)),"Bosnia and Herzegovina",
ISNUMBER(SEARCH("rn""&gt;Trinidad and Tobago",S68)),"Trinidad and Tobago",
ISNUMBER(SEARCH("rn""&gt;Serbia and Montenegro",S68)),"Serbia and Montenegro",
ISNUMBER(SEARCH(_xlfn.UNICHAR(65533),S68)),"Côte d'Ivoire",
TRUE,""
)</f>
        <v>FR Germany</v>
      </c>
      <c r="W68" s="37" t="str">
        <f t="shared" si="5"/>
        <v>FR Germany</v>
      </c>
      <c r="X68" s="95" t="str">
        <v>Northern Ireland</v>
      </c>
      <c r="Z68" s="40" t="str">
        <v>Giovanni Berta</v>
      </c>
      <c r="AA68" s="40" t="str" cm="1">
        <f t="array" ref="AA68">IFERROR(_xlfn.XLOOKUP(Z68,_xlfn.ANCHORARRAY(Z$31),AA$31:AA$37),Z68)</f>
        <v>Giovanni Berta</v>
      </c>
      <c r="AB68" s="42" t="str">
        <v xml:space="preserve">Florence </v>
      </c>
      <c r="AC68" s="89" t="str">
        <f t="shared" si="7"/>
        <v xml:space="preserve">Florence </v>
      </c>
      <c r="AD68" s="80" t="s">
        <v>3787</v>
      </c>
      <c r="AE68" s="62" t="s">
        <v>3791</v>
      </c>
      <c r="AF68" s="62" t="s">
        <v>3791</v>
      </c>
      <c r="AG68" s="62" t="s">
        <v>3791</v>
      </c>
      <c r="AH68" s="62" t="s">
        <v>3791</v>
      </c>
      <c r="AI68" s="62" t="s">
        <v>3791</v>
      </c>
      <c r="AJ68" s="62" t="s">
        <v>3791</v>
      </c>
      <c r="AK68" s="62" t="s">
        <v>3791</v>
      </c>
      <c r="AL68" s="62" t="s">
        <v>3791</v>
      </c>
      <c r="AM68" s="62" t="s">
        <v>3791</v>
      </c>
      <c r="AN68" s="62" t="s">
        <v>3791</v>
      </c>
      <c r="AO68" s="62" t="s">
        <v>3791</v>
      </c>
      <c r="AP68" s="62" t="s">
        <v>3791</v>
      </c>
      <c r="AQ68" s="93" t="s">
        <v>3791</v>
      </c>
      <c r="AV68" s="37" t="str">
        <v>QUARTER_FINALS</v>
      </c>
      <c r="AW68" s="89" t="str">
        <v>GROUP_STAGE</v>
      </c>
      <c r="AY68" s="42" cm="1">
        <f t="array" ref="AY68">INDEX(_xlfn.UNIQUE(DATA_CLEANED!AF59:'DATA_CLEANED'!AF1116),INT((ROWS(AY$12:AY68)-1)/3)+1)</f>
        <v>2022</v>
      </c>
      <c r="AZ68" s="42" t="s">
        <v>3561</v>
      </c>
      <c r="BA68" s="42" cm="1">
        <f t="array" ref="BA68">INDEX($BA$12:$BA$14,MOD(ROWS($BA$15:BA68)-1,3)+1)</f>
        <v>1</v>
      </c>
      <c r="BB68" s="42">
        <f>COUNTIFS(DATA_CLEANED!AH$3:AH$1060,AZ68,DATA_CLEANED!AF$3:AF$1060,AY68)</f>
        <v>1</v>
      </c>
      <c r="BC68" s="89" t="str">
        <f t="shared" si="8"/>
        <v>OK</v>
      </c>
      <c r="BE68" s="43" t="str">
        <f>IF(OR(DATA_CLEANED!AL59="",DATA_CLEANED!AM59=""),"MANQUANT",IF(OR(NOT(ISNUMBER(DATA_CLEANED!AL59)),NOT(ISNUMBER(DATA_CLEANED!AM59))),"ENTREE INVALIDE",IF(OR(DATA_CLEANED!AL59&lt;0,DATA_CLEANED!AM59&lt;0),"SCORE NEGATIF","OK")))</f>
        <v>OK</v>
      </c>
      <c r="BF68" s="43" t="str">
        <f>IF(DATA_CLEANED!AK59&lt;&gt;DATA_CLEANED!AN59,"OK","ERREUR")</f>
        <v>OK</v>
      </c>
      <c r="BG68" s="43" t="str">
        <f>IF(DATA_CLEANED!AL59&gt;DATA_CLEANED!AM59,DATA_CLEANED!AK59,IF(AND(DATA_QUALITE!W4545="-",DATA_CLEANED!AM59=DATA_CLEANED!AL59),"MATCH NUL",IF(AND(DATA_QUALITE!V4545="-",DATA_QUALITE!U4545="AUCUNE"),DATA_QUALITE!T4545,IF(DATA_QUALITE!V4545&lt;&gt;"-",DATA_QUALITE!V4545,DATA_CLEANED!AN59))))</f>
        <v>Sweden</v>
      </c>
      <c r="BH68" s="103" t="str">
        <f>IF(AND(BG68="MATCH NUL",DATA_CLEANED!AO59="-"),"MATCH_NUL",IF(ISNUMBER(SEARCH("win on penalties",W4545)),"WIN_BY_PENALTY",IF(ISNUMBER(SEARCH("win after extra time",W4545)),"WIN_BY_EXTRA_TIME",IF(ISNUMBER(SEARCH("Golden Goal",W4545)),"WIN_BY_GOLDEN_GOAL","WIN_BY_SCORE"))))</f>
        <v>WIN_BY_SCORE</v>
      </c>
      <c r="BI68" s="99" t="str">
        <f>IF(OR(BG68=DATA_CLEANED!AK59,BG68=DATA_CLEANED!AN59,BG68="MATCH NUL"),"OK","ERREUR")</f>
        <v>OK</v>
      </c>
    </row>
    <row r="69" spans="2:61">
      <c r="B69" s="73" t="str">
        <v>USA</v>
      </c>
      <c r="C69" s="13" t="str">
        <v>26.4</v>
      </c>
      <c r="D69" s="13">
        <v>24</v>
      </c>
      <c r="E69" s="13">
        <v>5</v>
      </c>
      <c r="F69" s="13">
        <v>4</v>
      </c>
      <c r="G69" s="13" t="str">
        <f t="shared" si="6"/>
        <v>USA|26.4|24|5|4</v>
      </c>
      <c r="H69" s="13" t="str">
        <f>IF(COUNTIF($G$32:G69,G69)&gt;1,"DOUBLON","OK")</f>
        <v>OK</v>
      </c>
      <c r="R69" s="23" t="s">
        <v>3623</v>
      </c>
      <c r="S69" s="30" t="str">
        <v>West Germany</v>
      </c>
      <c r="T69" s="30" t="str">
        <f t="shared" si="9"/>
        <v>ERREUR</v>
      </c>
      <c r="U69" s="30" t="str">
        <f t="shared" si="10"/>
        <v>RENOMMER</v>
      </c>
      <c r="V69" s="30" t="str" cm="1">
        <f t="array" ref="V69">_xlfn.IFS(
ISNUMBER(SEARCH("USA",S69)),"United States",
ISNUMBER(SEARCH("Republic of Korea",S69)),"South Korea",
ISNUMBER(SEARCH("Cape Verde",S69)),"Cabo Verde",
ISNUMBER(SEARCH("Czechia",S69)),"Czech Republic",
ISNUMBER(SEARCH("Türkiye",S69)),"Turkey",
ISNUMBER(SEARCH("Ivory Coast",S69)),"Côte d'Ivoire",
ISNUMBER(SEARCH("Korea Republic",S69)),"South Korea",
ISNUMBER(SEARCH("Germany FR",S69)),"FR Germany",
ISNUMBER(SEARCH("West Germany",S69)),"FR Germany",
ISNUMBER(SEARCH("Germany DR",S69)),"DR Germany",
ISNUMBER(SEARCH("Korea DPR",S69)),"North Korea",
ISNUMBER(SEARCH("China PR",S69)),"China",
ISNUMBER(SEARCH("IR Iran",S69)),"Iran",
ISNUMBER(SEARCH("Congo DR",S69)),"Democratic Republic of the Congo",
ISNUMBER(SEARCH("DR Congo",S69)),"Democratic Republic of the Congo",
ISNUMBER(SEARCH("German DR",S69)),"DR Germany",
ISNUMBER(SEARCH("rn""&gt;United Arab Emirates",S69)),"United Arab Emirates",
ISNUMBER(SEARCH("rn""&gt;Republic of Ireland",S69)),"Ireland",
ISNUMBER(SEARCH("rn""&gt;Bosnia and Herzegovina",S69)),"Bosnia and Herzegovina",
ISNUMBER(SEARCH("rn""&gt;Trinidad and Tobago",S69)),"Trinidad and Tobago",
ISNUMBER(SEARCH("rn""&gt;Serbia and Montenegro",S69)),"Serbia and Montenegro",
ISNUMBER(SEARCH(_xlfn.UNICHAR(65533),S69)),"Côte d'Ivoire",
TRUE,""
)</f>
        <v>FR Germany</v>
      </c>
      <c r="W69" s="37" t="str">
        <f t="shared" si="5"/>
        <v>FR Germany</v>
      </c>
      <c r="X69" s="95" t="str">
        <v>Norway</v>
      </c>
      <c r="Z69" s="40" t="str">
        <v>Littorale</v>
      </c>
      <c r="AA69" s="40" t="str" cm="1">
        <f t="array" ref="AA69">IFERROR(_xlfn.XLOOKUP(Z69,_xlfn.ANCHORARRAY(Z$31),AA$31:AA$37),Z69)</f>
        <v>Littorale</v>
      </c>
      <c r="AB69" s="42" t="str">
        <v xml:space="preserve">Bologna </v>
      </c>
      <c r="AC69" s="89" t="str">
        <f t="shared" si="7"/>
        <v xml:space="preserve">Bologna </v>
      </c>
      <c r="AD69" s="80" t="s">
        <v>3790</v>
      </c>
      <c r="AE69" s="62" t="str">
        <f>IF(AE68="NO","-","")</f>
        <v/>
      </c>
      <c r="AF69" s="61" t="s">
        <v>3788</v>
      </c>
      <c r="AG69" s="62" t="str">
        <f>IF(AG68="NON","-","")</f>
        <v>-</v>
      </c>
      <c r="AH69" s="62" t="str">
        <f t="shared" ref="AH69:AQ69" si="11">IF(AH68="NON","-","")</f>
        <v>-</v>
      </c>
      <c r="AI69" s="62" t="str">
        <f t="shared" si="11"/>
        <v>-</v>
      </c>
      <c r="AJ69" s="62" t="str">
        <f t="shared" si="11"/>
        <v>-</v>
      </c>
      <c r="AK69" s="62" t="str">
        <f t="shared" si="11"/>
        <v>-</v>
      </c>
      <c r="AL69" s="62" t="str">
        <f t="shared" si="11"/>
        <v>-</v>
      </c>
      <c r="AM69" s="62" t="str">
        <f t="shared" si="11"/>
        <v>-</v>
      </c>
      <c r="AN69" s="62" t="str">
        <f t="shared" si="11"/>
        <v>-</v>
      </c>
      <c r="AO69" s="62" t="str">
        <f t="shared" si="11"/>
        <v>-</v>
      </c>
      <c r="AP69" s="62" t="str">
        <f t="shared" si="11"/>
        <v>-</v>
      </c>
      <c r="AQ69" s="93" t="str">
        <f t="shared" si="11"/>
        <v>-</v>
      </c>
      <c r="AV69" s="37" t="str">
        <v>QUARTER_FINALS</v>
      </c>
      <c r="AW69" s="89" t="str">
        <v>GROUP_STAGE</v>
      </c>
      <c r="AY69" s="42" cm="1">
        <f t="array" ref="AY69">INDEX(_xlfn.UNIQUE(DATA_CLEANED!AF60:'DATA_CLEANED'!AF1117),INT((ROWS(AY$12:AY69)-1)/3)+1)</f>
        <v>2026</v>
      </c>
      <c r="AZ69" s="42" t="s">
        <v>3560</v>
      </c>
      <c r="BA69" s="42">
        <v>4</v>
      </c>
      <c r="BB69" s="42">
        <f>COUNTIFS(DATA_CLEANED!AH$3:AH$1060,AZ69,DATA_CLEANED!AF$3:AF$1060,AY69)</f>
        <v>4</v>
      </c>
      <c r="BC69" s="89" t="str">
        <f t="shared" si="8"/>
        <v>OK</v>
      </c>
      <c r="BE69" s="43" t="str">
        <f>IF(OR(DATA_CLEANED!AL60="",DATA_CLEANED!AM60=""),"MANQUANT",IF(OR(NOT(ISNUMBER(DATA_CLEANED!AL60)),NOT(ISNUMBER(DATA_CLEANED!AM60))),"ENTREE INVALIDE",IF(OR(DATA_CLEANED!AL60&lt;0,DATA_CLEANED!AM60&lt;0),"SCORE NEGATIF","OK")))</f>
        <v>OK</v>
      </c>
      <c r="BF69" s="43" t="str">
        <f>IF(DATA_CLEANED!AK60&lt;&gt;DATA_CLEANED!AN60,"OK","ERREUR")</f>
        <v>OK</v>
      </c>
      <c r="BG69" s="43" t="str">
        <f>IF(DATA_CLEANED!AL60&gt;DATA_CLEANED!AM60,DATA_CLEANED!AK60,IF(AND(DATA_QUALITE!W4546="-",DATA_CLEANED!AM60=DATA_CLEANED!AL60),"MATCH NUL",IF(AND(DATA_QUALITE!V4546="-",DATA_QUALITE!U4546="AUCUNE"),DATA_QUALITE!T4546,IF(DATA_QUALITE!V4546&lt;&gt;"-",DATA_QUALITE!V4546,DATA_CLEANED!AN60))))</f>
        <v>Yugoslavia</v>
      </c>
      <c r="BH69" s="103" t="str">
        <f>IF(AND(BG69="MATCH NUL",DATA_CLEANED!AO60="-"),"MATCH_NUL",IF(ISNUMBER(SEARCH("win on penalties",W4546)),"WIN_BY_PENALTY",IF(ISNUMBER(SEARCH("win after extra time",W4546)),"WIN_BY_EXTRA_TIME",IF(ISNUMBER(SEARCH("Golden Goal",W4546)),"WIN_BY_GOLDEN_GOAL","WIN_BY_SCORE"))))</f>
        <v>WIN_BY_SCORE</v>
      </c>
      <c r="BI69" s="99" t="str">
        <f>IF(OR(BG69=DATA_CLEANED!AK60,BG69=DATA_CLEANED!AN60,BG69="MATCH NUL"),"OK","ERREUR")</f>
        <v>OK</v>
      </c>
    </row>
    <row r="70" spans="2:61">
      <c r="B70" s="73" t="str">
        <v>Qatar</v>
      </c>
      <c r="C70" s="13" t="str">
        <v>28.9</v>
      </c>
      <c r="D70" s="13">
        <v>8</v>
      </c>
      <c r="E70" s="13">
        <v>6</v>
      </c>
      <c r="F70" s="13">
        <v>3</v>
      </c>
      <c r="G70" s="13" t="str">
        <f t="shared" si="6"/>
        <v>Qatar|28.9|8|6|3</v>
      </c>
      <c r="H70" s="13" t="str">
        <f>IF(COUNTIF($G$32:G70,G70)&gt;1,"DOUBLON","OK")</f>
        <v>OK</v>
      </c>
      <c r="R70" s="23" t="s">
        <v>3624</v>
      </c>
      <c r="S70" s="30" t="str">
        <v>West Germany</v>
      </c>
      <c r="T70" s="30" t="str">
        <f t="shared" si="9"/>
        <v>ERREUR</v>
      </c>
      <c r="U70" s="30" t="str">
        <f t="shared" si="10"/>
        <v>RENOMMER</v>
      </c>
      <c r="V70" s="30" t="str" cm="1">
        <f t="array" ref="V70">_xlfn.IFS(
ISNUMBER(SEARCH("USA",S70)),"United States",
ISNUMBER(SEARCH("Republic of Korea",S70)),"South Korea",
ISNUMBER(SEARCH("Cape Verde",S70)),"Cabo Verde",
ISNUMBER(SEARCH("Czechia",S70)),"Czech Republic",
ISNUMBER(SEARCH("Türkiye",S70)),"Turkey",
ISNUMBER(SEARCH("Ivory Coast",S70)),"Côte d'Ivoire",
ISNUMBER(SEARCH("Korea Republic",S70)),"South Korea",
ISNUMBER(SEARCH("Germany FR",S70)),"FR Germany",
ISNUMBER(SEARCH("West Germany",S70)),"FR Germany",
ISNUMBER(SEARCH("Germany DR",S70)),"DR Germany",
ISNUMBER(SEARCH("Korea DPR",S70)),"North Korea",
ISNUMBER(SEARCH("China PR",S70)),"China",
ISNUMBER(SEARCH("IR Iran",S70)),"Iran",
ISNUMBER(SEARCH("Congo DR",S70)),"Democratic Republic of the Congo",
ISNUMBER(SEARCH("DR Congo",S70)),"Democratic Republic of the Congo",
ISNUMBER(SEARCH("German DR",S70)),"DR Germany",
ISNUMBER(SEARCH("rn""&gt;United Arab Emirates",S70)),"United Arab Emirates",
ISNUMBER(SEARCH("rn""&gt;Republic of Ireland",S70)),"Ireland",
ISNUMBER(SEARCH("rn""&gt;Bosnia and Herzegovina",S70)),"Bosnia and Herzegovina",
ISNUMBER(SEARCH("rn""&gt;Trinidad and Tobago",S70)),"Trinidad and Tobago",
ISNUMBER(SEARCH("rn""&gt;Serbia and Montenegro",S70)),"Serbia and Montenegro",
ISNUMBER(SEARCH(_xlfn.UNICHAR(65533),S70)),"Côte d'Ivoire",
TRUE,""
)</f>
        <v>FR Germany</v>
      </c>
      <c r="W70" s="37" t="str">
        <f t="shared" si="5"/>
        <v>FR Germany</v>
      </c>
      <c r="X70" s="95" t="str">
        <v>Panama</v>
      </c>
      <c r="Z70" s="40" t="str">
        <v>Giovanni Berta</v>
      </c>
      <c r="AA70" s="40" t="str" cm="1">
        <f t="array" ref="AA70">IFERROR(_xlfn.XLOOKUP(Z70,_xlfn.ANCHORARRAY(Z$31),AA$31:AA$37),Z70)</f>
        <v>Giovanni Berta</v>
      </c>
      <c r="AB70" s="42" t="str">
        <v xml:space="preserve">Florence </v>
      </c>
      <c r="AC70" s="89" t="str">
        <f t="shared" si="7"/>
        <v xml:space="preserve">Florence </v>
      </c>
      <c r="AG70" s="7"/>
      <c r="AH70" s="7"/>
      <c r="AI70" s="7"/>
      <c r="AJ70" s="7"/>
      <c r="AK70" s="7"/>
      <c r="AL70" s="7"/>
      <c r="AM70" s="7"/>
      <c r="AN70" s="7"/>
      <c r="AV70" s="37" t="str">
        <v>QUARTER_FINALS</v>
      </c>
      <c r="AW70" s="89" t="str">
        <v>GROUP_STAGE</v>
      </c>
      <c r="AY70" s="42" cm="1">
        <f t="array" ref="AY70">INDEX(_xlfn.UNIQUE(DATA_CLEANED!AF61:'DATA_CLEANED'!AF1118),INT((ROWS(AY$12:AY70)-1)/3)+1)</f>
        <v>2026</v>
      </c>
      <c r="AZ70" s="42" t="s">
        <v>3562</v>
      </c>
      <c r="BA70" s="42" cm="1">
        <f t="array" ref="BA70">INDEX($BA$12:$BA$14,MOD(ROWS($BA$15:BA70)-1,3)+1)</f>
        <v>2</v>
      </c>
      <c r="BB70" s="42">
        <f>COUNTIFS(DATA_CLEANED!AH$3:AH$1060,AZ70,DATA_CLEANED!AF$3:AF$1060,AY70)</f>
        <v>2</v>
      </c>
      <c r="BC70" s="89" t="str">
        <f t="shared" si="8"/>
        <v>OK</v>
      </c>
      <c r="BE70" s="43" t="str">
        <f>IF(OR(DATA_CLEANED!AL61="",DATA_CLEANED!AM61=""),"MANQUANT",IF(OR(NOT(ISNUMBER(DATA_CLEANED!AL61)),NOT(ISNUMBER(DATA_CLEANED!AM61))),"ENTREE INVALIDE",IF(OR(DATA_CLEANED!AL61&lt;0,DATA_CLEANED!AM61&lt;0),"SCORE NEGATIF","OK")))</f>
        <v>OK</v>
      </c>
      <c r="BF70" s="43" t="str">
        <f>IF(DATA_CLEANED!AK61&lt;&gt;DATA_CLEANED!AN61,"OK","ERREUR")</f>
        <v>OK</v>
      </c>
      <c r="BG70" s="43" t="str">
        <f>IF(DATA_CLEANED!AL61&gt;DATA_CLEANED!AM61,DATA_CLEANED!AK61,IF(AND(DATA_QUALITE!W4547="-",DATA_CLEANED!AM61=DATA_CLEANED!AL61),"MATCH NUL",IF(AND(DATA_QUALITE!V4547="-",DATA_QUALITE!U4547="AUCUNE"),DATA_QUALITE!T4547,IF(DATA_QUALITE!V4547&lt;&gt;"-",DATA_QUALITE!V4547,DATA_CLEANED!AN61))))</f>
        <v>MATCH NUL</v>
      </c>
      <c r="BH70" s="103" t="str">
        <f>IF(AND(BG70="MATCH NUL",DATA_CLEANED!AO61="-"),"MATCH_NUL",IF(ISNUMBER(SEARCH("win on penalties",W4547)),"WIN_BY_PENALTY",IF(ISNUMBER(SEARCH("win after extra time",W4547)),"WIN_BY_EXTRA_TIME",IF(ISNUMBER(SEARCH("Golden Goal",W4547)),"WIN_BY_GOLDEN_GOAL","WIN_BY_SCORE"))))</f>
        <v>MATCH_NUL</v>
      </c>
      <c r="BI70" s="99" t="str">
        <f>IF(OR(BG70=DATA_CLEANED!AK61,BG70=DATA_CLEANED!AN61,BG70="MATCH NUL"),"OK","ERREUR")</f>
        <v>OK</v>
      </c>
    </row>
    <row r="71" spans="2:61" ht="18.75">
      <c r="B71" s="73" t="str">
        <v>Czech Republic</v>
      </c>
      <c r="C71" s="13" t="str">
        <v>27.2</v>
      </c>
      <c r="D71" s="13">
        <v>11</v>
      </c>
      <c r="E71" s="13">
        <v>3</v>
      </c>
      <c r="F71" s="13">
        <v>2</v>
      </c>
      <c r="G71" s="13" t="str">
        <f t="shared" si="6"/>
        <v>Czech Republic|27.2|11|3|2</v>
      </c>
      <c r="H71" s="13" t="str">
        <f>IF(COUNTIF($G$32:G71,G71)&gt;1,"DOUBLON","OK")</f>
        <v>OK</v>
      </c>
      <c r="R71" s="23" t="s">
        <v>3625</v>
      </c>
      <c r="S71" s="30" t="str">
        <v>West Germany</v>
      </c>
      <c r="T71" s="30" t="str">
        <f t="shared" si="9"/>
        <v>ERREUR</v>
      </c>
      <c r="U71" s="30" t="str">
        <f t="shared" si="10"/>
        <v>RENOMMER</v>
      </c>
      <c r="V71" s="30" t="str" cm="1">
        <f t="array" ref="V71">_xlfn.IFS(
ISNUMBER(SEARCH("USA",S71)),"United States",
ISNUMBER(SEARCH("Republic of Korea",S71)),"South Korea",
ISNUMBER(SEARCH("Cape Verde",S71)),"Cabo Verde",
ISNUMBER(SEARCH("Czechia",S71)),"Czech Republic",
ISNUMBER(SEARCH("Türkiye",S71)),"Turkey",
ISNUMBER(SEARCH("Ivory Coast",S71)),"Côte d'Ivoire",
ISNUMBER(SEARCH("Korea Republic",S71)),"South Korea",
ISNUMBER(SEARCH("Germany FR",S71)),"FR Germany",
ISNUMBER(SEARCH("West Germany",S71)),"FR Germany",
ISNUMBER(SEARCH("Germany DR",S71)),"DR Germany",
ISNUMBER(SEARCH("Korea DPR",S71)),"North Korea",
ISNUMBER(SEARCH("China PR",S71)),"China",
ISNUMBER(SEARCH("IR Iran",S71)),"Iran",
ISNUMBER(SEARCH("Congo DR",S71)),"Democratic Republic of the Congo",
ISNUMBER(SEARCH("DR Congo",S71)),"Democratic Republic of the Congo",
ISNUMBER(SEARCH("German DR",S71)),"DR Germany",
ISNUMBER(SEARCH("rn""&gt;United Arab Emirates",S71)),"United Arab Emirates",
ISNUMBER(SEARCH("rn""&gt;Republic of Ireland",S71)),"Ireland",
ISNUMBER(SEARCH("rn""&gt;Bosnia and Herzegovina",S71)),"Bosnia and Herzegovina",
ISNUMBER(SEARCH("rn""&gt;Trinidad and Tobago",S71)),"Trinidad and Tobago",
ISNUMBER(SEARCH("rn""&gt;Serbia and Montenegro",S71)),"Serbia and Montenegro",
ISNUMBER(SEARCH(_xlfn.UNICHAR(65533),S71)),"Côte d'Ivoire",
TRUE,""
)</f>
        <v>FR Germany</v>
      </c>
      <c r="W71" s="37" t="str">
        <f t="shared" si="5"/>
        <v>FR Germany</v>
      </c>
      <c r="X71" s="95" t="str">
        <v>Paraguay</v>
      </c>
      <c r="Z71" s="40" t="str">
        <v>San Siro</v>
      </c>
      <c r="AA71" s="40" t="str" cm="1">
        <f t="array" ref="AA71">IFERROR(_xlfn.XLOOKUP(Z71,_xlfn.ANCHORARRAY(Z$31),AA$31:AA$37),Z71)</f>
        <v>San Siro</v>
      </c>
      <c r="AB71" s="42" t="str">
        <v xml:space="preserve">Milan </v>
      </c>
      <c r="AC71" s="89" t="str">
        <f t="shared" si="7"/>
        <v xml:space="preserve">Milan </v>
      </c>
      <c r="AD71" s="24"/>
      <c r="AE71" s="107" t="s">
        <v>570</v>
      </c>
      <c r="AG71" s="7"/>
      <c r="AH71" s="7"/>
      <c r="AI71" s="7"/>
      <c r="AJ71" s="7"/>
      <c r="AK71" s="7"/>
      <c r="AL71" s="7"/>
      <c r="AM71" s="7"/>
      <c r="AN71" s="7"/>
      <c r="AV71" s="37" t="str">
        <v>SEMI_FINALS</v>
      </c>
      <c r="AW71" s="89" t="str">
        <v>GROUP_STAGE</v>
      </c>
      <c r="AY71" s="42" cm="1">
        <f t="array" ref="AY71">INDEX(_xlfn.UNIQUE(DATA_CLEANED!AF62:'DATA_CLEANED'!AF1119),INT((ROWS(AY$12:AY71)-1)/3)+1)</f>
        <v>2026</v>
      </c>
      <c r="AZ71" s="42" t="s">
        <v>3561</v>
      </c>
      <c r="BA71" s="42" cm="1">
        <f t="array" ref="BA71">INDEX($BA$12:$BA$14,MOD(ROWS($BA$15:BA71)-1,3)+1)</f>
        <v>1</v>
      </c>
      <c r="BB71" s="42">
        <f>COUNTIFS(DATA_CLEANED!AH$3:AH$1060,AZ71,DATA_CLEANED!AF$3:AF$1060,AY71)</f>
        <v>1</v>
      </c>
      <c r="BC71" s="89" t="str">
        <f t="shared" si="8"/>
        <v>OK</v>
      </c>
      <c r="BE71" s="43" t="str">
        <f>IF(OR(DATA_CLEANED!AL62="",DATA_CLEANED!AM62=""),"MANQUANT",IF(OR(NOT(ISNUMBER(DATA_CLEANED!AL62)),NOT(ISNUMBER(DATA_CLEANED!AM62))),"ENTREE INVALIDE",IF(OR(DATA_CLEANED!AL62&lt;0,DATA_CLEANED!AM62&lt;0),"SCORE NEGATIF","OK")))</f>
        <v>OK</v>
      </c>
      <c r="BF71" s="43" t="str">
        <f>IF(DATA_CLEANED!AK62&lt;&gt;DATA_CLEANED!AN62,"OK","ERREUR")</f>
        <v>OK</v>
      </c>
      <c r="BG71" s="43" t="str">
        <f>IF(DATA_CLEANED!AL62&gt;DATA_CLEANED!AM62,DATA_CLEANED!AK62,IF(AND(DATA_QUALITE!W4548="-",DATA_CLEANED!AM62=DATA_CLEANED!AL62),"MATCH NUL",IF(AND(DATA_QUALITE!V4548="-",DATA_QUALITE!U4548="AUCUNE"),DATA_QUALITE!T4548,IF(DATA_QUALITE!V4548&lt;&gt;"-",DATA_QUALITE!V4548,DATA_CLEANED!AN62))))</f>
        <v>Yugoslavia</v>
      </c>
      <c r="BH71" s="103" t="str">
        <f>IF(AND(BG71="MATCH NUL",DATA_CLEANED!AO62="-"),"MATCH_NUL",IF(ISNUMBER(SEARCH("win on penalties",W4548)),"WIN_BY_PENALTY",IF(ISNUMBER(SEARCH("win after extra time",W4548)),"WIN_BY_EXTRA_TIME",IF(ISNUMBER(SEARCH("Golden Goal",W4548)),"WIN_BY_GOLDEN_GOAL","WIN_BY_SCORE"))))</f>
        <v>WIN_BY_SCORE</v>
      </c>
      <c r="BI71" s="99" t="str">
        <f>IF(OR(BG71=DATA_CLEANED!AK62,BG71=DATA_CLEANED!AN62,BG71="MATCH NUL"),"OK","ERREUR")</f>
        <v>OK</v>
      </c>
    </row>
    <row r="72" spans="2:61">
      <c r="B72" s="73" t="str">
        <v>Panama</v>
      </c>
      <c r="C72" s="13" t="str">
        <v>30.0</v>
      </c>
      <c r="D72" s="13">
        <v>23</v>
      </c>
      <c r="E72" s="13">
        <v>6</v>
      </c>
      <c r="F72" s="13">
        <v>2</v>
      </c>
      <c r="G72" s="13" t="str">
        <f t="shared" si="6"/>
        <v>Panama|30.0|23|6|2</v>
      </c>
      <c r="H72" s="13" t="str">
        <f>IF(COUNTIF($G$32:G72,G72)&gt;1,"DOUBLON","OK")</f>
        <v>OK</v>
      </c>
      <c r="R72" s="23" t="s">
        <v>3767</v>
      </c>
      <c r="S72" s="30" t="str">
        <v>West Germany</v>
      </c>
      <c r="T72" s="30" t="str">
        <f t="shared" si="9"/>
        <v>ERREUR</v>
      </c>
      <c r="U72" s="30" t="str">
        <f t="shared" si="10"/>
        <v>RENOMMER</v>
      </c>
      <c r="V72" s="30" t="str" cm="1">
        <f t="array" ref="V72">_xlfn.IFS(
ISNUMBER(SEARCH("USA",S72)),"United States",
ISNUMBER(SEARCH("Republic of Korea",S72)),"South Korea",
ISNUMBER(SEARCH("Cape Verde",S72)),"Cabo Verde",
ISNUMBER(SEARCH("Czechia",S72)),"Czech Republic",
ISNUMBER(SEARCH("Türkiye",S72)),"Turkey",
ISNUMBER(SEARCH("Ivory Coast",S72)),"Côte d'Ivoire",
ISNUMBER(SEARCH("Korea Republic",S72)),"South Korea",
ISNUMBER(SEARCH("Germany FR",S72)),"FR Germany",
ISNUMBER(SEARCH("West Germany",S72)),"FR Germany",
ISNUMBER(SEARCH("Germany DR",S72)),"DR Germany",
ISNUMBER(SEARCH("Korea DPR",S72)),"North Korea",
ISNUMBER(SEARCH("China PR",S72)),"China",
ISNUMBER(SEARCH("IR Iran",S72)),"Iran",
ISNUMBER(SEARCH("Congo DR",S72)),"Democratic Republic of the Congo",
ISNUMBER(SEARCH("DR Congo",S72)),"Democratic Republic of the Congo",
ISNUMBER(SEARCH("German DR",S72)),"DR Germany",
ISNUMBER(SEARCH("rn""&gt;United Arab Emirates",S72)),"United Arab Emirates",
ISNUMBER(SEARCH("rn""&gt;Republic of Ireland",S72)),"Ireland",
ISNUMBER(SEARCH("rn""&gt;Bosnia and Herzegovina",S72)),"Bosnia and Herzegovina",
ISNUMBER(SEARCH("rn""&gt;Trinidad and Tobago",S72)),"Trinidad and Tobago",
ISNUMBER(SEARCH("rn""&gt;Serbia and Montenegro",S72)),"Serbia and Montenegro",
ISNUMBER(SEARCH(_xlfn.UNICHAR(65533),S72)),"Côte d'Ivoire",
TRUE,""
)</f>
        <v>FR Germany</v>
      </c>
      <c r="W72" s="37" t="str">
        <f t="shared" si="5"/>
        <v>FR Germany</v>
      </c>
      <c r="X72" s="95" t="str">
        <v>Peru</v>
      </c>
      <c r="Z72" s="40" t="str">
        <v>Nazionale PNF</v>
      </c>
      <c r="AA72" s="40" t="str" cm="1">
        <f t="array" ref="AA72">IFERROR(_xlfn.XLOOKUP(Z72,_xlfn.ANCHORARRAY(Z$31),AA$31:AA$37),Z72)</f>
        <v>Nazionale PNF</v>
      </c>
      <c r="AB72" s="42" t="str">
        <v xml:space="preserve">Rome </v>
      </c>
      <c r="AC72" s="89" t="str">
        <f t="shared" si="7"/>
        <v xml:space="preserve">Rome </v>
      </c>
      <c r="AD72" s="9"/>
      <c r="AE72" s="16" t="str">
        <f>"Nombre de colonnes : "&amp;COLUMNS(DATA_BRUT!U2:AA2)</f>
        <v>Nombre de colonnes : 7</v>
      </c>
      <c r="AG72" s="7"/>
      <c r="AH72" s="7"/>
      <c r="AI72" s="7"/>
      <c r="AJ72" s="7"/>
      <c r="AK72" s="7"/>
      <c r="AL72" s="7"/>
      <c r="AM72" s="7"/>
      <c r="AN72" s="7"/>
      <c r="AV72" s="37" t="str">
        <v>SEMI_FINALS</v>
      </c>
      <c r="AW72" s="89" t="str">
        <v>GROUP_STAGE</v>
      </c>
      <c r="BE72" s="43" t="str">
        <f>IF(OR(DATA_CLEANED!AL63="",DATA_CLEANED!AM63=""),"MANQUANT",IF(OR(NOT(ISNUMBER(DATA_CLEANED!AL63)),NOT(ISNUMBER(DATA_CLEANED!AM63))),"ENTREE INVALIDE",IF(OR(DATA_CLEANED!AL63&lt;0,DATA_CLEANED!AM63&lt;0),"SCORE NEGATIF","OK")))</f>
        <v>OK</v>
      </c>
      <c r="BF72" s="43" t="str">
        <f>IF(DATA_CLEANED!AK63&lt;&gt;DATA_CLEANED!AN63,"OK","ERREUR")</f>
        <v>OK</v>
      </c>
      <c r="BG72" s="43" t="str">
        <f>IF(DATA_CLEANED!AL63&gt;DATA_CLEANED!AM63,DATA_CLEANED!AK63,IF(AND(DATA_QUALITE!W4549="-",DATA_CLEANED!AM63=DATA_CLEANED!AL63),"MATCH NUL",IF(AND(DATA_QUALITE!V4549="-",DATA_QUALITE!U4549="AUCUNE"),DATA_QUALITE!T4549,IF(DATA_QUALITE!V4549&lt;&gt;"-",DATA_QUALITE!V4549,DATA_CLEANED!AN63))))</f>
        <v>Spain</v>
      </c>
      <c r="BH72" s="103" t="str">
        <f>IF(AND(BG72="MATCH NUL",DATA_CLEANED!AO63="-"),"MATCH_NUL",IF(ISNUMBER(SEARCH("win on penalties",W4549)),"WIN_BY_PENALTY",IF(ISNUMBER(SEARCH("win after extra time",W4549)),"WIN_BY_EXTRA_TIME",IF(ISNUMBER(SEARCH("Golden Goal",W4549)),"WIN_BY_GOLDEN_GOAL","WIN_BY_SCORE"))))</f>
        <v>WIN_BY_SCORE</v>
      </c>
      <c r="BI72" s="99" t="str">
        <f>IF(OR(BG72=DATA_CLEANED!AK63,BG72=DATA_CLEANED!AN63,BG72="MATCH NUL"),"OK","ERREUR")</f>
        <v>OK</v>
      </c>
    </row>
    <row r="73" spans="2:61">
      <c r="B73" s="73" t="str">
        <v>Iraq</v>
      </c>
      <c r="C73" s="13" t="str">
        <v>26.4</v>
      </c>
      <c r="D73" s="13">
        <v>20</v>
      </c>
      <c r="E73" s="13">
        <v>5</v>
      </c>
      <c r="F73" s="13">
        <v>2</v>
      </c>
      <c r="G73" s="13" t="str">
        <f t="shared" si="6"/>
        <v>Iraq|26.4|20|5|2</v>
      </c>
      <c r="H73" s="13" t="str">
        <f>IF(COUNTIF($G$32:G73,G73)&gt;1,"DOUBLON","OK")</f>
        <v>OK</v>
      </c>
      <c r="R73" s="23" t="s">
        <v>3701</v>
      </c>
      <c r="S73" s="30" t="str">
        <v>West Germany</v>
      </c>
      <c r="T73" s="30" t="str">
        <f t="shared" si="9"/>
        <v>ERREUR</v>
      </c>
      <c r="U73" s="30" t="str">
        <f t="shared" si="10"/>
        <v>RENOMMER</v>
      </c>
      <c r="V73" s="30" t="str" cm="1">
        <f t="array" ref="V73">_xlfn.IFS(
ISNUMBER(SEARCH("USA",S73)),"United States",
ISNUMBER(SEARCH("Republic of Korea",S73)),"South Korea",
ISNUMBER(SEARCH("Cape Verde",S73)),"Cabo Verde",
ISNUMBER(SEARCH("Czechia",S73)),"Czech Republic",
ISNUMBER(SEARCH("Türkiye",S73)),"Turkey",
ISNUMBER(SEARCH("Ivory Coast",S73)),"Côte d'Ivoire",
ISNUMBER(SEARCH("Korea Republic",S73)),"South Korea",
ISNUMBER(SEARCH("Germany FR",S73)),"FR Germany",
ISNUMBER(SEARCH("West Germany",S73)),"FR Germany",
ISNUMBER(SEARCH("Germany DR",S73)),"DR Germany",
ISNUMBER(SEARCH("Korea DPR",S73)),"North Korea",
ISNUMBER(SEARCH("China PR",S73)),"China",
ISNUMBER(SEARCH("IR Iran",S73)),"Iran",
ISNUMBER(SEARCH("Congo DR",S73)),"Democratic Republic of the Congo",
ISNUMBER(SEARCH("DR Congo",S73)),"Democratic Republic of the Congo",
ISNUMBER(SEARCH("German DR",S73)),"DR Germany",
ISNUMBER(SEARCH("rn""&gt;United Arab Emirates",S73)),"United Arab Emirates",
ISNUMBER(SEARCH("rn""&gt;Republic of Ireland",S73)),"Ireland",
ISNUMBER(SEARCH("rn""&gt;Bosnia and Herzegovina",S73)),"Bosnia and Herzegovina",
ISNUMBER(SEARCH("rn""&gt;Trinidad and Tobago",S73)),"Trinidad and Tobago",
ISNUMBER(SEARCH("rn""&gt;Serbia and Montenegro",S73)),"Serbia and Montenegro",
ISNUMBER(SEARCH(_xlfn.UNICHAR(65533),S73)),"Côte d'Ivoire",
TRUE,""
)</f>
        <v>FR Germany</v>
      </c>
      <c r="W73" s="37" t="str">
        <f t="shared" si="5"/>
        <v>FR Germany</v>
      </c>
      <c r="X73" s="95" t="str">
        <v>Poland</v>
      </c>
      <c r="Z73" s="40" t="str">
        <v>Giorgio Ascarelli</v>
      </c>
      <c r="AA73" s="40" t="str" cm="1">
        <f t="array" ref="AA73">IFERROR(_xlfn.XLOOKUP(Z73,_xlfn.ANCHORARRAY(Z$31),AA$31:AA$37),Z73)</f>
        <v>Giorgio Ascarelli</v>
      </c>
      <c r="AB73" s="42" t="str">
        <v xml:space="preserve">Naples </v>
      </c>
      <c r="AC73" s="89" t="str">
        <f t="shared" si="7"/>
        <v xml:space="preserve">Naples </v>
      </c>
      <c r="AD73" s="80" t="s">
        <v>3789</v>
      </c>
      <c r="AE73" s="12" t="str" cm="1">
        <f t="array" ref="AE73:AK73">DATA_BRUT!U2:AA2</f>
        <v>index</v>
      </c>
      <c r="AF73" s="12" t="str">
        <v>name</v>
      </c>
      <c r="AG73" s="12" t="str">
        <v>age</v>
      </c>
      <c r="AH73" s="12" t="str">
        <v>country</v>
      </c>
      <c r="AI73" s="12" t="str">
        <v>position</v>
      </c>
      <c r="AJ73" s="12" t="str">
        <v>club</v>
      </c>
      <c r="AK73" s="12" t="str">
        <v>jersey_number</v>
      </c>
      <c r="AL73" s="7"/>
      <c r="AM73" s="7"/>
      <c r="AN73" s="7"/>
      <c r="AV73" s="37" t="str">
        <v>SEMI_FINALS</v>
      </c>
      <c r="AW73" s="89" t="str">
        <v>GROUP_STAGE</v>
      </c>
      <c r="BE73" s="43" t="str">
        <f>IF(OR(DATA_CLEANED!AL64="",DATA_CLEANED!AM64=""),"MANQUANT",IF(OR(NOT(ISNUMBER(DATA_CLEANED!AL64)),NOT(ISNUMBER(DATA_CLEANED!AM64))),"ENTREE INVALIDE",IF(OR(DATA_CLEANED!AL64&lt;0,DATA_CLEANED!AM64&lt;0),"SCORE NEGATIF","OK")))</f>
        <v>OK</v>
      </c>
      <c r="BF73" s="43" t="str">
        <f>IF(DATA_CLEANED!AK64&lt;&gt;DATA_CLEANED!AN64,"OK","ERREUR")</f>
        <v>OK</v>
      </c>
      <c r="BG73" s="43" t="str">
        <f>IF(DATA_CLEANED!AL64&gt;DATA_CLEANED!AM64,DATA_CLEANED!AK64,IF(AND(DATA_QUALITE!W4550="-",DATA_CLEANED!AM64=DATA_CLEANED!AL64),"MATCH NUL",IF(AND(DATA_QUALITE!V4550="-",DATA_QUALITE!U4550="AUCUNE"),DATA_QUALITE!T4550,IF(DATA_QUALITE!V4550&lt;&gt;"-",DATA_QUALITE!V4550,DATA_CLEANED!AN64))))</f>
        <v>MATCH NUL</v>
      </c>
      <c r="BH73" s="103" t="str">
        <f>IF(AND(BG73="MATCH NUL",DATA_CLEANED!AO64="-"),"MATCH_NUL",IF(ISNUMBER(SEARCH("win on penalties",W4550)),"WIN_BY_PENALTY",IF(ISNUMBER(SEARCH("win after extra time",W4550)),"WIN_BY_EXTRA_TIME",IF(ISNUMBER(SEARCH("Golden Goal",W4550)),"WIN_BY_GOLDEN_GOAL","WIN_BY_SCORE"))))</f>
        <v>MATCH_NUL</v>
      </c>
      <c r="BI73" s="99" t="str">
        <f>IF(OR(BG73=DATA_CLEANED!AK64,BG73=DATA_CLEANED!AN64,BG73="MATCH NUL"),"OK","ERREUR")</f>
        <v>OK</v>
      </c>
    </row>
    <row r="74" spans="2:61">
      <c r="B74" s="73" t="str">
        <v>Uzbekistan</v>
      </c>
      <c r="C74" s="13" t="str">
        <v>27.7</v>
      </c>
      <c r="D74" s="13">
        <v>16</v>
      </c>
      <c r="E74" s="13">
        <v>1</v>
      </c>
      <c r="F74" s="13">
        <v>1</v>
      </c>
      <c r="G74" s="13" t="str">
        <f t="shared" si="6"/>
        <v>Uzbekistan|27.7|16|1|1</v>
      </c>
      <c r="H74" s="13" t="str">
        <f>IF(COUNTIF($G$32:G74,G74)&gt;1,"DOUBLON","OK")</f>
        <v>OK</v>
      </c>
      <c r="R74" s="23" t="s">
        <v>67</v>
      </c>
      <c r="S74" s="30" t="str">
        <v>West Germany</v>
      </c>
      <c r="T74" s="30" t="str">
        <f t="shared" si="9"/>
        <v>ERREUR</v>
      </c>
      <c r="U74" s="30" t="str">
        <f t="shared" si="10"/>
        <v>RENOMMER</v>
      </c>
      <c r="V74" s="30" t="str" cm="1">
        <f t="array" ref="V74">_xlfn.IFS(
ISNUMBER(SEARCH("USA",S74)),"United States",
ISNUMBER(SEARCH("Republic of Korea",S74)),"South Korea",
ISNUMBER(SEARCH("Cape Verde",S74)),"Cabo Verde",
ISNUMBER(SEARCH("Czechia",S74)),"Czech Republic",
ISNUMBER(SEARCH("Türkiye",S74)),"Turkey",
ISNUMBER(SEARCH("Ivory Coast",S74)),"Côte d'Ivoire",
ISNUMBER(SEARCH("Korea Republic",S74)),"South Korea",
ISNUMBER(SEARCH("Germany FR",S74)),"FR Germany",
ISNUMBER(SEARCH("West Germany",S74)),"FR Germany",
ISNUMBER(SEARCH("Germany DR",S74)),"DR Germany",
ISNUMBER(SEARCH("Korea DPR",S74)),"North Korea",
ISNUMBER(SEARCH("China PR",S74)),"China",
ISNUMBER(SEARCH("IR Iran",S74)),"Iran",
ISNUMBER(SEARCH("Congo DR",S74)),"Democratic Republic of the Congo",
ISNUMBER(SEARCH("DR Congo",S74)),"Democratic Republic of the Congo",
ISNUMBER(SEARCH("German DR",S74)),"DR Germany",
ISNUMBER(SEARCH("rn""&gt;United Arab Emirates",S74)),"United Arab Emirates",
ISNUMBER(SEARCH("rn""&gt;Republic of Ireland",S74)),"Ireland",
ISNUMBER(SEARCH("rn""&gt;Bosnia and Herzegovina",S74)),"Bosnia and Herzegovina",
ISNUMBER(SEARCH("rn""&gt;Trinidad and Tobago",S74)),"Trinidad and Tobago",
ISNUMBER(SEARCH("rn""&gt;Serbia and Montenegro",S74)),"Serbia and Montenegro",
ISNUMBER(SEARCH(_xlfn.UNICHAR(65533),S74)),"Côte d'Ivoire",
TRUE,""
)</f>
        <v>FR Germany</v>
      </c>
      <c r="W74" s="37" t="str">
        <f t="shared" si="5"/>
        <v>FR Germany</v>
      </c>
      <c r="X74" s="95" t="str">
        <v>Portugal</v>
      </c>
      <c r="Z74" s="40" t="str">
        <v>Nazionale PNF</v>
      </c>
      <c r="AA74" s="40" t="str" cm="1">
        <f t="array" ref="AA74">IFERROR(_xlfn.XLOOKUP(Z74,_xlfn.ANCHORARRAY(Z$31),AA$31:AA$37),Z74)</f>
        <v>Nazionale PNF</v>
      </c>
      <c r="AB74" s="42" t="str">
        <v xml:space="preserve">Rome </v>
      </c>
      <c r="AC74" s="89" t="str">
        <f t="shared" si="7"/>
        <v xml:space="preserve">Rome </v>
      </c>
      <c r="AD74" s="80" t="s">
        <v>3786</v>
      </c>
      <c r="AE74" s="62" t="b" cm="1">
        <f t="array" ref="AE74:AK74">ISNUMBER(DATA_BRUT!U3:AA3)</f>
        <v>1</v>
      </c>
      <c r="AF74" s="62" t="b">
        <v>0</v>
      </c>
      <c r="AG74" s="62" t="b">
        <v>1</v>
      </c>
      <c r="AH74" s="62" t="b">
        <v>0</v>
      </c>
      <c r="AI74" s="62" t="b">
        <v>0</v>
      </c>
      <c r="AJ74" s="62" t="b">
        <v>0</v>
      </c>
      <c r="AK74" s="62" t="b">
        <v>1</v>
      </c>
      <c r="AL74" s="7"/>
      <c r="AM74" s="7"/>
      <c r="AN74" s="7"/>
      <c r="AV74" s="37" t="str">
        <v>SEMI_FINALS</v>
      </c>
      <c r="AW74" s="89" t="str">
        <v>GROUP_STAGE</v>
      </c>
      <c r="BE74" s="43" t="str">
        <f>IF(OR(DATA_CLEANED!AL65="",DATA_CLEANED!AM65=""),"MANQUANT",IF(OR(NOT(ISNUMBER(DATA_CLEANED!AL65)),NOT(ISNUMBER(DATA_CLEANED!AM65))),"ENTREE INVALIDE",IF(OR(DATA_CLEANED!AL65&lt;0,DATA_CLEANED!AM65&lt;0),"SCORE NEGATIF","OK")))</f>
        <v>OK</v>
      </c>
      <c r="BF74" s="43" t="str">
        <f>IF(DATA_CLEANED!AK65&lt;&gt;DATA_CLEANED!AN65,"OK","ERREUR")</f>
        <v>OK</v>
      </c>
      <c r="BG74" s="43" t="str">
        <f>IF(DATA_CLEANED!AL65&gt;DATA_CLEANED!AM65,DATA_CLEANED!AK65,IF(AND(DATA_QUALITE!W4551="-",DATA_CLEANED!AM65=DATA_CLEANED!AL65),"MATCH NUL",IF(AND(DATA_QUALITE!V4551="-",DATA_QUALITE!U4551="AUCUNE"),DATA_QUALITE!T4551,IF(DATA_QUALITE!V4551&lt;&gt;"-",DATA_QUALITE!V4551,DATA_CLEANED!AN65))))</f>
        <v>United States</v>
      </c>
      <c r="BH74" s="103" t="str">
        <f>IF(AND(BG74="MATCH NUL",DATA_CLEANED!AO65="-"),"MATCH_NUL",IF(ISNUMBER(SEARCH("win on penalties",W4551)),"WIN_BY_PENALTY",IF(ISNUMBER(SEARCH("win after extra time",W4551)),"WIN_BY_EXTRA_TIME",IF(ISNUMBER(SEARCH("Golden Goal",W4551)),"WIN_BY_GOLDEN_GOAL","WIN_BY_SCORE"))))</f>
        <v>WIN_BY_SCORE</v>
      </c>
      <c r="BI74" s="99" t="str">
        <f>IF(OR(BG74=DATA_CLEANED!AK65,BG74=DATA_CLEANED!AN65,BG74="MATCH NUL"),"OK","ERREUR")</f>
        <v>OK</v>
      </c>
    </row>
    <row r="75" spans="2:61">
      <c r="B75" s="73" t="str">
        <v>Curaçao</v>
      </c>
      <c r="C75" s="13" t="str">
        <v>27.5</v>
      </c>
      <c r="D75" s="13">
        <v>22</v>
      </c>
      <c r="E75" s="13">
        <v>3</v>
      </c>
      <c r="F75" s="13">
        <v>1</v>
      </c>
      <c r="G75" s="13" t="str">
        <f t="shared" si="6"/>
        <v>Curaçao|27.5|22|3|1</v>
      </c>
      <c r="H75" s="13" t="str">
        <f>IF(COUNTIF($G$32:G75,G75)&gt;1,"DOUBLON","OK")</f>
        <v>OK</v>
      </c>
      <c r="R75" s="23" t="s">
        <v>79</v>
      </c>
      <c r="S75" s="30" t="str">
        <v>Belgium</v>
      </c>
      <c r="T75" s="30" t="str">
        <f t="shared" si="9"/>
        <v>OK</v>
      </c>
      <c r="U75" s="30" t="str">
        <f t="shared" si="10"/>
        <v>-</v>
      </c>
      <c r="V75" s="30" t="str" cm="1">
        <f t="array" ref="V75">_xlfn.IFS(
ISNUMBER(SEARCH("USA",S75)),"United States",
ISNUMBER(SEARCH("Republic of Korea",S75)),"South Korea",
ISNUMBER(SEARCH("Cape Verde",S75)),"Cabo Verde",
ISNUMBER(SEARCH("Czechia",S75)),"Czech Republic",
ISNUMBER(SEARCH("Türkiye",S75)),"Turkey",
ISNUMBER(SEARCH("Ivory Coast",S75)),"Côte d'Ivoire",
ISNUMBER(SEARCH("Korea Republic",S75)),"South Korea",
ISNUMBER(SEARCH("Germany FR",S75)),"FR Germany",
ISNUMBER(SEARCH("West Germany",S75)),"FR Germany",
ISNUMBER(SEARCH("Germany DR",S75)),"DR Germany",
ISNUMBER(SEARCH("Korea DPR",S75)),"North Korea",
ISNUMBER(SEARCH("China PR",S75)),"China",
ISNUMBER(SEARCH("IR Iran",S75)),"Iran",
ISNUMBER(SEARCH("Congo DR",S75)),"Democratic Republic of the Congo",
ISNUMBER(SEARCH("DR Congo",S75)),"Democratic Republic of the Congo",
ISNUMBER(SEARCH("German DR",S75)),"DR Germany",
ISNUMBER(SEARCH("rn""&gt;United Arab Emirates",S75)),"United Arab Emirates",
ISNUMBER(SEARCH("rn""&gt;Republic of Ireland",S75)),"Ireland",
ISNUMBER(SEARCH("rn""&gt;Bosnia and Herzegovina",S75)),"Bosnia and Herzegovina",
ISNUMBER(SEARCH("rn""&gt;Trinidad and Tobago",S75)),"Trinidad and Tobago",
ISNUMBER(SEARCH("rn""&gt;Serbia and Montenegro",S75)),"Serbia and Montenegro",
ISNUMBER(SEARCH(_xlfn.UNICHAR(65533),S75)),"Côte d'Ivoire",
TRUE,""
)</f>
        <v/>
      </c>
      <c r="W75" s="37" t="str">
        <f t="shared" si="5"/>
        <v>Belgium</v>
      </c>
      <c r="X75" s="95" t="str">
        <v>Qatar</v>
      </c>
      <c r="Z75" s="40" t="str">
        <v>Parc des Princes</v>
      </c>
      <c r="AA75" s="40" t="str" cm="1">
        <f t="array" ref="AA75">IFERROR(_xlfn.XLOOKUP(Z75,_xlfn.ANCHORARRAY(Z$31),AA$31:AA$37),Z75)</f>
        <v>Parc des Princes</v>
      </c>
      <c r="AB75" s="42" t="str">
        <v xml:space="preserve">Paris </v>
      </c>
      <c r="AC75" s="89" t="str">
        <f t="shared" si="7"/>
        <v xml:space="preserve">Paris </v>
      </c>
      <c r="AD75" s="80" t="s">
        <v>3787</v>
      </c>
      <c r="AE75" s="62" t="s">
        <v>3791</v>
      </c>
      <c r="AF75" s="62" t="s">
        <v>3791</v>
      </c>
      <c r="AG75" s="62" t="s">
        <v>3791</v>
      </c>
      <c r="AH75" s="62" t="s">
        <v>3791</v>
      </c>
      <c r="AI75" s="62" t="s">
        <v>3791</v>
      </c>
      <c r="AJ75" s="62" t="s">
        <v>3791</v>
      </c>
      <c r="AK75" s="62" t="s">
        <v>3791</v>
      </c>
      <c r="AL75" s="7"/>
      <c r="AM75" s="7"/>
      <c r="AN75" s="7"/>
      <c r="AV75" s="37" t="str">
        <v>SEMI_FINALS</v>
      </c>
      <c r="AW75" s="89" t="str">
        <v>GROUP_STAGE</v>
      </c>
      <c r="BE75" s="43" t="str">
        <f>IF(OR(DATA_CLEANED!AL66="",DATA_CLEANED!AM66=""),"MANQUANT",IF(OR(NOT(ISNUMBER(DATA_CLEANED!AL66)),NOT(ISNUMBER(DATA_CLEANED!AM66))),"ENTREE INVALIDE",IF(OR(DATA_CLEANED!AL66&lt;0,DATA_CLEANED!AM66&lt;0),"SCORE NEGATIF","OK")))</f>
        <v>OK</v>
      </c>
      <c r="BF75" s="43" t="str">
        <f>IF(DATA_CLEANED!AK66&lt;&gt;DATA_CLEANED!AN66,"OK","ERREUR")</f>
        <v>OK</v>
      </c>
      <c r="BG75" s="43" t="str">
        <f>IF(DATA_CLEANED!AL66&gt;DATA_CLEANED!AM66,DATA_CLEANED!AK66,IF(AND(DATA_QUALITE!W4552="-",DATA_CLEANED!AM66=DATA_CLEANED!AL66),"MATCH NUL",IF(AND(DATA_QUALITE!V4552="-",DATA_QUALITE!U4552="AUCUNE"),DATA_QUALITE!T4552,IF(DATA_QUALITE!V4552&lt;&gt;"-",DATA_QUALITE!V4552,DATA_CLEANED!AN66))))</f>
        <v>Brazil</v>
      </c>
      <c r="BH75" s="103" t="str">
        <f>IF(AND(BG75="MATCH NUL",DATA_CLEANED!AO66="-"),"MATCH_NUL",IF(ISNUMBER(SEARCH("win on penalties",W4552)),"WIN_BY_PENALTY",IF(ISNUMBER(SEARCH("win after extra time",W4552)),"WIN_BY_EXTRA_TIME",IF(ISNUMBER(SEARCH("Golden Goal",W4552)),"WIN_BY_GOLDEN_GOAL","WIN_BY_SCORE"))))</f>
        <v>WIN_BY_SCORE</v>
      </c>
      <c r="BI75" s="99" t="str">
        <f>IF(OR(BG75=DATA_CLEANED!AK66,BG75=DATA_CLEANED!AN66,BG75="MATCH NUL"),"OK","ERREUR")</f>
        <v>OK</v>
      </c>
    </row>
    <row r="76" spans="2:61">
      <c r="B76" s="73" t="str">
        <v>Jordan</v>
      </c>
      <c r="C76" s="13" t="str">
        <v>28.1</v>
      </c>
      <c r="D76" s="13">
        <v>14</v>
      </c>
      <c r="E76" s="13">
        <v>1</v>
      </c>
      <c r="F76" s="13">
        <v>1</v>
      </c>
      <c r="G76" s="13" t="str">
        <f t="shared" si="6"/>
        <v>Jordan|28.1|14|1|1</v>
      </c>
      <c r="H76" s="13" t="str">
        <f>IF(COUNTIF($G$32:G76,G76)&gt;1,"DOUBLON","OK")</f>
        <v>OK</v>
      </c>
      <c r="R76" s="23" t="s">
        <v>2546</v>
      </c>
      <c r="S76" s="30" t="str">
        <v>Belgium</v>
      </c>
      <c r="T76" s="30" t="str">
        <f t="shared" si="9"/>
        <v>OK</v>
      </c>
      <c r="U76" s="30" t="str">
        <f t="shared" si="10"/>
        <v>-</v>
      </c>
      <c r="V76" s="30" t="str" cm="1">
        <f t="array" ref="V76">_xlfn.IFS(
ISNUMBER(SEARCH("USA",S76)),"United States",
ISNUMBER(SEARCH("Republic of Korea",S76)),"South Korea",
ISNUMBER(SEARCH("Cape Verde",S76)),"Cabo Verde",
ISNUMBER(SEARCH("Czechia",S76)),"Czech Republic",
ISNUMBER(SEARCH("Türkiye",S76)),"Turkey",
ISNUMBER(SEARCH("Ivory Coast",S76)),"Côte d'Ivoire",
ISNUMBER(SEARCH("Korea Republic",S76)),"South Korea",
ISNUMBER(SEARCH("Germany FR",S76)),"FR Germany",
ISNUMBER(SEARCH("West Germany",S76)),"FR Germany",
ISNUMBER(SEARCH("Germany DR",S76)),"DR Germany",
ISNUMBER(SEARCH("Korea DPR",S76)),"North Korea",
ISNUMBER(SEARCH("China PR",S76)),"China",
ISNUMBER(SEARCH("IR Iran",S76)),"Iran",
ISNUMBER(SEARCH("Congo DR",S76)),"Democratic Republic of the Congo",
ISNUMBER(SEARCH("DR Congo",S76)),"Democratic Republic of the Congo",
ISNUMBER(SEARCH("German DR",S76)),"DR Germany",
ISNUMBER(SEARCH("rn""&gt;United Arab Emirates",S76)),"United Arab Emirates",
ISNUMBER(SEARCH("rn""&gt;Republic of Ireland",S76)),"Ireland",
ISNUMBER(SEARCH("rn""&gt;Bosnia and Herzegovina",S76)),"Bosnia and Herzegovina",
ISNUMBER(SEARCH("rn""&gt;Trinidad and Tobago",S76)),"Trinidad and Tobago",
ISNUMBER(SEARCH("rn""&gt;Serbia and Montenegro",S76)),"Serbia and Montenegro",
ISNUMBER(SEARCH(_xlfn.UNICHAR(65533),S76)),"Côte d'Ivoire",
TRUE,""
)</f>
        <v/>
      </c>
      <c r="W76" s="37" t="str">
        <f t="shared" si="5"/>
        <v>Belgium</v>
      </c>
      <c r="X76" s="95" t="str">
        <v>Republic of Ireland</v>
      </c>
      <c r="Z76" s="40" t="str">
        <v>Velodrome Municipale</v>
      </c>
      <c r="AA76" s="40" t="str" cm="1">
        <f t="array" ref="AA76">IFERROR(_xlfn.XLOOKUP(Z76,_xlfn.ANCHORARRAY(Z$31),AA$31:AA$37),Z76)</f>
        <v>Velodrome Municipale</v>
      </c>
      <c r="AB76" s="42" t="str">
        <v xml:space="preserve">Reims </v>
      </c>
      <c r="AC76" s="89" t="str">
        <f t="shared" si="7"/>
        <v xml:space="preserve">Reims </v>
      </c>
      <c r="AD76" s="80" t="s">
        <v>3790</v>
      </c>
      <c r="AE76" s="62" t="str">
        <f>IF(AE75="NON","-","")</f>
        <v>-</v>
      </c>
      <c r="AF76" s="62" t="str">
        <f t="shared" ref="AF76:AK76" si="12">IF(AF75="NON","-","")</f>
        <v>-</v>
      </c>
      <c r="AG76" s="62" t="str">
        <f t="shared" si="12"/>
        <v>-</v>
      </c>
      <c r="AH76" s="62" t="str">
        <f t="shared" si="12"/>
        <v>-</v>
      </c>
      <c r="AI76" s="62" t="str">
        <f t="shared" si="12"/>
        <v>-</v>
      </c>
      <c r="AJ76" s="62" t="str">
        <f t="shared" si="12"/>
        <v>-</v>
      </c>
      <c r="AK76" s="62" t="str">
        <f t="shared" si="12"/>
        <v>-</v>
      </c>
      <c r="AL76" s="7"/>
      <c r="AM76" s="7"/>
      <c r="AN76" s="7"/>
      <c r="AV76" s="37" t="str">
        <v>SEMI_FINALS</v>
      </c>
      <c r="AW76" s="89" t="str">
        <v>GROUP_STAGE</v>
      </c>
      <c r="BE76" s="43" t="str">
        <f>IF(OR(DATA_CLEANED!AL67="",DATA_CLEANED!AM67=""),"MANQUANT",IF(OR(NOT(ISNUMBER(DATA_CLEANED!AL67)),NOT(ISNUMBER(DATA_CLEANED!AM67))),"ENTREE INVALIDE",IF(OR(DATA_CLEANED!AL67&lt;0,DATA_CLEANED!AM67&lt;0),"SCORE NEGATIF","OK")))</f>
        <v>OK</v>
      </c>
      <c r="BF76" s="43" t="str">
        <f>IF(DATA_CLEANED!AK67&lt;&gt;DATA_CLEANED!AN67,"OK","ERREUR")</f>
        <v>OK</v>
      </c>
      <c r="BG76" s="43" t="str">
        <f>IF(DATA_CLEANED!AL67&gt;DATA_CLEANED!AM67,DATA_CLEANED!AK67,IF(AND(DATA_QUALITE!W4553="-",DATA_CLEANED!AM67=DATA_CLEANED!AL67),"MATCH NUL",IF(AND(DATA_QUALITE!V4553="-",DATA_QUALITE!U4553="AUCUNE"),DATA_QUALITE!T4553,IF(DATA_QUALITE!V4553&lt;&gt;"-",DATA_QUALITE!V4553,DATA_CLEANED!AN67))))</f>
        <v>Spain</v>
      </c>
      <c r="BH76" s="103" t="str">
        <f>IF(AND(BG76="MATCH NUL",DATA_CLEANED!AO67="-"),"MATCH_NUL",IF(ISNUMBER(SEARCH("win on penalties",W4553)),"WIN_BY_PENALTY",IF(ISNUMBER(SEARCH("win after extra time",W4553)),"WIN_BY_EXTRA_TIME",IF(ISNUMBER(SEARCH("Golden Goal",W4553)),"WIN_BY_GOLDEN_GOAL","WIN_BY_SCORE"))))</f>
        <v>WIN_BY_SCORE</v>
      </c>
      <c r="BI76" s="99" t="str">
        <f>IF(OR(BG76=DATA_CLEANED!AK67,BG76=DATA_CLEANED!AN67,BG76="MATCH NUL"),"OK","ERREUR")</f>
        <v>OK</v>
      </c>
    </row>
    <row r="77" spans="2:61">
      <c r="B77" s="73" t="str">
        <v>Republic of Korea</v>
      </c>
      <c r="C77" s="13" t="str">
        <v>27.5</v>
      </c>
      <c r="D77" s="13">
        <v>22</v>
      </c>
      <c r="E77" s="13">
        <v>0</v>
      </c>
      <c r="F77" s="13">
        <v>0</v>
      </c>
      <c r="G77" s="13" t="str">
        <f t="shared" si="6"/>
        <v>Republic of Korea|27.5|22|0|0</v>
      </c>
      <c r="H77" s="13" t="str">
        <f>IF(COUNTIF($G$32:G77,G77)&gt;1,"DOUBLON","OK")</f>
        <v>OK</v>
      </c>
      <c r="R77" s="23" t="s">
        <v>3626</v>
      </c>
      <c r="S77" s="30" t="str">
        <v>Belgium</v>
      </c>
      <c r="T77" s="30" t="str">
        <f t="shared" si="9"/>
        <v>OK</v>
      </c>
      <c r="U77" s="30" t="str">
        <f t="shared" si="10"/>
        <v>-</v>
      </c>
      <c r="V77" s="30" t="str" cm="1">
        <f t="array" ref="V77">_xlfn.IFS(
ISNUMBER(SEARCH("USA",S77)),"United States",
ISNUMBER(SEARCH("Republic of Korea",S77)),"South Korea",
ISNUMBER(SEARCH("Cape Verde",S77)),"Cabo Verde",
ISNUMBER(SEARCH("Czechia",S77)),"Czech Republic",
ISNUMBER(SEARCH("Türkiye",S77)),"Turkey",
ISNUMBER(SEARCH("Ivory Coast",S77)),"Côte d'Ivoire",
ISNUMBER(SEARCH("Korea Republic",S77)),"South Korea",
ISNUMBER(SEARCH("Germany FR",S77)),"FR Germany",
ISNUMBER(SEARCH("West Germany",S77)),"FR Germany",
ISNUMBER(SEARCH("Germany DR",S77)),"DR Germany",
ISNUMBER(SEARCH("Korea DPR",S77)),"North Korea",
ISNUMBER(SEARCH("China PR",S77)),"China",
ISNUMBER(SEARCH("IR Iran",S77)),"Iran",
ISNUMBER(SEARCH("Congo DR",S77)),"Democratic Republic of the Congo",
ISNUMBER(SEARCH("DR Congo",S77)),"Democratic Republic of the Congo",
ISNUMBER(SEARCH("German DR",S77)),"DR Germany",
ISNUMBER(SEARCH("rn""&gt;United Arab Emirates",S77)),"United Arab Emirates",
ISNUMBER(SEARCH("rn""&gt;Republic of Ireland",S77)),"Ireland",
ISNUMBER(SEARCH("rn""&gt;Bosnia and Herzegovina",S77)),"Bosnia and Herzegovina",
ISNUMBER(SEARCH("rn""&gt;Trinidad and Tobago",S77)),"Trinidad and Tobago",
ISNUMBER(SEARCH("rn""&gt;Serbia and Montenegro",S77)),"Serbia and Montenegro",
ISNUMBER(SEARCH(_xlfn.UNICHAR(65533),S77)),"Côte d'Ivoire",
TRUE,""
)</f>
        <v/>
      </c>
      <c r="W77" s="37" t="str">
        <f t="shared" si="5"/>
        <v>Belgium</v>
      </c>
      <c r="X77" s="95" t="str">
        <v>Romania</v>
      </c>
      <c r="Z77" s="40" t="str">
        <v>Stade Olympique</v>
      </c>
      <c r="AA77" s="40" t="str" cm="1">
        <f t="array" ref="AA77">IFERROR(_xlfn.XLOOKUP(Z77,_xlfn.ANCHORARRAY(Z$31),AA$31:AA$37),Z77)</f>
        <v>Stade Olympique</v>
      </c>
      <c r="AB77" s="42" t="str">
        <v xml:space="preserve">Colombes </v>
      </c>
      <c r="AC77" s="89" t="str">
        <f t="shared" si="7"/>
        <v xml:space="preserve">Colombes </v>
      </c>
      <c r="AG77" s="7"/>
      <c r="AH77" s="7"/>
      <c r="AI77" s="7"/>
      <c r="AJ77" s="7"/>
      <c r="AK77" s="7"/>
      <c r="AL77" s="7"/>
      <c r="AM77" s="7"/>
      <c r="AN77" s="7"/>
      <c r="AV77" s="37" t="str">
        <v>SEMI_FINALS</v>
      </c>
      <c r="AW77" s="89" t="str">
        <v>GROUP_STAGE</v>
      </c>
      <c r="BE77" s="43" t="str">
        <f>IF(OR(DATA_CLEANED!AL68="",DATA_CLEANED!AM68=""),"MANQUANT",IF(OR(NOT(ISNUMBER(DATA_CLEANED!AL68)),NOT(ISNUMBER(DATA_CLEANED!AM68))),"ENTREE INVALIDE",IF(OR(DATA_CLEANED!AL68&lt;0,DATA_CLEANED!AM68&lt;0),"SCORE NEGATIF","OK")))</f>
        <v>OK</v>
      </c>
      <c r="BF77" s="43" t="str">
        <f>IF(DATA_CLEANED!AK68&lt;&gt;DATA_CLEANED!AN68,"OK","ERREUR")</f>
        <v>OK</v>
      </c>
      <c r="BG77" s="43" t="str">
        <f>IF(DATA_CLEANED!AL68&gt;DATA_CLEANED!AM68,DATA_CLEANED!AK68,IF(AND(DATA_QUALITE!W4554="-",DATA_CLEANED!AM68=DATA_CLEANED!AL68),"MATCH NUL",IF(AND(DATA_QUALITE!V4554="-",DATA_QUALITE!U4554="AUCUNE"),DATA_QUALITE!T4554,IF(DATA_QUALITE!V4554&lt;&gt;"-",DATA_QUALITE!V4554,DATA_CLEANED!AN68))))</f>
        <v>Italy</v>
      </c>
      <c r="BH77" s="103" t="str">
        <f>IF(AND(BG77="MATCH NUL",DATA_CLEANED!AO68="-"),"MATCH_NUL",IF(ISNUMBER(SEARCH("win on penalties",W4554)),"WIN_BY_PENALTY",IF(ISNUMBER(SEARCH("win after extra time",W4554)),"WIN_BY_EXTRA_TIME",IF(ISNUMBER(SEARCH("Golden Goal",W4554)),"WIN_BY_GOLDEN_GOAL","WIN_BY_SCORE"))))</f>
        <v>WIN_BY_SCORE</v>
      </c>
      <c r="BI77" s="99" t="str">
        <f>IF(OR(BG77=DATA_CLEANED!AK68,BG77=DATA_CLEANED!AN68,BG77="MATCH NUL"),"OK","ERREUR")</f>
        <v>OK</v>
      </c>
    </row>
    <row r="78" spans="2:61" ht="18.75">
      <c r="B78" s="73" t="str">
        <v>Cape Verde</v>
      </c>
      <c r="C78" s="13" t="str">
        <v>29.2</v>
      </c>
      <c r="D78" s="13">
        <v>26</v>
      </c>
      <c r="E78" s="13">
        <v>0</v>
      </c>
      <c r="F78" s="13">
        <v>0</v>
      </c>
      <c r="G78" s="13" t="str">
        <f t="shared" si="6"/>
        <v>Cape Verde|29.2|26|0|0</v>
      </c>
      <c r="H78" s="13" t="str">
        <f>IF(COUNTIF($G$32:G78,G78)&gt;1,"DOUBLON","OK")</f>
        <v>OK</v>
      </c>
      <c r="R78" s="23" t="s">
        <v>3627</v>
      </c>
      <c r="S78" s="30" t="str">
        <v>Belgium</v>
      </c>
      <c r="T78" s="30" t="str">
        <f t="shared" si="9"/>
        <v>OK</v>
      </c>
      <c r="U78" s="30" t="str">
        <f t="shared" si="10"/>
        <v>-</v>
      </c>
      <c r="V78" s="30" t="str" cm="1">
        <f t="array" ref="V78">_xlfn.IFS(
ISNUMBER(SEARCH("USA",S78)),"United States",
ISNUMBER(SEARCH("Republic of Korea",S78)),"South Korea",
ISNUMBER(SEARCH("Cape Verde",S78)),"Cabo Verde",
ISNUMBER(SEARCH("Czechia",S78)),"Czech Republic",
ISNUMBER(SEARCH("Türkiye",S78)),"Turkey",
ISNUMBER(SEARCH("Ivory Coast",S78)),"Côte d'Ivoire",
ISNUMBER(SEARCH("Korea Republic",S78)),"South Korea",
ISNUMBER(SEARCH("Germany FR",S78)),"FR Germany",
ISNUMBER(SEARCH("West Germany",S78)),"FR Germany",
ISNUMBER(SEARCH("Germany DR",S78)),"DR Germany",
ISNUMBER(SEARCH("Korea DPR",S78)),"North Korea",
ISNUMBER(SEARCH("China PR",S78)),"China",
ISNUMBER(SEARCH("IR Iran",S78)),"Iran",
ISNUMBER(SEARCH("Congo DR",S78)),"Democratic Republic of the Congo",
ISNUMBER(SEARCH("DR Congo",S78)),"Democratic Republic of the Congo",
ISNUMBER(SEARCH("German DR",S78)),"DR Germany",
ISNUMBER(SEARCH("rn""&gt;United Arab Emirates",S78)),"United Arab Emirates",
ISNUMBER(SEARCH("rn""&gt;Republic of Ireland",S78)),"Ireland",
ISNUMBER(SEARCH("rn""&gt;Bosnia and Herzegovina",S78)),"Bosnia and Herzegovina",
ISNUMBER(SEARCH("rn""&gt;Trinidad and Tobago",S78)),"Trinidad and Tobago",
ISNUMBER(SEARCH("rn""&gt;Serbia and Montenegro",S78)),"Serbia and Montenegro",
ISNUMBER(SEARCH(_xlfn.UNICHAR(65533),S78)),"Côte d'Ivoire",
TRUE,""
)</f>
        <v/>
      </c>
      <c r="W78" s="37" t="str">
        <f t="shared" ref="W78:W141" si="13">IF(V78="",S78,V78)</f>
        <v>Belgium</v>
      </c>
      <c r="X78" s="95" t="str">
        <v>Russia</v>
      </c>
      <c r="Z78" s="40" t="str">
        <v>Stade Municipal</v>
      </c>
      <c r="AA78" s="40" t="str" cm="1">
        <f t="array" ref="AA78">IFERROR(_xlfn.XLOOKUP(Z78,_xlfn.ANCHORARRAY(Z$31),AA$31:AA$37),Z78)</f>
        <v>Stade Municipal</v>
      </c>
      <c r="AB78" s="42" t="str">
        <v xml:space="preserve">Toulouse </v>
      </c>
      <c r="AC78" s="89" t="str">
        <f t="shared" si="7"/>
        <v xml:space="preserve">Toulouse </v>
      </c>
      <c r="AD78" s="24"/>
      <c r="AE78" s="108" t="s">
        <v>3579</v>
      </c>
      <c r="AG78" s="7"/>
      <c r="AH78" s="7"/>
      <c r="AI78" s="7"/>
      <c r="AJ78" s="7"/>
      <c r="AK78" s="7"/>
      <c r="AL78" s="7"/>
      <c r="AM78" s="7"/>
      <c r="AN78" s="7"/>
      <c r="AV78" s="37" t="str">
        <v>SEMI_FINALS</v>
      </c>
      <c r="AW78" s="89" t="str">
        <v>GROUP_STAGE</v>
      </c>
      <c r="BE78" s="43" t="str">
        <f>IF(OR(DATA_CLEANED!AL69="",DATA_CLEANED!AM69=""),"MANQUANT",IF(OR(NOT(ISNUMBER(DATA_CLEANED!AL69)),NOT(ISNUMBER(DATA_CLEANED!AM69))),"ENTREE INVALIDE",IF(OR(DATA_CLEANED!AL69&lt;0,DATA_CLEANED!AM69&lt;0),"SCORE NEGATIF","OK")))</f>
        <v>OK</v>
      </c>
      <c r="BF78" s="43" t="str">
        <f>IF(DATA_CLEANED!AK69&lt;&gt;DATA_CLEANED!AN69,"OK","ERREUR")</f>
        <v>OK</v>
      </c>
      <c r="BG78" s="43" t="str">
        <f>IF(DATA_CLEANED!AL69&gt;DATA_CLEANED!AM69,DATA_CLEANED!AK69,IF(AND(DATA_QUALITE!W4555="-",DATA_CLEANED!AM69=DATA_CLEANED!AL69),"MATCH NUL",IF(AND(DATA_QUALITE!V4555="-",DATA_QUALITE!U4555="AUCUNE"),DATA_QUALITE!T4555,IF(DATA_QUALITE!V4555&lt;&gt;"-",DATA_QUALITE!V4555,DATA_CLEANED!AN69))))</f>
        <v>Uruguay</v>
      </c>
      <c r="BH78" s="103" t="str">
        <f>IF(AND(BG78="MATCH NUL",DATA_CLEANED!AO69="-"),"MATCH_NUL",IF(ISNUMBER(SEARCH("win on penalties",W4555)),"WIN_BY_PENALTY",IF(ISNUMBER(SEARCH("win after extra time",W4555)),"WIN_BY_EXTRA_TIME",IF(ISNUMBER(SEARCH("Golden Goal",W4555)),"WIN_BY_GOLDEN_GOAL","WIN_BY_SCORE"))))</f>
        <v>WIN_BY_SCORE</v>
      </c>
      <c r="BI78" s="99" t="str">
        <f>IF(OR(BG78=DATA_CLEANED!AK69,BG78=DATA_CLEANED!AN69,BG78="MATCH NUL"),"OK","ERREUR")</f>
        <v>OK</v>
      </c>
    </row>
    <row r="79" spans="2:61">
      <c r="B79" s="73" t="str">
        <v>DR Congo</v>
      </c>
      <c r="C79" s="13" t="str">
        <v>28.5</v>
      </c>
      <c r="D79" s="13">
        <v>24</v>
      </c>
      <c r="E79" s="13">
        <v>0</v>
      </c>
      <c r="F79" s="13">
        <v>0</v>
      </c>
      <c r="G79" s="13" t="str">
        <f t="shared" si="6"/>
        <v>DR Congo|28.5|24|0|0</v>
      </c>
      <c r="H79" s="13" t="str">
        <f>IF(COUNTIF($G$32:G79,G79)&gt;1,"DOUBLON","OK")</f>
        <v>OK</v>
      </c>
      <c r="R79" s="23" t="s">
        <v>3628</v>
      </c>
      <c r="S79" s="30" t="str">
        <v>Belgium</v>
      </c>
      <c r="T79" s="30" t="str">
        <f t="shared" si="9"/>
        <v>OK</v>
      </c>
      <c r="U79" s="30" t="str">
        <f t="shared" si="10"/>
        <v>-</v>
      </c>
      <c r="V79" s="30" t="str" cm="1">
        <f t="array" ref="V79">_xlfn.IFS(
ISNUMBER(SEARCH("USA",S79)),"United States",
ISNUMBER(SEARCH("Republic of Korea",S79)),"South Korea",
ISNUMBER(SEARCH("Cape Verde",S79)),"Cabo Verde",
ISNUMBER(SEARCH("Czechia",S79)),"Czech Republic",
ISNUMBER(SEARCH("Türkiye",S79)),"Turkey",
ISNUMBER(SEARCH("Ivory Coast",S79)),"Côte d'Ivoire",
ISNUMBER(SEARCH("Korea Republic",S79)),"South Korea",
ISNUMBER(SEARCH("Germany FR",S79)),"FR Germany",
ISNUMBER(SEARCH("West Germany",S79)),"FR Germany",
ISNUMBER(SEARCH("Germany DR",S79)),"DR Germany",
ISNUMBER(SEARCH("Korea DPR",S79)),"North Korea",
ISNUMBER(SEARCH("China PR",S79)),"China",
ISNUMBER(SEARCH("IR Iran",S79)),"Iran",
ISNUMBER(SEARCH("Congo DR",S79)),"Democratic Republic of the Congo",
ISNUMBER(SEARCH("DR Congo",S79)),"Democratic Republic of the Congo",
ISNUMBER(SEARCH("German DR",S79)),"DR Germany",
ISNUMBER(SEARCH("rn""&gt;United Arab Emirates",S79)),"United Arab Emirates",
ISNUMBER(SEARCH("rn""&gt;Republic of Ireland",S79)),"Ireland",
ISNUMBER(SEARCH("rn""&gt;Bosnia and Herzegovina",S79)),"Bosnia and Herzegovina",
ISNUMBER(SEARCH("rn""&gt;Trinidad and Tobago",S79)),"Trinidad and Tobago",
ISNUMBER(SEARCH("rn""&gt;Serbia and Montenegro",S79)),"Serbia and Montenegro",
ISNUMBER(SEARCH(_xlfn.UNICHAR(65533),S79)),"Côte d'Ivoire",
TRUE,""
)</f>
        <v/>
      </c>
      <c r="W79" s="37" t="str">
        <f t="shared" si="13"/>
        <v>Belgium</v>
      </c>
      <c r="X79" s="95" t="str">
        <v>Saudi Arabia</v>
      </c>
      <c r="Z79" s="40" t="str">
        <v>Stade V�lodrome</v>
      </c>
      <c r="AA79" s="40" t="str" cm="1">
        <f t="array" ref="AA79">IFERROR(_xlfn.XLOOKUP(Z79,_xlfn.ANCHORARRAY(Z$31),AA$31:AA$37),Z79)</f>
        <v>Stade Vélodrome</v>
      </c>
      <c r="AB79" s="42" t="str">
        <v xml:space="preserve">Marseilles </v>
      </c>
      <c r="AC79" s="89" t="str">
        <f t="shared" si="7"/>
        <v xml:space="preserve">Marseilles </v>
      </c>
      <c r="AD79" s="9"/>
      <c r="AE79" s="16" t="str">
        <f>"Nombre de colonnes : "&amp;COLUMNS(DATA_BRUT!AC2:AL2)</f>
        <v>Nombre de colonnes : 10</v>
      </c>
      <c r="AG79" s="7"/>
      <c r="AH79" s="7"/>
      <c r="AI79" s="7"/>
      <c r="AJ79" s="7"/>
      <c r="AK79" s="7"/>
      <c r="AL79" s="7"/>
      <c r="AM79" s="7"/>
      <c r="AN79" s="7"/>
      <c r="AV79" s="37" t="str">
        <v>SEMI_FINALS</v>
      </c>
      <c r="AW79" s="89" t="str">
        <v>GROUP_STAGE</v>
      </c>
      <c r="BE79" s="43" t="str">
        <f>IF(OR(DATA_CLEANED!AL70="",DATA_CLEANED!AM70=""),"MANQUANT",IF(OR(NOT(ISNUMBER(DATA_CLEANED!AL70)),NOT(ISNUMBER(DATA_CLEANED!AM70))),"ENTREE INVALIDE",IF(OR(DATA_CLEANED!AL70&lt;0,DATA_CLEANED!AM70&lt;0),"SCORE NEGATIF","OK")))</f>
        <v>OK</v>
      </c>
      <c r="BF79" s="43" t="str">
        <f>IF(DATA_CLEANED!AK70&lt;&gt;DATA_CLEANED!AN70,"OK","ERREUR")</f>
        <v>OK</v>
      </c>
      <c r="BG79" s="43" t="str">
        <f>IF(DATA_CLEANED!AL70&gt;DATA_CLEANED!AM70,DATA_CLEANED!AK70,IF(AND(DATA_QUALITE!W4556="-",DATA_CLEANED!AM70=DATA_CLEANED!AL70),"MATCH NUL",IF(AND(DATA_QUALITE!V4556="-",DATA_QUALITE!U4556="AUCUNE"),DATA_QUALITE!T4556,IF(DATA_QUALITE!V4556&lt;&gt;"-",DATA_QUALITE!V4556,DATA_CLEANED!AN70))))</f>
        <v>Switzerland</v>
      </c>
      <c r="BH79" s="103" t="str">
        <f>IF(AND(BG79="MATCH NUL",DATA_CLEANED!AO70="-"),"MATCH_NUL",IF(ISNUMBER(SEARCH("win on penalties",W4556)),"WIN_BY_PENALTY",IF(ISNUMBER(SEARCH("win after extra time",W4556)),"WIN_BY_EXTRA_TIME",IF(ISNUMBER(SEARCH("Golden Goal",W4556)),"WIN_BY_GOLDEN_GOAL","WIN_BY_SCORE"))))</f>
        <v>WIN_BY_SCORE</v>
      </c>
      <c r="BI79" s="99" t="str">
        <f>IF(OR(BG79=DATA_CLEANED!AK70,BG79=DATA_CLEANED!AN70,BG79="MATCH NUL"),"OK","ERREUR")</f>
        <v>OK</v>
      </c>
    </row>
    <row r="80" spans="2:61">
      <c r="R80" s="23" t="s">
        <v>3727</v>
      </c>
      <c r="S80" s="30" t="str">
        <v>Belgium</v>
      </c>
      <c r="T80" s="30" t="str">
        <f t="shared" si="9"/>
        <v>OK</v>
      </c>
      <c r="U80" s="30" t="str">
        <f t="shared" si="10"/>
        <v>-</v>
      </c>
      <c r="V80" s="30" t="str" cm="1">
        <f t="array" ref="V80">_xlfn.IFS(
ISNUMBER(SEARCH("USA",S80)),"United States",
ISNUMBER(SEARCH("Republic of Korea",S80)),"South Korea",
ISNUMBER(SEARCH("Cape Verde",S80)),"Cabo Verde",
ISNUMBER(SEARCH("Czechia",S80)),"Czech Republic",
ISNUMBER(SEARCH("Türkiye",S80)),"Turkey",
ISNUMBER(SEARCH("Ivory Coast",S80)),"Côte d'Ivoire",
ISNUMBER(SEARCH("Korea Republic",S80)),"South Korea",
ISNUMBER(SEARCH("Germany FR",S80)),"FR Germany",
ISNUMBER(SEARCH("West Germany",S80)),"FR Germany",
ISNUMBER(SEARCH("Germany DR",S80)),"DR Germany",
ISNUMBER(SEARCH("Korea DPR",S80)),"North Korea",
ISNUMBER(SEARCH("China PR",S80)),"China",
ISNUMBER(SEARCH("IR Iran",S80)),"Iran",
ISNUMBER(SEARCH("Congo DR",S80)),"Democratic Republic of the Congo",
ISNUMBER(SEARCH("DR Congo",S80)),"Democratic Republic of the Congo",
ISNUMBER(SEARCH("German DR",S80)),"DR Germany",
ISNUMBER(SEARCH("rn""&gt;United Arab Emirates",S80)),"United Arab Emirates",
ISNUMBER(SEARCH("rn""&gt;Republic of Ireland",S80)),"Ireland",
ISNUMBER(SEARCH("rn""&gt;Bosnia and Herzegovina",S80)),"Bosnia and Herzegovina",
ISNUMBER(SEARCH("rn""&gt;Trinidad and Tobago",S80)),"Trinidad and Tobago",
ISNUMBER(SEARCH("rn""&gt;Serbia and Montenegro",S80)),"Serbia and Montenegro",
ISNUMBER(SEARCH(_xlfn.UNICHAR(65533),S80)),"Côte d'Ivoire",
TRUE,""
)</f>
        <v/>
      </c>
      <c r="W80" s="37" t="str">
        <f t="shared" si="13"/>
        <v>Belgium</v>
      </c>
      <c r="X80" s="95" t="str">
        <v>Scotland</v>
      </c>
      <c r="Z80" s="40" t="str">
        <v>Stade de la Meinau</v>
      </c>
      <c r="AA80" s="40" t="str" cm="1">
        <f t="array" ref="AA80">IFERROR(_xlfn.XLOOKUP(Z80,_xlfn.ANCHORARRAY(Z$31),AA$31:AA$37),Z80)</f>
        <v>Stade de la Meinau</v>
      </c>
      <c r="AB80" s="42" t="str">
        <v xml:space="preserve">Strasbourg </v>
      </c>
      <c r="AC80" s="89" t="str">
        <f t="shared" si="7"/>
        <v xml:space="preserve">Strasbourg </v>
      </c>
      <c r="AD80" s="80" t="s">
        <v>3789</v>
      </c>
      <c r="AE80" s="40" t="str" cm="1">
        <f t="array" ref="AE80:AN80">DATA_BRUT!AC2:AL2</f>
        <v>Year</v>
      </c>
      <c r="AF80" s="40" t="str">
        <v>Datetime</v>
      </c>
      <c r="AG80" s="40" t="str">
        <v>Stage</v>
      </c>
      <c r="AH80" s="40" t="str">
        <v>Stadium</v>
      </c>
      <c r="AI80" s="40" t="str">
        <v>City</v>
      </c>
      <c r="AJ80" s="40" t="str">
        <v>Home Team Name</v>
      </c>
      <c r="AK80" s="40" t="str">
        <v>Home Team Goals</v>
      </c>
      <c r="AL80" s="40" t="str">
        <v>Away Team Goals</v>
      </c>
      <c r="AM80" s="40" t="str">
        <v>Away Team Name</v>
      </c>
      <c r="AN80" s="40" t="str">
        <v>Win conditions</v>
      </c>
      <c r="AV80" s="37" t="str">
        <v>SEMI_FINALS</v>
      </c>
      <c r="AW80" s="89" t="str">
        <v>GROUP_STAGE</v>
      </c>
      <c r="BE80" s="43" t="str">
        <f>IF(OR(DATA_CLEANED!AL71="",DATA_CLEANED!AM71=""),"MANQUANT",IF(OR(NOT(ISNUMBER(DATA_CLEANED!AL71)),NOT(ISNUMBER(DATA_CLEANED!AM71))),"ENTREE INVALIDE",IF(OR(DATA_CLEANED!AL71&lt;0,DATA_CLEANED!AM71&lt;0),"SCORE NEGATIF","OK")))</f>
        <v>OK</v>
      </c>
      <c r="BF80" s="43" t="str">
        <f>IF(DATA_CLEANED!AK71&lt;&gt;DATA_CLEANED!AN71,"OK","ERREUR")</f>
        <v>OK</v>
      </c>
      <c r="BG80" s="43" t="str">
        <f>IF(DATA_CLEANED!AL71&gt;DATA_CLEANED!AM71,DATA_CLEANED!AK71,IF(AND(DATA_QUALITE!W4557="-",DATA_CLEANED!AM71=DATA_CLEANED!AL71),"MATCH NUL",IF(AND(DATA_QUALITE!V4557="-",DATA_QUALITE!U4557="AUCUNE"),DATA_QUALITE!T4557,IF(DATA_QUALITE!V4557&lt;&gt;"-",DATA_QUALITE!V4557,DATA_CLEANED!AN71))))</f>
        <v>Chile</v>
      </c>
      <c r="BH80" s="103" t="str">
        <f>IF(AND(BG80="MATCH NUL",DATA_CLEANED!AO71="-"),"MATCH_NUL",IF(ISNUMBER(SEARCH("win on penalties",W4557)),"WIN_BY_PENALTY",IF(ISNUMBER(SEARCH("win after extra time",W4557)),"WIN_BY_EXTRA_TIME",IF(ISNUMBER(SEARCH("Golden Goal",W4557)),"WIN_BY_GOLDEN_GOAL","WIN_BY_SCORE"))))</f>
        <v>WIN_BY_SCORE</v>
      </c>
      <c r="BI80" s="99" t="str">
        <f>IF(OR(BG80=DATA_CLEANED!AK71,BG80=DATA_CLEANED!AN71,BG80="MATCH NUL"),"OK","ERREUR")</f>
        <v>OK</v>
      </c>
    </row>
    <row r="81" spans="1:61" ht="21">
      <c r="A81" s="186"/>
      <c r="B81" s="241" t="s">
        <v>3578</v>
      </c>
      <c r="C81" s="241"/>
      <c r="D81" s="241"/>
      <c r="E81" s="241"/>
      <c r="F81" s="241"/>
      <c r="G81" s="241"/>
      <c r="H81" s="241"/>
      <c r="I81" s="241"/>
      <c r="J81" s="241"/>
      <c r="K81" s="241"/>
      <c r="L81" s="241"/>
      <c r="M81" s="241"/>
      <c r="N81" s="241"/>
      <c r="O81" s="241"/>
      <c r="P81" s="241"/>
      <c r="Q81" s="21"/>
      <c r="R81" s="23" t="s">
        <v>3629</v>
      </c>
      <c r="S81" s="30" t="str">
        <v>Belgium</v>
      </c>
      <c r="T81" s="30" t="str">
        <f t="shared" si="9"/>
        <v>OK</v>
      </c>
      <c r="U81" s="30" t="str">
        <f t="shared" si="10"/>
        <v>-</v>
      </c>
      <c r="V81" s="30" t="str" cm="1">
        <f t="array" ref="V81">_xlfn.IFS(
ISNUMBER(SEARCH("USA",S81)),"United States",
ISNUMBER(SEARCH("Republic of Korea",S81)),"South Korea",
ISNUMBER(SEARCH("Cape Verde",S81)),"Cabo Verde",
ISNUMBER(SEARCH("Czechia",S81)),"Czech Republic",
ISNUMBER(SEARCH("Türkiye",S81)),"Turkey",
ISNUMBER(SEARCH("Ivory Coast",S81)),"Côte d'Ivoire",
ISNUMBER(SEARCH("Korea Republic",S81)),"South Korea",
ISNUMBER(SEARCH("Germany FR",S81)),"FR Germany",
ISNUMBER(SEARCH("West Germany",S81)),"FR Germany",
ISNUMBER(SEARCH("Germany DR",S81)),"DR Germany",
ISNUMBER(SEARCH("Korea DPR",S81)),"North Korea",
ISNUMBER(SEARCH("China PR",S81)),"China",
ISNUMBER(SEARCH("IR Iran",S81)),"Iran",
ISNUMBER(SEARCH("Congo DR",S81)),"Democratic Republic of the Congo",
ISNUMBER(SEARCH("DR Congo",S81)),"Democratic Republic of the Congo",
ISNUMBER(SEARCH("German DR",S81)),"DR Germany",
ISNUMBER(SEARCH("rn""&gt;United Arab Emirates",S81)),"United Arab Emirates",
ISNUMBER(SEARCH("rn""&gt;Republic of Ireland",S81)),"Ireland",
ISNUMBER(SEARCH("rn""&gt;Bosnia and Herzegovina",S81)),"Bosnia and Herzegovina",
ISNUMBER(SEARCH("rn""&gt;Trinidad and Tobago",S81)),"Trinidad and Tobago",
ISNUMBER(SEARCH("rn""&gt;Serbia and Montenegro",S81)),"Serbia and Montenegro",
ISNUMBER(SEARCH(_xlfn.UNICHAR(65533),S81)),"Côte d'Ivoire",
TRUE,""
)</f>
        <v/>
      </c>
      <c r="W81" s="37" t="str">
        <f t="shared" si="13"/>
        <v>Belgium</v>
      </c>
      <c r="X81" s="95" t="str">
        <v>Senegal</v>
      </c>
      <c r="Z81" s="40" t="str">
        <v>Cavee Verte</v>
      </c>
      <c r="AA81" s="40" t="str" cm="1">
        <f t="array" ref="AA81">IFERROR(_xlfn.XLOOKUP(Z81,_xlfn.ANCHORARRAY(Z$31),AA$31:AA$37),Z81)</f>
        <v>Cavee Verte</v>
      </c>
      <c r="AB81" s="42" t="str">
        <v xml:space="preserve">Le Havre </v>
      </c>
      <c r="AC81" s="89" t="str">
        <f t="shared" si="7"/>
        <v xml:space="preserve">Le Havre </v>
      </c>
      <c r="AD81" s="80" t="s">
        <v>3786</v>
      </c>
      <c r="AE81" s="62" t="b" cm="1">
        <f t="array" ref="AE81:AN81">ISNUMBER(DATA_BRUT!AC3:AL3)</f>
        <v>0</v>
      </c>
      <c r="AF81" s="62" t="b">
        <v>0</v>
      </c>
      <c r="AG81" s="62" t="b">
        <v>0</v>
      </c>
      <c r="AH81" s="62" t="b">
        <v>0</v>
      </c>
      <c r="AI81" s="62" t="b">
        <v>0</v>
      </c>
      <c r="AJ81" s="62" t="b">
        <v>0</v>
      </c>
      <c r="AK81" s="62" t="b">
        <v>0</v>
      </c>
      <c r="AL81" s="62" t="b">
        <v>0</v>
      </c>
      <c r="AM81" s="62" t="b">
        <v>0</v>
      </c>
      <c r="AN81" s="62" t="b">
        <v>0</v>
      </c>
      <c r="AV81" s="37" t="str">
        <v>SEMI_FINALS</v>
      </c>
      <c r="AW81" s="89" t="str">
        <v>GROUP_STAGE</v>
      </c>
      <c r="BE81" s="43" t="str">
        <f>IF(OR(DATA_CLEANED!AL72="",DATA_CLEANED!AM72=""),"MANQUANT",IF(OR(NOT(ISNUMBER(DATA_CLEANED!AL72)),NOT(ISNUMBER(DATA_CLEANED!AM72))),"ENTREE INVALIDE",IF(OR(DATA_CLEANED!AL72&lt;0,DATA_CLEANED!AM72&lt;0),"SCORE NEGATIF","OK")))</f>
        <v>OK</v>
      </c>
      <c r="BF81" s="43" t="str">
        <f>IF(DATA_CLEANED!AK72&lt;&gt;DATA_CLEANED!AN72,"OK","ERREUR")</f>
        <v>OK</v>
      </c>
      <c r="BG81" s="43" t="str">
        <f>IF(DATA_CLEANED!AL72&gt;DATA_CLEANED!AM72,DATA_CLEANED!AK72,IF(AND(DATA_QUALITE!W4558="-",DATA_CLEANED!AM72=DATA_CLEANED!AL72),"MATCH NUL",IF(AND(DATA_QUALITE!V4558="-",DATA_QUALITE!U4558="AUCUNE"),DATA_QUALITE!T4558,IF(DATA_QUALITE!V4558&lt;&gt;"-",DATA_QUALITE!V4558,DATA_CLEANED!AN72))))</f>
        <v>MATCH NUL</v>
      </c>
      <c r="BH81" s="103" t="str">
        <f>IF(AND(BG81="MATCH NUL",DATA_CLEANED!AO72="-"),"MATCH_NUL",IF(ISNUMBER(SEARCH("win on penalties",W4558)),"WIN_BY_PENALTY",IF(ISNUMBER(SEARCH("win after extra time",W4558)),"WIN_BY_EXTRA_TIME",IF(ISNUMBER(SEARCH("Golden Goal",W4558)),"WIN_BY_GOLDEN_GOAL","WIN_BY_SCORE"))))</f>
        <v>MATCH_NUL</v>
      </c>
      <c r="BI81" s="99" t="str">
        <f>IF(OR(BG81=DATA_CLEANED!AK72,BG81=DATA_CLEANED!AN72,BG81="MATCH NUL"),"OK","ERREUR")</f>
        <v>OK</v>
      </c>
    </row>
    <row r="82" spans="1:61">
      <c r="B82" s="74" t="str" cm="1">
        <f t="array" ref="B82:N434">DATA_BRUT!G2:S354</f>
        <v>Tournament_Year</v>
      </c>
      <c r="C82" s="30" t="str">
        <v>Match_Stage</v>
      </c>
      <c r="D82" s="30" t="str">
        <v>Team_A</v>
      </c>
      <c r="E82" s="30" t="str">
        <v>Team_B</v>
      </c>
      <c r="F82" s="30" t="str">
        <v>Shooter_Team</v>
      </c>
      <c r="G82" s="30" t="str">
        <v>Shooter_Name</v>
      </c>
      <c r="H82" s="30" t="str">
        <v>Goalkeeper_Name</v>
      </c>
      <c r="I82" s="30" t="str">
        <v>Kick_Number</v>
      </c>
      <c r="J82" s="30" t="str">
        <v>Team_Kick_Number</v>
      </c>
      <c r="K82" s="30" t="str">
        <v>Score_Before_Kick</v>
      </c>
      <c r="L82" s="30" t="str">
        <v>Is_Must_Score</v>
      </c>
      <c r="M82" s="30" t="str">
        <v>Is_Winning_Kick</v>
      </c>
      <c r="N82" s="30" t="str">
        <v>Shoot_Outcome</v>
      </c>
      <c r="O82" s="30" t="s">
        <v>3793</v>
      </c>
      <c r="P82" s="96" t="s">
        <v>3794</v>
      </c>
      <c r="R82" s="23" t="s">
        <v>3728</v>
      </c>
      <c r="S82" s="30" t="str">
        <v>Belgium</v>
      </c>
      <c r="T82" s="30" t="str">
        <f t="shared" si="9"/>
        <v>OK</v>
      </c>
      <c r="U82" s="30" t="str">
        <f t="shared" si="10"/>
        <v>-</v>
      </c>
      <c r="V82" s="30" t="str" cm="1">
        <f t="array" ref="V82">_xlfn.IFS(
ISNUMBER(SEARCH("USA",S82)),"United States",
ISNUMBER(SEARCH("Republic of Korea",S82)),"South Korea",
ISNUMBER(SEARCH("Cape Verde",S82)),"Cabo Verde",
ISNUMBER(SEARCH("Czechia",S82)),"Czech Republic",
ISNUMBER(SEARCH("Türkiye",S82)),"Turkey",
ISNUMBER(SEARCH("Ivory Coast",S82)),"Côte d'Ivoire",
ISNUMBER(SEARCH("Korea Republic",S82)),"South Korea",
ISNUMBER(SEARCH("Germany FR",S82)),"FR Germany",
ISNUMBER(SEARCH("West Germany",S82)),"FR Germany",
ISNUMBER(SEARCH("Germany DR",S82)),"DR Germany",
ISNUMBER(SEARCH("Korea DPR",S82)),"North Korea",
ISNUMBER(SEARCH("China PR",S82)),"China",
ISNUMBER(SEARCH("IR Iran",S82)),"Iran",
ISNUMBER(SEARCH("Congo DR",S82)),"Democratic Republic of the Congo",
ISNUMBER(SEARCH("DR Congo",S82)),"Democratic Republic of the Congo",
ISNUMBER(SEARCH("German DR",S82)),"DR Germany",
ISNUMBER(SEARCH("rn""&gt;United Arab Emirates",S82)),"United Arab Emirates",
ISNUMBER(SEARCH("rn""&gt;Republic of Ireland",S82)),"Ireland",
ISNUMBER(SEARCH("rn""&gt;Bosnia and Herzegovina",S82)),"Bosnia and Herzegovina",
ISNUMBER(SEARCH("rn""&gt;Trinidad and Tobago",S82)),"Trinidad and Tobago",
ISNUMBER(SEARCH("rn""&gt;Serbia and Montenegro",S82)),"Serbia and Montenegro",
ISNUMBER(SEARCH(_xlfn.UNICHAR(65533),S82)),"Côte d'Ivoire",
TRUE,""
)</f>
        <v/>
      </c>
      <c r="W82" s="37" t="str">
        <f t="shared" si="13"/>
        <v>Belgium</v>
      </c>
      <c r="X82" s="95" t="str">
        <v>Serbia</v>
      </c>
      <c r="Z82" s="40" t="str">
        <v>Stade Municipal</v>
      </c>
      <c r="AA82" s="40" t="str" cm="1">
        <f t="array" ref="AA82">IFERROR(_xlfn.XLOOKUP(Z82,_xlfn.ANCHORARRAY(Z$31),AA$31:AA$37),Z82)</f>
        <v>Stade Municipal</v>
      </c>
      <c r="AB82" s="42" t="str">
        <v xml:space="preserve">Toulouse </v>
      </c>
      <c r="AC82" s="89" t="str">
        <f t="shared" si="7"/>
        <v xml:space="preserve">Toulouse </v>
      </c>
      <c r="AD82" s="80" t="s">
        <v>3787</v>
      </c>
      <c r="AE82" s="62" t="s">
        <v>3792</v>
      </c>
      <c r="AF82" s="62" t="s">
        <v>3791</v>
      </c>
      <c r="AG82" s="62" t="s">
        <v>3791</v>
      </c>
      <c r="AH82" s="62" t="s">
        <v>3791</v>
      </c>
      <c r="AI82" s="62" t="s">
        <v>3791</v>
      </c>
      <c r="AJ82" s="62" t="s">
        <v>3791</v>
      </c>
      <c r="AK82" s="62" t="s">
        <v>3792</v>
      </c>
      <c r="AL82" s="62" t="s">
        <v>3792</v>
      </c>
      <c r="AM82" s="62" t="s">
        <v>3791</v>
      </c>
      <c r="AN82" s="62" t="s">
        <v>3791</v>
      </c>
      <c r="AV82" s="37" t="str">
        <v>SEMI_FINALS</v>
      </c>
      <c r="AW82" s="89" t="str">
        <v>GROUP_STAGE</v>
      </c>
      <c r="BE82" s="43" t="str">
        <f>IF(OR(DATA_CLEANED!AL73="",DATA_CLEANED!AM73=""),"MANQUANT",IF(OR(NOT(ISNUMBER(DATA_CLEANED!AL73)),NOT(ISNUMBER(DATA_CLEANED!AM73))),"ENTREE INVALIDE",IF(OR(DATA_CLEANED!AL73&lt;0,DATA_CLEANED!AM73&lt;0),"SCORE NEGATIF","OK")))</f>
        <v>OK</v>
      </c>
      <c r="BF82" s="43" t="str">
        <f>IF(DATA_CLEANED!AK73&lt;&gt;DATA_CLEANED!AN73,"OK","ERREUR")</f>
        <v>OK</v>
      </c>
      <c r="BG82" s="43" t="str">
        <f>IF(DATA_CLEANED!AL73&gt;DATA_CLEANED!AM73,DATA_CLEANED!AK73,IF(AND(DATA_QUALITE!W4559="-",DATA_CLEANED!AM73=DATA_CLEANED!AL73),"MATCH NUL",IF(AND(DATA_QUALITE!V4559="-",DATA_QUALITE!U4559="AUCUNE"),DATA_QUALITE!T4559,IF(DATA_QUALITE!V4559&lt;&gt;"-",DATA_QUALITE!V4559,DATA_CLEANED!AN73))))</f>
        <v>Brazil</v>
      </c>
      <c r="BH82" s="103" t="str">
        <f>IF(AND(BG82="MATCH NUL",DATA_CLEANED!AO73="-"),"MATCH_NUL",IF(ISNUMBER(SEARCH("win on penalties",W4559)),"WIN_BY_PENALTY",IF(ISNUMBER(SEARCH("win after extra time",W4559)),"WIN_BY_EXTRA_TIME",IF(ISNUMBER(SEARCH("Golden Goal",W4559)),"WIN_BY_GOLDEN_GOAL","WIN_BY_SCORE"))))</f>
        <v>WIN_BY_SCORE</v>
      </c>
      <c r="BI82" s="99" t="str">
        <f>IF(OR(BG82=DATA_CLEANED!AK73,BG82=DATA_CLEANED!AN73,BG82="MATCH NUL"),"OK","ERREUR")</f>
        <v>OK</v>
      </c>
    </row>
    <row r="83" spans="1:61">
      <c r="B83" s="74">
        <v>1982</v>
      </c>
      <c r="C83" s="30" t="str">
        <v>Semi-finals</v>
      </c>
      <c r="D83" s="30" t="str">
        <v>West Germany</v>
      </c>
      <c r="E83" s="30" t="str">
        <v>France</v>
      </c>
      <c r="F83" s="30" t="str">
        <v>France</v>
      </c>
      <c r="G83" s="30" t="str">
        <v>Alain Giresse</v>
      </c>
      <c r="H83" s="30" t="str">
        <v>Harald Schumacher</v>
      </c>
      <c r="I83" s="30">
        <v>1</v>
      </c>
      <c r="J83" s="30">
        <v>1</v>
      </c>
      <c r="K83" s="30" t="str">
        <v>'0-0</v>
      </c>
      <c r="L83" s="30" t="str">
        <v>No</v>
      </c>
      <c r="M83" s="30" t="str">
        <v>No</v>
      </c>
      <c r="N83" s="30" t="str">
        <v>Goal</v>
      </c>
      <c r="O83" s="30" t="str">
        <f>B83&amp;"|"&amp;C83&amp;"|"&amp;D83&amp;"|"&amp;E83&amp;"|"&amp;F83&amp;"|"&amp;G83&amp;"|"&amp;H83&amp;"|"&amp;I83&amp;"|"&amp;J83&amp;"|"&amp;K83&amp;"|"&amp;L83&amp;"|"&amp;M83&amp;"|"&amp;N83</f>
        <v>1982|Semi-finals|West Germany|France|France|Alain Giresse|Harald Schumacher|1|1|'0-0|No|No|Goal</v>
      </c>
      <c r="P83" s="96" t="str">
        <f>IF(COUNTIF($G$32:O83,O83)&gt;1,"DOUBLON","OK")</f>
        <v>OK</v>
      </c>
      <c r="R83" s="23" t="s">
        <v>3729</v>
      </c>
      <c r="S83" s="30" t="str">
        <v>Belgium</v>
      </c>
      <c r="T83" s="30" t="str">
        <f t="shared" si="9"/>
        <v>OK</v>
      </c>
      <c r="U83" s="30" t="str">
        <f t="shared" si="10"/>
        <v>-</v>
      </c>
      <c r="V83" s="30" t="str" cm="1">
        <f t="array" ref="V83">_xlfn.IFS(
ISNUMBER(SEARCH("USA",S83)),"United States",
ISNUMBER(SEARCH("Republic of Korea",S83)),"South Korea",
ISNUMBER(SEARCH("Cape Verde",S83)),"Cabo Verde",
ISNUMBER(SEARCH("Czechia",S83)),"Czech Republic",
ISNUMBER(SEARCH("Türkiye",S83)),"Turkey",
ISNUMBER(SEARCH("Ivory Coast",S83)),"Côte d'Ivoire",
ISNUMBER(SEARCH("Korea Republic",S83)),"South Korea",
ISNUMBER(SEARCH("Germany FR",S83)),"FR Germany",
ISNUMBER(SEARCH("West Germany",S83)),"FR Germany",
ISNUMBER(SEARCH("Germany DR",S83)),"DR Germany",
ISNUMBER(SEARCH("Korea DPR",S83)),"North Korea",
ISNUMBER(SEARCH("China PR",S83)),"China",
ISNUMBER(SEARCH("IR Iran",S83)),"Iran",
ISNUMBER(SEARCH("Congo DR",S83)),"Democratic Republic of the Congo",
ISNUMBER(SEARCH("DR Congo",S83)),"Democratic Republic of the Congo",
ISNUMBER(SEARCH("German DR",S83)),"DR Germany",
ISNUMBER(SEARCH("rn""&gt;United Arab Emirates",S83)),"United Arab Emirates",
ISNUMBER(SEARCH("rn""&gt;Republic of Ireland",S83)),"Ireland",
ISNUMBER(SEARCH("rn""&gt;Bosnia and Herzegovina",S83)),"Bosnia and Herzegovina",
ISNUMBER(SEARCH("rn""&gt;Trinidad and Tobago",S83)),"Trinidad and Tobago",
ISNUMBER(SEARCH("rn""&gt;Serbia and Montenegro",S83)),"Serbia and Montenegro",
ISNUMBER(SEARCH(_xlfn.UNICHAR(65533),S83)),"Côte d'Ivoire",
TRUE,""
)</f>
        <v/>
      </c>
      <c r="W83" s="37" t="str">
        <f t="shared" si="13"/>
        <v>Belgium</v>
      </c>
      <c r="X83" s="95" t="str">
        <v>Serbia and Montenegro</v>
      </c>
      <c r="Z83" s="40" t="str">
        <v>Parc des Princes</v>
      </c>
      <c r="AA83" s="40" t="str" cm="1">
        <f t="array" ref="AA83">IFERROR(_xlfn.XLOOKUP(Z83,_xlfn.ANCHORARRAY(Z$31),AA$31:AA$37),Z83)</f>
        <v>Parc des Princes</v>
      </c>
      <c r="AB83" s="42" t="str">
        <v xml:space="preserve">Paris </v>
      </c>
      <c r="AC83" s="89" t="str">
        <f t="shared" si="7"/>
        <v xml:space="preserve">Paris </v>
      </c>
      <c r="AD83" s="81" t="s">
        <v>3790</v>
      </c>
      <c r="AE83" s="40" cm="1">
        <f t="array" ref="AE83:AE1140">_xlfn._xlws.FILTER(VALUE(SUBSTITUTE(DATA_BRUT!AC3:AC1076,".",",")),M1689:M2762="OK")</f>
        <v>1930</v>
      </c>
      <c r="AF83" s="66" t="s">
        <v>3788</v>
      </c>
      <c r="AG83" s="62" t="str">
        <f>IF(AG82="NON","-","")</f>
        <v>-</v>
      </c>
      <c r="AH83" s="62" t="str">
        <f>IF(AH82="NON","-","")</f>
        <v>-</v>
      </c>
      <c r="AI83" s="62" t="str">
        <f>IF(AI82="NON","-","")</f>
        <v>-</v>
      </c>
      <c r="AJ83" s="62" t="str">
        <f>IF(AJ82="NON","-","")</f>
        <v>-</v>
      </c>
      <c r="AK83" s="40" cm="1">
        <f t="array" ref="AK83:AK1140">_xlfn._xlws.FILTER(VALUE(SUBSTITUTE(DATA_BRUT!AI3:AI1076,".",",")),M1689:M2762="OK")</f>
        <v>4</v>
      </c>
      <c r="AL83" s="40" cm="1">
        <f t="array" ref="AL83:AL1140">_xlfn._xlws.FILTER(VALUE(SUBSTITUTE(DATA_BRUT!AJ3:AJ1076,".",",")),M1689:M2762="OK")</f>
        <v>1</v>
      </c>
      <c r="AM83" s="63" t="s">
        <v>3788</v>
      </c>
      <c r="AN83" s="62" t="s">
        <v>3788</v>
      </c>
      <c r="AV83" s="37" t="str">
        <v>SEMI_FINALS</v>
      </c>
      <c r="AW83" s="89" t="str">
        <v>GROUP_STAGE</v>
      </c>
      <c r="BE83" s="43" t="str">
        <f>IF(OR(DATA_CLEANED!AL74="",DATA_CLEANED!AM74=""),"MANQUANT",IF(OR(NOT(ISNUMBER(DATA_CLEANED!AL74)),NOT(ISNUMBER(DATA_CLEANED!AM74))),"ENTREE INVALIDE",IF(OR(DATA_CLEANED!AL74&lt;0,DATA_CLEANED!AM74&lt;0),"SCORE NEGATIF","OK")))</f>
        <v>OK</v>
      </c>
      <c r="BF83" s="43" t="str">
        <f>IF(DATA_CLEANED!AK74&lt;&gt;DATA_CLEANED!AN74,"OK","ERREUR")</f>
        <v>OK</v>
      </c>
      <c r="BG83" s="43" t="str">
        <f>IF(DATA_CLEANED!AL74&gt;DATA_CLEANED!AM74,DATA_CLEANED!AK74,IF(AND(DATA_QUALITE!W4560="-",DATA_CLEANED!AM74=DATA_CLEANED!AL74),"MATCH NUL",IF(AND(DATA_QUALITE!V4560="-",DATA_QUALITE!U4560="AUCUNE"),DATA_QUALITE!T4560,IF(DATA_QUALITE!V4560&lt;&gt;"-",DATA_QUALITE!V4560,DATA_CLEANED!AN74))))</f>
        <v>Brazil</v>
      </c>
      <c r="BH83" s="103" t="str">
        <f>IF(AND(BG83="MATCH NUL",DATA_CLEANED!AO74="-"),"MATCH_NUL",IF(ISNUMBER(SEARCH("win on penalties",W4560)),"WIN_BY_PENALTY",IF(ISNUMBER(SEARCH("win after extra time",W4560)),"WIN_BY_EXTRA_TIME",IF(ISNUMBER(SEARCH("Golden Goal",W4560)),"WIN_BY_GOLDEN_GOAL","WIN_BY_SCORE"))))</f>
        <v>WIN_BY_SCORE</v>
      </c>
      <c r="BI83" s="99" t="str">
        <f>IF(OR(BG83=DATA_CLEANED!AK74,BG83=DATA_CLEANED!AN74,BG83="MATCH NUL"),"OK","ERREUR")</f>
        <v>OK</v>
      </c>
    </row>
    <row r="84" spans="1:61">
      <c r="B84" s="74">
        <v>1982</v>
      </c>
      <c r="C84" s="30" t="str">
        <v>Semi-finals</v>
      </c>
      <c r="D84" s="30" t="str">
        <v>West Germany</v>
      </c>
      <c r="E84" s="30" t="str">
        <v>France</v>
      </c>
      <c r="F84" s="30" t="str">
        <v>West Germany</v>
      </c>
      <c r="G84" s="30" t="str">
        <v>Manfred Kaltz</v>
      </c>
      <c r="H84" s="30" t="str">
        <v>Jean-Luc Ettori</v>
      </c>
      <c r="I84" s="30">
        <v>2</v>
      </c>
      <c r="J84" s="30">
        <v>1</v>
      </c>
      <c r="K84" s="30" t="str">
        <v>'0-1</v>
      </c>
      <c r="L84" s="30" t="str">
        <v>No</v>
      </c>
      <c r="M84" s="30" t="str">
        <v>No</v>
      </c>
      <c r="N84" s="30" t="str">
        <v>Goal</v>
      </c>
      <c r="O84" s="30" t="str">
        <f t="shared" ref="O84:O147" si="14">B84&amp;"|"&amp;C84&amp;"|"&amp;D84&amp;"|"&amp;E84&amp;"|"&amp;F84&amp;"|"&amp;G84&amp;"|"&amp;H84&amp;"|"&amp;I84&amp;"|"&amp;J84&amp;"|"&amp;K84&amp;"|"&amp;L84&amp;"|"&amp;M84&amp;"|"&amp;N84</f>
        <v>1982|Semi-finals|West Germany|France|West Germany|Manfred Kaltz|Jean-Luc Ettori|2|1|'0-1|No|No|Goal</v>
      </c>
      <c r="P84" s="96" t="str">
        <f>IF(COUNTIF($G$32:O84,O84)&gt;1,"DOUBLON","OK")</f>
        <v>OK</v>
      </c>
      <c r="R84" s="23" t="s">
        <v>3630</v>
      </c>
      <c r="S84" s="30" t="str">
        <v>Brazil</v>
      </c>
      <c r="T84" s="30" t="str">
        <f t="shared" si="9"/>
        <v>OK</v>
      </c>
      <c r="U84" s="30" t="str">
        <f t="shared" si="10"/>
        <v>-</v>
      </c>
      <c r="V84" s="30" t="str" cm="1">
        <f t="array" ref="V84">_xlfn.IFS(
ISNUMBER(SEARCH("USA",S84)),"United States",
ISNUMBER(SEARCH("Republic of Korea",S84)),"South Korea",
ISNUMBER(SEARCH("Cape Verde",S84)),"Cabo Verde",
ISNUMBER(SEARCH("Czechia",S84)),"Czech Republic",
ISNUMBER(SEARCH("Türkiye",S84)),"Turkey",
ISNUMBER(SEARCH("Ivory Coast",S84)),"Côte d'Ivoire",
ISNUMBER(SEARCH("Korea Republic",S84)),"South Korea",
ISNUMBER(SEARCH("Germany FR",S84)),"FR Germany",
ISNUMBER(SEARCH("West Germany",S84)),"FR Germany",
ISNUMBER(SEARCH("Germany DR",S84)),"DR Germany",
ISNUMBER(SEARCH("Korea DPR",S84)),"North Korea",
ISNUMBER(SEARCH("China PR",S84)),"China",
ISNUMBER(SEARCH("IR Iran",S84)),"Iran",
ISNUMBER(SEARCH("Congo DR",S84)),"Democratic Republic of the Congo",
ISNUMBER(SEARCH("DR Congo",S84)),"Democratic Republic of the Congo",
ISNUMBER(SEARCH("German DR",S84)),"DR Germany",
ISNUMBER(SEARCH("rn""&gt;United Arab Emirates",S84)),"United Arab Emirates",
ISNUMBER(SEARCH("rn""&gt;Republic of Ireland",S84)),"Ireland",
ISNUMBER(SEARCH("rn""&gt;Bosnia and Herzegovina",S84)),"Bosnia and Herzegovina",
ISNUMBER(SEARCH("rn""&gt;Trinidad and Tobago",S84)),"Trinidad and Tobago",
ISNUMBER(SEARCH("rn""&gt;Serbia and Montenegro",S84)),"Serbia and Montenegro",
ISNUMBER(SEARCH(_xlfn.UNICHAR(65533),S84)),"Côte d'Ivoire",
TRUE,""
)</f>
        <v/>
      </c>
      <c r="W84" s="37" t="str">
        <f t="shared" si="13"/>
        <v>Brazil</v>
      </c>
      <c r="X84" s="95" t="str">
        <v>Slovakia</v>
      </c>
      <c r="Z84" s="40" t="str">
        <v>Stade du Parc Lescure</v>
      </c>
      <c r="AA84" s="40" t="str" cm="1">
        <f t="array" ref="AA84">IFERROR(_xlfn.XLOOKUP(Z84,_xlfn.ANCHORARRAY(Z$31),AA$31:AA$37),Z84)</f>
        <v>Stade du Parc Lescure</v>
      </c>
      <c r="AB84" s="42" t="str">
        <v xml:space="preserve">Bordeaux </v>
      </c>
      <c r="AC84" s="89" t="str">
        <f t="shared" si="7"/>
        <v xml:space="preserve">Bordeaux </v>
      </c>
      <c r="AE84" s="42">
        <v>1930</v>
      </c>
      <c r="AK84" s="42">
        <v>3</v>
      </c>
      <c r="AL84" s="42">
        <v>0</v>
      </c>
      <c r="AV84" s="37" t="str">
        <v>SEMI_FINALS</v>
      </c>
      <c r="AW84" s="89" t="str">
        <v>GROUP_STAGE</v>
      </c>
      <c r="BE84" s="43" t="str">
        <f>IF(OR(DATA_CLEANED!AL75="",DATA_CLEANED!AM75=""),"MANQUANT",IF(OR(NOT(ISNUMBER(DATA_CLEANED!AL75)),NOT(ISNUMBER(DATA_CLEANED!AM75))),"ENTREE INVALIDE",IF(OR(DATA_CLEANED!AL75&lt;0,DATA_CLEANED!AM75&lt;0),"SCORE NEGATIF","OK")))</f>
        <v>OK</v>
      </c>
      <c r="BF84" s="43" t="str">
        <f>IF(DATA_CLEANED!AK75&lt;&gt;DATA_CLEANED!AN75,"OK","ERREUR")</f>
        <v>OK</v>
      </c>
      <c r="BG84" s="43" t="str">
        <f>IF(DATA_CLEANED!AL75&gt;DATA_CLEANED!AM75,DATA_CLEANED!AK75,IF(AND(DATA_QUALITE!W4561="-",DATA_CLEANED!AM75=DATA_CLEANED!AL75),"MATCH NUL",IF(AND(DATA_QUALITE!V4561="-",DATA_QUALITE!U4561="AUCUNE"),DATA_QUALITE!T4561,IF(DATA_QUALITE!V4561&lt;&gt;"-",DATA_QUALITE!V4561,DATA_CLEANED!AN75))))</f>
        <v>Uruguay</v>
      </c>
      <c r="BH84" s="103" t="str">
        <f>IF(AND(BG84="MATCH NUL",DATA_CLEANED!AO75="-"),"MATCH_NUL",IF(ISNUMBER(SEARCH("win on penalties",W4561)),"WIN_BY_PENALTY",IF(ISNUMBER(SEARCH("win after extra time",W4561)),"WIN_BY_EXTRA_TIME",IF(ISNUMBER(SEARCH("Golden Goal",W4561)),"WIN_BY_GOLDEN_GOAL","WIN_BY_SCORE"))))</f>
        <v>WIN_BY_SCORE</v>
      </c>
      <c r="BI84" s="99" t="str">
        <f>IF(OR(BG84=DATA_CLEANED!AK75,BG84=DATA_CLEANED!AN75,BG84="MATCH NUL"),"OK","ERREUR")</f>
        <v>OK</v>
      </c>
    </row>
    <row r="85" spans="1:61">
      <c r="B85" s="74">
        <v>1982</v>
      </c>
      <c r="C85" s="30" t="str">
        <v>Semi-finals</v>
      </c>
      <c r="D85" s="30" t="str">
        <v>West Germany</v>
      </c>
      <c r="E85" s="30" t="str">
        <v>France</v>
      </c>
      <c r="F85" s="30" t="str">
        <v>France</v>
      </c>
      <c r="G85" s="30" t="str">
        <v>Manuel Amoros</v>
      </c>
      <c r="H85" s="30" t="str">
        <v>Harald Schumacher</v>
      </c>
      <c r="I85" s="30">
        <v>3</v>
      </c>
      <c r="J85" s="30">
        <v>2</v>
      </c>
      <c r="K85" s="30" t="str">
        <v>'1-1</v>
      </c>
      <c r="L85" s="30" t="str">
        <v>No</v>
      </c>
      <c r="M85" s="30" t="str">
        <v>No</v>
      </c>
      <c r="N85" s="30" t="str">
        <v>Goal</v>
      </c>
      <c r="O85" s="30" t="str">
        <f t="shared" si="14"/>
        <v>1982|Semi-finals|West Germany|France|France|Manuel Amoros|Harald Schumacher|3|2|'1-1|No|No|Goal</v>
      </c>
      <c r="P85" s="96" t="str">
        <f>IF(COUNTIF($G$32:O85,O85)&gt;1,"DOUBLON","OK")</f>
        <v>OK</v>
      </c>
      <c r="R85" s="23" t="s">
        <v>3631</v>
      </c>
      <c r="S85" s="30" t="str">
        <v>Brazil</v>
      </c>
      <c r="T85" s="30" t="str">
        <f t="shared" si="9"/>
        <v>OK</v>
      </c>
      <c r="U85" s="30" t="str">
        <f t="shared" si="10"/>
        <v>-</v>
      </c>
      <c r="V85" s="30" t="str" cm="1">
        <f t="array" ref="V85">_xlfn.IFS(
ISNUMBER(SEARCH("USA",S85)),"United States",
ISNUMBER(SEARCH("Republic of Korea",S85)),"South Korea",
ISNUMBER(SEARCH("Cape Verde",S85)),"Cabo Verde",
ISNUMBER(SEARCH("Czechia",S85)),"Czech Republic",
ISNUMBER(SEARCH("Türkiye",S85)),"Turkey",
ISNUMBER(SEARCH("Ivory Coast",S85)),"Côte d'Ivoire",
ISNUMBER(SEARCH("Korea Republic",S85)),"South Korea",
ISNUMBER(SEARCH("Germany FR",S85)),"FR Germany",
ISNUMBER(SEARCH("West Germany",S85)),"FR Germany",
ISNUMBER(SEARCH("Germany DR",S85)),"DR Germany",
ISNUMBER(SEARCH("Korea DPR",S85)),"North Korea",
ISNUMBER(SEARCH("China PR",S85)),"China",
ISNUMBER(SEARCH("IR Iran",S85)),"Iran",
ISNUMBER(SEARCH("Congo DR",S85)),"Democratic Republic of the Congo",
ISNUMBER(SEARCH("DR Congo",S85)),"Democratic Republic of the Congo",
ISNUMBER(SEARCH("German DR",S85)),"DR Germany",
ISNUMBER(SEARCH("rn""&gt;United Arab Emirates",S85)),"United Arab Emirates",
ISNUMBER(SEARCH("rn""&gt;Republic of Ireland",S85)),"Ireland",
ISNUMBER(SEARCH("rn""&gt;Bosnia and Herzegovina",S85)),"Bosnia and Herzegovina",
ISNUMBER(SEARCH("rn""&gt;Trinidad and Tobago",S85)),"Trinidad and Tobago",
ISNUMBER(SEARCH("rn""&gt;Serbia and Montenegro",S85)),"Serbia and Montenegro",
ISNUMBER(SEARCH(_xlfn.UNICHAR(65533),S85)),"Côte d'Ivoire",
TRUE,""
)</f>
        <v/>
      </c>
      <c r="W85" s="37" t="str">
        <f t="shared" si="13"/>
        <v>Brazil</v>
      </c>
      <c r="X85" s="95" t="str">
        <v>Slovenia</v>
      </c>
      <c r="Z85" s="40" t="str">
        <v>Victor Boucquey</v>
      </c>
      <c r="AA85" s="40" t="str" cm="1">
        <f t="array" ref="AA85">IFERROR(_xlfn.XLOOKUP(Z85,_xlfn.ANCHORARRAY(Z$31),AA$31:AA$37),Z85)</f>
        <v>Victor Boucquey</v>
      </c>
      <c r="AB85" s="42" t="str">
        <v xml:space="preserve">Lille </v>
      </c>
      <c r="AC85" s="89" t="str">
        <f t="shared" si="7"/>
        <v xml:space="preserve">Lille </v>
      </c>
      <c r="AE85" s="42">
        <v>1930</v>
      </c>
      <c r="AK85" s="42">
        <v>2</v>
      </c>
      <c r="AL85" s="42">
        <v>1</v>
      </c>
      <c r="AV85" s="37" t="str">
        <v>SEMI_FINALS</v>
      </c>
      <c r="AW85" s="89" t="str">
        <v>GROUP_STAGE</v>
      </c>
      <c r="BE85" s="43" t="str">
        <f>IF(OR(DATA_CLEANED!AL76="",DATA_CLEANED!AM76=""),"MANQUANT",IF(OR(NOT(ISNUMBER(DATA_CLEANED!AL76)),NOT(ISNUMBER(DATA_CLEANED!AM76))),"ENTREE INVALIDE",IF(OR(DATA_CLEANED!AL76&lt;0,DATA_CLEANED!AM76&lt;0),"SCORE NEGATIF","OK")))</f>
        <v>OK</v>
      </c>
      <c r="BF85" s="43" t="str">
        <f>IF(DATA_CLEANED!AK76&lt;&gt;DATA_CLEANED!AN76,"OK","ERREUR")</f>
        <v>OK</v>
      </c>
      <c r="BG85" s="43" t="str">
        <f>IF(DATA_CLEANED!AL76&gt;DATA_CLEANED!AM76,DATA_CLEANED!AK76,IF(AND(DATA_QUALITE!W4562="-",DATA_CLEANED!AM76=DATA_CLEANED!AL76),"MATCH NUL",IF(AND(DATA_QUALITE!V4562="-",DATA_QUALITE!U4562="AUCUNE"),DATA_QUALITE!T4562,IF(DATA_QUALITE!V4562&lt;&gt;"-",DATA_QUALITE!V4562,DATA_CLEANED!AN76))))</f>
        <v>Sweden</v>
      </c>
      <c r="BH85" s="103" t="str">
        <f>IF(AND(BG85="MATCH NUL",DATA_CLEANED!AO76="-"),"MATCH_NUL",IF(ISNUMBER(SEARCH("win on penalties",W4562)),"WIN_BY_PENALTY",IF(ISNUMBER(SEARCH("win after extra time",W4562)),"WIN_BY_EXTRA_TIME",IF(ISNUMBER(SEARCH("Golden Goal",W4562)),"WIN_BY_GOLDEN_GOAL","WIN_BY_SCORE"))))</f>
        <v>WIN_BY_SCORE</v>
      </c>
      <c r="BI85" s="99" t="str">
        <f>IF(OR(BG85=DATA_CLEANED!AK76,BG85=DATA_CLEANED!AN76,BG85="MATCH NUL"),"OK","ERREUR")</f>
        <v>OK</v>
      </c>
    </row>
    <row r="86" spans="1:61">
      <c r="B86" s="74">
        <v>1982</v>
      </c>
      <c r="C86" s="30" t="str">
        <v>Semi-finals</v>
      </c>
      <c r="D86" s="30" t="str">
        <v>West Germany</v>
      </c>
      <c r="E86" s="30" t="str">
        <v>France</v>
      </c>
      <c r="F86" s="30" t="str">
        <v>West Germany</v>
      </c>
      <c r="G86" s="30" t="str">
        <v>Paul Breitner</v>
      </c>
      <c r="H86" s="30" t="str">
        <v>Jean-Luc Ettori</v>
      </c>
      <c r="I86" s="30">
        <v>4</v>
      </c>
      <c r="J86" s="30">
        <v>2</v>
      </c>
      <c r="K86" s="30" t="str">
        <v>'1-2</v>
      </c>
      <c r="L86" s="30" t="str">
        <v>No</v>
      </c>
      <c r="M86" s="30" t="str">
        <v>No</v>
      </c>
      <c r="N86" s="30" t="str">
        <v>Goal</v>
      </c>
      <c r="O86" s="30" t="str">
        <f t="shared" si="14"/>
        <v>1982|Semi-finals|West Germany|France|West Germany|Paul Breitner|Jean-Luc Ettori|4|2|'1-2|No|No|Goal</v>
      </c>
      <c r="P86" s="96" t="str">
        <f>IF(COUNTIF($G$32:O86,O86)&gt;1,"DOUBLON","OK")</f>
        <v>OK</v>
      </c>
      <c r="R86" s="23" t="s">
        <v>5</v>
      </c>
      <c r="S86" s="30" t="str">
        <v>Brazil</v>
      </c>
      <c r="T86" s="30" t="str">
        <f t="shared" si="9"/>
        <v>OK</v>
      </c>
      <c r="U86" s="30" t="str">
        <f t="shared" si="10"/>
        <v>-</v>
      </c>
      <c r="V86" s="30" t="str" cm="1">
        <f t="array" ref="V86">_xlfn.IFS(
ISNUMBER(SEARCH("USA",S86)),"United States",
ISNUMBER(SEARCH("Republic of Korea",S86)),"South Korea",
ISNUMBER(SEARCH("Cape Verde",S86)),"Cabo Verde",
ISNUMBER(SEARCH("Czechia",S86)),"Czech Republic",
ISNUMBER(SEARCH("Türkiye",S86)),"Turkey",
ISNUMBER(SEARCH("Ivory Coast",S86)),"Côte d'Ivoire",
ISNUMBER(SEARCH("Korea Republic",S86)),"South Korea",
ISNUMBER(SEARCH("Germany FR",S86)),"FR Germany",
ISNUMBER(SEARCH("West Germany",S86)),"FR Germany",
ISNUMBER(SEARCH("Germany DR",S86)),"DR Germany",
ISNUMBER(SEARCH("Korea DPR",S86)),"North Korea",
ISNUMBER(SEARCH("China PR",S86)),"China",
ISNUMBER(SEARCH("IR Iran",S86)),"Iran",
ISNUMBER(SEARCH("Congo DR",S86)),"Democratic Republic of the Congo",
ISNUMBER(SEARCH("DR Congo",S86)),"Democratic Republic of the Congo",
ISNUMBER(SEARCH("German DR",S86)),"DR Germany",
ISNUMBER(SEARCH("rn""&gt;United Arab Emirates",S86)),"United Arab Emirates",
ISNUMBER(SEARCH("rn""&gt;Republic of Ireland",S86)),"Ireland",
ISNUMBER(SEARCH("rn""&gt;Bosnia and Herzegovina",S86)),"Bosnia and Herzegovina",
ISNUMBER(SEARCH("rn""&gt;Trinidad and Tobago",S86)),"Trinidad and Tobago",
ISNUMBER(SEARCH("rn""&gt;Serbia and Montenegro",S86)),"Serbia and Montenegro",
ISNUMBER(SEARCH(_xlfn.UNICHAR(65533),S86)),"Côte d'Ivoire",
TRUE,""
)</f>
        <v/>
      </c>
      <c r="W86" s="37" t="str">
        <f t="shared" si="13"/>
        <v>Brazil</v>
      </c>
      <c r="X86" s="95" t="str">
        <v>South Africa</v>
      </c>
      <c r="Z86" s="40" t="str">
        <v>Fort Carree</v>
      </c>
      <c r="AA86" s="40" t="str" cm="1">
        <f t="array" ref="AA86">IFERROR(_xlfn.XLOOKUP(Z86,_xlfn.ANCHORARRAY(Z$31),AA$31:AA$37),Z86)</f>
        <v>Fort Carree</v>
      </c>
      <c r="AB86" s="42" t="str">
        <v xml:space="preserve">Antibes </v>
      </c>
      <c r="AC86" s="89" t="str">
        <f t="shared" si="7"/>
        <v xml:space="preserve">Antibes </v>
      </c>
      <c r="AE86" s="42">
        <v>1930</v>
      </c>
      <c r="AK86" s="42">
        <v>3</v>
      </c>
      <c r="AL86" s="42">
        <v>1</v>
      </c>
      <c r="AV86" s="37" t="str">
        <v>SEMI_FINALS</v>
      </c>
      <c r="AW86" s="89" t="str">
        <v>GROUP_STAGE</v>
      </c>
      <c r="BE86" s="43" t="str">
        <f>IF(OR(DATA_CLEANED!AL77="",DATA_CLEANED!AM77=""),"MANQUANT",IF(OR(NOT(ISNUMBER(DATA_CLEANED!AL77)),NOT(ISNUMBER(DATA_CLEANED!AM77))),"ENTREE INVALIDE",IF(OR(DATA_CLEANED!AL77&lt;0,DATA_CLEANED!AM77&lt;0),"SCORE NEGATIF","OK")))</f>
        <v>OK</v>
      </c>
      <c r="BF86" s="43" t="str">
        <f>IF(DATA_CLEANED!AK77&lt;&gt;DATA_CLEANED!AN77,"OK","ERREUR")</f>
        <v>OK</v>
      </c>
      <c r="BG86" s="43" t="str">
        <f>IF(DATA_CLEANED!AL77&gt;DATA_CLEANED!AM77,DATA_CLEANED!AK77,IF(AND(DATA_QUALITE!W4563="-",DATA_CLEANED!AM77=DATA_CLEANED!AL77),"MATCH NUL",IF(AND(DATA_QUALITE!V4563="-",DATA_QUALITE!U4563="AUCUNE"),DATA_QUALITE!T4563,IF(DATA_QUALITE!V4563&lt;&gt;"-",DATA_QUALITE!V4563,DATA_CLEANED!AN77))))</f>
        <v>Uruguay</v>
      </c>
      <c r="BH86" s="103" t="str">
        <f>IF(AND(BG86="MATCH NUL",DATA_CLEANED!AO77="-"),"MATCH_NUL",IF(ISNUMBER(SEARCH("win on penalties",W4563)),"WIN_BY_PENALTY",IF(ISNUMBER(SEARCH("win after extra time",W4563)),"WIN_BY_EXTRA_TIME",IF(ISNUMBER(SEARCH("Golden Goal",W4563)),"WIN_BY_GOLDEN_GOAL","WIN_BY_SCORE"))))</f>
        <v>WIN_BY_SCORE</v>
      </c>
      <c r="BI86" s="99" t="str">
        <f>IF(OR(BG86=DATA_CLEANED!AK77,BG86=DATA_CLEANED!AN77,BG86="MATCH NUL"),"OK","ERREUR")</f>
        <v>OK</v>
      </c>
    </row>
    <row r="87" spans="1:61">
      <c r="B87" s="74">
        <v>1982</v>
      </c>
      <c r="C87" s="30" t="str">
        <v>Semi-finals</v>
      </c>
      <c r="D87" s="30" t="str">
        <v>West Germany</v>
      </c>
      <c r="E87" s="30" t="str">
        <v>France</v>
      </c>
      <c r="F87" s="30" t="str">
        <v>France</v>
      </c>
      <c r="G87" s="30" t="str">
        <v>Dominique Rocheteau</v>
      </c>
      <c r="H87" s="30" t="str">
        <v>Harald Schumacher</v>
      </c>
      <c r="I87" s="30">
        <v>5</v>
      </c>
      <c r="J87" s="30">
        <v>3</v>
      </c>
      <c r="K87" s="30" t="str">
        <v>'2-2</v>
      </c>
      <c r="L87" s="30" t="str">
        <v>No</v>
      </c>
      <c r="M87" s="30" t="str">
        <v>No</v>
      </c>
      <c r="N87" s="30" t="str">
        <v>Goal</v>
      </c>
      <c r="O87" s="30" t="str">
        <f t="shared" si="14"/>
        <v>1982|Semi-finals|West Germany|France|France|Dominique Rocheteau|Harald Schumacher|5|3|'2-2|No|No|Goal</v>
      </c>
      <c r="P87" s="96" t="str">
        <f>IF(COUNTIF($G$32:O87,O87)&gt;1,"DOUBLON","OK")</f>
        <v>OK</v>
      </c>
      <c r="R87" s="23" t="s">
        <v>3730</v>
      </c>
      <c r="S87" s="30" t="str">
        <v>Brazil</v>
      </c>
      <c r="T87" s="30" t="str">
        <f t="shared" si="9"/>
        <v>OK</v>
      </c>
      <c r="U87" s="30" t="str">
        <f t="shared" si="10"/>
        <v>-</v>
      </c>
      <c r="V87" s="30" t="str" cm="1">
        <f t="array" ref="V87">_xlfn.IFS(
ISNUMBER(SEARCH("USA",S87)),"United States",
ISNUMBER(SEARCH("Republic of Korea",S87)),"South Korea",
ISNUMBER(SEARCH("Cape Verde",S87)),"Cabo Verde",
ISNUMBER(SEARCH("Czechia",S87)),"Czech Republic",
ISNUMBER(SEARCH("Türkiye",S87)),"Turkey",
ISNUMBER(SEARCH("Ivory Coast",S87)),"Côte d'Ivoire",
ISNUMBER(SEARCH("Korea Republic",S87)),"South Korea",
ISNUMBER(SEARCH("Germany FR",S87)),"FR Germany",
ISNUMBER(SEARCH("West Germany",S87)),"FR Germany",
ISNUMBER(SEARCH("Germany DR",S87)),"DR Germany",
ISNUMBER(SEARCH("Korea DPR",S87)),"North Korea",
ISNUMBER(SEARCH("China PR",S87)),"China",
ISNUMBER(SEARCH("IR Iran",S87)),"Iran",
ISNUMBER(SEARCH("Congo DR",S87)),"Democratic Republic of the Congo",
ISNUMBER(SEARCH("DR Congo",S87)),"Democratic Republic of the Congo",
ISNUMBER(SEARCH("German DR",S87)),"DR Germany",
ISNUMBER(SEARCH("rn""&gt;United Arab Emirates",S87)),"United Arab Emirates",
ISNUMBER(SEARCH("rn""&gt;Republic of Ireland",S87)),"Ireland",
ISNUMBER(SEARCH("rn""&gt;Bosnia and Herzegovina",S87)),"Bosnia and Herzegovina",
ISNUMBER(SEARCH("rn""&gt;Trinidad and Tobago",S87)),"Trinidad and Tobago",
ISNUMBER(SEARCH("rn""&gt;Serbia and Montenegro",S87)),"Serbia and Montenegro",
ISNUMBER(SEARCH(_xlfn.UNICHAR(65533),S87)),"Côte d'Ivoire",
TRUE,""
)</f>
        <v/>
      </c>
      <c r="W87" s="37" t="str">
        <f t="shared" si="13"/>
        <v>Brazil</v>
      </c>
      <c r="X87" s="95" t="str">
        <v>South Korea</v>
      </c>
      <c r="Z87" s="40" t="str">
        <v>Stade Olympique</v>
      </c>
      <c r="AA87" s="40" t="str" cm="1">
        <f t="array" ref="AA87">IFERROR(_xlfn.XLOOKUP(Z87,_xlfn.ANCHORARRAY(Z$31),AA$31:AA$37),Z87)</f>
        <v>Stade Olympique</v>
      </c>
      <c r="AB87" s="42" t="str">
        <v xml:space="preserve">Colombes </v>
      </c>
      <c r="AC87" s="89" t="str">
        <f t="shared" si="7"/>
        <v xml:space="preserve">Colombes </v>
      </c>
      <c r="AE87" s="42">
        <v>1930</v>
      </c>
      <c r="AK87" s="42">
        <v>1</v>
      </c>
      <c r="AL87" s="42">
        <v>0</v>
      </c>
      <c r="AV87" s="37" t="str">
        <v>SEMI_FINALS</v>
      </c>
      <c r="AW87" s="89" t="str">
        <v>GROUP_STAGE</v>
      </c>
      <c r="BE87" s="43" t="str">
        <f>IF(OR(DATA_CLEANED!AL78="",DATA_CLEANED!AM78=""),"MANQUANT",IF(OR(NOT(ISNUMBER(DATA_CLEANED!AL78)),NOT(ISNUMBER(DATA_CLEANED!AM78))),"ENTREE INVALIDE",IF(OR(DATA_CLEANED!AL78&lt;0,DATA_CLEANED!AM78&lt;0),"SCORE NEGATIF","OK")))</f>
        <v>OK</v>
      </c>
      <c r="BF87" s="43" t="str">
        <f>IF(DATA_CLEANED!AK78&lt;&gt;DATA_CLEANED!AN78,"OK","ERREUR")</f>
        <v>OK</v>
      </c>
      <c r="BG87" s="43" t="str">
        <f>IF(DATA_CLEANED!AL78&gt;DATA_CLEANED!AM78,DATA_CLEANED!AK78,IF(AND(DATA_QUALITE!W4564="-",DATA_CLEANED!AM78=DATA_CLEANED!AL78),"MATCH NUL",IF(AND(DATA_QUALITE!V4564="-",DATA_QUALITE!U4564="AUCUNE"),DATA_QUALITE!T4564,IF(DATA_QUALITE!V4564&lt;&gt;"-",DATA_QUALITE!V4564,DATA_CLEANED!AN78))))</f>
        <v>Uruguay</v>
      </c>
      <c r="BH87" s="103" t="str">
        <f>IF(AND(BG87="MATCH NUL",DATA_CLEANED!AO78="-"),"MATCH_NUL",IF(ISNUMBER(SEARCH("win on penalties",W4564)),"WIN_BY_PENALTY",IF(ISNUMBER(SEARCH("win after extra time",W4564)),"WIN_BY_EXTRA_TIME",IF(ISNUMBER(SEARCH("Golden Goal",W4564)),"WIN_BY_GOLDEN_GOAL","WIN_BY_SCORE"))))</f>
        <v>WIN_BY_SCORE</v>
      </c>
      <c r="BI87" s="99" t="str">
        <f>IF(OR(BG87=DATA_CLEANED!AK78,BG87=DATA_CLEANED!AN78,BG87="MATCH NUL"),"OK","ERREUR")</f>
        <v>OK</v>
      </c>
    </row>
    <row r="88" spans="1:61">
      <c r="B88" s="74">
        <v>1982</v>
      </c>
      <c r="C88" s="30" t="str">
        <v>Semi-finals</v>
      </c>
      <c r="D88" s="30" t="str">
        <v>West Germany</v>
      </c>
      <c r="E88" s="30" t="str">
        <v>France</v>
      </c>
      <c r="F88" s="30" t="str">
        <v>West Germany</v>
      </c>
      <c r="G88" s="30" t="str">
        <v>Uli Stielike</v>
      </c>
      <c r="H88" s="30" t="str">
        <v>Jean-Luc Ettori</v>
      </c>
      <c r="I88" s="30">
        <v>6</v>
      </c>
      <c r="J88" s="30">
        <v>3</v>
      </c>
      <c r="K88" s="30" t="str">
        <v>'2-3</v>
      </c>
      <c r="L88" s="30" t="str">
        <v>No</v>
      </c>
      <c r="M88" s="30" t="str">
        <v>No</v>
      </c>
      <c r="N88" s="30" t="str">
        <v>Saved</v>
      </c>
      <c r="O88" s="30" t="str">
        <f t="shared" si="14"/>
        <v>1982|Semi-finals|West Germany|France|West Germany|Uli Stielike|Jean-Luc Ettori|6|3|'2-3|No|No|Saved</v>
      </c>
      <c r="P88" s="96" t="str">
        <f>IF(COUNTIF($G$32:O88,O88)&gt;1,"DOUBLON","OK")</f>
        <v>OK</v>
      </c>
      <c r="R88" s="23" t="s">
        <v>3731</v>
      </c>
      <c r="S88" s="30" t="str">
        <v>Brazil</v>
      </c>
      <c r="T88" s="30" t="str">
        <f t="shared" si="9"/>
        <v>OK</v>
      </c>
      <c r="U88" s="30" t="str">
        <f t="shared" si="10"/>
        <v>-</v>
      </c>
      <c r="V88" s="30" t="str" cm="1">
        <f t="array" ref="V88">_xlfn.IFS(
ISNUMBER(SEARCH("USA",S88)),"United States",
ISNUMBER(SEARCH("Republic of Korea",S88)),"South Korea",
ISNUMBER(SEARCH("Cape Verde",S88)),"Cabo Verde",
ISNUMBER(SEARCH("Czechia",S88)),"Czech Republic",
ISNUMBER(SEARCH("Türkiye",S88)),"Turkey",
ISNUMBER(SEARCH("Ivory Coast",S88)),"Côte d'Ivoire",
ISNUMBER(SEARCH("Korea Republic",S88)),"South Korea",
ISNUMBER(SEARCH("Germany FR",S88)),"FR Germany",
ISNUMBER(SEARCH("West Germany",S88)),"FR Germany",
ISNUMBER(SEARCH("Germany DR",S88)),"DR Germany",
ISNUMBER(SEARCH("Korea DPR",S88)),"North Korea",
ISNUMBER(SEARCH("China PR",S88)),"China",
ISNUMBER(SEARCH("IR Iran",S88)),"Iran",
ISNUMBER(SEARCH("Congo DR",S88)),"Democratic Republic of the Congo",
ISNUMBER(SEARCH("DR Congo",S88)),"Democratic Republic of the Congo",
ISNUMBER(SEARCH("German DR",S88)),"DR Germany",
ISNUMBER(SEARCH("rn""&gt;United Arab Emirates",S88)),"United Arab Emirates",
ISNUMBER(SEARCH("rn""&gt;Republic of Ireland",S88)),"Ireland",
ISNUMBER(SEARCH("rn""&gt;Bosnia and Herzegovina",S88)),"Bosnia and Herzegovina",
ISNUMBER(SEARCH("rn""&gt;Trinidad and Tobago",S88)),"Trinidad and Tobago",
ISNUMBER(SEARCH("rn""&gt;Serbia and Montenegro",S88)),"Serbia and Montenegro",
ISNUMBER(SEARCH(_xlfn.UNICHAR(65533),S88)),"Côte d'Ivoire",
TRUE,""
)</f>
        <v/>
      </c>
      <c r="W88" s="37" t="str">
        <f t="shared" si="13"/>
        <v>Brazil</v>
      </c>
      <c r="X88" s="95" t="str">
        <v>Soviet Union</v>
      </c>
      <c r="Z88" s="40" t="str">
        <v>Stade du Parc Lescure</v>
      </c>
      <c r="AA88" s="40" t="str" cm="1">
        <f t="array" ref="AA88">IFERROR(_xlfn.XLOOKUP(Z88,_xlfn.ANCHORARRAY(Z$31),AA$31:AA$37),Z88)</f>
        <v>Stade du Parc Lescure</v>
      </c>
      <c r="AB88" s="42" t="str">
        <v xml:space="preserve">Bordeaux </v>
      </c>
      <c r="AC88" s="89" t="str">
        <f t="shared" si="7"/>
        <v xml:space="preserve">Bordeaux </v>
      </c>
      <c r="AE88" s="42">
        <v>1930</v>
      </c>
      <c r="AK88" s="42">
        <v>3</v>
      </c>
      <c r="AL88" s="42">
        <v>0</v>
      </c>
      <c r="AV88" s="37" t="str">
        <v>SEMI_FINALS</v>
      </c>
      <c r="AW88" s="89" t="str">
        <v>GROUP_STAGE</v>
      </c>
      <c r="BE88" s="43" t="str">
        <f>IF(OR(DATA_CLEANED!AL79="",DATA_CLEANED!AM79=""),"MANQUANT",IF(OR(NOT(ISNUMBER(DATA_CLEANED!AL79)),NOT(ISNUMBER(DATA_CLEANED!AM79))),"ENTREE INVALIDE",IF(OR(DATA_CLEANED!AL79&lt;0,DATA_CLEANED!AM79&lt;0),"SCORE NEGATIF","OK")))</f>
        <v>OK</v>
      </c>
      <c r="BF88" s="43" t="str">
        <f>IF(DATA_CLEANED!AK79&lt;&gt;DATA_CLEANED!AN79,"OK","ERREUR")</f>
        <v>OK</v>
      </c>
      <c r="BG88" s="43" t="str">
        <f>IF(DATA_CLEANED!AL79&gt;DATA_CLEANED!AM79,DATA_CLEANED!AK79,IF(AND(DATA_QUALITE!W4565="-",DATA_CLEANED!AM79=DATA_CLEANED!AL79),"MATCH NUL",IF(AND(DATA_QUALITE!V4565="-",DATA_QUALITE!U4565="AUCUNE"),DATA_QUALITE!T4565,IF(DATA_QUALITE!V4565&lt;&gt;"-",DATA_QUALITE!V4565,DATA_CLEANED!AN79))))</f>
        <v>Austria</v>
      </c>
      <c r="BH88" s="103" t="str">
        <f>IF(AND(BG88="MATCH NUL",DATA_CLEANED!AO79="-"),"MATCH_NUL",IF(ISNUMBER(SEARCH("win on penalties",W4565)),"WIN_BY_PENALTY",IF(ISNUMBER(SEARCH("win after extra time",W4565)),"WIN_BY_EXTRA_TIME",IF(ISNUMBER(SEARCH("Golden Goal",W4565)),"WIN_BY_GOLDEN_GOAL","WIN_BY_SCORE"))))</f>
        <v>WIN_BY_SCORE</v>
      </c>
      <c r="BI88" s="99" t="str">
        <f>IF(OR(BG88=DATA_CLEANED!AK79,BG88=DATA_CLEANED!AN79,BG88="MATCH NUL"),"OK","ERREUR")</f>
        <v>OK</v>
      </c>
    </row>
    <row r="89" spans="1:61">
      <c r="B89" s="74">
        <v>1982</v>
      </c>
      <c r="C89" s="30" t="str">
        <v>Semi-finals</v>
      </c>
      <c r="D89" s="30" t="str">
        <v>West Germany</v>
      </c>
      <c r="E89" s="30" t="str">
        <v>France</v>
      </c>
      <c r="F89" s="30" t="str">
        <v>France</v>
      </c>
      <c r="G89" s="30" t="str">
        <v>Didier Six</v>
      </c>
      <c r="H89" s="30" t="str">
        <v>Harald Schumacher</v>
      </c>
      <c r="I89" s="30">
        <v>7</v>
      </c>
      <c r="J89" s="30">
        <v>4</v>
      </c>
      <c r="K89" s="30" t="str">
        <v>'2-3</v>
      </c>
      <c r="L89" s="30" t="str">
        <v>No</v>
      </c>
      <c r="M89" s="30" t="str">
        <v>No</v>
      </c>
      <c r="N89" s="30" t="str">
        <v>Saved</v>
      </c>
      <c r="O89" s="30" t="str">
        <f t="shared" si="14"/>
        <v>1982|Semi-finals|West Germany|France|France|Didier Six|Harald Schumacher|7|4|'2-3|No|No|Saved</v>
      </c>
      <c r="P89" s="96" t="str">
        <f>IF(COUNTIF($G$32:O89,O89)&gt;1,"DOUBLON","OK")</f>
        <v>OK</v>
      </c>
      <c r="R89" s="23" t="s">
        <v>3632</v>
      </c>
      <c r="S89" s="30" t="str">
        <v>Brazil</v>
      </c>
      <c r="T89" s="30" t="str">
        <f t="shared" si="9"/>
        <v>OK</v>
      </c>
      <c r="U89" s="30" t="str">
        <f t="shared" si="10"/>
        <v>-</v>
      </c>
      <c r="V89" s="30" t="str" cm="1">
        <f t="array" ref="V89">_xlfn.IFS(
ISNUMBER(SEARCH("USA",S89)),"United States",
ISNUMBER(SEARCH("Republic of Korea",S89)),"South Korea",
ISNUMBER(SEARCH("Cape Verde",S89)),"Cabo Verde",
ISNUMBER(SEARCH("Czechia",S89)),"Czech Republic",
ISNUMBER(SEARCH("Türkiye",S89)),"Turkey",
ISNUMBER(SEARCH("Ivory Coast",S89)),"Côte d'Ivoire",
ISNUMBER(SEARCH("Korea Republic",S89)),"South Korea",
ISNUMBER(SEARCH("Germany FR",S89)),"FR Germany",
ISNUMBER(SEARCH("West Germany",S89)),"FR Germany",
ISNUMBER(SEARCH("Germany DR",S89)),"DR Germany",
ISNUMBER(SEARCH("Korea DPR",S89)),"North Korea",
ISNUMBER(SEARCH("China PR",S89)),"China",
ISNUMBER(SEARCH("IR Iran",S89)),"Iran",
ISNUMBER(SEARCH("Congo DR",S89)),"Democratic Republic of the Congo",
ISNUMBER(SEARCH("DR Congo",S89)),"Democratic Republic of the Congo",
ISNUMBER(SEARCH("German DR",S89)),"DR Germany",
ISNUMBER(SEARCH("rn""&gt;United Arab Emirates",S89)),"United Arab Emirates",
ISNUMBER(SEARCH("rn""&gt;Republic of Ireland",S89)),"Ireland",
ISNUMBER(SEARCH("rn""&gt;Bosnia and Herzegovina",S89)),"Bosnia and Herzegovina",
ISNUMBER(SEARCH("rn""&gt;Trinidad and Tobago",S89)),"Trinidad and Tobago",
ISNUMBER(SEARCH("rn""&gt;Serbia and Montenegro",S89)),"Serbia and Montenegro",
ISNUMBER(SEARCH(_xlfn.UNICHAR(65533),S89)),"Côte d'Ivoire",
TRUE,""
)</f>
        <v/>
      </c>
      <c r="W89" s="37" t="str">
        <f t="shared" si="13"/>
        <v>Brazil</v>
      </c>
      <c r="X89" s="95" t="str">
        <v>Spain</v>
      </c>
      <c r="Z89" s="40" t="str">
        <v>Parc des Princes</v>
      </c>
      <c r="AA89" s="40" t="str" cm="1">
        <f t="array" ref="AA89">IFERROR(_xlfn.XLOOKUP(Z89,_xlfn.ANCHORARRAY(Z$31),AA$31:AA$37),Z89)</f>
        <v>Parc des Princes</v>
      </c>
      <c r="AB89" s="42" t="str">
        <v xml:space="preserve">Paris </v>
      </c>
      <c r="AC89" s="89" t="str">
        <f t="shared" si="7"/>
        <v xml:space="preserve">Paris </v>
      </c>
      <c r="AE89" s="42">
        <v>1930</v>
      </c>
      <c r="AK89" s="42">
        <v>4</v>
      </c>
      <c r="AL89" s="42">
        <v>0</v>
      </c>
      <c r="AV89" s="37" t="str">
        <v>ROUND_OF_16</v>
      </c>
      <c r="AW89" s="89" t="str">
        <v>GROUP_STAGE</v>
      </c>
      <c r="BE89" s="43" t="str">
        <f>IF(OR(DATA_CLEANED!AL80="",DATA_CLEANED!AM80=""),"MANQUANT",IF(OR(NOT(ISNUMBER(DATA_CLEANED!AL80)),NOT(ISNUMBER(DATA_CLEANED!AM80))),"ENTREE INVALIDE",IF(OR(DATA_CLEANED!AL80&lt;0,DATA_CLEANED!AM80&lt;0),"SCORE NEGATIF","OK")))</f>
        <v>OK</v>
      </c>
      <c r="BF89" s="43" t="str">
        <f>IF(DATA_CLEANED!AK80&lt;&gt;DATA_CLEANED!AN80,"OK","ERREUR")</f>
        <v>OK</v>
      </c>
      <c r="BG89" s="43" t="str">
        <f>IF(DATA_CLEANED!AL80&gt;DATA_CLEANED!AM80,DATA_CLEANED!AK80,IF(AND(DATA_QUALITE!W4566="-",DATA_CLEANED!AM80=DATA_CLEANED!AL80),"MATCH NUL",IF(AND(DATA_QUALITE!V4566="-",DATA_QUALITE!U4566="AUCUNE"),DATA_QUALITE!T4566,IF(DATA_QUALITE!V4566&lt;&gt;"-",DATA_QUALITE!V4566,DATA_CLEANED!AN80))))</f>
        <v>Brazil</v>
      </c>
      <c r="BH89" s="103" t="str">
        <f>IF(AND(BG89="MATCH NUL",DATA_CLEANED!AO80="-"),"MATCH_NUL",IF(ISNUMBER(SEARCH("win on penalties",W4566)),"WIN_BY_PENALTY",IF(ISNUMBER(SEARCH("win after extra time",W4566)),"WIN_BY_EXTRA_TIME",IF(ISNUMBER(SEARCH("Golden Goal",W4566)),"WIN_BY_GOLDEN_GOAL","WIN_BY_SCORE"))))</f>
        <v>WIN_BY_SCORE</v>
      </c>
      <c r="BI89" s="99" t="str">
        <f>IF(OR(BG89=DATA_CLEANED!AK80,BG89=DATA_CLEANED!AN80,BG89="MATCH NUL"),"OK","ERREUR")</f>
        <v>OK</v>
      </c>
    </row>
    <row r="90" spans="1:61">
      <c r="B90" s="74">
        <v>1982</v>
      </c>
      <c r="C90" s="30" t="str">
        <v>Semi-finals</v>
      </c>
      <c r="D90" s="30" t="str">
        <v>West Germany</v>
      </c>
      <c r="E90" s="30" t="str">
        <v>France</v>
      </c>
      <c r="F90" s="30" t="str">
        <v>West Germany</v>
      </c>
      <c r="G90" s="30" t="str">
        <v>Pierre Littbarski</v>
      </c>
      <c r="H90" s="30" t="str">
        <v>Jean-Luc Ettori</v>
      </c>
      <c r="I90" s="30">
        <v>8</v>
      </c>
      <c r="J90" s="30">
        <v>4</v>
      </c>
      <c r="K90" s="30" t="str">
        <v>'2-3</v>
      </c>
      <c r="L90" s="30" t="str">
        <v>No</v>
      </c>
      <c r="M90" s="30" t="str">
        <v>No</v>
      </c>
      <c r="N90" s="30" t="str">
        <v>Goal</v>
      </c>
      <c r="O90" s="30" t="str">
        <f t="shared" si="14"/>
        <v>1982|Semi-finals|West Germany|France|West Germany|Pierre Littbarski|Jean-Luc Ettori|8|4|'2-3|No|No|Goal</v>
      </c>
      <c r="P90" s="96" t="str">
        <f>IF(COUNTIF($G$32:O90,O90)&gt;1,"DOUBLON","OK")</f>
        <v>OK</v>
      </c>
      <c r="R90" s="23" t="s">
        <v>3732</v>
      </c>
      <c r="S90" s="30" t="str">
        <v>Brazil</v>
      </c>
      <c r="T90" s="30" t="str">
        <f t="shared" si="9"/>
        <v>OK</v>
      </c>
      <c r="U90" s="30" t="str">
        <f t="shared" si="10"/>
        <v>-</v>
      </c>
      <c r="V90" s="30" t="str" cm="1">
        <f t="array" ref="V90">_xlfn.IFS(
ISNUMBER(SEARCH("USA",S90)),"United States",
ISNUMBER(SEARCH("Republic of Korea",S90)),"South Korea",
ISNUMBER(SEARCH("Cape Verde",S90)),"Cabo Verde",
ISNUMBER(SEARCH("Czechia",S90)),"Czech Republic",
ISNUMBER(SEARCH("Türkiye",S90)),"Turkey",
ISNUMBER(SEARCH("Ivory Coast",S90)),"Côte d'Ivoire",
ISNUMBER(SEARCH("Korea Republic",S90)),"South Korea",
ISNUMBER(SEARCH("Germany FR",S90)),"FR Germany",
ISNUMBER(SEARCH("West Germany",S90)),"FR Germany",
ISNUMBER(SEARCH("Germany DR",S90)),"DR Germany",
ISNUMBER(SEARCH("Korea DPR",S90)),"North Korea",
ISNUMBER(SEARCH("China PR",S90)),"China",
ISNUMBER(SEARCH("IR Iran",S90)),"Iran",
ISNUMBER(SEARCH("Congo DR",S90)),"Democratic Republic of the Congo",
ISNUMBER(SEARCH("DR Congo",S90)),"Democratic Republic of the Congo",
ISNUMBER(SEARCH("German DR",S90)),"DR Germany",
ISNUMBER(SEARCH("rn""&gt;United Arab Emirates",S90)),"United Arab Emirates",
ISNUMBER(SEARCH("rn""&gt;Republic of Ireland",S90)),"Ireland",
ISNUMBER(SEARCH("rn""&gt;Bosnia and Herzegovina",S90)),"Bosnia and Herzegovina",
ISNUMBER(SEARCH("rn""&gt;Trinidad and Tobago",S90)),"Trinidad and Tobago",
ISNUMBER(SEARCH("rn""&gt;Serbia and Montenegro",S90)),"Serbia and Montenegro",
ISNUMBER(SEARCH(_xlfn.UNICHAR(65533),S90)),"Côte d'Ivoire",
TRUE,""
)</f>
        <v/>
      </c>
      <c r="W90" s="37" t="str">
        <f t="shared" si="13"/>
        <v>Brazil</v>
      </c>
      <c r="X90" s="95" t="str">
        <v>Sweden</v>
      </c>
      <c r="Z90" s="40" t="str">
        <v>Stade V�lodrome</v>
      </c>
      <c r="AA90" s="40" t="str" cm="1">
        <f t="array" ref="AA90">IFERROR(_xlfn.XLOOKUP(Z90,_xlfn.ANCHORARRAY(Z$31),AA$31:AA$37),Z90)</f>
        <v>Stade Vélodrome</v>
      </c>
      <c r="AB90" s="42" t="str">
        <v xml:space="preserve">Marseilles </v>
      </c>
      <c r="AC90" s="89" t="str">
        <f t="shared" si="7"/>
        <v xml:space="preserve">Marseilles </v>
      </c>
      <c r="AE90" s="42">
        <v>1930</v>
      </c>
      <c r="AK90" s="42">
        <v>3</v>
      </c>
      <c r="AL90" s="42">
        <v>0</v>
      </c>
      <c r="AV90" s="37" t="str">
        <v>ROUND_OF_16</v>
      </c>
      <c r="AW90" s="89" t="str">
        <v>GROUP_STAGE</v>
      </c>
      <c r="BE90" s="43" t="str">
        <f>IF(OR(DATA_CLEANED!AL81="",DATA_CLEANED!AM81=""),"MANQUANT",IF(OR(NOT(ISNUMBER(DATA_CLEANED!AL81)),NOT(ISNUMBER(DATA_CLEANED!AM81))),"ENTREE INVALIDE",IF(OR(DATA_CLEANED!AL81&lt;0,DATA_CLEANED!AM81&lt;0),"SCORE NEGATIF","OK")))</f>
        <v>OK</v>
      </c>
      <c r="BF90" s="43" t="str">
        <f>IF(DATA_CLEANED!AK81&lt;&gt;DATA_CLEANED!AN81,"OK","ERREUR")</f>
        <v>OK</v>
      </c>
      <c r="BG90" s="43" t="str">
        <f>IF(DATA_CLEANED!AL81&gt;DATA_CLEANED!AM81,DATA_CLEANED!AK81,IF(AND(DATA_QUALITE!W4567="-",DATA_CLEANED!AM81=DATA_CLEANED!AL81),"MATCH NUL",IF(AND(DATA_QUALITE!V4567="-",DATA_QUALITE!U4567="AUCUNE"),DATA_QUALITE!T4567,IF(DATA_QUALITE!V4567&lt;&gt;"-",DATA_QUALITE!V4567,DATA_CLEANED!AN81))))</f>
        <v>Yugoslavia</v>
      </c>
      <c r="BH90" s="103" t="str">
        <f>IF(AND(BG90="MATCH NUL",DATA_CLEANED!AO81="-"),"MATCH_NUL",IF(ISNUMBER(SEARCH("win on penalties",W4567)),"WIN_BY_PENALTY",IF(ISNUMBER(SEARCH("win after extra time",W4567)),"WIN_BY_EXTRA_TIME",IF(ISNUMBER(SEARCH("Golden Goal",W4567)),"WIN_BY_GOLDEN_GOAL","WIN_BY_SCORE"))))</f>
        <v>WIN_BY_SCORE</v>
      </c>
      <c r="BI90" s="99" t="str">
        <f>IF(OR(BG90=DATA_CLEANED!AK81,BG90=DATA_CLEANED!AN81,BG90="MATCH NUL"),"OK","ERREUR")</f>
        <v>OK</v>
      </c>
    </row>
    <row r="91" spans="1:61">
      <c r="B91" s="74">
        <v>1982</v>
      </c>
      <c r="C91" s="30" t="str">
        <v>Semi-finals</v>
      </c>
      <c r="D91" s="30" t="str">
        <v>West Germany</v>
      </c>
      <c r="E91" s="30" t="str">
        <v>France</v>
      </c>
      <c r="F91" s="30" t="str">
        <v>France</v>
      </c>
      <c r="G91" s="30" t="str">
        <v>Michel Platini</v>
      </c>
      <c r="H91" s="30" t="str">
        <v>Harald Schumacher</v>
      </c>
      <c r="I91" s="30">
        <v>9</v>
      </c>
      <c r="J91" s="30">
        <v>5</v>
      </c>
      <c r="K91" s="30" t="str">
        <v>'3-3</v>
      </c>
      <c r="L91" s="30" t="str">
        <v>No</v>
      </c>
      <c r="M91" s="30" t="str">
        <v>No</v>
      </c>
      <c r="N91" s="30" t="str">
        <v>Goal</v>
      </c>
      <c r="O91" s="30" t="str">
        <f t="shared" si="14"/>
        <v>1982|Semi-finals|West Germany|France|France|Michel Platini|Harald Schumacher|9|5|'3-3|No|No|Goal</v>
      </c>
      <c r="P91" s="96" t="str">
        <f>IF(COUNTIF($G$32:O91,O91)&gt;1,"DOUBLON","OK")</f>
        <v>OK</v>
      </c>
      <c r="R91" s="23" t="s">
        <v>3733</v>
      </c>
      <c r="S91" s="30" t="str">
        <v>Brazil</v>
      </c>
      <c r="T91" s="30" t="str">
        <f t="shared" si="9"/>
        <v>OK</v>
      </c>
      <c r="U91" s="30" t="str">
        <f t="shared" si="10"/>
        <v>-</v>
      </c>
      <c r="V91" s="30" t="str" cm="1">
        <f t="array" ref="V91">_xlfn.IFS(
ISNUMBER(SEARCH("USA",S91)),"United States",
ISNUMBER(SEARCH("Republic of Korea",S91)),"South Korea",
ISNUMBER(SEARCH("Cape Verde",S91)),"Cabo Verde",
ISNUMBER(SEARCH("Czechia",S91)),"Czech Republic",
ISNUMBER(SEARCH("Türkiye",S91)),"Turkey",
ISNUMBER(SEARCH("Ivory Coast",S91)),"Côte d'Ivoire",
ISNUMBER(SEARCH("Korea Republic",S91)),"South Korea",
ISNUMBER(SEARCH("Germany FR",S91)),"FR Germany",
ISNUMBER(SEARCH("West Germany",S91)),"FR Germany",
ISNUMBER(SEARCH("Germany DR",S91)),"DR Germany",
ISNUMBER(SEARCH("Korea DPR",S91)),"North Korea",
ISNUMBER(SEARCH("China PR",S91)),"China",
ISNUMBER(SEARCH("IR Iran",S91)),"Iran",
ISNUMBER(SEARCH("Congo DR",S91)),"Democratic Republic of the Congo",
ISNUMBER(SEARCH("DR Congo",S91)),"Democratic Republic of the Congo",
ISNUMBER(SEARCH("German DR",S91)),"DR Germany",
ISNUMBER(SEARCH("rn""&gt;United Arab Emirates",S91)),"United Arab Emirates",
ISNUMBER(SEARCH("rn""&gt;Republic of Ireland",S91)),"Ireland",
ISNUMBER(SEARCH("rn""&gt;Bosnia and Herzegovina",S91)),"Bosnia and Herzegovina",
ISNUMBER(SEARCH("rn""&gt;Trinidad and Tobago",S91)),"Trinidad and Tobago",
ISNUMBER(SEARCH("rn""&gt;Serbia and Montenegro",S91)),"Serbia and Montenegro",
ISNUMBER(SEARCH(_xlfn.UNICHAR(65533),S91)),"Côte d'Ivoire",
TRUE,""
)</f>
        <v/>
      </c>
      <c r="W91" s="37" t="str">
        <f t="shared" si="13"/>
        <v>Brazil</v>
      </c>
      <c r="X91" s="95" t="str">
        <v>Switzerland</v>
      </c>
      <c r="Z91" s="40" t="str">
        <v>Stade du Parc Lescure</v>
      </c>
      <c r="AA91" s="40" t="str" cm="1">
        <f t="array" ref="AA91">IFERROR(_xlfn.XLOOKUP(Z91,_xlfn.ANCHORARRAY(Z$31),AA$31:AA$37),Z91)</f>
        <v>Stade du Parc Lescure</v>
      </c>
      <c r="AB91" s="42" t="str">
        <v xml:space="preserve">Bordeaux </v>
      </c>
      <c r="AC91" s="89" t="str">
        <f t="shared" si="7"/>
        <v xml:space="preserve">Bordeaux </v>
      </c>
      <c r="AE91" s="42">
        <v>1930</v>
      </c>
      <c r="AK91" s="42">
        <v>1</v>
      </c>
      <c r="AL91" s="42">
        <v>0</v>
      </c>
      <c r="AV91" s="37" t="str">
        <v>ROUND_OF_16</v>
      </c>
      <c r="AW91" s="89" t="str">
        <v>GROUP_STAGE</v>
      </c>
      <c r="BE91" s="43" t="str">
        <f>IF(OR(DATA_CLEANED!AL82="",DATA_CLEANED!AM82=""),"MANQUANT",IF(OR(NOT(ISNUMBER(DATA_CLEANED!AL82)),NOT(ISNUMBER(DATA_CLEANED!AM82))),"ENTREE INVALIDE",IF(OR(DATA_CLEANED!AL82&lt;0,DATA_CLEANED!AM82&lt;0),"SCORE NEGATIF","OK")))</f>
        <v>OK</v>
      </c>
      <c r="BF91" s="43" t="str">
        <f>IF(DATA_CLEANED!AK82&lt;&gt;DATA_CLEANED!AN82,"OK","ERREUR")</f>
        <v>OK</v>
      </c>
      <c r="BG91" s="43" t="str">
        <f>IF(DATA_CLEANED!AL82&gt;DATA_CLEANED!AM82,DATA_CLEANED!AK82,IF(AND(DATA_QUALITE!W4568="-",DATA_CLEANED!AM82=DATA_CLEANED!AL82),"MATCH NUL",IF(AND(DATA_QUALITE!V4568="-",DATA_QUALITE!U4568="AUCUNE"),DATA_QUALITE!T4568,IF(DATA_QUALITE!V4568&lt;&gt;"-",DATA_QUALITE!V4568,DATA_CLEANED!AN82))))</f>
        <v>FR Germany</v>
      </c>
      <c r="BH91" s="103" t="str">
        <f>IF(AND(BG91="MATCH NUL",DATA_CLEANED!AO82="-"),"MATCH_NUL",IF(ISNUMBER(SEARCH("win on penalties",W4568)),"WIN_BY_PENALTY",IF(ISNUMBER(SEARCH("win after extra time",W4568)),"WIN_BY_EXTRA_TIME",IF(ISNUMBER(SEARCH("Golden Goal",W4568)),"WIN_BY_GOLDEN_GOAL","WIN_BY_SCORE"))))</f>
        <v>WIN_BY_SCORE</v>
      </c>
      <c r="BI91" s="99" t="str">
        <f>IF(OR(BG91=DATA_CLEANED!AK82,BG91=DATA_CLEANED!AN82,BG91="MATCH NUL"),"OK","ERREUR")</f>
        <v>OK</v>
      </c>
    </row>
    <row r="92" spans="1:61">
      <c r="B92" s="74">
        <v>1982</v>
      </c>
      <c r="C92" s="30" t="str">
        <v>Semi-finals</v>
      </c>
      <c r="D92" s="30" t="str">
        <v>West Germany</v>
      </c>
      <c r="E92" s="30" t="str">
        <v>France</v>
      </c>
      <c r="F92" s="30" t="str">
        <v>West Germany</v>
      </c>
      <c r="G92" s="30" t="str">
        <v>Karl-Heinz Rummenigge</v>
      </c>
      <c r="H92" s="30" t="str">
        <v>Jean-Luc Ettori</v>
      </c>
      <c r="I92" s="30">
        <v>10</v>
      </c>
      <c r="J92" s="30">
        <v>5</v>
      </c>
      <c r="K92" s="30" t="str">
        <v>'3-4</v>
      </c>
      <c r="L92" s="30" t="str">
        <v>Yes</v>
      </c>
      <c r="M92" s="30" t="str">
        <v>No</v>
      </c>
      <c r="N92" s="30" t="str">
        <v>Goal</v>
      </c>
      <c r="O92" s="30" t="str">
        <f t="shared" si="14"/>
        <v>1982|Semi-finals|West Germany|France|West Germany|Karl-Heinz Rummenigge|Jean-Luc Ettori|10|5|'3-4|Yes|No|Goal</v>
      </c>
      <c r="P92" s="96" t="str">
        <f>IF(COUNTIF($G$32:O92,O92)&gt;1,"DOUBLON","OK")</f>
        <v>OK</v>
      </c>
      <c r="R92" s="23" t="s">
        <v>3633</v>
      </c>
      <c r="S92" s="30" t="str">
        <v>Brazil</v>
      </c>
      <c r="T92" s="30" t="str">
        <f t="shared" si="9"/>
        <v>OK</v>
      </c>
      <c r="U92" s="30" t="str">
        <f t="shared" si="10"/>
        <v>-</v>
      </c>
      <c r="V92" s="30" t="str" cm="1">
        <f t="array" ref="V92">_xlfn.IFS(
ISNUMBER(SEARCH("USA",S92)),"United States",
ISNUMBER(SEARCH("Republic of Korea",S92)),"South Korea",
ISNUMBER(SEARCH("Cape Verde",S92)),"Cabo Verde",
ISNUMBER(SEARCH("Czechia",S92)),"Czech Republic",
ISNUMBER(SEARCH("Türkiye",S92)),"Turkey",
ISNUMBER(SEARCH("Ivory Coast",S92)),"Côte d'Ivoire",
ISNUMBER(SEARCH("Korea Republic",S92)),"South Korea",
ISNUMBER(SEARCH("Germany FR",S92)),"FR Germany",
ISNUMBER(SEARCH("West Germany",S92)),"FR Germany",
ISNUMBER(SEARCH("Germany DR",S92)),"DR Germany",
ISNUMBER(SEARCH("Korea DPR",S92)),"North Korea",
ISNUMBER(SEARCH("China PR",S92)),"China",
ISNUMBER(SEARCH("IR Iran",S92)),"Iran",
ISNUMBER(SEARCH("Congo DR",S92)),"Democratic Republic of the Congo",
ISNUMBER(SEARCH("DR Congo",S92)),"Democratic Republic of the Congo",
ISNUMBER(SEARCH("German DR",S92)),"DR Germany",
ISNUMBER(SEARCH("rn""&gt;United Arab Emirates",S92)),"United Arab Emirates",
ISNUMBER(SEARCH("rn""&gt;Republic of Ireland",S92)),"Ireland",
ISNUMBER(SEARCH("rn""&gt;Bosnia and Herzegovina",S92)),"Bosnia and Herzegovina",
ISNUMBER(SEARCH("rn""&gt;Trinidad and Tobago",S92)),"Trinidad and Tobago",
ISNUMBER(SEARCH("rn""&gt;Serbia and Montenegro",S92)),"Serbia and Montenegro",
ISNUMBER(SEARCH(_xlfn.UNICHAR(65533),S92)),"Côte d'Ivoire",
TRUE,""
)</f>
        <v/>
      </c>
      <c r="W92" s="37" t="str">
        <f t="shared" si="13"/>
        <v>Brazil</v>
      </c>
      <c r="X92" s="95" t="str">
        <v>Togo</v>
      </c>
      <c r="Z92" s="40" t="str">
        <v>Stade Olympique</v>
      </c>
      <c r="AA92" s="40" t="str" cm="1">
        <f t="array" ref="AA92">IFERROR(_xlfn.XLOOKUP(Z92,_xlfn.ANCHORARRAY(Z$31),AA$31:AA$37),Z92)</f>
        <v>Stade Olympique</v>
      </c>
      <c r="AB92" s="42" t="str">
        <v xml:space="preserve">Colombes </v>
      </c>
      <c r="AC92" s="89" t="str">
        <f t="shared" si="7"/>
        <v xml:space="preserve">Colombes </v>
      </c>
      <c r="AE92" s="42">
        <v>1930</v>
      </c>
      <c r="AK92" s="42">
        <v>1</v>
      </c>
      <c r="AL92" s="42">
        <v>0</v>
      </c>
      <c r="AV92" s="37" t="str">
        <v>ROUND_OF_16</v>
      </c>
      <c r="AW92" s="89" t="str">
        <v>GROUP_STAGE</v>
      </c>
      <c r="BE92" s="43" t="str">
        <f>IF(OR(DATA_CLEANED!AL83="",DATA_CLEANED!AM83=""),"MANQUANT",IF(OR(NOT(ISNUMBER(DATA_CLEANED!AL83)),NOT(ISNUMBER(DATA_CLEANED!AM83))),"ENTREE INVALIDE",IF(OR(DATA_CLEANED!AL83&lt;0,DATA_CLEANED!AM83&lt;0),"SCORE NEGATIF","OK")))</f>
        <v>OK</v>
      </c>
      <c r="BF92" s="43" t="str">
        <f>IF(DATA_CLEANED!AK83&lt;&gt;DATA_CLEANED!AN83,"OK","ERREUR")</f>
        <v>OK</v>
      </c>
      <c r="BG92" s="43" t="str">
        <f>IF(DATA_CLEANED!AL83&gt;DATA_CLEANED!AM83,DATA_CLEANED!AK83,IF(AND(DATA_QUALITE!W4569="-",DATA_CLEANED!AM83=DATA_CLEANED!AL83),"MATCH NUL",IF(AND(DATA_QUALITE!V4569="-",DATA_QUALITE!U4569="AUCUNE"),DATA_QUALITE!T4569,IF(DATA_QUALITE!V4569&lt;&gt;"-",DATA_QUALITE!V4569,DATA_CLEANED!AN83))))</f>
        <v>Hungary</v>
      </c>
      <c r="BH92" s="103" t="str">
        <f>IF(AND(BG92="MATCH NUL",DATA_CLEANED!AO83="-"),"MATCH_NUL",IF(ISNUMBER(SEARCH("win on penalties",W4569)),"WIN_BY_PENALTY",IF(ISNUMBER(SEARCH("win after extra time",W4569)),"WIN_BY_EXTRA_TIME",IF(ISNUMBER(SEARCH("Golden Goal",W4569)),"WIN_BY_GOLDEN_GOAL","WIN_BY_SCORE"))))</f>
        <v>WIN_BY_SCORE</v>
      </c>
      <c r="BI92" s="99" t="str">
        <f>IF(OR(BG92=DATA_CLEANED!AK83,BG92=DATA_CLEANED!AN83,BG92="MATCH NUL"),"OK","ERREUR")</f>
        <v>OK</v>
      </c>
    </row>
    <row r="93" spans="1:61">
      <c r="B93" s="74">
        <v>1982</v>
      </c>
      <c r="C93" s="30" t="str">
        <v>Semi-finals</v>
      </c>
      <c r="D93" s="30" t="str">
        <v>West Germany</v>
      </c>
      <c r="E93" s="30" t="str">
        <v>France</v>
      </c>
      <c r="F93" s="30" t="str">
        <v>France</v>
      </c>
      <c r="G93" s="30" t="str">
        <v>Maxime Bossis</v>
      </c>
      <c r="H93" s="30" t="str">
        <v>Harald Schumacher</v>
      </c>
      <c r="I93" s="30">
        <v>11</v>
      </c>
      <c r="J93" s="30">
        <v>6</v>
      </c>
      <c r="K93" s="30" t="str">
        <v>'4-4</v>
      </c>
      <c r="L93" s="30" t="str">
        <v>No</v>
      </c>
      <c r="M93" s="30" t="str">
        <v>No</v>
      </c>
      <c r="N93" s="30" t="str">
        <v>Saved</v>
      </c>
      <c r="O93" s="30" t="str">
        <f t="shared" si="14"/>
        <v>1982|Semi-finals|West Germany|France|France|Maxime Bossis|Harald Schumacher|11|6|'4-4|No|No|Saved</v>
      </c>
      <c r="P93" s="96" t="str">
        <f>IF(COUNTIF($G$32:O93,O93)&gt;1,"DOUBLON","OK")</f>
        <v>OK</v>
      </c>
      <c r="R93" s="23" t="s">
        <v>18</v>
      </c>
      <c r="S93" s="30" t="str">
        <v>Brazil</v>
      </c>
      <c r="T93" s="30" t="str">
        <f t="shared" si="9"/>
        <v>OK</v>
      </c>
      <c r="U93" s="30" t="str">
        <f t="shared" si="10"/>
        <v>-</v>
      </c>
      <c r="V93" s="30" t="str" cm="1">
        <f t="array" ref="V93">_xlfn.IFS(
ISNUMBER(SEARCH("USA",S93)),"United States",
ISNUMBER(SEARCH("Republic of Korea",S93)),"South Korea",
ISNUMBER(SEARCH("Cape Verde",S93)),"Cabo Verde",
ISNUMBER(SEARCH("Czechia",S93)),"Czech Republic",
ISNUMBER(SEARCH("Türkiye",S93)),"Turkey",
ISNUMBER(SEARCH("Ivory Coast",S93)),"Côte d'Ivoire",
ISNUMBER(SEARCH("Korea Republic",S93)),"South Korea",
ISNUMBER(SEARCH("Germany FR",S93)),"FR Germany",
ISNUMBER(SEARCH("West Germany",S93)),"FR Germany",
ISNUMBER(SEARCH("Germany DR",S93)),"DR Germany",
ISNUMBER(SEARCH("Korea DPR",S93)),"North Korea",
ISNUMBER(SEARCH("China PR",S93)),"China",
ISNUMBER(SEARCH("IR Iran",S93)),"Iran",
ISNUMBER(SEARCH("Congo DR",S93)),"Democratic Republic of the Congo",
ISNUMBER(SEARCH("DR Congo",S93)),"Democratic Republic of the Congo",
ISNUMBER(SEARCH("German DR",S93)),"DR Germany",
ISNUMBER(SEARCH("rn""&gt;United Arab Emirates",S93)),"United Arab Emirates",
ISNUMBER(SEARCH("rn""&gt;Republic of Ireland",S93)),"Ireland",
ISNUMBER(SEARCH("rn""&gt;Bosnia and Herzegovina",S93)),"Bosnia and Herzegovina",
ISNUMBER(SEARCH("rn""&gt;Trinidad and Tobago",S93)),"Trinidad and Tobago",
ISNUMBER(SEARCH("rn""&gt;Serbia and Montenegro",S93)),"Serbia and Montenegro",
ISNUMBER(SEARCH(_xlfn.UNICHAR(65533),S93)),"Côte d'Ivoire",
TRUE,""
)</f>
        <v/>
      </c>
      <c r="W93" s="37" t="str">
        <f t="shared" si="13"/>
        <v>Brazil</v>
      </c>
      <c r="X93" s="95" t="str">
        <v>Trinidad and Tobago</v>
      </c>
      <c r="Z93" s="40" t="str">
        <v>Maracan� - Est�dio Jornalista M�rio Filho</v>
      </c>
      <c r="AA93" s="40" t="str" cm="1">
        <f t="array" ref="AA93">IFERROR(_xlfn.XLOOKUP(Z93,_xlfn.ANCHORARRAY(Z$31),AA$31:AA$37),Z93)</f>
        <v>Maracanã - Estádio Jornalista Mário Filho</v>
      </c>
      <c r="AB93" s="42" t="str">
        <v xml:space="preserve">Rio De Janeiro </v>
      </c>
      <c r="AC93" s="89" t="str">
        <f t="shared" si="7"/>
        <v xml:space="preserve">Rio De Janeiro </v>
      </c>
      <c r="AE93" s="42">
        <v>1930</v>
      </c>
      <c r="AK93" s="42">
        <v>6</v>
      </c>
      <c r="AL93" s="42">
        <v>3</v>
      </c>
      <c r="AV93" s="37" t="str">
        <v>ROUND_OF_16</v>
      </c>
      <c r="AW93" s="89" t="str">
        <v>GROUP_STAGE</v>
      </c>
      <c r="BE93" s="43" t="str">
        <f>IF(OR(DATA_CLEANED!AL84="",DATA_CLEANED!AM84=""),"MANQUANT",IF(OR(NOT(ISNUMBER(DATA_CLEANED!AL84)),NOT(ISNUMBER(DATA_CLEANED!AM84))),"ENTREE INVALIDE",IF(OR(DATA_CLEANED!AL84&lt;0,DATA_CLEANED!AM84&lt;0),"SCORE NEGATIF","OK")))</f>
        <v>OK</v>
      </c>
      <c r="BF93" s="43" t="str">
        <f>IF(DATA_CLEANED!AK84&lt;&gt;DATA_CLEANED!AN84,"OK","ERREUR")</f>
        <v>OK</v>
      </c>
      <c r="BG93" s="43" t="str">
        <f>IF(DATA_CLEANED!AL84&gt;DATA_CLEANED!AM84,DATA_CLEANED!AK84,IF(AND(DATA_QUALITE!W4570="-",DATA_CLEANED!AM84=DATA_CLEANED!AL84),"MATCH NUL",IF(AND(DATA_QUALITE!V4570="-",DATA_QUALITE!U4570="AUCUNE"),DATA_QUALITE!T4570,IF(DATA_QUALITE!V4570&lt;&gt;"-",DATA_QUALITE!V4570,DATA_CLEANED!AN84))))</f>
        <v>MATCH NUL</v>
      </c>
      <c r="BH93" s="103" t="str">
        <f>IF(AND(BG93="MATCH NUL",DATA_CLEANED!AO84="-"),"MATCH_NUL",IF(ISNUMBER(SEARCH("win on penalties",W4570)),"WIN_BY_PENALTY",IF(ISNUMBER(SEARCH("win after extra time",W4570)),"WIN_BY_EXTRA_TIME",IF(ISNUMBER(SEARCH("Golden Goal",W4570)),"WIN_BY_GOLDEN_GOAL","WIN_BY_SCORE"))))</f>
        <v>MATCH_NUL</v>
      </c>
      <c r="BI93" s="99" t="str">
        <f>IF(OR(BG93=DATA_CLEANED!AK84,BG93=DATA_CLEANED!AN84,BG93="MATCH NUL"),"OK","ERREUR")</f>
        <v>OK</v>
      </c>
    </row>
    <row r="94" spans="1:61">
      <c r="B94" s="74">
        <v>1982</v>
      </c>
      <c r="C94" s="30" t="str">
        <v>Semi-finals</v>
      </c>
      <c r="D94" s="30" t="str">
        <v>West Germany</v>
      </c>
      <c r="E94" s="30" t="str">
        <v>France</v>
      </c>
      <c r="F94" s="30" t="str">
        <v>West Germany</v>
      </c>
      <c r="G94" s="30" t="str">
        <v>Horst Hrubesch</v>
      </c>
      <c r="H94" s="30" t="str">
        <v>Jean-Luc Ettori</v>
      </c>
      <c r="I94" s="30">
        <v>12</v>
      </c>
      <c r="J94" s="30">
        <v>6</v>
      </c>
      <c r="K94" s="30" t="str">
        <v>'4-4</v>
      </c>
      <c r="L94" s="30" t="str">
        <v>No</v>
      </c>
      <c r="M94" s="30" t="str">
        <v>Yes</v>
      </c>
      <c r="N94" s="30" t="str">
        <v>Goal</v>
      </c>
      <c r="O94" s="30" t="str">
        <f t="shared" si="14"/>
        <v>1982|Semi-finals|West Germany|France|West Germany|Horst Hrubesch|Jean-Luc Ettori|12|6|'4-4|No|Yes|Goal</v>
      </c>
      <c r="P94" s="96" t="str">
        <f>IF(COUNTIF($G$32:O94,O94)&gt;1,"DOUBLON","OK")</f>
        <v>OK</v>
      </c>
      <c r="R94" s="23" t="s">
        <v>73</v>
      </c>
      <c r="S94" s="30" t="str">
        <v>Brazil</v>
      </c>
      <c r="T94" s="30" t="str">
        <f t="shared" si="9"/>
        <v>OK</v>
      </c>
      <c r="U94" s="30" t="str">
        <f t="shared" si="10"/>
        <v>-</v>
      </c>
      <c r="V94" s="30" t="str" cm="1">
        <f t="array" ref="V94">_xlfn.IFS(
ISNUMBER(SEARCH("USA",S94)),"United States",
ISNUMBER(SEARCH("Republic of Korea",S94)),"South Korea",
ISNUMBER(SEARCH("Cape Verde",S94)),"Cabo Verde",
ISNUMBER(SEARCH("Czechia",S94)),"Czech Republic",
ISNUMBER(SEARCH("Türkiye",S94)),"Turkey",
ISNUMBER(SEARCH("Ivory Coast",S94)),"Côte d'Ivoire",
ISNUMBER(SEARCH("Korea Republic",S94)),"South Korea",
ISNUMBER(SEARCH("Germany FR",S94)),"FR Germany",
ISNUMBER(SEARCH("West Germany",S94)),"FR Germany",
ISNUMBER(SEARCH("Germany DR",S94)),"DR Germany",
ISNUMBER(SEARCH("Korea DPR",S94)),"North Korea",
ISNUMBER(SEARCH("China PR",S94)),"China",
ISNUMBER(SEARCH("IR Iran",S94)),"Iran",
ISNUMBER(SEARCH("Congo DR",S94)),"Democratic Republic of the Congo",
ISNUMBER(SEARCH("DR Congo",S94)),"Democratic Republic of the Congo",
ISNUMBER(SEARCH("German DR",S94)),"DR Germany",
ISNUMBER(SEARCH("rn""&gt;United Arab Emirates",S94)),"United Arab Emirates",
ISNUMBER(SEARCH("rn""&gt;Republic of Ireland",S94)),"Ireland",
ISNUMBER(SEARCH("rn""&gt;Bosnia and Herzegovina",S94)),"Bosnia and Herzegovina",
ISNUMBER(SEARCH("rn""&gt;Trinidad and Tobago",S94)),"Trinidad and Tobago",
ISNUMBER(SEARCH("rn""&gt;Serbia and Montenegro",S94)),"Serbia and Montenegro",
ISNUMBER(SEARCH(_xlfn.UNICHAR(65533),S94)),"Côte d'Ivoire",
TRUE,""
)</f>
        <v/>
      </c>
      <c r="W94" s="37" t="str">
        <f t="shared" si="13"/>
        <v>Brazil</v>
      </c>
      <c r="X94" s="95" t="str">
        <v>Tunisia</v>
      </c>
      <c r="Z94" s="40" t="str">
        <v>Maracan� - Est�dio Jornalista M�rio Filho</v>
      </c>
      <c r="AA94" s="40" t="str" cm="1">
        <f t="array" ref="AA94">IFERROR(_xlfn.XLOOKUP(Z94,_xlfn.ANCHORARRAY(Z$31),AA$31:AA$37),Z94)</f>
        <v>Maracanã - Estádio Jornalista Mário Filho</v>
      </c>
      <c r="AB94" s="42" t="str">
        <v xml:space="preserve">Rio De Janeiro </v>
      </c>
      <c r="AC94" s="89" t="str">
        <f t="shared" si="7"/>
        <v xml:space="preserve">Rio De Janeiro </v>
      </c>
      <c r="AE94" s="42">
        <v>1930</v>
      </c>
      <c r="AK94" s="42">
        <v>4</v>
      </c>
      <c r="AL94" s="42">
        <v>0</v>
      </c>
      <c r="AV94" s="37" t="str">
        <v>ROUND_OF_16</v>
      </c>
      <c r="AW94" s="89" t="str">
        <v>GROUP_STAGE</v>
      </c>
      <c r="BE94" s="43" t="str">
        <f>IF(OR(DATA_CLEANED!AL85="",DATA_CLEANED!AM85=""),"MANQUANT",IF(OR(NOT(ISNUMBER(DATA_CLEANED!AL85)),NOT(ISNUMBER(DATA_CLEANED!AM85))),"ENTREE INVALIDE",IF(OR(DATA_CLEANED!AL85&lt;0,DATA_CLEANED!AM85&lt;0),"SCORE NEGATIF","OK")))</f>
        <v>OK</v>
      </c>
      <c r="BF94" s="43" t="str">
        <f>IF(DATA_CLEANED!AK85&lt;&gt;DATA_CLEANED!AN85,"OK","ERREUR")</f>
        <v>OK</v>
      </c>
      <c r="BG94" s="43" t="str">
        <f>IF(DATA_CLEANED!AL85&gt;DATA_CLEANED!AM85,DATA_CLEANED!AK85,IF(AND(DATA_QUALITE!W4571="-",DATA_CLEANED!AM85=DATA_CLEANED!AL85),"MATCH NUL",IF(AND(DATA_QUALITE!V4571="-",DATA_QUALITE!U4571="AUCUNE"),DATA_QUALITE!T4571,IF(DATA_QUALITE!V4571&lt;&gt;"-",DATA_QUALITE!V4571,DATA_CLEANED!AN85))))</f>
        <v>Switzerland</v>
      </c>
      <c r="BH94" s="103" t="str">
        <f>IF(AND(BG94="MATCH NUL",DATA_CLEANED!AO85="-"),"MATCH_NUL",IF(ISNUMBER(SEARCH("win on penalties",W4571)),"WIN_BY_PENALTY",IF(ISNUMBER(SEARCH("win after extra time",W4571)),"WIN_BY_EXTRA_TIME",IF(ISNUMBER(SEARCH("Golden Goal",W4571)),"WIN_BY_GOLDEN_GOAL","WIN_BY_SCORE"))))</f>
        <v>WIN_BY_SCORE</v>
      </c>
      <c r="BI94" s="99" t="str">
        <f>IF(OR(BG94=DATA_CLEANED!AK85,BG94=DATA_CLEANED!AN85,BG94="MATCH NUL"),"OK","ERREUR")</f>
        <v>OK</v>
      </c>
    </row>
    <row r="95" spans="1:61">
      <c r="B95" s="74">
        <v>1986</v>
      </c>
      <c r="C95" s="30" t="str">
        <v>Quarter-finals</v>
      </c>
      <c r="D95" s="30" t="str">
        <v>Belgium</v>
      </c>
      <c r="E95" s="30" t="str">
        <v>Spain</v>
      </c>
      <c r="F95" s="30" t="str">
        <v>Belgium</v>
      </c>
      <c r="G95" s="30" t="str">
        <v>Franky Vercauteren</v>
      </c>
      <c r="H95" s="30" t="str">
        <v>Andoni Zubizarreta</v>
      </c>
      <c r="I95" s="30">
        <v>1</v>
      </c>
      <c r="J95" s="30">
        <v>1</v>
      </c>
      <c r="K95" s="30" t="str">
        <v>'0-0</v>
      </c>
      <c r="L95" s="30" t="str">
        <v>No</v>
      </c>
      <c r="M95" s="30" t="str">
        <v>No</v>
      </c>
      <c r="N95" s="30" t="str">
        <v>Goal</v>
      </c>
      <c r="O95" s="30" t="str">
        <f t="shared" si="14"/>
        <v>1986|Quarter-finals|Belgium|Spain|Belgium|Franky Vercauteren|Andoni Zubizarreta|1|1|'0-0|No|No|Goal</v>
      </c>
      <c r="P95" s="96" t="str">
        <f>IF(COUNTIF($G$32:O95,O95)&gt;1,"DOUBLON","OK")</f>
        <v>OK</v>
      </c>
      <c r="R95" s="23" t="s">
        <v>3734</v>
      </c>
      <c r="S95" s="30" t="str">
        <v>West Germany</v>
      </c>
      <c r="T95" s="30" t="str">
        <f t="shared" ref="T95:T126" si="15">IF(COUNTIF(R$13:R$250,S95)=1,"OK","ERREUR")</f>
        <v>ERREUR</v>
      </c>
      <c r="U95" s="30" t="str">
        <f t="shared" si="10"/>
        <v>RENOMMER</v>
      </c>
      <c r="V95" s="30" t="str" cm="1">
        <f t="array" ref="V95">_xlfn.IFS(
ISNUMBER(SEARCH("USA",S95)),"United States",
ISNUMBER(SEARCH("Republic of Korea",S95)),"South Korea",
ISNUMBER(SEARCH("Cape Verde",S95)),"Cabo Verde",
ISNUMBER(SEARCH("Czechia",S95)),"Czech Republic",
ISNUMBER(SEARCH("Türkiye",S95)),"Turkey",
ISNUMBER(SEARCH("Ivory Coast",S95)),"Côte d'Ivoire",
ISNUMBER(SEARCH("Korea Republic",S95)),"South Korea",
ISNUMBER(SEARCH("Germany FR",S95)),"FR Germany",
ISNUMBER(SEARCH("West Germany",S95)),"FR Germany",
ISNUMBER(SEARCH("Germany DR",S95)),"DR Germany",
ISNUMBER(SEARCH("Korea DPR",S95)),"North Korea",
ISNUMBER(SEARCH("China PR",S95)),"China",
ISNUMBER(SEARCH("IR Iran",S95)),"Iran",
ISNUMBER(SEARCH("Congo DR",S95)),"Democratic Republic of the Congo",
ISNUMBER(SEARCH("DR Congo",S95)),"Democratic Republic of the Congo",
ISNUMBER(SEARCH("German DR",S95)),"DR Germany",
ISNUMBER(SEARCH("rn""&gt;United Arab Emirates",S95)),"United Arab Emirates",
ISNUMBER(SEARCH("rn""&gt;Republic of Ireland",S95)),"Ireland",
ISNUMBER(SEARCH("rn""&gt;Bosnia and Herzegovina",S95)),"Bosnia and Herzegovina",
ISNUMBER(SEARCH("rn""&gt;Trinidad and Tobago",S95)),"Trinidad and Tobago",
ISNUMBER(SEARCH("rn""&gt;Serbia and Montenegro",S95)),"Serbia and Montenegro",
ISNUMBER(SEARCH(_xlfn.UNICHAR(65533),S95)),"Côte d'Ivoire",
TRUE,""
)</f>
        <v>FR Germany</v>
      </c>
      <c r="W95" s="37" t="str">
        <f t="shared" si="13"/>
        <v>FR Germany</v>
      </c>
      <c r="X95" s="95" t="str">
        <v>Turkey</v>
      </c>
      <c r="Z95" s="40" t="str">
        <v>Durival de Brito</v>
      </c>
      <c r="AA95" s="40" t="str" cm="1">
        <f t="array" ref="AA95">IFERROR(_xlfn.XLOOKUP(Z95,_xlfn.ANCHORARRAY(Z$31),AA$31:AA$37),Z95)</f>
        <v>Durival de Brito</v>
      </c>
      <c r="AB95" s="42" t="str">
        <v xml:space="preserve">Curitiba </v>
      </c>
      <c r="AC95" s="89" t="str">
        <f t="shared" si="7"/>
        <v xml:space="preserve">Curitiba </v>
      </c>
      <c r="AE95" s="42">
        <v>1930</v>
      </c>
      <c r="AK95" s="42">
        <v>1</v>
      </c>
      <c r="AL95" s="42">
        <v>0</v>
      </c>
      <c r="AV95" s="37" t="str">
        <v>ROUND_OF_16</v>
      </c>
      <c r="AW95" s="89" t="str">
        <v>GROUP_STAGE</v>
      </c>
      <c r="BE95" s="43" t="str">
        <f>IF(OR(DATA_CLEANED!AL86="",DATA_CLEANED!AM86=""),"MANQUANT",IF(OR(NOT(ISNUMBER(DATA_CLEANED!AL86)),NOT(ISNUMBER(DATA_CLEANED!AM86))),"ENTREE INVALIDE",IF(OR(DATA_CLEANED!AL86&lt;0,DATA_CLEANED!AM86&lt;0),"SCORE NEGATIF","OK")))</f>
        <v>OK</v>
      </c>
      <c r="BF95" s="43" t="str">
        <f>IF(DATA_CLEANED!AK86&lt;&gt;DATA_CLEANED!AN86,"OK","ERREUR")</f>
        <v>OK</v>
      </c>
      <c r="BG95" s="43" t="str">
        <f>IF(DATA_CLEANED!AL86&gt;DATA_CLEANED!AM86,DATA_CLEANED!AK86,IF(AND(DATA_QUALITE!W4572="-",DATA_CLEANED!AM86=DATA_CLEANED!AL86),"MATCH NUL",IF(AND(DATA_QUALITE!V4572="-",DATA_QUALITE!U4572="AUCUNE"),DATA_QUALITE!T4572,IF(DATA_QUALITE!V4572&lt;&gt;"-",DATA_QUALITE!V4572,DATA_CLEANED!AN86))))</f>
        <v>Uruguay</v>
      </c>
      <c r="BH95" s="103" t="str">
        <f>IF(AND(BG95="MATCH NUL",DATA_CLEANED!AO86="-"),"MATCH_NUL",IF(ISNUMBER(SEARCH("win on penalties",W4572)),"WIN_BY_PENALTY",IF(ISNUMBER(SEARCH("win after extra time",W4572)),"WIN_BY_EXTRA_TIME",IF(ISNUMBER(SEARCH("Golden Goal",W4572)),"WIN_BY_GOLDEN_GOAL","WIN_BY_SCORE"))))</f>
        <v>WIN_BY_SCORE</v>
      </c>
      <c r="BI95" s="99" t="str">
        <f>IF(OR(BG95=DATA_CLEANED!AK86,BG95=DATA_CLEANED!AN86,BG95="MATCH NUL"),"OK","ERREUR")</f>
        <v>OK</v>
      </c>
    </row>
    <row r="96" spans="1:61">
      <c r="B96" s="74">
        <v>1986</v>
      </c>
      <c r="C96" s="30" t="str">
        <v>Quarter-finals</v>
      </c>
      <c r="D96" s="30" t="str">
        <v>Belgium</v>
      </c>
      <c r="E96" s="30" t="str">
        <v>Spain</v>
      </c>
      <c r="F96" s="30" t="str">
        <v>Spain</v>
      </c>
      <c r="G96" s="30" t="str">
        <v>Señor</v>
      </c>
      <c r="H96" s="30" t="str">
        <v>Jean-Marie Pfaff</v>
      </c>
      <c r="I96" s="30">
        <v>2</v>
      </c>
      <c r="J96" s="30">
        <v>1</v>
      </c>
      <c r="K96" s="30" t="str">
        <v>'1-0</v>
      </c>
      <c r="L96" s="30" t="str">
        <v>No</v>
      </c>
      <c r="M96" s="30" t="str">
        <v>No</v>
      </c>
      <c r="N96" s="30" t="str">
        <v>Goal</v>
      </c>
      <c r="O96" s="30" t="str">
        <f t="shared" si="14"/>
        <v>1986|Quarter-finals|Belgium|Spain|Spain|Señor|Jean-Marie Pfaff|2|1|'1-0|No|No|Goal</v>
      </c>
      <c r="P96" s="96" t="str">
        <f>IF(COUNTIF($G$32:O96,O96)&gt;1,"DOUBLON","OK")</f>
        <v>OK</v>
      </c>
      <c r="R96" s="23" t="s">
        <v>59</v>
      </c>
      <c r="S96" s="30" t="str">
        <v>West Germany</v>
      </c>
      <c r="T96" s="30" t="str">
        <f t="shared" si="15"/>
        <v>ERREUR</v>
      </c>
      <c r="U96" s="30" t="str">
        <f t="shared" si="10"/>
        <v>RENOMMER</v>
      </c>
      <c r="V96" s="30" t="str" cm="1">
        <f t="array" ref="V96">_xlfn.IFS(
ISNUMBER(SEARCH("USA",S96)),"United States",
ISNUMBER(SEARCH("Republic of Korea",S96)),"South Korea",
ISNUMBER(SEARCH("Cape Verde",S96)),"Cabo Verde",
ISNUMBER(SEARCH("Czechia",S96)),"Czech Republic",
ISNUMBER(SEARCH("Türkiye",S96)),"Turkey",
ISNUMBER(SEARCH("Ivory Coast",S96)),"Côte d'Ivoire",
ISNUMBER(SEARCH("Korea Republic",S96)),"South Korea",
ISNUMBER(SEARCH("Germany FR",S96)),"FR Germany",
ISNUMBER(SEARCH("West Germany",S96)),"FR Germany",
ISNUMBER(SEARCH("Germany DR",S96)),"DR Germany",
ISNUMBER(SEARCH("Korea DPR",S96)),"North Korea",
ISNUMBER(SEARCH("China PR",S96)),"China",
ISNUMBER(SEARCH("IR Iran",S96)),"Iran",
ISNUMBER(SEARCH("Congo DR",S96)),"Democratic Republic of the Congo",
ISNUMBER(SEARCH("DR Congo",S96)),"Democratic Republic of the Congo",
ISNUMBER(SEARCH("German DR",S96)),"DR Germany",
ISNUMBER(SEARCH("rn""&gt;United Arab Emirates",S96)),"United Arab Emirates",
ISNUMBER(SEARCH("rn""&gt;Republic of Ireland",S96)),"Ireland",
ISNUMBER(SEARCH("rn""&gt;Bosnia and Herzegovina",S96)),"Bosnia and Herzegovina",
ISNUMBER(SEARCH("rn""&gt;Trinidad and Tobago",S96)),"Trinidad and Tobago",
ISNUMBER(SEARCH("rn""&gt;Serbia and Montenegro",S96)),"Serbia and Montenegro",
ISNUMBER(SEARCH(_xlfn.UNICHAR(65533),S96)),"Côte d'Ivoire",
TRUE,""
)</f>
        <v>FR Germany</v>
      </c>
      <c r="W96" s="37" t="str">
        <f t="shared" si="13"/>
        <v>FR Germany</v>
      </c>
      <c r="X96" s="95" t="str">
        <v>Ukraine</v>
      </c>
      <c r="Z96" s="40" t="str">
        <v>Pacaembu</v>
      </c>
      <c r="AA96" s="40" t="str" cm="1">
        <f t="array" ref="AA96">IFERROR(_xlfn.XLOOKUP(Z96,_xlfn.ANCHORARRAY(Z$31),AA$31:AA$37),Z96)</f>
        <v>Pacaembu</v>
      </c>
      <c r="AB96" s="42" t="str">
        <v xml:space="preserve">Sao Paulo </v>
      </c>
      <c r="AC96" s="89" t="str">
        <f t="shared" si="7"/>
        <v xml:space="preserve">Sao Paulo </v>
      </c>
      <c r="AE96" s="42">
        <v>1930</v>
      </c>
      <c r="AK96" s="42">
        <v>4</v>
      </c>
      <c r="AL96" s="42">
        <v>0</v>
      </c>
      <c r="AV96" s="37" t="str">
        <v>ROUND_OF_16</v>
      </c>
      <c r="AW96" s="89" t="str">
        <v>GROUP_STAGE</v>
      </c>
      <c r="BE96" s="43" t="str">
        <f>IF(OR(DATA_CLEANED!AL87="",DATA_CLEANED!AM87=""),"MANQUANT",IF(OR(NOT(ISNUMBER(DATA_CLEANED!AL87)),NOT(ISNUMBER(DATA_CLEANED!AM87))),"ENTREE INVALIDE",IF(OR(DATA_CLEANED!AL87&lt;0,DATA_CLEANED!AM87&lt;0),"SCORE NEGATIF","OK")))</f>
        <v>OK</v>
      </c>
      <c r="BF96" s="43" t="str">
        <f>IF(DATA_CLEANED!AK87&lt;&gt;DATA_CLEANED!AN87,"OK","ERREUR")</f>
        <v>OK</v>
      </c>
      <c r="BG96" s="43" t="str">
        <f>IF(DATA_CLEANED!AL87&gt;DATA_CLEANED!AM87,DATA_CLEANED!AK87,IF(AND(DATA_QUALITE!W4573="-",DATA_CLEANED!AM87=DATA_CLEANED!AL87),"MATCH NUL",IF(AND(DATA_QUALITE!V4573="-",DATA_QUALITE!U4573="AUCUNE"),DATA_QUALITE!T4573,IF(DATA_QUALITE!V4573&lt;&gt;"-",DATA_QUALITE!V4573,DATA_CLEANED!AN87))))</f>
        <v>Austria</v>
      </c>
      <c r="BH96" s="103" t="str">
        <f>IF(AND(BG96="MATCH NUL",DATA_CLEANED!AO87="-"),"MATCH_NUL",IF(ISNUMBER(SEARCH("win on penalties",W4573)),"WIN_BY_PENALTY",IF(ISNUMBER(SEARCH("win after extra time",W4573)),"WIN_BY_EXTRA_TIME",IF(ISNUMBER(SEARCH("Golden Goal",W4573)),"WIN_BY_GOLDEN_GOAL","WIN_BY_SCORE"))))</f>
        <v>WIN_BY_SCORE</v>
      </c>
      <c r="BI96" s="99" t="str">
        <f>IF(OR(BG96=DATA_CLEANED!AK87,BG96=DATA_CLEANED!AN87,BG96="MATCH NUL"),"OK","ERREUR")</f>
        <v>OK</v>
      </c>
    </row>
    <row r="97" spans="2:61">
      <c r="B97" s="74">
        <v>1986</v>
      </c>
      <c r="C97" s="30" t="str">
        <v>Quarter-finals</v>
      </c>
      <c r="D97" s="30" t="str">
        <v>Belgium</v>
      </c>
      <c r="E97" s="30" t="str">
        <v>Spain</v>
      </c>
      <c r="F97" s="30" t="str">
        <v>Belgium</v>
      </c>
      <c r="G97" s="30" t="str">
        <v>Enzo Scifo</v>
      </c>
      <c r="H97" s="30" t="str">
        <v>Andoni Zubizarreta</v>
      </c>
      <c r="I97" s="30">
        <v>3</v>
      </c>
      <c r="J97" s="30">
        <v>2</v>
      </c>
      <c r="K97" s="30" t="str">
        <v>'1-1</v>
      </c>
      <c r="L97" s="30" t="str">
        <v>No</v>
      </c>
      <c r="M97" s="30" t="str">
        <v>No</v>
      </c>
      <c r="N97" s="30" t="str">
        <v>Goal</v>
      </c>
      <c r="O97" s="30" t="str">
        <f t="shared" si="14"/>
        <v>1986|Quarter-finals|Belgium|Spain|Belgium|Enzo Scifo|Andoni Zubizarreta|3|2|'1-1|No|No|Goal</v>
      </c>
      <c r="P97" s="96" t="str">
        <f>IF(COUNTIF($G$32:O97,O97)&gt;1,"DOUBLON","OK")</f>
        <v>OK</v>
      </c>
      <c r="R97" s="23" t="s">
        <v>3735</v>
      </c>
      <c r="S97" s="30" t="str">
        <v>West Germany</v>
      </c>
      <c r="T97" s="30" t="str">
        <f t="shared" si="15"/>
        <v>ERREUR</v>
      </c>
      <c r="U97" s="30" t="str">
        <f t="shared" si="10"/>
        <v>RENOMMER</v>
      </c>
      <c r="V97" s="30" t="str" cm="1">
        <f t="array" ref="V97">_xlfn.IFS(
ISNUMBER(SEARCH("USA",S97)),"United States",
ISNUMBER(SEARCH("Republic of Korea",S97)),"South Korea",
ISNUMBER(SEARCH("Cape Verde",S97)),"Cabo Verde",
ISNUMBER(SEARCH("Czechia",S97)),"Czech Republic",
ISNUMBER(SEARCH("Türkiye",S97)),"Turkey",
ISNUMBER(SEARCH("Ivory Coast",S97)),"Côte d'Ivoire",
ISNUMBER(SEARCH("Korea Republic",S97)),"South Korea",
ISNUMBER(SEARCH("Germany FR",S97)),"FR Germany",
ISNUMBER(SEARCH("West Germany",S97)),"FR Germany",
ISNUMBER(SEARCH("Germany DR",S97)),"DR Germany",
ISNUMBER(SEARCH("Korea DPR",S97)),"North Korea",
ISNUMBER(SEARCH("China PR",S97)),"China",
ISNUMBER(SEARCH("IR Iran",S97)),"Iran",
ISNUMBER(SEARCH("Congo DR",S97)),"Democratic Republic of the Congo",
ISNUMBER(SEARCH("DR Congo",S97)),"Democratic Republic of the Congo",
ISNUMBER(SEARCH("German DR",S97)),"DR Germany",
ISNUMBER(SEARCH("rn""&gt;United Arab Emirates",S97)),"United Arab Emirates",
ISNUMBER(SEARCH("rn""&gt;Republic of Ireland",S97)),"Ireland",
ISNUMBER(SEARCH("rn""&gt;Bosnia and Herzegovina",S97)),"Bosnia and Herzegovina",
ISNUMBER(SEARCH("rn""&gt;Trinidad and Tobago",S97)),"Trinidad and Tobago",
ISNUMBER(SEARCH("rn""&gt;Serbia and Montenegro",S97)),"Serbia and Montenegro",
ISNUMBER(SEARCH(_xlfn.UNICHAR(65533),S97)),"Côte d'Ivoire",
TRUE,""
)</f>
        <v>FR Germany</v>
      </c>
      <c r="W97" s="37" t="str">
        <f t="shared" si="13"/>
        <v>FR Germany</v>
      </c>
      <c r="X97" s="95" t="str">
        <v>United Arab Emirates</v>
      </c>
      <c r="Z97" s="40" t="str">
        <v>Independencia</v>
      </c>
      <c r="AA97" s="40" t="str" cm="1">
        <f t="array" ref="AA97">IFERROR(_xlfn.XLOOKUP(Z97,_xlfn.ANCHORARRAY(Z$31),AA$31:AA$37),Z97)</f>
        <v>Independencia</v>
      </c>
      <c r="AB97" s="42" t="str">
        <v xml:space="preserve">Belo Horizonte </v>
      </c>
      <c r="AC97" s="89" t="str">
        <f t="shared" si="7"/>
        <v xml:space="preserve">Belo Horizonte </v>
      </c>
      <c r="AE97" s="42">
        <v>1930</v>
      </c>
      <c r="AK97" s="42">
        <v>3</v>
      </c>
      <c r="AL97" s="42">
        <v>1</v>
      </c>
      <c r="AV97" s="37" t="str">
        <v>QUARTER_FINALS</v>
      </c>
      <c r="AW97" s="89" t="str">
        <v>GROUP_STAGE</v>
      </c>
      <c r="BE97" s="43" t="str">
        <f>IF(OR(DATA_CLEANED!AL88="",DATA_CLEANED!AM88=""),"MANQUANT",IF(OR(NOT(ISNUMBER(DATA_CLEANED!AL88)),NOT(ISNUMBER(DATA_CLEANED!AM88))),"ENTREE INVALIDE",IF(OR(DATA_CLEANED!AL88&lt;0,DATA_CLEANED!AM88&lt;0),"SCORE NEGATIF","OK")))</f>
        <v>OK</v>
      </c>
      <c r="BF97" s="43" t="str">
        <f>IF(DATA_CLEANED!AK88&lt;&gt;DATA_CLEANED!AN88,"OK","ERREUR")</f>
        <v>OK</v>
      </c>
      <c r="BG97" s="43" t="str">
        <f>IF(DATA_CLEANED!AL88&gt;DATA_CLEANED!AM88,DATA_CLEANED!AK88,IF(AND(DATA_QUALITE!W4574="-",DATA_CLEANED!AM88=DATA_CLEANED!AL88),"MATCH NUL",IF(AND(DATA_QUALITE!V4574="-",DATA_QUALITE!U4574="AUCUNE"),DATA_QUALITE!T4574,IF(DATA_QUALITE!V4574&lt;&gt;"-",DATA_QUALITE!V4574,DATA_CLEANED!AN88))))</f>
        <v>France</v>
      </c>
      <c r="BH97" s="103" t="str">
        <f>IF(AND(BG97="MATCH NUL",DATA_CLEANED!AO88="-"),"MATCH_NUL",IF(ISNUMBER(SEARCH("win on penalties",W4574)),"WIN_BY_PENALTY",IF(ISNUMBER(SEARCH("win after extra time",W4574)),"WIN_BY_EXTRA_TIME",IF(ISNUMBER(SEARCH("Golden Goal",W4574)),"WIN_BY_GOLDEN_GOAL","WIN_BY_SCORE"))))</f>
        <v>WIN_BY_SCORE</v>
      </c>
      <c r="BI97" s="99" t="str">
        <f>IF(OR(BG97=DATA_CLEANED!AK88,BG97=DATA_CLEANED!AN88,BG97="MATCH NUL"),"OK","ERREUR")</f>
        <v>OK</v>
      </c>
    </row>
    <row r="98" spans="2:61">
      <c r="B98" s="74">
        <v>1986</v>
      </c>
      <c r="C98" s="30" t="str">
        <v>Quarter-finals</v>
      </c>
      <c r="D98" s="30" t="str">
        <v>Belgium</v>
      </c>
      <c r="E98" s="30" t="str">
        <v>Spain</v>
      </c>
      <c r="F98" s="30" t="str">
        <v>Spain</v>
      </c>
      <c r="G98" s="30" t="str">
        <v>Eloy Olaya</v>
      </c>
      <c r="H98" s="30" t="str">
        <v>Jean-Marie Pfaff</v>
      </c>
      <c r="I98" s="30">
        <v>4</v>
      </c>
      <c r="J98" s="30">
        <v>2</v>
      </c>
      <c r="K98" s="30" t="str">
        <v>'1-2</v>
      </c>
      <c r="L98" s="30" t="str">
        <v>No</v>
      </c>
      <c r="M98" s="30" t="str">
        <v>No</v>
      </c>
      <c r="N98" s="30" t="str">
        <v>Saved</v>
      </c>
      <c r="O98" s="30" t="str">
        <f t="shared" si="14"/>
        <v>1986|Quarter-finals|Belgium|Spain|Spain|Eloy Olaya|Jean-Marie Pfaff|4|2|'1-2|No|No|Saved</v>
      </c>
      <c r="P98" s="96" t="str">
        <f>IF(COUNTIF($G$32:O98,O98)&gt;1,"DOUBLON","OK")</f>
        <v>OK</v>
      </c>
      <c r="R98" s="23" t="s">
        <v>3634</v>
      </c>
      <c r="S98" s="30" t="str">
        <v>West Germany</v>
      </c>
      <c r="T98" s="30" t="str">
        <f t="shared" si="15"/>
        <v>ERREUR</v>
      </c>
      <c r="U98" s="30" t="str">
        <f t="shared" si="10"/>
        <v>RENOMMER</v>
      </c>
      <c r="V98" s="30" t="str" cm="1">
        <f t="array" ref="V98">_xlfn.IFS(
ISNUMBER(SEARCH("USA",S98)),"United States",
ISNUMBER(SEARCH("Republic of Korea",S98)),"South Korea",
ISNUMBER(SEARCH("Cape Verde",S98)),"Cabo Verde",
ISNUMBER(SEARCH("Czechia",S98)),"Czech Republic",
ISNUMBER(SEARCH("Türkiye",S98)),"Turkey",
ISNUMBER(SEARCH("Ivory Coast",S98)),"Côte d'Ivoire",
ISNUMBER(SEARCH("Korea Republic",S98)),"South Korea",
ISNUMBER(SEARCH("Germany FR",S98)),"FR Germany",
ISNUMBER(SEARCH("West Germany",S98)),"FR Germany",
ISNUMBER(SEARCH("Germany DR",S98)),"DR Germany",
ISNUMBER(SEARCH("Korea DPR",S98)),"North Korea",
ISNUMBER(SEARCH("China PR",S98)),"China",
ISNUMBER(SEARCH("IR Iran",S98)),"Iran",
ISNUMBER(SEARCH("Congo DR",S98)),"Democratic Republic of the Congo",
ISNUMBER(SEARCH("DR Congo",S98)),"Democratic Republic of the Congo",
ISNUMBER(SEARCH("German DR",S98)),"DR Germany",
ISNUMBER(SEARCH("rn""&gt;United Arab Emirates",S98)),"United Arab Emirates",
ISNUMBER(SEARCH("rn""&gt;Republic of Ireland",S98)),"Ireland",
ISNUMBER(SEARCH("rn""&gt;Bosnia and Herzegovina",S98)),"Bosnia and Herzegovina",
ISNUMBER(SEARCH("rn""&gt;Trinidad and Tobago",S98)),"Trinidad and Tobago",
ISNUMBER(SEARCH("rn""&gt;Serbia and Montenegro",S98)),"Serbia and Montenegro",
ISNUMBER(SEARCH(_xlfn.UNICHAR(65533),S98)),"Côte d'Ivoire",
TRUE,""
)</f>
        <v>FR Germany</v>
      </c>
      <c r="W98" s="37" t="str">
        <f t="shared" si="13"/>
        <v>FR Germany</v>
      </c>
      <c r="X98" s="95" t="str">
        <v>United States</v>
      </c>
      <c r="Z98" s="40" t="str">
        <v>Pacaembu</v>
      </c>
      <c r="AA98" s="40" t="str" cm="1">
        <f t="array" ref="AA98">IFERROR(_xlfn.XLOOKUP(Z98,_xlfn.ANCHORARRAY(Z$31),AA$31:AA$37),Z98)</f>
        <v>Pacaembu</v>
      </c>
      <c r="AB98" s="42" t="str">
        <v xml:space="preserve">Sao Paulo </v>
      </c>
      <c r="AC98" s="89" t="str">
        <f t="shared" si="7"/>
        <v xml:space="preserve">Sao Paulo </v>
      </c>
      <c r="AE98" s="42">
        <v>1930</v>
      </c>
      <c r="AK98" s="42">
        <v>6</v>
      </c>
      <c r="AL98" s="42">
        <v>1</v>
      </c>
      <c r="AV98" s="37" t="str">
        <v>QUARTER_FINALS</v>
      </c>
      <c r="AW98" s="89" t="str">
        <v>GROUP_STAGE</v>
      </c>
      <c r="BE98" s="43" t="str">
        <f>IF(OR(DATA_CLEANED!AL89="",DATA_CLEANED!AM89=""),"MANQUANT",IF(OR(NOT(ISNUMBER(DATA_CLEANED!AL89)),NOT(ISNUMBER(DATA_CLEANED!AM89))),"ENTREE INVALIDE",IF(OR(DATA_CLEANED!AL89&lt;0,DATA_CLEANED!AM89&lt;0),"SCORE NEGATIF","OK")))</f>
        <v>OK</v>
      </c>
      <c r="BF98" s="43" t="str">
        <f>IF(DATA_CLEANED!AK89&lt;&gt;DATA_CLEANED!AN89,"OK","ERREUR")</f>
        <v>OK</v>
      </c>
      <c r="BG98" s="43" t="str">
        <f>IF(DATA_CLEANED!AL89&gt;DATA_CLEANED!AM89,DATA_CLEANED!AK89,IF(AND(DATA_QUALITE!W4575="-",DATA_CLEANED!AM89=DATA_CLEANED!AL89),"MATCH NUL",IF(AND(DATA_QUALITE!V4575="-",DATA_QUALITE!U4575="AUCUNE"),DATA_QUALITE!T4575,IF(DATA_QUALITE!V4575&lt;&gt;"-",DATA_QUALITE!V4575,DATA_CLEANED!AN89))))</f>
        <v>MATCH NUL</v>
      </c>
      <c r="BH98" s="103" t="str">
        <f>IF(AND(BG98="MATCH NUL",DATA_CLEANED!AO89="-"),"MATCH_NUL",IF(ISNUMBER(SEARCH("win on penalties",W4575)),"WIN_BY_PENALTY",IF(ISNUMBER(SEARCH("win after extra time",W4575)),"WIN_BY_EXTRA_TIME",IF(ISNUMBER(SEARCH("Golden Goal",W4575)),"WIN_BY_GOLDEN_GOAL","WIN_BY_SCORE"))))</f>
        <v>MATCH_NUL</v>
      </c>
      <c r="BI98" s="99" t="str">
        <f>IF(OR(BG98=DATA_CLEANED!AK89,BG98=DATA_CLEANED!AN89,BG98="MATCH NUL"),"OK","ERREUR")</f>
        <v>OK</v>
      </c>
    </row>
    <row r="99" spans="2:61">
      <c r="B99" s="74">
        <v>1986</v>
      </c>
      <c r="C99" s="30" t="str">
        <v>Quarter-finals</v>
      </c>
      <c r="D99" s="30" t="str">
        <v>Belgium</v>
      </c>
      <c r="E99" s="30" t="str">
        <v>Spain</v>
      </c>
      <c r="F99" s="30" t="str">
        <v>Belgium</v>
      </c>
      <c r="G99" s="30" t="str">
        <v>Hugo Broos</v>
      </c>
      <c r="H99" s="30" t="str">
        <v>Andoni Zubizarreta</v>
      </c>
      <c r="I99" s="30">
        <v>5</v>
      </c>
      <c r="J99" s="30">
        <v>3</v>
      </c>
      <c r="K99" s="30" t="str">
        <v>'1-2</v>
      </c>
      <c r="L99" s="30" t="str">
        <v>No</v>
      </c>
      <c r="M99" s="30" t="str">
        <v>No</v>
      </c>
      <c r="N99" s="30" t="str">
        <v>Goal</v>
      </c>
      <c r="O99" s="30" t="str">
        <f t="shared" si="14"/>
        <v>1986|Quarter-finals|Belgium|Spain|Belgium|Hugo Broos|Andoni Zubizarreta|5|3|'1-2|No|No|Goal</v>
      </c>
      <c r="P99" s="96" t="str">
        <f>IF(COUNTIF($G$32:O99,O99)&gt;1,"DOUBLON","OK")</f>
        <v>OK</v>
      </c>
      <c r="R99" s="23" t="s">
        <v>3736</v>
      </c>
      <c r="S99" s="30" t="str">
        <v>West Germany</v>
      </c>
      <c r="T99" s="30" t="str">
        <f t="shared" si="15"/>
        <v>ERREUR</v>
      </c>
      <c r="U99" s="30" t="str">
        <f t="shared" si="10"/>
        <v>RENOMMER</v>
      </c>
      <c r="V99" s="30" t="str" cm="1">
        <f t="array" ref="V99">_xlfn.IFS(
ISNUMBER(SEARCH("USA",S99)),"United States",
ISNUMBER(SEARCH("Republic of Korea",S99)),"South Korea",
ISNUMBER(SEARCH("Cape Verde",S99)),"Cabo Verde",
ISNUMBER(SEARCH("Czechia",S99)),"Czech Republic",
ISNUMBER(SEARCH("Türkiye",S99)),"Turkey",
ISNUMBER(SEARCH("Ivory Coast",S99)),"Côte d'Ivoire",
ISNUMBER(SEARCH("Korea Republic",S99)),"South Korea",
ISNUMBER(SEARCH("Germany FR",S99)),"FR Germany",
ISNUMBER(SEARCH("West Germany",S99)),"FR Germany",
ISNUMBER(SEARCH("Germany DR",S99)),"DR Germany",
ISNUMBER(SEARCH("Korea DPR",S99)),"North Korea",
ISNUMBER(SEARCH("China PR",S99)),"China",
ISNUMBER(SEARCH("IR Iran",S99)),"Iran",
ISNUMBER(SEARCH("Congo DR",S99)),"Democratic Republic of the Congo",
ISNUMBER(SEARCH("DR Congo",S99)),"Democratic Republic of the Congo",
ISNUMBER(SEARCH("German DR",S99)),"DR Germany",
ISNUMBER(SEARCH("rn""&gt;United Arab Emirates",S99)),"United Arab Emirates",
ISNUMBER(SEARCH("rn""&gt;Republic of Ireland",S99)),"Ireland",
ISNUMBER(SEARCH("rn""&gt;Bosnia and Herzegovina",S99)),"Bosnia and Herzegovina",
ISNUMBER(SEARCH("rn""&gt;Trinidad and Tobago",S99)),"Trinidad and Tobago",
ISNUMBER(SEARCH("rn""&gt;Serbia and Montenegro",S99)),"Serbia and Montenegro",
ISNUMBER(SEARCH(_xlfn.UNICHAR(65533),S99)),"Côte d'Ivoire",
TRUE,""
)</f>
        <v>FR Germany</v>
      </c>
      <c r="W99" s="37" t="str">
        <f t="shared" si="13"/>
        <v>FR Germany</v>
      </c>
      <c r="X99" s="95" t="str">
        <v>Uruguay</v>
      </c>
      <c r="Z99" s="40" t="str">
        <v>Eucaliptos</v>
      </c>
      <c r="AA99" s="40" t="str" cm="1">
        <f t="array" ref="AA99">IFERROR(_xlfn.XLOOKUP(Z99,_xlfn.ANCHORARRAY(Z$31),AA$31:AA$37),Z99)</f>
        <v>Eucaliptos</v>
      </c>
      <c r="AB99" s="42" t="str">
        <v xml:space="preserve">Porto Alegre </v>
      </c>
      <c r="AC99" s="89" t="str">
        <f t="shared" si="7"/>
        <v xml:space="preserve">Porto Alegre </v>
      </c>
      <c r="AE99" s="42">
        <v>1930</v>
      </c>
      <c r="AK99" s="42">
        <v>6</v>
      </c>
      <c r="AL99" s="42">
        <v>1</v>
      </c>
      <c r="AV99" s="37" t="str">
        <v>QUARTER_FINALS</v>
      </c>
      <c r="AW99" s="89" t="str">
        <v>GROUP_STAGE</v>
      </c>
      <c r="BE99" s="43" t="str">
        <f>IF(OR(DATA_CLEANED!AL90="",DATA_CLEANED!AM90=""),"MANQUANT",IF(OR(NOT(ISNUMBER(DATA_CLEANED!AL90)),NOT(ISNUMBER(DATA_CLEANED!AM90))),"ENTREE INVALIDE",IF(OR(DATA_CLEANED!AL90&lt;0,DATA_CLEANED!AM90&lt;0),"SCORE NEGATIF","OK")))</f>
        <v>OK</v>
      </c>
      <c r="BF99" s="43" t="str">
        <f>IF(DATA_CLEANED!AK90&lt;&gt;DATA_CLEANED!AN90,"OK","ERREUR")</f>
        <v>OK</v>
      </c>
      <c r="BG99" s="43" t="str">
        <f>IF(DATA_CLEANED!AL90&gt;DATA_CLEANED!AM90,DATA_CLEANED!AK90,IF(AND(DATA_QUALITE!W4576="-",DATA_CLEANED!AM90=DATA_CLEANED!AL90),"MATCH NUL",IF(AND(DATA_QUALITE!V4576="-",DATA_QUALITE!U4576="AUCUNE"),DATA_QUALITE!T4576,IF(DATA_QUALITE!V4576&lt;&gt;"-",DATA_QUALITE!V4576,DATA_CLEANED!AN90))))</f>
        <v>Hungary</v>
      </c>
      <c r="BH99" s="103" t="str">
        <f>IF(AND(BG99="MATCH NUL",DATA_CLEANED!AO90="-"),"MATCH_NUL",IF(ISNUMBER(SEARCH("win on penalties",W4576)),"WIN_BY_PENALTY",IF(ISNUMBER(SEARCH("win after extra time",W4576)),"WIN_BY_EXTRA_TIME",IF(ISNUMBER(SEARCH("Golden Goal",W4576)),"WIN_BY_GOLDEN_GOAL","WIN_BY_SCORE"))))</f>
        <v>WIN_BY_SCORE</v>
      </c>
      <c r="BI99" s="99" t="str">
        <f>IF(OR(BG99=DATA_CLEANED!AK90,BG99=DATA_CLEANED!AN90,BG99="MATCH NUL"),"OK","ERREUR")</f>
        <v>OK</v>
      </c>
    </row>
    <row r="100" spans="2:61">
      <c r="B100" s="74">
        <v>1986</v>
      </c>
      <c r="C100" s="30" t="str">
        <v>Quarter-finals</v>
      </c>
      <c r="D100" s="30" t="str">
        <v>Belgium</v>
      </c>
      <c r="E100" s="30" t="str">
        <v>Spain</v>
      </c>
      <c r="F100" s="30" t="str">
        <v>Spain</v>
      </c>
      <c r="G100" s="30" t="str">
        <v>Chendo</v>
      </c>
      <c r="H100" s="30" t="str">
        <v>Jean-Marie Pfaff</v>
      </c>
      <c r="I100" s="30">
        <v>6</v>
      </c>
      <c r="J100" s="30">
        <v>3</v>
      </c>
      <c r="K100" s="30" t="str">
        <v>'1-3</v>
      </c>
      <c r="L100" s="30" t="str">
        <v>No</v>
      </c>
      <c r="M100" s="30" t="str">
        <v>No</v>
      </c>
      <c r="N100" s="30" t="str">
        <v>Goal</v>
      </c>
      <c r="O100" s="30" t="str">
        <f t="shared" si="14"/>
        <v>1986|Quarter-finals|Belgium|Spain|Spain|Chendo|Jean-Marie Pfaff|6|3|'1-3|No|No|Goal</v>
      </c>
      <c r="P100" s="96" t="str">
        <f>IF(COUNTIF($G$32:O100,O100)&gt;1,"DOUBLON","OK")</f>
        <v>OK</v>
      </c>
      <c r="R100" s="23" t="s">
        <v>3737</v>
      </c>
      <c r="S100" s="30" t="str">
        <v>West Germany</v>
      </c>
      <c r="T100" s="30" t="str">
        <f t="shared" si="15"/>
        <v>ERREUR</v>
      </c>
      <c r="U100" s="30" t="str">
        <f t="shared" si="10"/>
        <v>RENOMMER</v>
      </c>
      <c r="V100" s="30" t="str" cm="1">
        <f t="array" ref="V100">_xlfn.IFS(
ISNUMBER(SEARCH("USA",S100)),"United States",
ISNUMBER(SEARCH("Republic of Korea",S100)),"South Korea",
ISNUMBER(SEARCH("Cape Verde",S100)),"Cabo Verde",
ISNUMBER(SEARCH("Czechia",S100)),"Czech Republic",
ISNUMBER(SEARCH("Türkiye",S100)),"Turkey",
ISNUMBER(SEARCH("Ivory Coast",S100)),"Côte d'Ivoire",
ISNUMBER(SEARCH("Korea Republic",S100)),"South Korea",
ISNUMBER(SEARCH("Germany FR",S100)),"FR Germany",
ISNUMBER(SEARCH("West Germany",S100)),"FR Germany",
ISNUMBER(SEARCH("Germany DR",S100)),"DR Germany",
ISNUMBER(SEARCH("Korea DPR",S100)),"North Korea",
ISNUMBER(SEARCH("China PR",S100)),"China",
ISNUMBER(SEARCH("IR Iran",S100)),"Iran",
ISNUMBER(SEARCH("Congo DR",S100)),"Democratic Republic of the Congo",
ISNUMBER(SEARCH("DR Congo",S100)),"Democratic Republic of the Congo",
ISNUMBER(SEARCH("German DR",S100)),"DR Germany",
ISNUMBER(SEARCH("rn""&gt;United Arab Emirates",S100)),"United Arab Emirates",
ISNUMBER(SEARCH("rn""&gt;Republic of Ireland",S100)),"Ireland",
ISNUMBER(SEARCH("rn""&gt;Bosnia and Herzegovina",S100)),"Bosnia and Herzegovina",
ISNUMBER(SEARCH("rn""&gt;Trinidad and Tobago",S100)),"Trinidad and Tobago",
ISNUMBER(SEARCH("rn""&gt;Serbia and Montenegro",S100)),"Serbia and Montenegro",
ISNUMBER(SEARCH(_xlfn.UNICHAR(65533),S100)),"Côte d'Ivoire",
TRUE,""
)</f>
        <v>FR Germany</v>
      </c>
      <c r="W100" s="37" t="str">
        <f t="shared" si="13"/>
        <v>FR Germany</v>
      </c>
      <c r="X100" s="95" t="str">
        <v>Uzbekistan</v>
      </c>
      <c r="Z100" s="40" t="str">
        <v>Maracan� - Est�dio Jornalista M�rio Filho</v>
      </c>
      <c r="AA100" s="40" t="str" cm="1">
        <f t="array" ref="AA100">IFERROR(_xlfn.XLOOKUP(Z100,_xlfn.ANCHORARRAY(Z$31),AA$31:AA$37),Z100)</f>
        <v>Maracanã - Estádio Jornalista Mário Filho</v>
      </c>
      <c r="AB100" s="42" t="str">
        <v xml:space="preserve">Rio De Janeiro </v>
      </c>
      <c r="AC100" s="89" t="str">
        <f t="shared" si="7"/>
        <v xml:space="preserve">Rio De Janeiro </v>
      </c>
      <c r="AE100" s="42">
        <v>1930</v>
      </c>
      <c r="AK100" s="42">
        <v>4</v>
      </c>
      <c r="AL100" s="42">
        <v>2</v>
      </c>
      <c r="AV100" s="37" t="str">
        <v>QUARTER_FINALS</v>
      </c>
      <c r="AW100" s="89" t="str">
        <v>GROUP_STAGE</v>
      </c>
      <c r="BE100" s="43" t="str">
        <f>IF(OR(DATA_CLEANED!AL91="",DATA_CLEANED!AM91=""),"MANQUANT",IF(OR(NOT(ISNUMBER(DATA_CLEANED!AL91)),NOT(ISNUMBER(DATA_CLEANED!AM91))),"ENTREE INVALIDE",IF(OR(DATA_CLEANED!AL91&lt;0,DATA_CLEANED!AM91&lt;0),"SCORE NEGATIF","OK")))</f>
        <v>OK</v>
      </c>
      <c r="BF100" s="43" t="str">
        <f>IF(DATA_CLEANED!AK91&lt;&gt;DATA_CLEANED!AN91,"OK","ERREUR")</f>
        <v>OK</v>
      </c>
      <c r="BG100" s="43" t="str">
        <f>IF(DATA_CLEANED!AL91&gt;DATA_CLEANED!AM91,DATA_CLEANED!AK91,IF(AND(DATA_QUALITE!W4577="-",DATA_CLEANED!AM91=DATA_CLEANED!AL91),"MATCH NUL",IF(AND(DATA_QUALITE!V4577="-",DATA_QUALITE!U4577="AUCUNE"),DATA_QUALITE!T4577,IF(DATA_QUALITE!V4577&lt;&gt;"-",DATA_QUALITE!V4577,DATA_CLEANED!AN91))))</f>
        <v>Turkey</v>
      </c>
      <c r="BH100" s="103" t="str">
        <f>IF(AND(BG100="MATCH NUL",DATA_CLEANED!AO91="-"),"MATCH_NUL",IF(ISNUMBER(SEARCH("win on penalties",W4577)),"WIN_BY_PENALTY",IF(ISNUMBER(SEARCH("win after extra time",W4577)),"WIN_BY_EXTRA_TIME",IF(ISNUMBER(SEARCH("Golden Goal",W4577)),"WIN_BY_GOLDEN_GOAL","WIN_BY_SCORE"))))</f>
        <v>WIN_BY_SCORE</v>
      </c>
      <c r="BI100" s="99" t="str">
        <f>IF(OR(BG100=DATA_CLEANED!AK91,BG100=DATA_CLEANED!AN91,BG100="MATCH NUL"),"OK","ERREUR")</f>
        <v>OK</v>
      </c>
    </row>
    <row r="101" spans="2:61">
      <c r="B101" s="74">
        <v>1986</v>
      </c>
      <c r="C101" s="30" t="str">
        <v>Quarter-finals</v>
      </c>
      <c r="D101" s="30" t="str">
        <v>Belgium</v>
      </c>
      <c r="E101" s="30" t="str">
        <v>Spain</v>
      </c>
      <c r="F101" s="30" t="str">
        <v>Belgium</v>
      </c>
      <c r="G101" s="30" t="str">
        <v>Stephane Demol</v>
      </c>
      <c r="H101" s="30" t="str">
        <v>Andoni Zubizarreta</v>
      </c>
      <c r="I101" s="30">
        <v>7</v>
      </c>
      <c r="J101" s="30">
        <v>4</v>
      </c>
      <c r="K101" s="30" t="str">
        <v>'2-3</v>
      </c>
      <c r="L101" s="30" t="str">
        <v>No</v>
      </c>
      <c r="M101" s="30" t="str">
        <v>No</v>
      </c>
      <c r="N101" s="30" t="str">
        <v>Goal</v>
      </c>
      <c r="O101" s="30" t="str">
        <f t="shared" si="14"/>
        <v>1986|Quarter-finals|Belgium|Spain|Belgium|Stephane Demol|Andoni Zubizarreta|7|4|'2-3|No|No|Goal</v>
      </c>
      <c r="P101" s="96" t="str">
        <f>IF(COUNTIF($G$32:O101,O101)&gt;1,"DOUBLON","OK")</f>
        <v>OK</v>
      </c>
      <c r="R101" s="23" t="s">
        <v>3635</v>
      </c>
      <c r="S101" s="30" t="str">
        <v>West Germany</v>
      </c>
      <c r="T101" s="30" t="str">
        <f t="shared" si="15"/>
        <v>ERREUR</v>
      </c>
      <c r="U101" s="30" t="str">
        <f t="shared" si="10"/>
        <v>RENOMMER</v>
      </c>
      <c r="V101" s="30" t="str" cm="1">
        <f t="array" ref="V101">_xlfn.IFS(
ISNUMBER(SEARCH("USA",S101)),"United States",
ISNUMBER(SEARCH("Republic of Korea",S101)),"South Korea",
ISNUMBER(SEARCH("Cape Verde",S101)),"Cabo Verde",
ISNUMBER(SEARCH("Czechia",S101)),"Czech Republic",
ISNUMBER(SEARCH("Türkiye",S101)),"Turkey",
ISNUMBER(SEARCH("Ivory Coast",S101)),"Côte d'Ivoire",
ISNUMBER(SEARCH("Korea Republic",S101)),"South Korea",
ISNUMBER(SEARCH("Germany FR",S101)),"FR Germany",
ISNUMBER(SEARCH("West Germany",S101)),"FR Germany",
ISNUMBER(SEARCH("Germany DR",S101)),"DR Germany",
ISNUMBER(SEARCH("Korea DPR",S101)),"North Korea",
ISNUMBER(SEARCH("China PR",S101)),"China",
ISNUMBER(SEARCH("IR Iran",S101)),"Iran",
ISNUMBER(SEARCH("Congo DR",S101)),"Democratic Republic of the Congo",
ISNUMBER(SEARCH("DR Congo",S101)),"Democratic Republic of the Congo",
ISNUMBER(SEARCH("German DR",S101)),"DR Germany",
ISNUMBER(SEARCH("rn""&gt;United Arab Emirates",S101)),"United Arab Emirates",
ISNUMBER(SEARCH("rn""&gt;Republic of Ireland",S101)),"Ireland",
ISNUMBER(SEARCH("rn""&gt;Bosnia and Herzegovina",S101)),"Bosnia and Herzegovina",
ISNUMBER(SEARCH("rn""&gt;Trinidad and Tobago",S101)),"Trinidad and Tobago",
ISNUMBER(SEARCH("rn""&gt;Serbia and Montenegro",S101)),"Serbia and Montenegro",
ISNUMBER(SEARCH(_xlfn.UNICHAR(65533),S101)),"Côte d'Ivoire",
TRUE,""
)</f>
        <v>FR Germany</v>
      </c>
      <c r="W101" s="37" t="str">
        <f t="shared" si="13"/>
        <v>FR Germany</v>
      </c>
      <c r="X101" s="95" t="str">
        <v>Wales</v>
      </c>
      <c r="Z101" s="40" t="str">
        <v>Durival de Brito</v>
      </c>
      <c r="AA101" s="40" t="str" cm="1">
        <f t="array" ref="AA101">IFERROR(_xlfn.XLOOKUP(Z101,_xlfn.ANCHORARRAY(Z$31),AA$31:AA$37),Z101)</f>
        <v>Durival de Brito</v>
      </c>
      <c r="AB101" s="42" t="str">
        <v xml:space="preserve">Curitiba </v>
      </c>
      <c r="AC101" s="89" t="str">
        <f t="shared" si="7"/>
        <v xml:space="preserve">Curitiba </v>
      </c>
      <c r="AE101" s="42">
        <v>1934</v>
      </c>
      <c r="AK101" s="42">
        <v>3</v>
      </c>
      <c r="AL101" s="42">
        <v>2</v>
      </c>
      <c r="AV101" s="37" t="str">
        <v>QUARTER_FINALS</v>
      </c>
      <c r="AW101" s="89" t="str">
        <v>GROUP_STAGE</v>
      </c>
      <c r="BE101" s="43" t="str">
        <f>IF(OR(DATA_CLEANED!AL92="",DATA_CLEANED!AM92=""),"MANQUANT",IF(OR(NOT(ISNUMBER(DATA_CLEANED!AL92)),NOT(ISNUMBER(DATA_CLEANED!AM92))),"ENTREE INVALIDE",IF(OR(DATA_CLEANED!AL92&lt;0,DATA_CLEANED!AM92&lt;0),"SCORE NEGATIF","OK")))</f>
        <v>OK</v>
      </c>
      <c r="BF101" s="43" t="str">
        <f>IF(DATA_CLEANED!AK92&lt;&gt;DATA_CLEANED!AN92,"OK","ERREUR")</f>
        <v>OK</v>
      </c>
      <c r="BG101" s="43" t="str">
        <f>IF(DATA_CLEANED!AL92&gt;DATA_CLEANED!AM92,DATA_CLEANED!AK92,IF(AND(DATA_QUALITE!W4578="-",DATA_CLEANED!AM92=DATA_CLEANED!AL92),"MATCH NUL",IF(AND(DATA_QUALITE!V4578="-",DATA_QUALITE!U4578="AUCUNE"),DATA_QUALITE!T4578,IF(DATA_QUALITE!V4578&lt;&gt;"-",DATA_QUALITE!V4578,DATA_CLEANED!AN92))))</f>
        <v>England</v>
      </c>
      <c r="BH101" s="103" t="str">
        <f>IF(AND(BG101="MATCH NUL",DATA_CLEANED!AO92="-"),"MATCH_NUL",IF(ISNUMBER(SEARCH("win on penalties",W4578)),"WIN_BY_PENALTY",IF(ISNUMBER(SEARCH("win after extra time",W4578)),"WIN_BY_EXTRA_TIME",IF(ISNUMBER(SEARCH("Golden Goal",W4578)),"WIN_BY_GOLDEN_GOAL","WIN_BY_SCORE"))))</f>
        <v>WIN_BY_SCORE</v>
      </c>
      <c r="BI101" s="99" t="str">
        <f>IF(OR(BG101=DATA_CLEANED!AK92,BG101=DATA_CLEANED!AN92,BG101="MATCH NUL"),"OK","ERREUR")</f>
        <v>OK</v>
      </c>
    </row>
    <row r="102" spans="2:61">
      <c r="B102" s="74">
        <v>1986</v>
      </c>
      <c r="C102" s="30" t="str">
        <v>Quarter-finals</v>
      </c>
      <c r="D102" s="30" t="str">
        <v>Belgium</v>
      </c>
      <c r="E102" s="30" t="str">
        <v>Spain</v>
      </c>
      <c r="F102" s="30" t="str">
        <v>Spain</v>
      </c>
      <c r="G102" s="30" t="str">
        <v>Butragueño</v>
      </c>
      <c r="H102" s="30" t="str">
        <v>Andoni Zubizarreta</v>
      </c>
      <c r="I102" s="30">
        <v>8</v>
      </c>
      <c r="J102" s="30">
        <v>4</v>
      </c>
      <c r="K102" s="30" t="str">
        <v>'2-4</v>
      </c>
      <c r="L102" s="30" t="str">
        <v>No</v>
      </c>
      <c r="M102" s="30" t="str">
        <v>No</v>
      </c>
      <c r="N102" s="30" t="str">
        <v>Goal</v>
      </c>
      <c r="O102" s="30" t="str">
        <f t="shared" si="14"/>
        <v>1986|Quarter-finals|Belgium|Spain|Spain|Butragueño|Andoni Zubizarreta|8|4|'2-4|No|No|Goal</v>
      </c>
      <c r="P102" s="96" t="str">
        <f>IF(COUNTIF($G$32:O102,O102)&gt;1,"DOUBLON","OK")</f>
        <v>OK</v>
      </c>
      <c r="R102" s="23" t="s">
        <v>3738</v>
      </c>
      <c r="S102" s="30" t="str">
        <v>Republic of Ireland</v>
      </c>
      <c r="T102" s="30" t="str">
        <f t="shared" si="15"/>
        <v>ERREUR</v>
      </c>
      <c r="U102" s="30" t="str">
        <f t="shared" si="10"/>
        <v>RENOMMER</v>
      </c>
      <c r="V102" s="30" t="str" cm="1">
        <f t="array" ref="V102">_xlfn.IFS(
ISNUMBER(SEARCH("USA",S102)),"United States",
ISNUMBER(SEARCH("Republic of Korea",S102)),"South Korea",
ISNUMBER(SEARCH("Cape Verde",S102)),"Cabo Verde",
ISNUMBER(SEARCH("Czechia",S102)),"Czech Republic",
ISNUMBER(SEARCH("Türkiye",S102)),"Turkey",
ISNUMBER(SEARCH("Ivory Coast",S102)),"Côte d'Ivoire",
ISNUMBER(SEARCH("Korea Republic",S102)),"South Korea",
ISNUMBER(SEARCH("Germany FR",S102)),"FR Germany",
ISNUMBER(SEARCH("West Germany",S102)),"FR Germany",
ISNUMBER(SEARCH("Germany DR",S102)),"DR Germany",
ISNUMBER(SEARCH("Korea DPR",S102)),"North Korea",
ISNUMBER(SEARCH("China PR",S102)),"China",
ISNUMBER(SEARCH("IR Iran",S102)),"Iran",
ISNUMBER(SEARCH("Congo DR",S102)),"Democratic Republic of the Congo",
ISNUMBER(SEARCH("DR Congo",S102)),"Democratic Republic of the Congo",
ISNUMBER(SEARCH("German DR",S102)),"DR Germany",
ISNUMBER(SEARCH("rn""&gt;United Arab Emirates",S102)),"United Arab Emirates",
ISNUMBER(SEARCH("rn""&gt;Republic of Ireland",S102)),"Ireland",
ISNUMBER(SEARCH("rn""&gt;Bosnia and Herzegovina",S102)),"Bosnia and Herzegovina",
ISNUMBER(SEARCH("rn""&gt;Trinidad and Tobago",S102)),"Trinidad and Tobago",
ISNUMBER(SEARCH("rn""&gt;Serbia and Montenegro",S102)),"Serbia and Montenegro",
ISNUMBER(SEARCH(_xlfn.UNICHAR(65533),S102)),"Côte d'Ivoire",
TRUE,""
)</f>
        <v/>
      </c>
      <c r="W102" s="37" t="str">
        <f t="shared" si="13"/>
        <v>Republic of Ireland</v>
      </c>
      <c r="X102" s="95" t="str">
        <v>Yugoslavia</v>
      </c>
      <c r="Z102" s="40" t="str">
        <v>Independencia</v>
      </c>
      <c r="AA102" s="40" t="str" cm="1">
        <f t="array" ref="AA102">IFERROR(_xlfn.XLOOKUP(Z102,_xlfn.ANCHORARRAY(Z$31),AA$31:AA$37),Z102)</f>
        <v>Independencia</v>
      </c>
      <c r="AB102" s="42" t="str">
        <v xml:space="preserve">Belo Horizonte </v>
      </c>
      <c r="AC102" s="89" t="str">
        <f t="shared" si="7"/>
        <v xml:space="preserve">Belo Horizonte </v>
      </c>
      <c r="AE102" s="42">
        <v>1934</v>
      </c>
      <c r="AK102" s="42">
        <v>4</v>
      </c>
      <c r="AL102" s="42">
        <v>2</v>
      </c>
      <c r="AV102" s="37" t="str">
        <v>QUARTER_FINALS</v>
      </c>
      <c r="AW102" s="89" t="str">
        <v>GROUP_STAGE</v>
      </c>
      <c r="BE102" s="43" t="str">
        <f>IF(OR(DATA_CLEANED!AL93="",DATA_CLEANED!AM93=""),"MANQUANT",IF(OR(NOT(ISNUMBER(DATA_CLEANED!AL93)),NOT(ISNUMBER(DATA_CLEANED!AM93))),"ENTREE INVALIDE",IF(OR(DATA_CLEANED!AL93&lt;0,DATA_CLEANED!AM93&lt;0),"SCORE NEGATIF","OK")))</f>
        <v>OK</v>
      </c>
      <c r="BF102" s="43" t="str">
        <f>IF(DATA_CLEANED!AK93&lt;&gt;DATA_CLEANED!AN93,"OK","ERREUR")</f>
        <v>OK</v>
      </c>
      <c r="BG102" s="43" t="str">
        <f>IF(DATA_CLEANED!AL93&gt;DATA_CLEANED!AM93,DATA_CLEANED!AK93,IF(AND(DATA_QUALITE!W4579="-",DATA_CLEANED!AM93=DATA_CLEANED!AL93),"MATCH NUL",IF(AND(DATA_QUALITE!V4579="-",DATA_QUALITE!U4579="AUCUNE"),DATA_QUALITE!T4579,IF(DATA_QUALITE!V4579&lt;&gt;"-",DATA_QUALITE!V4579,DATA_CLEANED!AN93))))</f>
        <v>Italy</v>
      </c>
      <c r="BH102" s="103" t="str">
        <f>IF(AND(BG102="MATCH NUL",DATA_CLEANED!AO93="-"),"MATCH_NUL",IF(ISNUMBER(SEARCH("win on penalties",W4579)),"WIN_BY_PENALTY",IF(ISNUMBER(SEARCH("win after extra time",W4579)),"WIN_BY_EXTRA_TIME",IF(ISNUMBER(SEARCH("Golden Goal",W4579)),"WIN_BY_GOLDEN_GOAL","WIN_BY_SCORE"))))</f>
        <v>WIN_BY_SCORE</v>
      </c>
      <c r="BI102" s="99" t="str">
        <f>IF(OR(BG102=DATA_CLEANED!AK93,BG102=DATA_CLEANED!AN93,BG102="MATCH NUL"),"OK","ERREUR")</f>
        <v>OK</v>
      </c>
    </row>
    <row r="103" spans="2:61">
      <c r="B103" s="74">
        <v>1986</v>
      </c>
      <c r="C103" s="30" t="str">
        <v>Quarter-finals</v>
      </c>
      <c r="D103" s="30" t="str">
        <v>Belgium</v>
      </c>
      <c r="E103" s="30" t="str">
        <v>Spain</v>
      </c>
      <c r="F103" s="30" t="str">
        <v>Belgium</v>
      </c>
      <c r="G103" s="30" t="str">
        <v>Leo Van Der Elst</v>
      </c>
      <c r="H103" s="30" t="str">
        <v>Andoni Zubizarreta</v>
      </c>
      <c r="I103" s="30">
        <v>9</v>
      </c>
      <c r="J103" s="30">
        <v>5</v>
      </c>
      <c r="K103" s="30" t="str">
        <v>'3-4</v>
      </c>
      <c r="L103" s="30" t="str">
        <v>No</v>
      </c>
      <c r="M103" s="30" t="str">
        <v>Yes</v>
      </c>
      <c r="N103" s="30" t="str">
        <v>Goal</v>
      </c>
      <c r="O103" s="30" t="str">
        <f t="shared" si="14"/>
        <v>1986|Quarter-finals|Belgium|Spain|Belgium|Leo Van Der Elst|Andoni Zubizarreta|9|5|'3-4|No|Yes|Goal</v>
      </c>
      <c r="P103" s="96" t="str">
        <f>IF(COUNTIF($G$32:O103,O103)&gt;1,"DOUBLON","OK")</f>
        <v>OK</v>
      </c>
      <c r="R103" s="23" t="s">
        <v>3636</v>
      </c>
      <c r="S103" s="30" t="str">
        <v>Republic of Ireland</v>
      </c>
      <c r="T103" s="30" t="str">
        <f t="shared" si="15"/>
        <v>ERREUR</v>
      </c>
      <c r="U103" s="30" t="str">
        <f t="shared" si="10"/>
        <v>RENOMMER</v>
      </c>
      <c r="V103" s="30" t="str" cm="1">
        <f t="array" ref="V103">_xlfn.IFS(
ISNUMBER(SEARCH("USA",S103)),"United States",
ISNUMBER(SEARCH("Republic of Korea",S103)),"South Korea",
ISNUMBER(SEARCH("Cape Verde",S103)),"Cabo Verde",
ISNUMBER(SEARCH("Czechia",S103)),"Czech Republic",
ISNUMBER(SEARCH("Türkiye",S103)),"Turkey",
ISNUMBER(SEARCH("Ivory Coast",S103)),"Côte d'Ivoire",
ISNUMBER(SEARCH("Korea Republic",S103)),"South Korea",
ISNUMBER(SEARCH("Germany FR",S103)),"FR Germany",
ISNUMBER(SEARCH("West Germany",S103)),"FR Germany",
ISNUMBER(SEARCH("Germany DR",S103)),"DR Germany",
ISNUMBER(SEARCH("Korea DPR",S103)),"North Korea",
ISNUMBER(SEARCH("China PR",S103)),"China",
ISNUMBER(SEARCH("IR Iran",S103)),"Iran",
ISNUMBER(SEARCH("Congo DR",S103)),"Democratic Republic of the Congo",
ISNUMBER(SEARCH("DR Congo",S103)),"Democratic Republic of the Congo",
ISNUMBER(SEARCH("German DR",S103)),"DR Germany",
ISNUMBER(SEARCH("rn""&gt;United Arab Emirates",S103)),"United Arab Emirates",
ISNUMBER(SEARCH("rn""&gt;Republic of Ireland",S103)),"Ireland",
ISNUMBER(SEARCH("rn""&gt;Bosnia and Herzegovina",S103)),"Bosnia and Herzegovina",
ISNUMBER(SEARCH("rn""&gt;Trinidad and Tobago",S103)),"Trinidad and Tobago",
ISNUMBER(SEARCH("rn""&gt;Serbia and Montenegro",S103)),"Serbia and Montenegro",
ISNUMBER(SEARCH(_xlfn.UNICHAR(65533),S103)),"Côte d'Ivoire",
TRUE,""
)</f>
        <v/>
      </c>
      <c r="W103" s="30" t="str">
        <f t="shared" si="13"/>
        <v>Republic of Ireland</v>
      </c>
      <c r="X103" s="119" t="str">
        <v>Zaire</v>
      </c>
      <c r="Z103" s="40" t="str">
        <v>Maracan� - Est�dio Jornalista M�rio Filho</v>
      </c>
      <c r="AA103" s="40" t="str" cm="1">
        <f t="array" ref="AA103">IFERROR(_xlfn.XLOOKUP(Z103,_xlfn.ANCHORARRAY(Z$31),AA$31:AA$37),Z103)</f>
        <v>Maracanã - Estádio Jornalista Mário Filho</v>
      </c>
      <c r="AB103" s="42" t="str">
        <v xml:space="preserve">Rio De Janeiro </v>
      </c>
      <c r="AC103" s="89" t="str">
        <f t="shared" si="7"/>
        <v xml:space="preserve">Rio De Janeiro </v>
      </c>
      <c r="AE103" s="42">
        <v>1934</v>
      </c>
      <c r="AK103" s="42">
        <v>3</v>
      </c>
      <c r="AL103" s="42">
        <v>2</v>
      </c>
      <c r="AV103" s="37" t="str">
        <v>QUARTER_FINALS</v>
      </c>
      <c r="AW103" s="89" t="str">
        <v>GROUP_STAGE</v>
      </c>
      <c r="BE103" s="43" t="str">
        <f>IF(OR(DATA_CLEANED!AL94="",DATA_CLEANED!AM94=""),"MANQUANT",IF(OR(NOT(ISNUMBER(DATA_CLEANED!AL94)),NOT(ISNUMBER(DATA_CLEANED!AM94))),"ENTREE INVALIDE",IF(OR(DATA_CLEANED!AL94&lt;0,DATA_CLEANED!AM94&lt;0),"SCORE NEGATIF","OK")))</f>
        <v>OK</v>
      </c>
      <c r="BF103" s="43" t="str">
        <f>IF(DATA_CLEANED!AK94&lt;&gt;DATA_CLEANED!AN94,"OK","ERREUR")</f>
        <v>OK</v>
      </c>
      <c r="BG103" s="43" t="str">
        <f>IF(DATA_CLEANED!AL94&gt;DATA_CLEANED!AM94,DATA_CLEANED!AK94,IF(AND(DATA_QUALITE!W4580="-",DATA_CLEANED!AM94=DATA_CLEANED!AL94),"MATCH NUL",IF(AND(DATA_QUALITE!V4580="-",DATA_QUALITE!U4580="AUCUNE"),DATA_QUALITE!T4580,IF(DATA_QUALITE!V4580&lt;&gt;"-",DATA_QUALITE!V4580,DATA_CLEANED!AN94))))</f>
        <v>FR Germany</v>
      </c>
      <c r="BH103" s="103" t="str">
        <f>IF(AND(BG103="MATCH NUL",DATA_CLEANED!AO94="-"),"MATCH_NUL",IF(ISNUMBER(SEARCH("win on penalties",W4580)),"WIN_BY_PENALTY",IF(ISNUMBER(SEARCH("win after extra time",W4580)),"WIN_BY_EXTRA_TIME",IF(ISNUMBER(SEARCH("Golden Goal",W4580)),"WIN_BY_GOLDEN_GOAL","WIN_BY_SCORE"))))</f>
        <v>WIN_BY_SCORE</v>
      </c>
      <c r="BI103" s="99" t="str">
        <f>IF(OR(BG103=DATA_CLEANED!AK94,BG103=DATA_CLEANED!AN94,BG103="MATCH NUL"),"OK","ERREUR")</f>
        <v>OK</v>
      </c>
    </row>
    <row r="104" spans="2:61">
      <c r="B104" s="74">
        <v>1986</v>
      </c>
      <c r="C104" s="30" t="str">
        <v>Quarter-finals</v>
      </c>
      <c r="D104" s="30" t="str">
        <v>Brazil</v>
      </c>
      <c r="E104" s="30" t="str">
        <v>France</v>
      </c>
      <c r="F104" s="30" t="str">
        <v>Brazil</v>
      </c>
      <c r="G104" s="30" t="str">
        <v>Sócrates</v>
      </c>
      <c r="H104" s="30" t="str">
        <v>Joël Bats</v>
      </c>
      <c r="I104" s="30">
        <v>1</v>
      </c>
      <c r="J104" s="30">
        <v>1</v>
      </c>
      <c r="K104" s="30" t="str">
        <v>'0-0</v>
      </c>
      <c r="L104" s="30" t="str">
        <v>No</v>
      </c>
      <c r="M104" s="30" t="str">
        <v>No</v>
      </c>
      <c r="N104" s="30" t="str">
        <v>Saved</v>
      </c>
      <c r="O104" s="30" t="str">
        <f t="shared" si="14"/>
        <v>1986|Quarter-finals|Brazil|France|Brazil|Sócrates|Joël Bats|1|1|'0-0|No|No|Saved</v>
      </c>
      <c r="P104" s="96" t="str">
        <f>IF(COUNTIF($G$32:O104,O104)&gt;1,"DOUBLON","OK")</f>
        <v>OK</v>
      </c>
      <c r="R104" s="23" t="s">
        <v>3637</v>
      </c>
      <c r="S104" s="30" t="str">
        <v>Republic of Ireland</v>
      </c>
      <c r="T104" s="30" t="str">
        <f t="shared" si="15"/>
        <v>ERREUR</v>
      </c>
      <c r="U104" s="30" t="str">
        <f t="shared" si="10"/>
        <v>RENOMMER</v>
      </c>
      <c r="V104" s="30" t="str" cm="1">
        <f t="array" ref="V104">_xlfn.IFS(
ISNUMBER(SEARCH("USA",S104)),"United States",
ISNUMBER(SEARCH("Republic of Korea",S104)),"South Korea",
ISNUMBER(SEARCH("Cape Verde",S104)),"Cabo Verde",
ISNUMBER(SEARCH("Czechia",S104)),"Czech Republic",
ISNUMBER(SEARCH("Türkiye",S104)),"Turkey",
ISNUMBER(SEARCH("Ivory Coast",S104)),"Côte d'Ivoire",
ISNUMBER(SEARCH("Korea Republic",S104)),"South Korea",
ISNUMBER(SEARCH("Germany FR",S104)),"FR Germany",
ISNUMBER(SEARCH("West Germany",S104)),"FR Germany",
ISNUMBER(SEARCH("Germany DR",S104)),"DR Germany",
ISNUMBER(SEARCH("Korea DPR",S104)),"North Korea",
ISNUMBER(SEARCH("China PR",S104)),"China",
ISNUMBER(SEARCH("IR Iran",S104)),"Iran",
ISNUMBER(SEARCH("Congo DR",S104)),"Democratic Republic of the Congo",
ISNUMBER(SEARCH("DR Congo",S104)),"Democratic Republic of the Congo",
ISNUMBER(SEARCH("German DR",S104)),"DR Germany",
ISNUMBER(SEARCH("rn""&gt;United Arab Emirates",S104)),"United Arab Emirates",
ISNUMBER(SEARCH("rn""&gt;Republic of Ireland",S104)),"Ireland",
ISNUMBER(SEARCH("rn""&gt;Bosnia and Herzegovina",S104)),"Bosnia and Herzegovina",
ISNUMBER(SEARCH("rn""&gt;Trinidad and Tobago",S104)),"Trinidad and Tobago",
ISNUMBER(SEARCH("rn""&gt;Serbia and Montenegro",S104)),"Serbia and Montenegro",
ISNUMBER(SEARCH(_xlfn.UNICHAR(65533),S104)),"Côte d'Ivoire",
TRUE,""
)</f>
        <v/>
      </c>
      <c r="W104" s="30" t="str">
        <f t="shared" si="13"/>
        <v>Republic of Ireland</v>
      </c>
      <c r="Z104" s="40" t="str">
        <v>Maracan� - Est�dio Jornalista M�rio Filho</v>
      </c>
      <c r="AA104" s="40" t="str" cm="1">
        <f t="array" ref="AA104">IFERROR(_xlfn.XLOOKUP(Z104,_xlfn.ANCHORARRAY(Z$31),AA$31:AA$37),Z104)</f>
        <v>Maracanã - Estádio Jornalista Mário Filho</v>
      </c>
      <c r="AB104" s="42" t="str">
        <v xml:space="preserve">Rio De Janeiro </v>
      </c>
      <c r="AC104" s="89" t="str">
        <f t="shared" si="7"/>
        <v xml:space="preserve">Rio De Janeiro </v>
      </c>
      <c r="AE104" s="42">
        <v>1934</v>
      </c>
      <c r="AK104" s="42">
        <v>3</v>
      </c>
      <c r="AL104" s="42">
        <v>2</v>
      </c>
      <c r="AV104" s="37" t="str">
        <v>QUARTER_FINALS</v>
      </c>
      <c r="AW104" s="89" t="str">
        <v>GROUP_STAGE</v>
      </c>
      <c r="BE104" s="43" t="str">
        <f>IF(OR(DATA_CLEANED!AL95="",DATA_CLEANED!AM95=""),"MANQUANT",IF(OR(NOT(ISNUMBER(DATA_CLEANED!AL95)),NOT(ISNUMBER(DATA_CLEANED!AM95))),"ENTREE INVALIDE",IF(OR(DATA_CLEANED!AL95&lt;0,DATA_CLEANED!AM95&lt;0),"SCORE NEGATIF","OK")))</f>
        <v>OK</v>
      </c>
      <c r="BF104" s="43" t="str">
        <f>IF(DATA_CLEANED!AK95&lt;&gt;DATA_CLEANED!AN95,"OK","ERREUR")</f>
        <v>OK</v>
      </c>
      <c r="BG104" s="43" t="str">
        <f>IF(DATA_CLEANED!AL95&gt;DATA_CLEANED!AM95,DATA_CLEANED!AK95,IF(AND(DATA_QUALITE!W4581="-",DATA_CLEANED!AM95=DATA_CLEANED!AL95),"MATCH NUL",IF(AND(DATA_QUALITE!V4581="-",DATA_QUALITE!U4581="AUCUNE"),DATA_QUALITE!T4581,IF(DATA_QUALITE!V4581&lt;&gt;"-",DATA_QUALITE!V4581,DATA_CLEANED!AN95))))</f>
        <v>Switzerland</v>
      </c>
      <c r="BH104" s="103" t="str">
        <f>IF(AND(BG104="MATCH NUL",DATA_CLEANED!AO95="-"),"MATCH_NUL",IF(ISNUMBER(SEARCH("win on penalties",W4581)),"WIN_BY_PENALTY",IF(ISNUMBER(SEARCH("win after extra time",W4581)),"WIN_BY_EXTRA_TIME",IF(ISNUMBER(SEARCH("Golden Goal",W4581)),"WIN_BY_GOLDEN_GOAL","WIN_BY_SCORE"))))</f>
        <v>WIN_BY_SCORE</v>
      </c>
      <c r="BI104" s="99" t="str">
        <f>IF(OR(BG104=DATA_CLEANED!AK95,BG104=DATA_CLEANED!AN95,BG104="MATCH NUL"),"OK","ERREUR")</f>
        <v>OK</v>
      </c>
    </row>
    <row r="105" spans="2:61">
      <c r="B105" s="74">
        <v>1986</v>
      </c>
      <c r="C105" s="30" t="str">
        <v>Quarter-finals</v>
      </c>
      <c r="D105" s="30" t="str">
        <v>Brazil</v>
      </c>
      <c r="E105" s="30" t="str">
        <v>France</v>
      </c>
      <c r="F105" s="30" t="str">
        <v>France</v>
      </c>
      <c r="G105" s="30" t="str">
        <v>Yannick Stopyra</v>
      </c>
      <c r="H105" s="30" t="str">
        <v>Carlos</v>
      </c>
      <c r="I105" s="30">
        <v>2</v>
      </c>
      <c r="J105" s="30">
        <v>1</v>
      </c>
      <c r="K105" s="30" t="str">
        <v>'0-0</v>
      </c>
      <c r="L105" s="30" t="str">
        <v>No</v>
      </c>
      <c r="M105" s="30" t="str">
        <v>No</v>
      </c>
      <c r="N105" s="30" t="str">
        <v>Goal</v>
      </c>
      <c r="O105" s="30" t="str">
        <f t="shared" si="14"/>
        <v>1986|Quarter-finals|Brazil|France|France|Yannick Stopyra|Carlos|2|1|'0-0|No|No|Goal</v>
      </c>
      <c r="P105" s="96" t="str">
        <f>IF(COUNTIF($G$32:O105,O105)&gt;1,"DOUBLON","OK")</f>
        <v>OK</v>
      </c>
      <c r="R105" s="23" t="s">
        <v>3638</v>
      </c>
      <c r="S105" s="30" t="str">
        <v>Republic of Ireland</v>
      </c>
      <c r="T105" s="30" t="str">
        <f t="shared" si="15"/>
        <v>ERREUR</v>
      </c>
      <c r="U105" s="30" t="str">
        <f t="shared" si="10"/>
        <v>RENOMMER</v>
      </c>
      <c r="V105" s="30" t="str" cm="1">
        <f t="array" ref="V105">_xlfn.IFS(
ISNUMBER(SEARCH("USA",S105)),"United States",
ISNUMBER(SEARCH("Republic of Korea",S105)),"South Korea",
ISNUMBER(SEARCH("Cape Verde",S105)),"Cabo Verde",
ISNUMBER(SEARCH("Czechia",S105)),"Czech Republic",
ISNUMBER(SEARCH("Türkiye",S105)),"Turkey",
ISNUMBER(SEARCH("Ivory Coast",S105)),"Côte d'Ivoire",
ISNUMBER(SEARCH("Korea Republic",S105)),"South Korea",
ISNUMBER(SEARCH("Germany FR",S105)),"FR Germany",
ISNUMBER(SEARCH("West Germany",S105)),"FR Germany",
ISNUMBER(SEARCH("Germany DR",S105)),"DR Germany",
ISNUMBER(SEARCH("Korea DPR",S105)),"North Korea",
ISNUMBER(SEARCH("China PR",S105)),"China",
ISNUMBER(SEARCH("IR Iran",S105)),"Iran",
ISNUMBER(SEARCH("Congo DR",S105)),"Democratic Republic of the Congo",
ISNUMBER(SEARCH("DR Congo",S105)),"Democratic Republic of the Congo",
ISNUMBER(SEARCH("German DR",S105)),"DR Germany",
ISNUMBER(SEARCH("rn""&gt;United Arab Emirates",S105)),"United Arab Emirates",
ISNUMBER(SEARCH("rn""&gt;Republic of Ireland",S105)),"Ireland",
ISNUMBER(SEARCH("rn""&gt;Bosnia and Herzegovina",S105)),"Bosnia and Herzegovina",
ISNUMBER(SEARCH("rn""&gt;Trinidad and Tobago",S105)),"Trinidad and Tobago",
ISNUMBER(SEARCH("rn""&gt;Serbia and Montenegro",S105)),"Serbia and Montenegro",
ISNUMBER(SEARCH(_xlfn.UNICHAR(65533),S105)),"Côte d'Ivoire",
TRUE,""
)</f>
        <v/>
      </c>
      <c r="W105" s="30" t="str">
        <f t="shared" si="13"/>
        <v>Republic of Ireland</v>
      </c>
      <c r="Z105" s="40" t="str">
        <v>Pacaembu</v>
      </c>
      <c r="AA105" s="40" t="str" cm="1">
        <f t="array" ref="AA105">IFERROR(_xlfn.XLOOKUP(Z105,_xlfn.ANCHORARRAY(Z$31),AA$31:AA$37),Z105)</f>
        <v>Pacaembu</v>
      </c>
      <c r="AB105" s="42" t="str">
        <v xml:space="preserve">Sao Paulo </v>
      </c>
      <c r="AC105" s="89" t="str">
        <f t="shared" ref="AC105:AC168" si="16">_xlfn.SINGLE(IFERROR(_xlfn.XLOOKUP(AB105,AB$31:AB$34,AC$31:AC$34),AB105))</f>
        <v xml:space="preserve">Sao Paulo </v>
      </c>
      <c r="AE105" s="42">
        <v>1934</v>
      </c>
      <c r="AK105" s="42">
        <v>5</v>
      </c>
      <c r="AL105" s="42">
        <v>2</v>
      </c>
      <c r="AV105" s="37" t="str">
        <v>QUARTER_FINALS</v>
      </c>
      <c r="AW105" s="89" t="str">
        <v>QUARTER_FINALS</v>
      </c>
      <c r="BE105" s="43" t="str">
        <f>IF(OR(DATA_CLEANED!AL96="",DATA_CLEANED!AM96=""),"MANQUANT",IF(OR(NOT(ISNUMBER(DATA_CLEANED!AL96)),NOT(ISNUMBER(DATA_CLEANED!AM96))),"ENTREE INVALIDE",IF(OR(DATA_CLEANED!AL96&lt;0,DATA_CLEANED!AM96&lt;0),"SCORE NEGATIF","OK")))</f>
        <v>OK</v>
      </c>
      <c r="BF105" s="43" t="str">
        <f>IF(DATA_CLEANED!AK96&lt;&gt;DATA_CLEANED!AN96,"OK","ERREUR")</f>
        <v>OK</v>
      </c>
      <c r="BG105" s="43" t="str">
        <f>IF(DATA_CLEANED!AL96&gt;DATA_CLEANED!AM96,DATA_CLEANED!AK96,IF(AND(DATA_QUALITE!W4582="-",DATA_CLEANED!AM96=DATA_CLEANED!AL96),"MATCH NUL",IF(AND(DATA_QUALITE!V4582="-",DATA_QUALITE!U4582="AUCUNE"),DATA_QUALITE!T4582,IF(DATA_QUALITE!V4582&lt;&gt;"-",DATA_QUALITE!V4582,DATA_CLEANED!AN96))))</f>
        <v>Uruguay</v>
      </c>
      <c r="BH105" s="103" t="str">
        <f>IF(AND(BG105="MATCH NUL",DATA_CLEANED!AO96="-"),"MATCH_NUL",IF(ISNUMBER(SEARCH("win on penalties",W4582)),"WIN_BY_PENALTY",IF(ISNUMBER(SEARCH("win after extra time",W4582)),"WIN_BY_EXTRA_TIME",IF(ISNUMBER(SEARCH("Golden Goal",W4582)),"WIN_BY_GOLDEN_GOAL","WIN_BY_SCORE"))))</f>
        <v>WIN_BY_SCORE</v>
      </c>
      <c r="BI105" s="99" t="str">
        <f>IF(OR(BG105=DATA_CLEANED!AK96,BG105=DATA_CLEANED!AN96,BG105="MATCH NUL"),"OK","ERREUR")</f>
        <v>OK</v>
      </c>
    </row>
    <row r="106" spans="2:61">
      <c r="B106" s="74">
        <v>1986</v>
      </c>
      <c r="C106" s="30" t="str">
        <v>Quarter-finals</v>
      </c>
      <c r="D106" s="30" t="str">
        <v>Brazil</v>
      </c>
      <c r="E106" s="30" t="str">
        <v>France</v>
      </c>
      <c r="F106" s="30" t="str">
        <v>Brazil</v>
      </c>
      <c r="G106" s="30" t="str">
        <v>Alemão</v>
      </c>
      <c r="H106" s="30" t="str">
        <v>Joël Bats</v>
      </c>
      <c r="I106" s="30">
        <v>3</v>
      </c>
      <c r="J106" s="30">
        <v>2</v>
      </c>
      <c r="K106" s="30" t="str">
        <v>'0-1</v>
      </c>
      <c r="L106" s="30" t="str">
        <v>No</v>
      </c>
      <c r="M106" s="30" t="str">
        <v>No</v>
      </c>
      <c r="N106" s="30" t="str">
        <v>Goal</v>
      </c>
      <c r="O106" s="30" t="str">
        <f t="shared" si="14"/>
        <v>1986|Quarter-finals|Brazil|France|Brazil|Alemão|Joël Bats|3|2|'0-1|No|No|Goal</v>
      </c>
      <c r="P106" s="96" t="str">
        <f>IF(COUNTIF($G$32:O106,O106)&gt;1,"DOUBLON","OK")</f>
        <v>OK</v>
      </c>
      <c r="R106" s="23" t="s">
        <v>41</v>
      </c>
      <c r="S106" s="30" t="str">
        <v>Republic of Ireland</v>
      </c>
      <c r="T106" s="30" t="str">
        <f t="shared" si="15"/>
        <v>ERREUR</v>
      </c>
      <c r="U106" s="30" t="str">
        <f t="shared" si="10"/>
        <v>RENOMMER</v>
      </c>
      <c r="V106" s="30" t="str" cm="1">
        <f t="array" ref="V106">_xlfn.IFS(
ISNUMBER(SEARCH("USA",S106)),"United States",
ISNUMBER(SEARCH("Republic of Korea",S106)),"South Korea",
ISNUMBER(SEARCH("Cape Verde",S106)),"Cabo Verde",
ISNUMBER(SEARCH("Czechia",S106)),"Czech Republic",
ISNUMBER(SEARCH("Türkiye",S106)),"Turkey",
ISNUMBER(SEARCH("Ivory Coast",S106)),"Côte d'Ivoire",
ISNUMBER(SEARCH("Korea Republic",S106)),"South Korea",
ISNUMBER(SEARCH("Germany FR",S106)),"FR Germany",
ISNUMBER(SEARCH("West Germany",S106)),"FR Germany",
ISNUMBER(SEARCH("Germany DR",S106)),"DR Germany",
ISNUMBER(SEARCH("Korea DPR",S106)),"North Korea",
ISNUMBER(SEARCH("China PR",S106)),"China",
ISNUMBER(SEARCH("IR Iran",S106)),"Iran",
ISNUMBER(SEARCH("Congo DR",S106)),"Democratic Republic of the Congo",
ISNUMBER(SEARCH("DR Congo",S106)),"Democratic Republic of the Congo",
ISNUMBER(SEARCH("German DR",S106)),"DR Germany",
ISNUMBER(SEARCH("rn""&gt;United Arab Emirates",S106)),"United Arab Emirates",
ISNUMBER(SEARCH("rn""&gt;Republic of Ireland",S106)),"Ireland",
ISNUMBER(SEARCH("rn""&gt;Bosnia and Herzegovina",S106)),"Bosnia and Herzegovina",
ISNUMBER(SEARCH("rn""&gt;Trinidad and Tobago",S106)),"Trinidad and Tobago",
ISNUMBER(SEARCH("rn""&gt;Serbia and Montenegro",S106)),"Serbia and Montenegro",
ISNUMBER(SEARCH(_xlfn.UNICHAR(65533),S106)),"Côte d'Ivoire",
TRUE,""
)</f>
        <v/>
      </c>
      <c r="W106" s="30" t="str">
        <f t="shared" si="13"/>
        <v>Republic of Ireland</v>
      </c>
      <c r="Z106" s="40" t="str">
        <v>Independencia</v>
      </c>
      <c r="AA106" s="40" t="str" cm="1">
        <f t="array" ref="AA106">IFERROR(_xlfn.XLOOKUP(Z106,_xlfn.ANCHORARRAY(Z$31),AA$31:AA$37),Z106)</f>
        <v>Independencia</v>
      </c>
      <c r="AB106" s="42" t="str">
        <v xml:space="preserve">Belo Horizonte </v>
      </c>
      <c r="AC106" s="89" t="str">
        <f t="shared" si="16"/>
        <v xml:space="preserve">Belo Horizonte </v>
      </c>
      <c r="AE106" s="42">
        <v>1934</v>
      </c>
      <c r="AK106" s="42">
        <v>3</v>
      </c>
      <c r="AL106" s="42">
        <v>1</v>
      </c>
      <c r="AV106" s="37" t="str">
        <v>QUARTER_FINALS</v>
      </c>
      <c r="AW106" s="89" t="str">
        <v>QUARTER_FINALS</v>
      </c>
      <c r="BE106" s="43" t="str">
        <f>IF(OR(DATA_CLEANED!AL97="",DATA_CLEANED!AM97=""),"MANQUANT",IF(OR(NOT(ISNUMBER(DATA_CLEANED!AL97)),NOT(ISNUMBER(DATA_CLEANED!AM97))),"ENTREE INVALIDE",IF(OR(DATA_CLEANED!AL97&lt;0,DATA_CLEANED!AM97&lt;0),"SCORE NEGATIF","OK")))</f>
        <v>OK</v>
      </c>
      <c r="BF106" s="43" t="str">
        <f>IF(DATA_CLEANED!AK97&lt;&gt;DATA_CLEANED!AN97,"OK","ERREUR")</f>
        <v>OK</v>
      </c>
      <c r="BG106" s="43" t="str">
        <f>IF(DATA_CLEANED!AL97&gt;DATA_CLEANED!AM97,DATA_CLEANED!AK97,IF(AND(DATA_QUALITE!W4583="-",DATA_CLEANED!AM97=DATA_CLEANED!AL97),"MATCH NUL",IF(AND(DATA_QUALITE!V4583="-",DATA_QUALITE!U4583="AUCUNE"),DATA_QUALITE!T4583,IF(DATA_QUALITE!V4583&lt;&gt;"-",DATA_QUALITE!V4583,DATA_CLEANED!AN97))))</f>
        <v>Austria</v>
      </c>
      <c r="BH106" s="103" t="str">
        <f>IF(AND(BG106="MATCH NUL",DATA_CLEANED!AO97="-"),"MATCH_NUL",IF(ISNUMBER(SEARCH("win on penalties",W4583)),"WIN_BY_PENALTY",IF(ISNUMBER(SEARCH("win after extra time",W4583)),"WIN_BY_EXTRA_TIME",IF(ISNUMBER(SEARCH("Golden Goal",W4583)),"WIN_BY_GOLDEN_GOAL","WIN_BY_SCORE"))))</f>
        <v>WIN_BY_SCORE</v>
      </c>
      <c r="BI106" s="99" t="str">
        <f>IF(OR(BG106=DATA_CLEANED!AK97,BG106=DATA_CLEANED!AN97,BG106="MATCH NUL"),"OK","ERREUR")</f>
        <v>OK</v>
      </c>
    </row>
    <row r="107" spans="2:61">
      <c r="B107" s="74">
        <v>1986</v>
      </c>
      <c r="C107" s="30" t="str">
        <v>Quarter-finals</v>
      </c>
      <c r="D107" s="30" t="str">
        <v>Brazil</v>
      </c>
      <c r="E107" s="30" t="str">
        <v>France</v>
      </c>
      <c r="F107" s="30" t="str">
        <v>Brazil</v>
      </c>
      <c r="G107" s="30" t="str">
        <v>Alemão</v>
      </c>
      <c r="H107" s="30" t="str">
        <v>Joël Bats</v>
      </c>
      <c r="I107" s="30">
        <v>3</v>
      </c>
      <c r="J107" s="30">
        <v>2</v>
      </c>
      <c r="K107" s="30" t="str">
        <v>'1-0</v>
      </c>
      <c r="L107" s="30" t="str">
        <v>No</v>
      </c>
      <c r="M107" s="30" t="str">
        <v>No</v>
      </c>
      <c r="N107" s="30" t="str">
        <v>Goal</v>
      </c>
      <c r="O107" s="30" t="str">
        <f t="shared" si="14"/>
        <v>1986|Quarter-finals|Brazil|France|Brazil|Alemão|Joël Bats|3|2|'1-0|No|No|Goal</v>
      </c>
      <c r="P107" s="96" t="str">
        <f>IF(COUNTIF($G$32:O107,O107)&gt;1,"DOUBLON","OK")</f>
        <v>OK</v>
      </c>
      <c r="R107" s="23" t="s">
        <v>44</v>
      </c>
      <c r="S107" s="30" t="str">
        <v>Republic of Ireland</v>
      </c>
      <c r="T107" s="30" t="str">
        <f t="shared" si="15"/>
        <v>ERREUR</v>
      </c>
      <c r="U107" s="30" t="str">
        <f t="shared" si="10"/>
        <v>RENOMMER</v>
      </c>
      <c r="V107" s="30" t="str" cm="1">
        <f t="array" ref="V107">_xlfn.IFS(
ISNUMBER(SEARCH("USA",S107)),"United States",
ISNUMBER(SEARCH("Republic of Korea",S107)),"South Korea",
ISNUMBER(SEARCH("Cape Verde",S107)),"Cabo Verde",
ISNUMBER(SEARCH("Czechia",S107)),"Czech Republic",
ISNUMBER(SEARCH("Türkiye",S107)),"Turkey",
ISNUMBER(SEARCH("Ivory Coast",S107)),"Côte d'Ivoire",
ISNUMBER(SEARCH("Korea Republic",S107)),"South Korea",
ISNUMBER(SEARCH("Germany FR",S107)),"FR Germany",
ISNUMBER(SEARCH("West Germany",S107)),"FR Germany",
ISNUMBER(SEARCH("Germany DR",S107)),"DR Germany",
ISNUMBER(SEARCH("Korea DPR",S107)),"North Korea",
ISNUMBER(SEARCH("China PR",S107)),"China",
ISNUMBER(SEARCH("IR Iran",S107)),"Iran",
ISNUMBER(SEARCH("Congo DR",S107)),"Democratic Republic of the Congo",
ISNUMBER(SEARCH("DR Congo",S107)),"Democratic Republic of the Congo",
ISNUMBER(SEARCH("German DR",S107)),"DR Germany",
ISNUMBER(SEARCH("rn""&gt;United Arab Emirates",S107)),"United Arab Emirates",
ISNUMBER(SEARCH("rn""&gt;Republic of Ireland",S107)),"Ireland",
ISNUMBER(SEARCH("rn""&gt;Bosnia and Herzegovina",S107)),"Bosnia and Herzegovina",
ISNUMBER(SEARCH("rn""&gt;Trinidad and Tobago",S107)),"Trinidad and Tobago",
ISNUMBER(SEARCH("rn""&gt;Serbia and Montenegro",S107)),"Serbia and Montenegro",
ISNUMBER(SEARCH(_xlfn.UNICHAR(65533),S107)),"Côte d'Ivoire",
TRUE,""
)</f>
        <v/>
      </c>
      <c r="W107" s="30" t="str">
        <f t="shared" si="13"/>
        <v>Republic of Ireland</v>
      </c>
      <c r="Z107" s="40" t="str">
        <v>Eucaliptos</v>
      </c>
      <c r="AA107" s="40" t="str" cm="1">
        <f t="array" ref="AA107">IFERROR(_xlfn.XLOOKUP(Z107,_xlfn.ANCHORARRAY(Z$31),AA$31:AA$37),Z107)</f>
        <v>Eucaliptos</v>
      </c>
      <c r="AB107" s="42" t="str">
        <v xml:space="preserve">Porto Alegre </v>
      </c>
      <c r="AC107" s="89" t="str">
        <f t="shared" si="16"/>
        <v xml:space="preserve">Porto Alegre </v>
      </c>
      <c r="AE107" s="42">
        <v>1934</v>
      </c>
      <c r="AK107" s="42">
        <v>7</v>
      </c>
      <c r="AL107" s="42">
        <v>1</v>
      </c>
      <c r="AV107" s="37" t="str">
        <v>QUARTER_FINALS</v>
      </c>
      <c r="AW107" s="89" t="str">
        <v>QUARTER_FINALS</v>
      </c>
      <c r="BE107" s="43" t="str">
        <f>IF(OR(DATA_CLEANED!AL98="",DATA_CLEANED!AM98=""),"MANQUANT",IF(OR(NOT(ISNUMBER(DATA_CLEANED!AL98)),NOT(ISNUMBER(DATA_CLEANED!AM98))),"ENTREE INVALIDE",IF(OR(DATA_CLEANED!AL98&lt;0,DATA_CLEANED!AM98&lt;0),"SCORE NEGATIF","OK")))</f>
        <v>OK</v>
      </c>
      <c r="BF107" s="43" t="str">
        <f>IF(DATA_CLEANED!AK98&lt;&gt;DATA_CLEANED!AN98,"OK","ERREUR")</f>
        <v>OK</v>
      </c>
      <c r="BG107" s="43" t="str">
        <f>IF(DATA_CLEANED!AL98&gt;DATA_CLEANED!AM98,DATA_CLEANED!AK98,IF(AND(DATA_QUALITE!W4584="-",DATA_CLEANED!AM98=DATA_CLEANED!AL98),"MATCH NUL",IF(AND(DATA_QUALITE!V4584="-",DATA_QUALITE!U4584="AUCUNE"),DATA_QUALITE!T4584,IF(DATA_QUALITE!V4584&lt;&gt;"-",DATA_QUALITE!V4584,DATA_CLEANED!AN98))))</f>
        <v>FR Germany</v>
      </c>
      <c r="BH107" s="103" t="str">
        <f>IF(AND(BG107="MATCH NUL",DATA_CLEANED!AO98="-"),"MATCH_NUL",IF(ISNUMBER(SEARCH("win on penalties",W4584)),"WIN_BY_PENALTY",IF(ISNUMBER(SEARCH("win after extra time",W4584)),"WIN_BY_EXTRA_TIME",IF(ISNUMBER(SEARCH("Golden Goal",W4584)),"WIN_BY_GOLDEN_GOAL","WIN_BY_SCORE"))))</f>
        <v>WIN_BY_SCORE</v>
      </c>
      <c r="BI107" s="99" t="str">
        <f>IF(OR(BG107=DATA_CLEANED!AK98,BG107=DATA_CLEANED!AN98,BG107="MATCH NUL"),"OK","ERREUR")</f>
        <v>OK</v>
      </c>
    </row>
    <row r="108" spans="2:61">
      <c r="B108" s="74">
        <v>1986</v>
      </c>
      <c r="C108" s="30" t="str">
        <v>Quarter-finals</v>
      </c>
      <c r="D108" s="30" t="str">
        <v>Brazil</v>
      </c>
      <c r="E108" s="30" t="str">
        <v>France</v>
      </c>
      <c r="F108" s="30" t="str">
        <v>France</v>
      </c>
      <c r="G108" s="30" t="str">
        <v>Manuel Amoros</v>
      </c>
      <c r="H108" s="30" t="str">
        <v>Carlos</v>
      </c>
      <c r="I108" s="30">
        <v>4</v>
      </c>
      <c r="J108" s="30">
        <v>2</v>
      </c>
      <c r="K108" s="30" t="str">
        <v>'1-1</v>
      </c>
      <c r="L108" s="30" t="str">
        <v>No</v>
      </c>
      <c r="M108" s="30" t="str">
        <v>No</v>
      </c>
      <c r="N108" s="30" t="str">
        <v>Goal</v>
      </c>
      <c r="O108" s="30" t="str">
        <f t="shared" si="14"/>
        <v>1986|Quarter-finals|Brazil|France|France|Manuel Amoros|Carlos|4|2|'1-1|No|No|Goal</v>
      </c>
      <c r="P108" s="96" t="str">
        <f>IF(COUNTIF($G$32:O108,O108)&gt;1,"DOUBLON","OK")</f>
        <v>OK</v>
      </c>
      <c r="R108" s="23" t="s">
        <v>3739</v>
      </c>
      <c r="S108" s="30" t="str">
        <v>Republic of Ireland</v>
      </c>
      <c r="T108" s="30" t="str">
        <f t="shared" si="15"/>
        <v>ERREUR</v>
      </c>
      <c r="U108" s="30" t="str">
        <f t="shared" si="10"/>
        <v>RENOMMER</v>
      </c>
      <c r="V108" s="30" t="str" cm="1">
        <f t="array" ref="V108">_xlfn.IFS(
ISNUMBER(SEARCH("USA",S108)),"United States",
ISNUMBER(SEARCH("Republic of Korea",S108)),"South Korea",
ISNUMBER(SEARCH("Cape Verde",S108)),"Cabo Verde",
ISNUMBER(SEARCH("Czechia",S108)),"Czech Republic",
ISNUMBER(SEARCH("Türkiye",S108)),"Turkey",
ISNUMBER(SEARCH("Ivory Coast",S108)),"Côte d'Ivoire",
ISNUMBER(SEARCH("Korea Republic",S108)),"South Korea",
ISNUMBER(SEARCH("Germany FR",S108)),"FR Germany",
ISNUMBER(SEARCH("West Germany",S108)),"FR Germany",
ISNUMBER(SEARCH("Germany DR",S108)),"DR Germany",
ISNUMBER(SEARCH("Korea DPR",S108)),"North Korea",
ISNUMBER(SEARCH("China PR",S108)),"China",
ISNUMBER(SEARCH("IR Iran",S108)),"Iran",
ISNUMBER(SEARCH("Congo DR",S108)),"Democratic Republic of the Congo",
ISNUMBER(SEARCH("DR Congo",S108)),"Democratic Republic of the Congo",
ISNUMBER(SEARCH("German DR",S108)),"DR Germany",
ISNUMBER(SEARCH("rn""&gt;United Arab Emirates",S108)),"United Arab Emirates",
ISNUMBER(SEARCH("rn""&gt;Republic of Ireland",S108)),"Ireland",
ISNUMBER(SEARCH("rn""&gt;Bosnia and Herzegovina",S108)),"Bosnia and Herzegovina",
ISNUMBER(SEARCH("rn""&gt;Trinidad and Tobago",S108)),"Trinidad and Tobago",
ISNUMBER(SEARCH("rn""&gt;Serbia and Montenegro",S108)),"Serbia and Montenegro",
ISNUMBER(SEARCH(_xlfn.UNICHAR(65533),S108)),"Côte d'Ivoire",
TRUE,""
)</f>
        <v/>
      </c>
      <c r="W108" s="30" t="str">
        <f t="shared" si="13"/>
        <v>Republic of Ireland</v>
      </c>
      <c r="Z108" s="40" t="str">
        <v>Ilha do Retiro</v>
      </c>
      <c r="AA108" s="40" t="str" cm="1">
        <f t="array" ref="AA108">IFERROR(_xlfn.XLOOKUP(Z108,_xlfn.ANCHORARRAY(Z$31),AA$31:AA$37),Z108)</f>
        <v>Ilha do Retiro</v>
      </c>
      <c r="AB108" s="42" t="str">
        <v xml:space="preserve">Recife </v>
      </c>
      <c r="AC108" s="89" t="str">
        <f t="shared" si="16"/>
        <v xml:space="preserve">Recife </v>
      </c>
      <c r="AE108" s="42">
        <v>1934</v>
      </c>
      <c r="AK108" s="42">
        <v>2</v>
      </c>
      <c r="AL108" s="42">
        <v>1</v>
      </c>
      <c r="AV108" s="37" t="str">
        <v>QUARTER_FINALS</v>
      </c>
      <c r="AW108" s="89" t="str">
        <v>QUARTER_FINALS</v>
      </c>
      <c r="BE108" s="43" t="str">
        <f>IF(OR(DATA_CLEANED!AL99="",DATA_CLEANED!AM99=""),"MANQUANT",IF(OR(NOT(ISNUMBER(DATA_CLEANED!AL99)),NOT(ISNUMBER(DATA_CLEANED!AM99))),"ENTREE INVALIDE",IF(OR(DATA_CLEANED!AL99&lt;0,DATA_CLEANED!AM99&lt;0),"SCORE NEGATIF","OK")))</f>
        <v>OK</v>
      </c>
      <c r="BF108" s="43" t="str">
        <f>IF(DATA_CLEANED!AK99&lt;&gt;DATA_CLEANED!AN99,"OK","ERREUR")</f>
        <v>OK</v>
      </c>
      <c r="BG108" s="43" t="str">
        <f>IF(DATA_CLEANED!AL99&gt;DATA_CLEANED!AM99,DATA_CLEANED!AK99,IF(AND(DATA_QUALITE!W4585="-",DATA_CLEANED!AM99=DATA_CLEANED!AL99),"MATCH NUL",IF(AND(DATA_QUALITE!V4585="-",DATA_QUALITE!U4585="AUCUNE"),DATA_QUALITE!T4585,IF(DATA_QUALITE!V4585&lt;&gt;"-",DATA_QUALITE!V4585,DATA_CLEANED!AN99))))</f>
        <v>Hungary</v>
      </c>
      <c r="BH108" s="103" t="str">
        <f>IF(AND(BG108="MATCH NUL",DATA_CLEANED!AO99="-"),"MATCH_NUL",IF(ISNUMBER(SEARCH("win on penalties",W4585)),"WIN_BY_PENALTY",IF(ISNUMBER(SEARCH("win after extra time",W4585)),"WIN_BY_EXTRA_TIME",IF(ISNUMBER(SEARCH("Golden Goal",W4585)),"WIN_BY_GOLDEN_GOAL","WIN_BY_SCORE"))))</f>
        <v>WIN_BY_SCORE</v>
      </c>
      <c r="BI108" s="99" t="str">
        <f>IF(OR(BG108=DATA_CLEANED!AK99,BG108=DATA_CLEANED!AN99,BG108="MATCH NUL"),"OK","ERREUR")</f>
        <v>OK</v>
      </c>
    </row>
    <row r="109" spans="2:61">
      <c r="B109" s="74">
        <v>1986</v>
      </c>
      <c r="C109" s="30" t="str">
        <v>Quarter-finals</v>
      </c>
      <c r="D109" s="30" t="str">
        <v>Brazil</v>
      </c>
      <c r="E109" s="30" t="str">
        <v>France</v>
      </c>
      <c r="F109" s="30" t="str">
        <v>Brazil</v>
      </c>
      <c r="G109" s="30" t="str">
        <v>Zico</v>
      </c>
      <c r="H109" s="30" t="str">
        <v>Joël Bats</v>
      </c>
      <c r="I109" s="30">
        <v>5</v>
      </c>
      <c r="J109" s="30">
        <v>3</v>
      </c>
      <c r="K109" s="30" t="str">
        <v>'2-1</v>
      </c>
      <c r="L109" s="30" t="str">
        <v>No</v>
      </c>
      <c r="M109" s="30" t="str">
        <v>No</v>
      </c>
      <c r="N109" s="30" t="str">
        <v>Goal</v>
      </c>
      <c r="O109" s="30" t="str">
        <f t="shared" si="14"/>
        <v>1986|Quarter-finals|Brazil|France|Brazil|Zico|Joël Bats|5|3|'2-1|No|No|Goal</v>
      </c>
      <c r="P109" s="96" t="str">
        <f>IF(COUNTIF($G$32:O109,O109)&gt;1,"DOUBLON","OK")</f>
        <v>OK</v>
      </c>
      <c r="R109" s="23" t="s">
        <v>15</v>
      </c>
      <c r="S109" s="30" t="str">
        <v>Republic of Ireland</v>
      </c>
      <c r="T109" s="30" t="str">
        <f t="shared" si="15"/>
        <v>ERREUR</v>
      </c>
      <c r="U109" s="30" t="str">
        <f t="shared" si="10"/>
        <v>RENOMMER</v>
      </c>
      <c r="V109" s="30" t="str" cm="1">
        <f t="array" ref="V109">_xlfn.IFS(
ISNUMBER(SEARCH("USA",S109)),"United States",
ISNUMBER(SEARCH("Republic of Korea",S109)),"South Korea",
ISNUMBER(SEARCH("Cape Verde",S109)),"Cabo Verde",
ISNUMBER(SEARCH("Czechia",S109)),"Czech Republic",
ISNUMBER(SEARCH("Türkiye",S109)),"Turkey",
ISNUMBER(SEARCH("Ivory Coast",S109)),"Côte d'Ivoire",
ISNUMBER(SEARCH("Korea Republic",S109)),"South Korea",
ISNUMBER(SEARCH("Germany FR",S109)),"FR Germany",
ISNUMBER(SEARCH("West Germany",S109)),"FR Germany",
ISNUMBER(SEARCH("Germany DR",S109)),"DR Germany",
ISNUMBER(SEARCH("Korea DPR",S109)),"North Korea",
ISNUMBER(SEARCH("China PR",S109)),"China",
ISNUMBER(SEARCH("IR Iran",S109)),"Iran",
ISNUMBER(SEARCH("Congo DR",S109)),"Democratic Republic of the Congo",
ISNUMBER(SEARCH("DR Congo",S109)),"Democratic Republic of the Congo",
ISNUMBER(SEARCH("German DR",S109)),"DR Germany",
ISNUMBER(SEARCH("rn""&gt;United Arab Emirates",S109)),"United Arab Emirates",
ISNUMBER(SEARCH("rn""&gt;Republic of Ireland",S109)),"Ireland",
ISNUMBER(SEARCH("rn""&gt;Bosnia and Herzegovina",S109)),"Bosnia and Herzegovina",
ISNUMBER(SEARCH("rn""&gt;Trinidad and Tobago",S109)),"Trinidad and Tobago",
ISNUMBER(SEARCH("rn""&gt;Serbia and Montenegro",S109)),"Serbia and Montenegro",
ISNUMBER(SEARCH(_xlfn.UNICHAR(65533),S109)),"Côte d'Ivoire",
TRUE,""
)</f>
        <v/>
      </c>
      <c r="W109" s="30" t="str">
        <f t="shared" si="13"/>
        <v>Republic of Ireland</v>
      </c>
      <c r="Z109" s="40" t="str">
        <v>Pacaembu</v>
      </c>
      <c r="AA109" s="40" t="str" cm="1">
        <f t="array" ref="AA109">IFERROR(_xlfn.XLOOKUP(Z109,_xlfn.ANCHORARRAY(Z$31),AA$31:AA$37),Z109)</f>
        <v>Pacaembu</v>
      </c>
      <c r="AB109" s="42" t="str">
        <v xml:space="preserve">Sao Paulo </v>
      </c>
      <c r="AC109" s="89" t="str">
        <f t="shared" si="16"/>
        <v xml:space="preserve">Sao Paulo </v>
      </c>
      <c r="AE109" s="42">
        <v>1934</v>
      </c>
      <c r="AK109" s="42">
        <v>3</v>
      </c>
      <c r="AL109" s="42">
        <v>2</v>
      </c>
      <c r="AV109" s="37" t="str">
        <v>FINAL</v>
      </c>
      <c r="AW109" s="89" t="str">
        <v>SEMI_FINALS</v>
      </c>
      <c r="BE109" s="43" t="str">
        <f>IF(OR(DATA_CLEANED!AL100="",DATA_CLEANED!AM100=""),"MANQUANT",IF(OR(NOT(ISNUMBER(DATA_CLEANED!AL100)),NOT(ISNUMBER(DATA_CLEANED!AM100))),"ENTREE INVALIDE",IF(OR(DATA_CLEANED!AL100&lt;0,DATA_CLEANED!AM100&lt;0),"SCORE NEGATIF","OK")))</f>
        <v>OK</v>
      </c>
      <c r="BF109" s="43" t="str">
        <f>IF(DATA_CLEANED!AK100&lt;&gt;DATA_CLEANED!AN100,"OK","ERREUR")</f>
        <v>OK</v>
      </c>
      <c r="BG109" s="43" t="str">
        <f>IF(DATA_CLEANED!AL100&gt;DATA_CLEANED!AM100,DATA_CLEANED!AK100,IF(AND(DATA_QUALITE!W4586="-",DATA_CLEANED!AM100=DATA_CLEANED!AL100),"MATCH NUL",IF(AND(DATA_QUALITE!V4586="-",DATA_QUALITE!U4586="AUCUNE"),DATA_QUALITE!T4586,IF(DATA_QUALITE!V4586&lt;&gt;"-",DATA_QUALITE!V4586,DATA_CLEANED!AN100))))</f>
        <v>FR Germany</v>
      </c>
      <c r="BH109" s="103" t="str">
        <f>IF(AND(BG109="MATCH NUL",DATA_CLEANED!AO100="-"),"MATCH_NUL",IF(ISNUMBER(SEARCH("win on penalties",W4586)),"WIN_BY_PENALTY",IF(ISNUMBER(SEARCH("win after extra time",W4586)),"WIN_BY_EXTRA_TIME",IF(ISNUMBER(SEARCH("Golden Goal",W4586)),"WIN_BY_GOLDEN_GOAL","WIN_BY_SCORE"))))</f>
        <v>WIN_BY_SCORE</v>
      </c>
      <c r="BI109" s="99" t="str">
        <f>IF(OR(BG109=DATA_CLEANED!AK100,BG109=DATA_CLEANED!AN100,BG109="MATCH NUL"),"OK","ERREUR")</f>
        <v>OK</v>
      </c>
    </row>
    <row r="110" spans="2:61">
      <c r="B110" s="74">
        <v>1986</v>
      </c>
      <c r="C110" s="30" t="str">
        <v>Quarter-finals</v>
      </c>
      <c r="D110" s="30" t="str">
        <v>Brazil</v>
      </c>
      <c r="E110" s="30" t="str">
        <v>France</v>
      </c>
      <c r="F110" s="30" t="str">
        <v>France</v>
      </c>
      <c r="G110" s="30" t="str">
        <v>Bruno Bellone</v>
      </c>
      <c r="H110" s="30" t="str">
        <v>Carlos</v>
      </c>
      <c r="I110" s="30">
        <v>6</v>
      </c>
      <c r="J110" s="30">
        <v>3</v>
      </c>
      <c r="K110" s="30" t="str">
        <v>'2-2</v>
      </c>
      <c r="L110" s="30" t="str">
        <v>No</v>
      </c>
      <c r="M110" s="30" t="str">
        <v>No</v>
      </c>
      <c r="N110" s="30" t="str">
        <v>Goal</v>
      </c>
      <c r="O110" s="30" t="str">
        <f t="shared" si="14"/>
        <v>1986|Quarter-finals|Brazil|France|France|Bruno Bellone|Carlos|6|3|'2-2|No|No|Goal</v>
      </c>
      <c r="P110" s="96" t="str">
        <f>IF(COUNTIF($G$32:O110,O110)&gt;1,"DOUBLON","OK")</f>
        <v>OK</v>
      </c>
      <c r="R110" s="23" t="s">
        <v>80</v>
      </c>
      <c r="S110" s="30" t="str">
        <v>Republic of Ireland</v>
      </c>
      <c r="T110" s="30" t="str">
        <f t="shared" si="15"/>
        <v>ERREUR</v>
      </c>
      <c r="U110" s="30" t="str">
        <f t="shared" si="10"/>
        <v>RENOMMER</v>
      </c>
      <c r="V110" s="30" t="str" cm="1">
        <f t="array" ref="V110">_xlfn.IFS(
ISNUMBER(SEARCH("USA",S110)),"United States",
ISNUMBER(SEARCH("Republic of Korea",S110)),"South Korea",
ISNUMBER(SEARCH("Cape Verde",S110)),"Cabo Verde",
ISNUMBER(SEARCH("Czechia",S110)),"Czech Republic",
ISNUMBER(SEARCH("Türkiye",S110)),"Turkey",
ISNUMBER(SEARCH("Ivory Coast",S110)),"Côte d'Ivoire",
ISNUMBER(SEARCH("Korea Republic",S110)),"South Korea",
ISNUMBER(SEARCH("Germany FR",S110)),"FR Germany",
ISNUMBER(SEARCH("West Germany",S110)),"FR Germany",
ISNUMBER(SEARCH("Germany DR",S110)),"DR Germany",
ISNUMBER(SEARCH("Korea DPR",S110)),"North Korea",
ISNUMBER(SEARCH("China PR",S110)),"China",
ISNUMBER(SEARCH("IR Iran",S110)),"Iran",
ISNUMBER(SEARCH("Congo DR",S110)),"Democratic Republic of the Congo",
ISNUMBER(SEARCH("DR Congo",S110)),"Democratic Republic of the Congo",
ISNUMBER(SEARCH("German DR",S110)),"DR Germany",
ISNUMBER(SEARCH("rn""&gt;United Arab Emirates",S110)),"United Arab Emirates",
ISNUMBER(SEARCH("rn""&gt;Republic of Ireland",S110)),"Ireland",
ISNUMBER(SEARCH("rn""&gt;Bosnia and Herzegovina",S110)),"Bosnia and Herzegovina",
ISNUMBER(SEARCH("rn""&gt;Trinidad and Tobago",S110)),"Trinidad and Tobago",
ISNUMBER(SEARCH("rn""&gt;Serbia and Montenegro",S110)),"Serbia and Montenegro",
ISNUMBER(SEARCH(_xlfn.UNICHAR(65533),S110)),"Côte d'Ivoire",
TRUE,""
)</f>
        <v/>
      </c>
      <c r="W110" s="30" t="str">
        <f t="shared" si="13"/>
        <v>Republic of Ireland</v>
      </c>
      <c r="Z110" s="40" t="str">
        <v>Maracan� - Est�dio Jornalista M�rio Filho</v>
      </c>
      <c r="AA110" s="40" t="str" cm="1">
        <f t="array" ref="AA110">IFERROR(_xlfn.XLOOKUP(Z110,_xlfn.ANCHORARRAY(Z$31),AA$31:AA$37),Z110)</f>
        <v>Maracanã - Estádio Jornalista Mário Filho</v>
      </c>
      <c r="AB110" s="42" t="str">
        <v xml:space="preserve">Rio De Janeiro </v>
      </c>
      <c r="AC110" s="89" t="str">
        <f t="shared" si="16"/>
        <v xml:space="preserve">Rio De Janeiro </v>
      </c>
      <c r="AE110" s="42">
        <v>1934</v>
      </c>
      <c r="AK110" s="42">
        <v>2</v>
      </c>
      <c r="AL110" s="42">
        <v>1</v>
      </c>
      <c r="AV110" s="37" t="str">
        <v>FINAL</v>
      </c>
      <c r="AW110" s="89" t="str">
        <v>SEMI_FINALS</v>
      </c>
      <c r="BE110" s="43" t="str">
        <f>IF(OR(DATA_CLEANED!AL101="",DATA_CLEANED!AM101=""),"MANQUANT",IF(OR(NOT(ISNUMBER(DATA_CLEANED!AL101)),NOT(ISNUMBER(DATA_CLEANED!AM101))),"ENTREE INVALIDE",IF(OR(DATA_CLEANED!AL101&lt;0,DATA_CLEANED!AM101&lt;0),"SCORE NEGATIF","OK")))</f>
        <v>OK</v>
      </c>
      <c r="BF110" s="43" t="str">
        <f>IF(DATA_CLEANED!AK101&lt;&gt;DATA_CLEANED!AN101,"OK","ERREUR")</f>
        <v>OK</v>
      </c>
      <c r="BG110" s="43" t="str">
        <f>IF(DATA_CLEANED!AL101&gt;DATA_CLEANED!AM101,DATA_CLEANED!AK101,IF(AND(DATA_QUALITE!W4587="-",DATA_CLEANED!AM101=DATA_CLEANED!AL101),"MATCH NUL",IF(AND(DATA_QUALITE!V4587="-",DATA_QUALITE!U4587="AUCUNE"),DATA_QUALITE!T4587,IF(DATA_QUALITE!V4587&lt;&gt;"-",DATA_QUALITE!V4587,DATA_CLEANED!AN101))))</f>
        <v>Hungary</v>
      </c>
      <c r="BH110" s="103" t="str">
        <f>IF(AND(BG110="MATCH NUL",DATA_CLEANED!AO101="-"),"MATCH_NUL",IF(ISNUMBER(SEARCH("win on penalties",W4587)),"WIN_BY_PENALTY",IF(ISNUMBER(SEARCH("win after extra time",W4587)),"WIN_BY_EXTRA_TIME",IF(ISNUMBER(SEARCH("Golden Goal",W4587)),"WIN_BY_GOLDEN_GOAL","WIN_BY_SCORE"))))</f>
        <v>WIN_BY_EXTRA_TIME</v>
      </c>
      <c r="BI110" s="99" t="str">
        <f>IF(OR(BG110=DATA_CLEANED!AK101,BG110=DATA_CLEANED!AN101,BG110="MATCH NUL"),"OK","ERREUR")</f>
        <v>OK</v>
      </c>
    </row>
    <row r="111" spans="2:61">
      <c r="B111" s="74">
        <v>1986</v>
      </c>
      <c r="C111" s="30" t="str">
        <v>Quarter-finals</v>
      </c>
      <c r="D111" s="30" t="str">
        <v>Brazil</v>
      </c>
      <c r="E111" s="30" t="str">
        <v>France</v>
      </c>
      <c r="F111" s="30" t="str">
        <v>Brazil</v>
      </c>
      <c r="G111" s="30" t="str">
        <v>Branco</v>
      </c>
      <c r="H111" s="30" t="str">
        <v>Joël Bats</v>
      </c>
      <c r="I111" s="30">
        <v>7</v>
      </c>
      <c r="J111" s="30">
        <v>4</v>
      </c>
      <c r="K111" s="30" t="str">
        <v>'3-2</v>
      </c>
      <c r="L111" s="30" t="str">
        <v>No</v>
      </c>
      <c r="M111" s="30" t="str">
        <v>No</v>
      </c>
      <c r="N111" s="30" t="str">
        <v>Goal</v>
      </c>
      <c r="O111" s="30" t="str">
        <f t="shared" si="14"/>
        <v>1986|Quarter-finals|Brazil|France|Brazil|Branco|Joël Bats|7|4|'3-2|No|No|Goal</v>
      </c>
      <c r="P111" s="96" t="str">
        <f>IF(COUNTIF($G$32:O111,O111)&gt;1,"DOUBLON","OK")</f>
        <v>OK</v>
      </c>
      <c r="R111" s="23" t="s">
        <v>3639</v>
      </c>
      <c r="S111" s="30" t="str">
        <v>Republic of Ireland</v>
      </c>
      <c r="T111" s="30" t="str">
        <f t="shared" si="15"/>
        <v>ERREUR</v>
      </c>
      <c r="U111" s="30" t="str">
        <f t="shared" si="10"/>
        <v>RENOMMER</v>
      </c>
      <c r="V111" s="30" t="str" cm="1">
        <f t="array" ref="V111">_xlfn.IFS(
ISNUMBER(SEARCH("USA",S111)),"United States",
ISNUMBER(SEARCH("Republic of Korea",S111)),"South Korea",
ISNUMBER(SEARCH("Cape Verde",S111)),"Cabo Verde",
ISNUMBER(SEARCH("Czechia",S111)),"Czech Republic",
ISNUMBER(SEARCH("Türkiye",S111)),"Turkey",
ISNUMBER(SEARCH("Ivory Coast",S111)),"Côte d'Ivoire",
ISNUMBER(SEARCH("Korea Republic",S111)),"South Korea",
ISNUMBER(SEARCH("Germany FR",S111)),"FR Germany",
ISNUMBER(SEARCH("West Germany",S111)),"FR Germany",
ISNUMBER(SEARCH("Germany DR",S111)),"DR Germany",
ISNUMBER(SEARCH("Korea DPR",S111)),"North Korea",
ISNUMBER(SEARCH("China PR",S111)),"China",
ISNUMBER(SEARCH("IR Iran",S111)),"Iran",
ISNUMBER(SEARCH("Congo DR",S111)),"Democratic Republic of the Congo",
ISNUMBER(SEARCH("DR Congo",S111)),"Democratic Republic of the Congo",
ISNUMBER(SEARCH("German DR",S111)),"DR Germany",
ISNUMBER(SEARCH("rn""&gt;United Arab Emirates",S111)),"United Arab Emirates",
ISNUMBER(SEARCH("rn""&gt;Republic of Ireland",S111)),"Ireland",
ISNUMBER(SEARCH("rn""&gt;Bosnia and Herzegovina",S111)),"Bosnia and Herzegovina",
ISNUMBER(SEARCH("rn""&gt;Trinidad and Tobago",S111)),"Trinidad and Tobago",
ISNUMBER(SEARCH("rn""&gt;Serbia and Montenegro",S111)),"Serbia and Montenegro",
ISNUMBER(SEARCH(_xlfn.UNICHAR(65533),S111)),"Côte d'Ivoire",
TRUE,""
)</f>
        <v/>
      </c>
      <c r="W111" s="30" t="str">
        <f t="shared" si="13"/>
        <v>Republic of Ireland</v>
      </c>
      <c r="Z111" s="40" t="str">
        <v>Maracan� - Est�dio Jornalista M�rio Filho</v>
      </c>
      <c r="AA111" s="40" t="str" cm="1">
        <f t="array" ref="AA111">IFERROR(_xlfn.XLOOKUP(Z111,_xlfn.ANCHORARRAY(Z$31),AA$31:AA$37),Z111)</f>
        <v>Maracanã - Estádio Jornalista Mário Filho</v>
      </c>
      <c r="AB111" s="42" t="str">
        <v xml:space="preserve">Rio De Janeiro </v>
      </c>
      <c r="AC111" s="89" t="str">
        <f t="shared" si="16"/>
        <v xml:space="preserve">Rio De Janeiro </v>
      </c>
      <c r="AE111" s="42">
        <v>1934</v>
      </c>
      <c r="AK111" s="42">
        <v>1</v>
      </c>
      <c r="AL111" s="42">
        <v>1</v>
      </c>
      <c r="AV111" s="37" t="str">
        <v>FINAL</v>
      </c>
      <c r="AW111" s="89" t="str">
        <v>THIRD_PLACE</v>
      </c>
      <c r="BE111" s="43" t="str">
        <f>IF(OR(DATA_CLEANED!AL102="",DATA_CLEANED!AM102=""),"MANQUANT",IF(OR(NOT(ISNUMBER(DATA_CLEANED!AL102)),NOT(ISNUMBER(DATA_CLEANED!AM102))),"ENTREE INVALIDE",IF(OR(DATA_CLEANED!AL102&lt;0,DATA_CLEANED!AM102&lt;0),"SCORE NEGATIF","OK")))</f>
        <v>OK</v>
      </c>
      <c r="BF111" s="43" t="str">
        <f>IF(DATA_CLEANED!AK102&lt;&gt;DATA_CLEANED!AN102,"OK","ERREUR")</f>
        <v>OK</v>
      </c>
      <c r="BG111" s="43" t="str">
        <f>IF(DATA_CLEANED!AL102&gt;DATA_CLEANED!AM102,DATA_CLEANED!AK102,IF(AND(DATA_QUALITE!W4588="-",DATA_CLEANED!AM102=DATA_CLEANED!AL102),"MATCH NUL",IF(AND(DATA_QUALITE!V4588="-",DATA_QUALITE!U4588="AUCUNE"),DATA_QUALITE!T4588,IF(DATA_QUALITE!V4588&lt;&gt;"-",DATA_QUALITE!V4588,DATA_CLEANED!AN102))))</f>
        <v>Austria</v>
      </c>
      <c r="BH111" s="103" t="str">
        <f>IF(AND(BG111="MATCH NUL",DATA_CLEANED!AO102="-"),"MATCH_NUL",IF(ISNUMBER(SEARCH("win on penalties",W4588)),"WIN_BY_PENALTY",IF(ISNUMBER(SEARCH("win after extra time",W4588)),"WIN_BY_EXTRA_TIME",IF(ISNUMBER(SEARCH("Golden Goal",W4588)),"WIN_BY_GOLDEN_GOAL","WIN_BY_SCORE"))))</f>
        <v>WIN_BY_SCORE</v>
      </c>
      <c r="BI111" s="99" t="str">
        <f>IF(OR(BG111=DATA_CLEANED!AK102,BG111=DATA_CLEANED!AN102,BG111="MATCH NUL"),"OK","ERREUR")</f>
        <v>OK</v>
      </c>
    </row>
    <row r="112" spans="2:61">
      <c r="B112" s="74">
        <v>1986</v>
      </c>
      <c r="C112" s="30" t="str">
        <v>Quarter-finals</v>
      </c>
      <c r="D112" s="30" t="str">
        <v>Brazil</v>
      </c>
      <c r="E112" s="30" t="str">
        <v>France</v>
      </c>
      <c r="F112" s="30" t="str">
        <v>France</v>
      </c>
      <c r="G112" s="30" t="str">
        <v>Michel Platini</v>
      </c>
      <c r="H112" s="30" t="str">
        <v>Carlos</v>
      </c>
      <c r="I112" s="30">
        <v>8</v>
      </c>
      <c r="J112" s="30">
        <v>4</v>
      </c>
      <c r="K112" s="30" t="str">
        <v>'3-3</v>
      </c>
      <c r="L112" s="30" t="str">
        <v>No</v>
      </c>
      <c r="M112" s="30" t="str">
        <v>No</v>
      </c>
      <c r="N112" s="30" t="str">
        <v>Missed</v>
      </c>
      <c r="O112" s="30" t="str">
        <f t="shared" si="14"/>
        <v>1986|Quarter-finals|Brazil|France|France|Michel Platini|Carlos|8|4|'3-3|No|No|Missed</v>
      </c>
      <c r="P112" s="96" t="str">
        <f>IF(COUNTIF($G$32:O112,O112)&gt;1,"DOUBLON","OK")</f>
        <v>OK</v>
      </c>
      <c r="R112" s="23" t="s">
        <v>3640</v>
      </c>
      <c r="S112" s="30" t="str">
        <v>Argentina</v>
      </c>
      <c r="T112" s="30" t="str">
        <f t="shared" si="15"/>
        <v>OK</v>
      </c>
      <c r="U112" s="30" t="str">
        <f t="shared" si="10"/>
        <v>-</v>
      </c>
      <c r="V112" s="30" t="str" cm="1">
        <f t="array" ref="V112">_xlfn.IFS(
ISNUMBER(SEARCH("USA",S112)),"United States",
ISNUMBER(SEARCH("Republic of Korea",S112)),"South Korea",
ISNUMBER(SEARCH("Cape Verde",S112)),"Cabo Verde",
ISNUMBER(SEARCH("Czechia",S112)),"Czech Republic",
ISNUMBER(SEARCH("Türkiye",S112)),"Turkey",
ISNUMBER(SEARCH("Ivory Coast",S112)),"Côte d'Ivoire",
ISNUMBER(SEARCH("Korea Republic",S112)),"South Korea",
ISNUMBER(SEARCH("Germany FR",S112)),"FR Germany",
ISNUMBER(SEARCH("West Germany",S112)),"FR Germany",
ISNUMBER(SEARCH("Germany DR",S112)),"DR Germany",
ISNUMBER(SEARCH("Korea DPR",S112)),"North Korea",
ISNUMBER(SEARCH("China PR",S112)),"China",
ISNUMBER(SEARCH("IR Iran",S112)),"Iran",
ISNUMBER(SEARCH("Congo DR",S112)),"Democratic Republic of the Congo",
ISNUMBER(SEARCH("DR Congo",S112)),"Democratic Republic of the Congo",
ISNUMBER(SEARCH("German DR",S112)),"DR Germany",
ISNUMBER(SEARCH("rn""&gt;United Arab Emirates",S112)),"United Arab Emirates",
ISNUMBER(SEARCH("rn""&gt;Republic of Ireland",S112)),"Ireland",
ISNUMBER(SEARCH("rn""&gt;Bosnia and Herzegovina",S112)),"Bosnia and Herzegovina",
ISNUMBER(SEARCH("rn""&gt;Trinidad and Tobago",S112)),"Trinidad and Tobago",
ISNUMBER(SEARCH("rn""&gt;Serbia and Montenegro",S112)),"Serbia and Montenegro",
ISNUMBER(SEARCH(_xlfn.UNICHAR(65533),S112)),"Côte d'Ivoire",
TRUE,""
)</f>
        <v/>
      </c>
      <c r="W112" s="30" t="str">
        <f t="shared" si="13"/>
        <v>Argentina</v>
      </c>
      <c r="Z112" s="40" t="str">
        <v>Pacaembu</v>
      </c>
      <c r="AA112" s="40" t="str" cm="1">
        <f t="array" ref="AA112">IFERROR(_xlfn.XLOOKUP(Z112,_xlfn.ANCHORARRAY(Z$31),AA$31:AA$37),Z112)</f>
        <v>Pacaembu</v>
      </c>
      <c r="AB112" s="42" t="str">
        <v xml:space="preserve">Sao Paulo </v>
      </c>
      <c r="AC112" s="89" t="str">
        <f t="shared" si="16"/>
        <v xml:space="preserve">Sao Paulo </v>
      </c>
      <c r="AE112" s="42">
        <v>1934</v>
      </c>
      <c r="AK112" s="42">
        <v>2</v>
      </c>
      <c r="AL112" s="42">
        <v>1</v>
      </c>
      <c r="AV112" s="37" t="str">
        <v>FINAL</v>
      </c>
      <c r="AW112" s="89" t="str">
        <v>FINAL</v>
      </c>
      <c r="BE112" s="43" t="str">
        <f>IF(OR(DATA_CLEANED!AL103="",DATA_CLEANED!AM103=""),"MANQUANT",IF(OR(NOT(ISNUMBER(DATA_CLEANED!AL103)),NOT(ISNUMBER(DATA_CLEANED!AM103))),"ENTREE INVALIDE",IF(OR(DATA_CLEANED!AL103&lt;0,DATA_CLEANED!AM103&lt;0),"SCORE NEGATIF","OK")))</f>
        <v>OK</v>
      </c>
      <c r="BF112" s="43" t="str">
        <f>IF(DATA_CLEANED!AK103&lt;&gt;DATA_CLEANED!AN103,"OK","ERREUR")</f>
        <v>OK</v>
      </c>
      <c r="BG112" s="43" t="str">
        <f>IF(DATA_CLEANED!AL103&gt;DATA_CLEANED!AM103,DATA_CLEANED!AK103,IF(AND(DATA_QUALITE!W4589="-",DATA_CLEANED!AM103=DATA_CLEANED!AL103),"MATCH NUL",IF(AND(DATA_QUALITE!V4589="-",DATA_QUALITE!U4589="AUCUNE"),DATA_QUALITE!T4589,IF(DATA_QUALITE!V4589&lt;&gt;"-",DATA_QUALITE!V4589,DATA_CLEANED!AN103))))</f>
        <v>FR Germany</v>
      </c>
      <c r="BH112" s="103" t="str">
        <f>IF(AND(BG112="MATCH NUL",DATA_CLEANED!AO103="-"),"MATCH_NUL",IF(ISNUMBER(SEARCH("win on penalties",W4589)),"WIN_BY_PENALTY",IF(ISNUMBER(SEARCH("win after extra time",W4589)),"WIN_BY_EXTRA_TIME",IF(ISNUMBER(SEARCH("Golden Goal",W4589)),"WIN_BY_GOLDEN_GOAL","WIN_BY_SCORE"))))</f>
        <v>WIN_BY_SCORE</v>
      </c>
      <c r="BI112" s="99" t="str">
        <f>IF(OR(BG112=DATA_CLEANED!AK103,BG112=DATA_CLEANED!AN103,BG112="MATCH NUL"),"OK","ERREUR")</f>
        <v>OK</v>
      </c>
    </row>
    <row r="113" spans="2:61">
      <c r="B113" s="74">
        <v>1986</v>
      </c>
      <c r="C113" s="30" t="str">
        <v>Quarter-finals</v>
      </c>
      <c r="D113" s="30" t="str">
        <v>Brazil</v>
      </c>
      <c r="E113" s="30" t="str">
        <v>France</v>
      </c>
      <c r="F113" s="30" t="str">
        <v>Brazil</v>
      </c>
      <c r="G113" s="30" t="str">
        <v>Júlio César</v>
      </c>
      <c r="H113" s="30" t="str">
        <v>Joël Bats</v>
      </c>
      <c r="I113" s="30">
        <v>9</v>
      </c>
      <c r="J113" s="30">
        <v>5</v>
      </c>
      <c r="K113" s="30" t="str">
        <v>'3-3</v>
      </c>
      <c r="L113" s="30" t="str">
        <v>No</v>
      </c>
      <c r="M113" s="30" t="str">
        <v>No</v>
      </c>
      <c r="N113" s="30" t="str">
        <v>Missed</v>
      </c>
      <c r="O113" s="30" t="str">
        <f t="shared" si="14"/>
        <v>1986|Quarter-finals|Brazil|France|Brazil|Júlio César|Joël Bats|9|5|'3-3|No|No|Missed</v>
      </c>
      <c r="P113" s="96" t="str">
        <f>IF(COUNTIF($G$32:O113,O113)&gt;1,"DOUBLON","OK")</f>
        <v>OK</v>
      </c>
      <c r="R113" s="23" t="s">
        <v>71</v>
      </c>
      <c r="S113" s="30" t="str">
        <v>Argentina</v>
      </c>
      <c r="T113" s="30" t="str">
        <f t="shared" si="15"/>
        <v>OK</v>
      </c>
      <c r="U113" s="30" t="str">
        <f t="shared" si="10"/>
        <v>-</v>
      </c>
      <c r="V113" s="30" t="str" cm="1">
        <f t="array" ref="V113">_xlfn.IFS(
ISNUMBER(SEARCH("USA",S113)),"United States",
ISNUMBER(SEARCH("Republic of Korea",S113)),"South Korea",
ISNUMBER(SEARCH("Cape Verde",S113)),"Cabo Verde",
ISNUMBER(SEARCH("Czechia",S113)),"Czech Republic",
ISNUMBER(SEARCH("Türkiye",S113)),"Turkey",
ISNUMBER(SEARCH("Ivory Coast",S113)),"Côte d'Ivoire",
ISNUMBER(SEARCH("Korea Republic",S113)),"South Korea",
ISNUMBER(SEARCH("Germany FR",S113)),"FR Germany",
ISNUMBER(SEARCH("West Germany",S113)),"FR Germany",
ISNUMBER(SEARCH("Germany DR",S113)),"DR Germany",
ISNUMBER(SEARCH("Korea DPR",S113)),"North Korea",
ISNUMBER(SEARCH("China PR",S113)),"China",
ISNUMBER(SEARCH("IR Iran",S113)),"Iran",
ISNUMBER(SEARCH("Congo DR",S113)),"Democratic Republic of the Congo",
ISNUMBER(SEARCH("DR Congo",S113)),"Democratic Republic of the Congo",
ISNUMBER(SEARCH("German DR",S113)),"DR Germany",
ISNUMBER(SEARCH("rn""&gt;United Arab Emirates",S113)),"United Arab Emirates",
ISNUMBER(SEARCH("rn""&gt;Republic of Ireland",S113)),"Ireland",
ISNUMBER(SEARCH("rn""&gt;Bosnia and Herzegovina",S113)),"Bosnia and Herzegovina",
ISNUMBER(SEARCH("rn""&gt;Trinidad and Tobago",S113)),"Trinidad and Tobago",
ISNUMBER(SEARCH("rn""&gt;Serbia and Montenegro",S113)),"Serbia and Montenegro",
ISNUMBER(SEARCH(_xlfn.UNICHAR(65533),S113)),"Côte d'Ivoire",
TRUE,""
)</f>
        <v/>
      </c>
      <c r="W113" s="30" t="str">
        <f t="shared" si="13"/>
        <v>Argentina</v>
      </c>
      <c r="Z113" s="40" t="str">
        <v>Pacaembu</v>
      </c>
      <c r="AA113" s="40" t="str" cm="1">
        <f t="array" ref="AA113">IFERROR(_xlfn.XLOOKUP(Z113,_xlfn.ANCHORARRAY(Z$31),AA$31:AA$37),Z113)</f>
        <v>Pacaembu</v>
      </c>
      <c r="AB113" s="42" t="str">
        <v xml:space="preserve">Sao Paulo </v>
      </c>
      <c r="AC113" s="89" t="str">
        <f t="shared" si="16"/>
        <v xml:space="preserve">Sao Paulo </v>
      </c>
      <c r="AE113" s="42">
        <v>1934</v>
      </c>
      <c r="AK113" s="42">
        <v>1</v>
      </c>
      <c r="AL113" s="42">
        <v>0</v>
      </c>
      <c r="AV113" s="37" t="str">
        <v>FINAL</v>
      </c>
      <c r="AW113" s="89" t="str">
        <v>GROUP_STAGE</v>
      </c>
      <c r="BE113" s="43" t="str">
        <f>IF(OR(DATA_CLEANED!AL104="",DATA_CLEANED!AM104=""),"MANQUANT",IF(OR(NOT(ISNUMBER(DATA_CLEANED!AL104)),NOT(ISNUMBER(DATA_CLEANED!AM104))),"ENTREE INVALIDE",IF(OR(DATA_CLEANED!AL104&lt;0,DATA_CLEANED!AM104&lt;0),"SCORE NEGATIF","OK")))</f>
        <v>OK</v>
      </c>
      <c r="BF113" s="43" t="str">
        <f>IF(DATA_CLEANED!AK104&lt;&gt;DATA_CLEANED!AN104,"OK","ERREUR")</f>
        <v>OK</v>
      </c>
      <c r="BG113" s="43" t="str">
        <f>IF(DATA_CLEANED!AL104&gt;DATA_CLEANED!AM104,DATA_CLEANED!AK104,IF(AND(DATA_QUALITE!W4590="-",DATA_CLEANED!AM104=DATA_CLEANED!AL104),"MATCH NUL",IF(AND(DATA_QUALITE!V4590="-",DATA_QUALITE!U4590="AUCUNE"),DATA_QUALITE!T4590,IF(DATA_QUALITE!V4590&lt;&gt;"-",DATA_QUALITE!V4590,DATA_CLEANED!AN104))))</f>
        <v>Sweden</v>
      </c>
      <c r="BH113" s="103" t="str">
        <f>IF(AND(BG113="MATCH NUL",DATA_CLEANED!AO104="-"),"MATCH_NUL",IF(ISNUMBER(SEARCH("win on penalties",W4590)),"WIN_BY_PENALTY",IF(ISNUMBER(SEARCH("win after extra time",W4590)),"WIN_BY_EXTRA_TIME",IF(ISNUMBER(SEARCH("Golden Goal",W4590)),"WIN_BY_GOLDEN_GOAL","WIN_BY_SCORE"))))</f>
        <v>WIN_BY_SCORE</v>
      </c>
      <c r="BI113" s="99" t="str">
        <f>IF(OR(BG113=DATA_CLEANED!AK104,BG113=DATA_CLEANED!AN104,BG113="MATCH NUL"),"OK","ERREUR")</f>
        <v>OK</v>
      </c>
    </row>
    <row r="114" spans="2:61">
      <c r="B114" s="74">
        <v>1986</v>
      </c>
      <c r="C114" s="30" t="str">
        <v>Quarter-finals</v>
      </c>
      <c r="D114" s="30" t="str">
        <v>Brazil</v>
      </c>
      <c r="E114" s="30" t="str">
        <v>France</v>
      </c>
      <c r="F114" s="30" t="str">
        <v>France</v>
      </c>
      <c r="G114" s="30" t="str">
        <v>Luis Fernández</v>
      </c>
      <c r="H114" s="30" t="str">
        <v>Carlos</v>
      </c>
      <c r="I114" s="30">
        <v>10</v>
      </c>
      <c r="J114" s="30">
        <v>5</v>
      </c>
      <c r="K114" s="30" t="str">
        <v>'3-3</v>
      </c>
      <c r="L114" s="30" t="str">
        <v>No</v>
      </c>
      <c r="M114" s="30" t="str">
        <v>Yes</v>
      </c>
      <c r="N114" s="30" t="str">
        <v>Goal</v>
      </c>
      <c r="O114" s="30" t="str">
        <f t="shared" si="14"/>
        <v>1986|Quarter-finals|Brazil|France|France|Luis Fernández|Carlos|10|5|'3-3|No|Yes|Goal</v>
      </c>
      <c r="P114" s="96" t="str">
        <f>IF(COUNTIF($G$32:O114,O114)&gt;1,"DOUBLON","OK")</f>
        <v>OK</v>
      </c>
      <c r="R114" s="23" t="s">
        <v>48</v>
      </c>
      <c r="S114" s="30" t="str">
        <v>Argentina</v>
      </c>
      <c r="T114" s="30" t="str">
        <f t="shared" si="15"/>
        <v>OK</v>
      </c>
      <c r="U114" s="30" t="str">
        <f t="shared" si="10"/>
        <v>-</v>
      </c>
      <c r="V114" s="30" t="str" cm="1">
        <f t="array" ref="V114">_xlfn.IFS(
ISNUMBER(SEARCH("USA",S114)),"United States",
ISNUMBER(SEARCH("Republic of Korea",S114)),"South Korea",
ISNUMBER(SEARCH("Cape Verde",S114)),"Cabo Verde",
ISNUMBER(SEARCH("Czechia",S114)),"Czech Republic",
ISNUMBER(SEARCH("Türkiye",S114)),"Turkey",
ISNUMBER(SEARCH("Ivory Coast",S114)),"Côte d'Ivoire",
ISNUMBER(SEARCH("Korea Republic",S114)),"South Korea",
ISNUMBER(SEARCH("Germany FR",S114)),"FR Germany",
ISNUMBER(SEARCH("West Germany",S114)),"FR Germany",
ISNUMBER(SEARCH("Germany DR",S114)),"DR Germany",
ISNUMBER(SEARCH("Korea DPR",S114)),"North Korea",
ISNUMBER(SEARCH("China PR",S114)),"China",
ISNUMBER(SEARCH("IR Iran",S114)),"Iran",
ISNUMBER(SEARCH("Congo DR",S114)),"Democratic Republic of the Congo",
ISNUMBER(SEARCH("DR Congo",S114)),"Democratic Republic of the Congo",
ISNUMBER(SEARCH("German DR",S114)),"DR Germany",
ISNUMBER(SEARCH("rn""&gt;United Arab Emirates",S114)),"United Arab Emirates",
ISNUMBER(SEARCH("rn""&gt;Republic of Ireland",S114)),"Ireland",
ISNUMBER(SEARCH("rn""&gt;Bosnia and Herzegovina",S114)),"Bosnia and Herzegovina",
ISNUMBER(SEARCH("rn""&gt;Trinidad and Tobago",S114)),"Trinidad and Tobago",
ISNUMBER(SEARCH("rn""&gt;Serbia and Montenegro",S114)),"Serbia and Montenegro",
ISNUMBER(SEARCH(_xlfn.UNICHAR(65533),S114)),"Côte d'Ivoire",
TRUE,""
)</f>
        <v/>
      </c>
      <c r="W114" s="30" t="str">
        <f t="shared" si="13"/>
        <v>Argentina</v>
      </c>
      <c r="Z114" s="40" t="str">
        <v>Maracan� - Est�dio Jornalista M�rio Filho</v>
      </c>
      <c r="AA114" s="40" t="str" cm="1">
        <f t="array" ref="AA114">IFERROR(_xlfn.XLOOKUP(Z114,_xlfn.ANCHORARRAY(Z$31),AA$31:AA$37),Z114)</f>
        <v>Maracanã - Estádio Jornalista Mário Filho</v>
      </c>
      <c r="AB114" s="42" t="str">
        <v xml:space="preserve">Rio De Janeiro </v>
      </c>
      <c r="AC114" s="89" t="str">
        <f t="shared" si="16"/>
        <v xml:space="preserve">Rio De Janeiro </v>
      </c>
      <c r="AE114" s="42">
        <v>1934</v>
      </c>
      <c r="AK114" s="42">
        <v>1</v>
      </c>
      <c r="AL114" s="42">
        <v>0</v>
      </c>
      <c r="AV114" s="37" t="str">
        <v>FINAL</v>
      </c>
      <c r="AW114" s="89" t="str">
        <v>GROUP_STAGE</v>
      </c>
      <c r="BE114" s="43" t="str">
        <f>IF(OR(DATA_CLEANED!AL105="",DATA_CLEANED!AM105=""),"MANQUANT",IF(OR(NOT(ISNUMBER(DATA_CLEANED!AL105)),NOT(ISNUMBER(DATA_CLEANED!AM105))),"ENTREE INVALIDE",IF(OR(DATA_CLEANED!AL105&lt;0,DATA_CLEANED!AM105&lt;0),"SCORE NEGATIF","OK")))</f>
        <v>OK</v>
      </c>
      <c r="BF114" s="43" t="str">
        <f>IF(DATA_CLEANED!AK105&lt;&gt;DATA_CLEANED!AN105,"OK","ERREUR")</f>
        <v>OK</v>
      </c>
      <c r="BG114" s="43" t="str">
        <f>IF(DATA_CLEANED!AL105&gt;DATA_CLEANED!AM105,DATA_CLEANED!AK105,IF(AND(DATA_QUALITE!W4591="-",DATA_CLEANED!AM105=DATA_CLEANED!AL105),"MATCH NUL",IF(AND(DATA_QUALITE!V4591="-",DATA_QUALITE!U4591="AUCUNE"),DATA_QUALITE!T4591,IF(DATA_QUALITE!V4591&lt;&gt;"-",DATA_QUALITE!V4591,DATA_CLEANED!AN105))))</f>
        <v>MATCH NUL</v>
      </c>
      <c r="BH114" s="103" t="str">
        <f>IF(AND(BG114="MATCH NUL",DATA_CLEANED!AO105="-"),"MATCH_NUL",IF(ISNUMBER(SEARCH("win on penalties",W4591)),"WIN_BY_PENALTY",IF(ISNUMBER(SEARCH("win after extra time",W4591)),"WIN_BY_EXTRA_TIME",IF(ISNUMBER(SEARCH("Golden Goal",W4591)),"WIN_BY_GOLDEN_GOAL","WIN_BY_SCORE"))))</f>
        <v>MATCH_NUL</v>
      </c>
      <c r="BI114" s="99" t="str">
        <f>IF(OR(BG114=DATA_CLEANED!AK105,BG114=DATA_CLEANED!AN105,BG114="MATCH NUL"),"OK","ERREUR")</f>
        <v>OK</v>
      </c>
    </row>
    <row r="115" spans="2:61">
      <c r="B115" s="74">
        <v>1986</v>
      </c>
      <c r="C115" s="30" t="str">
        <v>Quarter-finals</v>
      </c>
      <c r="D115" s="30" t="str">
        <v>West Germany</v>
      </c>
      <c r="E115" s="30" t="str">
        <v>Mexico</v>
      </c>
      <c r="F115" s="30" t="str">
        <v>West Germany</v>
      </c>
      <c r="G115" s="30" t="str">
        <v>Klaus Allofs</v>
      </c>
      <c r="H115" s="30" t="str">
        <v>Pablo Larios</v>
      </c>
      <c r="I115" s="30">
        <v>1</v>
      </c>
      <c r="J115" s="30">
        <v>1</v>
      </c>
      <c r="K115" s="30" t="str">
        <v>'0-0</v>
      </c>
      <c r="L115" s="30" t="str">
        <v>No</v>
      </c>
      <c r="M115" s="30" t="str">
        <v>No</v>
      </c>
      <c r="N115" s="30" t="str">
        <v>Goal</v>
      </c>
      <c r="O115" s="30" t="str">
        <f t="shared" si="14"/>
        <v>1986|Quarter-finals|West Germany|Mexico|West Germany|Klaus Allofs|Pablo Larios|1|1|'0-0|No|No|Goal</v>
      </c>
      <c r="P115" s="96" t="str">
        <f>IF(COUNTIF($G$32:O115,O115)&gt;1,"DOUBLON","OK")</f>
        <v>OK</v>
      </c>
      <c r="R115" s="23" t="s">
        <v>3641</v>
      </c>
      <c r="S115" s="30" t="str">
        <v>Argentina</v>
      </c>
      <c r="T115" s="30" t="str">
        <f t="shared" si="15"/>
        <v>OK</v>
      </c>
      <c r="U115" s="30" t="str">
        <f t="shared" si="10"/>
        <v>-</v>
      </c>
      <c r="V115" s="30" t="str" cm="1">
        <f t="array" ref="V115">_xlfn.IFS(
ISNUMBER(SEARCH("USA",S115)),"United States",
ISNUMBER(SEARCH("Republic of Korea",S115)),"South Korea",
ISNUMBER(SEARCH("Cape Verde",S115)),"Cabo Verde",
ISNUMBER(SEARCH("Czechia",S115)),"Czech Republic",
ISNUMBER(SEARCH("Türkiye",S115)),"Turkey",
ISNUMBER(SEARCH("Ivory Coast",S115)),"Côte d'Ivoire",
ISNUMBER(SEARCH("Korea Republic",S115)),"South Korea",
ISNUMBER(SEARCH("Germany FR",S115)),"FR Germany",
ISNUMBER(SEARCH("West Germany",S115)),"FR Germany",
ISNUMBER(SEARCH("Germany DR",S115)),"DR Germany",
ISNUMBER(SEARCH("Korea DPR",S115)),"North Korea",
ISNUMBER(SEARCH("China PR",S115)),"China",
ISNUMBER(SEARCH("IR Iran",S115)),"Iran",
ISNUMBER(SEARCH("Congo DR",S115)),"Democratic Republic of the Congo",
ISNUMBER(SEARCH("DR Congo",S115)),"Democratic Republic of the Congo",
ISNUMBER(SEARCH("German DR",S115)),"DR Germany",
ISNUMBER(SEARCH("rn""&gt;United Arab Emirates",S115)),"United Arab Emirates",
ISNUMBER(SEARCH("rn""&gt;Republic of Ireland",S115)),"Ireland",
ISNUMBER(SEARCH("rn""&gt;Bosnia and Herzegovina",S115)),"Bosnia and Herzegovina",
ISNUMBER(SEARCH("rn""&gt;Trinidad and Tobago",S115)),"Trinidad and Tobago",
ISNUMBER(SEARCH("rn""&gt;Serbia and Montenegro",S115)),"Serbia and Montenegro",
ISNUMBER(SEARCH(_xlfn.UNICHAR(65533),S115)),"Côte d'Ivoire",
TRUE,""
)</f>
        <v/>
      </c>
      <c r="W115" s="30" t="str">
        <f t="shared" si="13"/>
        <v>Argentina</v>
      </c>
      <c r="Z115" s="40" t="str">
        <v>Wankdorf Stadium</v>
      </c>
      <c r="AA115" s="40" t="str" cm="1">
        <f t="array" ref="AA115">IFERROR(_xlfn.XLOOKUP(Z115,_xlfn.ANCHORARRAY(Z$31),AA$31:AA$37),Z115)</f>
        <v>Wankdorf Stadium</v>
      </c>
      <c r="AB115" s="42" t="str">
        <v xml:space="preserve">Berne </v>
      </c>
      <c r="AC115" s="89" t="str">
        <f t="shared" si="16"/>
        <v xml:space="preserve">Berne </v>
      </c>
      <c r="AE115" s="42">
        <v>1934</v>
      </c>
      <c r="AK115" s="42">
        <v>3</v>
      </c>
      <c r="AL115" s="42">
        <v>1</v>
      </c>
      <c r="AV115" s="37" t="str">
        <v>FINAL</v>
      </c>
      <c r="AW115" s="89" t="str">
        <v>GROUP_STAGE</v>
      </c>
      <c r="BE115" s="43" t="str">
        <f>IF(OR(DATA_CLEANED!AL106="",DATA_CLEANED!AM106=""),"MANQUANT",IF(OR(NOT(ISNUMBER(DATA_CLEANED!AL106)),NOT(ISNUMBER(DATA_CLEANED!AM106))),"ENTREE INVALIDE",IF(OR(DATA_CLEANED!AL106&lt;0,DATA_CLEANED!AM106&lt;0),"SCORE NEGATIF","OK")))</f>
        <v>OK</v>
      </c>
      <c r="BF115" s="43" t="str">
        <f>IF(DATA_CLEANED!AK106&lt;&gt;DATA_CLEANED!AN106,"OK","ERREUR")</f>
        <v>OK</v>
      </c>
      <c r="BG115" s="43" t="str">
        <f>IF(DATA_CLEANED!AL106&gt;DATA_CLEANED!AM106,DATA_CLEANED!AK106,IF(AND(DATA_QUALITE!W4592="-",DATA_CLEANED!AM106=DATA_CLEANED!AL106),"MATCH NUL",IF(AND(DATA_QUALITE!V4592="-",DATA_QUALITE!U4592="AUCUNE"),DATA_QUALITE!T4592,IF(DATA_QUALITE!V4592&lt;&gt;"-",DATA_QUALITE!V4592,DATA_CLEANED!AN106))))</f>
        <v>FR Germany</v>
      </c>
      <c r="BH115" s="103" t="str">
        <f>IF(AND(BG115="MATCH NUL",DATA_CLEANED!AO106="-"),"MATCH_NUL",IF(ISNUMBER(SEARCH("win on penalties",W4592)),"WIN_BY_PENALTY",IF(ISNUMBER(SEARCH("win after extra time",W4592)),"WIN_BY_EXTRA_TIME",IF(ISNUMBER(SEARCH("Golden Goal",W4592)),"WIN_BY_GOLDEN_GOAL","WIN_BY_SCORE"))))</f>
        <v>WIN_BY_SCORE</v>
      </c>
      <c r="BI115" s="99" t="str">
        <f>IF(OR(BG115=DATA_CLEANED!AK106,BG115=DATA_CLEANED!AN106,BG115="MATCH NUL"),"OK","ERREUR")</f>
        <v>OK</v>
      </c>
    </row>
    <row r="116" spans="2:61">
      <c r="B116" s="74">
        <v>1986</v>
      </c>
      <c r="C116" s="30" t="str">
        <v>Quarter-finals</v>
      </c>
      <c r="D116" s="30" t="str">
        <v>West Germany</v>
      </c>
      <c r="E116" s="30" t="str">
        <v>Mexico</v>
      </c>
      <c r="F116" s="30" t="str">
        <v>Mexico</v>
      </c>
      <c r="G116" s="30" t="str">
        <v>Manuel Negrete</v>
      </c>
      <c r="H116" s="30" t="str">
        <v>Harald Schumacher</v>
      </c>
      <c r="I116" s="30">
        <v>2</v>
      </c>
      <c r="J116" s="30">
        <v>1</v>
      </c>
      <c r="K116" s="30" t="str">
        <v>'1-0</v>
      </c>
      <c r="L116" s="30" t="str">
        <v>No</v>
      </c>
      <c r="M116" s="30" t="str">
        <v>No</v>
      </c>
      <c r="N116" s="30" t="str">
        <v>Goal</v>
      </c>
      <c r="O116" s="30" t="str">
        <f t="shared" si="14"/>
        <v>1986|Quarter-finals|West Germany|Mexico|Mexico|Manuel Negrete|Harald Schumacher|2|1|'1-0|No|No|Goal</v>
      </c>
      <c r="P116" s="96" t="str">
        <f>IF(COUNTIF($G$32:O116,O116)&gt;1,"DOUBLON","OK")</f>
        <v>OK</v>
      </c>
      <c r="R116" s="23" t="s">
        <v>3740</v>
      </c>
      <c r="S116" s="30" t="str">
        <v>Argentina</v>
      </c>
      <c r="T116" s="30" t="str">
        <f t="shared" si="15"/>
        <v>OK</v>
      </c>
      <c r="U116" s="30" t="str">
        <f t="shared" si="10"/>
        <v>-</v>
      </c>
      <c r="V116" s="30" t="str" cm="1">
        <f t="array" ref="V116">_xlfn.IFS(
ISNUMBER(SEARCH("USA",S116)),"United States",
ISNUMBER(SEARCH("Republic of Korea",S116)),"South Korea",
ISNUMBER(SEARCH("Cape Verde",S116)),"Cabo Verde",
ISNUMBER(SEARCH("Czechia",S116)),"Czech Republic",
ISNUMBER(SEARCH("Türkiye",S116)),"Turkey",
ISNUMBER(SEARCH("Ivory Coast",S116)),"Côte d'Ivoire",
ISNUMBER(SEARCH("Korea Republic",S116)),"South Korea",
ISNUMBER(SEARCH("Germany FR",S116)),"FR Germany",
ISNUMBER(SEARCH("West Germany",S116)),"FR Germany",
ISNUMBER(SEARCH("Germany DR",S116)),"DR Germany",
ISNUMBER(SEARCH("Korea DPR",S116)),"North Korea",
ISNUMBER(SEARCH("China PR",S116)),"China",
ISNUMBER(SEARCH("IR Iran",S116)),"Iran",
ISNUMBER(SEARCH("Congo DR",S116)),"Democratic Republic of the Congo",
ISNUMBER(SEARCH("DR Congo",S116)),"Democratic Republic of the Congo",
ISNUMBER(SEARCH("German DR",S116)),"DR Germany",
ISNUMBER(SEARCH("rn""&gt;United Arab Emirates",S116)),"United Arab Emirates",
ISNUMBER(SEARCH("rn""&gt;Republic of Ireland",S116)),"Ireland",
ISNUMBER(SEARCH("rn""&gt;Bosnia and Herzegovina",S116)),"Bosnia and Herzegovina",
ISNUMBER(SEARCH("rn""&gt;Trinidad and Tobago",S116)),"Trinidad and Tobago",
ISNUMBER(SEARCH("rn""&gt;Serbia and Montenegro",S116)),"Serbia and Montenegro",
ISNUMBER(SEARCH(_xlfn.UNICHAR(65533),S116)),"Côte d'Ivoire",
TRUE,""
)</f>
        <v/>
      </c>
      <c r="W116" s="30" t="str">
        <f t="shared" si="13"/>
        <v>Argentina</v>
      </c>
      <c r="Z116" s="40" t="str">
        <v>Hardturm</v>
      </c>
      <c r="AA116" s="40" t="str" cm="1">
        <f t="array" ref="AA116">IFERROR(_xlfn.XLOOKUP(Z116,_xlfn.ANCHORARRAY(Z$31),AA$31:AA$37),Z116)</f>
        <v>Hardturm</v>
      </c>
      <c r="AB116" s="42" t="str">
        <v xml:space="preserve">Zurich </v>
      </c>
      <c r="AC116" s="89" t="str">
        <f t="shared" si="16"/>
        <v xml:space="preserve">Zurich </v>
      </c>
      <c r="AE116" s="42">
        <v>1934</v>
      </c>
      <c r="AK116" s="42">
        <v>3</v>
      </c>
      <c r="AL116" s="42">
        <v>2</v>
      </c>
      <c r="AV116" s="37" t="str">
        <v>FINAL</v>
      </c>
      <c r="AW116" s="89" t="str">
        <v>GROUP_STAGE</v>
      </c>
      <c r="BE116" s="43" t="str">
        <f>IF(OR(DATA_CLEANED!AL107="",DATA_CLEANED!AM107=""),"MANQUANT",IF(OR(NOT(ISNUMBER(DATA_CLEANED!AL107)),NOT(ISNUMBER(DATA_CLEANED!AM107))),"ENTREE INVALIDE",IF(OR(DATA_CLEANED!AL107&lt;0,DATA_CLEANED!AM107&lt;0),"SCORE NEGATIF","OK")))</f>
        <v>OK</v>
      </c>
      <c r="BF116" s="43" t="str">
        <f>IF(DATA_CLEANED!AK107&lt;&gt;DATA_CLEANED!AN107,"OK","ERREUR")</f>
        <v>OK</v>
      </c>
      <c r="BG116" s="43" t="str">
        <f>IF(DATA_CLEANED!AL107&gt;DATA_CLEANED!AM107,DATA_CLEANED!AK107,IF(AND(DATA_QUALITE!W4593="-",DATA_CLEANED!AM107=DATA_CLEANED!AL107),"MATCH NUL",IF(AND(DATA_QUALITE!V4593="-",DATA_QUALITE!U4593="AUCUNE"),DATA_QUALITE!T4593,IF(DATA_QUALITE!V4593&lt;&gt;"-",DATA_QUALITE!V4593,DATA_CLEANED!AN107))))</f>
        <v>MATCH NUL</v>
      </c>
      <c r="BH116" s="103" t="str">
        <f>IF(AND(BG116="MATCH NUL",DATA_CLEANED!AO107="-"),"MATCH_NUL",IF(ISNUMBER(SEARCH("win on penalties",W4593)),"WIN_BY_PENALTY",IF(ISNUMBER(SEARCH("win after extra time",W4593)),"WIN_BY_EXTRA_TIME",IF(ISNUMBER(SEARCH("Golden Goal",W4593)),"WIN_BY_GOLDEN_GOAL","WIN_BY_SCORE"))))</f>
        <v>MATCH_NUL</v>
      </c>
      <c r="BI116" s="99" t="str">
        <f>IF(OR(BG116=DATA_CLEANED!AK107,BG116=DATA_CLEANED!AN107,BG116="MATCH NUL"),"OK","ERREUR")</f>
        <v>OK</v>
      </c>
    </row>
    <row r="117" spans="2:61">
      <c r="B117" s="74">
        <v>1986</v>
      </c>
      <c r="C117" s="30" t="str">
        <v>Quarter-finals</v>
      </c>
      <c r="D117" s="30" t="str">
        <v>West Germany</v>
      </c>
      <c r="E117" s="30" t="str">
        <v>Mexico</v>
      </c>
      <c r="F117" s="30" t="str">
        <v>West Germany</v>
      </c>
      <c r="G117" s="30" t="str">
        <v>Andreas Brehme</v>
      </c>
      <c r="H117" s="30" t="str">
        <v>Pablo Larios</v>
      </c>
      <c r="I117" s="30">
        <v>3</v>
      </c>
      <c r="J117" s="30">
        <v>2</v>
      </c>
      <c r="K117" s="30" t="str">
        <v>'1-1</v>
      </c>
      <c r="L117" s="30" t="str">
        <v>No</v>
      </c>
      <c r="M117" s="30" t="str">
        <v>No</v>
      </c>
      <c r="N117" s="30" t="str">
        <v>Goal</v>
      </c>
      <c r="O117" s="30" t="str">
        <f t="shared" si="14"/>
        <v>1986|Quarter-finals|West Germany|Mexico|West Germany|Andreas Brehme|Pablo Larios|3|2|'1-1|No|No|Goal</v>
      </c>
      <c r="P117" s="96" t="str">
        <f>IF(COUNTIF($G$32:O117,O117)&gt;1,"DOUBLON","OK")</f>
        <v>OK</v>
      </c>
      <c r="R117" s="23" t="s">
        <v>2538</v>
      </c>
      <c r="S117" s="30" t="str">
        <v>Argentina</v>
      </c>
      <c r="T117" s="30" t="str">
        <f t="shared" si="15"/>
        <v>OK</v>
      </c>
      <c r="U117" s="30" t="str">
        <f t="shared" si="10"/>
        <v>-</v>
      </c>
      <c r="V117" s="30" t="str" cm="1">
        <f t="array" ref="V117">_xlfn.IFS(
ISNUMBER(SEARCH("USA",S117)),"United States",
ISNUMBER(SEARCH("Republic of Korea",S117)),"South Korea",
ISNUMBER(SEARCH("Cape Verde",S117)),"Cabo Verde",
ISNUMBER(SEARCH("Czechia",S117)),"Czech Republic",
ISNUMBER(SEARCH("Türkiye",S117)),"Turkey",
ISNUMBER(SEARCH("Ivory Coast",S117)),"Côte d'Ivoire",
ISNUMBER(SEARCH("Korea Republic",S117)),"South Korea",
ISNUMBER(SEARCH("Germany FR",S117)),"FR Germany",
ISNUMBER(SEARCH("West Germany",S117)),"FR Germany",
ISNUMBER(SEARCH("Germany DR",S117)),"DR Germany",
ISNUMBER(SEARCH("Korea DPR",S117)),"North Korea",
ISNUMBER(SEARCH("China PR",S117)),"China",
ISNUMBER(SEARCH("IR Iran",S117)),"Iran",
ISNUMBER(SEARCH("Congo DR",S117)),"Democratic Republic of the Congo",
ISNUMBER(SEARCH("DR Congo",S117)),"Democratic Republic of the Congo",
ISNUMBER(SEARCH("German DR",S117)),"DR Germany",
ISNUMBER(SEARCH("rn""&gt;United Arab Emirates",S117)),"United Arab Emirates",
ISNUMBER(SEARCH("rn""&gt;Republic of Ireland",S117)),"Ireland",
ISNUMBER(SEARCH("rn""&gt;Bosnia and Herzegovina",S117)),"Bosnia and Herzegovina",
ISNUMBER(SEARCH("rn""&gt;Trinidad and Tobago",S117)),"Trinidad and Tobago",
ISNUMBER(SEARCH("rn""&gt;Serbia and Montenegro",S117)),"Serbia and Montenegro",
ISNUMBER(SEARCH(_xlfn.UNICHAR(65533),S117)),"Côte d'Ivoire",
TRUE,""
)</f>
        <v/>
      </c>
      <c r="W117" s="30" t="str">
        <f t="shared" si="13"/>
        <v>Argentina</v>
      </c>
      <c r="Z117" s="40" t="str">
        <v>Charmilles</v>
      </c>
      <c r="AA117" s="40" t="str" cm="1">
        <f t="array" ref="AA117">IFERROR(_xlfn.XLOOKUP(Z117,_xlfn.ANCHORARRAY(Z$31),AA$31:AA$37),Z117)</f>
        <v>Charmilles</v>
      </c>
      <c r="AB117" s="42" t="str">
        <v xml:space="preserve">Geneva </v>
      </c>
      <c r="AC117" s="89" t="str">
        <f t="shared" si="16"/>
        <v xml:space="preserve">Geneva </v>
      </c>
      <c r="AE117" s="42">
        <v>1934</v>
      </c>
      <c r="AK117" s="42">
        <v>2</v>
      </c>
      <c r="AL117" s="42">
        <v>1</v>
      </c>
      <c r="AV117" s="37" t="str">
        <v>FINAL</v>
      </c>
      <c r="AW117" s="89" t="str">
        <v>GROUP_STAGE</v>
      </c>
      <c r="BE117" s="43" t="str">
        <f>IF(OR(DATA_CLEANED!AL108="",DATA_CLEANED!AM108=""),"MANQUANT",IF(OR(NOT(ISNUMBER(DATA_CLEANED!AL108)),NOT(ISNUMBER(DATA_CLEANED!AM108))),"ENTREE INVALIDE",IF(OR(DATA_CLEANED!AL108&lt;0,DATA_CLEANED!AM108&lt;0),"SCORE NEGATIF","OK")))</f>
        <v>OK</v>
      </c>
      <c r="BF117" s="43" t="str">
        <f>IF(DATA_CLEANED!AK108&lt;&gt;DATA_CLEANED!AN108,"OK","ERREUR")</f>
        <v>OK</v>
      </c>
      <c r="BG117" s="43" t="str">
        <f>IF(DATA_CLEANED!AL108&gt;DATA_CLEANED!AM108,DATA_CLEANED!AK108,IF(AND(DATA_QUALITE!W4594="-",DATA_CLEANED!AM108=DATA_CLEANED!AL108),"MATCH NUL",IF(AND(DATA_QUALITE!V4594="-",DATA_QUALITE!U4594="AUCUNE"),DATA_QUALITE!T4594,IF(DATA_QUALITE!V4594&lt;&gt;"-",DATA_QUALITE!V4594,DATA_CLEANED!AN108))))</f>
        <v>France</v>
      </c>
      <c r="BH117" s="103" t="str">
        <f>IF(AND(BG117="MATCH NUL",DATA_CLEANED!AO108="-"),"MATCH_NUL",IF(ISNUMBER(SEARCH("win on penalties",W4594)),"WIN_BY_PENALTY",IF(ISNUMBER(SEARCH("win after extra time",W4594)),"WIN_BY_EXTRA_TIME",IF(ISNUMBER(SEARCH("Golden Goal",W4594)),"WIN_BY_GOLDEN_GOAL","WIN_BY_SCORE"))))</f>
        <v>WIN_BY_SCORE</v>
      </c>
      <c r="BI117" s="99" t="str">
        <f>IF(OR(BG117=DATA_CLEANED!AK108,BG117=DATA_CLEANED!AN108,BG117="MATCH NUL"),"OK","ERREUR")</f>
        <v>OK</v>
      </c>
    </row>
    <row r="118" spans="2:61">
      <c r="B118" s="74">
        <v>1986</v>
      </c>
      <c r="C118" s="30" t="str">
        <v>Quarter-finals</v>
      </c>
      <c r="D118" s="30" t="str">
        <v>West Germany</v>
      </c>
      <c r="E118" s="30" t="str">
        <v>Mexico</v>
      </c>
      <c r="F118" s="30" t="str">
        <v>Mexico</v>
      </c>
      <c r="G118" s="30" t="str">
        <v>Fernando Quirarte</v>
      </c>
      <c r="H118" s="30" t="str">
        <v>Harald Schumacher</v>
      </c>
      <c r="I118" s="30">
        <v>4</v>
      </c>
      <c r="J118" s="30">
        <v>2</v>
      </c>
      <c r="K118" s="30" t="str">
        <v>'1-2</v>
      </c>
      <c r="L118" s="30" t="str">
        <v>No</v>
      </c>
      <c r="M118" s="30" t="str">
        <v>No</v>
      </c>
      <c r="N118" s="30" t="str">
        <v>Saved</v>
      </c>
      <c r="O118" s="30" t="str">
        <f t="shared" si="14"/>
        <v>1986|Quarter-finals|West Germany|Mexico|Mexico|Fernando Quirarte|Harald Schumacher|4|2|'1-2|No|No|Saved</v>
      </c>
      <c r="P118" s="96" t="str">
        <f>IF(COUNTIF($G$32:O118,O118)&gt;1,"DOUBLON","OK")</f>
        <v>OK</v>
      </c>
      <c r="R118" s="23" t="s">
        <v>20</v>
      </c>
      <c r="S118" s="30" t="str">
        <v>Argentina</v>
      </c>
      <c r="T118" s="30" t="str">
        <f t="shared" si="15"/>
        <v>OK</v>
      </c>
      <c r="U118" s="30" t="str">
        <f t="shared" si="10"/>
        <v>-</v>
      </c>
      <c r="V118" s="30" t="str" cm="1">
        <f t="array" ref="V118">_xlfn.IFS(
ISNUMBER(SEARCH("USA",S118)),"United States",
ISNUMBER(SEARCH("Republic of Korea",S118)),"South Korea",
ISNUMBER(SEARCH("Cape Verde",S118)),"Cabo Verde",
ISNUMBER(SEARCH("Czechia",S118)),"Czech Republic",
ISNUMBER(SEARCH("Türkiye",S118)),"Turkey",
ISNUMBER(SEARCH("Ivory Coast",S118)),"Côte d'Ivoire",
ISNUMBER(SEARCH("Korea Republic",S118)),"South Korea",
ISNUMBER(SEARCH("Germany FR",S118)),"FR Germany",
ISNUMBER(SEARCH("West Germany",S118)),"FR Germany",
ISNUMBER(SEARCH("Germany DR",S118)),"DR Germany",
ISNUMBER(SEARCH("Korea DPR",S118)),"North Korea",
ISNUMBER(SEARCH("China PR",S118)),"China",
ISNUMBER(SEARCH("IR Iran",S118)),"Iran",
ISNUMBER(SEARCH("Congo DR",S118)),"Democratic Republic of the Congo",
ISNUMBER(SEARCH("DR Congo",S118)),"Democratic Republic of the Congo",
ISNUMBER(SEARCH("German DR",S118)),"DR Germany",
ISNUMBER(SEARCH("rn""&gt;United Arab Emirates",S118)),"United Arab Emirates",
ISNUMBER(SEARCH("rn""&gt;Republic of Ireland",S118)),"Ireland",
ISNUMBER(SEARCH("rn""&gt;Bosnia and Herzegovina",S118)),"Bosnia and Herzegovina",
ISNUMBER(SEARCH("rn""&gt;Trinidad and Tobago",S118)),"Trinidad and Tobago",
ISNUMBER(SEARCH("rn""&gt;Serbia and Montenegro",S118)),"Serbia and Montenegro",
ISNUMBER(SEARCH(_xlfn.UNICHAR(65533),S118)),"Côte d'Ivoire",
TRUE,""
)</f>
        <v/>
      </c>
      <c r="W118" s="30" t="str">
        <f t="shared" si="13"/>
        <v>Argentina</v>
      </c>
      <c r="Z118" s="40" t="str">
        <v>La Pontaise</v>
      </c>
      <c r="AA118" s="40" t="str" cm="1">
        <f t="array" ref="AA118">IFERROR(_xlfn.XLOOKUP(Z118,_xlfn.ANCHORARRAY(Z$31),AA$31:AA$37),Z118)</f>
        <v>La Pontaise</v>
      </c>
      <c r="AB118" s="42" t="str">
        <v xml:space="preserve">Lausanne </v>
      </c>
      <c r="AC118" s="89" t="str">
        <f t="shared" si="16"/>
        <v xml:space="preserve">Lausanne </v>
      </c>
      <c r="AE118" s="42">
        <v>1938</v>
      </c>
      <c r="AK118" s="42">
        <v>1</v>
      </c>
      <c r="AL118" s="42">
        <v>1</v>
      </c>
      <c r="AV118" s="37" t="str">
        <v>ROUND_OF_16</v>
      </c>
      <c r="AW118" s="89" t="str">
        <v>GROUP_STAGE</v>
      </c>
      <c r="BE118" s="43" t="str">
        <f>IF(OR(DATA_CLEANED!AL109="",DATA_CLEANED!AM109=""),"MANQUANT",IF(OR(NOT(ISNUMBER(DATA_CLEANED!AL109)),NOT(ISNUMBER(DATA_CLEANED!AM109))),"ENTREE INVALIDE",IF(OR(DATA_CLEANED!AL109&lt;0,DATA_CLEANED!AM109&lt;0),"SCORE NEGATIF","OK")))</f>
        <v>OK</v>
      </c>
      <c r="BF118" s="43" t="str">
        <f>IF(DATA_CLEANED!AK109&lt;&gt;DATA_CLEANED!AN109,"OK","ERREUR")</f>
        <v>OK</v>
      </c>
      <c r="BG118" s="43" t="str">
        <f>IF(DATA_CLEANED!AL109&gt;DATA_CLEANED!AM109,DATA_CLEANED!AK109,IF(AND(DATA_QUALITE!W4595="-",DATA_CLEANED!AM109=DATA_CLEANED!AL109),"MATCH NUL",IF(AND(DATA_QUALITE!V4595="-",DATA_QUALITE!U4595="AUCUNE"),DATA_QUALITE!T4595,IF(DATA_QUALITE!V4595&lt;&gt;"-",DATA_QUALITE!V4595,DATA_CLEANED!AN109))))</f>
        <v>MATCH NUL</v>
      </c>
      <c r="BH118" s="103" t="str">
        <f>IF(AND(BG118="MATCH NUL",DATA_CLEANED!AO109="-"),"MATCH_NUL",IF(ISNUMBER(SEARCH("win on penalties",W4595)),"WIN_BY_PENALTY",IF(ISNUMBER(SEARCH("win after extra time",W4595)),"WIN_BY_EXTRA_TIME",IF(ISNUMBER(SEARCH("Golden Goal",W4595)),"WIN_BY_GOLDEN_GOAL","WIN_BY_SCORE"))))</f>
        <v>MATCH_NUL</v>
      </c>
      <c r="BI118" s="99" t="str">
        <f>IF(OR(BG118=DATA_CLEANED!AK109,BG118=DATA_CLEANED!AN109,BG118="MATCH NUL"),"OK","ERREUR")</f>
        <v>OK</v>
      </c>
    </row>
    <row r="119" spans="2:61">
      <c r="B119" s="74">
        <v>1986</v>
      </c>
      <c r="C119" s="30" t="str">
        <v>Quarter-finals</v>
      </c>
      <c r="D119" s="30" t="str">
        <v>West Germany</v>
      </c>
      <c r="E119" s="30" t="str">
        <v>Mexico</v>
      </c>
      <c r="F119" s="30" t="str">
        <v>West Germany</v>
      </c>
      <c r="G119" s="30" t="str">
        <v>Lothar Matthäus</v>
      </c>
      <c r="H119" s="30" t="str">
        <v>Pablo Larios</v>
      </c>
      <c r="I119" s="30">
        <v>5</v>
      </c>
      <c r="J119" s="30">
        <v>3</v>
      </c>
      <c r="K119" s="30" t="str">
        <v>'1-2</v>
      </c>
      <c r="L119" s="30" t="str">
        <v>No</v>
      </c>
      <c r="M119" s="30" t="str">
        <v>No</v>
      </c>
      <c r="N119" s="30" t="str">
        <v>Goal</v>
      </c>
      <c r="O119" s="30" t="str">
        <f t="shared" si="14"/>
        <v>1986|Quarter-finals|West Germany|Mexico|West Germany|Lothar Matthäus|Pablo Larios|5|3|'1-2|No|No|Goal</v>
      </c>
      <c r="P119" s="96" t="str">
        <f>IF(COUNTIF($G$32:O119,O119)&gt;1,"DOUBLON","OK")</f>
        <v>OK</v>
      </c>
      <c r="R119" s="23" t="s">
        <v>60</v>
      </c>
      <c r="S119" s="30" t="str">
        <v>Argentina</v>
      </c>
      <c r="T119" s="30" t="str">
        <f t="shared" si="15"/>
        <v>OK</v>
      </c>
      <c r="U119" s="30" t="str">
        <f t="shared" si="10"/>
        <v>-</v>
      </c>
      <c r="V119" s="30" t="str" cm="1">
        <f t="array" ref="V119">_xlfn.IFS(
ISNUMBER(SEARCH("USA",S119)),"United States",
ISNUMBER(SEARCH("Republic of Korea",S119)),"South Korea",
ISNUMBER(SEARCH("Cape Verde",S119)),"Cabo Verde",
ISNUMBER(SEARCH("Czechia",S119)),"Czech Republic",
ISNUMBER(SEARCH("Türkiye",S119)),"Turkey",
ISNUMBER(SEARCH("Ivory Coast",S119)),"Côte d'Ivoire",
ISNUMBER(SEARCH("Korea Republic",S119)),"South Korea",
ISNUMBER(SEARCH("Germany FR",S119)),"FR Germany",
ISNUMBER(SEARCH("West Germany",S119)),"FR Germany",
ISNUMBER(SEARCH("Germany DR",S119)),"DR Germany",
ISNUMBER(SEARCH("Korea DPR",S119)),"North Korea",
ISNUMBER(SEARCH("China PR",S119)),"China",
ISNUMBER(SEARCH("IR Iran",S119)),"Iran",
ISNUMBER(SEARCH("Congo DR",S119)),"Democratic Republic of the Congo",
ISNUMBER(SEARCH("DR Congo",S119)),"Democratic Republic of the Congo",
ISNUMBER(SEARCH("German DR",S119)),"DR Germany",
ISNUMBER(SEARCH("rn""&gt;United Arab Emirates",S119)),"United Arab Emirates",
ISNUMBER(SEARCH("rn""&gt;Republic of Ireland",S119)),"Ireland",
ISNUMBER(SEARCH("rn""&gt;Bosnia and Herzegovina",S119)),"Bosnia and Herzegovina",
ISNUMBER(SEARCH("rn""&gt;Trinidad and Tobago",S119)),"Trinidad and Tobago",
ISNUMBER(SEARCH("rn""&gt;Serbia and Montenegro",S119)),"Serbia and Montenegro",
ISNUMBER(SEARCH(_xlfn.UNICHAR(65533),S119)),"Côte d'Ivoire",
TRUE,""
)</f>
        <v/>
      </c>
      <c r="W119" s="30" t="str">
        <f t="shared" si="13"/>
        <v>Argentina</v>
      </c>
      <c r="Z119" s="40" t="str">
        <v>Wankdorf Stadium</v>
      </c>
      <c r="AA119" s="40" t="str" cm="1">
        <f t="array" ref="AA119">IFERROR(_xlfn.XLOOKUP(Z119,_xlfn.ANCHORARRAY(Z$31),AA$31:AA$37),Z119)</f>
        <v>Wankdorf Stadium</v>
      </c>
      <c r="AB119" s="42" t="str">
        <v xml:space="preserve">Berne </v>
      </c>
      <c r="AC119" s="89" t="str">
        <f t="shared" si="16"/>
        <v xml:space="preserve">Berne </v>
      </c>
      <c r="AE119" s="42">
        <v>1938</v>
      </c>
      <c r="AK119" s="42">
        <v>6</v>
      </c>
      <c r="AL119" s="42">
        <v>0</v>
      </c>
      <c r="AV119" s="37" t="str">
        <v>ROUND_OF_16</v>
      </c>
      <c r="AW119" s="89" t="str">
        <v>GROUP_STAGE</v>
      </c>
      <c r="BE119" s="43" t="str">
        <f>IF(OR(DATA_CLEANED!AL110="",DATA_CLEANED!AM110=""),"MANQUANT",IF(OR(NOT(ISNUMBER(DATA_CLEANED!AL110)),NOT(ISNUMBER(DATA_CLEANED!AM110))),"ENTREE INVALIDE",IF(OR(DATA_CLEANED!AL110&lt;0,DATA_CLEANED!AM110&lt;0),"SCORE NEGATIF","OK")))</f>
        <v>OK</v>
      </c>
      <c r="BF119" s="43" t="str">
        <f>IF(DATA_CLEANED!AK110&lt;&gt;DATA_CLEANED!AN110,"OK","ERREUR")</f>
        <v>OK</v>
      </c>
      <c r="BG119" s="43" t="str">
        <f>IF(DATA_CLEANED!AL110&gt;DATA_CLEANED!AM110,DATA_CLEANED!AK110,IF(AND(DATA_QUALITE!W4596="-",DATA_CLEANED!AM110=DATA_CLEANED!AL110),"MATCH NUL",IF(AND(DATA_QUALITE!V4596="-",DATA_QUALITE!U4596="AUCUNE"),DATA_QUALITE!T4596,IF(DATA_QUALITE!V4596&lt;&gt;"-",DATA_QUALITE!V4596,DATA_CLEANED!AN110))))</f>
        <v>Brazil</v>
      </c>
      <c r="BH119" s="103" t="str">
        <f>IF(AND(BG119="MATCH NUL",DATA_CLEANED!AO110="-"),"MATCH_NUL",IF(ISNUMBER(SEARCH("win on penalties",W4596)),"WIN_BY_PENALTY",IF(ISNUMBER(SEARCH("win after extra time",W4596)),"WIN_BY_EXTRA_TIME",IF(ISNUMBER(SEARCH("Golden Goal",W4596)),"WIN_BY_GOLDEN_GOAL","WIN_BY_SCORE"))))</f>
        <v>WIN_BY_SCORE</v>
      </c>
      <c r="BI119" s="99" t="str">
        <f>IF(OR(BG119=DATA_CLEANED!AK110,BG119=DATA_CLEANED!AN110,BG119="MATCH NUL"),"OK","ERREUR")</f>
        <v>OK</v>
      </c>
    </row>
    <row r="120" spans="2:61">
      <c r="B120" s="74">
        <v>1986</v>
      </c>
      <c r="C120" s="30" t="str">
        <v>Quarter-finals</v>
      </c>
      <c r="D120" s="30" t="str">
        <v>West Germany</v>
      </c>
      <c r="E120" s="30" t="str">
        <v>Mexico</v>
      </c>
      <c r="F120" s="30" t="str">
        <v>Mexico</v>
      </c>
      <c r="G120" s="30" t="str">
        <v>Raúl Servín</v>
      </c>
      <c r="H120" s="30" t="str">
        <v>Harald Schumacher</v>
      </c>
      <c r="I120" s="30">
        <v>6</v>
      </c>
      <c r="J120" s="30">
        <v>3</v>
      </c>
      <c r="K120" s="30" t="str">
        <v>'1-3</v>
      </c>
      <c r="L120" s="30" t="str">
        <v>No</v>
      </c>
      <c r="M120" s="30" t="str">
        <v>No</v>
      </c>
      <c r="N120" s="30" t="str">
        <v>Saved</v>
      </c>
      <c r="O120" s="30" t="str">
        <f t="shared" si="14"/>
        <v>1986|Quarter-finals|West Germany|Mexico|Mexico|Raúl Servín|Harald Schumacher|6|3|'1-3|No|No|Saved</v>
      </c>
      <c r="P120" s="96" t="str">
        <f>IF(COUNTIF($G$32:O120,O120)&gt;1,"DOUBLON","OK")</f>
        <v>OK</v>
      </c>
      <c r="R120" s="23" t="s">
        <v>62</v>
      </c>
      <c r="S120" s="30" t="str">
        <v>Argentina</v>
      </c>
      <c r="T120" s="30" t="str">
        <f t="shared" si="15"/>
        <v>OK</v>
      </c>
      <c r="U120" s="30" t="str">
        <f t="shared" si="10"/>
        <v>-</v>
      </c>
      <c r="V120" s="30" t="str" cm="1">
        <f t="array" ref="V120">_xlfn.IFS(
ISNUMBER(SEARCH("USA",S120)),"United States",
ISNUMBER(SEARCH("Republic of Korea",S120)),"South Korea",
ISNUMBER(SEARCH("Cape Verde",S120)),"Cabo Verde",
ISNUMBER(SEARCH("Czechia",S120)),"Czech Republic",
ISNUMBER(SEARCH("Türkiye",S120)),"Turkey",
ISNUMBER(SEARCH("Ivory Coast",S120)),"Côte d'Ivoire",
ISNUMBER(SEARCH("Korea Republic",S120)),"South Korea",
ISNUMBER(SEARCH("Germany FR",S120)),"FR Germany",
ISNUMBER(SEARCH("West Germany",S120)),"FR Germany",
ISNUMBER(SEARCH("Germany DR",S120)),"DR Germany",
ISNUMBER(SEARCH("Korea DPR",S120)),"North Korea",
ISNUMBER(SEARCH("China PR",S120)),"China",
ISNUMBER(SEARCH("IR Iran",S120)),"Iran",
ISNUMBER(SEARCH("Congo DR",S120)),"Democratic Republic of the Congo",
ISNUMBER(SEARCH("DR Congo",S120)),"Democratic Republic of the Congo",
ISNUMBER(SEARCH("German DR",S120)),"DR Germany",
ISNUMBER(SEARCH("rn""&gt;United Arab Emirates",S120)),"United Arab Emirates",
ISNUMBER(SEARCH("rn""&gt;Republic of Ireland",S120)),"Ireland",
ISNUMBER(SEARCH("rn""&gt;Bosnia and Herzegovina",S120)),"Bosnia and Herzegovina",
ISNUMBER(SEARCH("rn""&gt;Trinidad and Tobago",S120)),"Trinidad and Tobago",
ISNUMBER(SEARCH("rn""&gt;Serbia and Montenegro",S120)),"Serbia and Montenegro",
ISNUMBER(SEARCH(_xlfn.UNICHAR(65533),S120)),"Côte d'Ivoire",
TRUE,""
)</f>
        <v/>
      </c>
      <c r="W120" s="30" t="str">
        <f t="shared" si="13"/>
        <v>Argentina</v>
      </c>
      <c r="Z120" s="40" t="str">
        <v>Hardturm</v>
      </c>
      <c r="AA120" s="40" t="str" cm="1">
        <f t="array" ref="AA120">IFERROR(_xlfn.XLOOKUP(Z120,_xlfn.ANCHORARRAY(Z$31),AA$31:AA$37),Z120)</f>
        <v>Hardturm</v>
      </c>
      <c r="AB120" s="42" t="str">
        <v xml:space="preserve">Zurich </v>
      </c>
      <c r="AC120" s="89" t="str">
        <f t="shared" si="16"/>
        <v xml:space="preserve">Zurich </v>
      </c>
      <c r="AE120" s="42">
        <v>1938</v>
      </c>
      <c r="AK120" s="42">
        <v>3</v>
      </c>
      <c r="AL120" s="42">
        <v>1</v>
      </c>
      <c r="AV120" s="37" t="str">
        <v>ROUND_OF_16</v>
      </c>
      <c r="AW120" s="89" t="str">
        <v>GROUP_STAGE</v>
      </c>
      <c r="BE120" s="43" t="str">
        <f>IF(OR(DATA_CLEANED!AL111="",DATA_CLEANED!AM111=""),"MANQUANT",IF(OR(NOT(ISNUMBER(DATA_CLEANED!AL111)),NOT(ISNUMBER(DATA_CLEANED!AM111))),"ENTREE INVALIDE",IF(OR(DATA_CLEANED!AL111&lt;0,DATA_CLEANED!AM111&lt;0),"SCORE NEGATIF","OK")))</f>
        <v>OK</v>
      </c>
      <c r="BF120" s="43" t="str">
        <f>IF(DATA_CLEANED!AK111&lt;&gt;DATA_CLEANED!AN111,"OK","ERREUR")</f>
        <v>OK</v>
      </c>
      <c r="BG120" s="43" t="str">
        <f>IF(DATA_CLEANED!AL111&gt;DATA_CLEANED!AM111,DATA_CLEANED!AK111,IF(AND(DATA_QUALITE!W4597="-",DATA_CLEANED!AM111=DATA_CLEANED!AL111),"MATCH NUL",IF(AND(DATA_QUALITE!V4597="-",DATA_QUALITE!U4597="AUCUNE"),DATA_QUALITE!T4597,IF(DATA_QUALITE!V4597&lt;&gt;"-",DATA_QUALITE!V4597,DATA_CLEANED!AN111))))</f>
        <v>Northern Ireland</v>
      </c>
      <c r="BH120" s="103" t="str">
        <f>IF(AND(BG120="MATCH NUL",DATA_CLEANED!AO111="-"),"MATCH_NUL",IF(ISNUMBER(SEARCH("win on penalties",W4597)),"WIN_BY_PENALTY",IF(ISNUMBER(SEARCH("win after extra time",W4597)),"WIN_BY_EXTRA_TIME",IF(ISNUMBER(SEARCH("Golden Goal",W4597)),"WIN_BY_GOLDEN_GOAL","WIN_BY_SCORE"))))</f>
        <v>WIN_BY_SCORE</v>
      </c>
      <c r="BI120" s="99" t="str">
        <f>IF(OR(BG120=DATA_CLEANED!AK111,BG120=DATA_CLEANED!AN111,BG120="MATCH NUL"),"OK","ERREUR")</f>
        <v>OK</v>
      </c>
    </row>
    <row r="121" spans="2:61">
      <c r="B121" s="74">
        <v>1986</v>
      </c>
      <c r="C121" s="30" t="str">
        <v>Quarter-finals</v>
      </c>
      <c r="D121" s="30" t="str">
        <v>West Germany</v>
      </c>
      <c r="E121" s="30" t="str">
        <v>Mexico</v>
      </c>
      <c r="F121" s="30" t="str">
        <v>West Germany</v>
      </c>
      <c r="G121" s="30" t="str">
        <v>Pierre Littbarski</v>
      </c>
      <c r="H121" s="30" t="str">
        <v>Pablo Larios</v>
      </c>
      <c r="I121" s="30">
        <v>7</v>
      </c>
      <c r="J121" s="30">
        <v>4</v>
      </c>
      <c r="K121" s="30" t="str">
        <v>'1-3</v>
      </c>
      <c r="L121" s="30" t="str">
        <v>No</v>
      </c>
      <c r="M121" s="30" t="str">
        <v>Yes</v>
      </c>
      <c r="N121" s="30" t="str">
        <v>Goal</v>
      </c>
      <c r="O121" s="30" t="str">
        <f t="shared" si="14"/>
        <v>1986|Quarter-finals|West Germany|Mexico|West Germany|Pierre Littbarski|Pablo Larios|7|4|'1-3|No|Yes|Goal</v>
      </c>
      <c r="P121" s="96" t="str">
        <f>IF(COUNTIF($G$32:O121,O121)&gt;1,"DOUBLON","OK")</f>
        <v>OK</v>
      </c>
      <c r="R121" s="23" t="s">
        <v>3741</v>
      </c>
      <c r="S121" s="30" t="str">
        <v>Argentina</v>
      </c>
      <c r="T121" s="30" t="str">
        <f t="shared" si="15"/>
        <v>OK</v>
      </c>
      <c r="U121" s="30" t="str">
        <f t="shared" si="10"/>
        <v>-</v>
      </c>
      <c r="V121" s="30" t="str" cm="1">
        <f t="array" ref="V121">_xlfn.IFS(
ISNUMBER(SEARCH("USA",S121)),"United States",
ISNUMBER(SEARCH("Republic of Korea",S121)),"South Korea",
ISNUMBER(SEARCH("Cape Verde",S121)),"Cabo Verde",
ISNUMBER(SEARCH("Czechia",S121)),"Czech Republic",
ISNUMBER(SEARCH("Türkiye",S121)),"Turkey",
ISNUMBER(SEARCH("Ivory Coast",S121)),"Côte d'Ivoire",
ISNUMBER(SEARCH("Korea Republic",S121)),"South Korea",
ISNUMBER(SEARCH("Germany FR",S121)),"FR Germany",
ISNUMBER(SEARCH("West Germany",S121)),"FR Germany",
ISNUMBER(SEARCH("Germany DR",S121)),"DR Germany",
ISNUMBER(SEARCH("Korea DPR",S121)),"North Korea",
ISNUMBER(SEARCH("China PR",S121)),"China",
ISNUMBER(SEARCH("IR Iran",S121)),"Iran",
ISNUMBER(SEARCH("Congo DR",S121)),"Democratic Republic of the Congo",
ISNUMBER(SEARCH("DR Congo",S121)),"Democratic Republic of the Congo",
ISNUMBER(SEARCH("German DR",S121)),"DR Germany",
ISNUMBER(SEARCH("rn""&gt;United Arab Emirates",S121)),"United Arab Emirates",
ISNUMBER(SEARCH("rn""&gt;Republic of Ireland",S121)),"Ireland",
ISNUMBER(SEARCH("rn""&gt;Bosnia and Herzegovina",S121)),"Bosnia and Herzegovina",
ISNUMBER(SEARCH("rn""&gt;Trinidad and Tobago",S121)),"Trinidad and Tobago",
ISNUMBER(SEARCH("rn""&gt;Serbia and Montenegro",S121)),"Serbia and Montenegro",
ISNUMBER(SEARCH(_xlfn.UNICHAR(65533),S121)),"Côte d'Ivoire",
TRUE,""
)</f>
        <v/>
      </c>
      <c r="W121" s="30" t="str">
        <f t="shared" si="13"/>
        <v>Argentina</v>
      </c>
      <c r="Z121" s="40" t="str">
        <v>St. Jakob</v>
      </c>
      <c r="AA121" s="40" t="str" cm="1">
        <f t="array" ref="AA121">IFERROR(_xlfn.XLOOKUP(Z121,_xlfn.ANCHORARRAY(Z$31),AA$31:AA$37),Z121)</f>
        <v>St. Jakob</v>
      </c>
      <c r="AB121" s="42" t="str">
        <v xml:space="preserve">Basel </v>
      </c>
      <c r="AC121" s="89" t="str">
        <f t="shared" si="16"/>
        <v xml:space="preserve">Basel </v>
      </c>
      <c r="AE121" s="42">
        <v>1938</v>
      </c>
      <c r="AK121" s="42">
        <v>3</v>
      </c>
      <c r="AL121" s="42">
        <v>3</v>
      </c>
      <c r="AV121" s="37" t="str">
        <v>ROUND_OF_16</v>
      </c>
      <c r="AW121" s="89" t="str">
        <v>GROUP_STAGE</v>
      </c>
      <c r="BE121" s="43" t="str">
        <f>IF(OR(DATA_CLEANED!AL112="",DATA_CLEANED!AM112=""),"MANQUANT",IF(OR(NOT(ISNUMBER(DATA_CLEANED!AL112)),NOT(ISNUMBER(DATA_CLEANED!AM112))),"ENTREE INVALIDE",IF(OR(DATA_CLEANED!AL112&lt;0,DATA_CLEANED!AM112&lt;0),"SCORE NEGATIF","OK")))</f>
        <v>OK</v>
      </c>
      <c r="BF121" s="43" t="str">
        <f>IF(DATA_CLEANED!AK112&lt;&gt;DATA_CLEANED!AN112,"OK","ERREUR")</f>
        <v>OK</v>
      </c>
      <c r="BG121" s="43" t="str">
        <f>IF(DATA_CLEANED!AL112&gt;DATA_CLEANED!AM112,DATA_CLEANED!AK112,IF(AND(DATA_QUALITE!W4598="-",DATA_CLEANED!AM112=DATA_CLEANED!AL112),"MATCH NUL",IF(AND(DATA_QUALITE!V4598="-",DATA_QUALITE!U4598="AUCUNE"),DATA_QUALITE!T4598,IF(DATA_QUALITE!V4598&lt;&gt;"-",DATA_QUALITE!V4598,DATA_CLEANED!AN112))))</f>
        <v>MATCH NUL</v>
      </c>
      <c r="BH121" s="103" t="str">
        <f>IF(AND(BG121="MATCH NUL",DATA_CLEANED!AO112="-"),"MATCH_NUL",IF(ISNUMBER(SEARCH("win on penalties",W4598)),"WIN_BY_PENALTY",IF(ISNUMBER(SEARCH("win after extra time",W4598)),"WIN_BY_EXTRA_TIME",IF(ISNUMBER(SEARCH("Golden Goal",W4598)),"WIN_BY_GOLDEN_GOAL","WIN_BY_SCORE"))))</f>
        <v>MATCH_NUL</v>
      </c>
      <c r="BI121" s="99" t="str">
        <f>IF(OR(BG121=DATA_CLEANED!AK112,BG121=DATA_CLEANED!AN112,BG121="MATCH NUL"),"OK","ERREUR")</f>
        <v>OK</v>
      </c>
    </row>
    <row r="122" spans="2:61">
      <c r="B122" s="74">
        <v>1990</v>
      </c>
      <c r="C122" s="30" t="str">
        <v>Round of 16</v>
      </c>
      <c r="D122" s="30" t="str">
        <v>Republic of Ireland</v>
      </c>
      <c r="E122" s="30" t="str">
        <v>Romania</v>
      </c>
      <c r="F122" s="30" t="str">
        <v>Republic of Ireland</v>
      </c>
      <c r="G122" s="30" t="str">
        <v>Kevin Sheedy</v>
      </c>
      <c r="H122" s="30" t="str">
        <v>Silviu Lung</v>
      </c>
      <c r="I122" s="30">
        <v>1</v>
      </c>
      <c r="J122" s="30">
        <v>1</v>
      </c>
      <c r="K122" s="30" t="str">
        <v>'0-0</v>
      </c>
      <c r="L122" s="30" t="str">
        <v>No</v>
      </c>
      <c r="M122" s="30" t="str">
        <v>No</v>
      </c>
      <c r="N122" s="30" t="str">
        <v>Goal</v>
      </c>
      <c r="O122" s="30" t="str">
        <f t="shared" si="14"/>
        <v>1990|Round of 16|Republic of Ireland|Romania|Republic of Ireland|Kevin Sheedy|Silviu Lung|1|1|'0-0|No|No|Goal</v>
      </c>
      <c r="P122" s="96" t="str">
        <f>IF(COUNTIF($G$32:O122,O122)&gt;1,"DOUBLON","OK")</f>
        <v>OK</v>
      </c>
      <c r="R122" s="23" t="s">
        <v>529</v>
      </c>
      <c r="S122" s="30" t="str">
        <v>Argentina</v>
      </c>
      <c r="T122" s="30" t="str">
        <f t="shared" si="15"/>
        <v>OK</v>
      </c>
      <c r="U122" s="30" t="str">
        <f t="shared" si="10"/>
        <v>-</v>
      </c>
      <c r="V122" s="30" t="str" cm="1">
        <f t="array" ref="V122">_xlfn.IFS(
ISNUMBER(SEARCH("USA",S122)),"United States",
ISNUMBER(SEARCH("Republic of Korea",S122)),"South Korea",
ISNUMBER(SEARCH("Cape Verde",S122)),"Cabo Verde",
ISNUMBER(SEARCH("Czechia",S122)),"Czech Republic",
ISNUMBER(SEARCH("Türkiye",S122)),"Turkey",
ISNUMBER(SEARCH("Ivory Coast",S122)),"Côte d'Ivoire",
ISNUMBER(SEARCH("Korea Republic",S122)),"South Korea",
ISNUMBER(SEARCH("Germany FR",S122)),"FR Germany",
ISNUMBER(SEARCH("West Germany",S122)),"FR Germany",
ISNUMBER(SEARCH("Germany DR",S122)),"DR Germany",
ISNUMBER(SEARCH("Korea DPR",S122)),"North Korea",
ISNUMBER(SEARCH("China PR",S122)),"China",
ISNUMBER(SEARCH("IR Iran",S122)),"Iran",
ISNUMBER(SEARCH("Congo DR",S122)),"Democratic Republic of the Congo",
ISNUMBER(SEARCH("DR Congo",S122)),"Democratic Republic of the Congo",
ISNUMBER(SEARCH("German DR",S122)),"DR Germany",
ISNUMBER(SEARCH("rn""&gt;United Arab Emirates",S122)),"United Arab Emirates",
ISNUMBER(SEARCH("rn""&gt;Republic of Ireland",S122)),"Ireland",
ISNUMBER(SEARCH("rn""&gt;Bosnia and Herzegovina",S122)),"Bosnia and Herzegovina",
ISNUMBER(SEARCH("rn""&gt;Trinidad and Tobago",S122)),"Trinidad and Tobago",
ISNUMBER(SEARCH("rn""&gt;Serbia and Montenegro",S122)),"Serbia and Montenegro",
ISNUMBER(SEARCH(_xlfn.UNICHAR(65533),S122)),"Côte d'Ivoire",
TRUE,""
)</f>
        <v/>
      </c>
      <c r="W122" s="30" t="str">
        <f t="shared" si="13"/>
        <v>Argentina</v>
      </c>
      <c r="Z122" s="40" t="str">
        <v>La Pontaise</v>
      </c>
      <c r="AA122" s="40" t="str" cm="1">
        <f t="array" ref="AA122">IFERROR(_xlfn.XLOOKUP(Z122,_xlfn.ANCHORARRAY(Z$31),AA$31:AA$37),Z122)</f>
        <v>La Pontaise</v>
      </c>
      <c r="AB122" s="42" t="str">
        <v xml:space="preserve">Lausanne </v>
      </c>
      <c r="AC122" s="89" t="str">
        <f t="shared" si="16"/>
        <v xml:space="preserve">Lausanne </v>
      </c>
      <c r="AE122" s="42">
        <v>1938</v>
      </c>
      <c r="AK122" s="42">
        <v>2</v>
      </c>
      <c r="AL122" s="42">
        <v>1</v>
      </c>
      <c r="AV122" s="37" t="str">
        <v>ROUND_OF_16</v>
      </c>
      <c r="AW122" s="89" t="str">
        <v>GROUP_STAGE</v>
      </c>
      <c r="BE122" s="43" t="str">
        <f>IF(OR(DATA_CLEANED!AL113="",DATA_CLEANED!AM113=""),"MANQUANT",IF(OR(NOT(ISNUMBER(DATA_CLEANED!AL113)),NOT(ISNUMBER(DATA_CLEANED!AM113))),"ENTREE INVALIDE",IF(OR(DATA_CLEANED!AL113&lt;0,DATA_CLEANED!AM113&lt;0),"SCORE NEGATIF","OK")))</f>
        <v>OK</v>
      </c>
      <c r="BF122" s="43" t="str">
        <f>IF(DATA_CLEANED!AK113&lt;&gt;DATA_CLEANED!AN113,"OK","ERREUR")</f>
        <v>OK</v>
      </c>
      <c r="BG122" s="43" t="str">
        <f>IF(DATA_CLEANED!AL113&gt;DATA_CLEANED!AM113,DATA_CLEANED!AK113,IF(AND(DATA_QUALITE!W4599="-",DATA_CLEANED!AM113=DATA_CLEANED!AL113),"MATCH NUL",IF(AND(DATA_QUALITE!V4599="-",DATA_QUALITE!U4599="AUCUNE"),DATA_QUALITE!T4599,IF(DATA_QUALITE!V4599&lt;&gt;"-",DATA_QUALITE!V4599,DATA_CLEANED!AN113))))</f>
        <v>MATCH NUL</v>
      </c>
      <c r="BH122" s="103" t="str">
        <f>IF(AND(BG122="MATCH NUL",DATA_CLEANED!AO113="-"),"MATCH_NUL",IF(ISNUMBER(SEARCH("win on penalties",W4599)),"WIN_BY_PENALTY",IF(ISNUMBER(SEARCH("win after extra time",W4599)),"WIN_BY_EXTRA_TIME",IF(ISNUMBER(SEARCH("Golden Goal",W4599)),"WIN_BY_GOLDEN_GOAL","WIN_BY_SCORE"))))</f>
        <v>MATCH_NUL</v>
      </c>
      <c r="BI122" s="99" t="str">
        <f>IF(OR(BG122=DATA_CLEANED!AK113,BG122=DATA_CLEANED!AN113,BG122="MATCH NUL"),"OK","ERREUR")</f>
        <v>OK</v>
      </c>
    </row>
    <row r="123" spans="2:61">
      <c r="B123" s="74">
        <v>1990</v>
      </c>
      <c r="C123" s="30" t="str">
        <v>Round of 16</v>
      </c>
      <c r="D123" s="30" t="str">
        <v>Republic of Ireland</v>
      </c>
      <c r="E123" s="30" t="str">
        <v>Romania</v>
      </c>
      <c r="F123" s="30" t="str">
        <v>Romania</v>
      </c>
      <c r="G123" s="30" t="str">
        <v>Gheorghe Hagi</v>
      </c>
      <c r="H123" s="30" t="str">
        <v>Pat Bonner</v>
      </c>
      <c r="I123" s="30">
        <v>2</v>
      </c>
      <c r="J123" s="30">
        <v>1</v>
      </c>
      <c r="K123" s="30" t="str">
        <v>'1-0</v>
      </c>
      <c r="L123" s="30" t="str">
        <v>No</v>
      </c>
      <c r="M123" s="30" t="str">
        <v>No</v>
      </c>
      <c r="N123" s="30" t="str">
        <v>Goal</v>
      </c>
      <c r="O123" s="30" t="str">
        <f t="shared" si="14"/>
        <v>1990|Round of 16|Republic of Ireland|Romania|Romania|Gheorghe Hagi|Pat Bonner|2|1|'1-0|No|No|Goal</v>
      </c>
      <c r="P123" s="96" t="str">
        <f>IF(COUNTIF($G$32:O123,O123)&gt;1,"DOUBLON","OK")</f>
        <v>OK</v>
      </c>
      <c r="R123" s="23" t="s">
        <v>3642</v>
      </c>
      <c r="S123" s="30" t="str">
        <v>Argentina</v>
      </c>
      <c r="T123" s="30" t="str">
        <f t="shared" si="15"/>
        <v>OK</v>
      </c>
      <c r="U123" s="30" t="str">
        <f t="shared" si="10"/>
        <v>-</v>
      </c>
      <c r="V123" s="30" t="str" cm="1">
        <f t="array" ref="V123">_xlfn.IFS(
ISNUMBER(SEARCH("USA",S123)),"United States",
ISNUMBER(SEARCH("Republic of Korea",S123)),"South Korea",
ISNUMBER(SEARCH("Cape Verde",S123)),"Cabo Verde",
ISNUMBER(SEARCH("Czechia",S123)),"Czech Republic",
ISNUMBER(SEARCH("Türkiye",S123)),"Turkey",
ISNUMBER(SEARCH("Ivory Coast",S123)),"Côte d'Ivoire",
ISNUMBER(SEARCH("Korea Republic",S123)),"South Korea",
ISNUMBER(SEARCH("Germany FR",S123)),"FR Germany",
ISNUMBER(SEARCH("West Germany",S123)),"FR Germany",
ISNUMBER(SEARCH("Germany DR",S123)),"DR Germany",
ISNUMBER(SEARCH("Korea DPR",S123)),"North Korea",
ISNUMBER(SEARCH("China PR",S123)),"China",
ISNUMBER(SEARCH("IR Iran",S123)),"Iran",
ISNUMBER(SEARCH("Congo DR",S123)),"Democratic Republic of the Congo",
ISNUMBER(SEARCH("DR Congo",S123)),"Democratic Republic of the Congo",
ISNUMBER(SEARCH("German DR",S123)),"DR Germany",
ISNUMBER(SEARCH("rn""&gt;United Arab Emirates",S123)),"United Arab Emirates",
ISNUMBER(SEARCH("rn""&gt;Republic of Ireland",S123)),"Ireland",
ISNUMBER(SEARCH("rn""&gt;Bosnia and Herzegovina",S123)),"Bosnia and Herzegovina",
ISNUMBER(SEARCH("rn""&gt;Trinidad and Tobago",S123)),"Trinidad and Tobago",
ISNUMBER(SEARCH("rn""&gt;Serbia and Montenegro",S123)),"Serbia and Montenegro",
ISNUMBER(SEARCH(_xlfn.UNICHAR(65533),S123)),"Côte d'Ivoire",
TRUE,""
)</f>
        <v/>
      </c>
      <c r="W123" s="30" t="str">
        <f t="shared" si="13"/>
        <v>Argentina</v>
      </c>
      <c r="Z123" s="40" t="str">
        <v>St. Jakob</v>
      </c>
      <c r="AA123" s="40" t="str" cm="1">
        <f t="array" ref="AA123">IFERROR(_xlfn.XLOOKUP(Z123,_xlfn.ANCHORARRAY(Z$31),AA$31:AA$37),Z123)</f>
        <v>St. Jakob</v>
      </c>
      <c r="AB123" s="42" t="str">
        <v xml:space="preserve">Basel </v>
      </c>
      <c r="AC123" s="89" t="str">
        <f t="shared" si="16"/>
        <v xml:space="preserve">Basel </v>
      </c>
      <c r="AE123" s="42">
        <v>1938</v>
      </c>
      <c r="AK123" s="42">
        <v>6</v>
      </c>
      <c r="AL123" s="42">
        <v>5</v>
      </c>
      <c r="AV123" s="37" t="str">
        <v>ROUND_OF_16</v>
      </c>
      <c r="AW123" s="89" t="str">
        <v>GROUP_STAGE</v>
      </c>
      <c r="BE123" s="43" t="str">
        <f>IF(OR(DATA_CLEANED!AL114="",DATA_CLEANED!AM114=""),"MANQUANT",IF(OR(NOT(ISNUMBER(DATA_CLEANED!AL114)),NOT(ISNUMBER(DATA_CLEANED!AM114))),"ENTREE INVALIDE",IF(OR(DATA_CLEANED!AL114&lt;0,DATA_CLEANED!AM114&lt;0),"SCORE NEGATIF","OK")))</f>
        <v>OK</v>
      </c>
      <c r="BF123" s="43" t="str">
        <f>IF(DATA_CLEANED!AK114&lt;&gt;DATA_CLEANED!AN114,"OK","ERREUR")</f>
        <v>OK</v>
      </c>
      <c r="BG123" s="43" t="str">
        <f>IF(DATA_CLEANED!AL114&gt;DATA_CLEANED!AM114,DATA_CLEANED!AK114,IF(AND(DATA_QUALITE!W4600="-",DATA_CLEANED!AM114=DATA_CLEANED!AL114),"MATCH NUL",IF(AND(DATA_QUALITE!V4600="-",DATA_QUALITE!U4600="AUCUNE"),DATA_QUALITE!T4600,IF(DATA_QUALITE!V4600&lt;&gt;"-",DATA_QUALITE!V4600,DATA_CLEANED!AN114))))</f>
        <v>Paraguay</v>
      </c>
      <c r="BH123" s="103" t="str">
        <f>IF(AND(BG123="MATCH NUL",DATA_CLEANED!AO114="-"),"MATCH_NUL",IF(ISNUMBER(SEARCH("win on penalties",W4600)),"WIN_BY_PENALTY",IF(ISNUMBER(SEARCH("win after extra time",W4600)),"WIN_BY_EXTRA_TIME",IF(ISNUMBER(SEARCH("Golden Goal",W4600)),"WIN_BY_GOLDEN_GOAL","WIN_BY_SCORE"))))</f>
        <v>WIN_BY_SCORE</v>
      </c>
      <c r="BI123" s="99" t="str">
        <f>IF(OR(BG123=DATA_CLEANED!AK114,BG123=DATA_CLEANED!AN114,BG123="MATCH NUL"),"OK","ERREUR")</f>
        <v>OK</v>
      </c>
    </row>
    <row r="124" spans="2:61">
      <c r="B124" s="74">
        <v>1990</v>
      </c>
      <c r="C124" s="30" t="str">
        <v>Round of 16</v>
      </c>
      <c r="D124" s="30" t="str">
        <v>Republic of Ireland</v>
      </c>
      <c r="E124" s="30" t="str">
        <v>Romania</v>
      </c>
      <c r="F124" s="30" t="str">
        <v>Republic of Ireland</v>
      </c>
      <c r="G124" s="30" t="str">
        <v>Ray Houghton</v>
      </c>
      <c r="H124" s="30" t="str">
        <v>Silviu Lung</v>
      </c>
      <c r="I124" s="30">
        <v>3</v>
      </c>
      <c r="J124" s="30">
        <v>2</v>
      </c>
      <c r="K124" s="30" t="str">
        <v>'1-1</v>
      </c>
      <c r="L124" s="30" t="str">
        <v>No</v>
      </c>
      <c r="M124" s="30" t="str">
        <v>No</v>
      </c>
      <c r="N124" s="30" t="str">
        <v>Goal</v>
      </c>
      <c r="O124" s="30" t="str">
        <f t="shared" si="14"/>
        <v>1990|Round of 16|Republic of Ireland|Romania|Republic of Ireland|Ray Houghton|Silviu Lung|3|2|'1-1|No|No|Goal</v>
      </c>
      <c r="P124" s="96" t="str">
        <f>IF(COUNTIF($G$32:O124,O124)&gt;1,"DOUBLON","OK")</f>
        <v>OK</v>
      </c>
      <c r="R124" s="23" t="s">
        <v>3643</v>
      </c>
      <c r="S124" s="30" t="str">
        <v>Argentina</v>
      </c>
      <c r="T124" s="30" t="str">
        <f t="shared" si="15"/>
        <v>OK</v>
      </c>
      <c r="U124" s="30" t="str">
        <f t="shared" si="10"/>
        <v>-</v>
      </c>
      <c r="V124" s="30" t="str" cm="1">
        <f t="array" ref="V124">_xlfn.IFS(
ISNUMBER(SEARCH("USA",S124)),"United States",
ISNUMBER(SEARCH("Republic of Korea",S124)),"South Korea",
ISNUMBER(SEARCH("Cape Verde",S124)),"Cabo Verde",
ISNUMBER(SEARCH("Czechia",S124)),"Czech Republic",
ISNUMBER(SEARCH("Türkiye",S124)),"Turkey",
ISNUMBER(SEARCH("Ivory Coast",S124)),"Côte d'Ivoire",
ISNUMBER(SEARCH("Korea Republic",S124)),"South Korea",
ISNUMBER(SEARCH("Germany FR",S124)),"FR Germany",
ISNUMBER(SEARCH("West Germany",S124)),"FR Germany",
ISNUMBER(SEARCH("Germany DR",S124)),"DR Germany",
ISNUMBER(SEARCH("Korea DPR",S124)),"North Korea",
ISNUMBER(SEARCH("China PR",S124)),"China",
ISNUMBER(SEARCH("IR Iran",S124)),"Iran",
ISNUMBER(SEARCH("Congo DR",S124)),"Democratic Republic of the Congo",
ISNUMBER(SEARCH("DR Congo",S124)),"Democratic Republic of the Congo",
ISNUMBER(SEARCH("German DR",S124)),"DR Germany",
ISNUMBER(SEARCH("rn""&gt;United Arab Emirates",S124)),"United Arab Emirates",
ISNUMBER(SEARCH("rn""&gt;Republic of Ireland",S124)),"Ireland",
ISNUMBER(SEARCH("rn""&gt;Bosnia and Herzegovina",S124)),"Bosnia and Herzegovina",
ISNUMBER(SEARCH("rn""&gt;Trinidad and Tobago",S124)),"Trinidad and Tobago",
ISNUMBER(SEARCH("rn""&gt;Serbia and Montenegro",S124)),"Serbia and Montenegro",
ISNUMBER(SEARCH(_xlfn.UNICHAR(65533),S124)),"Côte d'Ivoire",
TRUE,""
)</f>
        <v/>
      </c>
      <c r="W124" s="30" t="str">
        <f t="shared" si="13"/>
        <v>Argentina</v>
      </c>
      <c r="Z124" s="40" t="str">
        <v>Hardturm</v>
      </c>
      <c r="AA124" s="40" t="str" cm="1">
        <f t="array" ref="AA124">IFERROR(_xlfn.XLOOKUP(Z124,_xlfn.ANCHORARRAY(Z$31),AA$31:AA$37),Z124)</f>
        <v>Hardturm</v>
      </c>
      <c r="AB124" s="42" t="str">
        <v xml:space="preserve">Zurich </v>
      </c>
      <c r="AC124" s="89" t="str">
        <f t="shared" si="16"/>
        <v xml:space="preserve">Zurich </v>
      </c>
      <c r="AE124" s="42">
        <v>1938</v>
      </c>
      <c r="AK124" s="42">
        <v>3</v>
      </c>
      <c r="AL124" s="42">
        <v>0</v>
      </c>
      <c r="AV124" s="37" t="str">
        <v>ROUND_OF_16</v>
      </c>
      <c r="AW124" s="89" t="str">
        <v>GROUP_STAGE</v>
      </c>
      <c r="BE124" s="43" t="str">
        <f>IF(OR(DATA_CLEANED!AL115="",DATA_CLEANED!AM115=""),"MANQUANT",IF(OR(NOT(ISNUMBER(DATA_CLEANED!AL115)),NOT(ISNUMBER(DATA_CLEANED!AM115))),"ENTREE INVALIDE",IF(OR(DATA_CLEANED!AL115&lt;0,DATA_CLEANED!AM115&lt;0),"SCORE NEGATIF","OK")))</f>
        <v>OK</v>
      </c>
      <c r="BF124" s="43" t="str">
        <f>IF(DATA_CLEANED!AK115&lt;&gt;DATA_CLEANED!AN115,"OK","ERREUR")</f>
        <v>OK</v>
      </c>
      <c r="BG124" s="43" t="str">
        <f>IF(DATA_CLEANED!AL115&gt;DATA_CLEANED!AM115,DATA_CLEANED!AK115,IF(AND(DATA_QUALITE!W4601="-",DATA_CLEANED!AM115=DATA_CLEANED!AL115),"MATCH NUL",IF(AND(DATA_QUALITE!V4601="-",DATA_QUALITE!U4601="AUCUNE"),DATA_QUALITE!T4601,IF(DATA_QUALITE!V4601&lt;&gt;"-",DATA_QUALITE!V4601,DATA_CLEANED!AN115))))</f>
        <v>Yugoslavia</v>
      </c>
      <c r="BH124" s="103" t="str">
        <f>IF(AND(BG124="MATCH NUL",DATA_CLEANED!AO115="-"),"MATCH_NUL",IF(ISNUMBER(SEARCH("win on penalties",W4601)),"WIN_BY_PENALTY",IF(ISNUMBER(SEARCH("win after extra time",W4601)),"WIN_BY_EXTRA_TIME",IF(ISNUMBER(SEARCH("Golden Goal",W4601)),"WIN_BY_GOLDEN_GOAL","WIN_BY_SCORE"))))</f>
        <v>WIN_BY_SCORE</v>
      </c>
      <c r="BI124" s="99" t="str">
        <f>IF(OR(BG124=DATA_CLEANED!AK115,BG124=DATA_CLEANED!AN115,BG124="MATCH NUL"),"OK","ERREUR")</f>
        <v>OK</v>
      </c>
    </row>
    <row r="125" spans="2:61">
      <c r="B125" s="74">
        <v>1990</v>
      </c>
      <c r="C125" s="30" t="str">
        <v>Round of 16</v>
      </c>
      <c r="D125" s="30" t="str">
        <v>Republic of Ireland</v>
      </c>
      <c r="E125" s="30" t="str">
        <v>Romania</v>
      </c>
      <c r="F125" s="30" t="str">
        <v>Romania</v>
      </c>
      <c r="G125" s="30" t="str">
        <v>Dănuț Lupu</v>
      </c>
      <c r="H125" s="30" t="str">
        <v>Pat Bonner</v>
      </c>
      <c r="I125" s="30">
        <v>4</v>
      </c>
      <c r="J125" s="30">
        <v>2</v>
      </c>
      <c r="K125" s="30" t="str">
        <v>'1-2</v>
      </c>
      <c r="L125" s="30" t="str">
        <v>No</v>
      </c>
      <c r="M125" s="30" t="str">
        <v>No</v>
      </c>
      <c r="N125" s="30" t="str">
        <v>Goal</v>
      </c>
      <c r="O125" s="30" t="str">
        <f t="shared" si="14"/>
        <v>1990|Round of 16|Republic of Ireland|Romania|Romania|Dănuț Lupu|Pat Bonner|4|2|'1-2|No|No|Goal</v>
      </c>
      <c r="P125" s="96" t="str">
        <f>IF(COUNTIF($G$32:O125,O125)&gt;1,"DOUBLON","OK")</f>
        <v>OK</v>
      </c>
      <c r="R125" s="23" t="s">
        <v>3644</v>
      </c>
      <c r="S125" s="30" t="str">
        <v>Argentina</v>
      </c>
      <c r="T125" s="30" t="str">
        <f t="shared" si="15"/>
        <v>OK</v>
      </c>
      <c r="U125" s="30" t="str">
        <f t="shared" si="10"/>
        <v>-</v>
      </c>
      <c r="V125" s="30" t="str" cm="1">
        <f t="array" ref="V125">_xlfn.IFS(
ISNUMBER(SEARCH("USA",S125)),"United States",
ISNUMBER(SEARCH("Republic of Korea",S125)),"South Korea",
ISNUMBER(SEARCH("Cape Verde",S125)),"Cabo Verde",
ISNUMBER(SEARCH("Czechia",S125)),"Czech Republic",
ISNUMBER(SEARCH("Türkiye",S125)),"Turkey",
ISNUMBER(SEARCH("Ivory Coast",S125)),"Côte d'Ivoire",
ISNUMBER(SEARCH("Korea Republic",S125)),"South Korea",
ISNUMBER(SEARCH("Germany FR",S125)),"FR Germany",
ISNUMBER(SEARCH("West Germany",S125)),"FR Germany",
ISNUMBER(SEARCH("Germany DR",S125)),"DR Germany",
ISNUMBER(SEARCH("Korea DPR",S125)),"North Korea",
ISNUMBER(SEARCH("China PR",S125)),"China",
ISNUMBER(SEARCH("IR Iran",S125)),"Iran",
ISNUMBER(SEARCH("Congo DR",S125)),"Democratic Republic of the Congo",
ISNUMBER(SEARCH("DR Congo",S125)),"Democratic Republic of the Congo",
ISNUMBER(SEARCH("German DR",S125)),"DR Germany",
ISNUMBER(SEARCH("rn""&gt;United Arab Emirates",S125)),"United Arab Emirates",
ISNUMBER(SEARCH("rn""&gt;Republic of Ireland",S125)),"Ireland",
ISNUMBER(SEARCH("rn""&gt;Bosnia and Herzegovina",S125)),"Bosnia and Herzegovina",
ISNUMBER(SEARCH("rn""&gt;Trinidad and Tobago",S125)),"Trinidad and Tobago",
ISNUMBER(SEARCH("rn""&gt;Serbia and Montenegro",S125)),"Serbia and Montenegro",
ISNUMBER(SEARCH(_xlfn.UNICHAR(65533),S125)),"Côte d'Ivoire",
TRUE,""
)</f>
        <v/>
      </c>
      <c r="W125" s="30" t="str">
        <f t="shared" si="13"/>
        <v>Argentina</v>
      </c>
      <c r="Z125" s="40" t="str">
        <v>Charmilles</v>
      </c>
      <c r="AA125" s="40" t="str" cm="1">
        <f t="array" ref="AA125">IFERROR(_xlfn.XLOOKUP(Z125,_xlfn.ANCHORARRAY(Z$31),AA$31:AA$37),Z125)</f>
        <v>Charmilles</v>
      </c>
      <c r="AB125" s="42" t="str">
        <v xml:space="preserve">Geneva </v>
      </c>
      <c r="AC125" s="89" t="str">
        <f t="shared" si="16"/>
        <v xml:space="preserve">Geneva </v>
      </c>
      <c r="AE125" s="42">
        <v>1938</v>
      </c>
      <c r="AK125" s="42">
        <v>2</v>
      </c>
      <c r="AL125" s="42">
        <v>1</v>
      </c>
      <c r="AV125" s="37" t="str">
        <v>ROUND_OF_16</v>
      </c>
      <c r="AW125" s="89" t="str">
        <v>GROUP_STAGE</v>
      </c>
      <c r="BE125" s="43" t="str">
        <f>IF(OR(DATA_CLEANED!AL116="",DATA_CLEANED!AM116=""),"MANQUANT",IF(OR(NOT(ISNUMBER(DATA_CLEANED!AL116)),NOT(ISNUMBER(DATA_CLEANED!AM116))),"ENTREE INVALIDE",IF(OR(DATA_CLEANED!AL116&lt;0,DATA_CLEANED!AM116&lt;0),"SCORE NEGATIF","OK")))</f>
        <v>OK</v>
      </c>
      <c r="BF125" s="43" t="str">
        <f>IF(DATA_CLEANED!AK116&lt;&gt;DATA_CLEANED!AN116,"OK","ERREUR")</f>
        <v>OK</v>
      </c>
      <c r="BG125" s="43" t="str">
        <f>IF(DATA_CLEANED!AL116&gt;DATA_CLEANED!AM116,DATA_CLEANED!AK116,IF(AND(DATA_QUALITE!W4602="-",DATA_CLEANED!AM116=DATA_CLEANED!AL116),"MATCH NUL",IF(AND(DATA_QUALITE!V4602="-",DATA_QUALITE!U4602="AUCUNE"),DATA_QUALITE!T4602,IF(DATA_QUALITE!V4602&lt;&gt;"-",DATA_QUALITE!V4602,DATA_CLEANED!AN116))))</f>
        <v>Soviet Union</v>
      </c>
      <c r="BH125" s="103" t="str">
        <f>IF(AND(BG125="MATCH NUL",DATA_CLEANED!AO116="-"),"MATCH_NUL",IF(ISNUMBER(SEARCH("win on penalties",W4602)),"WIN_BY_PENALTY",IF(ISNUMBER(SEARCH("win after extra time",W4602)),"WIN_BY_EXTRA_TIME",IF(ISNUMBER(SEARCH("Golden Goal",W4602)),"WIN_BY_GOLDEN_GOAL","WIN_BY_SCORE"))))</f>
        <v>WIN_BY_SCORE</v>
      </c>
      <c r="BI125" s="99" t="str">
        <f>IF(OR(BG125=DATA_CLEANED!AK116,BG125=DATA_CLEANED!AN116,BG125="MATCH NUL"),"OK","ERREUR")</f>
        <v>OK</v>
      </c>
    </row>
    <row r="126" spans="2:61">
      <c r="B126" s="74">
        <v>1990</v>
      </c>
      <c r="C126" s="30" t="str">
        <v>Round of 16</v>
      </c>
      <c r="D126" s="30" t="str">
        <v>Republic of Ireland</v>
      </c>
      <c r="E126" s="30" t="str">
        <v>Romania</v>
      </c>
      <c r="F126" s="30" t="str">
        <v>Republic of Ireland</v>
      </c>
      <c r="G126" s="30" t="str">
        <v>Andy Townsend</v>
      </c>
      <c r="H126" s="30" t="str">
        <v>Silviu Lung</v>
      </c>
      <c r="I126" s="30">
        <v>5</v>
      </c>
      <c r="J126" s="30">
        <v>3</v>
      </c>
      <c r="K126" s="30" t="str">
        <v>'2-2</v>
      </c>
      <c r="L126" s="30" t="str">
        <v>No</v>
      </c>
      <c r="M126" s="30" t="str">
        <v>No</v>
      </c>
      <c r="N126" s="30" t="str">
        <v>Goal</v>
      </c>
      <c r="O126" s="30" t="str">
        <f t="shared" si="14"/>
        <v>1990|Round of 16|Republic of Ireland|Romania|Republic of Ireland|Andy Townsend|Silviu Lung|5|3|'2-2|No|No|Goal</v>
      </c>
      <c r="P126" s="96" t="str">
        <f>IF(COUNTIF($G$32:O126,O126)&gt;1,"DOUBLON","OK")</f>
        <v>OK</v>
      </c>
      <c r="R126" s="23" t="s">
        <v>3674</v>
      </c>
      <c r="S126" s="30" t="str">
        <v>Argentina</v>
      </c>
      <c r="T126" s="30" t="str">
        <f t="shared" si="15"/>
        <v>OK</v>
      </c>
      <c r="U126" s="30" t="str">
        <f t="shared" si="10"/>
        <v>-</v>
      </c>
      <c r="V126" s="30" t="str" cm="1">
        <f t="array" ref="V126">_xlfn.IFS(
ISNUMBER(SEARCH("USA",S126)),"United States",
ISNUMBER(SEARCH("Republic of Korea",S126)),"South Korea",
ISNUMBER(SEARCH("Cape Verde",S126)),"Cabo Verde",
ISNUMBER(SEARCH("Czechia",S126)),"Czech Republic",
ISNUMBER(SEARCH("Türkiye",S126)),"Turkey",
ISNUMBER(SEARCH("Ivory Coast",S126)),"Côte d'Ivoire",
ISNUMBER(SEARCH("Korea Republic",S126)),"South Korea",
ISNUMBER(SEARCH("Germany FR",S126)),"FR Germany",
ISNUMBER(SEARCH("West Germany",S126)),"FR Germany",
ISNUMBER(SEARCH("Germany DR",S126)),"DR Germany",
ISNUMBER(SEARCH("Korea DPR",S126)),"North Korea",
ISNUMBER(SEARCH("China PR",S126)),"China",
ISNUMBER(SEARCH("IR Iran",S126)),"Iran",
ISNUMBER(SEARCH("Congo DR",S126)),"Democratic Republic of the Congo",
ISNUMBER(SEARCH("DR Congo",S126)),"Democratic Republic of the Congo",
ISNUMBER(SEARCH("German DR",S126)),"DR Germany",
ISNUMBER(SEARCH("rn""&gt;United Arab Emirates",S126)),"United Arab Emirates",
ISNUMBER(SEARCH("rn""&gt;Republic of Ireland",S126)),"Ireland",
ISNUMBER(SEARCH("rn""&gt;Bosnia and Herzegovina",S126)),"Bosnia and Herzegovina",
ISNUMBER(SEARCH("rn""&gt;Trinidad and Tobago",S126)),"Trinidad and Tobago",
ISNUMBER(SEARCH("rn""&gt;Serbia and Montenegro",S126)),"Serbia and Montenegro",
ISNUMBER(SEARCH(_xlfn.UNICHAR(65533),S126)),"Côte d'Ivoire",
TRUE,""
)</f>
        <v/>
      </c>
      <c r="W126" s="30" t="str">
        <f t="shared" si="13"/>
        <v>Argentina</v>
      </c>
      <c r="Z126" s="40" t="str">
        <v>La Pontaise</v>
      </c>
      <c r="AA126" s="40" t="str" cm="1">
        <f t="array" ref="AA126">IFERROR(_xlfn.XLOOKUP(Z126,_xlfn.ANCHORARRAY(Z$31),AA$31:AA$37),Z126)</f>
        <v>La Pontaise</v>
      </c>
      <c r="AB126" s="42" t="str">
        <v xml:space="preserve">Lausanne </v>
      </c>
      <c r="AC126" s="89" t="str">
        <f t="shared" si="16"/>
        <v xml:space="preserve">Lausanne </v>
      </c>
      <c r="AE126" s="42">
        <v>1938</v>
      </c>
      <c r="AK126" s="42">
        <v>4</v>
      </c>
      <c r="AL126" s="42">
        <v>2</v>
      </c>
      <c r="AV126" s="37" t="str">
        <v>ROUND_OF_16</v>
      </c>
      <c r="AW126" s="89" t="str">
        <v>GROUP_STAGE</v>
      </c>
      <c r="BE126" s="43" t="str">
        <f>IF(OR(DATA_CLEANED!AL117="",DATA_CLEANED!AM117=""),"MANQUANT",IF(OR(NOT(ISNUMBER(DATA_CLEANED!AL117)),NOT(ISNUMBER(DATA_CLEANED!AM117))),"ENTREE INVALIDE",IF(OR(DATA_CLEANED!AL117&lt;0,DATA_CLEANED!AM117&lt;0),"SCORE NEGATIF","OK")))</f>
        <v>OK</v>
      </c>
      <c r="BF126" s="43" t="str">
        <f>IF(DATA_CLEANED!AK117&lt;&gt;DATA_CLEANED!AN117,"OK","ERREUR")</f>
        <v>OK</v>
      </c>
      <c r="BG126" s="43" t="str">
        <f>IF(DATA_CLEANED!AL117&gt;DATA_CLEANED!AM117,DATA_CLEANED!AK117,IF(AND(DATA_QUALITE!W4603="-",DATA_CLEANED!AM117=DATA_CLEANED!AL117),"MATCH NUL",IF(AND(DATA_QUALITE!V4603="-",DATA_QUALITE!U4603="AUCUNE"),DATA_QUALITE!T4603,IF(DATA_QUALITE!V4603&lt;&gt;"-",DATA_QUALITE!V4603,DATA_CLEANED!AN117))))</f>
        <v>MATCH NUL</v>
      </c>
      <c r="BH126" s="103" t="str">
        <f>IF(AND(BG126="MATCH NUL",DATA_CLEANED!AO117="-"),"MATCH_NUL",IF(ISNUMBER(SEARCH("win on penalties",W4603)),"WIN_BY_PENALTY",IF(ISNUMBER(SEARCH("win after extra time",W4603)),"WIN_BY_EXTRA_TIME",IF(ISNUMBER(SEARCH("Golden Goal",W4603)),"WIN_BY_GOLDEN_GOAL","WIN_BY_SCORE"))))</f>
        <v>MATCH_NUL</v>
      </c>
      <c r="BI126" s="99" t="str">
        <f>IF(OR(BG126=DATA_CLEANED!AK117,BG126=DATA_CLEANED!AN117,BG126="MATCH NUL"),"OK","ERREUR")</f>
        <v>OK</v>
      </c>
    </row>
    <row r="127" spans="2:61">
      <c r="B127" s="74">
        <v>1990</v>
      </c>
      <c r="C127" s="30" t="str">
        <v>Round of 16</v>
      </c>
      <c r="D127" s="30" t="str">
        <v>Republic of Ireland</v>
      </c>
      <c r="E127" s="30" t="str">
        <v>Romania</v>
      </c>
      <c r="F127" s="30" t="str">
        <v>Romania</v>
      </c>
      <c r="G127" s="30" t="str">
        <v>Ioan Sabău</v>
      </c>
      <c r="H127" s="30" t="str">
        <v>Pat Bonner</v>
      </c>
      <c r="I127" s="30">
        <v>6</v>
      </c>
      <c r="J127" s="30">
        <v>3</v>
      </c>
      <c r="K127" s="30" t="str">
        <v>'2-3</v>
      </c>
      <c r="L127" s="30" t="str">
        <v>No</v>
      </c>
      <c r="M127" s="30" t="str">
        <v>No</v>
      </c>
      <c r="N127" s="30" t="str">
        <v>Goal</v>
      </c>
      <c r="O127" s="30" t="str">
        <f t="shared" si="14"/>
        <v>1990|Round of 16|Republic of Ireland|Romania|Romania|Ioan Sabău|Pat Bonner|6|3|'2-3|No|No|Goal</v>
      </c>
      <c r="P127" s="96" t="str">
        <f>IF(COUNTIF($G$32:O127,O127)&gt;1,"DOUBLON","OK")</f>
        <v>OK</v>
      </c>
      <c r="R127" s="23" t="s">
        <v>47</v>
      </c>
      <c r="S127" s="30" t="str">
        <v>Argentina</v>
      </c>
      <c r="T127" s="30" t="str">
        <f t="shared" ref="T127:T158" si="17">IF(COUNTIF(R$13:R$250,S127)=1,"OK","ERREUR")</f>
        <v>OK</v>
      </c>
      <c r="U127" s="30" t="str">
        <f t="shared" si="10"/>
        <v>-</v>
      </c>
      <c r="V127" s="30" t="str" cm="1">
        <f t="array" ref="V127">_xlfn.IFS(
ISNUMBER(SEARCH("USA",S127)),"United States",
ISNUMBER(SEARCH("Republic of Korea",S127)),"South Korea",
ISNUMBER(SEARCH("Cape Verde",S127)),"Cabo Verde",
ISNUMBER(SEARCH("Czechia",S127)),"Czech Republic",
ISNUMBER(SEARCH("Türkiye",S127)),"Turkey",
ISNUMBER(SEARCH("Ivory Coast",S127)),"Côte d'Ivoire",
ISNUMBER(SEARCH("Korea Republic",S127)),"South Korea",
ISNUMBER(SEARCH("Germany FR",S127)),"FR Germany",
ISNUMBER(SEARCH("West Germany",S127)),"FR Germany",
ISNUMBER(SEARCH("Germany DR",S127)),"DR Germany",
ISNUMBER(SEARCH("Korea DPR",S127)),"North Korea",
ISNUMBER(SEARCH("China PR",S127)),"China",
ISNUMBER(SEARCH("IR Iran",S127)),"Iran",
ISNUMBER(SEARCH("Congo DR",S127)),"Democratic Republic of the Congo",
ISNUMBER(SEARCH("DR Congo",S127)),"Democratic Republic of the Congo",
ISNUMBER(SEARCH("German DR",S127)),"DR Germany",
ISNUMBER(SEARCH("rn""&gt;United Arab Emirates",S127)),"United Arab Emirates",
ISNUMBER(SEARCH("rn""&gt;Republic of Ireland",S127)),"Ireland",
ISNUMBER(SEARCH("rn""&gt;Bosnia and Herzegovina",S127)),"Bosnia and Herzegovina",
ISNUMBER(SEARCH("rn""&gt;Trinidad and Tobago",S127)),"Trinidad and Tobago",
ISNUMBER(SEARCH("rn""&gt;Serbia and Montenegro",S127)),"Serbia and Montenegro",
ISNUMBER(SEARCH(_xlfn.UNICHAR(65533),S127)),"Côte d'Ivoire",
TRUE,""
)</f>
        <v/>
      </c>
      <c r="W127" s="30" t="str">
        <f t="shared" si="13"/>
        <v>Argentina</v>
      </c>
      <c r="Z127" s="40" t="str">
        <v>St. Jakob</v>
      </c>
      <c r="AA127" s="40" t="str" cm="1">
        <f t="array" ref="AA127">IFERROR(_xlfn.XLOOKUP(Z127,_xlfn.ANCHORARRAY(Z$31),AA$31:AA$37),Z127)</f>
        <v>St. Jakob</v>
      </c>
      <c r="AB127" s="42" t="str">
        <v xml:space="preserve">Basel </v>
      </c>
      <c r="AC127" s="89" t="str">
        <f t="shared" si="16"/>
        <v xml:space="preserve">Basel </v>
      </c>
      <c r="AE127" s="42">
        <v>1938</v>
      </c>
      <c r="AK127" s="42">
        <v>1</v>
      </c>
      <c r="AL127" s="42">
        <v>1</v>
      </c>
      <c r="AV127" s="37" t="str">
        <v>QUARTER_FINALS</v>
      </c>
      <c r="AW127" s="89" t="str">
        <v>GROUP_STAGE</v>
      </c>
      <c r="BE127" s="43" t="str">
        <f>IF(OR(DATA_CLEANED!AL118="",DATA_CLEANED!AM118=""),"MANQUANT",IF(OR(NOT(ISNUMBER(DATA_CLEANED!AL118)),NOT(ISNUMBER(DATA_CLEANED!AM118))),"ENTREE INVALIDE",IF(OR(DATA_CLEANED!AL118&lt;0,DATA_CLEANED!AM118&lt;0),"SCORE NEGATIF","OK")))</f>
        <v>OK</v>
      </c>
      <c r="BF127" s="43" t="str">
        <f>IF(DATA_CLEANED!AK118&lt;&gt;DATA_CLEANED!AN118,"OK","ERREUR")</f>
        <v>OK</v>
      </c>
      <c r="BG127" s="43" t="str">
        <f>IF(DATA_CLEANED!AL118&gt;DATA_CLEANED!AM118,DATA_CLEANED!AK118,IF(AND(DATA_QUALITE!W4604="-",DATA_CLEANED!AM118=DATA_CLEANED!AL118),"MATCH NUL",IF(AND(DATA_QUALITE!V4604="-",DATA_QUALITE!U4604="AUCUNE"),DATA_QUALITE!T4604,IF(DATA_QUALITE!V4604&lt;&gt;"-",DATA_QUALITE!V4604,DATA_CLEANED!AN118))))</f>
        <v>Argentina</v>
      </c>
      <c r="BH127" s="103" t="str">
        <f>IF(AND(BG127="MATCH NUL",DATA_CLEANED!AO118="-"),"MATCH_NUL",IF(ISNUMBER(SEARCH("win on penalties",W4604)),"WIN_BY_PENALTY",IF(ISNUMBER(SEARCH("win after extra time",W4604)),"WIN_BY_EXTRA_TIME",IF(ISNUMBER(SEARCH("Golden Goal",W4604)),"WIN_BY_GOLDEN_GOAL","WIN_BY_SCORE"))))</f>
        <v>WIN_BY_SCORE</v>
      </c>
      <c r="BI127" s="99" t="str">
        <f>IF(OR(BG127=DATA_CLEANED!AK118,BG127=DATA_CLEANED!AN118,BG127="MATCH NUL"),"OK","ERREUR")</f>
        <v>OK</v>
      </c>
    </row>
    <row r="128" spans="2:61">
      <c r="B128" s="74">
        <v>1990</v>
      </c>
      <c r="C128" s="30" t="str">
        <v>Round of 16</v>
      </c>
      <c r="D128" s="30" t="str">
        <v>Republic of Ireland</v>
      </c>
      <c r="E128" s="30" t="str">
        <v>Romania</v>
      </c>
      <c r="F128" s="30" t="str">
        <v>Republic of Ireland</v>
      </c>
      <c r="G128" s="30" t="str">
        <v>Tony Cascarino</v>
      </c>
      <c r="H128" s="30" t="str">
        <v>Silviu Lung</v>
      </c>
      <c r="I128" s="30">
        <v>7</v>
      </c>
      <c r="J128" s="30">
        <v>4</v>
      </c>
      <c r="K128" s="30" t="str">
        <v>'3-3</v>
      </c>
      <c r="L128" s="30" t="str">
        <v>No</v>
      </c>
      <c r="M128" s="30" t="str">
        <v>No</v>
      </c>
      <c r="N128" s="30" t="str">
        <v>Goal</v>
      </c>
      <c r="O128" s="30" t="str">
        <f t="shared" si="14"/>
        <v>1990|Round of 16|Republic of Ireland|Romania|Republic of Ireland|Tony Cascarino|Silviu Lung|7|4|'3-3|No|No|Goal</v>
      </c>
      <c r="P128" s="96" t="str">
        <f>IF(COUNTIF($G$32:O128,O128)&gt;1,"DOUBLON","OK")</f>
        <v>OK</v>
      </c>
      <c r="R128" s="23" t="s">
        <v>3742</v>
      </c>
      <c r="S128" s="30" t="str">
        <v>Argentina</v>
      </c>
      <c r="T128" s="30" t="str">
        <f t="shared" si="17"/>
        <v>OK</v>
      </c>
      <c r="U128" s="30" t="str">
        <f t="shared" ref="U128:U191" si="18">IF(OR(S128="Scotland",S128="England",S128="Wales",S128="Yugoslavia",S128="Czechoslovakia",S128="Northern Ireland",S128="Soviet Union",S128="Zaire",S128="Dutch East Indies"),"AUCUNE",IF(OR(S128="Cape Verde",S128="USA",S128="DR Congo",S128="Republic of Korea",S128="Germany FR",S128="Germany DR",S128="Czechia",S128="Ivory Coast",S128="Korea DPR",S128="China PR",S128="IR Iran",S128="Türkiye",S128="Congo DR",S128="German DR",S128="West Germany",S128="Republic of Ireland",ISNUMBER(SEARCH("rn""&gt;United Arab Emirates",S128)),ISNUMBER(SEARCH("rn""&gt;Republic of Ireland",S128)),ISNUMBER(SEARCH("rn""&gt;Bosnia and Herzegovina",S128)),ISNUMBER(SEARCH("rn""&gt;Trinidad and Tobago",S128)),ISNUMBER(SEARCH("rn""&gt;Serbia and Montenegro",S128)),ISNUMBER(SEARCH(_xlfn.UNICHAR(65533),S128))),"RENOMMER","-"))</f>
        <v>-</v>
      </c>
      <c r="V128" s="30" t="str" cm="1">
        <f t="array" ref="V128">_xlfn.IFS(
ISNUMBER(SEARCH("USA",S128)),"United States",
ISNUMBER(SEARCH("Republic of Korea",S128)),"South Korea",
ISNUMBER(SEARCH("Cape Verde",S128)),"Cabo Verde",
ISNUMBER(SEARCH("Czechia",S128)),"Czech Republic",
ISNUMBER(SEARCH("Türkiye",S128)),"Turkey",
ISNUMBER(SEARCH("Ivory Coast",S128)),"Côte d'Ivoire",
ISNUMBER(SEARCH("Korea Republic",S128)),"South Korea",
ISNUMBER(SEARCH("Germany FR",S128)),"FR Germany",
ISNUMBER(SEARCH("West Germany",S128)),"FR Germany",
ISNUMBER(SEARCH("Germany DR",S128)),"DR Germany",
ISNUMBER(SEARCH("Korea DPR",S128)),"North Korea",
ISNUMBER(SEARCH("China PR",S128)),"China",
ISNUMBER(SEARCH("IR Iran",S128)),"Iran",
ISNUMBER(SEARCH("Congo DR",S128)),"Democratic Republic of the Congo",
ISNUMBER(SEARCH("DR Congo",S128)),"Democratic Republic of the Congo",
ISNUMBER(SEARCH("German DR",S128)),"DR Germany",
ISNUMBER(SEARCH("rn""&gt;United Arab Emirates",S128)),"United Arab Emirates",
ISNUMBER(SEARCH("rn""&gt;Republic of Ireland",S128)),"Ireland",
ISNUMBER(SEARCH("rn""&gt;Bosnia and Herzegovina",S128)),"Bosnia and Herzegovina",
ISNUMBER(SEARCH("rn""&gt;Trinidad and Tobago",S128)),"Trinidad and Tobago",
ISNUMBER(SEARCH("rn""&gt;Serbia and Montenegro",S128)),"Serbia and Montenegro",
ISNUMBER(SEARCH(_xlfn.UNICHAR(65533),S128)),"Côte d'Ivoire",
TRUE,""
)</f>
        <v/>
      </c>
      <c r="W128" s="30" t="str">
        <f t="shared" si="13"/>
        <v>Argentina</v>
      </c>
      <c r="Z128" s="40" t="str">
        <v>Charmilles</v>
      </c>
      <c r="AA128" s="40" t="str" cm="1">
        <f t="array" ref="AA128">IFERROR(_xlfn.XLOOKUP(Z128,_xlfn.ANCHORARRAY(Z$31),AA$31:AA$37),Z128)</f>
        <v>Charmilles</v>
      </c>
      <c r="AB128" s="42" t="str">
        <v xml:space="preserve">Geneva </v>
      </c>
      <c r="AC128" s="89" t="str">
        <f t="shared" si="16"/>
        <v xml:space="preserve">Geneva </v>
      </c>
      <c r="AE128" s="42">
        <v>1938</v>
      </c>
      <c r="AK128" s="42">
        <v>2</v>
      </c>
      <c r="AL128" s="42">
        <v>0</v>
      </c>
      <c r="AV128" s="37" t="str">
        <v>QUARTER_FINALS</v>
      </c>
      <c r="AW128" s="89" t="str">
        <v>GROUP_STAGE</v>
      </c>
      <c r="BE128" s="43" t="str">
        <f>IF(OR(DATA_CLEANED!AL119="",DATA_CLEANED!AM119=""),"MANQUANT",IF(OR(NOT(ISNUMBER(DATA_CLEANED!AL119)),NOT(ISNUMBER(DATA_CLEANED!AM119))),"ENTREE INVALIDE",IF(OR(DATA_CLEANED!AL119&lt;0,DATA_CLEANED!AM119&lt;0),"SCORE NEGATIF","OK")))</f>
        <v>OK</v>
      </c>
      <c r="BF128" s="43" t="str">
        <f>IF(DATA_CLEANED!AK119&lt;&gt;DATA_CLEANED!AN119,"OK","ERREUR")</f>
        <v>OK</v>
      </c>
      <c r="BG128" s="43" t="str">
        <f>IF(DATA_CLEANED!AL119&gt;DATA_CLEANED!AM119,DATA_CLEANED!AK119,IF(AND(DATA_QUALITE!W4605="-",DATA_CLEANED!AM119=DATA_CLEANED!AL119),"MATCH NUL",IF(AND(DATA_QUALITE!V4605="-",DATA_QUALITE!U4605="AUCUNE"),DATA_QUALITE!T4605,IF(DATA_QUALITE!V4605&lt;&gt;"-",DATA_QUALITE!V4605,DATA_CLEANED!AN119))))</f>
        <v>Sweden</v>
      </c>
      <c r="BH128" s="103" t="str">
        <f>IF(AND(BG128="MATCH NUL",DATA_CLEANED!AO119="-"),"MATCH_NUL",IF(ISNUMBER(SEARCH("win on penalties",W4605)),"WIN_BY_PENALTY",IF(ISNUMBER(SEARCH("win after extra time",W4605)),"WIN_BY_EXTRA_TIME",IF(ISNUMBER(SEARCH("Golden Goal",W4605)),"WIN_BY_GOLDEN_GOAL","WIN_BY_SCORE"))))</f>
        <v>WIN_BY_SCORE</v>
      </c>
      <c r="BI128" s="99" t="str">
        <f>IF(OR(BG128=DATA_CLEANED!AK119,BG128=DATA_CLEANED!AN119,BG128="MATCH NUL"),"OK","ERREUR")</f>
        <v>OK</v>
      </c>
    </row>
    <row r="129" spans="2:61">
      <c r="B129" s="74">
        <v>1990</v>
      </c>
      <c r="C129" s="30" t="str">
        <v>Round of 16</v>
      </c>
      <c r="D129" s="30" t="str">
        <v>Republic of Ireland</v>
      </c>
      <c r="E129" s="30" t="str">
        <v>Romania</v>
      </c>
      <c r="F129" s="30" t="str">
        <v>Romania</v>
      </c>
      <c r="G129" s="30" t="str">
        <v>Ioan Lupescu</v>
      </c>
      <c r="H129" s="30" t="str">
        <v>Pat Bonner</v>
      </c>
      <c r="I129" s="30">
        <v>8</v>
      </c>
      <c r="J129" s="30">
        <v>4</v>
      </c>
      <c r="K129" s="30" t="str">
        <v>'3-4</v>
      </c>
      <c r="L129" s="30" t="str">
        <v>No</v>
      </c>
      <c r="M129" s="30" t="str">
        <v>No</v>
      </c>
      <c r="N129" s="30" t="str">
        <v>Goal</v>
      </c>
      <c r="O129" s="30" t="str">
        <f t="shared" si="14"/>
        <v>1990|Round of 16|Republic of Ireland|Romania|Romania|Ioan Lupescu|Pat Bonner|8|4|'3-4|No|No|Goal</v>
      </c>
      <c r="P129" s="96" t="str">
        <f>IF(COUNTIF($G$32:O129,O129)&gt;1,"DOUBLON","OK")</f>
        <v>OK</v>
      </c>
      <c r="R129" s="23" t="s">
        <v>2671</v>
      </c>
      <c r="S129" s="30" t="str">
        <v>Argentina</v>
      </c>
      <c r="T129" s="30" t="str">
        <f t="shared" si="17"/>
        <v>OK</v>
      </c>
      <c r="U129" s="30" t="str">
        <f t="shared" si="18"/>
        <v>-</v>
      </c>
      <c r="V129" s="30" t="str" cm="1">
        <f t="array" ref="V129">_xlfn.IFS(
ISNUMBER(SEARCH("USA",S129)),"United States",
ISNUMBER(SEARCH("Republic of Korea",S129)),"South Korea",
ISNUMBER(SEARCH("Cape Verde",S129)),"Cabo Verde",
ISNUMBER(SEARCH("Czechia",S129)),"Czech Republic",
ISNUMBER(SEARCH("Türkiye",S129)),"Turkey",
ISNUMBER(SEARCH("Ivory Coast",S129)),"Côte d'Ivoire",
ISNUMBER(SEARCH("Korea Republic",S129)),"South Korea",
ISNUMBER(SEARCH("Germany FR",S129)),"FR Germany",
ISNUMBER(SEARCH("West Germany",S129)),"FR Germany",
ISNUMBER(SEARCH("Germany DR",S129)),"DR Germany",
ISNUMBER(SEARCH("Korea DPR",S129)),"North Korea",
ISNUMBER(SEARCH("China PR",S129)),"China",
ISNUMBER(SEARCH("IR Iran",S129)),"Iran",
ISNUMBER(SEARCH("Congo DR",S129)),"Democratic Republic of the Congo",
ISNUMBER(SEARCH("DR Congo",S129)),"Democratic Republic of the Congo",
ISNUMBER(SEARCH("German DR",S129)),"DR Germany",
ISNUMBER(SEARCH("rn""&gt;United Arab Emirates",S129)),"United Arab Emirates",
ISNUMBER(SEARCH("rn""&gt;Republic of Ireland",S129)),"Ireland",
ISNUMBER(SEARCH("rn""&gt;Bosnia and Herzegovina",S129)),"Bosnia and Herzegovina",
ISNUMBER(SEARCH("rn""&gt;Trinidad and Tobago",S129)),"Trinidad and Tobago",
ISNUMBER(SEARCH("rn""&gt;Serbia and Montenegro",S129)),"Serbia and Montenegro",
ISNUMBER(SEARCH(_xlfn.UNICHAR(65533),S129)),"Côte d'Ivoire",
TRUE,""
)</f>
        <v/>
      </c>
      <c r="W129" s="30" t="str">
        <f t="shared" si="13"/>
        <v>Argentina</v>
      </c>
      <c r="Z129" s="40" t="str">
        <v>Wankdorf Stadium</v>
      </c>
      <c r="AA129" s="40" t="str" cm="1">
        <f t="array" ref="AA129">IFERROR(_xlfn.XLOOKUP(Z129,_xlfn.ANCHORARRAY(Z$31),AA$31:AA$37),Z129)</f>
        <v>Wankdorf Stadium</v>
      </c>
      <c r="AB129" s="42" t="str">
        <v xml:space="preserve">Berne </v>
      </c>
      <c r="AC129" s="89" t="str">
        <f t="shared" si="16"/>
        <v xml:space="preserve">Berne </v>
      </c>
      <c r="AE129" s="42">
        <v>1938</v>
      </c>
      <c r="AK129" s="42">
        <v>8</v>
      </c>
      <c r="AL129" s="42">
        <v>0</v>
      </c>
      <c r="AV129" s="37" t="str">
        <v>QUARTER_FINALS</v>
      </c>
      <c r="AW129" s="89" t="str">
        <v>GROUP_STAGE</v>
      </c>
      <c r="BE129" s="43" t="str">
        <f>IF(OR(DATA_CLEANED!AL120="",DATA_CLEANED!AM120=""),"MANQUANT",IF(OR(NOT(ISNUMBER(DATA_CLEANED!AL120)),NOT(ISNUMBER(DATA_CLEANED!AM120))),"ENTREE INVALIDE",IF(OR(DATA_CLEANED!AL120&lt;0,DATA_CLEANED!AM120&lt;0),"SCORE NEGATIF","OK")))</f>
        <v>OK</v>
      </c>
      <c r="BF129" s="43" t="str">
        <f>IF(DATA_CLEANED!AK120&lt;&gt;DATA_CLEANED!AN120,"OK","ERREUR")</f>
        <v>OK</v>
      </c>
      <c r="BG129" s="43" t="str">
        <f>IF(DATA_CLEANED!AL120&gt;DATA_CLEANED!AM120,DATA_CLEANED!AK120,IF(AND(DATA_QUALITE!W4606="-",DATA_CLEANED!AM120=DATA_CLEANED!AL120),"MATCH NUL",IF(AND(DATA_QUALITE!V4606="-",DATA_QUALITE!U4606="AUCUNE"),DATA_QUALITE!T4606,IF(DATA_QUALITE!V4606&lt;&gt;"-",DATA_QUALITE!V4606,DATA_CLEANED!AN120))))</f>
        <v>MATCH NUL</v>
      </c>
      <c r="BH129" s="103" t="str">
        <f>IF(AND(BG129="MATCH NUL",DATA_CLEANED!AO120="-"),"MATCH_NUL",IF(ISNUMBER(SEARCH("win on penalties",W4606)),"WIN_BY_PENALTY",IF(ISNUMBER(SEARCH("win after extra time",W4606)),"WIN_BY_EXTRA_TIME",IF(ISNUMBER(SEARCH("Golden Goal",W4606)),"WIN_BY_GOLDEN_GOAL","WIN_BY_SCORE"))))</f>
        <v>MATCH_NUL</v>
      </c>
      <c r="BI129" s="99" t="str">
        <f>IF(OR(BG129=DATA_CLEANED!AK120,BG129=DATA_CLEANED!AN120,BG129="MATCH NUL"),"OK","ERREUR")</f>
        <v>OK</v>
      </c>
    </row>
    <row r="130" spans="2:61">
      <c r="B130" s="74">
        <v>1990</v>
      </c>
      <c r="C130" s="30" t="str">
        <v>Round of 16</v>
      </c>
      <c r="D130" s="30" t="str">
        <v>Republic of Ireland</v>
      </c>
      <c r="E130" s="30" t="str">
        <v>Romania</v>
      </c>
      <c r="F130" s="30" t="str">
        <v>Republic of Ireland</v>
      </c>
      <c r="G130" s="30" t="str">
        <v>David O'Leary</v>
      </c>
      <c r="H130" s="30" t="str">
        <v>Silviu Lung</v>
      </c>
      <c r="I130" s="30">
        <v>9</v>
      </c>
      <c r="J130" s="30">
        <v>5</v>
      </c>
      <c r="K130" s="30" t="str">
        <v>'4-4</v>
      </c>
      <c r="L130" s="30" t="str">
        <v>No</v>
      </c>
      <c r="M130" s="30" t="str">
        <v>No</v>
      </c>
      <c r="N130" s="30" t="str">
        <v>Goal</v>
      </c>
      <c r="O130" s="30" t="str">
        <f t="shared" si="14"/>
        <v>1990|Round of 16|Republic of Ireland|Romania|Republic of Ireland|David O'Leary|Silviu Lung|9|5|'4-4|No|No|Goal</v>
      </c>
      <c r="P130" s="96" t="str">
        <f>IF(COUNTIF($G$32:O130,O130)&gt;1,"DOUBLON","OK")</f>
        <v>OK</v>
      </c>
      <c r="R130" s="23" t="s">
        <v>3645</v>
      </c>
      <c r="S130" s="30" t="str">
        <v>Argentina</v>
      </c>
      <c r="T130" s="30" t="str">
        <f t="shared" si="17"/>
        <v>OK</v>
      </c>
      <c r="U130" s="30" t="str">
        <f t="shared" si="18"/>
        <v>-</v>
      </c>
      <c r="V130" s="30" t="str" cm="1">
        <f t="array" ref="V130">_xlfn.IFS(
ISNUMBER(SEARCH("USA",S130)),"United States",
ISNUMBER(SEARCH("Republic of Korea",S130)),"South Korea",
ISNUMBER(SEARCH("Cape Verde",S130)),"Cabo Verde",
ISNUMBER(SEARCH("Czechia",S130)),"Czech Republic",
ISNUMBER(SEARCH("Türkiye",S130)),"Turkey",
ISNUMBER(SEARCH("Ivory Coast",S130)),"Côte d'Ivoire",
ISNUMBER(SEARCH("Korea Republic",S130)),"South Korea",
ISNUMBER(SEARCH("Germany FR",S130)),"FR Germany",
ISNUMBER(SEARCH("West Germany",S130)),"FR Germany",
ISNUMBER(SEARCH("Germany DR",S130)),"DR Germany",
ISNUMBER(SEARCH("Korea DPR",S130)),"North Korea",
ISNUMBER(SEARCH("China PR",S130)),"China",
ISNUMBER(SEARCH("IR Iran",S130)),"Iran",
ISNUMBER(SEARCH("Congo DR",S130)),"Democratic Republic of the Congo",
ISNUMBER(SEARCH("DR Congo",S130)),"Democratic Republic of the Congo",
ISNUMBER(SEARCH("German DR",S130)),"DR Germany",
ISNUMBER(SEARCH("rn""&gt;United Arab Emirates",S130)),"United Arab Emirates",
ISNUMBER(SEARCH("rn""&gt;Republic of Ireland",S130)),"Ireland",
ISNUMBER(SEARCH("rn""&gt;Bosnia and Herzegovina",S130)),"Bosnia and Herzegovina",
ISNUMBER(SEARCH("rn""&gt;Trinidad and Tobago",S130)),"Trinidad and Tobago",
ISNUMBER(SEARCH("rn""&gt;Serbia and Montenegro",S130)),"Serbia and Montenegro",
ISNUMBER(SEARCH(_xlfn.UNICHAR(65533),S130)),"Côte d'Ivoire",
TRUE,""
)</f>
        <v/>
      </c>
      <c r="W130" s="30" t="str">
        <f t="shared" si="13"/>
        <v>Argentina</v>
      </c>
      <c r="Z130" s="40" t="str">
        <v>Comunale di Cornaredo</v>
      </c>
      <c r="AA130" s="40" t="str" cm="1">
        <f t="array" ref="AA130">IFERROR(_xlfn.XLOOKUP(Z130,_xlfn.ANCHORARRAY(Z$31),AA$31:AA$37),Z130)</f>
        <v>Comunale di Cornaredo</v>
      </c>
      <c r="AB130" s="42" t="str">
        <v xml:space="preserve">Lugano </v>
      </c>
      <c r="AC130" s="89" t="str">
        <f t="shared" si="16"/>
        <v xml:space="preserve">Lugano </v>
      </c>
      <c r="AE130" s="42">
        <v>1938</v>
      </c>
      <c r="AK130" s="42">
        <v>3</v>
      </c>
      <c r="AL130" s="42">
        <v>1</v>
      </c>
      <c r="AV130" s="37" t="str">
        <v>QUARTER_FINALS</v>
      </c>
      <c r="AW130" s="89" t="str">
        <v>GROUP_STAGE</v>
      </c>
      <c r="BE130" s="43" t="str">
        <f>IF(OR(DATA_CLEANED!AL121="",DATA_CLEANED!AM121=""),"MANQUANT",IF(OR(NOT(ISNUMBER(DATA_CLEANED!AL121)),NOT(ISNUMBER(DATA_CLEANED!AM121))),"ENTREE INVALIDE",IF(OR(DATA_CLEANED!AL121&lt;0,DATA_CLEANED!AM121&lt;0),"SCORE NEGATIF","OK")))</f>
        <v>OK</v>
      </c>
      <c r="BF130" s="43" t="str">
        <f>IF(DATA_CLEANED!AK121&lt;&gt;DATA_CLEANED!AN121,"OK","ERREUR")</f>
        <v>OK</v>
      </c>
      <c r="BG130" s="43" t="str">
        <f>IF(DATA_CLEANED!AL121&gt;DATA_CLEANED!AM121,DATA_CLEANED!AK121,IF(AND(DATA_QUALITE!W4607="-",DATA_CLEANED!AM121=DATA_CLEANED!AL121),"MATCH NUL",IF(AND(DATA_QUALITE!V4607="-",DATA_QUALITE!U4607="AUCUNE"),DATA_QUALITE!T4607,IF(DATA_QUALITE!V4607&lt;&gt;"-",DATA_QUALITE!V4607,DATA_CLEANED!AN121))))</f>
        <v>Brazil</v>
      </c>
      <c r="BH130" s="103" t="str">
        <f>IF(AND(BG130="MATCH NUL",DATA_CLEANED!AO121="-"),"MATCH_NUL",IF(ISNUMBER(SEARCH("win on penalties",W4607)),"WIN_BY_PENALTY",IF(ISNUMBER(SEARCH("win after extra time",W4607)),"WIN_BY_EXTRA_TIME",IF(ISNUMBER(SEARCH("Golden Goal",W4607)),"WIN_BY_GOLDEN_GOAL","WIN_BY_SCORE"))))</f>
        <v>WIN_BY_SCORE</v>
      </c>
      <c r="BI130" s="99" t="str">
        <f>IF(OR(BG130=DATA_CLEANED!AK121,BG130=DATA_CLEANED!AN121,BG130="MATCH NUL"),"OK","ERREUR")</f>
        <v>OK</v>
      </c>
    </row>
    <row r="131" spans="2:61">
      <c r="B131" s="74">
        <v>1990</v>
      </c>
      <c r="C131" s="30" t="str">
        <v>Round of 16</v>
      </c>
      <c r="D131" s="30" t="str">
        <v>Republic of Ireland</v>
      </c>
      <c r="E131" s="30" t="str">
        <v>Romania</v>
      </c>
      <c r="F131" s="30" t="str">
        <v>Romania</v>
      </c>
      <c r="G131" s="30" t="str">
        <v>Daniel Timofte</v>
      </c>
      <c r="H131" s="30" t="str">
        <v>Pat Bonner</v>
      </c>
      <c r="I131" s="30">
        <v>10</v>
      </c>
      <c r="J131" s="30">
        <v>5</v>
      </c>
      <c r="K131" s="30" t="str">
        <v>'4-5</v>
      </c>
      <c r="L131" s="30" t="str">
        <v>Yes</v>
      </c>
      <c r="M131" s="30" t="str">
        <v>Yes</v>
      </c>
      <c r="N131" s="30" t="str">
        <v>Saved</v>
      </c>
      <c r="O131" s="30" t="str">
        <f t="shared" si="14"/>
        <v>1990|Round of 16|Republic of Ireland|Romania|Romania|Daniel Timofte|Pat Bonner|10|5|'4-5|Yes|Yes|Saved</v>
      </c>
      <c r="P131" s="96" t="str">
        <f>IF(COUNTIF($G$32:O131,O131)&gt;1,"DOUBLON","OK")</f>
        <v>OK</v>
      </c>
      <c r="R131" s="23" t="s">
        <v>3646</v>
      </c>
      <c r="S131" s="30" t="str">
        <v>West Germany</v>
      </c>
      <c r="T131" s="30" t="str">
        <f t="shared" si="17"/>
        <v>ERREUR</v>
      </c>
      <c r="U131" s="30" t="str">
        <f t="shared" si="18"/>
        <v>RENOMMER</v>
      </c>
      <c r="V131" s="30" t="str" cm="1">
        <f t="array" ref="V131">_xlfn.IFS(
ISNUMBER(SEARCH("USA",S131)),"United States",
ISNUMBER(SEARCH("Republic of Korea",S131)),"South Korea",
ISNUMBER(SEARCH("Cape Verde",S131)),"Cabo Verde",
ISNUMBER(SEARCH("Czechia",S131)),"Czech Republic",
ISNUMBER(SEARCH("Türkiye",S131)),"Turkey",
ISNUMBER(SEARCH("Ivory Coast",S131)),"Côte d'Ivoire",
ISNUMBER(SEARCH("Korea Republic",S131)),"South Korea",
ISNUMBER(SEARCH("Germany FR",S131)),"FR Germany",
ISNUMBER(SEARCH("West Germany",S131)),"FR Germany",
ISNUMBER(SEARCH("Germany DR",S131)),"DR Germany",
ISNUMBER(SEARCH("Korea DPR",S131)),"North Korea",
ISNUMBER(SEARCH("China PR",S131)),"China",
ISNUMBER(SEARCH("IR Iran",S131)),"Iran",
ISNUMBER(SEARCH("Congo DR",S131)),"Democratic Republic of the Congo",
ISNUMBER(SEARCH("DR Congo",S131)),"Democratic Republic of the Congo",
ISNUMBER(SEARCH("German DR",S131)),"DR Germany",
ISNUMBER(SEARCH("rn""&gt;United Arab Emirates",S131)),"United Arab Emirates",
ISNUMBER(SEARCH("rn""&gt;Republic of Ireland",S131)),"Ireland",
ISNUMBER(SEARCH("rn""&gt;Bosnia and Herzegovina",S131)),"Bosnia and Herzegovina",
ISNUMBER(SEARCH("rn""&gt;Trinidad and Tobago",S131)),"Trinidad and Tobago",
ISNUMBER(SEARCH("rn""&gt;Serbia and Montenegro",S131)),"Serbia and Montenegro",
ISNUMBER(SEARCH(_xlfn.UNICHAR(65533),S131)),"Côte d'Ivoire",
TRUE,""
)</f>
        <v>FR Germany</v>
      </c>
      <c r="W131" s="30" t="str">
        <f t="shared" si="13"/>
        <v>FR Germany</v>
      </c>
      <c r="Z131" s="40" t="str">
        <v>Hardturm</v>
      </c>
      <c r="AA131" s="40" t="str" cm="1">
        <f t="array" ref="AA131">IFERROR(_xlfn.XLOOKUP(Z131,_xlfn.ANCHORARRAY(Z$31),AA$31:AA$37),Z131)</f>
        <v>Hardturm</v>
      </c>
      <c r="AB131" s="42" t="str">
        <v xml:space="preserve">Zurich </v>
      </c>
      <c r="AC131" s="89" t="str">
        <f t="shared" si="16"/>
        <v xml:space="preserve">Zurich </v>
      </c>
      <c r="AE131" s="42">
        <v>1938</v>
      </c>
      <c r="AK131" s="42">
        <v>2</v>
      </c>
      <c r="AL131" s="42">
        <v>1</v>
      </c>
      <c r="AV131" s="37" t="str">
        <v>QUARTER_FINALS</v>
      </c>
      <c r="AW131" s="89" t="str">
        <v>GROUP_STAGE</v>
      </c>
      <c r="BE131" s="43" t="str">
        <f>IF(OR(DATA_CLEANED!AL122="",DATA_CLEANED!AM122=""),"MANQUANT",IF(OR(NOT(ISNUMBER(DATA_CLEANED!AL122)),NOT(ISNUMBER(DATA_CLEANED!AM122))),"ENTREE INVALIDE",IF(OR(DATA_CLEANED!AL122&lt;0,DATA_CLEANED!AM122&lt;0),"SCORE NEGATIF","OK")))</f>
        <v>OK</v>
      </c>
      <c r="BF131" s="43" t="str">
        <f>IF(DATA_CLEANED!AK122&lt;&gt;DATA_CLEANED!AN122,"OK","ERREUR")</f>
        <v>OK</v>
      </c>
      <c r="BG131" s="43" t="str">
        <f>IF(DATA_CLEANED!AL122&gt;DATA_CLEANED!AM122,DATA_CLEANED!AK122,IF(AND(DATA_QUALITE!W4608="-",DATA_CLEANED!AM122=DATA_CLEANED!AL122),"MATCH NUL",IF(AND(DATA_QUALITE!V4608="-",DATA_QUALITE!U4608="AUCUNE"),DATA_QUALITE!T4608,IF(DATA_QUALITE!V4608&lt;&gt;"-",DATA_QUALITE!V4608,DATA_CLEANED!AN122))))</f>
        <v>MATCH NUL</v>
      </c>
      <c r="BH131" s="103" t="str">
        <f>IF(AND(BG131="MATCH NUL",DATA_CLEANED!AO122="-"),"MATCH_NUL",IF(ISNUMBER(SEARCH("win on penalties",W4608)),"WIN_BY_PENALTY",IF(ISNUMBER(SEARCH("win after extra time",W4608)),"WIN_BY_EXTRA_TIME",IF(ISNUMBER(SEARCH("Golden Goal",W4608)),"WIN_BY_GOLDEN_GOAL","WIN_BY_SCORE"))))</f>
        <v>MATCH_NUL</v>
      </c>
      <c r="BI131" s="99" t="str">
        <f>IF(OR(BG131=DATA_CLEANED!AK122,BG131=DATA_CLEANED!AN122,BG131="MATCH NUL"),"OK","ERREUR")</f>
        <v>OK</v>
      </c>
    </row>
    <row r="132" spans="2:61">
      <c r="B132" s="74">
        <v>1990</v>
      </c>
      <c r="C132" s="30" t="str">
        <v>Quarter-finals</v>
      </c>
      <c r="D132" s="30" t="str">
        <v>Argentina</v>
      </c>
      <c r="E132" s="30" t="str">
        <v>Yugoslavia</v>
      </c>
      <c r="F132" s="30" t="str">
        <v>Argentina</v>
      </c>
      <c r="G132" s="30" t="str">
        <v>José Serrizuela</v>
      </c>
      <c r="H132" s="30" t="str">
        <v>Tomislav Ivković</v>
      </c>
      <c r="I132" s="30">
        <v>1</v>
      </c>
      <c r="J132" s="30">
        <v>1</v>
      </c>
      <c r="K132" s="30" t="str">
        <v>'0-0</v>
      </c>
      <c r="L132" s="30" t="str">
        <v>No</v>
      </c>
      <c r="M132" s="30" t="str">
        <v>No</v>
      </c>
      <c r="N132" s="30" t="str">
        <v>Goal</v>
      </c>
      <c r="O132" s="30" t="str">
        <f t="shared" si="14"/>
        <v>1990|Quarter-finals|Argentina|Yugoslavia|Argentina|José Serrizuela|Tomislav Ivković|1|1|'0-0|No|No|Goal</v>
      </c>
      <c r="P132" s="96" t="str">
        <f>IF(COUNTIF($G$32:O132,O132)&gt;1,"DOUBLON","OK")</f>
        <v>OK</v>
      </c>
      <c r="R132" s="23" t="s">
        <v>3647</v>
      </c>
      <c r="S132" s="30" t="str">
        <v>West Germany</v>
      </c>
      <c r="T132" s="30" t="str">
        <f t="shared" si="17"/>
        <v>ERREUR</v>
      </c>
      <c r="U132" s="30" t="str">
        <f t="shared" si="18"/>
        <v>RENOMMER</v>
      </c>
      <c r="V132" s="30" t="str" cm="1">
        <f t="array" ref="V132">_xlfn.IFS(
ISNUMBER(SEARCH("USA",S132)),"United States",
ISNUMBER(SEARCH("Republic of Korea",S132)),"South Korea",
ISNUMBER(SEARCH("Cape Verde",S132)),"Cabo Verde",
ISNUMBER(SEARCH("Czechia",S132)),"Czech Republic",
ISNUMBER(SEARCH("Türkiye",S132)),"Turkey",
ISNUMBER(SEARCH("Ivory Coast",S132)),"Côte d'Ivoire",
ISNUMBER(SEARCH("Korea Republic",S132)),"South Korea",
ISNUMBER(SEARCH("Germany FR",S132)),"FR Germany",
ISNUMBER(SEARCH("West Germany",S132)),"FR Germany",
ISNUMBER(SEARCH("Germany DR",S132)),"DR Germany",
ISNUMBER(SEARCH("Korea DPR",S132)),"North Korea",
ISNUMBER(SEARCH("China PR",S132)),"China",
ISNUMBER(SEARCH("IR Iran",S132)),"Iran",
ISNUMBER(SEARCH("Congo DR",S132)),"Democratic Republic of the Congo",
ISNUMBER(SEARCH("DR Congo",S132)),"Democratic Republic of the Congo",
ISNUMBER(SEARCH("German DR",S132)),"DR Germany",
ISNUMBER(SEARCH("rn""&gt;United Arab Emirates",S132)),"United Arab Emirates",
ISNUMBER(SEARCH("rn""&gt;Republic of Ireland",S132)),"Ireland",
ISNUMBER(SEARCH("rn""&gt;Bosnia and Herzegovina",S132)),"Bosnia and Herzegovina",
ISNUMBER(SEARCH("rn""&gt;Trinidad and Tobago",S132)),"Trinidad and Tobago",
ISNUMBER(SEARCH("rn""&gt;Serbia and Montenegro",S132)),"Serbia and Montenegro",
ISNUMBER(SEARCH(_xlfn.UNICHAR(65533),S132)),"Côte d'Ivoire",
TRUE,""
)</f>
        <v>FR Germany</v>
      </c>
      <c r="W132" s="30" t="str">
        <f t="shared" si="13"/>
        <v>FR Germany</v>
      </c>
      <c r="Z132" s="40" t="str">
        <v>St. Jakob</v>
      </c>
      <c r="AA132" s="40" t="str" cm="1">
        <f t="array" ref="AA132">IFERROR(_xlfn.XLOOKUP(Z132,_xlfn.ANCHORARRAY(Z$31),AA$31:AA$37),Z132)</f>
        <v>St. Jakob</v>
      </c>
      <c r="AB132" s="42" t="str">
        <v xml:space="preserve">Basel </v>
      </c>
      <c r="AC132" s="89" t="str">
        <f t="shared" si="16"/>
        <v xml:space="preserve">Basel </v>
      </c>
      <c r="AE132" s="42">
        <v>1938</v>
      </c>
      <c r="AK132" s="42">
        <v>5</v>
      </c>
      <c r="AL132" s="42">
        <v>1</v>
      </c>
      <c r="AV132" s="37" t="str">
        <v>QUARTER_FINALS</v>
      </c>
      <c r="AW132" s="89" t="str">
        <v>GROUP_STAGE</v>
      </c>
      <c r="BE132" s="43" t="str">
        <f>IF(OR(DATA_CLEANED!AL123="",DATA_CLEANED!AM123=""),"MANQUANT",IF(OR(NOT(ISNUMBER(DATA_CLEANED!AL123)),NOT(ISNUMBER(DATA_CLEANED!AM123))),"ENTREE INVALIDE",IF(OR(DATA_CLEANED!AL123&lt;0,DATA_CLEANED!AM123&lt;0),"SCORE NEGATIF","OK")))</f>
        <v>OK</v>
      </c>
      <c r="BF132" s="43" t="str">
        <f>IF(DATA_CLEANED!AK123&lt;&gt;DATA_CLEANED!AN123,"OK","ERREUR")</f>
        <v>OK</v>
      </c>
      <c r="BG132" s="43" t="str">
        <f>IF(DATA_CLEANED!AL123&gt;DATA_CLEANED!AM123,DATA_CLEANED!AK123,IF(AND(DATA_QUALITE!W4609="-",DATA_CLEANED!AM123=DATA_CLEANED!AL123),"MATCH NUL",IF(AND(DATA_QUALITE!V4609="-",DATA_QUALITE!U4609="AUCUNE"),DATA_QUALITE!T4609,IF(DATA_QUALITE!V4609&lt;&gt;"-",DATA_QUALITE!V4609,DATA_CLEANED!AN123))))</f>
        <v>Hungary</v>
      </c>
      <c r="BH132" s="103" t="str">
        <f>IF(AND(BG132="MATCH NUL",DATA_CLEANED!AO123="-"),"MATCH_NUL",IF(ISNUMBER(SEARCH("win on penalties",W4609)),"WIN_BY_PENALTY",IF(ISNUMBER(SEARCH("win after extra time",W4609)),"WIN_BY_EXTRA_TIME",IF(ISNUMBER(SEARCH("Golden Goal",W4609)),"WIN_BY_GOLDEN_GOAL","WIN_BY_SCORE"))))</f>
        <v>WIN_BY_SCORE</v>
      </c>
      <c r="BI132" s="99" t="str">
        <f>IF(OR(BG132=DATA_CLEANED!AK123,BG132=DATA_CLEANED!AN123,BG132="MATCH NUL"),"OK","ERREUR")</f>
        <v>OK</v>
      </c>
    </row>
    <row r="133" spans="2:61">
      <c r="B133" s="74">
        <v>1990</v>
      </c>
      <c r="C133" s="30" t="str">
        <v>Quarter-finals</v>
      </c>
      <c r="D133" s="30" t="str">
        <v>Argentina</v>
      </c>
      <c r="E133" s="30" t="str">
        <v>Yugoslavia</v>
      </c>
      <c r="F133" s="30" t="str">
        <v>Yugoslavia</v>
      </c>
      <c r="G133" s="30" t="str">
        <v>Dragan Stojković</v>
      </c>
      <c r="H133" s="30" t="str">
        <v>Sergio Goycochea</v>
      </c>
      <c r="I133" s="30">
        <v>2</v>
      </c>
      <c r="J133" s="30">
        <v>1</v>
      </c>
      <c r="K133" s="30" t="str">
        <v>'1-0</v>
      </c>
      <c r="L133" s="30" t="str">
        <v>No</v>
      </c>
      <c r="M133" s="30" t="str">
        <v>No</v>
      </c>
      <c r="N133" s="30" t="str">
        <v>Missed</v>
      </c>
      <c r="O133" s="30" t="str">
        <f t="shared" si="14"/>
        <v>1990|Quarter-finals|Argentina|Yugoslavia|Yugoslavia|Dragan Stojković|Sergio Goycochea|2|1|'1-0|No|No|Missed</v>
      </c>
      <c r="P133" s="96" t="str">
        <f>IF(COUNTIF($G$32:O133,O133)&gt;1,"DOUBLON","OK")</f>
        <v>OK</v>
      </c>
      <c r="R133" s="23" t="s">
        <v>3648</v>
      </c>
      <c r="S133" s="30" t="str">
        <v>West Germany</v>
      </c>
      <c r="T133" s="30" t="str">
        <f t="shared" si="17"/>
        <v>ERREUR</v>
      </c>
      <c r="U133" s="30" t="str">
        <f t="shared" si="18"/>
        <v>RENOMMER</v>
      </c>
      <c r="V133" s="30" t="str" cm="1">
        <f t="array" ref="V133">_xlfn.IFS(
ISNUMBER(SEARCH("USA",S133)),"United States",
ISNUMBER(SEARCH("Republic of Korea",S133)),"South Korea",
ISNUMBER(SEARCH("Cape Verde",S133)),"Cabo Verde",
ISNUMBER(SEARCH("Czechia",S133)),"Czech Republic",
ISNUMBER(SEARCH("Türkiye",S133)),"Turkey",
ISNUMBER(SEARCH("Ivory Coast",S133)),"Côte d'Ivoire",
ISNUMBER(SEARCH("Korea Republic",S133)),"South Korea",
ISNUMBER(SEARCH("Germany FR",S133)),"FR Germany",
ISNUMBER(SEARCH("West Germany",S133)),"FR Germany",
ISNUMBER(SEARCH("Germany DR",S133)),"DR Germany",
ISNUMBER(SEARCH("Korea DPR",S133)),"North Korea",
ISNUMBER(SEARCH("China PR",S133)),"China",
ISNUMBER(SEARCH("IR Iran",S133)),"Iran",
ISNUMBER(SEARCH("Congo DR",S133)),"Democratic Republic of the Congo",
ISNUMBER(SEARCH("DR Congo",S133)),"Democratic Republic of the Congo",
ISNUMBER(SEARCH("German DR",S133)),"DR Germany",
ISNUMBER(SEARCH("rn""&gt;United Arab Emirates",S133)),"United Arab Emirates",
ISNUMBER(SEARCH("rn""&gt;Republic of Ireland",S133)),"Ireland",
ISNUMBER(SEARCH("rn""&gt;Bosnia and Herzegovina",S133)),"Bosnia and Herzegovina",
ISNUMBER(SEARCH("rn""&gt;Trinidad and Tobago",S133)),"Trinidad and Tobago",
ISNUMBER(SEARCH("rn""&gt;Serbia and Montenegro",S133)),"Serbia and Montenegro",
ISNUMBER(SEARCH(_xlfn.UNICHAR(65533),S133)),"Côte d'Ivoire",
TRUE,""
)</f>
        <v>FR Germany</v>
      </c>
      <c r="W133" s="30" t="str">
        <f t="shared" si="13"/>
        <v>FR Germany</v>
      </c>
      <c r="Z133" s="40" t="str">
        <v>St. Jakob</v>
      </c>
      <c r="AA133" s="40" t="str" cm="1">
        <f t="array" ref="AA133">IFERROR(_xlfn.XLOOKUP(Z133,_xlfn.ANCHORARRAY(Z$31),AA$31:AA$37),Z133)</f>
        <v>St. Jakob</v>
      </c>
      <c r="AB133" s="42" t="str">
        <v xml:space="preserve">Basel </v>
      </c>
      <c r="AC133" s="89" t="str">
        <f t="shared" si="16"/>
        <v xml:space="preserve">Basel </v>
      </c>
      <c r="AE133" s="42">
        <v>1938</v>
      </c>
      <c r="AK133" s="42">
        <v>2</v>
      </c>
      <c r="AL133" s="42">
        <v>1</v>
      </c>
      <c r="AV133" s="37" t="str">
        <v>QUARTER_FINALS</v>
      </c>
      <c r="AW133" s="89" t="str">
        <v>GROUP_STAGE</v>
      </c>
      <c r="BE133" s="43" t="str">
        <f>IF(OR(DATA_CLEANED!AL124="",DATA_CLEANED!AM124=""),"MANQUANT",IF(OR(NOT(ISNUMBER(DATA_CLEANED!AL124)),NOT(ISNUMBER(DATA_CLEANED!AM124))),"ENTREE INVALIDE",IF(OR(DATA_CLEANED!AL124&lt;0,DATA_CLEANED!AM124&lt;0),"SCORE NEGATIF","OK")))</f>
        <v>OK</v>
      </c>
      <c r="BF133" s="43" t="str">
        <f>IF(DATA_CLEANED!AK124&lt;&gt;DATA_CLEANED!AN124,"OK","ERREUR")</f>
        <v>OK</v>
      </c>
      <c r="BG133" s="43" t="str">
        <f>IF(DATA_CLEANED!AL124&gt;DATA_CLEANED!AM124,DATA_CLEANED!AK124,IF(AND(DATA_QUALITE!W4610="-",DATA_CLEANED!AM124=DATA_CLEANED!AL124),"MATCH NUL",IF(AND(DATA_QUALITE!V4610="-",DATA_QUALITE!U4610="AUCUNE"),DATA_QUALITE!T4610,IF(DATA_QUALITE!V4610&lt;&gt;"-",DATA_QUALITE!V4610,DATA_CLEANED!AN124))))</f>
        <v>MATCH NUL</v>
      </c>
      <c r="BH133" s="103" t="str">
        <f>IF(AND(BG133="MATCH NUL",DATA_CLEANED!AO124="-"),"MATCH_NUL",IF(ISNUMBER(SEARCH("win on penalties",W4610)),"WIN_BY_PENALTY",IF(ISNUMBER(SEARCH("win after extra time",W4610)),"WIN_BY_EXTRA_TIME",IF(ISNUMBER(SEARCH("Golden Goal",W4610)),"WIN_BY_GOLDEN_GOAL","WIN_BY_SCORE"))))</f>
        <v>MATCH_NUL</v>
      </c>
      <c r="BI133" s="99" t="str">
        <f>IF(OR(BG133=DATA_CLEANED!AK124,BG133=DATA_CLEANED!AN124,BG133="MATCH NUL"),"OK","ERREUR")</f>
        <v>OK</v>
      </c>
    </row>
    <row r="134" spans="2:61">
      <c r="B134" s="74">
        <v>1990</v>
      </c>
      <c r="C134" s="30" t="str">
        <v>Quarter-finals</v>
      </c>
      <c r="D134" s="30" t="str">
        <v>Argentina</v>
      </c>
      <c r="E134" s="30" t="str">
        <v>Yugoslavia</v>
      </c>
      <c r="F134" s="30" t="str">
        <v>Argentina</v>
      </c>
      <c r="G134" s="30" t="str">
        <v>Jorge Burruchaga</v>
      </c>
      <c r="H134" s="30" t="str">
        <v>Tomislav Ivković</v>
      </c>
      <c r="I134" s="30">
        <v>3</v>
      </c>
      <c r="J134" s="30">
        <v>2</v>
      </c>
      <c r="K134" s="30" t="str">
        <v>'1-0</v>
      </c>
      <c r="L134" s="30" t="str">
        <v>No</v>
      </c>
      <c r="M134" s="30" t="str">
        <v>No</v>
      </c>
      <c r="N134" s="30" t="str">
        <v>Goal</v>
      </c>
      <c r="O134" s="30" t="str">
        <f t="shared" si="14"/>
        <v>1990|Quarter-finals|Argentina|Yugoslavia|Argentina|Jorge Burruchaga|Tomislav Ivković|3|2|'1-0|No|No|Goal</v>
      </c>
      <c r="P134" s="96" t="str">
        <f>IF(COUNTIF($G$32:O134,O134)&gt;1,"DOUBLON","OK")</f>
        <v>OK</v>
      </c>
      <c r="R134" s="23" t="s">
        <v>3649</v>
      </c>
      <c r="S134" s="30" t="str">
        <v>West Germany</v>
      </c>
      <c r="T134" s="30" t="str">
        <f t="shared" si="17"/>
        <v>ERREUR</v>
      </c>
      <c r="U134" s="30" t="str">
        <f t="shared" si="18"/>
        <v>RENOMMER</v>
      </c>
      <c r="V134" s="30" t="str" cm="1">
        <f t="array" ref="V134">_xlfn.IFS(
ISNUMBER(SEARCH("USA",S134)),"United States",
ISNUMBER(SEARCH("Republic of Korea",S134)),"South Korea",
ISNUMBER(SEARCH("Cape Verde",S134)),"Cabo Verde",
ISNUMBER(SEARCH("Czechia",S134)),"Czech Republic",
ISNUMBER(SEARCH("Türkiye",S134)),"Turkey",
ISNUMBER(SEARCH("Ivory Coast",S134)),"Côte d'Ivoire",
ISNUMBER(SEARCH("Korea Republic",S134)),"South Korea",
ISNUMBER(SEARCH("Germany FR",S134)),"FR Germany",
ISNUMBER(SEARCH("West Germany",S134)),"FR Germany",
ISNUMBER(SEARCH("Germany DR",S134)),"DR Germany",
ISNUMBER(SEARCH("Korea DPR",S134)),"North Korea",
ISNUMBER(SEARCH("China PR",S134)),"China",
ISNUMBER(SEARCH("IR Iran",S134)),"Iran",
ISNUMBER(SEARCH("Congo DR",S134)),"Democratic Republic of the Congo",
ISNUMBER(SEARCH("DR Congo",S134)),"Democratic Republic of the Congo",
ISNUMBER(SEARCH("German DR",S134)),"DR Germany",
ISNUMBER(SEARCH("rn""&gt;United Arab Emirates",S134)),"United Arab Emirates",
ISNUMBER(SEARCH("rn""&gt;Republic of Ireland",S134)),"Ireland",
ISNUMBER(SEARCH("rn""&gt;Bosnia and Herzegovina",S134)),"Bosnia and Herzegovina",
ISNUMBER(SEARCH("rn""&gt;Trinidad and Tobago",S134)),"Trinidad and Tobago",
ISNUMBER(SEARCH("rn""&gt;Serbia and Montenegro",S134)),"Serbia and Montenegro",
ISNUMBER(SEARCH(_xlfn.UNICHAR(65533),S134)),"Côte d'Ivoire",
TRUE,""
)</f>
        <v>FR Germany</v>
      </c>
      <c r="W134" s="30" t="str">
        <f t="shared" si="13"/>
        <v>FR Germany</v>
      </c>
      <c r="Z134" s="40" t="str">
        <v>La Pontaise</v>
      </c>
      <c r="AA134" s="40" t="str" cm="1">
        <f t="array" ref="AA134">IFERROR(_xlfn.XLOOKUP(Z134,_xlfn.ANCHORARRAY(Z$31),AA$31:AA$37),Z134)</f>
        <v>La Pontaise</v>
      </c>
      <c r="AB134" s="42" t="str">
        <v xml:space="preserve">Lausanne </v>
      </c>
      <c r="AC134" s="89" t="str">
        <f t="shared" si="16"/>
        <v xml:space="preserve">Lausanne </v>
      </c>
      <c r="AE134" s="42">
        <v>1938</v>
      </c>
      <c r="AK134" s="42">
        <v>4</v>
      </c>
      <c r="AL134" s="42">
        <v>2</v>
      </c>
      <c r="AV134" s="37" t="str">
        <v>QUARTER_FINALS</v>
      </c>
      <c r="AW134" s="89" t="str">
        <v>GROUP_STAGE</v>
      </c>
      <c r="BE134" s="43" t="str">
        <f>IF(OR(DATA_CLEANED!AL125="",DATA_CLEANED!AM125=""),"MANQUANT",IF(OR(NOT(ISNUMBER(DATA_CLEANED!AL125)),NOT(ISNUMBER(DATA_CLEANED!AM125))),"ENTREE INVALIDE",IF(OR(DATA_CLEANED!AL125&lt;0,DATA_CLEANED!AM125&lt;0),"SCORE NEGATIF","OK")))</f>
        <v>OK</v>
      </c>
      <c r="BF134" s="43" t="str">
        <f>IF(DATA_CLEANED!AK125&lt;&gt;DATA_CLEANED!AN125,"OK","ERREUR")</f>
        <v>OK</v>
      </c>
      <c r="BG134" s="43" t="str">
        <f>IF(DATA_CLEANED!AL125&gt;DATA_CLEANED!AM125,DATA_CLEANED!AK125,IF(AND(DATA_QUALITE!W4611="-",DATA_CLEANED!AM125=DATA_CLEANED!AL125),"MATCH NUL",IF(AND(DATA_QUALITE!V4611="-",DATA_QUALITE!U4611="AUCUNE"),DATA_QUALITE!T4611,IF(DATA_QUALITE!V4611&lt;&gt;"-",DATA_QUALITE!V4611,DATA_CLEANED!AN125))))</f>
        <v>France</v>
      </c>
      <c r="BH134" s="103" t="str">
        <f>IF(AND(BG134="MATCH NUL",DATA_CLEANED!AO125="-"),"MATCH_NUL",IF(ISNUMBER(SEARCH("win on penalties",W4611)),"WIN_BY_PENALTY",IF(ISNUMBER(SEARCH("win after extra time",W4611)),"WIN_BY_EXTRA_TIME",IF(ISNUMBER(SEARCH("Golden Goal",W4611)),"WIN_BY_GOLDEN_GOAL","WIN_BY_SCORE"))))</f>
        <v>WIN_BY_SCORE</v>
      </c>
      <c r="BI134" s="99" t="str">
        <f>IF(OR(BG134=DATA_CLEANED!AK125,BG134=DATA_CLEANED!AN125,BG134="MATCH NUL"),"OK","ERREUR")</f>
        <v>OK</v>
      </c>
    </row>
    <row r="135" spans="2:61">
      <c r="B135" s="74">
        <v>1990</v>
      </c>
      <c r="C135" s="30" t="str">
        <v>Quarter-finals</v>
      </c>
      <c r="D135" s="30" t="str">
        <v>Argentina</v>
      </c>
      <c r="E135" s="30" t="str">
        <v>Yugoslavia</v>
      </c>
      <c r="F135" s="30" t="str">
        <v>Yugoslavia</v>
      </c>
      <c r="G135" s="30" t="str">
        <v>Robert Prosinečki</v>
      </c>
      <c r="H135" s="30" t="str">
        <v>Sergio Goycochea</v>
      </c>
      <c r="I135" s="30">
        <v>4</v>
      </c>
      <c r="J135" s="30">
        <v>2</v>
      </c>
      <c r="K135" s="30" t="str">
        <v>'2-0</v>
      </c>
      <c r="L135" s="30" t="str">
        <v>No</v>
      </c>
      <c r="M135" s="30" t="str">
        <v>No</v>
      </c>
      <c r="N135" s="30" t="str">
        <v>Goal</v>
      </c>
      <c r="O135" s="30" t="str">
        <f t="shared" si="14"/>
        <v>1990|Quarter-finals|Argentina|Yugoslavia|Yugoslavia|Robert Prosinečki|Sergio Goycochea|4|2|'2-0|No|No|Goal</v>
      </c>
      <c r="P135" s="96" t="str">
        <f>IF(COUNTIF($G$32:O135,O135)&gt;1,"DOUBLON","OK")</f>
        <v>OK</v>
      </c>
      <c r="R135" s="23" t="s">
        <v>3650</v>
      </c>
      <c r="S135" s="30" t="str">
        <v>West Germany</v>
      </c>
      <c r="T135" s="30" t="str">
        <f t="shared" si="17"/>
        <v>ERREUR</v>
      </c>
      <c r="U135" s="30" t="str">
        <f t="shared" si="18"/>
        <v>RENOMMER</v>
      </c>
      <c r="V135" s="30" t="str" cm="1">
        <f t="array" ref="V135">_xlfn.IFS(
ISNUMBER(SEARCH("USA",S135)),"United States",
ISNUMBER(SEARCH("Republic of Korea",S135)),"South Korea",
ISNUMBER(SEARCH("Cape Verde",S135)),"Cabo Verde",
ISNUMBER(SEARCH("Czechia",S135)),"Czech Republic",
ISNUMBER(SEARCH("Türkiye",S135)),"Turkey",
ISNUMBER(SEARCH("Ivory Coast",S135)),"Côte d'Ivoire",
ISNUMBER(SEARCH("Korea Republic",S135)),"South Korea",
ISNUMBER(SEARCH("Germany FR",S135)),"FR Germany",
ISNUMBER(SEARCH("West Germany",S135)),"FR Germany",
ISNUMBER(SEARCH("Germany DR",S135)),"DR Germany",
ISNUMBER(SEARCH("Korea DPR",S135)),"North Korea",
ISNUMBER(SEARCH("China PR",S135)),"China",
ISNUMBER(SEARCH("IR Iran",S135)),"Iran",
ISNUMBER(SEARCH("Congo DR",S135)),"Democratic Republic of the Congo",
ISNUMBER(SEARCH("DR Congo",S135)),"Democratic Republic of the Congo",
ISNUMBER(SEARCH("German DR",S135)),"DR Germany",
ISNUMBER(SEARCH("rn""&gt;United Arab Emirates",S135)),"United Arab Emirates",
ISNUMBER(SEARCH("rn""&gt;Republic of Ireland",S135)),"Ireland",
ISNUMBER(SEARCH("rn""&gt;Bosnia and Herzegovina",S135)),"Bosnia and Herzegovina",
ISNUMBER(SEARCH("rn""&gt;Trinidad and Tobago",S135)),"Trinidad and Tobago",
ISNUMBER(SEARCH("rn""&gt;Serbia and Montenegro",S135)),"Serbia and Montenegro",
ISNUMBER(SEARCH(_xlfn.UNICHAR(65533),S135)),"Côte d'Ivoire",
TRUE,""
)</f>
        <v>FR Germany</v>
      </c>
      <c r="W135" s="30" t="str">
        <f t="shared" si="13"/>
        <v>FR Germany</v>
      </c>
      <c r="Z135" s="40" t="str">
        <v>Charmilles</v>
      </c>
      <c r="AA135" s="40" t="str" cm="1">
        <f t="array" ref="AA135">IFERROR(_xlfn.XLOOKUP(Z135,_xlfn.ANCHORARRAY(Z$31),AA$31:AA$37),Z135)</f>
        <v>Charmilles</v>
      </c>
      <c r="AB135" s="42" t="str">
        <v xml:space="preserve">Geneva </v>
      </c>
      <c r="AC135" s="89" t="str">
        <f t="shared" si="16"/>
        <v xml:space="preserve">Geneva </v>
      </c>
      <c r="AE135" s="42">
        <v>1938</v>
      </c>
      <c r="AK135" s="42">
        <v>4</v>
      </c>
      <c r="AL135" s="42">
        <v>2</v>
      </c>
      <c r="AV135" s="37" t="str">
        <v>QUARTER_FINALS</v>
      </c>
      <c r="AW135" s="89" t="str">
        <v>GROUP_STAGE</v>
      </c>
      <c r="BE135" s="43" t="str">
        <f>IF(OR(DATA_CLEANED!AL126="",DATA_CLEANED!AM126=""),"MANQUANT",IF(OR(NOT(ISNUMBER(DATA_CLEANED!AL126)),NOT(ISNUMBER(DATA_CLEANED!AM126))),"ENTREE INVALIDE",IF(OR(DATA_CLEANED!AL126&lt;0,DATA_CLEANED!AM126&lt;0),"SCORE NEGATIF","OK")))</f>
        <v>OK</v>
      </c>
      <c r="BF135" s="43" t="str">
        <f>IF(DATA_CLEANED!AK126&lt;&gt;DATA_CLEANED!AN126,"OK","ERREUR")</f>
        <v>OK</v>
      </c>
      <c r="BG135" s="43" t="str">
        <f>IF(DATA_CLEANED!AL126&gt;DATA_CLEANED!AM126,DATA_CLEANED!AK126,IF(AND(DATA_QUALITE!W4612="-",DATA_CLEANED!AM126=DATA_CLEANED!AL126),"MATCH NUL",IF(AND(DATA_QUALITE!V4612="-",DATA_QUALITE!U4612="AUCUNE"),DATA_QUALITE!T4612,IF(DATA_QUALITE!V4612&lt;&gt;"-",DATA_QUALITE!V4612,DATA_CLEANED!AN126))))</f>
        <v>MATCH NUL</v>
      </c>
      <c r="BH135" s="103" t="str">
        <f>IF(AND(BG135="MATCH NUL",DATA_CLEANED!AO126="-"),"MATCH_NUL",IF(ISNUMBER(SEARCH("win on penalties",W4612)),"WIN_BY_PENALTY",IF(ISNUMBER(SEARCH("win after extra time",W4612)),"WIN_BY_EXTRA_TIME",IF(ISNUMBER(SEARCH("Golden Goal",W4612)),"WIN_BY_GOLDEN_GOAL","WIN_BY_SCORE"))))</f>
        <v>MATCH_NUL</v>
      </c>
      <c r="BI135" s="99" t="str">
        <f>IF(OR(BG135=DATA_CLEANED!AK126,BG135=DATA_CLEANED!AN126,BG135="MATCH NUL"),"OK","ERREUR")</f>
        <v>OK</v>
      </c>
    </row>
    <row r="136" spans="2:61">
      <c r="B136" s="74">
        <v>1990</v>
      </c>
      <c r="C136" s="30" t="str">
        <v>Quarter-finals</v>
      </c>
      <c r="D136" s="30" t="str">
        <v>Argentina</v>
      </c>
      <c r="E136" s="30" t="str">
        <v>Yugoslavia</v>
      </c>
      <c r="F136" s="30" t="str">
        <v>Argentina</v>
      </c>
      <c r="G136" s="30" t="str">
        <v>Diego Maradona</v>
      </c>
      <c r="H136" s="30" t="str">
        <v>Tomislav Ivković</v>
      </c>
      <c r="I136" s="30">
        <v>5</v>
      </c>
      <c r="J136" s="30">
        <v>3</v>
      </c>
      <c r="K136" s="30" t="str">
        <v>'1-2</v>
      </c>
      <c r="L136" s="30" t="str">
        <v>No</v>
      </c>
      <c r="M136" s="30" t="str">
        <v>No</v>
      </c>
      <c r="N136" s="30" t="str">
        <v>Saved</v>
      </c>
      <c r="O136" s="30" t="str">
        <f t="shared" si="14"/>
        <v>1990|Quarter-finals|Argentina|Yugoslavia|Argentina|Diego Maradona|Tomislav Ivković|5|3|'1-2|No|No|Saved</v>
      </c>
      <c r="P136" s="96" t="str">
        <f>IF(COUNTIF($G$32:O136,O136)&gt;1,"DOUBLON","OK")</f>
        <v>OK</v>
      </c>
      <c r="R136" s="23" t="s">
        <v>3651</v>
      </c>
      <c r="S136" s="30" t="str">
        <v>West Germany</v>
      </c>
      <c r="T136" s="30" t="str">
        <f t="shared" si="17"/>
        <v>ERREUR</v>
      </c>
      <c r="U136" s="30" t="str">
        <f t="shared" si="18"/>
        <v>RENOMMER</v>
      </c>
      <c r="V136" s="30" t="str" cm="1">
        <f t="array" ref="V136">_xlfn.IFS(
ISNUMBER(SEARCH("USA",S136)),"United States",
ISNUMBER(SEARCH("Republic of Korea",S136)),"South Korea",
ISNUMBER(SEARCH("Cape Verde",S136)),"Cabo Verde",
ISNUMBER(SEARCH("Czechia",S136)),"Czech Republic",
ISNUMBER(SEARCH("Türkiye",S136)),"Turkey",
ISNUMBER(SEARCH("Ivory Coast",S136)),"Côte d'Ivoire",
ISNUMBER(SEARCH("Korea Republic",S136)),"South Korea",
ISNUMBER(SEARCH("Germany FR",S136)),"FR Germany",
ISNUMBER(SEARCH("West Germany",S136)),"FR Germany",
ISNUMBER(SEARCH("Germany DR",S136)),"DR Germany",
ISNUMBER(SEARCH("Korea DPR",S136)),"North Korea",
ISNUMBER(SEARCH("China PR",S136)),"China",
ISNUMBER(SEARCH("IR Iran",S136)),"Iran",
ISNUMBER(SEARCH("Congo DR",S136)),"Democratic Republic of the Congo",
ISNUMBER(SEARCH("DR Congo",S136)),"Democratic Republic of the Congo",
ISNUMBER(SEARCH("German DR",S136)),"DR Germany",
ISNUMBER(SEARCH("rn""&gt;United Arab Emirates",S136)),"United Arab Emirates",
ISNUMBER(SEARCH("rn""&gt;Republic of Ireland",S136)),"Ireland",
ISNUMBER(SEARCH("rn""&gt;Bosnia and Herzegovina",S136)),"Bosnia and Herzegovina",
ISNUMBER(SEARCH("rn""&gt;Trinidad and Tobago",S136)),"Trinidad and Tobago",
ISNUMBER(SEARCH("rn""&gt;Serbia and Montenegro",S136)),"Serbia and Montenegro",
ISNUMBER(SEARCH(_xlfn.UNICHAR(65533),S136)),"Côte d'Ivoire",
TRUE,""
)</f>
        <v>FR Germany</v>
      </c>
      <c r="W136" s="30" t="str">
        <f t="shared" si="13"/>
        <v>FR Germany</v>
      </c>
      <c r="Z136" s="40" t="str">
        <v>Wankdorf Stadium</v>
      </c>
      <c r="AA136" s="40" t="str" cm="1">
        <f t="array" ref="AA136">IFERROR(_xlfn.XLOOKUP(Z136,_xlfn.ANCHORARRAY(Z$31),AA$31:AA$37),Z136)</f>
        <v>Wankdorf Stadium</v>
      </c>
      <c r="AB136" s="42" t="str">
        <v xml:space="preserve">Berne </v>
      </c>
      <c r="AC136" s="89" t="str">
        <f t="shared" si="16"/>
        <v xml:space="preserve">Berne </v>
      </c>
      <c r="AE136" s="42">
        <v>1950</v>
      </c>
      <c r="AK136" s="42">
        <v>4</v>
      </c>
      <c r="AL136" s="42">
        <v>0</v>
      </c>
      <c r="AV136" s="37" t="str">
        <v>QUARTER_FINALS</v>
      </c>
      <c r="AW136" s="89" t="str">
        <v>GROUP_STAGE</v>
      </c>
      <c r="BE136" s="43" t="str">
        <f>IF(OR(DATA_CLEANED!AL127="",DATA_CLEANED!AM127=""),"MANQUANT",IF(OR(NOT(ISNUMBER(DATA_CLEANED!AL127)),NOT(ISNUMBER(DATA_CLEANED!AM127))),"ENTREE INVALIDE",IF(OR(DATA_CLEANED!AL127&lt;0,DATA_CLEANED!AM127&lt;0),"SCORE NEGATIF","OK")))</f>
        <v>OK</v>
      </c>
      <c r="BF136" s="43" t="str">
        <f>IF(DATA_CLEANED!AK127&lt;&gt;DATA_CLEANED!AN127,"OK","ERREUR")</f>
        <v>OK</v>
      </c>
      <c r="BG136" s="43" t="str">
        <f>IF(DATA_CLEANED!AL127&gt;DATA_CLEANED!AM127,DATA_CLEANED!AK127,IF(AND(DATA_QUALITE!W4613="-",DATA_CLEANED!AM127=DATA_CLEANED!AL127),"MATCH NUL",IF(AND(DATA_QUALITE!V4613="-",DATA_QUALITE!U4613="AUCUNE"),DATA_QUALITE!T4613,IF(DATA_QUALITE!V4613&lt;&gt;"-",DATA_QUALITE!V4613,DATA_CLEANED!AN127))))</f>
        <v>Czechoslovakia</v>
      </c>
      <c r="BH136" s="103" t="str">
        <f>IF(AND(BG136="MATCH NUL",DATA_CLEANED!AO127="-"),"MATCH_NUL",IF(ISNUMBER(SEARCH("win on penalties",W4613)),"WIN_BY_PENALTY",IF(ISNUMBER(SEARCH("win after extra time",W4613)),"WIN_BY_EXTRA_TIME",IF(ISNUMBER(SEARCH("Golden Goal",W4613)),"WIN_BY_GOLDEN_GOAL","WIN_BY_SCORE"))))</f>
        <v>WIN_BY_SCORE</v>
      </c>
      <c r="BI136" s="99" t="str">
        <f>IF(OR(BG136=DATA_CLEANED!AK127,BG136=DATA_CLEANED!AN127,BG136="MATCH NUL"),"OK","ERREUR")</f>
        <v>OK</v>
      </c>
    </row>
    <row r="137" spans="2:61">
      <c r="B137" s="74">
        <v>1990</v>
      </c>
      <c r="C137" s="30" t="str">
        <v>Quarter-finals</v>
      </c>
      <c r="D137" s="30" t="str">
        <v>Argentina</v>
      </c>
      <c r="E137" s="30" t="str">
        <v>Yugoslavia</v>
      </c>
      <c r="F137" s="30" t="str">
        <v>Yugoslavia</v>
      </c>
      <c r="G137" s="30" t="str">
        <v>Dejan Savićević</v>
      </c>
      <c r="H137" s="30" t="str">
        <v>Sergio Goycochea</v>
      </c>
      <c r="I137" s="30">
        <v>6</v>
      </c>
      <c r="J137" s="30">
        <v>3</v>
      </c>
      <c r="K137" s="30" t="str">
        <v>'1-2</v>
      </c>
      <c r="L137" s="30" t="str">
        <v>No</v>
      </c>
      <c r="M137" s="30" t="str">
        <v>No</v>
      </c>
      <c r="N137" s="30" t="str">
        <v>Goal</v>
      </c>
      <c r="O137" s="30" t="str">
        <f t="shared" si="14"/>
        <v>1990|Quarter-finals|Argentina|Yugoslavia|Yugoslavia|Dejan Savićević|Sergio Goycochea|6|3|'1-2|No|No|Goal</v>
      </c>
      <c r="P137" s="96" t="str">
        <f>IF(COUNTIF($G$32:O137,O137)&gt;1,"DOUBLON","OK")</f>
        <v>OK</v>
      </c>
      <c r="R137" s="23" t="s">
        <v>3652</v>
      </c>
      <c r="S137" s="30" t="str">
        <v>West Germany</v>
      </c>
      <c r="T137" s="30" t="str">
        <f t="shared" si="17"/>
        <v>ERREUR</v>
      </c>
      <c r="U137" s="30" t="str">
        <f t="shared" si="18"/>
        <v>RENOMMER</v>
      </c>
      <c r="V137" s="30" t="str" cm="1">
        <f t="array" ref="V137">_xlfn.IFS(
ISNUMBER(SEARCH("USA",S137)),"United States",
ISNUMBER(SEARCH("Republic of Korea",S137)),"South Korea",
ISNUMBER(SEARCH("Cape Verde",S137)),"Cabo Verde",
ISNUMBER(SEARCH("Czechia",S137)),"Czech Republic",
ISNUMBER(SEARCH("Türkiye",S137)),"Turkey",
ISNUMBER(SEARCH("Ivory Coast",S137)),"Côte d'Ivoire",
ISNUMBER(SEARCH("Korea Republic",S137)),"South Korea",
ISNUMBER(SEARCH("Germany FR",S137)),"FR Germany",
ISNUMBER(SEARCH("West Germany",S137)),"FR Germany",
ISNUMBER(SEARCH("Germany DR",S137)),"DR Germany",
ISNUMBER(SEARCH("Korea DPR",S137)),"North Korea",
ISNUMBER(SEARCH("China PR",S137)),"China",
ISNUMBER(SEARCH("IR Iran",S137)),"Iran",
ISNUMBER(SEARCH("Congo DR",S137)),"Democratic Republic of the Congo",
ISNUMBER(SEARCH("DR Congo",S137)),"Democratic Republic of the Congo",
ISNUMBER(SEARCH("German DR",S137)),"DR Germany",
ISNUMBER(SEARCH("rn""&gt;United Arab Emirates",S137)),"United Arab Emirates",
ISNUMBER(SEARCH("rn""&gt;Republic of Ireland",S137)),"Ireland",
ISNUMBER(SEARCH("rn""&gt;Bosnia and Herzegovina",S137)),"Bosnia and Herzegovina",
ISNUMBER(SEARCH("rn""&gt;Trinidad and Tobago",S137)),"Trinidad and Tobago",
ISNUMBER(SEARCH("rn""&gt;Serbia and Montenegro",S137)),"Serbia and Montenegro",
ISNUMBER(SEARCH(_xlfn.UNICHAR(65533),S137)),"Côte d'Ivoire",
TRUE,""
)</f>
        <v>FR Germany</v>
      </c>
      <c r="W137" s="30" t="str">
        <f t="shared" si="13"/>
        <v>FR Germany</v>
      </c>
      <c r="Z137" s="40" t="str">
        <v>St. Jakob</v>
      </c>
      <c r="AA137" s="40" t="str" cm="1">
        <f t="array" ref="AA137">IFERROR(_xlfn.XLOOKUP(Z137,_xlfn.ANCHORARRAY(Z$31),AA$31:AA$37),Z137)</f>
        <v>St. Jakob</v>
      </c>
      <c r="AB137" s="42" t="str">
        <v xml:space="preserve">Basel </v>
      </c>
      <c r="AC137" s="89" t="str">
        <f t="shared" si="16"/>
        <v xml:space="preserve">Basel </v>
      </c>
      <c r="AE137" s="42">
        <v>1950</v>
      </c>
      <c r="AK137" s="42">
        <v>2</v>
      </c>
      <c r="AL137" s="42">
        <v>0</v>
      </c>
      <c r="AV137" s="37" t="str">
        <v>SEMI_FINALS</v>
      </c>
      <c r="AW137" s="89" t="str">
        <v>GROUP_STAGE</v>
      </c>
      <c r="BE137" s="43" t="str">
        <f>IF(OR(DATA_CLEANED!AL128="",DATA_CLEANED!AM128=""),"MANQUANT",IF(OR(NOT(ISNUMBER(DATA_CLEANED!AL128)),NOT(ISNUMBER(DATA_CLEANED!AM128))),"ENTREE INVALIDE",IF(OR(DATA_CLEANED!AL128&lt;0,DATA_CLEANED!AM128&lt;0),"SCORE NEGATIF","OK")))</f>
        <v>OK</v>
      </c>
      <c r="BF137" s="43" t="str">
        <f>IF(DATA_CLEANED!AK128&lt;&gt;DATA_CLEANED!AN128,"OK","ERREUR")</f>
        <v>OK</v>
      </c>
      <c r="BG137" s="43" t="str">
        <f>IF(DATA_CLEANED!AL128&gt;DATA_CLEANED!AM128,DATA_CLEANED!AK128,IF(AND(DATA_QUALITE!W4614="-",DATA_CLEANED!AM128=DATA_CLEANED!AL128),"MATCH NUL",IF(AND(DATA_QUALITE!V4614="-",DATA_QUALITE!U4614="AUCUNE"),DATA_QUALITE!T4614,IF(DATA_QUALITE!V4614&lt;&gt;"-",DATA_QUALITE!V4614,DATA_CLEANED!AN128))))</f>
        <v>Soviet Union</v>
      </c>
      <c r="BH137" s="103" t="str">
        <f>IF(AND(BG137="MATCH NUL",DATA_CLEANED!AO128="-"),"MATCH_NUL",IF(ISNUMBER(SEARCH("win on penalties",W4614)),"WIN_BY_PENALTY",IF(ISNUMBER(SEARCH("win after extra time",W4614)),"WIN_BY_EXTRA_TIME",IF(ISNUMBER(SEARCH("Golden Goal",W4614)),"WIN_BY_GOLDEN_GOAL","WIN_BY_SCORE"))))</f>
        <v>WIN_BY_SCORE</v>
      </c>
      <c r="BI137" s="99" t="str">
        <f>IF(OR(BG137=DATA_CLEANED!AK128,BG137=DATA_CLEANED!AN128,BG137="MATCH NUL"),"OK","ERREUR")</f>
        <v>OK</v>
      </c>
    </row>
    <row r="138" spans="2:61">
      <c r="B138" s="74">
        <v>1990</v>
      </c>
      <c r="C138" s="30" t="str">
        <v>Quarter-finals</v>
      </c>
      <c r="D138" s="30" t="str">
        <v>Argentina</v>
      </c>
      <c r="E138" s="30" t="str">
        <v>Yugoslavia</v>
      </c>
      <c r="F138" s="30" t="str">
        <v>Argentina</v>
      </c>
      <c r="G138" s="30" t="str">
        <v>Pedro Troglio</v>
      </c>
      <c r="H138" s="30" t="str">
        <v>Tomislav Ivković</v>
      </c>
      <c r="I138" s="30">
        <v>7</v>
      </c>
      <c r="J138" s="30">
        <v>4</v>
      </c>
      <c r="K138" s="30" t="str">
        <v>'2-2</v>
      </c>
      <c r="L138" s="30" t="str">
        <v>No</v>
      </c>
      <c r="M138" s="30" t="str">
        <v>No</v>
      </c>
      <c r="N138" s="30" t="str">
        <v>Missed</v>
      </c>
      <c r="O138" s="30" t="str">
        <f t="shared" si="14"/>
        <v>1990|Quarter-finals|Argentina|Yugoslavia|Argentina|Pedro Troglio|Tomislav Ivković|7|4|'2-2|No|No|Missed</v>
      </c>
      <c r="P138" s="96" t="str">
        <f>IF(COUNTIF($G$32:O138,O138)&gt;1,"DOUBLON","OK")</f>
        <v>OK</v>
      </c>
      <c r="R138" s="23" t="s">
        <v>3653</v>
      </c>
      <c r="S138" s="30" t="str">
        <v>West Germany</v>
      </c>
      <c r="T138" s="30" t="str">
        <f t="shared" si="17"/>
        <v>ERREUR</v>
      </c>
      <c r="U138" s="30" t="str">
        <f t="shared" si="18"/>
        <v>RENOMMER</v>
      </c>
      <c r="V138" s="30" t="str" cm="1">
        <f t="array" ref="V138">_xlfn.IFS(
ISNUMBER(SEARCH("USA",S138)),"United States",
ISNUMBER(SEARCH("Republic of Korea",S138)),"South Korea",
ISNUMBER(SEARCH("Cape Verde",S138)),"Cabo Verde",
ISNUMBER(SEARCH("Czechia",S138)),"Czech Republic",
ISNUMBER(SEARCH("Türkiye",S138)),"Turkey",
ISNUMBER(SEARCH("Ivory Coast",S138)),"Côte d'Ivoire",
ISNUMBER(SEARCH("Korea Republic",S138)),"South Korea",
ISNUMBER(SEARCH("Germany FR",S138)),"FR Germany",
ISNUMBER(SEARCH("West Germany",S138)),"FR Germany",
ISNUMBER(SEARCH("Germany DR",S138)),"DR Germany",
ISNUMBER(SEARCH("Korea DPR",S138)),"North Korea",
ISNUMBER(SEARCH("China PR",S138)),"China",
ISNUMBER(SEARCH("IR Iran",S138)),"Iran",
ISNUMBER(SEARCH("Congo DR",S138)),"Democratic Republic of the Congo",
ISNUMBER(SEARCH("DR Congo",S138)),"Democratic Republic of the Congo",
ISNUMBER(SEARCH("German DR",S138)),"DR Germany",
ISNUMBER(SEARCH("rn""&gt;United Arab Emirates",S138)),"United Arab Emirates",
ISNUMBER(SEARCH("rn""&gt;Republic of Ireland",S138)),"Ireland",
ISNUMBER(SEARCH("rn""&gt;Bosnia and Herzegovina",S138)),"Bosnia and Herzegovina",
ISNUMBER(SEARCH("rn""&gt;Trinidad and Tobago",S138)),"Trinidad and Tobago",
ISNUMBER(SEARCH("rn""&gt;Serbia and Montenegro",S138)),"Serbia and Montenegro",
ISNUMBER(SEARCH(_xlfn.UNICHAR(65533),S138)),"Côte d'Ivoire",
TRUE,""
)</f>
        <v>FR Germany</v>
      </c>
      <c r="W138" s="30" t="str">
        <f t="shared" si="13"/>
        <v>FR Germany</v>
      </c>
      <c r="Z138" s="40" t="str">
        <v>La Pontaise</v>
      </c>
      <c r="AA138" s="40" t="str" cm="1">
        <f t="array" ref="AA138">IFERROR(_xlfn.XLOOKUP(Z138,_xlfn.ANCHORARRAY(Z$31),AA$31:AA$37),Z138)</f>
        <v>La Pontaise</v>
      </c>
      <c r="AB138" s="42" t="str">
        <v xml:space="preserve">Lausanne </v>
      </c>
      <c r="AC138" s="89" t="str">
        <f t="shared" si="16"/>
        <v xml:space="preserve">Lausanne </v>
      </c>
      <c r="AE138" s="42">
        <v>1950</v>
      </c>
      <c r="AK138" s="42">
        <v>3</v>
      </c>
      <c r="AL138" s="42">
        <v>1</v>
      </c>
      <c r="AV138" s="37" t="str">
        <v>SEMI_FINALS</v>
      </c>
      <c r="AW138" s="89" t="str">
        <v>GROUP_STAGE</v>
      </c>
      <c r="BE138" s="43" t="str">
        <f>IF(OR(DATA_CLEANED!AL129="",DATA_CLEANED!AM129=""),"MANQUANT",IF(OR(NOT(ISNUMBER(DATA_CLEANED!AL129)),NOT(ISNUMBER(DATA_CLEANED!AM129))),"ENTREE INVALIDE",IF(OR(DATA_CLEANED!AL129&lt;0,DATA_CLEANED!AM129&lt;0),"SCORE NEGATIF","OK")))</f>
        <v>OK</v>
      </c>
      <c r="BF138" s="43" t="str">
        <f>IF(DATA_CLEANED!AK129&lt;&gt;DATA_CLEANED!AN129,"OK","ERREUR")</f>
        <v>OK</v>
      </c>
      <c r="BG138" s="43" t="str">
        <f>IF(DATA_CLEANED!AL129&gt;DATA_CLEANED!AM129,DATA_CLEANED!AK129,IF(AND(DATA_QUALITE!W4615="-",DATA_CLEANED!AM129=DATA_CLEANED!AL129),"MATCH NUL",IF(AND(DATA_QUALITE!V4615="-",DATA_QUALITE!U4615="AUCUNE"),DATA_QUALITE!T4615,IF(DATA_QUALITE!V4615&lt;&gt;"-",DATA_QUALITE!V4615,DATA_CLEANED!AN129))))</f>
        <v>Northern Ireland</v>
      </c>
      <c r="BH138" s="103" t="str">
        <f>IF(AND(BG138="MATCH NUL",DATA_CLEANED!AO129="-"),"MATCH_NUL",IF(ISNUMBER(SEARCH("win on penalties",W4615)),"WIN_BY_PENALTY",IF(ISNUMBER(SEARCH("win after extra time",W4615)),"WIN_BY_EXTRA_TIME",IF(ISNUMBER(SEARCH("Golden Goal",W4615)),"WIN_BY_GOLDEN_GOAL","WIN_BY_SCORE"))))</f>
        <v>WIN_BY_EXTRA_TIME</v>
      </c>
      <c r="BI138" s="99" t="str">
        <f>IF(OR(BG138=DATA_CLEANED!AK129,BG138=DATA_CLEANED!AN129,BG138="MATCH NUL"),"OK","ERREUR")</f>
        <v>OK</v>
      </c>
    </row>
    <row r="139" spans="2:61">
      <c r="B139" s="74">
        <v>1990</v>
      </c>
      <c r="C139" s="30" t="str">
        <v>Quarter-finals</v>
      </c>
      <c r="D139" s="30" t="str">
        <v>Argentina</v>
      </c>
      <c r="E139" s="30" t="str">
        <v>Yugoslavia</v>
      </c>
      <c r="F139" s="30" t="str">
        <v>Yugoslavia</v>
      </c>
      <c r="G139" s="30" t="str">
        <v>Dragoljub Brnović</v>
      </c>
      <c r="H139" s="30" t="str">
        <v>Sergio Goycochea</v>
      </c>
      <c r="I139" s="30">
        <v>8</v>
      </c>
      <c r="J139" s="30">
        <v>4</v>
      </c>
      <c r="K139" s="30" t="str">
        <v>'2-2</v>
      </c>
      <c r="L139" s="30" t="str">
        <v>No</v>
      </c>
      <c r="M139" s="30" t="str">
        <v>No</v>
      </c>
      <c r="N139" s="30" t="str">
        <v>Saved</v>
      </c>
      <c r="O139" s="30" t="str">
        <f t="shared" si="14"/>
        <v>1990|Quarter-finals|Argentina|Yugoslavia|Yugoslavia|Dragoljub Brnović|Sergio Goycochea|8|4|'2-2|No|No|Saved</v>
      </c>
      <c r="P139" s="96" t="str">
        <f>IF(COUNTIF($G$32:O139,O139)&gt;1,"DOUBLON","OK")</f>
        <v>OK</v>
      </c>
      <c r="R139" s="23" t="s">
        <v>3654</v>
      </c>
      <c r="S139" s="30" t="str">
        <v>West Germany</v>
      </c>
      <c r="T139" s="30" t="str">
        <f t="shared" si="17"/>
        <v>ERREUR</v>
      </c>
      <c r="U139" s="30" t="str">
        <f t="shared" si="18"/>
        <v>RENOMMER</v>
      </c>
      <c r="V139" s="30" t="str" cm="1">
        <f t="array" ref="V139">_xlfn.IFS(
ISNUMBER(SEARCH("USA",S139)),"United States",
ISNUMBER(SEARCH("Republic of Korea",S139)),"South Korea",
ISNUMBER(SEARCH("Cape Verde",S139)),"Cabo Verde",
ISNUMBER(SEARCH("Czechia",S139)),"Czech Republic",
ISNUMBER(SEARCH("Türkiye",S139)),"Turkey",
ISNUMBER(SEARCH("Ivory Coast",S139)),"Côte d'Ivoire",
ISNUMBER(SEARCH("Korea Republic",S139)),"South Korea",
ISNUMBER(SEARCH("Germany FR",S139)),"FR Germany",
ISNUMBER(SEARCH("West Germany",S139)),"FR Germany",
ISNUMBER(SEARCH("Germany DR",S139)),"DR Germany",
ISNUMBER(SEARCH("Korea DPR",S139)),"North Korea",
ISNUMBER(SEARCH("China PR",S139)),"China",
ISNUMBER(SEARCH("IR Iran",S139)),"Iran",
ISNUMBER(SEARCH("Congo DR",S139)),"Democratic Republic of the Congo",
ISNUMBER(SEARCH("DR Congo",S139)),"Democratic Republic of the Congo",
ISNUMBER(SEARCH("German DR",S139)),"DR Germany",
ISNUMBER(SEARCH("rn""&gt;United Arab Emirates",S139)),"United Arab Emirates",
ISNUMBER(SEARCH("rn""&gt;Republic of Ireland",S139)),"Ireland",
ISNUMBER(SEARCH("rn""&gt;Bosnia and Herzegovina",S139)),"Bosnia and Herzegovina",
ISNUMBER(SEARCH("rn""&gt;Trinidad and Tobago",S139)),"Trinidad and Tobago",
ISNUMBER(SEARCH("rn""&gt;Serbia and Montenegro",S139)),"Serbia and Montenegro",
ISNUMBER(SEARCH(_xlfn.UNICHAR(65533),S139)),"Côte d'Ivoire",
TRUE,""
)</f>
        <v>FR Germany</v>
      </c>
      <c r="W139" s="30" t="str">
        <f t="shared" si="13"/>
        <v>FR Germany</v>
      </c>
      <c r="Z139" s="40" t="str">
        <v>Hardturm</v>
      </c>
      <c r="AA139" s="40" t="str" cm="1">
        <f t="array" ref="AA139">IFERROR(_xlfn.XLOOKUP(Z139,_xlfn.ANCHORARRAY(Z$31),AA$31:AA$37),Z139)</f>
        <v>Hardturm</v>
      </c>
      <c r="AB139" s="42" t="str">
        <v xml:space="preserve">Zurich </v>
      </c>
      <c r="AC139" s="89" t="str">
        <f t="shared" si="16"/>
        <v xml:space="preserve">Zurich </v>
      </c>
      <c r="AE139" s="42">
        <v>1950</v>
      </c>
      <c r="AK139" s="42">
        <v>3</v>
      </c>
      <c r="AL139" s="42">
        <v>2</v>
      </c>
      <c r="AV139" s="37" t="str">
        <v>SEMI_FINALS</v>
      </c>
      <c r="AW139" s="89" t="str">
        <v>GROUP_STAGE</v>
      </c>
      <c r="BE139" s="43" t="str">
        <f>IF(OR(DATA_CLEANED!AL130="",DATA_CLEANED!AM130=""),"MANQUANT",IF(OR(NOT(ISNUMBER(DATA_CLEANED!AL130)),NOT(ISNUMBER(DATA_CLEANED!AM130))),"ENTREE INVALIDE",IF(OR(DATA_CLEANED!AL130&lt;0,DATA_CLEANED!AM130&lt;0),"SCORE NEGATIF","OK")))</f>
        <v>OK</v>
      </c>
      <c r="BF139" s="43" t="str">
        <f>IF(DATA_CLEANED!AK130&lt;&gt;DATA_CLEANED!AN130,"OK","ERREUR")</f>
        <v>OK</v>
      </c>
      <c r="BG139" s="43" t="str">
        <f>IF(DATA_CLEANED!AL130&gt;DATA_CLEANED!AM130,DATA_CLEANED!AK130,IF(AND(DATA_QUALITE!W4616="-",DATA_CLEANED!AM130=DATA_CLEANED!AL130),"MATCH NUL",IF(AND(DATA_QUALITE!V4616="-",DATA_QUALITE!U4616="AUCUNE"),DATA_QUALITE!T4616,IF(DATA_QUALITE!V4616&lt;&gt;"-",DATA_QUALITE!V4616,DATA_CLEANED!AN130))))</f>
        <v>Wales</v>
      </c>
      <c r="BH139" s="103" t="str">
        <f>IF(AND(BG139="MATCH NUL",DATA_CLEANED!AO130="-"),"MATCH_NUL",IF(ISNUMBER(SEARCH("win on penalties",W4616)),"WIN_BY_PENALTY",IF(ISNUMBER(SEARCH("win after extra time",W4616)),"WIN_BY_EXTRA_TIME",IF(ISNUMBER(SEARCH("Golden Goal",W4616)),"WIN_BY_GOLDEN_GOAL","WIN_BY_SCORE"))))</f>
        <v>WIN_BY_SCORE</v>
      </c>
      <c r="BI139" s="99" t="str">
        <f>IF(OR(BG139=DATA_CLEANED!AK130,BG139=DATA_CLEANED!AN130,BG139="MATCH NUL"),"OK","ERREUR")</f>
        <v>OK</v>
      </c>
    </row>
    <row r="140" spans="2:61">
      <c r="B140" s="74">
        <v>1990</v>
      </c>
      <c r="C140" s="30" t="str">
        <v>Quarter-finals</v>
      </c>
      <c r="D140" s="30" t="str">
        <v>Argentina</v>
      </c>
      <c r="E140" s="30" t="str">
        <v>Yugoslavia</v>
      </c>
      <c r="F140" s="30" t="str">
        <v>Argentina</v>
      </c>
      <c r="G140" s="30" t="str">
        <v>Gustavo Dezotti</v>
      </c>
      <c r="H140" s="30" t="str">
        <v>Tomislav Ivković</v>
      </c>
      <c r="I140" s="30">
        <v>9</v>
      </c>
      <c r="J140" s="30">
        <v>5</v>
      </c>
      <c r="K140" s="30" t="str">
        <v>'2-2</v>
      </c>
      <c r="L140" s="30" t="str">
        <v>No</v>
      </c>
      <c r="M140" s="30" t="str">
        <v>No</v>
      </c>
      <c r="N140" s="30" t="str">
        <v>Goal</v>
      </c>
      <c r="O140" s="30" t="str">
        <f t="shared" si="14"/>
        <v>1990|Quarter-finals|Argentina|Yugoslavia|Argentina|Gustavo Dezotti|Tomislav Ivković|9|5|'2-2|No|No|Goal</v>
      </c>
      <c r="P140" s="96" t="str">
        <f>IF(COUNTIF($G$32:O140,O140)&gt;1,"DOUBLON","OK")</f>
        <v>OK</v>
      </c>
      <c r="R140" s="23" t="s">
        <v>3743</v>
      </c>
      <c r="S140" s="30" t="str">
        <v>Mexico</v>
      </c>
      <c r="T140" s="30" t="str">
        <f t="shared" si="17"/>
        <v>OK</v>
      </c>
      <c r="U140" s="30" t="str">
        <f t="shared" si="18"/>
        <v>-</v>
      </c>
      <c r="V140" s="30" t="str" cm="1">
        <f t="array" ref="V140">_xlfn.IFS(
ISNUMBER(SEARCH("USA",S140)),"United States",
ISNUMBER(SEARCH("Republic of Korea",S140)),"South Korea",
ISNUMBER(SEARCH("Cape Verde",S140)),"Cabo Verde",
ISNUMBER(SEARCH("Czechia",S140)),"Czech Republic",
ISNUMBER(SEARCH("Türkiye",S140)),"Turkey",
ISNUMBER(SEARCH("Ivory Coast",S140)),"Côte d'Ivoire",
ISNUMBER(SEARCH("Korea Republic",S140)),"South Korea",
ISNUMBER(SEARCH("Germany FR",S140)),"FR Germany",
ISNUMBER(SEARCH("West Germany",S140)),"FR Germany",
ISNUMBER(SEARCH("Germany DR",S140)),"DR Germany",
ISNUMBER(SEARCH("Korea DPR",S140)),"North Korea",
ISNUMBER(SEARCH("China PR",S140)),"China",
ISNUMBER(SEARCH("IR Iran",S140)),"Iran",
ISNUMBER(SEARCH("Congo DR",S140)),"Democratic Republic of the Congo",
ISNUMBER(SEARCH("DR Congo",S140)),"Democratic Republic of the Congo",
ISNUMBER(SEARCH("German DR",S140)),"DR Germany",
ISNUMBER(SEARCH("rn""&gt;United Arab Emirates",S140)),"United Arab Emirates",
ISNUMBER(SEARCH("rn""&gt;Republic of Ireland",S140)),"Ireland",
ISNUMBER(SEARCH("rn""&gt;Bosnia and Herzegovina",S140)),"Bosnia and Herzegovina",
ISNUMBER(SEARCH("rn""&gt;Trinidad and Tobago",S140)),"Trinidad and Tobago",
ISNUMBER(SEARCH("rn""&gt;Serbia and Montenegro",S140)),"Serbia and Montenegro",
ISNUMBER(SEARCH(_xlfn.UNICHAR(65533),S140)),"Côte d'Ivoire",
TRUE,""
)</f>
        <v/>
      </c>
      <c r="W140" s="30" t="str">
        <f t="shared" si="13"/>
        <v>Mexico</v>
      </c>
      <c r="Z140" s="40" t="str">
        <v>Wankdorf Stadium</v>
      </c>
      <c r="AA140" s="40" t="str" cm="1">
        <f t="array" ref="AA140">IFERROR(_xlfn.XLOOKUP(Z140,_xlfn.ANCHORARRAY(Z$31),AA$31:AA$37),Z140)</f>
        <v>Wankdorf Stadium</v>
      </c>
      <c r="AB140" s="42" t="str">
        <v xml:space="preserve">Berne </v>
      </c>
      <c r="AC140" s="89" t="str">
        <f t="shared" si="16"/>
        <v xml:space="preserve">Berne </v>
      </c>
      <c r="AE140" s="42">
        <v>1950</v>
      </c>
      <c r="AK140" s="42">
        <v>3</v>
      </c>
      <c r="AL140" s="42">
        <v>0</v>
      </c>
      <c r="AV140" s="37" t="str">
        <v>SEMI_FINALS</v>
      </c>
      <c r="AW140" s="89" t="str">
        <v>QUARTER_FINALS</v>
      </c>
      <c r="BE140" s="43" t="str">
        <f>IF(OR(DATA_CLEANED!AL131="",DATA_CLEANED!AM131=""),"MANQUANT",IF(OR(NOT(ISNUMBER(DATA_CLEANED!AL131)),NOT(ISNUMBER(DATA_CLEANED!AM131))),"ENTREE INVALIDE",IF(OR(DATA_CLEANED!AL131&lt;0,DATA_CLEANED!AM131&lt;0),"SCORE NEGATIF","OK")))</f>
        <v>OK</v>
      </c>
      <c r="BF140" s="43" t="str">
        <f>IF(DATA_CLEANED!AK131&lt;&gt;DATA_CLEANED!AN131,"OK","ERREUR")</f>
        <v>OK</v>
      </c>
      <c r="BG140" s="43" t="str">
        <f>IF(DATA_CLEANED!AL131&gt;DATA_CLEANED!AM131,DATA_CLEANED!AK131,IF(AND(DATA_QUALITE!W4617="-",DATA_CLEANED!AM131=DATA_CLEANED!AL131),"MATCH NUL",IF(AND(DATA_QUALITE!V4617="-",DATA_QUALITE!U4617="AUCUNE"),DATA_QUALITE!T4617,IF(DATA_QUALITE!V4617&lt;&gt;"-",DATA_QUALITE!V4617,DATA_CLEANED!AN131))))</f>
        <v>Brazil</v>
      </c>
      <c r="BH140" s="103" t="str">
        <f>IF(AND(BG140="MATCH NUL",DATA_CLEANED!AO131="-"),"MATCH_NUL",IF(ISNUMBER(SEARCH("win on penalties",W4617)),"WIN_BY_PENALTY",IF(ISNUMBER(SEARCH("win after extra time",W4617)),"WIN_BY_EXTRA_TIME",IF(ISNUMBER(SEARCH("Golden Goal",W4617)),"WIN_BY_GOLDEN_GOAL","WIN_BY_SCORE"))))</f>
        <v>WIN_BY_SCORE</v>
      </c>
      <c r="BI140" s="99" t="str">
        <f>IF(OR(BG140=DATA_CLEANED!AK131,BG140=DATA_CLEANED!AN131,BG140="MATCH NUL"),"OK","ERREUR")</f>
        <v>OK</v>
      </c>
    </row>
    <row r="141" spans="2:61">
      <c r="B141" s="74">
        <v>1990</v>
      </c>
      <c r="C141" s="30" t="str">
        <v>Quarter-finals</v>
      </c>
      <c r="D141" s="30" t="str">
        <v>Argentina</v>
      </c>
      <c r="E141" s="30" t="str">
        <v>Yugoslavia</v>
      </c>
      <c r="F141" s="30" t="str">
        <v>Yugoslavia</v>
      </c>
      <c r="G141" s="30" t="str">
        <v>Faruk Hadžibegić</v>
      </c>
      <c r="H141" s="30" t="str">
        <v>Sergio Goycochea</v>
      </c>
      <c r="I141" s="30">
        <v>10</v>
      </c>
      <c r="J141" s="30">
        <v>5</v>
      </c>
      <c r="K141" s="30" t="str">
        <v>'2-3</v>
      </c>
      <c r="L141" s="30" t="str">
        <v>Yes</v>
      </c>
      <c r="M141" s="30" t="str">
        <v>Yes</v>
      </c>
      <c r="N141" s="30" t="str">
        <v>Saved</v>
      </c>
      <c r="O141" s="30" t="str">
        <f t="shared" si="14"/>
        <v>1990|Quarter-finals|Argentina|Yugoslavia|Yugoslavia|Faruk Hadžibegić|Sergio Goycochea|10|5|'2-3|Yes|Yes|Saved</v>
      </c>
      <c r="P141" s="96" t="str">
        <f>IF(COUNTIF($G$32:O141,O141)&gt;1,"DOUBLON","OK")</f>
        <v>OK</v>
      </c>
      <c r="R141" s="23" t="s">
        <v>3655</v>
      </c>
      <c r="S141" s="30" t="str">
        <v>Mexico</v>
      </c>
      <c r="T141" s="30" t="str">
        <f t="shared" si="17"/>
        <v>OK</v>
      </c>
      <c r="U141" s="30" t="str">
        <f t="shared" si="18"/>
        <v>-</v>
      </c>
      <c r="V141" s="30" t="str" cm="1">
        <f t="array" ref="V141">_xlfn.IFS(
ISNUMBER(SEARCH("USA",S141)),"United States",
ISNUMBER(SEARCH("Republic of Korea",S141)),"South Korea",
ISNUMBER(SEARCH("Cape Verde",S141)),"Cabo Verde",
ISNUMBER(SEARCH("Czechia",S141)),"Czech Republic",
ISNUMBER(SEARCH("Türkiye",S141)),"Turkey",
ISNUMBER(SEARCH("Ivory Coast",S141)),"Côte d'Ivoire",
ISNUMBER(SEARCH("Korea Republic",S141)),"South Korea",
ISNUMBER(SEARCH("Germany FR",S141)),"FR Germany",
ISNUMBER(SEARCH("West Germany",S141)),"FR Germany",
ISNUMBER(SEARCH("Germany DR",S141)),"DR Germany",
ISNUMBER(SEARCH("Korea DPR",S141)),"North Korea",
ISNUMBER(SEARCH("China PR",S141)),"China",
ISNUMBER(SEARCH("IR Iran",S141)),"Iran",
ISNUMBER(SEARCH("Congo DR",S141)),"Democratic Republic of the Congo",
ISNUMBER(SEARCH("DR Congo",S141)),"Democratic Republic of the Congo",
ISNUMBER(SEARCH("German DR",S141)),"DR Germany",
ISNUMBER(SEARCH("rn""&gt;United Arab Emirates",S141)),"United Arab Emirates",
ISNUMBER(SEARCH("rn""&gt;Republic of Ireland",S141)),"Ireland",
ISNUMBER(SEARCH("rn""&gt;Bosnia and Herzegovina",S141)),"Bosnia and Herzegovina",
ISNUMBER(SEARCH("rn""&gt;Trinidad and Tobago",S141)),"Trinidad and Tobago",
ISNUMBER(SEARCH("rn""&gt;Serbia and Montenegro",S141)),"Serbia and Montenegro",
ISNUMBER(SEARCH(_xlfn.UNICHAR(65533),S141)),"Côte d'Ivoire",
TRUE,""
)</f>
        <v/>
      </c>
      <c r="W141" s="30" t="str">
        <f t="shared" si="13"/>
        <v>Mexico</v>
      </c>
      <c r="Z141" s="40" t="str">
        <v>Rasunda Stadium</v>
      </c>
      <c r="AA141" s="40" t="str" cm="1">
        <f t="array" ref="AA141">IFERROR(_xlfn.XLOOKUP(Z141,_xlfn.ANCHORARRAY(Z$31),AA$31:AA$37),Z141)</f>
        <v>Rasunda Stadium</v>
      </c>
      <c r="AB141" s="42" t="str">
        <v xml:space="preserve">Solna </v>
      </c>
      <c r="AC141" s="89" t="str">
        <f t="shared" si="16"/>
        <v xml:space="preserve">Solna </v>
      </c>
      <c r="AE141" s="42">
        <v>1950</v>
      </c>
      <c r="AK141" s="42">
        <v>2</v>
      </c>
      <c r="AL141" s="42">
        <v>2</v>
      </c>
      <c r="AV141" s="37" t="str">
        <v>SEMI_FINALS</v>
      </c>
      <c r="AW141" s="89" t="str">
        <v>QUARTER_FINALS</v>
      </c>
      <c r="BE141" s="43" t="str">
        <f>IF(OR(DATA_CLEANED!AL132="",DATA_CLEANED!AM132=""),"MANQUANT",IF(OR(NOT(ISNUMBER(DATA_CLEANED!AL132)),NOT(ISNUMBER(DATA_CLEANED!AM132))),"ENTREE INVALIDE",IF(OR(DATA_CLEANED!AL132&lt;0,DATA_CLEANED!AM132&lt;0),"SCORE NEGATIF","OK")))</f>
        <v>OK</v>
      </c>
      <c r="BF141" s="43" t="str">
        <f>IF(DATA_CLEANED!AK132&lt;&gt;DATA_CLEANED!AN132,"OK","ERREUR")</f>
        <v>OK</v>
      </c>
      <c r="BG141" s="43" t="str">
        <f>IF(DATA_CLEANED!AL132&gt;DATA_CLEANED!AM132,DATA_CLEANED!AK132,IF(AND(DATA_QUALITE!W4618="-",DATA_CLEANED!AM132=DATA_CLEANED!AL132),"MATCH NUL",IF(AND(DATA_QUALITE!V4618="-",DATA_QUALITE!U4618="AUCUNE"),DATA_QUALITE!T4618,IF(DATA_QUALITE!V4618&lt;&gt;"-",DATA_QUALITE!V4618,DATA_CLEANED!AN132))))</f>
        <v>FR Germany</v>
      </c>
      <c r="BH141" s="103" t="str">
        <f>IF(AND(BG141="MATCH NUL",DATA_CLEANED!AO132="-"),"MATCH_NUL",IF(ISNUMBER(SEARCH("win on penalties",W4618)),"WIN_BY_PENALTY",IF(ISNUMBER(SEARCH("win after extra time",W4618)),"WIN_BY_EXTRA_TIME",IF(ISNUMBER(SEARCH("Golden Goal",W4618)),"WIN_BY_GOLDEN_GOAL","WIN_BY_SCORE"))))</f>
        <v>WIN_BY_SCORE</v>
      </c>
      <c r="BI141" s="99" t="str">
        <f>IF(OR(BG141=DATA_CLEANED!AK132,BG141=DATA_CLEANED!AN132,BG141="MATCH NUL"),"OK","ERREUR")</f>
        <v>OK</v>
      </c>
    </row>
    <row r="142" spans="2:61">
      <c r="B142" s="74">
        <v>1990</v>
      </c>
      <c r="C142" s="30" t="str">
        <v>Semi-finals</v>
      </c>
      <c r="D142" s="30" t="str">
        <v>Argentina</v>
      </c>
      <c r="E142" s="30" t="str">
        <v>Italy</v>
      </c>
      <c r="F142" s="30" t="str">
        <v>Italy</v>
      </c>
      <c r="G142" s="30" t="str">
        <v>Franco Baresi</v>
      </c>
      <c r="H142" s="30" t="str">
        <v>Sergio Goycochea</v>
      </c>
      <c r="I142" s="30">
        <v>1</v>
      </c>
      <c r="J142" s="30">
        <v>1</v>
      </c>
      <c r="K142" s="30" t="str">
        <v>'0-0</v>
      </c>
      <c r="L142" s="30" t="str">
        <v>No</v>
      </c>
      <c r="M142" s="30" t="str">
        <v>No</v>
      </c>
      <c r="N142" s="30" t="str">
        <v>Goal</v>
      </c>
      <c r="O142" s="30" t="str">
        <f t="shared" si="14"/>
        <v>1990|Semi-finals|Argentina|Italy|Italy|Franco Baresi|Sergio Goycochea|1|1|'0-0|No|No|Goal</v>
      </c>
      <c r="P142" s="96" t="str">
        <f>IF(COUNTIF($G$32:O142,O142)&gt;1,"DOUBLON","OK")</f>
        <v>OK</v>
      </c>
      <c r="R142" s="23" t="s">
        <v>3656</v>
      </c>
      <c r="S142" s="30" t="str">
        <v>Mexico</v>
      </c>
      <c r="T142" s="30" t="str">
        <f t="shared" si="17"/>
        <v>OK</v>
      </c>
      <c r="U142" s="30" t="str">
        <f t="shared" si="18"/>
        <v>-</v>
      </c>
      <c r="V142" s="30" t="str" cm="1">
        <f t="array" ref="V142">_xlfn.IFS(
ISNUMBER(SEARCH("USA",S142)),"United States",
ISNUMBER(SEARCH("Republic of Korea",S142)),"South Korea",
ISNUMBER(SEARCH("Cape Verde",S142)),"Cabo Verde",
ISNUMBER(SEARCH("Czechia",S142)),"Czech Republic",
ISNUMBER(SEARCH("Türkiye",S142)),"Turkey",
ISNUMBER(SEARCH("Ivory Coast",S142)),"Côte d'Ivoire",
ISNUMBER(SEARCH("Korea Republic",S142)),"South Korea",
ISNUMBER(SEARCH("Germany FR",S142)),"FR Germany",
ISNUMBER(SEARCH("West Germany",S142)),"FR Germany",
ISNUMBER(SEARCH("Germany DR",S142)),"DR Germany",
ISNUMBER(SEARCH("Korea DPR",S142)),"North Korea",
ISNUMBER(SEARCH("China PR",S142)),"China",
ISNUMBER(SEARCH("IR Iran",S142)),"Iran",
ISNUMBER(SEARCH("Congo DR",S142)),"Democratic Republic of the Congo",
ISNUMBER(SEARCH("DR Congo",S142)),"Democratic Republic of the Congo",
ISNUMBER(SEARCH("German DR",S142)),"DR Germany",
ISNUMBER(SEARCH("rn""&gt;United Arab Emirates",S142)),"United Arab Emirates",
ISNUMBER(SEARCH("rn""&gt;Republic of Ireland",S142)),"Ireland",
ISNUMBER(SEARCH("rn""&gt;Bosnia and Herzegovina",S142)),"Bosnia and Herzegovina",
ISNUMBER(SEARCH("rn""&gt;Trinidad and Tobago",S142)),"Trinidad and Tobago",
ISNUMBER(SEARCH("rn""&gt;Serbia and Montenegro",S142)),"Serbia and Montenegro",
ISNUMBER(SEARCH(_xlfn.UNICHAR(65533),S142)),"Côte d'Ivoire",
TRUE,""
)</f>
        <v/>
      </c>
      <c r="W142" s="30" t="str">
        <f t="shared" ref="W142:W205" si="19">IF(V142="",S142,V142)</f>
        <v>Mexico</v>
      </c>
      <c r="Z142" s="40" t="str">
        <v>Nya Ullevi</v>
      </c>
      <c r="AA142" s="40" t="str" cm="1">
        <f t="array" ref="AA142">IFERROR(_xlfn.XLOOKUP(Z142,_xlfn.ANCHORARRAY(Z$31),AA$31:AA$37),Z142)</f>
        <v>Nya Ullevi</v>
      </c>
      <c r="AB142" s="42" t="str">
        <v xml:space="preserve">Gothenburg </v>
      </c>
      <c r="AC142" s="89" t="str">
        <f t="shared" si="16"/>
        <v xml:space="preserve">Gothenburg </v>
      </c>
      <c r="AE142" s="42">
        <v>1950</v>
      </c>
      <c r="AK142" s="42">
        <v>4</v>
      </c>
      <c r="AL142" s="42">
        <v>1</v>
      </c>
      <c r="AV142" s="37" t="str">
        <v>SEMI_FINALS</v>
      </c>
      <c r="AW142" s="89" t="str">
        <v>QUARTER_FINALS</v>
      </c>
      <c r="BE142" s="43" t="str">
        <f>IF(OR(DATA_CLEANED!AL133="",DATA_CLEANED!AM133=""),"MANQUANT",IF(OR(NOT(ISNUMBER(DATA_CLEANED!AL133)),NOT(ISNUMBER(DATA_CLEANED!AM133))),"ENTREE INVALIDE",IF(OR(DATA_CLEANED!AL133&lt;0,DATA_CLEANED!AM133&lt;0),"SCORE NEGATIF","OK")))</f>
        <v>OK</v>
      </c>
      <c r="BF142" s="43" t="str">
        <f>IF(DATA_CLEANED!AK133&lt;&gt;DATA_CLEANED!AN133,"OK","ERREUR")</f>
        <v>OK</v>
      </c>
      <c r="BG142" s="43" t="str">
        <f>IF(DATA_CLEANED!AL133&gt;DATA_CLEANED!AM133,DATA_CLEANED!AK133,IF(AND(DATA_QUALITE!W4619="-",DATA_CLEANED!AM133=DATA_CLEANED!AL133),"MATCH NUL",IF(AND(DATA_QUALITE!V4619="-",DATA_QUALITE!U4619="AUCUNE"),DATA_QUALITE!T4619,IF(DATA_QUALITE!V4619&lt;&gt;"-",DATA_QUALITE!V4619,DATA_CLEANED!AN133))))</f>
        <v>Sweden</v>
      </c>
      <c r="BH142" s="103" t="str">
        <f>IF(AND(BG142="MATCH NUL",DATA_CLEANED!AO133="-"),"MATCH_NUL",IF(ISNUMBER(SEARCH("win on penalties",W4619)),"WIN_BY_PENALTY",IF(ISNUMBER(SEARCH("win after extra time",W4619)),"WIN_BY_EXTRA_TIME",IF(ISNUMBER(SEARCH("Golden Goal",W4619)),"WIN_BY_GOLDEN_GOAL","WIN_BY_SCORE"))))</f>
        <v>WIN_BY_SCORE</v>
      </c>
      <c r="BI142" s="99" t="str">
        <f>IF(OR(BG142=DATA_CLEANED!AK133,BG142=DATA_CLEANED!AN133,BG142="MATCH NUL"),"OK","ERREUR")</f>
        <v>OK</v>
      </c>
    </row>
    <row r="143" spans="2:61">
      <c r="B143" s="74">
        <v>1990</v>
      </c>
      <c r="C143" s="30" t="str">
        <v>Semi-finals</v>
      </c>
      <c r="D143" s="30" t="str">
        <v>Argentina</v>
      </c>
      <c r="E143" s="30" t="str">
        <v>Italy</v>
      </c>
      <c r="F143" s="30" t="str">
        <v>Argentina</v>
      </c>
      <c r="G143" s="30" t="str">
        <v>José Serrizuela</v>
      </c>
      <c r="H143" s="30" t="str">
        <v>Walter Zenga</v>
      </c>
      <c r="I143" s="30">
        <v>2</v>
      </c>
      <c r="J143" s="30">
        <v>1</v>
      </c>
      <c r="K143" s="30" t="str">
        <v>'0-1</v>
      </c>
      <c r="L143" s="30" t="str">
        <v>No</v>
      </c>
      <c r="M143" s="30" t="str">
        <v>No</v>
      </c>
      <c r="N143" s="30" t="str">
        <v>Goal</v>
      </c>
      <c r="O143" s="30" t="str">
        <f t="shared" si="14"/>
        <v>1990|Semi-finals|Argentina|Italy|Argentina|José Serrizuela|Walter Zenga|2|1|'0-1|No|No|Goal</v>
      </c>
      <c r="P143" s="96" t="str">
        <f>IF(COUNTIF($G$32:O143,O143)&gt;1,"DOUBLON","OK")</f>
        <v>OK</v>
      </c>
      <c r="R143" s="23" t="s">
        <v>3657</v>
      </c>
      <c r="S143" s="30" t="str">
        <v>Mexico</v>
      </c>
      <c r="T143" s="30" t="str">
        <f t="shared" si="17"/>
        <v>OK</v>
      </c>
      <c r="U143" s="30" t="str">
        <f t="shared" si="18"/>
        <v>-</v>
      </c>
      <c r="V143" s="30" t="str" cm="1">
        <f t="array" ref="V143">_xlfn.IFS(
ISNUMBER(SEARCH("USA",S143)),"United States",
ISNUMBER(SEARCH("Republic of Korea",S143)),"South Korea",
ISNUMBER(SEARCH("Cape Verde",S143)),"Cabo Verde",
ISNUMBER(SEARCH("Czechia",S143)),"Czech Republic",
ISNUMBER(SEARCH("Türkiye",S143)),"Turkey",
ISNUMBER(SEARCH("Ivory Coast",S143)),"Côte d'Ivoire",
ISNUMBER(SEARCH("Korea Republic",S143)),"South Korea",
ISNUMBER(SEARCH("Germany FR",S143)),"FR Germany",
ISNUMBER(SEARCH("West Germany",S143)),"FR Germany",
ISNUMBER(SEARCH("Germany DR",S143)),"DR Germany",
ISNUMBER(SEARCH("Korea DPR",S143)),"North Korea",
ISNUMBER(SEARCH("China PR",S143)),"China",
ISNUMBER(SEARCH("IR Iran",S143)),"Iran",
ISNUMBER(SEARCH("Congo DR",S143)),"Democratic Republic of the Congo",
ISNUMBER(SEARCH("DR Congo",S143)),"Democratic Republic of the Congo",
ISNUMBER(SEARCH("German DR",S143)),"DR Germany",
ISNUMBER(SEARCH("rn""&gt;United Arab Emirates",S143)),"United Arab Emirates",
ISNUMBER(SEARCH("rn""&gt;Republic of Ireland",S143)),"Ireland",
ISNUMBER(SEARCH("rn""&gt;Bosnia and Herzegovina",S143)),"Bosnia and Herzegovina",
ISNUMBER(SEARCH("rn""&gt;Trinidad and Tobago",S143)),"Trinidad and Tobago",
ISNUMBER(SEARCH("rn""&gt;Serbia and Montenegro",S143)),"Serbia and Montenegro",
ISNUMBER(SEARCH(_xlfn.UNICHAR(65533),S143)),"Côte d'Ivoire",
TRUE,""
)</f>
        <v/>
      </c>
      <c r="W143" s="30" t="str">
        <f t="shared" si="19"/>
        <v>Mexico</v>
      </c>
      <c r="Z143" s="40" t="str">
        <v>Malmo Stadion</v>
      </c>
      <c r="AA143" s="40" t="str" cm="1">
        <f t="array" ref="AA143">IFERROR(_xlfn.XLOOKUP(Z143,_xlfn.ANCHORARRAY(Z$31),AA$31:AA$37),Z143)</f>
        <v>Malmo Stadion</v>
      </c>
      <c r="AB143" s="42" t="str">
        <v xml:space="preserve">Malm� </v>
      </c>
      <c r="AC143" s="89" t="str">
        <f t="shared" si="16"/>
        <v>Malmö</v>
      </c>
      <c r="AE143" s="42">
        <v>1950</v>
      </c>
      <c r="AK143" s="42">
        <v>2</v>
      </c>
      <c r="AL143" s="42">
        <v>0</v>
      </c>
      <c r="AV143" s="37" t="str">
        <v>SEMI_FINALS</v>
      </c>
      <c r="AW143" s="89" t="str">
        <v>QUARTER_FINALS</v>
      </c>
      <c r="BE143" s="43" t="str">
        <f>IF(OR(DATA_CLEANED!AL134="",DATA_CLEANED!AM134=""),"MANQUANT",IF(OR(NOT(ISNUMBER(DATA_CLEANED!AL134)),NOT(ISNUMBER(DATA_CLEANED!AM134))),"ENTREE INVALIDE",IF(OR(DATA_CLEANED!AL134&lt;0,DATA_CLEANED!AM134&lt;0),"SCORE NEGATIF","OK")))</f>
        <v>OK</v>
      </c>
      <c r="BF143" s="43" t="str">
        <f>IF(DATA_CLEANED!AK134&lt;&gt;DATA_CLEANED!AN134,"OK","ERREUR")</f>
        <v>OK</v>
      </c>
      <c r="BG143" s="43" t="str">
        <f>IF(DATA_CLEANED!AL134&gt;DATA_CLEANED!AM134,DATA_CLEANED!AK134,IF(AND(DATA_QUALITE!W4620="-",DATA_CLEANED!AM134=DATA_CLEANED!AL134),"MATCH NUL",IF(AND(DATA_QUALITE!V4620="-",DATA_QUALITE!U4620="AUCUNE"),DATA_QUALITE!T4620,IF(DATA_QUALITE!V4620&lt;&gt;"-",DATA_QUALITE!V4620,DATA_CLEANED!AN134))))</f>
        <v>France</v>
      </c>
      <c r="BH143" s="103" t="str">
        <f>IF(AND(BG143="MATCH NUL",DATA_CLEANED!AO134="-"),"MATCH_NUL",IF(ISNUMBER(SEARCH("win on penalties",W4620)),"WIN_BY_PENALTY",IF(ISNUMBER(SEARCH("win after extra time",W4620)),"WIN_BY_EXTRA_TIME",IF(ISNUMBER(SEARCH("Golden Goal",W4620)),"WIN_BY_GOLDEN_GOAL","WIN_BY_SCORE"))))</f>
        <v>WIN_BY_SCORE</v>
      </c>
      <c r="BI143" s="99" t="str">
        <f>IF(OR(BG143=DATA_CLEANED!AK134,BG143=DATA_CLEANED!AN134,BG143="MATCH NUL"),"OK","ERREUR")</f>
        <v>OK</v>
      </c>
    </row>
    <row r="144" spans="2:61">
      <c r="B144" s="74">
        <v>1990</v>
      </c>
      <c r="C144" s="30" t="str">
        <v>Semi-finals</v>
      </c>
      <c r="D144" s="30" t="str">
        <v>Argentina</v>
      </c>
      <c r="E144" s="30" t="str">
        <v>Italy</v>
      </c>
      <c r="F144" s="30" t="str">
        <v>Italy</v>
      </c>
      <c r="G144" s="30" t="str">
        <v>Roberto Baggio</v>
      </c>
      <c r="H144" s="30" t="str">
        <v>Sergio Goycochea</v>
      </c>
      <c r="I144" s="30">
        <v>3</v>
      </c>
      <c r="J144" s="30">
        <v>2</v>
      </c>
      <c r="K144" s="30" t="str">
        <v>'1-1</v>
      </c>
      <c r="L144" s="30" t="str">
        <v>No</v>
      </c>
      <c r="M144" s="30" t="str">
        <v>No</v>
      </c>
      <c r="N144" s="30" t="str">
        <v>Goal</v>
      </c>
      <c r="O144" s="30" t="str">
        <f t="shared" si="14"/>
        <v>1990|Semi-finals|Argentina|Italy|Italy|Roberto Baggio|Sergio Goycochea|3|2|'1-1|No|No|Goal</v>
      </c>
      <c r="P144" s="96" t="str">
        <f>IF(COUNTIF($G$32:O144,O144)&gt;1,"DOUBLON","OK")</f>
        <v>OK</v>
      </c>
      <c r="R144" s="23" t="s">
        <v>3658</v>
      </c>
      <c r="S144" s="30" t="str">
        <v>Mexico</v>
      </c>
      <c r="T144" s="30" t="str">
        <f t="shared" si="17"/>
        <v>OK</v>
      </c>
      <c r="U144" s="30" t="str">
        <f t="shared" si="18"/>
        <v>-</v>
      </c>
      <c r="V144" s="30" t="str" cm="1">
        <f t="array" ref="V144">_xlfn.IFS(
ISNUMBER(SEARCH("USA",S144)),"United States",
ISNUMBER(SEARCH("Republic of Korea",S144)),"South Korea",
ISNUMBER(SEARCH("Cape Verde",S144)),"Cabo Verde",
ISNUMBER(SEARCH("Czechia",S144)),"Czech Republic",
ISNUMBER(SEARCH("Türkiye",S144)),"Turkey",
ISNUMBER(SEARCH("Ivory Coast",S144)),"Côte d'Ivoire",
ISNUMBER(SEARCH("Korea Republic",S144)),"South Korea",
ISNUMBER(SEARCH("Germany FR",S144)),"FR Germany",
ISNUMBER(SEARCH("West Germany",S144)),"FR Germany",
ISNUMBER(SEARCH("Germany DR",S144)),"DR Germany",
ISNUMBER(SEARCH("Korea DPR",S144)),"North Korea",
ISNUMBER(SEARCH("China PR",S144)),"China",
ISNUMBER(SEARCH("IR Iran",S144)),"Iran",
ISNUMBER(SEARCH("Congo DR",S144)),"Democratic Republic of the Congo",
ISNUMBER(SEARCH("DR Congo",S144)),"Democratic Republic of the Congo",
ISNUMBER(SEARCH("German DR",S144)),"DR Germany",
ISNUMBER(SEARCH("rn""&gt;United Arab Emirates",S144)),"United Arab Emirates",
ISNUMBER(SEARCH("rn""&gt;Republic of Ireland",S144)),"Ireland",
ISNUMBER(SEARCH("rn""&gt;Bosnia and Herzegovina",S144)),"Bosnia and Herzegovina",
ISNUMBER(SEARCH("rn""&gt;Trinidad and Tobago",S144)),"Trinidad and Tobago",
ISNUMBER(SEARCH("rn""&gt;Serbia and Montenegro",S144)),"Serbia and Montenegro",
ISNUMBER(SEARCH(_xlfn.UNICHAR(65533),S144)),"Côte d'Ivoire",
TRUE,""
)</f>
        <v/>
      </c>
      <c r="W144" s="30" t="str">
        <f t="shared" si="19"/>
        <v>Mexico</v>
      </c>
      <c r="Z144" s="40" t="str">
        <v>Jarnvallen</v>
      </c>
      <c r="AA144" s="40" t="str" cm="1">
        <f t="array" ref="AA144">IFERROR(_xlfn.XLOOKUP(Z144,_xlfn.ANCHORARRAY(Z$31),AA$31:AA$37),Z144)</f>
        <v>Jarnvallen</v>
      </c>
      <c r="AB144" s="42" t="str">
        <v xml:space="preserve">Sandviken </v>
      </c>
      <c r="AC144" s="89" t="str">
        <f t="shared" si="16"/>
        <v xml:space="preserve">Sandviken </v>
      </c>
      <c r="AE144" s="42">
        <v>1950</v>
      </c>
      <c r="AK144" s="42">
        <v>2</v>
      </c>
      <c r="AL144" s="42">
        <v>2</v>
      </c>
      <c r="AV144" s="37" t="str">
        <v>SEMI_FINALS</v>
      </c>
      <c r="AW144" s="89" t="str">
        <v>SEMI_FINALS</v>
      </c>
      <c r="BE144" s="43" t="str">
        <f>IF(OR(DATA_CLEANED!AL135="",DATA_CLEANED!AM135=""),"MANQUANT",IF(OR(NOT(ISNUMBER(DATA_CLEANED!AL135)),NOT(ISNUMBER(DATA_CLEANED!AM135))),"ENTREE INVALIDE",IF(OR(DATA_CLEANED!AL135&lt;0,DATA_CLEANED!AM135&lt;0),"SCORE NEGATIF","OK")))</f>
        <v>OK</v>
      </c>
      <c r="BF144" s="43" t="str">
        <f>IF(DATA_CLEANED!AK135&lt;&gt;DATA_CLEANED!AN135,"OK","ERREUR")</f>
        <v>OK</v>
      </c>
      <c r="BG144" s="43" t="str">
        <f>IF(DATA_CLEANED!AL135&gt;DATA_CLEANED!AM135,DATA_CLEANED!AK135,IF(AND(DATA_QUALITE!W4621="-",DATA_CLEANED!AM135=DATA_CLEANED!AL135),"MATCH NUL",IF(AND(DATA_QUALITE!V4621="-",DATA_QUALITE!U4621="AUCUNE"),DATA_QUALITE!T4621,IF(DATA_QUALITE!V4621&lt;&gt;"-",DATA_QUALITE!V4621,DATA_CLEANED!AN135))))</f>
        <v>Sweden</v>
      </c>
      <c r="BH144" s="103" t="str">
        <f>IF(AND(BG144="MATCH NUL",DATA_CLEANED!AO135="-"),"MATCH_NUL",IF(ISNUMBER(SEARCH("win on penalties",W4621)),"WIN_BY_PENALTY",IF(ISNUMBER(SEARCH("win after extra time",W4621)),"WIN_BY_EXTRA_TIME",IF(ISNUMBER(SEARCH("Golden Goal",W4621)),"WIN_BY_GOLDEN_GOAL","WIN_BY_SCORE"))))</f>
        <v>WIN_BY_SCORE</v>
      </c>
      <c r="BI144" s="99" t="str">
        <f>IF(OR(BG144=DATA_CLEANED!AK135,BG144=DATA_CLEANED!AN135,BG144="MATCH NUL"),"OK","ERREUR")</f>
        <v>OK</v>
      </c>
    </row>
    <row r="145" spans="2:61">
      <c r="B145" s="74">
        <v>1990</v>
      </c>
      <c r="C145" s="30" t="str">
        <v>Semi-finals</v>
      </c>
      <c r="D145" s="30" t="str">
        <v>Argentina</v>
      </c>
      <c r="E145" s="30" t="str">
        <v>Italy</v>
      </c>
      <c r="F145" s="30" t="str">
        <v>Argentina</v>
      </c>
      <c r="G145" s="30" t="str">
        <v>Jorge Burruchaga</v>
      </c>
      <c r="H145" s="30" t="str">
        <v>Walter Zenga</v>
      </c>
      <c r="I145" s="30">
        <v>4</v>
      </c>
      <c r="J145" s="30">
        <v>2</v>
      </c>
      <c r="K145" s="30" t="str">
        <v>'2-1</v>
      </c>
      <c r="L145" s="30" t="str">
        <v>No</v>
      </c>
      <c r="M145" s="30" t="str">
        <v>No</v>
      </c>
      <c r="N145" s="30" t="str">
        <v>Goal</v>
      </c>
      <c r="O145" s="30" t="str">
        <f t="shared" si="14"/>
        <v>1990|Semi-finals|Argentina|Italy|Argentina|Jorge Burruchaga|Walter Zenga|4|2|'2-1|No|No|Goal</v>
      </c>
      <c r="P145" s="96" t="str">
        <f>IF(COUNTIF($G$32:O145,O145)&gt;1,"DOUBLON","OK")</f>
        <v>OK</v>
      </c>
      <c r="R145" s="23" t="s">
        <v>3659</v>
      </c>
      <c r="S145" s="30" t="str">
        <v>Mexico</v>
      </c>
      <c r="T145" s="30" t="str">
        <f t="shared" si="17"/>
        <v>OK</v>
      </c>
      <c r="U145" s="30" t="str">
        <f t="shared" si="18"/>
        <v>-</v>
      </c>
      <c r="V145" s="30" t="str" cm="1">
        <f t="array" ref="V145">_xlfn.IFS(
ISNUMBER(SEARCH("USA",S145)),"United States",
ISNUMBER(SEARCH("Republic of Korea",S145)),"South Korea",
ISNUMBER(SEARCH("Cape Verde",S145)),"Cabo Verde",
ISNUMBER(SEARCH("Czechia",S145)),"Czech Republic",
ISNUMBER(SEARCH("Türkiye",S145)),"Turkey",
ISNUMBER(SEARCH("Ivory Coast",S145)),"Côte d'Ivoire",
ISNUMBER(SEARCH("Korea Republic",S145)),"South Korea",
ISNUMBER(SEARCH("Germany FR",S145)),"FR Germany",
ISNUMBER(SEARCH("West Germany",S145)),"FR Germany",
ISNUMBER(SEARCH("Germany DR",S145)),"DR Germany",
ISNUMBER(SEARCH("Korea DPR",S145)),"North Korea",
ISNUMBER(SEARCH("China PR",S145)),"China",
ISNUMBER(SEARCH("IR Iran",S145)),"Iran",
ISNUMBER(SEARCH("Congo DR",S145)),"Democratic Republic of the Congo",
ISNUMBER(SEARCH("DR Congo",S145)),"Democratic Republic of the Congo",
ISNUMBER(SEARCH("German DR",S145)),"DR Germany",
ISNUMBER(SEARCH("rn""&gt;United Arab Emirates",S145)),"United Arab Emirates",
ISNUMBER(SEARCH("rn""&gt;Republic of Ireland",S145)),"Ireland",
ISNUMBER(SEARCH("rn""&gt;Bosnia and Herzegovina",S145)),"Bosnia and Herzegovina",
ISNUMBER(SEARCH("rn""&gt;Trinidad and Tobago",S145)),"Trinidad and Tobago",
ISNUMBER(SEARCH("rn""&gt;Serbia and Montenegro",S145)),"Serbia and Montenegro",
ISNUMBER(SEARCH(_xlfn.UNICHAR(65533),S145)),"Côte d'Ivoire",
TRUE,""
)</f>
        <v/>
      </c>
      <c r="W145" s="30" t="str">
        <f t="shared" si="19"/>
        <v>Mexico</v>
      </c>
      <c r="Z145" s="40" t="str">
        <v>Idrottsparken</v>
      </c>
      <c r="AA145" s="40" t="str" cm="1">
        <f t="array" ref="AA145">IFERROR(_xlfn.XLOOKUP(Z145,_xlfn.ANCHORARRAY(Z$31),AA$31:AA$37),Z145)</f>
        <v>Idrottsparken</v>
      </c>
      <c r="AB145" s="42" t="str">
        <v xml:space="preserve">Norrk�Ping </v>
      </c>
      <c r="AC145" s="89" t="str">
        <f t="shared" si="16"/>
        <v>Norrköping</v>
      </c>
      <c r="AE145" s="42">
        <v>1950</v>
      </c>
      <c r="AK145" s="42">
        <v>1</v>
      </c>
      <c r="AL145" s="42">
        <v>0</v>
      </c>
      <c r="AV145" s="37" t="str">
        <v>ROUND_OF_16</v>
      </c>
      <c r="AW145" s="89" t="str">
        <v>SEMI_FINALS</v>
      </c>
      <c r="BE145" s="43" t="str">
        <f>IF(OR(DATA_CLEANED!AL136="",DATA_CLEANED!AM136=""),"MANQUANT",IF(OR(NOT(ISNUMBER(DATA_CLEANED!AL136)),NOT(ISNUMBER(DATA_CLEANED!AM136))),"ENTREE INVALIDE",IF(OR(DATA_CLEANED!AL136&lt;0,DATA_CLEANED!AM136&lt;0),"SCORE NEGATIF","OK")))</f>
        <v>OK</v>
      </c>
      <c r="BF145" s="43" t="str">
        <f>IF(DATA_CLEANED!AK136&lt;&gt;DATA_CLEANED!AN136,"OK","ERREUR")</f>
        <v>OK</v>
      </c>
      <c r="BG145" s="43" t="str">
        <f>IF(DATA_CLEANED!AL136&gt;DATA_CLEANED!AM136,DATA_CLEANED!AK136,IF(AND(DATA_QUALITE!W4622="-",DATA_CLEANED!AM136=DATA_CLEANED!AL136),"MATCH NUL",IF(AND(DATA_QUALITE!V4622="-",DATA_QUALITE!U4622="AUCUNE"),DATA_QUALITE!T4622,IF(DATA_QUALITE!V4622&lt;&gt;"-",DATA_QUALITE!V4622,DATA_CLEANED!AN136))))</f>
        <v>Brazil</v>
      </c>
      <c r="BH145" s="103" t="str">
        <f>IF(AND(BG145="MATCH NUL",DATA_CLEANED!AO136="-"),"MATCH_NUL",IF(ISNUMBER(SEARCH("win on penalties",W4622)),"WIN_BY_PENALTY",IF(ISNUMBER(SEARCH("win after extra time",W4622)),"WIN_BY_EXTRA_TIME",IF(ISNUMBER(SEARCH("Golden Goal",W4622)),"WIN_BY_GOLDEN_GOAL","WIN_BY_SCORE"))))</f>
        <v>WIN_BY_SCORE</v>
      </c>
      <c r="BI145" s="99" t="str">
        <f>IF(OR(BG145=DATA_CLEANED!AK136,BG145=DATA_CLEANED!AN136,BG145="MATCH NUL"),"OK","ERREUR")</f>
        <v>OK</v>
      </c>
    </row>
    <row r="146" spans="2:61">
      <c r="B146" s="74">
        <v>1990</v>
      </c>
      <c r="C146" s="30" t="str">
        <v>Semi-finals</v>
      </c>
      <c r="D146" s="30" t="str">
        <v>Argentina</v>
      </c>
      <c r="E146" s="30" t="str">
        <v>Italy</v>
      </c>
      <c r="F146" s="30" t="str">
        <v>Italy</v>
      </c>
      <c r="G146" s="30" t="str">
        <v>Luigi De Agostini</v>
      </c>
      <c r="H146" s="30" t="str">
        <v>Sergio Goycochea</v>
      </c>
      <c r="I146" s="30">
        <v>5</v>
      </c>
      <c r="J146" s="30">
        <v>3</v>
      </c>
      <c r="K146" s="30" t="str">
        <v>'2-2</v>
      </c>
      <c r="L146" s="30" t="str">
        <v>No</v>
      </c>
      <c r="M146" s="30" t="str">
        <v>No</v>
      </c>
      <c r="N146" s="30" t="str">
        <v>Goal</v>
      </c>
      <c r="O146" s="30" t="str">
        <f t="shared" si="14"/>
        <v>1990|Semi-finals|Argentina|Italy|Italy|Luigi De Agostini|Sergio Goycochea|5|3|'2-2|No|No|Goal</v>
      </c>
      <c r="P146" s="96" t="str">
        <f>IF(COUNTIF($G$32:O146,O146)&gt;1,"DOUBLON","OK")</f>
        <v>OK</v>
      </c>
      <c r="R146" s="23" t="s">
        <v>3660</v>
      </c>
      <c r="S146" s="30" t="str">
        <v>Mexico</v>
      </c>
      <c r="T146" s="30" t="str">
        <f t="shared" si="17"/>
        <v>OK</v>
      </c>
      <c r="U146" s="30" t="str">
        <f t="shared" si="18"/>
        <v>-</v>
      </c>
      <c r="V146" s="30" t="str" cm="1">
        <f t="array" ref="V146">_xlfn.IFS(
ISNUMBER(SEARCH("USA",S146)),"United States",
ISNUMBER(SEARCH("Republic of Korea",S146)),"South Korea",
ISNUMBER(SEARCH("Cape Verde",S146)),"Cabo Verde",
ISNUMBER(SEARCH("Czechia",S146)),"Czech Republic",
ISNUMBER(SEARCH("Türkiye",S146)),"Turkey",
ISNUMBER(SEARCH("Ivory Coast",S146)),"Côte d'Ivoire",
ISNUMBER(SEARCH("Korea Republic",S146)),"South Korea",
ISNUMBER(SEARCH("Germany FR",S146)),"FR Germany",
ISNUMBER(SEARCH("West Germany",S146)),"FR Germany",
ISNUMBER(SEARCH("Germany DR",S146)),"DR Germany",
ISNUMBER(SEARCH("Korea DPR",S146)),"North Korea",
ISNUMBER(SEARCH("China PR",S146)),"China",
ISNUMBER(SEARCH("IR Iran",S146)),"Iran",
ISNUMBER(SEARCH("Congo DR",S146)),"Democratic Republic of the Congo",
ISNUMBER(SEARCH("DR Congo",S146)),"Democratic Republic of the Congo",
ISNUMBER(SEARCH("German DR",S146)),"DR Germany",
ISNUMBER(SEARCH("rn""&gt;United Arab Emirates",S146)),"United Arab Emirates",
ISNUMBER(SEARCH("rn""&gt;Republic of Ireland",S146)),"Ireland",
ISNUMBER(SEARCH("rn""&gt;Bosnia and Herzegovina",S146)),"Bosnia and Herzegovina",
ISNUMBER(SEARCH("rn""&gt;Trinidad and Tobago",S146)),"Trinidad and Tobago",
ISNUMBER(SEARCH("rn""&gt;Serbia and Montenegro",S146)),"Serbia and Montenegro",
ISNUMBER(SEARCH(_xlfn.UNICHAR(65533),S146)),"Côte d'Ivoire",
TRUE,""
)</f>
        <v/>
      </c>
      <c r="W146" s="30" t="str">
        <f t="shared" si="19"/>
        <v>Mexico</v>
      </c>
      <c r="Z146" s="40" t="str">
        <v>Arosvallen</v>
      </c>
      <c r="AA146" s="40" t="str" cm="1">
        <f t="array" ref="AA146">IFERROR(_xlfn.XLOOKUP(Z146,_xlfn.ANCHORARRAY(Z$31),AA$31:AA$37),Z146)</f>
        <v>Arosvallen</v>
      </c>
      <c r="AB146" s="42" t="str">
        <v xml:space="preserve">Vasteras </v>
      </c>
      <c r="AC146" s="89" t="str">
        <f t="shared" si="16"/>
        <v xml:space="preserve">Vasteras </v>
      </c>
      <c r="AE146" s="42">
        <v>1950</v>
      </c>
      <c r="AK146" s="42">
        <v>2</v>
      </c>
      <c r="AL146" s="42">
        <v>0</v>
      </c>
      <c r="AV146" s="37" t="str">
        <v>ROUND_OF_16</v>
      </c>
      <c r="AW146" s="89" t="str">
        <v>THIRD_PLACE</v>
      </c>
      <c r="BE146" s="43" t="str">
        <f>IF(OR(DATA_CLEANED!AL137="",DATA_CLEANED!AM137=""),"MANQUANT",IF(OR(NOT(ISNUMBER(DATA_CLEANED!AL137)),NOT(ISNUMBER(DATA_CLEANED!AM137))),"ENTREE INVALIDE",IF(OR(DATA_CLEANED!AL137&lt;0,DATA_CLEANED!AM137&lt;0),"SCORE NEGATIF","OK")))</f>
        <v>OK</v>
      </c>
      <c r="BF146" s="43" t="str">
        <f>IF(DATA_CLEANED!AK137&lt;&gt;DATA_CLEANED!AN137,"OK","ERREUR")</f>
        <v>OK</v>
      </c>
      <c r="BG146" s="43" t="str">
        <f>IF(DATA_CLEANED!AL137&gt;DATA_CLEANED!AM137,DATA_CLEANED!AK137,IF(AND(DATA_QUALITE!W4623="-",DATA_CLEANED!AM137=DATA_CLEANED!AL137),"MATCH NUL",IF(AND(DATA_QUALITE!V4623="-",DATA_QUALITE!U4623="AUCUNE"),DATA_QUALITE!T4623,IF(DATA_QUALITE!V4623&lt;&gt;"-",DATA_QUALITE!V4623,DATA_CLEANED!AN137))))</f>
        <v>France</v>
      </c>
      <c r="BH146" s="103" t="str">
        <f>IF(AND(BG146="MATCH NUL",DATA_CLEANED!AO137="-"),"MATCH_NUL",IF(ISNUMBER(SEARCH("win on penalties",W4623)),"WIN_BY_PENALTY",IF(ISNUMBER(SEARCH("win after extra time",W4623)),"WIN_BY_EXTRA_TIME",IF(ISNUMBER(SEARCH("Golden Goal",W4623)),"WIN_BY_GOLDEN_GOAL","WIN_BY_SCORE"))))</f>
        <v>WIN_BY_SCORE</v>
      </c>
      <c r="BI146" s="99" t="str">
        <f>IF(OR(BG146=DATA_CLEANED!AK137,BG146=DATA_CLEANED!AN137,BG146="MATCH NUL"),"OK","ERREUR")</f>
        <v>OK</v>
      </c>
    </row>
    <row r="147" spans="2:61">
      <c r="B147" s="74">
        <v>1990</v>
      </c>
      <c r="C147" s="30" t="str">
        <v>Semi-finals</v>
      </c>
      <c r="D147" s="30" t="str">
        <v>Argentina</v>
      </c>
      <c r="E147" s="30" t="str">
        <v>Italy</v>
      </c>
      <c r="F147" s="30" t="str">
        <v>Argentina</v>
      </c>
      <c r="G147" s="30" t="str">
        <v>Julio Olarticoechea</v>
      </c>
      <c r="H147" s="30" t="str">
        <v>Walter Zenga</v>
      </c>
      <c r="I147" s="30">
        <v>6</v>
      </c>
      <c r="J147" s="30">
        <v>3</v>
      </c>
      <c r="K147" s="30" t="str">
        <v>'3-2</v>
      </c>
      <c r="L147" s="30" t="str">
        <v>No</v>
      </c>
      <c r="M147" s="30" t="str">
        <v>No</v>
      </c>
      <c r="N147" s="30" t="str">
        <v>Goal</v>
      </c>
      <c r="O147" s="30" t="str">
        <f t="shared" si="14"/>
        <v>1990|Semi-finals|Argentina|Italy|Argentina|Julio Olarticoechea|Walter Zenga|6|3|'3-2|No|No|Goal</v>
      </c>
      <c r="P147" s="96" t="str">
        <f>IF(COUNTIF($G$32:O147,O147)&gt;1,"DOUBLON","OK")</f>
        <v>OK</v>
      </c>
      <c r="R147" s="23" t="s">
        <v>3661</v>
      </c>
      <c r="S147" s="30" t="str">
        <v>Mexico</v>
      </c>
      <c r="T147" s="30" t="str">
        <f t="shared" si="17"/>
        <v>OK</v>
      </c>
      <c r="U147" s="30" t="str">
        <f t="shared" si="18"/>
        <v>-</v>
      </c>
      <c r="V147" s="30" t="str" cm="1">
        <f t="array" ref="V147">_xlfn.IFS(
ISNUMBER(SEARCH("USA",S147)),"United States",
ISNUMBER(SEARCH("Republic of Korea",S147)),"South Korea",
ISNUMBER(SEARCH("Cape Verde",S147)),"Cabo Verde",
ISNUMBER(SEARCH("Czechia",S147)),"Czech Republic",
ISNUMBER(SEARCH("Türkiye",S147)),"Turkey",
ISNUMBER(SEARCH("Ivory Coast",S147)),"Côte d'Ivoire",
ISNUMBER(SEARCH("Korea Republic",S147)),"South Korea",
ISNUMBER(SEARCH("Germany FR",S147)),"FR Germany",
ISNUMBER(SEARCH("West Germany",S147)),"FR Germany",
ISNUMBER(SEARCH("Germany DR",S147)),"DR Germany",
ISNUMBER(SEARCH("Korea DPR",S147)),"North Korea",
ISNUMBER(SEARCH("China PR",S147)),"China",
ISNUMBER(SEARCH("IR Iran",S147)),"Iran",
ISNUMBER(SEARCH("Congo DR",S147)),"Democratic Republic of the Congo",
ISNUMBER(SEARCH("DR Congo",S147)),"Democratic Republic of the Congo",
ISNUMBER(SEARCH("German DR",S147)),"DR Germany",
ISNUMBER(SEARCH("rn""&gt;United Arab Emirates",S147)),"United Arab Emirates",
ISNUMBER(SEARCH("rn""&gt;Republic of Ireland",S147)),"Ireland",
ISNUMBER(SEARCH("rn""&gt;Bosnia and Herzegovina",S147)),"Bosnia and Herzegovina",
ISNUMBER(SEARCH("rn""&gt;Trinidad and Tobago",S147)),"Trinidad and Tobago",
ISNUMBER(SEARCH("rn""&gt;Serbia and Montenegro",S147)),"Serbia and Montenegro",
ISNUMBER(SEARCH(_xlfn.UNICHAR(65533),S147)),"Côte d'Ivoire",
TRUE,""
)</f>
        <v/>
      </c>
      <c r="W147" s="30" t="str">
        <f t="shared" si="19"/>
        <v>Mexico</v>
      </c>
      <c r="Z147" s="40" t="str">
        <v>Rimnersvallen</v>
      </c>
      <c r="AA147" s="40" t="str" cm="1">
        <f t="array" ref="AA147">IFERROR(_xlfn.XLOOKUP(Z147,_xlfn.ANCHORARRAY(Z$31),AA$31:AA$37),Z147)</f>
        <v>Rimnersvallen</v>
      </c>
      <c r="AB147" s="42" t="str">
        <v xml:space="preserve">Udevalla </v>
      </c>
      <c r="AC147" s="89" t="str">
        <f t="shared" si="16"/>
        <v xml:space="preserve">Udevalla </v>
      </c>
      <c r="AE147" s="42">
        <v>1950</v>
      </c>
      <c r="AK147" s="42">
        <v>1</v>
      </c>
      <c r="AL147" s="42">
        <v>0</v>
      </c>
      <c r="AV147" s="37" t="str">
        <v>ROUND_OF_16</v>
      </c>
      <c r="AW147" s="89" t="str">
        <v>FINAL</v>
      </c>
      <c r="BE147" s="43" t="str">
        <f>IF(OR(DATA_CLEANED!AL138="",DATA_CLEANED!AM138=""),"MANQUANT",IF(OR(NOT(ISNUMBER(DATA_CLEANED!AL138)),NOT(ISNUMBER(DATA_CLEANED!AM138))),"ENTREE INVALIDE",IF(OR(DATA_CLEANED!AL138&lt;0,DATA_CLEANED!AM138&lt;0),"SCORE NEGATIF","OK")))</f>
        <v>OK</v>
      </c>
      <c r="BF147" s="43" t="str">
        <f>IF(DATA_CLEANED!AK138&lt;&gt;DATA_CLEANED!AN138,"OK","ERREUR")</f>
        <v>OK</v>
      </c>
      <c r="BG147" s="43" t="str">
        <f>IF(DATA_CLEANED!AL138&gt;DATA_CLEANED!AM138,DATA_CLEANED!AK138,IF(AND(DATA_QUALITE!W4624="-",DATA_CLEANED!AM138=DATA_CLEANED!AL138),"MATCH NUL",IF(AND(DATA_QUALITE!V4624="-",DATA_QUALITE!U4624="AUCUNE"),DATA_QUALITE!T4624,IF(DATA_QUALITE!V4624&lt;&gt;"-",DATA_QUALITE!V4624,DATA_CLEANED!AN138))))</f>
        <v>Brazil</v>
      </c>
      <c r="BH147" s="103" t="str">
        <f>IF(AND(BG147="MATCH NUL",DATA_CLEANED!AO138="-"),"MATCH_NUL",IF(ISNUMBER(SEARCH("win on penalties",W4624)),"WIN_BY_PENALTY",IF(ISNUMBER(SEARCH("win after extra time",W4624)),"WIN_BY_EXTRA_TIME",IF(ISNUMBER(SEARCH("Golden Goal",W4624)),"WIN_BY_GOLDEN_GOAL","WIN_BY_SCORE"))))</f>
        <v>WIN_BY_SCORE</v>
      </c>
      <c r="BI147" s="99" t="str">
        <f>IF(OR(BG147=DATA_CLEANED!AK138,BG147=DATA_CLEANED!AN138,BG147="MATCH NUL"),"OK","ERREUR")</f>
        <v>OK</v>
      </c>
    </row>
    <row r="148" spans="2:61">
      <c r="B148" s="74">
        <v>1990</v>
      </c>
      <c r="C148" s="30" t="str">
        <v>Semi-finals</v>
      </c>
      <c r="D148" s="30" t="str">
        <v>Argentina</v>
      </c>
      <c r="E148" s="30" t="str">
        <v>Italy</v>
      </c>
      <c r="F148" s="30" t="str">
        <v>Italy</v>
      </c>
      <c r="G148" s="30" t="str">
        <v>Roberto Donadoni</v>
      </c>
      <c r="H148" s="30" t="str">
        <v>Sergio Goycochea</v>
      </c>
      <c r="I148" s="30">
        <v>7</v>
      </c>
      <c r="J148" s="30">
        <v>4</v>
      </c>
      <c r="K148" s="30" t="str">
        <v>'3-3</v>
      </c>
      <c r="L148" s="30" t="str">
        <v>No</v>
      </c>
      <c r="M148" s="30" t="str">
        <v>No</v>
      </c>
      <c r="N148" s="30" t="str">
        <v>Saved</v>
      </c>
      <c r="O148" s="30" t="str">
        <f t="shared" ref="O148:O211" si="20">B148&amp;"|"&amp;C148&amp;"|"&amp;D148&amp;"|"&amp;E148&amp;"|"&amp;F148&amp;"|"&amp;G148&amp;"|"&amp;H148&amp;"|"&amp;I148&amp;"|"&amp;J148&amp;"|"&amp;K148&amp;"|"&amp;L148&amp;"|"&amp;M148&amp;"|"&amp;N148</f>
        <v>1990|Semi-finals|Argentina|Italy|Italy|Roberto Donadoni|Sergio Goycochea|7|4|'3-3|No|No|Saved</v>
      </c>
      <c r="P148" s="96" t="str">
        <f>IF(COUNTIF($G$32:O148,O148)&gt;1,"DOUBLON","OK")</f>
        <v>OK</v>
      </c>
      <c r="R148" s="23" t="s">
        <v>3744</v>
      </c>
      <c r="S148" s="30" t="str">
        <v>Romania</v>
      </c>
      <c r="T148" s="30" t="str">
        <f t="shared" si="17"/>
        <v>OK</v>
      </c>
      <c r="U148" s="30" t="str">
        <f t="shared" si="18"/>
        <v>-</v>
      </c>
      <c r="V148" s="30" t="str" cm="1">
        <f t="array" ref="V148">_xlfn.IFS(
ISNUMBER(SEARCH("USA",S148)),"United States",
ISNUMBER(SEARCH("Republic of Korea",S148)),"South Korea",
ISNUMBER(SEARCH("Cape Verde",S148)),"Cabo Verde",
ISNUMBER(SEARCH("Czechia",S148)),"Czech Republic",
ISNUMBER(SEARCH("Türkiye",S148)),"Turkey",
ISNUMBER(SEARCH("Ivory Coast",S148)),"Côte d'Ivoire",
ISNUMBER(SEARCH("Korea Republic",S148)),"South Korea",
ISNUMBER(SEARCH("Germany FR",S148)),"FR Germany",
ISNUMBER(SEARCH("West Germany",S148)),"FR Germany",
ISNUMBER(SEARCH("Germany DR",S148)),"DR Germany",
ISNUMBER(SEARCH("Korea DPR",S148)),"North Korea",
ISNUMBER(SEARCH("China PR",S148)),"China",
ISNUMBER(SEARCH("IR Iran",S148)),"Iran",
ISNUMBER(SEARCH("Congo DR",S148)),"Democratic Republic of the Congo",
ISNUMBER(SEARCH("DR Congo",S148)),"Democratic Republic of the Congo",
ISNUMBER(SEARCH("German DR",S148)),"DR Germany",
ISNUMBER(SEARCH("rn""&gt;United Arab Emirates",S148)),"United Arab Emirates",
ISNUMBER(SEARCH("rn""&gt;Republic of Ireland",S148)),"Ireland",
ISNUMBER(SEARCH("rn""&gt;Bosnia and Herzegovina",S148)),"Bosnia and Herzegovina",
ISNUMBER(SEARCH("rn""&gt;Trinidad and Tobago",S148)),"Trinidad and Tobago",
ISNUMBER(SEARCH("rn""&gt;Serbia and Montenegro",S148)),"Serbia and Montenegro",
ISNUMBER(SEARCH(_xlfn.UNICHAR(65533),S148)),"Côte d'Ivoire",
TRUE,""
)</f>
        <v/>
      </c>
      <c r="W148" s="30" t="str">
        <f t="shared" si="19"/>
        <v>Romania</v>
      </c>
      <c r="Z148" s="40" t="str">
        <v>Orjans Vall</v>
      </c>
      <c r="AA148" s="40" t="str" cm="1">
        <f t="array" ref="AA148">IFERROR(_xlfn.XLOOKUP(Z148,_xlfn.ANCHORARRAY(Z$31),AA$31:AA$37),Z148)</f>
        <v>Orjans Vall</v>
      </c>
      <c r="AB148" s="42" t="str">
        <v xml:space="preserve">Halmstad </v>
      </c>
      <c r="AC148" s="89" t="str">
        <f t="shared" si="16"/>
        <v xml:space="preserve">Halmstad </v>
      </c>
      <c r="AE148" s="42">
        <v>1950</v>
      </c>
      <c r="AK148" s="42">
        <v>2</v>
      </c>
      <c r="AL148" s="42">
        <v>0</v>
      </c>
      <c r="AV148" s="37" t="str">
        <v>ROUND_OF_16</v>
      </c>
      <c r="AW148" s="89" t="str">
        <v>GROUP_STAGE</v>
      </c>
      <c r="BE148" s="43" t="str">
        <f>IF(OR(DATA_CLEANED!AL139="",DATA_CLEANED!AM139=""),"MANQUANT",IF(OR(NOT(ISNUMBER(DATA_CLEANED!AL139)),NOT(ISNUMBER(DATA_CLEANED!AM139))),"ENTREE INVALIDE",IF(OR(DATA_CLEANED!AL139&lt;0,DATA_CLEANED!AM139&lt;0),"SCORE NEGATIF","OK")))</f>
        <v>OK</v>
      </c>
      <c r="BF148" s="43" t="str">
        <f>IF(DATA_CLEANED!AK139&lt;&gt;DATA_CLEANED!AN139,"OK","ERREUR")</f>
        <v>OK</v>
      </c>
      <c r="BG148" s="43" t="str">
        <f>IF(DATA_CLEANED!AL139&gt;DATA_CLEANED!AM139,DATA_CLEANED!AK139,IF(AND(DATA_QUALITE!W4625="-",DATA_CLEANED!AM139=DATA_CLEANED!AL139),"MATCH NUL",IF(AND(DATA_QUALITE!V4625="-",DATA_QUALITE!U4625="AUCUNE"),DATA_QUALITE!T4625,IF(DATA_QUALITE!V4625&lt;&gt;"-",DATA_QUALITE!V4625,DATA_CLEANED!AN139))))</f>
        <v>Uruguay</v>
      </c>
      <c r="BH148" s="103" t="str">
        <f>IF(AND(BG148="MATCH NUL",DATA_CLEANED!AO139="-"),"MATCH_NUL",IF(ISNUMBER(SEARCH("win on penalties",W4625)),"WIN_BY_PENALTY",IF(ISNUMBER(SEARCH("win after extra time",W4625)),"WIN_BY_EXTRA_TIME",IF(ISNUMBER(SEARCH("Golden Goal",W4625)),"WIN_BY_GOLDEN_GOAL","WIN_BY_SCORE"))))</f>
        <v>WIN_BY_SCORE</v>
      </c>
      <c r="BI148" s="99" t="str">
        <f>IF(OR(BG148=DATA_CLEANED!AK139,BG148=DATA_CLEANED!AN139,BG148="MATCH NUL"),"OK","ERREUR")</f>
        <v>OK</v>
      </c>
    </row>
    <row r="149" spans="2:61">
      <c r="B149" s="74">
        <v>1990</v>
      </c>
      <c r="C149" s="30" t="str">
        <v>Semi-finals</v>
      </c>
      <c r="D149" s="30" t="str">
        <v>Argentina</v>
      </c>
      <c r="E149" s="30" t="str">
        <v>Italy</v>
      </c>
      <c r="F149" s="30" t="str">
        <v>Argentina</v>
      </c>
      <c r="G149" s="30" t="str">
        <v>Diego Maradona</v>
      </c>
      <c r="H149" s="30" t="str">
        <v>Walter Zenga</v>
      </c>
      <c r="I149" s="30">
        <v>8</v>
      </c>
      <c r="J149" s="30">
        <v>4</v>
      </c>
      <c r="K149" s="30" t="str">
        <v>'3-3</v>
      </c>
      <c r="L149" s="30" t="str">
        <v>No</v>
      </c>
      <c r="M149" s="30" t="str">
        <v>No</v>
      </c>
      <c r="N149" s="30" t="str">
        <v>Goal</v>
      </c>
      <c r="O149" s="30" t="str">
        <f t="shared" si="20"/>
        <v>1990|Semi-finals|Argentina|Italy|Argentina|Diego Maradona|Walter Zenga|8|4|'3-3|No|No|Goal</v>
      </c>
      <c r="P149" s="96" t="str">
        <f>IF(COUNTIF($G$32:O149,O149)&gt;1,"DOUBLON","OK")</f>
        <v>OK</v>
      </c>
      <c r="R149" s="23" t="s">
        <v>3662</v>
      </c>
      <c r="S149" s="30" t="str">
        <v>Romania</v>
      </c>
      <c r="T149" s="30" t="str">
        <f t="shared" si="17"/>
        <v>OK</v>
      </c>
      <c r="U149" s="30" t="str">
        <f t="shared" si="18"/>
        <v>-</v>
      </c>
      <c r="V149" s="30" t="str" cm="1">
        <f t="array" ref="V149">_xlfn.IFS(
ISNUMBER(SEARCH("USA",S149)),"United States",
ISNUMBER(SEARCH("Republic of Korea",S149)),"South Korea",
ISNUMBER(SEARCH("Cape Verde",S149)),"Cabo Verde",
ISNUMBER(SEARCH("Czechia",S149)),"Czech Republic",
ISNUMBER(SEARCH("Türkiye",S149)),"Turkey",
ISNUMBER(SEARCH("Ivory Coast",S149)),"Côte d'Ivoire",
ISNUMBER(SEARCH("Korea Republic",S149)),"South Korea",
ISNUMBER(SEARCH("Germany FR",S149)),"FR Germany",
ISNUMBER(SEARCH("West Germany",S149)),"FR Germany",
ISNUMBER(SEARCH("Germany DR",S149)),"DR Germany",
ISNUMBER(SEARCH("Korea DPR",S149)),"North Korea",
ISNUMBER(SEARCH("China PR",S149)),"China",
ISNUMBER(SEARCH("IR Iran",S149)),"Iran",
ISNUMBER(SEARCH("Congo DR",S149)),"Democratic Republic of the Congo",
ISNUMBER(SEARCH("DR Congo",S149)),"Democratic Republic of the Congo",
ISNUMBER(SEARCH("German DR",S149)),"DR Germany",
ISNUMBER(SEARCH("rn""&gt;United Arab Emirates",S149)),"United Arab Emirates",
ISNUMBER(SEARCH("rn""&gt;Republic of Ireland",S149)),"Ireland",
ISNUMBER(SEARCH("rn""&gt;Bosnia and Herzegovina",S149)),"Bosnia and Herzegovina",
ISNUMBER(SEARCH("rn""&gt;Trinidad and Tobago",S149)),"Trinidad and Tobago",
ISNUMBER(SEARCH("rn""&gt;Serbia and Montenegro",S149)),"Serbia and Montenegro",
ISNUMBER(SEARCH(_xlfn.UNICHAR(65533),S149)),"Côte d'Ivoire",
TRUE,""
)</f>
        <v/>
      </c>
      <c r="W149" s="30" t="str">
        <f t="shared" si="19"/>
        <v>Romania</v>
      </c>
      <c r="Z149" s="40" t="str">
        <v>Nya Ullevi</v>
      </c>
      <c r="AA149" s="40" t="str" cm="1">
        <f t="array" ref="AA149">IFERROR(_xlfn.XLOOKUP(Z149,_xlfn.ANCHORARRAY(Z$31),AA$31:AA$37),Z149)</f>
        <v>Nya Ullevi</v>
      </c>
      <c r="AB149" s="42" t="str">
        <v xml:space="preserve">Gothenburg </v>
      </c>
      <c r="AC149" s="89" t="str">
        <f t="shared" si="16"/>
        <v xml:space="preserve">Gothenburg </v>
      </c>
      <c r="AE149" s="42">
        <v>1950</v>
      </c>
      <c r="AK149" s="42">
        <v>8</v>
      </c>
      <c r="AL149" s="42">
        <v>0</v>
      </c>
      <c r="AV149" s="37" t="str">
        <v>ROUND_OF_16</v>
      </c>
      <c r="AW149" s="89" t="str">
        <v>GROUP_STAGE</v>
      </c>
      <c r="BE149" s="43" t="str">
        <f>IF(OR(DATA_CLEANED!AL140="",DATA_CLEANED!AM140=""),"MANQUANT",IF(OR(NOT(ISNUMBER(DATA_CLEANED!AL140)),NOT(ISNUMBER(DATA_CLEANED!AM140))),"ENTREE INVALIDE",IF(OR(DATA_CLEANED!AL140&lt;0,DATA_CLEANED!AM140&lt;0),"SCORE NEGATIF","OK")))</f>
        <v>OK</v>
      </c>
      <c r="BF149" s="43" t="str">
        <f>IF(DATA_CLEANED!AK140&lt;&gt;DATA_CLEANED!AN140,"OK","ERREUR")</f>
        <v>OK</v>
      </c>
      <c r="BG149" s="43" t="str">
        <f>IF(DATA_CLEANED!AL140&gt;DATA_CLEANED!AM140,DATA_CLEANED!AK140,IF(AND(DATA_QUALITE!W4626="-",DATA_CLEANED!AM140=DATA_CLEANED!AL140),"MATCH NUL",IF(AND(DATA_QUALITE!V4626="-",DATA_QUALITE!U4626="AUCUNE"),DATA_QUALITE!T4626,IF(DATA_QUALITE!V4626&lt;&gt;"-",DATA_QUALITE!V4626,DATA_CLEANED!AN140))))</f>
        <v>Brazil</v>
      </c>
      <c r="BH149" s="103" t="str">
        <f>IF(AND(BG149="MATCH NUL",DATA_CLEANED!AO140="-"),"MATCH_NUL",IF(ISNUMBER(SEARCH("win on penalties",W4626)),"WIN_BY_PENALTY",IF(ISNUMBER(SEARCH("win after extra time",W4626)),"WIN_BY_EXTRA_TIME",IF(ISNUMBER(SEARCH("Golden Goal",W4626)),"WIN_BY_GOLDEN_GOAL","WIN_BY_SCORE"))))</f>
        <v>WIN_BY_SCORE</v>
      </c>
      <c r="BI149" s="99" t="str">
        <f>IF(OR(BG149=DATA_CLEANED!AK140,BG149=DATA_CLEANED!AN140,BG149="MATCH NUL"),"OK","ERREUR")</f>
        <v>OK</v>
      </c>
    </row>
    <row r="150" spans="2:61">
      <c r="B150" s="74">
        <v>1990</v>
      </c>
      <c r="C150" s="30" t="str">
        <v>Semi-finals</v>
      </c>
      <c r="D150" s="30" t="str">
        <v>Argentina</v>
      </c>
      <c r="E150" s="30" t="str">
        <v>Italy</v>
      </c>
      <c r="F150" s="30" t="str">
        <v>Italy</v>
      </c>
      <c r="G150" s="30" t="str">
        <v>Aldo Serena</v>
      </c>
      <c r="H150" s="30" t="str">
        <v>Sergio Goycochea</v>
      </c>
      <c r="I150" s="30">
        <v>9</v>
      </c>
      <c r="J150" s="30">
        <v>5</v>
      </c>
      <c r="K150" s="30" t="str">
        <v>'4-3</v>
      </c>
      <c r="L150" s="30" t="str">
        <v>Yes</v>
      </c>
      <c r="M150" s="30" t="str">
        <v>Yes</v>
      </c>
      <c r="N150" s="30" t="str">
        <v>Saved</v>
      </c>
      <c r="O150" s="30" t="str">
        <f t="shared" si="20"/>
        <v>1990|Semi-finals|Argentina|Italy|Italy|Aldo Serena|Sergio Goycochea|9|5|'4-3|Yes|Yes|Saved</v>
      </c>
      <c r="P150" s="96" t="str">
        <f>IF(COUNTIF($G$32:O150,O150)&gt;1,"DOUBLON","OK")</f>
        <v>OK</v>
      </c>
      <c r="R150" s="23" t="s">
        <v>3663</v>
      </c>
      <c r="S150" s="30" t="str">
        <v>Romania</v>
      </c>
      <c r="T150" s="30" t="str">
        <f t="shared" si="17"/>
        <v>OK</v>
      </c>
      <c r="U150" s="30" t="str">
        <f t="shared" si="18"/>
        <v>-</v>
      </c>
      <c r="V150" s="30" t="str" cm="1">
        <f t="array" ref="V150">_xlfn.IFS(
ISNUMBER(SEARCH("USA",S150)),"United States",
ISNUMBER(SEARCH("Republic of Korea",S150)),"South Korea",
ISNUMBER(SEARCH("Cape Verde",S150)),"Cabo Verde",
ISNUMBER(SEARCH("Czechia",S150)),"Czech Republic",
ISNUMBER(SEARCH("Türkiye",S150)),"Turkey",
ISNUMBER(SEARCH("Ivory Coast",S150)),"Côte d'Ivoire",
ISNUMBER(SEARCH("Korea Republic",S150)),"South Korea",
ISNUMBER(SEARCH("Germany FR",S150)),"FR Germany",
ISNUMBER(SEARCH("West Germany",S150)),"FR Germany",
ISNUMBER(SEARCH("Germany DR",S150)),"DR Germany",
ISNUMBER(SEARCH("Korea DPR",S150)),"North Korea",
ISNUMBER(SEARCH("China PR",S150)),"China",
ISNUMBER(SEARCH("IR Iran",S150)),"Iran",
ISNUMBER(SEARCH("Congo DR",S150)),"Democratic Republic of the Congo",
ISNUMBER(SEARCH("DR Congo",S150)),"Democratic Republic of the Congo",
ISNUMBER(SEARCH("German DR",S150)),"DR Germany",
ISNUMBER(SEARCH("rn""&gt;United Arab Emirates",S150)),"United Arab Emirates",
ISNUMBER(SEARCH("rn""&gt;Republic of Ireland",S150)),"Ireland",
ISNUMBER(SEARCH("rn""&gt;Bosnia and Herzegovina",S150)),"Bosnia and Herzegovina",
ISNUMBER(SEARCH("rn""&gt;Trinidad and Tobago",S150)),"Trinidad and Tobago",
ISNUMBER(SEARCH("rn""&gt;Serbia and Montenegro",S150)),"Serbia and Montenegro",
ISNUMBER(SEARCH(_xlfn.UNICHAR(65533),S150)),"Côte d'Ivoire",
TRUE,""
)</f>
        <v/>
      </c>
      <c r="W150" s="30" t="str">
        <f t="shared" si="19"/>
        <v>Romania</v>
      </c>
      <c r="Z150" s="40" t="str">
        <v>Rasunda Stadium</v>
      </c>
      <c r="AA150" s="40" t="str" cm="1">
        <f t="array" ref="AA150">IFERROR(_xlfn.XLOOKUP(Z150,_xlfn.ANCHORARRAY(Z$31),AA$31:AA$37),Z150)</f>
        <v>Rasunda Stadium</v>
      </c>
      <c r="AB150" s="42" t="str">
        <v xml:space="preserve">Solna </v>
      </c>
      <c r="AC150" s="89" t="str">
        <f t="shared" si="16"/>
        <v xml:space="preserve">Solna </v>
      </c>
      <c r="AE150" s="42">
        <v>1950</v>
      </c>
      <c r="AK150" s="42">
        <v>2</v>
      </c>
      <c r="AL150" s="42">
        <v>1</v>
      </c>
      <c r="AV150" s="37" t="str">
        <v>ROUND_OF_16</v>
      </c>
      <c r="AW150" s="89" t="str">
        <v>GROUP_STAGE</v>
      </c>
      <c r="BE150" s="43" t="str">
        <f>IF(OR(DATA_CLEANED!AL141="",DATA_CLEANED!AM141=""),"MANQUANT",IF(OR(NOT(ISNUMBER(DATA_CLEANED!AL141)),NOT(ISNUMBER(DATA_CLEANED!AM141))),"ENTREE INVALIDE",IF(OR(DATA_CLEANED!AL141&lt;0,DATA_CLEANED!AM141&lt;0),"SCORE NEGATIF","OK")))</f>
        <v>OK</v>
      </c>
      <c r="BF150" s="43" t="str">
        <f>IF(DATA_CLEANED!AK141&lt;&gt;DATA_CLEANED!AN141,"OK","ERREUR")</f>
        <v>OK</v>
      </c>
      <c r="BG150" s="43" t="str">
        <f>IF(DATA_CLEANED!AL141&gt;DATA_CLEANED!AM141,DATA_CLEANED!AK141,IF(AND(DATA_QUALITE!W4627="-",DATA_CLEANED!AM141=DATA_CLEANED!AL141),"MATCH NUL",IF(AND(DATA_QUALITE!V4627="-",DATA_QUALITE!U4627="AUCUNE"),DATA_QUALITE!T4627,IF(DATA_QUALITE!V4627&lt;&gt;"-",DATA_QUALITE!V4627,DATA_CLEANED!AN141))))</f>
        <v>Argentina</v>
      </c>
      <c r="BH150" s="103" t="str">
        <f>IF(AND(BG150="MATCH NUL",DATA_CLEANED!AO141="-"),"MATCH_NUL",IF(ISNUMBER(SEARCH("win on penalties",W4627)),"WIN_BY_PENALTY",IF(ISNUMBER(SEARCH("win after extra time",W4627)),"WIN_BY_EXTRA_TIME",IF(ISNUMBER(SEARCH("Golden Goal",W4627)),"WIN_BY_GOLDEN_GOAL","WIN_BY_SCORE"))))</f>
        <v>WIN_BY_SCORE</v>
      </c>
      <c r="BI150" s="99" t="str">
        <f>IF(OR(BG150=DATA_CLEANED!AK141,BG150=DATA_CLEANED!AN141,BG150="MATCH NUL"),"OK","ERREUR")</f>
        <v>OK</v>
      </c>
    </row>
    <row r="151" spans="2:61">
      <c r="B151" s="74">
        <v>1990</v>
      </c>
      <c r="C151" s="30" t="str">
        <v>Semi-finals</v>
      </c>
      <c r="D151" s="30" t="str">
        <v>West Germany</v>
      </c>
      <c r="E151" s="30" t="str">
        <v>England</v>
      </c>
      <c r="F151" s="30" t="str">
        <v>West Germany</v>
      </c>
      <c r="G151" s="30" t="str">
        <v>Andreas Brehme</v>
      </c>
      <c r="H151" s="30" t="str">
        <v>Peter Shilton</v>
      </c>
      <c r="I151" s="30">
        <v>1</v>
      </c>
      <c r="J151" s="30">
        <v>1</v>
      </c>
      <c r="K151" s="30" t="str">
        <v>'0-0</v>
      </c>
      <c r="L151" s="30" t="str">
        <v>No</v>
      </c>
      <c r="M151" s="30" t="str">
        <v>No</v>
      </c>
      <c r="N151" s="30" t="str">
        <v>Goal</v>
      </c>
      <c r="O151" s="30" t="str">
        <f t="shared" si="20"/>
        <v>1990|Semi-finals|West Germany|England|West Germany|Andreas Brehme|Peter Shilton|1|1|'0-0|No|No|Goal</v>
      </c>
      <c r="P151" s="96" t="str">
        <f>IF(COUNTIF($G$32:O151,O151)&gt;1,"DOUBLON","OK")</f>
        <v>OK</v>
      </c>
      <c r="R151" s="23" t="s">
        <v>3745</v>
      </c>
      <c r="S151" s="30" t="str">
        <v>Romania</v>
      </c>
      <c r="T151" s="30" t="str">
        <f t="shared" si="17"/>
        <v>OK</v>
      </c>
      <c r="U151" s="30" t="str">
        <f t="shared" si="18"/>
        <v>-</v>
      </c>
      <c r="V151" s="30" t="str" cm="1">
        <f t="array" ref="V151">_xlfn.IFS(
ISNUMBER(SEARCH("USA",S151)),"United States",
ISNUMBER(SEARCH("Republic of Korea",S151)),"South Korea",
ISNUMBER(SEARCH("Cape Verde",S151)),"Cabo Verde",
ISNUMBER(SEARCH("Czechia",S151)),"Czech Republic",
ISNUMBER(SEARCH("Türkiye",S151)),"Turkey",
ISNUMBER(SEARCH("Ivory Coast",S151)),"Côte d'Ivoire",
ISNUMBER(SEARCH("Korea Republic",S151)),"South Korea",
ISNUMBER(SEARCH("Germany FR",S151)),"FR Germany",
ISNUMBER(SEARCH("West Germany",S151)),"FR Germany",
ISNUMBER(SEARCH("Germany DR",S151)),"DR Germany",
ISNUMBER(SEARCH("Korea DPR",S151)),"North Korea",
ISNUMBER(SEARCH("China PR",S151)),"China",
ISNUMBER(SEARCH("IR Iran",S151)),"Iran",
ISNUMBER(SEARCH("Congo DR",S151)),"Democratic Republic of the Congo",
ISNUMBER(SEARCH("DR Congo",S151)),"Democratic Republic of the Congo",
ISNUMBER(SEARCH("German DR",S151)),"DR Germany",
ISNUMBER(SEARCH("rn""&gt;United Arab Emirates",S151)),"United Arab Emirates",
ISNUMBER(SEARCH("rn""&gt;Republic of Ireland",S151)),"Ireland",
ISNUMBER(SEARCH("rn""&gt;Bosnia and Herzegovina",S151)),"Bosnia and Herzegovina",
ISNUMBER(SEARCH("rn""&gt;Trinidad and Tobago",S151)),"Trinidad and Tobago",
ISNUMBER(SEARCH("rn""&gt;Serbia and Montenegro",S151)),"Serbia and Montenegro",
ISNUMBER(SEARCH(_xlfn.UNICHAR(65533),S151)),"Côte d'Ivoire",
TRUE,""
)</f>
        <v/>
      </c>
      <c r="W151" s="30" t="str">
        <f t="shared" si="19"/>
        <v>Romania</v>
      </c>
      <c r="Z151" s="40" t="str">
        <v>Idrottsparken</v>
      </c>
      <c r="AA151" s="40" t="str" cm="1">
        <f t="array" ref="AA151">IFERROR(_xlfn.XLOOKUP(Z151,_xlfn.ANCHORARRAY(Z$31),AA$31:AA$37),Z151)</f>
        <v>Idrottsparken</v>
      </c>
      <c r="AB151" s="42" t="str">
        <v xml:space="preserve">Norrk�Ping </v>
      </c>
      <c r="AC151" s="89" t="str">
        <f t="shared" si="16"/>
        <v>Norrköping</v>
      </c>
      <c r="AE151" s="42">
        <v>1950</v>
      </c>
      <c r="AK151" s="42">
        <v>5</v>
      </c>
      <c r="AL151" s="42">
        <v>2</v>
      </c>
      <c r="AV151" s="37" t="str">
        <v>ROUND_OF_16</v>
      </c>
      <c r="AW151" s="89" t="str">
        <v>GROUP_STAGE</v>
      </c>
      <c r="BE151" s="43" t="str">
        <f>IF(OR(DATA_CLEANED!AL142="",DATA_CLEANED!AM142=""),"MANQUANT",IF(OR(NOT(ISNUMBER(DATA_CLEANED!AL142)),NOT(ISNUMBER(DATA_CLEANED!AM142))),"ENTREE INVALIDE",IF(OR(DATA_CLEANED!AL142&lt;0,DATA_CLEANED!AM142&lt;0),"SCORE NEGATIF","OK")))</f>
        <v>OK</v>
      </c>
      <c r="BF151" s="43" t="str">
        <f>IF(DATA_CLEANED!AK142&lt;&gt;DATA_CLEANED!AN142,"OK","ERREUR")</f>
        <v>OK</v>
      </c>
      <c r="BG151" s="43" t="str">
        <f>IF(DATA_CLEANED!AL142&gt;DATA_CLEANED!AM142,DATA_CLEANED!AK142,IF(AND(DATA_QUALITE!W4628="-",DATA_CLEANED!AM142=DATA_CLEANED!AL142),"MATCH NUL",IF(AND(DATA_QUALITE!V4628="-",DATA_QUALITE!U4628="AUCUNE"),DATA_QUALITE!T4628,IF(DATA_QUALITE!V4628&lt;&gt;"-",DATA_QUALITE!V4628,DATA_CLEANED!AN142))))</f>
        <v>Chile</v>
      </c>
      <c r="BH151" s="103" t="str">
        <f>IF(AND(BG151="MATCH NUL",DATA_CLEANED!AO142="-"),"MATCH_NUL",IF(ISNUMBER(SEARCH("win on penalties",W4628)),"WIN_BY_PENALTY",IF(ISNUMBER(SEARCH("win after extra time",W4628)),"WIN_BY_EXTRA_TIME",IF(ISNUMBER(SEARCH("Golden Goal",W4628)),"WIN_BY_GOLDEN_GOAL","WIN_BY_SCORE"))))</f>
        <v>WIN_BY_SCORE</v>
      </c>
      <c r="BI151" s="99" t="str">
        <f>IF(OR(BG151=DATA_CLEANED!AK142,BG151=DATA_CLEANED!AN142,BG151="MATCH NUL"),"OK","ERREUR")</f>
        <v>OK</v>
      </c>
    </row>
    <row r="152" spans="2:61">
      <c r="B152" s="74">
        <v>1990</v>
      </c>
      <c r="C152" s="30" t="str">
        <v>Semi-finals</v>
      </c>
      <c r="D152" s="30" t="str">
        <v>West Germany</v>
      </c>
      <c r="E152" s="30" t="str">
        <v>England</v>
      </c>
      <c r="F152" s="30" t="str">
        <v>England</v>
      </c>
      <c r="G152" s="30" t="str">
        <v>Gary Lineker</v>
      </c>
      <c r="H152" s="30" t="str">
        <v>Bodo Illgner</v>
      </c>
      <c r="I152" s="30">
        <v>2</v>
      </c>
      <c r="J152" s="30">
        <v>1</v>
      </c>
      <c r="K152" s="30" t="str">
        <v>'1-0</v>
      </c>
      <c r="L152" s="30" t="str">
        <v>No</v>
      </c>
      <c r="M152" s="30" t="str">
        <v>No</v>
      </c>
      <c r="N152" s="30" t="str">
        <v>Goal</v>
      </c>
      <c r="O152" s="30" t="str">
        <f t="shared" si="20"/>
        <v>1990|Semi-finals|West Germany|England|England|Gary Lineker|Bodo Illgner|2|1|'1-0|No|No|Goal</v>
      </c>
      <c r="P152" s="96" t="str">
        <f>IF(COUNTIF($G$32:O152,O152)&gt;1,"DOUBLON","OK")</f>
        <v>OK</v>
      </c>
      <c r="R152" s="23" t="s">
        <v>28</v>
      </c>
      <c r="S152" s="30" t="str">
        <v>Romania</v>
      </c>
      <c r="T152" s="30" t="str">
        <f t="shared" si="17"/>
        <v>OK</v>
      </c>
      <c r="U152" s="30" t="str">
        <f t="shared" si="18"/>
        <v>-</v>
      </c>
      <c r="V152" s="30" t="str" cm="1">
        <f t="array" ref="V152">_xlfn.IFS(
ISNUMBER(SEARCH("USA",S152)),"United States",
ISNUMBER(SEARCH("Republic of Korea",S152)),"South Korea",
ISNUMBER(SEARCH("Cape Verde",S152)),"Cabo Verde",
ISNUMBER(SEARCH("Czechia",S152)),"Czech Republic",
ISNUMBER(SEARCH("Türkiye",S152)),"Turkey",
ISNUMBER(SEARCH("Ivory Coast",S152)),"Côte d'Ivoire",
ISNUMBER(SEARCH("Korea Republic",S152)),"South Korea",
ISNUMBER(SEARCH("Germany FR",S152)),"FR Germany",
ISNUMBER(SEARCH("West Germany",S152)),"FR Germany",
ISNUMBER(SEARCH("Germany DR",S152)),"DR Germany",
ISNUMBER(SEARCH("Korea DPR",S152)),"North Korea",
ISNUMBER(SEARCH("China PR",S152)),"China",
ISNUMBER(SEARCH("IR Iran",S152)),"Iran",
ISNUMBER(SEARCH("Congo DR",S152)),"Democratic Republic of the Congo",
ISNUMBER(SEARCH("DR Congo",S152)),"Democratic Republic of the Congo",
ISNUMBER(SEARCH("German DR",S152)),"DR Germany",
ISNUMBER(SEARCH("rn""&gt;United Arab Emirates",S152)),"United Arab Emirates",
ISNUMBER(SEARCH("rn""&gt;Republic of Ireland",S152)),"Ireland",
ISNUMBER(SEARCH("rn""&gt;Bosnia and Herzegovina",S152)),"Bosnia and Herzegovina",
ISNUMBER(SEARCH("rn""&gt;Trinidad and Tobago",S152)),"Trinidad and Tobago",
ISNUMBER(SEARCH("rn""&gt;Serbia and Montenegro",S152)),"Serbia and Montenegro",
ISNUMBER(SEARCH(_xlfn.UNICHAR(65533),S152)),"Côte d'Ivoire",
TRUE,""
)</f>
        <v/>
      </c>
      <c r="W152" s="30" t="str">
        <f t="shared" si="19"/>
        <v>Romania</v>
      </c>
      <c r="Z152" s="40" t="str">
        <v>Arosvallen</v>
      </c>
      <c r="AA152" s="40" t="str" cm="1">
        <f t="array" ref="AA152">IFERROR(_xlfn.XLOOKUP(Z152,_xlfn.ANCHORARRAY(Z$31),AA$31:AA$37),Z152)</f>
        <v>Arosvallen</v>
      </c>
      <c r="AB152" s="42" t="str">
        <v xml:space="preserve">Vasteras </v>
      </c>
      <c r="AC152" s="89" t="str">
        <f t="shared" si="16"/>
        <v xml:space="preserve">Vasteras </v>
      </c>
      <c r="AE152" s="42">
        <v>1950</v>
      </c>
      <c r="AK152" s="42">
        <v>2</v>
      </c>
      <c r="AL152" s="42">
        <v>2</v>
      </c>
      <c r="AV152" s="37" t="str">
        <v>ROUND_OF_16</v>
      </c>
      <c r="AW152" s="89" t="str">
        <v>GROUP_STAGE</v>
      </c>
      <c r="BE152" s="43" t="str">
        <f>IF(OR(DATA_CLEANED!AL143="",DATA_CLEANED!AM143=""),"MANQUANT",IF(OR(NOT(ISNUMBER(DATA_CLEANED!AL143)),NOT(ISNUMBER(DATA_CLEANED!AM143))),"ENTREE INVALIDE",IF(OR(DATA_CLEANED!AL143&lt;0,DATA_CLEANED!AM143&lt;0),"SCORE NEGATIF","OK")))</f>
        <v>OK</v>
      </c>
      <c r="BF152" s="43" t="str">
        <f>IF(DATA_CLEANED!AK143&lt;&gt;DATA_CLEANED!AN143,"OK","ERREUR")</f>
        <v>OK</v>
      </c>
      <c r="BG152" s="43" t="str">
        <f>IF(DATA_CLEANED!AL143&gt;DATA_CLEANED!AM143,DATA_CLEANED!AK143,IF(AND(DATA_QUALITE!W4629="-",DATA_CLEANED!AM143=DATA_CLEANED!AL143),"MATCH NUL",IF(AND(DATA_QUALITE!V4629="-",DATA_QUALITE!U4629="AUCUNE"),DATA_QUALITE!T4629,IF(DATA_QUALITE!V4629&lt;&gt;"-",DATA_QUALITE!V4629,DATA_CLEANED!AN143))))</f>
        <v>Soviet Union</v>
      </c>
      <c r="BH152" s="103" t="str">
        <f>IF(AND(BG152="MATCH NUL",DATA_CLEANED!AO143="-"),"MATCH_NUL",IF(ISNUMBER(SEARCH("win on penalties",W4629)),"WIN_BY_PENALTY",IF(ISNUMBER(SEARCH("win after extra time",W4629)),"WIN_BY_EXTRA_TIME",IF(ISNUMBER(SEARCH("Golden Goal",W4629)),"WIN_BY_GOLDEN_GOAL","WIN_BY_SCORE"))))</f>
        <v>WIN_BY_SCORE</v>
      </c>
      <c r="BI152" s="99" t="str">
        <f>IF(OR(BG152=DATA_CLEANED!AK143,BG152=DATA_CLEANED!AN143,BG152="MATCH NUL"),"OK","ERREUR")</f>
        <v>OK</v>
      </c>
    </row>
    <row r="153" spans="2:61">
      <c r="B153" s="74">
        <v>1990</v>
      </c>
      <c r="C153" s="30" t="str">
        <v>Semi-finals</v>
      </c>
      <c r="D153" s="30" t="str">
        <v>West Germany</v>
      </c>
      <c r="E153" s="30" t="str">
        <v>England</v>
      </c>
      <c r="F153" s="30" t="str">
        <v>West Germany</v>
      </c>
      <c r="G153" s="30" t="str">
        <v>Lothar Matthäus</v>
      </c>
      <c r="H153" s="30" t="str">
        <v>Peter Shilton</v>
      </c>
      <c r="I153" s="30">
        <v>3</v>
      </c>
      <c r="J153" s="30">
        <v>2</v>
      </c>
      <c r="K153" s="30" t="str">
        <v>'1-1</v>
      </c>
      <c r="L153" s="30" t="str">
        <v>No</v>
      </c>
      <c r="M153" s="30" t="str">
        <v>No</v>
      </c>
      <c r="N153" s="30" t="str">
        <v>Goal</v>
      </c>
      <c r="O153" s="30" t="str">
        <f t="shared" si="20"/>
        <v>1990|Semi-finals|West Germany|England|West Germany|Lothar Matthäus|Peter Shilton|3|2|'1-1|No|No|Goal</v>
      </c>
      <c r="P153" s="96" t="str">
        <f>IF(COUNTIF($G$32:O153,O153)&gt;1,"DOUBLON","OK")</f>
        <v>OK</v>
      </c>
      <c r="R153" s="23" t="s">
        <v>3664</v>
      </c>
      <c r="S153" s="30" t="str">
        <v>Romania</v>
      </c>
      <c r="T153" s="30" t="str">
        <f t="shared" si="17"/>
        <v>OK</v>
      </c>
      <c r="U153" s="30" t="str">
        <f t="shared" si="18"/>
        <v>-</v>
      </c>
      <c r="V153" s="30" t="str" cm="1">
        <f t="array" ref="V153">_xlfn.IFS(
ISNUMBER(SEARCH("USA",S153)),"United States",
ISNUMBER(SEARCH("Republic of Korea",S153)),"South Korea",
ISNUMBER(SEARCH("Cape Verde",S153)),"Cabo Verde",
ISNUMBER(SEARCH("Czechia",S153)),"Czech Republic",
ISNUMBER(SEARCH("Türkiye",S153)),"Turkey",
ISNUMBER(SEARCH("Ivory Coast",S153)),"Côte d'Ivoire",
ISNUMBER(SEARCH("Korea Republic",S153)),"South Korea",
ISNUMBER(SEARCH("Germany FR",S153)),"FR Germany",
ISNUMBER(SEARCH("West Germany",S153)),"FR Germany",
ISNUMBER(SEARCH("Germany DR",S153)),"DR Germany",
ISNUMBER(SEARCH("Korea DPR",S153)),"North Korea",
ISNUMBER(SEARCH("China PR",S153)),"China",
ISNUMBER(SEARCH("IR Iran",S153)),"Iran",
ISNUMBER(SEARCH("Congo DR",S153)),"Democratic Republic of the Congo",
ISNUMBER(SEARCH("DR Congo",S153)),"Democratic Republic of the Congo",
ISNUMBER(SEARCH("German DR",S153)),"DR Germany",
ISNUMBER(SEARCH("rn""&gt;United Arab Emirates",S153)),"United Arab Emirates",
ISNUMBER(SEARCH("rn""&gt;Republic of Ireland",S153)),"Ireland",
ISNUMBER(SEARCH("rn""&gt;Bosnia and Herzegovina",S153)),"Bosnia and Herzegovina",
ISNUMBER(SEARCH("rn""&gt;Trinidad and Tobago",S153)),"Trinidad and Tobago",
ISNUMBER(SEARCH("rn""&gt;Serbia and Montenegro",S153)),"Serbia and Montenegro",
ISNUMBER(SEARCH(_xlfn.UNICHAR(65533),S153)),"Côte d'Ivoire",
TRUE,""
)</f>
        <v/>
      </c>
      <c r="W153" s="30" t="str">
        <f t="shared" si="19"/>
        <v>Romania</v>
      </c>
      <c r="Z153" s="40" t="str">
        <v>Ryavallen</v>
      </c>
      <c r="AA153" s="40" t="str" cm="1">
        <f t="array" ref="AA153">IFERROR(_xlfn.XLOOKUP(Z153,_xlfn.ANCHORARRAY(Z$31),AA$31:AA$37),Z153)</f>
        <v>Ryavallen</v>
      </c>
      <c r="AB153" s="42" t="str">
        <v xml:space="preserve">Boras </v>
      </c>
      <c r="AC153" s="89" t="str">
        <f t="shared" si="16"/>
        <v xml:space="preserve">Boras </v>
      </c>
      <c r="AE153" s="42">
        <v>1950</v>
      </c>
      <c r="AK153" s="42">
        <v>7</v>
      </c>
      <c r="AL153" s="42">
        <v>1</v>
      </c>
      <c r="AV153" s="37" t="str">
        <v>ROUND_OF_16</v>
      </c>
      <c r="AW153" s="89" t="str">
        <v>GROUP_STAGE</v>
      </c>
      <c r="BE153" s="43" t="str">
        <f>IF(OR(DATA_CLEANED!AL144="",DATA_CLEANED!AM144=""),"MANQUANT",IF(OR(NOT(ISNUMBER(DATA_CLEANED!AL144)),NOT(ISNUMBER(DATA_CLEANED!AM144))),"ENTREE INVALIDE",IF(OR(DATA_CLEANED!AL144&lt;0,DATA_CLEANED!AM144&lt;0),"SCORE NEGATIF","OK")))</f>
        <v>OK</v>
      </c>
      <c r="BF153" s="43" t="str">
        <f>IF(DATA_CLEANED!AK144&lt;&gt;DATA_CLEANED!AN144,"OK","ERREUR")</f>
        <v>OK</v>
      </c>
      <c r="BG153" s="43" t="str">
        <f>IF(DATA_CLEANED!AL144&gt;DATA_CLEANED!AM144,DATA_CLEANED!AK144,IF(AND(DATA_QUALITE!W4630="-",DATA_CLEANED!AM144=DATA_CLEANED!AL144),"MATCH NUL",IF(AND(DATA_QUALITE!V4630="-",DATA_QUALITE!U4630="AUCUNE"),DATA_QUALITE!T4630,IF(DATA_QUALITE!V4630&lt;&gt;"-",DATA_QUALITE!V4630,DATA_CLEANED!AN144))))</f>
        <v>Czechoslovakia</v>
      </c>
      <c r="BH153" s="103" t="str">
        <f>IF(AND(BG153="MATCH NUL",DATA_CLEANED!AO144="-"),"MATCH_NUL",IF(ISNUMBER(SEARCH("win on penalties",W4630)),"WIN_BY_PENALTY",IF(ISNUMBER(SEARCH("win after extra time",W4630)),"WIN_BY_EXTRA_TIME",IF(ISNUMBER(SEARCH("Golden Goal",W4630)),"WIN_BY_GOLDEN_GOAL","WIN_BY_SCORE"))))</f>
        <v>WIN_BY_SCORE</v>
      </c>
      <c r="BI153" s="99" t="str">
        <f>IF(OR(BG153=DATA_CLEANED!AK144,BG153=DATA_CLEANED!AN144,BG153="MATCH NUL"),"OK","ERREUR")</f>
        <v>OK</v>
      </c>
    </row>
    <row r="154" spans="2:61">
      <c r="B154" s="74">
        <v>1990</v>
      </c>
      <c r="C154" s="30" t="str">
        <v>Semi-finals</v>
      </c>
      <c r="D154" s="30" t="str">
        <v>West Germany</v>
      </c>
      <c r="E154" s="30" t="str">
        <v>England</v>
      </c>
      <c r="F154" s="30" t="str">
        <v>England</v>
      </c>
      <c r="G154" s="30" t="str">
        <v>Peter Beardsley</v>
      </c>
      <c r="H154" s="30" t="str">
        <v>Bodo Illgner</v>
      </c>
      <c r="I154" s="30">
        <v>4</v>
      </c>
      <c r="J154" s="30">
        <v>2</v>
      </c>
      <c r="K154" s="30" t="str">
        <v>'1-2</v>
      </c>
      <c r="L154" s="30" t="str">
        <v>No</v>
      </c>
      <c r="M154" s="30" t="str">
        <v>No</v>
      </c>
      <c r="N154" s="30" t="str">
        <v>Goal</v>
      </c>
      <c r="O154" s="30" t="str">
        <f t="shared" si="20"/>
        <v>1990|Semi-finals|West Germany|England|England|Peter Beardsley|Bodo Illgner|4|2|'1-2|No|No|Goal</v>
      </c>
      <c r="P154" s="96" t="str">
        <f>IF(COUNTIF($G$32:O154,O154)&gt;1,"DOUBLON","OK")</f>
        <v>OK</v>
      </c>
      <c r="R154" s="23" t="s">
        <v>3665</v>
      </c>
      <c r="S154" s="30" t="str">
        <v>Romania</v>
      </c>
      <c r="T154" s="30" t="str">
        <f t="shared" si="17"/>
        <v>OK</v>
      </c>
      <c r="U154" s="30" t="str">
        <f t="shared" si="18"/>
        <v>-</v>
      </c>
      <c r="V154" s="30" t="str" cm="1">
        <f t="array" ref="V154">_xlfn.IFS(
ISNUMBER(SEARCH("USA",S154)),"United States",
ISNUMBER(SEARCH("Republic of Korea",S154)),"South Korea",
ISNUMBER(SEARCH("Cape Verde",S154)),"Cabo Verde",
ISNUMBER(SEARCH("Czechia",S154)),"Czech Republic",
ISNUMBER(SEARCH("Türkiye",S154)),"Turkey",
ISNUMBER(SEARCH("Ivory Coast",S154)),"Côte d'Ivoire",
ISNUMBER(SEARCH("Korea Republic",S154)),"South Korea",
ISNUMBER(SEARCH("Germany FR",S154)),"FR Germany",
ISNUMBER(SEARCH("West Germany",S154)),"FR Germany",
ISNUMBER(SEARCH("Germany DR",S154)),"DR Germany",
ISNUMBER(SEARCH("Korea DPR",S154)),"North Korea",
ISNUMBER(SEARCH("China PR",S154)),"China",
ISNUMBER(SEARCH("IR Iran",S154)),"Iran",
ISNUMBER(SEARCH("Congo DR",S154)),"Democratic Republic of the Congo",
ISNUMBER(SEARCH("DR Congo",S154)),"Democratic Republic of the Congo",
ISNUMBER(SEARCH("German DR",S154)),"DR Germany",
ISNUMBER(SEARCH("rn""&gt;United Arab Emirates",S154)),"United Arab Emirates",
ISNUMBER(SEARCH("rn""&gt;Republic of Ireland",S154)),"Ireland",
ISNUMBER(SEARCH("rn""&gt;Bosnia and Herzegovina",S154)),"Bosnia and Herzegovina",
ISNUMBER(SEARCH("rn""&gt;Trinidad and Tobago",S154)),"Trinidad and Tobago",
ISNUMBER(SEARCH("rn""&gt;Serbia and Montenegro",S154)),"Serbia and Montenegro",
ISNUMBER(SEARCH(_xlfn.UNICHAR(65533),S154)),"Côte d'Ivoire",
TRUE,""
)</f>
        <v/>
      </c>
      <c r="W154" s="30" t="str">
        <f t="shared" si="19"/>
        <v>Romania</v>
      </c>
      <c r="Z154" s="40" t="str">
        <v>Olympia Stadium</v>
      </c>
      <c r="AA154" s="40" t="str" cm="1">
        <f t="array" ref="AA154">IFERROR(_xlfn.XLOOKUP(Z154,_xlfn.ANCHORARRAY(Z$31),AA$31:AA$37),Z154)</f>
        <v>Olympia Stadium</v>
      </c>
      <c r="AB154" s="42" t="str">
        <v xml:space="preserve">Helsingborg </v>
      </c>
      <c r="AC154" s="89" t="str">
        <f t="shared" si="16"/>
        <v xml:space="preserve">Helsingborg </v>
      </c>
      <c r="AE154" s="42">
        <v>1950</v>
      </c>
      <c r="AK154" s="42">
        <v>6</v>
      </c>
      <c r="AL154" s="42">
        <v>1</v>
      </c>
      <c r="AV154" s="37" t="str">
        <v>QUARTER_FINALS</v>
      </c>
      <c r="AW154" s="89" t="str">
        <v>GROUP_STAGE</v>
      </c>
      <c r="BE154" s="43" t="str">
        <f>IF(OR(DATA_CLEANED!AL145="",DATA_CLEANED!AM145=""),"MANQUANT",IF(OR(NOT(ISNUMBER(DATA_CLEANED!AL145)),NOT(ISNUMBER(DATA_CLEANED!AM145))),"ENTREE INVALIDE",IF(OR(DATA_CLEANED!AL145&lt;0,DATA_CLEANED!AM145&lt;0),"SCORE NEGATIF","OK")))</f>
        <v>OK</v>
      </c>
      <c r="BF154" s="43" t="str">
        <f>IF(DATA_CLEANED!AK145&lt;&gt;DATA_CLEANED!AN145,"OK","ERREUR")</f>
        <v>OK</v>
      </c>
      <c r="BG154" s="43" t="str">
        <f>IF(DATA_CLEANED!AL145&gt;DATA_CLEANED!AM145,DATA_CLEANED!AK145,IF(AND(DATA_QUALITE!W4631="-",DATA_CLEANED!AM145=DATA_CLEANED!AL145),"MATCH NUL",IF(AND(DATA_QUALITE!V4631="-",DATA_QUALITE!U4631="AUCUNE"),DATA_QUALITE!T4631,IF(DATA_QUALITE!V4631&lt;&gt;"-",DATA_QUALITE!V4631,DATA_CLEANED!AN145))))</f>
        <v>Hungary</v>
      </c>
      <c r="BH154" s="103" t="str">
        <f>IF(AND(BG154="MATCH NUL",DATA_CLEANED!AO145="-"),"MATCH_NUL",IF(ISNUMBER(SEARCH("win on penalties",W4631)),"WIN_BY_PENALTY",IF(ISNUMBER(SEARCH("win after extra time",W4631)),"WIN_BY_EXTRA_TIME",IF(ISNUMBER(SEARCH("Golden Goal",W4631)),"WIN_BY_GOLDEN_GOAL","WIN_BY_SCORE"))))</f>
        <v>WIN_BY_SCORE</v>
      </c>
      <c r="BI154" s="99" t="str">
        <f>IF(OR(BG154=DATA_CLEANED!AK145,BG154=DATA_CLEANED!AN145,BG154="MATCH NUL"),"OK","ERREUR")</f>
        <v>OK</v>
      </c>
    </row>
    <row r="155" spans="2:61">
      <c r="B155" s="74">
        <v>1990</v>
      </c>
      <c r="C155" s="30" t="str">
        <v>Semi-finals</v>
      </c>
      <c r="D155" s="30" t="str">
        <v>West Germany</v>
      </c>
      <c r="E155" s="30" t="str">
        <v>England</v>
      </c>
      <c r="F155" s="30" t="str">
        <v>West Germany</v>
      </c>
      <c r="G155" s="30" t="str">
        <v>Karl-Heinz Riedle</v>
      </c>
      <c r="H155" s="30" t="str">
        <v>Peter Shilton</v>
      </c>
      <c r="I155" s="30">
        <v>5</v>
      </c>
      <c r="J155" s="30">
        <v>3</v>
      </c>
      <c r="K155" s="30" t="str">
        <v>'2-2</v>
      </c>
      <c r="L155" s="30" t="str">
        <v>No</v>
      </c>
      <c r="M155" s="30" t="str">
        <v>No</v>
      </c>
      <c r="N155" s="30" t="str">
        <v>Goal</v>
      </c>
      <c r="O155" s="30" t="str">
        <f t="shared" si="20"/>
        <v>1990|Semi-finals|West Germany|England|West Germany|Karl-Heinz Riedle|Peter Shilton|5|3|'2-2|No|No|Goal</v>
      </c>
      <c r="P155" s="96" t="str">
        <f>IF(COUNTIF($G$32:O155,O155)&gt;1,"DOUBLON","OK")</f>
        <v>OK</v>
      </c>
      <c r="R155" s="23" t="s">
        <v>960</v>
      </c>
      <c r="S155" s="30" t="str">
        <v>Romania</v>
      </c>
      <c r="T155" s="30" t="str">
        <f t="shared" si="17"/>
        <v>OK</v>
      </c>
      <c r="U155" s="30" t="str">
        <f t="shared" si="18"/>
        <v>-</v>
      </c>
      <c r="V155" s="30" t="str" cm="1">
        <f t="array" ref="V155">_xlfn.IFS(
ISNUMBER(SEARCH("USA",S155)),"United States",
ISNUMBER(SEARCH("Republic of Korea",S155)),"South Korea",
ISNUMBER(SEARCH("Cape Verde",S155)),"Cabo Verde",
ISNUMBER(SEARCH("Czechia",S155)),"Czech Republic",
ISNUMBER(SEARCH("Türkiye",S155)),"Turkey",
ISNUMBER(SEARCH("Ivory Coast",S155)),"Côte d'Ivoire",
ISNUMBER(SEARCH("Korea Republic",S155)),"South Korea",
ISNUMBER(SEARCH("Germany FR",S155)),"FR Germany",
ISNUMBER(SEARCH("West Germany",S155)),"FR Germany",
ISNUMBER(SEARCH("Germany DR",S155)),"DR Germany",
ISNUMBER(SEARCH("Korea DPR",S155)),"North Korea",
ISNUMBER(SEARCH("China PR",S155)),"China",
ISNUMBER(SEARCH("IR Iran",S155)),"Iran",
ISNUMBER(SEARCH("Congo DR",S155)),"Democratic Republic of the Congo",
ISNUMBER(SEARCH("DR Congo",S155)),"Democratic Republic of the Congo",
ISNUMBER(SEARCH("German DR",S155)),"DR Germany",
ISNUMBER(SEARCH("rn""&gt;United Arab Emirates",S155)),"United Arab Emirates",
ISNUMBER(SEARCH("rn""&gt;Republic of Ireland",S155)),"Ireland",
ISNUMBER(SEARCH("rn""&gt;Bosnia and Herzegovina",S155)),"Bosnia and Herzegovina",
ISNUMBER(SEARCH("rn""&gt;Trinidad and Tobago",S155)),"Trinidad and Tobago",
ISNUMBER(SEARCH("rn""&gt;Serbia and Montenegro",S155)),"Serbia and Montenegro",
ISNUMBER(SEARCH(_xlfn.UNICHAR(65533),S155)),"Côte d'Ivoire",
TRUE,""
)</f>
        <v/>
      </c>
      <c r="W155" s="30" t="str">
        <f t="shared" si="19"/>
        <v>Romania</v>
      </c>
      <c r="Z155" s="40" t="str">
        <v>Orjans Vall</v>
      </c>
      <c r="AA155" s="40" t="str" cm="1">
        <f t="array" ref="AA155">IFERROR(_xlfn.XLOOKUP(Z155,_xlfn.ANCHORARRAY(Z$31),AA$31:AA$37),Z155)</f>
        <v>Orjans Vall</v>
      </c>
      <c r="AB155" s="42" t="str">
        <v xml:space="preserve">Halmstad </v>
      </c>
      <c r="AC155" s="89" t="str">
        <f t="shared" si="16"/>
        <v xml:space="preserve">Halmstad </v>
      </c>
      <c r="AE155" s="42">
        <v>1950</v>
      </c>
      <c r="AK155" s="42">
        <v>3</v>
      </c>
      <c r="AL155" s="42">
        <v>2</v>
      </c>
      <c r="AV155" s="37" t="str">
        <v>QUARTER_FINALS</v>
      </c>
      <c r="AW155" s="89" t="str">
        <v>GROUP_STAGE</v>
      </c>
      <c r="BE155" s="43" t="str">
        <f>IF(OR(DATA_CLEANED!AL146="",DATA_CLEANED!AM146=""),"MANQUANT",IF(OR(NOT(ISNUMBER(DATA_CLEANED!AL146)),NOT(ISNUMBER(DATA_CLEANED!AM146))),"ENTREE INVALIDE",IF(OR(DATA_CLEANED!AL146&lt;0,DATA_CLEANED!AM146&lt;0),"SCORE NEGATIF","OK")))</f>
        <v>OK</v>
      </c>
      <c r="BF155" s="43" t="str">
        <f>IF(DATA_CLEANED!AK146&lt;&gt;DATA_CLEANED!AN146,"OK","ERREUR")</f>
        <v>OK</v>
      </c>
      <c r="BG155" s="43" t="str">
        <f>IF(DATA_CLEANED!AL146&gt;DATA_CLEANED!AM146,DATA_CLEANED!AK146,IF(AND(DATA_QUALITE!W4632="-",DATA_CLEANED!AM146=DATA_CLEANED!AL146),"MATCH NUL",IF(AND(DATA_QUALITE!V4632="-",DATA_QUALITE!U4632="AUCUNE"),DATA_QUALITE!T4632,IF(DATA_QUALITE!V4632&lt;&gt;"-",DATA_QUALITE!V4632,DATA_CLEANED!AN146))))</f>
        <v>MATCH NUL</v>
      </c>
      <c r="BH155" s="103" t="str">
        <f>IF(AND(BG155="MATCH NUL",DATA_CLEANED!AO146="-"),"MATCH_NUL",IF(ISNUMBER(SEARCH("win on penalties",W4632)),"WIN_BY_PENALTY",IF(ISNUMBER(SEARCH("win after extra time",W4632)),"WIN_BY_EXTRA_TIME",IF(ISNUMBER(SEARCH("Golden Goal",W4632)),"WIN_BY_GOLDEN_GOAL","WIN_BY_SCORE"))))</f>
        <v>MATCH_NUL</v>
      </c>
      <c r="BI155" s="99" t="str">
        <f>IF(OR(BG155=DATA_CLEANED!AK146,BG155=DATA_CLEANED!AN146,BG155="MATCH NUL"),"OK","ERREUR")</f>
        <v>OK</v>
      </c>
    </row>
    <row r="156" spans="2:61">
      <c r="B156" s="74">
        <v>1990</v>
      </c>
      <c r="C156" s="30" t="str">
        <v>Semi-finals</v>
      </c>
      <c r="D156" s="30" t="str">
        <v>West Germany</v>
      </c>
      <c r="E156" s="30" t="str">
        <v>England</v>
      </c>
      <c r="F156" s="30" t="str">
        <v>England</v>
      </c>
      <c r="G156" s="30" t="str">
        <v>David Platt</v>
      </c>
      <c r="H156" s="30" t="str">
        <v>Bodo Illgner</v>
      </c>
      <c r="I156" s="30">
        <v>6</v>
      </c>
      <c r="J156" s="30">
        <v>3</v>
      </c>
      <c r="K156" s="30" t="str">
        <v>'2-3</v>
      </c>
      <c r="L156" s="30" t="str">
        <v>No</v>
      </c>
      <c r="M156" s="30" t="str">
        <v>No</v>
      </c>
      <c r="N156" s="30" t="str">
        <v>Goal</v>
      </c>
      <c r="O156" s="30" t="str">
        <f t="shared" si="20"/>
        <v>1990|Semi-finals|West Germany|England|England|David Platt|Bodo Illgner|6|3|'2-3|No|No|Goal</v>
      </c>
      <c r="P156" s="96" t="str">
        <f>IF(COUNTIF($G$32:O156,O156)&gt;1,"DOUBLON","OK")</f>
        <v>OK</v>
      </c>
      <c r="R156" s="23" t="s">
        <v>3666</v>
      </c>
      <c r="S156" s="30" t="str">
        <v>Romania</v>
      </c>
      <c r="T156" s="30" t="str">
        <f t="shared" si="17"/>
        <v>OK</v>
      </c>
      <c r="U156" s="30" t="str">
        <f t="shared" si="18"/>
        <v>-</v>
      </c>
      <c r="V156" s="30" t="str" cm="1">
        <f t="array" ref="V156">_xlfn.IFS(
ISNUMBER(SEARCH("USA",S156)),"United States",
ISNUMBER(SEARCH("Republic of Korea",S156)),"South Korea",
ISNUMBER(SEARCH("Cape Verde",S156)),"Cabo Verde",
ISNUMBER(SEARCH("Czechia",S156)),"Czech Republic",
ISNUMBER(SEARCH("Türkiye",S156)),"Turkey",
ISNUMBER(SEARCH("Ivory Coast",S156)),"Côte d'Ivoire",
ISNUMBER(SEARCH("Korea Republic",S156)),"South Korea",
ISNUMBER(SEARCH("Germany FR",S156)),"FR Germany",
ISNUMBER(SEARCH("West Germany",S156)),"FR Germany",
ISNUMBER(SEARCH("Germany DR",S156)),"DR Germany",
ISNUMBER(SEARCH("Korea DPR",S156)),"North Korea",
ISNUMBER(SEARCH("China PR",S156)),"China",
ISNUMBER(SEARCH("IR Iran",S156)),"Iran",
ISNUMBER(SEARCH("Congo DR",S156)),"Democratic Republic of the Congo",
ISNUMBER(SEARCH("DR Congo",S156)),"Democratic Republic of the Congo",
ISNUMBER(SEARCH("German DR",S156)),"DR Germany",
ISNUMBER(SEARCH("rn""&gt;United Arab Emirates",S156)),"United Arab Emirates",
ISNUMBER(SEARCH("rn""&gt;Republic of Ireland",S156)),"Ireland",
ISNUMBER(SEARCH("rn""&gt;Bosnia and Herzegovina",S156)),"Bosnia and Herzegovina",
ISNUMBER(SEARCH("rn""&gt;Trinidad and Tobago",S156)),"Trinidad and Tobago",
ISNUMBER(SEARCH("rn""&gt;Serbia and Montenegro",S156)),"Serbia and Montenegro",
ISNUMBER(SEARCH(_xlfn.UNICHAR(65533),S156)),"Côte d'Ivoire",
TRUE,""
)</f>
        <v/>
      </c>
      <c r="W156" s="30" t="str">
        <f t="shared" si="19"/>
        <v>Romania</v>
      </c>
      <c r="Z156" s="40" t="str">
        <v>Rasunda Stadium</v>
      </c>
      <c r="AA156" s="40" t="str" cm="1">
        <f t="array" ref="AA156">IFERROR(_xlfn.XLOOKUP(Z156,_xlfn.ANCHORARRAY(Z$31),AA$31:AA$37),Z156)</f>
        <v>Rasunda Stadium</v>
      </c>
      <c r="AB156" s="42" t="str">
        <v xml:space="preserve">Solna </v>
      </c>
      <c r="AC156" s="89" t="str">
        <f t="shared" si="16"/>
        <v xml:space="preserve">Solna </v>
      </c>
      <c r="AE156" s="42">
        <v>1950</v>
      </c>
      <c r="AK156" s="42">
        <v>3</v>
      </c>
      <c r="AL156" s="42">
        <v>1</v>
      </c>
      <c r="AV156" s="37" t="str">
        <v>QUARTER_FINALS</v>
      </c>
      <c r="AW156" s="89" t="str">
        <v>GROUP_STAGE</v>
      </c>
      <c r="BE156" s="43" t="str">
        <f>IF(OR(DATA_CLEANED!AL147="",DATA_CLEANED!AM147=""),"MANQUANT",IF(OR(NOT(ISNUMBER(DATA_CLEANED!AL147)),NOT(ISNUMBER(DATA_CLEANED!AM147))),"ENTREE INVALIDE",IF(OR(DATA_CLEANED!AL147&lt;0,DATA_CLEANED!AM147&lt;0),"SCORE NEGATIF","OK")))</f>
        <v>OK</v>
      </c>
      <c r="BF156" s="43" t="str">
        <f>IF(DATA_CLEANED!AK147&lt;&gt;DATA_CLEANED!AN147,"OK","ERREUR")</f>
        <v>OK</v>
      </c>
      <c r="BG156" s="43" t="str">
        <f>IF(DATA_CLEANED!AL147&gt;DATA_CLEANED!AM147,DATA_CLEANED!AK147,IF(AND(DATA_QUALITE!W4633="-",DATA_CLEANED!AM147=DATA_CLEANED!AL147),"MATCH NUL",IF(AND(DATA_QUALITE!V4633="-",DATA_QUALITE!U4633="AUCUNE"),DATA_QUALITE!T4633,IF(DATA_QUALITE!V4633&lt;&gt;"-",DATA_QUALITE!V4633,DATA_CLEANED!AN147))))</f>
        <v>Yugoslavia</v>
      </c>
      <c r="BH156" s="103" t="str">
        <f>IF(AND(BG156="MATCH NUL",DATA_CLEANED!AO147="-"),"MATCH_NUL",IF(ISNUMBER(SEARCH("win on penalties",W4633)),"WIN_BY_PENALTY",IF(ISNUMBER(SEARCH("win after extra time",W4633)),"WIN_BY_EXTRA_TIME",IF(ISNUMBER(SEARCH("Golden Goal",W4633)),"WIN_BY_GOLDEN_GOAL","WIN_BY_SCORE"))))</f>
        <v>WIN_BY_SCORE</v>
      </c>
      <c r="BI156" s="99" t="str">
        <f>IF(OR(BG156=DATA_CLEANED!AK147,BG156=DATA_CLEANED!AN147,BG156="MATCH NUL"),"OK","ERREUR")</f>
        <v>OK</v>
      </c>
    </row>
    <row r="157" spans="2:61">
      <c r="B157" s="74">
        <v>1990</v>
      </c>
      <c r="C157" s="30" t="str">
        <v>Semi-finals</v>
      </c>
      <c r="D157" s="30" t="str">
        <v>West Germany</v>
      </c>
      <c r="E157" s="30" t="str">
        <v>England</v>
      </c>
      <c r="F157" s="30" t="str">
        <v>West Germany</v>
      </c>
      <c r="G157" s="30" t="str">
        <v>Olaf Thon</v>
      </c>
      <c r="H157" s="30" t="str">
        <v>Peter Shilton</v>
      </c>
      <c r="I157" s="30">
        <v>7</v>
      </c>
      <c r="J157" s="30">
        <v>4</v>
      </c>
      <c r="K157" s="30" t="str">
        <v>'3-3</v>
      </c>
      <c r="L157" s="30" t="str">
        <v>No</v>
      </c>
      <c r="M157" s="30" t="str">
        <v>No</v>
      </c>
      <c r="N157" s="30" t="str">
        <v>Goal</v>
      </c>
      <c r="O157" s="30" t="str">
        <f t="shared" si="20"/>
        <v>1990|Semi-finals|West Germany|England|West Germany|Olaf Thon|Peter Shilton|7|4|'3-3|No|No|Goal</v>
      </c>
      <c r="P157" s="96" t="str">
        <f>IF(COUNTIF($G$32:O157,O157)&gt;1,"DOUBLON","OK")</f>
        <v>OK</v>
      </c>
      <c r="R157" s="23" t="s">
        <v>3667</v>
      </c>
      <c r="S157" s="30" t="str">
        <v>Romania</v>
      </c>
      <c r="T157" s="30" t="str">
        <f t="shared" si="17"/>
        <v>OK</v>
      </c>
      <c r="U157" s="30" t="str">
        <f t="shared" si="18"/>
        <v>-</v>
      </c>
      <c r="V157" s="30" t="str" cm="1">
        <f t="array" ref="V157">_xlfn.IFS(
ISNUMBER(SEARCH("USA",S157)),"United States",
ISNUMBER(SEARCH("Republic of Korea",S157)),"South Korea",
ISNUMBER(SEARCH("Cape Verde",S157)),"Cabo Verde",
ISNUMBER(SEARCH("Czechia",S157)),"Czech Republic",
ISNUMBER(SEARCH("Türkiye",S157)),"Turkey",
ISNUMBER(SEARCH("Ivory Coast",S157)),"Côte d'Ivoire",
ISNUMBER(SEARCH("Korea Republic",S157)),"South Korea",
ISNUMBER(SEARCH("Germany FR",S157)),"FR Germany",
ISNUMBER(SEARCH("West Germany",S157)),"FR Germany",
ISNUMBER(SEARCH("Germany DR",S157)),"DR Germany",
ISNUMBER(SEARCH("Korea DPR",S157)),"North Korea",
ISNUMBER(SEARCH("China PR",S157)),"China",
ISNUMBER(SEARCH("IR Iran",S157)),"Iran",
ISNUMBER(SEARCH("Congo DR",S157)),"Democratic Republic of the Congo",
ISNUMBER(SEARCH("DR Congo",S157)),"Democratic Republic of the Congo",
ISNUMBER(SEARCH("German DR",S157)),"DR Germany",
ISNUMBER(SEARCH("rn""&gt;United Arab Emirates",S157)),"United Arab Emirates",
ISNUMBER(SEARCH("rn""&gt;Republic of Ireland",S157)),"Ireland",
ISNUMBER(SEARCH("rn""&gt;Bosnia and Herzegovina",S157)),"Bosnia and Herzegovina",
ISNUMBER(SEARCH("rn""&gt;Trinidad and Tobago",S157)),"Trinidad and Tobago",
ISNUMBER(SEARCH("rn""&gt;Serbia and Montenegro",S157)),"Serbia and Montenegro",
ISNUMBER(SEARCH(_xlfn.UNICHAR(65533),S157)),"Côte d'Ivoire",
TRUE,""
)</f>
        <v/>
      </c>
      <c r="W157" s="30" t="str">
        <f t="shared" si="19"/>
        <v>Romania</v>
      </c>
      <c r="Z157" s="40" t="str">
        <v>Rasunda Stadium</v>
      </c>
      <c r="AA157" s="40" t="str" cm="1">
        <f t="array" ref="AA157">IFERROR(_xlfn.XLOOKUP(Z157,_xlfn.ANCHORARRAY(Z$31),AA$31:AA$37),Z157)</f>
        <v>Rasunda Stadium</v>
      </c>
      <c r="AB157" s="42" t="str">
        <v xml:space="preserve">Solna </v>
      </c>
      <c r="AC157" s="89" t="str">
        <f t="shared" si="16"/>
        <v xml:space="preserve">Solna </v>
      </c>
      <c r="AE157" s="42">
        <v>1950</v>
      </c>
      <c r="AK157" s="42">
        <v>2</v>
      </c>
      <c r="AL157" s="42">
        <v>1</v>
      </c>
      <c r="AV157" s="37" t="str">
        <v>QUARTER_FINALS</v>
      </c>
      <c r="AW157" s="89" t="str">
        <v>GROUP_STAGE</v>
      </c>
      <c r="BE157" s="43" t="str">
        <f>IF(OR(DATA_CLEANED!AL148="",DATA_CLEANED!AM148=""),"MANQUANT",IF(OR(NOT(ISNUMBER(DATA_CLEANED!AL148)),NOT(ISNUMBER(DATA_CLEANED!AM148))),"ENTREE INVALIDE",IF(OR(DATA_CLEANED!AL148&lt;0,DATA_CLEANED!AM148&lt;0),"SCORE NEGATIF","OK")))</f>
        <v>OK</v>
      </c>
      <c r="BF157" s="43" t="str">
        <f>IF(DATA_CLEANED!AK148&lt;&gt;DATA_CLEANED!AN148,"OK","ERREUR")</f>
        <v>OK</v>
      </c>
      <c r="BG157" s="43" t="str">
        <f>IF(DATA_CLEANED!AL148&gt;DATA_CLEANED!AM148,DATA_CLEANED!AK148,IF(AND(DATA_QUALITE!W4634="-",DATA_CLEANED!AM148=DATA_CLEANED!AL148),"MATCH NUL",IF(AND(DATA_QUALITE!V4634="-",DATA_QUALITE!U4634="AUCUNE"),DATA_QUALITE!T4634,IF(DATA_QUALITE!V4634&lt;&gt;"-",DATA_QUALITE!V4634,DATA_CLEANED!AN148))))</f>
        <v>MATCH NUL</v>
      </c>
      <c r="BH157" s="103" t="str">
        <f>IF(AND(BG157="MATCH NUL",DATA_CLEANED!AO148="-"),"MATCH_NUL",IF(ISNUMBER(SEARCH("win on penalties",W4634)),"WIN_BY_PENALTY",IF(ISNUMBER(SEARCH("win after extra time",W4634)),"WIN_BY_EXTRA_TIME",IF(ISNUMBER(SEARCH("Golden Goal",W4634)),"WIN_BY_GOLDEN_GOAL","WIN_BY_SCORE"))))</f>
        <v>MATCH_NUL</v>
      </c>
      <c r="BI157" s="99" t="str">
        <f>IF(OR(BG157=DATA_CLEANED!AK148,BG157=DATA_CLEANED!AN148,BG157="MATCH NUL"),"OK","ERREUR")</f>
        <v>OK</v>
      </c>
    </row>
    <row r="158" spans="2:61">
      <c r="B158" s="74">
        <v>1990</v>
      </c>
      <c r="C158" s="30" t="str">
        <v>Semi-finals</v>
      </c>
      <c r="D158" s="30" t="str">
        <v>West Germany</v>
      </c>
      <c r="E158" s="30" t="str">
        <v>England</v>
      </c>
      <c r="F158" s="30" t="str">
        <v>England</v>
      </c>
      <c r="G158" s="30" t="str">
        <v>Stuart Pearce</v>
      </c>
      <c r="H158" s="30" t="str">
        <v>Bodo Illgner</v>
      </c>
      <c r="I158" s="30">
        <v>8</v>
      </c>
      <c r="J158" s="30">
        <v>4</v>
      </c>
      <c r="K158" s="30" t="str">
        <v>'3-4</v>
      </c>
      <c r="L158" s="30" t="str">
        <v>No</v>
      </c>
      <c r="M158" s="30" t="str">
        <v>No</v>
      </c>
      <c r="N158" s="30" t="str">
        <v>Saved</v>
      </c>
      <c r="O158" s="30" t="str">
        <f t="shared" si="20"/>
        <v>1990|Semi-finals|West Germany|England|England|Stuart Pearce|Bodo Illgner|8|4|'3-4|No|No|Saved</v>
      </c>
      <c r="P158" s="96" t="str">
        <f>IF(COUNTIF($G$32:O158,O158)&gt;1,"DOUBLON","OK")</f>
        <v>OK</v>
      </c>
      <c r="R158" s="23" t="s">
        <v>3746</v>
      </c>
      <c r="S158" s="30" t="str">
        <v>Romania</v>
      </c>
      <c r="T158" s="30" t="str">
        <f t="shared" si="17"/>
        <v>OK</v>
      </c>
      <c r="U158" s="30" t="str">
        <f t="shared" si="18"/>
        <v>-</v>
      </c>
      <c r="V158" s="30" t="str" cm="1">
        <f t="array" ref="V158">_xlfn.IFS(
ISNUMBER(SEARCH("USA",S158)),"United States",
ISNUMBER(SEARCH("Republic of Korea",S158)),"South Korea",
ISNUMBER(SEARCH("Cape Verde",S158)),"Cabo Verde",
ISNUMBER(SEARCH("Czechia",S158)),"Czech Republic",
ISNUMBER(SEARCH("Türkiye",S158)),"Turkey",
ISNUMBER(SEARCH("Ivory Coast",S158)),"Côte d'Ivoire",
ISNUMBER(SEARCH("Korea Republic",S158)),"South Korea",
ISNUMBER(SEARCH("Germany FR",S158)),"FR Germany",
ISNUMBER(SEARCH("West Germany",S158)),"FR Germany",
ISNUMBER(SEARCH("Germany DR",S158)),"DR Germany",
ISNUMBER(SEARCH("Korea DPR",S158)),"North Korea",
ISNUMBER(SEARCH("China PR",S158)),"China",
ISNUMBER(SEARCH("IR Iran",S158)),"Iran",
ISNUMBER(SEARCH("Congo DR",S158)),"Democratic Republic of the Congo",
ISNUMBER(SEARCH("DR Congo",S158)),"Democratic Republic of the Congo",
ISNUMBER(SEARCH("German DR",S158)),"DR Germany",
ISNUMBER(SEARCH("rn""&gt;United Arab Emirates",S158)),"United Arab Emirates",
ISNUMBER(SEARCH("rn""&gt;Republic of Ireland",S158)),"Ireland",
ISNUMBER(SEARCH("rn""&gt;Bosnia and Herzegovina",S158)),"Bosnia and Herzegovina",
ISNUMBER(SEARCH("rn""&gt;Trinidad and Tobago",S158)),"Trinidad and Tobago",
ISNUMBER(SEARCH("rn""&gt;Serbia and Montenegro",S158)),"Serbia and Montenegro",
ISNUMBER(SEARCH(_xlfn.UNICHAR(65533),S158)),"Côte d'Ivoire",
TRUE,""
)</f>
        <v/>
      </c>
      <c r="W158" s="30" t="str">
        <f t="shared" si="19"/>
        <v>Romania</v>
      </c>
      <c r="Z158" s="40" t="str">
        <v>Nya Ullevi</v>
      </c>
      <c r="AA158" s="40" t="str" cm="1">
        <f t="array" ref="AA158">IFERROR(_xlfn.XLOOKUP(Z158,_xlfn.ANCHORARRAY(Z$31),AA$31:AA$37),Z158)</f>
        <v>Nya Ullevi</v>
      </c>
      <c r="AB158" s="42" t="str">
        <v xml:space="preserve">Gothenburg </v>
      </c>
      <c r="AC158" s="89" t="str">
        <f t="shared" si="16"/>
        <v xml:space="preserve">Gothenburg </v>
      </c>
      <c r="AE158" s="42">
        <v>1954</v>
      </c>
      <c r="AK158" s="42">
        <v>2</v>
      </c>
      <c r="AL158" s="42">
        <v>0</v>
      </c>
      <c r="AV158" s="37" t="str">
        <v>QUARTER_FINALS</v>
      </c>
      <c r="AW158" s="89" t="str">
        <v>GROUP_STAGE</v>
      </c>
      <c r="BE158" s="43" t="str">
        <f>IF(OR(DATA_CLEANED!AL149="",DATA_CLEANED!AM149=""),"MANQUANT",IF(OR(NOT(ISNUMBER(DATA_CLEANED!AL149)),NOT(ISNUMBER(DATA_CLEANED!AM149))),"ENTREE INVALIDE",IF(OR(DATA_CLEANED!AL149&lt;0,DATA_CLEANED!AM149&lt;0),"SCORE NEGATIF","OK")))</f>
        <v>OK</v>
      </c>
      <c r="BF158" s="43" t="str">
        <f>IF(DATA_CLEANED!AK149&lt;&gt;DATA_CLEANED!AN149,"OK","ERREUR")</f>
        <v>OK</v>
      </c>
      <c r="BG158" s="43" t="str">
        <f>IF(DATA_CLEANED!AL149&gt;DATA_CLEANED!AM149,DATA_CLEANED!AK149,IF(AND(DATA_QUALITE!W4635="-",DATA_CLEANED!AM149=DATA_CLEANED!AL149),"MATCH NUL",IF(AND(DATA_QUALITE!V4635="-",DATA_QUALITE!U4635="AUCUNE"),DATA_QUALITE!T4635,IF(DATA_QUALITE!V4635&lt;&gt;"-",DATA_QUALITE!V4635,DATA_CLEANED!AN149))))</f>
        <v>England</v>
      </c>
      <c r="BH158" s="103" t="str">
        <f>IF(AND(BG158="MATCH NUL",DATA_CLEANED!AO149="-"),"MATCH_NUL",IF(ISNUMBER(SEARCH("win on penalties",W4635)),"WIN_BY_PENALTY",IF(ISNUMBER(SEARCH("win after extra time",W4635)),"WIN_BY_EXTRA_TIME",IF(ISNUMBER(SEARCH("Golden Goal",W4635)),"WIN_BY_GOLDEN_GOAL","WIN_BY_SCORE"))))</f>
        <v>WIN_BY_SCORE</v>
      </c>
      <c r="BI158" s="99" t="str">
        <f>IF(OR(BG158=DATA_CLEANED!AK149,BG158=DATA_CLEANED!AN149,BG158="MATCH NUL"),"OK","ERREUR")</f>
        <v>OK</v>
      </c>
    </row>
    <row r="159" spans="2:61">
      <c r="B159" s="74">
        <v>1990</v>
      </c>
      <c r="C159" s="30" t="str">
        <v>Semi-finals</v>
      </c>
      <c r="D159" s="30" t="str">
        <v>West Germany</v>
      </c>
      <c r="E159" s="30" t="str">
        <v>England</v>
      </c>
      <c r="F159" s="30" t="str">
        <v>England</v>
      </c>
      <c r="G159" s="30" t="str">
        <v>Chris Waddle</v>
      </c>
      <c r="H159" s="30" t="str">
        <v>Bodo Illgner</v>
      </c>
      <c r="I159" s="30">
        <v>9</v>
      </c>
      <c r="J159" s="30">
        <v>5</v>
      </c>
      <c r="K159" s="30" t="str">
        <v>'3-4</v>
      </c>
      <c r="L159" s="30" t="str">
        <v>Yes</v>
      </c>
      <c r="M159" s="30" t="str">
        <v>Yes</v>
      </c>
      <c r="N159" s="30" t="str">
        <v>Missed</v>
      </c>
      <c r="O159" s="30" t="str">
        <f t="shared" si="20"/>
        <v>1990|Semi-finals|West Germany|England|England|Chris Waddle|Bodo Illgner|9|5|'3-4|Yes|Yes|Missed</v>
      </c>
      <c r="P159" s="96" t="str">
        <f>IF(COUNTIF($G$32:O159,O159)&gt;1,"DOUBLON","OK")</f>
        <v>OK</v>
      </c>
      <c r="R159" s="23" t="s">
        <v>46</v>
      </c>
      <c r="S159" s="30" t="str">
        <v>Romania</v>
      </c>
      <c r="T159" s="30" t="str">
        <f t="shared" ref="T159:T190" si="21">IF(COUNTIF(R$13:R$250,S159)=1,"OK","ERREUR")</f>
        <v>OK</v>
      </c>
      <c r="U159" s="30" t="str">
        <f t="shared" si="18"/>
        <v>-</v>
      </c>
      <c r="V159" s="30" t="str" cm="1">
        <f t="array" ref="V159">_xlfn.IFS(
ISNUMBER(SEARCH("USA",S159)),"United States",
ISNUMBER(SEARCH("Republic of Korea",S159)),"South Korea",
ISNUMBER(SEARCH("Cape Verde",S159)),"Cabo Verde",
ISNUMBER(SEARCH("Czechia",S159)),"Czech Republic",
ISNUMBER(SEARCH("Türkiye",S159)),"Turkey",
ISNUMBER(SEARCH("Ivory Coast",S159)),"Côte d'Ivoire",
ISNUMBER(SEARCH("Korea Republic",S159)),"South Korea",
ISNUMBER(SEARCH("Germany FR",S159)),"FR Germany",
ISNUMBER(SEARCH("West Germany",S159)),"FR Germany",
ISNUMBER(SEARCH("Germany DR",S159)),"DR Germany",
ISNUMBER(SEARCH("Korea DPR",S159)),"North Korea",
ISNUMBER(SEARCH("China PR",S159)),"China",
ISNUMBER(SEARCH("IR Iran",S159)),"Iran",
ISNUMBER(SEARCH("Congo DR",S159)),"Democratic Republic of the Congo",
ISNUMBER(SEARCH("DR Congo",S159)),"Democratic Republic of the Congo",
ISNUMBER(SEARCH("German DR",S159)),"DR Germany",
ISNUMBER(SEARCH("rn""&gt;United Arab Emirates",S159)),"United Arab Emirates",
ISNUMBER(SEARCH("rn""&gt;Republic of Ireland",S159)),"Ireland",
ISNUMBER(SEARCH("rn""&gt;Bosnia and Herzegovina",S159)),"Bosnia and Herzegovina",
ISNUMBER(SEARCH("rn""&gt;Trinidad and Tobago",S159)),"Trinidad and Tobago",
ISNUMBER(SEARCH("rn""&gt;Serbia and Montenegro",S159)),"Serbia and Montenegro",
ISNUMBER(SEARCH(_xlfn.UNICHAR(65533),S159)),"Côte d'Ivoire",
TRUE,""
)</f>
        <v/>
      </c>
      <c r="W159" s="30" t="str">
        <f t="shared" si="19"/>
        <v>Romania</v>
      </c>
      <c r="Z159" s="40" t="str">
        <v>Malmo Stadion</v>
      </c>
      <c r="AA159" s="40" t="str" cm="1">
        <f t="array" ref="AA159">IFERROR(_xlfn.XLOOKUP(Z159,_xlfn.ANCHORARRAY(Z$31),AA$31:AA$37),Z159)</f>
        <v>Malmo Stadion</v>
      </c>
      <c r="AB159" s="42" t="str">
        <v xml:space="preserve">Malm� </v>
      </c>
      <c r="AC159" s="89" t="str">
        <f t="shared" si="16"/>
        <v>Malmö</v>
      </c>
      <c r="AE159" s="42">
        <v>1954</v>
      </c>
      <c r="AK159" s="42">
        <v>1</v>
      </c>
      <c r="AL159" s="42">
        <v>0</v>
      </c>
      <c r="AV159" s="37" t="str">
        <v>QUARTER_FINALS</v>
      </c>
      <c r="AW159" s="89" t="str">
        <v>GROUP_STAGE</v>
      </c>
      <c r="BE159" s="43" t="str">
        <f>IF(OR(DATA_CLEANED!AL150="",DATA_CLEANED!AM150=""),"MANQUANT",IF(OR(NOT(ISNUMBER(DATA_CLEANED!AL150)),NOT(ISNUMBER(DATA_CLEANED!AM150))),"ENTREE INVALIDE",IF(OR(DATA_CLEANED!AL150&lt;0,DATA_CLEANED!AM150&lt;0),"SCORE NEGATIF","OK")))</f>
        <v>OK</v>
      </c>
      <c r="BF159" s="43" t="str">
        <f>IF(DATA_CLEANED!AK150&lt;&gt;DATA_CLEANED!AN150,"OK","ERREUR")</f>
        <v>OK</v>
      </c>
      <c r="BG159" s="43" t="str">
        <f>IF(DATA_CLEANED!AL150&gt;DATA_CLEANED!AM150,DATA_CLEANED!AK150,IF(AND(DATA_QUALITE!W4636="-",DATA_CLEANED!AM150=DATA_CLEANED!AL150),"MATCH NUL",IF(AND(DATA_QUALITE!V4636="-",DATA_QUALITE!U4636="AUCUNE"),DATA_QUALITE!T4636,IF(DATA_QUALITE!V4636&lt;&gt;"-",DATA_QUALITE!V4636,DATA_CLEANED!AN150))))</f>
        <v>Chile</v>
      </c>
      <c r="BH159" s="103" t="str">
        <f>IF(AND(BG159="MATCH NUL",DATA_CLEANED!AO150="-"),"MATCH_NUL",IF(ISNUMBER(SEARCH("win on penalties",W4636)),"WIN_BY_PENALTY",IF(ISNUMBER(SEARCH("win after extra time",W4636)),"WIN_BY_EXTRA_TIME",IF(ISNUMBER(SEARCH("Golden Goal",W4636)),"WIN_BY_GOLDEN_GOAL","WIN_BY_SCORE"))))</f>
        <v>WIN_BY_SCORE</v>
      </c>
      <c r="BI159" s="99" t="str">
        <f>IF(OR(BG159=DATA_CLEANED!AK150,BG159=DATA_CLEANED!AN150,BG159="MATCH NUL"),"OK","ERREUR")</f>
        <v>OK</v>
      </c>
    </row>
    <row r="160" spans="2:61">
      <c r="B160" s="74">
        <v>1994</v>
      </c>
      <c r="C160" s="30" t="str">
        <v>Round of 16</v>
      </c>
      <c r="D160" s="30" t="str">
        <v>Mexico</v>
      </c>
      <c r="E160" s="30" t="str">
        <v>Bulgaria</v>
      </c>
      <c r="F160" s="30" t="str">
        <v>Bulgaria</v>
      </c>
      <c r="G160" s="30" t="str">
        <v>Krasimir Balakov</v>
      </c>
      <c r="H160" s="30" t="str">
        <v>Jorge Campos</v>
      </c>
      <c r="I160" s="30">
        <v>1</v>
      </c>
      <c r="J160" s="30">
        <v>1</v>
      </c>
      <c r="K160" s="30" t="str">
        <v>'0-0</v>
      </c>
      <c r="L160" s="30" t="str">
        <v>No</v>
      </c>
      <c r="M160" s="30" t="str">
        <v>No</v>
      </c>
      <c r="N160" s="30" t="str">
        <v>Saved</v>
      </c>
      <c r="O160" s="30" t="str">
        <f t="shared" si="20"/>
        <v>1994|Round of 16|Mexico|Bulgaria|Bulgaria|Krasimir Balakov|Jorge Campos|1|1|'0-0|No|No|Saved</v>
      </c>
      <c r="P160" s="96" t="str">
        <f>IF(COUNTIF($G$32:O160,O160)&gt;1,"DOUBLON","OK")</f>
        <v>OK</v>
      </c>
      <c r="R160" s="23" t="s">
        <v>3668</v>
      </c>
      <c r="S160" s="30" t="str">
        <v>Brazil</v>
      </c>
      <c r="T160" s="30" t="str">
        <f t="shared" si="21"/>
        <v>OK</v>
      </c>
      <c r="U160" s="30" t="str">
        <f t="shared" si="18"/>
        <v>-</v>
      </c>
      <c r="V160" s="30" t="str" cm="1">
        <f t="array" ref="V160">_xlfn.IFS(
ISNUMBER(SEARCH("USA",S160)),"United States",
ISNUMBER(SEARCH("Republic of Korea",S160)),"South Korea",
ISNUMBER(SEARCH("Cape Verde",S160)),"Cabo Verde",
ISNUMBER(SEARCH("Czechia",S160)),"Czech Republic",
ISNUMBER(SEARCH("Türkiye",S160)),"Turkey",
ISNUMBER(SEARCH("Ivory Coast",S160)),"Côte d'Ivoire",
ISNUMBER(SEARCH("Korea Republic",S160)),"South Korea",
ISNUMBER(SEARCH("Germany FR",S160)),"FR Germany",
ISNUMBER(SEARCH("West Germany",S160)),"FR Germany",
ISNUMBER(SEARCH("Germany DR",S160)),"DR Germany",
ISNUMBER(SEARCH("Korea DPR",S160)),"North Korea",
ISNUMBER(SEARCH("China PR",S160)),"China",
ISNUMBER(SEARCH("IR Iran",S160)),"Iran",
ISNUMBER(SEARCH("Congo DR",S160)),"Democratic Republic of the Congo",
ISNUMBER(SEARCH("DR Congo",S160)),"Democratic Republic of the Congo",
ISNUMBER(SEARCH("German DR",S160)),"DR Germany",
ISNUMBER(SEARCH("rn""&gt;United Arab Emirates",S160)),"United Arab Emirates",
ISNUMBER(SEARCH("rn""&gt;Republic of Ireland",S160)),"Ireland",
ISNUMBER(SEARCH("rn""&gt;Bosnia and Herzegovina",S160)),"Bosnia and Herzegovina",
ISNUMBER(SEARCH("rn""&gt;Trinidad and Tobago",S160)),"Trinidad and Tobago",
ISNUMBER(SEARCH("rn""&gt;Serbia and Montenegro",S160)),"Serbia and Montenegro",
ISNUMBER(SEARCH(_xlfn.UNICHAR(65533),S160)),"Côte d'Ivoire",
TRUE,""
)</f>
        <v/>
      </c>
      <c r="W160" s="30" t="str">
        <f t="shared" si="19"/>
        <v>Brazil</v>
      </c>
      <c r="Z160" s="40" t="str">
        <v>Jarnvallen</v>
      </c>
      <c r="AA160" s="40" t="str" cm="1">
        <f t="array" ref="AA160">IFERROR(_xlfn.XLOOKUP(Z160,_xlfn.ANCHORARRAY(Z$31),AA$31:AA$37),Z160)</f>
        <v>Jarnvallen</v>
      </c>
      <c r="AB160" s="42" t="str">
        <v xml:space="preserve">Sandviken </v>
      </c>
      <c r="AC160" s="89" t="str">
        <f t="shared" si="16"/>
        <v xml:space="preserve">Sandviken </v>
      </c>
      <c r="AE160" s="42">
        <v>1954</v>
      </c>
      <c r="AK160" s="42">
        <v>5</v>
      </c>
      <c r="AL160" s="42">
        <v>0</v>
      </c>
      <c r="AV160" s="37" t="str">
        <v>QUARTER_FINALS</v>
      </c>
      <c r="AW160" s="89" t="str">
        <v>GROUP_STAGE</v>
      </c>
      <c r="BE160" s="43" t="str">
        <f>IF(OR(DATA_CLEANED!AL151="",DATA_CLEANED!AM151=""),"MANQUANT",IF(OR(NOT(ISNUMBER(DATA_CLEANED!AL151)),NOT(ISNUMBER(DATA_CLEANED!AM151))),"ENTREE INVALIDE",IF(OR(DATA_CLEANED!AL151&lt;0,DATA_CLEANED!AM151&lt;0),"SCORE NEGATIF","OK")))</f>
        <v>OK</v>
      </c>
      <c r="BF160" s="43" t="str">
        <f>IF(DATA_CLEANED!AK151&lt;&gt;DATA_CLEANED!AN151,"OK","ERREUR")</f>
        <v>OK</v>
      </c>
      <c r="BG160" s="43" t="str">
        <f>IF(DATA_CLEANED!AL151&gt;DATA_CLEANED!AM151,DATA_CLEANED!AK151,IF(AND(DATA_QUALITE!W4637="-",DATA_CLEANED!AM151=DATA_CLEANED!AL151),"MATCH NUL",IF(AND(DATA_QUALITE!V4637="-",DATA_QUALITE!U4637="AUCUNE"),DATA_QUALITE!T4637,IF(DATA_QUALITE!V4637&lt;&gt;"-",DATA_QUALITE!V4637,DATA_CLEANED!AN151))))</f>
        <v>MATCH NUL</v>
      </c>
      <c r="BH160" s="103" t="str">
        <f>IF(AND(BG160="MATCH NUL",DATA_CLEANED!AO151="-"),"MATCH_NUL",IF(ISNUMBER(SEARCH("win on penalties",W4637)),"WIN_BY_PENALTY",IF(ISNUMBER(SEARCH("win after extra time",W4637)),"WIN_BY_EXTRA_TIME",IF(ISNUMBER(SEARCH("Golden Goal",W4637)),"WIN_BY_GOLDEN_GOAL","WIN_BY_SCORE"))))</f>
        <v>MATCH_NUL</v>
      </c>
      <c r="BI160" s="99" t="str">
        <f>IF(OR(BG160=DATA_CLEANED!AK151,BG160=DATA_CLEANED!AN151,BG160="MATCH NUL"),"OK","ERREUR")</f>
        <v>OK</v>
      </c>
    </row>
    <row r="161" spans="2:61">
      <c r="B161" s="74">
        <v>1994</v>
      </c>
      <c r="C161" s="30" t="str">
        <v>Round of 16</v>
      </c>
      <c r="D161" s="30" t="str">
        <v>Mexico</v>
      </c>
      <c r="E161" s="30" t="str">
        <v>Bulgaria</v>
      </c>
      <c r="F161" s="30" t="str">
        <v>Mexico</v>
      </c>
      <c r="G161" s="30" t="str">
        <v>Alberto García Aspe</v>
      </c>
      <c r="H161" s="30" t="str">
        <v>Borislav Mihaylov</v>
      </c>
      <c r="I161" s="30">
        <v>2</v>
      </c>
      <c r="J161" s="30">
        <v>1</v>
      </c>
      <c r="K161" s="30" t="str">
        <v>'0-0</v>
      </c>
      <c r="L161" s="30" t="str">
        <v>No</v>
      </c>
      <c r="M161" s="30" t="str">
        <v>No</v>
      </c>
      <c r="N161" s="30" t="str">
        <v>Missed</v>
      </c>
      <c r="O161" s="30" t="str">
        <f t="shared" si="20"/>
        <v>1994|Round of 16|Mexico|Bulgaria|Mexico|Alberto García Aspe|Borislav Mihaylov|2|1|'0-0|No|No|Missed</v>
      </c>
      <c r="P161" s="96" t="str">
        <f>IF(COUNTIF($G$32:O161,O161)&gt;1,"DOUBLON","OK")</f>
        <v>OK</v>
      </c>
      <c r="R161" s="23" t="s">
        <v>3766</v>
      </c>
      <c r="S161" s="30" t="str">
        <v>Brazil</v>
      </c>
      <c r="T161" s="30" t="str">
        <f t="shared" si="21"/>
        <v>OK</v>
      </c>
      <c r="U161" s="30" t="str">
        <f t="shared" si="18"/>
        <v>-</v>
      </c>
      <c r="V161" s="30" t="str" cm="1">
        <f t="array" ref="V161">_xlfn.IFS(
ISNUMBER(SEARCH("USA",S161)),"United States",
ISNUMBER(SEARCH("Republic of Korea",S161)),"South Korea",
ISNUMBER(SEARCH("Cape Verde",S161)),"Cabo Verde",
ISNUMBER(SEARCH("Czechia",S161)),"Czech Republic",
ISNUMBER(SEARCH("Türkiye",S161)),"Turkey",
ISNUMBER(SEARCH("Ivory Coast",S161)),"Côte d'Ivoire",
ISNUMBER(SEARCH("Korea Republic",S161)),"South Korea",
ISNUMBER(SEARCH("Germany FR",S161)),"FR Germany",
ISNUMBER(SEARCH("West Germany",S161)),"FR Germany",
ISNUMBER(SEARCH("Germany DR",S161)),"DR Germany",
ISNUMBER(SEARCH("Korea DPR",S161)),"North Korea",
ISNUMBER(SEARCH("China PR",S161)),"China",
ISNUMBER(SEARCH("IR Iran",S161)),"Iran",
ISNUMBER(SEARCH("Congo DR",S161)),"Democratic Republic of the Congo",
ISNUMBER(SEARCH("DR Congo",S161)),"Democratic Republic of the Congo",
ISNUMBER(SEARCH("German DR",S161)),"DR Germany",
ISNUMBER(SEARCH("rn""&gt;United Arab Emirates",S161)),"United Arab Emirates",
ISNUMBER(SEARCH("rn""&gt;Republic of Ireland",S161)),"Ireland",
ISNUMBER(SEARCH("rn""&gt;Bosnia and Herzegovina",S161)),"Bosnia and Herzegovina",
ISNUMBER(SEARCH("rn""&gt;Trinidad and Tobago",S161)),"Trinidad and Tobago",
ISNUMBER(SEARCH("rn""&gt;Serbia and Montenegro",S161)),"Serbia and Montenegro",
ISNUMBER(SEARCH(_xlfn.UNICHAR(65533),S161)),"Côte d'Ivoire",
TRUE,""
)</f>
        <v/>
      </c>
      <c r="W161" s="30" t="str">
        <f t="shared" si="19"/>
        <v>Brazil</v>
      </c>
      <c r="Z161" s="40" t="str">
        <v>Tunavallen</v>
      </c>
      <c r="AA161" s="40" t="str" cm="1">
        <f t="array" ref="AA161">IFERROR(_xlfn.XLOOKUP(Z161,_xlfn.ANCHORARRAY(Z$31),AA$31:AA$37),Z161)</f>
        <v>Tunavallen</v>
      </c>
      <c r="AB161" s="42" t="str">
        <v xml:space="preserve">Eskilstuna </v>
      </c>
      <c r="AC161" s="89" t="str">
        <f t="shared" si="16"/>
        <v xml:space="preserve">Eskilstuna </v>
      </c>
      <c r="AE161" s="42">
        <v>1954</v>
      </c>
      <c r="AK161" s="42">
        <v>1</v>
      </c>
      <c r="AL161" s="42">
        <v>0</v>
      </c>
      <c r="AV161" s="37" t="str">
        <v>QUARTER_FINALS</v>
      </c>
      <c r="AW161" s="89" t="str">
        <v>GROUP_STAGE</v>
      </c>
      <c r="BE161" s="43" t="str">
        <f>IF(OR(DATA_CLEANED!AL152="",DATA_CLEANED!AM152=""),"MANQUANT",IF(OR(NOT(ISNUMBER(DATA_CLEANED!AL152)),NOT(ISNUMBER(DATA_CLEANED!AM152))),"ENTREE INVALIDE",IF(OR(DATA_CLEANED!AL152&lt;0,DATA_CLEANED!AM152&lt;0),"SCORE NEGATIF","OK")))</f>
        <v>OK</v>
      </c>
      <c r="BF161" s="43" t="str">
        <f>IF(DATA_CLEANED!AK152&lt;&gt;DATA_CLEANED!AN152,"OK","ERREUR")</f>
        <v>OK</v>
      </c>
      <c r="BG161" s="43" t="str">
        <f>IF(DATA_CLEANED!AL152&gt;DATA_CLEANED!AM152,DATA_CLEANED!AK152,IF(AND(DATA_QUALITE!W4638="-",DATA_CLEANED!AM152=DATA_CLEANED!AL152),"MATCH NUL",IF(AND(DATA_QUALITE!V4638="-",DATA_QUALITE!U4638="AUCUNE"),DATA_QUALITE!T4638,IF(DATA_QUALITE!V4638&lt;&gt;"-",DATA_QUALITE!V4638,DATA_CLEANED!AN152))))</f>
        <v>Spain</v>
      </c>
      <c r="BH161" s="103" t="str">
        <f>IF(AND(BG161="MATCH NUL",DATA_CLEANED!AO152="-"),"MATCH_NUL",IF(ISNUMBER(SEARCH("win on penalties",W4638)),"WIN_BY_PENALTY",IF(ISNUMBER(SEARCH("win after extra time",W4638)),"WIN_BY_EXTRA_TIME",IF(ISNUMBER(SEARCH("Golden Goal",W4638)),"WIN_BY_GOLDEN_GOAL","WIN_BY_SCORE"))))</f>
        <v>WIN_BY_SCORE</v>
      </c>
      <c r="BI161" s="99" t="str">
        <f>IF(OR(BG161=DATA_CLEANED!AK152,BG161=DATA_CLEANED!AN152,BG161="MATCH NUL"),"OK","ERREUR")</f>
        <v>OK</v>
      </c>
    </row>
    <row r="162" spans="2:61">
      <c r="B162" s="74">
        <v>1994</v>
      </c>
      <c r="C162" s="30" t="str">
        <v>Round of 16</v>
      </c>
      <c r="D162" s="30" t="str">
        <v>Mexico</v>
      </c>
      <c r="E162" s="30" t="str">
        <v>Bulgaria</v>
      </c>
      <c r="F162" s="30" t="str">
        <v>Bulgaria</v>
      </c>
      <c r="G162" s="30" t="str">
        <v>Boncho Genchev</v>
      </c>
      <c r="H162" s="30" t="str">
        <v>Jorge Campos</v>
      </c>
      <c r="I162" s="30">
        <v>3</v>
      </c>
      <c r="J162" s="30">
        <v>2</v>
      </c>
      <c r="K162" s="30" t="str">
        <v>'0-0</v>
      </c>
      <c r="L162" s="30" t="str">
        <v>No</v>
      </c>
      <c r="M162" s="30" t="str">
        <v>No</v>
      </c>
      <c r="N162" s="30" t="str">
        <v>Goal</v>
      </c>
      <c r="O162" s="30" t="str">
        <f t="shared" si="20"/>
        <v>1994|Round of 16|Mexico|Bulgaria|Bulgaria|Boncho Genchev|Jorge Campos|3|2|'0-0|No|No|Goal</v>
      </c>
      <c r="P162" s="96" t="str">
        <f>IF(COUNTIF($G$32:O162,O162)&gt;1,"DOUBLON","OK")</f>
        <v>OK</v>
      </c>
      <c r="R162" s="23" t="s">
        <v>3669</v>
      </c>
      <c r="S162" s="30" t="str">
        <v>Brazil</v>
      </c>
      <c r="T162" s="30" t="str">
        <f t="shared" si="21"/>
        <v>OK</v>
      </c>
      <c r="U162" s="30" t="str">
        <f t="shared" si="18"/>
        <v>-</v>
      </c>
      <c r="V162" s="30" t="str" cm="1">
        <f t="array" ref="V162">_xlfn.IFS(
ISNUMBER(SEARCH("USA",S162)),"United States",
ISNUMBER(SEARCH("Republic of Korea",S162)),"South Korea",
ISNUMBER(SEARCH("Cape Verde",S162)),"Cabo Verde",
ISNUMBER(SEARCH("Czechia",S162)),"Czech Republic",
ISNUMBER(SEARCH("Türkiye",S162)),"Turkey",
ISNUMBER(SEARCH("Ivory Coast",S162)),"Côte d'Ivoire",
ISNUMBER(SEARCH("Korea Republic",S162)),"South Korea",
ISNUMBER(SEARCH("Germany FR",S162)),"FR Germany",
ISNUMBER(SEARCH("West Germany",S162)),"FR Germany",
ISNUMBER(SEARCH("Germany DR",S162)),"DR Germany",
ISNUMBER(SEARCH("Korea DPR",S162)),"North Korea",
ISNUMBER(SEARCH("China PR",S162)),"China",
ISNUMBER(SEARCH("IR Iran",S162)),"Iran",
ISNUMBER(SEARCH("Congo DR",S162)),"Democratic Republic of the Congo",
ISNUMBER(SEARCH("DR Congo",S162)),"Democratic Republic of the Congo",
ISNUMBER(SEARCH("German DR",S162)),"DR Germany",
ISNUMBER(SEARCH("rn""&gt;United Arab Emirates",S162)),"United Arab Emirates",
ISNUMBER(SEARCH("rn""&gt;Republic of Ireland",S162)),"Ireland",
ISNUMBER(SEARCH("rn""&gt;Bosnia and Herzegovina",S162)),"Bosnia and Herzegovina",
ISNUMBER(SEARCH("rn""&gt;Trinidad and Tobago",S162)),"Trinidad and Tobago",
ISNUMBER(SEARCH("rn""&gt;Serbia and Montenegro",S162)),"Serbia and Montenegro",
ISNUMBER(SEARCH(_xlfn.UNICHAR(65533),S162)),"Côte d'Ivoire",
TRUE,""
)</f>
        <v/>
      </c>
      <c r="W162" s="30" t="str">
        <f t="shared" si="19"/>
        <v>Brazil</v>
      </c>
      <c r="Z162" s="40" t="str">
        <v>Eyravallen</v>
      </c>
      <c r="AA162" s="40" t="str" cm="1">
        <f t="array" ref="AA162">IFERROR(_xlfn.XLOOKUP(Z162,_xlfn.ANCHORARRAY(Z$31),AA$31:AA$37),Z162)</f>
        <v>Eyravallen</v>
      </c>
      <c r="AB162" s="42" t="str">
        <v xml:space="preserve">Orebro </v>
      </c>
      <c r="AC162" s="89" t="str">
        <f t="shared" si="16"/>
        <v xml:space="preserve">Orebro </v>
      </c>
      <c r="AE162" s="42">
        <v>1954</v>
      </c>
      <c r="AK162" s="42">
        <v>4</v>
      </c>
      <c r="AL162" s="42">
        <v>1</v>
      </c>
      <c r="AV162" s="37" t="str">
        <v>QUARTER_FINALS</v>
      </c>
      <c r="AW162" s="89" t="str">
        <v>GROUP_STAGE</v>
      </c>
      <c r="BE162" s="43" t="str">
        <f>IF(OR(DATA_CLEANED!AL153="",DATA_CLEANED!AM153=""),"MANQUANT",IF(OR(NOT(ISNUMBER(DATA_CLEANED!AL153)),NOT(ISNUMBER(DATA_CLEANED!AM153))),"ENTREE INVALIDE",IF(OR(DATA_CLEANED!AL153&lt;0,DATA_CLEANED!AM153&lt;0),"SCORE NEGATIF","OK")))</f>
        <v>OK</v>
      </c>
      <c r="BF162" s="43" t="str">
        <f>IF(DATA_CLEANED!AK153&lt;&gt;DATA_CLEANED!AN153,"OK","ERREUR")</f>
        <v>OK</v>
      </c>
      <c r="BG162" s="43" t="str">
        <f>IF(DATA_CLEANED!AL153&gt;DATA_CLEANED!AM153,DATA_CLEANED!AK153,IF(AND(DATA_QUALITE!W4639="-",DATA_CLEANED!AM153=DATA_CLEANED!AL153),"MATCH NUL",IF(AND(DATA_QUALITE!V4639="-",DATA_QUALITE!U4639="AUCUNE"),DATA_QUALITE!T4639,IF(DATA_QUALITE!V4639&lt;&gt;"-",DATA_QUALITE!V4639,DATA_CLEANED!AN153))))</f>
        <v>Hungary</v>
      </c>
      <c r="BH162" s="103" t="str">
        <f>IF(AND(BG162="MATCH NUL",DATA_CLEANED!AO153="-"),"MATCH_NUL",IF(ISNUMBER(SEARCH("win on penalties",W4639)),"WIN_BY_PENALTY",IF(ISNUMBER(SEARCH("win after extra time",W4639)),"WIN_BY_EXTRA_TIME",IF(ISNUMBER(SEARCH("Golden Goal",W4639)),"WIN_BY_GOLDEN_GOAL","WIN_BY_SCORE"))))</f>
        <v>WIN_BY_SCORE</v>
      </c>
      <c r="BI162" s="99" t="str">
        <f>IF(OR(BG162=DATA_CLEANED!AK153,BG162=DATA_CLEANED!AN153,BG162="MATCH NUL"),"OK","ERREUR")</f>
        <v>OK</v>
      </c>
    </row>
    <row r="163" spans="2:61">
      <c r="B163" s="74">
        <v>1994</v>
      </c>
      <c r="C163" s="30" t="str">
        <v>Round of 16</v>
      </c>
      <c r="D163" s="30" t="str">
        <v>Mexico</v>
      </c>
      <c r="E163" s="30" t="str">
        <v>Bulgaria</v>
      </c>
      <c r="F163" s="30" t="str">
        <v>Mexico</v>
      </c>
      <c r="G163" s="30" t="str">
        <v>Marcelino Bernal</v>
      </c>
      <c r="H163" s="30" t="str">
        <v>Borislav Mihaylov</v>
      </c>
      <c r="I163" s="30">
        <v>4</v>
      </c>
      <c r="J163" s="30">
        <v>2</v>
      </c>
      <c r="K163" s="30" t="str">
        <v>'0-1</v>
      </c>
      <c r="L163" s="30" t="str">
        <v>No</v>
      </c>
      <c r="M163" s="30" t="str">
        <v>No</v>
      </c>
      <c r="N163" s="30" t="str">
        <v>Saved</v>
      </c>
      <c r="O163" s="30" t="str">
        <f t="shared" si="20"/>
        <v>1994|Round of 16|Mexico|Bulgaria|Mexico|Marcelino Bernal|Borislav Mihaylov|4|2|'0-1|No|No|Saved</v>
      </c>
      <c r="P163" s="96" t="str">
        <f>IF(COUNTIF($G$32:O163,O163)&gt;1,"DOUBLON","OK")</f>
        <v>OK</v>
      </c>
      <c r="R163" s="23" t="s">
        <v>3670</v>
      </c>
      <c r="S163" s="30" t="str">
        <v>Brazil</v>
      </c>
      <c r="T163" s="30" t="str">
        <f t="shared" si="21"/>
        <v>OK</v>
      </c>
      <c r="U163" s="30" t="str">
        <f t="shared" si="18"/>
        <v>-</v>
      </c>
      <c r="V163" s="30" t="str" cm="1">
        <f t="array" ref="V163">_xlfn.IFS(
ISNUMBER(SEARCH("USA",S163)),"United States",
ISNUMBER(SEARCH("Republic of Korea",S163)),"South Korea",
ISNUMBER(SEARCH("Cape Verde",S163)),"Cabo Verde",
ISNUMBER(SEARCH("Czechia",S163)),"Czech Republic",
ISNUMBER(SEARCH("Türkiye",S163)),"Turkey",
ISNUMBER(SEARCH("Ivory Coast",S163)),"Côte d'Ivoire",
ISNUMBER(SEARCH("Korea Republic",S163)),"South Korea",
ISNUMBER(SEARCH("Germany FR",S163)),"FR Germany",
ISNUMBER(SEARCH("West Germany",S163)),"FR Germany",
ISNUMBER(SEARCH("Germany DR",S163)),"DR Germany",
ISNUMBER(SEARCH("Korea DPR",S163)),"North Korea",
ISNUMBER(SEARCH("China PR",S163)),"China",
ISNUMBER(SEARCH("IR Iran",S163)),"Iran",
ISNUMBER(SEARCH("Congo DR",S163)),"Democratic Republic of the Congo",
ISNUMBER(SEARCH("DR Congo",S163)),"Democratic Republic of the Congo",
ISNUMBER(SEARCH("German DR",S163)),"DR Germany",
ISNUMBER(SEARCH("rn""&gt;United Arab Emirates",S163)),"United Arab Emirates",
ISNUMBER(SEARCH("rn""&gt;Republic of Ireland",S163)),"Ireland",
ISNUMBER(SEARCH("rn""&gt;Bosnia and Herzegovina",S163)),"Bosnia and Herzegovina",
ISNUMBER(SEARCH("rn""&gt;Trinidad and Tobago",S163)),"Trinidad and Tobago",
ISNUMBER(SEARCH("rn""&gt;Serbia and Montenegro",S163)),"Serbia and Montenegro",
ISNUMBER(SEARCH(_xlfn.UNICHAR(65533),S163)),"Côte d'Ivoire",
TRUE,""
)</f>
        <v/>
      </c>
      <c r="W163" s="30" t="str">
        <f t="shared" si="19"/>
        <v>Brazil</v>
      </c>
      <c r="Z163" s="40" t="str">
        <v>Ryavallen</v>
      </c>
      <c r="AA163" s="40" t="str" cm="1">
        <f t="array" ref="AA163">IFERROR(_xlfn.XLOOKUP(Z163,_xlfn.ANCHORARRAY(Z$31),AA$31:AA$37),Z163)</f>
        <v>Ryavallen</v>
      </c>
      <c r="AB163" s="42" t="str">
        <v xml:space="preserve">Boras </v>
      </c>
      <c r="AC163" s="89" t="str">
        <f t="shared" si="16"/>
        <v xml:space="preserve">Boras </v>
      </c>
      <c r="AE163" s="42">
        <v>1954</v>
      </c>
      <c r="AK163" s="42">
        <v>9</v>
      </c>
      <c r="AL163" s="42">
        <v>0</v>
      </c>
      <c r="AV163" s="37" t="str">
        <v>ROUND_OF_16</v>
      </c>
      <c r="AW163" s="89" t="str">
        <v>GROUP_STAGE</v>
      </c>
      <c r="BE163" s="43" t="str">
        <f>IF(OR(DATA_CLEANED!AL154="",DATA_CLEANED!AM154=""),"MANQUANT",IF(OR(NOT(ISNUMBER(DATA_CLEANED!AL154)),NOT(ISNUMBER(DATA_CLEANED!AM154))),"ENTREE INVALIDE",IF(OR(DATA_CLEANED!AL154&lt;0,DATA_CLEANED!AM154&lt;0),"SCORE NEGATIF","OK")))</f>
        <v>OK</v>
      </c>
      <c r="BF163" s="43" t="str">
        <f>IF(DATA_CLEANED!AK154&lt;&gt;DATA_CLEANED!AN154,"OK","ERREUR")</f>
        <v>OK</v>
      </c>
      <c r="BG163" s="43" t="str">
        <f>IF(DATA_CLEANED!AL154&gt;DATA_CLEANED!AM154,DATA_CLEANED!AK154,IF(AND(DATA_QUALITE!W4640="-",DATA_CLEANED!AM154=DATA_CLEANED!AL154),"MATCH NUL",IF(AND(DATA_QUALITE!V4640="-",DATA_QUALITE!U4640="AUCUNE"),DATA_QUALITE!T4640,IF(DATA_QUALITE!V4640&lt;&gt;"-",DATA_QUALITE!V4640,DATA_CLEANED!AN154))))</f>
        <v>FR Germany</v>
      </c>
      <c r="BH163" s="103" t="str">
        <f>IF(AND(BG163="MATCH NUL",DATA_CLEANED!AO154="-"),"MATCH_NUL",IF(ISNUMBER(SEARCH("win on penalties",W4640)),"WIN_BY_PENALTY",IF(ISNUMBER(SEARCH("win after extra time",W4640)),"WIN_BY_EXTRA_TIME",IF(ISNUMBER(SEARCH("Golden Goal",W4640)),"WIN_BY_GOLDEN_GOAL","WIN_BY_SCORE"))))</f>
        <v>WIN_BY_SCORE</v>
      </c>
      <c r="BI163" s="99" t="str">
        <f>IF(OR(BG163=DATA_CLEANED!AK154,BG163=DATA_CLEANED!AN154,BG163="MATCH NUL"),"OK","ERREUR")</f>
        <v>OK</v>
      </c>
    </row>
    <row r="164" spans="2:61">
      <c r="B164" s="74">
        <v>1994</v>
      </c>
      <c r="C164" s="30" t="str">
        <v>Round of 16</v>
      </c>
      <c r="D164" s="30" t="str">
        <v>Mexico</v>
      </c>
      <c r="E164" s="30" t="str">
        <v>Bulgaria</v>
      </c>
      <c r="F164" s="30" t="str">
        <v>Bulgaria</v>
      </c>
      <c r="G164" s="30" t="str">
        <v>Daniel Borimirov</v>
      </c>
      <c r="H164" s="30" t="str">
        <v>Jorge Campos</v>
      </c>
      <c r="I164" s="30">
        <v>5</v>
      </c>
      <c r="J164" s="30">
        <v>3</v>
      </c>
      <c r="K164" s="30" t="str">
        <v>'0-1</v>
      </c>
      <c r="L164" s="30" t="str">
        <v>No</v>
      </c>
      <c r="M164" s="30" t="str">
        <v>No</v>
      </c>
      <c r="N164" s="30" t="str">
        <v>Goal</v>
      </c>
      <c r="O164" s="30" t="str">
        <f t="shared" si="20"/>
        <v>1994|Round of 16|Mexico|Bulgaria|Bulgaria|Daniel Borimirov|Jorge Campos|5|3|'0-1|No|No|Goal</v>
      </c>
      <c r="P164" s="96" t="str">
        <f>IF(COUNTIF($G$32:O164,O164)&gt;1,"DOUBLON","OK")</f>
        <v>OK</v>
      </c>
      <c r="R164" s="23" t="s">
        <v>3671</v>
      </c>
      <c r="S164" s="30" t="str">
        <v>Brazil</v>
      </c>
      <c r="T164" s="30" t="str">
        <f t="shared" si="21"/>
        <v>OK</v>
      </c>
      <c r="U164" s="30" t="str">
        <f t="shared" si="18"/>
        <v>-</v>
      </c>
      <c r="V164" s="30" t="str" cm="1">
        <f t="array" ref="V164">_xlfn.IFS(
ISNUMBER(SEARCH("USA",S164)),"United States",
ISNUMBER(SEARCH("Republic of Korea",S164)),"South Korea",
ISNUMBER(SEARCH("Cape Verde",S164)),"Cabo Verde",
ISNUMBER(SEARCH("Czechia",S164)),"Czech Republic",
ISNUMBER(SEARCH("Türkiye",S164)),"Turkey",
ISNUMBER(SEARCH("Ivory Coast",S164)),"Côte d'Ivoire",
ISNUMBER(SEARCH("Korea Republic",S164)),"South Korea",
ISNUMBER(SEARCH("Germany FR",S164)),"FR Germany",
ISNUMBER(SEARCH("West Germany",S164)),"FR Germany",
ISNUMBER(SEARCH("Germany DR",S164)),"DR Germany",
ISNUMBER(SEARCH("Korea DPR",S164)),"North Korea",
ISNUMBER(SEARCH("China PR",S164)),"China",
ISNUMBER(SEARCH("IR Iran",S164)),"Iran",
ISNUMBER(SEARCH("Congo DR",S164)),"Democratic Republic of the Congo",
ISNUMBER(SEARCH("DR Congo",S164)),"Democratic Republic of the Congo",
ISNUMBER(SEARCH("German DR",S164)),"DR Germany",
ISNUMBER(SEARCH("rn""&gt;United Arab Emirates",S164)),"United Arab Emirates",
ISNUMBER(SEARCH("rn""&gt;Republic of Ireland",S164)),"Ireland",
ISNUMBER(SEARCH("rn""&gt;Bosnia and Herzegovina",S164)),"Bosnia and Herzegovina",
ISNUMBER(SEARCH("rn""&gt;Trinidad and Tobago",S164)),"Trinidad and Tobago",
ISNUMBER(SEARCH("rn""&gt;Serbia and Montenegro",S164)),"Serbia and Montenegro",
ISNUMBER(SEARCH(_xlfn.UNICHAR(65533),S164)),"Côte d'Ivoire",
TRUE,""
)</f>
        <v/>
      </c>
      <c r="W164" s="30" t="str">
        <f t="shared" si="19"/>
        <v>Brazil</v>
      </c>
      <c r="Z164" s="40" t="str">
        <v>Olympia Stadium</v>
      </c>
      <c r="AA164" s="40" t="str" cm="1">
        <f t="array" ref="AA164">IFERROR(_xlfn.XLOOKUP(Z164,_xlfn.ANCHORARRAY(Z$31),AA$31:AA$37),Z164)</f>
        <v>Olympia Stadium</v>
      </c>
      <c r="AB164" s="42" t="str">
        <v xml:space="preserve">Helsingborg </v>
      </c>
      <c r="AC164" s="89" t="str">
        <f t="shared" si="16"/>
        <v xml:space="preserve">Helsingborg </v>
      </c>
      <c r="AE164" s="42">
        <v>1954</v>
      </c>
      <c r="AK164" s="42">
        <v>4</v>
      </c>
      <c r="AL164" s="42">
        <v>4</v>
      </c>
      <c r="AV164" s="37" t="str">
        <v>ROUND_OF_16</v>
      </c>
      <c r="AW164" s="89" t="str">
        <v>GROUP_STAGE</v>
      </c>
      <c r="BE164" s="43" t="str">
        <f>IF(OR(DATA_CLEANED!AL155="",DATA_CLEANED!AM155=""),"MANQUANT",IF(OR(NOT(ISNUMBER(DATA_CLEANED!AL155)),NOT(ISNUMBER(DATA_CLEANED!AM155))),"ENTREE INVALIDE",IF(OR(DATA_CLEANED!AL155&lt;0,DATA_CLEANED!AM155&lt;0),"SCORE NEGATIF","OK")))</f>
        <v>OK</v>
      </c>
      <c r="BF164" s="43" t="str">
        <f>IF(DATA_CLEANED!AK155&lt;&gt;DATA_CLEANED!AN155,"OK","ERREUR")</f>
        <v>OK</v>
      </c>
      <c r="BG164" s="43" t="str">
        <f>IF(DATA_CLEANED!AL155&gt;DATA_CLEANED!AM155,DATA_CLEANED!AK155,IF(AND(DATA_QUALITE!W4641="-",DATA_CLEANED!AM155=DATA_CLEANED!AL155),"MATCH NUL",IF(AND(DATA_QUALITE!V4641="-",DATA_QUALITE!U4641="AUCUNE"),DATA_QUALITE!T4641,IF(DATA_QUALITE!V4641&lt;&gt;"-",DATA_QUALITE!V4641,DATA_CLEANED!AN155))))</f>
        <v>Soviet Union</v>
      </c>
      <c r="BH164" s="103" t="str">
        <f>IF(AND(BG164="MATCH NUL",DATA_CLEANED!AO155="-"),"MATCH_NUL",IF(ISNUMBER(SEARCH("win on penalties",W4641)),"WIN_BY_PENALTY",IF(ISNUMBER(SEARCH("win after extra time",W4641)),"WIN_BY_EXTRA_TIME",IF(ISNUMBER(SEARCH("Golden Goal",W4641)),"WIN_BY_GOLDEN_GOAL","WIN_BY_SCORE"))))</f>
        <v>WIN_BY_SCORE</v>
      </c>
      <c r="BI164" s="99" t="str">
        <f>IF(OR(BG164=DATA_CLEANED!AK155,BG164=DATA_CLEANED!AN155,BG164="MATCH NUL"),"OK","ERREUR")</f>
        <v>OK</v>
      </c>
    </row>
    <row r="165" spans="2:61">
      <c r="B165" s="74">
        <v>1994</v>
      </c>
      <c r="C165" s="30" t="str">
        <v>Round of 16</v>
      </c>
      <c r="D165" s="30" t="str">
        <v>Mexico</v>
      </c>
      <c r="E165" s="30" t="str">
        <v>Bulgaria</v>
      </c>
      <c r="F165" s="30" t="str">
        <v>Mexico</v>
      </c>
      <c r="G165" s="30" t="str">
        <v>Jorge Rodríguez</v>
      </c>
      <c r="H165" s="30" t="str">
        <v>Borislav Mihaylov</v>
      </c>
      <c r="I165" s="30">
        <v>6</v>
      </c>
      <c r="J165" s="30">
        <v>3</v>
      </c>
      <c r="K165" s="30" t="str">
        <v>'0-2</v>
      </c>
      <c r="L165" s="30" t="str">
        <v>No</v>
      </c>
      <c r="M165" s="30" t="str">
        <v>No</v>
      </c>
      <c r="N165" s="30" t="str">
        <v>Saved</v>
      </c>
      <c r="O165" s="30" t="str">
        <f t="shared" si="20"/>
        <v>1994|Round of 16|Mexico|Bulgaria|Mexico|Jorge Rodríguez|Borislav Mihaylov|6|3|'0-2|No|No|Saved</v>
      </c>
      <c r="P165" s="96" t="str">
        <f>IF(COUNTIF($G$32:O165,O165)&gt;1,"DOUBLON","OK")</f>
        <v>OK</v>
      </c>
      <c r="R165" s="23" t="s">
        <v>40</v>
      </c>
      <c r="S165" s="30" t="str">
        <v>Brazil</v>
      </c>
      <c r="T165" s="30" t="str">
        <f t="shared" si="21"/>
        <v>OK</v>
      </c>
      <c r="U165" s="30" t="str">
        <f t="shared" si="18"/>
        <v>-</v>
      </c>
      <c r="V165" s="30" t="str" cm="1">
        <f t="array" ref="V165">_xlfn.IFS(
ISNUMBER(SEARCH("USA",S165)),"United States",
ISNUMBER(SEARCH("Republic of Korea",S165)),"South Korea",
ISNUMBER(SEARCH("Cape Verde",S165)),"Cabo Verde",
ISNUMBER(SEARCH("Czechia",S165)),"Czech Republic",
ISNUMBER(SEARCH("Türkiye",S165)),"Turkey",
ISNUMBER(SEARCH("Ivory Coast",S165)),"Côte d'Ivoire",
ISNUMBER(SEARCH("Korea Republic",S165)),"South Korea",
ISNUMBER(SEARCH("Germany FR",S165)),"FR Germany",
ISNUMBER(SEARCH("West Germany",S165)),"FR Germany",
ISNUMBER(SEARCH("Germany DR",S165)),"DR Germany",
ISNUMBER(SEARCH("Korea DPR",S165)),"North Korea",
ISNUMBER(SEARCH("China PR",S165)),"China",
ISNUMBER(SEARCH("IR Iran",S165)),"Iran",
ISNUMBER(SEARCH("Congo DR",S165)),"Democratic Republic of the Congo",
ISNUMBER(SEARCH("DR Congo",S165)),"Democratic Republic of the Congo",
ISNUMBER(SEARCH("German DR",S165)),"DR Germany",
ISNUMBER(SEARCH("rn""&gt;United Arab Emirates",S165)),"United Arab Emirates",
ISNUMBER(SEARCH("rn""&gt;Republic of Ireland",S165)),"Ireland",
ISNUMBER(SEARCH("rn""&gt;Bosnia and Herzegovina",S165)),"Bosnia and Herzegovina",
ISNUMBER(SEARCH("rn""&gt;Trinidad and Tobago",S165)),"Trinidad and Tobago",
ISNUMBER(SEARCH("rn""&gt;Serbia and Montenegro",S165)),"Serbia and Montenegro",
ISNUMBER(SEARCH(_xlfn.UNICHAR(65533),S165)),"Côte d'Ivoire",
TRUE,""
)</f>
        <v/>
      </c>
      <c r="W165" s="30" t="str">
        <f t="shared" si="19"/>
        <v>Brazil</v>
      </c>
      <c r="Z165" s="40" t="str">
        <v>Nya Ullevi</v>
      </c>
      <c r="AA165" s="40" t="str" cm="1">
        <f t="array" ref="AA165">IFERROR(_xlfn.XLOOKUP(Z165,_xlfn.ANCHORARRAY(Z$31),AA$31:AA$37),Z165)</f>
        <v>Nya Ullevi</v>
      </c>
      <c r="AB165" s="42" t="str">
        <v xml:space="preserve">Gothenburg </v>
      </c>
      <c r="AC165" s="89" t="str">
        <f t="shared" si="16"/>
        <v xml:space="preserve">Gothenburg </v>
      </c>
      <c r="AE165" s="42">
        <v>1954</v>
      </c>
      <c r="AK165" s="42">
        <v>2</v>
      </c>
      <c r="AL165" s="42">
        <v>1</v>
      </c>
      <c r="AV165" s="37" t="str">
        <v>ROUND_OF_16</v>
      </c>
      <c r="AW165" s="89" t="str">
        <v>GROUP_STAGE</v>
      </c>
      <c r="BE165" s="43" t="str">
        <f>IF(OR(DATA_CLEANED!AL156="",DATA_CLEANED!AM156=""),"MANQUANT",IF(OR(NOT(ISNUMBER(DATA_CLEANED!AL156)),NOT(ISNUMBER(DATA_CLEANED!AM156))),"ENTREE INVALIDE",IF(OR(DATA_CLEANED!AL156&lt;0,DATA_CLEANED!AM156&lt;0),"SCORE NEGATIF","OK")))</f>
        <v>OK</v>
      </c>
      <c r="BF165" s="43" t="str">
        <f>IF(DATA_CLEANED!AK156&lt;&gt;DATA_CLEANED!AN156,"OK","ERREUR")</f>
        <v>OK</v>
      </c>
      <c r="BG165" s="43" t="str">
        <f>IF(DATA_CLEANED!AL156&gt;DATA_CLEANED!AM156,DATA_CLEANED!AK156,IF(AND(DATA_QUALITE!W4642="-",DATA_CLEANED!AM156=DATA_CLEANED!AL156),"MATCH NUL",IF(AND(DATA_QUALITE!V4642="-",DATA_QUALITE!U4642="AUCUNE"),DATA_QUALITE!T4642,IF(DATA_QUALITE!V4642&lt;&gt;"-",DATA_QUALITE!V4642,DATA_CLEANED!AN156))))</f>
        <v>Brazil</v>
      </c>
      <c r="BH165" s="103" t="str">
        <f>IF(AND(BG165="MATCH NUL",DATA_CLEANED!AO156="-"),"MATCH_NUL",IF(ISNUMBER(SEARCH("win on penalties",W4642)),"WIN_BY_PENALTY",IF(ISNUMBER(SEARCH("win after extra time",W4642)),"WIN_BY_EXTRA_TIME",IF(ISNUMBER(SEARCH("Golden Goal",W4642)),"WIN_BY_GOLDEN_GOAL","WIN_BY_SCORE"))))</f>
        <v>WIN_BY_SCORE</v>
      </c>
      <c r="BI165" s="99" t="str">
        <f>IF(OR(BG165=DATA_CLEANED!AK156,BG165=DATA_CLEANED!AN156,BG165="MATCH NUL"),"OK","ERREUR")</f>
        <v>OK</v>
      </c>
    </row>
    <row r="166" spans="2:61">
      <c r="B166" s="74">
        <v>1994</v>
      </c>
      <c r="C166" s="30" t="str">
        <v>Round of 16</v>
      </c>
      <c r="D166" s="30" t="str">
        <v>Mexico</v>
      </c>
      <c r="E166" s="30" t="str">
        <v>Bulgaria</v>
      </c>
      <c r="F166" s="30" t="str">
        <v>Bulgaria</v>
      </c>
      <c r="G166" s="30" t="str">
        <v>Yordan Letchkov</v>
      </c>
      <c r="H166" s="30" t="str">
        <v>Jorge Campos</v>
      </c>
      <c r="I166" s="30">
        <v>7</v>
      </c>
      <c r="J166" s="30">
        <v>4</v>
      </c>
      <c r="K166" s="30" t="str">
        <v>'0-2</v>
      </c>
      <c r="L166" s="30" t="str">
        <v>No</v>
      </c>
      <c r="M166" s="30" t="str">
        <v>Yes</v>
      </c>
      <c r="N166" s="30" t="str">
        <v>Goal</v>
      </c>
      <c r="O166" s="30" t="str">
        <f t="shared" si="20"/>
        <v>1994|Round of 16|Mexico|Bulgaria|Bulgaria|Yordan Letchkov|Jorge Campos|7|4|'0-2|No|Yes|Goal</v>
      </c>
      <c r="P166" s="96" t="str">
        <f>IF(COUNTIF($G$32:O166,O166)&gt;1,"DOUBLON","OK")</f>
        <v>OK</v>
      </c>
      <c r="R166" s="23" t="s">
        <v>3747</v>
      </c>
      <c r="S166" s="30" t="str">
        <v>Brazil</v>
      </c>
      <c r="T166" s="30" t="str">
        <f t="shared" si="21"/>
        <v>OK</v>
      </c>
      <c r="U166" s="30" t="str">
        <f t="shared" si="18"/>
        <v>-</v>
      </c>
      <c r="V166" s="30" t="str" cm="1">
        <f t="array" ref="V166">_xlfn.IFS(
ISNUMBER(SEARCH("USA",S166)),"United States",
ISNUMBER(SEARCH("Republic of Korea",S166)),"South Korea",
ISNUMBER(SEARCH("Cape Verde",S166)),"Cabo Verde",
ISNUMBER(SEARCH("Czechia",S166)),"Czech Republic",
ISNUMBER(SEARCH("Türkiye",S166)),"Turkey",
ISNUMBER(SEARCH("Ivory Coast",S166)),"Côte d'Ivoire",
ISNUMBER(SEARCH("Korea Republic",S166)),"South Korea",
ISNUMBER(SEARCH("Germany FR",S166)),"FR Germany",
ISNUMBER(SEARCH("West Germany",S166)),"FR Germany",
ISNUMBER(SEARCH("Germany DR",S166)),"DR Germany",
ISNUMBER(SEARCH("Korea DPR",S166)),"North Korea",
ISNUMBER(SEARCH("China PR",S166)),"China",
ISNUMBER(SEARCH("IR Iran",S166)),"Iran",
ISNUMBER(SEARCH("Congo DR",S166)),"Democratic Republic of the Congo",
ISNUMBER(SEARCH("DR Congo",S166)),"Democratic Republic of the Congo",
ISNUMBER(SEARCH("German DR",S166)),"DR Germany",
ISNUMBER(SEARCH("rn""&gt;United Arab Emirates",S166)),"United Arab Emirates",
ISNUMBER(SEARCH("rn""&gt;Republic of Ireland",S166)),"Ireland",
ISNUMBER(SEARCH("rn""&gt;Bosnia and Herzegovina",S166)),"Bosnia and Herzegovina",
ISNUMBER(SEARCH("rn""&gt;Trinidad and Tobago",S166)),"Trinidad and Tobago",
ISNUMBER(SEARCH("rn""&gt;Serbia and Montenegro",S166)),"Serbia and Montenegro",
ISNUMBER(SEARCH(_xlfn.UNICHAR(65533),S166)),"Côte d'Ivoire",
TRUE,""
)</f>
        <v/>
      </c>
      <c r="W166" s="30" t="str">
        <f t="shared" si="19"/>
        <v>Brazil</v>
      </c>
      <c r="Z166" s="40" t="str">
        <v>Malmo Stadion</v>
      </c>
      <c r="AA166" s="40" t="str" cm="1">
        <f t="array" ref="AA166">IFERROR(_xlfn.XLOOKUP(Z166,_xlfn.ANCHORARRAY(Z$31),AA$31:AA$37),Z166)</f>
        <v>Malmo Stadion</v>
      </c>
      <c r="AB166" s="42" t="str">
        <v xml:space="preserve">Malm� </v>
      </c>
      <c r="AC166" s="89" t="str">
        <f t="shared" si="16"/>
        <v>Malmö</v>
      </c>
      <c r="AE166" s="42">
        <v>1954</v>
      </c>
      <c r="AK166" s="42">
        <v>7</v>
      </c>
      <c r="AL166" s="42">
        <v>0</v>
      </c>
      <c r="AV166" s="37" t="str">
        <v>ROUND_OF_16</v>
      </c>
      <c r="AW166" s="89" t="str">
        <v>GROUP_STAGE</v>
      </c>
      <c r="BE166" s="43" t="str">
        <f>IF(OR(DATA_CLEANED!AL157="",DATA_CLEANED!AM157=""),"MANQUANT",IF(OR(NOT(ISNUMBER(DATA_CLEANED!AL157)),NOT(ISNUMBER(DATA_CLEANED!AM157))),"ENTREE INVALIDE",IF(OR(DATA_CLEANED!AL157&lt;0,DATA_CLEANED!AM157&lt;0),"SCORE NEGATIF","OK")))</f>
        <v>OK</v>
      </c>
      <c r="BF166" s="43" t="str">
        <f>IF(DATA_CLEANED!AK157&lt;&gt;DATA_CLEANED!AN157,"OK","ERREUR")</f>
        <v>OK</v>
      </c>
      <c r="BG166" s="43" t="str">
        <f>IF(DATA_CLEANED!AL157&gt;DATA_CLEANED!AM157,DATA_CLEANED!AK157,IF(AND(DATA_QUALITE!W4643="-",DATA_CLEANED!AM157=DATA_CLEANED!AL157),"MATCH NUL",IF(AND(DATA_QUALITE!V4643="-",DATA_QUALITE!U4643="AUCUNE"),DATA_QUALITE!T4643,IF(DATA_QUALITE!V4643&lt;&gt;"-",DATA_QUALITE!V4643,DATA_CLEANED!AN157))))</f>
        <v>MATCH NUL</v>
      </c>
      <c r="BH166" s="103" t="str">
        <f>IF(AND(BG166="MATCH NUL",DATA_CLEANED!AO157="-"),"MATCH_NUL",IF(ISNUMBER(SEARCH("win on penalties",W4643)),"WIN_BY_PENALTY",IF(ISNUMBER(SEARCH("win after extra time",W4643)),"WIN_BY_EXTRA_TIME",IF(ISNUMBER(SEARCH("Golden Goal",W4643)),"WIN_BY_GOLDEN_GOAL","WIN_BY_SCORE"))))</f>
        <v>MATCH_NUL</v>
      </c>
      <c r="BI166" s="99" t="str">
        <f>IF(OR(BG166=DATA_CLEANED!AK157,BG166=DATA_CLEANED!AN157,BG166="MATCH NUL"),"OK","ERREUR")</f>
        <v>OK</v>
      </c>
    </row>
    <row r="167" spans="2:61">
      <c r="B167" s="74">
        <v>1994</v>
      </c>
      <c r="C167" s="30" t="str">
        <v>Round of 16</v>
      </c>
      <c r="D167" s="30" t="str">
        <v>Mexico</v>
      </c>
      <c r="E167" s="30" t="str">
        <v>Bulgaria</v>
      </c>
      <c r="F167" s="30" t="str">
        <v>Mexico</v>
      </c>
      <c r="G167" s="30" t="str">
        <v>Claudio Suárez</v>
      </c>
      <c r="H167" s="30" t="str">
        <v>Borislav Mihaylov</v>
      </c>
      <c r="I167" s="30">
        <v>8</v>
      </c>
      <c r="J167" s="30">
        <v>4</v>
      </c>
      <c r="K167" s="30" t="str">
        <v>'2-1</v>
      </c>
      <c r="L167" s="30" t="str">
        <v>Yes</v>
      </c>
      <c r="M167" s="30" t="str">
        <v>No</v>
      </c>
      <c r="N167" s="30" t="str">
        <v>Goal</v>
      </c>
      <c r="O167" s="30" t="str">
        <f t="shared" si="20"/>
        <v>1994|Round of 16|Mexico|Bulgaria|Mexico|Claudio Suárez|Borislav Mihaylov|8|4|'2-1|Yes|No|Goal</v>
      </c>
      <c r="P167" s="96" t="str">
        <f>IF(COUNTIF($G$32:O167,O167)&gt;1,"DOUBLON","OK")</f>
        <v>OK</v>
      </c>
      <c r="R167" s="23" t="s">
        <v>76</v>
      </c>
      <c r="S167" s="30" t="str">
        <v>Brazil</v>
      </c>
      <c r="T167" s="30" t="str">
        <f t="shared" si="21"/>
        <v>OK</v>
      </c>
      <c r="U167" s="30" t="str">
        <f t="shared" si="18"/>
        <v>-</v>
      </c>
      <c r="V167" s="30" t="str" cm="1">
        <f t="array" ref="V167">_xlfn.IFS(
ISNUMBER(SEARCH("USA",S167)),"United States",
ISNUMBER(SEARCH("Republic of Korea",S167)),"South Korea",
ISNUMBER(SEARCH("Cape Verde",S167)),"Cabo Verde",
ISNUMBER(SEARCH("Czechia",S167)),"Czech Republic",
ISNUMBER(SEARCH("Türkiye",S167)),"Turkey",
ISNUMBER(SEARCH("Ivory Coast",S167)),"Côte d'Ivoire",
ISNUMBER(SEARCH("Korea Republic",S167)),"South Korea",
ISNUMBER(SEARCH("Germany FR",S167)),"FR Germany",
ISNUMBER(SEARCH("West Germany",S167)),"FR Germany",
ISNUMBER(SEARCH("Germany DR",S167)),"DR Germany",
ISNUMBER(SEARCH("Korea DPR",S167)),"North Korea",
ISNUMBER(SEARCH("China PR",S167)),"China",
ISNUMBER(SEARCH("IR Iran",S167)),"Iran",
ISNUMBER(SEARCH("Congo DR",S167)),"Democratic Republic of the Congo",
ISNUMBER(SEARCH("DR Congo",S167)),"Democratic Republic of the Congo",
ISNUMBER(SEARCH("German DR",S167)),"DR Germany",
ISNUMBER(SEARCH("rn""&gt;United Arab Emirates",S167)),"United Arab Emirates",
ISNUMBER(SEARCH("rn""&gt;Republic of Ireland",S167)),"Ireland",
ISNUMBER(SEARCH("rn""&gt;Bosnia and Herzegovina",S167)),"Bosnia and Herzegovina",
ISNUMBER(SEARCH("rn""&gt;Trinidad and Tobago",S167)),"Trinidad and Tobago",
ISNUMBER(SEARCH("rn""&gt;Serbia and Montenegro",S167)),"Serbia and Montenegro",
ISNUMBER(SEARCH(_xlfn.UNICHAR(65533),S167)),"Côte d'Ivoire",
TRUE,""
)</f>
        <v/>
      </c>
      <c r="W167" s="30" t="str">
        <f t="shared" si="19"/>
        <v>Brazil</v>
      </c>
      <c r="Z167" s="40" t="str">
        <v>Rasunda Stadium</v>
      </c>
      <c r="AA167" s="40" t="str" cm="1">
        <f t="array" ref="AA167">IFERROR(_xlfn.XLOOKUP(Z167,_xlfn.ANCHORARRAY(Z$31),AA$31:AA$37),Z167)</f>
        <v>Rasunda Stadium</v>
      </c>
      <c r="AB167" s="42" t="str">
        <v xml:space="preserve">Solna </v>
      </c>
      <c r="AC167" s="89" t="str">
        <f t="shared" si="16"/>
        <v xml:space="preserve">Solna </v>
      </c>
      <c r="AE167" s="42">
        <v>1954</v>
      </c>
      <c r="AK167" s="42">
        <v>5</v>
      </c>
      <c r="AL167" s="42">
        <v>0</v>
      </c>
      <c r="AV167" s="37" t="str">
        <v>ROUND_OF_16</v>
      </c>
      <c r="AW167" s="89" t="str">
        <v>GROUP_STAGE</v>
      </c>
      <c r="BE167" s="43" t="str">
        <f>IF(OR(DATA_CLEANED!AL158="",DATA_CLEANED!AM158=""),"MANQUANT",IF(OR(NOT(ISNUMBER(DATA_CLEANED!AL158)),NOT(ISNUMBER(DATA_CLEANED!AM158))),"ENTREE INVALIDE",IF(OR(DATA_CLEANED!AL158&lt;0,DATA_CLEANED!AM158&lt;0),"SCORE NEGATIF","OK")))</f>
        <v>OK</v>
      </c>
      <c r="BF167" s="43" t="str">
        <f>IF(DATA_CLEANED!AK158&lt;&gt;DATA_CLEANED!AN158,"OK","ERREUR")</f>
        <v>OK</v>
      </c>
      <c r="BG167" s="43" t="str">
        <f>IF(DATA_CLEANED!AL158&gt;DATA_CLEANED!AM158,DATA_CLEANED!AK158,IF(AND(DATA_QUALITE!W4644="-",DATA_CLEANED!AM158=DATA_CLEANED!AL158),"MATCH NUL",IF(AND(DATA_QUALITE!V4644="-",DATA_QUALITE!U4644="AUCUNE"),DATA_QUALITE!T4644,IF(DATA_QUALITE!V4644&lt;&gt;"-",DATA_QUALITE!V4644,DATA_CLEANED!AN158))))</f>
        <v>FR Germany</v>
      </c>
      <c r="BH167" s="103" t="str">
        <f>IF(AND(BG167="MATCH NUL",DATA_CLEANED!AO158="-"),"MATCH_NUL",IF(ISNUMBER(SEARCH("win on penalties",W4644)),"WIN_BY_PENALTY",IF(ISNUMBER(SEARCH("win after extra time",W4644)),"WIN_BY_EXTRA_TIME",IF(ISNUMBER(SEARCH("Golden Goal",W4644)),"WIN_BY_GOLDEN_GOAL","WIN_BY_SCORE"))))</f>
        <v>WIN_BY_SCORE</v>
      </c>
      <c r="BI167" s="99" t="str">
        <f>IF(OR(BG167=DATA_CLEANED!AK158,BG167=DATA_CLEANED!AN158,BG167="MATCH NUL"),"OK","ERREUR")</f>
        <v>OK</v>
      </c>
    </row>
    <row r="168" spans="2:61">
      <c r="B168" s="74">
        <v>1994</v>
      </c>
      <c r="C168" s="30" t="str">
        <v>Quarter-finals</v>
      </c>
      <c r="D168" s="30" t="str">
        <v>Romania</v>
      </c>
      <c r="E168" s="30" t="str">
        <v>Sweden</v>
      </c>
      <c r="F168" s="30" t="str">
        <v>Sweden</v>
      </c>
      <c r="G168" s="30" t="str">
        <v>Håkan Mild</v>
      </c>
      <c r="H168" s="30" t="str">
        <v>Florian Prunea</v>
      </c>
      <c r="I168" s="30">
        <v>1</v>
      </c>
      <c r="J168" s="30">
        <v>1</v>
      </c>
      <c r="K168" s="30" t="str">
        <v>'0-0</v>
      </c>
      <c r="L168" s="30" t="str">
        <v>No</v>
      </c>
      <c r="M168" s="30" t="str">
        <v>No</v>
      </c>
      <c r="N168" s="30" t="str">
        <v>Missed</v>
      </c>
      <c r="O168" s="30" t="str">
        <f t="shared" si="20"/>
        <v>1994|Quarter-finals|Romania|Sweden|Sweden|Håkan Mild|Florian Prunea|1|1|'0-0|No|No|Missed</v>
      </c>
      <c r="P168" s="96" t="str">
        <f>IF(COUNTIF($G$32:O168,O168)&gt;1,"DOUBLON","OK")</f>
        <v>OK</v>
      </c>
      <c r="R168" s="23" t="s">
        <v>3672</v>
      </c>
      <c r="S168" s="30" t="str">
        <v>Brazil</v>
      </c>
      <c r="T168" s="30" t="str">
        <f t="shared" si="21"/>
        <v>OK</v>
      </c>
      <c r="U168" s="30" t="str">
        <f t="shared" si="18"/>
        <v>-</v>
      </c>
      <c r="V168" s="30" t="str" cm="1">
        <f t="array" ref="V168">_xlfn.IFS(
ISNUMBER(SEARCH("USA",S168)),"United States",
ISNUMBER(SEARCH("Republic of Korea",S168)),"South Korea",
ISNUMBER(SEARCH("Cape Verde",S168)),"Cabo Verde",
ISNUMBER(SEARCH("Czechia",S168)),"Czech Republic",
ISNUMBER(SEARCH("Türkiye",S168)),"Turkey",
ISNUMBER(SEARCH("Ivory Coast",S168)),"Côte d'Ivoire",
ISNUMBER(SEARCH("Korea Republic",S168)),"South Korea",
ISNUMBER(SEARCH("Germany FR",S168)),"FR Germany",
ISNUMBER(SEARCH("West Germany",S168)),"FR Germany",
ISNUMBER(SEARCH("Germany DR",S168)),"DR Germany",
ISNUMBER(SEARCH("Korea DPR",S168)),"North Korea",
ISNUMBER(SEARCH("China PR",S168)),"China",
ISNUMBER(SEARCH("IR Iran",S168)),"Iran",
ISNUMBER(SEARCH("Congo DR",S168)),"Democratic Republic of the Congo",
ISNUMBER(SEARCH("DR Congo",S168)),"Democratic Republic of the Congo",
ISNUMBER(SEARCH("German DR",S168)),"DR Germany",
ISNUMBER(SEARCH("rn""&gt;United Arab Emirates",S168)),"United Arab Emirates",
ISNUMBER(SEARCH("rn""&gt;Republic of Ireland",S168)),"Ireland",
ISNUMBER(SEARCH("rn""&gt;Bosnia and Herzegovina",S168)),"Bosnia and Herzegovina",
ISNUMBER(SEARCH("rn""&gt;Trinidad and Tobago",S168)),"Trinidad and Tobago",
ISNUMBER(SEARCH("rn""&gt;Serbia and Montenegro",S168)),"Serbia and Montenegro",
ISNUMBER(SEARCH(_xlfn.UNICHAR(65533),S168)),"Côte d'Ivoire",
TRUE,""
)</f>
        <v/>
      </c>
      <c r="W168" s="30" t="str">
        <f t="shared" si="19"/>
        <v>Brazil</v>
      </c>
      <c r="Z168" s="40" t="str">
        <v>Nya Ullevi</v>
      </c>
      <c r="AA168" s="40" t="str" cm="1">
        <f t="array" ref="AA168">IFERROR(_xlfn.XLOOKUP(Z168,_xlfn.ANCHORARRAY(Z$31),AA$31:AA$37),Z168)</f>
        <v>Nya Ullevi</v>
      </c>
      <c r="AB168" s="42" t="str">
        <v xml:space="preserve">Gothenburg </v>
      </c>
      <c r="AC168" s="89" t="str">
        <f t="shared" si="16"/>
        <v xml:space="preserve">Gothenburg </v>
      </c>
      <c r="AE168" s="42">
        <v>1954</v>
      </c>
      <c r="AK168" s="42">
        <v>3</v>
      </c>
      <c r="AL168" s="42">
        <v>2</v>
      </c>
      <c r="AV168" s="37" t="str">
        <v>ROUND_OF_16</v>
      </c>
      <c r="AW168" s="89" t="str">
        <v>GROUP_STAGE</v>
      </c>
      <c r="BE168" s="43" t="str">
        <f>IF(OR(DATA_CLEANED!AL159="",DATA_CLEANED!AM159=""),"MANQUANT",IF(OR(NOT(ISNUMBER(DATA_CLEANED!AL159)),NOT(ISNUMBER(DATA_CLEANED!AM159))),"ENTREE INVALIDE",IF(OR(DATA_CLEANED!AL159&lt;0,DATA_CLEANED!AM159&lt;0),"SCORE NEGATIF","OK")))</f>
        <v>OK</v>
      </c>
      <c r="BF168" s="43" t="str">
        <f>IF(DATA_CLEANED!AK159&lt;&gt;DATA_CLEANED!AN159,"OK","ERREUR")</f>
        <v>OK</v>
      </c>
      <c r="BG168" s="43" t="str">
        <f>IF(DATA_CLEANED!AL159&gt;DATA_CLEANED!AM159,DATA_CLEANED!AK159,IF(AND(DATA_QUALITE!W4645="-",DATA_CLEANED!AM159=DATA_CLEANED!AL159),"MATCH NUL",IF(AND(DATA_QUALITE!V4645="-",DATA_QUALITE!U4645="AUCUNE"),DATA_QUALITE!T4645,IF(DATA_QUALITE!V4645&lt;&gt;"-",DATA_QUALITE!V4645,DATA_CLEANED!AN159))))</f>
        <v>Yugoslavia</v>
      </c>
      <c r="BH168" s="103" t="str">
        <f>IF(AND(BG168="MATCH NUL",DATA_CLEANED!AO159="-"),"MATCH_NUL",IF(ISNUMBER(SEARCH("win on penalties",W4645)),"WIN_BY_PENALTY",IF(ISNUMBER(SEARCH("win after extra time",W4645)),"WIN_BY_EXTRA_TIME",IF(ISNUMBER(SEARCH("Golden Goal",W4645)),"WIN_BY_GOLDEN_GOAL","WIN_BY_SCORE"))))</f>
        <v>WIN_BY_SCORE</v>
      </c>
      <c r="BI168" s="99" t="str">
        <f>IF(OR(BG168=DATA_CLEANED!AK159,BG168=DATA_CLEANED!AN159,BG168="MATCH NUL"),"OK","ERREUR")</f>
        <v>OK</v>
      </c>
    </row>
    <row r="169" spans="2:61">
      <c r="B169" s="74">
        <v>1994</v>
      </c>
      <c r="C169" s="30" t="str">
        <v>Quarter-finals</v>
      </c>
      <c r="D169" s="30" t="str">
        <v>Romania</v>
      </c>
      <c r="E169" s="30" t="str">
        <v>Sweden</v>
      </c>
      <c r="F169" s="30" t="str">
        <v>Romania</v>
      </c>
      <c r="G169" s="30" t="str">
        <v>Radu Răducioiu</v>
      </c>
      <c r="H169" s="30" t="str">
        <v>Thomas Ravelli</v>
      </c>
      <c r="I169" s="30">
        <v>2</v>
      </c>
      <c r="J169" s="30">
        <v>1</v>
      </c>
      <c r="K169" s="30" t="str">
        <v>'0-0</v>
      </c>
      <c r="L169" s="30" t="str">
        <v>No</v>
      </c>
      <c r="M169" s="30" t="str">
        <v>No</v>
      </c>
      <c r="N169" s="30" t="str">
        <v>Goal</v>
      </c>
      <c r="O169" s="30" t="str">
        <f t="shared" si="20"/>
        <v>1994|Quarter-finals|Romania|Sweden|Romania|Radu Răducioiu|Thomas Ravelli|2|1|'0-0|No|No|Goal</v>
      </c>
      <c r="P169" s="96" t="str">
        <f>IF(COUNTIF($G$32:O169,O169)&gt;1,"DOUBLON","OK")</f>
        <v>OK</v>
      </c>
      <c r="R169" s="23" t="s">
        <v>3673</v>
      </c>
      <c r="S169" s="30" t="str">
        <v>Argentina</v>
      </c>
      <c r="T169" s="30" t="str">
        <f t="shared" si="21"/>
        <v>OK</v>
      </c>
      <c r="U169" s="30" t="str">
        <f t="shared" si="18"/>
        <v>-</v>
      </c>
      <c r="V169" s="30" t="str" cm="1">
        <f t="array" ref="V169">_xlfn.IFS(
ISNUMBER(SEARCH("USA",S169)),"United States",
ISNUMBER(SEARCH("Republic of Korea",S169)),"South Korea",
ISNUMBER(SEARCH("Cape Verde",S169)),"Cabo Verde",
ISNUMBER(SEARCH("Czechia",S169)),"Czech Republic",
ISNUMBER(SEARCH("Türkiye",S169)),"Turkey",
ISNUMBER(SEARCH("Ivory Coast",S169)),"Côte d'Ivoire",
ISNUMBER(SEARCH("Korea Republic",S169)),"South Korea",
ISNUMBER(SEARCH("Germany FR",S169)),"FR Germany",
ISNUMBER(SEARCH("West Germany",S169)),"FR Germany",
ISNUMBER(SEARCH("Germany DR",S169)),"DR Germany",
ISNUMBER(SEARCH("Korea DPR",S169)),"North Korea",
ISNUMBER(SEARCH("China PR",S169)),"China",
ISNUMBER(SEARCH("IR Iran",S169)),"Iran",
ISNUMBER(SEARCH("Congo DR",S169)),"Democratic Republic of the Congo",
ISNUMBER(SEARCH("DR Congo",S169)),"Democratic Republic of the Congo",
ISNUMBER(SEARCH("German DR",S169)),"DR Germany",
ISNUMBER(SEARCH("rn""&gt;United Arab Emirates",S169)),"United Arab Emirates",
ISNUMBER(SEARCH("rn""&gt;Republic of Ireland",S169)),"Ireland",
ISNUMBER(SEARCH("rn""&gt;Bosnia and Herzegovina",S169)),"Bosnia and Herzegovina",
ISNUMBER(SEARCH("rn""&gt;Trinidad and Tobago",S169)),"Trinidad and Tobago",
ISNUMBER(SEARCH("rn""&gt;Serbia and Montenegro",S169)),"Serbia and Montenegro",
ISNUMBER(SEARCH(_xlfn.UNICHAR(65533),S169)),"Côte d'Ivoire",
TRUE,""
)</f>
        <v/>
      </c>
      <c r="W169" s="30" t="str">
        <f t="shared" si="19"/>
        <v>Argentina</v>
      </c>
      <c r="Z169" s="40" t="str">
        <v>Malmo Stadion</v>
      </c>
      <c r="AA169" s="40" t="str" cm="1">
        <f t="array" ref="AA169">IFERROR(_xlfn.XLOOKUP(Z169,_xlfn.ANCHORARRAY(Z$31),AA$31:AA$37),Z169)</f>
        <v>Malmo Stadion</v>
      </c>
      <c r="AB169" s="42" t="str">
        <v xml:space="preserve">Malm� </v>
      </c>
      <c r="AC169" s="89" t="str">
        <f t="shared" ref="AC169:AC232" si="22">_xlfn.SINGLE(IFERROR(_xlfn.XLOOKUP(AB169,AB$31:AB$34,AC$31:AC$34),AB169))</f>
        <v>Malmö</v>
      </c>
      <c r="AE169" s="42">
        <v>1954</v>
      </c>
      <c r="AK169" s="42">
        <v>1</v>
      </c>
      <c r="AL169" s="42">
        <v>1</v>
      </c>
      <c r="AV169" s="37" t="str">
        <v>ROUND_OF_16</v>
      </c>
      <c r="AW169" s="89" t="str">
        <v>GROUP_STAGE</v>
      </c>
      <c r="BE169" s="43" t="str">
        <f>IF(OR(DATA_CLEANED!AL160="",DATA_CLEANED!AM160=""),"MANQUANT",IF(OR(NOT(ISNUMBER(DATA_CLEANED!AL160)),NOT(ISNUMBER(DATA_CLEANED!AM160))),"ENTREE INVALIDE",IF(OR(DATA_CLEANED!AL160&lt;0,DATA_CLEANED!AM160&lt;0),"SCORE NEGATIF","OK")))</f>
        <v>OK</v>
      </c>
      <c r="BF169" s="43" t="str">
        <f>IF(DATA_CLEANED!AK160&lt;&gt;DATA_CLEANED!AN160,"OK","ERREUR")</f>
        <v>OK</v>
      </c>
      <c r="BG169" s="43" t="str">
        <f>IF(DATA_CLEANED!AL160&gt;DATA_CLEANED!AM160,DATA_CLEANED!AK160,IF(AND(DATA_QUALITE!W4646="-",DATA_CLEANED!AM160=DATA_CLEANED!AL160),"MATCH NUL",IF(AND(DATA_QUALITE!V4646="-",DATA_QUALITE!U4646="AUCUNE"),DATA_QUALITE!T4646,IF(DATA_QUALITE!V4646&lt;&gt;"-",DATA_QUALITE!V4646,DATA_CLEANED!AN160))))</f>
        <v>Mexico</v>
      </c>
      <c r="BH169" s="103" t="str">
        <f>IF(AND(BG169="MATCH NUL",DATA_CLEANED!AO160="-"),"MATCH_NUL",IF(ISNUMBER(SEARCH("win on penalties",W4646)),"WIN_BY_PENALTY",IF(ISNUMBER(SEARCH("win after extra time",W4646)),"WIN_BY_EXTRA_TIME",IF(ISNUMBER(SEARCH("Golden Goal",W4646)),"WIN_BY_GOLDEN_GOAL","WIN_BY_SCORE"))))</f>
        <v>WIN_BY_SCORE</v>
      </c>
      <c r="BI169" s="99" t="str">
        <f>IF(OR(BG169=DATA_CLEANED!AK160,BG169=DATA_CLEANED!AN160,BG169="MATCH NUL"),"OK","ERREUR")</f>
        <v>OK</v>
      </c>
    </row>
    <row r="170" spans="2:61">
      <c r="B170" s="74">
        <v>1994</v>
      </c>
      <c r="C170" s="30" t="str">
        <v>Quarter-finals</v>
      </c>
      <c r="D170" s="30" t="str">
        <v>Romania</v>
      </c>
      <c r="E170" s="30" t="str">
        <v>Sweden</v>
      </c>
      <c r="F170" s="30" t="str">
        <v>Sweden</v>
      </c>
      <c r="G170" s="30" t="str">
        <v>Kennet Andersson</v>
      </c>
      <c r="H170" s="30" t="str">
        <v>Florian Prunea</v>
      </c>
      <c r="I170" s="30">
        <v>3</v>
      </c>
      <c r="J170" s="30">
        <v>2</v>
      </c>
      <c r="K170" s="30" t="str">
        <v>'0-1</v>
      </c>
      <c r="L170" s="30" t="str">
        <v>No</v>
      </c>
      <c r="M170" s="30" t="str">
        <v>No</v>
      </c>
      <c r="N170" s="30" t="str">
        <v>Goal</v>
      </c>
      <c r="O170" s="30" t="str">
        <f t="shared" si="20"/>
        <v>1994|Quarter-finals|Romania|Sweden|Sweden|Kennet Andersson|Florian Prunea|3|2|'0-1|No|No|Goal</v>
      </c>
      <c r="P170" s="96" t="str">
        <f>IF(COUNTIF($G$32:O170,O170)&gt;1,"DOUBLON","OK")</f>
        <v>OK</v>
      </c>
      <c r="R170" s="23" t="s">
        <v>55</v>
      </c>
      <c r="S170" s="30" t="str">
        <v>Argentina</v>
      </c>
      <c r="T170" s="30" t="str">
        <f t="shared" si="21"/>
        <v>OK</v>
      </c>
      <c r="U170" s="30" t="str">
        <f t="shared" si="18"/>
        <v>-</v>
      </c>
      <c r="V170" s="30" t="str" cm="1">
        <f t="array" ref="V170">_xlfn.IFS(
ISNUMBER(SEARCH("USA",S170)),"United States",
ISNUMBER(SEARCH("Republic of Korea",S170)),"South Korea",
ISNUMBER(SEARCH("Cape Verde",S170)),"Cabo Verde",
ISNUMBER(SEARCH("Czechia",S170)),"Czech Republic",
ISNUMBER(SEARCH("Türkiye",S170)),"Turkey",
ISNUMBER(SEARCH("Ivory Coast",S170)),"Côte d'Ivoire",
ISNUMBER(SEARCH("Korea Republic",S170)),"South Korea",
ISNUMBER(SEARCH("Germany FR",S170)),"FR Germany",
ISNUMBER(SEARCH("West Germany",S170)),"FR Germany",
ISNUMBER(SEARCH("Germany DR",S170)),"DR Germany",
ISNUMBER(SEARCH("Korea DPR",S170)),"North Korea",
ISNUMBER(SEARCH("China PR",S170)),"China",
ISNUMBER(SEARCH("IR Iran",S170)),"Iran",
ISNUMBER(SEARCH("Congo DR",S170)),"Democratic Republic of the Congo",
ISNUMBER(SEARCH("DR Congo",S170)),"Democratic Republic of the Congo",
ISNUMBER(SEARCH("German DR",S170)),"DR Germany",
ISNUMBER(SEARCH("rn""&gt;United Arab Emirates",S170)),"United Arab Emirates",
ISNUMBER(SEARCH("rn""&gt;Republic of Ireland",S170)),"Ireland",
ISNUMBER(SEARCH("rn""&gt;Bosnia and Herzegovina",S170)),"Bosnia and Herzegovina",
ISNUMBER(SEARCH("rn""&gt;Trinidad and Tobago",S170)),"Trinidad and Tobago",
ISNUMBER(SEARCH("rn""&gt;Serbia and Montenegro",S170)),"Serbia and Montenegro",
ISNUMBER(SEARCH(_xlfn.UNICHAR(65533),S170)),"Côte d'Ivoire",
TRUE,""
)</f>
        <v/>
      </c>
      <c r="W170" s="30" t="str">
        <f t="shared" si="19"/>
        <v>Argentina</v>
      </c>
      <c r="Z170" s="40" t="str">
        <v>Rasunda Stadium</v>
      </c>
      <c r="AA170" s="40" t="str" cm="1">
        <f t="array" ref="AA170">IFERROR(_xlfn.XLOOKUP(Z170,_xlfn.ANCHORARRAY(Z$31),AA$31:AA$37),Z170)</f>
        <v>Rasunda Stadium</v>
      </c>
      <c r="AB170" s="42" t="str">
        <v xml:space="preserve">Solna </v>
      </c>
      <c r="AC170" s="89" t="str">
        <f t="shared" si="22"/>
        <v xml:space="preserve">Solna </v>
      </c>
      <c r="AE170" s="42">
        <v>1954</v>
      </c>
      <c r="AK170" s="42">
        <v>8</v>
      </c>
      <c r="AL170" s="42">
        <v>3</v>
      </c>
      <c r="AV170" s="37" t="str">
        <v>QUARTER_FINALS</v>
      </c>
      <c r="AW170" s="89" t="str">
        <v>GROUP_STAGE</v>
      </c>
      <c r="BE170" s="43" t="str">
        <f>IF(OR(DATA_CLEANED!AL161="",DATA_CLEANED!AM161=""),"MANQUANT",IF(OR(NOT(ISNUMBER(DATA_CLEANED!AL161)),NOT(ISNUMBER(DATA_CLEANED!AM161))),"ENTREE INVALIDE",IF(OR(DATA_CLEANED!AL161&lt;0,DATA_CLEANED!AM161&lt;0),"SCORE NEGATIF","OK")))</f>
        <v>OK</v>
      </c>
      <c r="BF170" s="43" t="str">
        <f>IF(DATA_CLEANED!AK161&lt;&gt;DATA_CLEANED!AN161,"OK","ERREUR")</f>
        <v>OK</v>
      </c>
      <c r="BG170" s="43" t="str">
        <f>IF(DATA_CLEANED!AL161&gt;DATA_CLEANED!AM161,DATA_CLEANED!AK161,IF(AND(DATA_QUALITE!W4647="-",DATA_CLEANED!AM161=DATA_CLEANED!AL161),"MATCH NUL",IF(AND(DATA_QUALITE!V4647="-",DATA_QUALITE!U4647="AUCUNE"),DATA_QUALITE!T4647,IF(DATA_QUALITE!V4647&lt;&gt;"-",DATA_QUALITE!V4647,DATA_CLEANED!AN161))))</f>
        <v>MATCH NUL</v>
      </c>
      <c r="BH170" s="103" t="str">
        <f>IF(AND(BG170="MATCH NUL",DATA_CLEANED!AO161="-"),"MATCH_NUL",IF(ISNUMBER(SEARCH("win on penalties",W4647)),"WIN_BY_PENALTY",IF(ISNUMBER(SEARCH("win after extra time",W4647)),"WIN_BY_EXTRA_TIME",IF(ISNUMBER(SEARCH("Golden Goal",W4647)),"WIN_BY_GOLDEN_GOAL","WIN_BY_SCORE"))))</f>
        <v>MATCH_NUL</v>
      </c>
      <c r="BI170" s="99" t="str">
        <f>IF(OR(BG170=DATA_CLEANED!AK161,BG170=DATA_CLEANED!AN161,BG170="MATCH NUL"),"OK","ERREUR")</f>
        <v>OK</v>
      </c>
    </row>
    <row r="171" spans="2:61">
      <c r="B171" s="74">
        <v>1994</v>
      </c>
      <c r="C171" s="30" t="str">
        <v>Quarter-finals</v>
      </c>
      <c r="D171" s="30" t="str">
        <v>Romania</v>
      </c>
      <c r="E171" s="30" t="str">
        <v>Sweden</v>
      </c>
      <c r="F171" s="30" t="str">
        <v>Romania</v>
      </c>
      <c r="G171" s="30" t="str">
        <v>Gheorghe Hagi</v>
      </c>
      <c r="H171" s="30" t="str">
        <v>Thomas Ravelli</v>
      </c>
      <c r="I171" s="30">
        <v>4</v>
      </c>
      <c r="J171" s="30">
        <v>2</v>
      </c>
      <c r="K171" s="30" t="str">
        <v>'1-1</v>
      </c>
      <c r="L171" s="30" t="str">
        <v>No</v>
      </c>
      <c r="M171" s="30" t="str">
        <v>No</v>
      </c>
      <c r="N171" s="30" t="str">
        <v>Goal</v>
      </c>
      <c r="O171" s="30" t="str">
        <f t="shared" si="20"/>
        <v>1994|Quarter-finals|Romania|Sweden|Romania|Gheorghe Hagi|Thomas Ravelli|4|2|'1-1|No|No|Goal</v>
      </c>
      <c r="P171" s="96" t="str">
        <f>IF(COUNTIF($G$32:O171,O171)&gt;1,"DOUBLON","OK")</f>
        <v>OK</v>
      </c>
      <c r="R171" s="23" t="s">
        <v>3748</v>
      </c>
      <c r="S171" s="30" t="str">
        <v>Argentina</v>
      </c>
      <c r="T171" s="30" t="str">
        <f t="shared" si="21"/>
        <v>OK</v>
      </c>
      <c r="U171" s="30" t="str">
        <f t="shared" si="18"/>
        <v>-</v>
      </c>
      <c r="V171" s="30" t="str" cm="1">
        <f t="array" ref="V171">_xlfn.IFS(
ISNUMBER(SEARCH("USA",S171)),"United States",
ISNUMBER(SEARCH("Republic of Korea",S171)),"South Korea",
ISNUMBER(SEARCH("Cape Verde",S171)),"Cabo Verde",
ISNUMBER(SEARCH("Czechia",S171)),"Czech Republic",
ISNUMBER(SEARCH("Türkiye",S171)),"Turkey",
ISNUMBER(SEARCH("Ivory Coast",S171)),"Côte d'Ivoire",
ISNUMBER(SEARCH("Korea Republic",S171)),"South Korea",
ISNUMBER(SEARCH("Germany FR",S171)),"FR Germany",
ISNUMBER(SEARCH("West Germany",S171)),"FR Germany",
ISNUMBER(SEARCH("Germany DR",S171)),"DR Germany",
ISNUMBER(SEARCH("Korea DPR",S171)),"North Korea",
ISNUMBER(SEARCH("China PR",S171)),"China",
ISNUMBER(SEARCH("IR Iran",S171)),"Iran",
ISNUMBER(SEARCH("Congo DR",S171)),"Democratic Republic of the Congo",
ISNUMBER(SEARCH("DR Congo",S171)),"Democratic Republic of the Congo",
ISNUMBER(SEARCH("German DR",S171)),"DR Germany",
ISNUMBER(SEARCH("rn""&gt;United Arab Emirates",S171)),"United Arab Emirates",
ISNUMBER(SEARCH("rn""&gt;Republic of Ireland",S171)),"Ireland",
ISNUMBER(SEARCH("rn""&gt;Bosnia and Herzegovina",S171)),"Bosnia and Herzegovina",
ISNUMBER(SEARCH("rn""&gt;Trinidad and Tobago",S171)),"Trinidad and Tobago",
ISNUMBER(SEARCH("rn""&gt;Serbia and Montenegro",S171)),"Serbia and Montenegro",
ISNUMBER(SEARCH(_xlfn.UNICHAR(65533),S171)),"Côte d'Ivoire",
TRUE,""
)</f>
        <v/>
      </c>
      <c r="W171" s="30" t="str">
        <f t="shared" si="19"/>
        <v>Argentina</v>
      </c>
      <c r="Z171" s="40" t="str">
        <v>Idrottsparken</v>
      </c>
      <c r="AA171" s="40" t="str" cm="1">
        <f t="array" ref="AA171">IFERROR(_xlfn.XLOOKUP(Z171,_xlfn.ANCHORARRAY(Z$31),AA$31:AA$37),Z171)</f>
        <v>Idrottsparken</v>
      </c>
      <c r="AB171" s="42" t="str">
        <v xml:space="preserve">Norrk�Ping </v>
      </c>
      <c r="AC171" s="89" t="str">
        <f t="shared" si="22"/>
        <v>Norrköping</v>
      </c>
      <c r="AE171" s="42">
        <v>1954</v>
      </c>
      <c r="AK171" s="42">
        <v>7</v>
      </c>
      <c r="AL171" s="42">
        <v>0</v>
      </c>
      <c r="AV171" s="37" t="str">
        <v>QUARTER_FINALS</v>
      </c>
      <c r="AW171" s="89" t="str">
        <v>GROUP_STAGE</v>
      </c>
      <c r="BE171" s="43" t="str">
        <f>IF(OR(DATA_CLEANED!AL162="",DATA_CLEANED!AM162=""),"MANQUANT",IF(OR(NOT(ISNUMBER(DATA_CLEANED!AL162)),NOT(ISNUMBER(DATA_CLEANED!AM162))),"ENTREE INVALIDE",IF(OR(DATA_CLEANED!AL162&lt;0,DATA_CLEANED!AM162&lt;0),"SCORE NEGATIF","OK")))</f>
        <v>OK</v>
      </c>
      <c r="BF171" s="43" t="str">
        <f>IF(DATA_CLEANED!AK162&lt;&gt;DATA_CLEANED!AN162,"OK","ERREUR")</f>
        <v>OK</v>
      </c>
      <c r="BG171" s="43" t="str">
        <f>IF(DATA_CLEANED!AL162&gt;DATA_CLEANED!AM162,DATA_CLEANED!AK162,IF(AND(DATA_QUALITE!W4648="-",DATA_CLEANED!AM162=DATA_CLEANED!AL162),"MATCH NUL",IF(AND(DATA_QUALITE!V4648="-",DATA_QUALITE!U4648="AUCUNE"),DATA_QUALITE!T4648,IF(DATA_QUALITE!V4648&lt;&gt;"-",DATA_QUALITE!V4648,DATA_CLEANED!AN162))))</f>
        <v>Italy</v>
      </c>
      <c r="BH171" s="103" t="str">
        <f>IF(AND(BG171="MATCH NUL",DATA_CLEANED!AO162="-"),"MATCH_NUL",IF(ISNUMBER(SEARCH("win on penalties",W4648)),"WIN_BY_PENALTY",IF(ISNUMBER(SEARCH("win after extra time",W4648)),"WIN_BY_EXTRA_TIME",IF(ISNUMBER(SEARCH("Golden Goal",W4648)),"WIN_BY_GOLDEN_GOAL","WIN_BY_SCORE"))))</f>
        <v>WIN_BY_SCORE</v>
      </c>
      <c r="BI171" s="99" t="str">
        <f>IF(OR(BG171=DATA_CLEANED!AK162,BG171=DATA_CLEANED!AN162,BG171="MATCH NUL"),"OK","ERREUR")</f>
        <v>OK</v>
      </c>
    </row>
    <row r="172" spans="2:61">
      <c r="B172" s="74">
        <v>1994</v>
      </c>
      <c r="C172" s="30" t="str">
        <v>Quarter-finals</v>
      </c>
      <c r="D172" s="30" t="str">
        <v>Romania</v>
      </c>
      <c r="E172" s="30" t="str">
        <v>Sweden</v>
      </c>
      <c r="F172" s="30" t="str">
        <v>Sweden</v>
      </c>
      <c r="G172" s="30" t="str">
        <v>Tomas Brolin</v>
      </c>
      <c r="H172" s="30" t="str">
        <v>Florian Prunea</v>
      </c>
      <c r="I172" s="30">
        <v>5</v>
      </c>
      <c r="J172" s="30">
        <v>3</v>
      </c>
      <c r="K172" s="30" t="str">
        <v>'2-1</v>
      </c>
      <c r="L172" s="30" t="str">
        <v>No</v>
      </c>
      <c r="M172" s="30" t="str">
        <v>No</v>
      </c>
      <c r="N172" s="30" t="str">
        <v>Goal</v>
      </c>
      <c r="O172" s="30" t="str">
        <f t="shared" si="20"/>
        <v>1994|Quarter-finals|Romania|Sweden|Sweden|Tomas Brolin|Florian Prunea|5|3|'2-1|No|No|Goal</v>
      </c>
      <c r="P172" s="96" t="str">
        <f>IF(COUNTIF($G$32:O172,O172)&gt;1,"DOUBLON","OK")</f>
        <v>OK</v>
      </c>
      <c r="R172" s="23" t="s">
        <v>3675</v>
      </c>
      <c r="S172" s="30" t="str">
        <v>Argentina</v>
      </c>
      <c r="T172" s="30" t="str">
        <f t="shared" si="21"/>
        <v>OK</v>
      </c>
      <c r="U172" s="30" t="str">
        <f t="shared" si="18"/>
        <v>-</v>
      </c>
      <c r="V172" s="30" t="str" cm="1">
        <f t="array" ref="V172">_xlfn.IFS(
ISNUMBER(SEARCH("USA",S172)),"United States",
ISNUMBER(SEARCH("Republic of Korea",S172)),"South Korea",
ISNUMBER(SEARCH("Cape Verde",S172)),"Cabo Verde",
ISNUMBER(SEARCH("Czechia",S172)),"Czech Republic",
ISNUMBER(SEARCH("Türkiye",S172)),"Turkey",
ISNUMBER(SEARCH("Ivory Coast",S172)),"Côte d'Ivoire",
ISNUMBER(SEARCH("Korea Republic",S172)),"South Korea",
ISNUMBER(SEARCH("Germany FR",S172)),"FR Germany",
ISNUMBER(SEARCH("West Germany",S172)),"FR Germany",
ISNUMBER(SEARCH("Germany DR",S172)),"DR Germany",
ISNUMBER(SEARCH("Korea DPR",S172)),"North Korea",
ISNUMBER(SEARCH("China PR",S172)),"China",
ISNUMBER(SEARCH("IR Iran",S172)),"Iran",
ISNUMBER(SEARCH("Congo DR",S172)),"Democratic Republic of the Congo",
ISNUMBER(SEARCH("DR Congo",S172)),"Democratic Republic of the Congo",
ISNUMBER(SEARCH("German DR",S172)),"DR Germany",
ISNUMBER(SEARCH("rn""&gt;United Arab Emirates",S172)),"United Arab Emirates",
ISNUMBER(SEARCH("rn""&gt;Republic of Ireland",S172)),"Ireland",
ISNUMBER(SEARCH("rn""&gt;Bosnia and Herzegovina",S172)),"Bosnia and Herzegovina",
ISNUMBER(SEARCH("rn""&gt;Trinidad and Tobago",S172)),"Trinidad and Tobago",
ISNUMBER(SEARCH("rn""&gt;Serbia and Montenegro",S172)),"Serbia and Montenegro",
ISNUMBER(SEARCH(_xlfn.UNICHAR(65533),S172)),"Côte d'Ivoire",
TRUE,""
)</f>
        <v/>
      </c>
      <c r="W172" s="30" t="str">
        <f t="shared" si="19"/>
        <v>Argentina</v>
      </c>
      <c r="Z172" s="40" t="str">
        <v>Nya Ullevi</v>
      </c>
      <c r="AA172" s="40" t="str" cm="1">
        <f t="array" ref="AA172">IFERROR(_xlfn.XLOOKUP(Z172,_xlfn.ANCHORARRAY(Z$31),AA$31:AA$37),Z172)</f>
        <v>Nya Ullevi</v>
      </c>
      <c r="AB172" s="42" t="str">
        <v xml:space="preserve">Gothenburg </v>
      </c>
      <c r="AC172" s="89" t="str">
        <f t="shared" si="22"/>
        <v xml:space="preserve">Gothenburg </v>
      </c>
      <c r="AE172" s="42">
        <v>1954</v>
      </c>
      <c r="AK172" s="42">
        <v>2</v>
      </c>
      <c r="AL172" s="42">
        <v>0</v>
      </c>
      <c r="AV172" s="37" t="str">
        <v>QUARTER_FINALS</v>
      </c>
      <c r="AW172" s="89" t="str">
        <v>QUARTER_FINALS</v>
      </c>
      <c r="BE172" s="43" t="str">
        <f>IF(OR(DATA_CLEANED!AL163="",DATA_CLEANED!AM163=""),"MANQUANT",IF(OR(NOT(ISNUMBER(DATA_CLEANED!AL163)),NOT(ISNUMBER(DATA_CLEANED!AM163))),"ENTREE INVALIDE",IF(OR(DATA_CLEANED!AL163&lt;0,DATA_CLEANED!AM163&lt;0),"SCORE NEGATIF","OK")))</f>
        <v>OK</v>
      </c>
      <c r="BF172" s="43" t="str">
        <f>IF(DATA_CLEANED!AK163&lt;&gt;DATA_CLEANED!AN163,"OK","ERREUR")</f>
        <v>OK</v>
      </c>
      <c r="BG172" s="43" t="str">
        <f>IF(DATA_CLEANED!AL163&gt;DATA_CLEANED!AM163,DATA_CLEANED!AK163,IF(AND(DATA_QUALITE!W4649="-",DATA_CLEANED!AM163=DATA_CLEANED!AL163),"MATCH NUL",IF(AND(DATA_QUALITE!V4649="-",DATA_QUALITE!U4649="AUCUNE"),DATA_QUALITE!T4649,IF(DATA_QUALITE!V4649&lt;&gt;"-",DATA_QUALITE!V4649,DATA_CLEANED!AN163))))</f>
        <v>Chile</v>
      </c>
      <c r="BH172" s="103" t="str">
        <f>IF(AND(BG172="MATCH NUL",DATA_CLEANED!AO163="-"),"MATCH_NUL",IF(ISNUMBER(SEARCH("win on penalties",W4649)),"WIN_BY_PENALTY",IF(ISNUMBER(SEARCH("win after extra time",W4649)),"WIN_BY_EXTRA_TIME",IF(ISNUMBER(SEARCH("Golden Goal",W4649)),"WIN_BY_GOLDEN_GOAL","WIN_BY_SCORE"))))</f>
        <v>WIN_BY_SCORE</v>
      </c>
      <c r="BI172" s="99" t="str">
        <f>IF(OR(BG172=DATA_CLEANED!AK163,BG172=DATA_CLEANED!AN163,BG172="MATCH NUL"),"OK","ERREUR")</f>
        <v>OK</v>
      </c>
    </row>
    <row r="173" spans="2:61">
      <c r="B173" s="74">
        <v>1994</v>
      </c>
      <c r="C173" s="30" t="str">
        <v>Quarter-finals</v>
      </c>
      <c r="D173" s="30" t="str">
        <v>Romania</v>
      </c>
      <c r="E173" s="30" t="str">
        <v>Sweden</v>
      </c>
      <c r="F173" s="30" t="str">
        <v>Romania</v>
      </c>
      <c r="G173" s="30" t="str">
        <v>Ioan Lupescu</v>
      </c>
      <c r="H173" s="30" t="str">
        <v>Thomas Ravelli</v>
      </c>
      <c r="I173" s="30">
        <v>6</v>
      </c>
      <c r="J173" s="30">
        <v>3</v>
      </c>
      <c r="K173" s="30" t="str">
        <v>'2-2</v>
      </c>
      <c r="L173" s="30" t="str">
        <v>No</v>
      </c>
      <c r="M173" s="30" t="str">
        <v>No</v>
      </c>
      <c r="N173" s="30" t="str">
        <v>Goal</v>
      </c>
      <c r="O173" s="30" t="str">
        <f t="shared" si="20"/>
        <v>1994|Quarter-finals|Romania|Sweden|Romania|Ioan Lupescu|Thomas Ravelli|6|3|'2-2|No|No|Goal</v>
      </c>
      <c r="P173" s="96" t="str">
        <f>IF(COUNTIF($G$32:O173,O173)&gt;1,"DOUBLON","OK")</f>
        <v>OK</v>
      </c>
      <c r="R173" s="23" t="s">
        <v>3749</v>
      </c>
      <c r="S173" s="30" t="str">
        <v>Argentina</v>
      </c>
      <c r="T173" s="30" t="str">
        <f t="shared" si="21"/>
        <v>OK</v>
      </c>
      <c r="U173" s="30" t="str">
        <f t="shared" si="18"/>
        <v>-</v>
      </c>
      <c r="V173" s="30" t="str" cm="1">
        <f t="array" ref="V173">_xlfn.IFS(
ISNUMBER(SEARCH("USA",S173)),"United States",
ISNUMBER(SEARCH("Republic of Korea",S173)),"South Korea",
ISNUMBER(SEARCH("Cape Verde",S173)),"Cabo Verde",
ISNUMBER(SEARCH("Czechia",S173)),"Czech Republic",
ISNUMBER(SEARCH("Türkiye",S173)),"Turkey",
ISNUMBER(SEARCH("Ivory Coast",S173)),"Côte d'Ivoire",
ISNUMBER(SEARCH("Korea Republic",S173)),"South Korea",
ISNUMBER(SEARCH("Germany FR",S173)),"FR Germany",
ISNUMBER(SEARCH("West Germany",S173)),"FR Germany",
ISNUMBER(SEARCH("Germany DR",S173)),"DR Germany",
ISNUMBER(SEARCH("Korea DPR",S173)),"North Korea",
ISNUMBER(SEARCH("China PR",S173)),"China",
ISNUMBER(SEARCH("IR Iran",S173)),"Iran",
ISNUMBER(SEARCH("Congo DR",S173)),"Democratic Republic of the Congo",
ISNUMBER(SEARCH("DR Congo",S173)),"Democratic Republic of the Congo",
ISNUMBER(SEARCH("German DR",S173)),"DR Germany",
ISNUMBER(SEARCH("rn""&gt;United Arab Emirates",S173)),"United Arab Emirates",
ISNUMBER(SEARCH("rn""&gt;Republic of Ireland",S173)),"Ireland",
ISNUMBER(SEARCH("rn""&gt;Bosnia and Herzegovina",S173)),"Bosnia and Herzegovina",
ISNUMBER(SEARCH("rn""&gt;Trinidad and Tobago",S173)),"Trinidad and Tobago",
ISNUMBER(SEARCH("rn""&gt;Serbia and Montenegro",S173)),"Serbia and Montenegro",
ISNUMBER(SEARCH(_xlfn.UNICHAR(65533),S173)),"Côte d'Ivoire",
TRUE,""
)</f>
        <v/>
      </c>
      <c r="W173" s="30" t="str">
        <f t="shared" si="19"/>
        <v>Argentina</v>
      </c>
      <c r="Z173" s="40" t="str">
        <v>Rasunda Stadium</v>
      </c>
      <c r="AA173" s="40" t="str" cm="1">
        <f t="array" ref="AA173">IFERROR(_xlfn.XLOOKUP(Z173,_xlfn.ANCHORARRAY(Z$31),AA$31:AA$37),Z173)</f>
        <v>Rasunda Stadium</v>
      </c>
      <c r="AB173" s="42" t="str">
        <v xml:space="preserve">Solna </v>
      </c>
      <c r="AC173" s="89" t="str">
        <f t="shared" si="22"/>
        <v xml:space="preserve">Solna </v>
      </c>
      <c r="AE173" s="42">
        <v>1954</v>
      </c>
      <c r="AK173" s="42">
        <v>4</v>
      </c>
      <c r="AL173" s="42">
        <v>1</v>
      </c>
      <c r="AV173" s="37" t="str">
        <v>QUARTER_FINALS</v>
      </c>
      <c r="AW173" s="89" t="str">
        <v>QUARTER_FINALS</v>
      </c>
      <c r="BE173" s="43" t="str">
        <f>IF(OR(DATA_CLEANED!AL164="",DATA_CLEANED!AM164=""),"MANQUANT",IF(OR(NOT(ISNUMBER(DATA_CLEANED!AL164)),NOT(ISNUMBER(DATA_CLEANED!AM164))),"ENTREE INVALIDE",IF(OR(DATA_CLEANED!AL164&lt;0,DATA_CLEANED!AM164&lt;0),"SCORE NEGATIF","OK")))</f>
        <v>OK</v>
      </c>
      <c r="BF173" s="43" t="str">
        <f>IF(DATA_CLEANED!AK164&lt;&gt;DATA_CLEANED!AN164,"OK","ERREUR")</f>
        <v>OK</v>
      </c>
      <c r="BG173" s="43" t="str">
        <f>IF(DATA_CLEANED!AL164&gt;DATA_CLEANED!AM164,DATA_CLEANED!AK164,IF(AND(DATA_QUALITE!W4650="-",DATA_CLEANED!AM164=DATA_CLEANED!AL164),"MATCH NUL",IF(AND(DATA_QUALITE!V4650="-",DATA_QUALITE!U4650="AUCUNE"),DATA_QUALITE!T4650,IF(DATA_QUALITE!V4650&lt;&gt;"-",DATA_QUALITE!V4650,DATA_CLEANED!AN164))))</f>
        <v>Brazil</v>
      </c>
      <c r="BH173" s="103" t="str">
        <f>IF(AND(BG173="MATCH NUL",DATA_CLEANED!AO164="-"),"MATCH_NUL",IF(ISNUMBER(SEARCH("win on penalties",W4650)),"WIN_BY_PENALTY",IF(ISNUMBER(SEARCH("win after extra time",W4650)),"WIN_BY_EXTRA_TIME",IF(ISNUMBER(SEARCH("Golden Goal",W4650)),"WIN_BY_GOLDEN_GOAL","WIN_BY_SCORE"))))</f>
        <v>WIN_BY_SCORE</v>
      </c>
      <c r="BI173" s="99" t="str">
        <f>IF(OR(BG173=DATA_CLEANED!AK164,BG173=DATA_CLEANED!AN164,BG173="MATCH NUL"),"OK","ERREUR")</f>
        <v>OK</v>
      </c>
    </row>
    <row r="174" spans="2:61">
      <c r="B174" s="74">
        <v>1994</v>
      </c>
      <c r="C174" s="30" t="str">
        <v>Quarter-finals</v>
      </c>
      <c r="D174" s="30" t="str">
        <v>Romania</v>
      </c>
      <c r="E174" s="30" t="str">
        <v>Sweden</v>
      </c>
      <c r="F174" s="30" t="str">
        <v>Sweden</v>
      </c>
      <c r="G174" s="30" t="str">
        <v>Klas Ingesson</v>
      </c>
      <c r="H174" s="30" t="str">
        <v>Florian Prunea</v>
      </c>
      <c r="I174" s="30">
        <v>7</v>
      </c>
      <c r="J174" s="30">
        <v>4</v>
      </c>
      <c r="K174" s="30" t="str">
        <v>'3-2</v>
      </c>
      <c r="L174" s="30" t="str">
        <v>No</v>
      </c>
      <c r="M174" s="30" t="str">
        <v>No</v>
      </c>
      <c r="N174" s="30" t="str">
        <v>Goal</v>
      </c>
      <c r="O174" s="30" t="str">
        <f t="shared" si="20"/>
        <v>1994|Quarter-finals|Romania|Sweden|Sweden|Klas Ingesson|Florian Prunea|7|4|'3-2|No|No|Goal</v>
      </c>
      <c r="P174" s="96" t="str">
        <f>IF(COUNTIF($G$32:O174,O174)&gt;1,"DOUBLON","OK")</f>
        <v>OK</v>
      </c>
      <c r="R174" s="23" t="s">
        <v>54</v>
      </c>
      <c r="S174" s="30" t="str">
        <v>Argentina</v>
      </c>
      <c r="T174" s="30" t="str">
        <f t="shared" si="21"/>
        <v>OK</v>
      </c>
      <c r="U174" s="30" t="str">
        <f t="shared" si="18"/>
        <v>-</v>
      </c>
      <c r="V174" s="30" t="str" cm="1">
        <f t="array" ref="V174">_xlfn.IFS(
ISNUMBER(SEARCH("USA",S174)),"United States",
ISNUMBER(SEARCH("Republic of Korea",S174)),"South Korea",
ISNUMBER(SEARCH("Cape Verde",S174)),"Cabo Verde",
ISNUMBER(SEARCH("Czechia",S174)),"Czech Republic",
ISNUMBER(SEARCH("Türkiye",S174)),"Turkey",
ISNUMBER(SEARCH("Ivory Coast",S174)),"Côte d'Ivoire",
ISNUMBER(SEARCH("Korea Republic",S174)),"South Korea",
ISNUMBER(SEARCH("Germany FR",S174)),"FR Germany",
ISNUMBER(SEARCH("West Germany",S174)),"FR Germany",
ISNUMBER(SEARCH("Germany DR",S174)),"DR Germany",
ISNUMBER(SEARCH("Korea DPR",S174)),"North Korea",
ISNUMBER(SEARCH("China PR",S174)),"China",
ISNUMBER(SEARCH("IR Iran",S174)),"Iran",
ISNUMBER(SEARCH("Congo DR",S174)),"Democratic Republic of the Congo",
ISNUMBER(SEARCH("DR Congo",S174)),"Democratic Republic of the Congo",
ISNUMBER(SEARCH("German DR",S174)),"DR Germany",
ISNUMBER(SEARCH("rn""&gt;United Arab Emirates",S174)),"United Arab Emirates",
ISNUMBER(SEARCH("rn""&gt;Republic of Ireland",S174)),"Ireland",
ISNUMBER(SEARCH("rn""&gt;Bosnia and Herzegovina",S174)),"Bosnia and Herzegovina",
ISNUMBER(SEARCH("rn""&gt;Trinidad and Tobago",S174)),"Trinidad and Tobago",
ISNUMBER(SEARCH("rn""&gt;Serbia and Montenegro",S174)),"Serbia and Montenegro",
ISNUMBER(SEARCH(_xlfn.UNICHAR(65533),S174)),"Côte d'Ivoire",
TRUE,""
)</f>
        <v/>
      </c>
      <c r="W174" s="30" t="str">
        <f t="shared" si="19"/>
        <v>Argentina</v>
      </c>
      <c r="Z174" s="40" t="str">
        <v>Nya Ullevi</v>
      </c>
      <c r="AA174" s="40" t="str" cm="1">
        <f t="array" ref="AA174">IFERROR(_xlfn.XLOOKUP(Z174,_xlfn.ANCHORARRAY(Z$31),AA$31:AA$37),Z174)</f>
        <v>Nya Ullevi</v>
      </c>
      <c r="AB174" s="42" t="str">
        <v xml:space="preserve">Gothenburg </v>
      </c>
      <c r="AC174" s="89" t="str">
        <f t="shared" si="22"/>
        <v xml:space="preserve">Gothenburg </v>
      </c>
      <c r="AE174" s="42">
        <v>1954</v>
      </c>
      <c r="AK174" s="42">
        <v>7</v>
      </c>
      <c r="AL174" s="42">
        <v>2</v>
      </c>
      <c r="AV174" s="37" t="str">
        <v>QUARTER_FINALS</v>
      </c>
      <c r="AW174" s="89" t="str">
        <v>QUARTER_FINALS</v>
      </c>
      <c r="BE174" s="43" t="str">
        <f>IF(OR(DATA_CLEANED!AL165="",DATA_CLEANED!AM165=""),"MANQUANT",IF(OR(NOT(ISNUMBER(DATA_CLEANED!AL165)),NOT(ISNUMBER(DATA_CLEANED!AM165))),"ENTREE INVALIDE",IF(OR(DATA_CLEANED!AL165&lt;0,DATA_CLEANED!AM165&lt;0),"SCORE NEGATIF","OK")))</f>
        <v>OK</v>
      </c>
      <c r="BF174" s="43" t="str">
        <f>IF(DATA_CLEANED!AK165&lt;&gt;DATA_CLEANED!AN165,"OK","ERREUR")</f>
        <v>OK</v>
      </c>
      <c r="BG174" s="43" t="str">
        <f>IF(DATA_CLEANED!AL165&gt;DATA_CLEANED!AM165,DATA_CLEANED!AK165,IF(AND(DATA_QUALITE!W4651="-",DATA_CLEANED!AM165=DATA_CLEANED!AL165),"MATCH NUL",IF(AND(DATA_QUALITE!V4651="-",DATA_QUALITE!U4651="AUCUNE"),DATA_QUALITE!T4651,IF(DATA_QUALITE!V4651&lt;&gt;"-",DATA_QUALITE!V4651,DATA_CLEANED!AN165))))</f>
        <v>Czechoslovakia</v>
      </c>
      <c r="BH174" s="103" t="str">
        <f>IF(AND(BG174="MATCH NUL",DATA_CLEANED!AO165="-"),"MATCH_NUL",IF(ISNUMBER(SEARCH("win on penalties",W4651)),"WIN_BY_PENALTY",IF(ISNUMBER(SEARCH("win after extra time",W4651)),"WIN_BY_EXTRA_TIME",IF(ISNUMBER(SEARCH("Golden Goal",W4651)),"WIN_BY_GOLDEN_GOAL","WIN_BY_SCORE"))))</f>
        <v>WIN_BY_SCORE</v>
      </c>
      <c r="BI174" s="99" t="str">
        <f>IF(OR(BG174=DATA_CLEANED!AK165,BG174=DATA_CLEANED!AN165,BG174="MATCH NUL"),"OK","ERREUR")</f>
        <v>OK</v>
      </c>
    </row>
    <row r="175" spans="2:61">
      <c r="B175" s="74">
        <v>1994</v>
      </c>
      <c r="C175" s="30" t="str">
        <v>Quarter-finals</v>
      </c>
      <c r="D175" s="30" t="str">
        <v>Romania</v>
      </c>
      <c r="E175" s="30" t="str">
        <v>Sweden</v>
      </c>
      <c r="F175" s="30" t="str">
        <v>Romania</v>
      </c>
      <c r="G175" s="30" t="str">
        <v>Dan Petrescu</v>
      </c>
      <c r="H175" s="30" t="str">
        <v>Thomas Ravelli</v>
      </c>
      <c r="I175" s="30">
        <v>8</v>
      </c>
      <c r="J175" s="30">
        <v>4</v>
      </c>
      <c r="K175" s="30" t="str">
        <v>'3-3</v>
      </c>
      <c r="L175" s="30" t="str">
        <v>No</v>
      </c>
      <c r="M175" s="30" t="str">
        <v>No</v>
      </c>
      <c r="N175" s="30" t="str">
        <v>Saved</v>
      </c>
      <c r="O175" s="30" t="str">
        <f t="shared" si="20"/>
        <v>1994|Quarter-finals|Romania|Sweden|Romania|Dan Petrescu|Thomas Ravelli|8|4|'3-3|No|No|Saved</v>
      </c>
      <c r="P175" s="96" t="str">
        <f>IF(COUNTIF($G$32:O175,O175)&gt;1,"DOUBLON","OK")</f>
        <v>OK</v>
      </c>
      <c r="R175" s="23" t="s">
        <v>3676</v>
      </c>
      <c r="S175" s="30" t="str">
        <v>Argentina</v>
      </c>
      <c r="T175" s="30" t="str">
        <f t="shared" si="21"/>
        <v>OK</v>
      </c>
      <c r="U175" s="30" t="str">
        <f t="shared" si="18"/>
        <v>-</v>
      </c>
      <c r="V175" s="30" t="str" cm="1">
        <f t="array" ref="V175">_xlfn.IFS(
ISNUMBER(SEARCH("USA",S175)),"United States",
ISNUMBER(SEARCH("Republic of Korea",S175)),"South Korea",
ISNUMBER(SEARCH("Cape Verde",S175)),"Cabo Verde",
ISNUMBER(SEARCH("Czechia",S175)),"Czech Republic",
ISNUMBER(SEARCH("Türkiye",S175)),"Turkey",
ISNUMBER(SEARCH("Ivory Coast",S175)),"Côte d'Ivoire",
ISNUMBER(SEARCH("Korea Republic",S175)),"South Korea",
ISNUMBER(SEARCH("Germany FR",S175)),"FR Germany",
ISNUMBER(SEARCH("West Germany",S175)),"FR Germany",
ISNUMBER(SEARCH("Germany DR",S175)),"DR Germany",
ISNUMBER(SEARCH("Korea DPR",S175)),"North Korea",
ISNUMBER(SEARCH("China PR",S175)),"China",
ISNUMBER(SEARCH("IR Iran",S175)),"Iran",
ISNUMBER(SEARCH("Congo DR",S175)),"Democratic Republic of the Congo",
ISNUMBER(SEARCH("DR Congo",S175)),"Democratic Republic of the Congo",
ISNUMBER(SEARCH("German DR",S175)),"DR Germany",
ISNUMBER(SEARCH("rn""&gt;United Arab Emirates",S175)),"United Arab Emirates",
ISNUMBER(SEARCH("rn""&gt;Republic of Ireland",S175)),"Ireland",
ISNUMBER(SEARCH("rn""&gt;Bosnia and Herzegovina",S175)),"Bosnia and Herzegovina",
ISNUMBER(SEARCH("rn""&gt;Trinidad and Tobago",S175)),"Trinidad and Tobago",
ISNUMBER(SEARCH("rn""&gt;Serbia and Montenegro",S175)),"Serbia and Montenegro",
ISNUMBER(SEARCH(_xlfn.UNICHAR(65533),S175)),"Côte d'Ivoire",
TRUE,""
)</f>
        <v/>
      </c>
      <c r="W175" s="30" t="str">
        <f t="shared" si="19"/>
        <v>Argentina</v>
      </c>
      <c r="Z175" s="40" t="str">
        <v>Rasunda Stadium</v>
      </c>
      <c r="AA175" s="40" t="str" cm="1">
        <f t="array" ref="AA175">IFERROR(_xlfn.XLOOKUP(Z175,_xlfn.ANCHORARRAY(Z$31),AA$31:AA$37),Z175)</f>
        <v>Rasunda Stadium</v>
      </c>
      <c r="AB175" s="42" t="str">
        <v xml:space="preserve">Solna </v>
      </c>
      <c r="AC175" s="89" t="str">
        <f t="shared" si="22"/>
        <v xml:space="preserve">Solna </v>
      </c>
      <c r="AE175" s="42">
        <v>1954</v>
      </c>
      <c r="AK175" s="42">
        <v>4</v>
      </c>
      <c r="AL175" s="42">
        <v>1</v>
      </c>
      <c r="AV175" s="37" t="str">
        <v>QUARTER_FINALS</v>
      </c>
      <c r="AW175" s="89" t="str">
        <v>QUARTER_FINALS</v>
      </c>
      <c r="BE175" s="43" t="str">
        <f>IF(OR(DATA_CLEANED!AL166="",DATA_CLEANED!AM166=""),"MANQUANT",IF(OR(NOT(ISNUMBER(DATA_CLEANED!AL166)),NOT(ISNUMBER(DATA_CLEANED!AM166))),"ENTREE INVALIDE",IF(OR(DATA_CLEANED!AL166&lt;0,DATA_CLEANED!AM166&lt;0),"SCORE NEGATIF","OK")))</f>
        <v>OK</v>
      </c>
      <c r="BF175" s="43" t="str">
        <f>IF(DATA_CLEANED!AK166&lt;&gt;DATA_CLEANED!AN166,"OK","ERREUR")</f>
        <v>OK</v>
      </c>
      <c r="BG175" s="43" t="str">
        <f>IF(DATA_CLEANED!AL166&gt;DATA_CLEANED!AM166,DATA_CLEANED!AK166,IF(AND(DATA_QUALITE!W4652="-",DATA_CLEANED!AM166=DATA_CLEANED!AL166),"MATCH NUL",IF(AND(DATA_QUALITE!V4652="-",DATA_QUALITE!U4652="AUCUNE"),DATA_QUALITE!T4652,IF(DATA_QUALITE!V4652&lt;&gt;"-",DATA_QUALITE!V4652,DATA_CLEANED!AN166))))</f>
        <v>Yugoslavia</v>
      </c>
      <c r="BH175" s="103" t="str">
        <f>IF(AND(BG175="MATCH NUL",DATA_CLEANED!AO166="-"),"MATCH_NUL",IF(ISNUMBER(SEARCH("win on penalties",W4652)),"WIN_BY_PENALTY",IF(ISNUMBER(SEARCH("win after extra time",W4652)),"WIN_BY_EXTRA_TIME",IF(ISNUMBER(SEARCH("Golden Goal",W4652)),"WIN_BY_GOLDEN_GOAL","WIN_BY_SCORE"))))</f>
        <v>WIN_BY_SCORE</v>
      </c>
      <c r="BI175" s="99" t="str">
        <f>IF(OR(BG175=DATA_CLEANED!AK166,BG175=DATA_CLEANED!AN166,BG175="MATCH NUL"),"OK","ERREUR")</f>
        <v>OK</v>
      </c>
    </row>
    <row r="176" spans="2:61">
      <c r="B176" s="74">
        <v>1994</v>
      </c>
      <c r="C176" s="30" t="str">
        <v>Quarter-finals</v>
      </c>
      <c r="D176" s="30" t="str">
        <v>Romania</v>
      </c>
      <c r="E176" s="30" t="str">
        <v>Sweden</v>
      </c>
      <c r="F176" s="30" t="str">
        <v>Sweden</v>
      </c>
      <c r="G176" s="30" t="str">
        <v>Roland Nilsson</v>
      </c>
      <c r="H176" s="30" t="str">
        <v>Florian Prunea</v>
      </c>
      <c r="I176" s="30">
        <v>9</v>
      </c>
      <c r="J176" s="30">
        <v>5</v>
      </c>
      <c r="K176" s="30" t="str">
        <v>'3-3</v>
      </c>
      <c r="L176" s="30" t="str">
        <v>No</v>
      </c>
      <c r="M176" s="30" t="str">
        <v>No</v>
      </c>
      <c r="N176" s="30" t="str">
        <v>Goal</v>
      </c>
      <c r="O176" s="30" t="str">
        <f t="shared" si="20"/>
        <v>1994|Quarter-finals|Romania|Sweden|Sweden|Roland Nilsson|Florian Prunea|9|5|'3-3|No|No|Goal</v>
      </c>
      <c r="P176" s="96" t="str">
        <f>IF(COUNTIF($G$32:O176,O176)&gt;1,"DOUBLON","OK")</f>
        <v>OK</v>
      </c>
      <c r="R176" s="23" t="s">
        <v>3677</v>
      </c>
      <c r="S176" s="30" t="str">
        <v>Argentina</v>
      </c>
      <c r="T176" s="30" t="str">
        <f t="shared" si="21"/>
        <v>OK</v>
      </c>
      <c r="U176" s="30" t="str">
        <f t="shared" si="18"/>
        <v>-</v>
      </c>
      <c r="V176" s="30" t="str" cm="1">
        <f t="array" ref="V176">_xlfn.IFS(
ISNUMBER(SEARCH("USA",S176)),"United States",
ISNUMBER(SEARCH("Republic of Korea",S176)),"South Korea",
ISNUMBER(SEARCH("Cape Verde",S176)),"Cabo Verde",
ISNUMBER(SEARCH("Czechia",S176)),"Czech Republic",
ISNUMBER(SEARCH("Türkiye",S176)),"Turkey",
ISNUMBER(SEARCH("Ivory Coast",S176)),"Côte d'Ivoire",
ISNUMBER(SEARCH("Korea Republic",S176)),"South Korea",
ISNUMBER(SEARCH("Germany FR",S176)),"FR Germany",
ISNUMBER(SEARCH("West Germany",S176)),"FR Germany",
ISNUMBER(SEARCH("Germany DR",S176)),"DR Germany",
ISNUMBER(SEARCH("Korea DPR",S176)),"North Korea",
ISNUMBER(SEARCH("China PR",S176)),"China",
ISNUMBER(SEARCH("IR Iran",S176)),"Iran",
ISNUMBER(SEARCH("Congo DR",S176)),"Democratic Republic of the Congo",
ISNUMBER(SEARCH("DR Congo",S176)),"Democratic Republic of the Congo",
ISNUMBER(SEARCH("German DR",S176)),"DR Germany",
ISNUMBER(SEARCH("rn""&gt;United Arab Emirates",S176)),"United Arab Emirates",
ISNUMBER(SEARCH("rn""&gt;Republic of Ireland",S176)),"Ireland",
ISNUMBER(SEARCH("rn""&gt;Bosnia and Herzegovina",S176)),"Bosnia and Herzegovina",
ISNUMBER(SEARCH("rn""&gt;Trinidad and Tobago",S176)),"Trinidad and Tobago",
ISNUMBER(SEARCH("rn""&gt;Serbia and Montenegro",S176)),"Serbia and Montenegro",
ISNUMBER(SEARCH(_xlfn.UNICHAR(65533),S176)),"Côte d'Ivoire",
TRUE,""
)</f>
        <v/>
      </c>
      <c r="W176" s="30" t="str">
        <f t="shared" si="19"/>
        <v>Argentina</v>
      </c>
      <c r="Z176" s="40" t="str">
        <v>Carlos Dittborn</v>
      </c>
      <c r="AA176" s="40" t="str" cm="1">
        <f t="array" ref="AA176">IFERROR(_xlfn.XLOOKUP(Z176,_xlfn.ANCHORARRAY(Z$31),AA$31:AA$37),Z176)</f>
        <v>Carlos Dittborn</v>
      </c>
      <c r="AB176" s="42" t="str">
        <v xml:space="preserve">Arica </v>
      </c>
      <c r="AC176" s="89" t="str">
        <f t="shared" si="22"/>
        <v xml:space="preserve">Arica </v>
      </c>
      <c r="AE176" s="42">
        <v>1954</v>
      </c>
      <c r="AK176" s="42">
        <v>4</v>
      </c>
      <c r="AL176" s="42">
        <v>2</v>
      </c>
      <c r="AV176" s="37" t="str">
        <v>QUARTER_FINALS</v>
      </c>
      <c r="AW176" s="89" t="str">
        <v>SEMI_FINALS</v>
      </c>
      <c r="BE176" s="43" t="str">
        <f>IF(OR(DATA_CLEANED!AL167="",DATA_CLEANED!AM167=""),"MANQUANT",IF(OR(NOT(ISNUMBER(DATA_CLEANED!AL167)),NOT(ISNUMBER(DATA_CLEANED!AM167))),"ENTREE INVALIDE",IF(OR(DATA_CLEANED!AL167&lt;0,DATA_CLEANED!AM167&lt;0),"SCORE NEGATIF","OK")))</f>
        <v>OK</v>
      </c>
      <c r="BF176" s="43" t="str">
        <f>IF(DATA_CLEANED!AK167&lt;&gt;DATA_CLEANED!AN167,"OK","ERREUR")</f>
        <v>OK</v>
      </c>
      <c r="BG176" s="43" t="str">
        <f>IF(DATA_CLEANED!AL167&gt;DATA_CLEANED!AM167,DATA_CLEANED!AK167,IF(AND(DATA_QUALITE!W4653="-",DATA_CLEANED!AM167=DATA_CLEANED!AL167),"MATCH NUL",IF(AND(DATA_QUALITE!V4653="-",DATA_QUALITE!U4653="AUCUNE"),DATA_QUALITE!T4653,IF(DATA_QUALITE!V4653&lt;&gt;"-",DATA_QUALITE!V4653,DATA_CLEANED!AN167))))</f>
        <v>Czechoslovakia</v>
      </c>
      <c r="BH176" s="103" t="str">
        <f>IF(AND(BG176="MATCH NUL",DATA_CLEANED!AO167="-"),"MATCH_NUL",IF(ISNUMBER(SEARCH("win on penalties",W4653)),"WIN_BY_PENALTY",IF(ISNUMBER(SEARCH("win after extra time",W4653)),"WIN_BY_EXTRA_TIME",IF(ISNUMBER(SEARCH("Golden Goal",W4653)),"WIN_BY_GOLDEN_GOAL","WIN_BY_SCORE"))))</f>
        <v>WIN_BY_SCORE</v>
      </c>
      <c r="BI176" s="99" t="str">
        <f>IF(OR(BG176=DATA_CLEANED!AK167,BG176=DATA_CLEANED!AN167,BG176="MATCH NUL"),"OK","ERREUR")</f>
        <v>OK</v>
      </c>
    </row>
    <row r="177" spans="2:61">
      <c r="B177" s="74">
        <v>1994</v>
      </c>
      <c r="C177" s="30" t="str">
        <v>Quarter-finals</v>
      </c>
      <c r="D177" s="30" t="str">
        <v>Romania</v>
      </c>
      <c r="E177" s="30" t="str">
        <v>Sweden</v>
      </c>
      <c r="F177" s="30" t="str">
        <v>Romania</v>
      </c>
      <c r="G177" s="30" t="str">
        <v>Ilie Dumitrescu</v>
      </c>
      <c r="H177" s="30" t="str">
        <v>Thomas Ravelli</v>
      </c>
      <c r="I177" s="30">
        <v>10</v>
      </c>
      <c r="J177" s="30">
        <v>5</v>
      </c>
      <c r="K177" s="30" t="str">
        <v>'3-4</v>
      </c>
      <c r="L177" s="30" t="str">
        <v>Yes</v>
      </c>
      <c r="M177" s="30" t="str">
        <v>No</v>
      </c>
      <c r="N177" s="30" t="str">
        <v>Goal</v>
      </c>
      <c r="O177" s="30" t="str">
        <f t="shared" si="20"/>
        <v>1994|Quarter-finals|Romania|Sweden|Romania|Ilie Dumitrescu|Thomas Ravelli|10|5|'3-4|Yes|No|Goal</v>
      </c>
      <c r="P177" s="96" t="str">
        <f>IF(COUNTIF($G$32:O177,O177)&gt;1,"DOUBLON","OK")</f>
        <v>OK</v>
      </c>
      <c r="R177" s="23" t="s">
        <v>3678</v>
      </c>
      <c r="S177" s="30" t="str">
        <v>Argentina</v>
      </c>
      <c r="T177" s="30" t="str">
        <f t="shared" si="21"/>
        <v>OK</v>
      </c>
      <c r="U177" s="30" t="str">
        <f t="shared" si="18"/>
        <v>-</v>
      </c>
      <c r="V177" s="30" t="str" cm="1">
        <f t="array" ref="V177">_xlfn.IFS(
ISNUMBER(SEARCH("USA",S177)),"United States",
ISNUMBER(SEARCH("Republic of Korea",S177)),"South Korea",
ISNUMBER(SEARCH("Cape Verde",S177)),"Cabo Verde",
ISNUMBER(SEARCH("Czechia",S177)),"Czech Republic",
ISNUMBER(SEARCH("Türkiye",S177)),"Turkey",
ISNUMBER(SEARCH("Ivory Coast",S177)),"Côte d'Ivoire",
ISNUMBER(SEARCH("Korea Republic",S177)),"South Korea",
ISNUMBER(SEARCH("Germany FR",S177)),"FR Germany",
ISNUMBER(SEARCH("West Germany",S177)),"FR Germany",
ISNUMBER(SEARCH("Germany DR",S177)),"DR Germany",
ISNUMBER(SEARCH("Korea DPR",S177)),"North Korea",
ISNUMBER(SEARCH("China PR",S177)),"China",
ISNUMBER(SEARCH("IR Iran",S177)),"Iran",
ISNUMBER(SEARCH("Congo DR",S177)),"Democratic Republic of the Congo",
ISNUMBER(SEARCH("DR Congo",S177)),"Democratic Republic of the Congo",
ISNUMBER(SEARCH("German DR",S177)),"DR Germany",
ISNUMBER(SEARCH("rn""&gt;United Arab Emirates",S177)),"United Arab Emirates",
ISNUMBER(SEARCH("rn""&gt;Republic of Ireland",S177)),"Ireland",
ISNUMBER(SEARCH("rn""&gt;Bosnia and Herzegovina",S177)),"Bosnia and Herzegovina",
ISNUMBER(SEARCH("rn""&gt;Trinidad and Tobago",S177)),"Trinidad and Tobago",
ISNUMBER(SEARCH("rn""&gt;Serbia and Montenegro",S177)),"Serbia and Montenegro",
ISNUMBER(SEARCH(_xlfn.UNICHAR(65533),S177)),"Côte d'Ivoire",
TRUE,""
)</f>
        <v/>
      </c>
      <c r="W177" s="30" t="str">
        <f t="shared" si="19"/>
        <v>Argentina</v>
      </c>
      <c r="Z177" s="40" t="str">
        <v>Estadio Sausalito</v>
      </c>
      <c r="AA177" s="40" t="str" cm="1">
        <f t="array" ref="AA177">IFERROR(_xlfn.XLOOKUP(Z177,_xlfn.ANCHORARRAY(Z$31),AA$31:AA$37),Z177)</f>
        <v>Estadio Sausalito</v>
      </c>
      <c r="AB177" s="42" t="str">
        <v xml:space="preserve">Vina Del Mar </v>
      </c>
      <c r="AC177" s="89" t="str">
        <f t="shared" si="22"/>
        <v xml:space="preserve">Vina Del Mar </v>
      </c>
      <c r="AE177" s="42">
        <v>1954</v>
      </c>
      <c r="AK177" s="42">
        <v>7</v>
      </c>
      <c r="AL177" s="42">
        <v>5</v>
      </c>
      <c r="AV177" s="37" t="str">
        <v>QUARTER_FINALS</v>
      </c>
      <c r="AW177" s="89" t="str">
        <v>SEMI_FINALS</v>
      </c>
      <c r="BE177" s="43" t="str">
        <f>IF(OR(DATA_CLEANED!AL168="",DATA_CLEANED!AM168=""),"MANQUANT",IF(OR(NOT(ISNUMBER(DATA_CLEANED!AL168)),NOT(ISNUMBER(DATA_CLEANED!AM168))),"ENTREE INVALIDE",IF(OR(DATA_CLEANED!AL168&lt;0,DATA_CLEANED!AM168&lt;0),"SCORE NEGATIF","OK")))</f>
        <v>OK</v>
      </c>
      <c r="BF177" s="43" t="str">
        <f>IF(DATA_CLEANED!AK168&lt;&gt;DATA_CLEANED!AN168,"OK","ERREUR")</f>
        <v>OK</v>
      </c>
      <c r="BG177" s="43" t="str">
        <f>IF(DATA_CLEANED!AL168&gt;DATA_CLEANED!AM168,DATA_CLEANED!AK168,IF(AND(DATA_QUALITE!W4654="-",DATA_CLEANED!AM168=DATA_CLEANED!AL168),"MATCH NUL",IF(AND(DATA_QUALITE!V4654="-",DATA_QUALITE!U4654="AUCUNE"),DATA_QUALITE!T4654,IF(DATA_QUALITE!V4654&lt;&gt;"-",DATA_QUALITE!V4654,DATA_CLEANED!AN168))))</f>
        <v>Brazil</v>
      </c>
      <c r="BH177" s="103" t="str">
        <f>IF(AND(BG177="MATCH NUL",DATA_CLEANED!AO168="-"),"MATCH_NUL",IF(ISNUMBER(SEARCH("win on penalties",W4654)),"WIN_BY_PENALTY",IF(ISNUMBER(SEARCH("win after extra time",W4654)),"WIN_BY_EXTRA_TIME",IF(ISNUMBER(SEARCH("Golden Goal",W4654)),"WIN_BY_GOLDEN_GOAL","WIN_BY_SCORE"))))</f>
        <v>WIN_BY_SCORE</v>
      </c>
      <c r="BI177" s="99" t="str">
        <f>IF(OR(BG177=DATA_CLEANED!AK168,BG177=DATA_CLEANED!AN168,BG177="MATCH NUL"),"OK","ERREUR")</f>
        <v>OK</v>
      </c>
    </row>
    <row r="178" spans="2:61">
      <c r="B178" s="74">
        <v>1994</v>
      </c>
      <c r="C178" s="30" t="str">
        <v>Quarter-finals</v>
      </c>
      <c r="D178" s="30" t="str">
        <v>Romania</v>
      </c>
      <c r="E178" s="30" t="str">
        <v>Sweden</v>
      </c>
      <c r="F178" s="30" t="str">
        <v>Sweden</v>
      </c>
      <c r="G178" s="30" t="str">
        <v>Henrik Larsson</v>
      </c>
      <c r="H178" s="30" t="str">
        <v>Florian Prunea</v>
      </c>
      <c r="I178" s="30">
        <v>11</v>
      </c>
      <c r="J178" s="30">
        <v>6</v>
      </c>
      <c r="K178" s="30" t="str">
        <v>'4-4</v>
      </c>
      <c r="L178" s="30" t="str">
        <v>No</v>
      </c>
      <c r="M178" s="30" t="str">
        <v>No</v>
      </c>
      <c r="N178" s="30" t="str">
        <v>Goal</v>
      </c>
      <c r="O178" s="30" t="str">
        <f t="shared" si="20"/>
        <v>1994|Quarter-finals|Romania|Sweden|Sweden|Henrik Larsson|Florian Prunea|11|6|'4-4|No|No|Goal</v>
      </c>
      <c r="P178" s="96" t="str">
        <f>IF(COUNTIF($G$32:O178,O178)&gt;1,"DOUBLON","OK")</f>
        <v>OK</v>
      </c>
      <c r="R178" s="23" t="s">
        <v>81</v>
      </c>
      <c r="S178" s="30" t="str">
        <v>Italy</v>
      </c>
      <c r="T178" s="30" t="str">
        <f t="shared" si="21"/>
        <v>OK</v>
      </c>
      <c r="U178" s="30" t="str">
        <f t="shared" si="18"/>
        <v>-</v>
      </c>
      <c r="V178" s="30" t="str" cm="1">
        <f t="array" ref="V178">_xlfn.IFS(
ISNUMBER(SEARCH("USA",S178)),"United States",
ISNUMBER(SEARCH("Republic of Korea",S178)),"South Korea",
ISNUMBER(SEARCH("Cape Verde",S178)),"Cabo Verde",
ISNUMBER(SEARCH("Czechia",S178)),"Czech Republic",
ISNUMBER(SEARCH("Türkiye",S178)),"Turkey",
ISNUMBER(SEARCH("Ivory Coast",S178)),"Côte d'Ivoire",
ISNUMBER(SEARCH("Korea Republic",S178)),"South Korea",
ISNUMBER(SEARCH("Germany FR",S178)),"FR Germany",
ISNUMBER(SEARCH("West Germany",S178)),"FR Germany",
ISNUMBER(SEARCH("Germany DR",S178)),"DR Germany",
ISNUMBER(SEARCH("Korea DPR",S178)),"North Korea",
ISNUMBER(SEARCH("China PR",S178)),"China",
ISNUMBER(SEARCH("IR Iran",S178)),"Iran",
ISNUMBER(SEARCH("Congo DR",S178)),"Democratic Republic of the Congo",
ISNUMBER(SEARCH("DR Congo",S178)),"Democratic Republic of the Congo",
ISNUMBER(SEARCH("German DR",S178)),"DR Germany",
ISNUMBER(SEARCH("rn""&gt;United Arab Emirates",S178)),"United Arab Emirates",
ISNUMBER(SEARCH("rn""&gt;Republic of Ireland",S178)),"Ireland",
ISNUMBER(SEARCH("rn""&gt;Bosnia and Herzegovina",S178)),"Bosnia and Herzegovina",
ISNUMBER(SEARCH("rn""&gt;Trinidad and Tobago",S178)),"Trinidad and Tobago",
ISNUMBER(SEARCH("rn""&gt;Serbia and Montenegro",S178)),"Serbia and Montenegro",
ISNUMBER(SEARCH(_xlfn.UNICHAR(65533),S178)),"Côte d'Ivoire",
TRUE,""
)</f>
        <v/>
      </c>
      <c r="W178" s="30" t="str">
        <f t="shared" si="19"/>
        <v>Italy</v>
      </c>
      <c r="Z178" s="40" t="str">
        <v>Estadio El Teniente-Codelco</v>
      </c>
      <c r="AA178" s="40" t="str" cm="1">
        <f t="array" ref="AA178">IFERROR(_xlfn.XLOOKUP(Z178,_xlfn.ANCHORARRAY(Z$31),AA$31:AA$37),Z178)</f>
        <v>Estadio El Teniente-Codelco</v>
      </c>
      <c r="AB178" s="42" t="str">
        <v xml:space="preserve">Rancagua </v>
      </c>
      <c r="AC178" s="89" t="str">
        <f t="shared" si="22"/>
        <v xml:space="preserve">Rancagua </v>
      </c>
      <c r="AE178" s="42">
        <v>1954</v>
      </c>
      <c r="AK178" s="42">
        <v>2</v>
      </c>
      <c r="AL178" s="42">
        <v>0</v>
      </c>
      <c r="AV178" s="37" t="str">
        <v>QUARTER_FINALS</v>
      </c>
      <c r="AW178" s="89" t="str">
        <v>THIRD_PLACE</v>
      </c>
      <c r="BE178" s="43" t="str">
        <f>IF(OR(DATA_CLEANED!AL169="",DATA_CLEANED!AM169=""),"MANQUANT",IF(OR(NOT(ISNUMBER(DATA_CLEANED!AL169)),NOT(ISNUMBER(DATA_CLEANED!AM169))),"ENTREE INVALIDE",IF(OR(DATA_CLEANED!AL169&lt;0,DATA_CLEANED!AM169&lt;0),"SCORE NEGATIF","OK")))</f>
        <v>OK</v>
      </c>
      <c r="BF178" s="43" t="str">
        <f>IF(DATA_CLEANED!AK169&lt;&gt;DATA_CLEANED!AN169,"OK","ERREUR")</f>
        <v>OK</v>
      </c>
      <c r="BG178" s="43" t="str">
        <f>IF(DATA_CLEANED!AL169&gt;DATA_CLEANED!AM169,DATA_CLEANED!AK169,IF(AND(DATA_QUALITE!W4655="-",DATA_CLEANED!AM169=DATA_CLEANED!AL169),"MATCH NUL",IF(AND(DATA_QUALITE!V4655="-",DATA_QUALITE!U4655="AUCUNE"),DATA_QUALITE!T4655,IF(DATA_QUALITE!V4655&lt;&gt;"-",DATA_QUALITE!V4655,DATA_CLEANED!AN169))))</f>
        <v>Chile</v>
      </c>
      <c r="BH178" s="103" t="str">
        <f>IF(AND(BG178="MATCH NUL",DATA_CLEANED!AO169="-"),"MATCH_NUL",IF(ISNUMBER(SEARCH("win on penalties",W4655)),"WIN_BY_PENALTY",IF(ISNUMBER(SEARCH("win after extra time",W4655)),"WIN_BY_EXTRA_TIME",IF(ISNUMBER(SEARCH("Golden Goal",W4655)),"WIN_BY_GOLDEN_GOAL","WIN_BY_SCORE"))))</f>
        <v>WIN_BY_SCORE</v>
      </c>
      <c r="BI178" s="99" t="str">
        <f>IF(OR(BG178=DATA_CLEANED!AK169,BG178=DATA_CLEANED!AN169,BG178="MATCH NUL"),"OK","ERREUR")</f>
        <v>OK</v>
      </c>
    </row>
    <row r="179" spans="2:61">
      <c r="B179" s="74">
        <v>1994</v>
      </c>
      <c r="C179" s="30" t="str">
        <v>Quarter-finals</v>
      </c>
      <c r="D179" s="30" t="str">
        <v>Romania</v>
      </c>
      <c r="E179" s="30" t="str">
        <v>Sweden</v>
      </c>
      <c r="F179" s="30" t="str">
        <v>Romania</v>
      </c>
      <c r="G179" s="30" t="str">
        <v>Miodrag Belodedici</v>
      </c>
      <c r="H179" s="30" t="str">
        <v>Thomas Ravelli</v>
      </c>
      <c r="I179" s="30">
        <v>12</v>
      </c>
      <c r="J179" s="30">
        <v>6</v>
      </c>
      <c r="K179" s="30" t="str">
        <v>'5-4</v>
      </c>
      <c r="L179" s="30" t="str">
        <v>Yes</v>
      </c>
      <c r="M179" s="30" t="str">
        <v>Yes</v>
      </c>
      <c r="N179" s="30" t="str">
        <v>Saved</v>
      </c>
      <c r="O179" s="30" t="str">
        <f t="shared" si="20"/>
        <v>1994|Quarter-finals|Romania|Sweden|Romania|Miodrag Belodedici|Thomas Ravelli|12|6|'5-4|Yes|Yes|Saved</v>
      </c>
      <c r="P179" s="96" t="str">
        <f>IF(COUNTIF($G$32:O179,O179)&gt;1,"DOUBLON","OK")</f>
        <v>OK</v>
      </c>
      <c r="R179" s="23" t="s">
        <v>3679</v>
      </c>
      <c r="S179" s="30" t="str">
        <v>Italy</v>
      </c>
      <c r="T179" s="30" t="str">
        <f t="shared" si="21"/>
        <v>OK</v>
      </c>
      <c r="U179" s="30" t="str">
        <f t="shared" si="18"/>
        <v>-</v>
      </c>
      <c r="V179" s="30" t="str" cm="1">
        <f t="array" ref="V179">_xlfn.IFS(
ISNUMBER(SEARCH("USA",S179)),"United States",
ISNUMBER(SEARCH("Republic of Korea",S179)),"South Korea",
ISNUMBER(SEARCH("Cape Verde",S179)),"Cabo Verde",
ISNUMBER(SEARCH("Czechia",S179)),"Czech Republic",
ISNUMBER(SEARCH("Türkiye",S179)),"Turkey",
ISNUMBER(SEARCH("Ivory Coast",S179)),"Côte d'Ivoire",
ISNUMBER(SEARCH("Korea Republic",S179)),"South Korea",
ISNUMBER(SEARCH("Germany FR",S179)),"FR Germany",
ISNUMBER(SEARCH("West Germany",S179)),"FR Germany",
ISNUMBER(SEARCH("Germany DR",S179)),"DR Germany",
ISNUMBER(SEARCH("Korea DPR",S179)),"North Korea",
ISNUMBER(SEARCH("China PR",S179)),"China",
ISNUMBER(SEARCH("IR Iran",S179)),"Iran",
ISNUMBER(SEARCH("Congo DR",S179)),"Democratic Republic of the Congo",
ISNUMBER(SEARCH("DR Congo",S179)),"Democratic Republic of the Congo",
ISNUMBER(SEARCH("German DR",S179)),"DR Germany",
ISNUMBER(SEARCH("rn""&gt;United Arab Emirates",S179)),"United Arab Emirates",
ISNUMBER(SEARCH("rn""&gt;Republic of Ireland",S179)),"Ireland",
ISNUMBER(SEARCH("rn""&gt;Bosnia and Herzegovina",S179)),"Bosnia and Herzegovina",
ISNUMBER(SEARCH("rn""&gt;Trinidad and Tobago",S179)),"Trinidad and Tobago",
ISNUMBER(SEARCH("rn""&gt;Serbia and Montenegro",S179)),"Serbia and Montenegro",
ISNUMBER(SEARCH(_xlfn.UNICHAR(65533),S179)),"Côte d'Ivoire",
TRUE,""
)</f>
        <v/>
      </c>
      <c r="W179" s="30" t="str">
        <f t="shared" si="19"/>
        <v>Italy</v>
      </c>
      <c r="Z179" s="40" t="str">
        <v>Nacional</v>
      </c>
      <c r="AA179" s="40" t="str" cm="1">
        <f t="array" ref="AA179">IFERROR(_xlfn.XLOOKUP(Z179,_xlfn.ANCHORARRAY(Z$31),AA$31:AA$37),Z179)</f>
        <v>Nacional</v>
      </c>
      <c r="AB179" s="42" t="str">
        <v xml:space="preserve">Santiago De Chile </v>
      </c>
      <c r="AC179" s="89" t="str">
        <f t="shared" si="22"/>
        <v xml:space="preserve">Santiago De Chile </v>
      </c>
      <c r="AE179" s="42">
        <v>1954</v>
      </c>
      <c r="AK179" s="42">
        <v>4</v>
      </c>
      <c r="AL179" s="42">
        <v>2</v>
      </c>
      <c r="AV179" s="37" t="str">
        <v>QUARTER_FINALS</v>
      </c>
      <c r="AW179" s="89" t="str">
        <v>FINAL</v>
      </c>
      <c r="BE179" s="43" t="str">
        <f>IF(OR(DATA_CLEANED!AL170="",DATA_CLEANED!AM170=""),"MANQUANT",IF(OR(NOT(ISNUMBER(DATA_CLEANED!AL170)),NOT(ISNUMBER(DATA_CLEANED!AM170))),"ENTREE INVALIDE",IF(OR(DATA_CLEANED!AL170&lt;0,DATA_CLEANED!AM170&lt;0),"SCORE NEGATIF","OK")))</f>
        <v>OK</v>
      </c>
      <c r="BF179" s="43" t="str">
        <f>IF(DATA_CLEANED!AK170&lt;&gt;DATA_CLEANED!AN170,"OK","ERREUR")</f>
        <v>OK</v>
      </c>
      <c r="BG179" s="43" t="str">
        <f>IF(DATA_CLEANED!AL170&gt;DATA_CLEANED!AM170,DATA_CLEANED!AK170,IF(AND(DATA_QUALITE!W4656="-",DATA_CLEANED!AM170=DATA_CLEANED!AL170),"MATCH NUL",IF(AND(DATA_QUALITE!V4656="-",DATA_QUALITE!U4656="AUCUNE"),DATA_QUALITE!T4656,IF(DATA_QUALITE!V4656&lt;&gt;"-",DATA_QUALITE!V4656,DATA_CLEANED!AN170))))</f>
        <v>Brazil</v>
      </c>
      <c r="BH179" s="103" t="str">
        <f>IF(AND(BG179="MATCH NUL",DATA_CLEANED!AO170="-"),"MATCH_NUL",IF(ISNUMBER(SEARCH("win on penalties",W4656)),"WIN_BY_PENALTY",IF(ISNUMBER(SEARCH("win after extra time",W4656)),"WIN_BY_EXTRA_TIME",IF(ISNUMBER(SEARCH("Golden Goal",W4656)),"WIN_BY_GOLDEN_GOAL","WIN_BY_SCORE"))))</f>
        <v>WIN_BY_SCORE</v>
      </c>
      <c r="BI179" s="99" t="str">
        <f>IF(OR(BG179=DATA_CLEANED!AK170,BG179=DATA_CLEANED!AN170,BG179="MATCH NUL"),"OK","ERREUR")</f>
        <v>OK</v>
      </c>
    </row>
    <row r="180" spans="2:61">
      <c r="B180" s="74">
        <v>1994</v>
      </c>
      <c r="C180" s="30" t="str">
        <v>Final</v>
      </c>
      <c r="D180" s="30" t="str">
        <v>Brazil</v>
      </c>
      <c r="E180" s="30" t="str">
        <v>Italy</v>
      </c>
      <c r="F180" s="30" t="str">
        <v>Italy</v>
      </c>
      <c r="G180" s="30" t="str">
        <v>Franco Baresi</v>
      </c>
      <c r="H180" s="30" t="str">
        <v>Taffarel</v>
      </c>
      <c r="I180" s="30">
        <v>1</v>
      </c>
      <c r="J180" s="30">
        <v>1</v>
      </c>
      <c r="K180" s="30" t="str">
        <v>'0-0</v>
      </c>
      <c r="L180" s="30" t="str">
        <v>No</v>
      </c>
      <c r="M180" s="30" t="str">
        <v>No</v>
      </c>
      <c r="N180" s="30" t="str">
        <v>Missed</v>
      </c>
      <c r="O180" s="30" t="str">
        <f t="shared" si="20"/>
        <v>1994|Final|Brazil|Italy|Italy|Franco Baresi|Taffarel|1|1|'0-0|No|No|Missed</v>
      </c>
      <c r="P180" s="96" t="str">
        <f>IF(COUNTIF($G$32:O180,O180)&gt;1,"DOUBLON","OK")</f>
        <v>OK</v>
      </c>
      <c r="R180" s="23" t="s">
        <v>13</v>
      </c>
      <c r="S180" s="30" t="str">
        <v>Italy</v>
      </c>
      <c r="T180" s="30" t="str">
        <f t="shared" si="21"/>
        <v>OK</v>
      </c>
      <c r="U180" s="30" t="str">
        <f t="shared" si="18"/>
        <v>-</v>
      </c>
      <c r="V180" s="30" t="str" cm="1">
        <f t="array" ref="V180">_xlfn.IFS(
ISNUMBER(SEARCH("USA",S180)),"United States",
ISNUMBER(SEARCH("Republic of Korea",S180)),"South Korea",
ISNUMBER(SEARCH("Cape Verde",S180)),"Cabo Verde",
ISNUMBER(SEARCH("Czechia",S180)),"Czech Republic",
ISNUMBER(SEARCH("Türkiye",S180)),"Turkey",
ISNUMBER(SEARCH("Ivory Coast",S180)),"Côte d'Ivoire",
ISNUMBER(SEARCH("Korea Republic",S180)),"South Korea",
ISNUMBER(SEARCH("Germany FR",S180)),"FR Germany",
ISNUMBER(SEARCH("West Germany",S180)),"FR Germany",
ISNUMBER(SEARCH("Germany DR",S180)),"DR Germany",
ISNUMBER(SEARCH("Korea DPR",S180)),"North Korea",
ISNUMBER(SEARCH("China PR",S180)),"China",
ISNUMBER(SEARCH("IR Iran",S180)),"Iran",
ISNUMBER(SEARCH("Congo DR",S180)),"Democratic Republic of the Congo",
ISNUMBER(SEARCH("DR Congo",S180)),"Democratic Republic of the Congo",
ISNUMBER(SEARCH("German DR",S180)),"DR Germany",
ISNUMBER(SEARCH("rn""&gt;United Arab Emirates",S180)),"United Arab Emirates",
ISNUMBER(SEARCH("rn""&gt;Republic of Ireland",S180)),"Ireland",
ISNUMBER(SEARCH("rn""&gt;Bosnia and Herzegovina",S180)),"Bosnia and Herzegovina",
ISNUMBER(SEARCH("rn""&gt;Trinidad and Tobago",S180)),"Trinidad and Tobago",
ISNUMBER(SEARCH("rn""&gt;Serbia and Montenegro",S180)),"Serbia and Montenegro",
ISNUMBER(SEARCH(_xlfn.UNICHAR(65533),S180)),"Côte d'Ivoire",
TRUE,""
)</f>
        <v/>
      </c>
      <c r="W180" s="30" t="str">
        <f t="shared" si="19"/>
        <v>Italy</v>
      </c>
      <c r="Z180" s="40" t="str">
        <v>Carlos Dittborn</v>
      </c>
      <c r="AA180" s="40" t="str" cm="1">
        <f t="array" ref="AA180">IFERROR(_xlfn.XLOOKUP(Z180,_xlfn.ANCHORARRAY(Z$31),AA$31:AA$37),Z180)</f>
        <v>Carlos Dittborn</v>
      </c>
      <c r="AB180" s="42" t="str">
        <v xml:space="preserve">Arica </v>
      </c>
      <c r="AC180" s="89" t="str">
        <f t="shared" si="22"/>
        <v xml:space="preserve">Arica </v>
      </c>
      <c r="AE180" s="42">
        <v>1954</v>
      </c>
      <c r="AK180" s="42">
        <v>6</v>
      </c>
      <c r="AL180" s="42">
        <v>1</v>
      </c>
      <c r="AV180" s="37" t="str">
        <v>QUARTER_FINALS</v>
      </c>
      <c r="AW180" s="89" t="str">
        <v>GROUP_STAGE</v>
      </c>
      <c r="BE180" s="43" t="str">
        <f>IF(OR(DATA_CLEANED!AL171="",DATA_CLEANED!AM171=""),"MANQUANT",IF(OR(NOT(ISNUMBER(DATA_CLEANED!AL171)),NOT(ISNUMBER(DATA_CLEANED!AM171))),"ENTREE INVALIDE",IF(OR(DATA_CLEANED!AL171&lt;0,DATA_CLEANED!AM171&lt;0),"SCORE NEGATIF","OK")))</f>
        <v>OK</v>
      </c>
      <c r="BF180" s="43" t="str">
        <f>IF(DATA_CLEANED!AK171&lt;&gt;DATA_CLEANED!AN171,"OK","ERREUR")</f>
        <v>OK</v>
      </c>
      <c r="BG180" s="43" t="str">
        <f>IF(DATA_CLEANED!AL171&gt;DATA_CLEANED!AM171,DATA_CLEANED!AK171,IF(AND(DATA_QUALITE!W4657="-",DATA_CLEANED!AM171=DATA_CLEANED!AL171),"MATCH NUL",IF(AND(DATA_QUALITE!V4657="-",DATA_QUALITE!U4657="AUCUNE"),DATA_QUALITE!T4657,IF(DATA_QUALITE!V4657&lt;&gt;"-",DATA_QUALITE!V4657,DATA_CLEANED!AN171))))</f>
        <v>MATCH NUL</v>
      </c>
      <c r="BH180" s="103" t="str">
        <f>IF(AND(BG180="MATCH NUL",DATA_CLEANED!AO171="-"),"MATCH_NUL",IF(ISNUMBER(SEARCH("win on penalties",W4657)),"WIN_BY_PENALTY",IF(ISNUMBER(SEARCH("win after extra time",W4657)),"WIN_BY_EXTRA_TIME",IF(ISNUMBER(SEARCH("Golden Goal",W4657)),"WIN_BY_GOLDEN_GOAL","WIN_BY_SCORE"))))</f>
        <v>MATCH_NUL</v>
      </c>
      <c r="BI180" s="99" t="str">
        <f>IF(OR(BG180=DATA_CLEANED!AK171,BG180=DATA_CLEANED!AN171,BG180="MATCH NUL"),"OK","ERREUR")</f>
        <v>OK</v>
      </c>
    </row>
    <row r="181" spans="2:61">
      <c r="B181" s="74">
        <v>1994</v>
      </c>
      <c r="C181" s="30" t="str">
        <v>Final</v>
      </c>
      <c r="D181" s="30" t="str">
        <v>Brazil</v>
      </c>
      <c r="E181" s="30" t="str">
        <v>Italy</v>
      </c>
      <c r="F181" s="30" t="str">
        <v>Brazil</v>
      </c>
      <c r="G181" s="30" t="str">
        <v>Márcio Santos</v>
      </c>
      <c r="H181" s="30" t="str">
        <v>Gianluca Pagliuca</v>
      </c>
      <c r="I181" s="30">
        <v>2</v>
      </c>
      <c r="J181" s="30">
        <v>1</v>
      </c>
      <c r="K181" s="30" t="str">
        <v>'0-0</v>
      </c>
      <c r="L181" s="30" t="str">
        <v>No</v>
      </c>
      <c r="M181" s="30" t="str">
        <v>No</v>
      </c>
      <c r="N181" s="30" t="str">
        <v>Saved</v>
      </c>
      <c r="O181" s="30" t="str">
        <f t="shared" si="20"/>
        <v>1994|Final|Brazil|Italy|Brazil|Márcio Santos|Gianluca Pagliuca|2|1|'0-0|No|No|Saved</v>
      </c>
      <c r="P181" s="96" t="str">
        <f>IF(COUNTIF($G$32:O181,O181)&gt;1,"DOUBLON","OK")</f>
        <v>OK</v>
      </c>
      <c r="R181" s="23" t="s">
        <v>32</v>
      </c>
      <c r="S181" s="30" t="str">
        <v>Italy</v>
      </c>
      <c r="T181" s="30" t="str">
        <f t="shared" si="21"/>
        <v>OK</v>
      </c>
      <c r="U181" s="30" t="str">
        <f t="shared" si="18"/>
        <v>-</v>
      </c>
      <c r="V181" s="30" t="str" cm="1">
        <f t="array" ref="V181">_xlfn.IFS(
ISNUMBER(SEARCH("USA",S181)),"United States",
ISNUMBER(SEARCH("Republic of Korea",S181)),"South Korea",
ISNUMBER(SEARCH("Cape Verde",S181)),"Cabo Verde",
ISNUMBER(SEARCH("Czechia",S181)),"Czech Republic",
ISNUMBER(SEARCH("Türkiye",S181)),"Turkey",
ISNUMBER(SEARCH("Ivory Coast",S181)),"Côte d'Ivoire",
ISNUMBER(SEARCH("Korea Republic",S181)),"South Korea",
ISNUMBER(SEARCH("Germany FR",S181)),"FR Germany",
ISNUMBER(SEARCH("West Germany",S181)),"FR Germany",
ISNUMBER(SEARCH("Germany DR",S181)),"DR Germany",
ISNUMBER(SEARCH("Korea DPR",S181)),"North Korea",
ISNUMBER(SEARCH("China PR",S181)),"China",
ISNUMBER(SEARCH("IR Iran",S181)),"Iran",
ISNUMBER(SEARCH("Congo DR",S181)),"Democratic Republic of the Congo",
ISNUMBER(SEARCH("DR Congo",S181)),"Democratic Republic of the Congo",
ISNUMBER(SEARCH("German DR",S181)),"DR Germany",
ISNUMBER(SEARCH("rn""&gt;United Arab Emirates",S181)),"United Arab Emirates",
ISNUMBER(SEARCH("rn""&gt;Republic of Ireland",S181)),"Ireland",
ISNUMBER(SEARCH("rn""&gt;Bosnia and Herzegovina",S181)),"Bosnia and Herzegovina",
ISNUMBER(SEARCH("rn""&gt;Trinidad and Tobago",S181)),"Trinidad and Tobago",
ISNUMBER(SEARCH("rn""&gt;Serbia and Montenegro",S181)),"Serbia and Montenegro",
ISNUMBER(SEARCH(_xlfn.UNICHAR(65533),S181)),"Côte d'Ivoire",
TRUE,""
)</f>
        <v/>
      </c>
      <c r="W181" s="30" t="str">
        <f t="shared" si="19"/>
        <v>Italy</v>
      </c>
      <c r="Z181" s="40" t="str">
        <v>Estadio Sausalito</v>
      </c>
      <c r="AA181" s="40" t="str" cm="1">
        <f t="array" ref="AA181">IFERROR(_xlfn.XLOOKUP(Z181,_xlfn.ANCHORARRAY(Z$31),AA$31:AA$37),Z181)</f>
        <v>Estadio Sausalito</v>
      </c>
      <c r="AB181" s="42" t="str">
        <v xml:space="preserve">Vina Del Mar </v>
      </c>
      <c r="AC181" s="89" t="str">
        <f t="shared" si="22"/>
        <v xml:space="preserve">Vina Del Mar </v>
      </c>
      <c r="AE181" s="42">
        <v>1954</v>
      </c>
      <c r="AK181" s="42">
        <v>4</v>
      </c>
      <c r="AL181" s="42">
        <v>2</v>
      </c>
      <c r="AV181" s="37" t="str">
        <v>QUARTER_FINALS</v>
      </c>
      <c r="AW181" s="89" t="str">
        <v>GROUP_STAGE</v>
      </c>
      <c r="BE181" s="43" t="str">
        <f>IF(OR(DATA_CLEANED!AL172="",DATA_CLEANED!AM172=""),"MANQUANT",IF(OR(NOT(ISNUMBER(DATA_CLEANED!AL172)),NOT(ISNUMBER(DATA_CLEANED!AM172))),"ENTREE INVALIDE",IF(OR(DATA_CLEANED!AL172&lt;0,DATA_CLEANED!AM172&lt;0),"SCORE NEGATIF","OK")))</f>
        <v>OK</v>
      </c>
      <c r="BF181" s="43" t="str">
        <f>IF(DATA_CLEANED!AK172&lt;&gt;DATA_CLEANED!AN172,"OK","ERREUR")</f>
        <v>OK</v>
      </c>
      <c r="BG181" s="43" t="str">
        <f>IF(DATA_CLEANED!AL172&gt;DATA_CLEANED!AM172,DATA_CLEANED!AK172,IF(AND(DATA_QUALITE!W4658="-",DATA_CLEANED!AM172=DATA_CLEANED!AL172),"MATCH NUL",IF(AND(DATA_QUALITE!V4658="-",DATA_QUALITE!U4658="AUCUNE"),DATA_QUALITE!T4658,IF(DATA_QUALITE!V4658&lt;&gt;"-",DATA_QUALITE!V4658,DATA_CLEANED!AN172))))</f>
        <v>FR Germany</v>
      </c>
      <c r="BH181" s="103" t="str">
        <f>IF(AND(BG181="MATCH NUL",DATA_CLEANED!AO172="-"),"MATCH_NUL",IF(ISNUMBER(SEARCH("win on penalties",W4658)),"WIN_BY_PENALTY",IF(ISNUMBER(SEARCH("win after extra time",W4658)),"WIN_BY_EXTRA_TIME",IF(ISNUMBER(SEARCH("Golden Goal",W4658)),"WIN_BY_GOLDEN_GOAL","WIN_BY_SCORE"))))</f>
        <v>WIN_BY_SCORE</v>
      </c>
      <c r="BI181" s="99" t="str">
        <f>IF(OR(BG181=DATA_CLEANED!AK172,BG181=DATA_CLEANED!AN172,BG181="MATCH NUL"),"OK","ERREUR")</f>
        <v>OK</v>
      </c>
    </row>
    <row r="182" spans="2:61">
      <c r="B182" s="74">
        <v>1994</v>
      </c>
      <c r="C182" s="30" t="str">
        <v>Final</v>
      </c>
      <c r="D182" s="30" t="str">
        <v>Brazil</v>
      </c>
      <c r="E182" s="30" t="str">
        <v>Italy</v>
      </c>
      <c r="F182" s="30" t="str">
        <v>Italy</v>
      </c>
      <c r="G182" s="30" t="str">
        <v>Demetrio Albertini</v>
      </c>
      <c r="H182" s="30" t="str">
        <v>Taffarel</v>
      </c>
      <c r="I182" s="30">
        <v>3</v>
      </c>
      <c r="J182" s="30">
        <v>2</v>
      </c>
      <c r="K182" s="30" t="str">
        <v>'0-0</v>
      </c>
      <c r="L182" s="30" t="str">
        <v>No</v>
      </c>
      <c r="M182" s="30" t="str">
        <v>No</v>
      </c>
      <c r="N182" s="30" t="str">
        <v>Goal</v>
      </c>
      <c r="O182" s="30" t="str">
        <f t="shared" si="20"/>
        <v>1994|Final|Brazil|Italy|Italy|Demetrio Albertini|Taffarel|3|2|'0-0|No|No|Goal</v>
      </c>
      <c r="P182" s="96" t="str">
        <f>IF(COUNTIF($G$32:O182,O182)&gt;1,"DOUBLON","OK")</f>
        <v>OK</v>
      </c>
      <c r="R182" s="23" t="s">
        <v>3680</v>
      </c>
      <c r="S182" s="30" t="str">
        <v>Italy</v>
      </c>
      <c r="T182" s="30" t="str">
        <f t="shared" si="21"/>
        <v>OK</v>
      </c>
      <c r="U182" s="30" t="str">
        <f t="shared" si="18"/>
        <v>-</v>
      </c>
      <c r="V182" s="30" t="str" cm="1">
        <f t="array" ref="V182">_xlfn.IFS(
ISNUMBER(SEARCH("USA",S182)),"United States",
ISNUMBER(SEARCH("Republic of Korea",S182)),"South Korea",
ISNUMBER(SEARCH("Cape Verde",S182)),"Cabo Verde",
ISNUMBER(SEARCH("Czechia",S182)),"Czech Republic",
ISNUMBER(SEARCH("Türkiye",S182)),"Turkey",
ISNUMBER(SEARCH("Ivory Coast",S182)),"Côte d'Ivoire",
ISNUMBER(SEARCH("Korea Republic",S182)),"South Korea",
ISNUMBER(SEARCH("Germany FR",S182)),"FR Germany",
ISNUMBER(SEARCH("West Germany",S182)),"FR Germany",
ISNUMBER(SEARCH("Germany DR",S182)),"DR Germany",
ISNUMBER(SEARCH("Korea DPR",S182)),"North Korea",
ISNUMBER(SEARCH("China PR",S182)),"China",
ISNUMBER(SEARCH("IR Iran",S182)),"Iran",
ISNUMBER(SEARCH("Congo DR",S182)),"Democratic Republic of the Congo",
ISNUMBER(SEARCH("DR Congo",S182)),"Democratic Republic of the Congo",
ISNUMBER(SEARCH("German DR",S182)),"DR Germany",
ISNUMBER(SEARCH("rn""&gt;United Arab Emirates",S182)),"United Arab Emirates",
ISNUMBER(SEARCH("rn""&gt;Republic of Ireland",S182)),"Ireland",
ISNUMBER(SEARCH("rn""&gt;Bosnia and Herzegovina",S182)),"Bosnia and Herzegovina",
ISNUMBER(SEARCH("rn""&gt;Trinidad and Tobago",S182)),"Trinidad and Tobago",
ISNUMBER(SEARCH("rn""&gt;Serbia and Montenegro",S182)),"Serbia and Montenegro",
ISNUMBER(SEARCH(_xlfn.UNICHAR(65533),S182)),"Côte d'Ivoire",
TRUE,""
)</f>
        <v/>
      </c>
      <c r="W182" s="30" t="str">
        <f t="shared" si="19"/>
        <v>Italy</v>
      </c>
      <c r="Z182" s="40" t="str">
        <v>Estadio El Teniente-Codelco</v>
      </c>
      <c r="AA182" s="40" t="str" cm="1">
        <f t="array" ref="AA182">IFERROR(_xlfn.XLOOKUP(Z182,_xlfn.ANCHORARRAY(Z$31),AA$31:AA$37),Z182)</f>
        <v>Estadio El Teniente-Codelco</v>
      </c>
      <c r="AB182" s="42" t="str">
        <v xml:space="preserve">Rancagua </v>
      </c>
      <c r="AC182" s="89" t="str">
        <f t="shared" si="22"/>
        <v xml:space="preserve">Rancagua </v>
      </c>
      <c r="AE182" s="42">
        <v>1954</v>
      </c>
      <c r="AK182" s="42">
        <v>3</v>
      </c>
      <c r="AL182" s="42">
        <v>1</v>
      </c>
      <c r="AV182" s="37" t="str">
        <v>QUARTER_FINALS</v>
      </c>
      <c r="AW182" s="89" t="str">
        <v>GROUP_STAGE</v>
      </c>
      <c r="BE182" s="43" t="str">
        <f>IF(OR(DATA_CLEANED!AL173="",DATA_CLEANED!AM173=""),"MANQUANT",IF(OR(NOT(ISNUMBER(DATA_CLEANED!AL173)),NOT(ISNUMBER(DATA_CLEANED!AM173))),"ENTREE INVALIDE",IF(OR(DATA_CLEANED!AL173&lt;0,DATA_CLEANED!AM173&lt;0),"SCORE NEGATIF","OK")))</f>
        <v>OK</v>
      </c>
      <c r="BF182" s="43" t="str">
        <f>IF(DATA_CLEANED!AK173&lt;&gt;DATA_CLEANED!AN173,"OK","ERREUR")</f>
        <v>OK</v>
      </c>
      <c r="BG182" s="43" t="str">
        <f>IF(DATA_CLEANED!AL173&gt;DATA_CLEANED!AM173,DATA_CLEANED!AK173,IF(AND(DATA_QUALITE!W4659="-",DATA_CLEANED!AM173=DATA_CLEANED!AL173),"MATCH NUL",IF(AND(DATA_QUALITE!V4659="-",DATA_QUALITE!U4659="AUCUNE"),DATA_QUALITE!T4659,IF(DATA_QUALITE!V4659&lt;&gt;"-",DATA_QUALITE!V4659,DATA_CLEANED!AN173))))</f>
        <v>Brazil</v>
      </c>
      <c r="BH182" s="103" t="str">
        <f>IF(AND(BG182="MATCH NUL",DATA_CLEANED!AO173="-"),"MATCH_NUL",IF(ISNUMBER(SEARCH("win on penalties",W4659)),"WIN_BY_PENALTY",IF(ISNUMBER(SEARCH("win after extra time",W4659)),"WIN_BY_EXTRA_TIME",IF(ISNUMBER(SEARCH("Golden Goal",W4659)),"WIN_BY_GOLDEN_GOAL","WIN_BY_SCORE"))))</f>
        <v>WIN_BY_SCORE</v>
      </c>
      <c r="BI182" s="99" t="str">
        <f>IF(OR(BG182=DATA_CLEANED!AK173,BG182=DATA_CLEANED!AN173,BG182="MATCH NUL"),"OK","ERREUR")</f>
        <v>OK</v>
      </c>
    </row>
    <row r="183" spans="2:61">
      <c r="B183" s="74">
        <v>1994</v>
      </c>
      <c r="C183" s="30" t="str">
        <v>Final</v>
      </c>
      <c r="D183" s="30" t="str">
        <v>Brazil</v>
      </c>
      <c r="E183" s="30" t="str">
        <v>Italy</v>
      </c>
      <c r="F183" s="30" t="str">
        <v>Brazil</v>
      </c>
      <c r="G183" s="30" t="str">
        <v>Romário</v>
      </c>
      <c r="H183" s="30" t="str">
        <v>Gianluca Pagliuca</v>
      </c>
      <c r="I183" s="30">
        <v>4</v>
      </c>
      <c r="J183" s="30">
        <v>2</v>
      </c>
      <c r="K183" s="30" t="str">
        <v>'0-1</v>
      </c>
      <c r="L183" s="30" t="str">
        <v>No</v>
      </c>
      <c r="M183" s="30" t="str">
        <v>No</v>
      </c>
      <c r="N183" s="30" t="str">
        <v>Goal</v>
      </c>
      <c r="O183" s="30" t="str">
        <f t="shared" si="20"/>
        <v>1994|Final|Brazil|Italy|Brazil|Romário|Gianluca Pagliuca|4|2|'0-1|No|No|Goal</v>
      </c>
      <c r="P183" s="96" t="str">
        <f>IF(COUNTIF($G$32:O183,O183)&gt;1,"DOUBLON","OK")</f>
        <v>OK</v>
      </c>
      <c r="R183" s="23" t="s">
        <v>3750</v>
      </c>
      <c r="S183" s="30" t="str">
        <v>Italy</v>
      </c>
      <c r="T183" s="30" t="str">
        <f t="shared" si="21"/>
        <v>OK</v>
      </c>
      <c r="U183" s="30" t="str">
        <f t="shared" si="18"/>
        <v>-</v>
      </c>
      <c r="V183" s="30" t="str" cm="1">
        <f t="array" ref="V183">_xlfn.IFS(
ISNUMBER(SEARCH("USA",S183)),"United States",
ISNUMBER(SEARCH("Republic of Korea",S183)),"South Korea",
ISNUMBER(SEARCH("Cape Verde",S183)),"Cabo Verde",
ISNUMBER(SEARCH("Czechia",S183)),"Czech Republic",
ISNUMBER(SEARCH("Türkiye",S183)),"Turkey",
ISNUMBER(SEARCH("Ivory Coast",S183)),"Côte d'Ivoire",
ISNUMBER(SEARCH("Korea Republic",S183)),"South Korea",
ISNUMBER(SEARCH("Germany FR",S183)),"FR Germany",
ISNUMBER(SEARCH("West Germany",S183)),"FR Germany",
ISNUMBER(SEARCH("Germany DR",S183)),"DR Germany",
ISNUMBER(SEARCH("Korea DPR",S183)),"North Korea",
ISNUMBER(SEARCH("China PR",S183)),"China",
ISNUMBER(SEARCH("IR Iran",S183)),"Iran",
ISNUMBER(SEARCH("Congo DR",S183)),"Democratic Republic of the Congo",
ISNUMBER(SEARCH("DR Congo",S183)),"Democratic Republic of the Congo",
ISNUMBER(SEARCH("German DR",S183)),"DR Germany",
ISNUMBER(SEARCH("rn""&gt;United Arab Emirates",S183)),"United Arab Emirates",
ISNUMBER(SEARCH("rn""&gt;Republic of Ireland",S183)),"Ireland",
ISNUMBER(SEARCH("rn""&gt;Bosnia and Herzegovina",S183)),"Bosnia and Herzegovina",
ISNUMBER(SEARCH("rn""&gt;Trinidad and Tobago",S183)),"Trinidad and Tobago",
ISNUMBER(SEARCH("rn""&gt;Serbia and Montenegro",S183)),"Serbia and Montenegro",
ISNUMBER(SEARCH(_xlfn.UNICHAR(65533),S183)),"Côte d'Ivoire",
TRUE,""
)</f>
        <v/>
      </c>
      <c r="W183" s="30" t="str">
        <f t="shared" si="19"/>
        <v>Italy</v>
      </c>
      <c r="Z183" s="40" t="str">
        <v>Nacional</v>
      </c>
      <c r="AA183" s="40" t="str" cm="1">
        <f t="array" ref="AA183">IFERROR(_xlfn.XLOOKUP(Z183,_xlfn.ANCHORARRAY(Z$31),AA$31:AA$37),Z183)</f>
        <v>Nacional</v>
      </c>
      <c r="AB183" s="42" t="str">
        <v xml:space="preserve">Santiago De Chile </v>
      </c>
      <c r="AC183" s="89" t="str">
        <f t="shared" si="22"/>
        <v xml:space="preserve">Santiago De Chile </v>
      </c>
      <c r="AE183" s="42">
        <v>1954</v>
      </c>
      <c r="AK183" s="42">
        <v>3</v>
      </c>
      <c r="AL183" s="42">
        <v>2</v>
      </c>
      <c r="AV183" s="37" t="str">
        <v>QUARTER_FINALS</v>
      </c>
      <c r="AW183" s="89" t="str">
        <v>GROUP_STAGE</v>
      </c>
      <c r="BE183" s="43" t="str">
        <f>IF(OR(DATA_CLEANED!AL174="",DATA_CLEANED!AM174=""),"MANQUANT",IF(OR(NOT(ISNUMBER(DATA_CLEANED!AL174)),NOT(ISNUMBER(DATA_CLEANED!AM174))),"ENTREE INVALIDE",IF(OR(DATA_CLEANED!AL174&lt;0,DATA_CLEANED!AM174&lt;0),"SCORE NEGATIF","OK")))</f>
        <v>OK</v>
      </c>
      <c r="BF183" s="43" t="str">
        <f>IF(DATA_CLEANED!AK174&lt;&gt;DATA_CLEANED!AN174,"OK","ERREUR")</f>
        <v>OK</v>
      </c>
      <c r="BG183" s="43" t="str">
        <f>IF(DATA_CLEANED!AL174&gt;DATA_CLEANED!AM174,DATA_CLEANED!AK174,IF(AND(DATA_QUALITE!W4660="-",DATA_CLEANED!AM174=DATA_CLEANED!AL174),"MATCH NUL",IF(AND(DATA_QUALITE!V4660="-",DATA_QUALITE!U4660="AUCUNE"),DATA_QUALITE!T4660,IF(DATA_QUALITE!V4660&lt;&gt;"-",DATA_QUALITE!V4660,DATA_CLEANED!AN174))))</f>
        <v>Soviet Union</v>
      </c>
      <c r="BH183" s="103" t="str">
        <f>IF(AND(BG183="MATCH NUL",DATA_CLEANED!AO174="-"),"MATCH_NUL",IF(ISNUMBER(SEARCH("win on penalties",W4660)),"WIN_BY_PENALTY",IF(ISNUMBER(SEARCH("win after extra time",W4660)),"WIN_BY_EXTRA_TIME",IF(ISNUMBER(SEARCH("Golden Goal",W4660)),"WIN_BY_GOLDEN_GOAL","WIN_BY_SCORE"))))</f>
        <v>WIN_BY_SCORE</v>
      </c>
      <c r="BI183" s="99" t="str">
        <f>IF(OR(BG183=DATA_CLEANED!AK174,BG183=DATA_CLEANED!AN174,BG183="MATCH NUL"),"OK","ERREUR")</f>
        <v>OK</v>
      </c>
    </row>
    <row r="184" spans="2:61">
      <c r="B184" s="74">
        <v>1994</v>
      </c>
      <c r="C184" s="30" t="str">
        <v>Final</v>
      </c>
      <c r="D184" s="30" t="str">
        <v>Brazil</v>
      </c>
      <c r="E184" s="30" t="str">
        <v>Italy</v>
      </c>
      <c r="F184" s="30" t="str">
        <v>Italy</v>
      </c>
      <c r="G184" s="30" t="str">
        <v>Alberico Evani</v>
      </c>
      <c r="H184" s="30" t="str">
        <v>Taffarel</v>
      </c>
      <c r="I184" s="30">
        <v>5</v>
      </c>
      <c r="J184" s="30">
        <v>3</v>
      </c>
      <c r="K184" s="30" t="str">
        <v>'1-1</v>
      </c>
      <c r="L184" s="30" t="str">
        <v>No</v>
      </c>
      <c r="M184" s="30" t="str">
        <v>No</v>
      </c>
      <c r="N184" s="30" t="str">
        <v>Goal</v>
      </c>
      <c r="O184" s="30" t="str">
        <f t="shared" si="20"/>
        <v>1994|Final|Brazil|Italy|Italy|Alberico Evani|Taffarel|5|3|'1-1|No|No|Goal</v>
      </c>
      <c r="P184" s="96" t="str">
        <f>IF(COUNTIF($G$32:O184,O184)&gt;1,"DOUBLON","OK")</f>
        <v>OK</v>
      </c>
      <c r="R184" s="23" t="s">
        <v>37</v>
      </c>
      <c r="S184" s="30" t="str">
        <v>Italy</v>
      </c>
      <c r="T184" s="30" t="str">
        <f t="shared" si="21"/>
        <v>OK</v>
      </c>
      <c r="U184" s="30" t="str">
        <f t="shared" si="18"/>
        <v>-</v>
      </c>
      <c r="V184" s="30" t="str" cm="1">
        <f t="array" ref="V184">_xlfn.IFS(
ISNUMBER(SEARCH("USA",S184)),"United States",
ISNUMBER(SEARCH("Republic of Korea",S184)),"South Korea",
ISNUMBER(SEARCH("Cape Verde",S184)),"Cabo Verde",
ISNUMBER(SEARCH("Czechia",S184)),"Czech Republic",
ISNUMBER(SEARCH("Türkiye",S184)),"Turkey",
ISNUMBER(SEARCH("Ivory Coast",S184)),"Côte d'Ivoire",
ISNUMBER(SEARCH("Korea Republic",S184)),"South Korea",
ISNUMBER(SEARCH("Germany FR",S184)),"FR Germany",
ISNUMBER(SEARCH("West Germany",S184)),"FR Germany",
ISNUMBER(SEARCH("Germany DR",S184)),"DR Germany",
ISNUMBER(SEARCH("Korea DPR",S184)),"North Korea",
ISNUMBER(SEARCH("China PR",S184)),"China",
ISNUMBER(SEARCH("IR Iran",S184)),"Iran",
ISNUMBER(SEARCH("Congo DR",S184)),"Democratic Republic of the Congo",
ISNUMBER(SEARCH("DR Congo",S184)),"Democratic Republic of the Congo",
ISNUMBER(SEARCH("German DR",S184)),"DR Germany",
ISNUMBER(SEARCH("rn""&gt;United Arab Emirates",S184)),"United Arab Emirates",
ISNUMBER(SEARCH("rn""&gt;Republic of Ireland",S184)),"Ireland",
ISNUMBER(SEARCH("rn""&gt;Bosnia and Herzegovina",S184)),"Bosnia and Herzegovina",
ISNUMBER(SEARCH("rn""&gt;Trinidad and Tobago",S184)),"Trinidad and Tobago",
ISNUMBER(SEARCH("rn""&gt;Serbia and Montenegro",S184)),"Serbia and Montenegro",
ISNUMBER(SEARCH(_xlfn.UNICHAR(65533),S184)),"Côte d'Ivoire",
TRUE,""
)</f>
        <v/>
      </c>
      <c r="W184" s="30" t="str">
        <f t="shared" si="19"/>
        <v>Italy</v>
      </c>
      <c r="Z184" s="40" t="str">
        <v>Carlos Dittborn</v>
      </c>
      <c r="AA184" s="40" t="str" cm="1">
        <f t="array" ref="AA184">IFERROR(_xlfn.XLOOKUP(Z184,_xlfn.ANCHORARRAY(Z$31),AA$31:AA$37),Z184)</f>
        <v>Carlos Dittborn</v>
      </c>
      <c r="AB184" s="42" t="str">
        <v xml:space="preserve">Arica </v>
      </c>
      <c r="AC184" s="89" t="str">
        <f t="shared" si="22"/>
        <v xml:space="preserve">Arica </v>
      </c>
      <c r="AE184" s="42">
        <v>1958</v>
      </c>
      <c r="AK184" s="42">
        <v>3</v>
      </c>
      <c r="AL184" s="42">
        <v>0</v>
      </c>
      <c r="AV184" s="37" t="str">
        <v>QUARTER_FINALS</v>
      </c>
      <c r="AW184" s="89" t="str">
        <v>GROUP_STAGE</v>
      </c>
      <c r="BE184" s="43" t="str">
        <f>IF(OR(DATA_CLEANED!AL175="",DATA_CLEANED!AM175=""),"MANQUANT",IF(OR(NOT(ISNUMBER(DATA_CLEANED!AL175)),NOT(ISNUMBER(DATA_CLEANED!AM175))),"ENTREE INVALIDE",IF(OR(DATA_CLEANED!AL175&lt;0,DATA_CLEANED!AM175&lt;0),"SCORE NEGATIF","OK")))</f>
        <v>OK</v>
      </c>
      <c r="BF184" s="43" t="str">
        <f>IF(DATA_CLEANED!AK175&lt;&gt;DATA_CLEANED!AN175,"OK","ERREUR")</f>
        <v>OK</v>
      </c>
      <c r="BG184" s="43" t="str">
        <f>IF(DATA_CLEANED!AL175&gt;DATA_CLEANED!AM175,DATA_CLEANED!AK175,IF(AND(DATA_QUALITE!W4661="-",DATA_CLEANED!AM175=DATA_CLEANED!AL175),"MATCH NUL",IF(AND(DATA_QUALITE!V4661="-",DATA_QUALITE!U4661="AUCUNE"),DATA_QUALITE!T4661,IF(DATA_QUALITE!V4661&lt;&gt;"-",DATA_QUALITE!V4661,DATA_CLEANED!AN175))))</f>
        <v>MATCH NUL</v>
      </c>
      <c r="BH184" s="103" t="str">
        <f>IF(AND(BG184="MATCH NUL",DATA_CLEANED!AO175="-"),"MATCH_NUL",IF(ISNUMBER(SEARCH("win on penalties",W4661)),"WIN_BY_PENALTY",IF(ISNUMBER(SEARCH("win after extra time",W4661)),"WIN_BY_EXTRA_TIME",IF(ISNUMBER(SEARCH("Golden Goal",W4661)),"WIN_BY_GOLDEN_GOAL","WIN_BY_SCORE"))))</f>
        <v>MATCH_NUL</v>
      </c>
      <c r="BI184" s="99" t="str">
        <f>IF(OR(BG184=DATA_CLEANED!AK175,BG184=DATA_CLEANED!AN175,BG184="MATCH NUL"),"OK","ERREUR")</f>
        <v>OK</v>
      </c>
    </row>
    <row r="185" spans="2:61">
      <c r="B185" s="74">
        <v>1994</v>
      </c>
      <c r="C185" s="30" t="str">
        <v>Final</v>
      </c>
      <c r="D185" s="30" t="str">
        <v>Brazil</v>
      </c>
      <c r="E185" s="30" t="str">
        <v>Italy</v>
      </c>
      <c r="F185" s="30" t="str">
        <v>Brazil</v>
      </c>
      <c r="G185" s="30" t="str">
        <v>Branco</v>
      </c>
      <c r="H185" s="30" t="str">
        <v>Gianluca Pagliuca</v>
      </c>
      <c r="I185" s="30">
        <v>6</v>
      </c>
      <c r="J185" s="30">
        <v>3</v>
      </c>
      <c r="K185" s="30" t="str">
        <v>'2-1</v>
      </c>
      <c r="L185" s="30" t="str">
        <v>No</v>
      </c>
      <c r="M185" s="30" t="str">
        <v>No</v>
      </c>
      <c r="N185" s="30" t="str">
        <v>Goal</v>
      </c>
      <c r="O185" s="30" t="str">
        <f t="shared" si="20"/>
        <v>1994|Final|Brazil|Italy|Brazil|Branco|Gianluca Pagliuca|6|3|'2-1|No|No|Goal</v>
      </c>
      <c r="P185" s="96" t="str">
        <f>IF(COUNTIF($G$32:O185,O185)&gt;1,"DOUBLON","OK")</f>
        <v>OK</v>
      </c>
      <c r="R185" s="23" t="s">
        <v>30</v>
      </c>
      <c r="S185" s="30" t="str">
        <v>Italy</v>
      </c>
      <c r="T185" s="30" t="str">
        <f t="shared" si="21"/>
        <v>OK</v>
      </c>
      <c r="U185" s="30" t="str">
        <f t="shared" si="18"/>
        <v>-</v>
      </c>
      <c r="V185" s="30" t="str" cm="1">
        <f t="array" ref="V185">_xlfn.IFS(
ISNUMBER(SEARCH("USA",S185)),"United States",
ISNUMBER(SEARCH("Republic of Korea",S185)),"South Korea",
ISNUMBER(SEARCH("Cape Verde",S185)),"Cabo Verde",
ISNUMBER(SEARCH("Czechia",S185)),"Czech Republic",
ISNUMBER(SEARCH("Türkiye",S185)),"Turkey",
ISNUMBER(SEARCH("Ivory Coast",S185)),"Côte d'Ivoire",
ISNUMBER(SEARCH("Korea Republic",S185)),"South Korea",
ISNUMBER(SEARCH("Germany FR",S185)),"FR Germany",
ISNUMBER(SEARCH("West Germany",S185)),"FR Germany",
ISNUMBER(SEARCH("Germany DR",S185)),"DR Germany",
ISNUMBER(SEARCH("Korea DPR",S185)),"North Korea",
ISNUMBER(SEARCH("China PR",S185)),"China",
ISNUMBER(SEARCH("IR Iran",S185)),"Iran",
ISNUMBER(SEARCH("Congo DR",S185)),"Democratic Republic of the Congo",
ISNUMBER(SEARCH("DR Congo",S185)),"Democratic Republic of the Congo",
ISNUMBER(SEARCH("German DR",S185)),"DR Germany",
ISNUMBER(SEARCH("rn""&gt;United Arab Emirates",S185)),"United Arab Emirates",
ISNUMBER(SEARCH("rn""&gt;Republic of Ireland",S185)),"Ireland",
ISNUMBER(SEARCH("rn""&gt;Bosnia and Herzegovina",S185)),"Bosnia and Herzegovina",
ISNUMBER(SEARCH("rn""&gt;Trinidad and Tobago",S185)),"Trinidad and Tobago",
ISNUMBER(SEARCH("rn""&gt;Serbia and Montenegro",S185)),"Serbia and Montenegro",
ISNUMBER(SEARCH(_xlfn.UNICHAR(65533),S185)),"Côte d'Ivoire",
TRUE,""
)</f>
        <v/>
      </c>
      <c r="W185" s="30" t="str">
        <f t="shared" si="19"/>
        <v>Italy</v>
      </c>
      <c r="Z185" s="40" t="str">
        <v>Estadio Sausalito</v>
      </c>
      <c r="AA185" s="40" t="str" cm="1">
        <f t="array" ref="AA185">IFERROR(_xlfn.XLOOKUP(Z185,_xlfn.ANCHORARRAY(Z$31),AA$31:AA$37),Z185)</f>
        <v>Estadio Sausalito</v>
      </c>
      <c r="AB185" s="42" t="str">
        <v xml:space="preserve">Vina Del Mar </v>
      </c>
      <c r="AC185" s="89" t="str">
        <f t="shared" si="22"/>
        <v xml:space="preserve">Vina Del Mar </v>
      </c>
      <c r="AE185" s="42">
        <v>1958</v>
      </c>
      <c r="AK185" s="42">
        <v>2</v>
      </c>
      <c r="AL185" s="42">
        <v>2</v>
      </c>
      <c r="AV185" s="37" t="str">
        <v>QUARTER_FINALS</v>
      </c>
      <c r="AW185" s="89" t="str">
        <v>GROUP_STAGE</v>
      </c>
      <c r="BE185" s="43" t="str">
        <f>IF(OR(DATA_CLEANED!AL176="",DATA_CLEANED!AM176=""),"MANQUANT",IF(OR(NOT(ISNUMBER(DATA_CLEANED!AL176)),NOT(ISNUMBER(DATA_CLEANED!AM176))),"ENTREE INVALIDE",IF(OR(DATA_CLEANED!AL176&lt;0,DATA_CLEANED!AM176&lt;0),"SCORE NEGATIF","OK")))</f>
        <v>OK</v>
      </c>
      <c r="BF185" s="43" t="str">
        <f>IF(DATA_CLEANED!AK176&lt;&gt;DATA_CLEANED!AN176,"OK","ERREUR")</f>
        <v>OK</v>
      </c>
      <c r="BG185" s="43" t="str">
        <f>IF(DATA_CLEANED!AL176&gt;DATA_CLEANED!AM176,DATA_CLEANED!AK176,IF(AND(DATA_QUALITE!W4662="-",DATA_CLEANED!AM176=DATA_CLEANED!AL176),"MATCH NUL",IF(AND(DATA_QUALITE!V4662="-",DATA_QUALITE!U4662="AUCUNE"),DATA_QUALITE!T4662,IF(DATA_QUALITE!V4662&lt;&gt;"-",DATA_QUALITE!V4662,DATA_CLEANED!AN176))))</f>
        <v>Portugal</v>
      </c>
      <c r="BH185" s="103" t="str">
        <f>IF(AND(BG185="MATCH NUL",DATA_CLEANED!AO176="-"),"MATCH_NUL",IF(ISNUMBER(SEARCH("win on penalties",W4662)),"WIN_BY_PENALTY",IF(ISNUMBER(SEARCH("win after extra time",W4662)),"WIN_BY_EXTRA_TIME",IF(ISNUMBER(SEARCH("Golden Goal",W4662)),"WIN_BY_GOLDEN_GOAL","WIN_BY_SCORE"))))</f>
        <v>WIN_BY_SCORE</v>
      </c>
      <c r="BI185" s="99" t="str">
        <f>IF(OR(BG185=DATA_CLEANED!AK176,BG185=DATA_CLEANED!AN176,BG185="MATCH NUL"),"OK","ERREUR")</f>
        <v>OK</v>
      </c>
    </row>
    <row r="186" spans="2:61">
      <c r="B186" s="74">
        <v>1994</v>
      </c>
      <c r="C186" s="30" t="str">
        <v>Final</v>
      </c>
      <c r="D186" s="30" t="str">
        <v>Brazil</v>
      </c>
      <c r="E186" s="30" t="str">
        <v>Italy</v>
      </c>
      <c r="F186" s="30" t="str">
        <v>Italy</v>
      </c>
      <c r="G186" s="30" t="str">
        <v>Daniele Massaro</v>
      </c>
      <c r="H186" s="30" t="str">
        <v>Taffarel</v>
      </c>
      <c r="I186" s="30">
        <v>7</v>
      </c>
      <c r="J186" s="30">
        <v>4</v>
      </c>
      <c r="K186" s="30" t="str">
        <v>'2-2</v>
      </c>
      <c r="L186" s="30" t="str">
        <v>No</v>
      </c>
      <c r="M186" s="30" t="str">
        <v>No</v>
      </c>
      <c r="N186" s="30" t="str">
        <v>Saved</v>
      </c>
      <c r="O186" s="30" t="str">
        <f t="shared" si="20"/>
        <v>1994|Final|Brazil|Italy|Italy|Daniele Massaro|Taffarel|7|4|'2-2|No|No|Saved</v>
      </c>
      <c r="P186" s="96" t="str">
        <f>IF(COUNTIF($G$32:O186,O186)&gt;1,"DOUBLON","OK")</f>
        <v>OK</v>
      </c>
      <c r="R186" s="23" t="s">
        <v>3751</v>
      </c>
      <c r="S186" s="30" t="str">
        <v>Italy</v>
      </c>
      <c r="T186" s="30" t="str">
        <f t="shared" si="21"/>
        <v>OK</v>
      </c>
      <c r="U186" s="30" t="str">
        <f t="shared" si="18"/>
        <v>-</v>
      </c>
      <c r="V186" s="30" t="str" cm="1">
        <f t="array" ref="V186">_xlfn.IFS(
ISNUMBER(SEARCH("USA",S186)),"United States",
ISNUMBER(SEARCH("Republic of Korea",S186)),"South Korea",
ISNUMBER(SEARCH("Cape Verde",S186)),"Cabo Verde",
ISNUMBER(SEARCH("Czechia",S186)),"Czech Republic",
ISNUMBER(SEARCH("Türkiye",S186)),"Turkey",
ISNUMBER(SEARCH("Ivory Coast",S186)),"Côte d'Ivoire",
ISNUMBER(SEARCH("Korea Republic",S186)),"South Korea",
ISNUMBER(SEARCH("Germany FR",S186)),"FR Germany",
ISNUMBER(SEARCH("West Germany",S186)),"FR Germany",
ISNUMBER(SEARCH("Germany DR",S186)),"DR Germany",
ISNUMBER(SEARCH("Korea DPR",S186)),"North Korea",
ISNUMBER(SEARCH("China PR",S186)),"China",
ISNUMBER(SEARCH("IR Iran",S186)),"Iran",
ISNUMBER(SEARCH("Congo DR",S186)),"Democratic Republic of the Congo",
ISNUMBER(SEARCH("DR Congo",S186)),"Democratic Republic of the Congo",
ISNUMBER(SEARCH("German DR",S186)),"DR Germany",
ISNUMBER(SEARCH("rn""&gt;United Arab Emirates",S186)),"United Arab Emirates",
ISNUMBER(SEARCH("rn""&gt;Republic of Ireland",S186)),"Ireland",
ISNUMBER(SEARCH("rn""&gt;Bosnia and Herzegovina",S186)),"Bosnia and Herzegovina",
ISNUMBER(SEARCH("rn""&gt;Trinidad and Tobago",S186)),"Trinidad and Tobago",
ISNUMBER(SEARCH("rn""&gt;Serbia and Montenegro",S186)),"Serbia and Montenegro",
ISNUMBER(SEARCH(_xlfn.UNICHAR(65533),S186)),"Côte d'Ivoire",
TRUE,""
)</f>
        <v/>
      </c>
      <c r="W186" s="30" t="str">
        <f t="shared" si="19"/>
        <v>Italy</v>
      </c>
      <c r="Z186" s="40" t="str">
        <v>Estadio El Teniente-Codelco</v>
      </c>
      <c r="AA186" s="40" t="str" cm="1">
        <f t="array" ref="AA186">IFERROR(_xlfn.XLOOKUP(Z186,_xlfn.ANCHORARRAY(Z$31),AA$31:AA$37),Z186)</f>
        <v>Estadio El Teniente-Codelco</v>
      </c>
      <c r="AB186" s="42" t="str">
        <v xml:space="preserve">Rancagua </v>
      </c>
      <c r="AC186" s="89" t="str">
        <f t="shared" si="22"/>
        <v xml:space="preserve">Rancagua </v>
      </c>
      <c r="AE186" s="42">
        <v>1958</v>
      </c>
      <c r="AK186" s="42">
        <v>1</v>
      </c>
      <c r="AL186" s="42">
        <v>3</v>
      </c>
      <c r="AV186" s="37" t="str">
        <v>QUARTER_FINALS</v>
      </c>
      <c r="AW186" s="89" t="str">
        <v>GROUP_STAGE</v>
      </c>
      <c r="BE186" s="43" t="str">
        <f>IF(OR(DATA_CLEANED!AL177="",DATA_CLEANED!AM177=""),"MANQUANT",IF(OR(NOT(ISNUMBER(DATA_CLEANED!AL177)),NOT(ISNUMBER(DATA_CLEANED!AM177))),"ENTREE INVALIDE",IF(OR(DATA_CLEANED!AL177&lt;0,DATA_CLEANED!AM177&lt;0),"SCORE NEGATIF","OK")))</f>
        <v>OK</v>
      </c>
      <c r="BF186" s="43" t="str">
        <f>IF(DATA_CLEANED!AK177&lt;&gt;DATA_CLEANED!AN177,"OK","ERREUR")</f>
        <v>OK</v>
      </c>
      <c r="BG186" s="43" t="str">
        <f>IF(DATA_CLEANED!AL177&gt;DATA_CLEANED!AM177,DATA_CLEANED!AK177,IF(AND(DATA_QUALITE!W4663="-",DATA_CLEANED!AM177=DATA_CLEANED!AL177),"MATCH NUL",IF(AND(DATA_QUALITE!V4663="-",DATA_QUALITE!U4663="AUCUNE"),DATA_QUALITE!T4663,IF(DATA_QUALITE!V4663&lt;&gt;"-",DATA_QUALITE!V4663,DATA_CLEANED!AN177))))</f>
        <v>Argentina</v>
      </c>
      <c r="BH186" s="103" t="str">
        <f>IF(AND(BG186="MATCH NUL",DATA_CLEANED!AO177="-"),"MATCH_NUL",IF(ISNUMBER(SEARCH("win on penalties",W4663)),"WIN_BY_PENALTY",IF(ISNUMBER(SEARCH("win after extra time",W4663)),"WIN_BY_EXTRA_TIME",IF(ISNUMBER(SEARCH("Golden Goal",W4663)),"WIN_BY_GOLDEN_GOAL","WIN_BY_SCORE"))))</f>
        <v>WIN_BY_SCORE</v>
      </c>
      <c r="BI186" s="99" t="str">
        <f>IF(OR(BG186=DATA_CLEANED!AK177,BG186=DATA_CLEANED!AN177,BG186="MATCH NUL"),"OK","ERREUR")</f>
        <v>OK</v>
      </c>
    </row>
    <row r="187" spans="2:61">
      <c r="B187" s="74">
        <v>1994</v>
      </c>
      <c r="C187" s="30" t="str">
        <v>Final</v>
      </c>
      <c r="D187" s="30" t="str">
        <v>Brazil</v>
      </c>
      <c r="E187" s="30" t="str">
        <v>Italy</v>
      </c>
      <c r="F187" s="30" t="str">
        <v>Brazil</v>
      </c>
      <c r="G187" s="30" t="str">
        <v>Dunga</v>
      </c>
      <c r="H187" s="30" t="str">
        <v>Gianluca Pagliuca</v>
      </c>
      <c r="I187" s="30">
        <v>8</v>
      </c>
      <c r="J187" s="30">
        <v>4</v>
      </c>
      <c r="K187" s="30" t="str">
        <v>'2-2</v>
      </c>
      <c r="L187" s="30" t="str">
        <v>No</v>
      </c>
      <c r="M187" s="30" t="str">
        <v>No</v>
      </c>
      <c r="N187" s="30" t="str">
        <v>Goal</v>
      </c>
      <c r="O187" s="30" t="str">
        <f t="shared" si="20"/>
        <v>1994|Final|Brazil|Italy|Brazil|Dunga|Gianluca Pagliuca|8|4|'2-2|No|No|Goal</v>
      </c>
      <c r="P187" s="96" t="str">
        <f>IF(COUNTIF($G$32:O187,O187)&gt;1,"DOUBLON","OK")</f>
        <v>OK</v>
      </c>
      <c r="R187" s="23" t="s">
        <v>82</v>
      </c>
      <c r="S187" s="30" t="str">
        <v>Italy</v>
      </c>
      <c r="T187" s="30" t="str">
        <f t="shared" si="21"/>
        <v>OK</v>
      </c>
      <c r="U187" s="30" t="str">
        <f t="shared" si="18"/>
        <v>-</v>
      </c>
      <c r="V187" s="30" t="str" cm="1">
        <f t="array" ref="V187">_xlfn.IFS(
ISNUMBER(SEARCH("USA",S187)),"United States",
ISNUMBER(SEARCH("Republic of Korea",S187)),"South Korea",
ISNUMBER(SEARCH("Cape Verde",S187)),"Cabo Verde",
ISNUMBER(SEARCH("Czechia",S187)),"Czech Republic",
ISNUMBER(SEARCH("Türkiye",S187)),"Turkey",
ISNUMBER(SEARCH("Ivory Coast",S187)),"Côte d'Ivoire",
ISNUMBER(SEARCH("Korea Republic",S187)),"South Korea",
ISNUMBER(SEARCH("Germany FR",S187)),"FR Germany",
ISNUMBER(SEARCH("West Germany",S187)),"FR Germany",
ISNUMBER(SEARCH("Germany DR",S187)),"DR Germany",
ISNUMBER(SEARCH("Korea DPR",S187)),"North Korea",
ISNUMBER(SEARCH("China PR",S187)),"China",
ISNUMBER(SEARCH("IR Iran",S187)),"Iran",
ISNUMBER(SEARCH("Congo DR",S187)),"Democratic Republic of the Congo",
ISNUMBER(SEARCH("DR Congo",S187)),"Democratic Republic of the Congo",
ISNUMBER(SEARCH("German DR",S187)),"DR Germany",
ISNUMBER(SEARCH("rn""&gt;United Arab Emirates",S187)),"United Arab Emirates",
ISNUMBER(SEARCH("rn""&gt;Republic of Ireland",S187)),"Ireland",
ISNUMBER(SEARCH("rn""&gt;Bosnia and Herzegovina",S187)),"Bosnia and Herzegovina",
ISNUMBER(SEARCH("rn""&gt;Trinidad and Tobago",S187)),"Trinidad and Tobago",
ISNUMBER(SEARCH("rn""&gt;Serbia and Montenegro",S187)),"Serbia and Montenegro",
ISNUMBER(SEARCH(_xlfn.UNICHAR(65533),S187)),"Côte d'Ivoire",
TRUE,""
)</f>
        <v/>
      </c>
      <c r="W187" s="30" t="str">
        <f t="shared" si="19"/>
        <v>Italy</v>
      </c>
      <c r="Z187" s="40" t="str">
        <v>Nacional</v>
      </c>
      <c r="AA187" s="40" t="str" cm="1">
        <f t="array" ref="AA187">IFERROR(_xlfn.XLOOKUP(Z187,_xlfn.ANCHORARRAY(Z$31),AA$31:AA$37),Z187)</f>
        <v>Nacional</v>
      </c>
      <c r="AB187" s="42" t="str">
        <v xml:space="preserve">Santiago De Chile </v>
      </c>
      <c r="AC187" s="89" t="str">
        <f t="shared" si="22"/>
        <v xml:space="preserve">Santiago De Chile </v>
      </c>
      <c r="AE187" s="42">
        <v>1958</v>
      </c>
      <c r="AK187" s="42">
        <v>1</v>
      </c>
      <c r="AL187" s="42">
        <v>1</v>
      </c>
      <c r="AV187" s="37" t="str">
        <v>FINAL</v>
      </c>
      <c r="AW187" s="89" t="str">
        <v>GROUP_STAGE</v>
      </c>
      <c r="BE187" s="43" t="str">
        <f>IF(OR(DATA_CLEANED!AL178="",DATA_CLEANED!AM178=""),"MANQUANT",IF(OR(NOT(ISNUMBER(DATA_CLEANED!AL178)),NOT(ISNUMBER(DATA_CLEANED!AM178))),"ENTREE INVALIDE",IF(OR(DATA_CLEANED!AL178&lt;0,DATA_CLEANED!AM178&lt;0),"SCORE NEGATIF","OK")))</f>
        <v>OK</v>
      </c>
      <c r="BF187" s="43" t="str">
        <f>IF(DATA_CLEANED!AK178&lt;&gt;DATA_CLEANED!AN178,"OK","ERREUR")</f>
        <v>OK</v>
      </c>
      <c r="BG187" s="43" t="str">
        <f>IF(DATA_CLEANED!AL178&gt;DATA_CLEANED!AM178,DATA_CLEANED!AK178,IF(AND(DATA_QUALITE!W4664="-",DATA_CLEANED!AM178=DATA_CLEANED!AL178),"MATCH NUL",IF(AND(DATA_QUALITE!V4664="-",DATA_QUALITE!U4664="AUCUNE"),DATA_QUALITE!T4664,IF(DATA_QUALITE!V4664&lt;&gt;"-",DATA_QUALITE!V4664,DATA_CLEANED!AN178))))</f>
        <v>Italy</v>
      </c>
      <c r="BH187" s="103" t="str">
        <f>IF(AND(BG187="MATCH NUL",DATA_CLEANED!AO178="-"),"MATCH_NUL",IF(ISNUMBER(SEARCH("win on penalties",W4664)),"WIN_BY_PENALTY",IF(ISNUMBER(SEARCH("win after extra time",W4664)),"WIN_BY_EXTRA_TIME",IF(ISNUMBER(SEARCH("Golden Goal",W4664)),"WIN_BY_GOLDEN_GOAL","WIN_BY_SCORE"))))</f>
        <v>WIN_BY_SCORE</v>
      </c>
      <c r="BI187" s="99" t="str">
        <f>IF(OR(BG187=DATA_CLEANED!AK178,BG187=DATA_CLEANED!AN178,BG187="MATCH NUL"),"OK","ERREUR")</f>
        <v>OK</v>
      </c>
    </row>
    <row r="188" spans="2:61">
      <c r="B188" s="74">
        <v>1994</v>
      </c>
      <c r="C188" s="30" t="str">
        <v>Final</v>
      </c>
      <c r="D188" s="30" t="str">
        <v>Brazil</v>
      </c>
      <c r="E188" s="30" t="str">
        <v>Italy</v>
      </c>
      <c r="F188" s="30" t="str">
        <v>Italy</v>
      </c>
      <c r="G188" s="30" t="str">
        <v>Roberto Baggio</v>
      </c>
      <c r="H188" s="30" t="str">
        <v>Taffarel</v>
      </c>
      <c r="I188" s="30">
        <v>9</v>
      </c>
      <c r="J188" s="30">
        <v>5</v>
      </c>
      <c r="K188" s="30" t="str">
        <v>'3-2</v>
      </c>
      <c r="L188" s="30" t="str">
        <v>Yes</v>
      </c>
      <c r="M188" s="30" t="str">
        <v>Yes</v>
      </c>
      <c r="N188" s="30" t="str">
        <v>Missed</v>
      </c>
      <c r="O188" s="30" t="str">
        <f t="shared" si="20"/>
        <v>1994|Final|Brazil|Italy|Italy|Roberto Baggio|Taffarel|9|5|'3-2|Yes|Yes|Missed</v>
      </c>
      <c r="P188" s="96" t="str">
        <f>IF(COUNTIF($G$32:O188,O188)&gt;1,"DOUBLON","OK")</f>
        <v>OK</v>
      </c>
      <c r="R188" s="23" t="s">
        <v>3752</v>
      </c>
      <c r="S188" s="30" t="str">
        <v>Brazil</v>
      </c>
      <c r="T188" s="30" t="str">
        <f t="shared" si="21"/>
        <v>OK</v>
      </c>
      <c r="U188" s="30" t="str">
        <f t="shared" si="18"/>
        <v>-</v>
      </c>
      <c r="V188" s="30" t="str" cm="1">
        <f t="array" ref="V188">_xlfn.IFS(
ISNUMBER(SEARCH("USA",S188)),"United States",
ISNUMBER(SEARCH("Republic of Korea",S188)),"South Korea",
ISNUMBER(SEARCH("Cape Verde",S188)),"Cabo Verde",
ISNUMBER(SEARCH("Czechia",S188)),"Czech Republic",
ISNUMBER(SEARCH("Türkiye",S188)),"Turkey",
ISNUMBER(SEARCH("Ivory Coast",S188)),"Côte d'Ivoire",
ISNUMBER(SEARCH("Korea Republic",S188)),"South Korea",
ISNUMBER(SEARCH("Germany FR",S188)),"FR Germany",
ISNUMBER(SEARCH("West Germany",S188)),"FR Germany",
ISNUMBER(SEARCH("Germany DR",S188)),"DR Germany",
ISNUMBER(SEARCH("Korea DPR",S188)),"North Korea",
ISNUMBER(SEARCH("China PR",S188)),"China",
ISNUMBER(SEARCH("IR Iran",S188)),"Iran",
ISNUMBER(SEARCH("Congo DR",S188)),"Democratic Republic of the Congo",
ISNUMBER(SEARCH("DR Congo",S188)),"Democratic Republic of the Congo",
ISNUMBER(SEARCH("German DR",S188)),"DR Germany",
ISNUMBER(SEARCH("rn""&gt;United Arab Emirates",S188)),"United Arab Emirates",
ISNUMBER(SEARCH("rn""&gt;Republic of Ireland",S188)),"Ireland",
ISNUMBER(SEARCH("rn""&gt;Bosnia and Herzegovina",S188)),"Bosnia and Herzegovina",
ISNUMBER(SEARCH("rn""&gt;Trinidad and Tobago",S188)),"Trinidad and Tobago",
ISNUMBER(SEARCH("rn""&gt;Serbia and Montenegro",S188)),"Serbia and Montenegro",
ISNUMBER(SEARCH(_xlfn.UNICHAR(65533),S188)),"Côte d'Ivoire",
TRUE,""
)</f>
        <v/>
      </c>
      <c r="W188" s="30" t="str">
        <f t="shared" si="19"/>
        <v>Brazil</v>
      </c>
      <c r="Z188" s="40" t="str">
        <v>Carlos Dittborn</v>
      </c>
      <c r="AA188" s="40" t="str" cm="1">
        <f t="array" ref="AA188">IFERROR(_xlfn.XLOOKUP(Z188,_xlfn.ANCHORARRAY(Z$31),AA$31:AA$37),Z188)</f>
        <v>Carlos Dittborn</v>
      </c>
      <c r="AB188" s="42" t="str">
        <v xml:space="preserve">Arica </v>
      </c>
      <c r="AC188" s="89" t="str">
        <f t="shared" si="22"/>
        <v xml:space="preserve">Arica </v>
      </c>
      <c r="AE188" s="42">
        <v>1958</v>
      </c>
      <c r="AK188" s="42">
        <v>7</v>
      </c>
      <c r="AL188" s="42">
        <v>3</v>
      </c>
      <c r="AV188" s="37" t="str">
        <v>FINAL</v>
      </c>
      <c r="AW188" s="89" t="str">
        <v>GROUP_STAGE</v>
      </c>
      <c r="BE188" s="43" t="str">
        <f>IF(OR(DATA_CLEANED!AL179="",DATA_CLEANED!AM179=""),"MANQUANT",IF(OR(NOT(ISNUMBER(DATA_CLEANED!AL179)),NOT(ISNUMBER(DATA_CLEANED!AM179))),"ENTREE INVALIDE",IF(OR(DATA_CLEANED!AL179&lt;0,DATA_CLEANED!AM179&lt;0),"SCORE NEGATIF","OK")))</f>
        <v>OK</v>
      </c>
      <c r="BF188" s="43" t="str">
        <f>IF(DATA_CLEANED!AK179&lt;&gt;DATA_CLEANED!AN179,"OK","ERREUR")</f>
        <v>OK</v>
      </c>
      <c r="BG188" s="43" t="str">
        <f>IF(DATA_CLEANED!AL179&gt;DATA_CLEANED!AM179,DATA_CLEANED!AK179,IF(AND(DATA_QUALITE!W4665="-",DATA_CLEANED!AM179=DATA_CLEANED!AL179),"MATCH NUL",IF(AND(DATA_QUALITE!V4665="-",DATA_QUALITE!U4665="AUCUNE"),DATA_QUALITE!T4665,IF(DATA_QUALITE!V4665&lt;&gt;"-",DATA_QUALITE!V4665,DATA_CLEANED!AN179))))</f>
        <v>Uruguay</v>
      </c>
      <c r="BH188" s="103" t="str">
        <f>IF(AND(BG188="MATCH NUL",DATA_CLEANED!AO179="-"),"MATCH_NUL",IF(ISNUMBER(SEARCH("win on penalties",W4665)),"WIN_BY_PENALTY",IF(ISNUMBER(SEARCH("win after extra time",W4665)),"WIN_BY_EXTRA_TIME",IF(ISNUMBER(SEARCH("Golden Goal",W4665)),"WIN_BY_GOLDEN_GOAL","WIN_BY_SCORE"))))</f>
        <v>WIN_BY_SCORE</v>
      </c>
      <c r="BI188" s="99" t="str">
        <f>IF(OR(BG188=DATA_CLEANED!AK179,BG188=DATA_CLEANED!AN179,BG188="MATCH NUL"),"OK","ERREUR")</f>
        <v>OK</v>
      </c>
    </row>
    <row r="189" spans="2:61">
      <c r="B189" s="74">
        <v>1998</v>
      </c>
      <c r="C189" s="30" t="str">
        <v>Round of 16</v>
      </c>
      <c r="D189" s="30" t="str">
        <v>Argentina</v>
      </c>
      <c r="E189" s="30" t="str">
        <v>England</v>
      </c>
      <c r="F189" s="30" t="str">
        <v>England</v>
      </c>
      <c r="G189" s="30" t="str">
        <v>Alan Shearer</v>
      </c>
      <c r="H189" s="30" t="str">
        <v>Carlos Roa</v>
      </c>
      <c r="I189" s="30">
        <v>1</v>
      </c>
      <c r="J189" s="30">
        <v>1</v>
      </c>
      <c r="K189" s="30" t="str">
        <v>'0-0</v>
      </c>
      <c r="L189" s="30" t="str">
        <v>No</v>
      </c>
      <c r="M189" s="30" t="str">
        <v>No</v>
      </c>
      <c r="N189" s="30" t="str">
        <v>Goal</v>
      </c>
      <c r="O189" s="30" t="str">
        <f t="shared" si="20"/>
        <v>1998|Round of 16|Argentina|England|England|Alan Shearer|Carlos Roa|1|1|'0-0|No|No|Goal</v>
      </c>
      <c r="P189" s="96" t="str">
        <f>IF(COUNTIF($G$32:O189,O189)&gt;1,"DOUBLON","OK")</f>
        <v>OK</v>
      </c>
      <c r="R189" s="23" t="s">
        <v>8</v>
      </c>
      <c r="S189" s="30" t="str">
        <v>Brazil</v>
      </c>
      <c r="T189" s="30" t="str">
        <f t="shared" si="21"/>
        <v>OK</v>
      </c>
      <c r="U189" s="30" t="str">
        <f t="shared" si="18"/>
        <v>-</v>
      </c>
      <c r="V189" s="30" t="str" cm="1">
        <f t="array" ref="V189">_xlfn.IFS(
ISNUMBER(SEARCH("USA",S189)),"United States",
ISNUMBER(SEARCH("Republic of Korea",S189)),"South Korea",
ISNUMBER(SEARCH("Cape Verde",S189)),"Cabo Verde",
ISNUMBER(SEARCH("Czechia",S189)),"Czech Republic",
ISNUMBER(SEARCH("Türkiye",S189)),"Turkey",
ISNUMBER(SEARCH("Ivory Coast",S189)),"Côte d'Ivoire",
ISNUMBER(SEARCH("Korea Republic",S189)),"South Korea",
ISNUMBER(SEARCH("Germany FR",S189)),"FR Germany",
ISNUMBER(SEARCH("West Germany",S189)),"FR Germany",
ISNUMBER(SEARCH("Germany DR",S189)),"DR Germany",
ISNUMBER(SEARCH("Korea DPR",S189)),"North Korea",
ISNUMBER(SEARCH("China PR",S189)),"China",
ISNUMBER(SEARCH("IR Iran",S189)),"Iran",
ISNUMBER(SEARCH("Congo DR",S189)),"Democratic Republic of the Congo",
ISNUMBER(SEARCH("DR Congo",S189)),"Democratic Republic of the Congo",
ISNUMBER(SEARCH("German DR",S189)),"DR Germany",
ISNUMBER(SEARCH("rn""&gt;United Arab Emirates",S189)),"United Arab Emirates",
ISNUMBER(SEARCH("rn""&gt;Republic of Ireland",S189)),"Ireland",
ISNUMBER(SEARCH("rn""&gt;Bosnia and Herzegovina",S189)),"Bosnia and Herzegovina",
ISNUMBER(SEARCH("rn""&gt;Trinidad and Tobago",S189)),"Trinidad and Tobago",
ISNUMBER(SEARCH("rn""&gt;Serbia and Montenegro",S189)),"Serbia and Montenegro",
ISNUMBER(SEARCH(_xlfn.UNICHAR(65533),S189)),"Côte d'Ivoire",
TRUE,""
)</f>
        <v/>
      </c>
      <c r="W189" s="30" t="str">
        <f t="shared" si="19"/>
        <v>Brazil</v>
      </c>
      <c r="Z189" s="40" t="str">
        <v>Estadio Sausalito</v>
      </c>
      <c r="AA189" s="40" t="str" cm="1">
        <f t="array" ref="AA189">IFERROR(_xlfn.XLOOKUP(Z189,_xlfn.ANCHORARRAY(Z$31),AA$31:AA$37),Z189)</f>
        <v>Estadio Sausalito</v>
      </c>
      <c r="AB189" s="42" t="str">
        <v xml:space="preserve">Vina Del Mar </v>
      </c>
      <c r="AC189" s="89" t="str">
        <f t="shared" si="22"/>
        <v xml:space="preserve">Vina Del Mar </v>
      </c>
      <c r="AE189" s="42">
        <v>1958</v>
      </c>
      <c r="AK189" s="42">
        <v>1</v>
      </c>
      <c r="AL189" s="42">
        <v>1</v>
      </c>
      <c r="AV189" s="37" t="str">
        <v>FINAL</v>
      </c>
      <c r="AW189" s="89" t="str">
        <v>GROUP_STAGE</v>
      </c>
      <c r="BE189" s="43" t="str">
        <f>IF(OR(DATA_CLEANED!AL180="",DATA_CLEANED!AM180=""),"MANQUANT",IF(OR(NOT(ISNUMBER(DATA_CLEANED!AL180)),NOT(ISNUMBER(DATA_CLEANED!AM180))),"ENTREE INVALIDE",IF(OR(DATA_CLEANED!AL180&lt;0,DATA_CLEANED!AM180&lt;0),"SCORE NEGATIF","OK")))</f>
        <v>OK</v>
      </c>
      <c r="BF189" s="43" t="str">
        <f>IF(DATA_CLEANED!AK180&lt;&gt;DATA_CLEANED!AN180,"OK","ERREUR")</f>
        <v>OK</v>
      </c>
      <c r="BG189" s="43" t="str">
        <f>IF(DATA_CLEANED!AL180&gt;DATA_CLEANED!AM180,DATA_CLEANED!AK180,IF(AND(DATA_QUALITE!W4666="-",DATA_CLEANED!AM180=DATA_CLEANED!AL180),"MATCH NUL",IF(AND(DATA_QUALITE!V4666="-",DATA_QUALITE!U4666="AUCUNE"),DATA_QUALITE!T4666,IF(DATA_QUALITE!V4666&lt;&gt;"-",DATA_QUALITE!V4666,DATA_CLEANED!AN180))))</f>
        <v>Spain</v>
      </c>
      <c r="BH189" s="103" t="str">
        <f>IF(AND(BG189="MATCH NUL",DATA_CLEANED!AO180="-"),"MATCH_NUL",IF(ISNUMBER(SEARCH("win on penalties",W4666)),"WIN_BY_PENALTY",IF(ISNUMBER(SEARCH("win after extra time",W4666)),"WIN_BY_EXTRA_TIME",IF(ISNUMBER(SEARCH("Golden Goal",W4666)),"WIN_BY_GOLDEN_GOAL","WIN_BY_SCORE"))))</f>
        <v>WIN_BY_SCORE</v>
      </c>
      <c r="BI189" s="99" t="str">
        <f>IF(OR(BG189=DATA_CLEANED!AK180,BG189=DATA_CLEANED!AN180,BG189="MATCH NUL"),"OK","ERREUR")</f>
        <v>OK</v>
      </c>
    </row>
    <row r="190" spans="2:61">
      <c r="B190" s="74">
        <v>1998</v>
      </c>
      <c r="C190" s="30" t="str">
        <v>Round of 16</v>
      </c>
      <c r="D190" s="30" t="str">
        <v>Argentina</v>
      </c>
      <c r="E190" s="30" t="str">
        <v>England</v>
      </c>
      <c r="F190" s="30" t="str">
        <v>Argentina</v>
      </c>
      <c r="G190" s="30" t="str">
        <v>Sergio Berti</v>
      </c>
      <c r="H190" s="30" t="str">
        <v>Carlos Roa</v>
      </c>
      <c r="I190" s="30">
        <v>2</v>
      </c>
      <c r="J190" s="30">
        <v>1</v>
      </c>
      <c r="K190" s="30" t="str">
        <v>'0-1</v>
      </c>
      <c r="L190" s="30" t="str">
        <v>No</v>
      </c>
      <c r="M190" s="30" t="str">
        <v>No</v>
      </c>
      <c r="N190" s="30" t="str">
        <v>Goal</v>
      </c>
      <c r="O190" s="30" t="str">
        <f t="shared" si="20"/>
        <v>1998|Round of 16|Argentina|England|Argentina|Sergio Berti|Carlos Roa|2|1|'0-1|No|No|Goal</v>
      </c>
      <c r="P190" s="96" t="str">
        <f>IF(COUNTIF($G$32:O190,O190)&gt;1,"DOUBLON","OK")</f>
        <v>OK</v>
      </c>
      <c r="R190" s="23" t="s">
        <v>58</v>
      </c>
      <c r="S190" s="30" t="str">
        <v>Brazil</v>
      </c>
      <c r="T190" s="30" t="str">
        <f t="shared" si="21"/>
        <v>OK</v>
      </c>
      <c r="U190" s="30" t="str">
        <f t="shared" si="18"/>
        <v>-</v>
      </c>
      <c r="V190" s="30" t="str" cm="1">
        <f t="array" ref="V190">_xlfn.IFS(
ISNUMBER(SEARCH("USA",S190)),"United States",
ISNUMBER(SEARCH("Republic of Korea",S190)),"South Korea",
ISNUMBER(SEARCH("Cape Verde",S190)),"Cabo Verde",
ISNUMBER(SEARCH("Czechia",S190)),"Czech Republic",
ISNUMBER(SEARCH("Türkiye",S190)),"Turkey",
ISNUMBER(SEARCH("Ivory Coast",S190)),"Côte d'Ivoire",
ISNUMBER(SEARCH("Korea Republic",S190)),"South Korea",
ISNUMBER(SEARCH("Germany FR",S190)),"FR Germany",
ISNUMBER(SEARCH("West Germany",S190)),"FR Germany",
ISNUMBER(SEARCH("Germany DR",S190)),"DR Germany",
ISNUMBER(SEARCH("Korea DPR",S190)),"North Korea",
ISNUMBER(SEARCH("China PR",S190)),"China",
ISNUMBER(SEARCH("IR Iran",S190)),"Iran",
ISNUMBER(SEARCH("Congo DR",S190)),"Democratic Republic of the Congo",
ISNUMBER(SEARCH("DR Congo",S190)),"Democratic Republic of the Congo",
ISNUMBER(SEARCH("German DR",S190)),"DR Germany",
ISNUMBER(SEARCH("rn""&gt;United Arab Emirates",S190)),"United Arab Emirates",
ISNUMBER(SEARCH("rn""&gt;Republic of Ireland",S190)),"Ireland",
ISNUMBER(SEARCH("rn""&gt;Bosnia and Herzegovina",S190)),"Bosnia and Herzegovina",
ISNUMBER(SEARCH("rn""&gt;Trinidad and Tobago",S190)),"Trinidad and Tobago",
ISNUMBER(SEARCH("rn""&gt;Serbia and Montenegro",S190)),"Serbia and Montenegro",
ISNUMBER(SEARCH(_xlfn.UNICHAR(65533),S190)),"Côte d'Ivoire",
TRUE,""
)</f>
        <v/>
      </c>
      <c r="W190" s="30" t="str">
        <f t="shared" si="19"/>
        <v>Brazil</v>
      </c>
      <c r="Z190" s="40" t="str">
        <v>Estadio El Teniente-Codelco</v>
      </c>
      <c r="AA190" s="40" t="str" cm="1">
        <f t="array" ref="AA190">IFERROR(_xlfn.XLOOKUP(Z190,_xlfn.ANCHORARRAY(Z$31),AA$31:AA$37),Z190)</f>
        <v>Estadio El Teniente-Codelco</v>
      </c>
      <c r="AB190" s="42" t="str">
        <v xml:space="preserve">Rancagua </v>
      </c>
      <c r="AC190" s="89" t="str">
        <f t="shared" si="22"/>
        <v xml:space="preserve">Rancagua </v>
      </c>
      <c r="AE190" s="42">
        <v>1958</v>
      </c>
      <c r="AK190" s="42">
        <v>3</v>
      </c>
      <c r="AL190" s="42">
        <v>0</v>
      </c>
      <c r="AV190" s="37" t="str">
        <v>FINAL</v>
      </c>
      <c r="AW190" s="89" t="str">
        <v>GROUP_STAGE</v>
      </c>
      <c r="BE190" s="43" t="str">
        <f>IF(OR(DATA_CLEANED!AL181="",DATA_CLEANED!AM181=""),"MANQUANT",IF(OR(NOT(ISNUMBER(DATA_CLEANED!AL181)),NOT(ISNUMBER(DATA_CLEANED!AM181))),"ENTREE INVALIDE",IF(OR(DATA_CLEANED!AL181&lt;0,DATA_CLEANED!AM181&lt;0),"SCORE NEGATIF","OK")))</f>
        <v>OK</v>
      </c>
      <c r="BF190" s="43" t="str">
        <f>IF(DATA_CLEANED!AK181&lt;&gt;DATA_CLEANED!AN181,"OK","ERREUR")</f>
        <v>OK</v>
      </c>
      <c r="BG190" s="43" t="str">
        <f>IF(DATA_CLEANED!AL181&gt;DATA_CLEANED!AM181,DATA_CLEANED!AK181,IF(AND(DATA_QUALITE!W4667="-",DATA_CLEANED!AM181=DATA_CLEANED!AL181),"MATCH NUL",IF(AND(DATA_QUALITE!V4667="-",DATA_QUALITE!U4667="AUCUNE"),DATA_QUALITE!T4667,IF(DATA_QUALITE!V4667&lt;&gt;"-",DATA_QUALITE!V4667,DATA_CLEANED!AN181))))</f>
        <v>Hungary</v>
      </c>
      <c r="BH190" s="103" t="str">
        <f>IF(AND(BG190="MATCH NUL",DATA_CLEANED!AO181="-"),"MATCH_NUL",IF(ISNUMBER(SEARCH("win on penalties",W4667)),"WIN_BY_PENALTY",IF(ISNUMBER(SEARCH("win after extra time",W4667)),"WIN_BY_EXTRA_TIME",IF(ISNUMBER(SEARCH("Golden Goal",W4667)),"WIN_BY_GOLDEN_GOAL","WIN_BY_SCORE"))))</f>
        <v>WIN_BY_SCORE</v>
      </c>
      <c r="BI190" s="99" t="str">
        <f>IF(OR(BG190=DATA_CLEANED!AK181,BG190=DATA_CLEANED!AN181,BG190="MATCH NUL"),"OK","ERREUR")</f>
        <v>OK</v>
      </c>
    </row>
    <row r="191" spans="2:61">
      <c r="B191" s="74">
        <v>1998</v>
      </c>
      <c r="C191" s="30" t="str">
        <v>Round of 16</v>
      </c>
      <c r="D191" s="30" t="str">
        <v>Argentina</v>
      </c>
      <c r="E191" s="30" t="str">
        <v>England</v>
      </c>
      <c r="F191" s="30" t="str">
        <v>England</v>
      </c>
      <c r="G191" s="30" t="str">
        <v>Paul Ince</v>
      </c>
      <c r="H191" s="30" t="str">
        <v>Carlos Roa</v>
      </c>
      <c r="I191" s="30">
        <v>3</v>
      </c>
      <c r="J191" s="30">
        <v>2</v>
      </c>
      <c r="K191" s="30" t="str">
        <v>'1-1</v>
      </c>
      <c r="L191" s="30" t="str">
        <v>No</v>
      </c>
      <c r="M191" s="30" t="str">
        <v>No</v>
      </c>
      <c r="N191" s="30" t="str">
        <v>Saved</v>
      </c>
      <c r="O191" s="30" t="str">
        <f t="shared" si="20"/>
        <v>1998|Round of 16|Argentina|England|England|Paul Ince|Carlos Roa|3|2|'1-1|No|No|Saved</v>
      </c>
      <c r="P191" s="96" t="str">
        <f>IF(COUNTIF($G$32:O191,O191)&gt;1,"DOUBLON","OK")</f>
        <v>OK</v>
      </c>
      <c r="R191" s="23" t="s">
        <v>3681</v>
      </c>
      <c r="S191" s="30" t="str">
        <v>Brazil</v>
      </c>
      <c r="T191" s="30" t="str">
        <f t="shared" ref="T191:T222" si="23">IF(COUNTIF(R$13:R$250,S191)=1,"OK","ERREUR")</f>
        <v>OK</v>
      </c>
      <c r="U191" s="30" t="str">
        <f t="shared" si="18"/>
        <v>-</v>
      </c>
      <c r="V191" s="30" t="str" cm="1">
        <f t="array" ref="V191">_xlfn.IFS(
ISNUMBER(SEARCH("USA",S191)),"United States",
ISNUMBER(SEARCH("Republic of Korea",S191)),"South Korea",
ISNUMBER(SEARCH("Cape Verde",S191)),"Cabo Verde",
ISNUMBER(SEARCH("Czechia",S191)),"Czech Republic",
ISNUMBER(SEARCH("Türkiye",S191)),"Turkey",
ISNUMBER(SEARCH("Ivory Coast",S191)),"Côte d'Ivoire",
ISNUMBER(SEARCH("Korea Republic",S191)),"South Korea",
ISNUMBER(SEARCH("Germany FR",S191)),"FR Germany",
ISNUMBER(SEARCH("West Germany",S191)),"FR Germany",
ISNUMBER(SEARCH("Germany DR",S191)),"DR Germany",
ISNUMBER(SEARCH("Korea DPR",S191)),"North Korea",
ISNUMBER(SEARCH("China PR",S191)),"China",
ISNUMBER(SEARCH("IR Iran",S191)),"Iran",
ISNUMBER(SEARCH("Congo DR",S191)),"Democratic Republic of the Congo",
ISNUMBER(SEARCH("DR Congo",S191)),"Democratic Republic of the Congo",
ISNUMBER(SEARCH("German DR",S191)),"DR Germany",
ISNUMBER(SEARCH("rn""&gt;United Arab Emirates",S191)),"United Arab Emirates",
ISNUMBER(SEARCH("rn""&gt;Republic of Ireland",S191)),"Ireland",
ISNUMBER(SEARCH("rn""&gt;Bosnia and Herzegovina",S191)),"Bosnia and Herzegovina",
ISNUMBER(SEARCH("rn""&gt;Trinidad and Tobago",S191)),"Trinidad and Tobago",
ISNUMBER(SEARCH("rn""&gt;Serbia and Montenegro",S191)),"Serbia and Montenegro",
ISNUMBER(SEARCH(_xlfn.UNICHAR(65533),S191)),"Côte d'Ivoire",
TRUE,""
)</f>
        <v/>
      </c>
      <c r="W191" s="30" t="str">
        <f t="shared" si="19"/>
        <v>Brazil</v>
      </c>
      <c r="Z191" s="40" t="str">
        <v>Nacional</v>
      </c>
      <c r="AA191" s="40" t="str" cm="1">
        <f t="array" ref="AA191">IFERROR(_xlfn.XLOOKUP(Z191,_xlfn.ANCHORARRAY(Z$31),AA$31:AA$37),Z191)</f>
        <v>Nacional</v>
      </c>
      <c r="AB191" s="42" t="str">
        <v xml:space="preserve">Santiago De Chile </v>
      </c>
      <c r="AC191" s="89" t="str">
        <f t="shared" si="22"/>
        <v xml:space="preserve">Santiago De Chile </v>
      </c>
      <c r="AE191" s="42">
        <v>1958</v>
      </c>
      <c r="AK191" s="42">
        <v>1</v>
      </c>
      <c r="AL191" s="42">
        <v>0</v>
      </c>
      <c r="AV191" s="37" t="str">
        <v>FINAL</v>
      </c>
      <c r="AW191" s="89" t="str">
        <v>GROUP_STAGE</v>
      </c>
      <c r="BE191" s="43" t="str">
        <f>IF(OR(DATA_CLEANED!AL182="",DATA_CLEANED!AM182=""),"MANQUANT",IF(OR(NOT(ISNUMBER(DATA_CLEANED!AL182)),NOT(ISNUMBER(DATA_CLEANED!AM182))),"ENTREE INVALIDE",IF(OR(DATA_CLEANED!AL182&lt;0,DATA_CLEANED!AM182&lt;0),"SCORE NEGATIF","OK")))</f>
        <v>OK</v>
      </c>
      <c r="BF191" s="43" t="str">
        <f>IF(DATA_CLEANED!AK182&lt;&gt;DATA_CLEANED!AN182,"OK","ERREUR")</f>
        <v>OK</v>
      </c>
      <c r="BG191" s="43" t="str">
        <f>IF(DATA_CLEANED!AL182&gt;DATA_CLEANED!AM182,DATA_CLEANED!AK182,IF(AND(DATA_QUALITE!W4668="-",DATA_CLEANED!AM182=DATA_CLEANED!AL182),"MATCH NUL",IF(AND(DATA_QUALITE!V4668="-",DATA_QUALITE!U4668="AUCUNE"),DATA_QUALITE!T4668,IF(DATA_QUALITE!V4668&lt;&gt;"-",DATA_QUALITE!V4668,DATA_CLEANED!AN182))))</f>
        <v>MATCH NUL</v>
      </c>
      <c r="BH191" s="103" t="str">
        <f>IF(AND(BG191="MATCH NUL",DATA_CLEANED!AO182="-"),"MATCH_NUL",IF(ISNUMBER(SEARCH("win on penalties",W4668)),"WIN_BY_PENALTY",IF(ISNUMBER(SEARCH("win after extra time",W4668)),"WIN_BY_EXTRA_TIME",IF(ISNUMBER(SEARCH("Golden Goal",W4668)),"WIN_BY_GOLDEN_GOAL","WIN_BY_SCORE"))))</f>
        <v>MATCH_NUL</v>
      </c>
      <c r="BI191" s="99" t="str">
        <f>IF(OR(BG191=DATA_CLEANED!AK182,BG191=DATA_CLEANED!AN182,BG191="MATCH NUL"),"OK","ERREUR")</f>
        <v>OK</v>
      </c>
    </row>
    <row r="192" spans="2:61">
      <c r="B192" s="74">
        <v>1998</v>
      </c>
      <c r="C192" s="30" t="str">
        <v>Round of 16</v>
      </c>
      <c r="D192" s="30" t="str">
        <v>Argentina</v>
      </c>
      <c r="E192" s="30" t="str">
        <v>England</v>
      </c>
      <c r="F192" s="30" t="str">
        <v>Argentina</v>
      </c>
      <c r="G192" s="30" t="str">
        <v>Hernán Crespo</v>
      </c>
      <c r="H192" s="30" t="str">
        <v>David Seaman</v>
      </c>
      <c r="I192" s="30">
        <v>4</v>
      </c>
      <c r="J192" s="30">
        <v>2</v>
      </c>
      <c r="K192" s="30" t="str">
        <v>'1-1</v>
      </c>
      <c r="L192" s="30" t="str">
        <v>No</v>
      </c>
      <c r="M192" s="30" t="str">
        <v>No</v>
      </c>
      <c r="N192" s="30" t="str">
        <v>Saved</v>
      </c>
      <c r="O192" s="30" t="str">
        <f t="shared" si="20"/>
        <v>1998|Round of 16|Argentina|England|Argentina|Hernán Crespo|David Seaman|4|2|'1-1|No|No|Saved</v>
      </c>
      <c r="P192" s="96" t="str">
        <f>IF(COUNTIF($G$32:O192,O192)&gt;1,"DOUBLON","OK")</f>
        <v>OK</v>
      </c>
      <c r="R192" s="23" t="s">
        <v>3753</v>
      </c>
      <c r="S192" s="30" t="str">
        <v>Brazil</v>
      </c>
      <c r="T192" s="30" t="str">
        <f t="shared" si="23"/>
        <v>OK</v>
      </c>
      <c r="U192" s="30" t="str">
        <f t="shared" ref="U192:U255" si="24">IF(OR(S192="Scotland",S192="England",S192="Wales",S192="Yugoslavia",S192="Czechoslovakia",S192="Northern Ireland",S192="Soviet Union",S192="Zaire",S192="Dutch East Indies"),"AUCUNE",IF(OR(S192="Cape Verde",S192="USA",S192="DR Congo",S192="Republic of Korea",S192="Germany FR",S192="Germany DR",S192="Czechia",S192="Ivory Coast",S192="Korea DPR",S192="China PR",S192="IR Iran",S192="Türkiye",S192="Congo DR",S192="German DR",S192="West Germany",S192="Republic of Ireland",ISNUMBER(SEARCH("rn""&gt;United Arab Emirates",S192)),ISNUMBER(SEARCH("rn""&gt;Republic of Ireland",S192)),ISNUMBER(SEARCH("rn""&gt;Bosnia and Herzegovina",S192)),ISNUMBER(SEARCH("rn""&gt;Trinidad and Tobago",S192)),ISNUMBER(SEARCH("rn""&gt;Serbia and Montenegro",S192)),ISNUMBER(SEARCH(_xlfn.UNICHAR(65533),S192))),"RENOMMER","-"))</f>
        <v>-</v>
      </c>
      <c r="V192" s="30" t="str" cm="1">
        <f t="array" ref="V192">_xlfn.IFS(
ISNUMBER(SEARCH("USA",S192)),"United States",
ISNUMBER(SEARCH("Republic of Korea",S192)),"South Korea",
ISNUMBER(SEARCH("Cape Verde",S192)),"Cabo Verde",
ISNUMBER(SEARCH("Czechia",S192)),"Czech Republic",
ISNUMBER(SEARCH("Türkiye",S192)),"Turkey",
ISNUMBER(SEARCH("Ivory Coast",S192)),"Côte d'Ivoire",
ISNUMBER(SEARCH("Korea Republic",S192)),"South Korea",
ISNUMBER(SEARCH("Germany FR",S192)),"FR Germany",
ISNUMBER(SEARCH("West Germany",S192)),"FR Germany",
ISNUMBER(SEARCH("Germany DR",S192)),"DR Germany",
ISNUMBER(SEARCH("Korea DPR",S192)),"North Korea",
ISNUMBER(SEARCH("China PR",S192)),"China",
ISNUMBER(SEARCH("IR Iran",S192)),"Iran",
ISNUMBER(SEARCH("Congo DR",S192)),"Democratic Republic of the Congo",
ISNUMBER(SEARCH("DR Congo",S192)),"Democratic Republic of the Congo",
ISNUMBER(SEARCH("German DR",S192)),"DR Germany",
ISNUMBER(SEARCH("rn""&gt;United Arab Emirates",S192)),"United Arab Emirates",
ISNUMBER(SEARCH("rn""&gt;Republic of Ireland",S192)),"Ireland",
ISNUMBER(SEARCH("rn""&gt;Bosnia and Herzegovina",S192)),"Bosnia and Herzegovina",
ISNUMBER(SEARCH("rn""&gt;Trinidad and Tobago",S192)),"Trinidad and Tobago",
ISNUMBER(SEARCH("rn""&gt;Serbia and Montenegro",S192)),"Serbia and Montenegro",
ISNUMBER(SEARCH(_xlfn.UNICHAR(65533),S192)),"Côte d'Ivoire",
TRUE,""
)</f>
        <v/>
      </c>
      <c r="W192" s="30" t="str">
        <f t="shared" si="19"/>
        <v>Brazil</v>
      </c>
      <c r="Z192" s="40" t="str">
        <v>Carlos Dittborn</v>
      </c>
      <c r="AA192" s="40" t="str" cm="1">
        <f t="array" ref="AA192">IFERROR(_xlfn.XLOOKUP(Z192,_xlfn.ANCHORARRAY(Z$31),AA$31:AA$37),Z192)</f>
        <v>Carlos Dittborn</v>
      </c>
      <c r="AB192" s="42" t="str">
        <v xml:space="preserve">Arica </v>
      </c>
      <c r="AC192" s="89" t="str">
        <f t="shared" si="22"/>
        <v xml:space="preserve">Arica </v>
      </c>
      <c r="AE192" s="42">
        <v>1958</v>
      </c>
      <c r="AK192" s="42">
        <v>0</v>
      </c>
      <c r="AL192" s="42">
        <v>0</v>
      </c>
      <c r="AV192" s="37" t="str">
        <v>FINAL</v>
      </c>
      <c r="AW192" s="89" t="str">
        <v>GROUP_STAGE</v>
      </c>
      <c r="BE192" s="43" t="str">
        <f>IF(OR(DATA_CLEANED!AL183="",DATA_CLEANED!AM183=""),"MANQUANT",IF(OR(NOT(ISNUMBER(DATA_CLEANED!AL183)),NOT(ISNUMBER(DATA_CLEANED!AM183))),"ENTREE INVALIDE",IF(OR(DATA_CLEANED!AL183&lt;0,DATA_CLEANED!AM183&lt;0),"SCORE NEGATIF","OK")))</f>
        <v>OK</v>
      </c>
      <c r="BF192" s="43" t="str">
        <f>IF(DATA_CLEANED!AK183&lt;&gt;DATA_CLEANED!AN183,"OK","ERREUR")</f>
        <v>OK</v>
      </c>
      <c r="BG192" s="43" t="str">
        <f>IF(DATA_CLEANED!AL183&gt;DATA_CLEANED!AM183,DATA_CLEANED!AK183,IF(AND(DATA_QUALITE!W4669="-",DATA_CLEANED!AM183=DATA_CLEANED!AL183),"MATCH NUL",IF(AND(DATA_QUALITE!V4669="-",DATA_QUALITE!U4669="AUCUNE"),DATA_QUALITE!T4669,IF(DATA_QUALITE!V4669&lt;&gt;"-",DATA_QUALITE!V4669,DATA_CLEANED!AN183))))</f>
        <v>Portugal</v>
      </c>
      <c r="BH192" s="103" t="str">
        <f>IF(AND(BG192="MATCH NUL",DATA_CLEANED!AO183="-"),"MATCH_NUL",IF(ISNUMBER(SEARCH("win on penalties",W4669)),"WIN_BY_PENALTY",IF(ISNUMBER(SEARCH("win after extra time",W4669)),"WIN_BY_EXTRA_TIME",IF(ISNUMBER(SEARCH("Golden Goal",W4669)),"WIN_BY_GOLDEN_GOAL","WIN_BY_SCORE"))))</f>
        <v>WIN_BY_SCORE</v>
      </c>
      <c r="BI192" s="99" t="str">
        <f>IF(OR(BG192=DATA_CLEANED!AK183,BG192=DATA_CLEANED!AN183,BG192="MATCH NUL"),"OK","ERREUR")</f>
        <v>OK</v>
      </c>
    </row>
    <row r="193" spans="2:61">
      <c r="B193" s="74">
        <v>1998</v>
      </c>
      <c r="C193" s="30" t="str">
        <v>Round of 16</v>
      </c>
      <c r="D193" s="30" t="str">
        <v>Argentina</v>
      </c>
      <c r="E193" s="30" t="str">
        <v>England</v>
      </c>
      <c r="F193" s="30" t="str">
        <v>England</v>
      </c>
      <c r="G193" s="30" t="str">
        <v>Paul Merson</v>
      </c>
      <c r="H193" s="30" t="str">
        <v>Carlos Roa</v>
      </c>
      <c r="I193" s="30">
        <v>5</v>
      </c>
      <c r="J193" s="30">
        <v>3</v>
      </c>
      <c r="K193" s="30" t="str">
        <v>'1-1</v>
      </c>
      <c r="L193" s="30" t="str">
        <v>No</v>
      </c>
      <c r="M193" s="30" t="str">
        <v>No</v>
      </c>
      <c r="N193" s="30" t="str">
        <v>Goal</v>
      </c>
      <c r="O193" s="30" t="str">
        <f t="shared" si="20"/>
        <v>1998|Round of 16|Argentina|England|England|Paul Merson|Carlos Roa|5|3|'1-1|No|No|Goal</v>
      </c>
      <c r="P193" s="96" t="str">
        <f>IF(COUNTIF($G$32:O193,O193)&gt;1,"DOUBLON","OK")</f>
        <v>OK</v>
      </c>
      <c r="R193" s="23" t="s">
        <v>3682</v>
      </c>
      <c r="S193" s="30" t="str">
        <v>Brazil</v>
      </c>
      <c r="T193" s="30" t="str">
        <f t="shared" si="23"/>
        <v>OK</v>
      </c>
      <c r="U193" s="30" t="str">
        <f t="shared" si="24"/>
        <v>-</v>
      </c>
      <c r="V193" s="30" t="str" cm="1">
        <f t="array" ref="V193">_xlfn.IFS(
ISNUMBER(SEARCH("USA",S193)),"United States",
ISNUMBER(SEARCH("Republic of Korea",S193)),"South Korea",
ISNUMBER(SEARCH("Cape Verde",S193)),"Cabo Verde",
ISNUMBER(SEARCH("Czechia",S193)),"Czech Republic",
ISNUMBER(SEARCH("Türkiye",S193)),"Turkey",
ISNUMBER(SEARCH("Ivory Coast",S193)),"Côte d'Ivoire",
ISNUMBER(SEARCH("Korea Republic",S193)),"South Korea",
ISNUMBER(SEARCH("Germany FR",S193)),"FR Germany",
ISNUMBER(SEARCH("West Germany",S193)),"FR Germany",
ISNUMBER(SEARCH("Germany DR",S193)),"DR Germany",
ISNUMBER(SEARCH("Korea DPR",S193)),"North Korea",
ISNUMBER(SEARCH("China PR",S193)),"China",
ISNUMBER(SEARCH("IR Iran",S193)),"Iran",
ISNUMBER(SEARCH("Congo DR",S193)),"Democratic Republic of the Congo",
ISNUMBER(SEARCH("DR Congo",S193)),"Democratic Republic of the Congo",
ISNUMBER(SEARCH("German DR",S193)),"DR Germany",
ISNUMBER(SEARCH("rn""&gt;United Arab Emirates",S193)),"United Arab Emirates",
ISNUMBER(SEARCH("rn""&gt;Republic of Ireland",S193)),"Ireland",
ISNUMBER(SEARCH("rn""&gt;Bosnia and Herzegovina",S193)),"Bosnia and Herzegovina",
ISNUMBER(SEARCH("rn""&gt;Trinidad and Tobago",S193)),"Trinidad and Tobago",
ISNUMBER(SEARCH("rn""&gt;Serbia and Montenegro",S193)),"Serbia and Montenegro",
ISNUMBER(SEARCH(_xlfn.UNICHAR(65533),S193)),"Côte d'Ivoire",
TRUE,""
)</f>
        <v/>
      </c>
      <c r="W193" s="30" t="str">
        <f t="shared" si="19"/>
        <v>Brazil</v>
      </c>
      <c r="Z193" s="40" t="str">
        <v>Estadio Sausalito</v>
      </c>
      <c r="AA193" s="40" t="str" cm="1">
        <f t="array" ref="AA193">IFERROR(_xlfn.XLOOKUP(Z193,_xlfn.ANCHORARRAY(Z$31),AA$31:AA$37),Z193)</f>
        <v>Estadio Sausalito</v>
      </c>
      <c r="AB193" s="42" t="str">
        <v xml:space="preserve">Vina Del Mar </v>
      </c>
      <c r="AC193" s="89" t="str">
        <f t="shared" si="22"/>
        <v xml:space="preserve">Vina Del Mar </v>
      </c>
      <c r="AE193" s="42">
        <v>1958</v>
      </c>
      <c r="AK193" s="42">
        <v>1</v>
      </c>
      <c r="AL193" s="42">
        <v>1</v>
      </c>
      <c r="AV193" s="37" t="str">
        <v>FINAL</v>
      </c>
      <c r="AW193" s="89" t="str">
        <v>GROUP_STAGE</v>
      </c>
      <c r="BE193" s="43" t="str">
        <f>IF(OR(DATA_CLEANED!AL184="",DATA_CLEANED!AM184=""),"MANQUANT",IF(OR(NOT(ISNUMBER(DATA_CLEANED!AL184)),NOT(ISNUMBER(DATA_CLEANED!AM184))),"ENTREE INVALIDE",IF(OR(DATA_CLEANED!AL184&lt;0,DATA_CLEANED!AM184&lt;0),"SCORE NEGATIF","OK")))</f>
        <v>OK</v>
      </c>
      <c r="BF193" s="43" t="str">
        <f>IF(DATA_CLEANED!AK184&lt;&gt;DATA_CLEANED!AN184,"OK","ERREUR")</f>
        <v>OK</v>
      </c>
      <c r="BG193" s="43" t="str">
        <f>IF(DATA_CLEANED!AL184&gt;DATA_CLEANED!AM184,DATA_CLEANED!AK184,IF(AND(DATA_QUALITE!W4670="-",DATA_CLEANED!AM184=DATA_CLEANED!AL184),"MATCH NUL",IF(AND(DATA_QUALITE!V4670="-",DATA_QUALITE!U4670="AUCUNE"),DATA_QUALITE!T4670,IF(DATA_QUALITE!V4670&lt;&gt;"-",DATA_QUALITE!V4670,DATA_CLEANED!AN184))))</f>
        <v>MATCH NUL</v>
      </c>
      <c r="BH193" s="103" t="str">
        <f>IF(AND(BG193="MATCH NUL",DATA_CLEANED!AO184="-"),"MATCH_NUL",IF(ISNUMBER(SEARCH("win on penalties",W4670)),"WIN_BY_PENALTY",IF(ISNUMBER(SEARCH("win after extra time",W4670)),"WIN_BY_EXTRA_TIME",IF(ISNUMBER(SEARCH("Golden Goal",W4670)),"WIN_BY_GOLDEN_GOAL","WIN_BY_SCORE"))))</f>
        <v>MATCH_NUL</v>
      </c>
      <c r="BI193" s="99" t="str">
        <f>IF(OR(BG193=DATA_CLEANED!AK184,BG193=DATA_CLEANED!AN184,BG193="MATCH NUL"),"OK","ERREUR")</f>
        <v>OK</v>
      </c>
    </row>
    <row r="194" spans="2:61">
      <c r="B194" s="74">
        <v>1998</v>
      </c>
      <c r="C194" s="30" t="str">
        <v>Round of 16</v>
      </c>
      <c r="D194" s="30" t="str">
        <v>Argentina</v>
      </c>
      <c r="E194" s="30" t="str">
        <v>England</v>
      </c>
      <c r="F194" s="30" t="str">
        <v>Argentina</v>
      </c>
      <c r="G194" s="30" t="str">
        <v>Juan Sebastián Verón</v>
      </c>
      <c r="H194" s="30" t="str">
        <v>David Seaman</v>
      </c>
      <c r="I194" s="30">
        <v>6</v>
      </c>
      <c r="J194" s="30">
        <v>3</v>
      </c>
      <c r="K194" s="30" t="str">
        <v>'2-1</v>
      </c>
      <c r="L194" s="30" t="str">
        <v>No</v>
      </c>
      <c r="M194" s="30" t="str">
        <v>No</v>
      </c>
      <c r="N194" s="30" t="str">
        <v>Goal</v>
      </c>
      <c r="O194" s="30" t="str">
        <f t="shared" si="20"/>
        <v>1998|Round of 16|Argentina|England|Argentina|Juan Sebastián Verón|David Seaman|6|3|'2-1|No|No|Goal</v>
      </c>
      <c r="P194" s="96" t="str">
        <f>IF(COUNTIF($G$32:O194,O194)&gt;1,"DOUBLON","OK")</f>
        <v>OK</v>
      </c>
      <c r="R194" s="23" t="s">
        <v>3683</v>
      </c>
      <c r="S194" s="30" t="str">
        <v>Brazil</v>
      </c>
      <c r="T194" s="30" t="str">
        <f t="shared" si="23"/>
        <v>OK</v>
      </c>
      <c r="U194" s="30" t="str">
        <f t="shared" si="24"/>
        <v>-</v>
      </c>
      <c r="V194" s="30" t="str" cm="1">
        <f t="array" ref="V194">_xlfn.IFS(
ISNUMBER(SEARCH("USA",S194)),"United States",
ISNUMBER(SEARCH("Republic of Korea",S194)),"South Korea",
ISNUMBER(SEARCH("Cape Verde",S194)),"Cabo Verde",
ISNUMBER(SEARCH("Czechia",S194)),"Czech Republic",
ISNUMBER(SEARCH("Türkiye",S194)),"Turkey",
ISNUMBER(SEARCH("Ivory Coast",S194)),"Côte d'Ivoire",
ISNUMBER(SEARCH("Korea Republic",S194)),"South Korea",
ISNUMBER(SEARCH("Germany FR",S194)),"FR Germany",
ISNUMBER(SEARCH("West Germany",S194)),"FR Germany",
ISNUMBER(SEARCH("Germany DR",S194)),"DR Germany",
ISNUMBER(SEARCH("Korea DPR",S194)),"North Korea",
ISNUMBER(SEARCH("China PR",S194)),"China",
ISNUMBER(SEARCH("IR Iran",S194)),"Iran",
ISNUMBER(SEARCH("Congo DR",S194)),"Democratic Republic of the Congo",
ISNUMBER(SEARCH("DR Congo",S194)),"Democratic Republic of the Congo",
ISNUMBER(SEARCH("German DR",S194)),"DR Germany",
ISNUMBER(SEARCH("rn""&gt;United Arab Emirates",S194)),"United Arab Emirates",
ISNUMBER(SEARCH("rn""&gt;Republic of Ireland",S194)),"Ireland",
ISNUMBER(SEARCH("rn""&gt;Bosnia and Herzegovina",S194)),"Bosnia and Herzegovina",
ISNUMBER(SEARCH("rn""&gt;Trinidad and Tobago",S194)),"Trinidad and Tobago",
ISNUMBER(SEARCH("rn""&gt;Serbia and Montenegro",S194)),"Serbia and Montenegro",
ISNUMBER(SEARCH(_xlfn.UNICHAR(65533),S194)),"Côte d'Ivoire",
TRUE,""
)</f>
        <v/>
      </c>
      <c r="W194" s="30" t="str">
        <f t="shared" si="19"/>
        <v>Brazil</v>
      </c>
      <c r="Z194" s="40" t="str">
        <v>Estadio El Teniente-Codelco</v>
      </c>
      <c r="AA194" s="40" t="str" cm="1">
        <f t="array" ref="AA194">IFERROR(_xlfn.XLOOKUP(Z194,_xlfn.ANCHORARRAY(Z$31),AA$31:AA$37),Z194)</f>
        <v>Estadio El Teniente-Codelco</v>
      </c>
      <c r="AB194" s="42" t="str">
        <v xml:space="preserve">Rancagua </v>
      </c>
      <c r="AC194" s="89" t="str">
        <f t="shared" si="22"/>
        <v xml:space="preserve">Rancagua </v>
      </c>
      <c r="AE194" s="42">
        <v>1958</v>
      </c>
      <c r="AK194" s="42">
        <v>3</v>
      </c>
      <c r="AL194" s="42">
        <v>2</v>
      </c>
      <c r="AV194" s="37" t="str">
        <v>FINAL</v>
      </c>
      <c r="AW194" s="89" t="str">
        <v>GROUP_STAGE</v>
      </c>
      <c r="BE194" s="43" t="str">
        <f>IF(OR(DATA_CLEANED!AL185="",DATA_CLEANED!AM185=""),"MANQUANT",IF(OR(NOT(ISNUMBER(DATA_CLEANED!AL185)),NOT(ISNUMBER(DATA_CLEANED!AM185))),"ENTREE INVALIDE",IF(OR(DATA_CLEANED!AL185&lt;0,DATA_CLEANED!AM185&lt;0),"SCORE NEGATIF","OK")))</f>
        <v>OK</v>
      </c>
      <c r="BF194" s="43" t="str">
        <f>IF(DATA_CLEANED!AK185&lt;&gt;DATA_CLEANED!AN185,"OK","ERREUR")</f>
        <v>OK</v>
      </c>
      <c r="BG194" s="43" t="str">
        <f>IF(DATA_CLEANED!AL185&gt;DATA_CLEANED!AM185,DATA_CLEANED!AK185,IF(AND(DATA_QUALITE!W4671="-",DATA_CLEANED!AM185=DATA_CLEANED!AL185),"MATCH NUL",IF(AND(DATA_QUALITE!V4671="-",DATA_QUALITE!U4671="AUCUNE"),DATA_QUALITE!T4671,IF(DATA_QUALITE!V4671&lt;&gt;"-",DATA_QUALITE!V4671,DATA_CLEANED!AN185))))</f>
        <v>Soviet Union</v>
      </c>
      <c r="BH194" s="103" t="str">
        <f>IF(AND(BG194="MATCH NUL",DATA_CLEANED!AO185="-"),"MATCH_NUL",IF(ISNUMBER(SEARCH("win on penalties",W4671)),"WIN_BY_PENALTY",IF(ISNUMBER(SEARCH("win after extra time",W4671)),"WIN_BY_EXTRA_TIME",IF(ISNUMBER(SEARCH("Golden Goal",W4671)),"WIN_BY_GOLDEN_GOAL","WIN_BY_SCORE"))))</f>
        <v>WIN_BY_SCORE</v>
      </c>
      <c r="BI194" s="99" t="str">
        <f>IF(OR(BG194=DATA_CLEANED!AK185,BG194=DATA_CLEANED!AN185,BG194="MATCH NUL"),"OK","ERREUR")</f>
        <v>OK</v>
      </c>
    </row>
    <row r="195" spans="2:61">
      <c r="B195" s="74">
        <v>1998</v>
      </c>
      <c r="C195" s="30" t="str">
        <v>Round of 16</v>
      </c>
      <c r="D195" s="30" t="str">
        <v>Argentina</v>
      </c>
      <c r="E195" s="30" t="str">
        <v>England</v>
      </c>
      <c r="F195" s="30" t="str">
        <v>England</v>
      </c>
      <c r="G195" s="30" t="str">
        <v>Michael Owen</v>
      </c>
      <c r="H195" s="30" t="str">
        <v>Carlos Roa</v>
      </c>
      <c r="I195" s="30">
        <v>7</v>
      </c>
      <c r="J195" s="30">
        <v>4</v>
      </c>
      <c r="K195" s="30" t="str">
        <v>'2-2</v>
      </c>
      <c r="L195" s="30" t="str">
        <v>No</v>
      </c>
      <c r="M195" s="30" t="str">
        <v>No</v>
      </c>
      <c r="N195" s="30" t="str">
        <v>Goal</v>
      </c>
      <c r="O195" s="30" t="str">
        <f t="shared" si="20"/>
        <v>1998|Round of 16|Argentina|England|England|Michael Owen|Carlos Roa|7|4|'2-2|No|No|Goal</v>
      </c>
      <c r="P195" s="96" t="str">
        <f>IF(COUNTIF($G$32:O195,O195)&gt;1,"DOUBLON","OK")</f>
        <v>OK</v>
      </c>
      <c r="R195" s="23" t="s">
        <v>3754</v>
      </c>
      <c r="S195" s="30" t="str">
        <v>Brazil</v>
      </c>
      <c r="T195" s="30" t="str">
        <f t="shared" si="23"/>
        <v>OK</v>
      </c>
      <c r="U195" s="30" t="str">
        <f t="shared" si="24"/>
        <v>-</v>
      </c>
      <c r="V195" s="30" t="str" cm="1">
        <f t="array" ref="V195">_xlfn.IFS(
ISNUMBER(SEARCH("USA",S195)),"United States",
ISNUMBER(SEARCH("Republic of Korea",S195)),"South Korea",
ISNUMBER(SEARCH("Cape Verde",S195)),"Cabo Verde",
ISNUMBER(SEARCH("Czechia",S195)),"Czech Republic",
ISNUMBER(SEARCH("Türkiye",S195)),"Turkey",
ISNUMBER(SEARCH("Ivory Coast",S195)),"Côte d'Ivoire",
ISNUMBER(SEARCH("Korea Republic",S195)),"South Korea",
ISNUMBER(SEARCH("Germany FR",S195)),"FR Germany",
ISNUMBER(SEARCH("West Germany",S195)),"FR Germany",
ISNUMBER(SEARCH("Germany DR",S195)),"DR Germany",
ISNUMBER(SEARCH("Korea DPR",S195)),"North Korea",
ISNUMBER(SEARCH("China PR",S195)),"China",
ISNUMBER(SEARCH("IR Iran",S195)),"Iran",
ISNUMBER(SEARCH("Congo DR",S195)),"Democratic Republic of the Congo",
ISNUMBER(SEARCH("DR Congo",S195)),"Democratic Republic of the Congo",
ISNUMBER(SEARCH("German DR",S195)),"DR Germany",
ISNUMBER(SEARCH("rn""&gt;United Arab Emirates",S195)),"United Arab Emirates",
ISNUMBER(SEARCH("rn""&gt;Republic of Ireland",S195)),"Ireland",
ISNUMBER(SEARCH("rn""&gt;Bosnia and Herzegovina",S195)),"Bosnia and Herzegovina",
ISNUMBER(SEARCH("rn""&gt;Trinidad and Tobago",S195)),"Trinidad and Tobago",
ISNUMBER(SEARCH("rn""&gt;Serbia and Montenegro",S195)),"Serbia and Montenegro",
ISNUMBER(SEARCH(_xlfn.UNICHAR(65533),S195)),"Côte d'Ivoire",
TRUE,""
)</f>
        <v/>
      </c>
      <c r="W195" s="30" t="str">
        <f t="shared" si="19"/>
        <v>Brazil</v>
      </c>
      <c r="Z195" s="40" t="str">
        <v>Nacional</v>
      </c>
      <c r="AA195" s="40" t="str" cm="1">
        <f t="array" ref="AA195">IFERROR(_xlfn.XLOOKUP(Z195,_xlfn.ANCHORARRAY(Z$31),AA$31:AA$37),Z195)</f>
        <v>Nacional</v>
      </c>
      <c r="AB195" s="42" t="str">
        <v xml:space="preserve">Santiago De Chile </v>
      </c>
      <c r="AC195" s="89" t="str">
        <f t="shared" si="22"/>
        <v xml:space="preserve">Santiago De Chile </v>
      </c>
      <c r="AE195" s="42">
        <v>1958</v>
      </c>
      <c r="AK195" s="42">
        <v>3</v>
      </c>
      <c r="AL195" s="42">
        <v>2</v>
      </c>
      <c r="AV195" s="37" t="str">
        <v>FINAL</v>
      </c>
      <c r="AW195" s="89" t="str">
        <v>GROUP_STAGE</v>
      </c>
      <c r="BE195" s="43" t="str">
        <f>IF(OR(DATA_CLEANED!AL186="",DATA_CLEANED!AM186=""),"MANQUANT",IF(OR(NOT(ISNUMBER(DATA_CLEANED!AL186)),NOT(ISNUMBER(DATA_CLEANED!AM186))),"ENTREE INVALIDE",IF(OR(DATA_CLEANED!AL186&lt;0,DATA_CLEANED!AM186&lt;0),"SCORE NEGATIF","OK")))</f>
        <v>OK</v>
      </c>
      <c r="BF195" s="43" t="str">
        <f>IF(DATA_CLEANED!AK186&lt;&gt;DATA_CLEANED!AN186,"OK","ERREUR")</f>
        <v>OK</v>
      </c>
      <c r="BG195" s="43" t="str">
        <f>IF(DATA_CLEANED!AL186&gt;DATA_CLEANED!AM186,DATA_CLEANED!AK186,IF(AND(DATA_QUALITE!W4672="-",DATA_CLEANED!AM186=DATA_CLEANED!AL186),"MATCH NUL",IF(AND(DATA_QUALITE!V4672="-",DATA_QUALITE!U4672="AUCUNE"),DATA_QUALITE!T4672,IF(DATA_QUALITE!V4672&lt;&gt;"-",DATA_QUALITE!V4672,DATA_CLEANED!AN186))))</f>
        <v>England</v>
      </c>
      <c r="BH195" s="103" t="str">
        <f>IF(AND(BG195="MATCH NUL",DATA_CLEANED!AO186="-"),"MATCH_NUL",IF(ISNUMBER(SEARCH("win on penalties",W4672)),"WIN_BY_PENALTY",IF(ISNUMBER(SEARCH("win after extra time",W4672)),"WIN_BY_EXTRA_TIME",IF(ISNUMBER(SEARCH("Golden Goal",W4672)),"WIN_BY_GOLDEN_GOAL","WIN_BY_SCORE"))))</f>
        <v>WIN_BY_SCORE</v>
      </c>
      <c r="BI195" s="99" t="str">
        <f>IF(OR(BG195=DATA_CLEANED!AK186,BG195=DATA_CLEANED!AN186,BG195="MATCH NUL"),"OK","ERREUR")</f>
        <v>OK</v>
      </c>
    </row>
    <row r="196" spans="2:61">
      <c r="B196" s="74">
        <v>1998</v>
      </c>
      <c r="C196" s="30" t="str">
        <v>Round of 16</v>
      </c>
      <c r="D196" s="30" t="str">
        <v>Argentina</v>
      </c>
      <c r="E196" s="30" t="str">
        <v>England</v>
      </c>
      <c r="F196" s="30" t="str">
        <v>Argentina</v>
      </c>
      <c r="G196" s="30" t="str">
        <v>Marcelo Gallardo</v>
      </c>
      <c r="H196" s="30" t="str">
        <v>David Seaman</v>
      </c>
      <c r="I196" s="30">
        <v>8</v>
      </c>
      <c r="J196" s="30">
        <v>4</v>
      </c>
      <c r="K196" s="30" t="str">
        <v>'3-2</v>
      </c>
      <c r="L196" s="30" t="str">
        <v>No</v>
      </c>
      <c r="M196" s="30" t="str">
        <v>No</v>
      </c>
      <c r="N196" s="30" t="str">
        <v>Goal</v>
      </c>
      <c r="O196" s="30" t="str">
        <f t="shared" si="20"/>
        <v>1998|Round of 16|Argentina|England|Argentina|Marcelo Gallardo|David Seaman|8|4|'3-2|No|No|Goal</v>
      </c>
      <c r="P196" s="96" t="str">
        <f>IF(COUNTIF($G$32:O196,O196)&gt;1,"DOUBLON","OK")</f>
        <v>OK</v>
      </c>
      <c r="R196" s="23" t="s">
        <v>3684</v>
      </c>
      <c r="S196" s="30" t="str">
        <v>Spain</v>
      </c>
      <c r="T196" s="30" t="str">
        <f t="shared" si="23"/>
        <v>OK</v>
      </c>
      <c r="U196" s="30" t="str">
        <f t="shared" si="24"/>
        <v>-</v>
      </c>
      <c r="V196" s="30" t="str" cm="1">
        <f t="array" ref="V196">_xlfn.IFS(
ISNUMBER(SEARCH("USA",S196)),"United States",
ISNUMBER(SEARCH("Republic of Korea",S196)),"South Korea",
ISNUMBER(SEARCH("Cape Verde",S196)),"Cabo Verde",
ISNUMBER(SEARCH("Czechia",S196)),"Czech Republic",
ISNUMBER(SEARCH("Türkiye",S196)),"Turkey",
ISNUMBER(SEARCH("Ivory Coast",S196)),"Côte d'Ivoire",
ISNUMBER(SEARCH("Korea Republic",S196)),"South Korea",
ISNUMBER(SEARCH("Germany FR",S196)),"FR Germany",
ISNUMBER(SEARCH("West Germany",S196)),"FR Germany",
ISNUMBER(SEARCH("Germany DR",S196)),"DR Germany",
ISNUMBER(SEARCH("Korea DPR",S196)),"North Korea",
ISNUMBER(SEARCH("China PR",S196)),"China",
ISNUMBER(SEARCH("IR Iran",S196)),"Iran",
ISNUMBER(SEARCH("Congo DR",S196)),"Democratic Republic of the Congo",
ISNUMBER(SEARCH("DR Congo",S196)),"Democratic Republic of the Congo",
ISNUMBER(SEARCH("German DR",S196)),"DR Germany",
ISNUMBER(SEARCH("rn""&gt;United Arab Emirates",S196)),"United Arab Emirates",
ISNUMBER(SEARCH("rn""&gt;Republic of Ireland",S196)),"Ireland",
ISNUMBER(SEARCH("rn""&gt;Bosnia and Herzegovina",S196)),"Bosnia and Herzegovina",
ISNUMBER(SEARCH("rn""&gt;Trinidad and Tobago",S196)),"Trinidad and Tobago",
ISNUMBER(SEARCH("rn""&gt;Serbia and Montenegro",S196)),"Serbia and Montenegro",
ISNUMBER(SEARCH(_xlfn.UNICHAR(65533),S196)),"Côte d'Ivoire",
TRUE,""
)</f>
        <v/>
      </c>
      <c r="W196" s="30" t="str">
        <f t="shared" si="19"/>
        <v>Spain</v>
      </c>
      <c r="Z196" s="40" t="str">
        <v>Carlos Dittborn</v>
      </c>
      <c r="AA196" s="40" t="str" cm="1">
        <f t="array" ref="AA196">IFERROR(_xlfn.XLOOKUP(Z196,_xlfn.ANCHORARRAY(Z$31),AA$31:AA$37),Z196)</f>
        <v>Carlos Dittborn</v>
      </c>
      <c r="AB196" s="42" t="str">
        <v xml:space="preserve">Arica </v>
      </c>
      <c r="AC196" s="89" t="str">
        <f t="shared" si="22"/>
        <v xml:space="preserve">Arica </v>
      </c>
      <c r="AE196" s="42">
        <v>1958</v>
      </c>
      <c r="AK196" s="42">
        <v>2</v>
      </c>
      <c r="AL196" s="42">
        <v>0</v>
      </c>
      <c r="AV196" s="37" t="str">
        <v>ROUND_OF_16</v>
      </c>
      <c r="AW196" s="89" t="str">
        <v>GROUP_STAGE</v>
      </c>
      <c r="BE196" s="43" t="str">
        <f>IF(OR(DATA_CLEANED!AL187="",DATA_CLEANED!AM187=""),"MANQUANT",IF(OR(NOT(ISNUMBER(DATA_CLEANED!AL187)),NOT(ISNUMBER(DATA_CLEANED!AM187))),"ENTREE INVALIDE",IF(OR(DATA_CLEANED!AL187&lt;0,DATA_CLEANED!AM187&lt;0),"SCORE NEGATIF","OK")))</f>
        <v>OK</v>
      </c>
      <c r="BF196" s="43" t="str">
        <f>IF(DATA_CLEANED!AK187&lt;&gt;DATA_CLEANED!AN187,"OK","ERREUR")</f>
        <v>OK</v>
      </c>
      <c r="BG196" s="43" t="str">
        <f>IF(DATA_CLEANED!AL187&gt;DATA_CLEANED!AM187,DATA_CLEANED!AK187,IF(AND(DATA_QUALITE!W4673="-",DATA_CLEANED!AM187=DATA_CLEANED!AL187),"MATCH NUL",IF(AND(DATA_QUALITE!V4673="-",DATA_QUALITE!U4673="AUCUNE"),DATA_QUALITE!T4673,IF(DATA_QUALITE!V4673&lt;&gt;"-",DATA_QUALITE!V4673,DATA_CLEANED!AN187))))</f>
        <v>MATCH NUL</v>
      </c>
      <c r="BH196" s="103" t="str">
        <f>IF(AND(BG196="MATCH NUL",DATA_CLEANED!AO187="-"),"MATCH_NUL",IF(ISNUMBER(SEARCH("win on penalties",W4673)),"WIN_BY_PENALTY",IF(ISNUMBER(SEARCH("win after extra time",W4673)),"WIN_BY_EXTRA_TIME",IF(ISNUMBER(SEARCH("Golden Goal",W4673)),"WIN_BY_GOLDEN_GOAL","WIN_BY_SCORE"))))</f>
        <v>MATCH_NUL</v>
      </c>
      <c r="BI196" s="99" t="str">
        <f>IF(OR(BG196=DATA_CLEANED!AK187,BG196=DATA_CLEANED!AN187,BG196="MATCH NUL"),"OK","ERREUR")</f>
        <v>OK</v>
      </c>
    </row>
    <row r="197" spans="2:61">
      <c r="B197" s="74">
        <v>1998</v>
      </c>
      <c r="C197" s="30" t="str">
        <v>Round of 16</v>
      </c>
      <c r="D197" s="30" t="str">
        <v>Argentina</v>
      </c>
      <c r="E197" s="30" t="str">
        <v>England</v>
      </c>
      <c r="F197" s="30" t="str">
        <v>England</v>
      </c>
      <c r="G197" s="30" t="str">
        <v>David Batty</v>
      </c>
      <c r="H197" s="30" t="str">
        <v>Carlos Roa</v>
      </c>
      <c r="I197" s="30">
        <v>9</v>
      </c>
      <c r="J197" s="30">
        <v>5</v>
      </c>
      <c r="K197" s="30" t="str">
        <v>'3-3</v>
      </c>
      <c r="L197" s="30" t="str">
        <v>Yes</v>
      </c>
      <c r="M197" s="30" t="str">
        <v>Yes</v>
      </c>
      <c r="N197" s="30" t="str">
        <v>Saved</v>
      </c>
      <c r="O197" s="30" t="str">
        <f t="shared" si="20"/>
        <v>1998|Round of 16|Argentina|England|England|David Batty|Carlos Roa|9|5|'3-3|Yes|Yes|Saved</v>
      </c>
      <c r="P197" s="96" t="str">
        <f>IF(COUNTIF($G$32:O197,O197)&gt;1,"DOUBLON","OK")</f>
        <v>OK</v>
      </c>
      <c r="R197" s="23" t="s">
        <v>3685</v>
      </c>
      <c r="S197" s="30" t="str">
        <v>Spain</v>
      </c>
      <c r="T197" s="30" t="str">
        <f t="shared" si="23"/>
        <v>OK</v>
      </c>
      <c r="U197" s="30" t="str">
        <f t="shared" si="24"/>
        <v>-</v>
      </c>
      <c r="V197" s="30" t="str" cm="1">
        <f t="array" ref="V197">_xlfn.IFS(
ISNUMBER(SEARCH("USA",S197)),"United States",
ISNUMBER(SEARCH("Republic of Korea",S197)),"South Korea",
ISNUMBER(SEARCH("Cape Verde",S197)),"Cabo Verde",
ISNUMBER(SEARCH("Czechia",S197)),"Czech Republic",
ISNUMBER(SEARCH("Türkiye",S197)),"Turkey",
ISNUMBER(SEARCH("Ivory Coast",S197)),"Côte d'Ivoire",
ISNUMBER(SEARCH("Korea Republic",S197)),"South Korea",
ISNUMBER(SEARCH("Germany FR",S197)),"FR Germany",
ISNUMBER(SEARCH("West Germany",S197)),"FR Germany",
ISNUMBER(SEARCH("Germany DR",S197)),"DR Germany",
ISNUMBER(SEARCH("Korea DPR",S197)),"North Korea",
ISNUMBER(SEARCH("China PR",S197)),"China",
ISNUMBER(SEARCH("IR Iran",S197)),"Iran",
ISNUMBER(SEARCH("Congo DR",S197)),"Democratic Republic of the Congo",
ISNUMBER(SEARCH("DR Congo",S197)),"Democratic Republic of the Congo",
ISNUMBER(SEARCH("German DR",S197)),"DR Germany",
ISNUMBER(SEARCH("rn""&gt;United Arab Emirates",S197)),"United Arab Emirates",
ISNUMBER(SEARCH("rn""&gt;Republic of Ireland",S197)),"Ireland",
ISNUMBER(SEARCH("rn""&gt;Bosnia and Herzegovina",S197)),"Bosnia and Herzegovina",
ISNUMBER(SEARCH("rn""&gt;Trinidad and Tobago",S197)),"Trinidad and Tobago",
ISNUMBER(SEARCH("rn""&gt;Serbia and Montenegro",S197)),"Serbia and Montenegro",
ISNUMBER(SEARCH(_xlfn.UNICHAR(65533),S197)),"Côte d'Ivoire",
TRUE,""
)</f>
        <v/>
      </c>
      <c r="W197" s="30" t="str">
        <f t="shared" si="19"/>
        <v>Spain</v>
      </c>
      <c r="Z197" s="40" t="str">
        <v>Estadio Sausalito</v>
      </c>
      <c r="AA197" s="40" t="str" cm="1">
        <f t="array" ref="AA197">IFERROR(_xlfn.XLOOKUP(Z197,_xlfn.ANCHORARRAY(Z$31),AA$31:AA$37),Z197)</f>
        <v>Estadio Sausalito</v>
      </c>
      <c r="AB197" s="42" t="str">
        <v xml:space="preserve">Vina Del Mar </v>
      </c>
      <c r="AC197" s="89" t="str">
        <f t="shared" si="22"/>
        <v xml:space="preserve">Vina Del Mar </v>
      </c>
      <c r="AE197" s="42">
        <v>1958</v>
      </c>
      <c r="AK197" s="42">
        <v>2</v>
      </c>
      <c r="AL197" s="42">
        <v>2</v>
      </c>
      <c r="AV197" s="37" t="str">
        <v>ROUND_OF_16</v>
      </c>
      <c r="AW197" s="89" t="str">
        <v>GROUP_STAGE</v>
      </c>
      <c r="BE197" s="43" t="str">
        <f>IF(OR(DATA_CLEANED!AL188="",DATA_CLEANED!AM188=""),"MANQUANT",IF(OR(NOT(ISNUMBER(DATA_CLEANED!AL188)),NOT(ISNUMBER(DATA_CLEANED!AM188))),"ENTREE INVALIDE",IF(OR(DATA_CLEANED!AL188&lt;0,DATA_CLEANED!AM188&lt;0),"SCORE NEGATIF","OK")))</f>
        <v>OK</v>
      </c>
      <c r="BF197" s="43" t="str">
        <f>IF(DATA_CLEANED!AK188&lt;&gt;DATA_CLEANED!AN188,"OK","ERREUR")</f>
        <v>OK</v>
      </c>
      <c r="BG197" s="43" t="str">
        <f>IF(DATA_CLEANED!AL188&gt;DATA_CLEANED!AM188,DATA_CLEANED!AK188,IF(AND(DATA_QUALITE!W4674="-",DATA_CLEANED!AM188=DATA_CLEANED!AL188),"MATCH NUL",IF(AND(DATA_QUALITE!V4674="-",DATA_QUALITE!U4674="AUCUNE"),DATA_QUALITE!T4674,IF(DATA_QUALITE!V4674&lt;&gt;"-",DATA_QUALITE!V4674,DATA_CLEANED!AN188))))</f>
        <v>Argentina</v>
      </c>
      <c r="BH197" s="103" t="str">
        <f>IF(AND(BG197="MATCH NUL",DATA_CLEANED!AO188="-"),"MATCH_NUL",IF(ISNUMBER(SEARCH("win on penalties",W4674)),"WIN_BY_PENALTY",IF(ISNUMBER(SEARCH("win after extra time",W4674)),"WIN_BY_EXTRA_TIME",IF(ISNUMBER(SEARCH("Golden Goal",W4674)),"WIN_BY_GOLDEN_GOAL","WIN_BY_SCORE"))))</f>
        <v>WIN_BY_SCORE</v>
      </c>
      <c r="BI197" s="99" t="str">
        <f>IF(OR(BG197=DATA_CLEANED!AK188,BG197=DATA_CLEANED!AN188,BG197="MATCH NUL"),"OK","ERREUR")</f>
        <v>OK</v>
      </c>
    </row>
    <row r="198" spans="2:61">
      <c r="B198" s="74">
        <v>1998</v>
      </c>
      <c r="C198" s="30" t="str">
        <v>Quarter-finals</v>
      </c>
      <c r="D198" s="30" t="str">
        <v>Italy</v>
      </c>
      <c r="E198" s="30" t="str">
        <v>France</v>
      </c>
      <c r="F198" s="30" t="str">
        <v>France</v>
      </c>
      <c r="G198" s="30" t="str">
        <v>Zinedine Zidane</v>
      </c>
      <c r="H198" s="30" t="str">
        <v>Gianluca Pagliuca</v>
      </c>
      <c r="I198" s="30">
        <v>1</v>
      </c>
      <c r="J198" s="30">
        <v>1</v>
      </c>
      <c r="K198" s="30" t="str">
        <v>'0-0</v>
      </c>
      <c r="L198" s="30" t="str">
        <v>No</v>
      </c>
      <c r="M198" s="30" t="str">
        <v>No</v>
      </c>
      <c r="N198" s="30" t="str">
        <v>Goal</v>
      </c>
      <c r="O198" s="30" t="str">
        <f t="shared" si="20"/>
        <v>1998|Quarter-finals|Italy|France|France|Zinedine Zidane|Gianluca Pagliuca|1|1|'0-0|No|No|Goal</v>
      </c>
      <c r="P198" s="96" t="str">
        <f>IF(COUNTIF($G$32:O198,O198)&gt;1,"DOUBLON","OK")</f>
        <v>OK</v>
      </c>
      <c r="R198" s="23" t="s">
        <v>3686</v>
      </c>
      <c r="S198" s="30" t="str">
        <v>Spain</v>
      </c>
      <c r="T198" s="30" t="str">
        <f t="shared" si="23"/>
        <v>OK</v>
      </c>
      <c r="U198" s="30" t="str">
        <f t="shared" si="24"/>
        <v>-</v>
      </c>
      <c r="V198" s="30" t="str" cm="1">
        <f t="array" ref="V198">_xlfn.IFS(
ISNUMBER(SEARCH("USA",S198)),"United States",
ISNUMBER(SEARCH("Republic of Korea",S198)),"South Korea",
ISNUMBER(SEARCH("Cape Verde",S198)),"Cabo Verde",
ISNUMBER(SEARCH("Czechia",S198)),"Czech Republic",
ISNUMBER(SEARCH("Türkiye",S198)),"Turkey",
ISNUMBER(SEARCH("Ivory Coast",S198)),"Côte d'Ivoire",
ISNUMBER(SEARCH("Korea Republic",S198)),"South Korea",
ISNUMBER(SEARCH("Germany FR",S198)),"FR Germany",
ISNUMBER(SEARCH("West Germany",S198)),"FR Germany",
ISNUMBER(SEARCH("Germany DR",S198)),"DR Germany",
ISNUMBER(SEARCH("Korea DPR",S198)),"North Korea",
ISNUMBER(SEARCH("China PR",S198)),"China",
ISNUMBER(SEARCH("IR Iran",S198)),"Iran",
ISNUMBER(SEARCH("Congo DR",S198)),"Democratic Republic of the Congo",
ISNUMBER(SEARCH("DR Congo",S198)),"Democratic Republic of the Congo",
ISNUMBER(SEARCH("German DR",S198)),"DR Germany",
ISNUMBER(SEARCH("rn""&gt;United Arab Emirates",S198)),"United Arab Emirates",
ISNUMBER(SEARCH("rn""&gt;Republic of Ireland",S198)),"Ireland",
ISNUMBER(SEARCH("rn""&gt;Bosnia and Herzegovina",S198)),"Bosnia and Herzegovina",
ISNUMBER(SEARCH("rn""&gt;Trinidad and Tobago",S198)),"Trinidad and Tobago",
ISNUMBER(SEARCH("rn""&gt;Serbia and Montenegro",S198)),"Serbia and Montenegro",
ISNUMBER(SEARCH(_xlfn.UNICHAR(65533),S198)),"Côte d'Ivoire",
TRUE,""
)</f>
        <v/>
      </c>
      <c r="W198" s="30" t="str">
        <f t="shared" si="19"/>
        <v>Spain</v>
      </c>
      <c r="Z198" s="40" t="str">
        <v>Estadio El Teniente-Codelco</v>
      </c>
      <c r="AA198" s="40" t="str" cm="1">
        <f t="array" ref="AA198">IFERROR(_xlfn.XLOOKUP(Z198,_xlfn.ANCHORARRAY(Z$31),AA$31:AA$37),Z198)</f>
        <v>Estadio El Teniente-Codelco</v>
      </c>
      <c r="AB198" s="42" t="str">
        <v xml:space="preserve">Rancagua </v>
      </c>
      <c r="AC198" s="89" t="str">
        <f t="shared" si="22"/>
        <v xml:space="preserve">Rancagua </v>
      </c>
      <c r="AE198" s="42">
        <v>1958</v>
      </c>
      <c r="AK198" s="42">
        <v>3</v>
      </c>
      <c r="AL198" s="42">
        <v>1</v>
      </c>
      <c r="AV198" s="37" t="str">
        <v>ROUND_OF_16</v>
      </c>
      <c r="AW198" s="89" t="str">
        <v>GROUP_STAGE</v>
      </c>
      <c r="BE198" s="43" t="str">
        <f>IF(OR(DATA_CLEANED!AL189="",DATA_CLEANED!AM189=""),"MANQUANT",IF(OR(NOT(ISNUMBER(DATA_CLEANED!AL189)),NOT(ISNUMBER(DATA_CLEANED!AM189))),"ENTREE INVALIDE",IF(OR(DATA_CLEANED!AL189&lt;0,DATA_CLEANED!AM189&lt;0),"SCORE NEGATIF","OK")))</f>
        <v>OK</v>
      </c>
      <c r="BF198" s="43" t="str">
        <f>IF(DATA_CLEANED!AK189&lt;&gt;DATA_CLEANED!AN189,"OK","ERREUR")</f>
        <v>OK</v>
      </c>
      <c r="BG198" s="43" t="str">
        <f>IF(DATA_CLEANED!AL189&gt;DATA_CLEANED!AM189,DATA_CLEANED!AK189,IF(AND(DATA_QUALITE!W4675="-",DATA_CLEANED!AM189=DATA_CLEANED!AL189),"MATCH NUL",IF(AND(DATA_QUALITE!V4675="-",DATA_QUALITE!U4675="AUCUNE"),DATA_QUALITE!T4675,IF(DATA_QUALITE!V4675&lt;&gt;"-",DATA_QUALITE!V4675,DATA_CLEANED!AN189))))</f>
        <v>Portugal</v>
      </c>
      <c r="BH198" s="103" t="str">
        <f>IF(AND(BG198="MATCH NUL",DATA_CLEANED!AO189="-"),"MATCH_NUL",IF(ISNUMBER(SEARCH("win on penalties",W4675)),"WIN_BY_PENALTY",IF(ISNUMBER(SEARCH("win after extra time",W4675)),"WIN_BY_EXTRA_TIME",IF(ISNUMBER(SEARCH("Golden Goal",W4675)),"WIN_BY_GOLDEN_GOAL","WIN_BY_SCORE"))))</f>
        <v>WIN_BY_SCORE</v>
      </c>
      <c r="BI198" s="99" t="str">
        <f>IF(OR(BG198=DATA_CLEANED!AK189,BG198=DATA_CLEANED!AN189,BG198="MATCH NUL"),"OK","ERREUR")</f>
        <v>OK</v>
      </c>
    </row>
    <row r="199" spans="2:61">
      <c r="B199" s="74">
        <v>1998</v>
      </c>
      <c r="C199" s="30" t="str">
        <v>Quarter-finals</v>
      </c>
      <c r="D199" s="30" t="str">
        <v>Italy</v>
      </c>
      <c r="E199" s="30" t="str">
        <v>France</v>
      </c>
      <c r="F199" s="30" t="str">
        <v>Italy</v>
      </c>
      <c r="G199" s="30" t="str">
        <v>Roberto Baggio</v>
      </c>
      <c r="H199" s="30" t="str">
        <v>Fabien Barthez</v>
      </c>
      <c r="I199" s="30">
        <v>2</v>
      </c>
      <c r="J199" s="30">
        <v>1</v>
      </c>
      <c r="K199" s="30" t="str">
        <v>'0-1</v>
      </c>
      <c r="L199" s="30" t="str">
        <v>No</v>
      </c>
      <c r="M199" s="30" t="str">
        <v>No</v>
      </c>
      <c r="N199" s="30" t="str">
        <v>Goal</v>
      </c>
      <c r="O199" s="30" t="str">
        <f t="shared" si="20"/>
        <v>1998|Quarter-finals|Italy|France|Italy|Roberto Baggio|Fabien Barthez|2|1|'0-1|No|No|Goal</v>
      </c>
      <c r="P199" s="96" t="str">
        <f>IF(COUNTIF($G$32:O199,O199)&gt;1,"DOUBLON","OK")</f>
        <v>OK</v>
      </c>
      <c r="R199" s="23" t="s">
        <v>3687</v>
      </c>
      <c r="S199" s="30" t="str">
        <v>Spain</v>
      </c>
      <c r="T199" s="30" t="str">
        <f t="shared" si="23"/>
        <v>OK</v>
      </c>
      <c r="U199" s="30" t="str">
        <f t="shared" si="24"/>
        <v>-</v>
      </c>
      <c r="V199" s="30" t="str" cm="1">
        <f t="array" ref="V199">_xlfn.IFS(
ISNUMBER(SEARCH("USA",S199)),"United States",
ISNUMBER(SEARCH("Republic of Korea",S199)),"South Korea",
ISNUMBER(SEARCH("Cape Verde",S199)),"Cabo Verde",
ISNUMBER(SEARCH("Czechia",S199)),"Czech Republic",
ISNUMBER(SEARCH("Türkiye",S199)),"Turkey",
ISNUMBER(SEARCH("Ivory Coast",S199)),"Côte d'Ivoire",
ISNUMBER(SEARCH("Korea Republic",S199)),"South Korea",
ISNUMBER(SEARCH("Germany FR",S199)),"FR Germany",
ISNUMBER(SEARCH("West Germany",S199)),"FR Germany",
ISNUMBER(SEARCH("Germany DR",S199)),"DR Germany",
ISNUMBER(SEARCH("Korea DPR",S199)),"North Korea",
ISNUMBER(SEARCH("China PR",S199)),"China",
ISNUMBER(SEARCH("IR Iran",S199)),"Iran",
ISNUMBER(SEARCH("Congo DR",S199)),"Democratic Republic of the Congo",
ISNUMBER(SEARCH("DR Congo",S199)),"Democratic Republic of the Congo",
ISNUMBER(SEARCH("German DR",S199)),"DR Germany",
ISNUMBER(SEARCH("rn""&gt;United Arab Emirates",S199)),"United Arab Emirates",
ISNUMBER(SEARCH("rn""&gt;Republic of Ireland",S199)),"Ireland",
ISNUMBER(SEARCH("rn""&gt;Bosnia and Herzegovina",S199)),"Bosnia and Herzegovina",
ISNUMBER(SEARCH("rn""&gt;Trinidad and Tobago",S199)),"Trinidad and Tobago",
ISNUMBER(SEARCH("rn""&gt;Serbia and Montenegro",S199)),"Serbia and Montenegro",
ISNUMBER(SEARCH(_xlfn.UNICHAR(65533),S199)),"Côte d'Ivoire",
TRUE,""
)</f>
        <v/>
      </c>
      <c r="W199" s="30" t="str">
        <f t="shared" si="19"/>
        <v>Spain</v>
      </c>
      <c r="Z199" s="40" t="str">
        <v>Nacional</v>
      </c>
      <c r="AA199" s="40" t="str" cm="1">
        <f t="array" ref="AA199">IFERROR(_xlfn.XLOOKUP(Z199,_xlfn.ANCHORARRAY(Z$31),AA$31:AA$37),Z199)</f>
        <v>Nacional</v>
      </c>
      <c r="AB199" s="42" t="str">
        <v xml:space="preserve">Santiago De Chile </v>
      </c>
      <c r="AC199" s="89" t="str">
        <f t="shared" si="22"/>
        <v xml:space="preserve">Santiago De Chile </v>
      </c>
      <c r="AE199" s="42">
        <v>1958</v>
      </c>
      <c r="AK199" s="42">
        <v>2</v>
      </c>
      <c r="AL199" s="42">
        <v>1</v>
      </c>
      <c r="AV199" s="37" t="str">
        <v>ROUND_OF_16</v>
      </c>
      <c r="AW199" s="89" t="str">
        <v>GROUP_STAGE</v>
      </c>
      <c r="BE199" s="43" t="str">
        <f>IF(OR(DATA_CLEANED!AL190="",DATA_CLEANED!AM190=""),"MANQUANT",IF(OR(NOT(ISNUMBER(DATA_CLEANED!AL190)),NOT(ISNUMBER(DATA_CLEANED!AM190))),"ENTREE INVALIDE",IF(OR(DATA_CLEANED!AL190&lt;0,DATA_CLEANED!AM190&lt;0),"SCORE NEGATIF","OK")))</f>
        <v>OK</v>
      </c>
      <c r="BF199" s="43" t="str">
        <f>IF(DATA_CLEANED!AK190&lt;&gt;DATA_CLEANED!AN190,"OK","ERREUR")</f>
        <v>OK</v>
      </c>
      <c r="BG199" s="43" t="str">
        <f>IF(DATA_CLEANED!AL190&gt;DATA_CLEANED!AM190,DATA_CLEANED!AK190,IF(AND(DATA_QUALITE!W4676="-",DATA_CLEANED!AM190=DATA_CLEANED!AL190),"MATCH NUL",IF(AND(DATA_QUALITE!V4676="-",DATA_QUALITE!U4676="AUCUNE"),DATA_QUALITE!T4676,IF(DATA_QUALITE!V4676&lt;&gt;"-",DATA_QUALITE!V4676,DATA_CLEANED!AN190))))</f>
        <v>North Korea</v>
      </c>
      <c r="BH199" s="103" t="str">
        <f>IF(AND(BG199="MATCH NUL",DATA_CLEANED!AO190="-"),"MATCH_NUL",IF(ISNUMBER(SEARCH("win on penalties",W4676)),"WIN_BY_PENALTY",IF(ISNUMBER(SEARCH("win after extra time",W4676)),"WIN_BY_EXTRA_TIME",IF(ISNUMBER(SEARCH("Golden Goal",W4676)),"WIN_BY_GOLDEN_GOAL","WIN_BY_SCORE"))))</f>
        <v>WIN_BY_SCORE</v>
      </c>
      <c r="BI199" s="99" t="str">
        <f>IF(OR(BG199=DATA_CLEANED!AK190,BG199=DATA_CLEANED!AN190,BG199="MATCH NUL"),"OK","ERREUR")</f>
        <v>OK</v>
      </c>
    </row>
    <row r="200" spans="2:61">
      <c r="B200" s="74">
        <v>1998</v>
      </c>
      <c r="C200" s="30" t="str">
        <v>Quarter-finals</v>
      </c>
      <c r="D200" s="30" t="str">
        <v>Italy</v>
      </c>
      <c r="E200" s="30" t="str">
        <v>France</v>
      </c>
      <c r="F200" s="30" t="str">
        <v>France</v>
      </c>
      <c r="G200" s="30" t="str">
        <v>Bixente Lizarazu</v>
      </c>
      <c r="H200" s="30" t="str">
        <v>Gianluca Pagliuca</v>
      </c>
      <c r="I200" s="30">
        <v>3</v>
      </c>
      <c r="J200" s="30">
        <v>2</v>
      </c>
      <c r="K200" s="30" t="str">
        <v>'1-1</v>
      </c>
      <c r="L200" s="30" t="str">
        <v>No</v>
      </c>
      <c r="M200" s="30" t="str">
        <v>No</v>
      </c>
      <c r="N200" s="30" t="str">
        <v>Saved</v>
      </c>
      <c r="O200" s="30" t="str">
        <f t="shared" si="20"/>
        <v>1998|Quarter-finals|Italy|France|France|Bixente Lizarazu|Gianluca Pagliuca|3|2|'1-1|No|No|Saved</v>
      </c>
      <c r="P200" s="96" t="str">
        <f>IF(COUNTIF($G$32:O200,O200)&gt;1,"DOUBLON","OK")</f>
        <v>OK</v>
      </c>
      <c r="R200" s="23" t="s">
        <v>56</v>
      </c>
      <c r="S200" s="30" t="str">
        <v>Spain</v>
      </c>
      <c r="T200" s="30" t="str">
        <f t="shared" si="23"/>
        <v>OK</v>
      </c>
      <c r="U200" s="30" t="str">
        <f t="shared" si="24"/>
        <v>-</v>
      </c>
      <c r="V200" s="30" t="str" cm="1">
        <f t="array" ref="V200">_xlfn.IFS(
ISNUMBER(SEARCH("USA",S200)),"United States",
ISNUMBER(SEARCH("Republic of Korea",S200)),"South Korea",
ISNUMBER(SEARCH("Cape Verde",S200)),"Cabo Verde",
ISNUMBER(SEARCH("Czechia",S200)),"Czech Republic",
ISNUMBER(SEARCH("Türkiye",S200)),"Turkey",
ISNUMBER(SEARCH("Ivory Coast",S200)),"Côte d'Ivoire",
ISNUMBER(SEARCH("Korea Republic",S200)),"South Korea",
ISNUMBER(SEARCH("Germany FR",S200)),"FR Germany",
ISNUMBER(SEARCH("West Germany",S200)),"FR Germany",
ISNUMBER(SEARCH("Germany DR",S200)),"DR Germany",
ISNUMBER(SEARCH("Korea DPR",S200)),"North Korea",
ISNUMBER(SEARCH("China PR",S200)),"China",
ISNUMBER(SEARCH("IR Iran",S200)),"Iran",
ISNUMBER(SEARCH("Congo DR",S200)),"Democratic Republic of the Congo",
ISNUMBER(SEARCH("DR Congo",S200)),"Democratic Republic of the Congo",
ISNUMBER(SEARCH("German DR",S200)),"DR Germany",
ISNUMBER(SEARCH("rn""&gt;United Arab Emirates",S200)),"United Arab Emirates",
ISNUMBER(SEARCH("rn""&gt;Republic of Ireland",S200)),"Ireland",
ISNUMBER(SEARCH("rn""&gt;Bosnia and Herzegovina",S200)),"Bosnia and Herzegovina",
ISNUMBER(SEARCH("rn""&gt;Trinidad and Tobago",S200)),"Trinidad and Tobago",
ISNUMBER(SEARCH("rn""&gt;Serbia and Montenegro",S200)),"Serbia and Montenegro",
ISNUMBER(SEARCH(_xlfn.UNICHAR(65533),S200)),"Côte d'Ivoire",
TRUE,""
)</f>
        <v/>
      </c>
      <c r="W200" s="30" t="str">
        <f t="shared" si="19"/>
        <v>Spain</v>
      </c>
      <c r="Z200" s="40" t="str">
        <v>Carlos Dittborn</v>
      </c>
      <c r="AA200" s="40" t="str" cm="1">
        <f t="array" ref="AA200">IFERROR(_xlfn.XLOOKUP(Z200,_xlfn.ANCHORARRAY(Z$31),AA$31:AA$37),Z200)</f>
        <v>Carlos Dittborn</v>
      </c>
      <c r="AB200" s="42" t="str">
        <v xml:space="preserve">Arica </v>
      </c>
      <c r="AC200" s="89" t="str">
        <f t="shared" si="22"/>
        <v xml:space="preserve">Arica </v>
      </c>
      <c r="AE200" s="42">
        <v>1958</v>
      </c>
      <c r="AK200" s="42">
        <v>0</v>
      </c>
      <c r="AL200" s="42">
        <v>0</v>
      </c>
      <c r="AV200" s="37" t="str">
        <v>ROUND_OF_16</v>
      </c>
      <c r="AW200" s="89" t="str">
        <v>GROUP_STAGE</v>
      </c>
      <c r="BE200" s="43" t="str">
        <f>IF(OR(DATA_CLEANED!AL191="",DATA_CLEANED!AM191=""),"MANQUANT",IF(OR(NOT(ISNUMBER(DATA_CLEANED!AL191)),NOT(ISNUMBER(DATA_CLEANED!AM191))),"ENTREE INVALIDE",IF(OR(DATA_CLEANED!AL191&lt;0,DATA_CLEANED!AM191&lt;0),"SCORE NEGATIF","OK")))</f>
        <v>OK</v>
      </c>
      <c r="BF200" s="43" t="str">
        <f>IF(DATA_CLEANED!AK191&lt;&gt;DATA_CLEANED!AN191,"OK","ERREUR")</f>
        <v>OK</v>
      </c>
      <c r="BG200" s="43" t="str">
        <f>IF(DATA_CLEANED!AL191&gt;DATA_CLEANED!AM191,DATA_CLEANED!AK191,IF(AND(DATA_QUALITE!W4677="-",DATA_CLEANED!AM191=DATA_CLEANED!AL191),"MATCH NUL",IF(AND(DATA_QUALITE!V4677="-",DATA_QUALITE!U4677="AUCUNE"),DATA_QUALITE!T4677,IF(DATA_QUALITE!V4677&lt;&gt;"-",DATA_QUALITE!V4677,DATA_CLEANED!AN191))))</f>
        <v>England</v>
      </c>
      <c r="BH200" s="103" t="str">
        <f>IF(AND(BG200="MATCH NUL",DATA_CLEANED!AO191="-"),"MATCH_NUL",IF(ISNUMBER(SEARCH("win on penalties",W4677)),"WIN_BY_PENALTY",IF(ISNUMBER(SEARCH("win after extra time",W4677)),"WIN_BY_EXTRA_TIME",IF(ISNUMBER(SEARCH("Golden Goal",W4677)),"WIN_BY_GOLDEN_GOAL","WIN_BY_SCORE"))))</f>
        <v>WIN_BY_SCORE</v>
      </c>
      <c r="BI200" s="99" t="str">
        <f>IF(OR(BG200=DATA_CLEANED!AK191,BG200=DATA_CLEANED!AN191,BG200="MATCH NUL"),"OK","ERREUR")</f>
        <v>OK</v>
      </c>
    </row>
    <row r="201" spans="2:61">
      <c r="B201" s="74">
        <v>1998</v>
      </c>
      <c r="C201" s="30" t="str">
        <v>Quarter-finals</v>
      </c>
      <c r="D201" s="30" t="str">
        <v>Italy</v>
      </c>
      <c r="E201" s="30" t="str">
        <v>France</v>
      </c>
      <c r="F201" s="30" t="str">
        <v>Italy</v>
      </c>
      <c r="G201" s="30" t="str">
        <v>Demetrio Albertini</v>
      </c>
      <c r="H201" s="30" t="str">
        <v>Fabien Barthez</v>
      </c>
      <c r="I201" s="30">
        <v>4</v>
      </c>
      <c r="J201" s="30">
        <v>2</v>
      </c>
      <c r="K201" s="30" t="str">
        <v>'1-1</v>
      </c>
      <c r="L201" s="30" t="str">
        <v>No</v>
      </c>
      <c r="M201" s="30" t="str">
        <v>No</v>
      </c>
      <c r="N201" s="30" t="str">
        <v>Saved</v>
      </c>
      <c r="O201" s="30" t="str">
        <f t="shared" si="20"/>
        <v>1998|Quarter-finals|Italy|France|Italy|Demetrio Albertini|Fabien Barthez|4|2|'1-1|No|No|Saved</v>
      </c>
      <c r="P201" s="96" t="str">
        <f>IF(COUNTIF($G$32:O201,O201)&gt;1,"DOUBLON","OK")</f>
        <v>OK</v>
      </c>
      <c r="R201" s="23" t="s">
        <v>65</v>
      </c>
      <c r="S201" s="30" t="str">
        <v>Spain</v>
      </c>
      <c r="T201" s="30" t="str">
        <f t="shared" si="23"/>
        <v>OK</v>
      </c>
      <c r="U201" s="30" t="str">
        <f t="shared" si="24"/>
        <v>-</v>
      </c>
      <c r="V201" s="30" t="str" cm="1">
        <f t="array" ref="V201">_xlfn.IFS(
ISNUMBER(SEARCH("USA",S201)),"United States",
ISNUMBER(SEARCH("Republic of Korea",S201)),"South Korea",
ISNUMBER(SEARCH("Cape Verde",S201)),"Cabo Verde",
ISNUMBER(SEARCH("Czechia",S201)),"Czech Republic",
ISNUMBER(SEARCH("Türkiye",S201)),"Turkey",
ISNUMBER(SEARCH("Ivory Coast",S201)),"Côte d'Ivoire",
ISNUMBER(SEARCH("Korea Republic",S201)),"South Korea",
ISNUMBER(SEARCH("Germany FR",S201)),"FR Germany",
ISNUMBER(SEARCH("West Germany",S201)),"FR Germany",
ISNUMBER(SEARCH("Germany DR",S201)),"DR Germany",
ISNUMBER(SEARCH("Korea DPR",S201)),"North Korea",
ISNUMBER(SEARCH("China PR",S201)),"China",
ISNUMBER(SEARCH("IR Iran",S201)),"Iran",
ISNUMBER(SEARCH("Congo DR",S201)),"Democratic Republic of the Congo",
ISNUMBER(SEARCH("DR Congo",S201)),"Democratic Republic of the Congo",
ISNUMBER(SEARCH("German DR",S201)),"DR Germany",
ISNUMBER(SEARCH("rn""&gt;United Arab Emirates",S201)),"United Arab Emirates",
ISNUMBER(SEARCH("rn""&gt;Republic of Ireland",S201)),"Ireland",
ISNUMBER(SEARCH("rn""&gt;Bosnia and Herzegovina",S201)),"Bosnia and Herzegovina",
ISNUMBER(SEARCH("rn""&gt;Trinidad and Tobago",S201)),"Trinidad and Tobago",
ISNUMBER(SEARCH("rn""&gt;Serbia and Montenegro",S201)),"Serbia and Montenegro",
ISNUMBER(SEARCH(_xlfn.UNICHAR(65533),S201)),"Côte d'Ivoire",
TRUE,""
)</f>
        <v/>
      </c>
      <c r="W201" s="30" t="str">
        <f t="shared" si="19"/>
        <v>Spain</v>
      </c>
      <c r="Z201" s="40" t="str">
        <v>Estadio Sausalito</v>
      </c>
      <c r="AA201" s="40" t="str" cm="1">
        <f t="array" ref="AA201">IFERROR(_xlfn.XLOOKUP(Z201,_xlfn.ANCHORARRAY(Z$31),AA$31:AA$37),Z201)</f>
        <v>Estadio Sausalito</v>
      </c>
      <c r="AB201" s="42" t="str">
        <v xml:space="preserve">Vina Del Mar </v>
      </c>
      <c r="AC201" s="89" t="str">
        <f t="shared" si="22"/>
        <v xml:space="preserve">Vina Del Mar </v>
      </c>
      <c r="AE201" s="42">
        <v>1958</v>
      </c>
      <c r="AK201" s="42">
        <v>2</v>
      </c>
      <c r="AL201" s="42">
        <v>0</v>
      </c>
      <c r="AV201" s="37" t="str">
        <v>ROUND_OF_16</v>
      </c>
      <c r="AW201" s="89" t="str">
        <v>GROUP_STAGE</v>
      </c>
      <c r="BE201" s="43" t="str">
        <f>IF(OR(DATA_CLEANED!AL192="",DATA_CLEANED!AM192=""),"MANQUANT",IF(OR(NOT(ISNUMBER(DATA_CLEANED!AL192)),NOT(ISNUMBER(DATA_CLEANED!AM192))),"ENTREE INVALIDE",IF(OR(DATA_CLEANED!AL192&lt;0,DATA_CLEANED!AM192&lt;0),"SCORE NEGATIF","OK")))</f>
        <v>OK</v>
      </c>
      <c r="BF201" s="43" t="str">
        <f>IF(DATA_CLEANED!AK192&lt;&gt;DATA_CLEANED!AN192,"OK","ERREUR")</f>
        <v>OK</v>
      </c>
      <c r="BG201" s="43" t="str">
        <f>IF(DATA_CLEANED!AL192&gt;DATA_CLEANED!AM192,DATA_CLEANED!AK192,IF(AND(DATA_QUALITE!W4678="-",DATA_CLEANED!AM192=DATA_CLEANED!AL192),"MATCH NUL",IF(AND(DATA_QUALITE!V4678="-",DATA_QUALITE!U4678="AUCUNE"),DATA_QUALITE!T4678,IF(DATA_QUALITE!V4678&lt;&gt;"-",DATA_QUALITE!V4678,DATA_CLEANED!AN192))))</f>
        <v>Hungary</v>
      </c>
      <c r="BH201" s="103" t="str">
        <f>IF(AND(BG201="MATCH NUL",DATA_CLEANED!AO192="-"),"MATCH_NUL",IF(ISNUMBER(SEARCH("win on penalties",W4678)),"WIN_BY_PENALTY",IF(ISNUMBER(SEARCH("win after extra time",W4678)),"WIN_BY_EXTRA_TIME",IF(ISNUMBER(SEARCH("Golden Goal",W4678)),"WIN_BY_GOLDEN_GOAL","WIN_BY_SCORE"))))</f>
        <v>WIN_BY_SCORE</v>
      </c>
      <c r="BI201" s="99" t="str">
        <f>IF(OR(BG201=DATA_CLEANED!AK192,BG201=DATA_CLEANED!AN192,BG201="MATCH NUL"),"OK","ERREUR")</f>
        <v>OK</v>
      </c>
    </row>
    <row r="202" spans="2:61">
      <c r="B202" s="74">
        <v>1998</v>
      </c>
      <c r="C202" s="30" t="str">
        <v>Quarter-finals</v>
      </c>
      <c r="D202" s="30" t="str">
        <v>Italy</v>
      </c>
      <c r="E202" s="30" t="str">
        <v>France</v>
      </c>
      <c r="F202" s="30" t="str">
        <v>France</v>
      </c>
      <c r="G202" s="30" t="str">
        <v>David Trezeguet</v>
      </c>
      <c r="H202" s="30" t="str">
        <v>Gianluca Pagliuca</v>
      </c>
      <c r="I202" s="30">
        <v>5</v>
      </c>
      <c r="J202" s="30">
        <v>3</v>
      </c>
      <c r="K202" s="30" t="str">
        <v>'1-1</v>
      </c>
      <c r="L202" s="30" t="str">
        <v>No</v>
      </c>
      <c r="M202" s="30" t="str">
        <v>No</v>
      </c>
      <c r="N202" s="30" t="str">
        <v>Goal</v>
      </c>
      <c r="O202" s="30" t="str">
        <f t="shared" si="20"/>
        <v>1998|Quarter-finals|Italy|France|France|David Trezeguet|Gianluca Pagliuca|5|3|'1-1|No|No|Goal</v>
      </c>
      <c r="P202" s="96" t="str">
        <f>IF(COUNTIF($G$32:O202,O202)&gt;1,"DOUBLON","OK")</f>
        <v>OK</v>
      </c>
      <c r="R202" s="23" t="s">
        <v>75</v>
      </c>
      <c r="S202" s="30" t="str">
        <v>Spain</v>
      </c>
      <c r="T202" s="30" t="str">
        <f t="shared" si="23"/>
        <v>OK</v>
      </c>
      <c r="U202" s="30" t="str">
        <f t="shared" si="24"/>
        <v>-</v>
      </c>
      <c r="V202" s="30" t="str" cm="1">
        <f t="array" ref="V202">_xlfn.IFS(
ISNUMBER(SEARCH("USA",S202)),"United States",
ISNUMBER(SEARCH("Republic of Korea",S202)),"South Korea",
ISNUMBER(SEARCH("Cape Verde",S202)),"Cabo Verde",
ISNUMBER(SEARCH("Czechia",S202)),"Czech Republic",
ISNUMBER(SEARCH("Türkiye",S202)),"Turkey",
ISNUMBER(SEARCH("Ivory Coast",S202)),"Côte d'Ivoire",
ISNUMBER(SEARCH("Korea Republic",S202)),"South Korea",
ISNUMBER(SEARCH("Germany FR",S202)),"FR Germany",
ISNUMBER(SEARCH("West Germany",S202)),"FR Germany",
ISNUMBER(SEARCH("Germany DR",S202)),"DR Germany",
ISNUMBER(SEARCH("Korea DPR",S202)),"North Korea",
ISNUMBER(SEARCH("China PR",S202)),"China",
ISNUMBER(SEARCH("IR Iran",S202)),"Iran",
ISNUMBER(SEARCH("Congo DR",S202)),"Democratic Republic of the Congo",
ISNUMBER(SEARCH("DR Congo",S202)),"Democratic Republic of the Congo",
ISNUMBER(SEARCH("German DR",S202)),"DR Germany",
ISNUMBER(SEARCH("rn""&gt;United Arab Emirates",S202)),"United Arab Emirates",
ISNUMBER(SEARCH("rn""&gt;Republic of Ireland",S202)),"Ireland",
ISNUMBER(SEARCH("rn""&gt;Bosnia and Herzegovina",S202)),"Bosnia and Herzegovina",
ISNUMBER(SEARCH("rn""&gt;Trinidad and Tobago",S202)),"Trinidad and Tobago",
ISNUMBER(SEARCH("rn""&gt;Serbia and Montenegro",S202)),"Serbia and Montenegro",
ISNUMBER(SEARCH(_xlfn.UNICHAR(65533),S202)),"Côte d'Ivoire",
TRUE,""
)</f>
        <v/>
      </c>
      <c r="W202" s="30" t="str">
        <f t="shared" si="19"/>
        <v>Spain</v>
      </c>
      <c r="Z202" s="40" t="str">
        <v>Estadio El Teniente-Codelco</v>
      </c>
      <c r="AA202" s="40" t="str" cm="1">
        <f t="array" ref="AA202">IFERROR(_xlfn.XLOOKUP(Z202,_xlfn.ANCHORARRAY(Z$31),AA$31:AA$37),Z202)</f>
        <v>Estadio El Teniente-Codelco</v>
      </c>
      <c r="AB202" s="42" t="str">
        <v xml:space="preserve">Rancagua </v>
      </c>
      <c r="AC202" s="89" t="str">
        <f t="shared" si="22"/>
        <v xml:space="preserve">Rancagua </v>
      </c>
      <c r="AE202" s="42">
        <v>1958</v>
      </c>
      <c r="AK202" s="42">
        <v>2</v>
      </c>
      <c r="AL202" s="42">
        <v>2</v>
      </c>
      <c r="AV202" s="37" t="str">
        <v>ROUND_OF_16</v>
      </c>
      <c r="AW202" s="89" t="str">
        <v>GROUP_STAGE</v>
      </c>
      <c r="BE202" s="43" t="str">
        <f>IF(OR(DATA_CLEANED!AL193="",DATA_CLEANED!AM193=""),"MANQUANT",IF(OR(NOT(ISNUMBER(DATA_CLEANED!AL193)),NOT(ISNUMBER(DATA_CLEANED!AM193))),"ENTREE INVALIDE",IF(OR(DATA_CLEANED!AL193&lt;0,DATA_CLEANED!AM193&lt;0),"SCORE NEGATIF","OK")))</f>
        <v>OK</v>
      </c>
      <c r="BF202" s="43" t="str">
        <f>IF(DATA_CLEANED!AK193&lt;&gt;DATA_CLEANED!AN193,"OK","ERREUR")</f>
        <v>OK</v>
      </c>
      <c r="BG202" s="43" t="str">
        <f>IF(DATA_CLEANED!AL193&gt;DATA_CLEANED!AM193,DATA_CLEANED!AK193,IF(AND(DATA_QUALITE!W4679="-",DATA_CLEANED!AM193=DATA_CLEANED!AL193),"MATCH NUL",IF(AND(DATA_QUALITE!V4679="-",DATA_QUALITE!U4679="AUCUNE"),DATA_QUALITE!T4679,IF(DATA_QUALITE!V4679&lt;&gt;"-",DATA_QUALITE!V4679,DATA_CLEANED!AN193))))</f>
        <v>FR Germany</v>
      </c>
      <c r="BH202" s="103" t="str">
        <f>IF(AND(BG202="MATCH NUL",DATA_CLEANED!AO193="-"),"MATCH_NUL",IF(ISNUMBER(SEARCH("win on penalties",W4679)),"WIN_BY_PENALTY",IF(ISNUMBER(SEARCH("win after extra time",W4679)),"WIN_BY_EXTRA_TIME",IF(ISNUMBER(SEARCH("Golden Goal",W4679)),"WIN_BY_GOLDEN_GOAL","WIN_BY_SCORE"))))</f>
        <v>WIN_BY_SCORE</v>
      </c>
      <c r="BI202" s="99" t="str">
        <f>IF(OR(BG202=DATA_CLEANED!AK193,BG202=DATA_CLEANED!AN193,BG202="MATCH NUL"),"OK","ERREUR")</f>
        <v>OK</v>
      </c>
    </row>
    <row r="203" spans="2:61">
      <c r="B203" s="74">
        <v>1998</v>
      </c>
      <c r="C203" s="30" t="str">
        <v>Quarter-finals</v>
      </c>
      <c r="D203" s="30" t="str">
        <v>Italy</v>
      </c>
      <c r="E203" s="30" t="str">
        <v>France</v>
      </c>
      <c r="F203" s="30" t="str">
        <v>Italy</v>
      </c>
      <c r="G203" s="30" t="str">
        <v>Alessandro Costacurta</v>
      </c>
      <c r="H203" s="30" t="str">
        <v>Fabien Barthez</v>
      </c>
      <c r="I203" s="30">
        <v>6</v>
      </c>
      <c r="J203" s="30">
        <v>3</v>
      </c>
      <c r="K203" s="30" t="str">
        <v>'2-1</v>
      </c>
      <c r="L203" s="30" t="str">
        <v>No</v>
      </c>
      <c r="M203" s="30" t="str">
        <v>No</v>
      </c>
      <c r="N203" s="30" t="str">
        <v>Goal</v>
      </c>
      <c r="O203" s="30" t="str">
        <f t="shared" si="20"/>
        <v>1998|Quarter-finals|Italy|France|Italy|Alessandro Costacurta|Fabien Barthez|6|3|'2-1|No|No|Goal</v>
      </c>
      <c r="P203" s="96" t="str">
        <f>IF(COUNTIF($G$32:O203,O203)&gt;1,"DOUBLON","OK")</f>
        <v>OK</v>
      </c>
      <c r="R203" s="23" t="s">
        <v>3688</v>
      </c>
      <c r="S203" s="30" t="str">
        <v>Spain</v>
      </c>
      <c r="T203" s="30" t="str">
        <f t="shared" si="23"/>
        <v>OK</v>
      </c>
      <c r="U203" s="30" t="str">
        <f t="shared" si="24"/>
        <v>-</v>
      </c>
      <c r="V203" s="30" t="str" cm="1">
        <f t="array" ref="V203">_xlfn.IFS(
ISNUMBER(SEARCH("USA",S203)),"United States",
ISNUMBER(SEARCH("Republic of Korea",S203)),"South Korea",
ISNUMBER(SEARCH("Cape Verde",S203)),"Cabo Verde",
ISNUMBER(SEARCH("Czechia",S203)),"Czech Republic",
ISNUMBER(SEARCH("Türkiye",S203)),"Turkey",
ISNUMBER(SEARCH("Ivory Coast",S203)),"Côte d'Ivoire",
ISNUMBER(SEARCH("Korea Republic",S203)),"South Korea",
ISNUMBER(SEARCH("Germany FR",S203)),"FR Germany",
ISNUMBER(SEARCH("West Germany",S203)),"FR Germany",
ISNUMBER(SEARCH("Germany DR",S203)),"DR Germany",
ISNUMBER(SEARCH("Korea DPR",S203)),"North Korea",
ISNUMBER(SEARCH("China PR",S203)),"China",
ISNUMBER(SEARCH("IR Iran",S203)),"Iran",
ISNUMBER(SEARCH("Congo DR",S203)),"Democratic Republic of the Congo",
ISNUMBER(SEARCH("DR Congo",S203)),"Democratic Republic of the Congo",
ISNUMBER(SEARCH("German DR",S203)),"DR Germany",
ISNUMBER(SEARCH("rn""&gt;United Arab Emirates",S203)),"United Arab Emirates",
ISNUMBER(SEARCH("rn""&gt;Republic of Ireland",S203)),"Ireland",
ISNUMBER(SEARCH("rn""&gt;Bosnia and Herzegovina",S203)),"Bosnia and Herzegovina",
ISNUMBER(SEARCH("rn""&gt;Trinidad and Tobago",S203)),"Trinidad and Tobago",
ISNUMBER(SEARCH("rn""&gt;Serbia and Montenegro",S203)),"Serbia and Montenegro",
ISNUMBER(SEARCH(_xlfn.UNICHAR(65533),S203)),"Côte d'Ivoire",
TRUE,""
)</f>
        <v/>
      </c>
      <c r="W203" s="30" t="str">
        <f t="shared" si="19"/>
        <v>Spain</v>
      </c>
      <c r="Z203" s="40" t="str">
        <v>Nacional</v>
      </c>
      <c r="AA203" s="40" t="str" cm="1">
        <f t="array" ref="AA203">IFERROR(_xlfn.XLOOKUP(Z203,_xlfn.ANCHORARRAY(Z$31),AA$31:AA$37),Z203)</f>
        <v>Nacional</v>
      </c>
      <c r="AB203" s="42" t="str">
        <v xml:space="preserve">Santiago De Chile </v>
      </c>
      <c r="AC203" s="89" t="str">
        <f t="shared" si="22"/>
        <v xml:space="preserve">Santiago De Chile </v>
      </c>
      <c r="AE203" s="42">
        <v>1958</v>
      </c>
      <c r="AK203" s="42">
        <v>4</v>
      </c>
      <c r="AL203" s="42">
        <v>0</v>
      </c>
      <c r="AV203" s="37" t="str">
        <v>ROUND_OF_16</v>
      </c>
      <c r="AW203" s="89" t="str">
        <v>GROUP_STAGE</v>
      </c>
      <c r="BE203" s="43" t="str">
        <f>IF(OR(DATA_CLEANED!AL194="",DATA_CLEANED!AM194=""),"MANQUANT",IF(OR(NOT(ISNUMBER(DATA_CLEANED!AL194)),NOT(ISNUMBER(DATA_CLEANED!AM194))),"ENTREE INVALIDE",IF(OR(DATA_CLEANED!AL194&lt;0,DATA_CLEANED!AM194&lt;0),"SCORE NEGATIF","OK")))</f>
        <v>OK</v>
      </c>
      <c r="BF203" s="43" t="str">
        <f>IF(DATA_CLEANED!AK194&lt;&gt;DATA_CLEANED!AN194,"OK","ERREUR")</f>
        <v>OK</v>
      </c>
      <c r="BG203" s="43" t="str">
        <f>IF(DATA_CLEANED!AL194&gt;DATA_CLEANED!AM194,DATA_CLEANED!AK194,IF(AND(DATA_QUALITE!W4680="-",DATA_CLEANED!AM194=DATA_CLEANED!AL194),"MATCH NUL",IF(AND(DATA_QUALITE!V4680="-",DATA_QUALITE!U4680="AUCUNE"),DATA_QUALITE!T4680,IF(DATA_QUALITE!V4680&lt;&gt;"-",DATA_QUALITE!V4680,DATA_CLEANED!AN194))))</f>
        <v>Soviet Union</v>
      </c>
      <c r="BH203" s="103" t="str">
        <f>IF(AND(BG203="MATCH NUL",DATA_CLEANED!AO194="-"),"MATCH_NUL",IF(ISNUMBER(SEARCH("win on penalties",W4680)),"WIN_BY_PENALTY",IF(ISNUMBER(SEARCH("win after extra time",W4680)),"WIN_BY_EXTRA_TIME",IF(ISNUMBER(SEARCH("Golden Goal",W4680)),"WIN_BY_GOLDEN_GOAL","WIN_BY_SCORE"))))</f>
        <v>WIN_BY_SCORE</v>
      </c>
      <c r="BI203" s="99" t="str">
        <f>IF(OR(BG203=DATA_CLEANED!AK194,BG203=DATA_CLEANED!AN194,BG203="MATCH NUL"),"OK","ERREUR")</f>
        <v>OK</v>
      </c>
    </row>
    <row r="204" spans="2:61">
      <c r="B204" s="74">
        <v>1998</v>
      </c>
      <c r="C204" s="30" t="str">
        <v>Quarter-finals</v>
      </c>
      <c r="D204" s="30" t="str">
        <v>Italy</v>
      </c>
      <c r="E204" s="30" t="str">
        <v>France</v>
      </c>
      <c r="F204" s="30" t="str">
        <v>France</v>
      </c>
      <c r="G204" s="30" t="str">
        <v>Thierry Henry</v>
      </c>
      <c r="H204" s="30" t="str">
        <v>Gianluca Pagliuca</v>
      </c>
      <c r="I204" s="30">
        <v>7</v>
      </c>
      <c r="J204" s="30">
        <v>4</v>
      </c>
      <c r="K204" s="30" t="str">
        <v>'2-2</v>
      </c>
      <c r="L204" s="30" t="str">
        <v>No</v>
      </c>
      <c r="M204" s="30" t="str">
        <v>No</v>
      </c>
      <c r="N204" s="30" t="str">
        <v>Goal</v>
      </c>
      <c r="O204" s="30" t="str">
        <f t="shared" si="20"/>
        <v>1998|Quarter-finals|Italy|France|France|Thierry Henry|Gianluca Pagliuca|7|4|'2-2|No|No|Goal</v>
      </c>
      <c r="P204" s="96" t="str">
        <f>IF(COUNTIF($G$32:O204,O204)&gt;1,"DOUBLON","OK")</f>
        <v>OK</v>
      </c>
      <c r="R204" s="23" t="s">
        <v>3689</v>
      </c>
      <c r="S204" s="30" t="str">
        <v>Spain</v>
      </c>
      <c r="T204" s="30" t="str">
        <f t="shared" si="23"/>
        <v>OK</v>
      </c>
      <c r="U204" s="30" t="str">
        <f t="shared" si="24"/>
        <v>-</v>
      </c>
      <c r="V204" s="30" t="str" cm="1">
        <f t="array" ref="V204">_xlfn.IFS(
ISNUMBER(SEARCH("USA",S204)),"United States",
ISNUMBER(SEARCH("Republic of Korea",S204)),"South Korea",
ISNUMBER(SEARCH("Cape Verde",S204)),"Cabo Verde",
ISNUMBER(SEARCH("Czechia",S204)),"Czech Republic",
ISNUMBER(SEARCH("Türkiye",S204)),"Turkey",
ISNUMBER(SEARCH("Ivory Coast",S204)),"Côte d'Ivoire",
ISNUMBER(SEARCH("Korea Republic",S204)),"South Korea",
ISNUMBER(SEARCH("Germany FR",S204)),"FR Germany",
ISNUMBER(SEARCH("West Germany",S204)),"FR Germany",
ISNUMBER(SEARCH("Germany DR",S204)),"DR Germany",
ISNUMBER(SEARCH("Korea DPR",S204)),"North Korea",
ISNUMBER(SEARCH("China PR",S204)),"China",
ISNUMBER(SEARCH("IR Iran",S204)),"Iran",
ISNUMBER(SEARCH("Congo DR",S204)),"Democratic Republic of the Congo",
ISNUMBER(SEARCH("DR Congo",S204)),"Democratic Republic of the Congo",
ISNUMBER(SEARCH("German DR",S204)),"DR Germany",
ISNUMBER(SEARCH("rn""&gt;United Arab Emirates",S204)),"United Arab Emirates",
ISNUMBER(SEARCH("rn""&gt;Republic of Ireland",S204)),"Ireland",
ISNUMBER(SEARCH("rn""&gt;Bosnia and Herzegovina",S204)),"Bosnia and Herzegovina",
ISNUMBER(SEARCH("rn""&gt;Trinidad and Tobago",S204)),"Trinidad and Tobago",
ISNUMBER(SEARCH("rn""&gt;Serbia and Montenegro",S204)),"Serbia and Montenegro",
ISNUMBER(SEARCH(_xlfn.UNICHAR(65533),S204)),"Côte d'Ivoire",
TRUE,""
)</f>
        <v/>
      </c>
      <c r="W204" s="30" t="str">
        <f t="shared" si="19"/>
        <v>Spain</v>
      </c>
      <c r="Z204" s="40" t="str">
        <v>Estadio Sausalito</v>
      </c>
      <c r="AA204" s="40" t="str" cm="1">
        <f t="array" ref="AA204">IFERROR(_xlfn.XLOOKUP(Z204,_xlfn.ANCHORARRAY(Z$31),AA$31:AA$37),Z204)</f>
        <v>Estadio Sausalito</v>
      </c>
      <c r="AB204" s="42" t="str">
        <v xml:space="preserve">Vina Del Mar </v>
      </c>
      <c r="AC204" s="89" t="str">
        <f t="shared" si="22"/>
        <v xml:space="preserve">Vina Del Mar </v>
      </c>
      <c r="AE204" s="42">
        <v>1958</v>
      </c>
      <c r="AK204" s="42">
        <v>3</v>
      </c>
      <c r="AL204" s="42">
        <v>3</v>
      </c>
      <c r="AV204" s="37" t="str">
        <v>ROUND_OF_16</v>
      </c>
      <c r="AW204" s="89" t="str">
        <v>QUARTER_FINALS</v>
      </c>
      <c r="BE204" s="43" t="str">
        <f>IF(OR(DATA_CLEANED!AL195="",DATA_CLEANED!AM195=""),"MANQUANT",IF(OR(NOT(ISNUMBER(DATA_CLEANED!AL195)),NOT(ISNUMBER(DATA_CLEANED!AM195))),"ENTREE INVALIDE",IF(OR(DATA_CLEANED!AL195&lt;0,DATA_CLEANED!AM195&lt;0),"SCORE NEGATIF","OK")))</f>
        <v>OK</v>
      </c>
      <c r="BF204" s="43" t="str">
        <f>IF(DATA_CLEANED!AK195&lt;&gt;DATA_CLEANED!AN195,"OK","ERREUR")</f>
        <v>OK</v>
      </c>
      <c r="BG204" s="43" t="str">
        <f>IF(DATA_CLEANED!AL195&gt;DATA_CLEANED!AM195,DATA_CLEANED!AK195,IF(AND(DATA_QUALITE!W4681="-",DATA_CLEANED!AM195=DATA_CLEANED!AL195),"MATCH NUL",IF(AND(DATA_QUALITE!V4681="-",DATA_QUALITE!U4681="AUCUNE"),DATA_QUALITE!T4681,IF(DATA_QUALITE!V4681&lt;&gt;"-",DATA_QUALITE!V4681,DATA_CLEANED!AN195))))</f>
        <v>England</v>
      </c>
      <c r="BH204" s="103" t="str">
        <f>IF(AND(BG204="MATCH NUL",DATA_CLEANED!AO195="-"),"MATCH_NUL",IF(ISNUMBER(SEARCH("win on penalties",W4681)),"WIN_BY_PENALTY",IF(ISNUMBER(SEARCH("win after extra time",W4681)),"WIN_BY_EXTRA_TIME",IF(ISNUMBER(SEARCH("Golden Goal",W4681)),"WIN_BY_GOLDEN_GOAL","WIN_BY_SCORE"))))</f>
        <v>WIN_BY_SCORE</v>
      </c>
      <c r="BI204" s="99" t="str">
        <f>IF(OR(BG204=DATA_CLEANED!AK195,BG204=DATA_CLEANED!AN195,BG204="MATCH NUL"),"OK","ERREUR")</f>
        <v>OK</v>
      </c>
    </row>
    <row r="205" spans="2:61">
      <c r="B205" s="74">
        <v>1998</v>
      </c>
      <c r="C205" s="30" t="str">
        <v>Quarter-finals</v>
      </c>
      <c r="D205" s="30" t="str">
        <v>Italy</v>
      </c>
      <c r="E205" s="30" t="str">
        <v>France</v>
      </c>
      <c r="F205" s="30" t="str">
        <v>Italy</v>
      </c>
      <c r="G205" s="30" t="str">
        <v>Christian Vieri</v>
      </c>
      <c r="H205" s="30" t="str">
        <v>Fabien Barthez</v>
      </c>
      <c r="I205" s="30">
        <v>8</v>
      </c>
      <c r="J205" s="30">
        <v>4</v>
      </c>
      <c r="K205" s="30" t="str">
        <v>'3-2</v>
      </c>
      <c r="L205" s="30" t="str">
        <v>No</v>
      </c>
      <c r="M205" s="30" t="str">
        <v>No</v>
      </c>
      <c r="N205" s="30" t="str">
        <v>Goal</v>
      </c>
      <c r="O205" s="30" t="str">
        <f t="shared" si="20"/>
        <v>1998|Quarter-finals|Italy|France|Italy|Christian Vieri|Fabien Barthez|8|4|'3-2|No|No|Goal</v>
      </c>
      <c r="P205" s="96" t="str">
        <f>IF(COUNTIF($G$32:O205,O205)&gt;1,"DOUBLON","OK")</f>
        <v>OK</v>
      </c>
      <c r="R205" s="23" t="s">
        <v>3690</v>
      </c>
      <c r="S205" s="30" t="str">
        <v>Spain</v>
      </c>
      <c r="T205" s="30" t="str">
        <f t="shared" si="23"/>
        <v>OK</v>
      </c>
      <c r="U205" s="30" t="str">
        <f t="shared" si="24"/>
        <v>-</v>
      </c>
      <c r="V205" s="30" t="str" cm="1">
        <f t="array" ref="V205">_xlfn.IFS(
ISNUMBER(SEARCH("USA",S205)),"United States",
ISNUMBER(SEARCH("Republic of Korea",S205)),"South Korea",
ISNUMBER(SEARCH("Cape Verde",S205)),"Cabo Verde",
ISNUMBER(SEARCH("Czechia",S205)),"Czech Republic",
ISNUMBER(SEARCH("Türkiye",S205)),"Turkey",
ISNUMBER(SEARCH("Ivory Coast",S205)),"Côte d'Ivoire",
ISNUMBER(SEARCH("Korea Republic",S205)),"South Korea",
ISNUMBER(SEARCH("Germany FR",S205)),"FR Germany",
ISNUMBER(SEARCH("West Germany",S205)),"FR Germany",
ISNUMBER(SEARCH("Germany DR",S205)),"DR Germany",
ISNUMBER(SEARCH("Korea DPR",S205)),"North Korea",
ISNUMBER(SEARCH("China PR",S205)),"China",
ISNUMBER(SEARCH("IR Iran",S205)),"Iran",
ISNUMBER(SEARCH("Congo DR",S205)),"Democratic Republic of the Congo",
ISNUMBER(SEARCH("DR Congo",S205)),"Democratic Republic of the Congo",
ISNUMBER(SEARCH("German DR",S205)),"DR Germany",
ISNUMBER(SEARCH("rn""&gt;United Arab Emirates",S205)),"United Arab Emirates",
ISNUMBER(SEARCH("rn""&gt;Republic of Ireland",S205)),"Ireland",
ISNUMBER(SEARCH("rn""&gt;Bosnia and Herzegovina",S205)),"Bosnia and Herzegovina",
ISNUMBER(SEARCH("rn""&gt;Trinidad and Tobago",S205)),"Trinidad and Tobago",
ISNUMBER(SEARCH("rn""&gt;Serbia and Montenegro",S205)),"Serbia and Montenegro",
ISNUMBER(SEARCH(_xlfn.UNICHAR(65533),S205)),"Côte d'Ivoire",
TRUE,""
)</f>
        <v/>
      </c>
      <c r="W205" s="30" t="str">
        <f t="shared" si="19"/>
        <v>Spain</v>
      </c>
      <c r="Z205" s="40" t="str">
        <v>Nacional</v>
      </c>
      <c r="AA205" s="40" t="str" cm="1">
        <f t="array" ref="AA205">IFERROR(_xlfn.XLOOKUP(Z205,_xlfn.ANCHORARRAY(Z$31),AA$31:AA$37),Z205)</f>
        <v>Nacional</v>
      </c>
      <c r="AB205" s="42" t="str">
        <v xml:space="preserve">Santiago De Chile </v>
      </c>
      <c r="AC205" s="89" t="str">
        <f t="shared" si="22"/>
        <v xml:space="preserve">Santiago De Chile </v>
      </c>
      <c r="AE205" s="42">
        <v>1958</v>
      </c>
      <c r="AK205" s="42">
        <v>2</v>
      </c>
      <c r="AL205" s="42">
        <v>1</v>
      </c>
      <c r="AV205" s="37" t="str">
        <v>QUARTER_FINALS</v>
      </c>
      <c r="AW205" s="89" t="str">
        <v>QUARTER_FINALS</v>
      </c>
      <c r="BE205" s="43" t="str">
        <f>IF(OR(DATA_CLEANED!AL196="",DATA_CLEANED!AM196=""),"MANQUANT",IF(OR(NOT(ISNUMBER(DATA_CLEANED!AL196)),NOT(ISNUMBER(DATA_CLEANED!AM196))),"ENTREE INVALIDE",IF(OR(DATA_CLEANED!AL196&lt;0,DATA_CLEANED!AM196&lt;0),"SCORE NEGATIF","OK")))</f>
        <v>OK</v>
      </c>
      <c r="BF205" s="43" t="str">
        <f>IF(DATA_CLEANED!AK196&lt;&gt;DATA_CLEANED!AN196,"OK","ERREUR")</f>
        <v>OK</v>
      </c>
      <c r="BG205" s="43" t="str">
        <f>IF(DATA_CLEANED!AL196&gt;DATA_CLEANED!AM196,DATA_CLEANED!AK196,IF(AND(DATA_QUALITE!W4682="-",DATA_CLEANED!AM196=DATA_CLEANED!AL196),"MATCH NUL",IF(AND(DATA_QUALITE!V4682="-",DATA_QUALITE!U4682="AUCUNE"),DATA_QUALITE!T4682,IF(DATA_QUALITE!V4682&lt;&gt;"-",DATA_QUALITE!V4682,DATA_CLEANED!AN196))))</f>
        <v>FR Germany</v>
      </c>
      <c r="BH205" s="103" t="str">
        <f>IF(AND(BG205="MATCH NUL",DATA_CLEANED!AO196="-"),"MATCH_NUL",IF(ISNUMBER(SEARCH("win on penalties",W4682)),"WIN_BY_PENALTY",IF(ISNUMBER(SEARCH("win after extra time",W4682)),"WIN_BY_EXTRA_TIME",IF(ISNUMBER(SEARCH("Golden Goal",W4682)),"WIN_BY_GOLDEN_GOAL","WIN_BY_SCORE"))))</f>
        <v>WIN_BY_SCORE</v>
      </c>
      <c r="BI205" s="99" t="str">
        <f>IF(OR(BG205=DATA_CLEANED!AK196,BG205=DATA_CLEANED!AN196,BG205="MATCH NUL"),"OK","ERREUR")</f>
        <v>OK</v>
      </c>
    </row>
    <row r="206" spans="2:61">
      <c r="B206" s="74">
        <v>1998</v>
      </c>
      <c r="C206" s="30" t="str">
        <v>Quarter-finals</v>
      </c>
      <c r="D206" s="30" t="str">
        <v>Italy</v>
      </c>
      <c r="E206" s="30" t="str">
        <v>France</v>
      </c>
      <c r="F206" s="30" t="str">
        <v>France</v>
      </c>
      <c r="G206" s="30" t="str">
        <v>Laurent Blanc</v>
      </c>
      <c r="H206" s="30" t="str">
        <v>Gianluca Pagliuca</v>
      </c>
      <c r="I206" s="30">
        <v>9</v>
      </c>
      <c r="J206" s="30">
        <v>5</v>
      </c>
      <c r="K206" s="30" t="str">
        <v>'3-3</v>
      </c>
      <c r="L206" s="30" t="str">
        <v>No</v>
      </c>
      <c r="M206" s="30" t="str">
        <v>No</v>
      </c>
      <c r="N206" s="30" t="str">
        <v>Goal</v>
      </c>
      <c r="O206" s="30" t="str">
        <f t="shared" si="20"/>
        <v>1998|Quarter-finals|Italy|France|France|Laurent Blanc|Gianluca Pagliuca|9|5|'3-3|No|No|Goal</v>
      </c>
      <c r="P206" s="96" t="str">
        <f>IF(COUNTIF($G$32:O206,O206)&gt;1,"DOUBLON","OK")</f>
        <v>OK</v>
      </c>
      <c r="R206" s="23" t="s">
        <v>3755</v>
      </c>
      <c r="S206" s="30" t="str">
        <v>Spain</v>
      </c>
      <c r="T206" s="30" t="str">
        <f t="shared" si="23"/>
        <v>OK</v>
      </c>
      <c r="U206" s="30" t="str">
        <f t="shared" si="24"/>
        <v>-</v>
      </c>
      <c r="V206" s="30" t="str" cm="1">
        <f t="array" ref="V206">_xlfn.IFS(
ISNUMBER(SEARCH("USA",S206)),"United States",
ISNUMBER(SEARCH("Republic of Korea",S206)),"South Korea",
ISNUMBER(SEARCH("Cape Verde",S206)),"Cabo Verde",
ISNUMBER(SEARCH("Czechia",S206)),"Czech Republic",
ISNUMBER(SEARCH("Türkiye",S206)),"Turkey",
ISNUMBER(SEARCH("Ivory Coast",S206)),"Côte d'Ivoire",
ISNUMBER(SEARCH("Korea Republic",S206)),"South Korea",
ISNUMBER(SEARCH("Germany FR",S206)),"FR Germany",
ISNUMBER(SEARCH("West Germany",S206)),"FR Germany",
ISNUMBER(SEARCH("Germany DR",S206)),"DR Germany",
ISNUMBER(SEARCH("Korea DPR",S206)),"North Korea",
ISNUMBER(SEARCH("China PR",S206)),"China",
ISNUMBER(SEARCH("IR Iran",S206)),"Iran",
ISNUMBER(SEARCH("Congo DR",S206)),"Democratic Republic of the Congo",
ISNUMBER(SEARCH("DR Congo",S206)),"Democratic Republic of the Congo",
ISNUMBER(SEARCH("German DR",S206)),"DR Germany",
ISNUMBER(SEARCH("rn""&gt;United Arab Emirates",S206)),"United Arab Emirates",
ISNUMBER(SEARCH("rn""&gt;Republic of Ireland",S206)),"Ireland",
ISNUMBER(SEARCH("rn""&gt;Bosnia and Herzegovina",S206)),"Bosnia and Herzegovina",
ISNUMBER(SEARCH("rn""&gt;Trinidad and Tobago",S206)),"Trinidad and Tobago",
ISNUMBER(SEARCH("rn""&gt;Serbia and Montenegro",S206)),"Serbia and Montenegro",
ISNUMBER(SEARCH(_xlfn.UNICHAR(65533),S206)),"Côte d'Ivoire",
TRUE,""
)</f>
        <v/>
      </c>
      <c r="W206" s="30" t="str">
        <f t="shared" ref="W206:W269" si="25">IF(V206="",S206,V206)</f>
        <v>Spain</v>
      </c>
      <c r="Z206" s="40" t="str">
        <v>Nacional</v>
      </c>
      <c r="AA206" s="40" t="str" cm="1">
        <f t="array" ref="AA206">IFERROR(_xlfn.XLOOKUP(Z206,_xlfn.ANCHORARRAY(Z$31),AA$31:AA$37),Z206)</f>
        <v>Nacional</v>
      </c>
      <c r="AB206" s="42" t="str">
        <v xml:space="preserve">Santiago De Chile </v>
      </c>
      <c r="AC206" s="89" t="str">
        <f t="shared" si="22"/>
        <v xml:space="preserve">Santiago De Chile </v>
      </c>
      <c r="AE206" s="42">
        <v>1958</v>
      </c>
      <c r="AK206" s="42">
        <v>2</v>
      </c>
      <c r="AL206" s="42">
        <v>2</v>
      </c>
      <c r="AV206" s="37" t="str">
        <v>QUARTER_FINALS</v>
      </c>
      <c r="AW206" s="89" t="str">
        <v>QUARTER_FINALS</v>
      </c>
      <c r="BE206" s="43" t="str">
        <f>IF(OR(DATA_CLEANED!AL197="",DATA_CLEANED!AM197=""),"MANQUANT",IF(OR(NOT(ISNUMBER(DATA_CLEANED!AL197)),NOT(ISNUMBER(DATA_CLEANED!AM197))),"ENTREE INVALIDE",IF(OR(DATA_CLEANED!AL197&lt;0,DATA_CLEANED!AM197&lt;0),"SCORE NEGATIF","OK")))</f>
        <v>OK</v>
      </c>
      <c r="BF206" s="43" t="str">
        <f>IF(DATA_CLEANED!AK197&lt;&gt;DATA_CLEANED!AN197,"OK","ERREUR")</f>
        <v>OK</v>
      </c>
      <c r="BG206" s="43" t="str">
        <f>IF(DATA_CLEANED!AL197&gt;DATA_CLEANED!AM197,DATA_CLEANED!AK197,IF(AND(DATA_QUALITE!W4683="-",DATA_CLEANED!AM197=DATA_CLEANED!AL197),"MATCH NUL",IF(AND(DATA_QUALITE!V4683="-",DATA_QUALITE!U4683="AUCUNE"),DATA_QUALITE!T4683,IF(DATA_QUALITE!V4683&lt;&gt;"-",DATA_QUALITE!V4683,DATA_CLEANED!AN197))))</f>
        <v>Soviet Union</v>
      </c>
      <c r="BH206" s="103" t="str">
        <f>IF(AND(BG206="MATCH NUL",DATA_CLEANED!AO197="-"),"MATCH_NUL",IF(ISNUMBER(SEARCH("win on penalties",W4683)),"WIN_BY_PENALTY",IF(ISNUMBER(SEARCH("win after extra time",W4683)),"WIN_BY_EXTRA_TIME",IF(ISNUMBER(SEARCH("Golden Goal",W4683)),"WIN_BY_GOLDEN_GOAL","WIN_BY_SCORE"))))</f>
        <v>WIN_BY_SCORE</v>
      </c>
      <c r="BI206" s="99" t="str">
        <f>IF(OR(BG206=DATA_CLEANED!AK197,BG206=DATA_CLEANED!AN197,BG206="MATCH NUL"),"OK","ERREUR")</f>
        <v>OK</v>
      </c>
    </row>
    <row r="207" spans="2:61">
      <c r="B207" s="74">
        <v>1998</v>
      </c>
      <c r="C207" s="30" t="str">
        <v>Quarter-finals</v>
      </c>
      <c r="D207" s="30" t="str">
        <v>Italy</v>
      </c>
      <c r="E207" s="30" t="str">
        <v>France</v>
      </c>
      <c r="F207" s="30" t="str">
        <v>Italy</v>
      </c>
      <c r="G207" s="30" t="str">
        <v>Luigi Di Biagio</v>
      </c>
      <c r="H207" s="30" t="str">
        <v>Fabien Barthez</v>
      </c>
      <c r="I207" s="30">
        <v>10</v>
      </c>
      <c r="J207" s="30">
        <v>5</v>
      </c>
      <c r="K207" s="30" t="str">
        <v>'4-3</v>
      </c>
      <c r="L207" s="30" t="str">
        <v>Yes</v>
      </c>
      <c r="M207" s="30" t="str">
        <v>Yes</v>
      </c>
      <c r="N207" s="30" t="str">
        <v>Missed</v>
      </c>
      <c r="O207" s="30" t="str">
        <f t="shared" si="20"/>
        <v>1998|Quarter-finals|Italy|France|Italy|Luigi Di Biagio|Fabien Barthez|10|5|'4-3|Yes|Yes|Missed</v>
      </c>
      <c r="P207" s="96" t="str">
        <f>IF(COUNTIF($G$32:O207,O207)&gt;1,"DOUBLON","OK")</f>
        <v>OK</v>
      </c>
      <c r="R207" s="23" t="s">
        <v>77</v>
      </c>
      <c r="S207" s="30" t="str">
        <v>Spain</v>
      </c>
      <c r="T207" s="30" t="str">
        <f t="shared" si="23"/>
        <v>OK</v>
      </c>
      <c r="U207" s="30" t="str">
        <f t="shared" si="24"/>
        <v>-</v>
      </c>
      <c r="V207" s="30" t="str" cm="1">
        <f t="array" ref="V207">_xlfn.IFS(
ISNUMBER(SEARCH("USA",S207)),"United States",
ISNUMBER(SEARCH("Republic of Korea",S207)),"South Korea",
ISNUMBER(SEARCH("Cape Verde",S207)),"Cabo Verde",
ISNUMBER(SEARCH("Czechia",S207)),"Czech Republic",
ISNUMBER(SEARCH("Türkiye",S207)),"Turkey",
ISNUMBER(SEARCH("Ivory Coast",S207)),"Côte d'Ivoire",
ISNUMBER(SEARCH("Korea Republic",S207)),"South Korea",
ISNUMBER(SEARCH("Germany FR",S207)),"FR Germany",
ISNUMBER(SEARCH("West Germany",S207)),"FR Germany",
ISNUMBER(SEARCH("Germany DR",S207)),"DR Germany",
ISNUMBER(SEARCH("Korea DPR",S207)),"North Korea",
ISNUMBER(SEARCH("China PR",S207)),"China",
ISNUMBER(SEARCH("IR Iran",S207)),"Iran",
ISNUMBER(SEARCH("Congo DR",S207)),"Democratic Republic of the Congo",
ISNUMBER(SEARCH("DR Congo",S207)),"Democratic Republic of the Congo",
ISNUMBER(SEARCH("German DR",S207)),"DR Germany",
ISNUMBER(SEARCH("rn""&gt;United Arab Emirates",S207)),"United Arab Emirates",
ISNUMBER(SEARCH("rn""&gt;Republic of Ireland",S207)),"Ireland",
ISNUMBER(SEARCH("rn""&gt;Bosnia and Herzegovina",S207)),"Bosnia and Herzegovina",
ISNUMBER(SEARCH("rn""&gt;Trinidad and Tobago",S207)),"Trinidad and Tobago",
ISNUMBER(SEARCH("rn""&gt;Serbia and Montenegro",S207)),"Serbia and Montenegro",
ISNUMBER(SEARCH(_xlfn.UNICHAR(65533),S207)),"Côte d'Ivoire",
TRUE,""
)</f>
        <v/>
      </c>
      <c r="W207" s="30" t="str">
        <f t="shared" si="25"/>
        <v>Spain</v>
      </c>
      <c r="Z207" s="40" t="str">
        <v>Nacional</v>
      </c>
      <c r="AA207" s="40" t="str" cm="1">
        <f t="array" ref="AA207">IFERROR(_xlfn.XLOOKUP(Z207,_xlfn.ANCHORARRAY(Z$31),AA$31:AA$37),Z207)</f>
        <v>Nacional</v>
      </c>
      <c r="AB207" s="42" t="str">
        <v xml:space="preserve">Santiago De Chile </v>
      </c>
      <c r="AC207" s="89" t="str">
        <f t="shared" si="22"/>
        <v xml:space="preserve">Santiago De Chile </v>
      </c>
      <c r="AE207" s="42">
        <v>1958</v>
      </c>
      <c r="AK207" s="42">
        <v>6</v>
      </c>
      <c r="AL207" s="42">
        <v>1</v>
      </c>
      <c r="AV207" s="37" t="str">
        <v>QUARTER_FINALS</v>
      </c>
      <c r="AW207" s="89" t="str">
        <v>QUARTER_FINALS</v>
      </c>
      <c r="BE207" s="43" t="str">
        <f>IF(OR(DATA_CLEANED!AL198="",DATA_CLEANED!AM198=""),"MANQUANT",IF(OR(NOT(ISNUMBER(DATA_CLEANED!AL198)),NOT(ISNUMBER(DATA_CLEANED!AM198))),"ENTREE INVALIDE",IF(OR(DATA_CLEANED!AL198&lt;0,DATA_CLEANED!AM198&lt;0),"SCORE NEGATIF","OK")))</f>
        <v>OK</v>
      </c>
      <c r="BF207" s="43" t="str">
        <f>IF(DATA_CLEANED!AK198&lt;&gt;DATA_CLEANED!AN198,"OK","ERREUR")</f>
        <v>OK</v>
      </c>
      <c r="BG207" s="43" t="str">
        <f>IF(DATA_CLEANED!AL198&gt;DATA_CLEANED!AM198,DATA_CLEANED!AK198,IF(AND(DATA_QUALITE!W4684="-",DATA_CLEANED!AM198=DATA_CLEANED!AL198),"MATCH NUL",IF(AND(DATA_QUALITE!V4684="-",DATA_QUALITE!U4684="AUCUNE"),DATA_QUALITE!T4684,IF(DATA_QUALITE!V4684&lt;&gt;"-",DATA_QUALITE!V4684,DATA_CLEANED!AN198))))</f>
        <v>Portugal</v>
      </c>
      <c r="BH207" s="103" t="str">
        <f>IF(AND(BG207="MATCH NUL",DATA_CLEANED!AO198="-"),"MATCH_NUL",IF(ISNUMBER(SEARCH("win on penalties",W4684)),"WIN_BY_PENALTY",IF(ISNUMBER(SEARCH("win after extra time",W4684)),"WIN_BY_EXTRA_TIME",IF(ISNUMBER(SEARCH("Golden Goal",W4684)),"WIN_BY_GOLDEN_GOAL","WIN_BY_SCORE"))))</f>
        <v>WIN_BY_SCORE</v>
      </c>
      <c r="BI207" s="99" t="str">
        <f>IF(OR(BG207=DATA_CLEANED!AK198,BG207=DATA_CLEANED!AN198,BG207="MATCH NUL"),"OK","ERREUR")</f>
        <v>OK</v>
      </c>
    </row>
    <row r="208" spans="2:61">
      <c r="B208" s="74">
        <v>1998</v>
      </c>
      <c r="C208" s="30" t="str">
        <v>Semi-finals</v>
      </c>
      <c r="D208" s="30" t="str">
        <v>Brazil</v>
      </c>
      <c r="E208" s="30" t="str">
        <v>Netherlands</v>
      </c>
      <c r="F208" s="30" t="str">
        <v>Brazil</v>
      </c>
      <c r="G208" s="30" t="str">
        <v>Ronaldo</v>
      </c>
      <c r="H208" s="30" t="str">
        <v>Edwin van der Sar</v>
      </c>
      <c r="I208" s="30">
        <v>1</v>
      </c>
      <c r="J208" s="30">
        <v>1</v>
      </c>
      <c r="K208" s="30" t="str">
        <v>'0-0</v>
      </c>
      <c r="L208" s="30" t="str">
        <v>No</v>
      </c>
      <c r="M208" s="30" t="str">
        <v>No</v>
      </c>
      <c r="N208" s="30" t="str">
        <v>Goal</v>
      </c>
      <c r="O208" s="30" t="str">
        <f t="shared" si="20"/>
        <v>1998|Semi-finals|Brazil|Netherlands|Brazil|Ronaldo|Edwin van der Sar|1|1|'0-0|No|No|Goal</v>
      </c>
      <c r="P208" s="96" t="str">
        <f>IF(COUNTIF($G$32:O208,O208)&gt;1,"DOUBLON","OK")</f>
        <v>OK</v>
      </c>
      <c r="R208" s="23" t="s">
        <v>66</v>
      </c>
      <c r="S208" s="30" t="str">
        <v>Spain</v>
      </c>
      <c r="T208" s="30" t="str">
        <f t="shared" si="23"/>
        <v>OK</v>
      </c>
      <c r="U208" s="30" t="str">
        <f t="shared" si="24"/>
        <v>-</v>
      </c>
      <c r="V208" s="30" t="str" cm="1">
        <f t="array" ref="V208">_xlfn.IFS(
ISNUMBER(SEARCH("USA",S208)),"United States",
ISNUMBER(SEARCH("Republic of Korea",S208)),"South Korea",
ISNUMBER(SEARCH("Cape Verde",S208)),"Cabo Verde",
ISNUMBER(SEARCH("Czechia",S208)),"Czech Republic",
ISNUMBER(SEARCH("Türkiye",S208)),"Turkey",
ISNUMBER(SEARCH("Ivory Coast",S208)),"Côte d'Ivoire",
ISNUMBER(SEARCH("Korea Republic",S208)),"South Korea",
ISNUMBER(SEARCH("Germany FR",S208)),"FR Germany",
ISNUMBER(SEARCH("West Germany",S208)),"FR Germany",
ISNUMBER(SEARCH("Germany DR",S208)),"DR Germany",
ISNUMBER(SEARCH("Korea DPR",S208)),"North Korea",
ISNUMBER(SEARCH("China PR",S208)),"China",
ISNUMBER(SEARCH("IR Iran",S208)),"Iran",
ISNUMBER(SEARCH("Congo DR",S208)),"Democratic Republic of the Congo",
ISNUMBER(SEARCH("DR Congo",S208)),"Democratic Republic of the Congo",
ISNUMBER(SEARCH("German DR",S208)),"DR Germany",
ISNUMBER(SEARCH("rn""&gt;United Arab Emirates",S208)),"United Arab Emirates",
ISNUMBER(SEARCH("rn""&gt;Republic of Ireland",S208)),"Ireland",
ISNUMBER(SEARCH("rn""&gt;Bosnia and Herzegovina",S208)),"Bosnia and Herzegovina",
ISNUMBER(SEARCH("rn""&gt;Trinidad and Tobago",S208)),"Trinidad and Tobago",
ISNUMBER(SEARCH("rn""&gt;Serbia and Montenegro",S208)),"Serbia and Montenegro",
ISNUMBER(SEARCH(_xlfn.UNICHAR(65533),S208)),"Côte d'Ivoire",
TRUE,""
)</f>
        <v/>
      </c>
      <c r="W208" s="30" t="str">
        <f t="shared" si="25"/>
        <v>Spain</v>
      </c>
      <c r="Z208" s="40" t="str">
        <v>Wembley Stadium</v>
      </c>
      <c r="AA208" s="40" t="str" cm="1">
        <f t="array" ref="AA208">IFERROR(_xlfn.XLOOKUP(Z208,_xlfn.ANCHORARRAY(Z$31),AA$31:AA$37),Z208)</f>
        <v>Wembley Stadium</v>
      </c>
      <c r="AB208" s="42" t="str">
        <v xml:space="preserve">London </v>
      </c>
      <c r="AC208" s="89" t="str">
        <f t="shared" si="22"/>
        <v xml:space="preserve">London </v>
      </c>
      <c r="AE208" s="42">
        <v>1958</v>
      </c>
      <c r="AK208" s="42">
        <v>1</v>
      </c>
      <c r="AL208" s="42">
        <v>0</v>
      </c>
      <c r="AV208" s="37" t="str">
        <v>QUARTER_FINALS</v>
      </c>
      <c r="AW208" s="89" t="str">
        <v>SEMI_FINALS</v>
      </c>
      <c r="BE208" s="43" t="str">
        <f>IF(OR(DATA_CLEANED!AL199="",DATA_CLEANED!AM199=""),"MANQUANT",IF(OR(NOT(ISNUMBER(DATA_CLEANED!AL199)),NOT(ISNUMBER(DATA_CLEANED!AM199))),"ENTREE INVALIDE",IF(OR(DATA_CLEANED!AL199&lt;0,DATA_CLEANED!AM199&lt;0),"SCORE NEGATIF","OK")))</f>
        <v>OK</v>
      </c>
      <c r="BF208" s="43" t="str">
        <f>IF(DATA_CLEANED!AK199&lt;&gt;DATA_CLEANED!AN199,"OK","ERREUR")</f>
        <v>OK</v>
      </c>
      <c r="BG208" s="43" t="str">
        <f>IF(DATA_CLEANED!AL199&gt;DATA_CLEANED!AM199,DATA_CLEANED!AK199,IF(AND(DATA_QUALITE!W4685="-",DATA_CLEANED!AM199=DATA_CLEANED!AL199),"MATCH NUL",IF(AND(DATA_QUALITE!V4685="-",DATA_QUALITE!U4685="AUCUNE"),DATA_QUALITE!T4685,IF(DATA_QUALITE!V4685&lt;&gt;"-",DATA_QUALITE!V4685,DATA_CLEANED!AN199))))</f>
        <v>FR Germany</v>
      </c>
      <c r="BH208" s="103" t="str">
        <f>IF(AND(BG208="MATCH NUL",DATA_CLEANED!AO199="-"),"MATCH_NUL",IF(ISNUMBER(SEARCH("win on penalties",W4685)),"WIN_BY_PENALTY",IF(ISNUMBER(SEARCH("win after extra time",W4685)),"WIN_BY_EXTRA_TIME",IF(ISNUMBER(SEARCH("Golden Goal",W4685)),"WIN_BY_GOLDEN_GOAL","WIN_BY_SCORE"))))</f>
        <v>WIN_BY_SCORE</v>
      </c>
      <c r="BI208" s="99" t="str">
        <f>IF(OR(BG208=DATA_CLEANED!AK199,BG208=DATA_CLEANED!AN199,BG208="MATCH NUL"),"OK","ERREUR")</f>
        <v>OK</v>
      </c>
    </row>
    <row r="209" spans="2:61">
      <c r="B209" s="74">
        <v>1998</v>
      </c>
      <c r="C209" s="30" t="str">
        <v>Semi-finals</v>
      </c>
      <c r="D209" s="30" t="str">
        <v>Brazil</v>
      </c>
      <c r="E209" s="30" t="str">
        <v>Netherlands</v>
      </c>
      <c r="F209" s="30" t="str">
        <v>Netherlands</v>
      </c>
      <c r="G209" s="30" t="str">
        <v>Frank de Boer</v>
      </c>
      <c r="H209" s="30" t="str">
        <v>Taffarel</v>
      </c>
      <c r="I209" s="30">
        <v>2</v>
      </c>
      <c r="J209" s="30">
        <v>1</v>
      </c>
      <c r="K209" s="30" t="str">
        <v>'1-0</v>
      </c>
      <c r="L209" s="30" t="str">
        <v>No</v>
      </c>
      <c r="M209" s="30" t="str">
        <v>No</v>
      </c>
      <c r="N209" s="30" t="str">
        <v>Goal</v>
      </c>
      <c r="O209" s="30" t="str">
        <f t="shared" si="20"/>
        <v>1998|Semi-finals|Brazil|Netherlands|Netherlands|Frank de Boer|Taffarel|2|1|'1-0|No|No|Goal</v>
      </c>
      <c r="P209" s="96" t="str">
        <f>IF(COUNTIF($G$32:O209,O209)&gt;1,"DOUBLON","OK")</f>
        <v>OK</v>
      </c>
      <c r="R209" s="23" t="s">
        <v>3691</v>
      </c>
      <c r="S209" s="30" t="str">
        <v>Spain</v>
      </c>
      <c r="T209" s="30" t="str">
        <f t="shared" si="23"/>
        <v>OK</v>
      </c>
      <c r="U209" s="30" t="str">
        <f t="shared" si="24"/>
        <v>-</v>
      </c>
      <c r="V209" s="30" t="str" cm="1">
        <f t="array" ref="V209">_xlfn.IFS(
ISNUMBER(SEARCH("USA",S209)),"United States",
ISNUMBER(SEARCH("Republic of Korea",S209)),"South Korea",
ISNUMBER(SEARCH("Cape Verde",S209)),"Cabo Verde",
ISNUMBER(SEARCH("Czechia",S209)),"Czech Republic",
ISNUMBER(SEARCH("Türkiye",S209)),"Turkey",
ISNUMBER(SEARCH("Ivory Coast",S209)),"Côte d'Ivoire",
ISNUMBER(SEARCH("Korea Republic",S209)),"South Korea",
ISNUMBER(SEARCH("Germany FR",S209)),"FR Germany",
ISNUMBER(SEARCH("West Germany",S209)),"FR Germany",
ISNUMBER(SEARCH("Germany DR",S209)),"DR Germany",
ISNUMBER(SEARCH("Korea DPR",S209)),"North Korea",
ISNUMBER(SEARCH("China PR",S209)),"China",
ISNUMBER(SEARCH("IR Iran",S209)),"Iran",
ISNUMBER(SEARCH("Congo DR",S209)),"Democratic Republic of the Congo",
ISNUMBER(SEARCH("DR Congo",S209)),"Democratic Republic of the Congo",
ISNUMBER(SEARCH("German DR",S209)),"DR Germany",
ISNUMBER(SEARCH("rn""&gt;United Arab Emirates",S209)),"United Arab Emirates",
ISNUMBER(SEARCH("rn""&gt;Republic of Ireland",S209)),"Ireland",
ISNUMBER(SEARCH("rn""&gt;Bosnia and Herzegovina",S209)),"Bosnia and Herzegovina",
ISNUMBER(SEARCH("rn""&gt;Trinidad and Tobago",S209)),"Trinidad and Tobago",
ISNUMBER(SEARCH("rn""&gt;Serbia and Montenegro",S209)),"Serbia and Montenegro",
ISNUMBER(SEARCH(_xlfn.UNICHAR(65533),S209)),"Côte d'Ivoire",
TRUE,""
)</f>
        <v/>
      </c>
      <c r="W209" s="30" t="str">
        <f t="shared" si="25"/>
        <v>Spain</v>
      </c>
      <c r="Z209" s="40" t="str">
        <v>Hillsborough</v>
      </c>
      <c r="AA209" s="40" t="str" cm="1">
        <f t="array" ref="AA209">IFERROR(_xlfn.XLOOKUP(Z209,_xlfn.ANCHORARRAY(Z$31),AA$31:AA$37),Z209)</f>
        <v>Hillsborough</v>
      </c>
      <c r="AB209" s="42" t="str">
        <v xml:space="preserve">Sheffield </v>
      </c>
      <c r="AC209" s="89" t="str">
        <f t="shared" si="22"/>
        <v xml:space="preserve">Sheffield </v>
      </c>
      <c r="AE209" s="42">
        <v>1958</v>
      </c>
      <c r="AK209" s="42">
        <v>2</v>
      </c>
      <c r="AL209" s="42">
        <v>1</v>
      </c>
      <c r="AV209" s="37" t="str">
        <v>QUARTER_FINALS</v>
      </c>
      <c r="AW209" s="89" t="str">
        <v>SEMI_FINALS</v>
      </c>
      <c r="BE209" s="43" t="str">
        <f>IF(OR(DATA_CLEANED!AL200="",DATA_CLEANED!AM200=""),"MANQUANT",IF(OR(NOT(ISNUMBER(DATA_CLEANED!AL200)),NOT(ISNUMBER(DATA_CLEANED!AM200))),"ENTREE INVALIDE",IF(OR(DATA_CLEANED!AL200&lt;0,DATA_CLEANED!AM200&lt;0),"SCORE NEGATIF","OK")))</f>
        <v>OK</v>
      </c>
      <c r="BF209" s="43" t="str">
        <f>IF(DATA_CLEANED!AK200&lt;&gt;DATA_CLEANED!AN200,"OK","ERREUR")</f>
        <v>OK</v>
      </c>
      <c r="BG209" s="43" t="str">
        <f>IF(DATA_CLEANED!AL200&gt;DATA_CLEANED!AM200,DATA_CLEANED!AK200,IF(AND(DATA_QUALITE!W4686="-",DATA_CLEANED!AM200=DATA_CLEANED!AL200),"MATCH NUL",IF(AND(DATA_QUALITE!V4686="-",DATA_QUALITE!U4686="AUCUNE"),DATA_QUALITE!T4686,IF(DATA_QUALITE!V4686&lt;&gt;"-",DATA_QUALITE!V4686,DATA_CLEANED!AN200))))</f>
        <v>England</v>
      </c>
      <c r="BH209" s="103" t="str">
        <f>IF(AND(BG209="MATCH NUL",DATA_CLEANED!AO200="-"),"MATCH_NUL",IF(ISNUMBER(SEARCH("win on penalties",W4686)),"WIN_BY_PENALTY",IF(ISNUMBER(SEARCH("win after extra time",W4686)),"WIN_BY_EXTRA_TIME",IF(ISNUMBER(SEARCH("Golden Goal",W4686)),"WIN_BY_GOLDEN_GOAL","WIN_BY_SCORE"))))</f>
        <v>WIN_BY_SCORE</v>
      </c>
      <c r="BI209" s="99" t="str">
        <f>IF(OR(BG209=DATA_CLEANED!AK200,BG209=DATA_CLEANED!AN200,BG209="MATCH NUL"),"OK","ERREUR")</f>
        <v>OK</v>
      </c>
    </row>
    <row r="210" spans="2:61">
      <c r="B210" s="74">
        <v>1998</v>
      </c>
      <c r="C210" s="30" t="str">
        <v>Semi-finals</v>
      </c>
      <c r="D210" s="30" t="str">
        <v>Brazil</v>
      </c>
      <c r="E210" s="30" t="str">
        <v>Netherlands</v>
      </c>
      <c r="F210" s="30" t="str">
        <v>Brazil</v>
      </c>
      <c r="G210" s="30" t="str">
        <v>Rivaldo</v>
      </c>
      <c r="H210" s="30" t="str">
        <v>Edwin van der Sar</v>
      </c>
      <c r="I210" s="30">
        <v>3</v>
      </c>
      <c r="J210" s="30">
        <v>2</v>
      </c>
      <c r="K210" s="30" t="str">
        <v>'1-1</v>
      </c>
      <c r="L210" s="30" t="str">
        <v>No</v>
      </c>
      <c r="M210" s="30" t="str">
        <v>No</v>
      </c>
      <c r="N210" s="30" t="str">
        <v>Goal</v>
      </c>
      <c r="O210" s="30" t="str">
        <f t="shared" si="20"/>
        <v>1998|Semi-finals|Brazil|Netherlands|Brazil|Rivaldo|Edwin van der Sar|3|2|'1-1|No|No|Goal</v>
      </c>
      <c r="P210" s="96" t="str">
        <f>IF(COUNTIF($G$32:O210,O210)&gt;1,"DOUBLON","OK")</f>
        <v>OK</v>
      </c>
      <c r="R210" s="23" t="s">
        <v>3692</v>
      </c>
      <c r="S210" s="30" t="str">
        <v>Spain</v>
      </c>
      <c r="T210" s="30" t="str">
        <f t="shared" si="23"/>
        <v>OK</v>
      </c>
      <c r="U210" s="30" t="str">
        <f t="shared" si="24"/>
        <v>-</v>
      </c>
      <c r="V210" s="30" t="str" cm="1">
        <f t="array" ref="V210">_xlfn.IFS(
ISNUMBER(SEARCH("USA",S210)),"United States",
ISNUMBER(SEARCH("Republic of Korea",S210)),"South Korea",
ISNUMBER(SEARCH("Cape Verde",S210)),"Cabo Verde",
ISNUMBER(SEARCH("Czechia",S210)),"Czech Republic",
ISNUMBER(SEARCH("Türkiye",S210)),"Turkey",
ISNUMBER(SEARCH("Ivory Coast",S210)),"Côte d'Ivoire",
ISNUMBER(SEARCH("Korea Republic",S210)),"South Korea",
ISNUMBER(SEARCH("Germany FR",S210)),"FR Germany",
ISNUMBER(SEARCH("West Germany",S210)),"FR Germany",
ISNUMBER(SEARCH("Germany DR",S210)),"DR Germany",
ISNUMBER(SEARCH("Korea DPR",S210)),"North Korea",
ISNUMBER(SEARCH("China PR",S210)),"China",
ISNUMBER(SEARCH("IR Iran",S210)),"Iran",
ISNUMBER(SEARCH("Congo DR",S210)),"Democratic Republic of the Congo",
ISNUMBER(SEARCH("DR Congo",S210)),"Democratic Republic of the Congo",
ISNUMBER(SEARCH("German DR",S210)),"DR Germany",
ISNUMBER(SEARCH("rn""&gt;United Arab Emirates",S210)),"United Arab Emirates",
ISNUMBER(SEARCH("rn""&gt;Republic of Ireland",S210)),"Ireland",
ISNUMBER(SEARCH("rn""&gt;Bosnia and Herzegovina",S210)),"Bosnia and Herzegovina",
ISNUMBER(SEARCH("rn""&gt;Trinidad and Tobago",S210)),"Trinidad and Tobago",
ISNUMBER(SEARCH("rn""&gt;Serbia and Montenegro",S210)),"Serbia and Montenegro",
ISNUMBER(SEARCH(_xlfn.UNICHAR(65533),S210)),"Côte d'Ivoire",
TRUE,""
)</f>
        <v/>
      </c>
      <c r="W210" s="30" t="str">
        <f t="shared" si="25"/>
        <v>Spain</v>
      </c>
      <c r="Z210" s="40" t="str">
        <v>Goodison Park</v>
      </c>
      <c r="AA210" s="40" t="str" cm="1">
        <f t="array" ref="AA210">IFERROR(_xlfn.XLOOKUP(Z210,_xlfn.ANCHORARRAY(Z$31),AA$31:AA$37),Z210)</f>
        <v>Goodison Park</v>
      </c>
      <c r="AB210" s="42" t="str">
        <v xml:space="preserve">Liverpool </v>
      </c>
      <c r="AC210" s="89" t="str">
        <f t="shared" si="22"/>
        <v xml:space="preserve">Liverpool </v>
      </c>
      <c r="AE210" s="42">
        <v>1958</v>
      </c>
      <c r="AK210" s="42">
        <v>2</v>
      </c>
      <c r="AL210" s="42">
        <v>1</v>
      </c>
      <c r="AV210" s="37" t="str">
        <v>QUARTER_FINALS</v>
      </c>
      <c r="AW210" s="89" t="str">
        <v>THIRD_PLACE</v>
      </c>
      <c r="BE210" s="43" t="str">
        <f>IF(OR(DATA_CLEANED!AL201="",DATA_CLEANED!AM201=""),"MANQUANT",IF(OR(NOT(ISNUMBER(DATA_CLEANED!AL201)),NOT(ISNUMBER(DATA_CLEANED!AM201))),"ENTREE INVALIDE",IF(OR(DATA_CLEANED!AL201&lt;0,DATA_CLEANED!AM201&lt;0),"SCORE NEGATIF","OK")))</f>
        <v>OK</v>
      </c>
      <c r="BF210" s="43" t="str">
        <f>IF(DATA_CLEANED!AK201&lt;&gt;DATA_CLEANED!AN201,"OK","ERREUR")</f>
        <v>OK</v>
      </c>
      <c r="BG210" s="43" t="str">
        <f>IF(DATA_CLEANED!AL201&gt;DATA_CLEANED!AM201,DATA_CLEANED!AK201,IF(AND(DATA_QUALITE!W4687="-",DATA_CLEANED!AM201=DATA_CLEANED!AL201),"MATCH NUL",IF(AND(DATA_QUALITE!V4687="-",DATA_QUALITE!U4687="AUCUNE"),DATA_QUALITE!T4687,IF(DATA_QUALITE!V4687&lt;&gt;"-",DATA_QUALITE!V4687,DATA_CLEANED!AN201))))</f>
        <v>Portugal</v>
      </c>
      <c r="BH210" s="103" t="str">
        <f>IF(AND(BG210="MATCH NUL",DATA_CLEANED!AO201="-"),"MATCH_NUL",IF(ISNUMBER(SEARCH("win on penalties",W4687)),"WIN_BY_PENALTY",IF(ISNUMBER(SEARCH("win after extra time",W4687)),"WIN_BY_EXTRA_TIME",IF(ISNUMBER(SEARCH("Golden Goal",W4687)),"WIN_BY_GOLDEN_GOAL","WIN_BY_SCORE"))))</f>
        <v>WIN_BY_SCORE</v>
      </c>
      <c r="BI210" s="99" t="str">
        <f>IF(OR(BG210=DATA_CLEANED!AK201,BG210=DATA_CLEANED!AN201,BG210="MATCH NUL"),"OK","ERREUR")</f>
        <v>OK</v>
      </c>
    </row>
    <row r="211" spans="2:61">
      <c r="B211" s="74">
        <v>1998</v>
      </c>
      <c r="C211" s="30" t="str">
        <v>Semi-finals</v>
      </c>
      <c r="D211" s="30" t="str">
        <v>Brazil</v>
      </c>
      <c r="E211" s="30" t="str">
        <v>Netherlands</v>
      </c>
      <c r="F211" s="30" t="str">
        <v>Netherlands</v>
      </c>
      <c r="G211" s="30" t="str">
        <v>Dennis Bergkamp</v>
      </c>
      <c r="H211" s="30" t="str">
        <v>Taffarel</v>
      </c>
      <c r="I211" s="30">
        <v>4</v>
      </c>
      <c r="J211" s="30">
        <v>2</v>
      </c>
      <c r="K211" s="30" t="str">
        <v>'1-2</v>
      </c>
      <c r="L211" s="30" t="str">
        <v>No</v>
      </c>
      <c r="M211" s="30" t="str">
        <v>No</v>
      </c>
      <c r="N211" s="30" t="str">
        <v>Goal</v>
      </c>
      <c r="O211" s="30" t="str">
        <f t="shared" si="20"/>
        <v>1998|Semi-finals|Brazil|Netherlands|Netherlands|Dennis Bergkamp|Taffarel|4|2|'1-2|No|No|Goal</v>
      </c>
      <c r="P211" s="96" t="str">
        <f>IF(COUNTIF($G$32:O211,O211)&gt;1,"DOUBLON","OK")</f>
        <v>OK</v>
      </c>
      <c r="R211" s="23" t="s">
        <v>61</v>
      </c>
      <c r="S211" s="30" t="str">
        <v>Spain</v>
      </c>
      <c r="T211" s="30" t="str">
        <f t="shared" si="23"/>
        <v>OK</v>
      </c>
      <c r="U211" s="30" t="str">
        <f t="shared" si="24"/>
        <v>-</v>
      </c>
      <c r="V211" s="30" t="str" cm="1">
        <f t="array" ref="V211">_xlfn.IFS(
ISNUMBER(SEARCH("USA",S211)),"United States",
ISNUMBER(SEARCH("Republic of Korea",S211)),"South Korea",
ISNUMBER(SEARCH("Cape Verde",S211)),"Cabo Verde",
ISNUMBER(SEARCH("Czechia",S211)),"Czech Republic",
ISNUMBER(SEARCH("Türkiye",S211)),"Turkey",
ISNUMBER(SEARCH("Ivory Coast",S211)),"Côte d'Ivoire",
ISNUMBER(SEARCH("Korea Republic",S211)),"South Korea",
ISNUMBER(SEARCH("Germany FR",S211)),"FR Germany",
ISNUMBER(SEARCH("West Germany",S211)),"FR Germany",
ISNUMBER(SEARCH("Germany DR",S211)),"DR Germany",
ISNUMBER(SEARCH("Korea DPR",S211)),"North Korea",
ISNUMBER(SEARCH("China PR",S211)),"China",
ISNUMBER(SEARCH("IR Iran",S211)),"Iran",
ISNUMBER(SEARCH("Congo DR",S211)),"Democratic Republic of the Congo",
ISNUMBER(SEARCH("DR Congo",S211)),"Democratic Republic of the Congo",
ISNUMBER(SEARCH("German DR",S211)),"DR Germany",
ISNUMBER(SEARCH("rn""&gt;United Arab Emirates",S211)),"United Arab Emirates",
ISNUMBER(SEARCH("rn""&gt;Republic of Ireland",S211)),"Ireland",
ISNUMBER(SEARCH("rn""&gt;Bosnia and Herzegovina",S211)),"Bosnia and Herzegovina",
ISNUMBER(SEARCH("rn""&gt;Trinidad and Tobago",S211)),"Trinidad and Tobago",
ISNUMBER(SEARCH("rn""&gt;Serbia and Montenegro",S211)),"Serbia and Montenegro",
ISNUMBER(SEARCH(_xlfn.UNICHAR(65533),S211)),"Côte d'Ivoire",
TRUE,""
)</f>
        <v/>
      </c>
      <c r="W211" s="30" t="str">
        <f t="shared" si="25"/>
        <v>Spain</v>
      </c>
      <c r="Z211" s="40" t="str">
        <v>Ayresome Park</v>
      </c>
      <c r="AA211" s="40" t="str" cm="1">
        <f t="array" ref="AA211">IFERROR(_xlfn.XLOOKUP(Z211,_xlfn.ANCHORARRAY(Z$31),AA$31:AA$37),Z211)</f>
        <v>Ayresome Park</v>
      </c>
      <c r="AB211" s="42" t="str">
        <v xml:space="preserve">Middlesbrough </v>
      </c>
      <c r="AC211" s="89" t="str">
        <f t="shared" si="22"/>
        <v xml:space="preserve">Middlesbrough </v>
      </c>
      <c r="AE211" s="42">
        <v>1958</v>
      </c>
      <c r="AK211" s="42">
        <v>1</v>
      </c>
      <c r="AL211" s="42">
        <v>0</v>
      </c>
      <c r="AV211" s="37" t="str">
        <v>QUARTER_FINALS</v>
      </c>
      <c r="AW211" s="89" t="str">
        <v>FINAL</v>
      </c>
      <c r="BE211" s="43" t="str">
        <f>IF(OR(DATA_CLEANED!AL202="",DATA_CLEANED!AM202=""),"MANQUANT",IF(OR(NOT(ISNUMBER(DATA_CLEANED!AL202)),NOT(ISNUMBER(DATA_CLEANED!AM202))),"ENTREE INVALIDE",IF(OR(DATA_CLEANED!AL202&lt;0,DATA_CLEANED!AM202&lt;0),"SCORE NEGATIF","OK")))</f>
        <v>OK</v>
      </c>
      <c r="BF211" s="43" t="str">
        <f>IF(DATA_CLEANED!AK202&lt;&gt;DATA_CLEANED!AN202,"OK","ERREUR")</f>
        <v>OK</v>
      </c>
      <c r="BG211" s="43" t="str">
        <f>IF(DATA_CLEANED!AL202&gt;DATA_CLEANED!AM202,DATA_CLEANED!AK202,IF(AND(DATA_QUALITE!W4688="-",DATA_CLEANED!AM202=DATA_CLEANED!AL202),"MATCH NUL",IF(AND(DATA_QUALITE!V4688="-",DATA_QUALITE!U4688="AUCUNE"),DATA_QUALITE!T4688,IF(DATA_QUALITE!V4688&lt;&gt;"-",DATA_QUALITE!V4688,DATA_CLEANED!AN202))))</f>
        <v>England</v>
      </c>
      <c r="BH211" s="103" t="str">
        <f>IF(AND(BG211="MATCH NUL",DATA_CLEANED!AO202="-"),"MATCH_NUL",IF(ISNUMBER(SEARCH("win on penalties",W4688)),"WIN_BY_PENALTY",IF(ISNUMBER(SEARCH("win after extra time",W4688)),"WIN_BY_EXTRA_TIME",IF(ISNUMBER(SEARCH("Golden Goal",W4688)),"WIN_BY_GOLDEN_GOAL","WIN_BY_SCORE"))))</f>
        <v>WIN_BY_EXTRA_TIME</v>
      </c>
      <c r="BI211" s="99" t="str">
        <f>IF(OR(BG211=DATA_CLEANED!AK202,BG211=DATA_CLEANED!AN202,BG211="MATCH NUL"),"OK","ERREUR")</f>
        <v>OK</v>
      </c>
    </row>
    <row r="212" spans="2:61">
      <c r="B212" s="74">
        <v>1998</v>
      </c>
      <c r="C212" s="30" t="str">
        <v>Semi-finals</v>
      </c>
      <c r="D212" s="30" t="str">
        <v>Brazil</v>
      </c>
      <c r="E212" s="30" t="str">
        <v>Netherlands</v>
      </c>
      <c r="F212" s="30" t="str">
        <v>Brazil</v>
      </c>
      <c r="G212" s="30" t="str">
        <v>Emerson</v>
      </c>
      <c r="H212" s="30" t="str">
        <v>Edwin van der Sar</v>
      </c>
      <c r="I212" s="30">
        <v>5</v>
      </c>
      <c r="J212" s="30">
        <v>3</v>
      </c>
      <c r="K212" s="30" t="str">
        <v>'2-2</v>
      </c>
      <c r="L212" s="30" t="str">
        <v>No</v>
      </c>
      <c r="M212" s="30" t="str">
        <v>No</v>
      </c>
      <c r="N212" s="30" t="str">
        <v>Goal</v>
      </c>
      <c r="O212" s="30" t="str">
        <f t="shared" ref="O212:O275" si="26">B212&amp;"|"&amp;C212&amp;"|"&amp;D212&amp;"|"&amp;E212&amp;"|"&amp;F212&amp;"|"&amp;G212&amp;"|"&amp;H212&amp;"|"&amp;I212&amp;"|"&amp;J212&amp;"|"&amp;K212&amp;"|"&amp;L212&amp;"|"&amp;M212&amp;"|"&amp;N212</f>
        <v>1998|Semi-finals|Brazil|Netherlands|Brazil|Emerson|Edwin van der Sar|5|3|'2-2|No|No|Goal</v>
      </c>
      <c r="P212" s="96" t="str">
        <f>IF(COUNTIF($G$32:O212,O212)&gt;1,"DOUBLON","OK")</f>
        <v>OK</v>
      </c>
      <c r="R212" s="23" t="s">
        <v>19</v>
      </c>
      <c r="S212" s="30" t="str">
        <v>Spain</v>
      </c>
      <c r="T212" s="30" t="str">
        <f t="shared" si="23"/>
        <v>OK</v>
      </c>
      <c r="U212" s="30" t="str">
        <f t="shared" si="24"/>
        <v>-</v>
      </c>
      <c r="V212" s="30" t="str" cm="1">
        <f t="array" ref="V212">_xlfn.IFS(
ISNUMBER(SEARCH("USA",S212)),"United States",
ISNUMBER(SEARCH("Republic of Korea",S212)),"South Korea",
ISNUMBER(SEARCH("Cape Verde",S212)),"Cabo Verde",
ISNUMBER(SEARCH("Czechia",S212)),"Czech Republic",
ISNUMBER(SEARCH("Türkiye",S212)),"Turkey",
ISNUMBER(SEARCH("Ivory Coast",S212)),"Côte d'Ivoire",
ISNUMBER(SEARCH("Korea Republic",S212)),"South Korea",
ISNUMBER(SEARCH("Germany FR",S212)),"FR Germany",
ISNUMBER(SEARCH("West Germany",S212)),"FR Germany",
ISNUMBER(SEARCH("Germany DR",S212)),"DR Germany",
ISNUMBER(SEARCH("Korea DPR",S212)),"North Korea",
ISNUMBER(SEARCH("China PR",S212)),"China",
ISNUMBER(SEARCH("IR Iran",S212)),"Iran",
ISNUMBER(SEARCH("Congo DR",S212)),"Democratic Republic of the Congo",
ISNUMBER(SEARCH("DR Congo",S212)),"Democratic Republic of the Congo",
ISNUMBER(SEARCH("German DR",S212)),"DR Germany",
ISNUMBER(SEARCH("rn""&gt;United Arab Emirates",S212)),"United Arab Emirates",
ISNUMBER(SEARCH("rn""&gt;Republic of Ireland",S212)),"Ireland",
ISNUMBER(SEARCH("rn""&gt;Bosnia and Herzegovina",S212)),"Bosnia and Herzegovina",
ISNUMBER(SEARCH("rn""&gt;Trinidad and Tobago",S212)),"Trinidad and Tobago",
ISNUMBER(SEARCH("rn""&gt;Serbia and Montenegro",S212)),"Serbia and Montenegro",
ISNUMBER(SEARCH(_xlfn.UNICHAR(65533),S212)),"Côte d'Ivoire",
TRUE,""
)</f>
        <v/>
      </c>
      <c r="W212" s="30" t="str">
        <f t="shared" si="25"/>
        <v>Spain</v>
      </c>
      <c r="Z212" s="40" t="str">
        <v>Wembley Stadium</v>
      </c>
      <c r="AA212" s="40" t="str" cm="1">
        <f t="array" ref="AA212">IFERROR(_xlfn.XLOOKUP(Z212,_xlfn.ANCHORARRAY(Z$31),AA$31:AA$37),Z212)</f>
        <v>Wembley Stadium</v>
      </c>
      <c r="AB212" s="42" t="str">
        <v xml:space="preserve">London </v>
      </c>
      <c r="AC212" s="89" t="str">
        <f t="shared" si="22"/>
        <v xml:space="preserve">London </v>
      </c>
      <c r="AE212" s="42">
        <v>1958</v>
      </c>
      <c r="AK212" s="42">
        <v>1</v>
      </c>
      <c r="AL212" s="42">
        <v>0</v>
      </c>
      <c r="AV212" s="37" t="str">
        <v>QUARTER_FINALS</v>
      </c>
      <c r="AW212" s="89" t="str">
        <v>GROUP_STAGE</v>
      </c>
      <c r="BE212" s="43" t="str">
        <f>IF(OR(DATA_CLEANED!AL203="",DATA_CLEANED!AM203=""),"MANQUANT",IF(OR(NOT(ISNUMBER(DATA_CLEANED!AL203)),NOT(ISNUMBER(DATA_CLEANED!AM203))),"ENTREE INVALIDE",IF(OR(DATA_CLEANED!AL203&lt;0,DATA_CLEANED!AM203&lt;0),"SCORE NEGATIF","OK")))</f>
        <v>OK</v>
      </c>
      <c r="BF212" s="43" t="str">
        <f>IF(DATA_CLEANED!AK203&lt;&gt;DATA_CLEANED!AN203,"OK","ERREUR")</f>
        <v>OK</v>
      </c>
      <c r="BG212" s="43" t="str">
        <f>IF(DATA_CLEANED!AL203&gt;DATA_CLEANED!AM203,DATA_CLEANED!AK203,IF(AND(DATA_QUALITE!W4689="-",DATA_CLEANED!AM203=DATA_CLEANED!AL203),"MATCH NUL",IF(AND(DATA_QUALITE!V4689="-",DATA_QUALITE!U4689="AUCUNE"),DATA_QUALITE!T4689,IF(DATA_QUALITE!V4689&lt;&gt;"-",DATA_QUALITE!V4689,DATA_CLEANED!AN203))))</f>
        <v>MATCH NUL</v>
      </c>
      <c r="BH212" s="103" t="str">
        <f>IF(AND(BG212="MATCH NUL",DATA_CLEANED!AO203="-"),"MATCH_NUL",IF(ISNUMBER(SEARCH("win on penalties",W4689)),"WIN_BY_PENALTY",IF(ISNUMBER(SEARCH("win after extra time",W4689)),"WIN_BY_EXTRA_TIME",IF(ISNUMBER(SEARCH("Golden Goal",W4689)),"WIN_BY_GOLDEN_GOAL","WIN_BY_SCORE"))))</f>
        <v>MATCH_NUL</v>
      </c>
      <c r="BI212" s="99" t="str">
        <f>IF(OR(BG212=DATA_CLEANED!AK203,BG212=DATA_CLEANED!AN203,BG212="MATCH NUL"),"OK","ERREUR")</f>
        <v>OK</v>
      </c>
    </row>
    <row r="213" spans="2:61">
      <c r="B213" s="74">
        <v>1998</v>
      </c>
      <c r="C213" s="30" t="str">
        <v>Semi-finals</v>
      </c>
      <c r="D213" s="30" t="str">
        <v>Brazil</v>
      </c>
      <c r="E213" s="30" t="str">
        <v>Netherlands</v>
      </c>
      <c r="F213" s="30" t="str">
        <v>Netherlands</v>
      </c>
      <c r="G213" s="30" t="str">
        <v>Phillip Cocu</v>
      </c>
      <c r="H213" s="30" t="str">
        <v>Taffarel</v>
      </c>
      <c r="I213" s="30">
        <v>6</v>
      </c>
      <c r="J213" s="30">
        <v>3</v>
      </c>
      <c r="K213" s="30" t="str">
        <v>'2-3</v>
      </c>
      <c r="L213" s="30" t="str">
        <v>No</v>
      </c>
      <c r="M213" s="30" t="str">
        <v>No</v>
      </c>
      <c r="N213" s="30" t="str">
        <v>Saved</v>
      </c>
      <c r="O213" s="30" t="str">
        <f t="shared" si="26"/>
        <v>1998|Semi-finals|Brazil|Netherlands|Netherlands|Phillip Cocu|Taffarel|6|3|'2-3|No|No|Saved</v>
      </c>
      <c r="P213" s="96" t="str">
        <f>IF(COUNTIF($G$32:O213,O213)&gt;1,"DOUBLON","OK")</f>
        <v>OK</v>
      </c>
      <c r="R213" s="23" t="s">
        <v>3694</v>
      </c>
      <c r="S213" s="30" t="str">
        <v>Spain</v>
      </c>
      <c r="T213" s="30" t="str">
        <f t="shared" si="23"/>
        <v>OK</v>
      </c>
      <c r="U213" s="30" t="str">
        <f t="shared" si="24"/>
        <v>-</v>
      </c>
      <c r="V213" s="30" t="str" cm="1">
        <f t="array" ref="V213">_xlfn.IFS(
ISNUMBER(SEARCH("USA",S213)),"United States",
ISNUMBER(SEARCH("Republic of Korea",S213)),"South Korea",
ISNUMBER(SEARCH("Cape Verde",S213)),"Cabo Verde",
ISNUMBER(SEARCH("Czechia",S213)),"Czech Republic",
ISNUMBER(SEARCH("Türkiye",S213)),"Turkey",
ISNUMBER(SEARCH("Ivory Coast",S213)),"Côte d'Ivoire",
ISNUMBER(SEARCH("Korea Republic",S213)),"South Korea",
ISNUMBER(SEARCH("Germany FR",S213)),"FR Germany",
ISNUMBER(SEARCH("West Germany",S213)),"FR Germany",
ISNUMBER(SEARCH("Germany DR",S213)),"DR Germany",
ISNUMBER(SEARCH("Korea DPR",S213)),"North Korea",
ISNUMBER(SEARCH("China PR",S213)),"China",
ISNUMBER(SEARCH("IR Iran",S213)),"Iran",
ISNUMBER(SEARCH("Congo DR",S213)),"Democratic Republic of the Congo",
ISNUMBER(SEARCH("DR Congo",S213)),"Democratic Republic of the Congo",
ISNUMBER(SEARCH("German DR",S213)),"DR Germany",
ISNUMBER(SEARCH("rn""&gt;United Arab Emirates",S213)),"United Arab Emirates",
ISNUMBER(SEARCH("rn""&gt;Republic of Ireland",S213)),"Ireland",
ISNUMBER(SEARCH("rn""&gt;Bosnia and Herzegovina",S213)),"Bosnia and Herzegovina",
ISNUMBER(SEARCH("rn""&gt;Trinidad and Tobago",S213)),"Trinidad and Tobago",
ISNUMBER(SEARCH("rn""&gt;Serbia and Montenegro",S213)),"Serbia and Montenegro",
ISNUMBER(SEARCH(_xlfn.UNICHAR(65533),S213)),"Côte d'Ivoire",
TRUE,""
)</f>
        <v/>
      </c>
      <c r="W213" s="30" t="str">
        <f t="shared" si="25"/>
        <v>Spain</v>
      </c>
      <c r="Z213" s="40" t="str">
        <v>Old Trafford Stadium</v>
      </c>
      <c r="AA213" s="40" t="str" cm="1">
        <f t="array" ref="AA213">IFERROR(_xlfn.XLOOKUP(Z213,_xlfn.ANCHORARRAY(Z$31),AA$31:AA$37),Z213)</f>
        <v>Old Trafford Stadium</v>
      </c>
      <c r="AB213" s="42" t="str">
        <v xml:space="preserve">Manchester </v>
      </c>
      <c r="AC213" s="89" t="str">
        <f t="shared" si="22"/>
        <v xml:space="preserve">Manchester </v>
      </c>
      <c r="AE213" s="42">
        <v>1958</v>
      </c>
      <c r="AK213" s="42">
        <v>2</v>
      </c>
      <c r="AL213" s="42">
        <v>0</v>
      </c>
      <c r="AV213" s="37" t="str">
        <v>QUARTER_FINALS</v>
      </c>
      <c r="AW213" s="89" t="str">
        <v>GROUP_STAGE</v>
      </c>
      <c r="BE213" s="43" t="str">
        <f>IF(OR(DATA_CLEANED!AL204="",DATA_CLEANED!AM204=""),"MANQUANT",IF(OR(NOT(ISNUMBER(DATA_CLEANED!AL204)),NOT(ISNUMBER(DATA_CLEANED!AM204))),"ENTREE INVALIDE",IF(OR(DATA_CLEANED!AL204&lt;0,DATA_CLEANED!AM204&lt;0),"SCORE NEGATIF","OK")))</f>
        <v>OK</v>
      </c>
      <c r="BF213" s="43" t="str">
        <f>IF(DATA_CLEANED!AK204&lt;&gt;DATA_CLEANED!AN204,"OK","ERREUR")</f>
        <v>OK</v>
      </c>
      <c r="BG213" s="43" t="str">
        <f>IF(DATA_CLEANED!AL204&gt;DATA_CLEANED!AM204,DATA_CLEANED!AK204,IF(AND(DATA_QUALITE!W4690="-",DATA_CLEANED!AM204=DATA_CLEANED!AL204),"MATCH NUL",IF(AND(DATA_QUALITE!V4690="-",DATA_QUALITE!U4690="AUCUNE"),DATA_QUALITE!T4690,IF(DATA_QUALITE!V4690&lt;&gt;"-",DATA_QUALITE!V4690,DATA_CLEANED!AN204))))</f>
        <v>Uruguay</v>
      </c>
      <c r="BH213" s="103" t="str">
        <f>IF(AND(BG213="MATCH NUL",DATA_CLEANED!AO204="-"),"MATCH_NUL",IF(ISNUMBER(SEARCH("win on penalties",W4690)),"WIN_BY_PENALTY",IF(ISNUMBER(SEARCH("win after extra time",W4690)),"WIN_BY_EXTRA_TIME",IF(ISNUMBER(SEARCH("Golden Goal",W4690)),"WIN_BY_GOLDEN_GOAL","WIN_BY_SCORE"))))</f>
        <v>WIN_BY_SCORE</v>
      </c>
      <c r="BI213" s="99" t="str">
        <f>IF(OR(BG213=DATA_CLEANED!AK204,BG213=DATA_CLEANED!AN204,BG213="MATCH NUL"),"OK","ERREUR")</f>
        <v>OK</v>
      </c>
    </row>
    <row r="214" spans="2:61">
      <c r="B214" s="74">
        <v>1998</v>
      </c>
      <c r="C214" s="30" t="str">
        <v>Semi-finals</v>
      </c>
      <c r="D214" s="30" t="str">
        <v>Brazil</v>
      </c>
      <c r="E214" s="30" t="str">
        <v>Netherlands</v>
      </c>
      <c r="F214" s="30" t="str">
        <v>Brazil</v>
      </c>
      <c r="G214" s="30" t="str">
        <v>Dunga</v>
      </c>
      <c r="H214" s="30" t="str">
        <v>Edwin van der Sar</v>
      </c>
      <c r="I214" s="30">
        <v>7</v>
      </c>
      <c r="J214" s="30">
        <v>4</v>
      </c>
      <c r="K214" s="30" t="str">
        <v>'2-3</v>
      </c>
      <c r="L214" s="30" t="str">
        <v>No</v>
      </c>
      <c r="M214" s="30" t="str">
        <v>No</v>
      </c>
      <c r="N214" s="30" t="str">
        <v>Goal</v>
      </c>
      <c r="O214" s="30" t="str">
        <f t="shared" si="26"/>
        <v>1998|Semi-finals|Brazil|Netherlands|Brazil|Dunga|Edwin van der Sar|7|4|'2-3|No|No|Goal</v>
      </c>
      <c r="P214" s="96" t="str">
        <f>IF(COUNTIF($G$32:O214,O214)&gt;1,"DOUBLON","OK")</f>
        <v>OK</v>
      </c>
      <c r="R214" s="23" t="s">
        <v>3693</v>
      </c>
      <c r="S214" s="30" t="str">
        <v>Ukraine</v>
      </c>
      <c r="T214" s="30" t="str">
        <f t="shared" si="23"/>
        <v>OK</v>
      </c>
      <c r="U214" s="30" t="str">
        <f t="shared" si="24"/>
        <v>-</v>
      </c>
      <c r="V214" s="30" t="str" cm="1">
        <f t="array" ref="V214">_xlfn.IFS(
ISNUMBER(SEARCH("USA",S214)),"United States",
ISNUMBER(SEARCH("Republic of Korea",S214)),"South Korea",
ISNUMBER(SEARCH("Cape Verde",S214)),"Cabo Verde",
ISNUMBER(SEARCH("Czechia",S214)),"Czech Republic",
ISNUMBER(SEARCH("Türkiye",S214)),"Turkey",
ISNUMBER(SEARCH("Ivory Coast",S214)),"Côte d'Ivoire",
ISNUMBER(SEARCH("Korea Republic",S214)),"South Korea",
ISNUMBER(SEARCH("Germany FR",S214)),"FR Germany",
ISNUMBER(SEARCH("West Germany",S214)),"FR Germany",
ISNUMBER(SEARCH("Germany DR",S214)),"DR Germany",
ISNUMBER(SEARCH("Korea DPR",S214)),"North Korea",
ISNUMBER(SEARCH("China PR",S214)),"China",
ISNUMBER(SEARCH("IR Iran",S214)),"Iran",
ISNUMBER(SEARCH("Congo DR",S214)),"Democratic Republic of the Congo",
ISNUMBER(SEARCH("DR Congo",S214)),"Democratic Republic of the Congo",
ISNUMBER(SEARCH("German DR",S214)),"DR Germany",
ISNUMBER(SEARCH("rn""&gt;United Arab Emirates",S214)),"United Arab Emirates",
ISNUMBER(SEARCH("rn""&gt;Republic of Ireland",S214)),"Ireland",
ISNUMBER(SEARCH("rn""&gt;Bosnia and Herzegovina",S214)),"Bosnia and Herzegovina",
ISNUMBER(SEARCH("rn""&gt;Trinidad and Tobago",S214)),"Trinidad and Tobago",
ISNUMBER(SEARCH("rn""&gt;Serbia and Montenegro",S214)),"Serbia and Montenegro",
ISNUMBER(SEARCH(_xlfn.UNICHAR(65533),S214)),"Côte d'Ivoire",
TRUE,""
)</f>
        <v/>
      </c>
      <c r="W214" s="30" t="str">
        <f t="shared" si="25"/>
        <v>Ukraine</v>
      </c>
      <c r="Z214" s="40" t="str">
        <v>Villa Park</v>
      </c>
      <c r="AA214" s="40" t="str" cm="1">
        <f t="array" ref="AA214">IFERROR(_xlfn.XLOOKUP(Z214,_xlfn.ANCHORARRAY(Z$31),AA$31:AA$37),Z214)</f>
        <v>Villa Park</v>
      </c>
      <c r="AB214" s="42" t="str">
        <v xml:space="preserve">Birmingham </v>
      </c>
      <c r="AC214" s="89" t="str">
        <f t="shared" si="22"/>
        <v xml:space="preserve">Birmingham </v>
      </c>
      <c r="AE214" s="42">
        <v>1958</v>
      </c>
      <c r="AK214" s="42">
        <v>4</v>
      </c>
      <c r="AL214" s="42">
        <v>0</v>
      </c>
      <c r="AV214" s="37" t="str">
        <v>ROUND_OF_16</v>
      </c>
      <c r="AW214" s="89" t="str">
        <v>GROUP_STAGE</v>
      </c>
      <c r="BE214" s="43" t="str">
        <f>IF(OR(DATA_CLEANED!AL205="",DATA_CLEANED!AM205=""),"MANQUANT",IF(OR(NOT(ISNUMBER(DATA_CLEANED!AL205)),NOT(ISNUMBER(DATA_CLEANED!AM205))),"ENTREE INVALIDE",IF(OR(DATA_CLEANED!AL205&lt;0,DATA_CLEANED!AM205&lt;0),"SCORE NEGATIF","OK")))</f>
        <v>OK</v>
      </c>
      <c r="BF214" s="43" t="str">
        <f>IF(DATA_CLEANED!AK205&lt;&gt;DATA_CLEANED!AN205,"OK","ERREUR")</f>
        <v>OK</v>
      </c>
      <c r="BG214" s="43" t="str">
        <f>IF(DATA_CLEANED!AL205&gt;DATA_CLEANED!AM205,DATA_CLEANED!AK205,IF(AND(DATA_QUALITE!W4691="-",DATA_CLEANED!AM205=DATA_CLEANED!AL205),"MATCH NUL",IF(AND(DATA_QUALITE!V4691="-",DATA_QUALITE!U4691="AUCUNE"),DATA_QUALITE!T4691,IF(DATA_QUALITE!V4691&lt;&gt;"-",DATA_QUALITE!V4691,DATA_CLEANED!AN205))))</f>
        <v>Peru</v>
      </c>
      <c r="BH214" s="103" t="str">
        <f>IF(AND(BG214="MATCH NUL",DATA_CLEANED!AO205="-"),"MATCH_NUL",IF(ISNUMBER(SEARCH("win on penalties",W4691)),"WIN_BY_PENALTY",IF(ISNUMBER(SEARCH("win after extra time",W4691)),"WIN_BY_EXTRA_TIME",IF(ISNUMBER(SEARCH("Golden Goal",W4691)),"WIN_BY_GOLDEN_GOAL","WIN_BY_SCORE"))))</f>
        <v>WIN_BY_SCORE</v>
      </c>
      <c r="BI214" s="99" t="str">
        <f>IF(OR(BG214=DATA_CLEANED!AK205,BG214=DATA_CLEANED!AN205,BG214="MATCH NUL"),"OK","ERREUR")</f>
        <v>OK</v>
      </c>
    </row>
    <row r="215" spans="2:61">
      <c r="B215" s="74">
        <v>1998</v>
      </c>
      <c r="C215" s="30" t="str">
        <v>Semi-finals</v>
      </c>
      <c r="D215" s="30" t="str">
        <v>Brazil</v>
      </c>
      <c r="E215" s="30" t="str">
        <v>Netherlands</v>
      </c>
      <c r="F215" s="30" t="str">
        <v>Netherlands</v>
      </c>
      <c r="G215" s="30" t="str">
        <v>Ronald de Boer</v>
      </c>
      <c r="H215" s="30" t="str">
        <v>Taffarel</v>
      </c>
      <c r="I215" s="30">
        <v>8</v>
      </c>
      <c r="J215" s="30">
        <v>4</v>
      </c>
      <c r="K215" s="30" t="str">
        <v>'2-4</v>
      </c>
      <c r="L215" s="30" t="str">
        <v>Yes</v>
      </c>
      <c r="M215" s="30" t="str">
        <v>Yes</v>
      </c>
      <c r="N215" s="30" t="str">
        <v>Saved</v>
      </c>
      <c r="O215" s="30" t="str">
        <f t="shared" si="26"/>
        <v>1998|Semi-finals|Brazil|Netherlands|Netherlands|Ronald de Boer|Taffarel|8|4|'2-4|Yes|Yes|Saved</v>
      </c>
      <c r="P215" s="96" t="str">
        <f>IF(COUNTIF($G$32:O215,O215)&gt;1,"DOUBLON","OK")</f>
        <v>OK</v>
      </c>
      <c r="R215" s="23" t="s">
        <v>3695</v>
      </c>
      <c r="S215" s="30" t="str">
        <v>Ukraine</v>
      </c>
      <c r="T215" s="30" t="str">
        <f t="shared" si="23"/>
        <v>OK</v>
      </c>
      <c r="U215" s="30" t="str">
        <f t="shared" si="24"/>
        <v>-</v>
      </c>
      <c r="V215" s="30" t="str" cm="1">
        <f t="array" ref="V215">_xlfn.IFS(
ISNUMBER(SEARCH("USA",S215)),"United States",
ISNUMBER(SEARCH("Republic of Korea",S215)),"South Korea",
ISNUMBER(SEARCH("Cape Verde",S215)),"Cabo Verde",
ISNUMBER(SEARCH("Czechia",S215)),"Czech Republic",
ISNUMBER(SEARCH("Türkiye",S215)),"Turkey",
ISNUMBER(SEARCH("Ivory Coast",S215)),"Côte d'Ivoire",
ISNUMBER(SEARCH("Korea Republic",S215)),"South Korea",
ISNUMBER(SEARCH("Germany FR",S215)),"FR Germany",
ISNUMBER(SEARCH("West Germany",S215)),"FR Germany",
ISNUMBER(SEARCH("Germany DR",S215)),"DR Germany",
ISNUMBER(SEARCH("Korea DPR",S215)),"North Korea",
ISNUMBER(SEARCH("China PR",S215)),"China",
ISNUMBER(SEARCH("IR Iran",S215)),"Iran",
ISNUMBER(SEARCH("Congo DR",S215)),"Democratic Republic of the Congo",
ISNUMBER(SEARCH("DR Congo",S215)),"Democratic Republic of the Congo",
ISNUMBER(SEARCH("German DR",S215)),"DR Germany",
ISNUMBER(SEARCH("rn""&gt;United Arab Emirates",S215)),"United Arab Emirates",
ISNUMBER(SEARCH("rn""&gt;Republic of Ireland",S215)),"Ireland",
ISNUMBER(SEARCH("rn""&gt;Bosnia and Herzegovina",S215)),"Bosnia and Herzegovina",
ISNUMBER(SEARCH("rn""&gt;Trinidad and Tobago",S215)),"Trinidad and Tobago",
ISNUMBER(SEARCH("rn""&gt;Serbia and Montenegro",S215)),"Serbia and Montenegro",
ISNUMBER(SEARCH(_xlfn.UNICHAR(65533),S215)),"Côte d'Ivoire",
TRUE,""
)</f>
        <v/>
      </c>
      <c r="W215" s="30" t="str">
        <f t="shared" si="25"/>
        <v>Ukraine</v>
      </c>
      <c r="Z215" s="40" t="str">
        <v>Roker Park Ground</v>
      </c>
      <c r="AA215" s="40" t="str" cm="1">
        <f t="array" ref="AA215">IFERROR(_xlfn.XLOOKUP(Z215,_xlfn.ANCHORARRAY(Z$31),AA$31:AA$37),Z215)</f>
        <v>Roker Park Ground</v>
      </c>
      <c r="AB215" s="42" t="str">
        <v xml:space="preserve">Sunderland </v>
      </c>
      <c r="AC215" s="89" t="str">
        <f t="shared" si="22"/>
        <v xml:space="preserve">Sunderland </v>
      </c>
      <c r="AE215" s="42">
        <v>1958</v>
      </c>
      <c r="AK215" s="42">
        <v>3</v>
      </c>
      <c r="AL215" s="42">
        <v>1</v>
      </c>
      <c r="AV215" s="37" t="str">
        <v>ROUND_OF_16</v>
      </c>
      <c r="AW215" s="89" t="str">
        <v>GROUP_STAGE</v>
      </c>
      <c r="BE215" s="43" t="str">
        <f>IF(OR(DATA_CLEANED!AL206="",DATA_CLEANED!AM206=""),"MANQUANT",IF(OR(NOT(ISNUMBER(DATA_CLEANED!AL206)),NOT(ISNUMBER(DATA_CLEANED!AM206))),"ENTREE INVALIDE",IF(OR(DATA_CLEANED!AL206&lt;0,DATA_CLEANED!AM206&lt;0),"SCORE NEGATIF","OK")))</f>
        <v>OK</v>
      </c>
      <c r="BF215" s="43" t="str">
        <f>IF(DATA_CLEANED!AK206&lt;&gt;DATA_CLEANED!AN206,"OK","ERREUR")</f>
        <v>OK</v>
      </c>
      <c r="BG215" s="43" t="str">
        <f>IF(DATA_CLEANED!AL206&gt;DATA_CLEANED!AM206,DATA_CLEANED!AK206,IF(AND(DATA_QUALITE!W4692="-",DATA_CLEANED!AM206=DATA_CLEANED!AL206),"MATCH NUL",IF(AND(DATA_QUALITE!V4692="-",DATA_QUALITE!U4692="AUCUNE"),DATA_QUALITE!T4692,IF(DATA_QUALITE!V4692&lt;&gt;"-",DATA_QUALITE!V4692,DATA_CLEANED!AN206))))</f>
        <v>England</v>
      </c>
      <c r="BH215" s="103" t="str">
        <f>IF(AND(BG215="MATCH NUL",DATA_CLEANED!AO206="-"),"MATCH_NUL",IF(ISNUMBER(SEARCH("win on penalties",W4692)),"WIN_BY_PENALTY",IF(ISNUMBER(SEARCH("win after extra time",W4692)),"WIN_BY_EXTRA_TIME",IF(ISNUMBER(SEARCH("Golden Goal",W4692)),"WIN_BY_GOLDEN_GOAL","WIN_BY_SCORE"))))</f>
        <v>WIN_BY_SCORE</v>
      </c>
      <c r="BI215" s="99" t="str">
        <f>IF(OR(BG215=DATA_CLEANED!AK206,BG215=DATA_CLEANED!AN206,BG215="MATCH NUL"),"OK","ERREUR")</f>
        <v>OK</v>
      </c>
    </row>
    <row r="216" spans="2:61">
      <c r="B216" s="74">
        <v>2002</v>
      </c>
      <c r="C216" s="30" t="str">
        <v>Round of 16</v>
      </c>
      <c r="D216" s="30" t="str">
        <v>Spain</v>
      </c>
      <c r="E216" s="30" t="str">
        <v>Republic of Ireland</v>
      </c>
      <c r="F216" s="30" t="str">
        <v>Spain</v>
      </c>
      <c r="G216" s="30" t="str">
        <v>Robbie Keane</v>
      </c>
      <c r="H216" s="30" t="str">
        <v>Iker Casillas</v>
      </c>
      <c r="I216" s="30">
        <v>1</v>
      </c>
      <c r="J216" s="30">
        <v>1</v>
      </c>
      <c r="K216" s="30" t="str">
        <v>'0-0</v>
      </c>
      <c r="L216" s="30" t="str">
        <v>No</v>
      </c>
      <c r="M216" s="30" t="str">
        <v>No</v>
      </c>
      <c r="N216" s="30" t="str">
        <v>Goal</v>
      </c>
      <c r="O216" s="30" t="str">
        <f t="shared" si="26"/>
        <v>2002|Round of 16|Spain|Republic of Ireland|Spain|Robbie Keane|Iker Casillas|1|1|'0-0|No|No|Goal</v>
      </c>
      <c r="P216" s="96" t="str">
        <f>IF(COUNTIF($G$32:O216,O216)&gt;1,"DOUBLON","OK")</f>
        <v>OK</v>
      </c>
      <c r="R216" s="23" t="s">
        <v>3696</v>
      </c>
      <c r="S216" s="30" t="str">
        <v>Ukraine</v>
      </c>
      <c r="T216" s="30" t="str">
        <f t="shared" si="23"/>
        <v>OK</v>
      </c>
      <c r="U216" s="30" t="str">
        <f t="shared" si="24"/>
        <v>-</v>
      </c>
      <c r="V216" s="30" t="str" cm="1">
        <f t="array" ref="V216">_xlfn.IFS(
ISNUMBER(SEARCH("USA",S216)),"United States",
ISNUMBER(SEARCH("Republic of Korea",S216)),"South Korea",
ISNUMBER(SEARCH("Cape Verde",S216)),"Cabo Verde",
ISNUMBER(SEARCH("Czechia",S216)),"Czech Republic",
ISNUMBER(SEARCH("Türkiye",S216)),"Turkey",
ISNUMBER(SEARCH("Ivory Coast",S216)),"Côte d'Ivoire",
ISNUMBER(SEARCH("Korea Republic",S216)),"South Korea",
ISNUMBER(SEARCH("Germany FR",S216)),"FR Germany",
ISNUMBER(SEARCH("West Germany",S216)),"FR Germany",
ISNUMBER(SEARCH("Germany DR",S216)),"DR Germany",
ISNUMBER(SEARCH("Korea DPR",S216)),"North Korea",
ISNUMBER(SEARCH("China PR",S216)),"China",
ISNUMBER(SEARCH("IR Iran",S216)),"Iran",
ISNUMBER(SEARCH("Congo DR",S216)),"Democratic Republic of the Congo",
ISNUMBER(SEARCH("DR Congo",S216)),"Democratic Republic of the Congo",
ISNUMBER(SEARCH("German DR",S216)),"DR Germany",
ISNUMBER(SEARCH("rn""&gt;United Arab Emirates",S216)),"United Arab Emirates",
ISNUMBER(SEARCH("rn""&gt;Republic of Ireland",S216)),"Ireland",
ISNUMBER(SEARCH("rn""&gt;Bosnia and Herzegovina",S216)),"Bosnia and Herzegovina",
ISNUMBER(SEARCH("rn""&gt;Trinidad and Tobago",S216)),"Trinidad and Tobago",
ISNUMBER(SEARCH("rn""&gt;Serbia and Montenegro",S216)),"Serbia and Montenegro",
ISNUMBER(SEARCH(_xlfn.UNICHAR(65533),S216)),"Côte d'Ivoire",
TRUE,""
)</f>
        <v/>
      </c>
      <c r="W216" s="30" t="str">
        <f t="shared" si="25"/>
        <v>Ukraine</v>
      </c>
      <c r="Z216" s="40" t="str">
        <v>White City</v>
      </c>
      <c r="AA216" s="40" t="str" cm="1">
        <f t="array" ref="AA216">IFERROR(_xlfn.XLOOKUP(Z216,_xlfn.ANCHORARRAY(Z$31),AA$31:AA$37),Z216)</f>
        <v>White City</v>
      </c>
      <c r="AB216" s="42" t="str">
        <v xml:space="preserve">London </v>
      </c>
      <c r="AC216" s="89" t="str">
        <f t="shared" si="22"/>
        <v xml:space="preserve">London </v>
      </c>
      <c r="AE216" s="42">
        <v>1958</v>
      </c>
      <c r="AK216" s="42">
        <v>5</v>
      </c>
      <c r="AL216" s="42">
        <v>2</v>
      </c>
      <c r="AV216" s="37" t="str">
        <v>ROUND_OF_16</v>
      </c>
      <c r="AW216" s="89" t="str">
        <v>GROUP_STAGE</v>
      </c>
      <c r="BE216" s="43" t="str">
        <f>IF(OR(DATA_CLEANED!AL207="",DATA_CLEANED!AM207=""),"MANQUANT",IF(OR(NOT(ISNUMBER(DATA_CLEANED!AL207)),NOT(ISNUMBER(DATA_CLEANED!AM207))),"ENTREE INVALIDE",IF(OR(DATA_CLEANED!AL207&lt;0,DATA_CLEANED!AM207&lt;0),"SCORE NEGATIF","OK")))</f>
        <v>OK</v>
      </c>
      <c r="BF216" s="43" t="str">
        <f>IF(DATA_CLEANED!AK207&lt;&gt;DATA_CLEANED!AN207,"OK","ERREUR")</f>
        <v>OK</v>
      </c>
      <c r="BG216" s="43" t="str">
        <f>IF(DATA_CLEANED!AL207&gt;DATA_CLEANED!AM207,DATA_CLEANED!AK207,IF(AND(DATA_QUALITE!W4693="-",DATA_CLEANED!AM207=DATA_CLEANED!AL207),"MATCH NUL",IF(AND(DATA_QUALITE!V4693="-",DATA_QUALITE!U4693="AUCUNE"),DATA_QUALITE!T4693,IF(DATA_QUALITE!V4693&lt;&gt;"-",DATA_QUALITE!V4693,DATA_CLEANED!AN207))))</f>
        <v>Italy</v>
      </c>
      <c r="BH216" s="103" t="str">
        <f>IF(AND(BG216="MATCH NUL",DATA_CLEANED!AO207="-"),"MATCH_NUL",IF(ISNUMBER(SEARCH("win on penalties",W4693)),"WIN_BY_PENALTY",IF(ISNUMBER(SEARCH("win after extra time",W4693)),"WIN_BY_EXTRA_TIME",IF(ISNUMBER(SEARCH("Golden Goal",W4693)),"WIN_BY_GOLDEN_GOAL","WIN_BY_SCORE"))))</f>
        <v>WIN_BY_SCORE</v>
      </c>
      <c r="BI216" s="99" t="str">
        <f>IF(OR(BG216=DATA_CLEANED!AK207,BG216=DATA_CLEANED!AN207,BG216="MATCH NUL"),"OK","ERREUR")</f>
        <v>OK</v>
      </c>
    </row>
    <row r="217" spans="2:61">
      <c r="B217" s="74">
        <v>2002</v>
      </c>
      <c r="C217" s="30" t="str">
        <v>Round of 16</v>
      </c>
      <c r="D217" s="30" t="str">
        <v>Spain</v>
      </c>
      <c r="E217" s="30" t="str">
        <v>Republic of Ireland</v>
      </c>
      <c r="F217" s="30" t="str">
        <v>Republic of Ireland</v>
      </c>
      <c r="G217" s="30" t="str">
        <v>Ian Harte</v>
      </c>
      <c r="H217" s="30" t="str">
        <v>Iker Casillas</v>
      </c>
      <c r="I217" s="30">
        <v>2</v>
      </c>
      <c r="J217" s="30">
        <v>1</v>
      </c>
      <c r="K217" s="30" t="str">
        <v>'1-0</v>
      </c>
      <c r="L217" s="30" t="str">
        <v>No</v>
      </c>
      <c r="M217" s="30" t="str">
        <v>No</v>
      </c>
      <c r="N217" s="30" t="str">
        <v>Saved</v>
      </c>
      <c r="O217" s="30" t="str">
        <f t="shared" si="26"/>
        <v>2002|Round of 16|Spain|Republic of Ireland|Republic of Ireland|Ian Harte|Iker Casillas|2|1|'1-0|No|No|Saved</v>
      </c>
      <c r="P217" s="96" t="str">
        <f>IF(COUNTIF($G$32:O217,O217)&gt;1,"DOUBLON","OK")</f>
        <v>OK</v>
      </c>
      <c r="R217" s="23" t="s">
        <v>17</v>
      </c>
      <c r="S217" s="30" t="str">
        <v>Ukraine</v>
      </c>
      <c r="T217" s="30" t="str">
        <f t="shared" si="23"/>
        <v>OK</v>
      </c>
      <c r="U217" s="30" t="str">
        <f t="shared" si="24"/>
        <v>-</v>
      </c>
      <c r="V217" s="30" t="str" cm="1">
        <f t="array" ref="V217">_xlfn.IFS(
ISNUMBER(SEARCH("USA",S217)),"United States",
ISNUMBER(SEARCH("Republic of Korea",S217)),"South Korea",
ISNUMBER(SEARCH("Cape Verde",S217)),"Cabo Verde",
ISNUMBER(SEARCH("Czechia",S217)),"Czech Republic",
ISNUMBER(SEARCH("Türkiye",S217)),"Turkey",
ISNUMBER(SEARCH("Ivory Coast",S217)),"Côte d'Ivoire",
ISNUMBER(SEARCH("Korea Republic",S217)),"South Korea",
ISNUMBER(SEARCH("Germany FR",S217)),"FR Germany",
ISNUMBER(SEARCH("West Germany",S217)),"FR Germany",
ISNUMBER(SEARCH("Germany DR",S217)),"DR Germany",
ISNUMBER(SEARCH("Korea DPR",S217)),"North Korea",
ISNUMBER(SEARCH("China PR",S217)),"China",
ISNUMBER(SEARCH("IR Iran",S217)),"Iran",
ISNUMBER(SEARCH("Congo DR",S217)),"Democratic Republic of the Congo",
ISNUMBER(SEARCH("DR Congo",S217)),"Democratic Republic of the Congo",
ISNUMBER(SEARCH("German DR",S217)),"DR Germany",
ISNUMBER(SEARCH("rn""&gt;United Arab Emirates",S217)),"United Arab Emirates",
ISNUMBER(SEARCH("rn""&gt;Republic of Ireland",S217)),"Ireland",
ISNUMBER(SEARCH("rn""&gt;Bosnia and Herzegovina",S217)),"Bosnia and Herzegovina",
ISNUMBER(SEARCH("rn""&gt;Trinidad and Tobago",S217)),"Trinidad and Tobago",
ISNUMBER(SEARCH("rn""&gt;Serbia and Montenegro",S217)),"Serbia and Montenegro",
ISNUMBER(SEARCH(_xlfn.UNICHAR(65533),S217)),"Côte d'Ivoire",
TRUE,""
)</f>
        <v/>
      </c>
      <c r="W217" s="30" t="str">
        <f t="shared" si="25"/>
        <v>Ukraine</v>
      </c>
      <c r="Z217" s="40" t="str">
        <v>Hillsborough</v>
      </c>
      <c r="AA217" s="40" t="str" cm="1">
        <f t="array" ref="AA217">IFERROR(_xlfn.XLOOKUP(Z217,_xlfn.ANCHORARRAY(Z$31),AA$31:AA$37),Z217)</f>
        <v>Hillsborough</v>
      </c>
      <c r="AB217" s="42" t="str">
        <v xml:space="preserve">Sheffield </v>
      </c>
      <c r="AC217" s="89" t="str">
        <f t="shared" si="22"/>
        <v xml:space="preserve">Sheffield </v>
      </c>
      <c r="AE217" s="42">
        <v>1958</v>
      </c>
      <c r="AK217" s="42">
        <v>6</v>
      </c>
      <c r="AL217" s="42">
        <v>3</v>
      </c>
      <c r="AV217" s="37" t="str">
        <v>ROUND_OF_16</v>
      </c>
      <c r="AW217" s="89" t="str">
        <v>GROUP_STAGE</v>
      </c>
      <c r="BE217" s="43" t="str">
        <f>IF(OR(DATA_CLEANED!AL208="",DATA_CLEANED!AM208=""),"MANQUANT",IF(OR(NOT(ISNUMBER(DATA_CLEANED!AL208)),NOT(ISNUMBER(DATA_CLEANED!AM208))),"ENTREE INVALIDE",IF(OR(DATA_CLEANED!AL208&lt;0,DATA_CLEANED!AM208&lt;0),"SCORE NEGATIF","OK")))</f>
        <v>OK</v>
      </c>
      <c r="BF217" s="43" t="str">
        <f>IF(DATA_CLEANED!AK208&lt;&gt;DATA_CLEANED!AN208,"OK","ERREUR")</f>
        <v>OK</v>
      </c>
      <c r="BG217" s="43" t="str">
        <f>IF(DATA_CLEANED!AL208&gt;DATA_CLEANED!AM208,DATA_CLEANED!AK208,IF(AND(DATA_QUALITE!W4694="-",DATA_CLEANED!AM208=DATA_CLEANED!AL208),"MATCH NUL",IF(AND(DATA_QUALITE!V4694="-",DATA_QUALITE!U4694="AUCUNE"),DATA_QUALITE!T4694,IF(DATA_QUALITE!V4694&lt;&gt;"-",DATA_QUALITE!V4694,DATA_CLEANED!AN208))))</f>
        <v>FR Germany</v>
      </c>
      <c r="BH217" s="103" t="str">
        <f>IF(AND(BG217="MATCH NUL",DATA_CLEANED!AO208="-"),"MATCH_NUL",IF(ISNUMBER(SEARCH("win on penalties",W4694)),"WIN_BY_PENALTY",IF(ISNUMBER(SEARCH("win after extra time",W4694)),"WIN_BY_EXTRA_TIME",IF(ISNUMBER(SEARCH("Golden Goal",W4694)),"WIN_BY_GOLDEN_GOAL","WIN_BY_SCORE"))))</f>
        <v>WIN_BY_SCORE</v>
      </c>
      <c r="BI217" s="99" t="str">
        <f>IF(OR(BG217=DATA_CLEANED!AK208,BG217=DATA_CLEANED!AN208,BG217="MATCH NUL"),"OK","ERREUR")</f>
        <v>OK</v>
      </c>
    </row>
    <row r="218" spans="2:61">
      <c r="B218" s="74">
        <v>2002</v>
      </c>
      <c r="C218" s="30" t="str">
        <v>Round of 16</v>
      </c>
      <c r="D218" s="30" t="str">
        <v>Spain</v>
      </c>
      <c r="E218" s="30" t="str">
        <v>Republic of Ireland</v>
      </c>
      <c r="F218" s="30" t="str">
        <v>Spain</v>
      </c>
      <c r="G218" s="30" t="str">
        <v>Rubén Baraja</v>
      </c>
      <c r="H218" s="30" t="str">
        <v>Shay Given</v>
      </c>
      <c r="I218" s="30">
        <v>3</v>
      </c>
      <c r="J218" s="30">
        <v>2</v>
      </c>
      <c r="K218" s="30" t="str">
        <v>'1-0</v>
      </c>
      <c r="L218" s="30" t="str">
        <v>No</v>
      </c>
      <c r="M218" s="30" t="str">
        <v>No</v>
      </c>
      <c r="N218" s="30" t="str">
        <v>Goal</v>
      </c>
      <c r="O218" s="30" t="str">
        <f t="shared" si="26"/>
        <v>2002|Round of 16|Spain|Republic of Ireland|Spain|Rubén Baraja|Shay Given|3|2|'1-0|No|No|Goal</v>
      </c>
      <c r="P218" s="96" t="str">
        <f>IF(COUNTIF($G$32:O218,O218)&gt;1,"DOUBLON","OK")</f>
        <v>OK</v>
      </c>
      <c r="R218" s="23" t="s">
        <v>16</v>
      </c>
      <c r="S218" s="30" t="str">
        <v>Ukraine</v>
      </c>
      <c r="T218" s="30" t="str">
        <f t="shared" si="23"/>
        <v>OK</v>
      </c>
      <c r="U218" s="30" t="str">
        <f t="shared" si="24"/>
        <v>-</v>
      </c>
      <c r="V218" s="30" t="str" cm="1">
        <f t="array" ref="V218">_xlfn.IFS(
ISNUMBER(SEARCH("USA",S218)),"United States",
ISNUMBER(SEARCH("Republic of Korea",S218)),"South Korea",
ISNUMBER(SEARCH("Cape Verde",S218)),"Cabo Verde",
ISNUMBER(SEARCH("Czechia",S218)),"Czech Republic",
ISNUMBER(SEARCH("Türkiye",S218)),"Turkey",
ISNUMBER(SEARCH("Ivory Coast",S218)),"Côte d'Ivoire",
ISNUMBER(SEARCH("Korea Republic",S218)),"South Korea",
ISNUMBER(SEARCH("Germany FR",S218)),"FR Germany",
ISNUMBER(SEARCH("West Germany",S218)),"FR Germany",
ISNUMBER(SEARCH("Germany DR",S218)),"DR Germany",
ISNUMBER(SEARCH("Korea DPR",S218)),"North Korea",
ISNUMBER(SEARCH("China PR",S218)),"China",
ISNUMBER(SEARCH("IR Iran",S218)),"Iran",
ISNUMBER(SEARCH("Congo DR",S218)),"Democratic Republic of the Congo",
ISNUMBER(SEARCH("DR Congo",S218)),"Democratic Republic of the Congo",
ISNUMBER(SEARCH("German DR",S218)),"DR Germany",
ISNUMBER(SEARCH("rn""&gt;United Arab Emirates",S218)),"United Arab Emirates",
ISNUMBER(SEARCH("rn""&gt;Republic of Ireland",S218)),"Ireland",
ISNUMBER(SEARCH("rn""&gt;Bosnia and Herzegovina",S218)),"Bosnia and Herzegovina",
ISNUMBER(SEARCH("rn""&gt;Trinidad and Tobago",S218)),"Trinidad and Tobago",
ISNUMBER(SEARCH("rn""&gt;Serbia and Montenegro",S218)),"Serbia and Montenegro",
ISNUMBER(SEARCH(_xlfn.UNICHAR(65533),S218)),"Côte d'Ivoire",
TRUE,""
)</f>
        <v/>
      </c>
      <c r="W218" s="30" t="str">
        <f t="shared" si="25"/>
        <v>Ukraine</v>
      </c>
      <c r="Z218" s="40" t="str">
        <v>Goodison Park</v>
      </c>
      <c r="AA218" s="40" t="str" cm="1">
        <f t="array" ref="AA218">IFERROR(_xlfn.XLOOKUP(Z218,_xlfn.ANCHORARRAY(Z$31),AA$31:AA$37),Z218)</f>
        <v>Goodison Park</v>
      </c>
      <c r="AB218" s="42" t="str">
        <v xml:space="preserve">Liverpool </v>
      </c>
      <c r="AC218" s="89" t="str">
        <f t="shared" si="22"/>
        <v xml:space="preserve">Liverpool </v>
      </c>
      <c r="AE218" s="42">
        <v>1958</v>
      </c>
      <c r="AK218" s="42">
        <v>5</v>
      </c>
      <c r="AL218" s="42">
        <v>2</v>
      </c>
      <c r="AV218" s="37" t="str">
        <v>ROUND_OF_16</v>
      </c>
      <c r="AW218" s="89" t="str">
        <v>GROUP_STAGE</v>
      </c>
      <c r="BE218" s="43" t="str">
        <f>IF(OR(DATA_CLEANED!AL209="",DATA_CLEANED!AM209=""),"MANQUANT",IF(OR(NOT(ISNUMBER(DATA_CLEANED!AL209)),NOT(ISNUMBER(DATA_CLEANED!AM209))),"ENTREE INVALIDE",IF(OR(DATA_CLEANED!AL209&lt;0,DATA_CLEANED!AM209&lt;0),"SCORE NEGATIF","OK")))</f>
        <v>OK</v>
      </c>
      <c r="BF218" s="43" t="str">
        <f>IF(DATA_CLEANED!AK209&lt;&gt;DATA_CLEANED!AN209,"OK","ERREUR")</f>
        <v>OK</v>
      </c>
      <c r="BG218" s="43" t="str">
        <f>IF(DATA_CLEANED!AL209&gt;DATA_CLEANED!AM209,DATA_CLEANED!AK209,IF(AND(DATA_QUALITE!W4695="-",DATA_CLEANED!AM209=DATA_CLEANED!AL209),"MATCH NUL",IF(AND(DATA_QUALITE!V4695="-",DATA_QUALITE!U4695="AUCUNE"),DATA_QUALITE!T4695,IF(DATA_QUALITE!V4695&lt;&gt;"-",DATA_QUALITE!V4695,DATA_CLEANED!AN209))))</f>
        <v>Brazil</v>
      </c>
      <c r="BH218" s="103" t="str">
        <f>IF(AND(BG218="MATCH NUL",DATA_CLEANED!AO209="-"),"MATCH_NUL",IF(ISNUMBER(SEARCH("win on penalties",W4695)),"WIN_BY_PENALTY",IF(ISNUMBER(SEARCH("win after extra time",W4695)),"WIN_BY_EXTRA_TIME",IF(ISNUMBER(SEARCH("Golden Goal",W4695)),"WIN_BY_GOLDEN_GOAL","WIN_BY_SCORE"))))</f>
        <v>WIN_BY_SCORE</v>
      </c>
      <c r="BI218" s="99" t="str">
        <f>IF(OR(BG218=DATA_CLEANED!AK209,BG218=DATA_CLEANED!AN209,BG218="MATCH NUL"),"OK","ERREUR")</f>
        <v>OK</v>
      </c>
    </row>
    <row r="219" spans="2:61">
      <c r="B219" s="74">
        <v>2002</v>
      </c>
      <c r="C219" s="30" t="str">
        <v>Round of 16</v>
      </c>
      <c r="D219" s="30" t="str">
        <v>Spain</v>
      </c>
      <c r="E219" s="30" t="str">
        <v>Republic of Ireland</v>
      </c>
      <c r="F219" s="30" t="str">
        <v>Republic of Ireland</v>
      </c>
      <c r="G219" s="30" t="str">
        <v>David Connolly</v>
      </c>
      <c r="H219" s="30" t="str">
        <v>Iker Casillas</v>
      </c>
      <c r="I219" s="30">
        <v>4</v>
      </c>
      <c r="J219" s="30">
        <v>2</v>
      </c>
      <c r="K219" s="30" t="str">
        <v>'2-0</v>
      </c>
      <c r="L219" s="30" t="str">
        <v>No</v>
      </c>
      <c r="M219" s="30" t="str">
        <v>No</v>
      </c>
      <c r="N219" s="30" t="str">
        <v>Saved</v>
      </c>
      <c r="O219" s="30" t="str">
        <f t="shared" si="26"/>
        <v>2002|Round of 16|Spain|Republic of Ireland|Republic of Ireland|David Connolly|Iker Casillas|4|2|'2-0|No|No|Saved</v>
      </c>
      <c r="P219" s="96" t="str">
        <f>IF(COUNTIF($G$32:O219,O219)&gt;1,"DOUBLON","OK")</f>
        <v>OK</v>
      </c>
      <c r="R219" s="23" t="s">
        <v>3697</v>
      </c>
      <c r="S219" s="30" t="str">
        <v>Ukraine</v>
      </c>
      <c r="T219" s="30" t="str">
        <f t="shared" si="23"/>
        <v>OK</v>
      </c>
      <c r="U219" s="30" t="str">
        <f t="shared" si="24"/>
        <v>-</v>
      </c>
      <c r="V219" s="30" t="str" cm="1">
        <f t="array" ref="V219">_xlfn.IFS(
ISNUMBER(SEARCH("USA",S219)),"United States",
ISNUMBER(SEARCH("Republic of Korea",S219)),"South Korea",
ISNUMBER(SEARCH("Cape Verde",S219)),"Cabo Verde",
ISNUMBER(SEARCH("Czechia",S219)),"Czech Republic",
ISNUMBER(SEARCH("Türkiye",S219)),"Turkey",
ISNUMBER(SEARCH("Ivory Coast",S219)),"Côte d'Ivoire",
ISNUMBER(SEARCH("Korea Republic",S219)),"South Korea",
ISNUMBER(SEARCH("Germany FR",S219)),"FR Germany",
ISNUMBER(SEARCH("West Germany",S219)),"FR Germany",
ISNUMBER(SEARCH("Germany DR",S219)),"DR Germany",
ISNUMBER(SEARCH("Korea DPR",S219)),"North Korea",
ISNUMBER(SEARCH("China PR",S219)),"China",
ISNUMBER(SEARCH("IR Iran",S219)),"Iran",
ISNUMBER(SEARCH("Congo DR",S219)),"Democratic Republic of the Congo",
ISNUMBER(SEARCH("DR Congo",S219)),"Democratic Republic of the Congo",
ISNUMBER(SEARCH("German DR",S219)),"DR Germany",
ISNUMBER(SEARCH("rn""&gt;United Arab Emirates",S219)),"United Arab Emirates",
ISNUMBER(SEARCH("rn""&gt;Republic of Ireland",S219)),"Ireland",
ISNUMBER(SEARCH("rn""&gt;Bosnia and Herzegovina",S219)),"Bosnia and Herzegovina",
ISNUMBER(SEARCH("rn""&gt;Trinidad and Tobago",S219)),"Trinidad and Tobago",
ISNUMBER(SEARCH("rn""&gt;Serbia and Montenegro",S219)),"Serbia and Montenegro",
ISNUMBER(SEARCH(_xlfn.UNICHAR(65533),S219)),"Côte d'Ivoire",
TRUE,""
)</f>
        <v/>
      </c>
      <c r="W219" s="30" t="str">
        <f t="shared" si="25"/>
        <v>Ukraine</v>
      </c>
      <c r="Z219" s="40" t="str">
        <v>Ayresome Park</v>
      </c>
      <c r="AA219" s="40" t="str" cm="1">
        <f t="array" ref="AA219">IFERROR(_xlfn.XLOOKUP(Z219,_xlfn.ANCHORARRAY(Z$31),AA$31:AA$37),Z219)</f>
        <v>Ayresome Park</v>
      </c>
      <c r="AB219" s="42" t="str">
        <v xml:space="preserve">Middlesbrough </v>
      </c>
      <c r="AC219" s="89" t="str">
        <f t="shared" si="22"/>
        <v xml:space="preserve">Middlesbrough </v>
      </c>
      <c r="AE219" s="42">
        <v>1962</v>
      </c>
      <c r="AK219" s="42">
        <v>2</v>
      </c>
      <c r="AL219" s="42">
        <v>1</v>
      </c>
      <c r="AV219" s="37" t="str">
        <v>ROUND_OF_16</v>
      </c>
      <c r="AW219" s="89" t="str">
        <v>GROUP_STAGE</v>
      </c>
      <c r="BE219" s="43" t="str">
        <f>IF(OR(DATA_CLEANED!AL210="",DATA_CLEANED!AM210=""),"MANQUANT",IF(OR(NOT(ISNUMBER(DATA_CLEANED!AL210)),NOT(ISNUMBER(DATA_CLEANED!AM210))),"ENTREE INVALIDE",IF(OR(DATA_CLEANED!AL210&lt;0,DATA_CLEANED!AM210&lt;0),"SCORE NEGATIF","OK")))</f>
        <v>OK</v>
      </c>
      <c r="BF219" s="43" t="str">
        <f>IF(DATA_CLEANED!AK210&lt;&gt;DATA_CLEANED!AN210,"OK","ERREUR")</f>
        <v>OK</v>
      </c>
      <c r="BG219" s="43" t="str">
        <f>IF(DATA_CLEANED!AL210&gt;DATA_CLEANED!AM210,DATA_CLEANED!AK210,IF(AND(DATA_QUALITE!W4696="-",DATA_CLEANED!AM210=DATA_CLEANED!AL210),"MATCH NUL",IF(AND(DATA_QUALITE!V4696="-",DATA_QUALITE!U4696="AUCUNE"),DATA_QUALITE!T4696,IF(DATA_QUALITE!V4696&lt;&gt;"-",DATA_QUALITE!V4696,DATA_CLEANED!AN210))))</f>
        <v>Belgium</v>
      </c>
      <c r="BH219" s="103" t="str">
        <f>IF(AND(BG219="MATCH NUL",DATA_CLEANED!AO210="-"),"MATCH_NUL",IF(ISNUMBER(SEARCH("win on penalties",W4696)),"WIN_BY_PENALTY",IF(ISNUMBER(SEARCH("win after extra time",W4696)),"WIN_BY_EXTRA_TIME",IF(ISNUMBER(SEARCH("Golden Goal",W4696)),"WIN_BY_GOLDEN_GOAL","WIN_BY_SCORE"))))</f>
        <v>WIN_BY_SCORE</v>
      </c>
      <c r="BI219" s="99" t="str">
        <f>IF(OR(BG219=DATA_CLEANED!AK210,BG219=DATA_CLEANED!AN210,BG219="MATCH NUL"),"OK","ERREUR")</f>
        <v>OK</v>
      </c>
    </row>
    <row r="220" spans="2:61">
      <c r="B220" s="74">
        <v>2002</v>
      </c>
      <c r="C220" s="30" t="str">
        <v>Round of 16</v>
      </c>
      <c r="D220" s="30" t="str">
        <v>Spain</v>
      </c>
      <c r="E220" s="30" t="str">
        <v>Republic of Ireland</v>
      </c>
      <c r="F220" s="30" t="str">
        <v>Spain</v>
      </c>
      <c r="G220" s="30" t="str">
        <v>Juanfran</v>
      </c>
      <c r="H220" s="30" t="str">
        <v>Shay Given</v>
      </c>
      <c r="I220" s="30">
        <v>5</v>
      </c>
      <c r="J220" s="30">
        <v>3</v>
      </c>
      <c r="K220" s="30" t="str">
        <v>'2-0</v>
      </c>
      <c r="L220" s="30" t="str">
        <v>No</v>
      </c>
      <c r="M220" s="30" t="str">
        <v>No</v>
      </c>
      <c r="N220" s="30" t="str">
        <v>Missed</v>
      </c>
      <c r="O220" s="30" t="str">
        <f t="shared" si="26"/>
        <v>2002|Round of 16|Spain|Republic of Ireland|Spain|Juanfran|Shay Given|5|3|'2-0|No|No|Missed</v>
      </c>
      <c r="P220" s="96" t="str">
        <f>IF(COUNTIF($G$32:O220,O220)&gt;1,"DOUBLON","OK")</f>
        <v>OK</v>
      </c>
      <c r="R220" s="23" t="s">
        <v>3756</v>
      </c>
      <c r="S220" s="30" t="str">
        <v>Ukraine</v>
      </c>
      <c r="T220" s="30" t="str">
        <f t="shared" si="23"/>
        <v>OK</v>
      </c>
      <c r="U220" s="30" t="str">
        <f t="shared" si="24"/>
        <v>-</v>
      </c>
      <c r="V220" s="30" t="str" cm="1">
        <f t="array" ref="V220">_xlfn.IFS(
ISNUMBER(SEARCH("USA",S220)),"United States",
ISNUMBER(SEARCH("Republic of Korea",S220)),"South Korea",
ISNUMBER(SEARCH("Cape Verde",S220)),"Cabo Verde",
ISNUMBER(SEARCH("Czechia",S220)),"Czech Republic",
ISNUMBER(SEARCH("Türkiye",S220)),"Turkey",
ISNUMBER(SEARCH("Ivory Coast",S220)),"Côte d'Ivoire",
ISNUMBER(SEARCH("Korea Republic",S220)),"South Korea",
ISNUMBER(SEARCH("Germany FR",S220)),"FR Germany",
ISNUMBER(SEARCH("West Germany",S220)),"FR Germany",
ISNUMBER(SEARCH("Germany DR",S220)),"DR Germany",
ISNUMBER(SEARCH("Korea DPR",S220)),"North Korea",
ISNUMBER(SEARCH("China PR",S220)),"China",
ISNUMBER(SEARCH("IR Iran",S220)),"Iran",
ISNUMBER(SEARCH("Congo DR",S220)),"Democratic Republic of the Congo",
ISNUMBER(SEARCH("DR Congo",S220)),"Democratic Republic of the Congo",
ISNUMBER(SEARCH("German DR",S220)),"DR Germany",
ISNUMBER(SEARCH("rn""&gt;United Arab Emirates",S220)),"United Arab Emirates",
ISNUMBER(SEARCH("rn""&gt;Republic of Ireland",S220)),"Ireland",
ISNUMBER(SEARCH("rn""&gt;Bosnia and Herzegovina",S220)),"Bosnia and Herzegovina",
ISNUMBER(SEARCH("rn""&gt;Trinidad and Tobago",S220)),"Trinidad and Tobago",
ISNUMBER(SEARCH("rn""&gt;Serbia and Montenegro",S220)),"Serbia and Montenegro",
ISNUMBER(SEARCH(_xlfn.UNICHAR(65533),S220)),"Côte d'Ivoire",
TRUE,""
)</f>
        <v/>
      </c>
      <c r="W220" s="30" t="str">
        <f t="shared" si="25"/>
        <v>Ukraine</v>
      </c>
      <c r="Z220" s="40" t="str">
        <v>Old Trafford Stadium</v>
      </c>
      <c r="AA220" s="40" t="str" cm="1">
        <f t="array" ref="AA220">IFERROR(_xlfn.XLOOKUP(Z220,_xlfn.ANCHORARRAY(Z$31),AA$31:AA$37),Z220)</f>
        <v>Old Trafford Stadium</v>
      </c>
      <c r="AB220" s="42" t="str">
        <v xml:space="preserve">Manchester </v>
      </c>
      <c r="AC220" s="89" t="str">
        <f t="shared" si="22"/>
        <v xml:space="preserve">Manchester </v>
      </c>
      <c r="AE220" s="42">
        <v>1962</v>
      </c>
      <c r="AK220" s="42">
        <v>2</v>
      </c>
      <c r="AL220" s="42">
        <v>0</v>
      </c>
      <c r="AV220" s="37" t="str">
        <v>ROUND_OF_16</v>
      </c>
      <c r="AW220" s="89" t="str">
        <v>GROUP_STAGE</v>
      </c>
      <c r="BE220" s="43" t="str">
        <f>IF(OR(DATA_CLEANED!AL211="",DATA_CLEANED!AM211=""),"MANQUANT",IF(OR(NOT(ISNUMBER(DATA_CLEANED!AL211)),NOT(ISNUMBER(DATA_CLEANED!AM211))),"ENTREE INVALIDE",IF(OR(DATA_CLEANED!AL211&lt;0,DATA_CLEANED!AM211&lt;0),"SCORE NEGATIF","OK")))</f>
        <v>OK</v>
      </c>
      <c r="BF220" s="43" t="str">
        <f>IF(DATA_CLEANED!AK211&lt;&gt;DATA_CLEANED!AN211,"OK","ERREUR")</f>
        <v>OK</v>
      </c>
      <c r="BG220" s="43" t="str">
        <f>IF(DATA_CLEANED!AL211&gt;DATA_CLEANED!AM211,DATA_CLEANED!AK211,IF(AND(DATA_QUALITE!W4697="-",DATA_CLEANED!AM211=DATA_CLEANED!AL211),"MATCH NUL",IF(AND(DATA_QUALITE!V4697="-",DATA_QUALITE!U4697="AUCUNE"),DATA_QUALITE!T4697,IF(DATA_QUALITE!V4697&lt;&gt;"-",DATA_QUALITE!V4697,DATA_CLEANED!AN211))))</f>
        <v>MATCH NUL</v>
      </c>
      <c r="BH220" s="103" t="str">
        <f>IF(AND(BG220="MATCH NUL",DATA_CLEANED!AO211="-"),"MATCH_NUL",IF(ISNUMBER(SEARCH("win on penalties",W4697)),"WIN_BY_PENALTY",IF(ISNUMBER(SEARCH("win after extra time",W4697)),"WIN_BY_EXTRA_TIME",IF(ISNUMBER(SEARCH("Golden Goal",W4697)),"WIN_BY_GOLDEN_GOAL","WIN_BY_SCORE"))))</f>
        <v>MATCH_NUL</v>
      </c>
      <c r="BI220" s="99" t="str">
        <f>IF(OR(BG220=DATA_CLEANED!AK211,BG220=DATA_CLEANED!AN211,BG220="MATCH NUL"),"OK","ERREUR")</f>
        <v>OK</v>
      </c>
    </row>
    <row r="221" spans="2:61">
      <c r="B221" s="74">
        <v>2002</v>
      </c>
      <c r="C221" s="30" t="str">
        <v>Round of 16</v>
      </c>
      <c r="D221" s="30" t="str">
        <v>Spain</v>
      </c>
      <c r="E221" s="30" t="str">
        <v>Republic of Ireland</v>
      </c>
      <c r="F221" s="30" t="str">
        <v>Republic of Ireland</v>
      </c>
      <c r="G221" s="30" t="str">
        <v>Kevin Kilbane</v>
      </c>
      <c r="H221" s="30" t="str">
        <v>Iker Casillas</v>
      </c>
      <c r="I221" s="30">
        <v>6</v>
      </c>
      <c r="J221" s="30">
        <v>3</v>
      </c>
      <c r="K221" s="30" t="str">
        <v>'2-0</v>
      </c>
      <c r="L221" s="30" t="str">
        <v>No</v>
      </c>
      <c r="M221" s="30" t="str">
        <v>No</v>
      </c>
      <c r="N221" s="30" t="str">
        <v>Saved</v>
      </c>
      <c r="O221" s="30" t="str">
        <f t="shared" si="26"/>
        <v>2002|Round of 16|Spain|Republic of Ireland|Republic of Ireland|Kevin Kilbane|Iker Casillas|6|3|'2-0|No|No|Saved</v>
      </c>
      <c r="P221" s="96" t="str">
        <f>IF(COUNTIF($G$32:O221,O221)&gt;1,"DOUBLON","OK")</f>
        <v>OK</v>
      </c>
      <c r="R221" s="23" t="s">
        <v>3698</v>
      </c>
      <c r="S221" s="30" t="str">
        <v>Germany</v>
      </c>
      <c r="T221" s="30" t="str">
        <f t="shared" si="23"/>
        <v>OK</v>
      </c>
      <c r="U221" s="30" t="str">
        <f t="shared" si="24"/>
        <v>-</v>
      </c>
      <c r="V221" s="30" t="str" cm="1">
        <f t="array" ref="V221">_xlfn.IFS(
ISNUMBER(SEARCH("USA",S221)),"United States",
ISNUMBER(SEARCH("Republic of Korea",S221)),"South Korea",
ISNUMBER(SEARCH("Cape Verde",S221)),"Cabo Verde",
ISNUMBER(SEARCH("Czechia",S221)),"Czech Republic",
ISNUMBER(SEARCH("Türkiye",S221)),"Turkey",
ISNUMBER(SEARCH("Ivory Coast",S221)),"Côte d'Ivoire",
ISNUMBER(SEARCH("Korea Republic",S221)),"South Korea",
ISNUMBER(SEARCH("Germany FR",S221)),"FR Germany",
ISNUMBER(SEARCH("West Germany",S221)),"FR Germany",
ISNUMBER(SEARCH("Germany DR",S221)),"DR Germany",
ISNUMBER(SEARCH("Korea DPR",S221)),"North Korea",
ISNUMBER(SEARCH("China PR",S221)),"China",
ISNUMBER(SEARCH("IR Iran",S221)),"Iran",
ISNUMBER(SEARCH("Congo DR",S221)),"Democratic Republic of the Congo",
ISNUMBER(SEARCH("DR Congo",S221)),"Democratic Republic of the Congo",
ISNUMBER(SEARCH("German DR",S221)),"DR Germany",
ISNUMBER(SEARCH("rn""&gt;United Arab Emirates",S221)),"United Arab Emirates",
ISNUMBER(SEARCH("rn""&gt;Republic of Ireland",S221)),"Ireland",
ISNUMBER(SEARCH("rn""&gt;Bosnia and Herzegovina",S221)),"Bosnia and Herzegovina",
ISNUMBER(SEARCH("rn""&gt;Trinidad and Tobago",S221)),"Trinidad and Tobago",
ISNUMBER(SEARCH("rn""&gt;Serbia and Montenegro",S221)),"Serbia and Montenegro",
ISNUMBER(SEARCH(_xlfn.UNICHAR(65533),S221)),"Côte d'Ivoire",
TRUE,""
)</f>
        <v/>
      </c>
      <c r="W221" s="30" t="str">
        <f t="shared" si="25"/>
        <v>Germany</v>
      </c>
      <c r="Z221" s="40" t="str">
        <v>Villa Park</v>
      </c>
      <c r="AA221" s="40" t="str" cm="1">
        <f t="array" ref="AA221">IFERROR(_xlfn.XLOOKUP(Z221,_xlfn.ANCHORARRAY(Z$31),AA$31:AA$37),Z221)</f>
        <v>Villa Park</v>
      </c>
      <c r="AB221" s="42" t="str">
        <v xml:space="preserve">Birmingham </v>
      </c>
      <c r="AC221" s="89" t="str">
        <f t="shared" si="22"/>
        <v xml:space="preserve">Birmingham </v>
      </c>
      <c r="AE221" s="42">
        <v>1962</v>
      </c>
      <c r="AK221" s="42">
        <v>1</v>
      </c>
      <c r="AL221" s="42">
        <v>0</v>
      </c>
      <c r="AV221" s="37" t="str">
        <v>ROUND_OF_16</v>
      </c>
      <c r="AW221" s="89" t="str">
        <v>GROUP_STAGE</v>
      </c>
      <c r="BE221" s="43" t="str">
        <f>IF(OR(DATA_CLEANED!AL212="",DATA_CLEANED!AM212=""),"MANQUANT",IF(OR(NOT(ISNUMBER(DATA_CLEANED!AL212)),NOT(ISNUMBER(DATA_CLEANED!AM212))),"ENTREE INVALIDE",IF(OR(DATA_CLEANED!AL212&lt;0,DATA_CLEANED!AM212&lt;0),"SCORE NEGATIF","OK")))</f>
        <v>OK</v>
      </c>
      <c r="BF221" s="43" t="str">
        <f>IF(DATA_CLEANED!AK212&lt;&gt;DATA_CLEANED!AN212,"OK","ERREUR")</f>
        <v>OK</v>
      </c>
      <c r="BG221" s="43" t="str">
        <f>IF(DATA_CLEANED!AL212&gt;DATA_CLEANED!AM212,DATA_CLEANED!AK212,IF(AND(DATA_QUALITE!W4698="-",DATA_CLEANED!AM212=DATA_CLEANED!AL212),"MATCH NUL",IF(AND(DATA_QUALITE!V4698="-",DATA_QUALITE!U4698="AUCUNE"),DATA_QUALITE!T4698,IF(DATA_QUALITE!V4698&lt;&gt;"-",DATA_QUALITE!V4698,DATA_CLEANED!AN212))))</f>
        <v>Peru</v>
      </c>
      <c r="BH221" s="103" t="str">
        <f>IF(AND(BG221="MATCH NUL",DATA_CLEANED!AO212="-"),"MATCH_NUL",IF(ISNUMBER(SEARCH("win on penalties",W4698)),"WIN_BY_PENALTY",IF(ISNUMBER(SEARCH("win after extra time",W4698)),"WIN_BY_EXTRA_TIME",IF(ISNUMBER(SEARCH("Golden Goal",W4698)),"WIN_BY_GOLDEN_GOAL","WIN_BY_SCORE"))))</f>
        <v>WIN_BY_SCORE</v>
      </c>
      <c r="BI221" s="99" t="str">
        <f>IF(OR(BG221=DATA_CLEANED!AK212,BG221=DATA_CLEANED!AN212,BG221="MATCH NUL"),"OK","ERREUR")</f>
        <v>OK</v>
      </c>
    </row>
    <row r="222" spans="2:61">
      <c r="B222" s="74">
        <v>2002</v>
      </c>
      <c r="C222" s="30" t="str">
        <v>Round of 16</v>
      </c>
      <c r="D222" s="30" t="str">
        <v>Spain</v>
      </c>
      <c r="E222" s="30" t="str">
        <v>Republic of Ireland</v>
      </c>
      <c r="F222" s="30" t="str">
        <v>Spain</v>
      </c>
      <c r="G222" s="30" t="str">
        <v>Juan Carlos Valerón</v>
      </c>
      <c r="H222" s="30" t="str">
        <v>Shay Given</v>
      </c>
      <c r="I222" s="30">
        <v>7</v>
      </c>
      <c r="J222" s="30">
        <v>4</v>
      </c>
      <c r="K222" s="30" t="str">
        <v>'2-0</v>
      </c>
      <c r="L222" s="30" t="str">
        <v>No</v>
      </c>
      <c r="M222" s="30" t="str">
        <v>No</v>
      </c>
      <c r="N222" s="30" t="str">
        <v>Missed</v>
      </c>
      <c r="O222" s="30" t="str">
        <f t="shared" si="26"/>
        <v>2002|Round of 16|Spain|Republic of Ireland|Spain|Juan Carlos Valerón|Shay Given|7|4|'2-0|No|No|Missed</v>
      </c>
      <c r="P222" s="96" t="str">
        <f>IF(COUNTIF($G$32:O222,O222)&gt;1,"DOUBLON","OK")</f>
        <v>OK</v>
      </c>
      <c r="R222" s="23" t="s">
        <v>3699</v>
      </c>
      <c r="S222" s="30" t="str">
        <v>Germany</v>
      </c>
      <c r="T222" s="30" t="str">
        <f t="shared" si="23"/>
        <v>OK</v>
      </c>
      <c r="U222" s="30" t="str">
        <f t="shared" si="24"/>
        <v>-</v>
      </c>
      <c r="V222" s="30" t="str" cm="1">
        <f t="array" ref="V222">_xlfn.IFS(
ISNUMBER(SEARCH("USA",S222)),"United States",
ISNUMBER(SEARCH("Republic of Korea",S222)),"South Korea",
ISNUMBER(SEARCH("Cape Verde",S222)),"Cabo Verde",
ISNUMBER(SEARCH("Czechia",S222)),"Czech Republic",
ISNUMBER(SEARCH("Türkiye",S222)),"Turkey",
ISNUMBER(SEARCH("Ivory Coast",S222)),"Côte d'Ivoire",
ISNUMBER(SEARCH("Korea Republic",S222)),"South Korea",
ISNUMBER(SEARCH("Germany FR",S222)),"FR Germany",
ISNUMBER(SEARCH("West Germany",S222)),"FR Germany",
ISNUMBER(SEARCH("Germany DR",S222)),"DR Germany",
ISNUMBER(SEARCH("Korea DPR",S222)),"North Korea",
ISNUMBER(SEARCH("China PR",S222)),"China",
ISNUMBER(SEARCH("IR Iran",S222)),"Iran",
ISNUMBER(SEARCH("Congo DR",S222)),"Democratic Republic of the Congo",
ISNUMBER(SEARCH("DR Congo",S222)),"Democratic Republic of the Congo",
ISNUMBER(SEARCH("German DR",S222)),"DR Germany",
ISNUMBER(SEARCH("rn""&gt;United Arab Emirates",S222)),"United Arab Emirates",
ISNUMBER(SEARCH("rn""&gt;Republic of Ireland",S222)),"Ireland",
ISNUMBER(SEARCH("rn""&gt;Bosnia and Herzegovina",S222)),"Bosnia and Herzegovina",
ISNUMBER(SEARCH("rn""&gt;Trinidad and Tobago",S222)),"Trinidad and Tobago",
ISNUMBER(SEARCH("rn""&gt;Serbia and Montenegro",S222)),"Serbia and Montenegro",
ISNUMBER(SEARCH(_xlfn.UNICHAR(65533),S222)),"Côte d'Ivoire",
TRUE,""
)</f>
        <v/>
      </c>
      <c r="W222" s="30" t="str">
        <f t="shared" si="25"/>
        <v>Germany</v>
      </c>
      <c r="Z222" s="40" t="str">
        <v>Roker Park Ground</v>
      </c>
      <c r="AA222" s="40" t="str" cm="1">
        <f t="array" ref="AA222">IFERROR(_xlfn.XLOOKUP(Z222,_xlfn.ANCHORARRAY(Z$31),AA$31:AA$37),Z222)</f>
        <v>Roker Park Ground</v>
      </c>
      <c r="AB222" s="42" t="str">
        <v xml:space="preserve">Sunderland </v>
      </c>
      <c r="AC222" s="89" t="str">
        <f t="shared" si="22"/>
        <v xml:space="preserve">Sunderland </v>
      </c>
      <c r="AE222" s="42">
        <v>1962</v>
      </c>
      <c r="AK222" s="42">
        <v>3</v>
      </c>
      <c r="AL222" s="42">
        <v>1</v>
      </c>
      <c r="AV222" s="37" t="str">
        <v>ROUND_OF_16</v>
      </c>
      <c r="AW222" s="89" t="str">
        <v>GROUP_STAGE</v>
      </c>
      <c r="BE222" s="43" t="str">
        <f>IF(OR(DATA_CLEANED!AL213="",DATA_CLEANED!AM213=""),"MANQUANT",IF(OR(NOT(ISNUMBER(DATA_CLEANED!AL213)),NOT(ISNUMBER(DATA_CLEANED!AM213))),"ENTREE INVALIDE",IF(OR(DATA_CLEANED!AL213&lt;0,DATA_CLEANED!AM213&lt;0),"SCORE NEGATIF","OK")))</f>
        <v>OK</v>
      </c>
      <c r="BF222" s="43" t="str">
        <f>IF(DATA_CLEANED!AK213&lt;&gt;DATA_CLEANED!AN213,"OK","ERREUR")</f>
        <v>OK</v>
      </c>
      <c r="BG222" s="43" t="str">
        <f>IF(DATA_CLEANED!AL213&gt;DATA_CLEANED!AM213,DATA_CLEANED!AK213,IF(AND(DATA_QUALITE!W4699="-",DATA_CLEANED!AM213=DATA_CLEANED!AL213),"MATCH NUL",IF(AND(DATA_QUALITE!V4699="-",DATA_QUALITE!U4699="AUCUNE"),DATA_QUALITE!T4699,IF(DATA_QUALITE!V4699&lt;&gt;"-",DATA_QUALITE!V4699,DATA_CLEANED!AN213))))</f>
        <v>Romania</v>
      </c>
      <c r="BH222" s="103" t="str">
        <f>IF(AND(BG222="MATCH NUL",DATA_CLEANED!AO213="-"),"MATCH_NUL",IF(ISNUMBER(SEARCH("win on penalties",W4699)),"WIN_BY_PENALTY",IF(ISNUMBER(SEARCH("win after extra time",W4699)),"WIN_BY_EXTRA_TIME",IF(ISNUMBER(SEARCH("Golden Goal",W4699)),"WIN_BY_GOLDEN_GOAL","WIN_BY_SCORE"))))</f>
        <v>WIN_BY_SCORE</v>
      </c>
      <c r="BI222" s="99" t="str">
        <f>IF(OR(BG222=DATA_CLEANED!AK213,BG222=DATA_CLEANED!AN213,BG222="MATCH NUL"),"OK","ERREUR")</f>
        <v>OK</v>
      </c>
    </row>
    <row r="223" spans="2:61">
      <c r="B223" s="74">
        <v>2002</v>
      </c>
      <c r="C223" s="30" t="str">
        <v>Round of 16</v>
      </c>
      <c r="D223" s="30" t="str">
        <v>Spain</v>
      </c>
      <c r="E223" s="30" t="str">
        <v>Republic of Ireland</v>
      </c>
      <c r="F223" s="30" t="str">
        <v>Republic of Ireland</v>
      </c>
      <c r="G223" s="30" t="str">
        <v>Matt Holland</v>
      </c>
      <c r="H223" s="30" t="str">
        <v>Iker Casillas</v>
      </c>
      <c r="I223" s="30">
        <v>8</v>
      </c>
      <c r="J223" s="30">
        <v>4</v>
      </c>
      <c r="K223" s="30" t="str">
        <v>'2-0</v>
      </c>
      <c r="L223" s="30" t="str">
        <v>No</v>
      </c>
      <c r="M223" s="30" t="str">
        <v>No</v>
      </c>
      <c r="N223" s="30" t="str">
        <v>Goal</v>
      </c>
      <c r="O223" s="30" t="str">
        <f t="shared" si="26"/>
        <v>2002|Round of 16|Spain|Republic of Ireland|Republic of Ireland|Matt Holland|Iker Casillas|8|4|'2-0|No|No|Goal</v>
      </c>
      <c r="P223" s="96" t="str">
        <f>IF(COUNTIF($G$32:O223,O223)&gt;1,"DOUBLON","OK")</f>
        <v>OK</v>
      </c>
      <c r="R223" s="23" t="s">
        <v>3700</v>
      </c>
      <c r="S223" s="30" t="str">
        <v>Germany</v>
      </c>
      <c r="T223" s="30" t="str">
        <f t="shared" ref="T223:T250" si="27">IF(COUNTIF(R$13:R$250,S223)=1,"OK","ERREUR")</f>
        <v>OK</v>
      </c>
      <c r="U223" s="30" t="str">
        <f t="shared" si="24"/>
        <v>-</v>
      </c>
      <c r="V223" s="30" t="str" cm="1">
        <f t="array" ref="V223">_xlfn.IFS(
ISNUMBER(SEARCH("USA",S223)),"United States",
ISNUMBER(SEARCH("Republic of Korea",S223)),"South Korea",
ISNUMBER(SEARCH("Cape Verde",S223)),"Cabo Verde",
ISNUMBER(SEARCH("Czechia",S223)),"Czech Republic",
ISNUMBER(SEARCH("Türkiye",S223)),"Turkey",
ISNUMBER(SEARCH("Ivory Coast",S223)),"Côte d'Ivoire",
ISNUMBER(SEARCH("Korea Republic",S223)),"South Korea",
ISNUMBER(SEARCH("Germany FR",S223)),"FR Germany",
ISNUMBER(SEARCH("West Germany",S223)),"FR Germany",
ISNUMBER(SEARCH("Germany DR",S223)),"DR Germany",
ISNUMBER(SEARCH("Korea DPR",S223)),"North Korea",
ISNUMBER(SEARCH("China PR",S223)),"China",
ISNUMBER(SEARCH("IR Iran",S223)),"Iran",
ISNUMBER(SEARCH("Congo DR",S223)),"Democratic Republic of the Congo",
ISNUMBER(SEARCH("DR Congo",S223)),"Democratic Republic of the Congo",
ISNUMBER(SEARCH("German DR",S223)),"DR Germany",
ISNUMBER(SEARCH("rn""&gt;United Arab Emirates",S223)),"United Arab Emirates",
ISNUMBER(SEARCH("rn""&gt;Republic of Ireland",S223)),"Ireland",
ISNUMBER(SEARCH("rn""&gt;Bosnia and Herzegovina",S223)),"Bosnia and Herzegovina",
ISNUMBER(SEARCH("rn""&gt;Trinidad and Tobago",S223)),"Trinidad and Tobago",
ISNUMBER(SEARCH("rn""&gt;Serbia and Montenegro",S223)),"Serbia and Montenegro",
ISNUMBER(SEARCH(_xlfn.UNICHAR(65533),S223)),"Côte d'Ivoire",
TRUE,""
)</f>
        <v/>
      </c>
      <c r="W223" s="30" t="str">
        <f t="shared" si="25"/>
        <v>Germany</v>
      </c>
      <c r="Z223" s="40" t="str">
        <v>Wembley Stadium</v>
      </c>
      <c r="AA223" s="40" t="str" cm="1">
        <f t="array" ref="AA223">IFERROR(_xlfn.XLOOKUP(Z223,_xlfn.ANCHORARRAY(Z$31),AA$31:AA$37),Z223)</f>
        <v>Wembley Stadium</v>
      </c>
      <c r="AB223" s="42" t="str">
        <v xml:space="preserve">London </v>
      </c>
      <c r="AC223" s="89" t="str">
        <f t="shared" si="22"/>
        <v xml:space="preserve">London </v>
      </c>
      <c r="AE223" s="42">
        <v>1962</v>
      </c>
      <c r="AK223" s="42">
        <v>2</v>
      </c>
      <c r="AL223" s="42">
        <v>0</v>
      </c>
      <c r="AV223" s="37" t="str">
        <v>ROUND_OF_16</v>
      </c>
      <c r="AW223" s="89" t="str">
        <v>GROUP_STAGE</v>
      </c>
      <c r="BE223" s="43" t="str">
        <f>IF(OR(DATA_CLEANED!AL214="",DATA_CLEANED!AM214=""),"MANQUANT",IF(OR(NOT(ISNUMBER(DATA_CLEANED!AL214)),NOT(ISNUMBER(DATA_CLEANED!AM214))),"ENTREE INVALIDE",IF(OR(DATA_CLEANED!AL214&lt;0,DATA_CLEANED!AM214&lt;0),"SCORE NEGATIF","OK")))</f>
        <v>OK</v>
      </c>
      <c r="BF223" s="43" t="str">
        <f>IF(DATA_CLEANED!AK214&lt;&gt;DATA_CLEANED!AN214,"OK","ERREUR")</f>
        <v>OK</v>
      </c>
      <c r="BG223" s="43" t="str">
        <f>IF(DATA_CLEANED!AL214&gt;DATA_CLEANED!AM214,DATA_CLEANED!AK214,IF(AND(DATA_QUALITE!W4700="-",DATA_CLEANED!AM214=DATA_CLEANED!AL214),"MATCH NUL",IF(AND(DATA_QUALITE!V4700="-",DATA_QUALITE!U4700="AUCUNE"),DATA_QUALITE!T4700,IF(DATA_QUALITE!V4700&lt;&gt;"-",DATA_QUALITE!V4700,DATA_CLEANED!AN214))))</f>
        <v>Soviet Union</v>
      </c>
      <c r="BH223" s="103" t="str">
        <f>IF(AND(BG223="MATCH NUL",DATA_CLEANED!AO214="-"),"MATCH_NUL",IF(ISNUMBER(SEARCH("win on penalties",W4700)),"WIN_BY_PENALTY",IF(ISNUMBER(SEARCH("win after extra time",W4700)),"WIN_BY_EXTRA_TIME",IF(ISNUMBER(SEARCH("Golden Goal",W4700)),"WIN_BY_GOLDEN_GOAL","WIN_BY_SCORE"))))</f>
        <v>WIN_BY_SCORE</v>
      </c>
      <c r="BI223" s="99" t="str">
        <f>IF(OR(BG223=DATA_CLEANED!AK214,BG223=DATA_CLEANED!AN214,BG223="MATCH NUL"),"OK","ERREUR")</f>
        <v>OK</v>
      </c>
    </row>
    <row r="224" spans="2:61">
      <c r="B224" s="74">
        <v>2002</v>
      </c>
      <c r="C224" s="30" t="str">
        <v>Round of 16</v>
      </c>
      <c r="D224" s="30" t="str">
        <v>Spain</v>
      </c>
      <c r="E224" s="30" t="str">
        <v>Republic of Ireland</v>
      </c>
      <c r="F224" s="30" t="str">
        <v>Spain</v>
      </c>
      <c r="G224" s="30" t="str">
        <v>Gaizka Mendieta</v>
      </c>
      <c r="H224" s="30" t="str">
        <v>Shay Given</v>
      </c>
      <c r="I224" s="30">
        <v>9</v>
      </c>
      <c r="J224" s="30">
        <v>5</v>
      </c>
      <c r="K224" s="30" t="str">
        <v>'1-2</v>
      </c>
      <c r="L224" s="30" t="str">
        <v>No</v>
      </c>
      <c r="M224" s="30" t="str">
        <v>Yes</v>
      </c>
      <c r="N224" s="30" t="str">
        <v>Goal</v>
      </c>
      <c r="O224" s="30" t="str">
        <f t="shared" si="26"/>
        <v>2002|Round of 16|Spain|Republic of Ireland|Spain|Gaizka Mendieta|Shay Given|9|5|'1-2|No|Yes|Goal</v>
      </c>
      <c r="P224" s="96" t="str">
        <f>IF(COUNTIF($G$32:O224,O224)&gt;1,"DOUBLON","OK")</f>
        <v>OK</v>
      </c>
      <c r="R224" s="23" t="s">
        <v>70</v>
      </c>
      <c r="S224" s="30" t="str">
        <v>Germany</v>
      </c>
      <c r="T224" s="30" t="str">
        <f t="shared" si="27"/>
        <v>OK</v>
      </c>
      <c r="U224" s="30" t="str">
        <f t="shared" si="24"/>
        <v>-</v>
      </c>
      <c r="V224" s="30" t="str" cm="1">
        <f t="array" ref="V224">_xlfn.IFS(
ISNUMBER(SEARCH("USA",S224)),"United States",
ISNUMBER(SEARCH("Republic of Korea",S224)),"South Korea",
ISNUMBER(SEARCH("Cape Verde",S224)),"Cabo Verde",
ISNUMBER(SEARCH("Czechia",S224)),"Czech Republic",
ISNUMBER(SEARCH("Türkiye",S224)),"Turkey",
ISNUMBER(SEARCH("Ivory Coast",S224)),"Côte d'Ivoire",
ISNUMBER(SEARCH("Korea Republic",S224)),"South Korea",
ISNUMBER(SEARCH("Germany FR",S224)),"FR Germany",
ISNUMBER(SEARCH("West Germany",S224)),"FR Germany",
ISNUMBER(SEARCH("Germany DR",S224)),"DR Germany",
ISNUMBER(SEARCH("Korea DPR",S224)),"North Korea",
ISNUMBER(SEARCH("China PR",S224)),"China",
ISNUMBER(SEARCH("IR Iran",S224)),"Iran",
ISNUMBER(SEARCH("Congo DR",S224)),"Democratic Republic of the Congo",
ISNUMBER(SEARCH("DR Congo",S224)),"Democratic Republic of the Congo",
ISNUMBER(SEARCH("German DR",S224)),"DR Germany",
ISNUMBER(SEARCH("rn""&gt;United Arab Emirates",S224)),"United Arab Emirates",
ISNUMBER(SEARCH("rn""&gt;Republic of Ireland",S224)),"Ireland",
ISNUMBER(SEARCH("rn""&gt;Bosnia and Herzegovina",S224)),"Bosnia and Herzegovina",
ISNUMBER(SEARCH("rn""&gt;Trinidad and Tobago",S224)),"Trinidad and Tobago",
ISNUMBER(SEARCH("rn""&gt;Serbia and Montenegro",S224)),"Serbia and Montenegro",
ISNUMBER(SEARCH(_xlfn.UNICHAR(65533),S224)),"Côte d'Ivoire",
TRUE,""
)</f>
        <v/>
      </c>
      <c r="W224" s="30" t="str">
        <f t="shared" si="25"/>
        <v>Germany</v>
      </c>
      <c r="Z224" s="40" t="str">
        <v>Wembley Stadium</v>
      </c>
      <c r="AA224" s="40" t="str" cm="1">
        <f t="array" ref="AA224">IFERROR(_xlfn.XLOOKUP(Z224,_xlfn.ANCHORARRAY(Z$31),AA$31:AA$37),Z224)</f>
        <v>Wembley Stadium</v>
      </c>
      <c r="AB224" s="42" t="str">
        <v xml:space="preserve">London </v>
      </c>
      <c r="AC224" s="89" t="str">
        <f t="shared" si="22"/>
        <v xml:space="preserve">London </v>
      </c>
      <c r="AE224" s="42">
        <v>1962</v>
      </c>
      <c r="AK224" s="42">
        <v>1</v>
      </c>
      <c r="AL224" s="42">
        <v>0</v>
      </c>
      <c r="AV224" s="37" t="str">
        <v>ROUND_OF_16</v>
      </c>
      <c r="AW224" s="89" t="str">
        <v>GROUP_STAGE</v>
      </c>
      <c r="BE224" s="43" t="str">
        <f>IF(OR(DATA_CLEANED!AL215="",DATA_CLEANED!AM215=""),"MANQUANT",IF(OR(NOT(ISNUMBER(DATA_CLEANED!AL215)),NOT(ISNUMBER(DATA_CLEANED!AM215))),"ENTREE INVALIDE",IF(OR(DATA_CLEANED!AL215&lt;0,DATA_CLEANED!AM215&lt;0),"SCORE NEGATIF","OK")))</f>
        <v>OK</v>
      </c>
      <c r="BF224" s="43" t="str">
        <f>IF(DATA_CLEANED!AK215&lt;&gt;DATA_CLEANED!AN215,"OK","ERREUR")</f>
        <v>OK</v>
      </c>
      <c r="BG224" s="43" t="str">
        <f>IF(DATA_CLEANED!AL215&gt;DATA_CLEANED!AM215,DATA_CLEANED!AK215,IF(AND(DATA_QUALITE!W4701="-",DATA_CLEANED!AM215=DATA_CLEANED!AL215),"MATCH NUL",IF(AND(DATA_QUALITE!V4701="-",DATA_QUALITE!U4701="AUCUNE"),DATA_QUALITE!T4701,IF(DATA_QUALITE!V4701&lt;&gt;"-",DATA_QUALITE!V4701,DATA_CLEANED!AN215))))</f>
        <v>MATCH NUL</v>
      </c>
      <c r="BH224" s="103" t="str">
        <f>IF(AND(BG224="MATCH NUL",DATA_CLEANED!AO215="-"),"MATCH_NUL",IF(ISNUMBER(SEARCH("win on penalties",W4701)),"WIN_BY_PENALTY",IF(ISNUMBER(SEARCH("win after extra time",W4701)),"WIN_BY_EXTRA_TIME",IF(ISNUMBER(SEARCH("Golden Goal",W4701)),"WIN_BY_GOLDEN_GOAL","WIN_BY_SCORE"))))</f>
        <v>MATCH_NUL</v>
      </c>
      <c r="BI224" s="99" t="str">
        <f>IF(OR(BG224=DATA_CLEANED!AK215,BG224=DATA_CLEANED!AN215,BG224="MATCH NUL"),"OK","ERREUR")</f>
        <v>OK</v>
      </c>
    </row>
    <row r="225" spans="2:61">
      <c r="B225" s="74">
        <v>2002</v>
      </c>
      <c r="C225" s="30" t="str">
        <v>Quarter-finals</v>
      </c>
      <c r="D225" s="30" t="str">
        <v>Spain</v>
      </c>
      <c r="E225" s="30" t="str">
        <v>South Korea</v>
      </c>
      <c r="F225" s="30" t="str">
        <v>Spain</v>
      </c>
      <c r="G225" s="30" t="str">
        <v>Joaquín</v>
      </c>
      <c r="H225" s="30" t="str">
        <v>Lee Woon-jae</v>
      </c>
      <c r="I225" s="30">
        <v>1</v>
      </c>
      <c r="J225" s="30">
        <v>1</v>
      </c>
      <c r="K225" s="30" t="str">
        <v>'0-0</v>
      </c>
      <c r="L225" s="30" t="str">
        <v>No</v>
      </c>
      <c r="M225" s="30" t="str">
        <v>No</v>
      </c>
      <c r="N225" s="30" t="str">
        <v>Saved</v>
      </c>
      <c r="O225" s="30" t="str">
        <f t="shared" si="26"/>
        <v>2002|Quarter-finals|Spain|South Korea|Spain|Joaquín|Lee Woon-jae|1|1|'0-0|No|No|Saved</v>
      </c>
      <c r="P225" s="96" t="str">
        <f>IF(COUNTIF($G$32:O225,O225)&gt;1,"DOUBLON","OK")</f>
        <v>OK</v>
      </c>
      <c r="R225" s="23" t="s">
        <v>3757</v>
      </c>
      <c r="S225" s="30" t="str">
        <v>Germany</v>
      </c>
      <c r="T225" s="30" t="str">
        <f t="shared" si="27"/>
        <v>OK</v>
      </c>
      <c r="U225" s="30" t="str">
        <f t="shared" si="24"/>
        <v>-</v>
      </c>
      <c r="V225" s="30" t="str" cm="1">
        <f t="array" ref="V225">_xlfn.IFS(
ISNUMBER(SEARCH("USA",S225)),"United States",
ISNUMBER(SEARCH("Republic of Korea",S225)),"South Korea",
ISNUMBER(SEARCH("Cape Verde",S225)),"Cabo Verde",
ISNUMBER(SEARCH("Czechia",S225)),"Czech Republic",
ISNUMBER(SEARCH("Türkiye",S225)),"Turkey",
ISNUMBER(SEARCH("Ivory Coast",S225)),"Côte d'Ivoire",
ISNUMBER(SEARCH("Korea Republic",S225)),"South Korea",
ISNUMBER(SEARCH("Germany FR",S225)),"FR Germany",
ISNUMBER(SEARCH("West Germany",S225)),"FR Germany",
ISNUMBER(SEARCH("Germany DR",S225)),"DR Germany",
ISNUMBER(SEARCH("Korea DPR",S225)),"North Korea",
ISNUMBER(SEARCH("China PR",S225)),"China",
ISNUMBER(SEARCH("IR Iran",S225)),"Iran",
ISNUMBER(SEARCH("Congo DR",S225)),"Democratic Republic of the Congo",
ISNUMBER(SEARCH("DR Congo",S225)),"Democratic Republic of the Congo",
ISNUMBER(SEARCH("German DR",S225)),"DR Germany",
ISNUMBER(SEARCH("rn""&gt;United Arab Emirates",S225)),"United Arab Emirates",
ISNUMBER(SEARCH("rn""&gt;Republic of Ireland",S225)),"Ireland",
ISNUMBER(SEARCH("rn""&gt;Bosnia and Herzegovina",S225)),"Bosnia and Herzegovina",
ISNUMBER(SEARCH("rn""&gt;Trinidad and Tobago",S225)),"Trinidad and Tobago",
ISNUMBER(SEARCH("rn""&gt;Serbia and Montenegro",S225)),"Serbia and Montenegro",
ISNUMBER(SEARCH(_xlfn.UNICHAR(65533),S225)),"Côte d'Ivoire",
TRUE,""
)</f>
        <v/>
      </c>
      <c r="W225" s="30" t="str">
        <f t="shared" si="25"/>
        <v>Germany</v>
      </c>
      <c r="Z225" s="40" t="str">
        <v>Hillsborough</v>
      </c>
      <c r="AA225" s="40" t="str" cm="1">
        <f t="array" ref="AA225">IFERROR(_xlfn.XLOOKUP(Z225,_xlfn.ANCHORARRAY(Z$31),AA$31:AA$37),Z225)</f>
        <v>Hillsborough</v>
      </c>
      <c r="AB225" s="42" t="str">
        <v xml:space="preserve">Sheffield </v>
      </c>
      <c r="AC225" s="89" t="str">
        <f t="shared" si="22"/>
        <v xml:space="preserve">Sheffield </v>
      </c>
      <c r="AE225" s="42">
        <v>1962</v>
      </c>
      <c r="AK225" s="42">
        <v>2</v>
      </c>
      <c r="AL225" s="42">
        <v>1</v>
      </c>
      <c r="AV225" s="37" t="str">
        <v>ROUND_OF_16</v>
      </c>
      <c r="AW225" s="89" t="str">
        <v>GROUP_STAGE</v>
      </c>
      <c r="BE225" s="43" t="str">
        <f>IF(OR(DATA_CLEANED!AL216="",DATA_CLEANED!AM216=""),"MANQUANT",IF(OR(NOT(ISNUMBER(DATA_CLEANED!AL216)),NOT(ISNUMBER(DATA_CLEANED!AM216))),"ENTREE INVALIDE",IF(OR(DATA_CLEANED!AL216&lt;0,DATA_CLEANED!AM216&lt;0),"SCORE NEGATIF","OK")))</f>
        <v>OK</v>
      </c>
      <c r="BF225" s="43" t="str">
        <f>IF(DATA_CLEANED!AK216&lt;&gt;DATA_CLEANED!AN216,"OK","ERREUR")</f>
        <v>OK</v>
      </c>
      <c r="BG225" s="43" t="str">
        <f>IF(DATA_CLEANED!AL216&gt;DATA_CLEANED!AM216,DATA_CLEANED!AK216,IF(AND(DATA_QUALITE!W4702="-",DATA_CLEANED!AM216=DATA_CLEANED!AL216),"MATCH NUL",IF(AND(DATA_QUALITE!V4702="-",DATA_QUALITE!U4702="AUCUNE"),DATA_QUALITE!T4702,IF(DATA_QUALITE!V4702&lt;&gt;"-",DATA_QUALITE!V4702,DATA_CLEANED!AN216))))</f>
        <v>FR Germany</v>
      </c>
      <c r="BH225" s="103" t="str">
        <f>IF(AND(BG225="MATCH NUL",DATA_CLEANED!AO216="-"),"MATCH_NUL",IF(ISNUMBER(SEARCH("win on penalties",W4702)),"WIN_BY_PENALTY",IF(ISNUMBER(SEARCH("win after extra time",W4702)),"WIN_BY_EXTRA_TIME",IF(ISNUMBER(SEARCH("Golden Goal",W4702)),"WIN_BY_GOLDEN_GOAL","WIN_BY_SCORE"))))</f>
        <v>WIN_BY_SCORE</v>
      </c>
      <c r="BI225" s="99" t="str">
        <f>IF(OR(BG225=DATA_CLEANED!AK216,BG225=DATA_CLEANED!AN216,BG225="MATCH NUL"),"OK","ERREUR")</f>
        <v>OK</v>
      </c>
    </row>
    <row r="226" spans="2:61">
      <c r="B226" s="74">
        <v>2002</v>
      </c>
      <c r="C226" s="30" t="str">
        <v>Quarter-finals</v>
      </c>
      <c r="D226" s="30" t="str">
        <v>Spain</v>
      </c>
      <c r="E226" s="30" t="str">
        <v>South Korea</v>
      </c>
      <c r="F226" s="30" t="str">
        <v>South Korea</v>
      </c>
      <c r="G226" s="30" t="str">
        <v>Hwang Sun-hong</v>
      </c>
      <c r="H226" s="30" t="str">
        <v>Iker Casillas</v>
      </c>
      <c r="I226" s="30">
        <v>2</v>
      </c>
      <c r="J226" s="30">
        <v>1</v>
      </c>
      <c r="K226" s="30" t="str">
        <v>'0-0</v>
      </c>
      <c r="L226" s="30" t="str">
        <v>No</v>
      </c>
      <c r="M226" s="30" t="str">
        <v>No</v>
      </c>
      <c r="N226" s="30" t="str">
        <v>Goal</v>
      </c>
      <c r="O226" s="30" t="str">
        <f t="shared" si="26"/>
        <v>2002|Quarter-finals|Spain|South Korea|South Korea|Hwang Sun-hong|Iker Casillas|2|1|'0-0|No|No|Goal</v>
      </c>
      <c r="P226" s="96" t="str">
        <f>IF(COUNTIF($G$32:O226,O226)&gt;1,"DOUBLON","OK")</f>
        <v>OK</v>
      </c>
      <c r="R226" s="23" t="s">
        <v>3702</v>
      </c>
      <c r="S226" s="30" t="str">
        <v>Germany</v>
      </c>
      <c r="T226" s="30" t="str">
        <f t="shared" si="27"/>
        <v>OK</v>
      </c>
      <c r="U226" s="30" t="str">
        <f t="shared" si="24"/>
        <v>-</v>
      </c>
      <c r="V226" s="30" t="str" cm="1">
        <f t="array" ref="V226">_xlfn.IFS(
ISNUMBER(SEARCH("USA",S226)),"United States",
ISNUMBER(SEARCH("Republic of Korea",S226)),"South Korea",
ISNUMBER(SEARCH("Cape Verde",S226)),"Cabo Verde",
ISNUMBER(SEARCH("Czechia",S226)),"Czech Republic",
ISNUMBER(SEARCH("Türkiye",S226)),"Turkey",
ISNUMBER(SEARCH("Ivory Coast",S226)),"Côte d'Ivoire",
ISNUMBER(SEARCH("Korea Republic",S226)),"South Korea",
ISNUMBER(SEARCH("Germany FR",S226)),"FR Germany",
ISNUMBER(SEARCH("West Germany",S226)),"FR Germany",
ISNUMBER(SEARCH("Germany DR",S226)),"DR Germany",
ISNUMBER(SEARCH("Korea DPR",S226)),"North Korea",
ISNUMBER(SEARCH("China PR",S226)),"China",
ISNUMBER(SEARCH("IR Iran",S226)),"Iran",
ISNUMBER(SEARCH("Congo DR",S226)),"Democratic Republic of the Congo",
ISNUMBER(SEARCH("DR Congo",S226)),"Democratic Republic of the Congo",
ISNUMBER(SEARCH("German DR",S226)),"DR Germany",
ISNUMBER(SEARCH("rn""&gt;United Arab Emirates",S226)),"United Arab Emirates",
ISNUMBER(SEARCH("rn""&gt;Republic of Ireland",S226)),"Ireland",
ISNUMBER(SEARCH("rn""&gt;Bosnia and Herzegovina",S226)),"Bosnia and Herzegovina",
ISNUMBER(SEARCH("rn""&gt;Trinidad and Tobago",S226)),"Trinidad and Tobago",
ISNUMBER(SEARCH("rn""&gt;Serbia and Montenegro",S226)),"Serbia and Montenegro",
ISNUMBER(SEARCH(_xlfn.UNICHAR(65533),S226)),"Côte d'Ivoire",
TRUE,""
)</f>
        <v/>
      </c>
      <c r="W226" s="30" t="str">
        <f t="shared" si="25"/>
        <v>Germany</v>
      </c>
      <c r="Z226" s="40" t="str">
        <v>Goodison Park</v>
      </c>
      <c r="AA226" s="40" t="str" cm="1">
        <f t="array" ref="AA226">IFERROR(_xlfn.XLOOKUP(Z226,_xlfn.ANCHORARRAY(Z$31),AA$31:AA$37),Z226)</f>
        <v>Goodison Park</v>
      </c>
      <c r="AB226" s="42" t="str">
        <v xml:space="preserve">Liverpool </v>
      </c>
      <c r="AC226" s="89" t="str">
        <f t="shared" si="22"/>
        <v xml:space="preserve">Liverpool </v>
      </c>
      <c r="AE226" s="42">
        <v>1962</v>
      </c>
      <c r="AK226" s="42">
        <v>0</v>
      </c>
      <c r="AL226" s="42">
        <v>0</v>
      </c>
      <c r="AV226" s="37" t="str">
        <v>ROUND_OF_16</v>
      </c>
      <c r="AW226" s="89" t="str">
        <v>GROUP_STAGE</v>
      </c>
      <c r="BE226" s="43" t="str">
        <f>IF(OR(DATA_CLEANED!AL217="",DATA_CLEANED!AM217=""),"MANQUANT",IF(OR(NOT(ISNUMBER(DATA_CLEANED!AL217)),NOT(ISNUMBER(DATA_CLEANED!AM217))),"ENTREE INVALIDE",IF(OR(DATA_CLEANED!AL217&lt;0,DATA_CLEANED!AM217&lt;0),"SCORE NEGATIF","OK")))</f>
        <v>OK</v>
      </c>
      <c r="BF226" s="43" t="str">
        <f>IF(DATA_CLEANED!AK217&lt;&gt;DATA_CLEANED!AN217,"OK","ERREUR")</f>
        <v>OK</v>
      </c>
      <c r="BG226" s="43" t="str">
        <f>IF(DATA_CLEANED!AL217&gt;DATA_CLEANED!AM217,DATA_CLEANED!AK217,IF(AND(DATA_QUALITE!W4703="-",DATA_CLEANED!AM217=DATA_CLEANED!AL217),"MATCH NUL",IF(AND(DATA_QUALITE!V4703="-",DATA_QUALITE!U4703="AUCUNE"),DATA_QUALITE!T4703,IF(DATA_QUALITE!V4703&lt;&gt;"-",DATA_QUALITE!V4703,DATA_CLEANED!AN217))))</f>
        <v>Brazil</v>
      </c>
      <c r="BH226" s="103" t="str">
        <f>IF(AND(BG226="MATCH NUL",DATA_CLEANED!AO217="-"),"MATCH_NUL",IF(ISNUMBER(SEARCH("win on penalties",W4703)),"WIN_BY_PENALTY",IF(ISNUMBER(SEARCH("win after extra time",W4703)),"WIN_BY_EXTRA_TIME",IF(ISNUMBER(SEARCH("Golden Goal",W4703)),"WIN_BY_GOLDEN_GOAL","WIN_BY_SCORE"))))</f>
        <v>WIN_BY_SCORE</v>
      </c>
      <c r="BI226" s="99" t="str">
        <f>IF(OR(BG226=DATA_CLEANED!AK217,BG226=DATA_CLEANED!AN217,BG226="MATCH NUL"),"OK","ERREUR")</f>
        <v>OK</v>
      </c>
    </row>
    <row r="227" spans="2:61">
      <c r="B227" s="74">
        <v>2002</v>
      </c>
      <c r="C227" s="30" t="str">
        <v>Quarter-finals</v>
      </c>
      <c r="D227" s="30" t="str">
        <v>Spain</v>
      </c>
      <c r="E227" s="30" t="str">
        <v>South Korea</v>
      </c>
      <c r="F227" s="30" t="str">
        <v>Spain</v>
      </c>
      <c r="G227" s="30" t="str">
        <v>Rubén Baraja</v>
      </c>
      <c r="H227" s="30" t="str">
        <v>Lee Woon-jae</v>
      </c>
      <c r="I227" s="30">
        <v>3</v>
      </c>
      <c r="J227" s="30">
        <v>2</v>
      </c>
      <c r="K227" s="30" t="str">
        <v>'0-1</v>
      </c>
      <c r="L227" s="30" t="str">
        <v>No</v>
      </c>
      <c r="M227" s="30" t="str">
        <v>No</v>
      </c>
      <c r="N227" s="30" t="str">
        <v>Goal</v>
      </c>
      <c r="O227" s="30" t="str">
        <f t="shared" si="26"/>
        <v>2002|Quarter-finals|Spain|South Korea|Spain|Rubén Baraja|Lee Woon-jae|3|2|'0-1|No|No|Goal</v>
      </c>
      <c r="P227" s="96" t="str">
        <f>IF(COUNTIF($G$32:O227,O227)&gt;1,"DOUBLON","OK")</f>
        <v>OK</v>
      </c>
      <c r="R227" s="23" t="s">
        <v>3703</v>
      </c>
      <c r="S227" s="30" t="str">
        <v>Germany</v>
      </c>
      <c r="T227" s="30" t="str">
        <f t="shared" si="27"/>
        <v>OK</v>
      </c>
      <c r="U227" s="30" t="str">
        <f t="shared" si="24"/>
        <v>-</v>
      </c>
      <c r="V227" s="30" t="str" cm="1">
        <f t="array" ref="V227">_xlfn.IFS(
ISNUMBER(SEARCH("USA",S227)),"United States",
ISNUMBER(SEARCH("Republic of Korea",S227)),"South Korea",
ISNUMBER(SEARCH("Cape Verde",S227)),"Cabo Verde",
ISNUMBER(SEARCH("Czechia",S227)),"Czech Republic",
ISNUMBER(SEARCH("Türkiye",S227)),"Turkey",
ISNUMBER(SEARCH("Ivory Coast",S227)),"Côte d'Ivoire",
ISNUMBER(SEARCH("Korea Republic",S227)),"South Korea",
ISNUMBER(SEARCH("Germany FR",S227)),"FR Germany",
ISNUMBER(SEARCH("West Germany",S227)),"FR Germany",
ISNUMBER(SEARCH("Germany DR",S227)),"DR Germany",
ISNUMBER(SEARCH("Korea DPR",S227)),"North Korea",
ISNUMBER(SEARCH("China PR",S227)),"China",
ISNUMBER(SEARCH("IR Iran",S227)),"Iran",
ISNUMBER(SEARCH("Congo DR",S227)),"Democratic Republic of the Congo",
ISNUMBER(SEARCH("DR Congo",S227)),"Democratic Republic of the Congo",
ISNUMBER(SEARCH("German DR",S227)),"DR Germany",
ISNUMBER(SEARCH("rn""&gt;United Arab Emirates",S227)),"United Arab Emirates",
ISNUMBER(SEARCH("rn""&gt;Republic of Ireland",S227)),"Ireland",
ISNUMBER(SEARCH("rn""&gt;Bosnia and Herzegovina",S227)),"Bosnia and Herzegovina",
ISNUMBER(SEARCH("rn""&gt;Trinidad and Tobago",S227)),"Trinidad and Tobago",
ISNUMBER(SEARCH("rn""&gt;Serbia and Montenegro",S227)),"Serbia and Montenegro",
ISNUMBER(SEARCH(_xlfn.UNICHAR(65533),S227)),"Côte d'Ivoire",
TRUE,""
)</f>
        <v/>
      </c>
      <c r="W227" s="30" t="str">
        <f t="shared" si="25"/>
        <v>Germany</v>
      </c>
      <c r="Z227" s="40" t="str">
        <v>Ayresome Park</v>
      </c>
      <c r="AA227" s="40" t="str" cm="1">
        <f t="array" ref="AA227">IFERROR(_xlfn.XLOOKUP(Z227,_xlfn.ANCHORARRAY(Z$31),AA$31:AA$37),Z227)</f>
        <v>Ayresome Park</v>
      </c>
      <c r="AB227" s="42" t="str">
        <v xml:space="preserve">Middlesbrough </v>
      </c>
      <c r="AC227" s="89" t="str">
        <f t="shared" si="22"/>
        <v xml:space="preserve">Middlesbrough </v>
      </c>
      <c r="AE227" s="42">
        <v>1962</v>
      </c>
      <c r="AK227" s="42">
        <v>3</v>
      </c>
      <c r="AL227" s="42">
        <v>1</v>
      </c>
      <c r="AV227" s="37" t="str">
        <v>ROUND_OF_16</v>
      </c>
      <c r="AW227" s="89" t="str">
        <v>GROUP_STAGE</v>
      </c>
      <c r="BE227" s="43" t="str">
        <f>IF(OR(DATA_CLEANED!AL218="",DATA_CLEANED!AM218=""),"MANQUANT",IF(OR(NOT(ISNUMBER(DATA_CLEANED!AL218)),NOT(ISNUMBER(DATA_CLEANED!AM218))),"ENTREE INVALIDE",IF(OR(DATA_CLEANED!AL218&lt;0,DATA_CLEANED!AM218&lt;0),"SCORE NEGATIF","OK")))</f>
        <v>OK</v>
      </c>
      <c r="BF227" s="43" t="str">
        <f>IF(DATA_CLEANED!AK218&lt;&gt;DATA_CLEANED!AN218,"OK","ERREUR")</f>
        <v>OK</v>
      </c>
      <c r="BG227" s="43" t="str">
        <f>IF(DATA_CLEANED!AL218&gt;DATA_CLEANED!AM218,DATA_CLEANED!AK218,IF(AND(DATA_QUALITE!W4704="-",DATA_CLEANED!AM218=DATA_CLEANED!AL218),"MATCH NUL",IF(AND(DATA_QUALITE!V4704="-",DATA_QUALITE!U4704="AUCUNE"),DATA_QUALITE!T4704,IF(DATA_QUALITE!V4704&lt;&gt;"-",DATA_QUALITE!V4704,DATA_CLEANED!AN218))))</f>
        <v>Mexico</v>
      </c>
      <c r="BH227" s="103" t="str">
        <f>IF(AND(BG227="MATCH NUL",DATA_CLEANED!AO218="-"),"MATCH_NUL",IF(ISNUMBER(SEARCH("win on penalties",W4704)),"WIN_BY_PENALTY",IF(ISNUMBER(SEARCH("win after extra time",W4704)),"WIN_BY_EXTRA_TIME",IF(ISNUMBER(SEARCH("Golden Goal",W4704)),"WIN_BY_GOLDEN_GOAL","WIN_BY_SCORE"))))</f>
        <v>WIN_BY_SCORE</v>
      </c>
      <c r="BI227" s="99" t="str">
        <f>IF(OR(BG227=DATA_CLEANED!AK218,BG227=DATA_CLEANED!AN218,BG227="MATCH NUL"),"OK","ERREUR")</f>
        <v>OK</v>
      </c>
    </row>
    <row r="228" spans="2:61">
      <c r="B228" s="74">
        <v>2002</v>
      </c>
      <c r="C228" s="30" t="str">
        <v>Quarter-finals</v>
      </c>
      <c r="D228" s="30" t="str">
        <v>Spain</v>
      </c>
      <c r="E228" s="30" t="str">
        <v>South Korea</v>
      </c>
      <c r="F228" s="30" t="str">
        <v>South Korea</v>
      </c>
      <c r="G228" s="30" t="str">
        <v>Park Ji-sung</v>
      </c>
      <c r="H228" s="30" t="str">
        <v>Iker Casillas</v>
      </c>
      <c r="I228" s="30">
        <v>4</v>
      </c>
      <c r="J228" s="30">
        <v>2</v>
      </c>
      <c r="K228" s="30" t="str">
        <v>'1-1</v>
      </c>
      <c r="L228" s="30" t="str">
        <v>No</v>
      </c>
      <c r="M228" s="30" t="str">
        <v>No</v>
      </c>
      <c r="N228" s="30" t="str">
        <v>Goal</v>
      </c>
      <c r="O228" s="30" t="str">
        <f t="shared" si="26"/>
        <v>2002|Quarter-finals|Spain|South Korea|South Korea|Park Ji-sung|Iker Casillas|4|2|'1-1|No|No|Goal</v>
      </c>
      <c r="P228" s="96" t="str">
        <f>IF(COUNTIF($G$32:O228,O228)&gt;1,"DOUBLON","OK")</f>
        <v>OK</v>
      </c>
      <c r="R228" s="23" t="s">
        <v>42</v>
      </c>
      <c r="S228" s="30" t="str">
        <v>Germany</v>
      </c>
      <c r="T228" s="30" t="str">
        <f t="shared" si="27"/>
        <v>OK</v>
      </c>
      <c r="U228" s="30" t="str">
        <f t="shared" si="24"/>
        <v>-</v>
      </c>
      <c r="V228" s="30" t="str" cm="1">
        <f t="array" ref="V228">_xlfn.IFS(
ISNUMBER(SEARCH("USA",S228)),"United States",
ISNUMBER(SEARCH("Republic of Korea",S228)),"South Korea",
ISNUMBER(SEARCH("Cape Verde",S228)),"Cabo Verde",
ISNUMBER(SEARCH("Czechia",S228)),"Czech Republic",
ISNUMBER(SEARCH("Türkiye",S228)),"Turkey",
ISNUMBER(SEARCH("Ivory Coast",S228)),"Côte d'Ivoire",
ISNUMBER(SEARCH("Korea Republic",S228)),"South Korea",
ISNUMBER(SEARCH("Germany FR",S228)),"FR Germany",
ISNUMBER(SEARCH("West Germany",S228)),"FR Germany",
ISNUMBER(SEARCH("Germany DR",S228)),"DR Germany",
ISNUMBER(SEARCH("Korea DPR",S228)),"North Korea",
ISNUMBER(SEARCH("China PR",S228)),"China",
ISNUMBER(SEARCH("IR Iran",S228)),"Iran",
ISNUMBER(SEARCH("Congo DR",S228)),"Democratic Republic of the Congo",
ISNUMBER(SEARCH("DR Congo",S228)),"Democratic Republic of the Congo",
ISNUMBER(SEARCH("German DR",S228)),"DR Germany",
ISNUMBER(SEARCH("rn""&gt;United Arab Emirates",S228)),"United Arab Emirates",
ISNUMBER(SEARCH("rn""&gt;Republic of Ireland",S228)),"Ireland",
ISNUMBER(SEARCH("rn""&gt;Bosnia and Herzegovina",S228)),"Bosnia and Herzegovina",
ISNUMBER(SEARCH("rn""&gt;Trinidad and Tobago",S228)),"Trinidad and Tobago",
ISNUMBER(SEARCH("rn""&gt;Serbia and Montenegro",S228)),"Serbia and Montenegro",
ISNUMBER(SEARCH(_xlfn.UNICHAR(65533),S228)),"Côte d'Ivoire",
TRUE,""
)</f>
        <v/>
      </c>
      <c r="W228" s="30" t="str">
        <f t="shared" si="25"/>
        <v>Germany</v>
      </c>
      <c r="Z228" s="40" t="str">
        <v>Wembley Stadium</v>
      </c>
      <c r="AA228" s="40" t="str" cm="1">
        <f t="array" ref="AA228">IFERROR(_xlfn.XLOOKUP(Z228,_xlfn.ANCHORARRAY(Z$31),AA$31:AA$37),Z228)</f>
        <v>Wembley Stadium</v>
      </c>
      <c r="AB228" s="42" t="str">
        <v xml:space="preserve">London </v>
      </c>
      <c r="AC228" s="89" t="str">
        <f t="shared" si="22"/>
        <v xml:space="preserve">London </v>
      </c>
      <c r="AE228" s="42">
        <v>1962</v>
      </c>
      <c r="AK228" s="42">
        <v>0</v>
      </c>
      <c r="AL228" s="42">
        <v>0</v>
      </c>
      <c r="AV228" s="37" t="str">
        <v>ROUND_OF_16</v>
      </c>
      <c r="AW228" s="89" t="str">
        <v>GROUP_STAGE</v>
      </c>
      <c r="BE228" s="43" t="str">
        <f>IF(OR(DATA_CLEANED!AL219="",DATA_CLEANED!AM219=""),"MANQUANT",IF(OR(NOT(ISNUMBER(DATA_CLEANED!AL219)),NOT(ISNUMBER(DATA_CLEANED!AM219))),"ENTREE INVALIDE",IF(OR(DATA_CLEANED!AL219&lt;0,DATA_CLEANED!AM219&lt;0),"SCORE NEGATIF","OK")))</f>
        <v>OK</v>
      </c>
      <c r="BF228" s="43" t="str">
        <f>IF(DATA_CLEANED!AK219&lt;&gt;DATA_CLEANED!AN219,"OK","ERREUR")</f>
        <v>OK</v>
      </c>
      <c r="BG228" s="43" t="str">
        <f>IF(DATA_CLEANED!AL219&gt;DATA_CLEANED!AM219,DATA_CLEANED!AK219,IF(AND(DATA_QUALITE!W4705="-",DATA_CLEANED!AM219=DATA_CLEANED!AL219),"MATCH NUL",IF(AND(DATA_QUALITE!V4705="-",DATA_QUALITE!U4705="AUCUNE"),DATA_QUALITE!T4705,IF(DATA_QUALITE!V4705&lt;&gt;"-",DATA_QUALITE!V4705,DATA_CLEANED!AN219))))</f>
        <v>Sweden</v>
      </c>
      <c r="BH228" s="103" t="str">
        <f>IF(AND(BG228="MATCH NUL",DATA_CLEANED!AO219="-"),"MATCH_NUL",IF(ISNUMBER(SEARCH("win on penalties",W4705)),"WIN_BY_PENALTY",IF(ISNUMBER(SEARCH("win after extra time",W4705)),"WIN_BY_EXTRA_TIME",IF(ISNUMBER(SEARCH("Golden Goal",W4705)),"WIN_BY_GOLDEN_GOAL","WIN_BY_SCORE"))))</f>
        <v>WIN_BY_SCORE</v>
      </c>
      <c r="BI228" s="99" t="str">
        <f>IF(OR(BG228=DATA_CLEANED!AK219,BG228=DATA_CLEANED!AN219,BG228="MATCH NUL"),"OK","ERREUR")</f>
        <v>OK</v>
      </c>
    </row>
    <row r="229" spans="2:61">
      <c r="B229" s="74">
        <v>2002</v>
      </c>
      <c r="C229" s="30" t="str">
        <v>Quarter-finals</v>
      </c>
      <c r="D229" s="30" t="str">
        <v>Spain</v>
      </c>
      <c r="E229" s="30" t="str">
        <v>South Korea</v>
      </c>
      <c r="F229" s="30" t="str">
        <v>Spain</v>
      </c>
      <c r="G229" s="30" t="str">
        <v>Xavi</v>
      </c>
      <c r="H229" s="30" t="str">
        <v>Lee Woon-jae</v>
      </c>
      <c r="I229" s="30">
        <v>5</v>
      </c>
      <c r="J229" s="30">
        <v>3</v>
      </c>
      <c r="K229" s="30" t="str">
        <v>'2-1</v>
      </c>
      <c r="L229" s="30" t="str">
        <v>No</v>
      </c>
      <c r="M229" s="30" t="str">
        <v>No</v>
      </c>
      <c r="N229" s="30" t="str">
        <v>Goal</v>
      </c>
      <c r="O229" s="30" t="str">
        <f t="shared" si="26"/>
        <v>2002|Quarter-finals|Spain|South Korea|Spain|Xavi|Lee Woon-jae|5|3|'2-1|No|No|Goal</v>
      </c>
      <c r="P229" s="96" t="str">
        <f>IF(COUNTIF($G$32:O229,O229)&gt;1,"DOUBLON","OK")</f>
        <v>OK</v>
      </c>
      <c r="R229" s="23" t="s">
        <v>25</v>
      </c>
      <c r="S229" s="30" t="str">
        <v>Portugal</v>
      </c>
      <c r="T229" s="30" t="str">
        <f t="shared" si="27"/>
        <v>OK</v>
      </c>
      <c r="U229" s="30" t="str">
        <f t="shared" si="24"/>
        <v>-</v>
      </c>
      <c r="V229" s="30" t="str" cm="1">
        <f t="array" ref="V229">_xlfn.IFS(
ISNUMBER(SEARCH("USA",S229)),"United States",
ISNUMBER(SEARCH("Republic of Korea",S229)),"South Korea",
ISNUMBER(SEARCH("Cape Verde",S229)),"Cabo Verde",
ISNUMBER(SEARCH("Czechia",S229)),"Czech Republic",
ISNUMBER(SEARCH("Türkiye",S229)),"Turkey",
ISNUMBER(SEARCH("Ivory Coast",S229)),"Côte d'Ivoire",
ISNUMBER(SEARCH("Korea Republic",S229)),"South Korea",
ISNUMBER(SEARCH("Germany FR",S229)),"FR Germany",
ISNUMBER(SEARCH("West Germany",S229)),"FR Germany",
ISNUMBER(SEARCH("Germany DR",S229)),"DR Germany",
ISNUMBER(SEARCH("Korea DPR",S229)),"North Korea",
ISNUMBER(SEARCH("China PR",S229)),"China",
ISNUMBER(SEARCH("IR Iran",S229)),"Iran",
ISNUMBER(SEARCH("Congo DR",S229)),"Democratic Republic of the Congo",
ISNUMBER(SEARCH("DR Congo",S229)),"Democratic Republic of the Congo",
ISNUMBER(SEARCH("German DR",S229)),"DR Germany",
ISNUMBER(SEARCH("rn""&gt;United Arab Emirates",S229)),"United Arab Emirates",
ISNUMBER(SEARCH("rn""&gt;Republic of Ireland",S229)),"Ireland",
ISNUMBER(SEARCH("rn""&gt;Bosnia and Herzegovina",S229)),"Bosnia and Herzegovina",
ISNUMBER(SEARCH("rn""&gt;Trinidad and Tobago",S229)),"Trinidad and Tobago",
ISNUMBER(SEARCH("rn""&gt;Serbia and Montenegro",S229)),"Serbia and Montenegro",
ISNUMBER(SEARCH(_xlfn.UNICHAR(65533),S229)),"Côte d'Ivoire",
TRUE,""
)</f>
        <v/>
      </c>
      <c r="W229" s="30" t="str">
        <f t="shared" si="25"/>
        <v>Portugal</v>
      </c>
      <c r="Z229" s="40" t="str">
        <v>Old Trafford Stadium</v>
      </c>
      <c r="AA229" s="40" t="str" cm="1">
        <f t="array" ref="AA229">IFERROR(_xlfn.XLOOKUP(Z229,_xlfn.ANCHORARRAY(Z$31),AA$31:AA$37),Z229)</f>
        <v>Old Trafford Stadium</v>
      </c>
      <c r="AB229" s="42" t="str">
        <v xml:space="preserve">Manchester </v>
      </c>
      <c r="AC229" s="89" t="str">
        <f t="shared" si="22"/>
        <v xml:space="preserve">Manchester </v>
      </c>
      <c r="AE229" s="42">
        <v>1962</v>
      </c>
      <c r="AK229" s="42">
        <v>3</v>
      </c>
      <c r="AL229" s="42">
        <v>1</v>
      </c>
      <c r="AV229" s="37" t="str">
        <v>ROUND_OF_16</v>
      </c>
      <c r="AW229" s="89" t="str">
        <v>GROUP_STAGE</v>
      </c>
      <c r="BE229" s="43" t="str">
        <f>IF(OR(DATA_CLEANED!AL220="",DATA_CLEANED!AM220=""),"MANQUANT",IF(OR(NOT(ISNUMBER(DATA_CLEANED!AL220)),NOT(ISNUMBER(DATA_CLEANED!AM220))),"ENTREE INVALIDE",IF(OR(DATA_CLEANED!AL220&lt;0,DATA_CLEANED!AM220&lt;0),"SCORE NEGATIF","OK")))</f>
        <v>OK</v>
      </c>
      <c r="BF229" s="43" t="str">
        <f>IF(DATA_CLEANED!AK220&lt;&gt;DATA_CLEANED!AN220,"OK","ERREUR")</f>
        <v>OK</v>
      </c>
      <c r="BG229" s="43" t="str">
        <f>IF(DATA_CLEANED!AL220&gt;DATA_CLEANED!AM220,DATA_CLEANED!AK220,IF(AND(DATA_QUALITE!W4706="-",DATA_CLEANED!AM220=DATA_CLEANED!AL220),"MATCH NUL",IF(AND(DATA_QUALITE!V4706="-",DATA_QUALITE!U4706="AUCUNE"),DATA_QUALITE!T4706,IF(DATA_QUALITE!V4706&lt;&gt;"-",DATA_QUALITE!V4706,DATA_CLEANED!AN220))))</f>
        <v>FR Germany</v>
      </c>
      <c r="BH229" s="103" t="str">
        <f>IF(AND(BG229="MATCH NUL",DATA_CLEANED!AO220="-"),"MATCH_NUL",IF(ISNUMBER(SEARCH("win on penalties",W4706)),"WIN_BY_PENALTY",IF(ISNUMBER(SEARCH("win after extra time",W4706)),"WIN_BY_EXTRA_TIME",IF(ISNUMBER(SEARCH("Golden Goal",W4706)),"WIN_BY_GOLDEN_GOAL","WIN_BY_SCORE"))))</f>
        <v>WIN_BY_SCORE</v>
      </c>
      <c r="BI229" s="99" t="str">
        <f>IF(OR(BG229=DATA_CLEANED!AK220,BG229=DATA_CLEANED!AN220,BG229="MATCH NUL"),"OK","ERREUR")</f>
        <v>OK</v>
      </c>
    </row>
    <row r="230" spans="2:61">
      <c r="B230" s="74">
        <v>2002</v>
      </c>
      <c r="C230" s="30" t="str">
        <v>Quarter-finals</v>
      </c>
      <c r="D230" s="30" t="str">
        <v>Spain</v>
      </c>
      <c r="E230" s="30" t="str">
        <v>South Korea</v>
      </c>
      <c r="F230" s="30" t="str">
        <v>South Korea</v>
      </c>
      <c r="G230" s="30" t="str">
        <v>Seol Ki-hyeon</v>
      </c>
      <c r="H230" s="30" t="str">
        <v>Iker Casillas</v>
      </c>
      <c r="I230" s="30">
        <v>6</v>
      </c>
      <c r="J230" s="30">
        <v>3</v>
      </c>
      <c r="K230" s="30" t="str">
        <v>'2-2</v>
      </c>
      <c r="L230" s="30" t="str">
        <v>No</v>
      </c>
      <c r="M230" s="30" t="str">
        <v>No</v>
      </c>
      <c r="N230" s="30" t="str">
        <v>Goal</v>
      </c>
      <c r="O230" s="30" t="str">
        <f t="shared" si="26"/>
        <v>2002|Quarter-finals|Spain|South Korea|South Korea|Seol Ki-hyeon|Iker Casillas|6|3|'2-2|No|No|Goal</v>
      </c>
      <c r="P230" s="96" t="str">
        <f>IF(COUNTIF($G$32:O230,O230)&gt;1,"DOUBLON","OK")</f>
        <v>OK</v>
      </c>
      <c r="R230" s="23" t="s">
        <v>3704</v>
      </c>
      <c r="S230" s="30" t="str">
        <v>Portugal</v>
      </c>
      <c r="T230" s="30" t="str">
        <f t="shared" si="27"/>
        <v>OK</v>
      </c>
      <c r="U230" s="30" t="str">
        <f t="shared" si="24"/>
        <v>-</v>
      </c>
      <c r="V230" s="30" t="str" cm="1">
        <f t="array" ref="V230">_xlfn.IFS(
ISNUMBER(SEARCH("USA",S230)),"United States",
ISNUMBER(SEARCH("Republic of Korea",S230)),"South Korea",
ISNUMBER(SEARCH("Cape Verde",S230)),"Cabo Verde",
ISNUMBER(SEARCH("Czechia",S230)),"Czech Republic",
ISNUMBER(SEARCH("Türkiye",S230)),"Turkey",
ISNUMBER(SEARCH("Ivory Coast",S230)),"Côte d'Ivoire",
ISNUMBER(SEARCH("Korea Republic",S230)),"South Korea",
ISNUMBER(SEARCH("Germany FR",S230)),"FR Germany",
ISNUMBER(SEARCH("West Germany",S230)),"FR Germany",
ISNUMBER(SEARCH("Germany DR",S230)),"DR Germany",
ISNUMBER(SEARCH("Korea DPR",S230)),"North Korea",
ISNUMBER(SEARCH("China PR",S230)),"China",
ISNUMBER(SEARCH("IR Iran",S230)),"Iran",
ISNUMBER(SEARCH("Congo DR",S230)),"Democratic Republic of the Congo",
ISNUMBER(SEARCH("DR Congo",S230)),"Democratic Republic of the Congo",
ISNUMBER(SEARCH("German DR",S230)),"DR Germany",
ISNUMBER(SEARCH("rn""&gt;United Arab Emirates",S230)),"United Arab Emirates",
ISNUMBER(SEARCH("rn""&gt;Republic of Ireland",S230)),"Ireland",
ISNUMBER(SEARCH("rn""&gt;Bosnia and Herzegovina",S230)),"Bosnia and Herzegovina",
ISNUMBER(SEARCH("rn""&gt;Trinidad and Tobago",S230)),"Trinidad and Tobago",
ISNUMBER(SEARCH("rn""&gt;Serbia and Montenegro",S230)),"Serbia and Montenegro",
ISNUMBER(SEARCH(_xlfn.UNICHAR(65533),S230)),"Côte d'Ivoire",
TRUE,""
)</f>
        <v/>
      </c>
      <c r="W230" s="30" t="str">
        <f t="shared" si="25"/>
        <v>Portugal</v>
      </c>
      <c r="Z230" s="40" t="str">
        <v>Villa Park</v>
      </c>
      <c r="AA230" s="40" t="str" cm="1">
        <f t="array" ref="AA230">IFERROR(_xlfn.XLOOKUP(Z230,_xlfn.ANCHORARRAY(Z$31),AA$31:AA$37),Z230)</f>
        <v>Villa Park</v>
      </c>
      <c r="AB230" s="42" t="str">
        <v xml:space="preserve">Birmingham </v>
      </c>
      <c r="AC230" s="89" t="str">
        <f t="shared" si="22"/>
        <v xml:space="preserve">Birmingham </v>
      </c>
      <c r="AE230" s="42">
        <v>1962</v>
      </c>
      <c r="AK230" s="42">
        <v>2</v>
      </c>
      <c r="AL230" s="42">
        <v>0</v>
      </c>
      <c r="AV230" s="37" t="str">
        <v>ROUND_OF_16</v>
      </c>
      <c r="AW230" s="89" t="str">
        <v>GROUP_STAGE</v>
      </c>
      <c r="BE230" s="43" t="str">
        <f>IF(OR(DATA_CLEANED!AL221="",DATA_CLEANED!AM221=""),"MANQUANT",IF(OR(NOT(ISNUMBER(DATA_CLEANED!AL221)),NOT(ISNUMBER(DATA_CLEANED!AM221))),"ENTREE INVALIDE",IF(OR(DATA_CLEANED!AL221&lt;0,DATA_CLEANED!AM221&lt;0),"SCORE NEGATIF","OK")))</f>
        <v>OK</v>
      </c>
      <c r="BF230" s="43" t="str">
        <f>IF(DATA_CLEANED!AK221&lt;&gt;DATA_CLEANED!AN221,"OK","ERREUR")</f>
        <v>OK</v>
      </c>
      <c r="BG230" s="43" t="str">
        <f>IF(DATA_CLEANED!AL221&gt;DATA_CLEANED!AM221,DATA_CLEANED!AK221,IF(AND(DATA_QUALITE!W4707="-",DATA_CLEANED!AM221=DATA_CLEANED!AL221),"MATCH NUL",IF(AND(DATA_QUALITE!V4707="-",DATA_QUALITE!U4707="AUCUNE"),DATA_QUALITE!T4707,IF(DATA_QUALITE!V4707&lt;&gt;"-",DATA_QUALITE!V4707,DATA_CLEANED!AN221))))</f>
        <v>Brazil</v>
      </c>
      <c r="BH230" s="103" t="str">
        <f>IF(AND(BG230="MATCH NUL",DATA_CLEANED!AO221="-"),"MATCH_NUL",IF(ISNUMBER(SEARCH("win on penalties",W4707)),"WIN_BY_PENALTY",IF(ISNUMBER(SEARCH("win after extra time",W4707)),"WIN_BY_EXTRA_TIME",IF(ISNUMBER(SEARCH("Golden Goal",W4707)),"WIN_BY_GOLDEN_GOAL","WIN_BY_SCORE"))))</f>
        <v>WIN_BY_SCORE</v>
      </c>
      <c r="BI230" s="99" t="str">
        <f>IF(OR(BG230=DATA_CLEANED!AK221,BG230=DATA_CLEANED!AN221,BG230="MATCH NUL"),"OK","ERREUR")</f>
        <v>OK</v>
      </c>
    </row>
    <row r="231" spans="2:61">
      <c r="B231" s="74">
        <v>2002</v>
      </c>
      <c r="C231" s="30" t="str">
        <v>Quarter-finals</v>
      </c>
      <c r="D231" s="30" t="str">
        <v>Spain</v>
      </c>
      <c r="E231" s="30" t="str">
        <v>South Korea</v>
      </c>
      <c r="F231" s="30" t="str">
        <v>Spain</v>
      </c>
      <c r="G231" s="30" t="str">
        <v>Fernando Morientes</v>
      </c>
      <c r="H231" s="30" t="str">
        <v>Lee Woon-jae</v>
      </c>
      <c r="I231" s="30">
        <v>7</v>
      </c>
      <c r="J231" s="30">
        <v>4</v>
      </c>
      <c r="K231" s="30" t="str">
        <v>'3-2</v>
      </c>
      <c r="L231" s="30" t="str">
        <v>No</v>
      </c>
      <c r="M231" s="30" t="str">
        <v>No</v>
      </c>
      <c r="N231" s="30" t="str">
        <v>Goal</v>
      </c>
      <c r="O231" s="30" t="str">
        <f t="shared" si="26"/>
        <v>2002|Quarter-finals|Spain|South Korea|Spain|Fernando Morientes|Lee Woon-jae|7|4|'3-2|No|No|Goal</v>
      </c>
      <c r="P231" s="96" t="str">
        <f>IF(COUNTIF($G$32:O231,O231)&gt;1,"DOUBLON","OK")</f>
        <v>OK</v>
      </c>
      <c r="R231" s="23" t="s">
        <v>3705</v>
      </c>
      <c r="S231" s="30" t="str">
        <v>Portugal</v>
      </c>
      <c r="T231" s="30" t="str">
        <f t="shared" si="27"/>
        <v>OK</v>
      </c>
      <c r="U231" s="30" t="str">
        <f t="shared" si="24"/>
        <v>-</v>
      </c>
      <c r="V231" s="30" t="str" cm="1">
        <f t="array" ref="V231">_xlfn.IFS(
ISNUMBER(SEARCH("USA",S231)),"United States",
ISNUMBER(SEARCH("Republic of Korea",S231)),"South Korea",
ISNUMBER(SEARCH("Cape Verde",S231)),"Cabo Verde",
ISNUMBER(SEARCH("Czechia",S231)),"Czech Republic",
ISNUMBER(SEARCH("Türkiye",S231)),"Turkey",
ISNUMBER(SEARCH("Ivory Coast",S231)),"Côte d'Ivoire",
ISNUMBER(SEARCH("Korea Republic",S231)),"South Korea",
ISNUMBER(SEARCH("Germany FR",S231)),"FR Germany",
ISNUMBER(SEARCH("West Germany",S231)),"FR Germany",
ISNUMBER(SEARCH("Germany DR",S231)),"DR Germany",
ISNUMBER(SEARCH("Korea DPR",S231)),"North Korea",
ISNUMBER(SEARCH("China PR",S231)),"China",
ISNUMBER(SEARCH("IR Iran",S231)),"Iran",
ISNUMBER(SEARCH("Congo DR",S231)),"Democratic Republic of the Congo",
ISNUMBER(SEARCH("DR Congo",S231)),"Democratic Republic of the Congo",
ISNUMBER(SEARCH("German DR",S231)),"DR Germany",
ISNUMBER(SEARCH("rn""&gt;United Arab Emirates",S231)),"United Arab Emirates",
ISNUMBER(SEARCH("rn""&gt;Republic of Ireland",S231)),"Ireland",
ISNUMBER(SEARCH("rn""&gt;Bosnia and Herzegovina",S231)),"Bosnia and Herzegovina",
ISNUMBER(SEARCH("rn""&gt;Trinidad and Tobago",S231)),"Trinidad and Tobago",
ISNUMBER(SEARCH("rn""&gt;Serbia and Montenegro",S231)),"Serbia and Montenegro",
ISNUMBER(SEARCH(_xlfn.UNICHAR(65533),S231)),"Côte d'Ivoire",
TRUE,""
)</f>
        <v/>
      </c>
      <c r="W231" s="30" t="str">
        <f t="shared" si="25"/>
        <v>Portugal</v>
      </c>
      <c r="Z231" s="40" t="str">
        <v>Roker Park Ground</v>
      </c>
      <c r="AA231" s="40" t="str" cm="1">
        <f t="array" ref="AA231">IFERROR(_xlfn.XLOOKUP(Z231,_xlfn.ANCHORARRAY(Z$31),AA$31:AA$37),Z231)</f>
        <v>Roker Park Ground</v>
      </c>
      <c r="AB231" s="42" t="str">
        <v xml:space="preserve">Sunderland </v>
      </c>
      <c r="AC231" s="89" t="str">
        <f t="shared" si="22"/>
        <v xml:space="preserve">Sunderland </v>
      </c>
      <c r="AE231" s="42">
        <v>1962</v>
      </c>
      <c r="AK231" s="42">
        <v>4</v>
      </c>
      <c r="AL231" s="42">
        <v>4</v>
      </c>
      <c r="AV231" s="37" t="str">
        <v>ROUND_OF_16</v>
      </c>
      <c r="AW231" s="89" t="str">
        <v>GROUP_STAGE</v>
      </c>
      <c r="BE231" s="43" t="str">
        <f>IF(OR(DATA_CLEANED!AL222="",DATA_CLEANED!AM222=""),"MANQUANT",IF(OR(NOT(ISNUMBER(DATA_CLEANED!AL222)),NOT(ISNUMBER(DATA_CLEANED!AM222))),"ENTREE INVALIDE",IF(OR(DATA_CLEANED!AL222&lt;0,DATA_CLEANED!AM222&lt;0),"SCORE NEGATIF","OK")))</f>
        <v>OK</v>
      </c>
      <c r="BF231" s="43" t="str">
        <f>IF(DATA_CLEANED!AK222&lt;&gt;DATA_CLEANED!AN222,"OK","ERREUR")</f>
        <v>OK</v>
      </c>
      <c r="BG231" s="43" t="str">
        <f>IF(DATA_CLEANED!AL222&gt;DATA_CLEANED!AM222,DATA_CLEANED!AK222,IF(AND(DATA_QUALITE!W4708="-",DATA_CLEANED!AM222=DATA_CLEANED!AL222),"MATCH NUL",IF(AND(DATA_QUALITE!V4708="-",DATA_QUALITE!U4708="AUCUNE"),DATA_QUALITE!T4708,IF(DATA_QUALITE!V4708&lt;&gt;"-",DATA_QUALITE!V4708,DATA_CLEANED!AN222))))</f>
        <v>Soviet Union</v>
      </c>
      <c r="BH231" s="103" t="str">
        <f>IF(AND(BG231="MATCH NUL",DATA_CLEANED!AO222="-"),"MATCH_NUL",IF(ISNUMBER(SEARCH("win on penalties",W4708)),"WIN_BY_PENALTY",IF(ISNUMBER(SEARCH("win after extra time",W4708)),"WIN_BY_EXTRA_TIME",IF(ISNUMBER(SEARCH("Golden Goal",W4708)),"WIN_BY_GOLDEN_GOAL","WIN_BY_SCORE"))))</f>
        <v>WIN_BY_SCORE</v>
      </c>
      <c r="BI231" s="99" t="str">
        <f>IF(OR(BG231=DATA_CLEANED!AK222,BG231=DATA_CLEANED!AN222,BG231="MATCH NUL"),"OK","ERREUR")</f>
        <v>OK</v>
      </c>
    </row>
    <row r="232" spans="2:61">
      <c r="B232" s="74">
        <v>2002</v>
      </c>
      <c r="C232" s="30" t="str">
        <v>Quarter-finals</v>
      </c>
      <c r="D232" s="30" t="str">
        <v>Spain</v>
      </c>
      <c r="E232" s="30" t="str">
        <v>South Korea</v>
      </c>
      <c r="F232" s="30" t="str">
        <v>South Korea</v>
      </c>
      <c r="G232" s="30" t="str">
        <v>Ahn Jung-hwan</v>
      </c>
      <c r="H232" s="30" t="str">
        <v>Iker Casillas</v>
      </c>
      <c r="I232" s="30">
        <v>8</v>
      </c>
      <c r="J232" s="30">
        <v>4</v>
      </c>
      <c r="K232" s="30" t="str">
        <v>'3-3</v>
      </c>
      <c r="L232" s="30" t="str">
        <v>No</v>
      </c>
      <c r="M232" s="30" t="str">
        <v>No</v>
      </c>
      <c r="N232" s="30" t="str">
        <v>Goal</v>
      </c>
      <c r="O232" s="30" t="str">
        <f t="shared" si="26"/>
        <v>2002|Quarter-finals|Spain|South Korea|South Korea|Ahn Jung-hwan|Iker Casillas|8|4|'3-3|No|No|Goal</v>
      </c>
      <c r="P232" s="96" t="str">
        <f>IF(COUNTIF($G$32:O232,O232)&gt;1,"DOUBLON","OK")</f>
        <v>OK</v>
      </c>
      <c r="R232" s="23" t="s">
        <v>3758</v>
      </c>
      <c r="S232" s="30" t="str">
        <v>Portugal</v>
      </c>
      <c r="T232" s="30" t="str">
        <f t="shared" si="27"/>
        <v>OK</v>
      </c>
      <c r="U232" s="30" t="str">
        <f t="shared" si="24"/>
        <v>-</v>
      </c>
      <c r="V232" s="30" t="str" cm="1">
        <f t="array" ref="V232">_xlfn.IFS(
ISNUMBER(SEARCH("USA",S232)),"United States",
ISNUMBER(SEARCH("Republic of Korea",S232)),"South Korea",
ISNUMBER(SEARCH("Cape Verde",S232)),"Cabo Verde",
ISNUMBER(SEARCH("Czechia",S232)),"Czech Republic",
ISNUMBER(SEARCH("Türkiye",S232)),"Turkey",
ISNUMBER(SEARCH("Ivory Coast",S232)),"Côte d'Ivoire",
ISNUMBER(SEARCH("Korea Republic",S232)),"South Korea",
ISNUMBER(SEARCH("Germany FR",S232)),"FR Germany",
ISNUMBER(SEARCH("West Germany",S232)),"FR Germany",
ISNUMBER(SEARCH("Germany DR",S232)),"DR Germany",
ISNUMBER(SEARCH("Korea DPR",S232)),"North Korea",
ISNUMBER(SEARCH("China PR",S232)),"China",
ISNUMBER(SEARCH("IR Iran",S232)),"Iran",
ISNUMBER(SEARCH("Congo DR",S232)),"Democratic Republic of the Congo",
ISNUMBER(SEARCH("DR Congo",S232)),"Democratic Republic of the Congo",
ISNUMBER(SEARCH("German DR",S232)),"DR Germany",
ISNUMBER(SEARCH("rn""&gt;United Arab Emirates",S232)),"United Arab Emirates",
ISNUMBER(SEARCH("rn""&gt;Republic of Ireland",S232)),"Ireland",
ISNUMBER(SEARCH("rn""&gt;Bosnia and Herzegovina",S232)),"Bosnia and Herzegovina",
ISNUMBER(SEARCH("rn""&gt;Trinidad and Tobago",S232)),"Trinidad and Tobago",
ISNUMBER(SEARCH("rn""&gt;Serbia and Montenegro",S232)),"Serbia and Montenegro",
ISNUMBER(SEARCH(_xlfn.UNICHAR(65533),S232)),"Côte d'Ivoire",
TRUE,""
)</f>
        <v/>
      </c>
      <c r="W232" s="30" t="str">
        <f t="shared" si="25"/>
        <v>Portugal</v>
      </c>
      <c r="Z232" s="40" t="str">
        <v>Wembley Stadium</v>
      </c>
      <c r="AA232" s="40" t="str" cm="1">
        <f t="array" ref="AA232">IFERROR(_xlfn.XLOOKUP(Z232,_xlfn.ANCHORARRAY(Z$31),AA$31:AA$37),Z232)</f>
        <v>Wembley Stadium</v>
      </c>
      <c r="AB232" s="42" t="str">
        <v xml:space="preserve">London </v>
      </c>
      <c r="AC232" s="89" t="str">
        <f t="shared" si="22"/>
        <v xml:space="preserve">London </v>
      </c>
      <c r="AE232" s="42">
        <v>1962</v>
      </c>
      <c r="AK232" s="42">
        <v>1</v>
      </c>
      <c r="AL232" s="42">
        <v>0</v>
      </c>
      <c r="AV232" s="37" t="str">
        <v>ROUND_OF_16</v>
      </c>
      <c r="AW232" s="89" t="str">
        <v>GROUP_STAGE</v>
      </c>
      <c r="BE232" s="43" t="str">
        <f>IF(OR(DATA_CLEANED!AL223="",DATA_CLEANED!AM223=""),"MANQUANT",IF(OR(NOT(ISNUMBER(DATA_CLEANED!AL223)),NOT(ISNUMBER(DATA_CLEANED!AM223))),"ENTREE INVALIDE",IF(OR(DATA_CLEANED!AL223&lt;0,DATA_CLEANED!AM223&lt;0),"SCORE NEGATIF","OK")))</f>
        <v>OK</v>
      </c>
      <c r="BF232" s="43" t="str">
        <f>IF(DATA_CLEANED!AK223&lt;&gt;DATA_CLEANED!AN223,"OK","ERREUR")</f>
        <v>OK</v>
      </c>
      <c r="BG232" s="43" t="str">
        <f>IF(DATA_CLEANED!AL223&gt;DATA_CLEANED!AM223,DATA_CLEANED!AK223,IF(AND(DATA_QUALITE!W4709="-",DATA_CLEANED!AM223=DATA_CLEANED!AL223),"MATCH NUL",IF(AND(DATA_QUALITE!V4709="-",DATA_QUALITE!U4709="AUCUNE"),DATA_QUALITE!T4709,IF(DATA_QUALITE!V4709&lt;&gt;"-",DATA_QUALITE!V4709,DATA_CLEANED!AN223))))</f>
        <v>MATCH NUL</v>
      </c>
      <c r="BH232" s="103" t="str">
        <f>IF(AND(BG232="MATCH NUL",DATA_CLEANED!AO223="-"),"MATCH_NUL",IF(ISNUMBER(SEARCH("win on penalties",W4709)),"WIN_BY_PENALTY",IF(ISNUMBER(SEARCH("win after extra time",W4709)),"WIN_BY_EXTRA_TIME",IF(ISNUMBER(SEARCH("Golden Goal",W4709)),"WIN_BY_GOLDEN_GOAL","WIN_BY_SCORE"))))</f>
        <v>MATCH_NUL</v>
      </c>
      <c r="BI232" s="99" t="str">
        <f>IF(OR(BG232=DATA_CLEANED!AK223,BG232=DATA_CLEANED!AN223,BG232="MATCH NUL"),"OK","ERREUR")</f>
        <v>OK</v>
      </c>
    </row>
    <row r="233" spans="2:61">
      <c r="B233" s="74">
        <v>2002</v>
      </c>
      <c r="C233" s="30" t="str">
        <v>Quarter-finals</v>
      </c>
      <c r="D233" s="30" t="str">
        <v>Spain</v>
      </c>
      <c r="E233" s="30" t="str">
        <v>South Korea</v>
      </c>
      <c r="F233" s="30" t="str">
        <v>South Korea</v>
      </c>
      <c r="G233" s="30" t="str">
        <v>Hong Myung-bo</v>
      </c>
      <c r="H233" s="30" t="str">
        <v>Iker Casillas</v>
      </c>
      <c r="I233" s="30">
        <v>9</v>
      </c>
      <c r="J233" s="30">
        <v>5</v>
      </c>
      <c r="K233" s="30" t="str">
        <v>'4-3</v>
      </c>
      <c r="L233" s="30" t="str">
        <v>No</v>
      </c>
      <c r="M233" s="30" t="str">
        <v>Yes</v>
      </c>
      <c r="N233" s="30" t="str">
        <v>Goal</v>
      </c>
      <c r="O233" s="30" t="str">
        <f t="shared" si="26"/>
        <v>2002|Quarter-finals|Spain|South Korea|South Korea|Hong Myung-bo|Iker Casillas|9|5|'4-3|No|Yes|Goal</v>
      </c>
      <c r="P233" s="96" t="str">
        <f>IF(COUNTIF($G$32:O233,O233)&gt;1,"DOUBLON","OK")</f>
        <v>OK</v>
      </c>
      <c r="R233" s="23" t="s">
        <v>3706</v>
      </c>
      <c r="S233" s="30" t="str">
        <v>Portugal</v>
      </c>
      <c r="T233" s="30" t="str">
        <f t="shared" si="27"/>
        <v>OK</v>
      </c>
      <c r="U233" s="30" t="str">
        <f t="shared" si="24"/>
        <v>-</v>
      </c>
      <c r="V233" s="30" t="str" cm="1">
        <f t="array" ref="V233">_xlfn.IFS(
ISNUMBER(SEARCH("USA",S233)),"United States",
ISNUMBER(SEARCH("Republic of Korea",S233)),"South Korea",
ISNUMBER(SEARCH("Cape Verde",S233)),"Cabo Verde",
ISNUMBER(SEARCH("Czechia",S233)),"Czech Republic",
ISNUMBER(SEARCH("Türkiye",S233)),"Turkey",
ISNUMBER(SEARCH("Ivory Coast",S233)),"Côte d'Ivoire",
ISNUMBER(SEARCH("Korea Republic",S233)),"South Korea",
ISNUMBER(SEARCH("Germany FR",S233)),"FR Germany",
ISNUMBER(SEARCH("West Germany",S233)),"FR Germany",
ISNUMBER(SEARCH("Germany DR",S233)),"DR Germany",
ISNUMBER(SEARCH("Korea DPR",S233)),"North Korea",
ISNUMBER(SEARCH("China PR",S233)),"China",
ISNUMBER(SEARCH("IR Iran",S233)),"Iran",
ISNUMBER(SEARCH("Congo DR",S233)),"Democratic Republic of the Congo",
ISNUMBER(SEARCH("DR Congo",S233)),"Democratic Republic of the Congo",
ISNUMBER(SEARCH("German DR",S233)),"DR Germany",
ISNUMBER(SEARCH("rn""&gt;United Arab Emirates",S233)),"United Arab Emirates",
ISNUMBER(SEARCH("rn""&gt;Republic of Ireland",S233)),"Ireland",
ISNUMBER(SEARCH("rn""&gt;Bosnia and Herzegovina",S233)),"Bosnia and Herzegovina",
ISNUMBER(SEARCH("rn""&gt;Trinidad and Tobago",S233)),"Trinidad and Tobago",
ISNUMBER(SEARCH("rn""&gt;Serbia and Montenegro",S233)),"Serbia and Montenegro",
ISNUMBER(SEARCH(_xlfn.UNICHAR(65533),S233)),"Côte d'Ivoire",
TRUE,""
)</f>
        <v/>
      </c>
      <c r="W233" s="30" t="str">
        <f t="shared" si="25"/>
        <v>Portugal</v>
      </c>
      <c r="Z233" s="40" t="str">
        <v>Hillsborough</v>
      </c>
      <c r="AA233" s="40" t="str" cm="1">
        <f t="array" ref="AA233">IFERROR(_xlfn.XLOOKUP(Z233,_xlfn.ANCHORARRAY(Z$31),AA$31:AA$37),Z233)</f>
        <v>Hillsborough</v>
      </c>
      <c r="AB233" s="42" t="str">
        <v xml:space="preserve">Sheffield </v>
      </c>
      <c r="AC233" s="89" t="str">
        <f t="shared" ref="AC233:AC296" si="28">_xlfn.SINGLE(IFERROR(_xlfn.XLOOKUP(AB233,AB$31:AB$34,AC$31:AC$34),AB233))</f>
        <v xml:space="preserve">Sheffield </v>
      </c>
      <c r="AE233" s="42">
        <v>1962</v>
      </c>
      <c r="AK233" s="42">
        <v>6</v>
      </c>
      <c r="AL233" s="42">
        <v>1</v>
      </c>
      <c r="AV233" s="37" t="str">
        <v>QUARTER_FINALS</v>
      </c>
      <c r="AW233" s="89" t="str">
        <v>GROUP_STAGE</v>
      </c>
      <c r="BE233" s="43" t="str">
        <f>IF(OR(DATA_CLEANED!AL224="",DATA_CLEANED!AM224=""),"MANQUANT",IF(OR(NOT(ISNUMBER(DATA_CLEANED!AL224)),NOT(ISNUMBER(DATA_CLEANED!AM224))),"ENTREE INVALIDE",IF(OR(DATA_CLEANED!AL224&lt;0,DATA_CLEANED!AM224&lt;0),"SCORE NEGATIF","OK")))</f>
        <v>OK</v>
      </c>
      <c r="BF233" s="43" t="str">
        <f>IF(DATA_CLEANED!AK224&lt;&gt;DATA_CLEANED!AN224,"OK","ERREUR")</f>
        <v>OK</v>
      </c>
      <c r="BG233" s="43" t="str">
        <f>IF(DATA_CLEANED!AL224&gt;DATA_CLEANED!AM224,DATA_CLEANED!AK224,IF(AND(DATA_QUALITE!W4710="-",DATA_CLEANED!AM224=DATA_CLEANED!AL224),"MATCH NUL",IF(AND(DATA_QUALITE!V4710="-",DATA_QUALITE!U4710="AUCUNE"),DATA_QUALITE!T4710,IF(DATA_QUALITE!V4710&lt;&gt;"-",DATA_QUALITE!V4710,DATA_CLEANED!AN224))))</f>
        <v>MATCH NUL</v>
      </c>
      <c r="BH233" s="103" t="str">
        <f>IF(AND(BG233="MATCH NUL",DATA_CLEANED!AO224="-"),"MATCH_NUL",IF(ISNUMBER(SEARCH("win on penalties",W4710)),"WIN_BY_PENALTY",IF(ISNUMBER(SEARCH("win after extra time",W4710)),"WIN_BY_EXTRA_TIME",IF(ISNUMBER(SEARCH("Golden Goal",W4710)),"WIN_BY_GOLDEN_GOAL","WIN_BY_SCORE"))))</f>
        <v>MATCH_NUL</v>
      </c>
      <c r="BI233" s="99" t="str">
        <f>IF(OR(BG233=DATA_CLEANED!AK224,BG233=DATA_CLEANED!AN224,BG233="MATCH NUL"),"OK","ERREUR")</f>
        <v>OK</v>
      </c>
    </row>
    <row r="234" spans="2:61">
      <c r="B234" s="74">
        <v>2006</v>
      </c>
      <c r="C234" s="30" t="str">
        <v>Round of 16</v>
      </c>
      <c r="D234" s="30" t="str">
        <v>Ukraine</v>
      </c>
      <c r="E234" s="30" t="str">
        <v>Switzerland</v>
      </c>
      <c r="F234" s="30" t="str">
        <v>Ukraine</v>
      </c>
      <c r="G234" s="30" t="str">
        <v>Andriy Shevchenko</v>
      </c>
      <c r="H234" s="30" t="str">
        <v>Pascal Zuberbühler</v>
      </c>
      <c r="I234" s="30">
        <v>1</v>
      </c>
      <c r="J234" s="30">
        <v>1</v>
      </c>
      <c r="K234" s="30" t="str">
        <v>'0-0</v>
      </c>
      <c r="L234" s="30" t="str">
        <v>No</v>
      </c>
      <c r="M234" s="30" t="str">
        <v>No</v>
      </c>
      <c r="N234" s="30" t="str">
        <v>Saved</v>
      </c>
      <c r="O234" s="30" t="str">
        <f t="shared" si="26"/>
        <v>2006|Round of 16|Ukraine|Switzerland|Ukraine|Andriy Shevchenko|Pascal Zuberbühler|1|1|'0-0|No|No|Saved</v>
      </c>
      <c r="P234" s="96" t="str">
        <f>IF(COUNTIF($G$32:O234,O234)&gt;1,"DOUBLON","OK")</f>
        <v>OK</v>
      </c>
      <c r="R234" s="23" t="s">
        <v>74</v>
      </c>
      <c r="S234" s="30" t="str">
        <v>Portugal</v>
      </c>
      <c r="T234" s="30" t="str">
        <f t="shared" si="27"/>
        <v>OK</v>
      </c>
      <c r="U234" s="30" t="str">
        <f t="shared" si="24"/>
        <v>-</v>
      </c>
      <c r="V234" s="30" t="str" cm="1">
        <f t="array" ref="V234">_xlfn.IFS(
ISNUMBER(SEARCH("USA",S234)),"United States",
ISNUMBER(SEARCH("Republic of Korea",S234)),"South Korea",
ISNUMBER(SEARCH("Cape Verde",S234)),"Cabo Verde",
ISNUMBER(SEARCH("Czechia",S234)),"Czech Republic",
ISNUMBER(SEARCH("Türkiye",S234)),"Turkey",
ISNUMBER(SEARCH("Ivory Coast",S234)),"Côte d'Ivoire",
ISNUMBER(SEARCH("Korea Republic",S234)),"South Korea",
ISNUMBER(SEARCH("Germany FR",S234)),"FR Germany",
ISNUMBER(SEARCH("West Germany",S234)),"FR Germany",
ISNUMBER(SEARCH("Germany DR",S234)),"DR Germany",
ISNUMBER(SEARCH("Korea DPR",S234)),"North Korea",
ISNUMBER(SEARCH("China PR",S234)),"China",
ISNUMBER(SEARCH("IR Iran",S234)),"Iran",
ISNUMBER(SEARCH("Congo DR",S234)),"Democratic Republic of the Congo",
ISNUMBER(SEARCH("DR Congo",S234)),"Democratic Republic of the Congo",
ISNUMBER(SEARCH("German DR",S234)),"DR Germany",
ISNUMBER(SEARCH("rn""&gt;United Arab Emirates",S234)),"United Arab Emirates",
ISNUMBER(SEARCH("rn""&gt;Republic of Ireland",S234)),"Ireland",
ISNUMBER(SEARCH("rn""&gt;Bosnia and Herzegovina",S234)),"Bosnia and Herzegovina",
ISNUMBER(SEARCH("rn""&gt;Trinidad and Tobago",S234)),"Trinidad and Tobago",
ISNUMBER(SEARCH("rn""&gt;Serbia and Montenegro",S234)),"Serbia and Montenegro",
ISNUMBER(SEARCH(_xlfn.UNICHAR(65533),S234)),"Côte d'Ivoire",
TRUE,""
)</f>
        <v/>
      </c>
      <c r="W234" s="30" t="str">
        <f t="shared" si="25"/>
        <v>Portugal</v>
      </c>
      <c r="Z234" s="40" t="str">
        <v>Roker Park Ground</v>
      </c>
      <c r="AA234" s="40" t="str" cm="1">
        <f t="array" ref="AA234">IFERROR(_xlfn.XLOOKUP(Z234,_xlfn.ANCHORARRAY(Z$31),AA$31:AA$37),Z234)</f>
        <v>Roker Park Ground</v>
      </c>
      <c r="AB234" s="42" t="str">
        <v xml:space="preserve">Sunderland </v>
      </c>
      <c r="AC234" s="89" t="str">
        <f t="shared" si="28"/>
        <v xml:space="preserve">Sunderland </v>
      </c>
      <c r="AE234" s="42">
        <v>1962</v>
      </c>
      <c r="AK234" s="42">
        <v>2</v>
      </c>
      <c r="AL234" s="42">
        <v>1</v>
      </c>
      <c r="AV234" s="37" t="str">
        <v>QUARTER_FINALS</v>
      </c>
      <c r="AW234" s="89" t="str">
        <v>GROUP_STAGE</v>
      </c>
      <c r="BE234" s="43" t="str">
        <f>IF(OR(DATA_CLEANED!AL225="",DATA_CLEANED!AM225=""),"MANQUANT",IF(OR(NOT(ISNUMBER(DATA_CLEANED!AL225)),NOT(ISNUMBER(DATA_CLEANED!AM225))),"ENTREE INVALIDE",IF(OR(DATA_CLEANED!AL225&lt;0,DATA_CLEANED!AM225&lt;0),"SCORE NEGATIF","OK")))</f>
        <v>OK</v>
      </c>
      <c r="BF234" s="43" t="str">
        <f>IF(DATA_CLEANED!AK225&lt;&gt;DATA_CLEANED!AN225,"OK","ERREUR")</f>
        <v>OK</v>
      </c>
      <c r="BG234" s="43" t="str">
        <f>IF(DATA_CLEANED!AL225&gt;DATA_CLEANED!AM225,DATA_CLEANED!AK225,IF(AND(DATA_QUALITE!W4711="-",DATA_CLEANED!AM225=DATA_CLEANED!AL225),"MATCH NUL",IF(AND(DATA_QUALITE!V4711="-",DATA_QUALITE!U4711="AUCUNE"),DATA_QUALITE!T4711,IF(DATA_QUALITE!V4711&lt;&gt;"-",DATA_QUALITE!V4711,DATA_CLEANED!AN225))))</f>
        <v>England</v>
      </c>
      <c r="BH234" s="103" t="str">
        <f>IF(AND(BG234="MATCH NUL",DATA_CLEANED!AO225="-"),"MATCH_NUL",IF(ISNUMBER(SEARCH("win on penalties",W4711)),"WIN_BY_PENALTY",IF(ISNUMBER(SEARCH("win after extra time",W4711)),"WIN_BY_EXTRA_TIME",IF(ISNUMBER(SEARCH("Golden Goal",W4711)),"WIN_BY_GOLDEN_GOAL","WIN_BY_SCORE"))))</f>
        <v>WIN_BY_SCORE</v>
      </c>
      <c r="BI234" s="99" t="str">
        <f>IF(OR(BG234=DATA_CLEANED!AK225,BG234=DATA_CLEANED!AN225,BG234="MATCH NUL"),"OK","ERREUR")</f>
        <v>OK</v>
      </c>
    </row>
    <row r="235" spans="2:61">
      <c r="B235" s="74">
        <v>2006</v>
      </c>
      <c r="C235" s="30" t="str">
        <v>Round of 16</v>
      </c>
      <c r="D235" s="30" t="str">
        <v>Ukraine</v>
      </c>
      <c r="E235" s="30" t="str">
        <v>Switzerland</v>
      </c>
      <c r="F235" s="30" t="str">
        <v>Switzerland</v>
      </c>
      <c r="G235" s="30" t="str">
        <v>Marco Streller</v>
      </c>
      <c r="H235" s="30" t="str">
        <v>Oleksandr Shovkovskyi</v>
      </c>
      <c r="I235" s="30">
        <v>2</v>
      </c>
      <c r="J235" s="30">
        <v>1</v>
      </c>
      <c r="K235" s="30" t="str">
        <v>'0-0</v>
      </c>
      <c r="L235" s="30" t="str">
        <v>No</v>
      </c>
      <c r="M235" s="30" t="str">
        <v>No</v>
      </c>
      <c r="N235" s="30" t="str">
        <v>Saved</v>
      </c>
      <c r="O235" s="30" t="str">
        <f t="shared" si="26"/>
        <v>2006|Round of 16|Ukraine|Switzerland|Switzerland|Marco Streller|Oleksandr Shovkovskyi|2|1|'0-0|No|No|Saved</v>
      </c>
      <c r="P235" s="96" t="str">
        <f>IF(COUNTIF($G$32:O235,O235)&gt;1,"DOUBLON","OK")</f>
        <v>OK</v>
      </c>
      <c r="R235" s="23" t="s">
        <v>3707</v>
      </c>
      <c r="S235" s="30" t="str">
        <v>Portugal</v>
      </c>
      <c r="T235" s="30" t="str">
        <f t="shared" si="27"/>
        <v>OK</v>
      </c>
      <c r="U235" s="30" t="str">
        <f t="shared" si="24"/>
        <v>-</v>
      </c>
      <c r="V235" s="30" t="str" cm="1">
        <f t="array" ref="V235">_xlfn.IFS(
ISNUMBER(SEARCH("USA",S235)),"United States",
ISNUMBER(SEARCH("Republic of Korea",S235)),"South Korea",
ISNUMBER(SEARCH("Cape Verde",S235)),"Cabo Verde",
ISNUMBER(SEARCH("Czechia",S235)),"Czech Republic",
ISNUMBER(SEARCH("Türkiye",S235)),"Turkey",
ISNUMBER(SEARCH("Ivory Coast",S235)),"Côte d'Ivoire",
ISNUMBER(SEARCH("Korea Republic",S235)),"South Korea",
ISNUMBER(SEARCH("Germany FR",S235)),"FR Germany",
ISNUMBER(SEARCH("West Germany",S235)),"FR Germany",
ISNUMBER(SEARCH("Germany DR",S235)),"DR Germany",
ISNUMBER(SEARCH("Korea DPR",S235)),"North Korea",
ISNUMBER(SEARCH("China PR",S235)),"China",
ISNUMBER(SEARCH("IR Iran",S235)),"Iran",
ISNUMBER(SEARCH("Congo DR",S235)),"Democratic Republic of the Congo",
ISNUMBER(SEARCH("DR Congo",S235)),"Democratic Republic of the Congo",
ISNUMBER(SEARCH("German DR",S235)),"DR Germany",
ISNUMBER(SEARCH("rn""&gt;United Arab Emirates",S235)),"United Arab Emirates",
ISNUMBER(SEARCH("rn""&gt;Republic of Ireland",S235)),"Ireland",
ISNUMBER(SEARCH("rn""&gt;Bosnia and Herzegovina",S235)),"Bosnia and Herzegovina",
ISNUMBER(SEARCH("rn""&gt;Trinidad and Tobago",S235)),"Trinidad and Tobago",
ISNUMBER(SEARCH("rn""&gt;Serbia and Montenegro",S235)),"Serbia and Montenegro",
ISNUMBER(SEARCH(_xlfn.UNICHAR(65533),S235)),"Côte d'Ivoire",
TRUE,""
)</f>
        <v/>
      </c>
      <c r="W235" s="30" t="str">
        <f t="shared" si="25"/>
        <v>Portugal</v>
      </c>
      <c r="Z235" s="40" t="str">
        <v>Goodison Park</v>
      </c>
      <c r="AA235" s="40" t="str" cm="1">
        <f t="array" ref="AA235">IFERROR(_xlfn.XLOOKUP(Z235,_xlfn.ANCHORARRAY(Z$31),AA$31:AA$37),Z235)</f>
        <v>Goodison Park</v>
      </c>
      <c r="AB235" s="42" t="str">
        <v xml:space="preserve">Liverpool </v>
      </c>
      <c r="AC235" s="89" t="str">
        <f t="shared" si="28"/>
        <v xml:space="preserve">Liverpool </v>
      </c>
      <c r="AE235" s="42">
        <v>1962</v>
      </c>
      <c r="AK235" s="42">
        <v>2</v>
      </c>
      <c r="AL235" s="42">
        <v>1</v>
      </c>
      <c r="AV235" s="37" t="str">
        <v>QUARTER_FINALS</v>
      </c>
      <c r="AW235" s="89" t="str">
        <v>GROUP_STAGE</v>
      </c>
      <c r="BE235" s="43" t="str">
        <f>IF(OR(DATA_CLEANED!AL226="",DATA_CLEANED!AM226=""),"MANQUANT",IF(OR(NOT(ISNUMBER(DATA_CLEANED!AL226)),NOT(ISNUMBER(DATA_CLEANED!AM226))),"ENTREE INVALIDE",IF(OR(DATA_CLEANED!AL226&lt;0,DATA_CLEANED!AM226&lt;0),"SCORE NEGATIF","OK")))</f>
        <v>OK</v>
      </c>
      <c r="BF235" s="43" t="str">
        <f>IF(DATA_CLEANED!AK226&lt;&gt;DATA_CLEANED!AN226,"OK","ERREUR")</f>
        <v>OK</v>
      </c>
      <c r="BG235" s="43" t="str">
        <f>IF(DATA_CLEANED!AL226&gt;DATA_CLEANED!AM226,DATA_CLEANED!AK226,IF(AND(DATA_QUALITE!W4712="-",DATA_CLEANED!AM226=DATA_CLEANED!AL226),"MATCH NUL",IF(AND(DATA_QUALITE!V4712="-",DATA_QUALITE!U4712="AUCUNE"),DATA_QUALITE!T4712,IF(DATA_QUALITE!V4712&lt;&gt;"-",DATA_QUALITE!V4712,DATA_CLEANED!AN226))))</f>
        <v>Mexico</v>
      </c>
      <c r="BH235" s="103" t="str">
        <f>IF(AND(BG235="MATCH NUL",DATA_CLEANED!AO226="-"),"MATCH_NUL",IF(ISNUMBER(SEARCH("win on penalties",W4712)),"WIN_BY_PENALTY",IF(ISNUMBER(SEARCH("win after extra time",W4712)),"WIN_BY_EXTRA_TIME",IF(ISNUMBER(SEARCH("Golden Goal",W4712)),"WIN_BY_GOLDEN_GOAL","WIN_BY_SCORE"))))</f>
        <v>WIN_BY_SCORE</v>
      </c>
      <c r="BI235" s="99" t="str">
        <f>IF(OR(BG235=DATA_CLEANED!AK226,BG235=DATA_CLEANED!AN226,BG235="MATCH NUL"),"OK","ERREUR")</f>
        <v>OK</v>
      </c>
    </row>
    <row r="236" spans="2:61">
      <c r="B236" s="74">
        <v>2006</v>
      </c>
      <c r="C236" s="30" t="str">
        <v>Round of 16</v>
      </c>
      <c r="D236" s="30" t="str">
        <v>Ukraine</v>
      </c>
      <c r="E236" s="30" t="str">
        <v>Switzerland</v>
      </c>
      <c r="F236" s="30" t="str">
        <v>Ukraine</v>
      </c>
      <c r="G236" s="30" t="str">
        <v>Artem Milevskyi</v>
      </c>
      <c r="H236" s="30" t="str">
        <v>Pascal Zuberbühler</v>
      </c>
      <c r="I236" s="30">
        <v>3</v>
      </c>
      <c r="J236" s="30">
        <v>2</v>
      </c>
      <c r="K236" s="30" t="str">
        <v>'0-0</v>
      </c>
      <c r="L236" s="30" t="str">
        <v>No</v>
      </c>
      <c r="M236" s="30" t="str">
        <v>No</v>
      </c>
      <c r="N236" s="30" t="str">
        <v>Goal</v>
      </c>
      <c r="O236" s="30" t="str">
        <f t="shared" si="26"/>
        <v>2006|Round of 16|Ukraine|Switzerland|Ukraine|Artem Milevskyi|Pascal Zuberbühler|3|2|'0-0|No|No|Goal</v>
      </c>
      <c r="P236" s="96" t="str">
        <f>IF(COUNTIF($G$32:O236,O236)&gt;1,"DOUBLON","OK")</f>
        <v>OK</v>
      </c>
      <c r="R236" s="23" t="s">
        <v>3708</v>
      </c>
      <c r="S236" s="30" t="str">
        <v>Portugal</v>
      </c>
      <c r="T236" s="30" t="str">
        <f t="shared" si="27"/>
        <v>OK</v>
      </c>
      <c r="U236" s="30" t="str">
        <f t="shared" si="24"/>
        <v>-</v>
      </c>
      <c r="V236" s="30" t="str" cm="1">
        <f t="array" ref="V236">_xlfn.IFS(
ISNUMBER(SEARCH("USA",S236)),"United States",
ISNUMBER(SEARCH("Republic of Korea",S236)),"South Korea",
ISNUMBER(SEARCH("Cape Verde",S236)),"Cabo Verde",
ISNUMBER(SEARCH("Czechia",S236)),"Czech Republic",
ISNUMBER(SEARCH("Türkiye",S236)),"Turkey",
ISNUMBER(SEARCH("Ivory Coast",S236)),"Côte d'Ivoire",
ISNUMBER(SEARCH("Korea Republic",S236)),"South Korea",
ISNUMBER(SEARCH("Germany FR",S236)),"FR Germany",
ISNUMBER(SEARCH("West Germany",S236)),"FR Germany",
ISNUMBER(SEARCH("Germany DR",S236)),"DR Germany",
ISNUMBER(SEARCH("Korea DPR",S236)),"North Korea",
ISNUMBER(SEARCH("China PR",S236)),"China",
ISNUMBER(SEARCH("IR Iran",S236)),"Iran",
ISNUMBER(SEARCH("Congo DR",S236)),"Democratic Republic of the Congo",
ISNUMBER(SEARCH("DR Congo",S236)),"Democratic Republic of the Congo",
ISNUMBER(SEARCH("German DR",S236)),"DR Germany",
ISNUMBER(SEARCH("rn""&gt;United Arab Emirates",S236)),"United Arab Emirates",
ISNUMBER(SEARCH("rn""&gt;Republic of Ireland",S236)),"Ireland",
ISNUMBER(SEARCH("rn""&gt;Bosnia and Herzegovina",S236)),"Bosnia and Herzegovina",
ISNUMBER(SEARCH("rn""&gt;Trinidad and Tobago",S236)),"Trinidad and Tobago",
ISNUMBER(SEARCH("rn""&gt;Serbia and Montenegro",S236)),"Serbia and Montenegro",
ISNUMBER(SEARCH(_xlfn.UNICHAR(65533),S236)),"Côte d'Ivoire",
TRUE,""
)</f>
        <v/>
      </c>
      <c r="W236" s="30" t="str">
        <f t="shared" si="25"/>
        <v>Portugal</v>
      </c>
      <c r="Z236" s="40" t="str">
        <v>Goodison Park</v>
      </c>
      <c r="AA236" s="40" t="str" cm="1">
        <f t="array" ref="AA236">IFERROR(_xlfn.XLOOKUP(Z236,_xlfn.ANCHORARRAY(Z$31),AA$31:AA$37),Z236)</f>
        <v>Goodison Park</v>
      </c>
      <c r="AB236" s="42" t="str">
        <v xml:space="preserve">Liverpool </v>
      </c>
      <c r="AC236" s="89" t="str">
        <f t="shared" si="28"/>
        <v xml:space="preserve">Liverpool </v>
      </c>
      <c r="AE236" s="42">
        <v>1962</v>
      </c>
      <c r="AK236" s="42">
        <v>2</v>
      </c>
      <c r="AL236" s="42">
        <v>1</v>
      </c>
      <c r="AV236" s="37" t="str">
        <v>QUARTER_FINALS</v>
      </c>
      <c r="AW236" s="89" t="str">
        <v>QUARTER_FINALS</v>
      </c>
      <c r="BE236" s="43" t="str">
        <f>IF(OR(DATA_CLEANED!AL227="",DATA_CLEANED!AM227=""),"MANQUANT",IF(OR(NOT(ISNUMBER(DATA_CLEANED!AL227)),NOT(ISNUMBER(DATA_CLEANED!AM227))),"ENTREE INVALIDE",IF(OR(DATA_CLEANED!AL227&lt;0,DATA_CLEANED!AM227&lt;0),"SCORE NEGATIF","OK")))</f>
        <v>OK</v>
      </c>
      <c r="BF236" s="43" t="str">
        <f>IF(DATA_CLEANED!AK227&lt;&gt;DATA_CLEANED!AN227,"OK","ERREUR")</f>
        <v>OK</v>
      </c>
      <c r="BG236" s="43" t="str">
        <f>IF(DATA_CLEANED!AL227&gt;DATA_CLEANED!AM227,DATA_CLEANED!AK227,IF(AND(DATA_QUALITE!W4713="-",DATA_CLEANED!AM227=DATA_CLEANED!AL227),"MATCH NUL",IF(AND(DATA_QUALITE!V4713="-",DATA_QUALITE!U4713="AUCUNE"),DATA_QUALITE!T4713,IF(DATA_QUALITE!V4713&lt;&gt;"-",DATA_QUALITE!V4713,DATA_CLEANED!AN227))))</f>
        <v>Italy</v>
      </c>
      <c r="BH236" s="103" t="str">
        <f>IF(AND(BG236="MATCH NUL",DATA_CLEANED!AO227="-"),"MATCH_NUL",IF(ISNUMBER(SEARCH("win on penalties",W4713)),"WIN_BY_PENALTY",IF(ISNUMBER(SEARCH("win after extra time",W4713)),"WIN_BY_EXTRA_TIME",IF(ISNUMBER(SEARCH("Golden Goal",W4713)),"WIN_BY_GOLDEN_GOAL","WIN_BY_SCORE"))))</f>
        <v>WIN_BY_SCORE</v>
      </c>
      <c r="BI236" s="99" t="str">
        <f>IF(OR(BG236=DATA_CLEANED!AK227,BG236=DATA_CLEANED!AN227,BG236="MATCH NUL"),"OK","ERREUR")</f>
        <v>OK</v>
      </c>
    </row>
    <row r="237" spans="2:61">
      <c r="B237" s="74">
        <v>2006</v>
      </c>
      <c r="C237" s="30" t="str">
        <v>Round of 16</v>
      </c>
      <c r="D237" s="30" t="str">
        <v>Ukraine</v>
      </c>
      <c r="E237" s="30" t="str">
        <v>Switzerland</v>
      </c>
      <c r="F237" s="30" t="str">
        <v>Switzerland</v>
      </c>
      <c r="G237" s="30" t="str">
        <v>Tranquillo Barnetta</v>
      </c>
      <c r="H237" s="30" t="str">
        <v>Oleksandr Shovkovskyi</v>
      </c>
      <c r="I237" s="30">
        <v>4</v>
      </c>
      <c r="J237" s="30">
        <v>2</v>
      </c>
      <c r="K237" s="30" t="str">
        <v>'1-0</v>
      </c>
      <c r="L237" s="30" t="str">
        <v>No</v>
      </c>
      <c r="M237" s="30" t="str">
        <v>No</v>
      </c>
      <c r="N237" s="30" t="str">
        <v>Missed</v>
      </c>
      <c r="O237" s="30" t="str">
        <f t="shared" si="26"/>
        <v>2006|Round of 16|Ukraine|Switzerland|Switzerland|Tranquillo Barnetta|Oleksandr Shovkovskyi|4|2|'1-0|No|No|Missed</v>
      </c>
      <c r="P237" s="96" t="str">
        <f>IF(COUNTIF($G$32:O237,O237)&gt;1,"DOUBLON","OK")</f>
        <v>OK</v>
      </c>
      <c r="R237" s="23" t="s">
        <v>3588</v>
      </c>
      <c r="S237" s="30" t="str">
        <v>Portugal</v>
      </c>
      <c r="T237" s="30" t="str">
        <f t="shared" si="27"/>
        <v>OK</v>
      </c>
      <c r="U237" s="30" t="str">
        <f t="shared" si="24"/>
        <v>-</v>
      </c>
      <c r="V237" s="30" t="str" cm="1">
        <f t="array" ref="V237">_xlfn.IFS(
ISNUMBER(SEARCH("USA",S237)),"United States",
ISNUMBER(SEARCH("Republic of Korea",S237)),"South Korea",
ISNUMBER(SEARCH("Cape Verde",S237)),"Cabo Verde",
ISNUMBER(SEARCH("Czechia",S237)),"Czech Republic",
ISNUMBER(SEARCH("Türkiye",S237)),"Turkey",
ISNUMBER(SEARCH("Ivory Coast",S237)),"Côte d'Ivoire",
ISNUMBER(SEARCH("Korea Republic",S237)),"South Korea",
ISNUMBER(SEARCH("Germany FR",S237)),"FR Germany",
ISNUMBER(SEARCH("West Germany",S237)),"FR Germany",
ISNUMBER(SEARCH("Germany DR",S237)),"DR Germany",
ISNUMBER(SEARCH("Korea DPR",S237)),"North Korea",
ISNUMBER(SEARCH("China PR",S237)),"China",
ISNUMBER(SEARCH("IR Iran",S237)),"Iran",
ISNUMBER(SEARCH("Congo DR",S237)),"Democratic Republic of the Congo",
ISNUMBER(SEARCH("DR Congo",S237)),"Democratic Republic of the Congo",
ISNUMBER(SEARCH("German DR",S237)),"DR Germany",
ISNUMBER(SEARCH("rn""&gt;United Arab Emirates",S237)),"United Arab Emirates",
ISNUMBER(SEARCH("rn""&gt;Republic of Ireland",S237)),"Ireland",
ISNUMBER(SEARCH("rn""&gt;Bosnia and Herzegovina",S237)),"Bosnia and Herzegovina",
ISNUMBER(SEARCH("rn""&gt;Trinidad and Tobago",S237)),"Trinidad and Tobago",
ISNUMBER(SEARCH("rn""&gt;Serbia and Montenegro",S237)),"Serbia and Montenegro",
ISNUMBER(SEARCH(_xlfn.UNICHAR(65533),S237)),"Côte d'Ivoire",
TRUE,""
)</f>
        <v/>
      </c>
      <c r="W237" s="30" t="str">
        <f t="shared" si="25"/>
        <v>Portugal</v>
      </c>
      <c r="Z237" s="40" t="str">
        <v>Wembley Stadium</v>
      </c>
      <c r="AA237" s="40" t="str" cm="1">
        <f t="array" ref="AA237">IFERROR(_xlfn.XLOOKUP(Z237,_xlfn.ANCHORARRAY(Z$31),AA$31:AA$37),Z237)</f>
        <v>Wembley Stadium</v>
      </c>
      <c r="AB237" s="42" t="str">
        <v xml:space="preserve">London </v>
      </c>
      <c r="AC237" s="89" t="str">
        <f t="shared" si="28"/>
        <v xml:space="preserve">London </v>
      </c>
      <c r="AE237" s="42">
        <v>1962</v>
      </c>
      <c r="AK237" s="42">
        <v>0</v>
      </c>
      <c r="AL237" s="42">
        <v>0</v>
      </c>
      <c r="AV237" s="37" t="str">
        <v>QUARTER_FINALS</v>
      </c>
      <c r="AW237" s="89" t="str">
        <v>QUARTER_FINALS</v>
      </c>
      <c r="BE237" s="43" t="str">
        <f>IF(OR(DATA_CLEANED!AL228="",DATA_CLEANED!AM228=""),"MANQUANT",IF(OR(NOT(ISNUMBER(DATA_CLEANED!AL228)),NOT(ISNUMBER(DATA_CLEANED!AM228))),"ENTREE INVALIDE",IF(OR(DATA_CLEANED!AL228&lt;0,DATA_CLEANED!AM228&lt;0),"SCORE NEGATIF","OK")))</f>
        <v>OK</v>
      </c>
      <c r="BF237" s="43" t="str">
        <f>IF(DATA_CLEANED!AK228&lt;&gt;DATA_CLEANED!AN228,"OK","ERREUR")</f>
        <v>OK</v>
      </c>
      <c r="BG237" s="43" t="str">
        <f>IF(DATA_CLEANED!AL228&gt;DATA_CLEANED!AM228,DATA_CLEANED!AK228,IF(AND(DATA_QUALITE!W4714="-",DATA_CLEANED!AM228=DATA_CLEANED!AL228),"MATCH NUL",IF(AND(DATA_QUALITE!V4714="-",DATA_QUALITE!U4714="AUCUNE"),DATA_QUALITE!T4714,IF(DATA_QUALITE!V4714&lt;&gt;"-",DATA_QUALITE!V4714,DATA_CLEANED!AN228))))</f>
        <v>FR Germany</v>
      </c>
      <c r="BH237" s="103" t="str">
        <f>IF(AND(BG237="MATCH NUL",DATA_CLEANED!AO228="-"),"MATCH_NUL",IF(ISNUMBER(SEARCH("win on penalties",W4714)),"WIN_BY_PENALTY",IF(ISNUMBER(SEARCH("win after extra time",W4714)),"WIN_BY_EXTRA_TIME",IF(ISNUMBER(SEARCH("Golden Goal",W4714)),"WIN_BY_GOLDEN_GOAL","WIN_BY_SCORE"))))</f>
        <v>WIN_BY_EXTRA_TIME</v>
      </c>
      <c r="BI237" s="99" t="str">
        <f>IF(OR(BG237=DATA_CLEANED!AK228,BG237=DATA_CLEANED!AN228,BG237="MATCH NUL"),"OK","ERREUR")</f>
        <v>OK</v>
      </c>
    </row>
    <row r="238" spans="2:61">
      <c r="B238" s="74">
        <v>2006</v>
      </c>
      <c r="C238" s="30" t="str">
        <v>Round of 16</v>
      </c>
      <c r="D238" s="30" t="str">
        <v>Ukraine</v>
      </c>
      <c r="E238" s="30" t="str">
        <v>Switzerland</v>
      </c>
      <c r="F238" s="30" t="str">
        <v>Ukraine</v>
      </c>
      <c r="G238" s="30" t="str">
        <v>Serhiy Rebrov</v>
      </c>
      <c r="H238" s="30" t="str">
        <v>Pascal Zuberbühler</v>
      </c>
      <c r="I238" s="30">
        <v>5</v>
      </c>
      <c r="J238" s="30">
        <v>3</v>
      </c>
      <c r="K238" s="30" t="str">
        <v>'1-0</v>
      </c>
      <c r="L238" s="30" t="str">
        <v>No</v>
      </c>
      <c r="M238" s="30" t="str">
        <v>No</v>
      </c>
      <c r="N238" s="30" t="str">
        <v>Goal</v>
      </c>
      <c r="O238" s="30" t="str">
        <f t="shared" si="26"/>
        <v>2006|Round of 16|Ukraine|Switzerland|Ukraine|Serhiy Rebrov|Pascal Zuberbühler|5|3|'1-0|No|No|Goal</v>
      </c>
      <c r="P238" s="96" t="str">
        <f>IF(COUNTIF($G$32:O238,O238)&gt;1,"DOUBLON","OK")</f>
        <v>OK</v>
      </c>
      <c r="R238" s="23" t="s">
        <v>3759</v>
      </c>
      <c r="S238" s="30" t="str">
        <v>Italy</v>
      </c>
      <c r="T238" s="30" t="str">
        <f t="shared" si="27"/>
        <v>OK</v>
      </c>
      <c r="U238" s="30" t="str">
        <f t="shared" si="24"/>
        <v>-</v>
      </c>
      <c r="V238" s="30" t="str" cm="1">
        <f t="array" ref="V238">_xlfn.IFS(
ISNUMBER(SEARCH("USA",S238)),"United States",
ISNUMBER(SEARCH("Republic of Korea",S238)),"South Korea",
ISNUMBER(SEARCH("Cape Verde",S238)),"Cabo Verde",
ISNUMBER(SEARCH("Czechia",S238)),"Czech Republic",
ISNUMBER(SEARCH("Türkiye",S238)),"Turkey",
ISNUMBER(SEARCH("Ivory Coast",S238)),"Côte d'Ivoire",
ISNUMBER(SEARCH("Korea Republic",S238)),"South Korea",
ISNUMBER(SEARCH("Germany FR",S238)),"FR Germany",
ISNUMBER(SEARCH("West Germany",S238)),"FR Germany",
ISNUMBER(SEARCH("Germany DR",S238)),"DR Germany",
ISNUMBER(SEARCH("Korea DPR",S238)),"North Korea",
ISNUMBER(SEARCH("China PR",S238)),"China",
ISNUMBER(SEARCH("IR Iran",S238)),"Iran",
ISNUMBER(SEARCH("Congo DR",S238)),"Democratic Republic of the Congo",
ISNUMBER(SEARCH("DR Congo",S238)),"Democratic Republic of the Congo",
ISNUMBER(SEARCH("German DR",S238)),"DR Germany",
ISNUMBER(SEARCH("rn""&gt;United Arab Emirates",S238)),"United Arab Emirates",
ISNUMBER(SEARCH("rn""&gt;Republic of Ireland",S238)),"Ireland",
ISNUMBER(SEARCH("rn""&gt;Bosnia and Herzegovina",S238)),"Bosnia and Herzegovina",
ISNUMBER(SEARCH("rn""&gt;Trinidad and Tobago",S238)),"Trinidad and Tobago",
ISNUMBER(SEARCH("rn""&gt;Serbia and Montenegro",S238)),"Serbia and Montenegro",
ISNUMBER(SEARCH(_xlfn.UNICHAR(65533),S238)),"Côte d'Ivoire",
TRUE,""
)</f>
        <v/>
      </c>
      <c r="W238" s="30" t="str">
        <f t="shared" si="25"/>
        <v>Italy</v>
      </c>
      <c r="Z238" s="40" t="str">
        <v>Wembley Stadium</v>
      </c>
      <c r="AA238" s="40" t="str" cm="1">
        <f t="array" ref="AA238">IFERROR(_xlfn.XLOOKUP(Z238,_xlfn.ANCHORARRAY(Z$31),AA$31:AA$37),Z238)</f>
        <v>Wembley Stadium</v>
      </c>
      <c r="AB238" s="42" t="str">
        <v xml:space="preserve">London </v>
      </c>
      <c r="AC238" s="89" t="str">
        <f t="shared" si="28"/>
        <v xml:space="preserve">London </v>
      </c>
      <c r="AE238" s="42">
        <v>1962</v>
      </c>
      <c r="AK238" s="42">
        <v>2</v>
      </c>
      <c r="AL238" s="42">
        <v>0</v>
      </c>
      <c r="AV238" s="37" t="str">
        <v>QUARTER_FINALS</v>
      </c>
      <c r="AW238" s="89" t="str">
        <v>QUARTER_FINALS</v>
      </c>
      <c r="BE238" s="43" t="str">
        <f>IF(OR(DATA_CLEANED!AL229="",DATA_CLEANED!AM229=""),"MANQUANT",IF(OR(NOT(ISNUMBER(DATA_CLEANED!AL229)),NOT(ISNUMBER(DATA_CLEANED!AM229))),"ENTREE INVALIDE",IF(OR(DATA_CLEANED!AL229&lt;0,DATA_CLEANED!AM229&lt;0),"SCORE NEGATIF","OK")))</f>
        <v>OK</v>
      </c>
      <c r="BF238" s="43" t="str">
        <f>IF(DATA_CLEANED!AK229&lt;&gt;DATA_CLEANED!AN229,"OK","ERREUR")</f>
        <v>OK</v>
      </c>
      <c r="BG238" s="43" t="str">
        <f>IF(DATA_CLEANED!AL229&gt;DATA_CLEANED!AM229,DATA_CLEANED!AK229,IF(AND(DATA_QUALITE!W4715="-",DATA_CLEANED!AM229=DATA_CLEANED!AL229),"MATCH NUL",IF(AND(DATA_QUALITE!V4715="-",DATA_QUALITE!U4715="AUCUNE"),DATA_QUALITE!T4715,IF(DATA_QUALITE!V4715&lt;&gt;"-",DATA_QUALITE!V4715,DATA_CLEANED!AN229))))</f>
        <v>Brazil</v>
      </c>
      <c r="BH238" s="103" t="str">
        <f>IF(AND(BG238="MATCH NUL",DATA_CLEANED!AO229="-"),"MATCH_NUL",IF(ISNUMBER(SEARCH("win on penalties",W4715)),"WIN_BY_PENALTY",IF(ISNUMBER(SEARCH("win after extra time",W4715)),"WIN_BY_EXTRA_TIME",IF(ISNUMBER(SEARCH("Golden Goal",W4715)),"WIN_BY_GOLDEN_GOAL","WIN_BY_SCORE"))))</f>
        <v>WIN_BY_SCORE</v>
      </c>
      <c r="BI238" s="99" t="str">
        <f>IF(OR(BG238=DATA_CLEANED!AK229,BG238=DATA_CLEANED!AN229,BG238="MATCH NUL"),"OK","ERREUR")</f>
        <v>OK</v>
      </c>
    </row>
    <row r="239" spans="2:61">
      <c r="B239" s="74">
        <v>2006</v>
      </c>
      <c r="C239" s="30" t="str">
        <v>Round of 16</v>
      </c>
      <c r="D239" s="30" t="str">
        <v>Ukraine</v>
      </c>
      <c r="E239" s="30" t="str">
        <v>Switzerland</v>
      </c>
      <c r="F239" s="30" t="str">
        <v>Switzerland</v>
      </c>
      <c r="G239" s="30" t="str">
        <v>Ricardo Cabanas</v>
      </c>
      <c r="H239" s="30" t="str">
        <v>Oleksandr Shovkovskyi</v>
      </c>
      <c r="I239" s="30">
        <v>6</v>
      </c>
      <c r="J239" s="30">
        <v>3</v>
      </c>
      <c r="K239" s="30" t="str">
        <v>'2-0</v>
      </c>
      <c r="L239" s="30" t="str">
        <v>No</v>
      </c>
      <c r="M239" s="30" t="str">
        <v>No</v>
      </c>
      <c r="N239" s="30" t="str">
        <v>Saved</v>
      </c>
      <c r="O239" s="30" t="str">
        <f t="shared" si="26"/>
        <v>2006|Round of 16|Ukraine|Switzerland|Switzerland|Ricardo Cabanas|Oleksandr Shovkovskyi|6|3|'2-0|No|No|Saved</v>
      </c>
      <c r="P239" s="96" t="str">
        <f>IF(COUNTIF($G$32:O239,O239)&gt;1,"DOUBLON","OK")</f>
        <v>OK</v>
      </c>
      <c r="R239" s="23" t="s">
        <v>11</v>
      </c>
      <c r="S239" s="30" t="str">
        <v>Italy</v>
      </c>
      <c r="T239" s="30" t="str">
        <f t="shared" si="27"/>
        <v>OK</v>
      </c>
      <c r="U239" s="30" t="str">
        <f t="shared" si="24"/>
        <v>-</v>
      </c>
      <c r="V239" s="30" t="str" cm="1">
        <f t="array" ref="V239">_xlfn.IFS(
ISNUMBER(SEARCH("USA",S239)),"United States",
ISNUMBER(SEARCH("Republic of Korea",S239)),"South Korea",
ISNUMBER(SEARCH("Cape Verde",S239)),"Cabo Verde",
ISNUMBER(SEARCH("Czechia",S239)),"Czech Republic",
ISNUMBER(SEARCH("Türkiye",S239)),"Turkey",
ISNUMBER(SEARCH("Ivory Coast",S239)),"Côte d'Ivoire",
ISNUMBER(SEARCH("Korea Republic",S239)),"South Korea",
ISNUMBER(SEARCH("Germany FR",S239)),"FR Germany",
ISNUMBER(SEARCH("West Germany",S239)),"FR Germany",
ISNUMBER(SEARCH("Germany DR",S239)),"DR Germany",
ISNUMBER(SEARCH("Korea DPR",S239)),"North Korea",
ISNUMBER(SEARCH("China PR",S239)),"China",
ISNUMBER(SEARCH("IR Iran",S239)),"Iran",
ISNUMBER(SEARCH("Congo DR",S239)),"Democratic Republic of the Congo",
ISNUMBER(SEARCH("DR Congo",S239)),"Democratic Republic of the Congo",
ISNUMBER(SEARCH("German DR",S239)),"DR Germany",
ISNUMBER(SEARCH("rn""&gt;United Arab Emirates",S239)),"United Arab Emirates",
ISNUMBER(SEARCH("rn""&gt;Republic of Ireland",S239)),"Ireland",
ISNUMBER(SEARCH("rn""&gt;Bosnia and Herzegovina",S239)),"Bosnia and Herzegovina",
ISNUMBER(SEARCH("rn""&gt;Trinidad and Tobago",S239)),"Trinidad and Tobago",
ISNUMBER(SEARCH("rn""&gt;Serbia and Montenegro",S239)),"Serbia and Montenegro",
ISNUMBER(SEARCH(_xlfn.UNICHAR(65533),S239)),"Côte d'Ivoire",
TRUE,""
)</f>
        <v/>
      </c>
      <c r="W239" s="30" t="str">
        <f t="shared" si="25"/>
        <v>Italy</v>
      </c>
      <c r="Z239" s="40" t="str">
        <v>Wembley Stadium</v>
      </c>
      <c r="AA239" s="40" t="str" cm="1">
        <f t="array" ref="AA239">IFERROR(_xlfn.XLOOKUP(Z239,_xlfn.ANCHORARRAY(Z$31),AA$31:AA$37),Z239)</f>
        <v>Wembley Stadium</v>
      </c>
      <c r="AB239" s="42" t="str">
        <v xml:space="preserve">London </v>
      </c>
      <c r="AC239" s="89" t="str">
        <f t="shared" si="28"/>
        <v xml:space="preserve">London </v>
      </c>
      <c r="AE239" s="42">
        <v>1962</v>
      </c>
      <c r="AK239" s="42">
        <v>5</v>
      </c>
      <c r="AL239" s="42">
        <v>0</v>
      </c>
      <c r="AV239" s="37" t="str">
        <v>QUARTER_FINALS</v>
      </c>
      <c r="AW239" s="89" t="str">
        <v>QUARTER_FINALS</v>
      </c>
      <c r="BE239" s="43" t="str">
        <f>IF(OR(DATA_CLEANED!AL230="",DATA_CLEANED!AM230=""),"MANQUANT",IF(OR(NOT(ISNUMBER(DATA_CLEANED!AL230)),NOT(ISNUMBER(DATA_CLEANED!AM230))),"ENTREE INVALIDE",IF(OR(DATA_CLEANED!AL230&lt;0,DATA_CLEANED!AM230&lt;0),"SCORE NEGATIF","OK")))</f>
        <v>OK</v>
      </c>
      <c r="BF239" s="43" t="str">
        <f>IF(DATA_CLEANED!AK230&lt;&gt;DATA_CLEANED!AN230,"OK","ERREUR")</f>
        <v>OK</v>
      </c>
      <c r="BG239" s="43" t="str">
        <f>IF(DATA_CLEANED!AL230&gt;DATA_CLEANED!AM230,DATA_CLEANED!AK230,IF(AND(DATA_QUALITE!W4716="-",DATA_CLEANED!AM230=DATA_CLEANED!AL230),"MATCH NUL",IF(AND(DATA_QUALITE!V4716="-",DATA_QUALITE!U4716="AUCUNE"),DATA_QUALITE!T4716,IF(DATA_QUALITE!V4716&lt;&gt;"-",DATA_QUALITE!V4716,DATA_CLEANED!AN230))))</f>
        <v>Uruguay</v>
      </c>
      <c r="BH239" s="103" t="str">
        <f>IF(AND(BG239="MATCH NUL",DATA_CLEANED!AO230="-"),"MATCH_NUL",IF(ISNUMBER(SEARCH("win on penalties",W4716)),"WIN_BY_PENALTY",IF(ISNUMBER(SEARCH("win after extra time",W4716)),"WIN_BY_EXTRA_TIME",IF(ISNUMBER(SEARCH("Golden Goal",W4716)),"WIN_BY_GOLDEN_GOAL","WIN_BY_SCORE"))))</f>
        <v>WIN_BY_EXTRA_TIME</v>
      </c>
      <c r="BI239" s="99" t="str">
        <f>IF(OR(BG239=DATA_CLEANED!AK230,BG239=DATA_CLEANED!AN230,BG239="MATCH NUL"),"OK","ERREUR")</f>
        <v>OK</v>
      </c>
    </row>
    <row r="240" spans="2:61">
      <c r="B240" s="74">
        <v>2006</v>
      </c>
      <c r="C240" s="30" t="str">
        <v>Round of 16</v>
      </c>
      <c r="D240" s="30" t="str">
        <v>Ukraine</v>
      </c>
      <c r="E240" s="30" t="str">
        <v>Switzerland</v>
      </c>
      <c r="F240" s="30" t="str">
        <v>Ukraine</v>
      </c>
      <c r="G240" s="30" t="str">
        <v>Oleh Husyev</v>
      </c>
      <c r="H240" s="30" t="str">
        <v>Pascal Zuberbühler</v>
      </c>
      <c r="I240" s="30">
        <v>7</v>
      </c>
      <c r="J240" s="30">
        <v>4</v>
      </c>
      <c r="K240" s="30" t="str">
        <v>'2-0</v>
      </c>
      <c r="L240" s="30" t="str">
        <v>No</v>
      </c>
      <c r="M240" s="30" t="str">
        <v>Yes</v>
      </c>
      <c r="N240" s="30" t="str">
        <v>Goal</v>
      </c>
      <c r="O240" s="30" t="str">
        <f t="shared" si="26"/>
        <v>2006|Round of 16|Ukraine|Switzerland|Ukraine|Oleh Husyev|Pascal Zuberbühler|7|4|'2-0|No|Yes|Goal</v>
      </c>
      <c r="P240" s="96" t="str">
        <f>IF(COUNTIF($G$32:O240,O240)&gt;1,"DOUBLON","OK")</f>
        <v>OK</v>
      </c>
      <c r="R240" s="23" t="s">
        <v>83</v>
      </c>
      <c r="S240" s="30" t="str">
        <v>Italy</v>
      </c>
      <c r="T240" s="30" t="str">
        <f t="shared" si="27"/>
        <v>OK</v>
      </c>
      <c r="U240" s="30" t="str">
        <f t="shared" si="24"/>
        <v>-</v>
      </c>
      <c r="V240" s="30" t="str" cm="1">
        <f t="array" ref="V240">_xlfn.IFS(
ISNUMBER(SEARCH("USA",S240)),"United States",
ISNUMBER(SEARCH("Republic of Korea",S240)),"South Korea",
ISNUMBER(SEARCH("Cape Verde",S240)),"Cabo Verde",
ISNUMBER(SEARCH("Czechia",S240)),"Czech Republic",
ISNUMBER(SEARCH("Türkiye",S240)),"Turkey",
ISNUMBER(SEARCH("Ivory Coast",S240)),"Côte d'Ivoire",
ISNUMBER(SEARCH("Korea Republic",S240)),"South Korea",
ISNUMBER(SEARCH("Germany FR",S240)),"FR Germany",
ISNUMBER(SEARCH("West Germany",S240)),"FR Germany",
ISNUMBER(SEARCH("Germany DR",S240)),"DR Germany",
ISNUMBER(SEARCH("Korea DPR",S240)),"North Korea",
ISNUMBER(SEARCH("China PR",S240)),"China",
ISNUMBER(SEARCH("IR Iran",S240)),"Iran",
ISNUMBER(SEARCH("Congo DR",S240)),"Democratic Republic of the Congo",
ISNUMBER(SEARCH("DR Congo",S240)),"Democratic Republic of the Congo",
ISNUMBER(SEARCH("German DR",S240)),"DR Germany",
ISNUMBER(SEARCH("rn""&gt;United Arab Emirates",S240)),"United Arab Emirates",
ISNUMBER(SEARCH("rn""&gt;Republic of Ireland",S240)),"Ireland",
ISNUMBER(SEARCH("rn""&gt;Bosnia and Herzegovina",S240)),"Bosnia and Herzegovina",
ISNUMBER(SEARCH("rn""&gt;Trinidad and Tobago",S240)),"Trinidad and Tobago",
ISNUMBER(SEARCH("rn""&gt;Serbia and Montenegro",S240)),"Serbia and Montenegro",
ISNUMBER(SEARCH(_xlfn.UNICHAR(65533),S240)),"Côte d'Ivoire",
TRUE,""
)</f>
        <v/>
      </c>
      <c r="W240" s="30" t="str">
        <f t="shared" si="25"/>
        <v>Italy</v>
      </c>
      <c r="Z240" s="40" t="str">
        <v>Estadio Azteca</v>
      </c>
      <c r="AA240" s="40" t="str" cm="1">
        <f t="array" ref="AA240">IFERROR(_xlfn.XLOOKUP(Z240,_xlfn.ANCHORARRAY(Z$31),AA$31:AA$37),Z240)</f>
        <v>Estadio Azteca</v>
      </c>
      <c r="AB240" s="42" t="str">
        <v xml:space="preserve">Mexico City </v>
      </c>
      <c r="AC240" s="89" t="str">
        <f t="shared" si="28"/>
        <v xml:space="preserve">Mexico City </v>
      </c>
      <c r="AE240" s="42">
        <v>1962</v>
      </c>
      <c r="AK240" s="42">
        <v>3</v>
      </c>
      <c r="AL240" s="42">
        <v>1</v>
      </c>
      <c r="AV240" s="37" t="str">
        <v>QUARTER_FINALS</v>
      </c>
      <c r="AW240" s="89" t="str">
        <v>SEMI_FINALS</v>
      </c>
      <c r="BE240" s="43" t="str">
        <f>IF(OR(DATA_CLEANED!AL231="",DATA_CLEANED!AM231=""),"MANQUANT",IF(OR(NOT(ISNUMBER(DATA_CLEANED!AL231)),NOT(ISNUMBER(DATA_CLEANED!AM231))),"ENTREE INVALIDE",IF(OR(DATA_CLEANED!AL231&lt;0,DATA_CLEANED!AM231&lt;0),"SCORE NEGATIF","OK")))</f>
        <v>OK</v>
      </c>
      <c r="BF240" s="43" t="str">
        <f>IF(DATA_CLEANED!AK231&lt;&gt;DATA_CLEANED!AN231,"OK","ERREUR")</f>
        <v>OK</v>
      </c>
      <c r="BG240" s="43" t="str">
        <f>IF(DATA_CLEANED!AL231&gt;DATA_CLEANED!AM231,DATA_CLEANED!AK231,IF(AND(DATA_QUALITE!W4717="-",DATA_CLEANED!AM231=DATA_CLEANED!AL231),"MATCH NUL",IF(AND(DATA_QUALITE!V4717="-",DATA_QUALITE!U4717="AUCUNE"),DATA_QUALITE!T4717,IF(DATA_QUALITE!V4717&lt;&gt;"-",DATA_QUALITE!V4717,DATA_CLEANED!AN231))))</f>
        <v>Brazil</v>
      </c>
      <c r="BH240" s="103" t="str">
        <f>IF(AND(BG240="MATCH NUL",DATA_CLEANED!AO231="-"),"MATCH_NUL",IF(ISNUMBER(SEARCH("win on penalties",W4717)),"WIN_BY_PENALTY",IF(ISNUMBER(SEARCH("win after extra time",W4717)),"WIN_BY_EXTRA_TIME",IF(ISNUMBER(SEARCH("Golden Goal",W4717)),"WIN_BY_GOLDEN_GOAL","WIN_BY_SCORE"))))</f>
        <v>WIN_BY_SCORE</v>
      </c>
      <c r="BI240" s="99" t="str">
        <f>IF(OR(BG240=DATA_CLEANED!AK231,BG240=DATA_CLEANED!AN231,BG240="MATCH NUL"),"OK","ERREUR")</f>
        <v>OK</v>
      </c>
    </row>
    <row r="241" spans="2:61">
      <c r="B241" s="74">
        <v>2006</v>
      </c>
      <c r="C241" s="30" t="str">
        <v>Quarter-finals</v>
      </c>
      <c r="D241" s="30" t="str">
        <v>Germany</v>
      </c>
      <c r="E241" s="30" t="str">
        <v>Argentina</v>
      </c>
      <c r="F241" s="30" t="str">
        <v>Germany</v>
      </c>
      <c r="G241" s="30" t="str">
        <v>Oliver Neuville</v>
      </c>
      <c r="H241" s="30" t="str">
        <v>Leonardo Franco</v>
      </c>
      <c r="I241" s="30">
        <v>1</v>
      </c>
      <c r="J241" s="30">
        <v>1</v>
      </c>
      <c r="K241" s="30" t="str">
        <v>'0-0</v>
      </c>
      <c r="L241" s="30" t="str">
        <v>No</v>
      </c>
      <c r="M241" s="30" t="str">
        <v>No</v>
      </c>
      <c r="N241" s="30" t="str">
        <v>Goal</v>
      </c>
      <c r="O241" s="30" t="str">
        <f t="shared" si="26"/>
        <v>2006|Quarter-finals|Germany|Argentina|Germany|Oliver Neuville|Leonardo Franco|1|1|'0-0|No|No|Goal</v>
      </c>
      <c r="P241" s="96" t="str">
        <f>IF(COUNTIF($G$32:O241,O241)&gt;1,"DOUBLON","OK")</f>
        <v>OK</v>
      </c>
      <c r="R241" s="23" t="s">
        <v>3709</v>
      </c>
      <c r="S241" s="30" t="str">
        <v>Italy</v>
      </c>
      <c r="T241" s="30" t="str">
        <f t="shared" si="27"/>
        <v>OK</v>
      </c>
      <c r="U241" s="30" t="str">
        <f t="shared" si="24"/>
        <v>-</v>
      </c>
      <c r="V241" s="30" t="str" cm="1">
        <f t="array" ref="V241">_xlfn.IFS(
ISNUMBER(SEARCH("USA",S241)),"United States",
ISNUMBER(SEARCH("Republic of Korea",S241)),"South Korea",
ISNUMBER(SEARCH("Cape Verde",S241)),"Cabo Verde",
ISNUMBER(SEARCH("Czechia",S241)),"Czech Republic",
ISNUMBER(SEARCH("Türkiye",S241)),"Turkey",
ISNUMBER(SEARCH("Ivory Coast",S241)),"Côte d'Ivoire",
ISNUMBER(SEARCH("Korea Republic",S241)),"South Korea",
ISNUMBER(SEARCH("Germany FR",S241)),"FR Germany",
ISNUMBER(SEARCH("West Germany",S241)),"FR Germany",
ISNUMBER(SEARCH("Germany DR",S241)),"DR Germany",
ISNUMBER(SEARCH("Korea DPR",S241)),"North Korea",
ISNUMBER(SEARCH("China PR",S241)),"China",
ISNUMBER(SEARCH("IR Iran",S241)),"Iran",
ISNUMBER(SEARCH("Congo DR",S241)),"Democratic Republic of the Congo",
ISNUMBER(SEARCH("DR Congo",S241)),"Democratic Republic of the Congo",
ISNUMBER(SEARCH("German DR",S241)),"DR Germany",
ISNUMBER(SEARCH("rn""&gt;United Arab Emirates",S241)),"United Arab Emirates",
ISNUMBER(SEARCH("rn""&gt;Republic of Ireland",S241)),"Ireland",
ISNUMBER(SEARCH("rn""&gt;Bosnia and Herzegovina",S241)),"Bosnia and Herzegovina",
ISNUMBER(SEARCH("rn""&gt;Trinidad and Tobago",S241)),"Trinidad and Tobago",
ISNUMBER(SEARCH("rn""&gt;Serbia and Montenegro",S241)),"Serbia and Montenegro",
ISNUMBER(SEARCH(_xlfn.UNICHAR(65533),S241)),"Côte d'Ivoire",
TRUE,""
)</f>
        <v/>
      </c>
      <c r="W241" s="30" t="str">
        <f t="shared" si="25"/>
        <v>Italy</v>
      </c>
      <c r="Z241" s="40" t="str">
        <v>Cuauhtemoc</v>
      </c>
      <c r="AA241" s="40" t="str" cm="1">
        <f t="array" ref="AA241">IFERROR(_xlfn.XLOOKUP(Z241,_xlfn.ANCHORARRAY(Z$31),AA$31:AA$37),Z241)</f>
        <v>Cuauhtemoc</v>
      </c>
      <c r="AB241" s="42" t="str">
        <v xml:space="preserve">Puebla </v>
      </c>
      <c r="AC241" s="89" t="str">
        <f t="shared" si="28"/>
        <v xml:space="preserve">Puebla </v>
      </c>
      <c r="AE241" s="42">
        <v>1962</v>
      </c>
      <c r="AK241" s="42">
        <v>0</v>
      </c>
      <c r="AL241" s="42">
        <v>0</v>
      </c>
      <c r="AV241" s="37" t="str">
        <v>SEMI_FINALS</v>
      </c>
      <c r="AW241" s="89" t="str">
        <v>SEMI_FINALS</v>
      </c>
      <c r="BE241" s="43" t="str">
        <f>IF(OR(DATA_CLEANED!AL232="",DATA_CLEANED!AM232=""),"MANQUANT",IF(OR(NOT(ISNUMBER(DATA_CLEANED!AL232)),NOT(ISNUMBER(DATA_CLEANED!AM232))),"ENTREE INVALIDE",IF(OR(DATA_CLEANED!AL232&lt;0,DATA_CLEANED!AM232&lt;0),"SCORE NEGATIF","OK")))</f>
        <v>OK</v>
      </c>
      <c r="BF241" s="43" t="str">
        <f>IF(DATA_CLEANED!AK232&lt;&gt;DATA_CLEANED!AN232,"OK","ERREUR")</f>
        <v>OK</v>
      </c>
      <c r="BG241" s="43" t="str">
        <f>IF(DATA_CLEANED!AL232&gt;DATA_CLEANED!AM232,DATA_CLEANED!AK232,IF(AND(DATA_QUALITE!W4718="-",DATA_CLEANED!AM232=DATA_CLEANED!AL232),"MATCH NUL",IF(AND(DATA_QUALITE!V4718="-",DATA_QUALITE!U4718="AUCUNE"),DATA_QUALITE!T4718,IF(DATA_QUALITE!V4718&lt;&gt;"-",DATA_QUALITE!V4718,DATA_CLEANED!AN232))))</f>
        <v>Italy</v>
      </c>
      <c r="BH241" s="103" t="str">
        <f>IF(AND(BG241="MATCH NUL",DATA_CLEANED!AO232="-"),"MATCH_NUL",IF(ISNUMBER(SEARCH("win on penalties",W4718)),"WIN_BY_PENALTY",IF(ISNUMBER(SEARCH("win after extra time",W4718)),"WIN_BY_EXTRA_TIME",IF(ISNUMBER(SEARCH("Golden Goal",W4718)),"WIN_BY_GOLDEN_GOAL","WIN_BY_SCORE"))))</f>
        <v>WIN_BY_EXTRA_TIME</v>
      </c>
      <c r="BI241" s="99" t="str">
        <f>IF(OR(BG241=DATA_CLEANED!AK232,BG241=DATA_CLEANED!AN232,BG241="MATCH NUL"),"OK","ERREUR")</f>
        <v>OK</v>
      </c>
    </row>
    <row r="242" spans="2:61">
      <c r="B242" s="74">
        <v>2006</v>
      </c>
      <c r="C242" s="30" t="str">
        <v>Quarter-finals</v>
      </c>
      <c r="D242" s="30" t="str">
        <v>Germany</v>
      </c>
      <c r="E242" s="30" t="str">
        <v>Argentina</v>
      </c>
      <c r="F242" s="30" t="str">
        <v>Argentina</v>
      </c>
      <c r="G242" s="30" t="str">
        <v>Julio Ricardo Cruz</v>
      </c>
      <c r="H242" s="30" t="str">
        <v>Jens Lehmann</v>
      </c>
      <c r="I242" s="30">
        <v>2</v>
      </c>
      <c r="J242" s="30">
        <v>1</v>
      </c>
      <c r="K242" s="30" t="str">
        <v>'1-0</v>
      </c>
      <c r="L242" s="30" t="str">
        <v>No</v>
      </c>
      <c r="M242" s="30" t="str">
        <v>No</v>
      </c>
      <c r="N242" s="30" t="str">
        <v>Goal</v>
      </c>
      <c r="O242" s="30" t="str">
        <f t="shared" si="26"/>
        <v>2006|Quarter-finals|Germany|Argentina|Argentina|Julio Ricardo Cruz|Jens Lehmann|2|1|'1-0|No|No|Goal</v>
      </c>
      <c r="P242" s="96" t="str">
        <f>IF(COUNTIF($G$32:O242,O242)&gt;1,"DOUBLON","OK")</f>
        <v>OK</v>
      </c>
      <c r="R242" s="23" t="s">
        <v>3760</v>
      </c>
      <c r="S242" s="30" t="str">
        <v>Italy</v>
      </c>
      <c r="T242" s="30" t="str">
        <f t="shared" si="27"/>
        <v>OK</v>
      </c>
      <c r="U242" s="30" t="str">
        <f t="shared" si="24"/>
        <v>-</v>
      </c>
      <c r="V242" s="30" t="str" cm="1">
        <f t="array" ref="V242">_xlfn.IFS(
ISNUMBER(SEARCH("USA",S242)),"United States",
ISNUMBER(SEARCH("Republic of Korea",S242)),"South Korea",
ISNUMBER(SEARCH("Cape Verde",S242)),"Cabo Verde",
ISNUMBER(SEARCH("Czechia",S242)),"Czech Republic",
ISNUMBER(SEARCH("Türkiye",S242)),"Turkey",
ISNUMBER(SEARCH("Ivory Coast",S242)),"Côte d'Ivoire",
ISNUMBER(SEARCH("Korea Republic",S242)),"South Korea",
ISNUMBER(SEARCH("Germany FR",S242)),"FR Germany",
ISNUMBER(SEARCH("West Germany",S242)),"FR Germany",
ISNUMBER(SEARCH("Germany DR",S242)),"DR Germany",
ISNUMBER(SEARCH("Korea DPR",S242)),"North Korea",
ISNUMBER(SEARCH("China PR",S242)),"China",
ISNUMBER(SEARCH("IR Iran",S242)),"Iran",
ISNUMBER(SEARCH("Congo DR",S242)),"Democratic Republic of the Congo",
ISNUMBER(SEARCH("DR Congo",S242)),"Democratic Republic of the Congo",
ISNUMBER(SEARCH("German DR",S242)),"DR Germany",
ISNUMBER(SEARCH("rn""&gt;United Arab Emirates",S242)),"United Arab Emirates",
ISNUMBER(SEARCH("rn""&gt;Republic of Ireland",S242)),"Ireland",
ISNUMBER(SEARCH("rn""&gt;Bosnia and Herzegovina",S242)),"Bosnia and Herzegovina",
ISNUMBER(SEARCH("rn""&gt;Trinidad and Tobago",S242)),"Trinidad and Tobago",
ISNUMBER(SEARCH("rn""&gt;Serbia and Montenegro",S242)),"Serbia and Montenegro",
ISNUMBER(SEARCH(_xlfn.UNICHAR(65533),S242)),"Côte d'Ivoire",
TRUE,""
)</f>
        <v/>
      </c>
      <c r="W242" s="30" t="str">
        <f t="shared" si="25"/>
        <v>Italy</v>
      </c>
      <c r="Z242" s="40" t="str">
        <v>Nou Camp - Estadio Le�n</v>
      </c>
      <c r="AA242" s="40" t="str" cm="1">
        <f t="array" ref="AA242">IFERROR(_xlfn.XLOOKUP(Z242,_xlfn.ANCHORARRAY(Z$31),AA$31:AA$37),Z242)</f>
        <v>Nou Camp - Estadio León</v>
      </c>
      <c r="AB242" s="42" t="str">
        <v xml:space="preserve">Leon </v>
      </c>
      <c r="AC242" s="89" t="str">
        <f t="shared" si="28"/>
        <v xml:space="preserve">Leon </v>
      </c>
      <c r="AE242" s="42">
        <v>1962</v>
      </c>
      <c r="AK242" s="42">
        <v>3</v>
      </c>
      <c r="AL242" s="42">
        <v>0</v>
      </c>
      <c r="AV242" s="37" t="str">
        <v>SEMI_FINALS</v>
      </c>
      <c r="AW242" s="89" t="str">
        <v>THIRD_PLACE</v>
      </c>
      <c r="BE242" s="43" t="str">
        <f>IF(OR(DATA_CLEANED!AL233="",DATA_CLEANED!AM233=""),"MANQUANT",IF(OR(NOT(ISNUMBER(DATA_CLEANED!AL233)),NOT(ISNUMBER(DATA_CLEANED!AM233))),"ENTREE INVALIDE",IF(OR(DATA_CLEANED!AL233&lt;0,DATA_CLEANED!AM233&lt;0),"SCORE NEGATIF","OK")))</f>
        <v>OK</v>
      </c>
      <c r="BF242" s="43" t="str">
        <f>IF(DATA_CLEANED!AK233&lt;&gt;DATA_CLEANED!AN233,"OK","ERREUR")</f>
        <v>OK</v>
      </c>
      <c r="BG242" s="43" t="str">
        <f>IF(DATA_CLEANED!AL233&gt;DATA_CLEANED!AM233,DATA_CLEANED!AK233,IF(AND(DATA_QUALITE!W4719="-",DATA_CLEANED!AM233=DATA_CLEANED!AL233),"MATCH NUL",IF(AND(DATA_QUALITE!V4719="-",DATA_QUALITE!U4719="AUCUNE"),DATA_QUALITE!T4719,IF(DATA_QUALITE!V4719&lt;&gt;"-",DATA_QUALITE!V4719,DATA_CLEANED!AN233))))</f>
        <v>FR Germany</v>
      </c>
      <c r="BH242" s="103" t="str">
        <f>IF(AND(BG242="MATCH NUL",DATA_CLEANED!AO233="-"),"MATCH_NUL",IF(ISNUMBER(SEARCH("win on penalties",W4719)),"WIN_BY_PENALTY",IF(ISNUMBER(SEARCH("win after extra time",W4719)),"WIN_BY_EXTRA_TIME",IF(ISNUMBER(SEARCH("Golden Goal",W4719)),"WIN_BY_GOLDEN_GOAL","WIN_BY_SCORE"))))</f>
        <v>WIN_BY_SCORE</v>
      </c>
      <c r="BI242" s="99" t="str">
        <f>IF(OR(BG242=DATA_CLEANED!AK233,BG242=DATA_CLEANED!AN233,BG242="MATCH NUL"),"OK","ERREUR")</f>
        <v>OK</v>
      </c>
    </row>
    <row r="243" spans="2:61">
      <c r="B243" s="74">
        <v>2006</v>
      </c>
      <c r="C243" s="30" t="str">
        <v>Quarter-finals</v>
      </c>
      <c r="D243" s="30" t="str">
        <v>Germany</v>
      </c>
      <c r="E243" s="30" t="str">
        <v>Argentina</v>
      </c>
      <c r="F243" s="30" t="str">
        <v>Germany</v>
      </c>
      <c r="G243" s="30" t="str">
        <v>Michael Ballack</v>
      </c>
      <c r="H243" s="30" t="str">
        <v>Leonardo Franco</v>
      </c>
      <c r="I243" s="30">
        <v>3</v>
      </c>
      <c r="J243" s="30">
        <v>2</v>
      </c>
      <c r="K243" s="30" t="str">
        <v>'1-1</v>
      </c>
      <c r="L243" s="30" t="str">
        <v>No</v>
      </c>
      <c r="M243" s="30" t="str">
        <v>No</v>
      </c>
      <c r="N243" s="30" t="str">
        <v>Goal</v>
      </c>
      <c r="O243" s="30" t="str">
        <f t="shared" si="26"/>
        <v>2006|Quarter-finals|Germany|Argentina|Germany|Michael Ballack|Leonardo Franco|3|2|'1-1|No|No|Goal</v>
      </c>
      <c r="P243" s="96" t="str">
        <f>IF(COUNTIF($G$32:O243,O243)&gt;1,"DOUBLON","OK")</f>
        <v>OK</v>
      </c>
      <c r="R243" s="23" t="s">
        <v>3710</v>
      </c>
      <c r="S243" s="30" t="str">
        <v>Italy</v>
      </c>
      <c r="T243" s="30" t="str">
        <f t="shared" si="27"/>
        <v>OK</v>
      </c>
      <c r="U243" s="30" t="str">
        <f t="shared" si="24"/>
        <v>-</v>
      </c>
      <c r="V243" s="30" t="str" cm="1">
        <f t="array" ref="V243">_xlfn.IFS(
ISNUMBER(SEARCH("USA",S243)),"United States",
ISNUMBER(SEARCH("Republic of Korea",S243)),"South Korea",
ISNUMBER(SEARCH("Cape Verde",S243)),"Cabo Verde",
ISNUMBER(SEARCH("Czechia",S243)),"Czech Republic",
ISNUMBER(SEARCH("Türkiye",S243)),"Turkey",
ISNUMBER(SEARCH("Ivory Coast",S243)),"Côte d'Ivoire",
ISNUMBER(SEARCH("Korea Republic",S243)),"South Korea",
ISNUMBER(SEARCH("Germany FR",S243)),"FR Germany",
ISNUMBER(SEARCH("West Germany",S243)),"FR Germany",
ISNUMBER(SEARCH("Germany DR",S243)),"DR Germany",
ISNUMBER(SEARCH("Korea DPR",S243)),"North Korea",
ISNUMBER(SEARCH("China PR",S243)),"China",
ISNUMBER(SEARCH("IR Iran",S243)),"Iran",
ISNUMBER(SEARCH("Congo DR",S243)),"Democratic Republic of the Congo",
ISNUMBER(SEARCH("DR Congo",S243)),"Democratic Republic of the Congo",
ISNUMBER(SEARCH("German DR",S243)),"DR Germany",
ISNUMBER(SEARCH("rn""&gt;United Arab Emirates",S243)),"United Arab Emirates",
ISNUMBER(SEARCH("rn""&gt;Republic of Ireland",S243)),"Ireland",
ISNUMBER(SEARCH("rn""&gt;Bosnia and Herzegovina",S243)),"Bosnia and Herzegovina",
ISNUMBER(SEARCH("rn""&gt;Trinidad and Tobago",S243)),"Trinidad and Tobago",
ISNUMBER(SEARCH("rn""&gt;Serbia and Montenegro",S243)),"Serbia and Montenegro",
ISNUMBER(SEARCH(_xlfn.UNICHAR(65533),S243)),"Côte d'Ivoire",
TRUE,""
)</f>
        <v/>
      </c>
      <c r="W243" s="30" t="str">
        <f t="shared" si="25"/>
        <v>Italy</v>
      </c>
      <c r="Z243" s="40" t="str">
        <v>Jalisco</v>
      </c>
      <c r="AA243" s="40" t="str" cm="1">
        <f t="array" ref="AA243">IFERROR(_xlfn.XLOOKUP(Z243,_xlfn.ANCHORARRAY(Z$31),AA$31:AA$37),Z243)</f>
        <v>Jalisco</v>
      </c>
      <c r="AB243" s="42" t="str">
        <v xml:space="preserve">Guadalajara </v>
      </c>
      <c r="AC243" s="89" t="str">
        <f t="shared" si="28"/>
        <v xml:space="preserve">Guadalajara </v>
      </c>
      <c r="AE243" s="42">
        <v>1962</v>
      </c>
      <c r="AK243" s="42">
        <v>2</v>
      </c>
      <c r="AL243" s="42">
        <v>1</v>
      </c>
      <c r="AV243" s="37" t="str">
        <v>SEMI_FINALS</v>
      </c>
      <c r="AW243" s="89" t="str">
        <v>FINAL</v>
      </c>
      <c r="BE243" s="43" t="str">
        <f>IF(OR(DATA_CLEANED!AL234="",DATA_CLEANED!AM234=""),"MANQUANT",IF(OR(NOT(ISNUMBER(DATA_CLEANED!AL234)),NOT(ISNUMBER(DATA_CLEANED!AM234))),"ENTREE INVALIDE",IF(OR(DATA_CLEANED!AL234&lt;0,DATA_CLEANED!AM234&lt;0),"SCORE NEGATIF","OK")))</f>
        <v>OK</v>
      </c>
      <c r="BF243" s="43" t="str">
        <f>IF(DATA_CLEANED!AK234&lt;&gt;DATA_CLEANED!AN234,"OK","ERREUR")</f>
        <v>OK</v>
      </c>
      <c r="BG243" s="43" t="str">
        <f>IF(DATA_CLEANED!AL234&gt;DATA_CLEANED!AM234,DATA_CLEANED!AK234,IF(AND(DATA_QUALITE!W4720="-",DATA_CLEANED!AM234=DATA_CLEANED!AL234),"MATCH NUL",IF(AND(DATA_QUALITE!V4720="-",DATA_QUALITE!U4720="AUCUNE"),DATA_QUALITE!T4720,IF(DATA_QUALITE!V4720&lt;&gt;"-",DATA_QUALITE!V4720,DATA_CLEANED!AN234))))</f>
        <v>Brazil</v>
      </c>
      <c r="BH243" s="103" t="str">
        <f>IF(AND(BG243="MATCH NUL",DATA_CLEANED!AO234="-"),"MATCH_NUL",IF(ISNUMBER(SEARCH("win on penalties",W4720)),"WIN_BY_PENALTY",IF(ISNUMBER(SEARCH("win after extra time",W4720)),"WIN_BY_EXTRA_TIME",IF(ISNUMBER(SEARCH("Golden Goal",W4720)),"WIN_BY_GOLDEN_GOAL","WIN_BY_SCORE"))))</f>
        <v>WIN_BY_SCORE</v>
      </c>
      <c r="BI243" s="99" t="str">
        <f>IF(OR(BG243=DATA_CLEANED!AK234,BG243=DATA_CLEANED!AN234,BG243="MATCH NUL"),"OK","ERREUR")</f>
        <v>OK</v>
      </c>
    </row>
    <row r="244" spans="2:61">
      <c r="B244" s="74">
        <v>2006</v>
      </c>
      <c r="C244" s="30" t="str">
        <v>Quarter-finals</v>
      </c>
      <c r="D244" s="30" t="str">
        <v>Germany</v>
      </c>
      <c r="E244" s="30" t="str">
        <v>Argentina</v>
      </c>
      <c r="F244" s="30" t="str">
        <v>Argentina</v>
      </c>
      <c r="G244" s="30" t="str">
        <v>Roberto Ayala</v>
      </c>
      <c r="H244" s="30" t="str">
        <v>Jens Lehmann</v>
      </c>
      <c r="I244" s="30">
        <v>4</v>
      </c>
      <c r="J244" s="30">
        <v>2</v>
      </c>
      <c r="K244" s="30" t="str">
        <v>'1-2</v>
      </c>
      <c r="L244" s="30" t="str">
        <v>No</v>
      </c>
      <c r="M244" s="30" t="str">
        <v>No</v>
      </c>
      <c r="N244" s="30" t="str">
        <v>Saved</v>
      </c>
      <c r="O244" s="30" t="str">
        <f t="shared" si="26"/>
        <v>2006|Quarter-finals|Germany|Argentina|Argentina|Roberto Ayala|Jens Lehmann|4|2|'1-2|No|No|Saved</v>
      </c>
      <c r="P244" s="96" t="str">
        <f>IF(COUNTIF($G$32:O244,O244)&gt;1,"DOUBLON","OK")</f>
        <v>OK</v>
      </c>
      <c r="R244" s="23" t="s">
        <v>3711</v>
      </c>
      <c r="S244" s="30" t="str">
        <v>Italy</v>
      </c>
      <c r="T244" s="30" t="str">
        <f t="shared" si="27"/>
        <v>OK</v>
      </c>
      <c r="U244" s="30" t="str">
        <f t="shared" si="24"/>
        <v>-</v>
      </c>
      <c r="V244" s="30" t="str" cm="1">
        <f t="array" ref="V244">_xlfn.IFS(
ISNUMBER(SEARCH("USA",S244)),"United States",
ISNUMBER(SEARCH("Republic of Korea",S244)),"South Korea",
ISNUMBER(SEARCH("Cape Verde",S244)),"Cabo Verde",
ISNUMBER(SEARCH("Czechia",S244)),"Czech Republic",
ISNUMBER(SEARCH("Türkiye",S244)),"Turkey",
ISNUMBER(SEARCH("Ivory Coast",S244)),"Côte d'Ivoire",
ISNUMBER(SEARCH("Korea Republic",S244)),"South Korea",
ISNUMBER(SEARCH("Germany FR",S244)),"FR Germany",
ISNUMBER(SEARCH("West Germany",S244)),"FR Germany",
ISNUMBER(SEARCH("Germany DR",S244)),"DR Germany",
ISNUMBER(SEARCH("Korea DPR",S244)),"North Korea",
ISNUMBER(SEARCH("China PR",S244)),"China",
ISNUMBER(SEARCH("IR Iran",S244)),"Iran",
ISNUMBER(SEARCH("Congo DR",S244)),"Democratic Republic of the Congo",
ISNUMBER(SEARCH("DR Congo",S244)),"Democratic Republic of the Congo",
ISNUMBER(SEARCH("German DR",S244)),"DR Germany",
ISNUMBER(SEARCH("rn""&gt;United Arab Emirates",S244)),"United Arab Emirates",
ISNUMBER(SEARCH("rn""&gt;Republic of Ireland",S244)),"Ireland",
ISNUMBER(SEARCH("rn""&gt;Bosnia and Herzegovina",S244)),"Bosnia and Herzegovina",
ISNUMBER(SEARCH("rn""&gt;Trinidad and Tobago",S244)),"Trinidad and Tobago",
ISNUMBER(SEARCH("rn""&gt;Serbia and Montenegro",S244)),"Serbia and Montenegro",
ISNUMBER(SEARCH(_xlfn.UNICHAR(65533),S244)),"Côte d'Ivoire",
TRUE,""
)</f>
        <v/>
      </c>
      <c r="W244" s="30" t="str">
        <f t="shared" si="25"/>
        <v>Italy</v>
      </c>
      <c r="Z244" s="40" t="str">
        <v>Luis Dosal</v>
      </c>
      <c r="AA244" s="40" t="str" cm="1">
        <f t="array" ref="AA244">IFERROR(_xlfn.XLOOKUP(Z244,_xlfn.ANCHORARRAY(Z$31),AA$31:AA$37),Z244)</f>
        <v>Luis Dosal</v>
      </c>
      <c r="AB244" s="42" t="str">
        <v xml:space="preserve">Toluca </v>
      </c>
      <c r="AC244" s="89" t="str">
        <f t="shared" si="28"/>
        <v xml:space="preserve">Toluca </v>
      </c>
      <c r="AE244" s="42">
        <v>1962</v>
      </c>
      <c r="AK244" s="42">
        <v>3</v>
      </c>
      <c r="AL244" s="42">
        <v>1</v>
      </c>
      <c r="AV244" s="37" t="str">
        <v>SEMI_FINALS</v>
      </c>
      <c r="AW244" s="89" t="str">
        <v>GROUP_STAGE</v>
      </c>
      <c r="BE244" s="43" t="str">
        <f>IF(OR(DATA_CLEANED!AL235="",DATA_CLEANED!AM235=""),"MANQUANT",IF(OR(NOT(ISNUMBER(DATA_CLEANED!AL235)),NOT(ISNUMBER(DATA_CLEANED!AM235))),"ENTREE INVALIDE",IF(OR(DATA_CLEANED!AL235&lt;0,DATA_CLEANED!AM235&lt;0),"SCORE NEGATIF","OK")))</f>
        <v>OK</v>
      </c>
      <c r="BF244" s="43" t="str">
        <f>IF(DATA_CLEANED!AK235&lt;&gt;DATA_CLEANED!AN235,"OK","ERREUR")</f>
        <v>OK</v>
      </c>
      <c r="BG244" s="43" t="str">
        <f>IF(DATA_CLEANED!AL235&gt;DATA_CLEANED!AM235,DATA_CLEANED!AK235,IF(AND(DATA_QUALITE!W4721="-",DATA_CLEANED!AM235=DATA_CLEANED!AL235),"MATCH NUL",IF(AND(DATA_QUALITE!V4721="-",DATA_QUALITE!U4721="AUCUNE"),DATA_QUALITE!T4721,IF(DATA_QUALITE!V4721&lt;&gt;"-",DATA_QUALITE!V4721,DATA_CLEANED!AN235))))</f>
        <v>MATCH NUL</v>
      </c>
      <c r="BH244" s="103" t="str">
        <f>IF(AND(BG244="MATCH NUL",DATA_CLEANED!AO235="-"),"MATCH_NUL",IF(ISNUMBER(SEARCH("win on penalties",W4721)),"WIN_BY_PENALTY",IF(ISNUMBER(SEARCH("win after extra time",W4721)),"WIN_BY_EXTRA_TIME",IF(ISNUMBER(SEARCH("Golden Goal",W4721)),"WIN_BY_GOLDEN_GOAL","WIN_BY_SCORE"))))</f>
        <v>MATCH_NUL</v>
      </c>
      <c r="BI244" s="99" t="str">
        <f>IF(OR(BG244=DATA_CLEANED!AK235,BG244=DATA_CLEANED!AN235,BG244="MATCH NUL"),"OK","ERREUR")</f>
        <v>OK</v>
      </c>
    </row>
    <row r="245" spans="2:61">
      <c r="B245" s="74">
        <v>2006</v>
      </c>
      <c r="C245" s="30" t="str">
        <v>Quarter-finals</v>
      </c>
      <c r="D245" s="30" t="str">
        <v>Germany</v>
      </c>
      <c r="E245" s="30" t="str">
        <v>Argentina</v>
      </c>
      <c r="F245" s="30" t="str">
        <v>Germany</v>
      </c>
      <c r="G245" s="30" t="str">
        <v>Lukas Podolski</v>
      </c>
      <c r="H245" s="30" t="str">
        <v>Leonardo Franco</v>
      </c>
      <c r="I245" s="30">
        <v>5</v>
      </c>
      <c r="J245" s="30">
        <v>3</v>
      </c>
      <c r="K245" s="30" t="str">
        <v>'1-2</v>
      </c>
      <c r="L245" s="30" t="str">
        <v>No</v>
      </c>
      <c r="M245" s="30" t="str">
        <v>No</v>
      </c>
      <c r="N245" s="30" t="str">
        <v>Goal</v>
      </c>
      <c r="O245" s="30" t="str">
        <f t="shared" si="26"/>
        <v>2006|Quarter-finals|Germany|Argentina|Germany|Lukas Podolski|Leonardo Franco|5|3|'1-2|No|No|Goal</v>
      </c>
      <c r="P245" s="96" t="str">
        <f>IF(COUNTIF($G$32:O245,O245)&gt;1,"DOUBLON","OK")</f>
        <v>OK</v>
      </c>
      <c r="R245" s="23" t="s">
        <v>3761</v>
      </c>
      <c r="S245" s="30" t="str">
        <v>Italy</v>
      </c>
      <c r="T245" s="30" t="str">
        <f t="shared" si="27"/>
        <v>OK</v>
      </c>
      <c r="U245" s="30" t="str">
        <f t="shared" si="24"/>
        <v>-</v>
      </c>
      <c r="V245" s="30" t="str" cm="1">
        <f t="array" ref="V245">_xlfn.IFS(
ISNUMBER(SEARCH("USA",S245)),"United States",
ISNUMBER(SEARCH("Republic of Korea",S245)),"South Korea",
ISNUMBER(SEARCH("Cape Verde",S245)),"Cabo Verde",
ISNUMBER(SEARCH("Czechia",S245)),"Czech Republic",
ISNUMBER(SEARCH("Türkiye",S245)),"Turkey",
ISNUMBER(SEARCH("Ivory Coast",S245)),"Côte d'Ivoire",
ISNUMBER(SEARCH("Korea Republic",S245)),"South Korea",
ISNUMBER(SEARCH("Germany FR",S245)),"FR Germany",
ISNUMBER(SEARCH("West Germany",S245)),"FR Germany",
ISNUMBER(SEARCH("Germany DR",S245)),"DR Germany",
ISNUMBER(SEARCH("Korea DPR",S245)),"North Korea",
ISNUMBER(SEARCH("China PR",S245)),"China",
ISNUMBER(SEARCH("IR Iran",S245)),"Iran",
ISNUMBER(SEARCH("Congo DR",S245)),"Democratic Republic of the Congo",
ISNUMBER(SEARCH("DR Congo",S245)),"Democratic Republic of the Congo",
ISNUMBER(SEARCH("German DR",S245)),"DR Germany",
ISNUMBER(SEARCH("rn""&gt;United Arab Emirates",S245)),"United Arab Emirates",
ISNUMBER(SEARCH("rn""&gt;Republic of Ireland",S245)),"Ireland",
ISNUMBER(SEARCH("rn""&gt;Bosnia and Herzegovina",S245)),"Bosnia and Herzegovina",
ISNUMBER(SEARCH("rn""&gt;Trinidad and Tobago",S245)),"Trinidad and Tobago",
ISNUMBER(SEARCH("rn""&gt;Serbia and Montenegro",S245)),"Serbia and Montenegro",
ISNUMBER(SEARCH(_xlfn.UNICHAR(65533),S245)),"Côte d'Ivoire",
TRUE,""
)</f>
        <v/>
      </c>
      <c r="W245" s="30" t="str">
        <f t="shared" si="25"/>
        <v>Italy</v>
      </c>
      <c r="Z245" s="40" t="str">
        <v>Nou Camp - Estadio Le�n</v>
      </c>
      <c r="AA245" s="40" t="str" cm="1">
        <f t="array" ref="AA245">IFERROR(_xlfn.XLOOKUP(Z245,_xlfn.ANCHORARRAY(Z$31),AA$31:AA$37),Z245)</f>
        <v>Nou Camp - Estadio León</v>
      </c>
      <c r="AB245" s="42" t="str">
        <v xml:space="preserve">Leon </v>
      </c>
      <c r="AC245" s="89" t="str">
        <f t="shared" si="28"/>
        <v xml:space="preserve">Leon </v>
      </c>
      <c r="AE245" s="42">
        <v>1962</v>
      </c>
      <c r="AK245" s="42">
        <v>1</v>
      </c>
      <c r="AL245" s="42">
        <v>0</v>
      </c>
      <c r="AV245" s="37" t="str">
        <v>SEMI_FINALS</v>
      </c>
      <c r="AW245" s="89" t="str">
        <v>GROUP_STAGE</v>
      </c>
      <c r="BE245" s="43" t="str">
        <f>IF(OR(DATA_CLEANED!AL236="",DATA_CLEANED!AM236=""),"MANQUANT",IF(OR(NOT(ISNUMBER(DATA_CLEANED!AL236)),NOT(ISNUMBER(DATA_CLEANED!AM236))),"ENTREE INVALIDE",IF(OR(DATA_CLEANED!AL236&lt;0,DATA_CLEANED!AM236&lt;0),"SCORE NEGATIF","OK")))</f>
        <v>OK</v>
      </c>
      <c r="BF245" s="43" t="str">
        <f>IF(DATA_CLEANED!AK236&lt;&gt;DATA_CLEANED!AN236,"OK","ERREUR")</f>
        <v>OK</v>
      </c>
      <c r="BG245" s="43" t="str">
        <f>IF(DATA_CLEANED!AL236&gt;DATA_CLEANED!AM236,DATA_CLEANED!AK236,IF(AND(DATA_QUALITE!W4722="-",DATA_CLEANED!AM236=DATA_CLEANED!AL236),"MATCH NUL",IF(AND(DATA_QUALITE!V4722="-",DATA_QUALITE!U4722="AUCUNE"),DATA_QUALITE!T4722,IF(DATA_QUALITE!V4722&lt;&gt;"-",DATA_QUALITE!V4722,DATA_CLEANED!AN236))))</f>
        <v>FR Germany</v>
      </c>
      <c r="BH245" s="103" t="str">
        <f>IF(AND(BG245="MATCH NUL",DATA_CLEANED!AO236="-"),"MATCH_NUL",IF(ISNUMBER(SEARCH("win on penalties",W4722)),"WIN_BY_PENALTY",IF(ISNUMBER(SEARCH("win after extra time",W4722)),"WIN_BY_EXTRA_TIME",IF(ISNUMBER(SEARCH("Golden Goal",W4722)),"WIN_BY_GOLDEN_GOAL","WIN_BY_SCORE"))))</f>
        <v>WIN_BY_SCORE</v>
      </c>
      <c r="BI245" s="99" t="str">
        <f>IF(OR(BG245=DATA_CLEANED!AK236,BG245=DATA_CLEANED!AN236,BG245="MATCH NUL"),"OK","ERREUR")</f>
        <v>OK</v>
      </c>
    </row>
    <row r="246" spans="2:61">
      <c r="B246" s="74">
        <v>2006</v>
      </c>
      <c r="C246" s="30" t="str">
        <v>Quarter-finals</v>
      </c>
      <c r="D246" s="30" t="str">
        <v>Germany</v>
      </c>
      <c r="E246" s="30" t="str">
        <v>Argentina</v>
      </c>
      <c r="F246" s="30" t="str">
        <v>Argentina</v>
      </c>
      <c r="G246" s="30" t="str">
        <v>Maxi Rodríguez</v>
      </c>
      <c r="H246" s="30" t="str">
        <v>Jens Lehmann</v>
      </c>
      <c r="I246" s="30">
        <v>6</v>
      </c>
      <c r="J246" s="30">
        <v>3</v>
      </c>
      <c r="K246" s="30" t="str">
        <v>'1-3</v>
      </c>
      <c r="L246" s="30" t="str">
        <v>No</v>
      </c>
      <c r="M246" s="30" t="str">
        <v>No</v>
      </c>
      <c r="N246" s="30" t="str">
        <v>Goal</v>
      </c>
      <c r="O246" s="30" t="str">
        <f t="shared" si="26"/>
        <v>2006|Quarter-finals|Germany|Argentina|Argentina|Maxi Rodríguez|Jens Lehmann|6|3|'1-3|No|No|Goal</v>
      </c>
      <c r="P246" s="96" t="str">
        <f>IF(COUNTIF($G$32:O246,O246)&gt;1,"DOUBLON","OK")</f>
        <v>OK</v>
      </c>
      <c r="R246" s="23" t="s">
        <v>3762</v>
      </c>
      <c r="S246" s="30" t="str">
        <v>Italy</v>
      </c>
      <c r="T246" s="30" t="str">
        <f t="shared" si="27"/>
        <v>OK</v>
      </c>
      <c r="U246" s="30" t="str">
        <f t="shared" si="24"/>
        <v>-</v>
      </c>
      <c r="V246" s="30" t="str" cm="1">
        <f t="array" ref="V246">_xlfn.IFS(
ISNUMBER(SEARCH("USA",S246)),"United States",
ISNUMBER(SEARCH("Republic of Korea",S246)),"South Korea",
ISNUMBER(SEARCH("Cape Verde",S246)),"Cabo Verde",
ISNUMBER(SEARCH("Czechia",S246)),"Czech Republic",
ISNUMBER(SEARCH("Türkiye",S246)),"Turkey",
ISNUMBER(SEARCH("Ivory Coast",S246)),"Côte d'Ivoire",
ISNUMBER(SEARCH("Korea Republic",S246)),"South Korea",
ISNUMBER(SEARCH("Germany FR",S246)),"FR Germany",
ISNUMBER(SEARCH("West Germany",S246)),"FR Germany",
ISNUMBER(SEARCH("Germany DR",S246)),"DR Germany",
ISNUMBER(SEARCH("Korea DPR",S246)),"North Korea",
ISNUMBER(SEARCH("China PR",S246)),"China",
ISNUMBER(SEARCH("IR Iran",S246)),"Iran",
ISNUMBER(SEARCH("Congo DR",S246)),"Democratic Republic of the Congo",
ISNUMBER(SEARCH("DR Congo",S246)),"Democratic Republic of the Congo",
ISNUMBER(SEARCH("German DR",S246)),"DR Germany",
ISNUMBER(SEARCH("rn""&gt;United Arab Emirates",S246)),"United Arab Emirates",
ISNUMBER(SEARCH("rn""&gt;Republic of Ireland",S246)),"Ireland",
ISNUMBER(SEARCH("rn""&gt;Bosnia and Herzegovina",S246)),"Bosnia and Herzegovina",
ISNUMBER(SEARCH("rn""&gt;Trinidad and Tobago",S246)),"Trinidad and Tobago",
ISNUMBER(SEARCH("rn""&gt;Serbia and Montenegro",S246)),"Serbia and Montenegro",
ISNUMBER(SEARCH(_xlfn.UNICHAR(65533),S246)),"Côte d'Ivoire",
TRUE,""
)</f>
        <v/>
      </c>
      <c r="W246" s="30" t="str">
        <f t="shared" si="25"/>
        <v>Italy</v>
      </c>
      <c r="Z246" s="40" t="str">
        <v>Jalisco</v>
      </c>
      <c r="AA246" s="40" t="str" cm="1">
        <f t="array" ref="AA246">IFERROR(_xlfn.XLOOKUP(Z246,_xlfn.ANCHORARRAY(Z$31),AA$31:AA$37),Z246)</f>
        <v>Jalisco</v>
      </c>
      <c r="AB246" s="42" t="str">
        <v xml:space="preserve">Guadalajara </v>
      </c>
      <c r="AC246" s="89" t="str">
        <f t="shared" si="28"/>
        <v xml:space="preserve">Guadalajara </v>
      </c>
      <c r="AE246" s="42">
        <v>1962</v>
      </c>
      <c r="AK246" s="42">
        <v>1</v>
      </c>
      <c r="AL246" s="42">
        <v>0</v>
      </c>
      <c r="AV246" s="37" t="str">
        <v>SEMI_FINALS</v>
      </c>
      <c r="AW246" s="89" t="str">
        <v>GROUP_STAGE</v>
      </c>
      <c r="BE246" s="43" t="str">
        <f>IF(OR(DATA_CLEANED!AL237="",DATA_CLEANED!AM237=""),"MANQUANT",IF(OR(NOT(ISNUMBER(DATA_CLEANED!AL237)),NOT(ISNUMBER(DATA_CLEANED!AM237))),"ENTREE INVALIDE",IF(OR(DATA_CLEANED!AL237&lt;0,DATA_CLEANED!AM237&lt;0),"SCORE NEGATIF","OK")))</f>
        <v>OK</v>
      </c>
      <c r="BF246" s="43" t="str">
        <f>IF(DATA_CLEANED!AK237&lt;&gt;DATA_CLEANED!AN237,"OK","ERREUR")</f>
        <v>OK</v>
      </c>
      <c r="BG246" s="43" t="str">
        <f>IF(DATA_CLEANED!AL237&gt;DATA_CLEANED!AM237,DATA_CLEANED!AK237,IF(AND(DATA_QUALITE!W4723="-",DATA_CLEANED!AM237=DATA_CLEANED!AL237),"MATCH NUL",IF(AND(DATA_QUALITE!V4723="-",DATA_QUALITE!U4723="AUCUNE"),DATA_QUALITE!T4723,IF(DATA_QUALITE!V4723&lt;&gt;"-",DATA_QUALITE!V4723,DATA_CLEANED!AN237))))</f>
        <v>DR Germany</v>
      </c>
      <c r="BH246" s="103" t="str">
        <f>IF(AND(BG246="MATCH NUL",DATA_CLEANED!AO237="-"),"MATCH_NUL",IF(ISNUMBER(SEARCH("win on penalties",W4723)),"WIN_BY_PENALTY",IF(ISNUMBER(SEARCH("win after extra time",W4723)),"WIN_BY_EXTRA_TIME",IF(ISNUMBER(SEARCH("Golden Goal",W4723)),"WIN_BY_GOLDEN_GOAL","WIN_BY_SCORE"))))</f>
        <v>WIN_BY_SCORE</v>
      </c>
      <c r="BI246" s="99" t="str">
        <f>IF(OR(BG246=DATA_CLEANED!AK237,BG246=DATA_CLEANED!AN237,BG246="MATCH NUL"),"OK","ERREUR")</f>
        <v>OK</v>
      </c>
    </row>
    <row r="247" spans="2:61">
      <c r="B247" s="74">
        <v>2006</v>
      </c>
      <c r="C247" s="30" t="str">
        <v>Quarter-finals</v>
      </c>
      <c r="D247" s="30" t="str">
        <v>Germany</v>
      </c>
      <c r="E247" s="30" t="str">
        <v>Argentina</v>
      </c>
      <c r="F247" s="30" t="str">
        <v>Germany</v>
      </c>
      <c r="G247" s="30" t="str">
        <v>Tim Borowski</v>
      </c>
      <c r="H247" s="30" t="str">
        <v>Leonardo Franco</v>
      </c>
      <c r="I247" s="30">
        <v>7</v>
      </c>
      <c r="J247" s="30">
        <v>4</v>
      </c>
      <c r="K247" s="30" t="str">
        <v>'2-3</v>
      </c>
      <c r="L247" s="30" t="str">
        <v>No</v>
      </c>
      <c r="M247" s="30" t="str">
        <v>No</v>
      </c>
      <c r="N247" s="30" t="str">
        <v>Goal</v>
      </c>
      <c r="O247" s="30" t="str">
        <f t="shared" si="26"/>
        <v>2006|Quarter-finals|Germany|Argentina|Germany|Tim Borowski|Leonardo Franco|7|4|'2-3|No|No|Goal</v>
      </c>
      <c r="P247" s="96" t="str">
        <f>IF(COUNTIF($G$32:O247,O247)&gt;1,"DOUBLON","OK")</f>
        <v>OK</v>
      </c>
      <c r="R247" s="23" t="s">
        <v>3763</v>
      </c>
      <c r="S247" s="30" t="str">
        <v>Paraguay</v>
      </c>
      <c r="T247" s="30" t="str">
        <f t="shared" si="27"/>
        <v>OK</v>
      </c>
      <c r="U247" s="30" t="str">
        <f t="shared" si="24"/>
        <v>-</v>
      </c>
      <c r="V247" s="30" t="str" cm="1">
        <f t="array" ref="V247">_xlfn.IFS(
ISNUMBER(SEARCH("USA",S247)),"United States",
ISNUMBER(SEARCH("Republic of Korea",S247)),"South Korea",
ISNUMBER(SEARCH("Cape Verde",S247)),"Cabo Verde",
ISNUMBER(SEARCH("Czechia",S247)),"Czech Republic",
ISNUMBER(SEARCH("Türkiye",S247)),"Turkey",
ISNUMBER(SEARCH("Ivory Coast",S247)),"Côte d'Ivoire",
ISNUMBER(SEARCH("Korea Republic",S247)),"South Korea",
ISNUMBER(SEARCH("Germany FR",S247)),"FR Germany",
ISNUMBER(SEARCH("West Germany",S247)),"FR Germany",
ISNUMBER(SEARCH("Germany DR",S247)),"DR Germany",
ISNUMBER(SEARCH("Korea DPR",S247)),"North Korea",
ISNUMBER(SEARCH("China PR",S247)),"China",
ISNUMBER(SEARCH("IR Iran",S247)),"Iran",
ISNUMBER(SEARCH("Congo DR",S247)),"Democratic Republic of the Congo",
ISNUMBER(SEARCH("DR Congo",S247)),"Democratic Republic of the Congo",
ISNUMBER(SEARCH("German DR",S247)),"DR Germany",
ISNUMBER(SEARCH("rn""&gt;United Arab Emirates",S247)),"United Arab Emirates",
ISNUMBER(SEARCH("rn""&gt;Republic of Ireland",S247)),"Ireland",
ISNUMBER(SEARCH("rn""&gt;Bosnia and Herzegovina",S247)),"Bosnia and Herzegovina",
ISNUMBER(SEARCH("rn""&gt;Trinidad and Tobago",S247)),"Trinidad and Tobago",
ISNUMBER(SEARCH("rn""&gt;Serbia and Montenegro",S247)),"Serbia and Montenegro",
ISNUMBER(SEARCH(_xlfn.UNICHAR(65533),S247)),"Côte d'Ivoire",
TRUE,""
)</f>
        <v/>
      </c>
      <c r="W247" s="30" t="str">
        <f t="shared" si="25"/>
        <v>Paraguay</v>
      </c>
      <c r="Z247" s="40" t="str">
        <v>Estadio Azteca</v>
      </c>
      <c r="AA247" s="40" t="str" cm="1">
        <f t="array" ref="AA247">IFERROR(_xlfn.XLOOKUP(Z247,_xlfn.ANCHORARRAY(Z$31),AA$31:AA$37),Z247)</f>
        <v>Estadio Azteca</v>
      </c>
      <c r="AB247" s="42" t="str">
        <v xml:space="preserve">Mexico City </v>
      </c>
      <c r="AC247" s="89" t="str">
        <f t="shared" si="28"/>
        <v xml:space="preserve">Mexico City </v>
      </c>
      <c r="AE247" s="42">
        <v>1962</v>
      </c>
      <c r="AK247" s="42">
        <v>3</v>
      </c>
      <c r="AL247" s="42">
        <v>1</v>
      </c>
      <c r="AV247" s="37" t="str">
        <v>SEMI_FINALS</v>
      </c>
      <c r="AW247" s="89" t="str">
        <v>GROUP_STAGE</v>
      </c>
      <c r="BE247" s="43" t="str">
        <f>IF(OR(DATA_CLEANED!AL238="",DATA_CLEANED!AM238=""),"MANQUANT",IF(OR(NOT(ISNUMBER(DATA_CLEANED!AL238)),NOT(ISNUMBER(DATA_CLEANED!AM238))),"ENTREE INVALIDE",IF(OR(DATA_CLEANED!AL238&lt;0,DATA_CLEANED!AM238&lt;0),"SCORE NEGATIF","OK")))</f>
        <v>OK</v>
      </c>
      <c r="BF247" s="43" t="str">
        <f>IF(DATA_CLEANED!AK238&lt;&gt;DATA_CLEANED!AN238,"OK","ERREUR")</f>
        <v>OK</v>
      </c>
      <c r="BG247" s="43" t="str">
        <f>IF(DATA_CLEANED!AL238&gt;DATA_CLEANED!AM238,DATA_CLEANED!AK238,IF(AND(DATA_QUALITE!W4724="-",DATA_CLEANED!AM238=DATA_CLEANED!AL238),"MATCH NUL",IF(AND(DATA_QUALITE!V4724="-",DATA_QUALITE!U4724="AUCUNE"),DATA_QUALITE!T4724,IF(DATA_QUALITE!V4724&lt;&gt;"-",DATA_QUALITE!V4724,DATA_CLEANED!AN238))))</f>
        <v>Scotland</v>
      </c>
      <c r="BH247" s="103" t="str">
        <f>IF(AND(BG247="MATCH NUL",DATA_CLEANED!AO238="-"),"MATCH_NUL",IF(ISNUMBER(SEARCH("win on penalties",W4724)),"WIN_BY_PENALTY",IF(ISNUMBER(SEARCH("win after extra time",W4724)),"WIN_BY_EXTRA_TIME",IF(ISNUMBER(SEARCH("Golden Goal",W4724)),"WIN_BY_GOLDEN_GOAL","WIN_BY_SCORE"))))</f>
        <v>WIN_BY_SCORE</v>
      </c>
      <c r="BI247" s="99" t="str">
        <f>IF(OR(BG247=DATA_CLEANED!AK238,BG247=DATA_CLEANED!AN238,BG247="MATCH NUL"),"OK","ERREUR")</f>
        <v>OK</v>
      </c>
    </row>
    <row r="248" spans="2:61">
      <c r="B248" s="74">
        <v>2006</v>
      </c>
      <c r="C248" s="30" t="str">
        <v>Quarter-finals</v>
      </c>
      <c r="D248" s="30" t="str">
        <v>Germany</v>
      </c>
      <c r="E248" s="30" t="str">
        <v>Argentina</v>
      </c>
      <c r="F248" s="30" t="str">
        <v>Argentina</v>
      </c>
      <c r="G248" s="30" t="str">
        <v>Esteban Cambiasso</v>
      </c>
      <c r="H248" s="30" t="str">
        <v>Jens Lehmann</v>
      </c>
      <c r="I248" s="30">
        <v>8</v>
      </c>
      <c r="J248" s="30">
        <v>4</v>
      </c>
      <c r="K248" s="30" t="str">
        <v>'2-4</v>
      </c>
      <c r="L248" s="30" t="str">
        <v>Yes</v>
      </c>
      <c r="M248" s="30" t="str">
        <v>Yes</v>
      </c>
      <c r="N248" s="30" t="str">
        <v>Saved</v>
      </c>
      <c r="O248" s="30" t="str">
        <f t="shared" si="26"/>
        <v>2006|Quarter-finals|Germany|Argentina|Argentina|Esteban Cambiasso|Jens Lehmann|8|4|'2-4|Yes|Yes|Saved</v>
      </c>
      <c r="P248" s="96" t="str">
        <f>IF(COUNTIF($G$32:O248,O248)&gt;1,"DOUBLON","OK")</f>
        <v>OK</v>
      </c>
      <c r="R248" s="23" t="s">
        <v>3712</v>
      </c>
      <c r="S248" s="30" t="str">
        <v>Paraguay</v>
      </c>
      <c r="T248" s="30" t="str">
        <f t="shared" si="27"/>
        <v>OK</v>
      </c>
      <c r="U248" s="30" t="str">
        <f t="shared" si="24"/>
        <v>-</v>
      </c>
      <c r="V248" s="30" t="str" cm="1">
        <f t="array" ref="V248">_xlfn.IFS(
ISNUMBER(SEARCH("USA",S248)),"United States",
ISNUMBER(SEARCH("Republic of Korea",S248)),"South Korea",
ISNUMBER(SEARCH("Cape Verde",S248)),"Cabo Verde",
ISNUMBER(SEARCH("Czechia",S248)),"Czech Republic",
ISNUMBER(SEARCH("Türkiye",S248)),"Turkey",
ISNUMBER(SEARCH("Ivory Coast",S248)),"Côte d'Ivoire",
ISNUMBER(SEARCH("Korea Republic",S248)),"South Korea",
ISNUMBER(SEARCH("Germany FR",S248)),"FR Germany",
ISNUMBER(SEARCH("West Germany",S248)),"FR Germany",
ISNUMBER(SEARCH("Germany DR",S248)),"DR Germany",
ISNUMBER(SEARCH("Korea DPR",S248)),"North Korea",
ISNUMBER(SEARCH("China PR",S248)),"China",
ISNUMBER(SEARCH("IR Iran",S248)),"Iran",
ISNUMBER(SEARCH("Congo DR",S248)),"Democratic Republic of the Congo",
ISNUMBER(SEARCH("DR Congo",S248)),"Democratic Republic of the Congo",
ISNUMBER(SEARCH("German DR",S248)),"DR Germany",
ISNUMBER(SEARCH("rn""&gt;United Arab Emirates",S248)),"United Arab Emirates",
ISNUMBER(SEARCH("rn""&gt;Republic of Ireland",S248)),"Ireland",
ISNUMBER(SEARCH("rn""&gt;Bosnia and Herzegovina",S248)),"Bosnia and Herzegovina",
ISNUMBER(SEARCH("rn""&gt;Trinidad and Tobago",S248)),"Trinidad and Tobago",
ISNUMBER(SEARCH("rn""&gt;Serbia and Montenegro",S248)),"Serbia and Montenegro",
ISNUMBER(SEARCH(_xlfn.UNICHAR(65533),S248)),"Côte d'Ivoire",
TRUE,""
)</f>
        <v/>
      </c>
      <c r="W248" s="30" t="str">
        <f t="shared" si="25"/>
        <v>Paraguay</v>
      </c>
      <c r="Z248" s="40" t="str">
        <v>Cuauhtemoc</v>
      </c>
      <c r="AA248" s="40" t="str" cm="1">
        <f t="array" ref="AA248">IFERROR(_xlfn.XLOOKUP(Z248,_xlfn.ANCHORARRAY(Z$31),AA$31:AA$37),Z248)</f>
        <v>Cuauhtemoc</v>
      </c>
      <c r="AB248" s="42" t="str">
        <v xml:space="preserve">Puebla </v>
      </c>
      <c r="AC248" s="89" t="str">
        <f t="shared" si="28"/>
        <v xml:space="preserve">Puebla </v>
      </c>
      <c r="AE248" s="42">
        <v>1962</v>
      </c>
      <c r="AK248" s="42">
        <v>4</v>
      </c>
      <c r="AL248" s="42">
        <v>2</v>
      </c>
      <c r="AV248" s="37" t="str">
        <v>SEMI_FINALS</v>
      </c>
      <c r="AW248" s="89" t="str">
        <v>GROUP_STAGE</v>
      </c>
      <c r="BE248" s="43" t="str">
        <f>IF(OR(DATA_CLEANED!AL239="",DATA_CLEANED!AM239=""),"MANQUANT",IF(OR(NOT(ISNUMBER(DATA_CLEANED!AL239)),NOT(ISNUMBER(DATA_CLEANED!AM239))),"ENTREE INVALIDE",IF(OR(DATA_CLEANED!AL239&lt;0,DATA_CLEANED!AM239&lt;0),"SCORE NEGATIF","OK")))</f>
        <v>OK</v>
      </c>
      <c r="BF248" s="43" t="str">
        <f>IF(DATA_CLEANED!AK239&lt;&gt;DATA_CLEANED!AN239,"OK","ERREUR")</f>
        <v>OK</v>
      </c>
      <c r="BG248" s="43" t="str">
        <f>IF(DATA_CLEANED!AL239&gt;DATA_CLEANED!AM239,DATA_CLEANED!AK239,IF(AND(DATA_QUALITE!W4725="-",DATA_CLEANED!AM239=DATA_CLEANED!AL239),"MATCH NUL",IF(AND(DATA_QUALITE!V4725="-",DATA_QUALITE!U4725="AUCUNE"),DATA_QUALITE!T4725,IF(DATA_QUALITE!V4725&lt;&gt;"-",DATA_QUALITE!V4725,DATA_CLEANED!AN239))))</f>
        <v>Netherlands</v>
      </c>
      <c r="BH248" s="103" t="str">
        <f>IF(AND(BG248="MATCH NUL",DATA_CLEANED!AO239="-"),"MATCH_NUL",IF(ISNUMBER(SEARCH("win on penalties",W4725)),"WIN_BY_PENALTY",IF(ISNUMBER(SEARCH("win after extra time",W4725)),"WIN_BY_EXTRA_TIME",IF(ISNUMBER(SEARCH("Golden Goal",W4725)),"WIN_BY_GOLDEN_GOAL","WIN_BY_SCORE"))))</f>
        <v>WIN_BY_SCORE</v>
      </c>
      <c r="BI248" s="99" t="str">
        <f>IF(OR(BG248=DATA_CLEANED!AK239,BG248=DATA_CLEANED!AN239,BG248="MATCH NUL"),"OK","ERREUR")</f>
        <v>OK</v>
      </c>
    </row>
    <row r="249" spans="2:61">
      <c r="B249" s="74">
        <v>2006</v>
      </c>
      <c r="C249" s="30" t="str">
        <v>Quarter-finals</v>
      </c>
      <c r="D249" s="30" t="str">
        <v>Portugal</v>
      </c>
      <c r="E249" s="30" t="str">
        <v>England</v>
      </c>
      <c r="F249" s="30" t="str">
        <v>Portugal</v>
      </c>
      <c r="G249" s="30" t="str">
        <v>Simão Sabrosa</v>
      </c>
      <c r="H249" s="30" t="str">
        <v>Paul Robinson</v>
      </c>
      <c r="I249" s="30">
        <v>1</v>
      </c>
      <c r="J249" s="30">
        <v>1</v>
      </c>
      <c r="K249" s="30" t="str">
        <v>'0-0</v>
      </c>
      <c r="L249" s="30" t="str">
        <v>No</v>
      </c>
      <c r="M249" s="30" t="str">
        <v>No</v>
      </c>
      <c r="N249" s="30" t="str">
        <v>Goal</v>
      </c>
      <c r="O249" s="30" t="str">
        <f t="shared" si="26"/>
        <v>2006|Quarter-finals|Portugal|England|Portugal|Simão Sabrosa|Paul Robinson|1|1|'0-0|No|No|Goal</v>
      </c>
      <c r="P249" s="96" t="str">
        <f>IF(COUNTIF($G$32:O249,O249)&gt;1,"DOUBLON","OK")</f>
        <v>OK</v>
      </c>
      <c r="R249" s="23" t="s">
        <v>3713</v>
      </c>
      <c r="S249" s="30" t="str">
        <v>Paraguay</v>
      </c>
      <c r="T249" s="30" t="str">
        <f t="shared" si="27"/>
        <v>OK</v>
      </c>
      <c r="U249" s="30" t="str">
        <f t="shared" si="24"/>
        <v>-</v>
      </c>
      <c r="V249" s="30" t="str" cm="1">
        <f t="array" ref="V249">_xlfn.IFS(
ISNUMBER(SEARCH("USA",S249)),"United States",
ISNUMBER(SEARCH("Republic of Korea",S249)),"South Korea",
ISNUMBER(SEARCH("Cape Verde",S249)),"Cabo Verde",
ISNUMBER(SEARCH("Czechia",S249)),"Czech Republic",
ISNUMBER(SEARCH("Türkiye",S249)),"Turkey",
ISNUMBER(SEARCH("Ivory Coast",S249)),"Côte d'Ivoire",
ISNUMBER(SEARCH("Korea Republic",S249)),"South Korea",
ISNUMBER(SEARCH("Germany FR",S249)),"FR Germany",
ISNUMBER(SEARCH("West Germany",S249)),"FR Germany",
ISNUMBER(SEARCH("Germany DR",S249)),"DR Germany",
ISNUMBER(SEARCH("Korea DPR",S249)),"North Korea",
ISNUMBER(SEARCH("China PR",S249)),"China",
ISNUMBER(SEARCH("IR Iran",S249)),"Iran",
ISNUMBER(SEARCH("Congo DR",S249)),"Democratic Republic of the Congo",
ISNUMBER(SEARCH("DR Congo",S249)),"Democratic Republic of the Congo",
ISNUMBER(SEARCH("German DR",S249)),"DR Germany",
ISNUMBER(SEARCH("rn""&gt;United Arab Emirates",S249)),"United Arab Emirates",
ISNUMBER(SEARCH("rn""&gt;Republic of Ireland",S249)),"Ireland",
ISNUMBER(SEARCH("rn""&gt;Bosnia and Herzegovina",S249)),"Bosnia and Herzegovina",
ISNUMBER(SEARCH("rn""&gt;Trinidad and Tobago",S249)),"Trinidad and Tobago",
ISNUMBER(SEARCH("rn""&gt;Serbia and Montenegro",S249)),"Serbia and Montenegro",
ISNUMBER(SEARCH(_xlfn.UNICHAR(65533),S249)),"Côte d'Ivoire",
TRUE,""
)</f>
        <v/>
      </c>
      <c r="W249" s="30" t="str">
        <f t="shared" si="25"/>
        <v>Paraguay</v>
      </c>
      <c r="Z249" s="40" t="str">
        <v>Nou Camp - Estadio Le�n</v>
      </c>
      <c r="AA249" s="40" t="str" cm="1">
        <f t="array" ref="AA249">IFERROR(_xlfn.XLOOKUP(Z249,_xlfn.ANCHORARRAY(Z$31),AA$31:AA$37),Z249)</f>
        <v>Nou Camp - Estadio León</v>
      </c>
      <c r="AB249" s="42" t="str">
        <v xml:space="preserve">Leon </v>
      </c>
      <c r="AC249" s="89" t="str">
        <f t="shared" si="28"/>
        <v xml:space="preserve">Leon </v>
      </c>
      <c r="AE249" s="42">
        <v>1962</v>
      </c>
      <c r="AK249" s="42">
        <v>1</v>
      </c>
      <c r="AL249" s="42">
        <v>0</v>
      </c>
      <c r="AV249" s="37" t="str">
        <v>ROUND_OF_16</v>
      </c>
      <c r="AW249" s="89" t="str">
        <v>GROUP_STAGE</v>
      </c>
      <c r="BE249" s="43" t="str">
        <f>IF(OR(DATA_CLEANED!AL240="",DATA_CLEANED!AM240=""),"MANQUANT",IF(OR(NOT(ISNUMBER(DATA_CLEANED!AL240)),NOT(ISNUMBER(DATA_CLEANED!AM240))),"ENTREE INVALIDE",IF(OR(DATA_CLEANED!AL240&lt;0,DATA_CLEANED!AM240&lt;0),"SCORE NEGATIF","OK")))</f>
        <v>OK</v>
      </c>
      <c r="BF249" s="43" t="str">
        <f>IF(DATA_CLEANED!AK240&lt;&gt;DATA_CLEANED!AN240,"OK","ERREUR")</f>
        <v>OK</v>
      </c>
      <c r="BG249" s="43" t="str">
        <f>IF(DATA_CLEANED!AL240&gt;DATA_CLEANED!AM240,DATA_CLEANED!AK240,IF(AND(DATA_QUALITE!W4726="-",DATA_CLEANED!AM240=DATA_CLEANED!AL240),"MATCH NUL",IF(AND(DATA_QUALITE!V4726="-",DATA_QUALITE!U4726="AUCUNE"),DATA_QUALITE!T4726,IF(DATA_QUALITE!V4726&lt;&gt;"-",DATA_QUALITE!V4726,DATA_CLEANED!AN240))))</f>
        <v>MATCH NUL</v>
      </c>
      <c r="BH249" s="103" t="str">
        <f>IF(AND(BG249="MATCH NUL",DATA_CLEANED!AO240="-"),"MATCH_NUL",IF(ISNUMBER(SEARCH("win on penalties",W4726)),"WIN_BY_PENALTY",IF(ISNUMBER(SEARCH("win after extra time",W4726)),"WIN_BY_EXTRA_TIME",IF(ISNUMBER(SEARCH("Golden Goal",W4726)),"WIN_BY_GOLDEN_GOAL","WIN_BY_SCORE"))))</f>
        <v>MATCH_NUL</v>
      </c>
      <c r="BI249" s="99" t="str">
        <f>IF(OR(BG249=DATA_CLEANED!AK240,BG249=DATA_CLEANED!AN240,BG249="MATCH NUL"),"OK","ERREUR")</f>
        <v>OK</v>
      </c>
    </row>
    <row r="250" spans="2:61">
      <c r="B250" s="74">
        <v>2006</v>
      </c>
      <c r="C250" s="30" t="str">
        <v>Quarter-finals</v>
      </c>
      <c r="D250" s="30" t="str">
        <v>Portugal</v>
      </c>
      <c r="E250" s="30" t="str">
        <v>England</v>
      </c>
      <c r="F250" s="30" t="str">
        <v>England</v>
      </c>
      <c r="G250" s="30" t="str">
        <v>Frank Lampard</v>
      </c>
      <c r="H250" s="30" t="str">
        <v>Ricardo</v>
      </c>
      <c r="I250" s="30">
        <v>2</v>
      </c>
      <c r="J250" s="30">
        <v>1</v>
      </c>
      <c r="K250" s="30" t="str">
        <v>'1-0</v>
      </c>
      <c r="L250" s="30" t="str">
        <v>No</v>
      </c>
      <c r="M250" s="30" t="str">
        <v>No</v>
      </c>
      <c r="N250" s="30" t="str">
        <v>Saved</v>
      </c>
      <c r="O250" s="30" t="str">
        <f t="shared" si="26"/>
        <v>2006|Quarter-finals|Portugal|England|England|Frank Lampard|Ricardo|2|1|'1-0|No|No|Saved</v>
      </c>
      <c r="P250" s="96" t="str">
        <f>IF(COUNTIF($G$32:O250,O250)&gt;1,"DOUBLON","OK")</f>
        <v>OK</v>
      </c>
      <c r="R250" s="23" t="s">
        <v>3714</v>
      </c>
      <c r="S250" s="30" t="str">
        <v>Paraguay</v>
      </c>
      <c r="T250" s="30" t="str">
        <f t="shared" si="27"/>
        <v>OK</v>
      </c>
      <c r="U250" s="30" t="str">
        <f t="shared" si="24"/>
        <v>-</v>
      </c>
      <c r="V250" s="30" t="str" cm="1">
        <f t="array" ref="V250">_xlfn.IFS(
ISNUMBER(SEARCH("USA",S250)),"United States",
ISNUMBER(SEARCH("Republic of Korea",S250)),"South Korea",
ISNUMBER(SEARCH("Cape Verde",S250)),"Cabo Verde",
ISNUMBER(SEARCH("Czechia",S250)),"Czech Republic",
ISNUMBER(SEARCH("Türkiye",S250)),"Turkey",
ISNUMBER(SEARCH("Ivory Coast",S250)),"Côte d'Ivoire",
ISNUMBER(SEARCH("Korea Republic",S250)),"South Korea",
ISNUMBER(SEARCH("Germany FR",S250)),"FR Germany",
ISNUMBER(SEARCH("West Germany",S250)),"FR Germany",
ISNUMBER(SEARCH("Germany DR",S250)),"DR Germany",
ISNUMBER(SEARCH("Korea DPR",S250)),"North Korea",
ISNUMBER(SEARCH("China PR",S250)),"China",
ISNUMBER(SEARCH("IR Iran",S250)),"Iran",
ISNUMBER(SEARCH("Congo DR",S250)),"Democratic Republic of the Congo",
ISNUMBER(SEARCH("DR Congo",S250)),"Democratic Republic of the Congo",
ISNUMBER(SEARCH("German DR",S250)),"DR Germany",
ISNUMBER(SEARCH("rn""&gt;United Arab Emirates",S250)),"United Arab Emirates",
ISNUMBER(SEARCH("rn""&gt;Republic of Ireland",S250)),"Ireland",
ISNUMBER(SEARCH("rn""&gt;Bosnia and Herzegovina",S250)),"Bosnia and Herzegovina",
ISNUMBER(SEARCH("rn""&gt;Trinidad and Tobago",S250)),"Trinidad and Tobago",
ISNUMBER(SEARCH("rn""&gt;Serbia and Montenegro",S250)),"Serbia and Montenegro",
ISNUMBER(SEARCH(_xlfn.UNICHAR(65533),S250)),"Côte d'Ivoire",
TRUE,""
)</f>
        <v/>
      </c>
      <c r="W250" s="30" t="str">
        <f t="shared" si="25"/>
        <v>Paraguay</v>
      </c>
      <c r="Z250" s="40" t="str">
        <v>Jalisco</v>
      </c>
      <c r="AA250" s="40" t="str" cm="1">
        <f t="array" ref="AA250">IFERROR(_xlfn.XLOOKUP(Z250,_xlfn.ANCHORARRAY(Z$31),AA$31:AA$37),Z250)</f>
        <v>Jalisco</v>
      </c>
      <c r="AB250" s="42" t="str">
        <v xml:space="preserve">Guadalajara </v>
      </c>
      <c r="AC250" s="89" t="str">
        <f t="shared" si="28"/>
        <v xml:space="preserve">Guadalajara </v>
      </c>
      <c r="AE250" s="42">
        <v>1962</v>
      </c>
      <c r="AK250" s="42">
        <v>3</v>
      </c>
      <c r="AL250" s="42">
        <v>1</v>
      </c>
      <c r="AV250" s="37" t="str">
        <v>ROUND_OF_16</v>
      </c>
      <c r="AW250" s="89" t="str">
        <v>GROUP_STAGE</v>
      </c>
      <c r="BE250" s="43" t="str">
        <f>IF(OR(DATA_CLEANED!AL241="",DATA_CLEANED!AM241=""),"MANQUANT",IF(OR(NOT(ISNUMBER(DATA_CLEANED!AL241)),NOT(ISNUMBER(DATA_CLEANED!AM241))),"ENTREE INVALIDE",IF(OR(DATA_CLEANED!AL241&lt;0,DATA_CLEANED!AM241&lt;0),"SCORE NEGATIF","OK")))</f>
        <v>OK</v>
      </c>
      <c r="BF250" s="43" t="str">
        <f>IF(DATA_CLEANED!AK241&lt;&gt;DATA_CLEANED!AN241,"OK","ERREUR")</f>
        <v>OK</v>
      </c>
      <c r="BG250" s="43" t="str">
        <f>IF(DATA_CLEANED!AL241&gt;DATA_CLEANED!AM241,DATA_CLEANED!AK241,IF(AND(DATA_QUALITE!W4727="-",DATA_CLEANED!AM241=DATA_CLEANED!AL241),"MATCH NUL",IF(AND(DATA_QUALITE!V4727="-",DATA_QUALITE!U4727="AUCUNE"),DATA_QUALITE!T4727,IF(DATA_QUALITE!V4727&lt;&gt;"-",DATA_QUALITE!V4727,DATA_CLEANED!AN241))))</f>
        <v>Italy</v>
      </c>
      <c r="BH250" s="103" t="str">
        <f>IF(AND(BG250="MATCH NUL",DATA_CLEANED!AO241="-"),"MATCH_NUL",IF(ISNUMBER(SEARCH("win on penalties",W4727)),"WIN_BY_PENALTY",IF(ISNUMBER(SEARCH("win after extra time",W4727)),"WIN_BY_EXTRA_TIME",IF(ISNUMBER(SEARCH("Golden Goal",W4727)),"WIN_BY_GOLDEN_GOAL","WIN_BY_SCORE"))))</f>
        <v>WIN_BY_SCORE</v>
      </c>
      <c r="BI250" s="99" t="str">
        <f>IF(OR(BG250=DATA_CLEANED!AK241,BG250=DATA_CLEANED!AN241,BG250="MATCH NUL"),"OK","ERREUR")</f>
        <v>OK</v>
      </c>
    </row>
    <row r="251" spans="2:61">
      <c r="B251" s="74">
        <v>2006</v>
      </c>
      <c r="C251" s="30" t="str">
        <v>Quarter-finals</v>
      </c>
      <c r="D251" s="30" t="str">
        <v>Portugal</v>
      </c>
      <c r="E251" s="30" t="str">
        <v>England</v>
      </c>
      <c r="F251" s="30" t="str">
        <v>Portugal</v>
      </c>
      <c r="G251" s="30" t="str">
        <v>Hugo Viana</v>
      </c>
      <c r="H251" s="30" t="str">
        <v>Paul Robinson</v>
      </c>
      <c r="I251" s="30">
        <v>3</v>
      </c>
      <c r="J251" s="30">
        <v>2</v>
      </c>
      <c r="K251" s="30" t="str">
        <v>'1-0</v>
      </c>
      <c r="L251" s="30" t="str">
        <v>No</v>
      </c>
      <c r="M251" s="30" t="str">
        <v>No</v>
      </c>
      <c r="N251" s="30" t="str">
        <v>Missed</v>
      </c>
      <c r="O251" s="30" t="str">
        <f t="shared" si="26"/>
        <v>2006|Quarter-finals|Portugal|England|Portugal|Hugo Viana|Paul Robinson|3|2|'1-0|No|No|Missed</v>
      </c>
      <c r="P251" s="96" t="str">
        <f>IF(COUNTIF($G$32:O251,O251)&gt;1,"DOUBLON","OK")</f>
        <v>OK</v>
      </c>
      <c r="S251" s="30" t="str">
        <v>Paraguay</v>
      </c>
      <c r="T251" s="30" t="str">
        <f t="shared" ref="T251:T314" si="29">IF(COUNTIF(R$21:R$250,S251)=1,"OK","ERREUR")</f>
        <v>OK</v>
      </c>
      <c r="U251" s="30" t="str">
        <f t="shared" si="24"/>
        <v>-</v>
      </c>
      <c r="V251" s="30" t="str" cm="1">
        <f t="array" ref="V251">_xlfn.IFS(
ISNUMBER(SEARCH("USA",S251)),"United States",
ISNUMBER(SEARCH("Republic of Korea",S251)),"South Korea",
ISNUMBER(SEARCH("Cape Verde",S251)),"Cabo Verde",
ISNUMBER(SEARCH("Czechia",S251)),"Czech Republic",
ISNUMBER(SEARCH("Türkiye",S251)),"Turkey",
ISNUMBER(SEARCH("Ivory Coast",S251)),"Côte d'Ivoire",
ISNUMBER(SEARCH("Korea Republic",S251)),"South Korea",
ISNUMBER(SEARCH("Germany FR",S251)),"FR Germany",
ISNUMBER(SEARCH("West Germany",S251)),"FR Germany",
ISNUMBER(SEARCH("Germany DR",S251)),"DR Germany",
ISNUMBER(SEARCH("Korea DPR",S251)),"North Korea",
ISNUMBER(SEARCH("China PR",S251)),"China",
ISNUMBER(SEARCH("IR Iran",S251)),"Iran",
ISNUMBER(SEARCH("Congo DR",S251)),"Democratic Republic of the Congo",
ISNUMBER(SEARCH("DR Congo",S251)),"Democratic Republic of the Congo",
ISNUMBER(SEARCH("German DR",S251)),"DR Germany",
ISNUMBER(SEARCH("rn""&gt;United Arab Emirates",S251)),"United Arab Emirates",
ISNUMBER(SEARCH("rn""&gt;Republic of Ireland",S251)),"Ireland",
ISNUMBER(SEARCH("rn""&gt;Bosnia and Herzegovina",S251)),"Bosnia and Herzegovina",
ISNUMBER(SEARCH("rn""&gt;Trinidad and Tobago",S251)),"Trinidad and Tobago",
ISNUMBER(SEARCH("rn""&gt;Serbia and Montenegro",S251)),"Serbia and Montenegro",
ISNUMBER(SEARCH(_xlfn.UNICHAR(65533),S251)),"Côte d'Ivoire",
TRUE,""
)</f>
        <v/>
      </c>
      <c r="W251" s="30" t="str">
        <f t="shared" si="25"/>
        <v>Paraguay</v>
      </c>
      <c r="Z251" s="40" t="str">
        <v>Estadio Azteca</v>
      </c>
      <c r="AA251" s="40" t="str" cm="1">
        <f t="array" ref="AA251">IFERROR(_xlfn.XLOOKUP(Z251,_xlfn.ANCHORARRAY(Z$31),AA$31:AA$37),Z251)</f>
        <v>Estadio Azteca</v>
      </c>
      <c r="AB251" s="42" t="str">
        <v xml:space="preserve">Mexico City </v>
      </c>
      <c r="AC251" s="89" t="str">
        <f t="shared" si="28"/>
        <v xml:space="preserve">Mexico City </v>
      </c>
      <c r="AE251" s="42">
        <v>1966</v>
      </c>
      <c r="AK251" s="42">
        <v>0</v>
      </c>
      <c r="AL251" s="42">
        <v>0</v>
      </c>
      <c r="AV251" s="37" t="str">
        <v>ROUND_OF_16</v>
      </c>
      <c r="AW251" s="89" t="str">
        <v>GROUP_STAGE</v>
      </c>
      <c r="BE251" s="43" t="str">
        <f>IF(OR(DATA_CLEANED!AL242="",DATA_CLEANED!AM242=""),"MANQUANT",IF(OR(NOT(ISNUMBER(DATA_CLEANED!AL242)),NOT(ISNUMBER(DATA_CLEANED!AM242))),"ENTREE INVALIDE",IF(OR(DATA_CLEANED!AL242&lt;0,DATA_CLEANED!AM242&lt;0),"SCORE NEGATIF","OK")))</f>
        <v>OK</v>
      </c>
      <c r="BF251" s="43" t="str">
        <f>IF(DATA_CLEANED!AK242&lt;&gt;DATA_CLEANED!AN242,"OK","ERREUR")</f>
        <v>OK</v>
      </c>
      <c r="BG251" s="43" t="str">
        <f>IF(DATA_CLEANED!AL242&gt;DATA_CLEANED!AM242,DATA_CLEANED!AK242,IF(AND(DATA_QUALITE!W4728="-",DATA_CLEANED!AM242=DATA_CLEANED!AL242),"MATCH NUL",IF(AND(DATA_QUALITE!V4728="-",DATA_QUALITE!U4728="AUCUNE"),DATA_QUALITE!T4728,IF(DATA_QUALITE!V4728&lt;&gt;"-",DATA_QUALITE!V4728,DATA_CLEANED!AN242))))</f>
        <v>Poland</v>
      </c>
      <c r="BH251" s="103" t="str">
        <f>IF(AND(BG251="MATCH NUL",DATA_CLEANED!AO242="-"),"MATCH_NUL",IF(ISNUMBER(SEARCH("win on penalties",W4728)),"WIN_BY_PENALTY",IF(ISNUMBER(SEARCH("win after extra time",W4728)),"WIN_BY_EXTRA_TIME",IF(ISNUMBER(SEARCH("Golden Goal",W4728)),"WIN_BY_GOLDEN_GOAL","WIN_BY_SCORE"))))</f>
        <v>WIN_BY_SCORE</v>
      </c>
      <c r="BI251" s="99" t="str">
        <f>IF(OR(BG251=DATA_CLEANED!AK242,BG251=DATA_CLEANED!AN242,BG251="MATCH NUL"),"OK","ERREUR")</f>
        <v>OK</v>
      </c>
    </row>
    <row r="252" spans="2:61">
      <c r="B252" s="74">
        <v>2006</v>
      </c>
      <c r="C252" s="30" t="str">
        <v>Quarter-finals</v>
      </c>
      <c r="D252" s="30" t="str">
        <v>Portugal</v>
      </c>
      <c r="E252" s="30" t="str">
        <v>England</v>
      </c>
      <c r="F252" s="30" t="str">
        <v>England</v>
      </c>
      <c r="G252" s="30" t="str">
        <v>Owen Hargreaves</v>
      </c>
      <c r="H252" s="30" t="str">
        <v>Ricardo</v>
      </c>
      <c r="I252" s="30">
        <v>4</v>
      </c>
      <c r="J252" s="30">
        <v>2</v>
      </c>
      <c r="K252" s="30" t="str">
        <v>'1-0</v>
      </c>
      <c r="L252" s="30" t="str">
        <v>No</v>
      </c>
      <c r="M252" s="30" t="str">
        <v>No</v>
      </c>
      <c r="N252" s="30" t="str">
        <v>Goal</v>
      </c>
      <c r="O252" s="30" t="str">
        <f t="shared" si="26"/>
        <v>2006|Quarter-finals|Portugal|England|England|Owen Hargreaves|Ricardo|4|2|'1-0|No|No|Goal</v>
      </c>
      <c r="P252" s="96" t="str">
        <f>IF(COUNTIF($G$32:O252,O252)&gt;1,"DOUBLON","OK")</f>
        <v>OK</v>
      </c>
      <c r="S252" s="30" t="str">
        <v>Paraguay</v>
      </c>
      <c r="T252" s="30" t="str">
        <f t="shared" si="29"/>
        <v>OK</v>
      </c>
      <c r="U252" s="30" t="str">
        <f t="shared" si="24"/>
        <v>-</v>
      </c>
      <c r="V252" s="30" t="str" cm="1">
        <f t="array" ref="V252">_xlfn.IFS(
ISNUMBER(SEARCH("USA",S252)),"United States",
ISNUMBER(SEARCH("Republic of Korea",S252)),"South Korea",
ISNUMBER(SEARCH("Cape Verde",S252)),"Cabo Verde",
ISNUMBER(SEARCH("Czechia",S252)),"Czech Republic",
ISNUMBER(SEARCH("Türkiye",S252)),"Turkey",
ISNUMBER(SEARCH("Ivory Coast",S252)),"Côte d'Ivoire",
ISNUMBER(SEARCH("Korea Republic",S252)),"South Korea",
ISNUMBER(SEARCH("Germany FR",S252)),"FR Germany",
ISNUMBER(SEARCH("West Germany",S252)),"FR Germany",
ISNUMBER(SEARCH("Germany DR",S252)),"DR Germany",
ISNUMBER(SEARCH("Korea DPR",S252)),"North Korea",
ISNUMBER(SEARCH("China PR",S252)),"China",
ISNUMBER(SEARCH("IR Iran",S252)),"Iran",
ISNUMBER(SEARCH("Congo DR",S252)),"Democratic Republic of the Congo",
ISNUMBER(SEARCH("DR Congo",S252)),"Democratic Republic of the Congo",
ISNUMBER(SEARCH("German DR",S252)),"DR Germany",
ISNUMBER(SEARCH("rn""&gt;United Arab Emirates",S252)),"United Arab Emirates",
ISNUMBER(SEARCH("rn""&gt;Republic of Ireland",S252)),"Ireland",
ISNUMBER(SEARCH("rn""&gt;Bosnia and Herzegovina",S252)),"Bosnia and Herzegovina",
ISNUMBER(SEARCH("rn""&gt;Trinidad and Tobago",S252)),"Trinidad and Tobago",
ISNUMBER(SEARCH("rn""&gt;Serbia and Montenegro",S252)),"Serbia and Montenegro",
ISNUMBER(SEARCH(_xlfn.UNICHAR(65533),S252)),"Côte d'Ivoire",
TRUE,""
)</f>
        <v/>
      </c>
      <c r="W252" s="30" t="str">
        <f t="shared" si="25"/>
        <v>Paraguay</v>
      </c>
      <c r="Z252" s="40" t="str">
        <v>Luis Dosal</v>
      </c>
      <c r="AA252" s="40" t="str" cm="1">
        <f t="array" ref="AA252">IFERROR(_xlfn.XLOOKUP(Z252,_xlfn.ANCHORARRAY(Z$31),AA$31:AA$37),Z252)</f>
        <v>Luis Dosal</v>
      </c>
      <c r="AB252" s="42" t="str">
        <v xml:space="preserve">Toluca </v>
      </c>
      <c r="AC252" s="89" t="str">
        <f t="shared" si="28"/>
        <v xml:space="preserve">Toluca </v>
      </c>
      <c r="AE252" s="42">
        <v>1966</v>
      </c>
      <c r="AK252" s="42">
        <v>5</v>
      </c>
      <c r="AL252" s="42">
        <v>0</v>
      </c>
      <c r="AV252" s="37" t="str">
        <v>ROUND_OF_16</v>
      </c>
      <c r="AW252" s="89" t="str">
        <v>GROUP_STAGE</v>
      </c>
      <c r="BE252" s="43" t="str">
        <f>IF(OR(DATA_CLEANED!AL243="",DATA_CLEANED!AM243=""),"MANQUANT",IF(OR(NOT(ISNUMBER(DATA_CLEANED!AL243)),NOT(ISNUMBER(DATA_CLEANED!AM243))),"ENTREE INVALIDE",IF(OR(DATA_CLEANED!AL243&lt;0,DATA_CLEANED!AM243&lt;0),"SCORE NEGATIF","OK")))</f>
        <v>OK</v>
      </c>
      <c r="BF252" s="43" t="str">
        <f>IF(DATA_CLEANED!AK243&lt;&gt;DATA_CLEANED!AN243,"OK","ERREUR")</f>
        <v>OK</v>
      </c>
      <c r="BG252" s="43" t="str">
        <f>IF(DATA_CLEANED!AL243&gt;DATA_CLEANED!AM243,DATA_CLEANED!AK243,IF(AND(DATA_QUALITE!W4729="-",DATA_CLEANED!AM243=DATA_CLEANED!AL243),"MATCH NUL",IF(AND(DATA_QUALITE!V4729="-",DATA_QUALITE!U4729="AUCUNE"),DATA_QUALITE!T4729,IF(DATA_QUALITE!V4729&lt;&gt;"-",DATA_QUALITE!V4729,DATA_CLEANED!AN243))))</f>
        <v>FR Germany</v>
      </c>
      <c r="BH252" s="103" t="str">
        <f>IF(AND(BG252="MATCH NUL",DATA_CLEANED!AO243="-"),"MATCH_NUL",IF(ISNUMBER(SEARCH("win on penalties",W4729)),"WIN_BY_PENALTY",IF(ISNUMBER(SEARCH("win after extra time",W4729)),"WIN_BY_EXTRA_TIME",IF(ISNUMBER(SEARCH("Golden Goal",W4729)),"WIN_BY_GOLDEN_GOAL","WIN_BY_SCORE"))))</f>
        <v>WIN_BY_SCORE</v>
      </c>
      <c r="BI252" s="99" t="str">
        <f>IF(OR(BG252=DATA_CLEANED!AK243,BG252=DATA_CLEANED!AN243,BG252="MATCH NUL"),"OK","ERREUR")</f>
        <v>OK</v>
      </c>
    </row>
    <row r="253" spans="2:61">
      <c r="B253" s="74">
        <v>2006</v>
      </c>
      <c r="C253" s="30" t="str">
        <v>Quarter-finals</v>
      </c>
      <c r="D253" s="30" t="str">
        <v>Portugal</v>
      </c>
      <c r="E253" s="30" t="str">
        <v>England</v>
      </c>
      <c r="F253" s="30" t="str">
        <v>Portugal</v>
      </c>
      <c r="G253" s="30" t="str">
        <v>Petit</v>
      </c>
      <c r="H253" s="30" t="str">
        <v>Paul Robinson</v>
      </c>
      <c r="I253" s="30">
        <v>5</v>
      </c>
      <c r="J253" s="30">
        <v>3</v>
      </c>
      <c r="K253" s="30" t="str">
        <v>'1-1</v>
      </c>
      <c r="L253" s="30" t="str">
        <v>No</v>
      </c>
      <c r="M253" s="30" t="str">
        <v>No</v>
      </c>
      <c r="N253" s="30" t="str">
        <v>Missed</v>
      </c>
      <c r="O253" s="30" t="str">
        <f t="shared" si="26"/>
        <v>2006|Quarter-finals|Portugal|England|Portugal|Petit|Paul Robinson|5|3|'1-1|No|No|Missed</v>
      </c>
      <c r="P253" s="96" t="str">
        <f>IF(COUNTIF($G$32:O253,O253)&gt;1,"DOUBLON","OK")</f>
        <v>OK</v>
      </c>
      <c r="S253" s="30" t="str">
        <v>Paraguay</v>
      </c>
      <c r="T253" s="30" t="str">
        <f t="shared" si="29"/>
        <v>OK</v>
      </c>
      <c r="U253" s="30" t="str">
        <f t="shared" si="24"/>
        <v>-</v>
      </c>
      <c r="V253" s="30" t="str" cm="1">
        <f t="array" ref="V253">_xlfn.IFS(
ISNUMBER(SEARCH("USA",S253)),"United States",
ISNUMBER(SEARCH("Republic of Korea",S253)),"South Korea",
ISNUMBER(SEARCH("Cape Verde",S253)),"Cabo Verde",
ISNUMBER(SEARCH("Czechia",S253)),"Czech Republic",
ISNUMBER(SEARCH("Türkiye",S253)),"Turkey",
ISNUMBER(SEARCH("Ivory Coast",S253)),"Côte d'Ivoire",
ISNUMBER(SEARCH("Korea Republic",S253)),"South Korea",
ISNUMBER(SEARCH("Germany FR",S253)),"FR Germany",
ISNUMBER(SEARCH("West Germany",S253)),"FR Germany",
ISNUMBER(SEARCH("Germany DR",S253)),"DR Germany",
ISNUMBER(SEARCH("Korea DPR",S253)),"North Korea",
ISNUMBER(SEARCH("China PR",S253)),"China",
ISNUMBER(SEARCH("IR Iran",S253)),"Iran",
ISNUMBER(SEARCH("Congo DR",S253)),"Democratic Republic of the Congo",
ISNUMBER(SEARCH("DR Congo",S253)),"Democratic Republic of the Congo",
ISNUMBER(SEARCH("German DR",S253)),"DR Germany",
ISNUMBER(SEARCH("rn""&gt;United Arab Emirates",S253)),"United Arab Emirates",
ISNUMBER(SEARCH("rn""&gt;Republic of Ireland",S253)),"Ireland",
ISNUMBER(SEARCH("rn""&gt;Bosnia and Herzegovina",S253)),"Bosnia and Herzegovina",
ISNUMBER(SEARCH("rn""&gt;Trinidad and Tobago",S253)),"Trinidad and Tobago",
ISNUMBER(SEARCH("rn""&gt;Serbia and Montenegro",S253)),"Serbia and Montenegro",
ISNUMBER(SEARCH(_xlfn.UNICHAR(65533),S253)),"Côte d'Ivoire",
TRUE,""
)</f>
        <v/>
      </c>
      <c r="W253" s="30" t="str">
        <f t="shared" si="25"/>
        <v>Paraguay</v>
      </c>
      <c r="Z253" s="40" t="str">
        <v>Nou Camp - Estadio Le�n</v>
      </c>
      <c r="AA253" s="40" t="str" cm="1">
        <f t="array" ref="AA253">IFERROR(_xlfn.XLOOKUP(Z253,_xlfn.ANCHORARRAY(Z$31),AA$31:AA$37),Z253)</f>
        <v>Nou Camp - Estadio León</v>
      </c>
      <c r="AB253" s="42" t="str">
        <v xml:space="preserve">Leon </v>
      </c>
      <c r="AC253" s="89" t="str">
        <f t="shared" si="28"/>
        <v xml:space="preserve">Leon </v>
      </c>
      <c r="AE253" s="42">
        <v>1966</v>
      </c>
      <c r="AK253" s="42">
        <v>2</v>
      </c>
      <c r="AL253" s="42">
        <v>0</v>
      </c>
      <c r="AV253" s="37" t="str">
        <v>ROUND_OF_16</v>
      </c>
      <c r="AW253" s="89" t="str">
        <v>GROUP_STAGE</v>
      </c>
      <c r="BE253" s="43" t="str">
        <f>IF(OR(DATA_CLEANED!AL244="",DATA_CLEANED!AM244=""),"MANQUANT",IF(OR(NOT(ISNUMBER(DATA_CLEANED!AL244)),NOT(ISNUMBER(DATA_CLEANED!AM244))),"ENTREE INVALIDE",IF(OR(DATA_CLEANED!AL244&lt;0,DATA_CLEANED!AM244&lt;0),"SCORE NEGATIF","OK")))</f>
        <v>OK</v>
      </c>
      <c r="BF253" s="43" t="str">
        <f>IF(DATA_CLEANED!AK244&lt;&gt;DATA_CLEANED!AN244,"OK","ERREUR")</f>
        <v>OK</v>
      </c>
      <c r="BG253" s="43" t="str">
        <f>IF(DATA_CLEANED!AL244&gt;DATA_CLEANED!AM244,DATA_CLEANED!AK244,IF(AND(DATA_QUALITE!W4730="-",DATA_CLEANED!AM244=DATA_CLEANED!AL244),"MATCH NUL",IF(AND(DATA_QUALITE!V4730="-",DATA_QUALITE!U4730="AUCUNE"),DATA_QUALITE!T4730,IF(DATA_QUALITE!V4730&lt;&gt;"-",DATA_QUALITE!V4730,DATA_CLEANED!AN244))))</f>
        <v>MATCH NUL</v>
      </c>
      <c r="BH253" s="103" t="str">
        <f>IF(AND(BG253="MATCH NUL",DATA_CLEANED!AO244="-"),"MATCH_NUL",IF(ISNUMBER(SEARCH("win on penalties",W4730)),"WIN_BY_PENALTY",IF(ISNUMBER(SEARCH("win after extra time",W4730)),"WIN_BY_EXTRA_TIME",IF(ISNUMBER(SEARCH("Golden Goal",W4730)),"WIN_BY_GOLDEN_GOAL","WIN_BY_SCORE"))))</f>
        <v>MATCH_NUL</v>
      </c>
      <c r="BI253" s="99" t="str">
        <f>IF(OR(BG253=DATA_CLEANED!AK244,BG253=DATA_CLEANED!AN244,BG253="MATCH NUL"),"OK","ERREUR")</f>
        <v>OK</v>
      </c>
    </row>
    <row r="254" spans="2:61">
      <c r="B254" s="74">
        <v>2006</v>
      </c>
      <c r="C254" s="30" t="str">
        <v>Quarter-finals</v>
      </c>
      <c r="D254" s="30" t="str">
        <v>Portugal</v>
      </c>
      <c r="E254" s="30" t="str">
        <v>England</v>
      </c>
      <c r="F254" s="30" t="str">
        <v>England</v>
      </c>
      <c r="G254" s="30" t="str">
        <v>Steven Gerrard</v>
      </c>
      <c r="H254" s="30" t="str">
        <v>Ricardo</v>
      </c>
      <c r="I254" s="30">
        <v>6</v>
      </c>
      <c r="J254" s="30">
        <v>3</v>
      </c>
      <c r="K254" s="30" t="str">
        <v>'1-1</v>
      </c>
      <c r="L254" s="30" t="str">
        <v>No</v>
      </c>
      <c r="M254" s="30" t="str">
        <v>No</v>
      </c>
      <c r="N254" s="30" t="str">
        <v>Saved</v>
      </c>
      <c r="O254" s="30" t="str">
        <f t="shared" si="26"/>
        <v>2006|Quarter-finals|Portugal|England|England|Steven Gerrard|Ricardo|6|3|'1-1|No|No|Saved</v>
      </c>
      <c r="P254" s="96" t="str">
        <f>IF(COUNTIF($G$32:O254,O254)&gt;1,"DOUBLON","OK")</f>
        <v>OK</v>
      </c>
      <c r="S254" s="30" t="str">
        <v>Paraguay</v>
      </c>
      <c r="T254" s="30" t="str">
        <f t="shared" si="29"/>
        <v>OK</v>
      </c>
      <c r="U254" s="30" t="str">
        <f t="shared" si="24"/>
        <v>-</v>
      </c>
      <c r="V254" s="30" t="str" cm="1">
        <f t="array" ref="V254">_xlfn.IFS(
ISNUMBER(SEARCH("USA",S254)),"United States",
ISNUMBER(SEARCH("Republic of Korea",S254)),"South Korea",
ISNUMBER(SEARCH("Cape Verde",S254)),"Cabo Verde",
ISNUMBER(SEARCH("Czechia",S254)),"Czech Republic",
ISNUMBER(SEARCH("Türkiye",S254)),"Turkey",
ISNUMBER(SEARCH("Ivory Coast",S254)),"Côte d'Ivoire",
ISNUMBER(SEARCH("Korea Republic",S254)),"South Korea",
ISNUMBER(SEARCH("Germany FR",S254)),"FR Germany",
ISNUMBER(SEARCH("West Germany",S254)),"FR Germany",
ISNUMBER(SEARCH("Germany DR",S254)),"DR Germany",
ISNUMBER(SEARCH("Korea DPR",S254)),"North Korea",
ISNUMBER(SEARCH("China PR",S254)),"China",
ISNUMBER(SEARCH("IR Iran",S254)),"Iran",
ISNUMBER(SEARCH("Congo DR",S254)),"Democratic Republic of the Congo",
ISNUMBER(SEARCH("DR Congo",S254)),"Democratic Republic of the Congo",
ISNUMBER(SEARCH("German DR",S254)),"DR Germany",
ISNUMBER(SEARCH("rn""&gt;United Arab Emirates",S254)),"United Arab Emirates",
ISNUMBER(SEARCH("rn""&gt;Republic of Ireland",S254)),"Ireland",
ISNUMBER(SEARCH("rn""&gt;Bosnia and Herzegovina",S254)),"Bosnia and Herzegovina",
ISNUMBER(SEARCH("rn""&gt;Trinidad and Tobago",S254)),"Trinidad and Tobago",
ISNUMBER(SEARCH("rn""&gt;Serbia and Montenegro",S254)),"Serbia and Montenegro",
ISNUMBER(SEARCH(_xlfn.UNICHAR(65533),S254)),"Côte d'Ivoire",
TRUE,""
)</f>
        <v/>
      </c>
      <c r="W254" s="30" t="str">
        <f t="shared" si="25"/>
        <v>Paraguay</v>
      </c>
      <c r="Z254" s="40" t="str">
        <v>Jalisco</v>
      </c>
      <c r="AA254" s="40" t="str" cm="1">
        <f t="array" ref="AA254">IFERROR(_xlfn.XLOOKUP(Z254,_xlfn.ANCHORARRAY(Z$31),AA$31:AA$37),Z254)</f>
        <v>Jalisco</v>
      </c>
      <c r="AB254" s="42" t="str">
        <v xml:space="preserve">Guadalajara </v>
      </c>
      <c r="AC254" s="89" t="str">
        <f t="shared" si="28"/>
        <v xml:space="preserve">Guadalajara </v>
      </c>
      <c r="AE254" s="42">
        <v>1966</v>
      </c>
      <c r="AK254" s="42">
        <v>3</v>
      </c>
      <c r="AL254" s="42">
        <v>0</v>
      </c>
      <c r="AV254" s="37" t="str">
        <v>ROUND_OF_16</v>
      </c>
      <c r="AW254" s="89" t="str">
        <v>GROUP_STAGE</v>
      </c>
      <c r="BE254" s="43" t="str">
        <f>IF(OR(DATA_CLEANED!AL245="",DATA_CLEANED!AM245=""),"MANQUANT",IF(OR(NOT(ISNUMBER(DATA_CLEANED!AL245)),NOT(ISNUMBER(DATA_CLEANED!AM245))),"ENTREE INVALIDE",IF(OR(DATA_CLEANED!AL245&lt;0,DATA_CLEANED!AM245&lt;0),"SCORE NEGATIF","OK")))</f>
        <v>OK</v>
      </c>
      <c r="BF254" s="43" t="str">
        <f>IF(DATA_CLEANED!AK245&lt;&gt;DATA_CLEANED!AN245,"OK","ERREUR")</f>
        <v>OK</v>
      </c>
      <c r="BG254" s="43" t="str">
        <f>IF(DATA_CLEANED!AL245&gt;DATA_CLEANED!AM245,DATA_CLEANED!AK245,IF(AND(DATA_QUALITE!W4731="-",DATA_CLEANED!AM245=DATA_CLEANED!AL245),"MATCH NUL",IF(AND(DATA_QUALITE!V4731="-",DATA_QUALITE!U4731="AUCUNE"),DATA_QUALITE!T4731,IF(DATA_QUALITE!V4731&lt;&gt;"-",DATA_QUALITE!V4731,DATA_CLEANED!AN245))))</f>
        <v>MATCH NUL</v>
      </c>
      <c r="BH254" s="103" t="str">
        <f>IF(AND(BG254="MATCH NUL",DATA_CLEANED!AO245="-"),"MATCH_NUL",IF(ISNUMBER(SEARCH("win on penalties",W4731)),"WIN_BY_PENALTY",IF(ISNUMBER(SEARCH("win after extra time",W4731)),"WIN_BY_EXTRA_TIME",IF(ISNUMBER(SEARCH("Golden Goal",W4731)),"WIN_BY_GOLDEN_GOAL","WIN_BY_SCORE"))))</f>
        <v>MATCH_NUL</v>
      </c>
      <c r="BI254" s="99" t="str">
        <f>IF(OR(BG254=DATA_CLEANED!AK245,BG254=DATA_CLEANED!AN245,BG254="MATCH NUL"),"OK","ERREUR")</f>
        <v>OK</v>
      </c>
    </row>
    <row r="255" spans="2:61">
      <c r="B255" s="74">
        <v>2006</v>
      </c>
      <c r="C255" s="30" t="str">
        <v>Quarter-finals</v>
      </c>
      <c r="D255" s="30" t="str">
        <v>Portugal</v>
      </c>
      <c r="E255" s="30" t="str">
        <v>England</v>
      </c>
      <c r="F255" s="30" t="str">
        <v>Portugal</v>
      </c>
      <c r="G255" s="30" t="str">
        <v>Hélder Postiga</v>
      </c>
      <c r="H255" s="30" t="str">
        <v>Paul Robinson</v>
      </c>
      <c r="I255" s="30">
        <v>7</v>
      </c>
      <c r="J255" s="30">
        <v>4</v>
      </c>
      <c r="K255" s="30" t="str">
        <v>'1-1</v>
      </c>
      <c r="L255" s="30" t="str">
        <v>No</v>
      </c>
      <c r="M255" s="30" t="str">
        <v>No</v>
      </c>
      <c r="N255" s="30" t="str">
        <v>Goal</v>
      </c>
      <c r="O255" s="30" t="str">
        <f t="shared" si="26"/>
        <v>2006|Quarter-finals|Portugal|England|Portugal|Hélder Postiga|Paul Robinson|7|4|'1-1|No|No|Goal</v>
      </c>
      <c r="P255" s="96" t="str">
        <f>IF(COUNTIF($G$32:O255,O255)&gt;1,"DOUBLON","OK")</f>
        <v>OK</v>
      </c>
      <c r="S255" s="30" t="str">
        <v>Paraguay</v>
      </c>
      <c r="T255" s="30" t="str">
        <f t="shared" si="29"/>
        <v>OK</v>
      </c>
      <c r="U255" s="30" t="str">
        <f t="shared" si="24"/>
        <v>-</v>
      </c>
      <c r="V255" s="30" t="str" cm="1">
        <f t="array" ref="V255">_xlfn.IFS(
ISNUMBER(SEARCH("USA",S255)),"United States",
ISNUMBER(SEARCH("Republic of Korea",S255)),"South Korea",
ISNUMBER(SEARCH("Cape Verde",S255)),"Cabo Verde",
ISNUMBER(SEARCH("Czechia",S255)),"Czech Republic",
ISNUMBER(SEARCH("Türkiye",S255)),"Turkey",
ISNUMBER(SEARCH("Ivory Coast",S255)),"Côte d'Ivoire",
ISNUMBER(SEARCH("Korea Republic",S255)),"South Korea",
ISNUMBER(SEARCH("Germany FR",S255)),"FR Germany",
ISNUMBER(SEARCH("West Germany",S255)),"FR Germany",
ISNUMBER(SEARCH("Germany DR",S255)),"DR Germany",
ISNUMBER(SEARCH("Korea DPR",S255)),"North Korea",
ISNUMBER(SEARCH("China PR",S255)),"China",
ISNUMBER(SEARCH("IR Iran",S255)),"Iran",
ISNUMBER(SEARCH("Congo DR",S255)),"Democratic Republic of the Congo",
ISNUMBER(SEARCH("DR Congo",S255)),"Democratic Republic of the Congo",
ISNUMBER(SEARCH("German DR",S255)),"DR Germany",
ISNUMBER(SEARCH("rn""&gt;United Arab Emirates",S255)),"United Arab Emirates",
ISNUMBER(SEARCH("rn""&gt;Republic of Ireland",S255)),"Ireland",
ISNUMBER(SEARCH("rn""&gt;Bosnia and Herzegovina",S255)),"Bosnia and Herzegovina",
ISNUMBER(SEARCH("rn""&gt;Trinidad and Tobago",S255)),"Trinidad and Tobago",
ISNUMBER(SEARCH("rn""&gt;Serbia and Montenegro",S255)),"Serbia and Montenegro",
ISNUMBER(SEARCH(_xlfn.UNICHAR(65533),S255)),"Côte d'Ivoire",
TRUE,""
)</f>
        <v/>
      </c>
      <c r="W255" s="30" t="str">
        <f t="shared" si="25"/>
        <v>Paraguay</v>
      </c>
      <c r="Z255" s="40" t="str">
        <v>Estadio Azteca</v>
      </c>
      <c r="AA255" s="40" t="str" cm="1">
        <f t="array" ref="AA255">IFERROR(_xlfn.XLOOKUP(Z255,_xlfn.ANCHORARRAY(Z$31),AA$31:AA$37),Z255)</f>
        <v>Estadio Azteca</v>
      </c>
      <c r="AB255" s="42" t="str">
        <v xml:space="preserve">Mexico City </v>
      </c>
      <c r="AC255" s="89" t="str">
        <f t="shared" si="28"/>
        <v xml:space="preserve">Mexico City </v>
      </c>
      <c r="AE255" s="42">
        <v>1966</v>
      </c>
      <c r="AK255" s="42">
        <v>1</v>
      </c>
      <c r="AL255" s="42">
        <v>1</v>
      </c>
      <c r="AV255" s="37" t="str">
        <v>ROUND_OF_16</v>
      </c>
      <c r="AW255" s="89" t="str">
        <v>GROUP_STAGE</v>
      </c>
      <c r="BE255" s="43" t="str">
        <f>IF(OR(DATA_CLEANED!AL246="",DATA_CLEANED!AM246=""),"MANQUANT",IF(OR(NOT(ISNUMBER(DATA_CLEANED!AL246)),NOT(ISNUMBER(DATA_CLEANED!AM246))),"ENTREE INVALIDE",IF(OR(DATA_CLEANED!AL246&lt;0,DATA_CLEANED!AM246&lt;0),"SCORE NEGATIF","OK")))</f>
        <v>OK</v>
      </c>
      <c r="BF255" s="43" t="str">
        <f>IF(DATA_CLEANED!AK246&lt;&gt;DATA_CLEANED!AN246,"OK","ERREUR")</f>
        <v>OK</v>
      </c>
      <c r="BG255" s="43" t="str">
        <f>IF(DATA_CLEANED!AL246&gt;DATA_CLEANED!AM246,DATA_CLEANED!AK246,IF(AND(DATA_QUALITE!W4732="-",DATA_CLEANED!AM246=DATA_CLEANED!AL246),"MATCH NUL",IF(AND(DATA_QUALITE!V4732="-",DATA_QUALITE!U4732="AUCUNE"),DATA_QUALITE!T4732,IF(DATA_QUALITE!V4732&lt;&gt;"-",DATA_QUALITE!V4732,DATA_CLEANED!AN246))))</f>
        <v>Yugoslavia</v>
      </c>
      <c r="BH255" s="103" t="str">
        <f>IF(AND(BG255="MATCH NUL",DATA_CLEANED!AO246="-"),"MATCH_NUL",IF(ISNUMBER(SEARCH("win on penalties",W4732)),"WIN_BY_PENALTY",IF(ISNUMBER(SEARCH("win after extra time",W4732)),"WIN_BY_EXTRA_TIME",IF(ISNUMBER(SEARCH("Golden Goal",W4732)),"WIN_BY_GOLDEN_GOAL","WIN_BY_SCORE"))))</f>
        <v>WIN_BY_SCORE</v>
      </c>
      <c r="BI255" s="99" t="str">
        <f>IF(OR(BG255=DATA_CLEANED!AK246,BG255=DATA_CLEANED!AN246,BG255="MATCH NUL"),"OK","ERREUR")</f>
        <v>OK</v>
      </c>
    </row>
    <row r="256" spans="2:61">
      <c r="B256" s="74">
        <v>2006</v>
      </c>
      <c r="C256" s="30" t="str">
        <v>Quarter-finals</v>
      </c>
      <c r="D256" s="30" t="str">
        <v>Portugal</v>
      </c>
      <c r="E256" s="30" t="str">
        <v>England</v>
      </c>
      <c r="F256" s="30" t="str">
        <v>England</v>
      </c>
      <c r="G256" s="30" t="str">
        <v>Jamie Carragher</v>
      </c>
      <c r="H256" s="30" t="str">
        <v>Ricardo</v>
      </c>
      <c r="I256" s="30">
        <v>8</v>
      </c>
      <c r="J256" s="30">
        <v>4</v>
      </c>
      <c r="K256" s="30" t="str">
        <v>'1-2</v>
      </c>
      <c r="L256" s="30" t="str">
        <v>No</v>
      </c>
      <c r="M256" s="30" t="str">
        <v>No</v>
      </c>
      <c r="N256" s="30" t="str">
        <v>Saved</v>
      </c>
      <c r="O256" s="30" t="str">
        <f t="shared" si="26"/>
        <v>2006|Quarter-finals|Portugal|England|England|Jamie Carragher|Ricardo|8|4|'1-2|No|No|Saved</v>
      </c>
      <c r="P256" s="96" t="str">
        <f>IF(COUNTIF($G$32:O256,O256)&gt;1,"DOUBLON","OK")</f>
        <v>OK</v>
      </c>
      <c r="S256" s="30" t="str">
        <v>Uruguay</v>
      </c>
      <c r="T256" s="30" t="str">
        <f t="shared" si="29"/>
        <v>OK</v>
      </c>
      <c r="U256" s="30" t="str">
        <f t="shared" ref="U256:U319" si="30">IF(OR(S256="Scotland",S256="England",S256="Wales",S256="Yugoslavia",S256="Czechoslovakia",S256="Northern Ireland",S256="Soviet Union",S256="Zaire",S256="Dutch East Indies"),"AUCUNE",IF(OR(S256="Cape Verde",S256="USA",S256="DR Congo",S256="Republic of Korea",S256="Germany FR",S256="Germany DR",S256="Czechia",S256="Ivory Coast",S256="Korea DPR",S256="China PR",S256="IR Iran",S256="Türkiye",S256="Congo DR",S256="German DR",S256="West Germany",S256="Republic of Ireland",ISNUMBER(SEARCH("rn""&gt;United Arab Emirates",S256)),ISNUMBER(SEARCH("rn""&gt;Republic of Ireland",S256)),ISNUMBER(SEARCH("rn""&gt;Bosnia and Herzegovina",S256)),ISNUMBER(SEARCH("rn""&gt;Trinidad and Tobago",S256)),ISNUMBER(SEARCH("rn""&gt;Serbia and Montenegro",S256)),ISNUMBER(SEARCH(_xlfn.UNICHAR(65533),S256))),"RENOMMER","-"))</f>
        <v>-</v>
      </c>
      <c r="V256" s="30" t="str" cm="1">
        <f t="array" ref="V256">_xlfn.IFS(
ISNUMBER(SEARCH("USA",S256)),"United States",
ISNUMBER(SEARCH("Republic of Korea",S256)),"South Korea",
ISNUMBER(SEARCH("Cape Verde",S256)),"Cabo Verde",
ISNUMBER(SEARCH("Czechia",S256)),"Czech Republic",
ISNUMBER(SEARCH("Türkiye",S256)),"Turkey",
ISNUMBER(SEARCH("Ivory Coast",S256)),"Côte d'Ivoire",
ISNUMBER(SEARCH("Korea Republic",S256)),"South Korea",
ISNUMBER(SEARCH("Germany FR",S256)),"FR Germany",
ISNUMBER(SEARCH("West Germany",S256)),"FR Germany",
ISNUMBER(SEARCH("Germany DR",S256)),"DR Germany",
ISNUMBER(SEARCH("Korea DPR",S256)),"North Korea",
ISNUMBER(SEARCH("China PR",S256)),"China",
ISNUMBER(SEARCH("IR Iran",S256)),"Iran",
ISNUMBER(SEARCH("Congo DR",S256)),"Democratic Republic of the Congo",
ISNUMBER(SEARCH("DR Congo",S256)),"Democratic Republic of the Congo",
ISNUMBER(SEARCH("German DR",S256)),"DR Germany",
ISNUMBER(SEARCH("rn""&gt;United Arab Emirates",S256)),"United Arab Emirates",
ISNUMBER(SEARCH("rn""&gt;Republic of Ireland",S256)),"Ireland",
ISNUMBER(SEARCH("rn""&gt;Bosnia and Herzegovina",S256)),"Bosnia and Herzegovina",
ISNUMBER(SEARCH("rn""&gt;Trinidad and Tobago",S256)),"Trinidad and Tobago",
ISNUMBER(SEARCH("rn""&gt;Serbia and Montenegro",S256)),"Serbia and Montenegro",
ISNUMBER(SEARCH(_xlfn.UNICHAR(65533),S256)),"Côte d'Ivoire",
TRUE,""
)</f>
        <v/>
      </c>
      <c r="W256" s="30" t="str">
        <f t="shared" si="25"/>
        <v>Uruguay</v>
      </c>
      <c r="Z256" s="40" t="str">
        <v>Cuauhtemoc</v>
      </c>
      <c r="AA256" s="40" t="str" cm="1">
        <f t="array" ref="AA256">IFERROR(_xlfn.XLOOKUP(Z256,_xlfn.ANCHORARRAY(Z$31),AA$31:AA$37),Z256)</f>
        <v>Cuauhtemoc</v>
      </c>
      <c r="AB256" s="42" t="str">
        <v xml:space="preserve">Puebla </v>
      </c>
      <c r="AC256" s="89" t="str">
        <f t="shared" si="28"/>
        <v xml:space="preserve">Puebla </v>
      </c>
      <c r="AE256" s="42">
        <v>1966</v>
      </c>
      <c r="AK256" s="42">
        <v>3</v>
      </c>
      <c r="AL256" s="42">
        <v>1</v>
      </c>
      <c r="AV256" s="37" t="str">
        <v>ROUND_OF_16</v>
      </c>
      <c r="AW256" s="89" t="str">
        <v>GROUP_STAGE</v>
      </c>
      <c r="BE256" s="43" t="str">
        <f>IF(OR(DATA_CLEANED!AL247="",DATA_CLEANED!AM247=""),"MANQUANT",IF(OR(NOT(ISNUMBER(DATA_CLEANED!AL247)),NOT(ISNUMBER(DATA_CLEANED!AM247))),"ENTREE INVALIDE",IF(OR(DATA_CLEANED!AL247&lt;0,DATA_CLEANED!AM247&lt;0),"SCORE NEGATIF","OK")))</f>
        <v>OK</v>
      </c>
      <c r="BF256" s="43" t="str">
        <f>IF(DATA_CLEANED!AK247&lt;&gt;DATA_CLEANED!AN247,"OK","ERREUR")</f>
        <v>OK</v>
      </c>
      <c r="BG256" s="43" t="str">
        <f>IF(DATA_CLEANED!AL247&gt;DATA_CLEANED!AM247,DATA_CLEANED!AK247,IF(AND(DATA_QUALITE!W4733="-",DATA_CLEANED!AM247=DATA_CLEANED!AL247),"MATCH NUL",IF(AND(DATA_QUALITE!V4733="-",DATA_QUALITE!U4733="AUCUNE"),DATA_QUALITE!T4733,IF(DATA_QUALITE!V4733&lt;&gt;"-",DATA_QUALITE!V4733,DATA_CLEANED!AN247))))</f>
        <v>MATCH NUL</v>
      </c>
      <c r="BH256" s="103" t="str">
        <f>IF(AND(BG256="MATCH NUL",DATA_CLEANED!AO247="-"),"MATCH_NUL",IF(ISNUMBER(SEARCH("win on penalties",W4733)),"WIN_BY_PENALTY",IF(ISNUMBER(SEARCH("win after extra time",W4733)),"WIN_BY_EXTRA_TIME",IF(ISNUMBER(SEARCH("Golden Goal",W4733)),"WIN_BY_GOLDEN_GOAL","WIN_BY_SCORE"))))</f>
        <v>MATCH_NUL</v>
      </c>
      <c r="BI256" s="99" t="str">
        <f>IF(OR(BG256=DATA_CLEANED!AK247,BG256=DATA_CLEANED!AN247,BG256="MATCH NUL"),"OK","ERREUR")</f>
        <v>OK</v>
      </c>
    </row>
    <row r="257" spans="2:61">
      <c r="B257" s="74">
        <v>2006</v>
      </c>
      <c r="C257" s="30" t="str">
        <v>Quarter-finals</v>
      </c>
      <c r="D257" s="30" t="str">
        <v>Portugal</v>
      </c>
      <c r="E257" s="30" t="str">
        <v>England</v>
      </c>
      <c r="F257" s="30" t="str">
        <v>Portugal</v>
      </c>
      <c r="G257" s="30" t="str">
        <v>Cristiano Ronaldo</v>
      </c>
      <c r="H257" s="30" t="str">
        <v>Paul Robinson</v>
      </c>
      <c r="I257" s="30">
        <v>9</v>
      </c>
      <c r="J257" s="30">
        <v>5</v>
      </c>
      <c r="K257" s="30" t="str">
        <v>'1-2</v>
      </c>
      <c r="L257" s="30" t="str">
        <v>No</v>
      </c>
      <c r="M257" s="30" t="str">
        <v>Yes</v>
      </c>
      <c r="N257" s="30" t="str">
        <v>Goal</v>
      </c>
      <c r="O257" s="30" t="str">
        <f t="shared" si="26"/>
        <v>2006|Quarter-finals|Portugal|England|Portugal|Cristiano Ronaldo|Paul Robinson|9|5|'1-2|No|Yes|Goal</v>
      </c>
      <c r="P257" s="96" t="str">
        <f>IF(COUNTIF($G$32:O257,O257)&gt;1,"DOUBLON","OK")</f>
        <v>OK</v>
      </c>
      <c r="S257" s="30" t="str">
        <v>Uruguay</v>
      </c>
      <c r="T257" s="30" t="str">
        <f t="shared" si="29"/>
        <v>OK</v>
      </c>
      <c r="U257" s="30" t="str">
        <f t="shared" si="30"/>
        <v>-</v>
      </c>
      <c r="V257" s="30" t="str" cm="1">
        <f t="array" ref="V257">_xlfn.IFS(
ISNUMBER(SEARCH("USA",S257)),"United States",
ISNUMBER(SEARCH("Republic of Korea",S257)),"South Korea",
ISNUMBER(SEARCH("Cape Verde",S257)),"Cabo Verde",
ISNUMBER(SEARCH("Czechia",S257)),"Czech Republic",
ISNUMBER(SEARCH("Türkiye",S257)),"Turkey",
ISNUMBER(SEARCH("Ivory Coast",S257)),"Côte d'Ivoire",
ISNUMBER(SEARCH("Korea Republic",S257)),"South Korea",
ISNUMBER(SEARCH("Germany FR",S257)),"FR Germany",
ISNUMBER(SEARCH("West Germany",S257)),"FR Germany",
ISNUMBER(SEARCH("Germany DR",S257)),"DR Germany",
ISNUMBER(SEARCH("Korea DPR",S257)),"North Korea",
ISNUMBER(SEARCH("China PR",S257)),"China",
ISNUMBER(SEARCH("IR Iran",S257)),"Iran",
ISNUMBER(SEARCH("Congo DR",S257)),"Democratic Republic of the Congo",
ISNUMBER(SEARCH("DR Congo",S257)),"Democratic Republic of the Congo",
ISNUMBER(SEARCH("German DR",S257)),"DR Germany",
ISNUMBER(SEARCH("rn""&gt;United Arab Emirates",S257)),"United Arab Emirates",
ISNUMBER(SEARCH("rn""&gt;Republic of Ireland",S257)),"Ireland",
ISNUMBER(SEARCH("rn""&gt;Bosnia and Herzegovina",S257)),"Bosnia and Herzegovina",
ISNUMBER(SEARCH("rn""&gt;Trinidad and Tobago",S257)),"Trinidad and Tobago",
ISNUMBER(SEARCH("rn""&gt;Serbia and Montenegro",S257)),"Serbia and Montenegro",
ISNUMBER(SEARCH(_xlfn.UNICHAR(65533),S257)),"Côte d'Ivoire",
TRUE,""
)</f>
        <v/>
      </c>
      <c r="W257" s="30" t="str">
        <f t="shared" si="25"/>
        <v>Uruguay</v>
      </c>
      <c r="Z257" s="40" t="str">
        <v>Nou Camp - Estadio Le�n</v>
      </c>
      <c r="AA257" s="40" t="str" cm="1">
        <f t="array" ref="AA257">IFERROR(_xlfn.XLOOKUP(Z257,_xlfn.ANCHORARRAY(Z$31),AA$31:AA$37),Z257)</f>
        <v>Nou Camp - Estadio León</v>
      </c>
      <c r="AB257" s="42" t="str">
        <v xml:space="preserve">Leon </v>
      </c>
      <c r="AC257" s="89" t="str">
        <f t="shared" si="28"/>
        <v xml:space="preserve">Leon </v>
      </c>
      <c r="AE257" s="42">
        <v>1966</v>
      </c>
      <c r="AK257" s="42">
        <v>2</v>
      </c>
      <c r="AL257" s="42">
        <v>1</v>
      </c>
      <c r="AV257" s="37" t="str">
        <v>ROUND_OF_16</v>
      </c>
      <c r="AW257" s="89" t="str">
        <v>GROUP_STAGE</v>
      </c>
      <c r="BE257" s="43" t="str">
        <f>IF(OR(DATA_CLEANED!AL248="",DATA_CLEANED!AM248=""),"MANQUANT",IF(OR(NOT(ISNUMBER(DATA_CLEANED!AL248)),NOT(ISNUMBER(DATA_CLEANED!AM248))),"ENTREE INVALIDE",IF(OR(DATA_CLEANED!AL248&lt;0,DATA_CLEANED!AM248&lt;0),"SCORE NEGATIF","OK")))</f>
        <v>OK</v>
      </c>
      <c r="BF257" s="43" t="str">
        <f>IF(DATA_CLEANED!AK248&lt;&gt;DATA_CLEANED!AN248,"OK","ERREUR")</f>
        <v>OK</v>
      </c>
      <c r="BG257" s="43" t="str">
        <f>IF(DATA_CLEANED!AL248&gt;DATA_CLEANED!AM248,DATA_CLEANED!AK248,IF(AND(DATA_QUALITE!W4734="-",DATA_CLEANED!AM248=DATA_CLEANED!AL248),"MATCH NUL",IF(AND(DATA_QUALITE!V4734="-",DATA_QUALITE!U4734="AUCUNE"),DATA_QUALITE!T4734,IF(DATA_QUALITE!V4734&lt;&gt;"-",DATA_QUALITE!V4734,DATA_CLEANED!AN248))))</f>
        <v>MATCH NUL</v>
      </c>
      <c r="BH257" s="103" t="str">
        <f>IF(AND(BG257="MATCH NUL",DATA_CLEANED!AO248="-"),"MATCH_NUL",IF(ISNUMBER(SEARCH("win on penalties",W4734)),"WIN_BY_PENALTY",IF(ISNUMBER(SEARCH("win after extra time",W4734)),"WIN_BY_EXTRA_TIME",IF(ISNUMBER(SEARCH("Golden Goal",W4734)),"WIN_BY_GOLDEN_GOAL","WIN_BY_SCORE"))))</f>
        <v>MATCH_NUL</v>
      </c>
      <c r="BI257" s="99" t="str">
        <f>IF(OR(BG257=DATA_CLEANED!AK248,BG257=DATA_CLEANED!AN248,BG257="MATCH NUL"),"OK","ERREUR")</f>
        <v>OK</v>
      </c>
    </row>
    <row r="258" spans="2:61">
      <c r="B258" s="74">
        <v>2006</v>
      </c>
      <c r="C258" s="30" t="str">
        <v>Final</v>
      </c>
      <c r="D258" s="30" t="str">
        <v>Italy</v>
      </c>
      <c r="E258" s="30" t="str">
        <v>France</v>
      </c>
      <c r="F258" s="30" t="str">
        <v>Italy</v>
      </c>
      <c r="G258" s="30" t="str">
        <v>Andrea Pirlo</v>
      </c>
      <c r="H258" s="30" t="str">
        <v>Fabien Barthez</v>
      </c>
      <c r="I258" s="30">
        <v>1</v>
      </c>
      <c r="J258" s="30">
        <v>1</v>
      </c>
      <c r="K258" s="30" t="str">
        <v>'0-0</v>
      </c>
      <c r="L258" s="30" t="str">
        <v>No</v>
      </c>
      <c r="M258" s="30" t="str">
        <v>No</v>
      </c>
      <c r="N258" s="30" t="str">
        <v>Goal</v>
      </c>
      <c r="O258" s="30" t="str">
        <f t="shared" si="26"/>
        <v>2006|Final|Italy|France|Italy|Andrea Pirlo|Fabien Barthez|1|1|'0-0|No|No|Goal</v>
      </c>
      <c r="P258" s="96" t="str">
        <f>IF(COUNTIF($G$32:O258,O258)&gt;1,"DOUBLON","OK")</f>
        <v>OK</v>
      </c>
      <c r="S258" s="30" t="str">
        <v>Uruguay</v>
      </c>
      <c r="T258" s="30" t="str">
        <f t="shared" si="29"/>
        <v>OK</v>
      </c>
      <c r="U258" s="30" t="str">
        <f t="shared" si="30"/>
        <v>-</v>
      </c>
      <c r="V258" s="30" t="str" cm="1">
        <f t="array" ref="V258">_xlfn.IFS(
ISNUMBER(SEARCH("USA",S258)),"United States",
ISNUMBER(SEARCH("Republic of Korea",S258)),"South Korea",
ISNUMBER(SEARCH("Cape Verde",S258)),"Cabo Verde",
ISNUMBER(SEARCH("Czechia",S258)),"Czech Republic",
ISNUMBER(SEARCH("Türkiye",S258)),"Turkey",
ISNUMBER(SEARCH("Ivory Coast",S258)),"Côte d'Ivoire",
ISNUMBER(SEARCH("Korea Republic",S258)),"South Korea",
ISNUMBER(SEARCH("Germany FR",S258)),"FR Germany",
ISNUMBER(SEARCH("West Germany",S258)),"FR Germany",
ISNUMBER(SEARCH("Germany DR",S258)),"DR Germany",
ISNUMBER(SEARCH("Korea DPR",S258)),"North Korea",
ISNUMBER(SEARCH("China PR",S258)),"China",
ISNUMBER(SEARCH("IR Iran",S258)),"Iran",
ISNUMBER(SEARCH("Congo DR",S258)),"Democratic Republic of the Congo",
ISNUMBER(SEARCH("DR Congo",S258)),"Democratic Republic of the Congo",
ISNUMBER(SEARCH("German DR",S258)),"DR Germany",
ISNUMBER(SEARCH("rn""&gt;United Arab Emirates",S258)),"United Arab Emirates",
ISNUMBER(SEARCH("rn""&gt;Republic of Ireland",S258)),"Ireland",
ISNUMBER(SEARCH("rn""&gt;Bosnia and Herzegovina",S258)),"Bosnia and Herzegovina",
ISNUMBER(SEARCH("rn""&gt;Trinidad and Tobago",S258)),"Trinidad and Tobago",
ISNUMBER(SEARCH("rn""&gt;Serbia and Montenegro",S258)),"Serbia and Montenegro",
ISNUMBER(SEARCH(_xlfn.UNICHAR(65533),S258)),"Côte d'Ivoire",
TRUE,""
)</f>
        <v/>
      </c>
      <c r="W258" s="30" t="str">
        <f t="shared" si="25"/>
        <v>Uruguay</v>
      </c>
      <c r="Z258" s="40" t="str">
        <v>Jalisco</v>
      </c>
      <c r="AA258" s="40" t="str" cm="1">
        <f t="array" ref="AA258">IFERROR(_xlfn.XLOOKUP(Z258,_xlfn.ANCHORARRAY(Z$31),AA$31:AA$37),Z258)</f>
        <v>Jalisco</v>
      </c>
      <c r="AB258" s="42" t="str">
        <v xml:space="preserve">Guadalajara </v>
      </c>
      <c r="AC258" s="89" t="str">
        <f t="shared" si="28"/>
        <v xml:space="preserve">Guadalajara </v>
      </c>
      <c r="AE258" s="42">
        <v>1966</v>
      </c>
      <c r="AK258" s="42">
        <v>2</v>
      </c>
      <c r="AL258" s="42">
        <v>0</v>
      </c>
      <c r="AV258" s="37" t="str">
        <v>ROUND_OF_16</v>
      </c>
      <c r="AW258" s="89" t="str">
        <v>GROUP_STAGE</v>
      </c>
      <c r="BE258" s="43" t="str">
        <f>IF(OR(DATA_CLEANED!AL249="",DATA_CLEANED!AM249=""),"MANQUANT",IF(OR(NOT(ISNUMBER(DATA_CLEANED!AL249)),NOT(ISNUMBER(DATA_CLEANED!AM249))),"ENTREE INVALIDE",IF(OR(DATA_CLEANED!AL249&lt;0,DATA_CLEANED!AM249&lt;0),"SCORE NEGATIF","OK")))</f>
        <v>OK</v>
      </c>
      <c r="BF258" s="43" t="str">
        <f>IF(DATA_CLEANED!AK249&lt;&gt;DATA_CLEANED!AN249,"OK","ERREUR")</f>
        <v>OK</v>
      </c>
      <c r="BG258" s="43" t="str">
        <f>IF(DATA_CLEANED!AL249&gt;DATA_CLEANED!AM249,DATA_CLEANED!AK249,IF(AND(DATA_QUALITE!W4735="-",DATA_CLEANED!AM249=DATA_CLEANED!AL249),"MATCH NUL",IF(AND(DATA_QUALITE!V4735="-",DATA_QUALITE!U4735="AUCUNE"),DATA_QUALITE!T4735,IF(DATA_QUALITE!V4735&lt;&gt;"-",DATA_QUALITE!V4735,DATA_CLEANED!AN249))))</f>
        <v>Poland</v>
      </c>
      <c r="BH258" s="103" t="str">
        <f>IF(AND(BG258="MATCH NUL",DATA_CLEANED!AO249="-"),"MATCH_NUL",IF(ISNUMBER(SEARCH("win on penalties",W4735)),"WIN_BY_PENALTY",IF(ISNUMBER(SEARCH("win after extra time",W4735)),"WIN_BY_EXTRA_TIME",IF(ISNUMBER(SEARCH("Golden Goal",W4735)),"WIN_BY_GOLDEN_GOAL","WIN_BY_SCORE"))))</f>
        <v>WIN_BY_SCORE</v>
      </c>
      <c r="BI258" s="99" t="str">
        <f>IF(OR(BG258=DATA_CLEANED!AK249,BG258=DATA_CLEANED!AN249,BG258="MATCH NUL"),"OK","ERREUR")</f>
        <v>OK</v>
      </c>
    </row>
    <row r="259" spans="2:61">
      <c r="B259" s="74">
        <v>2006</v>
      </c>
      <c r="C259" s="30" t="str">
        <v>Final</v>
      </c>
      <c r="D259" s="30" t="str">
        <v>Italy</v>
      </c>
      <c r="E259" s="30" t="str">
        <v>France</v>
      </c>
      <c r="F259" s="30" t="str">
        <v>France</v>
      </c>
      <c r="G259" s="30" t="str">
        <v>Sylvain Wiltord</v>
      </c>
      <c r="H259" s="30" t="str">
        <v>Gianluigi Buffon</v>
      </c>
      <c r="I259" s="30">
        <v>2</v>
      </c>
      <c r="J259" s="30">
        <v>1</v>
      </c>
      <c r="K259" s="30" t="str">
        <v>'1-0</v>
      </c>
      <c r="L259" s="30" t="str">
        <v>No</v>
      </c>
      <c r="M259" s="30" t="str">
        <v>No</v>
      </c>
      <c r="N259" s="30" t="str">
        <v>Goal</v>
      </c>
      <c r="O259" s="30" t="str">
        <f t="shared" si="26"/>
        <v>2006|Final|Italy|France|France|Sylvain Wiltord|Gianluigi Buffon|2|1|'1-0|No|No|Goal</v>
      </c>
      <c r="P259" s="96" t="str">
        <f>IF(COUNTIF($G$32:O259,O259)&gt;1,"DOUBLON","OK")</f>
        <v>OK</v>
      </c>
      <c r="S259" s="30" t="str">
        <v>Uruguay</v>
      </c>
      <c r="T259" s="30" t="str">
        <f t="shared" si="29"/>
        <v>OK</v>
      </c>
      <c r="U259" s="30" t="str">
        <f t="shared" si="30"/>
        <v>-</v>
      </c>
      <c r="V259" s="30" t="str" cm="1">
        <f t="array" ref="V259">_xlfn.IFS(
ISNUMBER(SEARCH("USA",S259)),"United States",
ISNUMBER(SEARCH("Republic of Korea",S259)),"South Korea",
ISNUMBER(SEARCH("Cape Verde",S259)),"Cabo Verde",
ISNUMBER(SEARCH("Czechia",S259)),"Czech Republic",
ISNUMBER(SEARCH("Türkiye",S259)),"Turkey",
ISNUMBER(SEARCH("Ivory Coast",S259)),"Côte d'Ivoire",
ISNUMBER(SEARCH("Korea Republic",S259)),"South Korea",
ISNUMBER(SEARCH("Germany FR",S259)),"FR Germany",
ISNUMBER(SEARCH("West Germany",S259)),"FR Germany",
ISNUMBER(SEARCH("Germany DR",S259)),"DR Germany",
ISNUMBER(SEARCH("Korea DPR",S259)),"North Korea",
ISNUMBER(SEARCH("China PR",S259)),"China",
ISNUMBER(SEARCH("IR Iran",S259)),"Iran",
ISNUMBER(SEARCH("Congo DR",S259)),"Democratic Republic of the Congo",
ISNUMBER(SEARCH("DR Congo",S259)),"Democratic Republic of the Congo",
ISNUMBER(SEARCH("German DR",S259)),"DR Germany",
ISNUMBER(SEARCH("rn""&gt;United Arab Emirates",S259)),"United Arab Emirates",
ISNUMBER(SEARCH("rn""&gt;Republic of Ireland",S259)),"Ireland",
ISNUMBER(SEARCH("rn""&gt;Bosnia and Herzegovina",S259)),"Bosnia and Herzegovina",
ISNUMBER(SEARCH("rn""&gt;Trinidad and Tobago",S259)),"Trinidad and Tobago",
ISNUMBER(SEARCH("rn""&gt;Serbia and Montenegro",S259)),"Serbia and Montenegro",
ISNUMBER(SEARCH(_xlfn.UNICHAR(65533),S259)),"Côte d'Ivoire",
TRUE,""
)</f>
        <v/>
      </c>
      <c r="W259" s="30" t="str">
        <f t="shared" si="25"/>
        <v>Uruguay</v>
      </c>
      <c r="Z259" s="40" t="str">
        <v>Estadio Azteca</v>
      </c>
      <c r="AA259" s="40" t="str" cm="1">
        <f t="array" ref="AA259">IFERROR(_xlfn.XLOOKUP(Z259,_xlfn.ANCHORARRAY(Z$31),AA$31:AA$37),Z259)</f>
        <v>Estadio Azteca</v>
      </c>
      <c r="AB259" s="42" t="str">
        <v xml:space="preserve">Mexico City </v>
      </c>
      <c r="AC259" s="89" t="str">
        <f t="shared" si="28"/>
        <v xml:space="preserve">Mexico City </v>
      </c>
      <c r="AE259" s="42">
        <v>1966</v>
      </c>
      <c r="AK259" s="42">
        <v>2</v>
      </c>
      <c r="AL259" s="42">
        <v>1</v>
      </c>
      <c r="AV259" s="37" t="str">
        <v>ROUND_OF_16</v>
      </c>
      <c r="AW259" s="89" t="str">
        <v>GROUP_STAGE</v>
      </c>
      <c r="BE259" s="43" t="str">
        <f>IF(OR(DATA_CLEANED!AL250="",DATA_CLEANED!AM250=""),"MANQUANT",IF(OR(NOT(ISNUMBER(DATA_CLEANED!AL250)),NOT(ISNUMBER(DATA_CLEANED!AM250))),"ENTREE INVALIDE",IF(OR(DATA_CLEANED!AL250&lt;0,DATA_CLEANED!AM250&lt;0),"SCORE NEGATIF","OK")))</f>
        <v>OK</v>
      </c>
      <c r="BF259" s="43" t="str">
        <f>IF(DATA_CLEANED!AK250&lt;&gt;DATA_CLEANED!AN250,"OK","ERREUR")</f>
        <v>OK</v>
      </c>
      <c r="BG259" s="43" t="str">
        <f>IF(DATA_CLEANED!AL250&gt;DATA_CLEANED!AM250,DATA_CLEANED!AK250,IF(AND(DATA_QUALITE!W4736="-",DATA_CLEANED!AM250=DATA_CLEANED!AL250),"MATCH NUL",IF(AND(DATA_QUALITE!V4736="-",DATA_QUALITE!U4736="AUCUNE"),DATA_QUALITE!T4736,IF(DATA_QUALITE!V4736&lt;&gt;"-",DATA_QUALITE!V4736,DATA_CLEANED!AN250))))</f>
        <v>MATCH NUL</v>
      </c>
      <c r="BH259" s="103" t="str">
        <f>IF(AND(BG259="MATCH NUL",DATA_CLEANED!AO250="-"),"MATCH_NUL",IF(ISNUMBER(SEARCH("win on penalties",W4736)),"WIN_BY_PENALTY",IF(ISNUMBER(SEARCH("win after extra time",W4736)),"WIN_BY_EXTRA_TIME",IF(ISNUMBER(SEARCH("Golden Goal",W4736)),"WIN_BY_GOLDEN_GOAL","WIN_BY_SCORE"))))</f>
        <v>MATCH_NUL</v>
      </c>
      <c r="BI259" s="99" t="str">
        <f>IF(OR(BG259=DATA_CLEANED!AK250,BG259=DATA_CLEANED!AN250,BG259="MATCH NUL"),"OK","ERREUR")</f>
        <v>OK</v>
      </c>
    </row>
    <row r="260" spans="2:61">
      <c r="B260" s="74">
        <v>2006</v>
      </c>
      <c r="C260" s="30" t="str">
        <v>Final</v>
      </c>
      <c r="D260" s="30" t="str">
        <v>Italy</v>
      </c>
      <c r="E260" s="30" t="str">
        <v>France</v>
      </c>
      <c r="F260" s="30" t="str">
        <v>Italy</v>
      </c>
      <c r="G260" s="30" t="str">
        <v>Marco Materazzi</v>
      </c>
      <c r="H260" s="30" t="str">
        <v>Fabien Barthez</v>
      </c>
      <c r="I260" s="30">
        <v>3</v>
      </c>
      <c r="J260" s="30">
        <v>2</v>
      </c>
      <c r="K260" s="30" t="str">
        <v>'1-1</v>
      </c>
      <c r="L260" s="30" t="str">
        <v>No</v>
      </c>
      <c r="M260" s="30" t="str">
        <v>No</v>
      </c>
      <c r="N260" s="30" t="str">
        <v>Goal</v>
      </c>
      <c r="O260" s="30" t="str">
        <f t="shared" si="26"/>
        <v>2006|Final|Italy|France|Italy|Marco Materazzi|Fabien Barthez|3|2|'1-1|No|No|Goal</v>
      </c>
      <c r="P260" s="96" t="str">
        <f>IF(COUNTIF($G$32:O260,O260)&gt;1,"DOUBLON","OK")</f>
        <v>OK</v>
      </c>
      <c r="S260" s="30" t="str">
        <v>Uruguay</v>
      </c>
      <c r="T260" s="30" t="str">
        <f t="shared" si="29"/>
        <v>OK</v>
      </c>
      <c r="U260" s="30" t="str">
        <f t="shared" si="30"/>
        <v>-</v>
      </c>
      <c r="V260" s="30" t="str" cm="1">
        <f t="array" ref="V260">_xlfn.IFS(
ISNUMBER(SEARCH("USA",S260)),"United States",
ISNUMBER(SEARCH("Republic of Korea",S260)),"South Korea",
ISNUMBER(SEARCH("Cape Verde",S260)),"Cabo Verde",
ISNUMBER(SEARCH("Czechia",S260)),"Czech Republic",
ISNUMBER(SEARCH("Türkiye",S260)),"Turkey",
ISNUMBER(SEARCH("Ivory Coast",S260)),"Côte d'Ivoire",
ISNUMBER(SEARCH("Korea Republic",S260)),"South Korea",
ISNUMBER(SEARCH("Germany FR",S260)),"FR Germany",
ISNUMBER(SEARCH("West Germany",S260)),"FR Germany",
ISNUMBER(SEARCH("Germany DR",S260)),"DR Germany",
ISNUMBER(SEARCH("Korea DPR",S260)),"North Korea",
ISNUMBER(SEARCH("China PR",S260)),"China",
ISNUMBER(SEARCH("IR Iran",S260)),"Iran",
ISNUMBER(SEARCH("Congo DR",S260)),"Democratic Republic of the Congo",
ISNUMBER(SEARCH("DR Congo",S260)),"Democratic Republic of the Congo",
ISNUMBER(SEARCH("German DR",S260)),"DR Germany",
ISNUMBER(SEARCH("rn""&gt;United Arab Emirates",S260)),"United Arab Emirates",
ISNUMBER(SEARCH("rn""&gt;Republic of Ireland",S260)),"Ireland",
ISNUMBER(SEARCH("rn""&gt;Bosnia and Herzegovina",S260)),"Bosnia and Herzegovina",
ISNUMBER(SEARCH("rn""&gt;Trinidad and Tobago",S260)),"Trinidad and Tobago",
ISNUMBER(SEARCH("rn""&gt;Serbia and Montenegro",S260)),"Serbia and Montenegro",
ISNUMBER(SEARCH(_xlfn.UNICHAR(65533),S260)),"Côte d'Ivoire",
TRUE,""
)</f>
        <v/>
      </c>
      <c r="W260" s="30" t="str">
        <f t="shared" si="25"/>
        <v>Uruguay</v>
      </c>
      <c r="Z260" s="40" t="str">
        <v>Luis Dosal</v>
      </c>
      <c r="AA260" s="40" t="str" cm="1">
        <f t="array" ref="AA260">IFERROR(_xlfn.XLOOKUP(Z260,_xlfn.ANCHORARRAY(Z$31),AA$31:AA$37),Z260)</f>
        <v>Luis Dosal</v>
      </c>
      <c r="AB260" s="42" t="str">
        <v xml:space="preserve">Toluca </v>
      </c>
      <c r="AC260" s="89" t="str">
        <f t="shared" si="28"/>
        <v xml:space="preserve">Toluca </v>
      </c>
      <c r="AE260" s="42">
        <v>1966</v>
      </c>
      <c r="AK260" s="42">
        <v>2</v>
      </c>
      <c r="AL260" s="42">
        <v>1</v>
      </c>
      <c r="AV260" s="37" t="str">
        <v>ROUND_OF_16</v>
      </c>
      <c r="AW260" s="89" t="str">
        <v>GROUP_STAGE</v>
      </c>
      <c r="BE260" s="43" t="str">
        <f>IF(OR(DATA_CLEANED!AL251="",DATA_CLEANED!AM251=""),"MANQUANT",IF(OR(NOT(ISNUMBER(DATA_CLEANED!AL251)),NOT(ISNUMBER(DATA_CLEANED!AM251))),"ENTREE INVALIDE",IF(OR(DATA_CLEANED!AL251&lt;0,DATA_CLEANED!AM251&lt;0),"SCORE NEGATIF","OK")))</f>
        <v>OK</v>
      </c>
      <c r="BF260" s="43" t="str">
        <f>IF(DATA_CLEANED!AK251&lt;&gt;DATA_CLEANED!AN251,"OK","ERREUR")</f>
        <v>OK</v>
      </c>
      <c r="BG260" s="43" t="str">
        <f>IF(DATA_CLEANED!AL251&gt;DATA_CLEANED!AM251,DATA_CLEANED!AK251,IF(AND(DATA_QUALITE!W4737="-",DATA_CLEANED!AM251=DATA_CLEANED!AL251),"MATCH NUL",IF(AND(DATA_QUALITE!V4737="-",DATA_QUALITE!U4737="AUCUNE"),DATA_QUALITE!T4737,IF(DATA_QUALITE!V4737&lt;&gt;"-",DATA_QUALITE!V4737,DATA_CLEANED!AN251))))</f>
        <v>MATCH NUL</v>
      </c>
      <c r="BH260" s="103" t="str">
        <f>IF(AND(BG260="MATCH NUL",DATA_CLEANED!AO251="-"),"MATCH_NUL",IF(ISNUMBER(SEARCH("win on penalties",W4737)),"WIN_BY_PENALTY",IF(ISNUMBER(SEARCH("win after extra time",W4737)),"WIN_BY_EXTRA_TIME",IF(ISNUMBER(SEARCH("Golden Goal",W4737)),"WIN_BY_GOLDEN_GOAL","WIN_BY_SCORE"))))</f>
        <v>MATCH_NUL</v>
      </c>
      <c r="BI260" s="99" t="str">
        <f>IF(OR(BG260=DATA_CLEANED!AK251,BG260=DATA_CLEANED!AN251,BG260="MATCH NUL"),"OK","ERREUR")</f>
        <v>OK</v>
      </c>
    </row>
    <row r="261" spans="2:61">
      <c r="B261" s="74">
        <v>2006</v>
      </c>
      <c r="C261" s="30" t="str">
        <v>Final</v>
      </c>
      <c r="D261" s="30" t="str">
        <v>Italy</v>
      </c>
      <c r="E261" s="30" t="str">
        <v>France</v>
      </c>
      <c r="F261" s="30" t="str">
        <v>France</v>
      </c>
      <c r="G261" s="30" t="str">
        <v>David Trezeguet</v>
      </c>
      <c r="H261" s="30" t="str">
        <v>Gianluigi Buffon</v>
      </c>
      <c r="I261" s="30">
        <v>4</v>
      </c>
      <c r="J261" s="30">
        <v>2</v>
      </c>
      <c r="K261" s="30" t="str">
        <v>'1-2</v>
      </c>
      <c r="L261" s="30" t="str">
        <v>No</v>
      </c>
      <c r="M261" s="30" t="str">
        <v>No</v>
      </c>
      <c r="N261" s="30" t="str">
        <v>Missed</v>
      </c>
      <c r="O261" s="30" t="str">
        <f t="shared" si="26"/>
        <v>2006|Final|Italy|France|France|David Trezeguet|Gianluigi Buffon|4|2|'1-2|No|No|Missed</v>
      </c>
      <c r="P261" s="96" t="str">
        <f>IF(COUNTIF($G$32:O261,O261)&gt;1,"DOUBLON","OK")</f>
        <v>OK</v>
      </c>
      <c r="S261" s="30" t="str">
        <v>Uruguay</v>
      </c>
      <c r="T261" s="30" t="str">
        <f t="shared" si="29"/>
        <v>OK</v>
      </c>
      <c r="U261" s="30" t="str">
        <f t="shared" si="30"/>
        <v>-</v>
      </c>
      <c r="V261" s="30" t="str" cm="1">
        <f t="array" ref="V261">_xlfn.IFS(
ISNUMBER(SEARCH("USA",S261)),"United States",
ISNUMBER(SEARCH("Republic of Korea",S261)),"South Korea",
ISNUMBER(SEARCH("Cape Verde",S261)),"Cabo Verde",
ISNUMBER(SEARCH("Czechia",S261)),"Czech Republic",
ISNUMBER(SEARCH("Türkiye",S261)),"Turkey",
ISNUMBER(SEARCH("Ivory Coast",S261)),"Côte d'Ivoire",
ISNUMBER(SEARCH("Korea Republic",S261)),"South Korea",
ISNUMBER(SEARCH("Germany FR",S261)),"FR Germany",
ISNUMBER(SEARCH("West Germany",S261)),"FR Germany",
ISNUMBER(SEARCH("Germany DR",S261)),"DR Germany",
ISNUMBER(SEARCH("Korea DPR",S261)),"North Korea",
ISNUMBER(SEARCH("China PR",S261)),"China",
ISNUMBER(SEARCH("IR Iran",S261)),"Iran",
ISNUMBER(SEARCH("Congo DR",S261)),"Democratic Republic of the Congo",
ISNUMBER(SEARCH("DR Congo",S261)),"Democratic Republic of the Congo",
ISNUMBER(SEARCH("German DR",S261)),"DR Germany",
ISNUMBER(SEARCH("rn""&gt;United Arab Emirates",S261)),"United Arab Emirates",
ISNUMBER(SEARCH("rn""&gt;Republic of Ireland",S261)),"Ireland",
ISNUMBER(SEARCH("rn""&gt;Bosnia and Herzegovina",S261)),"Bosnia and Herzegovina",
ISNUMBER(SEARCH("rn""&gt;Trinidad and Tobago",S261)),"Trinidad and Tobago",
ISNUMBER(SEARCH("rn""&gt;Serbia and Montenegro",S261)),"Serbia and Montenegro",
ISNUMBER(SEARCH(_xlfn.UNICHAR(65533),S261)),"Côte d'Ivoire",
TRUE,""
)</f>
        <v/>
      </c>
      <c r="W261" s="30" t="str">
        <f t="shared" si="25"/>
        <v>Uruguay</v>
      </c>
      <c r="Z261" s="40" t="str">
        <v>Nou Camp - Estadio Le�n</v>
      </c>
      <c r="AA261" s="40" t="str" cm="1">
        <f t="array" ref="AA261">IFERROR(_xlfn.XLOOKUP(Z261,_xlfn.ANCHORARRAY(Z$31),AA$31:AA$37),Z261)</f>
        <v>Nou Camp - Estadio León</v>
      </c>
      <c r="AB261" s="42" t="str">
        <v xml:space="preserve">Leon </v>
      </c>
      <c r="AC261" s="89" t="str">
        <f t="shared" si="28"/>
        <v xml:space="preserve">Leon </v>
      </c>
      <c r="AE261" s="42">
        <v>1966</v>
      </c>
      <c r="AK261" s="42">
        <v>3</v>
      </c>
      <c r="AL261" s="42">
        <v>1</v>
      </c>
      <c r="AV261" s="37" t="str">
        <v>ROUND_OF_16</v>
      </c>
      <c r="AW261" s="89" t="str">
        <v>GROUP_STAGE</v>
      </c>
      <c r="BE261" s="43" t="str">
        <f>IF(OR(DATA_CLEANED!AL252="",DATA_CLEANED!AM252=""),"MANQUANT",IF(OR(NOT(ISNUMBER(DATA_CLEANED!AL252)),NOT(ISNUMBER(DATA_CLEANED!AM252))),"ENTREE INVALIDE",IF(OR(DATA_CLEANED!AL252&lt;0,DATA_CLEANED!AM252&lt;0),"SCORE NEGATIF","OK")))</f>
        <v>OK</v>
      </c>
      <c r="BF261" s="43" t="str">
        <f>IF(DATA_CLEANED!AK252&lt;&gt;DATA_CLEANED!AN252,"OK","ERREUR")</f>
        <v>OK</v>
      </c>
      <c r="BG261" s="43" t="str">
        <f>IF(DATA_CLEANED!AL252&gt;DATA_CLEANED!AM252,DATA_CLEANED!AK252,IF(AND(DATA_QUALITE!W4738="-",DATA_CLEANED!AM252=DATA_CLEANED!AL252),"MATCH NUL",IF(AND(DATA_QUALITE!V4738="-",DATA_QUALITE!U4738="AUCUNE"),DATA_QUALITE!T4738,IF(DATA_QUALITE!V4738&lt;&gt;"-",DATA_QUALITE!V4738,DATA_CLEANED!AN252))))</f>
        <v>MATCH NUL</v>
      </c>
      <c r="BH261" s="103" t="str">
        <f>IF(AND(BG261="MATCH NUL",DATA_CLEANED!AO252="-"),"MATCH_NUL",IF(ISNUMBER(SEARCH("win on penalties",W4738)),"WIN_BY_PENALTY",IF(ISNUMBER(SEARCH("win after extra time",W4738)),"WIN_BY_EXTRA_TIME",IF(ISNUMBER(SEARCH("Golden Goal",W4738)),"WIN_BY_GOLDEN_GOAL","WIN_BY_SCORE"))))</f>
        <v>MATCH_NUL</v>
      </c>
      <c r="BI261" s="99" t="str">
        <f>IF(OR(BG261=DATA_CLEANED!AK252,BG261=DATA_CLEANED!AN252,BG261="MATCH NUL"),"OK","ERREUR")</f>
        <v>OK</v>
      </c>
    </row>
    <row r="262" spans="2:61">
      <c r="B262" s="74">
        <v>2006</v>
      </c>
      <c r="C262" s="30" t="str">
        <v>Final</v>
      </c>
      <c r="D262" s="30" t="str">
        <v>Italy</v>
      </c>
      <c r="E262" s="30" t="str">
        <v>France</v>
      </c>
      <c r="F262" s="30" t="str">
        <v>Italy</v>
      </c>
      <c r="G262" s="30" t="str">
        <v>Daniele De Rossi</v>
      </c>
      <c r="H262" s="30" t="str">
        <v>Fabien Barthez</v>
      </c>
      <c r="I262" s="30">
        <v>5</v>
      </c>
      <c r="J262" s="30">
        <v>3</v>
      </c>
      <c r="K262" s="30" t="str">
        <v>'1-2</v>
      </c>
      <c r="L262" s="30" t="str">
        <v>No</v>
      </c>
      <c r="M262" s="30" t="str">
        <v>No</v>
      </c>
      <c r="N262" s="30" t="str">
        <v>Goal</v>
      </c>
      <c r="O262" s="30" t="str">
        <f t="shared" si="26"/>
        <v>2006|Final|Italy|France|Italy|Daniele De Rossi|Fabien Barthez|5|3|'1-2|No|No|Goal</v>
      </c>
      <c r="P262" s="96" t="str">
        <f>IF(COUNTIF($G$32:O262,O262)&gt;1,"DOUBLON","OK")</f>
        <v>OK</v>
      </c>
      <c r="S262" s="30" t="str">
        <v>Uruguay</v>
      </c>
      <c r="T262" s="30" t="str">
        <f t="shared" si="29"/>
        <v>OK</v>
      </c>
      <c r="U262" s="30" t="str">
        <f t="shared" si="30"/>
        <v>-</v>
      </c>
      <c r="V262" s="30" t="str" cm="1">
        <f t="array" ref="V262">_xlfn.IFS(
ISNUMBER(SEARCH("USA",S262)),"United States",
ISNUMBER(SEARCH("Republic of Korea",S262)),"South Korea",
ISNUMBER(SEARCH("Cape Verde",S262)),"Cabo Verde",
ISNUMBER(SEARCH("Czechia",S262)),"Czech Republic",
ISNUMBER(SEARCH("Türkiye",S262)),"Turkey",
ISNUMBER(SEARCH("Ivory Coast",S262)),"Côte d'Ivoire",
ISNUMBER(SEARCH("Korea Republic",S262)),"South Korea",
ISNUMBER(SEARCH("Germany FR",S262)),"FR Germany",
ISNUMBER(SEARCH("West Germany",S262)),"FR Germany",
ISNUMBER(SEARCH("Germany DR",S262)),"DR Germany",
ISNUMBER(SEARCH("Korea DPR",S262)),"North Korea",
ISNUMBER(SEARCH("China PR",S262)),"China",
ISNUMBER(SEARCH("IR Iran",S262)),"Iran",
ISNUMBER(SEARCH("Congo DR",S262)),"Democratic Republic of the Congo",
ISNUMBER(SEARCH("DR Congo",S262)),"Democratic Republic of the Congo",
ISNUMBER(SEARCH("German DR",S262)),"DR Germany",
ISNUMBER(SEARCH("rn""&gt;United Arab Emirates",S262)),"United Arab Emirates",
ISNUMBER(SEARCH("rn""&gt;Republic of Ireland",S262)),"Ireland",
ISNUMBER(SEARCH("rn""&gt;Bosnia and Herzegovina",S262)),"Bosnia and Herzegovina",
ISNUMBER(SEARCH("rn""&gt;Trinidad and Tobago",S262)),"Trinidad and Tobago",
ISNUMBER(SEARCH("rn""&gt;Serbia and Montenegro",S262)),"Serbia and Montenegro",
ISNUMBER(SEARCH(_xlfn.UNICHAR(65533),S262)),"Côte d'Ivoire",
TRUE,""
)</f>
        <v/>
      </c>
      <c r="W262" s="30" t="str">
        <f t="shared" si="25"/>
        <v>Uruguay</v>
      </c>
      <c r="Z262" s="40" t="str">
        <v>Jalisco</v>
      </c>
      <c r="AA262" s="40" t="str" cm="1">
        <f t="array" ref="AA262">IFERROR(_xlfn.XLOOKUP(Z262,_xlfn.ANCHORARRAY(Z$31),AA$31:AA$37),Z262)</f>
        <v>Jalisco</v>
      </c>
      <c r="AB262" s="42" t="str">
        <v xml:space="preserve">Guadalajara </v>
      </c>
      <c r="AC262" s="89" t="str">
        <f t="shared" si="28"/>
        <v xml:space="preserve">Guadalajara </v>
      </c>
      <c r="AE262" s="42">
        <v>1966</v>
      </c>
      <c r="AK262" s="42">
        <v>1</v>
      </c>
      <c r="AL262" s="42">
        <v>1</v>
      </c>
      <c r="AV262" s="37" t="str">
        <v>ROUND_OF_16</v>
      </c>
      <c r="AW262" s="89" t="str">
        <v>GROUP_STAGE</v>
      </c>
      <c r="BE262" s="43" t="str">
        <f>IF(OR(DATA_CLEANED!AL253="",DATA_CLEANED!AM253=""),"MANQUANT",IF(OR(NOT(ISNUMBER(DATA_CLEANED!AL253)),NOT(ISNUMBER(DATA_CLEANED!AM253))),"ENTREE INVALIDE",IF(OR(DATA_CLEANED!AL253&lt;0,DATA_CLEANED!AM253&lt;0),"SCORE NEGATIF","OK")))</f>
        <v>OK</v>
      </c>
      <c r="BF262" s="43" t="str">
        <f>IF(DATA_CLEANED!AK253&lt;&gt;DATA_CLEANED!AN253,"OK","ERREUR")</f>
        <v>OK</v>
      </c>
      <c r="BG262" s="43" t="str">
        <f>IF(DATA_CLEANED!AL253&gt;DATA_CLEANED!AM253,DATA_CLEANED!AK253,IF(AND(DATA_QUALITE!W4739="-",DATA_CLEANED!AM253=DATA_CLEANED!AL253),"MATCH NUL",IF(AND(DATA_QUALITE!V4739="-",DATA_QUALITE!U4739="AUCUNE"),DATA_QUALITE!T4739,IF(DATA_QUALITE!V4739&lt;&gt;"-",DATA_QUALITE!V4739,DATA_CLEANED!AN253))))</f>
        <v>Brazil</v>
      </c>
      <c r="BH262" s="103" t="str">
        <f>IF(AND(BG262="MATCH NUL",DATA_CLEANED!AO253="-"),"MATCH_NUL",IF(ISNUMBER(SEARCH("win on penalties",W4739)),"WIN_BY_PENALTY",IF(ISNUMBER(SEARCH("win after extra time",W4739)),"WIN_BY_EXTRA_TIME",IF(ISNUMBER(SEARCH("Golden Goal",W4739)),"WIN_BY_GOLDEN_GOAL","WIN_BY_SCORE"))))</f>
        <v>WIN_BY_SCORE</v>
      </c>
      <c r="BI262" s="99" t="str">
        <f>IF(OR(BG262=DATA_CLEANED!AK253,BG262=DATA_CLEANED!AN253,BG262="MATCH NUL"),"OK","ERREUR")</f>
        <v>OK</v>
      </c>
    </row>
    <row r="263" spans="2:61">
      <c r="B263" s="74">
        <v>2006</v>
      </c>
      <c r="C263" s="30" t="str">
        <v>Final</v>
      </c>
      <c r="D263" s="30" t="str">
        <v>Italy</v>
      </c>
      <c r="E263" s="30" t="str">
        <v>France</v>
      </c>
      <c r="F263" s="30" t="str">
        <v>France</v>
      </c>
      <c r="G263" s="30" t="str">
        <v>Éric Abidal</v>
      </c>
      <c r="H263" s="30" t="str">
        <v>Gianluigi Buffon</v>
      </c>
      <c r="I263" s="30">
        <v>6</v>
      </c>
      <c r="J263" s="30">
        <v>3</v>
      </c>
      <c r="K263" s="30" t="str">
        <v>'1-3</v>
      </c>
      <c r="L263" s="30" t="str">
        <v>No</v>
      </c>
      <c r="M263" s="30" t="str">
        <v>No</v>
      </c>
      <c r="N263" s="30" t="str">
        <v>Goal</v>
      </c>
      <c r="O263" s="30" t="str">
        <f t="shared" si="26"/>
        <v>2006|Final|Italy|France|France|Éric Abidal|Gianluigi Buffon|6|3|'1-3|No|No|Goal</v>
      </c>
      <c r="P263" s="96" t="str">
        <f>IF(COUNTIF($G$32:O263,O263)&gt;1,"DOUBLON","OK")</f>
        <v>OK</v>
      </c>
      <c r="S263" s="30" t="str">
        <v>Uruguay</v>
      </c>
      <c r="T263" s="30" t="str">
        <f t="shared" si="29"/>
        <v>OK</v>
      </c>
      <c r="U263" s="30" t="str">
        <f t="shared" si="30"/>
        <v>-</v>
      </c>
      <c r="V263" s="30" t="str" cm="1">
        <f t="array" ref="V263">_xlfn.IFS(
ISNUMBER(SEARCH("USA",S263)),"United States",
ISNUMBER(SEARCH("Republic of Korea",S263)),"South Korea",
ISNUMBER(SEARCH("Cape Verde",S263)),"Cabo Verde",
ISNUMBER(SEARCH("Czechia",S263)),"Czech Republic",
ISNUMBER(SEARCH("Türkiye",S263)),"Turkey",
ISNUMBER(SEARCH("Ivory Coast",S263)),"Côte d'Ivoire",
ISNUMBER(SEARCH("Korea Republic",S263)),"South Korea",
ISNUMBER(SEARCH("Germany FR",S263)),"FR Germany",
ISNUMBER(SEARCH("West Germany",S263)),"FR Germany",
ISNUMBER(SEARCH("Germany DR",S263)),"DR Germany",
ISNUMBER(SEARCH("Korea DPR",S263)),"North Korea",
ISNUMBER(SEARCH("China PR",S263)),"China",
ISNUMBER(SEARCH("IR Iran",S263)),"Iran",
ISNUMBER(SEARCH("Congo DR",S263)),"Democratic Republic of the Congo",
ISNUMBER(SEARCH("DR Congo",S263)),"Democratic Republic of the Congo",
ISNUMBER(SEARCH("German DR",S263)),"DR Germany",
ISNUMBER(SEARCH("rn""&gt;United Arab Emirates",S263)),"United Arab Emirates",
ISNUMBER(SEARCH("rn""&gt;Republic of Ireland",S263)),"Ireland",
ISNUMBER(SEARCH("rn""&gt;Bosnia and Herzegovina",S263)),"Bosnia and Herzegovina",
ISNUMBER(SEARCH("rn""&gt;Trinidad and Tobago",S263)),"Trinidad and Tobago",
ISNUMBER(SEARCH("rn""&gt;Serbia and Montenegro",S263)),"Serbia and Montenegro",
ISNUMBER(SEARCH(_xlfn.UNICHAR(65533),S263)),"Côte d'Ivoire",
TRUE,""
)</f>
        <v/>
      </c>
      <c r="W263" s="30" t="str">
        <f t="shared" si="25"/>
        <v>Uruguay</v>
      </c>
      <c r="Z263" s="40" t="str">
        <v>Estadio Azteca</v>
      </c>
      <c r="AA263" s="40" t="str" cm="1">
        <f t="array" ref="AA263">IFERROR(_xlfn.XLOOKUP(Z263,_xlfn.ANCHORARRAY(Z$31),AA$31:AA$37),Z263)</f>
        <v>Estadio Azteca</v>
      </c>
      <c r="AB263" s="42" t="str">
        <v xml:space="preserve">Mexico City </v>
      </c>
      <c r="AC263" s="89" t="str">
        <f t="shared" si="28"/>
        <v xml:space="preserve">Mexico City </v>
      </c>
      <c r="AE263" s="42">
        <v>1966</v>
      </c>
      <c r="AK263" s="42">
        <v>3</v>
      </c>
      <c r="AL263" s="42">
        <v>0</v>
      </c>
      <c r="AV263" s="37" t="str">
        <v>ROUND_OF_16</v>
      </c>
      <c r="AW263" s="89" t="str">
        <v>GROUP_STAGE</v>
      </c>
      <c r="BE263" s="43" t="str">
        <f>IF(OR(DATA_CLEANED!AL254="",DATA_CLEANED!AM254=""),"MANQUANT",IF(OR(NOT(ISNUMBER(DATA_CLEANED!AL254)),NOT(ISNUMBER(DATA_CLEANED!AM254))),"ENTREE INVALIDE",IF(OR(DATA_CLEANED!AL254&lt;0,DATA_CLEANED!AM254&lt;0),"SCORE NEGATIF","OK")))</f>
        <v>OK</v>
      </c>
      <c r="BF263" s="43" t="str">
        <f>IF(DATA_CLEANED!AK254&lt;&gt;DATA_CLEANED!AN254,"OK","ERREUR")</f>
        <v>OK</v>
      </c>
      <c r="BG263" s="43" t="str">
        <f>IF(DATA_CLEANED!AL254&gt;DATA_CLEANED!AM254,DATA_CLEANED!AK254,IF(AND(DATA_QUALITE!W4740="-",DATA_CLEANED!AM254=DATA_CLEANED!AL254),"MATCH NUL",IF(AND(DATA_QUALITE!V4740="-",DATA_QUALITE!U4740="AUCUNE"),DATA_QUALITE!T4740,IF(DATA_QUALITE!V4740&lt;&gt;"-",DATA_QUALITE!V4740,DATA_CLEANED!AN254))))</f>
        <v>DR Germany</v>
      </c>
      <c r="BH263" s="103" t="str">
        <f>IF(AND(BG263="MATCH NUL",DATA_CLEANED!AO254="-"),"MATCH_NUL",IF(ISNUMBER(SEARCH("win on penalties",W4740)),"WIN_BY_PENALTY",IF(ISNUMBER(SEARCH("win after extra time",W4740)),"WIN_BY_EXTRA_TIME",IF(ISNUMBER(SEARCH("Golden Goal",W4740)),"WIN_BY_GOLDEN_GOAL","WIN_BY_SCORE"))))</f>
        <v>WIN_BY_SCORE</v>
      </c>
      <c r="BI263" s="99" t="str">
        <f>IF(OR(BG263=DATA_CLEANED!AK254,BG263=DATA_CLEANED!AN254,BG263="MATCH NUL"),"OK","ERREUR")</f>
        <v>OK</v>
      </c>
    </row>
    <row r="264" spans="2:61">
      <c r="B264" s="74">
        <v>2006</v>
      </c>
      <c r="C264" s="30" t="str">
        <v>Final</v>
      </c>
      <c r="D264" s="30" t="str">
        <v>Italy</v>
      </c>
      <c r="E264" s="30" t="str">
        <v>France</v>
      </c>
      <c r="F264" s="30" t="str">
        <v>Italy</v>
      </c>
      <c r="G264" s="30" t="str">
        <v>Alessandro Del Piero</v>
      </c>
      <c r="H264" s="30" t="str">
        <v>Fabien Barthez</v>
      </c>
      <c r="I264" s="30">
        <v>7</v>
      </c>
      <c r="J264" s="30">
        <v>4</v>
      </c>
      <c r="K264" s="30" t="str">
        <v>'2-3</v>
      </c>
      <c r="L264" s="30" t="str">
        <v>No</v>
      </c>
      <c r="M264" s="30" t="str">
        <v>No</v>
      </c>
      <c r="N264" s="30" t="str">
        <v>Goal</v>
      </c>
      <c r="O264" s="30" t="str">
        <f t="shared" si="26"/>
        <v>2006|Final|Italy|France|Italy|Alessandro Del Piero|Fabien Barthez|7|4|'2-3|No|No|Goal</v>
      </c>
      <c r="P264" s="96" t="str">
        <f>IF(COUNTIF($G$32:O264,O264)&gt;1,"DOUBLON","OK")</f>
        <v>OK</v>
      </c>
      <c r="S264" s="30" t="str">
        <v>Uruguay</v>
      </c>
      <c r="T264" s="30" t="str">
        <f t="shared" si="29"/>
        <v>OK</v>
      </c>
      <c r="U264" s="30" t="str">
        <f t="shared" si="30"/>
        <v>-</v>
      </c>
      <c r="V264" s="30" t="str" cm="1">
        <f t="array" ref="V264">_xlfn.IFS(
ISNUMBER(SEARCH("USA",S264)),"United States",
ISNUMBER(SEARCH("Republic of Korea",S264)),"South Korea",
ISNUMBER(SEARCH("Cape Verde",S264)),"Cabo Verde",
ISNUMBER(SEARCH("Czechia",S264)),"Czech Republic",
ISNUMBER(SEARCH("Türkiye",S264)),"Turkey",
ISNUMBER(SEARCH("Ivory Coast",S264)),"Côte d'Ivoire",
ISNUMBER(SEARCH("Korea Republic",S264)),"South Korea",
ISNUMBER(SEARCH("Germany FR",S264)),"FR Germany",
ISNUMBER(SEARCH("West Germany",S264)),"FR Germany",
ISNUMBER(SEARCH("Germany DR",S264)),"DR Germany",
ISNUMBER(SEARCH("Korea DPR",S264)),"North Korea",
ISNUMBER(SEARCH("China PR",S264)),"China",
ISNUMBER(SEARCH("IR Iran",S264)),"Iran",
ISNUMBER(SEARCH("Congo DR",S264)),"Democratic Republic of the Congo",
ISNUMBER(SEARCH("DR Congo",S264)),"Democratic Republic of the Congo",
ISNUMBER(SEARCH("German DR",S264)),"DR Germany",
ISNUMBER(SEARCH("rn""&gt;United Arab Emirates",S264)),"United Arab Emirates",
ISNUMBER(SEARCH("rn""&gt;Republic of Ireland",S264)),"Ireland",
ISNUMBER(SEARCH("rn""&gt;Bosnia and Herzegovina",S264)),"Bosnia and Herzegovina",
ISNUMBER(SEARCH("rn""&gt;Trinidad and Tobago",S264)),"Trinidad and Tobago",
ISNUMBER(SEARCH("rn""&gt;Serbia and Montenegro",S264)),"Serbia and Montenegro",
ISNUMBER(SEARCH(_xlfn.UNICHAR(65533),S264)),"Côte d'Ivoire",
TRUE,""
)</f>
        <v/>
      </c>
      <c r="W264" s="30" t="str">
        <f t="shared" si="25"/>
        <v>Uruguay</v>
      </c>
      <c r="Z264" s="40" t="str">
        <v>Luis Dosal</v>
      </c>
      <c r="AA264" s="40" t="str" cm="1">
        <f t="array" ref="AA264">IFERROR(_xlfn.XLOOKUP(Z264,_xlfn.ANCHORARRAY(Z$31),AA$31:AA$37),Z264)</f>
        <v>Luis Dosal</v>
      </c>
      <c r="AB264" s="42" t="str">
        <v xml:space="preserve">Toluca </v>
      </c>
      <c r="AC264" s="89" t="str">
        <f t="shared" si="28"/>
        <v xml:space="preserve">Toluca </v>
      </c>
      <c r="AE264" s="42">
        <v>1966</v>
      </c>
      <c r="AK264" s="42">
        <v>0</v>
      </c>
      <c r="AL264" s="42">
        <v>0</v>
      </c>
      <c r="AV264" s="37" t="str">
        <v>ROUND_OF_16</v>
      </c>
      <c r="AW264" s="89" t="str">
        <v>GROUP_STAGE</v>
      </c>
      <c r="BE264" s="43" t="str">
        <f>IF(OR(DATA_CLEANED!AL255="",DATA_CLEANED!AM255=""),"MANQUANT",IF(OR(NOT(ISNUMBER(DATA_CLEANED!AL255)),NOT(ISNUMBER(DATA_CLEANED!AM255))),"ENTREE INVALIDE",IF(OR(DATA_CLEANED!AL255&lt;0,DATA_CLEANED!AM255&lt;0),"SCORE NEGATIF","OK")))</f>
        <v>OK</v>
      </c>
      <c r="BF264" s="43" t="str">
        <f>IF(DATA_CLEANED!AK255&lt;&gt;DATA_CLEANED!AN255,"OK","ERREUR")</f>
        <v>OK</v>
      </c>
      <c r="BG264" s="43" t="str">
        <f>IF(DATA_CLEANED!AL255&gt;DATA_CLEANED!AM255,DATA_CLEANED!AK255,IF(AND(DATA_QUALITE!W4741="-",DATA_CLEANED!AM255=DATA_CLEANED!AL255),"MATCH NUL",IF(AND(DATA_QUALITE!V4741="-",DATA_QUALITE!U4741="AUCUNE"),DATA_QUALITE!T4741,IF(DATA_QUALITE!V4741&lt;&gt;"-",DATA_QUALITE!V4741,DATA_CLEANED!AN255))))</f>
        <v>Netherlands</v>
      </c>
      <c r="BH264" s="103" t="str">
        <f>IF(AND(BG264="MATCH NUL",DATA_CLEANED!AO255="-"),"MATCH_NUL",IF(ISNUMBER(SEARCH("win on penalties",W4741)),"WIN_BY_PENALTY",IF(ISNUMBER(SEARCH("win after extra time",W4741)),"WIN_BY_EXTRA_TIME",IF(ISNUMBER(SEARCH("Golden Goal",W4741)),"WIN_BY_GOLDEN_GOAL","WIN_BY_SCORE"))))</f>
        <v>WIN_BY_SCORE</v>
      </c>
      <c r="BI264" s="99" t="str">
        <f>IF(OR(BG264=DATA_CLEANED!AK255,BG264=DATA_CLEANED!AN255,BG264="MATCH NUL"),"OK","ERREUR")</f>
        <v>OK</v>
      </c>
    </row>
    <row r="265" spans="2:61">
      <c r="B265" s="74">
        <v>2006</v>
      </c>
      <c r="C265" s="30" t="str">
        <v>Final</v>
      </c>
      <c r="D265" s="30" t="str">
        <v>Italy</v>
      </c>
      <c r="E265" s="30" t="str">
        <v>France</v>
      </c>
      <c r="F265" s="30" t="str">
        <v>France</v>
      </c>
      <c r="G265" s="30" t="str">
        <v>Willy Sagnol</v>
      </c>
      <c r="H265" s="30" t="str">
        <v>Gianluigi Buffon</v>
      </c>
      <c r="I265" s="30">
        <v>8</v>
      </c>
      <c r="J265" s="30">
        <v>4</v>
      </c>
      <c r="K265" s="30" t="str">
        <v>'2-4</v>
      </c>
      <c r="L265" s="30" t="str">
        <v>No</v>
      </c>
      <c r="M265" s="30" t="str">
        <v>No</v>
      </c>
      <c r="N265" s="30" t="str">
        <v>Goal</v>
      </c>
      <c r="O265" s="30" t="str">
        <f t="shared" si="26"/>
        <v>2006|Final|Italy|France|France|Willy Sagnol|Gianluigi Buffon|8|4|'2-4|No|No|Goal</v>
      </c>
      <c r="P265" s="96" t="str">
        <f>IF(COUNTIF($G$32:O265,O265)&gt;1,"DOUBLON","OK")</f>
        <v>OK</v>
      </c>
      <c r="S265" s="30" t="str">
        <v>Brazil</v>
      </c>
      <c r="T265" s="30" t="str">
        <f t="shared" si="29"/>
        <v>OK</v>
      </c>
      <c r="U265" s="30" t="str">
        <f t="shared" si="30"/>
        <v>-</v>
      </c>
      <c r="V265" s="30" t="str" cm="1">
        <f t="array" ref="V265">_xlfn.IFS(
ISNUMBER(SEARCH("USA",S265)),"United States",
ISNUMBER(SEARCH("Republic of Korea",S265)),"South Korea",
ISNUMBER(SEARCH("Cape Verde",S265)),"Cabo Verde",
ISNUMBER(SEARCH("Czechia",S265)),"Czech Republic",
ISNUMBER(SEARCH("Türkiye",S265)),"Turkey",
ISNUMBER(SEARCH("Ivory Coast",S265)),"Côte d'Ivoire",
ISNUMBER(SEARCH("Korea Republic",S265)),"South Korea",
ISNUMBER(SEARCH("Germany FR",S265)),"FR Germany",
ISNUMBER(SEARCH("West Germany",S265)),"FR Germany",
ISNUMBER(SEARCH("Germany DR",S265)),"DR Germany",
ISNUMBER(SEARCH("Korea DPR",S265)),"North Korea",
ISNUMBER(SEARCH("China PR",S265)),"China",
ISNUMBER(SEARCH("IR Iran",S265)),"Iran",
ISNUMBER(SEARCH("Congo DR",S265)),"Democratic Republic of the Congo",
ISNUMBER(SEARCH("DR Congo",S265)),"Democratic Republic of the Congo",
ISNUMBER(SEARCH("German DR",S265)),"DR Germany",
ISNUMBER(SEARCH("rn""&gt;United Arab Emirates",S265)),"United Arab Emirates",
ISNUMBER(SEARCH("rn""&gt;Republic of Ireland",S265)),"Ireland",
ISNUMBER(SEARCH("rn""&gt;Bosnia and Herzegovina",S265)),"Bosnia and Herzegovina",
ISNUMBER(SEARCH("rn""&gt;Trinidad and Tobago",S265)),"Trinidad and Tobago",
ISNUMBER(SEARCH("rn""&gt;Serbia and Montenegro",S265)),"Serbia and Montenegro",
ISNUMBER(SEARCH(_xlfn.UNICHAR(65533),S265)),"Côte d'Ivoire",
TRUE,""
)</f>
        <v/>
      </c>
      <c r="W265" s="30" t="str">
        <f t="shared" si="25"/>
        <v>Brazil</v>
      </c>
      <c r="Z265" s="40" t="str">
        <v>Nou Camp - Estadio Le�n</v>
      </c>
      <c r="AA265" s="40" t="str" cm="1">
        <f t="array" ref="AA265">IFERROR(_xlfn.XLOOKUP(Z265,_xlfn.ANCHORARRAY(Z$31),AA$31:AA$37),Z265)</f>
        <v>Nou Camp - Estadio León</v>
      </c>
      <c r="AB265" s="42" t="str">
        <v xml:space="preserve">Leon </v>
      </c>
      <c r="AC265" s="89" t="str">
        <f t="shared" si="28"/>
        <v xml:space="preserve">Leon </v>
      </c>
      <c r="AE265" s="42">
        <v>1966</v>
      </c>
      <c r="AK265" s="42">
        <v>1</v>
      </c>
      <c r="AL265" s="42">
        <v>0</v>
      </c>
      <c r="AV265" s="37" t="str">
        <v>ROUND_OF_16</v>
      </c>
      <c r="AW265" s="89" t="str">
        <v>GROUP_STAGE</v>
      </c>
      <c r="BE265" s="43" t="str">
        <f>IF(OR(DATA_CLEANED!AL256="",DATA_CLEANED!AM256=""),"MANQUANT",IF(OR(NOT(ISNUMBER(DATA_CLEANED!AL256)),NOT(ISNUMBER(DATA_CLEANED!AM256))),"ENTREE INVALIDE",IF(OR(DATA_CLEANED!AL256&lt;0,DATA_CLEANED!AM256&lt;0),"SCORE NEGATIF","OK")))</f>
        <v>OK</v>
      </c>
      <c r="BF265" s="43" t="str">
        <f>IF(DATA_CLEANED!AK256&lt;&gt;DATA_CLEANED!AN256,"OK","ERREUR")</f>
        <v>OK</v>
      </c>
      <c r="BG265" s="43" t="str">
        <f>IF(DATA_CLEANED!AL256&gt;DATA_CLEANED!AM256,DATA_CLEANED!AK256,IF(AND(DATA_QUALITE!W4742="-",DATA_CLEANED!AM256=DATA_CLEANED!AL256),"MATCH NUL",IF(AND(DATA_QUALITE!V4742="-",DATA_QUALITE!U4742="AUCUNE"),DATA_QUALITE!T4742,IF(DATA_QUALITE!V4742&lt;&gt;"-",DATA_QUALITE!V4742,DATA_CLEANED!AN256))))</f>
        <v>Argentina</v>
      </c>
      <c r="BH265" s="103" t="str">
        <f>IF(AND(BG265="MATCH NUL",DATA_CLEANED!AO256="-"),"MATCH_NUL",IF(ISNUMBER(SEARCH("win on penalties",W4742)),"WIN_BY_PENALTY",IF(ISNUMBER(SEARCH("win after extra time",W4742)),"WIN_BY_EXTRA_TIME",IF(ISNUMBER(SEARCH("Golden Goal",W4742)),"WIN_BY_GOLDEN_GOAL","WIN_BY_SCORE"))))</f>
        <v>WIN_BY_SCORE</v>
      </c>
      <c r="BI265" s="99" t="str">
        <f>IF(OR(BG265=DATA_CLEANED!AK256,BG265=DATA_CLEANED!AN256,BG265="MATCH NUL"),"OK","ERREUR")</f>
        <v>OK</v>
      </c>
    </row>
    <row r="266" spans="2:61">
      <c r="B266" s="74">
        <v>2006</v>
      </c>
      <c r="C266" s="30" t="str">
        <v>Final</v>
      </c>
      <c r="D266" s="30" t="str">
        <v>Italy</v>
      </c>
      <c r="E266" s="30" t="str">
        <v>France</v>
      </c>
      <c r="F266" s="30" t="str">
        <v>Italy</v>
      </c>
      <c r="G266" s="30" t="str">
        <v>Fabio Grosso</v>
      </c>
      <c r="H266" s="30" t="str">
        <v>Fabien Barthez</v>
      </c>
      <c r="I266" s="30">
        <v>9</v>
      </c>
      <c r="J266" s="30">
        <v>5</v>
      </c>
      <c r="K266" s="30" t="str">
        <v>'3-4</v>
      </c>
      <c r="L266" s="30" t="str">
        <v>No</v>
      </c>
      <c r="M266" s="30" t="str">
        <v>Yes</v>
      </c>
      <c r="N266" s="30" t="str">
        <v>Goal</v>
      </c>
      <c r="O266" s="30" t="str">
        <f t="shared" si="26"/>
        <v>2006|Final|Italy|France|Italy|Fabio Grosso|Fabien Barthez|9|5|'3-4|No|Yes|Goal</v>
      </c>
      <c r="P266" s="96" t="str">
        <f>IF(COUNTIF($G$32:O266,O266)&gt;1,"DOUBLON","OK")</f>
        <v>OK</v>
      </c>
      <c r="S266" s="30" t="str">
        <v>Brazil</v>
      </c>
      <c r="T266" s="30" t="str">
        <f t="shared" si="29"/>
        <v>OK</v>
      </c>
      <c r="U266" s="30" t="str">
        <f t="shared" si="30"/>
        <v>-</v>
      </c>
      <c r="V266" s="30" t="str" cm="1">
        <f t="array" ref="V266">_xlfn.IFS(
ISNUMBER(SEARCH("USA",S266)),"United States",
ISNUMBER(SEARCH("Republic of Korea",S266)),"South Korea",
ISNUMBER(SEARCH("Cape Verde",S266)),"Cabo Verde",
ISNUMBER(SEARCH("Czechia",S266)),"Czech Republic",
ISNUMBER(SEARCH("Türkiye",S266)),"Turkey",
ISNUMBER(SEARCH("Ivory Coast",S266)),"Côte d'Ivoire",
ISNUMBER(SEARCH("Korea Republic",S266)),"South Korea",
ISNUMBER(SEARCH("Germany FR",S266)),"FR Germany",
ISNUMBER(SEARCH("West Germany",S266)),"FR Germany",
ISNUMBER(SEARCH("Germany DR",S266)),"DR Germany",
ISNUMBER(SEARCH("Korea DPR",S266)),"North Korea",
ISNUMBER(SEARCH("China PR",S266)),"China",
ISNUMBER(SEARCH("IR Iran",S266)),"Iran",
ISNUMBER(SEARCH("Congo DR",S266)),"Democratic Republic of the Congo",
ISNUMBER(SEARCH("DR Congo",S266)),"Democratic Republic of the Congo",
ISNUMBER(SEARCH("German DR",S266)),"DR Germany",
ISNUMBER(SEARCH("rn""&gt;United Arab Emirates",S266)),"United Arab Emirates",
ISNUMBER(SEARCH("rn""&gt;Republic of Ireland",S266)),"Ireland",
ISNUMBER(SEARCH("rn""&gt;Bosnia and Herzegovina",S266)),"Bosnia and Herzegovina",
ISNUMBER(SEARCH("rn""&gt;Trinidad and Tobago",S266)),"Trinidad and Tobago",
ISNUMBER(SEARCH("rn""&gt;Serbia and Montenegro",S266)),"Serbia and Montenegro",
ISNUMBER(SEARCH(_xlfn.UNICHAR(65533),S266)),"Côte d'Ivoire",
TRUE,""
)</f>
        <v/>
      </c>
      <c r="W266" s="30" t="str">
        <f t="shared" si="25"/>
        <v>Brazil</v>
      </c>
      <c r="Z266" s="40" t="str">
        <v>Jalisco</v>
      </c>
      <c r="AA266" s="40" t="str" cm="1">
        <f t="array" ref="AA266">IFERROR(_xlfn.XLOOKUP(Z266,_xlfn.ANCHORARRAY(Z$31),AA$31:AA$37),Z266)</f>
        <v>Jalisco</v>
      </c>
      <c r="AB266" s="42" t="str">
        <v xml:space="preserve">Guadalajara </v>
      </c>
      <c r="AC266" s="89" t="str">
        <f t="shared" si="28"/>
        <v xml:space="preserve">Guadalajara </v>
      </c>
      <c r="AE266" s="42">
        <v>1966</v>
      </c>
      <c r="AK266" s="42">
        <v>2</v>
      </c>
      <c r="AL266" s="42">
        <v>0</v>
      </c>
      <c r="AV266" s="37" t="str">
        <v>ROUND_OF_16</v>
      </c>
      <c r="AW266" s="89" t="str">
        <v>GROUP_STAGE</v>
      </c>
      <c r="BE266" s="43" t="str">
        <f>IF(OR(DATA_CLEANED!AL257="",DATA_CLEANED!AM257=""),"MANQUANT",IF(OR(NOT(ISNUMBER(DATA_CLEANED!AL257)),NOT(ISNUMBER(DATA_CLEANED!AM257))),"ENTREE INVALIDE",IF(OR(DATA_CLEANED!AL257&lt;0,DATA_CLEANED!AM257&lt;0),"SCORE NEGATIF","OK")))</f>
        <v>OK</v>
      </c>
      <c r="BF266" s="43" t="str">
        <f>IF(DATA_CLEANED!AK257&lt;&gt;DATA_CLEANED!AN257,"OK","ERREUR")</f>
        <v>OK</v>
      </c>
      <c r="BG266" s="43" t="str">
        <f>IF(DATA_CLEANED!AL257&gt;DATA_CLEANED!AM257,DATA_CLEANED!AK257,IF(AND(DATA_QUALITE!W4743="-",DATA_CLEANED!AM257=DATA_CLEANED!AL257),"MATCH NUL",IF(AND(DATA_QUALITE!V4743="-",DATA_QUALITE!U4743="AUCUNE"),DATA_QUALITE!T4743,IF(DATA_QUALITE!V4743&lt;&gt;"-",DATA_QUALITE!V4743,DATA_CLEANED!AN257))))</f>
        <v>Sweden</v>
      </c>
      <c r="BH266" s="103" t="str">
        <f>IF(AND(BG266="MATCH NUL",DATA_CLEANED!AO257="-"),"MATCH_NUL",IF(ISNUMBER(SEARCH("win on penalties",W4743)),"WIN_BY_PENALTY",IF(ISNUMBER(SEARCH("win after extra time",W4743)),"WIN_BY_EXTRA_TIME",IF(ISNUMBER(SEARCH("Golden Goal",W4743)),"WIN_BY_GOLDEN_GOAL","WIN_BY_SCORE"))))</f>
        <v>WIN_BY_SCORE</v>
      </c>
      <c r="BI266" s="99" t="str">
        <f>IF(OR(BG266=DATA_CLEANED!AK257,BG266=DATA_CLEANED!AN257,BG266="MATCH NUL"),"OK","ERREUR")</f>
        <v>OK</v>
      </c>
    </row>
    <row r="267" spans="2:61">
      <c r="B267" s="74">
        <v>2010</v>
      </c>
      <c r="C267" s="30" t="str">
        <v>Round of 16</v>
      </c>
      <c r="D267" s="30" t="str">
        <v>Paraguay</v>
      </c>
      <c r="E267" s="30" t="str">
        <v>Japan</v>
      </c>
      <c r="F267" s="30" t="str">
        <v>Paraguay</v>
      </c>
      <c r="G267" s="30" t="str">
        <v>Édgar Barreto</v>
      </c>
      <c r="H267" s="30" t="str">
        <v>Eiji Kawashima</v>
      </c>
      <c r="I267" s="30">
        <v>1</v>
      </c>
      <c r="J267" s="30">
        <v>1</v>
      </c>
      <c r="K267" s="30" t="str">
        <v>'0-0</v>
      </c>
      <c r="L267" s="30" t="str">
        <v>No</v>
      </c>
      <c r="M267" s="30" t="str">
        <v>No</v>
      </c>
      <c r="N267" s="30" t="str">
        <v>Goal</v>
      </c>
      <c r="O267" s="30" t="str">
        <f t="shared" si="26"/>
        <v>2010|Round of 16|Paraguay|Japan|Paraguay|Édgar Barreto|Eiji Kawashima|1|1|'0-0|No|No|Goal</v>
      </c>
      <c r="P267" s="96" t="str">
        <f>IF(COUNTIF($G$32:O267,O267)&gt;1,"DOUBLON","OK")</f>
        <v>OK</v>
      </c>
      <c r="S267" s="30" t="str">
        <v>Brazil</v>
      </c>
      <c r="T267" s="30" t="str">
        <f t="shared" si="29"/>
        <v>OK</v>
      </c>
      <c r="U267" s="30" t="str">
        <f t="shared" si="30"/>
        <v>-</v>
      </c>
      <c r="V267" s="30" t="str" cm="1">
        <f t="array" ref="V267">_xlfn.IFS(
ISNUMBER(SEARCH("USA",S267)),"United States",
ISNUMBER(SEARCH("Republic of Korea",S267)),"South Korea",
ISNUMBER(SEARCH("Cape Verde",S267)),"Cabo Verde",
ISNUMBER(SEARCH("Czechia",S267)),"Czech Republic",
ISNUMBER(SEARCH("Türkiye",S267)),"Turkey",
ISNUMBER(SEARCH("Ivory Coast",S267)),"Côte d'Ivoire",
ISNUMBER(SEARCH("Korea Republic",S267)),"South Korea",
ISNUMBER(SEARCH("Germany FR",S267)),"FR Germany",
ISNUMBER(SEARCH("West Germany",S267)),"FR Germany",
ISNUMBER(SEARCH("Germany DR",S267)),"DR Germany",
ISNUMBER(SEARCH("Korea DPR",S267)),"North Korea",
ISNUMBER(SEARCH("China PR",S267)),"China",
ISNUMBER(SEARCH("IR Iran",S267)),"Iran",
ISNUMBER(SEARCH("Congo DR",S267)),"Democratic Republic of the Congo",
ISNUMBER(SEARCH("DR Congo",S267)),"Democratic Republic of the Congo",
ISNUMBER(SEARCH("German DR",S267)),"DR Germany",
ISNUMBER(SEARCH("rn""&gt;United Arab Emirates",S267)),"United Arab Emirates",
ISNUMBER(SEARCH("rn""&gt;Republic of Ireland",S267)),"Ireland",
ISNUMBER(SEARCH("rn""&gt;Bosnia and Herzegovina",S267)),"Bosnia and Herzegovina",
ISNUMBER(SEARCH("rn""&gt;Trinidad and Tobago",S267)),"Trinidad and Tobago",
ISNUMBER(SEARCH("rn""&gt;Serbia and Montenegro",S267)),"Serbia and Montenegro",
ISNUMBER(SEARCH(_xlfn.UNICHAR(65533),S267)),"Côte d'Ivoire",
TRUE,""
)</f>
        <v/>
      </c>
      <c r="W267" s="30" t="str">
        <f t="shared" si="25"/>
        <v>Brazil</v>
      </c>
      <c r="Z267" s="40" t="str">
        <v>Estadio Azteca</v>
      </c>
      <c r="AA267" s="40" t="str" cm="1">
        <f t="array" ref="AA267">IFERROR(_xlfn.XLOOKUP(Z267,_xlfn.ANCHORARRAY(Z$31),AA$31:AA$37),Z267)</f>
        <v>Estadio Azteca</v>
      </c>
      <c r="AB267" s="42" t="str">
        <v xml:space="preserve">Mexico City </v>
      </c>
      <c r="AC267" s="89" t="str">
        <f t="shared" si="28"/>
        <v xml:space="preserve">Mexico City </v>
      </c>
      <c r="AE267" s="42">
        <v>1966</v>
      </c>
      <c r="AK267" s="42">
        <v>0</v>
      </c>
      <c r="AL267" s="42">
        <v>0</v>
      </c>
      <c r="AV267" s="37" t="str">
        <v>ROUND_OF_16</v>
      </c>
      <c r="AW267" s="89" t="str">
        <v>GROUP_STAGE</v>
      </c>
      <c r="BE267" s="43" t="str">
        <f>IF(OR(DATA_CLEANED!AL258="",DATA_CLEANED!AM258=""),"MANQUANT",IF(OR(NOT(ISNUMBER(DATA_CLEANED!AL258)),NOT(ISNUMBER(DATA_CLEANED!AM258))),"ENTREE INVALIDE",IF(OR(DATA_CLEANED!AL258&lt;0,DATA_CLEANED!AM258&lt;0),"SCORE NEGATIF","OK")))</f>
        <v>OK</v>
      </c>
      <c r="BF267" s="43" t="str">
        <f>IF(DATA_CLEANED!AK258&lt;&gt;DATA_CLEANED!AN258,"OK","ERREUR")</f>
        <v>OK</v>
      </c>
      <c r="BG267" s="43" t="str">
        <f>IF(DATA_CLEANED!AL258&gt;DATA_CLEANED!AM258,DATA_CLEANED!AK258,IF(AND(DATA_QUALITE!W4744="-",DATA_CLEANED!AM258=DATA_CLEANED!AL258),"MATCH NUL",IF(AND(DATA_QUALITE!V4744="-",DATA_QUALITE!U4744="AUCUNE"),DATA_QUALITE!T4744,IF(DATA_QUALITE!V4744&lt;&gt;"-",DATA_QUALITE!V4744,DATA_CLEANED!AN258))))</f>
        <v>Poland</v>
      </c>
      <c r="BH267" s="103" t="str">
        <f>IF(AND(BG267="MATCH NUL",DATA_CLEANED!AO258="-"),"MATCH_NUL",IF(ISNUMBER(SEARCH("win on penalties",W4744)),"WIN_BY_PENALTY",IF(ISNUMBER(SEARCH("win after extra time",W4744)),"WIN_BY_EXTRA_TIME",IF(ISNUMBER(SEARCH("Golden Goal",W4744)),"WIN_BY_GOLDEN_GOAL","WIN_BY_SCORE"))))</f>
        <v>WIN_BY_SCORE</v>
      </c>
      <c r="BI267" s="99" t="str">
        <f>IF(OR(BG267=DATA_CLEANED!AK258,BG267=DATA_CLEANED!AN258,BG267="MATCH NUL"),"OK","ERREUR")</f>
        <v>OK</v>
      </c>
    </row>
    <row r="268" spans="2:61">
      <c r="B268" s="74">
        <v>2010</v>
      </c>
      <c r="C268" s="30" t="str">
        <v>Round of 16</v>
      </c>
      <c r="D268" s="30" t="str">
        <v>Paraguay</v>
      </c>
      <c r="E268" s="30" t="str">
        <v>Japan</v>
      </c>
      <c r="F268" s="30" t="str">
        <v>Japan</v>
      </c>
      <c r="G268" s="30" t="str">
        <v>Yasuhito Endō</v>
      </c>
      <c r="H268" s="30" t="str">
        <v>Justo Villar</v>
      </c>
      <c r="I268" s="30">
        <v>2</v>
      </c>
      <c r="J268" s="30">
        <v>1</v>
      </c>
      <c r="K268" s="30" t="str">
        <v>'1-0</v>
      </c>
      <c r="L268" s="30" t="str">
        <v>No</v>
      </c>
      <c r="M268" s="30" t="str">
        <v>No</v>
      </c>
      <c r="N268" s="30" t="str">
        <v>Goal</v>
      </c>
      <c r="O268" s="30" t="str">
        <f t="shared" si="26"/>
        <v>2010|Round of 16|Paraguay|Japan|Japan|Yasuhito Endō|Justo Villar|2|1|'1-0|No|No|Goal</v>
      </c>
      <c r="P268" s="96" t="str">
        <f>IF(COUNTIF($G$32:O268,O268)&gt;1,"DOUBLON","OK")</f>
        <v>OK</v>
      </c>
      <c r="S268" s="30" t="str">
        <v>Brazil</v>
      </c>
      <c r="T268" s="30" t="str">
        <f t="shared" si="29"/>
        <v>OK</v>
      </c>
      <c r="U268" s="30" t="str">
        <f t="shared" si="30"/>
        <v>-</v>
      </c>
      <c r="V268" s="30" t="str" cm="1">
        <f t="array" ref="V268">_xlfn.IFS(
ISNUMBER(SEARCH("USA",S268)),"United States",
ISNUMBER(SEARCH("Republic of Korea",S268)),"South Korea",
ISNUMBER(SEARCH("Cape Verde",S268)),"Cabo Verde",
ISNUMBER(SEARCH("Czechia",S268)),"Czech Republic",
ISNUMBER(SEARCH("Türkiye",S268)),"Turkey",
ISNUMBER(SEARCH("Ivory Coast",S268)),"Côte d'Ivoire",
ISNUMBER(SEARCH("Korea Republic",S268)),"South Korea",
ISNUMBER(SEARCH("Germany FR",S268)),"FR Germany",
ISNUMBER(SEARCH("West Germany",S268)),"FR Germany",
ISNUMBER(SEARCH("Germany DR",S268)),"DR Germany",
ISNUMBER(SEARCH("Korea DPR",S268)),"North Korea",
ISNUMBER(SEARCH("China PR",S268)),"China",
ISNUMBER(SEARCH("IR Iran",S268)),"Iran",
ISNUMBER(SEARCH("Congo DR",S268)),"Democratic Republic of the Congo",
ISNUMBER(SEARCH("DR Congo",S268)),"Democratic Republic of the Congo",
ISNUMBER(SEARCH("German DR",S268)),"DR Germany",
ISNUMBER(SEARCH("rn""&gt;United Arab Emirates",S268)),"United Arab Emirates",
ISNUMBER(SEARCH("rn""&gt;Republic of Ireland",S268)),"Ireland",
ISNUMBER(SEARCH("rn""&gt;Bosnia and Herzegovina",S268)),"Bosnia and Herzegovina",
ISNUMBER(SEARCH("rn""&gt;Trinidad and Tobago",S268)),"Trinidad and Tobago",
ISNUMBER(SEARCH("rn""&gt;Serbia and Montenegro",S268)),"Serbia and Montenegro",
ISNUMBER(SEARCH(_xlfn.UNICHAR(65533),S268)),"Côte d'Ivoire",
TRUE,""
)</f>
        <v/>
      </c>
      <c r="W268" s="30" t="str">
        <f t="shared" si="25"/>
        <v>Brazil</v>
      </c>
      <c r="Z268" s="40" t="str">
        <v>Jalisco</v>
      </c>
      <c r="AA268" s="40" t="str" cm="1">
        <f t="array" ref="AA268">IFERROR(_xlfn.XLOOKUP(Z268,_xlfn.ANCHORARRAY(Z$31),AA$31:AA$37),Z268)</f>
        <v>Jalisco</v>
      </c>
      <c r="AB268" s="42" t="str">
        <v xml:space="preserve">Guadalajara </v>
      </c>
      <c r="AC268" s="89" t="str">
        <f t="shared" si="28"/>
        <v xml:space="preserve">Guadalajara </v>
      </c>
      <c r="AE268" s="42">
        <v>1966</v>
      </c>
      <c r="AK268" s="42">
        <v>2</v>
      </c>
      <c r="AL268" s="42">
        <v>0</v>
      </c>
      <c r="AV268" s="37" t="str">
        <v>ROUND_OF_16</v>
      </c>
      <c r="AW268" s="89" t="str">
        <v>GROUP_STAGE</v>
      </c>
      <c r="BE268" s="43" t="str">
        <f>IF(OR(DATA_CLEANED!AL259="",DATA_CLEANED!AM259=""),"MANQUANT",IF(OR(NOT(ISNUMBER(DATA_CLEANED!AL259)),NOT(ISNUMBER(DATA_CLEANED!AM259))),"ENTREE INVALIDE",IF(OR(DATA_CLEANED!AL259&lt;0,DATA_CLEANED!AM259&lt;0),"SCORE NEGATIF","OK")))</f>
        <v>OK</v>
      </c>
      <c r="BF268" s="43" t="str">
        <f>IF(DATA_CLEANED!AK259&lt;&gt;DATA_CLEANED!AN259,"OK","ERREUR")</f>
        <v>OK</v>
      </c>
      <c r="BG268" s="43" t="str">
        <f>IF(DATA_CLEANED!AL259&gt;DATA_CLEANED!AM259,DATA_CLEANED!AK259,IF(AND(DATA_QUALITE!W4745="-",DATA_CLEANED!AM259=DATA_CLEANED!AL259),"MATCH NUL",IF(AND(DATA_QUALITE!V4745="-",DATA_QUALITE!U4745="AUCUNE"),DATA_QUALITE!T4745,IF(DATA_QUALITE!V4745&lt;&gt;"-",DATA_QUALITE!V4745,DATA_CLEANED!AN259))))</f>
        <v>FR Germany</v>
      </c>
      <c r="BH268" s="103" t="str">
        <f>IF(AND(BG268="MATCH NUL",DATA_CLEANED!AO259="-"),"MATCH_NUL",IF(ISNUMBER(SEARCH("win on penalties",W4745)),"WIN_BY_PENALTY",IF(ISNUMBER(SEARCH("win after extra time",W4745)),"WIN_BY_EXTRA_TIME",IF(ISNUMBER(SEARCH("Golden Goal",W4745)),"WIN_BY_GOLDEN_GOAL","WIN_BY_SCORE"))))</f>
        <v>WIN_BY_SCORE</v>
      </c>
      <c r="BI268" s="99" t="str">
        <f>IF(OR(BG268=DATA_CLEANED!AK259,BG268=DATA_CLEANED!AN259,BG268="MATCH NUL"),"OK","ERREUR")</f>
        <v>OK</v>
      </c>
    </row>
    <row r="269" spans="2:61">
      <c r="B269" s="74">
        <v>2010</v>
      </c>
      <c r="C269" s="30" t="str">
        <v>Round of 16</v>
      </c>
      <c r="D269" s="30" t="str">
        <v>Paraguay</v>
      </c>
      <c r="E269" s="30" t="str">
        <v>Japan</v>
      </c>
      <c r="F269" s="30" t="str">
        <v>Paraguay</v>
      </c>
      <c r="G269" s="30" t="str">
        <v>Lucas Barrios</v>
      </c>
      <c r="H269" s="30" t="str">
        <v>Eiji Kawashima</v>
      </c>
      <c r="I269" s="30">
        <v>3</v>
      </c>
      <c r="J269" s="30">
        <v>2</v>
      </c>
      <c r="K269" s="30" t="str">
        <v>'1-1</v>
      </c>
      <c r="L269" s="30" t="str">
        <v>No</v>
      </c>
      <c r="M269" s="30" t="str">
        <v>No</v>
      </c>
      <c r="N269" s="30" t="str">
        <v>Goal</v>
      </c>
      <c r="O269" s="30" t="str">
        <f t="shared" si="26"/>
        <v>2010|Round of 16|Paraguay|Japan|Paraguay|Lucas Barrios|Eiji Kawashima|3|2|'1-1|No|No|Goal</v>
      </c>
      <c r="P269" s="96" t="str">
        <f>IF(COUNTIF($G$32:O269,O269)&gt;1,"DOUBLON","OK")</f>
        <v>OK</v>
      </c>
      <c r="S269" s="30" t="str">
        <v>Brazil</v>
      </c>
      <c r="T269" s="30" t="str">
        <f t="shared" si="29"/>
        <v>OK</v>
      </c>
      <c r="U269" s="30" t="str">
        <f t="shared" si="30"/>
        <v>-</v>
      </c>
      <c r="V269" s="30" t="str" cm="1">
        <f t="array" ref="V269">_xlfn.IFS(
ISNUMBER(SEARCH("USA",S269)),"United States",
ISNUMBER(SEARCH("Republic of Korea",S269)),"South Korea",
ISNUMBER(SEARCH("Cape Verde",S269)),"Cabo Verde",
ISNUMBER(SEARCH("Czechia",S269)),"Czech Republic",
ISNUMBER(SEARCH("Türkiye",S269)),"Turkey",
ISNUMBER(SEARCH("Ivory Coast",S269)),"Côte d'Ivoire",
ISNUMBER(SEARCH("Korea Republic",S269)),"South Korea",
ISNUMBER(SEARCH("Germany FR",S269)),"FR Germany",
ISNUMBER(SEARCH("West Germany",S269)),"FR Germany",
ISNUMBER(SEARCH("Germany DR",S269)),"DR Germany",
ISNUMBER(SEARCH("Korea DPR",S269)),"North Korea",
ISNUMBER(SEARCH("China PR",S269)),"China",
ISNUMBER(SEARCH("IR Iran",S269)),"Iran",
ISNUMBER(SEARCH("Congo DR",S269)),"Democratic Republic of the Congo",
ISNUMBER(SEARCH("DR Congo",S269)),"Democratic Republic of the Congo",
ISNUMBER(SEARCH("German DR",S269)),"DR Germany",
ISNUMBER(SEARCH("rn""&gt;United Arab Emirates",S269)),"United Arab Emirates",
ISNUMBER(SEARCH("rn""&gt;Republic of Ireland",S269)),"Ireland",
ISNUMBER(SEARCH("rn""&gt;Bosnia and Herzegovina",S269)),"Bosnia and Herzegovina",
ISNUMBER(SEARCH("rn""&gt;Trinidad and Tobago",S269)),"Trinidad and Tobago",
ISNUMBER(SEARCH("rn""&gt;Serbia and Montenegro",S269)),"Serbia and Montenegro",
ISNUMBER(SEARCH(_xlfn.UNICHAR(65533),S269)),"Côte d'Ivoire",
TRUE,""
)</f>
        <v/>
      </c>
      <c r="W269" s="30" t="str">
        <f t="shared" si="25"/>
        <v>Brazil</v>
      </c>
      <c r="Z269" s="40" t="str">
        <v>Estadio Azteca</v>
      </c>
      <c r="AA269" s="40" t="str" cm="1">
        <f t="array" ref="AA269">IFERROR(_xlfn.XLOOKUP(Z269,_xlfn.ANCHORARRAY(Z$31),AA$31:AA$37),Z269)</f>
        <v>Estadio Azteca</v>
      </c>
      <c r="AB269" s="42" t="str">
        <v xml:space="preserve">Mexico City </v>
      </c>
      <c r="AC269" s="89" t="str">
        <f t="shared" si="28"/>
        <v xml:space="preserve">Mexico City </v>
      </c>
      <c r="AE269" s="42">
        <v>1966</v>
      </c>
      <c r="AK269" s="42">
        <v>3</v>
      </c>
      <c r="AL269" s="42">
        <v>1</v>
      </c>
      <c r="AV269" s="37" t="str">
        <v>ROUND_OF_16</v>
      </c>
      <c r="AW269" s="89" t="str">
        <v>GROUP_STAGE</v>
      </c>
      <c r="BE269" s="43" t="str">
        <f>IF(OR(DATA_CLEANED!AL260="",DATA_CLEANED!AM260=""),"MANQUANT",IF(OR(NOT(ISNUMBER(DATA_CLEANED!AL260)),NOT(ISNUMBER(DATA_CLEANED!AM260))),"ENTREE INVALIDE",IF(OR(DATA_CLEANED!AL260&lt;0,DATA_CLEANED!AM260&lt;0),"SCORE NEGATIF","OK")))</f>
        <v>OK</v>
      </c>
      <c r="BF269" s="43" t="str">
        <f>IF(DATA_CLEANED!AK260&lt;&gt;DATA_CLEANED!AN260,"OK","ERREUR")</f>
        <v>OK</v>
      </c>
      <c r="BG269" s="43" t="str">
        <f>IF(DATA_CLEANED!AL260&gt;DATA_CLEANED!AM260,DATA_CLEANED!AK260,IF(AND(DATA_QUALITE!W4746="-",DATA_CLEANED!AM260=DATA_CLEANED!AL260),"MATCH NUL",IF(AND(DATA_QUALITE!V4746="-",DATA_QUALITE!U4746="AUCUNE"),DATA_QUALITE!T4746,IF(DATA_QUALITE!V4746&lt;&gt;"-",DATA_QUALITE!V4746,DATA_CLEANED!AN260))))</f>
        <v>Brazil</v>
      </c>
      <c r="BH269" s="103" t="str">
        <f>IF(AND(BG269="MATCH NUL",DATA_CLEANED!AO260="-"),"MATCH_NUL",IF(ISNUMBER(SEARCH("win on penalties",W4746)),"WIN_BY_PENALTY",IF(ISNUMBER(SEARCH("win after extra time",W4746)),"WIN_BY_EXTRA_TIME",IF(ISNUMBER(SEARCH("Golden Goal",W4746)),"WIN_BY_GOLDEN_GOAL","WIN_BY_SCORE"))))</f>
        <v>WIN_BY_SCORE</v>
      </c>
      <c r="BI269" s="99" t="str">
        <f>IF(OR(BG269=DATA_CLEANED!AK260,BG269=DATA_CLEANED!AN260,BG269="MATCH NUL"),"OK","ERREUR")</f>
        <v>OK</v>
      </c>
    </row>
    <row r="270" spans="2:61">
      <c r="B270" s="74">
        <v>2010</v>
      </c>
      <c r="C270" s="30" t="str">
        <v>Round of 16</v>
      </c>
      <c r="D270" s="30" t="str">
        <v>Paraguay</v>
      </c>
      <c r="E270" s="30" t="str">
        <v>Japan</v>
      </c>
      <c r="F270" s="30" t="str">
        <v>Japan</v>
      </c>
      <c r="G270" s="30" t="str">
        <v>Yuki Abe</v>
      </c>
      <c r="H270" s="30" t="str">
        <v>Justo Villar</v>
      </c>
      <c r="I270" s="30">
        <v>4</v>
      </c>
      <c r="J270" s="30">
        <v>2</v>
      </c>
      <c r="K270" s="30" t="str">
        <v>'1-2</v>
      </c>
      <c r="L270" s="30" t="str">
        <v>No</v>
      </c>
      <c r="M270" s="30" t="str">
        <v>No</v>
      </c>
      <c r="N270" s="30" t="str">
        <v>Goal</v>
      </c>
      <c r="O270" s="30" t="str">
        <f t="shared" si="26"/>
        <v>2010|Round of 16|Paraguay|Japan|Japan|Yuki Abe|Justo Villar|4|2|'1-2|No|No|Goal</v>
      </c>
      <c r="P270" s="96" t="str">
        <f>IF(COUNTIF($G$32:O270,O270)&gt;1,"DOUBLON","OK")</f>
        <v>OK</v>
      </c>
      <c r="S270" s="30" t="str">
        <v>Brazil</v>
      </c>
      <c r="T270" s="30" t="str">
        <f t="shared" si="29"/>
        <v>OK</v>
      </c>
      <c r="U270" s="30" t="str">
        <f t="shared" si="30"/>
        <v>-</v>
      </c>
      <c r="V270" s="30" t="str" cm="1">
        <f t="array" ref="V270">_xlfn.IFS(
ISNUMBER(SEARCH("USA",S270)),"United States",
ISNUMBER(SEARCH("Republic of Korea",S270)),"South Korea",
ISNUMBER(SEARCH("Cape Verde",S270)),"Cabo Verde",
ISNUMBER(SEARCH("Czechia",S270)),"Czech Republic",
ISNUMBER(SEARCH("Türkiye",S270)),"Turkey",
ISNUMBER(SEARCH("Ivory Coast",S270)),"Côte d'Ivoire",
ISNUMBER(SEARCH("Korea Republic",S270)),"South Korea",
ISNUMBER(SEARCH("Germany FR",S270)),"FR Germany",
ISNUMBER(SEARCH("West Germany",S270)),"FR Germany",
ISNUMBER(SEARCH("Germany DR",S270)),"DR Germany",
ISNUMBER(SEARCH("Korea DPR",S270)),"North Korea",
ISNUMBER(SEARCH("China PR",S270)),"China",
ISNUMBER(SEARCH("IR Iran",S270)),"Iran",
ISNUMBER(SEARCH("Congo DR",S270)),"Democratic Republic of the Congo",
ISNUMBER(SEARCH("DR Congo",S270)),"Democratic Republic of the Congo",
ISNUMBER(SEARCH("German DR",S270)),"DR Germany",
ISNUMBER(SEARCH("rn""&gt;United Arab Emirates",S270)),"United Arab Emirates",
ISNUMBER(SEARCH("rn""&gt;Republic of Ireland",S270)),"Ireland",
ISNUMBER(SEARCH("rn""&gt;Bosnia and Herzegovina",S270)),"Bosnia and Herzegovina",
ISNUMBER(SEARCH("rn""&gt;Trinidad and Tobago",S270)),"Trinidad and Tobago",
ISNUMBER(SEARCH("rn""&gt;Serbia and Montenegro",S270)),"Serbia and Montenegro",
ISNUMBER(SEARCH(_xlfn.UNICHAR(65533),S270)),"Côte d'Ivoire",
TRUE,""
)</f>
        <v/>
      </c>
      <c r="W270" s="30" t="str">
        <f t="shared" ref="W270:W333" si="31">IF(V270="",S270,V270)</f>
        <v>Brazil</v>
      </c>
      <c r="Z270" s="40" t="str">
        <v>Estadio Azteca</v>
      </c>
      <c r="AA270" s="40" t="str" cm="1">
        <f t="array" ref="AA270">IFERROR(_xlfn.XLOOKUP(Z270,_xlfn.ANCHORARRAY(Z$31),AA$31:AA$37),Z270)</f>
        <v>Estadio Azteca</v>
      </c>
      <c r="AB270" s="42" t="str">
        <v xml:space="preserve">Mexico City </v>
      </c>
      <c r="AC270" s="89" t="str">
        <f t="shared" si="28"/>
        <v xml:space="preserve">Mexico City </v>
      </c>
      <c r="AE270" s="42">
        <v>1966</v>
      </c>
      <c r="AK270" s="42">
        <v>1</v>
      </c>
      <c r="AL270" s="42">
        <v>0</v>
      </c>
      <c r="AV270" s="37" t="str">
        <v>ROUND_OF_16</v>
      </c>
      <c r="AW270" s="89" t="str">
        <v>GROUP_STAGE</v>
      </c>
      <c r="BE270" s="43" t="str">
        <f>IF(OR(DATA_CLEANED!AL261="",DATA_CLEANED!AM261=""),"MANQUANT",IF(OR(NOT(ISNUMBER(DATA_CLEANED!AL261)),NOT(ISNUMBER(DATA_CLEANED!AM261))),"ENTREE INVALIDE",IF(OR(DATA_CLEANED!AL261&lt;0,DATA_CLEANED!AM261&lt;0),"SCORE NEGATIF","OK")))</f>
        <v>OK</v>
      </c>
      <c r="BF270" s="43" t="str">
        <f>IF(DATA_CLEANED!AK261&lt;&gt;DATA_CLEANED!AN261,"OK","ERREUR")</f>
        <v>OK</v>
      </c>
      <c r="BG270" s="43" t="str">
        <f>IF(DATA_CLEANED!AL261&gt;DATA_CLEANED!AM261,DATA_CLEANED!AK261,IF(AND(DATA_QUALITE!W4747="-",DATA_CLEANED!AM261=DATA_CLEANED!AL261),"MATCH NUL",IF(AND(DATA_QUALITE!V4747="-",DATA_QUALITE!U4747="AUCUNE"),DATA_QUALITE!T4747,IF(DATA_QUALITE!V4747&lt;&gt;"-",DATA_QUALITE!V4747,DATA_CLEANED!AN261))))</f>
        <v>Netherlands</v>
      </c>
      <c r="BH270" s="103" t="str">
        <f>IF(AND(BG270="MATCH NUL",DATA_CLEANED!AO261="-"),"MATCH_NUL",IF(ISNUMBER(SEARCH("win on penalties",W4747)),"WIN_BY_PENALTY",IF(ISNUMBER(SEARCH("win after extra time",W4747)),"WIN_BY_EXTRA_TIME",IF(ISNUMBER(SEARCH("Golden Goal",W4747)),"WIN_BY_GOLDEN_GOAL","WIN_BY_SCORE"))))</f>
        <v>WIN_BY_SCORE</v>
      </c>
      <c r="BI270" s="99" t="str">
        <f>IF(OR(BG270=DATA_CLEANED!AK261,BG270=DATA_CLEANED!AN261,BG270="MATCH NUL"),"OK","ERREUR")</f>
        <v>OK</v>
      </c>
    </row>
    <row r="271" spans="2:61">
      <c r="B271" s="74">
        <v>2010</v>
      </c>
      <c r="C271" s="30" t="str">
        <v>Round of 16</v>
      </c>
      <c r="D271" s="30" t="str">
        <v>Paraguay</v>
      </c>
      <c r="E271" s="30" t="str">
        <v>Japan</v>
      </c>
      <c r="F271" s="30" t="str">
        <v>Paraguay</v>
      </c>
      <c r="G271" s="30" t="str">
        <v>Cristian Riveros</v>
      </c>
      <c r="H271" s="30" t="str">
        <v>Eiji Kawashima</v>
      </c>
      <c r="I271" s="30">
        <v>5</v>
      </c>
      <c r="J271" s="30">
        <v>3</v>
      </c>
      <c r="K271" s="30" t="str">
        <v>'2-2</v>
      </c>
      <c r="L271" s="30" t="str">
        <v>No</v>
      </c>
      <c r="M271" s="30" t="str">
        <v>No</v>
      </c>
      <c r="N271" s="30" t="str">
        <v>Goal</v>
      </c>
      <c r="O271" s="30" t="str">
        <f t="shared" si="26"/>
        <v>2010|Round of 16|Paraguay|Japan|Paraguay|Cristian Riveros|Eiji Kawashima|5|3|'2-2|No|No|Goal</v>
      </c>
      <c r="P271" s="96" t="str">
        <f>IF(COUNTIF($G$32:O271,O271)&gt;1,"DOUBLON","OK")</f>
        <v>OK</v>
      </c>
      <c r="S271" s="30" t="str">
        <v>Brazil</v>
      </c>
      <c r="T271" s="30" t="str">
        <f t="shared" si="29"/>
        <v>OK</v>
      </c>
      <c r="U271" s="30" t="str">
        <f t="shared" si="30"/>
        <v>-</v>
      </c>
      <c r="V271" s="30" t="str" cm="1">
        <f t="array" ref="V271">_xlfn.IFS(
ISNUMBER(SEARCH("USA",S271)),"United States",
ISNUMBER(SEARCH("Republic of Korea",S271)),"South Korea",
ISNUMBER(SEARCH("Cape Verde",S271)),"Cabo Verde",
ISNUMBER(SEARCH("Czechia",S271)),"Czech Republic",
ISNUMBER(SEARCH("Türkiye",S271)),"Turkey",
ISNUMBER(SEARCH("Ivory Coast",S271)),"Côte d'Ivoire",
ISNUMBER(SEARCH("Korea Republic",S271)),"South Korea",
ISNUMBER(SEARCH("Germany FR",S271)),"FR Germany",
ISNUMBER(SEARCH("West Germany",S271)),"FR Germany",
ISNUMBER(SEARCH("Germany DR",S271)),"DR Germany",
ISNUMBER(SEARCH("Korea DPR",S271)),"North Korea",
ISNUMBER(SEARCH("China PR",S271)),"China",
ISNUMBER(SEARCH("IR Iran",S271)),"Iran",
ISNUMBER(SEARCH("Congo DR",S271)),"Democratic Republic of the Congo",
ISNUMBER(SEARCH("DR Congo",S271)),"Democratic Republic of the Congo",
ISNUMBER(SEARCH("German DR",S271)),"DR Germany",
ISNUMBER(SEARCH("rn""&gt;United Arab Emirates",S271)),"United Arab Emirates",
ISNUMBER(SEARCH("rn""&gt;Republic of Ireland",S271)),"Ireland",
ISNUMBER(SEARCH("rn""&gt;Bosnia and Herzegovina",S271)),"Bosnia and Herzegovina",
ISNUMBER(SEARCH("rn""&gt;Trinidad and Tobago",S271)),"Trinidad and Tobago",
ISNUMBER(SEARCH("rn""&gt;Serbia and Montenegro",S271)),"Serbia and Montenegro",
ISNUMBER(SEARCH(_xlfn.UNICHAR(65533),S271)),"Côte d'Ivoire",
TRUE,""
)</f>
        <v/>
      </c>
      <c r="W271" s="30" t="str">
        <f t="shared" si="31"/>
        <v>Brazil</v>
      </c>
      <c r="Z271" s="40" t="str">
        <v>Estadio Azteca</v>
      </c>
      <c r="AA271" s="40" t="str" cm="1">
        <f t="array" ref="AA271">IFERROR(_xlfn.XLOOKUP(Z271,_xlfn.ANCHORARRAY(Z$31),AA$31:AA$37),Z271)</f>
        <v>Estadio Azteca</v>
      </c>
      <c r="AB271" s="42" t="str">
        <v xml:space="preserve">Mexico City </v>
      </c>
      <c r="AC271" s="89" t="str">
        <f t="shared" si="28"/>
        <v xml:space="preserve">Mexico City </v>
      </c>
      <c r="AE271" s="42">
        <v>1966</v>
      </c>
      <c r="AK271" s="42">
        <v>2</v>
      </c>
      <c r="AL271" s="42">
        <v>0</v>
      </c>
      <c r="AV271" s="37" t="str">
        <v>ROUND_OF_16</v>
      </c>
      <c r="AW271" s="89" t="str">
        <v>GROUP_STAGE</v>
      </c>
      <c r="BE271" s="43" t="str">
        <f>IF(OR(DATA_CLEANED!AL262="",DATA_CLEANED!AM262=""),"MANQUANT",IF(OR(NOT(ISNUMBER(DATA_CLEANED!AL262)),NOT(ISNUMBER(DATA_CLEANED!AM262))),"ENTREE INVALIDE",IF(OR(DATA_CLEANED!AL262&lt;0,DATA_CLEANED!AM262&lt;0),"SCORE NEGATIF","OK")))</f>
        <v>OK</v>
      </c>
      <c r="BF271" s="43" t="str">
        <f>IF(DATA_CLEANED!AK262&lt;&gt;DATA_CLEANED!AN262,"OK","ERREUR")</f>
        <v>OK</v>
      </c>
      <c r="BG271" s="43" t="str">
        <f>IF(DATA_CLEANED!AL262&gt;DATA_CLEANED!AM262,DATA_CLEANED!AK262,IF(AND(DATA_QUALITE!W4748="-",DATA_CLEANED!AM262=DATA_CLEANED!AL262),"MATCH NUL",IF(AND(DATA_QUALITE!V4748="-",DATA_QUALITE!U4748="AUCUNE"),DATA_QUALITE!T4748,IF(DATA_QUALITE!V4748&lt;&gt;"-",DATA_QUALITE!V4748,DATA_CLEANED!AN262))))</f>
        <v>Poland</v>
      </c>
      <c r="BH271" s="103" t="str">
        <f>IF(AND(BG271="MATCH NUL",DATA_CLEANED!AO262="-"),"MATCH_NUL",IF(ISNUMBER(SEARCH("win on penalties",W4748)),"WIN_BY_PENALTY",IF(ISNUMBER(SEARCH("win after extra time",W4748)),"WIN_BY_EXTRA_TIME",IF(ISNUMBER(SEARCH("Golden Goal",W4748)),"WIN_BY_GOLDEN_GOAL","WIN_BY_SCORE"))))</f>
        <v>WIN_BY_SCORE</v>
      </c>
      <c r="BI271" s="99" t="str">
        <f>IF(OR(BG271=DATA_CLEANED!AK262,BG271=DATA_CLEANED!AN262,BG271="MATCH NUL"),"OK","ERREUR")</f>
        <v>OK</v>
      </c>
    </row>
    <row r="272" spans="2:61">
      <c r="B272" s="74">
        <v>2010</v>
      </c>
      <c r="C272" s="30" t="str">
        <v>Round of 16</v>
      </c>
      <c r="D272" s="30" t="str">
        <v>Paraguay</v>
      </c>
      <c r="E272" s="30" t="str">
        <v>Japan</v>
      </c>
      <c r="F272" s="30" t="str">
        <v>Japan</v>
      </c>
      <c r="G272" s="30" t="str">
        <v>Yuichi Komano</v>
      </c>
      <c r="H272" s="30" t="str">
        <v>Justo Villar</v>
      </c>
      <c r="I272" s="30">
        <v>6</v>
      </c>
      <c r="J272" s="30">
        <v>3</v>
      </c>
      <c r="K272" s="30" t="str">
        <v>'2-3</v>
      </c>
      <c r="L272" s="30" t="str">
        <v>No</v>
      </c>
      <c r="M272" s="30" t="str">
        <v>No</v>
      </c>
      <c r="N272" s="30" t="str">
        <v>Missed</v>
      </c>
      <c r="O272" s="30" t="str">
        <f t="shared" si="26"/>
        <v>2010|Round of 16|Paraguay|Japan|Japan|Yuichi Komano|Justo Villar|6|3|'2-3|No|No|Missed</v>
      </c>
      <c r="P272" s="96" t="str">
        <f>IF(COUNTIF($G$32:O272,O272)&gt;1,"DOUBLON","OK")</f>
        <v>OK</v>
      </c>
      <c r="S272" s="30" t="str">
        <v>Brazil</v>
      </c>
      <c r="T272" s="30" t="str">
        <f t="shared" si="29"/>
        <v>OK</v>
      </c>
      <c r="U272" s="30" t="str">
        <f t="shared" si="30"/>
        <v>-</v>
      </c>
      <c r="V272" s="30" t="str" cm="1">
        <f t="array" ref="V272">_xlfn.IFS(
ISNUMBER(SEARCH("USA",S272)),"United States",
ISNUMBER(SEARCH("Republic of Korea",S272)),"South Korea",
ISNUMBER(SEARCH("Cape Verde",S272)),"Cabo Verde",
ISNUMBER(SEARCH("Czechia",S272)),"Czech Republic",
ISNUMBER(SEARCH("Türkiye",S272)),"Turkey",
ISNUMBER(SEARCH("Ivory Coast",S272)),"Côte d'Ivoire",
ISNUMBER(SEARCH("Korea Republic",S272)),"South Korea",
ISNUMBER(SEARCH("Germany FR",S272)),"FR Germany",
ISNUMBER(SEARCH("West Germany",S272)),"FR Germany",
ISNUMBER(SEARCH("Germany DR",S272)),"DR Germany",
ISNUMBER(SEARCH("Korea DPR",S272)),"North Korea",
ISNUMBER(SEARCH("China PR",S272)),"China",
ISNUMBER(SEARCH("IR Iran",S272)),"Iran",
ISNUMBER(SEARCH("Congo DR",S272)),"Democratic Republic of the Congo",
ISNUMBER(SEARCH("DR Congo",S272)),"Democratic Republic of the Congo",
ISNUMBER(SEARCH("German DR",S272)),"DR Germany",
ISNUMBER(SEARCH("rn""&gt;United Arab Emirates",S272)),"United Arab Emirates",
ISNUMBER(SEARCH("rn""&gt;Republic of Ireland",S272)),"Ireland",
ISNUMBER(SEARCH("rn""&gt;Bosnia and Herzegovina",S272)),"Bosnia and Herzegovina",
ISNUMBER(SEARCH("rn""&gt;Trinidad and Tobago",S272)),"Trinidad and Tobago",
ISNUMBER(SEARCH("rn""&gt;Serbia and Montenegro",S272)),"Serbia and Montenegro",
ISNUMBER(SEARCH(_xlfn.UNICHAR(65533),S272)),"Côte d'Ivoire",
TRUE,""
)</f>
        <v/>
      </c>
      <c r="W272" s="30" t="str">
        <f t="shared" si="31"/>
        <v>Brazil</v>
      </c>
      <c r="Z272" s="40" t="str">
        <v>Waldstadion</v>
      </c>
      <c r="AA272" s="40" t="str" cm="1">
        <f t="array" ref="AA272">IFERROR(_xlfn.XLOOKUP(Z272,_xlfn.ANCHORARRAY(Z$31),AA$31:AA$37),Z272)</f>
        <v>Waldstadion</v>
      </c>
      <c r="AB272" s="42" t="str">
        <v xml:space="preserve">Frankfurt/Main </v>
      </c>
      <c r="AC272" s="89" t="str">
        <f t="shared" si="28"/>
        <v xml:space="preserve">Frankfurt/Main </v>
      </c>
      <c r="AE272" s="42">
        <v>1966</v>
      </c>
      <c r="AK272" s="42">
        <v>3</v>
      </c>
      <c r="AL272" s="42">
        <v>1</v>
      </c>
      <c r="AV272" s="37" t="str">
        <v>ROUND_OF_16</v>
      </c>
      <c r="AW272" s="89" t="str">
        <v>GROUP_STAGE</v>
      </c>
      <c r="BE272" s="43" t="str">
        <f>IF(OR(DATA_CLEANED!AL263="",DATA_CLEANED!AM263=""),"MANQUANT",IF(OR(NOT(ISNUMBER(DATA_CLEANED!AL263)),NOT(ISNUMBER(DATA_CLEANED!AM263))),"ENTREE INVALIDE",IF(OR(DATA_CLEANED!AL263&lt;0,DATA_CLEANED!AM263&lt;0),"SCORE NEGATIF","OK")))</f>
        <v>OK</v>
      </c>
      <c r="BF272" s="43" t="str">
        <f>IF(DATA_CLEANED!AK263&lt;&gt;DATA_CLEANED!AN263,"OK","ERREUR")</f>
        <v>OK</v>
      </c>
      <c r="BG272" s="43" t="str">
        <f>IF(DATA_CLEANED!AL263&gt;DATA_CLEANED!AM263,DATA_CLEANED!AK263,IF(AND(DATA_QUALITE!W4749="-",DATA_CLEANED!AM263=DATA_CLEANED!AL263),"MATCH NUL",IF(AND(DATA_QUALITE!V4749="-",DATA_QUALITE!U4749="AUCUNE"),DATA_QUALITE!T4749,IF(DATA_QUALITE!V4749&lt;&gt;"-",DATA_QUALITE!V4749,DATA_CLEANED!AN263))))</f>
        <v>Brazil</v>
      </c>
      <c r="BH272" s="103" t="str">
        <f>IF(AND(BG272="MATCH NUL",DATA_CLEANED!AO263="-"),"MATCH_NUL",IF(ISNUMBER(SEARCH("win on penalties",W4749)),"WIN_BY_PENALTY",IF(ISNUMBER(SEARCH("win after extra time",W4749)),"WIN_BY_EXTRA_TIME",IF(ISNUMBER(SEARCH("Golden Goal",W4749)),"WIN_BY_GOLDEN_GOAL","WIN_BY_SCORE"))))</f>
        <v>WIN_BY_SCORE</v>
      </c>
      <c r="BI272" s="99" t="str">
        <f>IF(OR(BG272=DATA_CLEANED!AK263,BG272=DATA_CLEANED!AN263,BG272="MATCH NUL"),"OK","ERREUR")</f>
        <v>OK</v>
      </c>
    </row>
    <row r="273" spans="2:61">
      <c r="B273" s="74">
        <v>2010</v>
      </c>
      <c r="C273" s="30" t="str">
        <v>Round of 16</v>
      </c>
      <c r="D273" s="30" t="str">
        <v>Paraguay</v>
      </c>
      <c r="E273" s="30" t="str">
        <v>Japan</v>
      </c>
      <c r="F273" s="30" t="str">
        <v>Paraguay</v>
      </c>
      <c r="G273" s="30" t="str">
        <v>Nelson Valdez</v>
      </c>
      <c r="H273" s="30" t="str">
        <v>Eiji Kawashima</v>
      </c>
      <c r="I273" s="30">
        <v>7</v>
      </c>
      <c r="J273" s="30">
        <v>4</v>
      </c>
      <c r="K273" s="30" t="str">
        <v>'2-3</v>
      </c>
      <c r="L273" s="30" t="str">
        <v>No</v>
      </c>
      <c r="M273" s="30" t="str">
        <v>No</v>
      </c>
      <c r="N273" s="30" t="str">
        <v>Goal</v>
      </c>
      <c r="O273" s="30" t="str">
        <f t="shared" si="26"/>
        <v>2010|Round of 16|Paraguay|Japan|Paraguay|Nelson Valdez|Eiji Kawashima|7|4|'2-3|No|No|Goal</v>
      </c>
      <c r="P273" s="96" t="str">
        <f>IF(COUNTIF($G$32:O273,O273)&gt;1,"DOUBLON","OK")</f>
        <v>OK</v>
      </c>
      <c r="S273" s="30" t="str">
        <v>Brazil</v>
      </c>
      <c r="T273" s="30" t="str">
        <f t="shared" si="29"/>
        <v>OK</v>
      </c>
      <c r="U273" s="30" t="str">
        <f t="shared" si="30"/>
        <v>-</v>
      </c>
      <c r="V273" s="30" t="str" cm="1">
        <f t="array" ref="V273">_xlfn.IFS(
ISNUMBER(SEARCH("USA",S273)),"United States",
ISNUMBER(SEARCH("Republic of Korea",S273)),"South Korea",
ISNUMBER(SEARCH("Cape Verde",S273)),"Cabo Verde",
ISNUMBER(SEARCH("Czechia",S273)),"Czech Republic",
ISNUMBER(SEARCH("Türkiye",S273)),"Turkey",
ISNUMBER(SEARCH("Ivory Coast",S273)),"Côte d'Ivoire",
ISNUMBER(SEARCH("Korea Republic",S273)),"South Korea",
ISNUMBER(SEARCH("Germany FR",S273)),"FR Germany",
ISNUMBER(SEARCH("West Germany",S273)),"FR Germany",
ISNUMBER(SEARCH("Germany DR",S273)),"DR Germany",
ISNUMBER(SEARCH("Korea DPR",S273)),"North Korea",
ISNUMBER(SEARCH("China PR",S273)),"China",
ISNUMBER(SEARCH("IR Iran",S273)),"Iran",
ISNUMBER(SEARCH("Congo DR",S273)),"Democratic Republic of the Congo",
ISNUMBER(SEARCH("DR Congo",S273)),"Democratic Republic of the Congo",
ISNUMBER(SEARCH("German DR",S273)),"DR Germany",
ISNUMBER(SEARCH("rn""&gt;United Arab Emirates",S273)),"United Arab Emirates",
ISNUMBER(SEARCH("rn""&gt;Republic of Ireland",S273)),"Ireland",
ISNUMBER(SEARCH("rn""&gt;Bosnia and Herzegovina",S273)),"Bosnia and Herzegovina",
ISNUMBER(SEARCH("rn""&gt;Trinidad and Tobago",S273)),"Trinidad and Tobago",
ISNUMBER(SEARCH("rn""&gt;Serbia and Montenegro",S273)),"Serbia and Montenegro",
ISNUMBER(SEARCH(_xlfn.UNICHAR(65533),S273)),"Côte d'Ivoire",
TRUE,""
)</f>
        <v/>
      </c>
      <c r="W273" s="30" t="str">
        <f t="shared" si="31"/>
        <v>Brazil</v>
      </c>
      <c r="Z273" s="40" t="str">
        <v>Olympiastadion</v>
      </c>
      <c r="AA273" s="40" t="str" cm="1">
        <f t="array" ref="AA273">IFERROR(_xlfn.XLOOKUP(Z273,_xlfn.ANCHORARRAY(Z$31),AA$31:AA$37),Z273)</f>
        <v>Olympiastadion</v>
      </c>
      <c r="AB273" s="42" t="str">
        <v xml:space="preserve">Berlin West </v>
      </c>
      <c r="AC273" s="89" t="str">
        <f t="shared" si="28"/>
        <v xml:space="preserve">Berlin West </v>
      </c>
      <c r="AE273" s="42">
        <v>1966</v>
      </c>
      <c r="AK273" s="42">
        <v>2</v>
      </c>
      <c r="AL273" s="42">
        <v>1</v>
      </c>
      <c r="AV273" s="37" t="str">
        <v>ROUND_OF_16</v>
      </c>
      <c r="AW273" s="89" t="str">
        <v>GROUP_STAGE</v>
      </c>
      <c r="BE273" s="43" t="str">
        <f>IF(OR(DATA_CLEANED!AL264="",DATA_CLEANED!AM264=""),"MANQUANT",IF(OR(NOT(ISNUMBER(DATA_CLEANED!AL264)),NOT(ISNUMBER(DATA_CLEANED!AM264))),"ENTREE INVALIDE",IF(OR(DATA_CLEANED!AL264&lt;0,DATA_CLEANED!AM264&lt;0),"SCORE NEGATIF","OK")))</f>
        <v>OK</v>
      </c>
      <c r="BF273" s="43" t="str">
        <f>IF(DATA_CLEANED!AK264&lt;&gt;DATA_CLEANED!AN264,"OK","ERREUR")</f>
        <v>OK</v>
      </c>
      <c r="BG273" s="43" t="str">
        <f>IF(DATA_CLEANED!AL264&gt;DATA_CLEANED!AM264,DATA_CLEANED!AK264,IF(AND(DATA_QUALITE!W4750="-",DATA_CLEANED!AM264=DATA_CLEANED!AL264),"MATCH NUL",IF(AND(DATA_QUALITE!V4750="-",DATA_QUALITE!U4750="AUCUNE"),DATA_QUALITE!T4750,IF(DATA_QUALITE!V4750&lt;&gt;"-",DATA_QUALITE!V4750,DATA_CLEANED!AN264))))</f>
        <v>Poland</v>
      </c>
      <c r="BH273" s="103" t="str">
        <f>IF(AND(BG273="MATCH NUL",DATA_CLEANED!AO264="-"),"MATCH_NUL",IF(ISNUMBER(SEARCH("win on penalties",W4750)),"WIN_BY_PENALTY",IF(ISNUMBER(SEARCH("win after extra time",W4750)),"WIN_BY_EXTRA_TIME",IF(ISNUMBER(SEARCH("Golden Goal",W4750)),"WIN_BY_GOLDEN_GOAL","WIN_BY_SCORE"))))</f>
        <v>WIN_BY_SCORE</v>
      </c>
      <c r="BI273" s="99" t="str">
        <f>IF(OR(BG273=DATA_CLEANED!AK264,BG273=DATA_CLEANED!AN264,BG273="MATCH NUL"),"OK","ERREUR")</f>
        <v>OK</v>
      </c>
    </row>
    <row r="274" spans="2:61">
      <c r="B274" s="74">
        <v>2010</v>
      </c>
      <c r="C274" s="30" t="str">
        <v>Round of 16</v>
      </c>
      <c r="D274" s="30" t="str">
        <v>Paraguay</v>
      </c>
      <c r="E274" s="30" t="str">
        <v>Japan</v>
      </c>
      <c r="F274" s="30" t="str">
        <v>Japan</v>
      </c>
      <c r="G274" s="30" t="str">
        <v>Keisuke Honda</v>
      </c>
      <c r="H274" s="30" t="str">
        <v>Justo Villar</v>
      </c>
      <c r="I274" s="30">
        <v>8</v>
      </c>
      <c r="J274" s="30">
        <v>4</v>
      </c>
      <c r="K274" s="30" t="str">
        <v>'2-4</v>
      </c>
      <c r="L274" s="30" t="str">
        <v>No</v>
      </c>
      <c r="M274" s="30" t="str">
        <v>No</v>
      </c>
      <c r="N274" s="30" t="str">
        <v>Goal</v>
      </c>
      <c r="O274" s="30" t="str">
        <f t="shared" si="26"/>
        <v>2010|Round of 16|Paraguay|Japan|Japan|Keisuke Honda|Justo Villar|8|4|'2-4|No|No|Goal</v>
      </c>
      <c r="P274" s="96" t="str">
        <f>IF(COUNTIF($G$32:O274,O274)&gt;1,"DOUBLON","OK")</f>
        <v>OK</v>
      </c>
      <c r="S274" s="30" t="str">
        <v>Brazil</v>
      </c>
      <c r="T274" s="30" t="str">
        <f t="shared" si="29"/>
        <v>OK</v>
      </c>
      <c r="U274" s="30" t="str">
        <f t="shared" si="30"/>
        <v>-</v>
      </c>
      <c r="V274" s="30" t="str" cm="1">
        <f t="array" ref="V274">_xlfn.IFS(
ISNUMBER(SEARCH("USA",S274)),"United States",
ISNUMBER(SEARCH("Republic of Korea",S274)),"South Korea",
ISNUMBER(SEARCH("Cape Verde",S274)),"Cabo Verde",
ISNUMBER(SEARCH("Czechia",S274)),"Czech Republic",
ISNUMBER(SEARCH("Türkiye",S274)),"Turkey",
ISNUMBER(SEARCH("Ivory Coast",S274)),"Côte d'Ivoire",
ISNUMBER(SEARCH("Korea Republic",S274)),"South Korea",
ISNUMBER(SEARCH("Germany FR",S274)),"FR Germany",
ISNUMBER(SEARCH("West Germany",S274)),"FR Germany",
ISNUMBER(SEARCH("Germany DR",S274)),"DR Germany",
ISNUMBER(SEARCH("Korea DPR",S274)),"North Korea",
ISNUMBER(SEARCH("China PR",S274)),"China",
ISNUMBER(SEARCH("IR Iran",S274)),"Iran",
ISNUMBER(SEARCH("Congo DR",S274)),"Democratic Republic of the Congo",
ISNUMBER(SEARCH("DR Congo",S274)),"Democratic Republic of the Congo",
ISNUMBER(SEARCH("German DR",S274)),"DR Germany",
ISNUMBER(SEARCH("rn""&gt;United Arab Emirates",S274)),"United Arab Emirates",
ISNUMBER(SEARCH("rn""&gt;Republic of Ireland",S274)),"Ireland",
ISNUMBER(SEARCH("rn""&gt;Bosnia and Herzegovina",S274)),"Bosnia and Herzegovina",
ISNUMBER(SEARCH("rn""&gt;Trinidad and Tobago",S274)),"Trinidad and Tobago",
ISNUMBER(SEARCH("rn""&gt;Serbia and Montenegro",S274)),"Serbia and Montenegro",
ISNUMBER(SEARCH(_xlfn.UNICHAR(65533),S274)),"Côte d'Ivoire",
TRUE,""
)</f>
        <v/>
      </c>
      <c r="W274" s="30" t="str">
        <f t="shared" si="31"/>
        <v>Brazil</v>
      </c>
      <c r="Z274" s="40" t="str">
        <v>Volksparkstadion</v>
      </c>
      <c r="AA274" s="40" t="str" cm="1">
        <f t="array" ref="AA274">IFERROR(_xlfn.XLOOKUP(Z274,_xlfn.ANCHORARRAY(Z$31),AA$31:AA$37),Z274)</f>
        <v>Volksparkstadion</v>
      </c>
      <c r="AB274" s="42" t="str">
        <v xml:space="preserve">Hamburg </v>
      </c>
      <c r="AC274" s="89" t="str">
        <f t="shared" si="28"/>
        <v xml:space="preserve">Hamburg </v>
      </c>
      <c r="AE274" s="42">
        <v>1966</v>
      </c>
      <c r="AK274" s="42">
        <v>2</v>
      </c>
      <c r="AL274" s="42">
        <v>1</v>
      </c>
      <c r="AV274" s="37" t="str">
        <v>ROUND_OF_16</v>
      </c>
      <c r="AW274" s="89" t="str">
        <v>GROUP_STAGE</v>
      </c>
      <c r="BE274" s="43" t="str">
        <f>IF(OR(DATA_CLEANED!AL265="",DATA_CLEANED!AM265=""),"MANQUANT",IF(OR(NOT(ISNUMBER(DATA_CLEANED!AL265)),NOT(ISNUMBER(DATA_CLEANED!AM265))),"ENTREE INVALIDE",IF(OR(DATA_CLEANED!AL265&lt;0,DATA_CLEANED!AM265&lt;0),"SCORE NEGATIF","OK")))</f>
        <v>OK</v>
      </c>
      <c r="BF274" s="43" t="str">
        <f>IF(DATA_CLEANED!AK265&lt;&gt;DATA_CLEANED!AN265,"OK","ERREUR")</f>
        <v>OK</v>
      </c>
      <c r="BG274" s="43" t="str">
        <f>IF(DATA_CLEANED!AL265&gt;DATA_CLEANED!AM265,DATA_CLEANED!AK265,IF(AND(DATA_QUALITE!W4751="-",DATA_CLEANED!AM265=DATA_CLEANED!AL265),"MATCH NUL",IF(AND(DATA_QUALITE!V4751="-",DATA_QUALITE!U4751="AUCUNE"),DATA_QUALITE!T4751,IF(DATA_QUALITE!V4751&lt;&gt;"-",DATA_QUALITE!V4751,DATA_CLEANED!AN265))))</f>
        <v>Netherlands</v>
      </c>
      <c r="BH274" s="103" t="str">
        <f>IF(AND(BG274="MATCH NUL",DATA_CLEANED!AO265="-"),"MATCH_NUL",IF(ISNUMBER(SEARCH("win on penalties",W4751)),"WIN_BY_PENALTY",IF(ISNUMBER(SEARCH("win after extra time",W4751)),"WIN_BY_EXTRA_TIME",IF(ISNUMBER(SEARCH("Golden Goal",W4751)),"WIN_BY_GOLDEN_GOAL","WIN_BY_SCORE"))))</f>
        <v>WIN_BY_SCORE</v>
      </c>
      <c r="BI274" s="99" t="str">
        <f>IF(OR(BG274=DATA_CLEANED!AK265,BG274=DATA_CLEANED!AN265,BG274="MATCH NUL"),"OK","ERREUR")</f>
        <v>OK</v>
      </c>
    </row>
    <row r="275" spans="2:61">
      <c r="B275" s="74">
        <v>2010</v>
      </c>
      <c r="C275" s="30" t="str">
        <v>Round of 16</v>
      </c>
      <c r="D275" s="30" t="str">
        <v>Paraguay</v>
      </c>
      <c r="E275" s="30" t="str">
        <v>Japan</v>
      </c>
      <c r="F275" s="30" t="str">
        <v>Paraguay</v>
      </c>
      <c r="G275" s="30" t="str">
        <v>Óscar Cardozo</v>
      </c>
      <c r="H275" s="30" t="str">
        <v>Eiji Kawashima</v>
      </c>
      <c r="I275" s="30">
        <v>9</v>
      </c>
      <c r="J275" s="30">
        <v>5</v>
      </c>
      <c r="K275" s="30" t="str">
        <v>'3-4</v>
      </c>
      <c r="L275" s="30" t="str">
        <v>No</v>
      </c>
      <c r="M275" s="30" t="str">
        <v>Yes</v>
      </c>
      <c r="N275" s="30" t="str">
        <v>Goal</v>
      </c>
      <c r="O275" s="30" t="str">
        <f t="shared" si="26"/>
        <v>2010|Round of 16|Paraguay|Japan|Paraguay|Óscar Cardozo|Eiji Kawashima|9|5|'3-4|No|Yes|Goal</v>
      </c>
      <c r="P275" s="96" t="str">
        <f>IF(COUNTIF($G$32:O275,O275)&gt;1,"DOUBLON","OK")</f>
        <v>OK</v>
      </c>
      <c r="S275" s="30" t="str">
        <v>Costa Rica</v>
      </c>
      <c r="T275" s="30" t="str">
        <f t="shared" si="29"/>
        <v>OK</v>
      </c>
      <c r="U275" s="30" t="str">
        <f t="shared" si="30"/>
        <v>-</v>
      </c>
      <c r="V275" s="30" t="str" cm="1">
        <f t="array" ref="V275">_xlfn.IFS(
ISNUMBER(SEARCH("USA",S275)),"United States",
ISNUMBER(SEARCH("Republic of Korea",S275)),"South Korea",
ISNUMBER(SEARCH("Cape Verde",S275)),"Cabo Verde",
ISNUMBER(SEARCH("Czechia",S275)),"Czech Republic",
ISNUMBER(SEARCH("Türkiye",S275)),"Turkey",
ISNUMBER(SEARCH("Ivory Coast",S275)),"Côte d'Ivoire",
ISNUMBER(SEARCH("Korea Republic",S275)),"South Korea",
ISNUMBER(SEARCH("Germany FR",S275)),"FR Germany",
ISNUMBER(SEARCH("West Germany",S275)),"FR Germany",
ISNUMBER(SEARCH("Germany DR",S275)),"DR Germany",
ISNUMBER(SEARCH("Korea DPR",S275)),"North Korea",
ISNUMBER(SEARCH("China PR",S275)),"China",
ISNUMBER(SEARCH("IR Iran",S275)),"Iran",
ISNUMBER(SEARCH("Congo DR",S275)),"Democratic Republic of the Congo",
ISNUMBER(SEARCH("DR Congo",S275)),"Democratic Republic of the Congo",
ISNUMBER(SEARCH("German DR",S275)),"DR Germany",
ISNUMBER(SEARCH("rn""&gt;United Arab Emirates",S275)),"United Arab Emirates",
ISNUMBER(SEARCH("rn""&gt;Republic of Ireland",S275)),"Ireland",
ISNUMBER(SEARCH("rn""&gt;Bosnia and Herzegovina",S275)),"Bosnia and Herzegovina",
ISNUMBER(SEARCH("rn""&gt;Trinidad and Tobago",S275)),"Trinidad and Tobago",
ISNUMBER(SEARCH("rn""&gt;Serbia and Montenegro",S275)),"Serbia and Montenegro",
ISNUMBER(SEARCH(_xlfn.UNICHAR(65533),S275)),"Côte d'Ivoire",
TRUE,""
)</f>
        <v/>
      </c>
      <c r="W275" s="30" t="str">
        <f t="shared" si="31"/>
        <v>Costa Rica</v>
      </c>
      <c r="Z275" s="40" t="str">
        <v>Westfalenstadion</v>
      </c>
      <c r="AA275" s="40" t="str" cm="1">
        <f t="array" ref="AA275">IFERROR(_xlfn.XLOOKUP(Z275,_xlfn.ANCHORARRAY(Z$31),AA$31:AA$37),Z275)</f>
        <v>Westfalenstadion</v>
      </c>
      <c r="AB275" s="42" t="str">
        <v xml:space="preserve">Dortmund </v>
      </c>
      <c r="AC275" s="89" t="str">
        <f t="shared" si="28"/>
        <v xml:space="preserve">Dortmund </v>
      </c>
      <c r="AE275" s="42">
        <v>1966</v>
      </c>
      <c r="AK275" s="42">
        <v>1</v>
      </c>
      <c r="AL275" s="42">
        <v>0</v>
      </c>
      <c r="AV275" s="37" t="str">
        <v>ROUND_OF_16</v>
      </c>
      <c r="AW275" s="89" t="str">
        <v>GROUP_STAGE</v>
      </c>
      <c r="BE275" s="43" t="str">
        <f>IF(OR(DATA_CLEANED!AL266="",DATA_CLEANED!AM266=""),"MANQUANT",IF(OR(NOT(ISNUMBER(DATA_CLEANED!AL266)),NOT(ISNUMBER(DATA_CLEANED!AM266))),"ENTREE INVALIDE",IF(OR(DATA_CLEANED!AL266&lt;0,DATA_CLEANED!AM266&lt;0),"SCORE NEGATIF","OK")))</f>
        <v>OK</v>
      </c>
      <c r="BF275" s="43" t="str">
        <f>IF(DATA_CLEANED!AK266&lt;&gt;DATA_CLEANED!AN266,"OK","ERREUR")</f>
        <v>OK</v>
      </c>
      <c r="BG275" s="43" t="str">
        <f>IF(DATA_CLEANED!AL266&gt;DATA_CLEANED!AM266,DATA_CLEANED!AK266,IF(AND(DATA_QUALITE!W4752="-",DATA_CLEANED!AM266=DATA_CLEANED!AL266),"MATCH NUL",IF(AND(DATA_QUALITE!V4752="-",DATA_QUALITE!U4752="AUCUNE"),DATA_QUALITE!T4752,IF(DATA_QUALITE!V4752&lt;&gt;"-",DATA_QUALITE!V4752,DATA_CLEANED!AN266))))</f>
        <v>FR Germany</v>
      </c>
      <c r="BH275" s="103" t="str">
        <f>IF(AND(BG275="MATCH NUL",DATA_CLEANED!AO266="-"),"MATCH_NUL",IF(ISNUMBER(SEARCH("win on penalties",W4752)),"WIN_BY_PENALTY",IF(ISNUMBER(SEARCH("win after extra time",W4752)),"WIN_BY_EXTRA_TIME",IF(ISNUMBER(SEARCH("Golden Goal",W4752)),"WIN_BY_GOLDEN_GOAL","WIN_BY_SCORE"))))</f>
        <v>WIN_BY_SCORE</v>
      </c>
      <c r="BI275" s="99" t="str">
        <f>IF(OR(BG275=DATA_CLEANED!AK266,BG275=DATA_CLEANED!AN266,BG275="MATCH NUL"),"OK","ERREUR")</f>
        <v>OK</v>
      </c>
    </row>
    <row r="276" spans="2:61">
      <c r="B276" s="74">
        <v>2010</v>
      </c>
      <c r="C276" s="30" t="str">
        <v>Quarter-finals</v>
      </c>
      <c r="D276" s="30" t="str">
        <v>Uruguay</v>
      </c>
      <c r="E276" s="30" t="str">
        <v>Ghana</v>
      </c>
      <c r="F276" s="30" t="str">
        <v>Uruguay</v>
      </c>
      <c r="G276" s="30" t="str">
        <v>Diego Forlán</v>
      </c>
      <c r="H276" s="30" t="str">
        <v>Richard Kingson</v>
      </c>
      <c r="I276" s="30">
        <v>1</v>
      </c>
      <c r="J276" s="30">
        <v>1</v>
      </c>
      <c r="K276" s="30" t="str">
        <v>'0-0</v>
      </c>
      <c r="L276" s="30" t="str">
        <v>No</v>
      </c>
      <c r="M276" s="30" t="str">
        <v>No</v>
      </c>
      <c r="N276" s="30" t="str">
        <v>Goal</v>
      </c>
      <c r="O276" s="30" t="str">
        <f t="shared" ref="O276:O339" si="32">B276&amp;"|"&amp;C276&amp;"|"&amp;D276&amp;"|"&amp;E276&amp;"|"&amp;F276&amp;"|"&amp;G276&amp;"|"&amp;H276&amp;"|"&amp;I276&amp;"|"&amp;J276&amp;"|"&amp;K276&amp;"|"&amp;L276&amp;"|"&amp;M276&amp;"|"&amp;N276</f>
        <v>2010|Quarter-finals|Uruguay|Ghana|Uruguay|Diego Forlán|Richard Kingson|1|1|'0-0|No|No|Goal</v>
      </c>
      <c r="P276" s="96" t="str">
        <f>IF(COUNTIF($G$32:O276,O276)&gt;1,"DOUBLON","OK")</f>
        <v>OK</v>
      </c>
      <c r="S276" s="30" t="str">
        <v>Costa Rica</v>
      </c>
      <c r="T276" s="30" t="str">
        <f t="shared" si="29"/>
        <v>OK</v>
      </c>
      <c r="U276" s="30" t="str">
        <f t="shared" si="30"/>
        <v>-</v>
      </c>
      <c r="V276" s="30" t="str" cm="1">
        <f t="array" ref="V276">_xlfn.IFS(
ISNUMBER(SEARCH("USA",S276)),"United States",
ISNUMBER(SEARCH("Republic of Korea",S276)),"South Korea",
ISNUMBER(SEARCH("Cape Verde",S276)),"Cabo Verde",
ISNUMBER(SEARCH("Czechia",S276)),"Czech Republic",
ISNUMBER(SEARCH("Türkiye",S276)),"Turkey",
ISNUMBER(SEARCH("Ivory Coast",S276)),"Côte d'Ivoire",
ISNUMBER(SEARCH("Korea Republic",S276)),"South Korea",
ISNUMBER(SEARCH("Germany FR",S276)),"FR Germany",
ISNUMBER(SEARCH("West Germany",S276)),"FR Germany",
ISNUMBER(SEARCH("Germany DR",S276)),"DR Germany",
ISNUMBER(SEARCH("Korea DPR",S276)),"North Korea",
ISNUMBER(SEARCH("China PR",S276)),"China",
ISNUMBER(SEARCH("IR Iran",S276)),"Iran",
ISNUMBER(SEARCH("Congo DR",S276)),"Democratic Republic of the Congo",
ISNUMBER(SEARCH("DR Congo",S276)),"Democratic Republic of the Congo",
ISNUMBER(SEARCH("German DR",S276)),"DR Germany",
ISNUMBER(SEARCH("rn""&gt;United Arab Emirates",S276)),"United Arab Emirates",
ISNUMBER(SEARCH("rn""&gt;Republic of Ireland",S276)),"Ireland",
ISNUMBER(SEARCH("rn""&gt;Bosnia and Herzegovina",S276)),"Bosnia and Herzegovina",
ISNUMBER(SEARCH("rn""&gt;Trinidad and Tobago",S276)),"Trinidad and Tobago",
ISNUMBER(SEARCH("rn""&gt;Serbia and Montenegro",S276)),"Serbia and Montenegro",
ISNUMBER(SEARCH(_xlfn.UNICHAR(65533),S276)),"Côte d'Ivoire",
TRUE,""
)</f>
        <v/>
      </c>
      <c r="W276" s="30" t="str">
        <f t="shared" si="31"/>
        <v>Costa Rica</v>
      </c>
      <c r="Z276" s="40" t="str">
        <v>Niedersachsenstadion</v>
      </c>
      <c r="AA276" s="40" t="str" cm="1">
        <f t="array" ref="AA276">IFERROR(_xlfn.XLOOKUP(Z276,_xlfn.ANCHORARRAY(Z$31),AA$31:AA$37),Z276)</f>
        <v>Niedersachsenstadion</v>
      </c>
      <c r="AB276" s="42" t="str">
        <v xml:space="preserve">Hanover </v>
      </c>
      <c r="AC276" s="89" t="str">
        <f t="shared" si="28"/>
        <v xml:space="preserve">Hanover </v>
      </c>
      <c r="AE276" s="42">
        <v>1966</v>
      </c>
      <c r="AK276" s="42">
        <v>4</v>
      </c>
      <c r="AL276" s="42">
        <v>0</v>
      </c>
      <c r="AV276" s="37" t="str">
        <v>ROUND_OF_16</v>
      </c>
      <c r="AW276" s="89" t="str">
        <v>GROUP_STAGE</v>
      </c>
      <c r="BE276" s="43" t="str">
        <f>IF(OR(DATA_CLEANED!AL267="",DATA_CLEANED!AM267=""),"MANQUANT",IF(OR(NOT(ISNUMBER(DATA_CLEANED!AL267)),NOT(ISNUMBER(DATA_CLEANED!AM267))),"ENTREE INVALIDE",IF(OR(DATA_CLEANED!AL267&lt;0,DATA_CLEANED!AM267&lt;0),"SCORE NEGATIF","OK")))</f>
        <v>OK</v>
      </c>
      <c r="BF276" s="43" t="str">
        <f>IF(DATA_CLEANED!AK267&lt;&gt;DATA_CLEANED!AN267,"OK","ERREUR")</f>
        <v>OK</v>
      </c>
      <c r="BG276" s="43" t="str">
        <f>IF(DATA_CLEANED!AL267&gt;DATA_CLEANED!AM267,DATA_CLEANED!AK267,IF(AND(DATA_QUALITE!W4753="-",DATA_CLEANED!AM267=DATA_CLEANED!AL267),"MATCH NUL",IF(AND(DATA_QUALITE!V4753="-",DATA_QUALITE!U4753="AUCUNE"),DATA_QUALITE!T4753,IF(DATA_QUALITE!V4753&lt;&gt;"-",DATA_QUALITE!V4753,DATA_CLEANED!AN267))))</f>
        <v>FR Germany</v>
      </c>
      <c r="BH276" s="103" t="str">
        <f>IF(AND(BG276="MATCH NUL",DATA_CLEANED!AO267="-"),"MATCH_NUL",IF(ISNUMBER(SEARCH("win on penalties",W4753)),"WIN_BY_PENALTY",IF(ISNUMBER(SEARCH("win after extra time",W4753)),"WIN_BY_EXTRA_TIME",IF(ISNUMBER(SEARCH("Golden Goal",W4753)),"WIN_BY_GOLDEN_GOAL","WIN_BY_SCORE"))))</f>
        <v>WIN_BY_SCORE</v>
      </c>
      <c r="BI276" s="99" t="str">
        <f>IF(OR(BG276=DATA_CLEANED!AK267,BG276=DATA_CLEANED!AN267,BG276="MATCH NUL"),"OK","ERREUR")</f>
        <v>OK</v>
      </c>
    </row>
    <row r="277" spans="2:61">
      <c r="B277" s="74">
        <v>2010</v>
      </c>
      <c r="C277" s="30" t="str">
        <v>Quarter-finals</v>
      </c>
      <c r="D277" s="30" t="str">
        <v>Uruguay</v>
      </c>
      <c r="E277" s="30" t="str">
        <v>Ghana</v>
      </c>
      <c r="F277" s="30" t="str">
        <v>Ghana</v>
      </c>
      <c r="G277" s="30" t="str">
        <v>Asamoah Gyan</v>
      </c>
      <c r="H277" s="30" t="str">
        <v>Fernando Muslera</v>
      </c>
      <c r="I277" s="30">
        <v>2</v>
      </c>
      <c r="J277" s="30">
        <v>1</v>
      </c>
      <c r="K277" s="30" t="str">
        <v>'1-0</v>
      </c>
      <c r="L277" s="30" t="str">
        <v>No</v>
      </c>
      <c r="M277" s="30" t="str">
        <v>No</v>
      </c>
      <c r="N277" s="30" t="str">
        <v>Goal</v>
      </c>
      <c r="O277" s="30" t="str">
        <f t="shared" si="32"/>
        <v>2010|Quarter-finals|Uruguay|Ghana|Ghana|Asamoah Gyan|Fernando Muslera|2|1|'1-0|No|No|Goal</v>
      </c>
      <c r="P277" s="96" t="str">
        <f>IF(COUNTIF($G$32:O277,O277)&gt;1,"DOUBLON","OK")</f>
        <v>OK</v>
      </c>
      <c r="S277" s="30" t="str">
        <v>Costa Rica</v>
      </c>
      <c r="T277" s="30" t="str">
        <f t="shared" si="29"/>
        <v>OK</v>
      </c>
      <c r="U277" s="30" t="str">
        <f t="shared" si="30"/>
        <v>-</v>
      </c>
      <c r="V277" s="30" t="str" cm="1">
        <f t="array" ref="V277">_xlfn.IFS(
ISNUMBER(SEARCH("USA",S277)),"United States",
ISNUMBER(SEARCH("Republic of Korea",S277)),"South Korea",
ISNUMBER(SEARCH("Cape Verde",S277)),"Cabo Verde",
ISNUMBER(SEARCH("Czechia",S277)),"Czech Republic",
ISNUMBER(SEARCH("Türkiye",S277)),"Turkey",
ISNUMBER(SEARCH("Ivory Coast",S277)),"Côte d'Ivoire",
ISNUMBER(SEARCH("Korea Republic",S277)),"South Korea",
ISNUMBER(SEARCH("Germany FR",S277)),"FR Germany",
ISNUMBER(SEARCH("West Germany",S277)),"FR Germany",
ISNUMBER(SEARCH("Germany DR",S277)),"DR Germany",
ISNUMBER(SEARCH("Korea DPR",S277)),"North Korea",
ISNUMBER(SEARCH("China PR",S277)),"China",
ISNUMBER(SEARCH("IR Iran",S277)),"Iran",
ISNUMBER(SEARCH("Congo DR",S277)),"Democratic Republic of the Congo",
ISNUMBER(SEARCH("DR Congo",S277)),"Democratic Republic of the Congo",
ISNUMBER(SEARCH("German DR",S277)),"DR Germany",
ISNUMBER(SEARCH("rn""&gt;United Arab Emirates",S277)),"United Arab Emirates",
ISNUMBER(SEARCH("rn""&gt;Republic of Ireland",S277)),"Ireland",
ISNUMBER(SEARCH("rn""&gt;Bosnia and Herzegovina",S277)),"Bosnia and Herzegovina",
ISNUMBER(SEARCH("rn""&gt;Trinidad and Tobago",S277)),"Trinidad and Tobago",
ISNUMBER(SEARCH("rn""&gt;Serbia and Montenegro",S277)),"Serbia and Montenegro",
ISNUMBER(SEARCH(_xlfn.UNICHAR(65533),S277)),"Côte d'Ivoire",
TRUE,""
)</f>
        <v/>
      </c>
      <c r="W277" s="30" t="str">
        <f t="shared" si="31"/>
        <v>Costa Rica</v>
      </c>
      <c r="Z277" s="40" t="str">
        <v>Rheinstadion</v>
      </c>
      <c r="AA277" s="40" t="str" cm="1">
        <f t="array" ref="AA277">IFERROR(_xlfn.XLOOKUP(Z277,_xlfn.ANCHORARRAY(Z$31),AA$31:AA$37),Z277)</f>
        <v>Rheinstadion</v>
      </c>
      <c r="AB277" s="42" t="str">
        <v xml:space="preserve">D�Sseldorf </v>
      </c>
      <c r="AC277" s="89" t="str">
        <f t="shared" si="28"/>
        <v>Düsseldorf</v>
      </c>
      <c r="AE277" s="42">
        <v>1966</v>
      </c>
      <c r="AK277" s="42">
        <v>2</v>
      </c>
      <c r="AL277" s="42">
        <v>1</v>
      </c>
      <c r="AV277" s="37" t="str">
        <v>QUARTER_FINALS</v>
      </c>
      <c r="AW277" s="89" t="str">
        <v>GROUP_STAGE</v>
      </c>
      <c r="BE277" s="43" t="str">
        <f>IF(OR(DATA_CLEANED!AL268="",DATA_CLEANED!AM268=""),"MANQUANT",IF(OR(NOT(ISNUMBER(DATA_CLEANED!AL268)),NOT(ISNUMBER(DATA_CLEANED!AM268))),"ENTREE INVALIDE",IF(OR(DATA_CLEANED!AL268&lt;0,DATA_CLEANED!AM268&lt;0),"SCORE NEGATIF","OK")))</f>
        <v>OK</v>
      </c>
      <c r="BF277" s="43" t="str">
        <f>IF(DATA_CLEANED!AK268&lt;&gt;DATA_CLEANED!AN268,"OK","ERREUR")</f>
        <v>OK</v>
      </c>
      <c r="BG277" s="43" t="str">
        <f>IF(DATA_CLEANED!AL268&gt;DATA_CLEANED!AM268,DATA_CLEANED!AK268,IF(AND(DATA_QUALITE!W4754="-",DATA_CLEANED!AM268=DATA_CLEANED!AL268),"MATCH NUL",IF(AND(DATA_QUALITE!V4754="-",DATA_QUALITE!U4754="AUCUNE"),DATA_QUALITE!T4754,IF(DATA_QUALITE!V4754&lt;&gt;"-",DATA_QUALITE!V4754,DATA_CLEANED!AN268))))</f>
        <v>Netherlands</v>
      </c>
      <c r="BH277" s="103" t="str">
        <f>IF(AND(BG277="MATCH NUL",DATA_CLEANED!AO268="-"),"MATCH_NUL",IF(ISNUMBER(SEARCH("win on penalties",W4754)),"WIN_BY_PENALTY",IF(ISNUMBER(SEARCH("win after extra time",W4754)),"WIN_BY_EXTRA_TIME",IF(ISNUMBER(SEARCH("Golden Goal",W4754)),"WIN_BY_GOLDEN_GOAL","WIN_BY_SCORE"))))</f>
        <v>WIN_BY_SCORE</v>
      </c>
      <c r="BI277" s="99" t="str">
        <f>IF(OR(BG277=DATA_CLEANED!AK268,BG277=DATA_CLEANED!AN268,BG277="MATCH NUL"),"OK","ERREUR")</f>
        <v>OK</v>
      </c>
    </row>
    <row r="278" spans="2:61">
      <c r="B278" s="74">
        <v>2010</v>
      </c>
      <c r="C278" s="30" t="str">
        <v>Quarter-finals</v>
      </c>
      <c r="D278" s="30" t="str">
        <v>Uruguay</v>
      </c>
      <c r="E278" s="30" t="str">
        <v>Ghana</v>
      </c>
      <c r="F278" s="30" t="str">
        <v>Uruguay</v>
      </c>
      <c r="G278" s="30" t="str">
        <v>Mauricio Victorino</v>
      </c>
      <c r="H278" s="30" t="str">
        <v>Richard Kingson</v>
      </c>
      <c r="I278" s="30">
        <v>3</v>
      </c>
      <c r="J278" s="30">
        <v>2</v>
      </c>
      <c r="K278" s="30" t="str">
        <v>'1-1</v>
      </c>
      <c r="L278" s="30" t="str">
        <v>No</v>
      </c>
      <c r="M278" s="30" t="str">
        <v>No</v>
      </c>
      <c r="N278" s="30" t="str">
        <v>Goal</v>
      </c>
      <c r="O278" s="30" t="str">
        <f t="shared" si="32"/>
        <v>2010|Quarter-finals|Uruguay|Ghana|Uruguay|Mauricio Victorino|Richard Kingson|3|2|'1-1|No|No|Goal</v>
      </c>
      <c r="P278" s="96" t="str">
        <f>IF(COUNTIF($G$32:O278,O278)&gt;1,"DOUBLON","OK")</f>
        <v>OK</v>
      </c>
      <c r="S278" s="30" t="str">
        <v>Costa Rica</v>
      </c>
      <c r="T278" s="30" t="str">
        <f t="shared" si="29"/>
        <v>OK</v>
      </c>
      <c r="U278" s="30" t="str">
        <f t="shared" si="30"/>
        <v>-</v>
      </c>
      <c r="V278" s="30" t="str" cm="1">
        <f t="array" ref="V278">_xlfn.IFS(
ISNUMBER(SEARCH("USA",S278)),"United States",
ISNUMBER(SEARCH("Republic of Korea",S278)),"South Korea",
ISNUMBER(SEARCH("Cape Verde",S278)),"Cabo Verde",
ISNUMBER(SEARCH("Czechia",S278)),"Czech Republic",
ISNUMBER(SEARCH("Türkiye",S278)),"Turkey",
ISNUMBER(SEARCH("Ivory Coast",S278)),"Côte d'Ivoire",
ISNUMBER(SEARCH("Korea Republic",S278)),"South Korea",
ISNUMBER(SEARCH("Germany FR",S278)),"FR Germany",
ISNUMBER(SEARCH("West Germany",S278)),"FR Germany",
ISNUMBER(SEARCH("Germany DR",S278)),"DR Germany",
ISNUMBER(SEARCH("Korea DPR",S278)),"North Korea",
ISNUMBER(SEARCH("China PR",S278)),"China",
ISNUMBER(SEARCH("IR Iran",S278)),"Iran",
ISNUMBER(SEARCH("Congo DR",S278)),"Democratic Republic of the Congo",
ISNUMBER(SEARCH("DR Congo",S278)),"Democratic Republic of the Congo",
ISNUMBER(SEARCH("German DR",S278)),"DR Germany",
ISNUMBER(SEARCH("rn""&gt;United Arab Emirates",S278)),"United Arab Emirates",
ISNUMBER(SEARCH("rn""&gt;Republic of Ireland",S278)),"Ireland",
ISNUMBER(SEARCH("rn""&gt;Bosnia and Herzegovina",S278)),"Bosnia and Herzegovina",
ISNUMBER(SEARCH("rn""&gt;Trinidad and Tobago",S278)),"Trinidad and Tobago",
ISNUMBER(SEARCH("rn""&gt;Serbia and Montenegro",S278)),"Serbia and Montenegro",
ISNUMBER(SEARCH(_xlfn.UNICHAR(65533),S278)),"Côte d'Ivoire",
TRUE,""
)</f>
        <v/>
      </c>
      <c r="W278" s="30" t="str">
        <f t="shared" si="31"/>
        <v>Costa Rica</v>
      </c>
      <c r="Z278" s="40" t="str">
        <v>Olympiastadion</v>
      </c>
      <c r="AA278" s="40" t="str" cm="1">
        <f t="array" ref="AA278">IFERROR(_xlfn.XLOOKUP(Z278,_xlfn.ANCHORARRAY(Z$31),AA$31:AA$37),Z278)</f>
        <v>Olympiastadion</v>
      </c>
      <c r="AB278" s="42" t="str">
        <v xml:space="preserve">Munich </v>
      </c>
      <c r="AC278" s="89" t="str">
        <f t="shared" si="28"/>
        <v xml:space="preserve">Munich </v>
      </c>
      <c r="AE278" s="42">
        <v>1966</v>
      </c>
      <c r="AK278" s="42">
        <v>5</v>
      </c>
      <c r="AL278" s="42">
        <v>3</v>
      </c>
      <c r="AV278" s="37" t="str">
        <v>QUARTER_FINALS</v>
      </c>
      <c r="AW278" s="89" t="str">
        <v>GROUP_STAGE</v>
      </c>
      <c r="BE278" s="43" t="str">
        <f>IF(OR(DATA_CLEANED!AL269="",DATA_CLEANED!AM269=""),"MANQUANT",IF(OR(NOT(ISNUMBER(DATA_CLEANED!AL269)),NOT(ISNUMBER(DATA_CLEANED!AM269))),"ENTREE INVALIDE",IF(OR(DATA_CLEANED!AL269&lt;0,DATA_CLEANED!AM269&lt;0),"SCORE NEGATIF","OK")))</f>
        <v>OK</v>
      </c>
      <c r="BF278" s="43" t="str">
        <f>IF(DATA_CLEANED!AK269&lt;&gt;DATA_CLEANED!AN269,"OK","ERREUR")</f>
        <v>OK</v>
      </c>
      <c r="BG278" s="43" t="str">
        <f>IF(DATA_CLEANED!AL269&gt;DATA_CLEANED!AM269,DATA_CLEANED!AK269,IF(AND(DATA_QUALITE!W4755="-",DATA_CLEANED!AM269=DATA_CLEANED!AL269),"MATCH NUL",IF(AND(DATA_QUALITE!V4755="-",DATA_QUALITE!U4755="AUCUNE"),DATA_QUALITE!T4755,IF(DATA_QUALITE!V4755&lt;&gt;"-",DATA_QUALITE!V4755,DATA_CLEANED!AN269))))</f>
        <v>MATCH NUL</v>
      </c>
      <c r="BH278" s="103" t="str">
        <f>IF(AND(BG278="MATCH NUL",DATA_CLEANED!AO269="-"),"MATCH_NUL",IF(ISNUMBER(SEARCH("win on penalties",W4755)),"WIN_BY_PENALTY",IF(ISNUMBER(SEARCH("win after extra time",W4755)),"WIN_BY_EXTRA_TIME",IF(ISNUMBER(SEARCH("Golden Goal",W4755)),"WIN_BY_GOLDEN_GOAL","WIN_BY_SCORE"))))</f>
        <v>MATCH_NUL</v>
      </c>
      <c r="BI278" s="99" t="str">
        <f>IF(OR(BG278=DATA_CLEANED!AK269,BG278=DATA_CLEANED!AN269,BG278="MATCH NUL"),"OK","ERREUR")</f>
        <v>OK</v>
      </c>
    </row>
    <row r="279" spans="2:61">
      <c r="B279" s="74">
        <v>2010</v>
      </c>
      <c r="C279" s="30" t="str">
        <v>Quarter-finals</v>
      </c>
      <c r="D279" s="30" t="str">
        <v>Uruguay</v>
      </c>
      <c r="E279" s="30" t="str">
        <v>Ghana</v>
      </c>
      <c r="F279" s="30" t="str">
        <v>Ghana</v>
      </c>
      <c r="G279" s="30" t="str">
        <v>Appiah</v>
      </c>
      <c r="H279" s="30" t="str">
        <v>Fernando Muslera</v>
      </c>
      <c r="I279" s="30">
        <v>4</v>
      </c>
      <c r="J279" s="30">
        <v>2</v>
      </c>
      <c r="K279" s="30" t="str">
        <v>'1-2</v>
      </c>
      <c r="L279" s="30" t="str">
        <v>No</v>
      </c>
      <c r="M279" s="30" t="str">
        <v>No</v>
      </c>
      <c r="N279" s="30" t="str">
        <v>Goal</v>
      </c>
      <c r="O279" s="30" t="str">
        <f t="shared" si="32"/>
        <v>2010|Quarter-finals|Uruguay|Ghana|Ghana|Appiah|Fernando Muslera|4|2|'1-2|No|No|Goal</v>
      </c>
      <c r="P279" s="96" t="str">
        <f>IF(COUNTIF($G$32:O279,O279)&gt;1,"DOUBLON","OK")</f>
        <v>OK</v>
      </c>
      <c r="S279" s="30" t="str">
        <v>Costa Rica</v>
      </c>
      <c r="T279" s="30" t="str">
        <f t="shared" si="29"/>
        <v>OK</v>
      </c>
      <c r="U279" s="30" t="str">
        <f t="shared" si="30"/>
        <v>-</v>
      </c>
      <c r="V279" s="30" t="str" cm="1">
        <f t="array" ref="V279">_xlfn.IFS(
ISNUMBER(SEARCH("USA",S279)),"United States",
ISNUMBER(SEARCH("Republic of Korea",S279)),"South Korea",
ISNUMBER(SEARCH("Cape Verde",S279)),"Cabo Verde",
ISNUMBER(SEARCH("Czechia",S279)),"Czech Republic",
ISNUMBER(SEARCH("Türkiye",S279)),"Turkey",
ISNUMBER(SEARCH("Ivory Coast",S279)),"Côte d'Ivoire",
ISNUMBER(SEARCH("Korea Republic",S279)),"South Korea",
ISNUMBER(SEARCH("Germany FR",S279)),"FR Germany",
ISNUMBER(SEARCH("West Germany",S279)),"FR Germany",
ISNUMBER(SEARCH("Germany DR",S279)),"DR Germany",
ISNUMBER(SEARCH("Korea DPR",S279)),"North Korea",
ISNUMBER(SEARCH("China PR",S279)),"China",
ISNUMBER(SEARCH("IR Iran",S279)),"Iran",
ISNUMBER(SEARCH("Congo DR",S279)),"Democratic Republic of the Congo",
ISNUMBER(SEARCH("DR Congo",S279)),"Democratic Republic of the Congo",
ISNUMBER(SEARCH("German DR",S279)),"DR Germany",
ISNUMBER(SEARCH("rn""&gt;United Arab Emirates",S279)),"United Arab Emirates",
ISNUMBER(SEARCH("rn""&gt;Republic of Ireland",S279)),"Ireland",
ISNUMBER(SEARCH("rn""&gt;Bosnia and Herzegovina",S279)),"Bosnia and Herzegovina",
ISNUMBER(SEARCH("rn""&gt;Trinidad and Tobago",S279)),"Trinidad and Tobago",
ISNUMBER(SEARCH("rn""&gt;Serbia and Montenegro",S279)),"Serbia and Montenegro",
ISNUMBER(SEARCH(_xlfn.UNICHAR(65533),S279)),"Côte d'Ivoire",
TRUE,""
)</f>
        <v/>
      </c>
      <c r="W279" s="30" t="str">
        <f t="shared" si="31"/>
        <v>Costa Rica</v>
      </c>
      <c r="Z279" s="40" t="str">
        <v>Neckarstadion</v>
      </c>
      <c r="AA279" s="40" t="str" cm="1">
        <f t="array" ref="AA279">IFERROR(_xlfn.XLOOKUP(Z279,_xlfn.ANCHORARRAY(Z$31),AA$31:AA$37),Z279)</f>
        <v>Neckarstadion</v>
      </c>
      <c r="AB279" s="42" t="str">
        <v xml:space="preserve">Stuttgart </v>
      </c>
      <c r="AC279" s="89" t="str">
        <f t="shared" si="28"/>
        <v xml:space="preserve">Stuttgart </v>
      </c>
      <c r="AE279" s="42">
        <v>1966</v>
      </c>
      <c r="AK279" s="42">
        <v>2</v>
      </c>
      <c r="AL279" s="42">
        <v>1</v>
      </c>
      <c r="AV279" s="37" t="str">
        <v>QUARTER_FINALS</v>
      </c>
      <c r="AW279" s="89" t="str">
        <v>GROUP_STAGE</v>
      </c>
      <c r="BE279" s="43" t="str">
        <f>IF(OR(DATA_CLEANED!AL270="",DATA_CLEANED!AM270=""),"MANQUANT",IF(OR(NOT(ISNUMBER(DATA_CLEANED!AL270)),NOT(ISNUMBER(DATA_CLEANED!AM270))),"ENTREE INVALIDE",IF(OR(DATA_CLEANED!AL270&lt;0,DATA_CLEANED!AM270&lt;0),"SCORE NEGATIF","OK")))</f>
        <v>OK</v>
      </c>
      <c r="BF279" s="43" t="str">
        <f>IF(DATA_CLEANED!AK270&lt;&gt;DATA_CLEANED!AN270,"OK","ERREUR")</f>
        <v>OK</v>
      </c>
      <c r="BG279" s="43" t="str">
        <f>IF(DATA_CLEANED!AL270&gt;DATA_CLEANED!AM270,DATA_CLEANED!AK270,IF(AND(DATA_QUALITE!W4756="-",DATA_CLEANED!AM270=DATA_CLEANED!AL270),"MATCH NUL",IF(AND(DATA_QUALITE!V4756="-",DATA_QUALITE!U4756="AUCUNE"),DATA_QUALITE!T4756,IF(DATA_QUALITE!V4756&lt;&gt;"-",DATA_QUALITE!V4756,DATA_CLEANED!AN270))))</f>
        <v>Sweden</v>
      </c>
      <c r="BH279" s="103" t="str">
        <f>IF(AND(BG279="MATCH NUL",DATA_CLEANED!AO270="-"),"MATCH_NUL",IF(ISNUMBER(SEARCH("win on penalties",W4756)),"WIN_BY_PENALTY",IF(ISNUMBER(SEARCH("win after extra time",W4756)),"WIN_BY_EXTRA_TIME",IF(ISNUMBER(SEARCH("Golden Goal",W4756)),"WIN_BY_GOLDEN_GOAL","WIN_BY_SCORE"))))</f>
        <v>WIN_BY_SCORE</v>
      </c>
      <c r="BI279" s="99" t="str">
        <f>IF(OR(BG279=DATA_CLEANED!AK270,BG279=DATA_CLEANED!AN270,BG279="MATCH NUL"),"OK","ERREUR")</f>
        <v>OK</v>
      </c>
    </row>
    <row r="280" spans="2:61">
      <c r="B280" s="74">
        <v>2010</v>
      </c>
      <c r="C280" s="30" t="str">
        <v>Quarter-finals</v>
      </c>
      <c r="D280" s="30" t="str">
        <v>Uruguay</v>
      </c>
      <c r="E280" s="30" t="str">
        <v>Ghana</v>
      </c>
      <c r="F280" s="30" t="str">
        <v>Uruguay</v>
      </c>
      <c r="G280" s="30" t="str">
        <v>Andrés Scotti</v>
      </c>
      <c r="H280" s="30" t="str">
        <v>Richard Kingson</v>
      </c>
      <c r="I280" s="30">
        <v>5</v>
      </c>
      <c r="J280" s="30">
        <v>3</v>
      </c>
      <c r="K280" s="30" t="str">
        <v>'2-2</v>
      </c>
      <c r="L280" s="30" t="str">
        <v>No</v>
      </c>
      <c r="M280" s="30" t="str">
        <v>No</v>
      </c>
      <c r="N280" s="30" t="str">
        <v>Goal</v>
      </c>
      <c r="O280" s="30" t="str">
        <f t="shared" si="32"/>
        <v>2010|Quarter-finals|Uruguay|Ghana|Uruguay|Andrés Scotti|Richard Kingson|5|3|'2-2|No|No|Goal</v>
      </c>
      <c r="P280" s="96" t="str">
        <f>IF(COUNTIF($G$32:O280,O280)&gt;1,"DOUBLON","OK")</f>
        <v>OK</v>
      </c>
      <c r="S280" s="30" t="str">
        <v>Costa Rica</v>
      </c>
      <c r="T280" s="30" t="str">
        <f t="shared" si="29"/>
        <v>OK</v>
      </c>
      <c r="U280" s="30" t="str">
        <f t="shared" si="30"/>
        <v>-</v>
      </c>
      <c r="V280" s="30" t="str" cm="1">
        <f t="array" ref="V280">_xlfn.IFS(
ISNUMBER(SEARCH("USA",S280)),"United States",
ISNUMBER(SEARCH("Republic of Korea",S280)),"South Korea",
ISNUMBER(SEARCH("Cape Verde",S280)),"Cabo Verde",
ISNUMBER(SEARCH("Czechia",S280)),"Czech Republic",
ISNUMBER(SEARCH("Türkiye",S280)),"Turkey",
ISNUMBER(SEARCH("Ivory Coast",S280)),"Côte d'Ivoire",
ISNUMBER(SEARCH("Korea Republic",S280)),"South Korea",
ISNUMBER(SEARCH("Germany FR",S280)),"FR Germany",
ISNUMBER(SEARCH("West Germany",S280)),"FR Germany",
ISNUMBER(SEARCH("Germany DR",S280)),"DR Germany",
ISNUMBER(SEARCH("Korea DPR",S280)),"North Korea",
ISNUMBER(SEARCH("China PR",S280)),"China",
ISNUMBER(SEARCH("IR Iran",S280)),"Iran",
ISNUMBER(SEARCH("Congo DR",S280)),"Democratic Republic of the Congo",
ISNUMBER(SEARCH("DR Congo",S280)),"Democratic Republic of the Congo",
ISNUMBER(SEARCH("German DR",S280)),"DR Germany",
ISNUMBER(SEARCH("rn""&gt;United Arab Emirates",S280)),"United Arab Emirates",
ISNUMBER(SEARCH("rn""&gt;Republic of Ireland",S280)),"Ireland",
ISNUMBER(SEARCH("rn""&gt;Bosnia and Herzegovina",S280)),"Bosnia and Herzegovina",
ISNUMBER(SEARCH("rn""&gt;Trinidad and Tobago",S280)),"Trinidad and Tobago",
ISNUMBER(SEARCH("rn""&gt;Serbia and Montenegro",S280)),"Serbia and Montenegro",
ISNUMBER(SEARCH(_xlfn.UNICHAR(65533),S280)),"Côte d'Ivoire",
TRUE,""
)</f>
        <v/>
      </c>
      <c r="W280" s="30" t="str">
        <f t="shared" si="31"/>
        <v>Costa Rica</v>
      </c>
      <c r="Z280" s="40" t="str">
        <v>Volksparkstadion</v>
      </c>
      <c r="AA280" s="40" t="str" cm="1">
        <f t="array" ref="AA280">IFERROR(_xlfn.XLOOKUP(Z280,_xlfn.ANCHORARRAY(Z$31),AA$31:AA$37),Z280)</f>
        <v>Volksparkstadion</v>
      </c>
      <c r="AB280" s="42" t="str">
        <v xml:space="preserve">Hamburg </v>
      </c>
      <c r="AC280" s="89" t="str">
        <f t="shared" si="28"/>
        <v xml:space="preserve">Hamburg </v>
      </c>
      <c r="AE280" s="42">
        <v>1966</v>
      </c>
      <c r="AK280" s="42">
        <v>2</v>
      </c>
      <c r="AL280" s="42">
        <v>1</v>
      </c>
      <c r="AV280" s="37" t="str">
        <v>QUARTER_FINALS</v>
      </c>
      <c r="AW280" s="89" t="str">
        <v>THIRD_PLACE</v>
      </c>
      <c r="BE280" s="43" t="str">
        <f>IF(OR(DATA_CLEANED!AL271="",DATA_CLEANED!AM271=""),"MANQUANT",IF(OR(NOT(ISNUMBER(DATA_CLEANED!AL271)),NOT(ISNUMBER(DATA_CLEANED!AM271))),"ENTREE INVALIDE",IF(OR(DATA_CLEANED!AL271&lt;0,DATA_CLEANED!AM271&lt;0),"SCORE NEGATIF","OK")))</f>
        <v>OK</v>
      </c>
      <c r="BF280" s="43" t="str">
        <f>IF(DATA_CLEANED!AK271&lt;&gt;DATA_CLEANED!AN271,"OK","ERREUR")</f>
        <v>OK</v>
      </c>
      <c r="BG280" s="43" t="str">
        <f>IF(DATA_CLEANED!AL271&gt;DATA_CLEANED!AM271,DATA_CLEANED!AK271,IF(AND(DATA_QUALITE!W4757="-",DATA_CLEANED!AM271=DATA_CLEANED!AL271),"MATCH NUL",IF(AND(DATA_QUALITE!V4757="-",DATA_QUALITE!U4757="AUCUNE"),DATA_QUALITE!T4757,IF(DATA_QUALITE!V4757&lt;&gt;"-",DATA_QUALITE!V4757,DATA_CLEANED!AN271))))</f>
        <v>Poland</v>
      </c>
      <c r="BH280" s="103" t="str">
        <f>IF(AND(BG280="MATCH NUL",DATA_CLEANED!AO271="-"),"MATCH_NUL",IF(ISNUMBER(SEARCH("win on penalties",W4757)),"WIN_BY_PENALTY",IF(ISNUMBER(SEARCH("win after extra time",W4757)),"WIN_BY_EXTRA_TIME",IF(ISNUMBER(SEARCH("Golden Goal",W4757)),"WIN_BY_GOLDEN_GOAL","WIN_BY_SCORE"))))</f>
        <v>WIN_BY_SCORE</v>
      </c>
      <c r="BI280" s="99" t="str">
        <f>IF(OR(BG280=DATA_CLEANED!AK271,BG280=DATA_CLEANED!AN271,BG280="MATCH NUL"),"OK","ERREUR")</f>
        <v>OK</v>
      </c>
    </row>
    <row r="281" spans="2:61">
      <c r="B281" s="74">
        <v>2010</v>
      </c>
      <c r="C281" s="30" t="str">
        <v>Quarter-finals</v>
      </c>
      <c r="D281" s="30" t="str">
        <v>Uruguay</v>
      </c>
      <c r="E281" s="30" t="str">
        <v>Ghana</v>
      </c>
      <c r="F281" s="30" t="str">
        <v>Ghana</v>
      </c>
      <c r="G281" s="30" t="str">
        <v>John Mensah</v>
      </c>
      <c r="H281" s="30" t="str">
        <v>Fernando Muslera</v>
      </c>
      <c r="I281" s="30">
        <v>6</v>
      </c>
      <c r="J281" s="30">
        <v>3</v>
      </c>
      <c r="K281" s="30" t="str">
        <v>'2-3</v>
      </c>
      <c r="L281" s="30" t="str">
        <v>No</v>
      </c>
      <c r="M281" s="30" t="str">
        <v>No</v>
      </c>
      <c r="N281" s="30" t="str">
        <v>Saved</v>
      </c>
      <c r="O281" s="30" t="str">
        <f t="shared" si="32"/>
        <v>2010|Quarter-finals|Uruguay|Ghana|Ghana|John Mensah|Fernando Muslera|6|3|'2-3|No|No|Saved</v>
      </c>
      <c r="P281" s="96" t="str">
        <f>IF(COUNTIF($G$32:O281,O281)&gt;1,"DOUBLON","OK")</f>
        <v>OK</v>
      </c>
      <c r="S281" s="30" t="str">
        <v>Costa Rica</v>
      </c>
      <c r="T281" s="30" t="str">
        <f t="shared" si="29"/>
        <v>OK</v>
      </c>
      <c r="U281" s="30" t="str">
        <f t="shared" si="30"/>
        <v>-</v>
      </c>
      <c r="V281" s="30" t="str" cm="1">
        <f t="array" ref="V281">_xlfn.IFS(
ISNUMBER(SEARCH("USA",S281)),"United States",
ISNUMBER(SEARCH("Republic of Korea",S281)),"South Korea",
ISNUMBER(SEARCH("Cape Verde",S281)),"Cabo Verde",
ISNUMBER(SEARCH("Czechia",S281)),"Czech Republic",
ISNUMBER(SEARCH("Türkiye",S281)),"Turkey",
ISNUMBER(SEARCH("Ivory Coast",S281)),"Côte d'Ivoire",
ISNUMBER(SEARCH("Korea Republic",S281)),"South Korea",
ISNUMBER(SEARCH("Germany FR",S281)),"FR Germany",
ISNUMBER(SEARCH("West Germany",S281)),"FR Germany",
ISNUMBER(SEARCH("Germany DR",S281)),"DR Germany",
ISNUMBER(SEARCH("Korea DPR",S281)),"North Korea",
ISNUMBER(SEARCH("China PR",S281)),"China",
ISNUMBER(SEARCH("IR Iran",S281)),"Iran",
ISNUMBER(SEARCH("Congo DR",S281)),"Democratic Republic of the Congo",
ISNUMBER(SEARCH("DR Congo",S281)),"Democratic Republic of the Congo",
ISNUMBER(SEARCH("German DR",S281)),"DR Germany",
ISNUMBER(SEARCH("rn""&gt;United Arab Emirates",S281)),"United Arab Emirates",
ISNUMBER(SEARCH("rn""&gt;Republic of Ireland",S281)),"Ireland",
ISNUMBER(SEARCH("rn""&gt;Bosnia and Herzegovina",S281)),"Bosnia and Herzegovina",
ISNUMBER(SEARCH("rn""&gt;Trinidad and Tobago",S281)),"Trinidad and Tobago",
ISNUMBER(SEARCH("rn""&gt;Serbia and Montenegro",S281)),"Serbia and Montenegro",
ISNUMBER(SEARCH(_xlfn.UNICHAR(65533),S281)),"Côte d'Ivoire",
TRUE,""
)</f>
        <v/>
      </c>
      <c r="W281" s="30" t="str">
        <f t="shared" si="31"/>
        <v>Costa Rica</v>
      </c>
      <c r="Z281" s="40" t="str">
        <v>Waldstadion</v>
      </c>
      <c r="AA281" s="40" t="str" cm="1">
        <f t="array" ref="AA281">IFERROR(_xlfn.XLOOKUP(Z281,_xlfn.ANCHORARRAY(Z$31),AA$31:AA$37),Z281)</f>
        <v>Waldstadion</v>
      </c>
      <c r="AB281" s="42" t="str">
        <v xml:space="preserve">Frankfurt/Main </v>
      </c>
      <c r="AC281" s="89" t="str">
        <f t="shared" si="28"/>
        <v xml:space="preserve">Frankfurt/Main </v>
      </c>
      <c r="AE281" s="42">
        <v>1966</v>
      </c>
      <c r="AK281" s="42">
        <v>2</v>
      </c>
      <c r="AL281" s="42">
        <v>1</v>
      </c>
      <c r="AV281" s="37" t="str">
        <v>QUARTER_FINALS</v>
      </c>
      <c r="AW281" s="89" t="str">
        <v>FINAL</v>
      </c>
      <c r="BE281" s="43" t="str">
        <f>IF(OR(DATA_CLEANED!AL272="",DATA_CLEANED!AM272=""),"MANQUANT",IF(OR(NOT(ISNUMBER(DATA_CLEANED!AL272)),NOT(ISNUMBER(DATA_CLEANED!AM272))),"ENTREE INVALIDE",IF(OR(DATA_CLEANED!AL272&lt;0,DATA_CLEANED!AM272&lt;0),"SCORE NEGATIF","OK")))</f>
        <v>OK</v>
      </c>
      <c r="BF281" s="43" t="str">
        <f>IF(DATA_CLEANED!AK272&lt;&gt;DATA_CLEANED!AN272,"OK","ERREUR")</f>
        <v>OK</v>
      </c>
      <c r="BG281" s="43" t="str">
        <f>IF(DATA_CLEANED!AL272&gt;DATA_CLEANED!AM272,DATA_CLEANED!AK272,IF(AND(DATA_QUALITE!W4758="-",DATA_CLEANED!AM272=DATA_CLEANED!AL272),"MATCH NUL",IF(AND(DATA_QUALITE!V4758="-",DATA_QUALITE!U4758="AUCUNE"),DATA_QUALITE!T4758,IF(DATA_QUALITE!V4758&lt;&gt;"-",DATA_QUALITE!V4758,DATA_CLEANED!AN272))))</f>
        <v>FR Germany</v>
      </c>
      <c r="BH281" s="103" t="str">
        <f>IF(AND(BG281="MATCH NUL",DATA_CLEANED!AO272="-"),"MATCH_NUL",IF(ISNUMBER(SEARCH("win on penalties",W4758)),"WIN_BY_PENALTY",IF(ISNUMBER(SEARCH("win after extra time",W4758)),"WIN_BY_EXTRA_TIME",IF(ISNUMBER(SEARCH("Golden Goal",W4758)),"WIN_BY_GOLDEN_GOAL","WIN_BY_SCORE"))))</f>
        <v>WIN_BY_SCORE</v>
      </c>
      <c r="BI281" s="99" t="str">
        <f>IF(OR(BG281=DATA_CLEANED!AK272,BG281=DATA_CLEANED!AN272,BG281="MATCH NUL"),"OK","ERREUR")</f>
        <v>OK</v>
      </c>
    </row>
    <row r="282" spans="2:61">
      <c r="B282" s="74">
        <v>2010</v>
      </c>
      <c r="C282" s="30" t="str">
        <v>Quarter-finals</v>
      </c>
      <c r="D282" s="30" t="str">
        <v>Uruguay</v>
      </c>
      <c r="E282" s="30" t="str">
        <v>Ghana</v>
      </c>
      <c r="F282" s="30" t="str">
        <v>Uruguay</v>
      </c>
      <c r="G282" s="30" t="str">
        <v>Maxi Pereira</v>
      </c>
      <c r="H282" s="30" t="str">
        <v>Richard Kingson</v>
      </c>
      <c r="I282" s="30">
        <v>7</v>
      </c>
      <c r="J282" s="30">
        <v>4</v>
      </c>
      <c r="K282" s="30" t="str">
        <v>'2-3</v>
      </c>
      <c r="L282" s="30" t="str">
        <v>No</v>
      </c>
      <c r="M282" s="30" t="str">
        <v>No</v>
      </c>
      <c r="N282" s="30" t="str">
        <v>Missed</v>
      </c>
      <c r="O282" s="30" t="str">
        <f t="shared" si="32"/>
        <v>2010|Quarter-finals|Uruguay|Ghana|Uruguay|Maxi Pereira|Richard Kingson|7|4|'2-3|No|No|Missed</v>
      </c>
      <c r="P282" s="96" t="str">
        <f>IF(COUNTIF($G$32:O282,O282)&gt;1,"DOUBLON","OK")</f>
        <v>OK</v>
      </c>
      <c r="S282" s="30" t="str">
        <v>Costa Rica</v>
      </c>
      <c r="T282" s="30" t="str">
        <f t="shared" si="29"/>
        <v>OK</v>
      </c>
      <c r="U282" s="30" t="str">
        <f t="shared" si="30"/>
        <v>-</v>
      </c>
      <c r="V282" s="30" t="str" cm="1">
        <f t="array" ref="V282">_xlfn.IFS(
ISNUMBER(SEARCH("USA",S282)),"United States",
ISNUMBER(SEARCH("Republic of Korea",S282)),"South Korea",
ISNUMBER(SEARCH("Cape Verde",S282)),"Cabo Verde",
ISNUMBER(SEARCH("Czechia",S282)),"Czech Republic",
ISNUMBER(SEARCH("Türkiye",S282)),"Turkey",
ISNUMBER(SEARCH("Ivory Coast",S282)),"Côte d'Ivoire",
ISNUMBER(SEARCH("Korea Republic",S282)),"South Korea",
ISNUMBER(SEARCH("Germany FR",S282)),"FR Germany",
ISNUMBER(SEARCH("West Germany",S282)),"FR Germany",
ISNUMBER(SEARCH("Germany DR",S282)),"DR Germany",
ISNUMBER(SEARCH("Korea DPR",S282)),"North Korea",
ISNUMBER(SEARCH("China PR",S282)),"China",
ISNUMBER(SEARCH("IR Iran",S282)),"Iran",
ISNUMBER(SEARCH("Congo DR",S282)),"Democratic Republic of the Congo",
ISNUMBER(SEARCH("DR Congo",S282)),"Democratic Republic of the Congo",
ISNUMBER(SEARCH("German DR",S282)),"DR Germany",
ISNUMBER(SEARCH("rn""&gt;United Arab Emirates",S282)),"United Arab Emirates",
ISNUMBER(SEARCH("rn""&gt;Republic of Ireland",S282)),"Ireland",
ISNUMBER(SEARCH("rn""&gt;Bosnia and Herzegovina",S282)),"Bosnia and Herzegovina",
ISNUMBER(SEARCH("rn""&gt;Trinidad and Tobago",S282)),"Trinidad and Tobago",
ISNUMBER(SEARCH("rn""&gt;Serbia and Montenegro",S282)),"Serbia and Montenegro",
ISNUMBER(SEARCH(_xlfn.UNICHAR(65533),S282)),"Côte d'Ivoire",
TRUE,""
)</f>
        <v/>
      </c>
      <c r="W282" s="30" t="str">
        <f t="shared" si="31"/>
        <v>Costa Rica</v>
      </c>
      <c r="Z282" s="40" t="str">
        <v>Olympiastadion</v>
      </c>
      <c r="AA282" s="40" t="str" cm="1">
        <f t="array" ref="AA282">IFERROR(_xlfn.XLOOKUP(Z282,_xlfn.ANCHORARRAY(Z$31),AA$31:AA$37),Z282)</f>
        <v>Olympiastadion</v>
      </c>
      <c r="AB282" s="42" t="str">
        <v xml:space="preserve">Berlin West </v>
      </c>
      <c r="AC282" s="89" t="str">
        <f t="shared" si="28"/>
        <v xml:space="preserve">Berlin West </v>
      </c>
      <c r="AE282" s="42">
        <v>1966</v>
      </c>
      <c r="AK282" s="42">
        <v>4</v>
      </c>
      <c r="AL282" s="42">
        <v>2</v>
      </c>
      <c r="AV282" s="37" t="str">
        <v>QUARTER_FINALS</v>
      </c>
      <c r="AW282" s="89" t="str">
        <v>GROUP_STAGE</v>
      </c>
      <c r="BE282" s="43" t="str">
        <f>IF(OR(DATA_CLEANED!AL273="",DATA_CLEANED!AM273=""),"MANQUANT",IF(OR(NOT(ISNUMBER(DATA_CLEANED!AL273)),NOT(ISNUMBER(DATA_CLEANED!AM273))),"ENTREE INVALIDE",IF(OR(DATA_CLEANED!AL273&lt;0,DATA_CLEANED!AM273&lt;0),"SCORE NEGATIF","OK")))</f>
        <v>OK</v>
      </c>
      <c r="BF282" s="43" t="str">
        <f>IF(DATA_CLEANED!AK273&lt;&gt;DATA_CLEANED!AN273,"OK","ERREUR")</f>
        <v>OK</v>
      </c>
      <c r="BG282" s="43" t="str">
        <f>IF(DATA_CLEANED!AL273&gt;DATA_CLEANED!AM273,DATA_CLEANED!AK273,IF(AND(DATA_QUALITE!W4759="-",DATA_CLEANED!AM273=DATA_CLEANED!AL273),"MATCH NUL",IF(AND(DATA_QUALITE!V4759="-",DATA_QUALITE!U4759="AUCUNE"),DATA_QUALITE!T4759,IF(DATA_QUALITE!V4759&lt;&gt;"-",DATA_QUALITE!V4759,DATA_CLEANED!AN273))))</f>
        <v>MATCH NUL</v>
      </c>
      <c r="BH282" s="103" t="str">
        <f>IF(AND(BG282="MATCH NUL",DATA_CLEANED!AO273="-"),"MATCH_NUL",IF(ISNUMBER(SEARCH("win on penalties",W4759)),"WIN_BY_PENALTY",IF(ISNUMBER(SEARCH("win after extra time",W4759)),"WIN_BY_EXTRA_TIME",IF(ISNUMBER(SEARCH("Golden Goal",W4759)),"WIN_BY_GOLDEN_GOAL","WIN_BY_SCORE"))))</f>
        <v>MATCH_NUL</v>
      </c>
      <c r="BI282" s="99" t="str">
        <f>IF(OR(BG282=DATA_CLEANED!AK273,BG282=DATA_CLEANED!AN273,BG282="MATCH NUL"),"OK","ERREUR")</f>
        <v>OK</v>
      </c>
    </row>
    <row r="283" spans="2:61">
      <c r="B283" s="74">
        <v>2010</v>
      </c>
      <c r="C283" s="30" t="str">
        <v>Quarter-finals</v>
      </c>
      <c r="D283" s="30" t="str">
        <v>Uruguay</v>
      </c>
      <c r="E283" s="30" t="str">
        <v>Ghana</v>
      </c>
      <c r="F283" s="30" t="str">
        <v>Ghana</v>
      </c>
      <c r="G283" s="30" t="str">
        <v>Dominic Adiyiah</v>
      </c>
      <c r="H283" s="30" t="str">
        <v>Fernando Muslera</v>
      </c>
      <c r="I283" s="30">
        <v>8</v>
      </c>
      <c r="J283" s="30">
        <v>4</v>
      </c>
      <c r="K283" s="30" t="str">
        <v>'2-3</v>
      </c>
      <c r="L283" s="30" t="str">
        <v>No</v>
      </c>
      <c r="M283" s="30" t="str">
        <v>No</v>
      </c>
      <c r="N283" s="30" t="str">
        <v>Saved</v>
      </c>
      <c r="O283" s="30" t="str">
        <f t="shared" si="32"/>
        <v>2010|Quarter-finals|Uruguay|Ghana|Ghana|Dominic Adiyiah|Fernando Muslera|8|4|'2-3|No|No|Saved</v>
      </c>
      <c r="P283" s="96" t="str">
        <f>IF(COUNTIF($G$32:O283,O283)&gt;1,"DOUBLON","OK")</f>
        <v>OK</v>
      </c>
      <c r="S283" s="30" t="str">
        <v>Costa Rica</v>
      </c>
      <c r="T283" s="30" t="str">
        <f t="shared" si="29"/>
        <v>OK</v>
      </c>
      <c r="U283" s="30" t="str">
        <f t="shared" si="30"/>
        <v>-</v>
      </c>
      <c r="V283" s="30" t="str" cm="1">
        <f t="array" ref="V283">_xlfn.IFS(
ISNUMBER(SEARCH("USA",S283)),"United States",
ISNUMBER(SEARCH("Republic of Korea",S283)),"South Korea",
ISNUMBER(SEARCH("Cape Verde",S283)),"Cabo Verde",
ISNUMBER(SEARCH("Czechia",S283)),"Czech Republic",
ISNUMBER(SEARCH("Türkiye",S283)),"Turkey",
ISNUMBER(SEARCH("Ivory Coast",S283)),"Côte d'Ivoire",
ISNUMBER(SEARCH("Korea Republic",S283)),"South Korea",
ISNUMBER(SEARCH("Germany FR",S283)),"FR Germany",
ISNUMBER(SEARCH("West Germany",S283)),"FR Germany",
ISNUMBER(SEARCH("Germany DR",S283)),"DR Germany",
ISNUMBER(SEARCH("Korea DPR",S283)),"North Korea",
ISNUMBER(SEARCH("China PR",S283)),"China",
ISNUMBER(SEARCH("IR Iran",S283)),"Iran",
ISNUMBER(SEARCH("Congo DR",S283)),"Democratic Republic of the Congo",
ISNUMBER(SEARCH("DR Congo",S283)),"Democratic Republic of the Congo",
ISNUMBER(SEARCH("German DR",S283)),"DR Germany",
ISNUMBER(SEARCH("rn""&gt;United Arab Emirates",S283)),"United Arab Emirates",
ISNUMBER(SEARCH("rn""&gt;Republic of Ireland",S283)),"Ireland",
ISNUMBER(SEARCH("rn""&gt;Bosnia and Herzegovina",S283)),"Bosnia and Herzegovina",
ISNUMBER(SEARCH("rn""&gt;Trinidad and Tobago",S283)),"Trinidad and Tobago",
ISNUMBER(SEARCH("rn""&gt;Serbia and Montenegro",S283)),"Serbia and Montenegro",
ISNUMBER(SEARCH(_xlfn.UNICHAR(65533),S283)),"Côte d'Ivoire",
TRUE,""
)</f>
        <v/>
      </c>
      <c r="W283" s="30" t="str">
        <f t="shared" si="31"/>
        <v>Costa Rica</v>
      </c>
      <c r="Z283" s="40" t="str">
        <v>Parkstadion</v>
      </c>
      <c r="AA283" s="40" t="str" cm="1">
        <f t="array" ref="AA283">IFERROR(_xlfn.XLOOKUP(Z283,_xlfn.ANCHORARRAY(Z$31),AA$31:AA$37),Z283)</f>
        <v>Parkstadion</v>
      </c>
      <c r="AB283" s="42" t="str">
        <v xml:space="preserve">Gelsenkirchen </v>
      </c>
      <c r="AC283" s="89" t="str">
        <f t="shared" si="28"/>
        <v xml:space="preserve">Gelsenkirchen </v>
      </c>
      <c r="AE283" s="42">
        <v>1970</v>
      </c>
      <c r="AK283" s="42">
        <v>0</v>
      </c>
      <c r="AL283" s="42">
        <v>0</v>
      </c>
      <c r="AV283" s="37" t="str">
        <v>QUARTER_FINALS</v>
      </c>
      <c r="AW283" s="89" t="str">
        <v>GROUP_STAGE</v>
      </c>
      <c r="BE283" s="43" t="str">
        <f>IF(OR(DATA_CLEANED!AL274="",DATA_CLEANED!AM274=""),"MANQUANT",IF(OR(NOT(ISNUMBER(DATA_CLEANED!AL274)),NOT(ISNUMBER(DATA_CLEANED!AM274))),"ENTREE INVALIDE",IF(OR(DATA_CLEANED!AL274&lt;0,DATA_CLEANED!AM274&lt;0),"SCORE NEGATIF","OK")))</f>
        <v>OK</v>
      </c>
      <c r="BF283" s="43" t="str">
        <f>IF(DATA_CLEANED!AK274&lt;&gt;DATA_CLEANED!AN274,"OK","ERREUR")</f>
        <v>OK</v>
      </c>
      <c r="BG283" s="43" t="str">
        <f>IF(DATA_CLEANED!AL274&gt;DATA_CLEANED!AM274,DATA_CLEANED!AK274,IF(AND(DATA_QUALITE!W4760="-",DATA_CLEANED!AM274=DATA_CLEANED!AL274),"MATCH NUL",IF(AND(DATA_QUALITE!V4760="-",DATA_QUALITE!U4760="AUCUNE"),DATA_QUALITE!T4760,IF(DATA_QUALITE!V4760&lt;&gt;"-",DATA_QUALITE!V4760,DATA_CLEANED!AN274))))</f>
        <v>Italy</v>
      </c>
      <c r="BH283" s="103" t="str">
        <f>IF(AND(BG283="MATCH NUL",DATA_CLEANED!AO274="-"),"MATCH_NUL",IF(ISNUMBER(SEARCH("win on penalties",W4760)),"WIN_BY_PENALTY",IF(ISNUMBER(SEARCH("win after extra time",W4760)),"WIN_BY_EXTRA_TIME",IF(ISNUMBER(SEARCH("Golden Goal",W4760)),"WIN_BY_GOLDEN_GOAL","WIN_BY_SCORE"))))</f>
        <v>WIN_BY_SCORE</v>
      </c>
      <c r="BI283" s="99" t="str">
        <f>IF(OR(BG283=DATA_CLEANED!AK274,BG283=DATA_CLEANED!AN274,BG283="MATCH NUL"),"OK","ERREUR")</f>
        <v>OK</v>
      </c>
    </row>
    <row r="284" spans="2:61">
      <c r="B284" s="74">
        <v>2010</v>
      </c>
      <c r="C284" s="30" t="str">
        <v>Quarter-finals</v>
      </c>
      <c r="D284" s="30" t="str">
        <v>Uruguay</v>
      </c>
      <c r="E284" s="30" t="str">
        <v>Ghana</v>
      </c>
      <c r="F284" s="30" t="str">
        <v>Uruguay</v>
      </c>
      <c r="G284" s="30" t="str">
        <v>Sebastián Abreu</v>
      </c>
      <c r="H284" s="30" t="str">
        <v>Richard Kingson</v>
      </c>
      <c r="I284" s="30">
        <v>9</v>
      </c>
      <c r="J284" s="30">
        <v>5</v>
      </c>
      <c r="K284" s="30" t="str">
        <v>'2-3</v>
      </c>
      <c r="L284" s="30" t="str">
        <v>No</v>
      </c>
      <c r="M284" s="30" t="str">
        <v>Yes</v>
      </c>
      <c r="N284" s="30" t="str">
        <v>Goal</v>
      </c>
      <c r="O284" s="30" t="str">
        <f t="shared" si="32"/>
        <v>2010|Quarter-finals|Uruguay|Ghana|Uruguay|Sebastián Abreu|Richard Kingson|9|5|'2-3|No|Yes|Goal</v>
      </c>
      <c r="P284" s="96" t="str">
        <f>IF(COUNTIF($G$32:O284,O284)&gt;1,"DOUBLON","OK")</f>
        <v>OK</v>
      </c>
      <c r="S284" s="30" t="str">
        <v>Netherlands</v>
      </c>
      <c r="T284" s="30" t="str">
        <f t="shared" si="29"/>
        <v>OK</v>
      </c>
      <c r="U284" s="30" t="str">
        <f t="shared" si="30"/>
        <v>-</v>
      </c>
      <c r="V284" s="30" t="str" cm="1">
        <f t="array" ref="V284">_xlfn.IFS(
ISNUMBER(SEARCH("USA",S284)),"United States",
ISNUMBER(SEARCH("Republic of Korea",S284)),"South Korea",
ISNUMBER(SEARCH("Cape Verde",S284)),"Cabo Verde",
ISNUMBER(SEARCH("Czechia",S284)),"Czech Republic",
ISNUMBER(SEARCH("Türkiye",S284)),"Turkey",
ISNUMBER(SEARCH("Ivory Coast",S284)),"Côte d'Ivoire",
ISNUMBER(SEARCH("Korea Republic",S284)),"South Korea",
ISNUMBER(SEARCH("Germany FR",S284)),"FR Germany",
ISNUMBER(SEARCH("West Germany",S284)),"FR Germany",
ISNUMBER(SEARCH("Germany DR",S284)),"DR Germany",
ISNUMBER(SEARCH("Korea DPR",S284)),"North Korea",
ISNUMBER(SEARCH("China PR",S284)),"China",
ISNUMBER(SEARCH("IR Iran",S284)),"Iran",
ISNUMBER(SEARCH("Congo DR",S284)),"Democratic Republic of the Congo",
ISNUMBER(SEARCH("DR Congo",S284)),"Democratic Republic of the Congo",
ISNUMBER(SEARCH("German DR",S284)),"DR Germany",
ISNUMBER(SEARCH("rn""&gt;United Arab Emirates",S284)),"United Arab Emirates",
ISNUMBER(SEARCH("rn""&gt;Republic of Ireland",S284)),"Ireland",
ISNUMBER(SEARCH("rn""&gt;Bosnia and Herzegovina",S284)),"Bosnia and Herzegovina",
ISNUMBER(SEARCH("rn""&gt;Trinidad and Tobago",S284)),"Trinidad and Tobago",
ISNUMBER(SEARCH("rn""&gt;Serbia and Montenegro",S284)),"Serbia and Montenegro",
ISNUMBER(SEARCH(_xlfn.UNICHAR(65533),S284)),"Côte d'Ivoire",
TRUE,""
)</f>
        <v/>
      </c>
      <c r="W284" s="30" t="str">
        <f t="shared" si="31"/>
        <v>Netherlands</v>
      </c>
      <c r="Z284" s="40" t="str">
        <v>Westfalenstadion</v>
      </c>
      <c r="AA284" s="40" t="str" cm="1">
        <f t="array" ref="AA284">IFERROR(_xlfn.XLOOKUP(Z284,_xlfn.ANCHORARRAY(Z$31),AA$31:AA$37),Z284)</f>
        <v>Westfalenstadion</v>
      </c>
      <c r="AB284" s="42" t="str">
        <v xml:space="preserve">Dortmund </v>
      </c>
      <c r="AC284" s="89" t="str">
        <f t="shared" si="28"/>
        <v xml:space="preserve">Dortmund </v>
      </c>
      <c r="AE284" s="42">
        <v>1970</v>
      </c>
      <c r="AK284" s="42">
        <v>2</v>
      </c>
      <c r="AL284" s="42">
        <v>0</v>
      </c>
      <c r="AV284" s="37" t="str">
        <v>QUARTER_FINALS</v>
      </c>
      <c r="AW284" s="89" t="str">
        <v>GROUP_STAGE</v>
      </c>
      <c r="BE284" s="43" t="str">
        <f>IF(OR(DATA_CLEANED!AL275="",DATA_CLEANED!AM275=""),"MANQUANT",IF(OR(NOT(ISNUMBER(DATA_CLEANED!AL275)),NOT(ISNUMBER(DATA_CLEANED!AM275))),"ENTREE INVALIDE",IF(OR(DATA_CLEANED!AL275&lt;0,DATA_CLEANED!AM275&lt;0),"SCORE NEGATIF","OK")))</f>
        <v>OK</v>
      </c>
      <c r="BF284" s="43" t="str">
        <f>IF(DATA_CLEANED!AK275&lt;&gt;DATA_CLEANED!AN275,"OK","ERREUR")</f>
        <v>OK</v>
      </c>
      <c r="BG284" s="43" t="str">
        <f>IF(DATA_CLEANED!AL275&gt;DATA_CLEANED!AM275,DATA_CLEANED!AK275,IF(AND(DATA_QUALITE!W4761="-",DATA_CLEANED!AM275=DATA_CLEANED!AL275),"MATCH NUL",IF(AND(DATA_QUALITE!V4761="-",DATA_QUALITE!U4761="AUCUNE"),DATA_QUALITE!T4761,IF(DATA_QUALITE!V4761&lt;&gt;"-",DATA_QUALITE!V4761,DATA_CLEANED!AN275))))</f>
        <v>Tunisia</v>
      </c>
      <c r="BH284" s="103" t="str">
        <f>IF(AND(BG284="MATCH NUL",DATA_CLEANED!AO275="-"),"MATCH_NUL",IF(ISNUMBER(SEARCH("win on penalties",W4761)),"WIN_BY_PENALTY",IF(ISNUMBER(SEARCH("win after extra time",W4761)),"WIN_BY_EXTRA_TIME",IF(ISNUMBER(SEARCH("Golden Goal",W4761)),"WIN_BY_GOLDEN_GOAL","WIN_BY_SCORE"))))</f>
        <v>WIN_BY_SCORE</v>
      </c>
      <c r="BI284" s="99" t="str">
        <f>IF(OR(BG284=DATA_CLEANED!AK275,BG284=DATA_CLEANED!AN275,BG284="MATCH NUL"),"OK","ERREUR")</f>
        <v>OK</v>
      </c>
    </row>
    <row r="285" spans="2:61">
      <c r="B285" s="74">
        <v>2014</v>
      </c>
      <c r="C285" s="30" t="str">
        <v>Round of 16</v>
      </c>
      <c r="D285" s="30" t="str">
        <v>Brazil</v>
      </c>
      <c r="E285" s="30" t="str">
        <v>Chile</v>
      </c>
      <c r="F285" s="30" t="str">
        <v>Brazil</v>
      </c>
      <c r="G285" s="30" t="str">
        <v>David Luiz</v>
      </c>
      <c r="H285" s="30" t="str">
        <v>Claudio Bravo</v>
      </c>
      <c r="I285" s="30">
        <v>1</v>
      </c>
      <c r="J285" s="30">
        <v>1</v>
      </c>
      <c r="K285" s="30" t="str">
        <v>'0-0</v>
      </c>
      <c r="L285" s="30" t="str">
        <v>No</v>
      </c>
      <c r="M285" s="30" t="str">
        <v>No</v>
      </c>
      <c r="N285" s="30" t="str">
        <v>Goal</v>
      </c>
      <c r="O285" s="30" t="str">
        <f t="shared" si="32"/>
        <v>2014|Round of 16|Brazil|Chile|Brazil|David Luiz|Claudio Bravo|1|1|'0-0|No|No|Goal</v>
      </c>
      <c r="P285" s="96" t="str">
        <f>IF(COUNTIF($G$32:O285,O285)&gt;1,"DOUBLON","OK")</f>
        <v>OK</v>
      </c>
      <c r="S285" s="30" t="str">
        <v>Netherlands</v>
      </c>
      <c r="T285" s="30" t="str">
        <f t="shared" si="29"/>
        <v>OK</v>
      </c>
      <c r="U285" s="30" t="str">
        <f t="shared" si="30"/>
        <v>-</v>
      </c>
      <c r="V285" s="30" t="str" cm="1">
        <f t="array" ref="V285">_xlfn.IFS(
ISNUMBER(SEARCH("USA",S285)),"United States",
ISNUMBER(SEARCH("Republic of Korea",S285)),"South Korea",
ISNUMBER(SEARCH("Cape Verde",S285)),"Cabo Verde",
ISNUMBER(SEARCH("Czechia",S285)),"Czech Republic",
ISNUMBER(SEARCH("Türkiye",S285)),"Turkey",
ISNUMBER(SEARCH("Ivory Coast",S285)),"Côte d'Ivoire",
ISNUMBER(SEARCH("Korea Republic",S285)),"South Korea",
ISNUMBER(SEARCH("Germany FR",S285)),"FR Germany",
ISNUMBER(SEARCH("West Germany",S285)),"FR Germany",
ISNUMBER(SEARCH("Germany DR",S285)),"DR Germany",
ISNUMBER(SEARCH("Korea DPR",S285)),"North Korea",
ISNUMBER(SEARCH("China PR",S285)),"China",
ISNUMBER(SEARCH("IR Iran",S285)),"Iran",
ISNUMBER(SEARCH("Congo DR",S285)),"Democratic Republic of the Congo",
ISNUMBER(SEARCH("DR Congo",S285)),"Democratic Republic of the Congo",
ISNUMBER(SEARCH("German DR",S285)),"DR Germany",
ISNUMBER(SEARCH("rn""&gt;United Arab Emirates",S285)),"United Arab Emirates",
ISNUMBER(SEARCH("rn""&gt;Republic of Ireland",S285)),"Ireland",
ISNUMBER(SEARCH("rn""&gt;Bosnia and Herzegovina",S285)),"Bosnia and Herzegovina",
ISNUMBER(SEARCH("rn""&gt;Trinidad and Tobago",S285)),"Trinidad and Tobago",
ISNUMBER(SEARCH("rn""&gt;Serbia and Montenegro",S285)),"Serbia and Montenegro",
ISNUMBER(SEARCH(_xlfn.UNICHAR(65533),S285)),"Côte d'Ivoire",
TRUE,""
)</f>
        <v/>
      </c>
      <c r="W285" s="30" t="str">
        <f t="shared" si="31"/>
        <v>Netherlands</v>
      </c>
      <c r="Z285" s="40" t="str">
        <v>Niedersachsenstadion</v>
      </c>
      <c r="AA285" s="40" t="str" cm="1">
        <f t="array" ref="AA285">IFERROR(_xlfn.XLOOKUP(Z285,_xlfn.ANCHORARRAY(Z$31),AA$31:AA$37),Z285)</f>
        <v>Niedersachsenstadion</v>
      </c>
      <c r="AB285" s="42" t="str">
        <v xml:space="preserve">Hanover </v>
      </c>
      <c r="AC285" s="89" t="str">
        <f t="shared" si="28"/>
        <v xml:space="preserve">Hanover </v>
      </c>
      <c r="AE285" s="42">
        <v>1970</v>
      </c>
      <c r="AK285" s="42">
        <v>3</v>
      </c>
      <c r="AL285" s="42">
        <v>2</v>
      </c>
      <c r="AV285" s="37" t="str">
        <v>QUARTER_FINALS</v>
      </c>
      <c r="AW285" s="89" t="str">
        <v>GROUP_STAGE</v>
      </c>
      <c r="BE285" s="43" t="str">
        <f>IF(OR(DATA_CLEANED!AL276="",DATA_CLEANED!AM276=""),"MANQUANT",IF(OR(NOT(ISNUMBER(DATA_CLEANED!AL276)),NOT(ISNUMBER(DATA_CLEANED!AM276))),"ENTREE INVALIDE",IF(OR(DATA_CLEANED!AL276&lt;0,DATA_CLEANED!AM276&lt;0),"SCORE NEGATIF","OK")))</f>
        <v>OK</v>
      </c>
      <c r="BF285" s="43" t="str">
        <f>IF(DATA_CLEANED!AK276&lt;&gt;DATA_CLEANED!AN276,"OK","ERREUR")</f>
        <v>OK</v>
      </c>
      <c r="BG285" s="43" t="str">
        <f>IF(DATA_CLEANED!AL276&gt;DATA_CLEANED!AM276,DATA_CLEANED!AK276,IF(AND(DATA_QUALITE!W4762="-",DATA_CLEANED!AM276=DATA_CLEANED!AL276),"MATCH NUL",IF(AND(DATA_QUALITE!V4762="-",DATA_QUALITE!U4762="AUCUNE"),DATA_QUALITE!T4762,IF(DATA_QUALITE!V4762&lt;&gt;"-",DATA_QUALITE!V4762,DATA_CLEANED!AN276))))</f>
        <v>Argentina</v>
      </c>
      <c r="BH285" s="103" t="str">
        <f>IF(AND(BG285="MATCH NUL",DATA_CLEANED!AO276="-"),"MATCH_NUL",IF(ISNUMBER(SEARCH("win on penalties",W4762)),"WIN_BY_PENALTY",IF(ISNUMBER(SEARCH("win after extra time",W4762)),"WIN_BY_EXTRA_TIME",IF(ISNUMBER(SEARCH("Golden Goal",W4762)),"WIN_BY_GOLDEN_GOAL","WIN_BY_SCORE"))))</f>
        <v>WIN_BY_SCORE</v>
      </c>
      <c r="BI285" s="99" t="str">
        <f>IF(OR(BG285=DATA_CLEANED!AK276,BG285=DATA_CLEANED!AN276,BG285="MATCH NUL"),"OK","ERREUR")</f>
        <v>OK</v>
      </c>
    </row>
    <row r="286" spans="2:61">
      <c r="B286" s="74">
        <v>2014</v>
      </c>
      <c r="C286" s="30" t="str">
        <v>Round of 16</v>
      </c>
      <c r="D286" s="30" t="str">
        <v>Brazil</v>
      </c>
      <c r="E286" s="30" t="str">
        <v>Chile</v>
      </c>
      <c r="F286" s="30" t="str">
        <v>Chile</v>
      </c>
      <c r="G286" s="30" t="str">
        <v>Mauricio Pinilla</v>
      </c>
      <c r="H286" s="30" t="str">
        <v>Júlio César</v>
      </c>
      <c r="I286" s="30">
        <v>2</v>
      </c>
      <c r="J286" s="30">
        <v>1</v>
      </c>
      <c r="K286" s="30" t="str">
        <v>'1-0</v>
      </c>
      <c r="L286" s="30" t="str">
        <v>No</v>
      </c>
      <c r="M286" s="30" t="str">
        <v>No</v>
      </c>
      <c r="N286" s="30" t="str">
        <v>Saved</v>
      </c>
      <c r="O286" s="30" t="str">
        <f t="shared" si="32"/>
        <v>2014|Round of 16|Brazil|Chile|Chile|Mauricio Pinilla|Júlio César|2|1|'1-0|No|No|Saved</v>
      </c>
      <c r="P286" s="96" t="str">
        <f>IF(COUNTIF($G$32:O286,O286)&gt;1,"DOUBLON","OK")</f>
        <v>OK</v>
      </c>
      <c r="S286" s="30" t="str">
        <v>Netherlands</v>
      </c>
      <c r="T286" s="30" t="str">
        <f t="shared" si="29"/>
        <v>OK</v>
      </c>
      <c r="U286" s="30" t="str">
        <f t="shared" si="30"/>
        <v>-</v>
      </c>
      <c r="V286" s="30" t="str" cm="1">
        <f t="array" ref="V286">_xlfn.IFS(
ISNUMBER(SEARCH("USA",S286)),"United States",
ISNUMBER(SEARCH("Republic of Korea",S286)),"South Korea",
ISNUMBER(SEARCH("Cape Verde",S286)),"Cabo Verde",
ISNUMBER(SEARCH("Czechia",S286)),"Czech Republic",
ISNUMBER(SEARCH("Türkiye",S286)),"Turkey",
ISNUMBER(SEARCH("Ivory Coast",S286)),"Côte d'Ivoire",
ISNUMBER(SEARCH("Korea Republic",S286)),"South Korea",
ISNUMBER(SEARCH("Germany FR",S286)),"FR Germany",
ISNUMBER(SEARCH("West Germany",S286)),"FR Germany",
ISNUMBER(SEARCH("Germany DR",S286)),"DR Germany",
ISNUMBER(SEARCH("Korea DPR",S286)),"North Korea",
ISNUMBER(SEARCH("China PR",S286)),"China",
ISNUMBER(SEARCH("IR Iran",S286)),"Iran",
ISNUMBER(SEARCH("Congo DR",S286)),"Democratic Republic of the Congo",
ISNUMBER(SEARCH("DR Congo",S286)),"Democratic Republic of the Congo",
ISNUMBER(SEARCH("German DR",S286)),"DR Germany",
ISNUMBER(SEARCH("rn""&gt;United Arab Emirates",S286)),"United Arab Emirates",
ISNUMBER(SEARCH("rn""&gt;Republic of Ireland",S286)),"Ireland",
ISNUMBER(SEARCH("rn""&gt;Bosnia and Herzegovina",S286)),"Bosnia and Herzegovina",
ISNUMBER(SEARCH("rn""&gt;Trinidad and Tobago",S286)),"Trinidad and Tobago",
ISNUMBER(SEARCH("rn""&gt;Serbia and Montenegro",S286)),"Serbia and Montenegro",
ISNUMBER(SEARCH(_xlfn.UNICHAR(65533),S286)),"Côte d'Ivoire",
TRUE,""
)</f>
        <v/>
      </c>
      <c r="W286" s="30" t="str">
        <f t="shared" si="31"/>
        <v>Netherlands</v>
      </c>
      <c r="Z286" s="40" t="str">
        <v>Olympiastadion</v>
      </c>
      <c r="AA286" s="40" t="str" cm="1">
        <f t="array" ref="AA286">IFERROR(_xlfn.XLOOKUP(Z286,_xlfn.ANCHORARRAY(Z$31),AA$31:AA$37),Z286)</f>
        <v>Olympiastadion</v>
      </c>
      <c r="AB286" s="42" t="str">
        <v xml:space="preserve">Munich </v>
      </c>
      <c r="AC286" s="89" t="str">
        <f t="shared" si="28"/>
        <v xml:space="preserve">Munich </v>
      </c>
      <c r="AE286" s="42">
        <v>1970</v>
      </c>
      <c r="AK286" s="42">
        <v>1</v>
      </c>
      <c r="AL286" s="42">
        <v>0</v>
      </c>
      <c r="AV286" s="37" t="str">
        <v>QUARTER_FINALS</v>
      </c>
      <c r="AW286" s="89" t="str">
        <v>GROUP_STAGE</v>
      </c>
      <c r="BE286" s="43" t="str">
        <f>IF(OR(DATA_CLEANED!AL277="",DATA_CLEANED!AM277=""),"MANQUANT",IF(OR(NOT(ISNUMBER(DATA_CLEANED!AL277)),NOT(ISNUMBER(DATA_CLEANED!AM277))),"ENTREE INVALIDE",IF(OR(DATA_CLEANED!AL277&lt;0,DATA_CLEANED!AM277&lt;0),"SCORE NEGATIF","OK")))</f>
        <v>OK</v>
      </c>
      <c r="BF286" s="43" t="str">
        <f>IF(DATA_CLEANED!AK277&lt;&gt;DATA_CLEANED!AN277,"OK","ERREUR")</f>
        <v>OK</v>
      </c>
      <c r="BG286" s="43" t="str">
        <f>IF(DATA_CLEANED!AL277&gt;DATA_CLEANED!AM277,DATA_CLEANED!AK277,IF(AND(DATA_QUALITE!W4763="-",DATA_CLEANED!AM277=DATA_CLEANED!AL277),"MATCH NUL",IF(AND(DATA_QUALITE!V4763="-",DATA_QUALITE!U4763="AUCUNE"),DATA_QUALITE!T4763,IF(DATA_QUALITE!V4763&lt;&gt;"-",DATA_QUALITE!V4763,DATA_CLEANED!AN277))))</f>
        <v>MATCH NUL</v>
      </c>
      <c r="BH286" s="103" t="str">
        <f>IF(AND(BG286="MATCH NUL",DATA_CLEANED!AO277="-"),"MATCH_NUL",IF(ISNUMBER(SEARCH("win on penalties",W4763)),"WIN_BY_PENALTY",IF(ISNUMBER(SEARCH("win after extra time",W4763)),"WIN_BY_EXTRA_TIME",IF(ISNUMBER(SEARCH("Golden Goal",W4763)),"WIN_BY_GOLDEN_GOAL","WIN_BY_SCORE"))))</f>
        <v>MATCH_NUL</v>
      </c>
      <c r="BI286" s="99" t="str">
        <f>IF(OR(BG286=DATA_CLEANED!AK277,BG286=DATA_CLEANED!AN277,BG286="MATCH NUL"),"OK","ERREUR")</f>
        <v>OK</v>
      </c>
    </row>
    <row r="287" spans="2:61">
      <c r="B287" s="74">
        <v>2014</v>
      </c>
      <c r="C287" s="30" t="str">
        <v>Round of 16</v>
      </c>
      <c r="D287" s="30" t="str">
        <v>Brazil</v>
      </c>
      <c r="E287" s="30" t="str">
        <v>Chile</v>
      </c>
      <c r="F287" s="30" t="str">
        <v>Brazil</v>
      </c>
      <c r="G287" s="30" t="str">
        <v>Willian</v>
      </c>
      <c r="H287" s="30" t="str">
        <v>Claudio Bravo</v>
      </c>
      <c r="I287" s="30">
        <v>3</v>
      </c>
      <c r="J287" s="30">
        <v>2</v>
      </c>
      <c r="K287" s="30" t="str">
        <v>'1-0</v>
      </c>
      <c r="L287" s="30" t="str">
        <v>No</v>
      </c>
      <c r="M287" s="30" t="str">
        <v>No</v>
      </c>
      <c r="N287" s="30" t="str">
        <v>Missed</v>
      </c>
      <c r="O287" s="30" t="str">
        <f t="shared" si="32"/>
        <v>2014|Round of 16|Brazil|Chile|Brazil|Willian|Claudio Bravo|3|2|'1-0|No|No|Missed</v>
      </c>
      <c r="P287" s="96" t="str">
        <f>IF(COUNTIF($G$32:O287,O287)&gt;1,"DOUBLON","OK")</f>
        <v>OK</v>
      </c>
      <c r="S287" s="30" t="str">
        <v>Netherlands</v>
      </c>
      <c r="T287" s="30" t="str">
        <f t="shared" si="29"/>
        <v>OK</v>
      </c>
      <c r="U287" s="30" t="str">
        <f t="shared" si="30"/>
        <v>-</v>
      </c>
      <c r="V287" s="30" t="str" cm="1">
        <f t="array" ref="V287">_xlfn.IFS(
ISNUMBER(SEARCH("USA",S287)),"United States",
ISNUMBER(SEARCH("Republic of Korea",S287)),"South Korea",
ISNUMBER(SEARCH("Cape Verde",S287)),"Cabo Verde",
ISNUMBER(SEARCH("Czechia",S287)),"Czech Republic",
ISNUMBER(SEARCH("Türkiye",S287)),"Turkey",
ISNUMBER(SEARCH("Ivory Coast",S287)),"Côte d'Ivoire",
ISNUMBER(SEARCH("Korea Republic",S287)),"South Korea",
ISNUMBER(SEARCH("Germany FR",S287)),"FR Germany",
ISNUMBER(SEARCH("West Germany",S287)),"FR Germany",
ISNUMBER(SEARCH("Germany DR",S287)),"DR Germany",
ISNUMBER(SEARCH("Korea DPR",S287)),"North Korea",
ISNUMBER(SEARCH("China PR",S287)),"China",
ISNUMBER(SEARCH("IR Iran",S287)),"Iran",
ISNUMBER(SEARCH("Congo DR",S287)),"Democratic Republic of the Congo",
ISNUMBER(SEARCH("DR Congo",S287)),"Democratic Republic of the Congo",
ISNUMBER(SEARCH("German DR",S287)),"DR Germany",
ISNUMBER(SEARCH("rn""&gt;United Arab Emirates",S287)),"United Arab Emirates",
ISNUMBER(SEARCH("rn""&gt;Republic of Ireland",S287)),"Ireland",
ISNUMBER(SEARCH("rn""&gt;Bosnia and Herzegovina",S287)),"Bosnia and Herzegovina",
ISNUMBER(SEARCH("rn""&gt;Trinidad and Tobago",S287)),"Trinidad and Tobago",
ISNUMBER(SEARCH("rn""&gt;Serbia and Montenegro",S287)),"Serbia and Montenegro",
ISNUMBER(SEARCH(_xlfn.UNICHAR(65533),S287)),"Côte d'Ivoire",
TRUE,""
)</f>
        <v/>
      </c>
      <c r="W287" s="30" t="str">
        <f t="shared" si="31"/>
        <v>Netherlands</v>
      </c>
      <c r="Z287" s="40" t="str">
        <v>Neckarstadion</v>
      </c>
      <c r="AA287" s="40" t="str" cm="1">
        <f t="array" ref="AA287">IFERROR(_xlfn.XLOOKUP(Z287,_xlfn.ANCHORARRAY(Z$31),AA$31:AA$37),Z287)</f>
        <v>Neckarstadion</v>
      </c>
      <c r="AB287" s="42" t="str">
        <v xml:space="preserve">Stuttgart </v>
      </c>
      <c r="AC287" s="89" t="str">
        <f t="shared" si="28"/>
        <v xml:space="preserve">Stuttgart </v>
      </c>
      <c r="AE287" s="42">
        <v>1970</v>
      </c>
      <c r="AK287" s="42">
        <v>1</v>
      </c>
      <c r="AL287" s="42">
        <v>0</v>
      </c>
      <c r="AV287" s="37" t="str">
        <v>ROUND_OF_16</v>
      </c>
      <c r="AW287" s="89" t="str">
        <v>GROUP_STAGE</v>
      </c>
      <c r="BE287" s="43" t="str">
        <f>IF(OR(DATA_CLEANED!AL278="",DATA_CLEANED!AM278=""),"MANQUANT",IF(OR(NOT(ISNUMBER(DATA_CLEANED!AL278)),NOT(ISNUMBER(DATA_CLEANED!AM278))),"ENTREE INVALIDE",IF(OR(DATA_CLEANED!AL278&lt;0,DATA_CLEANED!AM278&lt;0),"SCORE NEGATIF","OK")))</f>
        <v>OK</v>
      </c>
      <c r="BF287" s="43" t="str">
        <f>IF(DATA_CLEANED!AK278&lt;&gt;DATA_CLEANED!AN278,"OK","ERREUR")</f>
        <v>OK</v>
      </c>
      <c r="BG287" s="43" t="str">
        <f>IF(DATA_CLEANED!AL278&gt;DATA_CLEANED!AM278,DATA_CLEANED!AK278,IF(AND(DATA_QUALITE!W4764="-",DATA_CLEANED!AM278=DATA_CLEANED!AL278),"MATCH NUL",IF(AND(DATA_QUALITE!V4764="-",DATA_QUALITE!U4764="AUCUNE"),DATA_QUALITE!T4764,IF(DATA_QUALITE!V4764&lt;&gt;"-",DATA_QUALITE!V4764,DATA_CLEANED!AN278))))</f>
        <v>Austria</v>
      </c>
      <c r="BH287" s="103" t="str">
        <f>IF(AND(BG287="MATCH NUL",DATA_CLEANED!AO278="-"),"MATCH_NUL",IF(ISNUMBER(SEARCH("win on penalties",W4764)),"WIN_BY_PENALTY",IF(ISNUMBER(SEARCH("win after extra time",W4764)),"WIN_BY_EXTRA_TIME",IF(ISNUMBER(SEARCH("Golden Goal",W4764)),"WIN_BY_GOLDEN_GOAL","WIN_BY_SCORE"))))</f>
        <v>WIN_BY_SCORE</v>
      </c>
      <c r="BI287" s="99" t="str">
        <f>IF(OR(BG287=DATA_CLEANED!AK278,BG287=DATA_CLEANED!AN278,BG287="MATCH NUL"),"OK","ERREUR")</f>
        <v>OK</v>
      </c>
    </row>
    <row r="288" spans="2:61">
      <c r="B288" s="74">
        <v>2014</v>
      </c>
      <c r="C288" s="30" t="str">
        <v>Round of 16</v>
      </c>
      <c r="D288" s="30" t="str">
        <v>Brazil</v>
      </c>
      <c r="E288" s="30" t="str">
        <v>Chile</v>
      </c>
      <c r="F288" s="30" t="str">
        <v>Chile</v>
      </c>
      <c r="G288" s="30" t="str">
        <v>Alexis Sánchez</v>
      </c>
      <c r="H288" s="30" t="str">
        <v>Júlio César</v>
      </c>
      <c r="I288" s="30">
        <v>4</v>
      </c>
      <c r="J288" s="30">
        <v>2</v>
      </c>
      <c r="K288" s="30" t="str">
        <v>'1-0</v>
      </c>
      <c r="L288" s="30" t="str">
        <v>No</v>
      </c>
      <c r="M288" s="30" t="str">
        <v>No</v>
      </c>
      <c r="N288" s="30" t="str">
        <v>Saved</v>
      </c>
      <c r="O288" s="30" t="str">
        <f t="shared" si="32"/>
        <v>2014|Round of 16|Brazil|Chile|Chile|Alexis Sánchez|Júlio César|4|2|'1-0|No|No|Saved</v>
      </c>
      <c r="P288" s="96" t="str">
        <f>IF(COUNTIF($G$32:O288,O288)&gt;1,"DOUBLON","OK")</f>
        <v>OK</v>
      </c>
      <c r="S288" s="30" t="str">
        <v>Netherlands</v>
      </c>
      <c r="T288" s="30" t="str">
        <f t="shared" si="29"/>
        <v>OK</v>
      </c>
      <c r="U288" s="30" t="str">
        <f t="shared" si="30"/>
        <v>-</v>
      </c>
      <c r="V288" s="30" t="str" cm="1">
        <f t="array" ref="V288">_xlfn.IFS(
ISNUMBER(SEARCH("USA",S288)),"United States",
ISNUMBER(SEARCH("Republic of Korea",S288)),"South Korea",
ISNUMBER(SEARCH("Cape Verde",S288)),"Cabo Verde",
ISNUMBER(SEARCH("Czechia",S288)),"Czech Republic",
ISNUMBER(SEARCH("Türkiye",S288)),"Turkey",
ISNUMBER(SEARCH("Ivory Coast",S288)),"Côte d'Ivoire",
ISNUMBER(SEARCH("Korea Republic",S288)),"South Korea",
ISNUMBER(SEARCH("Germany FR",S288)),"FR Germany",
ISNUMBER(SEARCH("West Germany",S288)),"FR Germany",
ISNUMBER(SEARCH("Germany DR",S288)),"DR Germany",
ISNUMBER(SEARCH("Korea DPR",S288)),"North Korea",
ISNUMBER(SEARCH("China PR",S288)),"China",
ISNUMBER(SEARCH("IR Iran",S288)),"Iran",
ISNUMBER(SEARCH("Congo DR",S288)),"Democratic Republic of the Congo",
ISNUMBER(SEARCH("DR Congo",S288)),"Democratic Republic of the Congo",
ISNUMBER(SEARCH("German DR",S288)),"DR Germany",
ISNUMBER(SEARCH("rn""&gt;United Arab Emirates",S288)),"United Arab Emirates",
ISNUMBER(SEARCH("rn""&gt;Republic of Ireland",S288)),"Ireland",
ISNUMBER(SEARCH("rn""&gt;Bosnia and Herzegovina",S288)),"Bosnia and Herzegovina",
ISNUMBER(SEARCH("rn""&gt;Trinidad and Tobago",S288)),"Trinidad and Tobago",
ISNUMBER(SEARCH("rn""&gt;Serbia and Montenegro",S288)),"Serbia and Montenegro",
ISNUMBER(SEARCH(_xlfn.UNICHAR(65533),S288)),"Côte d'Ivoire",
TRUE,""
)</f>
        <v/>
      </c>
      <c r="W288" s="30" t="str">
        <f t="shared" si="31"/>
        <v>Netherlands</v>
      </c>
      <c r="Z288" s="40" t="str">
        <v>Waldstadion</v>
      </c>
      <c r="AA288" s="40" t="str" cm="1">
        <f t="array" ref="AA288">IFERROR(_xlfn.XLOOKUP(Z288,_xlfn.ANCHORARRAY(Z$31),AA$31:AA$37),Z288)</f>
        <v>Waldstadion</v>
      </c>
      <c r="AB288" s="42" t="str">
        <v xml:space="preserve">Frankfurt/Main </v>
      </c>
      <c r="AC288" s="89" t="str">
        <f t="shared" si="28"/>
        <v xml:space="preserve">Frankfurt/Main </v>
      </c>
      <c r="AE288" s="42">
        <v>1970</v>
      </c>
      <c r="AK288" s="42">
        <v>2</v>
      </c>
      <c r="AL288" s="42">
        <v>1</v>
      </c>
      <c r="AV288" s="37" t="str">
        <v>ROUND_OF_16</v>
      </c>
      <c r="AW288" s="89" t="str">
        <v>GROUP_STAGE</v>
      </c>
      <c r="BE288" s="43" t="str">
        <f>IF(OR(DATA_CLEANED!AL279="",DATA_CLEANED!AM279=""),"MANQUANT",IF(OR(NOT(ISNUMBER(DATA_CLEANED!AL279)),NOT(ISNUMBER(DATA_CLEANED!AM279))),"ENTREE INVALIDE",IF(OR(DATA_CLEANED!AL279&lt;0,DATA_CLEANED!AM279&lt;0),"SCORE NEGATIF","OK")))</f>
        <v>OK</v>
      </c>
      <c r="BF288" s="43" t="str">
        <f>IF(DATA_CLEANED!AK279&lt;&gt;DATA_CLEANED!AN279,"OK","ERREUR")</f>
        <v>OK</v>
      </c>
      <c r="BG288" s="43" t="str">
        <f>IF(DATA_CLEANED!AL279&gt;DATA_CLEANED!AM279,DATA_CLEANED!AK279,IF(AND(DATA_QUALITE!W4765="-",DATA_CLEANED!AM279=DATA_CLEANED!AL279),"MATCH NUL",IF(AND(DATA_QUALITE!V4765="-",DATA_QUALITE!U4765="AUCUNE"),DATA_QUALITE!T4765,IF(DATA_QUALITE!V4765&lt;&gt;"-",DATA_QUALITE!V4765,DATA_CLEANED!AN279))))</f>
        <v>Peru</v>
      </c>
      <c r="BH288" s="103" t="str">
        <f>IF(AND(BG288="MATCH NUL",DATA_CLEANED!AO279="-"),"MATCH_NUL",IF(ISNUMBER(SEARCH("win on penalties",W4765)),"WIN_BY_PENALTY",IF(ISNUMBER(SEARCH("win after extra time",W4765)),"WIN_BY_EXTRA_TIME",IF(ISNUMBER(SEARCH("Golden Goal",W4765)),"WIN_BY_GOLDEN_GOAL","WIN_BY_SCORE"))))</f>
        <v>WIN_BY_SCORE</v>
      </c>
      <c r="BI288" s="99" t="str">
        <f>IF(OR(BG288=DATA_CLEANED!AK279,BG288=DATA_CLEANED!AN279,BG288="MATCH NUL"),"OK","ERREUR")</f>
        <v>OK</v>
      </c>
    </row>
    <row r="289" spans="2:61">
      <c r="B289" s="74">
        <v>2014</v>
      </c>
      <c r="C289" s="30" t="str">
        <v>Round of 16</v>
      </c>
      <c r="D289" s="30" t="str">
        <v>Brazil</v>
      </c>
      <c r="E289" s="30" t="str">
        <v>Chile</v>
      </c>
      <c r="F289" s="30" t="str">
        <v>Brazil</v>
      </c>
      <c r="G289" s="30" t="str">
        <v>Marcelo</v>
      </c>
      <c r="H289" s="30" t="str">
        <v>Claudio Bravo</v>
      </c>
      <c r="I289" s="30">
        <v>5</v>
      </c>
      <c r="J289" s="30">
        <v>3</v>
      </c>
      <c r="K289" s="30" t="str">
        <v>'1-0</v>
      </c>
      <c r="L289" s="30" t="str">
        <v>No</v>
      </c>
      <c r="M289" s="30" t="str">
        <v>No</v>
      </c>
      <c r="N289" s="30" t="str">
        <v>Goal</v>
      </c>
      <c r="O289" s="30" t="str">
        <f t="shared" si="32"/>
        <v>2014|Round of 16|Brazil|Chile|Brazil|Marcelo|Claudio Bravo|5|3|'1-0|No|No|Goal</v>
      </c>
      <c r="P289" s="96" t="str">
        <f>IF(COUNTIF($G$32:O289,O289)&gt;1,"DOUBLON","OK")</f>
        <v>OK</v>
      </c>
      <c r="S289" s="30" t="str">
        <v>Netherlands</v>
      </c>
      <c r="T289" s="30" t="str">
        <f t="shared" si="29"/>
        <v>OK</v>
      </c>
      <c r="U289" s="30" t="str">
        <f t="shared" si="30"/>
        <v>-</v>
      </c>
      <c r="V289" s="30" t="str" cm="1">
        <f t="array" ref="V289">_xlfn.IFS(
ISNUMBER(SEARCH("USA",S289)),"United States",
ISNUMBER(SEARCH("Republic of Korea",S289)),"South Korea",
ISNUMBER(SEARCH("Cape Verde",S289)),"Cabo Verde",
ISNUMBER(SEARCH("Czechia",S289)),"Czech Republic",
ISNUMBER(SEARCH("Türkiye",S289)),"Turkey",
ISNUMBER(SEARCH("Ivory Coast",S289)),"Côte d'Ivoire",
ISNUMBER(SEARCH("Korea Republic",S289)),"South Korea",
ISNUMBER(SEARCH("Germany FR",S289)),"FR Germany",
ISNUMBER(SEARCH("West Germany",S289)),"FR Germany",
ISNUMBER(SEARCH("Germany DR",S289)),"DR Germany",
ISNUMBER(SEARCH("Korea DPR",S289)),"North Korea",
ISNUMBER(SEARCH("China PR",S289)),"China",
ISNUMBER(SEARCH("IR Iran",S289)),"Iran",
ISNUMBER(SEARCH("Congo DR",S289)),"Democratic Republic of the Congo",
ISNUMBER(SEARCH("DR Congo",S289)),"Democratic Republic of the Congo",
ISNUMBER(SEARCH("German DR",S289)),"DR Germany",
ISNUMBER(SEARCH("rn""&gt;United Arab Emirates",S289)),"United Arab Emirates",
ISNUMBER(SEARCH("rn""&gt;Republic of Ireland",S289)),"Ireland",
ISNUMBER(SEARCH("rn""&gt;Bosnia and Herzegovina",S289)),"Bosnia and Herzegovina",
ISNUMBER(SEARCH("rn""&gt;Trinidad and Tobago",S289)),"Trinidad and Tobago",
ISNUMBER(SEARCH("rn""&gt;Serbia and Montenegro",S289)),"Serbia and Montenegro",
ISNUMBER(SEARCH(_xlfn.UNICHAR(65533),S289)),"Côte d'Ivoire",
TRUE,""
)</f>
        <v/>
      </c>
      <c r="W289" s="30" t="str">
        <f t="shared" si="31"/>
        <v>Netherlands</v>
      </c>
      <c r="Z289" s="40" t="str">
        <v>Olympiastadion</v>
      </c>
      <c r="AA289" s="40" t="str" cm="1">
        <f t="array" ref="AA289">IFERROR(_xlfn.XLOOKUP(Z289,_xlfn.ANCHORARRAY(Z$31),AA$31:AA$37),Z289)</f>
        <v>Olympiastadion</v>
      </c>
      <c r="AB289" s="42" t="str">
        <v xml:space="preserve">Berlin West </v>
      </c>
      <c r="AC289" s="89" t="str">
        <f t="shared" si="28"/>
        <v xml:space="preserve">Berlin West </v>
      </c>
      <c r="AE289" s="42">
        <v>1970</v>
      </c>
      <c r="AK289" s="42">
        <v>4</v>
      </c>
      <c r="AL289" s="42">
        <v>1</v>
      </c>
      <c r="AV289" s="37" t="str">
        <v>ROUND_OF_16</v>
      </c>
      <c r="AW289" s="89" t="str">
        <v>GROUP_STAGE</v>
      </c>
      <c r="BE289" s="43" t="str">
        <f>IF(OR(DATA_CLEANED!AL280="",DATA_CLEANED!AM280=""),"MANQUANT",IF(OR(NOT(ISNUMBER(DATA_CLEANED!AL280)),NOT(ISNUMBER(DATA_CLEANED!AM280))),"ENTREE INVALIDE",IF(OR(DATA_CLEANED!AL280&lt;0,DATA_CLEANED!AM280&lt;0),"SCORE NEGATIF","OK")))</f>
        <v>OK</v>
      </c>
      <c r="BF289" s="43" t="str">
        <f>IF(DATA_CLEANED!AK280&lt;&gt;DATA_CLEANED!AN280,"OK","ERREUR")</f>
        <v>OK</v>
      </c>
      <c r="BG289" s="43" t="str">
        <f>IF(DATA_CLEANED!AL280&gt;DATA_CLEANED!AM280,DATA_CLEANED!AK280,IF(AND(DATA_QUALITE!W4766="-",DATA_CLEANED!AM280=DATA_CLEANED!AL280),"MATCH NUL",IF(AND(DATA_QUALITE!V4766="-",DATA_QUALITE!U4766="AUCUNE"),DATA_QUALITE!T4766,IF(DATA_QUALITE!V4766&lt;&gt;"-",DATA_QUALITE!V4766,DATA_CLEANED!AN280))))</f>
        <v>Netherlands</v>
      </c>
      <c r="BH289" s="103" t="str">
        <f>IF(AND(BG289="MATCH NUL",DATA_CLEANED!AO280="-"),"MATCH_NUL",IF(ISNUMBER(SEARCH("win on penalties",W4766)),"WIN_BY_PENALTY",IF(ISNUMBER(SEARCH("win after extra time",W4766)),"WIN_BY_EXTRA_TIME",IF(ISNUMBER(SEARCH("Golden Goal",W4766)),"WIN_BY_GOLDEN_GOAL","WIN_BY_SCORE"))))</f>
        <v>WIN_BY_SCORE</v>
      </c>
      <c r="BI289" s="99" t="str">
        <f>IF(OR(BG289=DATA_CLEANED!AK280,BG289=DATA_CLEANED!AN280,BG289="MATCH NUL"),"OK","ERREUR")</f>
        <v>OK</v>
      </c>
    </row>
    <row r="290" spans="2:61">
      <c r="B290" s="74">
        <v>2014</v>
      </c>
      <c r="C290" s="30" t="str">
        <v>Round of 16</v>
      </c>
      <c r="D290" s="30" t="str">
        <v>Brazil</v>
      </c>
      <c r="E290" s="30" t="str">
        <v>Chile</v>
      </c>
      <c r="F290" s="30" t="str">
        <v>Chile</v>
      </c>
      <c r="G290" s="30" t="str">
        <v>Charles Aránguiz</v>
      </c>
      <c r="H290" s="30" t="str">
        <v>Júlio César</v>
      </c>
      <c r="I290" s="30">
        <v>6</v>
      </c>
      <c r="J290" s="30">
        <v>3</v>
      </c>
      <c r="K290" s="30" t="str">
        <v>'1-2</v>
      </c>
      <c r="L290" s="30" t="str">
        <v>No</v>
      </c>
      <c r="M290" s="30" t="str">
        <v>No</v>
      </c>
      <c r="N290" s="30" t="str">
        <v>Goal</v>
      </c>
      <c r="O290" s="30" t="str">
        <f t="shared" si="32"/>
        <v>2014|Round of 16|Brazil|Chile|Chile|Charles Aránguiz|Júlio César|6|3|'1-2|No|No|Goal</v>
      </c>
      <c r="P290" s="96" t="str">
        <f>IF(COUNTIF($G$32:O290,O290)&gt;1,"DOUBLON","OK")</f>
        <v>OK</v>
      </c>
      <c r="S290" s="30" t="str">
        <v>Netherlands</v>
      </c>
      <c r="T290" s="30" t="str">
        <f t="shared" si="29"/>
        <v>OK</v>
      </c>
      <c r="U290" s="30" t="str">
        <f t="shared" si="30"/>
        <v>-</v>
      </c>
      <c r="V290" s="30" t="str" cm="1">
        <f t="array" ref="V290">_xlfn.IFS(
ISNUMBER(SEARCH("USA",S290)),"United States",
ISNUMBER(SEARCH("Republic of Korea",S290)),"South Korea",
ISNUMBER(SEARCH("Cape Verde",S290)),"Cabo Verde",
ISNUMBER(SEARCH("Czechia",S290)),"Czech Republic",
ISNUMBER(SEARCH("Türkiye",S290)),"Turkey",
ISNUMBER(SEARCH("Ivory Coast",S290)),"Côte d'Ivoire",
ISNUMBER(SEARCH("Korea Republic",S290)),"South Korea",
ISNUMBER(SEARCH("Germany FR",S290)),"FR Germany",
ISNUMBER(SEARCH("West Germany",S290)),"FR Germany",
ISNUMBER(SEARCH("Germany DR",S290)),"DR Germany",
ISNUMBER(SEARCH("Korea DPR",S290)),"North Korea",
ISNUMBER(SEARCH("China PR",S290)),"China",
ISNUMBER(SEARCH("IR Iran",S290)),"Iran",
ISNUMBER(SEARCH("Congo DR",S290)),"Democratic Republic of the Congo",
ISNUMBER(SEARCH("DR Congo",S290)),"Democratic Republic of the Congo",
ISNUMBER(SEARCH("German DR",S290)),"DR Germany",
ISNUMBER(SEARCH("rn""&gt;United Arab Emirates",S290)),"United Arab Emirates",
ISNUMBER(SEARCH("rn""&gt;Republic of Ireland",S290)),"Ireland",
ISNUMBER(SEARCH("rn""&gt;Bosnia and Herzegovina",S290)),"Bosnia and Herzegovina",
ISNUMBER(SEARCH("rn""&gt;Trinidad and Tobago",S290)),"Trinidad and Tobago",
ISNUMBER(SEARCH("rn""&gt;Serbia and Montenegro",S290)),"Serbia and Montenegro",
ISNUMBER(SEARCH(_xlfn.UNICHAR(65533),S290)),"Côte d'Ivoire",
TRUE,""
)</f>
        <v/>
      </c>
      <c r="W290" s="30" t="str">
        <f t="shared" si="31"/>
        <v>Netherlands</v>
      </c>
      <c r="Z290" s="40" t="str">
        <v>Parkstadion</v>
      </c>
      <c r="AA290" s="40" t="str" cm="1">
        <f t="array" ref="AA290">IFERROR(_xlfn.XLOOKUP(Z290,_xlfn.ANCHORARRAY(Z$31),AA$31:AA$37),Z290)</f>
        <v>Parkstadion</v>
      </c>
      <c r="AB290" s="42" t="str">
        <v xml:space="preserve">Gelsenkirchen </v>
      </c>
      <c r="AC290" s="89" t="str">
        <f t="shared" si="28"/>
        <v xml:space="preserve">Gelsenkirchen </v>
      </c>
      <c r="AE290" s="42">
        <v>1970</v>
      </c>
      <c r="AK290" s="42">
        <v>3</v>
      </c>
      <c r="AL290" s="42">
        <v>0</v>
      </c>
      <c r="AV290" s="37" t="str">
        <v>ROUND_OF_16</v>
      </c>
      <c r="AW290" s="89" t="str">
        <v>GROUP_STAGE</v>
      </c>
      <c r="BE290" s="43" t="str">
        <f>IF(OR(DATA_CLEANED!AL281="",DATA_CLEANED!AM281=""),"MANQUANT",IF(OR(NOT(ISNUMBER(DATA_CLEANED!AL281)),NOT(ISNUMBER(DATA_CLEANED!AM281))),"ENTREE INVALIDE",IF(OR(DATA_CLEANED!AL281&lt;0,DATA_CLEANED!AM281&lt;0),"SCORE NEGATIF","OK")))</f>
        <v>OK</v>
      </c>
      <c r="BF290" s="43" t="str">
        <f>IF(DATA_CLEANED!AK281&lt;&gt;DATA_CLEANED!AN281,"OK","ERREUR")</f>
        <v>OK</v>
      </c>
      <c r="BG290" s="43" t="str">
        <f>IF(DATA_CLEANED!AL281&gt;DATA_CLEANED!AM281,DATA_CLEANED!AK281,IF(AND(DATA_QUALITE!W4767="-",DATA_CLEANED!AM281=DATA_CLEANED!AL281),"MATCH NUL",IF(AND(DATA_QUALITE!V4767="-",DATA_QUALITE!U4767="AUCUNE"),DATA_QUALITE!T4767,IF(DATA_QUALITE!V4767&lt;&gt;"-",DATA_QUALITE!V4767,DATA_CLEANED!AN281))))</f>
        <v>Italy</v>
      </c>
      <c r="BH290" s="103" t="str">
        <f>IF(AND(BG290="MATCH NUL",DATA_CLEANED!AO281="-"),"MATCH_NUL",IF(ISNUMBER(SEARCH("win on penalties",W4767)),"WIN_BY_PENALTY",IF(ISNUMBER(SEARCH("win after extra time",W4767)),"WIN_BY_EXTRA_TIME",IF(ISNUMBER(SEARCH("Golden Goal",W4767)),"WIN_BY_GOLDEN_GOAL","WIN_BY_SCORE"))))</f>
        <v>WIN_BY_SCORE</v>
      </c>
      <c r="BI290" s="99" t="str">
        <f>IF(OR(BG290=DATA_CLEANED!AK281,BG290=DATA_CLEANED!AN281,BG290="MATCH NUL"),"OK","ERREUR")</f>
        <v>OK</v>
      </c>
    </row>
    <row r="291" spans="2:61">
      <c r="B291" s="74">
        <v>2014</v>
      </c>
      <c r="C291" s="30" t="str">
        <v>Round of 16</v>
      </c>
      <c r="D291" s="30" t="str">
        <v>Brazil</v>
      </c>
      <c r="E291" s="30" t="str">
        <v>Chile</v>
      </c>
      <c r="F291" s="30" t="str">
        <v>Brazil</v>
      </c>
      <c r="G291" s="30" t="str">
        <v>Hulk</v>
      </c>
      <c r="H291" s="30" t="str">
        <v>Claudio Bravo</v>
      </c>
      <c r="I291" s="30">
        <v>7</v>
      </c>
      <c r="J291" s="30">
        <v>4</v>
      </c>
      <c r="K291" s="30" t="str">
        <v>'1-2</v>
      </c>
      <c r="L291" s="30" t="str">
        <v>No</v>
      </c>
      <c r="M291" s="30" t="str">
        <v>No</v>
      </c>
      <c r="N291" s="30" t="str">
        <v>Saved</v>
      </c>
      <c r="O291" s="30" t="str">
        <f t="shared" si="32"/>
        <v>2014|Round of 16|Brazil|Chile|Brazil|Hulk|Claudio Bravo|7|4|'1-2|No|No|Saved</v>
      </c>
      <c r="P291" s="96" t="str">
        <f>IF(COUNTIF($G$32:O291,O291)&gt;1,"DOUBLON","OK")</f>
        <v>OK</v>
      </c>
      <c r="S291" s="30" t="str">
        <v>Netherlands</v>
      </c>
      <c r="T291" s="30" t="str">
        <f t="shared" si="29"/>
        <v>OK</v>
      </c>
      <c r="U291" s="30" t="str">
        <f t="shared" si="30"/>
        <v>-</v>
      </c>
      <c r="V291" s="30" t="str" cm="1">
        <f t="array" ref="V291">_xlfn.IFS(
ISNUMBER(SEARCH("USA",S291)),"United States",
ISNUMBER(SEARCH("Republic of Korea",S291)),"South Korea",
ISNUMBER(SEARCH("Cape Verde",S291)),"Cabo Verde",
ISNUMBER(SEARCH("Czechia",S291)),"Czech Republic",
ISNUMBER(SEARCH("Türkiye",S291)),"Turkey",
ISNUMBER(SEARCH("Ivory Coast",S291)),"Côte d'Ivoire",
ISNUMBER(SEARCH("Korea Republic",S291)),"South Korea",
ISNUMBER(SEARCH("Germany FR",S291)),"FR Germany",
ISNUMBER(SEARCH("West Germany",S291)),"FR Germany",
ISNUMBER(SEARCH("Germany DR",S291)),"DR Germany",
ISNUMBER(SEARCH("Korea DPR",S291)),"North Korea",
ISNUMBER(SEARCH("China PR",S291)),"China",
ISNUMBER(SEARCH("IR Iran",S291)),"Iran",
ISNUMBER(SEARCH("Congo DR",S291)),"Democratic Republic of the Congo",
ISNUMBER(SEARCH("DR Congo",S291)),"Democratic Republic of the Congo",
ISNUMBER(SEARCH("German DR",S291)),"DR Germany",
ISNUMBER(SEARCH("rn""&gt;United Arab Emirates",S291)),"United Arab Emirates",
ISNUMBER(SEARCH("rn""&gt;Republic of Ireland",S291)),"Ireland",
ISNUMBER(SEARCH("rn""&gt;Bosnia and Herzegovina",S291)),"Bosnia and Herzegovina",
ISNUMBER(SEARCH("rn""&gt;Trinidad and Tobago",S291)),"Trinidad and Tobago",
ISNUMBER(SEARCH("rn""&gt;Serbia and Montenegro",S291)),"Serbia and Montenegro",
ISNUMBER(SEARCH(_xlfn.UNICHAR(65533),S291)),"Côte d'Ivoire",
TRUE,""
)</f>
        <v/>
      </c>
      <c r="W291" s="30" t="str">
        <f t="shared" si="31"/>
        <v>Netherlands</v>
      </c>
      <c r="Z291" s="40" t="str">
        <v>Volksparkstadion</v>
      </c>
      <c r="AA291" s="40" t="str" cm="1">
        <f t="array" ref="AA291">IFERROR(_xlfn.XLOOKUP(Z291,_xlfn.ANCHORARRAY(Z$31),AA$31:AA$37),Z291)</f>
        <v>Volksparkstadion</v>
      </c>
      <c r="AB291" s="42" t="str">
        <v xml:space="preserve">Hamburg </v>
      </c>
      <c r="AC291" s="89" t="str">
        <f t="shared" si="28"/>
        <v xml:space="preserve">Hamburg </v>
      </c>
      <c r="AE291" s="42">
        <v>1970</v>
      </c>
      <c r="AK291" s="42">
        <v>0</v>
      </c>
      <c r="AL291" s="42">
        <v>0</v>
      </c>
      <c r="AV291" s="37" t="str">
        <v>ROUND_OF_16</v>
      </c>
      <c r="AW291" s="89" t="str">
        <v>GROUP_STAGE</v>
      </c>
      <c r="BE291" s="43" t="str">
        <f>IF(OR(DATA_CLEANED!AL282="",DATA_CLEANED!AM282=""),"MANQUANT",IF(OR(NOT(ISNUMBER(DATA_CLEANED!AL282)),NOT(ISNUMBER(DATA_CLEANED!AM282))),"ENTREE INVALIDE",IF(OR(DATA_CLEANED!AL282&lt;0,DATA_CLEANED!AM282&lt;0),"SCORE NEGATIF","OK")))</f>
        <v>OK</v>
      </c>
      <c r="BF291" s="43" t="str">
        <f>IF(DATA_CLEANED!AK282&lt;&gt;DATA_CLEANED!AN282,"OK","ERREUR")</f>
        <v>OK</v>
      </c>
      <c r="BG291" s="43" t="str">
        <f>IF(DATA_CLEANED!AL282&gt;DATA_CLEANED!AM282,DATA_CLEANED!AK282,IF(AND(DATA_QUALITE!W4768="-",DATA_CLEANED!AM282=DATA_CLEANED!AL282),"MATCH NUL",IF(AND(DATA_QUALITE!V4768="-",DATA_QUALITE!U4768="AUCUNE"),DATA_QUALITE!T4768,IF(DATA_QUALITE!V4768&lt;&gt;"-",DATA_QUALITE!V4768,DATA_CLEANED!AN282))))</f>
        <v>Poland</v>
      </c>
      <c r="BH291" s="103" t="str">
        <f>IF(AND(BG291="MATCH NUL",DATA_CLEANED!AO282="-"),"MATCH_NUL",IF(ISNUMBER(SEARCH("win on penalties",W4768)),"WIN_BY_PENALTY",IF(ISNUMBER(SEARCH("win after extra time",W4768)),"WIN_BY_EXTRA_TIME",IF(ISNUMBER(SEARCH("Golden Goal",W4768)),"WIN_BY_GOLDEN_GOAL","WIN_BY_SCORE"))))</f>
        <v>WIN_BY_SCORE</v>
      </c>
      <c r="BI291" s="99" t="str">
        <f>IF(OR(BG291=DATA_CLEANED!AK282,BG291=DATA_CLEANED!AN282,BG291="MATCH NUL"),"OK","ERREUR")</f>
        <v>OK</v>
      </c>
    </row>
    <row r="292" spans="2:61">
      <c r="B292" s="74">
        <v>2014</v>
      </c>
      <c r="C292" s="30" t="str">
        <v>Round of 16</v>
      </c>
      <c r="D292" s="30" t="str">
        <v>Brazil</v>
      </c>
      <c r="E292" s="30" t="str">
        <v>Chile</v>
      </c>
      <c r="F292" s="30" t="str">
        <v>Chile</v>
      </c>
      <c r="G292" s="30" t="str">
        <v>Marcelo Díaz</v>
      </c>
      <c r="H292" s="30" t="str">
        <v>Júlio César</v>
      </c>
      <c r="I292" s="30">
        <v>8</v>
      </c>
      <c r="J292" s="30">
        <v>4</v>
      </c>
      <c r="K292" s="30" t="str">
        <v>'2-2</v>
      </c>
      <c r="L292" s="30" t="str">
        <v>No</v>
      </c>
      <c r="M292" s="30" t="str">
        <v>No</v>
      </c>
      <c r="N292" s="30" t="str">
        <v>Goal</v>
      </c>
      <c r="O292" s="30" t="str">
        <f t="shared" si="32"/>
        <v>2014|Round of 16|Brazil|Chile|Chile|Marcelo Díaz|Júlio César|8|4|'2-2|No|No|Goal</v>
      </c>
      <c r="P292" s="96" t="str">
        <f>IF(COUNTIF($G$32:O292,O292)&gt;1,"DOUBLON","OK")</f>
        <v>OK</v>
      </c>
      <c r="S292" s="30" t="str">
        <v>Netherlands</v>
      </c>
      <c r="T292" s="30" t="str">
        <f t="shared" si="29"/>
        <v>OK</v>
      </c>
      <c r="U292" s="30" t="str">
        <f t="shared" si="30"/>
        <v>-</v>
      </c>
      <c r="V292" s="30" t="str" cm="1">
        <f t="array" ref="V292">_xlfn.IFS(
ISNUMBER(SEARCH("USA",S292)),"United States",
ISNUMBER(SEARCH("Republic of Korea",S292)),"South Korea",
ISNUMBER(SEARCH("Cape Verde",S292)),"Cabo Verde",
ISNUMBER(SEARCH("Czechia",S292)),"Czech Republic",
ISNUMBER(SEARCH("Türkiye",S292)),"Turkey",
ISNUMBER(SEARCH("Ivory Coast",S292)),"Côte d'Ivoire",
ISNUMBER(SEARCH("Korea Republic",S292)),"South Korea",
ISNUMBER(SEARCH("Germany FR",S292)),"FR Germany",
ISNUMBER(SEARCH("West Germany",S292)),"FR Germany",
ISNUMBER(SEARCH("Germany DR",S292)),"DR Germany",
ISNUMBER(SEARCH("Korea DPR",S292)),"North Korea",
ISNUMBER(SEARCH("China PR",S292)),"China",
ISNUMBER(SEARCH("IR Iran",S292)),"Iran",
ISNUMBER(SEARCH("Congo DR",S292)),"Democratic Republic of the Congo",
ISNUMBER(SEARCH("DR Congo",S292)),"Democratic Republic of the Congo",
ISNUMBER(SEARCH("German DR",S292)),"DR Germany",
ISNUMBER(SEARCH("rn""&gt;United Arab Emirates",S292)),"United Arab Emirates",
ISNUMBER(SEARCH("rn""&gt;Republic of Ireland",S292)),"Ireland",
ISNUMBER(SEARCH("rn""&gt;Bosnia and Herzegovina",S292)),"Bosnia and Herzegovina",
ISNUMBER(SEARCH("rn""&gt;Trinidad and Tobago",S292)),"Trinidad and Tobago",
ISNUMBER(SEARCH("rn""&gt;Serbia and Montenegro",S292)),"Serbia and Montenegro",
ISNUMBER(SEARCH(_xlfn.UNICHAR(65533),S292)),"Côte d'Ivoire",
TRUE,""
)</f>
        <v/>
      </c>
      <c r="W292" s="30" t="str">
        <f t="shared" si="31"/>
        <v>Netherlands</v>
      </c>
      <c r="Z292" s="40" t="str">
        <v>Westfalenstadion</v>
      </c>
      <c r="AA292" s="40" t="str" cm="1">
        <f t="array" ref="AA292">IFERROR(_xlfn.XLOOKUP(Z292,_xlfn.ANCHORARRAY(Z$31),AA$31:AA$37),Z292)</f>
        <v>Westfalenstadion</v>
      </c>
      <c r="AB292" s="42" t="str">
        <v xml:space="preserve">Dortmund </v>
      </c>
      <c r="AC292" s="89" t="str">
        <f t="shared" si="28"/>
        <v xml:space="preserve">Dortmund </v>
      </c>
      <c r="AE292" s="42">
        <v>1970</v>
      </c>
      <c r="AK292" s="42">
        <v>3</v>
      </c>
      <c r="AL292" s="42">
        <v>0</v>
      </c>
      <c r="AV292" s="37" t="str">
        <v>ROUND_OF_16</v>
      </c>
      <c r="AW292" s="89" t="str">
        <v>GROUP_STAGE</v>
      </c>
      <c r="BE292" s="43" t="str">
        <f>IF(OR(DATA_CLEANED!AL283="",DATA_CLEANED!AM283=""),"MANQUANT",IF(OR(NOT(ISNUMBER(DATA_CLEANED!AL283)),NOT(ISNUMBER(DATA_CLEANED!AM283))),"ENTREE INVALIDE",IF(OR(DATA_CLEANED!AL283&lt;0,DATA_CLEANED!AM283&lt;0),"SCORE NEGATIF","OK")))</f>
        <v>OK</v>
      </c>
      <c r="BF292" s="43" t="str">
        <f>IF(DATA_CLEANED!AK283&lt;&gt;DATA_CLEANED!AN283,"OK","ERREUR")</f>
        <v>OK</v>
      </c>
      <c r="BG292" s="43" t="str">
        <f>IF(DATA_CLEANED!AL283&gt;DATA_CLEANED!AM283,DATA_CLEANED!AK283,IF(AND(DATA_QUALITE!W4769="-",DATA_CLEANED!AM283=DATA_CLEANED!AL283),"MATCH NUL",IF(AND(DATA_QUALITE!V4769="-",DATA_QUALITE!U4769="AUCUNE"),DATA_QUALITE!T4769,IF(DATA_QUALITE!V4769&lt;&gt;"-",DATA_QUALITE!V4769,DATA_CLEANED!AN283))))</f>
        <v>FR Germany</v>
      </c>
      <c r="BH292" s="103" t="str">
        <f>IF(AND(BG292="MATCH NUL",DATA_CLEANED!AO283="-"),"MATCH_NUL",IF(ISNUMBER(SEARCH("win on penalties",W4769)),"WIN_BY_PENALTY",IF(ISNUMBER(SEARCH("win after extra time",W4769)),"WIN_BY_EXTRA_TIME",IF(ISNUMBER(SEARCH("Golden Goal",W4769)),"WIN_BY_GOLDEN_GOAL","WIN_BY_SCORE"))))</f>
        <v>WIN_BY_SCORE</v>
      </c>
      <c r="BI292" s="99" t="str">
        <f>IF(OR(BG292=DATA_CLEANED!AK283,BG292=DATA_CLEANED!AN283,BG292="MATCH NUL"),"OK","ERREUR")</f>
        <v>OK</v>
      </c>
    </row>
    <row r="293" spans="2:61">
      <c r="B293" s="74">
        <v>2014</v>
      </c>
      <c r="C293" s="30" t="str">
        <v>Round of 16</v>
      </c>
      <c r="D293" s="30" t="str">
        <v>Brazil</v>
      </c>
      <c r="E293" s="30" t="str">
        <v>Chile</v>
      </c>
      <c r="F293" s="30" t="str">
        <v>Brazil</v>
      </c>
      <c r="G293" s="30" t="str">
        <v>Neymar</v>
      </c>
      <c r="H293" s="30" t="str">
        <v>Claudio Bravo</v>
      </c>
      <c r="I293" s="30">
        <v>9</v>
      </c>
      <c r="J293" s="30">
        <v>5</v>
      </c>
      <c r="K293" s="30" t="str">
        <v>'2-2</v>
      </c>
      <c r="L293" s="30" t="str">
        <v>No</v>
      </c>
      <c r="M293" s="30" t="str">
        <v>No</v>
      </c>
      <c r="N293" s="30" t="str">
        <v>Goal</v>
      </c>
      <c r="O293" s="30" t="str">
        <f t="shared" si="32"/>
        <v>2014|Round of 16|Brazil|Chile|Brazil|Neymar|Claudio Bravo|9|5|'2-2|No|No|Goal</v>
      </c>
      <c r="P293" s="96" t="str">
        <f>IF(COUNTIF($G$32:O293,O293)&gt;1,"DOUBLON","OK")</f>
        <v>OK</v>
      </c>
      <c r="S293" s="30" t="str">
        <v>Netherlands</v>
      </c>
      <c r="T293" s="30" t="str">
        <f t="shared" si="29"/>
        <v>OK</v>
      </c>
      <c r="U293" s="30" t="str">
        <f t="shared" si="30"/>
        <v>-</v>
      </c>
      <c r="V293" s="30" t="str" cm="1">
        <f t="array" ref="V293">_xlfn.IFS(
ISNUMBER(SEARCH("USA",S293)),"United States",
ISNUMBER(SEARCH("Republic of Korea",S293)),"South Korea",
ISNUMBER(SEARCH("Cape Verde",S293)),"Cabo Verde",
ISNUMBER(SEARCH("Czechia",S293)),"Czech Republic",
ISNUMBER(SEARCH("Türkiye",S293)),"Turkey",
ISNUMBER(SEARCH("Ivory Coast",S293)),"Côte d'Ivoire",
ISNUMBER(SEARCH("Korea Republic",S293)),"South Korea",
ISNUMBER(SEARCH("Germany FR",S293)),"FR Germany",
ISNUMBER(SEARCH("West Germany",S293)),"FR Germany",
ISNUMBER(SEARCH("Germany DR",S293)),"DR Germany",
ISNUMBER(SEARCH("Korea DPR",S293)),"North Korea",
ISNUMBER(SEARCH("China PR",S293)),"China",
ISNUMBER(SEARCH("IR Iran",S293)),"Iran",
ISNUMBER(SEARCH("Congo DR",S293)),"Democratic Republic of the Congo",
ISNUMBER(SEARCH("DR Congo",S293)),"Democratic Republic of the Congo",
ISNUMBER(SEARCH("German DR",S293)),"DR Germany",
ISNUMBER(SEARCH("rn""&gt;United Arab Emirates",S293)),"United Arab Emirates",
ISNUMBER(SEARCH("rn""&gt;Republic of Ireland",S293)),"Ireland",
ISNUMBER(SEARCH("rn""&gt;Bosnia and Herzegovina",S293)),"Bosnia and Herzegovina",
ISNUMBER(SEARCH("rn""&gt;Trinidad and Tobago",S293)),"Trinidad and Tobago",
ISNUMBER(SEARCH("rn""&gt;Serbia and Montenegro",S293)),"Serbia and Montenegro",
ISNUMBER(SEARCH(_xlfn.UNICHAR(65533),S293)),"Côte d'Ivoire",
TRUE,""
)</f>
        <v/>
      </c>
      <c r="W293" s="30" t="str">
        <f t="shared" si="31"/>
        <v>Netherlands</v>
      </c>
      <c r="Z293" s="40" t="str">
        <v>Olympiastadion</v>
      </c>
      <c r="AA293" s="40" t="str" cm="1">
        <f t="array" ref="AA293">IFERROR(_xlfn.XLOOKUP(Z293,_xlfn.ANCHORARRAY(Z$31),AA$31:AA$37),Z293)</f>
        <v>Olympiastadion</v>
      </c>
      <c r="AB293" s="42" t="str">
        <v xml:space="preserve">Munich </v>
      </c>
      <c r="AC293" s="89" t="str">
        <f t="shared" si="28"/>
        <v xml:space="preserve">Munich </v>
      </c>
      <c r="AE293" s="42">
        <v>1970</v>
      </c>
      <c r="AK293" s="42">
        <v>2</v>
      </c>
      <c r="AL293" s="42">
        <v>1</v>
      </c>
      <c r="AV293" s="37" t="str">
        <v>ROUND_OF_16</v>
      </c>
      <c r="AW293" s="89" t="str">
        <v>GROUP_STAGE</v>
      </c>
      <c r="BE293" s="43" t="str">
        <f>IF(OR(DATA_CLEANED!AL284="",DATA_CLEANED!AM284=""),"MANQUANT",IF(OR(NOT(ISNUMBER(DATA_CLEANED!AL284)),NOT(ISNUMBER(DATA_CLEANED!AM284))),"ENTREE INVALIDE",IF(OR(DATA_CLEANED!AL284&lt;0,DATA_CLEANED!AM284&lt;0),"SCORE NEGATIF","OK")))</f>
        <v>OK</v>
      </c>
      <c r="BF293" s="43" t="str">
        <f>IF(DATA_CLEANED!AK284&lt;&gt;DATA_CLEANED!AN284,"OK","ERREUR")</f>
        <v>OK</v>
      </c>
      <c r="BG293" s="43" t="str">
        <f>IF(DATA_CLEANED!AL284&gt;DATA_CLEANED!AM284,DATA_CLEANED!AK284,IF(AND(DATA_QUALITE!W4770="-",DATA_CLEANED!AM284=DATA_CLEANED!AL284),"MATCH NUL",IF(AND(DATA_QUALITE!V4770="-",DATA_QUALITE!U4770="AUCUNE"),DATA_QUALITE!T4770,IF(DATA_QUALITE!V4770&lt;&gt;"-",DATA_QUALITE!V4770,DATA_CLEANED!AN284))))</f>
        <v>Argentina</v>
      </c>
      <c r="BH293" s="103" t="str">
        <f>IF(AND(BG293="MATCH NUL",DATA_CLEANED!AO284="-"),"MATCH_NUL",IF(ISNUMBER(SEARCH("win on penalties",W4770)),"WIN_BY_PENALTY",IF(ISNUMBER(SEARCH("win after extra time",W4770)),"WIN_BY_EXTRA_TIME",IF(ISNUMBER(SEARCH("Golden Goal",W4770)),"WIN_BY_GOLDEN_GOAL","WIN_BY_SCORE"))))</f>
        <v>WIN_BY_SCORE</v>
      </c>
      <c r="BI293" s="99" t="str">
        <f>IF(OR(BG293=DATA_CLEANED!AK284,BG293=DATA_CLEANED!AN284,BG293="MATCH NUL"),"OK","ERREUR")</f>
        <v>OK</v>
      </c>
    </row>
    <row r="294" spans="2:61">
      <c r="B294" s="74">
        <v>2014</v>
      </c>
      <c r="C294" s="30" t="str">
        <v>Round of 16</v>
      </c>
      <c r="D294" s="30" t="str">
        <v>Brazil</v>
      </c>
      <c r="E294" s="30" t="str">
        <v>Chile</v>
      </c>
      <c r="F294" s="30" t="str">
        <v>Chile</v>
      </c>
      <c r="G294" s="30" t="str">
        <v>Gonzalo Jara</v>
      </c>
      <c r="H294" s="30" t="str">
        <v>Júlio César</v>
      </c>
      <c r="I294" s="30">
        <v>10</v>
      </c>
      <c r="J294" s="30">
        <v>5</v>
      </c>
      <c r="K294" s="30" t="str">
        <v>'2-3</v>
      </c>
      <c r="L294" s="30" t="str">
        <v>Yes</v>
      </c>
      <c r="M294" s="30" t="str">
        <v>Yes</v>
      </c>
      <c r="N294" s="30" t="str">
        <v>Missed</v>
      </c>
      <c r="O294" s="30" t="str">
        <f t="shared" si="32"/>
        <v>2014|Round of 16|Brazil|Chile|Chile|Gonzalo Jara|Júlio César|10|5|'2-3|Yes|Yes|Missed</v>
      </c>
      <c r="P294" s="96" t="str">
        <f>IF(COUNTIF($G$32:O294,O294)&gt;1,"DOUBLON","OK")</f>
        <v>OK</v>
      </c>
      <c r="S294" s="30" t="str">
        <v>Netherlands</v>
      </c>
      <c r="T294" s="30" t="str">
        <f t="shared" si="29"/>
        <v>OK</v>
      </c>
      <c r="U294" s="30" t="str">
        <f t="shared" si="30"/>
        <v>-</v>
      </c>
      <c r="V294" s="30" t="str" cm="1">
        <f t="array" ref="V294">_xlfn.IFS(
ISNUMBER(SEARCH("USA",S294)),"United States",
ISNUMBER(SEARCH("Republic of Korea",S294)),"South Korea",
ISNUMBER(SEARCH("Cape Verde",S294)),"Cabo Verde",
ISNUMBER(SEARCH("Czechia",S294)),"Czech Republic",
ISNUMBER(SEARCH("Türkiye",S294)),"Turkey",
ISNUMBER(SEARCH("Ivory Coast",S294)),"Côte d'Ivoire",
ISNUMBER(SEARCH("Korea Republic",S294)),"South Korea",
ISNUMBER(SEARCH("Germany FR",S294)),"FR Germany",
ISNUMBER(SEARCH("West Germany",S294)),"FR Germany",
ISNUMBER(SEARCH("Germany DR",S294)),"DR Germany",
ISNUMBER(SEARCH("Korea DPR",S294)),"North Korea",
ISNUMBER(SEARCH("China PR",S294)),"China",
ISNUMBER(SEARCH("IR Iran",S294)),"Iran",
ISNUMBER(SEARCH("Congo DR",S294)),"Democratic Republic of the Congo",
ISNUMBER(SEARCH("DR Congo",S294)),"Democratic Republic of the Congo",
ISNUMBER(SEARCH("German DR",S294)),"DR Germany",
ISNUMBER(SEARCH("rn""&gt;United Arab Emirates",S294)),"United Arab Emirates",
ISNUMBER(SEARCH("rn""&gt;Republic of Ireland",S294)),"Ireland",
ISNUMBER(SEARCH("rn""&gt;Bosnia and Herzegovina",S294)),"Bosnia and Herzegovina",
ISNUMBER(SEARCH("rn""&gt;Trinidad and Tobago",S294)),"Trinidad and Tobago",
ISNUMBER(SEARCH("rn""&gt;Serbia and Montenegro",S294)),"Serbia and Montenegro",
ISNUMBER(SEARCH(_xlfn.UNICHAR(65533),S294)),"Côte d'Ivoire",
TRUE,""
)</f>
        <v/>
      </c>
      <c r="W294" s="30" t="str">
        <f t="shared" si="31"/>
        <v>Netherlands</v>
      </c>
      <c r="Z294" s="40" t="str">
        <v>Rheinstadion</v>
      </c>
      <c r="AA294" s="40" t="str" cm="1">
        <f t="array" ref="AA294">IFERROR(_xlfn.XLOOKUP(Z294,_xlfn.ANCHORARRAY(Z$31),AA$31:AA$37),Z294)</f>
        <v>Rheinstadion</v>
      </c>
      <c r="AB294" s="42" t="str">
        <v xml:space="preserve">D�Sseldorf </v>
      </c>
      <c r="AC294" s="89" t="str">
        <f t="shared" si="28"/>
        <v>Düsseldorf</v>
      </c>
      <c r="AE294" s="42">
        <v>1970</v>
      </c>
      <c r="AK294" s="42">
        <v>4</v>
      </c>
      <c r="AL294" s="42">
        <v>1</v>
      </c>
      <c r="AV294" s="37" t="str">
        <v>ROUND_OF_16</v>
      </c>
      <c r="AW294" s="89" t="str">
        <v>GROUP_STAGE</v>
      </c>
      <c r="BE294" s="43" t="str">
        <f>IF(OR(DATA_CLEANED!AL285="",DATA_CLEANED!AM285=""),"MANQUANT",IF(OR(NOT(ISNUMBER(DATA_CLEANED!AL285)),NOT(ISNUMBER(DATA_CLEANED!AM285))),"ENTREE INVALIDE",IF(OR(DATA_CLEANED!AL285&lt;0,DATA_CLEANED!AM285&lt;0),"SCORE NEGATIF","OK")))</f>
        <v>OK</v>
      </c>
      <c r="BF294" s="43" t="str">
        <f>IF(DATA_CLEANED!AK285&lt;&gt;DATA_CLEANED!AN285,"OK","ERREUR")</f>
        <v>OK</v>
      </c>
      <c r="BG294" s="43" t="str">
        <f>IF(DATA_CLEANED!AL285&gt;DATA_CLEANED!AM285,DATA_CLEANED!AK285,IF(AND(DATA_QUALITE!W4771="-",DATA_CLEANED!AM285=DATA_CLEANED!AL285),"MATCH NUL",IF(AND(DATA_QUALITE!V4771="-",DATA_QUALITE!U4771="AUCUNE"),DATA_QUALITE!T4771,IF(DATA_QUALITE!V4771&lt;&gt;"-",DATA_QUALITE!V4771,DATA_CLEANED!AN285))))</f>
        <v>MATCH NUL</v>
      </c>
      <c r="BH294" s="103" t="str">
        <f>IF(AND(BG294="MATCH NUL",DATA_CLEANED!AO285="-"),"MATCH_NUL",IF(ISNUMBER(SEARCH("win on penalties",W4771)),"WIN_BY_PENALTY",IF(ISNUMBER(SEARCH("win after extra time",W4771)),"WIN_BY_EXTRA_TIME",IF(ISNUMBER(SEARCH("Golden Goal",W4771)),"WIN_BY_GOLDEN_GOAL","WIN_BY_SCORE"))))</f>
        <v>MATCH_NUL</v>
      </c>
      <c r="BI294" s="99" t="str">
        <f>IF(OR(BG294=DATA_CLEANED!AK285,BG294=DATA_CLEANED!AN285,BG294="MATCH NUL"),"OK","ERREUR")</f>
        <v>OK</v>
      </c>
    </row>
    <row r="295" spans="2:61">
      <c r="B295" s="74">
        <v>2014</v>
      </c>
      <c r="C295" s="30" t="str">
        <v>Round of 16</v>
      </c>
      <c r="D295" s="30" t="str">
        <v>Costa Rica</v>
      </c>
      <c r="E295" s="30" t="str">
        <v>Greece</v>
      </c>
      <c r="F295" s="30" t="str">
        <v>Costa Rica</v>
      </c>
      <c r="G295" s="30" t="str">
        <v>Celso Borges</v>
      </c>
      <c r="H295" s="30" t="str">
        <v>Orestis Karnezis</v>
      </c>
      <c r="I295" s="30">
        <v>1</v>
      </c>
      <c r="J295" s="30">
        <v>1</v>
      </c>
      <c r="K295" s="30" t="str">
        <v>'0-0</v>
      </c>
      <c r="L295" s="30" t="str">
        <v>No</v>
      </c>
      <c r="M295" s="30" t="str">
        <v>No</v>
      </c>
      <c r="N295" s="30" t="str">
        <v>Goal</v>
      </c>
      <c r="O295" s="30" t="str">
        <f t="shared" si="32"/>
        <v>2014|Round of 16|Costa Rica|Greece|Costa Rica|Celso Borges|Orestis Karnezis|1|1|'0-0|No|No|Goal</v>
      </c>
      <c r="P295" s="96" t="str">
        <f>IF(COUNTIF($G$32:O295,O295)&gt;1,"DOUBLON","OK")</f>
        <v>OK</v>
      </c>
      <c r="S295" s="30" t="str">
        <v>Netherlands</v>
      </c>
      <c r="T295" s="30" t="str">
        <f t="shared" si="29"/>
        <v>OK</v>
      </c>
      <c r="U295" s="30" t="str">
        <f t="shared" si="30"/>
        <v>-</v>
      </c>
      <c r="V295" s="30" t="str" cm="1">
        <f t="array" ref="V295">_xlfn.IFS(
ISNUMBER(SEARCH("USA",S295)),"United States",
ISNUMBER(SEARCH("Republic of Korea",S295)),"South Korea",
ISNUMBER(SEARCH("Cape Verde",S295)),"Cabo Verde",
ISNUMBER(SEARCH("Czechia",S295)),"Czech Republic",
ISNUMBER(SEARCH("Türkiye",S295)),"Turkey",
ISNUMBER(SEARCH("Ivory Coast",S295)),"Côte d'Ivoire",
ISNUMBER(SEARCH("Korea Republic",S295)),"South Korea",
ISNUMBER(SEARCH("Germany FR",S295)),"FR Germany",
ISNUMBER(SEARCH("West Germany",S295)),"FR Germany",
ISNUMBER(SEARCH("Germany DR",S295)),"DR Germany",
ISNUMBER(SEARCH("Korea DPR",S295)),"North Korea",
ISNUMBER(SEARCH("China PR",S295)),"China",
ISNUMBER(SEARCH("IR Iran",S295)),"Iran",
ISNUMBER(SEARCH("Congo DR",S295)),"Democratic Republic of the Congo",
ISNUMBER(SEARCH("DR Congo",S295)),"Democratic Republic of the Congo",
ISNUMBER(SEARCH("German DR",S295)),"DR Germany",
ISNUMBER(SEARCH("rn""&gt;United Arab Emirates",S295)),"United Arab Emirates",
ISNUMBER(SEARCH("rn""&gt;Republic of Ireland",S295)),"Ireland",
ISNUMBER(SEARCH("rn""&gt;Bosnia and Herzegovina",S295)),"Bosnia and Herzegovina",
ISNUMBER(SEARCH("rn""&gt;Trinidad and Tobago",S295)),"Trinidad and Tobago",
ISNUMBER(SEARCH("rn""&gt;Serbia and Montenegro",S295)),"Serbia and Montenegro",
ISNUMBER(SEARCH(_xlfn.UNICHAR(65533),S295)),"Côte d'Ivoire",
TRUE,""
)</f>
        <v/>
      </c>
      <c r="W295" s="30" t="str">
        <f t="shared" si="31"/>
        <v>Netherlands</v>
      </c>
      <c r="Z295" s="40" t="str">
        <v>Neckarstadion</v>
      </c>
      <c r="AA295" s="40" t="str" cm="1">
        <f t="array" ref="AA295">IFERROR(_xlfn.XLOOKUP(Z295,_xlfn.ANCHORARRAY(Z$31),AA$31:AA$37),Z295)</f>
        <v>Neckarstadion</v>
      </c>
      <c r="AB295" s="42" t="str">
        <v xml:space="preserve">Stuttgart </v>
      </c>
      <c r="AC295" s="89" t="str">
        <f t="shared" si="28"/>
        <v xml:space="preserve">Stuttgart </v>
      </c>
      <c r="AE295" s="42">
        <v>1970</v>
      </c>
      <c r="AK295" s="42">
        <v>1</v>
      </c>
      <c r="AL295" s="42">
        <v>1</v>
      </c>
      <c r="AV295" s="37" t="str">
        <v>ROUND_OF_16</v>
      </c>
      <c r="AW295" s="89" t="str">
        <v>GROUP_STAGE</v>
      </c>
      <c r="BE295" s="43" t="str">
        <f>IF(OR(DATA_CLEANED!AL286="",DATA_CLEANED!AM286=""),"MANQUANT",IF(OR(NOT(ISNUMBER(DATA_CLEANED!AL286)),NOT(ISNUMBER(DATA_CLEANED!AM286))),"ENTREE INVALIDE",IF(OR(DATA_CLEANED!AL286&lt;0,DATA_CLEANED!AM286&lt;0),"SCORE NEGATIF","OK")))</f>
        <v>OK</v>
      </c>
      <c r="BF295" s="43" t="str">
        <f>IF(DATA_CLEANED!AK286&lt;&gt;DATA_CLEANED!AN286,"OK","ERREUR")</f>
        <v>OK</v>
      </c>
      <c r="BG295" s="43" t="str">
        <f>IF(DATA_CLEANED!AL286&gt;DATA_CLEANED!AM286,DATA_CLEANED!AK286,IF(AND(DATA_QUALITE!W4772="-",DATA_CLEANED!AM286=DATA_CLEANED!AL286),"MATCH NUL",IF(AND(DATA_QUALITE!V4772="-",DATA_QUALITE!U4772="AUCUNE"),DATA_QUALITE!T4772,IF(DATA_QUALITE!V4772&lt;&gt;"-",DATA_QUALITE!V4772,DATA_CLEANED!AN286))))</f>
        <v>Austria</v>
      </c>
      <c r="BH295" s="103" t="str">
        <f>IF(AND(BG295="MATCH NUL",DATA_CLEANED!AO286="-"),"MATCH_NUL",IF(ISNUMBER(SEARCH("win on penalties",W4772)),"WIN_BY_PENALTY",IF(ISNUMBER(SEARCH("win after extra time",W4772)),"WIN_BY_EXTRA_TIME",IF(ISNUMBER(SEARCH("Golden Goal",W4772)),"WIN_BY_GOLDEN_GOAL","WIN_BY_SCORE"))))</f>
        <v>WIN_BY_SCORE</v>
      </c>
      <c r="BI295" s="99" t="str">
        <f>IF(OR(BG295=DATA_CLEANED!AK286,BG295=DATA_CLEANED!AN286,BG295="MATCH NUL"),"OK","ERREUR")</f>
        <v>OK</v>
      </c>
    </row>
    <row r="296" spans="2:61">
      <c r="B296" s="74">
        <v>2014</v>
      </c>
      <c r="C296" s="30" t="str">
        <v>Round of 16</v>
      </c>
      <c r="D296" s="30" t="str">
        <v>Costa Rica</v>
      </c>
      <c r="E296" s="30" t="str">
        <v>Greece</v>
      </c>
      <c r="F296" s="30" t="str">
        <v>Greece</v>
      </c>
      <c r="G296" s="30" t="str">
        <v>Mitroglou</v>
      </c>
      <c r="H296" s="30" t="str">
        <v>Keylor Navas</v>
      </c>
      <c r="I296" s="30">
        <v>2</v>
      </c>
      <c r="J296" s="30">
        <v>1</v>
      </c>
      <c r="K296" s="30" t="str">
        <v>'1-0</v>
      </c>
      <c r="L296" s="30" t="str">
        <v>No</v>
      </c>
      <c r="M296" s="30" t="str">
        <v>No</v>
      </c>
      <c r="N296" s="30" t="str">
        <v>Goal</v>
      </c>
      <c r="O296" s="30" t="str">
        <f t="shared" si="32"/>
        <v>2014|Round of 16|Costa Rica|Greece|Greece|Mitroglou|Keylor Navas|2|1|'1-0|No|No|Goal</v>
      </c>
      <c r="P296" s="96" t="str">
        <f>IF(COUNTIF($G$32:O296,O296)&gt;1,"DOUBLON","OK")</f>
        <v>OK</v>
      </c>
      <c r="S296" s="30" t="str">
        <v>Netherlands</v>
      </c>
      <c r="T296" s="30" t="str">
        <f t="shared" si="29"/>
        <v>OK</v>
      </c>
      <c r="U296" s="30" t="str">
        <f t="shared" si="30"/>
        <v>-</v>
      </c>
      <c r="V296" s="30" t="str" cm="1">
        <f t="array" ref="V296">_xlfn.IFS(
ISNUMBER(SEARCH("USA",S296)),"United States",
ISNUMBER(SEARCH("Republic of Korea",S296)),"South Korea",
ISNUMBER(SEARCH("Cape Verde",S296)),"Cabo Verde",
ISNUMBER(SEARCH("Czechia",S296)),"Czech Republic",
ISNUMBER(SEARCH("Türkiye",S296)),"Turkey",
ISNUMBER(SEARCH("Ivory Coast",S296)),"Côte d'Ivoire",
ISNUMBER(SEARCH("Korea Republic",S296)),"South Korea",
ISNUMBER(SEARCH("Germany FR",S296)),"FR Germany",
ISNUMBER(SEARCH("West Germany",S296)),"FR Germany",
ISNUMBER(SEARCH("Germany DR",S296)),"DR Germany",
ISNUMBER(SEARCH("Korea DPR",S296)),"North Korea",
ISNUMBER(SEARCH("China PR",S296)),"China",
ISNUMBER(SEARCH("IR Iran",S296)),"Iran",
ISNUMBER(SEARCH("Congo DR",S296)),"Democratic Republic of the Congo",
ISNUMBER(SEARCH("DR Congo",S296)),"Democratic Republic of the Congo",
ISNUMBER(SEARCH("German DR",S296)),"DR Germany",
ISNUMBER(SEARCH("rn""&gt;United Arab Emirates",S296)),"United Arab Emirates",
ISNUMBER(SEARCH("rn""&gt;Republic of Ireland",S296)),"Ireland",
ISNUMBER(SEARCH("rn""&gt;Bosnia and Herzegovina",S296)),"Bosnia and Herzegovina",
ISNUMBER(SEARCH("rn""&gt;Trinidad and Tobago",S296)),"Trinidad and Tobago",
ISNUMBER(SEARCH("rn""&gt;Serbia and Montenegro",S296)),"Serbia and Montenegro",
ISNUMBER(SEARCH(_xlfn.UNICHAR(65533),S296)),"Côte d'Ivoire",
TRUE,""
)</f>
        <v/>
      </c>
      <c r="W296" s="30" t="str">
        <f t="shared" si="31"/>
        <v>Netherlands</v>
      </c>
      <c r="Z296" s="40" t="str">
        <v>Rheinstadion</v>
      </c>
      <c r="AA296" s="40" t="str" cm="1">
        <f t="array" ref="AA296">IFERROR(_xlfn.XLOOKUP(Z296,_xlfn.ANCHORARRAY(Z$31),AA$31:AA$37),Z296)</f>
        <v>Rheinstadion</v>
      </c>
      <c r="AB296" s="42" t="str">
        <v xml:space="preserve">D�Sseldorf </v>
      </c>
      <c r="AC296" s="89" t="str">
        <f t="shared" si="28"/>
        <v>Düsseldorf</v>
      </c>
      <c r="AE296" s="42">
        <v>1970</v>
      </c>
      <c r="AK296" s="42">
        <v>5</v>
      </c>
      <c r="AL296" s="42">
        <v>2</v>
      </c>
      <c r="AV296" s="37" t="str">
        <v>ROUND_OF_16</v>
      </c>
      <c r="AW296" s="89" t="str">
        <v>GROUP_STAGE</v>
      </c>
      <c r="BE296" s="43" t="str">
        <f>IF(OR(DATA_CLEANED!AL287="",DATA_CLEANED!AM287=""),"MANQUANT",IF(OR(NOT(ISNUMBER(DATA_CLEANED!AL287)),NOT(ISNUMBER(DATA_CLEANED!AM287))),"ENTREE INVALIDE",IF(OR(DATA_CLEANED!AL287&lt;0,DATA_CLEANED!AM287&lt;0),"SCORE NEGATIF","OK")))</f>
        <v>OK</v>
      </c>
      <c r="BF296" s="43" t="str">
        <f>IF(DATA_CLEANED!AK287&lt;&gt;DATA_CLEANED!AN287,"OK","ERREUR")</f>
        <v>OK</v>
      </c>
      <c r="BG296" s="43" t="str">
        <f>IF(DATA_CLEANED!AL287&gt;DATA_CLEANED!AM287,DATA_CLEANED!AK287,IF(AND(DATA_QUALITE!W4773="-",DATA_CLEANED!AM287=DATA_CLEANED!AL287),"MATCH NUL",IF(AND(DATA_QUALITE!V4773="-",DATA_QUALITE!U4773="AUCUNE"),DATA_QUALITE!T4773,IF(DATA_QUALITE!V4773&lt;&gt;"-",DATA_QUALITE!V4773,DATA_CLEANED!AN287))))</f>
        <v>MATCH NUL</v>
      </c>
      <c r="BH296" s="103" t="str">
        <f>IF(AND(BG296="MATCH NUL",DATA_CLEANED!AO287="-"),"MATCH_NUL",IF(ISNUMBER(SEARCH("win on penalties",W4773)),"WIN_BY_PENALTY",IF(ISNUMBER(SEARCH("win after extra time",W4773)),"WIN_BY_EXTRA_TIME",IF(ISNUMBER(SEARCH("Golden Goal",W4773)),"WIN_BY_GOLDEN_GOAL","WIN_BY_SCORE"))))</f>
        <v>MATCH_NUL</v>
      </c>
      <c r="BI296" s="99" t="str">
        <f>IF(OR(BG296=DATA_CLEANED!AK287,BG296=DATA_CLEANED!AN287,BG296="MATCH NUL"),"OK","ERREUR")</f>
        <v>OK</v>
      </c>
    </row>
    <row r="297" spans="2:61">
      <c r="B297" s="74">
        <v>2014</v>
      </c>
      <c r="C297" s="30" t="str">
        <v>Round of 16</v>
      </c>
      <c r="D297" s="30" t="str">
        <v>Costa Rica</v>
      </c>
      <c r="E297" s="30" t="str">
        <v>Greece</v>
      </c>
      <c r="F297" s="30" t="str">
        <v>Costa Rica</v>
      </c>
      <c r="G297" s="30" t="str">
        <v>Bryan Ruiz</v>
      </c>
      <c r="H297" s="30" t="str">
        <v>Orestis Karnezis</v>
      </c>
      <c r="I297" s="30">
        <v>3</v>
      </c>
      <c r="J297" s="30">
        <v>2</v>
      </c>
      <c r="K297" s="30" t="str">
        <v>'1-1</v>
      </c>
      <c r="L297" s="30" t="str">
        <v>No</v>
      </c>
      <c r="M297" s="30" t="str">
        <v>No</v>
      </c>
      <c r="N297" s="30" t="str">
        <v>Goal</v>
      </c>
      <c r="O297" s="30" t="str">
        <f t="shared" si="32"/>
        <v>2014|Round of 16|Costa Rica|Greece|Costa Rica|Bryan Ruiz|Orestis Karnezis|3|2|'1-1|No|No|Goal</v>
      </c>
      <c r="P297" s="96" t="str">
        <f>IF(COUNTIF($G$32:O297,O297)&gt;1,"DOUBLON","OK")</f>
        <v>OK</v>
      </c>
      <c r="S297" s="30" t="str">
        <v>Netherlands</v>
      </c>
      <c r="T297" s="30" t="str">
        <f t="shared" si="29"/>
        <v>OK</v>
      </c>
      <c r="U297" s="30" t="str">
        <f t="shared" si="30"/>
        <v>-</v>
      </c>
      <c r="V297" s="30" t="str" cm="1">
        <f t="array" ref="V297">_xlfn.IFS(
ISNUMBER(SEARCH("USA",S297)),"United States",
ISNUMBER(SEARCH("Republic of Korea",S297)),"South Korea",
ISNUMBER(SEARCH("Cape Verde",S297)),"Cabo Verde",
ISNUMBER(SEARCH("Czechia",S297)),"Czech Republic",
ISNUMBER(SEARCH("Türkiye",S297)),"Turkey",
ISNUMBER(SEARCH("Ivory Coast",S297)),"Côte d'Ivoire",
ISNUMBER(SEARCH("Korea Republic",S297)),"South Korea",
ISNUMBER(SEARCH("Germany FR",S297)),"FR Germany",
ISNUMBER(SEARCH("West Germany",S297)),"FR Germany",
ISNUMBER(SEARCH("Germany DR",S297)),"DR Germany",
ISNUMBER(SEARCH("Korea DPR",S297)),"North Korea",
ISNUMBER(SEARCH("China PR",S297)),"China",
ISNUMBER(SEARCH("IR Iran",S297)),"Iran",
ISNUMBER(SEARCH("Congo DR",S297)),"Democratic Republic of the Congo",
ISNUMBER(SEARCH("DR Congo",S297)),"Democratic Republic of the Congo",
ISNUMBER(SEARCH("German DR",S297)),"DR Germany",
ISNUMBER(SEARCH("rn""&gt;United Arab Emirates",S297)),"United Arab Emirates",
ISNUMBER(SEARCH("rn""&gt;Republic of Ireland",S297)),"Ireland",
ISNUMBER(SEARCH("rn""&gt;Bosnia and Herzegovina",S297)),"Bosnia and Herzegovina",
ISNUMBER(SEARCH("rn""&gt;Trinidad and Tobago",S297)),"Trinidad and Tobago",
ISNUMBER(SEARCH("rn""&gt;Serbia and Montenegro",S297)),"Serbia and Montenegro",
ISNUMBER(SEARCH(_xlfn.UNICHAR(65533),S297)),"Côte d'Ivoire",
TRUE,""
)</f>
        <v/>
      </c>
      <c r="W297" s="30" t="str">
        <f t="shared" si="31"/>
        <v>Netherlands</v>
      </c>
      <c r="Z297" s="40" t="str">
        <v>Niedersachsenstadion</v>
      </c>
      <c r="AA297" s="40" t="str" cm="1">
        <f t="array" ref="AA297">IFERROR(_xlfn.XLOOKUP(Z297,_xlfn.ANCHORARRAY(Z$31),AA$31:AA$37),Z297)</f>
        <v>Niedersachsenstadion</v>
      </c>
      <c r="AB297" s="42" t="str">
        <v xml:space="preserve">Hanover </v>
      </c>
      <c r="AC297" s="89" t="str">
        <f t="shared" ref="AC297:AC360" si="33">_xlfn.SINGLE(IFERROR(_xlfn.XLOOKUP(AB297,AB$31:AB$34,AC$31:AC$34),AB297))</f>
        <v xml:space="preserve">Hanover </v>
      </c>
      <c r="AE297" s="42">
        <v>1970</v>
      </c>
      <c r="AK297" s="42">
        <v>1</v>
      </c>
      <c r="AL297" s="42">
        <v>0</v>
      </c>
      <c r="AV297" s="37" t="str">
        <v>ROUND_OF_16</v>
      </c>
      <c r="AW297" s="89" t="str">
        <v>GROUP_STAGE</v>
      </c>
      <c r="BE297" s="43" t="str">
        <f>IF(OR(DATA_CLEANED!AL288="",DATA_CLEANED!AM288=""),"MANQUANT",IF(OR(NOT(ISNUMBER(DATA_CLEANED!AL288)),NOT(ISNUMBER(DATA_CLEANED!AM288))),"ENTREE INVALIDE",IF(OR(DATA_CLEANED!AL288&lt;0,DATA_CLEANED!AM288&lt;0),"SCORE NEGATIF","OK")))</f>
        <v>OK</v>
      </c>
      <c r="BF297" s="43" t="str">
        <f>IF(DATA_CLEANED!AK288&lt;&gt;DATA_CLEANED!AN288,"OK","ERREUR")</f>
        <v>OK</v>
      </c>
      <c r="BG297" s="43" t="str">
        <f>IF(DATA_CLEANED!AL288&gt;DATA_CLEANED!AM288,DATA_CLEANED!AK288,IF(AND(DATA_QUALITE!W4774="-",DATA_CLEANED!AM288=DATA_CLEANED!AL288),"MATCH NUL",IF(AND(DATA_QUALITE!V4774="-",DATA_QUALITE!U4774="AUCUNE"),DATA_QUALITE!T4774,IF(DATA_QUALITE!V4774&lt;&gt;"-",DATA_QUALITE!V4774,DATA_CLEANED!AN288))))</f>
        <v>MATCH NUL</v>
      </c>
      <c r="BH297" s="103" t="str">
        <f>IF(AND(BG297="MATCH NUL",DATA_CLEANED!AO288="-"),"MATCH_NUL",IF(ISNUMBER(SEARCH("win on penalties",W4774)),"WIN_BY_PENALTY",IF(ISNUMBER(SEARCH("win after extra time",W4774)),"WIN_BY_EXTRA_TIME",IF(ISNUMBER(SEARCH("Golden Goal",W4774)),"WIN_BY_GOLDEN_GOAL","WIN_BY_SCORE"))))</f>
        <v>MATCH_NUL</v>
      </c>
      <c r="BI297" s="99" t="str">
        <f>IF(OR(BG297=DATA_CLEANED!AK288,BG297=DATA_CLEANED!AN288,BG297="MATCH NUL"),"OK","ERREUR")</f>
        <v>OK</v>
      </c>
    </row>
    <row r="298" spans="2:61">
      <c r="B298" s="74">
        <v>2014</v>
      </c>
      <c r="C298" s="30" t="str">
        <v>Round of 16</v>
      </c>
      <c r="D298" s="30" t="str">
        <v>Costa Rica</v>
      </c>
      <c r="E298" s="30" t="str">
        <v>Greece</v>
      </c>
      <c r="F298" s="30" t="str">
        <v>Greece</v>
      </c>
      <c r="G298" s="30" t="str">
        <v>Lazaros Christodoulopoulos</v>
      </c>
      <c r="H298" s="30" t="str">
        <v>Keylor Navas</v>
      </c>
      <c r="I298" s="30">
        <v>4</v>
      </c>
      <c r="J298" s="30">
        <v>2</v>
      </c>
      <c r="K298" s="30" t="str">
        <v>'2-2</v>
      </c>
      <c r="L298" s="30" t="str">
        <v>No</v>
      </c>
      <c r="M298" s="30" t="str">
        <v>No</v>
      </c>
      <c r="N298" s="30" t="str">
        <v>Goal</v>
      </c>
      <c r="O298" s="30" t="str">
        <f t="shared" si="32"/>
        <v>2014|Round of 16|Costa Rica|Greece|Greece|Lazaros Christodoulopoulos|Keylor Navas|4|2|'2-2|No|No|Goal</v>
      </c>
      <c r="P298" s="96" t="str">
        <f>IF(COUNTIF($G$32:O298,O298)&gt;1,"DOUBLON","OK")</f>
        <v>OK</v>
      </c>
      <c r="S298" s="30" t="str">
        <v>Netherlands</v>
      </c>
      <c r="T298" s="30" t="str">
        <f t="shared" si="29"/>
        <v>OK</v>
      </c>
      <c r="U298" s="30" t="str">
        <f t="shared" si="30"/>
        <v>-</v>
      </c>
      <c r="V298" s="30" t="str" cm="1">
        <f t="array" ref="V298">_xlfn.IFS(
ISNUMBER(SEARCH("USA",S298)),"United States",
ISNUMBER(SEARCH("Republic of Korea",S298)),"South Korea",
ISNUMBER(SEARCH("Cape Verde",S298)),"Cabo Verde",
ISNUMBER(SEARCH("Czechia",S298)),"Czech Republic",
ISNUMBER(SEARCH("Türkiye",S298)),"Turkey",
ISNUMBER(SEARCH("Ivory Coast",S298)),"Côte d'Ivoire",
ISNUMBER(SEARCH("Korea Republic",S298)),"South Korea",
ISNUMBER(SEARCH("Germany FR",S298)),"FR Germany",
ISNUMBER(SEARCH("West Germany",S298)),"FR Germany",
ISNUMBER(SEARCH("Germany DR",S298)),"DR Germany",
ISNUMBER(SEARCH("Korea DPR",S298)),"North Korea",
ISNUMBER(SEARCH("China PR",S298)),"China",
ISNUMBER(SEARCH("IR Iran",S298)),"Iran",
ISNUMBER(SEARCH("Congo DR",S298)),"Democratic Republic of the Congo",
ISNUMBER(SEARCH("DR Congo",S298)),"Democratic Republic of the Congo",
ISNUMBER(SEARCH("German DR",S298)),"DR Germany",
ISNUMBER(SEARCH("rn""&gt;United Arab Emirates",S298)),"United Arab Emirates",
ISNUMBER(SEARCH("rn""&gt;Republic of Ireland",S298)),"Ireland",
ISNUMBER(SEARCH("rn""&gt;Bosnia and Herzegovina",S298)),"Bosnia and Herzegovina",
ISNUMBER(SEARCH("rn""&gt;Trinidad and Tobago",S298)),"Trinidad and Tobago",
ISNUMBER(SEARCH("rn""&gt;Serbia and Montenegro",S298)),"Serbia and Montenegro",
ISNUMBER(SEARCH(_xlfn.UNICHAR(65533),S298)),"Côte d'Ivoire",
TRUE,""
)</f>
        <v/>
      </c>
      <c r="W298" s="30" t="str">
        <f t="shared" si="31"/>
        <v>Netherlands</v>
      </c>
      <c r="Z298" s="40" t="str">
        <v>Parkstadion</v>
      </c>
      <c r="AA298" s="40" t="str" cm="1">
        <f t="array" ref="AA298">IFERROR(_xlfn.XLOOKUP(Z298,_xlfn.ANCHORARRAY(Z$31),AA$31:AA$37),Z298)</f>
        <v>Parkstadion</v>
      </c>
      <c r="AB298" s="42" t="str">
        <v xml:space="preserve">Gelsenkirchen </v>
      </c>
      <c r="AC298" s="89" t="str">
        <f t="shared" si="33"/>
        <v xml:space="preserve">Gelsenkirchen </v>
      </c>
      <c r="AE298" s="42">
        <v>1970</v>
      </c>
      <c r="AK298" s="42">
        <v>4</v>
      </c>
      <c r="AL298" s="42">
        <v>0</v>
      </c>
      <c r="AV298" s="37" t="str">
        <v>ROUND_OF_16</v>
      </c>
      <c r="AW298" s="89" t="str">
        <v>GROUP_STAGE</v>
      </c>
      <c r="BE298" s="43" t="str">
        <f>IF(OR(DATA_CLEANED!AL289="",DATA_CLEANED!AM289=""),"MANQUANT",IF(OR(NOT(ISNUMBER(DATA_CLEANED!AL289)),NOT(ISNUMBER(DATA_CLEANED!AM289))),"ENTREE INVALIDE",IF(OR(DATA_CLEANED!AL289&lt;0,DATA_CLEANED!AM289&lt;0),"SCORE NEGATIF","OK")))</f>
        <v>OK</v>
      </c>
      <c r="BF298" s="43" t="str">
        <f>IF(DATA_CLEANED!AK289&lt;&gt;DATA_CLEANED!AN289,"OK","ERREUR")</f>
        <v>OK</v>
      </c>
      <c r="BG298" s="43" t="str">
        <f>IF(DATA_CLEANED!AL289&gt;DATA_CLEANED!AM289,DATA_CLEANED!AK289,IF(AND(DATA_QUALITE!W4775="-",DATA_CLEANED!AM289=DATA_CLEANED!AL289),"MATCH NUL",IF(AND(DATA_QUALITE!V4775="-",DATA_QUALITE!U4775="AUCUNE"),DATA_QUALITE!T4775,IF(DATA_QUALITE!V4775&lt;&gt;"-",DATA_QUALITE!V4775,DATA_CLEANED!AN289))))</f>
        <v>France</v>
      </c>
      <c r="BH298" s="103" t="str">
        <f>IF(AND(BG298="MATCH NUL",DATA_CLEANED!AO289="-"),"MATCH_NUL",IF(ISNUMBER(SEARCH("win on penalties",W4775)),"WIN_BY_PENALTY",IF(ISNUMBER(SEARCH("win after extra time",W4775)),"WIN_BY_EXTRA_TIME",IF(ISNUMBER(SEARCH("Golden Goal",W4775)),"WIN_BY_GOLDEN_GOAL","WIN_BY_SCORE"))))</f>
        <v>WIN_BY_SCORE</v>
      </c>
      <c r="BI298" s="99" t="str">
        <f>IF(OR(BG298=DATA_CLEANED!AK289,BG298=DATA_CLEANED!AN289,BG298="MATCH NUL"),"OK","ERREUR")</f>
        <v>OK</v>
      </c>
    </row>
    <row r="299" spans="2:61">
      <c r="B299" s="74">
        <v>2014</v>
      </c>
      <c r="C299" s="30" t="str">
        <v>Round of 16</v>
      </c>
      <c r="D299" s="30" t="str">
        <v>Costa Rica</v>
      </c>
      <c r="E299" s="30" t="str">
        <v>Greece</v>
      </c>
      <c r="F299" s="30" t="str">
        <v>Costa Rica</v>
      </c>
      <c r="G299" s="30" t="str">
        <v>Giancarlo González</v>
      </c>
      <c r="H299" s="30" t="str">
        <v>Orestis Karnezis</v>
      </c>
      <c r="I299" s="30">
        <v>5</v>
      </c>
      <c r="J299" s="30">
        <v>3</v>
      </c>
      <c r="K299" s="30" t="str">
        <v>'2-2</v>
      </c>
      <c r="L299" s="30" t="str">
        <v>No</v>
      </c>
      <c r="M299" s="30" t="str">
        <v>No</v>
      </c>
      <c r="N299" s="30" t="str">
        <v>Goal</v>
      </c>
      <c r="O299" s="30" t="str">
        <f t="shared" si="32"/>
        <v>2014|Round of 16|Costa Rica|Greece|Costa Rica|Giancarlo González|Orestis Karnezis|5|3|'2-2|No|No|Goal</v>
      </c>
      <c r="P299" s="96" t="str">
        <f>IF(COUNTIF($G$32:O299,O299)&gt;1,"DOUBLON","OK")</f>
        <v>OK</v>
      </c>
      <c r="S299" s="30" t="str">
        <v>Netherlands</v>
      </c>
      <c r="T299" s="30" t="str">
        <f t="shared" si="29"/>
        <v>OK</v>
      </c>
      <c r="U299" s="30" t="str">
        <f t="shared" si="30"/>
        <v>-</v>
      </c>
      <c r="V299" s="30" t="str" cm="1">
        <f t="array" ref="V299">_xlfn.IFS(
ISNUMBER(SEARCH("USA",S299)),"United States",
ISNUMBER(SEARCH("Republic of Korea",S299)),"South Korea",
ISNUMBER(SEARCH("Cape Verde",S299)),"Cabo Verde",
ISNUMBER(SEARCH("Czechia",S299)),"Czech Republic",
ISNUMBER(SEARCH("Türkiye",S299)),"Turkey",
ISNUMBER(SEARCH("Ivory Coast",S299)),"Côte d'Ivoire",
ISNUMBER(SEARCH("Korea Republic",S299)),"South Korea",
ISNUMBER(SEARCH("Germany FR",S299)),"FR Germany",
ISNUMBER(SEARCH("West Germany",S299)),"FR Germany",
ISNUMBER(SEARCH("Germany DR",S299)),"DR Germany",
ISNUMBER(SEARCH("Korea DPR",S299)),"North Korea",
ISNUMBER(SEARCH("China PR",S299)),"China",
ISNUMBER(SEARCH("IR Iran",S299)),"Iran",
ISNUMBER(SEARCH("Congo DR",S299)),"Democratic Republic of the Congo",
ISNUMBER(SEARCH("DR Congo",S299)),"Democratic Republic of the Congo",
ISNUMBER(SEARCH("German DR",S299)),"DR Germany",
ISNUMBER(SEARCH("rn""&gt;United Arab Emirates",S299)),"United Arab Emirates",
ISNUMBER(SEARCH("rn""&gt;Republic of Ireland",S299)),"Ireland",
ISNUMBER(SEARCH("rn""&gt;Bosnia and Herzegovina",S299)),"Bosnia and Herzegovina",
ISNUMBER(SEARCH("rn""&gt;Trinidad and Tobago",S299)),"Trinidad and Tobago",
ISNUMBER(SEARCH("rn""&gt;Serbia and Montenegro",S299)),"Serbia and Montenegro",
ISNUMBER(SEARCH(_xlfn.UNICHAR(65533),S299)),"Côte d'Ivoire",
TRUE,""
)</f>
        <v/>
      </c>
      <c r="W299" s="30" t="str">
        <f t="shared" si="31"/>
        <v>Netherlands</v>
      </c>
      <c r="Z299" s="40" t="str">
        <v>Neckarstadion</v>
      </c>
      <c r="AA299" s="40" t="str" cm="1">
        <f t="array" ref="AA299">IFERROR(_xlfn.XLOOKUP(Z299,_xlfn.ANCHORARRAY(Z$31),AA$31:AA$37),Z299)</f>
        <v>Neckarstadion</v>
      </c>
      <c r="AB299" s="42" t="str">
        <v xml:space="preserve">Stuttgart </v>
      </c>
      <c r="AC299" s="89" t="str">
        <f t="shared" si="33"/>
        <v xml:space="preserve">Stuttgart </v>
      </c>
      <c r="AE299" s="42">
        <v>1970</v>
      </c>
      <c r="AK299" s="42">
        <v>1</v>
      </c>
      <c r="AL299" s="42">
        <v>0</v>
      </c>
      <c r="AV299" s="37" t="str">
        <v>ROUND_OF_16</v>
      </c>
      <c r="AW299" s="89" t="str">
        <v>GROUP_STAGE</v>
      </c>
      <c r="BE299" s="43" t="str">
        <f>IF(OR(DATA_CLEANED!AL290="",DATA_CLEANED!AM290=""),"MANQUANT",IF(OR(NOT(ISNUMBER(DATA_CLEANED!AL290)),NOT(ISNUMBER(DATA_CLEANED!AM290))),"ENTREE INVALIDE",IF(OR(DATA_CLEANED!AL290&lt;0,DATA_CLEANED!AM290&lt;0),"SCORE NEGATIF","OK")))</f>
        <v>OK</v>
      </c>
      <c r="BF299" s="43" t="str">
        <f>IF(DATA_CLEANED!AK290&lt;&gt;DATA_CLEANED!AN290,"OK","ERREUR")</f>
        <v>OK</v>
      </c>
      <c r="BG299" s="43" t="str">
        <f>IF(DATA_CLEANED!AL290&gt;DATA_CLEANED!AM290,DATA_CLEANED!AK290,IF(AND(DATA_QUALITE!W4776="-",DATA_CLEANED!AM290=DATA_CLEANED!AL290),"MATCH NUL",IF(AND(DATA_QUALITE!V4776="-",DATA_QUALITE!U4776="AUCUNE"),DATA_QUALITE!T4776,IF(DATA_QUALITE!V4776&lt;&gt;"-",DATA_QUALITE!V4776,DATA_CLEANED!AN290))))</f>
        <v>Poland</v>
      </c>
      <c r="BH299" s="103" t="str">
        <f>IF(AND(BG299="MATCH NUL",DATA_CLEANED!AO290="-"),"MATCH_NUL",IF(ISNUMBER(SEARCH("win on penalties",W4776)),"WIN_BY_PENALTY",IF(ISNUMBER(SEARCH("win after extra time",W4776)),"WIN_BY_EXTRA_TIME",IF(ISNUMBER(SEARCH("Golden Goal",W4776)),"WIN_BY_GOLDEN_GOAL","WIN_BY_SCORE"))))</f>
        <v>WIN_BY_SCORE</v>
      </c>
      <c r="BI299" s="99" t="str">
        <f>IF(OR(BG299=DATA_CLEANED!AK290,BG299=DATA_CLEANED!AN290,BG299="MATCH NUL"),"OK","ERREUR")</f>
        <v>OK</v>
      </c>
    </row>
    <row r="300" spans="2:61">
      <c r="B300" s="74">
        <v>2014</v>
      </c>
      <c r="C300" s="30" t="str">
        <v>Round of 16</v>
      </c>
      <c r="D300" s="30" t="str">
        <v>Costa Rica</v>
      </c>
      <c r="E300" s="30" t="str">
        <v>Greece</v>
      </c>
      <c r="F300" s="30" t="str">
        <v>Greece</v>
      </c>
      <c r="G300" s="30" t="str">
        <v>José Holebas</v>
      </c>
      <c r="H300" s="30" t="str">
        <v>Keylor Navas</v>
      </c>
      <c r="I300" s="30">
        <v>6</v>
      </c>
      <c r="J300" s="30">
        <v>3</v>
      </c>
      <c r="K300" s="30" t="str">
        <v>'3-3</v>
      </c>
      <c r="L300" s="30" t="str">
        <v>No</v>
      </c>
      <c r="M300" s="30" t="str">
        <v>No</v>
      </c>
      <c r="N300" s="30" t="str">
        <v>Goal</v>
      </c>
      <c r="O300" s="30" t="str">
        <f t="shared" si="32"/>
        <v>2014|Round of 16|Costa Rica|Greece|Greece|José Holebas|Keylor Navas|6|3|'3-3|No|No|Goal</v>
      </c>
      <c r="P300" s="96" t="str">
        <f>IF(COUNTIF($G$32:O300,O300)&gt;1,"DOUBLON","OK")</f>
        <v>OK</v>
      </c>
      <c r="S300" s="30" t="str">
        <v>Colombia</v>
      </c>
      <c r="T300" s="30" t="str">
        <f t="shared" si="29"/>
        <v>OK</v>
      </c>
      <c r="U300" s="30" t="str">
        <f t="shared" si="30"/>
        <v>-</v>
      </c>
      <c r="V300" s="30" t="str" cm="1">
        <f t="array" ref="V300">_xlfn.IFS(
ISNUMBER(SEARCH("USA",S300)),"United States",
ISNUMBER(SEARCH("Republic of Korea",S300)),"South Korea",
ISNUMBER(SEARCH("Cape Verde",S300)),"Cabo Verde",
ISNUMBER(SEARCH("Czechia",S300)),"Czech Republic",
ISNUMBER(SEARCH("Türkiye",S300)),"Turkey",
ISNUMBER(SEARCH("Ivory Coast",S300)),"Côte d'Ivoire",
ISNUMBER(SEARCH("Korea Republic",S300)),"South Korea",
ISNUMBER(SEARCH("Germany FR",S300)),"FR Germany",
ISNUMBER(SEARCH("West Germany",S300)),"FR Germany",
ISNUMBER(SEARCH("Germany DR",S300)),"DR Germany",
ISNUMBER(SEARCH("Korea DPR",S300)),"North Korea",
ISNUMBER(SEARCH("China PR",S300)),"China",
ISNUMBER(SEARCH("IR Iran",S300)),"Iran",
ISNUMBER(SEARCH("Congo DR",S300)),"Democratic Republic of the Congo",
ISNUMBER(SEARCH("DR Congo",S300)),"Democratic Republic of the Congo",
ISNUMBER(SEARCH("German DR",S300)),"DR Germany",
ISNUMBER(SEARCH("rn""&gt;United Arab Emirates",S300)),"United Arab Emirates",
ISNUMBER(SEARCH("rn""&gt;Republic of Ireland",S300)),"Ireland",
ISNUMBER(SEARCH("rn""&gt;Bosnia and Herzegovina",S300)),"Bosnia and Herzegovina",
ISNUMBER(SEARCH("rn""&gt;Trinidad and Tobago",S300)),"Trinidad and Tobago",
ISNUMBER(SEARCH("rn""&gt;Serbia and Montenegro",S300)),"Serbia and Montenegro",
ISNUMBER(SEARCH(_xlfn.UNICHAR(65533),S300)),"Côte d'Ivoire",
TRUE,""
)</f>
        <v/>
      </c>
      <c r="W300" s="30" t="str">
        <f t="shared" si="31"/>
        <v>Colombia</v>
      </c>
      <c r="Z300" s="40" t="str">
        <v>Niedersachsenstadion</v>
      </c>
      <c r="AA300" s="40" t="str" cm="1">
        <f t="array" ref="AA300">IFERROR(_xlfn.XLOOKUP(Z300,_xlfn.ANCHORARRAY(Z$31),AA$31:AA$37),Z300)</f>
        <v>Niedersachsenstadion</v>
      </c>
      <c r="AB300" s="42" t="str">
        <v xml:space="preserve">Hanover </v>
      </c>
      <c r="AC300" s="89" t="str">
        <f t="shared" si="33"/>
        <v xml:space="preserve">Hanover </v>
      </c>
      <c r="AE300" s="42">
        <v>1970</v>
      </c>
      <c r="AK300" s="42">
        <v>3</v>
      </c>
      <c r="AL300" s="42">
        <v>1</v>
      </c>
      <c r="AV300" s="37" t="str">
        <v>ROUND_OF_16</v>
      </c>
      <c r="AW300" s="89" t="str">
        <v>GROUP_STAGE</v>
      </c>
      <c r="BE300" s="43" t="str">
        <f>IF(OR(DATA_CLEANED!AL291="",DATA_CLEANED!AM291=""),"MANQUANT",IF(OR(NOT(ISNUMBER(DATA_CLEANED!AL291)),NOT(ISNUMBER(DATA_CLEANED!AM291))),"ENTREE INVALIDE",IF(OR(DATA_CLEANED!AL291&lt;0,DATA_CLEANED!AM291&lt;0),"SCORE NEGATIF","OK")))</f>
        <v>OK</v>
      </c>
      <c r="BF300" s="43" t="str">
        <f>IF(DATA_CLEANED!AK291&lt;&gt;DATA_CLEANED!AN291,"OK","ERREUR")</f>
        <v>OK</v>
      </c>
      <c r="BG300" s="43" t="str">
        <f>IF(DATA_CLEANED!AL291&gt;DATA_CLEANED!AM291,DATA_CLEANED!AK291,IF(AND(DATA_QUALITE!W4777="-",DATA_CLEANED!AM291=DATA_CLEANED!AL291),"MATCH NUL",IF(AND(DATA_QUALITE!V4777="-",DATA_QUALITE!U4777="AUCUNE"),DATA_QUALITE!T4777,IF(DATA_QUALITE!V4777&lt;&gt;"-",DATA_QUALITE!V4777,DATA_CLEANED!AN291))))</f>
        <v>MATCH NUL</v>
      </c>
      <c r="BH300" s="103" t="str">
        <f>IF(AND(BG300="MATCH NUL",DATA_CLEANED!AO291="-"),"MATCH_NUL",IF(ISNUMBER(SEARCH("win on penalties",W4777)),"WIN_BY_PENALTY",IF(ISNUMBER(SEARCH("win after extra time",W4777)),"WIN_BY_EXTRA_TIME",IF(ISNUMBER(SEARCH("Golden Goal",W4777)),"WIN_BY_GOLDEN_GOAL","WIN_BY_SCORE"))))</f>
        <v>MATCH_NUL</v>
      </c>
      <c r="BI300" s="99" t="str">
        <f>IF(OR(BG300=DATA_CLEANED!AK291,BG300=DATA_CLEANED!AN291,BG300="MATCH NUL"),"OK","ERREUR")</f>
        <v>OK</v>
      </c>
    </row>
    <row r="301" spans="2:61">
      <c r="B301" s="74">
        <v>2014</v>
      </c>
      <c r="C301" s="30" t="str">
        <v>Round of 16</v>
      </c>
      <c r="D301" s="30" t="str">
        <v>Costa Rica</v>
      </c>
      <c r="E301" s="30" t="str">
        <v>Greece</v>
      </c>
      <c r="F301" s="30" t="str">
        <v>Costa Rica</v>
      </c>
      <c r="G301" s="30" t="str">
        <v>Joel Campbell</v>
      </c>
      <c r="H301" s="30" t="str">
        <v>Orestis Karnezis</v>
      </c>
      <c r="I301" s="30">
        <v>7</v>
      </c>
      <c r="J301" s="30">
        <v>4</v>
      </c>
      <c r="K301" s="30" t="str">
        <v>'3-3</v>
      </c>
      <c r="L301" s="30" t="str">
        <v>No</v>
      </c>
      <c r="M301" s="30" t="str">
        <v>No</v>
      </c>
      <c r="N301" s="30" t="str">
        <v>Goal</v>
      </c>
      <c r="O301" s="30" t="str">
        <f t="shared" si="32"/>
        <v>2014|Round of 16|Costa Rica|Greece|Costa Rica|Joel Campbell|Orestis Karnezis|7|4|'3-3|No|No|Goal</v>
      </c>
      <c r="P301" s="96" t="str">
        <f>IF(COUNTIF($G$32:O301,O301)&gt;1,"DOUBLON","OK")</f>
        <v>OK</v>
      </c>
      <c r="S301" s="30" t="str">
        <v>Colombia</v>
      </c>
      <c r="T301" s="30" t="str">
        <f t="shared" si="29"/>
        <v>OK</v>
      </c>
      <c r="U301" s="30" t="str">
        <f t="shared" si="30"/>
        <v>-</v>
      </c>
      <c r="V301" s="30" t="str" cm="1">
        <f t="array" ref="V301">_xlfn.IFS(
ISNUMBER(SEARCH("USA",S301)),"United States",
ISNUMBER(SEARCH("Republic of Korea",S301)),"South Korea",
ISNUMBER(SEARCH("Cape Verde",S301)),"Cabo Verde",
ISNUMBER(SEARCH("Czechia",S301)),"Czech Republic",
ISNUMBER(SEARCH("Türkiye",S301)),"Turkey",
ISNUMBER(SEARCH("Ivory Coast",S301)),"Côte d'Ivoire",
ISNUMBER(SEARCH("Korea Republic",S301)),"South Korea",
ISNUMBER(SEARCH("Germany FR",S301)),"FR Germany",
ISNUMBER(SEARCH("West Germany",S301)),"FR Germany",
ISNUMBER(SEARCH("Germany DR",S301)),"DR Germany",
ISNUMBER(SEARCH("Korea DPR",S301)),"North Korea",
ISNUMBER(SEARCH("China PR",S301)),"China",
ISNUMBER(SEARCH("IR Iran",S301)),"Iran",
ISNUMBER(SEARCH("Congo DR",S301)),"Democratic Republic of the Congo",
ISNUMBER(SEARCH("DR Congo",S301)),"Democratic Republic of the Congo",
ISNUMBER(SEARCH("German DR",S301)),"DR Germany",
ISNUMBER(SEARCH("rn""&gt;United Arab Emirates",S301)),"United Arab Emirates",
ISNUMBER(SEARCH("rn""&gt;Republic of Ireland",S301)),"Ireland",
ISNUMBER(SEARCH("rn""&gt;Bosnia and Herzegovina",S301)),"Bosnia and Herzegovina",
ISNUMBER(SEARCH("rn""&gt;Trinidad and Tobago",S301)),"Trinidad and Tobago",
ISNUMBER(SEARCH("rn""&gt;Serbia and Montenegro",S301)),"Serbia and Montenegro",
ISNUMBER(SEARCH(_xlfn.UNICHAR(65533),S301)),"Côte d'Ivoire",
TRUE,""
)</f>
        <v/>
      </c>
      <c r="W301" s="30" t="str">
        <f t="shared" si="31"/>
        <v>Colombia</v>
      </c>
      <c r="Z301" s="40" t="str">
        <v>Waldstadion</v>
      </c>
      <c r="AA301" s="40" t="str" cm="1">
        <f t="array" ref="AA301">IFERROR(_xlfn.XLOOKUP(Z301,_xlfn.ANCHORARRAY(Z$31),AA$31:AA$37),Z301)</f>
        <v>Waldstadion</v>
      </c>
      <c r="AB301" s="42" t="str">
        <v xml:space="preserve">Frankfurt/Main </v>
      </c>
      <c r="AC301" s="89" t="str">
        <f t="shared" si="33"/>
        <v xml:space="preserve">Frankfurt/Main </v>
      </c>
      <c r="AE301" s="42">
        <v>1970</v>
      </c>
      <c r="AK301" s="42">
        <v>3</v>
      </c>
      <c r="AL301" s="42">
        <v>2</v>
      </c>
      <c r="AV301" s="37" t="str">
        <v>ROUND_OF_16</v>
      </c>
      <c r="AW301" s="89" t="str">
        <v>GROUP_STAGE</v>
      </c>
      <c r="BE301" s="43" t="str">
        <f>IF(OR(DATA_CLEANED!AL292="",DATA_CLEANED!AM292=""),"MANQUANT",IF(OR(NOT(ISNUMBER(DATA_CLEANED!AL292)),NOT(ISNUMBER(DATA_CLEANED!AM292))),"ENTREE INVALIDE",IF(OR(DATA_CLEANED!AL292&lt;0,DATA_CLEANED!AM292&lt;0),"SCORE NEGATIF","OK")))</f>
        <v>OK</v>
      </c>
      <c r="BF301" s="43" t="str">
        <f>IF(DATA_CLEANED!AK292&lt;&gt;DATA_CLEANED!AN292,"OK","ERREUR")</f>
        <v>OK</v>
      </c>
      <c r="BG301" s="43" t="str">
        <f>IF(DATA_CLEANED!AL292&gt;DATA_CLEANED!AM292,DATA_CLEANED!AK292,IF(AND(DATA_QUALITE!W4778="-",DATA_CLEANED!AM292=DATA_CLEANED!AL292),"MATCH NUL",IF(AND(DATA_QUALITE!V4778="-",DATA_QUALITE!U4778="AUCUNE"),DATA_QUALITE!T4778,IF(DATA_QUALITE!V4778&lt;&gt;"-",DATA_QUALITE!V4778,DATA_CLEANED!AN292))))</f>
        <v>Italy</v>
      </c>
      <c r="BH301" s="103" t="str">
        <f>IF(AND(BG301="MATCH NUL",DATA_CLEANED!AO292="-"),"MATCH_NUL",IF(ISNUMBER(SEARCH("win on penalties",W4778)),"WIN_BY_PENALTY",IF(ISNUMBER(SEARCH("win after extra time",W4778)),"WIN_BY_EXTRA_TIME",IF(ISNUMBER(SEARCH("Golden Goal",W4778)),"WIN_BY_GOLDEN_GOAL","WIN_BY_SCORE"))))</f>
        <v>WIN_BY_SCORE</v>
      </c>
      <c r="BI301" s="99" t="str">
        <f>IF(OR(BG301=DATA_CLEANED!AK292,BG301=DATA_CLEANED!AN292,BG301="MATCH NUL"),"OK","ERREUR")</f>
        <v>OK</v>
      </c>
    </row>
    <row r="302" spans="2:61">
      <c r="B302" s="74">
        <v>2014</v>
      </c>
      <c r="C302" s="30" t="str">
        <v>Round of 16</v>
      </c>
      <c r="D302" s="30" t="str">
        <v>Costa Rica</v>
      </c>
      <c r="E302" s="30" t="str">
        <v>Greece</v>
      </c>
      <c r="F302" s="30" t="str">
        <v>Greece</v>
      </c>
      <c r="G302" s="30" t="str">
        <v>Theofanis Gekas</v>
      </c>
      <c r="H302" s="30" t="str">
        <v>Keylor Navas</v>
      </c>
      <c r="I302" s="30">
        <v>8</v>
      </c>
      <c r="J302" s="30">
        <v>4</v>
      </c>
      <c r="K302" s="30" t="str">
        <v>'4-4</v>
      </c>
      <c r="L302" s="30" t="str">
        <v>No</v>
      </c>
      <c r="M302" s="30" t="str">
        <v>No</v>
      </c>
      <c r="N302" s="30" t="str">
        <v>Saved</v>
      </c>
      <c r="O302" s="30" t="str">
        <f t="shared" si="32"/>
        <v>2014|Round of 16|Costa Rica|Greece|Greece|Theofanis Gekas|Keylor Navas|8|4|'4-4|No|No|Saved</v>
      </c>
      <c r="P302" s="96" t="str">
        <f>IF(COUNTIF($G$32:O302,O302)&gt;1,"DOUBLON","OK")</f>
        <v>OK</v>
      </c>
      <c r="S302" s="30" t="str">
        <v>Colombia</v>
      </c>
      <c r="T302" s="30" t="str">
        <f t="shared" si="29"/>
        <v>OK</v>
      </c>
      <c r="U302" s="30" t="str">
        <f t="shared" si="30"/>
        <v>-</v>
      </c>
      <c r="V302" s="30" t="str" cm="1">
        <f t="array" ref="V302">_xlfn.IFS(
ISNUMBER(SEARCH("USA",S302)),"United States",
ISNUMBER(SEARCH("Republic of Korea",S302)),"South Korea",
ISNUMBER(SEARCH("Cape Verde",S302)),"Cabo Verde",
ISNUMBER(SEARCH("Czechia",S302)),"Czech Republic",
ISNUMBER(SEARCH("Türkiye",S302)),"Turkey",
ISNUMBER(SEARCH("Ivory Coast",S302)),"Côte d'Ivoire",
ISNUMBER(SEARCH("Korea Republic",S302)),"South Korea",
ISNUMBER(SEARCH("Germany FR",S302)),"FR Germany",
ISNUMBER(SEARCH("West Germany",S302)),"FR Germany",
ISNUMBER(SEARCH("Germany DR",S302)),"DR Germany",
ISNUMBER(SEARCH("Korea DPR",S302)),"North Korea",
ISNUMBER(SEARCH("China PR",S302)),"China",
ISNUMBER(SEARCH("IR Iran",S302)),"Iran",
ISNUMBER(SEARCH("Congo DR",S302)),"Democratic Republic of the Congo",
ISNUMBER(SEARCH("DR Congo",S302)),"Democratic Republic of the Congo",
ISNUMBER(SEARCH("German DR",S302)),"DR Germany",
ISNUMBER(SEARCH("rn""&gt;United Arab Emirates",S302)),"United Arab Emirates",
ISNUMBER(SEARCH("rn""&gt;Republic of Ireland",S302)),"Ireland",
ISNUMBER(SEARCH("rn""&gt;Bosnia and Herzegovina",S302)),"Bosnia and Herzegovina",
ISNUMBER(SEARCH("rn""&gt;Trinidad and Tobago",S302)),"Trinidad and Tobago",
ISNUMBER(SEARCH("rn""&gt;Serbia and Montenegro",S302)),"Serbia and Montenegro",
ISNUMBER(SEARCH(_xlfn.UNICHAR(65533),S302)),"Côte d'Ivoire",
TRUE,""
)</f>
        <v/>
      </c>
      <c r="W302" s="30" t="str">
        <f t="shared" si="31"/>
        <v>Colombia</v>
      </c>
      <c r="Z302" s="40" t="str">
        <v>Parkstadion</v>
      </c>
      <c r="AA302" s="40" t="str" cm="1">
        <f t="array" ref="AA302">IFERROR(_xlfn.XLOOKUP(Z302,_xlfn.ANCHORARRAY(Z$31),AA$31:AA$37),Z302)</f>
        <v>Parkstadion</v>
      </c>
      <c r="AB302" s="42" t="str">
        <v xml:space="preserve">Gelsenkirchen </v>
      </c>
      <c r="AC302" s="89" t="str">
        <f t="shared" si="33"/>
        <v xml:space="preserve">Gelsenkirchen </v>
      </c>
      <c r="AE302" s="42">
        <v>1970</v>
      </c>
      <c r="AK302" s="42">
        <v>2</v>
      </c>
      <c r="AL302" s="42">
        <v>0</v>
      </c>
      <c r="AV302" s="37" t="str">
        <v>QUARTER_FINALS</v>
      </c>
      <c r="AW302" s="89" t="str">
        <v>GROUP_STAGE</v>
      </c>
      <c r="BE302" s="43" t="str">
        <f>IF(OR(DATA_CLEANED!AL293="",DATA_CLEANED!AM293=""),"MANQUANT",IF(OR(NOT(ISNUMBER(DATA_CLEANED!AL293)),NOT(ISNUMBER(DATA_CLEANED!AM293))),"ENTREE INVALIDE",IF(OR(DATA_CLEANED!AL293&lt;0,DATA_CLEANED!AM293&lt;0),"SCORE NEGATIF","OK")))</f>
        <v>OK</v>
      </c>
      <c r="BF302" s="43" t="str">
        <f>IF(DATA_CLEANED!AK293&lt;&gt;DATA_CLEANED!AN293,"OK","ERREUR")</f>
        <v>OK</v>
      </c>
      <c r="BG302" s="43" t="str">
        <f>IF(DATA_CLEANED!AL293&gt;DATA_CLEANED!AM293,DATA_CLEANED!AK293,IF(AND(DATA_QUALITE!W4779="-",DATA_CLEANED!AM293=DATA_CLEANED!AL293),"MATCH NUL",IF(AND(DATA_QUALITE!V4779="-",DATA_QUALITE!U4779="AUCUNE"),DATA_QUALITE!T4779,IF(DATA_QUALITE!V4779&lt;&gt;"-",DATA_QUALITE!V4779,DATA_CLEANED!AN293))))</f>
        <v>Brazil</v>
      </c>
      <c r="BH302" s="103" t="str">
        <f>IF(AND(BG302="MATCH NUL",DATA_CLEANED!AO293="-"),"MATCH_NUL",IF(ISNUMBER(SEARCH("win on penalties",W4779)),"WIN_BY_PENALTY",IF(ISNUMBER(SEARCH("win after extra time",W4779)),"WIN_BY_EXTRA_TIME",IF(ISNUMBER(SEARCH("Golden Goal",W4779)),"WIN_BY_GOLDEN_GOAL","WIN_BY_SCORE"))))</f>
        <v>WIN_BY_SCORE</v>
      </c>
      <c r="BI302" s="99" t="str">
        <f>IF(OR(BG302=DATA_CLEANED!AK293,BG302=DATA_CLEANED!AN293,BG302="MATCH NUL"),"OK","ERREUR")</f>
        <v>OK</v>
      </c>
    </row>
    <row r="303" spans="2:61">
      <c r="B303" s="74">
        <v>2014</v>
      </c>
      <c r="C303" s="30" t="str">
        <v>Round of 16</v>
      </c>
      <c r="D303" s="30" t="str">
        <v>Costa Rica</v>
      </c>
      <c r="E303" s="30" t="str">
        <v>Greece</v>
      </c>
      <c r="F303" s="30" t="str">
        <v>Costa Rica</v>
      </c>
      <c r="G303" s="30" t="str">
        <v>Michael Umaña</v>
      </c>
      <c r="H303" s="30" t="str">
        <v>Orestis Karnezis</v>
      </c>
      <c r="I303" s="30">
        <v>9</v>
      </c>
      <c r="J303" s="30">
        <v>5</v>
      </c>
      <c r="K303" s="30" t="str">
        <v>'4-4</v>
      </c>
      <c r="L303" s="30" t="str">
        <v>No</v>
      </c>
      <c r="M303" s="30" t="str">
        <v>Yes</v>
      </c>
      <c r="N303" s="30" t="str">
        <v>Goal</v>
      </c>
      <c r="O303" s="30" t="str">
        <f t="shared" si="32"/>
        <v>2014|Round of 16|Costa Rica|Greece|Costa Rica|Michael Umaña|Orestis Karnezis|9|5|'4-4|No|Yes|Goal</v>
      </c>
      <c r="P303" s="96" t="str">
        <f>IF(COUNTIF($G$32:O303,O303)&gt;1,"DOUBLON","OK")</f>
        <v>OK</v>
      </c>
      <c r="S303" s="30" t="str">
        <v>Colombia</v>
      </c>
      <c r="T303" s="30" t="str">
        <f t="shared" si="29"/>
        <v>OK</v>
      </c>
      <c r="U303" s="30" t="str">
        <f t="shared" si="30"/>
        <v>-</v>
      </c>
      <c r="V303" s="30" t="str" cm="1">
        <f t="array" ref="V303">_xlfn.IFS(
ISNUMBER(SEARCH("USA",S303)),"United States",
ISNUMBER(SEARCH("Republic of Korea",S303)),"South Korea",
ISNUMBER(SEARCH("Cape Verde",S303)),"Cabo Verde",
ISNUMBER(SEARCH("Czechia",S303)),"Czech Republic",
ISNUMBER(SEARCH("Türkiye",S303)),"Turkey",
ISNUMBER(SEARCH("Ivory Coast",S303)),"Côte d'Ivoire",
ISNUMBER(SEARCH("Korea Republic",S303)),"South Korea",
ISNUMBER(SEARCH("Germany FR",S303)),"FR Germany",
ISNUMBER(SEARCH("West Germany",S303)),"FR Germany",
ISNUMBER(SEARCH("Germany DR",S303)),"DR Germany",
ISNUMBER(SEARCH("Korea DPR",S303)),"North Korea",
ISNUMBER(SEARCH("China PR",S303)),"China",
ISNUMBER(SEARCH("IR Iran",S303)),"Iran",
ISNUMBER(SEARCH("Congo DR",S303)),"Democratic Republic of the Congo",
ISNUMBER(SEARCH("DR Congo",S303)),"Democratic Republic of the Congo",
ISNUMBER(SEARCH("German DR",S303)),"DR Germany",
ISNUMBER(SEARCH("rn""&gt;United Arab Emirates",S303)),"United Arab Emirates",
ISNUMBER(SEARCH("rn""&gt;Republic of Ireland",S303)),"Ireland",
ISNUMBER(SEARCH("rn""&gt;Bosnia and Herzegovina",S303)),"Bosnia and Herzegovina",
ISNUMBER(SEARCH("rn""&gt;Trinidad and Tobago",S303)),"Trinidad and Tobago",
ISNUMBER(SEARCH("rn""&gt;Serbia and Montenegro",S303)),"Serbia and Montenegro",
ISNUMBER(SEARCH(_xlfn.UNICHAR(65533),S303)),"Côte d'Ivoire",
TRUE,""
)</f>
        <v/>
      </c>
      <c r="W303" s="30" t="str">
        <f t="shared" si="31"/>
        <v>Colombia</v>
      </c>
      <c r="Z303" s="40" t="str">
        <v>Rheinstadion</v>
      </c>
      <c r="AA303" s="40" t="str" cm="1">
        <f t="array" ref="AA303">IFERROR(_xlfn.XLOOKUP(Z303,_xlfn.ANCHORARRAY(Z$31),AA$31:AA$37),Z303)</f>
        <v>Rheinstadion</v>
      </c>
      <c r="AB303" s="42" t="str">
        <v xml:space="preserve">D�Sseldorf </v>
      </c>
      <c r="AC303" s="89" t="str">
        <f t="shared" si="33"/>
        <v>Düsseldorf</v>
      </c>
      <c r="AE303" s="42">
        <v>1970</v>
      </c>
      <c r="AK303" s="42">
        <v>0</v>
      </c>
      <c r="AL303" s="42">
        <v>0</v>
      </c>
      <c r="AV303" s="37" t="str">
        <v>QUARTER_FINALS</v>
      </c>
      <c r="AW303" s="89" t="str">
        <v>GROUP_STAGE</v>
      </c>
      <c r="BE303" s="43" t="str">
        <f>IF(OR(DATA_CLEANED!AL294="",DATA_CLEANED!AM294=""),"MANQUANT",IF(OR(NOT(ISNUMBER(DATA_CLEANED!AL294)),NOT(ISNUMBER(DATA_CLEANED!AM294))),"ENTREE INVALIDE",IF(OR(DATA_CLEANED!AL294&lt;0,DATA_CLEANED!AM294&lt;0),"SCORE NEGATIF","OK")))</f>
        <v>OK</v>
      </c>
      <c r="BF303" s="43" t="str">
        <f>IF(DATA_CLEANED!AK294&lt;&gt;DATA_CLEANED!AN294,"OK","ERREUR")</f>
        <v>OK</v>
      </c>
      <c r="BG303" s="43" t="str">
        <f>IF(DATA_CLEANED!AL294&gt;DATA_CLEANED!AM294,DATA_CLEANED!AK294,IF(AND(DATA_QUALITE!W4780="-",DATA_CLEANED!AM294=DATA_CLEANED!AL294),"MATCH NUL",IF(AND(DATA_QUALITE!V4780="-",DATA_QUALITE!U4780="AUCUNE"),DATA_QUALITE!T4780,IF(DATA_QUALITE!V4780&lt;&gt;"-",DATA_QUALITE!V4780,DATA_CLEANED!AN294))))</f>
        <v>Spain</v>
      </c>
      <c r="BH303" s="103" t="str">
        <f>IF(AND(BG303="MATCH NUL",DATA_CLEANED!AO294="-"),"MATCH_NUL",IF(ISNUMBER(SEARCH("win on penalties",W4780)),"WIN_BY_PENALTY",IF(ISNUMBER(SEARCH("win after extra time",W4780)),"WIN_BY_EXTRA_TIME",IF(ISNUMBER(SEARCH("Golden Goal",W4780)),"WIN_BY_GOLDEN_GOAL","WIN_BY_SCORE"))))</f>
        <v>WIN_BY_SCORE</v>
      </c>
      <c r="BI303" s="99" t="str">
        <f>IF(OR(BG303=DATA_CLEANED!AK294,BG303=DATA_CLEANED!AN294,BG303="MATCH NUL"),"OK","ERREUR")</f>
        <v>OK</v>
      </c>
    </row>
    <row r="304" spans="2:61">
      <c r="B304" s="74">
        <v>2014</v>
      </c>
      <c r="C304" s="30" t="str">
        <v>Quarter-finals</v>
      </c>
      <c r="D304" s="30" t="str">
        <v>Netherlands</v>
      </c>
      <c r="E304" s="30" t="str">
        <v>Costa Rica</v>
      </c>
      <c r="F304" s="30" t="str">
        <v>Netherlands</v>
      </c>
      <c r="G304" s="30" t="str">
        <v>Robin van Persie</v>
      </c>
      <c r="H304" s="30" t="str">
        <v>Keylor Navas</v>
      </c>
      <c r="I304" s="30">
        <v>1</v>
      </c>
      <c r="J304" s="30">
        <v>1</v>
      </c>
      <c r="K304" s="30" t="str">
        <v>'0-0</v>
      </c>
      <c r="L304" s="30" t="str">
        <v>No</v>
      </c>
      <c r="M304" s="30" t="str">
        <v>No</v>
      </c>
      <c r="N304" s="30" t="str">
        <v>Goal</v>
      </c>
      <c r="O304" s="30" t="str">
        <f t="shared" si="32"/>
        <v>2014|Quarter-finals|Netherlands|Costa Rica|Netherlands|Robin van Persie|Keylor Navas|1|1|'0-0|No|No|Goal</v>
      </c>
      <c r="P304" s="96" t="str">
        <f>IF(COUNTIF($G$32:O304,O304)&gt;1,"DOUBLON","OK")</f>
        <v>OK</v>
      </c>
      <c r="S304" s="30" t="str">
        <v>Colombia</v>
      </c>
      <c r="T304" s="30" t="str">
        <f t="shared" si="29"/>
        <v>OK</v>
      </c>
      <c r="U304" s="30" t="str">
        <f t="shared" si="30"/>
        <v>-</v>
      </c>
      <c r="V304" s="30" t="str" cm="1">
        <f t="array" ref="V304">_xlfn.IFS(
ISNUMBER(SEARCH("USA",S304)),"United States",
ISNUMBER(SEARCH("Republic of Korea",S304)),"South Korea",
ISNUMBER(SEARCH("Cape Verde",S304)),"Cabo Verde",
ISNUMBER(SEARCH("Czechia",S304)),"Czech Republic",
ISNUMBER(SEARCH("Türkiye",S304)),"Turkey",
ISNUMBER(SEARCH("Ivory Coast",S304)),"Côte d'Ivoire",
ISNUMBER(SEARCH("Korea Republic",S304)),"South Korea",
ISNUMBER(SEARCH("Germany FR",S304)),"FR Germany",
ISNUMBER(SEARCH("West Germany",S304)),"FR Germany",
ISNUMBER(SEARCH("Germany DR",S304)),"DR Germany",
ISNUMBER(SEARCH("Korea DPR",S304)),"North Korea",
ISNUMBER(SEARCH("China PR",S304)),"China",
ISNUMBER(SEARCH("IR Iran",S304)),"Iran",
ISNUMBER(SEARCH("Congo DR",S304)),"Democratic Republic of the Congo",
ISNUMBER(SEARCH("DR Congo",S304)),"Democratic Republic of the Congo",
ISNUMBER(SEARCH("German DR",S304)),"DR Germany",
ISNUMBER(SEARCH("rn""&gt;United Arab Emirates",S304)),"United Arab Emirates",
ISNUMBER(SEARCH("rn""&gt;Republic of Ireland",S304)),"Ireland",
ISNUMBER(SEARCH("rn""&gt;Bosnia and Herzegovina",S304)),"Bosnia and Herzegovina",
ISNUMBER(SEARCH("rn""&gt;Trinidad and Tobago",S304)),"Trinidad and Tobago",
ISNUMBER(SEARCH("rn""&gt;Serbia and Montenegro",S304)),"Serbia and Montenegro",
ISNUMBER(SEARCH(_xlfn.UNICHAR(65533),S304)),"Côte d'Ivoire",
TRUE,""
)</f>
        <v/>
      </c>
      <c r="W304" s="30" t="str">
        <f t="shared" si="31"/>
        <v>Colombia</v>
      </c>
      <c r="Z304" s="40" t="str">
        <v>Waldstadion</v>
      </c>
      <c r="AA304" s="40" t="str" cm="1">
        <f t="array" ref="AA304">IFERROR(_xlfn.XLOOKUP(Z304,_xlfn.ANCHORARRAY(Z$31),AA$31:AA$37),Z304)</f>
        <v>Waldstadion</v>
      </c>
      <c r="AB304" s="42" t="str">
        <v xml:space="preserve">Frankfurt/Main </v>
      </c>
      <c r="AC304" s="89" t="str">
        <f t="shared" si="33"/>
        <v xml:space="preserve">Frankfurt/Main </v>
      </c>
      <c r="AE304" s="42">
        <v>1970</v>
      </c>
      <c r="AK304" s="42">
        <v>1</v>
      </c>
      <c r="AL304" s="42">
        <v>1</v>
      </c>
      <c r="AV304" s="37" t="str">
        <v>QUARTER_FINALS</v>
      </c>
      <c r="AW304" s="89" t="str">
        <v>GROUP_STAGE</v>
      </c>
      <c r="BE304" s="43" t="str">
        <f>IF(OR(DATA_CLEANED!AL295="",DATA_CLEANED!AM295=""),"MANQUANT",IF(OR(NOT(ISNUMBER(DATA_CLEANED!AL295)),NOT(ISNUMBER(DATA_CLEANED!AM295))),"ENTREE INVALIDE",IF(OR(DATA_CLEANED!AL295&lt;0,DATA_CLEANED!AM295&lt;0),"SCORE NEGATIF","OK")))</f>
        <v>OK</v>
      </c>
      <c r="BF304" s="43" t="str">
        <f>IF(DATA_CLEANED!AK295&lt;&gt;DATA_CLEANED!AN295,"OK","ERREUR")</f>
        <v>OK</v>
      </c>
      <c r="BG304" s="43" t="str">
        <f>IF(DATA_CLEANED!AL295&gt;DATA_CLEANED!AM295,DATA_CLEANED!AK295,IF(AND(DATA_QUALITE!W4781="-",DATA_CLEANED!AM295=DATA_CLEANED!AL295),"MATCH NUL",IF(AND(DATA_QUALITE!V4781="-",DATA_QUALITE!U4781="AUCUNE"),DATA_QUALITE!T4781,IF(DATA_QUALITE!V4781&lt;&gt;"-",DATA_QUALITE!V4781,DATA_CLEANED!AN295))))</f>
        <v>Peru</v>
      </c>
      <c r="BH304" s="103" t="str">
        <f>IF(AND(BG304="MATCH NUL",DATA_CLEANED!AO295="-"),"MATCH_NUL",IF(ISNUMBER(SEARCH("win on penalties",W4781)),"WIN_BY_PENALTY",IF(ISNUMBER(SEARCH("win after extra time",W4781)),"WIN_BY_EXTRA_TIME",IF(ISNUMBER(SEARCH("Golden Goal",W4781)),"WIN_BY_GOLDEN_GOAL","WIN_BY_SCORE"))))</f>
        <v>WIN_BY_SCORE</v>
      </c>
      <c r="BI304" s="99" t="str">
        <f>IF(OR(BG304=DATA_CLEANED!AK295,BG304=DATA_CLEANED!AN295,BG304="MATCH NUL"),"OK","ERREUR")</f>
        <v>OK</v>
      </c>
    </row>
    <row r="305" spans="2:61">
      <c r="B305" s="74">
        <v>2014</v>
      </c>
      <c r="C305" s="30" t="str">
        <v>Quarter-finals</v>
      </c>
      <c r="D305" s="30" t="str">
        <v>Netherlands</v>
      </c>
      <c r="E305" s="30" t="str">
        <v>Costa Rica</v>
      </c>
      <c r="F305" s="30" t="str">
        <v>Costa Rica</v>
      </c>
      <c r="G305" s="30" t="str">
        <v>Celso Borges</v>
      </c>
      <c r="H305" s="30" t="str">
        <v>Tim Krul</v>
      </c>
      <c r="I305" s="30">
        <v>2</v>
      </c>
      <c r="J305" s="30">
        <v>1</v>
      </c>
      <c r="K305" s="30" t="str">
        <v>'1-0</v>
      </c>
      <c r="L305" s="30" t="str">
        <v>No</v>
      </c>
      <c r="M305" s="30" t="str">
        <v>No</v>
      </c>
      <c r="N305" s="30" t="str">
        <v>Goal</v>
      </c>
      <c r="O305" s="30" t="str">
        <f t="shared" si="32"/>
        <v>2014|Quarter-finals|Netherlands|Costa Rica|Costa Rica|Celso Borges|Tim Krul|2|1|'1-0|No|No|Goal</v>
      </c>
      <c r="P305" s="96" t="str">
        <f>IF(COUNTIF($G$32:O305,O305)&gt;1,"DOUBLON","OK")</f>
        <v>OK</v>
      </c>
      <c r="S305" s="30" t="str">
        <v>Colombia</v>
      </c>
      <c r="T305" s="30" t="str">
        <f t="shared" si="29"/>
        <v>OK</v>
      </c>
      <c r="U305" s="30" t="str">
        <f t="shared" si="30"/>
        <v>-</v>
      </c>
      <c r="V305" s="30" t="str" cm="1">
        <f t="array" ref="V305">_xlfn.IFS(
ISNUMBER(SEARCH("USA",S305)),"United States",
ISNUMBER(SEARCH("Republic of Korea",S305)),"South Korea",
ISNUMBER(SEARCH("Cape Verde",S305)),"Cabo Verde",
ISNUMBER(SEARCH("Czechia",S305)),"Czech Republic",
ISNUMBER(SEARCH("Türkiye",S305)),"Turkey",
ISNUMBER(SEARCH("Ivory Coast",S305)),"Côte d'Ivoire",
ISNUMBER(SEARCH("Korea Republic",S305)),"South Korea",
ISNUMBER(SEARCH("Germany FR",S305)),"FR Germany",
ISNUMBER(SEARCH("West Germany",S305)),"FR Germany",
ISNUMBER(SEARCH("Germany DR",S305)),"DR Germany",
ISNUMBER(SEARCH("Korea DPR",S305)),"North Korea",
ISNUMBER(SEARCH("China PR",S305)),"China",
ISNUMBER(SEARCH("IR Iran",S305)),"Iran",
ISNUMBER(SEARCH("Congo DR",S305)),"Democratic Republic of the Congo",
ISNUMBER(SEARCH("DR Congo",S305)),"Democratic Republic of the Congo",
ISNUMBER(SEARCH("German DR",S305)),"DR Germany",
ISNUMBER(SEARCH("rn""&gt;United Arab Emirates",S305)),"United Arab Emirates",
ISNUMBER(SEARCH("rn""&gt;Republic of Ireland",S305)),"Ireland",
ISNUMBER(SEARCH("rn""&gt;Bosnia and Herzegovina",S305)),"Bosnia and Herzegovina",
ISNUMBER(SEARCH("rn""&gt;Trinidad and Tobago",S305)),"Trinidad and Tobago",
ISNUMBER(SEARCH("rn""&gt;Serbia and Montenegro",S305)),"Serbia and Montenegro",
ISNUMBER(SEARCH(_xlfn.UNICHAR(65533),S305)),"Côte d'Ivoire",
TRUE,""
)</f>
        <v/>
      </c>
      <c r="W305" s="30" t="str">
        <f t="shared" si="31"/>
        <v>Colombia</v>
      </c>
      <c r="Z305" s="40" t="str">
        <v>Westfalenstadion</v>
      </c>
      <c r="AA305" s="40" t="str" cm="1">
        <f t="array" ref="AA305">IFERROR(_xlfn.XLOOKUP(Z305,_xlfn.ANCHORARRAY(Z$31),AA$31:AA$37),Z305)</f>
        <v>Westfalenstadion</v>
      </c>
      <c r="AB305" s="42" t="str">
        <v xml:space="preserve">Dortmund </v>
      </c>
      <c r="AC305" s="89" t="str">
        <f t="shared" si="33"/>
        <v xml:space="preserve">Dortmund </v>
      </c>
      <c r="AE305" s="42">
        <v>1970</v>
      </c>
      <c r="AK305" s="42">
        <v>1</v>
      </c>
      <c r="AL305" s="42">
        <v>0</v>
      </c>
      <c r="AV305" s="37" t="str">
        <v>QUARTER_FINALS</v>
      </c>
      <c r="AW305" s="89" t="str">
        <v>GROUP_STAGE</v>
      </c>
      <c r="BE305" s="43" t="str">
        <f>IF(OR(DATA_CLEANED!AL296="",DATA_CLEANED!AM296=""),"MANQUANT",IF(OR(NOT(ISNUMBER(DATA_CLEANED!AL296)),NOT(ISNUMBER(DATA_CLEANED!AM296))),"ENTREE INVALIDE",IF(OR(DATA_CLEANED!AL296&lt;0,DATA_CLEANED!AM296&lt;0),"SCORE NEGATIF","OK")))</f>
        <v>OK</v>
      </c>
      <c r="BF305" s="43" t="str">
        <f>IF(DATA_CLEANED!AK296&lt;&gt;DATA_CLEANED!AN296,"OK","ERREUR")</f>
        <v>OK</v>
      </c>
      <c r="BG305" s="43" t="str">
        <f>IF(DATA_CLEANED!AL296&gt;DATA_CLEANED!AM296,DATA_CLEANED!AK296,IF(AND(DATA_QUALITE!W4782="-",DATA_CLEANED!AM296=DATA_CLEANED!AL296),"MATCH NUL",IF(AND(DATA_QUALITE!V4782="-",DATA_QUALITE!U4782="AUCUNE"),DATA_QUALITE!T4782,IF(DATA_QUALITE!V4782&lt;&gt;"-",DATA_QUALITE!V4782,DATA_CLEANED!AN296))))</f>
        <v>Scotland</v>
      </c>
      <c r="BH305" s="103" t="str">
        <f>IF(AND(BG305="MATCH NUL",DATA_CLEANED!AO296="-"),"MATCH_NUL",IF(ISNUMBER(SEARCH("win on penalties",W4782)),"WIN_BY_PENALTY",IF(ISNUMBER(SEARCH("win after extra time",W4782)),"WIN_BY_EXTRA_TIME",IF(ISNUMBER(SEARCH("Golden Goal",W4782)),"WIN_BY_GOLDEN_GOAL","WIN_BY_SCORE"))))</f>
        <v>WIN_BY_SCORE</v>
      </c>
      <c r="BI305" s="99" t="str">
        <f>IF(OR(BG305=DATA_CLEANED!AK296,BG305=DATA_CLEANED!AN296,BG305="MATCH NUL"),"OK","ERREUR")</f>
        <v>OK</v>
      </c>
    </row>
    <row r="306" spans="2:61">
      <c r="B306" s="74">
        <v>2014</v>
      </c>
      <c r="C306" s="30" t="str">
        <v>Quarter-finals</v>
      </c>
      <c r="D306" s="30" t="str">
        <v>Netherlands</v>
      </c>
      <c r="E306" s="30" t="str">
        <v>Costa Rica</v>
      </c>
      <c r="F306" s="30" t="str">
        <v>Netherlands</v>
      </c>
      <c r="G306" s="30" t="str">
        <v>Arjen Robben</v>
      </c>
      <c r="H306" s="30" t="str">
        <v>Keylor Navas</v>
      </c>
      <c r="I306" s="30">
        <v>3</v>
      </c>
      <c r="J306" s="30">
        <v>2</v>
      </c>
      <c r="K306" s="30" t="str">
        <v>'1-1</v>
      </c>
      <c r="L306" s="30" t="str">
        <v>No</v>
      </c>
      <c r="M306" s="30" t="str">
        <v>No</v>
      </c>
      <c r="N306" s="30" t="str">
        <v>Goal</v>
      </c>
      <c r="O306" s="30" t="str">
        <f t="shared" si="32"/>
        <v>2014|Quarter-finals|Netherlands|Costa Rica|Netherlands|Arjen Robben|Keylor Navas|3|2|'1-1|No|No|Goal</v>
      </c>
      <c r="P306" s="96" t="str">
        <f>IF(COUNTIF($G$32:O306,O306)&gt;1,"DOUBLON","OK")</f>
        <v>OK</v>
      </c>
      <c r="S306" s="30" t="str">
        <v>Colombia</v>
      </c>
      <c r="T306" s="30" t="str">
        <f t="shared" si="29"/>
        <v>OK</v>
      </c>
      <c r="U306" s="30" t="str">
        <f t="shared" si="30"/>
        <v>-</v>
      </c>
      <c r="V306" s="30" t="str" cm="1">
        <f t="array" ref="V306">_xlfn.IFS(
ISNUMBER(SEARCH("USA",S306)),"United States",
ISNUMBER(SEARCH("Republic of Korea",S306)),"South Korea",
ISNUMBER(SEARCH("Cape Verde",S306)),"Cabo Verde",
ISNUMBER(SEARCH("Czechia",S306)),"Czech Republic",
ISNUMBER(SEARCH("Türkiye",S306)),"Turkey",
ISNUMBER(SEARCH("Ivory Coast",S306)),"Côte d'Ivoire",
ISNUMBER(SEARCH("Korea Republic",S306)),"South Korea",
ISNUMBER(SEARCH("Germany FR",S306)),"FR Germany",
ISNUMBER(SEARCH("West Germany",S306)),"FR Germany",
ISNUMBER(SEARCH("Germany DR",S306)),"DR Germany",
ISNUMBER(SEARCH("Korea DPR",S306)),"North Korea",
ISNUMBER(SEARCH("China PR",S306)),"China",
ISNUMBER(SEARCH("IR Iran",S306)),"Iran",
ISNUMBER(SEARCH("Congo DR",S306)),"Democratic Republic of the Congo",
ISNUMBER(SEARCH("DR Congo",S306)),"Democratic Republic of the Congo",
ISNUMBER(SEARCH("German DR",S306)),"DR Germany",
ISNUMBER(SEARCH("rn""&gt;United Arab Emirates",S306)),"United Arab Emirates",
ISNUMBER(SEARCH("rn""&gt;Republic of Ireland",S306)),"Ireland",
ISNUMBER(SEARCH("rn""&gt;Bosnia and Herzegovina",S306)),"Bosnia and Herzegovina",
ISNUMBER(SEARCH("rn""&gt;Trinidad and Tobago",S306)),"Trinidad and Tobago",
ISNUMBER(SEARCH("rn""&gt;Serbia and Montenegro",S306)),"Serbia and Montenegro",
ISNUMBER(SEARCH(_xlfn.UNICHAR(65533),S306)),"Côte d'Ivoire",
TRUE,""
)</f>
        <v/>
      </c>
      <c r="W306" s="30" t="str">
        <f t="shared" si="31"/>
        <v>Colombia</v>
      </c>
      <c r="Z306" s="40" t="str">
        <v>Parkstadion</v>
      </c>
      <c r="AA306" s="40" t="str" cm="1">
        <f t="array" ref="AA306">IFERROR(_xlfn.XLOOKUP(Z306,_xlfn.ANCHORARRAY(Z$31),AA$31:AA$37),Z306)</f>
        <v>Parkstadion</v>
      </c>
      <c r="AB306" s="42" t="str">
        <v xml:space="preserve">Gelsenkirchen </v>
      </c>
      <c r="AC306" s="89" t="str">
        <f t="shared" si="33"/>
        <v xml:space="preserve">Gelsenkirchen </v>
      </c>
      <c r="AE306" s="42">
        <v>1970</v>
      </c>
      <c r="AK306" s="42">
        <v>1</v>
      </c>
      <c r="AL306" s="42">
        <v>0</v>
      </c>
      <c r="AV306" s="37" t="str">
        <v>QUARTER_FINALS</v>
      </c>
      <c r="AW306" s="89" t="str">
        <v>GROUP_STAGE</v>
      </c>
      <c r="BE306" s="43" t="str">
        <f>IF(OR(DATA_CLEANED!AL297="",DATA_CLEANED!AM297=""),"MANQUANT",IF(OR(NOT(ISNUMBER(DATA_CLEANED!AL297)),NOT(ISNUMBER(DATA_CLEANED!AM297))),"ENTREE INVALIDE",IF(OR(DATA_CLEANED!AL297&lt;0,DATA_CLEANED!AM297&lt;0),"SCORE NEGATIF","OK")))</f>
        <v>OK</v>
      </c>
      <c r="BF306" s="43" t="str">
        <f>IF(DATA_CLEANED!AK297&lt;&gt;DATA_CLEANED!AN297,"OK","ERREUR")</f>
        <v>OK</v>
      </c>
      <c r="BG306" s="43" t="str">
        <f>IF(DATA_CLEANED!AL297&gt;DATA_CLEANED!AM297,DATA_CLEANED!AK297,IF(AND(DATA_QUALITE!W4783="-",DATA_CLEANED!AM297=DATA_CLEANED!AL297),"MATCH NUL",IF(AND(DATA_QUALITE!V4783="-",DATA_QUALITE!U4783="AUCUNE"),DATA_QUALITE!T4783,IF(DATA_QUALITE!V4783&lt;&gt;"-",DATA_QUALITE!V4783,DATA_CLEANED!AN297))))</f>
        <v>MATCH NUL</v>
      </c>
      <c r="BH306" s="103" t="str">
        <f>IF(AND(BG306="MATCH NUL",DATA_CLEANED!AO297="-"),"MATCH_NUL",IF(ISNUMBER(SEARCH("win on penalties",W4783)),"WIN_BY_PENALTY",IF(ISNUMBER(SEARCH("win after extra time",W4783)),"WIN_BY_EXTRA_TIME",IF(ISNUMBER(SEARCH("Golden Goal",W4783)),"WIN_BY_GOLDEN_GOAL","WIN_BY_SCORE"))))</f>
        <v>MATCH_NUL</v>
      </c>
      <c r="BI306" s="99" t="str">
        <f>IF(OR(BG306=DATA_CLEANED!AK297,BG306=DATA_CLEANED!AN297,BG306="MATCH NUL"),"OK","ERREUR")</f>
        <v>OK</v>
      </c>
    </row>
    <row r="307" spans="2:61">
      <c r="B307" s="74">
        <v>2014</v>
      </c>
      <c r="C307" s="30" t="str">
        <v>Quarter-finals</v>
      </c>
      <c r="D307" s="30" t="str">
        <v>Netherlands</v>
      </c>
      <c r="E307" s="30" t="str">
        <v>Costa Rica</v>
      </c>
      <c r="F307" s="30" t="str">
        <v>Costa Rica</v>
      </c>
      <c r="G307" s="30" t="str">
        <v>Bryan Ruiz</v>
      </c>
      <c r="H307" s="30" t="str">
        <v>Tim Krul</v>
      </c>
      <c r="I307" s="30">
        <v>4</v>
      </c>
      <c r="J307" s="30">
        <v>2</v>
      </c>
      <c r="K307" s="30" t="str">
        <v>'1-2</v>
      </c>
      <c r="L307" s="30" t="str">
        <v>No</v>
      </c>
      <c r="M307" s="30" t="str">
        <v>No</v>
      </c>
      <c r="N307" s="30" t="str">
        <v>Saved</v>
      </c>
      <c r="O307" s="30" t="str">
        <f t="shared" si="32"/>
        <v>2014|Quarter-finals|Netherlands|Costa Rica|Costa Rica|Bryan Ruiz|Tim Krul|4|2|'1-2|No|No|Saved</v>
      </c>
      <c r="P307" s="96" t="str">
        <f>IF(COUNTIF($G$32:O307,O307)&gt;1,"DOUBLON","OK")</f>
        <v>OK</v>
      </c>
      <c r="S307" s="30" t="str">
        <v>Colombia</v>
      </c>
      <c r="T307" s="30" t="str">
        <f t="shared" si="29"/>
        <v>OK</v>
      </c>
      <c r="U307" s="30" t="str">
        <f t="shared" si="30"/>
        <v>-</v>
      </c>
      <c r="V307" s="30" t="str" cm="1">
        <f t="array" ref="V307">_xlfn.IFS(
ISNUMBER(SEARCH("USA",S307)),"United States",
ISNUMBER(SEARCH("Republic of Korea",S307)),"South Korea",
ISNUMBER(SEARCH("Cape Verde",S307)),"Cabo Verde",
ISNUMBER(SEARCH("Czechia",S307)),"Czech Republic",
ISNUMBER(SEARCH("Türkiye",S307)),"Turkey",
ISNUMBER(SEARCH("Ivory Coast",S307)),"Côte d'Ivoire",
ISNUMBER(SEARCH("Korea Republic",S307)),"South Korea",
ISNUMBER(SEARCH("Germany FR",S307)),"FR Germany",
ISNUMBER(SEARCH("West Germany",S307)),"FR Germany",
ISNUMBER(SEARCH("Germany DR",S307)),"DR Germany",
ISNUMBER(SEARCH("Korea DPR",S307)),"North Korea",
ISNUMBER(SEARCH("China PR",S307)),"China",
ISNUMBER(SEARCH("IR Iran",S307)),"Iran",
ISNUMBER(SEARCH("Congo DR",S307)),"Democratic Republic of the Congo",
ISNUMBER(SEARCH("DR Congo",S307)),"Democratic Republic of the Congo",
ISNUMBER(SEARCH("German DR",S307)),"DR Germany",
ISNUMBER(SEARCH("rn""&gt;United Arab Emirates",S307)),"United Arab Emirates",
ISNUMBER(SEARCH("rn""&gt;Republic of Ireland",S307)),"Ireland",
ISNUMBER(SEARCH("rn""&gt;Bosnia and Herzegovina",S307)),"Bosnia and Herzegovina",
ISNUMBER(SEARCH("rn""&gt;Trinidad and Tobago",S307)),"Trinidad and Tobago",
ISNUMBER(SEARCH("rn""&gt;Serbia and Montenegro",S307)),"Serbia and Montenegro",
ISNUMBER(SEARCH(_xlfn.UNICHAR(65533),S307)),"Côte d'Ivoire",
TRUE,""
)</f>
        <v/>
      </c>
      <c r="W307" s="30" t="str">
        <f t="shared" si="31"/>
        <v>Colombia</v>
      </c>
      <c r="Z307" s="40" t="str">
        <v>Rheinstadion</v>
      </c>
      <c r="AA307" s="40" t="str" cm="1">
        <f t="array" ref="AA307">IFERROR(_xlfn.XLOOKUP(Z307,_xlfn.ANCHORARRAY(Z$31),AA$31:AA$37),Z307)</f>
        <v>Rheinstadion</v>
      </c>
      <c r="AB307" s="42" t="str">
        <v xml:space="preserve">D�Sseldorf </v>
      </c>
      <c r="AC307" s="89" t="str">
        <f t="shared" si="33"/>
        <v>Düsseldorf</v>
      </c>
      <c r="AE307" s="42">
        <v>1970</v>
      </c>
      <c r="AK307" s="42">
        <v>4</v>
      </c>
      <c r="AL307" s="42">
        <v>1</v>
      </c>
      <c r="AV307" s="37" t="str">
        <v>QUARTER_FINALS</v>
      </c>
      <c r="AW307" s="89" t="str">
        <v>GROUP_STAGE</v>
      </c>
      <c r="BE307" s="43" t="str">
        <f>IF(OR(DATA_CLEANED!AL298="",DATA_CLEANED!AM298=""),"MANQUANT",IF(OR(NOT(ISNUMBER(DATA_CLEANED!AL298)),NOT(ISNUMBER(DATA_CLEANED!AM298))),"ENTREE INVALIDE",IF(OR(DATA_CLEANED!AL298&lt;0,DATA_CLEANED!AM298&lt;0),"SCORE NEGATIF","OK")))</f>
        <v>OK</v>
      </c>
      <c r="BF307" s="43" t="str">
        <f>IF(DATA_CLEANED!AK298&lt;&gt;DATA_CLEANED!AN298,"OK","ERREUR")</f>
        <v>OK</v>
      </c>
      <c r="BG307" s="43" t="str">
        <f>IF(DATA_CLEANED!AL298&gt;DATA_CLEANED!AM298,DATA_CLEANED!AK298,IF(AND(DATA_QUALITE!W4784="-",DATA_CLEANED!AM298=DATA_CLEANED!AL298),"MATCH NUL",IF(AND(DATA_QUALITE!V4784="-",DATA_QUALITE!U4784="AUCUNE"),DATA_QUALITE!T4784,IF(DATA_QUALITE!V4784&lt;&gt;"-",DATA_QUALITE!V4784,DATA_CLEANED!AN298))))</f>
        <v>Netherlands</v>
      </c>
      <c r="BH307" s="103" t="str">
        <f>IF(AND(BG307="MATCH NUL",DATA_CLEANED!AO298="-"),"MATCH_NUL",IF(ISNUMBER(SEARCH("win on penalties",W4784)),"WIN_BY_PENALTY",IF(ISNUMBER(SEARCH("win after extra time",W4784)),"WIN_BY_EXTRA_TIME",IF(ISNUMBER(SEARCH("Golden Goal",W4784)),"WIN_BY_GOLDEN_GOAL","WIN_BY_SCORE"))))</f>
        <v>WIN_BY_SCORE</v>
      </c>
      <c r="BI307" s="99" t="str">
        <f>IF(OR(BG307=DATA_CLEANED!AK298,BG307=DATA_CLEANED!AN298,BG307="MATCH NUL"),"OK","ERREUR")</f>
        <v>OK</v>
      </c>
    </row>
    <row r="308" spans="2:61">
      <c r="B308" s="74">
        <v>2014</v>
      </c>
      <c r="C308" s="30" t="str">
        <v>Quarter-finals</v>
      </c>
      <c r="D308" s="30" t="str">
        <v>Netherlands</v>
      </c>
      <c r="E308" s="30" t="str">
        <v>Costa Rica</v>
      </c>
      <c r="F308" s="30" t="str">
        <v>Netherlands</v>
      </c>
      <c r="G308" s="30" t="str">
        <v>Wesley Sneijder</v>
      </c>
      <c r="H308" s="30" t="str">
        <v>Keylor Navas</v>
      </c>
      <c r="I308" s="30">
        <v>5</v>
      </c>
      <c r="J308" s="30">
        <v>3</v>
      </c>
      <c r="K308" s="30" t="str">
        <v>'1-2</v>
      </c>
      <c r="L308" s="30" t="str">
        <v>No</v>
      </c>
      <c r="M308" s="30" t="str">
        <v>No</v>
      </c>
      <c r="N308" s="30" t="str">
        <v>Goal</v>
      </c>
      <c r="O308" s="30" t="str">
        <f t="shared" si="32"/>
        <v>2014|Quarter-finals|Netherlands|Costa Rica|Netherlands|Wesley Sneijder|Keylor Navas|5|3|'1-2|No|No|Goal</v>
      </c>
      <c r="P308" s="96" t="str">
        <f>IF(COUNTIF($G$32:O308,O308)&gt;1,"DOUBLON","OK")</f>
        <v>OK</v>
      </c>
      <c r="S308" s="30" t="str">
        <v>Colombia</v>
      </c>
      <c r="T308" s="30" t="str">
        <f t="shared" si="29"/>
        <v>OK</v>
      </c>
      <c r="U308" s="30" t="str">
        <f t="shared" si="30"/>
        <v>-</v>
      </c>
      <c r="V308" s="30" t="str" cm="1">
        <f t="array" ref="V308">_xlfn.IFS(
ISNUMBER(SEARCH("USA",S308)),"United States",
ISNUMBER(SEARCH("Republic of Korea",S308)),"South Korea",
ISNUMBER(SEARCH("Cape Verde",S308)),"Cabo Verde",
ISNUMBER(SEARCH("Czechia",S308)),"Czech Republic",
ISNUMBER(SEARCH("Türkiye",S308)),"Turkey",
ISNUMBER(SEARCH("Ivory Coast",S308)),"Côte d'Ivoire",
ISNUMBER(SEARCH("Korea Republic",S308)),"South Korea",
ISNUMBER(SEARCH("Germany FR",S308)),"FR Germany",
ISNUMBER(SEARCH("West Germany",S308)),"FR Germany",
ISNUMBER(SEARCH("Germany DR",S308)),"DR Germany",
ISNUMBER(SEARCH("Korea DPR",S308)),"North Korea",
ISNUMBER(SEARCH("China PR",S308)),"China",
ISNUMBER(SEARCH("IR Iran",S308)),"Iran",
ISNUMBER(SEARCH("Congo DR",S308)),"Democratic Republic of the Congo",
ISNUMBER(SEARCH("DR Congo",S308)),"Democratic Republic of the Congo",
ISNUMBER(SEARCH("German DR",S308)),"DR Germany",
ISNUMBER(SEARCH("rn""&gt;United Arab Emirates",S308)),"United Arab Emirates",
ISNUMBER(SEARCH("rn""&gt;Republic of Ireland",S308)),"Ireland",
ISNUMBER(SEARCH("rn""&gt;Bosnia and Herzegovina",S308)),"Bosnia and Herzegovina",
ISNUMBER(SEARCH("rn""&gt;Trinidad and Tobago",S308)),"Trinidad and Tobago",
ISNUMBER(SEARCH("rn""&gt;Serbia and Montenegro",S308)),"Serbia and Montenegro",
ISNUMBER(SEARCH(_xlfn.UNICHAR(65533),S308)),"Côte d'Ivoire",
TRUE,""
)</f>
        <v/>
      </c>
      <c r="W308" s="30" t="str">
        <f t="shared" si="31"/>
        <v>Colombia</v>
      </c>
      <c r="Z308" s="40" t="str">
        <v>Olympiastadion</v>
      </c>
      <c r="AA308" s="40" t="str" cm="1">
        <f t="array" ref="AA308">IFERROR(_xlfn.XLOOKUP(Z308,_xlfn.ANCHORARRAY(Z$31),AA$31:AA$37),Z308)</f>
        <v>Olympiastadion</v>
      </c>
      <c r="AB308" s="42" t="str">
        <v xml:space="preserve">Munich </v>
      </c>
      <c r="AC308" s="89" t="str">
        <f t="shared" si="33"/>
        <v xml:space="preserve">Munich </v>
      </c>
      <c r="AE308" s="42">
        <v>1970</v>
      </c>
      <c r="AK308" s="42">
        <v>3</v>
      </c>
      <c r="AL308" s="42">
        <v>2</v>
      </c>
      <c r="AV308" s="37" t="str">
        <v>QUARTER_FINALS</v>
      </c>
      <c r="AW308" s="89" t="str">
        <v>GROUP_STAGE</v>
      </c>
      <c r="BE308" s="43" t="str">
        <f>IF(OR(DATA_CLEANED!AL299="",DATA_CLEANED!AM299=""),"MANQUANT",IF(OR(NOT(ISNUMBER(DATA_CLEANED!AL299)),NOT(ISNUMBER(DATA_CLEANED!AM299))),"ENTREE INVALIDE",IF(OR(DATA_CLEANED!AL299&lt;0,DATA_CLEANED!AM299&lt;0),"SCORE NEGATIF","OK")))</f>
        <v>OK</v>
      </c>
      <c r="BF308" s="43" t="str">
        <f>IF(DATA_CLEANED!AK299&lt;&gt;DATA_CLEANED!AN299,"OK","ERREUR")</f>
        <v>OK</v>
      </c>
      <c r="BG308" s="43" t="str">
        <f>IF(DATA_CLEANED!AL299&gt;DATA_CLEANED!AM299,DATA_CLEANED!AK299,IF(AND(DATA_QUALITE!W4785="-",DATA_CLEANED!AM299=DATA_CLEANED!AL299),"MATCH NUL",IF(AND(DATA_QUALITE!V4785="-",DATA_QUALITE!U4785="AUCUNE"),DATA_QUALITE!T4785,IF(DATA_QUALITE!V4785&lt;&gt;"-",DATA_QUALITE!V4785,DATA_CLEANED!AN299))))</f>
        <v>Brazil</v>
      </c>
      <c r="BH308" s="103" t="str">
        <f>IF(AND(BG308="MATCH NUL",DATA_CLEANED!AO299="-"),"MATCH_NUL",IF(ISNUMBER(SEARCH("win on penalties",W4785)),"WIN_BY_PENALTY",IF(ISNUMBER(SEARCH("win after extra time",W4785)),"WIN_BY_EXTRA_TIME",IF(ISNUMBER(SEARCH("Golden Goal",W4785)),"WIN_BY_GOLDEN_GOAL","WIN_BY_SCORE"))))</f>
        <v>WIN_BY_SCORE</v>
      </c>
      <c r="BI308" s="99" t="str">
        <f>IF(OR(BG308=DATA_CLEANED!AK299,BG308=DATA_CLEANED!AN299,BG308="MATCH NUL"),"OK","ERREUR")</f>
        <v>OK</v>
      </c>
    </row>
    <row r="309" spans="2:61">
      <c r="B309" s="74">
        <v>2014</v>
      </c>
      <c r="C309" s="30" t="str">
        <v>Quarter-finals</v>
      </c>
      <c r="D309" s="30" t="str">
        <v>Netherlands</v>
      </c>
      <c r="E309" s="30" t="str">
        <v>Costa Rica</v>
      </c>
      <c r="F309" s="30" t="str">
        <v>Costa Rica</v>
      </c>
      <c r="G309" s="30" t="str">
        <v>Giancarlo González</v>
      </c>
      <c r="H309" s="30" t="str">
        <v>Tim Krul</v>
      </c>
      <c r="I309" s="30">
        <v>6</v>
      </c>
      <c r="J309" s="30">
        <v>3</v>
      </c>
      <c r="K309" s="30" t="str">
        <v>'2-3</v>
      </c>
      <c r="L309" s="30" t="str">
        <v>No</v>
      </c>
      <c r="M309" s="30" t="str">
        <v>No</v>
      </c>
      <c r="N309" s="30" t="str">
        <v>Goal</v>
      </c>
      <c r="O309" s="30" t="str">
        <f t="shared" si="32"/>
        <v>2014|Quarter-finals|Netherlands|Costa Rica|Costa Rica|Giancarlo González|Tim Krul|6|3|'2-3|No|No|Goal</v>
      </c>
      <c r="P309" s="96" t="str">
        <f>IF(COUNTIF($G$32:O309,O309)&gt;1,"DOUBLON","OK")</f>
        <v>OK</v>
      </c>
      <c r="S309" s="30" t="str">
        <v>Colombia</v>
      </c>
      <c r="T309" s="30" t="str">
        <f t="shared" si="29"/>
        <v>OK</v>
      </c>
      <c r="U309" s="30" t="str">
        <f t="shared" si="30"/>
        <v>-</v>
      </c>
      <c r="V309" s="30" t="str" cm="1">
        <f t="array" ref="V309">_xlfn.IFS(
ISNUMBER(SEARCH("USA",S309)),"United States",
ISNUMBER(SEARCH("Republic of Korea",S309)),"South Korea",
ISNUMBER(SEARCH("Cape Verde",S309)),"Cabo Verde",
ISNUMBER(SEARCH("Czechia",S309)),"Czech Republic",
ISNUMBER(SEARCH("Türkiye",S309)),"Turkey",
ISNUMBER(SEARCH("Ivory Coast",S309)),"Côte d'Ivoire",
ISNUMBER(SEARCH("Korea Republic",S309)),"South Korea",
ISNUMBER(SEARCH("Germany FR",S309)),"FR Germany",
ISNUMBER(SEARCH("West Germany",S309)),"FR Germany",
ISNUMBER(SEARCH("Germany DR",S309)),"DR Germany",
ISNUMBER(SEARCH("Korea DPR",S309)),"North Korea",
ISNUMBER(SEARCH("China PR",S309)),"China",
ISNUMBER(SEARCH("IR Iran",S309)),"Iran",
ISNUMBER(SEARCH("Congo DR",S309)),"Democratic Republic of the Congo",
ISNUMBER(SEARCH("DR Congo",S309)),"Democratic Republic of the Congo",
ISNUMBER(SEARCH("German DR",S309)),"DR Germany",
ISNUMBER(SEARCH("rn""&gt;United Arab Emirates",S309)),"United Arab Emirates",
ISNUMBER(SEARCH("rn""&gt;Republic of Ireland",S309)),"Ireland",
ISNUMBER(SEARCH("rn""&gt;Bosnia and Herzegovina",S309)),"Bosnia and Herzegovina",
ISNUMBER(SEARCH("rn""&gt;Trinidad and Tobago",S309)),"Trinidad and Tobago",
ISNUMBER(SEARCH("rn""&gt;Serbia and Montenegro",S309)),"Serbia and Montenegro",
ISNUMBER(SEARCH(_xlfn.UNICHAR(65533),S309)),"Côte d'Ivoire",
TRUE,""
)</f>
        <v/>
      </c>
      <c r="W309" s="30" t="str">
        <f t="shared" si="31"/>
        <v>Colombia</v>
      </c>
      <c r="Z309" s="40" t="str">
        <v>Olympiastadion</v>
      </c>
      <c r="AA309" s="40" t="str" cm="1">
        <f t="array" ref="AA309">IFERROR(_xlfn.XLOOKUP(Z309,_xlfn.ANCHORARRAY(Z$31),AA$31:AA$37),Z309)</f>
        <v>Olympiastadion</v>
      </c>
      <c r="AB309" s="42" t="str">
        <v xml:space="preserve">Munich </v>
      </c>
      <c r="AC309" s="89" t="str">
        <f t="shared" si="33"/>
        <v xml:space="preserve">Munich </v>
      </c>
      <c r="AE309" s="42">
        <v>1970</v>
      </c>
      <c r="AK309" s="42">
        <v>4</v>
      </c>
      <c r="AL309" s="42">
        <v>2</v>
      </c>
      <c r="AV309" s="37" t="str">
        <v>QUARTER_FINALS</v>
      </c>
      <c r="AW309" s="89" t="str">
        <v>GROUP_STAGE</v>
      </c>
      <c r="BE309" s="43" t="str">
        <f>IF(OR(DATA_CLEANED!AL300="",DATA_CLEANED!AM300=""),"MANQUANT",IF(OR(NOT(ISNUMBER(DATA_CLEANED!AL300)),NOT(ISNUMBER(DATA_CLEANED!AM300))),"ENTREE INVALIDE",IF(OR(DATA_CLEANED!AL300&lt;0,DATA_CLEANED!AM300&lt;0),"SCORE NEGATIF","OK")))</f>
        <v>OK</v>
      </c>
      <c r="BF309" s="43" t="str">
        <f>IF(DATA_CLEANED!AK300&lt;&gt;DATA_CLEANED!AN300,"OK","ERREUR")</f>
        <v>OK</v>
      </c>
      <c r="BG309" s="43" t="str">
        <f>IF(DATA_CLEANED!AL300&gt;DATA_CLEANED!AM300,DATA_CLEANED!AK300,IF(AND(DATA_QUALITE!W4786="-",DATA_CLEANED!AM300=DATA_CLEANED!AL300),"MATCH NUL",IF(AND(DATA_QUALITE!V4786="-",DATA_QUALITE!U4786="AUCUNE"),DATA_QUALITE!T4786,IF(DATA_QUALITE!V4786&lt;&gt;"-",DATA_QUALITE!V4786,DATA_CLEANED!AN300))))</f>
        <v>Argentina</v>
      </c>
      <c r="BH309" s="103" t="str">
        <f>IF(AND(BG309="MATCH NUL",DATA_CLEANED!AO300="-"),"MATCH_NUL",IF(ISNUMBER(SEARCH("win on penalties",W4786)),"WIN_BY_PENALTY",IF(ISNUMBER(SEARCH("win after extra time",W4786)),"WIN_BY_EXTRA_TIME",IF(ISNUMBER(SEARCH("Golden Goal",W4786)),"WIN_BY_GOLDEN_GOAL","WIN_BY_SCORE"))))</f>
        <v>WIN_BY_SCORE</v>
      </c>
      <c r="BI309" s="99" t="str">
        <f>IF(OR(BG309=DATA_CLEANED!AK300,BG309=DATA_CLEANED!AN300,BG309="MATCH NUL"),"OK","ERREUR")</f>
        <v>OK</v>
      </c>
    </row>
    <row r="310" spans="2:61">
      <c r="B310" s="74">
        <v>2014</v>
      </c>
      <c r="C310" s="30" t="str">
        <v>Quarter-finals</v>
      </c>
      <c r="D310" s="30" t="str">
        <v>Netherlands</v>
      </c>
      <c r="E310" s="30" t="str">
        <v>Costa Rica</v>
      </c>
      <c r="F310" s="30" t="str">
        <v>Netherlands</v>
      </c>
      <c r="G310" s="30" t="str">
        <v>Dirk Kuyt</v>
      </c>
      <c r="H310" s="30" t="str">
        <v>Keylor Navas</v>
      </c>
      <c r="I310" s="30">
        <v>7</v>
      </c>
      <c r="J310" s="30">
        <v>4</v>
      </c>
      <c r="K310" s="30" t="str">
        <v>'2-3</v>
      </c>
      <c r="L310" s="30" t="str">
        <v>No</v>
      </c>
      <c r="M310" s="30" t="str">
        <v>No</v>
      </c>
      <c r="N310" s="30" t="str">
        <v>Goal</v>
      </c>
      <c r="O310" s="30" t="str">
        <f t="shared" si="32"/>
        <v>2014|Quarter-finals|Netherlands|Costa Rica|Netherlands|Dirk Kuyt|Keylor Navas|7|4|'2-3|No|No|Goal</v>
      </c>
      <c r="P310" s="96" t="str">
        <f>IF(COUNTIF($G$32:O310,O310)&gt;1,"DOUBLON","OK")</f>
        <v>OK</v>
      </c>
      <c r="S310" s="30" t="str">
        <v>Croatia</v>
      </c>
      <c r="T310" s="30" t="str">
        <f t="shared" si="29"/>
        <v>OK</v>
      </c>
      <c r="U310" s="30" t="str">
        <f t="shared" si="30"/>
        <v>-</v>
      </c>
      <c r="V310" s="30" t="str" cm="1">
        <f t="array" ref="V310">_xlfn.IFS(
ISNUMBER(SEARCH("USA",S310)),"United States",
ISNUMBER(SEARCH("Republic of Korea",S310)),"South Korea",
ISNUMBER(SEARCH("Cape Verde",S310)),"Cabo Verde",
ISNUMBER(SEARCH("Czechia",S310)),"Czech Republic",
ISNUMBER(SEARCH("Türkiye",S310)),"Turkey",
ISNUMBER(SEARCH("Ivory Coast",S310)),"Côte d'Ivoire",
ISNUMBER(SEARCH("Korea Republic",S310)),"South Korea",
ISNUMBER(SEARCH("Germany FR",S310)),"FR Germany",
ISNUMBER(SEARCH("West Germany",S310)),"FR Germany",
ISNUMBER(SEARCH("Germany DR",S310)),"DR Germany",
ISNUMBER(SEARCH("Korea DPR",S310)),"North Korea",
ISNUMBER(SEARCH("China PR",S310)),"China",
ISNUMBER(SEARCH("IR Iran",S310)),"Iran",
ISNUMBER(SEARCH("Congo DR",S310)),"Democratic Republic of the Congo",
ISNUMBER(SEARCH("DR Congo",S310)),"Democratic Republic of the Congo",
ISNUMBER(SEARCH("German DR",S310)),"DR Germany",
ISNUMBER(SEARCH("rn""&gt;United Arab Emirates",S310)),"United Arab Emirates",
ISNUMBER(SEARCH("rn""&gt;Republic of Ireland",S310)),"Ireland",
ISNUMBER(SEARCH("rn""&gt;Bosnia and Herzegovina",S310)),"Bosnia and Herzegovina",
ISNUMBER(SEARCH("rn""&gt;Trinidad and Tobago",S310)),"Trinidad and Tobago",
ISNUMBER(SEARCH("rn""&gt;Serbia and Montenegro",S310)),"Serbia and Montenegro",
ISNUMBER(SEARCH(_xlfn.UNICHAR(65533),S310)),"Côte d'Ivoire",
TRUE,""
)</f>
        <v/>
      </c>
      <c r="W310" s="30" t="str">
        <f t="shared" si="31"/>
        <v>Croatia</v>
      </c>
      <c r="Z310" s="40" t="str">
        <v>El Monumental - Estadio Monumental Antonio Vespuci</v>
      </c>
      <c r="AA310" s="40" t="str" cm="1">
        <f t="array" ref="AA310">IFERROR(_xlfn.XLOOKUP(Z310,_xlfn.ANCHORARRAY(Z$31),AA$31:AA$37),Z310)</f>
        <v>El Monumental - Estadio Monumental Antonio Vespuci</v>
      </c>
      <c r="AB310" s="42" t="str">
        <v xml:space="preserve">Buenos Aires </v>
      </c>
      <c r="AC310" s="89" t="str">
        <f t="shared" si="33"/>
        <v xml:space="preserve">Buenos Aires </v>
      </c>
      <c r="AE310" s="42">
        <v>1970</v>
      </c>
      <c r="AK310" s="42">
        <v>1</v>
      </c>
      <c r="AL310" s="42">
        <v>0</v>
      </c>
      <c r="AV310" s="37" t="str">
        <v>QUARTER_FINALS</v>
      </c>
      <c r="AW310" s="89" t="str">
        <v>GROUP_STAGE</v>
      </c>
      <c r="BE310" s="43" t="str">
        <f>IF(OR(DATA_CLEANED!AL301="",DATA_CLEANED!AM301=""),"MANQUANT",IF(OR(NOT(ISNUMBER(DATA_CLEANED!AL301)),NOT(ISNUMBER(DATA_CLEANED!AM301))),"ENTREE INVALIDE",IF(OR(DATA_CLEANED!AL301&lt;0,DATA_CLEANED!AM301&lt;0),"SCORE NEGATIF","OK")))</f>
        <v>OK</v>
      </c>
      <c r="BF310" s="43" t="str">
        <f>IF(DATA_CLEANED!AK301&lt;&gt;DATA_CLEANED!AN301,"OK","ERREUR")</f>
        <v>OK</v>
      </c>
      <c r="BG310" s="43" t="str">
        <f>IF(DATA_CLEANED!AL301&gt;DATA_CLEANED!AM301,DATA_CLEANED!AK301,IF(AND(DATA_QUALITE!W4787="-",DATA_CLEANED!AM301=DATA_CLEANED!AL301),"MATCH NUL",IF(AND(DATA_QUALITE!V4787="-",DATA_QUALITE!U4787="AUCUNE"),DATA_QUALITE!T4787,IF(DATA_QUALITE!V4787&lt;&gt;"-",DATA_QUALITE!V4787,DATA_CLEANED!AN301))))</f>
        <v>Poland</v>
      </c>
      <c r="BH310" s="103" t="str">
        <f>IF(AND(BG310="MATCH NUL",DATA_CLEANED!AO301="-"),"MATCH_NUL",IF(ISNUMBER(SEARCH("win on penalties",W4787)),"WIN_BY_PENALTY",IF(ISNUMBER(SEARCH("win after extra time",W4787)),"WIN_BY_EXTRA_TIME",IF(ISNUMBER(SEARCH("Golden Goal",W4787)),"WIN_BY_GOLDEN_GOAL","WIN_BY_SCORE"))))</f>
        <v>WIN_BY_SCORE</v>
      </c>
      <c r="BI310" s="99" t="str">
        <f>IF(OR(BG310=DATA_CLEANED!AK301,BG310=DATA_CLEANED!AN301,BG310="MATCH NUL"),"OK","ERREUR")</f>
        <v>OK</v>
      </c>
    </row>
    <row r="311" spans="2:61">
      <c r="B311" s="74">
        <v>2014</v>
      </c>
      <c r="C311" s="30" t="str">
        <v>Quarter-finals</v>
      </c>
      <c r="D311" s="30" t="str">
        <v>Netherlands</v>
      </c>
      <c r="E311" s="30" t="str">
        <v>Costa Rica</v>
      </c>
      <c r="F311" s="30" t="str">
        <v>Costa Rica</v>
      </c>
      <c r="G311" s="30" t="str">
        <v>Michael Umaña</v>
      </c>
      <c r="H311" s="30" t="str">
        <v>Tim Krul</v>
      </c>
      <c r="I311" s="30">
        <v>8</v>
      </c>
      <c r="J311" s="30">
        <v>4</v>
      </c>
      <c r="K311" s="30" t="str">
        <v>'2-4</v>
      </c>
      <c r="L311" s="30" t="str">
        <v>Yes</v>
      </c>
      <c r="M311" s="30" t="str">
        <v>Yes</v>
      </c>
      <c r="N311" s="30" t="str">
        <v>Saved</v>
      </c>
      <c r="O311" s="30" t="str">
        <f t="shared" si="32"/>
        <v>2014|Quarter-finals|Netherlands|Costa Rica|Costa Rica|Michael Umaña|Tim Krul|8|4|'2-4|Yes|Yes|Saved</v>
      </c>
      <c r="P311" s="96" t="str">
        <f>IF(COUNTIF($G$32:O311,O311)&gt;1,"DOUBLON","OK")</f>
        <v>OK</v>
      </c>
      <c r="S311" s="30" t="str">
        <v>Croatia</v>
      </c>
      <c r="T311" s="30" t="str">
        <f t="shared" si="29"/>
        <v>OK</v>
      </c>
      <c r="U311" s="30" t="str">
        <f t="shared" si="30"/>
        <v>-</v>
      </c>
      <c r="V311" s="30" t="str" cm="1">
        <f t="array" ref="V311">_xlfn.IFS(
ISNUMBER(SEARCH("USA",S311)),"United States",
ISNUMBER(SEARCH("Republic of Korea",S311)),"South Korea",
ISNUMBER(SEARCH("Cape Verde",S311)),"Cabo Verde",
ISNUMBER(SEARCH("Czechia",S311)),"Czech Republic",
ISNUMBER(SEARCH("Türkiye",S311)),"Turkey",
ISNUMBER(SEARCH("Ivory Coast",S311)),"Côte d'Ivoire",
ISNUMBER(SEARCH("Korea Republic",S311)),"South Korea",
ISNUMBER(SEARCH("Germany FR",S311)),"FR Germany",
ISNUMBER(SEARCH("West Germany",S311)),"FR Germany",
ISNUMBER(SEARCH("Germany DR",S311)),"DR Germany",
ISNUMBER(SEARCH("Korea DPR",S311)),"North Korea",
ISNUMBER(SEARCH("China PR",S311)),"China",
ISNUMBER(SEARCH("IR Iran",S311)),"Iran",
ISNUMBER(SEARCH("Congo DR",S311)),"Democratic Republic of the Congo",
ISNUMBER(SEARCH("DR Congo",S311)),"Democratic Republic of the Congo",
ISNUMBER(SEARCH("German DR",S311)),"DR Germany",
ISNUMBER(SEARCH("rn""&gt;United Arab Emirates",S311)),"United Arab Emirates",
ISNUMBER(SEARCH("rn""&gt;Republic of Ireland",S311)),"Ireland",
ISNUMBER(SEARCH("rn""&gt;Bosnia and Herzegovina",S311)),"Bosnia and Herzegovina",
ISNUMBER(SEARCH("rn""&gt;Trinidad and Tobago",S311)),"Trinidad and Tobago",
ISNUMBER(SEARCH("rn""&gt;Serbia and Montenegro",S311)),"Serbia and Montenegro",
ISNUMBER(SEARCH(_xlfn.UNICHAR(65533),S311)),"Côte d'Ivoire",
TRUE,""
)</f>
        <v/>
      </c>
      <c r="W311" s="30" t="str">
        <f t="shared" si="31"/>
        <v>Croatia</v>
      </c>
      <c r="Z311" s="40" t="str">
        <v>Estadio Jos� Mar�a Minella</v>
      </c>
      <c r="AA311" s="40" t="str" cm="1">
        <f t="array" ref="AA311">IFERROR(_xlfn.XLOOKUP(Z311,_xlfn.ANCHORARRAY(Z$31),AA$31:AA$37),Z311)</f>
        <v>Estadio José María Minella</v>
      </c>
      <c r="AB311" s="42" t="str">
        <v xml:space="preserve">Mar Del Plata </v>
      </c>
      <c r="AC311" s="89" t="str">
        <f t="shared" si="33"/>
        <v xml:space="preserve">Mar Del Plata </v>
      </c>
      <c r="AE311" s="42">
        <v>1970</v>
      </c>
      <c r="AK311" s="42">
        <v>3</v>
      </c>
      <c r="AL311" s="42">
        <v>1</v>
      </c>
      <c r="AV311" s="37" t="str">
        <v>QUARTER_FINALS</v>
      </c>
      <c r="AW311" s="89" t="str">
        <v>GROUP_STAGE</v>
      </c>
      <c r="BE311" s="43" t="str">
        <f>IF(OR(DATA_CLEANED!AL302="",DATA_CLEANED!AM302=""),"MANQUANT",IF(OR(NOT(ISNUMBER(DATA_CLEANED!AL302)),NOT(ISNUMBER(DATA_CLEANED!AM302))),"ENTREE INVALIDE",IF(OR(DATA_CLEANED!AL302&lt;0,DATA_CLEANED!AM302&lt;0),"SCORE NEGATIF","OK")))</f>
        <v>OK</v>
      </c>
      <c r="BF311" s="43" t="str">
        <f>IF(DATA_CLEANED!AK302&lt;&gt;DATA_CLEANED!AN302,"OK","ERREUR")</f>
        <v>OK</v>
      </c>
      <c r="BG311" s="43" t="str">
        <f>IF(DATA_CLEANED!AL302&gt;DATA_CLEANED!AM302,DATA_CLEANED!AK302,IF(AND(DATA_QUALITE!W4788="-",DATA_CLEANED!AM302=DATA_CLEANED!AL302),"MATCH NUL",IF(AND(DATA_QUALITE!V4788="-",DATA_QUALITE!U4788="AUCUNE"),DATA_QUALITE!T4788,IF(DATA_QUALITE!V4788&lt;&gt;"-",DATA_QUALITE!V4788,DATA_CLEANED!AN302))))</f>
        <v>Italy</v>
      </c>
      <c r="BH311" s="103" t="str">
        <f>IF(AND(BG311="MATCH NUL",DATA_CLEANED!AO302="-"),"MATCH_NUL",IF(ISNUMBER(SEARCH("win on penalties",W4788)),"WIN_BY_PENALTY",IF(ISNUMBER(SEARCH("win after extra time",W4788)),"WIN_BY_EXTRA_TIME",IF(ISNUMBER(SEARCH("Golden Goal",W4788)),"WIN_BY_GOLDEN_GOAL","WIN_BY_SCORE"))))</f>
        <v>WIN_BY_SCORE</v>
      </c>
      <c r="BI311" s="99" t="str">
        <f>IF(OR(BG311=DATA_CLEANED!AK302,BG311=DATA_CLEANED!AN302,BG311="MATCH NUL"),"OK","ERREUR")</f>
        <v>OK</v>
      </c>
    </row>
    <row r="312" spans="2:61">
      <c r="B312" s="74">
        <v>2014</v>
      </c>
      <c r="C312" s="30" t="str">
        <v>Semi-finals</v>
      </c>
      <c r="D312" s="30" t="str">
        <v>Netherlands</v>
      </c>
      <c r="E312" s="30" t="str">
        <v>Argentina</v>
      </c>
      <c r="F312" s="30" t="str">
        <v>Argentina</v>
      </c>
      <c r="G312" s="30" t="str">
        <v>Ron Vlaar</v>
      </c>
      <c r="H312" s="30" t="str">
        <v>Sergio Romero</v>
      </c>
      <c r="I312" s="30">
        <v>1</v>
      </c>
      <c r="J312" s="30">
        <v>1</v>
      </c>
      <c r="K312" s="30" t="str">
        <v>'0-0</v>
      </c>
      <c r="L312" s="30" t="str">
        <v>No</v>
      </c>
      <c r="M312" s="30" t="str">
        <v>No</v>
      </c>
      <c r="N312" s="30" t="str">
        <v>Saved</v>
      </c>
      <c r="O312" s="30" t="str">
        <f t="shared" si="32"/>
        <v>2014|Semi-finals|Netherlands|Argentina|Argentina|Ron Vlaar|Sergio Romero|1|1|'0-0|No|No|Saved</v>
      </c>
      <c r="P312" s="96" t="str">
        <f>IF(COUNTIF($G$32:O312,O312)&gt;1,"DOUBLON","OK")</f>
        <v>OK</v>
      </c>
      <c r="S312" s="30" t="str">
        <v>Croatia</v>
      </c>
      <c r="T312" s="30" t="str">
        <f t="shared" si="29"/>
        <v>OK</v>
      </c>
      <c r="U312" s="30" t="str">
        <f t="shared" si="30"/>
        <v>-</v>
      </c>
      <c r="V312" s="30" t="str" cm="1">
        <f t="array" ref="V312">_xlfn.IFS(
ISNUMBER(SEARCH("USA",S312)),"United States",
ISNUMBER(SEARCH("Republic of Korea",S312)),"South Korea",
ISNUMBER(SEARCH("Cape Verde",S312)),"Cabo Verde",
ISNUMBER(SEARCH("Czechia",S312)),"Czech Republic",
ISNUMBER(SEARCH("Türkiye",S312)),"Turkey",
ISNUMBER(SEARCH("Ivory Coast",S312)),"Côte d'Ivoire",
ISNUMBER(SEARCH("Korea Republic",S312)),"South Korea",
ISNUMBER(SEARCH("Germany FR",S312)),"FR Germany",
ISNUMBER(SEARCH("West Germany",S312)),"FR Germany",
ISNUMBER(SEARCH("Germany DR",S312)),"DR Germany",
ISNUMBER(SEARCH("Korea DPR",S312)),"North Korea",
ISNUMBER(SEARCH("China PR",S312)),"China",
ISNUMBER(SEARCH("IR Iran",S312)),"Iran",
ISNUMBER(SEARCH("Congo DR",S312)),"Democratic Republic of the Congo",
ISNUMBER(SEARCH("DR Congo",S312)),"Democratic Republic of the Congo",
ISNUMBER(SEARCH("German DR",S312)),"DR Germany",
ISNUMBER(SEARCH("rn""&gt;United Arab Emirates",S312)),"United Arab Emirates",
ISNUMBER(SEARCH("rn""&gt;Republic of Ireland",S312)),"Ireland",
ISNUMBER(SEARCH("rn""&gt;Bosnia and Herzegovina",S312)),"Bosnia and Herzegovina",
ISNUMBER(SEARCH("rn""&gt;Trinidad and Tobago",S312)),"Trinidad and Tobago",
ISNUMBER(SEARCH("rn""&gt;Serbia and Montenegro",S312)),"Serbia and Montenegro",
ISNUMBER(SEARCH(_xlfn.UNICHAR(65533),S312)),"Côte d'Ivoire",
TRUE,""
)</f>
        <v/>
      </c>
      <c r="W312" s="30" t="str">
        <f t="shared" si="31"/>
        <v>Croatia</v>
      </c>
      <c r="Z312" s="40" t="str">
        <v>Arroyito - Estadio Dr. Lisandro de la Torre</v>
      </c>
      <c r="AA312" s="40" t="str" cm="1">
        <f t="array" ref="AA312">IFERROR(_xlfn.XLOOKUP(Z312,_xlfn.ANCHORARRAY(Z$31),AA$31:AA$37),Z312)</f>
        <v>Arroyito - Estadio Dr. Lisandro de la Torre</v>
      </c>
      <c r="AB312" s="42" t="str">
        <v xml:space="preserve">Rosario </v>
      </c>
      <c r="AC312" s="89" t="str">
        <f t="shared" si="33"/>
        <v xml:space="preserve">Rosario </v>
      </c>
      <c r="AE312" s="42">
        <v>1970</v>
      </c>
      <c r="AK312" s="42">
        <v>4</v>
      </c>
      <c r="AL312" s="42">
        <v>3</v>
      </c>
      <c r="AV312" s="37" t="str">
        <v>QUARTER_FINALS</v>
      </c>
      <c r="AW312" s="89" t="str">
        <v>GROUP_STAGE</v>
      </c>
      <c r="BE312" s="43" t="str">
        <f>IF(OR(DATA_CLEANED!AL303="",DATA_CLEANED!AM303=""),"MANQUANT",IF(OR(NOT(ISNUMBER(DATA_CLEANED!AL303)),NOT(ISNUMBER(DATA_CLEANED!AM303))),"ENTREE INVALIDE",IF(OR(DATA_CLEANED!AL303&lt;0,DATA_CLEANED!AM303&lt;0),"SCORE NEGATIF","OK")))</f>
        <v>OK</v>
      </c>
      <c r="BF312" s="43" t="str">
        <f>IF(DATA_CLEANED!AK303&lt;&gt;DATA_CLEANED!AN303,"OK","ERREUR")</f>
        <v>OK</v>
      </c>
      <c r="BG312" s="43" t="str">
        <f>IF(DATA_CLEANED!AL303&gt;DATA_CLEANED!AM303,DATA_CLEANED!AK303,IF(AND(DATA_QUALITE!W4789="-",DATA_CLEANED!AM303=DATA_CLEANED!AL303),"MATCH NUL",IF(AND(DATA_QUALITE!V4789="-",DATA_QUALITE!U4789="AUCUNE"),DATA_QUALITE!T4789,IF(DATA_QUALITE!V4789&lt;&gt;"-",DATA_QUALITE!V4789,DATA_CLEANED!AN303))))</f>
        <v>MATCH NUL</v>
      </c>
      <c r="BH312" s="103" t="str">
        <f>IF(AND(BG312="MATCH NUL",DATA_CLEANED!AO303="-"),"MATCH_NUL",IF(ISNUMBER(SEARCH("win on penalties",W4789)),"WIN_BY_PENALTY",IF(ISNUMBER(SEARCH("win after extra time",W4789)),"WIN_BY_EXTRA_TIME",IF(ISNUMBER(SEARCH("Golden Goal",W4789)),"WIN_BY_GOLDEN_GOAL","WIN_BY_SCORE"))))</f>
        <v>MATCH_NUL</v>
      </c>
      <c r="BI312" s="99" t="str">
        <f>IF(OR(BG312=DATA_CLEANED!AK303,BG312=DATA_CLEANED!AN303,BG312="MATCH NUL"),"OK","ERREUR")</f>
        <v>OK</v>
      </c>
    </row>
    <row r="313" spans="2:61">
      <c r="B313" s="74">
        <v>2014</v>
      </c>
      <c r="C313" s="30" t="str">
        <v>Semi-finals</v>
      </c>
      <c r="D313" s="30" t="str">
        <v>Netherlands</v>
      </c>
      <c r="E313" s="30" t="str">
        <v>Argentina</v>
      </c>
      <c r="F313" s="30" t="str">
        <v>Netherlands</v>
      </c>
      <c r="G313" s="30" t="str">
        <v>Lionel Messi</v>
      </c>
      <c r="H313" s="30" t="str">
        <v>Jasper Cillessen</v>
      </c>
      <c r="I313" s="30">
        <v>2</v>
      </c>
      <c r="J313" s="30">
        <v>1</v>
      </c>
      <c r="K313" s="30" t="str">
        <v>'0-1</v>
      </c>
      <c r="L313" s="30" t="str">
        <v>No</v>
      </c>
      <c r="M313" s="30" t="str">
        <v>No</v>
      </c>
      <c r="N313" s="30" t="str">
        <v>Goal</v>
      </c>
      <c r="O313" s="30" t="str">
        <f t="shared" si="32"/>
        <v>2014|Semi-finals|Netherlands|Argentina|Netherlands|Lionel Messi|Jasper Cillessen|2|1|'0-1|No|No|Goal</v>
      </c>
      <c r="P313" s="96" t="str">
        <f>IF(COUNTIF($G$32:O313,O313)&gt;1,"DOUBLON","OK")</f>
        <v>OK</v>
      </c>
      <c r="S313" s="30" t="str">
        <v>Croatia</v>
      </c>
      <c r="T313" s="30" t="str">
        <f t="shared" si="29"/>
        <v>OK</v>
      </c>
      <c r="U313" s="30" t="str">
        <f t="shared" si="30"/>
        <v>-</v>
      </c>
      <c r="V313" s="30" t="str" cm="1">
        <f t="array" ref="V313">_xlfn.IFS(
ISNUMBER(SEARCH("USA",S313)),"United States",
ISNUMBER(SEARCH("Republic of Korea",S313)),"South Korea",
ISNUMBER(SEARCH("Cape Verde",S313)),"Cabo Verde",
ISNUMBER(SEARCH("Czechia",S313)),"Czech Republic",
ISNUMBER(SEARCH("Türkiye",S313)),"Turkey",
ISNUMBER(SEARCH("Ivory Coast",S313)),"Côte d'Ivoire",
ISNUMBER(SEARCH("Korea Republic",S313)),"South Korea",
ISNUMBER(SEARCH("Germany FR",S313)),"FR Germany",
ISNUMBER(SEARCH("West Germany",S313)),"FR Germany",
ISNUMBER(SEARCH("Germany DR",S313)),"DR Germany",
ISNUMBER(SEARCH("Korea DPR",S313)),"North Korea",
ISNUMBER(SEARCH("China PR",S313)),"China",
ISNUMBER(SEARCH("IR Iran",S313)),"Iran",
ISNUMBER(SEARCH("Congo DR",S313)),"Democratic Republic of the Congo",
ISNUMBER(SEARCH("DR Congo",S313)),"Democratic Republic of the Congo",
ISNUMBER(SEARCH("German DR",S313)),"DR Germany",
ISNUMBER(SEARCH("rn""&gt;United Arab Emirates",S313)),"United Arab Emirates",
ISNUMBER(SEARCH("rn""&gt;Republic of Ireland",S313)),"Ireland",
ISNUMBER(SEARCH("rn""&gt;Bosnia and Herzegovina",S313)),"Bosnia and Herzegovina",
ISNUMBER(SEARCH("rn""&gt;Trinidad and Tobago",S313)),"Trinidad and Tobago",
ISNUMBER(SEARCH("rn""&gt;Serbia and Montenegro",S313)),"Serbia and Montenegro",
ISNUMBER(SEARCH(_xlfn.UNICHAR(65533),S313)),"Côte d'Ivoire",
TRUE,""
)</f>
        <v/>
      </c>
      <c r="W313" s="30" t="str">
        <f t="shared" si="31"/>
        <v>Croatia</v>
      </c>
      <c r="Z313" s="40" t="str">
        <v>El Monumental - Estadio Monumental Antonio Vespuci</v>
      </c>
      <c r="AA313" s="40" t="str" cm="1">
        <f t="array" ref="AA313">IFERROR(_xlfn.XLOOKUP(Z313,_xlfn.ANCHORARRAY(Z$31),AA$31:AA$37),Z313)</f>
        <v>El Monumental - Estadio Monumental Antonio Vespuci</v>
      </c>
      <c r="AB313" s="42" t="str">
        <v xml:space="preserve">Buenos Aires </v>
      </c>
      <c r="AC313" s="89" t="str">
        <f t="shared" si="33"/>
        <v xml:space="preserve">Buenos Aires </v>
      </c>
      <c r="AE313" s="42">
        <v>1970</v>
      </c>
      <c r="AK313" s="42">
        <v>1</v>
      </c>
      <c r="AL313" s="42">
        <v>0</v>
      </c>
      <c r="AV313" s="37" t="str">
        <v>QUARTER_FINALS</v>
      </c>
      <c r="AW313" s="89" t="str">
        <v>GROUP_STAGE</v>
      </c>
      <c r="BE313" s="43" t="str">
        <f>IF(OR(DATA_CLEANED!AL304="",DATA_CLEANED!AM304=""),"MANQUANT",IF(OR(NOT(ISNUMBER(DATA_CLEANED!AL304)),NOT(ISNUMBER(DATA_CLEANED!AM304))),"ENTREE INVALIDE",IF(OR(DATA_CLEANED!AL304&lt;0,DATA_CLEANED!AM304&lt;0),"SCORE NEGATIF","OK")))</f>
        <v>OK</v>
      </c>
      <c r="BF313" s="43" t="str">
        <f>IF(DATA_CLEANED!AK304&lt;&gt;DATA_CLEANED!AN304,"OK","ERREUR")</f>
        <v>OK</v>
      </c>
      <c r="BG313" s="43" t="str">
        <f>IF(DATA_CLEANED!AL304&gt;DATA_CLEANED!AM304,DATA_CLEANED!AK304,IF(AND(DATA_QUALITE!W4790="-",DATA_CLEANED!AM304=DATA_CLEANED!AL304),"MATCH NUL",IF(AND(DATA_QUALITE!V4790="-",DATA_QUALITE!U4790="AUCUNE"),DATA_QUALITE!T4790,IF(DATA_QUALITE!V4790&lt;&gt;"-",DATA_QUALITE!V4790,DATA_CLEANED!AN304))))</f>
        <v>MATCH NUL</v>
      </c>
      <c r="BH313" s="103" t="str">
        <f>IF(AND(BG313="MATCH NUL",DATA_CLEANED!AO304="-"),"MATCH_NUL",IF(ISNUMBER(SEARCH("win on penalties",W4790)),"WIN_BY_PENALTY",IF(ISNUMBER(SEARCH("win after extra time",W4790)),"WIN_BY_EXTRA_TIME",IF(ISNUMBER(SEARCH("Golden Goal",W4790)),"WIN_BY_GOLDEN_GOAL","WIN_BY_SCORE"))))</f>
        <v>MATCH_NUL</v>
      </c>
      <c r="BI313" s="99" t="str">
        <f>IF(OR(BG313=DATA_CLEANED!AK304,BG313=DATA_CLEANED!AN304,BG313="MATCH NUL"),"OK","ERREUR")</f>
        <v>OK</v>
      </c>
    </row>
    <row r="314" spans="2:61">
      <c r="B314" s="74">
        <v>2014</v>
      </c>
      <c r="C314" s="30" t="str">
        <v>Semi-finals</v>
      </c>
      <c r="D314" s="30" t="str">
        <v>Netherlands</v>
      </c>
      <c r="E314" s="30" t="str">
        <v>Argentina</v>
      </c>
      <c r="F314" s="30" t="str">
        <v>Argentina</v>
      </c>
      <c r="G314" s="30" t="str">
        <v>Arjen Robben</v>
      </c>
      <c r="H314" s="30" t="str">
        <v>Sergio Romero</v>
      </c>
      <c r="I314" s="30">
        <v>3</v>
      </c>
      <c r="J314" s="30">
        <v>2</v>
      </c>
      <c r="K314" s="30" t="str">
        <v>'1-1</v>
      </c>
      <c r="L314" s="30" t="str">
        <v>No</v>
      </c>
      <c r="M314" s="30" t="str">
        <v>No</v>
      </c>
      <c r="N314" s="30" t="str">
        <v>Goal</v>
      </c>
      <c r="O314" s="30" t="str">
        <f t="shared" si="32"/>
        <v>2014|Semi-finals|Netherlands|Argentina|Argentina|Arjen Robben|Sergio Romero|3|2|'1-1|No|No|Goal</v>
      </c>
      <c r="P314" s="96" t="str">
        <f>IF(COUNTIF($G$32:O314,O314)&gt;1,"DOUBLON","OK")</f>
        <v>OK</v>
      </c>
      <c r="S314" s="30" t="str">
        <v>Croatia</v>
      </c>
      <c r="T314" s="30" t="str">
        <f t="shared" si="29"/>
        <v>OK</v>
      </c>
      <c r="U314" s="30" t="str">
        <f t="shared" si="30"/>
        <v>-</v>
      </c>
      <c r="V314" s="30" t="str" cm="1">
        <f t="array" ref="V314">_xlfn.IFS(
ISNUMBER(SEARCH("USA",S314)),"United States",
ISNUMBER(SEARCH("Republic of Korea",S314)),"South Korea",
ISNUMBER(SEARCH("Cape Verde",S314)),"Cabo Verde",
ISNUMBER(SEARCH("Czechia",S314)),"Czech Republic",
ISNUMBER(SEARCH("Türkiye",S314)),"Turkey",
ISNUMBER(SEARCH("Ivory Coast",S314)),"Côte d'Ivoire",
ISNUMBER(SEARCH("Korea Republic",S314)),"South Korea",
ISNUMBER(SEARCH("Germany FR",S314)),"FR Germany",
ISNUMBER(SEARCH("West Germany",S314)),"FR Germany",
ISNUMBER(SEARCH("Germany DR",S314)),"DR Germany",
ISNUMBER(SEARCH("Korea DPR",S314)),"North Korea",
ISNUMBER(SEARCH("China PR",S314)),"China",
ISNUMBER(SEARCH("IR Iran",S314)),"Iran",
ISNUMBER(SEARCH("Congo DR",S314)),"Democratic Republic of the Congo",
ISNUMBER(SEARCH("DR Congo",S314)),"Democratic Republic of the Congo",
ISNUMBER(SEARCH("German DR",S314)),"DR Germany",
ISNUMBER(SEARCH("rn""&gt;United Arab Emirates",S314)),"United Arab Emirates",
ISNUMBER(SEARCH("rn""&gt;Republic of Ireland",S314)),"Ireland",
ISNUMBER(SEARCH("rn""&gt;Bosnia and Herzegovina",S314)),"Bosnia and Herzegovina",
ISNUMBER(SEARCH("rn""&gt;Trinidad and Tobago",S314)),"Trinidad and Tobago",
ISNUMBER(SEARCH("rn""&gt;Serbia and Montenegro",S314)),"Serbia and Montenegro",
ISNUMBER(SEARCH(_xlfn.UNICHAR(65533),S314)),"Côte d'Ivoire",
TRUE,""
)</f>
        <v/>
      </c>
      <c r="W314" s="30" t="str">
        <f t="shared" si="31"/>
        <v>Croatia</v>
      </c>
      <c r="Z314" s="40" t="str">
        <v>Estadio Jos� Mar�a Minella</v>
      </c>
      <c r="AA314" s="40" t="str" cm="1">
        <f t="array" ref="AA314">IFERROR(_xlfn.XLOOKUP(Z314,_xlfn.ANCHORARRAY(Z$31),AA$31:AA$37),Z314)</f>
        <v>Estadio José María Minella</v>
      </c>
      <c r="AB314" s="42" t="str">
        <v xml:space="preserve">Mar Del Plata </v>
      </c>
      <c r="AC314" s="89" t="str">
        <f t="shared" si="33"/>
        <v xml:space="preserve">Mar Del Plata </v>
      </c>
      <c r="AE314" s="42">
        <v>1970</v>
      </c>
      <c r="AK314" s="42">
        <v>4</v>
      </c>
      <c r="AL314" s="42">
        <v>1</v>
      </c>
      <c r="AV314" s="37" t="str">
        <v>QUARTER_FINALS</v>
      </c>
      <c r="AW314" s="89" t="str">
        <v>GROUP_STAGE</v>
      </c>
      <c r="BE314" s="43" t="str">
        <f>IF(OR(DATA_CLEANED!AL305="",DATA_CLEANED!AM305=""),"MANQUANT",IF(OR(NOT(ISNUMBER(DATA_CLEANED!AL305)),NOT(ISNUMBER(DATA_CLEANED!AM305))),"ENTREE INVALIDE",IF(OR(DATA_CLEANED!AL305&lt;0,DATA_CLEANED!AM305&lt;0),"SCORE NEGATIF","OK")))</f>
        <v>OK</v>
      </c>
      <c r="BF314" s="43" t="str">
        <f>IF(DATA_CLEANED!AK305&lt;&gt;DATA_CLEANED!AN305,"OK","ERREUR")</f>
        <v>OK</v>
      </c>
      <c r="BG314" s="43" t="str">
        <f>IF(DATA_CLEANED!AL305&gt;DATA_CLEANED!AM305,DATA_CLEANED!AK305,IF(AND(DATA_QUALITE!W4791="-",DATA_CLEANED!AM305=DATA_CLEANED!AL305),"MATCH NUL",IF(AND(DATA_QUALITE!V4791="-",DATA_QUALITE!U4791="AUCUNE"),DATA_QUALITE!T4791,IF(DATA_QUALITE!V4791&lt;&gt;"-",DATA_QUALITE!V4791,DATA_CLEANED!AN305))))</f>
        <v>Netherlands</v>
      </c>
      <c r="BH314" s="103" t="str">
        <f>IF(AND(BG314="MATCH NUL",DATA_CLEANED!AO305="-"),"MATCH_NUL",IF(ISNUMBER(SEARCH("win on penalties",W4791)),"WIN_BY_PENALTY",IF(ISNUMBER(SEARCH("win after extra time",W4791)),"WIN_BY_EXTRA_TIME",IF(ISNUMBER(SEARCH("Golden Goal",W4791)),"WIN_BY_GOLDEN_GOAL","WIN_BY_SCORE"))))</f>
        <v>WIN_BY_SCORE</v>
      </c>
      <c r="BI314" s="99" t="str">
        <f>IF(OR(BG314=DATA_CLEANED!AK305,BG314=DATA_CLEANED!AN305,BG314="MATCH NUL"),"OK","ERREUR")</f>
        <v>OK</v>
      </c>
    </row>
    <row r="315" spans="2:61">
      <c r="B315" s="74">
        <v>2014</v>
      </c>
      <c r="C315" s="30" t="str">
        <v>Semi-finals</v>
      </c>
      <c r="D315" s="30" t="str">
        <v>Netherlands</v>
      </c>
      <c r="E315" s="30" t="str">
        <v>Argentina</v>
      </c>
      <c r="F315" s="30" t="str">
        <v>Netherlands</v>
      </c>
      <c r="G315" s="30" t="str">
        <v>Ezequiel Garay</v>
      </c>
      <c r="H315" s="30" t="str">
        <v>Jasper Cillessen</v>
      </c>
      <c r="I315" s="30">
        <v>4</v>
      </c>
      <c r="J315" s="30">
        <v>2</v>
      </c>
      <c r="K315" s="30" t="str">
        <v>'2-1</v>
      </c>
      <c r="L315" s="30" t="str">
        <v>No</v>
      </c>
      <c r="M315" s="30" t="str">
        <v>No</v>
      </c>
      <c r="N315" s="30" t="str">
        <v>Goal</v>
      </c>
      <c r="O315" s="30" t="str">
        <f t="shared" si="32"/>
        <v>2014|Semi-finals|Netherlands|Argentina|Netherlands|Ezequiel Garay|Jasper Cillessen|4|2|'2-1|No|No|Goal</v>
      </c>
      <c r="P315" s="96" t="str">
        <f>IF(COUNTIF($G$32:O315,O315)&gt;1,"DOUBLON","OK")</f>
        <v>OK</v>
      </c>
      <c r="S315" s="30" t="str">
        <v>Croatia</v>
      </c>
      <c r="T315" s="30" t="str">
        <f t="shared" ref="T315:T378" si="34">IF(COUNTIF(R$21:R$250,S315)=1,"OK","ERREUR")</f>
        <v>OK</v>
      </c>
      <c r="U315" s="30" t="str">
        <f t="shared" si="30"/>
        <v>-</v>
      </c>
      <c r="V315" s="30" t="str" cm="1">
        <f t="array" ref="V315">_xlfn.IFS(
ISNUMBER(SEARCH("USA",S315)),"United States",
ISNUMBER(SEARCH("Republic of Korea",S315)),"South Korea",
ISNUMBER(SEARCH("Cape Verde",S315)),"Cabo Verde",
ISNUMBER(SEARCH("Czechia",S315)),"Czech Republic",
ISNUMBER(SEARCH("Türkiye",S315)),"Turkey",
ISNUMBER(SEARCH("Ivory Coast",S315)),"Côte d'Ivoire",
ISNUMBER(SEARCH("Korea Republic",S315)),"South Korea",
ISNUMBER(SEARCH("Germany FR",S315)),"FR Germany",
ISNUMBER(SEARCH("West Germany",S315)),"FR Germany",
ISNUMBER(SEARCH("Germany DR",S315)),"DR Germany",
ISNUMBER(SEARCH("Korea DPR",S315)),"North Korea",
ISNUMBER(SEARCH("China PR",S315)),"China",
ISNUMBER(SEARCH("IR Iran",S315)),"Iran",
ISNUMBER(SEARCH("Congo DR",S315)),"Democratic Republic of the Congo",
ISNUMBER(SEARCH("DR Congo",S315)),"Democratic Republic of the Congo",
ISNUMBER(SEARCH("German DR",S315)),"DR Germany",
ISNUMBER(SEARCH("rn""&gt;United Arab Emirates",S315)),"United Arab Emirates",
ISNUMBER(SEARCH("rn""&gt;Republic of Ireland",S315)),"Ireland",
ISNUMBER(SEARCH("rn""&gt;Bosnia and Herzegovina",S315)),"Bosnia and Herzegovina",
ISNUMBER(SEARCH("rn""&gt;Trinidad and Tobago",S315)),"Trinidad and Tobago",
ISNUMBER(SEARCH("rn""&gt;Serbia and Montenegro",S315)),"Serbia and Montenegro",
ISNUMBER(SEARCH(_xlfn.UNICHAR(65533),S315)),"Côte d'Ivoire",
TRUE,""
)</f>
        <v/>
      </c>
      <c r="W315" s="30" t="str">
        <f t="shared" si="31"/>
        <v>Croatia</v>
      </c>
      <c r="Z315" s="40" t="str">
        <v>Jose Amalfitani</v>
      </c>
      <c r="AA315" s="40" t="str" cm="1">
        <f t="array" ref="AA315">IFERROR(_xlfn.XLOOKUP(Z315,_xlfn.ANCHORARRAY(Z$31),AA$31:AA$37),Z315)</f>
        <v>Jose Amalfitani</v>
      </c>
      <c r="AB315" s="42" t="str">
        <v xml:space="preserve">Buenos Aires </v>
      </c>
      <c r="AC315" s="89" t="str">
        <f t="shared" si="33"/>
        <v xml:space="preserve">Buenos Aires </v>
      </c>
      <c r="AE315" s="42">
        <v>1974</v>
      </c>
      <c r="AK315" s="42">
        <v>0</v>
      </c>
      <c r="AL315" s="42">
        <v>0</v>
      </c>
      <c r="AV315" s="37" t="str">
        <v>QUARTER_FINALS</v>
      </c>
      <c r="AW315" s="89" t="str">
        <v>GROUP_STAGE</v>
      </c>
      <c r="BE315" s="43" t="str">
        <f>IF(OR(DATA_CLEANED!AL306="",DATA_CLEANED!AM306=""),"MANQUANT",IF(OR(NOT(ISNUMBER(DATA_CLEANED!AL306)),NOT(ISNUMBER(DATA_CLEANED!AM306))),"ENTREE INVALIDE",IF(OR(DATA_CLEANED!AL306&lt;0,DATA_CLEANED!AM306&lt;0),"SCORE NEGATIF","OK")))</f>
        <v>OK</v>
      </c>
      <c r="BF315" s="43" t="str">
        <f>IF(DATA_CLEANED!AK306&lt;&gt;DATA_CLEANED!AN306,"OK","ERREUR")</f>
        <v>OK</v>
      </c>
      <c r="BG315" s="43" t="str">
        <f>IF(DATA_CLEANED!AL306&gt;DATA_CLEANED!AM306,DATA_CLEANED!AK306,IF(AND(DATA_QUALITE!W4792="-",DATA_CLEANED!AM306=DATA_CLEANED!AL306),"MATCH NUL",IF(AND(DATA_QUALITE!V4792="-",DATA_QUALITE!U4792="AUCUNE"),DATA_QUALITE!T4792,IF(DATA_QUALITE!V4792&lt;&gt;"-",DATA_QUALITE!V4792,DATA_CLEANED!AN306))))</f>
        <v>Austria</v>
      </c>
      <c r="BH315" s="103" t="str">
        <f>IF(AND(BG315="MATCH NUL",DATA_CLEANED!AO306="-"),"MATCH_NUL",IF(ISNUMBER(SEARCH("win on penalties",W4792)),"WIN_BY_PENALTY",IF(ISNUMBER(SEARCH("win after extra time",W4792)),"WIN_BY_EXTRA_TIME",IF(ISNUMBER(SEARCH("Golden Goal",W4792)),"WIN_BY_GOLDEN_GOAL","WIN_BY_SCORE"))))</f>
        <v>WIN_BY_SCORE</v>
      </c>
      <c r="BI315" s="99" t="str">
        <f>IF(OR(BG315=DATA_CLEANED!AK306,BG315=DATA_CLEANED!AN306,BG315="MATCH NUL"),"OK","ERREUR")</f>
        <v>OK</v>
      </c>
    </row>
    <row r="316" spans="2:61">
      <c r="B316" s="74">
        <v>2014</v>
      </c>
      <c r="C316" s="30" t="str">
        <v>Semi-finals</v>
      </c>
      <c r="D316" s="30" t="str">
        <v>Netherlands</v>
      </c>
      <c r="E316" s="30" t="str">
        <v>Argentina</v>
      </c>
      <c r="F316" s="30" t="str">
        <v>Argentina</v>
      </c>
      <c r="G316" s="30" t="str">
        <v>Wesley Sneijder</v>
      </c>
      <c r="H316" s="30" t="str">
        <v>Sergio Romero</v>
      </c>
      <c r="I316" s="30">
        <v>5</v>
      </c>
      <c r="J316" s="30">
        <v>3</v>
      </c>
      <c r="K316" s="30" t="str">
        <v>'2-1</v>
      </c>
      <c r="L316" s="30" t="str">
        <v>No</v>
      </c>
      <c r="M316" s="30" t="str">
        <v>No</v>
      </c>
      <c r="N316" s="30" t="str">
        <v>Saved</v>
      </c>
      <c r="O316" s="30" t="str">
        <f t="shared" si="32"/>
        <v>2014|Semi-finals|Netherlands|Argentina|Argentina|Wesley Sneijder|Sergio Romero|5|3|'2-1|No|No|Saved</v>
      </c>
      <c r="P316" s="96" t="str">
        <f>IF(COUNTIF($G$32:O316,O316)&gt;1,"DOUBLON","OK")</f>
        <v>OK</v>
      </c>
      <c r="S316" s="30" t="str">
        <v>Croatia</v>
      </c>
      <c r="T316" s="30" t="str">
        <f t="shared" si="34"/>
        <v>OK</v>
      </c>
      <c r="U316" s="30" t="str">
        <f t="shared" si="30"/>
        <v>-</v>
      </c>
      <c r="V316" s="30" t="str" cm="1">
        <f t="array" ref="V316">_xlfn.IFS(
ISNUMBER(SEARCH("USA",S316)),"United States",
ISNUMBER(SEARCH("Republic of Korea",S316)),"South Korea",
ISNUMBER(SEARCH("Cape Verde",S316)),"Cabo Verde",
ISNUMBER(SEARCH("Czechia",S316)),"Czech Republic",
ISNUMBER(SEARCH("Türkiye",S316)),"Turkey",
ISNUMBER(SEARCH("Ivory Coast",S316)),"Côte d'Ivoire",
ISNUMBER(SEARCH("Korea Republic",S316)),"South Korea",
ISNUMBER(SEARCH("Germany FR",S316)),"FR Germany",
ISNUMBER(SEARCH("West Germany",S316)),"FR Germany",
ISNUMBER(SEARCH("Germany DR",S316)),"DR Germany",
ISNUMBER(SEARCH("Korea DPR",S316)),"North Korea",
ISNUMBER(SEARCH("China PR",S316)),"China",
ISNUMBER(SEARCH("IR Iran",S316)),"Iran",
ISNUMBER(SEARCH("Congo DR",S316)),"Democratic Republic of the Congo",
ISNUMBER(SEARCH("DR Congo",S316)),"Democratic Republic of the Congo",
ISNUMBER(SEARCH("German DR",S316)),"DR Germany",
ISNUMBER(SEARCH("rn""&gt;United Arab Emirates",S316)),"United Arab Emirates",
ISNUMBER(SEARCH("rn""&gt;Republic of Ireland",S316)),"Ireland",
ISNUMBER(SEARCH("rn""&gt;Bosnia and Herzegovina",S316)),"Bosnia and Herzegovina",
ISNUMBER(SEARCH("rn""&gt;Trinidad and Tobago",S316)),"Trinidad and Tobago",
ISNUMBER(SEARCH("rn""&gt;Serbia and Montenegro",S316)),"Serbia and Montenegro",
ISNUMBER(SEARCH(_xlfn.UNICHAR(65533),S316)),"Côte d'Ivoire",
TRUE,""
)</f>
        <v/>
      </c>
      <c r="W316" s="30" t="str">
        <f t="shared" si="31"/>
        <v>Croatia</v>
      </c>
      <c r="Z316" s="40" t="str">
        <v>Estadio Ol�mpico Chateau Carreras</v>
      </c>
      <c r="AA316" s="40" t="str" cm="1">
        <f t="array" ref="AA316">IFERROR(_xlfn.XLOOKUP(Z316,_xlfn.ANCHORARRAY(Z$31),AA$31:AA$37),Z316)</f>
        <v>Estadio Olímpico Chateau Carreras</v>
      </c>
      <c r="AB316" s="42" t="str">
        <v xml:space="preserve">Cordoba </v>
      </c>
      <c r="AC316" s="89" t="str">
        <f t="shared" si="33"/>
        <v xml:space="preserve">Cordoba </v>
      </c>
      <c r="AE316" s="42">
        <v>1974</v>
      </c>
      <c r="AK316" s="42">
        <v>1</v>
      </c>
      <c r="AL316" s="42">
        <v>0</v>
      </c>
      <c r="AV316" s="37" t="str">
        <v>QUARTER_FINALS</v>
      </c>
      <c r="AW316" s="89" t="str">
        <v>GROUP_STAGE</v>
      </c>
      <c r="BE316" s="43" t="str">
        <f>IF(OR(DATA_CLEANED!AL307="",DATA_CLEANED!AM307=""),"MANQUANT",IF(OR(NOT(ISNUMBER(DATA_CLEANED!AL307)),NOT(ISNUMBER(DATA_CLEANED!AM307))),"ENTREE INVALIDE",IF(OR(DATA_CLEANED!AL307&lt;0,DATA_CLEANED!AM307&lt;0),"SCORE NEGATIF","OK")))</f>
        <v>OK</v>
      </c>
      <c r="BF316" s="43" t="str">
        <f>IF(DATA_CLEANED!AK307&lt;&gt;DATA_CLEANED!AN307,"OK","ERREUR")</f>
        <v>OK</v>
      </c>
      <c r="BG316" s="43" t="str">
        <f>IF(DATA_CLEANED!AL307&gt;DATA_CLEANED!AM307,DATA_CLEANED!AK307,IF(AND(DATA_QUALITE!W4793="-",DATA_CLEANED!AM307=DATA_CLEANED!AL307),"MATCH NUL",IF(AND(DATA_QUALITE!V4793="-",DATA_QUALITE!U4793="AUCUNE"),DATA_QUALITE!T4793,IF(DATA_QUALITE!V4793&lt;&gt;"-",DATA_QUALITE!V4793,DATA_CLEANED!AN307))))</f>
        <v>Brazil</v>
      </c>
      <c r="BH316" s="103" t="str">
        <f>IF(AND(BG316="MATCH NUL",DATA_CLEANED!AO307="-"),"MATCH_NUL",IF(ISNUMBER(SEARCH("win on penalties",W4793)),"WIN_BY_PENALTY",IF(ISNUMBER(SEARCH("win after extra time",W4793)),"WIN_BY_EXTRA_TIME",IF(ISNUMBER(SEARCH("Golden Goal",W4793)),"WIN_BY_GOLDEN_GOAL","WIN_BY_SCORE"))))</f>
        <v>WIN_BY_SCORE</v>
      </c>
      <c r="BI316" s="99" t="str">
        <f>IF(OR(BG316=DATA_CLEANED!AK307,BG316=DATA_CLEANED!AN307,BG316="MATCH NUL"),"OK","ERREUR")</f>
        <v>OK</v>
      </c>
    </row>
    <row r="317" spans="2:61">
      <c r="B317" s="74">
        <v>2014</v>
      </c>
      <c r="C317" s="30" t="str">
        <v>Semi-finals</v>
      </c>
      <c r="D317" s="30" t="str">
        <v>Netherlands</v>
      </c>
      <c r="E317" s="30" t="str">
        <v>Argentina</v>
      </c>
      <c r="F317" s="30" t="str">
        <v>Netherlands</v>
      </c>
      <c r="G317" s="30" t="str">
        <v>Sergio Agüero</v>
      </c>
      <c r="H317" s="30" t="str">
        <v>Jasper Cillessen</v>
      </c>
      <c r="I317" s="30">
        <v>6</v>
      </c>
      <c r="J317" s="30">
        <v>3</v>
      </c>
      <c r="K317" s="30" t="str">
        <v>'3-1</v>
      </c>
      <c r="L317" s="30" t="str">
        <v>No</v>
      </c>
      <c r="M317" s="30" t="str">
        <v>No</v>
      </c>
      <c r="N317" s="30" t="str">
        <v>Goal</v>
      </c>
      <c r="O317" s="30" t="str">
        <f t="shared" si="32"/>
        <v>2014|Semi-finals|Netherlands|Argentina|Netherlands|Sergio Agüero|Jasper Cillessen|6|3|'3-1|No|No|Goal</v>
      </c>
      <c r="P317" s="96" t="str">
        <f>IF(COUNTIF($G$32:O317,O317)&gt;1,"DOUBLON","OK")</f>
        <v>OK</v>
      </c>
      <c r="S317" s="30" t="str">
        <v>Croatia</v>
      </c>
      <c r="T317" s="30" t="str">
        <f t="shared" si="34"/>
        <v>OK</v>
      </c>
      <c r="U317" s="30" t="str">
        <f t="shared" si="30"/>
        <v>-</v>
      </c>
      <c r="V317" s="30" t="str" cm="1">
        <f t="array" ref="V317">_xlfn.IFS(
ISNUMBER(SEARCH("USA",S317)),"United States",
ISNUMBER(SEARCH("Republic of Korea",S317)),"South Korea",
ISNUMBER(SEARCH("Cape Verde",S317)),"Cabo Verde",
ISNUMBER(SEARCH("Czechia",S317)),"Czech Republic",
ISNUMBER(SEARCH("Türkiye",S317)),"Turkey",
ISNUMBER(SEARCH("Ivory Coast",S317)),"Côte d'Ivoire",
ISNUMBER(SEARCH("Korea Republic",S317)),"South Korea",
ISNUMBER(SEARCH("Germany FR",S317)),"FR Germany",
ISNUMBER(SEARCH("West Germany",S317)),"FR Germany",
ISNUMBER(SEARCH("Germany DR",S317)),"DR Germany",
ISNUMBER(SEARCH("Korea DPR",S317)),"North Korea",
ISNUMBER(SEARCH("China PR",S317)),"China",
ISNUMBER(SEARCH("IR Iran",S317)),"Iran",
ISNUMBER(SEARCH("Congo DR",S317)),"Democratic Republic of the Congo",
ISNUMBER(SEARCH("DR Congo",S317)),"Democratic Republic of the Congo",
ISNUMBER(SEARCH("German DR",S317)),"DR Germany",
ISNUMBER(SEARCH("rn""&gt;United Arab Emirates",S317)),"United Arab Emirates",
ISNUMBER(SEARCH("rn""&gt;Republic of Ireland",S317)),"Ireland",
ISNUMBER(SEARCH("rn""&gt;Bosnia and Herzegovina",S317)),"Bosnia and Herzegovina",
ISNUMBER(SEARCH("rn""&gt;Trinidad and Tobago",S317)),"Trinidad and Tobago",
ISNUMBER(SEARCH("rn""&gt;Serbia and Montenegro",S317)),"Serbia and Montenegro",
ISNUMBER(SEARCH(_xlfn.UNICHAR(65533),S317)),"Côte d'Ivoire",
TRUE,""
)</f>
        <v/>
      </c>
      <c r="W317" s="30" t="str">
        <f t="shared" si="31"/>
        <v>Croatia</v>
      </c>
      <c r="Z317" s="40" t="str">
        <v>San Martin</v>
      </c>
      <c r="AA317" s="40" t="str" cm="1">
        <f t="array" ref="AA317">IFERROR(_xlfn.XLOOKUP(Z317,_xlfn.ANCHORARRAY(Z$31),AA$31:AA$37),Z317)</f>
        <v>San Martin</v>
      </c>
      <c r="AB317" s="42" t="str">
        <v xml:space="preserve">Mendoza </v>
      </c>
      <c r="AC317" s="89" t="str">
        <f t="shared" si="33"/>
        <v xml:space="preserve">Mendoza </v>
      </c>
      <c r="AE317" s="42">
        <v>1974</v>
      </c>
      <c r="AK317" s="42">
        <v>2</v>
      </c>
      <c r="AL317" s="42">
        <v>0</v>
      </c>
      <c r="AV317" s="37" t="str">
        <v>QUARTER_FINALS</v>
      </c>
      <c r="AW317" s="89" t="str">
        <v>GROUP_STAGE</v>
      </c>
      <c r="BE317" s="43" t="str">
        <f>IF(OR(DATA_CLEANED!AL308="",DATA_CLEANED!AM308=""),"MANQUANT",IF(OR(NOT(ISNUMBER(DATA_CLEANED!AL308)),NOT(ISNUMBER(DATA_CLEANED!AM308))),"ENTREE INVALIDE",IF(OR(DATA_CLEANED!AL308&lt;0,DATA_CLEANED!AM308&lt;0),"SCORE NEGATIF","OK")))</f>
        <v>OK</v>
      </c>
      <c r="BF317" s="43" t="str">
        <f>IF(DATA_CLEANED!AK308&lt;&gt;DATA_CLEANED!AN308,"OK","ERREUR")</f>
        <v>OK</v>
      </c>
      <c r="BG317" s="43" t="str">
        <f>IF(DATA_CLEANED!AL308&gt;DATA_CLEANED!AM308,DATA_CLEANED!AK308,IF(AND(DATA_QUALITE!W4794="-",DATA_CLEANED!AM308=DATA_CLEANED!AL308),"MATCH NUL",IF(AND(DATA_QUALITE!V4794="-",DATA_QUALITE!U4794="AUCUNE"),DATA_QUALITE!T4794,IF(DATA_QUALITE!V4794&lt;&gt;"-",DATA_QUALITE!V4794,DATA_CLEANED!AN308))))</f>
        <v>Argentina</v>
      </c>
      <c r="BH317" s="103" t="str">
        <f>IF(AND(BG317="MATCH NUL",DATA_CLEANED!AO308="-"),"MATCH_NUL",IF(ISNUMBER(SEARCH("win on penalties",W4794)),"WIN_BY_PENALTY",IF(ISNUMBER(SEARCH("win after extra time",W4794)),"WIN_BY_EXTRA_TIME",IF(ISNUMBER(SEARCH("Golden Goal",W4794)),"WIN_BY_GOLDEN_GOAL","WIN_BY_SCORE"))))</f>
        <v>WIN_BY_SCORE</v>
      </c>
      <c r="BI317" s="99" t="str">
        <f>IF(OR(BG317=DATA_CLEANED!AK308,BG317=DATA_CLEANED!AN308,BG317="MATCH NUL"),"OK","ERREUR")</f>
        <v>OK</v>
      </c>
    </row>
    <row r="318" spans="2:61">
      <c r="B318" s="74">
        <v>2014</v>
      </c>
      <c r="C318" s="30" t="str">
        <v>Semi-finals</v>
      </c>
      <c r="D318" s="30" t="str">
        <v>Netherlands</v>
      </c>
      <c r="E318" s="30" t="str">
        <v>Argentina</v>
      </c>
      <c r="F318" s="30" t="str">
        <v>Argentina</v>
      </c>
      <c r="G318" s="30" t="str">
        <v>Dirk Kuyt</v>
      </c>
      <c r="H318" s="30" t="str">
        <v>Sergio Romero</v>
      </c>
      <c r="I318" s="30">
        <v>7</v>
      </c>
      <c r="J318" s="30">
        <v>4</v>
      </c>
      <c r="K318" s="30" t="str">
        <v>'3-2</v>
      </c>
      <c r="L318" s="30" t="str">
        <v>No</v>
      </c>
      <c r="M318" s="30" t="str">
        <v>No</v>
      </c>
      <c r="N318" s="30" t="str">
        <v>Goal</v>
      </c>
      <c r="O318" s="30" t="str">
        <f t="shared" si="32"/>
        <v>2014|Semi-finals|Netherlands|Argentina|Argentina|Dirk Kuyt|Sergio Romero|7|4|'3-2|No|No|Goal</v>
      </c>
      <c r="P318" s="96" t="str">
        <f>IF(COUNTIF($G$32:O318,O318)&gt;1,"DOUBLON","OK")</f>
        <v>OK</v>
      </c>
      <c r="S318" s="30" t="str">
        <v>Croatia</v>
      </c>
      <c r="T318" s="30" t="str">
        <f t="shared" si="34"/>
        <v>OK</v>
      </c>
      <c r="U318" s="30" t="str">
        <f t="shared" si="30"/>
        <v>-</v>
      </c>
      <c r="V318" s="30" t="str" cm="1">
        <f t="array" ref="V318">_xlfn.IFS(
ISNUMBER(SEARCH("USA",S318)),"United States",
ISNUMBER(SEARCH("Republic of Korea",S318)),"South Korea",
ISNUMBER(SEARCH("Cape Verde",S318)),"Cabo Verde",
ISNUMBER(SEARCH("Czechia",S318)),"Czech Republic",
ISNUMBER(SEARCH("Türkiye",S318)),"Turkey",
ISNUMBER(SEARCH("Ivory Coast",S318)),"Côte d'Ivoire",
ISNUMBER(SEARCH("Korea Republic",S318)),"South Korea",
ISNUMBER(SEARCH("Germany FR",S318)),"FR Germany",
ISNUMBER(SEARCH("West Germany",S318)),"FR Germany",
ISNUMBER(SEARCH("Germany DR",S318)),"DR Germany",
ISNUMBER(SEARCH("Korea DPR",S318)),"North Korea",
ISNUMBER(SEARCH("China PR",S318)),"China",
ISNUMBER(SEARCH("IR Iran",S318)),"Iran",
ISNUMBER(SEARCH("Congo DR",S318)),"Democratic Republic of the Congo",
ISNUMBER(SEARCH("DR Congo",S318)),"Democratic Republic of the Congo",
ISNUMBER(SEARCH("German DR",S318)),"DR Germany",
ISNUMBER(SEARCH("rn""&gt;United Arab Emirates",S318)),"United Arab Emirates",
ISNUMBER(SEARCH("rn""&gt;Republic of Ireland",S318)),"Ireland",
ISNUMBER(SEARCH("rn""&gt;Bosnia and Herzegovina",S318)),"Bosnia and Herzegovina",
ISNUMBER(SEARCH("rn""&gt;Trinidad and Tobago",S318)),"Trinidad and Tobago",
ISNUMBER(SEARCH("rn""&gt;Serbia and Montenegro",S318)),"Serbia and Montenegro",
ISNUMBER(SEARCH(_xlfn.UNICHAR(65533),S318)),"Côte d'Ivoire",
TRUE,""
)</f>
        <v/>
      </c>
      <c r="W318" s="30" t="str">
        <f t="shared" si="31"/>
        <v>Croatia</v>
      </c>
      <c r="Z318" s="40" t="str">
        <v>Estadio Jos� Mar�a Minella</v>
      </c>
      <c r="AA318" s="40" t="str" cm="1">
        <f t="array" ref="AA318">IFERROR(_xlfn.XLOOKUP(Z318,_xlfn.ANCHORARRAY(Z$31),AA$31:AA$37),Z318)</f>
        <v>Estadio José María Minella</v>
      </c>
      <c r="AB318" s="42" t="str">
        <v xml:space="preserve">Mar Del Plata </v>
      </c>
      <c r="AC318" s="89" t="str">
        <f t="shared" si="33"/>
        <v xml:space="preserve">Mar Del Plata </v>
      </c>
      <c r="AE318" s="42">
        <v>1974</v>
      </c>
      <c r="AK318" s="42">
        <v>0</v>
      </c>
      <c r="AL318" s="42">
        <v>2</v>
      </c>
      <c r="AV318" s="37" t="str">
        <v>QUARTER_FINALS</v>
      </c>
      <c r="AW318" s="89" t="str">
        <v>THIRD_PLACE</v>
      </c>
      <c r="BE318" s="43" t="str">
        <f>IF(OR(DATA_CLEANED!AL309="",DATA_CLEANED!AM309=""),"MANQUANT",IF(OR(NOT(ISNUMBER(DATA_CLEANED!AL309)),NOT(ISNUMBER(DATA_CLEANED!AM309))),"ENTREE INVALIDE",IF(OR(DATA_CLEANED!AL309&lt;0,DATA_CLEANED!AM309&lt;0),"SCORE NEGATIF","OK")))</f>
        <v>OK</v>
      </c>
      <c r="BF318" s="43" t="str">
        <f>IF(DATA_CLEANED!AK309&lt;&gt;DATA_CLEANED!AN309,"OK","ERREUR")</f>
        <v>OK</v>
      </c>
      <c r="BG318" s="43" t="str">
        <f>IF(DATA_CLEANED!AL309&gt;DATA_CLEANED!AM309,DATA_CLEANED!AK309,IF(AND(DATA_QUALITE!W4795="-",DATA_CLEANED!AM309=DATA_CLEANED!AL309),"MATCH NUL",IF(AND(DATA_QUALITE!V4795="-",DATA_QUALITE!U4795="AUCUNE"),DATA_QUALITE!T4795,IF(DATA_QUALITE!V4795&lt;&gt;"-",DATA_QUALITE!V4795,DATA_CLEANED!AN309))))</f>
        <v>Brazil</v>
      </c>
      <c r="BH318" s="103" t="str">
        <f>IF(AND(BG318="MATCH NUL",DATA_CLEANED!AO309="-"),"MATCH_NUL",IF(ISNUMBER(SEARCH("win on penalties",W4795)),"WIN_BY_PENALTY",IF(ISNUMBER(SEARCH("win after extra time",W4795)),"WIN_BY_EXTRA_TIME",IF(ISNUMBER(SEARCH("Golden Goal",W4795)),"WIN_BY_GOLDEN_GOAL","WIN_BY_SCORE"))))</f>
        <v>WIN_BY_SCORE</v>
      </c>
      <c r="BI318" s="99" t="str">
        <f>IF(OR(BG318=DATA_CLEANED!AK309,BG318=DATA_CLEANED!AN309,BG318="MATCH NUL"),"OK","ERREUR")</f>
        <v>OK</v>
      </c>
    </row>
    <row r="319" spans="2:61">
      <c r="B319" s="74">
        <v>2014</v>
      </c>
      <c r="C319" s="30" t="str">
        <v>Semi-finals</v>
      </c>
      <c r="D319" s="30" t="str">
        <v>Netherlands</v>
      </c>
      <c r="E319" s="30" t="str">
        <v>Argentina</v>
      </c>
      <c r="F319" s="30" t="str">
        <v>Netherlands</v>
      </c>
      <c r="G319" s="30" t="str">
        <v>Maxi Rodríguez</v>
      </c>
      <c r="H319" s="30" t="str">
        <v>Jasper Cillessen</v>
      </c>
      <c r="I319" s="30">
        <v>8</v>
      </c>
      <c r="J319" s="30">
        <v>4</v>
      </c>
      <c r="K319" s="30" t="str">
        <v>'3-2</v>
      </c>
      <c r="L319" s="30" t="str">
        <v>No</v>
      </c>
      <c r="M319" s="30" t="str">
        <v>Yes</v>
      </c>
      <c r="N319" s="30" t="str">
        <v>Goal</v>
      </c>
      <c r="O319" s="30" t="str">
        <f t="shared" si="32"/>
        <v>2014|Semi-finals|Netherlands|Argentina|Netherlands|Maxi Rodríguez|Jasper Cillessen|8|4|'3-2|No|Yes|Goal</v>
      </c>
      <c r="P319" s="96" t="str">
        <f>IF(COUNTIF($G$32:O319,O319)&gt;1,"DOUBLON","OK")</f>
        <v>OK</v>
      </c>
      <c r="S319" s="30" t="str">
        <v>Croatia</v>
      </c>
      <c r="T319" s="30" t="str">
        <f t="shared" si="34"/>
        <v>OK</v>
      </c>
      <c r="U319" s="30" t="str">
        <f t="shared" si="30"/>
        <v>-</v>
      </c>
      <c r="V319" s="30" t="str" cm="1">
        <f t="array" ref="V319">_xlfn.IFS(
ISNUMBER(SEARCH("USA",S319)),"United States",
ISNUMBER(SEARCH("Republic of Korea",S319)),"South Korea",
ISNUMBER(SEARCH("Cape Verde",S319)),"Cabo Verde",
ISNUMBER(SEARCH("Czechia",S319)),"Czech Republic",
ISNUMBER(SEARCH("Türkiye",S319)),"Turkey",
ISNUMBER(SEARCH("Ivory Coast",S319)),"Côte d'Ivoire",
ISNUMBER(SEARCH("Korea Republic",S319)),"South Korea",
ISNUMBER(SEARCH("Germany FR",S319)),"FR Germany",
ISNUMBER(SEARCH("West Germany",S319)),"FR Germany",
ISNUMBER(SEARCH("Germany DR",S319)),"DR Germany",
ISNUMBER(SEARCH("Korea DPR",S319)),"North Korea",
ISNUMBER(SEARCH("China PR",S319)),"China",
ISNUMBER(SEARCH("IR Iran",S319)),"Iran",
ISNUMBER(SEARCH("Congo DR",S319)),"Democratic Republic of the Congo",
ISNUMBER(SEARCH("DR Congo",S319)),"Democratic Republic of the Congo",
ISNUMBER(SEARCH("German DR",S319)),"DR Germany",
ISNUMBER(SEARCH("rn""&gt;United Arab Emirates",S319)),"United Arab Emirates",
ISNUMBER(SEARCH("rn""&gt;Republic of Ireland",S319)),"Ireland",
ISNUMBER(SEARCH("rn""&gt;Bosnia and Herzegovina",S319)),"Bosnia and Herzegovina",
ISNUMBER(SEARCH("rn""&gt;Trinidad and Tobago",S319)),"Trinidad and Tobago",
ISNUMBER(SEARCH("rn""&gt;Serbia and Montenegro",S319)),"Serbia and Montenegro",
ISNUMBER(SEARCH(_xlfn.UNICHAR(65533),S319)),"Côte d'Ivoire",
TRUE,""
)</f>
        <v/>
      </c>
      <c r="W319" s="30" t="str">
        <f t="shared" si="31"/>
        <v>Croatia</v>
      </c>
      <c r="Z319" s="40" t="str">
        <v>Arroyito - Estadio Dr. Lisandro de la Torre</v>
      </c>
      <c r="AA319" s="40" t="str" cm="1">
        <f t="array" ref="AA319">IFERROR(_xlfn.XLOOKUP(Z319,_xlfn.ANCHORARRAY(Z$31),AA$31:AA$37),Z319)</f>
        <v>Arroyito - Estadio Dr. Lisandro de la Torre</v>
      </c>
      <c r="AB319" s="42" t="str">
        <v xml:space="preserve">Rosario </v>
      </c>
      <c r="AC319" s="89" t="str">
        <f t="shared" si="33"/>
        <v xml:space="preserve">Rosario </v>
      </c>
      <c r="AE319" s="42">
        <v>1974</v>
      </c>
      <c r="AK319" s="42">
        <v>0</v>
      </c>
      <c r="AL319" s="42">
        <v>2</v>
      </c>
      <c r="AV319" s="37" t="str">
        <v>QUARTER_FINALS</v>
      </c>
      <c r="AW319" s="89" t="str">
        <v>FINAL</v>
      </c>
      <c r="BE319" s="43" t="str">
        <f>IF(OR(DATA_CLEANED!AL310="",DATA_CLEANED!AM310=""),"MANQUANT",IF(OR(NOT(ISNUMBER(DATA_CLEANED!AL310)),NOT(ISNUMBER(DATA_CLEANED!AM310))),"ENTREE INVALIDE",IF(OR(DATA_CLEANED!AL310&lt;0,DATA_CLEANED!AM310&lt;0),"SCORE NEGATIF","OK")))</f>
        <v>OK</v>
      </c>
      <c r="BF319" s="43" t="str">
        <f>IF(DATA_CLEANED!AK310&lt;&gt;DATA_CLEANED!AN310,"OK","ERREUR")</f>
        <v>OK</v>
      </c>
      <c r="BG319" s="43" t="str">
        <f>IF(DATA_CLEANED!AL310&gt;DATA_CLEANED!AM310,DATA_CLEANED!AK310,IF(AND(DATA_QUALITE!W4796="-",DATA_CLEANED!AM310=DATA_CLEANED!AL310),"MATCH NUL",IF(AND(DATA_QUALITE!V4796="-",DATA_QUALITE!U4796="AUCUNE"),DATA_QUALITE!T4796,IF(DATA_QUALITE!V4796&lt;&gt;"-",DATA_QUALITE!V4796,DATA_CLEANED!AN310))))</f>
        <v>Argentina</v>
      </c>
      <c r="BH319" s="103" t="str">
        <f>IF(AND(BG319="MATCH NUL",DATA_CLEANED!AO310="-"),"MATCH_NUL",IF(ISNUMBER(SEARCH("win on penalties",W4796)),"WIN_BY_PENALTY",IF(ISNUMBER(SEARCH("win after extra time",W4796)),"WIN_BY_EXTRA_TIME",IF(ISNUMBER(SEARCH("Golden Goal",W4796)),"WIN_BY_GOLDEN_GOAL","WIN_BY_SCORE"))))</f>
        <v>WIN_BY_EXTRA_TIME</v>
      </c>
      <c r="BI319" s="99" t="str">
        <f>IF(OR(BG319=DATA_CLEANED!AK310,BG319=DATA_CLEANED!AN310,BG319="MATCH NUL"),"OK","ERREUR")</f>
        <v>OK</v>
      </c>
    </row>
    <row r="320" spans="2:61">
      <c r="B320" s="74">
        <v>2018</v>
      </c>
      <c r="C320" s="30" t="str">
        <v>Round of 16</v>
      </c>
      <c r="D320" s="30" t="str">
        <v>Colombia</v>
      </c>
      <c r="E320" s="30" t="str">
        <v>England</v>
      </c>
      <c r="F320" s="30" t="str">
        <v>Colombia</v>
      </c>
      <c r="G320" s="30" t="str">
        <v>Radamel Falcao</v>
      </c>
      <c r="H320" s="30" t="str">
        <v>Jordan Pickford</v>
      </c>
      <c r="I320" s="30">
        <v>1</v>
      </c>
      <c r="J320" s="30">
        <v>1</v>
      </c>
      <c r="K320" s="30" t="str">
        <v>'0-0</v>
      </c>
      <c r="L320" s="30" t="str">
        <v>No</v>
      </c>
      <c r="M320" s="30" t="str">
        <v>No</v>
      </c>
      <c r="N320" s="30" t="str">
        <v>Goal</v>
      </c>
      <c r="O320" s="30" t="str">
        <f t="shared" si="32"/>
        <v>2018|Round of 16|Colombia|England|Colombia|Radamel Falcao|Jordan Pickford|1|1|'0-0|No|No|Goal</v>
      </c>
      <c r="P320" s="96" t="str">
        <f>IF(COUNTIF($G$32:O320,O320)&gt;1,"DOUBLON","OK")</f>
        <v>OK</v>
      </c>
      <c r="S320" s="30" t="str">
        <v>Spain</v>
      </c>
      <c r="T320" s="30" t="str">
        <f t="shared" si="34"/>
        <v>OK</v>
      </c>
      <c r="U320" s="30" t="str">
        <f t="shared" ref="U320:U383" si="35">IF(OR(S320="Scotland",S320="England",S320="Wales",S320="Yugoslavia",S320="Czechoslovakia",S320="Northern Ireland",S320="Soviet Union",S320="Zaire",S320="Dutch East Indies"),"AUCUNE",IF(OR(S320="Cape Verde",S320="USA",S320="DR Congo",S320="Republic of Korea",S320="Germany FR",S320="Germany DR",S320="Czechia",S320="Ivory Coast",S320="Korea DPR",S320="China PR",S320="IR Iran",S320="Türkiye",S320="Congo DR",S320="German DR",S320="West Germany",S320="Republic of Ireland",ISNUMBER(SEARCH("rn""&gt;United Arab Emirates",S320)),ISNUMBER(SEARCH("rn""&gt;Republic of Ireland",S320)),ISNUMBER(SEARCH("rn""&gt;Bosnia and Herzegovina",S320)),ISNUMBER(SEARCH("rn""&gt;Trinidad and Tobago",S320)),ISNUMBER(SEARCH("rn""&gt;Serbia and Montenegro",S320)),ISNUMBER(SEARCH(_xlfn.UNICHAR(65533),S320))),"RENOMMER","-"))</f>
        <v>-</v>
      </c>
      <c r="V320" s="30" t="str" cm="1">
        <f t="array" ref="V320">_xlfn.IFS(
ISNUMBER(SEARCH("USA",S320)),"United States",
ISNUMBER(SEARCH("Republic of Korea",S320)),"South Korea",
ISNUMBER(SEARCH("Cape Verde",S320)),"Cabo Verde",
ISNUMBER(SEARCH("Czechia",S320)),"Czech Republic",
ISNUMBER(SEARCH("Türkiye",S320)),"Turkey",
ISNUMBER(SEARCH("Ivory Coast",S320)),"Côte d'Ivoire",
ISNUMBER(SEARCH("Korea Republic",S320)),"South Korea",
ISNUMBER(SEARCH("Germany FR",S320)),"FR Germany",
ISNUMBER(SEARCH("West Germany",S320)),"FR Germany",
ISNUMBER(SEARCH("Germany DR",S320)),"DR Germany",
ISNUMBER(SEARCH("Korea DPR",S320)),"North Korea",
ISNUMBER(SEARCH("China PR",S320)),"China",
ISNUMBER(SEARCH("IR Iran",S320)),"Iran",
ISNUMBER(SEARCH("Congo DR",S320)),"Democratic Republic of the Congo",
ISNUMBER(SEARCH("DR Congo",S320)),"Democratic Republic of the Congo",
ISNUMBER(SEARCH("German DR",S320)),"DR Germany",
ISNUMBER(SEARCH("rn""&gt;United Arab Emirates",S320)),"United Arab Emirates",
ISNUMBER(SEARCH("rn""&gt;Republic of Ireland",S320)),"Ireland",
ISNUMBER(SEARCH("rn""&gt;Bosnia and Herzegovina",S320)),"Bosnia and Herzegovina",
ISNUMBER(SEARCH("rn""&gt;Trinidad and Tobago",S320)),"Trinidad and Tobago",
ISNUMBER(SEARCH("rn""&gt;Serbia and Montenegro",S320)),"Serbia and Montenegro",
ISNUMBER(SEARCH(_xlfn.UNICHAR(65533),S320)),"Côte d'Ivoire",
TRUE,""
)</f>
        <v/>
      </c>
      <c r="W320" s="30" t="str">
        <f t="shared" si="31"/>
        <v>Spain</v>
      </c>
      <c r="Z320" s="40" t="str">
        <v>Estadio Ol�mpico Chateau Carreras</v>
      </c>
      <c r="AA320" s="40" t="str" cm="1">
        <f t="array" ref="AA320">IFERROR(_xlfn.XLOOKUP(Z320,_xlfn.ANCHORARRAY(Z$31),AA$31:AA$37),Z320)</f>
        <v>Estadio Olímpico Chateau Carreras</v>
      </c>
      <c r="AB320" s="42" t="str">
        <v xml:space="preserve">Cordoba </v>
      </c>
      <c r="AC320" s="89" t="str">
        <f t="shared" si="33"/>
        <v xml:space="preserve">Cordoba </v>
      </c>
      <c r="AE320" s="42">
        <v>1974</v>
      </c>
      <c r="AK320" s="42">
        <v>0</v>
      </c>
      <c r="AL320" s="42">
        <v>0</v>
      </c>
      <c r="AV320" s="37" t="str">
        <v>FINAL</v>
      </c>
      <c r="AW320" s="89" t="str">
        <v>GROUP_STAGE</v>
      </c>
      <c r="BE320" s="43" t="str">
        <f>IF(OR(DATA_CLEANED!AL311="",DATA_CLEANED!AM311=""),"MANQUANT",IF(OR(NOT(ISNUMBER(DATA_CLEANED!AL311)),NOT(ISNUMBER(DATA_CLEANED!AM311))),"ENTREE INVALIDE",IF(OR(DATA_CLEANED!AL311&lt;0,DATA_CLEANED!AM311&lt;0),"SCORE NEGATIF","OK")))</f>
        <v>OK</v>
      </c>
      <c r="BF320" s="43" t="str">
        <f>IF(DATA_CLEANED!AK311&lt;&gt;DATA_CLEANED!AN311,"OK","ERREUR")</f>
        <v>OK</v>
      </c>
      <c r="BG320" s="43" t="str">
        <f>IF(DATA_CLEANED!AL311&gt;DATA_CLEANED!AM311,DATA_CLEANED!AK311,IF(AND(DATA_QUALITE!W4797="-",DATA_CLEANED!AM311=DATA_CLEANED!AL311),"MATCH NUL",IF(AND(DATA_QUALITE!V4797="-",DATA_QUALITE!U4797="AUCUNE"),DATA_QUALITE!T4797,IF(DATA_QUALITE!V4797&lt;&gt;"-",DATA_QUALITE!V4797,DATA_CLEANED!AN311))))</f>
        <v>Belgium</v>
      </c>
      <c r="BH320" s="103" t="str">
        <f>IF(AND(BG320="MATCH NUL",DATA_CLEANED!AO311="-"),"MATCH_NUL",IF(ISNUMBER(SEARCH("win on penalties",W4797)),"WIN_BY_PENALTY",IF(ISNUMBER(SEARCH("win after extra time",W4797)),"WIN_BY_EXTRA_TIME",IF(ISNUMBER(SEARCH("Golden Goal",W4797)),"WIN_BY_GOLDEN_GOAL","WIN_BY_SCORE"))))</f>
        <v>WIN_BY_SCORE</v>
      </c>
      <c r="BI320" s="99" t="str">
        <f>IF(OR(BG320=DATA_CLEANED!AK311,BG320=DATA_CLEANED!AN311,BG320="MATCH NUL"),"OK","ERREUR")</f>
        <v>OK</v>
      </c>
    </row>
    <row r="321" spans="2:61">
      <c r="B321" s="74">
        <v>2018</v>
      </c>
      <c r="C321" s="30" t="str">
        <v>Round of 16</v>
      </c>
      <c r="D321" s="30" t="str">
        <v>Colombia</v>
      </c>
      <c r="E321" s="30" t="str">
        <v>England</v>
      </c>
      <c r="F321" s="30" t="str">
        <v>England</v>
      </c>
      <c r="G321" s="30" t="str">
        <v>Harry Kane</v>
      </c>
      <c r="H321" s="30" t="str">
        <v>David Ospina</v>
      </c>
      <c r="I321" s="30">
        <v>2</v>
      </c>
      <c r="J321" s="30">
        <v>1</v>
      </c>
      <c r="K321" s="30" t="str">
        <v>'1-0</v>
      </c>
      <c r="L321" s="30" t="str">
        <v>No</v>
      </c>
      <c r="M321" s="30" t="str">
        <v>No</v>
      </c>
      <c r="N321" s="30" t="str">
        <v>Goal</v>
      </c>
      <c r="O321" s="30" t="str">
        <f t="shared" si="32"/>
        <v>2018|Round of 16|Colombia|England|England|Harry Kane|David Ospina|2|1|'1-0|No|No|Goal</v>
      </c>
      <c r="P321" s="96" t="str">
        <f>IF(COUNTIF($G$32:O321,O321)&gt;1,"DOUBLON","OK")</f>
        <v>OK</v>
      </c>
      <c r="S321" s="30" t="str">
        <v>Spain</v>
      </c>
      <c r="T321" s="30" t="str">
        <f t="shared" si="34"/>
        <v>OK</v>
      </c>
      <c r="U321" s="30" t="str">
        <f t="shared" si="35"/>
        <v>-</v>
      </c>
      <c r="V321" s="30" t="str" cm="1">
        <f t="array" ref="V321">_xlfn.IFS(
ISNUMBER(SEARCH("USA",S321)),"United States",
ISNUMBER(SEARCH("Republic of Korea",S321)),"South Korea",
ISNUMBER(SEARCH("Cape Verde",S321)),"Cabo Verde",
ISNUMBER(SEARCH("Czechia",S321)),"Czech Republic",
ISNUMBER(SEARCH("Türkiye",S321)),"Turkey",
ISNUMBER(SEARCH("Ivory Coast",S321)),"Côte d'Ivoire",
ISNUMBER(SEARCH("Korea Republic",S321)),"South Korea",
ISNUMBER(SEARCH("Germany FR",S321)),"FR Germany",
ISNUMBER(SEARCH("West Germany",S321)),"FR Germany",
ISNUMBER(SEARCH("Germany DR",S321)),"DR Germany",
ISNUMBER(SEARCH("Korea DPR",S321)),"North Korea",
ISNUMBER(SEARCH("China PR",S321)),"China",
ISNUMBER(SEARCH("IR Iran",S321)),"Iran",
ISNUMBER(SEARCH("Congo DR",S321)),"Democratic Republic of the Congo",
ISNUMBER(SEARCH("DR Congo",S321)),"Democratic Republic of the Congo",
ISNUMBER(SEARCH("German DR",S321)),"DR Germany",
ISNUMBER(SEARCH("rn""&gt;United Arab Emirates",S321)),"United Arab Emirates",
ISNUMBER(SEARCH("rn""&gt;Republic of Ireland",S321)),"Ireland",
ISNUMBER(SEARCH("rn""&gt;Bosnia and Herzegovina",S321)),"Bosnia and Herzegovina",
ISNUMBER(SEARCH("rn""&gt;Trinidad and Tobago",S321)),"Trinidad and Tobago",
ISNUMBER(SEARCH("rn""&gt;Serbia and Montenegro",S321)),"Serbia and Montenegro",
ISNUMBER(SEARCH(_xlfn.UNICHAR(65533),S321)),"Côte d'Ivoire",
TRUE,""
)</f>
        <v/>
      </c>
      <c r="W321" s="30" t="str">
        <f t="shared" si="31"/>
        <v>Spain</v>
      </c>
      <c r="Z321" s="40" t="str">
        <v>El Monumental - Estadio Monumental Antonio Vespuci</v>
      </c>
      <c r="AA321" s="40" t="str" cm="1">
        <f t="array" ref="AA321">IFERROR(_xlfn.XLOOKUP(Z321,_xlfn.ANCHORARRAY(Z$31),AA$31:AA$37),Z321)</f>
        <v>El Monumental - Estadio Monumental Antonio Vespuci</v>
      </c>
      <c r="AB321" s="42" t="str">
        <v xml:space="preserve">Buenos Aires </v>
      </c>
      <c r="AC321" s="89" t="str">
        <f t="shared" si="33"/>
        <v xml:space="preserve">Buenos Aires </v>
      </c>
      <c r="AE321" s="42">
        <v>1974</v>
      </c>
      <c r="AK321" s="42">
        <v>3</v>
      </c>
      <c r="AL321" s="42">
        <v>1</v>
      </c>
      <c r="AV321" s="37" t="str">
        <v>FINAL</v>
      </c>
      <c r="AW321" s="89" t="str">
        <v>GROUP_STAGE</v>
      </c>
      <c r="BE321" s="43" t="str">
        <f>IF(OR(DATA_CLEANED!AL312="",DATA_CLEANED!AM312=""),"MANQUANT",IF(OR(NOT(ISNUMBER(DATA_CLEANED!AL312)),NOT(ISNUMBER(DATA_CLEANED!AM312))),"ENTREE INVALIDE",IF(OR(DATA_CLEANED!AL312&lt;0,DATA_CLEANED!AM312&lt;0),"SCORE NEGATIF","OK")))</f>
        <v>OK</v>
      </c>
      <c r="BF321" s="43" t="str">
        <f>IF(DATA_CLEANED!AK312&lt;&gt;DATA_CLEANED!AN312,"OK","ERREUR")</f>
        <v>OK</v>
      </c>
      <c r="BG321" s="43" t="str">
        <f>IF(DATA_CLEANED!AL312&gt;DATA_CLEANED!AM312,DATA_CLEANED!AK312,IF(AND(DATA_QUALITE!W4798="-",DATA_CLEANED!AM312=DATA_CLEANED!AL312),"MATCH NUL",IF(AND(DATA_QUALITE!V4798="-",DATA_QUALITE!U4798="AUCUNE"),DATA_QUALITE!T4798,IF(DATA_QUALITE!V4798&lt;&gt;"-",DATA_QUALITE!V4798,DATA_CLEANED!AN312))))</f>
        <v>MATCH NUL</v>
      </c>
      <c r="BH321" s="103" t="str">
        <f>IF(AND(BG321="MATCH NUL",DATA_CLEANED!AO312="-"),"MATCH_NUL",IF(ISNUMBER(SEARCH("win on penalties",W4798)),"WIN_BY_PENALTY",IF(ISNUMBER(SEARCH("win after extra time",W4798)),"WIN_BY_EXTRA_TIME",IF(ISNUMBER(SEARCH("Golden Goal",W4798)),"WIN_BY_GOLDEN_GOAL","WIN_BY_SCORE"))))</f>
        <v>MATCH_NUL</v>
      </c>
      <c r="BI321" s="99" t="str">
        <f>IF(OR(BG321=DATA_CLEANED!AK312,BG321=DATA_CLEANED!AN312,BG321="MATCH NUL"),"OK","ERREUR")</f>
        <v>OK</v>
      </c>
    </row>
    <row r="322" spans="2:61">
      <c r="B322" s="74">
        <v>2018</v>
      </c>
      <c r="C322" s="30" t="str">
        <v>Round of 16</v>
      </c>
      <c r="D322" s="30" t="str">
        <v>Colombia</v>
      </c>
      <c r="E322" s="30" t="str">
        <v>England</v>
      </c>
      <c r="F322" s="30" t="str">
        <v>Colombia</v>
      </c>
      <c r="G322" s="30" t="str">
        <v>Juan Cuadrado</v>
      </c>
      <c r="H322" s="30" t="str">
        <v>Jordan Pickford</v>
      </c>
      <c r="I322" s="30">
        <v>3</v>
      </c>
      <c r="J322" s="30">
        <v>2</v>
      </c>
      <c r="K322" s="30" t="str">
        <v>'1-1</v>
      </c>
      <c r="L322" s="30" t="str">
        <v>No</v>
      </c>
      <c r="M322" s="30" t="str">
        <v>No</v>
      </c>
      <c r="N322" s="30" t="str">
        <v>Goal</v>
      </c>
      <c r="O322" s="30" t="str">
        <f t="shared" si="32"/>
        <v>2018|Round of 16|Colombia|England|Colombia|Juan Cuadrado|Jordan Pickford|3|2|'1-1|No|No|Goal</v>
      </c>
      <c r="P322" s="96" t="str">
        <f>IF(COUNTIF($G$32:O322,O322)&gt;1,"DOUBLON","OK")</f>
        <v>OK</v>
      </c>
      <c r="S322" s="30" t="str">
        <v>Spain</v>
      </c>
      <c r="T322" s="30" t="str">
        <f t="shared" si="34"/>
        <v>OK</v>
      </c>
      <c r="U322" s="30" t="str">
        <f t="shared" si="35"/>
        <v>-</v>
      </c>
      <c r="V322" s="30" t="str" cm="1">
        <f t="array" ref="V322">_xlfn.IFS(
ISNUMBER(SEARCH("USA",S322)),"United States",
ISNUMBER(SEARCH("Republic of Korea",S322)),"South Korea",
ISNUMBER(SEARCH("Cape Verde",S322)),"Cabo Verde",
ISNUMBER(SEARCH("Czechia",S322)),"Czech Republic",
ISNUMBER(SEARCH("Türkiye",S322)),"Turkey",
ISNUMBER(SEARCH("Ivory Coast",S322)),"Côte d'Ivoire",
ISNUMBER(SEARCH("Korea Republic",S322)),"South Korea",
ISNUMBER(SEARCH("Germany FR",S322)),"FR Germany",
ISNUMBER(SEARCH("West Germany",S322)),"FR Germany",
ISNUMBER(SEARCH("Germany DR",S322)),"DR Germany",
ISNUMBER(SEARCH("Korea DPR",S322)),"North Korea",
ISNUMBER(SEARCH("China PR",S322)),"China",
ISNUMBER(SEARCH("IR Iran",S322)),"Iran",
ISNUMBER(SEARCH("Congo DR",S322)),"Democratic Republic of the Congo",
ISNUMBER(SEARCH("DR Congo",S322)),"Democratic Republic of the Congo",
ISNUMBER(SEARCH("German DR",S322)),"DR Germany",
ISNUMBER(SEARCH("rn""&gt;United Arab Emirates",S322)),"United Arab Emirates",
ISNUMBER(SEARCH("rn""&gt;Republic of Ireland",S322)),"Ireland",
ISNUMBER(SEARCH("rn""&gt;Bosnia and Herzegovina",S322)),"Bosnia and Herzegovina",
ISNUMBER(SEARCH("rn""&gt;Trinidad and Tobago",S322)),"Trinidad and Tobago",
ISNUMBER(SEARCH("rn""&gt;Serbia and Montenegro",S322)),"Serbia and Montenegro",
ISNUMBER(SEARCH(_xlfn.UNICHAR(65533),S322)),"Côte d'Ivoire",
TRUE,""
)</f>
        <v/>
      </c>
      <c r="W322" s="30" t="str">
        <f t="shared" si="31"/>
        <v>Spain</v>
      </c>
      <c r="Z322" s="40" t="str">
        <v>Estadio Jos� Mar�a Minella</v>
      </c>
      <c r="AA322" s="40" t="str" cm="1">
        <f t="array" ref="AA322">IFERROR(_xlfn.XLOOKUP(Z322,_xlfn.ANCHORARRAY(Z$31),AA$31:AA$37),Z322)</f>
        <v>Estadio José María Minella</v>
      </c>
      <c r="AB322" s="42" t="str">
        <v xml:space="preserve">Mar Del Plata </v>
      </c>
      <c r="AC322" s="89" t="str">
        <f t="shared" si="33"/>
        <v xml:space="preserve">Mar Del Plata </v>
      </c>
      <c r="AE322" s="42">
        <v>1974</v>
      </c>
      <c r="AK322" s="42">
        <v>3</v>
      </c>
      <c r="AL322" s="42">
        <v>2</v>
      </c>
      <c r="AV322" s="37" t="str">
        <v>FINAL</v>
      </c>
      <c r="AW322" s="89" t="str">
        <v>GROUP_STAGE</v>
      </c>
      <c r="BE322" s="43" t="str">
        <f>IF(OR(DATA_CLEANED!AL313="",DATA_CLEANED!AM313=""),"MANQUANT",IF(OR(NOT(ISNUMBER(DATA_CLEANED!AL313)),NOT(ISNUMBER(DATA_CLEANED!AM313))),"ENTREE INVALIDE",IF(OR(DATA_CLEANED!AL313&lt;0,DATA_CLEANED!AM313&lt;0),"SCORE NEGATIF","OK")))</f>
        <v>OK</v>
      </c>
      <c r="BF322" s="43" t="str">
        <f>IF(DATA_CLEANED!AK313&lt;&gt;DATA_CLEANED!AN313,"OK","ERREUR")</f>
        <v>OK</v>
      </c>
      <c r="BG322" s="43" t="str">
        <f>IF(DATA_CLEANED!AL313&gt;DATA_CLEANED!AM313,DATA_CLEANED!AK313,IF(AND(DATA_QUALITE!W4799="-",DATA_CLEANED!AM313=DATA_CLEANED!AL313),"MATCH NUL",IF(AND(DATA_QUALITE!V4799="-",DATA_QUALITE!U4799="AUCUNE"),DATA_QUALITE!T4799,IF(DATA_QUALITE!V4799&lt;&gt;"-",DATA_QUALITE!V4799,DATA_CLEANED!AN313))))</f>
        <v>Brazil</v>
      </c>
      <c r="BH322" s="103" t="str">
        <f>IF(AND(BG322="MATCH NUL",DATA_CLEANED!AO313="-"),"MATCH_NUL",IF(ISNUMBER(SEARCH("win on penalties",W4799)),"WIN_BY_PENALTY",IF(ISNUMBER(SEARCH("win after extra time",W4799)),"WIN_BY_EXTRA_TIME",IF(ISNUMBER(SEARCH("Golden Goal",W4799)),"WIN_BY_GOLDEN_GOAL","WIN_BY_SCORE"))))</f>
        <v>WIN_BY_SCORE</v>
      </c>
      <c r="BI322" s="99" t="str">
        <f>IF(OR(BG322=DATA_CLEANED!AK313,BG322=DATA_CLEANED!AN313,BG322="MATCH NUL"),"OK","ERREUR")</f>
        <v>OK</v>
      </c>
    </row>
    <row r="323" spans="2:61">
      <c r="B323" s="74">
        <v>2018</v>
      </c>
      <c r="C323" s="30" t="str">
        <v>Round of 16</v>
      </c>
      <c r="D323" s="30" t="str">
        <v>Colombia</v>
      </c>
      <c r="E323" s="30" t="str">
        <v>England</v>
      </c>
      <c r="F323" s="30" t="str">
        <v>England</v>
      </c>
      <c r="G323" s="30" t="str">
        <v>Marcus Rashford</v>
      </c>
      <c r="H323" s="30" t="str">
        <v>David Ospina</v>
      </c>
      <c r="I323" s="30">
        <v>4</v>
      </c>
      <c r="J323" s="30">
        <v>2</v>
      </c>
      <c r="K323" s="30" t="str">
        <v>'1-2</v>
      </c>
      <c r="L323" s="30" t="str">
        <v>No</v>
      </c>
      <c r="M323" s="30" t="str">
        <v>No</v>
      </c>
      <c r="N323" s="30" t="str">
        <v>Goal</v>
      </c>
      <c r="O323" s="30" t="str">
        <f t="shared" si="32"/>
        <v>2018|Round of 16|Colombia|England|England|Marcus Rashford|David Ospina|4|2|'1-2|No|No|Goal</v>
      </c>
      <c r="P323" s="96" t="str">
        <f>IF(COUNTIF($G$32:O323,O323)&gt;1,"DOUBLON","OK")</f>
        <v>OK</v>
      </c>
      <c r="S323" s="30" t="str">
        <v>Spain</v>
      </c>
      <c r="T323" s="30" t="str">
        <f t="shared" si="34"/>
        <v>OK</v>
      </c>
      <c r="U323" s="30" t="str">
        <f t="shared" si="35"/>
        <v>-</v>
      </c>
      <c r="V323" s="30" t="str" cm="1">
        <f t="array" ref="V323">_xlfn.IFS(
ISNUMBER(SEARCH("USA",S323)),"United States",
ISNUMBER(SEARCH("Republic of Korea",S323)),"South Korea",
ISNUMBER(SEARCH("Cape Verde",S323)),"Cabo Verde",
ISNUMBER(SEARCH("Czechia",S323)),"Czech Republic",
ISNUMBER(SEARCH("Türkiye",S323)),"Turkey",
ISNUMBER(SEARCH("Ivory Coast",S323)),"Côte d'Ivoire",
ISNUMBER(SEARCH("Korea Republic",S323)),"South Korea",
ISNUMBER(SEARCH("Germany FR",S323)),"FR Germany",
ISNUMBER(SEARCH("West Germany",S323)),"FR Germany",
ISNUMBER(SEARCH("Germany DR",S323)),"DR Germany",
ISNUMBER(SEARCH("Korea DPR",S323)),"North Korea",
ISNUMBER(SEARCH("China PR",S323)),"China",
ISNUMBER(SEARCH("IR Iran",S323)),"Iran",
ISNUMBER(SEARCH("Congo DR",S323)),"Democratic Republic of the Congo",
ISNUMBER(SEARCH("DR Congo",S323)),"Democratic Republic of the Congo",
ISNUMBER(SEARCH("German DR",S323)),"DR Germany",
ISNUMBER(SEARCH("rn""&gt;United Arab Emirates",S323)),"United Arab Emirates",
ISNUMBER(SEARCH("rn""&gt;Republic of Ireland",S323)),"Ireland",
ISNUMBER(SEARCH("rn""&gt;Bosnia and Herzegovina",S323)),"Bosnia and Herzegovina",
ISNUMBER(SEARCH("rn""&gt;Trinidad and Tobago",S323)),"Trinidad and Tobago",
ISNUMBER(SEARCH("rn""&gt;Serbia and Montenegro",S323)),"Serbia and Montenegro",
ISNUMBER(SEARCH(_xlfn.UNICHAR(65533),S323)),"Côte d'Ivoire",
TRUE,""
)</f>
        <v/>
      </c>
      <c r="W323" s="30" t="str">
        <f t="shared" si="31"/>
        <v>Spain</v>
      </c>
      <c r="Z323" s="40" t="str">
        <v>Jose Amalfitani</v>
      </c>
      <c r="AA323" s="40" t="str" cm="1">
        <f t="array" ref="AA323">IFERROR(_xlfn.XLOOKUP(Z323,_xlfn.ANCHORARRAY(Z$31),AA$31:AA$37),Z323)</f>
        <v>Jose Amalfitani</v>
      </c>
      <c r="AB323" s="42" t="str">
        <v xml:space="preserve">Buenos Aires </v>
      </c>
      <c r="AC323" s="89" t="str">
        <f t="shared" si="33"/>
        <v xml:space="preserve">Buenos Aires </v>
      </c>
      <c r="AE323" s="42">
        <v>1974</v>
      </c>
      <c r="AK323" s="42">
        <v>0</v>
      </c>
      <c r="AL323" s="42">
        <v>3</v>
      </c>
      <c r="AV323" s="37" t="str">
        <v>FINAL</v>
      </c>
      <c r="AW323" s="89" t="str">
        <v>GROUP_STAGE</v>
      </c>
      <c r="BE323" s="43" t="str">
        <f>IF(OR(DATA_CLEANED!AL314="",DATA_CLEANED!AM314=""),"MANQUANT",IF(OR(NOT(ISNUMBER(DATA_CLEANED!AL314)),NOT(ISNUMBER(DATA_CLEANED!AM314))),"ENTREE INVALIDE",IF(OR(DATA_CLEANED!AL314&lt;0,DATA_CLEANED!AM314&lt;0),"SCORE NEGATIF","OK")))</f>
        <v>OK</v>
      </c>
      <c r="BF323" s="43" t="str">
        <f>IF(DATA_CLEANED!AK314&lt;&gt;DATA_CLEANED!AN314,"OK","ERREUR")</f>
        <v>OK</v>
      </c>
      <c r="BG323" s="43" t="str">
        <f>IF(DATA_CLEANED!AL314&gt;DATA_CLEANED!AM314,DATA_CLEANED!AK314,IF(AND(DATA_QUALITE!W4800="-",DATA_CLEANED!AM314=DATA_CLEANED!AL314),"MATCH NUL",IF(AND(DATA_QUALITE!V4800="-",DATA_QUALITE!U4800="AUCUNE"),DATA_QUALITE!T4800,IF(DATA_QUALITE!V4800&lt;&gt;"-",DATA_QUALITE!V4800,DATA_CLEANED!AN314))))</f>
        <v>MATCH NUL</v>
      </c>
      <c r="BH323" s="103" t="str">
        <f>IF(AND(BG323="MATCH NUL",DATA_CLEANED!AO314="-"),"MATCH_NUL",IF(ISNUMBER(SEARCH("win on penalties",W4800)),"WIN_BY_PENALTY",IF(ISNUMBER(SEARCH("win after extra time",W4800)),"WIN_BY_EXTRA_TIME",IF(ISNUMBER(SEARCH("Golden Goal",W4800)),"WIN_BY_GOLDEN_GOAL","WIN_BY_SCORE"))))</f>
        <v>MATCH_NUL</v>
      </c>
      <c r="BI323" s="99" t="str">
        <f>IF(OR(BG323=DATA_CLEANED!AK314,BG323=DATA_CLEANED!AN314,BG323="MATCH NUL"),"OK","ERREUR")</f>
        <v>OK</v>
      </c>
    </row>
    <row r="324" spans="2:61">
      <c r="B324" s="74">
        <v>2018</v>
      </c>
      <c r="C324" s="30" t="str">
        <v>Round of 16</v>
      </c>
      <c r="D324" s="30" t="str">
        <v>Colombia</v>
      </c>
      <c r="E324" s="30" t="str">
        <v>England</v>
      </c>
      <c r="F324" s="30" t="str">
        <v>Colombia</v>
      </c>
      <c r="G324" s="30" t="str">
        <v>Luis Muriel</v>
      </c>
      <c r="H324" s="30" t="str">
        <v>Jordan Pickford</v>
      </c>
      <c r="I324" s="30">
        <v>5</v>
      </c>
      <c r="J324" s="30">
        <v>3</v>
      </c>
      <c r="K324" s="30" t="str">
        <v>'2-2</v>
      </c>
      <c r="L324" s="30" t="str">
        <v>No</v>
      </c>
      <c r="M324" s="30" t="str">
        <v>No</v>
      </c>
      <c r="N324" s="30" t="str">
        <v>Goal</v>
      </c>
      <c r="O324" s="30" t="str">
        <f t="shared" si="32"/>
        <v>2018|Round of 16|Colombia|England|Colombia|Luis Muriel|Jordan Pickford|5|3|'2-2|No|No|Goal</v>
      </c>
      <c r="P324" s="96" t="str">
        <f>IF(COUNTIF($G$32:O324,O324)&gt;1,"DOUBLON","OK")</f>
        <v>OK</v>
      </c>
      <c r="S324" s="30" t="str">
        <v>Spain</v>
      </c>
      <c r="T324" s="30" t="str">
        <f t="shared" si="34"/>
        <v>OK</v>
      </c>
      <c r="U324" s="30" t="str">
        <f t="shared" si="35"/>
        <v>-</v>
      </c>
      <c r="V324" s="30" t="str" cm="1">
        <f t="array" ref="V324">_xlfn.IFS(
ISNUMBER(SEARCH("USA",S324)),"United States",
ISNUMBER(SEARCH("Republic of Korea",S324)),"South Korea",
ISNUMBER(SEARCH("Cape Verde",S324)),"Cabo Verde",
ISNUMBER(SEARCH("Czechia",S324)),"Czech Republic",
ISNUMBER(SEARCH("Türkiye",S324)),"Turkey",
ISNUMBER(SEARCH("Ivory Coast",S324)),"Côte d'Ivoire",
ISNUMBER(SEARCH("Korea Republic",S324)),"South Korea",
ISNUMBER(SEARCH("Germany FR",S324)),"FR Germany",
ISNUMBER(SEARCH("West Germany",S324)),"FR Germany",
ISNUMBER(SEARCH("Germany DR",S324)),"DR Germany",
ISNUMBER(SEARCH("Korea DPR",S324)),"North Korea",
ISNUMBER(SEARCH("China PR",S324)),"China",
ISNUMBER(SEARCH("IR Iran",S324)),"Iran",
ISNUMBER(SEARCH("Congo DR",S324)),"Democratic Republic of the Congo",
ISNUMBER(SEARCH("DR Congo",S324)),"Democratic Republic of the Congo",
ISNUMBER(SEARCH("German DR",S324)),"DR Germany",
ISNUMBER(SEARCH("rn""&gt;United Arab Emirates",S324)),"United Arab Emirates",
ISNUMBER(SEARCH("rn""&gt;Republic of Ireland",S324)),"Ireland",
ISNUMBER(SEARCH("rn""&gt;Bosnia and Herzegovina",S324)),"Bosnia and Herzegovina",
ISNUMBER(SEARCH("rn""&gt;Trinidad and Tobago",S324)),"Trinidad and Tobago",
ISNUMBER(SEARCH("rn""&gt;Serbia and Montenegro",S324)),"Serbia and Montenegro",
ISNUMBER(SEARCH(_xlfn.UNICHAR(65533),S324)),"Côte d'Ivoire",
TRUE,""
)</f>
        <v/>
      </c>
      <c r="W324" s="30" t="str">
        <f t="shared" si="31"/>
        <v>Spain</v>
      </c>
      <c r="Z324" s="40" t="str">
        <v>Estadio Ol�mpico Chateau Carreras</v>
      </c>
      <c r="AA324" s="40" t="str" cm="1">
        <f t="array" ref="AA324">IFERROR(_xlfn.XLOOKUP(Z324,_xlfn.ANCHORARRAY(Z$31),AA$31:AA$37),Z324)</f>
        <v>Estadio Olímpico Chateau Carreras</v>
      </c>
      <c r="AB324" s="42" t="str">
        <v xml:space="preserve">Cordoba </v>
      </c>
      <c r="AC324" s="89" t="str">
        <f t="shared" si="33"/>
        <v xml:space="preserve">Cordoba </v>
      </c>
      <c r="AE324" s="42">
        <v>1974</v>
      </c>
      <c r="AK324" s="42">
        <v>0</v>
      </c>
      <c r="AL324" s="42">
        <v>0</v>
      </c>
      <c r="AV324" s="37" t="str">
        <v>FINAL</v>
      </c>
      <c r="AW324" s="89" t="str">
        <v>GROUP_STAGE</v>
      </c>
      <c r="BE324" s="43" t="str">
        <f>IF(OR(DATA_CLEANED!AL315="",DATA_CLEANED!AM315=""),"MANQUANT",IF(OR(NOT(ISNUMBER(DATA_CLEANED!AL315)),NOT(ISNUMBER(DATA_CLEANED!AM315))),"ENTREE INVALIDE",IF(OR(DATA_CLEANED!AL315&lt;0,DATA_CLEANED!AM315&lt;0),"SCORE NEGATIF","OK")))</f>
        <v>OK</v>
      </c>
      <c r="BF324" s="43" t="str">
        <f>IF(DATA_CLEANED!AK315&lt;&gt;DATA_CLEANED!AN315,"OK","ERREUR")</f>
        <v>OK</v>
      </c>
      <c r="BG324" s="43" t="str">
        <f>IF(DATA_CLEANED!AL315&gt;DATA_CLEANED!AM315,DATA_CLEANED!AK315,IF(AND(DATA_QUALITE!W4801="-",DATA_CLEANED!AM315=DATA_CLEANED!AL315),"MATCH NUL",IF(AND(DATA_QUALITE!V4801="-",DATA_QUALITE!U4801="AUCUNE"),DATA_QUALITE!T4801,IF(DATA_QUALITE!V4801&lt;&gt;"-",DATA_QUALITE!V4801,DATA_CLEANED!AN315))))</f>
        <v>Hungary</v>
      </c>
      <c r="BH324" s="103" t="str">
        <f>IF(AND(BG324="MATCH NUL",DATA_CLEANED!AO315="-"),"MATCH_NUL",IF(ISNUMBER(SEARCH("win on penalties",W4801)),"WIN_BY_PENALTY",IF(ISNUMBER(SEARCH("win after extra time",W4801)),"WIN_BY_EXTRA_TIME",IF(ISNUMBER(SEARCH("Golden Goal",W4801)),"WIN_BY_GOLDEN_GOAL","WIN_BY_SCORE"))))</f>
        <v>WIN_BY_SCORE</v>
      </c>
      <c r="BI324" s="99" t="str">
        <f>IF(OR(BG324=DATA_CLEANED!AK315,BG324=DATA_CLEANED!AN315,BG324="MATCH NUL"),"OK","ERREUR")</f>
        <v>OK</v>
      </c>
    </row>
    <row r="325" spans="2:61">
      <c r="B325" s="74">
        <v>2018</v>
      </c>
      <c r="C325" s="30" t="str">
        <v>Round of 16</v>
      </c>
      <c r="D325" s="30" t="str">
        <v>Colombia</v>
      </c>
      <c r="E325" s="30" t="str">
        <v>England</v>
      </c>
      <c r="F325" s="30" t="str">
        <v>England</v>
      </c>
      <c r="G325" s="30" t="str">
        <v>Jordan Henderson</v>
      </c>
      <c r="H325" s="30" t="str">
        <v>David Ospina</v>
      </c>
      <c r="I325" s="30">
        <v>6</v>
      </c>
      <c r="J325" s="30">
        <v>3</v>
      </c>
      <c r="K325" s="30" t="str">
        <v>'2-3</v>
      </c>
      <c r="L325" s="30" t="str">
        <v>No</v>
      </c>
      <c r="M325" s="30" t="str">
        <v>No</v>
      </c>
      <c r="N325" s="30" t="str">
        <v>Saved</v>
      </c>
      <c r="O325" s="30" t="str">
        <f t="shared" si="32"/>
        <v>2018|Round of 16|Colombia|England|England|Jordan Henderson|David Ospina|6|3|'2-3|No|No|Saved</v>
      </c>
      <c r="P325" s="96" t="str">
        <f>IF(COUNTIF($G$32:O325,O325)&gt;1,"DOUBLON","OK")</f>
        <v>OK</v>
      </c>
      <c r="S325" s="30" t="str">
        <v>Spain</v>
      </c>
      <c r="T325" s="30" t="str">
        <f t="shared" si="34"/>
        <v>OK</v>
      </c>
      <c r="U325" s="30" t="str">
        <f t="shared" si="35"/>
        <v>-</v>
      </c>
      <c r="V325" s="30" t="str" cm="1">
        <f t="array" ref="V325">_xlfn.IFS(
ISNUMBER(SEARCH("USA",S325)),"United States",
ISNUMBER(SEARCH("Republic of Korea",S325)),"South Korea",
ISNUMBER(SEARCH("Cape Verde",S325)),"Cabo Verde",
ISNUMBER(SEARCH("Czechia",S325)),"Czech Republic",
ISNUMBER(SEARCH("Türkiye",S325)),"Turkey",
ISNUMBER(SEARCH("Ivory Coast",S325)),"Côte d'Ivoire",
ISNUMBER(SEARCH("Korea Republic",S325)),"South Korea",
ISNUMBER(SEARCH("Germany FR",S325)),"FR Germany",
ISNUMBER(SEARCH("West Germany",S325)),"FR Germany",
ISNUMBER(SEARCH("Germany DR",S325)),"DR Germany",
ISNUMBER(SEARCH("Korea DPR",S325)),"North Korea",
ISNUMBER(SEARCH("China PR",S325)),"China",
ISNUMBER(SEARCH("IR Iran",S325)),"Iran",
ISNUMBER(SEARCH("Congo DR",S325)),"Democratic Republic of the Congo",
ISNUMBER(SEARCH("DR Congo",S325)),"Democratic Republic of the Congo",
ISNUMBER(SEARCH("German DR",S325)),"DR Germany",
ISNUMBER(SEARCH("rn""&gt;United Arab Emirates",S325)),"United Arab Emirates",
ISNUMBER(SEARCH("rn""&gt;Republic of Ireland",S325)),"Ireland",
ISNUMBER(SEARCH("rn""&gt;Bosnia and Herzegovina",S325)),"Bosnia and Herzegovina",
ISNUMBER(SEARCH("rn""&gt;Trinidad and Tobago",S325)),"Trinidad and Tobago",
ISNUMBER(SEARCH("rn""&gt;Serbia and Montenegro",S325)),"Serbia and Montenegro",
ISNUMBER(SEARCH(_xlfn.UNICHAR(65533),S325)),"Côte d'Ivoire",
TRUE,""
)</f>
        <v/>
      </c>
      <c r="W325" s="30" t="str">
        <f t="shared" si="31"/>
        <v>Spain</v>
      </c>
      <c r="Z325" s="40" t="str">
        <v>San Martin</v>
      </c>
      <c r="AA325" s="40" t="str" cm="1">
        <f t="array" ref="AA325">IFERROR(_xlfn.XLOOKUP(Z325,_xlfn.ANCHORARRAY(Z$31),AA$31:AA$37),Z325)</f>
        <v>San Martin</v>
      </c>
      <c r="AB325" s="42" t="str">
        <v xml:space="preserve">Mendoza </v>
      </c>
      <c r="AC325" s="89" t="str">
        <f t="shared" si="33"/>
        <v xml:space="preserve">Mendoza </v>
      </c>
      <c r="AE325" s="42">
        <v>1974</v>
      </c>
      <c r="AK325" s="42">
        <v>1</v>
      </c>
      <c r="AL325" s="42">
        <v>1</v>
      </c>
      <c r="AV325" s="37" t="str">
        <v>FINAL</v>
      </c>
      <c r="AW325" s="89" t="str">
        <v>GROUP_STAGE</v>
      </c>
      <c r="BE325" s="43" t="str">
        <f>IF(OR(DATA_CLEANED!AL316="",DATA_CLEANED!AM316=""),"MANQUANT",IF(OR(NOT(ISNUMBER(DATA_CLEANED!AL316)),NOT(ISNUMBER(DATA_CLEANED!AM316))),"ENTREE INVALIDE",IF(OR(DATA_CLEANED!AL316&lt;0,DATA_CLEANED!AM316&lt;0),"SCORE NEGATIF","OK")))</f>
        <v>OK</v>
      </c>
      <c r="BF325" s="43" t="str">
        <f>IF(DATA_CLEANED!AK316&lt;&gt;DATA_CLEANED!AN316,"OK","ERREUR")</f>
        <v>OK</v>
      </c>
      <c r="BG325" s="43" t="str">
        <f>IF(DATA_CLEANED!AL316&gt;DATA_CLEANED!AM316,DATA_CLEANED!AK316,IF(AND(DATA_QUALITE!W4802="-",DATA_CLEANED!AM316=DATA_CLEANED!AL316),"MATCH NUL",IF(AND(DATA_QUALITE!V4802="-",DATA_QUALITE!U4802="AUCUNE"),DATA_QUALITE!T4802,IF(DATA_QUALITE!V4802&lt;&gt;"-",DATA_QUALITE!V4802,DATA_CLEANED!AN316))))</f>
        <v>Scotland</v>
      </c>
      <c r="BH325" s="103" t="str">
        <f>IF(AND(BG325="MATCH NUL",DATA_CLEANED!AO316="-"),"MATCH_NUL",IF(ISNUMBER(SEARCH("win on penalties",W4802)),"WIN_BY_PENALTY",IF(ISNUMBER(SEARCH("win after extra time",W4802)),"WIN_BY_EXTRA_TIME",IF(ISNUMBER(SEARCH("Golden Goal",W4802)),"WIN_BY_GOLDEN_GOAL","WIN_BY_SCORE"))))</f>
        <v>WIN_BY_SCORE</v>
      </c>
      <c r="BI325" s="99" t="str">
        <f>IF(OR(BG325=DATA_CLEANED!AK316,BG325=DATA_CLEANED!AN316,BG325="MATCH NUL"),"OK","ERREUR")</f>
        <v>OK</v>
      </c>
    </row>
    <row r="326" spans="2:61">
      <c r="B326" s="74">
        <v>2018</v>
      </c>
      <c r="C326" s="30" t="str">
        <v>Round of 16</v>
      </c>
      <c r="D326" s="30" t="str">
        <v>Colombia</v>
      </c>
      <c r="E326" s="30" t="str">
        <v>England</v>
      </c>
      <c r="F326" s="30" t="str">
        <v>Colombia</v>
      </c>
      <c r="G326" s="30" t="str">
        <v>Mateus Uribe</v>
      </c>
      <c r="H326" s="30" t="str">
        <v>Jordan Pickford</v>
      </c>
      <c r="I326" s="30">
        <v>7</v>
      </c>
      <c r="J326" s="30">
        <v>4</v>
      </c>
      <c r="K326" s="30" t="str">
        <v>'2-3</v>
      </c>
      <c r="L326" s="30" t="str">
        <v>No</v>
      </c>
      <c r="M326" s="30" t="str">
        <v>No</v>
      </c>
      <c r="N326" s="30" t="str">
        <v>Missed</v>
      </c>
      <c r="O326" s="30" t="str">
        <f t="shared" si="32"/>
        <v>2018|Round of 16|Colombia|England|Colombia|Mateus Uribe|Jordan Pickford|7|4|'2-3|No|No|Missed</v>
      </c>
      <c r="P326" s="96" t="str">
        <f>IF(COUNTIF($G$32:O326,O326)&gt;1,"DOUBLON","OK")</f>
        <v>OK</v>
      </c>
      <c r="S326" s="30" t="str">
        <v>Spain</v>
      </c>
      <c r="T326" s="30" t="str">
        <f t="shared" si="34"/>
        <v>OK</v>
      </c>
      <c r="U326" s="30" t="str">
        <f t="shared" si="35"/>
        <v>-</v>
      </c>
      <c r="V326" s="30" t="str" cm="1">
        <f t="array" ref="V326">_xlfn.IFS(
ISNUMBER(SEARCH("USA",S326)),"United States",
ISNUMBER(SEARCH("Republic of Korea",S326)),"South Korea",
ISNUMBER(SEARCH("Cape Verde",S326)),"Cabo Verde",
ISNUMBER(SEARCH("Czechia",S326)),"Czech Republic",
ISNUMBER(SEARCH("Türkiye",S326)),"Turkey",
ISNUMBER(SEARCH("Ivory Coast",S326)),"Côte d'Ivoire",
ISNUMBER(SEARCH("Korea Republic",S326)),"South Korea",
ISNUMBER(SEARCH("Germany FR",S326)),"FR Germany",
ISNUMBER(SEARCH("West Germany",S326)),"FR Germany",
ISNUMBER(SEARCH("Germany DR",S326)),"DR Germany",
ISNUMBER(SEARCH("Korea DPR",S326)),"North Korea",
ISNUMBER(SEARCH("China PR",S326)),"China",
ISNUMBER(SEARCH("IR Iran",S326)),"Iran",
ISNUMBER(SEARCH("Congo DR",S326)),"Democratic Republic of the Congo",
ISNUMBER(SEARCH("DR Congo",S326)),"Democratic Republic of the Congo",
ISNUMBER(SEARCH("German DR",S326)),"DR Germany",
ISNUMBER(SEARCH("rn""&gt;United Arab Emirates",S326)),"United Arab Emirates",
ISNUMBER(SEARCH("rn""&gt;Republic of Ireland",S326)),"Ireland",
ISNUMBER(SEARCH("rn""&gt;Bosnia and Herzegovina",S326)),"Bosnia and Herzegovina",
ISNUMBER(SEARCH("rn""&gt;Trinidad and Tobago",S326)),"Trinidad and Tobago",
ISNUMBER(SEARCH("rn""&gt;Serbia and Montenegro",S326)),"Serbia and Montenegro",
ISNUMBER(SEARCH(_xlfn.UNICHAR(65533),S326)),"Côte d'Ivoire",
TRUE,""
)</f>
        <v/>
      </c>
      <c r="W326" s="30" t="str">
        <f t="shared" si="31"/>
        <v>Spain</v>
      </c>
      <c r="Z326" s="40" t="str">
        <v>Estadio Jos� Mar�a Minella</v>
      </c>
      <c r="AA326" s="40" t="str" cm="1">
        <f t="array" ref="AA326">IFERROR(_xlfn.XLOOKUP(Z326,_xlfn.ANCHORARRAY(Z$31),AA$31:AA$37),Z326)</f>
        <v>Estadio José María Minella</v>
      </c>
      <c r="AB326" s="42" t="str">
        <v xml:space="preserve">Mar Del Plata </v>
      </c>
      <c r="AC326" s="89" t="str">
        <f t="shared" si="33"/>
        <v xml:space="preserve">Mar Del Plata </v>
      </c>
      <c r="AE326" s="42">
        <v>1974</v>
      </c>
      <c r="AK326" s="42">
        <v>9</v>
      </c>
      <c r="AL326" s="42">
        <v>0</v>
      </c>
      <c r="AV326" s="37" t="str">
        <v>FINAL</v>
      </c>
      <c r="AW326" s="89" t="str">
        <v>GROUP_STAGE</v>
      </c>
      <c r="BE326" s="43" t="str">
        <f>IF(OR(DATA_CLEANED!AL317="",DATA_CLEANED!AM317=""),"MANQUANT",IF(OR(NOT(ISNUMBER(DATA_CLEANED!AL317)),NOT(ISNUMBER(DATA_CLEANED!AM317))),"ENTREE INVALIDE",IF(OR(DATA_CLEANED!AL317&lt;0,DATA_CLEANED!AM317&lt;0),"SCORE NEGATIF","OK")))</f>
        <v>OK</v>
      </c>
      <c r="BF326" s="43" t="str">
        <f>IF(DATA_CLEANED!AK317&lt;&gt;DATA_CLEANED!AN317,"OK","ERREUR")</f>
        <v>OK</v>
      </c>
      <c r="BG326" s="43" t="str">
        <f>IF(DATA_CLEANED!AL317&gt;DATA_CLEANED!AM317,DATA_CLEANED!AK317,IF(AND(DATA_QUALITE!W4803="-",DATA_CLEANED!AM317=DATA_CLEANED!AL317),"MATCH NUL",IF(AND(DATA_QUALITE!V4803="-",DATA_QUALITE!U4803="AUCUNE"),DATA_QUALITE!T4803,IF(DATA_QUALITE!V4803&lt;&gt;"-",DATA_QUALITE!V4803,DATA_CLEANED!AN317))))</f>
        <v>Algeria</v>
      </c>
      <c r="BH326" s="103" t="str">
        <f>IF(AND(BG326="MATCH NUL",DATA_CLEANED!AO317="-"),"MATCH_NUL",IF(ISNUMBER(SEARCH("win on penalties",W4803)),"WIN_BY_PENALTY",IF(ISNUMBER(SEARCH("win after extra time",W4803)),"WIN_BY_EXTRA_TIME",IF(ISNUMBER(SEARCH("Golden Goal",W4803)),"WIN_BY_GOLDEN_GOAL","WIN_BY_SCORE"))))</f>
        <v>WIN_BY_SCORE</v>
      </c>
      <c r="BI326" s="99" t="str">
        <f>IF(OR(BG326=DATA_CLEANED!AK317,BG326=DATA_CLEANED!AN317,BG326="MATCH NUL"),"OK","ERREUR")</f>
        <v>OK</v>
      </c>
    </row>
    <row r="327" spans="2:61">
      <c r="B327" s="74">
        <v>2018</v>
      </c>
      <c r="C327" s="30" t="str">
        <v>Round of 16</v>
      </c>
      <c r="D327" s="30" t="str">
        <v>Colombia</v>
      </c>
      <c r="E327" s="30" t="str">
        <v>England</v>
      </c>
      <c r="F327" s="30" t="str">
        <v>England</v>
      </c>
      <c r="G327" s="30" t="str">
        <v>Kieran Trippier</v>
      </c>
      <c r="H327" s="30" t="str">
        <v>David Ospina</v>
      </c>
      <c r="I327" s="30">
        <v>8</v>
      </c>
      <c r="J327" s="30">
        <v>4</v>
      </c>
      <c r="K327" s="30" t="str">
        <v>'2-3</v>
      </c>
      <c r="L327" s="30" t="str">
        <v>No</v>
      </c>
      <c r="M327" s="30" t="str">
        <v>No</v>
      </c>
      <c r="N327" s="30" t="str">
        <v>Goal</v>
      </c>
      <c r="O327" s="30" t="str">
        <f t="shared" si="32"/>
        <v>2018|Round of 16|Colombia|England|England|Kieran Trippier|David Ospina|8|4|'2-3|No|No|Goal</v>
      </c>
      <c r="P327" s="96" t="str">
        <f>IF(COUNTIF($G$32:O327,O327)&gt;1,"DOUBLON","OK")</f>
        <v>OK</v>
      </c>
      <c r="S327" s="30" t="str">
        <v>Spain</v>
      </c>
      <c r="T327" s="30" t="str">
        <f t="shared" si="34"/>
        <v>OK</v>
      </c>
      <c r="U327" s="30" t="str">
        <f t="shared" si="35"/>
        <v>-</v>
      </c>
      <c r="V327" s="30" t="str" cm="1">
        <f t="array" ref="V327">_xlfn.IFS(
ISNUMBER(SEARCH("USA",S327)),"United States",
ISNUMBER(SEARCH("Republic of Korea",S327)),"South Korea",
ISNUMBER(SEARCH("Cape Verde",S327)),"Cabo Verde",
ISNUMBER(SEARCH("Czechia",S327)),"Czech Republic",
ISNUMBER(SEARCH("Türkiye",S327)),"Turkey",
ISNUMBER(SEARCH("Ivory Coast",S327)),"Côte d'Ivoire",
ISNUMBER(SEARCH("Korea Republic",S327)),"South Korea",
ISNUMBER(SEARCH("Germany FR",S327)),"FR Germany",
ISNUMBER(SEARCH("West Germany",S327)),"FR Germany",
ISNUMBER(SEARCH("Germany DR",S327)),"DR Germany",
ISNUMBER(SEARCH("Korea DPR",S327)),"North Korea",
ISNUMBER(SEARCH("China PR",S327)),"China",
ISNUMBER(SEARCH("IR Iran",S327)),"Iran",
ISNUMBER(SEARCH("Congo DR",S327)),"Democratic Republic of the Congo",
ISNUMBER(SEARCH("DR Congo",S327)),"Democratic Republic of the Congo",
ISNUMBER(SEARCH("German DR",S327)),"DR Germany",
ISNUMBER(SEARCH("rn""&gt;United Arab Emirates",S327)),"United Arab Emirates",
ISNUMBER(SEARCH("rn""&gt;Republic of Ireland",S327)),"Ireland",
ISNUMBER(SEARCH("rn""&gt;Bosnia and Herzegovina",S327)),"Bosnia and Herzegovina",
ISNUMBER(SEARCH("rn""&gt;Trinidad and Tobago",S327)),"Trinidad and Tobago",
ISNUMBER(SEARCH("rn""&gt;Serbia and Montenegro",S327)),"Serbia and Montenegro",
ISNUMBER(SEARCH(_xlfn.UNICHAR(65533),S327)),"Côte d'Ivoire",
TRUE,""
)</f>
        <v/>
      </c>
      <c r="W327" s="30" t="str">
        <f t="shared" si="31"/>
        <v>Spain</v>
      </c>
      <c r="Z327" s="40" t="str">
        <v>Arroyito - Estadio Dr. Lisandro de la Torre</v>
      </c>
      <c r="AA327" s="40" t="str" cm="1">
        <f t="array" ref="AA327">IFERROR(_xlfn.XLOOKUP(Z327,_xlfn.ANCHORARRAY(Z$31),AA$31:AA$37),Z327)</f>
        <v>Arroyito - Estadio Dr. Lisandro de la Torre</v>
      </c>
      <c r="AB327" s="42" t="str">
        <v xml:space="preserve">Rosario </v>
      </c>
      <c r="AC327" s="89" t="str">
        <f t="shared" si="33"/>
        <v xml:space="preserve">Rosario </v>
      </c>
      <c r="AE327" s="42">
        <v>1974</v>
      </c>
      <c r="AK327" s="42">
        <v>0</v>
      </c>
      <c r="AL327" s="42">
        <v>0</v>
      </c>
      <c r="AV327" s="37" t="str">
        <v>FINAL</v>
      </c>
      <c r="AW327" s="89" t="str">
        <v>GROUP_STAGE</v>
      </c>
      <c r="BE327" s="43" t="str">
        <f>IF(OR(DATA_CLEANED!AL318="",DATA_CLEANED!AM318=""),"MANQUANT",IF(OR(NOT(ISNUMBER(DATA_CLEANED!AL318)),NOT(ISNUMBER(DATA_CLEANED!AM318))),"ENTREE INVALIDE",IF(OR(DATA_CLEANED!AL318&lt;0,DATA_CLEANED!AM318&lt;0),"SCORE NEGATIF","OK")))</f>
        <v>OK</v>
      </c>
      <c r="BF327" s="43" t="str">
        <f>IF(DATA_CLEANED!AK318&lt;&gt;DATA_CLEANED!AN318,"OK","ERREUR")</f>
        <v>OK</v>
      </c>
      <c r="BG327" s="43" t="str">
        <f>IF(DATA_CLEANED!AL318&gt;DATA_CLEANED!AM318,DATA_CLEANED!AK318,IF(AND(DATA_QUALITE!W4804="-",DATA_CLEANED!AM318=DATA_CLEANED!AL318),"MATCH NUL",IF(AND(DATA_QUALITE!V4804="-",DATA_QUALITE!U4804="AUCUNE"),DATA_QUALITE!T4804,IF(DATA_QUALITE!V4804&lt;&gt;"-",DATA_QUALITE!V4804,DATA_CLEANED!AN318))))</f>
        <v>England</v>
      </c>
      <c r="BH327" s="103" t="str">
        <f>IF(AND(BG327="MATCH NUL",DATA_CLEANED!AO318="-"),"MATCH_NUL",IF(ISNUMBER(SEARCH("win on penalties",W4804)),"WIN_BY_PENALTY",IF(ISNUMBER(SEARCH("win after extra time",W4804)),"WIN_BY_EXTRA_TIME",IF(ISNUMBER(SEARCH("Golden Goal",W4804)),"WIN_BY_GOLDEN_GOAL","WIN_BY_SCORE"))))</f>
        <v>WIN_BY_SCORE</v>
      </c>
      <c r="BI327" s="99" t="str">
        <f>IF(OR(BG327=DATA_CLEANED!AK318,BG327=DATA_CLEANED!AN318,BG327="MATCH NUL"),"OK","ERREUR")</f>
        <v>OK</v>
      </c>
    </row>
    <row r="328" spans="2:61">
      <c r="B328" s="74">
        <v>2018</v>
      </c>
      <c r="C328" s="30" t="str">
        <v>Round of 16</v>
      </c>
      <c r="D328" s="30" t="str">
        <v>Colombia</v>
      </c>
      <c r="E328" s="30" t="str">
        <v>England</v>
      </c>
      <c r="F328" s="30" t="str">
        <v>Colombia</v>
      </c>
      <c r="G328" s="30" t="str">
        <v>Carlos Bacca</v>
      </c>
      <c r="H328" s="30" t="str">
        <v>Jordan Pickford</v>
      </c>
      <c r="I328" s="30">
        <v>9</v>
      </c>
      <c r="J328" s="30">
        <v>5</v>
      </c>
      <c r="K328" s="30" t="str">
        <v>'3-3</v>
      </c>
      <c r="L328" s="30" t="str">
        <v>No</v>
      </c>
      <c r="M328" s="30" t="str">
        <v>No</v>
      </c>
      <c r="N328" s="30" t="str">
        <v>Saved</v>
      </c>
      <c r="O328" s="30" t="str">
        <f t="shared" si="32"/>
        <v>2018|Round of 16|Colombia|England|Colombia|Carlos Bacca|Jordan Pickford|9|5|'3-3|No|No|Saved</v>
      </c>
      <c r="P328" s="96" t="str">
        <f>IF(COUNTIF($G$32:O328,O328)&gt;1,"DOUBLON","OK")</f>
        <v>OK</v>
      </c>
      <c r="S328" s="30" t="str">
        <v>Russia</v>
      </c>
      <c r="T328" s="30" t="str">
        <f t="shared" si="34"/>
        <v>OK</v>
      </c>
      <c r="U328" s="30" t="str">
        <f t="shared" si="35"/>
        <v>-</v>
      </c>
      <c r="V328" s="30" t="str" cm="1">
        <f t="array" ref="V328">_xlfn.IFS(
ISNUMBER(SEARCH("USA",S328)),"United States",
ISNUMBER(SEARCH("Republic of Korea",S328)),"South Korea",
ISNUMBER(SEARCH("Cape Verde",S328)),"Cabo Verde",
ISNUMBER(SEARCH("Czechia",S328)),"Czech Republic",
ISNUMBER(SEARCH("Türkiye",S328)),"Turkey",
ISNUMBER(SEARCH("Ivory Coast",S328)),"Côte d'Ivoire",
ISNUMBER(SEARCH("Korea Republic",S328)),"South Korea",
ISNUMBER(SEARCH("Germany FR",S328)),"FR Germany",
ISNUMBER(SEARCH("West Germany",S328)),"FR Germany",
ISNUMBER(SEARCH("Germany DR",S328)),"DR Germany",
ISNUMBER(SEARCH("Korea DPR",S328)),"North Korea",
ISNUMBER(SEARCH("China PR",S328)),"China",
ISNUMBER(SEARCH("IR Iran",S328)),"Iran",
ISNUMBER(SEARCH("Congo DR",S328)),"Democratic Republic of the Congo",
ISNUMBER(SEARCH("DR Congo",S328)),"Democratic Republic of the Congo",
ISNUMBER(SEARCH("German DR",S328)),"DR Germany",
ISNUMBER(SEARCH("rn""&gt;United Arab Emirates",S328)),"United Arab Emirates",
ISNUMBER(SEARCH("rn""&gt;Republic of Ireland",S328)),"Ireland",
ISNUMBER(SEARCH("rn""&gt;Bosnia and Herzegovina",S328)),"Bosnia and Herzegovina",
ISNUMBER(SEARCH("rn""&gt;Trinidad and Tobago",S328)),"Trinidad and Tobago",
ISNUMBER(SEARCH("rn""&gt;Serbia and Montenegro",S328)),"Serbia and Montenegro",
ISNUMBER(SEARCH(_xlfn.UNICHAR(65533),S328)),"Côte d'Ivoire",
TRUE,""
)</f>
        <v/>
      </c>
      <c r="W328" s="30" t="str">
        <f t="shared" si="31"/>
        <v>Russia</v>
      </c>
      <c r="Z328" s="40" t="str">
        <v>Estadio Ol�mpico Chateau Carreras</v>
      </c>
      <c r="AA328" s="40" t="str" cm="1">
        <f t="array" ref="AA328">IFERROR(_xlfn.XLOOKUP(Z328,_xlfn.ANCHORARRAY(Z$31),AA$31:AA$37),Z328)</f>
        <v>Estadio Olímpico Chateau Carreras</v>
      </c>
      <c r="AB328" s="42" t="str">
        <v xml:space="preserve">Cordoba </v>
      </c>
      <c r="AC328" s="89" t="str">
        <f t="shared" si="33"/>
        <v xml:space="preserve">Cordoba </v>
      </c>
      <c r="AE328" s="42">
        <v>1974</v>
      </c>
      <c r="AK328" s="42">
        <v>1</v>
      </c>
      <c r="AL328" s="42">
        <v>1</v>
      </c>
      <c r="AV328" s="37" t="str">
        <v>ROUND_OF_32</v>
      </c>
      <c r="AW328" s="89" t="str">
        <v>GROUP_STAGE</v>
      </c>
      <c r="BE328" s="43" t="str">
        <f>IF(OR(DATA_CLEANED!AL319="",DATA_CLEANED!AM319=""),"MANQUANT",IF(OR(NOT(ISNUMBER(DATA_CLEANED!AL319)),NOT(ISNUMBER(DATA_CLEANED!AM319))),"ENTREE INVALIDE",IF(OR(DATA_CLEANED!AL319&lt;0,DATA_CLEANED!AM319&lt;0),"SCORE NEGATIF","OK")))</f>
        <v>OK</v>
      </c>
      <c r="BF328" s="43" t="str">
        <f>IF(DATA_CLEANED!AK319&lt;&gt;DATA_CLEANED!AN319,"OK","ERREUR")</f>
        <v>OK</v>
      </c>
      <c r="BG328" s="43" t="str">
        <f>IF(DATA_CLEANED!AL319&gt;DATA_CLEANED!AM319,DATA_CLEANED!AK319,IF(AND(DATA_QUALITE!W4805="-",DATA_CLEANED!AM319=DATA_CLEANED!AL319),"MATCH NUL",IF(AND(DATA_QUALITE!V4805="-",DATA_QUALITE!U4805="AUCUNE"),DATA_QUALITE!T4805,IF(DATA_QUALITE!V4805&lt;&gt;"-",DATA_QUALITE!V4805,DATA_CLEANED!AN319))))</f>
        <v>MATCH NUL</v>
      </c>
      <c r="BH328" s="103" t="str">
        <f>IF(AND(BG328="MATCH NUL",DATA_CLEANED!AO319="-"),"MATCH_NUL",IF(ISNUMBER(SEARCH("win on penalties",W4805)),"WIN_BY_PENALTY",IF(ISNUMBER(SEARCH("win after extra time",W4805)),"WIN_BY_EXTRA_TIME",IF(ISNUMBER(SEARCH("Golden Goal",W4805)),"WIN_BY_GOLDEN_GOAL","WIN_BY_SCORE"))))</f>
        <v>MATCH_NUL</v>
      </c>
      <c r="BI328" s="99" t="str">
        <f>IF(OR(BG328=DATA_CLEANED!AK319,BG328=DATA_CLEANED!AN319,BG328="MATCH NUL"),"OK","ERREUR")</f>
        <v>OK</v>
      </c>
    </row>
    <row r="329" spans="2:61">
      <c r="B329" s="74">
        <v>2018</v>
      </c>
      <c r="C329" s="30" t="str">
        <v>Round of 16</v>
      </c>
      <c r="D329" s="30" t="str">
        <v>Colombia</v>
      </c>
      <c r="E329" s="30" t="str">
        <v>England</v>
      </c>
      <c r="F329" s="30" t="str">
        <v>England</v>
      </c>
      <c r="G329" s="30" t="str">
        <v>Eric Dier</v>
      </c>
      <c r="H329" s="30" t="str">
        <v>David Ospina</v>
      </c>
      <c r="I329" s="30">
        <v>10</v>
      </c>
      <c r="J329" s="30">
        <v>5</v>
      </c>
      <c r="K329" s="30" t="str">
        <v>'3-3</v>
      </c>
      <c r="L329" s="30" t="str">
        <v>No</v>
      </c>
      <c r="M329" s="30" t="str">
        <v>Yes</v>
      </c>
      <c r="N329" s="30" t="str">
        <v>Goal</v>
      </c>
      <c r="O329" s="30" t="str">
        <f t="shared" si="32"/>
        <v>2018|Round of 16|Colombia|England|England|Eric Dier|David Ospina|10|5|'3-3|No|Yes|Goal</v>
      </c>
      <c r="P329" s="96" t="str">
        <f>IF(COUNTIF($G$32:O329,O329)&gt;1,"DOUBLON","OK")</f>
        <v>OK</v>
      </c>
      <c r="S329" s="30" t="str">
        <v>Russia</v>
      </c>
      <c r="T329" s="30" t="str">
        <f t="shared" si="34"/>
        <v>OK</v>
      </c>
      <c r="U329" s="30" t="str">
        <f t="shared" si="35"/>
        <v>-</v>
      </c>
      <c r="V329" s="30" t="str" cm="1">
        <f t="array" ref="V329">_xlfn.IFS(
ISNUMBER(SEARCH("USA",S329)),"United States",
ISNUMBER(SEARCH("Republic of Korea",S329)),"South Korea",
ISNUMBER(SEARCH("Cape Verde",S329)),"Cabo Verde",
ISNUMBER(SEARCH("Czechia",S329)),"Czech Republic",
ISNUMBER(SEARCH("Türkiye",S329)),"Turkey",
ISNUMBER(SEARCH("Ivory Coast",S329)),"Côte d'Ivoire",
ISNUMBER(SEARCH("Korea Republic",S329)),"South Korea",
ISNUMBER(SEARCH("Germany FR",S329)),"FR Germany",
ISNUMBER(SEARCH("West Germany",S329)),"FR Germany",
ISNUMBER(SEARCH("Germany DR",S329)),"DR Germany",
ISNUMBER(SEARCH("Korea DPR",S329)),"North Korea",
ISNUMBER(SEARCH("China PR",S329)),"China",
ISNUMBER(SEARCH("IR Iran",S329)),"Iran",
ISNUMBER(SEARCH("Congo DR",S329)),"Democratic Republic of the Congo",
ISNUMBER(SEARCH("DR Congo",S329)),"Democratic Republic of the Congo",
ISNUMBER(SEARCH("German DR",S329)),"DR Germany",
ISNUMBER(SEARCH("rn""&gt;United Arab Emirates",S329)),"United Arab Emirates",
ISNUMBER(SEARCH("rn""&gt;Republic of Ireland",S329)),"Ireland",
ISNUMBER(SEARCH("rn""&gt;Bosnia and Herzegovina",S329)),"Bosnia and Herzegovina",
ISNUMBER(SEARCH("rn""&gt;Trinidad and Tobago",S329)),"Trinidad and Tobago",
ISNUMBER(SEARCH("rn""&gt;Serbia and Montenegro",S329)),"Serbia and Montenegro",
ISNUMBER(SEARCH(_xlfn.UNICHAR(65533),S329)),"Côte d'Ivoire",
TRUE,""
)</f>
        <v/>
      </c>
      <c r="W329" s="30" t="str">
        <f t="shared" si="31"/>
        <v>Russia</v>
      </c>
      <c r="Z329" s="40" t="str">
        <v>El Monumental - Estadio Monumental Antonio Vespuci</v>
      </c>
      <c r="AA329" s="40" t="str" cm="1">
        <f t="array" ref="AA329">IFERROR(_xlfn.XLOOKUP(Z329,_xlfn.ANCHORARRAY(Z$31),AA$31:AA$37),Z329)</f>
        <v>El Monumental - Estadio Monumental Antonio Vespuci</v>
      </c>
      <c r="AB329" s="42" t="str">
        <v xml:space="preserve">Buenos Aires </v>
      </c>
      <c r="AC329" s="89" t="str">
        <f t="shared" si="33"/>
        <v xml:space="preserve">Buenos Aires </v>
      </c>
      <c r="AE329" s="42">
        <v>1974</v>
      </c>
      <c r="AK329" s="42">
        <v>0</v>
      </c>
      <c r="AL329" s="42">
        <v>7</v>
      </c>
      <c r="AV329" s="37" t="str">
        <v>ROUND_OF_32</v>
      </c>
      <c r="AW329" s="89" t="str">
        <v>GROUP_STAGE</v>
      </c>
      <c r="BE329" s="43" t="str">
        <f>IF(OR(DATA_CLEANED!AL320="",DATA_CLEANED!AM320=""),"MANQUANT",IF(OR(NOT(ISNUMBER(DATA_CLEANED!AL320)),NOT(ISNUMBER(DATA_CLEANED!AM320))),"ENTREE INVALIDE",IF(OR(DATA_CLEANED!AL320&lt;0,DATA_CLEANED!AM320&lt;0),"SCORE NEGATIF","OK")))</f>
        <v>OK</v>
      </c>
      <c r="BF329" s="43" t="str">
        <f>IF(DATA_CLEANED!AK320&lt;&gt;DATA_CLEANED!AN320,"OK","ERREUR")</f>
        <v>OK</v>
      </c>
      <c r="BG329" s="43" t="str">
        <f>IF(DATA_CLEANED!AL320&gt;DATA_CLEANED!AM320,DATA_CLEANED!AK320,IF(AND(DATA_QUALITE!W4806="-",DATA_CLEANED!AM320=DATA_CLEANED!AL320),"MATCH NUL",IF(AND(DATA_QUALITE!V4806="-",DATA_QUALITE!U4806="AUCUNE"),DATA_QUALITE!T4806,IF(DATA_QUALITE!V4806&lt;&gt;"-",DATA_QUALITE!V4806,DATA_CLEANED!AN320))))</f>
        <v>Austria</v>
      </c>
      <c r="BH329" s="103" t="str">
        <f>IF(AND(BG329="MATCH NUL",DATA_CLEANED!AO320="-"),"MATCH_NUL",IF(ISNUMBER(SEARCH("win on penalties",W4806)),"WIN_BY_PENALTY",IF(ISNUMBER(SEARCH("win after extra time",W4806)),"WIN_BY_EXTRA_TIME",IF(ISNUMBER(SEARCH("Golden Goal",W4806)),"WIN_BY_GOLDEN_GOAL","WIN_BY_SCORE"))))</f>
        <v>WIN_BY_SCORE</v>
      </c>
      <c r="BI329" s="99" t="str">
        <f>IF(OR(BG329=DATA_CLEANED!AK320,BG329=DATA_CLEANED!AN320,BG329="MATCH NUL"),"OK","ERREUR")</f>
        <v>OK</v>
      </c>
    </row>
    <row r="330" spans="2:61">
      <c r="B330" s="74">
        <v>2018</v>
      </c>
      <c r="C330" s="30" t="str">
        <v>Round of 16</v>
      </c>
      <c r="D330" s="30" t="str">
        <v>Croatia</v>
      </c>
      <c r="E330" s="30" t="str">
        <v>Denmark</v>
      </c>
      <c r="F330" s="30" t="str">
        <v>Denmark</v>
      </c>
      <c r="G330" s="30" t="str">
        <v>Christian Eriksen</v>
      </c>
      <c r="H330" s="30" t="str">
        <v>Danijel Subašić</v>
      </c>
      <c r="I330" s="30">
        <v>1</v>
      </c>
      <c r="J330" s="30">
        <v>1</v>
      </c>
      <c r="K330" s="30" t="str">
        <v>'0-0</v>
      </c>
      <c r="L330" s="30" t="str">
        <v>No</v>
      </c>
      <c r="M330" s="30" t="str">
        <v>No</v>
      </c>
      <c r="N330" s="30" t="str">
        <v>Saved</v>
      </c>
      <c r="O330" s="30" t="str">
        <f t="shared" si="32"/>
        <v>2018|Round of 16|Croatia|Denmark|Denmark|Christian Eriksen|Danijel Subašić|1|1|'0-0|No|No|Saved</v>
      </c>
      <c r="P330" s="96" t="str">
        <f>IF(COUNTIF($G$32:O330,O330)&gt;1,"DOUBLON","OK")</f>
        <v>OK</v>
      </c>
      <c r="S330" s="30" t="str">
        <v>Russia</v>
      </c>
      <c r="T330" s="30" t="str">
        <f t="shared" si="34"/>
        <v>OK</v>
      </c>
      <c r="U330" s="30" t="str">
        <f t="shared" si="35"/>
        <v>-</v>
      </c>
      <c r="V330" s="30" t="str" cm="1">
        <f t="array" ref="V330">_xlfn.IFS(
ISNUMBER(SEARCH("USA",S330)),"United States",
ISNUMBER(SEARCH("Republic of Korea",S330)),"South Korea",
ISNUMBER(SEARCH("Cape Verde",S330)),"Cabo Verde",
ISNUMBER(SEARCH("Czechia",S330)),"Czech Republic",
ISNUMBER(SEARCH("Türkiye",S330)),"Turkey",
ISNUMBER(SEARCH("Ivory Coast",S330)),"Côte d'Ivoire",
ISNUMBER(SEARCH("Korea Republic",S330)),"South Korea",
ISNUMBER(SEARCH("Germany FR",S330)),"FR Germany",
ISNUMBER(SEARCH("West Germany",S330)),"FR Germany",
ISNUMBER(SEARCH("Germany DR",S330)),"DR Germany",
ISNUMBER(SEARCH("Korea DPR",S330)),"North Korea",
ISNUMBER(SEARCH("China PR",S330)),"China",
ISNUMBER(SEARCH("IR Iran",S330)),"Iran",
ISNUMBER(SEARCH("Congo DR",S330)),"Democratic Republic of the Congo",
ISNUMBER(SEARCH("DR Congo",S330)),"Democratic Republic of the Congo",
ISNUMBER(SEARCH("German DR",S330)),"DR Germany",
ISNUMBER(SEARCH("rn""&gt;United Arab Emirates",S330)),"United Arab Emirates",
ISNUMBER(SEARCH("rn""&gt;Republic of Ireland",S330)),"Ireland",
ISNUMBER(SEARCH("rn""&gt;Bosnia and Herzegovina",S330)),"Bosnia and Herzegovina",
ISNUMBER(SEARCH("rn""&gt;Trinidad and Tobago",S330)),"Trinidad and Tobago",
ISNUMBER(SEARCH("rn""&gt;Serbia and Montenegro",S330)),"Serbia and Montenegro",
ISNUMBER(SEARCH(_xlfn.UNICHAR(65533),S330)),"Côte d'Ivoire",
TRUE,""
)</f>
        <v/>
      </c>
      <c r="W330" s="30" t="str">
        <f t="shared" si="31"/>
        <v>Russia</v>
      </c>
      <c r="Z330" s="40" t="str">
        <v>Estadio Jos� Mar�a Minella</v>
      </c>
      <c r="AA330" s="40" t="str" cm="1">
        <f t="array" ref="AA330">IFERROR(_xlfn.XLOOKUP(Z330,_xlfn.ANCHORARRAY(Z$31),AA$31:AA$37),Z330)</f>
        <v>Estadio José María Minella</v>
      </c>
      <c r="AB330" s="42" t="str">
        <v xml:space="preserve">Mar Del Plata </v>
      </c>
      <c r="AC330" s="89" t="str">
        <f t="shared" si="33"/>
        <v xml:space="preserve">Mar Del Plata </v>
      </c>
      <c r="AE330" s="42">
        <v>1974</v>
      </c>
      <c r="AK330" s="42">
        <v>1</v>
      </c>
      <c r="AL330" s="42">
        <v>1</v>
      </c>
      <c r="AV330" s="37" t="str">
        <v>ROUND_OF_32</v>
      </c>
      <c r="AW330" s="89" t="str">
        <v>GROUP_STAGE</v>
      </c>
      <c r="BE330" s="43" t="str">
        <f>IF(OR(DATA_CLEANED!AL321="",DATA_CLEANED!AM321=""),"MANQUANT",IF(OR(NOT(ISNUMBER(DATA_CLEANED!AL321)),NOT(ISNUMBER(DATA_CLEANED!AM321))),"ENTREE INVALIDE",IF(OR(DATA_CLEANED!AL321&lt;0,DATA_CLEANED!AM321&lt;0),"SCORE NEGATIF","OK")))</f>
        <v>OK</v>
      </c>
      <c r="BF330" s="43" t="str">
        <f>IF(DATA_CLEANED!AK321&lt;&gt;DATA_CLEANED!AN321,"OK","ERREUR")</f>
        <v>OK</v>
      </c>
      <c r="BG330" s="43" t="str">
        <f>IF(DATA_CLEANED!AL321&gt;DATA_CLEANED!AM321,DATA_CLEANED!AK321,IF(AND(DATA_QUALITE!W4807="-",DATA_CLEANED!AM321=DATA_CLEANED!AL321),"MATCH NUL",IF(AND(DATA_QUALITE!V4807="-",DATA_QUALITE!U4807="AUCUNE"),DATA_QUALITE!T4807,IF(DATA_QUALITE!V4807&lt;&gt;"-",DATA_QUALITE!V4807,DATA_CLEANED!AN321))))</f>
        <v>MATCH NUL</v>
      </c>
      <c r="BH330" s="103" t="str">
        <f>IF(AND(BG330="MATCH NUL",DATA_CLEANED!AO321="-"),"MATCH_NUL",IF(ISNUMBER(SEARCH("win on penalties",W4807)),"WIN_BY_PENALTY",IF(ISNUMBER(SEARCH("win after extra time",W4807)),"WIN_BY_EXTRA_TIME",IF(ISNUMBER(SEARCH("Golden Goal",W4807)),"WIN_BY_GOLDEN_GOAL","WIN_BY_SCORE"))))</f>
        <v>MATCH_NUL</v>
      </c>
      <c r="BI330" s="99" t="str">
        <f>IF(OR(BG330=DATA_CLEANED!AK321,BG330=DATA_CLEANED!AN321,BG330="MATCH NUL"),"OK","ERREUR")</f>
        <v>OK</v>
      </c>
    </row>
    <row r="331" spans="2:61">
      <c r="B331" s="74">
        <v>2018</v>
      </c>
      <c r="C331" s="30" t="str">
        <v>Round of 16</v>
      </c>
      <c r="D331" s="30" t="str">
        <v>Croatia</v>
      </c>
      <c r="E331" s="30" t="str">
        <v>Denmark</v>
      </c>
      <c r="F331" s="30" t="str">
        <v>Croatia</v>
      </c>
      <c r="G331" s="30" t="str">
        <v>Milan Badelj</v>
      </c>
      <c r="H331" s="30" t="str">
        <v>Kasper Schmeichel</v>
      </c>
      <c r="I331" s="30">
        <v>2</v>
      </c>
      <c r="J331" s="30">
        <v>1</v>
      </c>
      <c r="K331" s="30" t="str">
        <v>'0-0</v>
      </c>
      <c r="L331" s="30" t="str">
        <v>No</v>
      </c>
      <c r="M331" s="30" t="str">
        <v>No</v>
      </c>
      <c r="N331" s="30" t="str">
        <v>Saved</v>
      </c>
      <c r="O331" s="30" t="str">
        <f t="shared" si="32"/>
        <v>2018|Round of 16|Croatia|Denmark|Croatia|Milan Badelj|Kasper Schmeichel|2|1|'0-0|No|No|Saved</v>
      </c>
      <c r="P331" s="96" t="str">
        <f>IF(COUNTIF($G$32:O331,O331)&gt;1,"DOUBLON","OK")</f>
        <v>OK</v>
      </c>
      <c r="S331" s="30" t="str">
        <v>Russia</v>
      </c>
      <c r="T331" s="30" t="str">
        <f t="shared" si="34"/>
        <v>OK</v>
      </c>
      <c r="U331" s="30" t="str">
        <f t="shared" si="35"/>
        <v>-</v>
      </c>
      <c r="V331" s="30" t="str" cm="1">
        <f t="array" ref="V331">_xlfn.IFS(
ISNUMBER(SEARCH("USA",S331)),"United States",
ISNUMBER(SEARCH("Republic of Korea",S331)),"South Korea",
ISNUMBER(SEARCH("Cape Verde",S331)),"Cabo Verde",
ISNUMBER(SEARCH("Czechia",S331)),"Czech Republic",
ISNUMBER(SEARCH("Türkiye",S331)),"Turkey",
ISNUMBER(SEARCH("Ivory Coast",S331)),"Côte d'Ivoire",
ISNUMBER(SEARCH("Korea Republic",S331)),"South Korea",
ISNUMBER(SEARCH("Germany FR",S331)),"FR Germany",
ISNUMBER(SEARCH("West Germany",S331)),"FR Germany",
ISNUMBER(SEARCH("Germany DR",S331)),"DR Germany",
ISNUMBER(SEARCH("Korea DPR",S331)),"North Korea",
ISNUMBER(SEARCH("China PR",S331)),"China",
ISNUMBER(SEARCH("IR Iran",S331)),"Iran",
ISNUMBER(SEARCH("Congo DR",S331)),"Democratic Republic of the Congo",
ISNUMBER(SEARCH("DR Congo",S331)),"Democratic Republic of the Congo",
ISNUMBER(SEARCH("German DR",S331)),"DR Germany",
ISNUMBER(SEARCH("rn""&gt;United Arab Emirates",S331)),"United Arab Emirates",
ISNUMBER(SEARCH("rn""&gt;Republic of Ireland",S331)),"Ireland",
ISNUMBER(SEARCH("rn""&gt;Bosnia and Herzegovina",S331)),"Bosnia and Herzegovina",
ISNUMBER(SEARCH("rn""&gt;Trinidad and Tobago",S331)),"Trinidad and Tobago",
ISNUMBER(SEARCH("rn""&gt;Serbia and Montenegro",S331)),"Serbia and Montenegro",
ISNUMBER(SEARCH(_xlfn.UNICHAR(65533),S331)),"Côte d'Ivoire",
TRUE,""
)</f>
        <v/>
      </c>
      <c r="W331" s="30" t="str">
        <f t="shared" si="31"/>
        <v>Russia</v>
      </c>
      <c r="Z331" s="40" t="str">
        <v>Jose Amalfitani</v>
      </c>
      <c r="AA331" s="40" t="str" cm="1">
        <f t="array" ref="AA331">IFERROR(_xlfn.XLOOKUP(Z331,_xlfn.ANCHORARRAY(Z$31),AA$31:AA$37),Z331)</f>
        <v>Jose Amalfitani</v>
      </c>
      <c r="AB331" s="42" t="str">
        <v xml:space="preserve">Buenos Aires </v>
      </c>
      <c r="AC331" s="89" t="str">
        <f t="shared" si="33"/>
        <v xml:space="preserve">Buenos Aires </v>
      </c>
      <c r="AE331" s="42">
        <v>1974</v>
      </c>
      <c r="AK331" s="42">
        <v>1</v>
      </c>
      <c r="AL331" s="42">
        <v>1</v>
      </c>
      <c r="AV331" s="37" t="str">
        <v>ROUND_OF_32</v>
      </c>
      <c r="AW331" s="89" t="str">
        <v>GROUP_STAGE</v>
      </c>
      <c r="BE331" s="43" t="str">
        <f>IF(OR(DATA_CLEANED!AL322="",DATA_CLEANED!AM322=""),"MANQUANT",IF(OR(NOT(ISNUMBER(DATA_CLEANED!AL322)),NOT(ISNUMBER(DATA_CLEANED!AM322))),"ENTREE INVALIDE",IF(OR(DATA_CLEANED!AL322&lt;0,DATA_CLEANED!AM322&lt;0),"SCORE NEGATIF","OK")))</f>
        <v>OK</v>
      </c>
      <c r="BF331" s="43" t="str">
        <f>IF(DATA_CLEANED!AK322&lt;&gt;DATA_CLEANED!AN322,"OK","ERREUR")</f>
        <v>OK</v>
      </c>
      <c r="BG331" s="43" t="str">
        <f>IF(DATA_CLEANED!AL322&gt;DATA_CLEANED!AM322,DATA_CLEANED!AK322,IF(AND(DATA_QUALITE!W4808="-",DATA_CLEANED!AM322=DATA_CLEANED!AL322),"MATCH NUL",IF(AND(DATA_QUALITE!V4808="-",DATA_QUALITE!U4808="AUCUNE"),DATA_QUALITE!T4808,IF(DATA_QUALITE!V4808&lt;&gt;"-",DATA_QUALITE!V4808,DATA_CLEANED!AN322))))</f>
        <v>MATCH NUL</v>
      </c>
      <c r="BH331" s="103" t="str">
        <f>IF(AND(BG331="MATCH NUL",DATA_CLEANED!AO322="-"),"MATCH_NUL",IF(ISNUMBER(SEARCH("win on penalties",W4808)),"WIN_BY_PENALTY",IF(ISNUMBER(SEARCH("win after extra time",W4808)),"WIN_BY_EXTRA_TIME",IF(ISNUMBER(SEARCH("Golden Goal",W4808)),"WIN_BY_GOLDEN_GOAL","WIN_BY_SCORE"))))</f>
        <v>MATCH_NUL</v>
      </c>
      <c r="BI331" s="99" t="str">
        <f>IF(OR(BG331=DATA_CLEANED!AK322,BG331=DATA_CLEANED!AN322,BG331="MATCH NUL"),"OK","ERREUR")</f>
        <v>OK</v>
      </c>
    </row>
    <row r="332" spans="2:61">
      <c r="B332" s="74">
        <v>2018</v>
      </c>
      <c r="C332" s="30" t="str">
        <v>Round of 16</v>
      </c>
      <c r="D332" s="30" t="str">
        <v>Croatia</v>
      </c>
      <c r="E332" s="30" t="str">
        <v>Denmark</v>
      </c>
      <c r="F332" s="30" t="str">
        <v>Denmark</v>
      </c>
      <c r="G332" s="30" t="str">
        <v>Simon Kjær</v>
      </c>
      <c r="H332" s="30" t="str">
        <v>Danijel Subašić</v>
      </c>
      <c r="I332" s="30">
        <v>3</v>
      </c>
      <c r="J332" s="30">
        <v>2</v>
      </c>
      <c r="K332" s="30" t="str">
        <v>'0-0</v>
      </c>
      <c r="L332" s="30" t="str">
        <v>No</v>
      </c>
      <c r="M332" s="30" t="str">
        <v>No</v>
      </c>
      <c r="N332" s="30" t="str">
        <v>Goal</v>
      </c>
      <c r="O332" s="30" t="str">
        <f t="shared" si="32"/>
        <v>2018|Round of 16|Croatia|Denmark|Denmark|Simon Kjær|Danijel Subašić|3|2|'0-0|No|No|Goal</v>
      </c>
      <c r="P332" s="96" t="str">
        <f>IF(COUNTIF($G$32:O332,O332)&gt;1,"DOUBLON","OK")</f>
        <v>OK</v>
      </c>
      <c r="S332" s="30" t="str">
        <v>Russia</v>
      </c>
      <c r="T332" s="30" t="str">
        <f t="shared" si="34"/>
        <v>OK</v>
      </c>
      <c r="U332" s="30" t="str">
        <f t="shared" si="35"/>
        <v>-</v>
      </c>
      <c r="V332" s="30" t="str" cm="1">
        <f t="array" ref="V332">_xlfn.IFS(
ISNUMBER(SEARCH("USA",S332)),"United States",
ISNUMBER(SEARCH("Republic of Korea",S332)),"South Korea",
ISNUMBER(SEARCH("Cape Verde",S332)),"Cabo Verde",
ISNUMBER(SEARCH("Czechia",S332)),"Czech Republic",
ISNUMBER(SEARCH("Türkiye",S332)),"Turkey",
ISNUMBER(SEARCH("Ivory Coast",S332)),"Côte d'Ivoire",
ISNUMBER(SEARCH("Korea Republic",S332)),"South Korea",
ISNUMBER(SEARCH("Germany FR",S332)),"FR Germany",
ISNUMBER(SEARCH("West Germany",S332)),"FR Germany",
ISNUMBER(SEARCH("Germany DR",S332)),"DR Germany",
ISNUMBER(SEARCH("Korea DPR",S332)),"North Korea",
ISNUMBER(SEARCH("China PR",S332)),"China",
ISNUMBER(SEARCH("IR Iran",S332)),"Iran",
ISNUMBER(SEARCH("Congo DR",S332)),"Democratic Republic of the Congo",
ISNUMBER(SEARCH("DR Congo",S332)),"Democratic Republic of the Congo",
ISNUMBER(SEARCH("German DR",S332)),"DR Germany",
ISNUMBER(SEARCH("rn""&gt;United Arab Emirates",S332)),"United Arab Emirates",
ISNUMBER(SEARCH("rn""&gt;Republic of Ireland",S332)),"Ireland",
ISNUMBER(SEARCH("rn""&gt;Bosnia and Herzegovina",S332)),"Bosnia and Herzegovina",
ISNUMBER(SEARCH("rn""&gt;Trinidad and Tobago",S332)),"Trinidad and Tobago",
ISNUMBER(SEARCH("rn""&gt;Serbia and Montenegro",S332)),"Serbia and Montenegro",
ISNUMBER(SEARCH(_xlfn.UNICHAR(65533),S332)),"Côte d'Ivoire",
TRUE,""
)</f>
        <v/>
      </c>
      <c r="W332" s="30" t="str">
        <f t="shared" si="31"/>
        <v>Russia</v>
      </c>
      <c r="Z332" s="40" t="str">
        <v>Estadio Ol�mpico Chateau Carreras</v>
      </c>
      <c r="AA332" s="40" t="str" cm="1">
        <f t="array" ref="AA332">IFERROR(_xlfn.XLOOKUP(Z332,_xlfn.ANCHORARRAY(Z$31),AA$31:AA$37),Z332)</f>
        <v>Estadio Olímpico Chateau Carreras</v>
      </c>
      <c r="AB332" s="42" t="str">
        <v xml:space="preserve">Cordoba </v>
      </c>
      <c r="AC332" s="89" t="str">
        <f t="shared" si="33"/>
        <v xml:space="preserve">Cordoba </v>
      </c>
      <c r="AE332" s="42">
        <v>1974</v>
      </c>
      <c r="AK332" s="42">
        <v>0</v>
      </c>
      <c r="AL332" s="42">
        <v>0</v>
      </c>
      <c r="AV332" s="37" t="str">
        <v>ROUND_OF_32</v>
      </c>
      <c r="AW332" s="89" t="str">
        <v>GROUP_STAGE</v>
      </c>
      <c r="BE332" s="43" t="str">
        <f>IF(OR(DATA_CLEANED!AL323="",DATA_CLEANED!AM323=""),"MANQUANT",IF(OR(NOT(ISNUMBER(DATA_CLEANED!AL323)),NOT(ISNUMBER(DATA_CLEANED!AM323))),"ENTREE INVALIDE",IF(OR(DATA_CLEANED!AL323&lt;0,DATA_CLEANED!AM323&lt;0),"SCORE NEGATIF","OK")))</f>
        <v>OK</v>
      </c>
      <c r="BF332" s="43" t="str">
        <f>IF(DATA_CLEANED!AK323&lt;&gt;DATA_CLEANED!AN323,"OK","ERREUR")</f>
        <v>OK</v>
      </c>
      <c r="BG332" s="43" t="str">
        <f>IF(DATA_CLEANED!AL323&gt;DATA_CLEANED!AM323,DATA_CLEANED!AK323,IF(AND(DATA_QUALITE!W4809="-",DATA_CLEANED!AM323=DATA_CLEANED!AL323),"MATCH NUL",IF(AND(DATA_QUALITE!V4809="-",DATA_QUALITE!U4809="AUCUNE"),DATA_QUALITE!T4809,IF(DATA_QUALITE!V4809&lt;&gt;"-",DATA_QUALITE!V4809,DATA_CLEANED!AN323))))</f>
        <v>MATCH NUL</v>
      </c>
      <c r="BH332" s="103" t="str">
        <f>IF(AND(BG332="MATCH NUL",DATA_CLEANED!AO323="-"),"MATCH_NUL",IF(ISNUMBER(SEARCH("win on penalties",W4809)),"WIN_BY_PENALTY",IF(ISNUMBER(SEARCH("win after extra time",W4809)),"WIN_BY_EXTRA_TIME",IF(ISNUMBER(SEARCH("Golden Goal",W4809)),"WIN_BY_GOLDEN_GOAL","WIN_BY_SCORE"))))</f>
        <v>MATCH_NUL</v>
      </c>
      <c r="BI332" s="99" t="str">
        <f>IF(OR(BG332=DATA_CLEANED!AK323,BG332=DATA_CLEANED!AN323,BG332="MATCH NUL"),"OK","ERREUR")</f>
        <v>OK</v>
      </c>
    </row>
    <row r="333" spans="2:61">
      <c r="B333" s="74">
        <v>2018</v>
      </c>
      <c r="C333" s="30" t="str">
        <v>Round of 16</v>
      </c>
      <c r="D333" s="30" t="str">
        <v>Croatia</v>
      </c>
      <c r="E333" s="30" t="str">
        <v>Denmark</v>
      </c>
      <c r="F333" s="30" t="str">
        <v>Croatia</v>
      </c>
      <c r="G333" s="30" t="str">
        <v>Andrej Kramarić</v>
      </c>
      <c r="H333" s="30" t="str">
        <v>Kasper Schmeichel</v>
      </c>
      <c r="I333" s="30">
        <v>4</v>
      </c>
      <c r="J333" s="30">
        <v>2</v>
      </c>
      <c r="K333" s="30" t="str">
        <v>'0-1</v>
      </c>
      <c r="L333" s="30" t="str">
        <v>No</v>
      </c>
      <c r="M333" s="30" t="str">
        <v>No</v>
      </c>
      <c r="N333" s="30" t="str">
        <v>Goal</v>
      </c>
      <c r="O333" s="30" t="str">
        <f t="shared" si="32"/>
        <v>2018|Round of 16|Croatia|Denmark|Croatia|Andrej Kramarić|Kasper Schmeichel|4|2|'0-1|No|No|Goal</v>
      </c>
      <c r="P333" s="96" t="str">
        <f>IF(COUNTIF($G$32:O333,O333)&gt;1,"DOUBLON","OK")</f>
        <v>OK</v>
      </c>
      <c r="S333" s="30" t="str">
        <v>Russia</v>
      </c>
      <c r="T333" s="30" t="str">
        <f t="shared" si="34"/>
        <v>OK</v>
      </c>
      <c r="U333" s="30" t="str">
        <f t="shared" si="35"/>
        <v>-</v>
      </c>
      <c r="V333" s="30" t="str" cm="1">
        <f t="array" ref="V333">_xlfn.IFS(
ISNUMBER(SEARCH("USA",S333)),"United States",
ISNUMBER(SEARCH("Republic of Korea",S333)),"South Korea",
ISNUMBER(SEARCH("Cape Verde",S333)),"Cabo Verde",
ISNUMBER(SEARCH("Czechia",S333)),"Czech Republic",
ISNUMBER(SEARCH("Türkiye",S333)),"Turkey",
ISNUMBER(SEARCH("Ivory Coast",S333)),"Côte d'Ivoire",
ISNUMBER(SEARCH("Korea Republic",S333)),"South Korea",
ISNUMBER(SEARCH("Germany FR",S333)),"FR Germany",
ISNUMBER(SEARCH("West Germany",S333)),"FR Germany",
ISNUMBER(SEARCH("Germany DR",S333)),"DR Germany",
ISNUMBER(SEARCH("Korea DPR",S333)),"North Korea",
ISNUMBER(SEARCH("China PR",S333)),"China",
ISNUMBER(SEARCH("IR Iran",S333)),"Iran",
ISNUMBER(SEARCH("Congo DR",S333)),"Democratic Republic of the Congo",
ISNUMBER(SEARCH("DR Congo",S333)),"Democratic Republic of the Congo",
ISNUMBER(SEARCH("German DR",S333)),"DR Germany",
ISNUMBER(SEARCH("rn""&gt;United Arab Emirates",S333)),"United Arab Emirates",
ISNUMBER(SEARCH("rn""&gt;Republic of Ireland",S333)),"Ireland",
ISNUMBER(SEARCH("rn""&gt;Bosnia and Herzegovina",S333)),"Bosnia and Herzegovina",
ISNUMBER(SEARCH("rn""&gt;Trinidad and Tobago",S333)),"Trinidad and Tobago",
ISNUMBER(SEARCH("rn""&gt;Serbia and Montenegro",S333)),"Serbia and Montenegro",
ISNUMBER(SEARCH(_xlfn.UNICHAR(65533),S333)),"Côte d'Ivoire",
TRUE,""
)</f>
        <v/>
      </c>
      <c r="W333" s="30" t="str">
        <f t="shared" si="31"/>
        <v>Russia</v>
      </c>
      <c r="Z333" s="40" t="str">
        <v>San Martin</v>
      </c>
      <c r="AA333" s="40" t="str" cm="1">
        <f t="array" ref="AA333">IFERROR(_xlfn.XLOOKUP(Z333,_xlfn.ANCHORARRAY(Z$31),AA$31:AA$37),Z333)</f>
        <v>San Martin</v>
      </c>
      <c r="AB333" s="42" t="str">
        <v xml:space="preserve">Mendoza </v>
      </c>
      <c r="AC333" s="89" t="str">
        <f t="shared" si="33"/>
        <v xml:space="preserve">Mendoza </v>
      </c>
      <c r="AE333" s="42">
        <v>1974</v>
      </c>
      <c r="AK333" s="42">
        <v>0</v>
      </c>
      <c r="AL333" s="42">
        <v>3</v>
      </c>
      <c r="AV333" s="37" t="str">
        <v>ROUND_OF_32</v>
      </c>
      <c r="AW333" s="89" t="str">
        <v>GROUP_STAGE</v>
      </c>
      <c r="BE333" s="43" t="str">
        <f>IF(OR(DATA_CLEANED!AL324="",DATA_CLEANED!AM324=""),"MANQUANT",IF(OR(NOT(ISNUMBER(DATA_CLEANED!AL324)),NOT(ISNUMBER(DATA_CLEANED!AM324))),"ENTREE INVALIDE",IF(OR(DATA_CLEANED!AL324&lt;0,DATA_CLEANED!AM324&lt;0),"SCORE NEGATIF","OK")))</f>
        <v>OK</v>
      </c>
      <c r="BF333" s="43" t="str">
        <f>IF(DATA_CLEANED!AK324&lt;&gt;DATA_CLEANED!AN324,"OK","ERREUR")</f>
        <v>OK</v>
      </c>
      <c r="BG333" s="43" t="str">
        <f>IF(DATA_CLEANED!AL324&gt;DATA_CLEANED!AM324,DATA_CLEANED!AK324,IF(AND(DATA_QUALITE!W4810="-",DATA_CLEANED!AM324=DATA_CLEANED!AL324),"MATCH NUL",IF(AND(DATA_QUALITE!V4810="-",DATA_QUALITE!U4810="AUCUNE"),DATA_QUALITE!T4810,IF(DATA_QUALITE!V4810&lt;&gt;"-",DATA_QUALITE!V4810,DATA_CLEANED!AN324))))</f>
        <v>Argentina</v>
      </c>
      <c r="BH333" s="103" t="str">
        <f>IF(AND(BG333="MATCH NUL",DATA_CLEANED!AO324="-"),"MATCH_NUL",IF(ISNUMBER(SEARCH("win on penalties",W4810)),"WIN_BY_PENALTY",IF(ISNUMBER(SEARCH("win after extra time",W4810)),"WIN_BY_EXTRA_TIME",IF(ISNUMBER(SEARCH("Golden Goal",W4810)),"WIN_BY_GOLDEN_GOAL","WIN_BY_SCORE"))))</f>
        <v>WIN_BY_SCORE</v>
      </c>
      <c r="BI333" s="99" t="str">
        <f>IF(OR(BG333=DATA_CLEANED!AK324,BG333=DATA_CLEANED!AN324,BG333="MATCH NUL"),"OK","ERREUR")</f>
        <v>OK</v>
      </c>
    </row>
    <row r="334" spans="2:61">
      <c r="B334" s="74">
        <v>2018</v>
      </c>
      <c r="C334" s="30" t="str">
        <v>Round of 16</v>
      </c>
      <c r="D334" s="30" t="str">
        <v>Croatia</v>
      </c>
      <c r="E334" s="30" t="str">
        <v>Denmark</v>
      </c>
      <c r="F334" s="30" t="str">
        <v>Denmark</v>
      </c>
      <c r="G334" s="30" t="str">
        <v>Michael Krohn-Dehli</v>
      </c>
      <c r="H334" s="30" t="str">
        <v>Danijel Subašić</v>
      </c>
      <c r="I334" s="30">
        <v>5</v>
      </c>
      <c r="J334" s="30">
        <v>3</v>
      </c>
      <c r="K334" s="30" t="str">
        <v>'1-1</v>
      </c>
      <c r="L334" s="30" t="str">
        <v>No</v>
      </c>
      <c r="M334" s="30" t="str">
        <v>No</v>
      </c>
      <c r="N334" s="30" t="str">
        <v>Goal</v>
      </c>
      <c r="O334" s="30" t="str">
        <f t="shared" si="32"/>
        <v>2018|Round of 16|Croatia|Denmark|Denmark|Michael Krohn-Dehli|Danijel Subašić|5|3|'1-1|No|No|Goal</v>
      </c>
      <c r="P334" s="96" t="str">
        <f>IF(COUNTIF($G$32:O334,O334)&gt;1,"DOUBLON","OK")</f>
        <v>OK</v>
      </c>
      <c r="S334" s="30" t="str">
        <v>Russia</v>
      </c>
      <c r="T334" s="30" t="str">
        <f t="shared" si="34"/>
        <v>OK</v>
      </c>
      <c r="U334" s="30" t="str">
        <f t="shared" si="35"/>
        <v>-</v>
      </c>
      <c r="V334" s="30" t="str" cm="1">
        <f t="array" ref="V334">_xlfn.IFS(
ISNUMBER(SEARCH("USA",S334)),"United States",
ISNUMBER(SEARCH("Republic of Korea",S334)),"South Korea",
ISNUMBER(SEARCH("Cape Verde",S334)),"Cabo Verde",
ISNUMBER(SEARCH("Czechia",S334)),"Czech Republic",
ISNUMBER(SEARCH("Türkiye",S334)),"Turkey",
ISNUMBER(SEARCH("Ivory Coast",S334)),"Côte d'Ivoire",
ISNUMBER(SEARCH("Korea Republic",S334)),"South Korea",
ISNUMBER(SEARCH("Germany FR",S334)),"FR Germany",
ISNUMBER(SEARCH("West Germany",S334)),"FR Germany",
ISNUMBER(SEARCH("Germany DR",S334)),"DR Germany",
ISNUMBER(SEARCH("Korea DPR",S334)),"North Korea",
ISNUMBER(SEARCH("China PR",S334)),"China",
ISNUMBER(SEARCH("IR Iran",S334)),"Iran",
ISNUMBER(SEARCH("Congo DR",S334)),"Democratic Republic of the Congo",
ISNUMBER(SEARCH("DR Congo",S334)),"Democratic Republic of the Congo",
ISNUMBER(SEARCH("German DR",S334)),"DR Germany",
ISNUMBER(SEARCH("rn""&gt;United Arab Emirates",S334)),"United Arab Emirates",
ISNUMBER(SEARCH("rn""&gt;Republic of Ireland",S334)),"Ireland",
ISNUMBER(SEARCH("rn""&gt;Bosnia and Herzegovina",S334)),"Bosnia and Herzegovina",
ISNUMBER(SEARCH("rn""&gt;Trinidad and Tobago",S334)),"Trinidad and Tobago",
ISNUMBER(SEARCH("rn""&gt;Serbia and Montenegro",S334)),"Serbia and Montenegro",
ISNUMBER(SEARCH(_xlfn.UNICHAR(65533),S334)),"Côte d'Ivoire",
TRUE,""
)</f>
        <v/>
      </c>
      <c r="W334" s="30" t="str">
        <f t="shared" ref="W334:W397" si="36">IF(V334="",S334,V334)</f>
        <v>Russia</v>
      </c>
      <c r="Z334" s="40" t="str">
        <v>El Monumental - Estadio Monumental Antonio Vespuci</v>
      </c>
      <c r="AA334" s="40" t="str" cm="1">
        <f t="array" ref="AA334">IFERROR(_xlfn.XLOOKUP(Z334,_xlfn.ANCHORARRAY(Z$31),AA$31:AA$37),Z334)</f>
        <v>El Monumental - Estadio Monumental Antonio Vespuci</v>
      </c>
      <c r="AB334" s="42" t="str">
        <v xml:space="preserve">Buenos Aires </v>
      </c>
      <c r="AC334" s="89" t="str">
        <f t="shared" si="33"/>
        <v xml:space="preserve">Buenos Aires </v>
      </c>
      <c r="AE334" s="42">
        <v>1974</v>
      </c>
      <c r="AK334" s="42">
        <v>1</v>
      </c>
      <c r="AL334" s="42">
        <v>0</v>
      </c>
      <c r="AV334" s="37" t="str">
        <v>ROUND_OF_32</v>
      </c>
      <c r="AW334" s="89" t="str">
        <v>GROUP_STAGE</v>
      </c>
      <c r="BE334" s="43" t="str">
        <f>IF(OR(DATA_CLEANED!AL325="",DATA_CLEANED!AM325=""),"MANQUANT",IF(OR(NOT(ISNUMBER(DATA_CLEANED!AL325)),NOT(ISNUMBER(DATA_CLEANED!AM325))),"ENTREE INVALIDE",IF(OR(DATA_CLEANED!AL325&lt;0,DATA_CLEANED!AM325&lt;0),"SCORE NEGATIF","OK")))</f>
        <v>OK</v>
      </c>
      <c r="BF334" s="43" t="str">
        <f>IF(DATA_CLEANED!AK325&lt;&gt;DATA_CLEANED!AN325,"OK","ERREUR")</f>
        <v>OK</v>
      </c>
      <c r="BG334" s="43" t="str">
        <f>IF(DATA_CLEANED!AL325&gt;DATA_CLEANED!AM325,DATA_CLEANED!AK325,IF(AND(DATA_QUALITE!W4811="-",DATA_CLEANED!AM325=DATA_CLEANED!AL325),"MATCH NUL",IF(AND(DATA_QUALITE!V4811="-",DATA_QUALITE!U4811="AUCUNE"),DATA_QUALITE!T4811,IF(DATA_QUALITE!V4811&lt;&gt;"-",DATA_QUALITE!V4811,DATA_CLEANED!AN325))))</f>
        <v>Brazil</v>
      </c>
      <c r="BH334" s="103" t="str">
        <f>IF(AND(BG334="MATCH NUL",DATA_CLEANED!AO325="-"),"MATCH_NUL",IF(ISNUMBER(SEARCH("win on penalties",W4811)),"WIN_BY_PENALTY",IF(ISNUMBER(SEARCH("win after extra time",W4811)),"WIN_BY_EXTRA_TIME",IF(ISNUMBER(SEARCH("Golden Goal",W4811)),"WIN_BY_GOLDEN_GOAL","WIN_BY_SCORE"))))</f>
        <v>WIN_BY_SCORE</v>
      </c>
      <c r="BI334" s="99" t="str">
        <f>IF(OR(BG334=DATA_CLEANED!AK325,BG334=DATA_CLEANED!AN325,BG334="MATCH NUL"),"OK","ERREUR")</f>
        <v>OK</v>
      </c>
    </row>
    <row r="335" spans="2:61">
      <c r="B335" s="74">
        <v>2018</v>
      </c>
      <c r="C335" s="30" t="str">
        <v>Round of 16</v>
      </c>
      <c r="D335" s="30" t="str">
        <v>Croatia</v>
      </c>
      <c r="E335" s="30" t="str">
        <v>Denmark</v>
      </c>
      <c r="F335" s="30" t="str">
        <v>Croatia</v>
      </c>
      <c r="G335" s="30" t="str">
        <v>Luka Modrić</v>
      </c>
      <c r="H335" s="30" t="str">
        <v>Kasper Schmeichel</v>
      </c>
      <c r="I335" s="30">
        <v>6</v>
      </c>
      <c r="J335" s="30">
        <v>3</v>
      </c>
      <c r="K335" s="30" t="str">
        <v>'2-1</v>
      </c>
      <c r="L335" s="30" t="str">
        <v>No</v>
      </c>
      <c r="M335" s="30" t="str">
        <v>No</v>
      </c>
      <c r="N335" s="30" t="str">
        <v>Goal</v>
      </c>
      <c r="O335" s="30" t="str">
        <f t="shared" si="32"/>
        <v>2018|Round of 16|Croatia|Denmark|Croatia|Luka Modrić|Kasper Schmeichel|6|3|'2-1|No|No|Goal</v>
      </c>
      <c r="P335" s="96" t="str">
        <f>IF(COUNTIF($G$32:O335,O335)&gt;1,"DOUBLON","OK")</f>
        <v>OK</v>
      </c>
      <c r="S335" s="30" t="str">
        <v>Russia</v>
      </c>
      <c r="T335" s="30" t="str">
        <f t="shared" si="34"/>
        <v>OK</v>
      </c>
      <c r="U335" s="30" t="str">
        <f t="shared" si="35"/>
        <v>-</v>
      </c>
      <c r="V335" s="30" t="str" cm="1">
        <f t="array" ref="V335">_xlfn.IFS(
ISNUMBER(SEARCH("USA",S335)),"United States",
ISNUMBER(SEARCH("Republic of Korea",S335)),"South Korea",
ISNUMBER(SEARCH("Cape Verde",S335)),"Cabo Verde",
ISNUMBER(SEARCH("Czechia",S335)),"Czech Republic",
ISNUMBER(SEARCH("Türkiye",S335)),"Turkey",
ISNUMBER(SEARCH("Ivory Coast",S335)),"Côte d'Ivoire",
ISNUMBER(SEARCH("Korea Republic",S335)),"South Korea",
ISNUMBER(SEARCH("Germany FR",S335)),"FR Germany",
ISNUMBER(SEARCH("West Germany",S335)),"FR Germany",
ISNUMBER(SEARCH("Germany DR",S335)),"DR Germany",
ISNUMBER(SEARCH("Korea DPR",S335)),"North Korea",
ISNUMBER(SEARCH("China PR",S335)),"China",
ISNUMBER(SEARCH("IR Iran",S335)),"Iran",
ISNUMBER(SEARCH("Congo DR",S335)),"Democratic Republic of the Congo",
ISNUMBER(SEARCH("DR Congo",S335)),"Democratic Republic of the Congo",
ISNUMBER(SEARCH("German DR",S335)),"DR Germany",
ISNUMBER(SEARCH("rn""&gt;United Arab Emirates",S335)),"United Arab Emirates",
ISNUMBER(SEARCH("rn""&gt;Republic of Ireland",S335)),"Ireland",
ISNUMBER(SEARCH("rn""&gt;Bosnia and Herzegovina",S335)),"Bosnia and Herzegovina",
ISNUMBER(SEARCH("rn""&gt;Trinidad and Tobago",S335)),"Trinidad and Tobago",
ISNUMBER(SEARCH("rn""&gt;Serbia and Montenegro",S335)),"Serbia and Montenegro",
ISNUMBER(SEARCH(_xlfn.UNICHAR(65533),S335)),"Côte d'Ivoire",
TRUE,""
)</f>
        <v/>
      </c>
      <c r="W335" s="30" t="str">
        <f t="shared" si="36"/>
        <v>Russia</v>
      </c>
      <c r="Z335" s="40" t="str">
        <v>Estadio Ol�mpico Chateau Carreras</v>
      </c>
      <c r="AA335" s="40" t="str" cm="1">
        <f t="array" ref="AA335">IFERROR(_xlfn.XLOOKUP(Z335,_xlfn.ANCHORARRAY(Z$31),AA$31:AA$37),Z335)</f>
        <v>Estadio Olímpico Chateau Carreras</v>
      </c>
      <c r="AB335" s="42" t="str">
        <v xml:space="preserve">Cordoba </v>
      </c>
      <c r="AC335" s="89" t="str">
        <f t="shared" si="33"/>
        <v xml:space="preserve">Cordoba </v>
      </c>
      <c r="AE335" s="42">
        <v>1974</v>
      </c>
      <c r="AK335" s="42">
        <v>1</v>
      </c>
      <c r="AL335" s="42">
        <v>4</v>
      </c>
      <c r="AV335" s="37" t="str">
        <v>ROUND_OF_32</v>
      </c>
      <c r="AW335" s="89" t="str">
        <v>GROUP_STAGE</v>
      </c>
      <c r="BE335" s="43" t="str">
        <f>IF(OR(DATA_CLEANED!AL326="",DATA_CLEANED!AM326=""),"MANQUANT",IF(OR(NOT(ISNUMBER(DATA_CLEANED!AL326)),NOT(ISNUMBER(DATA_CLEANED!AM326))),"ENTREE INVALIDE",IF(OR(DATA_CLEANED!AL326&lt;0,DATA_CLEANED!AM326&lt;0),"SCORE NEGATIF","OK")))</f>
        <v>OK</v>
      </c>
      <c r="BF335" s="43" t="str">
        <f>IF(DATA_CLEANED!AK326&lt;&gt;DATA_CLEANED!AN326,"OK","ERREUR")</f>
        <v>OK</v>
      </c>
      <c r="BG335" s="43" t="str">
        <f>IF(DATA_CLEANED!AL326&gt;DATA_CLEANED!AM326,DATA_CLEANED!AK326,IF(AND(DATA_QUALITE!W4812="-",DATA_CLEANED!AM326=DATA_CLEANED!AL326),"MATCH NUL",IF(AND(DATA_QUALITE!V4812="-",DATA_QUALITE!U4812="AUCUNE"),DATA_QUALITE!T4812,IF(DATA_QUALITE!V4812&lt;&gt;"-",DATA_QUALITE!V4812,DATA_CLEANED!AN326))))</f>
        <v>MATCH NUL</v>
      </c>
      <c r="BH335" s="103" t="str">
        <f>IF(AND(BG335="MATCH NUL",DATA_CLEANED!AO326="-"),"MATCH_NUL",IF(ISNUMBER(SEARCH("win on penalties",W4812)),"WIN_BY_PENALTY",IF(ISNUMBER(SEARCH("win after extra time",W4812)),"WIN_BY_EXTRA_TIME",IF(ISNUMBER(SEARCH("Golden Goal",W4812)),"WIN_BY_GOLDEN_GOAL","WIN_BY_SCORE"))))</f>
        <v>MATCH_NUL</v>
      </c>
      <c r="BI335" s="99" t="str">
        <f>IF(OR(BG335=DATA_CLEANED!AK326,BG335=DATA_CLEANED!AN326,BG335="MATCH NUL"),"OK","ERREUR")</f>
        <v>OK</v>
      </c>
    </row>
    <row r="336" spans="2:61">
      <c r="B336" s="74">
        <v>2018</v>
      </c>
      <c r="C336" s="30" t="str">
        <v>Round of 16</v>
      </c>
      <c r="D336" s="30" t="str">
        <v>Croatia</v>
      </c>
      <c r="E336" s="30" t="str">
        <v>Denmark</v>
      </c>
      <c r="F336" s="30" t="str">
        <v>Denmark</v>
      </c>
      <c r="G336" s="30" t="str">
        <v>Lasse Schöne</v>
      </c>
      <c r="H336" s="30" t="str">
        <v>Danijel Subašić</v>
      </c>
      <c r="I336" s="30">
        <v>7</v>
      </c>
      <c r="J336" s="30">
        <v>4</v>
      </c>
      <c r="K336" s="30" t="str">
        <v>'2-2</v>
      </c>
      <c r="L336" s="30" t="str">
        <v>No</v>
      </c>
      <c r="M336" s="30" t="str">
        <v>No</v>
      </c>
      <c r="N336" s="30" t="str">
        <v>Saved</v>
      </c>
      <c r="O336" s="30" t="str">
        <f t="shared" si="32"/>
        <v>2018|Round of 16|Croatia|Denmark|Denmark|Lasse Schöne|Danijel Subašić|7|4|'2-2|No|No|Saved</v>
      </c>
      <c r="P336" s="96" t="str">
        <f>IF(COUNTIF($G$32:O336,O336)&gt;1,"DOUBLON","OK")</f>
        <v>OK</v>
      </c>
      <c r="S336" s="30" t="str">
        <v>Russia</v>
      </c>
      <c r="T336" s="30" t="str">
        <f t="shared" si="34"/>
        <v>OK</v>
      </c>
      <c r="U336" s="30" t="str">
        <f t="shared" si="35"/>
        <v>-</v>
      </c>
      <c r="V336" s="30" t="str" cm="1">
        <f t="array" ref="V336">_xlfn.IFS(
ISNUMBER(SEARCH("USA",S336)),"United States",
ISNUMBER(SEARCH("Republic of Korea",S336)),"South Korea",
ISNUMBER(SEARCH("Cape Verde",S336)),"Cabo Verde",
ISNUMBER(SEARCH("Czechia",S336)),"Czech Republic",
ISNUMBER(SEARCH("Türkiye",S336)),"Turkey",
ISNUMBER(SEARCH("Ivory Coast",S336)),"Côte d'Ivoire",
ISNUMBER(SEARCH("Korea Republic",S336)),"South Korea",
ISNUMBER(SEARCH("Germany FR",S336)),"FR Germany",
ISNUMBER(SEARCH("West Germany",S336)),"FR Germany",
ISNUMBER(SEARCH("Germany DR",S336)),"DR Germany",
ISNUMBER(SEARCH("Korea DPR",S336)),"North Korea",
ISNUMBER(SEARCH("China PR",S336)),"China",
ISNUMBER(SEARCH("IR Iran",S336)),"Iran",
ISNUMBER(SEARCH("Congo DR",S336)),"Democratic Republic of the Congo",
ISNUMBER(SEARCH("DR Congo",S336)),"Democratic Republic of the Congo",
ISNUMBER(SEARCH("German DR",S336)),"DR Germany",
ISNUMBER(SEARCH("rn""&gt;United Arab Emirates",S336)),"United Arab Emirates",
ISNUMBER(SEARCH("rn""&gt;Republic of Ireland",S336)),"Ireland",
ISNUMBER(SEARCH("rn""&gt;Bosnia and Herzegovina",S336)),"Bosnia and Herzegovina",
ISNUMBER(SEARCH("rn""&gt;Trinidad and Tobago",S336)),"Trinidad and Tobago",
ISNUMBER(SEARCH("rn""&gt;Serbia and Montenegro",S336)),"Serbia and Montenegro",
ISNUMBER(SEARCH(_xlfn.UNICHAR(65533),S336)),"Côte d'Ivoire",
TRUE,""
)</f>
        <v/>
      </c>
      <c r="W336" s="30" t="str">
        <f t="shared" si="36"/>
        <v>Russia</v>
      </c>
      <c r="Z336" s="40" t="str">
        <v>San Martin</v>
      </c>
      <c r="AA336" s="40" t="str" cm="1">
        <f t="array" ref="AA336">IFERROR(_xlfn.XLOOKUP(Z336,_xlfn.ANCHORARRAY(Z$31),AA$31:AA$37),Z336)</f>
        <v>San Martin</v>
      </c>
      <c r="AB336" s="42" t="str">
        <v xml:space="preserve">Mendoza </v>
      </c>
      <c r="AC336" s="89" t="str">
        <f t="shared" si="33"/>
        <v xml:space="preserve">Mendoza </v>
      </c>
      <c r="AE336" s="42">
        <v>1974</v>
      </c>
      <c r="AK336" s="42">
        <v>4</v>
      </c>
      <c r="AL336" s="42">
        <v>1</v>
      </c>
      <c r="AV336" s="37" t="str">
        <v>ROUND_OF_32</v>
      </c>
      <c r="AW336" s="89" t="str">
        <v>GROUP_STAGE</v>
      </c>
      <c r="BE336" s="43" t="str">
        <f>IF(OR(DATA_CLEANED!AL327="",DATA_CLEANED!AM327=""),"MANQUANT",IF(OR(NOT(ISNUMBER(DATA_CLEANED!AL327)),NOT(ISNUMBER(DATA_CLEANED!AM327))),"ENTREE INVALIDE",IF(OR(DATA_CLEANED!AL327&lt;0,DATA_CLEANED!AM327&lt;0),"SCORE NEGATIF","OK")))</f>
        <v>OK</v>
      </c>
      <c r="BF336" s="43" t="str">
        <f>IF(DATA_CLEANED!AK327&lt;&gt;DATA_CLEANED!AN327,"OK","ERREUR")</f>
        <v>OK</v>
      </c>
      <c r="BG336" s="43" t="str">
        <f>IF(DATA_CLEANED!AL327&gt;DATA_CLEANED!AM327,DATA_CLEANED!AK327,IF(AND(DATA_QUALITE!W4813="-",DATA_CLEANED!AM327=DATA_CLEANED!AL327),"MATCH NUL",IF(AND(DATA_QUALITE!V4813="-",DATA_QUALITE!U4813="AUCUNE"),DATA_QUALITE!T4813,IF(DATA_QUALITE!V4813&lt;&gt;"-",DATA_QUALITE!V4813,DATA_CLEANED!AN327))))</f>
        <v>Belgium</v>
      </c>
      <c r="BH336" s="103" t="str">
        <f>IF(AND(BG336="MATCH NUL",DATA_CLEANED!AO327="-"),"MATCH_NUL",IF(ISNUMBER(SEARCH("win on penalties",W4813)),"WIN_BY_PENALTY",IF(ISNUMBER(SEARCH("win after extra time",W4813)),"WIN_BY_EXTRA_TIME",IF(ISNUMBER(SEARCH("Golden Goal",W4813)),"WIN_BY_GOLDEN_GOAL","WIN_BY_SCORE"))))</f>
        <v>WIN_BY_SCORE</v>
      </c>
      <c r="BI336" s="99" t="str">
        <f>IF(OR(BG336=DATA_CLEANED!AK327,BG336=DATA_CLEANED!AN327,BG336="MATCH NUL"),"OK","ERREUR")</f>
        <v>OK</v>
      </c>
    </row>
    <row r="337" spans="2:61">
      <c r="B337" s="74">
        <v>2018</v>
      </c>
      <c r="C337" s="30" t="str">
        <v>Round of 16</v>
      </c>
      <c r="D337" s="30" t="str">
        <v>Croatia</v>
      </c>
      <c r="E337" s="30" t="str">
        <v>Denmark</v>
      </c>
      <c r="F337" s="30" t="str">
        <v>Croatia</v>
      </c>
      <c r="G337" s="30" t="str">
        <v>Josip Pivarić</v>
      </c>
      <c r="H337" s="30" t="str">
        <v>Kasper Schmeichel</v>
      </c>
      <c r="I337" s="30">
        <v>8</v>
      </c>
      <c r="J337" s="30">
        <v>4</v>
      </c>
      <c r="K337" s="30" t="str">
        <v>'2-2</v>
      </c>
      <c r="L337" s="30" t="str">
        <v>No</v>
      </c>
      <c r="M337" s="30" t="str">
        <v>No</v>
      </c>
      <c r="N337" s="30" t="str">
        <v>Saved</v>
      </c>
      <c r="O337" s="30" t="str">
        <f t="shared" si="32"/>
        <v>2018|Round of 16|Croatia|Denmark|Croatia|Josip Pivarić|Kasper Schmeichel|8|4|'2-2|No|No|Saved</v>
      </c>
      <c r="P337" s="96" t="str">
        <f>IF(COUNTIF($G$32:O337,O337)&gt;1,"DOUBLON","OK")</f>
        <v>OK</v>
      </c>
      <c r="S337" s="30" t="str">
        <v>Russia</v>
      </c>
      <c r="T337" s="30" t="str">
        <f t="shared" si="34"/>
        <v>OK</v>
      </c>
      <c r="U337" s="30" t="str">
        <f t="shared" si="35"/>
        <v>-</v>
      </c>
      <c r="V337" s="30" t="str" cm="1">
        <f t="array" ref="V337">_xlfn.IFS(
ISNUMBER(SEARCH("USA",S337)),"United States",
ISNUMBER(SEARCH("Republic of Korea",S337)),"South Korea",
ISNUMBER(SEARCH("Cape Verde",S337)),"Cabo Verde",
ISNUMBER(SEARCH("Czechia",S337)),"Czech Republic",
ISNUMBER(SEARCH("Türkiye",S337)),"Turkey",
ISNUMBER(SEARCH("Ivory Coast",S337)),"Côte d'Ivoire",
ISNUMBER(SEARCH("Korea Republic",S337)),"South Korea",
ISNUMBER(SEARCH("Germany FR",S337)),"FR Germany",
ISNUMBER(SEARCH("West Germany",S337)),"FR Germany",
ISNUMBER(SEARCH("Germany DR",S337)),"DR Germany",
ISNUMBER(SEARCH("Korea DPR",S337)),"North Korea",
ISNUMBER(SEARCH("China PR",S337)),"China",
ISNUMBER(SEARCH("IR Iran",S337)),"Iran",
ISNUMBER(SEARCH("Congo DR",S337)),"Democratic Republic of the Congo",
ISNUMBER(SEARCH("DR Congo",S337)),"Democratic Republic of the Congo",
ISNUMBER(SEARCH("German DR",S337)),"DR Germany",
ISNUMBER(SEARCH("rn""&gt;United Arab Emirates",S337)),"United Arab Emirates",
ISNUMBER(SEARCH("rn""&gt;Republic of Ireland",S337)),"Ireland",
ISNUMBER(SEARCH("rn""&gt;Bosnia and Herzegovina",S337)),"Bosnia and Herzegovina",
ISNUMBER(SEARCH("rn""&gt;Trinidad and Tobago",S337)),"Trinidad and Tobago",
ISNUMBER(SEARCH("rn""&gt;Serbia and Montenegro",S337)),"Serbia and Montenegro",
ISNUMBER(SEARCH(_xlfn.UNICHAR(65533),S337)),"Côte d'Ivoire",
TRUE,""
)</f>
        <v/>
      </c>
      <c r="W337" s="30" t="str">
        <f t="shared" si="36"/>
        <v>Russia</v>
      </c>
      <c r="Z337" s="40" t="str">
        <v>Arroyito - Estadio Dr. Lisandro de la Torre</v>
      </c>
      <c r="AA337" s="40" t="str" cm="1">
        <f t="array" ref="AA337">IFERROR(_xlfn.XLOOKUP(Z337,_xlfn.ANCHORARRAY(Z$31),AA$31:AA$37),Z337)</f>
        <v>Arroyito - Estadio Dr. Lisandro de la Torre</v>
      </c>
      <c r="AB337" s="42" t="str">
        <v xml:space="preserve">Rosario </v>
      </c>
      <c r="AC337" s="89" t="str">
        <f t="shared" si="33"/>
        <v xml:space="preserve">Rosario </v>
      </c>
      <c r="AE337" s="42">
        <v>1974</v>
      </c>
      <c r="AK337" s="42">
        <v>3</v>
      </c>
      <c r="AL337" s="42">
        <v>0</v>
      </c>
      <c r="AV337" s="37" t="str">
        <v>ROUND_OF_32</v>
      </c>
      <c r="AW337" s="89" t="str">
        <v>GROUP_STAGE</v>
      </c>
      <c r="BE337" s="43" t="str">
        <f>IF(OR(DATA_CLEANED!AL328="",DATA_CLEANED!AM328=""),"MANQUANT",IF(OR(NOT(ISNUMBER(DATA_CLEANED!AL328)),NOT(ISNUMBER(DATA_CLEANED!AM328))),"ENTREE INVALIDE",IF(OR(DATA_CLEANED!AL328&lt;0,DATA_CLEANED!AM328&lt;0),"SCORE NEGATIF","OK")))</f>
        <v>OK</v>
      </c>
      <c r="BF337" s="43" t="str">
        <f>IF(DATA_CLEANED!AK328&lt;&gt;DATA_CLEANED!AN328,"OK","ERREUR")</f>
        <v>OK</v>
      </c>
      <c r="BG337" s="43" t="str">
        <f>IF(DATA_CLEANED!AL328&gt;DATA_CLEANED!AM328,DATA_CLEANED!AK328,IF(AND(DATA_QUALITE!W4814="-",DATA_CLEANED!AM328=DATA_CLEANED!AL328),"MATCH NUL",IF(AND(DATA_QUALITE!V4814="-",DATA_QUALITE!U4814="AUCUNE"),DATA_QUALITE!T4814,IF(DATA_QUALITE!V4814&lt;&gt;"-",DATA_QUALITE!V4814,DATA_CLEANED!AN328))))</f>
        <v>Soviet Union</v>
      </c>
      <c r="BH337" s="103" t="str">
        <f>IF(AND(BG337="MATCH NUL",DATA_CLEANED!AO328="-"),"MATCH_NUL",IF(ISNUMBER(SEARCH("win on penalties",W4814)),"WIN_BY_PENALTY",IF(ISNUMBER(SEARCH("win after extra time",W4814)),"WIN_BY_EXTRA_TIME",IF(ISNUMBER(SEARCH("Golden Goal",W4814)),"WIN_BY_GOLDEN_GOAL","WIN_BY_SCORE"))))</f>
        <v>WIN_BY_SCORE</v>
      </c>
      <c r="BI337" s="99" t="str">
        <f>IF(OR(BG337=DATA_CLEANED!AK328,BG337=DATA_CLEANED!AN328,BG337="MATCH NUL"),"OK","ERREUR")</f>
        <v>OK</v>
      </c>
    </row>
    <row r="338" spans="2:61">
      <c r="B338" s="74">
        <v>2018</v>
      </c>
      <c r="C338" s="30" t="str">
        <v>Round of 16</v>
      </c>
      <c r="D338" s="30" t="str">
        <v>Croatia</v>
      </c>
      <c r="E338" s="30" t="str">
        <v>Denmark</v>
      </c>
      <c r="F338" s="30" t="str">
        <v>Denmark</v>
      </c>
      <c r="G338" s="30" t="str">
        <v>Nicolai Jørgensen</v>
      </c>
      <c r="H338" s="30" t="str">
        <v>Danijel Subašić</v>
      </c>
      <c r="I338" s="30">
        <v>9</v>
      </c>
      <c r="J338" s="30">
        <v>5</v>
      </c>
      <c r="K338" s="30" t="str">
        <v>'2-2</v>
      </c>
      <c r="L338" s="30" t="str">
        <v>No</v>
      </c>
      <c r="M338" s="30" t="str">
        <v>No</v>
      </c>
      <c r="N338" s="30" t="str">
        <v>Saved</v>
      </c>
      <c r="O338" s="30" t="str">
        <f t="shared" si="32"/>
        <v>2018|Round of 16|Croatia|Denmark|Denmark|Nicolai Jørgensen|Danijel Subašić|9|5|'2-2|No|No|Saved</v>
      </c>
      <c r="P338" s="96" t="str">
        <f>IF(COUNTIF($G$32:O338,O338)&gt;1,"DOUBLON","OK")</f>
        <v>OK</v>
      </c>
      <c r="S338" s="30" t="str">
        <v>Japan</v>
      </c>
      <c r="T338" s="30" t="str">
        <f t="shared" si="34"/>
        <v>OK</v>
      </c>
      <c r="U338" s="30" t="str">
        <f t="shared" si="35"/>
        <v>-</v>
      </c>
      <c r="V338" s="30" t="str" cm="1">
        <f t="array" ref="V338">_xlfn.IFS(
ISNUMBER(SEARCH("USA",S338)),"United States",
ISNUMBER(SEARCH("Republic of Korea",S338)),"South Korea",
ISNUMBER(SEARCH("Cape Verde",S338)),"Cabo Verde",
ISNUMBER(SEARCH("Czechia",S338)),"Czech Republic",
ISNUMBER(SEARCH("Türkiye",S338)),"Turkey",
ISNUMBER(SEARCH("Ivory Coast",S338)),"Côte d'Ivoire",
ISNUMBER(SEARCH("Korea Republic",S338)),"South Korea",
ISNUMBER(SEARCH("Germany FR",S338)),"FR Germany",
ISNUMBER(SEARCH("West Germany",S338)),"FR Germany",
ISNUMBER(SEARCH("Germany DR",S338)),"DR Germany",
ISNUMBER(SEARCH("Korea DPR",S338)),"North Korea",
ISNUMBER(SEARCH("China PR",S338)),"China",
ISNUMBER(SEARCH("IR Iran",S338)),"Iran",
ISNUMBER(SEARCH("Congo DR",S338)),"Democratic Republic of the Congo",
ISNUMBER(SEARCH("DR Congo",S338)),"Democratic Republic of the Congo",
ISNUMBER(SEARCH("German DR",S338)),"DR Germany",
ISNUMBER(SEARCH("rn""&gt;United Arab Emirates",S338)),"United Arab Emirates",
ISNUMBER(SEARCH("rn""&gt;Republic of Ireland",S338)),"Ireland",
ISNUMBER(SEARCH("rn""&gt;Bosnia and Herzegovina",S338)),"Bosnia and Herzegovina",
ISNUMBER(SEARCH("rn""&gt;Trinidad and Tobago",S338)),"Trinidad and Tobago",
ISNUMBER(SEARCH("rn""&gt;Serbia and Montenegro",S338)),"Serbia and Montenegro",
ISNUMBER(SEARCH(_xlfn.UNICHAR(65533),S338)),"Côte d'Ivoire",
TRUE,""
)</f>
        <v/>
      </c>
      <c r="W338" s="30" t="str">
        <f t="shared" si="36"/>
        <v>Japan</v>
      </c>
      <c r="Z338" s="40" t="str">
        <v>San Martin</v>
      </c>
      <c r="AA338" s="40" t="str" cm="1">
        <f t="array" ref="AA338">IFERROR(_xlfn.XLOOKUP(Z338,_xlfn.ANCHORARRAY(Z$31),AA$31:AA$37),Z338)</f>
        <v>San Martin</v>
      </c>
      <c r="AB338" s="42" t="str">
        <v xml:space="preserve">Mendoza </v>
      </c>
      <c r="AC338" s="89" t="str">
        <f t="shared" si="33"/>
        <v xml:space="preserve">Mendoza </v>
      </c>
      <c r="AE338" s="42">
        <v>1974</v>
      </c>
      <c r="AK338" s="42">
        <v>2</v>
      </c>
      <c r="AL338" s="42">
        <v>1</v>
      </c>
      <c r="AV338" s="37" t="str">
        <v>ROUND_OF_32</v>
      </c>
      <c r="AW338" s="89" t="str">
        <v>GROUP_STAGE</v>
      </c>
      <c r="BE338" s="43" t="str">
        <f>IF(OR(DATA_CLEANED!AL329="",DATA_CLEANED!AM329=""),"MANQUANT",IF(OR(NOT(ISNUMBER(DATA_CLEANED!AL329)),NOT(ISNUMBER(DATA_CLEANED!AM329))),"ENTREE INVALIDE",IF(OR(DATA_CLEANED!AL329&lt;0,DATA_CLEANED!AM329&lt;0),"SCORE NEGATIF","OK")))</f>
        <v>OK</v>
      </c>
      <c r="BF338" s="43" t="str">
        <f>IF(DATA_CLEANED!AK329&lt;&gt;DATA_CLEANED!AN329,"OK","ERREUR")</f>
        <v>OK</v>
      </c>
      <c r="BG338" s="43" t="str">
        <f>IF(DATA_CLEANED!AL329&gt;DATA_CLEANED!AM329,DATA_CLEANED!AK329,IF(AND(DATA_QUALITE!W4815="-",DATA_CLEANED!AM329=DATA_CLEANED!AL329),"MATCH NUL",IF(AND(DATA_QUALITE!V4815="-",DATA_QUALITE!U4815="AUCUNE"),DATA_QUALITE!T4815,IF(DATA_QUALITE!V4815&lt;&gt;"-",DATA_QUALITE!V4815,DATA_CLEANED!AN329))))</f>
        <v>FR Germany</v>
      </c>
      <c r="BH338" s="103" t="str">
        <f>IF(AND(BG338="MATCH NUL",DATA_CLEANED!AO329="-"),"MATCH_NUL",IF(ISNUMBER(SEARCH("win on penalties",W4815)),"WIN_BY_PENALTY",IF(ISNUMBER(SEARCH("win after extra time",W4815)),"WIN_BY_EXTRA_TIME",IF(ISNUMBER(SEARCH("Golden Goal",W4815)),"WIN_BY_GOLDEN_GOAL","WIN_BY_SCORE"))))</f>
        <v>WIN_BY_SCORE</v>
      </c>
      <c r="BI338" s="99" t="str">
        <f>IF(OR(BG338=DATA_CLEANED!AK329,BG338=DATA_CLEANED!AN329,BG338="MATCH NUL"),"OK","ERREUR")</f>
        <v>OK</v>
      </c>
    </row>
    <row r="339" spans="2:61">
      <c r="B339" s="74">
        <v>2018</v>
      </c>
      <c r="C339" s="30" t="str">
        <v>Round of 16</v>
      </c>
      <c r="D339" s="30" t="str">
        <v>Croatia</v>
      </c>
      <c r="E339" s="30" t="str">
        <v>Denmark</v>
      </c>
      <c r="F339" s="30" t="str">
        <v>Croatia</v>
      </c>
      <c r="G339" s="30" t="str">
        <v>Ivan Rakitić</v>
      </c>
      <c r="H339" s="30" t="str">
        <v>Kasper Schmeichel</v>
      </c>
      <c r="I339" s="30">
        <v>10</v>
      </c>
      <c r="J339" s="30">
        <v>5</v>
      </c>
      <c r="K339" s="30" t="str">
        <v>'2-2</v>
      </c>
      <c r="L339" s="30" t="str">
        <v>No</v>
      </c>
      <c r="M339" s="30" t="str">
        <v>Yes</v>
      </c>
      <c r="N339" s="30" t="str">
        <v>Goal</v>
      </c>
      <c r="O339" s="30" t="str">
        <f t="shared" si="32"/>
        <v>2018|Round of 16|Croatia|Denmark|Croatia|Ivan Rakitić|Kasper Schmeichel|10|5|'2-2|No|Yes|Goal</v>
      </c>
      <c r="P339" s="96" t="str">
        <f>IF(COUNTIF($G$32:O339,O339)&gt;1,"DOUBLON","OK")</f>
        <v>OK</v>
      </c>
      <c r="S339" s="30" t="str">
        <v>Japan</v>
      </c>
      <c r="T339" s="30" t="str">
        <f t="shared" si="34"/>
        <v>OK</v>
      </c>
      <c r="U339" s="30" t="str">
        <f t="shared" si="35"/>
        <v>-</v>
      </c>
      <c r="V339" s="30" t="str" cm="1">
        <f t="array" ref="V339">_xlfn.IFS(
ISNUMBER(SEARCH("USA",S339)),"United States",
ISNUMBER(SEARCH("Republic of Korea",S339)),"South Korea",
ISNUMBER(SEARCH("Cape Verde",S339)),"Cabo Verde",
ISNUMBER(SEARCH("Czechia",S339)),"Czech Republic",
ISNUMBER(SEARCH("Türkiye",S339)),"Turkey",
ISNUMBER(SEARCH("Ivory Coast",S339)),"Côte d'Ivoire",
ISNUMBER(SEARCH("Korea Republic",S339)),"South Korea",
ISNUMBER(SEARCH("Germany FR",S339)),"FR Germany",
ISNUMBER(SEARCH("West Germany",S339)),"FR Germany",
ISNUMBER(SEARCH("Germany DR",S339)),"DR Germany",
ISNUMBER(SEARCH("Korea DPR",S339)),"North Korea",
ISNUMBER(SEARCH("China PR",S339)),"China",
ISNUMBER(SEARCH("IR Iran",S339)),"Iran",
ISNUMBER(SEARCH("Congo DR",S339)),"Democratic Republic of the Congo",
ISNUMBER(SEARCH("DR Congo",S339)),"Democratic Republic of the Congo",
ISNUMBER(SEARCH("German DR",S339)),"DR Germany",
ISNUMBER(SEARCH("rn""&gt;United Arab Emirates",S339)),"United Arab Emirates",
ISNUMBER(SEARCH("rn""&gt;Republic of Ireland",S339)),"Ireland",
ISNUMBER(SEARCH("rn""&gt;Bosnia and Herzegovina",S339)),"Bosnia and Herzegovina",
ISNUMBER(SEARCH("rn""&gt;Trinidad and Tobago",S339)),"Trinidad and Tobago",
ISNUMBER(SEARCH("rn""&gt;Serbia and Montenegro",S339)),"Serbia and Montenegro",
ISNUMBER(SEARCH(_xlfn.UNICHAR(65533),S339)),"Côte d'Ivoire",
TRUE,""
)</f>
        <v/>
      </c>
      <c r="W339" s="30" t="str">
        <f t="shared" si="36"/>
        <v>Japan</v>
      </c>
      <c r="Z339" s="40" t="str">
        <v>El Monumental - Estadio Monumental Antonio Vespuci</v>
      </c>
      <c r="AA339" s="40" t="str" cm="1">
        <f t="array" ref="AA339">IFERROR(_xlfn.XLOOKUP(Z339,_xlfn.ANCHORARRAY(Z$31),AA$31:AA$37),Z339)</f>
        <v>El Monumental - Estadio Monumental Antonio Vespuci</v>
      </c>
      <c r="AB339" s="42" t="str">
        <v xml:space="preserve">Buenos Aires </v>
      </c>
      <c r="AC339" s="89" t="str">
        <f t="shared" si="33"/>
        <v xml:space="preserve">Buenos Aires </v>
      </c>
      <c r="AE339" s="42">
        <v>1974</v>
      </c>
      <c r="AK339" s="42">
        <v>0</v>
      </c>
      <c r="AL339" s="42">
        <v>2</v>
      </c>
      <c r="AV339" s="37" t="str">
        <v>ROUND_OF_32</v>
      </c>
      <c r="AW339" s="89" t="str">
        <v>GROUP_STAGE</v>
      </c>
      <c r="BE339" s="43" t="str">
        <f>IF(OR(DATA_CLEANED!AL330="",DATA_CLEANED!AM330=""),"MANQUANT",IF(OR(NOT(ISNUMBER(DATA_CLEANED!AL330)),NOT(ISNUMBER(DATA_CLEANED!AM330))),"ENTREE INVALIDE",IF(OR(DATA_CLEANED!AL330&lt;0,DATA_CLEANED!AM330&lt;0),"SCORE NEGATIF","OK")))</f>
        <v>OK</v>
      </c>
      <c r="BF339" s="43" t="str">
        <f>IF(DATA_CLEANED!AK330&lt;&gt;DATA_CLEANED!AN330,"OK","ERREUR")</f>
        <v>OK</v>
      </c>
      <c r="BG339" s="43" t="str">
        <f>IF(DATA_CLEANED!AL330&gt;DATA_CLEANED!AM330,DATA_CLEANED!AK330,IF(AND(DATA_QUALITE!W4816="-",DATA_CLEANED!AM330=DATA_CLEANED!AL330),"MATCH NUL",IF(AND(DATA_QUALITE!V4816="-",DATA_QUALITE!U4816="AUCUNE"),DATA_QUALITE!T4816,IF(DATA_QUALITE!V4816&lt;&gt;"-",DATA_QUALITE!V4816,DATA_CLEANED!AN330))))</f>
        <v>England</v>
      </c>
      <c r="BH339" s="103" t="str">
        <f>IF(AND(BG339="MATCH NUL",DATA_CLEANED!AO330="-"),"MATCH_NUL",IF(ISNUMBER(SEARCH("win on penalties",W4816)),"WIN_BY_PENALTY",IF(ISNUMBER(SEARCH("win after extra time",W4816)),"WIN_BY_EXTRA_TIME",IF(ISNUMBER(SEARCH("Golden Goal",W4816)),"WIN_BY_GOLDEN_GOAL","WIN_BY_SCORE"))))</f>
        <v>WIN_BY_SCORE</v>
      </c>
      <c r="BI339" s="99" t="str">
        <f>IF(OR(BG339=DATA_CLEANED!AK330,BG339=DATA_CLEANED!AN330,BG339="MATCH NUL"),"OK","ERREUR")</f>
        <v>OK</v>
      </c>
    </row>
    <row r="340" spans="2:61">
      <c r="B340" s="74">
        <v>2018</v>
      </c>
      <c r="C340" s="30" t="str">
        <v>Round of 16</v>
      </c>
      <c r="D340" s="30" t="str">
        <v>Spain</v>
      </c>
      <c r="E340" s="30" t="str">
        <v>Russia</v>
      </c>
      <c r="F340" s="30" t="str">
        <v>Spain</v>
      </c>
      <c r="G340" s="30" t="str">
        <v>Andrés Iniesta</v>
      </c>
      <c r="H340" s="30" t="str">
        <v>Igor Akinfeev</v>
      </c>
      <c r="I340" s="30">
        <v>1</v>
      </c>
      <c r="J340" s="30">
        <v>1</v>
      </c>
      <c r="K340" s="30" t="str">
        <v>'0-0</v>
      </c>
      <c r="L340" s="30" t="str">
        <v>No</v>
      </c>
      <c r="M340" s="30" t="str">
        <v>No</v>
      </c>
      <c r="N340" s="30" t="str">
        <v>Goal</v>
      </c>
      <c r="O340" s="30" t="str">
        <f t="shared" ref="O340:O403" si="37">B340&amp;"|"&amp;C340&amp;"|"&amp;D340&amp;"|"&amp;E340&amp;"|"&amp;F340&amp;"|"&amp;G340&amp;"|"&amp;H340&amp;"|"&amp;I340&amp;"|"&amp;J340&amp;"|"&amp;K340&amp;"|"&amp;L340&amp;"|"&amp;M340&amp;"|"&amp;N340</f>
        <v>2018|Round of 16|Spain|Russia|Spain|Andrés Iniesta|Igor Akinfeev|1|1|'0-0|No|No|Goal</v>
      </c>
      <c r="P340" s="96" t="str">
        <f>IF(COUNTIF($G$32:O340,O340)&gt;1,"DOUBLON","OK")</f>
        <v>OK</v>
      </c>
      <c r="S340" s="30" t="str">
        <v>Japan</v>
      </c>
      <c r="T340" s="30" t="str">
        <f t="shared" si="34"/>
        <v>OK</v>
      </c>
      <c r="U340" s="30" t="str">
        <f t="shared" si="35"/>
        <v>-</v>
      </c>
      <c r="V340" s="30" t="str" cm="1">
        <f t="array" ref="V340">_xlfn.IFS(
ISNUMBER(SEARCH("USA",S340)),"United States",
ISNUMBER(SEARCH("Republic of Korea",S340)),"South Korea",
ISNUMBER(SEARCH("Cape Verde",S340)),"Cabo Verde",
ISNUMBER(SEARCH("Czechia",S340)),"Czech Republic",
ISNUMBER(SEARCH("Türkiye",S340)),"Turkey",
ISNUMBER(SEARCH("Ivory Coast",S340)),"Côte d'Ivoire",
ISNUMBER(SEARCH("Korea Republic",S340)),"South Korea",
ISNUMBER(SEARCH("Germany FR",S340)),"FR Germany",
ISNUMBER(SEARCH("West Germany",S340)),"FR Germany",
ISNUMBER(SEARCH("Germany DR",S340)),"DR Germany",
ISNUMBER(SEARCH("Korea DPR",S340)),"North Korea",
ISNUMBER(SEARCH("China PR",S340)),"China",
ISNUMBER(SEARCH("IR Iran",S340)),"Iran",
ISNUMBER(SEARCH("Congo DR",S340)),"Democratic Republic of the Congo",
ISNUMBER(SEARCH("DR Congo",S340)),"Democratic Republic of the Congo",
ISNUMBER(SEARCH("German DR",S340)),"DR Germany",
ISNUMBER(SEARCH("rn""&gt;United Arab Emirates",S340)),"United Arab Emirates",
ISNUMBER(SEARCH("rn""&gt;Republic of Ireland",S340)),"Ireland",
ISNUMBER(SEARCH("rn""&gt;Bosnia and Herzegovina",S340)),"Bosnia and Herzegovina",
ISNUMBER(SEARCH("rn""&gt;Trinidad and Tobago",S340)),"Trinidad and Tobago",
ISNUMBER(SEARCH("rn""&gt;Serbia and Montenegro",S340)),"Serbia and Montenegro",
ISNUMBER(SEARCH(_xlfn.UNICHAR(65533),S340)),"Côte d'Ivoire",
TRUE,""
)</f>
        <v/>
      </c>
      <c r="W340" s="30" t="str">
        <f t="shared" si="36"/>
        <v>Japan</v>
      </c>
      <c r="Z340" s="40" t="str">
        <v>Estadio Ol�mpico Chateau Carreras</v>
      </c>
      <c r="AA340" s="40" t="str" cm="1">
        <f t="array" ref="AA340">IFERROR(_xlfn.XLOOKUP(Z340,_xlfn.ANCHORARRAY(Z$31),AA$31:AA$37),Z340)</f>
        <v>Estadio Olímpico Chateau Carreras</v>
      </c>
      <c r="AB340" s="42" t="str">
        <v xml:space="preserve">Cordoba </v>
      </c>
      <c r="AC340" s="89" t="str">
        <f t="shared" si="33"/>
        <v xml:space="preserve">Cordoba </v>
      </c>
      <c r="AE340" s="42">
        <v>1974</v>
      </c>
      <c r="AK340" s="42">
        <v>1</v>
      </c>
      <c r="AL340" s="42">
        <v>0</v>
      </c>
      <c r="AV340" s="37" t="str">
        <v>ROUND_OF_32</v>
      </c>
      <c r="AW340" s="89" t="str">
        <v>GROUP_STAGE</v>
      </c>
      <c r="BE340" s="43" t="str">
        <f>IF(OR(DATA_CLEANED!AL331="",DATA_CLEANED!AM331=""),"MANQUANT",IF(OR(NOT(ISNUMBER(DATA_CLEANED!AL331)),NOT(ISNUMBER(DATA_CLEANED!AM331))),"ENTREE INVALIDE",IF(OR(DATA_CLEANED!AL331&lt;0,DATA_CLEANED!AM331&lt;0),"SCORE NEGATIF","OK")))</f>
        <v>OK</v>
      </c>
      <c r="BF340" s="43" t="str">
        <f>IF(DATA_CLEANED!AK331&lt;&gt;DATA_CLEANED!AN331,"OK","ERREUR")</f>
        <v>OK</v>
      </c>
      <c r="BG340" s="43" t="str">
        <f>IF(DATA_CLEANED!AL331&gt;DATA_CLEANED!AM331,DATA_CLEANED!AK331,IF(AND(DATA_QUALITE!W4817="-",DATA_CLEANED!AM331=DATA_CLEANED!AL331),"MATCH NUL",IF(AND(DATA_QUALITE!V4817="-",DATA_QUALITE!U4817="AUCUNE"),DATA_QUALITE!T4817,IF(DATA_QUALITE!V4817&lt;&gt;"-",DATA_QUALITE!V4817,DATA_CLEANED!AN331))))</f>
        <v>Spain</v>
      </c>
      <c r="BH340" s="103" t="str">
        <f>IF(AND(BG340="MATCH NUL",DATA_CLEANED!AO331="-"),"MATCH_NUL",IF(ISNUMBER(SEARCH("win on penalties",W4817)),"WIN_BY_PENALTY",IF(ISNUMBER(SEARCH("win after extra time",W4817)),"WIN_BY_EXTRA_TIME",IF(ISNUMBER(SEARCH("Golden Goal",W4817)),"WIN_BY_GOLDEN_GOAL","WIN_BY_SCORE"))))</f>
        <v>WIN_BY_SCORE</v>
      </c>
      <c r="BI340" s="99" t="str">
        <f>IF(OR(BG340=DATA_CLEANED!AK331,BG340=DATA_CLEANED!AN331,BG340="MATCH NUL"),"OK","ERREUR")</f>
        <v>OK</v>
      </c>
    </row>
    <row r="341" spans="2:61">
      <c r="B341" s="74">
        <v>2018</v>
      </c>
      <c r="C341" s="30" t="str">
        <v>Round of 16</v>
      </c>
      <c r="D341" s="30" t="str">
        <v>Spain</v>
      </c>
      <c r="E341" s="30" t="str">
        <v>Russia</v>
      </c>
      <c r="F341" s="30" t="str">
        <v>Russia</v>
      </c>
      <c r="G341" s="30" t="str">
        <v>Fedor Smolov</v>
      </c>
      <c r="H341" s="30" t="str">
        <v>David de Gea</v>
      </c>
      <c r="I341" s="30">
        <v>2</v>
      </c>
      <c r="J341" s="30">
        <v>1</v>
      </c>
      <c r="K341" s="30" t="str">
        <v>'1-0</v>
      </c>
      <c r="L341" s="30" t="str">
        <v>No</v>
      </c>
      <c r="M341" s="30" t="str">
        <v>No</v>
      </c>
      <c r="N341" s="30" t="str">
        <v>Goal</v>
      </c>
      <c r="O341" s="30" t="str">
        <f t="shared" si="37"/>
        <v>2018|Round of 16|Spain|Russia|Russia|Fedor Smolov|David de Gea|2|1|'1-0|No|No|Goal</v>
      </c>
      <c r="P341" s="96" t="str">
        <f>IF(COUNTIF($G$32:O341,O341)&gt;1,"DOUBLON","OK")</f>
        <v>OK</v>
      </c>
      <c r="S341" s="30" t="str">
        <v>Japan</v>
      </c>
      <c r="T341" s="30" t="str">
        <f t="shared" si="34"/>
        <v>OK</v>
      </c>
      <c r="U341" s="30" t="str">
        <f t="shared" si="35"/>
        <v>-</v>
      </c>
      <c r="V341" s="30" t="str" cm="1">
        <f t="array" ref="V341">_xlfn.IFS(
ISNUMBER(SEARCH("USA",S341)),"United States",
ISNUMBER(SEARCH("Republic of Korea",S341)),"South Korea",
ISNUMBER(SEARCH("Cape Verde",S341)),"Cabo Verde",
ISNUMBER(SEARCH("Czechia",S341)),"Czech Republic",
ISNUMBER(SEARCH("Türkiye",S341)),"Turkey",
ISNUMBER(SEARCH("Ivory Coast",S341)),"Côte d'Ivoire",
ISNUMBER(SEARCH("Korea Republic",S341)),"South Korea",
ISNUMBER(SEARCH("Germany FR",S341)),"FR Germany",
ISNUMBER(SEARCH("West Germany",S341)),"FR Germany",
ISNUMBER(SEARCH("Germany DR",S341)),"DR Germany",
ISNUMBER(SEARCH("Korea DPR",S341)),"North Korea",
ISNUMBER(SEARCH("China PR",S341)),"China",
ISNUMBER(SEARCH("IR Iran",S341)),"Iran",
ISNUMBER(SEARCH("Congo DR",S341)),"Democratic Republic of the Congo",
ISNUMBER(SEARCH("DR Congo",S341)),"Democratic Republic of the Congo",
ISNUMBER(SEARCH("German DR",S341)),"DR Germany",
ISNUMBER(SEARCH("rn""&gt;United Arab Emirates",S341)),"United Arab Emirates",
ISNUMBER(SEARCH("rn""&gt;Republic of Ireland",S341)),"Ireland",
ISNUMBER(SEARCH("rn""&gt;Bosnia and Herzegovina",S341)),"Bosnia and Herzegovina",
ISNUMBER(SEARCH("rn""&gt;Trinidad and Tobago",S341)),"Trinidad and Tobago",
ISNUMBER(SEARCH("rn""&gt;Serbia and Montenegro",S341)),"Serbia and Montenegro",
ISNUMBER(SEARCH(_xlfn.UNICHAR(65533),S341)),"Côte d'Ivoire",
TRUE,""
)</f>
        <v/>
      </c>
      <c r="W341" s="30" t="str">
        <f t="shared" si="36"/>
        <v>Japan</v>
      </c>
      <c r="Z341" s="40" t="str">
        <v>Arroyito - Estadio Dr. Lisandro de la Torre</v>
      </c>
      <c r="AA341" s="40" t="str" cm="1">
        <f t="array" ref="AA341">IFERROR(_xlfn.XLOOKUP(Z341,_xlfn.ANCHORARRAY(Z$31),AA$31:AA$37),Z341)</f>
        <v>Arroyito - Estadio Dr. Lisandro de la Torre</v>
      </c>
      <c r="AB341" s="42" t="str">
        <v xml:space="preserve">Rosario </v>
      </c>
      <c r="AC341" s="89" t="str">
        <f t="shared" si="33"/>
        <v xml:space="preserve">Rosario </v>
      </c>
      <c r="AE341" s="42">
        <v>1974</v>
      </c>
      <c r="AK341" s="42">
        <v>4</v>
      </c>
      <c r="AL341" s="42">
        <v>0</v>
      </c>
      <c r="AV341" s="37" t="str">
        <v>ROUND_OF_32</v>
      </c>
      <c r="AW341" s="89" t="str">
        <v>GROUP_STAGE</v>
      </c>
      <c r="BE341" s="43" t="str">
        <f>IF(OR(DATA_CLEANED!AL332="",DATA_CLEANED!AM332=""),"MANQUANT",IF(OR(NOT(ISNUMBER(DATA_CLEANED!AL332)),NOT(ISNUMBER(DATA_CLEANED!AM332))),"ENTREE INVALIDE",IF(OR(DATA_CLEANED!AL332&lt;0,DATA_CLEANED!AM332&lt;0),"SCORE NEGATIF","OK")))</f>
        <v>OK</v>
      </c>
      <c r="BF341" s="43" t="str">
        <f>IF(DATA_CLEANED!AK332&lt;&gt;DATA_CLEANED!AN332,"OK","ERREUR")</f>
        <v>OK</v>
      </c>
      <c r="BG341" s="43" t="str">
        <f>IF(DATA_CLEANED!AL332&gt;DATA_CLEANED!AM332,DATA_CLEANED!AK332,IF(AND(DATA_QUALITE!W4818="-",DATA_CLEANED!AM332=DATA_CLEANED!AL332),"MATCH NUL",IF(AND(DATA_QUALITE!V4818="-",DATA_QUALITE!U4818="AUCUNE"),DATA_QUALITE!T4818,IF(DATA_QUALITE!V4818&lt;&gt;"-",DATA_QUALITE!V4818,DATA_CLEANED!AN332))))</f>
        <v>Austria</v>
      </c>
      <c r="BH341" s="103" t="str">
        <f>IF(AND(BG341="MATCH NUL",DATA_CLEANED!AO332="-"),"MATCH_NUL",IF(ISNUMBER(SEARCH("win on penalties",W4818)),"WIN_BY_PENALTY",IF(ISNUMBER(SEARCH("win after extra time",W4818)),"WIN_BY_EXTRA_TIME",IF(ISNUMBER(SEARCH("Golden Goal",W4818)),"WIN_BY_GOLDEN_GOAL","WIN_BY_SCORE"))))</f>
        <v>WIN_BY_SCORE</v>
      </c>
      <c r="BI341" s="99" t="str">
        <f>IF(OR(BG341=DATA_CLEANED!AK332,BG341=DATA_CLEANED!AN332,BG341="MATCH NUL"),"OK","ERREUR")</f>
        <v>OK</v>
      </c>
    </row>
    <row r="342" spans="2:61">
      <c r="B342" s="74">
        <v>2018</v>
      </c>
      <c r="C342" s="30" t="str">
        <v>Round of 16</v>
      </c>
      <c r="D342" s="30" t="str">
        <v>Spain</v>
      </c>
      <c r="E342" s="30" t="str">
        <v>Russia</v>
      </c>
      <c r="F342" s="30" t="str">
        <v>Spain</v>
      </c>
      <c r="G342" s="30" t="str">
        <v>Gerard Piqué</v>
      </c>
      <c r="H342" s="30" t="str">
        <v>Igor Akinfeev</v>
      </c>
      <c r="I342" s="30">
        <v>3</v>
      </c>
      <c r="J342" s="30">
        <v>2</v>
      </c>
      <c r="K342" s="30" t="str">
        <v>'1-1</v>
      </c>
      <c r="L342" s="30" t="str">
        <v>No</v>
      </c>
      <c r="M342" s="30" t="str">
        <v>No</v>
      </c>
      <c r="N342" s="30" t="str">
        <v>Goal</v>
      </c>
      <c r="O342" s="30" t="str">
        <f t="shared" si="37"/>
        <v>2018|Round of 16|Spain|Russia|Spain|Gerard Piqué|Igor Akinfeev|3|2|'1-1|No|No|Goal</v>
      </c>
      <c r="P342" s="96" t="str">
        <f>IF(COUNTIF($G$32:O342,O342)&gt;1,"DOUBLON","OK")</f>
        <v>OK</v>
      </c>
      <c r="S342" s="30" t="str">
        <v>Japan</v>
      </c>
      <c r="T342" s="30" t="str">
        <f t="shared" si="34"/>
        <v>OK</v>
      </c>
      <c r="U342" s="30" t="str">
        <f t="shared" si="35"/>
        <v>-</v>
      </c>
      <c r="V342" s="30" t="str" cm="1">
        <f t="array" ref="V342">_xlfn.IFS(
ISNUMBER(SEARCH("USA",S342)),"United States",
ISNUMBER(SEARCH("Republic of Korea",S342)),"South Korea",
ISNUMBER(SEARCH("Cape Verde",S342)),"Cabo Verde",
ISNUMBER(SEARCH("Czechia",S342)),"Czech Republic",
ISNUMBER(SEARCH("Türkiye",S342)),"Turkey",
ISNUMBER(SEARCH("Ivory Coast",S342)),"Côte d'Ivoire",
ISNUMBER(SEARCH("Korea Republic",S342)),"South Korea",
ISNUMBER(SEARCH("Germany FR",S342)),"FR Germany",
ISNUMBER(SEARCH("West Germany",S342)),"FR Germany",
ISNUMBER(SEARCH("Germany DR",S342)),"DR Germany",
ISNUMBER(SEARCH("Korea DPR",S342)),"North Korea",
ISNUMBER(SEARCH("China PR",S342)),"China",
ISNUMBER(SEARCH("IR Iran",S342)),"Iran",
ISNUMBER(SEARCH("Congo DR",S342)),"Democratic Republic of the Congo",
ISNUMBER(SEARCH("DR Congo",S342)),"Democratic Republic of the Congo",
ISNUMBER(SEARCH("German DR",S342)),"DR Germany",
ISNUMBER(SEARCH("rn""&gt;United Arab Emirates",S342)),"United Arab Emirates",
ISNUMBER(SEARCH("rn""&gt;Republic of Ireland",S342)),"Ireland",
ISNUMBER(SEARCH("rn""&gt;Bosnia and Herzegovina",S342)),"Bosnia and Herzegovina",
ISNUMBER(SEARCH("rn""&gt;Trinidad and Tobago",S342)),"Trinidad and Tobago",
ISNUMBER(SEARCH("rn""&gt;Serbia and Montenegro",S342)),"Serbia and Montenegro",
ISNUMBER(SEARCH(_xlfn.UNICHAR(65533),S342)),"Côte d'Ivoire",
TRUE,""
)</f>
        <v/>
      </c>
      <c r="W342" s="30" t="str">
        <f t="shared" si="36"/>
        <v>Japan</v>
      </c>
      <c r="Z342" s="40" t="str">
        <v>El Monumental - Estadio Monumental Antonio Vespuci</v>
      </c>
      <c r="AA342" s="40" t="str" cm="1">
        <f t="array" ref="AA342">IFERROR(_xlfn.XLOOKUP(Z342,_xlfn.ANCHORARRAY(Z$31),AA$31:AA$37),Z342)</f>
        <v>El Monumental - Estadio Monumental Antonio Vespuci</v>
      </c>
      <c r="AB342" s="42" t="str">
        <v xml:space="preserve">Buenos Aires </v>
      </c>
      <c r="AC342" s="89" t="str">
        <f t="shared" si="33"/>
        <v xml:space="preserve">Buenos Aires </v>
      </c>
      <c r="AE342" s="42">
        <v>1974</v>
      </c>
      <c r="AK342" s="42">
        <v>0</v>
      </c>
      <c r="AL342" s="42">
        <v>1</v>
      </c>
      <c r="AV342" s="37" t="str">
        <v>ROUND_OF_32</v>
      </c>
      <c r="AW342" s="89" t="str">
        <v>GROUP_STAGE</v>
      </c>
      <c r="BE342" s="43" t="str">
        <f>IF(OR(DATA_CLEANED!AL333="",DATA_CLEANED!AM333=""),"MANQUANT",IF(OR(NOT(ISNUMBER(DATA_CLEANED!AL333)),NOT(ISNUMBER(DATA_CLEANED!AM333))),"ENTREE INVALIDE",IF(OR(DATA_CLEANED!AL333&lt;0,DATA_CLEANED!AM333&lt;0),"SCORE NEGATIF","OK")))</f>
        <v>OK</v>
      </c>
      <c r="BF342" s="43" t="str">
        <f>IF(DATA_CLEANED!AK333&lt;&gt;DATA_CLEANED!AN333,"OK","ERREUR")</f>
        <v>OK</v>
      </c>
      <c r="BG342" s="43" t="str">
        <f>IF(DATA_CLEANED!AL333&gt;DATA_CLEANED!AM333,DATA_CLEANED!AK333,IF(AND(DATA_QUALITE!W4819="-",DATA_CLEANED!AM333=DATA_CLEANED!AL333),"MATCH NUL",IF(AND(DATA_QUALITE!V4819="-",DATA_QUALITE!U4819="AUCUNE"),DATA_QUALITE!T4819,IF(DATA_QUALITE!V4819&lt;&gt;"-",DATA_QUALITE!V4819,DATA_CLEANED!AN333))))</f>
        <v>France</v>
      </c>
      <c r="BH342" s="103" t="str">
        <f>IF(AND(BG342="MATCH NUL",DATA_CLEANED!AO333="-"),"MATCH_NUL",IF(ISNUMBER(SEARCH("win on penalties",W4819)),"WIN_BY_PENALTY",IF(ISNUMBER(SEARCH("win after extra time",W4819)),"WIN_BY_EXTRA_TIME",IF(ISNUMBER(SEARCH("Golden Goal",W4819)),"WIN_BY_GOLDEN_GOAL","WIN_BY_SCORE"))))</f>
        <v>WIN_BY_SCORE</v>
      </c>
      <c r="BI342" s="99" t="str">
        <f>IF(OR(BG342=DATA_CLEANED!AK333,BG342=DATA_CLEANED!AN333,BG342="MATCH NUL"),"OK","ERREUR")</f>
        <v>OK</v>
      </c>
    </row>
    <row r="343" spans="2:61">
      <c r="B343" s="74">
        <v>2018</v>
      </c>
      <c r="C343" s="30" t="str">
        <v>Round of 16</v>
      </c>
      <c r="D343" s="30" t="str">
        <v>Spain</v>
      </c>
      <c r="E343" s="30" t="str">
        <v>Russia</v>
      </c>
      <c r="F343" s="30" t="str">
        <v>Russia</v>
      </c>
      <c r="G343" s="30" t="str">
        <v>Sergey Ignashevich</v>
      </c>
      <c r="H343" s="30" t="str">
        <v>David de Gea</v>
      </c>
      <c r="I343" s="30">
        <v>4</v>
      </c>
      <c r="J343" s="30">
        <v>2</v>
      </c>
      <c r="K343" s="30" t="str">
        <v>'1-2</v>
      </c>
      <c r="L343" s="30" t="str">
        <v>No</v>
      </c>
      <c r="M343" s="30" t="str">
        <v>No</v>
      </c>
      <c r="N343" s="30" t="str">
        <v>Goal</v>
      </c>
      <c r="O343" s="30" t="str">
        <f t="shared" si="37"/>
        <v>2018|Round of 16|Spain|Russia|Russia|Sergey Ignashevich|David de Gea|4|2|'1-2|No|No|Goal</v>
      </c>
      <c r="P343" s="96" t="str">
        <f>IF(COUNTIF($G$32:O343,O343)&gt;1,"DOUBLON","OK")</f>
        <v>OK</v>
      </c>
      <c r="S343" s="30" t="str">
        <v>Japan</v>
      </c>
      <c r="T343" s="30" t="str">
        <f t="shared" si="34"/>
        <v>OK</v>
      </c>
      <c r="U343" s="30" t="str">
        <f t="shared" si="35"/>
        <v>-</v>
      </c>
      <c r="V343" s="30" t="str" cm="1">
        <f t="array" ref="V343">_xlfn.IFS(
ISNUMBER(SEARCH("USA",S343)),"United States",
ISNUMBER(SEARCH("Republic of Korea",S343)),"South Korea",
ISNUMBER(SEARCH("Cape Verde",S343)),"Cabo Verde",
ISNUMBER(SEARCH("Czechia",S343)),"Czech Republic",
ISNUMBER(SEARCH("Türkiye",S343)),"Turkey",
ISNUMBER(SEARCH("Ivory Coast",S343)),"Côte d'Ivoire",
ISNUMBER(SEARCH("Korea Republic",S343)),"South Korea",
ISNUMBER(SEARCH("Germany FR",S343)),"FR Germany",
ISNUMBER(SEARCH("West Germany",S343)),"FR Germany",
ISNUMBER(SEARCH("Germany DR",S343)),"DR Germany",
ISNUMBER(SEARCH("Korea DPR",S343)),"North Korea",
ISNUMBER(SEARCH("China PR",S343)),"China",
ISNUMBER(SEARCH("IR Iran",S343)),"Iran",
ISNUMBER(SEARCH("Congo DR",S343)),"Democratic Republic of the Congo",
ISNUMBER(SEARCH("DR Congo",S343)),"Democratic Republic of the Congo",
ISNUMBER(SEARCH("German DR",S343)),"DR Germany",
ISNUMBER(SEARCH("rn""&gt;United Arab Emirates",S343)),"United Arab Emirates",
ISNUMBER(SEARCH("rn""&gt;Republic of Ireland",S343)),"Ireland",
ISNUMBER(SEARCH("rn""&gt;Bosnia and Herzegovina",S343)),"Bosnia and Herzegovina",
ISNUMBER(SEARCH("rn""&gt;Trinidad and Tobago",S343)),"Trinidad and Tobago",
ISNUMBER(SEARCH("rn""&gt;Serbia and Montenegro",S343)),"Serbia and Montenegro",
ISNUMBER(SEARCH(_xlfn.UNICHAR(65533),S343)),"Côte d'Ivoire",
TRUE,""
)</f>
        <v/>
      </c>
      <c r="W343" s="30" t="str">
        <f t="shared" si="36"/>
        <v>Japan</v>
      </c>
      <c r="Z343" s="40" t="str">
        <v>Estadio Ol�mpico Chateau Carreras</v>
      </c>
      <c r="AA343" s="40" t="str" cm="1">
        <f t="array" ref="AA343">IFERROR(_xlfn.XLOOKUP(Z343,_xlfn.ANCHORARRAY(Z$31),AA$31:AA$37),Z343)</f>
        <v>Estadio Olímpico Chateau Carreras</v>
      </c>
      <c r="AB343" s="42" t="str">
        <v xml:space="preserve">Cordoba </v>
      </c>
      <c r="AC343" s="89" t="str">
        <f t="shared" si="33"/>
        <v xml:space="preserve">Cordoba </v>
      </c>
      <c r="AE343" s="42">
        <v>1974</v>
      </c>
      <c r="AK343" s="42">
        <v>1</v>
      </c>
      <c r="AL343" s="42">
        <v>2</v>
      </c>
      <c r="AV343" s="37" t="str">
        <v>ROUND_OF_32</v>
      </c>
      <c r="AW343" s="89" t="str">
        <v>GROUP_STAGE</v>
      </c>
      <c r="BE343" s="43" t="str">
        <f>IF(OR(DATA_CLEANED!AL334="",DATA_CLEANED!AM334=""),"MANQUANT",IF(OR(NOT(ISNUMBER(DATA_CLEANED!AL334)),NOT(ISNUMBER(DATA_CLEANED!AM334))),"ENTREE INVALIDE",IF(OR(DATA_CLEANED!AL334&lt;0,DATA_CLEANED!AM334&lt;0),"SCORE NEGATIF","OK")))</f>
        <v>OK</v>
      </c>
      <c r="BF343" s="43" t="str">
        <f>IF(DATA_CLEANED!AK334&lt;&gt;DATA_CLEANED!AN334,"OK","ERREUR")</f>
        <v>OK</v>
      </c>
      <c r="BG343" s="43" t="str">
        <f>IF(DATA_CLEANED!AL334&gt;DATA_CLEANED!AM334,DATA_CLEANED!AK334,IF(AND(DATA_QUALITE!W4820="-",DATA_CLEANED!AM334=DATA_CLEANED!AL334),"MATCH NUL",IF(AND(DATA_QUALITE!V4820="-",DATA_QUALITE!U4820="AUCUNE"),DATA_QUALITE!T4820,IF(DATA_QUALITE!V4820&lt;&gt;"-",DATA_QUALITE!V4820,DATA_CLEANED!AN334))))</f>
        <v>MATCH NUL</v>
      </c>
      <c r="BH343" s="103" t="str">
        <f>IF(AND(BG343="MATCH NUL",DATA_CLEANED!AO334="-"),"MATCH_NUL",IF(ISNUMBER(SEARCH("win on penalties",W4820)),"WIN_BY_PENALTY",IF(ISNUMBER(SEARCH("win after extra time",W4820)),"WIN_BY_EXTRA_TIME",IF(ISNUMBER(SEARCH("Golden Goal",W4820)),"WIN_BY_GOLDEN_GOAL","WIN_BY_SCORE"))))</f>
        <v>MATCH_NUL</v>
      </c>
      <c r="BI343" s="99" t="str">
        <f>IF(OR(BG343=DATA_CLEANED!AK334,BG343=DATA_CLEANED!AN334,BG343="MATCH NUL"),"OK","ERREUR")</f>
        <v>OK</v>
      </c>
    </row>
    <row r="344" spans="2:61">
      <c r="B344" s="74">
        <v>2018</v>
      </c>
      <c r="C344" s="30" t="str">
        <v>Round of 16</v>
      </c>
      <c r="D344" s="30" t="str">
        <v>Spain</v>
      </c>
      <c r="E344" s="30" t="str">
        <v>Russia</v>
      </c>
      <c r="F344" s="30" t="str">
        <v>Spain</v>
      </c>
      <c r="G344" s="30" t="str">
        <v>Koke</v>
      </c>
      <c r="H344" s="30" t="str">
        <v>Igor Akinfeev</v>
      </c>
      <c r="I344" s="30">
        <v>5</v>
      </c>
      <c r="J344" s="30">
        <v>3</v>
      </c>
      <c r="K344" s="30" t="str">
        <v>'2-2</v>
      </c>
      <c r="L344" s="30" t="str">
        <v>No</v>
      </c>
      <c r="M344" s="30" t="str">
        <v>No</v>
      </c>
      <c r="N344" s="30" t="str">
        <v>Saved</v>
      </c>
      <c r="O344" s="30" t="str">
        <f t="shared" si="37"/>
        <v>2018|Round of 16|Spain|Russia|Spain|Koke|Igor Akinfeev|5|3|'2-2|No|No|Saved</v>
      </c>
      <c r="P344" s="96" t="str">
        <f>IF(COUNTIF($G$32:O344,O344)&gt;1,"DOUBLON","OK")</f>
        <v>OK</v>
      </c>
      <c r="S344" s="30" t="str">
        <v>Japan</v>
      </c>
      <c r="T344" s="30" t="str">
        <f t="shared" si="34"/>
        <v>OK</v>
      </c>
      <c r="U344" s="30" t="str">
        <f t="shared" si="35"/>
        <v>-</v>
      </c>
      <c r="V344" s="30" t="str" cm="1">
        <f t="array" ref="V344">_xlfn.IFS(
ISNUMBER(SEARCH("USA",S344)),"United States",
ISNUMBER(SEARCH("Republic of Korea",S344)),"South Korea",
ISNUMBER(SEARCH("Cape Verde",S344)),"Cabo Verde",
ISNUMBER(SEARCH("Czechia",S344)),"Czech Republic",
ISNUMBER(SEARCH("Türkiye",S344)),"Turkey",
ISNUMBER(SEARCH("Ivory Coast",S344)),"Côte d'Ivoire",
ISNUMBER(SEARCH("Korea Republic",S344)),"South Korea",
ISNUMBER(SEARCH("Germany FR",S344)),"FR Germany",
ISNUMBER(SEARCH("West Germany",S344)),"FR Germany",
ISNUMBER(SEARCH("Germany DR",S344)),"DR Germany",
ISNUMBER(SEARCH("Korea DPR",S344)),"North Korea",
ISNUMBER(SEARCH("China PR",S344)),"China",
ISNUMBER(SEARCH("IR Iran",S344)),"Iran",
ISNUMBER(SEARCH("Congo DR",S344)),"Democratic Republic of the Congo",
ISNUMBER(SEARCH("DR Congo",S344)),"Democratic Republic of the Congo",
ISNUMBER(SEARCH("German DR",S344)),"DR Germany",
ISNUMBER(SEARCH("rn""&gt;United Arab Emirates",S344)),"United Arab Emirates",
ISNUMBER(SEARCH("rn""&gt;Republic of Ireland",S344)),"Ireland",
ISNUMBER(SEARCH("rn""&gt;Bosnia and Herzegovina",S344)),"Bosnia and Herzegovina",
ISNUMBER(SEARCH("rn""&gt;Trinidad and Tobago",S344)),"Trinidad and Tobago",
ISNUMBER(SEARCH("rn""&gt;Serbia and Montenegro",S344)),"Serbia and Montenegro",
ISNUMBER(SEARCH(_xlfn.UNICHAR(65533),S344)),"Côte d'Ivoire",
TRUE,""
)</f>
        <v/>
      </c>
      <c r="W344" s="30" t="str">
        <f t="shared" si="36"/>
        <v>Japan</v>
      </c>
      <c r="Z344" s="40" t="str">
        <v>San Martin</v>
      </c>
      <c r="AA344" s="40" t="str" cm="1">
        <f t="array" ref="AA344">IFERROR(_xlfn.XLOOKUP(Z344,_xlfn.ANCHORARRAY(Z$31),AA$31:AA$37),Z344)</f>
        <v>San Martin</v>
      </c>
      <c r="AB344" s="42" t="str">
        <v xml:space="preserve">Mendoza </v>
      </c>
      <c r="AC344" s="89" t="str">
        <f t="shared" si="33"/>
        <v xml:space="preserve">Mendoza </v>
      </c>
      <c r="AE344" s="42">
        <v>1974</v>
      </c>
      <c r="AK344" s="42">
        <v>2</v>
      </c>
      <c r="AL344" s="42">
        <v>1</v>
      </c>
      <c r="AV344" s="37" t="str">
        <v>ROUND_OF_32</v>
      </c>
      <c r="AW344" s="89" t="str">
        <v>GROUP_STAGE</v>
      </c>
      <c r="BE344" s="43" t="str">
        <f>IF(OR(DATA_CLEANED!AL335="",DATA_CLEANED!AM335=""),"MANQUANT",IF(OR(NOT(ISNUMBER(DATA_CLEANED!AL335)),NOT(ISNUMBER(DATA_CLEANED!AM335))),"ENTREE INVALIDE",IF(OR(DATA_CLEANED!AL335&lt;0,DATA_CLEANED!AM335&lt;0),"SCORE NEGATIF","OK")))</f>
        <v>OK</v>
      </c>
      <c r="BF344" s="43" t="str">
        <f>IF(DATA_CLEANED!AK335&lt;&gt;DATA_CLEANED!AN335,"OK","ERREUR")</f>
        <v>OK</v>
      </c>
      <c r="BG344" s="43" t="str">
        <f>IF(DATA_CLEANED!AL335&gt;DATA_CLEANED!AM335,DATA_CLEANED!AK335,IF(AND(DATA_QUALITE!W4821="-",DATA_CLEANED!AM335=DATA_CLEANED!AL335),"MATCH NUL",IF(AND(DATA_QUALITE!V4821="-",DATA_QUALITE!U4821="AUCUNE"),DATA_QUALITE!T4821,IF(DATA_QUALITE!V4821&lt;&gt;"-",DATA_QUALITE!V4821,DATA_CLEANED!AN335))))</f>
        <v>Poland</v>
      </c>
      <c r="BH344" s="103" t="str">
        <f>IF(AND(BG344="MATCH NUL",DATA_CLEANED!AO335="-"),"MATCH_NUL",IF(ISNUMBER(SEARCH("win on penalties",W4821)),"WIN_BY_PENALTY",IF(ISNUMBER(SEARCH("win after extra time",W4821)),"WIN_BY_EXTRA_TIME",IF(ISNUMBER(SEARCH("Golden Goal",W4821)),"WIN_BY_GOLDEN_GOAL","WIN_BY_SCORE"))))</f>
        <v>WIN_BY_SCORE</v>
      </c>
      <c r="BI344" s="99" t="str">
        <f>IF(OR(BG344=DATA_CLEANED!AK335,BG344=DATA_CLEANED!AN335,BG344="MATCH NUL"),"OK","ERREUR")</f>
        <v>OK</v>
      </c>
    </row>
    <row r="345" spans="2:61">
      <c r="B345" s="74">
        <v>2018</v>
      </c>
      <c r="C345" s="30" t="str">
        <v>Round of 16</v>
      </c>
      <c r="D345" s="30" t="str">
        <v>Spain</v>
      </c>
      <c r="E345" s="30" t="str">
        <v>Russia</v>
      </c>
      <c r="F345" s="30" t="str">
        <v>Russia</v>
      </c>
      <c r="G345" s="30" t="str">
        <v>Aleksandr Golovin</v>
      </c>
      <c r="H345" s="30" t="str">
        <v>David de Gea</v>
      </c>
      <c r="I345" s="30">
        <v>6</v>
      </c>
      <c r="J345" s="30">
        <v>3</v>
      </c>
      <c r="K345" s="30" t="str">
        <v>'2-2</v>
      </c>
      <c r="L345" s="30" t="str">
        <v>No</v>
      </c>
      <c r="M345" s="30" t="str">
        <v>No</v>
      </c>
      <c r="N345" s="30" t="str">
        <v>Goal</v>
      </c>
      <c r="O345" s="30" t="str">
        <f t="shared" si="37"/>
        <v>2018|Round of 16|Spain|Russia|Russia|Aleksandr Golovin|David de Gea|6|3|'2-2|No|No|Goal</v>
      </c>
      <c r="P345" s="96" t="str">
        <f>IF(COUNTIF($G$32:O345,O345)&gt;1,"DOUBLON","OK")</f>
        <v>OK</v>
      </c>
      <c r="S345" s="30" t="str">
        <v>Japan</v>
      </c>
      <c r="T345" s="30" t="str">
        <f t="shared" si="34"/>
        <v>OK</v>
      </c>
      <c r="U345" s="30" t="str">
        <f t="shared" si="35"/>
        <v>-</v>
      </c>
      <c r="V345" s="30" t="str" cm="1">
        <f t="array" ref="V345">_xlfn.IFS(
ISNUMBER(SEARCH("USA",S345)),"United States",
ISNUMBER(SEARCH("Republic of Korea",S345)),"South Korea",
ISNUMBER(SEARCH("Cape Verde",S345)),"Cabo Verde",
ISNUMBER(SEARCH("Czechia",S345)),"Czech Republic",
ISNUMBER(SEARCH("Türkiye",S345)),"Turkey",
ISNUMBER(SEARCH("Ivory Coast",S345)),"Côte d'Ivoire",
ISNUMBER(SEARCH("Korea Republic",S345)),"South Korea",
ISNUMBER(SEARCH("Germany FR",S345)),"FR Germany",
ISNUMBER(SEARCH("West Germany",S345)),"FR Germany",
ISNUMBER(SEARCH("Germany DR",S345)),"DR Germany",
ISNUMBER(SEARCH("Korea DPR",S345)),"North Korea",
ISNUMBER(SEARCH("China PR",S345)),"China",
ISNUMBER(SEARCH("IR Iran",S345)),"Iran",
ISNUMBER(SEARCH("Congo DR",S345)),"Democratic Republic of the Congo",
ISNUMBER(SEARCH("DR Congo",S345)),"Democratic Republic of the Congo",
ISNUMBER(SEARCH("German DR",S345)),"DR Germany",
ISNUMBER(SEARCH("rn""&gt;United Arab Emirates",S345)),"United Arab Emirates",
ISNUMBER(SEARCH("rn""&gt;Republic of Ireland",S345)),"Ireland",
ISNUMBER(SEARCH("rn""&gt;Bosnia and Herzegovina",S345)),"Bosnia and Herzegovina",
ISNUMBER(SEARCH("rn""&gt;Trinidad and Tobago",S345)),"Trinidad and Tobago",
ISNUMBER(SEARCH("rn""&gt;Serbia and Montenegro",S345)),"Serbia and Montenegro",
ISNUMBER(SEARCH(_xlfn.UNICHAR(65533),S345)),"Côte d'Ivoire",
TRUE,""
)</f>
        <v/>
      </c>
      <c r="W345" s="30" t="str">
        <f t="shared" si="36"/>
        <v>Japan</v>
      </c>
      <c r="Z345" s="40" t="str">
        <v>Arroyito - Estadio Dr. Lisandro de la Torre</v>
      </c>
      <c r="AA345" s="40" t="str" cm="1">
        <f t="array" ref="AA345">IFERROR(_xlfn.XLOOKUP(Z345,_xlfn.ANCHORARRAY(Z$31),AA$31:AA$37),Z345)</f>
        <v>Arroyito - Estadio Dr. Lisandro de la Torre</v>
      </c>
      <c r="AB345" s="42" t="str">
        <v xml:space="preserve">Rosario </v>
      </c>
      <c r="AC345" s="89" t="str">
        <f t="shared" si="33"/>
        <v xml:space="preserve">Rosario </v>
      </c>
      <c r="AE345" s="42">
        <v>1974</v>
      </c>
      <c r="AK345" s="42">
        <v>0</v>
      </c>
      <c r="AL345" s="42">
        <v>2</v>
      </c>
      <c r="AV345" s="37" t="str">
        <v>ROUND_OF_32</v>
      </c>
      <c r="AW345" s="89" t="str">
        <v>GROUP_STAGE</v>
      </c>
      <c r="BE345" s="43" t="str">
        <f>IF(OR(DATA_CLEANED!AL336="",DATA_CLEANED!AM336=""),"MANQUANT",IF(OR(NOT(ISNUMBER(DATA_CLEANED!AL336)),NOT(ISNUMBER(DATA_CLEANED!AM336))),"ENTREE INVALIDE",IF(OR(DATA_CLEANED!AL336&lt;0,DATA_CLEANED!AM336&lt;0),"SCORE NEGATIF","OK")))</f>
        <v>OK</v>
      </c>
      <c r="BF345" s="43" t="str">
        <f>IF(DATA_CLEANED!AK336&lt;&gt;DATA_CLEANED!AN336,"OK","ERREUR")</f>
        <v>OK</v>
      </c>
      <c r="BG345" s="43" t="str">
        <f>IF(DATA_CLEANED!AL336&gt;DATA_CLEANED!AM336,DATA_CLEANED!AK336,IF(AND(DATA_QUALITE!W4822="-",DATA_CLEANED!AM336=DATA_CLEANED!AL336),"MATCH NUL",IF(AND(DATA_QUALITE!V4822="-",DATA_QUALITE!U4822="AUCUNE"),DATA_QUALITE!T4822,IF(DATA_QUALITE!V4822&lt;&gt;"-",DATA_QUALITE!V4822,DATA_CLEANED!AN336))))</f>
        <v>MATCH NUL</v>
      </c>
      <c r="BH345" s="103" t="str">
        <f>IF(AND(BG345="MATCH NUL",DATA_CLEANED!AO336="-"),"MATCH_NUL",IF(ISNUMBER(SEARCH("win on penalties",W4822)),"WIN_BY_PENALTY",IF(ISNUMBER(SEARCH("win after extra time",W4822)),"WIN_BY_EXTRA_TIME",IF(ISNUMBER(SEARCH("Golden Goal",W4822)),"WIN_BY_GOLDEN_GOAL","WIN_BY_SCORE"))))</f>
        <v>MATCH_NUL</v>
      </c>
      <c r="BI345" s="99" t="str">
        <f>IF(OR(BG345=DATA_CLEANED!AK336,BG345=DATA_CLEANED!AN336,BG345="MATCH NUL"),"OK","ERREUR")</f>
        <v>OK</v>
      </c>
    </row>
    <row r="346" spans="2:61">
      <c r="B346" s="74">
        <v>2018</v>
      </c>
      <c r="C346" s="30" t="str">
        <v>Round of 16</v>
      </c>
      <c r="D346" s="30" t="str">
        <v>Spain</v>
      </c>
      <c r="E346" s="30" t="str">
        <v>Russia</v>
      </c>
      <c r="F346" s="30" t="str">
        <v>Spain</v>
      </c>
      <c r="G346" s="30" t="str">
        <v>Iago Aspas</v>
      </c>
      <c r="H346" s="30" t="str">
        <v>Igor Akinfeev</v>
      </c>
      <c r="I346" s="30">
        <v>7</v>
      </c>
      <c r="J346" s="30">
        <v>4</v>
      </c>
      <c r="K346" s="30" t="str">
        <v>'3-2</v>
      </c>
      <c r="L346" s="30" t="str">
        <v>No</v>
      </c>
      <c r="M346" s="30" t="str">
        <v>No</v>
      </c>
      <c r="N346" s="30" t="str">
        <v>Saved</v>
      </c>
      <c r="O346" s="30" t="str">
        <f t="shared" si="37"/>
        <v>2018|Round of 16|Spain|Russia|Spain|Iago Aspas|Igor Akinfeev|7|4|'3-2|No|No|Saved</v>
      </c>
      <c r="P346" s="96" t="str">
        <f>IF(COUNTIF($G$32:O346,O346)&gt;1,"DOUBLON","OK")</f>
        <v>OK</v>
      </c>
      <c r="S346" s="30" t="str">
        <v>Morocco</v>
      </c>
      <c r="T346" s="30" t="str">
        <f t="shared" si="34"/>
        <v>OK</v>
      </c>
      <c r="U346" s="30" t="str">
        <f t="shared" si="35"/>
        <v>-</v>
      </c>
      <c r="V346" s="30" t="str" cm="1">
        <f t="array" ref="V346">_xlfn.IFS(
ISNUMBER(SEARCH("USA",S346)),"United States",
ISNUMBER(SEARCH("Republic of Korea",S346)),"South Korea",
ISNUMBER(SEARCH("Cape Verde",S346)),"Cabo Verde",
ISNUMBER(SEARCH("Czechia",S346)),"Czech Republic",
ISNUMBER(SEARCH("Türkiye",S346)),"Turkey",
ISNUMBER(SEARCH("Ivory Coast",S346)),"Côte d'Ivoire",
ISNUMBER(SEARCH("Korea Republic",S346)),"South Korea",
ISNUMBER(SEARCH("Germany FR",S346)),"FR Germany",
ISNUMBER(SEARCH("West Germany",S346)),"FR Germany",
ISNUMBER(SEARCH("Germany DR",S346)),"DR Germany",
ISNUMBER(SEARCH("Korea DPR",S346)),"North Korea",
ISNUMBER(SEARCH("China PR",S346)),"China",
ISNUMBER(SEARCH("IR Iran",S346)),"Iran",
ISNUMBER(SEARCH("Congo DR",S346)),"Democratic Republic of the Congo",
ISNUMBER(SEARCH("DR Congo",S346)),"Democratic Republic of the Congo",
ISNUMBER(SEARCH("German DR",S346)),"DR Germany",
ISNUMBER(SEARCH("rn""&gt;United Arab Emirates",S346)),"United Arab Emirates",
ISNUMBER(SEARCH("rn""&gt;Republic of Ireland",S346)),"Ireland",
ISNUMBER(SEARCH("rn""&gt;Bosnia and Herzegovina",S346)),"Bosnia and Herzegovina",
ISNUMBER(SEARCH("rn""&gt;Trinidad and Tobago",S346)),"Trinidad and Tobago",
ISNUMBER(SEARCH("rn""&gt;Serbia and Montenegro",S346)),"Serbia and Montenegro",
ISNUMBER(SEARCH(_xlfn.UNICHAR(65533),S346)),"Côte d'Ivoire",
TRUE,""
)</f>
        <v/>
      </c>
      <c r="W346" s="30" t="str">
        <f t="shared" si="36"/>
        <v>Morocco</v>
      </c>
      <c r="Z346" s="40" t="str">
        <v>El Monumental - Estadio Monumental Antonio Vespuci</v>
      </c>
      <c r="AA346" s="40" t="str" cm="1">
        <f t="array" ref="AA346">IFERROR(_xlfn.XLOOKUP(Z346,_xlfn.ANCHORARRAY(Z$31),AA$31:AA$37),Z346)</f>
        <v>El Monumental - Estadio Monumental Antonio Vespuci</v>
      </c>
      <c r="AB346" s="42" t="str">
        <v xml:space="preserve">Buenos Aires </v>
      </c>
      <c r="AC346" s="89" t="str">
        <f t="shared" si="33"/>
        <v xml:space="preserve">Buenos Aires </v>
      </c>
      <c r="AE346" s="42">
        <v>1974</v>
      </c>
      <c r="AK346" s="42">
        <v>4</v>
      </c>
      <c r="AL346" s="42">
        <v>2</v>
      </c>
      <c r="AV346" s="37" t="str">
        <v>ROUND_OF_32</v>
      </c>
      <c r="AW346" s="89" t="str">
        <v>GROUP_STAGE</v>
      </c>
      <c r="BE346" s="43" t="str">
        <f>IF(OR(DATA_CLEANED!AL337="",DATA_CLEANED!AM337=""),"MANQUANT",IF(OR(NOT(ISNUMBER(DATA_CLEANED!AL337)),NOT(ISNUMBER(DATA_CLEANED!AM337))),"ENTREE INVALIDE",IF(OR(DATA_CLEANED!AL337&lt;0,DATA_CLEANED!AM337&lt;0),"SCORE NEGATIF","OK")))</f>
        <v>OK</v>
      </c>
      <c r="BF346" s="43" t="str">
        <f>IF(DATA_CLEANED!AK337&lt;&gt;DATA_CLEANED!AN337,"OK","ERREUR")</f>
        <v>OK</v>
      </c>
      <c r="BG346" s="43" t="str">
        <f>IF(DATA_CLEANED!AL337&gt;DATA_CLEANED!AM337,DATA_CLEANED!AK337,IF(AND(DATA_QUALITE!W4823="-",DATA_CLEANED!AM337=DATA_CLEANED!AL337),"MATCH NUL",IF(AND(DATA_QUALITE!V4823="-",DATA_QUALITE!U4823="AUCUNE"),DATA_QUALITE!T4823,IF(DATA_QUALITE!V4823&lt;&gt;"-",DATA_QUALITE!V4823,DATA_CLEANED!AN337))))</f>
        <v>MATCH NUL</v>
      </c>
      <c r="BH346" s="103" t="str">
        <f>IF(AND(BG346="MATCH NUL",DATA_CLEANED!AO337="-"),"MATCH_NUL",IF(ISNUMBER(SEARCH("win on penalties",W4823)),"WIN_BY_PENALTY",IF(ISNUMBER(SEARCH("win after extra time",W4823)),"WIN_BY_EXTRA_TIME",IF(ISNUMBER(SEARCH("Golden Goal",W4823)),"WIN_BY_GOLDEN_GOAL","WIN_BY_SCORE"))))</f>
        <v>MATCH_NUL</v>
      </c>
      <c r="BI346" s="99" t="str">
        <f>IF(OR(BG346=DATA_CLEANED!AK337,BG346=DATA_CLEANED!AN337,BG346="MATCH NUL"),"OK","ERREUR")</f>
        <v>OK</v>
      </c>
    </row>
    <row r="347" spans="2:61">
      <c r="B347" s="74">
        <v>2018</v>
      </c>
      <c r="C347" s="30" t="str">
        <v>Round of 16</v>
      </c>
      <c r="D347" s="30" t="str">
        <v>Spain</v>
      </c>
      <c r="E347" s="30" t="str">
        <v>Russia</v>
      </c>
      <c r="F347" s="30" t="str">
        <v>Russia</v>
      </c>
      <c r="G347" s="30" t="str">
        <v>Denis Cheryshev</v>
      </c>
      <c r="H347" s="30" t="str">
        <v>David de Gea</v>
      </c>
      <c r="I347" s="30">
        <v>8</v>
      </c>
      <c r="J347" s="30">
        <v>4</v>
      </c>
      <c r="K347" s="30" t="str">
        <v>'3-2</v>
      </c>
      <c r="L347" s="30" t="str">
        <v>No</v>
      </c>
      <c r="M347" s="30" t="str">
        <v>No</v>
      </c>
      <c r="N347" s="30" t="str">
        <v>Goal</v>
      </c>
      <c r="O347" s="30" t="str">
        <f t="shared" si="37"/>
        <v>2018|Round of 16|Spain|Russia|Russia|Denis Cheryshev|David de Gea|8|4|'3-2|No|No|Goal</v>
      </c>
      <c r="P347" s="96" t="str">
        <f>IF(COUNTIF($G$32:O347,O347)&gt;1,"DOUBLON","OK")</f>
        <v>OK</v>
      </c>
      <c r="S347" s="30" t="str">
        <v>Morocco</v>
      </c>
      <c r="T347" s="30" t="str">
        <f t="shared" si="34"/>
        <v>OK</v>
      </c>
      <c r="U347" s="30" t="str">
        <f t="shared" si="35"/>
        <v>-</v>
      </c>
      <c r="V347" s="30" t="str" cm="1">
        <f t="array" ref="V347">_xlfn.IFS(
ISNUMBER(SEARCH("USA",S347)),"United States",
ISNUMBER(SEARCH("Republic of Korea",S347)),"South Korea",
ISNUMBER(SEARCH("Cape Verde",S347)),"Cabo Verde",
ISNUMBER(SEARCH("Czechia",S347)),"Czech Republic",
ISNUMBER(SEARCH("Türkiye",S347)),"Turkey",
ISNUMBER(SEARCH("Ivory Coast",S347)),"Côte d'Ivoire",
ISNUMBER(SEARCH("Korea Republic",S347)),"South Korea",
ISNUMBER(SEARCH("Germany FR",S347)),"FR Germany",
ISNUMBER(SEARCH("West Germany",S347)),"FR Germany",
ISNUMBER(SEARCH("Germany DR",S347)),"DR Germany",
ISNUMBER(SEARCH("Korea DPR",S347)),"North Korea",
ISNUMBER(SEARCH("China PR",S347)),"China",
ISNUMBER(SEARCH("IR Iran",S347)),"Iran",
ISNUMBER(SEARCH("Congo DR",S347)),"Democratic Republic of the Congo",
ISNUMBER(SEARCH("DR Congo",S347)),"Democratic Republic of the Congo",
ISNUMBER(SEARCH("German DR",S347)),"DR Germany",
ISNUMBER(SEARCH("rn""&gt;United Arab Emirates",S347)),"United Arab Emirates",
ISNUMBER(SEARCH("rn""&gt;Republic of Ireland",S347)),"Ireland",
ISNUMBER(SEARCH("rn""&gt;Bosnia and Herzegovina",S347)),"Bosnia and Herzegovina",
ISNUMBER(SEARCH("rn""&gt;Trinidad and Tobago",S347)),"Trinidad and Tobago",
ISNUMBER(SEARCH("rn""&gt;Serbia and Montenegro",S347)),"Serbia and Montenegro",
ISNUMBER(SEARCH(_xlfn.UNICHAR(65533),S347)),"Côte d'Ivoire",
TRUE,""
)</f>
        <v/>
      </c>
      <c r="W347" s="30" t="str">
        <f t="shared" si="36"/>
        <v>Morocco</v>
      </c>
      <c r="Z347" s="40" t="str">
        <v>El Monumental - Estadio Monumental Antonio Vespuci</v>
      </c>
      <c r="AA347" s="40" t="str" cm="1">
        <f t="array" ref="AA347">IFERROR(_xlfn.XLOOKUP(Z347,_xlfn.ANCHORARRAY(Z$31),AA$31:AA$37),Z347)</f>
        <v>El Monumental - Estadio Monumental Antonio Vespuci</v>
      </c>
      <c r="AB347" s="42" t="str">
        <v xml:space="preserve">Buenos Aires </v>
      </c>
      <c r="AC347" s="89" t="str">
        <f t="shared" si="33"/>
        <v xml:space="preserve">Buenos Aires </v>
      </c>
      <c r="AE347" s="42">
        <v>1974</v>
      </c>
      <c r="AK347" s="42">
        <v>0</v>
      </c>
      <c r="AL347" s="42">
        <v>1</v>
      </c>
      <c r="AV347" s="37" t="str">
        <v>ROUND_OF_32</v>
      </c>
      <c r="AW347" s="89" t="str">
        <v>GROUP_STAGE</v>
      </c>
      <c r="BE347" s="43" t="str">
        <f>IF(OR(DATA_CLEANED!AL338="",DATA_CLEANED!AM338=""),"MANQUANT",IF(OR(NOT(ISNUMBER(DATA_CLEANED!AL338)),NOT(ISNUMBER(DATA_CLEANED!AM338))),"ENTREE INVALIDE",IF(OR(DATA_CLEANED!AL338&lt;0,DATA_CLEANED!AM338&lt;0),"SCORE NEGATIF","OK")))</f>
        <v>OK</v>
      </c>
      <c r="BF347" s="43" t="str">
        <f>IF(DATA_CLEANED!AK338&lt;&gt;DATA_CLEANED!AN338,"OK","ERREUR")</f>
        <v>OK</v>
      </c>
      <c r="BG347" s="43" t="str">
        <f>IF(DATA_CLEANED!AL338&gt;DATA_CLEANED!AM338,DATA_CLEANED!AK338,IF(AND(DATA_QUALITE!W4824="-",DATA_CLEANED!AM338=DATA_CLEANED!AL338),"MATCH NUL",IF(AND(DATA_QUALITE!V4824="-",DATA_QUALITE!U4824="AUCUNE"),DATA_QUALITE!T4824,IF(DATA_QUALITE!V4824&lt;&gt;"-",DATA_QUALITE!V4824,DATA_CLEANED!AN338))))</f>
        <v>MATCH NUL</v>
      </c>
      <c r="BH347" s="103" t="str">
        <f>IF(AND(BG347="MATCH NUL",DATA_CLEANED!AO338="-"),"MATCH_NUL",IF(ISNUMBER(SEARCH("win on penalties",W4824)),"WIN_BY_PENALTY",IF(ISNUMBER(SEARCH("win after extra time",W4824)),"WIN_BY_EXTRA_TIME",IF(ISNUMBER(SEARCH("Golden Goal",W4824)),"WIN_BY_GOLDEN_GOAL","WIN_BY_SCORE"))))</f>
        <v>MATCH_NUL</v>
      </c>
      <c r="BI347" s="99" t="str">
        <f>IF(OR(BG347=DATA_CLEANED!AK338,BG347=DATA_CLEANED!AN338,BG347="MATCH NUL"),"OK","ERREUR")</f>
        <v>OK</v>
      </c>
    </row>
    <row r="348" spans="2:61">
      <c r="B348" s="74">
        <v>2018</v>
      </c>
      <c r="C348" s="30" t="str">
        <v>Quarter-finals</v>
      </c>
      <c r="D348" s="30" t="str">
        <v>Russia</v>
      </c>
      <c r="E348" s="30" t="str">
        <v>Croatia</v>
      </c>
      <c r="F348" s="30" t="str">
        <v>Russia</v>
      </c>
      <c r="G348" s="30" t="str">
        <v>Fedor Smolov</v>
      </c>
      <c r="H348" s="30" t="str">
        <v>Danijel Subašić</v>
      </c>
      <c r="I348" s="30">
        <v>1</v>
      </c>
      <c r="J348" s="30">
        <v>1</v>
      </c>
      <c r="K348" s="30" t="str">
        <v>'0-0</v>
      </c>
      <c r="L348" s="30" t="str">
        <v>No</v>
      </c>
      <c r="M348" s="30" t="str">
        <v>No</v>
      </c>
      <c r="N348" s="30" t="str">
        <v>Saved</v>
      </c>
      <c r="O348" s="30" t="str">
        <f t="shared" si="37"/>
        <v>2018|Quarter-finals|Russia|Croatia|Russia|Fedor Smolov|Danijel Subašić|1|1|'0-0|No|No|Saved</v>
      </c>
      <c r="P348" s="96" t="str">
        <f>IF(COUNTIF($G$32:O348,O348)&gt;1,"DOUBLON","OK")</f>
        <v>OK</v>
      </c>
      <c r="S348" s="30" t="str">
        <v>Morocco</v>
      </c>
      <c r="T348" s="30" t="str">
        <f t="shared" si="34"/>
        <v>OK</v>
      </c>
      <c r="U348" s="30" t="str">
        <f t="shared" si="35"/>
        <v>-</v>
      </c>
      <c r="V348" s="30" t="str" cm="1">
        <f t="array" ref="V348">_xlfn.IFS(
ISNUMBER(SEARCH("USA",S348)),"United States",
ISNUMBER(SEARCH("Republic of Korea",S348)),"South Korea",
ISNUMBER(SEARCH("Cape Verde",S348)),"Cabo Verde",
ISNUMBER(SEARCH("Czechia",S348)),"Czech Republic",
ISNUMBER(SEARCH("Türkiye",S348)),"Turkey",
ISNUMBER(SEARCH("Ivory Coast",S348)),"Côte d'Ivoire",
ISNUMBER(SEARCH("Korea Republic",S348)),"South Korea",
ISNUMBER(SEARCH("Germany FR",S348)),"FR Germany",
ISNUMBER(SEARCH("West Germany",S348)),"FR Germany",
ISNUMBER(SEARCH("Germany DR",S348)),"DR Germany",
ISNUMBER(SEARCH("Korea DPR",S348)),"North Korea",
ISNUMBER(SEARCH("China PR",S348)),"China",
ISNUMBER(SEARCH("IR Iran",S348)),"Iran",
ISNUMBER(SEARCH("Congo DR",S348)),"Democratic Republic of the Congo",
ISNUMBER(SEARCH("DR Congo",S348)),"Democratic Republic of the Congo",
ISNUMBER(SEARCH("German DR",S348)),"DR Germany",
ISNUMBER(SEARCH("rn""&gt;United Arab Emirates",S348)),"United Arab Emirates",
ISNUMBER(SEARCH("rn""&gt;Republic of Ireland",S348)),"Ireland",
ISNUMBER(SEARCH("rn""&gt;Bosnia and Herzegovina",S348)),"Bosnia and Herzegovina",
ISNUMBER(SEARCH("rn""&gt;Trinidad and Tobago",S348)),"Trinidad and Tobago",
ISNUMBER(SEARCH("rn""&gt;Serbia and Montenegro",S348)),"Serbia and Montenegro",
ISNUMBER(SEARCH(_xlfn.UNICHAR(65533),S348)),"Côte d'Ivoire",
TRUE,""
)</f>
        <v/>
      </c>
      <c r="W348" s="30" t="str">
        <f t="shared" si="36"/>
        <v>Morocco</v>
      </c>
      <c r="Z348" s="40" t="str">
        <v>Camp Nou</v>
      </c>
      <c r="AA348" s="40" t="str" cm="1">
        <f t="array" ref="AA348">IFERROR(_xlfn.XLOOKUP(Z348,_xlfn.ANCHORARRAY(Z$31),AA$31:AA$37),Z348)</f>
        <v>Camp Nou</v>
      </c>
      <c r="AB348" s="42" t="str">
        <v xml:space="preserve">Barcelona </v>
      </c>
      <c r="AC348" s="89" t="str">
        <f t="shared" si="33"/>
        <v xml:space="preserve">Barcelona </v>
      </c>
      <c r="AE348" s="42">
        <v>1974</v>
      </c>
      <c r="AK348" s="42">
        <v>2</v>
      </c>
      <c r="AL348" s="42">
        <v>0</v>
      </c>
      <c r="AV348" s="37" t="str">
        <v>ROUND_OF_32</v>
      </c>
      <c r="AW348" s="89" t="str">
        <v>GROUP_STAGE</v>
      </c>
      <c r="BE348" s="43" t="str">
        <f>IF(OR(DATA_CLEANED!AL339="",DATA_CLEANED!AM339=""),"MANQUANT",IF(OR(NOT(ISNUMBER(DATA_CLEANED!AL339)),NOT(ISNUMBER(DATA_CLEANED!AM339))),"ENTREE INVALIDE",IF(OR(DATA_CLEANED!AL339&lt;0,DATA_CLEANED!AM339&lt;0),"SCORE NEGATIF","OK")))</f>
        <v>OK</v>
      </c>
      <c r="BF348" s="43" t="str">
        <f>IF(DATA_CLEANED!AK339&lt;&gt;DATA_CLEANED!AN339,"OK","ERREUR")</f>
        <v>OK</v>
      </c>
      <c r="BG348" s="43" t="str">
        <f>IF(DATA_CLEANED!AL339&gt;DATA_CLEANED!AM339,DATA_CLEANED!AK339,IF(AND(DATA_QUALITE!W4825="-",DATA_CLEANED!AM339=DATA_CLEANED!AL339),"MATCH NUL",IF(AND(DATA_QUALITE!V4825="-",DATA_QUALITE!U4825="AUCUNE"),DATA_QUALITE!T4825,IF(DATA_QUALITE!V4825&lt;&gt;"-",DATA_QUALITE!V4825,DATA_CLEANED!AN339))))</f>
        <v>Argentina</v>
      </c>
      <c r="BH348" s="103" t="str">
        <f>IF(AND(BG348="MATCH NUL",DATA_CLEANED!AO339="-"),"MATCH_NUL",IF(ISNUMBER(SEARCH("win on penalties",W4825)),"WIN_BY_PENALTY",IF(ISNUMBER(SEARCH("win after extra time",W4825)),"WIN_BY_EXTRA_TIME",IF(ISNUMBER(SEARCH("Golden Goal",W4825)),"WIN_BY_GOLDEN_GOAL","WIN_BY_SCORE"))))</f>
        <v>WIN_BY_SCORE</v>
      </c>
      <c r="BI348" s="99" t="str">
        <f>IF(OR(BG348=DATA_CLEANED!AK339,BG348=DATA_CLEANED!AN339,BG348="MATCH NUL"),"OK","ERREUR")</f>
        <v>OK</v>
      </c>
    </row>
    <row r="349" spans="2:61">
      <c r="B349" s="74">
        <v>2018</v>
      </c>
      <c r="C349" s="30" t="str">
        <v>Quarter-finals</v>
      </c>
      <c r="D349" s="30" t="str">
        <v>Russia</v>
      </c>
      <c r="E349" s="30" t="str">
        <v>Croatia</v>
      </c>
      <c r="F349" s="30" t="str">
        <v>Croatia</v>
      </c>
      <c r="G349" s="30" t="str">
        <v>Marcelo Brozović</v>
      </c>
      <c r="H349" s="30" t="str">
        <v>Igor Akinfeev</v>
      </c>
      <c r="I349" s="30">
        <v>2</v>
      </c>
      <c r="J349" s="30">
        <v>1</v>
      </c>
      <c r="K349" s="30" t="str">
        <v>'0-0</v>
      </c>
      <c r="L349" s="30" t="str">
        <v>No</v>
      </c>
      <c r="M349" s="30" t="str">
        <v>No</v>
      </c>
      <c r="N349" s="30" t="str">
        <v>Goal</v>
      </c>
      <c r="O349" s="30" t="str">
        <f t="shared" si="37"/>
        <v>2018|Quarter-finals|Russia|Croatia|Croatia|Marcelo Brozović|Igor Akinfeev|2|1|'0-0|No|No|Goal</v>
      </c>
      <c r="P349" s="96" t="str">
        <f>IF(COUNTIF($G$32:O349,O349)&gt;1,"DOUBLON","OK")</f>
        <v>OK</v>
      </c>
      <c r="S349" s="30" t="str">
        <v>Morocco</v>
      </c>
      <c r="T349" s="30" t="str">
        <f t="shared" si="34"/>
        <v>OK</v>
      </c>
      <c r="U349" s="30" t="str">
        <f t="shared" si="35"/>
        <v>-</v>
      </c>
      <c r="V349" s="30" t="str" cm="1">
        <f t="array" ref="V349">_xlfn.IFS(
ISNUMBER(SEARCH("USA",S349)),"United States",
ISNUMBER(SEARCH("Republic of Korea",S349)),"South Korea",
ISNUMBER(SEARCH("Cape Verde",S349)),"Cabo Verde",
ISNUMBER(SEARCH("Czechia",S349)),"Czech Republic",
ISNUMBER(SEARCH("Türkiye",S349)),"Turkey",
ISNUMBER(SEARCH("Ivory Coast",S349)),"Côte d'Ivoire",
ISNUMBER(SEARCH("Korea Republic",S349)),"South Korea",
ISNUMBER(SEARCH("Germany FR",S349)),"FR Germany",
ISNUMBER(SEARCH("West Germany",S349)),"FR Germany",
ISNUMBER(SEARCH("Germany DR",S349)),"DR Germany",
ISNUMBER(SEARCH("Korea DPR",S349)),"North Korea",
ISNUMBER(SEARCH("China PR",S349)),"China",
ISNUMBER(SEARCH("IR Iran",S349)),"Iran",
ISNUMBER(SEARCH("Congo DR",S349)),"Democratic Republic of the Congo",
ISNUMBER(SEARCH("DR Congo",S349)),"Democratic Republic of the Congo",
ISNUMBER(SEARCH("German DR",S349)),"DR Germany",
ISNUMBER(SEARCH("rn""&gt;United Arab Emirates",S349)),"United Arab Emirates",
ISNUMBER(SEARCH("rn""&gt;Republic of Ireland",S349)),"Ireland",
ISNUMBER(SEARCH("rn""&gt;Bosnia and Herzegovina",S349)),"Bosnia and Herzegovina",
ISNUMBER(SEARCH("rn""&gt;Trinidad and Tobago",S349)),"Trinidad and Tobago",
ISNUMBER(SEARCH("rn""&gt;Serbia and Montenegro",S349)),"Serbia and Montenegro",
ISNUMBER(SEARCH(_xlfn.UNICHAR(65533),S349)),"Côte d'Ivoire",
TRUE,""
)</f>
        <v/>
      </c>
      <c r="W349" s="30" t="str">
        <f t="shared" si="36"/>
        <v>Morocco</v>
      </c>
      <c r="Z349" s="40" t="str">
        <v>Estadio Municipal de Bala�dos</v>
      </c>
      <c r="AA349" s="40" t="str" cm="1">
        <f t="array" ref="AA349">IFERROR(_xlfn.XLOOKUP(Z349,_xlfn.ANCHORARRAY(Z$31),AA$31:AA$37),Z349)</f>
        <v>Estadio Municipal de Balaídos</v>
      </c>
      <c r="AB349" s="42" t="str">
        <v xml:space="preserve">Vigo </v>
      </c>
      <c r="AC349" s="89" t="str">
        <f t="shared" si="33"/>
        <v xml:space="preserve">Vigo </v>
      </c>
      <c r="AE349" s="42">
        <v>1974</v>
      </c>
      <c r="AK349" s="42">
        <v>1</v>
      </c>
      <c r="AL349" s="42">
        <v>1</v>
      </c>
      <c r="AV349" s="37" t="str">
        <v>ROUND_OF_32</v>
      </c>
      <c r="AW349" s="89" t="str">
        <v>GROUP_STAGE</v>
      </c>
      <c r="BE349" s="43" t="str">
        <f>IF(OR(DATA_CLEANED!AL340="",DATA_CLEANED!AM340=""),"MANQUANT",IF(OR(NOT(ISNUMBER(DATA_CLEANED!AL340)),NOT(ISNUMBER(DATA_CLEANED!AM340))),"ENTREE INVALIDE",IF(OR(DATA_CLEANED!AL340&lt;0,DATA_CLEANED!AM340&lt;0),"SCORE NEGATIF","OK")))</f>
        <v>OK</v>
      </c>
      <c r="BF349" s="43" t="str">
        <f>IF(DATA_CLEANED!AK340&lt;&gt;DATA_CLEANED!AN340,"OK","ERREUR")</f>
        <v>OK</v>
      </c>
      <c r="BG349" s="43" t="str">
        <f>IF(DATA_CLEANED!AL340&gt;DATA_CLEANED!AM340,DATA_CLEANED!AK340,IF(AND(DATA_QUALITE!W4826="-",DATA_CLEANED!AM340=DATA_CLEANED!AL340),"MATCH NUL",IF(AND(DATA_QUALITE!V4826="-",DATA_QUALITE!U4826="AUCUNE"),DATA_QUALITE!T4826,IF(DATA_QUALITE!V4826&lt;&gt;"-",DATA_QUALITE!V4826,DATA_CLEANED!AN340))))</f>
        <v>Brazil</v>
      </c>
      <c r="BH349" s="103" t="str">
        <f>IF(AND(BG349="MATCH NUL",DATA_CLEANED!AO340="-"),"MATCH_NUL",IF(ISNUMBER(SEARCH("win on penalties",W4826)),"WIN_BY_PENALTY",IF(ISNUMBER(SEARCH("win after extra time",W4826)),"WIN_BY_EXTRA_TIME",IF(ISNUMBER(SEARCH("Golden Goal",W4826)),"WIN_BY_GOLDEN_GOAL","WIN_BY_SCORE"))))</f>
        <v>WIN_BY_SCORE</v>
      </c>
      <c r="BI349" s="99" t="str">
        <f>IF(OR(BG349=DATA_CLEANED!AK340,BG349=DATA_CLEANED!AN340,BG349="MATCH NUL"),"OK","ERREUR")</f>
        <v>OK</v>
      </c>
    </row>
    <row r="350" spans="2:61">
      <c r="B350" s="74">
        <v>2018</v>
      </c>
      <c r="C350" s="30" t="str">
        <v>Quarter-finals</v>
      </c>
      <c r="D350" s="30" t="str">
        <v>Russia</v>
      </c>
      <c r="E350" s="30" t="str">
        <v>Croatia</v>
      </c>
      <c r="F350" s="30" t="str">
        <v>Russia</v>
      </c>
      <c r="G350" s="30" t="str">
        <v>Alan Dzagoev</v>
      </c>
      <c r="H350" s="30" t="str">
        <v>Danijel Subašić</v>
      </c>
      <c r="I350" s="30">
        <v>3</v>
      </c>
      <c r="J350" s="30">
        <v>2</v>
      </c>
      <c r="K350" s="30" t="str">
        <v>'0-1</v>
      </c>
      <c r="L350" s="30" t="str">
        <v>No</v>
      </c>
      <c r="M350" s="30" t="str">
        <v>No</v>
      </c>
      <c r="N350" s="30" t="str">
        <v>Goal</v>
      </c>
      <c r="O350" s="30" t="str">
        <f t="shared" si="37"/>
        <v>2018|Quarter-finals|Russia|Croatia|Russia|Alan Dzagoev|Danijel Subašić|3|2|'0-1|No|No|Goal</v>
      </c>
      <c r="P350" s="96" t="str">
        <f>IF(COUNTIF($G$32:O350,O350)&gt;1,"DOUBLON","OK")</f>
        <v>OK</v>
      </c>
      <c r="S350" s="30" t="str">
        <v>Morocco</v>
      </c>
      <c r="T350" s="30" t="str">
        <f t="shared" si="34"/>
        <v>OK</v>
      </c>
      <c r="U350" s="30" t="str">
        <f t="shared" si="35"/>
        <v>-</v>
      </c>
      <c r="V350" s="30" t="str" cm="1">
        <f t="array" ref="V350">_xlfn.IFS(
ISNUMBER(SEARCH("USA",S350)),"United States",
ISNUMBER(SEARCH("Republic of Korea",S350)),"South Korea",
ISNUMBER(SEARCH("Cape Verde",S350)),"Cabo Verde",
ISNUMBER(SEARCH("Czechia",S350)),"Czech Republic",
ISNUMBER(SEARCH("Türkiye",S350)),"Turkey",
ISNUMBER(SEARCH("Ivory Coast",S350)),"Côte d'Ivoire",
ISNUMBER(SEARCH("Korea Republic",S350)),"South Korea",
ISNUMBER(SEARCH("Germany FR",S350)),"FR Germany",
ISNUMBER(SEARCH("West Germany",S350)),"FR Germany",
ISNUMBER(SEARCH("Germany DR",S350)),"DR Germany",
ISNUMBER(SEARCH("Korea DPR",S350)),"North Korea",
ISNUMBER(SEARCH("China PR",S350)),"China",
ISNUMBER(SEARCH("IR Iran",S350)),"Iran",
ISNUMBER(SEARCH("Congo DR",S350)),"Democratic Republic of the Congo",
ISNUMBER(SEARCH("DR Congo",S350)),"Democratic Republic of the Congo",
ISNUMBER(SEARCH("German DR",S350)),"DR Germany",
ISNUMBER(SEARCH("rn""&gt;United Arab Emirates",S350)),"United Arab Emirates",
ISNUMBER(SEARCH("rn""&gt;Republic of Ireland",S350)),"Ireland",
ISNUMBER(SEARCH("rn""&gt;Bosnia and Herzegovina",S350)),"Bosnia and Herzegovina",
ISNUMBER(SEARCH("rn""&gt;Trinidad and Tobago",S350)),"Trinidad and Tobago",
ISNUMBER(SEARCH("rn""&gt;Serbia and Montenegro",S350)),"Serbia and Montenegro",
ISNUMBER(SEARCH(_xlfn.UNICHAR(65533),S350)),"Côte d'Ivoire",
TRUE,""
)</f>
        <v/>
      </c>
      <c r="W350" s="30" t="str">
        <f t="shared" si="36"/>
        <v>Morocco</v>
      </c>
      <c r="Z350" s="40" t="str">
        <v>Ramon Sanchez Pizjuan</v>
      </c>
      <c r="AA350" s="40" t="str" cm="1">
        <f t="array" ref="AA350">IFERROR(_xlfn.XLOOKUP(Z350,_xlfn.ANCHORARRAY(Z$31),AA$31:AA$37),Z350)</f>
        <v>Ramon Sanchez Pizjuan</v>
      </c>
      <c r="AB350" s="42" t="str">
        <v xml:space="preserve">Seville </v>
      </c>
      <c r="AC350" s="89" t="str">
        <f t="shared" si="33"/>
        <v xml:space="preserve">Seville </v>
      </c>
      <c r="AE350" s="42">
        <v>1974</v>
      </c>
      <c r="AK350" s="42">
        <v>2</v>
      </c>
      <c r="AL350" s="42">
        <v>1</v>
      </c>
      <c r="AV350" s="37" t="str">
        <v>ROUND_OF_32</v>
      </c>
      <c r="AW350" s="89" t="str">
        <v>GROUP_STAGE</v>
      </c>
      <c r="BE350" s="43" t="str">
        <f>IF(OR(DATA_CLEANED!AL341="",DATA_CLEANED!AM341=""),"MANQUANT",IF(OR(NOT(ISNUMBER(DATA_CLEANED!AL341)),NOT(ISNUMBER(DATA_CLEANED!AM341))),"ENTREE INVALIDE",IF(OR(DATA_CLEANED!AL341&lt;0,DATA_CLEANED!AM341&lt;0),"SCORE NEGATIF","OK")))</f>
        <v>OK</v>
      </c>
      <c r="BF350" s="43" t="str">
        <f>IF(DATA_CLEANED!AK341&lt;&gt;DATA_CLEANED!AN341,"OK","ERREUR")</f>
        <v>OK</v>
      </c>
      <c r="BG350" s="43" t="str">
        <f>IF(DATA_CLEANED!AL341&gt;DATA_CLEANED!AM341,DATA_CLEANED!AK341,IF(AND(DATA_QUALITE!W4827="-",DATA_CLEANED!AM341=DATA_CLEANED!AL341),"MATCH NUL",IF(AND(DATA_QUALITE!V4827="-",DATA_QUALITE!U4827="AUCUNE"),DATA_QUALITE!T4827,IF(DATA_QUALITE!V4827&lt;&gt;"-",DATA_QUALITE!V4827,DATA_CLEANED!AN341))))</f>
        <v>Algeria</v>
      </c>
      <c r="BH350" s="103" t="str">
        <f>IF(AND(BG350="MATCH NUL",DATA_CLEANED!AO341="-"),"MATCH_NUL",IF(ISNUMBER(SEARCH("win on penalties",W4827)),"WIN_BY_PENALTY",IF(ISNUMBER(SEARCH("win after extra time",W4827)),"WIN_BY_EXTRA_TIME",IF(ISNUMBER(SEARCH("Golden Goal",W4827)),"WIN_BY_GOLDEN_GOAL","WIN_BY_SCORE"))))</f>
        <v>WIN_BY_SCORE</v>
      </c>
      <c r="BI350" s="99" t="str">
        <f>IF(OR(BG350=DATA_CLEANED!AK341,BG350=DATA_CLEANED!AN341,BG350="MATCH NUL"),"OK","ERREUR")</f>
        <v>OK</v>
      </c>
    </row>
    <row r="351" spans="2:61">
      <c r="B351" s="74">
        <v>2018</v>
      </c>
      <c r="C351" s="30" t="str">
        <v>Quarter-finals</v>
      </c>
      <c r="D351" s="30" t="str">
        <v>Russia</v>
      </c>
      <c r="E351" s="30" t="str">
        <v>Croatia</v>
      </c>
      <c r="F351" s="30" t="str">
        <v>Croatia</v>
      </c>
      <c r="G351" s="30" t="str">
        <v>Mateo Kovačić</v>
      </c>
      <c r="H351" s="30" t="str">
        <v>Igor Akinfeev</v>
      </c>
      <c r="I351" s="30">
        <v>4</v>
      </c>
      <c r="J351" s="30">
        <v>2</v>
      </c>
      <c r="K351" s="30" t="str">
        <v>'1-1</v>
      </c>
      <c r="L351" s="30" t="str">
        <v>No</v>
      </c>
      <c r="M351" s="30" t="str">
        <v>No</v>
      </c>
      <c r="N351" s="30" t="str">
        <v>Saved</v>
      </c>
      <c r="O351" s="30" t="str">
        <f t="shared" si="37"/>
        <v>2018|Quarter-finals|Russia|Croatia|Croatia|Mateo Kovačić|Igor Akinfeev|4|2|'1-1|No|No|Saved</v>
      </c>
      <c r="P351" s="96" t="str">
        <f>IF(COUNTIF($G$32:O351,O351)&gt;1,"DOUBLON","OK")</f>
        <v>OK</v>
      </c>
      <c r="S351" s="30" t="str">
        <v>Morocco</v>
      </c>
      <c r="T351" s="30" t="str">
        <f t="shared" si="34"/>
        <v>OK</v>
      </c>
      <c r="U351" s="30" t="str">
        <f t="shared" si="35"/>
        <v>-</v>
      </c>
      <c r="V351" s="30" t="str" cm="1">
        <f t="array" ref="V351">_xlfn.IFS(
ISNUMBER(SEARCH("USA",S351)),"United States",
ISNUMBER(SEARCH("Republic of Korea",S351)),"South Korea",
ISNUMBER(SEARCH("Cape Verde",S351)),"Cabo Verde",
ISNUMBER(SEARCH("Czechia",S351)),"Czech Republic",
ISNUMBER(SEARCH("Türkiye",S351)),"Turkey",
ISNUMBER(SEARCH("Ivory Coast",S351)),"Côte d'Ivoire",
ISNUMBER(SEARCH("Korea Republic",S351)),"South Korea",
ISNUMBER(SEARCH("Germany FR",S351)),"FR Germany",
ISNUMBER(SEARCH("West Germany",S351)),"FR Germany",
ISNUMBER(SEARCH("Germany DR",S351)),"DR Germany",
ISNUMBER(SEARCH("Korea DPR",S351)),"North Korea",
ISNUMBER(SEARCH("China PR",S351)),"China",
ISNUMBER(SEARCH("IR Iran",S351)),"Iran",
ISNUMBER(SEARCH("Congo DR",S351)),"Democratic Republic of the Congo",
ISNUMBER(SEARCH("DR Congo",S351)),"Democratic Republic of the Congo",
ISNUMBER(SEARCH("German DR",S351)),"DR Germany",
ISNUMBER(SEARCH("rn""&gt;United Arab Emirates",S351)),"United Arab Emirates",
ISNUMBER(SEARCH("rn""&gt;Republic of Ireland",S351)),"Ireland",
ISNUMBER(SEARCH("rn""&gt;Bosnia and Herzegovina",S351)),"Bosnia and Herzegovina",
ISNUMBER(SEARCH("rn""&gt;Trinidad and Tobago",S351)),"Trinidad and Tobago",
ISNUMBER(SEARCH("rn""&gt;Serbia and Montenegro",S351)),"Serbia and Montenegro",
ISNUMBER(SEARCH(_xlfn.UNICHAR(65533),S351)),"Côte d'Ivoire",
TRUE,""
)</f>
        <v/>
      </c>
      <c r="W351" s="30" t="str">
        <f t="shared" si="36"/>
        <v>Morocco</v>
      </c>
      <c r="Z351" s="40" t="str">
        <v>Riazor</v>
      </c>
      <c r="AA351" s="40" t="str" cm="1">
        <f t="array" ref="AA351">IFERROR(_xlfn.XLOOKUP(Z351,_xlfn.ANCHORARRAY(Z$31),AA$31:AA$37),Z351)</f>
        <v>Riazor</v>
      </c>
      <c r="AB351" s="42" t="str">
        <v xml:space="preserve">La Coru�A </v>
      </c>
      <c r="AC351" s="89" t="str">
        <f t="shared" si="33"/>
        <v>La Coruña</v>
      </c>
      <c r="AE351" s="42">
        <v>1974</v>
      </c>
      <c r="AK351" s="42">
        <v>0</v>
      </c>
      <c r="AL351" s="42">
        <v>1</v>
      </c>
      <c r="AV351" s="37" t="str">
        <v>ROUND_OF_32</v>
      </c>
      <c r="AW351" s="89" t="str">
        <v>GROUP_STAGE</v>
      </c>
      <c r="BE351" s="43" t="str">
        <f>IF(OR(DATA_CLEANED!AL342="",DATA_CLEANED!AM342=""),"MANQUANT",IF(OR(NOT(ISNUMBER(DATA_CLEANED!AL342)),NOT(ISNUMBER(DATA_CLEANED!AM342))),"ENTREE INVALIDE",IF(OR(DATA_CLEANED!AL342&lt;0,DATA_CLEANED!AM342&lt;0),"SCORE NEGATIF","OK")))</f>
        <v>OK</v>
      </c>
      <c r="BF351" s="43" t="str">
        <f>IF(DATA_CLEANED!AK342&lt;&gt;DATA_CLEANED!AN342,"OK","ERREUR")</f>
        <v>OK</v>
      </c>
      <c r="BG351" s="43" t="str">
        <f>IF(DATA_CLEANED!AL342&gt;DATA_CLEANED!AM342,DATA_CLEANED!AK342,IF(AND(DATA_QUALITE!W4828="-",DATA_CLEANED!AM342=DATA_CLEANED!AL342),"MATCH NUL",IF(AND(DATA_QUALITE!V4828="-",DATA_QUALITE!U4828="AUCUNE"),DATA_QUALITE!T4828,IF(DATA_QUALITE!V4828&lt;&gt;"-",DATA_QUALITE!V4828,DATA_CLEANED!AN342))))</f>
        <v>MATCH NUL</v>
      </c>
      <c r="BH351" s="103" t="str">
        <f>IF(AND(BG351="MATCH NUL",DATA_CLEANED!AO342="-"),"MATCH_NUL",IF(ISNUMBER(SEARCH("win on penalties",W4828)),"WIN_BY_PENALTY",IF(ISNUMBER(SEARCH("win after extra time",W4828)),"WIN_BY_EXTRA_TIME",IF(ISNUMBER(SEARCH("Golden Goal",W4828)),"WIN_BY_GOLDEN_GOAL","WIN_BY_SCORE"))))</f>
        <v>MATCH_NUL</v>
      </c>
      <c r="BI351" s="99" t="str">
        <f>IF(OR(BG351=DATA_CLEANED!AK342,BG351=DATA_CLEANED!AN342,BG351="MATCH NUL"),"OK","ERREUR")</f>
        <v>OK</v>
      </c>
    </row>
    <row r="352" spans="2:61">
      <c r="B352" s="74">
        <v>2018</v>
      </c>
      <c r="C352" s="30" t="str">
        <v>Quarter-finals</v>
      </c>
      <c r="D352" s="30" t="str">
        <v>Russia</v>
      </c>
      <c r="E352" s="30" t="str">
        <v>Croatia</v>
      </c>
      <c r="F352" s="30" t="str">
        <v>Russia</v>
      </c>
      <c r="G352" s="30" t="str">
        <v>Mário Fernandes</v>
      </c>
      <c r="H352" s="30" t="str">
        <v>Danijel Subašić</v>
      </c>
      <c r="I352" s="30">
        <v>5</v>
      </c>
      <c r="J352" s="30">
        <v>3</v>
      </c>
      <c r="K352" s="30" t="str">
        <v>'1-1</v>
      </c>
      <c r="L352" s="30" t="str">
        <v>No</v>
      </c>
      <c r="M352" s="30" t="str">
        <v>No</v>
      </c>
      <c r="N352" s="30" t="str">
        <v>Missed</v>
      </c>
      <c r="O352" s="30" t="str">
        <f t="shared" si="37"/>
        <v>2018|Quarter-finals|Russia|Croatia|Russia|Mário Fernandes|Danijel Subašić|5|3|'1-1|No|No|Missed</v>
      </c>
      <c r="P352" s="96" t="str">
        <f>IF(COUNTIF($G$32:O352,O352)&gt;1,"DOUBLON","OK")</f>
        <v>OK</v>
      </c>
      <c r="S352" s="30" t="str">
        <v>Morocco</v>
      </c>
      <c r="T352" s="30" t="str">
        <f t="shared" si="34"/>
        <v>OK</v>
      </c>
      <c r="U352" s="30" t="str">
        <f t="shared" si="35"/>
        <v>-</v>
      </c>
      <c r="V352" s="30" t="str" cm="1">
        <f t="array" ref="V352">_xlfn.IFS(
ISNUMBER(SEARCH("USA",S352)),"United States",
ISNUMBER(SEARCH("Republic of Korea",S352)),"South Korea",
ISNUMBER(SEARCH("Cape Verde",S352)),"Cabo Verde",
ISNUMBER(SEARCH("Czechia",S352)),"Czech Republic",
ISNUMBER(SEARCH("Türkiye",S352)),"Turkey",
ISNUMBER(SEARCH("Ivory Coast",S352)),"Côte d'Ivoire",
ISNUMBER(SEARCH("Korea Republic",S352)),"South Korea",
ISNUMBER(SEARCH("Germany FR",S352)),"FR Germany",
ISNUMBER(SEARCH("West Germany",S352)),"FR Germany",
ISNUMBER(SEARCH("Germany DR",S352)),"DR Germany",
ISNUMBER(SEARCH("Korea DPR",S352)),"North Korea",
ISNUMBER(SEARCH("China PR",S352)),"China",
ISNUMBER(SEARCH("IR Iran",S352)),"Iran",
ISNUMBER(SEARCH("Congo DR",S352)),"Democratic Republic of the Congo",
ISNUMBER(SEARCH("DR Congo",S352)),"Democratic Republic of the Congo",
ISNUMBER(SEARCH("German DR",S352)),"DR Germany",
ISNUMBER(SEARCH("rn""&gt;United Arab Emirates",S352)),"United Arab Emirates",
ISNUMBER(SEARCH("rn""&gt;Republic of Ireland",S352)),"Ireland",
ISNUMBER(SEARCH("rn""&gt;Bosnia and Herzegovina",S352)),"Bosnia and Herzegovina",
ISNUMBER(SEARCH("rn""&gt;Trinidad and Tobago",S352)),"Trinidad and Tobago",
ISNUMBER(SEARCH("rn""&gt;Serbia and Montenegro",S352)),"Serbia and Montenegro",
ISNUMBER(SEARCH(_xlfn.UNICHAR(65533),S352)),"Côte d'Ivoire",
TRUE,""
)</f>
        <v/>
      </c>
      <c r="W352" s="30" t="str">
        <f t="shared" si="36"/>
        <v>Morocco</v>
      </c>
      <c r="Z352" s="40" t="str">
        <v>Nuevo Estadio</v>
      </c>
      <c r="AA352" s="40" t="str" cm="1">
        <f t="array" ref="AA352">IFERROR(_xlfn.XLOOKUP(Z352,_xlfn.ANCHORARRAY(Z$31),AA$31:AA$37),Z352)</f>
        <v>Nuevo Estadio</v>
      </c>
      <c r="AB352" s="42" t="str">
        <v xml:space="preserve">Elche </v>
      </c>
      <c r="AC352" s="89" t="str">
        <f t="shared" si="33"/>
        <v xml:space="preserve">Elche </v>
      </c>
      <c r="AE352" s="42">
        <v>1974</v>
      </c>
      <c r="AK352" s="42">
        <v>1</v>
      </c>
      <c r="AL352" s="42">
        <v>2</v>
      </c>
      <c r="AV352" s="37" t="str">
        <v>ROUND_OF_32</v>
      </c>
      <c r="AW352" s="89" t="str">
        <v>GROUP_STAGE</v>
      </c>
      <c r="BE352" s="43" t="str">
        <f>IF(OR(DATA_CLEANED!AL343="",DATA_CLEANED!AM343=""),"MANQUANT",IF(OR(NOT(ISNUMBER(DATA_CLEANED!AL343)),NOT(ISNUMBER(DATA_CLEANED!AM343))),"ENTREE INVALIDE",IF(OR(DATA_CLEANED!AL343&lt;0,DATA_CLEANED!AM343&lt;0),"SCORE NEGATIF","OK")))</f>
        <v>OK</v>
      </c>
      <c r="BF352" s="43" t="str">
        <f>IF(DATA_CLEANED!AK343&lt;&gt;DATA_CLEANED!AN343,"OK","ERREUR")</f>
        <v>OK</v>
      </c>
      <c r="BG352" s="43" t="str">
        <f>IF(DATA_CLEANED!AL343&gt;DATA_CLEANED!AM343,DATA_CLEANED!AK343,IF(AND(DATA_QUALITE!W4829="-",DATA_CLEANED!AM343=DATA_CLEANED!AL343),"MATCH NUL",IF(AND(DATA_QUALITE!V4829="-",DATA_QUALITE!U4829="AUCUNE"),DATA_QUALITE!T4829,IF(DATA_QUALITE!V4829&lt;&gt;"-",DATA_QUALITE!V4829,DATA_CLEANED!AN343))))</f>
        <v>Yugoslavia</v>
      </c>
      <c r="BH352" s="103" t="str">
        <f>IF(AND(BG352="MATCH NUL",DATA_CLEANED!AO343="-"),"MATCH_NUL",IF(ISNUMBER(SEARCH("win on penalties",W4829)),"WIN_BY_PENALTY",IF(ISNUMBER(SEARCH("win after extra time",W4829)),"WIN_BY_EXTRA_TIME",IF(ISNUMBER(SEARCH("Golden Goal",W4829)),"WIN_BY_GOLDEN_GOAL","WIN_BY_SCORE"))))</f>
        <v>WIN_BY_SCORE</v>
      </c>
      <c r="BI352" s="99" t="str">
        <f>IF(OR(BG352=DATA_CLEANED!AK343,BG352=DATA_CLEANED!AN343,BG352="MATCH NUL"),"OK","ERREUR")</f>
        <v>OK</v>
      </c>
    </row>
    <row r="353" spans="2:61">
      <c r="B353" s="74">
        <v>2018</v>
      </c>
      <c r="C353" s="30" t="str">
        <v>Quarter-finals</v>
      </c>
      <c r="D353" s="30" t="str">
        <v>Russia</v>
      </c>
      <c r="E353" s="30" t="str">
        <v>Croatia</v>
      </c>
      <c r="F353" s="30" t="str">
        <v>Croatia</v>
      </c>
      <c r="G353" s="30" t="str">
        <v>Luka Modrić</v>
      </c>
      <c r="H353" s="30" t="str">
        <v>Igor Akinfeev</v>
      </c>
      <c r="I353" s="30">
        <v>6</v>
      </c>
      <c r="J353" s="30">
        <v>3</v>
      </c>
      <c r="K353" s="30" t="str">
        <v>'1-1</v>
      </c>
      <c r="L353" s="30" t="str">
        <v>No</v>
      </c>
      <c r="M353" s="30" t="str">
        <v>No</v>
      </c>
      <c r="N353" s="30" t="str">
        <v>Goal</v>
      </c>
      <c r="O353" s="30" t="str">
        <f t="shared" si="37"/>
        <v>2018|Quarter-finals|Russia|Croatia|Croatia|Luka Modrić|Igor Akinfeev|6|3|'1-1|No|No|Goal</v>
      </c>
      <c r="P353" s="96" t="str">
        <f>IF(COUNTIF($G$32:O353,O353)&gt;1,"DOUBLON","OK")</f>
        <v>OK</v>
      </c>
      <c r="S353" s="30" t="str">
        <v>Croatia</v>
      </c>
      <c r="T353" s="30" t="str">
        <f t="shared" si="34"/>
        <v>OK</v>
      </c>
      <c r="U353" s="30" t="str">
        <f t="shared" si="35"/>
        <v>-</v>
      </c>
      <c r="V353" s="30" t="str" cm="1">
        <f t="array" ref="V353">_xlfn.IFS(
ISNUMBER(SEARCH("USA",S353)),"United States",
ISNUMBER(SEARCH("Republic of Korea",S353)),"South Korea",
ISNUMBER(SEARCH("Cape Verde",S353)),"Cabo Verde",
ISNUMBER(SEARCH("Czechia",S353)),"Czech Republic",
ISNUMBER(SEARCH("Türkiye",S353)),"Turkey",
ISNUMBER(SEARCH("Ivory Coast",S353)),"Côte d'Ivoire",
ISNUMBER(SEARCH("Korea Republic",S353)),"South Korea",
ISNUMBER(SEARCH("Germany FR",S353)),"FR Germany",
ISNUMBER(SEARCH("West Germany",S353)),"FR Germany",
ISNUMBER(SEARCH("Germany DR",S353)),"DR Germany",
ISNUMBER(SEARCH("Korea DPR",S353)),"North Korea",
ISNUMBER(SEARCH("China PR",S353)),"China",
ISNUMBER(SEARCH("IR Iran",S353)),"Iran",
ISNUMBER(SEARCH("Congo DR",S353)),"Democratic Republic of the Congo",
ISNUMBER(SEARCH("DR Congo",S353)),"Democratic Republic of the Congo",
ISNUMBER(SEARCH("German DR",S353)),"DR Germany",
ISNUMBER(SEARCH("rn""&gt;United Arab Emirates",S353)),"United Arab Emirates",
ISNUMBER(SEARCH("rn""&gt;Republic of Ireland",S353)),"Ireland",
ISNUMBER(SEARCH("rn""&gt;Bosnia and Herzegovina",S353)),"Bosnia and Herzegovina",
ISNUMBER(SEARCH("rn""&gt;Trinidad and Tobago",S353)),"Trinidad and Tobago",
ISNUMBER(SEARCH("rn""&gt;Serbia and Montenegro",S353)),"Serbia and Montenegro",
ISNUMBER(SEARCH(_xlfn.UNICHAR(65533),S353)),"Côte d'Ivoire",
TRUE,""
)</f>
        <v/>
      </c>
      <c r="W353" s="30" t="str">
        <f t="shared" si="36"/>
        <v>Croatia</v>
      </c>
      <c r="Z353" s="40" t="str">
        <v>La Rosaleda</v>
      </c>
      <c r="AA353" s="40" t="str" cm="1">
        <f t="array" ref="AA353">IFERROR(_xlfn.XLOOKUP(Z353,_xlfn.ANCHORARRAY(Z$31),AA$31:AA$37),Z353)</f>
        <v>La Rosaleda</v>
      </c>
      <c r="AB353" s="42" t="str">
        <v xml:space="preserve">Malaga </v>
      </c>
      <c r="AC353" s="89" t="str">
        <f t="shared" si="33"/>
        <v xml:space="preserve">Malaga </v>
      </c>
      <c r="AE353" s="42">
        <v>1978</v>
      </c>
      <c r="AK353" s="42">
        <v>0</v>
      </c>
      <c r="AL353" s="42">
        <v>0</v>
      </c>
      <c r="AV353" s="37" t="str">
        <v>ROUND_OF_32</v>
      </c>
      <c r="AW353" s="89" t="str">
        <v>GROUP_STAGE</v>
      </c>
      <c r="BE353" s="43" t="str">
        <f>IF(OR(DATA_CLEANED!AL344="",DATA_CLEANED!AM344=""),"MANQUANT",IF(OR(NOT(ISNUMBER(DATA_CLEANED!AL344)),NOT(ISNUMBER(DATA_CLEANED!AM344))),"ENTREE INVALIDE",IF(OR(DATA_CLEANED!AL344&lt;0,DATA_CLEANED!AM344&lt;0),"SCORE NEGATIF","OK")))</f>
        <v>OK</v>
      </c>
      <c r="BF353" s="43" t="str">
        <f>IF(DATA_CLEANED!AK344&lt;&gt;DATA_CLEANED!AN344,"OK","ERREUR")</f>
        <v>OK</v>
      </c>
      <c r="BG353" s="43" t="str">
        <f>IF(DATA_CLEANED!AL344&gt;DATA_CLEANED!AM344,DATA_CLEANED!AK344,IF(AND(DATA_QUALITE!W4830="-",DATA_CLEANED!AM344=DATA_CLEANED!AL344),"MATCH NUL",IF(AND(DATA_QUALITE!V4830="-",DATA_QUALITE!U4830="AUCUNE"),DATA_QUALITE!T4830,IF(DATA_QUALITE!V4830&lt;&gt;"-",DATA_QUALITE!V4830,DATA_CLEANED!AN344))))</f>
        <v>FR Germany</v>
      </c>
      <c r="BH353" s="103" t="str">
        <f>IF(AND(BG353="MATCH NUL",DATA_CLEANED!AO344="-"),"MATCH_NUL",IF(ISNUMBER(SEARCH("win on penalties",W4830)),"WIN_BY_PENALTY",IF(ISNUMBER(SEARCH("win after extra time",W4830)),"WIN_BY_EXTRA_TIME",IF(ISNUMBER(SEARCH("Golden Goal",W4830)),"WIN_BY_GOLDEN_GOAL","WIN_BY_SCORE"))))</f>
        <v>WIN_BY_SCORE</v>
      </c>
      <c r="BI353" s="99" t="str">
        <f>IF(OR(BG353=DATA_CLEANED!AK344,BG353=DATA_CLEANED!AN344,BG353="MATCH NUL"),"OK","ERREUR")</f>
        <v>OK</v>
      </c>
    </row>
    <row r="354" spans="2:61">
      <c r="B354" s="74">
        <v>2018</v>
      </c>
      <c r="C354" s="30" t="str">
        <v>Quarter-finals</v>
      </c>
      <c r="D354" s="30" t="str">
        <v>Russia</v>
      </c>
      <c r="E354" s="30" t="str">
        <v>Croatia</v>
      </c>
      <c r="F354" s="30" t="str">
        <v>Russia</v>
      </c>
      <c r="G354" s="30" t="str">
        <v>Denis Cheryshev</v>
      </c>
      <c r="H354" s="30" t="str">
        <v>Danijel Subašić</v>
      </c>
      <c r="I354" s="30">
        <v>7</v>
      </c>
      <c r="J354" s="30">
        <v>4</v>
      </c>
      <c r="K354" s="30" t="str">
        <v>'2-1</v>
      </c>
      <c r="L354" s="30" t="str">
        <v>No</v>
      </c>
      <c r="M354" s="30" t="str">
        <v>No</v>
      </c>
      <c r="N354" s="30" t="str">
        <v>Goal</v>
      </c>
      <c r="O354" s="30" t="str">
        <f t="shared" si="37"/>
        <v>2018|Quarter-finals|Russia|Croatia|Russia|Denis Cheryshev|Danijel Subašić|7|4|'2-1|No|No|Goal</v>
      </c>
      <c r="P354" s="96" t="str">
        <f>IF(COUNTIF($G$32:O354,O354)&gt;1,"DOUBLON","OK")</f>
        <v>OK</v>
      </c>
      <c r="S354" s="30" t="str">
        <v>Croatia</v>
      </c>
      <c r="T354" s="30" t="str">
        <f t="shared" si="34"/>
        <v>OK</v>
      </c>
      <c r="U354" s="30" t="str">
        <f t="shared" si="35"/>
        <v>-</v>
      </c>
      <c r="V354" s="30" t="str" cm="1">
        <f t="array" ref="V354">_xlfn.IFS(
ISNUMBER(SEARCH("USA",S354)),"United States",
ISNUMBER(SEARCH("Republic of Korea",S354)),"South Korea",
ISNUMBER(SEARCH("Cape Verde",S354)),"Cabo Verde",
ISNUMBER(SEARCH("Czechia",S354)),"Czech Republic",
ISNUMBER(SEARCH("Türkiye",S354)),"Turkey",
ISNUMBER(SEARCH("Ivory Coast",S354)),"Côte d'Ivoire",
ISNUMBER(SEARCH("Korea Republic",S354)),"South Korea",
ISNUMBER(SEARCH("Germany FR",S354)),"FR Germany",
ISNUMBER(SEARCH("West Germany",S354)),"FR Germany",
ISNUMBER(SEARCH("Germany DR",S354)),"DR Germany",
ISNUMBER(SEARCH("Korea DPR",S354)),"North Korea",
ISNUMBER(SEARCH("China PR",S354)),"China",
ISNUMBER(SEARCH("IR Iran",S354)),"Iran",
ISNUMBER(SEARCH("Congo DR",S354)),"Democratic Republic of the Congo",
ISNUMBER(SEARCH("DR Congo",S354)),"Democratic Republic of the Congo",
ISNUMBER(SEARCH("German DR",S354)),"DR Germany",
ISNUMBER(SEARCH("rn""&gt;United Arab Emirates",S354)),"United Arab Emirates",
ISNUMBER(SEARCH("rn""&gt;Republic of Ireland",S354)),"Ireland",
ISNUMBER(SEARCH("rn""&gt;Bosnia and Herzegovina",S354)),"Bosnia and Herzegovina",
ISNUMBER(SEARCH("rn""&gt;Trinidad and Tobago",S354)),"Trinidad and Tobago",
ISNUMBER(SEARCH("rn""&gt;Serbia and Montenegro",S354)),"Serbia and Montenegro",
ISNUMBER(SEARCH(_xlfn.UNICHAR(65533),S354)),"Côte d'Ivoire",
TRUE,""
)</f>
        <v/>
      </c>
      <c r="W354" s="30" t="str">
        <f t="shared" si="36"/>
        <v>Croatia</v>
      </c>
      <c r="Z354" s="40" t="str">
        <v>El Molinon</v>
      </c>
      <c r="AA354" s="40" t="str" cm="1">
        <f t="array" ref="AA354">IFERROR(_xlfn.XLOOKUP(Z354,_xlfn.ANCHORARRAY(Z$31),AA$31:AA$37),Z354)</f>
        <v>El Molinon</v>
      </c>
      <c r="AB354" s="42" t="str">
        <v xml:space="preserve">Gijon </v>
      </c>
      <c r="AC354" s="89" t="str">
        <f t="shared" si="33"/>
        <v xml:space="preserve">Gijon </v>
      </c>
      <c r="AE354" s="42">
        <v>1978</v>
      </c>
      <c r="AK354" s="42">
        <v>2</v>
      </c>
      <c r="AL354" s="42">
        <v>1</v>
      </c>
      <c r="AV354" s="37" t="str">
        <v>ROUND_OF_32</v>
      </c>
      <c r="AW354" s="89" t="str">
        <v>GROUP_STAGE</v>
      </c>
      <c r="BE354" s="43" t="str">
        <f>IF(OR(DATA_CLEANED!AL345="",DATA_CLEANED!AM345=""),"MANQUANT",IF(OR(NOT(ISNUMBER(DATA_CLEANED!AL345)),NOT(ISNUMBER(DATA_CLEANED!AM345))),"ENTREE INVALIDE",IF(OR(DATA_CLEANED!AL345&lt;0,DATA_CLEANED!AM345&lt;0),"SCORE NEGATIF","OK")))</f>
        <v>OK</v>
      </c>
      <c r="BF354" s="43" t="str">
        <f>IF(DATA_CLEANED!AK345&lt;&gt;DATA_CLEANED!AN345,"OK","ERREUR")</f>
        <v>OK</v>
      </c>
      <c r="BG354" s="43" t="str">
        <f>IF(DATA_CLEANED!AL345&gt;DATA_CLEANED!AM345,DATA_CLEANED!AK345,IF(AND(DATA_QUALITE!W4831="-",DATA_CLEANED!AM345=DATA_CLEANED!AL345),"MATCH NUL",IF(AND(DATA_QUALITE!V4831="-",DATA_QUALITE!U4831="AUCUNE"),DATA_QUALITE!T4831,IF(DATA_QUALITE!V4831&lt;&gt;"-",DATA_QUALITE!V4831,DATA_CLEANED!AN345))))</f>
        <v>England</v>
      </c>
      <c r="BH354" s="103" t="str">
        <f>IF(AND(BG354="MATCH NUL",DATA_CLEANED!AO345="-"),"MATCH_NUL",IF(ISNUMBER(SEARCH("win on penalties",W4831)),"WIN_BY_PENALTY",IF(ISNUMBER(SEARCH("win after extra time",W4831)),"WIN_BY_EXTRA_TIME",IF(ISNUMBER(SEARCH("Golden Goal",W4831)),"WIN_BY_GOLDEN_GOAL","WIN_BY_SCORE"))))</f>
        <v>WIN_BY_SCORE</v>
      </c>
      <c r="BI354" s="99" t="str">
        <f>IF(OR(BG354=DATA_CLEANED!AK345,BG354=DATA_CLEANED!AN345,BG354="MATCH NUL"),"OK","ERREUR")</f>
        <v>OK</v>
      </c>
    </row>
    <row r="355" spans="2:61">
      <c r="B355" s="74">
        <v>2018</v>
      </c>
      <c r="C355" s="30" t="str">
        <v>Quarter-finals</v>
      </c>
      <c r="D355" s="30" t="str">
        <v>Russia</v>
      </c>
      <c r="E355" s="30" t="str">
        <v>Croatia</v>
      </c>
      <c r="F355" s="30" t="str">
        <v>Croatia</v>
      </c>
      <c r="G355" s="30" t="str">
        <v>Domagoj Vida</v>
      </c>
      <c r="H355" s="30" t="str">
        <v>Igor Akinfeev</v>
      </c>
      <c r="I355" s="30">
        <v>8</v>
      </c>
      <c r="J355" s="30">
        <v>4</v>
      </c>
      <c r="K355" s="30" t="str">
        <v>'2-2</v>
      </c>
      <c r="L355" s="30" t="str">
        <v>No</v>
      </c>
      <c r="M355" s="30" t="str">
        <v>No</v>
      </c>
      <c r="N355" s="30" t="str">
        <v>Goal</v>
      </c>
      <c r="O355" s="30" t="str">
        <f t="shared" si="37"/>
        <v>2018|Quarter-finals|Russia|Croatia|Croatia|Domagoj Vida|Igor Akinfeev|8|4|'2-2|No|No|Goal</v>
      </c>
      <c r="P355" s="96" t="str">
        <f>IF(COUNTIF($G$32:O355,O355)&gt;1,"DOUBLON","OK")</f>
        <v>OK</v>
      </c>
      <c r="S355" s="30" t="str">
        <v>Croatia</v>
      </c>
      <c r="T355" s="30" t="str">
        <f t="shared" si="34"/>
        <v>OK</v>
      </c>
      <c r="U355" s="30" t="str">
        <f t="shared" si="35"/>
        <v>-</v>
      </c>
      <c r="V355" s="30" t="str" cm="1">
        <f t="array" ref="V355">_xlfn.IFS(
ISNUMBER(SEARCH("USA",S355)),"United States",
ISNUMBER(SEARCH("Republic of Korea",S355)),"South Korea",
ISNUMBER(SEARCH("Cape Verde",S355)),"Cabo Verde",
ISNUMBER(SEARCH("Czechia",S355)),"Czech Republic",
ISNUMBER(SEARCH("Türkiye",S355)),"Turkey",
ISNUMBER(SEARCH("Ivory Coast",S355)),"Côte d'Ivoire",
ISNUMBER(SEARCH("Korea Republic",S355)),"South Korea",
ISNUMBER(SEARCH("Germany FR",S355)),"FR Germany",
ISNUMBER(SEARCH("West Germany",S355)),"FR Germany",
ISNUMBER(SEARCH("Germany DR",S355)),"DR Germany",
ISNUMBER(SEARCH("Korea DPR",S355)),"North Korea",
ISNUMBER(SEARCH("China PR",S355)),"China",
ISNUMBER(SEARCH("IR Iran",S355)),"Iran",
ISNUMBER(SEARCH("Congo DR",S355)),"Democratic Republic of the Congo",
ISNUMBER(SEARCH("DR Congo",S355)),"Democratic Republic of the Congo",
ISNUMBER(SEARCH("German DR",S355)),"DR Germany",
ISNUMBER(SEARCH("rn""&gt;United Arab Emirates",S355)),"United Arab Emirates",
ISNUMBER(SEARCH("rn""&gt;Republic of Ireland",S355)),"Ireland",
ISNUMBER(SEARCH("rn""&gt;Bosnia and Herzegovina",S355)),"Bosnia and Herzegovina",
ISNUMBER(SEARCH("rn""&gt;Trinidad and Tobago",S355)),"Trinidad and Tobago",
ISNUMBER(SEARCH("rn""&gt;Serbia and Montenegro",S355)),"Serbia and Montenegro",
ISNUMBER(SEARCH(_xlfn.UNICHAR(65533),S355)),"Côte d'Ivoire",
TRUE,""
)</f>
        <v/>
      </c>
      <c r="W355" s="30" t="str">
        <f t="shared" si="36"/>
        <v>Croatia</v>
      </c>
      <c r="Z355" s="40" t="str">
        <v>San Mames</v>
      </c>
      <c r="AA355" s="40" t="str" cm="1">
        <f t="array" ref="AA355">IFERROR(_xlfn.XLOOKUP(Z355,_xlfn.ANCHORARRAY(Z$31),AA$31:AA$37),Z355)</f>
        <v>San Mames</v>
      </c>
      <c r="AB355" s="42" t="str">
        <v xml:space="preserve">Bilbao </v>
      </c>
      <c r="AC355" s="89" t="str">
        <f t="shared" si="33"/>
        <v xml:space="preserve">Bilbao </v>
      </c>
      <c r="AE355" s="42">
        <v>1978</v>
      </c>
      <c r="AK355" s="42">
        <v>3</v>
      </c>
      <c r="AL355" s="42">
        <v>1</v>
      </c>
      <c r="AV355" s="37" t="str">
        <v>ROUND_OF_16</v>
      </c>
      <c r="AW355" s="89" t="str">
        <v>GROUP_STAGE</v>
      </c>
      <c r="BE355" s="43" t="str">
        <f>IF(OR(DATA_CLEANED!AL346="",DATA_CLEANED!AM346=""),"MANQUANT",IF(OR(NOT(ISNUMBER(DATA_CLEANED!AL346)),NOT(ISNUMBER(DATA_CLEANED!AM346))),"ENTREE INVALIDE",IF(OR(DATA_CLEANED!AL346&lt;0,DATA_CLEANED!AM346&lt;0),"SCORE NEGATIF","OK")))</f>
        <v>OK</v>
      </c>
      <c r="BF355" s="43" t="str">
        <f>IF(DATA_CLEANED!AK346&lt;&gt;DATA_CLEANED!AN346,"OK","ERREUR")</f>
        <v>OK</v>
      </c>
      <c r="BG355" s="43" t="str">
        <f>IF(DATA_CLEANED!AL346&gt;DATA_CLEANED!AM346,DATA_CLEANED!AK346,IF(AND(DATA_QUALITE!W4832="-",DATA_CLEANED!AM346=DATA_CLEANED!AL346),"MATCH NUL",IF(AND(DATA_QUALITE!V4832="-",DATA_QUALITE!U4832="AUCUNE"),DATA_QUALITE!T4832,IF(DATA_QUALITE!V4832&lt;&gt;"-",DATA_QUALITE!V4832,DATA_CLEANED!AN346))))</f>
        <v>Northern Ireland</v>
      </c>
      <c r="BH355" s="103" t="str">
        <f>IF(AND(BG355="MATCH NUL",DATA_CLEANED!AO346="-"),"MATCH_NUL",IF(ISNUMBER(SEARCH("win on penalties",W4832)),"WIN_BY_PENALTY",IF(ISNUMBER(SEARCH("win after extra time",W4832)),"WIN_BY_EXTRA_TIME",IF(ISNUMBER(SEARCH("Golden Goal",W4832)),"WIN_BY_GOLDEN_GOAL","WIN_BY_SCORE"))))</f>
        <v>WIN_BY_SCORE</v>
      </c>
      <c r="BI355" s="99" t="str">
        <f>IF(OR(BG355=DATA_CLEANED!AK346,BG355=DATA_CLEANED!AN346,BG355="MATCH NUL"),"OK","ERREUR")</f>
        <v>OK</v>
      </c>
    </row>
    <row r="356" spans="2:61">
      <c r="B356" s="74">
        <v>2018</v>
      </c>
      <c r="C356" s="30" t="str">
        <v>Quarter-finals</v>
      </c>
      <c r="D356" s="30" t="str">
        <v>Russia</v>
      </c>
      <c r="E356" s="30" t="str">
        <v>Croatia</v>
      </c>
      <c r="F356" s="30" t="str">
        <v>Russia</v>
      </c>
      <c r="G356" s="30" t="str">
        <v>Daler Kuzyayev</v>
      </c>
      <c r="H356" s="30" t="str">
        <v>Danijel Subašić</v>
      </c>
      <c r="I356" s="30">
        <v>9</v>
      </c>
      <c r="J356" s="30">
        <v>5</v>
      </c>
      <c r="K356" s="30" t="str">
        <v>'3-2</v>
      </c>
      <c r="L356" s="30" t="str">
        <v>No</v>
      </c>
      <c r="M356" s="30" t="str">
        <v>No</v>
      </c>
      <c r="N356" s="30" t="str">
        <v>Goal</v>
      </c>
      <c r="O356" s="30" t="str">
        <f t="shared" si="37"/>
        <v>2018|Quarter-finals|Russia|Croatia|Russia|Daler Kuzyayev|Danijel Subašić|9|5|'3-2|No|No|Goal</v>
      </c>
      <c r="P356" s="96" t="str">
        <f>IF(COUNTIF($G$32:O356,O356)&gt;1,"DOUBLON","OK")</f>
        <v>OK</v>
      </c>
      <c r="S356" s="30" t="str">
        <v>Croatia</v>
      </c>
      <c r="T356" s="30" t="str">
        <f t="shared" si="34"/>
        <v>OK</v>
      </c>
      <c r="U356" s="30" t="str">
        <f t="shared" si="35"/>
        <v>-</v>
      </c>
      <c r="V356" s="30" t="str" cm="1">
        <f t="array" ref="V356">_xlfn.IFS(
ISNUMBER(SEARCH("USA",S356)),"United States",
ISNUMBER(SEARCH("Republic of Korea",S356)),"South Korea",
ISNUMBER(SEARCH("Cape Verde",S356)),"Cabo Verde",
ISNUMBER(SEARCH("Czechia",S356)),"Czech Republic",
ISNUMBER(SEARCH("Türkiye",S356)),"Turkey",
ISNUMBER(SEARCH("Ivory Coast",S356)),"Côte d'Ivoire",
ISNUMBER(SEARCH("Korea Republic",S356)),"South Korea",
ISNUMBER(SEARCH("Germany FR",S356)),"FR Germany",
ISNUMBER(SEARCH("West Germany",S356)),"FR Germany",
ISNUMBER(SEARCH("Germany DR",S356)),"DR Germany",
ISNUMBER(SEARCH("Korea DPR",S356)),"North Korea",
ISNUMBER(SEARCH("China PR",S356)),"China",
ISNUMBER(SEARCH("IR Iran",S356)),"Iran",
ISNUMBER(SEARCH("Congo DR",S356)),"Democratic Republic of the Congo",
ISNUMBER(SEARCH("DR Congo",S356)),"Democratic Republic of the Congo",
ISNUMBER(SEARCH("German DR",S356)),"DR Germany",
ISNUMBER(SEARCH("rn""&gt;United Arab Emirates",S356)),"United Arab Emirates",
ISNUMBER(SEARCH("rn""&gt;Republic of Ireland",S356)),"Ireland",
ISNUMBER(SEARCH("rn""&gt;Bosnia and Herzegovina",S356)),"Bosnia and Herzegovina",
ISNUMBER(SEARCH("rn""&gt;Trinidad and Tobago",S356)),"Trinidad and Tobago",
ISNUMBER(SEARCH("rn""&gt;Serbia and Montenegro",S356)),"Serbia and Montenegro",
ISNUMBER(SEARCH(_xlfn.UNICHAR(65533),S356)),"Côte d'Ivoire",
TRUE,""
)</f>
        <v/>
      </c>
      <c r="W356" s="30" t="str">
        <f t="shared" si="36"/>
        <v>Croatia</v>
      </c>
      <c r="Z356" s="40" t="str">
        <v>Luis Casanova</v>
      </c>
      <c r="AA356" s="40" t="str" cm="1">
        <f t="array" ref="AA356">IFERROR(_xlfn.XLOOKUP(Z356,_xlfn.ANCHORARRAY(Z$31),AA$31:AA$37),Z356)</f>
        <v>Luis Casanova</v>
      </c>
      <c r="AB356" s="42" t="str">
        <v xml:space="preserve">Valencia </v>
      </c>
      <c r="AC356" s="89" t="str">
        <f t="shared" si="33"/>
        <v xml:space="preserve">Valencia </v>
      </c>
      <c r="AE356" s="42">
        <v>1978</v>
      </c>
      <c r="AK356" s="42">
        <v>2</v>
      </c>
      <c r="AL356" s="42">
        <v>1</v>
      </c>
      <c r="AV356" s="37" t="str">
        <v>ROUND_OF_16</v>
      </c>
      <c r="AW356" s="89" t="str">
        <v>GROUP_STAGE</v>
      </c>
      <c r="BE356" s="43" t="str">
        <f>IF(OR(DATA_CLEANED!AL347="",DATA_CLEANED!AM347=""),"MANQUANT",IF(OR(NOT(ISNUMBER(DATA_CLEANED!AL347)),NOT(ISNUMBER(DATA_CLEANED!AM347))),"ENTREE INVALIDE",IF(OR(DATA_CLEANED!AL347&lt;0,DATA_CLEANED!AM347&lt;0),"SCORE NEGATIF","OK")))</f>
        <v>OK</v>
      </c>
      <c r="BF356" s="43" t="str">
        <f>IF(DATA_CLEANED!AK347&lt;&gt;DATA_CLEANED!AN347,"OK","ERREUR")</f>
        <v>OK</v>
      </c>
      <c r="BG356" s="43" t="str">
        <f>IF(DATA_CLEANED!AL347&gt;DATA_CLEANED!AM347,DATA_CLEANED!AK347,IF(AND(DATA_QUALITE!W4833="-",DATA_CLEANED!AM347=DATA_CLEANED!AL347),"MATCH NUL",IF(AND(DATA_QUALITE!V4833="-",DATA_QUALITE!U4833="AUCUNE"),DATA_QUALITE!T4833,IF(DATA_QUALITE!V4833&lt;&gt;"-",DATA_QUALITE!V4833,DATA_CLEANED!AN347))))</f>
        <v>France</v>
      </c>
      <c r="BH356" s="103" t="str">
        <f>IF(AND(BG356="MATCH NUL",DATA_CLEANED!AO347="-"),"MATCH_NUL",IF(ISNUMBER(SEARCH("win on penalties",W4833)),"WIN_BY_PENALTY",IF(ISNUMBER(SEARCH("win after extra time",W4833)),"WIN_BY_EXTRA_TIME",IF(ISNUMBER(SEARCH("Golden Goal",W4833)),"WIN_BY_GOLDEN_GOAL","WIN_BY_SCORE"))))</f>
        <v>WIN_BY_SCORE</v>
      </c>
      <c r="BI356" s="99" t="str">
        <f>IF(OR(BG356=DATA_CLEANED!AK347,BG356=DATA_CLEANED!AN347,BG356="MATCH NUL"),"OK","ERREUR")</f>
        <v>OK</v>
      </c>
    </row>
    <row r="357" spans="2:61">
      <c r="B357" s="74">
        <v>2018</v>
      </c>
      <c r="C357" s="30" t="str">
        <v>Quarter-finals</v>
      </c>
      <c r="D357" s="30" t="str">
        <v>Russia</v>
      </c>
      <c r="E357" s="30" t="str">
        <v>Croatia</v>
      </c>
      <c r="F357" s="30" t="str">
        <v>Croatia</v>
      </c>
      <c r="G357" s="30" t="str">
        <v>Ivan Rakitić</v>
      </c>
      <c r="H357" s="30" t="str">
        <v>Igor Akinfeev</v>
      </c>
      <c r="I357" s="30">
        <v>10</v>
      </c>
      <c r="J357" s="30">
        <v>5</v>
      </c>
      <c r="K357" s="30" t="str">
        <v>'3-3</v>
      </c>
      <c r="L357" s="30" t="str">
        <v>No</v>
      </c>
      <c r="M357" s="30" t="str">
        <v>Yes</v>
      </c>
      <c r="N357" s="30" t="str">
        <v>Goal</v>
      </c>
      <c r="O357" s="30" t="str">
        <f t="shared" si="37"/>
        <v>2018|Quarter-finals|Russia|Croatia|Croatia|Ivan Rakitić|Igor Akinfeev|10|5|'3-3|No|Yes|Goal</v>
      </c>
      <c r="P357" s="96" t="str">
        <f>IF(COUNTIF($G$32:O357,O357)&gt;1,"DOUBLON","OK")</f>
        <v>OK</v>
      </c>
      <c r="S357" s="30" t="str">
        <v>Croatia</v>
      </c>
      <c r="T357" s="30" t="str">
        <f t="shared" si="34"/>
        <v>OK</v>
      </c>
      <c r="U357" s="30" t="str">
        <f t="shared" si="35"/>
        <v>-</v>
      </c>
      <c r="V357" s="30" t="str" cm="1">
        <f t="array" ref="V357">_xlfn.IFS(
ISNUMBER(SEARCH("USA",S357)),"United States",
ISNUMBER(SEARCH("Republic of Korea",S357)),"South Korea",
ISNUMBER(SEARCH("Cape Verde",S357)),"Cabo Verde",
ISNUMBER(SEARCH("Czechia",S357)),"Czech Republic",
ISNUMBER(SEARCH("Türkiye",S357)),"Turkey",
ISNUMBER(SEARCH("Ivory Coast",S357)),"Côte d'Ivoire",
ISNUMBER(SEARCH("Korea Republic",S357)),"South Korea",
ISNUMBER(SEARCH("Germany FR",S357)),"FR Germany",
ISNUMBER(SEARCH("West Germany",S357)),"FR Germany",
ISNUMBER(SEARCH("Germany DR",S357)),"DR Germany",
ISNUMBER(SEARCH("Korea DPR",S357)),"North Korea",
ISNUMBER(SEARCH("China PR",S357)),"China",
ISNUMBER(SEARCH("IR Iran",S357)),"Iran",
ISNUMBER(SEARCH("Congo DR",S357)),"Democratic Republic of the Congo",
ISNUMBER(SEARCH("DR Congo",S357)),"Democratic Republic of the Congo",
ISNUMBER(SEARCH("German DR",S357)),"DR Germany",
ISNUMBER(SEARCH("rn""&gt;United Arab Emirates",S357)),"United Arab Emirates",
ISNUMBER(SEARCH("rn""&gt;Republic of Ireland",S357)),"Ireland",
ISNUMBER(SEARCH("rn""&gt;Bosnia and Herzegovina",S357)),"Bosnia and Herzegovina",
ISNUMBER(SEARCH("rn""&gt;Trinidad and Tobago",S357)),"Trinidad and Tobago",
ISNUMBER(SEARCH("rn""&gt;Serbia and Montenegro",S357)),"Serbia and Montenegro",
ISNUMBER(SEARCH(_xlfn.UNICHAR(65533),S357)),"Côte d'Ivoire",
TRUE,""
)</f>
        <v/>
      </c>
      <c r="W357" s="30" t="str">
        <f t="shared" si="36"/>
        <v>Croatia</v>
      </c>
      <c r="Z357" s="40" t="str">
        <v>Carlos Tartiere</v>
      </c>
      <c r="AA357" s="40" t="str" cm="1">
        <f t="array" ref="AA357">IFERROR(_xlfn.XLOOKUP(Z357,_xlfn.ANCHORARRAY(Z$31),AA$31:AA$37),Z357)</f>
        <v>Carlos Tartiere</v>
      </c>
      <c r="AB357" s="42" t="str">
        <v xml:space="preserve">Oviedo </v>
      </c>
      <c r="AC357" s="89" t="str">
        <f t="shared" si="33"/>
        <v xml:space="preserve">Oviedo </v>
      </c>
      <c r="AE357" s="42">
        <v>1978</v>
      </c>
      <c r="AK357" s="42">
        <v>1</v>
      </c>
      <c r="AL357" s="42">
        <v>1</v>
      </c>
      <c r="AV357" s="37" t="str">
        <v>ROUND_OF_16</v>
      </c>
      <c r="AW357" s="89" t="str">
        <v>GROUP_STAGE</v>
      </c>
      <c r="BE357" s="43" t="str">
        <f>IF(OR(DATA_CLEANED!AL348="",DATA_CLEANED!AM348=""),"MANQUANT",IF(OR(NOT(ISNUMBER(DATA_CLEANED!AL348)),NOT(ISNUMBER(DATA_CLEANED!AM348))),"ENTREE INVALIDE",IF(OR(DATA_CLEANED!AL348&lt;0,DATA_CLEANED!AM348&lt;0),"SCORE NEGATIF","OK")))</f>
        <v>OK</v>
      </c>
      <c r="BF357" s="43" t="str">
        <f>IF(DATA_CLEANED!AK348&lt;&gt;DATA_CLEANED!AN348,"OK","ERREUR")</f>
        <v>OK</v>
      </c>
      <c r="BG357" s="43" t="str">
        <f>IF(DATA_CLEANED!AL348&gt;DATA_CLEANED!AM348,DATA_CLEANED!AK348,IF(AND(DATA_QUALITE!W4834="-",DATA_CLEANED!AM348=DATA_CLEANED!AL348),"MATCH NUL",IF(AND(DATA_QUALITE!V4834="-",DATA_QUALITE!U4834="AUCUNE"),DATA_QUALITE!T4834,IF(DATA_QUALITE!V4834&lt;&gt;"-",DATA_QUALITE!V4834,DATA_CLEANED!AN348))))</f>
        <v>Poland</v>
      </c>
      <c r="BH357" s="103" t="str">
        <f>IF(AND(BG357="MATCH NUL",DATA_CLEANED!AO348="-"),"MATCH_NUL",IF(ISNUMBER(SEARCH("win on penalties",W4834)),"WIN_BY_PENALTY",IF(ISNUMBER(SEARCH("win after extra time",W4834)),"WIN_BY_EXTRA_TIME",IF(ISNUMBER(SEARCH("Golden Goal",W4834)),"WIN_BY_GOLDEN_GOAL","WIN_BY_SCORE"))))</f>
        <v>WIN_BY_SCORE</v>
      </c>
      <c r="BI357" s="99" t="str">
        <f>IF(OR(BG357=DATA_CLEANED!AK348,BG357=DATA_CLEANED!AN348,BG357="MATCH NUL"),"OK","ERREUR")</f>
        <v>OK</v>
      </c>
    </row>
    <row r="358" spans="2:61">
      <c r="B358" s="74">
        <v>2022</v>
      </c>
      <c r="C358" s="30" t="str">
        <v>Round of 16</v>
      </c>
      <c r="D358" s="30" t="str">
        <v>Japan</v>
      </c>
      <c r="E358" s="30" t="str">
        <v>Croatia</v>
      </c>
      <c r="F358" s="30" t="str">
        <v>Japan</v>
      </c>
      <c r="G358" s="30" t="str">
        <v>Takumi Minamino</v>
      </c>
      <c r="H358" s="30" t="str">
        <v>Dominik Livaković</v>
      </c>
      <c r="I358" s="30">
        <v>1</v>
      </c>
      <c r="J358" s="30">
        <v>1</v>
      </c>
      <c r="K358" s="30" t="str">
        <v>'0-0</v>
      </c>
      <c r="L358" s="30" t="str">
        <v>No</v>
      </c>
      <c r="M358" s="30" t="str">
        <v>No</v>
      </c>
      <c r="N358" s="30" t="str">
        <v>Saved</v>
      </c>
      <c r="O358" s="30" t="str">
        <f t="shared" si="37"/>
        <v>2022|Round of 16|Japan|Croatia|Japan|Takumi Minamino|Dominik Livaković|1|1|'0-0|No|No|Saved</v>
      </c>
      <c r="P358" s="96" t="str">
        <f>IF(COUNTIF($G$32:O358,O358)&gt;1,"DOUBLON","OK")</f>
        <v>OK</v>
      </c>
      <c r="S358" s="30" t="str">
        <v>Croatia</v>
      </c>
      <c r="T358" s="30" t="str">
        <f t="shared" si="34"/>
        <v>OK</v>
      </c>
      <c r="U358" s="30" t="str">
        <f t="shared" si="35"/>
        <v>-</v>
      </c>
      <c r="V358" s="30" t="str" cm="1">
        <f t="array" ref="V358">_xlfn.IFS(
ISNUMBER(SEARCH("USA",S358)),"United States",
ISNUMBER(SEARCH("Republic of Korea",S358)),"South Korea",
ISNUMBER(SEARCH("Cape Verde",S358)),"Cabo Verde",
ISNUMBER(SEARCH("Czechia",S358)),"Czech Republic",
ISNUMBER(SEARCH("Türkiye",S358)),"Turkey",
ISNUMBER(SEARCH("Ivory Coast",S358)),"Côte d'Ivoire",
ISNUMBER(SEARCH("Korea Republic",S358)),"South Korea",
ISNUMBER(SEARCH("Germany FR",S358)),"FR Germany",
ISNUMBER(SEARCH("West Germany",S358)),"FR Germany",
ISNUMBER(SEARCH("Germany DR",S358)),"DR Germany",
ISNUMBER(SEARCH("Korea DPR",S358)),"North Korea",
ISNUMBER(SEARCH("China PR",S358)),"China",
ISNUMBER(SEARCH("IR Iran",S358)),"Iran",
ISNUMBER(SEARCH("Congo DR",S358)),"Democratic Republic of the Congo",
ISNUMBER(SEARCH("DR Congo",S358)),"Democratic Republic of the Congo",
ISNUMBER(SEARCH("German DR",S358)),"DR Germany",
ISNUMBER(SEARCH("rn""&gt;United Arab Emirates",S358)),"United Arab Emirates",
ISNUMBER(SEARCH("rn""&gt;Republic of Ireland",S358)),"Ireland",
ISNUMBER(SEARCH("rn""&gt;Bosnia and Herzegovina",S358)),"Bosnia and Herzegovina",
ISNUMBER(SEARCH("rn""&gt;Trinidad and Tobago",S358)),"Trinidad and Tobago",
ISNUMBER(SEARCH("rn""&gt;Serbia and Montenegro",S358)),"Serbia and Montenegro",
ISNUMBER(SEARCH(_xlfn.UNICHAR(65533),S358)),"Côte d'Ivoire",
TRUE,""
)</f>
        <v/>
      </c>
      <c r="W358" s="30" t="str">
        <f t="shared" si="36"/>
        <v>Croatia</v>
      </c>
      <c r="Z358" s="40" t="str">
        <v>Jose Zorrilla</v>
      </c>
      <c r="AA358" s="40" t="str" cm="1">
        <f t="array" ref="AA358">IFERROR(_xlfn.XLOOKUP(Z358,_xlfn.ANCHORARRAY(Z$31),AA$31:AA$37),Z358)</f>
        <v>Jose Zorrilla</v>
      </c>
      <c r="AB358" s="42" t="str">
        <v xml:space="preserve">Valladolid </v>
      </c>
      <c r="AC358" s="89" t="str">
        <f t="shared" si="33"/>
        <v xml:space="preserve">Valladolid </v>
      </c>
      <c r="AE358" s="42">
        <v>1978</v>
      </c>
      <c r="AK358" s="42">
        <v>2</v>
      </c>
      <c r="AL358" s="42">
        <v>1</v>
      </c>
      <c r="AV358" s="37" t="str">
        <v>ROUND_OF_16</v>
      </c>
      <c r="AW358" s="89" t="str">
        <v>GROUP_STAGE</v>
      </c>
      <c r="BE358" s="43" t="str">
        <f>IF(OR(DATA_CLEANED!AL349="",DATA_CLEANED!AM349=""),"MANQUANT",IF(OR(NOT(ISNUMBER(DATA_CLEANED!AL349)),NOT(ISNUMBER(DATA_CLEANED!AM349))),"ENTREE INVALIDE",IF(OR(DATA_CLEANED!AL349&lt;0,DATA_CLEANED!AM349&lt;0),"SCORE NEGATIF","OK")))</f>
        <v>OK</v>
      </c>
      <c r="BF358" s="43" t="str">
        <f>IF(DATA_CLEANED!AK349&lt;&gt;DATA_CLEANED!AN349,"OK","ERREUR")</f>
        <v>OK</v>
      </c>
      <c r="BG358" s="43" t="str">
        <f>IF(DATA_CLEANED!AL349&gt;DATA_CLEANED!AM349,DATA_CLEANED!AK349,IF(AND(DATA_QUALITE!W4835="-",DATA_CLEANED!AM349=DATA_CLEANED!AL349),"MATCH NUL",IF(AND(DATA_QUALITE!V4835="-",DATA_QUALITE!U4835="AUCUNE"),DATA_QUALITE!T4835,IF(DATA_QUALITE!V4835&lt;&gt;"-",DATA_QUALITE!V4835,DATA_CLEANED!AN349))))</f>
        <v>Italy</v>
      </c>
      <c r="BH358" s="103" t="str">
        <f>IF(AND(BG358="MATCH NUL",DATA_CLEANED!AO349="-"),"MATCH_NUL",IF(ISNUMBER(SEARCH("win on penalties",W4835)),"WIN_BY_PENALTY",IF(ISNUMBER(SEARCH("win after extra time",W4835)),"WIN_BY_EXTRA_TIME",IF(ISNUMBER(SEARCH("Golden Goal",W4835)),"WIN_BY_GOLDEN_GOAL","WIN_BY_SCORE"))))</f>
        <v>WIN_BY_SCORE</v>
      </c>
      <c r="BI358" s="99" t="str">
        <f>IF(OR(BG358=DATA_CLEANED!AK349,BG358=DATA_CLEANED!AN349,BG358="MATCH NUL"),"OK","ERREUR")</f>
        <v>OK</v>
      </c>
    </row>
    <row r="359" spans="2:61">
      <c r="B359" s="74">
        <v>2022</v>
      </c>
      <c r="C359" s="30" t="str">
        <v>Round of 16</v>
      </c>
      <c r="D359" s="30" t="str">
        <v>Japan</v>
      </c>
      <c r="E359" s="30" t="str">
        <v>Croatia</v>
      </c>
      <c r="F359" s="30" t="str">
        <v>Croatia</v>
      </c>
      <c r="G359" s="30" t="str">
        <v>Nikola Vlašić</v>
      </c>
      <c r="H359" s="30" t="str">
        <v>Shūichi Gonda</v>
      </c>
      <c r="I359" s="30">
        <v>2</v>
      </c>
      <c r="J359" s="30">
        <v>1</v>
      </c>
      <c r="K359" s="30" t="str">
        <v>'0-0</v>
      </c>
      <c r="L359" s="30" t="str">
        <v>No</v>
      </c>
      <c r="M359" s="30" t="str">
        <v>No</v>
      </c>
      <c r="N359" s="30" t="str">
        <v>Goal</v>
      </c>
      <c r="O359" s="30" t="str">
        <f t="shared" si="37"/>
        <v>2022|Round of 16|Japan|Croatia|Croatia|Nikola Vlašić|Shūichi Gonda|2|1|'0-0|No|No|Goal</v>
      </c>
      <c r="P359" s="96" t="str">
        <f>IF(COUNTIF($G$32:O359,O359)&gt;1,"DOUBLON","OK")</f>
        <v>OK</v>
      </c>
      <c r="S359" s="30" t="str">
        <v>Croatia</v>
      </c>
      <c r="T359" s="30" t="str">
        <f t="shared" si="34"/>
        <v>OK</v>
      </c>
      <c r="U359" s="30" t="str">
        <f t="shared" si="35"/>
        <v>-</v>
      </c>
      <c r="V359" s="30" t="str" cm="1">
        <f t="array" ref="V359">_xlfn.IFS(
ISNUMBER(SEARCH("USA",S359)),"United States",
ISNUMBER(SEARCH("Republic of Korea",S359)),"South Korea",
ISNUMBER(SEARCH("Cape Verde",S359)),"Cabo Verde",
ISNUMBER(SEARCH("Czechia",S359)),"Czech Republic",
ISNUMBER(SEARCH("Türkiye",S359)),"Turkey",
ISNUMBER(SEARCH("Ivory Coast",S359)),"Côte d'Ivoire",
ISNUMBER(SEARCH("Korea Republic",S359)),"South Korea",
ISNUMBER(SEARCH("Germany FR",S359)),"FR Germany",
ISNUMBER(SEARCH("West Germany",S359)),"FR Germany",
ISNUMBER(SEARCH("Germany DR",S359)),"DR Germany",
ISNUMBER(SEARCH("Korea DPR",S359)),"North Korea",
ISNUMBER(SEARCH("China PR",S359)),"China",
ISNUMBER(SEARCH("IR Iran",S359)),"Iran",
ISNUMBER(SEARCH("Congo DR",S359)),"Democratic Republic of the Congo",
ISNUMBER(SEARCH("DR Congo",S359)),"Democratic Republic of the Congo",
ISNUMBER(SEARCH("German DR",S359)),"DR Germany",
ISNUMBER(SEARCH("rn""&gt;United Arab Emirates",S359)),"United Arab Emirates",
ISNUMBER(SEARCH("rn""&gt;Republic of Ireland",S359)),"Ireland",
ISNUMBER(SEARCH("rn""&gt;Bosnia and Herzegovina",S359)),"Bosnia and Herzegovina",
ISNUMBER(SEARCH("rn""&gt;Trinidad and Tobago",S359)),"Trinidad and Tobago",
ISNUMBER(SEARCH("rn""&gt;Serbia and Montenegro",S359)),"Serbia and Montenegro",
ISNUMBER(SEARCH(_xlfn.UNICHAR(65533),S359)),"Côte d'Ivoire",
TRUE,""
)</f>
        <v/>
      </c>
      <c r="W359" s="30" t="str">
        <f t="shared" si="36"/>
        <v>Croatia</v>
      </c>
      <c r="Z359" s="40" t="str">
        <v>La Romareda</v>
      </c>
      <c r="AA359" s="40" t="str" cm="1">
        <f t="array" ref="AA359">IFERROR(_xlfn.XLOOKUP(Z359,_xlfn.ANCHORARRAY(Z$31),AA$31:AA$37),Z359)</f>
        <v>La Romareda</v>
      </c>
      <c r="AB359" s="42" t="str">
        <v xml:space="preserve">Zaragoza </v>
      </c>
      <c r="AC359" s="89" t="str">
        <f t="shared" si="33"/>
        <v xml:space="preserve">Zaragoza </v>
      </c>
      <c r="AE359" s="42">
        <v>1978</v>
      </c>
      <c r="AK359" s="42">
        <v>3</v>
      </c>
      <c r="AL359" s="42">
        <v>1</v>
      </c>
      <c r="AV359" s="37" t="str">
        <v>ROUND_OF_16</v>
      </c>
      <c r="AW359" s="89" t="str">
        <v>GROUP_STAGE</v>
      </c>
      <c r="BE359" s="43" t="str">
        <f>IF(OR(DATA_CLEANED!AL350="",DATA_CLEANED!AM350=""),"MANQUANT",IF(OR(NOT(ISNUMBER(DATA_CLEANED!AL350)),NOT(ISNUMBER(DATA_CLEANED!AM350))),"ENTREE INVALIDE",IF(OR(DATA_CLEANED!AL350&lt;0,DATA_CLEANED!AM350&lt;0),"SCORE NEGATIF","OK")))</f>
        <v>OK</v>
      </c>
      <c r="BF359" s="43" t="str">
        <f>IF(DATA_CLEANED!AK350&lt;&gt;DATA_CLEANED!AN350,"OK","ERREUR")</f>
        <v>OK</v>
      </c>
      <c r="BG359" s="43" t="str">
        <f>IF(DATA_CLEANED!AL350&gt;DATA_CLEANED!AM350,DATA_CLEANED!AK350,IF(AND(DATA_QUALITE!W4836="-",DATA_CLEANED!AM350=DATA_CLEANED!AL350),"MATCH NUL",IF(AND(DATA_QUALITE!V4836="-",DATA_QUALITE!U4836="AUCUNE"),DATA_QUALITE!T4836,IF(DATA_QUALITE!V4836&lt;&gt;"-",DATA_QUALITE!V4836,DATA_CLEANED!AN350))))</f>
        <v>MATCH NUL</v>
      </c>
      <c r="BH359" s="103" t="str">
        <f>IF(AND(BG359="MATCH NUL",DATA_CLEANED!AO350="-"),"MATCH_NUL",IF(ISNUMBER(SEARCH("win on penalties",W4836)),"WIN_BY_PENALTY",IF(ISNUMBER(SEARCH("win after extra time",W4836)),"WIN_BY_EXTRA_TIME",IF(ISNUMBER(SEARCH("Golden Goal",W4836)),"WIN_BY_GOLDEN_GOAL","WIN_BY_SCORE"))))</f>
        <v>MATCH_NUL</v>
      </c>
      <c r="BI359" s="99" t="str">
        <f>IF(OR(BG359=DATA_CLEANED!AK350,BG359=DATA_CLEANED!AN350,BG359="MATCH NUL"),"OK","ERREUR")</f>
        <v>OK</v>
      </c>
    </row>
    <row r="360" spans="2:61">
      <c r="B360" s="74">
        <v>2022</v>
      </c>
      <c r="C360" s="30" t="str">
        <v>Round of 16</v>
      </c>
      <c r="D360" s="30" t="str">
        <v>Japan</v>
      </c>
      <c r="E360" s="30" t="str">
        <v>Croatia</v>
      </c>
      <c r="F360" s="30" t="str">
        <v>Japan</v>
      </c>
      <c r="G360" s="30" t="str">
        <v>Kaoru Mitoma</v>
      </c>
      <c r="H360" s="30" t="str">
        <v>Dominik Livaković</v>
      </c>
      <c r="I360" s="30">
        <v>3</v>
      </c>
      <c r="J360" s="30">
        <v>2</v>
      </c>
      <c r="K360" s="30" t="str">
        <v>'0-1</v>
      </c>
      <c r="L360" s="30" t="str">
        <v>No</v>
      </c>
      <c r="M360" s="30" t="str">
        <v>No</v>
      </c>
      <c r="N360" s="30" t="str">
        <v>Saved</v>
      </c>
      <c r="O360" s="30" t="str">
        <f t="shared" si="37"/>
        <v>2022|Round of 16|Japan|Croatia|Japan|Kaoru Mitoma|Dominik Livaković|3|2|'0-1|No|No|Saved</v>
      </c>
      <c r="P360" s="96" t="str">
        <f>IF(COUNTIF($G$32:O360,O360)&gt;1,"DOUBLON","OK")</f>
        <v>OK</v>
      </c>
      <c r="S360" s="30" t="str">
        <v>Croatia</v>
      </c>
      <c r="T360" s="30" t="str">
        <f t="shared" si="34"/>
        <v>OK</v>
      </c>
      <c r="U360" s="30" t="str">
        <f t="shared" si="35"/>
        <v>-</v>
      </c>
      <c r="V360" s="30" t="str" cm="1">
        <f t="array" ref="V360">_xlfn.IFS(
ISNUMBER(SEARCH("USA",S360)),"United States",
ISNUMBER(SEARCH("Republic of Korea",S360)),"South Korea",
ISNUMBER(SEARCH("Cape Verde",S360)),"Cabo Verde",
ISNUMBER(SEARCH("Czechia",S360)),"Czech Republic",
ISNUMBER(SEARCH("Türkiye",S360)),"Turkey",
ISNUMBER(SEARCH("Ivory Coast",S360)),"Côte d'Ivoire",
ISNUMBER(SEARCH("Korea Republic",S360)),"South Korea",
ISNUMBER(SEARCH("Germany FR",S360)),"FR Germany",
ISNUMBER(SEARCH("West Germany",S360)),"FR Germany",
ISNUMBER(SEARCH("Germany DR",S360)),"DR Germany",
ISNUMBER(SEARCH("Korea DPR",S360)),"North Korea",
ISNUMBER(SEARCH("China PR",S360)),"China",
ISNUMBER(SEARCH("IR Iran",S360)),"Iran",
ISNUMBER(SEARCH("Congo DR",S360)),"Democratic Republic of the Congo",
ISNUMBER(SEARCH("DR Congo",S360)),"Democratic Republic of the Congo",
ISNUMBER(SEARCH("German DR",S360)),"DR Germany",
ISNUMBER(SEARCH("rn""&gt;United Arab Emirates",S360)),"United Arab Emirates",
ISNUMBER(SEARCH("rn""&gt;Republic of Ireland",S360)),"Ireland",
ISNUMBER(SEARCH("rn""&gt;Bosnia and Herzegovina",S360)),"Bosnia and Herzegovina",
ISNUMBER(SEARCH("rn""&gt;Trinidad and Tobago",S360)),"Trinidad and Tobago",
ISNUMBER(SEARCH("rn""&gt;Serbia and Montenegro",S360)),"Serbia and Montenegro",
ISNUMBER(SEARCH(_xlfn.UNICHAR(65533),S360)),"Côte d'Ivoire",
TRUE,""
)</f>
        <v/>
      </c>
      <c r="W360" s="30" t="str">
        <f t="shared" si="36"/>
        <v>Croatia</v>
      </c>
      <c r="Z360" s="40" t="str">
        <v>Estadio Municipal de Bala�dos</v>
      </c>
      <c r="AA360" s="40" t="str" cm="1">
        <f t="array" ref="AA360">IFERROR(_xlfn.XLOOKUP(Z360,_xlfn.ANCHORARRAY(Z$31),AA$31:AA$37),Z360)</f>
        <v>Estadio Municipal de Balaídos</v>
      </c>
      <c r="AB360" s="42" t="str">
        <v xml:space="preserve">Vigo </v>
      </c>
      <c r="AC360" s="89" t="str">
        <f t="shared" si="33"/>
        <v xml:space="preserve">Vigo </v>
      </c>
      <c r="AE360" s="42">
        <v>1978</v>
      </c>
      <c r="AK360" s="42">
        <v>3</v>
      </c>
      <c r="AL360" s="42">
        <v>0</v>
      </c>
      <c r="AV360" s="37" t="str">
        <v>ROUND_OF_16</v>
      </c>
      <c r="AW360" s="89" t="str">
        <v>GROUP_STAGE</v>
      </c>
      <c r="BE360" s="43" t="str">
        <f>IF(OR(DATA_CLEANED!AL351="",DATA_CLEANED!AM351=""),"MANQUANT",IF(OR(NOT(ISNUMBER(DATA_CLEANED!AL351)),NOT(ISNUMBER(DATA_CLEANED!AM351))),"ENTREE INVALIDE",IF(OR(DATA_CLEANED!AL351&lt;0,DATA_CLEANED!AM351&lt;0),"SCORE NEGATIF","OK")))</f>
        <v>OK</v>
      </c>
      <c r="BF360" s="43" t="str">
        <f>IF(DATA_CLEANED!AK351&lt;&gt;DATA_CLEANED!AN351,"OK","ERREUR")</f>
        <v>OK</v>
      </c>
      <c r="BG360" s="43" t="str">
        <f>IF(DATA_CLEANED!AL351&gt;DATA_CLEANED!AM351,DATA_CLEANED!AK351,IF(AND(DATA_QUALITE!W4837="-",DATA_CLEANED!AM351=DATA_CLEANED!AL351),"MATCH NUL",IF(AND(DATA_QUALITE!V4837="-",DATA_QUALITE!U4837="AUCUNE"),DATA_QUALITE!T4837,IF(DATA_QUALITE!V4837&lt;&gt;"-",DATA_QUALITE!V4837,DATA_CLEANED!AN351))))</f>
        <v>MATCH NUL</v>
      </c>
      <c r="BH360" s="103" t="str">
        <f>IF(AND(BG360="MATCH NUL",DATA_CLEANED!AO351="-"),"MATCH_NUL",IF(ISNUMBER(SEARCH("win on penalties",W4837)),"WIN_BY_PENALTY",IF(ISNUMBER(SEARCH("win after extra time",W4837)),"WIN_BY_EXTRA_TIME",IF(ISNUMBER(SEARCH("Golden Goal",W4837)),"WIN_BY_GOLDEN_GOAL","WIN_BY_SCORE"))))</f>
        <v>MATCH_NUL</v>
      </c>
      <c r="BI360" s="99" t="str">
        <f>IF(OR(BG360=DATA_CLEANED!AK351,BG360=DATA_CLEANED!AN351,BG360="MATCH NUL"),"OK","ERREUR")</f>
        <v>OK</v>
      </c>
    </row>
    <row r="361" spans="2:61">
      <c r="B361" s="74">
        <v>2022</v>
      </c>
      <c r="C361" s="30" t="str">
        <v>Round of 16</v>
      </c>
      <c r="D361" s="30" t="str">
        <v>Japan</v>
      </c>
      <c r="E361" s="30" t="str">
        <v>Croatia</v>
      </c>
      <c r="F361" s="30" t="str">
        <v>Croatia</v>
      </c>
      <c r="G361" s="30" t="str">
        <v>Marcelo Brozović</v>
      </c>
      <c r="H361" s="30" t="str">
        <v>Shūichi Gonda</v>
      </c>
      <c r="I361" s="30">
        <v>4</v>
      </c>
      <c r="J361" s="30">
        <v>2</v>
      </c>
      <c r="K361" s="30" t="str">
        <v>'0-1</v>
      </c>
      <c r="L361" s="30" t="str">
        <v>No</v>
      </c>
      <c r="M361" s="30" t="str">
        <v>No</v>
      </c>
      <c r="N361" s="30" t="str">
        <v>Goal</v>
      </c>
      <c r="O361" s="30" t="str">
        <f t="shared" si="37"/>
        <v>2022|Round of 16|Japan|Croatia|Croatia|Marcelo Brozović|Shūichi Gonda|4|2|'0-1|No|No|Goal</v>
      </c>
      <c r="P361" s="96" t="str">
        <f>IF(COUNTIF($G$32:O361,O361)&gt;1,"DOUBLON","OK")</f>
        <v>OK</v>
      </c>
      <c r="S361" s="30" t="str">
        <v>Netherlands</v>
      </c>
      <c r="T361" s="30" t="str">
        <f t="shared" si="34"/>
        <v>OK</v>
      </c>
      <c r="U361" s="30" t="str">
        <f t="shared" si="35"/>
        <v>-</v>
      </c>
      <c r="V361" s="30" t="str" cm="1">
        <f t="array" ref="V361">_xlfn.IFS(
ISNUMBER(SEARCH("USA",S361)),"United States",
ISNUMBER(SEARCH("Republic of Korea",S361)),"South Korea",
ISNUMBER(SEARCH("Cape Verde",S361)),"Cabo Verde",
ISNUMBER(SEARCH("Czechia",S361)),"Czech Republic",
ISNUMBER(SEARCH("Türkiye",S361)),"Turkey",
ISNUMBER(SEARCH("Ivory Coast",S361)),"Côte d'Ivoire",
ISNUMBER(SEARCH("Korea Republic",S361)),"South Korea",
ISNUMBER(SEARCH("Germany FR",S361)),"FR Germany",
ISNUMBER(SEARCH("West Germany",S361)),"FR Germany",
ISNUMBER(SEARCH("Germany DR",S361)),"DR Germany",
ISNUMBER(SEARCH("Korea DPR",S361)),"North Korea",
ISNUMBER(SEARCH("China PR",S361)),"China",
ISNUMBER(SEARCH("IR Iran",S361)),"Iran",
ISNUMBER(SEARCH("Congo DR",S361)),"Democratic Republic of the Congo",
ISNUMBER(SEARCH("DR Congo",S361)),"Democratic Republic of the Congo",
ISNUMBER(SEARCH("German DR",S361)),"DR Germany",
ISNUMBER(SEARCH("rn""&gt;United Arab Emirates",S361)),"United Arab Emirates",
ISNUMBER(SEARCH("rn""&gt;Republic of Ireland",S361)),"Ireland",
ISNUMBER(SEARCH("rn""&gt;Bosnia and Herzegovina",S361)),"Bosnia and Herzegovina",
ISNUMBER(SEARCH("rn""&gt;Trinidad and Tobago",S361)),"Trinidad and Tobago",
ISNUMBER(SEARCH("rn""&gt;Serbia and Montenegro",S361)),"Serbia and Montenegro",
ISNUMBER(SEARCH(_xlfn.UNICHAR(65533),S361)),"Côte d'Ivoire",
TRUE,""
)</f>
        <v/>
      </c>
      <c r="W361" s="30" t="str">
        <f t="shared" si="36"/>
        <v>Netherlands</v>
      </c>
      <c r="Z361" s="40" t="str">
        <v>Jose Rico Perez</v>
      </c>
      <c r="AA361" s="40" t="str" cm="1">
        <f t="array" ref="AA361">IFERROR(_xlfn.XLOOKUP(Z361,_xlfn.ANCHORARRAY(Z$31),AA$31:AA$37),Z361)</f>
        <v>Jose Rico Perez</v>
      </c>
      <c r="AB361" s="42" t="str">
        <v xml:space="preserve">Alicante </v>
      </c>
      <c r="AC361" s="89" t="str">
        <f t="shared" ref="AC361:AC424" si="38">_xlfn.SINGLE(IFERROR(_xlfn.XLOOKUP(AB361,AB$31:AB$34,AC$31:AC$34),AB361))</f>
        <v xml:space="preserve">Alicante </v>
      </c>
      <c r="AE361" s="42">
        <v>1978</v>
      </c>
      <c r="AK361" s="42">
        <v>3</v>
      </c>
      <c r="AL361" s="42">
        <v>1</v>
      </c>
      <c r="AV361" s="37" t="str">
        <v>ROUND_OF_16</v>
      </c>
      <c r="AW361" s="89" t="str">
        <v>GROUP_STAGE</v>
      </c>
      <c r="BE361" s="43" t="str">
        <f>IF(OR(DATA_CLEANED!AL352="",DATA_CLEANED!AM352=""),"MANQUANT",IF(OR(NOT(ISNUMBER(DATA_CLEANED!AL352)),NOT(ISNUMBER(DATA_CLEANED!AM352))),"ENTREE INVALIDE",IF(OR(DATA_CLEANED!AL352&lt;0,DATA_CLEANED!AM352&lt;0),"SCORE NEGATIF","OK")))</f>
        <v>OK</v>
      </c>
      <c r="BF361" s="43" t="str">
        <f>IF(DATA_CLEANED!AK352&lt;&gt;DATA_CLEANED!AN352,"OK","ERREUR")</f>
        <v>OK</v>
      </c>
      <c r="BG361" s="43" t="str">
        <f>IF(DATA_CLEANED!AL352&gt;DATA_CLEANED!AM352,DATA_CLEANED!AK352,IF(AND(DATA_QUALITE!W4838="-",DATA_CLEANED!AM352=DATA_CLEANED!AL352),"MATCH NUL",IF(AND(DATA_QUALITE!V4838="-",DATA_QUALITE!U4838="AUCUNE"),DATA_QUALITE!T4838,IF(DATA_QUALITE!V4838&lt;&gt;"-",DATA_QUALITE!V4838,DATA_CLEANED!AN352))))</f>
        <v>Soviet Union</v>
      </c>
      <c r="BH361" s="103" t="str">
        <f>IF(AND(BG361="MATCH NUL",DATA_CLEANED!AO352="-"),"MATCH_NUL",IF(ISNUMBER(SEARCH("win on penalties",W4838)),"WIN_BY_PENALTY",IF(ISNUMBER(SEARCH("win after extra time",W4838)),"WIN_BY_EXTRA_TIME",IF(ISNUMBER(SEARCH("Golden Goal",W4838)),"WIN_BY_GOLDEN_GOAL","WIN_BY_SCORE"))))</f>
        <v>WIN_BY_SCORE</v>
      </c>
      <c r="BI361" s="99" t="str">
        <f>IF(OR(BG361=DATA_CLEANED!AK352,BG361=DATA_CLEANED!AN352,BG361="MATCH NUL"),"OK","ERREUR")</f>
        <v>OK</v>
      </c>
    </row>
    <row r="362" spans="2:61">
      <c r="B362" s="74">
        <v>2022</v>
      </c>
      <c r="C362" s="30" t="str">
        <v>Round of 16</v>
      </c>
      <c r="D362" s="30" t="str">
        <v>Japan</v>
      </c>
      <c r="E362" s="30" t="str">
        <v>Croatia</v>
      </c>
      <c r="F362" s="30" t="str">
        <v>Japan</v>
      </c>
      <c r="G362" s="30" t="str">
        <v>Takuma Asano</v>
      </c>
      <c r="H362" s="30" t="str">
        <v>Dominik Livaković</v>
      </c>
      <c r="I362" s="30">
        <v>5</v>
      </c>
      <c r="J362" s="30">
        <v>3</v>
      </c>
      <c r="K362" s="30" t="str">
        <v>'0-2</v>
      </c>
      <c r="L362" s="30" t="str">
        <v>No</v>
      </c>
      <c r="M362" s="30" t="str">
        <v>No</v>
      </c>
      <c r="N362" s="30" t="str">
        <v>Goal</v>
      </c>
      <c r="O362" s="30" t="str">
        <f t="shared" si="37"/>
        <v>2022|Round of 16|Japan|Croatia|Japan|Takuma Asano|Dominik Livaković|5|3|'0-2|No|No|Goal</v>
      </c>
      <c r="P362" s="96" t="str">
        <f>IF(COUNTIF($G$32:O362,O362)&gt;1,"DOUBLON","OK")</f>
        <v>OK</v>
      </c>
      <c r="S362" s="30" t="str">
        <v>Netherlands</v>
      </c>
      <c r="T362" s="30" t="str">
        <f t="shared" si="34"/>
        <v>OK</v>
      </c>
      <c r="U362" s="30" t="str">
        <f t="shared" si="35"/>
        <v>-</v>
      </c>
      <c r="V362" s="30" t="str" cm="1">
        <f t="array" ref="V362">_xlfn.IFS(
ISNUMBER(SEARCH("USA",S362)),"United States",
ISNUMBER(SEARCH("Republic of Korea",S362)),"South Korea",
ISNUMBER(SEARCH("Cape Verde",S362)),"Cabo Verde",
ISNUMBER(SEARCH("Czechia",S362)),"Czech Republic",
ISNUMBER(SEARCH("Türkiye",S362)),"Turkey",
ISNUMBER(SEARCH("Ivory Coast",S362)),"Côte d'Ivoire",
ISNUMBER(SEARCH("Korea Republic",S362)),"South Korea",
ISNUMBER(SEARCH("Germany FR",S362)),"FR Germany",
ISNUMBER(SEARCH("West Germany",S362)),"FR Germany",
ISNUMBER(SEARCH("Germany DR",S362)),"DR Germany",
ISNUMBER(SEARCH("Korea DPR",S362)),"North Korea",
ISNUMBER(SEARCH("China PR",S362)),"China",
ISNUMBER(SEARCH("IR Iran",S362)),"Iran",
ISNUMBER(SEARCH("Congo DR",S362)),"Democratic Republic of the Congo",
ISNUMBER(SEARCH("DR Congo",S362)),"Democratic Republic of the Congo",
ISNUMBER(SEARCH("German DR",S362)),"DR Germany",
ISNUMBER(SEARCH("rn""&gt;United Arab Emirates",S362)),"United Arab Emirates",
ISNUMBER(SEARCH("rn""&gt;Republic of Ireland",S362)),"Ireland",
ISNUMBER(SEARCH("rn""&gt;Bosnia and Herzegovina",S362)),"Bosnia and Herzegovina",
ISNUMBER(SEARCH("rn""&gt;Trinidad and Tobago",S362)),"Trinidad and Tobago",
ISNUMBER(SEARCH("rn""&gt;Serbia and Montenegro",S362)),"Serbia and Montenegro",
ISNUMBER(SEARCH(_xlfn.UNICHAR(65533),S362)),"Côte d'Ivoire",
TRUE,""
)</f>
        <v/>
      </c>
      <c r="W362" s="30" t="str">
        <f t="shared" si="36"/>
        <v>Netherlands</v>
      </c>
      <c r="Z362" s="40" t="str">
        <v>Benito Villamarin</v>
      </c>
      <c r="AA362" s="40" t="str" cm="1">
        <f t="array" ref="AA362">IFERROR(_xlfn.XLOOKUP(Z362,_xlfn.ANCHORARRAY(Z$31),AA$31:AA$37),Z362)</f>
        <v>Benito Villamarin</v>
      </c>
      <c r="AB362" s="42" t="str">
        <v xml:space="preserve">Seville </v>
      </c>
      <c r="AC362" s="89" t="str">
        <f t="shared" si="38"/>
        <v xml:space="preserve">Seville </v>
      </c>
      <c r="AE362" s="42">
        <v>1978</v>
      </c>
      <c r="AK362" s="42">
        <v>1</v>
      </c>
      <c r="AL362" s="42">
        <v>0</v>
      </c>
      <c r="AV362" s="37" t="str">
        <v>ROUND_OF_16</v>
      </c>
      <c r="AW362" s="89" t="str">
        <v>GROUP_STAGE</v>
      </c>
      <c r="BE362" s="43" t="str">
        <f>IF(OR(DATA_CLEANED!AL353="",DATA_CLEANED!AM353=""),"MANQUANT",IF(OR(NOT(ISNUMBER(DATA_CLEANED!AL353)),NOT(ISNUMBER(DATA_CLEANED!AM353))),"ENTREE INVALIDE",IF(OR(DATA_CLEANED!AL353&lt;0,DATA_CLEANED!AM353&lt;0),"SCORE NEGATIF","OK")))</f>
        <v>OK</v>
      </c>
      <c r="BF362" s="43" t="str">
        <f>IF(DATA_CLEANED!AK353&lt;&gt;DATA_CLEANED!AN353,"OK","ERREUR")</f>
        <v>OK</v>
      </c>
      <c r="BG362" s="43" t="str">
        <f>IF(DATA_CLEANED!AL353&gt;DATA_CLEANED!AM353,DATA_CLEANED!AK353,IF(AND(DATA_QUALITE!W4839="-",DATA_CLEANED!AM353=DATA_CLEANED!AL353),"MATCH NUL",IF(AND(DATA_QUALITE!V4839="-",DATA_QUALITE!U4839="AUCUNE"),DATA_QUALITE!T4839,IF(DATA_QUALITE!V4839&lt;&gt;"-",DATA_QUALITE!V4839,DATA_CLEANED!AN353))))</f>
        <v>Brazil</v>
      </c>
      <c r="BH362" s="103" t="str">
        <f>IF(AND(BG362="MATCH NUL",DATA_CLEANED!AO353="-"),"MATCH_NUL",IF(ISNUMBER(SEARCH("win on penalties",W4839)),"WIN_BY_PENALTY",IF(ISNUMBER(SEARCH("win after extra time",W4839)),"WIN_BY_EXTRA_TIME",IF(ISNUMBER(SEARCH("Golden Goal",W4839)),"WIN_BY_GOLDEN_GOAL","WIN_BY_SCORE"))))</f>
        <v>WIN_BY_SCORE</v>
      </c>
      <c r="BI362" s="99" t="str">
        <f>IF(OR(BG362=DATA_CLEANED!AK353,BG362=DATA_CLEANED!AN353,BG362="MATCH NUL"),"OK","ERREUR")</f>
        <v>OK</v>
      </c>
    </row>
    <row r="363" spans="2:61">
      <c r="B363" s="74">
        <v>2022</v>
      </c>
      <c r="C363" s="30" t="str">
        <v>Round of 16</v>
      </c>
      <c r="D363" s="30" t="str">
        <v>Japan</v>
      </c>
      <c r="E363" s="30" t="str">
        <v>Croatia</v>
      </c>
      <c r="F363" s="30" t="str">
        <v>Croatia</v>
      </c>
      <c r="G363" s="30" t="str">
        <v>Marko Livaja</v>
      </c>
      <c r="H363" s="30" t="str">
        <v>Shūichi Gonda</v>
      </c>
      <c r="I363" s="30">
        <v>6</v>
      </c>
      <c r="J363" s="30">
        <v>3</v>
      </c>
      <c r="K363" s="30" t="str">
        <v>'2-1</v>
      </c>
      <c r="L363" s="30" t="str">
        <v>No</v>
      </c>
      <c r="M363" s="30" t="str">
        <v>No</v>
      </c>
      <c r="N363" s="30" t="str">
        <v>Missed</v>
      </c>
      <c r="O363" s="30" t="str">
        <f t="shared" si="37"/>
        <v>2022|Round of 16|Japan|Croatia|Croatia|Marko Livaja|Shūichi Gonda|6|3|'2-1|No|No|Missed</v>
      </c>
      <c r="P363" s="96" t="str">
        <f>IF(COUNTIF($G$32:O363,O363)&gt;1,"DOUBLON","OK")</f>
        <v>OK</v>
      </c>
      <c r="S363" s="30" t="str">
        <v>Netherlands</v>
      </c>
      <c r="T363" s="30" t="str">
        <f t="shared" si="34"/>
        <v>OK</v>
      </c>
      <c r="U363" s="30" t="str">
        <f t="shared" si="35"/>
        <v>-</v>
      </c>
      <c r="V363" s="30" t="str" cm="1">
        <f t="array" ref="V363">_xlfn.IFS(
ISNUMBER(SEARCH("USA",S363)),"United States",
ISNUMBER(SEARCH("Republic of Korea",S363)),"South Korea",
ISNUMBER(SEARCH("Cape Verde",S363)),"Cabo Verde",
ISNUMBER(SEARCH("Czechia",S363)),"Czech Republic",
ISNUMBER(SEARCH("Türkiye",S363)),"Turkey",
ISNUMBER(SEARCH("Ivory Coast",S363)),"Côte d'Ivoire",
ISNUMBER(SEARCH("Korea Republic",S363)),"South Korea",
ISNUMBER(SEARCH("Germany FR",S363)),"FR Germany",
ISNUMBER(SEARCH("West Germany",S363)),"FR Germany",
ISNUMBER(SEARCH("Germany DR",S363)),"DR Germany",
ISNUMBER(SEARCH("Korea DPR",S363)),"North Korea",
ISNUMBER(SEARCH("China PR",S363)),"China",
ISNUMBER(SEARCH("IR Iran",S363)),"Iran",
ISNUMBER(SEARCH("Congo DR",S363)),"Democratic Republic of the Congo",
ISNUMBER(SEARCH("DR Congo",S363)),"Democratic Republic of the Congo",
ISNUMBER(SEARCH("German DR",S363)),"DR Germany",
ISNUMBER(SEARCH("rn""&gt;United Arab Emirates",S363)),"United Arab Emirates",
ISNUMBER(SEARCH("rn""&gt;Republic of Ireland",S363)),"Ireland",
ISNUMBER(SEARCH("rn""&gt;Bosnia and Herzegovina",S363)),"Bosnia and Herzegovina",
ISNUMBER(SEARCH("rn""&gt;Trinidad and Tobago",S363)),"Trinidad and Tobago",
ISNUMBER(SEARCH("rn""&gt;Serbia and Montenegro",S363)),"Serbia and Montenegro",
ISNUMBER(SEARCH(_xlfn.UNICHAR(65533),S363)),"Côte d'Ivoire",
TRUE,""
)</f>
        <v/>
      </c>
      <c r="W363" s="30" t="str">
        <f t="shared" si="36"/>
        <v>Netherlands</v>
      </c>
      <c r="Z363" s="40" t="str">
        <v>Riazor</v>
      </c>
      <c r="AA363" s="40" t="str" cm="1">
        <f t="array" ref="AA363">IFERROR(_xlfn.XLOOKUP(Z363,_xlfn.ANCHORARRAY(Z$31),AA$31:AA$37),Z363)</f>
        <v>Riazor</v>
      </c>
      <c r="AB363" s="42" t="str">
        <v xml:space="preserve">La Coru�A </v>
      </c>
      <c r="AC363" s="89" t="str">
        <f t="shared" si="38"/>
        <v>La Coruña</v>
      </c>
      <c r="AE363" s="42">
        <v>1978</v>
      </c>
      <c r="AK363" s="42">
        <v>6</v>
      </c>
      <c r="AL363" s="42">
        <v>0</v>
      </c>
      <c r="AV363" s="37" t="str">
        <v>ROUND_OF_16</v>
      </c>
      <c r="AW363" s="89" t="str">
        <v>GROUP_STAGE</v>
      </c>
      <c r="BE363" s="43" t="str">
        <f>IF(OR(DATA_CLEANED!AL354="",DATA_CLEANED!AM354=""),"MANQUANT",IF(OR(NOT(ISNUMBER(DATA_CLEANED!AL354)),NOT(ISNUMBER(DATA_CLEANED!AM354))),"ENTREE INVALIDE",IF(OR(DATA_CLEANED!AL354&lt;0,DATA_CLEANED!AM354&lt;0),"SCORE NEGATIF","OK")))</f>
        <v>OK</v>
      </c>
      <c r="BF363" s="43" t="str">
        <f>IF(DATA_CLEANED!AK354&lt;&gt;DATA_CLEANED!AN354,"OK","ERREUR")</f>
        <v>OK</v>
      </c>
      <c r="BG363" s="43" t="str">
        <f>IF(DATA_CLEANED!AL354&gt;DATA_CLEANED!AM354,DATA_CLEANED!AK354,IF(AND(DATA_QUALITE!W4840="-",DATA_CLEANED!AM354=DATA_CLEANED!AL354),"MATCH NUL",IF(AND(DATA_QUALITE!V4840="-",DATA_QUALITE!U4840="AUCUNE"),DATA_QUALITE!T4840,IF(DATA_QUALITE!V4840&lt;&gt;"-",DATA_QUALITE!V4840,DATA_CLEANED!AN354))))</f>
        <v>FR Germany</v>
      </c>
      <c r="BH363" s="103" t="str">
        <f>IF(AND(BG363="MATCH NUL",DATA_CLEANED!AO354="-"),"MATCH_NUL",IF(ISNUMBER(SEARCH("win on penalties",W4840)),"WIN_BY_PENALTY",IF(ISNUMBER(SEARCH("win after extra time",W4840)),"WIN_BY_EXTRA_TIME",IF(ISNUMBER(SEARCH("Golden Goal",W4840)),"WIN_BY_GOLDEN_GOAL","WIN_BY_SCORE"))))</f>
        <v>WIN_BY_SCORE</v>
      </c>
      <c r="BI363" s="99" t="str">
        <f>IF(OR(BG363=DATA_CLEANED!AK354,BG363=DATA_CLEANED!AN354,BG363="MATCH NUL"),"OK","ERREUR")</f>
        <v>OK</v>
      </c>
    </row>
    <row r="364" spans="2:61">
      <c r="B364" s="74">
        <v>2022</v>
      </c>
      <c r="C364" s="30" t="str">
        <v>Round of 16</v>
      </c>
      <c r="D364" s="30" t="str">
        <v>Japan</v>
      </c>
      <c r="E364" s="30" t="str">
        <v>Croatia</v>
      </c>
      <c r="F364" s="30" t="str">
        <v>Japan</v>
      </c>
      <c r="G364" s="30" t="str">
        <v>Maya Yoshida</v>
      </c>
      <c r="H364" s="30" t="str">
        <v>Dominik Livaković</v>
      </c>
      <c r="I364" s="30">
        <v>7</v>
      </c>
      <c r="J364" s="30">
        <v>4</v>
      </c>
      <c r="K364" s="30" t="str">
        <v>'2-1</v>
      </c>
      <c r="L364" s="30" t="str">
        <v>No</v>
      </c>
      <c r="M364" s="30" t="str">
        <v>No</v>
      </c>
      <c r="N364" s="30" t="str">
        <v>Saved</v>
      </c>
      <c r="O364" s="30" t="str">
        <f t="shared" si="37"/>
        <v>2022|Round of 16|Japan|Croatia|Japan|Maya Yoshida|Dominik Livaković|7|4|'2-1|No|No|Saved</v>
      </c>
      <c r="P364" s="96" t="str">
        <f>IF(COUNTIF($G$32:O364,O364)&gt;1,"DOUBLON","OK")</f>
        <v>OK</v>
      </c>
      <c r="S364" s="30" t="str">
        <v>Netherlands</v>
      </c>
      <c r="T364" s="30" t="str">
        <f t="shared" si="34"/>
        <v>OK</v>
      </c>
      <c r="U364" s="30" t="str">
        <f t="shared" si="35"/>
        <v>-</v>
      </c>
      <c r="V364" s="30" t="str" cm="1">
        <f t="array" ref="V364">_xlfn.IFS(
ISNUMBER(SEARCH("USA",S364)),"United States",
ISNUMBER(SEARCH("Republic of Korea",S364)),"South Korea",
ISNUMBER(SEARCH("Cape Verde",S364)),"Cabo Verde",
ISNUMBER(SEARCH("Czechia",S364)),"Czech Republic",
ISNUMBER(SEARCH("Türkiye",S364)),"Turkey",
ISNUMBER(SEARCH("Ivory Coast",S364)),"Côte d'Ivoire",
ISNUMBER(SEARCH("Korea Republic",S364)),"South Korea",
ISNUMBER(SEARCH("Germany FR",S364)),"FR Germany",
ISNUMBER(SEARCH("West Germany",S364)),"FR Germany",
ISNUMBER(SEARCH("Germany DR",S364)),"DR Germany",
ISNUMBER(SEARCH("Korea DPR",S364)),"North Korea",
ISNUMBER(SEARCH("China PR",S364)),"China",
ISNUMBER(SEARCH("IR Iran",S364)),"Iran",
ISNUMBER(SEARCH("Congo DR",S364)),"Democratic Republic of the Congo",
ISNUMBER(SEARCH("DR Congo",S364)),"Democratic Republic of the Congo",
ISNUMBER(SEARCH("German DR",S364)),"DR Germany",
ISNUMBER(SEARCH("rn""&gt;United Arab Emirates",S364)),"United Arab Emirates",
ISNUMBER(SEARCH("rn""&gt;Republic of Ireland",S364)),"Ireland",
ISNUMBER(SEARCH("rn""&gt;Bosnia and Herzegovina",S364)),"Bosnia and Herzegovina",
ISNUMBER(SEARCH("rn""&gt;Trinidad and Tobago",S364)),"Trinidad and Tobago",
ISNUMBER(SEARCH("rn""&gt;Serbia and Montenegro",S364)),"Serbia and Montenegro",
ISNUMBER(SEARCH(_xlfn.UNICHAR(65533),S364)),"Côte d'Ivoire",
TRUE,""
)</f>
        <v/>
      </c>
      <c r="W364" s="30" t="str">
        <f t="shared" si="36"/>
        <v>Netherlands</v>
      </c>
      <c r="Z364" s="40" t="str">
        <v>Nuevo Estadio</v>
      </c>
      <c r="AA364" s="40" t="str" cm="1">
        <f t="array" ref="AA364">IFERROR(_xlfn.XLOOKUP(Z364,_xlfn.ANCHORARRAY(Z$31),AA$31:AA$37),Z364)</f>
        <v>Nuevo Estadio</v>
      </c>
      <c r="AB364" s="42" t="str">
        <v xml:space="preserve">Elche </v>
      </c>
      <c r="AC364" s="89" t="str">
        <f t="shared" si="38"/>
        <v xml:space="preserve">Elche </v>
      </c>
      <c r="AE364" s="42">
        <v>1978</v>
      </c>
      <c r="AK364" s="42">
        <v>2</v>
      </c>
      <c r="AL364" s="42">
        <v>1</v>
      </c>
      <c r="AW364" s="89" t="str">
        <v>GROUP_STAGE</v>
      </c>
      <c r="BE364" s="43" t="str">
        <f>IF(OR(DATA_CLEANED!AL355="",DATA_CLEANED!AM355=""),"MANQUANT",IF(OR(NOT(ISNUMBER(DATA_CLEANED!AL355)),NOT(ISNUMBER(DATA_CLEANED!AM355))),"ENTREE INVALIDE",IF(OR(DATA_CLEANED!AL355&lt;0,DATA_CLEANED!AM355&lt;0),"SCORE NEGATIF","OK")))</f>
        <v>OK</v>
      </c>
      <c r="BF364" s="43" t="str">
        <f>IF(DATA_CLEANED!AK355&lt;&gt;DATA_CLEANED!AN355,"OK","ERREUR")</f>
        <v>OK</v>
      </c>
      <c r="BG364" s="43" t="str">
        <f>IF(DATA_CLEANED!AL355&gt;DATA_CLEANED!AM355,DATA_CLEANED!AK355,IF(AND(DATA_QUALITE!W4841="-",DATA_CLEANED!AM355=DATA_CLEANED!AL355),"MATCH NUL",IF(AND(DATA_QUALITE!V4841="-",DATA_QUALITE!U4841="AUCUNE"),DATA_QUALITE!T4841,IF(DATA_QUALITE!V4841&lt;&gt;"-",DATA_QUALITE!V4841,DATA_CLEANED!AN355))))</f>
        <v>France</v>
      </c>
      <c r="BH364" s="103" t="str">
        <f>IF(AND(BG364="MATCH NUL",DATA_CLEANED!AO355="-"),"MATCH_NUL",IF(ISNUMBER(SEARCH("win on penalties",W4841)),"WIN_BY_PENALTY",IF(ISNUMBER(SEARCH("win after extra time",W4841)),"WIN_BY_EXTRA_TIME",IF(ISNUMBER(SEARCH("Golden Goal",W4841)),"WIN_BY_GOLDEN_GOAL","WIN_BY_SCORE"))))</f>
        <v>WIN_BY_SCORE</v>
      </c>
      <c r="BI364" s="99" t="str">
        <f>IF(OR(BG364=DATA_CLEANED!AK355,BG364=DATA_CLEANED!AN355,BG364="MATCH NUL"),"OK","ERREUR")</f>
        <v>OK</v>
      </c>
    </row>
    <row r="365" spans="2:61">
      <c r="B365" s="74">
        <v>2022</v>
      </c>
      <c r="C365" s="30" t="str">
        <v>Round of 16</v>
      </c>
      <c r="D365" s="30" t="str">
        <v>Japan</v>
      </c>
      <c r="E365" s="30" t="str">
        <v>Croatia</v>
      </c>
      <c r="F365" s="30" t="str">
        <v>Croatia</v>
      </c>
      <c r="G365" s="30" t="str">
        <v>Mario Pašalić</v>
      </c>
      <c r="H365" s="30" t="str">
        <v>Shūichi Gonda</v>
      </c>
      <c r="I365" s="30">
        <v>8</v>
      </c>
      <c r="J365" s="30">
        <v>4</v>
      </c>
      <c r="K365" s="30" t="str">
        <v>'2-1</v>
      </c>
      <c r="L365" s="30" t="str">
        <v>No</v>
      </c>
      <c r="M365" s="30" t="str">
        <v>Yes</v>
      </c>
      <c r="N365" s="30" t="str">
        <v>Goal</v>
      </c>
      <c r="O365" s="30" t="str">
        <f t="shared" si="37"/>
        <v>2022|Round of 16|Japan|Croatia|Croatia|Mario Pašalić|Shūichi Gonda|8|4|'2-1|No|Yes|Goal</v>
      </c>
      <c r="P365" s="96" t="str">
        <f>IF(COUNTIF($G$32:O365,O365)&gt;1,"DOUBLON","OK")</f>
        <v>OK</v>
      </c>
      <c r="S365" s="30" t="str">
        <v>Netherlands</v>
      </c>
      <c r="T365" s="30" t="str">
        <f t="shared" si="34"/>
        <v>OK</v>
      </c>
      <c r="U365" s="30" t="str">
        <f t="shared" si="35"/>
        <v>-</v>
      </c>
      <c r="V365" s="30" t="str" cm="1">
        <f t="array" ref="V365">_xlfn.IFS(
ISNUMBER(SEARCH("USA",S365)),"United States",
ISNUMBER(SEARCH("Republic of Korea",S365)),"South Korea",
ISNUMBER(SEARCH("Cape Verde",S365)),"Cabo Verde",
ISNUMBER(SEARCH("Czechia",S365)),"Czech Republic",
ISNUMBER(SEARCH("Türkiye",S365)),"Turkey",
ISNUMBER(SEARCH("Ivory Coast",S365)),"Côte d'Ivoire",
ISNUMBER(SEARCH("Korea Republic",S365)),"South Korea",
ISNUMBER(SEARCH("Germany FR",S365)),"FR Germany",
ISNUMBER(SEARCH("West Germany",S365)),"FR Germany",
ISNUMBER(SEARCH("Germany DR",S365)),"DR Germany",
ISNUMBER(SEARCH("Korea DPR",S365)),"North Korea",
ISNUMBER(SEARCH("China PR",S365)),"China",
ISNUMBER(SEARCH("IR Iran",S365)),"Iran",
ISNUMBER(SEARCH("Congo DR",S365)),"Democratic Republic of the Congo",
ISNUMBER(SEARCH("DR Congo",S365)),"Democratic Republic of the Congo",
ISNUMBER(SEARCH("German DR",S365)),"DR Germany",
ISNUMBER(SEARCH("rn""&gt;United Arab Emirates",S365)),"United Arab Emirates",
ISNUMBER(SEARCH("rn""&gt;Republic of Ireland",S365)),"Ireland",
ISNUMBER(SEARCH("rn""&gt;Bosnia and Herzegovina",S365)),"Bosnia and Herzegovina",
ISNUMBER(SEARCH("rn""&gt;Trinidad and Tobago",S365)),"Trinidad and Tobago",
ISNUMBER(SEARCH("rn""&gt;Serbia and Montenegro",S365)),"Serbia and Montenegro",
ISNUMBER(SEARCH(_xlfn.UNICHAR(65533),S365)),"Côte d'Ivoire",
TRUE,""
)</f>
        <v/>
      </c>
      <c r="W365" s="30" t="str">
        <f t="shared" si="36"/>
        <v>Netherlands</v>
      </c>
      <c r="Z365" s="40" t="str">
        <v>La Rosaleda</v>
      </c>
      <c r="AA365" s="40" t="str" cm="1">
        <f t="array" ref="AA365">IFERROR(_xlfn.XLOOKUP(Z365,_xlfn.ANCHORARRAY(Z$31),AA$31:AA$37),Z365)</f>
        <v>La Rosaleda</v>
      </c>
      <c r="AB365" s="42" t="str">
        <v xml:space="preserve">Malaga </v>
      </c>
      <c r="AC365" s="89" t="str">
        <f t="shared" si="38"/>
        <v xml:space="preserve">Malaga </v>
      </c>
      <c r="AE365" s="42">
        <v>1978</v>
      </c>
      <c r="AK365" s="42">
        <v>0</v>
      </c>
      <c r="AL365" s="42">
        <v>0</v>
      </c>
      <c r="AW365" s="89" t="str">
        <v>GROUP_STAGE</v>
      </c>
      <c r="BE365" s="43" t="str">
        <f>IF(OR(DATA_CLEANED!AL356="",DATA_CLEANED!AM356=""),"MANQUANT",IF(OR(NOT(ISNUMBER(DATA_CLEANED!AL356)),NOT(ISNUMBER(DATA_CLEANED!AM356))),"ENTREE INVALIDE",IF(OR(DATA_CLEANED!AL356&lt;0,DATA_CLEANED!AM356&lt;0),"SCORE NEGATIF","OK")))</f>
        <v>OK</v>
      </c>
      <c r="BF365" s="43" t="str">
        <f>IF(DATA_CLEANED!AK356&lt;&gt;DATA_CLEANED!AN356,"OK","ERREUR")</f>
        <v>OK</v>
      </c>
      <c r="BG365" s="43" t="str">
        <f>IF(DATA_CLEANED!AL356&gt;DATA_CLEANED!AM356,DATA_CLEANED!AK356,IF(AND(DATA_QUALITE!W4842="-",DATA_CLEANED!AM356=DATA_CLEANED!AL356),"MATCH NUL",IF(AND(DATA_QUALITE!V4842="-",DATA_QUALITE!U4842="AUCUNE"),DATA_QUALITE!T4842,IF(DATA_QUALITE!V4842&lt;&gt;"-",DATA_QUALITE!V4842,DATA_CLEANED!AN356))))</f>
        <v>MATCH NUL</v>
      </c>
      <c r="BH365" s="103" t="str">
        <f>IF(AND(BG365="MATCH NUL",DATA_CLEANED!AO356="-"),"MATCH_NUL",IF(ISNUMBER(SEARCH("win on penalties",W4842)),"WIN_BY_PENALTY",IF(ISNUMBER(SEARCH("win after extra time",W4842)),"WIN_BY_EXTRA_TIME",IF(ISNUMBER(SEARCH("Golden Goal",W4842)),"WIN_BY_GOLDEN_GOAL","WIN_BY_SCORE"))))</f>
        <v>MATCH_NUL</v>
      </c>
      <c r="BI365" s="99" t="str">
        <f>IF(OR(BG365=DATA_CLEANED!AK356,BG365=DATA_CLEANED!AN356,BG365="MATCH NUL"),"OK","ERREUR")</f>
        <v>OK</v>
      </c>
    </row>
    <row r="366" spans="2:61">
      <c r="B366" s="74">
        <v>2022</v>
      </c>
      <c r="C366" s="30" t="str">
        <v>Round of 16</v>
      </c>
      <c r="D366" s="30" t="str">
        <v>Morocco</v>
      </c>
      <c r="E366" s="30" t="str">
        <v>Spain</v>
      </c>
      <c r="F366" s="30" t="str">
        <v>Morocco</v>
      </c>
      <c r="G366" s="30" t="str">
        <v>Abdelhamid Sabiri</v>
      </c>
      <c r="H366" s="30" t="str">
        <v>Unai Simón</v>
      </c>
      <c r="I366" s="30">
        <v>1</v>
      </c>
      <c r="J366" s="30">
        <v>1</v>
      </c>
      <c r="K366" s="30" t="str">
        <v>'0-0</v>
      </c>
      <c r="L366" s="30" t="str">
        <v>No</v>
      </c>
      <c r="M366" s="30" t="str">
        <v>No</v>
      </c>
      <c r="N366" s="30" t="str">
        <v>Goal</v>
      </c>
      <c r="O366" s="30" t="str">
        <f t="shared" si="37"/>
        <v>2022|Round of 16|Morocco|Spain|Morocco|Abdelhamid Sabiri|Unai Simón|1|1|'0-0|No|No|Goal</v>
      </c>
      <c r="P366" s="96" t="str">
        <f>IF(COUNTIF($G$32:O366,O366)&gt;1,"DOUBLON","OK")</f>
        <v>OK</v>
      </c>
      <c r="S366" s="30" t="str">
        <v>Netherlands</v>
      </c>
      <c r="T366" s="30" t="str">
        <f t="shared" si="34"/>
        <v>OK</v>
      </c>
      <c r="U366" s="30" t="str">
        <f t="shared" si="35"/>
        <v>-</v>
      </c>
      <c r="V366" s="30" t="str" cm="1">
        <f t="array" ref="V366">_xlfn.IFS(
ISNUMBER(SEARCH("USA",S366)),"United States",
ISNUMBER(SEARCH("Republic of Korea",S366)),"South Korea",
ISNUMBER(SEARCH("Cape Verde",S366)),"Cabo Verde",
ISNUMBER(SEARCH("Czechia",S366)),"Czech Republic",
ISNUMBER(SEARCH("Türkiye",S366)),"Turkey",
ISNUMBER(SEARCH("Ivory Coast",S366)),"Côte d'Ivoire",
ISNUMBER(SEARCH("Korea Republic",S366)),"South Korea",
ISNUMBER(SEARCH("Germany FR",S366)),"FR Germany",
ISNUMBER(SEARCH("West Germany",S366)),"FR Germany",
ISNUMBER(SEARCH("Germany DR",S366)),"DR Germany",
ISNUMBER(SEARCH("Korea DPR",S366)),"North Korea",
ISNUMBER(SEARCH("China PR",S366)),"China",
ISNUMBER(SEARCH("IR Iran",S366)),"Iran",
ISNUMBER(SEARCH("Congo DR",S366)),"Democratic Republic of the Congo",
ISNUMBER(SEARCH("DR Congo",S366)),"Democratic Republic of the Congo",
ISNUMBER(SEARCH("German DR",S366)),"DR Germany",
ISNUMBER(SEARCH("rn""&gt;United Arab Emirates",S366)),"United Arab Emirates",
ISNUMBER(SEARCH("rn""&gt;Republic of Ireland",S366)),"Ireland",
ISNUMBER(SEARCH("rn""&gt;Bosnia and Herzegovina",S366)),"Bosnia and Herzegovina",
ISNUMBER(SEARCH("rn""&gt;Trinidad and Tobago",S366)),"Trinidad and Tobago",
ISNUMBER(SEARCH("rn""&gt;Serbia and Montenegro",S366)),"Serbia and Montenegro",
ISNUMBER(SEARCH(_xlfn.UNICHAR(65533),S366)),"Côte d'Ivoire",
TRUE,""
)</f>
        <v/>
      </c>
      <c r="W366" s="30" t="str">
        <f t="shared" si="36"/>
        <v>Netherlands</v>
      </c>
      <c r="Z366" s="40" t="str">
        <v>El Molinon</v>
      </c>
      <c r="AA366" s="40" t="str" cm="1">
        <f t="array" ref="AA366">IFERROR(_xlfn.XLOOKUP(Z366,_xlfn.ANCHORARRAY(Z$31),AA$31:AA$37),Z366)</f>
        <v>El Molinon</v>
      </c>
      <c r="AB366" s="42" t="str">
        <v xml:space="preserve">Gijon </v>
      </c>
      <c r="AC366" s="89" t="str">
        <f t="shared" si="38"/>
        <v xml:space="preserve">Gijon </v>
      </c>
      <c r="AE366" s="42">
        <v>1978</v>
      </c>
      <c r="AK366" s="42">
        <v>1</v>
      </c>
      <c r="AL366" s="42">
        <v>0</v>
      </c>
      <c r="AW366" s="89" t="str">
        <v>GROUP_STAGE</v>
      </c>
      <c r="BE366" s="43" t="str">
        <f>IF(OR(DATA_CLEANED!AL357="",DATA_CLEANED!AM357=""),"MANQUANT",IF(OR(NOT(ISNUMBER(DATA_CLEANED!AL357)),NOT(ISNUMBER(DATA_CLEANED!AM357))),"ENTREE INVALIDE",IF(OR(DATA_CLEANED!AL357&lt;0,DATA_CLEANED!AM357&lt;0),"SCORE NEGATIF","OK")))</f>
        <v>OK</v>
      </c>
      <c r="BF366" s="43" t="str">
        <f>IF(DATA_CLEANED!AK357&lt;&gt;DATA_CLEANED!AN357,"OK","ERREUR")</f>
        <v>OK</v>
      </c>
      <c r="BG366" s="43" t="str">
        <f>IF(DATA_CLEANED!AL357&gt;DATA_CLEANED!AM357,DATA_CLEANED!AK357,IF(AND(DATA_QUALITE!W4843="-",DATA_CLEANED!AM357=DATA_CLEANED!AL357),"MATCH NUL",IF(AND(DATA_QUALITE!V4843="-",DATA_QUALITE!U4843="AUCUNE"),DATA_QUALITE!T4843,IF(DATA_QUALITE!V4843&lt;&gt;"-",DATA_QUALITE!V4843,DATA_CLEANED!AN357))))</f>
        <v>Italy</v>
      </c>
      <c r="BH366" s="103" t="str">
        <f>IF(AND(BG366="MATCH NUL",DATA_CLEANED!AO357="-"),"MATCH_NUL",IF(ISNUMBER(SEARCH("win on penalties",W4843)),"WIN_BY_PENALTY",IF(ISNUMBER(SEARCH("win after extra time",W4843)),"WIN_BY_EXTRA_TIME",IF(ISNUMBER(SEARCH("Golden Goal",W4843)),"WIN_BY_GOLDEN_GOAL","WIN_BY_SCORE"))))</f>
        <v>WIN_BY_SCORE</v>
      </c>
      <c r="BI366" s="99" t="str">
        <f>IF(OR(BG366=DATA_CLEANED!AK357,BG366=DATA_CLEANED!AN357,BG366="MATCH NUL"),"OK","ERREUR")</f>
        <v>OK</v>
      </c>
    </row>
    <row r="367" spans="2:61">
      <c r="B367" s="74">
        <v>2022</v>
      </c>
      <c r="C367" s="30" t="str">
        <v>Round of 16</v>
      </c>
      <c r="D367" s="30" t="str">
        <v>Morocco</v>
      </c>
      <c r="E367" s="30" t="str">
        <v>Spain</v>
      </c>
      <c r="F367" s="30" t="str">
        <v>Spain</v>
      </c>
      <c r="G367" s="30" t="str">
        <v>Pablo Sarabia</v>
      </c>
      <c r="H367" s="30" t="str">
        <v>Yassine Bounou</v>
      </c>
      <c r="I367" s="30">
        <v>2</v>
      </c>
      <c r="J367" s="30">
        <v>1</v>
      </c>
      <c r="K367" s="30" t="str">
        <v>'1-0</v>
      </c>
      <c r="L367" s="30" t="str">
        <v>No</v>
      </c>
      <c r="M367" s="30" t="str">
        <v>No</v>
      </c>
      <c r="N367" s="30" t="str">
        <v>Missed</v>
      </c>
      <c r="O367" s="30" t="str">
        <f t="shared" si="37"/>
        <v>2022|Round of 16|Morocco|Spain|Spain|Pablo Sarabia|Yassine Bounou|2|1|'1-0|No|No|Missed</v>
      </c>
      <c r="P367" s="96" t="str">
        <f>IF(COUNTIF($G$32:O367,O367)&gt;1,"DOUBLON","OK")</f>
        <v>OK</v>
      </c>
      <c r="S367" s="30" t="str">
        <v>Netherlands</v>
      </c>
      <c r="T367" s="30" t="str">
        <f t="shared" si="34"/>
        <v>OK</v>
      </c>
      <c r="U367" s="30" t="str">
        <f t="shared" si="35"/>
        <v>-</v>
      </c>
      <c r="V367" s="30" t="str" cm="1">
        <f t="array" ref="V367">_xlfn.IFS(
ISNUMBER(SEARCH("USA",S367)),"United States",
ISNUMBER(SEARCH("Republic of Korea",S367)),"South Korea",
ISNUMBER(SEARCH("Cape Verde",S367)),"Cabo Verde",
ISNUMBER(SEARCH("Czechia",S367)),"Czech Republic",
ISNUMBER(SEARCH("Türkiye",S367)),"Turkey",
ISNUMBER(SEARCH("Ivory Coast",S367)),"Côte d'Ivoire",
ISNUMBER(SEARCH("Korea Republic",S367)),"South Korea",
ISNUMBER(SEARCH("Germany FR",S367)),"FR Germany",
ISNUMBER(SEARCH("West Germany",S367)),"FR Germany",
ISNUMBER(SEARCH("Germany DR",S367)),"DR Germany",
ISNUMBER(SEARCH("Korea DPR",S367)),"North Korea",
ISNUMBER(SEARCH("China PR",S367)),"China",
ISNUMBER(SEARCH("IR Iran",S367)),"Iran",
ISNUMBER(SEARCH("Congo DR",S367)),"Democratic Republic of the Congo",
ISNUMBER(SEARCH("DR Congo",S367)),"Democratic Republic of the Congo",
ISNUMBER(SEARCH("German DR",S367)),"DR Germany",
ISNUMBER(SEARCH("rn""&gt;United Arab Emirates",S367)),"United Arab Emirates",
ISNUMBER(SEARCH("rn""&gt;Republic of Ireland",S367)),"Ireland",
ISNUMBER(SEARCH("rn""&gt;Bosnia and Herzegovina",S367)),"Bosnia and Herzegovina",
ISNUMBER(SEARCH("rn""&gt;Trinidad and Tobago",S367)),"Trinidad and Tobago",
ISNUMBER(SEARCH("rn""&gt;Serbia and Montenegro",S367)),"Serbia and Montenegro",
ISNUMBER(SEARCH(_xlfn.UNICHAR(65533),S367)),"Côte d'Ivoire",
TRUE,""
)</f>
        <v/>
      </c>
      <c r="W367" s="30" t="str">
        <f t="shared" si="36"/>
        <v>Netherlands</v>
      </c>
      <c r="Z367" s="40" t="str">
        <v>San Mames</v>
      </c>
      <c r="AA367" s="40" t="str" cm="1">
        <f t="array" ref="AA367">IFERROR(_xlfn.XLOOKUP(Z367,_xlfn.ANCHORARRAY(Z$31),AA$31:AA$37),Z367)</f>
        <v>San Mames</v>
      </c>
      <c r="AB367" s="42" t="str">
        <v xml:space="preserve">Bilbao </v>
      </c>
      <c r="AC367" s="89" t="str">
        <f t="shared" si="38"/>
        <v xml:space="preserve">Bilbao </v>
      </c>
      <c r="AE367" s="42">
        <v>1978</v>
      </c>
      <c r="AK367" s="42">
        <v>1</v>
      </c>
      <c r="AL367" s="42">
        <v>1</v>
      </c>
      <c r="AW367" s="89" t="str">
        <v>GROUP_STAGE</v>
      </c>
      <c r="BE367" s="43" t="str">
        <f>IF(OR(DATA_CLEANED!AL358="",DATA_CLEANED!AM358=""),"MANQUANT",IF(OR(NOT(ISNUMBER(DATA_CLEANED!AL358)),NOT(ISNUMBER(DATA_CLEANED!AM358))),"ENTREE INVALIDE",IF(OR(DATA_CLEANED!AL358&lt;0,DATA_CLEANED!AM358&lt;0),"SCORE NEGATIF","OK")))</f>
        <v>OK</v>
      </c>
      <c r="BF367" s="43" t="str">
        <f>IF(DATA_CLEANED!AK358&lt;&gt;DATA_CLEANED!AN358,"OK","ERREUR")</f>
        <v>OK</v>
      </c>
      <c r="BG367" s="43" t="str">
        <f>IF(DATA_CLEANED!AL358&gt;DATA_CLEANED!AM358,DATA_CLEANED!AK358,IF(AND(DATA_QUALITE!W4844="-",DATA_CLEANED!AM358=DATA_CLEANED!AL358),"MATCH NUL",IF(AND(DATA_QUALITE!V4844="-",DATA_QUALITE!U4844="AUCUNE"),DATA_QUALITE!T4844,IF(DATA_QUALITE!V4844&lt;&gt;"-",DATA_QUALITE!V4844,DATA_CLEANED!AN358))))</f>
        <v>MATCH NUL</v>
      </c>
      <c r="BH367" s="103" t="str">
        <f>IF(AND(BG367="MATCH NUL",DATA_CLEANED!AO358="-"),"MATCH_NUL",IF(ISNUMBER(SEARCH("win on penalties",W4844)),"WIN_BY_PENALTY",IF(ISNUMBER(SEARCH("win after extra time",W4844)),"WIN_BY_EXTRA_TIME",IF(ISNUMBER(SEARCH("Golden Goal",W4844)),"WIN_BY_GOLDEN_GOAL","WIN_BY_SCORE"))))</f>
        <v>MATCH_NUL</v>
      </c>
      <c r="BI367" s="99" t="str">
        <f>IF(OR(BG367=DATA_CLEANED!AK358,BG367=DATA_CLEANED!AN358,BG367="MATCH NUL"),"OK","ERREUR")</f>
        <v>OK</v>
      </c>
    </row>
    <row r="368" spans="2:61">
      <c r="B368" s="74">
        <v>2022</v>
      </c>
      <c r="C368" s="30" t="str">
        <v>Round of 16</v>
      </c>
      <c r="D368" s="30" t="str">
        <v>Morocco</v>
      </c>
      <c r="E368" s="30" t="str">
        <v>Spain</v>
      </c>
      <c r="F368" s="30" t="str">
        <v>Morocco</v>
      </c>
      <c r="G368" s="30" t="str">
        <v>Hakim Ziyech</v>
      </c>
      <c r="H368" s="30" t="str">
        <v>Unai Simón</v>
      </c>
      <c r="I368" s="30">
        <v>3</v>
      </c>
      <c r="J368" s="30">
        <v>2</v>
      </c>
      <c r="K368" s="30" t="str">
        <v>'1-0</v>
      </c>
      <c r="L368" s="30" t="str">
        <v>No</v>
      </c>
      <c r="M368" s="30" t="str">
        <v>No</v>
      </c>
      <c r="N368" s="30" t="str">
        <v>Goal</v>
      </c>
      <c r="O368" s="30" t="str">
        <f t="shared" si="37"/>
        <v>2022|Round of 16|Morocco|Spain|Morocco|Hakim Ziyech|Unai Simón|3|2|'1-0|No|No|Goal</v>
      </c>
      <c r="P368" s="96" t="str">
        <f>IF(COUNTIF($G$32:O368,O368)&gt;1,"DOUBLON","OK")</f>
        <v>OK</v>
      </c>
      <c r="S368" s="30" t="str">
        <v>Netherlands</v>
      </c>
      <c r="T368" s="30" t="str">
        <f t="shared" si="34"/>
        <v>OK</v>
      </c>
      <c r="U368" s="30" t="str">
        <f t="shared" si="35"/>
        <v>-</v>
      </c>
      <c r="V368" s="30" t="str" cm="1">
        <f t="array" ref="V368">_xlfn.IFS(
ISNUMBER(SEARCH("USA",S368)),"United States",
ISNUMBER(SEARCH("Republic of Korea",S368)),"South Korea",
ISNUMBER(SEARCH("Cape Verde",S368)),"Cabo Verde",
ISNUMBER(SEARCH("Czechia",S368)),"Czech Republic",
ISNUMBER(SEARCH("Türkiye",S368)),"Turkey",
ISNUMBER(SEARCH("Ivory Coast",S368)),"Côte d'Ivoire",
ISNUMBER(SEARCH("Korea Republic",S368)),"South Korea",
ISNUMBER(SEARCH("Germany FR",S368)),"FR Germany",
ISNUMBER(SEARCH("West Germany",S368)),"FR Germany",
ISNUMBER(SEARCH("Germany DR",S368)),"DR Germany",
ISNUMBER(SEARCH("Korea DPR",S368)),"North Korea",
ISNUMBER(SEARCH("China PR",S368)),"China",
ISNUMBER(SEARCH("IR Iran",S368)),"Iran",
ISNUMBER(SEARCH("Congo DR",S368)),"Democratic Republic of the Congo",
ISNUMBER(SEARCH("DR Congo",S368)),"Democratic Republic of the Congo",
ISNUMBER(SEARCH("German DR",S368)),"DR Germany",
ISNUMBER(SEARCH("rn""&gt;United Arab Emirates",S368)),"United Arab Emirates",
ISNUMBER(SEARCH("rn""&gt;Republic of Ireland",S368)),"Ireland",
ISNUMBER(SEARCH("rn""&gt;Bosnia and Herzegovina",S368)),"Bosnia and Herzegovina",
ISNUMBER(SEARCH("rn""&gt;Trinidad and Tobago",S368)),"Trinidad and Tobago",
ISNUMBER(SEARCH("rn""&gt;Serbia and Montenegro",S368)),"Serbia and Montenegro",
ISNUMBER(SEARCH(_xlfn.UNICHAR(65533),S368)),"Côte d'Ivoire",
TRUE,""
)</f>
        <v/>
      </c>
      <c r="W368" s="30" t="str">
        <f t="shared" si="36"/>
        <v>Netherlands</v>
      </c>
      <c r="Z368" s="40" t="str">
        <v>Luis Casanova</v>
      </c>
      <c r="AA368" s="40" t="str" cm="1">
        <f t="array" ref="AA368">IFERROR(_xlfn.XLOOKUP(Z368,_xlfn.ANCHORARRAY(Z$31),AA$31:AA$37),Z368)</f>
        <v>Luis Casanova</v>
      </c>
      <c r="AB368" s="42" t="str">
        <v xml:space="preserve">Valencia </v>
      </c>
      <c r="AC368" s="89" t="str">
        <f t="shared" si="38"/>
        <v xml:space="preserve">Valencia </v>
      </c>
      <c r="AE368" s="42">
        <v>1978</v>
      </c>
      <c r="AK368" s="42">
        <v>0</v>
      </c>
      <c r="AL368" s="42">
        <v>0</v>
      </c>
      <c r="AW368" s="89" t="str">
        <v>SEMI_FINALS</v>
      </c>
      <c r="BE368" s="43" t="str">
        <f>IF(OR(DATA_CLEANED!AL359="",DATA_CLEANED!AM359=""),"MANQUANT",IF(OR(NOT(ISNUMBER(DATA_CLEANED!AL359)),NOT(ISNUMBER(DATA_CLEANED!AM359))),"ENTREE INVALIDE",IF(OR(DATA_CLEANED!AL359&lt;0,DATA_CLEANED!AM359&lt;0),"SCORE NEGATIF","OK")))</f>
        <v>OK</v>
      </c>
      <c r="BF368" s="43" t="str">
        <f>IF(DATA_CLEANED!AK359&lt;&gt;DATA_CLEANED!AN359,"OK","ERREUR")</f>
        <v>OK</v>
      </c>
      <c r="BG368" s="43" t="str">
        <f>IF(DATA_CLEANED!AL359&gt;DATA_CLEANED!AM359,DATA_CLEANED!AK359,IF(AND(DATA_QUALITE!W4845="-",DATA_CLEANED!AM359=DATA_CLEANED!AL359),"MATCH NUL",IF(AND(DATA_QUALITE!V4845="-",DATA_QUALITE!U4845="AUCUNE"),DATA_QUALITE!T4845,IF(DATA_QUALITE!V4845&lt;&gt;"-",DATA_QUALITE!V4845,DATA_CLEANED!AN359))))</f>
        <v>Italy</v>
      </c>
      <c r="BH368" s="103" t="str">
        <f>IF(AND(BG368="MATCH NUL",DATA_CLEANED!AO359="-"),"MATCH_NUL",IF(ISNUMBER(SEARCH("win on penalties",W4845)),"WIN_BY_PENALTY",IF(ISNUMBER(SEARCH("win after extra time",W4845)),"WIN_BY_EXTRA_TIME",IF(ISNUMBER(SEARCH("Golden Goal",W4845)),"WIN_BY_GOLDEN_GOAL","WIN_BY_SCORE"))))</f>
        <v>WIN_BY_SCORE</v>
      </c>
      <c r="BI368" s="99" t="str">
        <f>IF(OR(BG368=DATA_CLEANED!AK359,BG368=DATA_CLEANED!AN359,BG368="MATCH NUL"),"OK","ERREUR")</f>
        <v>OK</v>
      </c>
    </row>
    <row r="369" spans="2:61">
      <c r="B369" s="74">
        <v>2022</v>
      </c>
      <c r="C369" s="30" t="str">
        <v>Round of 16</v>
      </c>
      <c r="D369" s="30" t="str">
        <v>Morocco</v>
      </c>
      <c r="E369" s="30" t="str">
        <v>Spain</v>
      </c>
      <c r="F369" s="30" t="str">
        <v>Spain</v>
      </c>
      <c r="G369" s="30" t="str">
        <v>Carlos Soler</v>
      </c>
      <c r="H369" s="30" t="str">
        <v>Yassine Bounou</v>
      </c>
      <c r="I369" s="30">
        <v>4</v>
      </c>
      <c r="J369" s="30">
        <v>2</v>
      </c>
      <c r="K369" s="30" t="str">
        <v>'2-0</v>
      </c>
      <c r="L369" s="30" t="str">
        <v>No</v>
      </c>
      <c r="M369" s="30" t="str">
        <v>No</v>
      </c>
      <c r="N369" s="30" t="str">
        <v>Saved</v>
      </c>
      <c r="O369" s="30" t="str">
        <f t="shared" si="37"/>
        <v>2022|Round of 16|Morocco|Spain|Spain|Carlos Soler|Yassine Bounou|4|2|'2-0|No|No|Saved</v>
      </c>
      <c r="P369" s="96" t="str">
        <f>IF(COUNTIF($G$32:O369,O369)&gt;1,"DOUBLON","OK")</f>
        <v>OK</v>
      </c>
      <c r="S369" s="30" t="str">
        <v>Netherlands</v>
      </c>
      <c r="T369" s="30" t="str">
        <f t="shared" si="34"/>
        <v>OK</v>
      </c>
      <c r="U369" s="30" t="str">
        <f t="shared" si="35"/>
        <v>-</v>
      </c>
      <c r="V369" s="30" t="str" cm="1">
        <f t="array" ref="V369">_xlfn.IFS(
ISNUMBER(SEARCH("USA",S369)),"United States",
ISNUMBER(SEARCH("Republic of Korea",S369)),"South Korea",
ISNUMBER(SEARCH("Cape Verde",S369)),"Cabo Verde",
ISNUMBER(SEARCH("Czechia",S369)),"Czech Republic",
ISNUMBER(SEARCH("Türkiye",S369)),"Turkey",
ISNUMBER(SEARCH("Ivory Coast",S369)),"Côte d'Ivoire",
ISNUMBER(SEARCH("Korea Republic",S369)),"South Korea",
ISNUMBER(SEARCH("Germany FR",S369)),"FR Germany",
ISNUMBER(SEARCH("West Germany",S369)),"FR Germany",
ISNUMBER(SEARCH("Germany DR",S369)),"DR Germany",
ISNUMBER(SEARCH("Korea DPR",S369)),"North Korea",
ISNUMBER(SEARCH("China PR",S369)),"China",
ISNUMBER(SEARCH("IR Iran",S369)),"Iran",
ISNUMBER(SEARCH("Congo DR",S369)),"Democratic Republic of the Congo",
ISNUMBER(SEARCH("DR Congo",S369)),"Democratic Republic of the Congo",
ISNUMBER(SEARCH("German DR",S369)),"DR Germany",
ISNUMBER(SEARCH("rn""&gt;United Arab Emirates",S369)),"United Arab Emirates",
ISNUMBER(SEARCH("rn""&gt;Republic of Ireland",S369)),"Ireland",
ISNUMBER(SEARCH("rn""&gt;Bosnia and Herzegovina",S369)),"Bosnia and Herzegovina",
ISNUMBER(SEARCH("rn""&gt;Trinidad and Tobago",S369)),"Trinidad and Tobago",
ISNUMBER(SEARCH("rn""&gt;Serbia and Montenegro",S369)),"Serbia and Montenegro",
ISNUMBER(SEARCH(_xlfn.UNICHAR(65533),S369)),"Côte d'Ivoire",
TRUE,""
)</f>
        <v/>
      </c>
      <c r="W369" s="30" t="str">
        <f t="shared" si="36"/>
        <v>Netherlands</v>
      </c>
      <c r="Z369" s="40" t="str">
        <v>Carlos Tartiere</v>
      </c>
      <c r="AA369" s="40" t="str" cm="1">
        <f t="array" ref="AA369">IFERROR(_xlfn.XLOOKUP(Z369,_xlfn.ANCHORARRAY(Z$31),AA$31:AA$37),Z369)</f>
        <v>Carlos Tartiere</v>
      </c>
      <c r="AB369" s="42" t="str">
        <v xml:space="preserve">Oviedo </v>
      </c>
      <c r="AC369" s="89" t="str">
        <f t="shared" si="38"/>
        <v xml:space="preserve">Oviedo </v>
      </c>
      <c r="AE369" s="42">
        <v>1978</v>
      </c>
      <c r="AK369" s="42">
        <v>3</v>
      </c>
      <c r="AL369" s="42">
        <v>1</v>
      </c>
      <c r="AW369" s="89" t="str">
        <v>SEMI_FINALS</v>
      </c>
      <c r="BE369" s="43" t="str">
        <f>IF(OR(DATA_CLEANED!AL360="",DATA_CLEANED!AM360=""),"MANQUANT",IF(OR(NOT(ISNUMBER(DATA_CLEANED!AL360)),NOT(ISNUMBER(DATA_CLEANED!AM360))),"ENTREE INVALIDE",IF(OR(DATA_CLEANED!AL360&lt;0,DATA_CLEANED!AM360&lt;0),"SCORE NEGATIF","OK")))</f>
        <v>OK</v>
      </c>
      <c r="BF369" s="43" t="str">
        <f>IF(DATA_CLEANED!AK360&lt;&gt;DATA_CLEANED!AN360,"OK","ERREUR")</f>
        <v>OK</v>
      </c>
      <c r="BG369" s="43" t="str">
        <f>IF(DATA_CLEANED!AL360&gt;DATA_CLEANED!AM360,DATA_CLEANED!AK360,IF(AND(DATA_QUALITE!W4846="-",DATA_CLEANED!AM360=DATA_CLEANED!AL360),"MATCH NUL",IF(AND(DATA_QUALITE!V4846="-",DATA_QUALITE!U4846="AUCUNE"),DATA_QUALITE!T4846,IF(DATA_QUALITE!V4846&lt;&gt;"-",DATA_QUALITE!V4846,DATA_CLEANED!AN360))))</f>
        <v>FR Germany</v>
      </c>
      <c r="BH369" s="103" t="str">
        <f>IF(AND(BG369="MATCH NUL",DATA_CLEANED!AO360="-"),"MATCH_NUL",IF(ISNUMBER(SEARCH("win on penalties",W4846)),"WIN_BY_PENALTY",IF(ISNUMBER(SEARCH("win after extra time",W4846)),"WIN_BY_EXTRA_TIME",IF(ISNUMBER(SEARCH("Golden Goal",W4846)),"WIN_BY_GOLDEN_GOAL","WIN_BY_SCORE"))))</f>
        <v>WIN_BY_PENALTY</v>
      </c>
      <c r="BI369" s="99" t="str">
        <f>IF(OR(BG369=DATA_CLEANED!AK360,BG369=DATA_CLEANED!AN360,BG369="MATCH NUL"),"OK","ERREUR")</f>
        <v>OK</v>
      </c>
    </row>
    <row r="370" spans="2:61">
      <c r="B370" s="74">
        <v>2022</v>
      </c>
      <c r="C370" s="30" t="str">
        <v>Round of 16</v>
      </c>
      <c r="D370" s="30" t="str">
        <v>Morocco</v>
      </c>
      <c r="E370" s="30" t="str">
        <v>Spain</v>
      </c>
      <c r="F370" s="30" t="str">
        <v>Morocco</v>
      </c>
      <c r="G370" s="30" t="str">
        <v>Badr Benoun</v>
      </c>
      <c r="H370" s="30" t="str">
        <v>Unai Simón</v>
      </c>
      <c r="I370" s="30">
        <v>5</v>
      </c>
      <c r="J370" s="30">
        <v>3</v>
      </c>
      <c r="K370" s="30" t="str">
        <v>'2-0</v>
      </c>
      <c r="L370" s="30" t="str">
        <v>No</v>
      </c>
      <c r="M370" s="30" t="str">
        <v>No</v>
      </c>
      <c r="N370" s="30" t="str">
        <v>Saved</v>
      </c>
      <c r="O370" s="30" t="str">
        <f t="shared" si="37"/>
        <v>2022|Round of 16|Morocco|Spain|Morocco|Badr Benoun|Unai Simón|5|3|'2-0|No|No|Saved</v>
      </c>
      <c r="P370" s="96" t="str">
        <f>IF(COUNTIF($G$32:O370,O370)&gt;1,"DOUBLON","OK")</f>
        <v>OK</v>
      </c>
      <c r="S370" s="30" t="str">
        <v>Netherlands</v>
      </c>
      <c r="T370" s="30" t="str">
        <f t="shared" si="34"/>
        <v>OK</v>
      </c>
      <c r="U370" s="30" t="str">
        <f t="shared" si="35"/>
        <v>-</v>
      </c>
      <c r="V370" s="30" t="str" cm="1">
        <f t="array" ref="V370">_xlfn.IFS(
ISNUMBER(SEARCH("USA",S370)),"United States",
ISNUMBER(SEARCH("Republic of Korea",S370)),"South Korea",
ISNUMBER(SEARCH("Cape Verde",S370)),"Cabo Verde",
ISNUMBER(SEARCH("Czechia",S370)),"Czech Republic",
ISNUMBER(SEARCH("Türkiye",S370)),"Turkey",
ISNUMBER(SEARCH("Ivory Coast",S370)),"Côte d'Ivoire",
ISNUMBER(SEARCH("Korea Republic",S370)),"South Korea",
ISNUMBER(SEARCH("Germany FR",S370)),"FR Germany",
ISNUMBER(SEARCH("West Germany",S370)),"FR Germany",
ISNUMBER(SEARCH("Germany DR",S370)),"DR Germany",
ISNUMBER(SEARCH("Korea DPR",S370)),"North Korea",
ISNUMBER(SEARCH("China PR",S370)),"China",
ISNUMBER(SEARCH("IR Iran",S370)),"Iran",
ISNUMBER(SEARCH("Congo DR",S370)),"Democratic Republic of the Congo",
ISNUMBER(SEARCH("DR Congo",S370)),"Democratic Republic of the Congo",
ISNUMBER(SEARCH("German DR",S370)),"DR Germany",
ISNUMBER(SEARCH("rn""&gt;United Arab Emirates",S370)),"United Arab Emirates",
ISNUMBER(SEARCH("rn""&gt;Republic of Ireland",S370)),"Ireland",
ISNUMBER(SEARCH("rn""&gt;Bosnia and Herzegovina",S370)),"Bosnia and Herzegovina",
ISNUMBER(SEARCH("rn""&gt;Trinidad and Tobago",S370)),"Trinidad and Tobago",
ISNUMBER(SEARCH("rn""&gt;Serbia and Montenegro",S370)),"Serbia and Montenegro",
ISNUMBER(SEARCH(_xlfn.UNICHAR(65533),S370)),"Côte d'Ivoire",
TRUE,""
)</f>
        <v/>
      </c>
      <c r="W370" s="30" t="str">
        <f t="shared" si="36"/>
        <v>Netherlands</v>
      </c>
      <c r="Z370" s="40" t="str">
        <v>Jose Zorrilla</v>
      </c>
      <c r="AA370" s="40" t="str" cm="1">
        <f t="array" ref="AA370">IFERROR(_xlfn.XLOOKUP(Z370,_xlfn.ANCHORARRAY(Z$31),AA$31:AA$37),Z370)</f>
        <v>Jose Zorrilla</v>
      </c>
      <c r="AB370" s="42" t="str">
        <v xml:space="preserve">Valladolid </v>
      </c>
      <c r="AC370" s="89" t="str">
        <f t="shared" si="38"/>
        <v xml:space="preserve">Valladolid </v>
      </c>
      <c r="AE370" s="42">
        <v>1978</v>
      </c>
      <c r="AK370" s="42">
        <v>3</v>
      </c>
      <c r="AL370" s="42">
        <v>1</v>
      </c>
      <c r="AW370" s="89" t="str">
        <v>THIRD_PLACE</v>
      </c>
      <c r="BE370" s="43" t="str">
        <f>IF(OR(DATA_CLEANED!AL361="",DATA_CLEANED!AM361=""),"MANQUANT",IF(OR(NOT(ISNUMBER(DATA_CLEANED!AL361)),NOT(ISNUMBER(DATA_CLEANED!AM361))),"ENTREE INVALIDE",IF(OR(DATA_CLEANED!AL361&lt;0,DATA_CLEANED!AM361&lt;0),"SCORE NEGATIF","OK")))</f>
        <v>OK</v>
      </c>
      <c r="BF370" s="43" t="str">
        <f>IF(DATA_CLEANED!AK361&lt;&gt;DATA_CLEANED!AN361,"OK","ERREUR")</f>
        <v>OK</v>
      </c>
      <c r="BG370" s="43" t="str">
        <f>IF(DATA_CLEANED!AL361&gt;DATA_CLEANED!AM361,DATA_CLEANED!AK361,IF(AND(DATA_QUALITE!W4847="-",DATA_CLEANED!AM361=DATA_CLEANED!AL361),"MATCH NUL",IF(AND(DATA_QUALITE!V4847="-",DATA_QUALITE!U4847="AUCUNE"),DATA_QUALITE!T4847,IF(DATA_QUALITE!V4847&lt;&gt;"-",DATA_QUALITE!V4847,DATA_CLEANED!AN361))))</f>
        <v>Poland</v>
      </c>
      <c r="BH370" s="103" t="str">
        <f>IF(AND(BG370="MATCH NUL",DATA_CLEANED!AO361="-"),"MATCH_NUL",IF(ISNUMBER(SEARCH("win on penalties",W4847)),"WIN_BY_PENALTY",IF(ISNUMBER(SEARCH("win after extra time",W4847)),"WIN_BY_EXTRA_TIME",IF(ISNUMBER(SEARCH("Golden Goal",W4847)),"WIN_BY_GOLDEN_GOAL","WIN_BY_SCORE"))))</f>
        <v>WIN_BY_SCORE</v>
      </c>
      <c r="BI370" s="99" t="str">
        <f>IF(OR(BG370=DATA_CLEANED!AK361,BG370=DATA_CLEANED!AN361,BG370="MATCH NUL"),"OK","ERREUR")</f>
        <v>OK</v>
      </c>
    </row>
    <row r="371" spans="2:61">
      <c r="B371" s="74">
        <v>2022</v>
      </c>
      <c r="C371" s="30" t="str">
        <v>Round of 16</v>
      </c>
      <c r="D371" s="30" t="str">
        <v>Morocco</v>
      </c>
      <c r="E371" s="30" t="str">
        <v>Spain</v>
      </c>
      <c r="F371" s="30" t="str">
        <v>Spain</v>
      </c>
      <c r="G371" s="30" t="str">
        <v>Sergio Busquets</v>
      </c>
      <c r="H371" s="30" t="str">
        <v>Yassine Bounou</v>
      </c>
      <c r="I371" s="30">
        <v>6</v>
      </c>
      <c r="J371" s="30">
        <v>3</v>
      </c>
      <c r="K371" s="30" t="str">
        <v>'2-0</v>
      </c>
      <c r="L371" s="30" t="str">
        <v>No</v>
      </c>
      <c r="M371" s="30" t="str">
        <v>No</v>
      </c>
      <c r="N371" s="30" t="str">
        <v>Saved</v>
      </c>
      <c r="O371" s="30" t="str">
        <f t="shared" si="37"/>
        <v>2022|Round of 16|Morocco|Spain|Spain|Sergio Busquets|Yassine Bounou|6|3|'2-0|No|No|Saved</v>
      </c>
      <c r="P371" s="96" t="str">
        <f>IF(COUNTIF($G$32:O371,O371)&gt;1,"DOUBLON","OK")</f>
        <v>OK</v>
      </c>
      <c r="S371" s="30" t="str">
        <v>Argentina</v>
      </c>
      <c r="T371" s="30" t="str">
        <f t="shared" si="34"/>
        <v>OK</v>
      </c>
      <c r="U371" s="30" t="str">
        <f t="shared" si="35"/>
        <v>-</v>
      </c>
      <c r="V371" s="30" t="str" cm="1">
        <f t="array" ref="V371">_xlfn.IFS(
ISNUMBER(SEARCH("USA",S371)),"United States",
ISNUMBER(SEARCH("Republic of Korea",S371)),"South Korea",
ISNUMBER(SEARCH("Cape Verde",S371)),"Cabo Verde",
ISNUMBER(SEARCH("Czechia",S371)),"Czech Republic",
ISNUMBER(SEARCH("Türkiye",S371)),"Turkey",
ISNUMBER(SEARCH("Ivory Coast",S371)),"Côte d'Ivoire",
ISNUMBER(SEARCH("Korea Republic",S371)),"South Korea",
ISNUMBER(SEARCH("Germany FR",S371)),"FR Germany",
ISNUMBER(SEARCH("West Germany",S371)),"FR Germany",
ISNUMBER(SEARCH("Germany DR",S371)),"DR Germany",
ISNUMBER(SEARCH("Korea DPR",S371)),"North Korea",
ISNUMBER(SEARCH("China PR",S371)),"China",
ISNUMBER(SEARCH("IR Iran",S371)),"Iran",
ISNUMBER(SEARCH("Congo DR",S371)),"Democratic Republic of the Congo",
ISNUMBER(SEARCH("DR Congo",S371)),"Democratic Republic of the Congo",
ISNUMBER(SEARCH("German DR",S371)),"DR Germany",
ISNUMBER(SEARCH("rn""&gt;United Arab Emirates",S371)),"United Arab Emirates",
ISNUMBER(SEARCH("rn""&gt;Republic of Ireland",S371)),"Ireland",
ISNUMBER(SEARCH("rn""&gt;Bosnia and Herzegovina",S371)),"Bosnia and Herzegovina",
ISNUMBER(SEARCH("rn""&gt;Trinidad and Tobago",S371)),"Trinidad and Tobago",
ISNUMBER(SEARCH("rn""&gt;Serbia and Montenegro",S371)),"Serbia and Montenegro",
ISNUMBER(SEARCH(_xlfn.UNICHAR(65533),S371)),"Côte d'Ivoire",
TRUE,""
)</f>
        <v/>
      </c>
      <c r="W371" s="30" t="str">
        <f t="shared" si="36"/>
        <v>Argentina</v>
      </c>
      <c r="Z371" s="40" t="str">
        <v>La Romareda</v>
      </c>
      <c r="AA371" s="40" t="str" cm="1">
        <f t="array" ref="AA371">IFERROR(_xlfn.XLOOKUP(Z371,_xlfn.ANCHORARRAY(Z$31),AA$31:AA$37),Z371)</f>
        <v>La Romareda</v>
      </c>
      <c r="AB371" s="42" t="str">
        <v xml:space="preserve">Zaragoza </v>
      </c>
      <c r="AC371" s="89" t="str">
        <f t="shared" si="38"/>
        <v xml:space="preserve">Zaragoza </v>
      </c>
      <c r="AE371" s="42">
        <v>1978</v>
      </c>
      <c r="AK371" s="42">
        <v>0</v>
      </c>
      <c r="AL371" s="42">
        <v>0</v>
      </c>
      <c r="AW371" s="89" t="str">
        <v>FINAL</v>
      </c>
      <c r="BE371" s="43" t="str">
        <f>IF(OR(DATA_CLEANED!AL362="",DATA_CLEANED!AM362=""),"MANQUANT",IF(OR(NOT(ISNUMBER(DATA_CLEANED!AL362)),NOT(ISNUMBER(DATA_CLEANED!AM362))),"ENTREE INVALIDE",IF(OR(DATA_CLEANED!AL362&lt;0,DATA_CLEANED!AM362&lt;0),"SCORE NEGATIF","OK")))</f>
        <v>OK</v>
      </c>
      <c r="BF371" s="43" t="str">
        <f>IF(DATA_CLEANED!AK362&lt;&gt;DATA_CLEANED!AN362,"OK","ERREUR")</f>
        <v>OK</v>
      </c>
      <c r="BG371" s="43" t="str">
        <f>IF(DATA_CLEANED!AL362&gt;DATA_CLEANED!AM362,DATA_CLEANED!AK362,IF(AND(DATA_QUALITE!W4848="-",DATA_CLEANED!AM362=DATA_CLEANED!AL362),"MATCH NUL",IF(AND(DATA_QUALITE!V4848="-",DATA_QUALITE!U4848="AUCUNE"),DATA_QUALITE!T4848,IF(DATA_QUALITE!V4848&lt;&gt;"-",DATA_QUALITE!V4848,DATA_CLEANED!AN362))))</f>
        <v>Italy</v>
      </c>
      <c r="BH371" s="103" t="str">
        <f>IF(AND(BG371="MATCH NUL",DATA_CLEANED!AO362="-"),"MATCH_NUL",IF(ISNUMBER(SEARCH("win on penalties",W4848)),"WIN_BY_PENALTY",IF(ISNUMBER(SEARCH("win after extra time",W4848)),"WIN_BY_EXTRA_TIME",IF(ISNUMBER(SEARCH("Golden Goal",W4848)),"WIN_BY_GOLDEN_GOAL","WIN_BY_SCORE"))))</f>
        <v>WIN_BY_SCORE</v>
      </c>
      <c r="BI371" s="99" t="str">
        <f>IF(OR(BG371=DATA_CLEANED!AK362,BG371=DATA_CLEANED!AN362,BG371="MATCH NUL"),"OK","ERREUR")</f>
        <v>OK</v>
      </c>
    </row>
    <row r="372" spans="2:61">
      <c r="B372" s="74">
        <v>2022</v>
      </c>
      <c r="C372" s="30" t="str">
        <v>Round of 16</v>
      </c>
      <c r="D372" s="30" t="str">
        <v>Morocco</v>
      </c>
      <c r="E372" s="30" t="str">
        <v>Spain</v>
      </c>
      <c r="F372" s="30" t="str">
        <v>Morocco</v>
      </c>
      <c r="G372" s="30" t="str">
        <v>Achraf Hakimi</v>
      </c>
      <c r="H372" s="30" t="str">
        <v>Unai Simón</v>
      </c>
      <c r="I372" s="30">
        <v>7</v>
      </c>
      <c r="J372" s="30">
        <v>4</v>
      </c>
      <c r="K372" s="30" t="str">
        <v>'2-0</v>
      </c>
      <c r="L372" s="30" t="str">
        <v>No</v>
      </c>
      <c r="M372" s="30" t="str">
        <v>Yes</v>
      </c>
      <c r="N372" s="30" t="str">
        <v>Goal</v>
      </c>
      <c r="O372" s="30" t="str">
        <f t="shared" si="37"/>
        <v>2022|Round of 16|Morocco|Spain|Morocco|Achraf Hakimi|Unai Simón|7|4|'2-0|No|Yes|Goal</v>
      </c>
      <c r="P372" s="96" t="str">
        <f>IF(COUNTIF($G$32:O372,O372)&gt;1,"DOUBLON","OK")</f>
        <v>OK</v>
      </c>
      <c r="S372" s="30" t="str">
        <v>Argentina</v>
      </c>
      <c r="T372" s="30" t="str">
        <f t="shared" si="34"/>
        <v>OK</v>
      </c>
      <c r="U372" s="30" t="str">
        <f t="shared" si="35"/>
        <v>-</v>
      </c>
      <c r="V372" s="30" t="str" cm="1">
        <f t="array" ref="V372">_xlfn.IFS(
ISNUMBER(SEARCH("USA",S372)),"United States",
ISNUMBER(SEARCH("Republic of Korea",S372)),"South Korea",
ISNUMBER(SEARCH("Cape Verde",S372)),"Cabo Verde",
ISNUMBER(SEARCH("Czechia",S372)),"Czech Republic",
ISNUMBER(SEARCH("Türkiye",S372)),"Turkey",
ISNUMBER(SEARCH("Ivory Coast",S372)),"Côte d'Ivoire",
ISNUMBER(SEARCH("Korea Republic",S372)),"South Korea",
ISNUMBER(SEARCH("Germany FR",S372)),"FR Germany",
ISNUMBER(SEARCH("West Germany",S372)),"FR Germany",
ISNUMBER(SEARCH("Germany DR",S372)),"DR Germany",
ISNUMBER(SEARCH("Korea DPR",S372)),"North Korea",
ISNUMBER(SEARCH("China PR",S372)),"China",
ISNUMBER(SEARCH("IR Iran",S372)),"Iran",
ISNUMBER(SEARCH("Congo DR",S372)),"Democratic Republic of the Congo",
ISNUMBER(SEARCH("DR Congo",S372)),"Democratic Republic of the Congo",
ISNUMBER(SEARCH("German DR",S372)),"DR Germany",
ISNUMBER(SEARCH("rn""&gt;United Arab Emirates",S372)),"United Arab Emirates",
ISNUMBER(SEARCH("rn""&gt;Republic of Ireland",S372)),"Ireland",
ISNUMBER(SEARCH("rn""&gt;Bosnia and Herzegovina",S372)),"Bosnia and Herzegovina",
ISNUMBER(SEARCH("rn""&gt;Trinidad and Tobago",S372)),"Trinidad and Tobago",
ISNUMBER(SEARCH("rn""&gt;Serbia and Montenegro",S372)),"Serbia and Montenegro",
ISNUMBER(SEARCH(_xlfn.UNICHAR(65533),S372)),"Côte d'Ivoire",
TRUE,""
)</f>
        <v/>
      </c>
      <c r="W372" s="30" t="str">
        <f t="shared" si="36"/>
        <v>Argentina</v>
      </c>
      <c r="Z372" s="40" t="str">
        <v>Riazor</v>
      </c>
      <c r="AA372" s="40" t="str" cm="1">
        <f t="array" ref="AA372">IFERROR(_xlfn.XLOOKUP(Z372,_xlfn.ANCHORARRAY(Z$31),AA$31:AA$37),Z372)</f>
        <v>Riazor</v>
      </c>
      <c r="AB372" s="42" t="str">
        <v xml:space="preserve">La Coru�A </v>
      </c>
      <c r="AC372" s="89" t="str">
        <f t="shared" si="38"/>
        <v>La Coruña</v>
      </c>
      <c r="AE372" s="42">
        <v>1978</v>
      </c>
      <c r="AK372" s="42">
        <v>1</v>
      </c>
      <c r="AL372" s="42">
        <v>0</v>
      </c>
      <c r="AW372" s="89" t="str">
        <v>GROUP_STAGE</v>
      </c>
      <c r="BE372" s="43" t="str">
        <f>IF(OR(DATA_CLEANED!AL363="",DATA_CLEANED!AM363=""),"MANQUANT",IF(OR(NOT(ISNUMBER(DATA_CLEANED!AL363)),NOT(ISNUMBER(DATA_CLEANED!AM363))),"ENTREE INVALIDE",IF(OR(DATA_CLEANED!AL363&lt;0,DATA_CLEANED!AM363&lt;0),"SCORE NEGATIF","OK")))</f>
        <v>OK</v>
      </c>
      <c r="BF372" s="43" t="str">
        <f>IF(DATA_CLEANED!AK363&lt;&gt;DATA_CLEANED!AN363,"OK","ERREUR")</f>
        <v>OK</v>
      </c>
      <c r="BG372" s="43" t="str">
        <f>IF(DATA_CLEANED!AL363&gt;DATA_CLEANED!AM363,DATA_CLEANED!AK363,IF(AND(DATA_QUALITE!W4849="-",DATA_CLEANED!AM363=DATA_CLEANED!AL363),"MATCH NUL",IF(AND(DATA_QUALITE!V4849="-",DATA_QUALITE!U4849="AUCUNE"),DATA_QUALITE!T4849,IF(DATA_QUALITE!V4849&lt;&gt;"-",DATA_QUALITE!V4849,DATA_CLEANED!AN363))))</f>
        <v>MATCH NUL</v>
      </c>
      <c r="BH372" s="103" t="str">
        <f>IF(AND(BG372="MATCH NUL",DATA_CLEANED!AO363="-"),"MATCH_NUL",IF(ISNUMBER(SEARCH("win on penalties",W4849)),"WIN_BY_PENALTY",IF(ISNUMBER(SEARCH("win after extra time",W4849)),"WIN_BY_EXTRA_TIME",IF(ISNUMBER(SEARCH("Golden Goal",W4849)),"WIN_BY_GOLDEN_GOAL","WIN_BY_SCORE"))))</f>
        <v>MATCH_NUL</v>
      </c>
      <c r="BI372" s="99" t="str">
        <f>IF(OR(BG372=DATA_CLEANED!AK363,BG372=DATA_CLEANED!AN363,BG372="MATCH NUL"),"OK","ERREUR")</f>
        <v>OK</v>
      </c>
    </row>
    <row r="373" spans="2:61">
      <c r="B373" s="74">
        <v>2022</v>
      </c>
      <c r="C373" s="30" t="str">
        <v>Quarter-finals</v>
      </c>
      <c r="D373" s="30" t="str">
        <v>Croatia</v>
      </c>
      <c r="E373" s="30" t="str">
        <v>Brazil</v>
      </c>
      <c r="F373" s="30" t="str">
        <v>Croatia</v>
      </c>
      <c r="G373" s="30" t="str">
        <v>Nikola Vlašić</v>
      </c>
      <c r="H373" s="30" t="str">
        <v>Alisson</v>
      </c>
      <c r="I373" s="30">
        <v>1</v>
      </c>
      <c r="J373" s="30">
        <v>1</v>
      </c>
      <c r="K373" s="30" t="str">
        <v>'0-0</v>
      </c>
      <c r="L373" s="30" t="str">
        <v>No</v>
      </c>
      <c r="M373" s="30" t="str">
        <v>No</v>
      </c>
      <c r="N373" s="30" t="str">
        <v>Goal</v>
      </c>
      <c r="O373" s="30" t="str">
        <f t="shared" si="37"/>
        <v>2022|Quarter-finals|Croatia|Brazil|Croatia|Nikola Vlašić|Alisson|1|1|'0-0|No|No|Goal</v>
      </c>
      <c r="P373" s="96" t="str">
        <f>IF(COUNTIF($G$32:O373,O373)&gt;1,"DOUBLON","OK")</f>
        <v>OK</v>
      </c>
      <c r="S373" s="30" t="str">
        <v>Argentina</v>
      </c>
      <c r="T373" s="30" t="str">
        <f t="shared" si="34"/>
        <v>OK</v>
      </c>
      <c r="U373" s="30" t="str">
        <f t="shared" si="35"/>
        <v>-</v>
      </c>
      <c r="V373" s="30" t="str" cm="1">
        <f t="array" ref="V373">_xlfn.IFS(
ISNUMBER(SEARCH("USA",S373)),"United States",
ISNUMBER(SEARCH("Republic of Korea",S373)),"South Korea",
ISNUMBER(SEARCH("Cape Verde",S373)),"Cabo Verde",
ISNUMBER(SEARCH("Czechia",S373)),"Czech Republic",
ISNUMBER(SEARCH("Türkiye",S373)),"Turkey",
ISNUMBER(SEARCH("Ivory Coast",S373)),"Côte d'Ivoire",
ISNUMBER(SEARCH("Korea Republic",S373)),"South Korea",
ISNUMBER(SEARCH("Germany FR",S373)),"FR Germany",
ISNUMBER(SEARCH("West Germany",S373)),"FR Germany",
ISNUMBER(SEARCH("Germany DR",S373)),"DR Germany",
ISNUMBER(SEARCH("Korea DPR",S373)),"North Korea",
ISNUMBER(SEARCH("China PR",S373)),"China",
ISNUMBER(SEARCH("IR Iran",S373)),"Iran",
ISNUMBER(SEARCH("Congo DR",S373)),"Democratic Republic of the Congo",
ISNUMBER(SEARCH("DR Congo",S373)),"Democratic Republic of the Congo",
ISNUMBER(SEARCH("German DR",S373)),"DR Germany",
ISNUMBER(SEARCH("rn""&gt;United Arab Emirates",S373)),"United Arab Emirates",
ISNUMBER(SEARCH("rn""&gt;Republic of Ireland",S373)),"Ireland",
ISNUMBER(SEARCH("rn""&gt;Bosnia and Herzegovina",S373)),"Bosnia and Herzegovina",
ISNUMBER(SEARCH("rn""&gt;Trinidad and Tobago",S373)),"Trinidad and Tobago",
ISNUMBER(SEARCH("rn""&gt;Serbia and Montenegro",S373)),"Serbia and Montenegro",
ISNUMBER(SEARCH(_xlfn.UNICHAR(65533),S373)),"Côte d'Ivoire",
TRUE,""
)</f>
        <v/>
      </c>
      <c r="W373" s="30" t="str">
        <f t="shared" si="36"/>
        <v>Argentina</v>
      </c>
      <c r="Z373" s="40" t="str">
        <v>Nuevo Estadio</v>
      </c>
      <c r="AA373" s="40" t="str" cm="1">
        <f t="array" ref="AA373">IFERROR(_xlfn.XLOOKUP(Z373,_xlfn.ANCHORARRAY(Z$31),AA$31:AA$37),Z373)</f>
        <v>Nuevo Estadio</v>
      </c>
      <c r="AB373" s="42" t="str">
        <v xml:space="preserve">Elche </v>
      </c>
      <c r="AC373" s="89" t="str">
        <f t="shared" si="38"/>
        <v xml:space="preserve">Elche </v>
      </c>
      <c r="AE373" s="42">
        <v>1978</v>
      </c>
      <c r="AK373" s="42">
        <v>1</v>
      </c>
      <c r="AL373" s="42">
        <v>0</v>
      </c>
      <c r="AW373" s="89" t="str">
        <v>GROUP_STAGE</v>
      </c>
      <c r="BE373" s="43" t="str">
        <f>IF(OR(DATA_CLEANED!AL364="",DATA_CLEANED!AM364=""),"MANQUANT",IF(OR(NOT(ISNUMBER(DATA_CLEANED!AL364)),NOT(ISNUMBER(DATA_CLEANED!AM364))),"ENTREE INVALIDE",IF(OR(DATA_CLEANED!AL364&lt;0,DATA_CLEANED!AM364&lt;0),"SCORE NEGATIF","OK")))</f>
        <v>OK</v>
      </c>
      <c r="BF373" s="43" t="str">
        <f>IF(DATA_CLEANED!AK364&lt;&gt;DATA_CLEANED!AN364,"OK","ERREUR")</f>
        <v>OK</v>
      </c>
      <c r="BG373" s="43" t="str">
        <f>IF(DATA_CLEANED!AL364&gt;DATA_CLEANED!AM364,DATA_CLEANED!AK364,IF(AND(DATA_QUALITE!W4850="-",DATA_CLEANED!AM364=DATA_CLEANED!AL364),"MATCH NUL",IF(AND(DATA_QUALITE!V4850="-",DATA_QUALITE!U4850="AUCUNE"),DATA_QUALITE!T4850,IF(DATA_QUALITE!V4850&lt;&gt;"-",DATA_QUALITE!V4850,DATA_CLEANED!AN364))))</f>
        <v>France</v>
      </c>
      <c r="BH373" s="103" t="str">
        <f>IF(AND(BG373="MATCH NUL",DATA_CLEANED!AO364="-"),"MATCH_NUL",IF(ISNUMBER(SEARCH("win on penalties",W4850)),"WIN_BY_PENALTY",IF(ISNUMBER(SEARCH("win after extra time",W4850)),"WIN_BY_EXTRA_TIME",IF(ISNUMBER(SEARCH("Golden Goal",W4850)),"WIN_BY_GOLDEN_GOAL","WIN_BY_SCORE"))))</f>
        <v>WIN_BY_SCORE</v>
      </c>
      <c r="BI373" s="99" t="str">
        <f>IF(OR(BG373=DATA_CLEANED!AK364,BG373=DATA_CLEANED!AN364,BG373="MATCH NUL"),"OK","ERREUR")</f>
        <v>OK</v>
      </c>
    </row>
    <row r="374" spans="2:61">
      <c r="B374" s="74">
        <v>2022</v>
      </c>
      <c r="C374" s="30" t="str">
        <v>Quarter-finals</v>
      </c>
      <c r="D374" s="30" t="str">
        <v>Croatia</v>
      </c>
      <c r="E374" s="30" t="str">
        <v>Brazil</v>
      </c>
      <c r="F374" s="30" t="str">
        <v>Brazil</v>
      </c>
      <c r="G374" s="30" t="str">
        <v>Rodrygo</v>
      </c>
      <c r="H374" s="30" t="str">
        <v>Dominik Livaković</v>
      </c>
      <c r="I374" s="30">
        <v>2</v>
      </c>
      <c r="J374" s="30">
        <v>1</v>
      </c>
      <c r="K374" s="30" t="str">
        <v>'1-0</v>
      </c>
      <c r="L374" s="30" t="str">
        <v>No</v>
      </c>
      <c r="M374" s="30" t="str">
        <v>No</v>
      </c>
      <c r="N374" s="30" t="str">
        <v>Saved</v>
      </c>
      <c r="O374" s="30" t="str">
        <f t="shared" si="37"/>
        <v>2022|Quarter-finals|Croatia|Brazil|Brazil|Rodrygo|Dominik Livaković|2|1|'1-0|No|No|Saved</v>
      </c>
      <c r="P374" s="96" t="str">
        <f>IF(COUNTIF($G$32:O374,O374)&gt;1,"DOUBLON","OK")</f>
        <v>OK</v>
      </c>
      <c r="S374" s="30" t="str">
        <v>Argentina</v>
      </c>
      <c r="T374" s="30" t="str">
        <f t="shared" si="34"/>
        <v>OK</v>
      </c>
      <c r="U374" s="30" t="str">
        <f t="shared" si="35"/>
        <v>-</v>
      </c>
      <c r="V374" s="30" t="str" cm="1">
        <f t="array" ref="V374">_xlfn.IFS(
ISNUMBER(SEARCH("USA",S374)),"United States",
ISNUMBER(SEARCH("Republic of Korea",S374)),"South Korea",
ISNUMBER(SEARCH("Cape Verde",S374)),"Cabo Verde",
ISNUMBER(SEARCH("Czechia",S374)),"Czech Republic",
ISNUMBER(SEARCH("Türkiye",S374)),"Turkey",
ISNUMBER(SEARCH("Ivory Coast",S374)),"Côte d'Ivoire",
ISNUMBER(SEARCH("Korea Republic",S374)),"South Korea",
ISNUMBER(SEARCH("Germany FR",S374)),"FR Germany",
ISNUMBER(SEARCH("West Germany",S374)),"FR Germany",
ISNUMBER(SEARCH("Germany DR",S374)),"DR Germany",
ISNUMBER(SEARCH("Korea DPR",S374)),"North Korea",
ISNUMBER(SEARCH("China PR",S374)),"China",
ISNUMBER(SEARCH("IR Iran",S374)),"Iran",
ISNUMBER(SEARCH("Congo DR",S374)),"Democratic Republic of the Congo",
ISNUMBER(SEARCH("DR Congo",S374)),"Democratic Republic of the Congo",
ISNUMBER(SEARCH("German DR",S374)),"DR Germany",
ISNUMBER(SEARCH("rn""&gt;United Arab Emirates",S374)),"United Arab Emirates",
ISNUMBER(SEARCH("rn""&gt;Republic of Ireland",S374)),"Ireland",
ISNUMBER(SEARCH("rn""&gt;Bosnia and Herzegovina",S374)),"Bosnia and Herzegovina",
ISNUMBER(SEARCH("rn""&gt;Trinidad and Tobago",S374)),"Trinidad and Tobago",
ISNUMBER(SEARCH("rn""&gt;Serbia and Montenegro",S374)),"Serbia and Montenegro",
ISNUMBER(SEARCH(_xlfn.UNICHAR(65533),S374)),"Côte d'Ivoire",
TRUE,""
)</f>
        <v/>
      </c>
      <c r="W374" s="30" t="str">
        <f t="shared" si="36"/>
        <v>Argentina</v>
      </c>
      <c r="Z374" s="40" t="str">
        <v>La Rosaleda</v>
      </c>
      <c r="AA374" s="40" t="str" cm="1">
        <f t="array" ref="AA374">IFERROR(_xlfn.XLOOKUP(Z374,_xlfn.ANCHORARRAY(Z$31),AA$31:AA$37),Z374)</f>
        <v>La Rosaleda</v>
      </c>
      <c r="AB374" s="42" t="str">
        <v xml:space="preserve">Malaga </v>
      </c>
      <c r="AC374" s="89" t="str">
        <f t="shared" si="38"/>
        <v xml:space="preserve">Malaga </v>
      </c>
      <c r="AE374" s="42">
        <v>1978</v>
      </c>
      <c r="AK374" s="42">
        <v>1</v>
      </c>
      <c r="AL374" s="42">
        <v>0</v>
      </c>
      <c r="AW374" s="89" t="str">
        <v>GROUP_STAGE</v>
      </c>
      <c r="BE374" s="43" t="str">
        <f>IF(OR(DATA_CLEANED!AL365="",DATA_CLEANED!AM365=""),"MANQUANT",IF(OR(NOT(ISNUMBER(DATA_CLEANED!AL365)),NOT(ISNUMBER(DATA_CLEANED!AM365))),"ENTREE INVALIDE",IF(OR(DATA_CLEANED!AL365&lt;0,DATA_CLEANED!AM365&lt;0),"SCORE NEGATIF","OK")))</f>
        <v>OK</v>
      </c>
      <c r="BF374" s="43" t="str">
        <f>IF(DATA_CLEANED!AK365&lt;&gt;DATA_CLEANED!AN365,"OK","ERREUR")</f>
        <v>OK</v>
      </c>
      <c r="BG374" s="43" t="str">
        <f>IF(DATA_CLEANED!AL365&gt;DATA_CLEANED!AM365,DATA_CLEANED!AK365,IF(AND(DATA_QUALITE!W4851="-",DATA_CLEANED!AM365=DATA_CLEANED!AL365),"MATCH NUL",IF(AND(DATA_QUALITE!V4851="-",DATA_QUALITE!U4851="AUCUNE"),DATA_QUALITE!T4851,IF(DATA_QUALITE!V4851&lt;&gt;"-",DATA_QUALITE!V4851,DATA_CLEANED!AN365))))</f>
        <v>Brazil</v>
      </c>
      <c r="BH374" s="103" t="str">
        <f>IF(AND(BG374="MATCH NUL",DATA_CLEANED!AO365="-"),"MATCH_NUL",IF(ISNUMBER(SEARCH("win on penalties",W4851)),"WIN_BY_PENALTY",IF(ISNUMBER(SEARCH("win after extra time",W4851)),"WIN_BY_EXTRA_TIME",IF(ISNUMBER(SEARCH("Golden Goal",W4851)),"WIN_BY_GOLDEN_GOAL","WIN_BY_SCORE"))))</f>
        <v>WIN_BY_SCORE</v>
      </c>
      <c r="BI374" s="99" t="str">
        <f>IF(OR(BG374=DATA_CLEANED!AK365,BG374=DATA_CLEANED!AN365,BG374="MATCH NUL"),"OK","ERREUR")</f>
        <v>OK</v>
      </c>
    </row>
    <row r="375" spans="2:61">
      <c r="B375" s="74">
        <v>2022</v>
      </c>
      <c r="C375" s="30" t="str">
        <v>Quarter-finals</v>
      </c>
      <c r="D375" s="30" t="str">
        <v>Croatia</v>
      </c>
      <c r="E375" s="30" t="str">
        <v>Brazil</v>
      </c>
      <c r="F375" s="30" t="str">
        <v>Croatia</v>
      </c>
      <c r="G375" s="30" t="str">
        <v>Lovro Majer</v>
      </c>
      <c r="H375" s="30" t="str">
        <v>Alisson</v>
      </c>
      <c r="I375" s="30">
        <v>3</v>
      </c>
      <c r="J375" s="30">
        <v>2</v>
      </c>
      <c r="K375" s="30" t="str">
        <v>'1-0</v>
      </c>
      <c r="L375" s="30" t="str">
        <v>No</v>
      </c>
      <c r="M375" s="30" t="str">
        <v>No</v>
      </c>
      <c r="N375" s="30" t="str">
        <v>Goal</v>
      </c>
      <c r="O375" s="30" t="str">
        <f t="shared" si="37"/>
        <v>2022|Quarter-finals|Croatia|Brazil|Croatia|Lovro Majer|Alisson|3|2|'1-0|No|No|Goal</v>
      </c>
      <c r="P375" s="96" t="str">
        <f>IF(COUNTIF($G$32:O375,O375)&gt;1,"DOUBLON","OK")</f>
        <v>OK</v>
      </c>
      <c r="S375" s="30" t="str">
        <v>Argentina</v>
      </c>
      <c r="T375" s="30" t="str">
        <f t="shared" si="34"/>
        <v>OK</v>
      </c>
      <c r="U375" s="30" t="str">
        <f t="shared" si="35"/>
        <v>-</v>
      </c>
      <c r="V375" s="30" t="str" cm="1">
        <f t="array" ref="V375">_xlfn.IFS(
ISNUMBER(SEARCH("USA",S375)),"United States",
ISNUMBER(SEARCH("Republic of Korea",S375)),"South Korea",
ISNUMBER(SEARCH("Cape Verde",S375)),"Cabo Verde",
ISNUMBER(SEARCH("Czechia",S375)),"Czech Republic",
ISNUMBER(SEARCH("Türkiye",S375)),"Turkey",
ISNUMBER(SEARCH("Ivory Coast",S375)),"Côte d'Ivoire",
ISNUMBER(SEARCH("Korea Republic",S375)),"South Korea",
ISNUMBER(SEARCH("Germany FR",S375)),"FR Germany",
ISNUMBER(SEARCH("West Germany",S375)),"FR Germany",
ISNUMBER(SEARCH("Germany DR",S375)),"DR Germany",
ISNUMBER(SEARCH("Korea DPR",S375)),"North Korea",
ISNUMBER(SEARCH("China PR",S375)),"China",
ISNUMBER(SEARCH("IR Iran",S375)),"Iran",
ISNUMBER(SEARCH("Congo DR",S375)),"Democratic Republic of the Congo",
ISNUMBER(SEARCH("DR Congo",S375)),"Democratic Republic of the Congo",
ISNUMBER(SEARCH("German DR",S375)),"DR Germany",
ISNUMBER(SEARCH("rn""&gt;United Arab Emirates",S375)),"United Arab Emirates",
ISNUMBER(SEARCH("rn""&gt;Republic of Ireland",S375)),"Ireland",
ISNUMBER(SEARCH("rn""&gt;Bosnia and Herzegovina",S375)),"Bosnia and Herzegovina",
ISNUMBER(SEARCH("rn""&gt;Trinidad and Tobago",S375)),"Trinidad and Tobago",
ISNUMBER(SEARCH("rn""&gt;Serbia and Montenegro",S375)),"Serbia and Montenegro",
ISNUMBER(SEARCH(_xlfn.UNICHAR(65533),S375)),"Côte d'Ivoire",
TRUE,""
)</f>
        <v/>
      </c>
      <c r="W375" s="30" t="str">
        <f t="shared" si="36"/>
        <v>Argentina</v>
      </c>
      <c r="Z375" s="40" t="str">
        <v>Estadio Municipal de Bala�dos</v>
      </c>
      <c r="AA375" s="40" t="str" cm="1">
        <f t="array" ref="AA375">IFERROR(_xlfn.XLOOKUP(Z375,_xlfn.ANCHORARRAY(Z$31),AA$31:AA$37),Z375)</f>
        <v>Estadio Municipal de Balaídos</v>
      </c>
      <c r="AB375" s="42" t="str">
        <v xml:space="preserve">Vigo </v>
      </c>
      <c r="AC375" s="89" t="str">
        <f t="shared" si="38"/>
        <v xml:space="preserve">Vigo </v>
      </c>
      <c r="AE375" s="42">
        <v>1978</v>
      </c>
      <c r="AK375" s="42">
        <v>4</v>
      </c>
      <c r="AL375" s="42">
        <v>1</v>
      </c>
      <c r="AW375" s="89" t="str">
        <v>GROUP_STAGE</v>
      </c>
      <c r="BE375" s="43" t="str">
        <f>IF(OR(DATA_CLEANED!AL366="",DATA_CLEANED!AM366=""),"MANQUANT",IF(OR(NOT(ISNUMBER(DATA_CLEANED!AL366)),NOT(ISNUMBER(DATA_CLEANED!AM366))),"ENTREE INVALIDE",IF(OR(DATA_CLEANED!AL366&lt;0,DATA_CLEANED!AM366&lt;0),"SCORE NEGATIF","OK")))</f>
        <v>OK</v>
      </c>
      <c r="BF375" s="43" t="str">
        <f>IF(DATA_CLEANED!AK366&lt;&gt;DATA_CLEANED!AN366,"OK","ERREUR")</f>
        <v>OK</v>
      </c>
      <c r="BG375" s="43" t="str">
        <f>IF(DATA_CLEANED!AL366&gt;DATA_CLEANED!AM366,DATA_CLEANED!AK366,IF(AND(DATA_QUALITE!W4852="-",DATA_CLEANED!AM366=DATA_CLEANED!AL366),"MATCH NUL",IF(AND(DATA_QUALITE!V4852="-",DATA_QUALITE!U4852="AUCUNE"),DATA_QUALITE!T4852,IF(DATA_QUALITE!V4852&lt;&gt;"-",DATA_QUALITE!V4852,DATA_CLEANED!AN366))))</f>
        <v>Soviet Union</v>
      </c>
      <c r="BH375" s="103" t="str">
        <f>IF(AND(BG375="MATCH NUL",DATA_CLEANED!AO366="-"),"MATCH_NUL",IF(ISNUMBER(SEARCH("win on penalties",W4852)),"WIN_BY_PENALTY",IF(ISNUMBER(SEARCH("win after extra time",W4852)),"WIN_BY_EXTRA_TIME",IF(ISNUMBER(SEARCH("Golden Goal",W4852)),"WIN_BY_GOLDEN_GOAL","WIN_BY_SCORE"))))</f>
        <v>WIN_BY_SCORE</v>
      </c>
      <c r="BI375" s="99" t="str">
        <f>IF(OR(BG375=DATA_CLEANED!AK366,BG375=DATA_CLEANED!AN366,BG375="MATCH NUL"),"OK","ERREUR")</f>
        <v>OK</v>
      </c>
    </row>
    <row r="376" spans="2:61">
      <c r="B376" s="74">
        <v>2022</v>
      </c>
      <c r="C376" s="30" t="str">
        <v>Quarter-finals</v>
      </c>
      <c r="D376" s="30" t="str">
        <v>Croatia</v>
      </c>
      <c r="E376" s="30" t="str">
        <v>Brazil</v>
      </c>
      <c r="F376" s="30" t="str">
        <v>Brazil</v>
      </c>
      <c r="G376" s="30" t="str">
        <v>Casemiro</v>
      </c>
      <c r="H376" s="30" t="str">
        <v>Dominik Livaković</v>
      </c>
      <c r="I376" s="30">
        <v>4</v>
      </c>
      <c r="J376" s="30">
        <v>2</v>
      </c>
      <c r="K376" s="30" t="str">
        <v>'2-0</v>
      </c>
      <c r="L376" s="30" t="str">
        <v>No</v>
      </c>
      <c r="M376" s="30" t="str">
        <v>No</v>
      </c>
      <c r="N376" s="30" t="str">
        <v>Goal</v>
      </c>
      <c r="O376" s="30" t="str">
        <f t="shared" si="37"/>
        <v>2022|Quarter-finals|Croatia|Brazil|Brazil|Casemiro|Dominik Livaković|4|2|'2-0|No|No|Goal</v>
      </c>
      <c r="P376" s="96" t="str">
        <f>IF(COUNTIF($G$32:O376,O376)&gt;1,"DOUBLON","OK")</f>
        <v>OK</v>
      </c>
      <c r="S376" s="30" t="str">
        <v>Argentina</v>
      </c>
      <c r="T376" s="30" t="str">
        <f t="shared" si="34"/>
        <v>OK</v>
      </c>
      <c r="U376" s="30" t="str">
        <f t="shared" si="35"/>
        <v>-</v>
      </c>
      <c r="V376" s="30" t="str" cm="1">
        <f t="array" ref="V376">_xlfn.IFS(
ISNUMBER(SEARCH("USA",S376)),"United States",
ISNUMBER(SEARCH("Republic of Korea",S376)),"South Korea",
ISNUMBER(SEARCH("Cape Verde",S376)),"Cabo Verde",
ISNUMBER(SEARCH("Czechia",S376)),"Czech Republic",
ISNUMBER(SEARCH("Türkiye",S376)),"Turkey",
ISNUMBER(SEARCH("Ivory Coast",S376)),"Côte d'Ivoire",
ISNUMBER(SEARCH("Korea Republic",S376)),"South Korea",
ISNUMBER(SEARCH("Germany FR",S376)),"FR Germany",
ISNUMBER(SEARCH("West Germany",S376)),"FR Germany",
ISNUMBER(SEARCH("Germany DR",S376)),"DR Germany",
ISNUMBER(SEARCH("Korea DPR",S376)),"North Korea",
ISNUMBER(SEARCH("China PR",S376)),"China",
ISNUMBER(SEARCH("IR Iran",S376)),"Iran",
ISNUMBER(SEARCH("Congo DR",S376)),"Democratic Republic of the Congo",
ISNUMBER(SEARCH("DR Congo",S376)),"Democratic Republic of the Congo",
ISNUMBER(SEARCH("German DR",S376)),"DR Germany",
ISNUMBER(SEARCH("rn""&gt;United Arab Emirates",S376)),"United Arab Emirates",
ISNUMBER(SEARCH("rn""&gt;Republic of Ireland",S376)),"Ireland",
ISNUMBER(SEARCH("rn""&gt;Bosnia and Herzegovina",S376)),"Bosnia and Herzegovina",
ISNUMBER(SEARCH("rn""&gt;Trinidad and Tobago",S376)),"Trinidad and Tobago",
ISNUMBER(SEARCH("rn""&gt;Serbia and Montenegro",S376)),"Serbia and Montenegro",
ISNUMBER(SEARCH(_xlfn.UNICHAR(65533),S376)),"Côte d'Ivoire",
TRUE,""
)</f>
        <v/>
      </c>
      <c r="W376" s="30" t="str">
        <f t="shared" si="36"/>
        <v>Argentina</v>
      </c>
      <c r="Z376" s="40" t="str">
        <v>Jose Rico Perez</v>
      </c>
      <c r="AA376" s="40" t="str" cm="1">
        <f t="array" ref="AA376">IFERROR(_xlfn.XLOOKUP(Z376,_xlfn.ANCHORARRAY(Z$31),AA$31:AA$37),Z376)</f>
        <v>Jose Rico Perez</v>
      </c>
      <c r="AB376" s="42" t="str">
        <v xml:space="preserve">Alicante </v>
      </c>
      <c r="AC376" s="89" t="str">
        <f t="shared" si="38"/>
        <v xml:space="preserve">Alicante </v>
      </c>
      <c r="AE376" s="42">
        <v>1978</v>
      </c>
      <c r="AK376" s="42">
        <v>3</v>
      </c>
      <c r="AL376" s="42">
        <v>2</v>
      </c>
      <c r="AW376" s="89" t="str">
        <v>GROUP_STAGE</v>
      </c>
      <c r="BE376" s="43" t="str">
        <f>IF(OR(DATA_CLEANED!AL367="",DATA_CLEANED!AM367=""),"MANQUANT",IF(OR(NOT(ISNUMBER(DATA_CLEANED!AL367)),NOT(ISNUMBER(DATA_CLEANED!AM367))),"ENTREE INVALIDE",IF(OR(DATA_CLEANED!AL367&lt;0,DATA_CLEANED!AM367&lt;0),"SCORE NEGATIF","OK")))</f>
        <v>OK</v>
      </c>
      <c r="BF376" s="43" t="str">
        <f>IF(DATA_CLEANED!AK367&lt;&gt;DATA_CLEANED!AN367,"OK","ERREUR")</f>
        <v>OK</v>
      </c>
      <c r="BG376" s="43" t="str">
        <f>IF(DATA_CLEANED!AL367&gt;DATA_CLEANED!AM367,DATA_CLEANED!AK367,IF(AND(DATA_QUALITE!W4853="-",DATA_CLEANED!AM367=DATA_CLEANED!AL367),"MATCH NUL",IF(AND(DATA_QUALITE!V4853="-",DATA_QUALITE!U4853="AUCUNE"),DATA_QUALITE!T4853,IF(DATA_QUALITE!V4853&lt;&gt;"-",DATA_QUALITE!V4853,DATA_CLEANED!AN367))))</f>
        <v>Argentina</v>
      </c>
      <c r="BH376" s="103" t="str">
        <f>IF(AND(BG376="MATCH NUL",DATA_CLEANED!AO367="-"),"MATCH_NUL",IF(ISNUMBER(SEARCH("win on penalties",W4853)),"WIN_BY_PENALTY",IF(ISNUMBER(SEARCH("win after extra time",W4853)),"WIN_BY_EXTRA_TIME",IF(ISNUMBER(SEARCH("Golden Goal",W4853)),"WIN_BY_GOLDEN_GOAL","WIN_BY_SCORE"))))</f>
        <v>WIN_BY_SCORE</v>
      </c>
      <c r="BI376" s="99" t="str">
        <f>IF(OR(BG376=DATA_CLEANED!AK367,BG376=DATA_CLEANED!AN367,BG376="MATCH NUL"),"OK","ERREUR")</f>
        <v>OK</v>
      </c>
    </row>
    <row r="377" spans="2:61">
      <c r="B377" s="74">
        <v>2022</v>
      </c>
      <c r="C377" s="30" t="str">
        <v>Quarter-finals</v>
      </c>
      <c r="D377" s="30" t="str">
        <v>Croatia</v>
      </c>
      <c r="E377" s="30" t="str">
        <v>Brazil</v>
      </c>
      <c r="F377" s="30" t="str">
        <v>Croatia</v>
      </c>
      <c r="G377" s="30" t="str">
        <v>Luka Modrić</v>
      </c>
      <c r="H377" s="30" t="str">
        <v>Alisson</v>
      </c>
      <c r="I377" s="30">
        <v>5</v>
      </c>
      <c r="J377" s="30">
        <v>3</v>
      </c>
      <c r="K377" s="30" t="str">
        <v>'1-2</v>
      </c>
      <c r="L377" s="30" t="str">
        <v>No</v>
      </c>
      <c r="M377" s="30" t="str">
        <v>No</v>
      </c>
      <c r="N377" s="30" t="str">
        <v>Goal</v>
      </c>
      <c r="O377" s="30" t="str">
        <f t="shared" si="37"/>
        <v>2022|Quarter-finals|Croatia|Brazil|Croatia|Luka Modrić|Alisson|5|3|'1-2|No|No|Goal</v>
      </c>
      <c r="P377" s="96" t="str">
        <f>IF(COUNTIF($G$32:O377,O377)&gt;1,"DOUBLON","OK")</f>
        <v>OK</v>
      </c>
      <c r="S377" s="30" t="str">
        <v>Argentina</v>
      </c>
      <c r="T377" s="30" t="str">
        <f t="shared" si="34"/>
        <v>OK</v>
      </c>
      <c r="U377" s="30" t="str">
        <f t="shared" si="35"/>
        <v>-</v>
      </c>
      <c r="V377" s="30" t="str" cm="1">
        <f t="array" ref="V377">_xlfn.IFS(
ISNUMBER(SEARCH("USA",S377)),"United States",
ISNUMBER(SEARCH("Republic of Korea",S377)),"South Korea",
ISNUMBER(SEARCH("Cape Verde",S377)),"Cabo Verde",
ISNUMBER(SEARCH("Czechia",S377)),"Czech Republic",
ISNUMBER(SEARCH("Türkiye",S377)),"Turkey",
ISNUMBER(SEARCH("Ivory Coast",S377)),"Côte d'Ivoire",
ISNUMBER(SEARCH("Korea Republic",S377)),"South Korea",
ISNUMBER(SEARCH("Germany FR",S377)),"FR Germany",
ISNUMBER(SEARCH("West Germany",S377)),"FR Germany",
ISNUMBER(SEARCH("Germany DR",S377)),"DR Germany",
ISNUMBER(SEARCH("Korea DPR",S377)),"North Korea",
ISNUMBER(SEARCH("China PR",S377)),"China",
ISNUMBER(SEARCH("IR Iran",S377)),"Iran",
ISNUMBER(SEARCH("Congo DR",S377)),"Democratic Republic of the Congo",
ISNUMBER(SEARCH("DR Congo",S377)),"Democratic Republic of the Congo",
ISNUMBER(SEARCH("German DR",S377)),"DR Germany",
ISNUMBER(SEARCH("rn""&gt;United Arab Emirates",S377)),"United Arab Emirates",
ISNUMBER(SEARCH("rn""&gt;Republic of Ireland",S377)),"Ireland",
ISNUMBER(SEARCH("rn""&gt;Bosnia and Herzegovina",S377)),"Bosnia and Herzegovina",
ISNUMBER(SEARCH("rn""&gt;Trinidad and Tobago",S377)),"Trinidad and Tobago",
ISNUMBER(SEARCH("rn""&gt;Serbia and Montenegro",S377)),"Serbia and Montenegro",
ISNUMBER(SEARCH(_xlfn.UNICHAR(65533),S377)),"Côte d'Ivoire",
TRUE,""
)</f>
        <v/>
      </c>
      <c r="W377" s="30" t="str">
        <f t="shared" si="36"/>
        <v>Argentina</v>
      </c>
      <c r="Z377" s="40" t="str">
        <v>Benito Villamarin</v>
      </c>
      <c r="AA377" s="40" t="str" cm="1">
        <f t="array" ref="AA377">IFERROR(_xlfn.XLOOKUP(Z377,_xlfn.ANCHORARRAY(Z$31),AA$31:AA$37),Z377)</f>
        <v>Benito Villamarin</v>
      </c>
      <c r="AB377" s="42" t="str">
        <v xml:space="preserve">Seville </v>
      </c>
      <c r="AC377" s="89" t="str">
        <f t="shared" si="38"/>
        <v xml:space="preserve">Seville </v>
      </c>
      <c r="AE377" s="42">
        <v>1978</v>
      </c>
      <c r="AK377" s="42">
        <v>0</v>
      </c>
      <c r="AL377" s="42">
        <v>0</v>
      </c>
      <c r="AW377" s="89" t="str">
        <v>GROUP_STAGE</v>
      </c>
      <c r="BE377" s="43" t="str">
        <f>IF(OR(DATA_CLEANED!AL368="",DATA_CLEANED!AM368=""),"MANQUANT",IF(OR(NOT(ISNUMBER(DATA_CLEANED!AL368)),NOT(ISNUMBER(DATA_CLEANED!AM368))),"ENTREE INVALIDE",IF(OR(DATA_CLEANED!AL368&lt;0,DATA_CLEANED!AM368&lt;0),"SCORE NEGATIF","OK")))</f>
        <v>OK</v>
      </c>
      <c r="BF377" s="43" t="str">
        <f>IF(DATA_CLEANED!AK368&lt;&gt;DATA_CLEANED!AN368,"OK","ERREUR")</f>
        <v>OK</v>
      </c>
      <c r="BG377" s="43" t="str">
        <f>IF(DATA_CLEANED!AL368&gt;DATA_CLEANED!AM368,DATA_CLEANED!AK368,IF(AND(DATA_QUALITE!W4854="-",DATA_CLEANED!AM368=DATA_CLEANED!AL368),"MATCH NUL",IF(AND(DATA_QUALITE!V4854="-",DATA_QUALITE!U4854="AUCUNE"),DATA_QUALITE!T4854,IF(DATA_QUALITE!V4854&lt;&gt;"-",DATA_QUALITE!V4854,DATA_CLEANED!AN368))))</f>
        <v>MATCH NUL</v>
      </c>
      <c r="BH377" s="103" t="str">
        <f>IF(AND(BG377="MATCH NUL",DATA_CLEANED!AO368="-"),"MATCH_NUL",IF(ISNUMBER(SEARCH("win on penalties",W4854)),"WIN_BY_PENALTY",IF(ISNUMBER(SEARCH("win after extra time",W4854)),"WIN_BY_EXTRA_TIME",IF(ISNUMBER(SEARCH("Golden Goal",W4854)),"WIN_BY_GOLDEN_GOAL","WIN_BY_SCORE"))))</f>
        <v>MATCH_NUL</v>
      </c>
      <c r="BI377" s="99" t="str">
        <f>IF(OR(BG377=DATA_CLEANED!AK368,BG377=DATA_CLEANED!AN368,BG377="MATCH NUL"),"OK","ERREUR")</f>
        <v>OK</v>
      </c>
    </row>
    <row r="378" spans="2:61">
      <c r="B378" s="74">
        <v>2022</v>
      </c>
      <c r="C378" s="30" t="str">
        <v>Quarter-finals</v>
      </c>
      <c r="D378" s="30" t="str">
        <v>Croatia</v>
      </c>
      <c r="E378" s="30" t="str">
        <v>Brazil</v>
      </c>
      <c r="F378" s="30" t="str">
        <v>Brazil</v>
      </c>
      <c r="G378" s="30" t="str">
        <v>Pedro</v>
      </c>
      <c r="H378" s="30" t="str">
        <v>Dominik Livaković</v>
      </c>
      <c r="I378" s="30">
        <v>6</v>
      </c>
      <c r="J378" s="30">
        <v>3</v>
      </c>
      <c r="K378" s="30" t="str">
        <v>'1-3</v>
      </c>
      <c r="L378" s="30" t="str">
        <v>No</v>
      </c>
      <c r="M378" s="30" t="str">
        <v>No</v>
      </c>
      <c r="N378" s="30" t="str">
        <v>Goal</v>
      </c>
      <c r="O378" s="30" t="str">
        <f t="shared" si="37"/>
        <v>2022|Quarter-finals|Croatia|Brazil|Brazil|Pedro|Dominik Livaković|6|3|'1-3|No|No|Goal</v>
      </c>
      <c r="P378" s="96" t="str">
        <f>IF(COUNTIF($G$32:O378,O378)&gt;1,"DOUBLON","OK")</f>
        <v>OK</v>
      </c>
      <c r="S378" s="30" t="str">
        <v>Argentina</v>
      </c>
      <c r="T378" s="30" t="str">
        <f t="shared" si="34"/>
        <v>OK</v>
      </c>
      <c r="U378" s="30" t="str">
        <f t="shared" si="35"/>
        <v>-</v>
      </c>
      <c r="V378" s="30" t="str" cm="1">
        <f t="array" ref="V378">_xlfn.IFS(
ISNUMBER(SEARCH("USA",S378)),"United States",
ISNUMBER(SEARCH("Republic of Korea",S378)),"South Korea",
ISNUMBER(SEARCH("Cape Verde",S378)),"Cabo Verde",
ISNUMBER(SEARCH("Czechia",S378)),"Czech Republic",
ISNUMBER(SEARCH("Türkiye",S378)),"Turkey",
ISNUMBER(SEARCH("Ivory Coast",S378)),"Côte d'Ivoire",
ISNUMBER(SEARCH("Korea Republic",S378)),"South Korea",
ISNUMBER(SEARCH("Germany FR",S378)),"FR Germany",
ISNUMBER(SEARCH("West Germany",S378)),"FR Germany",
ISNUMBER(SEARCH("Germany DR",S378)),"DR Germany",
ISNUMBER(SEARCH("Korea DPR",S378)),"North Korea",
ISNUMBER(SEARCH("China PR",S378)),"China",
ISNUMBER(SEARCH("IR Iran",S378)),"Iran",
ISNUMBER(SEARCH("Congo DR",S378)),"Democratic Republic of the Congo",
ISNUMBER(SEARCH("DR Congo",S378)),"Democratic Republic of the Congo",
ISNUMBER(SEARCH("German DR",S378)),"DR Germany",
ISNUMBER(SEARCH("rn""&gt;United Arab Emirates",S378)),"United Arab Emirates",
ISNUMBER(SEARCH("rn""&gt;Republic of Ireland",S378)),"Ireland",
ISNUMBER(SEARCH("rn""&gt;Bosnia and Herzegovina",S378)),"Bosnia and Herzegovina",
ISNUMBER(SEARCH("rn""&gt;Trinidad and Tobago",S378)),"Trinidad and Tobago",
ISNUMBER(SEARCH("rn""&gt;Serbia and Montenegro",S378)),"Serbia and Montenegro",
ISNUMBER(SEARCH(_xlfn.UNICHAR(65533),S378)),"Côte d'Ivoire",
TRUE,""
)</f>
        <v/>
      </c>
      <c r="W378" s="30" t="str">
        <f t="shared" si="36"/>
        <v>Argentina</v>
      </c>
      <c r="Z378" s="40" t="str">
        <v>Carlos Tartiere</v>
      </c>
      <c r="AA378" s="40" t="str" cm="1">
        <f t="array" ref="AA378">IFERROR(_xlfn.XLOOKUP(Z378,_xlfn.ANCHORARRAY(Z$31),AA$31:AA$37),Z378)</f>
        <v>Carlos Tartiere</v>
      </c>
      <c r="AB378" s="42" t="str">
        <v xml:space="preserve">Oviedo </v>
      </c>
      <c r="AC378" s="89" t="str">
        <f t="shared" si="38"/>
        <v xml:space="preserve">Oviedo </v>
      </c>
      <c r="AE378" s="42">
        <v>1978</v>
      </c>
      <c r="AK378" s="42">
        <v>5</v>
      </c>
      <c r="AL378" s="42">
        <v>1</v>
      </c>
      <c r="AW378" s="89" t="str">
        <v>GROUP_STAGE</v>
      </c>
      <c r="BE378" s="43" t="str">
        <f>IF(OR(DATA_CLEANED!AL369="",DATA_CLEANED!AM369=""),"MANQUANT",IF(OR(NOT(ISNUMBER(DATA_CLEANED!AL369)),NOT(ISNUMBER(DATA_CLEANED!AM369))),"ENTREE INVALIDE",IF(OR(DATA_CLEANED!AL369&lt;0,DATA_CLEANED!AM369&lt;0),"SCORE NEGATIF","OK")))</f>
        <v>OK</v>
      </c>
      <c r="BF378" s="43" t="str">
        <f>IF(DATA_CLEANED!AK369&lt;&gt;DATA_CLEANED!AN369,"OK","ERREUR")</f>
        <v>OK</v>
      </c>
      <c r="BG378" s="43" t="str">
        <f>IF(DATA_CLEANED!AL369&gt;DATA_CLEANED!AM369,DATA_CLEANED!AK369,IF(AND(DATA_QUALITE!W4855="-",DATA_CLEANED!AM369=DATA_CLEANED!AL369),"MATCH NUL",IF(AND(DATA_QUALITE!V4855="-",DATA_QUALITE!U4855="AUCUNE"),DATA_QUALITE!T4855,IF(DATA_QUALITE!V4855&lt;&gt;"-",DATA_QUALITE!V4855,DATA_CLEANED!AN369))))</f>
        <v>MATCH NUL</v>
      </c>
      <c r="BH378" s="103" t="str">
        <f>IF(AND(BG378="MATCH NUL",DATA_CLEANED!AO369="-"),"MATCH_NUL",IF(ISNUMBER(SEARCH("win on penalties",W4855)),"WIN_BY_PENALTY",IF(ISNUMBER(SEARCH("win after extra time",W4855)),"WIN_BY_EXTRA_TIME",IF(ISNUMBER(SEARCH("Golden Goal",W4855)),"WIN_BY_GOLDEN_GOAL","WIN_BY_SCORE"))))</f>
        <v>MATCH_NUL</v>
      </c>
      <c r="BI378" s="99" t="str">
        <f>IF(OR(BG378=DATA_CLEANED!AK369,BG378=DATA_CLEANED!AN369,BG378="MATCH NUL"),"OK","ERREUR")</f>
        <v>OK</v>
      </c>
    </row>
    <row r="379" spans="2:61">
      <c r="B379" s="74">
        <v>2022</v>
      </c>
      <c r="C379" s="30" t="str">
        <v>Quarter-finals</v>
      </c>
      <c r="D379" s="30" t="str">
        <v>Croatia</v>
      </c>
      <c r="E379" s="30" t="str">
        <v>Brazil</v>
      </c>
      <c r="F379" s="30" t="str">
        <v>Croatia</v>
      </c>
      <c r="G379" s="30" t="str">
        <v>Mislav Oršić</v>
      </c>
      <c r="H379" s="30" t="str">
        <v>Alisson</v>
      </c>
      <c r="I379" s="30">
        <v>7</v>
      </c>
      <c r="J379" s="30">
        <v>4</v>
      </c>
      <c r="K379" s="30" t="str">
        <v>'2-3</v>
      </c>
      <c r="L379" s="30" t="str">
        <v>No</v>
      </c>
      <c r="M379" s="30" t="str">
        <v>No</v>
      </c>
      <c r="N379" s="30" t="str">
        <v>Goal</v>
      </c>
      <c r="O379" s="30" t="str">
        <f t="shared" si="37"/>
        <v>2022|Quarter-finals|Croatia|Brazil|Croatia|Mislav Oršić|Alisson|7|4|'2-3|No|No|Goal</v>
      </c>
      <c r="P379" s="96" t="str">
        <f>IF(COUNTIF($G$32:O379,O379)&gt;1,"DOUBLON","OK")</f>
        <v>OK</v>
      </c>
      <c r="S379" s="30" t="str">
        <v>Germany</v>
      </c>
      <c r="T379" s="30" t="str">
        <f t="shared" ref="T379:T442" si="39">IF(COUNTIF(R$21:R$250,S379)=1,"OK","ERREUR")</f>
        <v>OK</v>
      </c>
      <c r="U379" s="30" t="str">
        <f t="shared" si="35"/>
        <v>-</v>
      </c>
      <c r="V379" s="30" t="str" cm="1">
        <f t="array" ref="V379">_xlfn.IFS(
ISNUMBER(SEARCH("USA",S379)),"United States",
ISNUMBER(SEARCH("Republic of Korea",S379)),"South Korea",
ISNUMBER(SEARCH("Cape Verde",S379)),"Cabo Verde",
ISNUMBER(SEARCH("Czechia",S379)),"Czech Republic",
ISNUMBER(SEARCH("Türkiye",S379)),"Turkey",
ISNUMBER(SEARCH("Ivory Coast",S379)),"Côte d'Ivoire",
ISNUMBER(SEARCH("Korea Republic",S379)),"South Korea",
ISNUMBER(SEARCH("Germany FR",S379)),"FR Germany",
ISNUMBER(SEARCH("West Germany",S379)),"FR Germany",
ISNUMBER(SEARCH("Germany DR",S379)),"DR Germany",
ISNUMBER(SEARCH("Korea DPR",S379)),"North Korea",
ISNUMBER(SEARCH("China PR",S379)),"China",
ISNUMBER(SEARCH("IR Iran",S379)),"Iran",
ISNUMBER(SEARCH("Congo DR",S379)),"Democratic Republic of the Congo",
ISNUMBER(SEARCH("DR Congo",S379)),"Democratic Republic of the Congo",
ISNUMBER(SEARCH("German DR",S379)),"DR Germany",
ISNUMBER(SEARCH("rn""&gt;United Arab Emirates",S379)),"United Arab Emirates",
ISNUMBER(SEARCH("rn""&gt;Republic of Ireland",S379)),"Ireland",
ISNUMBER(SEARCH("rn""&gt;Bosnia and Herzegovina",S379)),"Bosnia and Herzegovina",
ISNUMBER(SEARCH("rn""&gt;Trinidad and Tobago",S379)),"Trinidad and Tobago",
ISNUMBER(SEARCH("rn""&gt;Serbia and Montenegro",S379)),"Serbia and Montenegro",
ISNUMBER(SEARCH(_xlfn.UNICHAR(65533),S379)),"Côte d'Ivoire",
TRUE,""
)</f>
        <v/>
      </c>
      <c r="W379" s="30" t="str">
        <f t="shared" si="36"/>
        <v>Germany</v>
      </c>
      <c r="Z379" s="40" t="str">
        <v>Jose Zorrilla</v>
      </c>
      <c r="AA379" s="40" t="str" cm="1">
        <f t="array" ref="AA379">IFERROR(_xlfn.XLOOKUP(Z379,_xlfn.ANCHORARRAY(Z$31),AA$31:AA$37),Z379)</f>
        <v>Jose Zorrilla</v>
      </c>
      <c r="AB379" s="42" t="str">
        <v xml:space="preserve">Valladolid </v>
      </c>
      <c r="AC379" s="89" t="str">
        <f t="shared" si="38"/>
        <v xml:space="preserve">Valladolid </v>
      </c>
      <c r="AE379" s="42">
        <v>1978</v>
      </c>
      <c r="AK379" s="42">
        <v>3</v>
      </c>
      <c r="AL379" s="42">
        <v>0</v>
      </c>
      <c r="AW379" s="89" t="str">
        <v>GROUP_STAGE</v>
      </c>
      <c r="BE379" s="43" t="str">
        <f>IF(OR(DATA_CLEANED!AL370="",DATA_CLEANED!AM370=""),"MANQUANT",IF(OR(NOT(ISNUMBER(DATA_CLEANED!AL370)),NOT(ISNUMBER(DATA_CLEANED!AM370))),"ENTREE INVALIDE",IF(OR(DATA_CLEANED!AL370&lt;0,DATA_CLEANED!AM370&lt;0),"SCORE NEGATIF","OK")))</f>
        <v>OK</v>
      </c>
      <c r="BF379" s="43" t="str">
        <f>IF(DATA_CLEANED!AK370&lt;&gt;DATA_CLEANED!AN370,"OK","ERREUR")</f>
        <v>OK</v>
      </c>
      <c r="BG379" s="43" t="str">
        <f>IF(DATA_CLEANED!AL370&gt;DATA_CLEANED!AM370,DATA_CLEANED!AK370,IF(AND(DATA_QUALITE!W4856="-",DATA_CLEANED!AM370=DATA_CLEANED!AL370),"MATCH NUL",IF(AND(DATA_QUALITE!V4856="-",DATA_QUALITE!U4856="AUCUNE"),DATA_QUALITE!T4856,IF(DATA_QUALITE!V4856&lt;&gt;"-",DATA_QUALITE!V4856,DATA_CLEANED!AN370))))</f>
        <v>Mexico</v>
      </c>
      <c r="BH379" s="103" t="str">
        <f>IF(AND(BG379="MATCH NUL",DATA_CLEANED!AO370="-"),"MATCH_NUL",IF(ISNUMBER(SEARCH("win on penalties",W4856)),"WIN_BY_PENALTY",IF(ISNUMBER(SEARCH("win after extra time",W4856)),"WIN_BY_EXTRA_TIME",IF(ISNUMBER(SEARCH("Golden Goal",W4856)),"WIN_BY_GOLDEN_GOAL","WIN_BY_SCORE"))))</f>
        <v>WIN_BY_SCORE</v>
      </c>
      <c r="BI379" s="99" t="str">
        <f>IF(OR(BG379=DATA_CLEANED!AK370,BG379=DATA_CLEANED!AN370,BG379="MATCH NUL"),"OK","ERREUR")</f>
        <v>OK</v>
      </c>
    </row>
    <row r="380" spans="2:61">
      <c r="B380" s="74">
        <v>2022</v>
      </c>
      <c r="C380" s="30" t="str">
        <v>Quarter-finals</v>
      </c>
      <c r="D380" s="30" t="str">
        <v>Croatia</v>
      </c>
      <c r="E380" s="30" t="str">
        <v>Brazil</v>
      </c>
      <c r="F380" s="30" t="str">
        <v>Brazil</v>
      </c>
      <c r="G380" s="30" t="str">
        <v>Marquinhos</v>
      </c>
      <c r="H380" s="30" t="str">
        <v>Dominik Livaković</v>
      </c>
      <c r="I380" s="30">
        <v>8</v>
      </c>
      <c r="J380" s="30">
        <v>4</v>
      </c>
      <c r="K380" s="30" t="str">
        <v>'2-4</v>
      </c>
      <c r="L380" s="30" t="str">
        <v>Yes</v>
      </c>
      <c r="M380" s="30" t="str">
        <v>Yes</v>
      </c>
      <c r="N380" s="30" t="str">
        <v>Missed</v>
      </c>
      <c r="O380" s="30" t="str">
        <f t="shared" si="37"/>
        <v>2022|Quarter-finals|Croatia|Brazil|Brazil|Marquinhos|Dominik Livaković|8|4|'2-4|Yes|Yes|Missed</v>
      </c>
      <c r="P380" s="96" t="str">
        <f>IF(COUNTIF($G$32:O380,O380)&gt;1,"DOUBLON","OK")</f>
        <v>OK</v>
      </c>
      <c r="S380" s="30" t="str">
        <v>Germany</v>
      </c>
      <c r="T380" s="30" t="str">
        <f t="shared" si="39"/>
        <v>OK</v>
      </c>
      <c r="U380" s="30" t="str">
        <f t="shared" si="35"/>
        <v>-</v>
      </c>
      <c r="V380" s="30" t="str" cm="1">
        <f t="array" ref="V380">_xlfn.IFS(
ISNUMBER(SEARCH("USA",S380)),"United States",
ISNUMBER(SEARCH("Republic of Korea",S380)),"South Korea",
ISNUMBER(SEARCH("Cape Verde",S380)),"Cabo Verde",
ISNUMBER(SEARCH("Czechia",S380)),"Czech Republic",
ISNUMBER(SEARCH("Türkiye",S380)),"Turkey",
ISNUMBER(SEARCH("Ivory Coast",S380)),"Côte d'Ivoire",
ISNUMBER(SEARCH("Korea Republic",S380)),"South Korea",
ISNUMBER(SEARCH("Germany FR",S380)),"FR Germany",
ISNUMBER(SEARCH("West Germany",S380)),"FR Germany",
ISNUMBER(SEARCH("Germany DR",S380)),"DR Germany",
ISNUMBER(SEARCH("Korea DPR",S380)),"North Korea",
ISNUMBER(SEARCH("China PR",S380)),"China",
ISNUMBER(SEARCH("IR Iran",S380)),"Iran",
ISNUMBER(SEARCH("Congo DR",S380)),"Democratic Republic of the Congo",
ISNUMBER(SEARCH("DR Congo",S380)),"Democratic Republic of the Congo",
ISNUMBER(SEARCH("German DR",S380)),"DR Germany",
ISNUMBER(SEARCH("rn""&gt;United Arab Emirates",S380)),"United Arab Emirates",
ISNUMBER(SEARCH("rn""&gt;Republic of Ireland",S380)),"Ireland",
ISNUMBER(SEARCH("rn""&gt;Bosnia and Herzegovina",S380)),"Bosnia and Herzegovina",
ISNUMBER(SEARCH("rn""&gt;Trinidad and Tobago",S380)),"Trinidad and Tobago",
ISNUMBER(SEARCH("rn""&gt;Serbia and Montenegro",S380)),"Serbia and Montenegro",
ISNUMBER(SEARCH(_xlfn.UNICHAR(65533),S380)),"Côte d'Ivoire",
TRUE,""
)</f>
        <v/>
      </c>
      <c r="W380" s="30" t="str">
        <f t="shared" si="36"/>
        <v>Germany</v>
      </c>
      <c r="Z380" s="40" t="str">
        <v>La Romareda</v>
      </c>
      <c r="AA380" s="40" t="str" cm="1">
        <f t="array" ref="AA380">IFERROR(_xlfn.XLOOKUP(Z380,_xlfn.ANCHORARRAY(Z$31),AA$31:AA$37),Z380)</f>
        <v>La Romareda</v>
      </c>
      <c r="AB380" s="42" t="str">
        <v xml:space="preserve">Zaragoza </v>
      </c>
      <c r="AC380" s="89" t="str">
        <f t="shared" si="38"/>
        <v xml:space="preserve">Zaragoza </v>
      </c>
      <c r="AE380" s="42">
        <v>1978</v>
      </c>
      <c r="AK380" s="42">
        <v>2</v>
      </c>
      <c r="AL380" s="42">
        <v>0</v>
      </c>
      <c r="AW380" s="89" t="str">
        <v>GROUP_STAGE</v>
      </c>
      <c r="BE380" s="43" t="str">
        <f>IF(OR(DATA_CLEANED!AL371="",DATA_CLEANED!AM371=""),"MANQUANT",IF(OR(NOT(ISNUMBER(DATA_CLEANED!AL371)),NOT(ISNUMBER(DATA_CLEANED!AM371))),"ENTREE INVALIDE",IF(OR(DATA_CLEANED!AL371&lt;0,DATA_CLEANED!AM371&lt;0),"SCORE NEGATIF","OK")))</f>
        <v>OK</v>
      </c>
      <c r="BF380" s="43" t="str">
        <f>IF(DATA_CLEANED!AK371&lt;&gt;DATA_CLEANED!AN371,"OK","ERREUR")</f>
        <v>OK</v>
      </c>
      <c r="BG380" s="43" t="str">
        <f>IF(DATA_CLEANED!AL371&gt;DATA_CLEANED!AM371,DATA_CLEANED!AK371,IF(AND(DATA_QUALITE!W4857="-",DATA_CLEANED!AM371=DATA_CLEANED!AL371),"MATCH NUL",IF(AND(DATA_QUALITE!V4857="-",DATA_QUALITE!U4857="AUCUNE"),DATA_QUALITE!T4857,IF(DATA_QUALITE!V4857&lt;&gt;"-",DATA_QUALITE!V4857,DATA_CLEANED!AN371))))</f>
        <v>Portugal</v>
      </c>
      <c r="BH380" s="103" t="str">
        <f>IF(AND(BG380="MATCH NUL",DATA_CLEANED!AO371="-"),"MATCH_NUL",IF(ISNUMBER(SEARCH("win on penalties",W4857)),"WIN_BY_PENALTY",IF(ISNUMBER(SEARCH("win after extra time",W4857)),"WIN_BY_EXTRA_TIME",IF(ISNUMBER(SEARCH("Golden Goal",W4857)),"WIN_BY_GOLDEN_GOAL","WIN_BY_SCORE"))))</f>
        <v>WIN_BY_SCORE</v>
      </c>
      <c r="BI380" s="99" t="str">
        <f>IF(OR(BG380=DATA_CLEANED!AK371,BG380=DATA_CLEANED!AN371,BG380="MATCH NUL"),"OK","ERREUR")</f>
        <v>OK</v>
      </c>
    </row>
    <row r="381" spans="2:61">
      <c r="B381" s="74">
        <v>2022</v>
      </c>
      <c r="C381" s="30" t="str">
        <v>Quarter-finals</v>
      </c>
      <c r="D381" s="30" t="str">
        <v>Netherlands</v>
      </c>
      <c r="E381" s="30" t="str">
        <v>Argentina</v>
      </c>
      <c r="F381" s="30" t="str">
        <v>Netherlands</v>
      </c>
      <c r="G381" s="30" t="str">
        <v>Virgil van Dijk</v>
      </c>
      <c r="H381" s="30" t="str">
        <v>Emiliano Martínez</v>
      </c>
      <c r="I381" s="30">
        <v>1</v>
      </c>
      <c r="J381" s="30">
        <v>1</v>
      </c>
      <c r="K381" s="30" t="str">
        <v>'0-0</v>
      </c>
      <c r="L381" s="30" t="str">
        <v>No</v>
      </c>
      <c r="M381" s="30" t="str">
        <v>No</v>
      </c>
      <c r="N381" s="30" t="str">
        <v>Saved</v>
      </c>
      <c r="O381" s="30" t="str">
        <f t="shared" si="37"/>
        <v>2022|Quarter-finals|Netherlands|Argentina|Netherlands|Virgil van Dijk|Emiliano Martínez|1|1|'0-0|No|No|Saved</v>
      </c>
      <c r="P381" s="96" t="str">
        <f>IF(COUNTIF($G$32:O381,O381)&gt;1,"DOUBLON","OK")</f>
        <v>OK</v>
      </c>
      <c r="S381" s="30" t="str">
        <v>Germany</v>
      </c>
      <c r="T381" s="30" t="str">
        <f t="shared" si="39"/>
        <v>OK</v>
      </c>
      <c r="U381" s="30" t="str">
        <f t="shared" si="35"/>
        <v>-</v>
      </c>
      <c r="V381" s="30" t="str" cm="1">
        <f t="array" ref="V381">_xlfn.IFS(
ISNUMBER(SEARCH("USA",S381)),"United States",
ISNUMBER(SEARCH("Republic of Korea",S381)),"South Korea",
ISNUMBER(SEARCH("Cape Verde",S381)),"Cabo Verde",
ISNUMBER(SEARCH("Czechia",S381)),"Czech Republic",
ISNUMBER(SEARCH("Türkiye",S381)),"Turkey",
ISNUMBER(SEARCH("Ivory Coast",S381)),"Côte d'Ivoire",
ISNUMBER(SEARCH("Korea Republic",S381)),"South Korea",
ISNUMBER(SEARCH("Germany FR",S381)),"FR Germany",
ISNUMBER(SEARCH("West Germany",S381)),"FR Germany",
ISNUMBER(SEARCH("Germany DR",S381)),"DR Germany",
ISNUMBER(SEARCH("Korea DPR",S381)),"North Korea",
ISNUMBER(SEARCH("China PR",S381)),"China",
ISNUMBER(SEARCH("IR Iran",S381)),"Iran",
ISNUMBER(SEARCH("Congo DR",S381)),"Democratic Republic of the Congo",
ISNUMBER(SEARCH("DR Congo",S381)),"Democratic Republic of the Congo",
ISNUMBER(SEARCH("German DR",S381)),"DR Germany",
ISNUMBER(SEARCH("rn""&gt;United Arab Emirates",S381)),"United Arab Emirates",
ISNUMBER(SEARCH("rn""&gt;Republic of Ireland",S381)),"Ireland",
ISNUMBER(SEARCH("rn""&gt;Bosnia and Herzegovina",S381)),"Bosnia and Herzegovina",
ISNUMBER(SEARCH("rn""&gt;Trinidad and Tobago",S381)),"Trinidad and Tobago",
ISNUMBER(SEARCH("rn""&gt;Serbia and Montenegro",S381)),"Serbia and Montenegro",
ISNUMBER(SEARCH(_xlfn.UNICHAR(65533),S381)),"Côte d'Ivoire",
TRUE,""
)</f>
        <v/>
      </c>
      <c r="W381" s="30" t="str">
        <f t="shared" si="36"/>
        <v>Germany</v>
      </c>
      <c r="Z381" s="40" t="str">
        <v>El Molinon</v>
      </c>
      <c r="AA381" s="40" t="str" cm="1">
        <f t="array" ref="AA381">IFERROR(_xlfn.XLOOKUP(Z381,_xlfn.ANCHORARRAY(Z$31),AA$31:AA$37),Z381)</f>
        <v>El Molinon</v>
      </c>
      <c r="AB381" s="42" t="str">
        <v xml:space="preserve">Gijon </v>
      </c>
      <c r="AC381" s="89" t="str">
        <f t="shared" si="38"/>
        <v xml:space="preserve">Gijon </v>
      </c>
      <c r="AE381" s="42">
        <v>1978</v>
      </c>
      <c r="AK381" s="42">
        <v>1</v>
      </c>
      <c r="AL381" s="42">
        <v>0</v>
      </c>
      <c r="AW381" s="89" t="str">
        <v>GROUP_STAGE</v>
      </c>
      <c r="BE381" s="43" t="str">
        <f>IF(OR(DATA_CLEANED!AL372="",DATA_CLEANED!AM372=""),"MANQUANT",IF(OR(NOT(ISNUMBER(DATA_CLEANED!AL372)),NOT(ISNUMBER(DATA_CLEANED!AM372))),"ENTREE INVALIDE",IF(OR(DATA_CLEANED!AL372&lt;0,DATA_CLEANED!AM372&lt;0),"SCORE NEGATIF","OK")))</f>
        <v>OK</v>
      </c>
      <c r="BF381" s="43" t="str">
        <f>IF(DATA_CLEANED!AK372&lt;&gt;DATA_CLEANED!AN372,"OK","ERREUR")</f>
        <v>OK</v>
      </c>
      <c r="BG381" s="43" t="str">
        <f>IF(DATA_CLEANED!AL372&gt;DATA_CLEANED!AM372,DATA_CLEANED!AK372,IF(AND(DATA_QUALITE!W4858="-",DATA_CLEANED!AM372=DATA_CLEANED!AL372),"MATCH NUL",IF(AND(DATA_QUALITE!V4858="-",DATA_QUALITE!U4858="AUCUNE"),DATA_QUALITE!T4858,IF(DATA_QUALITE!V4858&lt;&gt;"-",DATA_QUALITE!V4858,DATA_CLEANED!AN372))))</f>
        <v>Paraguay</v>
      </c>
      <c r="BH381" s="103" t="str">
        <f>IF(AND(BG381="MATCH NUL",DATA_CLEANED!AO372="-"),"MATCH_NUL",IF(ISNUMBER(SEARCH("win on penalties",W4858)),"WIN_BY_PENALTY",IF(ISNUMBER(SEARCH("win after extra time",W4858)),"WIN_BY_EXTRA_TIME",IF(ISNUMBER(SEARCH("Golden Goal",W4858)),"WIN_BY_GOLDEN_GOAL","WIN_BY_SCORE"))))</f>
        <v>WIN_BY_SCORE</v>
      </c>
      <c r="BI381" s="99" t="str">
        <f>IF(OR(BG381=DATA_CLEANED!AK372,BG381=DATA_CLEANED!AN372,BG381="MATCH NUL"),"OK","ERREUR")</f>
        <v>OK</v>
      </c>
    </row>
    <row r="382" spans="2:61">
      <c r="B382" s="74">
        <v>2022</v>
      </c>
      <c r="C382" s="30" t="str">
        <v>Quarter-finals</v>
      </c>
      <c r="D382" s="30" t="str">
        <v>Netherlands</v>
      </c>
      <c r="E382" s="30" t="str">
        <v>Argentina</v>
      </c>
      <c r="F382" s="30" t="str">
        <v>Argentina</v>
      </c>
      <c r="G382" s="30" t="str">
        <v>Lionel Messi</v>
      </c>
      <c r="H382" s="30" t="str">
        <v>Andries Noppert</v>
      </c>
      <c r="I382" s="30">
        <v>2</v>
      </c>
      <c r="J382" s="30">
        <v>1</v>
      </c>
      <c r="K382" s="30" t="str">
        <v>'0-0</v>
      </c>
      <c r="L382" s="30" t="str">
        <v>No</v>
      </c>
      <c r="M382" s="30" t="str">
        <v>No</v>
      </c>
      <c r="N382" s="30" t="str">
        <v>Goal</v>
      </c>
      <c r="O382" s="30" t="str">
        <f t="shared" si="37"/>
        <v>2022|Quarter-finals|Netherlands|Argentina|Argentina|Lionel Messi|Andries Noppert|2|1|'0-0|No|No|Goal</v>
      </c>
      <c r="P382" s="96" t="str">
        <f>IF(COUNTIF($G$32:O382,O382)&gt;1,"DOUBLON","OK")</f>
        <v>OK</v>
      </c>
      <c r="S382" s="30" t="str">
        <v>Germany</v>
      </c>
      <c r="T382" s="30" t="str">
        <f t="shared" si="39"/>
        <v>OK</v>
      </c>
      <c r="U382" s="30" t="str">
        <f t="shared" si="35"/>
        <v>-</v>
      </c>
      <c r="V382" s="30" t="str" cm="1">
        <f t="array" ref="V382">_xlfn.IFS(
ISNUMBER(SEARCH("USA",S382)),"United States",
ISNUMBER(SEARCH("Republic of Korea",S382)),"South Korea",
ISNUMBER(SEARCH("Cape Verde",S382)),"Cabo Verde",
ISNUMBER(SEARCH("Czechia",S382)),"Czech Republic",
ISNUMBER(SEARCH("Türkiye",S382)),"Turkey",
ISNUMBER(SEARCH("Ivory Coast",S382)),"Côte d'Ivoire",
ISNUMBER(SEARCH("Korea Republic",S382)),"South Korea",
ISNUMBER(SEARCH("Germany FR",S382)),"FR Germany",
ISNUMBER(SEARCH("West Germany",S382)),"FR Germany",
ISNUMBER(SEARCH("Germany DR",S382)),"DR Germany",
ISNUMBER(SEARCH("Korea DPR",S382)),"North Korea",
ISNUMBER(SEARCH("China PR",S382)),"China",
ISNUMBER(SEARCH("IR Iran",S382)),"Iran",
ISNUMBER(SEARCH("Congo DR",S382)),"Democratic Republic of the Congo",
ISNUMBER(SEARCH("DR Congo",S382)),"Democratic Republic of the Congo",
ISNUMBER(SEARCH("German DR",S382)),"DR Germany",
ISNUMBER(SEARCH("rn""&gt;United Arab Emirates",S382)),"United Arab Emirates",
ISNUMBER(SEARCH("rn""&gt;Republic of Ireland",S382)),"Ireland",
ISNUMBER(SEARCH("rn""&gt;Bosnia and Herzegovina",S382)),"Bosnia and Herzegovina",
ISNUMBER(SEARCH("rn""&gt;Trinidad and Tobago",S382)),"Trinidad and Tobago",
ISNUMBER(SEARCH("rn""&gt;Serbia and Montenegro",S382)),"Serbia and Montenegro",
ISNUMBER(SEARCH(_xlfn.UNICHAR(65533),S382)),"Côte d'Ivoire",
TRUE,""
)</f>
        <v/>
      </c>
      <c r="W382" s="30" t="str">
        <f t="shared" si="36"/>
        <v>Germany</v>
      </c>
      <c r="Z382" s="40" t="str">
        <v>San Mames</v>
      </c>
      <c r="AA382" s="40" t="str" cm="1">
        <f t="array" ref="AA382">IFERROR(_xlfn.XLOOKUP(Z382,_xlfn.ANCHORARRAY(Z$31),AA$31:AA$37),Z382)</f>
        <v>San Mames</v>
      </c>
      <c r="AB382" s="42" t="str">
        <v xml:space="preserve">Bilbao </v>
      </c>
      <c r="AC382" s="89" t="str">
        <f t="shared" si="38"/>
        <v xml:space="preserve">Bilbao </v>
      </c>
      <c r="AE382" s="42">
        <v>1978</v>
      </c>
      <c r="AK382" s="42">
        <v>1</v>
      </c>
      <c r="AL382" s="42">
        <v>0</v>
      </c>
      <c r="AW382" s="89" t="str">
        <v>GROUP_STAGE</v>
      </c>
      <c r="BE382" s="43" t="str">
        <f>IF(OR(DATA_CLEANED!AL373="",DATA_CLEANED!AM373=""),"MANQUANT",IF(OR(NOT(ISNUMBER(DATA_CLEANED!AL373)),NOT(ISNUMBER(DATA_CLEANED!AM373))),"ENTREE INVALIDE",IF(OR(DATA_CLEANED!AL373&lt;0,DATA_CLEANED!AM373&lt;0),"SCORE NEGATIF","OK")))</f>
        <v>OK</v>
      </c>
      <c r="BF382" s="43" t="str">
        <f>IF(DATA_CLEANED!AK373&lt;&gt;DATA_CLEANED!AN373,"OK","ERREUR")</f>
        <v>OK</v>
      </c>
      <c r="BG382" s="43" t="str">
        <f>IF(DATA_CLEANED!AL373&gt;DATA_CLEANED!AM373,DATA_CLEANED!AK373,IF(AND(DATA_QUALITE!W4859="-",DATA_CLEANED!AM373=DATA_CLEANED!AL373),"MATCH NUL",IF(AND(DATA_QUALITE!V4859="-",DATA_QUALITE!U4859="AUCUNE"),DATA_QUALITE!T4859,IF(DATA_QUALITE!V4859&lt;&gt;"-",DATA_QUALITE!V4859,DATA_CLEANED!AN373))))</f>
        <v>Denmark</v>
      </c>
      <c r="BH382" s="103" t="str">
        <f>IF(AND(BG382="MATCH NUL",DATA_CLEANED!AO373="-"),"MATCH_NUL",IF(ISNUMBER(SEARCH("win on penalties",W4859)),"WIN_BY_PENALTY",IF(ISNUMBER(SEARCH("win after extra time",W4859)),"WIN_BY_EXTRA_TIME",IF(ISNUMBER(SEARCH("Golden Goal",W4859)),"WIN_BY_GOLDEN_GOAL","WIN_BY_SCORE"))))</f>
        <v>WIN_BY_SCORE</v>
      </c>
      <c r="BI382" s="99" t="str">
        <f>IF(OR(BG382=DATA_CLEANED!AK373,BG382=DATA_CLEANED!AN373,BG382="MATCH NUL"),"OK","ERREUR")</f>
        <v>OK</v>
      </c>
    </row>
    <row r="383" spans="2:61">
      <c r="B383" s="74">
        <v>2022</v>
      </c>
      <c r="C383" s="30" t="str">
        <v>Quarter-finals</v>
      </c>
      <c r="D383" s="30" t="str">
        <v>Netherlands</v>
      </c>
      <c r="E383" s="30" t="str">
        <v>Argentina</v>
      </c>
      <c r="F383" s="30" t="str">
        <v>Netherlands</v>
      </c>
      <c r="G383" s="30" t="str">
        <v>Steven Berghuis</v>
      </c>
      <c r="H383" s="30" t="str">
        <v>Emiliano Martínez</v>
      </c>
      <c r="I383" s="30">
        <v>3</v>
      </c>
      <c r="J383" s="30">
        <v>2</v>
      </c>
      <c r="K383" s="30" t="str">
        <v>'0-1</v>
      </c>
      <c r="L383" s="30" t="str">
        <v>No</v>
      </c>
      <c r="M383" s="30" t="str">
        <v>No</v>
      </c>
      <c r="N383" s="30" t="str">
        <v>Saved</v>
      </c>
      <c r="O383" s="30" t="str">
        <f t="shared" si="37"/>
        <v>2022|Quarter-finals|Netherlands|Argentina|Netherlands|Steven Berghuis|Emiliano Martínez|3|2|'0-1|No|No|Saved</v>
      </c>
      <c r="P383" s="96" t="str">
        <f>IF(COUNTIF($G$32:O383,O383)&gt;1,"DOUBLON","OK")</f>
        <v>OK</v>
      </c>
      <c r="S383" s="30" t="str">
        <v>Germany</v>
      </c>
      <c r="T383" s="30" t="str">
        <f t="shared" si="39"/>
        <v>OK</v>
      </c>
      <c r="U383" s="30" t="str">
        <f t="shared" si="35"/>
        <v>-</v>
      </c>
      <c r="V383" s="30" t="str" cm="1">
        <f t="array" ref="V383">_xlfn.IFS(
ISNUMBER(SEARCH("USA",S383)),"United States",
ISNUMBER(SEARCH("Republic of Korea",S383)),"South Korea",
ISNUMBER(SEARCH("Cape Verde",S383)),"Cabo Verde",
ISNUMBER(SEARCH("Czechia",S383)),"Czech Republic",
ISNUMBER(SEARCH("Türkiye",S383)),"Turkey",
ISNUMBER(SEARCH("Ivory Coast",S383)),"Côte d'Ivoire",
ISNUMBER(SEARCH("Korea Republic",S383)),"South Korea",
ISNUMBER(SEARCH("Germany FR",S383)),"FR Germany",
ISNUMBER(SEARCH("West Germany",S383)),"FR Germany",
ISNUMBER(SEARCH("Germany DR",S383)),"DR Germany",
ISNUMBER(SEARCH("Korea DPR",S383)),"North Korea",
ISNUMBER(SEARCH("China PR",S383)),"China",
ISNUMBER(SEARCH("IR Iran",S383)),"Iran",
ISNUMBER(SEARCH("Congo DR",S383)),"Democratic Republic of the Congo",
ISNUMBER(SEARCH("DR Congo",S383)),"Democratic Republic of the Congo",
ISNUMBER(SEARCH("German DR",S383)),"DR Germany",
ISNUMBER(SEARCH("rn""&gt;United Arab Emirates",S383)),"United Arab Emirates",
ISNUMBER(SEARCH("rn""&gt;Republic of Ireland",S383)),"Ireland",
ISNUMBER(SEARCH("rn""&gt;Bosnia and Herzegovina",S383)),"Bosnia and Herzegovina",
ISNUMBER(SEARCH("rn""&gt;Trinidad and Tobago",S383)),"Trinidad and Tobago",
ISNUMBER(SEARCH("rn""&gt;Serbia and Montenegro",S383)),"Serbia and Montenegro",
ISNUMBER(SEARCH(_xlfn.UNICHAR(65533),S383)),"Côte d'Ivoire",
TRUE,""
)</f>
        <v/>
      </c>
      <c r="W383" s="30" t="str">
        <f t="shared" si="36"/>
        <v>Germany</v>
      </c>
      <c r="Z383" s="40" t="str">
        <v>Luis Casanova</v>
      </c>
      <c r="AA383" s="40" t="str" cm="1">
        <f t="array" ref="AA383">IFERROR(_xlfn.XLOOKUP(Z383,_xlfn.ANCHORARRAY(Z$31),AA$31:AA$37),Z383)</f>
        <v>Luis Casanova</v>
      </c>
      <c r="AB383" s="42" t="str">
        <v xml:space="preserve">Valencia </v>
      </c>
      <c r="AC383" s="89" t="str">
        <f t="shared" si="38"/>
        <v xml:space="preserve">Valencia </v>
      </c>
      <c r="AE383" s="42">
        <v>1978</v>
      </c>
      <c r="AK383" s="42">
        <v>2</v>
      </c>
      <c r="AL383" s="42">
        <v>2</v>
      </c>
      <c r="AW383" s="89" t="str">
        <v>GROUP_STAGE</v>
      </c>
      <c r="BE383" s="43" t="str">
        <f>IF(OR(DATA_CLEANED!AL374="",DATA_CLEANED!AM374=""),"MANQUANT",IF(OR(NOT(ISNUMBER(DATA_CLEANED!AL374)),NOT(ISNUMBER(DATA_CLEANED!AM374))),"ENTREE INVALIDE",IF(OR(DATA_CLEANED!AL374&lt;0,DATA_CLEANED!AM374&lt;0),"SCORE NEGATIF","OK")))</f>
        <v>OK</v>
      </c>
      <c r="BF383" s="43" t="str">
        <f>IF(DATA_CLEANED!AK374&lt;&gt;DATA_CLEANED!AN374,"OK","ERREUR")</f>
        <v>OK</v>
      </c>
      <c r="BG383" s="43" t="str">
        <f>IF(DATA_CLEANED!AL374&gt;DATA_CLEANED!AM374,DATA_CLEANED!AK374,IF(AND(DATA_QUALITE!W4860="-",DATA_CLEANED!AM374=DATA_CLEANED!AL374),"MATCH NUL",IF(AND(DATA_QUALITE!V4860="-",DATA_QUALITE!U4860="AUCUNE"),DATA_QUALITE!T4860,IF(DATA_QUALITE!V4860&lt;&gt;"-",DATA_QUALITE!V4860,DATA_CLEANED!AN374))))</f>
        <v>MATCH NUL</v>
      </c>
      <c r="BH383" s="103" t="str">
        <f>IF(AND(BG383="MATCH NUL",DATA_CLEANED!AO374="-"),"MATCH_NUL",IF(ISNUMBER(SEARCH("win on penalties",W4860)),"WIN_BY_PENALTY",IF(ISNUMBER(SEARCH("win after extra time",W4860)),"WIN_BY_EXTRA_TIME",IF(ISNUMBER(SEARCH("Golden Goal",W4860)),"WIN_BY_GOLDEN_GOAL","WIN_BY_SCORE"))))</f>
        <v>MATCH_NUL</v>
      </c>
      <c r="BI383" s="99" t="str">
        <f>IF(OR(BG383=DATA_CLEANED!AK374,BG383=DATA_CLEANED!AN374,BG383="MATCH NUL"),"OK","ERREUR")</f>
        <v>OK</v>
      </c>
    </row>
    <row r="384" spans="2:61">
      <c r="B384" s="74">
        <v>2022</v>
      </c>
      <c r="C384" s="30" t="str">
        <v>Quarter-finals</v>
      </c>
      <c r="D384" s="30" t="str">
        <v>Netherlands</v>
      </c>
      <c r="E384" s="30" t="str">
        <v>Argentina</v>
      </c>
      <c r="F384" s="30" t="str">
        <v>Argentina</v>
      </c>
      <c r="G384" s="30" t="str">
        <v>Leandro Paredes</v>
      </c>
      <c r="H384" s="30" t="str">
        <v>Andries Noppert</v>
      </c>
      <c r="I384" s="30">
        <v>4</v>
      </c>
      <c r="J384" s="30">
        <v>2</v>
      </c>
      <c r="K384" s="30" t="str">
        <v>'0-1</v>
      </c>
      <c r="L384" s="30" t="str">
        <v>No</v>
      </c>
      <c r="M384" s="30" t="str">
        <v>No</v>
      </c>
      <c r="N384" s="30" t="str">
        <v>Goal</v>
      </c>
      <c r="O384" s="30" t="str">
        <f t="shared" si="37"/>
        <v>2022|Quarter-finals|Netherlands|Argentina|Argentina|Leandro Paredes|Andries Noppert|4|2|'0-1|No|No|Goal</v>
      </c>
      <c r="P384" s="96" t="str">
        <f>IF(COUNTIF($G$32:O384,O384)&gt;1,"DOUBLON","OK")</f>
        <v>OK</v>
      </c>
      <c r="S384" s="30" t="str">
        <v>Germany</v>
      </c>
      <c r="T384" s="30" t="str">
        <f t="shared" si="39"/>
        <v>OK</v>
      </c>
      <c r="U384" s="30" t="str">
        <f t="shared" ref="U384:U447" si="40">IF(OR(S384="Scotland",S384="England",S384="Wales",S384="Yugoslavia",S384="Czechoslovakia",S384="Northern Ireland",S384="Soviet Union",S384="Zaire",S384="Dutch East Indies"),"AUCUNE",IF(OR(S384="Cape Verde",S384="USA",S384="DR Congo",S384="Republic of Korea",S384="Germany FR",S384="Germany DR",S384="Czechia",S384="Ivory Coast",S384="Korea DPR",S384="China PR",S384="IR Iran",S384="Türkiye",S384="Congo DR",S384="German DR",S384="West Germany",S384="Republic of Ireland",ISNUMBER(SEARCH("rn""&gt;United Arab Emirates",S384)),ISNUMBER(SEARCH("rn""&gt;Republic of Ireland",S384)),ISNUMBER(SEARCH("rn""&gt;Bosnia and Herzegovina",S384)),ISNUMBER(SEARCH("rn""&gt;Trinidad and Tobago",S384)),ISNUMBER(SEARCH("rn""&gt;Serbia and Montenegro",S384)),ISNUMBER(SEARCH(_xlfn.UNICHAR(65533),S384))),"RENOMMER","-"))</f>
        <v>-</v>
      </c>
      <c r="V384" s="30" t="str" cm="1">
        <f t="array" ref="V384">_xlfn.IFS(
ISNUMBER(SEARCH("USA",S384)),"United States",
ISNUMBER(SEARCH("Republic of Korea",S384)),"South Korea",
ISNUMBER(SEARCH("Cape Verde",S384)),"Cabo Verde",
ISNUMBER(SEARCH("Czechia",S384)),"Czech Republic",
ISNUMBER(SEARCH("Türkiye",S384)),"Turkey",
ISNUMBER(SEARCH("Ivory Coast",S384)),"Côte d'Ivoire",
ISNUMBER(SEARCH("Korea Republic",S384)),"South Korea",
ISNUMBER(SEARCH("Germany FR",S384)),"FR Germany",
ISNUMBER(SEARCH("West Germany",S384)),"FR Germany",
ISNUMBER(SEARCH("Germany DR",S384)),"DR Germany",
ISNUMBER(SEARCH("Korea DPR",S384)),"North Korea",
ISNUMBER(SEARCH("China PR",S384)),"China",
ISNUMBER(SEARCH("IR Iran",S384)),"Iran",
ISNUMBER(SEARCH("Congo DR",S384)),"Democratic Republic of the Congo",
ISNUMBER(SEARCH("DR Congo",S384)),"Democratic Republic of the Congo",
ISNUMBER(SEARCH("German DR",S384)),"DR Germany",
ISNUMBER(SEARCH("rn""&gt;United Arab Emirates",S384)),"United Arab Emirates",
ISNUMBER(SEARCH("rn""&gt;Republic of Ireland",S384)),"Ireland",
ISNUMBER(SEARCH("rn""&gt;Bosnia and Herzegovina",S384)),"Bosnia and Herzegovina",
ISNUMBER(SEARCH("rn""&gt;Trinidad and Tobago",S384)),"Trinidad and Tobago",
ISNUMBER(SEARCH("rn""&gt;Serbia and Montenegro",S384)),"Serbia and Montenegro",
ISNUMBER(SEARCH(_xlfn.UNICHAR(65533),S384)),"Côte d'Ivoire",
TRUE,""
)</f>
        <v/>
      </c>
      <c r="W384" s="30" t="str">
        <f t="shared" si="36"/>
        <v>Germany</v>
      </c>
      <c r="Z384" s="40" t="str">
        <v>Vicente Calderon</v>
      </c>
      <c r="AA384" s="40" t="str" cm="1">
        <f t="array" ref="AA384">IFERROR(_xlfn.XLOOKUP(Z384,_xlfn.ANCHORARRAY(Z$31),AA$31:AA$37),Z384)</f>
        <v>Vicente Calderon</v>
      </c>
      <c r="AB384" s="42" t="str">
        <v xml:space="preserve">Madrid </v>
      </c>
      <c r="AC384" s="89" t="str">
        <f t="shared" si="38"/>
        <v xml:space="preserve">Madrid </v>
      </c>
      <c r="AE384" s="42">
        <v>1978</v>
      </c>
      <c r="AK384" s="42">
        <v>0</v>
      </c>
      <c r="AL384" s="42">
        <v>0</v>
      </c>
      <c r="AW384" s="89" t="str">
        <v>GROUP_STAGE</v>
      </c>
      <c r="BE384" s="43" t="str">
        <f>IF(OR(DATA_CLEANED!AL375="",DATA_CLEANED!AM375=""),"MANQUANT",IF(OR(NOT(ISNUMBER(DATA_CLEANED!AL375)),NOT(ISNUMBER(DATA_CLEANED!AM375))),"ENTREE INVALIDE",IF(OR(DATA_CLEANED!AL375&lt;0,DATA_CLEANED!AM375&lt;0),"SCORE NEGATIF","OK")))</f>
        <v>OK</v>
      </c>
      <c r="BF384" s="43" t="str">
        <f>IF(DATA_CLEANED!AK375&lt;&gt;DATA_CLEANED!AN375,"OK","ERREUR")</f>
        <v>OK</v>
      </c>
      <c r="BG384" s="43" t="str">
        <f>IF(DATA_CLEANED!AL375&gt;DATA_CLEANED!AM375,DATA_CLEANED!AK375,IF(AND(DATA_QUALITE!W4861="-",DATA_CLEANED!AM375=DATA_CLEANED!AL375),"MATCH NUL",IF(AND(DATA_QUALITE!V4861="-",DATA_QUALITE!U4861="AUCUNE"),DATA_QUALITE!T4861,IF(DATA_QUALITE!V4861&lt;&gt;"-",DATA_QUALITE!V4861,DATA_CLEANED!AN375))))</f>
        <v>MATCH NUL</v>
      </c>
      <c r="BH384" s="103" t="str">
        <f>IF(AND(BG384="MATCH NUL",DATA_CLEANED!AO375="-"),"MATCH_NUL",IF(ISNUMBER(SEARCH("win on penalties",W4861)),"WIN_BY_PENALTY",IF(ISNUMBER(SEARCH("win after extra time",W4861)),"WIN_BY_EXTRA_TIME",IF(ISNUMBER(SEARCH("Golden Goal",W4861)),"WIN_BY_GOLDEN_GOAL","WIN_BY_SCORE"))))</f>
        <v>MATCH_NUL</v>
      </c>
      <c r="BI384" s="99" t="str">
        <f>IF(OR(BG384=DATA_CLEANED!AK375,BG384=DATA_CLEANED!AN375,BG384="MATCH NUL"),"OK","ERREUR")</f>
        <v>OK</v>
      </c>
    </row>
    <row r="385" spans="2:61">
      <c r="B385" s="74">
        <v>2022</v>
      </c>
      <c r="C385" s="30" t="str">
        <v>Quarter-finals</v>
      </c>
      <c r="D385" s="30" t="str">
        <v>Netherlands</v>
      </c>
      <c r="E385" s="30" t="str">
        <v>Argentina</v>
      </c>
      <c r="F385" s="30" t="str">
        <v>Netherlands</v>
      </c>
      <c r="G385" s="30" t="str">
        <v>Teun Koopmeiners</v>
      </c>
      <c r="H385" s="30" t="str">
        <v>Emiliano Martínez</v>
      </c>
      <c r="I385" s="30">
        <v>5</v>
      </c>
      <c r="J385" s="30">
        <v>3</v>
      </c>
      <c r="K385" s="30" t="str">
        <v>'0-2</v>
      </c>
      <c r="L385" s="30" t="str">
        <v>No</v>
      </c>
      <c r="M385" s="30" t="str">
        <v>No</v>
      </c>
      <c r="N385" s="30" t="str">
        <v>Goal</v>
      </c>
      <c r="O385" s="30" t="str">
        <f t="shared" si="37"/>
        <v>2022|Quarter-finals|Netherlands|Argentina|Netherlands|Teun Koopmeiners|Emiliano Martínez|5|3|'0-2|No|No|Goal</v>
      </c>
      <c r="P385" s="96" t="str">
        <f>IF(COUNTIF($G$32:O385,O385)&gt;1,"DOUBLON","OK")</f>
        <v>OK</v>
      </c>
      <c r="S385" s="30" t="str">
        <v>Germany</v>
      </c>
      <c r="T385" s="30" t="str">
        <f t="shared" si="39"/>
        <v>OK</v>
      </c>
      <c r="U385" s="30" t="str">
        <f t="shared" si="40"/>
        <v>-</v>
      </c>
      <c r="V385" s="30" t="str" cm="1">
        <f t="array" ref="V385">_xlfn.IFS(
ISNUMBER(SEARCH("USA",S385)),"United States",
ISNUMBER(SEARCH("Republic of Korea",S385)),"South Korea",
ISNUMBER(SEARCH("Cape Verde",S385)),"Cabo Verde",
ISNUMBER(SEARCH("Czechia",S385)),"Czech Republic",
ISNUMBER(SEARCH("Türkiye",S385)),"Turkey",
ISNUMBER(SEARCH("Ivory Coast",S385)),"Côte d'Ivoire",
ISNUMBER(SEARCH("Korea Republic",S385)),"South Korea",
ISNUMBER(SEARCH("Germany FR",S385)),"FR Germany",
ISNUMBER(SEARCH("West Germany",S385)),"FR Germany",
ISNUMBER(SEARCH("Germany DR",S385)),"DR Germany",
ISNUMBER(SEARCH("Korea DPR",S385)),"North Korea",
ISNUMBER(SEARCH("China PR",S385)),"China",
ISNUMBER(SEARCH("IR Iran",S385)),"Iran",
ISNUMBER(SEARCH("Congo DR",S385)),"Democratic Republic of the Congo",
ISNUMBER(SEARCH("DR Congo",S385)),"Democratic Republic of the Congo",
ISNUMBER(SEARCH("German DR",S385)),"DR Germany",
ISNUMBER(SEARCH("rn""&gt;United Arab Emirates",S385)),"United Arab Emirates",
ISNUMBER(SEARCH("rn""&gt;Republic of Ireland",S385)),"Ireland",
ISNUMBER(SEARCH("rn""&gt;Bosnia and Herzegovina",S385)),"Bosnia and Herzegovina",
ISNUMBER(SEARCH("rn""&gt;Trinidad and Tobago",S385)),"Trinidad and Tobago",
ISNUMBER(SEARCH("rn""&gt;Serbia and Montenegro",S385)),"Serbia and Montenegro",
ISNUMBER(SEARCH(_xlfn.UNICHAR(65533),S385)),"Côte d'Ivoire",
TRUE,""
)</f>
        <v/>
      </c>
      <c r="W385" s="30" t="str">
        <f t="shared" si="36"/>
        <v>Germany</v>
      </c>
      <c r="Z385" s="40" t="str">
        <v>Camp Nou</v>
      </c>
      <c r="AA385" s="40" t="str" cm="1">
        <f t="array" ref="AA385">IFERROR(_xlfn.XLOOKUP(Z385,_xlfn.ANCHORARRAY(Z$31),AA$31:AA$37),Z385)</f>
        <v>Camp Nou</v>
      </c>
      <c r="AB385" s="42" t="str">
        <v xml:space="preserve">Barcelona </v>
      </c>
      <c r="AC385" s="89" t="str">
        <f t="shared" si="38"/>
        <v xml:space="preserve">Barcelona </v>
      </c>
      <c r="AE385" s="42">
        <v>1978</v>
      </c>
      <c r="AK385" s="42">
        <v>2</v>
      </c>
      <c r="AL385" s="42">
        <v>1</v>
      </c>
      <c r="AW385" s="89" t="str">
        <v>GROUP_STAGE</v>
      </c>
      <c r="BE385" s="43" t="str">
        <f>IF(OR(DATA_CLEANED!AL376="",DATA_CLEANED!AM376=""),"MANQUANT",IF(OR(NOT(ISNUMBER(DATA_CLEANED!AL376)),NOT(ISNUMBER(DATA_CLEANED!AM376))),"ENTREE INVALIDE",IF(OR(DATA_CLEANED!AL376&lt;0,DATA_CLEANED!AM376&lt;0),"SCORE NEGATIF","OK")))</f>
        <v>OK</v>
      </c>
      <c r="BF385" s="43" t="str">
        <f>IF(DATA_CLEANED!AK376&lt;&gt;DATA_CLEANED!AN376,"OK","ERREUR")</f>
        <v>OK</v>
      </c>
      <c r="BG385" s="43" t="str">
        <f>IF(DATA_CLEANED!AL376&gt;DATA_CLEANED!AM376,DATA_CLEANED!AK376,IF(AND(DATA_QUALITE!W4862="-",DATA_CLEANED!AM376=DATA_CLEANED!AL376),"MATCH NUL",IF(AND(DATA_QUALITE!V4862="-",DATA_QUALITE!U4862="AUCUNE"),DATA_QUALITE!T4862,IF(DATA_QUALITE!V4862&lt;&gt;"-",DATA_QUALITE!V4862,DATA_CLEANED!AN376))))</f>
        <v>MATCH NUL</v>
      </c>
      <c r="BH385" s="103" t="str">
        <f>IF(AND(BG385="MATCH NUL",DATA_CLEANED!AO376="-"),"MATCH_NUL",IF(ISNUMBER(SEARCH("win on penalties",W4862)),"WIN_BY_PENALTY",IF(ISNUMBER(SEARCH("win after extra time",W4862)),"WIN_BY_EXTRA_TIME",IF(ISNUMBER(SEARCH("Golden Goal",W4862)),"WIN_BY_GOLDEN_GOAL","WIN_BY_SCORE"))))</f>
        <v>MATCH_NUL</v>
      </c>
      <c r="BI385" s="99" t="str">
        <f>IF(OR(BG385=DATA_CLEANED!AK376,BG385=DATA_CLEANED!AN376,BG385="MATCH NUL"),"OK","ERREUR")</f>
        <v>OK</v>
      </c>
    </row>
    <row r="386" spans="2:61">
      <c r="B386" s="74">
        <v>2022</v>
      </c>
      <c r="C386" s="30" t="str">
        <v>Quarter-finals</v>
      </c>
      <c r="D386" s="30" t="str">
        <v>Netherlands</v>
      </c>
      <c r="E386" s="30" t="str">
        <v>Argentina</v>
      </c>
      <c r="F386" s="30" t="str">
        <v>Argentina</v>
      </c>
      <c r="G386" s="30" t="str">
        <v>Gonzalo Montiel</v>
      </c>
      <c r="H386" s="30" t="str">
        <v>Andries Noppert</v>
      </c>
      <c r="I386" s="30">
        <v>6</v>
      </c>
      <c r="J386" s="30">
        <v>3</v>
      </c>
      <c r="K386" s="30" t="str">
        <v>'2-1</v>
      </c>
      <c r="L386" s="30" t="str">
        <v>No</v>
      </c>
      <c r="M386" s="30" t="str">
        <v>No</v>
      </c>
      <c r="N386" s="30" t="str">
        <v>Goal</v>
      </c>
      <c r="O386" s="30" t="str">
        <f t="shared" si="37"/>
        <v>2022|Quarter-finals|Netherlands|Argentina|Argentina|Gonzalo Montiel|Andries Noppert|6|3|'2-1|No|No|Goal</v>
      </c>
      <c r="P386" s="96" t="str">
        <f>IF(COUNTIF($G$32:O386,O386)&gt;1,"DOUBLON","OK")</f>
        <v>OK</v>
      </c>
      <c r="S386" s="30" t="str">
        <v>Germany</v>
      </c>
      <c r="T386" s="30" t="str">
        <f t="shared" si="39"/>
        <v>OK</v>
      </c>
      <c r="U386" s="30" t="str">
        <f t="shared" si="40"/>
        <v>-</v>
      </c>
      <c r="V386" s="30" t="str" cm="1">
        <f t="array" ref="V386">_xlfn.IFS(
ISNUMBER(SEARCH("USA",S386)),"United States",
ISNUMBER(SEARCH("Republic of Korea",S386)),"South Korea",
ISNUMBER(SEARCH("Cape Verde",S386)),"Cabo Verde",
ISNUMBER(SEARCH("Czechia",S386)),"Czech Republic",
ISNUMBER(SEARCH("Türkiye",S386)),"Turkey",
ISNUMBER(SEARCH("Ivory Coast",S386)),"Côte d'Ivoire",
ISNUMBER(SEARCH("Korea Republic",S386)),"South Korea",
ISNUMBER(SEARCH("Germany FR",S386)),"FR Germany",
ISNUMBER(SEARCH("West Germany",S386)),"FR Germany",
ISNUMBER(SEARCH("Germany DR",S386)),"DR Germany",
ISNUMBER(SEARCH("Korea DPR",S386)),"North Korea",
ISNUMBER(SEARCH("China PR",S386)),"China",
ISNUMBER(SEARCH("IR Iran",S386)),"Iran",
ISNUMBER(SEARCH("Congo DR",S386)),"Democratic Republic of the Congo",
ISNUMBER(SEARCH("DR Congo",S386)),"Democratic Republic of the Congo",
ISNUMBER(SEARCH("German DR",S386)),"DR Germany",
ISNUMBER(SEARCH("rn""&gt;United Arab Emirates",S386)),"United Arab Emirates",
ISNUMBER(SEARCH("rn""&gt;Republic of Ireland",S386)),"Ireland",
ISNUMBER(SEARCH("rn""&gt;Bosnia and Herzegovina",S386)),"Bosnia and Herzegovina",
ISNUMBER(SEARCH("rn""&gt;Trinidad and Tobago",S386)),"Trinidad and Tobago",
ISNUMBER(SEARCH("rn""&gt;Serbia and Montenegro",S386)),"Serbia and Montenegro",
ISNUMBER(SEARCH(_xlfn.UNICHAR(65533),S386)),"Côte d'Ivoire",
TRUE,""
)</f>
        <v/>
      </c>
      <c r="W386" s="30" t="str">
        <f t="shared" si="36"/>
        <v>Germany</v>
      </c>
      <c r="Z386" s="40" t="str">
        <v>Sarria</v>
      </c>
      <c r="AA386" s="40" t="str" cm="1">
        <f t="array" ref="AA386">IFERROR(_xlfn.XLOOKUP(Z386,_xlfn.ANCHORARRAY(Z$31),AA$31:AA$37),Z386)</f>
        <v>Sarria</v>
      </c>
      <c r="AB386" s="42" t="str">
        <v xml:space="preserve">Barcelona </v>
      </c>
      <c r="AC386" s="89" t="str">
        <f t="shared" si="38"/>
        <v xml:space="preserve">Barcelona </v>
      </c>
      <c r="AE386" s="42">
        <v>1978</v>
      </c>
      <c r="AK386" s="42">
        <v>3</v>
      </c>
      <c r="AL386" s="42">
        <v>2</v>
      </c>
      <c r="AW386" s="89" t="str">
        <v>GROUP_STAGE</v>
      </c>
      <c r="BE386" s="43" t="str">
        <f>IF(OR(DATA_CLEANED!AL377="",DATA_CLEANED!AM377=""),"MANQUANT",IF(OR(NOT(ISNUMBER(DATA_CLEANED!AL377)),NOT(ISNUMBER(DATA_CLEANED!AM377))),"ENTREE INVALIDE",IF(OR(DATA_CLEANED!AL377&lt;0,DATA_CLEANED!AM377&lt;0),"SCORE NEGATIF","OK")))</f>
        <v>OK</v>
      </c>
      <c r="BF386" s="43" t="str">
        <f>IF(DATA_CLEANED!AK377&lt;&gt;DATA_CLEANED!AN377,"OK","ERREUR")</f>
        <v>OK</v>
      </c>
      <c r="BG386" s="43" t="str">
        <f>IF(DATA_CLEANED!AL377&gt;DATA_CLEANED!AM377,DATA_CLEANED!AK377,IF(AND(DATA_QUALITE!W4863="-",DATA_CLEANED!AM377=DATA_CLEANED!AL377),"MATCH NUL",IF(AND(DATA_QUALITE!V4863="-",DATA_QUALITE!U4863="AUCUNE"),DATA_QUALITE!T4863,IF(DATA_QUALITE!V4863&lt;&gt;"-",DATA_QUALITE!V4863,DATA_CLEANED!AN377))))</f>
        <v>MATCH NUL</v>
      </c>
      <c r="BH386" s="103" t="str">
        <f>IF(AND(BG386="MATCH NUL",DATA_CLEANED!AO377="-"),"MATCH_NUL",IF(ISNUMBER(SEARCH("win on penalties",W4863)),"WIN_BY_PENALTY",IF(ISNUMBER(SEARCH("win after extra time",W4863)),"WIN_BY_EXTRA_TIME",IF(ISNUMBER(SEARCH("Golden Goal",W4863)),"WIN_BY_GOLDEN_GOAL","WIN_BY_SCORE"))))</f>
        <v>MATCH_NUL</v>
      </c>
      <c r="BI386" s="99" t="str">
        <f>IF(OR(BG386=DATA_CLEANED!AK377,BG386=DATA_CLEANED!AN377,BG386="MATCH NUL"),"OK","ERREUR")</f>
        <v>OK</v>
      </c>
    </row>
    <row r="387" spans="2:61">
      <c r="B387" s="74">
        <v>2022</v>
      </c>
      <c r="C387" s="30" t="str">
        <v>Quarter-finals</v>
      </c>
      <c r="D387" s="30" t="str">
        <v>Netherlands</v>
      </c>
      <c r="E387" s="30" t="str">
        <v>Argentina</v>
      </c>
      <c r="F387" s="30" t="str">
        <v>Netherlands</v>
      </c>
      <c r="G387" s="30" t="str">
        <v>Wout Weghorst</v>
      </c>
      <c r="H387" s="30" t="str">
        <v>Emiliano Martínez</v>
      </c>
      <c r="I387" s="30">
        <v>7</v>
      </c>
      <c r="J387" s="30">
        <v>4</v>
      </c>
      <c r="K387" s="30" t="str">
        <v>'3-1</v>
      </c>
      <c r="L387" s="30" t="str">
        <v>No</v>
      </c>
      <c r="M387" s="30" t="str">
        <v>No</v>
      </c>
      <c r="N387" s="30" t="str">
        <v>Goal</v>
      </c>
      <c r="O387" s="30" t="str">
        <f t="shared" si="37"/>
        <v>2022|Quarter-finals|Netherlands|Argentina|Netherlands|Wout Weghorst|Emiliano Martínez|7|4|'3-1|No|No|Goal</v>
      </c>
      <c r="P387" s="96" t="str">
        <f>IF(COUNTIF($G$32:O387,O387)&gt;1,"DOUBLON","OK")</f>
        <v>OK</v>
      </c>
      <c r="S387" s="30" t="str">
        <v>Germany</v>
      </c>
      <c r="T387" s="30" t="str">
        <f t="shared" si="39"/>
        <v>OK</v>
      </c>
      <c r="U387" s="30" t="str">
        <f t="shared" si="40"/>
        <v>-</v>
      </c>
      <c r="V387" s="30" t="str" cm="1">
        <f t="array" ref="V387">_xlfn.IFS(
ISNUMBER(SEARCH("USA",S387)),"United States",
ISNUMBER(SEARCH("Republic of Korea",S387)),"South Korea",
ISNUMBER(SEARCH("Cape Verde",S387)),"Cabo Verde",
ISNUMBER(SEARCH("Czechia",S387)),"Czech Republic",
ISNUMBER(SEARCH("Türkiye",S387)),"Turkey",
ISNUMBER(SEARCH("Ivory Coast",S387)),"Côte d'Ivoire",
ISNUMBER(SEARCH("Korea Republic",S387)),"South Korea",
ISNUMBER(SEARCH("Germany FR",S387)),"FR Germany",
ISNUMBER(SEARCH("West Germany",S387)),"FR Germany",
ISNUMBER(SEARCH("Germany DR",S387)),"DR Germany",
ISNUMBER(SEARCH("Korea DPR",S387)),"North Korea",
ISNUMBER(SEARCH("China PR",S387)),"China",
ISNUMBER(SEARCH("IR Iran",S387)),"Iran",
ISNUMBER(SEARCH("Congo DR",S387)),"Democratic Republic of the Congo",
ISNUMBER(SEARCH("DR Congo",S387)),"Democratic Republic of the Congo",
ISNUMBER(SEARCH("German DR",S387)),"DR Germany",
ISNUMBER(SEARCH("rn""&gt;United Arab Emirates",S387)),"United Arab Emirates",
ISNUMBER(SEARCH("rn""&gt;Republic of Ireland",S387)),"Ireland",
ISNUMBER(SEARCH("rn""&gt;Bosnia and Herzegovina",S387)),"Bosnia and Herzegovina",
ISNUMBER(SEARCH("rn""&gt;Trinidad and Tobago",S387)),"Trinidad and Tobago",
ISNUMBER(SEARCH("rn""&gt;Serbia and Montenegro",S387)),"Serbia and Montenegro",
ISNUMBER(SEARCH(_xlfn.UNICHAR(65533),S387)),"Côte d'Ivoire",
TRUE,""
)</f>
        <v/>
      </c>
      <c r="W387" s="30" t="str">
        <f t="shared" si="36"/>
        <v>Germany</v>
      </c>
      <c r="Z387" s="40" t="str">
        <v>Santiago Bernabeu</v>
      </c>
      <c r="AA387" s="40" t="str" cm="1">
        <f t="array" ref="AA387">IFERROR(_xlfn.XLOOKUP(Z387,_xlfn.ANCHORARRAY(Z$31),AA$31:AA$37),Z387)</f>
        <v>Santiago Bernabeu</v>
      </c>
      <c r="AB387" s="42" t="str">
        <v xml:space="preserve">Madrid </v>
      </c>
      <c r="AC387" s="89" t="str">
        <f t="shared" si="38"/>
        <v xml:space="preserve">Madrid </v>
      </c>
      <c r="AE387" s="42">
        <v>1978</v>
      </c>
      <c r="AK387" s="42">
        <v>3</v>
      </c>
      <c r="AL387" s="42">
        <v>1</v>
      </c>
      <c r="AW387" s="89" t="str">
        <v>GROUP_STAGE</v>
      </c>
      <c r="BE387" s="43" t="str">
        <f>IF(OR(DATA_CLEANED!AL378="",DATA_CLEANED!AM378=""),"MANQUANT",IF(OR(NOT(ISNUMBER(DATA_CLEANED!AL378)),NOT(ISNUMBER(DATA_CLEANED!AM378))),"ENTREE INVALIDE",IF(OR(DATA_CLEANED!AL378&lt;0,DATA_CLEANED!AM378&lt;0),"SCORE NEGATIF","OK")))</f>
        <v>OK</v>
      </c>
      <c r="BF387" s="43" t="str">
        <f>IF(DATA_CLEANED!AK378&lt;&gt;DATA_CLEANED!AN378,"OK","ERREUR")</f>
        <v>OK</v>
      </c>
      <c r="BG387" s="43" t="str">
        <f>IF(DATA_CLEANED!AL378&gt;DATA_CLEANED!AM378,DATA_CLEANED!AK378,IF(AND(DATA_QUALITE!W4864="-",DATA_CLEANED!AM378=DATA_CLEANED!AL378),"MATCH NUL",IF(AND(DATA_QUALITE!V4864="-",DATA_QUALITE!U4864="AUCUNE"),DATA_QUALITE!T4864,IF(DATA_QUALITE!V4864&lt;&gt;"-",DATA_QUALITE!V4864,DATA_CLEANED!AN378))))</f>
        <v>Hungary</v>
      </c>
      <c r="BH387" s="103" t="str">
        <f>IF(AND(BG387="MATCH NUL",DATA_CLEANED!AO378="-"),"MATCH_NUL",IF(ISNUMBER(SEARCH("win on penalties",W4864)),"WIN_BY_PENALTY",IF(ISNUMBER(SEARCH("win after extra time",W4864)),"WIN_BY_EXTRA_TIME",IF(ISNUMBER(SEARCH("Golden Goal",W4864)),"WIN_BY_GOLDEN_GOAL","WIN_BY_SCORE"))))</f>
        <v>WIN_BY_SCORE</v>
      </c>
      <c r="BI387" s="99" t="str">
        <f>IF(OR(BG387=DATA_CLEANED!AK378,BG387=DATA_CLEANED!AN378,BG387="MATCH NUL"),"OK","ERREUR")</f>
        <v>OK</v>
      </c>
    </row>
    <row r="388" spans="2:61">
      <c r="B388" s="74">
        <v>2022</v>
      </c>
      <c r="C388" s="30" t="str">
        <v>Quarter-finals</v>
      </c>
      <c r="D388" s="30" t="str">
        <v>Netherlands</v>
      </c>
      <c r="E388" s="30" t="str">
        <v>Argentina</v>
      </c>
      <c r="F388" s="30" t="str">
        <v>Argentina</v>
      </c>
      <c r="G388" s="30" t="str">
        <v>Enzo Fernández</v>
      </c>
      <c r="H388" s="30" t="str">
        <v>Andries Noppert</v>
      </c>
      <c r="I388" s="30">
        <v>8</v>
      </c>
      <c r="J388" s="30">
        <v>4</v>
      </c>
      <c r="K388" s="30" t="str">
        <v>'3-2</v>
      </c>
      <c r="L388" s="30" t="str">
        <v>No</v>
      </c>
      <c r="M388" s="30" t="str">
        <v>No</v>
      </c>
      <c r="N388" s="30" t="str">
        <v>Missed</v>
      </c>
      <c r="O388" s="30" t="str">
        <f t="shared" si="37"/>
        <v>2022|Quarter-finals|Netherlands|Argentina|Argentina|Enzo Fernández|Andries Noppert|8|4|'3-2|No|No|Missed</v>
      </c>
      <c r="P388" s="96" t="str">
        <f>IF(COUNTIF($G$32:O388,O388)&gt;1,"DOUBLON","OK")</f>
        <v>OK</v>
      </c>
      <c r="S388" s="30" t="str">
        <v>Germany</v>
      </c>
      <c r="T388" s="30" t="str">
        <f t="shared" si="39"/>
        <v>OK</v>
      </c>
      <c r="U388" s="30" t="str">
        <f t="shared" si="40"/>
        <v>-</v>
      </c>
      <c r="V388" s="30" t="str" cm="1">
        <f t="array" ref="V388">_xlfn.IFS(
ISNUMBER(SEARCH("USA",S388)),"United States",
ISNUMBER(SEARCH("Republic of Korea",S388)),"South Korea",
ISNUMBER(SEARCH("Cape Verde",S388)),"Cabo Verde",
ISNUMBER(SEARCH("Czechia",S388)),"Czech Republic",
ISNUMBER(SEARCH("Türkiye",S388)),"Turkey",
ISNUMBER(SEARCH("Ivory Coast",S388)),"Côte d'Ivoire",
ISNUMBER(SEARCH("Korea Republic",S388)),"South Korea",
ISNUMBER(SEARCH("Germany FR",S388)),"FR Germany",
ISNUMBER(SEARCH("West Germany",S388)),"FR Germany",
ISNUMBER(SEARCH("Germany DR",S388)),"DR Germany",
ISNUMBER(SEARCH("Korea DPR",S388)),"North Korea",
ISNUMBER(SEARCH("China PR",S388)),"China",
ISNUMBER(SEARCH("IR Iran",S388)),"Iran",
ISNUMBER(SEARCH("Congo DR",S388)),"Democratic Republic of the Congo",
ISNUMBER(SEARCH("DR Congo",S388)),"Democratic Republic of the Congo",
ISNUMBER(SEARCH("German DR",S388)),"DR Germany",
ISNUMBER(SEARCH("rn""&gt;United Arab Emirates",S388)),"United Arab Emirates",
ISNUMBER(SEARCH("rn""&gt;Republic of Ireland",S388)),"Ireland",
ISNUMBER(SEARCH("rn""&gt;Bosnia and Herzegovina",S388)),"Bosnia and Herzegovina",
ISNUMBER(SEARCH("rn""&gt;Trinidad and Tobago",S388)),"Trinidad and Tobago",
ISNUMBER(SEARCH("rn""&gt;Serbia and Montenegro",S388)),"Serbia and Montenegro",
ISNUMBER(SEARCH(_xlfn.UNICHAR(65533),S388)),"Côte d'Ivoire",
TRUE,""
)</f>
        <v/>
      </c>
      <c r="W388" s="30" t="str">
        <f t="shared" si="36"/>
        <v>Germany</v>
      </c>
      <c r="Z388" s="40" t="str">
        <v>Vicente Calderon</v>
      </c>
      <c r="AA388" s="40" t="str" cm="1">
        <f t="array" ref="AA388">IFERROR(_xlfn.XLOOKUP(Z388,_xlfn.ANCHORARRAY(Z$31),AA$31:AA$37),Z388)</f>
        <v>Vicente Calderon</v>
      </c>
      <c r="AB388" s="42" t="str">
        <v xml:space="preserve">Madrid </v>
      </c>
      <c r="AC388" s="89" t="str">
        <f t="shared" si="38"/>
        <v xml:space="preserve">Madrid </v>
      </c>
      <c r="AE388" s="42">
        <v>1978</v>
      </c>
      <c r="AK388" s="42">
        <v>6</v>
      </c>
      <c r="AL388" s="42">
        <v>0</v>
      </c>
      <c r="AW388" s="89" t="str">
        <v>GROUP_STAGE</v>
      </c>
      <c r="BE388" s="43" t="str">
        <f>IF(OR(DATA_CLEANED!AL379="",DATA_CLEANED!AM379=""),"MANQUANT",IF(OR(NOT(ISNUMBER(DATA_CLEANED!AL379)),NOT(ISNUMBER(DATA_CLEANED!AM379))),"ENTREE INVALIDE",IF(OR(DATA_CLEANED!AL379&lt;0,DATA_CLEANED!AM379&lt;0),"SCORE NEGATIF","OK")))</f>
        <v>OK</v>
      </c>
      <c r="BF388" s="43" t="str">
        <f>IF(DATA_CLEANED!AK379&lt;&gt;DATA_CLEANED!AN379,"OK","ERREUR")</f>
        <v>OK</v>
      </c>
      <c r="BG388" s="43" t="str">
        <f>IF(DATA_CLEANED!AL379&gt;DATA_CLEANED!AM379,DATA_CLEANED!AK379,IF(AND(DATA_QUALITE!W4865="-",DATA_CLEANED!AM379=DATA_CLEANED!AL379),"MATCH NUL",IF(AND(DATA_QUALITE!V4865="-",DATA_QUALITE!U4865="AUCUNE"),DATA_QUALITE!T4865,IF(DATA_QUALITE!V4865&lt;&gt;"-",DATA_QUALITE!V4865,DATA_CLEANED!AN379))))</f>
        <v>Brazil</v>
      </c>
      <c r="BH388" s="103" t="str">
        <f>IF(AND(BG388="MATCH NUL",DATA_CLEANED!AO379="-"),"MATCH_NUL",IF(ISNUMBER(SEARCH("win on penalties",W4865)),"WIN_BY_PENALTY",IF(ISNUMBER(SEARCH("win after extra time",W4865)),"WIN_BY_EXTRA_TIME",IF(ISNUMBER(SEARCH("Golden Goal",W4865)),"WIN_BY_GOLDEN_GOAL","WIN_BY_SCORE"))))</f>
        <v>WIN_BY_SCORE</v>
      </c>
      <c r="BI388" s="99" t="str">
        <f>IF(OR(BG388=DATA_CLEANED!AK379,BG388=DATA_CLEANED!AN379,BG388="MATCH NUL"),"OK","ERREUR")</f>
        <v>OK</v>
      </c>
    </row>
    <row r="389" spans="2:61">
      <c r="B389" s="74">
        <v>2022</v>
      </c>
      <c r="C389" s="30" t="str">
        <v>Quarter-finals</v>
      </c>
      <c r="D389" s="30" t="str">
        <v>Netherlands</v>
      </c>
      <c r="E389" s="30" t="str">
        <v>Argentina</v>
      </c>
      <c r="F389" s="30" t="str">
        <v>Netherlands</v>
      </c>
      <c r="G389" s="30" t="str">
        <v>Luuk de Jong</v>
      </c>
      <c r="H389" s="30" t="str">
        <v>Emiliano Martínez</v>
      </c>
      <c r="I389" s="30">
        <v>9</v>
      </c>
      <c r="J389" s="30">
        <v>5</v>
      </c>
      <c r="K389" s="30" t="str">
        <v>'3-2</v>
      </c>
      <c r="L389" s="30" t="str">
        <v>No</v>
      </c>
      <c r="M389" s="30" t="str">
        <v>No</v>
      </c>
      <c r="N389" s="30" t="str">
        <v>Goal</v>
      </c>
      <c r="O389" s="30" t="str">
        <f t="shared" si="37"/>
        <v>2022|Quarter-finals|Netherlands|Argentina|Netherlands|Luuk de Jong|Emiliano Martínez|9|5|'3-2|No|No|Goal</v>
      </c>
      <c r="P389" s="96" t="str">
        <f>IF(COUNTIF($G$32:O389,O389)&gt;1,"DOUBLON","OK")</f>
        <v>OK</v>
      </c>
      <c r="S389" s="30" t="str">
        <v>Netherlands</v>
      </c>
      <c r="T389" s="30" t="str">
        <f t="shared" si="39"/>
        <v>OK</v>
      </c>
      <c r="U389" s="30" t="str">
        <f t="shared" si="40"/>
        <v>-</v>
      </c>
      <c r="V389" s="30" t="str" cm="1">
        <f t="array" ref="V389">_xlfn.IFS(
ISNUMBER(SEARCH("USA",S389)),"United States",
ISNUMBER(SEARCH("Republic of Korea",S389)),"South Korea",
ISNUMBER(SEARCH("Cape Verde",S389)),"Cabo Verde",
ISNUMBER(SEARCH("Czechia",S389)),"Czech Republic",
ISNUMBER(SEARCH("Türkiye",S389)),"Turkey",
ISNUMBER(SEARCH("Ivory Coast",S389)),"Côte d'Ivoire",
ISNUMBER(SEARCH("Korea Republic",S389)),"South Korea",
ISNUMBER(SEARCH("Germany FR",S389)),"FR Germany",
ISNUMBER(SEARCH("West Germany",S389)),"FR Germany",
ISNUMBER(SEARCH("Germany DR",S389)),"DR Germany",
ISNUMBER(SEARCH("Korea DPR",S389)),"North Korea",
ISNUMBER(SEARCH("China PR",S389)),"China",
ISNUMBER(SEARCH("IR Iran",S389)),"Iran",
ISNUMBER(SEARCH("Congo DR",S389)),"Democratic Republic of the Congo",
ISNUMBER(SEARCH("DR Congo",S389)),"Democratic Republic of the Congo",
ISNUMBER(SEARCH("German DR",S389)),"DR Germany",
ISNUMBER(SEARCH("rn""&gt;United Arab Emirates",S389)),"United Arab Emirates",
ISNUMBER(SEARCH("rn""&gt;Republic of Ireland",S389)),"Ireland",
ISNUMBER(SEARCH("rn""&gt;Bosnia and Herzegovina",S389)),"Bosnia and Herzegovina",
ISNUMBER(SEARCH("rn""&gt;Trinidad and Tobago",S389)),"Trinidad and Tobago",
ISNUMBER(SEARCH("rn""&gt;Serbia and Montenegro",S389)),"Serbia and Montenegro",
ISNUMBER(SEARCH(_xlfn.UNICHAR(65533),S389)),"Côte d'Ivoire",
TRUE,""
)</f>
        <v/>
      </c>
      <c r="W389" s="30" t="str">
        <f t="shared" si="36"/>
        <v>Netherlands</v>
      </c>
      <c r="Z389" s="40" t="str">
        <v>Camp Nou</v>
      </c>
      <c r="AA389" s="40" t="str" cm="1">
        <f t="array" ref="AA389">IFERROR(_xlfn.XLOOKUP(Z389,_xlfn.ANCHORARRAY(Z$31),AA$31:AA$37),Z389)</f>
        <v>Camp Nou</v>
      </c>
      <c r="AB389" s="42" t="str">
        <v xml:space="preserve">Barcelona </v>
      </c>
      <c r="AC389" s="89" t="str">
        <f t="shared" si="38"/>
        <v xml:space="preserve">Barcelona </v>
      </c>
      <c r="AE389" s="42">
        <v>1978</v>
      </c>
      <c r="AK389" s="42">
        <v>2</v>
      </c>
      <c r="AL389" s="42">
        <v>1</v>
      </c>
      <c r="AW389" s="89" t="str">
        <v>GROUP_STAGE</v>
      </c>
      <c r="BE389" s="43" t="str">
        <f>IF(OR(DATA_CLEANED!AL380="",DATA_CLEANED!AM380=""),"MANQUANT",IF(OR(NOT(ISNUMBER(DATA_CLEANED!AL380)),NOT(ISNUMBER(DATA_CLEANED!AM380))),"ENTREE INVALIDE",IF(OR(DATA_CLEANED!AL380&lt;0,DATA_CLEANED!AM380&lt;0),"SCORE NEGATIF","OK")))</f>
        <v>OK</v>
      </c>
      <c r="BF389" s="43" t="str">
        <f>IF(DATA_CLEANED!AK380&lt;&gt;DATA_CLEANED!AN380,"OK","ERREUR")</f>
        <v>OK</v>
      </c>
      <c r="BG389" s="43" t="str">
        <f>IF(DATA_CLEANED!AL380&gt;DATA_CLEANED!AM380,DATA_CLEANED!AK380,IF(AND(DATA_QUALITE!W4866="-",DATA_CLEANED!AM380=DATA_CLEANED!AL380),"MATCH NUL",IF(AND(DATA_QUALITE!V4866="-",DATA_QUALITE!U4866="AUCUNE"),DATA_QUALITE!T4866,IF(DATA_QUALITE!V4866&lt;&gt;"-",DATA_QUALITE!V4866,DATA_CLEANED!AN380))))</f>
        <v>MATCH NUL</v>
      </c>
      <c r="BH389" s="103" t="str">
        <f>IF(AND(BG389="MATCH NUL",DATA_CLEANED!AO380="-"),"MATCH_NUL",IF(ISNUMBER(SEARCH("win on penalties",W4866)),"WIN_BY_PENALTY",IF(ISNUMBER(SEARCH("win after extra time",W4866)),"WIN_BY_EXTRA_TIME",IF(ISNUMBER(SEARCH("Golden Goal",W4866)),"WIN_BY_GOLDEN_GOAL","WIN_BY_SCORE"))))</f>
        <v>MATCH_NUL</v>
      </c>
      <c r="BI389" s="99" t="str">
        <f>IF(OR(BG389=DATA_CLEANED!AK380,BG389=DATA_CLEANED!AN380,BG389="MATCH NUL"),"OK","ERREUR")</f>
        <v>OK</v>
      </c>
    </row>
    <row r="390" spans="2:61">
      <c r="B390" s="74">
        <v>2022</v>
      </c>
      <c r="C390" s="30" t="str">
        <v>Quarter-finals</v>
      </c>
      <c r="D390" s="30" t="str">
        <v>Netherlands</v>
      </c>
      <c r="E390" s="30" t="str">
        <v>Argentina</v>
      </c>
      <c r="F390" s="30" t="str">
        <v>Argentina</v>
      </c>
      <c r="G390" s="30" t="str">
        <v>Lautaro Martínez</v>
      </c>
      <c r="H390" s="30" t="str">
        <v>Andries Noppert</v>
      </c>
      <c r="I390" s="30">
        <v>10</v>
      </c>
      <c r="J390" s="30">
        <v>5</v>
      </c>
      <c r="K390" s="30" t="str">
        <v>'3-3</v>
      </c>
      <c r="L390" s="30" t="str">
        <v>No</v>
      </c>
      <c r="M390" s="30" t="str">
        <v>Yes</v>
      </c>
      <c r="N390" s="30" t="str">
        <v>Goal</v>
      </c>
      <c r="O390" s="30" t="str">
        <f t="shared" si="37"/>
        <v>2022|Quarter-finals|Netherlands|Argentina|Argentina|Lautaro Martínez|Andries Noppert|10|5|'3-3|No|Yes|Goal</v>
      </c>
      <c r="P390" s="96" t="str">
        <f>IF(COUNTIF($G$32:O390,O390)&gt;1,"DOUBLON","OK")</f>
        <v>OK</v>
      </c>
      <c r="S390" s="30" t="str">
        <v>Netherlands</v>
      </c>
      <c r="T390" s="30" t="str">
        <f t="shared" si="39"/>
        <v>OK</v>
      </c>
      <c r="U390" s="30" t="str">
        <f t="shared" si="40"/>
        <v>-</v>
      </c>
      <c r="V390" s="30" t="str" cm="1">
        <f t="array" ref="V390">_xlfn.IFS(
ISNUMBER(SEARCH("USA",S390)),"United States",
ISNUMBER(SEARCH("Republic of Korea",S390)),"South Korea",
ISNUMBER(SEARCH("Cape Verde",S390)),"Cabo Verde",
ISNUMBER(SEARCH("Czechia",S390)),"Czech Republic",
ISNUMBER(SEARCH("Türkiye",S390)),"Turkey",
ISNUMBER(SEARCH("Ivory Coast",S390)),"Côte d'Ivoire",
ISNUMBER(SEARCH("Korea Republic",S390)),"South Korea",
ISNUMBER(SEARCH("Germany FR",S390)),"FR Germany",
ISNUMBER(SEARCH("West Germany",S390)),"FR Germany",
ISNUMBER(SEARCH("Germany DR",S390)),"DR Germany",
ISNUMBER(SEARCH("Korea DPR",S390)),"North Korea",
ISNUMBER(SEARCH("China PR",S390)),"China",
ISNUMBER(SEARCH("IR Iran",S390)),"Iran",
ISNUMBER(SEARCH("Congo DR",S390)),"Democratic Republic of the Congo",
ISNUMBER(SEARCH("DR Congo",S390)),"Democratic Republic of the Congo",
ISNUMBER(SEARCH("German DR",S390)),"DR Germany",
ISNUMBER(SEARCH("rn""&gt;United Arab Emirates",S390)),"United Arab Emirates",
ISNUMBER(SEARCH("rn""&gt;Republic of Ireland",S390)),"Ireland",
ISNUMBER(SEARCH("rn""&gt;Bosnia and Herzegovina",S390)),"Bosnia and Herzegovina",
ISNUMBER(SEARCH("rn""&gt;Trinidad and Tobago",S390)),"Trinidad and Tobago",
ISNUMBER(SEARCH("rn""&gt;Serbia and Montenegro",S390)),"Serbia and Montenegro",
ISNUMBER(SEARCH(_xlfn.UNICHAR(65533),S390)),"Côte d'Ivoire",
TRUE,""
)</f>
        <v/>
      </c>
      <c r="W390" s="30" t="str">
        <f t="shared" si="36"/>
        <v>Netherlands</v>
      </c>
      <c r="Z390" s="40" t="str">
        <v>Sarria</v>
      </c>
      <c r="AA390" s="40" t="str" cm="1">
        <f t="array" ref="AA390">IFERROR(_xlfn.XLOOKUP(Z390,_xlfn.ANCHORARRAY(Z$31),AA$31:AA$37),Z390)</f>
        <v>Sarria</v>
      </c>
      <c r="AB390" s="42" t="str">
        <v xml:space="preserve">Barcelona </v>
      </c>
      <c r="AC390" s="89" t="str">
        <f t="shared" si="38"/>
        <v xml:space="preserve">Barcelona </v>
      </c>
      <c r="AE390" s="42">
        <v>1978</v>
      </c>
      <c r="AK390" s="42">
        <v>3</v>
      </c>
      <c r="AL390" s="42">
        <v>1</v>
      </c>
      <c r="AW390" s="89" t="str">
        <v>GROUP_STAGE</v>
      </c>
      <c r="BE390" s="43" t="str">
        <f>IF(OR(DATA_CLEANED!AL381="",DATA_CLEANED!AM381=""),"MANQUANT",IF(OR(NOT(ISNUMBER(DATA_CLEANED!AL381)),NOT(ISNUMBER(DATA_CLEANED!AM381))),"ENTREE INVALIDE",IF(OR(DATA_CLEANED!AL381&lt;0,DATA_CLEANED!AM381&lt;0),"SCORE NEGATIF","OK")))</f>
        <v>OK</v>
      </c>
      <c r="BF390" s="43" t="str">
        <f>IF(DATA_CLEANED!AK381&lt;&gt;DATA_CLEANED!AN381,"OK","ERREUR")</f>
        <v>OK</v>
      </c>
      <c r="BG390" s="43" t="str">
        <f>IF(DATA_CLEANED!AL381&gt;DATA_CLEANED!AM381,DATA_CLEANED!AK381,IF(AND(DATA_QUALITE!W4867="-",DATA_CLEANED!AM381=DATA_CLEANED!AL381),"MATCH NUL",IF(AND(DATA_QUALITE!V4867="-",DATA_QUALITE!U4867="AUCUNE"),DATA_QUALITE!T4867,IF(DATA_QUALITE!V4867&lt;&gt;"-",DATA_QUALITE!V4867,DATA_CLEANED!AN381))))</f>
        <v>Spain</v>
      </c>
      <c r="BH390" s="103" t="str">
        <f>IF(AND(BG390="MATCH NUL",DATA_CLEANED!AO381="-"),"MATCH_NUL",IF(ISNUMBER(SEARCH("win on penalties",W4867)),"WIN_BY_PENALTY",IF(ISNUMBER(SEARCH("win after extra time",W4867)),"WIN_BY_EXTRA_TIME",IF(ISNUMBER(SEARCH("Golden Goal",W4867)),"WIN_BY_GOLDEN_GOAL","WIN_BY_SCORE"))))</f>
        <v>WIN_BY_SCORE</v>
      </c>
      <c r="BI390" s="99" t="str">
        <f>IF(OR(BG390=DATA_CLEANED!AK381,BG390=DATA_CLEANED!AN381,BG390="MATCH NUL"),"OK","ERREUR")</f>
        <v>OK</v>
      </c>
    </row>
    <row r="391" spans="2:61">
      <c r="B391" s="74">
        <v>2022</v>
      </c>
      <c r="C391" s="30" t="str">
        <v>Final</v>
      </c>
      <c r="D391" s="30" t="str">
        <v>Argentina</v>
      </c>
      <c r="E391" s="30" t="str">
        <v>France</v>
      </c>
      <c r="F391" s="30" t="str">
        <v>France</v>
      </c>
      <c r="G391" s="30" t="str">
        <v>Kylian Mbappé</v>
      </c>
      <c r="H391" s="30" t="str">
        <v>Emiliano Martínez</v>
      </c>
      <c r="I391" s="30">
        <v>1</v>
      </c>
      <c r="J391" s="30">
        <v>1</v>
      </c>
      <c r="K391" s="30" t="str">
        <v>'0-0</v>
      </c>
      <c r="L391" s="30" t="str">
        <v>No</v>
      </c>
      <c r="M391" s="30" t="str">
        <v>No</v>
      </c>
      <c r="N391" s="30" t="str">
        <v>Goal</v>
      </c>
      <c r="O391" s="30" t="str">
        <f t="shared" si="37"/>
        <v>2022|Final|Argentina|France|France|Kylian Mbappé|Emiliano Martínez|1|1|'0-0|No|No|Goal</v>
      </c>
      <c r="P391" s="96" t="str">
        <f>IF(COUNTIF($G$32:O391,O391)&gt;1,"DOUBLON","OK")</f>
        <v>OK</v>
      </c>
      <c r="S391" s="30" t="str">
        <v>Netherlands</v>
      </c>
      <c r="T391" s="30" t="str">
        <f t="shared" si="39"/>
        <v>OK</v>
      </c>
      <c r="U391" s="30" t="str">
        <f t="shared" si="40"/>
        <v>-</v>
      </c>
      <c r="V391" s="30" t="str" cm="1">
        <f t="array" ref="V391">_xlfn.IFS(
ISNUMBER(SEARCH("USA",S391)),"United States",
ISNUMBER(SEARCH("Republic of Korea",S391)),"South Korea",
ISNUMBER(SEARCH("Cape Verde",S391)),"Cabo Verde",
ISNUMBER(SEARCH("Czechia",S391)),"Czech Republic",
ISNUMBER(SEARCH("Türkiye",S391)),"Turkey",
ISNUMBER(SEARCH("Ivory Coast",S391)),"Côte d'Ivoire",
ISNUMBER(SEARCH("Korea Republic",S391)),"South Korea",
ISNUMBER(SEARCH("Germany FR",S391)),"FR Germany",
ISNUMBER(SEARCH("West Germany",S391)),"FR Germany",
ISNUMBER(SEARCH("Germany DR",S391)),"DR Germany",
ISNUMBER(SEARCH("Korea DPR",S391)),"North Korea",
ISNUMBER(SEARCH("China PR",S391)),"China",
ISNUMBER(SEARCH("IR Iran",S391)),"Iran",
ISNUMBER(SEARCH("Congo DR",S391)),"Democratic Republic of the Congo",
ISNUMBER(SEARCH("DR Congo",S391)),"Democratic Republic of the Congo",
ISNUMBER(SEARCH("German DR",S391)),"DR Germany",
ISNUMBER(SEARCH("rn""&gt;United Arab Emirates",S391)),"United Arab Emirates",
ISNUMBER(SEARCH("rn""&gt;Republic of Ireland",S391)),"Ireland",
ISNUMBER(SEARCH("rn""&gt;Bosnia and Herzegovina",S391)),"Bosnia and Herzegovina",
ISNUMBER(SEARCH("rn""&gt;Trinidad and Tobago",S391)),"Trinidad and Tobago",
ISNUMBER(SEARCH("rn""&gt;Serbia and Montenegro",S391)),"Serbia and Montenegro",
ISNUMBER(SEARCH(_xlfn.UNICHAR(65533),S391)),"Côte d'Ivoire",
TRUE,""
)</f>
        <v/>
      </c>
      <c r="W391" s="30" t="str">
        <f t="shared" si="36"/>
        <v>Netherlands</v>
      </c>
      <c r="Z391" s="40" t="str">
        <v>Santiago Bernabeu</v>
      </c>
      <c r="AA391" s="40" t="str" cm="1">
        <f t="array" ref="AA391">IFERROR(_xlfn.XLOOKUP(Z391,_xlfn.ANCHORARRAY(Z$31),AA$31:AA$37),Z391)</f>
        <v>Santiago Bernabeu</v>
      </c>
      <c r="AB391" s="42" t="str">
        <v xml:space="preserve">Madrid </v>
      </c>
      <c r="AC391" s="89" t="str">
        <f t="shared" si="38"/>
        <v xml:space="preserve">Madrid </v>
      </c>
      <c r="AE391" s="42">
        <v>1982</v>
      </c>
      <c r="AK391" s="42">
        <v>0</v>
      </c>
      <c r="AL391" s="42">
        <v>1</v>
      </c>
      <c r="AW391" s="89" t="str">
        <v>GROUP_STAGE</v>
      </c>
      <c r="BE391" s="43" t="str">
        <f>IF(OR(DATA_CLEANED!AL382="",DATA_CLEANED!AM382=""),"MANQUANT",IF(OR(NOT(ISNUMBER(DATA_CLEANED!AL382)),NOT(ISNUMBER(DATA_CLEANED!AM382))),"ENTREE INVALIDE",IF(OR(DATA_CLEANED!AL382&lt;0,DATA_CLEANED!AM382&lt;0),"SCORE NEGATIF","OK")))</f>
        <v>OK</v>
      </c>
      <c r="BF391" s="43" t="str">
        <f>IF(DATA_CLEANED!AK382&lt;&gt;DATA_CLEANED!AN382,"OK","ERREUR")</f>
        <v>OK</v>
      </c>
      <c r="BG391" s="43" t="str">
        <f>IF(DATA_CLEANED!AL382&gt;DATA_CLEANED!AM382,DATA_CLEANED!AK382,IF(AND(DATA_QUALITE!W4868="-",DATA_CLEANED!AM382=DATA_CLEANED!AL382),"MATCH NUL",IF(AND(DATA_QUALITE!V4868="-",DATA_QUALITE!U4868="AUCUNE"),DATA_QUALITE!T4868,IF(DATA_QUALITE!V4868&lt;&gt;"-",DATA_QUALITE!V4868,DATA_CLEANED!AN382))))</f>
        <v>MATCH NUL</v>
      </c>
      <c r="BH391" s="103" t="str">
        <f>IF(AND(BG391="MATCH NUL",DATA_CLEANED!AO382="-"),"MATCH_NUL",IF(ISNUMBER(SEARCH("win on penalties",W4868)),"WIN_BY_PENALTY",IF(ISNUMBER(SEARCH("win after extra time",W4868)),"WIN_BY_EXTRA_TIME",IF(ISNUMBER(SEARCH("Golden Goal",W4868)),"WIN_BY_GOLDEN_GOAL","WIN_BY_SCORE"))))</f>
        <v>MATCH_NUL</v>
      </c>
      <c r="BI391" s="99" t="str">
        <f>IF(OR(BG391=DATA_CLEANED!AK382,BG391=DATA_CLEANED!AN382,BG391="MATCH NUL"),"OK","ERREUR")</f>
        <v>OK</v>
      </c>
    </row>
    <row r="392" spans="2:61">
      <c r="B392" s="74">
        <v>2022</v>
      </c>
      <c r="C392" s="30" t="str">
        <v>Final</v>
      </c>
      <c r="D392" s="30" t="str">
        <v>Argentina</v>
      </c>
      <c r="E392" s="30" t="str">
        <v>France</v>
      </c>
      <c r="F392" s="30" t="str">
        <v>Argentina</v>
      </c>
      <c r="G392" s="30" t="str">
        <v>Lionel Messi</v>
      </c>
      <c r="H392" s="30" t="str">
        <v>Hugo Lloris</v>
      </c>
      <c r="I392" s="30">
        <v>2</v>
      </c>
      <c r="J392" s="30">
        <v>1</v>
      </c>
      <c r="K392" s="30" t="str">
        <v>'0-1</v>
      </c>
      <c r="L392" s="30" t="str">
        <v>No</v>
      </c>
      <c r="M392" s="30" t="str">
        <v>No</v>
      </c>
      <c r="N392" s="30" t="str">
        <v>Goal</v>
      </c>
      <c r="O392" s="30" t="str">
        <f t="shared" si="37"/>
        <v>2022|Final|Argentina|France|Argentina|Lionel Messi|Hugo Lloris|2|1|'0-1|No|No|Goal</v>
      </c>
      <c r="P392" s="96" t="str">
        <f>IF(COUNTIF($G$32:O392,O392)&gt;1,"DOUBLON","OK")</f>
        <v>OK</v>
      </c>
      <c r="S392" s="30" t="str">
        <v>Netherlands</v>
      </c>
      <c r="T392" s="30" t="str">
        <f t="shared" si="39"/>
        <v>OK</v>
      </c>
      <c r="U392" s="30" t="str">
        <f t="shared" si="40"/>
        <v>-</v>
      </c>
      <c r="V392" s="30" t="str" cm="1">
        <f t="array" ref="V392">_xlfn.IFS(
ISNUMBER(SEARCH("USA",S392)),"United States",
ISNUMBER(SEARCH("Republic of Korea",S392)),"South Korea",
ISNUMBER(SEARCH("Cape Verde",S392)),"Cabo Verde",
ISNUMBER(SEARCH("Czechia",S392)),"Czech Republic",
ISNUMBER(SEARCH("Türkiye",S392)),"Turkey",
ISNUMBER(SEARCH("Ivory Coast",S392)),"Côte d'Ivoire",
ISNUMBER(SEARCH("Korea Republic",S392)),"South Korea",
ISNUMBER(SEARCH("Germany FR",S392)),"FR Germany",
ISNUMBER(SEARCH("West Germany",S392)),"FR Germany",
ISNUMBER(SEARCH("Germany DR",S392)),"DR Germany",
ISNUMBER(SEARCH("Korea DPR",S392)),"North Korea",
ISNUMBER(SEARCH("China PR",S392)),"China",
ISNUMBER(SEARCH("IR Iran",S392)),"Iran",
ISNUMBER(SEARCH("Congo DR",S392)),"Democratic Republic of the Congo",
ISNUMBER(SEARCH("DR Congo",S392)),"Democratic Republic of the Congo",
ISNUMBER(SEARCH("German DR",S392)),"DR Germany",
ISNUMBER(SEARCH("rn""&gt;United Arab Emirates",S392)),"United Arab Emirates",
ISNUMBER(SEARCH("rn""&gt;Republic of Ireland",S392)),"Ireland",
ISNUMBER(SEARCH("rn""&gt;Bosnia and Herzegovina",S392)),"Bosnia and Herzegovina",
ISNUMBER(SEARCH("rn""&gt;Trinidad and Tobago",S392)),"Trinidad and Tobago",
ISNUMBER(SEARCH("rn""&gt;Serbia and Montenegro",S392)),"Serbia and Montenegro",
ISNUMBER(SEARCH(_xlfn.UNICHAR(65533),S392)),"Côte d'Ivoire",
TRUE,""
)</f>
        <v/>
      </c>
      <c r="W392" s="30" t="str">
        <f t="shared" si="36"/>
        <v>Netherlands</v>
      </c>
      <c r="Z392" s="40" t="str">
        <v>Vicente Calderon</v>
      </c>
      <c r="AA392" s="40" t="str" cm="1">
        <f t="array" ref="AA392">IFERROR(_xlfn.XLOOKUP(Z392,_xlfn.ANCHORARRAY(Z$31),AA$31:AA$37),Z392)</f>
        <v>Vicente Calderon</v>
      </c>
      <c r="AB392" s="42" t="str">
        <v xml:space="preserve">Madrid </v>
      </c>
      <c r="AC392" s="89" t="str">
        <f t="shared" si="38"/>
        <v xml:space="preserve">Madrid </v>
      </c>
      <c r="AE392" s="42">
        <v>1982</v>
      </c>
      <c r="AK392" s="42">
        <v>0</v>
      </c>
      <c r="AL392" s="42">
        <v>0</v>
      </c>
      <c r="AW392" s="89" t="str">
        <v>GROUP_STAGE</v>
      </c>
      <c r="BE392" s="43" t="str">
        <f>IF(OR(DATA_CLEANED!AL383="",DATA_CLEANED!AM383=""),"MANQUANT",IF(OR(NOT(ISNUMBER(DATA_CLEANED!AL383)),NOT(ISNUMBER(DATA_CLEANED!AM383))),"ENTREE INVALIDE",IF(OR(DATA_CLEANED!AL383&lt;0,DATA_CLEANED!AM383&lt;0),"SCORE NEGATIF","OK")))</f>
        <v>OK</v>
      </c>
      <c r="BF392" s="43" t="str">
        <f>IF(DATA_CLEANED!AK383&lt;&gt;DATA_CLEANED!AN383,"OK","ERREUR")</f>
        <v>OK</v>
      </c>
      <c r="BG392" s="43" t="str">
        <f>IF(DATA_CLEANED!AL383&gt;DATA_CLEANED!AM383,DATA_CLEANED!AK383,IF(AND(DATA_QUALITE!W4869="-",DATA_CLEANED!AM383=DATA_CLEANED!AL383),"MATCH NUL",IF(AND(DATA_QUALITE!V4869="-",DATA_QUALITE!U4869="AUCUNE"),DATA_QUALITE!T4869,IF(DATA_QUALITE!V4869&lt;&gt;"-",DATA_QUALITE!V4869,DATA_CLEANED!AN383))))</f>
        <v>Poland</v>
      </c>
      <c r="BH392" s="103" t="str">
        <f>IF(AND(BG392="MATCH NUL",DATA_CLEANED!AO383="-"),"MATCH_NUL",IF(ISNUMBER(SEARCH("win on penalties",W4869)),"WIN_BY_PENALTY",IF(ISNUMBER(SEARCH("win after extra time",W4869)),"WIN_BY_EXTRA_TIME",IF(ISNUMBER(SEARCH("Golden Goal",W4869)),"WIN_BY_GOLDEN_GOAL","WIN_BY_SCORE"))))</f>
        <v>WIN_BY_SCORE</v>
      </c>
      <c r="BI392" s="99" t="str">
        <f>IF(OR(BG392=DATA_CLEANED!AK383,BG392=DATA_CLEANED!AN383,BG392="MATCH NUL"),"OK","ERREUR")</f>
        <v>OK</v>
      </c>
    </row>
    <row r="393" spans="2:61">
      <c r="B393" s="74">
        <v>2022</v>
      </c>
      <c r="C393" s="30" t="str">
        <v>Final</v>
      </c>
      <c r="D393" s="30" t="str">
        <v>Argentina</v>
      </c>
      <c r="E393" s="30" t="str">
        <v>France</v>
      </c>
      <c r="F393" s="30" t="str">
        <v>France</v>
      </c>
      <c r="G393" s="30" t="str">
        <v>Kingsley Coman</v>
      </c>
      <c r="H393" s="30" t="str">
        <v>Emiliano Martínez</v>
      </c>
      <c r="I393" s="30">
        <v>3</v>
      </c>
      <c r="J393" s="30">
        <v>2</v>
      </c>
      <c r="K393" s="30" t="str">
        <v>'1-1</v>
      </c>
      <c r="L393" s="30" t="str">
        <v>No</v>
      </c>
      <c r="M393" s="30" t="str">
        <v>No</v>
      </c>
      <c r="N393" s="30" t="str">
        <v>Saved</v>
      </c>
      <c r="O393" s="30" t="str">
        <f t="shared" si="37"/>
        <v>2022|Final|Argentina|France|France|Kingsley Coman|Emiliano Martínez|3|2|'1-1|No|No|Saved</v>
      </c>
      <c r="P393" s="96" t="str">
        <f>IF(COUNTIF($G$32:O393,O393)&gt;1,"DOUBLON","OK")</f>
        <v>OK</v>
      </c>
      <c r="S393" s="30" t="str">
        <v>Netherlands</v>
      </c>
      <c r="T393" s="30" t="str">
        <f t="shared" si="39"/>
        <v>OK</v>
      </c>
      <c r="U393" s="30" t="str">
        <f t="shared" si="40"/>
        <v>-</v>
      </c>
      <c r="V393" s="30" t="str" cm="1">
        <f t="array" ref="V393">_xlfn.IFS(
ISNUMBER(SEARCH("USA",S393)),"United States",
ISNUMBER(SEARCH("Republic of Korea",S393)),"South Korea",
ISNUMBER(SEARCH("Cape Verde",S393)),"Cabo Verde",
ISNUMBER(SEARCH("Czechia",S393)),"Czech Republic",
ISNUMBER(SEARCH("Türkiye",S393)),"Turkey",
ISNUMBER(SEARCH("Ivory Coast",S393)),"Côte d'Ivoire",
ISNUMBER(SEARCH("Korea Republic",S393)),"South Korea",
ISNUMBER(SEARCH("Germany FR",S393)),"FR Germany",
ISNUMBER(SEARCH("West Germany",S393)),"FR Germany",
ISNUMBER(SEARCH("Germany DR",S393)),"DR Germany",
ISNUMBER(SEARCH("Korea DPR",S393)),"North Korea",
ISNUMBER(SEARCH("China PR",S393)),"China",
ISNUMBER(SEARCH("IR Iran",S393)),"Iran",
ISNUMBER(SEARCH("Congo DR",S393)),"Democratic Republic of the Congo",
ISNUMBER(SEARCH("DR Congo",S393)),"Democratic Republic of the Congo",
ISNUMBER(SEARCH("German DR",S393)),"DR Germany",
ISNUMBER(SEARCH("rn""&gt;United Arab Emirates",S393)),"United Arab Emirates",
ISNUMBER(SEARCH("rn""&gt;Republic of Ireland",S393)),"Ireland",
ISNUMBER(SEARCH("rn""&gt;Bosnia and Herzegovina",S393)),"Bosnia and Herzegovina",
ISNUMBER(SEARCH("rn""&gt;Trinidad and Tobago",S393)),"Trinidad and Tobago",
ISNUMBER(SEARCH("rn""&gt;Serbia and Montenegro",S393)),"Serbia and Montenegro",
ISNUMBER(SEARCH(_xlfn.UNICHAR(65533),S393)),"Côte d'Ivoire",
TRUE,""
)</f>
        <v/>
      </c>
      <c r="W393" s="30" t="str">
        <f t="shared" si="36"/>
        <v>Netherlands</v>
      </c>
      <c r="Z393" s="40" t="str">
        <v>Camp Nou</v>
      </c>
      <c r="AA393" s="40" t="str" cm="1">
        <f t="array" ref="AA393">IFERROR(_xlfn.XLOOKUP(Z393,_xlfn.ANCHORARRAY(Z$31),AA$31:AA$37),Z393)</f>
        <v>Camp Nou</v>
      </c>
      <c r="AB393" s="42" t="str">
        <v xml:space="preserve">Barcelona </v>
      </c>
      <c r="AC393" s="89" t="str">
        <f t="shared" si="38"/>
        <v xml:space="preserve">Barcelona </v>
      </c>
      <c r="AE393" s="42">
        <v>1982</v>
      </c>
      <c r="AK393" s="42">
        <v>2</v>
      </c>
      <c r="AL393" s="42">
        <v>1</v>
      </c>
      <c r="AW393" s="89" t="str">
        <v>GROUP_STAGE</v>
      </c>
      <c r="BE393" s="43" t="str">
        <f>IF(OR(DATA_CLEANED!AL384="",DATA_CLEANED!AM384=""),"MANQUANT",IF(OR(NOT(ISNUMBER(DATA_CLEANED!AL384)),NOT(ISNUMBER(DATA_CLEANED!AM384))),"ENTREE INVALIDE",IF(OR(DATA_CLEANED!AL384&lt;0,DATA_CLEANED!AM384&lt;0),"SCORE NEGATIF","OK")))</f>
        <v>OK</v>
      </c>
      <c r="BF393" s="43" t="str">
        <f>IF(DATA_CLEANED!AK384&lt;&gt;DATA_CLEANED!AN384,"OK","ERREUR")</f>
        <v>OK</v>
      </c>
      <c r="BG393" s="43" t="str">
        <f>IF(DATA_CLEANED!AL384&gt;DATA_CLEANED!AM384,DATA_CLEANED!AK384,IF(AND(DATA_QUALITE!W4870="-",DATA_CLEANED!AM384=DATA_CLEANED!AL384),"MATCH NUL",IF(AND(DATA_QUALITE!V4870="-",DATA_QUALITE!U4870="AUCUNE"),DATA_QUALITE!T4870,IF(DATA_QUALITE!V4870&lt;&gt;"-",DATA_QUALITE!V4870,DATA_CLEANED!AN384))))</f>
        <v>Belgium</v>
      </c>
      <c r="BH393" s="103" t="str">
        <f>IF(AND(BG393="MATCH NUL",DATA_CLEANED!AO384="-"),"MATCH_NUL",IF(ISNUMBER(SEARCH("win on penalties",W4870)),"WIN_BY_PENALTY",IF(ISNUMBER(SEARCH("win after extra time",W4870)),"WIN_BY_EXTRA_TIME",IF(ISNUMBER(SEARCH("Golden Goal",W4870)),"WIN_BY_GOLDEN_GOAL","WIN_BY_SCORE"))))</f>
        <v>WIN_BY_SCORE</v>
      </c>
      <c r="BI393" s="99" t="str">
        <f>IF(OR(BG393=DATA_CLEANED!AK384,BG393=DATA_CLEANED!AN384,BG393="MATCH NUL"),"OK","ERREUR")</f>
        <v>OK</v>
      </c>
    </row>
    <row r="394" spans="2:61">
      <c r="B394" s="74">
        <v>2022</v>
      </c>
      <c r="C394" s="30" t="str">
        <v>Final</v>
      </c>
      <c r="D394" s="30" t="str">
        <v>Argentina</v>
      </c>
      <c r="E394" s="30" t="str">
        <v>France</v>
      </c>
      <c r="F394" s="30" t="str">
        <v>Argentina</v>
      </c>
      <c r="G394" s="30" t="str">
        <v>Paulo Dybala</v>
      </c>
      <c r="H394" s="30" t="str">
        <v>Hugo Lloris</v>
      </c>
      <c r="I394" s="30">
        <v>4</v>
      </c>
      <c r="J394" s="30">
        <v>2</v>
      </c>
      <c r="K394" s="30" t="str">
        <v>'1-1</v>
      </c>
      <c r="L394" s="30" t="str">
        <v>No</v>
      </c>
      <c r="M394" s="30" t="str">
        <v>No</v>
      </c>
      <c r="N394" s="30" t="str">
        <v>Goal</v>
      </c>
      <c r="O394" s="30" t="str">
        <f t="shared" si="37"/>
        <v>2022|Final|Argentina|France|Argentina|Paulo Dybala|Hugo Lloris|4|2|'1-1|No|No|Goal</v>
      </c>
      <c r="P394" s="96" t="str">
        <f>IF(COUNTIF($G$32:O394,O394)&gt;1,"DOUBLON","OK")</f>
        <v>OK</v>
      </c>
      <c r="S394" s="30" t="str">
        <v>Netherlands</v>
      </c>
      <c r="T394" s="30" t="str">
        <f t="shared" si="39"/>
        <v>OK</v>
      </c>
      <c r="U394" s="30" t="str">
        <f t="shared" si="40"/>
        <v>-</v>
      </c>
      <c r="V394" s="30" t="str" cm="1">
        <f t="array" ref="V394">_xlfn.IFS(
ISNUMBER(SEARCH("USA",S394)),"United States",
ISNUMBER(SEARCH("Republic of Korea",S394)),"South Korea",
ISNUMBER(SEARCH("Cape Verde",S394)),"Cabo Verde",
ISNUMBER(SEARCH("Czechia",S394)),"Czech Republic",
ISNUMBER(SEARCH("Türkiye",S394)),"Turkey",
ISNUMBER(SEARCH("Ivory Coast",S394)),"Côte d'Ivoire",
ISNUMBER(SEARCH("Korea Republic",S394)),"South Korea",
ISNUMBER(SEARCH("Germany FR",S394)),"FR Germany",
ISNUMBER(SEARCH("West Germany",S394)),"FR Germany",
ISNUMBER(SEARCH("Germany DR",S394)),"DR Germany",
ISNUMBER(SEARCH("Korea DPR",S394)),"North Korea",
ISNUMBER(SEARCH("China PR",S394)),"China",
ISNUMBER(SEARCH("IR Iran",S394)),"Iran",
ISNUMBER(SEARCH("Congo DR",S394)),"Democratic Republic of the Congo",
ISNUMBER(SEARCH("DR Congo",S394)),"Democratic Republic of the Congo",
ISNUMBER(SEARCH("German DR",S394)),"DR Germany",
ISNUMBER(SEARCH("rn""&gt;United Arab Emirates",S394)),"United Arab Emirates",
ISNUMBER(SEARCH("rn""&gt;Republic of Ireland",S394)),"Ireland",
ISNUMBER(SEARCH("rn""&gt;Bosnia and Herzegovina",S394)),"Bosnia and Herzegovina",
ISNUMBER(SEARCH("rn""&gt;Trinidad and Tobago",S394)),"Trinidad and Tobago",
ISNUMBER(SEARCH("rn""&gt;Serbia and Montenegro",S394)),"Serbia and Montenegro",
ISNUMBER(SEARCH(_xlfn.UNICHAR(65533),S394)),"Côte d'Ivoire",
TRUE,""
)</f>
        <v/>
      </c>
      <c r="W394" s="30" t="str">
        <f t="shared" si="36"/>
        <v>Netherlands</v>
      </c>
      <c r="Z394" s="40" t="str">
        <v>Sarria</v>
      </c>
      <c r="AA394" s="40" t="str" cm="1">
        <f t="array" ref="AA394">IFERROR(_xlfn.XLOOKUP(Z394,_xlfn.ANCHORARRAY(Z$31),AA$31:AA$37),Z394)</f>
        <v>Sarria</v>
      </c>
      <c r="AB394" s="42" t="str">
        <v xml:space="preserve">Barcelona </v>
      </c>
      <c r="AC394" s="89" t="str">
        <f t="shared" si="38"/>
        <v xml:space="preserve">Barcelona </v>
      </c>
      <c r="AE394" s="42">
        <v>1982</v>
      </c>
      <c r="AK394" s="42">
        <v>0</v>
      </c>
      <c r="AL394" s="42">
        <v>0</v>
      </c>
      <c r="AW394" s="89" t="str">
        <v>GROUP_STAGE</v>
      </c>
      <c r="BE394" s="43" t="str">
        <f>IF(OR(DATA_CLEANED!AL385="",DATA_CLEANED!AM385=""),"MANQUANT",IF(OR(NOT(ISNUMBER(DATA_CLEANED!AL385)),NOT(ISNUMBER(DATA_CLEANED!AM385))),"ENTREE INVALIDE",IF(OR(DATA_CLEANED!AL385&lt;0,DATA_CLEANED!AM385&lt;0),"SCORE NEGATIF","OK")))</f>
        <v>OK</v>
      </c>
      <c r="BF394" s="43" t="str">
        <f>IF(DATA_CLEANED!AK385&lt;&gt;DATA_CLEANED!AN385,"OK","ERREUR")</f>
        <v>OK</v>
      </c>
      <c r="BG394" s="43" t="str">
        <f>IF(DATA_CLEANED!AL385&gt;DATA_CLEANED!AM385,DATA_CLEANED!AK385,IF(AND(DATA_QUALITE!W4871="-",DATA_CLEANED!AM385=DATA_CLEANED!AL385),"MATCH NUL",IF(AND(DATA_QUALITE!V4871="-",DATA_QUALITE!U4871="AUCUNE"),DATA_QUALITE!T4871,IF(DATA_QUALITE!V4871&lt;&gt;"-",DATA_QUALITE!V4871,DATA_CLEANED!AN385))))</f>
        <v>Denmark</v>
      </c>
      <c r="BH394" s="103" t="str">
        <f>IF(AND(BG394="MATCH NUL",DATA_CLEANED!AO385="-"),"MATCH_NUL",IF(ISNUMBER(SEARCH("win on penalties",W4871)),"WIN_BY_PENALTY",IF(ISNUMBER(SEARCH("win after extra time",W4871)),"WIN_BY_EXTRA_TIME",IF(ISNUMBER(SEARCH("Golden Goal",W4871)),"WIN_BY_GOLDEN_GOAL","WIN_BY_SCORE"))))</f>
        <v>WIN_BY_SCORE</v>
      </c>
      <c r="BI394" s="99" t="str">
        <f>IF(OR(BG394=DATA_CLEANED!AK385,BG394=DATA_CLEANED!AN385,BG394="MATCH NUL"),"OK","ERREUR")</f>
        <v>OK</v>
      </c>
    </row>
    <row r="395" spans="2:61">
      <c r="B395" s="74">
        <v>2022</v>
      </c>
      <c r="C395" s="30" t="str">
        <v>Final</v>
      </c>
      <c r="D395" s="30" t="str">
        <v>Argentina</v>
      </c>
      <c r="E395" s="30" t="str">
        <v>France</v>
      </c>
      <c r="F395" s="30" t="str">
        <v>France</v>
      </c>
      <c r="G395" s="30" t="str">
        <v>Aurélien Tchouaméni</v>
      </c>
      <c r="H395" s="30" t="str">
        <v>Emiliano Martínez</v>
      </c>
      <c r="I395" s="30">
        <v>5</v>
      </c>
      <c r="J395" s="30">
        <v>3</v>
      </c>
      <c r="K395" s="30" t="str">
        <v>'2-1</v>
      </c>
      <c r="L395" s="30" t="str">
        <v>No</v>
      </c>
      <c r="M395" s="30" t="str">
        <v>No</v>
      </c>
      <c r="N395" s="30" t="str">
        <v>Missed</v>
      </c>
      <c r="O395" s="30" t="str">
        <f t="shared" si="37"/>
        <v>2022|Final|Argentina|France|France|Aurélien Tchouaméni|Emiliano Martínez|5|3|'2-1|No|No|Missed</v>
      </c>
      <c r="P395" s="96" t="str">
        <f>IF(COUNTIF($G$32:O395,O395)&gt;1,"DOUBLON","OK")</f>
        <v>OK</v>
      </c>
      <c r="S395" s="30" t="str">
        <v>Netherlands</v>
      </c>
      <c r="T395" s="30" t="str">
        <f t="shared" si="39"/>
        <v>OK</v>
      </c>
      <c r="U395" s="30" t="str">
        <f t="shared" si="40"/>
        <v>-</v>
      </c>
      <c r="V395" s="30" t="str" cm="1">
        <f t="array" ref="V395">_xlfn.IFS(
ISNUMBER(SEARCH("USA",S395)),"United States",
ISNUMBER(SEARCH("Republic of Korea",S395)),"South Korea",
ISNUMBER(SEARCH("Cape Verde",S395)),"Cabo Verde",
ISNUMBER(SEARCH("Czechia",S395)),"Czech Republic",
ISNUMBER(SEARCH("Türkiye",S395)),"Turkey",
ISNUMBER(SEARCH("Ivory Coast",S395)),"Côte d'Ivoire",
ISNUMBER(SEARCH("Korea Republic",S395)),"South Korea",
ISNUMBER(SEARCH("Germany FR",S395)),"FR Germany",
ISNUMBER(SEARCH("West Germany",S395)),"FR Germany",
ISNUMBER(SEARCH("Germany DR",S395)),"DR Germany",
ISNUMBER(SEARCH("Korea DPR",S395)),"North Korea",
ISNUMBER(SEARCH("China PR",S395)),"China",
ISNUMBER(SEARCH("IR Iran",S395)),"Iran",
ISNUMBER(SEARCH("Congo DR",S395)),"Democratic Republic of the Congo",
ISNUMBER(SEARCH("DR Congo",S395)),"Democratic Republic of the Congo",
ISNUMBER(SEARCH("German DR",S395)),"DR Germany",
ISNUMBER(SEARCH("rn""&gt;United Arab Emirates",S395)),"United Arab Emirates",
ISNUMBER(SEARCH("rn""&gt;Republic of Ireland",S395)),"Ireland",
ISNUMBER(SEARCH("rn""&gt;Bosnia and Herzegovina",S395)),"Bosnia and Herzegovina",
ISNUMBER(SEARCH("rn""&gt;Trinidad and Tobago",S395)),"Trinidad and Tobago",
ISNUMBER(SEARCH("rn""&gt;Serbia and Montenegro",S395)),"Serbia and Montenegro",
ISNUMBER(SEARCH(_xlfn.UNICHAR(65533),S395)),"Côte d'Ivoire",
TRUE,""
)</f>
        <v/>
      </c>
      <c r="W395" s="30" t="str">
        <f t="shared" si="36"/>
        <v>Netherlands</v>
      </c>
      <c r="Z395" s="40" t="str">
        <v>Santiago Bernabeu</v>
      </c>
      <c r="AA395" s="40" t="str" cm="1">
        <f t="array" ref="AA395">IFERROR(_xlfn.XLOOKUP(Z395,_xlfn.ANCHORARRAY(Z$31),AA$31:AA$37),Z395)</f>
        <v>Santiago Bernabeu</v>
      </c>
      <c r="AB395" s="42" t="str">
        <v xml:space="preserve">Madrid </v>
      </c>
      <c r="AC395" s="89" t="str">
        <f t="shared" si="38"/>
        <v xml:space="preserve">Madrid </v>
      </c>
      <c r="AE395" s="42">
        <v>1982</v>
      </c>
      <c r="AK395" s="42">
        <v>10</v>
      </c>
      <c r="AL395" s="42">
        <v>1</v>
      </c>
      <c r="AW395" s="89" t="str">
        <v>GROUP_STAGE</v>
      </c>
      <c r="BE395" s="43" t="str">
        <f>IF(OR(DATA_CLEANED!AL386="",DATA_CLEANED!AM386=""),"MANQUANT",IF(OR(NOT(ISNUMBER(DATA_CLEANED!AL386)),NOT(ISNUMBER(DATA_CLEANED!AM386))),"ENTREE INVALIDE",IF(OR(DATA_CLEANED!AL386&lt;0,DATA_CLEANED!AM386&lt;0),"SCORE NEGATIF","OK")))</f>
        <v>OK</v>
      </c>
      <c r="BF395" s="43" t="str">
        <f>IF(DATA_CLEANED!AK386&lt;&gt;DATA_CLEANED!AN386,"OK","ERREUR")</f>
        <v>OK</v>
      </c>
      <c r="BG395" s="43" t="str">
        <f>IF(DATA_CLEANED!AL386&gt;DATA_CLEANED!AM386,DATA_CLEANED!AK386,IF(AND(DATA_QUALITE!W4872="-",DATA_CLEANED!AM386=DATA_CLEANED!AL386),"MATCH NUL",IF(AND(DATA_QUALITE!V4872="-",DATA_QUALITE!U4872="AUCUNE"),DATA_QUALITE!T4872,IF(DATA_QUALITE!V4872&lt;&gt;"-",DATA_QUALITE!V4872,DATA_CLEANED!AN386))))</f>
        <v>FR Germany</v>
      </c>
      <c r="BH395" s="103" t="str">
        <f>IF(AND(BG395="MATCH NUL",DATA_CLEANED!AO386="-"),"MATCH_NUL",IF(ISNUMBER(SEARCH("win on penalties",W4872)),"WIN_BY_PENALTY",IF(ISNUMBER(SEARCH("win after extra time",W4872)),"WIN_BY_EXTRA_TIME",IF(ISNUMBER(SEARCH("Golden Goal",W4872)),"WIN_BY_GOLDEN_GOAL","WIN_BY_SCORE"))))</f>
        <v>WIN_BY_SCORE</v>
      </c>
      <c r="BI395" s="99" t="str">
        <f>IF(OR(BG395=DATA_CLEANED!AK386,BG395=DATA_CLEANED!AN386,BG395="MATCH NUL"),"OK","ERREUR")</f>
        <v>OK</v>
      </c>
    </row>
    <row r="396" spans="2:61">
      <c r="B396" s="74">
        <v>2022</v>
      </c>
      <c r="C396" s="30" t="str">
        <v>Final</v>
      </c>
      <c r="D396" s="30" t="str">
        <v>Argentina</v>
      </c>
      <c r="E396" s="30" t="str">
        <v>France</v>
      </c>
      <c r="F396" s="30" t="str">
        <v>Argentina</v>
      </c>
      <c r="G396" s="30" t="str">
        <v>Leandro Paredes</v>
      </c>
      <c r="H396" s="30" t="str">
        <v>Hugo Lloris</v>
      </c>
      <c r="I396" s="30">
        <v>6</v>
      </c>
      <c r="J396" s="30">
        <v>3</v>
      </c>
      <c r="K396" s="30" t="str">
        <v>'2-1</v>
      </c>
      <c r="L396" s="30" t="str">
        <v>No</v>
      </c>
      <c r="M396" s="30" t="str">
        <v>No</v>
      </c>
      <c r="N396" s="30" t="str">
        <v>Goal</v>
      </c>
      <c r="O396" s="30" t="str">
        <f t="shared" si="37"/>
        <v>2022|Final|Argentina|France|Argentina|Leandro Paredes|Hugo Lloris|6|3|'2-1|No|No|Goal</v>
      </c>
      <c r="P396" s="96" t="str">
        <f>IF(COUNTIF($G$32:O396,O396)&gt;1,"DOUBLON","OK")</f>
        <v>OK</v>
      </c>
      <c r="S396" s="30" t="str">
        <v>Netherlands</v>
      </c>
      <c r="T396" s="30" t="str">
        <f t="shared" si="39"/>
        <v>OK</v>
      </c>
      <c r="U396" s="30" t="str">
        <f t="shared" si="40"/>
        <v>-</v>
      </c>
      <c r="V396" s="30" t="str" cm="1">
        <f t="array" ref="V396">_xlfn.IFS(
ISNUMBER(SEARCH("USA",S396)),"United States",
ISNUMBER(SEARCH("Republic of Korea",S396)),"South Korea",
ISNUMBER(SEARCH("Cape Verde",S396)),"Cabo Verde",
ISNUMBER(SEARCH("Czechia",S396)),"Czech Republic",
ISNUMBER(SEARCH("Türkiye",S396)),"Turkey",
ISNUMBER(SEARCH("Ivory Coast",S396)),"Côte d'Ivoire",
ISNUMBER(SEARCH("Korea Republic",S396)),"South Korea",
ISNUMBER(SEARCH("Germany FR",S396)),"FR Germany",
ISNUMBER(SEARCH("West Germany",S396)),"FR Germany",
ISNUMBER(SEARCH("Germany DR",S396)),"DR Germany",
ISNUMBER(SEARCH("Korea DPR",S396)),"North Korea",
ISNUMBER(SEARCH("China PR",S396)),"China",
ISNUMBER(SEARCH("IR Iran",S396)),"Iran",
ISNUMBER(SEARCH("Congo DR",S396)),"Democratic Republic of the Congo",
ISNUMBER(SEARCH("DR Congo",S396)),"Democratic Republic of the Congo",
ISNUMBER(SEARCH("German DR",S396)),"DR Germany",
ISNUMBER(SEARCH("rn""&gt;United Arab Emirates",S396)),"United Arab Emirates",
ISNUMBER(SEARCH("rn""&gt;Republic of Ireland",S396)),"Ireland",
ISNUMBER(SEARCH("rn""&gt;Bosnia and Herzegovina",S396)),"Bosnia and Herzegovina",
ISNUMBER(SEARCH("rn""&gt;Trinidad and Tobago",S396)),"Trinidad and Tobago",
ISNUMBER(SEARCH("rn""&gt;Serbia and Montenegro",S396)),"Serbia and Montenegro",
ISNUMBER(SEARCH(_xlfn.UNICHAR(65533),S396)),"Côte d'Ivoire",
TRUE,""
)</f>
        <v/>
      </c>
      <c r="W396" s="30" t="str">
        <f t="shared" si="36"/>
        <v>Netherlands</v>
      </c>
      <c r="Z396" s="40" t="str">
        <v>Camp Nou</v>
      </c>
      <c r="AA396" s="40" t="str" cm="1">
        <f t="array" ref="AA396">IFERROR(_xlfn.XLOOKUP(Z396,_xlfn.ANCHORARRAY(Z$31),AA$31:AA$37),Z396)</f>
        <v>Camp Nou</v>
      </c>
      <c r="AB396" s="42" t="str">
        <v xml:space="preserve">Barcelona </v>
      </c>
      <c r="AC396" s="89" t="str">
        <f t="shared" si="38"/>
        <v xml:space="preserve">Barcelona </v>
      </c>
      <c r="AE396" s="42">
        <v>1982</v>
      </c>
      <c r="AK396" s="42">
        <v>5</v>
      </c>
      <c r="AL396" s="42">
        <v>2</v>
      </c>
      <c r="AW396" s="89" t="str">
        <v>GROUP_STAGE</v>
      </c>
      <c r="BE396" s="43" t="str">
        <f>IF(OR(DATA_CLEANED!AL387="",DATA_CLEANED!AM387=""),"MANQUANT",IF(OR(NOT(ISNUMBER(DATA_CLEANED!AL387)),NOT(ISNUMBER(DATA_CLEANED!AM387))),"ENTREE INVALIDE",IF(OR(DATA_CLEANED!AL387&lt;0,DATA_CLEANED!AM387&lt;0),"SCORE NEGATIF","OK")))</f>
        <v>OK</v>
      </c>
      <c r="BF396" s="43" t="str">
        <f>IF(DATA_CLEANED!AK387&lt;&gt;DATA_CLEANED!AN387,"OK","ERREUR")</f>
        <v>OK</v>
      </c>
      <c r="BG396" s="43" t="str">
        <f>IF(DATA_CLEANED!AL387&gt;DATA_CLEANED!AM387,DATA_CLEANED!AK387,IF(AND(DATA_QUALITE!W4873="-",DATA_CLEANED!AM387=DATA_CLEANED!AL387),"MATCH NUL",IF(AND(DATA_QUALITE!V4873="-",DATA_QUALITE!U4873="AUCUNE"),DATA_QUALITE!T4873,IF(DATA_QUALITE!V4873&lt;&gt;"-",DATA_QUALITE!V4873,DATA_CLEANED!AN387))))</f>
        <v>France</v>
      </c>
      <c r="BH396" s="103" t="str">
        <f>IF(AND(BG396="MATCH NUL",DATA_CLEANED!AO387="-"),"MATCH_NUL",IF(ISNUMBER(SEARCH("win on penalties",W4873)),"WIN_BY_PENALTY",IF(ISNUMBER(SEARCH("win after extra time",W4873)),"WIN_BY_EXTRA_TIME",IF(ISNUMBER(SEARCH("Golden Goal",W4873)),"WIN_BY_GOLDEN_GOAL","WIN_BY_SCORE"))))</f>
        <v>WIN_BY_SCORE</v>
      </c>
      <c r="BI396" s="99" t="str">
        <f>IF(OR(BG396=DATA_CLEANED!AK387,BG396=DATA_CLEANED!AN387,BG396="MATCH NUL"),"OK","ERREUR")</f>
        <v>OK</v>
      </c>
    </row>
    <row r="397" spans="2:61">
      <c r="B397" s="74">
        <v>2022</v>
      </c>
      <c r="C397" s="30" t="str">
        <v>Final</v>
      </c>
      <c r="D397" s="30" t="str">
        <v>Argentina</v>
      </c>
      <c r="E397" s="30" t="str">
        <v>France</v>
      </c>
      <c r="F397" s="30" t="str">
        <v>France</v>
      </c>
      <c r="G397" s="30" t="str">
        <v>Randal Kolo Muani</v>
      </c>
      <c r="H397" s="30" t="str">
        <v>Emiliano Martínez</v>
      </c>
      <c r="I397" s="30">
        <v>7</v>
      </c>
      <c r="J397" s="30">
        <v>4</v>
      </c>
      <c r="K397" s="30" t="str">
        <v>'3-1</v>
      </c>
      <c r="L397" s="30" t="str">
        <v>No</v>
      </c>
      <c r="M397" s="30" t="str">
        <v>No</v>
      </c>
      <c r="N397" s="30" t="str">
        <v>Goal</v>
      </c>
      <c r="O397" s="30" t="str">
        <f t="shared" si="37"/>
        <v>2022|Final|Argentina|France|France|Randal Kolo Muani|Emiliano Martínez|7|4|'3-1|No|No|Goal</v>
      </c>
      <c r="P397" s="96" t="str">
        <f>IF(COUNTIF($G$32:O397,O397)&gt;1,"DOUBLON","OK")</f>
        <v>OK</v>
      </c>
      <c r="S397" s="30" t="str">
        <v>Netherlands</v>
      </c>
      <c r="T397" s="30" t="str">
        <f t="shared" si="39"/>
        <v>OK</v>
      </c>
      <c r="U397" s="30" t="str">
        <f t="shared" si="40"/>
        <v>-</v>
      </c>
      <c r="V397" s="30" t="str" cm="1">
        <f t="array" ref="V397">_xlfn.IFS(
ISNUMBER(SEARCH("USA",S397)),"United States",
ISNUMBER(SEARCH("Republic of Korea",S397)),"South Korea",
ISNUMBER(SEARCH("Cape Verde",S397)),"Cabo Verde",
ISNUMBER(SEARCH("Czechia",S397)),"Czech Republic",
ISNUMBER(SEARCH("Türkiye",S397)),"Turkey",
ISNUMBER(SEARCH("Ivory Coast",S397)),"Côte d'Ivoire",
ISNUMBER(SEARCH("Korea Republic",S397)),"South Korea",
ISNUMBER(SEARCH("Germany FR",S397)),"FR Germany",
ISNUMBER(SEARCH("West Germany",S397)),"FR Germany",
ISNUMBER(SEARCH("Germany DR",S397)),"DR Germany",
ISNUMBER(SEARCH("Korea DPR",S397)),"North Korea",
ISNUMBER(SEARCH("China PR",S397)),"China",
ISNUMBER(SEARCH("IR Iran",S397)),"Iran",
ISNUMBER(SEARCH("Congo DR",S397)),"Democratic Republic of the Congo",
ISNUMBER(SEARCH("DR Congo",S397)),"Democratic Republic of the Congo",
ISNUMBER(SEARCH("German DR",S397)),"DR Germany",
ISNUMBER(SEARCH("rn""&gt;United Arab Emirates",S397)),"United Arab Emirates",
ISNUMBER(SEARCH("rn""&gt;Republic of Ireland",S397)),"Ireland",
ISNUMBER(SEARCH("rn""&gt;Bosnia and Herzegovina",S397)),"Bosnia and Herzegovina",
ISNUMBER(SEARCH("rn""&gt;Trinidad and Tobago",S397)),"Trinidad and Tobago",
ISNUMBER(SEARCH("rn""&gt;Serbia and Montenegro",S397)),"Serbia and Montenegro",
ISNUMBER(SEARCH(_xlfn.UNICHAR(65533),S397)),"Côte d'Ivoire",
TRUE,""
)</f>
        <v/>
      </c>
      <c r="W397" s="30" t="str">
        <f t="shared" si="36"/>
        <v>Netherlands</v>
      </c>
      <c r="Z397" s="40" t="str">
        <v>Ramon Sanchez Pizjuan</v>
      </c>
      <c r="AA397" s="40" t="str" cm="1">
        <f t="array" ref="AA397">IFERROR(_xlfn.XLOOKUP(Z397,_xlfn.ANCHORARRAY(Z$31),AA$31:AA$37),Z397)</f>
        <v>Ramon Sanchez Pizjuan</v>
      </c>
      <c r="AB397" s="42" t="str">
        <v xml:space="preserve">Seville </v>
      </c>
      <c r="AC397" s="89" t="str">
        <f t="shared" si="38"/>
        <v xml:space="preserve">Seville </v>
      </c>
      <c r="AE397" s="42">
        <v>1982</v>
      </c>
      <c r="AK397" s="42">
        <v>1</v>
      </c>
      <c r="AL397" s="42">
        <v>2</v>
      </c>
      <c r="AW397" s="89" t="str">
        <v>GROUP_STAGE</v>
      </c>
      <c r="BE397" s="43" t="str">
        <f>IF(OR(DATA_CLEANED!AL388="",DATA_CLEANED!AM388=""),"MANQUANT",IF(OR(NOT(ISNUMBER(DATA_CLEANED!AL388)),NOT(ISNUMBER(DATA_CLEANED!AM388))),"ENTREE INVALIDE",IF(OR(DATA_CLEANED!AL388&lt;0,DATA_CLEANED!AM388&lt;0),"SCORE NEGATIF","OK")))</f>
        <v>OK</v>
      </c>
      <c r="BF397" s="43" t="str">
        <f>IF(DATA_CLEANED!AK388&lt;&gt;DATA_CLEANED!AN388,"OK","ERREUR")</f>
        <v>OK</v>
      </c>
      <c r="BG397" s="43" t="str">
        <f>IF(DATA_CLEANED!AL388&gt;DATA_CLEANED!AM388,DATA_CLEANED!AK388,IF(AND(DATA_QUALITE!W4874="-",DATA_CLEANED!AM388=DATA_CLEANED!AL388),"MATCH NUL",IF(AND(DATA_QUALITE!V4874="-",DATA_QUALITE!U4874="AUCUNE"),DATA_QUALITE!T4874,IF(DATA_QUALITE!V4874&lt;&gt;"-",DATA_QUALITE!V4874,DATA_CLEANED!AN388))))</f>
        <v>Soviet Union</v>
      </c>
      <c r="BH397" s="103" t="str">
        <f>IF(AND(BG397="MATCH NUL",DATA_CLEANED!AO388="-"),"MATCH_NUL",IF(ISNUMBER(SEARCH("win on penalties",W4874)),"WIN_BY_PENALTY",IF(ISNUMBER(SEARCH("win after extra time",W4874)),"WIN_BY_EXTRA_TIME",IF(ISNUMBER(SEARCH("Golden Goal",W4874)),"WIN_BY_GOLDEN_GOAL","WIN_BY_SCORE"))))</f>
        <v>WIN_BY_SCORE</v>
      </c>
      <c r="BI397" s="99" t="str">
        <f>IF(OR(BG397=DATA_CLEANED!AK388,BG397=DATA_CLEANED!AN388,BG397="MATCH NUL"),"OK","ERREUR")</f>
        <v>OK</v>
      </c>
    </row>
    <row r="398" spans="2:61">
      <c r="B398" s="74">
        <v>2022</v>
      </c>
      <c r="C398" s="30" t="str">
        <v>Final</v>
      </c>
      <c r="D398" s="30" t="str">
        <v>Argentina</v>
      </c>
      <c r="E398" s="30" t="str">
        <v>France</v>
      </c>
      <c r="F398" s="30" t="str">
        <v>Argentina</v>
      </c>
      <c r="G398" s="30" t="str">
        <v>Gonzalo Montiel</v>
      </c>
      <c r="H398" s="30" t="str">
        <v>Hugo Lloris</v>
      </c>
      <c r="I398" s="30">
        <v>8</v>
      </c>
      <c r="J398" s="30">
        <v>4</v>
      </c>
      <c r="K398" s="30" t="str">
        <v>'3-2</v>
      </c>
      <c r="L398" s="30" t="str">
        <v>No</v>
      </c>
      <c r="M398" s="30" t="str">
        <v>Yes</v>
      </c>
      <c r="N398" s="30" t="str">
        <v>Goal</v>
      </c>
      <c r="O398" s="30" t="str">
        <f t="shared" si="37"/>
        <v>2022|Final|Argentina|France|Argentina|Gonzalo Montiel|Hugo Lloris|8|4|'3-2|No|Yes|Goal</v>
      </c>
      <c r="P398" s="96" t="str">
        <f>IF(COUNTIF($G$32:O398,O398)&gt;1,"DOUBLON","OK")</f>
        <v>OK</v>
      </c>
      <c r="S398" s="30" t="str">
        <v>Australia</v>
      </c>
      <c r="T398" s="30" t="str">
        <f t="shared" si="39"/>
        <v>OK</v>
      </c>
      <c r="U398" s="30" t="str">
        <f t="shared" si="40"/>
        <v>-</v>
      </c>
      <c r="V398" s="30" t="str" cm="1">
        <f t="array" ref="V398">_xlfn.IFS(
ISNUMBER(SEARCH("USA",S398)),"United States",
ISNUMBER(SEARCH("Republic of Korea",S398)),"South Korea",
ISNUMBER(SEARCH("Cape Verde",S398)),"Cabo Verde",
ISNUMBER(SEARCH("Czechia",S398)),"Czech Republic",
ISNUMBER(SEARCH("Türkiye",S398)),"Turkey",
ISNUMBER(SEARCH("Ivory Coast",S398)),"Côte d'Ivoire",
ISNUMBER(SEARCH("Korea Republic",S398)),"South Korea",
ISNUMBER(SEARCH("Germany FR",S398)),"FR Germany",
ISNUMBER(SEARCH("West Germany",S398)),"FR Germany",
ISNUMBER(SEARCH("Germany DR",S398)),"DR Germany",
ISNUMBER(SEARCH("Korea DPR",S398)),"North Korea",
ISNUMBER(SEARCH("China PR",S398)),"China",
ISNUMBER(SEARCH("IR Iran",S398)),"Iran",
ISNUMBER(SEARCH("Congo DR",S398)),"Democratic Republic of the Congo",
ISNUMBER(SEARCH("DR Congo",S398)),"Democratic Republic of the Congo",
ISNUMBER(SEARCH("German DR",S398)),"DR Germany",
ISNUMBER(SEARCH("rn""&gt;United Arab Emirates",S398)),"United Arab Emirates",
ISNUMBER(SEARCH("rn""&gt;Republic of Ireland",S398)),"Ireland",
ISNUMBER(SEARCH("rn""&gt;Bosnia and Herzegovina",S398)),"Bosnia and Herzegovina",
ISNUMBER(SEARCH("rn""&gt;Trinidad and Tobago",S398)),"Trinidad and Tobago",
ISNUMBER(SEARCH("rn""&gt;Serbia and Montenegro",S398)),"Serbia and Montenegro",
ISNUMBER(SEARCH(_xlfn.UNICHAR(65533),S398)),"Côte d'Ivoire",
TRUE,""
)</f>
        <v/>
      </c>
      <c r="W398" s="30" t="str">
        <f t="shared" ref="W398:W461" si="41">IF(V398="",S398,V398)</f>
        <v>Australia</v>
      </c>
      <c r="Z398" s="40" t="str">
        <v>Jose Rico Perez</v>
      </c>
      <c r="AA398" s="40" t="str" cm="1">
        <f t="array" ref="AA398">IFERROR(_xlfn.XLOOKUP(Z398,_xlfn.ANCHORARRAY(Z$31),AA$31:AA$37),Z398)</f>
        <v>Jose Rico Perez</v>
      </c>
      <c r="AB398" s="42" t="str">
        <v xml:space="preserve">Alicante </v>
      </c>
      <c r="AC398" s="89" t="str">
        <f t="shared" si="38"/>
        <v xml:space="preserve">Alicante </v>
      </c>
      <c r="AE398" s="42">
        <v>1982</v>
      </c>
      <c r="AK398" s="42">
        <v>3</v>
      </c>
      <c r="AL398" s="42">
        <v>1</v>
      </c>
      <c r="AW398" s="89" t="str">
        <v>GROUP_STAGE</v>
      </c>
      <c r="BE398" s="43" t="str">
        <f>IF(OR(DATA_CLEANED!AL389="",DATA_CLEANED!AM389=""),"MANQUANT",IF(OR(NOT(ISNUMBER(DATA_CLEANED!AL389)),NOT(ISNUMBER(DATA_CLEANED!AM389))),"ENTREE INVALIDE",IF(OR(DATA_CLEANED!AL389&lt;0,DATA_CLEANED!AM389&lt;0),"SCORE NEGATIF","OK")))</f>
        <v>OK</v>
      </c>
      <c r="BF398" s="43" t="str">
        <f>IF(DATA_CLEANED!AK389&lt;&gt;DATA_CLEANED!AN389,"OK","ERREUR")</f>
        <v>OK</v>
      </c>
      <c r="BG398" s="43" t="str">
        <f>IF(DATA_CLEANED!AL389&gt;DATA_CLEANED!AM389,DATA_CLEANED!AK389,IF(AND(DATA_QUALITE!W4875="-",DATA_CLEANED!AM389=DATA_CLEANED!AL389),"MATCH NUL",IF(AND(DATA_QUALITE!V4875="-",DATA_QUALITE!U4875="AUCUNE"),DATA_QUALITE!T4875,IF(DATA_QUALITE!V4875&lt;&gt;"-",DATA_QUALITE!V4875,DATA_CLEANED!AN389))))</f>
        <v>Italy</v>
      </c>
      <c r="BH398" s="103" t="str">
        <f>IF(AND(BG398="MATCH NUL",DATA_CLEANED!AO389="-"),"MATCH_NUL",IF(ISNUMBER(SEARCH("win on penalties",W4875)),"WIN_BY_PENALTY",IF(ISNUMBER(SEARCH("win after extra time",W4875)),"WIN_BY_EXTRA_TIME",IF(ISNUMBER(SEARCH("Golden Goal",W4875)),"WIN_BY_GOLDEN_GOAL","WIN_BY_SCORE"))))</f>
        <v>WIN_BY_SCORE</v>
      </c>
      <c r="BI398" s="99" t="str">
        <f>IF(OR(BG398=DATA_CLEANED!AK389,BG398=DATA_CLEANED!AN389,BG398="MATCH NUL"),"OK","ERREUR")</f>
        <v>OK</v>
      </c>
    </row>
    <row r="399" spans="2:61">
      <c r="B399" s="74">
        <v>2026</v>
      </c>
      <c r="C399" s="30" t="str">
        <v>Round of 32</v>
      </c>
      <c r="D399" s="30" t="str">
        <v>Germany</v>
      </c>
      <c r="E399" s="30" t="str">
        <v>Paraguay</v>
      </c>
      <c r="F399" s="30" t="str">
        <v>Germany</v>
      </c>
      <c r="G399" s="30" t="str">
        <v>Florian Wirtz</v>
      </c>
      <c r="H399" s="30" t="str">
        <v>Roberto Fernández</v>
      </c>
      <c r="I399" s="30">
        <v>1</v>
      </c>
      <c r="J399" s="30">
        <v>1</v>
      </c>
      <c r="K399" s="30" t="str">
        <v>0-0</v>
      </c>
      <c r="L399" s="30" t="str">
        <v>No</v>
      </c>
      <c r="M399" s="30" t="str">
        <v>No</v>
      </c>
      <c r="N399" s="30" t="str">
        <v>Goal</v>
      </c>
      <c r="O399" s="30" t="str">
        <f t="shared" si="37"/>
        <v>2026|Round of 32|Germany|Paraguay|Germany|Florian Wirtz|Roberto Fernández|1|1|0-0|No|No|Goal</v>
      </c>
      <c r="P399" s="96" t="str">
        <f>IF(COUNTIF($G$32:O399,O399)&gt;1,"DOUBLON","OK")</f>
        <v>OK</v>
      </c>
      <c r="S399" s="30" t="str">
        <v>Australia</v>
      </c>
      <c r="T399" s="30" t="str">
        <f t="shared" si="39"/>
        <v>OK</v>
      </c>
      <c r="U399" s="30" t="str">
        <f t="shared" si="40"/>
        <v>-</v>
      </c>
      <c r="V399" s="30" t="str" cm="1">
        <f t="array" ref="V399">_xlfn.IFS(
ISNUMBER(SEARCH("USA",S399)),"United States",
ISNUMBER(SEARCH("Republic of Korea",S399)),"South Korea",
ISNUMBER(SEARCH("Cape Verde",S399)),"Cabo Verde",
ISNUMBER(SEARCH("Czechia",S399)),"Czech Republic",
ISNUMBER(SEARCH("Türkiye",S399)),"Turkey",
ISNUMBER(SEARCH("Ivory Coast",S399)),"Côte d'Ivoire",
ISNUMBER(SEARCH("Korea Republic",S399)),"South Korea",
ISNUMBER(SEARCH("Germany FR",S399)),"FR Germany",
ISNUMBER(SEARCH("West Germany",S399)),"FR Germany",
ISNUMBER(SEARCH("Germany DR",S399)),"DR Germany",
ISNUMBER(SEARCH("Korea DPR",S399)),"North Korea",
ISNUMBER(SEARCH("China PR",S399)),"China",
ISNUMBER(SEARCH("IR Iran",S399)),"Iran",
ISNUMBER(SEARCH("Congo DR",S399)),"Democratic Republic of the Congo",
ISNUMBER(SEARCH("DR Congo",S399)),"Democratic Republic of the Congo",
ISNUMBER(SEARCH("German DR",S399)),"DR Germany",
ISNUMBER(SEARCH("rn""&gt;United Arab Emirates",S399)),"United Arab Emirates",
ISNUMBER(SEARCH("rn""&gt;Republic of Ireland",S399)),"Ireland",
ISNUMBER(SEARCH("rn""&gt;Bosnia and Herzegovina",S399)),"Bosnia and Herzegovina",
ISNUMBER(SEARCH("rn""&gt;Trinidad and Tobago",S399)),"Trinidad and Tobago",
ISNUMBER(SEARCH("rn""&gt;Serbia and Montenegro",S399)),"Serbia and Montenegro",
ISNUMBER(SEARCH(_xlfn.UNICHAR(65533),S399)),"Côte d'Ivoire",
TRUE,""
)</f>
        <v/>
      </c>
      <c r="W399" s="30" t="str">
        <f t="shared" si="41"/>
        <v>Australia</v>
      </c>
      <c r="Z399" s="40" t="str">
        <v>Santiago Bernabeu</v>
      </c>
      <c r="AA399" s="40" t="str" cm="1">
        <f t="array" ref="AA399">IFERROR(_xlfn.XLOOKUP(Z399,_xlfn.ANCHORARRAY(Z$31),AA$31:AA$37),Z399)</f>
        <v>Santiago Bernabeu</v>
      </c>
      <c r="AB399" s="42" t="str">
        <v xml:space="preserve">Madrid </v>
      </c>
      <c r="AC399" s="89" t="str">
        <f t="shared" si="38"/>
        <v xml:space="preserve">Madrid </v>
      </c>
      <c r="AE399" s="42">
        <v>1982</v>
      </c>
      <c r="AK399" s="42">
        <v>1</v>
      </c>
      <c r="AL399" s="42">
        <v>1</v>
      </c>
      <c r="AW399" s="89" t="str">
        <v>GROUP_STAGE</v>
      </c>
      <c r="BE399" s="43" t="str">
        <f>IF(OR(DATA_CLEANED!AL390="",DATA_CLEANED!AM390=""),"MANQUANT",IF(OR(NOT(ISNUMBER(DATA_CLEANED!AL390)),NOT(ISNUMBER(DATA_CLEANED!AM390))),"ENTREE INVALIDE",IF(OR(DATA_CLEANED!AL390&lt;0,DATA_CLEANED!AM390&lt;0),"SCORE NEGATIF","OK")))</f>
        <v>OK</v>
      </c>
      <c r="BF399" s="43" t="str">
        <f>IF(DATA_CLEANED!AK390&lt;&gt;DATA_CLEANED!AN390,"OK","ERREUR")</f>
        <v>OK</v>
      </c>
      <c r="BG399" s="43" t="str">
        <f>IF(DATA_CLEANED!AL390&gt;DATA_CLEANED!AM390,DATA_CLEANED!AK390,IF(AND(DATA_QUALITE!W4876="-",DATA_CLEANED!AM390=DATA_CLEANED!AL390),"MATCH NUL",IF(AND(DATA_QUALITE!V4876="-",DATA_QUALITE!U4876="AUCUNE"),DATA_QUALITE!T4876,IF(DATA_QUALITE!V4876&lt;&gt;"-",DATA_QUALITE!V4876,DATA_CLEANED!AN390))))</f>
        <v>Argentina</v>
      </c>
      <c r="BH399" s="103" t="str">
        <f>IF(AND(BG399="MATCH NUL",DATA_CLEANED!AO390="-"),"MATCH_NUL",IF(ISNUMBER(SEARCH("win on penalties",W4876)),"WIN_BY_PENALTY",IF(ISNUMBER(SEARCH("win after extra time",W4876)),"WIN_BY_EXTRA_TIME",IF(ISNUMBER(SEARCH("Golden Goal",W4876)),"WIN_BY_GOLDEN_GOAL","WIN_BY_SCORE"))))</f>
        <v>WIN_BY_SCORE</v>
      </c>
      <c r="BI399" s="99" t="str">
        <f>IF(OR(BG399=DATA_CLEANED!AK390,BG399=DATA_CLEANED!AN390,BG399="MATCH NUL"),"OK","ERREUR")</f>
        <v>OK</v>
      </c>
    </row>
    <row r="400" spans="2:61">
      <c r="B400" s="74">
        <v>2026</v>
      </c>
      <c r="C400" s="30" t="str">
        <v>Round of 32</v>
      </c>
      <c r="D400" s="30" t="str">
        <v>Germany</v>
      </c>
      <c r="E400" s="30" t="str">
        <v>Paraguay</v>
      </c>
      <c r="F400" s="30" t="str">
        <v>Paraguay</v>
      </c>
      <c r="G400" s="30" t="str">
        <v>Julio Enciso</v>
      </c>
      <c r="H400" s="30" t="str">
        <v>Marc-André ter Stegen</v>
      </c>
      <c r="I400" s="30">
        <v>2</v>
      </c>
      <c r="J400" s="30">
        <v>1</v>
      </c>
      <c r="K400" s="30" t="str">
        <v>1-0</v>
      </c>
      <c r="L400" s="30" t="str">
        <v>No</v>
      </c>
      <c r="M400" s="30" t="str">
        <v>No</v>
      </c>
      <c r="N400" s="30" t="str">
        <v>Goal</v>
      </c>
      <c r="O400" s="30" t="str">
        <f t="shared" si="37"/>
        <v>2026|Round of 32|Germany|Paraguay|Paraguay|Julio Enciso|Marc-André ter Stegen|2|1|1-0|No|No|Goal</v>
      </c>
      <c r="P400" s="96" t="str">
        <f>IF(COUNTIF($G$32:O400,O400)&gt;1,"DOUBLON","OK")</f>
        <v>OK</v>
      </c>
      <c r="S400" s="30" t="str">
        <v>Australia</v>
      </c>
      <c r="T400" s="30" t="str">
        <f t="shared" si="39"/>
        <v>OK</v>
      </c>
      <c r="U400" s="30" t="str">
        <f t="shared" si="40"/>
        <v>-</v>
      </c>
      <c r="V400" s="30" t="str" cm="1">
        <f t="array" ref="V400">_xlfn.IFS(
ISNUMBER(SEARCH("USA",S400)),"United States",
ISNUMBER(SEARCH("Republic of Korea",S400)),"South Korea",
ISNUMBER(SEARCH("Cape Verde",S400)),"Cabo Verde",
ISNUMBER(SEARCH("Czechia",S400)),"Czech Republic",
ISNUMBER(SEARCH("Türkiye",S400)),"Turkey",
ISNUMBER(SEARCH("Ivory Coast",S400)),"Côte d'Ivoire",
ISNUMBER(SEARCH("Korea Republic",S400)),"South Korea",
ISNUMBER(SEARCH("Germany FR",S400)),"FR Germany",
ISNUMBER(SEARCH("West Germany",S400)),"FR Germany",
ISNUMBER(SEARCH("Germany DR",S400)),"DR Germany",
ISNUMBER(SEARCH("Korea DPR",S400)),"North Korea",
ISNUMBER(SEARCH("China PR",S400)),"China",
ISNUMBER(SEARCH("IR Iran",S400)),"Iran",
ISNUMBER(SEARCH("Congo DR",S400)),"Democratic Republic of the Congo",
ISNUMBER(SEARCH("DR Congo",S400)),"Democratic Republic of the Congo",
ISNUMBER(SEARCH("German DR",S400)),"DR Germany",
ISNUMBER(SEARCH("rn""&gt;United Arab Emirates",S400)),"United Arab Emirates",
ISNUMBER(SEARCH("rn""&gt;Republic of Ireland",S400)),"Ireland",
ISNUMBER(SEARCH("rn""&gt;Bosnia and Herzegovina",S400)),"Bosnia and Herzegovina",
ISNUMBER(SEARCH("rn""&gt;Trinidad and Tobago",S400)),"Trinidad and Tobago",
ISNUMBER(SEARCH("rn""&gt;Serbia and Montenegro",S400)),"Serbia and Montenegro",
ISNUMBER(SEARCH(_xlfn.UNICHAR(65533),S400)),"Côte d'Ivoire",
TRUE,""
)</f>
        <v/>
      </c>
      <c r="W400" s="30" t="str">
        <f t="shared" si="41"/>
        <v>Australia</v>
      </c>
      <c r="Z400" s="40" t="str">
        <v>Estadio Azteca</v>
      </c>
      <c r="AA400" s="40" t="str" cm="1">
        <f t="array" ref="AA400">IFERROR(_xlfn.XLOOKUP(Z400,_xlfn.ANCHORARRAY(Z$31),AA$31:AA$37),Z400)</f>
        <v>Estadio Azteca</v>
      </c>
      <c r="AB400" s="42" t="str">
        <v xml:space="preserve">Mexico City </v>
      </c>
      <c r="AC400" s="89" t="str">
        <f t="shared" si="38"/>
        <v xml:space="preserve">Mexico City </v>
      </c>
      <c r="AE400" s="42">
        <v>1982</v>
      </c>
      <c r="AK400" s="42">
        <v>0</v>
      </c>
      <c r="AL400" s="42">
        <v>1</v>
      </c>
      <c r="AW400" s="89" t="str">
        <v>GROUP_STAGE</v>
      </c>
      <c r="BE400" s="43" t="str">
        <f>IF(OR(DATA_CLEANED!AL391="",DATA_CLEANED!AM391=""),"MANQUANT",IF(OR(NOT(ISNUMBER(DATA_CLEANED!AL391)),NOT(ISNUMBER(DATA_CLEANED!AM391))),"ENTREE INVALIDE",IF(OR(DATA_CLEANED!AL391&lt;0,DATA_CLEANED!AM391&lt;0),"SCORE NEGATIF","OK")))</f>
        <v>OK</v>
      </c>
      <c r="BF400" s="43" t="str">
        <f>IF(DATA_CLEANED!AK391&lt;&gt;DATA_CLEANED!AN391,"OK","ERREUR")</f>
        <v>OK</v>
      </c>
      <c r="BG400" s="43" t="str">
        <f>IF(DATA_CLEANED!AL391&gt;DATA_CLEANED!AM391,DATA_CLEANED!AK391,IF(AND(DATA_QUALITE!W4877="-",DATA_CLEANED!AM391=DATA_CLEANED!AL391),"MATCH NUL",IF(AND(DATA_QUALITE!V4877="-",DATA_QUALITE!U4877="AUCUNE"),DATA_QUALITE!T4877,IF(DATA_QUALITE!V4877&lt;&gt;"-",DATA_QUALITE!V4877,DATA_CLEANED!AN391))))</f>
        <v>MATCH NUL</v>
      </c>
      <c r="BH400" s="103" t="str">
        <f>IF(AND(BG400="MATCH NUL",DATA_CLEANED!AO391="-"),"MATCH_NUL",IF(ISNUMBER(SEARCH("win on penalties",W4877)),"WIN_BY_PENALTY",IF(ISNUMBER(SEARCH("win after extra time",W4877)),"WIN_BY_EXTRA_TIME",IF(ISNUMBER(SEARCH("Golden Goal",W4877)),"WIN_BY_GOLDEN_GOAL","WIN_BY_SCORE"))))</f>
        <v>MATCH_NUL</v>
      </c>
      <c r="BI400" s="99" t="str">
        <f>IF(OR(BG400=DATA_CLEANED!AK391,BG400=DATA_CLEANED!AN391,BG400="MATCH NUL"),"OK","ERREUR")</f>
        <v>OK</v>
      </c>
    </row>
    <row r="401" spans="2:61">
      <c r="B401" s="74">
        <v>2026</v>
      </c>
      <c r="C401" s="30" t="str">
        <v>Round of 32</v>
      </c>
      <c r="D401" s="30" t="str">
        <v>Germany</v>
      </c>
      <c r="E401" s="30" t="str">
        <v>Paraguay</v>
      </c>
      <c r="F401" s="30" t="str">
        <v>Germany</v>
      </c>
      <c r="G401" s="30" t="str">
        <v>Kai Havertz</v>
      </c>
      <c r="H401" s="30" t="str">
        <v>Roberto Fernández</v>
      </c>
      <c r="I401" s="30">
        <v>3</v>
      </c>
      <c r="J401" s="30">
        <v>2</v>
      </c>
      <c r="K401" s="30" t="str">
        <v>1-1</v>
      </c>
      <c r="L401" s="30" t="str">
        <v>No</v>
      </c>
      <c r="M401" s="30" t="str">
        <v>No</v>
      </c>
      <c r="N401" s="30" t="str">
        <v>Miss</v>
      </c>
      <c r="O401" s="30" t="str">
        <f t="shared" si="37"/>
        <v>2026|Round of 32|Germany|Paraguay|Germany|Kai Havertz|Roberto Fernández|3|2|1-1|No|No|Miss</v>
      </c>
      <c r="P401" s="96" t="str">
        <f>IF(COUNTIF($G$32:O401,O401)&gt;1,"DOUBLON","OK")</f>
        <v>OK</v>
      </c>
      <c r="S401" s="30" t="str">
        <v>Australia</v>
      </c>
      <c r="T401" s="30" t="str">
        <f t="shared" si="39"/>
        <v>OK</v>
      </c>
      <c r="U401" s="30" t="str">
        <f t="shared" si="40"/>
        <v>-</v>
      </c>
      <c r="V401" s="30" t="str" cm="1">
        <f t="array" ref="V401">_xlfn.IFS(
ISNUMBER(SEARCH("USA",S401)),"United States",
ISNUMBER(SEARCH("Republic of Korea",S401)),"South Korea",
ISNUMBER(SEARCH("Cape Verde",S401)),"Cabo Verde",
ISNUMBER(SEARCH("Czechia",S401)),"Czech Republic",
ISNUMBER(SEARCH("Türkiye",S401)),"Turkey",
ISNUMBER(SEARCH("Ivory Coast",S401)),"Côte d'Ivoire",
ISNUMBER(SEARCH("Korea Republic",S401)),"South Korea",
ISNUMBER(SEARCH("Germany FR",S401)),"FR Germany",
ISNUMBER(SEARCH("West Germany",S401)),"FR Germany",
ISNUMBER(SEARCH("Germany DR",S401)),"DR Germany",
ISNUMBER(SEARCH("Korea DPR",S401)),"North Korea",
ISNUMBER(SEARCH("China PR",S401)),"China",
ISNUMBER(SEARCH("IR Iran",S401)),"Iran",
ISNUMBER(SEARCH("Congo DR",S401)),"Democratic Republic of the Congo",
ISNUMBER(SEARCH("DR Congo",S401)),"Democratic Republic of the Congo",
ISNUMBER(SEARCH("German DR",S401)),"DR Germany",
ISNUMBER(SEARCH("rn""&gt;United Arab Emirates",S401)),"United Arab Emirates",
ISNUMBER(SEARCH("rn""&gt;Republic of Ireland",S401)),"Ireland",
ISNUMBER(SEARCH("rn""&gt;Bosnia and Herzegovina",S401)),"Bosnia and Herzegovina",
ISNUMBER(SEARCH("rn""&gt;Trinidad and Tobago",S401)),"Trinidad and Tobago",
ISNUMBER(SEARCH("rn""&gt;Serbia and Montenegro",S401)),"Serbia and Montenegro",
ISNUMBER(SEARCH(_xlfn.UNICHAR(65533),S401)),"Côte d'Ivoire",
TRUE,""
)</f>
        <v/>
      </c>
      <c r="W401" s="30" t="str">
        <f t="shared" si="41"/>
        <v>Australia</v>
      </c>
      <c r="Z401" s="40" t="str">
        <v>Nou Camp - Estadio Le�n</v>
      </c>
      <c r="AA401" s="40" t="str" cm="1">
        <f t="array" ref="AA401">IFERROR(_xlfn.XLOOKUP(Z401,_xlfn.ANCHORARRAY(Z$31),AA$31:AA$37),Z401)</f>
        <v>Nou Camp - Estadio León</v>
      </c>
      <c r="AB401" s="42" t="str">
        <v xml:space="preserve">Leon </v>
      </c>
      <c r="AC401" s="89" t="str">
        <f t="shared" si="38"/>
        <v xml:space="preserve">Leon </v>
      </c>
      <c r="AE401" s="42">
        <v>1982</v>
      </c>
      <c r="AK401" s="42">
        <v>1</v>
      </c>
      <c r="AL401" s="42">
        <v>1</v>
      </c>
      <c r="AW401" s="89" t="str">
        <v>GROUP_STAGE</v>
      </c>
      <c r="BE401" s="43" t="str">
        <f>IF(OR(DATA_CLEANED!AL392="",DATA_CLEANED!AM392=""),"MANQUANT",IF(OR(NOT(ISNUMBER(DATA_CLEANED!AL392)),NOT(ISNUMBER(DATA_CLEANED!AM392))),"ENTREE INVALIDE",IF(OR(DATA_CLEANED!AL392&lt;0,DATA_CLEANED!AM392&lt;0),"SCORE NEGATIF","OK")))</f>
        <v>OK</v>
      </c>
      <c r="BF401" s="43" t="str">
        <f>IF(DATA_CLEANED!AK392&lt;&gt;DATA_CLEANED!AN392,"OK","ERREUR")</f>
        <v>OK</v>
      </c>
      <c r="BG401" s="43" t="str">
        <f>IF(DATA_CLEANED!AL392&gt;DATA_CLEANED!AM392,DATA_CLEANED!AK392,IF(AND(DATA_QUALITE!W4878="-",DATA_CLEANED!AM392=DATA_CLEANED!AL392),"MATCH NUL",IF(AND(DATA_QUALITE!V4878="-",DATA_QUALITE!U4878="AUCUNE"),DATA_QUALITE!T4878,IF(DATA_QUALITE!V4878&lt;&gt;"-",DATA_QUALITE!V4878,DATA_CLEANED!AN392))))</f>
        <v>Mexico</v>
      </c>
      <c r="BH401" s="103" t="str">
        <f>IF(AND(BG401="MATCH NUL",DATA_CLEANED!AO392="-"),"MATCH_NUL",IF(ISNUMBER(SEARCH("win on penalties",W4878)),"WIN_BY_PENALTY",IF(ISNUMBER(SEARCH("win after extra time",W4878)),"WIN_BY_EXTRA_TIME",IF(ISNUMBER(SEARCH("Golden Goal",W4878)),"WIN_BY_GOLDEN_GOAL","WIN_BY_SCORE"))))</f>
        <v>WIN_BY_SCORE</v>
      </c>
      <c r="BI401" s="99" t="str">
        <f>IF(OR(BG401=DATA_CLEANED!AK392,BG401=DATA_CLEANED!AN392,BG401="MATCH NUL"),"OK","ERREUR")</f>
        <v>OK</v>
      </c>
    </row>
    <row r="402" spans="2:61">
      <c r="B402" s="74">
        <v>2026</v>
      </c>
      <c r="C402" s="30" t="str">
        <v>Round of 32</v>
      </c>
      <c r="D402" s="30" t="str">
        <v>Germany</v>
      </c>
      <c r="E402" s="30" t="str">
        <v>Paraguay</v>
      </c>
      <c r="F402" s="30" t="str">
        <v>Paraguay</v>
      </c>
      <c r="G402" s="30" t="str">
        <v>Miguel Almirón</v>
      </c>
      <c r="H402" s="30" t="str">
        <v>Marc-André ter Stegen</v>
      </c>
      <c r="I402" s="30">
        <v>4</v>
      </c>
      <c r="J402" s="30">
        <v>2</v>
      </c>
      <c r="K402" s="30" t="str">
        <v>1-1</v>
      </c>
      <c r="L402" s="30" t="str">
        <v>No</v>
      </c>
      <c r="M402" s="30" t="str">
        <v>No</v>
      </c>
      <c r="N402" s="30" t="str">
        <v>Goal</v>
      </c>
      <c r="O402" s="30" t="str">
        <f t="shared" si="37"/>
        <v>2026|Round of 32|Germany|Paraguay|Paraguay|Miguel Almirón|Marc-André ter Stegen|4|2|1-1|No|No|Goal</v>
      </c>
      <c r="P402" s="96" t="str">
        <f>IF(COUNTIF($G$32:O402,O402)&gt;1,"DOUBLON","OK")</f>
        <v>OK</v>
      </c>
      <c r="S402" s="30" t="str">
        <v>Australia</v>
      </c>
      <c r="T402" s="30" t="str">
        <f t="shared" si="39"/>
        <v>OK</v>
      </c>
      <c r="U402" s="30" t="str">
        <f t="shared" si="40"/>
        <v>-</v>
      </c>
      <c r="V402" s="30" t="str" cm="1">
        <f t="array" ref="V402">_xlfn.IFS(
ISNUMBER(SEARCH("USA",S402)),"United States",
ISNUMBER(SEARCH("Republic of Korea",S402)),"South Korea",
ISNUMBER(SEARCH("Cape Verde",S402)),"Cabo Verde",
ISNUMBER(SEARCH("Czechia",S402)),"Czech Republic",
ISNUMBER(SEARCH("Türkiye",S402)),"Turkey",
ISNUMBER(SEARCH("Ivory Coast",S402)),"Côte d'Ivoire",
ISNUMBER(SEARCH("Korea Republic",S402)),"South Korea",
ISNUMBER(SEARCH("Germany FR",S402)),"FR Germany",
ISNUMBER(SEARCH("West Germany",S402)),"FR Germany",
ISNUMBER(SEARCH("Germany DR",S402)),"DR Germany",
ISNUMBER(SEARCH("Korea DPR",S402)),"North Korea",
ISNUMBER(SEARCH("China PR",S402)),"China",
ISNUMBER(SEARCH("IR Iran",S402)),"Iran",
ISNUMBER(SEARCH("Congo DR",S402)),"Democratic Republic of the Congo",
ISNUMBER(SEARCH("DR Congo",S402)),"Democratic Republic of the Congo",
ISNUMBER(SEARCH("German DR",S402)),"DR Germany",
ISNUMBER(SEARCH("rn""&gt;United Arab Emirates",S402)),"United Arab Emirates",
ISNUMBER(SEARCH("rn""&gt;Republic of Ireland",S402)),"Ireland",
ISNUMBER(SEARCH("rn""&gt;Bosnia and Herzegovina",S402)),"Bosnia and Herzegovina",
ISNUMBER(SEARCH("rn""&gt;Trinidad and Tobago",S402)),"Trinidad and Tobago",
ISNUMBER(SEARCH("rn""&gt;Serbia and Montenegro",S402)),"Serbia and Montenegro",
ISNUMBER(SEARCH(_xlfn.UNICHAR(65533),S402)),"Côte d'Ivoire",
TRUE,""
)</f>
        <v/>
      </c>
      <c r="W402" s="30" t="str">
        <f t="shared" si="41"/>
        <v>Australia</v>
      </c>
      <c r="Z402" s="40" t="str">
        <v>Jalisco</v>
      </c>
      <c r="AA402" s="40" t="str" cm="1">
        <f t="array" ref="AA402">IFERROR(_xlfn.XLOOKUP(Z402,_xlfn.ANCHORARRAY(Z$31),AA$31:AA$37),Z402)</f>
        <v>Jalisco</v>
      </c>
      <c r="AB402" s="42" t="str">
        <v xml:space="preserve">Guadalajara </v>
      </c>
      <c r="AC402" s="89" t="str">
        <f t="shared" si="38"/>
        <v xml:space="preserve">Guadalajara </v>
      </c>
      <c r="AE402" s="42">
        <v>1982</v>
      </c>
      <c r="AK402" s="42">
        <v>0</v>
      </c>
      <c r="AL402" s="42">
        <v>0</v>
      </c>
      <c r="AW402" s="89" t="str">
        <v>GROUP_STAGE</v>
      </c>
      <c r="BE402" s="43" t="str">
        <f>IF(OR(DATA_CLEANED!AL393="",DATA_CLEANED!AM393=""),"MANQUANT",IF(OR(NOT(ISNUMBER(DATA_CLEANED!AL393)),NOT(ISNUMBER(DATA_CLEANED!AM393))),"ENTREE INVALIDE",IF(OR(DATA_CLEANED!AL393&lt;0,DATA_CLEANED!AM393&lt;0),"SCORE NEGATIF","OK")))</f>
        <v>OK</v>
      </c>
      <c r="BF402" s="43" t="str">
        <f>IF(DATA_CLEANED!AK393&lt;&gt;DATA_CLEANED!AN393,"OK","ERREUR")</f>
        <v>OK</v>
      </c>
      <c r="BG402" s="43" t="str">
        <f>IF(DATA_CLEANED!AL393&gt;DATA_CLEANED!AM393,DATA_CLEANED!AK393,IF(AND(DATA_QUALITE!W4879="-",DATA_CLEANED!AM393=DATA_CLEANED!AL393),"MATCH NUL",IF(AND(DATA_QUALITE!V4879="-",DATA_QUALITE!U4879="AUCUNE"),DATA_QUALITE!T4879,IF(DATA_QUALITE!V4879&lt;&gt;"-",DATA_QUALITE!V4879,DATA_CLEANED!AN393))))</f>
        <v>Morocco</v>
      </c>
      <c r="BH402" s="103" t="str">
        <f>IF(AND(BG402="MATCH NUL",DATA_CLEANED!AO393="-"),"MATCH_NUL",IF(ISNUMBER(SEARCH("win on penalties",W4879)),"WIN_BY_PENALTY",IF(ISNUMBER(SEARCH("win after extra time",W4879)),"WIN_BY_EXTRA_TIME",IF(ISNUMBER(SEARCH("Golden Goal",W4879)),"WIN_BY_GOLDEN_GOAL","WIN_BY_SCORE"))))</f>
        <v>WIN_BY_SCORE</v>
      </c>
      <c r="BI402" s="99" t="str">
        <f>IF(OR(BG402=DATA_CLEANED!AK393,BG402=DATA_CLEANED!AN393,BG402="MATCH NUL"),"OK","ERREUR")</f>
        <v>OK</v>
      </c>
    </row>
    <row r="403" spans="2:61">
      <c r="B403" s="74">
        <v>2026</v>
      </c>
      <c r="C403" s="30" t="str">
        <v>Round of 32</v>
      </c>
      <c r="D403" s="30" t="str">
        <v>Germany</v>
      </c>
      <c r="E403" s="30" t="str">
        <v>Paraguay</v>
      </c>
      <c r="F403" s="30" t="str">
        <v>Germany</v>
      </c>
      <c r="G403" s="30" t="str">
        <v>Jamal Musiala</v>
      </c>
      <c r="H403" s="30" t="str">
        <v>Roberto Fernández</v>
      </c>
      <c r="I403" s="30">
        <v>5</v>
      </c>
      <c r="J403" s="30">
        <v>3</v>
      </c>
      <c r="K403" s="30" t="str">
        <v>1-2</v>
      </c>
      <c r="L403" s="30" t="str">
        <v>No</v>
      </c>
      <c r="M403" s="30" t="str">
        <v>No</v>
      </c>
      <c r="N403" s="30" t="str">
        <v>Goal</v>
      </c>
      <c r="O403" s="30" t="str">
        <f t="shared" si="37"/>
        <v>2026|Round of 32|Germany|Paraguay|Germany|Jamal Musiala|Roberto Fernández|5|3|1-2|No|No|Goal</v>
      </c>
      <c r="P403" s="96" t="str">
        <f>IF(COUNTIF($G$32:O403,O403)&gt;1,"DOUBLON","OK")</f>
        <v>OK</v>
      </c>
      <c r="S403" s="30" t="str">
        <v>Australia</v>
      </c>
      <c r="T403" s="30" t="str">
        <f t="shared" si="39"/>
        <v>OK</v>
      </c>
      <c r="U403" s="30" t="str">
        <f t="shared" si="40"/>
        <v>-</v>
      </c>
      <c r="V403" s="30" t="str" cm="1">
        <f t="array" ref="V403">_xlfn.IFS(
ISNUMBER(SEARCH("USA",S403)),"United States",
ISNUMBER(SEARCH("Republic of Korea",S403)),"South Korea",
ISNUMBER(SEARCH("Cape Verde",S403)),"Cabo Verde",
ISNUMBER(SEARCH("Czechia",S403)),"Czech Republic",
ISNUMBER(SEARCH("Türkiye",S403)),"Turkey",
ISNUMBER(SEARCH("Ivory Coast",S403)),"Côte d'Ivoire",
ISNUMBER(SEARCH("Korea Republic",S403)),"South Korea",
ISNUMBER(SEARCH("Germany FR",S403)),"FR Germany",
ISNUMBER(SEARCH("West Germany",S403)),"FR Germany",
ISNUMBER(SEARCH("Germany DR",S403)),"DR Germany",
ISNUMBER(SEARCH("Korea DPR",S403)),"North Korea",
ISNUMBER(SEARCH("China PR",S403)),"China",
ISNUMBER(SEARCH("IR Iran",S403)),"Iran",
ISNUMBER(SEARCH("Congo DR",S403)),"Democratic Republic of the Congo",
ISNUMBER(SEARCH("DR Congo",S403)),"Democratic Republic of the Congo",
ISNUMBER(SEARCH("German DR",S403)),"DR Germany",
ISNUMBER(SEARCH("rn""&gt;United Arab Emirates",S403)),"United Arab Emirates",
ISNUMBER(SEARCH("rn""&gt;Republic of Ireland",S403)),"Ireland",
ISNUMBER(SEARCH("rn""&gt;Bosnia and Herzegovina",S403)),"Bosnia and Herzegovina",
ISNUMBER(SEARCH("rn""&gt;Trinidad and Tobago",S403)),"Trinidad and Tobago",
ISNUMBER(SEARCH("rn""&gt;Serbia and Montenegro",S403)),"Serbia and Montenegro",
ISNUMBER(SEARCH(_xlfn.UNICHAR(65533),S403)),"Côte d'Ivoire",
TRUE,""
)</f>
        <v/>
      </c>
      <c r="W403" s="30" t="str">
        <f t="shared" si="41"/>
        <v>Australia</v>
      </c>
      <c r="Z403" s="40" t="str">
        <v>Estadio Irapuato</v>
      </c>
      <c r="AA403" s="40" t="str" cm="1">
        <f t="array" ref="AA403">IFERROR(_xlfn.XLOOKUP(Z403,_xlfn.ANCHORARRAY(Z$31),AA$31:AA$37),Z403)</f>
        <v>Estadio Irapuato</v>
      </c>
      <c r="AB403" s="42" t="str">
        <v xml:space="preserve">Irapuato </v>
      </c>
      <c r="AC403" s="89" t="str">
        <f t="shared" si="38"/>
        <v xml:space="preserve">Irapuato </v>
      </c>
      <c r="AE403" s="42">
        <v>1982</v>
      </c>
      <c r="AK403" s="42">
        <v>1</v>
      </c>
      <c r="AL403" s="42">
        <v>1</v>
      </c>
      <c r="AW403" s="89" t="str">
        <v>GROUP_STAGE</v>
      </c>
      <c r="BE403" s="43" t="str">
        <f>IF(OR(DATA_CLEANED!AL394="",DATA_CLEANED!AM394=""),"MANQUANT",IF(OR(NOT(ISNUMBER(DATA_CLEANED!AL394)),NOT(ISNUMBER(DATA_CLEANED!AM394))),"ENTREE INVALIDE",IF(OR(DATA_CLEANED!AL394&lt;0,DATA_CLEANED!AM394&lt;0),"SCORE NEGATIF","OK")))</f>
        <v>OK</v>
      </c>
      <c r="BF403" s="43" t="str">
        <f>IF(DATA_CLEANED!AK394&lt;&gt;DATA_CLEANED!AN394,"OK","ERREUR")</f>
        <v>OK</v>
      </c>
      <c r="BG403" s="43" t="str">
        <f>IF(DATA_CLEANED!AL394&gt;DATA_CLEANED!AM394,DATA_CLEANED!AK394,IF(AND(DATA_QUALITE!W4880="-",DATA_CLEANED!AM394=DATA_CLEANED!AL394),"MATCH NUL",IF(AND(DATA_QUALITE!V4880="-",DATA_QUALITE!U4880="AUCUNE"),DATA_QUALITE!T4880,IF(DATA_QUALITE!V4880&lt;&gt;"-",DATA_QUALITE!V4880,DATA_CLEANED!AN394))))</f>
        <v>England</v>
      </c>
      <c r="BH403" s="103" t="str">
        <f>IF(AND(BG403="MATCH NUL",DATA_CLEANED!AO394="-"),"MATCH_NUL",IF(ISNUMBER(SEARCH("win on penalties",W4880)),"WIN_BY_PENALTY",IF(ISNUMBER(SEARCH("win after extra time",W4880)),"WIN_BY_EXTRA_TIME",IF(ISNUMBER(SEARCH("Golden Goal",W4880)),"WIN_BY_GOLDEN_GOAL","WIN_BY_SCORE"))))</f>
        <v>WIN_BY_SCORE</v>
      </c>
      <c r="BI403" s="99" t="str">
        <f>IF(OR(BG403=DATA_CLEANED!AK394,BG403=DATA_CLEANED!AN394,BG403="MATCH NUL"),"OK","ERREUR")</f>
        <v>OK</v>
      </c>
    </row>
    <row r="404" spans="2:61">
      <c r="B404" s="74">
        <v>2026</v>
      </c>
      <c r="C404" s="30" t="str">
        <v>Round of 32</v>
      </c>
      <c r="D404" s="30" t="str">
        <v>Germany</v>
      </c>
      <c r="E404" s="30" t="str">
        <v>Paraguay</v>
      </c>
      <c r="F404" s="30" t="str">
        <v>Paraguay</v>
      </c>
      <c r="G404" s="30" t="str">
        <v>Mathias Villasanti</v>
      </c>
      <c r="H404" s="30" t="str">
        <v>Marc-André ter Stegen</v>
      </c>
      <c r="I404" s="30">
        <v>6</v>
      </c>
      <c r="J404" s="30">
        <v>3</v>
      </c>
      <c r="K404" s="30" t="str">
        <v>2-2</v>
      </c>
      <c r="L404" s="30" t="str">
        <v>No</v>
      </c>
      <c r="M404" s="30" t="str">
        <v>No</v>
      </c>
      <c r="N404" s="30" t="str">
        <v>Goal</v>
      </c>
      <c r="O404" s="30" t="str">
        <f t="shared" ref="O404:O434" si="42">B404&amp;"|"&amp;C404&amp;"|"&amp;D404&amp;"|"&amp;E404&amp;"|"&amp;F404&amp;"|"&amp;G404&amp;"|"&amp;H404&amp;"|"&amp;I404&amp;"|"&amp;J404&amp;"|"&amp;K404&amp;"|"&amp;L404&amp;"|"&amp;M404&amp;"|"&amp;N404</f>
        <v>2026|Round of 32|Germany|Paraguay|Paraguay|Mathias Villasanti|Marc-André ter Stegen|6|3|2-2|No|No|Goal</v>
      </c>
      <c r="P404" s="96" t="str">
        <f>IF(COUNTIF($G$32:O404,O404)&gt;1,"DOUBLON","OK")</f>
        <v>OK</v>
      </c>
      <c r="S404" s="30" t="str">
        <v>Australia</v>
      </c>
      <c r="T404" s="30" t="str">
        <f t="shared" si="39"/>
        <v>OK</v>
      </c>
      <c r="U404" s="30" t="str">
        <f t="shared" si="40"/>
        <v>-</v>
      </c>
      <c r="V404" s="30" t="str" cm="1">
        <f t="array" ref="V404">_xlfn.IFS(
ISNUMBER(SEARCH("USA",S404)),"United States",
ISNUMBER(SEARCH("Republic of Korea",S404)),"South Korea",
ISNUMBER(SEARCH("Cape Verde",S404)),"Cabo Verde",
ISNUMBER(SEARCH("Czechia",S404)),"Czech Republic",
ISNUMBER(SEARCH("Türkiye",S404)),"Turkey",
ISNUMBER(SEARCH("Ivory Coast",S404)),"Côte d'Ivoire",
ISNUMBER(SEARCH("Korea Republic",S404)),"South Korea",
ISNUMBER(SEARCH("Germany FR",S404)),"FR Germany",
ISNUMBER(SEARCH("West Germany",S404)),"FR Germany",
ISNUMBER(SEARCH("Germany DR",S404)),"DR Germany",
ISNUMBER(SEARCH("Korea DPR",S404)),"North Korea",
ISNUMBER(SEARCH("China PR",S404)),"China",
ISNUMBER(SEARCH("IR Iran",S404)),"Iran",
ISNUMBER(SEARCH("Congo DR",S404)),"Democratic Republic of the Congo",
ISNUMBER(SEARCH("DR Congo",S404)),"Democratic Republic of the Congo",
ISNUMBER(SEARCH("German DR",S404)),"DR Germany",
ISNUMBER(SEARCH("rn""&gt;United Arab Emirates",S404)),"United Arab Emirates",
ISNUMBER(SEARCH("rn""&gt;Republic of Ireland",S404)),"Ireland",
ISNUMBER(SEARCH("rn""&gt;Bosnia and Herzegovina",S404)),"Bosnia and Herzegovina",
ISNUMBER(SEARCH("rn""&gt;Trinidad and Tobago",S404)),"Trinidad and Tobago",
ISNUMBER(SEARCH("rn""&gt;Serbia and Montenegro",S404)),"Serbia and Montenegro",
ISNUMBER(SEARCH(_xlfn.UNICHAR(65533),S404)),"Côte d'Ivoire",
TRUE,""
)</f>
        <v/>
      </c>
      <c r="W404" s="30" t="str">
        <f t="shared" si="41"/>
        <v>Australia</v>
      </c>
      <c r="Z404" s="40" t="str">
        <v>Estadio Ol�mpico Universitario</v>
      </c>
      <c r="AA404" s="40" t="str" cm="1">
        <f t="array" ref="AA404">IFERROR(_xlfn.XLOOKUP(Z404,_xlfn.ANCHORARRAY(Z$31),AA$31:AA$37),Z404)</f>
        <v>Estadio Olímpico Universitario</v>
      </c>
      <c r="AB404" s="42" t="str">
        <v xml:space="preserve">Mexico City </v>
      </c>
      <c r="AC404" s="89" t="str">
        <f t="shared" si="38"/>
        <v xml:space="preserve">Mexico City </v>
      </c>
      <c r="AE404" s="42">
        <v>1982</v>
      </c>
      <c r="AK404" s="42">
        <v>4</v>
      </c>
      <c r="AL404" s="42">
        <v>1</v>
      </c>
      <c r="AW404" s="89" t="str">
        <v>GROUP_STAGE</v>
      </c>
      <c r="BE404" s="43" t="str">
        <f>IF(OR(DATA_CLEANED!AL395="",DATA_CLEANED!AM395=""),"MANQUANT",IF(OR(NOT(ISNUMBER(DATA_CLEANED!AL395)),NOT(ISNUMBER(DATA_CLEANED!AM395))),"ENTREE INVALIDE",IF(OR(DATA_CLEANED!AL395&lt;0,DATA_CLEANED!AM395&lt;0),"SCORE NEGATIF","OK")))</f>
        <v>OK</v>
      </c>
      <c r="BF404" s="43" t="str">
        <f>IF(DATA_CLEANED!AK395&lt;&gt;DATA_CLEANED!AN395,"OK","ERREUR")</f>
        <v>OK</v>
      </c>
      <c r="BG404" s="43" t="str">
        <f>IF(DATA_CLEANED!AL395&gt;DATA_CLEANED!AM395,DATA_CLEANED!AK395,IF(AND(DATA_QUALITE!W4881="-",DATA_CLEANED!AM395=DATA_CLEANED!AL395),"MATCH NUL",IF(AND(DATA_QUALITE!V4881="-",DATA_QUALITE!U4881="AUCUNE"),DATA_QUALITE!T4881,IF(DATA_QUALITE!V4881&lt;&gt;"-",DATA_QUALITE!V4881,DATA_CLEANED!AN395))))</f>
        <v>Brazil</v>
      </c>
      <c r="BH404" s="103" t="str">
        <f>IF(AND(BG404="MATCH NUL",DATA_CLEANED!AO395="-"),"MATCH_NUL",IF(ISNUMBER(SEARCH("win on penalties",W4881)),"WIN_BY_PENALTY",IF(ISNUMBER(SEARCH("win after extra time",W4881)),"WIN_BY_EXTRA_TIME",IF(ISNUMBER(SEARCH("Golden Goal",W4881)),"WIN_BY_GOLDEN_GOAL","WIN_BY_SCORE"))))</f>
        <v>WIN_BY_SCORE</v>
      </c>
      <c r="BI404" s="99" t="str">
        <f>IF(OR(BG404=DATA_CLEANED!AK395,BG404=DATA_CLEANED!AN395,BG404="MATCH NUL"),"OK","ERREUR")</f>
        <v>OK</v>
      </c>
    </row>
    <row r="405" spans="2:61">
      <c r="B405" s="74">
        <v>2026</v>
      </c>
      <c r="C405" s="30" t="str">
        <v>Round of 32</v>
      </c>
      <c r="D405" s="30" t="str">
        <v>Germany</v>
      </c>
      <c r="E405" s="30" t="str">
        <v>Paraguay</v>
      </c>
      <c r="F405" s="30" t="str">
        <v>Germany</v>
      </c>
      <c r="G405" s="30" t="str">
        <v>Niclas Füllkrug</v>
      </c>
      <c r="H405" s="30" t="str">
        <v>Roberto Fernández</v>
      </c>
      <c r="I405" s="30">
        <v>7</v>
      </c>
      <c r="J405" s="30">
        <v>4</v>
      </c>
      <c r="K405" s="30" t="str">
        <v>2-3</v>
      </c>
      <c r="L405" s="30" t="str">
        <v>No</v>
      </c>
      <c r="M405" s="30" t="str">
        <v>No</v>
      </c>
      <c r="N405" s="30" t="str">
        <v>Goal</v>
      </c>
      <c r="O405" s="30" t="str">
        <f t="shared" si="42"/>
        <v>2026|Round of 32|Germany|Paraguay|Germany|Niclas Füllkrug|Roberto Fernández|7|4|2-3|No|No|Goal</v>
      </c>
      <c r="P405" s="96" t="str">
        <f>IF(COUNTIF($G$32:O405,O405)&gt;1,"DOUBLON","OK")</f>
        <v>OK</v>
      </c>
      <c r="S405" s="30" t="str">
        <v>Australia</v>
      </c>
      <c r="T405" s="30" t="str">
        <f t="shared" si="39"/>
        <v>OK</v>
      </c>
      <c r="U405" s="30" t="str">
        <f t="shared" si="40"/>
        <v>-</v>
      </c>
      <c r="V405" s="30" t="str" cm="1">
        <f t="array" ref="V405">_xlfn.IFS(
ISNUMBER(SEARCH("USA",S405)),"United States",
ISNUMBER(SEARCH("Republic of Korea",S405)),"South Korea",
ISNUMBER(SEARCH("Cape Verde",S405)),"Cabo Verde",
ISNUMBER(SEARCH("Czechia",S405)),"Czech Republic",
ISNUMBER(SEARCH("Türkiye",S405)),"Turkey",
ISNUMBER(SEARCH("Ivory Coast",S405)),"Côte d'Ivoire",
ISNUMBER(SEARCH("Korea Republic",S405)),"South Korea",
ISNUMBER(SEARCH("Germany FR",S405)),"FR Germany",
ISNUMBER(SEARCH("West Germany",S405)),"FR Germany",
ISNUMBER(SEARCH("Germany DR",S405)),"DR Germany",
ISNUMBER(SEARCH("Korea DPR",S405)),"North Korea",
ISNUMBER(SEARCH("China PR",S405)),"China",
ISNUMBER(SEARCH("IR Iran",S405)),"Iran",
ISNUMBER(SEARCH("Congo DR",S405)),"Democratic Republic of the Congo",
ISNUMBER(SEARCH("DR Congo",S405)),"Democratic Republic of the Congo",
ISNUMBER(SEARCH("German DR",S405)),"DR Germany",
ISNUMBER(SEARCH("rn""&gt;United Arab Emirates",S405)),"United Arab Emirates",
ISNUMBER(SEARCH("rn""&gt;Republic of Ireland",S405)),"Ireland",
ISNUMBER(SEARCH("rn""&gt;Bosnia and Herzegovina",S405)),"Bosnia and Herzegovina",
ISNUMBER(SEARCH("rn""&gt;Trinidad and Tobago",S405)),"Trinidad and Tobago",
ISNUMBER(SEARCH("rn""&gt;Serbia and Montenegro",S405)),"Serbia and Montenegro",
ISNUMBER(SEARCH(_xlfn.UNICHAR(65533),S405)),"Côte d'Ivoire",
TRUE,""
)</f>
        <v/>
      </c>
      <c r="W405" s="30" t="str">
        <f t="shared" si="41"/>
        <v>Australia</v>
      </c>
      <c r="Z405" s="40" t="str">
        <v>Estadio Universitario</v>
      </c>
      <c r="AA405" s="40" t="str" cm="1">
        <f t="array" ref="AA405">IFERROR(_xlfn.XLOOKUP(Z405,_xlfn.ANCHORARRAY(Z$31),AA$31:AA$37),Z405)</f>
        <v>Estadio Universitario</v>
      </c>
      <c r="AB405" s="42" t="str">
        <v xml:space="preserve">Monterrey </v>
      </c>
      <c r="AC405" s="89" t="str">
        <f t="shared" si="38"/>
        <v xml:space="preserve">Monterrey </v>
      </c>
      <c r="AE405" s="42">
        <v>1982</v>
      </c>
      <c r="AK405" s="42">
        <v>4</v>
      </c>
      <c r="AL405" s="42">
        <v>1</v>
      </c>
      <c r="AW405" s="89" t="str">
        <v>GROUP_STAGE</v>
      </c>
      <c r="BE405" s="43" t="str">
        <f>IF(OR(DATA_CLEANED!AL396="",DATA_CLEANED!AM396=""),"MANQUANT",IF(OR(NOT(ISNUMBER(DATA_CLEANED!AL396)),NOT(ISNUMBER(DATA_CLEANED!AM396))),"ENTREE INVALIDE",IF(OR(DATA_CLEANED!AL396&lt;0,DATA_CLEANED!AM396&lt;0),"SCORE NEGATIF","OK")))</f>
        <v>OK</v>
      </c>
      <c r="BF405" s="43" t="str">
        <f>IF(DATA_CLEANED!AK396&lt;&gt;DATA_CLEANED!AN396,"OK","ERREUR")</f>
        <v>OK</v>
      </c>
      <c r="BG405" s="43" t="str">
        <f>IF(DATA_CLEANED!AL396&gt;DATA_CLEANED!AM396,DATA_CLEANED!AK396,IF(AND(DATA_QUALITE!W4882="-",DATA_CLEANED!AM396=DATA_CLEANED!AL396),"MATCH NUL",IF(AND(DATA_QUALITE!V4882="-",DATA_QUALITE!U4882="AUCUNE"),DATA_QUALITE!T4882,IF(DATA_QUALITE!V4882&lt;&gt;"-",DATA_QUALITE!V4882,DATA_CLEANED!AN396))))</f>
        <v>Spain</v>
      </c>
      <c r="BH405" s="103" t="str">
        <f>IF(AND(BG405="MATCH NUL",DATA_CLEANED!AO396="-"),"MATCH_NUL",IF(ISNUMBER(SEARCH("win on penalties",W4882)),"WIN_BY_PENALTY",IF(ISNUMBER(SEARCH("win after extra time",W4882)),"WIN_BY_EXTRA_TIME",IF(ISNUMBER(SEARCH("Golden Goal",W4882)),"WIN_BY_GOLDEN_GOAL","WIN_BY_SCORE"))))</f>
        <v>WIN_BY_SCORE</v>
      </c>
      <c r="BI405" s="99" t="str">
        <f>IF(OR(BG405=DATA_CLEANED!AK396,BG405=DATA_CLEANED!AN396,BG405="MATCH NUL"),"OK","ERREUR")</f>
        <v>OK</v>
      </c>
    </row>
    <row r="406" spans="2:61">
      <c r="B406" s="74">
        <v>2026</v>
      </c>
      <c r="C406" s="30" t="str">
        <v>Round of 32</v>
      </c>
      <c r="D406" s="30" t="str">
        <v>Germany</v>
      </c>
      <c r="E406" s="30" t="str">
        <v>Paraguay</v>
      </c>
      <c r="F406" s="30" t="str">
        <v>Paraguay</v>
      </c>
      <c r="G406" s="30" t="str">
        <v>Ramón Sosa</v>
      </c>
      <c r="H406" s="30" t="str">
        <v>Marc-André ter Stegen</v>
      </c>
      <c r="I406" s="30">
        <v>8</v>
      </c>
      <c r="J406" s="30">
        <v>4</v>
      </c>
      <c r="K406" s="30" t="str">
        <v>3-3</v>
      </c>
      <c r="L406" s="30" t="str">
        <v>No</v>
      </c>
      <c r="M406" s="30" t="str">
        <v>No</v>
      </c>
      <c r="N406" s="30" t="str">
        <v>Miss</v>
      </c>
      <c r="O406" s="30" t="str">
        <f t="shared" si="42"/>
        <v>2026|Round of 32|Germany|Paraguay|Paraguay|Ramón Sosa|Marc-André ter Stegen|8|4|3-3|No|No|Miss</v>
      </c>
      <c r="P406" s="96" t="str">
        <f>IF(COUNTIF($G$32:O406,O406)&gt;1,"DOUBLON","OK")</f>
        <v>OK</v>
      </c>
      <c r="S406" s="30" t="str">
        <v>Switzerland</v>
      </c>
      <c r="T406" s="30" t="str">
        <f t="shared" si="39"/>
        <v>OK</v>
      </c>
      <c r="U406" s="30" t="str">
        <f t="shared" si="40"/>
        <v>-</v>
      </c>
      <c r="V406" s="30" t="str" cm="1">
        <f t="array" ref="V406">_xlfn.IFS(
ISNUMBER(SEARCH("USA",S406)),"United States",
ISNUMBER(SEARCH("Republic of Korea",S406)),"South Korea",
ISNUMBER(SEARCH("Cape Verde",S406)),"Cabo Verde",
ISNUMBER(SEARCH("Czechia",S406)),"Czech Republic",
ISNUMBER(SEARCH("Türkiye",S406)),"Turkey",
ISNUMBER(SEARCH("Ivory Coast",S406)),"Côte d'Ivoire",
ISNUMBER(SEARCH("Korea Republic",S406)),"South Korea",
ISNUMBER(SEARCH("Germany FR",S406)),"FR Germany",
ISNUMBER(SEARCH("West Germany",S406)),"FR Germany",
ISNUMBER(SEARCH("Germany DR",S406)),"DR Germany",
ISNUMBER(SEARCH("Korea DPR",S406)),"North Korea",
ISNUMBER(SEARCH("China PR",S406)),"China",
ISNUMBER(SEARCH("IR Iran",S406)),"Iran",
ISNUMBER(SEARCH("Congo DR",S406)),"Democratic Republic of the Congo",
ISNUMBER(SEARCH("DR Congo",S406)),"Democratic Republic of the Congo",
ISNUMBER(SEARCH("German DR",S406)),"DR Germany",
ISNUMBER(SEARCH("rn""&gt;United Arab Emirates",S406)),"United Arab Emirates",
ISNUMBER(SEARCH("rn""&gt;Republic of Ireland",S406)),"Ireland",
ISNUMBER(SEARCH("rn""&gt;Bosnia and Herzegovina",S406)),"Bosnia and Herzegovina",
ISNUMBER(SEARCH("rn""&gt;Trinidad and Tobago",S406)),"Trinidad and Tobago",
ISNUMBER(SEARCH("rn""&gt;Serbia and Montenegro",S406)),"Serbia and Montenegro",
ISNUMBER(SEARCH(_xlfn.UNICHAR(65533),S406)),"Côte d'Ivoire",
TRUE,""
)</f>
        <v/>
      </c>
      <c r="W406" s="30" t="str">
        <f t="shared" si="41"/>
        <v>Switzerland</v>
      </c>
      <c r="Z406" s="40" t="str">
        <v>Tres de Marzo</v>
      </c>
      <c r="AA406" s="40" t="str" cm="1">
        <f t="array" ref="AA406">IFERROR(_xlfn.XLOOKUP(Z406,_xlfn.ANCHORARRAY(Z$31),AA$31:AA$37),Z406)</f>
        <v>Tres de Marzo</v>
      </c>
      <c r="AB406" s="42" t="str">
        <v xml:space="preserve">Guadalajara </v>
      </c>
      <c r="AC406" s="89" t="str">
        <f t="shared" si="38"/>
        <v xml:space="preserve">Guadalajara </v>
      </c>
      <c r="AE406" s="42">
        <v>1982</v>
      </c>
      <c r="AK406" s="42">
        <v>0</v>
      </c>
      <c r="AL406" s="42">
        <v>0</v>
      </c>
      <c r="AW406" s="89" t="str">
        <v>GROUP_STAGE</v>
      </c>
      <c r="BE406" s="43" t="str">
        <f>IF(OR(DATA_CLEANED!AL397="",DATA_CLEANED!AM397=""),"MANQUANT",IF(OR(NOT(ISNUMBER(DATA_CLEANED!AL397)),NOT(ISNUMBER(DATA_CLEANED!AM397))),"ENTREE INVALIDE",IF(OR(DATA_CLEANED!AL397&lt;0,DATA_CLEANED!AM397&lt;0),"SCORE NEGATIF","OK")))</f>
        <v>OK</v>
      </c>
      <c r="BF406" s="43" t="str">
        <f>IF(DATA_CLEANED!AK397&lt;&gt;DATA_CLEANED!AN397,"OK","ERREUR")</f>
        <v>OK</v>
      </c>
      <c r="BG406" s="43" t="str">
        <f>IF(DATA_CLEANED!AL397&gt;DATA_CLEANED!AM397,DATA_CLEANED!AK397,IF(AND(DATA_QUALITE!W4883="-",DATA_CLEANED!AM397=DATA_CLEANED!AL397),"MATCH NUL",IF(AND(DATA_QUALITE!V4883="-",DATA_QUALITE!U4883="AUCUNE"),DATA_QUALITE!T4883,IF(DATA_QUALITE!V4883&lt;&gt;"-",DATA_QUALITE!V4883,DATA_CLEANED!AN397))))</f>
        <v>MATCH NUL</v>
      </c>
      <c r="BH406" s="103" t="str">
        <f>IF(AND(BG406="MATCH NUL",DATA_CLEANED!AO397="-"),"MATCH_NUL",IF(ISNUMBER(SEARCH("win on penalties",W4883)),"WIN_BY_PENALTY",IF(ISNUMBER(SEARCH("win after extra time",W4883)),"WIN_BY_EXTRA_TIME",IF(ISNUMBER(SEARCH("Golden Goal",W4883)),"WIN_BY_GOLDEN_GOAL","WIN_BY_SCORE"))))</f>
        <v>MATCH_NUL</v>
      </c>
      <c r="BI406" s="99" t="str">
        <f>IF(OR(BG406=DATA_CLEANED!AK397,BG406=DATA_CLEANED!AN397,BG406="MATCH NUL"),"OK","ERREUR")</f>
        <v>OK</v>
      </c>
    </row>
    <row r="407" spans="2:61">
      <c r="B407" s="74">
        <v>2026</v>
      </c>
      <c r="C407" s="30" t="str">
        <v>Round of 32</v>
      </c>
      <c r="D407" s="30" t="str">
        <v>Germany</v>
      </c>
      <c r="E407" s="30" t="str">
        <v>Paraguay</v>
      </c>
      <c r="F407" s="30" t="str">
        <v>Germany</v>
      </c>
      <c r="G407" s="30" t="str">
        <v>Joshua Kimmich</v>
      </c>
      <c r="H407" s="30" t="str">
        <v>Roberto Fernández</v>
      </c>
      <c r="I407" s="30">
        <v>9</v>
      </c>
      <c r="J407" s="30">
        <v>5</v>
      </c>
      <c r="K407" s="30" t="str">
        <v>3-3</v>
      </c>
      <c r="L407" s="30" t="str">
        <v>No</v>
      </c>
      <c r="M407" s="30" t="str">
        <v>No</v>
      </c>
      <c r="N407" s="30" t="str">
        <v>Miss</v>
      </c>
      <c r="O407" s="30" t="str">
        <f t="shared" si="42"/>
        <v>2026|Round of 32|Germany|Paraguay|Germany|Joshua Kimmich|Roberto Fernández|9|5|3-3|No|No|Miss</v>
      </c>
      <c r="P407" s="96" t="str">
        <f>IF(COUNTIF($G$32:O407,O407)&gt;1,"DOUBLON","OK")</f>
        <v>OK</v>
      </c>
      <c r="S407" s="30" t="str">
        <v>Switzerland</v>
      </c>
      <c r="T407" s="30" t="str">
        <f t="shared" si="39"/>
        <v>OK</v>
      </c>
      <c r="U407" s="30" t="str">
        <f t="shared" si="40"/>
        <v>-</v>
      </c>
      <c r="V407" s="30" t="str" cm="1">
        <f t="array" ref="V407">_xlfn.IFS(
ISNUMBER(SEARCH("USA",S407)),"United States",
ISNUMBER(SEARCH("Republic of Korea",S407)),"South Korea",
ISNUMBER(SEARCH("Cape Verde",S407)),"Cabo Verde",
ISNUMBER(SEARCH("Czechia",S407)),"Czech Republic",
ISNUMBER(SEARCH("Türkiye",S407)),"Turkey",
ISNUMBER(SEARCH("Ivory Coast",S407)),"Côte d'Ivoire",
ISNUMBER(SEARCH("Korea Republic",S407)),"South Korea",
ISNUMBER(SEARCH("Germany FR",S407)),"FR Germany",
ISNUMBER(SEARCH("West Germany",S407)),"FR Germany",
ISNUMBER(SEARCH("Germany DR",S407)),"DR Germany",
ISNUMBER(SEARCH("Korea DPR",S407)),"North Korea",
ISNUMBER(SEARCH("China PR",S407)),"China",
ISNUMBER(SEARCH("IR Iran",S407)),"Iran",
ISNUMBER(SEARCH("Congo DR",S407)),"Democratic Republic of the Congo",
ISNUMBER(SEARCH("DR Congo",S407)),"Democratic Republic of the Congo",
ISNUMBER(SEARCH("German DR",S407)),"DR Germany",
ISNUMBER(SEARCH("rn""&gt;United Arab Emirates",S407)),"United Arab Emirates",
ISNUMBER(SEARCH("rn""&gt;Republic of Ireland",S407)),"Ireland",
ISNUMBER(SEARCH("rn""&gt;Bosnia and Herzegovina",S407)),"Bosnia and Herzegovina",
ISNUMBER(SEARCH("rn""&gt;Trinidad and Tobago",S407)),"Trinidad and Tobago",
ISNUMBER(SEARCH("rn""&gt;Serbia and Montenegro",S407)),"Serbia and Montenegro",
ISNUMBER(SEARCH(_xlfn.UNICHAR(65533),S407)),"Côte d'Ivoire",
TRUE,""
)</f>
        <v/>
      </c>
      <c r="W407" s="30" t="str">
        <f t="shared" si="41"/>
        <v>Switzerland</v>
      </c>
      <c r="Z407" s="40" t="str">
        <v>Estadio Azteca</v>
      </c>
      <c r="AA407" s="40" t="str" cm="1">
        <f t="array" ref="AA407">IFERROR(_xlfn.XLOOKUP(Z407,_xlfn.ANCHORARRAY(Z$31),AA$31:AA$37),Z407)</f>
        <v>Estadio Azteca</v>
      </c>
      <c r="AB407" s="42" t="str">
        <v xml:space="preserve">Mexico City </v>
      </c>
      <c r="AC407" s="89" t="str">
        <f t="shared" si="38"/>
        <v xml:space="preserve">Mexico City </v>
      </c>
      <c r="AE407" s="42">
        <v>1982</v>
      </c>
      <c r="AK407" s="42">
        <v>1</v>
      </c>
      <c r="AL407" s="42">
        <v>0</v>
      </c>
      <c r="AW407" s="89" t="str">
        <v>GROUP_STAGE</v>
      </c>
      <c r="BE407" s="43" t="str">
        <f>IF(OR(DATA_CLEANED!AL398="",DATA_CLEANED!AM398=""),"MANQUANT",IF(OR(NOT(ISNUMBER(DATA_CLEANED!AL398)),NOT(ISNUMBER(DATA_CLEANED!AM398))),"ENTREE INVALIDE",IF(OR(DATA_CLEANED!AL398&lt;0,DATA_CLEANED!AM398&lt;0),"SCORE NEGATIF","OK")))</f>
        <v>OK</v>
      </c>
      <c r="BF407" s="43" t="str">
        <f>IF(DATA_CLEANED!AK398&lt;&gt;DATA_CLEANED!AN398,"OK","ERREUR")</f>
        <v>OK</v>
      </c>
      <c r="BG407" s="43" t="str">
        <f>IF(DATA_CLEANED!AL398&gt;DATA_CLEANED!AM398,DATA_CLEANED!AK398,IF(AND(DATA_QUALITE!W4884="-",DATA_CLEANED!AM398=DATA_CLEANED!AL398),"MATCH NUL",IF(AND(DATA_QUALITE!V4884="-",DATA_QUALITE!U4884="AUCUNE"),DATA_QUALITE!T4884,IF(DATA_QUALITE!V4884&lt;&gt;"-",DATA_QUALITE!V4884,DATA_CLEANED!AN398))))</f>
        <v>Denmark</v>
      </c>
      <c r="BH407" s="103" t="str">
        <f>IF(AND(BG407="MATCH NUL",DATA_CLEANED!AO398="-"),"MATCH_NUL",IF(ISNUMBER(SEARCH("win on penalties",W4884)),"WIN_BY_PENALTY",IF(ISNUMBER(SEARCH("win after extra time",W4884)),"WIN_BY_EXTRA_TIME",IF(ISNUMBER(SEARCH("Golden Goal",W4884)),"WIN_BY_GOLDEN_GOAL","WIN_BY_SCORE"))))</f>
        <v>WIN_BY_SCORE</v>
      </c>
      <c r="BI407" s="99" t="str">
        <f>IF(OR(BG407=DATA_CLEANED!AK398,BG407=DATA_CLEANED!AN398,BG407="MATCH NUL"),"OK","ERREUR")</f>
        <v>OK</v>
      </c>
    </row>
    <row r="408" spans="2:61">
      <c r="B408" s="74">
        <v>2026</v>
      </c>
      <c r="C408" s="30" t="str">
        <v>Round of 32</v>
      </c>
      <c r="D408" s="30" t="str">
        <v>Germany</v>
      </c>
      <c r="E408" s="30" t="str">
        <v>Paraguay</v>
      </c>
      <c r="F408" s="30" t="str">
        <v>Paraguay</v>
      </c>
      <c r="G408" s="30" t="str">
        <v>Gustavo Gómez</v>
      </c>
      <c r="H408" s="30" t="str">
        <v>Marc-André ter Stegen</v>
      </c>
      <c r="I408" s="30">
        <v>10</v>
      </c>
      <c r="J408" s="30">
        <v>5</v>
      </c>
      <c r="K408" s="30" t="str">
        <v>3-3</v>
      </c>
      <c r="L408" s="30" t="str">
        <v>No</v>
      </c>
      <c r="M408" s="30" t="str">
        <v>Yes</v>
      </c>
      <c r="N408" s="30" t="str">
        <v>Goal</v>
      </c>
      <c r="O408" s="30" t="str">
        <f t="shared" si="42"/>
        <v>2026|Round of 32|Germany|Paraguay|Paraguay|Gustavo Gómez|Marc-André ter Stegen|10|5|3-3|No|Yes|Goal</v>
      </c>
      <c r="P408" s="96" t="str">
        <f>IF(COUNTIF($G$32:O408,O408)&gt;1,"DOUBLON","OK")</f>
        <v>OK</v>
      </c>
      <c r="S408" s="30" t="str">
        <v>Switzerland</v>
      </c>
      <c r="T408" s="30" t="str">
        <f t="shared" si="39"/>
        <v>OK</v>
      </c>
      <c r="U408" s="30" t="str">
        <f t="shared" si="40"/>
        <v>-</v>
      </c>
      <c r="V408" s="30" t="str" cm="1">
        <f t="array" ref="V408">_xlfn.IFS(
ISNUMBER(SEARCH("USA",S408)),"United States",
ISNUMBER(SEARCH("Republic of Korea",S408)),"South Korea",
ISNUMBER(SEARCH("Cape Verde",S408)),"Cabo Verde",
ISNUMBER(SEARCH("Czechia",S408)),"Czech Republic",
ISNUMBER(SEARCH("Türkiye",S408)),"Turkey",
ISNUMBER(SEARCH("Ivory Coast",S408)),"Côte d'Ivoire",
ISNUMBER(SEARCH("Korea Republic",S408)),"South Korea",
ISNUMBER(SEARCH("Germany FR",S408)),"FR Germany",
ISNUMBER(SEARCH("West Germany",S408)),"FR Germany",
ISNUMBER(SEARCH("Germany DR",S408)),"DR Germany",
ISNUMBER(SEARCH("Korea DPR",S408)),"North Korea",
ISNUMBER(SEARCH("China PR",S408)),"China",
ISNUMBER(SEARCH("IR Iran",S408)),"Iran",
ISNUMBER(SEARCH("Congo DR",S408)),"Democratic Republic of the Congo",
ISNUMBER(SEARCH("DR Congo",S408)),"Democratic Republic of the Congo",
ISNUMBER(SEARCH("German DR",S408)),"DR Germany",
ISNUMBER(SEARCH("rn""&gt;United Arab Emirates",S408)),"United Arab Emirates",
ISNUMBER(SEARCH("rn""&gt;Republic of Ireland",S408)),"Ireland",
ISNUMBER(SEARCH("rn""&gt;Bosnia and Herzegovina",S408)),"Bosnia and Herzegovina",
ISNUMBER(SEARCH("rn""&gt;Trinidad and Tobago",S408)),"Trinidad and Tobago",
ISNUMBER(SEARCH("rn""&gt;Serbia and Montenegro",S408)),"Serbia and Montenegro",
ISNUMBER(SEARCH(_xlfn.UNICHAR(65533),S408)),"Côte d'Ivoire",
TRUE,""
)</f>
        <v/>
      </c>
      <c r="W408" s="30" t="str">
        <f t="shared" si="41"/>
        <v>Switzerland</v>
      </c>
      <c r="Z408" s="40" t="str">
        <v>Tecnologico</v>
      </c>
      <c r="AA408" s="40" t="str" cm="1">
        <f t="array" ref="AA408">IFERROR(_xlfn.XLOOKUP(Z408,_xlfn.ANCHORARRAY(Z$31),AA$31:AA$37),Z408)</f>
        <v>Tecnologico</v>
      </c>
      <c r="AB408" s="42" t="str">
        <v xml:space="preserve">Monterrey </v>
      </c>
      <c r="AC408" s="89" t="str">
        <f t="shared" si="38"/>
        <v xml:space="preserve">Monterrey </v>
      </c>
      <c r="AE408" s="42">
        <v>1982</v>
      </c>
      <c r="AK408" s="42">
        <v>3</v>
      </c>
      <c r="AL408" s="42">
        <v>0</v>
      </c>
      <c r="AW408" s="89" t="str">
        <v>ROUND_OF_16</v>
      </c>
      <c r="BE408" s="43" t="str">
        <f>IF(OR(DATA_CLEANED!AL399="",DATA_CLEANED!AM399=""),"MANQUANT",IF(OR(NOT(ISNUMBER(DATA_CLEANED!AL399)),NOT(ISNUMBER(DATA_CLEANED!AM399))),"ENTREE INVALIDE",IF(OR(DATA_CLEANED!AL399&lt;0,DATA_CLEANED!AM399&lt;0),"SCORE NEGATIF","OK")))</f>
        <v>OK</v>
      </c>
      <c r="BF408" s="43" t="str">
        <f>IF(DATA_CLEANED!AK399&lt;&gt;DATA_CLEANED!AN399,"OK","ERREUR")</f>
        <v>OK</v>
      </c>
      <c r="BG408" s="43" t="str">
        <f>IF(DATA_CLEANED!AL399&gt;DATA_CLEANED!AM399,DATA_CLEANED!AK399,IF(AND(DATA_QUALITE!W4885="-",DATA_CLEANED!AM399=DATA_CLEANED!AL399),"MATCH NUL",IF(AND(DATA_QUALITE!V4885="-",DATA_QUALITE!U4885="AUCUNE"),DATA_QUALITE!T4885,IF(DATA_QUALITE!V4885&lt;&gt;"-",DATA_QUALITE!V4885,DATA_CLEANED!AN399))))</f>
        <v>Belgium</v>
      </c>
      <c r="BH408" s="103" t="str">
        <f>IF(AND(BG408="MATCH NUL",DATA_CLEANED!AO399="-"),"MATCH_NUL",IF(ISNUMBER(SEARCH("win on penalties",W4885)),"WIN_BY_PENALTY",IF(ISNUMBER(SEARCH("win after extra time",W4885)),"WIN_BY_EXTRA_TIME",IF(ISNUMBER(SEARCH("Golden Goal",W4885)),"WIN_BY_GOLDEN_GOAL","WIN_BY_SCORE"))))</f>
        <v>WIN_BY_EXTRA_TIME</v>
      </c>
      <c r="BI408" s="99" t="str">
        <f>IF(OR(BG408=DATA_CLEANED!AK399,BG408=DATA_CLEANED!AN399,BG408="MATCH NUL"),"OK","ERREUR")</f>
        <v>OK</v>
      </c>
    </row>
    <row r="409" spans="2:61">
      <c r="B409" s="74">
        <v>2026</v>
      </c>
      <c r="C409" s="30" t="str">
        <v>Round of 32</v>
      </c>
      <c r="D409" s="30" t="str">
        <v>Netherlands</v>
      </c>
      <c r="E409" s="30" t="str">
        <v>Morocco</v>
      </c>
      <c r="F409" s="30" t="str">
        <v>Netherlands</v>
      </c>
      <c r="G409" s="30" t="str">
        <v>Cody Gakpo</v>
      </c>
      <c r="H409" s="30" t="str">
        <v>Yassine Bounou</v>
      </c>
      <c r="I409" s="30">
        <v>1</v>
      </c>
      <c r="J409" s="30">
        <v>1</v>
      </c>
      <c r="K409" s="30" t="str">
        <v>0-0</v>
      </c>
      <c r="L409" s="30" t="str">
        <v>No</v>
      </c>
      <c r="M409" s="30" t="str">
        <v>No</v>
      </c>
      <c r="N409" s="30" t="str">
        <v>Goal</v>
      </c>
      <c r="O409" s="30" t="str">
        <f t="shared" si="42"/>
        <v>2026|Round of 32|Netherlands|Morocco|Netherlands|Cody Gakpo|Yassine Bounou|1|1|0-0|No|No|Goal</v>
      </c>
      <c r="P409" s="96" t="str">
        <f>IF(COUNTIF($G$32:O409,O409)&gt;1,"DOUBLON","OK")</f>
        <v>OK</v>
      </c>
      <c r="S409" s="30" t="str">
        <v>Switzerland</v>
      </c>
      <c r="T409" s="30" t="str">
        <f t="shared" si="39"/>
        <v>OK</v>
      </c>
      <c r="U409" s="30" t="str">
        <f t="shared" si="40"/>
        <v>-</v>
      </c>
      <c r="V409" s="30" t="str" cm="1">
        <f t="array" ref="V409">_xlfn.IFS(
ISNUMBER(SEARCH("USA",S409)),"United States",
ISNUMBER(SEARCH("Republic of Korea",S409)),"South Korea",
ISNUMBER(SEARCH("Cape Verde",S409)),"Cabo Verde",
ISNUMBER(SEARCH("Czechia",S409)),"Czech Republic",
ISNUMBER(SEARCH("Türkiye",S409)),"Turkey",
ISNUMBER(SEARCH("Ivory Coast",S409)),"Côte d'Ivoire",
ISNUMBER(SEARCH("Korea Republic",S409)),"South Korea",
ISNUMBER(SEARCH("Germany FR",S409)),"FR Germany",
ISNUMBER(SEARCH("West Germany",S409)),"FR Germany",
ISNUMBER(SEARCH("Germany DR",S409)),"DR Germany",
ISNUMBER(SEARCH("Korea DPR",S409)),"North Korea",
ISNUMBER(SEARCH("China PR",S409)),"China",
ISNUMBER(SEARCH("IR Iran",S409)),"Iran",
ISNUMBER(SEARCH("Congo DR",S409)),"Democratic Republic of the Congo",
ISNUMBER(SEARCH("DR Congo",S409)),"Democratic Republic of the Congo",
ISNUMBER(SEARCH("German DR",S409)),"DR Germany",
ISNUMBER(SEARCH("rn""&gt;United Arab Emirates",S409)),"United Arab Emirates",
ISNUMBER(SEARCH("rn""&gt;Republic of Ireland",S409)),"Ireland",
ISNUMBER(SEARCH("rn""&gt;Bosnia and Herzegovina",S409)),"Bosnia and Herzegovina",
ISNUMBER(SEARCH("rn""&gt;Trinidad and Tobago",S409)),"Trinidad and Tobago",
ISNUMBER(SEARCH("rn""&gt;Serbia and Montenegro",S409)),"Serbia and Montenegro",
ISNUMBER(SEARCH(_xlfn.UNICHAR(65533),S409)),"Côte d'Ivoire",
TRUE,""
)</f>
        <v/>
      </c>
      <c r="W409" s="30" t="str">
        <f t="shared" si="41"/>
        <v>Switzerland</v>
      </c>
      <c r="Z409" s="40" t="str">
        <v>Bombonera - Estadio Nemesio Diez</v>
      </c>
      <c r="AA409" s="40" t="str" cm="1">
        <f t="array" ref="AA409">IFERROR(_xlfn.XLOOKUP(Z409,_xlfn.ANCHORARRAY(Z$31),AA$31:AA$37),Z409)</f>
        <v>Bombonera - Estadio Nemesio Diez</v>
      </c>
      <c r="AB409" s="42" t="str">
        <v xml:space="preserve">Toluca </v>
      </c>
      <c r="AC409" s="89" t="str">
        <f t="shared" si="38"/>
        <v xml:space="preserve">Toluca </v>
      </c>
      <c r="AE409" s="42">
        <v>1982</v>
      </c>
      <c r="AK409" s="42">
        <v>4</v>
      </c>
      <c r="AL409" s="42">
        <v>1</v>
      </c>
      <c r="AW409" s="89" t="str">
        <v>ROUND_OF_16</v>
      </c>
      <c r="BE409" s="43" t="str">
        <f>IF(OR(DATA_CLEANED!AL400="",DATA_CLEANED!AM400=""),"MANQUANT",IF(OR(NOT(ISNUMBER(DATA_CLEANED!AL400)),NOT(ISNUMBER(DATA_CLEANED!AM400))),"ENTREE INVALIDE",IF(OR(DATA_CLEANED!AL400&lt;0,DATA_CLEANED!AM400&lt;0),"SCORE NEGATIF","OK")))</f>
        <v>OK</v>
      </c>
      <c r="BF409" s="43" t="str">
        <f>IF(DATA_CLEANED!AK400&lt;&gt;DATA_CLEANED!AN400,"OK","ERREUR")</f>
        <v>OK</v>
      </c>
      <c r="BG409" s="43" t="str">
        <f>IF(DATA_CLEANED!AL400&gt;DATA_CLEANED!AM400,DATA_CLEANED!AK400,IF(AND(DATA_QUALITE!W4886="-",DATA_CLEANED!AM400=DATA_CLEANED!AL400),"MATCH NUL",IF(AND(DATA_QUALITE!V4886="-",DATA_QUALITE!U4886="AUCUNE"),DATA_QUALITE!T4886,IF(DATA_QUALITE!V4886&lt;&gt;"-",DATA_QUALITE!V4886,DATA_CLEANED!AN400))))</f>
        <v>Mexico</v>
      </c>
      <c r="BH409" s="103" t="str">
        <f>IF(AND(BG409="MATCH NUL",DATA_CLEANED!AO400="-"),"MATCH_NUL",IF(ISNUMBER(SEARCH("win on penalties",W4886)),"WIN_BY_PENALTY",IF(ISNUMBER(SEARCH("win after extra time",W4886)),"WIN_BY_EXTRA_TIME",IF(ISNUMBER(SEARCH("Golden Goal",W4886)),"WIN_BY_GOLDEN_GOAL","WIN_BY_SCORE"))))</f>
        <v>WIN_BY_SCORE</v>
      </c>
      <c r="BI409" s="99" t="str">
        <f>IF(OR(BG409=DATA_CLEANED!AK400,BG409=DATA_CLEANED!AN400,BG409="MATCH NUL"),"OK","ERREUR")</f>
        <v>OK</v>
      </c>
    </row>
    <row r="410" spans="2:61">
      <c r="B410" s="74">
        <v>2026</v>
      </c>
      <c r="C410" s="30" t="str">
        <v>Round of 32</v>
      </c>
      <c r="D410" s="30" t="str">
        <v>Netherlands</v>
      </c>
      <c r="E410" s="30" t="str">
        <v>Morocco</v>
      </c>
      <c r="F410" s="30" t="str">
        <v>Morocco</v>
      </c>
      <c r="G410" s="30" t="str">
        <v>Achraf Hakimi</v>
      </c>
      <c r="H410" s="30" t="str">
        <v>Bart Verbruggen</v>
      </c>
      <c r="I410" s="30">
        <v>2</v>
      </c>
      <c r="J410" s="30">
        <v>1</v>
      </c>
      <c r="K410" s="30" t="str">
        <v>1-0</v>
      </c>
      <c r="L410" s="30" t="str">
        <v>No</v>
      </c>
      <c r="M410" s="30" t="str">
        <v>No</v>
      </c>
      <c r="N410" s="30" t="str">
        <v>Goal</v>
      </c>
      <c r="O410" s="30" t="str">
        <f t="shared" si="42"/>
        <v>2026|Round of 32|Netherlands|Morocco|Morocco|Achraf Hakimi|Bart Verbruggen|2|1|1-0|No|No|Goal</v>
      </c>
      <c r="P410" s="96" t="str">
        <f>IF(COUNTIF($G$32:O410,O410)&gt;1,"DOUBLON","OK")</f>
        <v>OK</v>
      </c>
      <c r="S410" s="30" t="str">
        <v>Switzerland</v>
      </c>
      <c r="T410" s="30" t="str">
        <f t="shared" si="39"/>
        <v>OK</v>
      </c>
      <c r="U410" s="30" t="str">
        <f t="shared" si="40"/>
        <v>-</v>
      </c>
      <c r="V410" s="30" t="str" cm="1">
        <f t="array" ref="V410">_xlfn.IFS(
ISNUMBER(SEARCH("USA",S410)),"United States",
ISNUMBER(SEARCH("Republic of Korea",S410)),"South Korea",
ISNUMBER(SEARCH("Cape Verde",S410)),"Cabo Verde",
ISNUMBER(SEARCH("Czechia",S410)),"Czech Republic",
ISNUMBER(SEARCH("Türkiye",S410)),"Turkey",
ISNUMBER(SEARCH("Ivory Coast",S410)),"Côte d'Ivoire",
ISNUMBER(SEARCH("Korea Republic",S410)),"South Korea",
ISNUMBER(SEARCH("Germany FR",S410)),"FR Germany",
ISNUMBER(SEARCH("West Germany",S410)),"FR Germany",
ISNUMBER(SEARCH("Germany DR",S410)),"DR Germany",
ISNUMBER(SEARCH("Korea DPR",S410)),"North Korea",
ISNUMBER(SEARCH("China PR",S410)),"China",
ISNUMBER(SEARCH("IR Iran",S410)),"Iran",
ISNUMBER(SEARCH("Congo DR",S410)),"Democratic Republic of the Congo",
ISNUMBER(SEARCH("DR Congo",S410)),"Democratic Republic of the Congo",
ISNUMBER(SEARCH("German DR",S410)),"DR Germany",
ISNUMBER(SEARCH("rn""&gt;United Arab Emirates",S410)),"United Arab Emirates",
ISNUMBER(SEARCH("rn""&gt;Republic of Ireland",S410)),"Ireland",
ISNUMBER(SEARCH("rn""&gt;Bosnia and Herzegovina",S410)),"Bosnia and Herzegovina",
ISNUMBER(SEARCH("rn""&gt;Trinidad and Tobago",S410)),"Trinidad and Tobago",
ISNUMBER(SEARCH("rn""&gt;Serbia and Montenegro",S410)),"Serbia and Montenegro",
ISNUMBER(SEARCH(_xlfn.UNICHAR(65533),S410)),"Côte d'Ivoire",
TRUE,""
)</f>
        <v/>
      </c>
      <c r="W410" s="30" t="str">
        <f t="shared" si="41"/>
        <v>Switzerland</v>
      </c>
      <c r="Z410" s="40" t="str">
        <v>Neza</v>
      </c>
      <c r="AA410" s="40" t="str" cm="1">
        <f t="array" ref="AA410">IFERROR(_xlfn.XLOOKUP(Z410,_xlfn.ANCHORARRAY(Z$31),AA$31:AA$37),Z410)</f>
        <v>Neza</v>
      </c>
      <c r="AB410" s="42" t="str">
        <v xml:space="preserve">Nezahualcoyotl </v>
      </c>
      <c r="AC410" s="89" t="str">
        <f t="shared" si="38"/>
        <v xml:space="preserve">Nezahualcoyotl </v>
      </c>
      <c r="AE410" s="42">
        <v>1982</v>
      </c>
      <c r="AK410" s="42">
        <v>2</v>
      </c>
      <c r="AL410" s="42">
        <v>0</v>
      </c>
      <c r="AW410" s="89" t="str">
        <v>ROUND_OF_16</v>
      </c>
      <c r="BE410" s="43" t="str">
        <f>IF(OR(DATA_CLEANED!AL401="",DATA_CLEANED!AM401=""),"MANQUANT",IF(OR(NOT(ISNUMBER(DATA_CLEANED!AL401)),NOT(ISNUMBER(DATA_CLEANED!AM401))),"ENTREE INVALIDE",IF(OR(DATA_CLEANED!AL401&lt;0,DATA_CLEANED!AM401&lt;0),"SCORE NEGATIF","OK")))</f>
        <v>OK</v>
      </c>
      <c r="BF410" s="43" t="str">
        <f>IF(DATA_CLEANED!AK401&lt;&gt;DATA_CLEANED!AN401,"OK","ERREUR")</f>
        <v>OK</v>
      </c>
      <c r="BG410" s="43" t="str">
        <f>IF(DATA_CLEANED!AL401&gt;DATA_CLEANED!AM401,DATA_CLEANED!AK401,IF(AND(DATA_QUALITE!W4887="-",DATA_CLEANED!AM401=DATA_CLEANED!AL401),"MATCH NUL",IF(AND(DATA_QUALITE!V4887="-",DATA_QUALITE!U4887="AUCUNE"),DATA_QUALITE!T4887,IF(DATA_QUALITE!V4887&lt;&gt;"-",DATA_QUALITE!V4887,DATA_CLEANED!AN401))))</f>
        <v>Argentina</v>
      </c>
      <c r="BH410" s="103" t="str">
        <f>IF(AND(BG410="MATCH NUL",DATA_CLEANED!AO401="-"),"MATCH_NUL",IF(ISNUMBER(SEARCH("win on penalties",W4887)),"WIN_BY_PENALTY",IF(ISNUMBER(SEARCH("win after extra time",W4887)),"WIN_BY_EXTRA_TIME",IF(ISNUMBER(SEARCH("Golden Goal",W4887)),"WIN_BY_GOLDEN_GOAL","WIN_BY_SCORE"))))</f>
        <v>WIN_BY_SCORE</v>
      </c>
      <c r="BI410" s="99" t="str">
        <f>IF(OR(BG410=DATA_CLEANED!AK401,BG410=DATA_CLEANED!AN401,BG410="MATCH NUL"),"OK","ERREUR")</f>
        <v>OK</v>
      </c>
    </row>
    <row r="411" spans="2:61">
      <c r="B411" s="74">
        <v>2026</v>
      </c>
      <c r="C411" s="30" t="str">
        <v>Round of 32</v>
      </c>
      <c r="D411" s="30" t="str">
        <v>Netherlands</v>
      </c>
      <c r="E411" s="30" t="str">
        <v>Morocco</v>
      </c>
      <c r="F411" s="30" t="str">
        <v>Netherlands</v>
      </c>
      <c r="G411" s="30" t="str">
        <v>Xavi Simons</v>
      </c>
      <c r="H411" s="30" t="str">
        <v>Yassine Bounou</v>
      </c>
      <c r="I411" s="30">
        <v>3</v>
      </c>
      <c r="J411" s="30">
        <v>2</v>
      </c>
      <c r="K411" s="30" t="str">
        <v>1-1</v>
      </c>
      <c r="L411" s="30" t="str">
        <v>No</v>
      </c>
      <c r="M411" s="30" t="str">
        <v>No</v>
      </c>
      <c r="N411" s="30" t="str">
        <v>Miss</v>
      </c>
      <c r="O411" s="30" t="str">
        <f t="shared" si="42"/>
        <v>2026|Round of 32|Netherlands|Morocco|Netherlands|Xavi Simons|Yassine Bounou|3|2|1-1|No|No|Miss</v>
      </c>
      <c r="P411" s="96" t="str">
        <f>IF(COUNTIF($G$32:O411,O411)&gt;1,"DOUBLON","OK")</f>
        <v>OK</v>
      </c>
      <c r="S411" s="30" t="str">
        <v>Switzerland</v>
      </c>
      <c r="T411" s="30" t="str">
        <f t="shared" si="39"/>
        <v>OK</v>
      </c>
      <c r="U411" s="30" t="str">
        <f t="shared" si="40"/>
        <v>-</v>
      </c>
      <c r="V411" s="30" t="str" cm="1">
        <f t="array" ref="V411">_xlfn.IFS(
ISNUMBER(SEARCH("USA",S411)),"United States",
ISNUMBER(SEARCH("Republic of Korea",S411)),"South Korea",
ISNUMBER(SEARCH("Cape Verde",S411)),"Cabo Verde",
ISNUMBER(SEARCH("Czechia",S411)),"Czech Republic",
ISNUMBER(SEARCH("Türkiye",S411)),"Turkey",
ISNUMBER(SEARCH("Ivory Coast",S411)),"Côte d'Ivoire",
ISNUMBER(SEARCH("Korea Republic",S411)),"South Korea",
ISNUMBER(SEARCH("Germany FR",S411)),"FR Germany",
ISNUMBER(SEARCH("West Germany",S411)),"FR Germany",
ISNUMBER(SEARCH("Germany DR",S411)),"DR Germany",
ISNUMBER(SEARCH("Korea DPR",S411)),"North Korea",
ISNUMBER(SEARCH("China PR",S411)),"China",
ISNUMBER(SEARCH("IR Iran",S411)),"Iran",
ISNUMBER(SEARCH("Congo DR",S411)),"Democratic Republic of the Congo",
ISNUMBER(SEARCH("DR Congo",S411)),"Democratic Republic of the Congo",
ISNUMBER(SEARCH("German DR",S411)),"DR Germany",
ISNUMBER(SEARCH("rn""&gt;United Arab Emirates",S411)),"United Arab Emirates",
ISNUMBER(SEARCH("rn""&gt;Republic of Ireland",S411)),"Ireland",
ISNUMBER(SEARCH("rn""&gt;Bosnia and Herzegovina",S411)),"Bosnia and Herzegovina",
ISNUMBER(SEARCH("rn""&gt;Trinidad and Tobago",S411)),"Trinidad and Tobago",
ISNUMBER(SEARCH("rn""&gt;Serbia and Montenegro",S411)),"Serbia and Montenegro",
ISNUMBER(SEARCH(_xlfn.UNICHAR(65533),S411)),"Côte d'Ivoire",
TRUE,""
)</f>
        <v/>
      </c>
      <c r="W411" s="30" t="str">
        <f t="shared" si="41"/>
        <v>Switzerland</v>
      </c>
      <c r="Z411" s="40" t="str">
        <v>Estadio Corregidora</v>
      </c>
      <c r="AA411" s="40" t="str" cm="1">
        <f t="array" ref="AA411">IFERROR(_xlfn.XLOOKUP(Z411,_xlfn.ANCHORARRAY(Z$31),AA$31:AA$37),Z411)</f>
        <v>Estadio Corregidora</v>
      </c>
      <c r="AB411" s="42" t="str">
        <v xml:space="preserve">Queretaro </v>
      </c>
      <c r="AC411" s="89" t="str">
        <f t="shared" si="38"/>
        <v xml:space="preserve">Queretaro </v>
      </c>
      <c r="AE411" s="42">
        <v>1982</v>
      </c>
      <c r="AK411" s="42">
        <v>2</v>
      </c>
      <c r="AL411" s="42">
        <v>1</v>
      </c>
      <c r="AW411" s="89" t="str">
        <v>ROUND_OF_16</v>
      </c>
      <c r="BE411" s="43" t="str">
        <f>IF(OR(DATA_CLEANED!AL402="",DATA_CLEANED!AM402=""),"MANQUANT",IF(OR(NOT(ISNUMBER(DATA_CLEANED!AL402)),NOT(ISNUMBER(DATA_CLEANED!AM402))),"ENTREE INVALIDE",IF(OR(DATA_CLEANED!AL402&lt;0,DATA_CLEANED!AM402&lt;0),"SCORE NEGATIF","OK")))</f>
        <v>OK</v>
      </c>
      <c r="BF411" s="43" t="str">
        <f>IF(DATA_CLEANED!AK402&lt;&gt;DATA_CLEANED!AN402,"OK","ERREUR")</f>
        <v>OK</v>
      </c>
      <c r="BG411" s="43" t="str">
        <f>IF(DATA_CLEANED!AL402&gt;DATA_CLEANED!AM402,DATA_CLEANED!AK402,IF(AND(DATA_QUALITE!W4888="-",DATA_CLEANED!AM402=DATA_CLEANED!AL402),"MATCH NUL",IF(AND(DATA_QUALITE!V4888="-",DATA_QUALITE!U4888="AUCUNE"),DATA_QUALITE!T4888,IF(DATA_QUALITE!V4888&lt;&gt;"-",DATA_QUALITE!V4888,DATA_CLEANED!AN402))))</f>
        <v>Brazil</v>
      </c>
      <c r="BH411" s="103" t="str">
        <f>IF(AND(BG411="MATCH NUL",DATA_CLEANED!AO402="-"),"MATCH_NUL",IF(ISNUMBER(SEARCH("win on penalties",W4888)),"WIN_BY_PENALTY",IF(ISNUMBER(SEARCH("win after extra time",W4888)),"WIN_BY_EXTRA_TIME",IF(ISNUMBER(SEARCH("Golden Goal",W4888)),"WIN_BY_GOLDEN_GOAL","WIN_BY_SCORE"))))</f>
        <v>WIN_BY_SCORE</v>
      </c>
      <c r="BI411" s="99" t="str">
        <f>IF(OR(BG411=DATA_CLEANED!AK402,BG411=DATA_CLEANED!AN402,BG411="MATCH NUL"),"OK","ERREUR")</f>
        <v>OK</v>
      </c>
    </row>
    <row r="412" spans="2:61">
      <c r="B412" s="74">
        <v>2026</v>
      </c>
      <c r="C412" s="30" t="str">
        <v>Round of 32</v>
      </c>
      <c r="D412" s="30" t="str">
        <v>Netherlands</v>
      </c>
      <c r="E412" s="30" t="str">
        <v>Morocco</v>
      </c>
      <c r="F412" s="30" t="str">
        <v>Morocco</v>
      </c>
      <c r="G412" s="30" t="str">
        <v>Hakim Ziyech</v>
      </c>
      <c r="H412" s="30" t="str">
        <v>Bart Verbruggen</v>
      </c>
      <c r="I412" s="30">
        <v>4</v>
      </c>
      <c r="J412" s="30">
        <v>2</v>
      </c>
      <c r="K412" s="30" t="str">
        <v>1-1</v>
      </c>
      <c r="L412" s="30" t="str">
        <v>No</v>
      </c>
      <c r="M412" s="30" t="str">
        <v>No</v>
      </c>
      <c r="N412" s="30" t="str">
        <v>Goal</v>
      </c>
      <c r="O412" s="30" t="str">
        <f t="shared" si="42"/>
        <v>2026|Round of 32|Netherlands|Morocco|Morocco|Hakim Ziyech|Bart Verbruggen|4|2|1-1|No|No|Goal</v>
      </c>
      <c r="P412" s="96" t="str">
        <f>IF(COUNTIF($G$32:O412,O412)&gt;1,"DOUBLON","OK")</f>
        <v>OK</v>
      </c>
      <c r="S412" s="30" t="str">
        <v>Switzerland</v>
      </c>
      <c r="T412" s="30" t="str">
        <f t="shared" si="39"/>
        <v>OK</v>
      </c>
      <c r="U412" s="30" t="str">
        <f t="shared" si="40"/>
        <v>-</v>
      </c>
      <c r="V412" s="30" t="str" cm="1">
        <f t="array" ref="V412">_xlfn.IFS(
ISNUMBER(SEARCH("USA",S412)),"United States",
ISNUMBER(SEARCH("Republic of Korea",S412)),"South Korea",
ISNUMBER(SEARCH("Cape Verde",S412)),"Cabo Verde",
ISNUMBER(SEARCH("Czechia",S412)),"Czech Republic",
ISNUMBER(SEARCH("Türkiye",S412)),"Turkey",
ISNUMBER(SEARCH("Ivory Coast",S412)),"Côte d'Ivoire",
ISNUMBER(SEARCH("Korea Republic",S412)),"South Korea",
ISNUMBER(SEARCH("Germany FR",S412)),"FR Germany",
ISNUMBER(SEARCH("West Germany",S412)),"FR Germany",
ISNUMBER(SEARCH("Germany DR",S412)),"DR Germany",
ISNUMBER(SEARCH("Korea DPR",S412)),"North Korea",
ISNUMBER(SEARCH("China PR",S412)),"China",
ISNUMBER(SEARCH("IR Iran",S412)),"Iran",
ISNUMBER(SEARCH("Congo DR",S412)),"Democratic Republic of the Congo",
ISNUMBER(SEARCH("DR Congo",S412)),"Democratic Republic of the Congo",
ISNUMBER(SEARCH("German DR",S412)),"DR Germany",
ISNUMBER(SEARCH("rn""&gt;United Arab Emirates",S412)),"United Arab Emirates",
ISNUMBER(SEARCH("rn""&gt;Republic of Ireland",S412)),"Ireland",
ISNUMBER(SEARCH("rn""&gt;Bosnia and Herzegovina",S412)),"Bosnia and Herzegovina",
ISNUMBER(SEARCH("rn""&gt;Trinidad and Tobago",S412)),"Trinidad and Tobago",
ISNUMBER(SEARCH("rn""&gt;Serbia and Montenegro",S412)),"Serbia and Montenegro",
ISNUMBER(SEARCH(_xlfn.UNICHAR(65533),S412)),"Côte d'Ivoire",
TRUE,""
)</f>
        <v/>
      </c>
      <c r="W412" s="30" t="str">
        <f t="shared" si="41"/>
        <v>Switzerland</v>
      </c>
      <c r="Z412" s="40" t="str">
        <v>Cuauhtemoc</v>
      </c>
      <c r="AA412" s="40" t="str" cm="1">
        <f t="array" ref="AA412">IFERROR(_xlfn.XLOOKUP(Z412,_xlfn.ANCHORARRAY(Z$31),AA$31:AA$37),Z412)</f>
        <v>Cuauhtemoc</v>
      </c>
      <c r="AB412" s="42" t="str">
        <v xml:space="preserve">Puebla </v>
      </c>
      <c r="AC412" s="89" t="str">
        <f t="shared" si="38"/>
        <v xml:space="preserve">Puebla </v>
      </c>
      <c r="AE412" s="42">
        <v>1982</v>
      </c>
      <c r="AK412" s="42">
        <v>0</v>
      </c>
      <c r="AL412" s="42">
        <v>2</v>
      </c>
      <c r="AW412" s="89" t="str">
        <v>ROUND_OF_16</v>
      </c>
      <c r="BE412" s="43" t="str">
        <f>IF(OR(DATA_CLEANED!AL403="",DATA_CLEANED!AM403=""),"MANQUANT",IF(OR(NOT(ISNUMBER(DATA_CLEANED!AL403)),NOT(ISNUMBER(DATA_CLEANED!AM403))),"ENTREE INVALIDE",IF(OR(DATA_CLEANED!AL403&lt;0,DATA_CLEANED!AM403&lt;0),"SCORE NEGATIF","OK")))</f>
        <v>OK</v>
      </c>
      <c r="BF412" s="43" t="str">
        <f>IF(DATA_CLEANED!AK403&lt;&gt;DATA_CLEANED!AN403,"OK","ERREUR")</f>
        <v>OK</v>
      </c>
      <c r="BG412" s="43" t="str">
        <f>IF(DATA_CLEANED!AL403&gt;DATA_CLEANED!AM403,DATA_CLEANED!AK403,IF(AND(DATA_QUALITE!W4889="-",DATA_CLEANED!AM403=DATA_CLEANED!AL403),"MATCH NUL",IF(AND(DATA_QUALITE!V4889="-",DATA_QUALITE!U4889="AUCUNE"),DATA_QUALITE!T4889,IF(DATA_QUALITE!V4889&lt;&gt;"-",DATA_QUALITE!V4889,DATA_CLEANED!AN403))))</f>
        <v>France</v>
      </c>
      <c r="BH412" s="103" t="str">
        <f>IF(AND(BG412="MATCH NUL",DATA_CLEANED!AO403="-"),"MATCH_NUL",IF(ISNUMBER(SEARCH("win on penalties",W4889)),"WIN_BY_PENALTY",IF(ISNUMBER(SEARCH("win after extra time",W4889)),"WIN_BY_EXTRA_TIME",IF(ISNUMBER(SEARCH("Golden Goal",W4889)),"WIN_BY_GOLDEN_GOAL","WIN_BY_SCORE"))))</f>
        <v>WIN_BY_SCORE</v>
      </c>
      <c r="BI412" s="99" t="str">
        <f>IF(OR(BG412=DATA_CLEANED!AK403,BG412=DATA_CLEANED!AN403,BG412="MATCH NUL"),"OK","ERREUR")</f>
        <v>OK</v>
      </c>
    </row>
    <row r="413" spans="2:61">
      <c r="B413" s="74">
        <v>2026</v>
      </c>
      <c r="C413" s="30" t="str">
        <v>Round of 32</v>
      </c>
      <c r="D413" s="30" t="str">
        <v>Netherlands</v>
      </c>
      <c r="E413" s="30" t="str">
        <v>Morocco</v>
      </c>
      <c r="F413" s="30" t="str">
        <v>Netherlands</v>
      </c>
      <c r="G413" s="30" t="str">
        <v>Tijjani Reijnders</v>
      </c>
      <c r="H413" s="30" t="str">
        <v>Yassine Bounou</v>
      </c>
      <c r="I413" s="30">
        <v>5</v>
      </c>
      <c r="J413" s="30">
        <v>3</v>
      </c>
      <c r="K413" s="30" t="str">
        <v>1-2</v>
      </c>
      <c r="L413" s="30" t="str">
        <v>No</v>
      </c>
      <c r="M413" s="30" t="str">
        <v>No</v>
      </c>
      <c r="N413" s="30" t="str">
        <v>Goal</v>
      </c>
      <c r="O413" s="30" t="str">
        <f t="shared" si="42"/>
        <v>2026|Round of 32|Netherlands|Morocco|Netherlands|Tijjani Reijnders|Yassine Bounou|5|3|1-2|No|No|Goal</v>
      </c>
      <c r="P413" s="96" t="str">
        <f>IF(COUNTIF($G$32:O413,O413)&gt;1,"DOUBLON","OK")</f>
        <v>OK</v>
      </c>
      <c r="S413" s="30" t="str">
        <v>Switzerland</v>
      </c>
      <c r="T413" s="30" t="str">
        <f t="shared" si="39"/>
        <v>OK</v>
      </c>
      <c r="U413" s="30" t="str">
        <f t="shared" si="40"/>
        <v>-</v>
      </c>
      <c r="V413" s="30" t="str" cm="1">
        <f t="array" ref="V413">_xlfn.IFS(
ISNUMBER(SEARCH("USA",S413)),"United States",
ISNUMBER(SEARCH("Republic of Korea",S413)),"South Korea",
ISNUMBER(SEARCH("Cape Verde",S413)),"Cabo Verde",
ISNUMBER(SEARCH("Czechia",S413)),"Czech Republic",
ISNUMBER(SEARCH("Türkiye",S413)),"Turkey",
ISNUMBER(SEARCH("Ivory Coast",S413)),"Côte d'Ivoire",
ISNUMBER(SEARCH("Korea Republic",S413)),"South Korea",
ISNUMBER(SEARCH("Germany FR",S413)),"FR Germany",
ISNUMBER(SEARCH("West Germany",S413)),"FR Germany",
ISNUMBER(SEARCH("Germany DR",S413)),"DR Germany",
ISNUMBER(SEARCH("Korea DPR",S413)),"North Korea",
ISNUMBER(SEARCH("China PR",S413)),"China",
ISNUMBER(SEARCH("IR Iran",S413)),"Iran",
ISNUMBER(SEARCH("Congo DR",S413)),"Democratic Republic of the Congo",
ISNUMBER(SEARCH("DR Congo",S413)),"Democratic Republic of the Congo",
ISNUMBER(SEARCH("German DR",S413)),"DR Germany",
ISNUMBER(SEARCH("rn""&gt;United Arab Emirates",S413)),"United Arab Emirates",
ISNUMBER(SEARCH("rn""&gt;Republic of Ireland",S413)),"Ireland",
ISNUMBER(SEARCH("rn""&gt;Bosnia and Herzegovina",S413)),"Bosnia and Herzegovina",
ISNUMBER(SEARCH("rn""&gt;Trinidad and Tobago",S413)),"Trinidad and Tobago",
ISNUMBER(SEARCH("rn""&gt;Serbia and Montenegro",S413)),"Serbia and Montenegro",
ISNUMBER(SEARCH(_xlfn.UNICHAR(65533),S413)),"Côte d'Ivoire",
TRUE,""
)</f>
        <v/>
      </c>
      <c r="W413" s="30" t="str">
        <f t="shared" si="41"/>
        <v>Switzerland</v>
      </c>
      <c r="Z413" s="40" t="str">
        <v>Nou Camp - Estadio Le�n</v>
      </c>
      <c r="AA413" s="40" t="str" cm="1">
        <f t="array" ref="AA413">IFERROR(_xlfn.XLOOKUP(Z413,_xlfn.ANCHORARRAY(Z$31),AA$31:AA$37),Z413)</f>
        <v>Nou Camp - Estadio León</v>
      </c>
      <c r="AB413" s="42" t="str">
        <v xml:space="preserve">Leon </v>
      </c>
      <c r="AC413" s="89" t="str">
        <f t="shared" si="38"/>
        <v xml:space="preserve">Leon </v>
      </c>
      <c r="AE413" s="42">
        <v>1982</v>
      </c>
      <c r="AK413" s="42">
        <v>4</v>
      </c>
      <c r="AL413" s="42">
        <v>1</v>
      </c>
      <c r="AW413" s="89" t="str">
        <v>ROUND_OF_16</v>
      </c>
      <c r="BE413" s="43" t="str">
        <f>IF(OR(DATA_CLEANED!AL404="",DATA_CLEANED!AM404=""),"MANQUANT",IF(OR(NOT(ISNUMBER(DATA_CLEANED!AL404)),NOT(ISNUMBER(DATA_CLEANED!AM404))),"ENTREE INVALIDE",IF(OR(DATA_CLEANED!AL404&lt;0,DATA_CLEANED!AM404&lt;0),"SCORE NEGATIF","OK")))</f>
        <v>OK</v>
      </c>
      <c r="BF413" s="43" t="str">
        <f>IF(DATA_CLEANED!AK404&lt;&gt;DATA_CLEANED!AN404,"OK","ERREUR")</f>
        <v>OK</v>
      </c>
      <c r="BG413" s="43" t="str">
        <f>IF(DATA_CLEANED!AL404&gt;DATA_CLEANED!AM404,DATA_CLEANED!AK404,IF(AND(DATA_QUALITE!W4890="-",DATA_CLEANED!AM404=DATA_CLEANED!AL404),"MATCH NUL",IF(AND(DATA_QUALITE!V4890="-",DATA_QUALITE!U4890="AUCUNE"),DATA_QUALITE!T4890,IF(DATA_QUALITE!V4890&lt;&gt;"-",DATA_QUALITE!V4890,DATA_CLEANED!AN404))))</f>
        <v>FR Germany</v>
      </c>
      <c r="BH413" s="103" t="str">
        <f>IF(AND(BG413="MATCH NUL",DATA_CLEANED!AO404="-"),"MATCH_NUL",IF(ISNUMBER(SEARCH("win on penalties",W4890)),"WIN_BY_PENALTY",IF(ISNUMBER(SEARCH("win after extra time",W4890)),"WIN_BY_EXTRA_TIME",IF(ISNUMBER(SEARCH("Golden Goal",W4890)),"WIN_BY_GOLDEN_GOAL","WIN_BY_SCORE"))))</f>
        <v>WIN_BY_SCORE</v>
      </c>
      <c r="BI413" s="99" t="str">
        <f>IF(OR(BG413=DATA_CLEANED!AK404,BG413=DATA_CLEANED!AN404,BG413="MATCH NUL"),"OK","ERREUR")</f>
        <v>OK</v>
      </c>
    </row>
    <row r="414" spans="2:61">
      <c r="B414" s="74">
        <v>2026</v>
      </c>
      <c r="C414" s="30" t="str">
        <v>Round of 32</v>
      </c>
      <c r="D414" s="30" t="str">
        <v>Netherlands</v>
      </c>
      <c r="E414" s="30" t="str">
        <v>Morocco</v>
      </c>
      <c r="F414" s="30" t="str">
        <v>Morocco</v>
      </c>
      <c r="G414" s="30" t="str">
        <v>Sofyan Amrabat</v>
      </c>
      <c r="H414" s="30" t="str">
        <v>Bart Verbruggen</v>
      </c>
      <c r="I414" s="30">
        <v>6</v>
      </c>
      <c r="J414" s="30">
        <v>3</v>
      </c>
      <c r="K414" s="30" t="str">
        <v>2-2</v>
      </c>
      <c r="L414" s="30" t="str">
        <v>No</v>
      </c>
      <c r="M414" s="30" t="str">
        <v>No</v>
      </c>
      <c r="N414" s="30" t="str">
        <v>Miss</v>
      </c>
      <c r="O414" s="30" t="str">
        <f t="shared" si="42"/>
        <v>2026|Round of 32|Netherlands|Morocco|Morocco|Sofyan Amrabat|Bart Verbruggen|6|3|2-2|No|No|Miss</v>
      </c>
      <c r="P414" s="96" t="str">
        <f>IF(COUNTIF($G$32:O414,O414)&gt;1,"DOUBLON","OK")</f>
        <v>OK</v>
      </c>
      <c r="S414" s="30" t="str">
        <v>Switzerland</v>
      </c>
      <c r="T414" s="30" t="str">
        <f t="shared" si="39"/>
        <v>OK</v>
      </c>
      <c r="U414" s="30" t="str">
        <f t="shared" si="40"/>
        <v>-</v>
      </c>
      <c r="V414" s="30" t="str" cm="1">
        <f t="array" ref="V414">_xlfn.IFS(
ISNUMBER(SEARCH("USA",S414)),"United States",
ISNUMBER(SEARCH("Republic of Korea",S414)),"South Korea",
ISNUMBER(SEARCH("Cape Verde",S414)),"Cabo Verde",
ISNUMBER(SEARCH("Czechia",S414)),"Czech Republic",
ISNUMBER(SEARCH("Türkiye",S414)),"Turkey",
ISNUMBER(SEARCH("Ivory Coast",S414)),"Côte d'Ivoire",
ISNUMBER(SEARCH("Korea Republic",S414)),"South Korea",
ISNUMBER(SEARCH("Germany FR",S414)),"FR Germany",
ISNUMBER(SEARCH("West Germany",S414)),"FR Germany",
ISNUMBER(SEARCH("Germany DR",S414)),"DR Germany",
ISNUMBER(SEARCH("Korea DPR",S414)),"North Korea",
ISNUMBER(SEARCH("China PR",S414)),"China",
ISNUMBER(SEARCH("IR Iran",S414)),"Iran",
ISNUMBER(SEARCH("Congo DR",S414)),"Democratic Republic of the Congo",
ISNUMBER(SEARCH("DR Congo",S414)),"Democratic Republic of the Congo",
ISNUMBER(SEARCH("German DR",S414)),"DR Germany",
ISNUMBER(SEARCH("rn""&gt;United Arab Emirates",S414)),"United Arab Emirates",
ISNUMBER(SEARCH("rn""&gt;Republic of Ireland",S414)),"Ireland",
ISNUMBER(SEARCH("rn""&gt;Bosnia and Herzegovina",S414)),"Bosnia and Herzegovina",
ISNUMBER(SEARCH("rn""&gt;Trinidad and Tobago",S414)),"Trinidad and Tobago",
ISNUMBER(SEARCH("rn""&gt;Serbia and Montenegro",S414)),"Serbia and Montenegro",
ISNUMBER(SEARCH(_xlfn.UNICHAR(65533),S414)),"Côte d'Ivoire",
TRUE,""
)</f>
        <v/>
      </c>
      <c r="W414" s="30" t="str">
        <f t="shared" si="41"/>
        <v>Switzerland</v>
      </c>
      <c r="Z414" s="40" t="str">
        <v>Estadio Ol�mpico Universitario</v>
      </c>
      <c r="AA414" s="40" t="str" cm="1">
        <f t="array" ref="AA414">IFERROR(_xlfn.XLOOKUP(Z414,_xlfn.ANCHORARRAY(Z$31),AA$31:AA$37),Z414)</f>
        <v>Estadio Olímpico Universitario</v>
      </c>
      <c r="AB414" s="42" t="str">
        <v xml:space="preserve">Mexico City </v>
      </c>
      <c r="AC414" s="89" t="str">
        <f t="shared" si="38"/>
        <v xml:space="preserve">Mexico City </v>
      </c>
      <c r="AE414" s="42">
        <v>1982</v>
      </c>
      <c r="AK414" s="42">
        <v>1</v>
      </c>
      <c r="AL414" s="42">
        <v>1</v>
      </c>
      <c r="AW414" s="89" t="str">
        <v>ROUND_OF_16</v>
      </c>
      <c r="BE414" s="43" t="str">
        <f>IF(OR(DATA_CLEANED!AL405="",DATA_CLEANED!AM405=""),"MANQUANT",IF(OR(NOT(ISNUMBER(DATA_CLEANED!AL405)),NOT(ISNUMBER(DATA_CLEANED!AM405))),"ENTREE INVALIDE",IF(OR(DATA_CLEANED!AL405&lt;0,DATA_CLEANED!AM405&lt;0),"SCORE NEGATIF","OK")))</f>
        <v>OK</v>
      </c>
      <c r="BF414" s="43" t="str">
        <f>IF(DATA_CLEANED!AK405&lt;&gt;DATA_CLEANED!AN405,"OK","ERREUR")</f>
        <v>OK</v>
      </c>
      <c r="BG414" s="43" t="str">
        <f>IF(DATA_CLEANED!AL405&gt;DATA_CLEANED!AM405,DATA_CLEANED!AK405,IF(AND(DATA_QUALITE!W4891="-",DATA_CLEANED!AM405=DATA_CLEANED!AL405),"MATCH NUL",IF(AND(DATA_QUALITE!V4891="-",DATA_QUALITE!U4891="AUCUNE"),DATA_QUALITE!T4891,IF(DATA_QUALITE!V4891&lt;&gt;"-",DATA_QUALITE!V4891,DATA_CLEANED!AN405))))</f>
        <v>England</v>
      </c>
      <c r="BH414" s="103" t="str">
        <f>IF(AND(BG414="MATCH NUL",DATA_CLEANED!AO405="-"),"MATCH_NUL",IF(ISNUMBER(SEARCH("win on penalties",W4891)),"WIN_BY_PENALTY",IF(ISNUMBER(SEARCH("win after extra time",W4891)),"WIN_BY_EXTRA_TIME",IF(ISNUMBER(SEARCH("Golden Goal",W4891)),"WIN_BY_GOLDEN_GOAL","WIN_BY_SCORE"))))</f>
        <v>WIN_BY_SCORE</v>
      </c>
      <c r="BI414" s="99" t="str">
        <f>IF(OR(BG414=DATA_CLEANED!AK405,BG414=DATA_CLEANED!AN405,BG414="MATCH NUL"),"OK","ERREUR")</f>
        <v>OK</v>
      </c>
    </row>
    <row r="415" spans="2:61">
      <c r="B415" s="74">
        <v>2026</v>
      </c>
      <c r="C415" s="30" t="str">
        <v>Round of 32</v>
      </c>
      <c r="D415" s="30" t="str">
        <v>Netherlands</v>
      </c>
      <c r="E415" s="30" t="str">
        <v>Morocco</v>
      </c>
      <c r="F415" s="30" t="str">
        <v>Netherlands</v>
      </c>
      <c r="G415" s="30" t="str">
        <v>Donyell Malen</v>
      </c>
      <c r="H415" s="30" t="str">
        <v>Yassine Bounou</v>
      </c>
      <c r="I415" s="30">
        <v>7</v>
      </c>
      <c r="J415" s="30">
        <v>4</v>
      </c>
      <c r="K415" s="30" t="str">
        <v>2-2</v>
      </c>
      <c r="L415" s="30" t="str">
        <v>No</v>
      </c>
      <c r="M415" s="30" t="str">
        <v>No</v>
      </c>
      <c r="N415" s="30" t="str">
        <v>Miss</v>
      </c>
      <c r="O415" s="30" t="str">
        <f t="shared" si="42"/>
        <v>2026|Round of 32|Netherlands|Morocco|Netherlands|Donyell Malen|Yassine Bounou|7|4|2-2|No|No|Miss</v>
      </c>
      <c r="P415" s="96" t="str">
        <f>IF(COUNTIF($G$32:O415,O415)&gt;1,"DOUBLON","OK")</f>
        <v>OK</v>
      </c>
      <c r="S415" s="30" t="str">
        <v>France</v>
      </c>
      <c r="T415" s="30" t="str">
        <f t="shared" si="39"/>
        <v>OK</v>
      </c>
      <c r="U415" s="30" t="str">
        <f t="shared" si="40"/>
        <v>-</v>
      </c>
      <c r="V415" s="30" t="str" cm="1">
        <f t="array" ref="V415">_xlfn.IFS(
ISNUMBER(SEARCH("USA",S415)),"United States",
ISNUMBER(SEARCH("Republic of Korea",S415)),"South Korea",
ISNUMBER(SEARCH("Cape Verde",S415)),"Cabo Verde",
ISNUMBER(SEARCH("Czechia",S415)),"Czech Republic",
ISNUMBER(SEARCH("Türkiye",S415)),"Turkey",
ISNUMBER(SEARCH("Ivory Coast",S415)),"Côte d'Ivoire",
ISNUMBER(SEARCH("Korea Republic",S415)),"South Korea",
ISNUMBER(SEARCH("Germany FR",S415)),"FR Germany",
ISNUMBER(SEARCH("West Germany",S415)),"FR Germany",
ISNUMBER(SEARCH("Germany DR",S415)),"DR Germany",
ISNUMBER(SEARCH("Korea DPR",S415)),"North Korea",
ISNUMBER(SEARCH("China PR",S415)),"China",
ISNUMBER(SEARCH("IR Iran",S415)),"Iran",
ISNUMBER(SEARCH("Congo DR",S415)),"Democratic Republic of the Congo",
ISNUMBER(SEARCH("DR Congo",S415)),"Democratic Republic of the Congo",
ISNUMBER(SEARCH("German DR",S415)),"DR Germany",
ISNUMBER(SEARCH("rn""&gt;United Arab Emirates",S415)),"United Arab Emirates",
ISNUMBER(SEARCH("rn""&gt;Republic of Ireland",S415)),"Ireland",
ISNUMBER(SEARCH("rn""&gt;Bosnia and Herzegovina",S415)),"Bosnia and Herzegovina",
ISNUMBER(SEARCH("rn""&gt;Trinidad and Tobago",S415)),"Trinidad and Tobago",
ISNUMBER(SEARCH("rn""&gt;Serbia and Montenegro",S415)),"Serbia and Montenegro",
ISNUMBER(SEARCH(_xlfn.UNICHAR(65533),S415)),"Côte d'Ivoire",
TRUE,""
)</f>
        <v/>
      </c>
      <c r="W415" s="30" t="str">
        <f t="shared" si="41"/>
        <v>France</v>
      </c>
      <c r="Z415" s="40" t="str">
        <v>Estadio Irapuato</v>
      </c>
      <c r="AA415" s="40" t="str" cm="1">
        <f t="array" ref="AA415">IFERROR(_xlfn.XLOOKUP(Z415,_xlfn.ANCHORARRAY(Z$31),AA$31:AA$37),Z415)</f>
        <v>Estadio Irapuato</v>
      </c>
      <c r="AB415" s="42" t="str">
        <v xml:space="preserve">Irapuato </v>
      </c>
      <c r="AC415" s="89" t="str">
        <f t="shared" si="38"/>
        <v xml:space="preserve">Irapuato </v>
      </c>
      <c r="AE415" s="42">
        <v>1982</v>
      </c>
      <c r="AK415" s="42">
        <v>5</v>
      </c>
      <c r="AL415" s="42">
        <v>1</v>
      </c>
      <c r="AW415" s="89" t="str">
        <v>ROUND_OF_16</v>
      </c>
      <c r="BE415" s="43" t="str">
        <f>IF(OR(DATA_CLEANED!AL406="",DATA_CLEANED!AM406=""),"MANQUANT",IF(OR(NOT(ISNUMBER(DATA_CLEANED!AL406)),NOT(ISNUMBER(DATA_CLEANED!AM406))),"ENTREE INVALIDE",IF(OR(DATA_CLEANED!AL406&lt;0,DATA_CLEANED!AM406&lt;0),"SCORE NEGATIF","OK")))</f>
        <v>OK</v>
      </c>
      <c r="BF415" s="43" t="str">
        <f>IF(DATA_CLEANED!AK406&lt;&gt;DATA_CLEANED!AN406,"OK","ERREUR")</f>
        <v>OK</v>
      </c>
      <c r="BG415" s="43" t="str">
        <f>IF(DATA_CLEANED!AL406&gt;DATA_CLEANED!AM406,DATA_CLEANED!AK406,IF(AND(DATA_QUALITE!W4892="-",DATA_CLEANED!AM406=DATA_CLEANED!AL406),"MATCH NUL",IF(AND(DATA_QUALITE!V4892="-",DATA_QUALITE!U4892="AUCUNE"),DATA_QUALITE!T4892,IF(DATA_QUALITE!V4892&lt;&gt;"-",DATA_QUALITE!V4892,DATA_CLEANED!AN406))))</f>
        <v>Spain</v>
      </c>
      <c r="BH415" s="103" t="str">
        <f>IF(AND(BG415="MATCH NUL",DATA_CLEANED!AO406="-"),"MATCH_NUL",IF(ISNUMBER(SEARCH("win on penalties",W4892)),"WIN_BY_PENALTY",IF(ISNUMBER(SEARCH("win after extra time",W4892)),"WIN_BY_EXTRA_TIME",IF(ISNUMBER(SEARCH("Golden Goal",W4892)),"WIN_BY_GOLDEN_GOAL","WIN_BY_SCORE"))))</f>
        <v>WIN_BY_SCORE</v>
      </c>
      <c r="BI415" s="99" t="str">
        <f>IF(OR(BG415=DATA_CLEANED!AK406,BG415=DATA_CLEANED!AN406,BG415="MATCH NUL"),"OK","ERREUR")</f>
        <v>OK</v>
      </c>
    </row>
    <row r="416" spans="2:61">
      <c r="B416" s="74">
        <v>2026</v>
      </c>
      <c r="C416" s="30" t="str">
        <v>Round of 32</v>
      </c>
      <c r="D416" s="30" t="str">
        <v>Netherlands</v>
      </c>
      <c r="E416" s="30" t="str">
        <v>Morocco</v>
      </c>
      <c r="F416" s="30" t="str">
        <v>Morocco</v>
      </c>
      <c r="G416" s="30" t="str">
        <v>Youssef En-Nesyri</v>
      </c>
      <c r="H416" s="30" t="str">
        <v>Bart Verbruggen</v>
      </c>
      <c r="I416" s="30">
        <v>8</v>
      </c>
      <c r="J416" s="30">
        <v>4</v>
      </c>
      <c r="K416" s="30" t="str">
        <v>2-2</v>
      </c>
      <c r="L416" s="30" t="str">
        <v>No</v>
      </c>
      <c r="M416" s="30" t="str">
        <v>No</v>
      </c>
      <c r="N416" s="30" t="str">
        <v>Goal</v>
      </c>
      <c r="O416" s="30" t="str">
        <f t="shared" si="42"/>
        <v>2026|Round of 32|Netherlands|Morocco|Morocco|Youssef En-Nesyri|Bart Verbruggen|8|4|2-2|No|No|Goal</v>
      </c>
      <c r="P416" s="96" t="str">
        <f>IF(COUNTIF($G$32:O416,O416)&gt;1,"DOUBLON","OK")</f>
        <v>OK</v>
      </c>
      <c r="S416" s="30" t="str">
        <v>France</v>
      </c>
      <c r="T416" s="30" t="str">
        <f t="shared" si="39"/>
        <v>OK</v>
      </c>
      <c r="U416" s="30" t="str">
        <f t="shared" si="40"/>
        <v>-</v>
      </c>
      <c r="V416" s="30" t="str" cm="1">
        <f t="array" ref="V416">_xlfn.IFS(
ISNUMBER(SEARCH("USA",S416)),"United States",
ISNUMBER(SEARCH("Republic of Korea",S416)),"South Korea",
ISNUMBER(SEARCH("Cape Verde",S416)),"Cabo Verde",
ISNUMBER(SEARCH("Czechia",S416)),"Czech Republic",
ISNUMBER(SEARCH("Türkiye",S416)),"Turkey",
ISNUMBER(SEARCH("Ivory Coast",S416)),"Côte d'Ivoire",
ISNUMBER(SEARCH("Korea Republic",S416)),"South Korea",
ISNUMBER(SEARCH("Germany FR",S416)),"FR Germany",
ISNUMBER(SEARCH("West Germany",S416)),"FR Germany",
ISNUMBER(SEARCH("Germany DR",S416)),"DR Germany",
ISNUMBER(SEARCH("Korea DPR",S416)),"North Korea",
ISNUMBER(SEARCH("China PR",S416)),"China",
ISNUMBER(SEARCH("IR Iran",S416)),"Iran",
ISNUMBER(SEARCH("Congo DR",S416)),"Democratic Republic of the Congo",
ISNUMBER(SEARCH("DR Congo",S416)),"Democratic Republic of the Congo",
ISNUMBER(SEARCH("German DR",S416)),"DR Germany",
ISNUMBER(SEARCH("rn""&gt;United Arab Emirates",S416)),"United Arab Emirates",
ISNUMBER(SEARCH("rn""&gt;Republic of Ireland",S416)),"Ireland",
ISNUMBER(SEARCH("rn""&gt;Bosnia and Herzegovina",S416)),"Bosnia and Herzegovina",
ISNUMBER(SEARCH("rn""&gt;Trinidad and Tobago",S416)),"Trinidad and Tobago",
ISNUMBER(SEARCH("rn""&gt;Serbia and Montenegro",S416)),"Serbia and Montenegro",
ISNUMBER(SEARCH(_xlfn.UNICHAR(65533),S416)),"Côte d'Ivoire",
TRUE,""
)</f>
        <v/>
      </c>
      <c r="W416" s="30" t="str">
        <f t="shared" si="41"/>
        <v>France</v>
      </c>
      <c r="Z416" s="40" t="str">
        <v>Jalisco</v>
      </c>
      <c r="AA416" s="40" t="str" cm="1">
        <f t="array" ref="AA416">IFERROR(_xlfn.XLOOKUP(Z416,_xlfn.ANCHORARRAY(Z$31),AA$31:AA$37),Z416)</f>
        <v>Jalisco</v>
      </c>
      <c r="AB416" s="42" t="str">
        <v xml:space="preserve">Guadalajara </v>
      </c>
      <c r="AC416" s="89" t="str">
        <f t="shared" si="38"/>
        <v xml:space="preserve">Guadalajara </v>
      </c>
      <c r="AE416" s="42">
        <v>1982</v>
      </c>
      <c r="AK416" s="42">
        <v>1</v>
      </c>
      <c r="AL416" s="42">
        <v>1</v>
      </c>
      <c r="AW416" s="89" t="str">
        <v>QUARTER_FINALS</v>
      </c>
      <c r="BE416" s="43" t="str">
        <f>IF(OR(DATA_CLEANED!AL407="",DATA_CLEANED!AM407=""),"MANQUANT",IF(OR(NOT(ISNUMBER(DATA_CLEANED!AL407)),NOT(ISNUMBER(DATA_CLEANED!AM407))),"ENTREE INVALIDE",IF(OR(DATA_CLEANED!AL407&lt;0,DATA_CLEANED!AM407&lt;0),"SCORE NEGATIF","OK")))</f>
        <v>OK</v>
      </c>
      <c r="BF416" s="43" t="str">
        <f>IF(DATA_CLEANED!AK407&lt;&gt;DATA_CLEANED!AN407,"OK","ERREUR")</f>
        <v>OK</v>
      </c>
      <c r="BG416" s="43" t="str">
        <f>IF(DATA_CLEANED!AL407&gt;DATA_CLEANED!AM407,DATA_CLEANED!AK407,IF(AND(DATA_QUALITE!W4893="-",DATA_CLEANED!AM407=DATA_CLEANED!AL407),"MATCH NUL",IF(AND(DATA_QUALITE!V4893="-",DATA_QUALITE!U4893="AUCUNE"),DATA_QUALITE!T4893,IF(DATA_QUALITE!V4893&lt;&gt;"-",DATA_QUALITE!V4893,DATA_CLEANED!AN407))))</f>
        <v>France</v>
      </c>
      <c r="BH416" s="103" t="str">
        <f>IF(AND(BG416="MATCH NUL",DATA_CLEANED!AO407="-"),"MATCH_NUL",IF(ISNUMBER(SEARCH("win on penalties",W4893)),"WIN_BY_PENALTY",IF(ISNUMBER(SEARCH("win after extra time",W4893)),"WIN_BY_EXTRA_TIME",IF(ISNUMBER(SEARCH("Golden Goal",W4893)),"WIN_BY_GOLDEN_GOAL","WIN_BY_SCORE"))))</f>
        <v>WIN_BY_PENALTY</v>
      </c>
      <c r="BI416" s="99" t="str">
        <f>IF(OR(BG416=DATA_CLEANED!AK407,BG416=DATA_CLEANED!AN407,BG416="MATCH NUL"),"OK","ERREUR")</f>
        <v>OK</v>
      </c>
    </row>
    <row r="417" spans="2:61">
      <c r="B417" s="74">
        <v>2026</v>
      </c>
      <c r="C417" s="30" t="str">
        <v>Round of 32</v>
      </c>
      <c r="D417" s="30" t="str">
        <v>Netherlands</v>
      </c>
      <c r="E417" s="30" t="str">
        <v>Morocco</v>
      </c>
      <c r="F417" s="30" t="str">
        <v>Netherlands</v>
      </c>
      <c r="G417" s="30" t="str">
        <v>Jeremie Frimpong</v>
      </c>
      <c r="H417" s="30" t="str">
        <v>Yassine Bounou</v>
      </c>
      <c r="I417" s="30">
        <v>9</v>
      </c>
      <c r="J417" s="30">
        <v>5</v>
      </c>
      <c r="K417" s="30" t="str">
        <v>2-3</v>
      </c>
      <c r="L417" s="30" t="str">
        <v>Yes</v>
      </c>
      <c r="M417" s="30" t="str">
        <v>No</v>
      </c>
      <c r="N417" s="30" t="str">
        <v>Miss</v>
      </c>
      <c r="O417" s="30" t="str">
        <f t="shared" si="42"/>
        <v>2026|Round of 32|Netherlands|Morocco|Netherlands|Jeremie Frimpong|Yassine Bounou|9|5|2-3|Yes|No|Miss</v>
      </c>
      <c r="P417" s="96" t="str">
        <f>IF(COUNTIF($G$32:O417,O417)&gt;1,"DOUBLON","OK")</f>
        <v>OK</v>
      </c>
      <c r="S417" s="30" t="str">
        <v>France</v>
      </c>
      <c r="T417" s="30" t="str">
        <f t="shared" si="39"/>
        <v>OK</v>
      </c>
      <c r="U417" s="30" t="str">
        <f t="shared" si="40"/>
        <v>-</v>
      </c>
      <c r="V417" s="30" t="str" cm="1">
        <f t="array" ref="V417">_xlfn.IFS(
ISNUMBER(SEARCH("USA",S417)),"United States",
ISNUMBER(SEARCH("Republic of Korea",S417)),"South Korea",
ISNUMBER(SEARCH("Cape Verde",S417)),"Cabo Verde",
ISNUMBER(SEARCH("Czechia",S417)),"Czech Republic",
ISNUMBER(SEARCH("Türkiye",S417)),"Turkey",
ISNUMBER(SEARCH("Ivory Coast",S417)),"Côte d'Ivoire",
ISNUMBER(SEARCH("Korea Republic",S417)),"South Korea",
ISNUMBER(SEARCH("Germany FR",S417)),"FR Germany",
ISNUMBER(SEARCH("West Germany",S417)),"FR Germany",
ISNUMBER(SEARCH("Germany DR",S417)),"DR Germany",
ISNUMBER(SEARCH("Korea DPR",S417)),"North Korea",
ISNUMBER(SEARCH("China PR",S417)),"China",
ISNUMBER(SEARCH("IR Iran",S417)),"Iran",
ISNUMBER(SEARCH("Congo DR",S417)),"Democratic Republic of the Congo",
ISNUMBER(SEARCH("DR Congo",S417)),"Democratic Republic of the Congo",
ISNUMBER(SEARCH("German DR",S417)),"DR Germany",
ISNUMBER(SEARCH("rn""&gt;United Arab Emirates",S417)),"United Arab Emirates",
ISNUMBER(SEARCH("rn""&gt;Republic of Ireland",S417)),"Ireland",
ISNUMBER(SEARCH("rn""&gt;Bosnia and Herzegovina",S417)),"Bosnia and Herzegovina",
ISNUMBER(SEARCH("rn""&gt;Trinidad and Tobago",S417)),"Trinidad and Tobago",
ISNUMBER(SEARCH("rn""&gt;Serbia and Montenegro",S417)),"Serbia and Montenegro",
ISNUMBER(SEARCH(_xlfn.UNICHAR(65533),S417)),"Côte d'Ivoire",
TRUE,""
)</f>
        <v/>
      </c>
      <c r="W417" s="30" t="str">
        <f t="shared" si="41"/>
        <v>France</v>
      </c>
      <c r="Z417" s="40" t="str">
        <v>Tecnologico</v>
      </c>
      <c r="AA417" s="40" t="str" cm="1">
        <f t="array" ref="AA417">IFERROR(_xlfn.XLOOKUP(Z417,_xlfn.ANCHORARRAY(Z$31),AA$31:AA$37),Z417)</f>
        <v>Tecnologico</v>
      </c>
      <c r="AB417" s="42" t="str">
        <v xml:space="preserve">Monterrey </v>
      </c>
      <c r="AC417" s="89" t="str">
        <f t="shared" si="38"/>
        <v xml:space="preserve">Monterrey </v>
      </c>
      <c r="AE417" s="42">
        <v>1982</v>
      </c>
      <c r="AK417" s="42">
        <v>2</v>
      </c>
      <c r="AL417" s="42">
        <v>2</v>
      </c>
      <c r="AW417" s="89" t="str">
        <v>QUARTER_FINALS</v>
      </c>
      <c r="BE417" s="43" t="str">
        <f>IF(OR(DATA_CLEANED!AL408="",DATA_CLEANED!AM408=""),"MANQUANT",IF(OR(NOT(ISNUMBER(DATA_CLEANED!AL408)),NOT(ISNUMBER(DATA_CLEANED!AM408))),"ENTREE INVALIDE",IF(OR(DATA_CLEANED!AL408&lt;0,DATA_CLEANED!AM408&lt;0),"SCORE NEGATIF","OK")))</f>
        <v>OK</v>
      </c>
      <c r="BF417" s="43" t="str">
        <f>IF(DATA_CLEANED!AK408&lt;&gt;DATA_CLEANED!AN408,"OK","ERREUR")</f>
        <v>OK</v>
      </c>
      <c r="BG417" s="43" t="str">
        <f>IF(DATA_CLEANED!AL408&gt;DATA_CLEANED!AM408,DATA_CLEANED!AK408,IF(AND(DATA_QUALITE!W4894="-",DATA_CLEANED!AM408=DATA_CLEANED!AL408),"MATCH NUL",IF(AND(DATA_QUALITE!V4894="-",DATA_QUALITE!U4894="AUCUNE"),DATA_QUALITE!T4894,IF(DATA_QUALITE!V4894&lt;&gt;"-",DATA_QUALITE!V4894,DATA_CLEANED!AN408))))</f>
        <v>FR Germany</v>
      </c>
      <c r="BH417" s="103" t="str">
        <f>IF(AND(BG417="MATCH NUL",DATA_CLEANED!AO408="-"),"MATCH_NUL",IF(ISNUMBER(SEARCH("win on penalties",W4894)),"WIN_BY_PENALTY",IF(ISNUMBER(SEARCH("win after extra time",W4894)),"WIN_BY_EXTRA_TIME",IF(ISNUMBER(SEARCH("Golden Goal",W4894)),"WIN_BY_GOLDEN_GOAL","WIN_BY_SCORE"))))</f>
        <v>WIN_BY_PENALTY</v>
      </c>
      <c r="BI417" s="99" t="str">
        <f>IF(OR(BG417=DATA_CLEANED!AK408,BG417=DATA_CLEANED!AN408,BG417="MATCH NUL"),"OK","ERREUR")</f>
        <v>OK</v>
      </c>
    </row>
    <row r="418" spans="2:61">
      <c r="B418" s="74">
        <v>2026</v>
      </c>
      <c r="C418" s="30" t="str">
        <v>Round of 32</v>
      </c>
      <c r="D418" s="30" t="str">
        <v>Australia</v>
      </c>
      <c r="E418" s="30" t="str">
        <v>Egypt</v>
      </c>
      <c r="F418" s="30" t="str">
        <v>Australia</v>
      </c>
      <c r="G418" s="30" t="str">
        <v>Harry Souttar</v>
      </c>
      <c r="H418" s="30" t="str">
        <v>Mohamed El Shenawy</v>
      </c>
      <c r="I418" s="30">
        <v>1</v>
      </c>
      <c r="J418" s="30">
        <v>1</v>
      </c>
      <c r="K418" s="30" t="str">
        <v>0-0</v>
      </c>
      <c r="L418" s="30" t="str">
        <v>No</v>
      </c>
      <c r="M418" s="30" t="str">
        <v>No</v>
      </c>
      <c r="N418" s="30" t="str">
        <v>Miss</v>
      </c>
      <c r="O418" s="30" t="str">
        <f t="shared" si="42"/>
        <v>2026|Round of 32|Australia|Egypt|Australia|Harry Souttar|Mohamed El Shenawy|1|1|0-0|No|No|Miss</v>
      </c>
      <c r="P418" s="96" t="str">
        <f>IF(COUNTIF($G$32:O418,O418)&gt;1,"DOUBLON","OK")</f>
        <v>OK</v>
      </c>
      <c r="S418" s="30" t="str">
        <v>France</v>
      </c>
      <c r="T418" s="30" t="str">
        <f t="shared" si="39"/>
        <v>OK</v>
      </c>
      <c r="U418" s="30" t="str">
        <f t="shared" si="40"/>
        <v>-</v>
      </c>
      <c r="V418" s="30" t="str" cm="1">
        <f t="array" ref="V418">_xlfn.IFS(
ISNUMBER(SEARCH("USA",S418)),"United States",
ISNUMBER(SEARCH("Republic of Korea",S418)),"South Korea",
ISNUMBER(SEARCH("Cape Verde",S418)),"Cabo Verde",
ISNUMBER(SEARCH("Czechia",S418)),"Czech Republic",
ISNUMBER(SEARCH("Türkiye",S418)),"Turkey",
ISNUMBER(SEARCH("Ivory Coast",S418)),"Côte d'Ivoire",
ISNUMBER(SEARCH("Korea Republic",S418)),"South Korea",
ISNUMBER(SEARCH("Germany FR",S418)),"FR Germany",
ISNUMBER(SEARCH("West Germany",S418)),"FR Germany",
ISNUMBER(SEARCH("Germany DR",S418)),"DR Germany",
ISNUMBER(SEARCH("Korea DPR",S418)),"North Korea",
ISNUMBER(SEARCH("China PR",S418)),"China",
ISNUMBER(SEARCH("IR Iran",S418)),"Iran",
ISNUMBER(SEARCH("Congo DR",S418)),"Democratic Republic of the Congo",
ISNUMBER(SEARCH("DR Congo",S418)),"Democratic Republic of the Congo",
ISNUMBER(SEARCH("German DR",S418)),"DR Germany",
ISNUMBER(SEARCH("rn""&gt;United Arab Emirates",S418)),"United Arab Emirates",
ISNUMBER(SEARCH("rn""&gt;Republic of Ireland",S418)),"Ireland",
ISNUMBER(SEARCH("rn""&gt;Bosnia and Herzegovina",S418)),"Bosnia and Herzegovina",
ISNUMBER(SEARCH("rn""&gt;Trinidad and Tobago",S418)),"Trinidad and Tobago",
ISNUMBER(SEARCH("rn""&gt;Serbia and Montenegro",S418)),"Serbia and Montenegro",
ISNUMBER(SEARCH(_xlfn.UNICHAR(65533),S418)),"Côte d'Ivoire",
TRUE,""
)</f>
        <v/>
      </c>
      <c r="W418" s="30" t="str">
        <f t="shared" si="41"/>
        <v>France</v>
      </c>
      <c r="Z418" s="40" t="str">
        <v>Tres de Marzo</v>
      </c>
      <c r="AA418" s="40" t="str" cm="1">
        <f t="array" ref="AA418">IFERROR(_xlfn.XLOOKUP(Z418,_xlfn.ANCHORARRAY(Z$31),AA$31:AA$37),Z418)</f>
        <v>Tres de Marzo</v>
      </c>
      <c r="AB418" s="42" t="str">
        <v xml:space="preserve">Guadalajara </v>
      </c>
      <c r="AC418" s="89" t="str">
        <f t="shared" si="38"/>
        <v xml:space="preserve">Guadalajara </v>
      </c>
      <c r="AE418" s="42">
        <v>1982</v>
      </c>
      <c r="AK418" s="42">
        <v>1</v>
      </c>
      <c r="AL418" s="42">
        <v>1</v>
      </c>
      <c r="AW418" s="89" t="str">
        <v>QUARTER_FINALS</v>
      </c>
      <c r="BE418" s="43" t="str">
        <f>IF(OR(DATA_CLEANED!AL409="",DATA_CLEANED!AM409=""),"MANQUANT",IF(OR(NOT(ISNUMBER(DATA_CLEANED!AL409)),NOT(ISNUMBER(DATA_CLEANED!AM409))),"ENTREE INVALIDE",IF(OR(DATA_CLEANED!AL409&lt;0,DATA_CLEANED!AM409&lt;0),"SCORE NEGATIF","OK")))</f>
        <v>OK</v>
      </c>
      <c r="BF418" s="43" t="str">
        <f>IF(DATA_CLEANED!AK409&lt;&gt;DATA_CLEANED!AN409,"OK","ERREUR")</f>
        <v>OK</v>
      </c>
      <c r="BG418" s="43" t="str">
        <f>IF(DATA_CLEANED!AL409&gt;DATA_CLEANED!AM409,DATA_CLEANED!AK409,IF(AND(DATA_QUALITE!W4895="-",DATA_CLEANED!AM409=DATA_CLEANED!AL409),"MATCH NUL",IF(AND(DATA_QUALITE!V4895="-",DATA_QUALITE!U4895="AUCUNE"),DATA_QUALITE!T4895,IF(DATA_QUALITE!V4895&lt;&gt;"-",DATA_QUALITE!V4895,DATA_CLEANED!AN409))))</f>
        <v>Belgium</v>
      </c>
      <c r="BH418" s="103" t="str">
        <f>IF(AND(BG418="MATCH NUL",DATA_CLEANED!AO409="-"),"MATCH_NUL",IF(ISNUMBER(SEARCH("win on penalties",W4895)),"WIN_BY_PENALTY",IF(ISNUMBER(SEARCH("win after extra time",W4895)),"WIN_BY_EXTRA_TIME",IF(ISNUMBER(SEARCH("Golden Goal",W4895)),"WIN_BY_GOLDEN_GOAL","WIN_BY_SCORE"))))</f>
        <v>WIN_BY_PENALTY</v>
      </c>
      <c r="BI418" s="99" t="str">
        <f>IF(OR(BG418=DATA_CLEANED!AK409,BG418=DATA_CLEANED!AN409,BG418="MATCH NUL"),"OK","ERREUR")</f>
        <v>OK</v>
      </c>
    </row>
    <row r="419" spans="2:61">
      <c r="B419" s="74">
        <v>2026</v>
      </c>
      <c r="C419" s="30" t="str">
        <v>Round of 32</v>
      </c>
      <c r="D419" s="30" t="str">
        <v>Australia</v>
      </c>
      <c r="E419" s="30" t="str">
        <v>Egypt</v>
      </c>
      <c r="F419" s="30" t="str">
        <v>Egypt</v>
      </c>
      <c r="G419" s="30" t="str">
        <v>Mostafa Mohamed</v>
      </c>
      <c r="H419" s="30" t="str">
        <v>Mathew Ryan</v>
      </c>
      <c r="I419" s="30">
        <v>2</v>
      </c>
      <c r="J419" s="30">
        <v>1</v>
      </c>
      <c r="K419" s="30" t="str">
        <v>0-0</v>
      </c>
      <c r="L419" s="30" t="str">
        <v>No</v>
      </c>
      <c r="M419" s="30" t="str">
        <v>No</v>
      </c>
      <c r="N419" s="30" t="str">
        <v>Goal</v>
      </c>
      <c r="O419" s="30" t="str">
        <f t="shared" si="42"/>
        <v>2026|Round of 32|Australia|Egypt|Egypt|Mostafa Mohamed|Mathew Ryan|2|1|0-0|No|No|Goal</v>
      </c>
      <c r="P419" s="96" t="str">
        <f>IF(COUNTIF($G$32:O419,O419)&gt;1,"DOUBLON","OK")</f>
        <v>OK</v>
      </c>
      <c r="S419" s="30" t="str">
        <v>France</v>
      </c>
      <c r="T419" s="30" t="str">
        <f t="shared" si="39"/>
        <v>OK</v>
      </c>
      <c r="U419" s="30" t="str">
        <f t="shared" si="40"/>
        <v>-</v>
      </c>
      <c r="V419" s="30" t="str" cm="1">
        <f t="array" ref="V419">_xlfn.IFS(
ISNUMBER(SEARCH("USA",S419)),"United States",
ISNUMBER(SEARCH("Republic of Korea",S419)),"South Korea",
ISNUMBER(SEARCH("Cape Verde",S419)),"Cabo Verde",
ISNUMBER(SEARCH("Czechia",S419)),"Czech Republic",
ISNUMBER(SEARCH("Türkiye",S419)),"Turkey",
ISNUMBER(SEARCH("Ivory Coast",S419)),"Côte d'Ivoire",
ISNUMBER(SEARCH("Korea Republic",S419)),"South Korea",
ISNUMBER(SEARCH("Germany FR",S419)),"FR Germany",
ISNUMBER(SEARCH("West Germany",S419)),"FR Germany",
ISNUMBER(SEARCH("Germany DR",S419)),"DR Germany",
ISNUMBER(SEARCH("Korea DPR",S419)),"North Korea",
ISNUMBER(SEARCH("China PR",S419)),"China",
ISNUMBER(SEARCH("IR Iran",S419)),"Iran",
ISNUMBER(SEARCH("Congo DR",S419)),"Democratic Republic of the Congo",
ISNUMBER(SEARCH("DR Congo",S419)),"Democratic Republic of the Congo",
ISNUMBER(SEARCH("German DR",S419)),"DR Germany",
ISNUMBER(SEARCH("rn""&gt;United Arab Emirates",S419)),"United Arab Emirates",
ISNUMBER(SEARCH("rn""&gt;Republic of Ireland",S419)),"Ireland",
ISNUMBER(SEARCH("rn""&gt;Bosnia and Herzegovina",S419)),"Bosnia and Herzegovina",
ISNUMBER(SEARCH("rn""&gt;Trinidad and Tobago",S419)),"Trinidad and Tobago",
ISNUMBER(SEARCH("rn""&gt;Serbia and Montenegro",S419)),"Serbia and Montenegro",
ISNUMBER(SEARCH(_xlfn.UNICHAR(65533),S419)),"Côte d'Ivoire",
TRUE,""
)</f>
        <v/>
      </c>
      <c r="W419" s="30" t="str">
        <f t="shared" si="41"/>
        <v>France</v>
      </c>
      <c r="Z419" s="40" t="str">
        <v>Estadio Azteca</v>
      </c>
      <c r="AA419" s="40" t="str" cm="1">
        <f t="array" ref="AA419">IFERROR(_xlfn.XLOOKUP(Z419,_xlfn.ANCHORARRAY(Z$31),AA$31:AA$37),Z419)</f>
        <v>Estadio Azteca</v>
      </c>
      <c r="AB419" s="42" t="str">
        <v xml:space="preserve">Mexico City </v>
      </c>
      <c r="AC419" s="89" t="str">
        <f t="shared" si="38"/>
        <v xml:space="preserve">Mexico City </v>
      </c>
      <c r="AE419" s="42">
        <v>1982</v>
      </c>
      <c r="AK419" s="42">
        <v>2</v>
      </c>
      <c r="AL419" s="42">
        <v>0</v>
      </c>
      <c r="AW419" s="89" t="str">
        <v>QUARTER_FINALS</v>
      </c>
      <c r="BE419" s="43" t="str">
        <f>IF(OR(DATA_CLEANED!AL410="",DATA_CLEANED!AM410=""),"MANQUANT",IF(OR(NOT(ISNUMBER(DATA_CLEANED!AL410)),NOT(ISNUMBER(DATA_CLEANED!AM410))),"ENTREE INVALIDE",IF(OR(DATA_CLEANED!AL410&lt;0,DATA_CLEANED!AM410&lt;0),"SCORE NEGATIF","OK")))</f>
        <v>OK</v>
      </c>
      <c r="BF419" s="43" t="str">
        <f>IF(DATA_CLEANED!AK410&lt;&gt;DATA_CLEANED!AN410,"OK","ERREUR")</f>
        <v>OK</v>
      </c>
      <c r="BG419" s="43" t="str">
        <f>IF(DATA_CLEANED!AL410&gt;DATA_CLEANED!AM410,DATA_CLEANED!AK410,IF(AND(DATA_QUALITE!W4896="-",DATA_CLEANED!AM410=DATA_CLEANED!AL410),"MATCH NUL",IF(AND(DATA_QUALITE!V4896="-",DATA_QUALITE!U4896="AUCUNE"),DATA_QUALITE!T4896,IF(DATA_QUALITE!V4896&lt;&gt;"-",DATA_QUALITE!V4896,DATA_CLEANED!AN410))))</f>
        <v>Argentina</v>
      </c>
      <c r="BH419" s="103" t="str">
        <f>IF(AND(BG419="MATCH NUL",DATA_CLEANED!AO410="-"),"MATCH_NUL",IF(ISNUMBER(SEARCH("win on penalties",W4896)),"WIN_BY_PENALTY",IF(ISNUMBER(SEARCH("win after extra time",W4896)),"WIN_BY_EXTRA_TIME",IF(ISNUMBER(SEARCH("Golden Goal",W4896)),"WIN_BY_GOLDEN_GOAL","WIN_BY_SCORE"))))</f>
        <v>WIN_BY_SCORE</v>
      </c>
      <c r="BI419" s="99" t="str">
        <f>IF(OR(BG419=DATA_CLEANED!AK410,BG419=DATA_CLEANED!AN410,BG419="MATCH NUL"),"OK","ERREUR")</f>
        <v>OK</v>
      </c>
    </row>
    <row r="420" spans="2:61">
      <c r="B420" s="74">
        <v>2026</v>
      </c>
      <c r="C420" s="30" t="str">
        <v>Round of 32</v>
      </c>
      <c r="D420" s="30" t="str">
        <v>Australia</v>
      </c>
      <c r="E420" s="30" t="str">
        <v>Egypt</v>
      </c>
      <c r="F420" s="30" t="str">
        <v>Australia</v>
      </c>
      <c r="G420" s="30" t="str">
        <v>Jackson Irvine</v>
      </c>
      <c r="H420" s="30" t="str">
        <v>Mohamed El Shenawy</v>
      </c>
      <c r="I420" s="30">
        <v>3</v>
      </c>
      <c r="J420" s="30">
        <v>2</v>
      </c>
      <c r="K420" s="30" t="str">
        <v>0-1</v>
      </c>
      <c r="L420" s="30" t="str">
        <v>No</v>
      </c>
      <c r="M420" s="30" t="str">
        <v>No</v>
      </c>
      <c r="N420" s="30" t="str">
        <v>Goal</v>
      </c>
      <c r="O420" s="30" t="str">
        <f t="shared" si="42"/>
        <v>2026|Round of 32|Australia|Egypt|Australia|Jackson Irvine|Mohamed El Shenawy|3|2|0-1|No|No|Goal</v>
      </c>
      <c r="P420" s="96" t="str">
        <f>IF(COUNTIF($G$32:O420,O420)&gt;1,"DOUBLON","OK")</f>
        <v>OK</v>
      </c>
      <c r="S420" s="30" t="str">
        <v>France</v>
      </c>
      <c r="T420" s="30" t="str">
        <f t="shared" si="39"/>
        <v>OK</v>
      </c>
      <c r="U420" s="30" t="str">
        <f t="shared" si="40"/>
        <v>-</v>
      </c>
      <c r="V420" s="30" t="str" cm="1">
        <f t="array" ref="V420">_xlfn.IFS(
ISNUMBER(SEARCH("USA",S420)),"United States",
ISNUMBER(SEARCH("Republic of Korea",S420)),"South Korea",
ISNUMBER(SEARCH("Cape Verde",S420)),"Cabo Verde",
ISNUMBER(SEARCH("Czechia",S420)),"Czech Republic",
ISNUMBER(SEARCH("Türkiye",S420)),"Turkey",
ISNUMBER(SEARCH("Ivory Coast",S420)),"Côte d'Ivoire",
ISNUMBER(SEARCH("Korea Republic",S420)),"South Korea",
ISNUMBER(SEARCH("Germany FR",S420)),"FR Germany",
ISNUMBER(SEARCH("West Germany",S420)),"FR Germany",
ISNUMBER(SEARCH("Germany DR",S420)),"DR Germany",
ISNUMBER(SEARCH("Korea DPR",S420)),"North Korea",
ISNUMBER(SEARCH("China PR",S420)),"China",
ISNUMBER(SEARCH("IR Iran",S420)),"Iran",
ISNUMBER(SEARCH("Congo DR",S420)),"Democratic Republic of the Congo",
ISNUMBER(SEARCH("DR Congo",S420)),"Democratic Republic of the Congo",
ISNUMBER(SEARCH("German DR",S420)),"DR Germany",
ISNUMBER(SEARCH("rn""&gt;United Arab Emirates",S420)),"United Arab Emirates",
ISNUMBER(SEARCH("rn""&gt;Republic of Ireland",S420)),"Ireland",
ISNUMBER(SEARCH("rn""&gt;Bosnia and Herzegovina",S420)),"Bosnia and Herzegovina",
ISNUMBER(SEARCH("rn""&gt;Trinidad and Tobago",S420)),"Trinidad and Tobago",
ISNUMBER(SEARCH("rn""&gt;Serbia and Montenegro",S420)),"Serbia and Montenegro",
ISNUMBER(SEARCH(_xlfn.UNICHAR(65533),S420)),"Côte d'Ivoire",
TRUE,""
)</f>
        <v/>
      </c>
      <c r="W420" s="30" t="str">
        <f t="shared" si="41"/>
        <v>France</v>
      </c>
      <c r="Z420" s="40" t="str">
        <v>Estadio Universitario</v>
      </c>
      <c r="AA420" s="40" t="str" cm="1">
        <f t="array" ref="AA420">IFERROR(_xlfn.XLOOKUP(Z420,_xlfn.ANCHORARRAY(Z$31),AA$31:AA$37),Z420)</f>
        <v>Estadio Universitario</v>
      </c>
      <c r="AB420" s="42" t="str">
        <v xml:space="preserve">Monterrey </v>
      </c>
      <c r="AC420" s="89" t="str">
        <f t="shared" si="38"/>
        <v xml:space="preserve">Monterrey </v>
      </c>
      <c r="AE420" s="42">
        <v>1982</v>
      </c>
      <c r="AK420" s="42">
        <v>4</v>
      </c>
      <c r="AL420" s="42">
        <v>0</v>
      </c>
      <c r="AW420" s="89" t="str">
        <v>SEMI_FINALS</v>
      </c>
      <c r="BE420" s="43" t="str">
        <f>IF(OR(DATA_CLEANED!AL411="",DATA_CLEANED!AM411=""),"MANQUANT",IF(OR(NOT(ISNUMBER(DATA_CLEANED!AL411)),NOT(ISNUMBER(DATA_CLEANED!AM411))),"ENTREE INVALIDE",IF(OR(DATA_CLEANED!AL411&lt;0,DATA_CLEANED!AM411&lt;0),"SCORE NEGATIF","OK")))</f>
        <v>OK</v>
      </c>
      <c r="BF420" s="43" t="str">
        <f>IF(DATA_CLEANED!AK411&lt;&gt;DATA_CLEANED!AN411,"OK","ERREUR")</f>
        <v>OK</v>
      </c>
      <c r="BG420" s="43" t="str">
        <f>IF(DATA_CLEANED!AL411&gt;DATA_CLEANED!AM411,DATA_CLEANED!AK411,IF(AND(DATA_QUALITE!W4897="-",DATA_CLEANED!AM411=DATA_CLEANED!AL411),"MATCH NUL",IF(AND(DATA_QUALITE!V4897="-",DATA_QUALITE!U4897="AUCUNE"),DATA_QUALITE!T4897,IF(DATA_QUALITE!V4897&lt;&gt;"-",DATA_QUALITE!V4897,DATA_CLEANED!AN411))))</f>
        <v>FR Germany</v>
      </c>
      <c r="BH420" s="103" t="str">
        <f>IF(AND(BG420="MATCH NUL",DATA_CLEANED!AO411="-"),"MATCH_NUL",IF(ISNUMBER(SEARCH("win on penalties",W4897)),"WIN_BY_PENALTY",IF(ISNUMBER(SEARCH("win after extra time",W4897)),"WIN_BY_EXTRA_TIME",IF(ISNUMBER(SEARCH("Golden Goal",W4897)),"WIN_BY_GOLDEN_GOAL","WIN_BY_SCORE"))))</f>
        <v>WIN_BY_SCORE</v>
      </c>
      <c r="BI420" s="99" t="str">
        <f>IF(OR(BG420=DATA_CLEANED!AK411,BG420=DATA_CLEANED!AN411,BG420="MATCH NUL"),"OK","ERREUR")</f>
        <v>OK</v>
      </c>
    </row>
    <row r="421" spans="2:61">
      <c r="B421" s="74">
        <v>2026</v>
      </c>
      <c r="C421" s="30" t="str">
        <v>Round of 32</v>
      </c>
      <c r="D421" s="30" t="str">
        <v>Australia</v>
      </c>
      <c r="E421" s="30" t="str">
        <v>Egypt</v>
      </c>
      <c r="F421" s="30" t="str">
        <v>Egypt</v>
      </c>
      <c r="G421" s="30" t="str">
        <v>Omar Marmoush</v>
      </c>
      <c r="H421" s="30" t="str">
        <v>Mathew Ryan</v>
      </c>
      <c r="I421" s="30">
        <v>4</v>
      </c>
      <c r="J421" s="30">
        <v>2</v>
      </c>
      <c r="K421" s="30" t="str">
        <v>1-1</v>
      </c>
      <c r="L421" s="30" t="str">
        <v>No</v>
      </c>
      <c r="M421" s="30" t="str">
        <v>No</v>
      </c>
      <c r="N421" s="30" t="str">
        <v>Goal</v>
      </c>
      <c r="O421" s="30" t="str">
        <f t="shared" si="42"/>
        <v>2026|Round of 32|Australia|Egypt|Egypt|Omar Marmoush|Mathew Ryan|4|2|1-1|No|No|Goal</v>
      </c>
      <c r="P421" s="96" t="str">
        <f>IF(COUNTIF($G$32:O421,O421)&gt;1,"DOUBLON","OK")</f>
        <v>OK</v>
      </c>
      <c r="S421" s="30" t="str">
        <v>France</v>
      </c>
      <c r="T421" s="30" t="str">
        <f t="shared" si="39"/>
        <v>OK</v>
      </c>
      <c r="U421" s="30" t="str">
        <f t="shared" si="40"/>
        <v>-</v>
      </c>
      <c r="V421" s="30" t="str" cm="1">
        <f t="array" ref="V421">_xlfn.IFS(
ISNUMBER(SEARCH("USA",S421)),"United States",
ISNUMBER(SEARCH("Republic of Korea",S421)),"South Korea",
ISNUMBER(SEARCH("Cape Verde",S421)),"Cabo Verde",
ISNUMBER(SEARCH("Czechia",S421)),"Czech Republic",
ISNUMBER(SEARCH("Türkiye",S421)),"Turkey",
ISNUMBER(SEARCH("Ivory Coast",S421)),"Côte d'Ivoire",
ISNUMBER(SEARCH("Korea Republic",S421)),"South Korea",
ISNUMBER(SEARCH("Germany FR",S421)),"FR Germany",
ISNUMBER(SEARCH("West Germany",S421)),"FR Germany",
ISNUMBER(SEARCH("Germany DR",S421)),"DR Germany",
ISNUMBER(SEARCH("Korea DPR",S421)),"North Korea",
ISNUMBER(SEARCH("China PR",S421)),"China",
ISNUMBER(SEARCH("IR Iran",S421)),"Iran",
ISNUMBER(SEARCH("Congo DR",S421)),"Democratic Republic of the Congo",
ISNUMBER(SEARCH("DR Congo",S421)),"Democratic Republic of the Congo",
ISNUMBER(SEARCH("German DR",S421)),"DR Germany",
ISNUMBER(SEARCH("rn""&gt;United Arab Emirates",S421)),"United Arab Emirates",
ISNUMBER(SEARCH("rn""&gt;Republic of Ireland",S421)),"Ireland",
ISNUMBER(SEARCH("rn""&gt;Bosnia and Herzegovina",S421)),"Bosnia and Herzegovina",
ISNUMBER(SEARCH("rn""&gt;Trinidad and Tobago",S421)),"Trinidad and Tobago",
ISNUMBER(SEARCH("rn""&gt;Serbia and Montenegro",S421)),"Serbia and Montenegro",
ISNUMBER(SEARCH(_xlfn.UNICHAR(65533),S421)),"Côte d'Ivoire",
TRUE,""
)</f>
        <v/>
      </c>
      <c r="W421" s="30" t="str">
        <f t="shared" si="41"/>
        <v>France</v>
      </c>
      <c r="Z421" s="40" t="str">
        <v>Bombonera - Estadio Nemesio Diez</v>
      </c>
      <c r="AA421" s="40" t="str" cm="1">
        <f t="array" ref="AA421">IFERROR(_xlfn.XLOOKUP(Z421,_xlfn.ANCHORARRAY(Z$31),AA$31:AA$37),Z421)</f>
        <v>Bombonera - Estadio Nemesio Diez</v>
      </c>
      <c r="AB421" s="42" t="str">
        <v xml:space="preserve">Toluca </v>
      </c>
      <c r="AC421" s="89" t="str">
        <f t="shared" si="38"/>
        <v xml:space="preserve">Toluca </v>
      </c>
      <c r="AE421" s="42">
        <v>1982</v>
      </c>
      <c r="AK421" s="42">
        <v>3</v>
      </c>
      <c r="AL421" s="42">
        <v>2</v>
      </c>
      <c r="AW421" s="89" t="str">
        <v>SEMI_FINALS</v>
      </c>
      <c r="BE421" s="43" t="str">
        <f>IF(OR(DATA_CLEANED!AL412="",DATA_CLEANED!AM412=""),"MANQUANT",IF(OR(NOT(ISNUMBER(DATA_CLEANED!AL412)),NOT(ISNUMBER(DATA_CLEANED!AM412))),"ENTREE INVALIDE",IF(OR(DATA_CLEANED!AL412&lt;0,DATA_CLEANED!AM412&lt;0),"SCORE NEGATIF","OK")))</f>
        <v>OK</v>
      </c>
      <c r="BF421" s="43" t="str">
        <f>IF(DATA_CLEANED!AK412&lt;&gt;DATA_CLEANED!AN412,"OK","ERREUR")</f>
        <v>OK</v>
      </c>
      <c r="BG421" s="43" t="str">
        <f>IF(DATA_CLEANED!AL412&gt;DATA_CLEANED!AM412,DATA_CLEANED!AK412,IF(AND(DATA_QUALITE!W4898="-",DATA_CLEANED!AM412=DATA_CLEANED!AL412),"MATCH NUL",IF(AND(DATA_QUALITE!V4898="-",DATA_QUALITE!U4898="AUCUNE"),DATA_QUALITE!T4898,IF(DATA_QUALITE!V4898&lt;&gt;"-",DATA_QUALITE!V4898,DATA_CLEANED!AN412))))</f>
        <v>Argentina</v>
      </c>
      <c r="BH421" s="103" t="str">
        <f>IF(AND(BG421="MATCH NUL",DATA_CLEANED!AO412="-"),"MATCH_NUL",IF(ISNUMBER(SEARCH("win on penalties",W4898)),"WIN_BY_PENALTY",IF(ISNUMBER(SEARCH("win after extra time",W4898)),"WIN_BY_EXTRA_TIME",IF(ISNUMBER(SEARCH("Golden Goal",W4898)),"WIN_BY_GOLDEN_GOAL","WIN_BY_SCORE"))))</f>
        <v>WIN_BY_SCORE</v>
      </c>
      <c r="BI421" s="99" t="str">
        <f>IF(OR(BG421=DATA_CLEANED!AK412,BG421=DATA_CLEANED!AN412,BG421="MATCH NUL"),"OK","ERREUR")</f>
        <v>OK</v>
      </c>
    </row>
    <row r="422" spans="2:61">
      <c r="B422" s="74">
        <v>2026</v>
      </c>
      <c r="C422" s="30" t="str">
        <v>Round of 32</v>
      </c>
      <c r="D422" s="30" t="str">
        <v>Australia</v>
      </c>
      <c r="E422" s="30" t="str">
        <v>Egypt</v>
      </c>
      <c r="F422" s="30" t="str">
        <v>Australia</v>
      </c>
      <c r="G422" s="30" t="str">
        <v>Craig Goodwin</v>
      </c>
      <c r="H422" s="30" t="str">
        <v>Mohamed El Shenawy</v>
      </c>
      <c r="I422" s="30">
        <v>5</v>
      </c>
      <c r="J422" s="30">
        <v>3</v>
      </c>
      <c r="K422" s="30" t="str">
        <v>1-2</v>
      </c>
      <c r="L422" s="30" t="str">
        <v>No</v>
      </c>
      <c r="M422" s="30" t="str">
        <v>No</v>
      </c>
      <c r="N422" s="30" t="str">
        <v>Goal</v>
      </c>
      <c r="O422" s="30" t="str">
        <f t="shared" si="42"/>
        <v>2026|Round of 32|Australia|Egypt|Australia|Craig Goodwin|Mohamed El Shenawy|5|3|1-2|No|No|Goal</v>
      </c>
      <c r="P422" s="96" t="str">
        <f>IF(COUNTIF($G$32:O422,O422)&gt;1,"DOUBLON","OK")</f>
        <v>OK</v>
      </c>
      <c r="S422" s="30" t="str">
        <v>France</v>
      </c>
      <c r="T422" s="30" t="str">
        <f t="shared" si="39"/>
        <v>OK</v>
      </c>
      <c r="U422" s="30" t="str">
        <f t="shared" si="40"/>
        <v>-</v>
      </c>
      <c r="V422" s="30" t="str" cm="1">
        <f t="array" ref="V422">_xlfn.IFS(
ISNUMBER(SEARCH("USA",S422)),"United States",
ISNUMBER(SEARCH("Republic of Korea",S422)),"South Korea",
ISNUMBER(SEARCH("Cape Verde",S422)),"Cabo Verde",
ISNUMBER(SEARCH("Czechia",S422)),"Czech Republic",
ISNUMBER(SEARCH("Türkiye",S422)),"Turkey",
ISNUMBER(SEARCH("Ivory Coast",S422)),"Côte d'Ivoire",
ISNUMBER(SEARCH("Korea Republic",S422)),"South Korea",
ISNUMBER(SEARCH("Germany FR",S422)),"FR Germany",
ISNUMBER(SEARCH("West Germany",S422)),"FR Germany",
ISNUMBER(SEARCH("Germany DR",S422)),"DR Germany",
ISNUMBER(SEARCH("Korea DPR",S422)),"North Korea",
ISNUMBER(SEARCH("China PR",S422)),"China",
ISNUMBER(SEARCH("IR Iran",S422)),"Iran",
ISNUMBER(SEARCH("Congo DR",S422)),"Democratic Republic of the Congo",
ISNUMBER(SEARCH("DR Congo",S422)),"Democratic Republic of the Congo",
ISNUMBER(SEARCH("German DR",S422)),"DR Germany",
ISNUMBER(SEARCH("rn""&gt;United Arab Emirates",S422)),"United Arab Emirates",
ISNUMBER(SEARCH("rn""&gt;Republic of Ireland",S422)),"Ireland",
ISNUMBER(SEARCH("rn""&gt;Bosnia and Herzegovina",S422)),"Bosnia and Herzegovina",
ISNUMBER(SEARCH("rn""&gt;Trinidad and Tobago",S422)),"Trinidad and Tobago",
ISNUMBER(SEARCH("rn""&gt;Serbia and Montenegro",S422)),"Serbia and Montenegro",
ISNUMBER(SEARCH(_xlfn.UNICHAR(65533),S422)),"Côte d'Ivoire",
TRUE,""
)</f>
        <v/>
      </c>
      <c r="W422" s="30" t="str">
        <f t="shared" si="41"/>
        <v>France</v>
      </c>
      <c r="Z422" s="40" t="str">
        <v>Neza</v>
      </c>
      <c r="AA422" s="40" t="str" cm="1">
        <f t="array" ref="AA422">IFERROR(_xlfn.XLOOKUP(Z422,_xlfn.ANCHORARRAY(Z$31),AA$31:AA$37),Z422)</f>
        <v>Neza</v>
      </c>
      <c r="AB422" s="42" t="str">
        <v xml:space="preserve">Nezahualcoyotl </v>
      </c>
      <c r="AC422" s="89" t="str">
        <f t="shared" si="38"/>
        <v xml:space="preserve">Nezahualcoyotl </v>
      </c>
      <c r="AE422" s="42">
        <v>1982</v>
      </c>
      <c r="AK422" s="42">
        <v>1</v>
      </c>
      <c r="AL422" s="42">
        <v>1</v>
      </c>
      <c r="AW422" s="89" t="str">
        <v>THIRD_PLACE</v>
      </c>
      <c r="BE422" s="43" t="str">
        <f>IF(OR(DATA_CLEANED!AL413="",DATA_CLEANED!AM413=""),"MANQUANT",IF(OR(NOT(ISNUMBER(DATA_CLEANED!AL413)),NOT(ISNUMBER(DATA_CLEANED!AM413))),"ENTREE INVALIDE",IF(OR(DATA_CLEANED!AL413&lt;0,DATA_CLEANED!AM413&lt;0),"SCORE NEGATIF","OK")))</f>
        <v>OK</v>
      </c>
      <c r="BF422" s="43" t="str">
        <f>IF(DATA_CLEANED!AK413&lt;&gt;DATA_CLEANED!AN413,"OK","ERREUR")</f>
        <v>OK</v>
      </c>
      <c r="BG422" s="43" t="str">
        <f>IF(DATA_CLEANED!AL413&gt;DATA_CLEANED!AM413,DATA_CLEANED!AK413,IF(AND(DATA_QUALITE!W4899="-",DATA_CLEANED!AM413=DATA_CLEANED!AL413),"MATCH NUL",IF(AND(DATA_QUALITE!V4899="-",DATA_QUALITE!U4899="AUCUNE"),DATA_QUALITE!T4899,IF(DATA_QUALITE!V4899&lt;&gt;"-",DATA_QUALITE!V4899,DATA_CLEANED!AN413))))</f>
        <v>France</v>
      </c>
      <c r="BH422" s="103" t="str">
        <f>IF(AND(BG422="MATCH NUL",DATA_CLEANED!AO413="-"),"MATCH_NUL",IF(ISNUMBER(SEARCH("win on penalties",W4899)),"WIN_BY_PENALTY",IF(ISNUMBER(SEARCH("win after extra time",W4899)),"WIN_BY_EXTRA_TIME",IF(ISNUMBER(SEARCH("Golden Goal",W4899)),"WIN_BY_GOLDEN_GOAL","WIN_BY_SCORE"))))</f>
        <v>WIN_BY_EXTRA_TIME</v>
      </c>
      <c r="BI422" s="99" t="str">
        <f>IF(OR(BG422=DATA_CLEANED!AK413,BG422=DATA_CLEANED!AN413,BG422="MATCH NUL"),"OK","ERREUR")</f>
        <v>OK</v>
      </c>
    </row>
    <row r="423" spans="2:61">
      <c r="B423" s="74">
        <v>2026</v>
      </c>
      <c r="C423" s="30" t="str">
        <v>Round of 32</v>
      </c>
      <c r="D423" s="30" t="str">
        <v>Australia</v>
      </c>
      <c r="E423" s="30" t="str">
        <v>Egypt</v>
      </c>
      <c r="F423" s="30" t="str">
        <v>Egypt</v>
      </c>
      <c r="G423" s="30" t="str">
        <v>Trezeguet</v>
      </c>
      <c r="H423" s="30" t="str">
        <v>Mathew Ryan</v>
      </c>
      <c r="I423" s="30">
        <v>6</v>
      </c>
      <c r="J423" s="30">
        <v>3</v>
      </c>
      <c r="K423" s="30" t="str">
        <v>2-2</v>
      </c>
      <c r="L423" s="30" t="str">
        <v>No</v>
      </c>
      <c r="M423" s="30" t="str">
        <v>No</v>
      </c>
      <c r="N423" s="30" t="str">
        <v>Goal</v>
      </c>
      <c r="O423" s="30" t="str">
        <f t="shared" si="42"/>
        <v>2026|Round of 32|Australia|Egypt|Egypt|Trezeguet|Mathew Ryan|6|3|2-2|No|No|Goal</v>
      </c>
      <c r="P423" s="96" t="str">
        <f>IF(COUNTIF($G$32:O423,O423)&gt;1,"DOUBLON","OK")</f>
        <v>OK</v>
      </c>
      <c r="S423" s="30" t="str">
        <v>France</v>
      </c>
      <c r="T423" s="30" t="str">
        <f t="shared" si="39"/>
        <v>OK</v>
      </c>
      <c r="U423" s="30" t="str">
        <f t="shared" si="40"/>
        <v>-</v>
      </c>
      <c r="V423" s="30" t="str" cm="1">
        <f t="array" ref="V423">_xlfn.IFS(
ISNUMBER(SEARCH("USA",S423)),"United States",
ISNUMBER(SEARCH("Republic of Korea",S423)),"South Korea",
ISNUMBER(SEARCH("Cape Verde",S423)),"Cabo Verde",
ISNUMBER(SEARCH("Czechia",S423)),"Czech Republic",
ISNUMBER(SEARCH("Türkiye",S423)),"Turkey",
ISNUMBER(SEARCH("Ivory Coast",S423)),"Côte d'Ivoire",
ISNUMBER(SEARCH("Korea Republic",S423)),"South Korea",
ISNUMBER(SEARCH("Germany FR",S423)),"FR Germany",
ISNUMBER(SEARCH("West Germany",S423)),"FR Germany",
ISNUMBER(SEARCH("Germany DR",S423)),"DR Germany",
ISNUMBER(SEARCH("Korea DPR",S423)),"North Korea",
ISNUMBER(SEARCH("China PR",S423)),"China",
ISNUMBER(SEARCH("IR Iran",S423)),"Iran",
ISNUMBER(SEARCH("Congo DR",S423)),"Democratic Republic of the Congo",
ISNUMBER(SEARCH("DR Congo",S423)),"Democratic Republic of the Congo",
ISNUMBER(SEARCH("German DR",S423)),"DR Germany",
ISNUMBER(SEARCH("rn""&gt;United Arab Emirates",S423)),"United Arab Emirates",
ISNUMBER(SEARCH("rn""&gt;Republic of Ireland",S423)),"Ireland",
ISNUMBER(SEARCH("rn""&gt;Bosnia and Herzegovina",S423)),"Bosnia and Herzegovina",
ISNUMBER(SEARCH("rn""&gt;Trinidad and Tobago",S423)),"Trinidad and Tobago",
ISNUMBER(SEARCH("rn""&gt;Serbia and Montenegro",S423)),"Serbia and Montenegro",
ISNUMBER(SEARCH(_xlfn.UNICHAR(65533),S423)),"Côte d'Ivoire",
TRUE,""
)</f>
        <v/>
      </c>
      <c r="W423" s="30" t="str">
        <f t="shared" si="41"/>
        <v>France</v>
      </c>
      <c r="Z423" s="40" t="str">
        <v>Estadio Corregidora</v>
      </c>
      <c r="AA423" s="40" t="str" cm="1">
        <f t="array" ref="AA423">IFERROR(_xlfn.XLOOKUP(Z423,_xlfn.ANCHORARRAY(Z$31),AA$31:AA$37),Z423)</f>
        <v>Estadio Corregidora</v>
      </c>
      <c r="AB423" s="42" t="str">
        <v xml:space="preserve">Queretaro </v>
      </c>
      <c r="AC423" s="89" t="str">
        <f t="shared" si="38"/>
        <v xml:space="preserve">Queretaro </v>
      </c>
      <c r="AE423" s="42">
        <v>1982</v>
      </c>
      <c r="AK423" s="42">
        <v>0</v>
      </c>
      <c r="AL423" s="42">
        <v>1</v>
      </c>
      <c r="AW423" s="89" t="str">
        <v>FINAL</v>
      </c>
      <c r="BE423" s="43" t="str">
        <f>IF(OR(DATA_CLEANED!AL414="",DATA_CLEANED!AM414=""),"MANQUANT",IF(OR(NOT(ISNUMBER(DATA_CLEANED!AL414)),NOT(ISNUMBER(DATA_CLEANED!AM414))),"ENTREE INVALIDE",IF(OR(DATA_CLEANED!AL414&lt;0,DATA_CLEANED!AM414&lt;0),"SCORE NEGATIF","OK")))</f>
        <v>OK</v>
      </c>
      <c r="BF423" s="43" t="str">
        <f>IF(DATA_CLEANED!AK414&lt;&gt;DATA_CLEANED!AN414,"OK","ERREUR")</f>
        <v>OK</v>
      </c>
      <c r="BG423" s="43" t="str">
        <f>IF(DATA_CLEANED!AL414&gt;DATA_CLEANED!AM414,DATA_CLEANED!AK414,IF(AND(DATA_QUALITE!W4900="-",DATA_CLEANED!AM414=DATA_CLEANED!AL414),"MATCH NUL",IF(AND(DATA_QUALITE!V4900="-",DATA_QUALITE!U4900="AUCUNE"),DATA_QUALITE!T4900,IF(DATA_QUALITE!V4900&lt;&gt;"-",DATA_QUALITE!V4900,DATA_CLEANED!AN414))))</f>
        <v>Argentina</v>
      </c>
      <c r="BH423" s="103" t="str">
        <f>IF(AND(BG423="MATCH NUL",DATA_CLEANED!AO414="-"),"MATCH_NUL",IF(ISNUMBER(SEARCH("win on penalties",W4900)),"WIN_BY_PENALTY",IF(ISNUMBER(SEARCH("win after extra time",W4900)),"WIN_BY_EXTRA_TIME",IF(ISNUMBER(SEARCH("Golden Goal",W4900)),"WIN_BY_GOLDEN_GOAL","WIN_BY_SCORE"))))</f>
        <v>WIN_BY_SCORE</v>
      </c>
      <c r="BI423" s="99" t="str">
        <f>IF(OR(BG423=DATA_CLEANED!AK414,BG423=DATA_CLEANED!AN414,BG423="MATCH NUL"),"OK","ERREUR")</f>
        <v>OK</v>
      </c>
    </row>
    <row r="424" spans="2:61">
      <c r="B424" s="74">
        <v>2026</v>
      </c>
      <c r="C424" s="30" t="str">
        <v>Round of 32</v>
      </c>
      <c r="D424" s="30" t="str">
        <v>Australia</v>
      </c>
      <c r="E424" s="30" t="str">
        <v>Egypt</v>
      </c>
      <c r="F424" s="30" t="str">
        <v>Australia</v>
      </c>
      <c r="G424" s="30" t="str">
        <v>Riley McGree</v>
      </c>
      <c r="H424" s="30" t="str">
        <v>Mohamed El Shenawy</v>
      </c>
      <c r="I424" s="30">
        <v>7</v>
      </c>
      <c r="J424" s="30">
        <v>4</v>
      </c>
      <c r="K424" s="30" t="str">
        <v>2-3</v>
      </c>
      <c r="L424" s="30" t="str">
        <v>No</v>
      </c>
      <c r="M424" s="30" t="str">
        <v>No</v>
      </c>
      <c r="N424" s="30" t="str">
        <v>Miss</v>
      </c>
      <c r="O424" s="30" t="str">
        <f t="shared" si="42"/>
        <v>2026|Round of 32|Australia|Egypt|Australia|Riley McGree|Mohamed El Shenawy|7|4|2-3|No|No|Miss</v>
      </c>
      <c r="P424" s="96" t="str">
        <f>IF(COUNTIF($G$32:O424,O424)&gt;1,"DOUBLON","OK")</f>
        <v>OK</v>
      </c>
      <c r="S424" s="30" t="str">
        <v>France</v>
      </c>
      <c r="T424" s="30" t="str">
        <f t="shared" si="39"/>
        <v>OK</v>
      </c>
      <c r="U424" s="30" t="str">
        <f t="shared" si="40"/>
        <v>-</v>
      </c>
      <c r="V424" s="30" t="str" cm="1">
        <f t="array" ref="V424">_xlfn.IFS(
ISNUMBER(SEARCH("USA",S424)),"United States",
ISNUMBER(SEARCH("Republic of Korea",S424)),"South Korea",
ISNUMBER(SEARCH("Cape Verde",S424)),"Cabo Verde",
ISNUMBER(SEARCH("Czechia",S424)),"Czech Republic",
ISNUMBER(SEARCH("Türkiye",S424)),"Turkey",
ISNUMBER(SEARCH("Ivory Coast",S424)),"Côte d'Ivoire",
ISNUMBER(SEARCH("Korea Republic",S424)),"South Korea",
ISNUMBER(SEARCH("Germany FR",S424)),"FR Germany",
ISNUMBER(SEARCH("West Germany",S424)),"FR Germany",
ISNUMBER(SEARCH("Germany DR",S424)),"DR Germany",
ISNUMBER(SEARCH("Korea DPR",S424)),"North Korea",
ISNUMBER(SEARCH("China PR",S424)),"China",
ISNUMBER(SEARCH("IR Iran",S424)),"Iran",
ISNUMBER(SEARCH("Congo DR",S424)),"Democratic Republic of the Congo",
ISNUMBER(SEARCH("DR Congo",S424)),"Democratic Republic of the Congo",
ISNUMBER(SEARCH("German DR",S424)),"DR Germany",
ISNUMBER(SEARCH("rn""&gt;United Arab Emirates",S424)),"United Arab Emirates",
ISNUMBER(SEARCH("rn""&gt;Republic of Ireland",S424)),"Ireland",
ISNUMBER(SEARCH("rn""&gt;Bosnia and Herzegovina",S424)),"Bosnia and Herzegovina",
ISNUMBER(SEARCH("rn""&gt;Trinidad and Tobago",S424)),"Trinidad and Tobago",
ISNUMBER(SEARCH("rn""&gt;Serbia and Montenegro",S424)),"Serbia and Montenegro",
ISNUMBER(SEARCH(_xlfn.UNICHAR(65533),S424)),"Côte d'Ivoire",
TRUE,""
)</f>
        <v/>
      </c>
      <c r="W424" s="30" t="str">
        <f t="shared" si="41"/>
        <v>France</v>
      </c>
      <c r="Z424" s="40" t="str">
        <v>Nou Camp - Estadio Le�n</v>
      </c>
      <c r="AA424" s="40" t="str" cm="1">
        <f t="array" ref="AA424">IFERROR(_xlfn.XLOOKUP(Z424,_xlfn.ANCHORARRAY(Z$31),AA$31:AA$37),Z424)</f>
        <v>Nou Camp - Estadio León</v>
      </c>
      <c r="AB424" s="42" t="str">
        <v xml:space="preserve">Leon </v>
      </c>
      <c r="AC424" s="89" t="str">
        <f t="shared" si="38"/>
        <v xml:space="preserve">Leon </v>
      </c>
      <c r="AE424" s="42">
        <v>1982</v>
      </c>
      <c r="AK424" s="42">
        <v>1</v>
      </c>
      <c r="AL424" s="42">
        <v>0</v>
      </c>
      <c r="AW424" s="89" t="str">
        <v>GROUP_STAGE</v>
      </c>
      <c r="BE424" s="43" t="str">
        <f>IF(OR(DATA_CLEANED!AL415="",DATA_CLEANED!AM415=""),"MANQUANT",IF(OR(NOT(ISNUMBER(DATA_CLEANED!AL415)),NOT(ISNUMBER(DATA_CLEANED!AM415))),"ENTREE INVALIDE",IF(OR(DATA_CLEANED!AL415&lt;0,DATA_CLEANED!AM415&lt;0),"SCORE NEGATIF","OK")))</f>
        <v>OK</v>
      </c>
      <c r="BF424" s="43" t="str">
        <f>IF(DATA_CLEANED!AK415&lt;&gt;DATA_CLEANED!AN415,"OK","ERREUR")</f>
        <v>OK</v>
      </c>
      <c r="BG424" s="43" t="str">
        <f>IF(DATA_CLEANED!AL415&gt;DATA_CLEANED!AM415,DATA_CLEANED!AK415,IF(AND(DATA_QUALITE!W4901="-",DATA_CLEANED!AM415=DATA_CLEANED!AL415),"MATCH NUL",IF(AND(DATA_QUALITE!V4901="-",DATA_QUALITE!U4901="AUCUNE"),DATA_QUALITE!T4901,IF(DATA_QUALITE!V4901&lt;&gt;"-",DATA_QUALITE!V4901,DATA_CLEANED!AN415))))</f>
        <v>Cameroon</v>
      </c>
      <c r="BH424" s="103" t="str">
        <f>IF(AND(BG424="MATCH NUL",DATA_CLEANED!AO415="-"),"MATCH_NUL",IF(ISNUMBER(SEARCH("win on penalties",W4901)),"WIN_BY_PENALTY",IF(ISNUMBER(SEARCH("win after extra time",W4901)),"WIN_BY_EXTRA_TIME",IF(ISNUMBER(SEARCH("Golden Goal",W4901)),"WIN_BY_GOLDEN_GOAL","WIN_BY_SCORE"))))</f>
        <v>WIN_BY_SCORE</v>
      </c>
      <c r="BI424" s="99" t="str">
        <f>IF(OR(BG424=DATA_CLEANED!AK415,BG424=DATA_CLEANED!AN415,BG424="MATCH NUL"),"OK","ERREUR")</f>
        <v>OK</v>
      </c>
    </row>
    <row r="425" spans="2:61">
      <c r="B425" s="74">
        <v>2026</v>
      </c>
      <c r="C425" s="30" t="str">
        <v>Round of 32</v>
      </c>
      <c r="D425" s="30" t="str">
        <v>Australia</v>
      </c>
      <c r="E425" s="30" t="str">
        <v>Egypt</v>
      </c>
      <c r="F425" s="30" t="str">
        <v>Egypt</v>
      </c>
      <c r="G425" s="30" t="str">
        <v>Mohamed Salah</v>
      </c>
      <c r="H425" s="30" t="str">
        <v>Mathew Ryan</v>
      </c>
      <c r="I425" s="30">
        <v>8</v>
      </c>
      <c r="J425" s="30">
        <v>4</v>
      </c>
      <c r="K425" s="30" t="str">
        <v>2-3</v>
      </c>
      <c r="L425" s="30" t="str">
        <v>No</v>
      </c>
      <c r="M425" s="30" t="str">
        <v>Yes</v>
      </c>
      <c r="N425" s="30" t="str">
        <v>Goal</v>
      </c>
      <c r="O425" s="30" t="str">
        <f t="shared" si="42"/>
        <v>2026|Round of 32|Australia|Egypt|Egypt|Mohamed Salah|Mathew Ryan|8|4|2-3|No|Yes|Goal</v>
      </c>
      <c r="P425" s="96" t="str">
        <f>IF(COUNTIF($G$32:O425,O425)&gt;1,"DOUBLON","OK")</f>
        <v>OK</v>
      </c>
      <c r="S425" s="30" t="str">
        <v>France</v>
      </c>
      <c r="T425" s="30" t="str">
        <f t="shared" si="39"/>
        <v>OK</v>
      </c>
      <c r="U425" s="30" t="str">
        <f t="shared" si="40"/>
        <v>-</v>
      </c>
      <c r="V425" s="30" t="str" cm="1">
        <f t="array" ref="V425">_xlfn.IFS(
ISNUMBER(SEARCH("USA",S425)),"United States",
ISNUMBER(SEARCH("Republic of Korea",S425)),"South Korea",
ISNUMBER(SEARCH("Cape Verde",S425)),"Cabo Verde",
ISNUMBER(SEARCH("Czechia",S425)),"Czech Republic",
ISNUMBER(SEARCH("Türkiye",S425)),"Turkey",
ISNUMBER(SEARCH("Ivory Coast",S425)),"Côte d'Ivoire",
ISNUMBER(SEARCH("Korea Republic",S425)),"South Korea",
ISNUMBER(SEARCH("Germany FR",S425)),"FR Germany",
ISNUMBER(SEARCH("West Germany",S425)),"FR Germany",
ISNUMBER(SEARCH("Germany DR",S425)),"DR Germany",
ISNUMBER(SEARCH("Korea DPR",S425)),"North Korea",
ISNUMBER(SEARCH("China PR",S425)),"China",
ISNUMBER(SEARCH("IR Iran",S425)),"Iran",
ISNUMBER(SEARCH("Congo DR",S425)),"Democratic Republic of the Congo",
ISNUMBER(SEARCH("DR Congo",S425)),"Democratic Republic of the Congo",
ISNUMBER(SEARCH("German DR",S425)),"DR Germany",
ISNUMBER(SEARCH("rn""&gt;United Arab Emirates",S425)),"United Arab Emirates",
ISNUMBER(SEARCH("rn""&gt;Republic of Ireland",S425)),"Ireland",
ISNUMBER(SEARCH("rn""&gt;Bosnia and Herzegovina",S425)),"Bosnia and Herzegovina",
ISNUMBER(SEARCH("rn""&gt;Trinidad and Tobago",S425)),"Trinidad and Tobago",
ISNUMBER(SEARCH("rn""&gt;Serbia and Montenegro",S425)),"Serbia and Montenegro",
ISNUMBER(SEARCH(_xlfn.UNICHAR(65533),S425)),"Côte d'Ivoire",
TRUE,""
)</f>
        <v/>
      </c>
      <c r="W425" s="30" t="str">
        <f t="shared" si="41"/>
        <v>France</v>
      </c>
      <c r="Z425" s="40" t="str">
        <v>Estadio Irapuato</v>
      </c>
      <c r="AA425" s="40" t="str" cm="1">
        <f t="array" ref="AA425">IFERROR(_xlfn.XLOOKUP(Z425,_xlfn.ANCHORARRAY(Z$31),AA$31:AA$37),Z425)</f>
        <v>Estadio Irapuato</v>
      </c>
      <c r="AB425" s="42" t="str">
        <v xml:space="preserve">Irapuato </v>
      </c>
      <c r="AC425" s="89" t="str">
        <f t="shared" ref="AC425:AC488" si="43">_xlfn.SINGLE(IFERROR(_xlfn.XLOOKUP(AB425,AB$31:AB$34,AC$31:AC$34),AB425))</f>
        <v xml:space="preserve">Irapuato </v>
      </c>
      <c r="AE425" s="42">
        <v>1982</v>
      </c>
      <c r="AK425" s="42">
        <v>1</v>
      </c>
      <c r="AL425" s="42">
        <v>0</v>
      </c>
      <c r="AW425" s="89" t="str">
        <v>GROUP_STAGE</v>
      </c>
      <c r="BE425" s="43" t="str">
        <f>IF(OR(DATA_CLEANED!AL416="",DATA_CLEANED!AM416=""),"MANQUANT",IF(OR(NOT(ISNUMBER(DATA_CLEANED!AL416)),NOT(ISNUMBER(DATA_CLEANED!AM416))),"ENTREE INVALIDE",IF(OR(DATA_CLEANED!AL416&lt;0,DATA_CLEANED!AM416&lt;0),"SCORE NEGATIF","OK")))</f>
        <v>OK</v>
      </c>
      <c r="BF425" s="43" t="str">
        <f>IF(DATA_CLEANED!AK416&lt;&gt;DATA_CLEANED!AN416,"OK","ERREUR")</f>
        <v>OK</v>
      </c>
      <c r="BG425" s="43" t="str">
        <f>IF(DATA_CLEANED!AL416&gt;DATA_CLEANED!AM416,DATA_CLEANED!AK416,IF(AND(DATA_QUALITE!W4902="-",DATA_CLEANED!AM416=DATA_CLEANED!AL416),"MATCH NUL",IF(AND(DATA_QUALITE!V4902="-",DATA_QUALITE!U4902="AUCUNE"),DATA_QUALITE!T4902,IF(DATA_QUALITE!V4902&lt;&gt;"-",DATA_QUALITE!V4902,DATA_CLEANED!AN416))))</f>
        <v>Romania</v>
      </c>
      <c r="BH425" s="103" t="str">
        <f>IF(AND(BG425="MATCH NUL",DATA_CLEANED!AO416="-"),"MATCH_NUL",IF(ISNUMBER(SEARCH("win on penalties",W4902)),"WIN_BY_PENALTY",IF(ISNUMBER(SEARCH("win after extra time",W4902)),"WIN_BY_EXTRA_TIME",IF(ISNUMBER(SEARCH("Golden Goal",W4902)),"WIN_BY_GOLDEN_GOAL","WIN_BY_SCORE"))))</f>
        <v>WIN_BY_SCORE</v>
      </c>
      <c r="BI425" s="99" t="str">
        <f>IF(OR(BG425=DATA_CLEANED!AK416,BG425=DATA_CLEANED!AN416,BG425="MATCH NUL"),"OK","ERREUR")</f>
        <v>OK</v>
      </c>
    </row>
    <row r="426" spans="2:61">
      <c r="B426" s="74">
        <v>2026</v>
      </c>
      <c r="C426" s="30" t="str">
        <v>Round of 16</v>
      </c>
      <c r="D426" s="30" t="str">
        <v>Switzerland</v>
      </c>
      <c r="E426" s="30" t="str">
        <v>Colombia</v>
      </c>
      <c r="F426" s="30" t="str">
        <v>Switzerland</v>
      </c>
      <c r="G426" s="30" t="str">
        <v>Manuel Akanji</v>
      </c>
      <c r="H426" s="30" t="str">
        <v>Camilo Vargas</v>
      </c>
      <c r="I426" s="30">
        <v>1</v>
      </c>
      <c r="J426" s="30">
        <v>1</v>
      </c>
      <c r="K426" s="30" t="str">
        <v>0-0</v>
      </c>
      <c r="L426" s="30" t="str">
        <v>No</v>
      </c>
      <c r="M426" s="30" t="str">
        <v>No</v>
      </c>
      <c r="N426" s="30" t="str">
        <v>Goal</v>
      </c>
      <c r="O426" s="30" t="str">
        <f t="shared" si="42"/>
        <v>2026|Round of 16|Switzerland|Colombia|Switzerland|Manuel Akanji|Camilo Vargas|1|1|0-0|No|No|Goal</v>
      </c>
      <c r="P426" s="96" t="str">
        <f>IF(COUNTIF($G$32:O426,O426)&gt;1,"DOUBLON","OK")</f>
        <v>OK</v>
      </c>
      <c r="S426" s="30" t="str">
        <v>France</v>
      </c>
      <c r="T426" s="30" t="str">
        <f t="shared" si="39"/>
        <v>OK</v>
      </c>
      <c r="U426" s="30" t="str">
        <f t="shared" si="40"/>
        <v>-</v>
      </c>
      <c r="V426" s="30" t="str" cm="1">
        <f t="array" ref="V426">_xlfn.IFS(
ISNUMBER(SEARCH("USA",S426)),"United States",
ISNUMBER(SEARCH("Republic of Korea",S426)),"South Korea",
ISNUMBER(SEARCH("Cape Verde",S426)),"Cabo Verde",
ISNUMBER(SEARCH("Czechia",S426)),"Czech Republic",
ISNUMBER(SEARCH("Türkiye",S426)),"Turkey",
ISNUMBER(SEARCH("Ivory Coast",S426)),"Côte d'Ivoire",
ISNUMBER(SEARCH("Korea Republic",S426)),"South Korea",
ISNUMBER(SEARCH("Germany FR",S426)),"FR Germany",
ISNUMBER(SEARCH("West Germany",S426)),"FR Germany",
ISNUMBER(SEARCH("Germany DR",S426)),"DR Germany",
ISNUMBER(SEARCH("Korea DPR",S426)),"North Korea",
ISNUMBER(SEARCH("China PR",S426)),"China",
ISNUMBER(SEARCH("IR Iran",S426)),"Iran",
ISNUMBER(SEARCH("Congo DR",S426)),"Democratic Republic of the Congo",
ISNUMBER(SEARCH("DR Congo",S426)),"Democratic Republic of the Congo",
ISNUMBER(SEARCH("German DR",S426)),"DR Germany",
ISNUMBER(SEARCH("rn""&gt;United Arab Emirates",S426)),"United Arab Emirates",
ISNUMBER(SEARCH("rn""&gt;Republic of Ireland",S426)),"Ireland",
ISNUMBER(SEARCH("rn""&gt;Bosnia and Herzegovina",S426)),"Bosnia and Herzegovina",
ISNUMBER(SEARCH("rn""&gt;Trinidad and Tobago",S426)),"Trinidad and Tobago",
ISNUMBER(SEARCH("rn""&gt;Serbia and Montenegro",S426)),"Serbia and Montenegro",
ISNUMBER(SEARCH(_xlfn.UNICHAR(65533),S426)),"Côte d'Ivoire",
TRUE,""
)</f>
        <v/>
      </c>
      <c r="W426" s="30" t="str">
        <f t="shared" si="41"/>
        <v>France</v>
      </c>
      <c r="Z426" s="40" t="str">
        <v>Cuauhtemoc</v>
      </c>
      <c r="AA426" s="40" t="str" cm="1">
        <f t="array" ref="AA426">IFERROR(_xlfn.XLOOKUP(Z426,_xlfn.ANCHORARRAY(Z$31),AA$31:AA$37),Z426)</f>
        <v>Cuauhtemoc</v>
      </c>
      <c r="AB426" s="42" t="str">
        <v xml:space="preserve">Puebla </v>
      </c>
      <c r="AC426" s="89" t="str">
        <f t="shared" si="43"/>
        <v xml:space="preserve">Puebla </v>
      </c>
      <c r="AE426" s="42">
        <v>1982</v>
      </c>
      <c r="AK426" s="42">
        <v>1</v>
      </c>
      <c r="AL426" s="42">
        <v>0</v>
      </c>
      <c r="AW426" s="89" t="str">
        <v>GROUP_STAGE</v>
      </c>
      <c r="BE426" s="43" t="str">
        <f>IF(OR(DATA_CLEANED!AL417="",DATA_CLEANED!AM417=""),"MANQUANT",IF(OR(NOT(ISNUMBER(DATA_CLEANED!AL417)),NOT(ISNUMBER(DATA_CLEANED!AM417))),"ENTREE INVALIDE",IF(OR(DATA_CLEANED!AL417&lt;0,DATA_CLEANED!AM417&lt;0),"SCORE NEGATIF","OK")))</f>
        <v>OK</v>
      </c>
      <c r="BF426" s="43" t="str">
        <f>IF(DATA_CLEANED!AK417&lt;&gt;DATA_CLEANED!AN417,"OK","ERREUR")</f>
        <v>OK</v>
      </c>
      <c r="BG426" s="43" t="str">
        <f>IF(DATA_CLEANED!AL417&gt;DATA_CLEANED!AM417,DATA_CLEANED!AK417,IF(AND(DATA_QUALITE!W4903="-",DATA_CLEANED!AM417=DATA_CLEANED!AL417),"MATCH NUL",IF(AND(DATA_QUALITE!V4903="-",DATA_QUALITE!U4903="AUCUNE"),DATA_QUALITE!T4903,IF(DATA_QUALITE!V4903&lt;&gt;"-",DATA_QUALITE!V4903,DATA_CLEANED!AN417))))</f>
        <v>Colombia</v>
      </c>
      <c r="BH426" s="103" t="str">
        <f>IF(AND(BG426="MATCH NUL",DATA_CLEANED!AO417="-"),"MATCH_NUL",IF(ISNUMBER(SEARCH("win on penalties",W4903)),"WIN_BY_PENALTY",IF(ISNUMBER(SEARCH("win after extra time",W4903)),"WIN_BY_EXTRA_TIME",IF(ISNUMBER(SEARCH("Golden Goal",W4903)),"WIN_BY_GOLDEN_GOAL","WIN_BY_SCORE"))))</f>
        <v>WIN_BY_SCORE</v>
      </c>
      <c r="BI426" s="99" t="str">
        <f>IF(OR(BG426=DATA_CLEANED!AK417,BG426=DATA_CLEANED!AN417,BG426="MATCH NUL"),"OK","ERREUR")</f>
        <v>OK</v>
      </c>
    </row>
    <row r="427" spans="2:61">
      <c r="B427" s="74">
        <v>2026</v>
      </c>
      <c r="C427" s="30" t="str">
        <v>Round of 16</v>
      </c>
      <c r="D427" s="30" t="str">
        <v>Switzerland</v>
      </c>
      <c r="E427" s="30" t="str">
        <v>Colombia</v>
      </c>
      <c r="F427" s="30" t="str">
        <v>Colombia</v>
      </c>
      <c r="G427" s="30" t="str">
        <v>Luis Díaz</v>
      </c>
      <c r="H427" s="30" t="str">
        <v>Yann Sommer</v>
      </c>
      <c r="I427" s="30">
        <v>2</v>
      </c>
      <c r="J427" s="30">
        <v>1</v>
      </c>
      <c r="K427" s="30" t="str">
        <v>1-0</v>
      </c>
      <c r="L427" s="30" t="str">
        <v>No</v>
      </c>
      <c r="M427" s="30" t="str">
        <v>No</v>
      </c>
      <c r="N427" s="30" t="str">
        <v>Goal</v>
      </c>
      <c r="O427" s="30" t="str">
        <f t="shared" si="42"/>
        <v>2026|Round of 16|Switzerland|Colombia|Colombia|Luis Díaz|Yann Sommer|2|1|1-0|No|No|Goal</v>
      </c>
      <c r="P427" s="96" t="str">
        <f>IF(COUNTIF($G$32:O427,O427)&gt;1,"DOUBLON","OK")</f>
        <v>OK</v>
      </c>
      <c r="S427" s="30" t="str">
        <v>Spain</v>
      </c>
      <c r="T427" s="30" t="str">
        <f t="shared" si="39"/>
        <v>OK</v>
      </c>
      <c r="U427" s="30" t="str">
        <f t="shared" si="40"/>
        <v>-</v>
      </c>
      <c r="V427" s="30" t="str" cm="1">
        <f t="array" ref="V427">_xlfn.IFS(
ISNUMBER(SEARCH("USA",S427)),"United States",
ISNUMBER(SEARCH("Republic of Korea",S427)),"South Korea",
ISNUMBER(SEARCH("Cape Verde",S427)),"Cabo Verde",
ISNUMBER(SEARCH("Czechia",S427)),"Czech Republic",
ISNUMBER(SEARCH("Türkiye",S427)),"Turkey",
ISNUMBER(SEARCH("Ivory Coast",S427)),"Côte d'Ivoire",
ISNUMBER(SEARCH("Korea Republic",S427)),"South Korea",
ISNUMBER(SEARCH("Germany FR",S427)),"FR Germany",
ISNUMBER(SEARCH("West Germany",S427)),"FR Germany",
ISNUMBER(SEARCH("Germany DR",S427)),"DR Germany",
ISNUMBER(SEARCH("Korea DPR",S427)),"North Korea",
ISNUMBER(SEARCH("China PR",S427)),"China",
ISNUMBER(SEARCH("IR Iran",S427)),"Iran",
ISNUMBER(SEARCH("Congo DR",S427)),"Democratic Republic of the Congo",
ISNUMBER(SEARCH("DR Congo",S427)),"Democratic Republic of the Congo",
ISNUMBER(SEARCH("German DR",S427)),"DR Germany",
ISNUMBER(SEARCH("rn""&gt;United Arab Emirates",S427)),"United Arab Emirates",
ISNUMBER(SEARCH("rn""&gt;Republic of Ireland",S427)),"Ireland",
ISNUMBER(SEARCH("rn""&gt;Bosnia and Herzegovina",S427)),"Bosnia and Herzegovina",
ISNUMBER(SEARCH("rn""&gt;Trinidad and Tobago",S427)),"Trinidad and Tobago",
ISNUMBER(SEARCH("rn""&gt;Serbia and Montenegro",S427)),"Serbia and Montenegro",
ISNUMBER(SEARCH(_xlfn.UNICHAR(65533),S427)),"Côte d'Ivoire",
TRUE,""
)</f>
        <v/>
      </c>
      <c r="W427" s="30" t="str">
        <f t="shared" si="41"/>
        <v>Spain</v>
      </c>
      <c r="Z427" s="40" t="str">
        <v>Estadio Ol�mpico Universitario</v>
      </c>
      <c r="AA427" s="40" t="str" cm="1">
        <f t="array" ref="AA427">IFERROR(_xlfn.XLOOKUP(Z427,_xlfn.ANCHORARRAY(Z$31),AA$31:AA$37),Z427)</f>
        <v>Estadio Olímpico Universitario</v>
      </c>
      <c r="AB427" s="42" t="str">
        <v xml:space="preserve">Mexico City </v>
      </c>
      <c r="AC427" s="89" t="str">
        <f t="shared" si="43"/>
        <v xml:space="preserve">Mexico City </v>
      </c>
      <c r="AE427" s="42">
        <v>1982</v>
      </c>
      <c r="AK427" s="42">
        <v>0</v>
      </c>
      <c r="AL427" s="42">
        <v>1</v>
      </c>
      <c r="AW427" s="89" t="str">
        <v>GROUP_STAGE</v>
      </c>
      <c r="BE427" s="43" t="str">
        <f>IF(OR(DATA_CLEANED!AL418="",DATA_CLEANED!AM418=""),"MANQUANT",IF(OR(NOT(ISNUMBER(DATA_CLEANED!AL418)),NOT(ISNUMBER(DATA_CLEANED!AM418))),"ENTREE INVALIDE",IF(OR(DATA_CLEANED!AL418&lt;0,DATA_CLEANED!AM418&lt;0),"SCORE NEGATIF","OK")))</f>
        <v>OK</v>
      </c>
      <c r="BF427" s="43" t="str">
        <f>IF(DATA_CLEANED!AK418&lt;&gt;DATA_CLEANED!AN418,"OK","ERREUR")</f>
        <v>OK</v>
      </c>
      <c r="BG427" s="43" t="str">
        <f>IF(DATA_CLEANED!AL418&gt;DATA_CLEANED!AM418,DATA_CLEANED!AK418,IF(AND(DATA_QUALITE!W4904="-",DATA_CLEANED!AM418=DATA_CLEANED!AL418),"MATCH NUL",IF(AND(DATA_QUALITE!V4904="-",DATA_QUALITE!U4904="AUCUNE"),DATA_QUALITE!T4904,IF(DATA_QUALITE!V4904&lt;&gt;"-",DATA_QUALITE!V4904,DATA_CLEANED!AN418))))</f>
        <v>Italy</v>
      </c>
      <c r="BH427" s="103" t="str">
        <f>IF(AND(BG427="MATCH NUL",DATA_CLEANED!AO418="-"),"MATCH_NUL",IF(ISNUMBER(SEARCH("win on penalties",W4904)),"WIN_BY_PENALTY",IF(ISNUMBER(SEARCH("win after extra time",W4904)),"WIN_BY_EXTRA_TIME",IF(ISNUMBER(SEARCH("Golden Goal",W4904)),"WIN_BY_GOLDEN_GOAL","WIN_BY_SCORE"))))</f>
        <v>WIN_BY_SCORE</v>
      </c>
      <c r="BI427" s="99" t="str">
        <f>IF(OR(BG427=DATA_CLEANED!AK418,BG427=DATA_CLEANED!AN418,BG427="MATCH NUL"),"OK","ERREUR")</f>
        <v>OK</v>
      </c>
    </row>
    <row r="428" spans="2:61">
      <c r="B428" s="74">
        <v>2026</v>
      </c>
      <c r="C428" s="30" t="str">
        <v>Round of 16</v>
      </c>
      <c r="D428" s="30" t="str">
        <v>Switzerland</v>
      </c>
      <c r="E428" s="30" t="str">
        <v>Colombia</v>
      </c>
      <c r="F428" s="30" t="str">
        <v>Switzerland</v>
      </c>
      <c r="G428" s="30" t="str">
        <v>Granit Xhaka</v>
      </c>
      <c r="H428" s="30" t="str">
        <v>Camilo Vargas</v>
      </c>
      <c r="I428" s="30">
        <v>3</v>
      </c>
      <c r="J428" s="30">
        <v>2</v>
      </c>
      <c r="K428" s="30" t="str">
        <v>1-1</v>
      </c>
      <c r="L428" s="30" t="str">
        <v>No</v>
      </c>
      <c r="M428" s="30" t="str">
        <v>No</v>
      </c>
      <c r="N428" s="30" t="str">
        <v>Goal</v>
      </c>
      <c r="O428" s="30" t="str">
        <f t="shared" si="42"/>
        <v>2026|Round of 16|Switzerland|Colombia|Switzerland|Granit Xhaka|Camilo Vargas|3|2|1-1|No|No|Goal</v>
      </c>
      <c r="P428" s="96" t="str">
        <f>IF(COUNTIF($G$32:O428,O428)&gt;1,"DOUBLON","OK")</f>
        <v>OK</v>
      </c>
      <c r="S428" s="30" t="str">
        <v>Spain</v>
      </c>
      <c r="T428" s="30" t="str">
        <f t="shared" si="39"/>
        <v>OK</v>
      </c>
      <c r="U428" s="30" t="str">
        <f t="shared" si="40"/>
        <v>-</v>
      </c>
      <c r="V428" s="30" t="str" cm="1">
        <f t="array" ref="V428">_xlfn.IFS(
ISNUMBER(SEARCH("USA",S428)),"United States",
ISNUMBER(SEARCH("Republic of Korea",S428)),"South Korea",
ISNUMBER(SEARCH("Cape Verde",S428)),"Cabo Verde",
ISNUMBER(SEARCH("Czechia",S428)),"Czech Republic",
ISNUMBER(SEARCH("Türkiye",S428)),"Turkey",
ISNUMBER(SEARCH("Ivory Coast",S428)),"Côte d'Ivoire",
ISNUMBER(SEARCH("Korea Republic",S428)),"South Korea",
ISNUMBER(SEARCH("Germany FR",S428)),"FR Germany",
ISNUMBER(SEARCH("West Germany",S428)),"FR Germany",
ISNUMBER(SEARCH("Germany DR",S428)),"DR Germany",
ISNUMBER(SEARCH("Korea DPR",S428)),"North Korea",
ISNUMBER(SEARCH("China PR",S428)),"China",
ISNUMBER(SEARCH("IR Iran",S428)),"Iran",
ISNUMBER(SEARCH("Congo DR",S428)),"Democratic Republic of the Congo",
ISNUMBER(SEARCH("DR Congo",S428)),"Democratic Republic of the Congo",
ISNUMBER(SEARCH("German DR",S428)),"DR Germany",
ISNUMBER(SEARCH("rn""&gt;United Arab Emirates",S428)),"United Arab Emirates",
ISNUMBER(SEARCH("rn""&gt;Republic of Ireland",S428)),"Ireland",
ISNUMBER(SEARCH("rn""&gt;Bosnia and Herzegovina",S428)),"Bosnia and Herzegovina",
ISNUMBER(SEARCH("rn""&gt;Trinidad and Tobago",S428)),"Trinidad and Tobago",
ISNUMBER(SEARCH("rn""&gt;Serbia and Montenegro",S428)),"Serbia and Montenegro",
ISNUMBER(SEARCH(_xlfn.UNICHAR(65533),S428)),"Côte d'Ivoire",
TRUE,""
)</f>
        <v/>
      </c>
      <c r="W428" s="30" t="str">
        <f t="shared" si="41"/>
        <v>Spain</v>
      </c>
      <c r="Z428" s="40" t="str">
        <v>Bombonera - Estadio Nemesio Diez</v>
      </c>
      <c r="AA428" s="40" t="str" cm="1">
        <f t="array" ref="AA428">IFERROR(_xlfn.XLOOKUP(Z428,_xlfn.ANCHORARRAY(Z$31),AA$31:AA$37),Z428)</f>
        <v>Bombonera - Estadio Nemesio Diez</v>
      </c>
      <c r="AB428" s="42" t="str">
        <v xml:space="preserve">Toluca </v>
      </c>
      <c r="AC428" s="89" t="str">
        <f t="shared" si="43"/>
        <v xml:space="preserve">Toluca </v>
      </c>
      <c r="AE428" s="42">
        <v>1982</v>
      </c>
      <c r="AK428" s="42">
        <v>3</v>
      </c>
      <c r="AL428" s="42">
        <v>0</v>
      </c>
      <c r="AW428" s="89" t="str">
        <v>GROUP_STAGE</v>
      </c>
      <c r="BE428" s="43" t="str">
        <f>IF(OR(DATA_CLEANED!AL419="",DATA_CLEANED!AM419=""),"MANQUANT",IF(OR(NOT(ISNUMBER(DATA_CLEANED!AL419)),NOT(ISNUMBER(DATA_CLEANED!AM419))),"ENTREE INVALIDE",IF(OR(DATA_CLEANED!AL419&lt;0,DATA_CLEANED!AM419&lt;0),"SCORE NEGATIF","OK")))</f>
        <v>OK</v>
      </c>
      <c r="BF428" s="43" t="str">
        <f>IF(DATA_CLEANED!AK419&lt;&gt;DATA_CLEANED!AN419,"OK","ERREUR")</f>
        <v>OK</v>
      </c>
      <c r="BG428" s="43" t="str">
        <f>IF(DATA_CLEANED!AL419&gt;DATA_CLEANED!AM419,DATA_CLEANED!AK419,IF(AND(DATA_QUALITE!W4905="-",DATA_CLEANED!AM419=DATA_CLEANED!AL419),"MATCH NUL",IF(AND(DATA_QUALITE!V4905="-",DATA_QUALITE!U4905="AUCUNE"),DATA_QUALITE!T4905,IF(DATA_QUALITE!V4905&lt;&gt;"-",DATA_QUALITE!V4905,DATA_CLEANED!AN419))))</f>
        <v>Czechoslovakia</v>
      </c>
      <c r="BH428" s="103" t="str">
        <f>IF(AND(BG428="MATCH NUL",DATA_CLEANED!AO419="-"),"MATCH_NUL",IF(ISNUMBER(SEARCH("win on penalties",W4905)),"WIN_BY_PENALTY",IF(ISNUMBER(SEARCH("win after extra time",W4905)),"WIN_BY_EXTRA_TIME",IF(ISNUMBER(SEARCH("Golden Goal",W4905)),"WIN_BY_GOLDEN_GOAL","WIN_BY_SCORE"))))</f>
        <v>WIN_BY_SCORE</v>
      </c>
      <c r="BI428" s="99" t="str">
        <f>IF(OR(BG428=DATA_CLEANED!AK419,BG428=DATA_CLEANED!AN419,BG428="MATCH NUL"),"OK","ERREUR")</f>
        <v>OK</v>
      </c>
    </row>
    <row r="429" spans="2:61">
      <c r="B429" s="74">
        <v>2026</v>
      </c>
      <c r="C429" s="30" t="str">
        <v>Round of 16</v>
      </c>
      <c r="D429" s="30" t="str">
        <v>Switzerland</v>
      </c>
      <c r="E429" s="30" t="str">
        <v>Colombia</v>
      </c>
      <c r="F429" s="30" t="str">
        <v>Colombia</v>
      </c>
      <c r="G429" s="30" t="str">
        <v>James Rodríguez</v>
      </c>
      <c r="H429" s="30" t="str">
        <v>Yann Sommer</v>
      </c>
      <c r="I429" s="30">
        <v>4</v>
      </c>
      <c r="J429" s="30">
        <v>2</v>
      </c>
      <c r="K429" s="30" t="str">
        <v>2-1</v>
      </c>
      <c r="L429" s="30" t="str">
        <v>No</v>
      </c>
      <c r="M429" s="30" t="str">
        <v>No</v>
      </c>
      <c r="N429" s="30" t="str">
        <v>Miss</v>
      </c>
      <c r="O429" s="30" t="str">
        <f t="shared" si="42"/>
        <v>2026|Round of 16|Switzerland|Colombia|Colombia|James Rodríguez|Yann Sommer|4|2|2-1|No|No|Miss</v>
      </c>
      <c r="P429" s="96" t="str">
        <f>IF(COUNTIF($G$32:O429,O429)&gt;1,"DOUBLON","OK")</f>
        <v>OK</v>
      </c>
      <c r="S429" s="30" t="str">
        <v>Spain</v>
      </c>
      <c r="T429" s="30" t="str">
        <f t="shared" si="39"/>
        <v>OK</v>
      </c>
      <c r="U429" s="30" t="str">
        <f t="shared" si="40"/>
        <v>-</v>
      </c>
      <c r="V429" s="30" t="str" cm="1">
        <f t="array" ref="V429">_xlfn.IFS(
ISNUMBER(SEARCH("USA",S429)),"United States",
ISNUMBER(SEARCH("Republic of Korea",S429)),"South Korea",
ISNUMBER(SEARCH("Cape Verde",S429)),"Cabo Verde",
ISNUMBER(SEARCH("Czechia",S429)),"Czech Republic",
ISNUMBER(SEARCH("Türkiye",S429)),"Turkey",
ISNUMBER(SEARCH("Ivory Coast",S429)),"Côte d'Ivoire",
ISNUMBER(SEARCH("Korea Republic",S429)),"South Korea",
ISNUMBER(SEARCH("Germany FR",S429)),"FR Germany",
ISNUMBER(SEARCH("West Germany",S429)),"FR Germany",
ISNUMBER(SEARCH("Germany DR",S429)),"DR Germany",
ISNUMBER(SEARCH("Korea DPR",S429)),"North Korea",
ISNUMBER(SEARCH("China PR",S429)),"China",
ISNUMBER(SEARCH("IR Iran",S429)),"Iran",
ISNUMBER(SEARCH("Congo DR",S429)),"Democratic Republic of the Congo",
ISNUMBER(SEARCH("DR Congo",S429)),"Democratic Republic of the Congo",
ISNUMBER(SEARCH("German DR",S429)),"DR Germany",
ISNUMBER(SEARCH("rn""&gt;United Arab Emirates",S429)),"United Arab Emirates",
ISNUMBER(SEARCH("rn""&gt;Republic of Ireland",S429)),"Ireland",
ISNUMBER(SEARCH("rn""&gt;Bosnia and Herzegovina",S429)),"Bosnia and Herzegovina",
ISNUMBER(SEARCH("rn""&gt;Trinidad and Tobago",S429)),"Trinidad and Tobago",
ISNUMBER(SEARCH("rn""&gt;Serbia and Montenegro",S429)),"Serbia and Montenegro",
ISNUMBER(SEARCH(_xlfn.UNICHAR(65533),S429)),"Côte d'Ivoire",
TRUE,""
)</f>
        <v/>
      </c>
      <c r="W429" s="30" t="str">
        <f t="shared" si="41"/>
        <v>Spain</v>
      </c>
      <c r="Z429" s="40" t="str">
        <v>Estadio Azteca</v>
      </c>
      <c r="AA429" s="40" t="str" cm="1">
        <f t="array" ref="AA429">IFERROR(_xlfn.XLOOKUP(Z429,_xlfn.ANCHORARRAY(Z$31),AA$31:AA$37),Z429)</f>
        <v>Estadio Azteca</v>
      </c>
      <c r="AB429" s="42" t="str">
        <v xml:space="preserve">Mexico City </v>
      </c>
      <c r="AC429" s="89" t="str">
        <f t="shared" si="43"/>
        <v xml:space="preserve">Mexico City </v>
      </c>
      <c r="AE429" s="42">
        <v>1982</v>
      </c>
      <c r="AK429" s="42">
        <v>2</v>
      </c>
      <c r="AL429" s="42">
        <v>1</v>
      </c>
      <c r="AW429" s="89" t="str">
        <v>GROUP_STAGE</v>
      </c>
      <c r="BE429" s="43" t="str">
        <f>IF(OR(DATA_CLEANED!AL420="",DATA_CLEANED!AM420=""),"MANQUANT",IF(OR(NOT(ISNUMBER(DATA_CLEANED!AL420)),NOT(ISNUMBER(DATA_CLEANED!AM420))),"ENTREE INVALIDE",IF(OR(DATA_CLEANED!AL420&lt;0,DATA_CLEANED!AM420&lt;0),"SCORE NEGATIF","OK")))</f>
        <v>OK</v>
      </c>
      <c r="BF429" s="43" t="str">
        <f>IF(DATA_CLEANED!AK420&lt;&gt;DATA_CLEANED!AN420,"OK","ERREUR")</f>
        <v>OK</v>
      </c>
      <c r="BG429" s="43" t="str">
        <f>IF(DATA_CLEANED!AL420&gt;DATA_CLEANED!AM420,DATA_CLEANED!AK420,IF(AND(DATA_QUALITE!W4906="-",DATA_CLEANED!AM420=DATA_CLEANED!AL420),"MATCH NUL",IF(AND(DATA_QUALITE!V4906="-",DATA_QUALITE!U4906="AUCUNE"),DATA_QUALITE!T4906,IF(DATA_QUALITE!V4906&lt;&gt;"-",DATA_QUALITE!V4906,DATA_CLEANED!AN420))))</f>
        <v>Brazil</v>
      </c>
      <c r="BH429" s="103" t="str">
        <f>IF(AND(BG429="MATCH NUL",DATA_CLEANED!AO420="-"),"MATCH_NUL",IF(ISNUMBER(SEARCH("win on penalties",W4906)),"WIN_BY_PENALTY",IF(ISNUMBER(SEARCH("win after extra time",W4906)),"WIN_BY_EXTRA_TIME",IF(ISNUMBER(SEARCH("Golden Goal",W4906)),"WIN_BY_GOLDEN_GOAL","WIN_BY_SCORE"))))</f>
        <v>WIN_BY_SCORE</v>
      </c>
      <c r="BI429" s="99" t="str">
        <f>IF(OR(BG429=DATA_CLEANED!AK420,BG429=DATA_CLEANED!AN420,BG429="MATCH NUL"),"OK","ERREUR")</f>
        <v>OK</v>
      </c>
    </row>
    <row r="430" spans="2:61">
      <c r="B430" s="74">
        <v>2026</v>
      </c>
      <c r="C430" s="30" t="str">
        <v>Round of 16</v>
      </c>
      <c r="D430" s="30" t="str">
        <v>Switzerland</v>
      </c>
      <c r="E430" s="30" t="str">
        <v>Colombia</v>
      </c>
      <c r="F430" s="30" t="str">
        <v>Switzerland</v>
      </c>
      <c r="G430" s="30" t="str">
        <v>Remo Freuler</v>
      </c>
      <c r="H430" s="30" t="str">
        <v>Camilo Vargas</v>
      </c>
      <c r="I430" s="30">
        <v>5</v>
      </c>
      <c r="J430" s="30">
        <v>3</v>
      </c>
      <c r="K430" s="30" t="str">
        <v>2-1</v>
      </c>
      <c r="L430" s="30" t="str">
        <v>No</v>
      </c>
      <c r="M430" s="30" t="str">
        <v>No</v>
      </c>
      <c r="N430" s="30" t="str">
        <v>Goal</v>
      </c>
      <c r="O430" s="30" t="str">
        <f t="shared" si="42"/>
        <v>2026|Round of 16|Switzerland|Colombia|Switzerland|Remo Freuler|Camilo Vargas|5|3|2-1|No|No|Goal</v>
      </c>
      <c r="P430" s="96" t="str">
        <f>IF(COUNTIF($G$32:O430,O430)&gt;1,"DOUBLON","OK")</f>
        <v>OK</v>
      </c>
      <c r="S430" s="30" t="str">
        <v>Spain</v>
      </c>
      <c r="T430" s="30" t="str">
        <f t="shared" si="39"/>
        <v>OK</v>
      </c>
      <c r="U430" s="30" t="str">
        <f t="shared" si="40"/>
        <v>-</v>
      </c>
      <c r="V430" s="30" t="str" cm="1">
        <f t="array" ref="V430">_xlfn.IFS(
ISNUMBER(SEARCH("USA",S430)),"United States",
ISNUMBER(SEARCH("Republic of Korea",S430)),"South Korea",
ISNUMBER(SEARCH("Cape Verde",S430)),"Cabo Verde",
ISNUMBER(SEARCH("Czechia",S430)),"Czech Republic",
ISNUMBER(SEARCH("Türkiye",S430)),"Turkey",
ISNUMBER(SEARCH("Ivory Coast",S430)),"Côte d'Ivoire",
ISNUMBER(SEARCH("Korea Republic",S430)),"South Korea",
ISNUMBER(SEARCH("Germany FR",S430)),"FR Germany",
ISNUMBER(SEARCH("West Germany",S430)),"FR Germany",
ISNUMBER(SEARCH("Germany DR",S430)),"DR Germany",
ISNUMBER(SEARCH("Korea DPR",S430)),"North Korea",
ISNUMBER(SEARCH("China PR",S430)),"China",
ISNUMBER(SEARCH("IR Iran",S430)),"Iran",
ISNUMBER(SEARCH("Congo DR",S430)),"Democratic Republic of the Congo",
ISNUMBER(SEARCH("DR Congo",S430)),"Democratic Republic of the Congo",
ISNUMBER(SEARCH("German DR",S430)),"DR Germany",
ISNUMBER(SEARCH("rn""&gt;United Arab Emirates",S430)),"United Arab Emirates",
ISNUMBER(SEARCH("rn""&gt;Republic of Ireland",S430)),"Ireland",
ISNUMBER(SEARCH("rn""&gt;Bosnia and Herzegovina",S430)),"Bosnia and Herzegovina",
ISNUMBER(SEARCH("rn""&gt;Trinidad and Tobago",S430)),"Trinidad and Tobago",
ISNUMBER(SEARCH("rn""&gt;Serbia and Montenegro",S430)),"Serbia and Montenegro",
ISNUMBER(SEARCH(_xlfn.UNICHAR(65533),S430)),"Côte d'Ivoire",
TRUE,""
)</f>
        <v/>
      </c>
      <c r="W430" s="30" t="str">
        <f t="shared" si="41"/>
        <v>Spain</v>
      </c>
      <c r="Z430" s="40" t="str">
        <v>Tres de Marzo</v>
      </c>
      <c r="AA430" s="40" t="str" cm="1">
        <f t="array" ref="AA430">IFERROR(_xlfn.XLOOKUP(Z430,_xlfn.ANCHORARRAY(Z$31),AA$31:AA$37),Z430)</f>
        <v>Tres de Marzo</v>
      </c>
      <c r="AB430" s="42" t="str">
        <v xml:space="preserve">Guadalajara </v>
      </c>
      <c r="AC430" s="89" t="str">
        <f t="shared" si="43"/>
        <v xml:space="preserve">Guadalajara </v>
      </c>
      <c r="AE430" s="42">
        <v>1982</v>
      </c>
      <c r="AK430" s="42">
        <v>0</v>
      </c>
      <c r="AL430" s="42">
        <v>0</v>
      </c>
      <c r="AW430" s="89" t="str">
        <v>GROUP_STAGE</v>
      </c>
      <c r="BE430" s="43" t="str">
        <f>IF(OR(DATA_CLEANED!AL421="",DATA_CLEANED!AM421=""),"MANQUANT",IF(OR(NOT(ISNUMBER(DATA_CLEANED!AL421)),NOT(ISNUMBER(DATA_CLEANED!AM421))),"ENTREE INVALIDE",IF(OR(DATA_CLEANED!AL421&lt;0,DATA_CLEANED!AM421&lt;0),"SCORE NEGATIF","OK")))</f>
        <v>OK</v>
      </c>
      <c r="BF430" s="43" t="str">
        <f>IF(DATA_CLEANED!AK421&lt;&gt;DATA_CLEANED!AN421,"OK","ERREUR")</f>
        <v>OK</v>
      </c>
      <c r="BG430" s="43" t="str">
        <f>IF(DATA_CLEANED!AL421&gt;DATA_CLEANED!AM421,DATA_CLEANED!AK421,IF(AND(DATA_QUALITE!W4907="-",DATA_CLEANED!AM421=DATA_CLEANED!AL421),"MATCH NUL",IF(AND(DATA_QUALITE!V4907="-",DATA_QUALITE!U4907="AUCUNE"),DATA_QUALITE!T4907,IF(DATA_QUALITE!V4907&lt;&gt;"-",DATA_QUALITE!V4907,DATA_CLEANED!AN421))))</f>
        <v>FR Germany</v>
      </c>
      <c r="BH430" s="103" t="str">
        <f>IF(AND(BG430="MATCH NUL",DATA_CLEANED!AO421="-"),"MATCH_NUL",IF(ISNUMBER(SEARCH("win on penalties",W4907)),"WIN_BY_PENALTY",IF(ISNUMBER(SEARCH("win after extra time",W4907)),"WIN_BY_EXTRA_TIME",IF(ISNUMBER(SEARCH("Golden Goal",W4907)),"WIN_BY_GOLDEN_GOAL","WIN_BY_SCORE"))))</f>
        <v>WIN_BY_SCORE</v>
      </c>
      <c r="BI430" s="99" t="str">
        <f>IF(OR(BG430=DATA_CLEANED!AK421,BG430=DATA_CLEANED!AN421,BG430="MATCH NUL"),"OK","ERREUR")</f>
        <v>OK</v>
      </c>
    </row>
    <row r="431" spans="2:61">
      <c r="B431" s="74">
        <v>2026</v>
      </c>
      <c r="C431" s="30" t="str">
        <v>Round of 16</v>
      </c>
      <c r="D431" s="30" t="str">
        <v>Switzerland</v>
      </c>
      <c r="E431" s="30" t="str">
        <v>Colombia</v>
      </c>
      <c r="F431" s="30" t="str">
        <v>Colombia</v>
      </c>
      <c r="G431" s="30" t="str">
        <v>Jhon Durán</v>
      </c>
      <c r="H431" s="30" t="str">
        <v>Yann Sommer</v>
      </c>
      <c r="I431" s="30">
        <v>6</v>
      </c>
      <c r="J431" s="30">
        <v>3</v>
      </c>
      <c r="K431" s="30" t="str">
        <v>3-1</v>
      </c>
      <c r="L431" s="30" t="str">
        <v>No</v>
      </c>
      <c r="M431" s="30" t="str">
        <v>No</v>
      </c>
      <c r="N431" s="30" t="str">
        <v>Goal</v>
      </c>
      <c r="O431" s="30" t="str">
        <f t="shared" si="42"/>
        <v>2026|Round of 16|Switzerland|Colombia|Colombia|Jhon Durán|Yann Sommer|6|3|3-1|No|No|Goal</v>
      </c>
      <c r="P431" s="96" t="str">
        <f>IF(COUNTIF($G$32:O431,O431)&gt;1,"DOUBLON","OK")</f>
        <v>OK</v>
      </c>
      <c r="S431" s="30" t="str">
        <v>Spain</v>
      </c>
      <c r="T431" s="30" t="str">
        <f t="shared" si="39"/>
        <v>OK</v>
      </c>
      <c r="U431" s="30" t="str">
        <f t="shared" si="40"/>
        <v>-</v>
      </c>
      <c r="V431" s="30" t="str" cm="1">
        <f t="array" ref="V431">_xlfn.IFS(
ISNUMBER(SEARCH("USA",S431)),"United States",
ISNUMBER(SEARCH("Republic of Korea",S431)),"South Korea",
ISNUMBER(SEARCH("Cape Verde",S431)),"Cabo Verde",
ISNUMBER(SEARCH("Czechia",S431)),"Czech Republic",
ISNUMBER(SEARCH("Türkiye",S431)),"Turkey",
ISNUMBER(SEARCH("Ivory Coast",S431)),"Côte d'Ivoire",
ISNUMBER(SEARCH("Korea Republic",S431)),"South Korea",
ISNUMBER(SEARCH("Germany FR",S431)),"FR Germany",
ISNUMBER(SEARCH("West Germany",S431)),"FR Germany",
ISNUMBER(SEARCH("Germany DR",S431)),"DR Germany",
ISNUMBER(SEARCH("Korea DPR",S431)),"North Korea",
ISNUMBER(SEARCH("China PR",S431)),"China",
ISNUMBER(SEARCH("IR Iran",S431)),"Iran",
ISNUMBER(SEARCH("Congo DR",S431)),"Democratic Republic of the Congo",
ISNUMBER(SEARCH("DR Congo",S431)),"Democratic Republic of the Congo",
ISNUMBER(SEARCH("German DR",S431)),"DR Germany",
ISNUMBER(SEARCH("rn""&gt;United Arab Emirates",S431)),"United Arab Emirates",
ISNUMBER(SEARCH("rn""&gt;Republic of Ireland",S431)),"Ireland",
ISNUMBER(SEARCH("rn""&gt;Bosnia and Herzegovina",S431)),"Bosnia and Herzegovina",
ISNUMBER(SEARCH("rn""&gt;Trinidad and Tobago",S431)),"Trinidad and Tobago",
ISNUMBER(SEARCH("rn""&gt;Serbia and Montenegro",S431)),"Serbia and Montenegro",
ISNUMBER(SEARCH(_xlfn.UNICHAR(65533),S431)),"Côte d'Ivoire",
TRUE,""
)</f>
        <v/>
      </c>
      <c r="W431" s="30" t="str">
        <f t="shared" si="41"/>
        <v>Spain</v>
      </c>
      <c r="Z431" s="40" t="str">
        <v>Tecnologico</v>
      </c>
      <c r="AA431" s="40" t="str" cm="1">
        <f t="array" ref="AA431">IFERROR(_xlfn.XLOOKUP(Z431,_xlfn.ANCHORARRAY(Z$31),AA$31:AA$37),Z431)</f>
        <v>Tecnologico</v>
      </c>
      <c r="AB431" s="42" t="str">
        <v xml:space="preserve">Monterrey </v>
      </c>
      <c r="AC431" s="89" t="str">
        <f t="shared" si="43"/>
        <v xml:space="preserve">Monterrey </v>
      </c>
      <c r="AE431" s="42">
        <v>1982</v>
      </c>
      <c r="AK431" s="42">
        <v>2</v>
      </c>
      <c r="AL431" s="42">
        <v>2</v>
      </c>
      <c r="AW431" s="89" t="str">
        <v>GROUP_STAGE</v>
      </c>
      <c r="BE431" s="43" t="str">
        <f>IF(OR(DATA_CLEANED!AL422="",DATA_CLEANED!AM422=""),"MANQUANT",IF(OR(NOT(ISNUMBER(DATA_CLEANED!AL422)),NOT(ISNUMBER(DATA_CLEANED!AM422))),"ENTREE INVALIDE",IF(OR(DATA_CLEANED!AL422&lt;0,DATA_CLEANED!AM422&lt;0),"SCORE NEGATIF","OK")))</f>
        <v>OK</v>
      </c>
      <c r="BF431" s="43" t="str">
        <f>IF(DATA_CLEANED!AK422&lt;&gt;DATA_CLEANED!AN422,"OK","ERREUR")</f>
        <v>OK</v>
      </c>
      <c r="BG431" s="43" t="str">
        <f>IF(DATA_CLEANED!AL422&gt;DATA_CLEANED!AM422,DATA_CLEANED!AK422,IF(AND(DATA_QUALITE!W4908="-",DATA_CLEANED!AM422=DATA_CLEANED!AL422),"MATCH NUL",IF(AND(DATA_QUALITE!V4908="-",DATA_QUALITE!U4908="AUCUNE"),DATA_QUALITE!T4908,IF(DATA_QUALITE!V4908&lt;&gt;"-",DATA_QUALITE!V4908,DATA_CLEANED!AN422))))</f>
        <v>Costa Rica</v>
      </c>
      <c r="BH431" s="103" t="str">
        <f>IF(AND(BG431="MATCH NUL",DATA_CLEANED!AO422="-"),"MATCH_NUL",IF(ISNUMBER(SEARCH("win on penalties",W4908)),"WIN_BY_PENALTY",IF(ISNUMBER(SEARCH("win after extra time",W4908)),"WIN_BY_EXTRA_TIME",IF(ISNUMBER(SEARCH("Golden Goal",W4908)),"WIN_BY_GOLDEN_GOAL","WIN_BY_SCORE"))))</f>
        <v>WIN_BY_SCORE</v>
      </c>
      <c r="BI431" s="99" t="str">
        <f>IF(OR(BG431=DATA_CLEANED!AK422,BG431=DATA_CLEANED!AN422,BG431="MATCH NUL"),"OK","ERREUR")</f>
        <v>OK</v>
      </c>
    </row>
    <row r="432" spans="2:61">
      <c r="B432" s="74">
        <v>2026</v>
      </c>
      <c r="C432" s="30" t="str">
        <v>Round of 16</v>
      </c>
      <c r="D432" s="30" t="str">
        <v>Switzerland</v>
      </c>
      <c r="E432" s="30" t="str">
        <v>Colombia</v>
      </c>
      <c r="F432" s="30" t="str">
        <v>Switzerland</v>
      </c>
      <c r="G432" s="30" t="str">
        <v>Breel Embolo</v>
      </c>
      <c r="H432" s="30" t="str">
        <v>Camilo Vargas</v>
      </c>
      <c r="I432" s="30">
        <v>7</v>
      </c>
      <c r="J432" s="30">
        <v>4</v>
      </c>
      <c r="K432" s="30" t="str">
        <v>3-2</v>
      </c>
      <c r="L432" s="30" t="str">
        <v>No</v>
      </c>
      <c r="M432" s="30" t="str">
        <v>No</v>
      </c>
      <c r="N432" s="30" t="str">
        <v>Miss</v>
      </c>
      <c r="O432" s="30" t="str">
        <f t="shared" si="42"/>
        <v>2026|Round of 16|Switzerland|Colombia|Switzerland|Breel Embolo|Camilo Vargas|7|4|3-2|No|No|Miss</v>
      </c>
      <c r="P432" s="96" t="str">
        <f>IF(COUNTIF($G$32:O432,O432)&gt;1,"DOUBLON","OK")</f>
        <v>OK</v>
      </c>
      <c r="S432" s="30" t="str">
        <v>Spain</v>
      </c>
      <c r="T432" s="30" t="str">
        <f t="shared" si="39"/>
        <v>OK</v>
      </c>
      <c r="U432" s="30" t="str">
        <f t="shared" si="40"/>
        <v>-</v>
      </c>
      <c r="V432" s="30" t="str" cm="1">
        <f t="array" ref="V432">_xlfn.IFS(
ISNUMBER(SEARCH("USA",S432)),"United States",
ISNUMBER(SEARCH("Republic of Korea",S432)),"South Korea",
ISNUMBER(SEARCH("Cape Verde",S432)),"Cabo Verde",
ISNUMBER(SEARCH("Czechia",S432)),"Czech Republic",
ISNUMBER(SEARCH("Türkiye",S432)),"Turkey",
ISNUMBER(SEARCH("Ivory Coast",S432)),"Côte d'Ivoire",
ISNUMBER(SEARCH("Korea Republic",S432)),"South Korea",
ISNUMBER(SEARCH("Germany FR",S432)),"FR Germany",
ISNUMBER(SEARCH("West Germany",S432)),"FR Germany",
ISNUMBER(SEARCH("Germany DR",S432)),"DR Germany",
ISNUMBER(SEARCH("Korea DPR",S432)),"North Korea",
ISNUMBER(SEARCH("China PR",S432)),"China",
ISNUMBER(SEARCH("IR Iran",S432)),"Iran",
ISNUMBER(SEARCH("Congo DR",S432)),"Democratic Republic of the Congo",
ISNUMBER(SEARCH("DR Congo",S432)),"Democratic Republic of the Congo",
ISNUMBER(SEARCH("German DR",S432)),"DR Germany",
ISNUMBER(SEARCH("rn""&gt;United Arab Emirates",S432)),"United Arab Emirates",
ISNUMBER(SEARCH("rn""&gt;Republic of Ireland",S432)),"Ireland",
ISNUMBER(SEARCH("rn""&gt;Bosnia and Herzegovina",S432)),"Bosnia and Herzegovina",
ISNUMBER(SEARCH("rn""&gt;Trinidad and Tobago",S432)),"Trinidad and Tobago",
ISNUMBER(SEARCH("rn""&gt;Serbia and Montenegro",S432)),"Serbia and Montenegro",
ISNUMBER(SEARCH(_xlfn.UNICHAR(65533),S432)),"Côte d'Ivoire",
TRUE,""
)</f>
        <v/>
      </c>
      <c r="W432" s="30" t="str">
        <f t="shared" si="41"/>
        <v>Spain</v>
      </c>
      <c r="Z432" s="40" t="str">
        <v>Jalisco</v>
      </c>
      <c r="AA432" s="40" t="str" cm="1">
        <f t="array" ref="AA432">IFERROR(_xlfn.XLOOKUP(Z432,_xlfn.ANCHORARRAY(Z$31),AA$31:AA$37),Z432)</f>
        <v>Jalisco</v>
      </c>
      <c r="AB432" s="42" t="str">
        <v xml:space="preserve">Guadalajara </v>
      </c>
      <c r="AC432" s="89" t="str">
        <f t="shared" si="43"/>
        <v xml:space="preserve">Guadalajara </v>
      </c>
      <c r="AE432" s="42">
        <v>1982</v>
      </c>
      <c r="AK432" s="42">
        <v>0</v>
      </c>
      <c r="AL432" s="42">
        <v>1</v>
      </c>
      <c r="AW432" s="89" t="str">
        <v>GROUP_STAGE</v>
      </c>
      <c r="BE432" s="43" t="str">
        <f>IF(OR(DATA_CLEANED!AL423="",DATA_CLEANED!AM423=""),"MANQUANT",IF(OR(NOT(ISNUMBER(DATA_CLEANED!AL423)),NOT(ISNUMBER(DATA_CLEANED!AM423))),"ENTREE INVALIDE",IF(OR(DATA_CLEANED!AL423&lt;0,DATA_CLEANED!AM423&lt;0),"SCORE NEGATIF","OK")))</f>
        <v>OK</v>
      </c>
      <c r="BF432" s="43" t="str">
        <f>IF(DATA_CLEANED!AK423&lt;&gt;DATA_CLEANED!AN423,"OK","ERREUR")</f>
        <v>OK</v>
      </c>
      <c r="BG432" s="43" t="str">
        <f>IF(DATA_CLEANED!AL423&gt;DATA_CLEANED!AM423,DATA_CLEANED!AK423,IF(AND(DATA_QUALITE!W4909="-",DATA_CLEANED!AM423=DATA_CLEANED!AL423),"MATCH NUL",IF(AND(DATA_QUALITE!V4909="-",DATA_QUALITE!U4909="AUCUNE"),DATA_QUALITE!T4909,IF(DATA_QUALITE!V4909&lt;&gt;"-",DATA_QUALITE!V4909,DATA_CLEANED!AN423))))</f>
        <v>MATCH NUL</v>
      </c>
      <c r="BH432" s="103" t="str">
        <f>IF(AND(BG432="MATCH NUL",DATA_CLEANED!AO423="-"),"MATCH_NUL",IF(ISNUMBER(SEARCH("win on penalties",W4909)),"WIN_BY_PENALTY",IF(ISNUMBER(SEARCH("win after extra time",W4909)),"WIN_BY_EXTRA_TIME",IF(ISNUMBER(SEARCH("Golden Goal",W4909)),"WIN_BY_GOLDEN_GOAL","WIN_BY_SCORE"))))</f>
        <v>MATCH_NUL</v>
      </c>
      <c r="BI432" s="99" t="str">
        <f>IF(OR(BG432=DATA_CLEANED!AK423,BG432=DATA_CLEANED!AN423,BG432="MATCH NUL"),"OK","ERREUR")</f>
        <v>OK</v>
      </c>
    </row>
    <row r="433" spans="2:61">
      <c r="B433" s="74">
        <v>2026</v>
      </c>
      <c r="C433" s="30" t="str">
        <v>Round of 16</v>
      </c>
      <c r="D433" s="30" t="str">
        <v>Switzerland</v>
      </c>
      <c r="E433" s="30" t="str">
        <v>Colombia</v>
      </c>
      <c r="F433" s="30" t="str">
        <v>Colombia</v>
      </c>
      <c r="G433" s="30" t="str">
        <v>Daniel Muñoz</v>
      </c>
      <c r="H433" s="30" t="str">
        <v>Yann Sommer</v>
      </c>
      <c r="I433" s="30">
        <v>8</v>
      </c>
      <c r="J433" s="30">
        <v>4</v>
      </c>
      <c r="K433" s="30" t="str">
        <v>3-2</v>
      </c>
      <c r="L433" s="30" t="str">
        <v>No</v>
      </c>
      <c r="M433" s="30" t="str">
        <v>No</v>
      </c>
      <c r="N433" s="30" t="str">
        <v>Goal</v>
      </c>
      <c r="O433" s="30" t="str">
        <f t="shared" si="42"/>
        <v>2026|Round of 16|Switzerland|Colombia|Colombia|Daniel Muñoz|Yann Sommer|8|4|3-2|No|No|Goal</v>
      </c>
      <c r="P433" s="96" t="str">
        <f>IF(COUNTIF($G$32:O433,O433)&gt;1,"DOUBLON","OK")</f>
        <v>OK</v>
      </c>
      <c r="S433" s="30" t="str">
        <v>Spain</v>
      </c>
      <c r="T433" s="30" t="str">
        <f t="shared" si="39"/>
        <v>OK</v>
      </c>
      <c r="U433" s="30" t="str">
        <f t="shared" si="40"/>
        <v>-</v>
      </c>
      <c r="V433" s="30" t="str" cm="1">
        <f t="array" ref="V433">_xlfn.IFS(
ISNUMBER(SEARCH("USA",S433)),"United States",
ISNUMBER(SEARCH("Republic of Korea",S433)),"South Korea",
ISNUMBER(SEARCH("Cape Verde",S433)),"Cabo Verde",
ISNUMBER(SEARCH("Czechia",S433)),"Czech Republic",
ISNUMBER(SEARCH("Türkiye",S433)),"Turkey",
ISNUMBER(SEARCH("Ivory Coast",S433)),"Côte d'Ivoire",
ISNUMBER(SEARCH("Korea Republic",S433)),"South Korea",
ISNUMBER(SEARCH("Germany FR",S433)),"FR Germany",
ISNUMBER(SEARCH("West Germany",S433)),"FR Germany",
ISNUMBER(SEARCH("Germany DR",S433)),"DR Germany",
ISNUMBER(SEARCH("Korea DPR",S433)),"North Korea",
ISNUMBER(SEARCH("China PR",S433)),"China",
ISNUMBER(SEARCH("IR Iran",S433)),"Iran",
ISNUMBER(SEARCH("Congo DR",S433)),"Democratic Republic of the Congo",
ISNUMBER(SEARCH("DR Congo",S433)),"Democratic Republic of the Congo",
ISNUMBER(SEARCH("German DR",S433)),"DR Germany",
ISNUMBER(SEARCH("rn""&gt;United Arab Emirates",S433)),"United Arab Emirates",
ISNUMBER(SEARCH("rn""&gt;Republic of Ireland",S433)),"Ireland",
ISNUMBER(SEARCH("rn""&gt;Bosnia and Herzegovina",S433)),"Bosnia and Herzegovina",
ISNUMBER(SEARCH("rn""&gt;Trinidad and Tobago",S433)),"Trinidad and Tobago",
ISNUMBER(SEARCH("rn""&gt;Serbia and Montenegro",S433)),"Serbia and Montenegro",
ISNUMBER(SEARCH(_xlfn.UNICHAR(65533),S433)),"Côte d'Ivoire",
TRUE,""
)</f>
        <v/>
      </c>
      <c r="W433" s="30" t="str">
        <f t="shared" si="41"/>
        <v>Spain</v>
      </c>
      <c r="Z433" s="40" t="str">
        <v>Tecnologico</v>
      </c>
      <c r="AA433" s="40" t="str" cm="1">
        <f t="array" ref="AA433">IFERROR(_xlfn.XLOOKUP(Z433,_xlfn.ANCHORARRAY(Z$31),AA$31:AA$37),Z433)</f>
        <v>Tecnologico</v>
      </c>
      <c r="AB433" s="42" t="str">
        <v xml:space="preserve">Monterrey </v>
      </c>
      <c r="AC433" s="89" t="str">
        <f t="shared" si="43"/>
        <v xml:space="preserve">Monterrey </v>
      </c>
      <c r="AE433" s="42">
        <v>1982</v>
      </c>
      <c r="AK433" s="42">
        <v>1</v>
      </c>
      <c r="AL433" s="42">
        <v>3</v>
      </c>
      <c r="AW433" s="89" t="str">
        <v>GROUP_STAGE</v>
      </c>
      <c r="BE433" s="43" t="str">
        <f>IF(OR(DATA_CLEANED!AL424="",DATA_CLEANED!AM424=""),"MANQUANT",IF(OR(NOT(ISNUMBER(DATA_CLEANED!AL424)),NOT(ISNUMBER(DATA_CLEANED!AM424))),"ENTREE INVALIDE",IF(OR(DATA_CLEANED!AL424&lt;0,DATA_CLEANED!AM424&lt;0),"SCORE NEGATIF","OK")))</f>
        <v>OK</v>
      </c>
      <c r="BF433" s="43" t="str">
        <f>IF(DATA_CLEANED!AK424&lt;&gt;DATA_CLEANED!AN424,"OK","ERREUR")</f>
        <v>OK</v>
      </c>
      <c r="BG433" s="43" t="str">
        <f>IF(DATA_CLEANED!AL424&gt;DATA_CLEANED!AM424,DATA_CLEANED!AK424,IF(AND(DATA_QUALITE!W4910="-",DATA_CLEANED!AM424=DATA_CLEANED!AL424),"MATCH NUL",IF(AND(DATA_QUALITE!V4910="-",DATA_QUALITE!U4910="AUCUNE"),DATA_QUALITE!T4910,IF(DATA_QUALITE!V4910&lt;&gt;"-",DATA_QUALITE!V4910,DATA_CLEANED!AN424))))</f>
        <v>Belgium</v>
      </c>
      <c r="BH433" s="103" t="str">
        <f>IF(AND(BG433="MATCH NUL",DATA_CLEANED!AO424="-"),"MATCH_NUL",IF(ISNUMBER(SEARCH("win on penalties",W4910)),"WIN_BY_PENALTY",IF(ISNUMBER(SEARCH("win after extra time",W4910)),"WIN_BY_EXTRA_TIME",IF(ISNUMBER(SEARCH("Golden Goal",W4910)),"WIN_BY_GOLDEN_GOAL","WIN_BY_SCORE"))))</f>
        <v>WIN_BY_SCORE</v>
      </c>
      <c r="BI433" s="99" t="str">
        <f>IF(OR(BG433=DATA_CLEANED!AK424,BG433=DATA_CLEANED!AN424,BG433="MATCH NUL"),"OK","ERREUR")</f>
        <v>OK</v>
      </c>
    </row>
    <row r="434" spans="2:61">
      <c r="B434" s="74">
        <v>2026</v>
      </c>
      <c r="C434" s="30" t="str">
        <v>Round of 16</v>
      </c>
      <c r="D434" s="30" t="str">
        <v>Switzerland</v>
      </c>
      <c r="E434" s="30" t="str">
        <v>Colombia</v>
      </c>
      <c r="F434" s="30" t="str">
        <v>Switzerland</v>
      </c>
      <c r="G434" s="30" t="str">
        <v>Zeki Amdouni</v>
      </c>
      <c r="H434" s="30" t="str">
        <v>Camilo Vargas</v>
      </c>
      <c r="I434" s="30">
        <v>9</v>
      </c>
      <c r="J434" s="30">
        <v>5</v>
      </c>
      <c r="K434" s="30" t="str">
        <v>3-3</v>
      </c>
      <c r="L434" s="30" t="str">
        <v>No</v>
      </c>
      <c r="M434" s="30" t="str">
        <v>Yes</v>
      </c>
      <c r="N434" s="30" t="str">
        <v>Goal</v>
      </c>
      <c r="O434" s="30" t="str">
        <f t="shared" si="42"/>
        <v>2026|Round of 16|Switzerland|Colombia|Switzerland|Zeki Amdouni|Camilo Vargas|9|5|3-3|No|Yes|Goal</v>
      </c>
      <c r="P434" s="96" t="str">
        <f>IF(COUNTIF($G$32:O434,O434)&gt;1,"DOUBLON","OK")</f>
        <v>OK</v>
      </c>
      <c r="S434" s="30" t="str">
        <v>Spain</v>
      </c>
      <c r="T434" s="30" t="str">
        <f t="shared" si="39"/>
        <v>OK</v>
      </c>
      <c r="U434" s="30" t="str">
        <f t="shared" si="40"/>
        <v>-</v>
      </c>
      <c r="V434" s="30" t="str" cm="1">
        <f t="array" ref="V434">_xlfn.IFS(
ISNUMBER(SEARCH("USA",S434)),"United States",
ISNUMBER(SEARCH("Republic of Korea",S434)),"South Korea",
ISNUMBER(SEARCH("Cape Verde",S434)),"Cabo Verde",
ISNUMBER(SEARCH("Czechia",S434)),"Czech Republic",
ISNUMBER(SEARCH("Türkiye",S434)),"Turkey",
ISNUMBER(SEARCH("Ivory Coast",S434)),"Côte d'Ivoire",
ISNUMBER(SEARCH("Korea Republic",S434)),"South Korea",
ISNUMBER(SEARCH("Germany FR",S434)),"FR Germany",
ISNUMBER(SEARCH("West Germany",S434)),"FR Germany",
ISNUMBER(SEARCH("Germany DR",S434)),"DR Germany",
ISNUMBER(SEARCH("Korea DPR",S434)),"North Korea",
ISNUMBER(SEARCH("China PR",S434)),"China",
ISNUMBER(SEARCH("IR Iran",S434)),"Iran",
ISNUMBER(SEARCH("Congo DR",S434)),"Democratic Republic of the Congo",
ISNUMBER(SEARCH("DR Congo",S434)),"Democratic Republic of the Congo",
ISNUMBER(SEARCH("German DR",S434)),"DR Germany",
ISNUMBER(SEARCH("rn""&gt;United Arab Emirates",S434)),"United Arab Emirates",
ISNUMBER(SEARCH("rn""&gt;Republic of Ireland",S434)),"Ireland",
ISNUMBER(SEARCH("rn""&gt;Bosnia and Herzegovina",S434)),"Bosnia and Herzegovina",
ISNUMBER(SEARCH("rn""&gt;Trinidad and Tobago",S434)),"Trinidad and Tobago",
ISNUMBER(SEARCH("rn""&gt;Serbia and Montenegro",S434)),"Serbia and Montenegro",
ISNUMBER(SEARCH(_xlfn.UNICHAR(65533),S434)),"Côte d'Ivoire",
TRUE,""
)</f>
        <v/>
      </c>
      <c r="W434" s="30" t="str">
        <f t="shared" si="41"/>
        <v>Spain</v>
      </c>
      <c r="Z434" s="40" t="str">
        <v>Neza</v>
      </c>
      <c r="AA434" s="40" t="str" cm="1">
        <f t="array" ref="AA434">IFERROR(_xlfn.XLOOKUP(Z434,_xlfn.ANCHORARRAY(Z$31),AA$31:AA$37),Z434)</f>
        <v>Neza</v>
      </c>
      <c r="AB434" s="42" t="str">
        <v xml:space="preserve">Nezahualcoyotl </v>
      </c>
      <c r="AC434" s="89" t="str">
        <f t="shared" si="43"/>
        <v xml:space="preserve">Nezahualcoyotl </v>
      </c>
      <c r="AE434" s="42">
        <v>1982</v>
      </c>
      <c r="AK434" s="42">
        <v>2</v>
      </c>
      <c r="AL434" s="42">
        <v>1</v>
      </c>
      <c r="AW434" s="89" t="str">
        <v>GROUP_STAGE</v>
      </c>
      <c r="BE434" s="43" t="str">
        <f>IF(OR(DATA_CLEANED!AL425="",DATA_CLEANED!AM425=""),"MANQUANT",IF(OR(NOT(ISNUMBER(DATA_CLEANED!AL425)),NOT(ISNUMBER(DATA_CLEANED!AM425))),"ENTREE INVALIDE",IF(OR(DATA_CLEANED!AL425&lt;0,DATA_CLEANED!AM425&lt;0),"SCORE NEGATIF","OK")))</f>
        <v>OK</v>
      </c>
      <c r="BF434" s="43" t="str">
        <f>IF(DATA_CLEANED!AK425&lt;&gt;DATA_CLEANED!AN425,"OK","ERREUR")</f>
        <v>OK</v>
      </c>
      <c r="BG434" s="43" t="str">
        <f>IF(DATA_CLEANED!AL425&gt;DATA_CLEANED!AM425,DATA_CLEANED!AK425,IF(AND(DATA_QUALITE!W4911="-",DATA_CLEANED!AM425=DATA_CLEANED!AL425),"MATCH NUL",IF(AND(DATA_QUALITE!V4911="-",DATA_QUALITE!U4911="AUCUNE"),DATA_QUALITE!T4911,IF(DATA_QUALITE!V4911&lt;&gt;"-",DATA_QUALITE!V4911,DATA_CLEANED!AN425))))</f>
        <v>MATCH NUL</v>
      </c>
      <c r="BH434" s="103" t="str">
        <f>IF(AND(BG434="MATCH NUL",DATA_CLEANED!AO425="-"),"MATCH_NUL",IF(ISNUMBER(SEARCH("win on penalties",W4911)),"WIN_BY_PENALTY",IF(ISNUMBER(SEARCH("win after extra time",W4911)),"WIN_BY_EXTRA_TIME",IF(ISNUMBER(SEARCH("Golden Goal",W4911)),"WIN_BY_GOLDEN_GOAL","WIN_BY_SCORE"))))</f>
        <v>MATCH_NUL</v>
      </c>
      <c r="BI434" s="99" t="str">
        <f>IF(OR(BG434=DATA_CLEANED!AK425,BG434=DATA_CLEANED!AN425,BG434="MATCH NUL"),"OK","ERREUR")</f>
        <v>OK</v>
      </c>
    </row>
    <row r="435" spans="2:61">
      <c r="S435" s="30" t="str">
        <v>Spain</v>
      </c>
      <c r="T435" s="30" t="str">
        <f t="shared" si="39"/>
        <v>OK</v>
      </c>
      <c r="U435" s="30" t="str">
        <f t="shared" si="40"/>
        <v>-</v>
      </c>
      <c r="V435" s="30" t="str" cm="1">
        <f t="array" ref="V435">_xlfn.IFS(
ISNUMBER(SEARCH("USA",S435)),"United States",
ISNUMBER(SEARCH("Republic of Korea",S435)),"South Korea",
ISNUMBER(SEARCH("Cape Verde",S435)),"Cabo Verde",
ISNUMBER(SEARCH("Czechia",S435)),"Czech Republic",
ISNUMBER(SEARCH("Türkiye",S435)),"Turkey",
ISNUMBER(SEARCH("Ivory Coast",S435)),"Côte d'Ivoire",
ISNUMBER(SEARCH("Korea Republic",S435)),"South Korea",
ISNUMBER(SEARCH("Germany FR",S435)),"FR Germany",
ISNUMBER(SEARCH("West Germany",S435)),"FR Germany",
ISNUMBER(SEARCH("Germany DR",S435)),"DR Germany",
ISNUMBER(SEARCH("Korea DPR",S435)),"North Korea",
ISNUMBER(SEARCH("China PR",S435)),"China",
ISNUMBER(SEARCH("IR Iran",S435)),"Iran",
ISNUMBER(SEARCH("Congo DR",S435)),"Democratic Republic of the Congo",
ISNUMBER(SEARCH("DR Congo",S435)),"Democratic Republic of the Congo",
ISNUMBER(SEARCH("German DR",S435)),"DR Germany",
ISNUMBER(SEARCH("rn""&gt;United Arab Emirates",S435)),"United Arab Emirates",
ISNUMBER(SEARCH("rn""&gt;Republic of Ireland",S435)),"Ireland",
ISNUMBER(SEARCH("rn""&gt;Bosnia and Herzegovina",S435)),"Bosnia and Herzegovina",
ISNUMBER(SEARCH("rn""&gt;Trinidad and Tobago",S435)),"Trinidad and Tobago",
ISNUMBER(SEARCH("rn""&gt;Serbia and Montenegro",S435)),"Serbia and Montenegro",
ISNUMBER(SEARCH(_xlfn.UNICHAR(65533),S435)),"Côte d'Ivoire",
TRUE,""
)</f>
        <v/>
      </c>
      <c r="W435" s="30" t="str">
        <f t="shared" si="41"/>
        <v>Spain</v>
      </c>
      <c r="Z435" s="40" t="str">
        <v>Estadio Corregidora</v>
      </c>
      <c r="AA435" s="40" t="str" cm="1">
        <f t="array" ref="AA435">IFERROR(_xlfn.XLOOKUP(Z435,_xlfn.ANCHORARRAY(Z$31),AA$31:AA$37),Z435)</f>
        <v>Estadio Corregidora</v>
      </c>
      <c r="AB435" s="42" t="str">
        <v xml:space="preserve">Queretaro </v>
      </c>
      <c r="AC435" s="89" t="str">
        <f t="shared" si="43"/>
        <v xml:space="preserve">Queretaro </v>
      </c>
      <c r="AE435" s="42">
        <v>1982</v>
      </c>
      <c r="AK435" s="42">
        <v>4</v>
      </c>
      <c r="AL435" s="42">
        <v>1</v>
      </c>
      <c r="AW435" s="89" t="str">
        <v>GROUP_STAGE</v>
      </c>
      <c r="BE435" s="43" t="str">
        <f>IF(OR(DATA_CLEANED!AL426="",DATA_CLEANED!AM426=""),"MANQUANT",IF(OR(NOT(ISNUMBER(DATA_CLEANED!AL426)),NOT(ISNUMBER(DATA_CLEANED!AM426))),"ENTREE INVALIDE",IF(OR(DATA_CLEANED!AL426&lt;0,DATA_CLEANED!AM426&lt;0),"SCORE NEGATIF","OK")))</f>
        <v>OK</v>
      </c>
      <c r="BF435" s="43" t="str">
        <f>IF(DATA_CLEANED!AK426&lt;&gt;DATA_CLEANED!AN426,"OK","ERREUR")</f>
        <v>OK</v>
      </c>
      <c r="BG435" s="43" t="str">
        <f>IF(DATA_CLEANED!AL426&gt;DATA_CLEANED!AM426,DATA_CLEANED!AK426,IF(AND(DATA_QUALITE!W4912="-",DATA_CLEANED!AM426=DATA_CLEANED!AL426),"MATCH NUL",IF(AND(DATA_QUALITE!V4912="-",DATA_QUALITE!U4912="AUCUNE"),DATA_QUALITE!T4912,IF(DATA_QUALITE!V4912&lt;&gt;"-",DATA_QUALITE!V4912,DATA_CLEANED!AN426))))</f>
        <v>MATCH NUL</v>
      </c>
      <c r="BH435" s="103" t="str">
        <f>IF(AND(BG435="MATCH NUL",DATA_CLEANED!AO426="-"),"MATCH_NUL",IF(ISNUMBER(SEARCH("win on penalties",W4912)),"WIN_BY_PENALTY",IF(ISNUMBER(SEARCH("win after extra time",W4912)),"WIN_BY_EXTRA_TIME",IF(ISNUMBER(SEARCH("Golden Goal",W4912)),"WIN_BY_GOLDEN_GOAL","WIN_BY_SCORE"))))</f>
        <v>MATCH_NUL</v>
      </c>
      <c r="BI435" s="99" t="str">
        <f>IF(OR(BG435=DATA_CLEANED!AK426,BG435=DATA_CLEANED!AN426,BG435="MATCH NUL"),"OK","ERREUR")</f>
        <v>OK</v>
      </c>
    </row>
    <row r="436" spans="2:61" ht="21">
      <c r="B436" s="243" t="s">
        <v>570</v>
      </c>
      <c r="C436" s="243"/>
      <c r="D436" s="243"/>
      <c r="E436" s="243"/>
      <c r="F436" s="243"/>
      <c r="G436" s="243"/>
      <c r="H436" s="243"/>
      <c r="S436" s="30" t="str">
        <v>France</v>
      </c>
      <c r="T436" s="30" t="str">
        <f t="shared" si="39"/>
        <v>OK</v>
      </c>
      <c r="U436" s="30" t="str">
        <f t="shared" si="40"/>
        <v>-</v>
      </c>
      <c r="V436" s="30" t="str" cm="1">
        <f t="array" ref="V436">_xlfn.IFS(
ISNUMBER(SEARCH("USA",S436)),"United States",
ISNUMBER(SEARCH("Republic of Korea",S436)),"South Korea",
ISNUMBER(SEARCH("Cape Verde",S436)),"Cabo Verde",
ISNUMBER(SEARCH("Czechia",S436)),"Czech Republic",
ISNUMBER(SEARCH("Türkiye",S436)),"Turkey",
ISNUMBER(SEARCH("Ivory Coast",S436)),"Côte d'Ivoire",
ISNUMBER(SEARCH("Korea Republic",S436)),"South Korea",
ISNUMBER(SEARCH("Germany FR",S436)),"FR Germany",
ISNUMBER(SEARCH("West Germany",S436)),"FR Germany",
ISNUMBER(SEARCH("Germany DR",S436)),"DR Germany",
ISNUMBER(SEARCH("Korea DPR",S436)),"North Korea",
ISNUMBER(SEARCH("China PR",S436)),"China",
ISNUMBER(SEARCH("IR Iran",S436)),"Iran",
ISNUMBER(SEARCH("Congo DR",S436)),"Democratic Republic of the Congo",
ISNUMBER(SEARCH("DR Congo",S436)),"Democratic Republic of the Congo",
ISNUMBER(SEARCH("German DR",S436)),"DR Germany",
ISNUMBER(SEARCH("rn""&gt;United Arab Emirates",S436)),"United Arab Emirates",
ISNUMBER(SEARCH("rn""&gt;Republic of Ireland",S436)),"Ireland",
ISNUMBER(SEARCH("rn""&gt;Bosnia and Herzegovina",S436)),"Bosnia and Herzegovina",
ISNUMBER(SEARCH("rn""&gt;Trinidad and Tobago",S436)),"Trinidad and Tobago",
ISNUMBER(SEARCH("rn""&gt;Serbia and Montenegro",S436)),"Serbia and Montenegro",
ISNUMBER(SEARCH(_xlfn.UNICHAR(65533),S436)),"Côte d'Ivoire",
TRUE,""
)</f>
        <v/>
      </c>
      <c r="W436" s="30" t="str">
        <f t="shared" si="41"/>
        <v>France</v>
      </c>
      <c r="Z436" s="40" t="str">
        <v>Nou Camp - Estadio Le�n</v>
      </c>
      <c r="AA436" s="40" t="str" cm="1">
        <f t="array" ref="AA436">IFERROR(_xlfn.XLOOKUP(Z436,_xlfn.ANCHORARRAY(Z$31),AA$31:AA$37),Z436)</f>
        <v>Nou Camp - Estadio León</v>
      </c>
      <c r="AB436" s="42" t="str">
        <v xml:space="preserve">Leon </v>
      </c>
      <c r="AC436" s="89" t="str">
        <f t="shared" si="43"/>
        <v xml:space="preserve">Leon </v>
      </c>
      <c r="AE436" s="42">
        <v>1982</v>
      </c>
      <c r="AK436" s="42">
        <v>0</v>
      </c>
      <c r="AL436" s="42">
        <v>0</v>
      </c>
      <c r="AW436" s="89" t="str">
        <v>GROUP_STAGE</v>
      </c>
      <c r="BE436" s="43" t="str">
        <f>IF(OR(DATA_CLEANED!AL427="",DATA_CLEANED!AM427=""),"MANQUANT",IF(OR(NOT(ISNUMBER(DATA_CLEANED!AL427)),NOT(ISNUMBER(DATA_CLEANED!AM427))),"ENTREE INVALIDE",IF(OR(DATA_CLEANED!AL427&lt;0,DATA_CLEANED!AM427&lt;0),"SCORE NEGATIF","OK")))</f>
        <v>OK</v>
      </c>
      <c r="BF436" s="43" t="str">
        <f>IF(DATA_CLEANED!AK427&lt;&gt;DATA_CLEANED!AN427,"OK","ERREUR")</f>
        <v>OK</v>
      </c>
      <c r="BG436" s="43" t="str">
        <f>IF(DATA_CLEANED!AL427&gt;DATA_CLEANED!AM427,DATA_CLEANED!AK427,IF(AND(DATA_QUALITE!W4913="-",DATA_CLEANED!AM427=DATA_CLEANED!AL427),"MATCH NUL",IF(AND(DATA_QUALITE!V4913="-",DATA_QUALITE!U4913="AUCUNE"),DATA_QUALITE!T4913,IF(DATA_QUALITE!V4913&lt;&gt;"-",DATA_QUALITE!V4913,DATA_CLEANED!AN427))))</f>
        <v>Argentina</v>
      </c>
      <c r="BH436" s="103" t="str">
        <f>IF(AND(BG436="MATCH NUL",DATA_CLEANED!AO427="-"),"MATCH_NUL",IF(ISNUMBER(SEARCH("win on penalties",W4913)),"WIN_BY_PENALTY",IF(ISNUMBER(SEARCH("win after extra time",W4913)),"WIN_BY_EXTRA_TIME",IF(ISNUMBER(SEARCH("Golden Goal",W4913)),"WIN_BY_GOLDEN_GOAL","WIN_BY_SCORE"))))</f>
        <v>WIN_BY_SCORE</v>
      </c>
      <c r="BI436" s="99" t="str">
        <f>IF(OR(BG436=DATA_CLEANED!AK427,BG436=DATA_CLEANED!AN427,BG436="MATCH NUL"),"OK","ERREUR")</f>
        <v>OK</v>
      </c>
    </row>
    <row r="437" spans="2:61">
      <c r="B437" s="75" t="str" cm="1">
        <f t="array" ref="B437:H1685">DATA_BRUT!U2:AA1250</f>
        <v>index</v>
      </c>
      <c r="C437" s="15" t="str">
        <v>name</v>
      </c>
      <c r="D437" s="15" t="str">
        <v>age</v>
      </c>
      <c r="E437" s="15" t="str">
        <v>country</v>
      </c>
      <c r="F437" s="15" t="str">
        <v>position</v>
      </c>
      <c r="G437" s="15" t="str">
        <v>club</v>
      </c>
      <c r="H437" s="15" t="str">
        <v>jersey_number</v>
      </c>
      <c r="I437" s="15" t="s">
        <v>3793</v>
      </c>
      <c r="J437" s="15" t="s">
        <v>3794</v>
      </c>
      <c r="S437" s="30" t="str">
        <v>France</v>
      </c>
      <c r="T437" s="30" t="str">
        <f t="shared" si="39"/>
        <v>OK</v>
      </c>
      <c r="U437" s="30" t="str">
        <f t="shared" si="40"/>
        <v>-</v>
      </c>
      <c r="V437" s="30" t="str" cm="1">
        <f t="array" ref="V437">_xlfn.IFS(
ISNUMBER(SEARCH("USA",S437)),"United States",
ISNUMBER(SEARCH("Republic of Korea",S437)),"South Korea",
ISNUMBER(SEARCH("Cape Verde",S437)),"Cabo Verde",
ISNUMBER(SEARCH("Czechia",S437)),"Czech Republic",
ISNUMBER(SEARCH("Türkiye",S437)),"Turkey",
ISNUMBER(SEARCH("Ivory Coast",S437)),"Côte d'Ivoire",
ISNUMBER(SEARCH("Korea Republic",S437)),"South Korea",
ISNUMBER(SEARCH("Germany FR",S437)),"FR Germany",
ISNUMBER(SEARCH("West Germany",S437)),"FR Germany",
ISNUMBER(SEARCH("Germany DR",S437)),"DR Germany",
ISNUMBER(SEARCH("Korea DPR",S437)),"North Korea",
ISNUMBER(SEARCH("China PR",S437)),"China",
ISNUMBER(SEARCH("IR Iran",S437)),"Iran",
ISNUMBER(SEARCH("Congo DR",S437)),"Democratic Republic of the Congo",
ISNUMBER(SEARCH("DR Congo",S437)),"Democratic Republic of the Congo",
ISNUMBER(SEARCH("German DR",S437)),"DR Germany",
ISNUMBER(SEARCH("rn""&gt;United Arab Emirates",S437)),"United Arab Emirates",
ISNUMBER(SEARCH("rn""&gt;Republic of Ireland",S437)),"Ireland",
ISNUMBER(SEARCH("rn""&gt;Bosnia and Herzegovina",S437)),"Bosnia and Herzegovina",
ISNUMBER(SEARCH("rn""&gt;Trinidad and Tobago",S437)),"Trinidad and Tobago",
ISNUMBER(SEARCH("rn""&gt;Serbia and Montenegro",S437)),"Serbia and Montenegro",
ISNUMBER(SEARCH(_xlfn.UNICHAR(65533),S437)),"Côte d'Ivoire",
TRUE,""
)</f>
        <v/>
      </c>
      <c r="W437" s="30" t="str">
        <f t="shared" si="41"/>
        <v>France</v>
      </c>
      <c r="Z437" s="40" t="str">
        <v>Estadio Azteca</v>
      </c>
      <c r="AA437" s="40" t="str" cm="1">
        <f t="array" ref="AA437">IFERROR(_xlfn.XLOOKUP(Z437,_xlfn.ANCHORARRAY(Z$31),AA$31:AA$37),Z437)</f>
        <v>Estadio Azteca</v>
      </c>
      <c r="AB437" s="42" t="str">
        <v xml:space="preserve">Mexico City </v>
      </c>
      <c r="AC437" s="89" t="str">
        <f t="shared" si="43"/>
        <v xml:space="preserve">Mexico City </v>
      </c>
      <c r="AE437" s="42">
        <v>1982</v>
      </c>
      <c r="AK437" s="42">
        <v>3</v>
      </c>
      <c r="AL437" s="42">
        <v>2</v>
      </c>
      <c r="AW437" s="89" t="str">
        <v>GROUP_STAGE</v>
      </c>
      <c r="BE437" s="43" t="str">
        <f>IF(OR(DATA_CLEANED!AL428="",DATA_CLEANED!AM428=""),"MANQUANT",IF(OR(NOT(ISNUMBER(DATA_CLEANED!AL428)),NOT(ISNUMBER(DATA_CLEANED!AM428))),"ENTREE INVALIDE",IF(OR(DATA_CLEANED!AL428&lt;0,DATA_CLEANED!AM428&lt;0),"SCORE NEGATIF","OK")))</f>
        <v>OK</v>
      </c>
      <c r="BF437" s="43" t="str">
        <f>IF(DATA_CLEANED!AK428&lt;&gt;DATA_CLEANED!AN428,"OK","ERREUR")</f>
        <v>OK</v>
      </c>
      <c r="BG437" s="43" t="str">
        <f>IF(DATA_CLEANED!AL428&gt;DATA_CLEANED!AM428,DATA_CLEANED!AK428,IF(AND(DATA_QUALITE!W4914="-",DATA_CLEANED!AM428=DATA_CLEANED!AL428),"MATCH NUL",IF(AND(DATA_QUALITE!V4914="-",DATA_QUALITE!U4914="AUCUNE"),DATA_QUALITE!T4914,IF(DATA_QUALITE!V4914&lt;&gt;"-",DATA_QUALITE!V4914,DATA_CLEANED!AN428))))</f>
        <v>Cameroon</v>
      </c>
      <c r="BH437" s="103" t="str">
        <f>IF(AND(BG437="MATCH NUL",DATA_CLEANED!AO428="-"),"MATCH_NUL",IF(ISNUMBER(SEARCH("win on penalties",W4914)),"WIN_BY_PENALTY",IF(ISNUMBER(SEARCH("win after extra time",W4914)),"WIN_BY_EXTRA_TIME",IF(ISNUMBER(SEARCH("Golden Goal",W4914)),"WIN_BY_GOLDEN_GOAL","WIN_BY_SCORE"))))</f>
        <v>WIN_BY_SCORE</v>
      </c>
      <c r="BI437" s="99" t="str">
        <f>IF(OR(BG437=DATA_CLEANED!AK428,BG437=DATA_CLEANED!AN428,BG437="MATCH NUL"),"OK","ERREUR")</f>
        <v>OK</v>
      </c>
    </row>
    <row r="438" spans="2:61">
      <c r="B438" s="75">
        <v>1</v>
      </c>
      <c r="C438" s="15" t="str">
        <v>Matěj Kovář</v>
      </c>
      <c r="D438" s="15">
        <v>26</v>
      </c>
      <c r="E438" s="15" t="str">
        <v>Czech Republic</v>
      </c>
      <c r="F438" s="15" t="str">
        <v>GK</v>
      </c>
      <c r="G438" s="15" t="str">
        <v>PSV Eindhoven</v>
      </c>
      <c r="H438" s="15">
        <v>1</v>
      </c>
      <c r="I438" s="15" t="str">
        <f>B438&amp;"|"&amp;C438&amp;"|"&amp;D438&amp;"|"&amp;E438&amp;"|"&amp;F438&amp;"|"&amp;G438&amp;"|"&amp;H438</f>
        <v>1|Matěj Kovář|26|Czech Republic|GK|PSV Eindhoven|1</v>
      </c>
      <c r="J438" s="15" t="str">
        <f>IF(COUNTIF(I$438:I438,I438)&gt;1,"DOUBLON","OK")</f>
        <v>OK</v>
      </c>
      <c r="S438" s="30" t="str">
        <v>France</v>
      </c>
      <c r="T438" s="30" t="str">
        <f t="shared" si="39"/>
        <v>OK</v>
      </c>
      <c r="U438" s="30" t="str">
        <f t="shared" si="40"/>
        <v>-</v>
      </c>
      <c r="V438" s="30" t="str" cm="1">
        <f t="array" ref="V438">_xlfn.IFS(
ISNUMBER(SEARCH("USA",S438)),"United States",
ISNUMBER(SEARCH("Republic of Korea",S438)),"South Korea",
ISNUMBER(SEARCH("Cape Verde",S438)),"Cabo Verde",
ISNUMBER(SEARCH("Czechia",S438)),"Czech Republic",
ISNUMBER(SEARCH("Türkiye",S438)),"Turkey",
ISNUMBER(SEARCH("Ivory Coast",S438)),"Côte d'Ivoire",
ISNUMBER(SEARCH("Korea Republic",S438)),"South Korea",
ISNUMBER(SEARCH("Germany FR",S438)),"FR Germany",
ISNUMBER(SEARCH("West Germany",S438)),"FR Germany",
ISNUMBER(SEARCH("Germany DR",S438)),"DR Germany",
ISNUMBER(SEARCH("Korea DPR",S438)),"North Korea",
ISNUMBER(SEARCH("China PR",S438)),"China",
ISNUMBER(SEARCH("IR Iran",S438)),"Iran",
ISNUMBER(SEARCH("Congo DR",S438)),"Democratic Republic of the Congo",
ISNUMBER(SEARCH("DR Congo",S438)),"Democratic Republic of the Congo",
ISNUMBER(SEARCH("German DR",S438)),"DR Germany",
ISNUMBER(SEARCH("rn""&gt;United Arab Emirates",S438)),"United Arab Emirates",
ISNUMBER(SEARCH("rn""&gt;Republic of Ireland",S438)),"Ireland",
ISNUMBER(SEARCH("rn""&gt;Bosnia and Herzegovina",S438)),"Bosnia and Herzegovina",
ISNUMBER(SEARCH("rn""&gt;Trinidad and Tobago",S438)),"Trinidad and Tobago",
ISNUMBER(SEARCH("rn""&gt;Serbia and Montenegro",S438)),"Serbia and Montenegro",
ISNUMBER(SEARCH(_xlfn.UNICHAR(65533),S438)),"Côte d'Ivoire",
TRUE,""
)</f>
        <v/>
      </c>
      <c r="W438" s="30" t="str">
        <f t="shared" si="41"/>
        <v>France</v>
      </c>
      <c r="Z438" s="40" t="str">
        <v>Cuauhtemoc</v>
      </c>
      <c r="AA438" s="40" t="str" cm="1">
        <f t="array" ref="AA438">IFERROR(_xlfn.XLOOKUP(Z438,_xlfn.ANCHORARRAY(Z$31),AA$31:AA$37),Z438)</f>
        <v>Cuauhtemoc</v>
      </c>
      <c r="AB438" s="42" t="str">
        <v xml:space="preserve">Puebla </v>
      </c>
      <c r="AC438" s="89" t="str">
        <f t="shared" si="43"/>
        <v xml:space="preserve">Puebla </v>
      </c>
      <c r="AE438" s="42">
        <v>1982</v>
      </c>
      <c r="AK438" s="42">
        <v>0</v>
      </c>
      <c r="AL438" s="42">
        <v>0</v>
      </c>
      <c r="AW438" s="89" t="str">
        <v>GROUP_STAGE</v>
      </c>
      <c r="BE438" s="43" t="str">
        <f>IF(OR(DATA_CLEANED!AL429="",DATA_CLEANED!AM429=""),"MANQUANT",IF(OR(NOT(ISNUMBER(DATA_CLEANED!AL429)),NOT(ISNUMBER(DATA_CLEANED!AM429))),"ENTREE INVALIDE",IF(OR(DATA_CLEANED!AL429&lt;0,DATA_CLEANED!AM429&lt;0),"SCORE NEGATIF","OK")))</f>
        <v>OK</v>
      </c>
      <c r="BF438" s="43" t="str">
        <f>IF(DATA_CLEANED!AK429&lt;&gt;DATA_CLEANED!AN429,"OK","ERREUR")</f>
        <v>OK</v>
      </c>
      <c r="BG438" s="43" t="str">
        <f>IF(DATA_CLEANED!AL429&gt;DATA_CLEANED!AM429,DATA_CLEANED!AK429,IF(AND(DATA_QUALITE!W4915="-",DATA_CLEANED!AM429=DATA_CLEANED!AL429),"MATCH NUL",IF(AND(DATA_QUALITE!V4915="-",DATA_QUALITE!U4915="AUCUNE"),DATA_QUALITE!T4915,IF(DATA_QUALITE!V4915&lt;&gt;"-",DATA_QUALITE!V4915,DATA_CLEANED!AN429))))</f>
        <v>Yugoslavia</v>
      </c>
      <c r="BH438" s="103" t="str">
        <f>IF(AND(BG438="MATCH NUL",DATA_CLEANED!AO429="-"),"MATCH_NUL",IF(ISNUMBER(SEARCH("win on penalties",W4915)),"WIN_BY_PENALTY",IF(ISNUMBER(SEARCH("win after extra time",W4915)),"WIN_BY_EXTRA_TIME",IF(ISNUMBER(SEARCH("Golden Goal",W4915)),"WIN_BY_GOLDEN_GOAL","WIN_BY_SCORE"))))</f>
        <v>WIN_BY_SCORE</v>
      </c>
      <c r="BI438" s="99" t="str">
        <f>IF(OR(BG438=DATA_CLEANED!AK429,BG438=DATA_CLEANED!AN429,BG438="MATCH NUL"),"OK","ERREUR")</f>
        <v>OK</v>
      </c>
    </row>
    <row r="439" spans="2:61">
      <c r="B439" s="75">
        <v>2</v>
      </c>
      <c r="C439" s="15" t="str">
        <v>Jindřich Staněk</v>
      </c>
      <c r="D439" s="15">
        <v>30</v>
      </c>
      <c r="E439" s="15" t="str">
        <v>Czech Republic</v>
      </c>
      <c r="F439" s="15" t="str">
        <v>GK</v>
      </c>
      <c r="G439" s="15" t="str">
        <v>Slavia Prague</v>
      </c>
      <c r="H439" s="15">
        <v>16</v>
      </c>
      <c r="I439" s="15" t="str">
        <f t="shared" ref="I439:I502" si="44">B439&amp;"|"&amp;C439&amp;"|"&amp;D439&amp;"|"&amp;E439&amp;"|"&amp;F439&amp;"|"&amp;G439&amp;"|"&amp;H439</f>
        <v>2|Jindřich Staněk|30|Czech Republic|GK|Slavia Prague|16</v>
      </c>
      <c r="J439" s="15" t="str">
        <f>IF(COUNTIF(I$438:I439,I439)&gt;1,"DOUBLON","OK")</f>
        <v>OK</v>
      </c>
      <c r="S439" s="30" t="str">
        <v>France</v>
      </c>
      <c r="T439" s="30" t="str">
        <f t="shared" si="39"/>
        <v>OK</v>
      </c>
      <c r="U439" s="30" t="str">
        <f t="shared" si="40"/>
        <v>-</v>
      </c>
      <c r="V439" s="30" t="str" cm="1">
        <f t="array" ref="V439">_xlfn.IFS(
ISNUMBER(SEARCH("USA",S439)),"United States",
ISNUMBER(SEARCH("Republic of Korea",S439)),"South Korea",
ISNUMBER(SEARCH("Cape Verde",S439)),"Cabo Verde",
ISNUMBER(SEARCH("Czechia",S439)),"Czech Republic",
ISNUMBER(SEARCH("Türkiye",S439)),"Turkey",
ISNUMBER(SEARCH("Ivory Coast",S439)),"Côte d'Ivoire",
ISNUMBER(SEARCH("Korea Republic",S439)),"South Korea",
ISNUMBER(SEARCH("Germany FR",S439)),"FR Germany",
ISNUMBER(SEARCH("West Germany",S439)),"FR Germany",
ISNUMBER(SEARCH("Germany DR",S439)),"DR Germany",
ISNUMBER(SEARCH("Korea DPR",S439)),"North Korea",
ISNUMBER(SEARCH("China PR",S439)),"China",
ISNUMBER(SEARCH("IR Iran",S439)),"Iran",
ISNUMBER(SEARCH("Congo DR",S439)),"Democratic Republic of the Congo",
ISNUMBER(SEARCH("DR Congo",S439)),"Democratic Republic of the Congo",
ISNUMBER(SEARCH("German DR",S439)),"DR Germany",
ISNUMBER(SEARCH("rn""&gt;United Arab Emirates",S439)),"United Arab Emirates",
ISNUMBER(SEARCH("rn""&gt;Republic of Ireland",S439)),"Ireland",
ISNUMBER(SEARCH("rn""&gt;Bosnia and Herzegovina",S439)),"Bosnia and Herzegovina",
ISNUMBER(SEARCH("rn""&gt;Trinidad and Tobago",S439)),"Trinidad and Tobago",
ISNUMBER(SEARCH("rn""&gt;Serbia and Montenegro",S439)),"Serbia and Montenegro",
ISNUMBER(SEARCH(_xlfn.UNICHAR(65533),S439)),"Côte d'Ivoire",
TRUE,""
)</f>
        <v/>
      </c>
      <c r="W439" s="30" t="str">
        <f t="shared" si="41"/>
        <v>France</v>
      </c>
      <c r="Z439" s="40" t="str">
        <v>Jalisco</v>
      </c>
      <c r="AA439" s="40" t="str" cm="1">
        <f t="array" ref="AA439">IFERROR(_xlfn.XLOOKUP(Z439,_xlfn.ANCHORARRAY(Z$31),AA$31:AA$37),Z439)</f>
        <v>Jalisco</v>
      </c>
      <c r="AB439" s="42" t="str">
        <v xml:space="preserve">Guadalajara </v>
      </c>
      <c r="AC439" s="89" t="str">
        <f t="shared" si="43"/>
        <v xml:space="preserve">Guadalajara </v>
      </c>
      <c r="AE439" s="42">
        <v>1982</v>
      </c>
      <c r="AK439" s="42">
        <v>0</v>
      </c>
      <c r="AL439" s="42">
        <v>2</v>
      </c>
      <c r="AW439" s="89" t="str">
        <v>GROUP_STAGE</v>
      </c>
      <c r="BE439" s="43" t="str">
        <f>IF(OR(DATA_CLEANED!AL430="",DATA_CLEANED!AM430=""),"MANQUANT",IF(OR(NOT(ISNUMBER(DATA_CLEANED!AL430)),NOT(ISNUMBER(DATA_CLEANED!AM430))),"ENTREE INVALIDE",IF(OR(DATA_CLEANED!AL430&lt;0,DATA_CLEANED!AM430&lt;0),"SCORE NEGATIF","OK")))</f>
        <v>OK</v>
      </c>
      <c r="BF439" s="43" t="str">
        <f>IF(DATA_CLEANED!AK430&lt;&gt;DATA_CLEANED!AN430,"OK","ERREUR")</f>
        <v>OK</v>
      </c>
      <c r="BG439" s="43" t="str">
        <f>IF(DATA_CLEANED!AL430&gt;DATA_CLEANED!AM430,DATA_CLEANED!AK430,IF(AND(DATA_QUALITE!W4916="-",DATA_CLEANED!AM430=DATA_CLEANED!AL430),"MATCH NUL",IF(AND(DATA_QUALITE!V4916="-",DATA_QUALITE!U4916="AUCUNE"),DATA_QUALITE!T4916,IF(DATA_QUALITE!V4916&lt;&gt;"-",DATA_QUALITE!V4916,DATA_CLEANED!AN430))))</f>
        <v>Italy</v>
      </c>
      <c r="BH439" s="103" t="str">
        <f>IF(AND(BG439="MATCH NUL",DATA_CLEANED!AO430="-"),"MATCH_NUL",IF(ISNUMBER(SEARCH("win on penalties",W4916)),"WIN_BY_PENALTY",IF(ISNUMBER(SEARCH("win after extra time",W4916)),"WIN_BY_EXTRA_TIME",IF(ISNUMBER(SEARCH("Golden Goal",W4916)),"WIN_BY_GOLDEN_GOAL","WIN_BY_SCORE"))))</f>
        <v>WIN_BY_SCORE</v>
      </c>
      <c r="BI439" s="99" t="str">
        <f>IF(OR(BG439=DATA_CLEANED!AK430,BG439=DATA_CLEANED!AN430,BG439="MATCH NUL"),"OK","ERREUR")</f>
        <v>OK</v>
      </c>
    </row>
    <row r="440" spans="2:61">
      <c r="B440" s="75">
        <v>3</v>
      </c>
      <c r="C440" s="15" t="str">
        <v>Lukáš Horníček</v>
      </c>
      <c r="D440" s="15">
        <v>23</v>
      </c>
      <c r="E440" s="15" t="str">
        <v>Czech Republic</v>
      </c>
      <c r="F440" s="15" t="str">
        <v>GK</v>
      </c>
      <c r="G440" s="15" t="str">
        <v>Braga</v>
      </c>
      <c r="H440" s="15">
        <v>23</v>
      </c>
      <c r="I440" s="15" t="str">
        <f t="shared" si="44"/>
        <v>3|Lukáš Horníček|23|Czech Republic|GK|Braga|23</v>
      </c>
      <c r="J440" s="15" t="str">
        <f>IF(COUNTIF(I$438:I440,I440)&gt;1,"DOUBLON","OK")</f>
        <v>OK</v>
      </c>
      <c r="S440" s="30" t="str">
        <v>France</v>
      </c>
      <c r="T440" s="30" t="str">
        <f t="shared" si="39"/>
        <v>OK</v>
      </c>
      <c r="U440" s="30" t="str">
        <f t="shared" si="40"/>
        <v>-</v>
      </c>
      <c r="V440" s="30" t="str" cm="1">
        <f t="array" ref="V440">_xlfn.IFS(
ISNUMBER(SEARCH("USA",S440)),"United States",
ISNUMBER(SEARCH("Republic of Korea",S440)),"South Korea",
ISNUMBER(SEARCH("Cape Verde",S440)),"Cabo Verde",
ISNUMBER(SEARCH("Czechia",S440)),"Czech Republic",
ISNUMBER(SEARCH("Türkiye",S440)),"Turkey",
ISNUMBER(SEARCH("Ivory Coast",S440)),"Côte d'Ivoire",
ISNUMBER(SEARCH("Korea Republic",S440)),"South Korea",
ISNUMBER(SEARCH("Germany FR",S440)),"FR Germany",
ISNUMBER(SEARCH("West Germany",S440)),"FR Germany",
ISNUMBER(SEARCH("Germany DR",S440)),"DR Germany",
ISNUMBER(SEARCH("Korea DPR",S440)),"North Korea",
ISNUMBER(SEARCH("China PR",S440)),"China",
ISNUMBER(SEARCH("IR Iran",S440)),"Iran",
ISNUMBER(SEARCH("Congo DR",S440)),"Democratic Republic of the Congo",
ISNUMBER(SEARCH("DR Congo",S440)),"Democratic Republic of the Congo",
ISNUMBER(SEARCH("German DR",S440)),"DR Germany",
ISNUMBER(SEARCH("rn""&gt;United Arab Emirates",S440)),"United Arab Emirates",
ISNUMBER(SEARCH("rn""&gt;Republic of Ireland",S440)),"Ireland",
ISNUMBER(SEARCH("rn""&gt;Bosnia and Herzegovina",S440)),"Bosnia and Herzegovina",
ISNUMBER(SEARCH("rn""&gt;Trinidad and Tobago",S440)),"Trinidad and Tobago",
ISNUMBER(SEARCH("rn""&gt;Serbia and Montenegro",S440)),"Serbia and Montenegro",
ISNUMBER(SEARCH(_xlfn.UNICHAR(65533),S440)),"Côte d'Ivoire",
TRUE,""
)</f>
        <v/>
      </c>
      <c r="W440" s="30" t="str">
        <f t="shared" si="41"/>
        <v>France</v>
      </c>
      <c r="Z440" s="40" t="str">
        <v>Estadio Ol�mpico Universitario</v>
      </c>
      <c r="AA440" s="40" t="str" cm="1">
        <f t="array" ref="AA440">IFERROR(_xlfn.XLOOKUP(Z440,_xlfn.ANCHORARRAY(Z$31),AA$31:AA$37),Z440)</f>
        <v>Estadio Olímpico Universitario</v>
      </c>
      <c r="AB440" s="42" t="str">
        <v xml:space="preserve">Mexico City </v>
      </c>
      <c r="AC440" s="89" t="str">
        <f t="shared" si="43"/>
        <v xml:space="preserve">Mexico City </v>
      </c>
      <c r="AE440" s="42">
        <v>1982</v>
      </c>
      <c r="AK440" s="42">
        <v>3</v>
      </c>
      <c r="AL440" s="42">
        <v>3</v>
      </c>
      <c r="AW440" s="89" t="str">
        <v>GROUP_STAGE</v>
      </c>
      <c r="BE440" s="43" t="str">
        <f>IF(OR(DATA_CLEANED!AL431="",DATA_CLEANED!AM431=""),"MANQUANT",IF(OR(NOT(ISNUMBER(DATA_CLEANED!AL431)),NOT(ISNUMBER(DATA_CLEANED!AM431))),"ENTREE INVALIDE",IF(OR(DATA_CLEANED!AL431&lt;0,DATA_CLEANED!AM431&lt;0),"SCORE NEGATIF","OK")))</f>
        <v>OK</v>
      </c>
      <c r="BF440" s="43" t="str">
        <f>IF(DATA_CLEANED!AK431&lt;&gt;DATA_CLEANED!AN431,"OK","ERREUR")</f>
        <v>OK</v>
      </c>
      <c r="BG440" s="43" t="str">
        <f>IF(DATA_CLEANED!AL431&gt;DATA_CLEANED!AM431,DATA_CLEANED!AK431,IF(AND(DATA_QUALITE!W4917="-",DATA_CLEANED!AM431=DATA_CLEANED!AL431),"MATCH NUL",IF(AND(DATA_QUALITE!V4917="-",DATA_QUALITE!U4917="AUCUNE"),DATA_QUALITE!T4917,IF(DATA_QUALITE!V4917&lt;&gt;"-",DATA_QUALITE!V4917,DATA_CLEANED!AN431))))</f>
        <v>Czechoslovakia</v>
      </c>
      <c r="BH440" s="103" t="str">
        <f>IF(AND(BG440="MATCH NUL",DATA_CLEANED!AO431="-"),"MATCH_NUL",IF(ISNUMBER(SEARCH("win on penalties",W4917)),"WIN_BY_PENALTY",IF(ISNUMBER(SEARCH("win after extra time",W4917)),"WIN_BY_EXTRA_TIME",IF(ISNUMBER(SEARCH("Golden Goal",W4917)),"WIN_BY_GOLDEN_GOAL","WIN_BY_SCORE"))))</f>
        <v>WIN_BY_SCORE</v>
      </c>
      <c r="BI440" s="99" t="str">
        <f>IF(OR(BG440=DATA_CLEANED!AK431,BG440=DATA_CLEANED!AN431,BG440="MATCH NUL"),"OK","ERREUR")</f>
        <v>OK</v>
      </c>
    </row>
    <row r="441" spans="2:61">
      <c r="B441" s="75">
        <v>4</v>
      </c>
      <c r="C441" s="15" t="str">
        <v>David Zima</v>
      </c>
      <c r="D441" s="15">
        <v>25</v>
      </c>
      <c r="E441" s="15" t="str">
        <v>Czech Republic</v>
      </c>
      <c r="F441" s="15" t="str">
        <v>CB</v>
      </c>
      <c r="G441" s="15" t="str">
        <v>Slavia Prague</v>
      </c>
      <c r="H441" s="15">
        <v>2</v>
      </c>
      <c r="I441" s="15" t="str">
        <f t="shared" si="44"/>
        <v>4|David Zima|25|Czech Republic|CB|Slavia Prague|2</v>
      </c>
      <c r="J441" s="15" t="str">
        <f>IF(COUNTIF(I$438:I441,I441)&gt;1,"DOUBLON","OK")</f>
        <v>OK</v>
      </c>
      <c r="S441" s="30" t="str">
        <v>France</v>
      </c>
      <c r="T441" s="30" t="str">
        <f t="shared" si="39"/>
        <v>OK</v>
      </c>
      <c r="U441" s="30" t="str">
        <f t="shared" si="40"/>
        <v>-</v>
      </c>
      <c r="V441" s="30" t="str" cm="1">
        <f t="array" ref="V441">_xlfn.IFS(
ISNUMBER(SEARCH("USA",S441)),"United States",
ISNUMBER(SEARCH("Republic of Korea",S441)),"South Korea",
ISNUMBER(SEARCH("Cape Verde",S441)),"Cabo Verde",
ISNUMBER(SEARCH("Czechia",S441)),"Czech Republic",
ISNUMBER(SEARCH("Türkiye",S441)),"Turkey",
ISNUMBER(SEARCH("Ivory Coast",S441)),"Côte d'Ivoire",
ISNUMBER(SEARCH("Korea Republic",S441)),"South Korea",
ISNUMBER(SEARCH("Germany FR",S441)),"FR Germany",
ISNUMBER(SEARCH("West Germany",S441)),"FR Germany",
ISNUMBER(SEARCH("Germany DR",S441)),"DR Germany",
ISNUMBER(SEARCH("Korea DPR",S441)),"North Korea",
ISNUMBER(SEARCH("China PR",S441)),"China",
ISNUMBER(SEARCH("IR Iran",S441)),"Iran",
ISNUMBER(SEARCH("Congo DR",S441)),"Democratic Republic of the Congo",
ISNUMBER(SEARCH("DR Congo",S441)),"Democratic Republic of the Congo",
ISNUMBER(SEARCH("German DR",S441)),"DR Germany",
ISNUMBER(SEARCH("rn""&gt;United Arab Emirates",S441)),"United Arab Emirates",
ISNUMBER(SEARCH("rn""&gt;Republic of Ireland",S441)),"Ireland",
ISNUMBER(SEARCH("rn""&gt;Bosnia and Herzegovina",S441)),"Bosnia and Herzegovina",
ISNUMBER(SEARCH("rn""&gt;Trinidad and Tobago",S441)),"Trinidad and Tobago",
ISNUMBER(SEARCH("rn""&gt;Serbia and Montenegro",S441)),"Serbia and Montenegro",
ISNUMBER(SEARCH(_xlfn.UNICHAR(65533),S441)),"Côte d'Ivoire",
TRUE,""
)</f>
        <v/>
      </c>
      <c r="W441" s="30" t="str">
        <f t="shared" si="41"/>
        <v>France</v>
      </c>
      <c r="Z441" s="40" t="str">
        <v>Estadio Universitario</v>
      </c>
      <c r="AA441" s="40" t="str" cm="1">
        <f t="array" ref="AA441">IFERROR(_xlfn.XLOOKUP(Z441,_xlfn.ANCHORARRAY(Z$31),AA$31:AA$37),Z441)</f>
        <v>Estadio Universitario</v>
      </c>
      <c r="AB441" s="42" t="str">
        <v xml:space="preserve">Monterrey </v>
      </c>
      <c r="AC441" s="89" t="str">
        <f t="shared" si="43"/>
        <v xml:space="preserve">Monterrey </v>
      </c>
      <c r="AE441" s="42">
        <v>1982</v>
      </c>
      <c r="AK441" s="42">
        <v>3</v>
      </c>
      <c r="AL441" s="42">
        <v>2</v>
      </c>
      <c r="AW441" s="89" t="str">
        <v>GROUP_STAGE</v>
      </c>
      <c r="BE441" s="43" t="str">
        <f>IF(OR(DATA_CLEANED!AL432="",DATA_CLEANED!AM432=""),"MANQUANT",IF(OR(NOT(ISNUMBER(DATA_CLEANED!AL432)),NOT(ISNUMBER(DATA_CLEANED!AM432))),"ENTREE INVALIDE",IF(OR(DATA_CLEANED!AL432&lt;0,DATA_CLEANED!AM432&lt;0),"SCORE NEGATIF","OK")))</f>
        <v>OK</v>
      </c>
      <c r="BF441" s="43" t="str">
        <f>IF(DATA_CLEANED!AK432&lt;&gt;DATA_CLEANED!AN432,"OK","ERREUR")</f>
        <v>OK</v>
      </c>
      <c r="BG441" s="43" t="str">
        <f>IF(DATA_CLEANED!AL432&gt;DATA_CLEANED!AM432,DATA_CLEANED!AK432,IF(AND(DATA_QUALITE!W4918="-",DATA_CLEANED!AM432=DATA_CLEANED!AL432),"MATCH NUL",IF(AND(DATA_QUALITE!V4918="-",DATA_QUALITE!U4918="AUCUNE"),DATA_QUALITE!T4918,IF(DATA_QUALITE!V4918&lt;&gt;"-",DATA_QUALITE!V4918,DATA_CLEANED!AN432))))</f>
        <v>FR Germany</v>
      </c>
      <c r="BH441" s="103" t="str">
        <f>IF(AND(BG441="MATCH NUL",DATA_CLEANED!AO432="-"),"MATCH_NUL",IF(ISNUMBER(SEARCH("win on penalties",W4918)),"WIN_BY_PENALTY",IF(ISNUMBER(SEARCH("win after extra time",W4918)),"WIN_BY_EXTRA_TIME",IF(ISNUMBER(SEARCH("Golden Goal",W4918)),"WIN_BY_GOLDEN_GOAL","WIN_BY_SCORE"))))</f>
        <v>WIN_BY_SCORE</v>
      </c>
      <c r="BI441" s="99" t="str">
        <f>IF(OR(BG441=DATA_CLEANED!AK432,BG441=DATA_CLEANED!AN432,BG441="MATCH NUL"),"OK","ERREUR")</f>
        <v>OK</v>
      </c>
    </row>
    <row r="442" spans="2:61">
      <c r="B442" s="75">
        <v>5</v>
      </c>
      <c r="C442" s="15" t="str">
        <v>Tomáš Holeš</v>
      </c>
      <c r="D442" s="15">
        <v>33</v>
      </c>
      <c r="E442" s="15" t="str">
        <v>Czech Republic</v>
      </c>
      <c r="F442" s="15" t="str">
        <v>CB</v>
      </c>
      <c r="G442" s="15" t="str">
        <v>Slavia Prague</v>
      </c>
      <c r="H442" s="15">
        <v>3</v>
      </c>
      <c r="I442" s="15" t="str">
        <f t="shared" si="44"/>
        <v>5|Tomáš Holeš|33|Czech Republic|CB|Slavia Prague|3</v>
      </c>
      <c r="J442" s="15" t="str">
        <f>IF(COUNTIF(I$438:I442,I442)&gt;1,"DOUBLON","OK")</f>
        <v>OK</v>
      </c>
      <c r="S442" s="30" t="str">
        <v>France</v>
      </c>
      <c r="T442" s="30" t="str">
        <f t="shared" si="39"/>
        <v>OK</v>
      </c>
      <c r="U442" s="30" t="str">
        <f t="shared" si="40"/>
        <v>-</v>
      </c>
      <c r="V442" s="30" t="str" cm="1">
        <f t="array" ref="V442">_xlfn.IFS(
ISNUMBER(SEARCH("USA",S442)),"United States",
ISNUMBER(SEARCH("Republic of Korea",S442)),"South Korea",
ISNUMBER(SEARCH("Cape Verde",S442)),"Cabo Verde",
ISNUMBER(SEARCH("Czechia",S442)),"Czech Republic",
ISNUMBER(SEARCH("Türkiye",S442)),"Turkey",
ISNUMBER(SEARCH("Ivory Coast",S442)),"Côte d'Ivoire",
ISNUMBER(SEARCH("Korea Republic",S442)),"South Korea",
ISNUMBER(SEARCH("Germany FR",S442)),"FR Germany",
ISNUMBER(SEARCH("West Germany",S442)),"FR Germany",
ISNUMBER(SEARCH("Germany DR",S442)),"DR Germany",
ISNUMBER(SEARCH("Korea DPR",S442)),"North Korea",
ISNUMBER(SEARCH("China PR",S442)),"China",
ISNUMBER(SEARCH("IR Iran",S442)),"Iran",
ISNUMBER(SEARCH("Congo DR",S442)),"Democratic Republic of the Congo",
ISNUMBER(SEARCH("DR Congo",S442)),"Democratic Republic of the Congo",
ISNUMBER(SEARCH("German DR",S442)),"DR Germany",
ISNUMBER(SEARCH("rn""&gt;United Arab Emirates",S442)),"United Arab Emirates",
ISNUMBER(SEARCH("rn""&gt;Republic of Ireland",S442)),"Ireland",
ISNUMBER(SEARCH("rn""&gt;Bosnia and Herzegovina",S442)),"Bosnia and Herzegovina",
ISNUMBER(SEARCH("rn""&gt;Trinidad and Tobago",S442)),"Trinidad and Tobago",
ISNUMBER(SEARCH("rn""&gt;Serbia and Montenegro",S442)),"Serbia and Montenegro",
ISNUMBER(SEARCH(_xlfn.UNICHAR(65533),S442)),"Côte d'Ivoire",
TRUE,""
)</f>
        <v/>
      </c>
      <c r="W442" s="30" t="str">
        <f t="shared" si="41"/>
        <v>France</v>
      </c>
      <c r="Z442" s="40" t="str">
        <v>Estadio Azteca</v>
      </c>
      <c r="AA442" s="40" t="str" cm="1">
        <f t="array" ref="AA442">IFERROR(_xlfn.XLOOKUP(Z442,_xlfn.ANCHORARRAY(Z$31),AA$31:AA$37),Z442)</f>
        <v>Estadio Azteca</v>
      </c>
      <c r="AB442" s="42" t="str">
        <v xml:space="preserve">Mexico City </v>
      </c>
      <c r="AC442" s="89" t="str">
        <f t="shared" si="43"/>
        <v xml:space="preserve">Mexico City </v>
      </c>
      <c r="AE442" s="42">
        <v>1982</v>
      </c>
      <c r="AK442" s="42">
        <v>3</v>
      </c>
      <c r="AL442" s="42">
        <v>1</v>
      </c>
      <c r="AW442" s="89" t="str">
        <v>GROUP_STAGE</v>
      </c>
      <c r="BE442" s="43" t="str">
        <f>IF(OR(DATA_CLEANED!AL433="",DATA_CLEANED!AM433=""),"MANQUANT",IF(OR(NOT(ISNUMBER(DATA_CLEANED!AL433)),NOT(ISNUMBER(DATA_CLEANED!AM433))),"ENTREE INVALIDE",IF(OR(DATA_CLEANED!AL433&lt;0,DATA_CLEANED!AM433&lt;0),"SCORE NEGATIF","OK")))</f>
        <v>OK</v>
      </c>
      <c r="BF442" s="43" t="str">
        <f>IF(DATA_CLEANED!AK433&lt;&gt;DATA_CLEANED!AN433,"OK","ERREUR")</f>
        <v>OK</v>
      </c>
      <c r="BG442" s="43" t="str">
        <f>IF(DATA_CLEANED!AL433&gt;DATA_CLEANED!AM433,DATA_CLEANED!AK433,IF(AND(DATA_QUALITE!W4919="-",DATA_CLEANED!AM433=DATA_CLEANED!AL433),"MATCH NUL",IF(AND(DATA_QUALITE!V4919="-",DATA_QUALITE!U4919="AUCUNE"),DATA_QUALITE!T4919,IF(DATA_QUALITE!V4919&lt;&gt;"-",DATA_QUALITE!V4919,DATA_CLEANED!AN433))))</f>
        <v>Brazil</v>
      </c>
      <c r="BH442" s="103" t="str">
        <f>IF(AND(BG442="MATCH NUL",DATA_CLEANED!AO433="-"),"MATCH_NUL",IF(ISNUMBER(SEARCH("win on penalties",W4919)),"WIN_BY_PENALTY",IF(ISNUMBER(SEARCH("win after extra time",W4919)),"WIN_BY_EXTRA_TIME",IF(ISNUMBER(SEARCH("Golden Goal",W4919)),"WIN_BY_GOLDEN_GOAL","WIN_BY_SCORE"))))</f>
        <v>WIN_BY_SCORE</v>
      </c>
      <c r="BI442" s="99" t="str">
        <f>IF(OR(BG442=DATA_CLEANED!AK433,BG442=DATA_CLEANED!AN433,BG442="MATCH NUL"),"OK","ERREUR")</f>
        <v>OK</v>
      </c>
    </row>
    <row r="443" spans="2:61">
      <c r="B443" s="75">
        <v>6</v>
      </c>
      <c r="C443" s="15" t="str">
        <v>Robin Hranáč</v>
      </c>
      <c r="D443" s="15">
        <v>26</v>
      </c>
      <c r="E443" s="15" t="str">
        <v>Czech Republic</v>
      </c>
      <c r="F443" s="15" t="str">
        <v>CB</v>
      </c>
      <c r="G443" s="15" t="str">
        <v>TSG Hoffenheim</v>
      </c>
      <c r="H443" s="15">
        <v>4</v>
      </c>
      <c r="I443" s="15" t="str">
        <f t="shared" si="44"/>
        <v>6|Robin Hranáč|26|Czech Republic|CB|TSG Hoffenheim|4</v>
      </c>
      <c r="J443" s="15" t="str">
        <f>IF(COUNTIF(I$438:I443,I443)&gt;1,"DOUBLON","OK")</f>
        <v>OK</v>
      </c>
      <c r="S443" s="30" t="str">
        <v>France</v>
      </c>
      <c r="T443" s="30" t="str">
        <f t="shared" ref="T443:T506" si="45">IF(COUNTIF(R$21:R$250,S443)=1,"OK","ERREUR")</f>
        <v>OK</v>
      </c>
      <c r="U443" s="30" t="str">
        <f t="shared" si="40"/>
        <v>-</v>
      </c>
      <c r="V443" s="30" t="str" cm="1">
        <f t="array" ref="V443">_xlfn.IFS(
ISNUMBER(SEARCH("USA",S443)),"United States",
ISNUMBER(SEARCH("Republic of Korea",S443)),"South Korea",
ISNUMBER(SEARCH("Cape Verde",S443)),"Cabo Verde",
ISNUMBER(SEARCH("Czechia",S443)),"Czech Republic",
ISNUMBER(SEARCH("Türkiye",S443)),"Turkey",
ISNUMBER(SEARCH("Ivory Coast",S443)),"Côte d'Ivoire",
ISNUMBER(SEARCH("Korea Republic",S443)),"South Korea",
ISNUMBER(SEARCH("Germany FR",S443)),"FR Germany",
ISNUMBER(SEARCH("West Germany",S443)),"FR Germany",
ISNUMBER(SEARCH("Germany DR",S443)),"DR Germany",
ISNUMBER(SEARCH("Korea DPR",S443)),"North Korea",
ISNUMBER(SEARCH("China PR",S443)),"China",
ISNUMBER(SEARCH("IR Iran",S443)),"Iran",
ISNUMBER(SEARCH("Congo DR",S443)),"Democratic Republic of the Congo",
ISNUMBER(SEARCH("DR Congo",S443)),"Democratic Republic of the Congo",
ISNUMBER(SEARCH("German DR",S443)),"DR Germany",
ISNUMBER(SEARCH("rn""&gt;United Arab Emirates",S443)),"United Arab Emirates",
ISNUMBER(SEARCH("rn""&gt;Republic of Ireland",S443)),"Ireland",
ISNUMBER(SEARCH("rn""&gt;Bosnia and Herzegovina",S443)),"Bosnia and Herzegovina",
ISNUMBER(SEARCH("rn""&gt;Trinidad and Tobago",S443)),"Trinidad and Tobago",
ISNUMBER(SEARCH("rn""&gt;Serbia and Montenegro",S443)),"Serbia and Montenegro",
ISNUMBER(SEARCH(_xlfn.UNICHAR(65533),S443)),"Côte d'Ivoire",
TRUE,""
)</f>
        <v/>
      </c>
      <c r="W443" s="30" t="str">
        <f t="shared" si="41"/>
        <v>France</v>
      </c>
      <c r="Z443" s="40" t="str">
        <v>Estadio Corregidora</v>
      </c>
      <c r="AA443" s="40" t="str" cm="1">
        <f t="array" ref="AA443">IFERROR(_xlfn.XLOOKUP(Z443,_xlfn.ANCHORARRAY(Z$31),AA$31:AA$37),Z443)</f>
        <v>Estadio Corregidora</v>
      </c>
      <c r="AB443" s="42" t="str">
        <v xml:space="preserve">Queretaro </v>
      </c>
      <c r="AC443" s="89" t="str">
        <f t="shared" si="43"/>
        <v xml:space="preserve">Queretaro </v>
      </c>
      <c r="AE443" s="42">
        <v>1986</v>
      </c>
      <c r="AK443" s="42">
        <v>1</v>
      </c>
      <c r="AL443" s="42">
        <v>1</v>
      </c>
      <c r="AW443" s="89" t="str">
        <v>GROUP_STAGE</v>
      </c>
      <c r="BE443" s="43" t="str">
        <f>IF(OR(DATA_CLEANED!AL434="",DATA_CLEANED!AM434=""),"MANQUANT",IF(OR(NOT(ISNUMBER(DATA_CLEANED!AL434)),NOT(ISNUMBER(DATA_CLEANED!AM434))),"ENTREE INVALIDE",IF(OR(DATA_CLEANED!AL434&lt;0,DATA_CLEANED!AM434&lt;0),"SCORE NEGATIF","OK")))</f>
        <v>OK</v>
      </c>
      <c r="BF443" s="43" t="str">
        <f>IF(DATA_CLEANED!AK434&lt;&gt;DATA_CLEANED!AN434,"OK","ERREUR")</f>
        <v>OK</v>
      </c>
      <c r="BG443" s="43" t="str">
        <f>IF(DATA_CLEANED!AL434&gt;DATA_CLEANED!AM434,DATA_CLEANED!AK434,IF(AND(DATA_QUALITE!W4920="-",DATA_CLEANED!AM434=DATA_CLEANED!AL434),"MATCH NUL",IF(AND(DATA_QUALITE!V4920="-",DATA_QUALITE!U4920="AUCUNE"),DATA_QUALITE!T4920,IF(DATA_QUALITE!V4920&lt;&gt;"-",DATA_QUALITE!V4920,DATA_CLEANED!AN434))))</f>
        <v>Scotland</v>
      </c>
      <c r="BH443" s="103" t="str">
        <f>IF(AND(BG443="MATCH NUL",DATA_CLEANED!AO434="-"),"MATCH_NUL",IF(ISNUMBER(SEARCH("win on penalties",W4920)),"WIN_BY_PENALTY",IF(ISNUMBER(SEARCH("win after extra time",W4920)),"WIN_BY_EXTRA_TIME",IF(ISNUMBER(SEARCH("Golden Goal",W4920)),"WIN_BY_GOLDEN_GOAL","WIN_BY_SCORE"))))</f>
        <v>WIN_BY_SCORE</v>
      </c>
      <c r="BI443" s="99" t="str">
        <f>IF(OR(BG443=DATA_CLEANED!AK434,BG443=DATA_CLEANED!AN434,BG443="MATCH NUL"),"OK","ERREUR")</f>
        <v>OK</v>
      </c>
    </row>
    <row r="444" spans="2:61">
      <c r="B444" s="75">
        <v>7</v>
      </c>
      <c r="C444" s="15" t="str">
        <v>Štěpán Chaloupek</v>
      </c>
      <c r="D444" s="15">
        <v>23</v>
      </c>
      <c r="E444" s="15" t="str">
        <v>Czech Republic</v>
      </c>
      <c r="F444" s="15" t="str">
        <v>CB</v>
      </c>
      <c r="G444" s="15" t="str">
        <v>Slavia Prague</v>
      </c>
      <c r="H444" s="15">
        <v>6</v>
      </c>
      <c r="I444" s="15" t="str">
        <f t="shared" si="44"/>
        <v>7|Štěpán Chaloupek|23|Czech Republic|CB|Slavia Prague|6</v>
      </c>
      <c r="J444" s="15" t="str">
        <f>IF(COUNTIF(I$438:I444,I444)&gt;1,"DOUBLON","OK")</f>
        <v>OK</v>
      </c>
      <c r="S444" s="30" t="str">
        <v>France</v>
      </c>
      <c r="T444" s="30" t="str">
        <f t="shared" si="45"/>
        <v>OK</v>
      </c>
      <c r="U444" s="30" t="str">
        <f t="shared" si="40"/>
        <v>-</v>
      </c>
      <c r="V444" s="30" t="str" cm="1">
        <f t="array" ref="V444">_xlfn.IFS(
ISNUMBER(SEARCH("USA",S444)),"United States",
ISNUMBER(SEARCH("Republic of Korea",S444)),"South Korea",
ISNUMBER(SEARCH("Cape Verde",S444)),"Cabo Verde",
ISNUMBER(SEARCH("Czechia",S444)),"Czech Republic",
ISNUMBER(SEARCH("Türkiye",S444)),"Turkey",
ISNUMBER(SEARCH("Ivory Coast",S444)),"Côte d'Ivoire",
ISNUMBER(SEARCH("Korea Republic",S444)),"South Korea",
ISNUMBER(SEARCH("Germany FR",S444)),"FR Germany",
ISNUMBER(SEARCH("West Germany",S444)),"FR Germany",
ISNUMBER(SEARCH("Germany DR",S444)),"DR Germany",
ISNUMBER(SEARCH("Korea DPR",S444)),"North Korea",
ISNUMBER(SEARCH("China PR",S444)),"China",
ISNUMBER(SEARCH("IR Iran",S444)),"Iran",
ISNUMBER(SEARCH("Congo DR",S444)),"Democratic Republic of the Congo",
ISNUMBER(SEARCH("DR Congo",S444)),"Democratic Republic of the Congo",
ISNUMBER(SEARCH("German DR",S444)),"DR Germany",
ISNUMBER(SEARCH("rn""&gt;United Arab Emirates",S444)),"United Arab Emirates",
ISNUMBER(SEARCH("rn""&gt;Republic of Ireland",S444)),"Ireland",
ISNUMBER(SEARCH("rn""&gt;Bosnia and Herzegovina",S444)),"Bosnia and Herzegovina",
ISNUMBER(SEARCH("rn""&gt;Trinidad and Tobago",S444)),"Trinidad and Tobago",
ISNUMBER(SEARCH("rn""&gt;Serbia and Montenegro",S444)),"Serbia and Montenegro",
ISNUMBER(SEARCH(_xlfn.UNICHAR(65533),S444)),"Côte d'Ivoire",
TRUE,""
)</f>
        <v/>
      </c>
      <c r="W444" s="30" t="str">
        <f t="shared" si="41"/>
        <v>France</v>
      </c>
      <c r="Z444" s="40" t="str">
        <v>Jalisco</v>
      </c>
      <c r="AA444" s="40" t="str" cm="1">
        <f t="array" ref="AA444">IFERROR(_xlfn.XLOOKUP(Z444,_xlfn.ANCHORARRAY(Z$31),AA$31:AA$37),Z444)</f>
        <v>Jalisco</v>
      </c>
      <c r="AB444" s="42" t="str">
        <v xml:space="preserve">Guadalajara </v>
      </c>
      <c r="AC444" s="89" t="str">
        <f t="shared" si="43"/>
        <v xml:space="preserve">Guadalajara </v>
      </c>
      <c r="AE444" s="42">
        <v>1986</v>
      </c>
      <c r="AK444" s="42">
        <v>0</v>
      </c>
      <c r="AL444" s="42">
        <v>1</v>
      </c>
      <c r="AW444" s="89" t="str">
        <v>GROUP_STAGE</v>
      </c>
      <c r="BE444" s="43" t="str">
        <f>IF(OR(DATA_CLEANED!AL435="",DATA_CLEANED!AM435=""),"MANQUANT",IF(OR(NOT(ISNUMBER(DATA_CLEANED!AL435)),NOT(ISNUMBER(DATA_CLEANED!AM435))),"ENTREE INVALIDE",IF(OR(DATA_CLEANED!AL435&lt;0,DATA_CLEANED!AM435&lt;0),"SCORE NEGATIF","OK")))</f>
        <v>OK</v>
      </c>
      <c r="BF444" s="43" t="str">
        <f>IF(DATA_CLEANED!AK435&lt;&gt;DATA_CLEANED!AN435,"OK","ERREUR")</f>
        <v>OK</v>
      </c>
      <c r="BG444" s="43" t="str">
        <f>IF(DATA_CLEANED!AL435&gt;DATA_CLEANED!AM435,DATA_CLEANED!AK435,IF(AND(DATA_QUALITE!W4921="-",DATA_CLEANED!AM435=DATA_CLEANED!AL435),"MATCH NUL",IF(AND(DATA_QUALITE!V4921="-",DATA_QUALITE!U4921="AUCUNE"),DATA_QUALITE!T4921,IF(DATA_QUALITE!V4921&lt;&gt;"-",DATA_QUALITE!V4921,DATA_CLEANED!AN435))))</f>
        <v>MATCH NUL</v>
      </c>
      <c r="BH444" s="103" t="str">
        <f>IF(AND(BG444="MATCH NUL",DATA_CLEANED!AO435="-"),"MATCH_NUL",IF(ISNUMBER(SEARCH("win on penalties",W4921)),"WIN_BY_PENALTY",IF(ISNUMBER(SEARCH("win after extra time",W4921)),"WIN_BY_EXTRA_TIME",IF(ISNUMBER(SEARCH("Golden Goal",W4921)),"WIN_BY_GOLDEN_GOAL","WIN_BY_SCORE"))))</f>
        <v>MATCH_NUL</v>
      </c>
      <c r="BI444" s="99" t="str">
        <f>IF(OR(BG444=DATA_CLEANED!AK435,BG444=DATA_CLEANED!AN435,BG444="MATCH NUL"),"OK","ERREUR")</f>
        <v>OK</v>
      </c>
    </row>
    <row r="445" spans="2:61">
      <c r="B445" s="75">
        <v>8</v>
      </c>
      <c r="C445" s="15" t="str">
        <v>Ladislav Krejčí</v>
      </c>
      <c r="D445" s="15">
        <v>27</v>
      </c>
      <c r="E445" s="15" t="str">
        <v>Czech Republic</v>
      </c>
      <c r="F445" s="15" t="str">
        <v>CB</v>
      </c>
      <c r="G445" s="15" t="str">
        <v>Wolverhampton Wanderers</v>
      </c>
      <c r="H445" s="15">
        <v>7</v>
      </c>
      <c r="I445" s="15" t="str">
        <f t="shared" si="44"/>
        <v>8|Ladislav Krejčí|27|Czech Republic|CB|Wolverhampton Wanderers|7</v>
      </c>
      <c r="J445" s="15" t="str">
        <f>IF(COUNTIF(I$438:I445,I445)&gt;1,"DOUBLON","OK")</f>
        <v>OK</v>
      </c>
      <c r="S445" s="30" t="str">
        <v>France</v>
      </c>
      <c r="T445" s="30" t="str">
        <f t="shared" si="45"/>
        <v>OK</v>
      </c>
      <c r="U445" s="30" t="str">
        <f t="shared" si="40"/>
        <v>-</v>
      </c>
      <c r="V445" s="30" t="str" cm="1">
        <f t="array" ref="V445">_xlfn.IFS(
ISNUMBER(SEARCH("USA",S445)),"United States",
ISNUMBER(SEARCH("Republic of Korea",S445)),"South Korea",
ISNUMBER(SEARCH("Cape Verde",S445)),"Cabo Verde",
ISNUMBER(SEARCH("Czechia",S445)),"Czech Republic",
ISNUMBER(SEARCH("Türkiye",S445)),"Turkey",
ISNUMBER(SEARCH("Ivory Coast",S445)),"Côte d'Ivoire",
ISNUMBER(SEARCH("Korea Republic",S445)),"South Korea",
ISNUMBER(SEARCH("Germany FR",S445)),"FR Germany",
ISNUMBER(SEARCH("West Germany",S445)),"FR Germany",
ISNUMBER(SEARCH("Germany DR",S445)),"DR Germany",
ISNUMBER(SEARCH("Korea DPR",S445)),"North Korea",
ISNUMBER(SEARCH("China PR",S445)),"China",
ISNUMBER(SEARCH("IR Iran",S445)),"Iran",
ISNUMBER(SEARCH("Congo DR",S445)),"Democratic Republic of the Congo",
ISNUMBER(SEARCH("DR Congo",S445)),"Democratic Republic of the Congo",
ISNUMBER(SEARCH("German DR",S445)),"DR Germany",
ISNUMBER(SEARCH("rn""&gt;United Arab Emirates",S445)),"United Arab Emirates",
ISNUMBER(SEARCH("rn""&gt;Republic of Ireland",S445)),"Ireland",
ISNUMBER(SEARCH("rn""&gt;Bosnia and Herzegovina",S445)),"Bosnia and Herzegovina",
ISNUMBER(SEARCH("rn""&gt;Trinidad and Tobago",S445)),"Trinidad and Tobago",
ISNUMBER(SEARCH("rn""&gt;Serbia and Montenegro",S445)),"Serbia and Montenegro",
ISNUMBER(SEARCH(_xlfn.UNICHAR(65533),S445)),"Côte d'Ivoire",
TRUE,""
)</f>
        <v/>
      </c>
      <c r="W445" s="30" t="str">
        <f t="shared" si="41"/>
        <v>France</v>
      </c>
      <c r="Z445" s="40" t="str">
        <v>Estadio Universitario</v>
      </c>
      <c r="AA445" s="40" t="str" cm="1">
        <f t="array" ref="AA445">IFERROR(_xlfn.XLOOKUP(Z445,_xlfn.ANCHORARRAY(Z$31),AA$31:AA$37),Z445)</f>
        <v>Estadio Universitario</v>
      </c>
      <c r="AB445" s="42" t="str">
        <v xml:space="preserve">Monterrey </v>
      </c>
      <c r="AC445" s="89" t="str">
        <f t="shared" si="43"/>
        <v xml:space="preserve">Monterrey </v>
      </c>
      <c r="AE445" s="42">
        <v>1986</v>
      </c>
      <c r="AK445" s="42">
        <v>0</v>
      </c>
      <c r="AL445" s="42">
        <v>1</v>
      </c>
      <c r="AW445" s="89" t="str">
        <v>GROUP_STAGE</v>
      </c>
      <c r="BE445" s="43" t="str">
        <f>IF(OR(DATA_CLEANED!AL436="",DATA_CLEANED!AM436=""),"MANQUANT",IF(OR(NOT(ISNUMBER(DATA_CLEANED!AL436)),NOT(ISNUMBER(DATA_CLEANED!AM436))),"ENTREE INVALIDE",IF(OR(DATA_CLEANED!AL436&lt;0,DATA_CLEANED!AM436&lt;0),"SCORE NEGATIF","OK")))</f>
        <v>OK</v>
      </c>
      <c r="BF445" s="43" t="str">
        <f>IF(DATA_CLEANED!AK436&lt;&gt;DATA_CLEANED!AN436,"OK","ERREUR")</f>
        <v>OK</v>
      </c>
      <c r="BG445" s="43" t="str">
        <f>IF(DATA_CLEANED!AL436&gt;DATA_CLEANED!AM436,DATA_CLEANED!AK436,IF(AND(DATA_QUALITE!W4922="-",DATA_CLEANED!AM436=DATA_CLEANED!AL436),"MATCH NUL",IF(AND(DATA_QUALITE!V4922="-",DATA_QUALITE!U4922="AUCUNE"),DATA_QUALITE!T4922,IF(DATA_QUALITE!V4922&lt;&gt;"-",DATA_QUALITE!V4922,DATA_CLEANED!AN436))))</f>
        <v>MATCH NUL</v>
      </c>
      <c r="BH445" s="103" t="str">
        <f>IF(AND(BG445="MATCH NUL",DATA_CLEANED!AO436="-"),"MATCH_NUL",IF(ISNUMBER(SEARCH("win on penalties",W4922)),"WIN_BY_PENALTY",IF(ISNUMBER(SEARCH("win after extra time",W4922)),"WIN_BY_EXTRA_TIME",IF(ISNUMBER(SEARCH("Golden Goal",W4922)),"WIN_BY_GOLDEN_GOAL","WIN_BY_SCORE"))))</f>
        <v>MATCH_NUL</v>
      </c>
      <c r="BI445" s="99" t="str">
        <f>IF(OR(BG445=DATA_CLEANED!AK436,BG445=DATA_CLEANED!AN436,BG445="MATCH NUL"),"OK","ERREUR")</f>
        <v>OK</v>
      </c>
    </row>
    <row r="446" spans="2:61">
      <c r="B446" s="75">
        <v>9</v>
      </c>
      <c r="C446" s="15" t="str">
        <v>David Jurásek</v>
      </c>
      <c r="D446" s="15">
        <v>25</v>
      </c>
      <c r="E446" s="15" t="str">
        <v>Czech Republic</v>
      </c>
      <c r="F446" s="15" t="str">
        <v>LB</v>
      </c>
      <c r="G446" s="15" t="str">
        <v>Slavia Prague</v>
      </c>
      <c r="H446" s="15">
        <v>14</v>
      </c>
      <c r="I446" s="15" t="str">
        <f t="shared" si="44"/>
        <v>9|David Jurásek|25|Czech Republic|LB|Slavia Prague|14</v>
      </c>
      <c r="J446" s="15" t="str">
        <f>IF(COUNTIF(I$438:I446,I446)&gt;1,"DOUBLON","OK")</f>
        <v>OK</v>
      </c>
      <c r="S446" s="30" t="str">
        <v>France</v>
      </c>
      <c r="T446" s="30" t="str">
        <f t="shared" si="45"/>
        <v>OK</v>
      </c>
      <c r="U446" s="30" t="str">
        <f t="shared" si="40"/>
        <v>-</v>
      </c>
      <c r="V446" s="30" t="str" cm="1">
        <f t="array" ref="V446">_xlfn.IFS(
ISNUMBER(SEARCH("USA",S446)),"United States",
ISNUMBER(SEARCH("Republic of Korea",S446)),"South Korea",
ISNUMBER(SEARCH("Cape Verde",S446)),"Cabo Verde",
ISNUMBER(SEARCH("Czechia",S446)),"Czech Republic",
ISNUMBER(SEARCH("Türkiye",S446)),"Turkey",
ISNUMBER(SEARCH("Ivory Coast",S446)),"Côte d'Ivoire",
ISNUMBER(SEARCH("Korea Republic",S446)),"South Korea",
ISNUMBER(SEARCH("Germany FR",S446)),"FR Germany",
ISNUMBER(SEARCH("West Germany",S446)),"FR Germany",
ISNUMBER(SEARCH("Germany DR",S446)),"DR Germany",
ISNUMBER(SEARCH("Korea DPR",S446)),"North Korea",
ISNUMBER(SEARCH("China PR",S446)),"China",
ISNUMBER(SEARCH("IR Iran",S446)),"Iran",
ISNUMBER(SEARCH("Congo DR",S446)),"Democratic Republic of the Congo",
ISNUMBER(SEARCH("DR Congo",S446)),"Democratic Republic of the Congo",
ISNUMBER(SEARCH("German DR",S446)),"DR Germany",
ISNUMBER(SEARCH("rn""&gt;United Arab Emirates",S446)),"United Arab Emirates",
ISNUMBER(SEARCH("rn""&gt;Republic of Ireland",S446)),"Ireland",
ISNUMBER(SEARCH("rn""&gt;Bosnia and Herzegovina",S446)),"Bosnia and Herzegovina",
ISNUMBER(SEARCH("rn""&gt;Trinidad and Tobago",S446)),"Trinidad and Tobago",
ISNUMBER(SEARCH("rn""&gt;Serbia and Montenegro",S446)),"Serbia and Montenegro",
ISNUMBER(SEARCH(_xlfn.UNICHAR(65533),S446)),"Côte d'Ivoire",
TRUE,""
)</f>
        <v/>
      </c>
      <c r="W446" s="30" t="str">
        <f t="shared" si="41"/>
        <v>France</v>
      </c>
      <c r="Z446" s="40" t="str">
        <v>Cuauhtemoc</v>
      </c>
      <c r="AA446" s="40" t="str" cm="1">
        <f t="array" ref="AA446">IFERROR(_xlfn.XLOOKUP(Z446,_xlfn.ANCHORARRAY(Z$31),AA$31:AA$37),Z446)</f>
        <v>Cuauhtemoc</v>
      </c>
      <c r="AB446" s="42" t="str">
        <v xml:space="preserve">Puebla </v>
      </c>
      <c r="AC446" s="89" t="str">
        <f t="shared" si="43"/>
        <v xml:space="preserve">Puebla </v>
      </c>
      <c r="AE446" s="42">
        <v>1986</v>
      </c>
      <c r="AK446" s="42">
        <v>6</v>
      </c>
      <c r="AL446" s="42">
        <v>0</v>
      </c>
      <c r="AW446" s="89" t="str">
        <v>GROUP_STAGE</v>
      </c>
      <c r="BE446" s="43" t="str">
        <f>IF(OR(DATA_CLEANED!AL437="",DATA_CLEANED!AM437=""),"MANQUANT",IF(OR(NOT(ISNUMBER(DATA_CLEANED!AL437)),NOT(ISNUMBER(DATA_CLEANED!AM437))),"ENTREE INVALIDE",IF(OR(DATA_CLEANED!AL437&lt;0,DATA_CLEANED!AM437&lt;0),"SCORE NEGATIF","OK")))</f>
        <v>OK</v>
      </c>
      <c r="BF446" s="43" t="str">
        <f>IF(DATA_CLEANED!AK437&lt;&gt;DATA_CLEANED!AN437,"OK","ERREUR")</f>
        <v>OK</v>
      </c>
      <c r="BG446" s="43" t="str">
        <f>IF(DATA_CLEANED!AL437&gt;DATA_CLEANED!AM437,DATA_CLEANED!AK437,IF(AND(DATA_QUALITE!W4923="-",DATA_CLEANED!AM437=DATA_CLEANED!AL437),"MATCH NUL",IF(AND(DATA_QUALITE!V4923="-",DATA_QUALITE!U4923="AUCUNE"),DATA_QUALITE!T4923,IF(DATA_QUALITE!V4923&lt;&gt;"-",DATA_QUALITE!V4923,DATA_CLEANED!AN437))))</f>
        <v>Spain</v>
      </c>
      <c r="BH446" s="103" t="str">
        <f>IF(AND(BG446="MATCH NUL",DATA_CLEANED!AO437="-"),"MATCH_NUL",IF(ISNUMBER(SEARCH("win on penalties",W4923)),"WIN_BY_PENALTY",IF(ISNUMBER(SEARCH("win after extra time",W4923)),"WIN_BY_EXTRA_TIME",IF(ISNUMBER(SEARCH("Golden Goal",W4923)),"WIN_BY_GOLDEN_GOAL","WIN_BY_SCORE"))))</f>
        <v>WIN_BY_SCORE</v>
      </c>
      <c r="BI446" s="99" t="str">
        <f>IF(OR(BG446=DATA_CLEANED!AK437,BG446=DATA_CLEANED!AN437,BG446="MATCH NUL"),"OK","ERREUR")</f>
        <v>OK</v>
      </c>
    </row>
    <row r="447" spans="2:61">
      <c r="B447" s="75">
        <v>10</v>
      </c>
      <c r="C447" s="15" t="str">
        <v>Jaroslav Zelený</v>
      </c>
      <c r="D447" s="15">
        <v>33</v>
      </c>
      <c r="E447" s="15" t="str">
        <v>Czech Republic</v>
      </c>
      <c r="F447" s="15" t="str">
        <v>LB</v>
      </c>
      <c r="G447" s="15" t="str">
        <v>Sparta Prague</v>
      </c>
      <c r="H447" s="15">
        <v>20</v>
      </c>
      <c r="I447" s="15" t="str">
        <f t="shared" si="44"/>
        <v>10|Jaroslav Zelený|33|Czech Republic|LB|Sparta Prague|20</v>
      </c>
      <c r="J447" s="15" t="str">
        <f>IF(COUNTIF(I$438:I447,I447)&gt;1,"DOUBLON","OK")</f>
        <v>OK</v>
      </c>
      <c r="S447" s="30" t="str">
        <v>Mexico</v>
      </c>
      <c r="T447" s="30" t="str">
        <f t="shared" si="45"/>
        <v>OK</v>
      </c>
      <c r="U447" s="30" t="str">
        <f t="shared" si="40"/>
        <v>-</v>
      </c>
      <c r="V447" s="30" t="str" cm="1">
        <f t="array" ref="V447">_xlfn.IFS(
ISNUMBER(SEARCH("USA",S447)),"United States",
ISNUMBER(SEARCH("Republic of Korea",S447)),"South Korea",
ISNUMBER(SEARCH("Cape Verde",S447)),"Cabo Verde",
ISNUMBER(SEARCH("Czechia",S447)),"Czech Republic",
ISNUMBER(SEARCH("Türkiye",S447)),"Turkey",
ISNUMBER(SEARCH("Ivory Coast",S447)),"Côte d'Ivoire",
ISNUMBER(SEARCH("Korea Republic",S447)),"South Korea",
ISNUMBER(SEARCH("Germany FR",S447)),"FR Germany",
ISNUMBER(SEARCH("West Germany",S447)),"FR Germany",
ISNUMBER(SEARCH("Germany DR",S447)),"DR Germany",
ISNUMBER(SEARCH("Korea DPR",S447)),"North Korea",
ISNUMBER(SEARCH("China PR",S447)),"China",
ISNUMBER(SEARCH("IR Iran",S447)),"Iran",
ISNUMBER(SEARCH("Congo DR",S447)),"Democratic Republic of the Congo",
ISNUMBER(SEARCH("DR Congo",S447)),"Democratic Republic of the Congo",
ISNUMBER(SEARCH("German DR",S447)),"DR Germany",
ISNUMBER(SEARCH("rn""&gt;United Arab Emirates",S447)),"United Arab Emirates",
ISNUMBER(SEARCH("rn""&gt;Republic of Ireland",S447)),"Ireland",
ISNUMBER(SEARCH("rn""&gt;Bosnia and Herzegovina",S447)),"Bosnia and Herzegovina",
ISNUMBER(SEARCH("rn""&gt;Trinidad and Tobago",S447)),"Trinidad and Tobago",
ISNUMBER(SEARCH("rn""&gt;Serbia and Montenegro",S447)),"Serbia and Montenegro",
ISNUMBER(SEARCH(_xlfn.UNICHAR(65533),S447)),"Côte d'Ivoire",
TRUE,""
)</f>
        <v/>
      </c>
      <c r="W447" s="30" t="str">
        <f t="shared" si="41"/>
        <v>Mexico</v>
      </c>
      <c r="Z447" s="40" t="str">
        <v>Estadio Azteca</v>
      </c>
      <c r="AA447" s="40" t="str" cm="1">
        <f t="array" ref="AA447">IFERROR(_xlfn.XLOOKUP(Z447,_xlfn.ANCHORARRAY(Z$31),AA$31:AA$37),Z447)</f>
        <v>Estadio Azteca</v>
      </c>
      <c r="AB447" s="42" t="str">
        <v xml:space="preserve">Mexico City </v>
      </c>
      <c r="AC447" s="89" t="str">
        <f t="shared" si="43"/>
        <v xml:space="preserve">Mexico City </v>
      </c>
      <c r="AE447" s="42">
        <v>1986</v>
      </c>
      <c r="AK447" s="42">
        <v>3</v>
      </c>
      <c r="AL447" s="42">
        <v>1</v>
      </c>
      <c r="AW447" s="89" t="str">
        <v>GROUP_STAGE</v>
      </c>
      <c r="BE447" s="43" t="str">
        <f>IF(OR(DATA_CLEANED!AL438="",DATA_CLEANED!AM438=""),"MANQUANT",IF(OR(NOT(ISNUMBER(DATA_CLEANED!AL438)),NOT(ISNUMBER(DATA_CLEANED!AM438))),"ENTREE INVALIDE",IF(OR(DATA_CLEANED!AL438&lt;0,DATA_CLEANED!AM438&lt;0),"SCORE NEGATIF","OK")))</f>
        <v>OK</v>
      </c>
      <c r="BF447" s="43" t="str">
        <f>IF(DATA_CLEANED!AK438&lt;&gt;DATA_CLEANED!AN438,"OK","ERREUR")</f>
        <v>OK</v>
      </c>
      <c r="BG447" s="43" t="str">
        <f>IF(DATA_CLEANED!AL438&gt;DATA_CLEANED!AM438,DATA_CLEANED!AK438,IF(AND(DATA_QUALITE!W4924="-",DATA_CLEANED!AM438=DATA_CLEANED!AL438),"MATCH NUL",IF(AND(DATA_QUALITE!V4924="-",DATA_QUALITE!U4924="AUCUNE"),DATA_QUALITE!T4924,IF(DATA_QUALITE!V4924&lt;&gt;"-",DATA_QUALITE!V4924,DATA_CLEANED!AN438))))</f>
        <v>Belgium</v>
      </c>
      <c r="BH447" s="103" t="str">
        <f>IF(AND(BG447="MATCH NUL",DATA_CLEANED!AO438="-"),"MATCH_NUL",IF(ISNUMBER(SEARCH("win on penalties",W4924)),"WIN_BY_PENALTY",IF(ISNUMBER(SEARCH("win after extra time",W4924)),"WIN_BY_EXTRA_TIME",IF(ISNUMBER(SEARCH("Golden Goal",W4924)),"WIN_BY_GOLDEN_GOAL","WIN_BY_SCORE"))))</f>
        <v>WIN_BY_SCORE</v>
      </c>
      <c r="BI447" s="99" t="str">
        <f>IF(OR(BG447=DATA_CLEANED!AK438,BG447=DATA_CLEANED!AN438,BG447="MATCH NUL"),"OK","ERREUR")</f>
        <v>OK</v>
      </c>
    </row>
    <row r="448" spans="2:61">
      <c r="B448" s="75">
        <v>11</v>
      </c>
      <c r="C448" s="15" t="str">
        <v>Vladimír Coufal</v>
      </c>
      <c r="D448" s="15">
        <v>33</v>
      </c>
      <c r="E448" s="15" t="str">
        <v>Czech Republic</v>
      </c>
      <c r="F448" s="15" t="str">
        <v>RB</v>
      </c>
      <c r="G448" s="15" t="str">
        <v>TSG Hoffenheim</v>
      </c>
      <c r="H448" s="15">
        <v>5</v>
      </c>
      <c r="I448" s="15" t="str">
        <f t="shared" si="44"/>
        <v>11|Vladimír Coufal|33|Czech Republic|RB|TSG Hoffenheim|5</v>
      </c>
      <c r="J448" s="15" t="str">
        <f>IF(COUNTIF(I$438:I448,I448)&gt;1,"DOUBLON","OK")</f>
        <v>OK</v>
      </c>
      <c r="S448" s="30" t="str">
        <v>Mexico</v>
      </c>
      <c r="T448" s="30" t="str">
        <f t="shared" si="45"/>
        <v>OK</v>
      </c>
      <c r="U448" s="30" t="str">
        <f t="shared" ref="U448:U511" si="46">IF(OR(S448="Scotland",S448="England",S448="Wales",S448="Yugoslavia",S448="Czechoslovakia",S448="Northern Ireland",S448="Soviet Union",S448="Zaire",S448="Dutch East Indies"),"AUCUNE",IF(OR(S448="Cape Verde",S448="USA",S448="DR Congo",S448="Republic of Korea",S448="Germany FR",S448="Germany DR",S448="Czechia",S448="Ivory Coast",S448="Korea DPR",S448="China PR",S448="IR Iran",S448="Türkiye",S448="Congo DR",S448="German DR",S448="West Germany",S448="Republic of Ireland",ISNUMBER(SEARCH("rn""&gt;United Arab Emirates",S448)),ISNUMBER(SEARCH("rn""&gt;Republic of Ireland",S448)),ISNUMBER(SEARCH("rn""&gt;Bosnia and Herzegovina",S448)),ISNUMBER(SEARCH("rn""&gt;Trinidad and Tobago",S448)),ISNUMBER(SEARCH("rn""&gt;Serbia and Montenegro",S448)),ISNUMBER(SEARCH(_xlfn.UNICHAR(65533),S448))),"RENOMMER","-"))</f>
        <v>-</v>
      </c>
      <c r="V448" s="30" t="str" cm="1">
        <f t="array" ref="V448">_xlfn.IFS(
ISNUMBER(SEARCH("USA",S448)),"United States",
ISNUMBER(SEARCH("Republic of Korea",S448)),"South Korea",
ISNUMBER(SEARCH("Cape Verde",S448)),"Cabo Verde",
ISNUMBER(SEARCH("Czechia",S448)),"Czech Republic",
ISNUMBER(SEARCH("Türkiye",S448)),"Turkey",
ISNUMBER(SEARCH("Ivory Coast",S448)),"Côte d'Ivoire",
ISNUMBER(SEARCH("Korea Republic",S448)),"South Korea",
ISNUMBER(SEARCH("Germany FR",S448)),"FR Germany",
ISNUMBER(SEARCH("West Germany",S448)),"FR Germany",
ISNUMBER(SEARCH("Germany DR",S448)),"DR Germany",
ISNUMBER(SEARCH("Korea DPR",S448)),"North Korea",
ISNUMBER(SEARCH("China PR",S448)),"China",
ISNUMBER(SEARCH("IR Iran",S448)),"Iran",
ISNUMBER(SEARCH("Congo DR",S448)),"Democratic Republic of the Congo",
ISNUMBER(SEARCH("DR Congo",S448)),"Democratic Republic of the Congo",
ISNUMBER(SEARCH("German DR",S448)),"DR Germany",
ISNUMBER(SEARCH("rn""&gt;United Arab Emirates",S448)),"United Arab Emirates",
ISNUMBER(SEARCH("rn""&gt;Republic of Ireland",S448)),"Ireland",
ISNUMBER(SEARCH("rn""&gt;Bosnia and Herzegovina",S448)),"Bosnia and Herzegovina",
ISNUMBER(SEARCH("rn""&gt;Trinidad and Tobago",S448)),"Trinidad and Tobago",
ISNUMBER(SEARCH("rn""&gt;Serbia and Montenegro",S448)),"Serbia and Montenegro",
ISNUMBER(SEARCH(_xlfn.UNICHAR(65533),S448)),"Côte d'Ivoire",
TRUE,""
)</f>
        <v/>
      </c>
      <c r="W448" s="30" t="str">
        <f t="shared" si="41"/>
        <v>Mexico</v>
      </c>
      <c r="Z448" s="40" t="str">
        <v>Jalisco</v>
      </c>
      <c r="AA448" s="40" t="str" cm="1">
        <f t="array" ref="AA448">IFERROR(_xlfn.XLOOKUP(Z448,_xlfn.ANCHORARRAY(Z$31),AA$31:AA$37),Z448)</f>
        <v>Jalisco</v>
      </c>
      <c r="AB448" s="42" t="str">
        <v xml:space="preserve">Guadalajara </v>
      </c>
      <c r="AC448" s="89" t="str">
        <f t="shared" si="43"/>
        <v xml:space="preserve">Guadalajara </v>
      </c>
      <c r="AE448" s="42">
        <v>1986</v>
      </c>
      <c r="AK448" s="42">
        <v>0</v>
      </c>
      <c r="AL448" s="42">
        <v>0</v>
      </c>
      <c r="AW448" s="89" t="str">
        <v>GROUP_STAGE</v>
      </c>
      <c r="BE448" s="43" t="str">
        <f>IF(OR(DATA_CLEANED!AL439="",DATA_CLEANED!AM439=""),"MANQUANT",IF(OR(NOT(ISNUMBER(DATA_CLEANED!AL439)),NOT(ISNUMBER(DATA_CLEANED!AM439))),"ENTREE INVALIDE",IF(OR(DATA_CLEANED!AL439&lt;0,DATA_CLEANED!AM439&lt;0),"SCORE NEGATIF","OK")))</f>
        <v>OK</v>
      </c>
      <c r="BF448" s="43" t="str">
        <f>IF(DATA_CLEANED!AK439&lt;&gt;DATA_CLEANED!AN439,"OK","ERREUR")</f>
        <v>OK</v>
      </c>
      <c r="BG448" s="43" t="str">
        <f>IF(DATA_CLEANED!AL439&gt;DATA_CLEANED!AM439,DATA_CLEANED!AK439,IF(AND(DATA_QUALITE!W4925="-",DATA_CLEANED!AM439=DATA_CLEANED!AL439),"MATCH NUL",IF(AND(DATA_QUALITE!V4925="-",DATA_QUALITE!U4925="AUCUNE"),DATA_QUALITE!T4925,IF(DATA_QUALITE!V4925&lt;&gt;"-",DATA_QUALITE!V4925,DATA_CLEANED!AN439))))</f>
        <v>MATCH NUL</v>
      </c>
      <c r="BH448" s="103" t="str">
        <f>IF(AND(BG448="MATCH NUL",DATA_CLEANED!AO439="-"),"MATCH_NUL",IF(ISNUMBER(SEARCH("win on penalties",W4925)),"WIN_BY_PENALTY",IF(ISNUMBER(SEARCH("win after extra time",W4925)),"WIN_BY_EXTRA_TIME",IF(ISNUMBER(SEARCH("Golden Goal",W4925)),"WIN_BY_GOLDEN_GOAL","WIN_BY_SCORE"))))</f>
        <v>MATCH_NUL</v>
      </c>
      <c r="BI448" s="99" t="str">
        <f>IF(OR(BG448=DATA_CLEANED!AK439,BG448=DATA_CLEANED!AN439,BG448="MATCH NUL"),"OK","ERREUR")</f>
        <v>OK</v>
      </c>
    </row>
    <row r="449" spans="2:61">
      <c r="B449" s="75">
        <v>12</v>
      </c>
      <c r="C449" s="15" t="str">
        <v>David Douděra</v>
      </c>
      <c r="D449" s="15">
        <v>28</v>
      </c>
      <c r="E449" s="15" t="str">
        <v>Czech Republic</v>
      </c>
      <c r="F449" s="15" t="str">
        <v>RB</v>
      </c>
      <c r="G449" s="15" t="str">
        <v>Slavia Prague</v>
      </c>
      <c r="H449" s="15">
        <v>21</v>
      </c>
      <c r="I449" s="15" t="str">
        <f t="shared" si="44"/>
        <v>12|David Douděra|28|Czech Republic|RB|Slavia Prague|21</v>
      </c>
      <c r="J449" s="15" t="str">
        <f>IF(COUNTIF(I$438:I449,I449)&gt;1,"DOUBLON","OK")</f>
        <v>OK</v>
      </c>
      <c r="S449" s="30" t="str">
        <v>Mexico</v>
      </c>
      <c r="T449" s="30" t="str">
        <f t="shared" si="45"/>
        <v>OK</v>
      </c>
      <c r="U449" s="30" t="str">
        <f t="shared" si="46"/>
        <v>-</v>
      </c>
      <c r="V449" s="30" t="str" cm="1">
        <f t="array" ref="V449">_xlfn.IFS(
ISNUMBER(SEARCH("USA",S449)),"United States",
ISNUMBER(SEARCH("Republic of Korea",S449)),"South Korea",
ISNUMBER(SEARCH("Cape Verde",S449)),"Cabo Verde",
ISNUMBER(SEARCH("Czechia",S449)),"Czech Republic",
ISNUMBER(SEARCH("Türkiye",S449)),"Turkey",
ISNUMBER(SEARCH("Ivory Coast",S449)),"Côte d'Ivoire",
ISNUMBER(SEARCH("Korea Republic",S449)),"South Korea",
ISNUMBER(SEARCH("Germany FR",S449)),"FR Germany",
ISNUMBER(SEARCH("West Germany",S449)),"FR Germany",
ISNUMBER(SEARCH("Germany DR",S449)),"DR Germany",
ISNUMBER(SEARCH("Korea DPR",S449)),"North Korea",
ISNUMBER(SEARCH("China PR",S449)),"China",
ISNUMBER(SEARCH("IR Iran",S449)),"Iran",
ISNUMBER(SEARCH("Congo DR",S449)),"Democratic Republic of the Congo",
ISNUMBER(SEARCH("DR Congo",S449)),"Democratic Republic of the Congo",
ISNUMBER(SEARCH("German DR",S449)),"DR Germany",
ISNUMBER(SEARCH("rn""&gt;United Arab Emirates",S449)),"United Arab Emirates",
ISNUMBER(SEARCH("rn""&gt;Republic of Ireland",S449)),"Ireland",
ISNUMBER(SEARCH("rn""&gt;Bosnia and Herzegovina",S449)),"Bosnia and Herzegovina",
ISNUMBER(SEARCH("rn""&gt;Trinidad and Tobago",S449)),"Trinidad and Tobago",
ISNUMBER(SEARCH("rn""&gt;Serbia and Montenegro",S449)),"Serbia and Montenegro",
ISNUMBER(SEARCH(_xlfn.UNICHAR(65533),S449)),"Côte d'Ivoire",
TRUE,""
)</f>
        <v/>
      </c>
      <c r="W449" s="30" t="str">
        <f t="shared" si="41"/>
        <v>Mexico</v>
      </c>
      <c r="Z449" s="40" t="str">
        <v>Estadio Azteca</v>
      </c>
      <c r="AA449" s="40" t="str" cm="1">
        <f t="array" ref="AA449">IFERROR(_xlfn.XLOOKUP(Z449,_xlfn.ANCHORARRAY(Z$31),AA$31:AA$37),Z449)</f>
        <v>Estadio Azteca</v>
      </c>
      <c r="AB449" s="42" t="str">
        <v xml:space="preserve">Mexico City </v>
      </c>
      <c r="AC449" s="89" t="str">
        <f t="shared" si="43"/>
        <v xml:space="preserve">Mexico City </v>
      </c>
      <c r="AE449" s="42">
        <v>1986</v>
      </c>
      <c r="AK449" s="42">
        <v>1</v>
      </c>
      <c r="AL449" s="42">
        <v>1</v>
      </c>
      <c r="AW449" s="89" t="str">
        <v>GROUP_STAGE</v>
      </c>
      <c r="BE449" s="43" t="str">
        <f>IF(OR(DATA_CLEANED!AL440="",DATA_CLEANED!AM440=""),"MANQUANT",IF(OR(NOT(ISNUMBER(DATA_CLEANED!AL440)),NOT(ISNUMBER(DATA_CLEANED!AM440))),"ENTREE INVALIDE",IF(OR(DATA_CLEANED!AL440&lt;0,DATA_CLEANED!AM440&lt;0),"SCORE NEGATIF","OK")))</f>
        <v>OK</v>
      </c>
      <c r="BF449" s="43" t="str">
        <f>IF(DATA_CLEANED!AK440&lt;&gt;DATA_CLEANED!AN440,"OK","ERREUR")</f>
        <v>OK</v>
      </c>
      <c r="BG449" s="43" t="str">
        <f>IF(DATA_CLEANED!AL440&gt;DATA_CLEANED!AM440,DATA_CLEANED!AK440,IF(AND(DATA_QUALITE!W4926="-",DATA_CLEANED!AM440=DATA_CLEANED!AL440),"MATCH NUL",IF(AND(DATA_QUALITE!V4926="-",DATA_QUALITE!U4926="AUCUNE"),DATA_QUALITE!T4926,IF(DATA_QUALITE!V4926&lt;&gt;"-",DATA_QUALITE!V4926,DATA_CLEANED!AN440))))</f>
        <v>Soviet Union</v>
      </c>
      <c r="BH449" s="103" t="str">
        <f>IF(AND(BG449="MATCH NUL",DATA_CLEANED!AO440="-"),"MATCH_NUL",IF(ISNUMBER(SEARCH("win on penalties",W4926)),"WIN_BY_PENALTY",IF(ISNUMBER(SEARCH("win after extra time",W4926)),"WIN_BY_EXTRA_TIME",IF(ISNUMBER(SEARCH("Golden Goal",W4926)),"WIN_BY_GOLDEN_GOAL","WIN_BY_SCORE"))))</f>
        <v>WIN_BY_SCORE</v>
      </c>
      <c r="BI449" s="99" t="str">
        <f>IF(OR(BG449=DATA_CLEANED!AK440,BG449=DATA_CLEANED!AN440,BG449="MATCH NUL"),"OK","ERREUR")</f>
        <v>OK</v>
      </c>
    </row>
    <row r="450" spans="2:61">
      <c r="B450" s="75">
        <v>13</v>
      </c>
      <c r="C450" s="15" t="str">
        <v>Lukáš Červ</v>
      </c>
      <c r="D450" s="15">
        <v>25</v>
      </c>
      <c r="E450" s="15" t="str">
        <v>Czech Republic</v>
      </c>
      <c r="F450" s="15" t="str">
        <v>CDM</v>
      </c>
      <c r="G450" s="15" t="str">
        <v>Viktoria Plzeň</v>
      </c>
      <c r="H450" s="15">
        <v>12</v>
      </c>
      <c r="I450" s="15" t="str">
        <f t="shared" si="44"/>
        <v>13|Lukáš Červ|25|Czech Republic|CDM|Viktoria Plzeň|12</v>
      </c>
      <c r="J450" s="15" t="str">
        <f>IF(COUNTIF(I$438:I450,I450)&gt;1,"DOUBLON","OK")</f>
        <v>OK</v>
      </c>
      <c r="S450" s="30" t="str">
        <v>Mexico</v>
      </c>
      <c r="T450" s="30" t="str">
        <f t="shared" si="45"/>
        <v>OK</v>
      </c>
      <c r="U450" s="30" t="str">
        <f t="shared" si="46"/>
        <v>-</v>
      </c>
      <c r="V450" s="30" t="str" cm="1">
        <f t="array" ref="V450">_xlfn.IFS(
ISNUMBER(SEARCH("USA",S450)),"United States",
ISNUMBER(SEARCH("Republic of Korea",S450)),"South Korea",
ISNUMBER(SEARCH("Cape Verde",S450)),"Cabo Verde",
ISNUMBER(SEARCH("Czechia",S450)),"Czech Republic",
ISNUMBER(SEARCH("Türkiye",S450)),"Turkey",
ISNUMBER(SEARCH("Ivory Coast",S450)),"Côte d'Ivoire",
ISNUMBER(SEARCH("Korea Republic",S450)),"South Korea",
ISNUMBER(SEARCH("Germany FR",S450)),"FR Germany",
ISNUMBER(SEARCH("West Germany",S450)),"FR Germany",
ISNUMBER(SEARCH("Germany DR",S450)),"DR Germany",
ISNUMBER(SEARCH("Korea DPR",S450)),"North Korea",
ISNUMBER(SEARCH("China PR",S450)),"China",
ISNUMBER(SEARCH("IR Iran",S450)),"Iran",
ISNUMBER(SEARCH("Congo DR",S450)),"Democratic Republic of the Congo",
ISNUMBER(SEARCH("DR Congo",S450)),"Democratic Republic of the Congo",
ISNUMBER(SEARCH("German DR",S450)),"DR Germany",
ISNUMBER(SEARCH("rn""&gt;United Arab Emirates",S450)),"United Arab Emirates",
ISNUMBER(SEARCH("rn""&gt;Republic of Ireland",S450)),"Ireland",
ISNUMBER(SEARCH("rn""&gt;Bosnia and Herzegovina",S450)),"Bosnia and Herzegovina",
ISNUMBER(SEARCH("rn""&gt;Trinidad and Tobago",S450)),"Trinidad and Tobago",
ISNUMBER(SEARCH("rn""&gt;Serbia and Montenegro",S450)),"Serbia and Montenegro",
ISNUMBER(SEARCH(_xlfn.UNICHAR(65533),S450)),"Côte d'Ivoire",
TRUE,""
)</f>
        <v/>
      </c>
      <c r="W450" s="30" t="str">
        <f t="shared" si="41"/>
        <v>Mexico</v>
      </c>
      <c r="Z450" s="40" t="str">
        <v>Cuauhtemoc</v>
      </c>
      <c r="AA450" s="40" t="str" cm="1">
        <f t="array" ref="AA450">IFERROR(_xlfn.XLOOKUP(Z450,_xlfn.ANCHORARRAY(Z$31),AA$31:AA$37),Z450)</f>
        <v>Cuauhtemoc</v>
      </c>
      <c r="AB450" s="42" t="str">
        <v xml:space="preserve">Puebla </v>
      </c>
      <c r="AC450" s="89" t="str">
        <f t="shared" si="43"/>
        <v xml:space="preserve">Puebla </v>
      </c>
      <c r="AE450" s="42">
        <v>1986</v>
      </c>
      <c r="AK450" s="42">
        <v>1</v>
      </c>
      <c r="AL450" s="42">
        <v>2</v>
      </c>
      <c r="AW450" s="89" t="str">
        <v>GROUP_STAGE</v>
      </c>
      <c r="BE450" s="43" t="str">
        <f>IF(OR(DATA_CLEANED!AL441="",DATA_CLEANED!AM441=""),"MANQUANT",IF(OR(NOT(ISNUMBER(DATA_CLEANED!AL441)),NOT(ISNUMBER(DATA_CLEANED!AM441))),"ENTREE INVALIDE",IF(OR(DATA_CLEANED!AL441&lt;0,DATA_CLEANED!AM441&lt;0),"SCORE NEGATIF","OK")))</f>
        <v>OK</v>
      </c>
      <c r="BF450" s="43" t="str">
        <f>IF(DATA_CLEANED!AK441&lt;&gt;DATA_CLEANED!AN441,"OK","ERREUR")</f>
        <v>OK</v>
      </c>
      <c r="BG450" s="43" t="str">
        <f>IF(DATA_CLEANED!AL441&gt;DATA_CLEANED!AM441,DATA_CLEANED!AK441,IF(AND(DATA_QUALITE!W4927="-",DATA_CLEANED!AM441=DATA_CLEANED!AL441),"MATCH NUL",IF(AND(DATA_QUALITE!V4927="-",DATA_QUALITE!U4927="AUCUNE"),DATA_QUALITE!T4927,IF(DATA_QUALITE!V4927&lt;&gt;"-",DATA_QUALITE!V4927,DATA_CLEANED!AN441))))</f>
        <v>MATCH NUL</v>
      </c>
      <c r="BH450" s="103" t="str">
        <f>IF(AND(BG450="MATCH NUL",DATA_CLEANED!AO441="-"),"MATCH_NUL",IF(ISNUMBER(SEARCH("win on penalties",W4927)),"WIN_BY_PENALTY",IF(ISNUMBER(SEARCH("win after extra time",W4927)),"WIN_BY_EXTRA_TIME",IF(ISNUMBER(SEARCH("Golden Goal",W4927)),"WIN_BY_GOLDEN_GOAL","WIN_BY_SCORE"))))</f>
        <v>MATCH_NUL</v>
      </c>
      <c r="BI450" s="99" t="str">
        <f>IF(OR(BG450=DATA_CLEANED!AK441,BG450=DATA_CLEANED!AN441,BG450="MATCH NUL"),"OK","ERREUR")</f>
        <v>OK</v>
      </c>
    </row>
    <row r="451" spans="2:61">
      <c r="B451" s="75">
        <v>14</v>
      </c>
      <c r="C451" s="15" t="str">
        <v>Tomáš Souček</v>
      </c>
      <c r="D451" s="15">
        <v>31</v>
      </c>
      <c r="E451" s="15" t="str">
        <v>Czech Republic</v>
      </c>
      <c r="F451" s="15" t="str">
        <v>CDM</v>
      </c>
      <c r="G451" s="15" t="str">
        <v>West Ham United</v>
      </c>
      <c r="H451" s="15">
        <v>22</v>
      </c>
      <c r="I451" s="15" t="str">
        <f t="shared" si="44"/>
        <v>14|Tomáš Souček|31|Czech Republic|CDM|West Ham United|22</v>
      </c>
      <c r="J451" s="15" t="str">
        <f>IF(COUNTIF(I$438:I451,I451)&gt;1,"DOUBLON","OK")</f>
        <v>OK</v>
      </c>
      <c r="S451" s="30" t="str">
        <v>Mexico</v>
      </c>
      <c r="T451" s="30" t="str">
        <f t="shared" si="45"/>
        <v>OK</v>
      </c>
      <c r="U451" s="30" t="str">
        <f t="shared" si="46"/>
        <v>-</v>
      </c>
      <c r="V451" s="30" t="str" cm="1">
        <f t="array" ref="V451">_xlfn.IFS(
ISNUMBER(SEARCH("USA",S451)),"United States",
ISNUMBER(SEARCH("Republic of Korea",S451)),"South Korea",
ISNUMBER(SEARCH("Cape Verde",S451)),"Cabo Verde",
ISNUMBER(SEARCH("Czechia",S451)),"Czech Republic",
ISNUMBER(SEARCH("Türkiye",S451)),"Turkey",
ISNUMBER(SEARCH("Ivory Coast",S451)),"Côte d'Ivoire",
ISNUMBER(SEARCH("Korea Republic",S451)),"South Korea",
ISNUMBER(SEARCH("Germany FR",S451)),"FR Germany",
ISNUMBER(SEARCH("West Germany",S451)),"FR Germany",
ISNUMBER(SEARCH("Germany DR",S451)),"DR Germany",
ISNUMBER(SEARCH("Korea DPR",S451)),"North Korea",
ISNUMBER(SEARCH("China PR",S451)),"China",
ISNUMBER(SEARCH("IR Iran",S451)),"Iran",
ISNUMBER(SEARCH("Congo DR",S451)),"Democratic Republic of the Congo",
ISNUMBER(SEARCH("DR Congo",S451)),"Democratic Republic of the Congo",
ISNUMBER(SEARCH("German DR",S451)),"DR Germany",
ISNUMBER(SEARCH("rn""&gt;United Arab Emirates",S451)),"United Arab Emirates",
ISNUMBER(SEARCH("rn""&gt;Republic of Ireland",S451)),"Ireland",
ISNUMBER(SEARCH("rn""&gt;Bosnia and Herzegovina",S451)),"Bosnia and Herzegovina",
ISNUMBER(SEARCH("rn""&gt;Trinidad and Tobago",S451)),"Trinidad and Tobago",
ISNUMBER(SEARCH("rn""&gt;Serbia and Montenegro",S451)),"Serbia and Montenegro",
ISNUMBER(SEARCH(_xlfn.UNICHAR(65533),S451)),"Côte d'Ivoire",
TRUE,""
)</f>
        <v/>
      </c>
      <c r="W451" s="30" t="str">
        <f t="shared" si="41"/>
        <v>Mexico</v>
      </c>
      <c r="Z451" s="40" t="str">
        <v>Estadio Azteca</v>
      </c>
      <c r="AA451" s="40" t="str" cm="1">
        <f t="array" ref="AA451">IFERROR(_xlfn.XLOOKUP(Z451,_xlfn.ANCHORARRAY(Z$31),AA$31:AA$37),Z451)</f>
        <v>Estadio Azteca</v>
      </c>
      <c r="AB451" s="42" t="str">
        <v xml:space="preserve">Mexico City </v>
      </c>
      <c r="AC451" s="89" t="str">
        <f t="shared" si="43"/>
        <v xml:space="preserve">Mexico City </v>
      </c>
      <c r="AE451" s="42">
        <v>1986</v>
      </c>
      <c r="AK451" s="42">
        <v>1</v>
      </c>
      <c r="AL451" s="42">
        <v>0</v>
      </c>
      <c r="AW451" s="89" t="str">
        <v>GROUP_STAGE</v>
      </c>
      <c r="BE451" s="43" t="str">
        <f>IF(OR(DATA_CLEANED!AL442="",DATA_CLEANED!AM442=""),"MANQUANT",IF(OR(NOT(ISNUMBER(DATA_CLEANED!AL442)),NOT(ISNUMBER(DATA_CLEANED!AM442))),"ENTREE INVALIDE",IF(OR(DATA_CLEANED!AL442&lt;0,DATA_CLEANED!AM442&lt;0),"SCORE NEGATIF","OK")))</f>
        <v>OK</v>
      </c>
      <c r="BF451" s="43" t="str">
        <f>IF(DATA_CLEANED!AK442&lt;&gt;DATA_CLEANED!AN442,"OK","ERREUR")</f>
        <v>OK</v>
      </c>
      <c r="BG451" s="43" t="str">
        <f>IF(DATA_CLEANED!AL442&gt;DATA_CLEANED!AM442,DATA_CLEANED!AK442,IF(AND(DATA_QUALITE!W4928="-",DATA_CLEANED!AM442=DATA_CLEANED!AL442),"MATCH NUL",IF(AND(DATA_QUALITE!V4928="-",DATA_QUALITE!U4928="AUCUNE"),DATA_QUALITE!T4928,IF(DATA_QUALITE!V4928&lt;&gt;"-",DATA_QUALITE!V4928,DATA_CLEANED!AN442))))</f>
        <v>Yugoslavia</v>
      </c>
      <c r="BH451" s="103" t="str">
        <f>IF(AND(BG451="MATCH NUL",DATA_CLEANED!AO442="-"),"MATCH_NUL",IF(ISNUMBER(SEARCH("win on penalties",W4928)),"WIN_BY_PENALTY",IF(ISNUMBER(SEARCH("win after extra time",W4928)),"WIN_BY_EXTRA_TIME",IF(ISNUMBER(SEARCH("Golden Goal",W4928)),"WIN_BY_GOLDEN_GOAL","WIN_BY_SCORE"))))</f>
        <v>WIN_BY_SCORE</v>
      </c>
      <c r="BI451" s="99" t="str">
        <f>IF(OR(BG451=DATA_CLEANED!AK442,BG451=DATA_CLEANED!AN442,BG451="MATCH NUL"),"OK","ERREUR")</f>
        <v>OK</v>
      </c>
    </row>
    <row r="452" spans="2:61">
      <c r="B452" s="75">
        <v>15</v>
      </c>
      <c r="C452" s="15" t="str">
        <v>Vladimír Darida</v>
      </c>
      <c r="D452" s="15">
        <v>35</v>
      </c>
      <c r="E452" s="15" t="str">
        <v>Czech Republic</v>
      </c>
      <c r="F452" s="15" t="str">
        <v>CM</v>
      </c>
      <c r="G452" s="15" t="str">
        <v>Hradec Králové</v>
      </c>
      <c r="H452" s="15">
        <v>8</v>
      </c>
      <c r="I452" s="15" t="str">
        <f t="shared" si="44"/>
        <v>15|Vladimír Darida|35|Czech Republic|CM|Hradec Králové|8</v>
      </c>
      <c r="J452" s="15" t="str">
        <f>IF(COUNTIF(I$438:I452,I452)&gt;1,"DOUBLON","OK")</f>
        <v>OK</v>
      </c>
      <c r="S452" s="30" t="str">
        <v>Mexico</v>
      </c>
      <c r="T452" s="30" t="str">
        <f t="shared" si="45"/>
        <v>OK</v>
      </c>
      <c r="U452" s="30" t="str">
        <f t="shared" si="46"/>
        <v>-</v>
      </c>
      <c r="V452" s="30" t="str" cm="1">
        <f t="array" ref="V452">_xlfn.IFS(
ISNUMBER(SEARCH("USA",S452)),"United States",
ISNUMBER(SEARCH("Republic of Korea",S452)),"South Korea",
ISNUMBER(SEARCH("Cape Verde",S452)),"Cabo Verde",
ISNUMBER(SEARCH("Czechia",S452)),"Czech Republic",
ISNUMBER(SEARCH("Türkiye",S452)),"Turkey",
ISNUMBER(SEARCH("Ivory Coast",S452)),"Côte d'Ivoire",
ISNUMBER(SEARCH("Korea Republic",S452)),"South Korea",
ISNUMBER(SEARCH("Germany FR",S452)),"FR Germany",
ISNUMBER(SEARCH("West Germany",S452)),"FR Germany",
ISNUMBER(SEARCH("Germany DR",S452)),"DR Germany",
ISNUMBER(SEARCH("Korea DPR",S452)),"North Korea",
ISNUMBER(SEARCH("China PR",S452)),"China",
ISNUMBER(SEARCH("IR Iran",S452)),"Iran",
ISNUMBER(SEARCH("Congo DR",S452)),"Democratic Republic of the Congo",
ISNUMBER(SEARCH("DR Congo",S452)),"Democratic Republic of the Congo",
ISNUMBER(SEARCH("German DR",S452)),"DR Germany",
ISNUMBER(SEARCH("rn""&gt;United Arab Emirates",S452)),"United Arab Emirates",
ISNUMBER(SEARCH("rn""&gt;Republic of Ireland",S452)),"Ireland",
ISNUMBER(SEARCH("rn""&gt;Bosnia and Herzegovina",S452)),"Bosnia and Herzegovina",
ISNUMBER(SEARCH("rn""&gt;Trinidad and Tobago",S452)),"Trinidad and Tobago",
ISNUMBER(SEARCH("rn""&gt;Serbia and Montenegro",S452)),"Serbia and Montenegro",
ISNUMBER(SEARCH(_xlfn.UNICHAR(65533),S452)),"Côte d'Ivoire",
TRUE,""
)</f>
        <v/>
      </c>
      <c r="W452" s="30" t="str">
        <f t="shared" si="41"/>
        <v>Mexico</v>
      </c>
      <c r="Z452" s="40" t="str">
        <v>Giuseppe Meazza</v>
      </c>
      <c r="AA452" s="40" t="str" cm="1">
        <f t="array" ref="AA452">IFERROR(_xlfn.XLOOKUP(Z452,_xlfn.ANCHORARRAY(Z$31),AA$31:AA$37),Z452)</f>
        <v>Giuseppe Meazza</v>
      </c>
      <c r="AB452" s="42" t="str">
        <v xml:space="preserve">Milan </v>
      </c>
      <c r="AC452" s="89" t="str">
        <f t="shared" si="43"/>
        <v xml:space="preserve">Milan </v>
      </c>
      <c r="AE452" s="42">
        <v>1986</v>
      </c>
      <c r="AK452" s="42">
        <v>1</v>
      </c>
      <c r="AL452" s="42">
        <v>0</v>
      </c>
      <c r="AW452" s="89" t="str">
        <v>GROUP_STAGE</v>
      </c>
      <c r="BE452" s="43" t="str">
        <f>IF(OR(DATA_CLEANED!AL443="",DATA_CLEANED!AM443=""),"MANQUANT",IF(OR(NOT(ISNUMBER(DATA_CLEANED!AL443)),NOT(ISNUMBER(DATA_CLEANED!AM443))),"ENTREE INVALIDE",IF(OR(DATA_CLEANED!AL443&lt;0,DATA_CLEANED!AM443&lt;0),"SCORE NEGATIF","OK")))</f>
        <v>OK</v>
      </c>
      <c r="BF452" s="43" t="str">
        <f>IF(DATA_CLEANED!AK443&lt;&gt;DATA_CLEANED!AN443,"OK","ERREUR")</f>
        <v>OK</v>
      </c>
      <c r="BG452" s="43" t="str">
        <f>IF(DATA_CLEANED!AL443&gt;DATA_CLEANED!AM443,DATA_CLEANED!AK443,IF(AND(DATA_QUALITE!W4929="-",DATA_CLEANED!AM443=DATA_CLEANED!AL443),"MATCH NUL",IF(AND(DATA_QUALITE!V4929="-",DATA_QUALITE!U4929="AUCUNE"),DATA_QUALITE!T4929,IF(DATA_QUALITE!V4929&lt;&gt;"-",DATA_QUALITE!V4929,DATA_CLEANED!AN443))))</f>
        <v>Italy</v>
      </c>
      <c r="BH452" s="103" t="str">
        <f>IF(AND(BG452="MATCH NUL",DATA_CLEANED!AO443="-"),"MATCH_NUL",IF(ISNUMBER(SEARCH("win on penalties",W4929)),"WIN_BY_PENALTY",IF(ISNUMBER(SEARCH("win after extra time",W4929)),"WIN_BY_EXTRA_TIME",IF(ISNUMBER(SEARCH("Golden Goal",W4929)),"WIN_BY_GOLDEN_GOAL","WIN_BY_SCORE"))))</f>
        <v>WIN_BY_SCORE</v>
      </c>
      <c r="BI452" s="99" t="str">
        <f>IF(OR(BG452=DATA_CLEANED!AK443,BG452=DATA_CLEANED!AN443,BG452="MATCH NUL"),"OK","ERREUR")</f>
        <v>OK</v>
      </c>
    </row>
    <row r="453" spans="2:61">
      <c r="B453" s="75">
        <v>16</v>
      </c>
      <c r="C453" s="15" t="str">
        <v>Lukáš Provod</v>
      </c>
      <c r="D453" s="15">
        <v>29</v>
      </c>
      <c r="E453" s="15" t="str">
        <v>Czech Republic</v>
      </c>
      <c r="F453" s="15" t="str">
        <v>CM</v>
      </c>
      <c r="G453" s="15" t="str">
        <v>Slavia Prague</v>
      </c>
      <c r="H453" s="15">
        <v>17</v>
      </c>
      <c r="I453" s="15" t="str">
        <f t="shared" si="44"/>
        <v>16|Lukáš Provod|29|Czech Republic|CM|Slavia Prague|17</v>
      </c>
      <c r="J453" s="15" t="str">
        <f>IF(COUNTIF(I$438:I453,I453)&gt;1,"DOUBLON","OK")</f>
        <v>OK</v>
      </c>
      <c r="S453" s="30" t="str">
        <v>Mexico</v>
      </c>
      <c r="T453" s="30" t="str">
        <f t="shared" si="45"/>
        <v>OK</v>
      </c>
      <c r="U453" s="30" t="str">
        <f t="shared" si="46"/>
        <v>-</v>
      </c>
      <c r="V453" s="30" t="str" cm="1">
        <f t="array" ref="V453">_xlfn.IFS(
ISNUMBER(SEARCH("USA",S453)),"United States",
ISNUMBER(SEARCH("Republic of Korea",S453)),"South Korea",
ISNUMBER(SEARCH("Cape Verde",S453)),"Cabo Verde",
ISNUMBER(SEARCH("Czechia",S453)),"Czech Republic",
ISNUMBER(SEARCH("Türkiye",S453)),"Turkey",
ISNUMBER(SEARCH("Ivory Coast",S453)),"Côte d'Ivoire",
ISNUMBER(SEARCH("Korea Republic",S453)),"South Korea",
ISNUMBER(SEARCH("Germany FR",S453)),"FR Germany",
ISNUMBER(SEARCH("West Germany",S453)),"FR Germany",
ISNUMBER(SEARCH("Germany DR",S453)),"DR Germany",
ISNUMBER(SEARCH("Korea DPR",S453)),"North Korea",
ISNUMBER(SEARCH("China PR",S453)),"China",
ISNUMBER(SEARCH("IR Iran",S453)),"Iran",
ISNUMBER(SEARCH("Congo DR",S453)),"Democratic Republic of the Congo",
ISNUMBER(SEARCH("DR Congo",S453)),"Democratic Republic of the Congo",
ISNUMBER(SEARCH("German DR",S453)),"DR Germany",
ISNUMBER(SEARCH("rn""&gt;United Arab Emirates",S453)),"United Arab Emirates",
ISNUMBER(SEARCH("rn""&gt;Republic of Ireland",S453)),"Ireland",
ISNUMBER(SEARCH("rn""&gt;Bosnia and Herzegovina",S453)),"Bosnia and Herzegovina",
ISNUMBER(SEARCH("rn""&gt;Trinidad and Tobago",S453)),"Trinidad and Tobago",
ISNUMBER(SEARCH("rn""&gt;Serbia and Montenegro",S453)),"Serbia and Montenegro",
ISNUMBER(SEARCH(_xlfn.UNICHAR(65533),S453)),"Côte d'Ivoire",
TRUE,""
)</f>
        <v/>
      </c>
      <c r="W453" s="30" t="str">
        <f t="shared" si="41"/>
        <v>Mexico</v>
      </c>
      <c r="Z453" s="40" t="str">
        <v>Stadio San Nicola</v>
      </c>
      <c r="AA453" s="40" t="str" cm="1">
        <f t="array" ref="AA453">IFERROR(_xlfn.XLOOKUP(Z453,_xlfn.ANCHORARRAY(Z$31),AA$31:AA$37),Z453)</f>
        <v>Stadio San Nicola</v>
      </c>
      <c r="AB453" s="42" t="str">
        <v xml:space="preserve">Bari </v>
      </c>
      <c r="AC453" s="89" t="str">
        <f t="shared" si="43"/>
        <v xml:space="preserve">Bari </v>
      </c>
      <c r="AE453" s="42">
        <v>1986</v>
      </c>
      <c r="AK453" s="42">
        <v>0</v>
      </c>
      <c r="AL453" s="42">
        <v>1</v>
      </c>
      <c r="AW453" s="89" t="str">
        <v>GROUP_STAGE</v>
      </c>
      <c r="BE453" s="43" t="str">
        <f>IF(OR(DATA_CLEANED!AL444="",DATA_CLEANED!AM444=""),"MANQUANT",IF(OR(NOT(ISNUMBER(DATA_CLEANED!AL444)),NOT(ISNUMBER(DATA_CLEANED!AM444))),"ENTREE INVALIDE",IF(OR(DATA_CLEANED!AL444&lt;0,DATA_CLEANED!AM444&lt;0),"SCORE NEGATIF","OK")))</f>
        <v>OK</v>
      </c>
      <c r="BF453" s="43" t="str">
        <f>IF(DATA_CLEANED!AK444&lt;&gt;DATA_CLEANED!AN444,"OK","ERREUR")</f>
        <v>OK</v>
      </c>
      <c r="BG453" s="43" t="str">
        <f>IF(DATA_CLEANED!AL444&gt;DATA_CLEANED!AM444,DATA_CLEANED!AK444,IF(AND(DATA_QUALITE!W4930="-",DATA_CLEANED!AM444=DATA_CLEANED!AL444),"MATCH NUL",IF(AND(DATA_QUALITE!V4930="-",DATA_QUALITE!U4930="AUCUNE"),DATA_QUALITE!T4930,IF(DATA_QUALITE!V4930&lt;&gt;"-",DATA_QUALITE!V4930,DATA_CLEANED!AN444))))</f>
        <v>Austria</v>
      </c>
      <c r="BH453" s="103" t="str">
        <f>IF(AND(BG453="MATCH NUL",DATA_CLEANED!AO444="-"),"MATCH_NUL",IF(ISNUMBER(SEARCH("win on penalties",W4930)),"WIN_BY_PENALTY",IF(ISNUMBER(SEARCH("win after extra time",W4930)),"WIN_BY_EXTRA_TIME",IF(ISNUMBER(SEARCH("Golden Goal",W4930)),"WIN_BY_GOLDEN_GOAL","WIN_BY_SCORE"))))</f>
        <v>WIN_BY_SCORE</v>
      </c>
      <c r="BI453" s="99" t="str">
        <f>IF(OR(BG453=DATA_CLEANED!AK444,BG453=DATA_CLEANED!AN444,BG453="MATCH NUL"),"OK","ERREUR")</f>
        <v>OK</v>
      </c>
    </row>
    <row r="454" spans="2:61">
      <c r="B454" s="75">
        <v>17</v>
      </c>
      <c r="C454" s="15" t="str">
        <v>Michal Sadílek</v>
      </c>
      <c r="D454" s="15">
        <v>27</v>
      </c>
      <c r="E454" s="15" t="str">
        <v>Czech Republic</v>
      </c>
      <c r="F454" s="15" t="str">
        <v>CM</v>
      </c>
      <c r="G454" s="15" t="str">
        <v>Slavia Prague</v>
      </c>
      <c r="H454" s="15">
        <v>18</v>
      </c>
      <c r="I454" s="15" t="str">
        <f t="shared" si="44"/>
        <v>17|Michal Sadílek|27|Czech Republic|CM|Slavia Prague|18</v>
      </c>
      <c r="J454" s="15" t="str">
        <f>IF(COUNTIF(I$438:I454,I454)&gt;1,"DOUBLON","OK")</f>
        <v>OK</v>
      </c>
      <c r="S454" s="30" t="str">
        <v>Romania</v>
      </c>
      <c r="T454" s="30" t="str">
        <f t="shared" si="45"/>
        <v>OK</v>
      </c>
      <c r="U454" s="30" t="str">
        <f t="shared" si="46"/>
        <v>-</v>
      </c>
      <c r="V454" s="30" t="str" cm="1">
        <f t="array" ref="V454">_xlfn.IFS(
ISNUMBER(SEARCH("USA",S454)),"United States",
ISNUMBER(SEARCH("Republic of Korea",S454)),"South Korea",
ISNUMBER(SEARCH("Cape Verde",S454)),"Cabo Verde",
ISNUMBER(SEARCH("Czechia",S454)),"Czech Republic",
ISNUMBER(SEARCH("Türkiye",S454)),"Turkey",
ISNUMBER(SEARCH("Ivory Coast",S454)),"Côte d'Ivoire",
ISNUMBER(SEARCH("Korea Republic",S454)),"South Korea",
ISNUMBER(SEARCH("Germany FR",S454)),"FR Germany",
ISNUMBER(SEARCH("West Germany",S454)),"FR Germany",
ISNUMBER(SEARCH("Germany DR",S454)),"DR Germany",
ISNUMBER(SEARCH("Korea DPR",S454)),"North Korea",
ISNUMBER(SEARCH("China PR",S454)),"China",
ISNUMBER(SEARCH("IR Iran",S454)),"Iran",
ISNUMBER(SEARCH("Congo DR",S454)),"Democratic Republic of the Congo",
ISNUMBER(SEARCH("DR Congo",S454)),"Democratic Republic of the Congo",
ISNUMBER(SEARCH("German DR",S454)),"DR Germany",
ISNUMBER(SEARCH("rn""&gt;United Arab Emirates",S454)),"United Arab Emirates",
ISNUMBER(SEARCH("rn""&gt;Republic of Ireland",S454)),"Ireland",
ISNUMBER(SEARCH("rn""&gt;Bosnia and Herzegovina",S454)),"Bosnia and Herzegovina",
ISNUMBER(SEARCH("rn""&gt;Trinidad and Tobago",S454)),"Trinidad and Tobago",
ISNUMBER(SEARCH("rn""&gt;Serbia and Montenegro",S454)),"Serbia and Montenegro",
ISNUMBER(SEARCH(_xlfn.UNICHAR(65533),S454)),"Côte d'Ivoire",
TRUE,""
)</f>
        <v/>
      </c>
      <c r="W454" s="30" t="str">
        <f t="shared" si="41"/>
        <v>Romania</v>
      </c>
      <c r="Z454" s="40" t="str">
        <v>Renato Dall Ara</v>
      </c>
      <c r="AA454" s="40" t="str" cm="1">
        <f t="array" ref="AA454">IFERROR(_xlfn.XLOOKUP(Z454,_xlfn.ANCHORARRAY(Z$31),AA$31:AA$37),Z454)</f>
        <v>Renato Dall Ara</v>
      </c>
      <c r="AB454" s="42" t="str">
        <v xml:space="preserve">Bologna </v>
      </c>
      <c r="AC454" s="89" t="str">
        <f t="shared" si="43"/>
        <v xml:space="preserve">Bologna </v>
      </c>
      <c r="AE454" s="42">
        <v>1986</v>
      </c>
      <c r="AK454" s="42">
        <v>1</v>
      </c>
      <c r="AL454" s="42">
        <v>1</v>
      </c>
      <c r="AW454" s="89" t="str">
        <v>GROUP_STAGE</v>
      </c>
      <c r="BE454" s="43" t="str">
        <f>IF(OR(DATA_CLEANED!AL445="",DATA_CLEANED!AM445=""),"MANQUANT",IF(OR(NOT(ISNUMBER(DATA_CLEANED!AL445)),NOT(ISNUMBER(DATA_CLEANED!AM445))),"ENTREE INVALIDE",IF(OR(DATA_CLEANED!AL445&lt;0,DATA_CLEANED!AM445&lt;0),"SCORE NEGATIF","OK")))</f>
        <v>OK</v>
      </c>
      <c r="BF454" s="43" t="str">
        <f>IF(DATA_CLEANED!AK445&lt;&gt;DATA_CLEANED!AN445,"OK","ERREUR")</f>
        <v>OK</v>
      </c>
      <c r="BG454" s="43" t="str">
        <f>IF(DATA_CLEANED!AL445&gt;DATA_CLEANED!AM445,DATA_CLEANED!AK445,IF(AND(DATA_QUALITE!W4931="-",DATA_CLEANED!AM445=DATA_CLEANED!AL445),"MATCH NUL",IF(AND(DATA_QUALITE!V4931="-",DATA_QUALITE!U4931="AUCUNE"),DATA_QUALITE!T4931,IF(DATA_QUALITE!V4931&lt;&gt;"-",DATA_QUALITE!V4931,DATA_CLEANED!AN445))))</f>
        <v>Brazil</v>
      </c>
      <c r="BH454" s="103" t="str">
        <f>IF(AND(BG454="MATCH NUL",DATA_CLEANED!AO445="-"),"MATCH_NUL",IF(ISNUMBER(SEARCH("win on penalties",W4931)),"WIN_BY_PENALTY",IF(ISNUMBER(SEARCH("win after extra time",W4931)),"WIN_BY_EXTRA_TIME",IF(ISNUMBER(SEARCH("Golden Goal",W4931)),"WIN_BY_GOLDEN_GOAL","WIN_BY_SCORE"))))</f>
        <v>WIN_BY_SCORE</v>
      </c>
      <c r="BI454" s="99" t="str">
        <f>IF(OR(BG454=DATA_CLEANED!AK445,BG454=DATA_CLEANED!AN445,BG454="MATCH NUL"),"OK","ERREUR")</f>
        <v>OK</v>
      </c>
    </row>
    <row r="455" spans="2:61">
      <c r="B455" s="75">
        <v>18</v>
      </c>
      <c r="C455" s="15" t="str">
        <v>Alexandr Sojka</v>
      </c>
      <c r="D455" s="15">
        <v>23</v>
      </c>
      <c r="E455" s="15" t="str">
        <v>Czech Republic</v>
      </c>
      <c r="F455" s="15" t="str">
        <v>CM</v>
      </c>
      <c r="G455" s="15" t="str">
        <v>Viktoria Plzeň</v>
      </c>
      <c r="H455" s="15">
        <v>24</v>
      </c>
      <c r="I455" s="15" t="str">
        <f t="shared" si="44"/>
        <v>18|Alexandr Sojka|23|Czech Republic|CM|Viktoria Plzeň|24</v>
      </c>
      <c r="J455" s="15" t="str">
        <f>IF(COUNTIF(I$438:I455,I455)&gt;1,"DOUBLON","OK")</f>
        <v>OK</v>
      </c>
      <c r="S455" s="30" t="str">
        <v>Romania</v>
      </c>
      <c r="T455" s="30" t="str">
        <f t="shared" si="45"/>
        <v>OK</v>
      </c>
      <c r="U455" s="30" t="str">
        <f t="shared" si="46"/>
        <v>-</v>
      </c>
      <c r="V455" s="30" t="str" cm="1">
        <f t="array" ref="V455">_xlfn.IFS(
ISNUMBER(SEARCH("USA",S455)),"United States",
ISNUMBER(SEARCH("Republic of Korea",S455)),"South Korea",
ISNUMBER(SEARCH("Cape Verde",S455)),"Cabo Verde",
ISNUMBER(SEARCH("Czechia",S455)),"Czech Republic",
ISNUMBER(SEARCH("Türkiye",S455)),"Turkey",
ISNUMBER(SEARCH("Ivory Coast",S455)),"Côte d'Ivoire",
ISNUMBER(SEARCH("Korea Republic",S455)),"South Korea",
ISNUMBER(SEARCH("Germany FR",S455)),"FR Germany",
ISNUMBER(SEARCH("West Germany",S455)),"FR Germany",
ISNUMBER(SEARCH("Germany DR",S455)),"DR Germany",
ISNUMBER(SEARCH("Korea DPR",S455)),"North Korea",
ISNUMBER(SEARCH("China PR",S455)),"China",
ISNUMBER(SEARCH("IR Iran",S455)),"Iran",
ISNUMBER(SEARCH("Congo DR",S455)),"Democratic Republic of the Congo",
ISNUMBER(SEARCH("DR Congo",S455)),"Democratic Republic of the Congo",
ISNUMBER(SEARCH("German DR",S455)),"DR Germany",
ISNUMBER(SEARCH("rn""&gt;United Arab Emirates",S455)),"United Arab Emirates",
ISNUMBER(SEARCH("rn""&gt;Republic of Ireland",S455)),"Ireland",
ISNUMBER(SEARCH("rn""&gt;Bosnia and Herzegovina",S455)),"Bosnia and Herzegovina",
ISNUMBER(SEARCH("rn""&gt;Trinidad and Tobago",S455)),"Trinidad and Tobago",
ISNUMBER(SEARCH("rn""&gt;Serbia and Montenegro",S455)),"Serbia and Montenegro",
ISNUMBER(SEARCH(_xlfn.UNICHAR(65533),S455)),"Côte d'Ivoire",
TRUE,""
)</f>
        <v/>
      </c>
      <c r="W455" s="30" t="str">
        <f t="shared" si="41"/>
        <v>Romania</v>
      </c>
      <c r="Z455" s="40" t="str">
        <v>Stadio Olimpico</v>
      </c>
      <c r="AA455" s="40" t="str" cm="1">
        <f t="array" ref="AA455">IFERROR(_xlfn.XLOOKUP(Z455,_xlfn.ANCHORARRAY(Z$31),AA$31:AA$37),Z455)</f>
        <v>Stadio Olimpico</v>
      </c>
      <c r="AB455" s="42" t="str">
        <v xml:space="preserve">Rome </v>
      </c>
      <c r="AC455" s="89" t="str">
        <f t="shared" si="43"/>
        <v xml:space="preserve">Rome </v>
      </c>
      <c r="AE455" s="42">
        <v>1986</v>
      </c>
      <c r="AK455" s="42">
        <v>1</v>
      </c>
      <c r="AL455" s="42">
        <v>1</v>
      </c>
      <c r="AW455" s="89" t="str">
        <v>GROUP_STAGE</v>
      </c>
      <c r="BE455" s="43" t="str">
        <f>IF(OR(DATA_CLEANED!AL446="",DATA_CLEANED!AM446=""),"MANQUANT",IF(OR(NOT(ISNUMBER(DATA_CLEANED!AL446)),NOT(ISNUMBER(DATA_CLEANED!AM446))),"ENTREE INVALIDE",IF(OR(DATA_CLEANED!AL446&lt;0,DATA_CLEANED!AM446&lt;0),"SCORE NEGATIF","OK")))</f>
        <v>OK</v>
      </c>
      <c r="BF455" s="43" t="str">
        <f>IF(DATA_CLEANED!AK446&lt;&gt;DATA_CLEANED!AN446,"OK","ERREUR")</f>
        <v>OK</v>
      </c>
      <c r="BG455" s="43" t="str">
        <f>IF(DATA_CLEANED!AL446&gt;DATA_CLEANED!AM446,DATA_CLEANED!AK446,IF(AND(DATA_QUALITE!W4932="-",DATA_CLEANED!AM446=DATA_CLEANED!AL446),"MATCH NUL",IF(AND(DATA_QUALITE!V4932="-",DATA_QUALITE!U4932="AUCUNE"),DATA_QUALITE!T4932,IF(DATA_QUALITE!V4932&lt;&gt;"-",DATA_QUALITE!V4932,DATA_CLEANED!AN446))))</f>
        <v>Costa Rica</v>
      </c>
      <c r="BH455" s="103" t="str">
        <f>IF(AND(BG455="MATCH NUL",DATA_CLEANED!AO446="-"),"MATCH_NUL",IF(ISNUMBER(SEARCH("win on penalties",W4932)),"WIN_BY_PENALTY",IF(ISNUMBER(SEARCH("win after extra time",W4932)),"WIN_BY_EXTRA_TIME",IF(ISNUMBER(SEARCH("Golden Goal",W4932)),"WIN_BY_GOLDEN_GOAL","WIN_BY_SCORE"))))</f>
        <v>WIN_BY_SCORE</v>
      </c>
      <c r="BI455" s="99" t="str">
        <f>IF(OR(BG455=DATA_CLEANED!AK446,BG455=DATA_CLEANED!AN446,BG455="MATCH NUL"),"OK","ERREUR")</f>
        <v>OK</v>
      </c>
    </row>
    <row r="456" spans="2:61">
      <c r="B456" s="75">
        <v>19</v>
      </c>
      <c r="C456" s="15" t="str">
        <v>Pavel Šulc</v>
      </c>
      <c r="D456" s="15">
        <v>25</v>
      </c>
      <c r="E456" s="15" t="str">
        <v>Czech Republic</v>
      </c>
      <c r="F456" s="15" t="str">
        <v>CAM</v>
      </c>
      <c r="G456" s="15" t="str">
        <v>Lyon</v>
      </c>
      <c r="H456" s="15">
        <v>15</v>
      </c>
      <c r="I456" s="15" t="str">
        <f t="shared" si="44"/>
        <v>19|Pavel Šulc|25|Czech Republic|CAM|Lyon|15</v>
      </c>
      <c r="J456" s="15" t="str">
        <f>IF(COUNTIF(I$438:I456,I456)&gt;1,"DOUBLON","OK")</f>
        <v>OK</v>
      </c>
      <c r="S456" s="30" t="str">
        <v>Romania</v>
      </c>
      <c r="T456" s="30" t="str">
        <f t="shared" si="45"/>
        <v>OK</v>
      </c>
      <c r="U456" s="30" t="str">
        <f t="shared" si="46"/>
        <v>-</v>
      </c>
      <c r="V456" s="30" t="str" cm="1">
        <f t="array" ref="V456">_xlfn.IFS(
ISNUMBER(SEARCH("USA",S456)),"United States",
ISNUMBER(SEARCH("Republic of Korea",S456)),"South Korea",
ISNUMBER(SEARCH("Cape Verde",S456)),"Cabo Verde",
ISNUMBER(SEARCH("Czechia",S456)),"Czech Republic",
ISNUMBER(SEARCH("Türkiye",S456)),"Turkey",
ISNUMBER(SEARCH("Ivory Coast",S456)),"Côte d'Ivoire",
ISNUMBER(SEARCH("Korea Republic",S456)),"South Korea",
ISNUMBER(SEARCH("Germany FR",S456)),"FR Germany",
ISNUMBER(SEARCH("West Germany",S456)),"FR Germany",
ISNUMBER(SEARCH("Germany DR",S456)),"DR Germany",
ISNUMBER(SEARCH("Korea DPR",S456)),"North Korea",
ISNUMBER(SEARCH("China PR",S456)),"China",
ISNUMBER(SEARCH("IR Iran",S456)),"Iran",
ISNUMBER(SEARCH("Congo DR",S456)),"Democratic Republic of the Congo",
ISNUMBER(SEARCH("DR Congo",S456)),"Democratic Republic of the Congo",
ISNUMBER(SEARCH("German DR",S456)),"DR Germany",
ISNUMBER(SEARCH("rn""&gt;United Arab Emirates",S456)),"United Arab Emirates",
ISNUMBER(SEARCH("rn""&gt;Republic of Ireland",S456)),"Ireland",
ISNUMBER(SEARCH("rn""&gt;Bosnia and Herzegovina",S456)),"Bosnia and Herzegovina",
ISNUMBER(SEARCH("rn""&gt;Trinidad and Tobago",S456)),"Trinidad and Tobago",
ISNUMBER(SEARCH("rn""&gt;Serbia and Montenegro",S456)),"Serbia and Montenegro",
ISNUMBER(SEARCH(_xlfn.UNICHAR(65533),S456)),"Côte d'Ivoire",
TRUE,""
)</f>
        <v/>
      </c>
      <c r="W456" s="30" t="str">
        <f t="shared" si="41"/>
        <v>Romania</v>
      </c>
      <c r="Z456" s="40" t="str">
        <v>Comunale</v>
      </c>
      <c r="AA456" s="40" t="str" cm="1">
        <f t="array" ref="AA456">IFERROR(_xlfn.XLOOKUP(Z456,_xlfn.ANCHORARRAY(Z$31),AA$31:AA$37),Z456)</f>
        <v>Comunale</v>
      </c>
      <c r="AB456" s="42" t="str">
        <v xml:space="preserve">Florence </v>
      </c>
      <c r="AC456" s="89" t="str">
        <f t="shared" si="43"/>
        <v xml:space="preserve">Florence </v>
      </c>
      <c r="AE456" s="42">
        <v>1986</v>
      </c>
      <c r="AK456" s="42">
        <v>1</v>
      </c>
      <c r="AL456" s="42">
        <v>1</v>
      </c>
      <c r="AW456" s="89" t="str">
        <v>GROUP_STAGE</v>
      </c>
      <c r="BE456" s="43" t="str">
        <f>IF(OR(DATA_CLEANED!AL447="",DATA_CLEANED!AM447=""),"MANQUANT",IF(OR(NOT(ISNUMBER(DATA_CLEANED!AL447)),NOT(ISNUMBER(DATA_CLEANED!AM447))),"ENTREE INVALIDE",IF(OR(DATA_CLEANED!AL447&lt;0,DATA_CLEANED!AM447&lt;0),"SCORE NEGATIF","OK")))</f>
        <v>OK</v>
      </c>
      <c r="BF456" s="43" t="str">
        <f>IF(DATA_CLEANED!AK447&lt;&gt;DATA_CLEANED!AN447,"OK","ERREUR")</f>
        <v>OK</v>
      </c>
      <c r="BG456" s="43" t="str">
        <f>IF(DATA_CLEANED!AL447&gt;DATA_CLEANED!AM447,DATA_CLEANED!AK447,IF(AND(DATA_QUALITE!W4933="-",DATA_CLEANED!AM447=DATA_CLEANED!AL447),"MATCH NUL",IF(AND(DATA_QUALITE!V4933="-",DATA_QUALITE!U4933="AUCUNE"),DATA_QUALITE!T4933,IF(DATA_QUALITE!V4933&lt;&gt;"-",DATA_QUALITE!V4933,DATA_CLEANED!AN447))))</f>
        <v>Uruguay</v>
      </c>
      <c r="BH456" s="103" t="str">
        <f>IF(AND(BG456="MATCH NUL",DATA_CLEANED!AO447="-"),"MATCH_NUL",IF(ISNUMBER(SEARCH("win on penalties",W4933)),"WIN_BY_PENALTY",IF(ISNUMBER(SEARCH("win after extra time",W4933)),"WIN_BY_EXTRA_TIME",IF(ISNUMBER(SEARCH("Golden Goal",W4933)),"WIN_BY_GOLDEN_GOAL","WIN_BY_SCORE"))))</f>
        <v>WIN_BY_SCORE</v>
      </c>
      <c r="BI456" s="99" t="str">
        <f>IF(OR(BG456=DATA_CLEANED!AK447,BG456=DATA_CLEANED!AN447,BG456="MATCH NUL"),"OK","ERREUR")</f>
        <v>OK</v>
      </c>
    </row>
    <row r="457" spans="2:61">
      <c r="B457" s="75">
        <v>20</v>
      </c>
      <c r="C457" s="15" t="str">
        <v>Hugo Sochůrek</v>
      </c>
      <c r="D457" s="15">
        <v>18</v>
      </c>
      <c r="E457" s="15" t="str">
        <v>Czech Republic</v>
      </c>
      <c r="F457" s="15" t="str">
        <v>CAM</v>
      </c>
      <c r="G457" s="15" t="str">
        <v>Sparta Prague</v>
      </c>
      <c r="H457" s="15">
        <v>25</v>
      </c>
      <c r="I457" s="15" t="str">
        <f t="shared" si="44"/>
        <v>20|Hugo Sochůrek|18|Czech Republic|CAM|Sparta Prague|25</v>
      </c>
      <c r="J457" s="15" t="str">
        <f>IF(COUNTIF(I$438:I457,I457)&gt;1,"DOUBLON","OK")</f>
        <v>OK</v>
      </c>
      <c r="S457" s="30" t="str">
        <v>Romania</v>
      </c>
      <c r="T457" s="30" t="str">
        <f t="shared" si="45"/>
        <v>OK</v>
      </c>
      <c r="U457" s="30" t="str">
        <f t="shared" si="46"/>
        <v>-</v>
      </c>
      <c r="V457" s="30" t="str" cm="1">
        <f t="array" ref="V457">_xlfn.IFS(
ISNUMBER(SEARCH("USA",S457)),"United States",
ISNUMBER(SEARCH("Republic of Korea",S457)),"South Korea",
ISNUMBER(SEARCH("Cape Verde",S457)),"Cabo Verde",
ISNUMBER(SEARCH("Czechia",S457)),"Czech Republic",
ISNUMBER(SEARCH("Türkiye",S457)),"Turkey",
ISNUMBER(SEARCH("Ivory Coast",S457)),"Côte d'Ivoire",
ISNUMBER(SEARCH("Korea Republic",S457)),"South Korea",
ISNUMBER(SEARCH("Germany FR",S457)),"FR Germany",
ISNUMBER(SEARCH("West Germany",S457)),"FR Germany",
ISNUMBER(SEARCH("Germany DR",S457)),"DR Germany",
ISNUMBER(SEARCH("Korea DPR",S457)),"North Korea",
ISNUMBER(SEARCH("China PR",S457)),"China",
ISNUMBER(SEARCH("IR Iran",S457)),"Iran",
ISNUMBER(SEARCH("Congo DR",S457)),"Democratic Republic of the Congo",
ISNUMBER(SEARCH("DR Congo",S457)),"Democratic Republic of the Congo",
ISNUMBER(SEARCH("German DR",S457)),"DR Germany",
ISNUMBER(SEARCH("rn""&gt;United Arab Emirates",S457)),"United Arab Emirates",
ISNUMBER(SEARCH("rn""&gt;Republic of Ireland",S457)),"Ireland",
ISNUMBER(SEARCH("rn""&gt;Bosnia and Herzegovina",S457)),"Bosnia and Herzegovina",
ISNUMBER(SEARCH("rn""&gt;Trinidad and Tobago",S457)),"Trinidad and Tobago",
ISNUMBER(SEARCH("rn""&gt;Serbia and Montenegro",S457)),"Serbia and Montenegro",
ISNUMBER(SEARCH(_xlfn.UNICHAR(65533),S457)),"Côte d'Ivoire",
TRUE,""
)</f>
        <v/>
      </c>
      <c r="W457" s="30" t="str">
        <f t="shared" si="41"/>
        <v>Romania</v>
      </c>
      <c r="Z457" s="40" t="str">
        <v>Stadio delle Alpi</v>
      </c>
      <c r="AA457" s="40" t="str" cm="1">
        <f t="array" ref="AA457">IFERROR(_xlfn.XLOOKUP(Z457,_xlfn.ANCHORARRAY(Z$31),AA$31:AA$37),Z457)</f>
        <v>Stadio delle Alpi</v>
      </c>
      <c r="AB457" s="42" t="str">
        <v xml:space="preserve">Turin </v>
      </c>
      <c r="AC457" s="89" t="str">
        <f t="shared" si="43"/>
        <v xml:space="preserve">Turin </v>
      </c>
      <c r="AE457" s="42">
        <v>1986</v>
      </c>
      <c r="AK457" s="42">
        <v>1</v>
      </c>
      <c r="AL457" s="42">
        <v>1</v>
      </c>
      <c r="AW457" s="89" t="str">
        <v>GROUP_STAGE</v>
      </c>
      <c r="BE457" s="43" t="str">
        <f>IF(OR(DATA_CLEANED!AL448="",DATA_CLEANED!AM448=""),"MANQUANT",IF(OR(NOT(ISNUMBER(DATA_CLEANED!AL448)),NOT(ISNUMBER(DATA_CLEANED!AM448))),"ENTREE INVALIDE",IF(OR(DATA_CLEANED!AL448&lt;0,DATA_CLEANED!AM448&lt;0),"SCORE NEGATIF","OK")))</f>
        <v>OK</v>
      </c>
      <c r="BF457" s="43" t="str">
        <f>IF(DATA_CLEANED!AK448&lt;&gt;DATA_CLEANED!AN448,"OK","ERREUR")</f>
        <v>OK</v>
      </c>
      <c r="BG457" s="43" t="str">
        <f>IF(DATA_CLEANED!AL448&gt;DATA_CLEANED!AM448,DATA_CLEANED!AK448,IF(AND(DATA_QUALITE!W4934="-",DATA_CLEANED!AM448=DATA_CLEANED!AL448),"MATCH NUL",IF(AND(DATA_QUALITE!V4934="-",DATA_QUALITE!U4934="AUCUNE"),DATA_QUALITE!T4934,IF(DATA_QUALITE!V4934&lt;&gt;"-",DATA_QUALITE!V4934,DATA_CLEANED!AN448))))</f>
        <v>Spain</v>
      </c>
      <c r="BH457" s="103" t="str">
        <f>IF(AND(BG457="MATCH NUL",DATA_CLEANED!AO448="-"),"MATCH_NUL",IF(ISNUMBER(SEARCH("win on penalties",W4934)),"WIN_BY_PENALTY",IF(ISNUMBER(SEARCH("win after extra time",W4934)),"WIN_BY_EXTRA_TIME",IF(ISNUMBER(SEARCH("Golden Goal",W4934)),"WIN_BY_GOLDEN_GOAL","WIN_BY_SCORE"))))</f>
        <v>WIN_BY_SCORE</v>
      </c>
      <c r="BI457" s="99" t="str">
        <f>IF(OR(BG457=DATA_CLEANED!AK448,BG457=DATA_CLEANED!AN448,BG457="MATCH NUL"),"OK","ERREUR")</f>
        <v>OK</v>
      </c>
    </row>
    <row r="458" spans="2:61">
      <c r="B458" s="75">
        <v>21</v>
      </c>
      <c r="C458" s="15" t="str">
        <v>Adam Hložek</v>
      </c>
      <c r="D458" s="15">
        <v>23</v>
      </c>
      <c r="E458" s="15" t="str">
        <v>Czech Republic</v>
      </c>
      <c r="F458" s="15" t="str">
        <v>LW</v>
      </c>
      <c r="G458" s="15" t="str">
        <v>TSG Hoffenheim</v>
      </c>
      <c r="H458" s="15">
        <v>9</v>
      </c>
      <c r="I458" s="15" t="str">
        <f t="shared" si="44"/>
        <v>21|Adam Hložek|23|Czech Republic|LW|TSG Hoffenheim|9</v>
      </c>
      <c r="J458" s="15" t="str">
        <f>IF(COUNTIF(I$438:I458,I458)&gt;1,"DOUBLON","OK")</f>
        <v>OK</v>
      </c>
      <c r="S458" s="30" t="str">
        <v>Romania</v>
      </c>
      <c r="T458" s="30" t="str">
        <f t="shared" si="45"/>
        <v>OK</v>
      </c>
      <c r="U458" s="30" t="str">
        <f t="shared" si="46"/>
        <v>-</v>
      </c>
      <c r="V458" s="30" t="str" cm="1">
        <f t="array" ref="V458">_xlfn.IFS(
ISNUMBER(SEARCH("USA",S458)),"United States",
ISNUMBER(SEARCH("Republic of Korea",S458)),"South Korea",
ISNUMBER(SEARCH("Cape Verde",S458)),"Cabo Verde",
ISNUMBER(SEARCH("Czechia",S458)),"Czech Republic",
ISNUMBER(SEARCH("Türkiye",S458)),"Turkey",
ISNUMBER(SEARCH("Ivory Coast",S458)),"Côte d'Ivoire",
ISNUMBER(SEARCH("Korea Republic",S458)),"South Korea",
ISNUMBER(SEARCH("Germany FR",S458)),"FR Germany",
ISNUMBER(SEARCH("West Germany",S458)),"FR Germany",
ISNUMBER(SEARCH("Germany DR",S458)),"DR Germany",
ISNUMBER(SEARCH("Korea DPR",S458)),"North Korea",
ISNUMBER(SEARCH("China PR",S458)),"China",
ISNUMBER(SEARCH("IR Iran",S458)),"Iran",
ISNUMBER(SEARCH("Congo DR",S458)),"Democratic Republic of the Congo",
ISNUMBER(SEARCH("DR Congo",S458)),"Democratic Republic of the Congo",
ISNUMBER(SEARCH("German DR",S458)),"DR Germany",
ISNUMBER(SEARCH("rn""&gt;United Arab Emirates",S458)),"United Arab Emirates",
ISNUMBER(SEARCH("rn""&gt;Republic of Ireland",S458)),"Ireland",
ISNUMBER(SEARCH("rn""&gt;Bosnia and Herzegovina",S458)),"Bosnia and Herzegovina",
ISNUMBER(SEARCH("rn""&gt;Trinidad and Tobago",S458)),"Trinidad and Tobago",
ISNUMBER(SEARCH("rn""&gt;Serbia and Montenegro",S458)),"Serbia and Montenegro",
ISNUMBER(SEARCH(_xlfn.UNICHAR(65533),S458)),"Côte d'Ivoire",
TRUE,""
)</f>
        <v/>
      </c>
      <c r="W458" s="30" t="str">
        <f t="shared" si="41"/>
        <v>Romania</v>
      </c>
      <c r="Z458" s="40" t="str">
        <v>Giuseppe Meazza</v>
      </c>
      <c r="AA458" s="40" t="str" cm="1">
        <f t="array" ref="AA458">IFERROR(_xlfn.XLOOKUP(Z458,_xlfn.ANCHORARRAY(Z$31),AA$31:AA$37),Z458)</f>
        <v>Giuseppe Meazza</v>
      </c>
      <c r="AB458" s="42" t="str">
        <v xml:space="preserve">Milan </v>
      </c>
      <c r="AC458" s="89" t="str">
        <f t="shared" si="43"/>
        <v xml:space="preserve">Milan </v>
      </c>
      <c r="AE458" s="42">
        <v>1986</v>
      </c>
      <c r="AK458" s="42">
        <v>2</v>
      </c>
      <c r="AL458" s="42">
        <v>0</v>
      </c>
      <c r="AW458" s="89" t="str">
        <v>GROUP_STAGE</v>
      </c>
      <c r="BE458" s="43" t="str">
        <f>IF(OR(DATA_CLEANED!AL449="",DATA_CLEANED!AM449=""),"MANQUANT",IF(OR(NOT(ISNUMBER(DATA_CLEANED!AL449)),NOT(ISNUMBER(DATA_CLEANED!AM449))),"ENTREE INVALIDE",IF(OR(DATA_CLEANED!AL449&lt;0,DATA_CLEANED!AM449&lt;0),"SCORE NEGATIF","OK")))</f>
        <v>OK</v>
      </c>
      <c r="BF458" s="43" t="str">
        <f>IF(DATA_CLEANED!AK449&lt;&gt;DATA_CLEANED!AN449,"OK","ERREUR")</f>
        <v>OK</v>
      </c>
      <c r="BG458" s="43" t="str">
        <f>IF(DATA_CLEANED!AL449&gt;DATA_CLEANED!AM449,DATA_CLEANED!AK449,IF(AND(DATA_QUALITE!W4935="-",DATA_CLEANED!AM449=DATA_CLEANED!AL449),"MATCH NUL",IF(AND(DATA_QUALITE!V4935="-",DATA_QUALITE!U4935="AUCUNE"),DATA_QUALITE!T4935,IF(DATA_QUALITE!V4935&lt;&gt;"-",DATA_QUALITE!V4935,DATA_CLEANED!AN449))))</f>
        <v>MATCH NUL</v>
      </c>
      <c r="BH458" s="103" t="str">
        <f>IF(AND(BG458="MATCH NUL",DATA_CLEANED!AO449="-"),"MATCH_NUL",IF(ISNUMBER(SEARCH("win on penalties",W4935)),"WIN_BY_PENALTY",IF(ISNUMBER(SEARCH("win after extra time",W4935)),"WIN_BY_EXTRA_TIME",IF(ISNUMBER(SEARCH("Golden Goal",W4935)),"WIN_BY_GOLDEN_GOAL","WIN_BY_SCORE"))))</f>
        <v>MATCH_NUL</v>
      </c>
      <c r="BI458" s="99" t="str">
        <f>IF(OR(BG458=DATA_CLEANED!AK449,BG458=DATA_CLEANED!AN449,BG458="MATCH NUL"),"OK","ERREUR")</f>
        <v>OK</v>
      </c>
    </row>
    <row r="459" spans="2:61">
      <c r="B459" s="75">
        <v>22</v>
      </c>
      <c r="C459" s="15" t="str">
        <v>Denis Višinský</v>
      </c>
      <c r="D459" s="15">
        <v>23</v>
      </c>
      <c r="E459" s="15" t="str">
        <v>Czech Republic</v>
      </c>
      <c r="F459" s="15" t="str">
        <v>RW</v>
      </c>
      <c r="G459" s="15" t="str">
        <v>Viktoria Plzeň</v>
      </c>
      <c r="H459" s="15">
        <v>26</v>
      </c>
      <c r="I459" s="15" t="str">
        <f t="shared" si="44"/>
        <v>22|Denis Višinský|23|Czech Republic|RW|Viktoria Plzeň|26</v>
      </c>
      <c r="J459" s="15" t="str">
        <f>IF(COUNTIF(I$438:I459,I459)&gt;1,"DOUBLON","OK")</f>
        <v>OK</v>
      </c>
      <c r="S459" s="30" t="str">
        <v>Romania</v>
      </c>
      <c r="T459" s="30" t="str">
        <f t="shared" si="45"/>
        <v>OK</v>
      </c>
      <c r="U459" s="30" t="str">
        <f t="shared" si="46"/>
        <v>-</v>
      </c>
      <c r="V459" s="30" t="str" cm="1">
        <f t="array" ref="V459">_xlfn.IFS(
ISNUMBER(SEARCH("USA",S459)),"United States",
ISNUMBER(SEARCH("Republic of Korea",S459)),"South Korea",
ISNUMBER(SEARCH("Cape Verde",S459)),"Cabo Verde",
ISNUMBER(SEARCH("Czechia",S459)),"Czech Republic",
ISNUMBER(SEARCH("Türkiye",S459)),"Turkey",
ISNUMBER(SEARCH("Ivory Coast",S459)),"Côte d'Ivoire",
ISNUMBER(SEARCH("Korea Republic",S459)),"South Korea",
ISNUMBER(SEARCH("Germany FR",S459)),"FR Germany",
ISNUMBER(SEARCH("West Germany",S459)),"FR Germany",
ISNUMBER(SEARCH("Germany DR",S459)),"DR Germany",
ISNUMBER(SEARCH("Korea DPR",S459)),"North Korea",
ISNUMBER(SEARCH("China PR",S459)),"China",
ISNUMBER(SEARCH("IR Iran",S459)),"Iran",
ISNUMBER(SEARCH("Congo DR",S459)),"Democratic Republic of the Congo",
ISNUMBER(SEARCH("DR Congo",S459)),"Democratic Republic of the Congo",
ISNUMBER(SEARCH("German DR",S459)),"DR Germany",
ISNUMBER(SEARCH("rn""&gt;United Arab Emirates",S459)),"United Arab Emirates",
ISNUMBER(SEARCH("rn""&gt;Republic of Ireland",S459)),"Ireland",
ISNUMBER(SEARCH("rn""&gt;Bosnia and Herzegovina",S459)),"Bosnia and Herzegovina",
ISNUMBER(SEARCH("rn""&gt;Trinidad and Tobago",S459)),"Trinidad and Tobago",
ISNUMBER(SEARCH("rn""&gt;Serbia and Montenegro",S459)),"Serbia and Montenegro",
ISNUMBER(SEARCH(_xlfn.UNICHAR(65533),S459)),"Côte d'Ivoire",
TRUE,""
)</f>
        <v/>
      </c>
      <c r="W459" s="30" t="str">
        <f t="shared" si="41"/>
        <v>Romania</v>
      </c>
      <c r="Z459" s="40" t="str">
        <v>Luigi Ferraris</v>
      </c>
      <c r="AA459" s="40" t="str" cm="1">
        <f t="array" ref="AA459">IFERROR(_xlfn.XLOOKUP(Z459,_xlfn.ANCHORARRAY(Z$31),AA$31:AA$37),Z459)</f>
        <v>Luigi Ferraris</v>
      </c>
      <c r="AB459" s="42" t="str">
        <v xml:space="preserve">Genoa </v>
      </c>
      <c r="AC459" s="89" t="str">
        <f t="shared" si="43"/>
        <v xml:space="preserve">Genoa </v>
      </c>
      <c r="AE459" s="42">
        <v>1986</v>
      </c>
      <c r="AK459" s="42">
        <v>1</v>
      </c>
      <c r="AL459" s="42">
        <v>0</v>
      </c>
      <c r="AW459" s="89" t="str">
        <v>GROUP_STAGE</v>
      </c>
      <c r="BE459" s="43" t="str">
        <f>IF(OR(DATA_CLEANED!AL450="",DATA_CLEANED!AM450=""),"MANQUANT",IF(OR(NOT(ISNUMBER(DATA_CLEANED!AL450)),NOT(ISNUMBER(DATA_CLEANED!AM450))),"ENTREE INVALIDE",IF(OR(DATA_CLEANED!AL450&lt;0,DATA_CLEANED!AM450&lt;0),"SCORE NEGATIF","OK")))</f>
        <v>OK</v>
      </c>
      <c r="BF459" s="43" t="str">
        <f>IF(DATA_CLEANED!AK450&lt;&gt;DATA_CLEANED!AN450,"OK","ERREUR")</f>
        <v>OK</v>
      </c>
      <c r="BG459" s="43" t="str">
        <f>IF(DATA_CLEANED!AL450&gt;DATA_CLEANED!AM450,DATA_CLEANED!AK450,IF(AND(DATA_QUALITE!W4936="-",DATA_CLEANED!AM450=DATA_CLEANED!AL450),"MATCH NUL",IF(AND(DATA_QUALITE!V4936="-",DATA_QUALITE!U4936="AUCUNE"),DATA_QUALITE!T4936,IF(DATA_QUALITE!V4936&lt;&gt;"-",DATA_QUALITE!V4936,DATA_CLEANED!AN450))))</f>
        <v>England</v>
      </c>
      <c r="BH459" s="103" t="str">
        <f>IF(AND(BG459="MATCH NUL",DATA_CLEANED!AO450="-"),"MATCH_NUL",IF(ISNUMBER(SEARCH("win on penalties",W4936)),"WIN_BY_PENALTY",IF(ISNUMBER(SEARCH("win after extra time",W4936)),"WIN_BY_EXTRA_TIME",IF(ISNUMBER(SEARCH("Golden Goal",W4936)),"WIN_BY_GOLDEN_GOAL","WIN_BY_SCORE"))))</f>
        <v>WIN_BY_SCORE</v>
      </c>
      <c r="BI459" s="99" t="str">
        <f>IF(OR(BG459=DATA_CLEANED!AK450,BG459=DATA_CLEANED!AN450,BG459="MATCH NUL"),"OK","ERREUR")</f>
        <v>OK</v>
      </c>
    </row>
    <row r="460" spans="2:61">
      <c r="B460" s="75">
        <v>23</v>
      </c>
      <c r="C460" s="15" t="str">
        <v>Patrik Schick</v>
      </c>
      <c r="D460" s="15">
        <v>30</v>
      </c>
      <c r="E460" s="15" t="str">
        <v>Czech Republic</v>
      </c>
      <c r="F460" s="15" t="str">
        <v>ST</v>
      </c>
      <c r="G460" s="15" t="str">
        <v>Bayer Leverkusen</v>
      </c>
      <c r="H460" s="15">
        <v>10</v>
      </c>
      <c r="I460" s="15" t="str">
        <f t="shared" si="44"/>
        <v>23|Patrik Schick|30|Czech Republic|ST|Bayer Leverkusen|10</v>
      </c>
      <c r="J460" s="15" t="str">
        <f>IF(COUNTIF(I$438:I460,I460)&gt;1,"DOUBLON","OK")</f>
        <v>OK</v>
      </c>
      <c r="S460" s="30" t="str">
        <v>Romania</v>
      </c>
      <c r="T460" s="30" t="str">
        <f t="shared" si="45"/>
        <v>OK</v>
      </c>
      <c r="U460" s="30" t="str">
        <f t="shared" si="46"/>
        <v>-</v>
      </c>
      <c r="V460" s="30" t="str" cm="1">
        <f t="array" ref="V460">_xlfn.IFS(
ISNUMBER(SEARCH("USA",S460)),"United States",
ISNUMBER(SEARCH("Republic of Korea",S460)),"South Korea",
ISNUMBER(SEARCH("Cape Verde",S460)),"Cabo Verde",
ISNUMBER(SEARCH("Czechia",S460)),"Czech Republic",
ISNUMBER(SEARCH("Türkiye",S460)),"Turkey",
ISNUMBER(SEARCH("Ivory Coast",S460)),"Côte d'Ivoire",
ISNUMBER(SEARCH("Korea Republic",S460)),"South Korea",
ISNUMBER(SEARCH("Germany FR",S460)),"FR Germany",
ISNUMBER(SEARCH("West Germany",S460)),"FR Germany",
ISNUMBER(SEARCH("Germany DR",S460)),"DR Germany",
ISNUMBER(SEARCH("Korea DPR",S460)),"North Korea",
ISNUMBER(SEARCH("China PR",S460)),"China",
ISNUMBER(SEARCH("IR Iran",S460)),"Iran",
ISNUMBER(SEARCH("Congo DR",S460)),"Democratic Republic of the Congo",
ISNUMBER(SEARCH("DR Congo",S460)),"Democratic Republic of the Congo",
ISNUMBER(SEARCH("German DR",S460)),"DR Germany",
ISNUMBER(SEARCH("rn""&gt;United Arab Emirates",S460)),"United Arab Emirates",
ISNUMBER(SEARCH("rn""&gt;Republic of Ireland",S460)),"Ireland",
ISNUMBER(SEARCH("rn""&gt;Bosnia and Herzegovina",S460)),"Bosnia and Herzegovina",
ISNUMBER(SEARCH("rn""&gt;Trinidad and Tobago",S460)),"Trinidad and Tobago",
ISNUMBER(SEARCH("rn""&gt;Serbia and Montenegro",S460)),"Serbia and Montenegro",
ISNUMBER(SEARCH(_xlfn.UNICHAR(65533),S460)),"Côte d'Ivoire",
TRUE,""
)</f>
        <v/>
      </c>
      <c r="W460" s="30" t="str">
        <f t="shared" si="41"/>
        <v>Romania</v>
      </c>
      <c r="Z460" s="40" t="str">
        <v>Sant Elia</v>
      </c>
      <c r="AA460" s="40" t="str" cm="1">
        <f t="array" ref="AA460">IFERROR(_xlfn.XLOOKUP(Z460,_xlfn.ANCHORARRAY(Z$31),AA$31:AA$37),Z460)</f>
        <v>Sant Elia</v>
      </c>
      <c r="AB460" s="42" t="str">
        <v xml:space="preserve">Cagliari </v>
      </c>
      <c r="AC460" s="89" t="str">
        <f t="shared" si="43"/>
        <v xml:space="preserve">Cagliari </v>
      </c>
      <c r="AE460" s="42">
        <v>1986</v>
      </c>
      <c r="AK460" s="42">
        <v>0</v>
      </c>
      <c r="AL460" s="42">
        <v>0</v>
      </c>
      <c r="AW460" s="89" t="str">
        <v>ROUND_OF_16</v>
      </c>
      <c r="BE460" s="43" t="str">
        <f>IF(OR(DATA_CLEANED!AL451="",DATA_CLEANED!AM451=""),"MANQUANT",IF(OR(NOT(ISNUMBER(DATA_CLEANED!AL451)),NOT(ISNUMBER(DATA_CLEANED!AM451))),"ENTREE INVALIDE",IF(OR(DATA_CLEANED!AL451&lt;0,DATA_CLEANED!AM451&lt;0),"SCORE NEGATIF","OK")))</f>
        <v>OK</v>
      </c>
      <c r="BF460" s="43" t="str">
        <f>IF(DATA_CLEANED!AK451&lt;&gt;DATA_CLEANED!AN451,"OK","ERREUR")</f>
        <v>OK</v>
      </c>
      <c r="BG460" s="43" t="str">
        <f>IF(DATA_CLEANED!AL451&gt;DATA_CLEANED!AM451,DATA_CLEANED!AK451,IF(AND(DATA_QUALITE!W4937="-",DATA_CLEANED!AM451=DATA_CLEANED!AL451),"MATCH NUL",IF(AND(DATA_QUALITE!V4937="-",DATA_QUALITE!U4937="AUCUNE"),DATA_QUALITE!T4937,IF(DATA_QUALITE!V4937&lt;&gt;"-",DATA_QUALITE!V4937,DATA_CLEANED!AN451))))</f>
        <v>Cameroon</v>
      </c>
      <c r="BH460" s="103" t="str">
        <f>IF(AND(BG460="MATCH NUL",DATA_CLEANED!AO451="-"),"MATCH_NUL",IF(ISNUMBER(SEARCH("win on penalties",W4937)),"WIN_BY_PENALTY",IF(ISNUMBER(SEARCH("win after extra time",W4937)),"WIN_BY_EXTRA_TIME",IF(ISNUMBER(SEARCH("Golden Goal",W4937)),"WIN_BY_GOLDEN_GOAL","WIN_BY_SCORE"))))</f>
        <v>WIN_BY_EXTRA_TIME</v>
      </c>
      <c r="BI460" s="99" t="str">
        <f>IF(OR(BG460=DATA_CLEANED!AK451,BG460=DATA_CLEANED!AN451,BG460="MATCH NUL"),"OK","ERREUR")</f>
        <v>OK</v>
      </c>
    </row>
    <row r="461" spans="2:61">
      <c r="B461" s="75">
        <v>24</v>
      </c>
      <c r="C461" s="15" t="str">
        <v>Jan Kuchta</v>
      </c>
      <c r="D461" s="15">
        <v>29</v>
      </c>
      <c r="E461" s="15" t="str">
        <v>Czech Republic</v>
      </c>
      <c r="F461" s="15" t="str">
        <v>ST</v>
      </c>
      <c r="G461" s="15" t="str">
        <v>Sparta Prague</v>
      </c>
      <c r="H461" s="15">
        <v>11</v>
      </c>
      <c r="I461" s="15" t="str">
        <f t="shared" si="44"/>
        <v>24|Jan Kuchta|29|Czech Republic|ST|Sparta Prague|11</v>
      </c>
      <c r="J461" s="15" t="str">
        <f>IF(COUNTIF(I$438:I461,I461)&gt;1,"DOUBLON","OK")</f>
        <v>OK</v>
      </c>
      <c r="S461" s="30" t="str">
        <v>Romania</v>
      </c>
      <c r="T461" s="30" t="str">
        <f t="shared" si="45"/>
        <v>OK</v>
      </c>
      <c r="U461" s="30" t="str">
        <f t="shared" si="46"/>
        <v>-</v>
      </c>
      <c r="V461" s="30" t="str" cm="1">
        <f t="array" ref="V461">_xlfn.IFS(
ISNUMBER(SEARCH("USA",S461)),"United States",
ISNUMBER(SEARCH("Republic of Korea",S461)),"South Korea",
ISNUMBER(SEARCH("Cape Verde",S461)),"Cabo Verde",
ISNUMBER(SEARCH("Czechia",S461)),"Czech Republic",
ISNUMBER(SEARCH("Türkiye",S461)),"Turkey",
ISNUMBER(SEARCH("Ivory Coast",S461)),"Côte d'Ivoire",
ISNUMBER(SEARCH("Korea Republic",S461)),"South Korea",
ISNUMBER(SEARCH("Germany FR",S461)),"FR Germany",
ISNUMBER(SEARCH("West Germany",S461)),"FR Germany",
ISNUMBER(SEARCH("Germany DR",S461)),"DR Germany",
ISNUMBER(SEARCH("Korea DPR",S461)),"North Korea",
ISNUMBER(SEARCH("China PR",S461)),"China",
ISNUMBER(SEARCH("IR Iran",S461)),"Iran",
ISNUMBER(SEARCH("Congo DR",S461)),"Democratic Republic of the Congo",
ISNUMBER(SEARCH("DR Congo",S461)),"Democratic Republic of the Congo",
ISNUMBER(SEARCH("German DR",S461)),"DR Germany",
ISNUMBER(SEARCH("rn""&gt;United Arab Emirates",S461)),"United Arab Emirates",
ISNUMBER(SEARCH("rn""&gt;Republic of Ireland",S461)),"Ireland",
ISNUMBER(SEARCH("rn""&gt;Bosnia and Herzegovina",S461)),"Bosnia and Herzegovina",
ISNUMBER(SEARCH("rn""&gt;Trinidad and Tobago",S461)),"Trinidad and Tobago",
ISNUMBER(SEARCH("rn""&gt;Serbia and Montenegro",S461)),"Serbia and Montenegro",
ISNUMBER(SEARCH(_xlfn.UNICHAR(65533),S461)),"Côte d'Ivoire",
TRUE,""
)</f>
        <v/>
      </c>
      <c r="W461" s="30" t="str">
        <f t="shared" si="41"/>
        <v>Romania</v>
      </c>
      <c r="Z461" s="40" t="str">
        <v>Marc Antonio Bentegodi</v>
      </c>
      <c r="AA461" s="40" t="str" cm="1">
        <f t="array" ref="AA461">IFERROR(_xlfn.XLOOKUP(Z461,_xlfn.ANCHORARRAY(Z$31),AA$31:AA$37),Z461)</f>
        <v>Marc Antonio Bentegodi</v>
      </c>
      <c r="AB461" s="42" t="str">
        <v xml:space="preserve">Verona </v>
      </c>
      <c r="AC461" s="89" t="str">
        <f t="shared" si="43"/>
        <v xml:space="preserve">Verona </v>
      </c>
      <c r="AE461" s="42">
        <v>1986</v>
      </c>
      <c r="AK461" s="42">
        <v>1</v>
      </c>
      <c r="AL461" s="42">
        <v>2</v>
      </c>
      <c r="AW461" s="89" t="str">
        <v>ROUND_OF_16</v>
      </c>
      <c r="BE461" s="43" t="str">
        <f>IF(OR(DATA_CLEANED!AL452="",DATA_CLEANED!AM452=""),"MANQUANT",IF(OR(NOT(ISNUMBER(DATA_CLEANED!AL452)),NOT(ISNUMBER(DATA_CLEANED!AM452))),"ENTREE INVALIDE",IF(OR(DATA_CLEANED!AL452&lt;0,DATA_CLEANED!AM452&lt;0),"SCORE NEGATIF","OK")))</f>
        <v>OK</v>
      </c>
      <c r="BF461" s="43" t="str">
        <f>IF(DATA_CLEANED!AK452&lt;&gt;DATA_CLEANED!AN452,"OK","ERREUR")</f>
        <v>OK</v>
      </c>
      <c r="BG461" s="43" t="str">
        <f>IF(DATA_CLEANED!AL452&gt;DATA_CLEANED!AM452,DATA_CLEANED!AK452,IF(AND(DATA_QUALITE!W4938="-",DATA_CLEANED!AM452=DATA_CLEANED!AL452),"MATCH NUL",IF(AND(DATA_QUALITE!V4938="-",DATA_QUALITE!U4938="AUCUNE"),DATA_QUALITE!T4938,IF(DATA_QUALITE!V4938&lt;&gt;"-",DATA_QUALITE!V4938,DATA_CLEANED!AN452))))</f>
        <v>Czechoslovakia</v>
      </c>
      <c r="BH461" s="103" t="str">
        <f>IF(AND(BG461="MATCH NUL",DATA_CLEANED!AO452="-"),"MATCH_NUL",IF(ISNUMBER(SEARCH("win on penalties",W4938)),"WIN_BY_PENALTY",IF(ISNUMBER(SEARCH("win after extra time",W4938)),"WIN_BY_EXTRA_TIME",IF(ISNUMBER(SEARCH("Golden Goal",W4938)),"WIN_BY_GOLDEN_GOAL","WIN_BY_SCORE"))))</f>
        <v>WIN_BY_SCORE</v>
      </c>
      <c r="BI461" s="99" t="str">
        <f>IF(OR(BG461=DATA_CLEANED!AK452,BG461=DATA_CLEANED!AN452,BG461="MATCH NUL"),"OK","ERREUR")</f>
        <v>OK</v>
      </c>
    </row>
    <row r="462" spans="2:61">
      <c r="B462" s="75">
        <v>25</v>
      </c>
      <c r="C462" s="15" t="str">
        <v>Mojmír Chytil</v>
      </c>
      <c r="D462" s="15">
        <v>27</v>
      </c>
      <c r="E462" s="15" t="str">
        <v>Czech Republic</v>
      </c>
      <c r="F462" s="15" t="str">
        <v>ST</v>
      </c>
      <c r="G462" s="15" t="str">
        <v>Slavia Prague</v>
      </c>
      <c r="H462" s="15">
        <v>13</v>
      </c>
      <c r="I462" s="15" t="str">
        <f t="shared" si="44"/>
        <v>25|Mojmír Chytil|27|Czech Republic|ST|Slavia Prague|13</v>
      </c>
      <c r="J462" s="15" t="str">
        <f>IF(COUNTIF(I$438:I462,I462)&gt;1,"DOUBLON","OK")</f>
        <v>OK</v>
      </c>
      <c r="S462" s="30" t="str">
        <v>Romania</v>
      </c>
      <c r="T462" s="30" t="str">
        <f t="shared" si="45"/>
        <v>OK</v>
      </c>
      <c r="U462" s="30" t="str">
        <f t="shared" si="46"/>
        <v>-</v>
      </c>
      <c r="V462" s="30" t="str" cm="1">
        <f t="array" ref="V462">_xlfn.IFS(
ISNUMBER(SEARCH("USA",S462)),"United States",
ISNUMBER(SEARCH("Republic of Korea",S462)),"South Korea",
ISNUMBER(SEARCH("Cape Verde",S462)),"Cabo Verde",
ISNUMBER(SEARCH("Czechia",S462)),"Czech Republic",
ISNUMBER(SEARCH("Türkiye",S462)),"Turkey",
ISNUMBER(SEARCH("Ivory Coast",S462)),"Côte d'Ivoire",
ISNUMBER(SEARCH("Korea Republic",S462)),"South Korea",
ISNUMBER(SEARCH("Germany FR",S462)),"FR Germany",
ISNUMBER(SEARCH("West Germany",S462)),"FR Germany",
ISNUMBER(SEARCH("Germany DR",S462)),"DR Germany",
ISNUMBER(SEARCH("Korea DPR",S462)),"North Korea",
ISNUMBER(SEARCH("China PR",S462)),"China",
ISNUMBER(SEARCH("IR Iran",S462)),"Iran",
ISNUMBER(SEARCH("Congo DR",S462)),"Democratic Republic of the Congo",
ISNUMBER(SEARCH("DR Congo",S462)),"Democratic Republic of the Congo",
ISNUMBER(SEARCH("German DR",S462)),"DR Germany",
ISNUMBER(SEARCH("rn""&gt;United Arab Emirates",S462)),"United Arab Emirates",
ISNUMBER(SEARCH("rn""&gt;Republic of Ireland",S462)),"Ireland",
ISNUMBER(SEARCH("rn""&gt;Bosnia and Herzegovina",S462)),"Bosnia and Herzegovina",
ISNUMBER(SEARCH("rn""&gt;Trinidad and Tobago",S462)),"Trinidad and Tobago",
ISNUMBER(SEARCH("rn""&gt;Serbia and Montenegro",S462)),"Serbia and Montenegro",
ISNUMBER(SEARCH(_xlfn.UNICHAR(65533),S462)),"Côte d'Ivoire",
TRUE,""
)</f>
        <v/>
      </c>
      <c r="W462" s="30" t="str">
        <f t="shared" ref="W462:W525" si="47">IF(V462="",S462,V462)</f>
        <v>Romania</v>
      </c>
      <c r="Z462" s="40" t="str">
        <v>Della Favorita</v>
      </c>
      <c r="AA462" s="40" t="str" cm="1">
        <f t="array" ref="AA462">IFERROR(_xlfn.XLOOKUP(Z462,_xlfn.ANCHORARRAY(Z$31),AA$31:AA$37),Z462)</f>
        <v>Della Favorita</v>
      </c>
      <c r="AB462" s="42" t="str">
        <v xml:space="preserve">Palermo </v>
      </c>
      <c r="AC462" s="89" t="str">
        <f t="shared" si="43"/>
        <v xml:space="preserve">Palermo </v>
      </c>
      <c r="AE462" s="42">
        <v>1986</v>
      </c>
      <c r="AK462" s="42">
        <v>1</v>
      </c>
      <c r="AL462" s="42">
        <v>1</v>
      </c>
      <c r="AW462" s="89" t="str">
        <v>ROUND_OF_16</v>
      </c>
      <c r="BE462" s="43" t="str">
        <f>IF(OR(DATA_CLEANED!AL453="",DATA_CLEANED!AM453=""),"MANQUANT",IF(OR(NOT(ISNUMBER(DATA_CLEANED!AL453)),NOT(ISNUMBER(DATA_CLEANED!AM453))),"ENTREE INVALIDE",IF(OR(DATA_CLEANED!AL453&lt;0,DATA_CLEANED!AM453&lt;0),"SCORE NEGATIF","OK")))</f>
        <v>OK</v>
      </c>
      <c r="BF462" s="43" t="str">
        <f>IF(DATA_CLEANED!AK453&lt;&gt;DATA_CLEANED!AN453,"OK","ERREUR")</f>
        <v>OK</v>
      </c>
      <c r="BG462" s="43" t="str">
        <f>IF(DATA_CLEANED!AL453&gt;DATA_CLEANED!AM453,DATA_CLEANED!AK453,IF(AND(DATA_QUALITE!W4939="-",DATA_CLEANED!AM453=DATA_CLEANED!AL453),"MATCH NUL",IF(AND(DATA_QUALITE!V4939="-",DATA_QUALITE!U4939="AUCUNE"),DATA_QUALITE!T4939,IF(DATA_QUALITE!V4939&lt;&gt;"-",DATA_QUALITE!V4939,DATA_CLEANED!AN453))))</f>
        <v>Argentina</v>
      </c>
      <c r="BH462" s="103" t="str">
        <f>IF(AND(BG462="MATCH NUL",DATA_CLEANED!AO453="-"),"MATCH_NUL",IF(ISNUMBER(SEARCH("win on penalties",W4939)),"WIN_BY_PENALTY",IF(ISNUMBER(SEARCH("win after extra time",W4939)),"WIN_BY_EXTRA_TIME",IF(ISNUMBER(SEARCH("Golden Goal",W4939)),"WIN_BY_GOLDEN_GOAL","WIN_BY_SCORE"))))</f>
        <v>WIN_BY_SCORE</v>
      </c>
      <c r="BI462" s="99" t="str">
        <f>IF(OR(BG462=DATA_CLEANED!AK453,BG462=DATA_CLEANED!AN453,BG462="MATCH NUL"),"OK","ERREUR")</f>
        <v>OK</v>
      </c>
    </row>
    <row r="463" spans="2:61">
      <c r="B463" s="75">
        <v>26</v>
      </c>
      <c r="C463" s="15" t="str">
        <v>Tomáš Chorý</v>
      </c>
      <c r="D463" s="15">
        <v>31</v>
      </c>
      <c r="E463" s="15" t="str">
        <v>Czech Republic</v>
      </c>
      <c r="F463" s="15" t="str">
        <v>ST</v>
      </c>
      <c r="G463" s="15" t="str">
        <v>Slavia Prague</v>
      </c>
      <c r="H463" s="15">
        <v>19</v>
      </c>
      <c r="I463" s="15" t="str">
        <f t="shared" si="44"/>
        <v>26|Tomáš Chorý|31|Czech Republic|ST|Slavia Prague|19</v>
      </c>
      <c r="J463" s="15" t="str">
        <f>IF(COUNTIF(I$438:I463,I463)&gt;1,"DOUBLON","OK")</f>
        <v>OK</v>
      </c>
      <c r="S463" s="30" t="str">
        <v>Romania</v>
      </c>
      <c r="T463" s="30" t="str">
        <f t="shared" si="45"/>
        <v>OK</v>
      </c>
      <c r="U463" s="30" t="str">
        <f t="shared" si="46"/>
        <v>-</v>
      </c>
      <c r="V463" s="30" t="str" cm="1">
        <f t="array" ref="V463">_xlfn.IFS(
ISNUMBER(SEARCH("USA",S463)),"United States",
ISNUMBER(SEARCH("Republic of Korea",S463)),"South Korea",
ISNUMBER(SEARCH("Cape Verde",S463)),"Cabo Verde",
ISNUMBER(SEARCH("Czechia",S463)),"Czech Republic",
ISNUMBER(SEARCH("Türkiye",S463)),"Turkey",
ISNUMBER(SEARCH("Ivory Coast",S463)),"Côte d'Ivoire",
ISNUMBER(SEARCH("Korea Republic",S463)),"South Korea",
ISNUMBER(SEARCH("Germany FR",S463)),"FR Germany",
ISNUMBER(SEARCH("West Germany",S463)),"FR Germany",
ISNUMBER(SEARCH("Germany DR",S463)),"DR Germany",
ISNUMBER(SEARCH("Korea DPR",S463)),"North Korea",
ISNUMBER(SEARCH("China PR",S463)),"China",
ISNUMBER(SEARCH("IR Iran",S463)),"Iran",
ISNUMBER(SEARCH("Congo DR",S463)),"Democratic Republic of the Congo",
ISNUMBER(SEARCH("DR Congo",S463)),"Democratic Republic of the Congo",
ISNUMBER(SEARCH("German DR",S463)),"DR Germany",
ISNUMBER(SEARCH("rn""&gt;United Arab Emirates",S463)),"United Arab Emirates",
ISNUMBER(SEARCH("rn""&gt;Republic of Ireland",S463)),"Ireland",
ISNUMBER(SEARCH("rn""&gt;Bosnia and Herzegovina",S463)),"Bosnia and Herzegovina",
ISNUMBER(SEARCH("rn""&gt;Trinidad and Tobago",S463)),"Trinidad and Tobago",
ISNUMBER(SEARCH("rn""&gt;Serbia and Montenegro",S463)),"Serbia and Montenegro",
ISNUMBER(SEARCH(_xlfn.UNICHAR(65533),S463)),"Côte d'Ivoire",
TRUE,""
)</f>
        <v/>
      </c>
      <c r="W463" s="30" t="str">
        <f t="shared" si="47"/>
        <v>Romania</v>
      </c>
      <c r="Z463" s="40" t="str">
        <v>Dacia Arena</v>
      </c>
      <c r="AA463" s="40" t="str" cm="1">
        <f t="array" ref="AA463">IFERROR(_xlfn.XLOOKUP(Z463,_xlfn.ANCHORARRAY(Z$31),AA$31:AA$37),Z463)</f>
        <v>Dacia Arena</v>
      </c>
      <c r="AB463" s="42" t="str">
        <v xml:space="preserve">Udine </v>
      </c>
      <c r="AC463" s="89" t="str">
        <f t="shared" si="43"/>
        <v xml:space="preserve">Udine </v>
      </c>
      <c r="AE463" s="42">
        <v>1986</v>
      </c>
      <c r="AK463" s="42">
        <v>1</v>
      </c>
      <c r="AL463" s="42">
        <v>0</v>
      </c>
      <c r="AW463" s="89" t="str">
        <v>ROUND_OF_16</v>
      </c>
      <c r="BE463" s="43" t="str">
        <f>IF(OR(DATA_CLEANED!AL454="",DATA_CLEANED!AM454=""),"MANQUANT",IF(OR(NOT(ISNUMBER(DATA_CLEANED!AL454)),NOT(ISNUMBER(DATA_CLEANED!AM454))),"ENTREE INVALIDE",IF(OR(DATA_CLEANED!AL454&lt;0,DATA_CLEANED!AM454&lt;0),"SCORE NEGATIF","OK")))</f>
        <v>OK</v>
      </c>
      <c r="BF463" s="43" t="str">
        <f>IF(DATA_CLEANED!AK454&lt;&gt;DATA_CLEANED!AN454,"OK","ERREUR")</f>
        <v>OK</v>
      </c>
      <c r="BG463" s="43" t="str">
        <f>IF(DATA_CLEANED!AL454&gt;DATA_CLEANED!AM454,DATA_CLEANED!AK454,IF(AND(DATA_QUALITE!W4940="-",DATA_CLEANED!AM454=DATA_CLEANED!AL454),"MATCH NUL",IF(AND(DATA_QUALITE!V4940="-",DATA_QUALITE!U4940="AUCUNE"),DATA_QUALITE!T4940,IF(DATA_QUALITE!V4940&lt;&gt;"-",DATA_QUALITE!V4940,DATA_CLEANED!AN454))))</f>
        <v>FR Germany</v>
      </c>
      <c r="BH463" s="103" t="str">
        <f>IF(AND(BG463="MATCH NUL",DATA_CLEANED!AO454="-"),"MATCH_NUL",IF(ISNUMBER(SEARCH("win on penalties",W4940)),"WIN_BY_PENALTY",IF(ISNUMBER(SEARCH("win after extra time",W4940)),"WIN_BY_EXTRA_TIME",IF(ISNUMBER(SEARCH("Golden Goal",W4940)),"WIN_BY_GOLDEN_GOAL","WIN_BY_SCORE"))))</f>
        <v>WIN_BY_SCORE</v>
      </c>
      <c r="BI463" s="99" t="str">
        <f>IF(OR(BG463=DATA_CLEANED!AK454,BG463=DATA_CLEANED!AN454,BG463="MATCH NUL"),"OK","ERREUR")</f>
        <v>OK</v>
      </c>
    </row>
    <row r="464" spans="2:61">
      <c r="B464" s="75">
        <v>27</v>
      </c>
      <c r="C464" s="15" t="str">
        <v>Raúl Rangel</v>
      </c>
      <c r="D464" s="15">
        <v>26</v>
      </c>
      <c r="E464" s="15" t="str">
        <v>Mexico</v>
      </c>
      <c r="F464" s="15" t="str">
        <v>GK</v>
      </c>
      <c r="G464" s="15" t="str">
        <v>Guadalajara</v>
      </c>
      <c r="H464" s="15">
        <v>1</v>
      </c>
      <c r="I464" s="15" t="str">
        <f t="shared" si="44"/>
        <v>27|Raúl Rangel|26|Mexico|GK|Guadalajara|1</v>
      </c>
      <c r="J464" s="15" t="str">
        <f>IF(COUNTIF(I$438:I464,I464)&gt;1,"DOUBLON","OK")</f>
        <v>OK</v>
      </c>
      <c r="S464" s="30" t="str">
        <v>Yugoslavia</v>
      </c>
      <c r="T464" s="30" t="str">
        <f t="shared" si="45"/>
        <v>ERREUR</v>
      </c>
      <c r="U464" s="30" t="str">
        <f t="shared" si="46"/>
        <v>AUCUNE</v>
      </c>
      <c r="V464" s="30" t="str" cm="1">
        <f t="array" ref="V464">_xlfn.IFS(
ISNUMBER(SEARCH("USA",S464)),"United States",
ISNUMBER(SEARCH("Republic of Korea",S464)),"South Korea",
ISNUMBER(SEARCH("Cape Verde",S464)),"Cabo Verde",
ISNUMBER(SEARCH("Czechia",S464)),"Czech Republic",
ISNUMBER(SEARCH("Türkiye",S464)),"Turkey",
ISNUMBER(SEARCH("Ivory Coast",S464)),"Côte d'Ivoire",
ISNUMBER(SEARCH("Korea Republic",S464)),"South Korea",
ISNUMBER(SEARCH("Germany FR",S464)),"FR Germany",
ISNUMBER(SEARCH("West Germany",S464)),"FR Germany",
ISNUMBER(SEARCH("Germany DR",S464)),"DR Germany",
ISNUMBER(SEARCH("Korea DPR",S464)),"North Korea",
ISNUMBER(SEARCH("China PR",S464)),"China",
ISNUMBER(SEARCH("IR Iran",S464)),"Iran",
ISNUMBER(SEARCH("Congo DR",S464)),"Democratic Republic of the Congo",
ISNUMBER(SEARCH("DR Congo",S464)),"Democratic Republic of the Congo",
ISNUMBER(SEARCH("German DR",S464)),"DR Germany",
ISNUMBER(SEARCH("rn""&gt;United Arab Emirates",S464)),"United Arab Emirates",
ISNUMBER(SEARCH("rn""&gt;Republic of Ireland",S464)),"Ireland",
ISNUMBER(SEARCH("rn""&gt;Bosnia and Herzegovina",S464)),"Bosnia and Herzegovina",
ISNUMBER(SEARCH("rn""&gt;Trinidad and Tobago",S464)),"Trinidad and Tobago",
ISNUMBER(SEARCH("rn""&gt;Serbia and Montenegro",S464)),"Serbia and Montenegro",
ISNUMBER(SEARCH(_xlfn.UNICHAR(65533),S464)),"Côte d'Ivoire",
TRUE,""
)</f>
        <v/>
      </c>
      <c r="W464" s="30" t="str">
        <f t="shared" si="47"/>
        <v>Yugoslavia</v>
      </c>
      <c r="Z464" s="40" t="str">
        <v>San Paolo</v>
      </c>
      <c r="AA464" s="40" t="str" cm="1">
        <f t="array" ref="AA464">IFERROR(_xlfn.XLOOKUP(Z464,_xlfn.ANCHORARRAY(Z$31),AA$31:AA$37),Z464)</f>
        <v>San Paolo</v>
      </c>
      <c r="AB464" s="42" t="str">
        <v xml:space="preserve">Naples </v>
      </c>
      <c r="AC464" s="89" t="str">
        <f t="shared" si="43"/>
        <v xml:space="preserve">Naples </v>
      </c>
      <c r="AE464" s="42">
        <v>1986</v>
      </c>
      <c r="AK464" s="42">
        <v>1</v>
      </c>
      <c r="AL464" s="42">
        <v>2</v>
      </c>
      <c r="AW464" s="89" t="str">
        <v>ROUND_OF_16</v>
      </c>
      <c r="BE464" s="43" t="str">
        <f>IF(OR(DATA_CLEANED!AL455="",DATA_CLEANED!AM455=""),"MANQUANT",IF(OR(NOT(ISNUMBER(DATA_CLEANED!AL455)),NOT(ISNUMBER(DATA_CLEANED!AM455))),"ENTREE INVALIDE",IF(OR(DATA_CLEANED!AL455&lt;0,DATA_CLEANED!AM455&lt;0),"SCORE NEGATIF","OK")))</f>
        <v>OK</v>
      </c>
      <c r="BF464" s="43" t="str">
        <f>IF(DATA_CLEANED!AK455&lt;&gt;DATA_CLEANED!AN455,"OK","ERREUR")</f>
        <v>OK</v>
      </c>
      <c r="BG464" s="43" t="str">
        <f>IF(DATA_CLEANED!AL455&gt;DATA_CLEANED!AM455,DATA_CLEANED!AK455,IF(AND(DATA_QUALITE!W4941="-",DATA_CLEANED!AM455=DATA_CLEANED!AL455),"MATCH NUL",IF(AND(DATA_QUALITE!V4941="-",DATA_QUALITE!U4941="AUCUNE"),DATA_QUALITE!T4941,IF(DATA_QUALITE!V4941&lt;&gt;"-",DATA_QUALITE!V4941,DATA_CLEANED!AN455))))</f>
        <v>Ireland</v>
      </c>
      <c r="BH464" s="103" t="str">
        <f>IF(AND(BG464="MATCH NUL",DATA_CLEANED!AO455="-"),"MATCH_NUL",IF(ISNUMBER(SEARCH("win on penalties",W4941)),"WIN_BY_PENALTY",IF(ISNUMBER(SEARCH("win after extra time",W4941)),"WIN_BY_EXTRA_TIME",IF(ISNUMBER(SEARCH("Golden Goal",W4941)),"WIN_BY_GOLDEN_GOAL","WIN_BY_SCORE"))))</f>
        <v>WIN_BY_PENALTY</v>
      </c>
      <c r="BI464" s="99" t="str">
        <f>IF(OR(BG464=DATA_CLEANED!AK455,BG464=DATA_CLEANED!AN455,BG464="MATCH NUL"),"OK","ERREUR")</f>
        <v>OK</v>
      </c>
    </row>
    <row r="465" spans="2:61">
      <c r="B465" s="75">
        <v>28</v>
      </c>
      <c r="C465" s="15" t="str">
        <v>Carlos Acevedo</v>
      </c>
      <c r="D465" s="15">
        <v>30</v>
      </c>
      <c r="E465" s="15" t="str">
        <v>Mexico</v>
      </c>
      <c r="F465" s="15" t="str">
        <v>GK</v>
      </c>
      <c r="G465" s="15" t="str">
        <v>Santos Laguna</v>
      </c>
      <c r="H465" s="15">
        <v>12</v>
      </c>
      <c r="I465" s="15" t="str">
        <f t="shared" si="44"/>
        <v>28|Carlos Acevedo|30|Mexico|GK|Santos Laguna|12</v>
      </c>
      <c r="J465" s="15" t="str">
        <f>IF(COUNTIF(I$438:I465,I465)&gt;1,"DOUBLON","OK")</f>
        <v>OK</v>
      </c>
      <c r="S465" s="30" t="str">
        <v>Yugoslavia</v>
      </c>
      <c r="T465" s="30" t="str">
        <f t="shared" si="45"/>
        <v>ERREUR</v>
      </c>
      <c r="U465" s="30" t="str">
        <f t="shared" si="46"/>
        <v>AUCUNE</v>
      </c>
      <c r="V465" s="30" t="str" cm="1">
        <f t="array" ref="V465">_xlfn.IFS(
ISNUMBER(SEARCH("USA",S465)),"United States",
ISNUMBER(SEARCH("Republic of Korea",S465)),"South Korea",
ISNUMBER(SEARCH("Cape Verde",S465)),"Cabo Verde",
ISNUMBER(SEARCH("Czechia",S465)),"Czech Republic",
ISNUMBER(SEARCH("Türkiye",S465)),"Turkey",
ISNUMBER(SEARCH("Ivory Coast",S465)),"Côte d'Ivoire",
ISNUMBER(SEARCH("Korea Republic",S465)),"South Korea",
ISNUMBER(SEARCH("Germany FR",S465)),"FR Germany",
ISNUMBER(SEARCH("West Germany",S465)),"FR Germany",
ISNUMBER(SEARCH("Germany DR",S465)),"DR Germany",
ISNUMBER(SEARCH("Korea DPR",S465)),"North Korea",
ISNUMBER(SEARCH("China PR",S465)),"China",
ISNUMBER(SEARCH("IR Iran",S465)),"Iran",
ISNUMBER(SEARCH("Congo DR",S465)),"Democratic Republic of the Congo",
ISNUMBER(SEARCH("DR Congo",S465)),"Democratic Republic of the Congo",
ISNUMBER(SEARCH("German DR",S465)),"DR Germany",
ISNUMBER(SEARCH("rn""&gt;United Arab Emirates",S465)),"United Arab Emirates",
ISNUMBER(SEARCH("rn""&gt;Republic of Ireland",S465)),"Ireland",
ISNUMBER(SEARCH("rn""&gt;Bosnia and Herzegovina",S465)),"Bosnia and Herzegovina",
ISNUMBER(SEARCH("rn""&gt;Trinidad and Tobago",S465)),"Trinidad and Tobago",
ISNUMBER(SEARCH("rn""&gt;Serbia and Montenegro",S465)),"Serbia and Montenegro",
ISNUMBER(SEARCH(_xlfn.UNICHAR(65533),S465)),"Côte d'Ivoire",
TRUE,""
)</f>
        <v/>
      </c>
      <c r="W465" s="30" t="str">
        <f t="shared" si="47"/>
        <v>Yugoslavia</v>
      </c>
      <c r="Z465" s="40" t="str">
        <v>Stadio San Nicola</v>
      </c>
      <c r="AA465" s="40" t="str" cm="1">
        <f t="array" ref="AA465">IFERROR(_xlfn.XLOOKUP(Z465,_xlfn.ANCHORARRAY(Z$31),AA$31:AA$37),Z465)</f>
        <v>Stadio San Nicola</v>
      </c>
      <c r="AB465" s="42" t="str">
        <v xml:space="preserve">Bari </v>
      </c>
      <c r="AC465" s="89" t="str">
        <f t="shared" si="43"/>
        <v xml:space="preserve">Bari </v>
      </c>
      <c r="AE465" s="42">
        <v>1986</v>
      </c>
      <c r="AK465" s="42">
        <v>6</v>
      </c>
      <c r="AL465" s="42">
        <v>1</v>
      </c>
      <c r="AW465" s="89" t="str">
        <v>ROUND_OF_16</v>
      </c>
      <c r="BE465" s="43" t="str">
        <f>IF(OR(DATA_CLEANED!AL456="",DATA_CLEANED!AM456=""),"MANQUANT",IF(OR(NOT(ISNUMBER(DATA_CLEANED!AL456)),NOT(ISNUMBER(DATA_CLEANED!AM456))),"ENTREE INVALIDE",IF(OR(DATA_CLEANED!AL456&lt;0,DATA_CLEANED!AM456&lt;0),"SCORE NEGATIF","OK")))</f>
        <v>OK</v>
      </c>
      <c r="BF465" s="43" t="str">
        <f>IF(DATA_CLEANED!AK456&lt;&gt;DATA_CLEANED!AN456,"OK","ERREUR")</f>
        <v>OK</v>
      </c>
      <c r="BG465" s="43" t="str">
        <f>IF(DATA_CLEANED!AL456&gt;DATA_CLEANED!AM456,DATA_CLEANED!AK456,IF(AND(DATA_QUALITE!W4942="-",DATA_CLEANED!AM456=DATA_CLEANED!AL456),"MATCH NUL",IF(AND(DATA_QUALITE!V4942="-",DATA_QUALITE!U4942="AUCUNE"),DATA_QUALITE!T4942,IF(DATA_QUALITE!V4942&lt;&gt;"-",DATA_QUALITE!V4942,DATA_CLEANED!AN456))))</f>
        <v>Italy</v>
      </c>
      <c r="BH465" s="103" t="str">
        <f>IF(AND(BG465="MATCH NUL",DATA_CLEANED!AO456="-"),"MATCH_NUL",IF(ISNUMBER(SEARCH("win on penalties",W4942)),"WIN_BY_PENALTY",IF(ISNUMBER(SEARCH("win after extra time",W4942)),"WIN_BY_EXTRA_TIME",IF(ISNUMBER(SEARCH("Golden Goal",W4942)),"WIN_BY_GOLDEN_GOAL","WIN_BY_SCORE"))))</f>
        <v>WIN_BY_SCORE</v>
      </c>
      <c r="BI465" s="99" t="str">
        <f>IF(OR(BG465=DATA_CLEANED!AK456,BG465=DATA_CLEANED!AN456,BG465="MATCH NUL"),"OK","ERREUR")</f>
        <v>OK</v>
      </c>
    </row>
    <row r="466" spans="2:61">
      <c r="B466" s="75">
        <v>29</v>
      </c>
      <c r="C466" s="15" t="str">
        <v>Guillermo Ochoa</v>
      </c>
      <c r="D466" s="15">
        <v>40</v>
      </c>
      <c r="E466" s="15" t="str">
        <v>Mexico</v>
      </c>
      <c r="F466" s="15" t="str">
        <v>GK</v>
      </c>
      <c r="G466" s="15" t="str">
        <v>AEL Limassol</v>
      </c>
      <c r="H466" s="15">
        <v>13</v>
      </c>
      <c r="I466" s="15" t="str">
        <f t="shared" si="44"/>
        <v>29|Guillermo Ochoa|40|Mexico|GK|AEL Limassol|13</v>
      </c>
      <c r="J466" s="15" t="str">
        <f>IF(COUNTIF(I$438:I466,I466)&gt;1,"DOUBLON","OK")</f>
        <v>OK</v>
      </c>
      <c r="S466" s="30" t="str">
        <v>Yugoslavia</v>
      </c>
      <c r="T466" s="30" t="str">
        <f t="shared" si="45"/>
        <v>ERREUR</v>
      </c>
      <c r="U466" s="30" t="str">
        <f t="shared" si="46"/>
        <v>AUCUNE</v>
      </c>
      <c r="V466" s="30" t="str" cm="1">
        <f t="array" ref="V466">_xlfn.IFS(
ISNUMBER(SEARCH("USA",S466)),"United States",
ISNUMBER(SEARCH("Republic of Korea",S466)),"South Korea",
ISNUMBER(SEARCH("Cape Verde",S466)),"Cabo Verde",
ISNUMBER(SEARCH("Czechia",S466)),"Czech Republic",
ISNUMBER(SEARCH("Türkiye",S466)),"Turkey",
ISNUMBER(SEARCH("Ivory Coast",S466)),"Côte d'Ivoire",
ISNUMBER(SEARCH("Korea Republic",S466)),"South Korea",
ISNUMBER(SEARCH("Germany FR",S466)),"FR Germany",
ISNUMBER(SEARCH("West Germany",S466)),"FR Germany",
ISNUMBER(SEARCH("Germany DR",S466)),"DR Germany",
ISNUMBER(SEARCH("Korea DPR",S466)),"North Korea",
ISNUMBER(SEARCH("China PR",S466)),"China",
ISNUMBER(SEARCH("IR Iran",S466)),"Iran",
ISNUMBER(SEARCH("Congo DR",S466)),"Democratic Republic of the Congo",
ISNUMBER(SEARCH("DR Congo",S466)),"Democratic Republic of the Congo",
ISNUMBER(SEARCH("German DR",S466)),"DR Germany",
ISNUMBER(SEARCH("rn""&gt;United Arab Emirates",S466)),"United Arab Emirates",
ISNUMBER(SEARCH("rn""&gt;Republic of Ireland",S466)),"Ireland",
ISNUMBER(SEARCH("rn""&gt;Bosnia and Herzegovina",S466)),"Bosnia and Herzegovina",
ISNUMBER(SEARCH("rn""&gt;Trinidad and Tobago",S466)),"Trinidad and Tobago",
ISNUMBER(SEARCH("rn""&gt;Serbia and Montenegro",S466)),"Serbia and Montenegro",
ISNUMBER(SEARCH(_xlfn.UNICHAR(65533),S466)),"Côte d'Ivoire",
TRUE,""
)</f>
        <v/>
      </c>
      <c r="W466" s="30" t="str">
        <f t="shared" si="47"/>
        <v>Yugoslavia</v>
      </c>
      <c r="Z466" s="40" t="str">
        <v>Renato Dall Ara</v>
      </c>
      <c r="AA466" s="40" t="str" cm="1">
        <f t="array" ref="AA466">IFERROR(_xlfn.XLOOKUP(Z466,_xlfn.ANCHORARRAY(Z$31),AA$31:AA$37),Z466)</f>
        <v>Renato Dall Ara</v>
      </c>
      <c r="AB466" s="42" t="str">
        <v xml:space="preserve">Bologna </v>
      </c>
      <c r="AC466" s="89" t="str">
        <f t="shared" si="43"/>
        <v xml:space="preserve">Bologna </v>
      </c>
      <c r="AE466" s="42">
        <v>1986</v>
      </c>
      <c r="AK466" s="42">
        <v>2</v>
      </c>
      <c r="AL466" s="42">
        <v>1</v>
      </c>
      <c r="AW466" s="89" t="str">
        <v>ROUND_OF_16</v>
      </c>
      <c r="BE466" s="43" t="str">
        <f>IF(OR(DATA_CLEANED!AL457="",DATA_CLEANED!AM457=""),"MANQUANT",IF(OR(NOT(ISNUMBER(DATA_CLEANED!AL457)),NOT(ISNUMBER(DATA_CLEANED!AM457))),"ENTREE INVALIDE",IF(OR(DATA_CLEANED!AL457&lt;0,DATA_CLEANED!AM457&lt;0),"SCORE NEGATIF","OK")))</f>
        <v>OK</v>
      </c>
      <c r="BF466" s="43" t="str">
        <f>IF(DATA_CLEANED!AK457&lt;&gt;DATA_CLEANED!AN457,"OK","ERREUR")</f>
        <v>OK</v>
      </c>
      <c r="BG466" s="43" t="str">
        <f>IF(DATA_CLEANED!AL457&gt;DATA_CLEANED!AM457,DATA_CLEANED!AK457,IF(AND(DATA_QUALITE!W4943="-",DATA_CLEANED!AM457=DATA_CLEANED!AL457),"MATCH NUL",IF(AND(DATA_QUALITE!V4943="-",DATA_QUALITE!U4943="AUCUNE"),DATA_QUALITE!T4943,IF(DATA_QUALITE!V4943&lt;&gt;"-",DATA_QUALITE!V4943,DATA_CLEANED!AN457))))</f>
        <v>Yugoslavia</v>
      </c>
      <c r="BH466" s="103" t="str">
        <f>IF(AND(BG466="MATCH NUL",DATA_CLEANED!AO457="-"),"MATCH_NUL",IF(ISNUMBER(SEARCH("win on penalties",W4943)),"WIN_BY_PENALTY",IF(ISNUMBER(SEARCH("win after extra time",W4943)),"WIN_BY_EXTRA_TIME",IF(ISNUMBER(SEARCH("Golden Goal",W4943)),"WIN_BY_GOLDEN_GOAL","WIN_BY_SCORE"))))</f>
        <v>WIN_BY_EXTRA_TIME</v>
      </c>
      <c r="BI466" s="99" t="str">
        <f>IF(OR(BG466=DATA_CLEANED!AK457,BG466=DATA_CLEANED!AN457,BG466="MATCH NUL"),"OK","ERREUR")</f>
        <v>OK</v>
      </c>
    </row>
    <row r="467" spans="2:61">
      <c r="B467" s="75">
        <v>30</v>
      </c>
      <c r="C467" s="15" t="str">
        <v>César Montes</v>
      </c>
      <c r="D467" s="15">
        <v>29</v>
      </c>
      <c r="E467" s="15" t="str">
        <v>Mexico</v>
      </c>
      <c r="F467" s="15" t="str">
        <v>CB</v>
      </c>
      <c r="G467" s="15" t="str">
        <v>Lokomotiv Moscow</v>
      </c>
      <c r="H467" s="15">
        <v>3</v>
      </c>
      <c r="I467" s="15" t="str">
        <f t="shared" si="44"/>
        <v>30|César Montes|29|Mexico|CB|Lokomotiv Moscow|3</v>
      </c>
      <c r="J467" s="15" t="str">
        <f>IF(COUNTIF(I$438:I467,I467)&gt;1,"DOUBLON","OK")</f>
        <v>OK</v>
      </c>
      <c r="S467" s="30" t="str">
        <v>Yugoslavia</v>
      </c>
      <c r="T467" s="30" t="str">
        <f t="shared" si="45"/>
        <v>ERREUR</v>
      </c>
      <c r="U467" s="30" t="str">
        <f t="shared" si="46"/>
        <v>AUCUNE</v>
      </c>
      <c r="V467" s="30" t="str" cm="1">
        <f t="array" ref="V467">_xlfn.IFS(
ISNUMBER(SEARCH("USA",S467)),"United States",
ISNUMBER(SEARCH("Republic of Korea",S467)),"South Korea",
ISNUMBER(SEARCH("Cape Verde",S467)),"Cabo Verde",
ISNUMBER(SEARCH("Czechia",S467)),"Czech Republic",
ISNUMBER(SEARCH("Türkiye",S467)),"Turkey",
ISNUMBER(SEARCH("Ivory Coast",S467)),"Côte d'Ivoire",
ISNUMBER(SEARCH("Korea Republic",S467)),"South Korea",
ISNUMBER(SEARCH("Germany FR",S467)),"FR Germany",
ISNUMBER(SEARCH("West Germany",S467)),"FR Germany",
ISNUMBER(SEARCH("Germany DR",S467)),"DR Germany",
ISNUMBER(SEARCH("Korea DPR",S467)),"North Korea",
ISNUMBER(SEARCH("China PR",S467)),"China",
ISNUMBER(SEARCH("IR Iran",S467)),"Iran",
ISNUMBER(SEARCH("Congo DR",S467)),"Democratic Republic of the Congo",
ISNUMBER(SEARCH("DR Congo",S467)),"Democratic Republic of the Congo",
ISNUMBER(SEARCH("German DR",S467)),"DR Germany",
ISNUMBER(SEARCH("rn""&gt;United Arab Emirates",S467)),"United Arab Emirates",
ISNUMBER(SEARCH("rn""&gt;Republic of Ireland",S467)),"Ireland",
ISNUMBER(SEARCH("rn""&gt;Bosnia and Herzegovina",S467)),"Bosnia and Herzegovina",
ISNUMBER(SEARCH("rn""&gt;Trinidad and Tobago",S467)),"Trinidad and Tobago",
ISNUMBER(SEARCH("rn""&gt;Serbia and Montenegro",S467)),"Serbia and Montenegro",
ISNUMBER(SEARCH(_xlfn.UNICHAR(65533),S467)),"Côte d'Ivoire",
TRUE,""
)</f>
        <v/>
      </c>
      <c r="W467" s="30" t="str">
        <f t="shared" si="47"/>
        <v>Yugoslavia</v>
      </c>
      <c r="Z467" s="40" t="str">
        <v>Stadio Olimpico</v>
      </c>
      <c r="AA467" s="40" t="str" cm="1">
        <f t="array" ref="AA467">IFERROR(_xlfn.XLOOKUP(Z467,_xlfn.ANCHORARRAY(Z$31),AA$31:AA$37),Z467)</f>
        <v>Stadio Olimpico</v>
      </c>
      <c r="AB467" s="42" t="str">
        <v xml:space="preserve">Rome </v>
      </c>
      <c r="AC467" s="89" t="str">
        <f t="shared" si="43"/>
        <v xml:space="preserve">Rome </v>
      </c>
      <c r="AE467" s="42">
        <v>1986</v>
      </c>
      <c r="AK467" s="42">
        <v>0</v>
      </c>
      <c r="AL467" s="42">
        <v>3</v>
      </c>
      <c r="AW467" s="89" t="str">
        <v>ROUND_OF_16</v>
      </c>
      <c r="BE467" s="43" t="str">
        <f>IF(OR(DATA_CLEANED!AL458="",DATA_CLEANED!AM458=""),"MANQUANT",IF(OR(NOT(ISNUMBER(DATA_CLEANED!AL458)),NOT(ISNUMBER(DATA_CLEANED!AM458))),"ENTREE INVALIDE",IF(OR(DATA_CLEANED!AL458&lt;0,DATA_CLEANED!AM458&lt;0),"SCORE NEGATIF","OK")))</f>
        <v>OK</v>
      </c>
      <c r="BF467" s="43" t="str">
        <f>IF(DATA_CLEANED!AK458&lt;&gt;DATA_CLEANED!AN458,"OK","ERREUR")</f>
        <v>OK</v>
      </c>
      <c r="BG467" s="43" t="str">
        <f>IF(DATA_CLEANED!AL458&gt;DATA_CLEANED!AM458,DATA_CLEANED!AK458,IF(AND(DATA_QUALITE!W4944="-",DATA_CLEANED!AM458=DATA_CLEANED!AL458),"MATCH NUL",IF(AND(DATA_QUALITE!V4944="-",DATA_QUALITE!U4944="AUCUNE"),DATA_QUALITE!T4944,IF(DATA_QUALITE!V4944&lt;&gt;"-",DATA_QUALITE!V4944,DATA_CLEANED!AN458))))</f>
        <v>England</v>
      </c>
      <c r="BH467" s="103" t="str">
        <f>IF(AND(BG467="MATCH NUL",DATA_CLEANED!AO458="-"),"MATCH_NUL",IF(ISNUMBER(SEARCH("win on penalties",W4944)),"WIN_BY_PENALTY",IF(ISNUMBER(SEARCH("win after extra time",W4944)),"WIN_BY_EXTRA_TIME",IF(ISNUMBER(SEARCH("Golden Goal",W4944)),"WIN_BY_GOLDEN_GOAL","WIN_BY_SCORE"))))</f>
        <v>WIN_BY_EXTRA_TIME</v>
      </c>
      <c r="BI467" s="99" t="str">
        <f>IF(OR(BG467=DATA_CLEANED!AK458,BG467=DATA_CLEANED!AN458,BG467="MATCH NUL"),"OK","ERREUR")</f>
        <v>OK</v>
      </c>
    </row>
    <row r="468" spans="2:61">
      <c r="B468" s="75">
        <v>31</v>
      </c>
      <c r="C468" s="15" t="str">
        <v>Johan Vásquez</v>
      </c>
      <c r="D468" s="15">
        <v>27</v>
      </c>
      <c r="E468" s="15" t="str">
        <v>Mexico</v>
      </c>
      <c r="F468" s="15" t="str">
        <v>CB</v>
      </c>
      <c r="G468" s="15" t="str">
        <v>Genoa</v>
      </c>
      <c r="H468" s="15">
        <v>5</v>
      </c>
      <c r="I468" s="15" t="str">
        <f t="shared" si="44"/>
        <v>31|Johan Vásquez|27|Mexico|CB|Genoa|5</v>
      </c>
      <c r="J468" s="15" t="str">
        <f>IF(COUNTIF(I$438:I468,I468)&gt;1,"DOUBLON","OK")</f>
        <v>OK</v>
      </c>
      <c r="S468" s="30" t="str">
        <v>Yugoslavia</v>
      </c>
      <c r="T468" s="30" t="str">
        <f t="shared" si="45"/>
        <v>ERREUR</v>
      </c>
      <c r="U468" s="30" t="str">
        <f t="shared" si="46"/>
        <v>AUCUNE</v>
      </c>
      <c r="V468" s="30" t="str" cm="1">
        <f t="array" ref="V468">_xlfn.IFS(
ISNUMBER(SEARCH("USA",S468)),"United States",
ISNUMBER(SEARCH("Republic of Korea",S468)),"South Korea",
ISNUMBER(SEARCH("Cape Verde",S468)),"Cabo Verde",
ISNUMBER(SEARCH("Czechia",S468)),"Czech Republic",
ISNUMBER(SEARCH("Türkiye",S468)),"Turkey",
ISNUMBER(SEARCH("Ivory Coast",S468)),"Côte d'Ivoire",
ISNUMBER(SEARCH("Korea Republic",S468)),"South Korea",
ISNUMBER(SEARCH("Germany FR",S468)),"FR Germany",
ISNUMBER(SEARCH("West Germany",S468)),"FR Germany",
ISNUMBER(SEARCH("Germany DR",S468)),"DR Germany",
ISNUMBER(SEARCH("Korea DPR",S468)),"North Korea",
ISNUMBER(SEARCH("China PR",S468)),"China",
ISNUMBER(SEARCH("IR Iran",S468)),"Iran",
ISNUMBER(SEARCH("Congo DR",S468)),"Democratic Republic of the Congo",
ISNUMBER(SEARCH("DR Congo",S468)),"Democratic Republic of the Congo",
ISNUMBER(SEARCH("German DR",S468)),"DR Germany",
ISNUMBER(SEARCH("rn""&gt;United Arab Emirates",S468)),"United Arab Emirates",
ISNUMBER(SEARCH("rn""&gt;Republic of Ireland",S468)),"Ireland",
ISNUMBER(SEARCH("rn""&gt;Bosnia and Herzegovina",S468)),"Bosnia and Herzegovina",
ISNUMBER(SEARCH("rn""&gt;Trinidad and Tobago",S468)),"Trinidad and Tobago",
ISNUMBER(SEARCH("rn""&gt;Serbia and Montenegro",S468)),"Serbia and Montenegro",
ISNUMBER(SEARCH(_xlfn.UNICHAR(65533),S468)),"Côte d'Ivoire",
TRUE,""
)</f>
        <v/>
      </c>
      <c r="W468" s="30" t="str">
        <f t="shared" si="47"/>
        <v>Yugoslavia</v>
      </c>
      <c r="Z468" s="40" t="str">
        <v>Comunale</v>
      </c>
      <c r="AA468" s="40" t="str" cm="1">
        <f t="array" ref="AA468">IFERROR(_xlfn.XLOOKUP(Z468,_xlfn.ANCHORARRAY(Z$31),AA$31:AA$37),Z468)</f>
        <v>Comunale</v>
      </c>
      <c r="AB468" s="42" t="str">
        <v xml:space="preserve">Florence </v>
      </c>
      <c r="AC468" s="89" t="str">
        <f t="shared" si="43"/>
        <v xml:space="preserve">Florence </v>
      </c>
      <c r="AE468" s="42">
        <v>1986</v>
      </c>
      <c r="AK468" s="42">
        <v>2</v>
      </c>
      <c r="AL468" s="42">
        <v>0</v>
      </c>
      <c r="AW468" s="89" t="str">
        <v>QUARTER_FINALS</v>
      </c>
      <c r="BE468" s="43" t="str">
        <f>IF(OR(DATA_CLEANED!AL459="",DATA_CLEANED!AM459=""),"MANQUANT",IF(OR(NOT(ISNUMBER(DATA_CLEANED!AL459)),NOT(ISNUMBER(DATA_CLEANED!AM459))),"ENTREE INVALIDE",IF(OR(DATA_CLEANED!AL459&lt;0,DATA_CLEANED!AM459&lt;0),"SCORE NEGATIF","OK")))</f>
        <v>OK</v>
      </c>
      <c r="BF468" s="43" t="str">
        <f>IF(DATA_CLEANED!AK459&lt;&gt;DATA_CLEANED!AN459,"OK","ERREUR")</f>
        <v>OK</v>
      </c>
      <c r="BG468" s="43" t="str">
        <f>IF(DATA_CLEANED!AL459&gt;DATA_CLEANED!AM459,DATA_CLEANED!AK459,IF(AND(DATA_QUALITE!W4945="-",DATA_CLEANED!AM459=DATA_CLEANED!AL459),"MATCH NUL",IF(AND(DATA_QUALITE!V4945="-",DATA_QUALITE!U4945="AUCUNE"),DATA_QUALITE!T4945,IF(DATA_QUALITE!V4945&lt;&gt;"-",DATA_QUALITE!V4945,DATA_CLEANED!AN459))))</f>
        <v>Argentina</v>
      </c>
      <c r="BH468" s="103" t="str">
        <f>IF(AND(BG468="MATCH NUL",DATA_CLEANED!AO459="-"),"MATCH_NUL",IF(ISNUMBER(SEARCH("win on penalties",W4945)),"WIN_BY_PENALTY",IF(ISNUMBER(SEARCH("win after extra time",W4945)),"WIN_BY_EXTRA_TIME",IF(ISNUMBER(SEARCH("Golden Goal",W4945)),"WIN_BY_GOLDEN_GOAL","WIN_BY_SCORE"))))</f>
        <v>WIN_BY_PENALTY</v>
      </c>
      <c r="BI468" s="99" t="str">
        <f>IF(OR(BG468=DATA_CLEANED!AK459,BG468=DATA_CLEANED!AN459,BG468="MATCH NUL"),"OK","ERREUR")</f>
        <v>OK</v>
      </c>
    </row>
    <row r="469" spans="2:61">
      <c r="B469" s="75">
        <v>32</v>
      </c>
      <c r="C469" s="15" t="str">
        <v>Israel Reyes</v>
      </c>
      <c r="D469" s="15">
        <v>26</v>
      </c>
      <c r="E469" s="15" t="str">
        <v>Mexico</v>
      </c>
      <c r="F469" s="15" t="str">
        <v>CB</v>
      </c>
      <c r="G469" s="15" t="str">
        <v>América</v>
      </c>
      <c r="H469" s="15">
        <v>15</v>
      </c>
      <c r="I469" s="15" t="str">
        <f t="shared" si="44"/>
        <v>32|Israel Reyes|26|Mexico|CB|América|15</v>
      </c>
      <c r="J469" s="15" t="str">
        <f>IF(COUNTIF(I$438:I469,I469)&gt;1,"DOUBLON","OK")</f>
        <v>OK</v>
      </c>
      <c r="S469" s="30" t="str">
        <v>Yugoslavia</v>
      </c>
      <c r="T469" s="30" t="str">
        <f t="shared" si="45"/>
        <v>ERREUR</v>
      </c>
      <c r="U469" s="30" t="str">
        <f t="shared" si="46"/>
        <v>AUCUNE</v>
      </c>
      <c r="V469" s="30" t="str" cm="1">
        <f t="array" ref="V469">_xlfn.IFS(
ISNUMBER(SEARCH("USA",S469)),"United States",
ISNUMBER(SEARCH("Republic of Korea",S469)),"South Korea",
ISNUMBER(SEARCH("Cape Verde",S469)),"Cabo Verde",
ISNUMBER(SEARCH("Czechia",S469)),"Czech Republic",
ISNUMBER(SEARCH("Türkiye",S469)),"Turkey",
ISNUMBER(SEARCH("Ivory Coast",S469)),"Côte d'Ivoire",
ISNUMBER(SEARCH("Korea Republic",S469)),"South Korea",
ISNUMBER(SEARCH("Germany FR",S469)),"FR Germany",
ISNUMBER(SEARCH("West Germany",S469)),"FR Germany",
ISNUMBER(SEARCH("Germany DR",S469)),"DR Germany",
ISNUMBER(SEARCH("Korea DPR",S469)),"North Korea",
ISNUMBER(SEARCH("China PR",S469)),"China",
ISNUMBER(SEARCH("IR Iran",S469)),"Iran",
ISNUMBER(SEARCH("Congo DR",S469)),"Democratic Republic of the Congo",
ISNUMBER(SEARCH("DR Congo",S469)),"Democratic Republic of the Congo",
ISNUMBER(SEARCH("German DR",S469)),"DR Germany",
ISNUMBER(SEARCH("rn""&gt;United Arab Emirates",S469)),"United Arab Emirates",
ISNUMBER(SEARCH("rn""&gt;Republic of Ireland",S469)),"Ireland",
ISNUMBER(SEARCH("rn""&gt;Bosnia and Herzegovina",S469)),"Bosnia and Herzegovina",
ISNUMBER(SEARCH("rn""&gt;Trinidad and Tobago",S469)),"Trinidad and Tobago",
ISNUMBER(SEARCH("rn""&gt;Serbia and Montenegro",S469)),"Serbia and Montenegro",
ISNUMBER(SEARCH(_xlfn.UNICHAR(65533),S469)),"Côte d'Ivoire",
TRUE,""
)</f>
        <v/>
      </c>
      <c r="W469" s="30" t="str">
        <f t="shared" si="47"/>
        <v>Yugoslavia</v>
      </c>
      <c r="Z469" s="40" t="str">
        <v>Giuseppe Meazza</v>
      </c>
      <c r="AA469" s="40" t="str" cm="1">
        <f t="array" ref="AA469">IFERROR(_xlfn.XLOOKUP(Z469,_xlfn.ANCHORARRAY(Z$31),AA$31:AA$37),Z469)</f>
        <v>Giuseppe Meazza</v>
      </c>
      <c r="AB469" s="42" t="str">
        <v xml:space="preserve">Milan </v>
      </c>
      <c r="AC469" s="89" t="str">
        <f t="shared" si="43"/>
        <v xml:space="preserve">Milan </v>
      </c>
      <c r="AE469" s="42">
        <v>1986</v>
      </c>
      <c r="AK469" s="42">
        <v>2</v>
      </c>
      <c r="AL469" s="42">
        <v>3</v>
      </c>
      <c r="AW469" s="89" t="str">
        <v>QUARTER_FINALS</v>
      </c>
      <c r="BE469" s="43" t="str">
        <f>IF(OR(DATA_CLEANED!AL460="",DATA_CLEANED!AM460=""),"MANQUANT",IF(OR(NOT(ISNUMBER(DATA_CLEANED!AL460)),NOT(ISNUMBER(DATA_CLEANED!AM460))),"ENTREE INVALIDE",IF(OR(DATA_CLEANED!AL460&lt;0,DATA_CLEANED!AM460&lt;0),"SCORE NEGATIF","OK")))</f>
        <v>OK</v>
      </c>
      <c r="BF469" s="43" t="str">
        <f>IF(DATA_CLEANED!AK460&lt;&gt;DATA_CLEANED!AN460,"OK","ERREUR")</f>
        <v>OK</v>
      </c>
      <c r="BG469" s="43" t="str">
        <f>IF(DATA_CLEANED!AL460&gt;DATA_CLEANED!AM460,DATA_CLEANED!AK460,IF(AND(DATA_QUALITE!W4946="-",DATA_CLEANED!AM460=DATA_CLEANED!AL460),"MATCH NUL",IF(AND(DATA_QUALITE!V4946="-",DATA_QUALITE!U4946="AUCUNE"),DATA_QUALITE!T4946,IF(DATA_QUALITE!V4946&lt;&gt;"-",DATA_QUALITE!V4946,DATA_CLEANED!AN460))))</f>
        <v>Italy</v>
      </c>
      <c r="BH469" s="103" t="str">
        <f>IF(AND(BG469="MATCH NUL",DATA_CLEANED!AO460="-"),"MATCH_NUL",IF(ISNUMBER(SEARCH("win on penalties",W4946)),"WIN_BY_PENALTY",IF(ISNUMBER(SEARCH("win after extra time",W4946)),"WIN_BY_EXTRA_TIME",IF(ISNUMBER(SEARCH("Golden Goal",W4946)),"WIN_BY_GOLDEN_GOAL","WIN_BY_SCORE"))))</f>
        <v>WIN_BY_SCORE</v>
      </c>
      <c r="BI469" s="99" t="str">
        <f>IF(OR(BG469=DATA_CLEANED!AK460,BG469=DATA_CLEANED!AN460,BG469="MATCH NUL"),"OK","ERREUR")</f>
        <v>OK</v>
      </c>
    </row>
    <row r="470" spans="2:61">
      <c r="B470" s="75">
        <v>33</v>
      </c>
      <c r="C470" s="15" t="str">
        <v>Mateo Chávez</v>
      </c>
      <c r="D470" s="15">
        <v>22</v>
      </c>
      <c r="E470" s="15" t="str">
        <v>Mexico</v>
      </c>
      <c r="F470" s="15" t="str">
        <v>LB</v>
      </c>
      <c r="G470" s="15" t="str">
        <v>AZ</v>
      </c>
      <c r="H470" s="15">
        <v>20</v>
      </c>
      <c r="I470" s="15" t="str">
        <f t="shared" si="44"/>
        <v>33|Mateo Chávez|22|Mexico|LB|AZ|20</v>
      </c>
      <c r="J470" s="15" t="str">
        <f>IF(COUNTIF(I$438:I470,I470)&gt;1,"DOUBLON","OK")</f>
        <v>OK</v>
      </c>
      <c r="S470" s="30" t="str">
        <v>Yugoslavia</v>
      </c>
      <c r="T470" s="30" t="str">
        <f t="shared" si="45"/>
        <v>ERREUR</v>
      </c>
      <c r="U470" s="30" t="str">
        <f t="shared" si="46"/>
        <v>AUCUNE</v>
      </c>
      <c r="V470" s="30" t="str" cm="1">
        <f t="array" ref="V470">_xlfn.IFS(
ISNUMBER(SEARCH("USA",S470)),"United States",
ISNUMBER(SEARCH("Republic of Korea",S470)),"South Korea",
ISNUMBER(SEARCH("Cape Verde",S470)),"Cabo Verde",
ISNUMBER(SEARCH("Czechia",S470)),"Czech Republic",
ISNUMBER(SEARCH("Türkiye",S470)),"Turkey",
ISNUMBER(SEARCH("Ivory Coast",S470)),"Côte d'Ivoire",
ISNUMBER(SEARCH("Korea Republic",S470)),"South Korea",
ISNUMBER(SEARCH("Germany FR",S470)),"FR Germany",
ISNUMBER(SEARCH("West Germany",S470)),"FR Germany",
ISNUMBER(SEARCH("Germany DR",S470)),"DR Germany",
ISNUMBER(SEARCH("Korea DPR",S470)),"North Korea",
ISNUMBER(SEARCH("China PR",S470)),"China",
ISNUMBER(SEARCH("IR Iran",S470)),"Iran",
ISNUMBER(SEARCH("Congo DR",S470)),"Democratic Republic of the Congo",
ISNUMBER(SEARCH("DR Congo",S470)),"Democratic Republic of the Congo",
ISNUMBER(SEARCH("German DR",S470)),"DR Germany",
ISNUMBER(SEARCH("rn""&gt;United Arab Emirates",S470)),"United Arab Emirates",
ISNUMBER(SEARCH("rn""&gt;Republic of Ireland",S470)),"Ireland",
ISNUMBER(SEARCH("rn""&gt;Bosnia and Herzegovina",S470)),"Bosnia and Herzegovina",
ISNUMBER(SEARCH("rn""&gt;Trinidad and Tobago",S470)),"Trinidad and Tobago",
ISNUMBER(SEARCH("rn""&gt;Serbia and Montenegro",S470)),"Serbia and Montenegro",
ISNUMBER(SEARCH(_xlfn.UNICHAR(65533),S470)),"Côte d'Ivoire",
TRUE,""
)</f>
        <v/>
      </c>
      <c r="W470" s="30" t="str">
        <f t="shared" si="47"/>
        <v>Yugoslavia</v>
      </c>
      <c r="Z470" s="40" t="str">
        <v>Stadio delle Alpi</v>
      </c>
      <c r="AA470" s="40" t="str" cm="1">
        <f t="array" ref="AA470">IFERROR(_xlfn.XLOOKUP(Z470,_xlfn.ANCHORARRAY(Z$31),AA$31:AA$37),Z470)</f>
        <v>Stadio delle Alpi</v>
      </c>
      <c r="AB470" s="42" t="str">
        <v xml:space="preserve">Turin </v>
      </c>
      <c r="AC470" s="89" t="str">
        <f t="shared" si="43"/>
        <v xml:space="preserve">Turin </v>
      </c>
      <c r="AE470" s="42">
        <v>1986</v>
      </c>
      <c r="AK470" s="42">
        <v>2</v>
      </c>
      <c r="AL470" s="42">
        <v>0</v>
      </c>
      <c r="AW470" s="89" t="str">
        <v>QUARTER_FINALS</v>
      </c>
      <c r="BE470" s="43" t="str">
        <f>IF(OR(DATA_CLEANED!AL461="",DATA_CLEANED!AM461=""),"MANQUANT",IF(OR(NOT(ISNUMBER(DATA_CLEANED!AL461)),NOT(ISNUMBER(DATA_CLEANED!AM461))),"ENTREE INVALIDE",IF(OR(DATA_CLEANED!AL461&lt;0,DATA_CLEANED!AM461&lt;0),"SCORE NEGATIF","OK")))</f>
        <v>OK</v>
      </c>
      <c r="BF470" s="43" t="str">
        <f>IF(DATA_CLEANED!AK461&lt;&gt;DATA_CLEANED!AN461,"OK","ERREUR")</f>
        <v>OK</v>
      </c>
      <c r="BG470" s="43" t="str">
        <f>IF(DATA_CLEANED!AL461&gt;DATA_CLEANED!AM461,DATA_CLEANED!AK461,IF(AND(DATA_QUALITE!W4947="-",DATA_CLEANED!AM461=DATA_CLEANED!AL461),"MATCH NUL",IF(AND(DATA_QUALITE!V4947="-",DATA_QUALITE!U4947="AUCUNE"),DATA_QUALITE!T4947,IF(DATA_QUALITE!V4947&lt;&gt;"-",DATA_QUALITE!V4947,DATA_CLEANED!AN461))))</f>
        <v>FR Germany</v>
      </c>
      <c r="BH470" s="103" t="str">
        <f>IF(AND(BG470="MATCH NUL",DATA_CLEANED!AO461="-"),"MATCH_NUL",IF(ISNUMBER(SEARCH("win on penalties",W4947)),"WIN_BY_PENALTY",IF(ISNUMBER(SEARCH("win after extra time",W4947)),"WIN_BY_EXTRA_TIME",IF(ISNUMBER(SEARCH("Golden Goal",W4947)),"WIN_BY_GOLDEN_GOAL","WIN_BY_SCORE"))))</f>
        <v>WIN_BY_SCORE</v>
      </c>
      <c r="BI470" s="99" t="str">
        <f>IF(OR(BG470=DATA_CLEANED!AK461,BG470=DATA_CLEANED!AN461,BG470="MATCH NUL"),"OK","ERREUR")</f>
        <v>OK</v>
      </c>
    </row>
    <row r="471" spans="2:61">
      <c r="B471" s="75">
        <v>34</v>
      </c>
      <c r="C471" s="15" t="str">
        <v>Jesús Gallardo</v>
      </c>
      <c r="D471" s="15">
        <v>31</v>
      </c>
      <c r="E471" s="15" t="str">
        <v>Mexico</v>
      </c>
      <c r="F471" s="15" t="str">
        <v>LB</v>
      </c>
      <c r="G471" s="15" t="str">
        <v>Toluca</v>
      </c>
      <c r="H471" s="15">
        <v>23</v>
      </c>
      <c r="I471" s="15" t="str">
        <f t="shared" si="44"/>
        <v>34|Jesús Gallardo|31|Mexico|LB|Toluca|23</v>
      </c>
      <c r="J471" s="15" t="str">
        <f>IF(COUNTIF(I$438:I471,I471)&gt;1,"DOUBLON","OK")</f>
        <v>OK</v>
      </c>
      <c r="S471" s="30" t="str">
        <v>Yugoslavia</v>
      </c>
      <c r="T471" s="30" t="str">
        <f t="shared" si="45"/>
        <v>ERREUR</v>
      </c>
      <c r="U471" s="30" t="str">
        <f t="shared" si="46"/>
        <v>AUCUNE</v>
      </c>
      <c r="V471" s="30" t="str" cm="1">
        <f t="array" ref="V471">_xlfn.IFS(
ISNUMBER(SEARCH("USA",S471)),"United States",
ISNUMBER(SEARCH("Republic of Korea",S471)),"South Korea",
ISNUMBER(SEARCH("Cape Verde",S471)),"Cabo Verde",
ISNUMBER(SEARCH("Czechia",S471)),"Czech Republic",
ISNUMBER(SEARCH("Türkiye",S471)),"Turkey",
ISNUMBER(SEARCH("Ivory Coast",S471)),"Côte d'Ivoire",
ISNUMBER(SEARCH("Korea Republic",S471)),"South Korea",
ISNUMBER(SEARCH("Germany FR",S471)),"FR Germany",
ISNUMBER(SEARCH("West Germany",S471)),"FR Germany",
ISNUMBER(SEARCH("Germany DR",S471)),"DR Germany",
ISNUMBER(SEARCH("Korea DPR",S471)),"North Korea",
ISNUMBER(SEARCH("China PR",S471)),"China",
ISNUMBER(SEARCH("IR Iran",S471)),"Iran",
ISNUMBER(SEARCH("Congo DR",S471)),"Democratic Republic of the Congo",
ISNUMBER(SEARCH("DR Congo",S471)),"Democratic Republic of the Congo",
ISNUMBER(SEARCH("German DR",S471)),"DR Germany",
ISNUMBER(SEARCH("rn""&gt;United Arab Emirates",S471)),"United Arab Emirates",
ISNUMBER(SEARCH("rn""&gt;Republic of Ireland",S471)),"Ireland",
ISNUMBER(SEARCH("rn""&gt;Bosnia and Herzegovina",S471)),"Bosnia and Herzegovina",
ISNUMBER(SEARCH("rn""&gt;Trinidad and Tobago",S471)),"Trinidad and Tobago",
ISNUMBER(SEARCH("rn""&gt;Serbia and Montenegro",S471)),"Serbia and Montenegro",
ISNUMBER(SEARCH(_xlfn.UNICHAR(65533),S471)),"Côte d'Ivoire",
TRUE,""
)</f>
        <v/>
      </c>
      <c r="W471" s="30" t="str">
        <f t="shared" si="47"/>
        <v>Yugoslavia</v>
      </c>
      <c r="Z471" s="40" t="str">
        <v>Luigi Ferraris</v>
      </c>
      <c r="AA471" s="40" t="str" cm="1">
        <f t="array" ref="AA471">IFERROR(_xlfn.XLOOKUP(Z471,_xlfn.ANCHORARRAY(Z$31),AA$31:AA$37),Z471)</f>
        <v>Luigi Ferraris</v>
      </c>
      <c r="AB471" s="42" t="str">
        <v xml:space="preserve">Genoa </v>
      </c>
      <c r="AC471" s="89" t="str">
        <f t="shared" si="43"/>
        <v xml:space="preserve">Genoa </v>
      </c>
      <c r="AE471" s="42">
        <v>1986</v>
      </c>
      <c r="AK471" s="42">
        <v>2</v>
      </c>
      <c r="AL471" s="42">
        <v>2</v>
      </c>
      <c r="AW471" s="89" t="str">
        <v>QUARTER_FINALS</v>
      </c>
      <c r="BE471" s="43" t="str">
        <f>IF(OR(DATA_CLEANED!AL462="",DATA_CLEANED!AM462=""),"MANQUANT",IF(OR(NOT(ISNUMBER(DATA_CLEANED!AL462)),NOT(ISNUMBER(DATA_CLEANED!AM462))),"ENTREE INVALIDE",IF(OR(DATA_CLEANED!AL462&lt;0,DATA_CLEANED!AM462&lt;0),"SCORE NEGATIF","OK")))</f>
        <v>OK</v>
      </c>
      <c r="BF471" s="43" t="str">
        <f>IF(DATA_CLEANED!AK462&lt;&gt;DATA_CLEANED!AN462,"OK","ERREUR")</f>
        <v>OK</v>
      </c>
      <c r="BG471" s="43" t="str">
        <f>IF(DATA_CLEANED!AL462&gt;DATA_CLEANED!AM462,DATA_CLEANED!AK462,IF(AND(DATA_QUALITE!W4948="-",DATA_CLEANED!AM462=DATA_CLEANED!AL462),"MATCH NUL",IF(AND(DATA_QUALITE!V4948="-",DATA_QUALITE!U4948="AUCUNE"),DATA_QUALITE!T4948,IF(DATA_QUALITE!V4948&lt;&gt;"-",DATA_QUALITE!V4948,DATA_CLEANED!AN462))))</f>
        <v>England</v>
      </c>
      <c r="BH471" s="103" t="str">
        <f>IF(AND(BG471="MATCH NUL",DATA_CLEANED!AO462="-"),"MATCH_NUL",IF(ISNUMBER(SEARCH("win on penalties",W4948)),"WIN_BY_PENALTY",IF(ISNUMBER(SEARCH("win after extra time",W4948)),"WIN_BY_EXTRA_TIME",IF(ISNUMBER(SEARCH("Golden Goal",W4948)),"WIN_BY_GOLDEN_GOAL","WIN_BY_SCORE"))))</f>
        <v>WIN_BY_EXTRA_TIME</v>
      </c>
      <c r="BI471" s="99" t="str">
        <f>IF(OR(BG471=DATA_CLEANED!AK462,BG471=DATA_CLEANED!AN462,BG471="MATCH NUL"),"OK","ERREUR")</f>
        <v>OK</v>
      </c>
    </row>
    <row r="472" spans="2:61">
      <c r="B472" s="75">
        <v>35</v>
      </c>
      <c r="C472" s="15" t="str">
        <v>Jorge Sánchez</v>
      </c>
      <c r="D472" s="15">
        <v>28</v>
      </c>
      <c r="E472" s="15" t="str">
        <v>Mexico</v>
      </c>
      <c r="F472" s="15" t="str">
        <v>RB</v>
      </c>
      <c r="G472" s="15" t="str">
        <v>PAOK</v>
      </c>
      <c r="H472" s="15">
        <v>2</v>
      </c>
      <c r="I472" s="15" t="str">
        <f t="shared" si="44"/>
        <v>35|Jorge Sánchez|28|Mexico|RB|PAOK|2</v>
      </c>
      <c r="J472" s="15" t="str">
        <f>IF(COUNTIF(I$438:I472,I472)&gt;1,"DOUBLON","OK")</f>
        <v>OK</v>
      </c>
      <c r="S472" s="30" t="str">
        <v>Yugoslavia</v>
      </c>
      <c r="T472" s="30" t="str">
        <f t="shared" si="45"/>
        <v>ERREUR</v>
      </c>
      <c r="U472" s="30" t="str">
        <f t="shared" si="46"/>
        <v>AUCUNE</v>
      </c>
      <c r="V472" s="30" t="str" cm="1">
        <f t="array" ref="V472">_xlfn.IFS(
ISNUMBER(SEARCH("USA",S472)),"United States",
ISNUMBER(SEARCH("Republic of Korea",S472)),"South Korea",
ISNUMBER(SEARCH("Cape Verde",S472)),"Cabo Verde",
ISNUMBER(SEARCH("Czechia",S472)),"Czech Republic",
ISNUMBER(SEARCH("Türkiye",S472)),"Turkey",
ISNUMBER(SEARCH("Ivory Coast",S472)),"Côte d'Ivoire",
ISNUMBER(SEARCH("Korea Republic",S472)),"South Korea",
ISNUMBER(SEARCH("Germany FR",S472)),"FR Germany",
ISNUMBER(SEARCH("West Germany",S472)),"FR Germany",
ISNUMBER(SEARCH("Germany DR",S472)),"DR Germany",
ISNUMBER(SEARCH("Korea DPR",S472)),"North Korea",
ISNUMBER(SEARCH("China PR",S472)),"China",
ISNUMBER(SEARCH("IR Iran",S472)),"Iran",
ISNUMBER(SEARCH("Congo DR",S472)),"Democratic Republic of the Congo",
ISNUMBER(SEARCH("DR Congo",S472)),"Democratic Republic of the Congo",
ISNUMBER(SEARCH("German DR",S472)),"DR Germany",
ISNUMBER(SEARCH("rn""&gt;United Arab Emirates",S472)),"United Arab Emirates",
ISNUMBER(SEARCH("rn""&gt;Republic of Ireland",S472)),"Ireland",
ISNUMBER(SEARCH("rn""&gt;Bosnia and Herzegovina",S472)),"Bosnia and Herzegovina",
ISNUMBER(SEARCH("rn""&gt;Trinidad and Tobago",S472)),"Trinidad and Tobago",
ISNUMBER(SEARCH("rn""&gt;Serbia and Montenegro",S472)),"Serbia and Montenegro",
ISNUMBER(SEARCH(_xlfn.UNICHAR(65533),S472)),"Côte d'Ivoire",
TRUE,""
)</f>
        <v/>
      </c>
      <c r="W472" s="30" t="str">
        <f t="shared" si="47"/>
        <v>Yugoslavia</v>
      </c>
      <c r="Z472" s="40" t="str">
        <v>Sant Elia</v>
      </c>
      <c r="AA472" s="40" t="str" cm="1">
        <f t="array" ref="AA472">IFERROR(_xlfn.XLOOKUP(Z472,_xlfn.ANCHORARRAY(Z$31),AA$31:AA$37),Z472)</f>
        <v>Sant Elia</v>
      </c>
      <c r="AB472" s="42" t="str">
        <v xml:space="preserve">Cagliari </v>
      </c>
      <c r="AC472" s="89" t="str">
        <f t="shared" si="43"/>
        <v xml:space="preserve">Cagliari </v>
      </c>
      <c r="AE472" s="42">
        <v>1986</v>
      </c>
      <c r="AK472" s="42">
        <v>0</v>
      </c>
      <c r="AL472" s="42">
        <v>1</v>
      </c>
      <c r="AW472" s="89" t="str">
        <v>SEMI_FINALS</v>
      </c>
      <c r="BE472" s="43" t="str">
        <f>IF(OR(DATA_CLEANED!AL463="",DATA_CLEANED!AM463=""),"MANQUANT",IF(OR(NOT(ISNUMBER(DATA_CLEANED!AL463)),NOT(ISNUMBER(DATA_CLEANED!AM463))),"ENTREE INVALIDE",IF(OR(DATA_CLEANED!AL463&lt;0,DATA_CLEANED!AM463&lt;0),"SCORE NEGATIF","OK")))</f>
        <v>OK</v>
      </c>
      <c r="BF472" s="43" t="str">
        <f>IF(DATA_CLEANED!AK463&lt;&gt;DATA_CLEANED!AN463,"OK","ERREUR")</f>
        <v>OK</v>
      </c>
      <c r="BG472" s="43" t="str">
        <f>IF(DATA_CLEANED!AL463&gt;DATA_CLEANED!AM463,DATA_CLEANED!AK463,IF(AND(DATA_QUALITE!W4949="-",DATA_CLEANED!AM463=DATA_CLEANED!AL463),"MATCH NUL",IF(AND(DATA_QUALITE!V4949="-",DATA_QUALITE!U4949="AUCUNE"),DATA_QUALITE!T4949,IF(DATA_QUALITE!V4949&lt;&gt;"-",DATA_QUALITE!V4949,DATA_CLEANED!AN463))))</f>
        <v>Argentina</v>
      </c>
      <c r="BH472" s="103" t="str">
        <f>IF(AND(BG472="MATCH NUL",DATA_CLEANED!AO463="-"),"MATCH_NUL",IF(ISNUMBER(SEARCH("win on penalties",W4949)),"WIN_BY_PENALTY",IF(ISNUMBER(SEARCH("win after extra time",W4949)),"WIN_BY_EXTRA_TIME",IF(ISNUMBER(SEARCH("Golden Goal",W4949)),"WIN_BY_GOLDEN_GOAL","WIN_BY_SCORE"))))</f>
        <v>WIN_BY_PENALTY</v>
      </c>
      <c r="BI472" s="99" t="str">
        <f>IF(OR(BG472=DATA_CLEANED!AK463,BG472=DATA_CLEANED!AN463,BG472="MATCH NUL"),"OK","ERREUR")</f>
        <v>OK</v>
      </c>
    </row>
    <row r="473" spans="2:61">
      <c r="B473" s="75">
        <v>36</v>
      </c>
      <c r="C473" s="15" t="str">
        <v>Edson Álvarez</v>
      </c>
      <c r="D473" s="15">
        <v>28</v>
      </c>
      <c r="E473" s="15" t="str">
        <v>Mexico</v>
      </c>
      <c r="F473" s="15" t="str">
        <v>CDM</v>
      </c>
      <c r="G473" s="15" t="str">
        <v>Fenerbahçe</v>
      </c>
      <c r="H473" s="15">
        <v>4</v>
      </c>
      <c r="I473" s="15" t="str">
        <f t="shared" si="44"/>
        <v>36|Edson Álvarez|28|Mexico|CDM|Fenerbahçe|4</v>
      </c>
      <c r="J473" s="15" t="str">
        <f>IF(COUNTIF(I$438:I473,I473)&gt;1,"DOUBLON","OK")</f>
        <v>OK</v>
      </c>
      <c r="S473" s="30" t="str">
        <v>Yugoslavia</v>
      </c>
      <c r="T473" s="30" t="str">
        <f t="shared" si="45"/>
        <v>ERREUR</v>
      </c>
      <c r="U473" s="30" t="str">
        <f t="shared" si="46"/>
        <v>AUCUNE</v>
      </c>
      <c r="V473" s="30" t="str" cm="1">
        <f t="array" ref="V473">_xlfn.IFS(
ISNUMBER(SEARCH("USA",S473)),"United States",
ISNUMBER(SEARCH("Republic of Korea",S473)),"South Korea",
ISNUMBER(SEARCH("Cape Verde",S473)),"Cabo Verde",
ISNUMBER(SEARCH("Czechia",S473)),"Czech Republic",
ISNUMBER(SEARCH("Türkiye",S473)),"Turkey",
ISNUMBER(SEARCH("Ivory Coast",S473)),"Côte d'Ivoire",
ISNUMBER(SEARCH("Korea Republic",S473)),"South Korea",
ISNUMBER(SEARCH("Germany FR",S473)),"FR Germany",
ISNUMBER(SEARCH("West Germany",S473)),"FR Germany",
ISNUMBER(SEARCH("Germany DR",S473)),"DR Germany",
ISNUMBER(SEARCH("Korea DPR",S473)),"North Korea",
ISNUMBER(SEARCH("China PR",S473)),"China",
ISNUMBER(SEARCH("IR Iran",S473)),"Iran",
ISNUMBER(SEARCH("Congo DR",S473)),"Democratic Republic of the Congo",
ISNUMBER(SEARCH("DR Congo",S473)),"Democratic Republic of the Congo",
ISNUMBER(SEARCH("German DR",S473)),"DR Germany",
ISNUMBER(SEARCH("rn""&gt;United Arab Emirates",S473)),"United Arab Emirates",
ISNUMBER(SEARCH("rn""&gt;Republic of Ireland",S473)),"Ireland",
ISNUMBER(SEARCH("rn""&gt;Bosnia and Herzegovina",S473)),"Bosnia and Herzegovina",
ISNUMBER(SEARCH("rn""&gt;Trinidad and Tobago",S473)),"Trinidad and Tobago",
ISNUMBER(SEARCH("rn""&gt;Serbia and Montenegro",S473)),"Serbia and Montenegro",
ISNUMBER(SEARCH(_xlfn.UNICHAR(65533),S473)),"Côte d'Ivoire",
TRUE,""
)</f>
        <v/>
      </c>
      <c r="W473" s="30" t="str">
        <f t="shared" si="47"/>
        <v>Yugoslavia</v>
      </c>
      <c r="Z473" s="40" t="str">
        <v>Della Favorita</v>
      </c>
      <c r="AA473" s="40" t="str" cm="1">
        <f t="array" ref="AA473">IFERROR(_xlfn.XLOOKUP(Z473,_xlfn.ANCHORARRAY(Z$31),AA$31:AA$37),Z473)</f>
        <v>Della Favorita</v>
      </c>
      <c r="AB473" s="42" t="str">
        <v xml:space="preserve">Palermo </v>
      </c>
      <c r="AC473" s="89" t="str">
        <f t="shared" si="43"/>
        <v xml:space="preserve">Palermo </v>
      </c>
      <c r="AE473" s="42">
        <v>1986</v>
      </c>
      <c r="AK473" s="42">
        <v>1</v>
      </c>
      <c r="AL473" s="42">
        <v>3</v>
      </c>
      <c r="AW473" s="89" t="str">
        <v>SEMI_FINALS</v>
      </c>
      <c r="BE473" s="43" t="str">
        <f>IF(OR(DATA_CLEANED!AL464="",DATA_CLEANED!AM464=""),"MANQUANT",IF(OR(NOT(ISNUMBER(DATA_CLEANED!AL464)),NOT(ISNUMBER(DATA_CLEANED!AM464))),"ENTREE INVALIDE",IF(OR(DATA_CLEANED!AL464&lt;0,DATA_CLEANED!AM464&lt;0),"SCORE NEGATIF","OK")))</f>
        <v>OK</v>
      </c>
      <c r="BF473" s="43" t="str">
        <f>IF(DATA_CLEANED!AK464&lt;&gt;DATA_CLEANED!AN464,"OK","ERREUR")</f>
        <v>OK</v>
      </c>
      <c r="BG473" s="43" t="str">
        <f>IF(DATA_CLEANED!AL464&gt;DATA_CLEANED!AM464,DATA_CLEANED!AK464,IF(AND(DATA_QUALITE!W4950="-",DATA_CLEANED!AM464=DATA_CLEANED!AL464),"MATCH NUL",IF(AND(DATA_QUALITE!V4950="-",DATA_QUALITE!U4950="AUCUNE"),DATA_QUALITE!T4950,IF(DATA_QUALITE!V4950&lt;&gt;"-",DATA_QUALITE!V4950,DATA_CLEANED!AN464))))</f>
        <v>FR Germany</v>
      </c>
      <c r="BH473" s="103" t="str">
        <f>IF(AND(BG473="MATCH NUL",DATA_CLEANED!AO464="-"),"MATCH_NUL",IF(ISNUMBER(SEARCH("win on penalties",W4950)),"WIN_BY_PENALTY",IF(ISNUMBER(SEARCH("win after extra time",W4950)),"WIN_BY_EXTRA_TIME",IF(ISNUMBER(SEARCH("Golden Goal",W4950)),"WIN_BY_GOLDEN_GOAL","WIN_BY_SCORE"))))</f>
        <v>WIN_BY_PENALTY</v>
      </c>
      <c r="BI473" s="99" t="str">
        <f>IF(OR(BG473=DATA_CLEANED!AK464,BG473=DATA_CLEANED!AN464,BG473="MATCH NUL"),"OK","ERREUR")</f>
        <v>OK</v>
      </c>
    </row>
    <row r="474" spans="2:61">
      <c r="B474" s="75">
        <v>37</v>
      </c>
      <c r="C474" s="15" t="str">
        <v>Érik Lira</v>
      </c>
      <c r="D474" s="15">
        <v>26</v>
      </c>
      <c r="E474" s="15" t="str">
        <v>Mexico</v>
      </c>
      <c r="F474" s="15" t="str">
        <v>CDM</v>
      </c>
      <c r="G474" s="15" t="str">
        <v>Cruz Azul</v>
      </c>
      <c r="H474" s="15">
        <v>6</v>
      </c>
      <c r="I474" s="15" t="str">
        <f t="shared" si="44"/>
        <v>37|Érik Lira|26|Mexico|CDM|Cruz Azul|6</v>
      </c>
      <c r="J474" s="15" t="str">
        <f>IF(COUNTIF(I$438:I474,I474)&gt;1,"DOUBLON","OK")</f>
        <v>OK</v>
      </c>
      <c r="S474" s="30" t="str">
        <v>Italy</v>
      </c>
      <c r="T474" s="30" t="str">
        <f t="shared" si="45"/>
        <v>OK</v>
      </c>
      <c r="U474" s="30" t="str">
        <f t="shared" si="46"/>
        <v>-</v>
      </c>
      <c r="V474" s="30" t="str" cm="1">
        <f t="array" ref="V474">_xlfn.IFS(
ISNUMBER(SEARCH("USA",S474)),"United States",
ISNUMBER(SEARCH("Republic of Korea",S474)),"South Korea",
ISNUMBER(SEARCH("Cape Verde",S474)),"Cabo Verde",
ISNUMBER(SEARCH("Czechia",S474)),"Czech Republic",
ISNUMBER(SEARCH("Türkiye",S474)),"Turkey",
ISNUMBER(SEARCH("Ivory Coast",S474)),"Côte d'Ivoire",
ISNUMBER(SEARCH("Korea Republic",S474)),"South Korea",
ISNUMBER(SEARCH("Germany FR",S474)),"FR Germany",
ISNUMBER(SEARCH("West Germany",S474)),"FR Germany",
ISNUMBER(SEARCH("Germany DR",S474)),"DR Germany",
ISNUMBER(SEARCH("Korea DPR",S474)),"North Korea",
ISNUMBER(SEARCH("China PR",S474)),"China",
ISNUMBER(SEARCH("IR Iran",S474)),"Iran",
ISNUMBER(SEARCH("Congo DR",S474)),"Democratic Republic of the Congo",
ISNUMBER(SEARCH("DR Congo",S474)),"Democratic Republic of the Congo",
ISNUMBER(SEARCH("German DR",S474)),"DR Germany",
ISNUMBER(SEARCH("rn""&gt;United Arab Emirates",S474)),"United Arab Emirates",
ISNUMBER(SEARCH("rn""&gt;Republic of Ireland",S474)),"Ireland",
ISNUMBER(SEARCH("rn""&gt;Bosnia and Herzegovina",S474)),"Bosnia and Herzegovina",
ISNUMBER(SEARCH("rn""&gt;Trinidad and Tobago",S474)),"Trinidad and Tobago",
ISNUMBER(SEARCH("rn""&gt;Serbia and Montenegro",S474)),"Serbia and Montenegro",
ISNUMBER(SEARCH(_xlfn.UNICHAR(65533),S474)),"Côte d'Ivoire",
TRUE,""
)</f>
        <v/>
      </c>
      <c r="W474" s="30" t="str">
        <f t="shared" si="47"/>
        <v>Italy</v>
      </c>
      <c r="Z474" s="40" t="str">
        <v>Dacia Arena</v>
      </c>
      <c r="AA474" s="40" t="str" cm="1">
        <f t="array" ref="AA474">IFERROR(_xlfn.XLOOKUP(Z474,_xlfn.ANCHORARRAY(Z$31),AA$31:AA$37),Z474)</f>
        <v>Dacia Arena</v>
      </c>
      <c r="AB474" s="42" t="str">
        <v xml:space="preserve">Udine </v>
      </c>
      <c r="AC474" s="89" t="str">
        <f t="shared" si="43"/>
        <v xml:space="preserve">Udine </v>
      </c>
      <c r="AE474" s="42">
        <v>1986</v>
      </c>
      <c r="AK474" s="42">
        <v>3</v>
      </c>
      <c r="AL474" s="42">
        <v>0</v>
      </c>
      <c r="AW474" s="89" t="str">
        <v>THIRD_PLACE</v>
      </c>
      <c r="BE474" s="43" t="str">
        <f>IF(OR(DATA_CLEANED!AL465="",DATA_CLEANED!AM465=""),"MANQUANT",IF(OR(NOT(ISNUMBER(DATA_CLEANED!AL465)),NOT(ISNUMBER(DATA_CLEANED!AM465))),"ENTREE INVALIDE",IF(OR(DATA_CLEANED!AL465&lt;0,DATA_CLEANED!AM465&lt;0),"SCORE NEGATIF","OK")))</f>
        <v>OK</v>
      </c>
      <c r="BF474" s="43" t="str">
        <f>IF(DATA_CLEANED!AK465&lt;&gt;DATA_CLEANED!AN465,"OK","ERREUR")</f>
        <v>OK</v>
      </c>
      <c r="BG474" s="43" t="str">
        <f>IF(DATA_CLEANED!AL465&gt;DATA_CLEANED!AM465,DATA_CLEANED!AK465,IF(AND(DATA_QUALITE!W4951="-",DATA_CLEANED!AM465=DATA_CLEANED!AL465),"MATCH NUL",IF(AND(DATA_QUALITE!V4951="-",DATA_QUALITE!U4951="AUCUNE"),DATA_QUALITE!T4951,IF(DATA_QUALITE!V4951&lt;&gt;"-",DATA_QUALITE!V4951,DATA_CLEANED!AN465))))</f>
        <v>Italy</v>
      </c>
      <c r="BH474" s="103" t="str">
        <f>IF(AND(BG474="MATCH NUL",DATA_CLEANED!AO465="-"),"MATCH_NUL",IF(ISNUMBER(SEARCH("win on penalties",W4951)),"WIN_BY_PENALTY",IF(ISNUMBER(SEARCH("win after extra time",W4951)),"WIN_BY_EXTRA_TIME",IF(ISNUMBER(SEARCH("Golden Goal",W4951)),"WIN_BY_GOLDEN_GOAL","WIN_BY_SCORE"))))</f>
        <v>WIN_BY_SCORE</v>
      </c>
      <c r="BI474" s="99" t="str">
        <f>IF(OR(BG474=DATA_CLEANED!AK465,BG474=DATA_CLEANED!AN465,BG474="MATCH NUL"),"OK","ERREUR")</f>
        <v>OK</v>
      </c>
    </row>
    <row r="475" spans="2:61">
      <c r="B475" s="75">
        <v>38</v>
      </c>
      <c r="C475" s="15" t="str">
        <v>Obed Vargas</v>
      </c>
      <c r="D475" s="15">
        <v>20</v>
      </c>
      <c r="E475" s="15" t="str">
        <v>Mexico</v>
      </c>
      <c r="F475" s="15" t="str">
        <v>CDM</v>
      </c>
      <c r="G475" s="15" t="str">
        <v>Atlético Madrid</v>
      </c>
      <c r="H475" s="15">
        <v>18</v>
      </c>
      <c r="I475" s="15" t="str">
        <f t="shared" si="44"/>
        <v>38|Obed Vargas|20|Mexico|CDM|Atlético Madrid|18</v>
      </c>
      <c r="J475" s="15" t="str">
        <f>IF(COUNTIF(I$438:I475,I475)&gt;1,"DOUBLON","OK")</f>
        <v>OK</v>
      </c>
      <c r="S475" s="30" t="str">
        <v>Italy</v>
      </c>
      <c r="T475" s="30" t="str">
        <f t="shared" si="45"/>
        <v>OK</v>
      </c>
      <c r="U475" s="30" t="str">
        <f t="shared" si="46"/>
        <v>-</v>
      </c>
      <c r="V475" s="30" t="str" cm="1">
        <f t="array" ref="V475">_xlfn.IFS(
ISNUMBER(SEARCH("USA",S475)),"United States",
ISNUMBER(SEARCH("Republic of Korea",S475)),"South Korea",
ISNUMBER(SEARCH("Cape Verde",S475)),"Cabo Verde",
ISNUMBER(SEARCH("Czechia",S475)),"Czech Republic",
ISNUMBER(SEARCH("Türkiye",S475)),"Turkey",
ISNUMBER(SEARCH("Ivory Coast",S475)),"Côte d'Ivoire",
ISNUMBER(SEARCH("Korea Republic",S475)),"South Korea",
ISNUMBER(SEARCH("Germany FR",S475)),"FR Germany",
ISNUMBER(SEARCH("West Germany",S475)),"FR Germany",
ISNUMBER(SEARCH("Germany DR",S475)),"DR Germany",
ISNUMBER(SEARCH("Korea DPR",S475)),"North Korea",
ISNUMBER(SEARCH("China PR",S475)),"China",
ISNUMBER(SEARCH("IR Iran",S475)),"Iran",
ISNUMBER(SEARCH("Congo DR",S475)),"Democratic Republic of the Congo",
ISNUMBER(SEARCH("DR Congo",S475)),"Democratic Republic of the Congo",
ISNUMBER(SEARCH("German DR",S475)),"DR Germany",
ISNUMBER(SEARCH("rn""&gt;United Arab Emirates",S475)),"United Arab Emirates",
ISNUMBER(SEARCH("rn""&gt;Republic of Ireland",S475)),"Ireland",
ISNUMBER(SEARCH("rn""&gt;Bosnia and Herzegovina",S475)),"Bosnia and Herzegovina",
ISNUMBER(SEARCH("rn""&gt;Trinidad and Tobago",S475)),"Trinidad and Tobago",
ISNUMBER(SEARCH("rn""&gt;Serbia and Montenegro",S475)),"Serbia and Montenegro",
ISNUMBER(SEARCH(_xlfn.UNICHAR(65533),S475)),"Côte d'Ivoire",
TRUE,""
)</f>
        <v/>
      </c>
      <c r="W475" s="30" t="str">
        <f t="shared" si="47"/>
        <v>Italy</v>
      </c>
      <c r="Z475" s="40" t="str">
        <v>Marc Antonio Bentegodi</v>
      </c>
      <c r="AA475" s="40" t="str" cm="1">
        <f t="array" ref="AA475">IFERROR(_xlfn.XLOOKUP(Z475,_xlfn.ANCHORARRAY(Z$31),AA$31:AA$37),Z475)</f>
        <v>Marc Antonio Bentegodi</v>
      </c>
      <c r="AB475" s="42" t="str">
        <v xml:space="preserve">Verona </v>
      </c>
      <c r="AC475" s="89" t="str">
        <f t="shared" si="43"/>
        <v xml:space="preserve">Verona </v>
      </c>
      <c r="AE475" s="42">
        <v>1986</v>
      </c>
      <c r="AK475" s="42">
        <v>0</v>
      </c>
      <c r="AL475" s="42">
        <v>3</v>
      </c>
      <c r="AW475" s="89" t="str">
        <v>FINAL</v>
      </c>
      <c r="BE475" s="43" t="str">
        <f>IF(OR(DATA_CLEANED!AL466="",DATA_CLEANED!AM466=""),"MANQUANT",IF(OR(NOT(ISNUMBER(DATA_CLEANED!AL466)),NOT(ISNUMBER(DATA_CLEANED!AM466))),"ENTREE INVALIDE",IF(OR(DATA_CLEANED!AL466&lt;0,DATA_CLEANED!AM466&lt;0),"SCORE NEGATIF","OK")))</f>
        <v>OK</v>
      </c>
      <c r="BF475" s="43" t="str">
        <f>IF(DATA_CLEANED!AK466&lt;&gt;DATA_CLEANED!AN466,"OK","ERREUR")</f>
        <v>OK</v>
      </c>
      <c r="BG475" s="43" t="str">
        <f>IF(DATA_CLEANED!AL466&gt;DATA_CLEANED!AM466,DATA_CLEANED!AK466,IF(AND(DATA_QUALITE!W4952="-",DATA_CLEANED!AM466=DATA_CLEANED!AL466),"MATCH NUL",IF(AND(DATA_QUALITE!V4952="-",DATA_QUALITE!U4952="AUCUNE"),DATA_QUALITE!T4952,IF(DATA_QUALITE!V4952&lt;&gt;"-",DATA_QUALITE!V4952,DATA_CLEANED!AN466))))</f>
        <v>FR Germany</v>
      </c>
      <c r="BH475" s="103" t="str">
        <f>IF(AND(BG475="MATCH NUL",DATA_CLEANED!AO466="-"),"MATCH_NUL",IF(ISNUMBER(SEARCH("win on penalties",W4952)),"WIN_BY_PENALTY",IF(ISNUMBER(SEARCH("win after extra time",W4952)),"WIN_BY_EXTRA_TIME",IF(ISNUMBER(SEARCH("Golden Goal",W4952)),"WIN_BY_GOLDEN_GOAL","WIN_BY_SCORE"))))</f>
        <v>WIN_BY_SCORE</v>
      </c>
      <c r="BI475" s="99" t="str">
        <f>IF(OR(BG475=DATA_CLEANED!AK466,BG475=DATA_CLEANED!AN466,BG475="MATCH NUL"),"OK","ERREUR")</f>
        <v>OK</v>
      </c>
    </row>
    <row r="476" spans="2:61">
      <c r="B476" s="75">
        <v>39</v>
      </c>
      <c r="C476" s="15" t="str">
        <v>Luis Romo</v>
      </c>
      <c r="D476" s="15">
        <v>31</v>
      </c>
      <c r="E476" s="15" t="str">
        <v>Mexico</v>
      </c>
      <c r="F476" s="15" t="str">
        <v>CM</v>
      </c>
      <c r="G476" s="15" t="str">
        <v>Guadalajara</v>
      </c>
      <c r="H476" s="15">
        <v>7</v>
      </c>
      <c r="I476" s="15" t="str">
        <f t="shared" si="44"/>
        <v>39|Luis Romo|31|Mexico|CM|Guadalajara|7</v>
      </c>
      <c r="J476" s="15" t="str">
        <f>IF(COUNTIF(I$438:I476,I476)&gt;1,"DOUBLON","OK")</f>
        <v>OK</v>
      </c>
      <c r="S476" s="30" t="str">
        <v>Italy</v>
      </c>
      <c r="T476" s="30" t="str">
        <f t="shared" si="45"/>
        <v>OK</v>
      </c>
      <c r="U476" s="30" t="str">
        <f t="shared" si="46"/>
        <v>-</v>
      </c>
      <c r="V476" s="30" t="str" cm="1">
        <f t="array" ref="V476">_xlfn.IFS(
ISNUMBER(SEARCH("USA",S476)),"United States",
ISNUMBER(SEARCH("Republic of Korea",S476)),"South Korea",
ISNUMBER(SEARCH("Cape Verde",S476)),"Cabo Verde",
ISNUMBER(SEARCH("Czechia",S476)),"Czech Republic",
ISNUMBER(SEARCH("Türkiye",S476)),"Turkey",
ISNUMBER(SEARCH("Ivory Coast",S476)),"Côte d'Ivoire",
ISNUMBER(SEARCH("Korea Republic",S476)),"South Korea",
ISNUMBER(SEARCH("Germany FR",S476)),"FR Germany",
ISNUMBER(SEARCH("West Germany",S476)),"FR Germany",
ISNUMBER(SEARCH("Germany DR",S476)),"DR Germany",
ISNUMBER(SEARCH("Korea DPR",S476)),"North Korea",
ISNUMBER(SEARCH("China PR",S476)),"China",
ISNUMBER(SEARCH("IR Iran",S476)),"Iran",
ISNUMBER(SEARCH("Congo DR",S476)),"Democratic Republic of the Congo",
ISNUMBER(SEARCH("DR Congo",S476)),"Democratic Republic of the Congo",
ISNUMBER(SEARCH("German DR",S476)),"DR Germany",
ISNUMBER(SEARCH("rn""&gt;United Arab Emirates",S476)),"United Arab Emirates",
ISNUMBER(SEARCH("rn""&gt;Republic of Ireland",S476)),"Ireland",
ISNUMBER(SEARCH("rn""&gt;Bosnia and Herzegovina",S476)),"Bosnia and Herzegovina",
ISNUMBER(SEARCH("rn""&gt;Trinidad and Tobago",S476)),"Trinidad and Tobago",
ISNUMBER(SEARCH("rn""&gt;Serbia and Montenegro",S476)),"Serbia and Montenegro",
ISNUMBER(SEARCH(_xlfn.UNICHAR(65533),S476)),"Côte d'Ivoire",
TRUE,""
)</f>
        <v/>
      </c>
      <c r="W476" s="30" t="str">
        <f t="shared" si="47"/>
        <v>Italy</v>
      </c>
      <c r="Z476" s="40" t="str">
        <v>San Paolo</v>
      </c>
      <c r="AA476" s="40" t="str" cm="1">
        <f t="array" ref="AA476">IFERROR(_xlfn.XLOOKUP(Z476,_xlfn.ANCHORARRAY(Z$31),AA$31:AA$37),Z476)</f>
        <v>San Paolo</v>
      </c>
      <c r="AB476" s="42" t="str">
        <v xml:space="preserve">Naples </v>
      </c>
      <c r="AC476" s="89" t="str">
        <f t="shared" si="43"/>
        <v xml:space="preserve">Naples </v>
      </c>
      <c r="AE476" s="42">
        <v>1986</v>
      </c>
      <c r="AK476" s="42">
        <v>0</v>
      </c>
      <c r="AL476" s="42">
        <v>3</v>
      </c>
      <c r="AW476" s="89" t="str">
        <v>GROUP_STAGE</v>
      </c>
      <c r="BE476" s="43" t="str">
        <f>IF(OR(DATA_CLEANED!AL467="",DATA_CLEANED!AM467=""),"MANQUANT",IF(OR(NOT(ISNUMBER(DATA_CLEANED!AL467)),NOT(ISNUMBER(DATA_CLEANED!AM467))),"ENTREE INVALIDE",IF(OR(DATA_CLEANED!AL467&lt;0,DATA_CLEANED!AM467&lt;0),"SCORE NEGATIF","OK")))</f>
        <v>OK</v>
      </c>
      <c r="BF476" s="43" t="str">
        <f>IF(DATA_CLEANED!AK467&lt;&gt;DATA_CLEANED!AN467,"OK","ERREUR")</f>
        <v>OK</v>
      </c>
      <c r="BG476" s="43" t="str">
        <f>IF(DATA_CLEANED!AL467&gt;DATA_CLEANED!AM467,DATA_CLEANED!AK467,IF(AND(DATA_QUALITE!W4953="-",DATA_CLEANED!AM467=DATA_CLEANED!AL467),"MATCH NUL",IF(AND(DATA_QUALITE!V4953="-",DATA_QUALITE!U4953="AUCUNE"),DATA_QUALITE!T4953,IF(DATA_QUALITE!V4953&lt;&gt;"-",DATA_QUALITE!V4953,DATA_CLEANED!AN467))))</f>
        <v>MATCH NUL</v>
      </c>
      <c r="BH476" s="103" t="str">
        <f>IF(AND(BG476="MATCH NUL",DATA_CLEANED!AO467="-"),"MATCH_NUL",IF(ISNUMBER(SEARCH("win on penalties",W4953)),"WIN_BY_PENALTY",IF(ISNUMBER(SEARCH("win after extra time",W4953)),"WIN_BY_EXTRA_TIME",IF(ISNUMBER(SEARCH("Golden Goal",W4953)),"WIN_BY_GOLDEN_GOAL","WIN_BY_SCORE"))))</f>
        <v>MATCH_NUL</v>
      </c>
      <c r="BI476" s="99" t="str">
        <f>IF(OR(BG476=DATA_CLEANED!AK467,BG476=DATA_CLEANED!AN467,BG476="MATCH NUL"),"OK","ERREUR")</f>
        <v>OK</v>
      </c>
    </row>
    <row r="477" spans="2:61">
      <c r="B477" s="75">
        <v>40</v>
      </c>
      <c r="C477" s="15" t="str">
        <v>Álvaro Fidalgo</v>
      </c>
      <c r="D477" s="15">
        <v>29</v>
      </c>
      <c r="E477" s="15" t="str">
        <v>Mexico</v>
      </c>
      <c r="F477" s="15" t="str">
        <v>CM</v>
      </c>
      <c r="G477" s="15" t="str">
        <v>Real Betis</v>
      </c>
      <c r="H477" s="15">
        <v>8</v>
      </c>
      <c r="I477" s="15" t="str">
        <f t="shared" si="44"/>
        <v>40|Álvaro Fidalgo|29|Mexico|CM|Real Betis|8</v>
      </c>
      <c r="J477" s="15" t="str">
        <f>IF(COUNTIF(I$438:I477,I477)&gt;1,"DOUBLON","OK")</f>
        <v>OK</v>
      </c>
      <c r="S477" s="30" t="str">
        <v>Italy</v>
      </c>
      <c r="T477" s="30" t="str">
        <f t="shared" si="45"/>
        <v>OK</v>
      </c>
      <c r="U477" s="30" t="str">
        <f t="shared" si="46"/>
        <v>-</v>
      </c>
      <c r="V477" s="30" t="str" cm="1">
        <f t="array" ref="V477">_xlfn.IFS(
ISNUMBER(SEARCH("USA",S477)),"United States",
ISNUMBER(SEARCH("Republic of Korea",S477)),"South Korea",
ISNUMBER(SEARCH("Cape Verde",S477)),"Cabo Verde",
ISNUMBER(SEARCH("Czechia",S477)),"Czech Republic",
ISNUMBER(SEARCH("Türkiye",S477)),"Turkey",
ISNUMBER(SEARCH("Ivory Coast",S477)),"Côte d'Ivoire",
ISNUMBER(SEARCH("Korea Republic",S477)),"South Korea",
ISNUMBER(SEARCH("Germany FR",S477)),"FR Germany",
ISNUMBER(SEARCH("West Germany",S477)),"FR Germany",
ISNUMBER(SEARCH("Germany DR",S477)),"DR Germany",
ISNUMBER(SEARCH("Korea DPR",S477)),"North Korea",
ISNUMBER(SEARCH("China PR",S477)),"China",
ISNUMBER(SEARCH("IR Iran",S477)),"Iran",
ISNUMBER(SEARCH("Congo DR",S477)),"Democratic Republic of the Congo",
ISNUMBER(SEARCH("DR Congo",S477)),"Democratic Republic of the Congo",
ISNUMBER(SEARCH("German DR",S477)),"DR Germany",
ISNUMBER(SEARCH("rn""&gt;United Arab Emirates",S477)),"United Arab Emirates",
ISNUMBER(SEARCH("rn""&gt;Republic of Ireland",S477)),"Ireland",
ISNUMBER(SEARCH("rn""&gt;Bosnia and Herzegovina",S477)),"Bosnia and Herzegovina",
ISNUMBER(SEARCH("rn""&gt;Trinidad and Tobago",S477)),"Trinidad and Tobago",
ISNUMBER(SEARCH("rn""&gt;Serbia and Montenegro",S477)),"Serbia and Montenegro",
ISNUMBER(SEARCH(_xlfn.UNICHAR(65533),S477)),"Côte d'Ivoire",
TRUE,""
)</f>
        <v/>
      </c>
      <c r="W477" s="30" t="str">
        <f t="shared" si="47"/>
        <v>Italy</v>
      </c>
      <c r="Z477" s="40" t="str">
        <v>Stadio San Nicola</v>
      </c>
      <c r="AA477" s="40" t="str" cm="1">
        <f t="array" ref="AA477">IFERROR(_xlfn.XLOOKUP(Z477,_xlfn.ANCHORARRAY(Z$31),AA$31:AA$37),Z477)</f>
        <v>Stadio San Nicola</v>
      </c>
      <c r="AB477" s="42" t="str">
        <v xml:space="preserve">Bari </v>
      </c>
      <c r="AC477" s="89" t="str">
        <f t="shared" si="43"/>
        <v xml:space="preserve">Bari </v>
      </c>
      <c r="AE477" s="42">
        <v>1986</v>
      </c>
      <c r="AK477" s="42">
        <v>0</v>
      </c>
      <c r="AL477" s="42">
        <v>0</v>
      </c>
      <c r="AW477" s="89" t="str">
        <v>GROUP_STAGE</v>
      </c>
      <c r="BE477" s="43" t="str">
        <f>IF(OR(DATA_CLEANED!AL468="",DATA_CLEANED!AM468=""),"MANQUANT",IF(OR(NOT(ISNUMBER(DATA_CLEANED!AL468)),NOT(ISNUMBER(DATA_CLEANED!AM468))),"ENTREE INVALIDE",IF(OR(DATA_CLEANED!AL468&lt;0,DATA_CLEANED!AM468&lt;0),"SCORE NEGATIF","OK")))</f>
        <v>OK</v>
      </c>
      <c r="BF477" s="43" t="str">
        <f>IF(DATA_CLEANED!AK468&lt;&gt;DATA_CLEANED!AN468,"OK","ERREUR")</f>
        <v>OK</v>
      </c>
      <c r="BG477" s="43" t="str">
        <f>IF(DATA_CLEANED!AL468&gt;DATA_CLEANED!AM468,DATA_CLEANED!AK468,IF(AND(DATA_QUALITE!W4954="-",DATA_CLEANED!AM468=DATA_CLEANED!AL468),"MATCH NUL",IF(AND(DATA_QUALITE!V4954="-",DATA_QUALITE!U4954="AUCUNE"),DATA_QUALITE!T4954,IF(DATA_QUALITE!V4954&lt;&gt;"-",DATA_QUALITE!V4954,DATA_CLEANED!AN468))))</f>
        <v>Germany</v>
      </c>
      <c r="BH477" s="103" t="str">
        <f>IF(AND(BG477="MATCH NUL",DATA_CLEANED!AO468="-"),"MATCH_NUL",IF(ISNUMBER(SEARCH("win on penalties",W4954)),"WIN_BY_PENALTY",IF(ISNUMBER(SEARCH("win after extra time",W4954)),"WIN_BY_EXTRA_TIME",IF(ISNUMBER(SEARCH("Golden Goal",W4954)),"WIN_BY_GOLDEN_GOAL","WIN_BY_SCORE"))))</f>
        <v>WIN_BY_SCORE</v>
      </c>
      <c r="BI477" s="99" t="str">
        <f>IF(OR(BG477=DATA_CLEANED!AK468,BG477=DATA_CLEANED!AN468,BG477="MATCH NUL"),"OK","ERREUR")</f>
        <v>OK</v>
      </c>
    </row>
    <row r="478" spans="2:61">
      <c r="B478" s="75">
        <v>41</v>
      </c>
      <c r="C478" s="15" t="str">
        <v>Luis Chávez</v>
      </c>
      <c r="D478" s="15">
        <v>30</v>
      </c>
      <c r="E478" s="15" t="str">
        <v>Mexico</v>
      </c>
      <c r="F478" s="15" t="str">
        <v>CM</v>
      </c>
      <c r="G478" s="15" t="str">
        <v>Dynamo Moscow</v>
      </c>
      <c r="H478" s="15">
        <v>24</v>
      </c>
      <c r="I478" s="15" t="str">
        <f t="shared" si="44"/>
        <v>41|Luis Chávez|30|Mexico|CM|Dynamo Moscow|24</v>
      </c>
      <c r="J478" s="15" t="str">
        <f>IF(COUNTIF(I$438:I478,I478)&gt;1,"DOUBLON","OK")</f>
        <v>OK</v>
      </c>
      <c r="S478" s="30" t="str">
        <v>Italy</v>
      </c>
      <c r="T478" s="30" t="str">
        <f t="shared" si="45"/>
        <v>OK</v>
      </c>
      <c r="U478" s="30" t="str">
        <f t="shared" si="46"/>
        <v>-</v>
      </c>
      <c r="V478" s="30" t="str" cm="1">
        <f t="array" ref="V478">_xlfn.IFS(
ISNUMBER(SEARCH("USA",S478)),"United States",
ISNUMBER(SEARCH("Republic of Korea",S478)),"South Korea",
ISNUMBER(SEARCH("Cape Verde",S478)),"Cabo Verde",
ISNUMBER(SEARCH("Czechia",S478)),"Czech Republic",
ISNUMBER(SEARCH("Türkiye",S478)),"Turkey",
ISNUMBER(SEARCH("Ivory Coast",S478)),"Côte d'Ivoire",
ISNUMBER(SEARCH("Korea Republic",S478)),"South Korea",
ISNUMBER(SEARCH("Germany FR",S478)),"FR Germany",
ISNUMBER(SEARCH("West Germany",S478)),"FR Germany",
ISNUMBER(SEARCH("Germany DR",S478)),"DR Germany",
ISNUMBER(SEARCH("Korea DPR",S478)),"North Korea",
ISNUMBER(SEARCH("China PR",S478)),"China",
ISNUMBER(SEARCH("IR Iran",S478)),"Iran",
ISNUMBER(SEARCH("Congo DR",S478)),"Democratic Republic of the Congo",
ISNUMBER(SEARCH("DR Congo",S478)),"Democratic Republic of the Congo",
ISNUMBER(SEARCH("German DR",S478)),"DR Germany",
ISNUMBER(SEARCH("rn""&gt;United Arab Emirates",S478)),"United Arab Emirates",
ISNUMBER(SEARCH("rn""&gt;Republic of Ireland",S478)),"Ireland",
ISNUMBER(SEARCH("rn""&gt;Bosnia and Herzegovina",S478)),"Bosnia and Herzegovina",
ISNUMBER(SEARCH("rn""&gt;Trinidad and Tobago",S478)),"Trinidad and Tobago",
ISNUMBER(SEARCH("rn""&gt;Serbia and Montenegro",S478)),"Serbia and Montenegro",
ISNUMBER(SEARCH(_xlfn.UNICHAR(65533),S478)),"Côte d'Ivoire",
TRUE,""
)</f>
        <v/>
      </c>
      <c r="W478" s="30" t="str">
        <f t="shared" si="47"/>
        <v>Italy</v>
      </c>
      <c r="Z478" s="40" t="str">
        <v>Giuseppe Meazza</v>
      </c>
      <c r="AA478" s="40" t="str" cm="1">
        <f t="array" ref="AA478">IFERROR(_xlfn.XLOOKUP(Z478,_xlfn.ANCHORARRAY(Z$31),AA$31:AA$37),Z478)</f>
        <v>Giuseppe Meazza</v>
      </c>
      <c r="AB478" s="42" t="str">
        <v xml:space="preserve">Milan </v>
      </c>
      <c r="AC478" s="89" t="str">
        <f t="shared" si="43"/>
        <v xml:space="preserve">Milan </v>
      </c>
      <c r="AE478" s="42">
        <v>1986</v>
      </c>
      <c r="AK478" s="42">
        <v>2</v>
      </c>
      <c r="AL478" s="42">
        <v>0</v>
      </c>
      <c r="AW478" s="89" t="str">
        <v>GROUP_STAGE</v>
      </c>
      <c r="BE478" s="43" t="str">
        <f>IF(OR(DATA_CLEANED!AL469="",DATA_CLEANED!AM469=""),"MANQUANT",IF(OR(NOT(ISNUMBER(DATA_CLEANED!AL469)),NOT(ISNUMBER(DATA_CLEANED!AM469))),"ENTREE INVALIDE",IF(OR(DATA_CLEANED!AL469&lt;0,DATA_CLEANED!AM469&lt;0),"SCORE NEGATIF","OK")))</f>
        <v>OK</v>
      </c>
      <c r="BF478" s="43" t="str">
        <f>IF(DATA_CLEANED!AK469&lt;&gt;DATA_CLEANED!AN469,"OK","ERREUR")</f>
        <v>OK</v>
      </c>
      <c r="BG478" s="43" t="str">
        <f>IF(DATA_CLEANED!AL469&gt;DATA_CLEANED!AM469,DATA_CLEANED!AK469,IF(AND(DATA_QUALITE!W4955="-",DATA_CLEANED!AM469=DATA_CLEANED!AL469),"MATCH NUL",IF(AND(DATA_QUALITE!V4955="-",DATA_QUALITE!U4955="AUCUNE"),DATA_QUALITE!T4955,IF(DATA_QUALITE!V4955&lt;&gt;"-",DATA_QUALITE!V4955,DATA_CLEANED!AN469))))</f>
        <v>MATCH NUL</v>
      </c>
      <c r="BH478" s="103" t="str">
        <f>IF(AND(BG478="MATCH NUL",DATA_CLEANED!AO469="-"),"MATCH_NUL",IF(ISNUMBER(SEARCH("win on penalties",W4955)),"WIN_BY_PENALTY",IF(ISNUMBER(SEARCH("win after extra time",W4955)),"WIN_BY_EXTRA_TIME",IF(ISNUMBER(SEARCH("Golden Goal",W4955)),"WIN_BY_GOLDEN_GOAL","WIN_BY_SCORE"))))</f>
        <v>MATCH_NUL</v>
      </c>
      <c r="BI478" s="99" t="str">
        <f>IF(OR(BG478=DATA_CLEANED!AK469,BG478=DATA_CLEANED!AN469,BG478="MATCH NUL"),"OK","ERREUR")</f>
        <v>OK</v>
      </c>
    </row>
    <row r="479" spans="2:61">
      <c r="B479" s="75">
        <v>42</v>
      </c>
      <c r="C479" s="15" t="str">
        <v>Orbelín Pineda</v>
      </c>
      <c r="D479" s="15">
        <v>30</v>
      </c>
      <c r="E479" s="15" t="str">
        <v>Mexico</v>
      </c>
      <c r="F479" s="15" t="str">
        <v>CAM</v>
      </c>
      <c r="G479" s="15" t="str">
        <v>AEK Athens</v>
      </c>
      <c r="H479" s="15">
        <v>17</v>
      </c>
      <c r="I479" s="15" t="str">
        <f t="shared" si="44"/>
        <v>42|Orbelín Pineda|30|Mexico|CAM|AEK Athens|17</v>
      </c>
      <c r="J479" s="15" t="str">
        <f>IF(COUNTIF(I$438:I479,I479)&gt;1,"DOUBLON","OK")</f>
        <v>OK</v>
      </c>
      <c r="S479" s="30" t="str">
        <v>Italy</v>
      </c>
      <c r="T479" s="30" t="str">
        <f t="shared" si="45"/>
        <v>OK</v>
      </c>
      <c r="U479" s="30" t="str">
        <f t="shared" si="46"/>
        <v>-</v>
      </c>
      <c r="V479" s="30" t="str" cm="1">
        <f t="array" ref="V479">_xlfn.IFS(
ISNUMBER(SEARCH("USA",S479)),"United States",
ISNUMBER(SEARCH("Republic of Korea",S479)),"South Korea",
ISNUMBER(SEARCH("Cape Verde",S479)),"Cabo Verde",
ISNUMBER(SEARCH("Czechia",S479)),"Czech Republic",
ISNUMBER(SEARCH("Türkiye",S479)),"Turkey",
ISNUMBER(SEARCH("Ivory Coast",S479)),"Côte d'Ivoire",
ISNUMBER(SEARCH("Korea Republic",S479)),"South Korea",
ISNUMBER(SEARCH("Germany FR",S479)),"FR Germany",
ISNUMBER(SEARCH("West Germany",S479)),"FR Germany",
ISNUMBER(SEARCH("Germany DR",S479)),"DR Germany",
ISNUMBER(SEARCH("Korea DPR",S479)),"North Korea",
ISNUMBER(SEARCH("China PR",S479)),"China",
ISNUMBER(SEARCH("IR Iran",S479)),"Iran",
ISNUMBER(SEARCH("Congo DR",S479)),"Democratic Republic of the Congo",
ISNUMBER(SEARCH("DR Congo",S479)),"Democratic Republic of the Congo",
ISNUMBER(SEARCH("German DR",S479)),"DR Germany",
ISNUMBER(SEARCH("rn""&gt;United Arab Emirates",S479)),"United Arab Emirates",
ISNUMBER(SEARCH("rn""&gt;Republic of Ireland",S479)),"Ireland",
ISNUMBER(SEARCH("rn""&gt;Bosnia and Herzegovina",S479)),"Bosnia and Herzegovina",
ISNUMBER(SEARCH("rn""&gt;Trinidad and Tobago",S479)),"Trinidad and Tobago",
ISNUMBER(SEARCH("rn""&gt;Serbia and Montenegro",S479)),"Serbia and Montenegro",
ISNUMBER(SEARCH(_xlfn.UNICHAR(65533),S479)),"Côte d'Ivoire",
TRUE,""
)</f>
        <v/>
      </c>
      <c r="W479" s="30" t="str">
        <f t="shared" si="47"/>
        <v>Italy</v>
      </c>
      <c r="Z479" s="40" t="str">
        <v>Renato Dall Ara</v>
      </c>
      <c r="AA479" s="40" t="str" cm="1">
        <f t="array" ref="AA479">IFERROR(_xlfn.XLOOKUP(Z479,_xlfn.ANCHORARRAY(Z$31),AA$31:AA$37),Z479)</f>
        <v>Renato Dall Ara</v>
      </c>
      <c r="AB479" s="42" t="str">
        <v xml:space="preserve">Bologna </v>
      </c>
      <c r="AC479" s="89" t="str">
        <f t="shared" si="43"/>
        <v xml:space="preserve">Bologna </v>
      </c>
      <c r="AE479" s="42">
        <v>1986</v>
      </c>
      <c r="AK479" s="42">
        <v>3</v>
      </c>
      <c r="AL479" s="42">
        <v>4</v>
      </c>
      <c r="AW479" s="89" t="str">
        <v>GROUP_STAGE</v>
      </c>
      <c r="BE479" s="43" t="str">
        <f>IF(OR(DATA_CLEANED!AL470="",DATA_CLEANED!AM470=""),"MANQUANT",IF(OR(NOT(ISNUMBER(DATA_CLEANED!AL470)),NOT(ISNUMBER(DATA_CLEANED!AM470))),"ENTREE INVALIDE",IF(OR(DATA_CLEANED!AL470&lt;0,DATA_CLEANED!AM470&lt;0),"SCORE NEGATIF","OK")))</f>
        <v>OK</v>
      </c>
      <c r="BF479" s="43" t="str">
        <f>IF(DATA_CLEANED!AK470&lt;&gt;DATA_CLEANED!AN470,"OK","ERREUR")</f>
        <v>OK</v>
      </c>
      <c r="BG479" s="43" t="str">
        <f>IF(DATA_CLEANED!AL470&gt;DATA_CLEANED!AM470,DATA_CLEANED!AK470,IF(AND(DATA_QUALITE!W4956="-",DATA_CLEANED!AM470=DATA_CLEANED!AL470),"MATCH NUL",IF(AND(DATA_QUALITE!V4956="-",DATA_QUALITE!U4956="AUCUNE"),DATA_QUALITE!T4956,IF(DATA_QUALITE!V4956&lt;&gt;"-",DATA_QUALITE!V4956,DATA_CLEANED!AN470))))</f>
        <v>Ireland</v>
      </c>
      <c r="BH479" s="103" t="str">
        <f>IF(AND(BG479="MATCH NUL",DATA_CLEANED!AO470="-"),"MATCH_NUL",IF(ISNUMBER(SEARCH("win on penalties",W4956)),"WIN_BY_PENALTY",IF(ISNUMBER(SEARCH("win after extra time",W4956)),"WIN_BY_EXTRA_TIME",IF(ISNUMBER(SEARCH("Golden Goal",W4956)),"WIN_BY_GOLDEN_GOAL","WIN_BY_SCORE"))))</f>
        <v>WIN_BY_SCORE</v>
      </c>
      <c r="BI479" s="99" t="str">
        <f>IF(OR(BG479=DATA_CLEANED!AK470,BG479=DATA_CLEANED!AN470,BG479="MATCH NUL"),"OK","ERREUR")</f>
        <v>OK</v>
      </c>
    </row>
    <row r="480" spans="2:61">
      <c r="B480" s="75">
        <v>43</v>
      </c>
      <c r="C480" s="15" t="str">
        <v>Gilberto Mora</v>
      </c>
      <c r="D480" s="15">
        <v>17</v>
      </c>
      <c r="E480" s="15" t="str">
        <v>Mexico</v>
      </c>
      <c r="F480" s="15" t="str">
        <v>CAM</v>
      </c>
      <c r="G480" s="15" t="str">
        <v>Tijuana</v>
      </c>
      <c r="H480" s="15">
        <v>19</v>
      </c>
      <c r="I480" s="15" t="str">
        <f t="shared" si="44"/>
        <v>43|Gilberto Mora|17|Mexico|CAM|Tijuana|19</v>
      </c>
      <c r="J480" s="15" t="str">
        <f>IF(COUNTIF(I$438:I480,I480)&gt;1,"DOUBLON","OK")</f>
        <v>OK</v>
      </c>
      <c r="S480" s="30" t="str">
        <v>Italy</v>
      </c>
      <c r="T480" s="30" t="str">
        <f t="shared" si="45"/>
        <v>OK</v>
      </c>
      <c r="U480" s="30" t="str">
        <f t="shared" si="46"/>
        <v>-</v>
      </c>
      <c r="V480" s="30" t="str" cm="1">
        <f t="array" ref="V480">_xlfn.IFS(
ISNUMBER(SEARCH("USA",S480)),"United States",
ISNUMBER(SEARCH("Republic of Korea",S480)),"South Korea",
ISNUMBER(SEARCH("Cape Verde",S480)),"Cabo Verde",
ISNUMBER(SEARCH("Czechia",S480)),"Czech Republic",
ISNUMBER(SEARCH("Türkiye",S480)),"Turkey",
ISNUMBER(SEARCH("Ivory Coast",S480)),"Côte d'Ivoire",
ISNUMBER(SEARCH("Korea Republic",S480)),"South Korea",
ISNUMBER(SEARCH("Germany FR",S480)),"FR Germany",
ISNUMBER(SEARCH("West Germany",S480)),"FR Germany",
ISNUMBER(SEARCH("Germany DR",S480)),"DR Germany",
ISNUMBER(SEARCH("Korea DPR",S480)),"North Korea",
ISNUMBER(SEARCH("China PR",S480)),"China",
ISNUMBER(SEARCH("IR Iran",S480)),"Iran",
ISNUMBER(SEARCH("Congo DR",S480)),"Democratic Republic of the Congo",
ISNUMBER(SEARCH("DR Congo",S480)),"Democratic Republic of the Congo",
ISNUMBER(SEARCH("German DR",S480)),"DR Germany",
ISNUMBER(SEARCH("rn""&gt;United Arab Emirates",S480)),"United Arab Emirates",
ISNUMBER(SEARCH("rn""&gt;Republic of Ireland",S480)),"Ireland",
ISNUMBER(SEARCH("rn""&gt;Bosnia and Herzegovina",S480)),"Bosnia and Herzegovina",
ISNUMBER(SEARCH("rn""&gt;Trinidad and Tobago",S480)),"Trinidad and Tobago",
ISNUMBER(SEARCH("rn""&gt;Serbia and Montenegro",S480)),"Serbia and Montenegro",
ISNUMBER(SEARCH(_xlfn.UNICHAR(65533),S480)),"Côte d'Ivoire",
TRUE,""
)</f>
        <v/>
      </c>
      <c r="W480" s="30" t="str">
        <f t="shared" si="47"/>
        <v>Italy</v>
      </c>
      <c r="Z480" s="40" t="str">
        <v>Stadio Olimpico</v>
      </c>
      <c r="AA480" s="40" t="str" cm="1">
        <f t="array" ref="AA480">IFERROR(_xlfn.XLOOKUP(Z480,_xlfn.ANCHORARRAY(Z$31),AA$31:AA$37),Z480)</f>
        <v>Stadio Olimpico</v>
      </c>
      <c r="AB480" s="42" t="str">
        <v xml:space="preserve">Rome </v>
      </c>
      <c r="AC480" s="89" t="str">
        <f t="shared" si="43"/>
        <v xml:space="preserve">Rome </v>
      </c>
      <c r="AE480" s="42">
        <v>1986</v>
      </c>
      <c r="AK480" s="42">
        <v>2</v>
      </c>
      <c r="AL480" s="42">
        <v>0</v>
      </c>
      <c r="AW480" s="89" t="str">
        <v>GROUP_STAGE</v>
      </c>
      <c r="BE480" s="43" t="str">
        <f>IF(OR(DATA_CLEANED!AL471="",DATA_CLEANED!AM471=""),"MANQUANT",IF(OR(NOT(ISNUMBER(DATA_CLEANED!AL471)),NOT(ISNUMBER(DATA_CLEANED!AM471))),"ENTREE INVALIDE",IF(OR(DATA_CLEANED!AL471&lt;0,DATA_CLEANED!AM471&lt;0),"SCORE NEGATIF","OK")))</f>
        <v>OK</v>
      </c>
      <c r="BF480" s="43" t="str">
        <f>IF(DATA_CLEANED!AK471&lt;&gt;DATA_CLEANED!AN471,"OK","ERREUR")</f>
        <v>OK</v>
      </c>
      <c r="BG480" s="43" t="str">
        <f>IF(DATA_CLEANED!AL471&gt;DATA_CLEANED!AM471,DATA_CLEANED!AK471,IF(AND(DATA_QUALITE!W4957="-",DATA_CLEANED!AM471=DATA_CLEANED!AL471),"MATCH NUL",IF(AND(DATA_QUALITE!V4957="-",DATA_QUALITE!U4957="AUCUNE"),DATA_QUALITE!T4957,IF(DATA_QUALITE!V4957&lt;&gt;"-",DATA_QUALITE!V4957,DATA_CLEANED!AN471))))</f>
        <v>Romania</v>
      </c>
      <c r="BH480" s="103" t="str">
        <f>IF(AND(BG480="MATCH NUL",DATA_CLEANED!AO471="-"),"MATCH_NUL",IF(ISNUMBER(SEARCH("win on penalties",W4957)),"WIN_BY_PENALTY",IF(ISNUMBER(SEARCH("win after extra time",W4957)),"WIN_BY_EXTRA_TIME",IF(ISNUMBER(SEARCH("Golden Goal",W4957)),"WIN_BY_GOLDEN_GOAL","WIN_BY_SCORE"))))</f>
        <v>WIN_BY_SCORE</v>
      </c>
      <c r="BI480" s="99" t="str">
        <f>IF(OR(BG480=DATA_CLEANED!AK471,BG480=DATA_CLEANED!AN471,BG480="MATCH NUL"),"OK","ERREUR")</f>
        <v>OK</v>
      </c>
    </row>
    <row r="481" spans="2:61">
      <c r="B481" s="75">
        <v>44</v>
      </c>
      <c r="C481" s="15" t="str">
        <v>Brian Gutiérrez</v>
      </c>
      <c r="D481" s="15">
        <v>22</v>
      </c>
      <c r="E481" s="15" t="str">
        <v>Mexico</v>
      </c>
      <c r="F481" s="15" t="str">
        <v>CAM</v>
      </c>
      <c r="G481" s="15" t="str">
        <v>Guadalajara</v>
      </c>
      <c r="H481" s="15">
        <v>26</v>
      </c>
      <c r="I481" s="15" t="str">
        <f t="shared" si="44"/>
        <v>44|Brian Gutiérrez|22|Mexico|CAM|Guadalajara|26</v>
      </c>
      <c r="J481" s="15" t="str">
        <f>IF(COUNTIF(I$438:I481,I481)&gt;1,"DOUBLON","OK")</f>
        <v>OK</v>
      </c>
      <c r="S481" s="30" t="str">
        <v>Italy</v>
      </c>
      <c r="T481" s="30" t="str">
        <f t="shared" si="45"/>
        <v>OK</v>
      </c>
      <c r="U481" s="30" t="str">
        <f t="shared" si="46"/>
        <v>-</v>
      </c>
      <c r="V481" s="30" t="str" cm="1">
        <f t="array" ref="V481">_xlfn.IFS(
ISNUMBER(SEARCH("USA",S481)),"United States",
ISNUMBER(SEARCH("Republic of Korea",S481)),"South Korea",
ISNUMBER(SEARCH("Cape Verde",S481)),"Cabo Verde",
ISNUMBER(SEARCH("Czechia",S481)),"Czech Republic",
ISNUMBER(SEARCH("Türkiye",S481)),"Turkey",
ISNUMBER(SEARCH("Ivory Coast",S481)),"Côte d'Ivoire",
ISNUMBER(SEARCH("Korea Republic",S481)),"South Korea",
ISNUMBER(SEARCH("Germany FR",S481)),"FR Germany",
ISNUMBER(SEARCH("West Germany",S481)),"FR Germany",
ISNUMBER(SEARCH("Germany DR",S481)),"DR Germany",
ISNUMBER(SEARCH("Korea DPR",S481)),"North Korea",
ISNUMBER(SEARCH("China PR",S481)),"China",
ISNUMBER(SEARCH("IR Iran",S481)),"Iran",
ISNUMBER(SEARCH("Congo DR",S481)),"Democratic Republic of the Congo",
ISNUMBER(SEARCH("DR Congo",S481)),"Democratic Republic of the Congo",
ISNUMBER(SEARCH("German DR",S481)),"DR Germany",
ISNUMBER(SEARCH("rn""&gt;United Arab Emirates",S481)),"United Arab Emirates",
ISNUMBER(SEARCH("rn""&gt;Republic of Ireland",S481)),"Ireland",
ISNUMBER(SEARCH("rn""&gt;Bosnia and Herzegovina",S481)),"Bosnia and Herzegovina",
ISNUMBER(SEARCH("rn""&gt;Trinidad and Tobago",S481)),"Trinidad and Tobago",
ISNUMBER(SEARCH("rn""&gt;Serbia and Montenegro",S481)),"Serbia and Montenegro",
ISNUMBER(SEARCH(_xlfn.UNICHAR(65533),S481)),"Côte d'Ivoire",
TRUE,""
)</f>
        <v/>
      </c>
      <c r="W481" s="30" t="str">
        <f t="shared" si="47"/>
        <v>Italy</v>
      </c>
      <c r="Z481" s="40" t="str">
        <v>Comunale</v>
      </c>
      <c r="AA481" s="40" t="str" cm="1">
        <f t="array" ref="AA481">IFERROR(_xlfn.XLOOKUP(Z481,_xlfn.ANCHORARRAY(Z$31),AA$31:AA$37),Z481)</f>
        <v>Comunale</v>
      </c>
      <c r="AB481" s="42" t="str">
        <v xml:space="preserve">Florence </v>
      </c>
      <c r="AC481" s="89" t="str">
        <f t="shared" si="43"/>
        <v xml:space="preserve">Florence </v>
      </c>
      <c r="AE481" s="42">
        <v>1986</v>
      </c>
      <c r="AK481" s="42">
        <v>1</v>
      </c>
      <c r="AL481" s="42">
        <v>0</v>
      </c>
      <c r="AW481" s="89" t="str">
        <v>GROUP_STAGE</v>
      </c>
      <c r="BE481" s="43" t="str">
        <f>IF(OR(DATA_CLEANED!AL472="",DATA_CLEANED!AM472=""),"MANQUANT",IF(OR(NOT(ISNUMBER(DATA_CLEANED!AL472)),NOT(ISNUMBER(DATA_CLEANED!AM472))),"ENTREE INVALIDE",IF(OR(DATA_CLEANED!AL472&lt;0,DATA_CLEANED!AM472&lt;0),"SCORE NEGATIF","OK")))</f>
        <v>OK</v>
      </c>
      <c r="BF481" s="43" t="str">
        <f>IF(DATA_CLEANED!AK472&lt;&gt;DATA_CLEANED!AN472,"OK","ERREUR")</f>
        <v>OK</v>
      </c>
      <c r="BG481" s="43" t="str">
        <f>IF(DATA_CLEANED!AL472&gt;DATA_CLEANED!AM472,DATA_CLEANED!AK472,IF(AND(DATA_QUALITE!W4958="-",DATA_CLEANED!AM472=DATA_CLEANED!AL472),"MATCH NUL",IF(AND(DATA_QUALITE!V4958="-",DATA_QUALITE!U4958="AUCUNE"),DATA_QUALITE!T4958,IF(DATA_QUALITE!V4958&lt;&gt;"-",DATA_QUALITE!V4958,DATA_CLEANED!AN472))))</f>
        <v>Belgium</v>
      </c>
      <c r="BH481" s="103" t="str">
        <f>IF(AND(BG481="MATCH NUL",DATA_CLEANED!AO472="-"),"MATCH_NUL",IF(ISNUMBER(SEARCH("win on penalties",W4958)),"WIN_BY_PENALTY",IF(ISNUMBER(SEARCH("win after extra time",W4958)),"WIN_BY_EXTRA_TIME",IF(ISNUMBER(SEARCH("Golden Goal",W4958)),"WIN_BY_GOLDEN_GOAL","WIN_BY_SCORE"))))</f>
        <v>WIN_BY_SCORE</v>
      </c>
      <c r="BI481" s="99" t="str">
        <f>IF(OR(BG481=DATA_CLEANED!AK472,BG481=DATA_CLEANED!AN472,BG481="MATCH NUL"),"OK","ERREUR")</f>
        <v>OK</v>
      </c>
    </row>
    <row r="482" spans="2:61">
      <c r="B482" s="75">
        <v>45</v>
      </c>
      <c r="C482" s="15" t="str">
        <v>Alexis Vega</v>
      </c>
      <c r="D482" s="15">
        <v>28</v>
      </c>
      <c r="E482" s="15" t="str">
        <v>Mexico</v>
      </c>
      <c r="F482" s="15" t="str">
        <v>LW</v>
      </c>
      <c r="G482" s="15" t="str">
        <v>Toluca</v>
      </c>
      <c r="H482" s="15">
        <v>10</v>
      </c>
      <c r="I482" s="15" t="str">
        <f t="shared" si="44"/>
        <v>45|Alexis Vega|28|Mexico|LW|Toluca|10</v>
      </c>
      <c r="J482" s="15" t="str">
        <f>IF(COUNTIF(I$438:I482,I482)&gt;1,"DOUBLON","OK")</f>
        <v>OK</v>
      </c>
      <c r="S482" s="30" t="str">
        <v>Italy</v>
      </c>
      <c r="T482" s="30" t="str">
        <f t="shared" si="45"/>
        <v>OK</v>
      </c>
      <c r="U482" s="30" t="str">
        <f t="shared" si="46"/>
        <v>-</v>
      </c>
      <c r="V482" s="30" t="str" cm="1">
        <f t="array" ref="V482">_xlfn.IFS(
ISNUMBER(SEARCH("USA",S482)),"United States",
ISNUMBER(SEARCH("Republic of Korea",S482)),"South Korea",
ISNUMBER(SEARCH("Cape Verde",S482)),"Cabo Verde",
ISNUMBER(SEARCH("Czechia",S482)),"Czech Republic",
ISNUMBER(SEARCH("Türkiye",S482)),"Turkey",
ISNUMBER(SEARCH("Ivory Coast",S482)),"Côte d'Ivoire",
ISNUMBER(SEARCH("Korea Republic",S482)),"South Korea",
ISNUMBER(SEARCH("Germany FR",S482)),"FR Germany",
ISNUMBER(SEARCH("West Germany",S482)),"FR Germany",
ISNUMBER(SEARCH("Germany DR",S482)),"DR Germany",
ISNUMBER(SEARCH("Korea DPR",S482)),"North Korea",
ISNUMBER(SEARCH("China PR",S482)),"China",
ISNUMBER(SEARCH("IR Iran",S482)),"Iran",
ISNUMBER(SEARCH("Congo DR",S482)),"Democratic Republic of the Congo",
ISNUMBER(SEARCH("DR Congo",S482)),"Democratic Republic of the Congo",
ISNUMBER(SEARCH("German DR",S482)),"DR Germany",
ISNUMBER(SEARCH("rn""&gt;United Arab Emirates",S482)),"United Arab Emirates",
ISNUMBER(SEARCH("rn""&gt;Republic of Ireland",S482)),"Ireland",
ISNUMBER(SEARCH("rn""&gt;Bosnia and Herzegovina",S482)),"Bosnia and Herzegovina",
ISNUMBER(SEARCH("rn""&gt;Trinidad and Tobago",S482)),"Trinidad and Tobago",
ISNUMBER(SEARCH("rn""&gt;Serbia and Montenegro",S482)),"Serbia and Montenegro",
ISNUMBER(SEARCH(_xlfn.UNICHAR(65533),S482)),"Côte d'Ivoire",
TRUE,""
)</f>
        <v/>
      </c>
      <c r="W482" s="30" t="str">
        <f t="shared" si="47"/>
        <v>Italy</v>
      </c>
      <c r="Z482" s="40" t="str">
        <v>Stadio delle Alpi</v>
      </c>
      <c r="AA482" s="40" t="str" cm="1">
        <f t="array" ref="AA482">IFERROR(_xlfn.XLOOKUP(Z482,_xlfn.ANCHORARRAY(Z$31),AA$31:AA$37),Z482)</f>
        <v>Stadio delle Alpi</v>
      </c>
      <c r="AB482" s="42" t="str">
        <v xml:space="preserve">Turin </v>
      </c>
      <c r="AC482" s="89" t="str">
        <f t="shared" si="43"/>
        <v xml:space="preserve">Turin </v>
      </c>
      <c r="AE482" s="42">
        <v>1986</v>
      </c>
      <c r="AK482" s="42">
        <v>4</v>
      </c>
      <c r="AL482" s="42">
        <v>0</v>
      </c>
      <c r="AW482" s="89" t="str">
        <v>GROUP_STAGE</v>
      </c>
      <c r="BE482" s="43" t="str">
        <f>IF(OR(DATA_CLEANED!AL473="",DATA_CLEANED!AM473=""),"MANQUANT",IF(OR(NOT(ISNUMBER(DATA_CLEANED!AL473)),NOT(ISNUMBER(DATA_CLEANED!AM473))),"ENTREE INVALIDE",IF(OR(DATA_CLEANED!AL473&lt;0,DATA_CLEANED!AM473&lt;0),"SCORE NEGATIF","OK")))</f>
        <v>OK</v>
      </c>
      <c r="BF482" s="43" t="str">
        <f>IF(DATA_CLEANED!AK473&lt;&gt;DATA_CLEANED!AN473,"OK","ERREUR")</f>
        <v>OK</v>
      </c>
      <c r="BG482" s="43" t="str">
        <f>IF(DATA_CLEANED!AL473&gt;DATA_CLEANED!AM473,DATA_CLEANED!AK473,IF(AND(DATA_QUALITE!W4959="-",DATA_CLEANED!AM473=DATA_CLEANED!AL473),"MATCH NUL",IF(AND(DATA_QUALITE!V4959="-",DATA_QUALITE!U4959="AUCUNE"),DATA_QUALITE!T4959,IF(DATA_QUALITE!V4959&lt;&gt;"-",DATA_QUALITE!V4959,DATA_CLEANED!AN473))))</f>
        <v>Norway</v>
      </c>
      <c r="BH482" s="103" t="str">
        <f>IF(AND(BG482="MATCH NUL",DATA_CLEANED!AO473="-"),"MATCH_NUL",IF(ISNUMBER(SEARCH("win on penalties",W4959)),"WIN_BY_PENALTY",IF(ISNUMBER(SEARCH("win after extra time",W4959)),"WIN_BY_EXTRA_TIME",IF(ISNUMBER(SEARCH("Golden Goal",W4959)),"WIN_BY_GOLDEN_GOAL","WIN_BY_SCORE"))))</f>
        <v>WIN_BY_SCORE</v>
      </c>
      <c r="BI482" s="99" t="str">
        <f>IF(OR(BG482=DATA_CLEANED!AK473,BG482=DATA_CLEANED!AN473,BG482="MATCH NUL"),"OK","ERREUR")</f>
        <v>OK</v>
      </c>
    </row>
    <row r="483" spans="2:61">
      <c r="B483" s="75">
        <v>46</v>
      </c>
      <c r="C483" s="15" t="str">
        <v>César Huerta</v>
      </c>
      <c r="D483" s="15">
        <v>25</v>
      </c>
      <c r="E483" s="15" t="str">
        <v>Mexico</v>
      </c>
      <c r="F483" s="15" t="str">
        <v>LW</v>
      </c>
      <c r="G483" s="15" t="str">
        <v>Anderlecht</v>
      </c>
      <c r="H483" s="15">
        <v>21</v>
      </c>
      <c r="I483" s="15" t="str">
        <f t="shared" si="44"/>
        <v>46|César Huerta|25|Mexico|LW|Anderlecht|21</v>
      </c>
      <c r="J483" s="15" t="str">
        <f>IF(COUNTIF(I$438:I483,I483)&gt;1,"DOUBLON","OK")</f>
        <v>OK</v>
      </c>
      <c r="S483" s="30" t="str">
        <v>England</v>
      </c>
      <c r="T483" s="30" t="str">
        <f t="shared" si="45"/>
        <v>ERREUR</v>
      </c>
      <c r="U483" s="30" t="str">
        <f t="shared" si="46"/>
        <v>AUCUNE</v>
      </c>
      <c r="V483" s="30" t="str" cm="1">
        <f t="array" ref="V483">_xlfn.IFS(
ISNUMBER(SEARCH("USA",S483)),"United States",
ISNUMBER(SEARCH("Republic of Korea",S483)),"South Korea",
ISNUMBER(SEARCH("Cape Verde",S483)),"Cabo Verde",
ISNUMBER(SEARCH("Czechia",S483)),"Czech Republic",
ISNUMBER(SEARCH("Türkiye",S483)),"Turkey",
ISNUMBER(SEARCH("Ivory Coast",S483)),"Côte d'Ivoire",
ISNUMBER(SEARCH("Korea Republic",S483)),"South Korea",
ISNUMBER(SEARCH("Germany FR",S483)),"FR Germany",
ISNUMBER(SEARCH("West Germany",S483)),"FR Germany",
ISNUMBER(SEARCH("Germany DR",S483)),"DR Germany",
ISNUMBER(SEARCH("Korea DPR",S483)),"North Korea",
ISNUMBER(SEARCH("China PR",S483)),"China",
ISNUMBER(SEARCH("IR Iran",S483)),"Iran",
ISNUMBER(SEARCH("Congo DR",S483)),"Democratic Republic of the Congo",
ISNUMBER(SEARCH("DR Congo",S483)),"Democratic Republic of the Congo",
ISNUMBER(SEARCH("German DR",S483)),"DR Germany",
ISNUMBER(SEARCH("rn""&gt;United Arab Emirates",S483)),"United Arab Emirates",
ISNUMBER(SEARCH("rn""&gt;Republic of Ireland",S483)),"Ireland",
ISNUMBER(SEARCH("rn""&gt;Bosnia and Herzegovina",S483)),"Bosnia and Herzegovina",
ISNUMBER(SEARCH("rn""&gt;Trinidad and Tobago",S483)),"Trinidad and Tobago",
ISNUMBER(SEARCH("rn""&gt;Serbia and Montenegro",S483)),"Serbia and Montenegro",
ISNUMBER(SEARCH(_xlfn.UNICHAR(65533),S483)),"Côte d'Ivoire",
TRUE,""
)</f>
        <v/>
      </c>
      <c r="W483" s="30" t="str">
        <f t="shared" si="47"/>
        <v>England</v>
      </c>
      <c r="Z483" s="40" t="str">
        <v>Luigi Ferraris</v>
      </c>
      <c r="AA483" s="40" t="str" cm="1">
        <f t="array" ref="AA483">IFERROR(_xlfn.XLOOKUP(Z483,_xlfn.ANCHORARRAY(Z$31),AA$31:AA$37),Z483)</f>
        <v>Luigi Ferraris</v>
      </c>
      <c r="AB483" s="42" t="str">
        <v xml:space="preserve">Genoa </v>
      </c>
      <c r="AC483" s="89" t="str">
        <f t="shared" si="43"/>
        <v xml:space="preserve">Genoa </v>
      </c>
      <c r="AE483" s="42">
        <v>1986</v>
      </c>
      <c r="AK483" s="42">
        <v>0</v>
      </c>
      <c r="AL483" s="42">
        <v>2</v>
      </c>
      <c r="AW483" s="89" t="str">
        <v>GROUP_STAGE</v>
      </c>
      <c r="BE483" s="43" t="str">
        <f>IF(OR(DATA_CLEANED!AL474="",DATA_CLEANED!AM474=""),"MANQUANT",IF(OR(NOT(ISNUMBER(DATA_CLEANED!AL474)),NOT(ISNUMBER(DATA_CLEANED!AM474))),"ENTREE INVALIDE",IF(OR(DATA_CLEANED!AL474&lt;0,DATA_CLEANED!AM474&lt;0),"SCORE NEGATIF","OK")))</f>
        <v>OK</v>
      </c>
      <c r="BF483" s="43" t="str">
        <f>IF(DATA_CLEANED!AK474&lt;&gt;DATA_CLEANED!AN474,"OK","ERREUR")</f>
        <v>OK</v>
      </c>
      <c r="BG483" s="43" t="str">
        <f>IF(DATA_CLEANED!AL474&gt;DATA_CLEANED!AM474,DATA_CLEANED!AK474,IF(AND(DATA_QUALITE!W4960="-",DATA_CLEANED!AM474=DATA_CLEANED!AL474),"MATCH NUL",IF(AND(DATA_QUALITE!V4960="-",DATA_QUALITE!U4960="AUCUNE"),DATA_QUALITE!T4960,IF(DATA_QUALITE!V4960&lt;&gt;"-",DATA_QUALITE!V4960,DATA_CLEANED!AN474))))</f>
        <v>MATCH NUL</v>
      </c>
      <c r="BH483" s="103" t="str">
        <f>IF(AND(BG483="MATCH NUL",DATA_CLEANED!AO474="-"),"MATCH_NUL",IF(ISNUMBER(SEARCH("win on penalties",W4960)),"WIN_BY_PENALTY",IF(ISNUMBER(SEARCH("win after extra time",W4960)),"WIN_BY_EXTRA_TIME",IF(ISNUMBER(SEARCH("Golden Goal",W4960)),"WIN_BY_GOLDEN_GOAL","WIN_BY_SCORE"))))</f>
        <v>MATCH_NUL</v>
      </c>
      <c r="BI483" s="99" t="str">
        <f>IF(OR(BG483=DATA_CLEANED!AK474,BG483=DATA_CLEANED!AN474,BG483="MATCH NUL"),"OK","ERREUR")</f>
        <v>OK</v>
      </c>
    </row>
    <row r="484" spans="2:61">
      <c r="B484" s="75">
        <v>47</v>
      </c>
      <c r="C484" s="15" t="str">
        <v>Julián Quiñones</v>
      </c>
      <c r="D484" s="15">
        <v>29</v>
      </c>
      <c r="E484" s="15" t="str">
        <v>Mexico</v>
      </c>
      <c r="F484" s="15" t="str">
        <v>RW</v>
      </c>
      <c r="G484" s="15" t="str">
        <v>Al-Qadsiah</v>
      </c>
      <c r="H484" s="15">
        <v>16</v>
      </c>
      <c r="I484" s="15" t="str">
        <f t="shared" si="44"/>
        <v>47|Julián Quiñones|29|Mexico|RW|Al-Qadsiah|16</v>
      </c>
      <c r="J484" s="15" t="str">
        <f>IF(COUNTIF(I$438:I484,I484)&gt;1,"DOUBLON","OK")</f>
        <v>OK</v>
      </c>
      <c r="S484" s="30" t="str">
        <v>England</v>
      </c>
      <c r="T484" s="30" t="str">
        <f t="shared" si="45"/>
        <v>ERREUR</v>
      </c>
      <c r="U484" s="30" t="str">
        <f t="shared" si="46"/>
        <v>AUCUNE</v>
      </c>
      <c r="V484" s="30" t="str" cm="1">
        <f t="array" ref="V484">_xlfn.IFS(
ISNUMBER(SEARCH("USA",S484)),"United States",
ISNUMBER(SEARCH("Republic of Korea",S484)),"South Korea",
ISNUMBER(SEARCH("Cape Verde",S484)),"Cabo Verde",
ISNUMBER(SEARCH("Czechia",S484)),"Czech Republic",
ISNUMBER(SEARCH("Türkiye",S484)),"Turkey",
ISNUMBER(SEARCH("Ivory Coast",S484)),"Côte d'Ivoire",
ISNUMBER(SEARCH("Korea Republic",S484)),"South Korea",
ISNUMBER(SEARCH("Germany FR",S484)),"FR Germany",
ISNUMBER(SEARCH("West Germany",S484)),"FR Germany",
ISNUMBER(SEARCH("Germany DR",S484)),"DR Germany",
ISNUMBER(SEARCH("Korea DPR",S484)),"North Korea",
ISNUMBER(SEARCH("China PR",S484)),"China",
ISNUMBER(SEARCH("IR Iran",S484)),"Iran",
ISNUMBER(SEARCH("Congo DR",S484)),"Democratic Republic of the Congo",
ISNUMBER(SEARCH("DR Congo",S484)),"Democratic Republic of the Congo",
ISNUMBER(SEARCH("German DR",S484)),"DR Germany",
ISNUMBER(SEARCH("rn""&gt;United Arab Emirates",S484)),"United Arab Emirates",
ISNUMBER(SEARCH("rn""&gt;Republic of Ireland",S484)),"Ireland",
ISNUMBER(SEARCH("rn""&gt;Bosnia and Herzegovina",S484)),"Bosnia and Herzegovina",
ISNUMBER(SEARCH("rn""&gt;Trinidad and Tobago",S484)),"Trinidad and Tobago",
ISNUMBER(SEARCH("rn""&gt;Serbia and Montenegro",S484)),"Serbia and Montenegro",
ISNUMBER(SEARCH(_xlfn.UNICHAR(65533),S484)),"Côte d'Ivoire",
TRUE,""
)</f>
        <v/>
      </c>
      <c r="W484" s="30" t="str">
        <f t="shared" si="47"/>
        <v>England</v>
      </c>
      <c r="Z484" s="40" t="str">
        <v>Friuli</v>
      </c>
      <c r="AA484" s="40" t="str" cm="1">
        <f t="array" ref="AA484">IFERROR(_xlfn.XLOOKUP(Z484,_xlfn.ANCHORARRAY(Z$31),AA$31:AA$37),Z484)</f>
        <v>Friuli</v>
      </c>
      <c r="AB484" s="42" t="str">
        <v xml:space="preserve">Udine </v>
      </c>
      <c r="AC484" s="89" t="str">
        <f t="shared" si="43"/>
        <v xml:space="preserve">Udine </v>
      </c>
      <c r="AE484" s="42">
        <v>1986</v>
      </c>
      <c r="AK484" s="42">
        <v>0</v>
      </c>
      <c r="AL484" s="42">
        <v>1</v>
      </c>
      <c r="AW484" s="89" t="str">
        <v>GROUP_STAGE</v>
      </c>
      <c r="BE484" s="43" t="str">
        <f>IF(OR(DATA_CLEANED!AL475="",DATA_CLEANED!AM475=""),"MANQUANT",IF(OR(NOT(ISNUMBER(DATA_CLEANED!AL475)),NOT(ISNUMBER(DATA_CLEANED!AM475))),"ENTREE INVALIDE",IF(OR(DATA_CLEANED!AL475&lt;0,DATA_CLEANED!AM475&lt;0),"SCORE NEGATIF","OK")))</f>
        <v>OK</v>
      </c>
      <c r="BF484" s="43" t="str">
        <f>IF(DATA_CLEANED!AK475&lt;&gt;DATA_CLEANED!AN475,"OK","ERREUR")</f>
        <v>OK</v>
      </c>
      <c r="BG484" s="43" t="str">
        <f>IF(DATA_CLEANED!AL475&gt;DATA_CLEANED!AM475,DATA_CLEANED!AK475,IF(AND(DATA_QUALITE!W4961="-",DATA_CLEANED!AM475=DATA_CLEANED!AL475),"MATCH NUL",IF(AND(DATA_QUALITE!V4961="-",DATA_QUALITE!U4961="AUCUNE"),DATA_QUALITE!T4961,IF(DATA_QUALITE!V4961&lt;&gt;"-",DATA_QUALITE!V4961,DATA_CLEANED!AN475))))</f>
        <v>Netherlands</v>
      </c>
      <c r="BH484" s="103" t="str">
        <f>IF(AND(BG484="MATCH NUL",DATA_CLEANED!AO475="-"),"MATCH_NUL",IF(ISNUMBER(SEARCH("win on penalties",W4961)),"WIN_BY_PENALTY",IF(ISNUMBER(SEARCH("win after extra time",W4961)),"WIN_BY_EXTRA_TIME",IF(ISNUMBER(SEARCH("Golden Goal",W4961)),"WIN_BY_GOLDEN_GOAL","WIN_BY_SCORE"))))</f>
        <v>WIN_BY_SCORE</v>
      </c>
      <c r="BI484" s="99" t="str">
        <f>IF(OR(BG484=DATA_CLEANED!AK475,BG484=DATA_CLEANED!AN475,BG484="MATCH NUL"),"OK","ERREUR")</f>
        <v>OK</v>
      </c>
    </row>
    <row r="485" spans="2:61">
      <c r="B485" s="75">
        <v>48</v>
      </c>
      <c r="C485" s="15" t="str">
        <v>Roberto Alvarado</v>
      </c>
      <c r="D485" s="15">
        <v>27</v>
      </c>
      <c r="E485" s="15" t="str">
        <v>Mexico</v>
      </c>
      <c r="F485" s="15" t="str">
        <v>RW</v>
      </c>
      <c r="G485" s="15" t="str">
        <v>Guadalajara</v>
      </c>
      <c r="H485" s="15">
        <v>25</v>
      </c>
      <c r="I485" s="15" t="str">
        <f t="shared" si="44"/>
        <v>48|Roberto Alvarado|27|Mexico|RW|Guadalajara|25</v>
      </c>
      <c r="J485" s="15" t="str">
        <f>IF(COUNTIF(I$438:I485,I485)&gt;1,"DOUBLON","OK")</f>
        <v>OK</v>
      </c>
      <c r="S485" s="30" t="str">
        <v>England</v>
      </c>
      <c r="T485" s="30" t="str">
        <f t="shared" si="45"/>
        <v>ERREUR</v>
      </c>
      <c r="U485" s="30" t="str">
        <f t="shared" si="46"/>
        <v>AUCUNE</v>
      </c>
      <c r="V485" s="30" t="str" cm="1">
        <f t="array" ref="V485">_xlfn.IFS(
ISNUMBER(SEARCH("USA",S485)),"United States",
ISNUMBER(SEARCH("Republic of Korea",S485)),"South Korea",
ISNUMBER(SEARCH("Cape Verde",S485)),"Cabo Verde",
ISNUMBER(SEARCH("Czechia",S485)),"Czech Republic",
ISNUMBER(SEARCH("Türkiye",S485)),"Turkey",
ISNUMBER(SEARCH("Ivory Coast",S485)),"Côte d'Ivoire",
ISNUMBER(SEARCH("Korea Republic",S485)),"South Korea",
ISNUMBER(SEARCH("Germany FR",S485)),"FR Germany",
ISNUMBER(SEARCH("West Germany",S485)),"FR Germany",
ISNUMBER(SEARCH("Germany DR",S485)),"DR Germany",
ISNUMBER(SEARCH("Korea DPR",S485)),"North Korea",
ISNUMBER(SEARCH("China PR",S485)),"China",
ISNUMBER(SEARCH("IR Iran",S485)),"Iran",
ISNUMBER(SEARCH("Congo DR",S485)),"Democratic Republic of the Congo",
ISNUMBER(SEARCH("DR Congo",S485)),"Democratic Republic of the Congo",
ISNUMBER(SEARCH("German DR",S485)),"DR Germany",
ISNUMBER(SEARCH("rn""&gt;United Arab Emirates",S485)),"United Arab Emirates",
ISNUMBER(SEARCH("rn""&gt;Republic of Ireland",S485)),"Ireland",
ISNUMBER(SEARCH("rn""&gt;Bosnia and Herzegovina",S485)),"Bosnia and Herzegovina",
ISNUMBER(SEARCH("rn""&gt;Trinidad and Tobago",S485)),"Trinidad and Tobago",
ISNUMBER(SEARCH("rn""&gt;Serbia and Montenegro",S485)),"Serbia and Montenegro",
ISNUMBER(SEARCH(_xlfn.UNICHAR(65533),S485)),"Côte d'Ivoire",
TRUE,""
)</f>
        <v/>
      </c>
      <c r="W485" s="30" t="str">
        <f t="shared" si="47"/>
        <v>England</v>
      </c>
      <c r="Z485" s="40" t="str">
        <v>Marc Antonio Bentegodi</v>
      </c>
      <c r="AA485" s="40" t="str" cm="1">
        <f t="array" ref="AA485">IFERROR(_xlfn.XLOOKUP(Z485,_xlfn.ANCHORARRAY(Z$31),AA$31:AA$37),Z485)</f>
        <v>Marc Antonio Bentegodi</v>
      </c>
      <c r="AB485" s="42" t="str">
        <v xml:space="preserve">Verona </v>
      </c>
      <c r="AC485" s="89" t="str">
        <f t="shared" si="43"/>
        <v xml:space="preserve">Verona </v>
      </c>
      <c r="AE485" s="42">
        <v>1986</v>
      </c>
      <c r="AK485" s="42">
        <v>3</v>
      </c>
      <c r="AL485" s="42">
        <v>0</v>
      </c>
      <c r="AW485" s="89" t="str">
        <v>GROUP_STAGE</v>
      </c>
      <c r="BE485" s="43" t="str">
        <f>IF(OR(DATA_CLEANED!AL476="",DATA_CLEANED!AM476=""),"MANQUANT",IF(OR(NOT(ISNUMBER(DATA_CLEANED!AL476)),NOT(ISNUMBER(DATA_CLEANED!AM476))),"ENTREE INVALIDE",IF(OR(DATA_CLEANED!AL476&lt;0,DATA_CLEANED!AM476&lt;0),"SCORE NEGATIF","OK")))</f>
        <v>OK</v>
      </c>
      <c r="BF485" s="43" t="str">
        <f>IF(DATA_CLEANED!AK476&lt;&gt;DATA_CLEANED!AN476,"OK","ERREUR")</f>
        <v>OK</v>
      </c>
      <c r="BG485" s="43" t="str">
        <f>IF(DATA_CLEANED!AL476&gt;DATA_CLEANED!AM476,DATA_CLEANED!AK476,IF(AND(DATA_QUALITE!W4962="-",DATA_CLEANED!AM476=DATA_CLEANED!AL476),"MATCH NUL",IF(AND(DATA_QUALITE!V4962="-",DATA_QUALITE!U4962="AUCUNE"),DATA_QUALITE!T4962,IF(DATA_QUALITE!V4962&lt;&gt;"-",DATA_QUALITE!V4962,DATA_CLEANED!AN476))))</f>
        <v>Brazil</v>
      </c>
      <c r="BH485" s="103" t="str">
        <f>IF(AND(BG485="MATCH NUL",DATA_CLEANED!AO476="-"),"MATCH_NUL",IF(ISNUMBER(SEARCH("win on penalties",W4962)),"WIN_BY_PENALTY",IF(ISNUMBER(SEARCH("win after extra time",W4962)),"WIN_BY_EXTRA_TIME",IF(ISNUMBER(SEARCH("Golden Goal",W4962)),"WIN_BY_GOLDEN_GOAL","WIN_BY_SCORE"))))</f>
        <v>WIN_BY_SCORE</v>
      </c>
      <c r="BI485" s="99" t="str">
        <f>IF(OR(BG485=DATA_CLEANED!AK476,BG485=DATA_CLEANED!AN476,BG485="MATCH NUL"),"OK","ERREUR")</f>
        <v>OK</v>
      </c>
    </row>
    <row r="486" spans="2:61">
      <c r="B486" s="75">
        <v>49</v>
      </c>
      <c r="C486" s="15" t="str">
        <v>Raúl Jiménez</v>
      </c>
      <c r="D486" s="15">
        <v>35</v>
      </c>
      <c r="E486" s="15" t="str">
        <v>Mexico</v>
      </c>
      <c r="F486" s="15" t="str">
        <v>ST</v>
      </c>
      <c r="G486" s="15" t="str">
        <v>Fulham</v>
      </c>
      <c r="H486" s="15">
        <v>9</v>
      </c>
      <c r="I486" s="15" t="str">
        <f t="shared" si="44"/>
        <v>49|Raúl Jiménez|35|Mexico|ST|Fulham|9</v>
      </c>
      <c r="J486" s="15" t="str">
        <f>IF(COUNTIF(I$438:I486,I486)&gt;1,"DOUBLON","OK")</f>
        <v>OK</v>
      </c>
      <c r="S486" s="30" t="str">
        <v>England</v>
      </c>
      <c r="T486" s="30" t="str">
        <f t="shared" si="45"/>
        <v>ERREUR</v>
      </c>
      <c r="U486" s="30" t="str">
        <f t="shared" si="46"/>
        <v>AUCUNE</v>
      </c>
      <c r="V486" s="30" t="str" cm="1">
        <f t="array" ref="V486">_xlfn.IFS(
ISNUMBER(SEARCH("USA",S486)),"United States",
ISNUMBER(SEARCH("Republic of Korea",S486)),"South Korea",
ISNUMBER(SEARCH("Cape Verde",S486)),"Cabo Verde",
ISNUMBER(SEARCH("Czechia",S486)),"Czech Republic",
ISNUMBER(SEARCH("Türkiye",S486)),"Turkey",
ISNUMBER(SEARCH("Ivory Coast",S486)),"Côte d'Ivoire",
ISNUMBER(SEARCH("Korea Republic",S486)),"South Korea",
ISNUMBER(SEARCH("Germany FR",S486)),"FR Germany",
ISNUMBER(SEARCH("West Germany",S486)),"FR Germany",
ISNUMBER(SEARCH("Germany DR",S486)),"DR Germany",
ISNUMBER(SEARCH("Korea DPR",S486)),"North Korea",
ISNUMBER(SEARCH("China PR",S486)),"China",
ISNUMBER(SEARCH("IR Iran",S486)),"Iran",
ISNUMBER(SEARCH("Congo DR",S486)),"Democratic Republic of the Congo",
ISNUMBER(SEARCH("DR Congo",S486)),"Democratic Republic of the Congo",
ISNUMBER(SEARCH("German DR",S486)),"DR Germany",
ISNUMBER(SEARCH("rn""&gt;United Arab Emirates",S486)),"United Arab Emirates",
ISNUMBER(SEARCH("rn""&gt;Republic of Ireland",S486)),"Ireland",
ISNUMBER(SEARCH("rn""&gt;Bosnia and Herzegovina",S486)),"Bosnia and Herzegovina",
ISNUMBER(SEARCH("rn""&gt;Trinidad and Tobago",S486)),"Trinidad and Tobago",
ISNUMBER(SEARCH("rn""&gt;Serbia and Montenegro",S486)),"Serbia and Montenegro",
ISNUMBER(SEARCH(_xlfn.UNICHAR(65533),S486)),"Côte d'Ivoire",
TRUE,""
)</f>
        <v/>
      </c>
      <c r="W486" s="30" t="str">
        <f t="shared" si="47"/>
        <v>England</v>
      </c>
      <c r="Z486" s="40" t="str">
        <v>Della Favorita</v>
      </c>
      <c r="AA486" s="40" t="str" cm="1">
        <f t="array" ref="AA486">IFERROR(_xlfn.XLOOKUP(Z486,_xlfn.ANCHORARRAY(Z$31),AA$31:AA$37),Z486)</f>
        <v>Della Favorita</v>
      </c>
      <c r="AB486" s="42" t="str">
        <v xml:space="preserve">Palermo </v>
      </c>
      <c r="AC486" s="89" t="str">
        <f t="shared" si="43"/>
        <v xml:space="preserve">Palermo </v>
      </c>
      <c r="AE486" s="42">
        <v>1986</v>
      </c>
      <c r="AK486" s="42">
        <v>1</v>
      </c>
      <c r="AL486" s="42">
        <v>5</v>
      </c>
      <c r="AW486" s="89" t="str">
        <v>GROUP_STAGE</v>
      </c>
      <c r="BE486" s="43" t="str">
        <f>IF(OR(DATA_CLEANED!AL477="",DATA_CLEANED!AM477=""),"MANQUANT",IF(OR(NOT(ISNUMBER(DATA_CLEANED!AL477)),NOT(ISNUMBER(DATA_CLEANED!AM477))),"ENTREE INVALIDE",IF(OR(DATA_CLEANED!AL477&lt;0,DATA_CLEANED!AM477&lt;0),"SCORE NEGATIF","OK")))</f>
        <v>OK</v>
      </c>
      <c r="BF486" s="43" t="str">
        <f>IF(DATA_CLEANED!AK477&lt;&gt;DATA_CLEANED!AN477,"OK","ERREUR")</f>
        <v>OK</v>
      </c>
      <c r="BG486" s="43" t="str">
        <f>IF(DATA_CLEANED!AL477&gt;DATA_CLEANED!AM477,DATA_CLEANED!AK477,IF(AND(DATA_QUALITE!W4963="-",DATA_CLEANED!AM477=DATA_CLEANED!AL477),"MATCH NUL",IF(AND(DATA_QUALITE!V4963="-",DATA_QUALITE!U4963="AUCUNE"),DATA_QUALITE!T4963,IF(DATA_QUALITE!V4963&lt;&gt;"-",DATA_QUALITE!V4963,DATA_CLEANED!AN477))))</f>
        <v>Argentina</v>
      </c>
      <c r="BH486" s="103" t="str">
        <f>IF(AND(BG486="MATCH NUL",DATA_CLEANED!AO477="-"),"MATCH_NUL",IF(ISNUMBER(SEARCH("win on penalties",W4963)),"WIN_BY_PENALTY",IF(ISNUMBER(SEARCH("win after extra time",W4963)),"WIN_BY_EXTRA_TIME",IF(ISNUMBER(SEARCH("Golden Goal",W4963)),"WIN_BY_GOLDEN_GOAL","WIN_BY_SCORE"))))</f>
        <v>WIN_BY_SCORE</v>
      </c>
      <c r="BI486" s="99" t="str">
        <f>IF(OR(BG486=DATA_CLEANED!AK477,BG486=DATA_CLEANED!AN477,BG486="MATCH NUL"),"OK","ERREUR")</f>
        <v>OK</v>
      </c>
    </row>
    <row r="487" spans="2:61">
      <c r="B487" s="75">
        <v>50</v>
      </c>
      <c r="C487" s="15" t="str">
        <v>Santiago Giménez</v>
      </c>
      <c r="D487" s="15">
        <v>25</v>
      </c>
      <c r="E487" s="15" t="str">
        <v>Mexico</v>
      </c>
      <c r="F487" s="15" t="str">
        <v>ST</v>
      </c>
      <c r="G487" s="15" t="str">
        <v>AC Milan</v>
      </c>
      <c r="H487" s="15">
        <v>11</v>
      </c>
      <c r="I487" s="15" t="str">
        <f t="shared" si="44"/>
        <v>50|Santiago Giménez|25|Mexico|ST|AC Milan|11</v>
      </c>
      <c r="J487" s="15" t="str">
        <f>IF(COUNTIF(I$438:I487,I487)&gt;1,"DOUBLON","OK")</f>
        <v>OK</v>
      </c>
      <c r="S487" s="30" t="str">
        <v>England</v>
      </c>
      <c r="T487" s="30" t="str">
        <f t="shared" si="45"/>
        <v>ERREUR</v>
      </c>
      <c r="U487" s="30" t="str">
        <f t="shared" si="46"/>
        <v>AUCUNE</v>
      </c>
      <c r="V487" s="30" t="str" cm="1">
        <f t="array" ref="V487">_xlfn.IFS(
ISNUMBER(SEARCH("USA",S487)),"United States",
ISNUMBER(SEARCH("Republic of Korea",S487)),"South Korea",
ISNUMBER(SEARCH("Cape Verde",S487)),"Cabo Verde",
ISNUMBER(SEARCH("Czechia",S487)),"Czech Republic",
ISNUMBER(SEARCH("Türkiye",S487)),"Turkey",
ISNUMBER(SEARCH("Ivory Coast",S487)),"Côte d'Ivoire",
ISNUMBER(SEARCH("Korea Republic",S487)),"South Korea",
ISNUMBER(SEARCH("Germany FR",S487)),"FR Germany",
ISNUMBER(SEARCH("West Germany",S487)),"FR Germany",
ISNUMBER(SEARCH("Germany DR",S487)),"DR Germany",
ISNUMBER(SEARCH("Korea DPR",S487)),"North Korea",
ISNUMBER(SEARCH("China PR",S487)),"China",
ISNUMBER(SEARCH("IR Iran",S487)),"Iran",
ISNUMBER(SEARCH("Congo DR",S487)),"Democratic Republic of the Congo",
ISNUMBER(SEARCH("DR Congo",S487)),"Democratic Republic of the Congo",
ISNUMBER(SEARCH("German DR",S487)),"DR Germany",
ISNUMBER(SEARCH("rn""&gt;United Arab Emirates",S487)),"United Arab Emirates",
ISNUMBER(SEARCH("rn""&gt;Republic of Ireland",S487)),"Ireland",
ISNUMBER(SEARCH("rn""&gt;Bosnia and Herzegovina",S487)),"Bosnia and Herzegovina",
ISNUMBER(SEARCH("rn""&gt;Trinidad and Tobago",S487)),"Trinidad and Tobago",
ISNUMBER(SEARCH("rn""&gt;Serbia and Montenegro",S487)),"Serbia and Montenegro",
ISNUMBER(SEARCH(_xlfn.UNICHAR(65533),S487)),"Côte d'Ivoire",
TRUE,""
)</f>
        <v/>
      </c>
      <c r="W487" s="30" t="str">
        <f t="shared" si="47"/>
        <v>England</v>
      </c>
      <c r="Z487" s="40" t="str">
        <v>Sant Elia</v>
      </c>
      <c r="AA487" s="40" t="str" cm="1">
        <f t="array" ref="AA487">IFERROR(_xlfn.XLOOKUP(Z487,_xlfn.ANCHORARRAY(Z$31),AA$31:AA$37),Z487)</f>
        <v>Sant Elia</v>
      </c>
      <c r="AB487" s="42" t="str">
        <v xml:space="preserve">Cagliari </v>
      </c>
      <c r="AC487" s="89" t="str">
        <f t="shared" si="43"/>
        <v xml:space="preserve">Cagliari </v>
      </c>
      <c r="AE487" s="42">
        <v>1986</v>
      </c>
      <c r="AK487" s="42">
        <v>1</v>
      </c>
      <c r="AL487" s="42">
        <v>1</v>
      </c>
      <c r="AW487" s="89" t="str">
        <v>GROUP_STAGE</v>
      </c>
      <c r="BE487" s="43" t="str">
        <f>IF(OR(DATA_CLEANED!AL478="",DATA_CLEANED!AM478=""),"MANQUANT",IF(OR(NOT(ISNUMBER(DATA_CLEANED!AL478)),NOT(ISNUMBER(DATA_CLEANED!AM478))),"ENTREE INVALIDE",IF(OR(DATA_CLEANED!AL478&lt;0,DATA_CLEANED!AM478&lt;0),"SCORE NEGATIF","OK")))</f>
        <v>OK</v>
      </c>
      <c r="BF487" s="43" t="str">
        <f>IF(DATA_CLEANED!AK478&lt;&gt;DATA_CLEANED!AN478,"OK","ERREUR")</f>
        <v>OK</v>
      </c>
      <c r="BG487" s="43" t="str">
        <f>IF(DATA_CLEANED!AL478&gt;DATA_CLEANED!AM478,DATA_CLEANED!AK478,IF(AND(DATA_QUALITE!W4964="-",DATA_CLEANED!AM478=DATA_CLEANED!AL478),"MATCH NUL",IF(AND(DATA_QUALITE!V4964="-",DATA_QUALITE!U4964="AUCUNE"),DATA_QUALITE!T4964,IF(DATA_QUALITE!V4964&lt;&gt;"-",DATA_QUALITE!V4964,DATA_CLEANED!AN478))))</f>
        <v>Nigeria</v>
      </c>
      <c r="BH487" s="103" t="str">
        <f>IF(AND(BG487="MATCH NUL",DATA_CLEANED!AO478="-"),"MATCH_NUL",IF(ISNUMBER(SEARCH("win on penalties",W4964)),"WIN_BY_PENALTY",IF(ISNUMBER(SEARCH("win after extra time",W4964)),"WIN_BY_EXTRA_TIME",IF(ISNUMBER(SEARCH("Golden Goal",W4964)),"WIN_BY_GOLDEN_GOAL","WIN_BY_SCORE"))))</f>
        <v>WIN_BY_SCORE</v>
      </c>
      <c r="BI487" s="99" t="str">
        <f>IF(OR(BG487=DATA_CLEANED!AK478,BG487=DATA_CLEANED!AN478,BG487="MATCH NUL"),"OK","ERREUR")</f>
        <v>OK</v>
      </c>
    </row>
    <row r="488" spans="2:61">
      <c r="B488" s="75">
        <v>51</v>
      </c>
      <c r="C488" s="15" t="str">
        <v>Armando González</v>
      </c>
      <c r="D488" s="15">
        <v>23</v>
      </c>
      <c r="E488" s="15" t="str">
        <v>Mexico</v>
      </c>
      <c r="F488" s="15" t="str">
        <v>ST</v>
      </c>
      <c r="G488" s="15" t="str">
        <v>Guadalajara</v>
      </c>
      <c r="H488" s="15">
        <v>14</v>
      </c>
      <c r="I488" s="15" t="str">
        <f t="shared" si="44"/>
        <v>51|Armando González|23|Mexico|ST|Guadalajara|14</v>
      </c>
      <c r="J488" s="15" t="str">
        <f>IF(COUNTIF(I$438:I488,I488)&gt;1,"DOUBLON","OK")</f>
        <v>OK</v>
      </c>
      <c r="S488" s="30" t="str">
        <v>England</v>
      </c>
      <c r="T488" s="30" t="str">
        <f t="shared" si="45"/>
        <v>ERREUR</v>
      </c>
      <c r="U488" s="30" t="str">
        <f t="shared" si="46"/>
        <v>AUCUNE</v>
      </c>
      <c r="V488" s="30" t="str" cm="1">
        <f t="array" ref="V488">_xlfn.IFS(
ISNUMBER(SEARCH("USA",S488)),"United States",
ISNUMBER(SEARCH("Republic of Korea",S488)),"South Korea",
ISNUMBER(SEARCH("Cape Verde",S488)),"Cabo Verde",
ISNUMBER(SEARCH("Czechia",S488)),"Czech Republic",
ISNUMBER(SEARCH("Türkiye",S488)),"Turkey",
ISNUMBER(SEARCH("Ivory Coast",S488)),"Côte d'Ivoire",
ISNUMBER(SEARCH("Korea Republic",S488)),"South Korea",
ISNUMBER(SEARCH("Germany FR",S488)),"FR Germany",
ISNUMBER(SEARCH("West Germany",S488)),"FR Germany",
ISNUMBER(SEARCH("Germany DR",S488)),"DR Germany",
ISNUMBER(SEARCH("Korea DPR",S488)),"North Korea",
ISNUMBER(SEARCH("China PR",S488)),"China",
ISNUMBER(SEARCH("IR Iran",S488)),"Iran",
ISNUMBER(SEARCH("Congo DR",S488)),"Democratic Republic of the Congo",
ISNUMBER(SEARCH("DR Congo",S488)),"Democratic Republic of the Congo",
ISNUMBER(SEARCH("German DR",S488)),"DR Germany",
ISNUMBER(SEARCH("rn""&gt;United Arab Emirates",S488)),"United Arab Emirates",
ISNUMBER(SEARCH("rn""&gt;Republic of Ireland",S488)),"Ireland",
ISNUMBER(SEARCH("rn""&gt;Bosnia and Herzegovina",S488)),"Bosnia and Herzegovina",
ISNUMBER(SEARCH("rn""&gt;Trinidad and Tobago",S488)),"Trinidad and Tobago",
ISNUMBER(SEARCH("rn""&gt;Serbia and Montenegro",S488)),"Serbia and Montenegro",
ISNUMBER(SEARCH(_xlfn.UNICHAR(65533),S488)),"Côte d'Ivoire",
TRUE,""
)</f>
        <v/>
      </c>
      <c r="W488" s="30" t="str">
        <f t="shared" si="47"/>
        <v>England</v>
      </c>
      <c r="Z488" s="40" t="str">
        <v>San Paolo</v>
      </c>
      <c r="AA488" s="40" t="str" cm="1">
        <f t="array" ref="AA488">IFERROR(_xlfn.XLOOKUP(Z488,_xlfn.ANCHORARRAY(Z$31),AA$31:AA$37),Z488)</f>
        <v>San Paolo</v>
      </c>
      <c r="AB488" s="42" t="str">
        <v xml:space="preserve">Naples </v>
      </c>
      <c r="AC488" s="89" t="str">
        <f t="shared" si="43"/>
        <v xml:space="preserve">Naples </v>
      </c>
      <c r="AE488" s="42">
        <v>1986</v>
      </c>
      <c r="AK488" s="42">
        <v>0</v>
      </c>
      <c r="AL488" s="42">
        <v>0</v>
      </c>
      <c r="AW488" s="89" t="str">
        <v>GROUP_STAGE</v>
      </c>
      <c r="BE488" s="43" t="str">
        <f>IF(OR(DATA_CLEANED!AL479="",DATA_CLEANED!AM479=""),"MANQUANT",IF(OR(NOT(ISNUMBER(DATA_CLEANED!AL479)),NOT(ISNUMBER(DATA_CLEANED!AM479))),"ENTREE INVALIDE",IF(OR(DATA_CLEANED!AL479&lt;0,DATA_CLEANED!AM479&lt;0),"SCORE NEGATIF","OK")))</f>
        <v>OK</v>
      </c>
      <c r="BF488" s="43" t="str">
        <f>IF(DATA_CLEANED!AK479&lt;&gt;DATA_CLEANED!AN479,"OK","ERREUR")</f>
        <v>OK</v>
      </c>
      <c r="BG488" s="43" t="str">
        <f>IF(DATA_CLEANED!AL479&gt;DATA_CLEANED!AM479,DATA_CLEANED!AK479,IF(AND(DATA_QUALITE!W4965="-",DATA_CLEANED!AM479=DATA_CLEANED!AL479),"MATCH NUL",IF(AND(DATA_QUALITE!V4965="-",DATA_QUALITE!U4965="AUCUNE"),DATA_QUALITE!T4965,IF(DATA_QUALITE!V4965&lt;&gt;"-",DATA_QUALITE!V4965,DATA_CLEANED!AN479))))</f>
        <v>MATCH NUL</v>
      </c>
      <c r="BH488" s="103" t="str">
        <f>IF(AND(BG488="MATCH NUL",DATA_CLEANED!AO479="-"),"MATCH_NUL",IF(ISNUMBER(SEARCH("win on penalties",W4965)),"WIN_BY_PENALTY",IF(ISNUMBER(SEARCH("win after extra time",W4965)),"WIN_BY_EXTRA_TIME",IF(ISNUMBER(SEARCH("Golden Goal",W4965)),"WIN_BY_GOLDEN_GOAL","WIN_BY_SCORE"))))</f>
        <v>MATCH_NUL</v>
      </c>
      <c r="BI488" s="99" t="str">
        <f>IF(OR(BG488=DATA_CLEANED!AK479,BG488=DATA_CLEANED!AN479,BG488="MATCH NUL"),"OK","ERREUR")</f>
        <v>OK</v>
      </c>
    </row>
    <row r="489" spans="2:61">
      <c r="B489" s="75">
        <v>52</v>
      </c>
      <c r="C489" s="15" t="str">
        <v>Guillermo Martínez</v>
      </c>
      <c r="D489" s="15">
        <v>31</v>
      </c>
      <c r="E489" s="15" t="str">
        <v>Mexico</v>
      </c>
      <c r="F489" s="15" t="str">
        <v>ST</v>
      </c>
      <c r="G489" s="15" t="str">
        <v>Pumas UNAM</v>
      </c>
      <c r="H489" s="15">
        <v>22</v>
      </c>
      <c r="I489" s="15" t="str">
        <f t="shared" si="44"/>
        <v>52|Guillermo Martínez|31|Mexico|ST|Pumas UNAM|22</v>
      </c>
      <c r="J489" s="15" t="str">
        <f>IF(COUNTIF(I$438:I489,I489)&gt;1,"DOUBLON","OK")</f>
        <v>OK</v>
      </c>
      <c r="S489" s="30" t="str">
        <v>England</v>
      </c>
      <c r="T489" s="30" t="str">
        <f t="shared" si="45"/>
        <v>ERREUR</v>
      </c>
      <c r="U489" s="30" t="str">
        <f t="shared" si="46"/>
        <v>AUCUNE</v>
      </c>
      <c r="V489" s="30" t="str" cm="1">
        <f t="array" ref="V489">_xlfn.IFS(
ISNUMBER(SEARCH("USA",S489)),"United States",
ISNUMBER(SEARCH("Republic of Korea",S489)),"South Korea",
ISNUMBER(SEARCH("Cape Verde",S489)),"Cabo Verde",
ISNUMBER(SEARCH("Czechia",S489)),"Czech Republic",
ISNUMBER(SEARCH("Türkiye",S489)),"Turkey",
ISNUMBER(SEARCH("Ivory Coast",S489)),"Côte d'Ivoire",
ISNUMBER(SEARCH("Korea Republic",S489)),"South Korea",
ISNUMBER(SEARCH("Germany FR",S489)),"FR Germany",
ISNUMBER(SEARCH("West Germany",S489)),"FR Germany",
ISNUMBER(SEARCH("Germany DR",S489)),"DR Germany",
ISNUMBER(SEARCH("Korea DPR",S489)),"North Korea",
ISNUMBER(SEARCH("China PR",S489)),"China",
ISNUMBER(SEARCH("IR Iran",S489)),"Iran",
ISNUMBER(SEARCH("Congo DR",S489)),"Democratic Republic of the Congo",
ISNUMBER(SEARCH("DR Congo",S489)),"Democratic Republic of the Congo",
ISNUMBER(SEARCH("German DR",S489)),"DR Germany",
ISNUMBER(SEARCH("rn""&gt;United Arab Emirates",S489)),"United Arab Emirates",
ISNUMBER(SEARCH("rn""&gt;Republic of Ireland",S489)),"Ireland",
ISNUMBER(SEARCH("rn""&gt;Bosnia and Herzegovina",S489)),"Bosnia and Herzegovina",
ISNUMBER(SEARCH("rn""&gt;Trinidad and Tobago",S489)),"Trinidad and Tobago",
ISNUMBER(SEARCH("rn""&gt;Serbia and Montenegro",S489)),"Serbia and Montenegro",
ISNUMBER(SEARCH(_xlfn.UNICHAR(65533),S489)),"Côte d'Ivoire",
TRUE,""
)</f>
        <v/>
      </c>
      <c r="W489" s="30" t="str">
        <f t="shared" si="47"/>
        <v>England</v>
      </c>
      <c r="Z489" s="40" t="str">
        <v>Stadio San Nicola</v>
      </c>
      <c r="AA489" s="40" t="str" cm="1">
        <f t="array" ref="AA489">IFERROR(_xlfn.XLOOKUP(Z489,_xlfn.ANCHORARRAY(Z$31),AA$31:AA$37),Z489)</f>
        <v>Stadio San Nicola</v>
      </c>
      <c r="AB489" s="42" t="str">
        <v xml:space="preserve">Bari </v>
      </c>
      <c r="AC489" s="89" t="str">
        <f t="shared" ref="AC489:AC552" si="48">_xlfn.SINGLE(IFERROR(_xlfn.XLOOKUP(AB489,AB$31:AB$34,AC$31:AC$34),AB489))</f>
        <v xml:space="preserve">Bari </v>
      </c>
      <c r="AE489" s="42">
        <v>1986</v>
      </c>
      <c r="AK489" s="42">
        <v>1</v>
      </c>
      <c r="AL489" s="42">
        <v>1</v>
      </c>
      <c r="AW489" s="89" t="str">
        <v>GROUP_STAGE</v>
      </c>
      <c r="BE489" s="43" t="str">
        <f>IF(OR(DATA_CLEANED!AL480="",DATA_CLEANED!AM480=""),"MANQUANT",IF(OR(NOT(ISNUMBER(DATA_CLEANED!AL480)),NOT(ISNUMBER(DATA_CLEANED!AM480))),"ENTREE INVALIDE",IF(OR(DATA_CLEANED!AL480&lt;0,DATA_CLEANED!AM480&lt;0),"SCORE NEGATIF","OK")))</f>
        <v>OK</v>
      </c>
      <c r="BF489" s="43" t="str">
        <f>IF(DATA_CLEANED!AK480&lt;&gt;DATA_CLEANED!AN480,"OK","ERREUR")</f>
        <v>OK</v>
      </c>
      <c r="BG489" s="43" t="str">
        <f>IF(DATA_CLEANED!AL480&gt;DATA_CLEANED!AM480,DATA_CLEANED!AK480,IF(AND(DATA_QUALITE!W4966="-",DATA_CLEANED!AM480=DATA_CLEANED!AL480),"MATCH NUL",IF(AND(DATA_QUALITE!V4966="-",DATA_QUALITE!U4966="AUCUNE"),DATA_QUALITE!T4966,IF(DATA_QUALITE!V4966&lt;&gt;"-",DATA_QUALITE!V4966,DATA_CLEANED!AN480))))</f>
        <v>Switzerland</v>
      </c>
      <c r="BH489" s="103" t="str">
        <f>IF(AND(BG489="MATCH NUL",DATA_CLEANED!AO480="-"),"MATCH_NUL",IF(ISNUMBER(SEARCH("win on penalties",W4966)),"WIN_BY_PENALTY",IF(ISNUMBER(SEARCH("win after extra time",W4966)),"WIN_BY_EXTRA_TIME",IF(ISNUMBER(SEARCH("Golden Goal",W4966)),"WIN_BY_GOLDEN_GOAL","WIN_BY_SCORE"))))</f>
        <v>WIN_BY_SCORE</v>
      </c>
      <c r="BI489" s="99" t="str">
        <f>IF(OR(BG489=DATA_CLEANED!AK480,BG489=DATA_CLEANED!AN480,BG489="MATCH NUL"),"OK","ERREUR")</f>
        <v>OK</v>
      </c>
    </row>
    <row r="490" spans="2:61">
      <c r="B490" s="75">
        <v>53</v>
      </c>
      <c r="C490" s="15" t="str">
        <v>Ronwen Williams</v>
      </c>
      <c r="D490" s="15">
        <v>34</v>
      </c>
      <c r="E490" s="15" t="str">
        <v>South Africa</v>
      </c>
      <c r="F490" s="15" t="str">
        <v>GK</v>
      </c>
      <c r="G490" s="15" t="str">
        <v>Mamelodi Sundowns</v>
      </c>
      <c r="H490" s="15">
        <v>1</v>
      </c>
      <c r="I490" s="15" t="str">
        <f t="shared" si="44"/>
        <v>53|Ronwen Williams|34|South Africa|GK|Mamelodi Sundowns|1</v>
      </c>
      <c r="J490" s="15" t="str">
        <f>IF(COUNTIF(I$438:I490,I490)&gt;1,"DOUBLON","OK")</f>
        <v>OK</v>
      </c>
      <c r="S490" s="30" t="str">
        <v>England</v>
      </c>
      <c r="T490" s="30" t="str">
        <f t="shared" si="45"/>
        <v>ERREUR</v>
      </c>
      <c r="U490" s="30" t="str">
        <f t="shared" si="46"/>
        <v>AUCUNE</v>
      </c>
      <c r="V490" s="30" t="str" cm="1">
        <f t="array" ref="V490">_xlfn.IFS(
ISNUMBER(SEARCH("USA",S490)),"United States",
ISNUMBER(SEARCH("Republic of Korea",S490)),"South Korea",
ISNUMBER(SEARCH("Cape Verde",S490)),"Cabo Verde",
ISNUMBER(SEARCH("Czechia",S490)),"Czech Republic",
ISNUMBER(SEARCH("Türkiye",S490)),"Turkey",
ISNUMBER(SEARCH("Ivory Coast",S490)),"Côte d'Ivoire",
ISNUMBER(SEARCH("Korea Republic",S490)),"South Korea",
ISNUMBER(SEARCH("Germany FR",S490)),"FR Germany",
ISNUMBER(SEARCH("West Germany",S490)),"FR Germany",
ISNUMBER(SEARCH("Germany DR",S490)),"DR Germany",
ISNUMBER(SEARCH("Korea DPR",S490)),"North Korea",
ISNUMBER(SEARCH("China PR",S490)),"China",
ISNUMBER(SEARCH("IR Iran",S490)),"Iran",
ISNUMBER(SEARCH("Congo DR",S490)),"Democratic Republic of the Congo",
ISNUMBER(SEARCH("DR Congo",S490)),"Democratic Republic of the Congo",
ISNUMBER(SEARCH("German DR",S490)),"DR Germany",
ISNUMBER(SEARCH("rn""&gt;United Arab Emirates",S490)),"United Arab Emirates",
ISNUMBER(SEARCH("rn""&gt;Republic of Ireland",S490)),"Ireland",
ISNUMBER(SEARCH("rn""&gt;Bosnia and Herzegovina",S490)),"Bosnia and Herzegovina",
ISNUMBER(SEARCH("rn""&gt;Trinidad and Tobago",S490)),"Trinidad and Tobago",
ISNUMBER(SEARCH("rn""&gt;Serbia and Montenegro",S490)),"Serbia and Montenegro",
ISNUMBER(SEARCH(_xlfn.UNICHAR(65533),S490)),"Côte d'Ivoire",
TRUE,""
)</f>
        <v/>
      </c>
      <c r="W490" s="30" t="str">
        <f t="shared" si="47"/>
        <v>England</v>
      </c>
      <c r="Z490" s="40" t="str">
        <v>Stadio delle Alpi</v>
      </c>
      <c r="AA490" s="40" t="str" cm="1">
        <f t="array" ref="AA490">IFERROR(_xlfn.XLOOKUP(Z490,_xlfn.ANCHORARRAY(Z$31),AA$31:AA$37),Z490)</f>
        <v>Stadio delle Alpi</v>
      </c>
      <c r="AB490" s="42" t="str">
        <v xml:space="preserve">Turin </v>
      </c>
      <c r="AC490" s="89" t="str">
        <f t="shared" si="48"/>
        <v xml:space="preserve">Turin </v>
      </c>
      <c r="AE490" s="42">
        <v>1986</v>
      </c>
      <c r="AK490" s="42">
        <v>2</v>
      </c>
      <c r="AL490" s="42">
        <v>1</v>
      </c>
      <c r="AW490" s="89" t="str">
        <v>GROUP_STAGE</v>
      </c>
      <c r="BE490" s="43" t="str">
        <f>IF(OR(DATA_CLEANED!AL481="",DATA_CLEANED!AM481=""),"MANQUANT",IF(OR(NOT(ISNUMBER(DATA_CLEANED!AL481)),NOT(ISNUMBER(DATA_CLEANED!AM481))),"ENTREE INVALIDE",IF(OR(DATA_CLEANED!AL481&lt;0,DATA_CLEANED!AM481&lt;0),"SCORE NEGATIF","OK")))</f>
        <v>OK</v>
      </c>
      <c r="BF490" s="43" t="str">
        <f>IF(DATA_CLEANED!AK481&lt;&gt;DATA_CLEANED!AN481,"OK","ERREUR")</f>
        <v>OK</v>
      </c>
      <c r="BG490" s="43" t="str">
        <f>IF(DATA_CLEANED!AL481&gt;DATA_CLEANED!AM481,DATA_CLEANED!AK481,IF(AND(DATA_QUALITE!W4967="-",DATA_CLEANED!AM481=DATA_CLEANED!AL481),"MATCH NUL",IF(AND(DATA_QUALITE!V4967="-",DATA_QUALITE!U4967="AUCUNE"),DATA_QUALITE!T4967,IF(DATA_QUALITE!V4967&lt;&gt;"-",DATA_QUALITE!V4967,DATA_CLEANED!AN481))))</f>
        <v>United States</v>
      </c>
      <c r="BH490" s="103" t="str">
        <f>IF(AND(BG490="MATCH NUL",DATA_CLEANED!AO481="-"),"MATCH_NUL",IF(ISNUMBER(SEARCH("win on penalties",W4967)),"WIN_BY_PENALTY",IF(ISNUMBER(SEARCH("win after extra time",W4967)),"WIN_BY_EXTRA_TIME",IF(ISNUMBER(SEARCH("Golden Goal",W4967)),"WIN_BY_GOLDEN_GOAL","WIN_BY_SCORE"))))</f>
        <v>WIN_BY_SCORE</v>
      </c>
      <c r="BI490" s="99" t="str">
        <f>IF(OR(BG490=DATA_CLEANED!AK481,BG490=DATA_CLEANED!AN481,BG490="MATCH NUL"),"OK","ERREUR")</f>
        <v>OK</v>
      </c>
    </row>
    <row r="491" spans="2:61">
      <c r="B491" s="75">
        <v>54</v>
      </c>
      <c r="C491" s="15" t="str">
        <v>Sipho Chaine</v>
      </c>
      <c r="D491" s="15">
        <v>29</v>
      </c>
      <c r="E491" s="15" t="str">
        <v>South Africa</v>
      </c>
      <c r="F491" s="15" t="str">
        <v>GK</v>
      </c>
      <c r="G491" s="15" t="str">
        <v>Orlando Pirates</v>
      </c>
      <c r="H491" s="15">
        <v>16</v>
      </c>
      <c r="I491" s="15" t="str">
        <f t="shared" si="44"/>
        <v>54|Sipho Chaine|29|South Africa|GK|Orlando Pirates|16</v>
      </c>
      <c r="J491" s="15" t="str">
        <f>IF(COUNTIF(I$438:I491,I491)&gt;1,"DOUBLON","OK")</f>
        <v>OK</v>
      </c>
      <c r="S491" s="30" t="str">
        <v>England</v>
      </c>
      <c r="T491" s="30" t="str">
        <f t="shared" si="45"/>
        <v>ERREUR</v>
      </c>
      <c r="U491" s="30" t="str">
        <f t="shared" si="46"/>
        <v>AUCUNE</v>
      </c>
      <c r="V491" s="30" t="str" cm="1">
        <f t="array" ref="V491">_xlfn.IFS(
ISNUMBER(SEARCH("USA",S491)),"United States",
ISNUMBER(SEARCH("Republic of Korea",S491)),"South Korea",
ISNUMBER(SEARCH("Cape Verde",S491)),"Cabo Verde",
ISNUMBER(SEARCH("Czechia",S491)),"Czech Republic",
ISNUMBER(SEARCH("Türkiye",S491)),"Turkey",
ISNUMBER(SEARCH("Ivory Coast",S491)),"Côte d'Ivoire",
ISNUMBER(SEARCH("Korea Republic",S491)),"South Korea",
ISNUMBER(SEARCH("Germany FR",S491)),"FR Germany",
ISNUMBER(SEARCH("West Germany",S491)),"FR Germany",
ISNUMBER(SEARCH("Germany DR",S491)),"DR Germany",
ISNUMBER(SEARCH("Korea DPR",S491)),"North Korea",
ISNUMBER(SEARCH("China PR",S491)),"China",
ISNUMBER(SEARCH("IR Iran",S491)),"Iran",
ISNUMBER(SEARCH("Congo DR",S491)),"Democratic Republic of the Congo",
ISNUMBER(SEARCH("DR Congo",S491)),"Democratic Republic of the Congo",
ISNUMBER(SEARCH("German DR",S491)),"DR Germany",
ISNUMBER(SEARCH("rn""&gt;United Arab Emirates",S491)),"United Arab Emirates",
ISNUMBER(SEARCH("rn""&gt;Republic of Ireland",S491)),"Ireland",
ISNUMBER(SEARCH("rn""&gt;Bosnia and Herzegovina",S491)),"Bosnia and Herzegovina",
ISNUMBER(SEARCH("rn""&gt;Trinidad and Tobago",S491)),"Trinidad and Tobago",
ISNUMBER(SEARCH("rn""&gt;Serbia and Montenegro",S491)),"Serbia and Montenegro",
ISNUMBER(SEARCH(_xlfn.UNICHAR(65533),S491)),"Côte d'Ivoire",
TRUE,""
)</f>
        <v/>
      </c>
      <c r="W491" s="30" t="str">
        <f t="shared" si="47"/>
        <v>England</v>
      </c>
      <c r="Z491" s="40" t="str">
        <v>Giuseppe Meazza</v>
      </c>
      <c r="AA491" s="40" t="str" cm="1">
        <f t="array" ref="AA491">IFERROR(_xlfn.XLOOKUP(Z491,_xlfn.ANCHORARRAY(Z$31),AA$31:AA$37),Z491)</f>
        <v>Giuseppe Meazza</v>
      </c>
      <c r="AB491" s="42" t="str">
        <v xml:space="preserve">Milan </v>
      </c>
      <c r="AC491" s="89" t="str">
        <f t="shared" si="48"/>
        <v xml:space="preserve">Milan </v>
      </c>
      <c r="AE491" s="42">
        <v>1986</v>
      </c>
      <c r="AK491" s="42">
        <v>0</v>
      </c>
      <c r="AL491" s="42">
        <v>2</v>
      </c>
      <c r="AW491" s="89" t="str">
        <v>GROUP_STAGE</v>
      </c>
      <c r="BE491" s="43" t="str">
        <f>IF(OR(DATA_CLEANED!AL482="",DATA_CLEANED!AM482=""),"MANQUANT",IF(OR(NOT(ISNUMBER(DATA_CLEANED!AL482)),NOT(ISNUMBER(DATA_CLEANED!AM482))),"ENTREE INVALIDE",IF(OR(DATA_CLEANED!AL482&lt;0,DATA_CLEANED!AM482&lt;0),"SCORE NEGATIF","OK")))</f>
        <v>OK</v>
      </c>
      <c r="BF491" s="43" t="str">
        <f>IF(DATA_CLEANED!AK482&lt;&gt;DATA_CLEANED!AN482,"OK","ERREUR")</f>
        <v>OK</v>
      </c>
      <c r="BG491" s="43" t="str">
        <f>IF(DATA_CLEANED!AL482&gt;DATA_CLEANED!AM482,DATA_CLEANED!AK482,IF(AND(DATA_QUALITE!W4968="-",DATA_CLEANED!AM482=DATA_CLEANED!AL482),"MATCH NUL",IF(AND(DATA_QUALITE!V4968="-",DATA_QUALITE!U4968="AUCUNE"),DATA_QUALITE!T4968,IF(DATA_QUALITE!V4968&lt;&gt;"-",DATA_QUALITE!V4968,DATA_CLEANED!AN482))))</f>
        <v>Italy</v>
      </c>
      <c r="BH491" s="103" t="str">
        <f>IF(AND(BG491="MATCH NUL",DATA_CLEANED!AO482="-"),"MATCH_NUL",IF(ISNUMBER(SEARCH("win on penalties",W4968)),"WIN_BY_PENALTY",IF(ISNUMBER(SEARCH("win after extra time",W4968)),"WIN_BY_EXTRA_TIME",IF(ISNUMBER(SEARCH("Golden Goal",W4968)),"WIN_BY_GOLDEN_GOAL","WIN_BY_SCORE"))))</f>
        <v>WIN_BY_SCORE</v>
      </c>
      <c r="BI491" s="99" t="str">
        <f>IF(OR(BG491=DATA_CLEANED!AK482,BG491=DATA_CLEANED!AN482,BG491="MATCH NUL"),"OK","ERREUR")</f>
        <v>OK</v>
      </c>
    </row>
    <row r="492" spans="2:61">
      <c r="B492" s="75">
        <v>55</v>
      </c>
      <c r="C492" s="15" t="str">
        <v>Ricardo Goss</v>
      </c>
      <c r="D492" s="15">
        <v>32</v>
      </c>
      <c r="E492" s="15" t="str">
        <v>South Africa</v>
      </c>
      <c r="F492" s="15" t="str">
        <v>GK</v>
      </c>
      <c r="G492" s="15" t="str">
        <v>Siwelele</v>
      </c>
      <c r="H492" s="15">
        <v>22</v>
      </c>
      <c r="I492" s="15" t="str">
        <f t="shared" si="44"/>
        <v>55|Ricardo Goss|32|South Africa|GK|Siwelele|22</v>
      </c>
      <c r="J492" s="15" t="str">
        <f>IF(COUNTIF(I$438:I492,I492)&gt;1,"DOUBLON","OK")</f>
        <v>OK</v>
      </c>
      <c r="S492" s="30" t="str">
        <v>Bulgaria</v>
      </c>
      <c r="T492" s="30" t="str">
        <f t="shared" si="45"/>
        <v>OK</v>
      </c>
      <c r="U492" s="30" t="str">
        <f t="shared" si="46"/>
        <v>-</v>
      </c>
      <c r="V492" s="30" t="str" cm="1">
        <f t="array" ref="V492">_xlfn.IFS(
ISNUMBER(SEARCH("USA",S492)),"United States",
ISNUMBER(SEARCH("Republic of Korea",S492)),"South Korea",
ISNUMBER(SEARCH("Cape Verde",S492)),"Cabo Verde",
ISNUMBER(SEARCH("Czechia",S492)),"Czech Republic",
ISNUMBER(SEARCH("Türkiye",S492)),"Turkey",
ISNUMBER(SEARCH("Ivory Coast",S492)),"Côte d'Ivoire",
ISNUMBER(SEARCH("Korea Republic",S492)),"South Korea",
ISNUMBER(SEARCH("Germany FR",S492)),"FR Germany",
ISNUMBER(SEARCH("West Germany",S492)),"FR Germany",
ISNUMBER(SEARCH("Germany DR",S492)),"DR Germany",
ISNUMBER(SEARCH("Korea DPR",S492)),"North Korea",
ISNUMBER(SEARCH("China PR",S492)),"China",
ISNUMBER(SEARCH("IR Iran",S492)),"Iran",
ISNUMBER(SEARCH("Congo DR",S492)),"Democratic Republic of the Congo",
ISNUMBER(SEARCH("DR Congo",S492)),"Democratic Republic of the Congo",
ISNUMBER(SEARCH("German DR",S492)),"DR Germany",
ISNUMBER(SEARCH("rn""&gt;United Arab Emirates",S492)),"United Arab Emirates",
ISNUMBER(SEARCH("rn""&gt;Republic of Ireland",S492)),"Ireland",
ISNUMBER(SEARCH("rn""&gt;Bosnia and Herzegovina",S492)),"Bosnia and Herzegovina",
ISNUMBER(SEARCH("rn""&gt;Trinidad and Tobago",S492)),"Trinidad and Tobago",
ISNUMBER(SEARCH("rn""&gt;Serbia and Montenegro",S492)),"Serbia and Montenegro",
ISNUMBER(SEARCH(_xlfn.UNICHAR(65533),S492)),"Côte d'Ivoire",
TRUE,""
)</f>
        <v/>
      </c>
      <c r="W492" s="30" t="str">
        <f t="shared" si="47"/>
        <v>Bulgaria</v>
      </c>
      <c r="Z492" s="40" t="str">
        <v>Luigi Ferraris</v>
      </c>
      <c r="AA492" s="40" t="str" cm="1">
        <f t="array" ref="AA492">IFERROR(_xlfn.XLOOKUP(Z492,_xlfn.ANCHORARRAY(Z$31),AA$31:AA$37),Z492)</f>
        <v>Luigi Ferraris</v>
      </c>
      <c r="AB492" s="42" t="str">
        <v xml:space="preserve">Genoa </v>
      </c>
      <c r="AC492" s="89" t="str">
        <f t="shared" si="48"/>
        <v xml:space="preserve">Genoa </v>
      </c>
      <c r="AE492" s="42">
        <v>1986</v>
      </c>
      <c r="AK492" s="42">
        <v>2</v>
      </c>
      <c r="AL492" s="42">
        <v>0</v>
      </c>
      <c r="AW492" s="89" t="str">
        <v>GROUP_STAGE</v>
      </c>
      <c r="BE492" s="43" t="str">
        <f>IF(OR(DATA_CLEANED!AL483="",DATA_CLEANED!AM483=""),"MANQUANT",IF(OR(NOT(ISNUMBER(DATA_CLEANED!AL483)),NOT(ISNUMBER(DATA_CLEANED!AM483))),"ENTREE INVALIDE",IF(OR(DATA_CLEANED!AL483&lt;0,DATA_CLEANED!AM483&lt;0),"SCORE NEGATIF","OK")))</f>
        <v>OK</v>
      </c>
      <c r="BF492" s="43" t="str">
        <f>IF(DATA_CLEANED!AK483&lt;&gt;DATA_CLEANED!AN483,"OK","ERREUR")</f>
        <v>OK</v>
      </c>
      <c r="BG492" s="43" t="str">
        <f>IF(DATA_CLEANED!AL483&gt;DATA_CLEANED!AM483,DATA_CLEANED!AK483,IF(AND(DATA_QUALITE!W4969="-",DATA_CLEANED!AM483=DATA_CLEANED!AL483),"MATCH NUL",IF(AND(DATA_QUALITE!V4969="-",DATA_QUALITE!U4969="AUCUNE"),DATA_QUALITE!T4969,IF(DATA_QUALITE!V4969&lt;&gt;"-",DATA_QUALITE!V4969,DATA_CLEANED!AN483))))</f>
        <v>MATCH NUL</v>
      </c>
      <c r="BH492" s="103" t="str">
        <f>IF(AND(BG492="MATCH NUL",DATA_CLEANED!AO483="-"),"MATCH_NUL",IF(ISNUMBER(SEARCH("win on penalties",W4969)),"WIN_BY_PENALTY",IF(ISNUMBER(SEARCH("win after extra time",W4969)),"WIN_BY_EXTRA_TIME",IF(ISNUMBER(SEARCH("Golden Goal",W4969)),"WIN_BY_GOLDEN_GOAL","WIN_BY_SCORE"))))</f>
        <v>MATCH_NUL</v>
      </c>
      <c r="BI492" s="99" t="str">
        <f>IF(OR(BG492=DATA_CLEANED!AK483,BG492=DATA_CLEANED!AN483,BG492="MATCH NUL"),"OK","ERREUR")</f>
        <v>OK</v>
      </c>
    </row>
    <row r="493" spans="2:61">
      <c r="B493" s="75">
        <v>56</v>
      </c>
      <c r="C493" s="15" t="str">
        <v>Khulumani Ndamane</v>
      </c>
      <c r="D493" s="15">
        <v>22</v>
      </c>
      <c r="E493" s="15" t="str">
        <v>South Africa</v>
      </c>
      <c r="F493" s="15" t="str">
        <v>CB</v>
      </c>
      <c r="G493" s="15" t="str">
        <v>Mamelodi Sundowns</v>
      </c>
      <c r="H493" s="15">
        <v>3</v>
      </c>
      <c r="I493" s="15" t="str">
        <f t="shared" si="44"/>
        <v>56|Khulumani Ndamane|22|South Africa|CB|Mamelodi Sundowns|3</v>
      </c>
      <c r="J493" s="15" t="str">
        <f>IF(COUNTIF(I$438:I493,I493)&gt;1,"DOUBLON","OK")</f>
        <v>OK</v>
      </c>
      <c r="S493" s="30" t="str">
        <v>Bulgaria</v>
      </c>
      <c r="T493" s="30" t="str">
        <f t="shared" si="45"/>
        <v>OK</v>
      </c>
      <c r="U493" s="30" t="str">
        <f t="shared" si="46"/>
        <v>-</v>
      </c>
      <c r="V493" s="30" t="str" cm="1">
        <f t="array" ref="V493">_xlfn.IFS(
ISNUMBER(SEARCH("USA",S493)),"United States",
ISNUMBER(SEARCH("Republic of Korea",S493)),"South Korea",
ISNUMBER(SEARCH("Cape Verde",S493)),"Cabo Verde",
ISNUMBER(SEARCH("Czechia",S493)),"Czech Republic",
ISNUMBER(SEARCH("Türkiye",S493)),"Turkey",
ISNUMBER(SEARCH("Ivory Coast",S493)),"Côte d'Ivoire",
ISNUMBER(SEARCH("Korea Republic",S493)),"South Korea",
ISNUMBER(SEARCH("Germany FR",S493)),"FR Germany",
ISNUMBER(SEARCH("West Germany",S493)),"FR Germany",
ISNUMBER(SEARCH("Germany DR",S493)),"DR Germany",
ISNUMBER(SEARCH("Korea DPR",S493)),"North Korea",
ISNUMBER(SEARCH("China PR",S493)),"China",
ISNUMBER(SEARCH("IR Iran",S493)),"Iran",
ISNUMBER(SEARCH("Congo DR",S493)),"Democratic Republic of the Congo",
ISNUMBER(SEARCH("DR Congo",S493)),"Democratic Republic of the Congo",
ISNUMBER(SEARCH("German DR",S493)),"DR Germany",
ISNUMBER(SEARCH("rn""&gt;United Arab Emirates",S493)),"United Arab Emirates",
ISNUMBER(SEARCH("rn""&gt;Republic of Ireland",S493)),"Ireland",
ISNUMBER(SEARCH("rn""&gt;Bosnia and Herzegovina",S493)),"Bosnia and Herzegovina",
ISNUMBER(SEARCH("rn""&gt;Trinidad and Tobago",S493)),"Trinidad and Tobago",
ISNUMBER(SEARCH("rn""&gt;Serbia and Montenegro",S493)),"Serbia and Montenegro",
ISNUMBER(SEARCH(_xlfn.UNICHAR(65533),S493)),"Côte d'Ivoire",
TRUE,""
)</f>
        <v/>
      </c>
      <c r="W493" s="30" t="str">
        <f t="shared" si="47"/>
        <v>Bulgaria</v>
      </c>
      <c r="Z493" s="40" t="str">
        <v>Stadio Olimpico</v>
      </c>
      <c r="AA493" s="40" t="str" cm="1">
        <f t="array" ref="AA493">IFERROR(_xlfn.XLOOKUP(Z493,_xlfn.ANCHORARRAY(Z$31),AA$31:AA$37),Z493)</f>
        <v>Stadio Olimpico</v>
      </c>
      <c r="AB493" s="42" t="str">
        <v xml:space="preserve">Rome </v>
      </c>
      <c r="AC493" s="89" t="str">
        <f t="shared" si="48"/>
        <v xml:space="preserve">Rome </v>
      </c>
      <c r="AE493" s="42">
        <v>1986</v>
      </c>
      <c r="AK493" s="42">
        <v>4</v>
      </c>
      <c r="AL493" s="42">
        <v>2</v>
      </c>
      <c r="AW493" s="89" t="str">
        <v>GROUP_STAGE</v>
      </c>
      <c r="BE493" s="43" t="str">
        <f>IF(OR(DATA_CLEANED!AL484="",DATA_CLEANED!AM484=""),"MANQUANT",IF(OR(NOT(ISNUMBER(DATA_CLEANED!AL484)),NOT(ISNUMBER(DATA_CLEANED!AM484))),"ENTREE INVALIDE",IF(OR(DATA_CLEANED!AL484&lt;0,DATA_CLEANED!AM484&lt;0),"SCORE NEGATIF","OK")))</f>
        <v>OK</v>
      </c>
      <c r="BF493" s="43" t="str">
        <f>IF(DATA_CLEANED!AK484&lt;&gt;DATA_CLEANED!AN484,"OK","ERREUR")</f>
        <v>OK</v>
      </c>
      <c r="BG493" s="43" t="str">
        <f>IF(DATA_CLEANED!AL484&gt;DATA_CLEANED!AM484,DATA_CLEANED!AK484,IF(AND(DATA_QUALITE!W4970="-",DATA_CLEANED!AM484=DATA_CLEANED!AL484),"MATCH NUL",IF(AND(DATA_QUALITE!V4970="-",DATA_QUALITE!U4970="AUCUNE"),DATA_QUALITE!T4970,IF(DATA_QUALITE!V4970&lt;&gt;"-",DATA_QUALITE!V4970,DATA_CLEANED!AN484))))</f>
        <v>Mexico</v>
      </c>
      <c r="BH493" s="103" t="str">
        <f>IF(AND(BG493="MATCH NUL",DATA_CLEANED!AO484="-"),"MATCH_NUL",IF(ISNUMBER(SEARCH("win on penalties",W4970)),"WIN_BY_PENALTY",IF(ISNUMBER(SEARCH("win after extra time",W4970)),"WIN_BY_EXTRA_TIME",IF(ISNUMBER(SEARCH("Golden Goal",W4970)),"WIN_BY_GOLDEN_GOAL","WIN_BY_SCORE"))))</f>
        <v>WIN_BY_SCORE</v>
      </c>
      <c r="BI493" s="99" t="str">
        <f>IF(OR(BG493=DATA_CLEANED!AK484,BG493=DATA_CLEANED!AN484,BG493="MATCH NUL"),"OK","ERREUR")</f>
        <v>OK</v>
      </c>
    </row>
    <row r="494" spans="2:61">
      <c r="B494" s="75">
        <v>57</v>
      </c>
      <c r="C494" s="15" t="str">
        <v>Mbekezeli Mbokazi</v>
      </c>
      <c r="D494" s="15">
        <v>20</v>
      </c>
      <c r="E494" s="15" t="str">
        <v>South Africa</v>
      </c>
      <c r="F494" s="15" t="str">
        <v>CB</v>
      </c>
      <c r="G494" s="15" t="str">
        <v>Chicago Fire FC</v>
      </c>
      <c r="H494" s="15">
        <v>14</v>
      </c>
      <c r="I494" s="15" t="str">
        <f t="shared" si="44"/>
        <v>57|Mbekezeli Mbokazi|20|South Africa|CB|Chicago Fire FC|14</v>
      </c>
      <c r="J494" s="15" t="str">
        <f>IF(COUNTIF(I$438:I494,I494)&gt;1,"DOUBLON","OK")</f>
        <v>OK</v>
      </c>
      <c r="S494" s="30" t="str">
        <v>Bulgaria</v>
      </c>
      <c r="T494" s="30" t="str">
        <f t="shared" si="45"/>
        <v>OK</v>
      </c>
      <c r="U494" s="30" t="str">
        <f t="shared" si="46"/>
        <v>-</v>
      </c>
      <c r="V494" s="30" t="str" cm="1">
        <f t="array" ref="V494">_xlfn.IFS(
ISNUMBER(SEARCH("USA",S494)),"United States",
ISNUMBER(SEARCH("Republic of Korea",S494)),"South Korea",
ISNUMBER(SEARCH("Cape Verde",S494)),"Cabo Verde",
ISNUMBER(SEARCH("Czechia",S494)),"Czech Republic",
ISNUMBER(SEARCH("Türkiye",S494)),"Turkey",
ISNUMBER(SEARCH("Ivory Coast",S494)),"Côte d'Ivoire",
ISNUMBER(SEARCH("Korea Republic",S494)),"South Korea",
ISNUMBER(SEARCH("Germany FR",S494)),"FR Germany",
ISNUMBER(SEARCH("West Germany",S494)),"FR Germany",
ISNUMBER(SEARCH("Germany DR",S494)),"DR Germany",
ISNUMBER(SEARCH("Korea DPR",S494)),"North Korea",
ISNUMBER(SEARCH("China PR",S494)),"China",
ISNUMBER(SEARCH("IR Iran",S494)),"Iran",
ISNUMBER(SEARCH("Congo DR",S494)),"Democratic Republic of the Congo",
ISNUMBER(SEARCH("DR Congo",S494)),"Democratic Republic of the Congo",
ISNUMBER(SEARCH("German DR",S494)),"DR Germany",
ISNUMBER(SEARCH("rn""&gt;United Arab Emirates",S494)),"United Arab Emirates",
ISNUMBER(SEARCH("rn""&gt;Republic of Ireland",S494)),"Ireland",
ISNUMBER(SEARCH("rn""&gt;Bosnia and Herzegovina",S494)),"Bosnia and Herzegovina",
ISNUMBER(SEARCH("rn""&gt;Trinidad and Tobago",S494)),"Trinidad and Tobago",
ISNUMBER(SEARCH("rn""&gt;Serbia and Montenegro",S494)),"Serbia and Montenegro",
ISNUMBER(SEARCH(_xlfn.UNICHAR(65533),S494)),"Côte d'Ivoire",
TRUE,""
)</f>
        <v/>
      </c>
      <c r="W494" s="30" t="str">
        <f t="shared" si="47"/>
        <v>Bulgaria</v>
      </c>
      <c r="Z494" s="40" t="str">
        <v>Marc Antonio Bentegodi</v>
      </c>
      <c r="AA494" s="40" t="str" cm="1">
        <f t="array" ref="AA494">IFERROR(_xlfn.XLOOKUP(Z494,_xlfn.ANCHORARRAY(Z$31),AA$31:AA$37),Z494)</f>
        <v>Marc Antonio Bentegodi</v>
      </c>
      <c r="AB494" s="42" t="str">
        <v xml:space="preserve">Verona </v>
      </c>
      <c r="AC494" s="89" t="str">
        <f t="shared" si="48"/>
        <v xml:space="preserve">Verona </v>
      </c>
      <c r="AE494" s="42">
        <v>1986</v>
      </c>
      <c r="AK494" s="42">
        <v>3</v>
      </c>
      <c r="AL494" s="42">
        <v>2</v>
      </c>
      <c r="AW494" s="89" t="str">
        <v>GROUP_STAGE</v>
      </c>
      <c r="BE494" s="43" t="str">
        <f>IF(OR(DATA_CLEANED!AL485="",DATA_CLEANED!AM485=""),"MANQUANT",IF(OR(NOT(ISNUMBER(DATA_CLEANED!AL485)),NOT(ISNUMBER(DATA_CLEANED!AM485))),"ENTREE INVALIDE",IF(OR(DATA_CLEANED!AL485&lt;0,DATA_CLEANED!AM485&lt;0),"SCORE NEGATIF","OK")))</f>
        <v>OK</v>
      </c>
      <c r="BF494" s="43" t="str">
        <f>IF(DATA_CLEANED!AK485&lt;&gt;DATA_CLEANED!AN485,"OK","ERREUR")</f>
        <v>OK</v>
      </c>
      <c r="BG494" s="43" t="str">
        <f>IF(DATA_CLEANED!AL485&gt;DATA_CLEANED!AM485,DATA_CLEANED!AK485,IF(AND(DATA_QUALITE!W4971="-",DATA_CLEANED!AM485=DATA_CLEANED!AL485),"MATCH NUL",IF(AND(DATA_QUALITE!V4971="-",DATA_QUALITE!U4971="AUCUNE"),DATA_QUALITE!T4971,IF(DATA_QUALITE!V4971&lt;&gt;"-",DATA_QUALITE!V4971,DATA_CLEANED!AN485))))</f>
        <v>Sweden</v>
      </c>
      <c r="BH494" s="103" t="str">
        <f>IF(AND(BG494="MATCH NUL",DATA_CLEANED!AO485="-"),"MATCH_NUL",IF(ISNUMBER(SEARCH("win on penalties",W4971)),"WIN_BY_PENALTY",IF(ISNUMBER(SEARCH("win after extra time",W4971)),"WIN_BY_EXTRA_TIME",IF(ISNUMBER(SEARCH("Golden Goal",W4971)),"WIN_BY_GOLDEN_GOAL","WIN_BY_SCORE"))))</f>
        <v>WIN_BY_SCORE</v>
      </c>
      <c r="BI494" s="99" t="str">
        <f>IF(OR(BG494=DATA_CLEANED!AK485,BG494=DATA_CLEANED!AN485,BG494="MATCH NUL"),"OK","ERREUR")</f>
        <v>OK</v>
      </c>
    </row>
    <row r="495" spans="2:61">
      <c r="B495" s="75">
        <v>58</v>
      </c>
      <c r="C495" s="15" t="str">
        <v>Nkosinathi Sibisi</v>
      </c>
      <c r="D495" s="15">
        <v>30</v>
      </c>
      <c r="E495" s="15" t="str">
        <v>South Africa</v>
      </c>
      <c r="F495" s="15" t="str">
        <v>CB</v>
      </c>
      <c r="G495" s="15" t="str">
        <v>Orlando Pirates</v>
      </c>
      <c r="H495" s="15">
        <v>19</v>
      </c>
      <c r="I495" s="15" t="str">
        <f t="shared" si="44"/>
        <v>58|Nkosinathi Sibisi|30|South Africa|CB|Orlando Pirates|19</v>
      </c>
      <c r="J495" s="15" t="str">
        <f>IF(COUNTIF(I$438:I495,I495)&gt;1,"DOUBLON","OK")</f>
        <v>OK</v>
      </c>
      <c r="S495" s="30" t="str">
        <v>Bulgaria</v>
      </c>
      <c r="T495" s="30" t="str">
        <f t="shared" si="45"/>
        <v>OK</v>
      </c>
      <c r="U495" s="30" t="str">
        <f t="shared" si="46"/>
        <v>-</v>
      </c>
      <c r="V495" s="30" t="str" cm="1">
        <f t="array" ref="V495">_xlfn.IFS(
ISNUMBER(SEARCH("USA",S495)),"United States",
ISNUMBER(SEARCH("Republic of Korea",S495)),"South Korea",
ISNUMBER(SEARCH("Cape Verde",S495)),"Cabo Verde",
ISNUMBER(SEARCH("Czechia",S495)),"Czech Republic",
ISNUMBER(SEARCH("Türkiye",S495)),"Turkey",
ISNUMBER(SEARCH("Ivory Coast",S495)),"Côte d'Ivoire",
ISNUMBER(SEARCH("Korea Republic",S495)),"South Korea",
ISNUMBER(SEARCH("Germany FR",S495)),"FR Germany",
ISNUMBER(SEARCH("West Germany",S495)),"FR Germany",
ISNUMBER(SEARCH("Germany DR",S495)),"DR Germany",
ISNUMBER(SEARCH("Korea DPR",S495)),"North Korea",
ISNUMBER(SEARCH("China PR",S495)),"China",
ISNUMBER(SEARCH("IR Iran",S495)),"Iran",
ISNUMBER(SEARCH("Congo DR",S495)),"Democratic Republic of the Congo",
ISNUMBER(SEARCH("DR Congo",S495)),"Democratic Republic of the Congo",
ISNUMBER(SEARCH("German DR",S495)),"DR Germany",
ISNUMBER(SEARCH("rn""&gt;United Arab Emirates",S495)),"United Arab Emirates",
ISNUMBER(SEARCH("rn""&gt;Republic of Ireland",S495)),"Ireland",
ISNUMBER(SEARCH("rn""&gt;Bosnia and Herzegovina",S495)),"Bosnia and Herzegovina",
ISNUMBER(SEARCH("rn""&gt;Trinidad and Tobago",S495)),"Trinidad and Tobago",
ISNUMBER(SEARCH("rn""&gt;Serbia and Montenegro",S495)),"Serbia and Montenegro",
ISNUMBER(SEARCH(_xlfn.UNICHAR(65533),S495)),"Côte d'Ivoire",
TRUE,""
)</f>
        <v/>
      </c>
      <c r="W495" s="30" t="str">
        <f t="shared" si="47"/>
        <v>Bulgaria</v>
      </c>
      <c r="Z495" s="40" t="str">
        <v>Renato Dall Ara</v>
      </c>
      <c r="AA495" s="40" t="str" cm="1">
        <f t="array" ref="AA495">IFERROR(_xlfn.XLOOKUP(Z495,_xlfn.ANCHORARRAY(Z$31),AA$31:AA$37),Z495)</f>
        <v>Renato Dall Ara</v>
      </c>
      <c r="AB495" s="42" t="str">
        <v xml:space="preserve">Bologna </v>
      </c>
      <c r="AC495" s="89" t="str">
        <f t="shared" si="48"/>
        <v xml:space="preserve">Bologna </v>
      </c>
      <c r="AE495" s="42">
        <v>1990</v>
      </c>
      <c r="AK495" s="42">
        <v>0</v>
      </c>
      <c r="AL495" s="42">
        <v>1</v>
      </c>
      <c r="AW495" s="89" t="str">
        <v>GROUP_STAGE</v>
      </c>
      <c r="BE495" s="43" t="str">
        <f>IF(OR(DATA_CLEANED!AL486="",DATA_CLEANED!AM486=""),"MANQUANT",IF(OR(NOT(ISNUMBER(DATA_CLEANED!AL486)),NOT(ISNUMBER(DATA_CLEANED!AM486))),"ENTREE INVALIDE",IF(OR(DATA_CLEANED!AL486&lt;0,DATA_CLEANED!AM486&lt;0),"SCORE NEGATIF","OK")))</f>
        <v>OK</v>
      </c>
      <c r="BF495" s="43" t="str">
        <f>IF(DATA_CLEANED!AK486&lt;&gt;DATA_CLEANED!AN486,"OK","ERREUR")</f>
        <v>OK</v>
      </c>
      <c r="BG495" s="43" t="str">
        <f>IF(DATA_CLEANED!AL486&gt;DATA_CLEANED!AM486,DATA_CLEANED!AK486,IF(AND(DATA_QUALITE!W4972="-",DATA_CLEANED!AM486=DATA_CLEANED!AL486),"MATCH NUL",IF(AND(DATA_QUALITE!V4972="-",DATA_QUALITE!U4972="AUCUNE"),DATA_QUALITE!T4972,IF(DATA_QUALITE!V4972&lt;&gt;"-",DATA_QUALITE!V4972,DATA_CLEANED!AN486))))</f>
        <v>Brazil</v>
      </c>
      <c r="BH495" s="103" t="str">
        <f>IF(AND(BG495="MATCH NUL",DATA_CLEANED!AO486="-"),"MATCH_NUL",IF(ISNUMBER(SEARCH("win on penalties",W4972)),"WIN_BY_PENALTY",IF(ISNUMBER(SEARCH("win after extra time",W4972)),"WIN_BY_EXTRA_TIME",IF(ISNUMBER(SEARCH("Golden Goal",W4972)),"WIN_BY_GOLDEN_GOAL","WIN_BY_SCORE"))))</f>
        <v>WIN_BY_SCORE</v>
      </c>
      <c r="BI495" s="99" t="str">
        <f>IF(OR(BG495=DATA_CLEANED!AK486,BG495=DATA_CLEANED!AN486,BG495="MATCH NUL"),"OK","ERREUR")</f>
        <v>OK</v>
      </c>
    </row>
    <row r="496" spans="2:61">
      <c r="B496" s="75">
        <v>59</v>
      </c>
      <c r="C496" s="15" t="str">
        <v>Ime Okon</v>
      </c>
      <c r="D496" s="15">
        <v>22</v>
      </c>
      <c r="E496" s="15" t="str">
        <v>South Africa</v>
      </c>
      <c r="F496" s="15" t="str">
        <v>CB</v>
      </c>
      <c r="G496" s="15" t="str">
        <v>Hannover 96</v>
      </c>
      <c r="H496" s="15">
        <v>21</v>
      </c>
      <c r="I496" s="15" t="str">
        <f t="shared" si="44"/>
        <v>59|Ime Okon|22|South Africa|CB|Hannover 96|21</v>
      </c>
      <c r="J496" s="15" t="str">
        <f>IF(COUNTIF(I$438:I496,I496)&gt;1,"DOUBLON","OK")</f>
        <v>OK</v>
      </c>
      <c r="S496" s="30" t="str">
        <v>Bulgaria</v>
      </c>
      <c r="T496" s="30" t="str">
        <f t="shared" si="45"/>
        <v>OK</v>
      </c>
      <c r="U496" s="30" t="str">
        <f t="shared" si="46"/>
        <v>-</v>
      </c>
      <c r="V496" s="30" t="str" cm="1">
        <f t="array" ref="V496">_xlfn.IFS(
ISNUMBER(SEARCH("USA",S496)),"United States",
ISNUMBER(SEARCH("Republic of Korea",S496)),"South Korea",
ISNUMBER(SEARCH("Cape Verde",S496)),"Cabo Verde",
ISNUMBER(SEARCH("Czechia",S496)),"Czech Republic",
ISNUMBER(SEARCH("Türkiye",S496)),"Turkey",
ISNUMBER(SEARCH("Ivory Coast",S496)),"Côte d'Ivoire",
ISNUMBER(SEARCH("Korea Republic",S496)),"South Korea",
ISNUMBER(SEARCH("Germany FR",S496)),"FR Germany",
ISNUMBER(SEARCH("West Germany",S496)),"FR Germany",
ISNUMBER(SEARCH("Germany DR",S496)),"DR Germany",
ISNUMBER(SEARCH("Korea DPR",S496)),"North Korea",
ISNUMBER(SEARCH("China PR",S496)),"China",
ISNUMBER(SEARCH("IR Iran",S496)),"Iran",
ISNUMBER(SEARCH("Congo DR",S496)),"Democratic Republic of the Congo",
ISNUMBER(SEARCH("DR Congo",S496)),"Democratic Republic of the Congo",
ISNUMBER(SEARCH("German DR",S496)),"DR Germany",
ISNUMBER(SEARCH("rn""&gt;United Arab Emirates",S496)),"United Arab Emirates",
ISNUMBER(SEARCH("rn""&gt;Republic of Ireland",S496)),"Ireland",
ISNUMBER(SEARCH("rn""&gt;Bosnia and Herzegovina",S496)),"Bosnia and Herzegovina",
ISNUMBER(SEARCH("rn""&gt;Trinidad and Tobago",S496)),"Trinidad and Tobago",
ISNUMBER(SEARCH("rn""&gt;Serbia and Montenegro",S496)),"Serbia and Montenegro",
ISNUMBER(SEARCH(_xlfn.UNICHAR(65533),S496)),"Côte d'Ivoire",
TRUE,""
)</f>
        <v/>
      </c>
      <c r="W496" s="30" t="str">
        <f t="shared" si="47"/>
        <v>Bulgaria</v>
      </c>
      <c r="Z496" s="40" t="str">
        <v>Comunale</v>
      </c>
      <c r="AA496" s="40" t="str" cm="1">
        <f t="array" ref="AA496">IFERROR(_xlfn.XLOOKUP(Z496,_xlfn.ANCHORARRAY(Z$31),AA$31:AA$37),Z496)</f>
        <v>Comunale</v>
      </c>
      <c r="AB496" s="42" t="str">
        <v xml:space="preserve">Florence </v>
      </c>
      <c r="AC496" s="89" t="str">
        <f t="shared" si="48"/>
        <v xml:space="preserve">Florence </v>
      </c>
      <c r="AE496" s="42">
        <v>1990</v>
      </c>
      <c r="AK496" s="42">
        <v>0</v>
      </c>
      <c r="AL496" s="42">
        <v>2</v>
      </c>
      <c r="AW496" s="89" t="str">
        <v>GROUP_STAGE</v>
      </c>
      <c r="BE496" s="43" t="str">
        <f>IF(OR(DATA_CLEANED!AL487="",DATA_CLEANED!AM487=""),"MANQUANT",IF(OR(NOT(ISNUMBER(DATA_CLEANED!AL487)),NOT(ISNUMBER(DATA_CLEANED!AM487))),"ENTREE INVALIDE",IF(OR(DATA_CLEANED!AL487&lt;0,DATA_CLEANED!AM487&lt;0),"SCORE NEGATIF","OK")))</f>
        <v>OK</v>
      </c>
      <c r="BF496" s="43" t="str">
        <f>IF(DATA_CLEANED!AK487&lt;&gt;DATA_CLEANED!AN487,"OK","ERREUR")</f>
        <v>OK</v>
      </c>
      <c r="BG496" s="43" t="str">
        <f>IF(DATA_CLEANED!AL487&gt;DATA_CLEANED!AM487,DATA_CLEANED!AK487,IF(AND(DATA_QUALITE!W4973="-",DATA_CLEANED!AM487=DATA_CLEANED!AL487),"MATCH NUL",IF(AND(DATA_QUALITE!V4973="-",DATA_QUALITE!U4973="AUCUNE"),DATA_QUALITE!T4973,IF(DATA_QUALITE!V4973&lt;&gt;"-",DATA_QUALITE!V4973,DATA_CLEANED!AN487))))</f>
        <v>Belgium</v>
      </c>
      <c r="BH496" s="103" t="str">
        <f>IF(AND(BG496="MATCH NUL",DATA_CLEANED!AO487="-"),"MATCH_NUL",IF(ISNUMBER(SEARCH("win on penalties",W4973)),"WIN_BY_PENALTY",IF(ISNUMBER(SEARCH("win after extra time",W4973)),"WIN_BY_EXTRA_TIME",IF(ISNUMBER(SEARCH("Golden Goal",W4973)),"WIN_BY_GOLDEN_GOAL","WIN_BY_SCORE"))))</f>
        <v>WIN_BY_SCORE</v>
      </c>
      <c r="BI496" s="99" t="str">
        <f>IF(OR(BG496=DATA_CLEANED!AK487,BG496=DATA_CLEANED!AN487,BG496="MATCH NUL"),"OK","ERREUR")</f>
        <v>OK</v>
      </c>
    </row>
    <row r="497" spans="2:61">
      <c r="B497" s="75">
        <v>60</v>
      </c>
      <c r="C497" s="15" t="str">
        <v>Olwethu Makhanya</v>
      </c>
      <c r="D497" s="15">
        <v>22</v>
      </c>
      <c r="E497" s="15" t="str">
        <v>South Africa</v>
      </c>
      <c r="F497" s="15" t="str">
        <v>CB</v>
      </c>
      <c r="G497" s="15" t="str">
        <v>Philadelphia Union</v>
      </c>
      <c r="H497" s="15">
        <v>24</v>
      </c>
      <c r="I497" s="15" t="str">
        <f t="shared" si="44"/>
        <v>60|Olwethu Makhanya|22|South Africa|CB|Philadelphia Union|24</v>
      </c>
      <c r="J497" s="15" t="str">
        <f>IF(COUNTIF(I$438:I497,I497)&gt;1,"DOUBLON","OK")</f>
        <v>OK</v>
      </c>
      <c r="S497" s="30" t="str">
        <v>Bulgaria</v>
      </c>
      <c r="T497" s="30" t="str">
        <f t="shared" si="45"/>
        <v>OK</v>
      </c>
      <c r="U497" s="30" t="str">
        <f t="shared" si="46"/>
        <v>-</v>
      </c>
      <c r="V497" s="30" t="str" cm="1">
        <f t="array" ref="V497">_xlfn.IFS(
ISNUMBER(SEARCH("USA",S497)),"United States",
ISNUMBER(SEARCH("Republic of Korea",S497)),"South Korea",
ISNUMBER(SEARCH("Cape Verde",S497)),"Cabo Verde",
ISNUMBER(SEARCH("Czechia",S497)),"Czech Republic",
ISNUMBER(SEARCH("Türkiye",S497)),"Turkey",
ISNUMBER(SEARCH("Ivory Coast",S497)),"Côte d'Ivoire",
ISNUMBER(SEARCH("Korea Republic",S497)),"South Korea",
ISNUMBER(SEARCH("Germany FR",S497)),"FR Germany",
ISNUMBER(SEARCH("West Germany",S497)),"FR Germany",
ISNUMBER(SEARCH("Germany DR",S497)),"DR Germany",
ISNUMBER(SEARCH("Korea DPR",S497)),"North Korea",
ISNUMBER(SEARCH("China PR",S497)),"China",
ISNUMBER(SEARCH("IR Iran",S497)),"Iran",
ISNUMBER(SEARCH("Congo DR",S497)),"Democratic Republic of the Congo",
ISNUMBER(SEARCH("DR Congo",S497)),"Democratic Republic of the Congo",
ISNUMBER(SEARCH("German DR",S497)),"DR Germany",
ISNUMBER(SEARCH("rn""&gt;United Arab Emirates",S497)),"United Arab Emirates",
ISNUMBER(SEARCH("rn""&gt;Republic of Ireland",S497)),"Ireland",
ISNUMBER(SEARCH("rn""&gt;Bosnia and Herzegovina",S497)),"Bosnia and Herzegovina",
ISNUMBER(SEARCH("rn""&gt;Trinidad and Tobago",S497)),"Trinidad and Tobago",
ISNUMBER(SEARCH("rn""&gt;Serbia and Montenegro",S497)),"Serbia and Montenegro",
ISNUMBER(SEARCH(_xlfn.UNICHAR(65533),S497)),"Côte d'Ivoire",
TRUE,""
)</f>
        <v/>
      </c>
      <c r="W497" s="30" t="str">
        <f t="shared" si="47"/>
        <v>Bulgaria</v>
      </c>
      <c r="Z497" s="40" t="str">
        <v>Stadio Olimpico</v>
      </c>
      <c r="AA497" s="40" t="str" cm="1">
        <f t="array" ref="AA497">IFERROR(_xlfn.XLOOKUP(Z497,_xlfn.ANCHORARRAY(Z$31),AA$31:AA$37),Z497)</f>
        <v>Stadio Olimpico</v>
      </c>
      <c r="AB497" s="42" t="str">
        <v xml:space="preserve">Rome </v>
      </c>
      <c r="AC497" s="89" t="str">
        <f t="shared" si="48"/>
        <v xml:space="preserve">Rome </v>
      </c>
      <c r="AE497" s="42">
        <v>1990</v>
      </c>
      <c r="AK497" s="42">
        <v>0</v>
      </c>
      <c r="AL497" s="42">
        <v>2</v>
      </c>
      <c r="AW497" s="89" t="str">
        <v>GROUP_STAGE</v>
      </c>
      <c r="BE497" s="43" t="str">
        <f>IF(OR(DATA_CLEANED!AL488="",DATA_CLEANED!AM488=""),"MANQUANT",IF(OR(NOT(ISNUMBER(DATA_CLEANED!AL488)),NOT(ISNUMBER(DATA_CLEANED!AM488))),"ENTREE INVALIDE",IF(OR(DATA_CLEANED!AL488&lt;0,DATA_CLEANED!AM488&lt;0),"SCORE NEGATIF","OK")))</f>
        <v>OK</v>
      </c>
      <c r="BF497" s="43" t="str">
        <f>IF(DATA_CLEANED!AK488&lt;&gt;DATA_CLEANED!AN488,"OK","ERREUR")</f>
        <v>OK</v>
      </c>
      <c r="BG497" s="43" t="str">
        <f>IF(DATA_CLEANED!AL488&gt;DATA_CLEANED!AM488,DATA_CLEANED!AK488,IF(AND(DATA_QUALITE!W4974="-",DATA_CLEANED!AM488=DATA_CLEANED!AL488),"MATCH NUL",IF(AND(DATA_QUALITE!V4974="-",DATA_QUALITE!U4974="AUCUNE"),DATA_QUALITE!T4974,IF(DATA_QUALITE!V4974&lt;&gt;"-",DATA_QUALITE!V4974,DATA_CLEANED!AN488))))</f>
        <v>Saudi Arabia</v>
      </c>
      <c r="BH497" s="103" t="str">
        <f>IF(AND(BG497="MATCH NUL",DATA_CLEANED!AO488="-"),"MATCH_NUL",IF(ISNUMBER(SEARCH("win on penalties",W4974)),"WIN_BY_PENALTY",IF(ISNUMBER(SEARCH("win after extra time",W4974)),"WIN_BY_EXTRA_TIME",IF(ISNUMBER(SEARCH("Golden Goal",W4974)),"WIN_BY_GOLDEN_GOAL","WIN_BY_SCORE"))))</f>
        <v>WIN_BY_SCORE</v>
      </c>
      <c r="BI497" s="99" t="str">
        <f>IF(OR(BG497=DATA_CLEANED!AK488,BG497=DATA_CLEANED!AN488,BG497="MATCH NUL"),"OK","ERREUR")</f>
        <v>OK</v>
      </c>
    </row>
    <row r="498" spans="2:61">
      <c r="B498" s="75">
        <v>61</v>
      </c>
      <c r="C498" s="15" t="str">
        <v>Aubrey Modiba</v>
      </c>
      <c r="D498" s="15">
        <v>30</v>
      </c>
      <c r="E498" s="15" t="str">
        <v>South Africa</v>
      </c>
      <c r="F498" s="15" t="str">
        <v>LB</v>
      </c>
      <c r="G498" s="15" t="str">
        <v>Mamelodi Sundowns</v>
      </c>
      <c r="H498" s="15">
        <v>6</v>
      </c>
      <c r="I498" s="15" t="str">
        <f t="shared" si="44"/>
        <v>61|Aubrey Modiba|30|South Africa|LB|Mamelodi Sundowns|6</v>
      </c>
      <c r="J498" s="15" t="str">
        <f>IF(COUNTIF(I$438:I498,I498)&gt;1,"DOUBLON","OK")</f>
        <v>OK</v>
      </c>
      <c r="S498" s="30" t="str">
        <v>Bulgaria</v>
      </c>
      <c r="T498" s="30" t="str">
        <f t="shared" si="45"/>
        <v>OK</v>
      </c>
      <c r="U498" s="30" t="str">
        <f t="shared" si="46"/>
        <v>-</v>
      </c>
      <c r="V498" s="30" t="str" cm="1">
        <f t="array" ref="V498">_xlfn.IFS(
ISNUMBER(SEARCH("USA",S498)),"United States",
ISNUMBER(SEARCH("Republic of Korea",S498)),"South Korea",
ISNUMBER(SEARCH("Cape Verde",S498)),"Cabo Verde",
ISNUMBER(SEARCH("Czechia",S498)),"Czech Republic",
ISNUMBER(SEARCH("Türkiye",S498)),"Turkey",
ISNUMBER(SEARCH("Ivory Coast",S498)),"Côte d'Ivoire",
ISNUMBER(SEARCH("Korea Republic",S498)),"South Korea",
ISNUMBER(SEARCH("Germany FR",S498)),"FR Germany",
ISNUMBER(SEARCH("West Germany",S498)),"FR Germany",
ISNUMBER(SEARCH("Germany DR",S498)),"DR Germany",
ISNUMBER(SEARCH("Korea DPR",S498)),"North Korea",
ISNUMBER(SEARCH("China PR",S498)),"China",
ISNUMBER(SEARCH("IR Iran",S498)),"Iran",
ISNUMBER(SEARCH("Congo DR",S498)),"Democratic Republic of the Congo",
ISNUMBER(SEARCH("DR Congo",S498)),"Democratic Republic of the Congo",
ISNUMBER(SEARCH("German DR",S498)),"DR Germany",
ISNUMBER(SEARCH("rn""&gt;United Arab Emirates",S498)),"United Arab Emirates",
ISNUMBER(SEARCH("rn""&gt;Republic of Ireland",S498)),"Ireland",
ISNUMBER(SEARCH("rn""&gt;Bosnia and Herzegovina",S498)),"Bosnia and Herzegovina",
ISNUMBER(SEARCH("rn""&gt;Trinidad and Tobago",S498)),"Trinidad and Tobago",
ISNUMBER(SEARCH("rn""&gt;Serbia and Montenegro",S498)),"Serbia and Montenegro",
ISNUMBER(SEARCH(_xlfn.UNICHAR(65533),S498)),"Côte d'Ivoire",
TRUE,""
)</f>
        <v/>
      </c>
      <c r="W498" s="30" t="str">
        <f t="shared" si="47"/>
        <v>Bulgaria</v>
      </c>
      <c r="Z498" s="40" t="str">
        <v>Giuseppe Meazza</v>
      </c>
      <c r="AA498" s="40" t="str" cm="1">
        <f t="array" ref="AA498">IFERROR(_xlfn.XLOOKUP(Z498,_xlfn.ANCHORARRAY(Z$31),AA$31:AA$37),Z498)</f>
        <v>Giuseppe Meazza</v>
      </c>
      <c r="AB498" s="42" t="str">
        <v xml:space="preserve">Milan </v>
      </c>
      <c r="AC498" s="89" t="str">
        <f t="shared" si="48"/>
        <v xml:space="preserve">Milan </v>
      </c>
      <c r="AE498" s="42">
        <v>1990</v>
      </c>
      <c r="AK498" s="42">
        <v>1</v>
      </c>
      <c r="AL498" s="42">
        <v>0</v>
      </c>
      <c r="AW498" s="89" t="str">
        <v>GROUP_STAGE</v>
      </c>
      <c r="BE498" s="43" t="str">
        <f>IF(OR(DATA_CLEANED!AL489="",DATA_CLEANED!AM489=""),"MANQUANT",IF(OR(NOT(ISNUMBER(DATA_CLEANED!AL489)),NOT(ISNUMBER(DATA_CLEANED!AM489))),"ENTREE INVALIDE",IF(OR(DATA_CLEANED!AL489&lt;0,DATA_CLEANED!AM489&lt;0),"SCORE NEGATIF","OK")))</f>
        <v>OK</v>
      </c>
      <c r="BF498" s="43" t="str">
        <f>IF(DATA_CLEANED!AK489&lt;&gt;DATA_CLEANED!AN489,"OK","ERREUR")</f>
        <v>OK</v>
      </c>
      <c r="BG498" s="43" t="str">
        <f>IF(DATA_CLEANED!AL489&gt;DATA_CLEANED!AM489,DATA_CLEANED!AK489,IF(AND(DATA_QUALITE!W4975="-",DATA_CLEANED!AM489=DATA_CLEANED!AL489),"MATCH NUL",IF(AND(DATA_QUALITE!V4975="-",DATA_QUALITE!U4975="AUCUNE"),DATA_QUALITE!T4975,IF(DATA_QUALITE!V4975&lt;&gt;"-",DATA_QUALITE!V4975,DATA_CLEANED!AN489))))</f>
        <v>Argentina</v>
      </c>
      <c r="BH498" s="103" t="str">
        <f>IF(AND(BG498="MATCH NUL",DATA_CLEANED!AO489="-"),"MATCH_NUL",IF(ISNUMBER(SEARCH("win on penalties",W4975)),"WIN_BY_PENALTY",IF(ISNUMBER(SEARCH("win after extra time",W4975)),"WIN_BY_EXTRA_TIME",IF(ISNUMBER(SEARCH("Golden Goal",W4975)),"WIN_BY_GOLDEN_GOAL","WIN_BY_SCORE"))))</f>
        <v>WIN_BY_SCORE</v>
      </c>
      <c r="BI498" s="99" t="str">
        <f>IF(OR(BG498=DATA_CLEANED!AK489,BG498=DATA_CLEANED!AN489,BG498="MATCH NUL"),"OK","ERREUR")</f>
        <v>OK</v>
      </c>
    </row>
    <row r="499" spans="2:61">
      <c r="B499" s="75">
        <v>62</v>
      </c>
      <c r="C499" s="15" t="str">
        <v>Samukele Kabini</v>
      </c>
      <c r="D499" s="15">
        <v>22</v>
      </c>
      <c r="E499" s="15" t="str">
        <v>South Africa</v>
      </c>
      <c r="F499" s="15" t="str">
        <v>LB</v>
      </c>
      <c r="G499" s="15" t="str">
        <v>Molde</v>
      </c>
      <c r="H499" s="15">
        <v>18</v>
      </c>
      <c r="I499" s="15" t="str">
        <f t="shared" si="44"/>
        <v>62|Samukele Kabini|22|South Africa|LB|Molde|18</v>
      </c>
      <c r="J499" s="15" t="str">
        <f>IF(COUNTIF(I$438:I499,I499)&gt;1,"DOUBLON","OK")</f>
        <v>OK</v>
      </c>
      <c r="S499" s="30" t="str">
        <v>Bulgaria</v>
      </c>
      <c r="T499" s="30" t="str">
        <f t="shared" si="45"/>
        <v>OK</v>
      </c>
      <c r="U499" s="30" t="str">
        <f t="shared" si="46"/>
        <v>-</v>
      </c>
      <c r="V499" s="30" t="str" cm="1">
        <f t="array" ref="V499">_xlfn.IFS(
ISNUMBER(SEARCH("USA",S499)),"United States",
ISNUMBER(SEARCH("Republic of Korea",S499)),"South Korea",
ISNUMBER(SEARCH("Cape Verde",S499)),"Cabo Verde",
ISNUMBER(SEARCH("Czechia",S499)),"Czech Republic",
ISNUMBER(SEARCH("Türkiye",S499)),"Turkey",
ISNUMBER(SEARCH("Ivory Coast",S499)),"Côte d'Ivoire",
ISNUMBER(SEARCH("Korea Republic",S499)),"South Korea",
ISNUMBER(SEARCH("Germany FR",S499)),"FR Germany",
ISNUMBER(SEARCH("West Germany",S499)),"FR Germany",
ISNUMBER(SEARCH("Germany DR",S499)),"DR Germany",
ISNUMBER(SEARCH("Korea DPR",S499)),"North Korea",
ISNUMBER(SEARCH("China PR",S499)),"China",
ISNUMBER(SEARCH("IR Iran",S499)),"Iran",
ISNUMBER(SEARCH("Congo DR",S499)),"Democratic Republic of the Congo",
ISNUMBER(SEARCH("DR Congo",S499)),"Democratic Republic of the Congo",
ISNUMBER(SEARCH("German DR",S499)),"DR Germany",
ISNUMBER(SEARCH("rn""&gt;United Arab Emirates",S499)),"United Arab Emirates",
ISNUMBER(SEARCH("rn""&gt;Republic of Ireland",S499)),"Ireland",
ISNUMBER(SEARCH("rn""&gt;Bosnia and Herzegovina",S499)),"Bosnia and Herzegovina",
ISNUMBER(SEARCH("rn""&gt;Trinidad and Tobago",S499)),"Trinidad and Tobago",
ISNUMBER(SEARCH("rn""&gt;Serbia and Montenegro",S499)),"Serbia and Montenegro",
ISNUMBER(SEARCH(_xlfn.UNICHAR(65533),S499)),"Côte d'Ivoire",
TRUE,""
)</f>
        <v/>
      </c>
      <c r="W499" s="30" t="str">
        <f t="shared" si="47"/>
        <v>Bulgaria</v>
      </c>
      <c r="Z499" s="40" t="str">
        <v>San Paolo</v>
      </c>
      <c r="AA499" s="40" t="str" cm="1">
        <f t="array" ref="AA499">IFERROR(_xlfn.XLOOKUP(Z499,_xlfn.ANCHORARRAY(Z$31),AA$31:AA$37),Z499)</f>
        <v>San Paolo</v>
      </c>
      <c r="AB499" s="42" t="str">
        <v xml:space="preserve">Naples </v>
      </c>
      <c r="AC499" s="89" t="str">
        <f t="shared" si="48"/>
        <v xml:space="preserve">Naples </v>
      </c>
      <c r="AE499" s="42">
        <v>1990</v>
      </c>
      <c r="AK499" s="42">
        <v>1</v>
      </c>
      <c r="AL499" s="42">
        <v>5</v>
      </c>
      <c r="AW499" s="89" t="str">
        <v>GROUP_STAGE</v>
      </c>
      <c r="BE499" s="43" t="str">
        <f>IF(OR(DATA_CLEANED!AL490="",DATA_CLEANED!AM490=""),"MANQUANT",IF(OR(NOT(ISNUMBER(DATA_CLEANED!AL490)),NOT(ISNUMBER(DATA_CLEANED!AM490))),"ENTREE INVALIDE",IF(OR(DATA_CLEANED!AL490&lt;0,DATA_CLEANED!AM490&lt;0),"SCORE NEGATIF","OK")))</f>
        <v>OK</v>
      </c>
      <c r="BF499" s="43" t="str">
        <f>IF(DATA_CLEANED!AK490&lt;&gt;DATA_CLEANED!AN490,"OK","ERREUR")</f>
        <v>OK</v>
      </c>
      <c r="BG499" s="43" t="str">
        <f>IF(DATA_CLEANED!AL490&gt;DATA_CLEANED!AM490,DATA_CLEANED!AK490,IF(AND(DATA_QUALITE!W4976="-",DATA_CLEANED!AM490=DATA_CLEANED!AL490),"MATCH NUL",IF(AND(DATA_QUALITE!V4976="-",DATA_QUALITE!U4976="AUCUNE"),DATA_QUALITE!T4976,IF(DATA_QUALITE!V4976&lt;&gt;"-",DATA_QUALITE!V4976,DATA_CLEANED!AN490))))</f>
        <v>Bulgaria</v>
      </c>
      <c r="BH499" s="103" t="str">
        <f>IF(AND(BG499="MATCH NUL",DATA_CLEANED!AO490="-"),"MATCH_NUL",IF(ISNUMBER(SEARCH("win on penalties",W4976)),"WIN_BY_PENALTY",IF(ISNUMBER(SEARCH("win after extra time",W4976)),"WIN_BY_EXTRA_TIME",IF(ISNUMBER(SEARCH("Golden Goal",W4976)),"WIN_BY_GOLDEN_GOAL","WIN_BY_SCORE"))))</f>
        <v>WIN_BY_SCORE</v>
      </c>
      <c r="BI499" s="99" t="str">
        <f>IF(OR(BG499=DATA_CLEANED!AK490,BG499=DATA_CLEANED!AN490,BG499="MATCH NUL"),"OK","ERREUR")</f>
        <v>OK</v>
      </c>
    </row>
    <row r="500" spans="2:61">
      <c r="B500" s="75">
        <v>63</v>
      </c>
      <c r="C500" s="15" t="str">
        <v>Bradley Cross</v>
      </c>
      <c r="D500" s="15">
        <v>25</v>
      </c>
      <c r="E500" s="15" t="str">
        <v>South Africa</v>
      </c>
      <c r="F500" s="15" t="str">
        <v>LB</v>
      </c>
      <c r="G500" s="15" t="str">
        <v>Kaizer Chiefs</v>
      </c>
      <c r="H500" s="15">
        <v>26</v>
      </c>
      <c r="I500" s="15" t="str">
        <f t="shared" si="44"/>
        <v>63|Bradley Cross|25|South Africa|LB|Kaizer Chiefs|26</v>
      </c>
      <c r="J500" s="15" t="str">
        <f>IF(COUNTIF(I$438:I500,I500)&gt;1,"DOUBLON","OK")</f>
        <v>OK</v>
      </c>
      <c r="S500" s="30" t="str">
        <v>Sweden</v>
      </c>
      <c r="T500" s="30" t="str">
        <f t="shared" si="45"/>
        <v>OK</v>
      </c>
      <c r="U500" s="30" t="str">
        <f t="shared" si="46"/>
        <v>-</v>
      </c>
      <c r="V500" s="30" t="str" cm="1">
        <f t="array" ref="V500">_xlfn.IFS(
ISNUMBER(SEARCH("USA",S500)),"United States",
ISNUMBER(SEARCH("Republic of Korea",S500)),"South Korea",
ISNUMBER(SEARCH("Cape Verde",S500)),"Cabo Verde",
ISNUMBER(SEARCH("Czechia",S500)),"Czech Republic",
ISNUMBER(SEARCH("Türkiye",S500)),"Turkey",
ISNUMBER(SEARCH("Ivory Coast",S500)),"Côte d'Ivoire",
ISNUMBER(SEARCH("Korea Republic",S500)),"South Korea",
ISNUMBER(SEARCH("Germany FR",S500)),"FR Germany",
ISNUMBER(SEARCH("West Germany",S500)),"FR Germany",
ISNUMBER(SEARCH("Germany DR",S500)),"DR Germany",
ISNUMBER(SEARCH("Korea DPR",S500)),"North Korea",
ISNUMBER(SEARCH("China PR",S500)),"China",
ISNUMBER(SEARCH("IR Iran",S500)),"Iran",
ISNUMBER(SEARCH("Congo DR",S500)),"Democratic Republic of the Congo",
ISNUMBER(SEARCH("DR Congo",S500)),"Democratic Republic of the Congo",
ISNUMBER(SEARCH("German DR",S500)),"DR Germany",
ISNUMBER(SEARCH("rn""&gt;United Arab Emirates",S500)),"United Arab Emirates",
ISNUMBER(SEARCH("rn""&gt;Republic of Ireland",S500)),"Ireland",
ISNUMBER(SEARCH("rn""&gt;Bosnia and Herzegovina",S500)),"Bosnia and Herzegovina",
ISNUMBER(SEARCH("rn""&gt;Trinidad and Tobago",S500)),"Trinidad and Tobago",
ISNUMBER(SEARCH("rn""&gt;Serbia and Montenegro",S500)),"Serbia and Montenegro",
ISNUMBER(SEARCH(_xlfn.UNICHAR(65533),S500)),"Côte d'Ivoire",
TRUE,""
)</f>
        <v/>
      </c>
      <c r="W500" s="30" t="str">
        <f t="shared" si="47"/>
        <v>Sweden</v>
      </c>
      <c r="Z500" s="40" t="str">
        <v>San Paolo</v>
      </c>
      <c r="AA500" s="40" t="str" cm="1">
        <f t="array" ref="AA500">IFERROR(_xlfn.XLOOKUP(Z500,_xlfn.ANCHORARRAY(Z$31),AA$31:AA$37),Z500)</f>
        <v>San Paolo</v>
      </c>
      <c r="AB500" s="42" t="str">
        <v xml:space="preserve">Naples </v>
      </c>
      <c r="AC500" s="89" t="str">
        <f t="shared" si="48"/>
        <v xml:space="preserve">Naples </v>
      </c>
      <c r="AE500" s="42">
        <v>1990</v>
      </c>
      <c r="AK500" s="42">
        <v>2</v>
      </c>
      <c r="AL500" s="42">
        <v>1</v>
      </c>
      <c r="AW500" s="89" t="str">
        <v>GROUP_STAGE</v>
      </c>
      <c r="BE500" s="43" t="str">
        <f>IF(OR(DATA_CLEANED!AL491="",DATA_CLEANED!AM491=""),"MANQUANT",IF(OR(NOT(ISNUMBER(DATA_CLEANED!AL491)),NOT(ISNUMBER(DATA_CLEANED!AM491))),"ENTREE INVALIDE",IF(OR(DATA_CLEANED!AL491&lt;0,DATA_CLEANED!AM491&lt;0),"SCORE NEGATIF","OK")))</f>
        <v>OK</v>
      </c>
      <c r="BF500" s="43" t="str">
        <f>IF(DATA_CLEANED!AK491&lt;&gt;DATA_CLEANED!AN491,"OK","ERREUR")</f>
        <v>OK</v>
      </c>
      <c r="BG500" s="43" t="str">
        <f>IF(DATA_CLEANED!AL491&gt;DATA_CLEANED!AM491,DATA_CLEANED!AK491,IF(AND(DATA_QUALITE!W4977="-",DATA_CLEANED!AM491=DATA_CLEANED!AL491),"MATCH NUL",IF(AND(DATA_QUALITE!V4977="-",DATA_QUALITE!U4977="AUCUNE"),DATA_QUALITE!T4977,IF(DATA_QUALITE!V4977&lt;&gt;"-",DATA_QUALITE!V4977,DATA_CLEANED!AN491))))</f>
        <v>Romania</v>
      </c>
      <c r="BH500" s="103" t="str">
        <f>IF(AND(BG500="MATCH NUL",DATA_CLEANED!AO491="-"),"MATCH_NUL",IF(ISNUMBER(SEARCH("win on penalties",W4977)),"WIN_BY_PENALTY",IF(ISNUMBER(SEARCH("win after extra time",W4977)),"WIN_BY_EXTRA_TIME",IF(ISNUMBER(SEARCH("Golden Goal",W4977)),"WIN_BY_GOLDEN_GOAL","WIN_BY_SCORE"))))</f>
        <v>WIN_BY_SCORE</v>
      </c>
      <c r="BI500" s="99" t="str">
        <f>IF(OR(BG500=DATA_CLEANED!AK491,BG500=DATA_CLEANED!AN491,BG500="MATCH NUL"),"OK","ERREUR")</f>
        <v>OK</v>
      </c>
    </row>
    <row r="501" spans="2:61">
      <c r="B501" s="75">
        <v>64</v>
      </c>
      <c r="C501" s="15" t="str">
        <v>Thabang Matuludi</v>
      </c>
      <c r="D501" s="15">
        <v>27</v>
      </c>
      <c r="E501" s="15" t="str">
        <v>South Africa</v>
      </c>
      <c r="F501" s="15" t="str">
        <v>RB</v>
      </c>
      <c r="G501" s="15" t="str">
        <v>Polokwane City</v>
      </c>
      <c r="H501" s="15">
        <v>2</v>
      </c>
      <c r="I501" s="15" t="str">
        <f t="shared" si="44"/>
        <v>64|Thabang Matuludi|27|South Africa|RB|Polokwane City|2</v>
      </c>
      <c r="J501" s="15" t="str">
        <f>IF(COUNTIF(I$438:I501,I501)&gt;1,"DOUBLON","OK")</f>
        <v>OK</v>
      </c>
      <c r="S501" s="30" t="str">
        <v>Sweden</v>
      </c>
      <c r="T501" s="30" t="str">
        <f t="shared" si="45"/>
        <v>OK</v>
      </c>
      <c r="U501" s="30" t="str">
        <f t="shared" si="46"/>
        <v>-</v>
      </c>
      <c r="V501" s="30" t="str" cm="1">
        <f t="array" ref="V501">_xlfn.IFS(
ISNUMBER(SEARCH("USA",S501)),"United States",
ISNUMBER(SEARCH("Republic of Korea",S501)),"South Korea",
ISNUMBER(SEARCH("Cape Verde",S501)),"Cabo Verde",
ISNUMBER(SEARCH("Czechia",S501)),"Czech Republic",
ISNUMBER(SEARCH("Türkiye",S501)),"Turkey",
ISNUMBER(SEARCH("Ivory Coast",S501)),"Côte d'Ivoire",
ISNUMBER(SEARCH("Korea Republic",S501)),"South Korea",
ISNUMBER(SEARCH("Germany FR",S501)),"FR Germany",
ISNUMBER(SEARCH("West Germany",S501)),"FR Germany",
ISNUMBER(SEARCH("Germany DR",S501)),"DR Germany",
ISNUMBER(SEARCH("Korea DPR",S501)),"North Korea",
ISNUMBER(SEARCH("China PR",S501)),"China",
ISNUMBER(SEARCH("IR Iran",S501)),"Iran",
ISNUMBER(SEARCH("Congo DR",S501)),"Democratic Republic of the Congo",
ISNUMBER(SEARCH("DR Congo",S501)),"Democratic Republic of the Congo",
ISNUMBER(SEARCH("German DR",S501)),"DR Germany",
ISNUMBER(SEARCH("rn""&gt;United Arab Emirates",S501)),"United Arab Emirates",
ISNUMBER(SEARCH("rn""&gt;Republic of Ireland",S501)),"Ireland",
ISNUMBER(SEARCH("rn""&gt;Bosnia and Herzegovina",S501)),"Bosnia and Herzegovina",
ISNUMBER(SEARCH("rn""&gt;Trinidad and Tobago",S501)),"Trinidad and Tobago",
ISNUMBER(SEARCH("rn""&gt;Serbia and Montenegro",S501)),"Serbia and Montenegro",
ISNUMBER(SEARCH(_xlfn.UNICHAR(65533),S501)),"Côte d'Ivoire",
TRUE,""
)</f>
        <v/>
      </c>
      <c r="W501" s="30" t="str">
        <f t="shared" si="47"/>
        <v>Sweden</v>
      </c>
      <c r="Z501" s="40" t="str">
        <v>Stadio delle Alpi</v>
      </c>
      <c r="AA501" s="40" t="str" cm="1">
        <f t="array" ref="AA501">IFERROR(_xlfn.XLOOKUP(Z501,_xlfn.ANCHORARRAY(Z$31),AA$31:AA$37),Z501)</f>
        <v>Stadio delle Alpi</v>
      </c>
      <c r="AB501" s="42" t="str">
        <v xml:space="preserve">Turin </v>
      </c>
      <c r="AC501" s="89" t="str">
        <f t="shared" si="48"/>
        <v xml:space="preserve">Turin </v>
      </c>
      <c r="AE501" s="42">
        <v>1990</v>
      </c>
      <c r="AK501" s="42">
        <v>4</v>
      </c>
      <c r="AL501" s="42">
        <v>1</v>
      </c>
      <c r="AW501" s="89" t="str">
        <v>GROUP_STAGE</v>
      </c>
      <c r="BE501" s="43" t="str">
        <f>IF(OR(DATA_CLEANED!AL492="",DATA_CLEANED!AM492=""),"MANQUANT",IF(OR(NOT(ISNUMBER(DATA_CLEANED!AL492)),NOT(ISNUMBER(DATA_CLEANED!AM492))),"ENTREE INVALIDE",IF(OR(DATA_CLEANED!AL492&lt;0,DATA_CLEANED!AM492&lt;0),"SCORE NEGATIF","OK")))</f>
        <v>OK</v>
      </c>
      <c r="BF501" s="43" t="str">
        <f>IF(DATA_CLEANED!AK492&lt;&gt;DATA_CLEANED!AN492,"OK","ERREUR")</f>
        <v>OK</v>
      </c>
      <c r="BG501" s="43" t="str">
        <f>IF(DATA_CLEANED!AL492&gt;DATA_CLEANED!AM492,DATA_CLEANED!AK492,IF(AND(DATA_QUALITE!W4978="-",DATA_CLEANED!AM492=DATA_CLEANED!AL492),"MATCH NUL",IF(AND(DATA_QUALITE!V4978="-",DATA_QUALITE!U4978="AUCUNE"),DATA_QUALITE!T4978,IF(DATA_QUALITE!V4978&lt;&gt;"-",DATA_QUALITE!V4978,DATA_CLEANED!AN492))))</f>
        <v>Colombia</v>
      </c>
      <c r="BH501" s="103" t="str">
        <f>IF(AND(BG501="MATCH NUL",DATA_CLEANED!AO492="-"),"MATCH_NUL",IF(ISNUMBER(SEARCH("win on penalties",W4978)),"WIN_BY_PENALTY",IF(ISNUMBER(SEARCH("win after extra time",W4978)),"WIN_BY_EXTRA_TIME",IF(ISNUMBER(SEARCH("Golden Goal",W4978)),"WIN_BY_GOLDEN_GOAL","WIN_BY_SCORE"))))</f>
        <v>WIN_BY_SCORE</v>
      </c>
      <c r="BI501" s="99" t="str">
        <f>IF(OR(BG501=DATA_CLEANED!AK492,BG501=DATA_CLEANED!AN492,BG501="MATCH NUL"),"OK","ERREUR")</f>
        <v>OK</v>
      </c>
    </row>
    <row r="502" spans="2:61">
      <c r="B502" s="75">
        <v>65</v>
      </c>
      <c r="C502" s="15" t="str">
        <v>Khuliso Mudau</v>
      </c>
      <c r="D502" s="15">
        <v>31</v>
      </c>
      <c r="E502" s="15" t="str">
        <v>South Africa</v>
      </c>
      <c r="F502" s="15" t="str">
        <v>RB</v>
      </c>
      <c r="G502" s="15" t="str">
        <v>Mamelodi Sundowns</v>
      </c>
      <c r="H502" s="15">
        <v>20</v>
      </c>
      <c r="I502" s="15" t="str">
        <f t="shared" si="44"/>
        <v>65|Khuliso Mudau|31|South Africa|RB|Mamelodi Sundowns|20</v>
      </c>
      <c r="J502" s="15" t="str">
        <f>IF(COUNTIF(I$438:I502,I502)&gt;1,"DOUBLON","OK")</f>
        <v>OK</v>
      </c>
      <c r="S502" s="30" t="str">
        <v>Sweden</v>
      </c>
      <c r="T502" s="30" t="str">
        <f t="shared" si="45"/>
        <v>OK</v>
      </c>
      <c r="U502" s="30" t="str">
        <f t="shared" si="46"/>
        <v>-</v>
      </c>
      <c r="V502" s="30" t="str" cm="1">
        <f t="array" ref="V502">_xlfn.IFS(
ISNUMBER(SEARCH("USA",S502)),"United States",
ISNUMBER(SEARCH("Republic of Korea",S502)),"South Korea",
ISNUMBER(SEARCH("Cape Verde",S502)),"Cabo Verde",
ISNUMBER(SEARCH("Czechia",S502)),"Czech Republic",
ISNUMBER(SEARCH("Türkiye",S502)),"Turkey",
ISNUMBER(SEARCH("Ivory Coast",S502)),"Côte d'Ivoire",
ISNUMBER(SEARCH("Korea Republic",S502)),"South Korea",
ISNUMBER(SEARCH("Germany FR",S502)),"FR Germany",
ISNUMBER(SEARCH("West Germany",S502)),"FR Germany",
ISNUMBER(SEARCH("Germany DR",S502)),"DR Germany",
ISNUMBER(SEARCH("Korea DPR",S502)),"North Korea",
ISNUMBER(SEARCH("China PR",S502)),"China",
ISNUMBER(SEARCH("IR Iran",S502)),"Iran",
ISNUMBER(SEARCH("Congo DR",S502)),"Democratic Republic of the Congo",
ISNUMBER(SEARCH("DR Congo",S502)),"Democratic Republic of the Congo",
ISNUMBER(SEARCH("German DR",S502)),"DR Germany",
ISNUMBER(SEARCH("rn""&gt;United Arab Emirates",S502)),"United Arab Emirates",
ISNUMBER(SEARCH("rn""&gt;Republic of Ireland",S502)),"Ireland",
ISNUMBER(SEARCH("rn""&gt;Bosnia and Herzegovina",S502)),"Bosnia and Herzegovina",
ISNUMBER(SEARCH("rn""&gt;Trinidad and Tobago",S502)),"Trinidad and Tobago",
ISNUMBER(SEARCH("rn""&gt;Serbia and Montenegro",S502)),"Serbia and Montenegro",
ISNUMBER(SEARCH(_xlfn.UNICHAR(65533),S502)),"Côte d'Ivoire",
TRUE,""
)</f>
        <v/>
      </c>
      <c r="W502" s="30" t="str">
        <f t="shared" si="47"/>
        <v>Sweden</v>
      </c>
      <c r="Z502" s="40" t="str">
        <v>Stadio San Nicola</v>
      </c>
      <c r="AA502" s="40" t="str" cm="1">
        <f t="array" ref="AA502">IFERROR(_xlfn.XLOOKUP(Z502,_xlfn.ANCHORARRAY(Z$31),AA$31:AA$37),Z502)</f>
        <v>Stadio San Nicola</v>
      </c>
      <c r="AB502" s="42" t="str">
        <v xml:space="preserve">Bari </v>
      </c>
      <c r="AC502" s="89" t="str">
        <f t="shared" si="48"/>
        <v xml:space="preserve">Bari </v>
      </c>
      <c r="AE502" s="42">
        <v>1990</v>
      </c>
      <c r="AK502" s="42">
        <v>1</v>
      </c>
      <c r="AL502" s="42">
        <v>0</v>
      </c>
      <c r="AW502" s="89" t="str">
        <v>GROUP_STAGE</v>
      </c>
      <c r="BE502" s="43" t="str">
        <f>IF(OR(DATA_CLEANED!AL493="",DATA_CLEANED!AM493=""),"MANQUANT",IF(OR(NOT(ISNUMBER(DATA_CLEANED!AL493)),NOT(ISNUMBER(DATA_CLEANED!AM493))),"ENTREE INVALIDE",IF(OR(DATA_CLEANED!AL493&lt;0,DATA_CLEANED!AM493&lt;0),"SCORE NEGATIF","OK")))</f>
        <v>OK</v>
      </c>
      <c r="BF502" s="43" t="str">
        <f>IF(DATA_CLEANED!AK493&lt;&gt;DATA_CLEANED!AN493,"OK","ERREUR")</f>
        <v>OK</v>
      </c>
      <c r="BG502" s="43" t="str">
        <f>IF(DATA_CLEANED!AL493&gt;DATA_CLEANED!AM493,DATA_CLEANED!AK493,IF(AND(DATA_QUALITE!W4979="-",DATA_CLEANED!AM493=DATA_CLEANED!AL493),"MATCH NUL",IF(AND(DATA_QUALITE!V4979="-",DATA_QUALITE!U4979="AUCUNE"),DATA_QUALITE!T4979,IF(DATA_QUALITE!V4979&lt;&gt;"-",DATA_QUALITE!V4979,DATA_CLEANED!AN493))))</f>
        <v>Germany</v>
      </c>
      <c r="BH502" s="103" t="str">
        <f>IF(AND(BG502="MATCH NUL",DATA_CLEANED!AO493="-"),"MATCH_NUL",IF(ISNUMBER(SEARCH("win on penalties",W4979)),"WIN_BY_PENALTY",IF(ISNUMBER(SEARCH("win after extra time",W4979)),"WIN_BY_EXTRA_TIME",IF(ISNUMBER(SEARCH("Golden Goal",W4979)),"WIN_BY_GOLDEN_GOAL","WIN_BY_SCORE"))))</f>
        <v>WIN_BY_SCORE</v>
      </c>
      <c r="BI502" s="99" t="str">
        <f>IF(OR(BG502=DATA_CLEANED!AK493,BG502=DATA_CLEANED!AN493,BG502="MATCH NUL"),"OK","ERREUR")</f>
        <v>OK</v>
      </c>
    </row>
    <row r="503" spans="2:61">
      <c r="B503" s="75">
        <v>66</v>
      </c>
      <c r="C503" s="15" t="str">
        <v>Teboho Mokoena</v>
      </c>
      <c r="D503" s="15">
        <v>29</v>
      </c>
      <c r="E503" s="15" t="str">
        <v>South Africa</v>
      </c>
      <c r="F503" s="15" t="str">
        <v>CDM</v>
      </c>
      <c r="G503" s="15" t="str">
        <v>Mamelodi Sundowns</v>
      </c>
      <c r="H503" s="15">
        <v>4</v>
      </c>
      <c r="I503" s="15" t="str">
        <f t="shared" ref="I503:I566" si="49">B503&amp;"|"&amp;C503&amp;"|"&amp;D503&amp;"|"&amp;E503&amp;"|"&amp;F503&amp;"|"&amp;G503&amp;"|"&amp;H503</f>
        <v>66|Teboho Mokoena|29|South Africa|CDM|Mamelodi Sundowns|4</v>
      </c>
      <c r="J503" s="15" t="str">
        <f>IF(COUNTIF(I$438:I503,I503)&gt;1,"DOUBLON","OK")</f>
        <v>OK</v>
      </c>
      <c r="S503" s="30" t="str">
        <v>Sweden</v>
      </c>
      <c r="T503" s="30" t="str">
        <f t="shared" si="45"/>
        <v>OK</v>
      </c>
      <c r="U503" s="30" t="str">
        <f t="shared" si="46"/>
        <v>-</v>
      </c>
      <c r="V503" s="30" t="str" cm="1">
        <f t="array" ref="V503">_xlfn.IFS(
ISNUMBER(SEARCH("USA",S503)),"United States",
ISNUMBER(SEARCH("Republic of Korea",S503)),"South Korea",
ISNUMBER(SEARCH("Cape Verde",S503)),"Cabo Verde",
ISNUMBER(SEARCH("Czechia",S503)),"Czech Republic",
ISNUMBER(SEARCH("Türkiye",S503)),"Turkey",
ISNUMBER(SEARCH("Ivory Coast",S503)),"Côte d'Ivoire",
ISNUMBER(SEARCH("Korea Republic",S503)),"South Korea",
ISNUMBER(SEARCH("Germany FR",S503)),"FR Germany",
ISNUMBER(SEARCH("West Germany",S503)),"FR Germany",
ISNUMBER(SEARCH("Germany DR",S503)),"DR Germany",
ISNUMBER(SEARCH("Korea DPR",S503)),"North Korea",
ISNUMBER(SEARCH("China PR",S503)),"China",
ISNUMBER(SEARCH("IR Iran",S503)),"Iran",
ISNUMBER(SEARCH("Congo DR",S503)),"Democratic Republic of the Congo",
ISNUMBER(SEARCH("DR Congo",S503)),"Democratic Republic of the Congo",
ISNUMBER(SEARCH("German DR",S503)),"DR Germany",
ISNUMBER(SEARCH("rn""&gt;United Arab Emirates",S503)),"United Arab Emirates",
ISNUMBER(SEARCH("rn""&gt;Republic of Ireland",S503)),"Ireland",
ISNUMBER(SEARCH("rn""&gt;Bosnia and Herzegovina",S503)),"Bosnia and Herzegovina",
ISNUMBER(SEARCH("rn""&gt;Trinidad and Tobago",S503)),"Trinidad and Tobago",
ISNUMBER(SEARCH("rn""&gt;Serbia and Montenegro",S503)),"Serbia and Montenegro",
ISNUMBER(SEARCH(_xlfn.UNICHAR(65533),S503)),"Côte d'Ivoire",
TRUE,""
)</f>
        <v/>
      </c>
      <c r="W503" s="30" t="str">
        <f t="shared" si="47"/>
        <v>Sweden</v>
      </c>
      <c r="Z503" s="40" t="str">
        <v>Stadio Olimpico</v>
      </c>
      <c r="AA503" s="40" t="str" cm="1">
        <f t="array" ref="AA503">IFERROR(_xlfn.XLOOKUP(Z503,_xlfn.ANCHORARRAY(Z$31),AA$31:AA$37),Z503)</f>
        <v>Stadio Olimpico</v>
      </c>
      <c r="AB503" s="42" t="str">
        <v xml:space="preserve">Rome </v>
      </c>
      <c r="AC503" s="89" t="str">
        <f t="shared" si="48"/>
        <v xml:space="preserve">Rome </v>
      </c>
      <c r="AE503" s="42">
        <v>1990</v>
      </c>
      <c r="AK503" s="42">
        <v>1</v>
      </c>
      <c r="AL503" s="42">
        <v>1</v>
      </c>
      <c r="AW503" s="89" t="str">
        <v>GROUP_STAGE</v>
      </c>
      <c r="BE503" s="43" t="str">
        <f>IF(OR(DATA_CLEANED!AL494="",DATA_CLEANED!AM494=""),"MANQUANT",IF(OR(NOT(ISNUMBER(DATA_CLEANED!AL494)),NOT(ISNUMBER(DATA_CLEANED!AM494))),"ENTREE INVALIDE",IF(OR(DATA_CLEANED!AL494&lt;0,DATA_CLEANED!AM494&lt;0),"SCORE NEGATIF","OK")))</f>
        <v>OK</v>
      </c>
      <c r="BF503" s="43" t="str">
        <f>IF(DATA_CLEANED!AK494&lt;&gt;DATA_CLEANED!AN494,"OK","ERREUR")</f>
        <v>OK</v>
      </c>
      <c r="BG503" s="43" t="str">
        <f>IF(DATA_CLEANED!AL494&gt;DATA_CLEANED!AM494,DATA_CLEANED!AK494,IF(AND(DATA_QUALITE!W4980="-",DATA_CLEANED!AM494=DATA_CLEANED!AL494),"MATCH NUL",IF(AND(DATA_QUALITE!V4980="-",DATA_QUALITE!U4980="AUCUNE"),DATA_QUALITE!T4980,IF(DATA_QUALITE!V4980&lt;&gt;"-",DATA_QUALITE!V4980,DATA_CLEANED!AN494))))</f>
        <v>Spain</v>
      </c>
      <c r="BH503" s="103" t="str">
        <f>IF(AND(BG503="MATCH NUL",DATA_CLEANED!AO494="-"),"MATCH_NUL",IF(ISNUMBER(SEARCH("win on penalties",W4980)),"WIN_BY_PENALTY",IF(ISNUMBER(SEARCH("win after extra time",W4980)),"WIN_BY_EXTRA_TIME",IF(ISNUMBER(SEARCH("Golden Goal",W4980)),"WIN_BY_GOLDEN_GOAL","WIN_BY_SCORE"))))</f>
        <v>WIN_BY_SCORE</v>
      </c>
      <c r="BI503" s="99" t="str">
        <f>IF(OR(BG503=DATA_CLEANED!AK494,BG503=DATA_CLEANED!AN494,BG503="MATCH NUL"),"OK","ERREUR")</f>
        <v>OK</v>
      </c>
    </row>
    <row r="504" spans="2:61">
      <c r="B504" s="75">
        <v>67</v>
      </c>
      <c r="C504" s="15" t="str">
        <v>Sphephelo Sithole</v>
      </c>
      <c r="D504" s="15">
        <v>27</v>
      </c>
      <c r="E504" s="15" t="str">
        <v>South Africa</v>
      </c>
      <c r="F504" s="15" t="str">
        <v>CDM</v>
      </c>
      <c r="G504" s="15" t="str">
        <v>Tondela</v>
      </c>
      <c r="H504" s="15">
        <v>13</v>
      </c>
      <c r="I504" s="15" t="str">
        <f t="shared" si="49"/>
        <v>67|Sphephelo Sithole|27|South Africa|CDM|Tondela|13</v>
      </c>
      <c r="J504" s="15" t="str">
        <f>IF(COUNTIF(I$438:I504,I504)&gt;1,"DOUBLON","OK")</f>
        <v>OK</v>
      </c>
      <c r="S504" s="30" t="str">
        <v>Sweden</v>
      </c>
      <c r="T504" s="30" t="str">
        <f t="shared" si="45"/>
        <v>OK</v>
      </c>
      <c r="U504" s="30" t="str">
        <f t="shared" si="46"/>
        <v>-</v>
      </c>
      <c r="V504" s="30" t="str" cm="1">
        <f t="array" ref="V504">_xlfn.IFS(
ISNUMBER(SEARCH("USA",S504)),"United States",
ISNUMBER(SEARCH("Republic of Korea",S504)),"South Korea",
ISNUMBER(SEARCH("Cape Verde",S504)),"Cabo Verde",
ISNUMBER(SEARCH("Czechia",S504)),"Czech Republic",
ISNUMBER(SEARCH("Türkiye",S504)),"Turkey",
ISNUMBER(SEARCH("Ivory Coast",S504)),"Côte d'Ivoire",
ISNUMBER(SEARCH("Korea Republic",S504)),"South Korea",
ISNUMBER(SEARCH("Germany FR",S504)),"FR Germany",
ISNUMBER(SEARCH("West Germany",S504)),"FR Germany",
ISNUMBER(SEARCH("Germany DR",S504)),"DR Germany",
ISNUMBER(SEARCH("Korea DPR",S504)),"North Korea",
ISNUMBER(SEARCH("China PR",S504)),"China",
ISNUMBER(SEARCH("IR Iran",S504)),"Iran",
ISNUMBER(SEARCH("Congo DR",S504)),"Democratic Republic of the Congo",
ISNUMBER(SEARCH("DR Congo",S504)),"Democratic Republic of the Congo",
ISNUMBER(SEARCH("German DR",S504)),"DR Germany",
ISNUMBER(SEARCH("rn""&gt;United Arab Emirates",S504)),"United Arab Emirates",
ISNUMBER(SEARCH("rn""&gt;Republic of Ireland",S504)),"Ireland",
ISNUMBER(SEARCH("rn""&gt;Bosnia and Herzegovina",S504)),"Bosnia and Herzegovina",
ISNUMBER(SEARCH("rn""&gt;Trinidad and Tobago",S504)),"Trinidad and Tobago",
ISNUMBER(SEARCH("rn""&gt;Serbia and Montenegro",S504)),"Serbia and Montenegro",
ISNUMBER(SEARCH(_xlfn.UNICHAR(65533),S504)),"Côte d'Ivoire",
TRUE,""
)</f>
        <v/>
      </c>
      <c r="W504" s="30" t="str">
        <f t="shared" si="47"/>
        <v>Sweden</v>
      </c>
      <c r="Z504" s="40" t="str">
        <v>Cotton Bowl</v>
      </c>
      <c r="AA504" s="40" t="str" cm="1">
        <f t="array" ref="AA504">IFERROR(_xlfn.XLOOKUP(Z504,_xlfn.ANCHORARRAY(Z$31),AA$31:AA$37),Z504)</f>
        <v>Cotton Bowl</v>
      </c>
      <c r="AB504" s="42" t="str">
        <v xml:space="preserve">Dallas </v>
      </c>
      <c r="AC504" s="89" t="str">
        <f t="shared" si="48"/>
        <v xml:space="preserve">Dallas </v>
      </c>
      <c r="AE504" s="42">
        <v>1990</v>
      </c>
      <c r="AK504" s="42">
        <v>2</v>
      </c>
      <c r="AL504" s="42">
        <v>0</v>
      </c>
      <c r="AW504" s="89" t="str">
        <v>GROUP_STAGE</v>
      </c>
      <c r="BE504" s="43" t="str">
        <f>IF(OR(DATA_CLEANED!AL495="",DATA_CLEANED!AM495=""),"MANQUANT",IF(OR(NOT(ISNUMBER(DATA_CLEANED!AL495)),NOT(ISNUMBER(DATA_CLEANED!AM495))),"ENTREE INVALIDE",IF(OR(DATA_CLEANED!AL495&lt;0,DATA_CLEANED!AM495&lt;0),"SCORE NEGATIF","OK")))</f>
        <v>OK</v>
      </c>
      <c r="BF504" s="43" t="str">
        <f>IF(DATA_CLEANED!AK495&lt;&gt;DATA_CLEANED!AN495,"OK","ERREUR")</f>
        <v>OK</v>
      </c>
      <c r="BG504" s="43" t="str">
        <f>IF(DATA_CLEANED!AL495&gt;DATA_CLEANED!AM495,DATA_CLEANED!AK495,IF(AND(DATA_QUALITE!W4981="-",DATA_CLEANED!AM495=DATA_CLEANED!AL495),"MATCH NUL",IF(AND(DATA_QUALITE!V4981="-",DATA_QUALITE!U4981="AUCUNE"),DATA_QUALITE!T4981,IF(DATA_QUALITE!V4981&lt;&gt;"-",DATA_QUALITE!V4981,DATA_CLEANED!AN495))))</f>
        <v>MATCH NUL</v>
      </c>
      <c r="BH504" s="103" t="str">
        <f>IF(AND(BG504="MATCH NUL",DATA_CLEANED!AO495="-"),"MATCH_NUL",IF(ISNUMBER(SEARCH("win on penalties",W4981)),"WIN_BY_PENALTY",IF(ISNUMBER(SEARCH("win after extra time",W4981)),"WIN_BY_EXTRA_TIME",IF(ISNUMBER(SEARCH("Golden Goal",W4981)),"WIN_BY_GOLDEN_GOAL","WIN_BY_SCORE"))))</f>
        <v>MATCH_NUL</v>
      </c>
      <c r="BI504" s="99" t="str">
        <f>IF(OR(BG504=DATA_CLEANED!AK495,BG504=DATA_CLEANED!AN495,BG504="MATCH NUL"),"OK","ERREUR")</f>
        <v>OK</v>
      </c>
    </row>
    <row r="505" spans="2:61">
      <c r="B505" s="75">
        <v>68</v>
      </c>
      <c r="C505" s="15" t="str">
        <v>Thalente Mbatha</v>
      </c>
      <c r="D505" s="15">
        <v>26</v>
      </c>
      <c r="E505" s="15" t="str">
        <v>South Africa</v>
      </c>
      <c r="F505" s="15" t="str">
        <v>CM</v>
      </c>
      <c r="G505" s="15" t="str">
        <v>Orlando Pirates</v>
      </c>
      <c r="H505" s="15">
        <v>5</v>
      </c>
      <c r="I505" s="15" t="str">
        <f t="shared" si="49"/>
        <v>68|Thalente Mbatha|26|South Africa|CM|Orlando Pirates|5</v>
      </c>
      <c r="J505" s="15" t="str">
        <f>IF(COUNTIF(I$438:I505,I505)&gt;1,"DOUBLON","OK")</f>
        <v>OK</v>
      </c>
      <c r="S505" s="30" t="str">
        <v>Sweden</v>
      </c>
      <c r="T505" s="30" t="str">
        <f t="shared" si="45"/>
        <v>OK</v>
      </c>
      <c r="U505" s="30" t="str">
        <f t="shared" si="46"/>
        <v>-</v>
      </c>
      <c r="V505" s="30" t="str" cm="1">
        <f t="array" ref="V505">_xlfn.IFS(
ISNUMBER(SEARCH("USA",S505)),"United States",
ISNUMBER(SEARCH("Republic of Korea",S505)),"South Korea",
ISNUMBER(SEARCH("Cape Verde",S505)),"Cabo Verde",
ISNUMBER(SEARCH("Czechia",S505)),"Czech Republic",
ISNUMBER(SEARCH("Türkiye",S505)),"Turkey",
ISNUMBER(SEARCH("Ivory Coast",S505)),"Côte d'Ivoire",
ISNUMBER(SEARCH("Korea Republic",S505)),"South Korea",
ISNUMBER(SEARCH("Germany FR",S505)),"FR Germany",
ISNUMBER(SEARCH("West Germany",S505)),"FR Germany",
ISNUMBER(SEARCH("Germany DR",S505)),"DR Germany",
ISNUMBER(SEARCH("Korea DPR",S505)),"North Korea",
ISNUMBER(SEARCH("China PR",S505)),"China",
ISNUMBER(SEARCH("IR Iran",S505)),"Iran",
ISNUMBER(SEARCH("Congo DR",S505)),"Democratic Republic of the Congo",
ISNUMBER(SEARCH("DR Congo",S505)),"Democratic Republic of the Congo",
ISNUMBER(SEARCH("German DR",S505)),"DR Germany",
ISNUMBER(SEARCH("rn""&gt;United Arab Emirates",S505)),"United Arab Emirates",
ISNUMBER(SEARCH("rn""&gt;Republic of Ireland",S505)),"Ireland",
ISNUMBER(SEARCH("rn""&gt;Bosnia and Herzegovina",S505)),"Bosnia and Herzegovina",
ISNUMBER(SEARCH("rn""&gt;Trinidad and Tobago",S505)),"Trinidad and Tobago",
ISNUMBER(SEARCH("rn""&gt;Serbia and Montenegro",S505)),"Serbia and Montenegro",
ISNUMBER(SEARCH(_xlfn.UNICHAR(65533),S505)),"Côte d'Ivoire",
TRUE,""
)</f>
        <v/>
      </c>
      <c r="W505" s="30" t="str">
        <f t="shared" si="47"/>
        <v>Sweden</v>
      </c>
      <c r="Z505" s="40" t="str">
        <v>Soldier Field</v>
      </c>
      <c r="AA505" s="40" t="str" cm="1">
        <f t="array" ref="AA505">IFERROR(_xlfn.XLOOKUP(Z505,_xlfn.ANCHORARRAY(Z$31),AA$31:AA$37),Z505)</f>
        <v>Soldier Field</v>
      </c>
      <c r="AB505" s="42" t="str">
        <v xml:space="preserve">Chicago </v>
      </c>
      <c r="AC505" s="89" t="str">
        <f t="shared" si="48"/>
        <v xml:space="preserve">Chicago </v>
      </c>
      <c r="AE505" s="42">
        <v>1990</v>
      </c>
      <c r="AK505" s="42">
        <v>1</v>
      </c>
      <c r="AL505" s="42">
        <v>1</v>
      </c>
      <c r="AW505" s="89" t="str">
        <v>GROUP_STAGE</v>
      </c>
      <c r="BE505" s="43" t="str">
        <f>IF(OR(DATA_CLEANED!AL496="",DATA_CLEANED!AM496=""),"MANQUANT",IF(OR(NOT(ISNUMBER(DATA_CLEANED!AL496)),NOT(ISNUMBER(DATA_CLEANED!AM496))),"ENTREE INVALIDE",IF(OR(DATA_CLEANED!AL496&lt;0,DATA_CLEANED!AM496&lt;0),"SCORE NEGATIF","OK")))</f>
        <v>OK</v>
      </c>
      <c r="BF505" s="43" t="str">
        <f>IF(DATA_CLEANED!AK496&lt;&gt;DATA_CLEANED!AN496,"OK","ERREUR")</f>
        <v>OK</v>
      </c>
      <c r="BG505" s="43" t="str">
        <f>IF(DATA_CLEANED!AL496&gt;DATA_CLEANED!AM496,DATA_CLEANED!AK496,IF(AND(DATA_QUALITE!W4982="-",DATA_CLEANED!AM496=DATA_CLEANED!AL496),"MATCH NUL",IF(AND(DATA_QUALITE!V4982="-",DATA_QUALITE!U4982="AUCUNE"),DATA_QUALITE!T4982,IF(DATA_QUALITE!V4982&lt;&gt;"-",DATA_QUALITE!V4982,DATA_CLEANED!AN496))))</f>
        <v>MATCH NUL</v>
      </c>
      <c r="BH505" s="103" t="str">
        <f>IF(AND(BG505="MATCH NUL",DATA_CLEANED!AO496="-"),"MATCH_NUL",IF(ISNUMBER(SEARCH("win on penalties",W4982)),"WIN_BY_PENALTY",IF(ISNUMBER(SEARCH("win after extra time",W4982)),"WIN_BY_EXTRA_TIME",IF(ISNUMBER(SEARCH("Golden Goal",W4982)),"WIN_BY_GOLDEN_GOAL","WIN_BY_SCORE"))))</f>
        <v>MATCH_NUL</v>
      </c>
      <c r="BI505" s="99" t="str">
        <f>IF(OR(BG505=DATA_CLEANED!AK496,BG505=DATA_CLEANED!AN496,BG505="MATCH NUL"),"OK","ERREUR")</f>
        <v>OK</v>
      </c>
    </row>
    <row r="506" spans="2:61">
      <c r="B506" s="75">
        <v>69</v>
      </c>
      <c r="C506" s="15" t="str">
        <v>Jayden Adams</v>
      </c>
      <c r="D506" s="15">
        <v>25</v>
      </c>
      <c r="E506" s="15" t="str">
        <v>South Africa</v>
      </c>
      <c r="F506" s="15" t="str">
        <v>CM</v>
      </c>
      <c r="G506" s="15" t="str">
        <v>Mamelodi Sundowns</v>
      </c>
      <c r="H506" s="15">
        <v>23</v>
      </c>
      <c r="I506" s="15" t="str">
        <f t="shared" si="49"/>
        <v>69|Jayden Adams|25|South Africa|CM|Mamelodi Sundowns|23</v>
      </c>
      <c r="J506" s="15" t="str">
        <f>IF(COUNTIF(I$438:I506,I506)&gt;1,"DOUBLON","OK")</f>
        <v>OK</v>
      </c>
      <c r="S506" s="30" t="str">
        <v>Sweden</v>
      </c>
      <c r="T506" s="30" t="str">
        <f t="shared" si="45"/>
        <v>OK</v>
      </c>
      <c r="U506" s="30" t="str">
        <f t="shared" si="46"/>
        <v>-</v>
      </c>
      <c r="V506" s="30" t="str" cm="1">
        <f t="array" ref="V506">_xlfn.IFS(
ISNUMBER(SEARCH("USA",S506)),"United States",
ISNUMBER(SEARCH("Republic of Korea",S506)),"South Korea",
ISNUMBER(SEARCH("Cape Verde",S506)),"Cabo Verde",
ISNUMBER(SEARCH("Czechia",S506)),"Czech Republic",
ISNUMBER(SEARCH("Türkiye",S506)),"Turkey",
ISNUMBER(SEARCH("Ivory Coast",S506)),"Côte d'Ivoire",
ISNUMBER(SEARCH("Korea Republic",S506)),"South Korea",
ISNUMBER(SEARCH("Germany FR",S506)),"FR Germany",
ISNUMBER(SEARCH("West Germany",S506)),"FR Germany",
ISNUMBER(SEARCH("Germany DR",S506)),"DR Germany",
ISNUMBER(SEARCH("Korea DPR",S506)),"North Korea",
ISNUMBER(SEARCH("China PR",S506)),"China",
ISNUMBER(SEARCH("IR Iran",S506)),"Iran",
ISNUMBER(SEARCH("Congo DR",S506)),"Democratic Republic of the Congo",
ISNUMBER(SEARCH("DR Congo",S506)),"Democratic Republic of the Congo",
ISNUMBER(SEARCH("German DR",S506)),"DR Germany",
ISNUMBER(SEARCH("rn""&gt;United Arab Emirates",S506)),"United Arab Emirates",
ISNUMBER(SEARCH("rn""&gt;Republic of Ireland",S506)),"Ireland",
ISNUMBER(SEARCH("rn""&gt;Bosnia and Herzegovina",S506)),"Bosnia and Herzegovina",
ISNUMBER(SEARCH("rn""&gt;Trinidad and Tobago",S506)),"Trinidad and Tobago",
ISNUMBER(SEARCH("rn""&gt;Serbia and Montenegro",S506)),"Serbia and Montenegro",
ISNUMBER(SEARCH(_xlfn.UNICHAR(65533),S506)),"Côte d'Ivoire",
TRUE,""
)</f>
        <v/>
      </c>
      <c r="W506" s="30" t="str">
        <f t="shared" si="47"/>
        <v>Sweden</v>
      </c>
      <c r="Z506" s="40" t="str">
        <v>Pontiac Silverdome</v>
      </c>
      <c r="AA506" s="40" t="str" cm="1">
        <f t="array" ref="AA506">IFERROR(_xlfn.XLOOKUP(Z506,_xlfn.ANCHORARRAY(Z$31),AA$31:AA$37),Z506)</f>
        <v>Pontiac Silverdome</v>
      </c>
      <c r="AB506" s="42" t="str">
        <v xml:space="preserve">Detroit </v>
      </c>
      <c r="AC506" s="89" t="str">
        <f t="shared" si="48"/>
        <v xml:space="preserve">Detroit </v>
      </c>
      <c r="AE506" s="42">
        <v>1990</v>
      </c>
      <c r="AK506" s="42">
        <v>0</v>
      </c>
      <c r="AL506" s="42">
        <v>0</v>
      </c>
      <c r="AW506" s="89" t="str">
        <v>GROUP_STAGE</v>
      </c>
      <c r="BE506" s="43" t="str">
        <f>IF(OR(DATA_CLEANED!AL497="",DATA_CLEANED!AM497=""),"MANQUANT",IF(OR(NOT(ISNUMBER(DATA_CLEANED!AL497)),NOT(ISNUMBER(DATA_CLEANED!AM497))),"ENTREE INVALIDE",IF(OR(DATA_CLEANED!AL497&lt;0,DATA_CLEANED!AM497&lt;0),"SCORE NEGATIF","OK")))</f>
        <v>OK</v>
      </c>
      <c r="BF506" s="43" t="str">
        <f>IF(DATA_CLEANED!AK497&lt;&gt;DATA_CLEANED!AN497,"OK","ERREUR")</f>
        <v>OK</v>
      </c>
      <c r="BG506" s="43" t="str">
        <f>IF(DATA_CLEANED!AL497&gt;DATA_CLEANED!AM497,DATA_CLEANED!AK497,IF(AND(DATA_QUALITE!W4983="-",DATA_CLEANED!AM497=DATA_CLEANED!AL497),"MATCH NUL",IF(AND(DATA_QUALITE!V4983="-",DATA_QUALITE!U4983="AUCUNE"),DATA_QUALITE!T4983,IF(DATA_QUALITE!V4983&lt;&gt;"-",DATA_QUALITE!V4983,DATA_CLEANED!AN497))))</f>
        <v>MATCH NUL</v>
      </c>
      <c r="BH506" s="103" t="str">
        <f>IF(AND(BG506="MATCH NUL",DATA_CLEANED!AO497="-"),"MATCH_NUL",IF(ISNUMBER(SEARCH("win on penalties",W4983)),"WIN_BY_PENALTY",IF(ISNUMBER(SEARCH("win after extra time",W4983)),"WIN_BY_EXTRA_TIME",IF(ISNUMBER(SEARCH("Golden Goal",W4983)),"WIN_BY_GOLDEN_GOAL","WIN_BY_SCORE"))))</f>
        <v>MATCH_NUL</v>
      </c>
      <c r="BI506" s="99" t="str">
        <f>IF(OR(BG506=DATA_CLEANED!AK497,BG506=DATA_CLEANED!AN497,BG506="MATCH NUL"),"OK","ERREUR")</f>
        <v>OK</v>
      </c>
    </row>
    <row r="507" spans="2:61">
      <c r="B507" s="75">
        <v>70</v>
      </c>
      <c r="C507" s="15" t="str">
        <v>Themba Zwane</v>
      </c>
      <c r="D507" s="15">
        <v>36</v>
      </c>
      <c r="E507" s="15" t="str">
        <v>South Africa</v>
      </c>
      <c r="F507" s="15" t="str">
        <v>CAM</v>
      </c>
      <c r="G507" s="15" t="str">
        <v>Mamelodi Sundowns</v>
      </c>
      <c r="H507" s="15">
        <v>11</v>
      </c>
      <c r="I507" s="15" t="str">
        <f t="shared" si="49"/>
        <v>70|Themba Zwane|36|South Africa|CAM|Mamelodi Sundowns|11</v>
      </c>
      <c r="J507" s="15" t="str">
        <f>IF(COUNTIF(I$438:I507,I507)&gt;1,"DOUBLON","OK")</f>
        <v>OK</v>
      </c>
      <c r="S507" s="30" t="str">
        <v>Sweden</v>
      </c>
      <c r="T507" s="30" t="str">
        <f t="shared" ref="T507:T570" si="50">IF(COUNTIF(R$21:R$250,S507)=1,"OK","ERREUR")</f>
        <v>OK</v>
      </c>
      <c r="U507" s="30" t="str">
        <f t="shared" si="46"/>
        <v>-</v>
      </c>
      <c r="V507" s="30" t="str" cm="1">
        <f t="array" ref="V507">_xlfn.IFS(
ISNUMBER(SEARCH("USA",S507)),"United States",
ISNUMBER(SEARCH("Republic of Korea",S507)),"South Korea",
ISNUMBER(SEARCH("Cape Verde",S507)),"Cabo Verde",
ISNUMBER(SEARCH("Czechia",S507)),"Czech Republic",
ISNUMBER(SEARCH("Türkiye",S507)),"Turkey",
ISNUMBER(SEARCH("Ivory Coast",S507)),"Côte d'Ivoire",
ISNUMBER(SEARCH("Korea Republic",S507)),"South Korea",
ISNUMBER(SEARCH("Germany FR",S507)),"FR Germany",
ISNUMBER(SEARCH("West Germany",S507)),"FR Germany",
ISNUMBER(SEARCH("Germany DR",S507)),"DR Germany",
ISNUMBER(SEARCH("Korea DPR",S507)),"North Korea",
ISNUMBER(SEARCH("China PR",S507)),"China",
ISNUMBER(SEARCH("IR Iran",S507)),"Iran",
ISNUMBER(SEARCH("Congo DR",S507)),"Democratic Republic of the Congo",
ISNUMBER(SEARCH("DR Congo",S507)),"Democratic Republic of the Congo",
ISNUMBER(SEARCH("German DR",S507)),"DR Germany",
ISNUMBER(SEARCH("rn""&gt;United Arab Emirates",S507)),"United Arab Emirates",
ISNUMBER(SEARCH("rn""&gt;Republic of Ireland",S507)),"Ireland",
ISNUMBER(SEARCH("rn""&gt;Bosnia and Herzegovina",S507)),"Bosnia and Herzegovina",
ISNUMBER(SEARCH("rn""&gt;Trinidad and Tobago",S507)),"Trinidad and Tobago",
ISNUMBER(SEARCH("rn""&gt;Serbia and Montenegro",S507)),"Serbia and Montenegro",
ISNUMBER(SEARCH(_xlfn.UNICHAR(65533),S507)),"Côte d'Ivoire",
TRUE,""
)</f>
        <v/>
      </c>
      <c r="W507" s="30" t="str">
        <f t="shared" si="47"/>
        <v>Sweden</v>
      </c>
      <c r="Z507" s="40" t="str">
        <v>Giants Stadium</v>
      </c>
      <c r="AA507" s="40" t="str" cm="1">
        <f t="array" ref="AA507">IFERROR(_xlfn.XLOOKUP(Z507,_xlfn.ANCHORARRAY(Z$31),AA$31:AA$37),Z507)</f>
        <v>Giants Stadium</v>
      </c>
      <c r="AB507" s="42" t="str">
        <v xml:space="preserve">New York/New Jersey </v>
      </c>
      <c r="AC507" s="89" t="str">
        <f t="shared" si="48"/>
        <v xml:space="preserve">New York/New Jersey </v>
      </c>
      <c r="AE507" s="42">
        <v>1990</v>
      </c>
      <c r="AK507" s="42">
        <v>2</v>
      </c>
      <c r="AL507" s="42">
        <v>0</v>
      </c>
      <c r="AW507" s="89" t="str">
        <v>GROUP_STAGE</v>
      </c>
      <c r="BE507" s="43" t="str">
        <f>IF(OR(DATA_CLEANED!AL498="",DATA_CLEANED!AM498=""),"MANQUANT",IF(OR(NOT(ISNUMBER(DATA_CLEANED!AL498)),NOT(ISNUMBER(DATA_CLEANED!AM498))),"ENTREE INVALIDE",IF(OR(DATA_CLEANED!AL498&lt;0,DATA_CLEANED!AM498&lt;0),"SCORE NEGATIF","OK")))</f>
        <v>OK</v>
      </c>
      <c r="BF507" s="43" t="str">
        <f>IF(DATA_CLEANED!AK498&lt;&gt;DATA_CLEANED!AN498,"OK","ERREUR")</f>
        <v>OK</v>
      </c>
      <c r="BG507" s="43" t="str">
        <f>IF(DATA_CLEANED!AL498&gt;DATA_CLEANED!AM498,DATA_CLEANED!AK498,IF(AND(DATA_QUALITE!W4984="-",DATA_CLEANED!AM498=DATA_CLEANED!AL498),"MATCH NUL",IF(AND(DATA_QUALITE!V4984="-",DATA_QUALITE!U4984="AUCUNE"),DATA_QUALITE!T4984,IF(DATA_QUALITE!V4984&lt;&gt;"-",DATA_QUALITE!V4984,DATA_CLEANED!AN498))))</f>
        <v>Russia</v>
      </c>
      <c r="BH507" s="103" t="str">
        <f>IF(AND(BG507="MATCH NUL",DATA_CLEANED!AO498="-"),"MATCH_NUL",IF(ISNUMBER(SEARCH("win on penalties",W4984)),"WIN_BY_PENALTY",IF(ISNUMBER(SEARCH("win after extra time",W4984)),"WIN_BY_EXTRA_TIME",IF(ISNUMBER(SEARCH("Golden Goal",W4984)),"WIN_BY_GOLDEN_GOAL","WIN_BY_SCORE"))))</f>
        <v>WIN_BY_SCORE</v>
      </c>
      <c r="BI507" s="99" t="str">
        <f>IF(OR(BG507=DATA_CLEANED!AK498,BG507=DATA_CLEANED!AN498,BG507="MATCH NUL"),"OK","ERREUR")</f>
        <v>OK</v>
      </c>
    </row>
    <row r="508" spans="2:61">
      <c r="B508" s="75">
        <v>71</v>
      </c>
      <c r="C508" s="15" t="str">
        <v>Oswin Appollis</v>
      </c>
      <c r="D508" s="15">
        <v>24</v>
      </c>
      <c r="E508" s="15" t="str">
        <v>South Africa</v>
      </c>
      <c r="F508" s="15" t="str">
        <v>LW</v>
      </c>
      <c r="G508" s="15" t="str">
        <v>Orlando Pirates</v>
      </c>
      <c r="H508" s="15">
        <v>7</v>
      </c>
      <c r="I508" s="15" t="str">
        <f t="shared" si="49"/>
        <v>71|Oswin Appollis|24|South Africa|LW|Orlando Pirates|7</v>
      </c>
      <c r="J508" s="15" t="str">
        <f>IF(COUNTIF(I$438:I508,I508)&gt;1,"DOUBLON","OK")</f>
        <v>OK</v>
      </c>
      <c r="S508" s="30" t="str">
        <v>Sweden</v>
      </c>
      <c r="T508" s="30" t="str">
        <f t="shared" si="50"/>
        <v>OK</v>
      </c>
      <c r="U508" s="30" t="str">
        <f t="shared" si="46"/>
        <v>-</v>
      </c>
      <c r="V508" s="30" t="str" cm="1">
        <f t="array" ref="V508">_xlfn.IFS(
ISNUMBER(SEARCH("USA",S508)),"United States",
ISNUMBER(SEARCH("Republic of Korea",S508)),"South Korea",
ISNUMBER(SEARCH("Cape Verde",S508)),"Cabo Verde",
ISNUMBER(SEARCH("Czechia",S508)),"Czech Republic",
ISNUMBER(SEARCH("Türkiye",S508)),"Turkey",
ISNUMBER(SEARCH("Ivory Coast",S508)),"Côte d'Ivoire",
ISNUMBER(SEARCH("Korea Republic",S508)),"South Korea",
ISNUMBER(SEARCH("Germany FR",S508)),"FR Germany",
ISNUMBER(SEARCH("West Germany",S508)),"FR Germany",
ISNUMBER(SEARCH("Germany DR",S508)),"DR Germany",
ISNUMBER(SEARCH("Korea DPR",S508)),"North Korea",
ISNUMBER(SEARCH("China PR",S508)),"China",
ISNUMBER(SEARCH("IR Iran",S508)),"Iran",
ISNUMBER(SEARCH("Congo DR",S508)),"Democratic Republic of the Congo",
ISNUMBER(SEARCH("DR Congo",S508)),"Democratic Republic of the Congo",
ISNUMBER(SEARCH("German DR",S508)),"DR Germany",
ISNUMBER(SEARCH("rn""&gt;United Arab Emirates",S508)),"United Arab Emirates",
ISNUMBER(SEARCH("rn""&gt;Republic of Ireland",S508)),"Ireland",
ISNUMBER(SEARCH("rn""&gt;Bosnia and Herzegovina",S508)),"Bosnia and Herzegovina",
ISNUMBER(SEARCH("rn""&gt;Trinidad and Tobago",S508)),"Trinidad and Tobago",
ISNUMBER(SEARCH("rn""&gt;Serbia and Montenegro",S508)),"Serbia and Montenegro",
ISNUMBER(SEARCH(_xlfn.UNICHAR(65533),S508)),"Côte d'Ivoire",
TRUE,""
)</f>
        <v/>
      </c>
      <c r="W508" s="30" t="str">
        <f t="shared" si="47"/>
        <v>Sweden</v>
      </c>
      <c r="Z508" s="40" t="str">
        <v>Rose Bowl</v>
      </c>
      <c r="AA508" s="40" t="str" cm="1">
        <f t="array" ref="AA508">IFERROR(_xlfn.XLOOKUP(Z508,_xlfn.ANCHORARRAY(Z$31),AA$31:AA$37),Z508)</f>
        <v>Rose Bowl</v>
      </c>
      <c r="AB508" s="42" t="str">
        <v xml:space="preserve">Los Angeles </v>
      </c>
      <c r="AC508" s="89" t="str">
        <f t="shared" si="48"/>
        <v xml:space="preserve">Los Angeles </v>
      </c>
      <c r="AE508" s="42">
        <v>1990</v>
      </c>
      <c r="AK508" s="42">
        <v>2</v>
      </c>
      <c r="AL508" s="42">
        <v>1</v>
      </c>
      <c r="AW508" s="89" t="str">
        <v>GROUP_STAGE</v>
      </c>
      <c r="BE508" s="43" t="str">
        <f>IF(OR(DATA_CLEANED!AL499="",DATA_CLEANED!AM499=""),"MANQUANT",IF(OR(NOT(ISNUMBER(DATA_CLEANED!AL499)),NOT(ISNUMBER(DATA_CLEANED!AM499))),"ENTREE INVALIDE",IF(OR(DATA_CLEANED!AL499&lt;0,DATA_CLEANED!AM499&lt;0),"SCORE NEGATIF","OK")))</f>
        <v>OK</v>
      </c>
      <c r="BF508" s="43" t="str">
        <f>IF(DATA_CLEANED!AK499&lt;&gt;DATA_CLEANED!AN499,"OK","ERREUR")</f>
        <v>OK</v>
      </c>
      <c r="BG508" s="43" t="str">
        <f>IF(DATA_CLEANED!AL499&gt;DATA_CLEANED!AM499,DATA_CLEANED!AK499,IF(AND(DATA_QUALITE!W4985="-",DATA_CLEANED!AM499=DATA_CLEANED!AL499),"MATCH NUL",IF(AND(DATA_QUALITE!V4985="-",DATA_QUALITE!U4985="AUCUNE"),DATA_QUALITE!T4985,IF(DATA_QUALITE!V4985&lt;&gt;"-",DATA_QUALITE!V4985,DATA_CLEANED!AN499))))</f>
        <v>Netherlands</v>
      </c>
      <c r="BH508" s="103" t="str">
        <f>IF(AND(BG508="MATCH NUL",DATA_CLEANED!AO499="-"),"MATCH_NUL",IF(ISNUMBER(SEARCH("win on penalties",W4985)),"WIN_BY_PENALTY",IF(ISNUMBER(SEARCH("win after extra time",W4985)),"WIN_BY_EXTRA_TIME",IF(ISNUMBER(SEARCH("Golden Goal",W4985)),"WIN_BY_GOLDEN_GOAL","WIN_BY_SCORE"))))</f>
        <v>WIN_BY_SCORE</v>
      </c>
      <c r="BI508" s="99" t="str">
        <f>IF(OR(BG508=DATA_CLEANED!AK499,BG508=DATA_CLEANED!AN499,BG508="MATCH NUL"),"OK","ERREUR")</f>
        <v>OK</v>
      </c>
    </row>
    <row r="509" spans="2:61">
      <c r="B509" s="75">
        <v>72</v>
      </c>
      <c r="C509" s="15" t="str">
        <v>Relebohile Mofokeng</v>
      </c>
      <c r="D509" s="15">
        <v>21</v>
      </c>
      <c r="E509" s="15" t="str">
        <v>South Africa</v>
      </c>
      <c r="F509" s="15" t="str">
        <v>LW</v>
      </c>
      <c r="G509" s="15" t="str">
        <v>Orlando Pirates</v>
      </c>
      <c r="H509" s="15">
        <v>10</v>
      </c>
      <c r="I509" s="15" t="str">
        <f t="shared" si="49"/>
        <v>72|Relebohile Mofokeng|21|South Africa|LW|Orlando Pirates|10</v>
      </c>
      <c r="J509" s="15" t="str">
        <f>IF(COUNTIF(I$438:I509,I509)&gt;1,"DOUBLON","OK")</f>
        <v>OK</v>
      </c>
      <c r="S509" s="30" t="str">
        <v>Sweden</v>
      </c>
      <c r="T509" s="30" t="str">
        <f t="shared" si="50"/>
        <v>OK</v>
      </c>
      <c r="U509" s="30" t="str">
        <f t="shared" si="46"/>
        <v>-</v>
      </c>
      <c r="V509" s="30" t="str" cm="1">
        <f t="array" ref="V509">_xlfn.IFS(
ISNUMBER(SEARCH("USA",S509)),"United States",
ISNUMBER(SEARCH("Republic of Korea",S509)),"South Korea",
ISNUMBER(SEARCH("Cape Verde",S509)),"Cabo Verde",
ISNUMBER(SEARCH("Czechia",S509)),"Czech Republic",
ISNUMBER(SEARCH("Türkiye",S509)),"Turkey",
ISNUMBER(SEARCH("Ivory Coast",S509)),"Côte d'Ivoire",
ISNUMBER(SEARCH("Korea Republic",S509)),"South Korea",
ISNUMBER(SEARCH("Germany FR",S509)),"FR Germany",
ISNUMBER(SEARCH("West Germany",S509)),"FR Germany",
ISNUMBER(SEARCH("Germany DR",S509)),"DR Germany",
ISNUMBER(SEARCH("Korea DPR",S509)),"North Korea",
ISNUMBER(SEARCH("China PR",S509)),"China",
ISNUMBER(SEARCH("IR Iran",S509)),"Iran",
ISNUMBER(SEARCH("Congo DR",S509)),"Democratic Republic of the Congo",
ISNUMBER(SEARCH("DR Congo",S509)),"Democratic Republic of the Congo",
ISNUMBER(SEARCH("German DR",S509)),"DR Germany",
ISNUMBER(SEARCH("rn""&gt;United Arab Emirates",S509)),"United Arab Emirates",
ISNUMBER(SEARCH("rn""&gt;Republic of Ireland",S509)),"Ireland",
ISNUMBER(SEARCH("rn""&gt;Bosnia and Herzegovina",S509)),"Bosnia and Herzegovina",
ISNUMBER(SEARCH("rn""&gt;Trinidad and Tobago",S509)),"Trinidad and Tobago",
ISNUMBER(SEARCH("rn""&gt;Serbia and Montenegro",S509)),"Serbia and Montenegro",
ISNUMBER(SEARCH(_xlfn.UNICHAR(65533),S509)),"Côte d'Ivoire",
TRUE,""
)</f>
        <v/>
      </c>
      <c r="W509" s="30" t="str">
        <f t="shared" si="47"/>
        <v>Sweden</v>
      </c>
      <c r="Z509" s="40" t="str">
        <v>Citrus Bowl</v>
      </c>
      <c r="AA509" s="40" t="str" cm="1">
        <f t="array" ref="AA509">IFERROR(_xlfn.XLOOKUP(Z509,_xlfn.ANCHORARRAY(Z$31),AA$31:AA$37),Z509)</f>
        <v>Citrus Bowl</v>
      </c>
      <c r="AB509" s="42" t="str">
        <v xml:space="preserve">Orlando </v>
      </c>
      <c r="AC509" s="89" t="str">
        <f t="shared" si="48"/>
        <v xml:space="preserve">Orlando </v>
      </c>
      <c r="AE509" s="42">
        <v>1990</v>
      </c>
      <c r="AK509" s="42">
        <v>1</v>
      </c>
      <c r="AL509" s="42">
        <v>0</v>
      </c>
      <c r="AW509" s="89" t="str">
        <v>GROUP_STAGE</v>
      </c>
      <c r="BE509" s="43" t="str">
        <f>IF(OR(DATA_CLEANED!AL500="",DATA_CLEANED!AM500=""),"MANQUANT",IF(OR(NOT(ISNUMBER(DATA_CLEANED!AL500)),NOT(ISNUMBER(DATA_CLEANED!AM500))),"ENTREE INVALIDE",IF(OR(DATA_CLEANED!AL500&lt;0,DATA_CLEANED!AM500&lt;0),"SCORE NEGATIF","OK")))</f>
        <v>OK</v>
      </c>
      <c r="BF509" s="43" t="str">
        <f>IF(DATA_CLEANED!AK500&lt;&gt;DATA_CLEANED!AN500,"OK","ERREUR")</f>
        <v>OK</v>
      </c>
      <c r="BG509" s="43" t="str">
        <f>IF(DATA_CLEANED!AL500&gt;DATA_CLEANED!AM500,DATA_CLEANED!AK500,IF(AND(DATA_QUALITE!W4986="-",DATA_CLEANED!AM500=DATA_CLEANED!AL500),"MATCH NUL",IF(AND(DATA_QUALITE!V4986="-",DATA_QUALITE!U4986="AUCUNE"),DATA_QUALITE!T4986,IF(DATA_QUALITE!V4986&lt;&gt;"-",DATA_QUALITE!V4986,DATA_CLEANED!AN500))))</f>
        <v>Saudi Arabia</v>
      </c>
      <c r="BH509" s="103" t="str">
        <f>IF(AND(BG509="MATCH NUL",DATA_CLEANED!AO500="-"),"MATCH_NUL",IF(ISNUMBER(SEARCH("win on penalties",W4986)),"WIN_BY_PENALTY",IF(ISNUMBER(SEARCH("win after extra time",W4986)),"WIN_BY_EXTRA_TIME",IF(ISNUMBER(SEARCH("Golden Goal",W4986)),"WIN_BY_GOLDEN_GOAL","WIN_BY_SCORE"))))</f>
        <v>WIN_BY_SCORE</v>
      </c>
      <c r="BI509" s="99" t="str">
        <f>IF(OR(BG509=DATA_CLEANED!AK500,BG509=DATA_CLEANED!AN500,BG509="MATCH NUL"),"OK","ERREUR")</f>
        <v>OK</v>
      </c>
    </row>
    <row r="510" spans="2:61">
      <c r="B510" s="75">
        <v>73</v>
      </c>
      <c r="C510" s="15" t="str">
        <v>Tshepang Moremi</v>
      </c>
      <c r="D510" s="15">
        <v>25</v>
      </c>
      <c r="E510" s="15" t="str">
        <v>South Africa</v>
      </c>
      <c r="F510" s="15" t="str">
        <v>RW</v>
      </c>
      <c r="G510" s="15" t="str">
        <v>Orlando Pirates</v>
      </c>
      <c r="H510" s="15">
        <v>8</v>
      </c>
      <c r="I510" s="15" t="str">
        <f t="shared" si="49"/>
        <v>73|Tshepang Moremi|25|South Africa|RW|Orlando Pirates|8</v>
      </c>
      <c r="J510" s="15" t="str">
        <f>IF(COUNTIF(I$438:I510,I510)&gt;1,"DOUBLON","OK")</f>
        <v>OK</v>
      </c>
      <c r="S510" s="30" t="str">
        <v>Sweden</v>
      </c>
      <c r="T510" s="30" t="str">
        <f t="shared" si="50"/>
        <v>OK</v>
      </c>
      <c r="U510" s="30" t="str">
        <f t="shared" si="46"/>
        <v>-</v>
      </c>
      <c r="V510" s="30" t="str" cm="1">
        <f t="array" ref="V510">_xlfn.IFS(
ISNUMBER(SEARCH("USA",S510)),"United States",
ISNUMBER(SEARCH("Republic of Korea",S510)),"South Korea",
ISNUMBER(SEARCH("Cape Verde",S510)),"Cabo Verde",
ISNUMBER(SEARCH("Czechia",S510)),"Czech Republic",
ISNUMBER(SEARCH("Türkiye",S510)),"Turkey",
ISNUMBER(SEARCH("Ivory Coast",S510)),"Côte d'Ivoire",
ISNUMBER(SEARCH("Korea Republic",S510)),"South Korea",
ISNUMBER(SEARCH("Germany FR",S510)),"FR Germany",
ISNUMBER(SEARCH("West Germany",S510)),"FR Germany",
ISNUMBER(SEARCH("Germany DR",S510)),"DR Germany",
ISNUMBER(SEARCH("Korea DPR",S510)),"North Korea",
ISNUMBER(SEARCH("China PR",S510)),"China",
ISNUMBER(SEARCH("IR Iran",S510)),"Iran",
ISNUMBER(SEARCH("Congo DR",S510)),"Democratic Republic of the Congo",
ISNUMBER(SEARCH("DR Congo",S510)),"Democratic Republic of the Congo",
ISNUMBER(SEARCH("German DR",S510)),"DR Germany",
ISNUMBER(SEARCH("rn""&gt;United Arab Emirates",S510)),"United Arab Emirates",
ISNUMBER(SEARCH("rn""&gt;Republic of Ireland",S510)),"Ireland",
ISNUMBER(SEARCH("rn""&gt;Bosnia and Herzegovina",S510)),"Bosnia and Herzegovina",
ISNUMBER(SEARCH("rn""&gt;Trinidad and Tobago",S510)),"Trinidad and Tobago",
ISNUMBER(SEARCH("rn""&gt;Serbia and Montenegro",S510)),"Serbia and Montenegro",
ISNUMBER(SEARCH(_xlfn.UNICHAR(65533),S510)),"Côte d'Ivoire",
TRUE,""
)</f>
        <v/>
      </c>
      <c r="W510" s="30" t="str">
        <f t="shared" si="47"/>
        <v>Sweden</v>
      </c>
      <c r="Z510" s="40" t="str">
        <v>RFK Stadium</v>
      </c>
      <c r="AA510" s="40" t="str" cm="1">
        <f t="array" ref="AA510">IFERROR(_xlfn.XLOOKUP(Z510,_xlfn.ANCHORARRAY(Z$31),AA$31:AA$37),Z510)</f>
        <v>RFK Stadium</v>
      </c>
      <c r="AB510" s="42" t="str">
        <v xml:space="preserve">Washington Dc </v>
      </c>
      <c r="AC510" s="89" t="str">
        <f t="shared" si="48"/>
        <v xml:space="preserve">Washington Dc </v>
      </c>
      <c r="AE510" s="42">
        <v>1990</v>
      </c>
      <c r="AK510" s="42">
        <v>1</v>
      </c>
      <c r="AL510" s="42">
        <v>0</v>
      </c>
      <c r="AW510" s="89" t="str">
        <v>GROUP_STAGE</v>
      </c>
      <c r="BE510" s="43" t="str">
        <f>IF(OR(DATA_CLEANED!AL501="",DATA_CLEANED!AM501=""),"MANQUANT",IF(OR(NOT(ISNUMBER(DATA_CLEANED!AL501)),NOT(ISNUMBER(DATA_CLEANED!AM501))),"ENTREE INVALIDE",IF(OR(DATA_CLEANED!AL501&lt;0,DATA_CLEANED!AM501&lt;0),"SCORE NEGATIF","OK")))</f>
        <v>OK</v>
      </c>
      <c r="BF510" s="43" t="str">
        <f>IF(DATA_CLEANED!AK501&lt;&gt;DATA_CLEANED!AN501,"OK","ERREUR")</f>
        <v>OK</v>
      </c>
      <c r="BG510" s="43" t="str">
        <f>IF(DATA_CLEANED!AL501&gt;DATA_CLEANED!AM501,DATA_CLEANED!AK501,IF(AND(DATA_QUALITE!W4987="-",DATA_CLEANED!AM501=DATA_CLEANED!AL501),"MATCH NUL",IF(AND(DATA_QUALITE!V4987="-",DATA_QUALITE!U4987="AUCUNE"),DATA_QUALITE!T4987,IF(DATA_QUALITE!V4987&lt;&gt;"-",DATA_QUALITE!V4987,DATA_CLEANED!AN501))))</f>
        <v>Nigeria</v>
      </c>
      <c r="BH510" s="103" t="str">
        <f>IF(AND(BG510="MATCH NUL",DATA_CLEANED!AO501="-"),"MATCH_NUL",IF(ISNUMBER(SEARCH("win on penalties",W4987)),"WIN_BY_PENALTY",IF(ISNUMBER(SEARCH("win after extra time",W4987)),"WIN_BY_EXTRA_TIME",IF(ISNUMBER(SEARCH("Golden Goal",W4987)),"WIN_BY_GOLDEN_GOAL","WIN_BY_SCORE"))))</f>
        <v>WIN_BY_SCORE</v>
      </c>
      <c r="BI510" s="99" t="str">
        <f>IF(OR(BG510=DATA_CLEANED!AK501,BG510=DATA_CLEANED!AN501,BG510="MATCH NUL"),"OK","ERREUR")</f>
        <v>OK</v>
      </c>
    </row>
    <row r="511" spans="2:61">
      <c r="B511" s="75">
        <v>74</v>
      </c>
      <c r="C511" s="15" t="str">
        <v>Thapelo Maseko</v>
      </c>
      <c r="D511" s="15">
        <v>22</v>
      </c>
      <c r="E511" s="15" t="str">
        <v>South Africa</v>
      </c>
      <c r="F511" s="15" t="str">
        <v>RW</v>
      </c>
      <c r="G511" s="15" t="str">
        <v>AEL Limassol</v>
      </c>
      <c r="H511" s="15">
        <v>12</v>
      </c>
      <c r="I511" s="15" t="str">
        <f t="shared" si="49"/>
        <v>74|Thapelo Maseko|22|South Africa|RW|AEL Limassol|12</v>
      </c>
      <c r="J511" s="15" t="str">
        <f>IF(COUNTIF(I$438:I511,I511)&gt;1,"DOUBLON","OK")</f>
        <v>OK</v>
      </c>
      <c r="S511" s="30" t="str">
        <v>Sweden</v>
      </c>
      <c r="T511" s="30" t="str">
        <f t="shared" si="50"/>
        <v>OK</v>
      </c>
      <c r="U511" s="30" t="str">
        <f t="shared" si="46"/>
        <v>-</v>
      </c>
      <c r="V511" s="30" t="str" cm="1">
        <f t="array" ref="V511">_xlfn.IFS(
ISNUMBER(SEARCH("USA",S511)),"United States",
ISNUMBER(SEARCH("Republic of Korea",S511)),"South Korea",
ISNUMBER(SEARCH("Cape Verde",S511)),"Cabo Verde",
ISNUMBER(SEARCH("Czechia",S511)),"Czech Republic",
ISNUMBER(SEARCH("Türkiye",S511)),"Turkey",
ISNUMBER(SEARCH("Ivory Coast",S511)),"Côte d'Ivoire",
ISNUMBER(SEARCH("Korea Republic",S511)),"South Korea",
ISNUMBER(SEARCH("Germany FR",S511)),"FR Germany",
ISNUMBER(SEARCH("West Germany",S511)),"FR Germany",
ISNUMBER(SEARCH("Germany DR",S511)),"DR Germany",
ISNUMBER(SEARCH("Korea DPR",S511)),"North Korea",
ISNUMBER(SEARCH("China PR",S511)),"China",
ISNUMBER(SEARCH("IR Iran",S511)),"Iran",
ISNUMBER(SEARCH("Congo DR",S511)),"Democratic Republic of the Congo",
ISNUMBER(SEARCH("DR Congo",S511)),"Democratic Republic of the Congo",
ISNUMBER(SEARCH("German DR",S511)),"DR Germany",
ISNUMBER(SEARCH("rn""&gt;United Arab Emirates",S511)),"United Arab Emirates",
ISNUMBER(SEARCH("rn""&gt;Republic of Ireland",S511)),"Ireland",
ISNUMBER(SEARCH("rn""&gt;Bosnia and Herzegovina",S511)),"Bosnia and Herzegovina",
ISNUMBER(SEARCH("rn""&gt;Trinidad and Tobago",S511)),"Trinidad and Tobago",
ISNUMBER(SEARCH("rn""&gt;Serbia and Montenegro",S511)),"Serbia and Montenegro",
ISNUMBER(SEARCH(_xlfn.UNICHAR(65533),S511)),"Côte d'Ivoire",
TRUE,""
)</f>
        <v/>
      </c>
      <c r="W511" s="30" t="str">
        <f t="shared" si="47"/>
        <v>Sweden</v>
      </c>
      <c r="Z511" s="40" t="str">
        <v>Rose Bowl</v>
      </c>
      <c r="AA511" s="40" t="str" cm="1">
        <f t="array" ref="AA511">IFERROR(_xlfn.XLOOKUP(Z511,_xlfn.ANCHORARRAY(Z$31),AA$31:AA$37),Z511)</f>
        <v>Rose Bowl</v>
      </c>
      <c r="AB511" s="42" t="str">
        <v xml:space="preserve">Los Angeles </v>
      </c>
      <c r="AC511" s="89" t="str">
        <f t="shared" si="48"/>
        <v xml:space="preserve">Los Angeles </v>
      </c>
      <c r="AE511" s="42">
        <v>1990</v>
      </c>
      <c r="AK511" s="42">
        <v>0</v>
      </c>
      <c r="AL511" s="42">
        <v>1</v>
      </c>
      <c r="AW511" s="89" t="str">
        <v>GROUP_STAGE</v>
      </c>
      <c r="BE511" s="43" t="str">
        <f>IF(OR(DATA_CLEANED!AL502="",DATA_CLEANED!AM502=""),"MANQUANT",IF(OR(NOT(ISNUMBER(DATA_CLEANED!AL502)),NOT(ISNUMBER(DATA_CLEANED!AM502))),"ENTREE INVALIDE",IF(OR(DATA_CLEANED!AL502&lt;0,DATA_CLEANED!AM502&lt;0),"SCORE NEGATIF","OK")))</f>
        <v>OK</v>
      </c>
      <c r="BF511" s="43" t="str">
        <f>IF(DATA_CLEANED!AK502&lt;&gt;DATA_CLEANED!AN502,"OK","ERREUR")</f>
        <v>OK</v>
      </c>
      <c r="BG511" s="43" t="str">
        <f>IF(DATA_CLEANED!AL502&gt;DATA_CLEANED!AM502,DATA_CLEANED!AK502,IF(AND(DATA_QUALITE!W4988="-",DATA_CLEANED!AM502=DATA_CLEANED!AL502),"MATCH NUL",IF(AND(DATA_QUALITE!V4988="-",DATA_QUALITE!U4988="AUCUNE"),DATA_QUALITE!T4988,IF(DATA_QUALITE!V4988&lt;&gt;"-",DATA_QUALITE!V4988,DATA_CLEANED!AN502))))</f>
        <v>Bulgaria</v>
      </c>
      <c r="BH511" s="103" t="str">
        <f>IF(AND(BG511="MATCH NUL",DATA_CLEANED!AO502="-"),"MATCH_NUL",IF(ISNUMBER(SEARCH("win on penalties",W4988)),"WIN_BY_PENALTY",IF(ISNUMBER(SEARCH("win after extra time",W4988)),"WIN_BY_EXTRA_TIME",IF(ISNUMBER(SEARCH("Golden Goal",W4988)),"WIN_BY_GOLDEN_GOAL","WIN_BY_SCORE"))))</f>
        <v>WIN_BY_SCORE</v>
      </c>
      <c r="BI511" s="99" t="str">
        <f>IF(OR(BG511=DATA_CLEANED!AK502,BG511=DATA_CLEANED!AN502,BG511="MATCH NUL"),"OK","ERREUR")</f>
        <v>OK</v>
      </c>
    </row>
    <row r="512" spans="2:61">
      <c r="B512" s="75">
        <v>75</v>
      </c>
      <c r="C512" s="15" t="str">
        <v>Kamogelo Sebelebele</v>
      </c>
      <c r="D512" s="15">
        <v>23</v>
      </c>
      <c r="E512" s="15" t="str">
        <v>South Africa</v>
      </c>
      <c r="F512" s="15" t="str">
        <v>RW</v>
      </c>
      <c r="G512" s="15" t="str">
        <v>Orlando Pirates</v>
      </c>
      <c r="H512" s="15">
        <v>25</v>
      </c>
      <c r="I512" s="15" t="str">
        <f t="shared" si="49"/>
        <v>75|Kamogelo Sebelebele|23|South Africa|RW|Orlando Pirates|25</v>
      </c>
      <c r="J512" s="15" t="str">
        <f>IF(COUNTIF(I$438:I512,I512)&gt;1,"DOUBLON","OK")</f>
        <v>OK</v>
      </c>
      <c r="S512" s="30" t="str">
        <v>Italy</v>
      </c>
      <c r="T512" s="30" t="str">
        <f t="shared" si="50"/>
        <v>OK</v>
      </c>
      <c r="U512" s="30" t="str">
        <f t="shared" ref="U512:U575" si="51">IF(OR(S512="Scotland",S512="England",S512="Wales",S512="Yugoslavia",S512="Czechoslovakia",S512="Northern Ireland",S512="Soviet Union",S512="Zaire",S512="Dutch East Indies"),"AUCUNE",IF(OR(S512="Cape Verde",S512="USA",S512="DR Congo",S512="Republic of Korea",S512="Germany FR",S512="Germany DR",S512="Czechia",S512="Ivory Coast",S512="Korea DPR",S512="China PR",S512="IR Iran",S512="Türkiye",S512="Congo DR",S512="German DR",S512="West Germany",S512="Republic of Ireland",ISNUMBER(SEARCH("rn""&gt;United Arab Emirates",S512)),ISNUMBER(SEARCH("rn""&gt;Republic of Ireland",S512)),ISNUMBER(SEARCH("rn""&gt;Bosnia and Herzegovina",S512)),ISNUMBER(SEARCH("rn""&gt;Trinidad and Tobago",S512)),ISNUMBER(SEARCH("rn""&gt;Serbia and Montenegro",S512)),ISNUMBER(SEARCH(_xlfn.UNICHAR(65533),S512))),"RENOMMER","-"))</f>
        <v>-</v>
      </c>
      <c r="V512" s="30" t="str" cm="1">
        <f t="array" ref="V512">_xlfn.IFS(
ISNUMBER(SEARCH("USA",S512)),"United States",
ISNUMBER(SEARCH("Republic of Korea",S512)),"South Korea",
ISNUMBER(SEARCH("Cape Verde",S512)),"Cabo Verde",
ISNUMBER(SEARCH("Czechia",S512)),"Czech Republic",
ISNUMBER(SEARCH("Türkiye",S512)),"Turkey",
ISNUMBER(SEARCH("Ivory Coast",S512)),"Côte d'Ivoire",
ISNUMBER(SEARCH("Korea Republic",S512)),"South Korea",
ISNUMBER(SEARCH("Germany FR",S512)),"FR Germany",
ISNUMBER(SEARCH("West Germany",S512)),"FR Germany",
ISNUMBER(SEARCH("Germany DR",S512)),"DR Germany",
ISNUMBER(SEARCH("Korea DPR",S512)),"North Korea",
ISNUMBER(SEARCH("China PR",S512)),"China",
ISNUMBER(SEARCH("IR Iran",S512)),"Iran",
ISNUMBER(SEARCH("Congo DR",S512)),"Democratic Republic of the Congo",
ISNUMBER(SEARCH("DR Congo",S512)),"Democratic Republic of the Congo",
ISNUMBER(SEARCH("German DR",S512)),"DR Germany",
ISNUMBER(SEARCH("rn""&gt;United Arab Emirates",S512)),"United Arab Emirates",
ISNUMBER(SEARCH("rn""&gt;Republic of Ireland",S512)),"Ireland",
ISNUMBER(SEARCH("rn""&gt;Bosnia and Herzegovina",S512)),"Bosnia and Herzegovina",
ISNUMBER(SEARCH("rn""&gt;Trinidad and Tobago",S512)),"Trinidad and Tobago",
ISNUMBER(SEARCH("rn""&gt;Serbia and Montenegro",S512)),"Serbia and Montenegro",
ISNUMBER(SEARCH(_xlfn.UNICHAR(65533),S512)),"Côte d'Ivoire",
TRUE,""
)</f>
        <v/>
      </c>
      <c r="W512" s="30" t="str">
        <f t="shared" si="47"/>
        <v>Italy</v>
      </c>
      <c r="Z512" s="40" t="str">
        <v>RFK Stadium</v>
      </c>
      <c r="AA512" s="40" t="str" cm="1">
        <f t="array" ref="AA512">IFERROR(_xlfn.XLOOKUP(Z512,_xlfn.ANCHORARRAY(Z$31),AA$31:AA$37),Z512)</f>
        <v>RFK Stadium</v>
      </c>
      <c r="AB512" s="42" t="str">
        <v xml:space="preserve">Washington Dc </v>
      </c>
      <c r="AC512" s="89" t="str">
        <f t="shared" si="48"/>
        <v xml:space="preserve">Washington Dc </v>
      </c>
      <c r="AE512" s="42">
        <v>1990</v>
      </c>
      <c r="AK512" s="42">
        <v>5</v>
      </c>
      <c r="AL512" s="42">
        <v>1</v>
      </c>
      <c r="AW512" s="89" t="str">
        <v>ROUND_OF_16</v>
      </c>
      <c r="BE512" s="43" t="str">
        <f>IF(OR(DATA_CLEANED!AL503="",DATA_CLEANED!AM503=""),"MANQUANT",IF(OR(NOT(ISNUMBER(DATA_CLEANED!AL503)),NOT(ISNUMBER(DATA_CLEANED!AM503))),"ENTREE INVALIDE",IF(OR(DATA_CLEANED!AL503&lt;0,DATA_CLEANED!AM503&lt;0),"SCORE NEGATIF","OK")))</f>
        <v>OK</v>
      </c>
      <c r="BF512" s="43" t="str">
        <f>IF(DATA_CLEANED!AK503&lt;&gt;DATA_CLEANED!AN503,"OK","ERREUR")</f>
        <v>OK</v>
      </c>
      <c r="BG512" s="43" t="str">
        <f>IF(DATA_CLEANED!AL503&gt;DATA_CLEANED!AM503,DATA_CLEANED!AK503,IF(AND(DATA_QUALITE!W4989="-",DATA_CLEANED!AM503=DATA_CLEANED!AL503),"MATCH NUL",IF(AND(DATA_QUALITE!V4989="-",DATA_QUALITE!U4989="AUCUNE"),DATA_QUALITE!T4989,IF(DATA_QUALITE!V4989&lt;&gt;"-",DATA_QUALITE!V4989,DATA_CLEANED!AN503))))</f>
        <v>Germany</v>
      </c>
      <c r="BH512" s="103" t="str">
        <f>IF(AND(BG512="MATCH NUL",DATA_CLEANED!AO503="-"),"MATCH_NUL",IF(ISNUMBER(SEARCH("win on penalties",W4989)),"WIN_BY_PENALTY",IF(ISNUMBER(SEARCH("win after extra time",W4989)),"WIN_BY_EXTRA_TIME",IF(ISNUMBER(SEARCH("Golden Goal",W4989)),"WIN_BY_GOLDEN_GOAL","WIN_BY_SCORE"))))</f>
        <v>WIN_BY_SCORE</v>
      </c>
      <c r="BI512" s="99" t="str">
        <f>IF(OR(BG512=DATA_CLEANED!AK503,BG512=DATA_CLEANED!AN503,BG512="MATCH NUL"),"OK","ERREUR")</f>
        <v>OK</v>
      </c>
    </row>
    <row r="513" spans="2:61">
      <c r="B513" s="75">
        <v>76</v>
      </c>
      <c r="C513" s="15" t="str">
        <v>Lyle Foster</v>
      </c>
      <c r="D513" s="15">
        <v>25</v>
      </c>
      <c r="E513" s="15" t="str">
        <v>South Africa</v>
      </c>
      <c r="F513" s="15" t="str">
        <v>ST</v>
      </c>
      <c r="G513" s="15" t="str">
        <v>Burnley</v>
      </c>
      <c r="H513" s="15">
        <v>9</v>
      </c>
      <c r="I513" s="15" t="str">
        <f t="shared" si="49"/>
        <v>76|Lyle Foster|25|South Africa|ST|Burnley|9</v>
      </c>
      <c r="J513" s="15" t="str">
        <f>IF(COUNTIF(I$438:I513,I513)&gt;1,"DOUBLON","OK")</f>
        <v>OK</v>
      </c>
      <c r="S513" s="30" t="str">
        <v>Italy</v>
      </c>
      <c r="T513" s="30" t="str">
        <f t="shared" si="50"/>
        <v>OK</v>
      </c>
      <c r="U513" s="30" t="str">
        <f t="shared" si="51"/>
        <v>-</v>
      </c>
      <c r="V513" s="30" t="str" cm="1">
        <f t="array" ref="V513">_xlfn.IFS(
ISNUMBER(SEARCH("USA",S513)),"United States",
ISNUMBER(SEARCH("Republic of Korea",S513)),"South Korea",
ISNUMBER(SEARCH("Cape Verde",S513)),"Cabo Verde",
ISNUMBER(SEARCH("Czechia",S513)),"Czech Republic",
ISNUMBER(SEARCH("Türkiye",S513)),"Turkey",
ISNUMBER(SEARCH("Ivory Coast",S513)),"Côte d'Ivoire",
ISNUMBER(SEARCH("Korea Republic",S513)),"South Korea",
ISNUMBER(SEARCH("Germany FR",S513)),"FR Germany",
ISNUMBER(SEARCH("West Germany",S513)),"FR Germany",
ISNUMBER(SEARCH("Germany DR",S513)),"DR Germany",
ISNUMBER(SEARCH("Korea DPR",S513)),"North Korea",
ISNUMBER(SEARCH("China PR",S513)),"China",
ISNUMBER(SEARCH("IR Iran",S513)),"Iran",
ISNUMBER(SEARCH("Congo DR",S513)),"Democratic Republic of the Congo",
ISNUMBER(SEARCH("DR Congo",S513)),"Democratic Republic of the Congo",
ISNUMBER(SEARCH("German DR",S513)),"DR Germany",
ISNUMBER(SEARCH("rn""&gt;United Arab Emirates",S513)),"United Arab Emirates",
ISNUMBER(SEARCH("rn""&gt;Republic of Ireland",S513)),"Ireland",
ISNUMBER(SEARCH("rn""&gt;Bosnia and Herzegovina",S513)),"Bosnia and Herzegovina",
ISNUMBER(SEARCH("rn""&gt;Trinidad and Tobago",S513)),"Trinidad and Tobago",
ISNUMBER(SEARCH("rn""&gt;Serbia and Montenegro",S513)),"Serbia and Montenegro",
ISNUMBER(SEARCH(_xlfn.UNICHAR(65533),S513)),"Côte d'Ivoire",
TRUE,""
)</f>
        <v/>
      </c>
      <c r="W513" s="30" t="str">
        <f t="shared" si="47"/>
        <v>Italy</v>
      </c>
      <c r="Z513" s="40" t="str">
        <v>Stanford Stadium</v>
      </c>
      <c r="AA513" s="40" t="str" cm="1">
        <f t="array" ref="AA513">IFERROR(_xlfn.XLOOKUP(Z513,_xlfn.ANCHORARRAY(Z$31),AA$31:AA$37),Z513)</f>
        <v>Stanford Stadium</v>
      </c>
      <c r="AB513" s="42" t="str">
        <v xml:space="preserve">San Francisco </v>
      </c>
      <c r="AC513" s="89" t="str">
        <f t="shared" si="48"/>
        <v xml:space="preserve">San Francisco </v>
      </c>
      <c r="AE513" s="42">
        <v>1990</v>
      </c>
      <c r="AK513" s="42">
        <v>1</v>
      </c>
      <c r="AL513" s="42">
        <v>0</v>
      </c>
      <c r="AW513" s="89" t="str">
        <v>ROUND_OF_16</v>
      </c>
      <c r="BE513" s="43" t="str">
        <f>IF(OR(DATA_CLEANED!AL504="",DATA_CLEANED!AM504=""),"MANQUANT",IF(OR(NOT(ISNUMBER(DATA_CLEANED!AL504)),NOT(ISNUMBER(DATA_CLEANED!AM504))),"ENTREE INVALIDE",IF(OR(DATA_CLEANED!AL504&lt;0,DATA_CLEANED!AM504&lt;0),"SCORE NEGATIF","OK")))</f>
        <v>OK</v>
      </c>
      <c r="BF513" s="43" t="str">
        <f>IF(DATA_CLEANED!AK504&lt;&gt;DATA_CLEANED!AN504,"OK","ERREUR")</f>
        <v>OK</v>
      </c>
      <c r="BG513" s="43" t="str">
        <f>IF(DATA_CLEANED!AL504&gt;DATA_CLEANED!AM504,DATA_CLEANED!AK504,IF(AND(DATA_QUALITE!W4990="-",DATA_CLEANED!AM504=DATA_CLEANED!AL504),"MATCH NUL",IF(AND(DATA_QUALITE!V4990="-",DATA_QUALITE!U4990="AUCUNE"),DATA_QUALITE!T4990,IF(DATA_QUALITE!V4990&lt;&gt;"-",DATA_QUALITE!V4990,DATA_CLEANED!AN504))))</f>
        <v>Spain</v>
      </c>
      <c r="BH513" s="103" t="str">
        <f>IF(AND(BG513="MATCH NUL",DATA_CLEANED!AO504="-"),"MATCH_NUL",IF(ISNUMBER(SEARCH("win on penalties",W4990)),"WIN_BY_PENALTY",IF(ISNUMBER(SEARCH("win after extra time",W4990)),"WIN_BY_EXTRA_TIME",IF(ISNUMBER(SEARCH("Golden Goal",W4990)),"WIN_BY_GOLDEN_GOAL","WIN_BY_SCORE"))))</f>
        <v>WIN_BY_SCORE</v>
      </c>
      <c r="BI513" s="99" t="str">
        <f>IF(OR(BG513=DATA_CLEANED!AK504,BG513=DATA_CLEANED!AN504,BG513="MATCH NUL"),"OK","ERREUR")</f>
        <v>OK</v>
      </c>
    </row>
    <row r="514" spans="2:61">
      <c r="B514" s="75">
        <v>77</v>
      </c>
      <c r="C514" s="15" t="str">
        <v>Iqraam Rayners</v>
      </c>
      <c r="D514" s="15">
        <v>30</v>
      </c>
      <c r="E514" s="15" t="str">
        <v>South Africa</v>
      </c>
      <c r="F514" s="15" t="str">
        <v>ST</v>
      </c>
      <c r="G514" s="15" t="str">
        <v>Mamelodi Sundowns</v>
      </c>
      <c r="H514" s="15">
        <v>15</v>
      </c>
      <c r="I514" s="15" t="str">
        <f t="shared" si="49"/>
        <v>77|Iqraam Rayners|30|South Africa|ST|Mamelodi Sundowns|15</v>
      </c>
      <c r="J514" s="15" t="str">
        <f>IF(COUNTIF(I$438:I514,I514)&gt;1,"DOUBLON","OK")</f>
        <v>OK</v>
      </c>
      <c r="S514" s="30" t="str">
        <v>Italy</v>
      </c>
      <c r="T514" s="30" t="str">
        <f t="shared" si="50"/>
        <v>OK</v>
      </c>
      <c r="U514" s="30" t="str">
        <f t="shared" si="51"/>
        <v>-</v>
      </c>
      <c r="V514" s="30" t="str" cm="1">
        <f t="array" ref="V514">_xlfn.IFS(
ISNUMBER(SEARCH("USA",S514)),"United States",
ISNUMBER(SEARCH("Republic of Korea",S514)),"South Korea",
ISNUMBER(SEARCH("Cape Verde",S514)),"Cabo Verde",
ISNUMBER(SEARCH("Czechia",S514)),"Czech Republic",
ISNUMBER(SEARCH("Türkiye",S514)),"Turkey",
ISNUMBER(SEARCH("Ivory Coast",S514)),"Côte d'Ivoire",
ISNUMBER(SEARCH("Korea Republic",S514)),"South Korea",
ISNUMBER(SEARCH("Germany FR",S514)),"FR Germany",
ISNUMBER(SEARCH("West Germany",S514)),"FR Germany",
ISNUMBER(SEARCH("Germany DR",S514)),"DR Germany",
ISNUMBER(SEARCH("Korea DPR",S514)),"North Korea",
ISNUMBER(SEARCH("China PR",S514)),"China",
ISNUMBER(SEARCH("IR Iran",S514)),"Iran",
ISNUMBER(SEARCH("Congo DR",S514)),"Democratic Republic of the Congo",
ISNUMBER(SEARCH("DR Congo",S514)),"Democratic Republic of the Congo",
ISNUMBER(SEARCH("German DR",S514)),"DR Germany",
ISNUMBER(SEARCH("rn""&gt;United Arab Emirates",S514)),"United Arab Emirates",
ISNUMBER(SEARCH("rn""&gt;Republic of Ireland",S514)),"Ireland",
ISNUMBER(SEARCH("rn""&gt;Bosnia and Herzegovina",S514)),"Bosnia and Herzegovina",
ISNUMBER(SEARCH("rn""&gt;Trinidad and Tobago",S514)),"Trinidad and Tobago",
ISNUMBER(SEARCH("rn""&gt;Serbia and Montenegro",S514)),"Serbia and Montenegro",
ISNUMBER(SEARCH(_xlfn.UNICHAR(65533),S514)),"Côte d'Ivoire",
TRUE,""
)</f>
        <v/>
      </c>
      <c r="W514" s="30" t="str">
        <f t="shared" si="47"/>
        <v>Italy</v>
      </c>
      <c r="Z514" s="40" t="str">
        <v>Foxboro Stadium</v>
      </c>
      <c r="AA514" s="40" t="str" cm="1">
        <f t="array" ref="AA514">IFERROR(_xlfn.XLOOKUP(Z514,_xlfn.ANCHORARRAY(Z$31),AA$31:AA$37),Z514)</f>
        <v>Foxboro Stadium</v>
      </c>
      <c r="AB514" s="42" t="str">
        <v xml:space="preserve">Boston </v>
      </c>
      <c r="AC514" s="89" t="str">
        <f t="shared" si="48"/>
        <v xml:space="preserve">Boston </v>
      </c>
      <c r="AE514" s="42">
        <v>1990</v>
      </c>
      <c r="AK514" s="42">
        <v>1</v>
      </c>
      <c r="AL514" s="42">
        <v>2</v>
      </c>
      <c r="AW514" s="89" t="str">
        <v>ROUND_OF_16</v>
      </c>
      <c r="BE514" s="43" t="str">
        <f>IF(OR(DATA_CLEANED!AL505="",DATA_CLEANED!AM505=""),"MANQUANT",IF(OR(NOT(ISNUMBER(DATA_CLEANED!AL505)),NOT(ISNUMBER(DATA_CLEANED!AM505))),"ENTREE INVALIDE",IF(OR(DATA_CLEANED!AL505&lt;0,DATA_CLEANED!AM505&lt;0),"SCORE NEGATIF","OK")))</f>
        <v>OK</v>
      </c>
      <c r="BF514" s="43" t="str">
        <f>IF(DATA_CLEANED!AK505&lt;&gt;DATA_CLEANED!AN505,"OK","ERREUR")</f>
        <v>OK</v>
      </c>
      <c r="BG514" s="43" t="str">
        <f>IF(DATA_CLEANED!AL505&gt;DATA_CLEANED!AM505,DATA_CLEANED!AK505,IF(AND(DATA_QUALITE!W4991="-",DATA_CLEANED!AM505=DATA_CLEANED!AL505),"MATCH NUL",IF(AND(DATA_QUALITE!V4991="-",DATA_QUALITE!U4991="AUCUNE"),DATA_QUALITE!T4991,IF(DATA_QUALITE!V4991&lt;&gt;"-",DATA_QUALITE!V4991,DATA_CLEANED!AN505))))</f>
        <v>Sweden</v>
      </c>
      <c r="BH514" s="103" t="str">
        <f>IF(AND(BG514="MATCH NUL",DATA_CLEANED!AO505="-"),"MATCH_NUL",IF(ISNUMBER(SEARCH("win on penalties",W4991)),"WIN_BY_PENALTY",IF(ISNUMBER(SEARCH("win after extra time",W4991)),"WIN_BY_EXTRA_TIME",IF(ISNUMBER(SEARCH("Golden Goal",W4991)),"WIN_BY_GOLDEN_GOAL","WIN_BY_SCORE"))))</f>
        <v>WIN_BY_SCORE</v>
      </c>
      <c r="BI514" s="99" t="str">
        <f>IF(OR(BG514=DATA_CLEANED!AK505,BG514=DATA_CLEANED!AN505,BG514="MATCH NUL"),"OK","ERREUR")</f>
        <v>OK</v>
      </c>
    </row>
    <row r="515" spans="2:61">
      <c r="B515" s="75">
        <v>78</v>
      </c>
      <c r="C515" s="15" t="str">
        <v>Evidence Makgopa</v>
      </c>
      <c r="D515" s="15">
        <v>26</v>
      </c>
      <c r="E515" s="15" t="str">
        <v>South Africa</v>
      </c>
      <c r="F515" s="15" t="str">
        <v>ST</v>
      </c>
      <c r="G515" s="15" t="str">
        <v>Orlando Pirates</v>
      </c>
      <c r="H515" s="15">
        <v>17</v>
      </c>
      <c r="I515" s="15" t="str">
        <f t="shared" si="49"/>
        <v>78|Evidence Makgopa|26|South Africa|ST|Orlando Pirates|17</v>
      </c>
      <c r="J515" s="15" t="str">
        <f>IF(COUNTIF(I$438:I515,I515)&gt;1,"DOUBLON","OK")</f>
        <v>OK</v>
      </c>
      <c r="S515" s="30" t="str">
        <v>Italy</v>
      </c>
      <c r="T515" s="30" t="str">
        <f t="shared" si="50"/>
        <v>OK</v>
      </c>
      <c r="U515" s="30" t="str">
        <f t="shared" si="51"/>
        <v>-</v>
      </c>
      <c r="V515" s="30" t="str" cm="1">
        <f t="array" ref="V515">_xlfn.IFS(
ISNUMBER(SEARCH("USA",S515)),"United States",
ISNUMBER(SEARCH("Republic of Korea",S515)),"South Korea",
ISNUMBER(SEARCH("Cape Verde",S515)),"Cabo Verde",
ISNUMBER(SEARCH("Czechia",S515)),"Czech Republic",
ISNUMBER(SEARCH("Türkiye",S515)),"Turkey",
ISNUMBER(SEARCH("Ivory Coast",S515)),"Côte d'Ivoire",
ISNUMBER(SEARCH("Korea Republic",S515)),"South Korea",
ISNUMBER(SEARCH("Germany FR",S515)),"FR Germany",
ISNUMBER(SEARCH("West Germany",S515)),"FR Germany",
ISNUMBER(SEARCH("Germany DR",S515)),"DR Germany",
ISNUMBER(SEARCH("Korea DPR",S515)),"North Korea",
ISNUMBER(SEARCH("China PR",S515)),"China",
ISNUMBER(SEARCH("IR Iran",S515)),"Iran",
ISNUMBER(SEARCH("Congo DR",S515)),"Democratic Republic of the Congo",
ISNUMBER(SEARCH("DR Congo",S515)),"Democratic Republic of the Congo",
ISNUMBER(SEARCH("German DR",S515)),"DR Germany",
ISNUMBER(SEARCH("rn""&gt;United Arab Emirates",S515)),"United Arab Emirates",
ISNUMBER(SEARCH("rn""&gt;Republic of Ireland",S515)),"Ireland",
ISNUMBER(SEARCH("rn""&gt;Bosnia and Herzegovina",S515)),"Bosnia and Herzegovina",
ISNUMBER(SEARCH("rn""&gt;Trinidad and Tobago",S515)),"Trinidad and Tobago",
ISNUMBER(SEARCH("rn""&gt;Serbia and Montenegro",S515)),"Serbia and Montenegro",
ISNUMBER(SEARCH(_xlfn.UNICHAR(65533),S515)),"Côte d'Ivoire",
TRUE,""
)</f>
        <v/>
      </c>
      <c r="W515" s="30" t="str">
        <f t="shared" si="47"/>
        <v>Italy</v>
      </c>
      <c r="Z515" s="40" t="str">
        <v>Cotton Bowl</v>
      </c>
      <c r="AA515" s="40" t="str" cm="1">
        <f t="array" ref="AA515">IFERROR(_xlfn.XLOOKUP(Z515,_xlfn.ANCHORARRAY(Z$31),AA$31:AA$37),Z515)</f>
        <v>Cotton Bowl</v>
      </c>
      <c r="AB515" s="42" t="str">
        <v xml:space="preserve">Dallas </v>
      </c>
      <c r="AC515" s="89" t="str">
        <f t="shared" si="48"/>
        <v xml:space="preserve">Dallas </v>
      </c>
      <c r="AE515" s="42">
        <v>1990</v>
      </c>
      <c r="AK515" s="42">
        <v>0</v>
      </c>
      <c r="AL515" s="42">
        <v>0</v>
      </c>
      <c r="AW515" s="89" t="str">
        <v>ROUND_OF_16</v>
      </c>
      <c r="BE515" s="43" t="str">
        <f>IF(OR(DATA_CLEANED!AL506="",DATA_CLEANED!AM506=""),"MANQUANT",IF(OR(NOT(ISNUMBER(DATA_CLEANED!AL506)),NOT(ISNUMBER(DATA_CLEANED!AM506))),"ENTREE INVALIDE",IF(OR(DATA_CLEANED!AL506&lt;0,DATA_CLEANED!AM506&lt;0),"SCORE NEGATIF","OK")))</f>
        <v>OK</v>
      </c>
      <c r="BF515" s="43" t="str">
        <f>IF(DATA_CLEANED!AK506&lt;&gt;DATA_CLEANED!AN506,"OK","ERREUR")</f>
        <v>OK</v>
      </c>
      <c r="BG515" s="43" t="str">
        <f>IF(DATA_CLEANED!AL506&gt;DATA_CLEANED!AM506,DATA_CLEANED!AK506,IF(AND(DATA_QUALITE!W4992="-",DATA_CLEANED!AM506=DATA_CLEANED!AL506),"MATCH NUL",IF(AND(DATA_QUALITE!V4992="-",DATA_QUALITE!U4992="AUCUNE"),DATA_QUALITE!T4992,IF(DATA_QUALITE!V4992&lt;&gt;"-",DATA_QUALITE!V4992,DATA_CLEANED!AN506))))</f>
        <v>Romania</v>
      </c>
      <c r="BH515" s="103" t="str">
        <f>IF(AND(BG515="MATCH NUL",DATA_CLEANED!AO506="-"),"MATCH_NUL",IF(ISNUMBER(SEARCH("win on penalties",W4992)),"WIN_BY_PENALTY",IF(ISNUMBER(SEARCH("win after extra time",W4992)),"WIN_BY_EXTRA_TIME",IF(ISNUMBER(SEARCH("Golden Goal",W4992)),"WIN_BY_GOLDEN_GOAL","WIN_BY_SCORE"))))</f>
        <v>WIN_BY_SCORE</v>
      </c>
      <c r="BI515" s="99" t="str">
        <f>IF(OR(BG515=DATA_CLEANED!AK506,BG515=DATA_CLEANED!AN506,BG515="MATCH NUL"),"OK","ERREUR")</f>
        <v>OK</v>
      </c>
    </row>
    <row r="516" spans="2:61">
      <c r="B516" s="75">
        <v>79</v>
      </c>
      <c r="C516" s="15" t="str">
        <v>Kim Seung-gyu</v>
      </c>
      <c r="D516" s="15">
        <v>35</v>
      </c>
      <c r="E516" s="15" t="str">
        <v>Republic of Korea</v>
      </c>
      <c r="F516" s="15" t="str">
        <v>GK</v>
      </c>
      <c r="G516" s="15" t="str">
        <v>FC Tokyo</v>
      </c>
      <c r="H516" s="15">
        <v>1</v>
      </c>
      <c r="I516" s="15" t="str">
        <f t="shared" si="49"/>
        <v>79|Kim Seung-gyu|35|Republic of Korea|GK|FC Tokyo|1</v>
      </c>
      <c r="J516" s="15" t="str">
        <f>IF(COUNTIF(I$438:I516,I516)&gt;1,"DOUBLON","OK")</f>
        <v>OK</v>
      </c>
      <c r="S516" s="30" t="str">
        <v>Italy</v>
      </c>
      <c r="T516" s="30" t="str">
        <f t="shared" si="50"/>
        <v>OK</v>
      </c>
      <c r="U516" s="30" t="str">
        <f t="shared" si="51"/>
        <v>-</v>
      </c>
      <c r="V516" s="30" t="str" cm="1">
        <f t="array" ref="V516">_xlfn.IFS(
ISNUMBER(SEARCH("USA",S516)),"United States",
ISNUMBER(SEARCH("Republic of Korea",S516)),"South Korea",
ISNUMBER(SEARCH("Cape Verde",S516)),"Cabo Verde",
ISNUMBER(SEARCH("Czechia",S516)),"Czech Republic",
ISNUMBER(SEARCH("Türkiye",S516)),"Turkey",
ISNUMBER(SEARCH("Ivory Coast",S516)),"Côte d'Ivoire",
ISNUMBER(SEARCH("Korea Republic",S516)),"South Korea",
ISNUMBER(SEARCH("Germany FR",S516)),"FR Germany",
ISNUMBER(SEARCH("West Germany",S516)),"FR Germany",
ISNUMBER(SEARCH("Germany DR",S516)),"DR Germany",
ISNUMBER(SEARCH("Korea DPR",S516)),"North Korea",
ISNUMBER(SEARCH("China PR",S516)),"China",
ISNUMBER(SEARCH("IR Iran",S516)),"Iran",
ISNUMBER(SEARCH("Congo DR",S516)),"Democratic Republic of the Congo",
ISNUMBER(SEARCH("DR Congo",S516)),"Democratic Republic of the Congo",
ISNUMBER(SEARCH("German DR",S516)),"DR Germany",
ISNUMBER(SEARCH("rn""&gt;United Arab Emirates",S516)),"United Arab Emirates",
ISNUMBER(SEARCH("rn""&gt;Republic of Ireland",S516)),"Ireland",
ISNUMBER(SEARCH("rn""&gt;Bosnia and Herzegovina",S516)),"Bosnia and Herzegovina",
ISNUMBER(SEARCH("rn""&gt;Trinidad and Tobago",S516)),"Trinidad and Tobago",
ISNUMBER(SEARCH("rn""&gt;Serbia and Montenegro",S516)),"Serbia and Montenegro",
ISNUMBER(SEARCH(_xlfn.UNICHAR(65533),S516)),"Côte d'Ivoire",
TRUE,""
)</f>
        <v/>
      </c>
      <c r="W516" s="30" t="str">
        <f t="shared" si="47"/>
        <v>Italy</v>
      </c>
      <c r="Z516" s="40" t="str">
        <v>Soldier Field</v>
      </c>
      <c r="AA516" s="40" t="str" cm="1">
        <f t="array" ref="AA516">IFERROR(_xlfn.XLOOKUP(Z516,_xlfn.ANCHORARRAY(Z$31),AA$31:AA$37),Z516)</f>
        <v>Soldier Field</v>
      </c>
      <c r="AB516" s="42" t="str">
        <v xml:space="preserve">Chicago </v>
      </c>
      <c r="AC516" s="89" t="str">
        <f t="shared" si="48"/>
        <v xml:space="preserve">Chicago </v>
      </c>
      <c r="AE516" s="42">
        <v>1990</v>
      </c>
      <c r="AK516" s="42">
        <v>0</v>
      </c>
      <c r="AL516" s="42">
        <v>0</v>
      </c>
      <c r="AW516" s="89" t="str">
        <v>ROUND_OF_16</v>
      </c>
      <c r="BE516" s="43" t="str">
        <f>IF(OR(DATA_CLEANED!AL507="",DATA_CLEANED!AM507=""),"MANQUANT",IF(OR(NOT(ISNUMBER(DATA_CLEANED!AL507)),NOT(ISNUMBER(DATA_CLEANED!AM507))),"ENTREE INVALIDE",IF(OR(DATA_CLEANED!AL507&lt;0,DATA_CLEANED!AM507&lt;0),"SCORE NEGATIF","OK")))</f>
        <v>OK</v>
      </c>
      <c r="BF516" s="43" t="str">
        <f>IF(DATA_CLEANED!AK507&lt;&gt;DATA_CLEANED!AN507,"OK","ERREUR")</f>
        <v>OK</v>
      </c>
      <c r="BG516" s="43" t="str">
        <f>IF(DATA_CLEANED!AL507&gt;DATA_CLEANED!AM507,DATA_CLEANED!AK507,IF(AND(DATA_QUALITE!W4993="-",DATA_CLEANED!AM507=DATA_CLEANED!AL507),"MATCH NUL",IF(AND(DATA_QUALITE!V4993="-",DATA_QUALITE!U4993="AUCUNE"),DATA_QUALITE!T4993,IF(DATA_QUALITE!V4993&lt;&gt;"-",DATA_QUALITE!V4993,DATA_CLEANED!AN507))))</f>
        <v>Netherlands</v>
      </c>
      <c r="BH516" s="103" t="str">
        <f>IF(AND(BG516="MATCH NUL",DATA_CLEANED!AO507="-"),"MATCH_NUL",IF(ISNUMBER(SEARCH("win on penalties",W4993)),"WIN_BY_PENALTY",IF(ISNUMBER(SEARCH("win after extra time",W4993)),"WIN_BY_EXTRA_TIME",IF(ISNUMBER(SEARCH("Golden Goal",W4993)),"WIN_BY_GOLDEN_GOAL","WIN_BY_SCORE"))))</f>
        <v>WIN_BY_SCORE</v>
      </c>
      <c r="BI516" s="99" t="str">
        <f>IF(OR(BG516=DATA_CLEANED!AK507,BG516=DATA_CLEANED!AN507,BG516="MATCH NUL"),"OK","ERREUR")</f>
        <v>OK</v>
      </c>
    </row>
    <row r="517" spans="2:61">
      <c r="B517" s="75">
        <v>80</v>
      </c>
      <c r="C517" s="15" t="str">
        <v>Song Bum-keun</v>
      </c>
      <c r="D517" s="15">
        <v>28</v>
      </c>
      <c r="E517" s="15" t="str">
        <v>Republic of Korea</v>
      </c>
      <c r="F517" s="15" t="str">
        <v>GK</v>
      </c>
      <c r="G517" s="15" t="str">
        <v>Jeonbuk Hyundai Motors</v>
      </c>
      <c r="H517" s="15">
        <v>12</v>
      </c>
      <c r="I517" s="15" t="str">
        <f t="shared" si="49"/>
        <v>80|Song Bum-keun|28|Republic of Korea|GK|Jeonbuk Hyundai Motors|12</v>
      </c>
      <c r="J517" s="15" t="str">
        <f>IF(COUNTIF(I$438:I517,I517)&gt;1,"DOUBLON","OK")</f>
        <v>OK</v>
      </c>
      <c r="S517" s="30" t="str">
        <v>Italy</v>
      </c>
      <c r="T517" s="30" t="str">
        <f t="shared" si="50"/>
        <v>OK</v>
      </c>
      <c r="U517" s="30" t="str">
        <f t="shared" si="51"/>
        <v>-</v>
      </c>
      <c r="V517" s="30" t="str" cm="1">
        <f t="array" ref="V517">_xlfn.IFS(
ISNUMBER(SEARCH("USA",S517)),"United States",
ISNUMBER(SEARCH("Republic of Korea",S517)),"South Korea",
ISNUMBER(SEARCH("Cape Verde",S517)),"Cabo Verde",
ISNUMBER(SEARCH("Czechia",S517)),"Czech Republic",
ISNUMBER(SEARCH("Türkiye",S517)),"Turkey",
ISNUMBER(SEARCH("Ivory Coast",S517)),"Côte d'Ivoire",
ISNUMBER(SEARCH("Korea Republic",S517)),"South Korea",
ISNUMBER(SEARCH("Germany FR",S517)),"FR Germany",
ISNUMBER(SEARCH("West Germany",S517)),"FR Germany",
ISNUMBER(SEARCH("Germany DR",S517)),"DR Germany",
ISNUMBER(SEARCH("Korea DPR",S517)),"North Korea",
ISNUMBER(SEARCH("China PR",S517)),"China",
ISNUMBER(SEARCH("IR Iran",S517)),"Iran",
ISNUMBER(SEARCH("Congo DR",S517)),"Democratic Republic of the Congo",
ISNUMBER(SEARCH("DR Congo",S517)),"Democratic Republic of the Congo",
ISNUMBER(SEARCH("German DR",S517)),"DR Germany",
ISNUMBER(SEARCH("rn""&gt;United Arab Emirates",S517)),"United Arab Emirates",
ISNUMBER(SEARCH("rn""&gt;Republic of Ireland",S517)),"Ireland",
ISNUMBER(SEARCH("rn""&gt;Bosnia and Herzegovina",S517)),"Bosnia and Herzegovina",
ISNUMBER(SEARCH("rn""&gt;Trinidad and Tobago",S517)),"Trinidad and Tobago",
ISNUMBER(SEARCH("rn""&gt;Serbia and Montenegro",S517)),"Serbia and Montenegro",
ISNUMBER(SEARCH(_xlfn.UNICHAR(65533),S517)),"Côte d'Ivoire",
TRUE,""
)</f>
        <v/>
      </c>
      <c r="W517" s="30" t="str">
        <f t="shared" si="47"/>
        <v>Italy</v>
      </c>
      <c r="Z517" s="40" t="str">
        <v>Pontiac Silverdome</v>
      </c>
      <c r="AA517" s="40" t="str" cm="1">
        <f t="array" ref="AA517">IFERROR(_xlfn.XLOOKUP(Z517,_xlfn.ANCHORARRAY(Z$31),AA$31:AA$37),Z517)</f>
        <v>Pontiac Silverdome</v>
      </c>
      <c r="AB517" s="42" t="str">
        <v xml:space="preserve">Detroit </v>
      </c>
      <c r="AC517" s="89" t="str">
        <f t="shared" si="48"/>
        <v xml:space="preserve">Detroit </v>
      </c>
      <c r="AE517" s="42">
        <v>1990</v>
      </c>
      <c r="AK517" s="42">
        <v>1</v>
      </c>
      <c r="AL517" s="42">
        <v>3</v>
      </c>
      <c r="AW517" s="89" t="str">
        <v>ROUND_OF_16</v>
      </c>
      <c r="BE517" s="43" t="str">
        <f>IF(OR(DATA_CLEANED!AL508="",DATA_CLEANED!AM508=""),"MANQUANT",IF(OR(NOT(ISNUMBER(DATA_CLEANED!AL508)),NOT(ISNUMBER(DATA_CLEANED!AM508))),"ENTREE INVALIDE",IF(OR(DATA_CLEANED!AL508&lt;0,DATA_CLEANED!AM508&lt;0),"SCORE NEGATIF","OK")))</f>
        <v>OK</v>
      </c>
      <c r="BF517" s="43" t="str">
        <f>IF(DATA_CLEANED!AK508&lt;&gt;DATA_CLEANED!AN508,"OK","ERREUR")</f>
        <v>OK</v>
      </c>
      <c r="BG517" s="43" t="str">
        <f>IF(DATA_CLEANED!AL508&gt;DATA_CLEANED!AM508,DATA_CLEANED!AK508,IF(AND(DATA_QUALITE!W4994="-",DATA_CLEANED!AM508=DATA_CLEANED!AL508),"MATCH NUL",IF(AND(DATA_QUALITE!V4994="-",DATA_QUALITE!U4994="AUCUNE"),DATA_QUALITE!T4994,IF(DATA_QUALITE!V4994&lt;&gt;"-",DATA_QUALITE!V4994,DATA_CLEANED!AN508))))</f>
        <v>Brazil</v>
      </c>
      <c r="BH517" s="103" t="str">
        <f>IF(AND(BG517="MATCH NUL",DATA_CLEANED!AO508="-"),"MATCH_NUL",IF(ISNUMBER(SEARCH("win on penalties",W4994)),"WIN_BY_PENALTY",IF(ISNUMBER(SEARCH("win after extra time",W4994)),"WIN_BY_EXTRA_TIME",IF(ISNUMBER(SEARCH("Golden Goal",W4994)),"WIN_BY_GOLDEN_GOAL","WIN_BY_SCORE"))))</f>
        <v>WIN_BY_SCORE</v>
      </c>
      <c r="BI517" s="99" t="str">
        <f>IF(OR(BG517=DATA_CLEANED!AK508,BG517=DATA_CLEANED!AN508,BG517="MATCH NUL"),"OK","ERREUR")</f>
        <v>OK</v>
      </c>
    </row>
    <row r="518" spans="2:61">
      <c r="B518" s="75">
        <v>81</v>
      </c>
      <c r="C518" s="15" t="str">
        <v>Jo Hyeon-woo</v>
      </c>
      <c r="D518" s="15">
        <v>34</v>
      </c>
      <c r="E518" s="15" t="str">
        <v>Republic of Korea</v>
      </c>
      <c r="F518" s="15" t="str">
        <v>GK</v>
      </c>
      <c r="G518" s="15" t="str">
        <v>Ulsan HD</v>
      </c>
      <c r="H518" s="15">
        <v>21</v>
      </c>
      <c r="I518" s="15" t="str">
        <f t="shared" si="49"/>
        <v>81|Jo Hyeon-woo|34|Republic of Korea|GK|Ulsan HD|21</v>
      </c>
      <c r="J518" s="15" t="str">
        <f>IF(COUNTIF(I$438:I518,I518)&gt;1,"DOUBLON","OK")</f>
        <v>OK</v>
      </c>
      <c r="S518" s="30" t="str">
        <v>Italy</v>
      </c>
      <c r="T518" s="30" t="str">
        <f t="shared" si="50"/>
        <v>OK</v>
      </c>
      <c r="U518" s="30" t="str">
        <f t="shared" si="51"/>
        <v>-</v>
      </c>
      <c r="V518" s="30" t="str" cm="1">
        <f t="array" ref="V518">_xlfn.IFS(
ISNUMBER(SEARCH("USA",S518)),"United States",
ISNUMBER(SEARCH("Republic of Korea",S518)),"South Korea",
ISNUMBER(SEARCH("Cape Verde",S518)),"Cabo Verde",
ISNUMBER(SEARCH("Czechia",S518)),"Czech Republic",
ISNUMBER(SEARCH("Türkiye",S518)),"Turkey",
ISNUMBER(SEARCH("Ivory Coast",S518)),"Côte d'Ivoire",
ISNUMBER(SEARCH("Korea Republic",S518)),"South Korea",
ISNUMBER(SEARCH("Germany FR",S518)),"FR Germany",
ISNUMBER(SEARCH("West Germany",S518)),"FR Germany",
ISNUMBER(SEARCH("Germany DR",S518)),"DR Germany",
ISNUMBER(SEARCH("Korea DPR",S518)),"North Korea",
ISNUMBER(SEARCH("China PR",S518)),"China",
ISNUMBER(SEARCH("IR Iran",S518)),"Iran",
ISNUMBER(SEARCH("Congo DR",S518)),"Democratic Republic of the Congo",
ISNUMBER(SEARCH("DR Congo",S518)),"Democratic Republic of the Congo",
ISNUMBER(SEARCH("German DR",S518)),"DR Germany",
ISNUMBER(SEARCH("rn""&gt;United Arab Emirates",S518)),"United Arab Emirates",
ISNUMBER(SEARCH("rn""&gt;Republic of Ireland",S518)),"Ireland",
ISNUMBER(SEARCH("rn""&gt;Bosnia and Herzegovina",S518)),"Bosnia and Herzegovina",
ISNUMBER(SEARCH("rn""&gt;Trinidad and Tobago",S518)),"Trinidad and Tobago",
ISNUMBER(SEARCH("rn""&gt;Serbia and Montenegro",S518)),"Serbia and Montenegro",
ISNUMBER(SEARCH(_xlfn.UNICHAR(65533),S518)),"Côte d'Ivoire",
TRUE,""
)</f>
        <v/>
      </c>
      <c r="W518" s="30" t="str">
        <f t="shared" si="47"/>
        <v>Italy</v>
      </c>
      <c r="Z518" s="40" t="str">
        <v>Rose Bowl</v>
      </c>
      <c r="AA518" s="40" t="str" cm="1">
        <f t="array" ref="AA518">IFERROR(_xlfn.XLOOKUP(Z518,_xlfn.ANCHORARRAY(Z$31),AA$31:AA$37),Z518)</f>
        <v>Rose Bowl</v>
      </c>
      <c r="AB518" s="42" t="str">
        <v xml:space="preserve">Los Angeles </v>
      </c>
      <c r="AC518" s="89" t="str">
        <f t="shared" si="48"/>
        <v xml:space="preserve">Los Angeles </v>
      </c>
      <c r="AE518" s="42">
        <v>1990</v>
      </c>
      <c r="AK518" s="42">
        <v>3</v>
      </c>
      <c r="AL518" s="42">
        <v>1</v>
      </c>
      <c r="AW518" s="89" t="str">
        <v>ROUND_OF_16</v>
      </c>
      <c r="BE518" s="43" t="str">
        <f>IF(OR(DATA_CLEANED!AL509="",DATA_CLEANED!AM509=""),"MANQUANT",IF(OR(NOT(ISNUMBER(DATA_CLEANED!AL509)),NOT(ISNUMBER(DATA_CLEANED!AM509))),"ENTREE INVALIDE",IF(OR(DATA_CLEANED!AL509&lt;0,DATA_CLEANED!AM509&lt;0),"SCORE NEGATIF","OK")))</f>
        <v>OK</v>
      </c>
      <c r="BF518" s="43" t="str">
        <f>IF(DATA_CLEANED!AK509&lt;&gt;DATA_CLEANED!AN509,"OK","ERREUR")</f>
        <v>OK</v>
      </c>
      <c r="BG518" s="43" t="str">
        <f>IF(DATA_CLEANED!AL509&gt;DATA_CLEANED!AM509,DATA_CLEANED!AK509,IF(AND(DATA_QUALITE!W4995="-",DATA_CLEANED!AM509=DATA_CLEANED!AL509),"MATCH NUL",IF(AND(DATA_QUALITE!V4995="-",DATA_QUALITE!U4995="AUCUNE"),DATA_QUALITE!T4995,IF(DATA_QUALITE!V4995&lt;&gt;"-",DATA_QUALITE!V4995,DATA_CLEANED!AN509))))</f>
        <v>Italy</v>
      </c>
      <c r="BH518" s="103" t="str">
        <f>IF(AND(BG518="MATCH NUL",DATA_CLEANED!AO509="-"),"MATCH_NUL",IF(ISNUMBER(SEARCH("win on penalties",W4995)),"WIN_BY_PENALTY",IF(ISNUMBER(SEARCH("win after extra time",W4995)),"WIN_BY_EXTRA_TIME",IF(ISNUMBER(SEARCH("Golden Goal",W4995)),"WIN_BY_GOLDEN_GOAL","WIN_BY_SCORE"))))</f>
        <v>WIN_BY_EXTRA_TIME</v>
      </c>
      <c r="BI518" s="99" t="str">
        <f>IF(OR(BG518=DATA_CLEANED!AK509,BG518=DATA_CLEANED!AN509,BG518="MATCH NUL"),"OK","ERREUR")</f>
        <v>OK</v>
      </c>
    </row>
    <row r="519" spans="2:61">
      <c r="B519" s="75">
        <v>82</v>
      </c>
      <c r="C519" s="15" t="str">
        <v>Lee Han-beom</v>
      </c>
      <c r="D519" s="15">
        <v>23</v>
      </c>
      <c r="E519" s="15" t="str">
        <v>Republic of Korea</v>
      </c>
      <c r="F519" s="15" t="str">
        <v>CB</v>
      </c>
      <c r="G519" s="15" t="str">
        <v>Midtjylland</v>
      </c>
      <c r="H519" s="15">
        <v>2</v>
      </c>
      <c r="I519" s="15" t="str">
        <f t="shared" si="49"/>
        <v>82|Lee Han-beom|23|Republic of Korea|CB|Midtjylland|2</v>
      </c>
      <c r="J519" s="15" t="str">
        <f>IF(COUNTIF(I$438:I519,I519)&gt;1,"DOUBLON","OK")</f>
        <v>OK</v>
      </c>
      <c r="S519" s="30" t="str">
        <v>Italy</v>
      </c>
      <c r="T519" s="30" t="str">
        <f t="shared" si="50"/>
        <v>OK</v>
      </c>
      <c r="U519" s="30" t="str">
        <f t="shared" si="51"/>
        <v>-</v>
      </c>
      <c r="V519" s="30" t="str" cm="1">
        <f t="array" ref="V519">_xlfn.IFS(
ISNUMBER(SEARCH("USA",S519)),"United States",
ISNUMBER(SEARCH("Republic of Korea",S519)),"South Korea",
ISNUMBER(SEARCH("Cape Verde",S519)),"Cabo Verde",
ISNUMBER(SEARCH("Czechia",S519)),"Czech Republic",
ISNUMBER(SEARCH("Türkiye",S519)),"Turkey",
ISNUMBER(SEARCH("Ivory Coast",S519)),"Côte d'Ivoire",
ISNUMBER(SEARCH("Korea Republic",S519)),"South Korea",
ISNUMBER(SEARCH("Germany FR",S519)),"FR Germany",
ISNUMBER(SEARCH("West Germany",S519)),"FR Germany",
ISNUMBER(SEARCH("Germany DR",S519)),"DR Germany",
ISNUMBER(SEARCH("Korea DPR",S519)),"North Korea",
ISNUMBER(SEARCH("China PR",S519)),"China",
ISNUMBER(SEARCH("IR Iran",S519)),"Iran",
ISNUMBER(SEARCH("Congo DR",S519)),"Democratic Republic of the Congo",
ISNUMBER(SEARCH("DR Congo",S519)),"Democratic Republic of the Congo",
ISNUMBER(SEARCH("German DR",S519)),"DR Germany",
ISNUMBER(SEARCH("rn""&gt;United Arab Emirates",S519)),"United Arab Emirates",
ISNUMBER(SEARCH("rn""&gt;Republic of Ireland",S519)),"Ireland",
ISNUMBER(SEARCH("rn""&gt;Bosnia and Herzegovina",S519)),"Bosnia and Herzegovina",
ISNUMBER(SEARCH("rn""&gt;Trinidad and Tobago",S519)),"Trinidad and Tobago",
ISNUMBER(SEARCH("rn""&gt;Serbia and Montenegro",S519)),"Serbia and Montenegro",
ISNUMBER(SEARCH(_xlfn.UNICHAR(65533),S519)),"Côte d'Ivoire",
TRUE,""
)</f>
        <v/>
      </c>
      <c r="W519" s="30" t="str">
        <f t="shared" si="47"/>
        <v>Italy</v>
      </c>
      <c r="Z519" s="40" t="str">
        <v>Giants Stadium</v>
      </c>
      <c r="AA519" s="40" t="str" cm="1">
        <f t="array" ref="AA519">IFERROR(_xlfn.XLOOKUP(Z519,_xlfn.ANCHORARRAY(Z$31),AA$31:AA$37),Z519)</f>
        <v>Giants Stadium</v>
      </c>
      <c r="AB519" s="42" t="str">
        <v xml:space="preserve">New York/New Jersey </v>
      </c>
      <c r="AC519" s="89" t="str">
        <f t="shared" si="48"/>
        <v xml:space="preserve">New York/New Jersey </v>
      </c>
      <c r="AE519" s="42">
        <v>1990</v>
      </c>
      <c r="AK519" s="42">
        <v>1</v>
      </c>
      <c r="AL519" s="42">
        <v>1</v>
      </c>
      <c r="AW519" s="89" t="str">
        <v>ROUND_OF_16</v>
      </c>
      <c r="BE519" s="43" t="str">
        <f>IF(OR(DATA_CLEANED!AL510="",DATA_CLEANED!AM510=""),"MANQUANT",IF(OR(NOT(ISNUMBER(DATA_CLEANED!AL510)),NOT(ISNUMBER(DATA_CLEANED!AM510))),"ENTREE INVALIDE",IF(OR(DATA_CLEANED!AL510&lt;0,DATA_CLEANED!AM510&lt;0),"SCORE NEGATIF","OK")))</f>
        <v>OK</v>
      </c>
      <c r="BF519" s="43" t="str">
        <f>IF(DATA_CLEANED!AK510&lt;&gt;DATA_CLEANED!AN510,"OK","ERREUR")</f>
        <v>OK</v>
      </c>
      <c r="BG519" s="43" t="str">
        <f>IF(DATA_CLEANED!AL510&gt;DATA_CLEANED!AM510,DATA_CLEANED!AK510,IF(AND(DATA_QUALITE!W4996="-",DATA_CLEANED!AM510=DATA_CLEANED!AL510),"MATCH NUL",IF(AND(DATA_QUALITE!V4996="-",DATA_QUALITE!U4996="AUCUNE"),DATA_QUALITE!T4996,IF(DATA_QUALITE!V4996&lt;&gt;"-",DATA_QUALITE!V4996,DATA_CLEANED!AN510))))</f>
        <v>Bulgaria</v>
      </c>
      <c r="BH519" s="103" t="str">
        <f>IF(AND(BG519="MATCH NUL",DATA_CLEANED!AO510="-"),"MATCH_NUL",IF(ISNUMBER(SEARCH("win on penalties",W4996)),"WIN_BY_PENALTY",IF(ISNUMBER(SEARCH("win after extra time",W4996)),"WIN_BY_EXTRA_TIME",IF(ISNUMBER(SEARCH("Golden Goal",W4996)),"WIN_BY_GOLDEN_GOAL","WIN_BY_SCORE"))))</f>
        <v>WIN_BY_PENALTY</v>
      </c>
      <c r="BI519" s="99" t="str">
        <f>IF(OR(BG519=DATA_CLEANED!AK510,BG519=DATA_CLEANED!AN510,BG519="MATCH NUL"),"OK","ERREUR")</f>
        <v>OK</v>
      </c>
    </row>
    <row r="520" spans="2:61">
      <c r="B520" s="75">
        <v>83</v>
      </c>
      <c r="C520" s="15" t="str">
        <v>Kim Min-jae</v>
      </c>
      <c r="D520" s="15">
        <v>29</v>
      </c>
      <c r="E520" s="15" t="str">
        <v>Republic of Korea</v>
      </c>
      <c r="F520" s="15" t="str">
        <v>CB</v>
      </c>
      <c r="G520" s="15" t="str">
        <v>Bayern Munich</v>
      </c>
      <c r="H520" s="15">
        <v>4</v>
      </c>
      <c r="I520" s="15" t="str">
        <f t="shared" si="49"/>
        <v>83|Kim Min-jae|29|Republic of Korea|CB|Bayern Munich|4</v>
      </c>
      <c r="J520" s="15" t="str">
        <f>IF(COUNTIF(I$438:I520,I520)&gt;1,"DOUBLON","OK")</f>
        <v>OK</v>
      </c>
      <c r="S520" s="30" t="str">
        <v>Italy</v>
      </c>
      <c r="T520" s="30" t="str">
        <f t="shared" si="50"/>
        <v>OK</v>
      </c>
      <c r="U520" s="30" t="str">
        <f t="shared" si="51"/>
        <v>-</v>
      </c>
      <c r="V520" s="30" t="str" cm="1">
        <f t="array" ref="V520">_xlfn.IFS(
ISNUMBER(SEARCH("USA",S520)),"United States",
ISNUMBER(SEARCH("Republic of Korea",S520)),"South Korea",
ISNUMBER(SEARCH("Cape Verde",S520)),"Cabo Verde",
ISNUMBER(SEARCH("Czechia",S520)),"Czech Republic",
ISNUMBER(SEARCH("Türkiye",S520)),"Turkey",
ISNUMBER(SEARCH("Ivory Coast",S520)),"Côte d'Ivoire",
ISNUMBER(SEARCH("Korea Republic",S520)),"South Korea",
ISNUMBER(SEARCH("Germany FR",S520)),"FR Germany",
ISNUMBER(SEARCH("West Germany",S520)),"FR Germany",
ISNUMBER(SEARCH("Germany DR",S520)),"DR Germany",
ISNUMBER(SEARCH("Korea DPR",S520)),"North Korea",
ISNUMBER(SEARCH("China PR",S520)),"China",
ISNUMBER(SEARCH("IR Iran",S520)),"Iran",
ISNUMBER(SEARCH("Congo DR",S520)),"Democratic Republic of the Congo",
ISNUMBER(SEARCH("DR Congo",S520)),"Democratic Republic of the Congo",
ISNUMBER(SEARCH("German DR",S520)),"DR Germany",
ISNUMBER(SEARCH("rn""&gt;United Arab Emirates",S520)),"United Arab Emirates",
ISNUMBER(SEARCH("rn""&gt;Republic of Ireland",S520)),"Ireland",
ISNUMBER(SEARCH("rn""&gt;Bosnia and Herzegovina",S520)),"Bosnia and Herzegovina",
ISNUMBER(SEARCH("rn""&gt;Trinidad and Tobago",S520)),"Trinidad and Tobago",
ISNUMBER(SEARCH("rn""&gt;Serbia and Montenegro",S520)),"Serbia and Montenegro",
ISNUMBER(SEARCH(_xlfn.UNICHAR(65533),S520)),"Côte d'Ivoire",
TRUE,""
)</f>
        <v/>
      </c>
      <c r="W520" s="30" t="str">
        <f t="shared" si="47"/>
        <v>Italy</v>
      </c>
      <c r="Z520" s="40" t="str">
        <v>Foxboro Stadium</v>
      </c>
      <c r="AA520" s="40" t="str" cm="1">
        <f t="array" ref="AA520">IFERROR(_xlfn.XLOOKUP(Z520,_xlfn.ANCHORARRAY(Z$31),AA$31:AA$37),Z520)</f>
        <v>Foxboro Stadium</v>
      </c>
      <c r="AB520" s="42" t="str">
        <v xml:space="preserve">Boston </v>
      </c>
      <c r="AC520" s="89" t="str">
        <f t="shared" si="48"/>
        <v xml:space="preserve">Boston </v>
      </c>
      <c r="AE520" s="42">
        <v>1990</v>
      </c>
      <c r="AK520" s="42">
        <v>0</v>
      </c>
      <c r="AL520" s="42">
        <v>4</v>
      </c>
      <c r="AW520" s="89" t="str">
        <v>QUARTER_FINALS</v>
      </c>
      <c r="BE520" s="43" t="str">
        <f>IF(OR(DATA_CLEANED!AL511="",DATA_CLEANED!AM511=""),"MANQUANT",IF(OR(NOT(ISNUMBER(DATA_CLEANED!AL511)),NOT(ISNUMBER(DATA_CLEANED!AM511))),"ENTREE INVALIDE",IF(OR(DATA_CLEANED!AL511&lt;0,DATA_CLEANED!AM511&lt;0),"SCORE NEGATIF","OK")))</f>
        <v>OK</v>
      </c>
      <c r="BF520" s="43" t="str">
        <f>IF(DATA_CLEANED!AK511&lt;&gt;DATA_CLEANED!AN511,"OK","ERREUR")</f>
        <v>OK</v>
      </c>
      <c r="BG520" s="43" t="str">
        <f>IF(DATA_CLEANED!AL511&gt;DATA_CLEANED!AM511,DATA_CLEANED!AK511,IF(AND(DATA_QUALITE!W4997="-",DATA_CLEANED!AM511=DATA_CLEANED!AL511),"MATCH NUL",IF(AND(DATA_QUALITE!V4997="-",DATA_QUALITE!U4997="AUCUNE"),DATA_QUALITE!T4997,IF(DATA_QUALITE!V4997&lt;&gt;"-",DATA_QUALITE!V4997,DATA_CLEANED!AN511))))</f>
        <v>Italy</v>
      </c>
      <c r="BH520" s="103" t="str">
        <f>IF(AND(BG520="MATCH NUL",DATA_CLEANED!AO511="-"),"MATCH_NUL",IF(ISNUMBER(SEARCH("win on penalties",W4997)),"WIN_BY_PENALTY",IF(ISNUMBER(SEARCH("win after extra time",W4997)),"WIN_BY_EXTRA_TIME",IF(ISNUMBER(SEARCH("Golden Goal",W4997)),"WIN_BY_GOLDEN_GOAL","WIN_BY_SCORE"))))</f>
        <v>WIN_BY_SCORE</v>
      </c>
      <c r="BI520" s="99" t="str">
        <f>IF(OR(BG520=DATA_CLEANED!AK511,BG520=DATA_CLEANED!AN511,BG520="MATCH NUL"),"OK","ERREUR")</f>
        <v>OK</v>
      </c>
    </row>
    <row r="521" spans="2:61">
      <c r="B521" s="75">
        <v>84</v>
      </c>
      <c r="C521" s="15" t="str">
        <v>Kim Tae-hyeon</v>
      </c>
      <c r="D521" s="15">
        <v>25</v>
      </c>
      <c r="E521" s="15" t="str">
        <v>Republic of Korea</v>
      </c>
      <c r="F521" s="15" t="str">
        <v>CB</v>
      </c>
      <c r="G521" s="15" t="str">
        <v>Kashima Antlers</v>
      </c>
      <c r="H521" s="15">
        <v>5</v>
      </c>
      <c r="I521" s="15" t="str">
        <f t="shared" si="49"/>
        <v>84|Kim Tae-hyeon|25|Republic of Korea|CB|Kashima Antlers|5</v>
      </c>
      <c r="J521" s="15" t="str">
        <f>IF(COUNTIF(I$438:I521,I521)&gt;1,"DOUBLON","OK")</f>
        <v>OK</v>
      </c>
      <c r="S521" s="30" t="str">
        <v>England</v>
      </c>
      <c r="T521" s="30" t="str">
        <f t="shared" si="50"/>
        <v>ERREUR</v>
      </c>
      <c r="U521" s="30" t="str">
        <f t="shared" si="51"/>
        <v>AUCUNE</v>
      </c>
      <c r="V521" s="30" t="str" cm="1">
        <f t="array" ref="V521">_xlfn.IFS(
ISNUMBER(SEARCH("USA",S521)),"United States",
ISNUMBER(SEARCH("Republic of Korea",S521)),"South Korea",
ISNUMBER(SEARCH("Cape Verde",S521)),"Cabo Verde",
ISNUMBER(SEARCH("Czechia",S521)),"Czech Republic",
ISNUMBER(SEARCH("Türkiye",S521)),"Turkey",
ISNUMBER(SEARCH("Ivory Coast",S521)),"Côte d'Ivoire",
ISNUMBER(SEARCH("Korea Republic",S521)),"South Korea",
ISNUMBER(SEARCH("Germany FR",S521)),"FR Germany",
ISNUMBER(SEARCH("West Germany",S521)),"FR Germany",
ISNUMBER(SEARCH("Germany DR",S521)),"DR Germany",
ISNUMBER(SEARCH("Korea DPR",S521)),"North Korea",
ISNUMBER(SEARCH("China PR",S521)),"China",
ISNUMBER(SEARCH("IR Iran",S521)),"Iran",
ISNUMBER(SEARCH("Congo DR",S521)),"Democratic Republic of the Congo",
ISNUMBER(SEARCH("DR Congo",S521)),"Democratic Republic of the Congo",
ISNUMBER(SEARCH("German DR",S521)),"DR Germany",
ISNUMBER(SEARCH("rn""&gt;United Arab Emirates",S521)),"United Arab Emirates",
ISNUMBER(SEARCH("rn""&gt;Republic of Ireland",S521)),"Ireland",
ISNUMBER(SEARCH("rn""&gt;Bosnia and Herzegovina",S521)),"Bosnia and Herzegovina",
ISNUMBER(SEARCH("rn""&gt;Trinidad and Tobago",S521)),"Trinidad and Tobago",
ISNUMBER(SEARCH("rn""&gt;Serbia and Montenegro",S521)),"Serbia and Montenegro",
ISNUMBER(SEARCH(_xlfn.UNICHAR(65533),S521)),"Côte d'Ivoire",
TRUE,""
)</f>
        <v/>
      </c>
      <c r="W521" s="30" t="str">
        <f t="shared" si="47"/>
        <v>England</v>
      </c>
      <c r="Z521" s="40" t="str">
        <v>Citrus Bowl</v>
      </c>
      <c r="AA521" s="40" t="str" cm="1">
        <f t="array" ref="AA521">IFERROR(_xlfn.XLOOKUP(Z521,_xlfn.ANCHORARRAY(Z$31),AA$31:AA$37),Z521)</f>
        <v>Citrus Bowl</v>
      </c>
      <c r="AB521" s="42" t="str">
        <v xml:space="preserve">Orlando </v>
      </c>
      <c r="AC521" s="89" t="str">
        <f t="shared" si="48"/>
        <v xml:space="preserve">Orlando </v>
      </c>
      <c r="AE521" s="42">
        <v>1990</v>
      </c>
      <c r="AK521" s="42">
        <v>1</v>
      </c>
      <c r="AL521" s="42">
        <v>1</v>
      </c>
      <c r="AW521" s="89" t="str">
        <v>QUARTER_FINALS</v>
      </c>
      <c r="BE521" s="43" t="str">
        <f>IF(OR(DATA_CLEANED!AL512="",DATA_CLEANED!AM512=""),"MANQUANT",IF(OR(NOT(ISNUMBER(DATA_CLEANED!AL512)),NOT(ISNUMBER(DATA_CLEANED!AM512))),"ENTREE INVALIDE",IF(OR(DATA_CLEANED!AL512&lt;0,DATA_CLEANED!AM512&lt;0),"SCORE NEGATIF","OK")))</f>
        <v>OK</v>
      </c>
      <c r="BF521" s="43" t="str">
        <f>IF(DATA_CLEANED!AK512&lt;&gt;DATA_CLEANED!AN512,"OK","ERREUR")</f>
        <v>OK</v>
      </c>
      <c r="BG521" s="43" t="str">
        <f>IF(DATA_CLEANED!AL512&gt;DATA_CLEANED!AM512,DATA_CLEANED!AK512,IF(AND(DATA_QUALITE!W4998="-",DATA_CLEANED!AM512=DATA_CLEANED!AL512),"MATCH NUL",IF(AND(DATA_QUALITE!V4998="-",DATA_QUALITE!U4998="AUCUNE"),DATA_QUALITE!T4998,IF(DATA_QUALITE!V4998&lt;&gt;"-",DATA_QUALITE!V4998,DATA_CLEANED!AN512))))</f>
        <v>Brazil</v>
      </c>
      <c r="BH521" s="103" t="str">
        <f>IF(AND(BG521="MATCH NUL",DATA_CLEANED!AO512="-"),"MATCH_NUL",IF(ISNUMBER(SEARCH("win on penalties",W4998)),"WIN_BY_PENALTY",IF(ISNUMBER(SEARCH("win after extra time",W4998)),"WIN_BY_EXTRA_TIME",IF(ISNUMBER(SEARCH("Golden Goal",W4998)),"WIN_BY_GOLDEN_GOAL","WIN_BY_SCORE"))))</f>
        <v>WIN_BY_SCORE</v>
      </c>
      <c r="BI521" s="99" t="str">
        <f>IF(OR(BG521=DATA_CLEANED!AK512,BG521=DATA_CLEANED!AN512,BG521="MATCH NUL"),"OK","ERREUR")</f>
        <v>OK</v>
      </c>
    </row>
    <row r="522" spans="2:61">
      <c r="B522" s="75">
        <v>85</v>
      </c>
      <c r="C522" s="15" t="str">
        <v>Cho Wi-je</v>
      </c>
      <c r="D522" s="15">
        <v>24</v>
      </c>
      <c r="E522" s="15" t="str">
        <v>Republic of Korea</v>
      </c>
      <c r="F522" s="15" t="str">
        <v>CB</v>
      </c>
      <c r="G522" s="15" t="str">
        <v>Jeonbuk Hyundai Motors</v>
      </c>
      <c r="H522" s="15">
        <v>14</v>
      </c>
      <c r="I522" s="15" t="str">
        <f t="shared" si="49"/>
        <v>85|Cho Wi-je|24|Republic of Korea|CB|Jeonbuk Hyundai Motors|14</v>
      </c>
      <c r="J522" s="15" t="str">
        <f>IF(COUNTIF(I$438:I522,I522)&gt;1,"DOUBLON","OK")</f>
        <v>OK</v>
      </c>
      <c r="S522" s="30" t="str">
        <v>England</v>
      </c>
      <c r="T522" s="30" t="str">
        <f t="shared" si="50"/>
        <v>ERREUR</v>
      </c>
      <c r="U522" s="30" t="str">
        <f t="shared" si="51"/>
        <v>AUCUNE</v>
      </c>
      <c r="V522" s="30" t="str" cm="1">
        <f t="array" ref="V522">_xlfn.IFS(
ISNUMBER(SEARCH("USA",S522)),"United States",
ISNUMBER(SEARCH("Republic of Korea",S522)),"South Korea",
ISNUMBER(SEARCH("Cape Verde",S522)),"Cabo Verde",
ISNUMBER(SEARCH("Czechia",S522)),"Czech Republic",
ISNUMBER(SEARCH("Türkiye",S522)),"Turkey",
ISNUMBER(SEARCH("Ivory Coast",S522)),"Côte d'Ivoire",
ISNUMBER(SEARCH("Korea Republic",S522)),"South Korea",
ISNUMBER(SEARCH("Germany FR",S522)),"FR Germany",
ISNUMBER(SEARCH("West Germany",S522)),"FR Germany",
ISNUMBER(SEARCH("Germany DR",S522)),"DR Germany",
ISNUMBER(SEARCH("Korea DPR",S522)),"North Korea",
ISNUMBER(SEARCH("China PR",S522)),"China",
ISNUMBER(SEARCH("IR Iran",S522)),"Iran",
ISNUMBER(SEARCH("Congo DR",S522)),"Democratic Republic of the Congo",
ISNUMBER(SEARCH("DR Congo",S522)),"Democratic Republic of the Congo",
ISNUMBER(SEARCH("German DR",S522)),"DR Germany",
ISNUMBER(SEARCH("rn""&gt;United Arab Emirates",S522)),"United Arab Emirates",
ISNUMBER(SEARCH("rn""&gt;Republic of Ireland",S522)),"Ireland",
ISNUMBER(SEARCH("rn""&gt;Bosnia and Herzegovina",S522)),"Bosnia and Herzegovina",
ISNUMBER(SEARCH("rn""&gt;Trinidad and Tobago",S522)),"Trinidad and Tobago",
ISNUMBER(SEARCH("rn""&gt;Serbia and Montenegro",S522)),"Serbia and Montenegro",
ISNUMBER(SEARCH(_xlfn.UNICHAR(65533),S522)),"Côte d'Ivoire",
TRUE,""
)</f>
        <v/>
      </c>
      <c r="W522" s="30" t="str">
        <f t="shared" si="47"/>
        <v>England</v>
      </c>
      <c r="Z522" s="40" t="str">
        <v>Pontiac Silverdome</v>
      </c>
      <c r="AA522" s="40" t="str" cm="1">
        <f t="array" ref="AA522">IFERROR(_xlfn.XLOOKUP(Z522,_xlfn.ANCHORARRAY(Z$31),AA$31:AA$37),Z522)</f>
        <v>Pontiac Silverdome</v>
      </c>
      <c r="AB522" s="42" t="str">
        <v xml:space="preserve">Detroit </v>
      </c>
      <c r="AC522" s="89" t="str">
        <f t="shared" si="48"/>
        <v xml:space="preserve">Detroit </v>
      </c>
      <c r="AE522" s="42">
        <v>1990</v>
      </c>
      <c r="AK522" s="42">
        <v>4</v>
      </c>
      <c r="AL522" s="42">
        <v>1</v>
      </c>
      <c r="AW522" s="89" t="str">
        <v>QUARTER_FINALS</v>
      </c>
      <c r="BE522" s="43" t="str">
        <f>IF(OR(DATA_CLEANED!AL513="",DATA_CLEANED!AM513=""),"MANQUANT",IF(OR(NOT(ISNUMBER(DATA_CLEANED!AL513)),NOT(ISNUMBER(DATA_CLEANED!AM513))),"ENTREE INVALIDE",IF(OR(DATA_CLEANED!AL513&lt;0,DATA_CLEANED!AM513&lt;0),"SCORE NEGATIF","OK")))</f>
        <v>OK</v>
      </c>
      <c r="BF522" s="43" t="str">
        <f>IF(DATA_CLEANED!AK513&lt;&gt;DATA_CLEANED!AN513,"OK","ERREUR")</f>
        <v>OK</v>
      </c>
      <c r="BG522" s="43" t="str">
        <f>IF(DATA_CLEANED!AL513&gt;DATA_CLEANED!AM513,DATA_CLEANED!AK513,IF(AND(DATA_QUALITE!W4999="-",DATA_CLEANED!AM513=DATA_CLEANED!AL513),"MATCH NUL",IF(AND(DATA_QUALITE!V4999="-",DATA_QUALITE!U4999="AUCUNE"),DATA_QUALITE!T4999,IF(DATA_QUALITE!V4999&lt;&gt;"-",DATA_QUALITE!V4999,DATA_CLEANED!AN513))))</f>
        <v>Bulgaria</v>
      </c>
      <c r="BH522" s="103" t="str">
        <f>IF(AND(BG522="MATCH NUL",DATA_CLEANED!AO513="-"),"MATCH_NUL",IF(ISNUMBER(SEARCH("win on penalties",W4999)),"WIN_BY_PENALTY",IF(ISNUMBER(SEARCH("win after extra time",W4999)),"WIN_BY_EXTRA_TIME",IF(ISNUMBER(SEARCH("Golden Goal",W4999)),"WIN_BY_GOLDEN_GOAL","WIN_BY_SCORE"))))</f>
        <v>WIN_BY_SCORE</v>
      </c>
      <c r="BI522" s="99" t="str">
        <f>IF(OR(BG522=DATA_CLEANED!AK513,BG522=DATA_CLEANED!AN513,BG522="MATCH NUL"),"OK","ERREUR")</f>
        <v>OK</v>
      </c>
    </row>
    <row r="523" spans="2:61">
      <c r="B523" s="75">
        <v>86</v>
      </c>
      <c r="C523" s="15" t="str">
        <v>Park Jin-seob</v>
      </c>
      <c r="D523" s="15">
        <v>30</v>
      </c>
      <c r="E523" s="15" t="str">
        <v>Republic of Korea</v>
      </c>
      <c r="F523" s="15" t="str">
        <v>CB</v>
      </c>
      <c r="G523" s="15" t="str">
        <v>Zhejiang</v>
      </c>
      <c r="H523" s="15">
        <v>16</v>
      </c>
      <c r="I523" s="15" t="str">
        <f t="shared" si="49"/>
        <v>86|Park Jin-seob|30|Republic of Korea|CB|Zhejiang|16</v>
      </c>
      <c r="J523" s="15" t="str">
        <f>IF(COUNTIF(I$438:I523,I523)&gt;1,"DOUBLON","OK")</f>
        <v>OK</v>
      </c>
      <c r="S523" s="30" t="str">
        <v>England</v>
      </c>
      <c r="T523" s="30" t="str">
        <f t="shared" si="50"/>
        <v>ERREUR</v>
      </c>
      <c r="U523" s="30" t="str">
        <f t="shared" si="51"/>
        <v>AUCUNE</v>
      </c>
      <c r="V523" s="30" t="str" cm="1">
        <f t="array" ref="V523">_xlfn.IFS(
ISNUMBER(SEARCH("USA",S523)),"United States",
ISNUMBER(SEARCH("Republic of Korea",S523)),"South Korea",
ISNUMBER(SEARCH("Cape Verde",S523)),"Cabo Verde",
ISNUMBER(SEARCH("Czechia",S523)),"Czech Republic",
ISNUMBER(SEARCH("Türkiye",S523)),"Turkey",
ISNUMBER(SEARCH("Ivory Coast",S523)),"Côte d'Ivoire",
ISNUMBER(SEARCH("Korea Republic",S523)),"South Korea",
ISNUMBER(SEARCH("Germany FR",S523)),"FR Germany",
ISNUMBER(SEARCH("West Germany",S523)),"FR Germany",
ISNUMBER(SEARCH("Germany DR",S523)),"DR Germany",
ISNUMBER(SEARCH("Korea DPR",S523)),"North Korea",
ISNUMBER(SEARCH("China PR",S523)),"China",
ISNUMBER(SEARCH("IR Iran",S523)),"Iran",
ISNUMBER(SEARCH("Congo DR",S523)),"Democratic Republic of the Congo",
ISNUMBER(SEARCH("DR Congo",S523)),"Democratic Republic of the Congo",
ISNUMBER(SEARCH("German DR",S523)),"DR Germany",
ISNUMBER(SEARCH("rn""&gt;United Arab Emirates",S523)),"United Arab Emirates",
ISNUMBER(SEARCH("rn""&gt;Republic of Ireland",S523)),"Ireland",
ISNUMBER(SEARCH("rn""&gt;Bosnia and Herzegovina",S523)),"Bosnia and Herzegovina",
ISNUMBER(SEARCH("rn""&gt;Trinidad and Tobago",S523)),"Trinidad and Tobago",
ISNUMBER(SEARCH("rn""&gt;Serbia and Montenegro",S523)),"Serbia and Montenegro",
ISNUMBER(SEARCH(_xlfn.UNICHAR(65533),S523)),"Côte d'Ivoire",
TRUE,""
)</f>
        <v/>
      </c>
      <c r="W523" s="30" t="str">
        <f t="shared" si="47"/>
        <v>England</v>
      </c>
      <c r="Z523" s="40" t="str">
        <v>Stanford Stadium</v>
      </c>
      <c r="AA523" s="40" t="str" cm="1">
        <f t="array" ref="AA523">IFERROR(_xlfn.XLOOKUP(Z523,_xlfn.ANCHORARRAY(Z$31),AA$31:AA$37),Z523)</f>
        <v>Stanford Stadium</v>
      </c>
      <c r="AB523" s="42" t="str">
        <v xml:space="preserve">San Francisco </v>
      </c>
      <c r="AC523" s="89" t="str">
        <f t="shared" si="48"/>
        <v xml:space="preserve">San Francisco </v>
      </c>
      <c r="AE523" s="42">
        <v>1990</v>
      </c>
      <c r="AK523" s="42">
        <v>2</v>
      </c>
      <c r="AL523" s="42">
        <v>0</v>
      </c>
      <c r="AW523" s="89" t="str">
        <v>QUARTER_FINALS</v>
      </c>
      <c r="BE523" s="43" t="str">
        <f>IF(OR(DATA_CLEANED!AL514="",DATA_CLEANED!AM514=""),"MANQUANT",IF(OR(NOT(ISNUMBER(DATA_CLEANED!AL514)),NOT(ISNUMBER(DATA_CLEANED!AM514))),"ENTREE INVALIDE",IF(OR(DATA_CLEANED!AL514&lt;0,DATA_CLEANED!AM514&lt;0),"SCORE NEGATIF","OK")))</f>
        <v>OK</v>
      </c>
      <c r="BF523" s="43" t="str">
        <f>IF(DATA_CLEANED!AK514&lt;&gt;DATA_CLEANED!AN514,"OK","ERREUR")</f>
        <v>OK</v>
      </c>
      <c r="BG523" s="43" t="str">
        <f>IF(DATA_CLEANED!AL514&gt;DATA_CLEANED!AM514,DATA_CLEANED!AK514,IF(AND(DATA_QUALITE!W5000="-",DATA_CLEANED!AM514=DATA_CLEANED!AL514),"MATCH NUL",IF(AND(DATA_QUALITE!V5000="-",DATA_QUALITE!U5000="AUCUNE"),DATA_QUALITE!T5000,IF(DATA_QUALITE!V5000&lt;&gt;"-",DATA_QUALITE!V5000,DATA_CLEANED!AN514))))</f>
        <v>Sweden</v>
      </c>
      <c r="BH523" s="103" t="str">
        <f>IF(AND(BG523="MATCH NUL",DATA_CLEANED!AO514="-"),"MATCH_NUL",IF(ISNUMBER(SEARCH("win on penalties",W5000)),"WIN_BY_PENALTY",IF(ISNUMBER(SEARCH("win after extra time",W5000)),"WIN_BY_EXTRA_TIME",IF(ISNUMBER(SEARCH("Golden Goal",W5000)),"WIN_BY_GOLDEN_GOAL","WIN_BY_SCORE"))))</f>
        <v>WIN_BY_PENALTY</v>
      </c>
      <c r="BI523" s="99" t="str">
        <f>IF(OR(BG523=DATA_CLEANED!AK514,BG523=DATA_CLEANED!AN514,BG523="MATCH NUL"),"OK","ERREUR")</f>
        <v>OK</v>
      </c>
    </row>
    <row r="524" spans="2:61">
      <c r="B524" s="75">
        <v>87</v>
      </c>
      <c r="C524" s="15" t="str">
        <v>Lee Tae-seok</v>
      </c>
      <c r="D524" s="15">
        <v>23</v>
      </c>
      <c r="E524" s="15" t="str">
        <v>Republic of Korea</v>
      </c>
      <c r="F524" s="15" t="str">
        <v>LB</v>
      </c>
      <c r="G524" s="15" t="str">
        <v>Austria Wien</v>
      </c>
      <c r="H524" s="15">
        <v>13</v>
      </c>
      <c r="I524" s="15" t="str">
        <f t="shared" si="49"/>
        <v>87|Lee Tae-seok|23|Republic of Korea|LB|Austria Wien|13</v>
      </c>
      <c r="J524" s="15" t="str">
        <f>IF(COUNTIF(I$438:I524,I524)&gt;1,"DOUBLON","OK")</f>
        <v>OK</v>
      </c>
      <c r="S524" s="30" t="str">
        <v>England</v>
      </c>
      <c r="T524" s="30" t="str">
        <f t="shared" si="50"/>
        <v>ERREUR</v>
      </c>
      <c r="U524" s="30" t="str">
        <f t="shared" si="51"/>
        <v>AUCUNE</v>
      </c>
      <c r="V524" s="30" t="str" cm="1">
        <f t="array" ref="V524">_xlfn.IFS(
ISNUMBER(SEARCH("USA",S524)),"United States",
ISNUMBER(SEARCH("Republic of Korea",S524)),"South Korea",
ISNUMBER(SEARCH("Cape Verde",S524)),"Cabo Verde",
ISNUMBER(SEARCH("Czechia",S524)),"Czech Republic",
ISNUMBER(SEARCH("Türkiye",S524)),"Turkey",
ISNUMBER(SEARCH("Ivory Coast",S524)),"Côte d'Ivoire",
ISNUMBER(SEARCH("Korea Republic",S524)),"South Korea",
ISNUMBER(SEARCH("Germany FR",S524)),"FR Germany",
ISNUMBER(SEARCH("West Germany",S524)),"FR Germany",
ISNUMBER(SEARCH("Germany DR",S524)),"DR Germany",
ISNUMBER(SEARCH("Korea DPR",S524)),"North Korea",
ISNUMBER(SEARCH("China PR",S524)),"China",
ISNUMBER(SEARCH("IR Iran",S524)),"Iran",
ISNUMBER(SEARCH("Congo DR",S524)),"Democratic Republic of the Congo",
ISNUMBER(SEARCH("DR Congo",S524)),"Democratic Republic of the Congo",
ISNUMBER(SEARCH("German DR",S524)),"DR Germany",
ISNUMBER(SEARCH("rn""&gt;United Arab Emirates",S524)),"United Arab Emirates",
ISNUMBER(SEARCH("rn""&gt;Republic of Ireland",S524)),"Ireland",
ISNUMBER(SEARCH("rn""&gt;Bosnia and Herzegovina",S524)),"Bosnia and Herzegovina",
ISNUMBER(SEARCH("rn""&gt;Trinidad and Tobago",S524)),"Trinidad and Tobago",
ISNUMBER(SEARCH("rn""&gt;Serbia and Montenegro",S524)),"Serbia and Montenegro",
ISNUMBER(SEARCH(_xlfn.UNICHAR(65533),S524)),"Côte d'Ivoire",
TRUE,""
)</f>
        <v/>
      </c>
      <c r="W524" s="30" t="str">
        <f t="shared" si="47"/>
        <v>England</v>
      </c>
      <c r="Z524" s="40" t="str">
        <v>Citrus Bowl</v>
      </c>
      <c r="AA524" s="40" t="str" cm="1">
        <f t="array" ref="AA524">IFERROR(_xlfn.XLOOKUP(Z524,_xlfn.ANCHORARRAY(Z$31),AA$31:AA$37),Z524)</f>
        <v>Citrus Bowl</v>
      </c>
      <c r="AB524" s="42" t="str">
        <v xml:space="preserve">Orlando </v>
      </c>
      <c r="AC524" s="89" t="str">
        <f t="shared" si="48"/>
        <v xml:space="preserve">Orlando </v>
      </c>
      <c r="AE524" s="42">
        <v>1990</v>
      </c>
      <c r="AK524" s="42">
        <v>2</v>
      </c>
      <c r="AL524" s="42">
        <v>1</v>
      </c>
      <c r="AW524" s="89" t="str">
        <v>SEMI_FINALS</v>
      </c>
      <c r="BE524" s="43" t="str">
        <f>IF(OR(DATA_CLEANED!AL515="",DATA_CLEANED!AM515=""),"MANQUANT",IF(OR(NOT(ISNUMBER(DATA_CLEANED!AL515)),NOT(ISNUMBER(DATA_CLEANED!AM515))),"ENTREE INVALIDE",IF(OR(DATA_CLEANED!AL515&lt;0,DATA_CLEANED!AM515&lt;0),"SCORE NEGATIF","OK")))</f>
        <v>OK</v>
      </c>
      <c r="BF524" s="43" t="str">
        <f>IF(DATA_CLEANED!AK515&lt;&gt;DATA_CLEANED!AN515,"OK","ERREUR")</f>
        <v>OK</v>
      </c>
      <c r="BG524" s="43" t="str">
        <f>IF(DATA_CLEANED!AL515&gt;DATA_CLEANED!AM515,DATA_CLEANED!AK515,IF(AND(DATA_QUALITE!W5001="-",DATA_CLEANED!AM515=DATA_CLEANED!AL515),"MATCH NUL",IF(AND(DATA_QUALITE!V5001="-",DATA_QUALITE!U5001="AUCUNE"),DATA_QUALITE!T5001,IF(DATA_QUALITE!V5001&lt;&gt;"-",DATA_QUALITE!V5001,DATA_CLEANED!AN515))))</f>
        <v>Italy</v>
      </c>
      <c r="BH524" s="103" t="str">
        <f>IF(AND(BG524="MATCH NUL",DATA_CLEANED!AO515="-"),"MATCH_NUL",IF(ISNUMBER(SEARCH("win on penalties",W5001)),"WIN_BY_PENALTY",IF(ISNUMBER(SEARCH("win after extra time",W5001)),"WIN_BY_EXTRA_TIME",IF(ISNUMBER(SEARCH("Golden Goal",W5001)),"WIN_BY_GOLDEN_GOAL","WIN_BY_SCORE"))))</f>
        <v>WIN_BY_SCORE</v>
      </c>
      <c r="BI524" s="99" t="str">
        <f>IF(OR(BG524=DATA_CLEANED!AK515,BG524=DATA_CLEANED!AN515,BG524="MATCH NUL"),"OK","ERREUR")</f>
        <v>OK</v>
      </c>
    </row>
    <row r="525" spans="2:61">
      <c r="B525" s="75">
        <v>88</v>
      </c>
      <c r="C525" s="15" t="str">
        <v>Kim Moon-hwan</v>
      </c>
      <c r="D525" s="15">
        <v>30</v>
      </c>
      <c r="E525" s="15" t="str">
        <v>Republic of Korea</v>
      </c>
      <c r="F525" s="15" t="str">
        <v>RB</v>
      </c>
      <c r="G525" s="15" t="str">
        <v>Daejeon Hana Citizen</v>
      </c>
      <c r="H525" s="15">
        <v>15</v>
      </c>
      <c r="I525" s="15" t="str">
        <f t="shared" si="49"/>
        <v>88|Kim Moon-hwan|30|Republic of Korea|RB|Daejeon Hana Citizen|15</v>
      </c>
      <c r="J525" s="15" t="str">
        <f>IF(COUNTIF(I$438:I525,I525)&gt;1,"DOUBLON","OK")</f>
        <v>OK</v>
      </c>
      <c r="S525" s="30" t="str">
        <v>England</v>
      </c>
      <c r="T525" s="30" t="str">
        <f t="shared" si="50"/>
        <v>ERREUR</v>
      </c>
      <c r="U525" s="30" t="str">
        <f t="shared" si="51"/>
        <v>AUCUNE</v>
      </c>
      <c r="V525" s="30" t="str" cm="1">
        <f t="array" ref="V525">_xlfn.IFS(
ISNUMBER(SEARCH("USA",S525)),"United States",
ISNUMBER(SEARCH("Republic of Korea",S525)),"South Korea",
ISNUMBER(SEARCH("Cape Verde",S525)),"Cabo Verde",
ISNUMBER(SEARCH("Czechia",S525)),"Czech Republic",
ISNUMBER(SEARCH("Türkiye",S525)),"Turkey",
ISNUMBER(SEARCH("Ivory Coast",S525)),"Côte d'Ivoire",
ISNUMBER(SEARCH("Korea Republic",S525)),"South Korea",
ISNUMBER(SEARCH("Germany FR",S525)),"FR Germany",
ISNUMBER(SEARCH("West Germany",S525)),"FR Germany",
ISNUMBER(SEARCH("Germany DR",S525)),"DR Germany",
ISNUMBER(SEARCH("Korea DPR",S525)),"North Korea",
ISNUMBER(SEARCH("China PR",S525)),"China",
ISNUMBER(SEARCH("IR Iran",S525)),"Iran",
ISNUMBER(SEARCH("Congo DR",S525)),"Democratic Republic of the Congo",
ISNUMBER(SEARCH("DR Congo",S525)),"Democratic Republic of the Congo",
ISNUMBER(SEARCH("German DR",S525)),"DR Germany",
ISNUMBER(SEARCH("rn""&gt;United Arab Emirates",S525)),"United Arab Emirates",
ISNUMBER(SEARCH("rn""&gt;Republic of Ireland",S525)),"Ireland",
ISNUMBER(SEARCH("rn""&gt;Bosnia and Herzegovina",S525)),"Bosnia and Herzegovina",
ISNUMBER(SEARCH("rn""&gt;Trinidad and Tobago",S525)),"Trinidad and Tobago",
ISNUMBER(SEARCH("rn""&gt;Serbia and Montenegro",S525)),"Serbia and Montenegro",
ISNUMBER(SEARCH(_xlfn.UNICHAR(65533),S525)),"Côte d'Ivoire",
TRUE,""
)</f>
        <v/>
      </c>
      <c r="W525" s="30" t="str">
        <f t="shared" si="47"/>
        <v>England</v>
      </c>
      <c r="Z525" s="40" t="str">
        <v>Giants Stadium</v>
      </c>
      <c r="AA525" s="40" t="str" cm="1">
        <f t="array" ref="AA525">IFERROR(_xlfn.XLOOKUP(Z525,_xlfn.ANCHORARRAY(Z$31),AA$31:AA$37),Z525)</f>
        <v>Giants Stadium</v>
      </c>
      <c r="AB525" s="42" t="str">
        <v xml:space="preserve">New York/New Jersey </v>
      </c>
      <c r="AC525" s="89" t="str">
        <f t="shared" si="48"/>
        <v xml:space="preserve">New York/New Jersey </v>
      </c>
      <c r="AE525" s="42">
        <v>1990</v>
      </c>
      <c r="AK525" s="42">
        <v>1</v>
      </c>
      <c r="AL525" s="42">
        <v>0</v>
      </c>
      <c r="AW525" s="89" t="str">
        <v>SEMI_FINALS</v>
      </c>
      <c r="BE525" s="43" t="str">
        <f>IF(OR(DATA_CLEANED!AL516="",DATA_CLEANED!AM516=""),"MANQUANT",IF(OR(NOT(ISNUMBER(DATA_CLEANED!AL516)),NOT(ISNUMBER(DATA_CLEANED!AM516))),"ENTREE INVALIDE",IF(OR(DATA_CLEANED!AL516&lt;0,DATA_CLEANED!AM516&lt;0),"SCORE NEGATIF","OK")))</f>
        <v>OK</v>
      </c>
      <c r="BF525" s="43" t="str">
        <f>IF(DATA_CLEANED!AK516&lt;&gt;DATA_CLEANED!AN516,"OK","ERREUR")</f>
        <v>OK</v>
      </c>
      <c r="BG525" s="43" t="str">
        <f>IF(DATA_CLEANED!AL516&gt;DATA_CLEANED!AM516,DATA_CLEANED!AK516,IF(AND(DATA_QUALITE!W5002="-",DATA_CLEANED!AM516=DATA_CLEANED!AL516),"MATCH NUL",IF(AND(DATA_QUALITE!V5002="-",DATA_QUALITE!U5002="AUCUNE"),DATA_QUALITE!T5002,IF(DATA_QUALITE!V5002&lt;&gt;"-",DATA_QUALITE!V5002,DATA_CLEANED!AN516))))</f>
        <v>Brazil</v>
      </c>
      <c r="BH525" s="103" t="str">
        <f>IF(AND(BG525="MATCH NUL",DATA_CLEANED!AO516="-"),"MATCH_NUL",IF(ISNUMBER(SEARCH("win on penalties",W5002)),"WIN_BY_PENALTY",IF(ISNUMBER(SEARCH("win after extra time",W5002)),"WIN_BY_EXTRA_TIME",IF(ISNUMBER(SEARCH("Golden Goal",W5002)),"WIN_BY_GOLDEN_GOAL","WIN_BY_SCORE"))))</f>
        <v>WIN_BY_SCORE</v>
      </c>
      <c r="BI525" s="99" t="str">
        <f>IF(OR(BG525=DATA_CLEANED!AK516,BG525=DATA_CLEANED!AN516,BG525="MATCH NUL"),"OK","ERREUR")</f>
        <v>OK</v>
      </c>
    </row>
    <row r="526" spans="2:61">
      <c r="B526" s="75">
        <v>89</v>
      </c>
      <c r="C526" s="15" t="str">
        <v>Seol Young-woo</v>
      </c>
      <c r="D526" s="15">
        <v>27</v>
      </c>
      <c r="E526" s="15" t="str">
        <v>Republic of Korea</v>
      </c>
      <c r="F526" s="15" t="str">
        <v>RB</v>
      </c>
      <c r="G526" s="15" t="str">
        <v>Red Star Belgrade</v>
      </c>
      <c r="H526" s="15">
        <v>22</v>
      </c>
      <c r="I526" s="15" t="str">
        <f t="shared" si="49"/>
        <v>89|Seol Young-woo|27|Republic of Korea|RB|Red Star Belgrade|22</v>
      </c>
      <c r="J526" s="15" t="str">
        <f>IF(COUNTIF(I$438:I526,I526)&gt;1,"DOUBLON","OK")</f>
        <v>OK</v>
      </c>
      <c r="S526" s="30" t="str">
        <v>England</v>
      </c>
      <c r="T526" s="30" t="str">
        <f t="shared" si="50"/>
        <v>ERREUR</v>
      </c>
      <c r="U526" s="30" t="str">
        <f t="shared" si="51"/>
        <v>AUCUNE</v>
      </c>
      <c r="V526" s="30" t="str" cm="1">
        <f t="array" ref="V526">_xlfn.IFS(
ISNUMBER(SEARCH("USA",S526)),"United States",
ISNUMBER(SEARCH("Republic of Korea",S526)),"South Korea",
ISNUMBER(SEARCH("Cape Verde",S526)),"Cabo Verde",
ISNUMBER(SEARCH("Czechia",S526)),"Czech Republic",
ISNUMBER(SEARCH("Türkiye",S526)),"Turkey",
ISNUMBER(SEARCH("Ivory Coast",S526)),"Côte d'Ivoire",
ISNUMBER(SEARCH("Korea Republic",S526)),"South Korea",
ISNUMBER(SEARCH("Germany FR",S526)),"FR Germany",
ISNUMBER(SEARCH("West Germany",S526)),"FR Germany",
ISNUMBER(SEARCH("Germany DR",S526)),"DR Germany",
ISNUMBER(SEARCH("Korea DPR",S526)),"North Korea",
ISNUMBER(SEARCH("China PR",S526)),"China",
ISNUMBER(SEARCH("IR Iran",S526)),"Iran",
ISNUMBER(SEARCH("Congo DR",S526)),"Democratic Republic of the Congo",
ISNUMBER(SEARCH("DR Congo",S526)),"Democratic Republic of the Congo",
ISNUMBER(SEARCH("German DR",S526)),"DR Germany",
ISNUMBER(SEARCH("rn""&gt;United Arab Emirates",S526)),"United Arab Emirates",
ISNUMBER(SEARCH("rn""&gt;Republic of Ireland",S526)),"Ireland",
ISNUMBER(SEARCH("rn""&gt;Bosnia and Herzegovina",S526)),"Bosnia and Herzegovina",
ISNUMBER(SEARCH("rn""&gt;Trinidad and Tobago",S526)),"Trinidad and Tobago",
ISNUMBER(SEARCH("rn""&gt;Serbia and Montenegro",S526)),"Serbia and Montenegro",
ISNUMBER(SEARCH(_xlfn.UNICHAR(65533),S526)),"Côte d'Ivoire",
TRUE,""
)</f>
        <v/>
      </c>
      <c r="W526" s="30" t="str">
        <f t="shared" ref="W526:W589" si="52">IF(V526="",S526,V526)</f>
        <v>England</v>
      </c>
      <c r="Z526" s="40" t="str">
        <v>Foxboro Stadium</v>
      </c>
      <c r="AA526" s="40" t="str" cm="1">
        <f t="array" ref="AA526">IFERROR(_xlfn.XLOOKUP(Z526,_xlfn.ANCHORARRAY(Z$31),AA$31:AA$37),Z526)</f>
        <v>Foxboro Stadium</v>
      </c>
      <c r="AB526" s="42" t="str">
        <v xml:space="preserve">Boston </v>
      </c>
      <c r="AC526" s="89" t="str">
        <f t="shared" si="48"/>
        <v xml:space="preserve">Boston </v>
      </c>
      <c r="AE526" s="42">
        <v>1990</v>
      </c>
      <c r="AK526" s="42">
        <v>1</v>
      </c>
      <c r="AL526" s="42">
        <v>2</v>
      </c>
      <c r="AW526" s="89" t="str">
        <v>THIRD_PLACE</v>
      </c>
      <c r="BE526" s="43" t="str">
        <f>IF(OR(DATA_CLEANED!AL517="",DATA_CLEANED!AM517=""),"MANQUANT",IF(OR(NOT(ISNUMBER(DATA_CLEANED!AL517)),NOT(ISNUMBER(DATA_CLEANED!AM517))),"ENTREE INVALIDE",IF(OR(DATA_CLEANED!AL517&lt;0,DATA_CLEANED!AM517&lt;0),"SCORE NEGATIF","OK")))</f>
        <v>OK</v>
      </c>
      <c r="BF526" s="43" t="str">
        <f>IF(DATA_CLEANED!AK517&lt;&gt;DATA_CLEANED!AN517,"OK","ERREUR")</f>
        <v>OK</v>
      </c>
      <c r="BG526" s="43" t="str">
        <f>IF(DATA_CLEANED!AL517&gt;DATA_CLEANED!AM517,DATA_CLEANED!AK517,IF(AND(DATA_QUALITE!W5003="-",DATA_CLEANED!AM517=DATA_CLEANED!AL517),"MATCH NUL",IF(AND(DATA_QUALITE!V5003="-",DATA_QUALITE!U5003="AUCUNE"),DATA_QUALITE!T5003,IF(DATA_QUALITE!V5003&lt;&gt;"-",DATA_QUALITE!V5003,DATA_CLEANED!AN517))))</f>
        <v>Sweden</v>
      </c>
      <c r="BH526" s="103" t="str">
        <f>IF(AND(BG526="MATCH NUL",DATA_CLEANED!AO517="-"),"MATCH_NUL",IF(ISNUMBER(SEARCH("win on penalties",W5003)),"WIN_BY_PENALTY",IF(ISNUMBER(SEARCH("win after extra time",W5003)),"WIN_BY_EXTRA_TIME",IF(ISNUMBER(SEARCH("Golden Goal",W5003)),"WIN_BY_GOLDEN_GOAL","WIN_BY_SCORE"))))</f>
        <v>WIN_BY_SCORE</v>
      </c>
      <c r="BI526" s="99" t="str">
        <f>IF(OR(BG526=DATA_CLEANED!AK517,BG526=DATA_CLEANED!AN517,BG526="MATCH NUL"),"OK","ERREUR")</f>
        <v>OK</v>
      </c>
    </row>
    <row r="527" spans="2:61">
      <c r="B527" s="75">
        <v>90</v>
      </c>
      <c r="C527" s="15" t="str">
        <v>Jens Castrop</v>
      </c>
      <c r="D527" s="15">
        <v>22</v>
      </c>
      <c r="E527" s="15" t="str">
        <v>Republic of Korea</v>
      </c>
      <c r="F527" s="15" t="str">
        <v>RB</v>
      </c>
      <c r="G527" s="15" t="str">
        <v>Borussia Mönchengladbach</v>
      </c>
      <c r="H527" s="15">
        <v>23</v>
      </c>
      <c r="I527" s="15" t="str">
        <f t="shared" si="49"/>
        <v>90|Jens Castrop|22|Republic of Korea|RB|Borussia Mönchengladbach|23</v>
      </c>
      <c r="J527" s="15" t="str">
        <f>IF(COUNTIF(I$438:I527,I527)&gt;1,"DOUBLON","OK")</f>
        <v>OK</v>
      </c>
      <c r="S527" s="30" t="str">
        <v>England</v>
      </c>
      <c r="T527" s="30" t="str">
        <f t="shared" si="50"/>
        <v>ERREUR</v>
      </c>
      <c r="U527" s="30" t="str">
        <f t="shared" si="51"/>
        <v>AUCUNE</v>
      </c>
      <c r="V527" s="30" t="str" cm="1">
        <f t="array" ref="V527">_xlfn.IFS(
ISNUMBER(SEARCH("USA",S527)),"United States",
ISNUMBER(SEARCH("Republic of Korea",S527)),"South Korea",
ISNUMBER(SEARCH("Cape Verde",S527)),"Cabo Verde",
ISNUMBER(SEARCH("Czechia",S527)),"Czech Republic",
ISNUMBER(SEARCH("Türkiye",S527)),"Turkey",
ISNUMBER(SEARCH("Ivory Coast",S527)),"Côte d'Ivoire",
ISNUMBER(SEARCH("Korea Republic",S527)),"South Korea",
ISNUMBER(SEARCH("Germany FR",S527)),"FR Germany",
ISNUMBER(SEARCH("West Germany",S527)),"FR Germany",
ISNUMBER(SEARCH("Germany DR",S527)),"DR Germany",
ISNUMBER(SEARCH("Korea DPR",S527)),"North Korea",
ISNUMBER(SEARCH("China PR",S527)),"China",
ISNUMBER(SEARCH("IR Iran",S527)),"Iran",
ISNUMBER(SEARCH("Congo DR",S527)),"Democratic Republic of the Congo",
ISNUMBER(SEARCH("DR Congo",S527)),"Democratic Republic of the Congo",
ISNUMBER(SEARCH("German DR",S527)),"DR Germany",
ISNUMBER(SEARCH("rn""&gt;United Arab Emirates",S527)),"United Arab Emirates",
ISNUMBER(SEARCH("rn""&gt;Republic of Ireland",S527)),"Ireland",
ISNUMBER(SEARCH("rn""&gt;Bosnia and Herzegovina",S527)),"Bosnia and Herzegovina",
ISNUMBER(SEARCH("rn""&gt;Trinidad and Tobago",S527)),"Trinidad and Tobago",
ISNUMBER(SEARCH("rn""&gt;Serbia and Montenegro",S527)),"Serbia and Montenegro",
ISNUMBER(SEARCH(_xlfn.UNICHAR(65533),S527)),"Côte d'Ivoire",
TRUE,""
)</f>
        <v/>
      </c>
      <c r="W527" s="30" t="str">
        <f t="shared" si="52"/>
        <v>England</v>
      </c>
      <c r="Z527" s="40" t="str">
        <v>Soldier Field</v>
      </c>
      <c r="AA527" s="40" t="str" cm="1">
        <f t="array" ref="AA527">IFERROR(_xlfn.XLOOKUP(Z527,_xlfn.ANCHORARRAY(Z$31),AA$31:AA$37),Z527)</f>
        <v>Soldier Field</v>
      </c>
      <c r="AB527" s="42" t="str">
        <v xml:space="preserve">Chicago </v>
      </c>
      <c r="AC527" s="89" t="str">
        <f t="shared" si="48"/>
        <v xml:space="preserve">Chicago </v>
      </c>
      <c r="AE527" s="42">
        <v>1990</v>
      </c>
      <c r="AK527" s="42">
        <v>0</v>
      </c>
      <c r="AL527" s="42">
        <v>1</v>
      </c>
      <c r="AW527" s="89" t="str">
        <v>FINAL</v>
      </c>
      <c r="BE527" s="43" t="str">
        <f>IF(OR(DATA_CLEANED!AL518="",DATA_CLEANED!AM518=""),"MANQUANT",IF(OR(NOT(ISNUMBER(DATA_CLEANED!AL518)),NOT(ISNUMBER(DATA_CLEANED!AM518))),"ENTREE INVALIDE",IF(OR(DATA_CLEANED!AL518&lt;0,DATA_CLEANED!AM518&lt;0),"SCORE NEGATIF","OK")))</f>
        <v>OK</v>
      </c>
      <c r="BF527" s="43" t="str">
        <f>IF(DATA_CLEANED!AK518&lt;&gt;DATA_CLEANED!AN518,"OK","ERREUR")</f>
        <v>OK</v>
      </c>
      <c r="BG527" s="43" t="str">
        <f>IF(DATA_CLEANED!AL518&gt;DATA_CLEANED!AM518,DATA_CLEANED!AK518,IF(AND(DATA_QUALITE!W5004="-",DATA_CLEANED!AM518=DATA_CLEANED!AL518),"MATCH NUL",IF(AND(DATA_QUALITE!V5004="-",DATA_QUALITE!U5004="AUCUNE"),DATA_QUALITE!T5004,IF(DATA_QUALITE!V5004&lt;&gt;"-",DATA_QUALITE!V5004,DATA_CLEANED!AN518))))</f>
        <v>Brazil</v>
      </c>
      <c r="BH527" s="103" t="str">
        <f>IF(AND(BG527="MATCH NUL",DATA_CLEANED!AO518="-"),"MATCH_NUL",IF(ISNUMBER(SEARCH("win on penalties",W5004)),"WIN_BY_PENALTY",IF(ISNUMBER(SEARCH("win after extra time",W5004)),"WIN_BY_EXTRA_TIME",IF(ISNUMBER(SEARCH("Golden Goal",W5004)),"WIN_BY_GOLDEN_GOAL","WIN_BY_SCORE"))))</f>
        <v>WIN_BY_PENALTY</v>
      </c>
      <c r="BI527" s="99" t="str">
        <f>IF(OR(BG527=DATA_CLEANED!AK518,BG527=DATA_CLEANED!AN518,BG527="MATCH NUL"),"OK","ERREUR")</f>
        <v>OK</v>
      </c>
    </row>
    <row r="528" spans="2:61">
      <c r="B528" s="75">
        <v>91</v>
      </c>
      <c r="C528" s="15" t="str">
        <v>Lee Gi-hyuk</v>
      </c>
      <c r="D528" s="15">
        <v>25</v>
      </c>
      <c r="E528" s="15" t="str">
        <v>Republic of Korea</v>
      </c>
      <c r="F528" s="15" t="str">
        <v>CM</v>
      </c>
      <c r="G528" s="15" t="str">
        <v>Gangwon FC</v>
      </c>
      <c r="H528" s="15">
        <v>3</v>
      </c>
      <c r="I528" s="15" t="str">
        <f t="shared" si="49"/>
        <v>91|Lee Gi-hyuk|25|Republic of Korea|CM|Gangwon FC|3</v>
      </c>
      <c r="J528" s="15" t="str">
        <f>IF(COUNTIF(I$438:I528,I528)&gt;1,"DOUBLON","OK")</f>
        <v>OK</v>
      </c>
      <c r="S528" s="30" t="str">
        <v>England</v>
      </c>
      <c r="T528" s="30" t="str">
        <f t="shared" si="50"/>
        <v>ERREUR</v>
      </c>
      <c r="U528" s="30" t="str">
        <f t="shared" si="51"/>
        <v>AUCUNE</v>
      </c>
      <c r="V528" s="30" t="str" cm="1">
        <f t="array" ref="V528">_xlfn.IFS(
ISNUMBER(SEARCH("USA",S528)),"United States",
ISNUMBER(SEARCH("Republic of Korea",S528)),"South Korea",
ISNUMBER(SEARCH("Cape Verde",S528)),"Cabo Verde",
ISNUMBER(SEARCH("Czechia",S528)),"Czech Republic",
ISNUMBER(SEARCH("Türkiye",S528)),"Turkey",
ISNUMBER(SEARCH("Ivory Coast",S528)),"Côte d'Ivoire",
ISNUMBER(SEARCH("Korea Republic",S528)),"South Korea",
ISNUMBER(SEARCH("Germany FR",S528)),"FR Germany",
ISNUMBER(SEARCH("West Germany",S528)),"FR Germany",
ISNUMBER(SEARCH("Germany DR",S528)),"DR Germany",
ISNUMBER(SEARCH("Korea DPR",S528)),"North Korea",
ISNUMBER(SEARCH("China PR",S528)),"China",
ISNUMBER(SEARCH("IR Iran",S528)),"Iran",
ISNUMBER(SEARCH("Congo DR",S528)),"Democratic Republic of the Congo",
ISNUMBER(SEARCH("DR Congo",S528)),"Democratic Republic of the Congo",
ISNUMBER(SEARCH("German DR",S528)),"DR Germany",
ISNUMBER(SEARCH("rn""&gt;United Arab Emirates",S528)),"United Arab Emirates",
ISNUMBER(SEARCH("rn""&gt;Republic of Ireland",S528)),"Ireland",
ISNUMBER(SEARCH("rn""&gt;Bosnia and Herzegovina",S528)),"Bosnia and Herzegovina",
ISNUMBER(SEARCH("rn""&gt;Trinidad and Tobago",S528)),"Trinidad and Tobago",
ISNUMBER(SEARCH("rn""&gt;Serbia and Montenegro",S528)),"Serbia and Montenegro",
ISNUMBER(SEARCH(_xlfn.UNICHAR(65533),S528)),"Côte d'Ivoire",
TRUE,""
)</f>
        <v/>
      </c>
      <c r="W528" s="30" t="str">
        <f t="shared" si="52"/>
        <v>England</v>
      </c>
      <c r="Z528" s="40" t="str">
        <v>Rose Bowl</v>
      </c>
      <c r="AA528" s="40" t="str" cm="1">
        <f t="array" ref="AA528">IFERROR(_xlfn.XLOOKUP(Z528,_xlfn.ANCHORARRAY(Z$31),AA$31:AA$37),Z528)</f>
        <v>Rose Bowl</v>
      </c>
      <c r="AB528" s="42" t="str">
        <v xml:space="preserve">Los Angeles </v>
      </c>
      <c r="AC528" s="89" t="str">
        <f t="shared" si="48"/>
        <v xml:space="preserve">Los Angeles </v>
      </c>
      <c r="AE528" s="42">
        <v>1990</v>
      </c>
      <c r="AK528" s="42">
        <v>1</v>
      </c>
      <c r="AL528" s="42">
        <v>2</v>
      </c>
      <c r="AW528" s="89" t="str">
        <v>GROUP_STAGE</v>
      </c>
      <c r="BE528" s="43" t="str">
        <f>IF(OR(DATA_CLEANED!AL519="",DATA_CLEANED!AM519=""),"MANQUANT",IF(OR(NOT(ISNUMBER(DATA_CLEANED!AL519)),NOT(ISNUMBER(DATA_CLEANED!AM519))),"ENTREE INVALIDE",IF(OR(DATA_CLEANED!AL519&lt;0,DATA_CLEANED!AM519&lt;0),"SCORE NEGATIF","OK")))</f>
        <v>OK</v>
      </c>
      <c r="BF528" s="43" t="str">
        <f>IF(DATA_CLEANED!AK519&lt;&gt;DATA_CLEANED!AN519,"OK","ERREUR")</f>
        <v>OK</v>
      </c>
      <c r="BG528" s="43" t="str">
        <f>IF(DATA_CLEANED!AL519&gt;DATA_CLEANED!AM519,DATA_CLEANED!AK519,IF(AND(DATA_QUALITE!W5005="-",DATA_CLEANED!AM519=DATA_CLEANED!AL519),"MATCH NUL",IF(AND(DATA_QUALITE!V5005="-",DATA_QUALITE!U5005="AUCUNE"),DATA_QUALITE!T5005,IF(DATA_QUALITE!V5005&lt;&gt;"-",DATA_QUALITE!V5005,DATA_CLEANED!AN519))))</f>
        <v>Brazil</v>
      </c>
      <c r="BH528" s="103" t="str">
        <f>IF(AND(BG528="MATCH NUL",DATA_CLEANED!AO519="-"),"MATCH_NUL",IF(ISNUMBER(SEARCH("win on penalties",W5005)),"WIN_BY_PENALTY",IF(ISNUMBER(SEARCH("win after extra time",W5005)),"WIN_BY_EXTRA_TIME",IF(ISNUMBER(SEARCH("Golden Goal",W5005)),"WIN_BY_GOLDEN_GOAL","WIN_BY_SCORE"))))</f>
        <v>WIN_BY_SCORE</v>
      </c>
      <c r="BI528" s="99" t="str">
        <f>IF(OR(BG528=DATA_CLEANED!AK519,BG528=DATA_CLEANED!AN519,BG528="MATCH NUL"),"OK","ERREUR")</f>
        <v>OK</v>
      </c>
    </row>
    <row r="529" spans="2:61">
      <c r="B529" s="75">
        <v>92</v>
      </c>
      <c r="C529" s="15" t="str">
        <v>Hwang In-beom</v>
      </c>
      <c r="D529" s="15">
        <v>29</v>
      </c>
      <c r="E529" s="15" t="str">
        <v>Republic of Korea</v>
      </c>
      <c r="F529" s="15" t="str">
        <v>CM</v>
      </c>
      <c r="G529" s="15" t="str">
        <v>Feyenoord</v>
      </c>
      <c r="H529" s="15">
        <v>6</v>
      </c>
      <c r="I529" s="15" t="str">
        <f t="shared" si="49"/>
        <v>92|Hwang In-beom|29|Republic of Korea|CM|Feyenoord|6</v>
      </c>
      <c r="J529" s="15" t="str">
        <f>IF(COUNTIF(I$438:I529,I529)&gt;1,"DOUBLON","OK")</f>
        <v>OK</v>
      </c>
      <c r="S529" s="30" t="str">
        <v>England</v>
      </c>
      <c r="T529" s="30" t="str">
        <f t="shared" si="50"/>
        <v>ERREUR</v>
      </c>
      <c r="U529" s="30" t="str">
        <f t="shared" si="51"/>
        <v>AUCUNE</v>
      </c>
      <c r="V529" s="30" t="str" cm="1">
        <f t="array" ref="V529">_xlfn.IFS(
ISNUMBER(SEARCH("USA",S529)),"United States",
ISNUMBER(SEARCH("Republic of Korea",S529)),"South Korea",
ISNUMBER(SEARCH("Cape Verde",S529)),"Cabo Verde",
ISNUMBER(SEARCH("Czechia",S529)),"Czech Republic",
ISNUMBER(SEARCH("Türkiye",S529)),"Turkey",
ISNUMBER(SEARCH("Ivory Coast",S529)),"Côte d'Ivoire",
ISNUMBER(SEARCH("Korea Republic",S529)),"South Korea",
ISNUMBER(SEARCH("Germany FR",S529)),"FR Germany",
ISNUMBER(SEARCH("West Germany",S529)),"FR Germany",
ISNUMBER(SEARCH("Germany DR",S529)),"DR Germany",
ISNUMBER(SEARCH("Korea DPR",S529)),"North Korea",
ISNUMBER(SEARCH("China PR",S529)),"China",
ISNUMBER(SEARCH("IR Iran",S529)),"Iran",
ISNUMBER(SEARCH("Congo DR",S529)),"Democratic Republic of the Congo",
ISNUMBER(SEARCH("DR Congo",S529)),"Democratic Republic of the Congo",
ISNUMBER(SEARCH("German DR",S529)),"DR Germany",
ISNUMBER(SEARCH("rn""&gt;United Arab Emirates",S529)),"United Arab Emirates",
ISNUMBER(SEARCH("rn""&gt;Republic of Ireland",S529)),"Ireland",
ISNUMBER(SEARCH("rn""&gt;Bosnia and Herzegovina",S529)),"Bosnia and Herzegovina",
ISNUMBER(SEARCH("rn""&gt;Trinidad and Tobago",S529)),"Trinidad and Tobago",
ISNUMBER(SEARCH("rn""&gt;Serbia and Montenegro",S529)),"Serbia and Montenegro",
ISNUMBER(SEARCH(_xlfn.UNICHAR(65533),S529)),"Côte d'Ivoire",
TRUE,""
)</f>
        <v/>
      </c>
      <c r="W529" s="30" t="str">
        <f t="shared" si="52"/>
        <v>England</v>
      </c>
      <c r="Z529" s="40" t="str">
        <v>Stanford Stadium</v>
      </c>
      <c r="AA529" s="40" t="str" cm="1">
        <f t="array" ref="AA529">IFERROR(_xlfn.XLOOKUP(Z529,_xlfn.ANCHORARRAY(Z$31),AA$31:AA$37),Z529)</f>
        <v>Stanford Stadium</v>
      </c>
      <c r="AB529" s="42" t="str">
        <v xml:space="preserve">San Francisco </v>
      </c>
      <c r="AC529" s="89" t="str">
        <f t="shared" si="48"/>
        <v xml:space="preserve">San Francisco </v>
      </c>
      <c r="AE529" s="42">
        <v>1990</v>
      </c>
      <c r="AK529" s="42">
        <v>1</v>
      </c>
      <c r="AL529" s="42">
        <v>1</v>
      </c>
      <c r="AW529" s="89" t="str">
        <v>GROUP_STAGE</v>
      </c>
      <c r="BE529" s="43" t="str">
        <f>IF(OR(DATA_CLEANED!AL520="",DATA_CLEANED!AM520=""),"MANQUANT",IF(OR(NOT(ISNUMBER(DATA_CLEANED!AL520)),NOT(ISNUMBER(DATA_CLEANED!AM520))),"ENTREE INVALIDE",IF(OR(DATA_CLEANED!AL520&lt;0,DATA_CLEANED!AM520&lt;0),"SCORE NEGATIF","OK")))</f>
        <v>OK</v>
      </c>
      <c r="BF529" s="43" t="str">
        <f>IF(DATA_CLEANED!AK520&lt;&gt;DATA_CLEANED!AN520,"OK","ERREUR")</f>
        <v>OK</v>
      </c>
      <c r="BG529" s="43" t="str">
        <f>IF(DATA_CLEANED!AL520&gt;DATA_CLEANED!AM520,DATA_CLEANED!AK520,IF(AND(DATA_QUALITE!W5006="-",DATA_CLEANED!AM520=DATA_CLEANED!AL520),"MATCH NUL",IF(AND(DATA_QUALITE!V5006="-",DATA_QUALITE!U5006="AUCUNE"),DATA_QUALITE!T5006,IF(DATA_QUALITE!V5006&lt;&gt;"-",DATA_QUALITE!V5006,DATA_CLEANED!AN520))))</f>
        <v>MATCH NUL</v>
      </c>
      <c r="BH529" s="103" t="str">
        <f>IF(AND(BG529="MATCH NUL",DATA_CLEANED!AO520="-"),"MATCH_NUL",IF(ISNUMBER(SEARCH("win on penalties",W5006)),"WIN_BY_PENALTY",IF(ISNUMBER(SEARCH("win after extra time",W5006)),"WIN_BY_EXTRA_TIME",IF(ISNUMBER(SEARCH("Golden Goal",W5006)),"WIN_BY_GOLDEN_GOAL","WIN_BY_SCORE"))))</f>
        <v>MATCH_NUL</v>
      </c>
      <c r="BI529" s="99" t="str">
        <f>IF(OR(BG529=DATA_CLEANED!AK520,BG529=DATA_CLEANED!AN520,BG529="MATCH NUL"),"OK","ERREUR")</f>
        <v>OK</v>
      </c>
    </row>
    <row r="530" spans="2:61">
      <c r="B530" s="75">
        <v>93</v>
      </c>
      <c r="C530" s="15" t="str">
        <v>Paik Seung-ho</v>
      </c>
      <c r="D530" s="15">
        <v>29</v>
      </c>
      <c r="E530" s="15" t="str">
        <v>Republic of Korea</v>
      </c>
      <c r="F530" s="15" t="str">
        <v>CM</v>
      </c>
      <c r="G530" s="15" t="str">
        <v>Birmingham City</v>
      </c>
      <c r="H530" s="15">
        <v>8</v>
      </c>
      <c r="I530" s="15" t="str">
        <f t="shared" si="49"/>
        <v>93|Paik Seung-ho|29|Republic of Korea|CM|Birmingham City|8</v>
      </c>
      <c r="J530" s="15" t="str">
        <f>IF(COUNTIF(I$438:I530,I530)&gt;1,"DOUBLON","OK")</f>
        <v>OK</v>
      </c>
      <c r="S530" s="30" t="str">
        <v>France</v>
      </c>
      <c r="T530" s="30" t="str">
        <f t="shared" si="50"/>
        <v>OK</v>
      </c>
      <c r="U530" s="30" t="str">
        <f t="shared" si="51"/>
        <v>-</v>
      </c>
      <c r="V530" s="30" t="str" cm="1">
        <f t="array" ref="V530">_xlfn.IFS(
ISNUMBER(SEARCH("USA",S530)),"United States",
ISNUMBER(SEARCH("Republic of Korea",S530)),"South Korea",
ISNUMBER(SEARCH("Cape Verde",S530)),"Cabo Verde",
ISNUMBER(SEARCH("Czechia",S530)),"Czech Republic",
ISNUMBER(SEARCH("Türkiye",S530)),"Turkey",
ISNUMBER(SEARCH("Ivory Coast",S530)),"Côte d'Ivoire",
ISNUMBER(SEARCH("Korea Republic",S530)),"South Korea",
ISNUMBER(SEARCH("Germany FR",S530)),"FR Germany",
ISNUMBER(SEARCH("West Germany",S530)),"FR Germany",
ISNUMBER(SEARCH("Germany DR",S530)),"DR Germany",
ISNUMBER(SEARCH("Korea DPR",S530)),"North Korea",
ISNUMBER(SEARCH("China PR",S530)),"China",
ISNUMBER(SEARCH("IR Iran",S530)),"Iran",
ISNUMBER(SEARCH("Congo DR",S530)),"Democratic Republic of the Congo",
ISNUMBER(SEARCH("DR Congo",S530)),"Democratic Republic of the Congo",
ISNUMBER(SEARCH("German DR",S530)),"DR Germany",
ISNUMBER(SEARCH("rn""&gt;United Arab Emirates",S530)),"United Arab Emirates",
ISNUMBER(SEARCH("rn""&gt;Republic of Ireland",S530)),"Ireland",
ISNUMBER(SEARCH("rn""&gt;Bosnia and Herzegovina",S530)),"Bosnia and Herzegovina",
ISNUMBER(SEARCH("rn""&gt;Trinidad and Tobago",S530)),"Trinidad and Tobago",
ISNUMBER(SEARCH("rn""&gt;Serbia and Montenegro",S530)),"Serbia and Montenegro",
ISNUMBER(SEARCH(_xlfn.UNICHAR(65533),S530)),"Côte d'Ivoire",
TRUE,""
)</f>
        <v/>
      </c>
      <c r="W530" s="30" t="str">
        <f t="shared" si="52"/>
        <v>France</v>
      </c>
      <c r="Z530" s="40" t="str">
        <v>Cotton Bowl</v>
      </c>
      <c r="AA530" s="40" t="str" cm="1">
        <f t="array" ref="AA530">IFERROR(_xlfn.XLOOKUP(Z530,_xlfn.ANCHORARRAY(Z$31),AA$31:AA$37),Z530)</f>
        <v>Cotton Bowl</v>
      </c>
      <c r="AB530" s="42" t="str">
        <v xml:space="preserve">Dallas </v>
      </c>
      <c r="AC530" s="89" t="str">
        <f t="shared" si="48"/>
        <v xml:space="preserve">Dallas </v>
      </c>
      <c r="AE530" s="42">
        <v>1990</v>
      </c>
      <c r="AK530" s="42">
        <v>1</v>
      </c>
      <c r="AL530" s="42">
        <v>0</v>
      </c>
      <c r="AW530" s="89" t="str">
        <v>GROUP_STAGE</v>
      </c>
      <c r="BE530" s="43" t="str">
        <f>IF(OR(DATA_CLEANED!AL521="",DATA_CLEANED!AM521=""),"MANQUANT",IF(OR(NOT(ISNUMBER(DATA_CLEANED!AL521)),NOT(ISNUMBER(DATA_CLEANED!AM521))),"ENTREE INVALIDE",IF(OR(DATA_CLEANED!AL521&lt;0,DATA_CLEANED!AM521&lt;0),"SCORE NEGATIF","OK")))</f>
        <v>OK</v>
      </c>
      <c r="BF530" s="43" t="str">
        <f>IF(DATA_CLEANED!AK521&lt;&gt;DATA_CLEANED!AN521,"OK","ERREUR")</f>
        <v>OK</v>
      </c>
      <c r="BG530" s="43" t="str">
        <f>IF(DATA_CLEANED!AL521&gt;DATA_CLEANED!AM521,DATA_CLEANED!AK521,IF(AND(DATA_QUALITE!W5007="-",DATA_CLEANED!AM521=DATA_CLEANED!AL521),"MATCH NUL",IF(AND(DATA_QUALITE!V5007="-",DATA_QUALITE!U5007="AUCUNE"),DATA_QUALITE!T5007,IF(DATA_QUALITE!V5007&lt;&gt;"-",DATA_QUALITE!V5007,DATA_CLEANED!AN521))))</f>
        <v>MATCH NUL</v>
      </c>
      <c r="BH530" s="103" t="str">
        <f>IF(AND(BG530="MATCH NUL",DATA_CLEANED!AO521="-"),"MATCH_NUL",IF(ISNUMBER(SEARCH("win on penalties",W5007)),"WIN_BY_PENALTY",IF(ISNUMBER(SEARCH("win after extra time",W5007)),"WIN_BY_EXTRA_TIME",IF(ISNUMBER(SEARCH("Golden Goal",W5007)),"WIN_BY_GOLDEN_GOAL","WIN_BY_SCORE"))))</f>
        <v>MATCH_NUL</v>
      </c>
      <c r="BI530" s="99" t="str">
        <f>IF(OR(BG530=DATA_CLEANED!AK521,BG530=DATA_CLEANED!AN521,BG530="MATCH NUL"),"OK","ERREUR")</f>
        <v>OK</v>
      </c>
    </row>
    <row r="531" spans="2:61">
      <c r="B531" s="75">
        <v>94</v>
      </c>
      <c r="C531" s="15" t="str">
        <v>Kim Jin-gyu</v>
      </c>
      <c r="D531" s="15">
        <v>29</v>
      </c>
      <c r="E531" s="15" t="str">
        <v>Republic of Korea</v>
      </c>
      <c r="F531" s="15" t="str">
        <v>CM</v>
      </c>
      <c r="G531" s="15" t="str">
        <v>Jeonbuk Hyundai Motors</v>
      </c>
      <c r="H531" s="15">
        <v>24</v>
      </c>
      <c r="I531" s="15" t="str">
        <f t="shared" si="49"/>
        <v>94|Kim Jin-gyu|29|Republic of Korea|CM|Jeonbuk Hyundai Motors|24</v>
      </c>
      <c r="J531" s="15" t="str">
        <f>IF(COUNTIF(I$438:I531,I531)&gt;1,"DOUBLON","OK")</f>
        <v>OK</v>
      </c>
      <c r="S531" s="30" t="str">
        <v>France</v>
      </c>
      <c r="T531" s="30" t="str">
        <f t="shared" si="50"/>
        <v>OK</v>
      </c>
      <c r="U531" s="30" t="str">
        <f t="shared" si="51"/>
        <v>-</v>
      </c>
      <c r="V531" s="30" t="str" cm="1">
        <f t="array" ref="V531">_xlfn.IFS(
ISNUMBER(SEARCH("USA",S531)),"United States",
ISNUMBER(SEARCH("Republic of Korea",S531)),"South Korea",
ISNUMBER(SEARCH("Cape Verde",S531)),"Cabo Verde",
ISNUMBER(SEARCH("Czechia",S531)),"Czech Republic",
ISNUMBER(SEARCH("Türkiye",S531)),"Turkey",
ISNUMBER(SEARCH("Ivory Coast",S531)),"Côte d'Ivoire",
ISNUMBER(SEARCH("Korea Republic",S531)),"South Korea",
ISNUMBER(SEARCH("Germany FR",S531)),"FR Germany",
ISNUMBER(SEARCH("West Germany",S531)),"FR Germany",
ISNUMBER(SEARCH("Germany DR",S531)),"DR Germany",
ISNUMBER(SEARCH("Korea DPR",S531)),"North Korea",
ISNUMBER(SEARCH("China PR",S531)),"China",
ISNUMBER(SEARCH("IR Iran",S531)),"Iran",
ISNUMBER(SEARCH("Congo DR",S531)),"Democratic Republic of the Congo",
ISNUMBER(SEARCH("DR Congo",S531)),"Democratic Republic of the Congo",
ISNUMBER(SEARCH("German DR",S531)),"DR Germany",
ISNUMBER(SEARCH("rn""&gt;United Arab Emirates",S531)),"United Arab Emirates",
ISNUMBER(SEARCH("rn""&gt;Republic of Ireland",S531)),"Ireland",
ISNUMBER(SEARCH("rn""&gt;Bosnia and Herzegovina",S531)),"Bosnia and Herzegovina",
ISNUMBER(SEARCH("rn""&gt;Trinidad and Tobago",S531)),"Trinidad and Tobago",
ISNUMBER(SEARCH("rn""&gt;Serbia and Montenegro",S531)),"Serbia and Montenegro",
ISNUMBER(SEARCH(_xlfn.UNICHAR(65533),S531)),"Côte d'Ivoire",
TRUE,""
)</f>
        <v/>
      </c>
      <c r="W531" s="30" t="str">
        <f t="shared" si="52"/>
        <v>France</v>
      </c>
      <c r="Z531" s="40" t="str">
        <v>Soldier Field</v>
      </c>
      <c r="AA531" s="40" t="str" cm="1">
        <f t="array" ref="AA531">IFERROR(_xlfn.XLOOKUP(Z531,_xlfn.ANCHORARRAY(Z$31),AA$31:AA$37),Z531)</f>
        <v>Soldier Field</v>
      </c>
      <c r="AB531" s="42" t="str">
        <v xml:space="preserve">Chicago </v>
      </c>
      <c r="AC531" s="89" t="str">
        <f t="shared" si="48"/>
        <v xml:space="preserve">Chicago </v>
      </c>
      <c r="AE531" s="42">
        <v>1990</v>
      </c>
      <c r="AK531" s="42">
        <v>2</v>
      </c>
      <c r="AL531" s="42">
        <v>1</v>
      </c>
      <c r="AW531" s="89" t="str">
        <v>GROUP_STAGE</v>
      </c>
      <c r="BE531" s="43" t="str">
        <f>IF(OR(DATA_CLEANED!AL522="",DATA_CLEANED!AM522=""),"MANQUANT",IF(OR(NOT(ISNUMBER(DATA_CLEANED!AL522)),NOT(ISNUMBER(DATA_CLEANED!AM522))),"ENTREE INVALIDE",IF(OR(DATA_CLEANED!AL522&lt;0,DATA_CLEANED!AM522&lt;0),"SCORE NEGATIF","OK")))</f>
        <v>OK</v>
      </c>
      <c r="BF531" s="43" t="str">
        <f>IF(DATA_CLEANED!AK522&lt;&gt;DATA_CLEANED!AN522,"OK","ERREUR")</f>
        <v>OK</v>
      </c>
      <c r="BG531" s="43" t="str">
        <f>IF(DATA_CLEANED!AL522&gt;DATA_CLEANED!AM522,DATA_CLEANED!AK522,IF(AND(DATA_QUALITE!W5008="-",DATA_CLEANED!AM522=DATA_CLEANED!AL522),"MATCH NUL",IF(AND(DATA_QUALITE!V5008="-",DATA_QUALITE!U5008="AUCUNE"),DATA_QUALITE!T5008,IF(DATA_QUALITE!V5008&lt;&gt;"-",DATA_QUALITE!V5008,DATA_CLEANED!AN522))))</f>
        <v>MATCH NUL</v>
      </c>
      <c r="BH531" s="103" t="str">
        <f>IF(AND(BG531="MATCH NUL",DATA_CLEANED!AO522="-"),"MATCH_NUL",IF(ISNUMBER(SEARCH("win on penalties",W5008)),"WIN_BY_PENALTY",IF(ISNUMBER(SEARCH("win after extra time",W5008)),"WIN_BY_EXTRA_TIME",IF(ISNUMBER(SEARCH("Golden Goal",W5008)),"WIN_BY_GOLDEN_GOAL","WIN_BY_SCORE"))))</f>
        <v>MATCH_NUL</v>
      </c>
      <c r="BI531" s="99" t="str">
        <f>IF(OR(BG531=DATA_CLEANED!AK522,BG531=DATA_CLEANED!AN522,BG531="MATCH NUL"),"OK","ERREUR")</f>
        <v>OK</v>
      </c>
    </row>
    <row r="532" spans="2:61">
      <c r="B532" s="75">
        <v>95</v>
      </c>
      <c r="C532" s="15" t="str">
        <v>Lee Jae-sung</v>
      </c>
      <c r="D532" s="15">
        <v>33</v>
      </c>
      <c r="E532" s="15" t="str">
        <v>Republic of Korea</v>
      </c>
      <c r="F532" s="15" t="str">
        <v>CAM</v>
      </c>
      <c r="G532" s="15" t="str">
        <v>Mainz 05</v>
      </c>
      <c r="H532" s="15">
        <v>10</v>
      </c>
      <c r="I532" s="15" t="str">
        <f t="shared" si="49"/>
        <v>95|Lee Jae-sung|33|Republic of Korea|CAM|Mainz 05|10</v>
      </c>
      <c r="J532" s="15" t="str">
        <f>IF(COUNTIF(I$438:I532,I532)&gt;1,"DOUBLON","OK")</f>
        <v>OK</v>
      </c>
      <c r="S532" s="30" t="str">
        <v>France</v>
      </c>
      <c r="T532" s="30" t="str">
        <f t="shared" si="50"/>
        <v>OK</v>
      </c>
      <c r="U532" s="30" t="str">
        <f t="shared" si="51"/>
        <v>-</v>
      </c>
      <c r="V532" s="30" t="str" cm="1">
        <f t="array" ref="V532">_xlfn.IFS(
ISNUMBER(SEARCH("USA",S532)),"United States",
ISNUMBER(SEARCH("Republic of Korea",S532)),"South Korea",
ISNUMBER(SEARCH("Cape Verde",S532)),"Cabo Verde",
ISNUMBER(SEARCH("Czechia",S532)),"Czech Republic",
ISNUMBER(SEARCH("Türkiye",S532)),"Turkey",
ISNUMBER(SEARCH("Ivory Coast",S532)),"Côte d'Ivoire",
ISNUMBER(SEARCH("Korea Republic",S532)),"South Korea",
ISNUMBER(SEARCH("Germany FR",S532)),"FR Germany",
ISNUMBER(SEARCH("West Germany",S532)),"FR Germany",
ISNUMBER(SEARCH("Germany DR",S532)),"DR Germany",
ISNUMBER(SEARCH("Korea DPR",S532)),"North Korea",
ISNUMBER(SEARCH("China PR",S532)),"China",
ISNUMBER(SEARCH("IR Iran",S532)),"Iran",
ISNUMBER(SEARCH("Congo DR",S532)),"Democratic Republic of the Congo",
ISNUMBER(SEARCH("DR Congo",S532)),"Democratic Republic of the Congo",
ISNUMBER(SEARCH("German DR",S532)),"DR Germany",
ISNUMBER(SEARCH("rn""&gt;United Arab Emirates",S532)),"United Arab Emirates",
ISNUMBER(SEARCH("rn""&gt;Republic of Ireland",S532)),"Ireland",
ISNUMBER(SEARCH("rn""&gt;Bosnia and Herzegovina",S532)),"Bosnia and Herzegovina",
ISNUMBER(SEARCH("rn""&gt;Trinidad and Tobago",S532)),"Trinidad and Tobago",
ISNUMBER(SEARCH("rn""&gt;Serbia and Montenegro",S532)),"Serbia and Montenegro",
ISNUMBER(SEARCH(_xlfn.UNICHAR(65533),S532)),"Côte d'Ivoire",
TRUE,""
)</f>
        <v/>
      </c>
      <c r="W532" s="30" t="str">
        <f t="shared" si="52"/>
        <v>France</v>
      </c>
      <c r="Z532" s="40" t="str">
        <v>Giants Stadium</v>
      </c>
      <c r="AA532" s="40" t="str" cm="1">
        <f t="array" ref="AA532">IFERROR(_xlfn.XLOOKUP(Z532,_xlfn.ANCHORARRAY(Z$31),AA$31:AA$37),Z532)</f>
        <v>Giants Stadium</v>
      </c>
      <c r="AB532" s="42" t="str">
        <v xml:space="preserve">New York/New Jersey </v>
      </c>
      <c r="AC532" s="89" t="str">
        <f t="shared" si="48"/>
        <v xml:space="preserve">New York/New Jersey </v>
      </c>
      <c r="AE532" s="42">
        <v>1990</v>
      </c>
      <c r="AK532" s="42">
        <v>4</v>
      </c>
      <c r="AL532" s="42">
        <v>1</v>
      </c>
      <c r="AW532" s="89" t="str">
        <v>GROUP_STAGE</v>
      </c>
      <c r="BE532" s="43" t="str">
        <f>IF(OR(DATA_CLEANED!AL523="",DATA_CLEANED!AM523=""),"MANQUANT",IF(OR(NOT(ISNUMBER(DATA_CLEANED!AL523)),NOT(ISNUMBER(DATA_CLEANED!AM523))),"ENTREE INVALIDE",IF(OR(DATA_CLEANED!AL523&lt;0,DATA_CLEANED!AM523&lt;0),"SCORE NEGATIF","OK")))</f>
        <v>OK</v>
      </c>
      <c r="BF532" s="43" t="str">
        <f>IF(DATA_CLEANED!AK523&lt;&gt;DATA_CLEANED!AN523,"OK","ERREUR")</f>
        <v>OK</v>
      </c>
      <c r="BG532" s="43" t="str">
        <f>IF(DATA_CLEANED!AL523&gt;DATA_CLEANED!AM523,DATA_CLEANED!AK523,IF(AND(DATA_QUALITE!W5009="-",DATA_CLEANED!AM523=DATA_CLEANED!AL523),"MATCH NUL",IF(AND(DATA_QUALITE!V5009="-",DATA_QUALITE!U5009="AUCUNE"),DATA_QUALITE!T5009,IF(DATA_QUALITE!V5009&lt;&gt;"-",DATA_QUALITE!V5009,DATA_CLEANED!AN523))))</f>
        <v>MATCH NUL</v>
      </c>
      <c r="BH532" s="103" t="str">
        <f>IF(AND(BG532="MATCH NUL",DATA_CLEANED!AO523="-"),"MATCH_NUL",IF(ISNUMBER(SEARCH("win on penalties",W5009)),"WIN_BY_PENALTY",IF(ISNUMBER(SEARCH("win after extra time",W5009)),"WIN_BY_EXTRA_TIME",IF(ISNUMBER(SEARCH("Golden Goal",W5009)),"WIN_BY_GOLDEN_GOAL","WIN_BY_SCORE"))))</f>
        <v>MATCH_NUL</v>
      </c>
      <c r="BI532" s="99" t="str">
        <f>IF(OR(BG532=DATA_CLEANED!AK523,BG532=DATA_CLEANED!AN523,BG532="MATCH NUL"),"OK","ERREUR")</f>
        <v>OK</v>
      </c>
    </row>
    <row r="533" spans="2:61">
      <c r="B533" s="75">
        <v>96</v>
      </c>
      <c r="C533" s="15" t="str">
        <v>Bae Jun-ho</v>
      </c>
      <c r="D533" s="15">
        <v>22</v>
      </c>
      <c r="E533" s="15" t="str">
        <v>Republic of Korea</v>
      </c>
      <c r="F533" s="15" t="str">
        <v>CAM</v>
      </c>
      <c r="G533" s="15" t="str">
        <v>Stoke City</v>
      </c>
      <c r="H533" s="15">
        <v>17</v>
      </c>
      <c r="I533" s="15" t="str">
        <f t="shared" si="49"/>
        <v>96|Bae Jun-ho|22|Republic of Korea|CAM|Stoke City|17</v>
      </c>
      <c r="J533" s="15" t="str">
        <f>IF(COUNTIF(I$438:I533,I533)&gt;1,"DOUBLON","OK")</f>
        <v>OK</v>
      </c>
      <c r="S533" s="30" t="str">
        <v>France</v>
      </c>
      <c r="T533" s="30" t="str">
        <f t="shared" si="50"/>
        <v>OK</v>
      </c>
      <c r="U533" s="30" t="str">
        <f t="shared" si="51"/>
        <v>-</v>
      </c>
      <c r="V533" s="30" t="str" cm="1">
        <f t="array" ref="V533">_xlfn.IFS(
ISNUMBER(SEARCH("USA",S533)),"United States",
ISNUMBER(SEARCH("Republic of Korea",S533)),"South Korea",
ISNUMBER(SEARCH("Cape Verde",S533)),"Cabo Verde",
ISNUMBER(SEARCH("Czechia",S533)),"Czech Republic",
ISNUMBER(SEARCH("Türkiye",S533)),"Turkey",
ISNUMBER(SEARCH("Ivory Coast",S533)),"Côte d'Ivoire",
ISNUMBER(SEARCH("Korea Republic",S533)),"South Korea",
ISNUMBER(SEARCH("Germany FR",S533)),"FR Germany",
ISNUMBER(SEARCH("West Germany",S533)),"FR Germany",
ISNUMBER(SEARCH("Germany DR",S533)),"DR Germany",
ISNUMBER(SEARCH("Korea DPR",S533)),"North Korea",
ISNUMBER(SEARCH("China PR",S533)),"China",
ISNUMBER(SEARCH("IR Iran",S533)),"Iran",
ISNUMBER(SEARCH("Congo DR",S533)),"Democratic Republic of the Congo",
ISNUMBER(SEARCH("DR Congo",S533)),"Democratic Republic of the Congo",
ISNUMBER(SEARCH("German DR",S533)),"DR Germany",
ISNUMBER(SEARCH("rn""&gt;United Arab Emirates",S533)),"United Arab Emirates",
ISNUMBER(SEARCH("rn""&gt;Republic of Ireland",S533)),"Ireland",
ISNUMBER(SEARCH("rn""&gt;Bosnia and Herzegovina",S533)),"Bosnia and Herzegovina",
ISNUMBER(SEARCH("rn""&gt;Trinidad and Tobago",S533)),"Trinidad and Tobago",
ISNUMBER(SEARCH("rn""&gt;Serbia and Montenegro",S533)),"Serbia and Montenegro",
ISNUMBER(SEARCH(_xlfn.UNICHAR(65533),S533)),"Côte d'Ivoire",
TRUE,""
)</f>
        <v/>
      </c>
      <c r="W533" s="30" t="str">
        <f t="shared" si="52"/>
        <v>France</v>
      </c>
      <c r="Z533" s="40" t="str">
        <v>Pontiac Silverdome</v>
      </c>
      <c r="AA533" s="40" t="str" cm="1">
        <f t="array" ref="AA533">IFERROR(_xlfn.XLOOKUP(Z533,_xlfn.ANCHORARRAY(Z$31),AA$31:AA$37),Z533)</f>
        <v>Pontiac Silverdome</v>
      </c>
      <c r="AB533" s="42" t="str">
        <v xml:space="preserve">Detroit </v>
      </c>
      <c r="AC533" s="89" t="str">
        <f t="shared" si="48"/>
        <v xml:space="preserve">Detroit </v>
      </c>
      <c r="AE533" s="42">
        <v>1990</v>
      </c>
      <c r="AK533" s="42">
        <v>0</v>
      </c>
      <c r="AL533" s="42">
        <v>1</v>
      </c>
      <c r="AW533" s="89" t="str">
        <v>GROUP_STAGE</v>
      </c>
      <c r="BE533" s="43" t="str">
        <f>IF(OR(DATA_CLEANED!AL524="",DATA_CLEANED!AM524=""),"MANQUANT",IF(OR(NOT(ISNUMBER(DATA_CLEANED!AL524)),NOT(ISNUMBER(DATA_CLEANED!AM524))),"ENTREE INVALIDE",IF(OR(DATA_CLEANED!AL524&lt;0,DATA_CLEANED!AM524&lt;0),"SCORE NEGATIF","OK")))</f>
        <v>OK</v>
      </c>
      <c r="BF533" s="43" t="str">
        <f>IF(DATA_CLEANED!AK524&lt;&gt;DATA_CLEANED!AN524,"OK","ERREUR")</f>
        <v>OK</v>
      </c>
      <c r="BG533" s="43" t="str">
        <f>IF(DATA_CLEANED!AL524&gt;DATA_CLEANED!AM524,DATA_CLEANED!AK524,IF(AND(DATA_QUALITE!W5010="-",DATA_CLEANED!AM524=DATA_CLEANED!AL524),"MATCH NUL",IF(AND(DATA_QUALITE!V5010="-",DATA_QUALITE!U5010="AUCUNE"),DATA_QUALITE!T5010,IF(DATA_QUALITE!V5010&lt;&gt;"-",DATA_QUALITE!V5010,DATA_CLEANED!AN524))))</f>
        <v>Denmark</v>
      </c>
      <c r="BH533" s="103" t="str">
        <f>IF(AND(BG533="MATCH NUL",DATA_CLEANED!AO524="-"),"MATCH_NUL",IF(ISNUMBER(SEARCH("win on penalties",W5010)),"WIN_BY_PENALTY",IF(ISNUMBER(SEARCH("win after extra time",W5010)),"WIN_BY_EXTRA_TIME",IF(ISNUMBER(SEARCH("Golden Goal",W5010)),"WIN_BY_GOLDEN_GOAL","WIN_BY_SCORE"))))</f>
        <v>WIN_BY_SCORE</v>
      </c>
      <c r="BI533" s="99" t="str">
        <f>IF(OR(BG533=DATA_CLEANED!AK524,BG533=DATA_CLEANED!AN524,BG533="MATCH NUL"),"OK","ERREUR")</f>
        <v>OK</v>
      </c>
    </row>
    <row r="534" spans="2:61">
      <c r="B534" s="75">
        <v>97</v>
      </c>
      <c r="C534" s="15" t="str">
        <v>Lee Dong-gyeong</v>
      </c>
      <c r="D534" s="15">
        <v>28</v>
      </c>
      <c r="E534" s="15" t="str">
        <v>Republic of Korea</v>
      </c>
      <c r="F534" s="15" t="str">
        <v>CAM</v>
      </c>
      <c r="G534" s="15" t="str">
        <v>Ulsan HD</v>
      </c>
      <c r="H534" s="15">
        <v>26</v>
      </c>
      <c r="I534" s="15" t="str">
        <f t="shared" si="49"/>
        <v>97|Lee Dong-gyeong|28|Republic of Korea|CAM|Ulsan HD|26</v>
      </c>
      <c r="J534" s="15" t="str">
        <f>IF(COUNTIF(I$438:I534,I534)&gt;1,"DOUBLON","OK")</f>
        <v>OK</v>
      </c>
      <c r="S534" s="30" t="str">
        <v>France</v>
      </c>
      <c r="T534" s="30" t="str">
        <f t="shared" si="50"/>
        <v>OK</v>
      </c>
      <c r="U534" s="30" t="str">
        <f t="shared" si="51"/>
        <v>-</v>
      </c>
      <c r="V534" s="30" t="str" cm="1">
        <f t="array" ref="V534">_xlfn.IFS(
ISNUMBER(SEARCH("USA",S534)),"United States",
ISNUMBER(SEARCH("Republic of Korea",S534)),"South Korea",
ISNUMBER(SEARCH("Cape Verde",S534)),"Cabo Verde",
ISNUMBER(SEARCH("Czechia",S534)),"Czech Republic",
ISNUMBER(SEARCH("Türkiye",S534)),"Turkey",
ISNUMBER(SEARCH("Ivory Coast",S534)),"Côte d'Ivoire",
ISNUMBER(SEARCH("Korea Republic",S534)),"South Korea",
ISNUMBER(SEARCH("Germany FR",S534)),"FR Germany",
ISNUMBER(SEARCH("West Germany",S534)),"FR Germany",
ISNUMBER(SEARCH("Germany DR",S534)),"DR Germany",
ISNUMBER(SEARCH("Korea DPR",S534)),"North Korea",
ISNUMBER(SEARCH("China PR",S534)),"China",
ISNUMBER(SEARCH("IR Iran",S534)),"Iran",
ISNUMBER(SEARCH("Congo DR",S534)),"Democratic Republic of the Congo",
ISNUMBER(SEARCH("DR Congo",S534)),"Democratic Republic of the Congo",
ISNUMBER(SEARCH("German DR",S534)),"DR Germany",
ISNUMBER(SEARCH("rn""&gt;United Arab Emirates",S534)),"United Arab Emirates",
ISNUMBER(SEARCH("rn""&gt;Republic of Ireland",S534)),"Ireland",
ISNUMBER(SEARCH("rn""&gt;Bosnia and Herzegovina",S534)),"Bosnia and Herzegovina",
ISNUMBER(SEARCH("rn""&gt;Trinidad and Tobago",S534)),"Trinidad and Tobago",
ISNUMBER(SEARCH("rn""&gt;Serbia and Montenegro",S534)),"Serbia and Montenegro",
ISNUMBER(SEARCH(_xlfn.UNICHAR(65533),S534)),"Côte d'Ivoire",
TRUE,""
)</f>
        <v/>
      </c>
      <c r="W534" s="30" t="str">
        <f t="shared" si="52"/>
        <v>France</v>
      </c>
      <c r="Z534" s="40" t="str">
        <v>RFK Stadium</v>
      </c>
      <c r="AA534" s="40" t="str" cm="1">
        <f t="array" ref="AA534">IFERROR(_xlfn.XLOOKUP(Z534,_xlfn.ANCHORARRAY(Z$31),AA$31:AA$37),Z534)</f>
        <v>RFK Stadium</v>
      </c>
      <c r="AB534" s="42" t="str">
        <v xml:space="preserve">Washington Dc </v>
      </c>
      <c r="AC534" s="89" t="str">
        <f t="shared" si="48"/>
        <v xml:space="preserve">Washington Dc </v>
      </c>
      <c r="AE534" s="42">
        <v>1990</v>
      </c>
      <c r="AK534" s="42">
        <v>2</v>
      </c>
      <c r="AL534" s="42">
        <v>1</v>
      </c>
      <c r="AW534" s="89" t="str">
        <v>GROUP_STAGE</v>
      </c>
      <c r="BE534" s="43" t="str">
        <f>IF(OR(DATA_CLEANED!AL525="",DATA_CLEANED!AM525=""),"MANQUANT",IF(OR(NOT(ISNUMBER(DATA_CLEANED!AL525)),NOT(ISNUMBER(DATA_CLEANED!AM525))),"ENTREE INVALIDE",IF(OR(DATA_CLEANED!AL525&lt;0,DATA_CLEANED!AM525&lt;0),"SCORE NEGATIF","OK")))</f>
        <v>OK</v>
      </c>
      <c r="BF534" s="43" t="str">
        <f>IF(DATA_CLEANED!AK525&lt;&gt;DATA_CLEANED!AN525,"OK","ERREUR")</f>
        <v>OK</v>
      </c>
      <c r="BG534" s="43" t="str">
        <f>IF(DATA_CLEANED!AL525&gt;DATA_CLEANED!AM525,DATA_CLEANED!AK525,IF(AND(DATA_QUALITE!W5011="-",DATA_CLEANED!AM525=DATA_CLEANED!AL525),"MATCH NUL",IF(AND(DATA_QUALITE!V5011="-",DATA_QUALITE!U5011="AUCUNE"),DATA_QUALITE!T5011,IF(DATA_QUALITE!V5011&lt;&gt;"-",DATA_QUALITE!V5011,DATA_CLEANED!AN525))))</f>
        <v>France</v>
      </c>
      <c r="BH534" s="103" t="str">
        <f>IF(AND(BG534="MATCH NUL",DATA_CLEANED!AO525="-"),"MATCH_NUL",IF(ISNUMBER(SEARCH("win on penalties",W5011)),"WIN_BY_PENALTY",IF(ISNUMBER(SEARCH("win after extra time",W5011)),"WIN_BY_EXTRA_TIME",IF(ISNUMBER(SEARCH("Golden Goal",W5011)),"WIN_BY_GOLDEN_GOAL","WIN_BY_SCORE"))))</f>
        <v>WIN_BY_SCORE</v>
      </c>
      <c r="BI534" s="99" t="str">
        <f>IF(OR(BG534=DATA_CLEANED!AK525,BG534=DATA_CLEANED!AN525,BG534="MATCH NUL"),"OK","ERREUR")</f>
        <v>OK</v>
      </c>
    </row>
    <row r="535" spans="2:61">
      <c r="B535" s="75">
        <v>98</v>
      </c>
      <c r="C535" s="15" t="str">
        <v>Son Heung-min</v>
      </c>
      <c r="D535" s="15">
        <v>33</v>
      </c>
      <c r="E535" s="15" t="str">
        <v>Republic of Korea</v>
      </c>
      <c r="F535" s="15" t="str">
        <v>LW</v>
      </c>
      <c r="G535" s="15" t="str">
        <v>Los Angeles FC</v>
      </c>
      <c r="H535" s="15">
        <v>7</v>
      </c>
      <c r="I535" s="15" t="str">
        <f t="shared" si="49"/>
        <v>98|Son Heung-min|33|Republic of Korea|LW|Los Angeles FC|7</v>
      </c>
      <c r="J535" s="15" t="str">
        <f>IF(COUNTIF(I$438:I535,I535)&gt;1,"DOUBLON","OK")</f>
        <v>OK</v>
      </c>
      <c r="S535" s="30" t="str">
        <v>France</v>
      </c>
      <c r="T535" s="30" t="str">
        <f t="shared" si="50"/>
        <v>OK</v>
      </c>
      <c r="U535" s="30" t="str">
        <f t="shared" si="51"/>
        <v>-</v>
      </c>
      <c r="V535" s="30" t="str" cm="1">
        <f t="array" ref="V535">_xlfn.IFS(
ISNUMBER(SEARCH("USA",S535)),"United States",
ISNUMBER(SEARCH("Republic of Korea",S535)),"South Korea",
ISNUMBER(SEARCH("Cape Verde",S535)),"Cabo Verde",
ISNUMBER(SEARCH("Czechia",S535)),"Czech Republic",
ISNUMBER(SEARCH("Türkiye",S535)),"Turkey",
ISNUMBER(SEARCH("Ivory Coast",S535)),"Côte d'Ivoire",
ISNUMBER(SEARCH("Korea Republic",S535)),"South Korea",
ISNUMBER(SEARCH("Germany FR",S535)),"FR Germany",
ISNUMBER(SEARCH("West Germany",S535)),"FR Germany",
ISNUMBER(SEARCH("Germany DR",S535)),"DR Germany",
ISNUMBER(SEARCH("Korea DPR",S535)),"North Korea",
ISNUMBER(SEARCH("China PR",S535)),"China",
ISNUMBER(SEARCH("IR Iran",S535)),"Iran",
ISNUMBER(SEARCH("Congo DR",S535)),"Democratic Republic of the Congo",
ISNUMBER(SEARCH("DR Congo",S535)),"Democratic Republic of the Congo",
ISNUMBER(SEARCH("German DR",S535)),"DR Germany",
ISNUMBER(SEARCH("rn""&gt;United Arab Emirates",S535)),"United Arab Emirates",
ISNUMBER(SEARCH("rn""&gt;Republic of Ireland",S535)),"Ireland",
ISNUMBER(SEARCH("rn""&gt;Bosnia and Herzegovina",S535)),"Bosnia and Herzegovina",
ISNUMBER(SEARCH("rn""&gt;Trinidad and Tobago",S535)),"Trinidad and Tobago",
ISNUMBER(SEARCH("rn""&gt;Serbia and Montenegro",S535)),"Serbia and Montenegro",
ISNUMBER(SEARCH(_xlfn.UNICHAR(65533),S535)),"Côte d'Ivoire",
TRUE,""
)</f>
        <v/>
      </c>
      <c r="W535" s="30" t="str">
        <f t="shared" si="52"/>
        <v>France</v>
      </c>
      <c r="Z535" s="40" t="str">
        <v>Stanford Stadium</v>
      </c>
      <c r="AA535" s="40" t="str" cm="1">
        <f t="array" ref="AA535">IFERROR(_xlfn.XLOOKUP(Z535,_xlfn.ANCHORARRAY(Z$31),AA$31:AA$37),Z535)</f>
        <v>Stanford Stadium</v>
      </c>
      <c r="AB535" s="42" t="str">
        <v xml:space="preserve">San Francisco </v>
      </c>
      <c r="AC535" s="89" t="str">
        <f t="shared" si="48"/>
        <v xml:space="preserve">San Francisco </v>
      </c>
      <c r="AE535" s="42">
        <v>1990</v>
      </c>
      <c r="AK535" s="42">
        <v>0</v>
      </c>
      <c r="AL535" s="42">
        <v>0</v>
      </c>
      <c r="AW535" s="89" t="str">
        <v>GROUP_STAGE</v>
      </c>
      <c r="BE535" s="43" t="str">
        <f>IF(OR(DATA_CLEANED!AL526="",DATA_CLEANED!AM526=""),"MANQUANT",IF(OR(NOT(ISNUMBER(DATA_CLEANED!AL526)),NOT(ISNUMBER(DATA_CLEANED!AM526))),"ENTREE INVALIDE",IF(OR(DATA_CLEANED!AL526&lt;0,DATA_CLEANED!AM526&lt;0),"SCORE NEGATIF","OK")))</f>
        <v>OK</v>
      </c>
      <c r="BF535" s="43" t="str">
        <f>IF(DATA_CLEANED!AK526&lt;&gt;DATA_CLEANED!AN526,"OK","ERREUR")</f>
        <v>OK</v>
      </c>
      <c r="BG535" s="43" t="str">
        <f>IF(DATA_CLEANED!AL526&gt;DATA_CLEANED!AM526,DATA_CLEANED!AK526,IF(AND(DATA_QUALITE!W5012="-",DATA_CLEANED!AM526=DATA_CLEANED!AL526),"MATCH NUL",IF(AND(DATA_QUALITE!V5012="-",DATA_QUALITE!U5012="AUCUNE"),DATA_QUALITE!T5012,IF(DATA_QUALITE!V5012&lt;&gt;"-",DATA_QUALITE!V5012,DATA_CLEANED!AN526))))</f>
        <v>Nigeria</v>
      </c>
      <c r="BH535" s="103" t="str">
        <f>IF(AND(BG535="MATCH NUL",DATA_CLEANED!AO526="-"),"MATCH_NUL",IF(ISNUMBER(SEARCH("win on penalties",W5012)),"WIN_BY_PENALTY",IF(ISNUMBER(SEARCH("win after extra time",W5012)),"WIN_BY_EXTRA_TIME",IF(ISNUMBER(SEARCH("Golden Goal",W5012)),"WIN_BY_GOLDEN_GOAL","WIN_BY_SCORE"))))</f>
        <v>WIN_BY_SCORE</v>
      </c>
      <c r="BI535" s="99" t="str">
        <f>IF(OR(BG535=DATA_CLEANED!AK526,BG535=DATA_CLEANED!AN526,BG535="MATCH NUL"),"OK","ERREUR")</f>
        <v>OK</v>
      </c>
    </row>
    <row r="536" spans="2:61">
      <c r="B536" s="75">
        <v>99</v>
      </c>
      <c r="C536" s="15" t="str">
        <v>Hwang Hee-chan</v>
      </c>
      <c r="D536" s="15">
        <v>30</v>
      </c>
      <c r="E536" s="15" t="str">
        <v>Republic of Korea</v>
      </c>
      <c r="F536" s="15" t="str">
        <v>LW</v>
      </c>
      <c r="G536" s="15" t="str">
        <v>Wolverhampton Wanderers</v>
      </c>
      <c r="H536" s="15">
        <v>11</v>
      </c>
      <c r="I536" s="15" t="str">
        <f t="shared" si="49"/>
        <v>99|Hwang Hee-chan|30|Republic of Korea|LW|Wolverhampton Wanderers|11</v>
      </c>
      <c r="J536" s="15" t="str">
        <f>IF(COUNTIF(I$438:I536,I536)&gt;1,"DOUBLON","OK")</f>
        <v>OK</v>
      </c>
      <c r="S536" s="30" t="str">
        <v>France</v>
      </c>
      <c r="T536" s="30" t="str">
        <f t="shared" si="50"/>
        <v>OK</v>
      </c>
      <c r="U536" s="30" t="str">
        <f t="shared" si="51"/>
        <v>-</v>
      </c>
      <c r="V536" s="30" t="str" cm="1">
        <f t="array" ref="V536">_xlfn.IFS(
ISNUMBER(SEARCH("USA",S536)),"United States",
ISNUMBER(SEARCH("Republic of Korea",S536)),"South Korea",
ISNUMBER(SEARCH("Cape Verde",S536)),"Cabo Verde",
ISNUMBER(SEARCH("Czechia",S536)),"Czech Republic",
ISNUMBER(SEARCH("Türkiye",S536)),"Turkey",
ISNUMBER(SEARCH("Ivory Coast",S536)),"Côte d'Ivoire",
ISNUMBER(SEARCH("Korea Republic",S536)),"South Korea",
ISNUMBER(SEARCH("Germany FR",S536)),"FR Germany",
ISNUMBER(SEARCH("West Germany",S536)),"FR Germany",
ISNUMBER(SEARCH("Germany DR",S536)),"DR Germany",
ISNUMBER(SEARCH("Korea DPR",S536)),"North Korea",
ISNUMBER(SEARCH("China PR",S536)),"China",
ISNUMBER(SEARCH("IR Iran",S536)),"Iran",
ISNUMBER(SEARCH("Congo DR",S536)),"Democratic Republic of the Congo",
ISNUMBER(SEARCH("DR Congo",S536)),"Democratic Republic of the Congo",
ISNUMBER(SEARCH("German DR",S536)),"DR Germany",
ISNUMBER(SEARCH("rn""&gt;United Arab Emirates",S536)),"United Arab Emirates",
ISNUMBER(SEARCH("rn""&gt;Republic of Ireland",S536)),"Ireland",
ISNUMBER(SEARCH("rn""&gt;Bosnia and Herzegovina",S536)),"Bosnia and Herzegovina",
ISNUMBER(SEARCH("rn""&gt;Trinidad and Tobago",S536)),"Trinidad and Tobago",
ISNUMBER(SEARCH("rn""&gt;Serbia and Montenegro",S536)),"Serbia and Montenegro",
ISNUMBER(SEARCH(_xlfn.UNICHAR(65533),S536)),"Côte d'Ivoire",
TRUE,""
)</f>
        <v/>
      </c>
      <c r="W536" s="30" t="str">
        <f t="shared" si="52"/>
        <v>France</v>
      </c>
      <c r="Z536" s="40" t="str">
        <v>Citrus Bowl</v>
      </c>
      <c r="AA536" s="40" t="str" cm="1">
        <f t="array" ref="AA536">IFERROR(_xlfn.XLOOKUP(Z536,_xlfn.ANCHORARRAY(Z$31),AA$31:AA$37),Z536)</f>
        <v>Citrus Bowl</v>
      </c>
      <c r="AB536" s="42" t="str">
        <v xml:space="preserve">Orlando </v>
      </c>
      <c r="AC536" s="89" t="str">
        <f t="shared" si="48"/>
        <v xml:space="preserve">Orlando </v>
      </c>
      <c r="AE536" s="42">
        <v>1990</v>
      </c>
      <c r="AK536" s="42">
        <v>2</v>
      </c>
      <c r="AL536" s="42">
        <v>0</v>
      </c>
      <c r="AW536" s="89" t="str">
        <v>GROUP_STAGE</v>
      </c>
      <c r="BE536" s="43" t="str">
        <f>IF(OR(DATA_CLEANED!AL527="",DATA_CLEANED!AM527=""),"MANQUANT",IF(OR(NOT(ISNUMBER(DATA_CLEANED!AL527)),NOT(ISNUMBER(DATA_CLEANED!AM527))),"ENTREE INVALIDE",IF(OR(DATA_CLEANED!AL527&lt;0,DATA_CLEANED!AM527&lt;0),"SCORE NEGATIF","OK")))</f>
        <v>OK</v>
      </c>
      <c r="BF536" s="43" t="str">
        <f>IF(DATA_CLEANED!AK527&lt;&gt;DATA_CLEANED!AN527,"OK","ERREUR")</f>
        <v>OK</v>
      </c>
      <c r="BG536" s="43" t="str">
        <f>IF(DATA_CLEANED!AL527&gt;DATA_CLEANED!AM527,DATA_CLEANED!AK527,IF(AND(DATA_QUALITE!W5013="-",DATA_CLEANED!AM527=DATA_CLEANED!AL527),"MATCH NUL",IF(AND(DATA_QUALITE!V5013="-",DATA_QUALITE!U5013="AUCUNE"),DATA_QUALITE!T5013,IF(DATA_QUALITE!V5013&lt;&gt;"-",DATA_QUALITE!V5013,DATA_CLEANED!AN527))))</f>
        <v>Mexico</v>
      </c>
      <c r="BH536" s="103" t="str">
        <f>IF(AND(BG536="MATCH NUL",DATA_CLEANED!AO527="-"),"MATCH_NUL",IF(ISNUMBER(SEARCH("win on penalties",W5013)),"WIN_BY_PENALTY",IF(ISNUMBER(SEARCH("win after extra time",W5013)),"WIN_BY_EXTRA_TIME",IF(ISNUMBER(SEARCH("Golden Goal",W5013)),"WIN_BY_GOLDEN_GOAL","WIN_BY_SCORE"))))</f>
        <v>WIN_BY_SCORE</v>
      </c>
      <c r="BI536" s="99" t="str">
        <f>IF(OR(BG536=DATA_CLEANED!AK527,BG536=DATA_CLEANED!AN527,BG536="MATCH NUL"),"OK","ERREUR")</f>
        <v>OK</v>
      </c>
    </row>
    <row r="537" spans="2:61">
      <c r="B537" s="75">
        <v>100</v>
      </c>
      <c r="C537" s="15" t="str">
        <v>Eom Ji-sung</v>
      </c>
      <c r="D537" s="15">
        <v>24</v>
      </c>
      <c r="E537" s="15" t="str">
        <v>Republic of Korea</v>
      </c>
      <c r="F537" s="15" t="str">
        <v>LW</v>
      </c>
      <c r="G537" s="15" t="str">
        <v>Swansea City</v>
      </c>
      <c r="H537" s="15">
        <v>25</v>
      </c>
      <c r="I537" s="15" t="str">
        <f t="shared" si="49"/>
        <v>100|Eom Ji-sung|24|Republic of Korea|LW|Swansea City|25</v>
      </c>
      <c r="J537" s="15" t="str">
        <f>IF(COUNTIF(I$438:I537,I537)&gt;1,"DOUBLON","OK")</f>
        <v>OK</v>
      </c>
      <c r="S537" s="30" t="str">
        <v>France</v>
      </c>
      <c r="T537" s="30" t="str">
        <f t="shared" si="50"/>
        <v>OK</v>
      </c>
      <c r="U537" s="30" t="str">
        <f t="shared" si="51"/>
        <v>-</v>
      </c>
      <c r="V537" s="30" t="str" cm="1">
        <f t="array" ref="V537">_xlfn.IFS(
ISNUMBER(SEARCH("USA",S537)),"United States",
ISNUMBER(SEARCH("Republic of Korea",S537)),"South Korea",
ISNUMBER(SEARCH("Cape Verde",S537)),"Cabo Verde",
ISNUMBER(SEARCH("Czechia",S537)),"Czech Republic",
ISNUMBER(SEARCH("Türkiye",S537)),"Turkey",
ISNUMBER(SEARCH("Ivory Coast",S537)),"Côte d'Ivoire",
ISNUMBER(SEARCH("Korea Republic",S537)),"South Korea",
ISNUMBER(SEARCH("Germany FR",S537)),"FR Germany",
ISNUMBER(SEARCH("West Germany",S537)),"FR Germany",
ISNUMBER(SEARCH("Germany DR",S537)),"DR Germany",
ISNUMBER(SEARCH("Korea DPR",S537)),"North Korea",
ISNUMBER(SEARCH("China PR",S537)),"China",
ISNUMBER(SEARCH("IR Iran",S537)),"Iran",
ISNUMBER(SEARCH("Congo DR",S537)),"Democratic Republic of the Congo",
ISNUMBER(SEARCH("DR Congo",S537)),"Democratic Republic of the Congo",
ISNUMBER(SEARCH("German DR",S537)),"DR Germany",
ISNUMBER(SEARCH("rn""&gt;United Arab Emirates",S537)),"United Arab Emirates",
ISNUMBER(SEARCH("rn""&gt;Republic of Ireland",S537)),"Ireland",
ISNUMBER(SEARCH("rn""&gt;Bosnia and Herzegovina",S537)),"Bosnia and Herzegovina",
ISNUMBER(SEARCH("rn""&gt;Trinidad and Tobago",S537)),"Trinidad and Tobago",
ISNUMBER(SEARCH("rn""&gt;Serbia and Montenegro",S537)),"Serbia and Montenegro",
ISNUMBER(SEARCH(_xlfn.UNICHAR(65533),S537)),"Côte d'Ivoire",
TRUE,""
)</f>
        <v/>
      </c>
      <c r="W537" s="30" t="str">
        <f t="shared" si="52"/>
        <v>France</v>
      </c>
      <c r="Z537" s="40" t="str">
        <v>RFK Stadium</v>
      </c>
      <c r="AA537" s="40" t="str" cm="1">
        <f t="array" ref="AA537">IFERROR(_xlfn.XLOOKUP(Z537,_xlfn.ANCHORARRAY(Z$31),AA$31:AA$37),Z537)</f>
        <v>RFK Stadium</v>
      </c>
      <c r="AB537" s="42" t="str">
        <v xml:space="preserve">Washington Dc </v>
      </c>
      <c r="AC537" s="89" t="str">
        <f t="shared" si="48"/>
        <v xml:space="preserve">Washington Dc </v>
      </c>
      <c r="AE537" s="42">
        <v>1990</v>
      </c>
      <c r="AK537" s="42">
        <v>1</v>
      </c>
      <c r="AL537" s="42">
        <v>2</v>
      </c>
      <c r="AW537" s="89" t="str">
        <v>GROUP_STAGE</v>
      </c>
      <c r="BE537" s="43" t="str">
        <f>IF(OR(DATA_CLEANED!AL528="",DATA_CLEANED!AM528=""),"MANQUANT",IF(OR(NOT(ISNUMBER(DATA_CLEANED!AL528)),NOT(ISNUMBER(DATA_CLEANED!AM528))),"ENTREE INVALIDE",IF(OR(DATA_CLEANED!AL528&lt;0,DATA_CLEANED!AM528&lt;0),"SCORE NEGATIF","OK")))</f>
        <v>OK</v>
      </c>
      <c r="BF537" s="43" t="str">
        <f>IF(DATA_CLEANED!AK528&lt;&gt;DATA_CLEANED!AN528,"OK","ERREUR")</f>
        <v>OK</v>
      </c>
      <c r="BG537" s="43" t="str">
        <f>IF(DATA_CLEANED!AL528&gt;DATA_CLEANED!AM528,DATA_CLEANED!AK528,IF(AND(DATA_QUALITE!W5014="-",DATA_CLEANED!AM528=DATA_CLEANED!AL528),"MATCH NUL",IF(AND(DATA_QUALITE!V5014="-",DATA_QUALITE!U5014="AUCUNE"),DATA_QUALITE!T5014,IF(DATA_QUALITE!V5014&lt;&gt;"-",DATA_QUALITE!V5014,DATA_CLEANED!AN528))))</f>
        <v>MATCH NUL</v>
      </c>
      <c r="BH537" s="103" t="str">
        <f>IF(AND(BG537="MATCH NUL",DATA_CLEANED!AO528="-"),"MATCH_NUL",IF(ISNUMBER(SEARCH("win on penalties",W5014)),"WIN_BY_PENALTY",IF(ISNUMBER(SEARCH("win after extra time",W5014)),"WIN_BY_EXTRA_TIME",IF(ISNUMBER(SEARCH("Golden Goal",W5014)),"WIN_BY_GOLDEN_GOAL","WIN_BY_SCORE"))))</f>
        <v>MATCH_NUL</v>
      </c>
      <c r="BI537" s="99" t="str">
        <f>IF(OR(BG537=DATA_CLEANED!AK528,BG537=DATA_CLEANED!AN528,BG537="MATCH NUL"),"OK","ERREUR")</f>
        <v>OK</v>
      </c>
    </row>
    <row r="538" spans="2:61">
      <c r="B538" s="75">
        <v>101</v>
      </c>
      <c r="C538" s="15" t="str">
        <v>Lee Kang-in</v>
      </c>
      <c r="D538" s="15">
        <v>25</v>
      </c>
      <c r="E538" s="15" t="str">
        <v>Republic of Korea</v>
      </c>
      <c r="F538" s="15" t="str">
        <v>RW</v>
      </c>
      <c r="G538" s="15" t="str">
        <v>Paris Saint-Germain</v>
      </c>
      <c r="H538" s="15">
        <v>19</v>
      </c>
      <c r="I538" s="15" t="str">
        <f t="shared" si="49"/>
        <v>101|Lee Kang-in|25|Republic of Korea|RW|Paris Saint-Germain|19</v>
      </c>
      <c r="J538" s="15" t="str">
        <f>IF(COUNTIF(I$438:I538,I538)&gt;1,"DOUBLON","OK")</f>
        <v>OK</v>
      </c>
      <c r="S538" s="30" t="str">
        <v>France</v>
      </c>
      <c r="T538" s="30" t="str">
        <f t="shared" si="50"/>
        <v>OK</v>
      </c>
      <c r="U538" s="30" t="str">
        <f t="shared" si="51"/>
        <v>-</v>
      </c>
      <c r="V538" s="30" t="str" cm="1">
        <f t="array" ref="V538">_xlfn.IFS(
ISNUMBER(SEARCH("USA",S538)),"United States",
ISNUMBER(SEARCH("Republic of Korea",S538)),"South Korea",
ISNUMBER(SEARCH("Cape Verde",S538)),"Cabo Verde",
ISNUMBER(SEARCH("Czechia",S538)),"Czech Republic",
ISNUMBER(SEARCH("Türkiye",S538)),"Turkey",
ISNUMBER(SEARCH("Ivory Coast",S538)),"Côte d'Ivoire",
ISNUMBER(SEARCH("Korea Republic",S538)),"South Korea",
ISNUMBER(SEARCH("Germany FR",S538)),"FR Germany",
ISNUMBER(SEARCH("West Germany",S538)),"FR Germany",
ISNUMBER(SEARCH("Germany DR",S538)),"DR Germany",
ISNUMBER(SEARCH("Korea DPR",S538)),"North Korea",
ISNUMBER(SEARCH("China PR",S538)),"China",
ISNUMBER(SEARCH("IR Iran",S538)),"Iran",
ISNUMBER(SEARCH("Congo DR",S538)),"Democratic Republic of the Congo",
ISNUMBER(SEARCH("DR Congo",S538)),"Democratic Republic of the Congo",
ISNUMBER(SEARCH("German DR",S538)),"DR Germany",
ISNUMBER(SEARCH("rn""&gt;United Arab Emirates",S538)),"United Arab Emirates",
ISNUMBER(SEARCH("rn""&gt;Republic of Ireland",S538)),"Ireland",
ISNUMBER(SEARCH("rn""&gt;Bosnia and Herzegovina",S538)),"Bosnia and Herzegovina",
ISNUMBER(SEARCH("rn""&gt;Trinidad and Tobago",S538)),"Trinidad and Tobago",
ISNUMBER(SEARCH("rn""&gt;Serbia and Montenegro",S538)),"Serbia and Montenegro",
ISNUMBER(SEARCH(_xlfn.UNICHAR(65533),S538)),"Côte d'Ivoire",
TRUE,""
)</f>
        <v/>
      </c>
      <c r="W538" s="30" t="str">
        <f t="shared" si="52"/>
        <v>France</v>
      </c>
      <c r="Z538" s="40" t="str">
        <v>Foxboro Stadium</v>
      </c>
      <c r="AA538" s="40" t="str" cm="1">
        <f t="array" ref="AA538">IFERROR(_xlfn.XLOOKUP(Z538,_xlfn.ANCHORARRAY(Z$31),AA$31:AA$37),Z538)</f>
        <v>Foxboro Stadium</v>
      </c>
      <c r="AB538" s="42" t="str">
        <v xml:space="preserve">Boston </v>
      </c>
      <c r="AC538" s="89" t="str">
        <f t="shared" si="48"/>
        <v xml:space="preserve">Boston </v>
      </c>
      <c r="AE538" s="42">
        <v>1990</v>
      </c>
      <c r="AK538" s="42">
        <v>1</v>
      </c>
      <c r="AL538" s="42">
        <v>0</v>
      </c>
      <c r="AW538" s="89" t="str">
        <v>GROUP_STAGE</v>
      </c>
      <c r="BE538" s="43" t="str">
        <f>IF(OR(DATA_CLEANED!AL529="",DATA_CLEANED!AM529=""),"MANQUANT",IF(OR(NOT(ISNUMBER(DATA_CLEANED!AL529)),NOT(ISNUMBER(DATA_CLEANED!AM529))),"ENTREE INVALIDE",IF(OR(DATA_CLEANED!AL529&lt;0,DATA_CLEANED!AM529&lt;0),"SCORE NEGATIF","OK")))</f>
        <v>OK</v>
      </c>
      <c r="BF538" s="43" t="str">
        <f>IF(DATA_CLEANED!AK529&lt;&gt;DATA_CLEANED!AN529,"OK","ERREUR")</f>
        <v>OK</v>
      </c>
      <c r="BG538" s="43" t="str">
        <f>IF(DATA_CLEANED!AL529&gt;DATA_CLEANED!AM529,DATA_CLEANED!AK529,IF(AND(DATA_QUALITE!W5015="-",DATA_CLEANED!AM529=DATA_CLEANED!AL529),"MATCH NUL",IF(AND(DATA_QUALITE!V5015="-",DATA_QUALITE!U5015="AUCUNE"),DATA_QUALITE!T5015,IF(DATA_QUALITE!V5015&lt;&gt;"-",DATA_QUALITE!V5015,DATA_CLEANED!AN529))))</f>
        <v>Argentina</v>
      </c>
      <c r="BH538" s="103" t="str">
        <f>IF(AND(BG538="MATCH NUL",DATA_CLEANED!AO529="-"),"MATCH_NUL",IF(ISNUMBER(SEARCH("win on penalties",W5015)),"WIN_BY_PENALTY",IF(ISNUMBER(SEARCH("win after extra time",W5015)),"WIN_BY_EXTRA_TIME",IF(ISNUMBER(SEARCH("Golden Goal",W5015)),"WIN_BY_GOLDEN_GOAL","WIN_BY_SCORE"))))</f>
        <v>WIN_BY_SCORE</v>
      </c>
      <c r="BI538" s="99" t="str">
        <f>IF(OR(BG538=DATA_CLEANED!AK529,BG538=DATA_CLEANED!AN529,BG538="MATCH NUL"),"OK","ERREUR")</f>
        <v>OK</v>
      </c>
    </row>
    <row r="539" spans="2:61">
      <c r="B539" s="75">
        <v>102</v>
      </c>
      <c r="C539" s="15" t="str">
        <v>Yang Hyun-jun</v>
      </c>
      <c r="D539" s="15">
        <v>24</v>
      </c>
      <c r="E539" s="15" t="str">
        <v>Republic of Korea</v>
      </c>
      <c r="F539" s="15" t="str">
        <v>RW</v>
      </c>
      <c r="G539" s="15" t="str">
        <v>Celtic</v>
      </c>
      <c r="H539" s="15">
        <v>20</v>
      </c>
      <c r="I539" s="15" t="str">
        <f t="shared" si="49"/>
        <v>102|Yang Hyun-jun|24|Republic of Korea|RW|Celtic|20</v>
      </c>
      <c r="J539" s="15" t="str">
        <f>IF(COUNTIF(I$438:I539,I539)&gt;1,"DOUBLON","OK")</f>
        <v>OK</v>
      </c>
      <c r="S539" s="30" t="str">
        <v>France</v>
      </c>
      <c r="T539" s="30" t="str">
        <f t="shared" si="50"/>
        <v>OK</v>
      </c>
      <c r="U539" s="30" t="str">
        <f t="shared" si="51"/>
        <v>-</v>
      </c>
      <c r="V539" s="30" t="str" cm="1">
        <f t="array" ref="V539">_xlfn.IFS(
ISNUMBER(SEARCH("USA",S539)),"United States",
ISNUMBER(SEARCH("Republic of Korea",S539)),"South Korea",
ISNUMBER(SEARCH("Cape Verde",S539)),"Cabo Verde",
ISNUMBER(SEARCH("Czechia",S539)),"Czech Republic",
ISNUMBER(SEARCH("Türkiye",S539)),"Turkey",
ISNUMBER(SEARCH("Ivory Coast",S539)),"Côte d'Ivoire",
ISNUMBER(SEARCH("Korea Republic",S539)),"South Korea",
ISNUMBER(SEARCH("Germany FR",S539)),"FR Germany",
ISNUMBER(SEARCH("West Germany",S539)),"FR Germany",
ISNUMBER(SEARCH("Germany DR",S539)),"DR Germany",
ISNUMBER(SEARCH("Korea DPR",S539)),"North Korea",
ISNUMBER(SEARCH("China PR",S539)),"China",
ISNUMBER(SEARCH("IR Iran",S539)),"Iran",
ISNUMBER(SEARCH("Congo DR",S539)),"Democratic Republic of the Congo",
ISNUMBER(SEARCH("DR Congo",S539)),"Democratic Republic of the Congo",
ISNUMBER(SEARCH("German DR",S539)),"DR Germany",
ISNUMBER(SEARCH("rn""&gt;United Arab Emirates",S539)),"United Arab Emirates",
ISNUMBER(SEARCH("rn""&gt;Republic of Ireland",S539)),"Ireland",
ISNUMBER(SEARCH("rn""&gt;Bosnia and Herzegovina",S539)),"Bosnia and Herzegovina",
ISNUMBER(SEARCH("rn""&gt;Trinidad and Tobago",S539)),"Trinidad and Tobago",
ISNUMBER(SEARCH("rn""&gt;Serbia and Montenegro",S539)),"Serbia and Montenegro",
ISNUMBER(SEARCH(_xlfn.UNICHAR(65533),S539)),"Côte d'Ivoire",
TRUE,""
)</f>
        <v/>
      </c>
      <c r="W539" s="30" t="str">
        <f t="shared" si="52"/>
        <v>France</v>
      </c>
      <c r="Z539" s="40" t="str">
        <v>Cotton Bowl</v>
      </c>
      <c r="AA539" s="40" t="str" cm="1">
        <f t="array" ref="AA539">IFERROR(_xlfn.XLOOKUP(Z539,_xlfn.ANCHORARRAY(Z$31),AA$31:AA$37),Z539)</f>
        <v>Cotton Bowl</v>
      </c>
      <c r="AB539" s="42" t="str">
        <v xml:space="preserve">Dallas </v>
      </c>
      <c r="AC539" s="89" t="str">
        <f t="shared" si="48"/>
        <v xml:space="preserve">Dallas </v>
      </c>
      <c r="AE539" s="42">
        <v>1990</v>
      </c>
      <c r="AK539" s="42">
        <v>0</v>
      </c>
      <c r="AL539" s="42">
        <v>0</v>
      </c>
      <c r="AW539" s="89" t="str">
        <v>GROUP_STAGE</v>
      </c>
      <c r="BE539" s="43" t="str">
        <f>IF(OR(DATA_CLEANED!AL530="",DATA_CLEANED!AM530=""),"MANQUANT",IF(OR(NOT(ISNUMBER(DATA_CLEANED!AL530)),NOT(ISNUMBER(DATA_CLEANED!AM530))),"ENTREE INVALIDE",IF(OR(DATA_CLEANED!AL530&lt;0,DATA_CLEANED!AM530&lt;0),"SCORE NEGATIF","OK")))</f>
        <v>OK</v>
      </c>
      <c r="BF539" s="43" t="str">
        <f>IF(DATA_CLEANED!AK530&lt;&gt;DATA_CLEANED!AN530,"OK","ERREUR")</f>
        <v>OK</v>
      </c>
      <c r="BG539" s="43" t="str">
        <f>IF(DATA_CLEANED!AL530&gt;DATA_CLEANED!AM530,DATA_CLEANED!AK530,IF(AND(DATA_QUALITE!W5016="-",DATA_CLEANED!AM530=DATA_CLEANED!AL530),"MATCH NUL",IF(AND(DATA_QUALITE!V5016="-",DATA_QUALITE!U5016="AUCUNE"),DATA_QUALITE!T5016,IF(DATA_QUALITE!V5016&lt;&gt;"-",DATA_QUALITE!V5016,DATA_CLEANED!AN530))))</f>
        <v>Yugoslavia</v>
      </c>
      <c r="BH539" s="103" t="str">
        <f>IF(AND(BG539="MATCH NUL",DATA_CLEANED!AO530="-"),"MATCH_NUL",IF(ISNUMBER(SEARCH("win on penalties",W5016)),"WIN_BY_PENALTY",IF(ISNUMBER(SEARCH("win after extra time",W5016)),"WIN_BY_EXTRA_TIME",IF(ISNUMBER(SEARCH("Golden Goal",W5016)),"WIN_BY_GOLDEN_GOAL","WIN_BY_SCORE"))))</f>
        <v>WIN_BY_SCORE</v>
      </c>
      <c r="BI539" s="99" t="str">
        <f>IF(OR(BG539=DATA_CLEANED!AK530,BG539=DATA_CLEANED!AN530,BG539="MATCH NUL"),"OK","ERREUR")</f>
        <v>OK</v>
      </c>
    </row>
    <row r="540" spans="2:61">
      <c r="B540" s="75">
        <v>103</v>
      </c>
      <c r="C540" s="15" t="str">
        <v>Cho Gue-sung</v>
      </c>
      <c r="D540" s="15">
        <v>28</v>
      </c>
      <c r="E540" s="15" t="str">
        <v>Republic of Korea</v>
      </c>
      <c r="F540" s="15" t="str">
        <v>ST</v>
      </c>
      <c r="G540" s="15" t="str">
        <v>Midtjylland</v>
      </c>
      <c r="H540" s="15">
        <v>9</v>
      </c>
      <c r="I540" s="15" t="str">
        <f t="shared" si="49"/>
        <v>103|Cho Gue-sung|28|Republic of Korea|ST|Midtjylland|9</v>
      </c>
      <c r="J540" s="15" t="str">
        <f>IF(COUNTIF(I$438:I540,I540)&gt;1,"DOUBLON","OK")</f>
        <v>OK</v>
      </c>
      <c r="S540" s="30" t="str">
        <v>Netherlands</v>
      </c>
      <c r="T540" s="30" t="str">
        <f t="shared" si="50"/>
        <v>OK</v>
      </c>
      <c r="U540" s="30" t="str">
        <f t="shared" si="51"/>
        <v>-</v>
      </c>
      <c r="V540" s="30" t="str" cm="1">
        <f t="array" ref="V540">_xlfn.IFS(
ISNUMBER(SEARCH("USA",S540)),"United States",
ISNUMBER(SEARCH("Republic of Korea",S540)),"South Korea",
ISNUMBER(SEARCH("Cape Verde",S540)),"Cabo Verde",
ISNUMBER(SEARCH("Czechia",S540)),"Czech Republic",
ISNUMBER(SEARCH("Türkiye",S540)),"Turkey",
ISNUMBER(SEARCH("Ivory Coast",S540)),"Côte d'Ivoire",
ISNUMBER(SEARCH("Korea Republic",S540)),"South Korea",
ISNUMBER(SEARCH("Germany FR",S540)),"FR Germany",
ISNUMBER(SEARCH("West Germany",S540)),"FR Germany",
ISNUMBER(SEARCH("Germany DR",S540)),"DR Germany",
ISNUMBER(SEARCH("Korea DPR",S540)),"North Korea",
ISNUMBER(SEARCH("China PR",S540)),"China",
ISNUMBER(SEARCH("IR Iran",S540)),"Iran",
ISNUMBER(SEARCH("Congo DR",S540)),"Democratic Republic of the Congo",
ISNUMBER(SEARCH("DR Congo",S540)),"Democratic Republic of the Congo",
ISNUMBER(SEARCH("German DR",S540)),"DR Germany",
ISNUMBER(SEARCH("rn""&gt;United Arab Emirates",S540)),"United Arab Emirates",
ISNUMBER(SEARCH("rn""&gt;Republic of Ireland",S540)),"Ireland",
ISNUMBER(SEARCH("rn""&gt;Bosnia and Herzegovina",S540)),"Bosnia and Herzegovina",
ISNUMBER(SEARCH("rn""&gt;Trinidad and Tobago",S540)),"Trinidad and Tobago",
ISNUMBER(SEARCH("rn""&gt;Serbia and Montenegro",S540)),"Serbia and Montenegro",
ISNUMBER(SEARCH(_xlfn.UNICHAR(65533),S540)),"Côte d'Ivoire",
TRUE,""
)</f>
        <v/>
      </c>
      <c r="W540" s="30" t="str">
        <f t="shared" si="52"/>
        <v>Netherlands</v>
      </c>
      <c r="Z540" s="40" t="str">
        <v>Soldier Field</v>
      </c>
      <c r="AA540" s="40" t="str" cm="1">
        <f t="array" ref="AA540">IFERROR(_xlfn.XLOOKUP(Z540,_xlfn.ANCHORARRAY(Z$31),AA$31:AA$37),Z540)</f>
        <v>Soldier Field</v>
      </c>
      <c r="AB540" s="42" t="str">
        <v xml:space="preserve">Chicago </v>
      </c>
      <c r="AC540" s="89" t="str">
        <f t="shared" si="48"/>
        <v xml:space="preserve">Chicago </v>
      </c>
      <c r="AE540" s="42">
        <v>1990</v>
      </c>
      <c r="AK540" s="42">
        <v>1</v>
      </c>
      <c r="AL540" s="42">
        <v>0</v>
      </c>
      <c r="AW540" s="89" t="str">
        <v>GROUP_STAGE</v>
      </c>
      <c r="BE540" s="43" t="str">
        <f>IF(OR(DATA_CLEANED!AL531="",DATA_CLEANED!AM531=""),"MANQUANT",IF(OR(NOT(ISNUMBER(DATA_CLEANED!AL531)),NOT(ISNUMBER(DATA_CLEANED!AM531))),"ENTREE INVALIDE",IF(OR(DATA_CLEANED!AL531&lt;0,DATA_CLEANED!AM531&lt;0),"SCORE NEGATIF","OK")))</f>
        <v>OK</v>
      </c>
      <c r="BF540" s="43" t="str">
        <f>IF(DATA_CLEANED!AK531&lt;&gt;DATA_CLEANED!AN531,"OK","ERREUR")</f>
        <v>OK</v>
      </c>
      <c r="BG540" s="43" t="str">
        <f>IF(DATA_CLEANED!AL531&gt;DATA_CLEANED!AM531,DATA_CLEANED!AK531,IF(AND(DATA_QUALITE!W5017="-",DATA_CLEANED!AM531=DATA_CLEANED!AL531),"MATCH NUL",IF(AND(DATA_QUALITE!V5017="-",DATA_QUALITE!U5017="AUCUNE"),DATA_QUALITE!T5017,IF(DATA_QUALITE!V5017&lt;&gt;"-",DATA_QUALITE!V5017,DATA_CLEANED!AN531))))</f>
        <v>Croatia</v>
      </c>
      <c r="BH540" s="103" t="str">
        <f>IF(AND(BG540="MATCH NUL",DATA_CLEANED!AO531="-"),"MATCH_NUL",IF(ISNUMBER(SEARCH("win on penalties",W5017)),"WIN_BY_PENALTY",IF(ISNUMBER(SEARCH("win after extra time",W5017)),"WIN_BY_EXTRA_TIME",IF(ISNUMBER(SEARCH("Golden Goal",W5017)),"WIN_BY_GOLDEN_GOAL","WIN_BY_SCORE"))))</f>
        <v>WIN_BY_SCORE</v>
      </c>
      <c r="BI540" s="99" t="str">
        <f>IF(OR(BG540=DATA_CLEANED!AK531,BG540=DATA_CLEANED!AN531,BG540="MATCH NUL"),"OK","ERREUR")</f>
        <v>OK</v>
      </c>
    </row>
    <row r="541" spans="2:61">
      <c r="B541" s="75">
        <v>104</v>
      </c>
      <c r="C541" s="15" t="str">
        <v>Oh Hyeon-gyu</v>
      </c>
      <c r="D541" s="15">
        <v>25</v>
      </c>
      <c r="E541" s="15" t="str">
        <v>Republic of Korea</v>
      </c>
      <c r="F541" s="15" t="str">
        <v>ST</v>
      </c>
      <c r="G541" s="15" t="str">
        <v>Beşiktaş</v>
      </c>
      <c r="H541" s="15">
        <v>18</v>
      </c>
      <c r="I541" s="15" t="str">
        <f t="shared" si="49"/>
        <v>104|Oh Hyeon-gyu|25|Republic of Korea|ST|Beşiktaş|18</v>
      </c>
      <c r="J541" s="15" t="str">
        <f>IF(COUNTIF(I$438:I541,I541)&gt;1,"DOUBLON","OK")</f>
        <v>OK</v>
      </c>
      <c r="S541" s="30" t="str">
        <v>Netherlands</v>
      </c>
      <c r="T541" s="30" t="str">
        <f t="shared" si="50"/>
        <v>OK</v>
      </c>
      <c r="U541" s="30" t="str">
        <f t="shared" si="51"/>
        <v>-</v>
      </c>
      <c r="V541" s="30" t="str" cm="1">
        <f t="array" ref="V541">_xlfn.IFS(
ISNUMBER(SEARCH("USA",S541)),"United States",
ISNUMBER(SEARCH("Republic of Korea",S541)),"South Korea",
ISNUMBER(SEARCH("Cape Verde",S541)),"Cabo Verde",
ISNUMBER(SEARCH("Czechia",S541)),"Czech Republic",
ISNUMBER(SEARCH("Türkiye",S541)),"Turkey",
ISNUMBER(SEARCH("Ivory Coast",S541)),"Côte d'Ivoire",
ISNUMBER(SEARCH("Korea Republic",S541)),"South Korea",
ISNUMBER(SEARCH("Germany FR",S541)),"FR Germany",
ISNUMBER(SEARCH("West Germany",S541)),"FR Germany",
ISNUMBER(SEARCH("Germany DR",S541)),"DR Germany",
ISNUMBER(SEARCH("Korea DPR",S541)),"North Korea",
ISNUMBER(SEARCH("China PR",S541)),"China",
ISNUMBER(SEARCH("IR Iran",S541)),"Iran",
ISNUMBER(SEARCH("Congo DR",S541)),"Democratic Republic of the Congo",
ISNUMBER(SEARCH("DR Congo",S541)),"Democratic Republic of the Congo",
ISNUMBER(SEARCH("German DR",S541)),"DR Germany",
ISNUMBER(SEARCH("rn""&gt;United Arab Emirates",S541)),"United Arab Emirates",
ISNUMBER(SEARCH("rn""&gt;Republic of Ireland",S541)),"Ireland",
ISNUMBER(SEARCH("rn""&gt;Bosnia and Herzegovina",S541)),"Bosnia and Herzegovina",
ISNUMBER(SEARCH("rn""&gt;Trinidad and Tobago",S541)),"Trinidad and Tobago",
ISNUMBER(SEARCH("rn""&gt;Serbia and Montenegro",S541)),"Serbia and Montenegro",
ISNUMBER(SEARCH(_xlfn.UNICHAR(65533),S541)),"Côte d'Ivoire",
TRUE,""
)</f>
        <v/>
      </c>
      <c r="W541" s="30" t="str">
        <f t="shared" si="52"/>
        <v>Netherlands</v>
      </c>
      <c r="Z541" s="40" t="str">
        <v>RFK Stadium</v>
      </c>
      <c r="AA541" s="40" t="str" cm="1">
        <f t="array" ref="AA541">IFERROR(_xlfn.XLOOKUP(Z541,_xlfn.ANCHORARRAY(Z$31),AA$31:AA$37),Z541)</f>
        <v>RFK Stadium</v>
      </c>
      <c r="AB541" s="42" t="str">
        <v xml:space="preserve">Washington Dc </v>
      </c>
      <c r="AC541" s="89" t="str">
        <f t="shared" si="48"/>
        <v xml:space="preserve">Washington Dc </v>
      </c>
      <c r="AE541" s="42">
        <v>1990</v>
      </c>
      <c r="AK541" s="42">
        <v>1</v>
      </c>
      <c r="AL541" s="42">
        <v>0</v>
      </c>
      <c r="AW541" s="89" t="str">
        <v>GROUP_STAGE</v>
      </c>
      <c r="BE541" s="43" t="str">
        <f>IF(OR(DATA_CLEANED!AL532="",DATA_CLEANED!AM532=""),"MANQUANT",IF(OR(NOT(ISNUMBER(DATA_CLEANED!AL532)),NOT(ISNUMBER(DATA_CLEANED!AM532))),"ENTREE INVALIDE",IF(OR(DATA_CLEANED!AL532&lt;0,DATA_CLEANED!AM532&lt;0),"SCORE NEGATIF","OK")))</f>
        <v>OK</v>
      </c>
      <c r="BF541" s="43" t="str">
        <f>IF(DATA_CLEANED!AK532&lt;&gt;DATA_CLEANED!AN532,"OK","ERREUR")</f>
        <v>OK</v>
      </c>
      <c r="BG541" s="43" t="str">
        <f>IF(DATA_CLEANED!AL532&gt;DATA_CLEANED!AM532,DATA_CLEANED!AK532,IF(AND(DATA_QUALITE!W5018="-",DATA_CLEANED!AM532=DATA_CLEANED!AL532),"MATCH NUL",IF(AND(DATA_QUALITE!V5018="-",DATA_QUALITE!U5018="AUCUNE"),DATA_QUALITE!T5018,IF(DATA_QUALITE!V5018&lt;&gt;"-",DATA_QUALITE!V5018,DATA_CLEANED!AN532))))</f>
        <v>England</v>
      </c>
      <c r="BH541" s="103" t="str">
        <f>IF(AND(BG541="MATCH NUL",DATA_CLEANED!AO532="-"),"MATCH_NUL",IF(ISNUMBER(SEARCH("win on penalties",W5018)),"WIN_BY_PENALTY",IF(ISNUMBER(SEARCH("win after extra time",W5018)),"WIN_BY_EXTRA_TIME",IF(ISNUMBER(SEARCH("Golden Goal",W5018)),"WIN_BY_GOLDEN_GOAL","WIN_BY_SCORE"))))</f>
        <v>WIN_BY_SCORE</v>
      </c>
      <c r="BI541" s="99" t="str">
        <f>IF(OR(BG541=DATA_CLEANED!AK532,BG541=DATA_CLEANED!AN532,BG541="MATCH NUL"),"OK","ERREUR")</f>
        <v>OK</v>
      </c>
    </row>
    <row r="542" spans="2:61">
      <c r="B542" s="75">
        <v>105</v>
      </c>
      <c r="C542" s="15" t="str">
        <v>Nikola Vasilj</v>
      </c>
      <c r="D542" s="15">
        <v>30</v>
      </c>
      <c r="E542" s="15" t="str">
        <v>Bosnia and Herzegovina</v>
      </c>
      <c r="F542" s="15" t="str">
        <v>GK</v>
      </c>
      <c r="G542" s="15" t="str">
        <v>FC St. Pauli</v>
      </c>
      <c r="H542" s="15">
        <v>1</v>
      </c>
      <c r="I542" s="15" t="str">
        <f t="shared" si="49"/>
        <v>105|Nikola Vasilj|30|Bosnia and Herzegovina|GK|FC St. Pauli|1</v>
      </c>
      <c r="J542" s="15" t="str">
        <f>IF(COUNTIF(I$438:I542,I542)&gt;1,"DOUBLON","OK")</f>
        <v>OK</v>
      </c>
      <c r="S542" s="30" t="str">
        <v>Netherlands</v>
      </c>
      <c r="T542" s="30" t="str">
        <f t="shared" si="50"/>
        <v>OK</v>
      </c>
      <c r="U542" s="30" t="str">
        <f t="shared" si="51"/>
        <v>-</v>
      </c>
      <c r="V542" s="30" t="str" cm="1">
        <f t="array" ref="V542">_xlfn.IFS(
ISNUMBER(SEARCH("USA",S542)),"United States",
ISNUMBER(SEARCH("Republic of Korea",S542)),"South Korea",
ISNUMBER(SEARCH("Cape Verde",S542)),"Cabo Verde",
ISNUMBER(SEARCH("Czechia",S542)),"Czech Republic",
ISNUMBER(SEARCH("Türkiye",S542)),"Turkey",
ISNUMBER(SEARCH("Ivory Coast",S542)),"Côte d'Ivoire",
ISNUMBER(SEARCH("Korea Republic",S542)),"South Korea",
ISNUMBER(SEARCH("Germany FR",S542)),"FR Germany",
ISNUMBER(SEARCH("West Germany",S542)),"FR Germany",
ISNUMBER(SEARCH("Germany DR",S542)),"DR Germany",
ISNUMBER(SEARCH("Korea DPR",S542)),"North Korea",
ISNUMBER(SEARCH("China PR",S542)),"China",
ISNUMBER(SEARCH("IR Iran",S542)),"Iran",
ISNUMBER(SEARCH("Congo DR",S542)),"Democratic Republic of the Congo",
ISNUMBER(SEARCH("DR Congo",S542)),"Democratic Republic of the Congo",
ISNUMBER(SEARCH("German DR",S542)),"DR Germany",
ISNUMBER(SEARCH("rn""&gt;United Arab Emirates",S542)),"United Arab Emirates",
ISNUMBER(SEARCH("rn""&gt;Republic of Ireland",S542)),"Ireland",
ISNUMBER(SEARCH("rn""&gt;Bosnia and Herzegovina",S542)),"Bosnia and Herzegovina",
ISNUMBER(SEARCH("rn""&gt;Trinidad and Tobago",S542)),"Trinidad and Tobago",
ISNUMBER(SEARCH("rn""&gt;Serbia and Montenegro",S542)),"Serbia and Montenegro",
ISNUMBER(SEARCH(_xlfn.UNICHAR(65533),S542)),"Côte d'Ivoire",
TRUE,""
)</f>
        <v/>
      </c>
      <c r="W542" s="30" t="str">
        <f t="shared" si="52"/>
        <v>Netherlands</v>
      </c>
      <c r="Z542" s="40" t="str">
        <v>Cotton Bowl</v>
      </c>
      <c r="AA542" s="40" t="str" cm="1">
        <f t="array" ref="AA542">IFERROR(_xlfn.XLOOKUP(Z542,_xlfn.ANCHORARRAY(Z$31),AA$31:AA$37),Z542)</f>
        <v>Cotton Bowl</v>
      </c>
      <c r="AB542" s="42" t="str">
        <v xml:space="preserve">Dallas </v>
      </c>
      <c r="AC542" s="89" t="str">
        <f t="shared" si="48"/>
        <v xml:space="preserve">Dallas </v>
      </c>
      <c r="AE542" s="42">
        <v>1990</v>
      </c>
      <c r="AK542" s="42">
        <v>3</v>
      </c>
      <c r="AL542" s="42">
        <v>2</v>
      </c>
      <c r="AW542" s="89" t="str">
        <v>GROUP_STAGE</v>
      </c>
      <c r="BE542" s="43" t="str">
        <f>IF(OR(DATA_CLEANED!AL533="",DATA_CLEANED!AM533=""),"MANQUANT",IF(OR(NOT(ISNUMBER(DATA_CLEANED!AL533)),NOT(ISNUMBER(DATA_CLEANED!AM533))),"ENTREE INVALIDE",IF(OR(DATA_CLEANED!AL533&lt;0,DATA_CLEANED!AM533&lt;0),"SCORE NEGATIF","OK")))</f>
        <v>OK</v>
      </c>
      <c r="BF542" s="43" t="str">
        <f>IF(DATA_CLEANED!AK533&lt;&gt;DATA_CLEANED!AN533,"OK","ERREUR")</f>
        <v>OK</v>
      </c>
      <c r="BG542" s="43" t="str">
        <f>IF(DATA_CLEANED!AL533&gt;DATA_CLEANED!AM533,DATA_CLEANED!AK533,IF(AND(DATA_QUALITE!W5019="-",DATA_CLEANED!AM533=DATA_CLEANED!AL533),"MATCH NUL",IF(AND(DATA_QUALITE!V5019="-",DATA_QUALITE!U5019="AUCUNE"),DATA_QUALITE!T5019,IF(DATA_QUALITE!V5019&lt;&gt;"-",DATA_QUALITE!V5019,DATA_CLEANED!AN533))))</f>
        <v>Romania</v>
      </c>
      <c r="BH542" s="103" t="str">
        <f>IF(AND(BG542="MATCH NUL",DATA_CLEANED!AO533="-"),"MATCH_NUL",IF(ISNUMBER(SEARCH("win on penalties",W5019)),"WIN_BY_PENALTY",IF(ISNUMBER(SEARCH("win after extra time",W5019)),"WIN_BY_EXTRA_TIME",IF(ISNUMBER(SEARCH("Golden Goal",W5019)),"WIN_BY_GOLDEN_GOAL","WIN_BY_SCORE"))))</f>
        <v>WIN_BY_SCORE</v>
      </c>
      <c r="BI542" s="99" t="str">
        <f>IF(OR(BG542=DATA_CLEANED!AK533,BG542=DATA_CLEANED!AN533,BG542="MATCH NUL"),"OK","ERREUR")</f>
        <v>OK</v>
      </c>
    </row>
    <row r="543" spans="2:61">
      <c r="B543" s="75">
        <v>106</v>
      </c>
      <c r="C543" s="15" t="str">
        <v>Mladen Jurkas</v>
      </c>
      <c r="D543" s="15">
        <v>18</v>
      </c>
      <c r="E543" s="15" t="str">
        <v>Bosnia and Herzegovina</v>
      </c>
      <c r="F543" s="15" t="str">
        <v>GK</v>
      </c>
      <c r="G543" s="15" t="str">
        <v>Borac Banja Luka</v>
      </c>
      <c r="H543" s="15">
        <v>12</v>
      </c>
      <c r="I543" s="15" t="str">
        <f t="shared" si="49"/>
        <v>106|Mladen Jurkas|18|Bosnia and Herzegovina|GK|Borac Banja Luka|12</v>
      </c>
      <c r="J543" s="15" t="str">
        <f>IF(COUNTIF(I$438:I543,I543)&gt;1,"DOUBLON","OK")</f>
        <v>OK</v>
      </c>
      <c r="S543" s="30" t="str">
        <v>Netherlands</v>
      </c>
      <c r="T543" s="30" t="str">
        <f t="shared" si="50"/>
        <v>OK</v>
      </c>
      <c r="U543" s="30" t="str">
        <f t="shared" si="51"/>
        <v>-</v>
      </c>
      <c r="V543" s="30" t="str" cm="1">
        <f t="array" ref="V543">_xlfn.IFS(
ISNUMBER(SEARCH("USA",S543)),"United States",
ISNUMBER(SEARCH("Republic of Korea",S543)),"South Korea",
ISNUMBER(SEARCH("Cape Verde",S543)),"Cabo Verde",
ISNUMBER(SEARCH("Czechia",S543)),"Czech Republic",
ISNUMBER(SEARCH("Türkiye",S543)),"Turkey",
ISNUMBER(SEARCH("Ivory Coast",S543)),"Côte d'Ivoire",
ISNUMBER(SEARCH("Korea Republic",S543)),"South Korea",
ISNUMBER(SEARCH("Germany FR",S543)),"FR Germany",
ISNUMBER(SEARCH("West Germany",S543)),"FR Germany",
ISNUMBER(SEARCH("Germany DR",S543)),"DR Germany",
ISNUMBER(SEARCH("Korea DPR",S543)),"North Korea",
ISNUMBER(SEARCH("China PR",S543)),"China",
ISNUMBER(SEARCH("IR Iran",S543)),"Iran",
ISNUMBER(SEARCH("Congo DR",S543)),"Democratic Republic of the Congo",
ISNUMBER(SEARCH("DR Congo",S543)),"Democratic Republic of the Congo",
ISNUMBER(SEARCH("German DR",S543)),"DR Germany",
ISNUMBER(SEARCH("rn""&gt;United Arab Emirates",S543)),"United Arab Emirates",
ISNUMBER(SEARCH("rn""&gt;Republic of Ireland",S543)),"Ireland",
ISNUMBER(SEARCH("rn""&gt;Bosnia and Herzegovina",S543)),"Bosnia and Herzegovina",
ISNUMBER(SEARCH("rn""&gt;Trinidad and Tobago",S543)),"Trinidad and Tobago",
ISNUMBER(SEARCH("rn""&gt;Serbia and Montenegro",S543)),"Serbia and Montenegro",
ISNUMBER(SEARCH(_xlfn.UNICHAR(65533),S543)),"Côte d'Ivoire",
TRUE,""
)</f>
        <v/>
      </c>
      <c r="W543" s="30" t="str">
        <f t="shared" si="52"/>
        <v>Netherlands</v>
      </c>
      <c r="Z543" s="40" t="str">
        <v>Rose Bowl</v>
      </c>
      <c r="AA543" s="40" t="str" cm="1">
        <f t="array" ref="AA543">IFERROR(_xlfn.XLOOKUP(Z543,_xlfn.ANCHORARRAY(Z$31),AA$31:AA$37),Z543)</f>
        <v>Rose Bowl</v>
      </c>
      <c r="AB543" s="42" t="str">
        <v xml:space="preserve">Los Angeles </v>
      </c>
      <c r="AC543" s="89" t="str">
        <f t="shared" si="48"/>
        <v xml:space="preserve">Los Angeles </v>
      </c>
      <c r="AE543" s="42">
        <v>1990</v>
      </c>
      <c r="AK543" s="42">
        <v>1</v>
      </c>
      <c r="AL543" s="42">
        <v>1</v>
      </c>
      <c r="AW543" s="89" t="str">
        <v>GROUP_STAGE</v>
      </c>
      <c r="BE543" s="43" t="str">
        <f>IF(OR(DATA_CLEANED!AL534="",DATA_CLEANED!AM534=""),"MANQUANT",IF(OR(NOT(ISNUMBER(DATA_CLEANED!AL534)),NOT(ISNUMBER(DATA_CLEANED!AM534))),"ENTREE INVALIDE",IF(OR(DATA_CLEANED!AL534&lt;0,DATA_CLEANED!AM534&lt;0),"SCORE NEGATIF","OK")))</f>
        <v>OK</v>
      </c>
      <c r="BF543" s="43" t="str">
        <f>IF(DATA_CLEANED!AK534&lt;&gt;DATA_CLEANED!AN534,"OK","ERREUR")</f>
        <v>OK</v>
      </c>
      <c r="BG543" s="43" t="str">
        <f>IF(DATA_CLEANED!AL534&gt;DATA_CLEANED!AM534,DATA_CLEANED!AK534,IF(AND(DATA_QUALITE!W5020="-",DATA_CLEANED!AM534=DATA_CLEANED!AL534),"MATCH NUL",IF(AND(DATA_QUALITE!V5020="-",DATA_QUALITE!U5020="AUCUNE"),DATA_QUALITE!T5020,IF(DATA_QUALITE!V5020&lt;&gt;"-",DATA_QUALITE!V5020,DATA_CLEANED!AN534))))</f>
        <v>Germany</v>
      </c>
      <c r="BH543" s="103" t="str">
        <f>IF(AND(BG543="MATCH NUL",DATA_CLEANED!AO534="-"),"MATCH_NUL",IF(ISNUMBER(SEARCH("win on penalties",W5020)),"WIN_BY_PENALTY",IF(ISNUMBER(SEARCH("win after extra time",W5020)),"WIN_BY_EXTRA_TIME",IF(ISNUMBER(SEARCH("Golden Goal",W5020)),"WIN_BY_GOLDEN_GOAL","WIN_BY_SCORE"))))</f>
        <v>WIN_BY_SCORE</v>
      </c>
      <c r="BI543" s="99" t="str">
        <f>IF(OR(BG543=DATA_CLEANED!AK534,BG543=DATA_CLEANED!AN534,BG543="MATCH NUL"),"OK","ERREUR")</f>
        <v>OK</v>
      </c>
    </row>
    <row r="544" spans="2:61">
      <c r="B544" s="75">
        <v>107</v>
      </c>
      <c r="C544" s="15" t="str">
        <v>Martin Zlomislić</v>
      </c>
      <c r="D544" s="15">
        <v>27</v>
      </c>
      <c r="E544" s="15" t="str">
        <v>Bosnia and Herzegovina</v>
      </c>
      <c r="F544" s="15" t="str">
        <v>GK</v>
      </c>
      <c r="G544" s="15" t="str">
        <v>Rijeka</v>
      </c>
      <c r="H544" s="15">
        <v>22</v>
      </c>
      <c r="I544" s="15" t="str">
        <f t="shared" si="49"/>
        <v>107|Martin Zlomislić|27|Bosnia and Herzegovina|GK|Rijeka|22</v>
      </c>
      <c r="J544" s="15" t="str">
        <f>IF(COUNTIF(I$438:I544,I544)&gt;1,"DOUBLON","OK")</f>
        <v>OK</v>
      </c>
      <c r="S544" s="30" t="str">
        <v>Netherlands</v>
      </c>
      <c r="T544" s="30" t="str">
        <f t="shared" si="50"/>
        <v>OK</v>
      </c>
      <c r="U544" s="30" t="str">
        <f t="shared" si="51"/>
        <v>-</v>
      </c>
      <c r="V544" s="30" t="str" cm="1">
        <f t="array" ref="V544">_xlfn.IFS(
ISNUMBER(SEARCH("USA",S544)),"United States",
ISNUMBER(SEARCH("Republic of Korea",S544)),"South Korea",
ISNUMBER(SEARCH("Cape Verde",S544)),"Cabo Verde",
ISNUMBER(SEARCH("Czechia",S544)),"Czech Republic",
ISNUMBER(SEARCH("Türkiye",S544)),"Turkey",
ISNUMBER(SEARCH("Ivory Coast",S544)),"Côte d'Ivoire",
ISNUMBER(SEARCH("Korea Republic",S544)),"South Korea",
ISNUMBER(SEARCH("Germany FR",S544)),"FR Germany",
ISNUMBER(SEARCH("West Germany",S544)),"FR Germany",
ISNUMBER(SEARCH("Germany DR",S544)),"DR Germany",
ISNUMBER(SEARCH("Korea DPR",S544)),"North Korea",
ISNUMBER(SEARCH("China PR",S544)),"China",
ISNUMBER(SEARCH("IR Iran",S544)),"Iran",
ISNUMBER(SEARCH("Congo DR",S544)),"Democratic Republic of the Congo",
ISNUMBER(SEARCH("DR Congo",S544)),"Democratic Republic of the Congo",
ISNUMBER(SEARCH("German DR",S544)),"DR Germany",
ISNUMBER(SEARCH("rn""&gt;United Arab Emirates",S544)),"United Arab Emirates",
ISNUMBER(SEARCH("rn""&gt;Republic of Ireland",S544)),"Ireland",
ISNUMBER(SEARCH("rn""&gt;Bosnia and Herzegovina",S544)),"Bosnia and Herzegovina",
ISNUMBER(SEARCH("rn""&gt;Trinidad and Tobago",S544)),"Trinidad and Tobago",
ISNUMBER(SEARCH("rn""&gt;Serbia and Montenegro",S544)),"Serbia and Montenegro",
ISNUMBER(SEARCH(_xlfn.UNICHAR(65533),S544)),"Côte d'Ivoire",
TRUE,""
)</f>
        <v/>
      </c>
      <c r="W544" s="30" t="str">
        <f t="shared" si="52"/>
        <v>Netherlands</v>
      </c>
      <c r="Z544" s="40" t="str">
        <v>Citrus Bowl</v>
      </c>
      <c r="AA544" s="40" t="str" cm="1">
        <f t="array" ref="AA544">IFERROR(_xlfn.XLOOKUP(Z544,_xlfn.ANCHORARRAY(Z$31),AA$31:AA$37),Z544)</f>
        <v>Citrus Bowl</v>
      </c>
      <c r="AB544" s="42" t="str">
        <v xml:space="preserve">Orlando </v>
      </c>
      <c r="AC544" s="89" t="str">
        <f t="shared" si="48"/>
        <v xml:space="preserve">Orlando </v>
      </c>
      <c r="AE544" s="42">
        <v>1990</v>
      </c>
      <c r="AK544" s="42">
        <v>1</v>
      </c>
      <c r="AL544" s="42">
        <v>1</v>
      </c>
      <c r="AW544" s="89" t="str">
        <v>GROUP_STAGE</v>
      </c>
      <c r="BE544" s="43" t="str">
        <f>IF(OR(DATA_CLEANED!AL535="",DATA_CLEANED!AM535=""),"MANQUANT",IF(OR(NOT(ISNUMBER(DATA_CLEANED!AL535)),NOT(ISNUMBER(DATA_CLEANED!AM535))),"ENTREE INVALIDE",IF(OR(DATA_CLEANED!AL535&lt;0,DATA_CLEANED!AM535&lt;0),"SCORE NEGATIF","OK")))</f>
        <v>OK</v>
      </c>
      <c r="BF544" s="43" t="str">
        <f>IF(DATA_CLEANED!AK535&lt;&gt;DATA_CLEANED!AN535,"OK","ERREUR")</f>
        <v>OK</v>
      </c>
      <c r="BG544" s="43" t="str">
        <f>IF(DATA_CLEANED!AL535&gt;DATA_CLEANED!AM535,DATA_CLEANED!AK535,IF(AND(DATA_QUALITE!W5021="-",DATA_CLEANED!AM535=DATA_CLEANED!AL535),"MATCH NUL",IF(AND(DATA_QUALITE!V5021="-",DATA_QUALITE!U5021="AUCUNE"),DATA_QUALITE!T5021,IF(DATA_QUALITE!V5021&lt;&gt;"-",DATA_QUALITE!V5021,DATA_CLEANED!AN535))))</f>
        <v>MATCH NUL</v>
      </c>
      <c r="BH544" s="103" t="str">
        <f>IF(AND(BG544="MATCH NUL",DATA_CLEANED!AO535="-"),"MATCH_NUL",IF(ISNUMBER(SEARCH("win on penalties",W5021)),"WIN_BY_PENALTY",IF(ISNUMBER(SEARCH("win after extra time",W5021)),"WIN_BY_EXTRA_TIME",IF(ISNUMBER(SEARCH("Golden Goal",W5021)),"WIN_BY_GOLDEN_GOAL","WIN_BY_SCORE"))))</f>
        <v>MATCH_NUL</v>
      </c>
      <c r="BI544" s="99" t="str">
        <f>IF(OR(BG544=DATA_CLEANED!AK535,BG544=DATA_CLEANED!AN535,BG544="MATCH NUL"),"OK","ERREUR")</f>
        <v>OK</v>
      </c>
    </row>
    <row r="545" spans="2:61">
      <c r="B545" s="75">
        <v>108</v>
      </c>
      <c r="C545" s="15" t="str">
        <v>Nihad Mujakić</v>
      </c>
      <c r="D545" s="15">
        <v>28</v>
      </c>
      <c r="E545" s="15" t="str">
        <v>Bosnia and Herzegovina</v>
      </c>
      <c r="F545" s="15" t="str">
        <v>CB</v>
      </c>
      <c r="G545" s="15" t="str">
        <v>Gaziantep</v>
      </c>
      <c r="H545" s="15">
        <v>2</v>
      </c>
      <c r="I545" s="15" t="str">
        <f t="shared" si="49"/>
        <v>108|Nihad Mujakić|28|Bosnia and Herzegovina|CB|Gaziantep|2</v>
      </c>
      <c r="J545" s="15" t="str">
        <f>IF(COUNTIF(I$438:I545,I545)&gt;1,"DOUBLON","OK")</f>
        <v>OK</v>
      </c>
      <c r="S545" s="30" t="str">
        <v>Netherlands</v>
      </c>
      <c r="T545" s="30" t="str">
        <f t="shared" si="50"/>
        <v>OK</v>
      </c>
      <c r="U545" s="30" t="str">
        <f t="shared" si="51"/>
        <v>-</v>
      </c>
      <c r="V545" s="30" t="str" cm="1">
        <f t="array" ref="V545">_xlfn.IFS(
ISNUMBER(SEARCH("USA",S545)),"United States",
ISNUMBER(SEARCH("Republic of Korea",S545)),"South Korea",
ISNUMBER(SEARCH("Cape Verde",S545)),"Cabo Verde",
ISNUMBER(SEARCH("Czechia",S545)),"Czech Republic",
ISNUMBER(SEARCH("Türkiye",S545)),"Turkey",
ISNUMBER(SEARCH("Ivory Coast",S545)),"Côte d'Ivoire",
ISNUMBER(SEARCH("Korea Republic",S545)),"South Korea",
ISNUMBER(SEARCH("Germany FR",S545)),"FR Germany",
ISNUMBER(SEARCH("West Germany",S545)),"FR Germany",
ISNUMBER(SEARCH("Germany DR",S545)),"DR Germany",
ISNUMBER(SEARCH("Korea DPR",S545)),"North Korea",
ISNUMBER(SEARCH("China PR",S545)),"China",
ISNUMBER(SEARCH("IR Iran",S545)),"Iran",
ISNUMBER(SEARCH("Congo DR",S545)),"Democratic Republic of the Congo",
ISNUMBER(SEARCH("DR Congo",S545)),"Democratic Republic of the Congo",
ISNUMBER(SEARCH("German DR",S545)),"DR Germany",
ISNUMBER(SEARCH("rn""&gt;United Arab Emirates",S545)),"United Arab Emirates",
ISNUMBER(SEARCH("rn""&gt;Republic of Ireland",S545)),"Ireland",
ISNUMBER(SEARCH("rn""&gt;Bosnia and Herzegovina",S545)),"Bosnia and Herzegovina",
ISNUMBER(SEARCH("rn""&gt;Trinidad and Tobago",S545)),"Trinidad and Tobago",
ISNUMBER(SEARCH("rn""&gt;Serbia and Montenegro",S545)),"Serbia and Montenegro",
ISNUMBER(SEARCH(_xlfn.UNICHAR(65533),S545)),"Côte d'Ivoire",
TRUE,""
)</f>
        <v/>
      </c>
      <c r="W545" s="30" t="str">
        <f t="shared" si="52"/>
        <v>Netherlands</v>
      </c>
      <c r="Z545" s="40" t="str">
        <v>Stanford Stadium</v>
      </c>
      <c r="AA545" s="40" t="str" cm="1">
        <f t="array" ref="AA545">IFERROR(_xlfn.XLOOKUP(Z545,_xlfn.ANCHORARRAY(Z$31),AA$31:AA$37),Z545)</f>
        <v>Stanford Stadium</v>
      </c>
      <c r="AB545" s="42" t="str">
        <v xml:space="preserve">San Francisco </v>
      </c>
      <c r="AC545" s="89" t="str">
        <f t="shared" si="48"/>
        <v xml:space="preserve">San Francisco </v>
      </c>
      <c r="AE545" s="42">
        <v>1990</v>
      </c>
      <c r="AK545" s="42">
        <v>2</v>
      </c>
      <c r="AL545" s="42">
        <v>1</v>
      </c>
      <c r="AW545" s="89" t="str">
        <v>GROUP_STAGE</v>
      </c>
      <c r="BE545" s="43" t="str">
        <f>IF(OR(DATA_CLEANED!AL536="",DATA_CLEANED!AM536=""),"MANQUANT",IF(OR(NOT(ISNUMBER(DATA_CLEANED!AL536)),NOT(ISNUMBER(DATA_CLEANED!AM536))),"ENTREE INVALIDE",IF(OR(DATA_CLEANED!AL536&lt;0,DATA_CLEANED!AM536&lt;0),"SCORE NEGATIF","OK")))</f>
        <v>OK</v>
      </c>
      <c r="BF545" s="43" t="str">
        <f>IF(DATA_CLEANED!AK536&lt;&gt;DATA_CLEANED!AN536,"OK","ERREUR")</f>
        <v>OK</v>
      </c>
      <c r="BG545" s="43" t="str">
        <f>IF(DATA_CLEANED!AL536&gt;DATA_CLEANED!AM536,DATA_CLEANED!AK536,IF(AND(DATA_QUALITE!W5022="-",DATA_CLEANED!AM536=DATA_CLEANED!AL536),"MATCH NUL",IF(AND(DATA_QUALITE!V5022="-",DATA_QUALITE!U5022="AUCUNE"),DATA_QUALITE!T5022,IF(DATA_QUALITE!V5022&lt;&gt;"-",DATA_QUALITE!V5022,DATA_CLEANED!AN536))))</f>
        <v>Brazil</v>
      </c>
      <c r="BH545" s="103" t="str">
        <f>IF(AND(BG545="MATCH NUL",DATA_CLEANED!AO536="-"),"MATCH_NUL",IF(ISNUMBER(SEARCH("win on penalties",W5022)),"WIN_BY_PENALTY",IF(ISNUMBER(SEARCH("win after extra time",W5022)),"WIN_BY_EXTRA_TIME",IF(ISNUMBER(SEARCH("Golden Goal",W5022)),"WIN_BY_GOLDEN_GOAL","WIN_BY_SCORE"))))</f>
        <v>WIN_BY_SCORE</v>
      </c>
      <c r="BI545" s="99" t="str">
        <f>IF(OR(BG545=DATA_CLEANED!AK536,BG545=DATA_CLEANED!AN536,BG545="MATCH NUL"),"OK","ERREUR")</f>
        <v>OK</v>
      </c>
    </row>
    <row r="546" spans="2:61">
      <c r="B546" s="75">
        <v>109</v>
      </c>
      <c r="C546" s="15" t="str">
        <v>Dennis Hadžikadunić</v>
      </c>
      <c r="D546" s="15">
        <v>27</v>
      </c>
      <c r="E546" s="15" t="str">
        <v>Bosnia and Herzegovina</v>
      </c>
      <c r="F546" s="15" t="str">
        <v>CB</v>
      </c>
      <c r="G546" s="15" t="str">
        <v>Sampdoria</v>
      </c>
      <c r="H546" s="15">
        <v>3</v>
      </c>
      <c r="I546" s="15" t="str">
        <f t="shared" si="49"/>
        <v>109|Dennis Hadžikadunić|27|Bosnia and Herzegovina|CB|Sampdoria|3</v>
      </c>
      <c r="J546" s="15" t="str">
        <f>IF(COUNTIF(I$438:I546,I546)&gt;1,"DOUBLON","OK")</f>
        <v>OK</v>
      </c>
      <c r="S546" s="30" t="str">
        <v>Netherlands</v>
      </c>
      <c r="T546" s="30" t="str">
        <f t="shared" si="50"/>
        <v>OK</v>
      </c>
      <c r="U546" s="30" t="str">
        <f t="shared" si="51"/>
        <v>-</v>
      </c>
      <c r="V546" s="30" t="str" cm="1">
        <f t="array" ref="V546">_xlfn.IFS(
ISNUMBER(SEARCH("USA",S546)),"United States",
ISNUMBER(SEARCH("Republic of Korea",S546)),"South Korea",
ISNUMBER(SEARCH("Cape Verde",S546)),"Cabo Verde",
ISNUMBER(SEARCH("Czechia",S546)),"Czech Republic",
ISNUMBER(SEARCH("Türkiye",S546)),"Turkey",
ISNUMBER(SEARCH("Ivory Coast",S546)),"Côte d'Ivoire",
ISNUMBER(SEARCH("Korea Republic",S546)),"South Korea",
ISNUMBER(SEARCH("Germany FR",S546)),"FR Germany",
ISNUMBER(SEARCH("West Germany",S546)),"FR Germany",
ISNUMBER(SEARCH("Germany DR",S546)),"DR Germany",
ISNUMBER(SEARCH("Korea DPR",S546)),"North Korea",
ISNUMBER(SEARCH("China PR",S546)),"China",
ISNUMBER(SEARCH("IR Iran",S546)),"Iran",
ISNUMBER(SEARCH("Congo DR",S546)),"Democratic Republic of the Congo",
ISNUMBER(SEARCH("DR Congo",S546)),"Democratic Republic of the Congo",
ISNUMBER(SEARCH("German DR",S546)),"DR Germany",
ISNUMBER(SEARCH("rn""&gt;United Arab Emirates",S546)),"United Arab Emirates",
ISNUMBER(SEARCH("rn""&gt;Republic of Ireland",S546)),"Ireland",
ISNUMBER(SEARCH("rn""&gt;Bosnia and Herzegovina",S546)),"Bosnia and Herzegovina",
ISNUMBER(SEARCH("rn""&gt;Trinidad and Tobago",S546)),"Trinidad and Tobago",
ISNUMBER(SEARCH("rn""&gt;Serbia and Montenegro",S546)),"Serbia and Montenegro",
ISNUMBER(SEARCH(_xlfn.UNICHAR(65533),S546)),"Côte d'Ivoire",
TRUE,""
)</f>
        <v/>
      </c>
      <c r="W546" s="30" t="str">
        <f t="shared" si="52"/>
        <v>Netherlands</v>
      </c>
      <c r="Z546" s="40" t="str">
        <v>Foxboro Stadium</v>
      </c>
      <c r="AA546" s="40" t="str" cm="1">
        <f t="array" ref="AA546">IFERROR(_xlfn.XLOOKUP(Z546,_xlfn.ANCHORARRAY(Z$31),AA$31:AA$37),Z546)</f>
        <v>Foxboro Stadium</v>
      </c>
      <c r="AB546" s="42" t="str">
        <v xml:space="preserve">Boston </v>
      </c>
      <c r="AC546" s="89" t="str">
        <f t="shared" si="48"/>
        <v xml:space="preserve">Boston </v>
      </c>
      <c r="AE546" s="42">
        <v>1990</v>
      </c>
      <c r="AK546" s="42">
        <v>1</v>
      </c>
      <c r="AL546" s="42">
        <v>0</v>
      </c>
      <c r="AW546" s="89" t="str">
        <v>GROUP_STAGE</v>
      </c>
      <c r="BE546" s="43" t="str">
        <f>IF(OR(DATA_CLEANED!AL537="",DATA_CLEANED!AM537=""),"MANQUANT",IF(OR(NOT(ISNUMBER(DATA_CLEANED!AL537)),NOT(ISNUMBER(DATA_CLEANED!AM537))),"ENTREE INVALIDE",IF(OR(DATA_CLEANED!AL537&lt;0,DATA_CLEANED!AM537&lt;0),"SCORE NEGATIF","OK")))</f>
        <v>OK</v>
      </c>
      <c r="BF546" s="43" t="str">
        <f>IF(DATA_CLEANED!AK537&lt;&gt;DATA_CLEANED!AN537,"OK","ERREUR")</f>
        <v>OK</v>
      </c>
      <c r="BG546" s="43" t="str">
        <f>IF(DATA_CLEANED!AL537&gt;DATA_CLEANED!AM537,DATA_CLEANED!AK537,IF(AND(DATA_QUALITE!W5023="-",DATA_CLEANED!AM537=DATA_CLEANED!AL537),"MATCH NUL",IF(AND(DATA_QUALITE!V5023="-",DATA_QUALITE!U5023="AUCUNE"),DATA_QUALITE!T5023,IF(DATA_QUALITE!V5023&lt;&gt;"-",DATA_QUALITE!V5023,DATA_CLEANED!AN537))))</f>
        <v>MATCH NUL</v>
      </c>
      <c r="BH546" s="103" t="str">
        <f>IF(AND(BG546="MATCH NUL",DATA_CLEANED!AO537="-"),"MATCH_NUL",IF(ISNUMBER(SEARCH("win on penalties",W5023)),"WIN_BY_PENALTY",IF(ISNUMBER(SEARCH("win after extra time",W5023)),"WIN_BY_EXTRA_TIME",IF(ISNUMBER(SEARCH("Golden Goal",W5023)),"WIN_BY_GOLDEN_GOAL","WIN_BY_SCORE"))))</f>
        <v>MATCH_NUL</v>
      </c>
      <c r="BI546" s="99" t="str">
        <f>IF(OR(BG546=DATA_CLEANED!AK537,BG546=DATA_CLEANED!AN537,BG546="MATCH NUL"),"OK","ERREUR")</f>
        <v>OK</v>
      </c>
    </row>
    <row r="547" spans="2:61">
      <c r="B547" s="75">
        <v>110</v>
      </c>
      <c r="C547" s="15" t="str">
        <v>Tarik Muharemović</v>
      </c>
      <c r="D547" s="15">
        <v>23</v>
      </c>
      <c r="E547" s="15" t="str">
        <v>Bosnia and Herzegovina</v>
      </c>
      <c r="F547" s="15" t="str">
        <v>CB</v>
      </c>
      <c r="G547" s="15" t="str">
        <v>Sassuolo</v>
      </c>
      <c r="H547" s="15">
        <v>4</v>
      </c>
      <c r="I547" s="15" t="str">
        <f t="shared" si="49"/>
        <v>110|Tarik Muharemović|23|Bosnia and Herzegovina|CB|Sassuolo|4</v>
      </c>
      <c r="J547" s="15" t="str">
        <f>IF(COUNTIF(I$438:I547,I547)&gt;1,"DOUBLON","OK")</f>
        <v>OK</v>
      </c>
      <c r="S547" s="30" t="str">
        <v>Netherlands</v>
      </c>
      <c r="T547" s="30" t="str">
        <f t="shared" si="50"/>
        <v>OK</v>
      </c>
      <c r="U547" s="30" t="str">
        <f t="shared" si="51"/>
        <v>-</v>
      </c>
      <c r="V547" s="30" t="str" cm="1">
        <f t="array" ref="V547">_xlfn.IFS(
ISNUMBER(SEARCH("USA",S547)),"United States",
ISNUMBER(SEARCH("Republic of Korea",S547)),"South Korea",
ISNUMBER(SEARCH("Cape Verde",S547)),"Cabo Verde",
ISNUMBER(SEARCH("Czechia",S547)),"Czech Republic",
ISNUMBER(SEARCH("Türkiye",S547)),"Turkey",
ISNUMBER(SEARCH("Ivory Coast",S547)),"Côte d'Ivoire",
ISNUMBER(SEARCH("Korea Republic",S547)),"South Korea",
ISNUMBER(SEARCH("Germany FR",S547)),"FR Germany",
ISNUMBER(SEARCH("West Germany",S547)),"FR Germany",
ISNUMBER(SEARCH("Germany DR",S547)),"DR Germany",
ISNUMBER(SEARCH("Korea DPR",S547)),"North Korea",
ISNUMBER(SEARCH("China PR",S547)),"China",
ISNUMBER(SEARCH("IR Iran",S547)),"Iran",
ISNUMBER(SEARCH("Congo DR",S547)),"Democratic Republic of the Congo",
ISNUMBER(SEARCH("DR Congo",S547)),"Democratic Republic of the Congo",
ISNUMBER(SEARCH("German DR",S547)),"DR Germany",
ISNUMBER(SEARCH("rn""&gt;United Arab Emirates",S547)),"United Arab Emirates",
ISNUMBER(SEARCH("rn""&gt;Republic of Ireland",S547)),"Ireland",
ISNUMBER(SEARCH("rn""&gt;Bosnia and Herzegovina",S547)),"Bosnia and Herzegovina",
ISNUMBER(SEARCH("rn""&gt;Trinidad and Tobago",S547)),"Trinidad and Tobago",
ISNUMBER(SEARCH("rn""&gt;Serbia and Montenegro",S547)),"Serbia and Montenegro",
ISNUMBER(SEARCH(_xlfn.UNICHAR(65533),S547)),"Côte d'Ivoire",
TRUE,""
)</f>
        <v/>
      </c>
      <c r="W547" s="30" t="str">
        <f t="shared" si="52"/>
        <v>Netherlands</v>
      </c>
      <c r="Z547" s="40" t="str">
        <v>Giants Stadium</v>
      </c>
      <c r="AA547" s="40" t="str" cm="1">
        <f t="array" ref="AA547">IFERROR(_xlfn.XLOOKUP(Z547,_xlfn.ANCHORARRAY(Z$31),AA$31:AA$37),Z547)</f>
        <v>Giants Stadium</v>
      </c>
      <c r="AB547" s="42" t="str">
        <v xml:space="preserve">New York/New Jersey </v>
      </c>
      <c r="AC547" s="89" t="str">
        <f t="shared" si="48"/>
        <v xml:space="preserve">New York/New Jersey </v>
      </c>
      <c r="AE547" s="42">
        <v>1994</v>
      </c>
      <c r="AK547" s="42">
        <v>2</v>
      </c>
      <c r="AL547" s="42">
        <v>2</v>
      </c>
      <c r="AW547" s="89" t="str">
        <v>GROUP_STAGE</v>
      </c>
      <c r="BE547" s="43" t="str">
        <f>IF(OR(DATA_CLEANED!AL538="",DATA_CLEANED!AM538=""),"MANQUANT",IF(OR(NOT(ISNUMBER(DATA_CLEANED!AL538)),NOT(ISNUMBER(DATA_CLEANED!AM538))),"ENTREE INVALIDE",IF(OR(DATA_CLEANED!AL538&lt;0,DATA_CLEANED!AM538&lt;0),"SCORE NEGATIF","OK")))</f>
        <v>OK</v>
      </c>
      <c r="BF547" s="43" t="str">
        <f>IF(DATA_CLEANED!AK538&lt;&gt;DATA_CLEANED!AN538,"OK","ERREUR")</f>
        <v>OK</v>
      </c>
      <c r="BG547" s="43" t="str">
        <f>IF(DATA_CLEANED!AL538&gt;DATA_CLEANED!AM538,DATA_CLEANED!AK538,IF(AND(DATA_QUALITE!W5024="-",DATA_CLEANED!AM538=DATA_CLEANED!AL538),"MATCH NUL",IF(AND(DATA_QUALITE!V5024="-",DATA_QUALITE!U5024="AUCUNE"),DATA_QUALITE!T5024,IF(DATA_QUALITE!V5024&lt;&gt;"-",DATA_QUALITE!V5024,DATA_CLEANED!AN538))))</f>
        <v>Italy</v>
      </c>
      <c r="BH547" s="103" t="str">
        <f>IF(AND(BG547="MATCH NUL",DATA_CLEANED!AO538="-"),"MATCH_NUL",IF(ISNUMBER(SEARCH("win on penalties",W5024)),"WIN_BY_PENALTY",IF(ISNUMBER(SEARCH("win after extra time",W5024)),"WIN_BY_EXTRA_TIME",IF(ISNUMBER(SEARCH("Golden Goal",W5024)),"WIN_BY_GOLDEN_GOAL","WIN_BY_SCORE"))))</f>
        <v>WIN_BY_SCORE</v>
      </c>
      <c r="BI547" s="99" t="str">
        <f>IF(OR(BG547=DATA_CLEANED!AK538,BG547=DATA_CLEANED!AN538,BG547="MATCH NUL"),"OK","ERREUR")</f>
        <v>OK</v>
      </c>
    </row>
    <row r="548" spans="2:61">
      <c r="B548" s="75">
        <v>111</v>
      </c>
      <c r="C548" s="15" t="str">
        <v>Nikola Katić</v>
      </c>
      <c r="D548" s="15">
        <v>29</v>
      </c>
      <c r="E548" s="15" t="str">
        <v>Bosnia and Herzegovina</v>
      </c>
      <c r="F548" s="15" t="str">
        <v>CB</v>
      </c>
      <c r="G548" s="15" t="str">
        <v>Schalke 04</v>
      </c>
      <c r="H548" s="15">
        <v>18</v>
      </c>
      <c r="I548" s="15" t="str">
        <f t="shared" si="49"/>
        <v>111|Nikola Katić|29|Bosnia and Herzegovina|CB|Schalke 04|18</v>
      </c>
      <c r="J548" s="15" t="str">
        <f>IF(COUNTIF(I$438:I548,I548)&gt;1,"DOUBLON","OK")</f>
        <v>OK</v>
      </c>
      <c r="S548" s="30" t="str">
        <v>Republic of Ireland</v>
      </c>
      <c r="T548" s="30" t="str">
        <f t="shared" si="50"/>
        <v>ERREUR</v>
      </c>
      <c r="U548" s="30" t="str">
        <f t="shared" si="51"/>
        <v>RENOMMER</v>
      </c>
      <c r="V548" s="30" t="str" cm="1">
        <f t="array" ref="V548">_xlfn.IFS(
ISNUMBER(SEARCH("USA",S548)),"United States",
ISNUMBER(SEARCH("Republic of Korea",S548)),"South Korea",
ISNUMBER(SEARCH("Cape Verde",S548)),"Cabo Verde",
ISNUMBER(SEARCH("Czechia",S548)),"Czech Republic",
ISNUMBER(SEARCH("Türkiye",S548)),"Turkey",
ISNUMBER(SEARCH("Ivory Coast",S548)),"Côte d'Ivoire",
ISNUMBER(SEARCH("Korea Republic",S548)),"South Korea",
ISNUMBER(SEARCH("Germany FR",S548)),"FR Germany",
ISNUMBER(SEARCH("West Germany",S548)),"FR Germany",
ISNUMBER(SEARCH("Germany DR",S548)),"DR Germany",
ISNUMBER(SEARCH("Korea DPR",S548)),"North Korea",
ISNUMBER(SEARCH("China PR",S548)),"China",
ISNUMBER(SEARCH("IR Iran",S548)),"Iran",
ISNUMBER(SEARCH("Congo DR",S548)),"Democratic Republic of the Congo",
ISNUMBER(SEARCH("DR Congo",S548)),"Democratic Republic of the Congo",
ISNUMBER(SEARCH("German DR",S548)),"DR Germany",
ISNUMBER(SEARCH("rn""&gt;United Arab Emirates",S548)),"United Arab Emirates",
ISNUMBER(SEARCH("rn""&gt;Republic of Ireland",S548)),"Ireland",
ISNUMBER(SEARCH("rn""&gt;Bosnia and Herzegovina",S548)),"Bosnia and Herzegovina",
ISNUMBER(SEARCH("rn""&gt;Trinidad and Tobago",S548)),"Trinidad and Tobago",
ISNUMBER(SEARCH("rn""&gt;Serbia and Montenegro",S548)),"Serbia and Montenegro",
ISNUMBER(SEARCH(_xlfn.UNICHAR(65533),S548)),"Côte d'Ivoire",
TRUE,""
)</f>
        <v/>
      </c>
      <c r="W548" s="30" t="str">
        <f t="shared" si="52"/>
        <v>Republic of Ireland</v>
      </c>
      <c r="Z548" s="40" t="str">
        <v>Foxboro Stadium</v>
      </c>
      <c r="AA548" s="40" t="str" cm="1">
        <f t="array" ref="AA548">IFERROR(_xlfn.XLOOKUP(Z548,_xlfn.ANCHORARRAY(Z$31),AA$31:AA$37),Z548)</f>
        <v>Foxboro Stadium</v>
      </c>
      <c r="AB548" s="42" t="str">
        <v xml:space="preserve">Boston </v>
      </c>
      <c r="AC548" s="89" t="str">
        <f t="shared" si="48"/>
        <v xml:space="preserve">Boston </v>
      </c>
      <c r="AE548" s="42">
        <v>1994</v>
      </c>
      <c r="AK548" s="42">
        <v>1</v>
      </c>
      <c r="AL548" s="42">
        <v>0</v>
      </c>
      <c r="AW548" s="89" t="str">
        <v>GROUP_STAGE</v>
      </c>
      <c r="BE548" s="43" t="str">
        <f>IF(OR(DATA_CLEANED!AL539="",DATA_CLEANED!AM539=""),"MANQUANT",IF(OR(NOT(ISNUMBER(DATA_CLEANED!AL539)),NOT(ISNUMBER(DATA_CLEANED!AM539))),"ENTREE INVALIDE",IF(OR(DATA_CLEANED!AL539&lt;0,DATA_CLEANED!AM539&lt;0),"SCORE NEGATIF","OK")))</f>
        <v>OK</v>
      </c>
      <c r="BF548" s="43" t="str">
        <f>IF(DATA_CLEANED!AK539&lt;&gt;DATA_CLEANED!AN539,"OK","ERREUR")</f>
        <v>OK</v>
      </c>
      <c r="BG548" s="43" t="str">
        <f>IF(DATA_CLEANED!AL539&gt;DATA_CLEANED!AM539,DATA_CLEANED!AK539,IF(AND(DATA_QUALITE!W5025="-",DATA_CLEANED!AM539=DATA_CLEANED!AL539),"MATCH NUL",IF(AND(DATA_QUALITE!V5025="-",DATA_QUALITE!U5025="AUCUNE"),DATA_QUALITE!T5025,IF(DATA_QUALITE!V5025&lt;&gt;"-",DATA_QUALITE!V5025,DATA_CLEANED!AN539))))</f>
        <v>MATCH NUL</v>
      </c>
      <c r="BH548" s="103" t="str">
        <f>IF(AND(BG548="MATCH NUL",DATA_CLEANED!AO539="-"),"MATCH_NUL",IF(ISNUMBER(SEARCH("win on penalties",W5025)),"WIN_BY_PENALTY",IF(ISNUMBER(SEARCH("win after extra time",W5025)),"WIN_BY_EXTRA_TIME",IF(ISNUMBER(SEARCH("Golden Goal",W5025)),"WIN_BY_GOLDEN_GOAL","WIN_BY_SCORE"))))</f>
        <v>MATCH_NUL</v>
      </c>
      <c r="BI548" s="99" t="str">
        <f>IF(OR(BG548=DATA_CLEANED!AK539,BG548=DATA_CLEANED!AN539,BG548="MATCH NUL"),"OK","ERREUR")</f>
        <v>OK</v>
      </c>
    </row>
    <row r="549" spans="2:61">
      <c r="B549" s="75">
        <v>112</v>
      </c>
      <c r="C549" s="15" t="str">
        <v>Stjepan Radeljić</v>
      </c>
      <c r="D549" s="15">
        <v>28</v>
      </c>
      <c r="E549" s="15" t="str">
        <v>Bosnia and Herzegovina</v>
      </c>
      <c r="F549" s="15" t="str">
        <v>CB</v>
      </c>
      <c r="G549" s="15" t="str">
        <v>Rijeka</v>
      </c>
      <c r="H549" s="15">
        <v>21</v>
      </c>
      <c r="I549" s="15" t="str">
        <f t="shared" si="49"/>
        <v>112|Stjepan Radeljić|28|Bosnia and Herzegovina|CB|Rijeka|21</v>
      </c>
      <c r="J549" s="15" t="str">
        <f>IF(COUNTIF(I$438:I549,I549)&gt;1,"DOUBLON","OK")</f>
        <v>OK</v>
      </c>
      <c r="S549" s="30" t="str">
        <v>Republic of Ireland</v>
      </c>
      <c r="T549" s="30" t="str">
        <f t="shared" si="50"/>
        <v>ERREUR</v>
      </c>
      <c r="U549" s="30" t="str">
        <f t="shared" si="51"/>
        <v>RENOMMER</v>
      </c>
      <c r="V549" s="30" t="str" cm="1">
        <f t="array" ref="V549">_xlfn.IFS(
ISNUMBER(SEARCH("USA",S549)),"United States",
ISNUMBER(SEARCH("Republic of Korea",S549)),"South Korea",
ISNUMBER(SEARCH("Cape Verde",S549)),"Cabo Verde",
ISNUMBER(SEARCH("Czechia",S549)),"Czech Republic",
ISNUMBER(SEARCH("Türkiye",S549)),"Turkey",
ISNUMBER(SEARCH("Ivory Coast",S549)),"Côte d'Ivoire",
ISNUMBER(SEARCH("Korea Republic",S549)),"South Korea",
ISNUMBER(SEARCH("Germany FR",S549)),"FR Germany",
ISNUMBER(SEARCH("West Germany",S549)),"FR Germany",
ISNUMBER(SEARCH("Germany DR",S549)),"DR Germany",
ISNUMBER(SEARCH("Korea DPR",S549)),"North Korea",
ISNUMBER(SEARCH("China PR",S549)),"China",
ISNUMBER(SEARCH("IR Iran",S549)),"Iran",
ISNUMBER(SEARCH("Congo DR",S549)),"Democratic Republic of the Congo",
ISNUMBER(SEARCH("DR Congo",S549)),"Democratic Republic of the Congo",
ISNUMBER(SEARCH("German DR",S549)),"DR Germany",
ISNUMBER(SEARCH("rn""&gt;United Arab Emirates",S549)),"United Arab Emirates",
ISNUMBER(SEARCH("rn""&gt;Republic of Ireland",S549)),"Ireland",
ISNUMBER(SEARCH("rn""&gt;Bosnia and Herzegovina",S549)),"Bosnia and Herzegovina",
ISNUMBER(SEARCH("rn""&gt;Trinidad and Tobago",S549)),"Trinidad and Tobago",
ISNUMBER(SEARCH("rn""&gt;Serbia and Montenegro",S549)),"Serbia and Montenegro",
ISNUMBER(SEARCH(_xlfn.UNICHAR(65533),S549)),"Côte d'Ivoire",
TRUE,""
)</f>
        <v/>
      </c>
      <c r="W549" s="30" t="str">
        <f t="shared" si="52"/>
        <v>Republic of Ireland</v>
      </c>
      <c r="Z549" s="40" t="str">
        <v>Cotton Bowl</v>
      </c>
      <c r="AA549" s="40" t="str" cm="1">
        <f t="array" ref="AA549">IFERROR(_xlfn.XLOOKUP(Z549,_xlfn.ANCHORARRAY(Z$31),AA$31:AA$37),Z549)</f>
        <v>Cotton Bowl</v>
      </c>
      <c r="AB549" s="42" t="str">
        <v xml:space="preserve">Dallas </v>
      </c>
      <c r="AC549" s="89" t="str">
        <f t="shared" si="48"/>
        <v xml:space="preserve">Dallas </v>
      </c>
      <c r="AE549" s="42">
        <v>1994</v>
      </c>
      <c r="AK549" s="42">
        <v>1</v>
      </c>
      <c r="AL549" s="42">
        <v>1</v>
      </c>
      <c r="AW549" s="89" t="str">
        <v>GROUP_STAGE</v>
      </c>
      <c r="BE549" s="43" t="str">
        <f>IF(OR(DATA_CLEANED!AL540="",DATA_CLEANED!AM540=""),"MANQUANT",IF(OR(NOT(ISNUMBER(DATA_CLEANED!AL540)),NOT(ISNUMBER(DATA_CLEANED!AM540))),"ENTREE INVALIDE",IF(OR(DATA_CLEANED!AL540&lt;0,DATA_CLEANED!AM540&lt;0),"SCORE NEGATIF","OK")))</f>
        <v>OK</v>
      </c>
      <c r="BF549" s="43" t="str">
        <f>IF(DATA_CLEANED!AK540&lt;&gt;DATA_CLEANED!AN540,"OK","ERREUR")</f>
        <v>OK</v>
      </c>
      <c r="BG549" s="43" t="str">
        <f>IF(DATA_CLEANED!AL540&gt;DATA_CLEANED!AM540,DATA_CLEANED!AK540,IF(AND(DATA_QUALITE!W5026="-",DATA_CLEANED!AM540=DATA_CLEANED!AL540),"MATCH NUL",IF(AND(DATA_QUALITE!V5026="-",DATA_QUALITE!U5026="AUCUNE"),DATA_QUALITE!T5026,IF(DATA_QUALITE!V5026&lt;&gt;"-",DATA_QUALITE!V5026,DATA_CLEANED!AN540))))</f>
        <v>France</v>
      </c>
      <c r="BH549" s="103" t="str">
        <f>IF(AND(BG549="MATCH NUL",DATA_CLEANED!AO540="-"),"MATCH_NUL",IF(ISNUMBER(SEARCH("win on penalties",W5026)),"WIN_BY_PENALTY",IF(ISNUMBER(SEARCH("win after extra time",W5026)),"WIN_BY_EXTRA_TIME",IF(ISNUMBER(SEARCH("Golden Goal",W5026)),"WIN_BY_GOLDEN_GOAL","WIN_BY_SCORE"))))</f>
        <v>WIN_BY_SCORE</v>
      </c>
      <c r="BI549" s="99" t="str">
        <f>IF(OR(BG549=DATA_CLEANED!AK540,BG549=DATA_CLEANED!AN540,BG549="MATCH NUL"),"OK","ERREUR")</f>
        <v>OK</v>
      </c>
    </row>
    <row r="550" spans="2:61">
      <c r="B550" s="75">
        <v>113</v>
      </c>
      <c r="C550" s="15" t="str">
        <v>Arjan Malić</v>
      </c>
      <c r="D550" s="15">
        <v>20</v>
      </c>
      <c r="E550" s="15" t="str">
        <v>Bosnia and Herzegovina</v>
      </c>
      <c r="F550" s="15" t="str">
        <v>CB</v>
      </c>
      <c r="G550" s="15" t="str">
        <v>Sturm Graz</v>
      </c>
      <c r="H550" s="15">
        <v>24</v>
      </c>
      <c r="I550" s="15" t="str">
        <f t="shared" si="49"/>
        <v>113|Arjan Malić|20|Bosnia and Herzegovina|CB|Sturm Graz|24</v>
      </c>
      <c r="J550" s="15" t="str">
        <f>IF(COUNTIF(I$438:I550,I550)&gt;1,"DOUBLON","OK")</f>
        <v>OK</v>
      </c>
      <c r="S550" s="30" t="str">
        <v>Republic of Ireland</v>
      </c>
      <c r="T550" s="30" t="str">
        <f t="shared" si="50"/>
        <v>ERREUR</v>
      </c>
      <c r="U550" s="30" t="str">
        <f t="shared" si="51"/>
        <v>RENOMMER</v>
      </c>
      <c r="V550" s="30" t="str" cm="1">
        <f t="array" ref="V550">_xlfn.IFS(
ISNUMBER(SEARCH("USA",S550)),"United States",
ISNUMBER(SEARCH("Republic of Korea",S550)),"South Korea",
ISNUMBER(SEARCH("Cape Verde",S550)),"Cabo Verde",
ISNUMBER(SEARCH("Czechia",S550)),"Czech Republic",
ISNUMBER(SEARCH("Türkiye",S550)),"Turkey",
ISNUMBER(SEARCH("Ivory Coast",S550)),"Côte d'Ivoire",
ISNUMBER(SEARCH("Korea Republic",S550)),"South Korea",
ISNUMBER(SEARCH("Germany FR",S550)),"FR Germany",
ISNUMBER(SEARCH("West Germany",S550)),"FR Germany",
ISNUMBER(SEARCH("Germany DR",S550)),"DR Germany",
ISNUMBER(SEARCH("Korea DPR",S550)),"North Korea",
ISNUMBER(SEARCH("China PR",S550)),"China",
ISNUMBER(SEARCH("IR Iran",S550)),"Iran",
ISNUMBER(SEARCH("Congo DR",S550)),"Democratic Republic of the Congo",
ISNUMBER(SEARCH("DR Congo",S550)),"Democratic Republic of the Congo",
ISNUMBER(SEARCH("German DR",S550)),"DR Germany",
ISNUMBER(SEARCH("rn""&gt;United Arab Emirates",S550)),"United Arab Emirates",
ISNUMBER(SEARCH("rn""&gt;Republic of Ireland",S550)),"Ireland",
ISNUMBER(SEARCH("rn""&gt;Bosnia and Herzegovina",S550)),"Bosnia and Herzegovina",
ISNUMBER(SEARCH("rn""&gt;Trinidad and Tobago",S550)),"Trinidad and Tobago",
ISNUMBER(SEARCH("rn""&gt;Serbia and Montenegro",S550)),"Serbia and Montenegro",
ISNUMBER(SEARCH(_xlfn.UNICHAR(65533),S550)),"Côte d'Ivoire",
TRUE,""
)</f>
        <v/>
      </c>
      <c r="W550" s="30" t="str">
        <f t="shared" si="52"/>
        <v>Republic of Ireland</v>
      </c>
      <c r="Z550" s="40" t="str">
        <v>Giants Stadium</v>
      </c>
      <c r="AA550" s="40" t="str" cm="1">
        <f t="array" ref="AA550">IFERROR(_xlfn.XLOOKUP(Z550,_xlfn.ANCHORARRAY(Z$31),AA$31:AA$37),Z550)</f>
        <v>Giants Stadium</v>
      </c>
      <c r="AB550" s="42" t="str">
        <v xml:space="preserve">New York/New Jersey </v>
      </c>
      <c r="AC550" s="89" t="str">
        <f t="shared" si="48"/>
        <v xml:space="preserve">New York/New Jersey </v>
      </c>
      <c r="AE550" s="42">
        <v>1994</v>
      </c>
      <c r="AK550" s="42">
        <v>0</v>
      </c>
      <c r="AL550" s="42">
        <v>1</v>
      </c>
      <c r="AW550" s="89" t="str">
        <v>GROUP_STAGE</v>
      </c>
      <c r="BE550" s="43" t="str">
        <f>IF(OR(DATA_CLEANED!AL541="",DATA_CLEANED!AM541=""),"MANQUANT",IF(OR(NOT(ISNUMBER(DATA_CLEANED!AL541)),NOT(ISNUMBER(DATA_CLEANED!AM541))),"ENTREE INVALIDE",IF(OR(DATA_CLEANED!AL541&lt;0,DATA_CLEANED!AM541&lt;0),"SCORE NEGATIF","OK")))</f>
        <v>OK</v>
      </c>
      <c r="BF550" s="43" t="str">
        <f>IF(DATA_CLEANED!AK541&lt;&gt;DATA_CLEANED!AN541,"OK","ERREUR")</f>
        <v>OK</v>
      </c>
      <c r="BG550" s="43" t="str">
        <f>IF(DATA_CLEANED!AL541&gt;DATA_CLEANED!AM541,DATA_CLEANED!AK541,IF(AND(DATA_QUALITE!W5027="-",DATA_CLEANED!AM541=DATA_CLEANED!AL541),"MATCH NUL",IF(AND(DATA_QUALITE!V5027="-",DATA_QUALITE!U5027="AUCUNE"),DATA_QUALITE!T5027,IF(DATA_QUALITE!V5027&lt;&gt;"-",DATA_QUALITE!V5027,DATA_CLEANED!AN541))))</f>
        <v>Nigeria</v>
      </c>
      <c r="BH550" s="103" t="str">
        <f>IF(AND(BG550="MATCH NUL",DATA_CLEANED!AO541="-"),"MATCH_NUL",IF(ISNUMBER(SEARCH("win on penalties",W5027)),"WIN_BY_PENALTY",IF(ISNUMBER(SEARCH("win after extra time",W5027)),"WIN_BY_EXTRA_TIME",IF(ISNUMBER(SEARCH("Golden Goal",W5027)),"WIN_BY_GOLDEN_GOAL","WIN_BY_SCORE"))))</f>
        <v>WIN_BY_SCORE</v>
      </c>
      <c r="BI550" s="99" t="str">
        <f>IF(OR(BG550=DATA_CLEANED!AK541,BG550=DATA_CLEANED!AN541,BG550="MATCH NUL"),"OK","ERREUR")</f>
        <v>OK</v>
      </c>
    </row>
    <row r="551" spans="2:61">
      <c r="B551" s="75">
        <v>114</v>
      </c>
      <c r="C551" s="15" t="str">
        <v>Sead Kolašinac</v>
      </c>
      <c r="D551" s="15">
        <v>32</v>
      </c>
      <c r="E551" s="15" t="str">
        <v>Bosnia and Herzegovina</v>
      </c>
      <c r="F551" s="15" t="str">
        <v>LB</v>
      </c>
      <c r="G551" s="15" t="str">
        <v>Atalanta</v>
      </c>
      <c r="H551" s="15">
        <v>5</v>
      </c>
      <c r="I551" s="15" t="str">
        <f t="shared" si="49"/>
        <v>114|Sead Kolašinac|32|Bosnia and Herzegovina|LB|Atalanta|5</v>
      </c>
      <c r="J551" s="15" t="str">
        <f>IF(COUNTIF(I$438:I551,I551)&gt;1,"DOUBLON","OK")</f>
        <v>OK</v>
      </c>
      <c r="S551" s="30" t="str">
        <v>Republic of Ireland</v>
      </c>
      <c r="T551" s="30" t="str">
        <f t="shared" si="50"/>
        <v>ERREUR</v>
      </c>
      <c r="U551" s="30" t="str">
        <f t="shared" si="51"/>
        <v>RENOMMER</v>
      </c>
      <c r="V551" s="30" t="str" cm="1">
        <f t="array" ref="V551">_xlfn.IFS(
ISNUMBER(SEARCH("USA",S551)),"United States",
ISNUMBER(SEARCH("Republic of Korea",S551)),"South Korea",
ISNUMBER(SEARCH("Cape Verde",S551)),"Cabo Verde",
ISNUMBER(SEARCH("Czechia",S551)),"Czech Republic",
ISNUMBER(SEARCH("Türkiye",S551)),"Turkey",
ISNUMBER(SEARCH("Ivory Coast",S551)),"Côte d'Ivoire",
ISNUMBER(SEARCH("Korea Republic",S551)),"South Korea",
ISNUMBER(SEARCH("Germany FR",S551)),"FR Germany",
ISNUMBER(SEARCH("West Germany",S551)),"FR Germany",
ISNUMBER(SEARCH("Germany DR",S551)),"DR Germany",
ISNUMBER(SEARCH("Korea DPR",S551)),"North Korea",
ISNUMBER(SEARCH("China PR",S551)),"China",
ISNUMBER(SEARCH("IR Iran",S551)),"Iran",
ISNUMBER(SEARCH("Congo DR",S551)),"Democratic Republic of the Congo",
ISNUMBER(SEARCH("DR Congo",S551)),"Democratic Republic of the Congo",
ISNUMBER(SEARCH("German DR",S551)),"DR Germany",
ISNUMBER(SEARCH("rn""&gt;United Arab Emirates",S551)),"United Arab Emirates",
ISNUMBER(SEARCH("rn""&gt;Republic of Ireland",S551)),"Ireland",
ISNUMBER(SEARCH("rn""&gt;Bosnia and Herzegovina",S551)),"Bosnia and Herzegovina",
ISNUMBER(SEARCH("rn""&gt;Trinidad and Tobago",S551)),"Trinidad and Tobago",
ISNUMBER(SEARCH("rn""&gt;Serbia and Montenegro",S551)),"Serbia and Montenegro",
ISNUMBER(SEARCH(_xlfn.UNICHAR(65533),S551)),"Côte d'Ivoire",
TRUE,""
)</f>
        <v/>
      </c>
      <c r="W551" s="30" t="str">
        <f t="shared" si="52"/>
        <v>Republic of Ireland</v>
      </c>
      <c r="Z551" s="40" t="str">
        <v>Stanford Stadium</v>
      </c>
      <c r="AA551" s="40" t="str" cm="1">
        <f t="array" ref="AA551">IFERROR(_xlfn.XLOOKUP(Z551,_xlfn.ANCHORARRAY(Z$31),AA$31:AA$37),Z551)</f>
        <v>Stanford Stadium</v>
      </c>
      <c r="AB551" s="42" t="str">
        <v xml:space="preserve">San Francisco </v>
      </c>
      <c r="AC551" s="89" t="str">
        <f t="shared" si="48"/>
        <v xml:space="preserve">San Francisco </v>
      </c>
      <c r="AE551" s="42">
        <v>1994</v>
      </c>
      <c r="AK551" s="42">
        <v>1</v>
      </c>
      <c r="AL551" s="42">
        <v>3</v>
      </c>
      <c r="AW551" s="89" t="str">
        <v>GROUP_STAGE</v>
      </c>
      <c r="BE551" s="43" t="str">
        <f>IF(OR(DATA_CLEANED!AL542="",DATA_CLEANED!AM542=""),"MANQUANT",IF(OR(NOT(ISNUMBER(DATA_CLEANED!AL542)),NOT(ISNUMBER(DATA_CLEANED!AM542))),"ENTREE INVALIDE",IF(OR(DATA_CLEANED!AL542&lt;0,DATA_CLEANED!AM542&lt;0),"SCORE NEGATIF","OK")))</f>
        <v>OK</v>
      </c>
      <c r="BF551" s="43" t="str">
        <f>IF(DATA_CLEANED!AK542&lt;&gt;DATA_CLEANED!AN542,"OK","ERREUR")</f>
        <v>OK</v>
      </c>
      <c r="BG551" s="43" t="str">
        <f>IF(DATA_CLEANED!AL542&gt;DATA_CLEANED!AM542,DATA_CLEANED!AK542,IF(AND(DATA_QUALITE!W5028="-",DATA_CLEANED!AM542=DATA_CLEANED!AL542),"MATCH NUL",IF(AND(DATA_QUALITE!V5028="-",DATA_QUALITE!U5028="AUCUNE"),DATA_QUALITE!T5028,IF(DATA_QUALITE!V5028&lt;&gt;"-",DATA_QUALITE!V5028,DATA_CLEANED!AN542))))</f>
        <v>MATCH NUL</v>
      </c>
      <c r="BH551" s="103" t="str">
        <f>IF(AND(BG551="MATCH NUL",DATA_CLEANED!AO542="-"),"MATCH_NUL",IF(ISNUMBER(SEARCH("win on penalties",W5028)),"WIN_BY_PENALTY",IF(ISNUMBER(SEARCH("win after extra time",W5028)),"WIN_BY_EXTRA_TIME",IF(ISNUMBER(SEARCH("Golden Goal",W5028)),"WIN_BY_GOLDEN_GOAL","WIN_BY_SCORE"))))</f>
        <v>MATCH_NUL</v>
      </c>
      <c r="BI551" s="99" t="str">
        <f>IF(OR(BG551=DATA_CLEANED!AK542,BG551=DATA_CLEANED!AN542,BG551="MATCH NUL"),"OK","ERREUR")</f>
        <v>OK</v>
      </c>
    </row>
    <row r="552" spans="2:61">
      <c r="B552" s="75">
        <v>115</v>
      </c>
      <c r="C552" s="15" t="str">
        <v>Amar Dedić</v>
      </c>
      <c r="D552" s="15">
        <v>23</v>
      </c>
      <c r="E552" s="15" t="str">
        <v>Bosnia and Herzegovina</v>
      </c>
      <c r="F552" s="15" t="str">
        <v>RB</v>
      </c>
      <c r="G552" s="15" t="str">
        <v>Benfica</v>
      </c>
      <c r="H552" s="15">
        <v>7</v>
      </c>
      <c r="I552" s="15" t="str">
        <f t="shared" si="49"/>
        <v>115|Amar Dedić|23|Bosnia and Herzegovina|RB|Benfica|7</v>
      </c>
      <c r="J552" s="15" t="str">
        <f>IF(COUNTIF(I$438:I552,I552)&gt;1,"DOUBLON","OK")</f>
        <v>OK</v>
      </c>
      <c r="S552" s="30" t="str">
        <v>Republic of Ireland</v>
      </c>
      <c r="T552" s="30" t="str">
        <f t="shared" si="50"/>
        <v>ERREUR</v>
      </c>
      <c r="U552" s="30" t="str">
        <f t="shared" si="51"/>
        <v>RENOMMER</v>
      </c>
      <c r="V552" s="30" t="str" cm="1">
        <f t="array" ref="V552">_xlfn.IFS(
ISNUMBER(SEARCH("USA",S552)),"United States",
ISNUMBER(SEARCH("Republic of Korea",S552)),"South Korea",
ISNUMBER(SEARCH("Cape Verde",S552)),"Cabo Verde",
ISNUMBER(SEARCH("Czechia",S552)),"Czech Republic",
ISNUMBER(SEARCH("Türkiye",S552)),"Turkey",
ISNUMBER(SEARCH("Ivory Coast",S552)),"Côte d'Ivoire",
ISNUMBER(SEARCH("Korea Republic",S552)),"South Korea",
ISNUMBER(SEARCH("Germany FR",S552)),"FR Germany",
ISNUMBER(SEARCH("West Germany",S552)),"FR Germany",
ISNUMBER(SEARCH("Germany DR",S552)),"DR Germany",
ISNUMBER(SEARCH("Korea DPR",S552)),"North Korea",
ISNUMBER(SEARCH("China PR",S552)),"China",
ISNUMBER(SEARCH("IR Iran",S552)),"Iran",
ISNUMBER(SEARCH("Congo DR",S552)),"Democratic Republic of the Congo",
ISNUMBER(SEARCH("DR Congo",S552)),"Democratic Republic of the Congo",
ISNUMBER(SEARCH("German DR",S552)),"DR Germany",
ISNUMBER(SEARCH("rn""&gt;United Arab Emirates",S552)),"United Arab Emirates",
ISNUMBER(SEARCH("rn""&gt;Republic of Ireland",S552)),"Ireland",
ISNUMBER(SEARCH("rn""&gt;Bosnia and Herzegovina",S552)),"Bosnia and Herzegovina",
ISNUMBER(SEARCH("rn""&gt;Trinidad and Tobago",S552)),"Trinidad and Tobago",
ISNUMBER(SEARCH("rn""&gt;Serbia and Montenegro",S552)),"Serbia and Montenegro",
ISNUMBER(SEARCH(_xlfn.UNICHAR(65533),S552)),"Côte d'Ivoire",
TRUE,""
)</f>
        <v/>
      </c>
      <c r="W552" s="30" t="str">
        <f t="shared" si="52"/>
        <v>Republic of Ireland</v>
      </c>
      <c r="Z552" s="40" t="str">
        <v>Giants Stadium</v>
      </c>
      <c r="AA552" s="40" t="str" cm="1">
        <f t="array" ref="AA552">IFERROR(_xlfn.XLOOKUP(Z552,_xlfn.ANCHORARRAY(Z$31),AA$31:AA$37),Z552)</f>
        <v>Giants Stadium</v>
      </c>
      <c r="AB552" s="42" t="str">
        <v xml:space="preserve">New York/New Jersey </v>
      </c>
      <c r="AC552" s="89" t="str">
        <f t="shared" si="48"/>
        <v xml:space="preserve">New York/New Jersey </v>
      </c>
      <c r="AE552" s="42">
        <v>1994</v>
      </c>
      <c r="AK552" s="42">
        <v>1</v>
      </c>
      <c r="AL552" s="42">
        <v>0</v>
      </c>
      <c r="AW552" s="89" t="str">
        <v>GROUP_STAGE</v>
      </c>
      <c r="BE552" s="43" t="str">
        <f>IF(OR(DATA_CLEANED!AL543="",DATA_CLEANED!AM543=""),"MANQUANT",IF(OR(NOT(ISNUMBER(DATA_CLEANED!AL543)),NOT(ISNUMBER(DATA_CLEANED!AM543))),"ENTREE INVALIDE",IF(OR(DATA_CLEANED!AL543&lt;0,DATA_CLEANED!AM543&lt;0),"SCORE NEGATIF","OK")))</f>
        <v>OK</v>
      </c>
      <c r="BF552" s="43" t="str">
        <f>IF(DATA_CLEANED!AK543&lt;&gt;DATA_CLEANED!AN543,"OK","ERREUR")</f>
        <v>OK</v>
      </c>
      <c r="BG552" s="43" t="str">
        <f>IF(DATA_CLEANED!AL543&gt;DATA_CLEANED!AM543,DATA_CLEANED!AK543,IF(AND(DATA_QUALITE!W5029="-",DATA_CLEANED!AM543=DATA_CLEANED!AL543),"MATCH NUL",IF(AND(DATA_QUALITE!V5029="-",DATA_QUALITE!U5029="AUCUNE"),DATA_QUALITE!T5029,IF(DATA_QUALITE!V5029&lt;&gt;"-",DATA_QUALITE!V5029,DATA_CLEANED!AN543))))</f>
        <v>Croatia</v>
      </c>
      <c r="BH552" s="103" t="str">
        <f>IF(AND(BG552="MATCH NUL",DATA_CLEANED!AO543="-"),"MATCH_NUL",IF(ISNUMBER(SEARCH("win on penalties",W5029)),"WIN_BY_PENALTY",IF(ISNUMBER(SEARCH("win after extra time",W5029)),"WIN_BY_EXTRA_TIME",IF(ISNUMBER(SEARCH("Golden Goal",W5029)),"WIN_BY_GOLDEN_GOAL","WIN_BY_SCORE"))))</f>
        <v>WIN_BY_SCORE</v>
      </c>
      <c r="BI552" s="99" t="str">
        <f>IF(OR(BG552=DATA_CLEANED!AK543,BG552=DATA_CLEANED!AN543,BG552="MATCH NUL"),"OK","ERREUR")</f>
        <v>OK</v>
      </c>
    </row>
    <row r="553" spans="2:61">
      <c r="B553" s="75">
        <v>116</v>
      </c>
      <c r="C553" s="15" t="str">
        <v>Benjamin Tahirović</v>
      </c>
      <c r="D553" s="15">
        <v>23</v>
      </c>
      <c r="E553" s="15" t="str">
        <v>Bosnia and Herzegovina</v>
      </c>
      <c r="F553" s="15" t="str">
        <v>CDM</v>
      </c>
      <c r="G553" s="15" t="str">
        <v>Brøndby</v>
      </c>
      <c r="H553" s="15">
        <v>6</v>
      </c>
      <c r="I553" s="15" t="str">
        <f t="shared" si="49"/>
        <v>116|Benjamin Tahirović|23|Bosnia and Herzegovina|CDM|Brøndby|6</v>
      </c>
      <c r="J553" s="15" t="str">
        <f>IF(COUNTIF(I$438:I553,I553)&gt;1,"DOUBLON","OK")</f>
        <v>OK</v>
      </c>
      <c r="S553" s="30" t="str">
        <v>Republic of Ireland</v>
      </c>
      <c r="T553" s="30" t="str">
        <f t="shared" si="50"/>
        <v>ERREUR</v>
      </c>
      <c r="U553" s="30" t="str">
        <f t="shared" si="51"/>
        <v>RENOMMER</v>
      </c>
      <c r="V553" s="30" t="str" cm="1">
        <f t="array" ref="V553">_xlfn.IFS(
ISNUMBER(SEARCH("USA",S553)),"United States",
ISNUMBER(SEARCH("Republic of Korea",S553)),"South Korea",
ISNUMBER(SEARCH("Cape Verde",S553)),"Cabo Verde",
ISNUMBER(SEARCH("Czechia",S553)),"Czech Republic",
ISNUMBER(SEARCH("Türkiye",S553)),"Turkey",
ISNUMBER(SEARCH("Ivory Coast",S553)),"Côte d'Ivoire",
ISNUMBER(SEARCH("Korea Republic",S553)),"South Korea",
ISNUMBER(SEARCH("Germany FR",S553)),"FR Germany",
ISNUMBER(SEARCH("West Germany",S553)),"FR Germany",
ISNUMBER(SEARCH("Germany DR",S553)),"DR Germany",
ISNUMBER(SEARCH("Korea DPR",S553)),"North Korea",
ISNUMBER(SEARCH("China PR",S553)),"China",
ISNUMBER(SEARCH("IR Iran",S553)),"Iran",
ISNUMBER(SEARCH("Congo DR",S553)),"Democratic Republic of the Congo",
ISNUMBER(SEARCH("DR Congo",S553)),"Democratic Republic of the Congo",
ISNUMBER(SEARCH("German DR",S553)),"DR Germany",
ISNUMBER(SEARCH("rn""&gt;United Arab Emirates",S553)),"United Arab Emirates",
ISNUMBER(SEARCH("rn""&gt;Republic of Ireland",S553)),"Ireland",
ISNUMBER(SEARCH("rn""&gt;Bosnia and Herzegovina",S553)),"Bosnia and Herzegovina",
ISNUMBER(SEARCH("rn""&gt;Trinidad and Tobago",S553)),"Trinidad and Tobago",
ISNUMBER(SEARCH("rn""&gt;Serbia and Montenegro",S553)),"Serbia and Montenegro",
ISNUMBER(SEARCH(_xlfn.UNICHAR(65533),S553)),"Côte d'Ivoire",
TRUE,""
)</f>
        <v/>
      </c>
      <c r="W553" s="30" t="str">
        <f t="shared" si="52"/>
        <v>Republic of Ireland</v>
      </c>
      <c r="Z553" s="40" t="str">
        <v>Rose Bowl</v>
      </c>
      <c r="AA553" s="40" t="str" cm="1">
        <f t="array" ref="AA553">IFERROR(_xlfn.XLOOKUP(Z553,_xlfn.ANCHORARRAY(Z$31),AA$31:AA$37),Z553)</f>
        <v>Rose Bowl</v>
      </c>
      <c r="AB553" s="42" t="str">
        <v xml:space="preserve">Los Angeles </v>
      </c>
      <c r="AC553" s="89" t="str">
        <f t="shared" ref="AC553:AC616" si="53">_xlfn.SINGLE(IFERROR(_xlfn.XLOOKUP(AB553,AB$31:AB$34,AC$31:AC$34),AB553))</f>
        <v xml:space="preserve">Los Angeles </v>
      </c>
      <c r="AE553" s="42">
        <v>1994</v>
      </c>
      <c r="AK553" s="42">
        <v>1</v>
      </c>
      <c r="AL553" s="42">
        <v>0</v>
      </c>
      <c r="AW553" s="89" t="str">
        <v>GROUP_STAGE</v>
      </c>
      <c r="BE553" s="43" t="str">
        <f>IF(OR(DATA_CLEANED!AL544="",DATA_CLEANED!AM544=""),"MANQUANT",IF(OR(NOT(ISNUMBER(DATA_CLEANED!AL544)),NOT(ISNUMBER(DATA_CLEANED!AM544))),"ENTREE INVALIDE",IF(OR(DATA_CLEANED!AL544&lt;0,DATA_CLEANED!AM544&lt;0),"SCORE NEGATIF","OK")))</f>
        <v>OK</v>
      </c>
      <c r="BF553" s="43" t="str">
        <f>IF(DATA_CLEANED!AK544&lt;&gt;DATA_CLEANED!AN544,"OK","ERREUR")</f>
        <v>OK</v>
      </c>
      <c r="BG553" s="43" t="str">
        <f>IF(DATA_CLEANED!AL544&gt;DATA_CLEANED!AM544,DATA_CLEANED!AK544,IF(AND(DATA_QUALITE!W5030="-",DATA_CLEANED!AM544=DATA_CLEANED!AL544),"MATCH NUL",IF(AND(DATA_QUALITE!V5030="-",DATA_QUALITE!U5030="AUCUNE"),DATA_QUALITE!T5030,IF(DATA_QUALITE!V5030&lt;&gt;"-",DATA_QUALITE!V5030,DATA_CLEANED!AN544))))</f>
        <v>MATCH NUL</v>
      </c>
      <c r="BH553" s="103" t="str">
        <f>IF(AND(BG553="MATCH NUL",DATA_CLEANED!AO544="-"),"MATCH_NUL",IF(ISNUMBER(SEARCH("win on penalties",W5030)),"WIN_BY_PENALTY",IF(ISNUMBER(SEARCH("win after extra time",W5030)),"WIN_BY_EXTRA_TIME",IF(ISNUMBER(SEARCH("Golden Goal",W5030)),"WIN_BY_GOLDEN_GOAL","WIN_BY_SCORE"))))</f>
        <v>MATCH_NUL</v>
      </c>
      <c r="BI553" s="99" t="str">
        <f>IF(OR(BG553=DATA_CLEANED!AK544,BG553=DATA_CLEANED!AN544,BG553="MATCH NUL"),"OK","ERREUR")</f>
        <v>OK</v>
      </c>
    </row>
    <row r="554" spans="2:61">
      <c r="B554" s="75">
        <v>117</v>
      </c>
      <c r="C554" s="15" t="str">
        <v>Ivan Šunjić</v>
      </c>
      <c r="D554" s="15">
        <v>29</v>
      </c>
      <c r="E554" s="15" t="str">
        <v>Bosnia and Herzegovina</v>
      </c>
      <c r="F554" s="15" t="str">
        <v>CDM</v>
      </c>
      <c r="G554" s="15" t="str">
        <v>Pafos</v>
      </c>
      <c r="H554" s="15">
        <v>14</v>
      </c>
      <c r="I554" s="15" t="str">
        <f t="shared" si="49"/>
        <v>117|Ivan Šunjić|29|Bosnia and Herzegovina|CDM|Pafos|14</v>
      </c>
      <c r="J554" s="15" t="str">
        <f>IF(COUNTIF(I$438:I554,I554)&gt;1,"DOUBLON","OK")</f>
        <v>OK</v>
      </c>
      <c r="S554" s="30" t="str">
        <v>Republic of Ireland</v>
      </c>
      <c r="T554" s="30" t="str">
        <f t="shared" si="50"/>
        <v>ERREUR</v>
      </c>
      <c r="U554" s="30" t="str">
        <f t="shared" si="51"/>
        <v>RENOMMER</v>
      </c>
      <c r="V554" s="30" t="str" cm="1">
        <f t="array" ref="V554">_xlfn.IFS(
ISNUMBER(SEARCH("USA",S554)),"United States",
ISNUMBER(SEARCH("Republic of Korea",S554)),"South Korea",
ISNUMBER(SEARCH("Cape Verde",S554)),"Cabo Verde",
ISNUMBER(SEARCH("Czechia",S554)),"Czech Republic",
ISNUMBER(SEARCH("Türkiye",S554)),"Turkey",
ISNUMBER(SEARCH("Ivory Coast",S554)),"Côte d'Ivoire",
ISNUMBER(SEARCH("Korea Republic",S554)),"South Korea",
ISNUMBER(SEARCH("Germany FR",S554)),"FR Germany",
ISNUMBER(SEARCH("West Germany",S554)),"FR Germany",
ISNUMBER(SEARCH("Germany DR",S554)),"DR Germany",
ISNUMBER(SEARCH("Korea DPR",S554)),"North Korea",
ISNUMBER(SEARCH("China PR",S554)),"China",
ISNUMBER(SEARCH("IR Iran",S554)),"Iran",
ISNUMBER(SEARCH("Congo DR",S554)),"Democratic Republic of the Congo",
ISNUMBER(SEARCH("DR Congo",S554)),"Democratic Republic of the Congo",
ISNUMBER(SEARCH("German DR",S554)),"DR Germany",
ISNUMBER(SEARCH("rn""&gt;United Arab Emirates",S554)),"United Arab Emirates",
ISNUMBER(SEARCH("rn""&gt;Republic of Ireland",S554)),"Ireland",
ISNUMBER(SEARCH("rn""&gt;Bosnia and Herzegovina",S554)),"Bosnia and Herzegovina",
ISNUMBER(SEARCH("rn""&gt;Trinidad and Tobago",S554)),"Trinidad and Tobago",
ISNUMBER(SEARCH("rn""&gt;Serbia and Montenegro",S554)),"Serbia and Montenegro",
ISNUMBER(SEARCH(_xlfn.UNICHAR(65533),S554)),"Côte d'Ivoire",
TRUE,""
)</f>
        <v/>
      </c>
      <c r="W554" s="30" t="str">
        <f t="shared" si="52"/>
        <v>Republic of Ireland</v>
      </c>
      <c r="Z554" s="40" t="str">
        <v>Rose Bowl</v>
      </c>
      <c r="AA554" s="40" t="str" cm="1">
        <f t="array" ref="AA554">IFERROR(_xlfn.XLOOKUP(Z554,_xlfn.ANCHORARRAY(Z$31),AA$31:AA$37),Z554)</f>
        <v>Rose Bowl</v>
      </c>
      <c r="AB554" s="42" t="str">
        <v xml:space="preserve">Los Angeles </v>
      </c>
      <c r="AC554" s="89" t="str">
        <f t="shared" si="53"/>
        <v xml:space="preserve">Los Angeles </v>
      </c>
      <c r="AE554" s="42">
        <v>1994</v>
      </c>
      <c r="AK554" s="42">
        <v>2</v>
      </c>
      <c r="AL554" s="42">
        <v>2</v>
      </c>
      <c r="AW554" s="89" t="str">
        <v>GROUP_STAGE</v>
      </c>
      <c r="BE554" s="43" t="str">
        <f>IF(OR(DATA_CLEANED!AL545="",DATA_CLEANED!AM545=""),"MANQUANT",IF(OR(NOT(ISNUMBER(DATA_CLEANED!AL545)),NOT(ISNUMBER(DATA_CLEANED!AM545))),"ENTREE INVALIDE",IF(OR(DATA_CLEANED!AL545&lt;0,DATA_CLEANED!AM545&lt;0),"SCORE NEGATIF","OK")))</f>
        <v>OK</v>
      </c>
      <c r="BF554" s="43" t="str">
        <f>IF(DATA_CLEANED!AK545&lt;&gt;DATA_CLEANED!AN545,"OK","ERREUR")</f>
        <v>OK</v>
      </c>
      <c r="BG554" s="43" t="str">
        <f>IF(DATA_CLEANED!AL545&gt;DATA_CLEANED!AM545,DATA_CLEANED!AK545,IF(AND(DATA_QUALITE!W5031="-",DATA_CLEANED!AM545=DATA_CLEANED!AL545),"MATCH NUL",IF(AND(DATA_QUALITE!V5031="-",DATA_QUALITE!U5031="AUCUNE"),DATA_QUALITE!T5031,IF(DATA_QUALITE!V5031&lt;&gt;"-",DATA_QUALITE!V5031,DATA_CLEANED!AN545))))</f>
        <v>Netherlands</v>
      </c>
      <c r="BH554" s="103" t="str">
        <f>IF(AND(BG554="MATCH NUL",DATA_CLEANED!AO545="-"),"MATCH_NUL",IF(ISNUMBER(SEARCH("win on penalties",W5031)),"WIN_BY_PENALTY",IF(ISNUMBER(SEARCH("win after extra time",W5031)),"WIN_BY_EXTRA_TIME",IF(ISNUMBER(SEARCH("Golden Goal",W5031)),"WIN_BY_GOLDEN_GOAL","WIN_BY_SCORE"))))</f>
        <v>WIN_BY_SCORE</v>
      </c>
      <c r="BI554" s="99" t="str">
        <f>IF(OR(BG554=DATA_CLEANED!AK545,BG554=DATA_CLEANED!AN545,BG554="MATCH NUL"),"OK","ERREUR")</f>
        <v>OK</v>
      </c>
    </row>
    <row r="555" spans="2:61">
      <c r="B555" s="75">
        <v>118</v>
      </c>
      <c r="C555" s="15" t="str">
        <v>Armin Gigović</v>
      </c>
      <c r="D555" s="15">
        <v>24</v>
      </c>
      <c r="E555" s="15" t="str">
        <v>Bosnia and Herzegovina</v>
      </c>
      <c r="F555" s="15" t="str">
        <v>CM</v>
      </c>
      <c r="G555" s="15" t="str">
        <v>Young Boys</v>
      </c>
      <c r="H555" s="15">
        <v>8</v>
      </c>
      <c r="I555" s="15" t="str">
        <f t="shared" si="49"/>
        <v>118|Armin Gigović|24|Bosnia and Herzegovina|CM|Young Boys|8</v>
      </c>
      <c r="J555" s="15" t="str">
        <f>IF(COUNTIF(I$438:I555,I555)&gt;1,"DOUBLON","OK")</f>
        <v>OK</v>
      </c>
      <c r="S555" s="30" t="str">
        <v>Republic of Ireland</v>
      </c>
      <c r="T555" s="30" t="str">
        <f t="shared" si="50"/>
        <v>ERREUR</v>
      </c>
      <c r="U555" s="30" t="str">
        <f t="shared" si="51"/>
        <v>RENOMMER</v>
      </c>
      <c r="V555" s="30" t="str" cm="1">
        <f t="array" ref="V555">_xlfn.IFS(
ISNUMBER(SEARCH("USA",S555)),"United States",
ISNUMBER(SEARCH("Republic of Korea",S555)),"South Korea",
ISNUMBER(SEARCH("Cape Verde",S555)),"Cabo Verde",
ISNUMBER(SEARCH("Czechia",S555)),"Czech Republic",
ISNUMBER(SEARCH("Türkiye",S555)),"Turkey",
ISNUMBER(SEARCH("Ivory Coast",S555)),"Côte d'Ivoire",
ISNUMBER(SEARCH("Korea Republic",S555)),"South Korea",
ISNUMBER(SEARCH("Germany FR",S555)),"FR Germany",
ISNUMBER(SEARCH("West Germany",S555)),"FR Germany",
ISNUMBER(SEARCH("Germany DR",S555)),"DR Germany",
ISNUMBER(SEARCH("Korea DPR",S555)),"North Korea",
ISNUMBER(SEARCH("China PR",S555)),"China",
ISNUMBER(SEARCH("IR Iran",S555)),"Iran",
ISNUMBER(SEARCH("Congo DR",S555)),"Democratic Republic of the Congo",
ISNUMBER(SEARCH("DR Congo",S555)),"Democratic Republic of the Congo",
ISNUMBER(SEARCH("German DR",S555)),"DR Germany",
ISNUMBER(SEARCH("rn""&gt;United Arab Emirates",S555)),"United Arab Emirates",
ISNUMBER(SEARCH("rn""&gt;Republic of Ireland",S555)),"Ireland",
ISNUMBER(SEARCH("rn""&gt;Bosnia and Herzegovina",S555)),"Bosnia and Herzegovina",
ISNUMBER(SEARCH("rn""&gt;Trinidad and Tobago",S555)),"Trinidad and Tobago",
ISNUMBER(SEARCH("rn""&gt;Serbia and Montenegro",S555)),"Serbia and Montenegro",
ISNUMBER(SEARCH(_xlfn.UNICHAR(65533),S555)),"Côte d'Ivoire",
TRUE,""
)</f>
        <v/>
      </c>
      <c r="W555" s="30" t="str">
        <f t="shared" si="52"/>
        <v>Republic of Ireland</v>
      </c>
      <c r="Z555" s="40" t="str">
        <v>Rose Bowl</v>
      </c>
      <c r="AA555" s="40" t="str" cm="1">
        <f t="array" ref="AA555">IFERROR(_xlfn.XLOOKUP(Z555,_xlfn.ANCHORARRAY(Z$31),AA$31:AA$37),Z555)</f>
        <v>Rose Bowl</v>
      </c>
      <c r="AB555" s="42" t="str">
        <v xml:space="preserve">Los Angeles </v>
      </c>
      <c r="AC555" s="89" t="str">
        <f t="shared" si="53"/>
        <v xml:space="preserve">Los Angeles </v>
      </c>
      <c r="AE555" s="42">
        <v>1994</v>
      </c>
      <c r="AK555" s="42">
        <v>2</v>
      </c>
      <c r="AL555" s="42">
        <v>1</v>
      </c>
      <c r="AW555" s="89" t="str">
        <v>GROUP_STAGE</v>
      </c>
      <c r="BE555" s="43" t="str">
        <f>IF(OR(DATA_CLEANED!AL546="",DATA_CLEANED!AM546=""),"MANQUANT",IF(OR(NOT(ISNUMBER(DATA_CLEANED!AL546)),NOT(ISNUMBER(DATA_CLEANED!AM546))),"ENTREE INVALIDE",IF(OR(DATA_CLEANED!AL546&lt;0,DATA_CLEANED!AM546&lt;0),"SCORE NEGATIF","OK")))</f>
        <v>OK</v>
      </c>
      <c r="BF555" s="43" t="str">
        <f>IF(DATA_CLEANED!AK546&lt;&gt;DATA_CLEANED!AN546,"OK","ERREUR")</f>
        <v>OK</v>
      </c>
      <c r="BG555" s="43" t="str">
        <f>IF(DATA_CLEANED!AL546&gt;DATA_CLEANED!AM546,DATA_CLEANED!AK546,IF(AND(DATA_QUALITE!W5032="-",DATA_CLEANED!AM546=DATA_CLEANED!AL546),"MATCH NUL",IF(AND(DATA_QUALITE!V5032="-",DATA_QUALITE!U5032="AUCUNE"),DATA_QUALITE!T5032,IF(DATA_QUALITE!V5032&lt;&gt;"-",DATA_QUALITE!V5032,DATA_CLEANED!AN546))))</f>
        <v>MATCH NUL</v>
      </c>
      <c r="BH555" s="103" t="str">
        <f>IF(AND(BG555="MATCH NUL",DATA_CLEANED!AO546="-"),"MATCH_NUL",IF(ISNUMBER(SEARCH("win on penalties",W5032)),"WIN_BY_PENALTY",IF(ISNUMBER(SEARCH("win after extra time",W5032)),"WIN_BY_EXTRA_TIME",IF(ISNUMBER(SEARCH("Golden Goal",W5032)),"WIN_BY_GOLDEN_GOAL","WIN_BY_SCORE"))))</f>
        <v>MATCH_NUL</v>
      </c>
      <c r="BI555" s="99" t="str">
        <f>IF(OR(BG555=DATA_CLEANED!AK546,BG555=DATA_CLEANED!AN546,BG555="MATCH NUL"),"OK","ERREUR")</f>
        <v>OK</v>
      </c>
    </row>
    <row r="556" spans="2:61">
      <c r="B556" s="75">
        <v>119</v>
      </c>
      <c r="C556" s="15" t="str">
        <v>Ivan Bašić</v>
      </c>
      <c r="D556" s="15">
        <v>24</v>
      </c>
      <c r="E556" s="15" t="str">
        <v>Bosnia and Herzegovina</v>
      </c>
      <c r="F556" s="15" t="str">
        <v>CM</v>
      </c>
      <c r="G556" s="15" t="str">
        <v>Astana</v>
      </c>
      <c r="H556" s="15">
        <v>13</v>
      </c>
      <c r="I556" s="15" t="str">
        <f t="shared" si="49"/>
        <v>119|Ivan Bašić|24|Bosnia and Herzegovina|CM|Astana|13</v>
      </c>
      <c r="J556" s="15" t="str">
        <f>IF(COUNTIF(I$438:I556,I556)&gt;1,"DOUBLON","OK")</f>
        <v>OK</v>
      </c>
      <c r="S556" s="30" t="str">
        <v>Republic of Ireland</v>
      </c>
      <c r="T556" s="30" t="str">
        <f t="shared" si="50"/>
        <v>ERREUR</v>
      </c>
      <c r="U556" s="30" t="str">
        <f t="shared" si="51"/>
        <v>RENOMMER</v>
      </c>
      <c r="V556" s="30" t="str" cm="1">
        <f t="array" ref="V556">_xlfn.IFS(
ISNUMBER(SEARCH("USA",S556)),"United States",
ISNUMBER(SEARCH("Republic of Korea",S556)),"South Korea",
ISNUMBER(SEARCH("Cape Verde",S556)),"Cabo Verde",
ISNUMBER(SEARCH("Czechia",S556)),"Czech Republic",
ISNUMBER(SEARCH("Türkiye",S556)),"Turkey",
ISNUMBER(SEARCH("Ivory Coast",S556)),"Côte d'Ivoire",
ISNUMBER(SEARCH("Korea Republic",S556)),"South Korea",
ISNUMBER(SEARCH("Germany FR",S556)),"FR Germany",
ISNUMBER(SEARCH("West Germany",S556)),"FR Germany",
ISNUMBER(SEARCH("Germany DR",S556)),"DR Germany",
ISNUMBER(SEARCH("Korea DPR",S556)),"North Korea",
ISNUMBER(SEARCH("China PR",S556)),"China",
ISNUMBER(SEARCH("IR Iran",S556)),"Iran",
ISNUMBER(SEARCH("Congo DR",S556)),"Democratic Republic of the Congo",
ISNUMBER(SEARCH("DR Congo",S556)),"Democratic Republic of the Congo",
ISNUMBER(SEARCH("German DR",S556)),"DR Germany",
ISNUMBER(SEARCH("rn""&gt;United Arab Emirates",S556)),"United Arab Emirates",
ISNUMBER(SEARCH("rn""&gt;Republic of Ireland",S556)),"Ireland",
ISNUMBER(SEARCH("rn""&gt;Bosnia and Herzegovina",S556)),"Bosnia and Herzegovina",
ISNUMBER(SEARCH("rn""&gt;Trinidad and Tobago",S556)),"Trinidad and Tobago",
ISNUMBER(SEARCH("rn""&gt;Serbia and Montenegro",S556)),"Serbia and Montenegro",
ISNUMBER(SEARCH(_xlfn.UNICHAR(65533),S556)),"Côte d'Ivoire",
TRUE,""
)</f>
        <v/>
      </c>
      <c r="W556" s="30" t="str">
        <f t="shared" si="52"/>
        <v>Republic of Ireland</v>
      </c>
      <c r="Z556" s="40" t="str">
        <v>Stade de France</v>
      </c>
      <c r="AA556" s="40" t="str" cm="1">
        <f t="array" ref="AA556">IFERROR(_xlfn.XLOOKUP(Z556,_xlfn.ANCHORARRAY(Z$31),AA$31:AA$37),Z556)</f>
        <v>Stade de France</v>
      </c>
      <c r="AB556" s="42" t="str">
        <v xml:space="preserve">Saint-Denis </v>
      </c>
      <c r="AC556" s="89" t="str">
        <f t="shared" si="53"/>
        <v xml:space="preserve">Saint-Denis </v>
      </c>
      <c r="AE556" s="42">
        <v>1994</v>
      </c>
      <c r="AK556" s="42">
        <v>2</v>
      </c>
      <c r="AL556" s="42">
        <v>0</v>
      </c>
      <c r="AW556" s="89" t="str">
        <v>GROUP_STAGE</v>
      </c>
      <c r="BE556" s="43" t="str">
        <f>IF(OR(DATA_CLEANED!AL547="",DATA_CLEANED!AM547=""),"MANQUANT",IF(OR(NOT(ISNUMBER(DATA_CLEANED!AL547)),NOT(ISNUMBER(DATA_CLEANED!AM547))),"ENTREE INVALIDE",IF(OR(DATA_CLEANED!AL547&lt;0,DATA_CLEANED!AM547&lt;0),"SCORE NEGATIF","OK")))</f>
        <v>OK</v>
      </c>
      <c r="BF556" s="43" t="str">
        <f>IF(DATA_CLEANED!AK547&lt;&gt;DATA_CLEANED!AN547,"OK","ERREUR")</f>
        <v>OK</v>
      </c>
      <c r="BG556" s="43" t="str">
        <f>IF(DATA_CLEANED!AL547&gt;DATA_CLEANED!AM547,DATA_CLEANED!AK547,IF(AND(DATA_QUALITE!W5033="-",DATA_CLEANED!AM547=DATA_CLEANED!AL547),"MATCH NUL",IF(AND(DATA_QUALITE!V5033="-",DATA_QUALITE!U5033="AUCUNE"),DATA_QUALITE!T5033,IF(DATA_QUALITE!V5033&lt;&gt;"-",DATA_QUALITE!V5033,DATA_CLEANED!AN547))))</f>
        <v>Argentina</v>
      </c>
      <c r="BH556" s="103" t="str">
        <f>IF(AND(BG556="MATCH NUL",DATA_CLEANED!AO547="-"),"MATCH_NUL",IF(ISNUMBER(SEARCH("win on penalties",W5033)),"WIN_BY_PENALTY",IF(ISNUMBER(SEARCH("win after extra time",W5033)),"WIN_BY_EXTRA_TIME",IF(ISNUMBER(SEARCH("Golden Goal",W5033)),"WIN_BY_GOLDEN_GOAL","WIN_BY_SCORE"))))</f>
        <v>WIN_BY_SCORE</v>
      </c>
      <c r="BI556" s="99" t="str">
        <f>IF(OR(BG556=DATA_CLEANED!AK547,BG556=DATA_CLEANED!AN547,BG556="MATCH NUL"),"OK","ERREUR")</f>
        <v>OK</v>
      </c>
    </row>
    <row r="557" spans="2:61">
      <c r="B557" s="75">
        <v>120</v>
      </c>
      <c r="C557" s="15" t="str">
        <v>Amir Hadžiahmetović</v>
      </c>
      <c r="D557" s="15">
        <v>29</v>
      </c>
      <c r="E557" s="15" t="str">
        <v>Bosnia and Herzegovina</v>
      </c>
      <c r="F557" s="15" t="str">
        <v>CM</v>
      </c>
      <c r="G557" s="15" t="str">
        <v>Hull City</v>
      </c>
      <c r="H557" s="15">
        <v>16</v>
      </c>
      <c r="I557" s="15" t="str">
        <f t="shared" si="49"/>
        <v>120|Amir Hadžiahmetović|29|Bosnia and Herzegovina|CM|Hull City|16</v>
      </c>
      <c r="J557" s="15" t="str">
        <f>IF(COUNTIF(I$438:I557,I557)&gt;1,"DOUBLON","OK")</f>
        <v>OK</v>
      </c>
      <c r="S557" s="30" t="str">
        <v>South Korea</v>
      </c>
      <c r="T557" s="30" t="str">
        <f t="shared" si="50"/>
        <v>OK</v>
      </c>
      <c r="U557" s="30" t="str">
        <f t="shared" si="51"/>
        <v>-</v>
      </c>
      <c r="V557" s="30" t="str" cm="1">
        <f t="array" ref="V557">_xlfn.IFS(
ISNUMBER(SEARCH("USA",S557)),"United States",
ISNUMBER(SEARCH("Republic of Korea",S557)),"South Korea",
ISNUMBER(SEARCH("Cape Verde",S557)),"Cabo Verde",
ISNUMBER(SEARCH("Czechia",S557)),"Czech Republic",
ISNUMBER(SEARCH("Türkiye",S557)),"Turkey",
ISNUMBER(SEARCH("Ivory Coast",S557)),"Côte d'Ivoire",
ISNUMBER(SEARCH("Korea Republic",S557)),"South Korea",
ISNUMBER(SEARCH("Germany FR",S557)),"FR Germany",
ISNUMBER(SEARCH("West Germany",S557)),"FR Germany",
ISNUMBER(SEARCH("Germany DR",S557)),"DR Germany",
ISNUMBER(SEARCH("Korea DPR",S557)),"North Korea",
ISNUMBER(SEARCH("China PR",S557)),"China",
ISNUMBER(SEARCH("IR Iran",S557)),"Iran",
ISNUMBER(SEARCH("Congo DR",S557)),"Democratic Republic of the Congo",
ISNUMBER(SEARCH("DR Congo",S557)),"Democratic Republic of the Congo",
ISNUMBER(SEARCH("German DR",S557)),"DR Germany",
ISNUMBER(SEARCH("rn""&gt;United Arab Emirates",S557)),"United Arab Emirates",
ISNUMBER(SEARCH("rn""&gt;Republic of Ireland",S557)),"Ireland",
ISNUMBER(SEARCH("rn""&gt;Bosnia and Herzegovina",S557)),"Bosnia and Herzegovina",
ISNUMBER(SEARCH("rn""&gt;Trinidad and Tobago",S557)),"Trinidad and Tobago",
ISNUMBER(SEARCH("rn""&gt;Serbia and Montenegro",S557)),"Serbia and Montenegro",
ISNUMBER(SEARCH(_xlfn.UNICHAR(65533),S557)),"Côte d'Ivoire",
TRUE,""
)</f>
        <v/>
      </c>
      <c r="W557" s="30" t="str">
        <f t="shared" si="52"/>
        <v>South Korea</v>
      </c>
      <c r="Z557" s="40" t="str">
        <v>La Mosson</v>
      </c>
      <c r="AA557" s="40" t="str" cm="1">
        <f t="array" ref="AA557">IFERROR(_xlfn.XLOOKUP(Z557,_xlfn.ANCHORARRAY(Z$31),AA$31:AA$37),Z557)</f>
        <v>La Mosson</v>
      </c>
      <c r="AB557" s="42" t="str">
        <v xml:space="preserve">Montpellier </v>
      </c>
      <c r="AC557" s="89" t="str">
        <f t="shared" si="53"/>
        <v xml:space="preserve">Montpellier </v>
      </c>
      <c r="AE557" s="42">
        <v>1994</v>
      </c>
      <c r="AK557" s="42">
        <v>4</v>
      </c>
      <c r="AL557" s="42">
        <v>0</v>
      </c>
      <c r="AW557" s="89" t="str">
        <v>GROUP_STAGE</v>
      </c>
      <c r="BE557" s="43" t="str">
        <f>IF(OR(DATA_CLEANED!AL548="",DATA_CLEANED!AM548=""),"MANQUANT",IF(OR(NOT(ISNUMBER(DATA_CLEANED!AL548)),NOT(ISNUMBER(DATA_CLEANED!AM548))),"ENTREE INVALIDE",IF(OR(DATA_CLEANED!AL548&lt;0,DATA_CLEANED!AM548&lt;0),"SCORE NEGATIF","OK")))</f>
        <v>OK</v>
      </c>
      <c r="BF557" s="43" t="str">
        <f>IF(DATA_CLEANED!AK548&lt;&gt;DATA_CLEANED!AN548,"OK","ERREUR")</f>
        <v>OK</v>
      </c>
      <c r="BG557" s="43" t="str">
        <f>IF(DATA_CLEANED!AL548&gt;DATA_CLEANED!AM548,DATA_CLEANED!AK548,IF(AND(DATA_QUALITE!W5034="-",DATA_CLEANED!AM548=DATA_CLEANED!AL548),"MATCH NUL",IF(AND(DATA_QUALITE!V5034="-",DATA_QUALITE!U5034="AUCUNE"),DATA_QUALITE!T5034,IF(DATA_QUALITE!V5034&lt;&gt;"-",DATA_QUALITE!V5034,DATA_CLEANED!AN548))))</f>
        <v>Iran</v>
      </c>
      <c r="BH557" s="103" t="str">
        <f>IF(AND(BG557="MATCH NUL",DATA_CLEANED!AO548="-"),"MATCH_NUL",IF(ISNUMBER(SEARCH("win on penalties",W5034)),"WIN_BY_PENALTY",IF(ISNUMBER(SEARCH("win after extra time",W5034)),"WIN_BY_EXTRA_TIME",IF(ISNUMBER(SEARCH("Golden Goal",W5034)),"WIN_BY_GOLDEN_GOAL","WIN_BY_SCORE"))))</f>
        <v>WIN_BY_SCORE</v>
      </c>
      <c r="BI557" s="99" t="str">
        <f>IF(OR(BG557=DATA_CLEANED!AK548,BG557=DATA_CLEANED!AN548,BG557="MATCH NUL"),"OK","ERREUR")</f>
        <v>OK</v>
      </c>
    </row>
    <row r="558" spans="2:61">
      <c r="B558" s="75">
        <v>121</v>
      </c>
      <c r="C558" s="15" t="str">
        <v>Dženis Burnić</v>
      </c>
      <c r="D558" s="15">
        <v>28</v>
      </c>
      <c r="E558" s="15" t="str">
        <v>Bosnia and Herzegovina</v>
      </c>
      <c r="F558" s="15" t="str">
        <v>CM</v>
      </c>
      <c r="G558" s="15" t="str">
        <v>Karlsruher SC</v>
      </c>
      <c r="H558" s="15">
        <v>17</v>
      </c>
      <c r="I558" s="15" t="str">
        <f t="shared" si="49"/>
        <v>121|Dženis Burnić|28|Bosnia and Herzegovina|CM|Karlsruher SC|17</v>
      </c>
      <c r="J558" s="15" t="str">
        <f>IF(COUNTIF(I$438:I558,I558)&gt;1,"DOUBLON","OK")</f>
        <v>OK</v>
      </c>
      <c r="S558" s="30" t="str">
        <v>South Korea</v>
      </c>
      <c r="T558" s="30" t="str">
        <f t="shared" si="50"/>
        <v>OK</v>
      </c>
      <c r="U558" s="30" t="str">
        <f t="shared" si="51"/>
        <v>-</v>
      </c>
      <c r="V558" s="30" t="str" cm="1">
        <f t="array" ref="V558">_xlfn.IFS(
ISNUMBER(SEARCH("USA",S558)),"United States",
ISNUMBER(SEARCH("Republic of Korea",S558)),"South Korea",
ISNUMBER(SEARCH("Cape Verde",S558)),"Cabo Verde",
ISNUMBER(SEARCH("Czechia",S558)),"Czech Republic",
ISNUMBER(SEARCH("Türkiye",S558)),"Turkey",
ISNUMBER(SEARCH("Ivory Coast",S558)),"Côte d'Ivoire",
ISNUMBER(SEARCH("Korea Republic",S558)),"South Korea",
ISNUMBER(SEARCH("Germany FR",S558)),"FR Germany",
ISNUMBER(SEARCH("West Germany",S558)),"FR Germany",
ISNUMBER(SEARCH("Germany DR",S558)),"DR Germany",
ISNUMBER(SEARCH("Korea DPR",S558)),"North Korea",
ISNUMBER(SEARCH("China PR",S558)),"China",
ISNUMBER(SEARCH("IR Iran",S558)),"Iran",
ISNUMBER(SEARCH("Congo DR",S558)),"Democratic Republic of the Congo",
ISNUMBER(SEARCH("DR Congo",S558)),"Democratic Republic of the Congo",
ISNUMBER(SEARCH("German DR",S558)),"DR Germany",
ISNUMBER(SEARCH("rn""&gt;United Arab Emirates",S558)),"United Arab Emirates",
ISNUMBER(SEARCH("rn""&gt;Republic of Ireland",S558)),"Ireland",
ISNUMBER(SEARCH("rn""&gt;Bosnia and Herzegovina",S558)),"Bosnia and Herzegovina",
ISNUMBER(SEARCH("rn""&gt;Trinidad and Tobago",S558)),"Trinidad and Tobago",
ISNUMBER(SEARCH("rn""&gt;Serbia and Montenegro",S558)),"Serbia and Montenegro",
ISNUMBER(SEARCH(_xlfn.UNICHAR(65533),S558)),"Côte d'Ivoire",
TRUE,""
)</f>
        <v/>
      </c>
      <c r="W558" s="30" t="str">
        <f t="shared" si="52"/>
        <v>South Korea</v>
      </c>
      <c r="Z558" s="40" t="str">
        <v>Stade du Parc Lescure</v>
      </c>
      <c r="AA558" s="40" t="str" cm="1">
        <f t="array" ref="AA558">IFERROR(_xlfn.XLOOKUP(Z558,_xlfn.ANCHORARRAY(Z$31),AA$31:AA$37),Z558)</f>
        <v>Stade du Parc Lescure</v>
      </c>
      <c r="AB558" s="42" t="str">
        <v xml:space="preserve">Bordeaux </v>
      </c>
      <c r="AC558" s="89" t="str">
        <f t="shared" si="53"/>
        <v xml:space="preserve">Bordeaux </v>
      </c>
      <c r="AE558" s="42">
        <v>1994</v>
      </c>
      <c r="AK558" s="42">
        <v>3</v>
      </c>
      <c r="AL558" s="42">
        <v>0</v>
      </c>
      <c r="AW558" s="89" t="str">
        <v>GROUP_STAGE</v>
      </c>
      <c r="BE558" s="43" t="str">
        <f>IF(OR(DATA_CLEANED!AL549="",DATA_CLEANED!AM549=""),"MANQUANT",IF(OR(NOT(ISNUMBER(DATA_CLEANED!AL549)),NOT(ISNUMBER(DATA_CLEANED!AM549))),"ENTREE INVALIDE",IF(OR(DATA_CLEANED!AL549&lt;0,DATA_CLEANED!AM549&lt;0),"SCORE NEGATIF","OK")))</f>
        <v>OK</v>
      </c>
      <c r="BF558" s="43" t="str">
        <f>IF(DATA_CLEANED!AK549&lt;&gt;DATA_CLEANED!AN549,"OK","ERREUR")</f>
        <v>OK</v>
      </c>
      <c r="BG558" s="43" t="str">
        <f>IF(DATA_CLEANED!AL549&gt;DATA_CLEANED!AM549,DATA_CLEANED!AK549,IF(AND(DATA_QUALITE!W5035="-",DATA_CLEANED!AM549=DATA_CLEANED!AL549),"MATCH NUL",IF(AND(DATA_QUALITE!V5035="-",DATA_QUALITE!U5035="AUCUNE"),DATA_QUALITE!T5035,IF(DATA_QUALITE!V5035&lt;&gt;"-",DATA_QUALITE!V5035,DATA_CLEANED!AN549))))</f>
        <v>Colombia</v>
      </c>
      <c r="BH558" s="103" t="str">
        <f>IF(AND(BG558="MATCH NUL",DATA_CLEANED!AO549="-"),"MATCH_NUL",IF(ISNUMBER(SEARCH("win on penalties",W5035)),"WIN_BY_PENALTY",IF(ISNUMBER(SEARCH("win after extra time",W5035)),"WIN_BY_EXTRA_TIME",IF(ISNUMBER(SEARCH("Golden Goal",W5035)),"WIN_BY_GOLDEN_GOAL","WIN_BY_SCORE"))))</f>
        <v>WIN_BY_SCORE</v>
      </c>
      <c r="BI558" s="99" t="str">
        <f>IF(OR(BG558=DATA_CLEANED!AK549,BG558=DATA_CLEANED!AN549,BG558="MATCH NUL"),"OK","ERREUR")</f>
        <v>OK</v>
      </c>
    </row>
    <row r="559" spans="2:61">
      <c r="B559" s="75">
        <v>122</v>
      </c>
      <c r="C559" s="15" t="str">
        <v>Amar Memić</v>
      </c>
      <c r="D559" s="15">
        <v>25</v>
      </c>
      <c r="E559" s="15" t="str">
        <v>Bosnia and Herzegovina</v>
      </c>
      <c r="F559" s="15" t="str">
        <v>RM</v>
      </c>
      <c r="G559" s="15" t="str">
        <v>Viktoria Plzeň</v>
      </c>
      <c r="H559" s="15">
        <v>15</v>
      </c>
      <c r="I559" s="15" t="str">
        <f t="shared" si="49"/>
        <v>122|Amar Memić|25|Bosnia and Herzegovina|RM|Viktoria Plzeň|15</v>
      </c>
      <c r="J559" s="15" t="str">
        <f>IF(COUNTIF(I$438:I559,I559)&gt;1,"DOUBLON","OK")</f>
        <v>OK</v>
      </c>
      <c r="S559" s="30" t="str">
        <v>South Korea</v>
      </c>
      <c r="T559" s="30" t="str">
        <f t="shared" si="50"/>
        <v>OK</v>
      </c>
      <c r="U559" s="30" t="str">
        <f t="shared" si="51"/>
        <v>-</v>
      </c>
      <c r="V559" s="30" t="str" cm="1">
        <f t="array" ref="V559">_xlfn.IFS(
ISNUMBER(SEARCH("USA",S559)),"United States",
ISNUMBER(SEARCH("Republic of Korea",S559)),"South Korea",
ISNUMBER(SEARCH("Cape Verde",S559)),"Cabo Verde",
ISNUMBER(SEARCH("Czechia",S559)),"Czech Republic",
ISNUMBER(SEARCH("Türkiye",S559)),"Turkey",
ISNUMBER(SEARCH("Ivory Coast",S559)),"Côte d'Ivoire",
ISNUMBER(SEARCH("Korea Republic",S559)),"South Korea",
ISNUMBER(SEARCH("Germany FR",S559)),"FR Germany",
ISNUMBER(SEARCH("West Germany",S559)),"FR Germany",
ISNUMBER(SEARCH("Germany DR",S559)),"DR Germany",
ISNUMBER(SEARCH("Korea DPR",S559)),"North Korea",
ISNUMBER(SEARCH("China PR",S559)),"China",
ISNUMBER(SEARCH("IR Iran",S559)),"Iran",
ISNUMBER(SEARCH("Congo DR",S559)),"Democratic Republic of the Congo",
ISNUMBER(SEARCH("DR Congo",S559)),"Democratic Republic of the Congo",
ISNUMBER(SEARCH("German DR",S559)),"DR Germany",
ISNUMBER(SEARCH("rn""&gt;United Arab Emirates",S559)),"United Arab Emirates",
ISNUMBER(SEARCH("rn""&gt;Republic of Ireland",S559)),"Ireland",
ISNUMBER(SEARCH("rn""&gt;Bosnia and Herzegovina",S559)),"Bosnia and Herzegovina",
ISNUMBER(SEARCH("rn""&gt;Trinidad and Tobago",S559)),"Trinidad and Tobago",
ISNUMBER(SEARCH("rn""&gt;Serbia and Montenegro",S559)),"Serbia and Montenegro",
ISNUMBER(SEARCH(_xlfn.UNICHAR(65533),S559)),"Côte d'Ivoire",
TRUE,""
)</f>
        <v/>
      </c>
      <c r="W559" s="30" t="str">
        <f t="shared" si="52"/>
        <v>South Korea</v>
      </c>
      <c r="Z559" s="40" t="str">
        <v>Stade Municipal</v>
      </c>
      <c r="AA559" s="40" t="str" cm="1">
        <f t="array" ref="AA559">IFERROR(_xlfn.XLOOKUP(Z559,_xlfn.ANCHORARRAY(Z$31),AA$31:AA$37),Z559)</f>
        <v>Stade Municipal</v>
      </c>
      <c r="AB559" s="42" t="str">
        <v xml:space="preserve">Toulouse </v>
      </c>
      <c r="AC559" s="89" t="str">
        <f t="shared" si="53"/>
        <v xml:space="preserve">Toulouse </v>
      </c>
      <c r="AE559" s="42">
        <v>1994</v>
      </c>
      <c r="AK559" s="42">
        <v>1</v>
      </c>
      <c r="AL559" s="42">
        <v>1</v>
      </c>
      <c r="AW559" s="89" t="str">
        <v>GROUP_STAGE</v>
      </c>
      <c r="BE559" s="43" t="str">
        <f>IF(OR(DATA_CLEANED!AL550="",DATA_CLEANED!AM550=""),"MANQUANT",IF(OR(NOT(ISNUMBER(DATA_CLEANED!AL550)),NOT(ISNUMBER(DATA_CLEANED!AM550))),"ENTREE INVALIDE",IF(OR(DATA_CLEANED!AL550&lt;0,DATA_CLEANED!AM550&lt;0),"SCORE NEGATIF","OK")))</f>
        <v>OK</v>
      </c>
      <c r="BF559" s="43" t="str">
        <f>IF(DATA_CLEANED!AK550&lt;&gt;DATA_CLEANED!AN550,"OK","ERREUR")</f>
        <v>OK</v>
      </c>
      <c r="BG559" s="43" t="str">
        <f>IF(DATA_CLEANED!AL550&gt;DATA_CLEANED!AM550,DATA_CLEANED!AK550,IF(AND(DATA_QUALITE!W5036="-",DATA_CLEANED!AM550=DATA_CLEANED!AL550),"MATCH NUL",IF(AND(DATA_QUALITE!V5036="-",DATA_QUALITE!U5036="AUCUNE"),DATA_QUALITE!T5036,IF(DATA_QUALITE!V5036&lt;&gt;"-",DATA_QUALITE!V5036,DATA_CLEANED!AN550))))</f>
        <v>Romania</v>
      </c>
      <c r="BH559" s="103" t="str">
        <f>IF(AND(BG559="MATCH NUL",DATA_CLEANED!AO550="-"),"MATCH_NUL",IF(ISNUMBER(SEARCH("win on penalties",W5036)),"WIN_BY_PENALTY",IF(ISNUMBER(SEARCH("win after extra time",W5036)),"WIN_BY_EXTRA_TIME",IF(ISNUMBER(SEARCH("Golden Goal",W5036)),"WIN_BY_GOLDEN_GOAL","WIN_BY_SCORE"))))</f>
        <v>WIN_BY_SCORE</v>
      </c>
      <c r="BI559" s="99" t="str">
        <f>IF(OR(BG559=DATA_CLEANED!AK550,BG559=DATA_CLEANED!AN550,BG559="MATCH NUL"),"OK","ERREUR")</f>
        <v>OK</v>
      </c>
    </row>
    <row r="560" spans="2:61">
      <c r="B560" s="75">
        <v>123</v>
      </c>
      <c r="C560" s="15" t="str">
        <v>Ermin Mahmić</v>
      </c>
      <c r="D560" s="15">
        <v>21</v>
      </c>
      <c r="E560" s="15" t="str">
        <v>Bosnia and Herzegovina</v>
      </c>
      <c r="F560" s="15" t="str">
        <v>LM</v>
      </c>
      <c r="G560" s="15" t="str">
        <v>Slovan Liberec</v>
      </c>
      <c r="H560" s="15">
        <v>26</v>
      </c>
      <c r="I560" s="15" t="str">
        <f t="shared" si="49"/>
        <v>123|Ermin Mahmić|21|Bosnia and Herzegovina|LM|Slovan Liberec|26</v>
      </c>
      <c r="J560" s="15" t="str">
        <f>IF(COUNTIF(I$438:I560,I560)&gt;1,"DOUBLON","OK")</f>
        <v>OK</v>
      </c>
      <c r="S560" s="30" t="str">
        <v>South Korea</v>
      </c>
      <c r="T560" s="30" t="str">
        <f t="shared" si="50"/>
        <v>OK</v>
      </c>
      <c r="U560" s="30" t="str">
        <f t="shared" si="51"/>
        <v>-</v>
      </c>
      <c r="V560" s="30" t="str" cm="1">
        <f t="array" ref="V560">_xlfn.IFS(
ISNUMBER(SEARCH("USA",S560)),"United States",
ISNUMBER(SEARCH("Republic of Korea",S560)),"South Korea",
ISNUMBER(SEARCH("Cape Verde",S560)),"Cabo Verde",
ISNUMBER(SEARCH("Czechia",S560)),"Czech Republic",
ISNUMBER(SEARCH("Türkiye",S560)),"Turkey",
ISNUMBER(SEARCH("Ivory Coast",S560)),"Côte d'Ivoire",
ISNUMBER(SEARCH("Korea Republic",S560)),"South Korea",
ISNUMBER(SEARCH("Germany FR",S560)),"FR Germany",
ISNUMBER(SEARCH("West Germany",S560)),"FR Germany",
ISNUMBER(SEARCH("Germany DR",S560)),"DR Germany",
ISNUMBER(SEARCH("Korea DPR",S560)),"North Korea",
ISNUMBER(SEARCH("China PR",S560)),"China",
ISNUMBER(SEARCH("IR Iran",S560)),"Iran",
ISNUMBER(SEARCH("Congo DR",S560)),"Democratic Republic of the Congo",
ISNUMBER(SEARCH("DR Congo",S560)),"Democratic Republic of the Congo",
ISNUMBER(SEARCH("German DR",S560)),"DR Germany",
ISNUMBER(SEARCH("rn""&gt;United Arab Emirates",S560)),"United Arab Emirates",
ISNUMBER(SEARCH("rn""&gt;Republic of Ireland",S560)),"Ireland",
ISNUMBER(SEARCH("rn""&gt;Bosnia and Herzegovina",S560)),"Bosnia and Herzegovina",
ISNUMBER(SEARCH("rn""&gt;Trinidad and Tobago",S560)),"Trinidad and Tobago",
ISNUMBER(SEARCH("rn""&gt;Serbia and Montenegro",S560)),"Serbia and Montenegro",
ISNUMBER(SEARCH(_xlfn.UNICHAR(65533),S560)),"Côte d'Ivoire",
TRUE,""
)</f>
        <v/>
      </c>
      <c r="W560" s="30" t="str">
        <f t="shared" si="52"/>
        <v>South Korea</v>
      </c>
      <c r="Z560" s="40" t="str">
        <v>La Mosson</v>
      </c>
      <c r="AA560" s="40" t="str" cm="1">
        <f t="array" ref="AA560">IFERROR(_xlfn.XLOOKUP(Z560,_xlfn.ANCHORARRAY(Z$31),AA$31:AA$37),Z560)</f>
        <v>La Mosson</v>
      </c>
      <c r="AB560" s="42" t="str">
        <v xml:space="preserve">Montpellier </v>
      </c>
      <c r="AC560" s="89" t="str">
        <f t="shared" si="53"/>
        <v xml:space="preserve">Montpellier </v>
      </c>
      <c r="AE560" s="42">
        <v>1994</v>
      </c>
      <c r="AK560" s="42">
        <v>1</v>
      </c>
      <c r="AL560" s="42">
        <v>4</v>
      </c>
      <c r="AW560" s="89" t="str">
        <v>GROUP_STAGE</v>
      </c>
      <c r="BE560" s="43" t="str">
        <f>IF(OR(DATA_CLEANED!AL551="",DATA_CLEANED!AM551=""),"MANQUANT",IF(OR(NOT(ISNUMBER(DATA_CLEANED!AL551)),NOT(ISNUMBER(DATA_CLEANED!AM551))),"ENTREE INVALIDE",IF(OR(DATA_CLEANED!AL551&lt;0,DATA_CLEANED!AM551&lt;0),"SCORE NEGATIF","OK")))</f>
        <v>OK</v>
      </c>
      <c r="BF560" s="43" t="str">
        <f>IF(DATA_CLEANED!AK551&lt;&gt;DATA_CLEANED!AN551,"OK","ERREUR")</f>
        <v>OK</v>
      </c>
      <c r="BG560" s="43" t="str">
        <f>IF(DATA_CLEANED!AL551&gt;DATA_CLEANED!AM551,DATA_CLEANED!AK551,IF(AND(DATA_QUALITE!W5037="-",DATA_CLEANED!AM551=DATA_CLEANED!AL551),"MATCH NUL",IF(AND(DATA_QUALITE!V5037="-",DATA_QUALITE!U5037="AUCUNE"),DATA_QUALITE!T5037,IF(DATA_QUALITE!V5037&lt;&gt;"-",DATA_QUALITE!V5037,DATA_CLEANED!AN551))))</f>
        <v>Italy</v>
      </c>
      <c r="BH560" s="103" t="str">
        <f>IF(AND(BG560="MATCH NUL",DATA_CLEANED!AO551="-"),"MATCH_NUL",IF(ISNUMBER(SEARCH("win on penalties",W5037)),"WIN_BY_PENALTY",IF(ISNUMBER(SEARCH("win after extra time",W5037)),"WIN_BY_EXTRA_TIME",IF(ISNUMBER(SEARCH("Golden Goal",W5037)),"WIN_BY_GOLDEN_GOAL","WIN_BY_SCORE"))))</f>
        <v>WIN_BY_SCORE</v>
      </c>
      <c r="BI560" s="99" t="str">
        <f>IF(OR(BG560=DATA_CLEANED!AK551,BG560=DATA_CLEANED!AN551,BG560="MATCH NUL"),"OK","ERREUR")</f>
        <v>OK</v>
      </c>
    </row>
    <row r="561" spans="2:61">
      <c r="B561" s="75">
        <v>124</v>
      </c>
      <c r="C561" s="15" t="str">
        <v>Kerim Alajbegović</v>
      </c>
      <c r="D561" s="15">
        <v>18</v>
      </c>
      <c r="E561" s="15" t="str">
        <v>Bosnia and Herzegovina</v>
      </c>
      <c r="F561" s="15" t="str">
        <v>LW</v>
      </c>
      <c r="G561" s="15" t="str">
        <v>Red Bull Salzburg</v>
      </c>
      <c r="H561" s="15">
        <v>19</v>
      </c>
      <c r="I561" s="15" t="str">
        <f t="shared" si="49"/>
        <v>124|Kerim Alajbegović|18|Bosnia and Herzegovina|LW|Red Bull Salzburg|19</v>
      </c>
      <c r="J561" s="15" t="str">
        <f>IF(COUNTIF(I$438:I561,I561)&gt;1,"DOUBLON","OK")</f>
        <v>OK</v>
      </c>
      <c r="S561" s="30" t="str">
        <v>South Korea</v>
      </c>
      <c r="T561" s="30" t="str">
        <f t="shared" si="50"/>
        <v>OK</v>
      </c>
      <c r="U561" s="30" t="str">
        <f t="shared" si="51"/>
        <v>-</v>
      </c>
      <c r="V561" s="30" t="str" cm="1">
        <f t="array" ref="V561">_xlfn.IFS(
ISNUMBER(SEARCH("USA",S561)),"United States",
ISNUMBER(SEARCH("Republic of Korea",S561)),"South Korea",
ISNUMBER(SEARCH("Cape Verde",S561)),"Cabo Verde",
ISNUMBER(SEARCH("Czechia",S561)),"Czech Republic",
ISNUMBER(SEARCH("Türkiye",S561)),"Turkey",
ISNUMBER(SEARCH("Ivory Coast",S561)),"Côte d'Ivoire",
ISNUMBER(SEARCH("Korea Republic",S561)),"South Korea",
ISNUMBER(SEARCH("Germany FR",S561)),"FR Germany",
ISNUMBER(SEARCH("West Germany",S561)),"FR Germany",
ISNUMBER(SEARCH("Germany DR",S561)),"DR Germany",
ISNUMBER(SEARCH("Korea DPR",S561)),"North Korea",
ISNUMBER(SEARCH("China PR",S561)),"China",
ISNUMBER(SEARCH("IR Iran",S561)),"Iran",
ISNUMBER(SEARCH("Congo DR",S561)),"Democratic Republic of the Congo",
ISNUMBER(SEARCH("DR Congo",S561)),"Democratic Republic of the Congo",
ISNUMBER(SEARCH("German DR",S561)),"DR Germany",
ISNUMBER(SEARCH("rn""&gt;United Arab Emirates",S561)),"United Arab Emirates",
ISNUMBER(SEARCH("rn""&gt;Republic of Ireland",S561)),"Ireland",
ISNUMBER(SEARCH("rn""&gt;Bosnia and Herzegovina",S561)),"Bosnia and Herzegovina",
ISNUMBER(SEARCH("rn""&gt;Trinidad and Tobago",S561)),"Trinidad and Tobago",
ISNUMBER(SEARCH("rn""&gt;Serbia and Montenegro",S561)),"Serbia and Montenegro",
ISNUMBER(SEARCH(_xlfn.UNICHAR(65533),S561)),"Côte d'Ivoire",
TRUE,""
)</f>
        <v/>
      </c>
      <c r="W561" s="30" t="str">
        <f t="shared" si="52"/>
        <v>South Korea</v>
      </c>
      <c r="Z561" s="40" t="str">
        <v>Stade Felix Bollaert</v>
      </c>
      <c r="AA561" s="40" t="str" cm="1">
        <f t="array" ref="AA561">IFERROR(_xlfn.XLOOKUP(Z561,_xlfn.ANCHORARRAY(Z$31),AA$31:AA$37),Z561)</f>
        <v>Stade Felix Bollaert</v>
      </c>
      <c r="AB561" s="42" t="str">
        <v xml:space="preserve">Lens </v>
      </c>
      <c r="AC561" s="89" t="str">
        <f t="shared" si="53"/>
        <v xml:space="preserve">Lens </v>
      </c>
      <c r="AE561" s="42">
        <v>1994</v>
      </c>
      <c r="AK561" s="42">
        <v>2</v>
      </c>
      <c r="AL561" s="42">
        <v>1</v>
      </c>
      <c r="AW561" s="89" t="str">
        <v>GROUP_STAGE</v>
      </c>
      <c r="BE561" s="43" t="str">
        <f>IF(OR(DATA_CLEANED!AL552="",DATA_CLEANED!AM552=""),"MANQUANT",IF(OR(NOT(ISNUMBER(DATA_CLEANED!AL552)),NOT(ISNUMBER(DATA_CLEANED!AM552))),"ENTREE INVALIDE",IF(OR(DATA_CLEANED!AL552&lt;0,DATA_CLEANED!AM552&lt;0),"SCORE NEGATIF","OK")))</f>
        <v>OK</v>
      </c>
      <c r="BF561" s="43" t="str">
        <f>IF(DATA_CLEANED!AK552&lt;&gt;DATA_CLEANED!AN552,"OK","ERREUR")</f>
        <v>OK</v>
      </c>
      <c r="BG561" s="43" t="str">
        <f>IF(DATA_CLEANED!AL552&gt;DATA_CLEANED!AM552,DATA_CLEANED!AK552,IF(AND(DATA_QUALITE!W5038="-",DATA_CLEANED!AM552=DATA_CLEANED!AL552),"MATCH NUL",IF(AND(DATA_QUALITE!V5038="-",DATA_QUALITE!U5038="AUCUNE"),DATA_QUALITE!T5038,IF(DATA_QUALITE!V5038&lt;&gt;"-",DATA_QUALITE!V5038,DATA_CLEANED!AN552))))</f>
        <v>MATCH NUL</v>
      </c>
      <c r="BH561" s="103" t="str">
        <f>IF(AND(BG561="MATCH NUL",DATA_CLEANED!AO552="-"),"MATCH_NUL",IF(ISNUMBER(SEARCH("win on penalties",W5038)),"WIN_BY_PENALTY",IF(ISNUMBER(SEARCH("win after extra time",W5038)),"WIN_BY_EXTRA_TIME",IF(ISNUMBER(SEARCH("Golden Goal",W5038)),"WIN_BY_GOLDEN_GOAL","WIN_BY_SCORE"))))</f>
        <v>MATCH_NUL</v>
      </c>
      <c r="BI561" s="99" t="str">
        <f>IF(OR(BG561=DATA_CLEANED!AK552,BG561=DATA_CLEANED!AN552,BG561="MATCH NUL"),"OK","ERREUR")</f>
        <v>OK</v>
      </c>
    </row>
    <row r="562" spans="2:61">
      <c r="B562" s="75">
        <v>125</v>
      </c>
      <c r="C562" s="15" t="str">
        <v>Esmir Bajraktarević</v>
      </c>
      <c r="D562" s="15">
        <v>21</v>
      </c>
      <c r="E562" s="15" t="str">
        <v>Bosnia and Herzegovina</v>
      </c>
      <c r="F562" s="15" t="str">
        <v>LW</v>
      </c>
      <c r="G562" s="15" t="str">
        <v>PSV Eindhoven</v>
      </c>
      <c r="H562" s="15">
        <v>20</v>
      </c>
      <c r="I562" s="15" t="str">
        <f t="shared" si="49"/>
        <v>125|Esmir Bajraktarević|21|Bosnia and Herzegovina|LW|PSV Eindhoven|20</v>
      </c>
      <c r="J562" s="15" t="str">
        <f>IF(COUNTIF(I$438:I562,I562)&gt;1,"DOUBLON","OK")</f>
        <v>OK</v>
      </c>
      <c r="S562" s="30" t="str">
        <v>South Korea</v>
      </c>
      <c r="T562" s="30" t="str">
        <f t="shared" si="50"/>
        <v>OK</v>
      </c>
      <c r="U562" s="30" t="str">
        <f t="shared" si="51"/>
        <v>-</v>
      </c>
      <c r="V562" s="30" t="str" cm="1">
        <f t="array" ref="V562">_xlfn.IFS(
ISNUMBER(SEARCH("USA",S562)),"United States",
ISNUMBER(SEARCH("Republic of Korea",S562)),"South Korea",
ISNUMBER(SEARCH("Cape Verde",S562)),"Cabo Verde",
ISNUMBER(SEARCH("Czechia",S562)),"Czech Republic",
ISNUMBER(SEARCH("Türkiye",S562)),"Turkey",
ISNUMBER(SEARCH("Ivory Coast",S562)),"Côte d'Ivoire",
ISNUMBER(SEARCH("Korea Republic",S562)),"South Korea",
ISNUMBER(SEARCH("Germany FR",S562)),"FR Germany",
ISNUMBER(SEARCH("West Germany",S562)),"FR Germany",
ISNUMBER(SEARCH("Germany DR",S562)),"DR Germany",
ISNUMBER(SEARCH("Korea DPR",S562)),"North Korea",
ISNUMBER(SEARCH("China PR",S562)),"China",
ISNUMBER(SEARCH("IR Iran",S562)),"Iran",
ISNUMBER(SEARCH("Congo DR",S562)),"Democratic Republic of the Congo",
ISNUMBER(SEARCH("DR Congo",S562)),"Democratic Republic of the Congo",
ISNUMBER(SEARCH("German DR",S562)),"DR Germany",
ISNUMBER(SEARCH("rn""&gt;United Arab Emirates",S562)),"United Arab Emirates",
ISNUMBER(SEARCH("rn""&gt;Republic of Ireland",S562)),"Ireland",
ISNUMBER(SEARCH("rn""&gt;Bosnia and Herzegovina",S562)),"Bosnia and Herzegovina",
ISNUMBER(SEARCH("rn""&gt;Trinidad and Tobago",S562)),"Trinidad and Tobago",
ISNUMBER(SEARCH("rn""&gt;Serbia and Montenegro",S562)),"Serbia and Montenegro",
ISNUMBER(SEARCH(_xlfn.UNICHAR(65533),S562)),"Côte d'Ivoire",
TRUE,""
)</f>
        <v/>
      </c>
      <c r="W562" s="30" t="str">
        <f t="shared" si="52"/>
        <v>South Korea</v>
      </c>
      <c r="Z562" s="40" t="str">
        <v>Stade V�lodrome</v>
      </c>
      <c r="AA562" s="40" t="str" cm="1">
        <f t="array" ref="AA562">IFERROR(_xlfn.XLOOKUP(Z562,_xlfn.ANCHORARRAY(Z$31),AA$31:AA$37),Z562)</f>
        <v>Stade Vélodrome</v>
      </c>
      <c r="AB562" s="42" t="str">
        <v xml:space="preserve">Marseilles </v>
      </c>
      <c r="AC562" s="89" t="str">
        <f t="shared" si="53"/>
        <v xml:space="preserve">Marseilles </v>
      </c>
      <c r="AE562" s="42">
        <v>1994</v>
      </c>
      <c r="AK562" s="42">
        <v>1</v>
      </c>
      <c r="AL562" s="42">
        <v>0</v>
      </c>
      <c r="AW562" s="89" t="str">
        <v>GROUP_STAGE</v>
      </c>
      <c r="BE562" s="43" t="str">
        <f>IF(OR(DATA_CLEANED!AL553="",DATA_CLEANED!AM553=""),"MANQUANT",IF(OR(NOT(ISNUMBER(DATA_CLEANED!AL553)),NOT(ISNUMBER(DATA_CLEANED!AM553))),"ENTREE INVALIDE",IF(OR(DATA_CLEANED!AL553&lt;0,DATA_CLEANED!AM553&lt;0),"SCORE NEGATIF","OK")))</f>
        <v>OK</v>
      </c>
      <c r="BF562" s="43" t="str">
        <f>IF(DATA_CLEANED!AK553&lt;&gt;DATA_CLEANED!AN553,"OK","ERREUR")</f>
        <v>OK</v>
      </c>
      <c r="BG562" s="43" t="str">
        <f>IF(DATA_CLEANED!AL553&gt;DATA_CLEANED!AM553,DATA_CLEANED!AK553,IF(AND(DATA_QUALITE!W5039="-",DATA_CLEANED!AM553=DATA_CLEANED!AL553),"MATCH NUL",IF(AND(DATA_QUALITE!V5039="-",DATA_QUALITE!U5039="AUCUNE"),DATA_QUALITE!T5039,IF(DATA_QUALITE!V5039&lt;&gt;"-",DATA_QUALITE!V5039,DATA_CLEANED!AN553))))</f>
        <v>Morocco</v>
      </c>
      <c r="BH562" s="103" t="str">
        <f>IF(AND(BG562="MATCH NUL",DATA_CLEANED!AO553="-"),"MATCH_NUL",IF(ISNUMBER(SEARCH("win on penalties",W5039)),"WIN_BY_PENALTY",IF(ISNUMBER(SEARCH("win after extra time",W5039)),"WIN_BY_EXTRA_TIME",IF(ISNUMBER(SEARCH("Golden Goal",W5039)),"WIN_BY_GOLDEN_GOAL","WIN_BY_SCORE"))))</f>
        <v>WIN_BY_SCORE</v>
      </c>
      <c r="BI562" s="99" t="str">
        <f>IF(OR(BG562=DATA_CLEANED!AK553,BG562=DATA_CLEANED!AN553,BG562="MATCH NUL"),"OK","ERREUR")</f>
        <v>OK</v>
      </c>
    </row>
    <row r="563" spans="2:61">
      <c r="B563" s="75">
        <v>126</v>
      </c>
      <c r="C563" s="15" t="str">
        <v>Samed Baždar</v>
      </c>
      <c r="D563" s="15">
        <v>22</v>
      </c>
      <c r="E563" s="15" t="str">
        <v>Bosnia and Herzegovina</v>
      </c>
      <c r="F563" s="15" t="str">
        <v>ST</v>
      </c>
      <c r="G563" s="15" t="str">
        <v>Jagiellonia Białystok</v>
      </c>
      <c r="H563" s="15">
        <v>9</v>
      </c>
      <c r="I563" s="15" t="str">
        <f t="shared" si="49"/>
        <v>126|Samed Baždar|22|Bosnia and Herzegovina|ST|Jagiellonia Białystok|9</v>
      </c>
      <c r="J563" s="15" t="str">
        <f>IF(COUNTIF(I$438:I563,I563)&gt;1,"DOUBLON","OK")</f>
        <v>OK</v>
      </c>
      <c r="S563" s="30" t="str">
        <v>South Korea</v>
      </c>
      <c r="T563" s="30" t="str">
        <f t="shared" si="50"/>
        <v>OK</v>
      </c>
      <c r="U563" s="30" t="str">
        <f t="shared" si="51"/>
        <v>-</v>
      </c>
      <c r="V563" s="30" t="str" cm="1">
        <f t="array" ref="V563">_xlfn.IFS(
ISNUMBER(SEARCH("USA",S563)),"United States",
ISNUMBER(SEARCH("Republic of Korea",S563)),"South Korea",
ISNUMBER(SEARCH("Cape Verde",S563)),"Cabo Verde",
ISNUMBER(SEARCH("Czechia",S563)),"Czech Republic",
ISNUMBER(SEARCH("Türkiye",S563)),"Turkey",
ISNUMBER(SEARCH("Ivory Coast",S563)),"Côte d'Ivoire",
ISNUMBER(SEARCH("Korea Republic",S563)),"South Korea",
ISNUMBER(SEARCH("Germany FR",S563)),"FR Germany",
ISNUMBER(SEARCH("West Germany",S563)),"FR Germany",
ISNUMBER(SEARCH("Germany DR",S563)),"DR Germany",
ISNUMBER(SEARCH("Korea DPR",S563)),"North Korea",
ISNUMBER(SEARCH("China PR",S563)),"China",
ISNUMBER(SEARCH("IR Iran",S563)),"Iran",
ISNUMBER(SEARCH("Congo DR",S563)),"Democratic Republic of the Congo",
ISNUMBER(SEARCH("DR Congo",S563)),"Democratic Republic of the Congo",
ISNUMBER(SEARCH("German DR",S563)),"DR Germany",
ISNUMBER(SEARCH("rn""&gt;United Arab Emirates",S563)),"United Arab Emirates",
ISNUMBER(SEARCH("rn""&gt;Republic of Ireland",S563)),"Ireland",
ISNUMBER(SEARCH("rn""&gt;Bosnia and Herzegovina",S563)),"Bosnia and Herzegovina",
ISNUMBER(SEARCH("rn""&gt;Trinidad and Tobago",S563)),"Trinidad and Tobago",
ISNUMBER(SEARCH("rn""&gt;Serbia and Montenegro",S563)),"Serbia and Montenegro",
ISNUMBER(SEARCH(_xlfn.UNICHAR(65533),S563)),"Côte d'Ivoire",
TRUE,""
)</f>
        <v/>
      </c>
      <c r="W563" s="30" t="str">
        <f t="shared" si="52"/>
        <v>South Korea</v>
      </c>
      <c r="Z563" s="40" t="str">
        <v>La Beaujoire</v>
      </c>
      <c r="AA563" s="40" t="str" cm="1">
        <f t="array" ref="AA563">IFERROR(_xlfn.XLOOKUP(Z563,_xlfn.ANCHORARRAY(Z$31),AA$31:AA$37),Z563)</f>
        <v>La Beaujoire</v>
      </c>
      <c r="AB563" s="42" t="str">
        <v xml:space="preserve">Nantes </v>
      </c>
      <c r="AC563" s="89" t="str">
        <f t="shared" si="53"/>
        <v xml:space="preserve">Nantes </v>
      </c>
      <c r="AE563" s="42">
        <v>1994</v>
      </c>
      <c r="AK563" s="42">
        <v>0</v>
      </c>
      <c r="AL563" s="42">
        <v>0</v>
      </c>
      <c r="AW563" s="89" t="str">
        <v>GROUP_STAGE</v>
      </c>
      <c r="BE563" s="43" t="str">
        <f>IF(OR(DATA_CLEANED!AL554="",DATA_CLEANED!AM554=""),"MANQUANT",IF(OR(NOT(ISNUMBER(DATA_CLEANED!AL554)),NOT(ISNUMBER(DATA_CLEANED!AM554))),"ENTREE INVALIDE",IF(OR(DATA_CLEANED!AL554&lt;0,DATA_CLEANED!AM554&lt;0),"SCORE NEGATIF","OK")))</f>
        <v>OK</v>
      </c>
      <c r="BF563" s="43" t="str">
        <f>IF(DATA_CLEANED!AK554&lt;&gt;DATA_CLEANED!AN554,"OK","ERREUR")</f>
        <v>OK</v>
      </c>
      <c r="BG563" s="43" t="str">
        <f>IF(DATA_CLEANED!AL554&gt;DATA_CLEANED!AM554,DATA_CLEANED!AK554,IF(AND(DATA_QUALITE!W5040="-",DATA_CLEANED!AM554=DATA_CLEANED!AL554),"MATCH NUL",IF(AND(DATA_QUALITE!V5040="-",DATA_QUALITE!U5040="AUCUNE"),DATA_QUALITE!T5040,IF(DATA_QUALITE!V5040&lt;&gt;"-",DATA_QUALITE!V5040,DATA_CLEANED!AN554))))</f>
        <v>Norway</v>
      </c>
      <c r="BH563" s="103" t="str">
        <f>IF(AND(BG563="MATCH NUL",DATA_CLEANED!AO554="-"),"MATCH_NUL",IF(ISNUMBER(SEARCH("win on penalties",W5040)),"WIN_BY_PENALTY",IF(ISNUMBER(SEARCH("win after extra time",W5040)),"WIN_BY_EXTRA_TIME",IF(ISNUMBER(SEARCH("Golden Goal",W5040)),"WIN_BY_GOLDEN_GOAL","WIN_BY_SCORE"))))</f>
        <v>WIN_BY_SCORE</v>
      </c>
      <c r="BI563" s="99" t="str">
        <f>IF(OR(BG563=DATA_CLEANED!AK554,BG563=DATA_CLEANED!AN554,BG563="MATCH NUL"),"OK","ERREUR")</f>
        <v>OK</v>
      </c>
    </row>
    <row r="564" spans="2:61">
      <c r="B564" s="75">
        <v>127</v>
      </c>
      <c r="C564" s="15" t="str">
        <v>Ermedin Demirović</v>
      </c>
      <c r="D564" s="15">
        <v>28</v>
      </c>
      <c r="E564" s="15" t="str">
        <v>Bosnia and Herzegovina</v>
      </c>
      <c r="F564" s="15" t="str">
        <v>ST</v>
      </c>
      <c r="G564" s="15" t="str">
        <v>VfB Stuttgart</v>
      </c>
      <c r="H564" s="15">
        <v>10</v>
      </c>
      <c r="I564" s="15" t="str">
        <f t="shared" si="49"/>
        <v>127|Ermedin Demirović|28|Bosnia and Herzegovina|ST|VfB Stuttgart|10</v>
      </c>
      <c r="J564" s="15" t="str">
        <f>IF(COUNTIF(I$438:I564,I564)&gt;1,"DOUBLON","OK")</f>
        <v>OK</v>
      </c>
      <c r="S564" s="30" t="str">
        <v>South Korea</v>
      </c>
      <c r="T564" s="30" t="str">
        <f t="shared" si="50"/>
        <v>OK</v>
      </c>
      <c r="U564" s="30" t="str">
        <f t="shared" si="51"/>
        <v>-</v>
      </c>
      <c r="V564" s="30" t="str" cm="1">
        <f t="array" ref="V564">_xlfn.IFS(
ISNUMBER(SEARCH("USA",S564)),"United States",
ISNUMBER(SEARCH("Republic of Korea",S564)),"South Korea",
ISNUMBER(SEARCH("Cape Verde",S564)),"Cabo Verde",
ISNUMBER(SEARCH("Czechia",S564)),"Czech Republic",
ISNUMBER(SEARCH("Türkiye",S564)),"Turkey",
ISNUMBER(SEARCH("Ivory Coast",S564)),"Côte d'Ivoire",
ISNUMBER(SEARCH("Korea Republic",S564)),"South Korea",
ISNUMBER(SEARCH("Germany FR",S564)),"FR Germany",
ISNUMBER(SEARCH("West Germany",S564)),"FR Germany",
ISNUMBER(SEARCH("Germany DR",S564)),"DR Germany",
ISNUMBER(SEARCH("Korea DPR",S564)),"North Korea",
ISNUMBER(SEARCH("China PR",S564)),"China",
ISNUMBER(SEARCH("IR Iran",S564)),"Iran",
ISNUMBER(SEARCH("Congo DR",S564)),"Democratic Republic of the Congo",
ISNUMBER(SEARCH("DR Congo",S564)),"Democratic Republic of the Congo",
ISNUMBER(SEARCH("German DR",S564)),"DR Germany",
ISNUMBER(SEARCH("rn""&gt;United Arab Emirates",S564)),"United Arab Emirates",
ISNUMBER(SEARCH("rn""&gt;Republic of Ireland",S564)),"Ireland",
ISNUMBER(SEARCH("rn""&gt;Bosnia and Herzegovina",S564)),"Bosnia and Herzegovina",
ISNUMBER(SEARCH("rn""&gt;Trinidad and Tobago",S564)),"Trinidad and Tobago",
ISNUMBER(SEARCH("rn""&gt;Serbia and Montenegro",S564)),"Serbia and Montenegro",
ISNUMBER(SEARCH(_xlfn.UNICHAR(65533),S564)),"Côte d'Ivoire",
TRUE,""
)</f>
        <v/>
      </c>
      <c r="W564" s="30" t="str">
        <f t="shared" si="52"/>
        <v>South Korea</v>
      </c>
      <c r="Z564" s="40" t="str">
        <v>Stade de Gerland</v>
      </c>
      <c r="AA564" s="40" t="str" cm="1">
        <f t="array" ref="AA564">IFERROR(_xlfn.XLOOKUP(Z564,_xlfn.ANCHORARRAY(Z$31),AA$31:AA$37),Z564)</f>
        <v>Stade de Gerland</v>
      </c>
      <c r="AB564" s="42" t="str">
        <v xml:space="preserve">Lyon </v>
      </c>
      <c r="AC564" s="89" t="str">
        <f t="shared" si="53"/>
        <v xml:space="preserve">Lyon </v>
      </c>
      <c r="AE564" s="42">
        <v>1994</v>
      </c>
      <c r="AK564" s="42">
        <v>2</v>
      </c>
      <c r="AL564" s="42">
        <v>1</v>
      </c>
      <c r="AW564" s="89" t="str">
        <v>GROUP_STAGE</v>
      </c>
      <c r="BE564" s="43" t="str">
        <f>IF(OR(DATA_CLEANED!AL555="",DATA_CLEANED!AM555=""),"MANQUANT",IF(OR(NOT(ISNUMBER(DATA_CLEANED!AL555)),NOT(ISNUMBER(DATA_CLEANED!AM555))),"ENTREE INVALIDE",IF(OR(DATA_CLEANED!AL555&lt;0,DATA_CLEANED!AM555&lt;0),"SCORE NEGATIF","OK")))</f>
        <v>OK</v>
      </c>
      <c r="BF564" s="43" t="str">
        <f>IF(DATA_CLEANED!AK555&lt;&gt;DATA_CLEANED!AN555,"OK","ERREUR")</f>
        <v>OK</v>
      </c>
      <c r="BG564" s="43" t="str">
        <f>IF(DATA_CLEANED!AL555&gt;DATA_CLEANED!AM555,DATA_CLEANED!AK555,IF(AND(DATA_QUALITE!W5041="-",DATA_CLEANED!AM555=DATA_CLEANED!AL555),"MATCH NUL",IF(AND(DATA_QUALITE!V5041="-",DATA_QUALITE!U5041="AUCUNE"),DATA_QUALITE!T5041,IF(DATA_QUALITE!V5041&lt;&gt;"-",DATA_QUALITE!V5041,DATA_CLEANED!AN555))))</f>
        <v>France</v>
      </c>
      <c r="BH564" s="103" t="str">
        <f>IF(AND(BG564="MATCH NUL",DATA_CLEANED!AO555="-"),"MATCH_NUL",IF(ISNUMBER(SEARCH("win on penalties",W5041)),"WIN_BY_PENALTY",IF(ISNUMBER(SEARCH("win after extra time",W5041)),"WIN_BY_EXTRA_TIME",IF(ISNUMBER(SEARCH("Golden Goal",W5041)),"WIN_BY_GOLDEN_GOAL","WIN_BY_SCORE"))))</f>
        <v>WIN_BY_SCORE</v>
      </c>
      <c r="BI564" s="99" t="str">
        <f>IF(OR(BG564=DATA_CLEANED!AK555,BG564=DATA_CLEANED!AN555,BG564="MATCH NUL"),"OK","ERREUR")</f>
        <v>OK</v>
      </c>
    </row>
    <row r="565" spans="2:61">
      <c r="B565" s="75">
        <v>128</v>
      </c>
      <c r="C565" s="15" t="str">
        <v>Edin Džeko</v>
      </c>
      <c r="D565" s="15">
        <v>40</v>
      </c>
      <c r="E565" s="15" t="str">
        <v>Bosnia and Herzegovina</v>
      </c>
      <c r="F565" s="15" t="str">
        <v>ST</v>
      </c>
      <c r="G565" s="15" t="str">
        <v>Schalke 04</v>
      </c>
      <c r="H565" s="15">
        <v>11</v>
      </c>
      <c r="I565" s="15" t="str">
        <f t="shared" si="49"/>
        <v>128|Edin Džeko|40|Bosnia and Herzegovina|ST|Schalke 04|11</v>
      </c>
      <c r="J565" s="15" t="str">
        <f>IF(COUNTIF(I$438:I565,I565)&gt;1,"DOUBLON","OK")</f>
        <v>OK</v>
      </c>
      <c r="S565" s="30" t="str">
        <v>South Korea</v>
      </c>
      <c r="T565" s="30" t="str">
        <f t="shared" si="50"/>
        <v>OK</v>
      </c>
      <c r="U565" s="30" t="str">
        <f t="shared" si="51"/>
        <v>-</v>
      </c>
      <c r="V565" s="30" t="str" cm="1">
        <f t="array" ref="V565">_xlfn.IFS(
ISNUMBER(SEARCH("USA",S565)),"United States",
ISNUMBER(SEARCH("Republic of Korea",S565)),"South Korea",
ISNUMBER(SEARCH("Cape Verde",S565)),"Cabo Verde",
ISNUMBER(SEARCH("Czechia",S565)),"Czech Republic",
ISNUMBER(SEARCH("Türkiye",S565)),"Turkey",
ISNUMBER(SEARCH("Ivory Coast",S565)),"Côte d'Ivoire",
ISNUMBER(SEARCH("Korea Republic",S565)),"South Korea",
ISNUMBER(SEARCH("Germany FR",S565)),"FR Germany",
ISNUMBER(SEARCH("West Germany",S565)),"FR Germany",
ISNUMBER(SEARCH("Germany DR",S565)),"DR Germany",
ISNUMBER(SEARCH("Korea DPR",S565)),"North Korea",
ISNUMBER(SEARCH("China PR",S565)),"China",
ISNUMBER(SEARCH("IR Iran",S565)),"Iran",
ISNUMBER(SEARCH("Congo DR",S565)),"Democratic Republic of the Congo",
ISNUMBER(SEARCH("DR Congo",S565)),"Democratic Republic of the Congo",
ISNUMBER(SEARCH("German DR",S565)),"DR Germany",
ISNUMBER(SEARCH("rn""&gt;United Arab Emirates",S565)),"United Arab Emirates",
ISNUMBER(SEARCH("rn""&gt;Republic of Ireland",S565)),"Ireland",
ISNUMBER(SEARCH("rn""&gt;Bosnia and Herzegovina",S565)),"Bosnia and Herzegovina",
ISNUMBER(SEARCH("rn""&gt;Trinidad and Tobago",S565)),"Trinidad and Tobago",
ISNUMBER(SEARCH("rn""&gt;Serbia and Montenegro",S565)),"Serbia and Montenegro",
ISNUMBER(SEARCH(_xlfn.UNICHAR(65533),S565)),"Côte d'Ivoire",
TRUE,""
)</f>
        <v/>
      </c>
      <c r="W565" s="30" t="str">
        <f t="shared" si="52"/>
        <v>South Korea</v>
      </c>
      <c r="Z565" s="40" t="str">
        <v>Stade de France</v>
      </c>
      <c r="AA565" s="40" t="str" cm="1">
        <f t="array" ref="AA565">IFERROR(_xlfn.XLOOKUP(Z565,_xlfn.ANCHORARRAY(Z$31),AA$31:AA$37),Z565)</f>
        <v>Stade de France</v>
      </c>
      <c r="AB565" s="42" t="str">
        <v xml:space="preserve">Saint-Denis </v>
      </c>
      <c r="AC565" s="89" t="str">
        <f t="shared" si="53"/>
        <v xml:space="preserve">Saint-Denis </v>
      </c>
      <c r="AE565" s="42">
        <v>1994</v>
      </c>
      <c r="AK565" s="42">
        <v>3</v>
      </c>
      <c r="AL565" s="42">
        <v>1</v>
      </c>
      <c r="AW565" s="89" t="str">
        <v>GROUP_STAGE</v>
      </c>
      <c r="BE565" s="43" t="str">
        <f>IF(OR(DATA_CLEANED!AL556="",DATA_CLEANED!AM556=""),"MANQUANT",IF(OR(NOT(ISNUMBER(DATA_CLEANED!AL556)),NOT(ISNUMBER(DATA_CLEANED!AM556))),"ENTREE INVALIDE",IF(OR(DATA_CLEANED!AL556&lt;0,DATA_CLEANED!AM556&lt;0),"SCORE NEGATIF","OK")))</f>
        <v>OK</v>
      </c>
      <c r="BF565" s="43" t="str">
        <f>IF(DATA_CLEANED!AK556&lt;&gt;DATA_CLEANED!AN556,"OK","ERREUR")</f>
        <v>OK</v>
      </c>
      <c r="BG565" s="43" t="str">
        <f>IF(DATA_CLEANED!AL556&gt;DATA_CLEANED!AM556,DATA_CLEANED!AK556,IF(AND(DATA_QUALITE!W5042="-",DATA_CLEANED!AM556=DATA_CLEANED!AL556),"MATCH NUL",IF(AND(DATA_QUALITE!V5042="-",DATA_QUALITE!U5042="AUCUNE"),DATA_QUALITE!T5042,IF(DATA_QUALITE!V5042&lt;&gt;"-",DATA_QUALITE!V5042,DATA_CLEANED!AN556))))</f>
        <v>MATCH NUL</v>
      </c>
      <c r="BH565" s="103" t="str">
        <f>IF(AND(BG565="MATCH NUL",DATA_CLEANED!AO556="-"),"MATCH_NUL",IF(ISNUMBER(SEARCH("win on penalties",W5042)),"WIN_BY_PENALTY",IF(ISNUMBER(SEARCH("win after extra time",W5042)),"WIN_BY_EXTRA_TIME",IF(ISNUMBER(SEARCH("Golden Goal",W5042)),"WIN_BY_GOLDEN_GOAL","WIN_BY_SCORE"))))</f>
        <v>MATCH_NUL</v>
      </c>
      <c r="BI565" s="99" t="str">
        <f>IF(OR(BG565=DATA_CLEANED!AK556,BG565=DATA_CLEANED!AN556,BG565="MATCH NUL"),"OK","ERREUR")</f>
        <v>OK</v>
      </c>
    </row>
    <row r="566" spans="2:61">
      <c r="B566" s="75">
        <v>129</v>
      </c>
      <c r="C566" s="15" t="str">
        <v>Haris Tabaković</v>
      </c>
      <c r="D566" s="15">
        <v>31</v>
      </c>
      <c r="E566" s="15" t="str">
        <v>Bosnia and Herzegovina</v>
      </c>
      <c r="F566" s="15" t="str">
        <v>ST</v>
      </c>
      <c r="G566" s="15" t="str">
        <v>Borussia Mönchengladbach</v>
      </c>
      <c r="H566" s="15">
        <v>23</v>
      </c>
      <c r="I566" s="15" t="str">
        <f t="shared" si="49"/>
        <v>129|Haris Tabaković|31|Bosnia and Herzegovina|ST|Borussia Mönchengladbach|23</v>
      </c>
      <c r="J566" s="15" t="str">
        <f>IF(COUNTIF(I$438:I566,I566)&gt;1,"DOUBLON","OK")</f>
        <v>OK</v>
      </c>
      <c r="S566" s="30" t="str">
        <v>Switzerland</v>
      </c>
      <c r="T566" s="30" t="str">
        <f t="shared" si="50"/>
        <v>OK</v>
      </c>
      <c r="U566" s="30" t="str">
        <f t="shared" si="51"/>
        <v>-</v>
      </c>
      <c r="V566" s="30" t="str" cm="1">
        <f t="array" ref="V566">_xlfn.IFS(
ISNUMBER(SEARCH("USA",S566)),"United States",
ISNUMBER(SEARCH("Republic of Korea",S566)),"South Korea",
ISNUMBER(SEARCH("Cape Verde",S566)),"Cabo Verde",
ISNUMBER(SEARCH("Czechia",S566)),"Czech Republic",
ISNUMBER(SEARCH("Türkiye",S566)),"Turkey",
ISNUMBER(SEARCH("Ivory Coast",S566)),"Côte d'Ivoire",
ISNUMBER(SEARCH("Korea Republic",S566)),"South Korea",
ISNUMBER(SEARCH("Germany FR",S566)),"FR Germany",
ISNUMBER(SEARCH("West Germany",S566)),"FR Germany",
ISNUMBER(SEARCH("Germany DR",S566)),"DR Germany",
ISNUMBER(SEARCH("Korea DPR",S566)),"North Korea",
ISNUMBER(SEARCH("China PR",S566)),"China",
ISNUMBER(SEARCH("IR Iran",S566)),"Iran",
ISNUMBER(SEARCH("Congo DR",S566)),"Democratic Republic of the Congo",
ISNUMBER(SEARCH("DR Congo",S566)),"Democratic Republic of the Congo",
ISNUMBER(SEARCH("German DR",S566)),"DR Germany",
ISNUMBER(SEARCH("rn""&gt;United Arab Emirates",S566)),"United Arab Emirates",
ISNUMBER(SEARCH("rn""&gt;Republic of Ireland",S566)),"Ireland",
ISNUMBER(SEARCH("rn""&gt;Bosnia and Herzegovina",S566)),"Bosnia and Herzegovina",
ISNUMBER(SEARCH("rn""&gt;Trinidad and Tobago",S566)),"Trinidad and Tobago",
ISNUMBER(SEARCH("rn""&gt;Serbia and Montenegro",S566)),"Serbia and Montenegro",
ISNUMBER(SEARCH(_xlfn.UNICHAR(65533),S566)),"Côte d'Ivoire",
TRUE,""
)</f>
        <v/>
      </c>
      <c r="W566" s="30" t="str">
        <f t="shared" si="52"/>
        <v>Switzerland</v>
      </c>
      <c r="Z566" s="40" t="str">
        <v>Stade Municipal</v>
      </c>
      <c r="AA566" s="40" t="str" cm="1">
        <f t="array" ref="AA566">IFERROR(_xlfn.XLOOKUP(Z566,_xlfn.ANCHORARRAY(Z$31),AA$31:AA$37),Z566)</f>
        <v>Stade Municipal</v>
      </c>
      <c r="AB566" s="42" t="str">
        <v xml:space="preserve">Toulouse </v>
      </c>
      <c r="AC566" s="89" t="str">
        <f t="shared" si="53"/>
        <v xml:space="preserve">Toulouse </v>
      </c>
      <c r="AE566" s="42">
        <v>1994</v>
      </c>
      <c r="AK566" s="42">
        <v>3</v>
      </c>
      <c r="AL566" s="42">
        <v>0</v>
      </c>
      <c r="AW566" s="89" t="str">
        <v>GROUP_STAGE</v>
      </c>
      <c r="BE566" s="43" t="str">
        <f>IF(OR(DATA_CLEANED!AL557="",DATA_CLEANED!AM557=""),"MANQUANT",IF(OR(NOT(ISNUMBER(DATA_CLEANED!AL557)),NOT(ISNUMBER(DATA_CLEANED!AM557))),"ENTREE INVALIDE",IF(OR(DATA_CLEANED!AL557&lt;0,DATA_CLEANED!AM557&lt;0),"SCORE NEGATIF","OK")))</f>
        <v>OK</v>
      </c>
      <c r="BF566" s="43" t="str">
        <f>IF(DATA_CLEANED!AK557&lt;&gt;DATA_CLEANED!AN557,"OK","ERREUR")</f>
        <v>OK</v>
      </c>
      <c r="BG566" s="43" t="str">
        <f>IF(DATA_CLEANED!AL557&gt;DATA_CLEANED!AM557,DATA_CLEANED!AK557,IF(AND(DATA_QUALITE!W5043="-",DATA_CLEANED!AM557=DATA_CLEANED!AL557),"MATCH NUL",IF(AND(DATA_QUALITE!V5043="-",DATA_QUALITE!U5043="AUCUNE"),DATA_QUALITE!T5043,IF(DATA_QUALITE!V5043&lt;&gt;"-",DATA_QUALITE!V5043,DATA_CLEANED!AN557))))</f>
        <v>Spain</v>
      </c>
      <c r="BH566" s="103" t="str">
        <f>IF(AND(BG566="MATCH NUL",DATA_CLEANED!AO557="-"),"MATCH_NUL",IF(ISNUMBER(SEARCH("win on penalties",W5043)),"WIN_BY_PENALTY",IF(ISNUMBER(SEARCH("win after extra time",W5043)),"WIN_BY_EXTRA_TIME",IF(ISNUMBER(SEARCH("Golden Goal",W5043)),"WIN_BY_GOLDEN_GOAL","WIN_BY_SCORE"))))</f>
        <v>WIN_BY_SCORE</v>
      </c>
      <c r="BI566" s="99" t="str">
        <f>IF(OR(BG566=DATA_CLEANED!AK557,BG566=DATA_CLEANED!AN557,BG566="MATCH NUL"),"OK","ERREUR")</f>
        <v>OK</v>
      </c>
    </row>
    <row r="567" spans="2:61">
      <c r="B567" s="75">
        <v>130</v>
      </c>
      <c r="C567" s="15" t="str">
        <v>Jovo Lukić</v>
      </c>
      <c r="D567" s="15">
        <v>27</v>
      </c>
      <c r="E567" s="15" t="str">
        <v>Bosnia and Herzegovina</v>
      </c>
      <c r="F567" s="15" t="str">
        <v>ST</v>
      </c>
      <c r="G567" s="15" t="str">
        <v>Universitatea Cluj</v>
      </c>
      <c r="H567" s="15">
        <v>25</v>
      </c>
      <c r="I567" s="15" t="str">
        <f t="shared" ref="I567:I630" si="54">B567&amp;"|"&amp;C567&amp;"|"&amp;D567&amp;"|"&amp;E567&amp;"|"&amp;F567&amp;"|"&amp;G567&amp;"|"&amp;H567</f>
        <v>130|Jovo Lukić|27|Bosnia and Herzegovina|ST|Universitatea Cluj|25</v>
      </c>
      <c r="J567" s="15" t="str">
        <f>IF(COUNTIF(I$438:I567,I567)&gt;1,"DOUBLON","OK")</f>
        <v>OK</v>
      </c>
      <c r="S567" s="30" t="str">
        <v>Switzerland</v>
      </c>
      <c r="T567" s="30" t="str">
        <f t="shared" si="50"/>
        <v>OK</v>
      </c>
      <c r="U567" s="30" t="str">
        <f t="shared" si="51"/>
        <v>-</v>
      </c>
      <c r="V567" s="30" t="str" cm="1">
        <f t="array" ref="V567">_xlfn.IFS(
ISNUMBER(SEARCH("USA",S567)),"United States",
ISNUMBER(SEARCH("Republic of Korea",S567)),"South Korea",
ISNUMBER(SEARCH("Cape Verde",S567)),"Cabo Verde",
ISNUMBER(SEARCH("Czechia",S567)),"Czech Republic",
ISNUMBER(SEARCH("Türkiye",S567)),"Turkey",
ISNUMBER(SEARCH("Ivory Coast",S567)),"Côte d'Ivoire",
ISNUMBER(SEARCH("Korea Republic",S567)),"South Korea",
ISNUMBER(SEARCH("Germany FR",S567)),"FR Germany",
ISNUMBER(SEARCH("West Germany",S567)),"FR Germany",
ISNUMBER(SEARCH("Germany DR",S567)),"DR Germany",
ISNUMBER(SEARCH("Korea DPR",S567)),"North Korea",
ISNUMBER(SEARCH("China PR",S567)),"China",
ISNUMBER(SEARCH("IR Iran",S567)),"Iran",
ISNUMBER(SEARCH("Congo DR",S567)),"Democratic Republic of the Congo",
ISNUMBER(SEARCH("DR Congo",S567)),"Democratic Republic of the Congo",
ISNUMBER(SEARCH("German DR",S567)),"DR Germany",
ISNUMBER(SEARCH("rn""&gt;United Arab Emirates",S567)),"United Arab Emirates",
ISNUMBER(SEARCH("rn""&gt;Republic of Ireland",S567)),"Ireland",
ISNUMBER(SEARCH("rn""&gt;Bosnia and Herzegovina",S567)),"Bosnia and Herzegovina",
ISNUMBER(SEARCH("rn""&gt;Trinidad and Tobago",S567)),"Trinidad and Tobago",
ISNUMBER(SEARCH("rn""&gt;Serbia and Montenegro",S567)),"Serbia and Montenegro",
ISNUMBER(SEARCH(_xlfn.UNICHAR(65533),S567)),"Côte d'Ivoire",
TRUE,""
)</f>
        <v/>
      </c>
      <c r="W567" s="30" t="str">
        <f t="shared" si="52"/>
        <v>Switzerland</v>
      </c>
      <c r="Z567" s="40" t="str">
        <v>Stade Geoffroy Guichard</v>
      </c>
      <c r="AA567" s="40" t="str" cm="1">
        <f t="array" ref="AA567">IFERROR(_xlfn.XLOOKUP(Z567,_xlfn.ANCHORARRAY(Z$31),AA$31:AA$37),Z567)</f>
        <v>Stade Geoffroy Guichard</v>
      </c>
      <c r="AB567" s="42" t="str">
        <v xml:space="preserve">Saint-Etienne </v>
      </c>
      <c r="AC567" s="89" t="str">
        <f t="shared" si="53"/>
        <v xml:space="preserve">Saint-Etienne </v>
      </c>
      <c r="AE567" s="42">
        <v>1994</v>
      </c>
      <c r="AK567" s="42">
        <v>1</v>
      </c>
      <c r="AL567" s="42">
        <v>0</v>
      </c>
      <c r="AW567" s="89" t="str">
        <v>GROUP_STAGE</v>
      </c>
      <c r="BE567" s="43" t="str">
        <f>IF(OR(DATA_CLEANED!AL558="",DATA_CLEANED!AM558=""),"MANQUANT",IF(OR(NOT(ISNUMBER(DATA_CLEANED!AL558)),NOT(ISNUMBER(DATA_CLEANED!AM558))),"ENTREE INVALIDE",IF(OR(DATA_CLEANED!AL558&lt;0,DATA_CLEANED!AM558&lt;0),"SCORE NEGATIF","OK")))</f>
        <v>OK</v>
      </c>
      <c r="BF567" s="43" t="str">
        <f>IF(DATA_CLEANED!AK558&lt;&gt;DATA_CLEANED!AN558,"OK","ERREUR")</f>
        <v>OK</v>
      </c>
      <c r="BG567" s="43" t="str">
        <f>IF(DATA_CLEANED!AL558&gt;DATA_CLEANED!AM558,DATA_CLEANED!AK558,IF(AND(DATA_QUALITE!W5044="-",DATA_CLEANED!AM558=DATA_CLEANED!AL558),"MATCH NUL",IF(AND(DATA_QUALITE!V5044="-",DATA_QUALITE!U5044="AUCUNE"),DATA_QUALITE!T5044,IF(DATA_QUALITE!V5044&lt;&gt;"-",DATA_QUALITE!V5044,DATA_CLEANED!AN558))))</f>
        <v>Paraguay</v>
      </c>
      <c r="BH567" s="103" t="str">
        <f>IF(AND(BG567="MATCH NUL",DATA_CLEANED!AO558="-"),"MATCH_NUL",IF(ISNUMBER(SEARCH("win on penalties",W5044)),"WIN_BY_PENALTY",IF(ISNUMBER(SEARCH("win after extra time",W5044)),"WIN_BY_EXTRA_TIME",IF(ISNUMBER(SEARCH("Golden Goal",W5044)),"WIN_BY_GOLDEN_GOAL","WIN_BY_SCORE"))))</f>
        <v>WIN_BY_SCORE</v>
      </c>
      <c r="BI567" s="99" t="str">
        <f>IF(OR(BG567=DATA_CLEANED!AK558,BG567=DATA_CLEANED!AN558,BG567="MATCH NUL"),"OK","ERREUR")</f>
        <v>OK</v>
      </c>
    </row>
    <row r="568" spans="2:61">
      <c r="B568" s="75">
        <v>131</v>
      </c>
      <c r="C568" s="15" t="str">
        <v>Dayne St. Clair</v>
      </c>
      <c r="D568" s="15">
        <v>29</v>
      </c>
      <c r="E568" s="15" t="str">
        <v>Canada</v>
      </c>
      <c r="F568" s="15" t="str">
        <v>GK</v>
      </c>
      <c r="G568" s="15" t="str">
        <v>Inter Miami CF</v>
      </c>
      <c r="H568" s="15">
        <v>1</v>
      </c>
      <c r="I568" s="15" t="str">
        <f t="shared" si="54"/>
        <v>131|Dayne St. Clair|29|Canada|GK|Inter Miami CF|1</v>
      </c>
      <c r="J568" s="15" t="str">
        <f>IF(COUNTIF(I$438:I568,I568)&gt;1,"DOUBLON","OK")</f>
        <v>OK</v>
      </c>
      <c r="S568" s="30" t="str">
        <v>Switzerland</v>
      </c>
      <c r="T568" s="30" t="str">
        <f t="shared" si="50"/>
        <v>OK</v>
      </c>
      <c r="U568" s="30" t="str">
        <f t="shared" si="51"/>
        <v>-</v>
      </c>
      <c r="V568" s="30" t="str" cm="1">
        <f t="array" ref="V568">_xlfn.IFS(
ISNUMBER(SEARCH("USA",S568)),"United States",
ISNUMBER(SEARCH("Republic of Korea",S568)),"South Korea",
ISNUMBER(SEARCH("Cape Verde",S568)),"Cabo Verde",
ISNUMBER(SEARCH("Czechia",S568)),"Czech Republic",
ISNUMBER(SEARCH("Türkiye",S568)),"Turkey",
ISNUMBER(SEARCH("Ivory Coast",S568)),"Côte d'Ivoire",
ISNUMBER(SEARCH("Korea Republic",S568)),"South Korea",
ISNUMBER(SEARCH("Germany FR",S568)),"FR Germany",
ISNUMBER(SEARCH("West Germany",S568)),"FR Germany",
ISNUMBER(SEARCH("Germany DR",S568)),"DR Germany",
ISNUMBER(SEARCH("Korea DPR",S568)),"North Korea",
ISNUMBER(SEARCH("China PR",S568)),"China",
ISNUMBER(SEARCH("IR Iran",S568)),"Iran",
ISNUMBER(SEARCH("Congo DR",S568)),"Democratic Republic of the Congo",
ISNUMBER(SEARCH("DR Congo",S568)),"Democratic Republic of the Congo",
ISNUMBER(SEARCH("German DR",S568)),"DR Germany",
ISNUMBER(SEARCH("rn""&gt;United Arab Emirates",S568)),"United Arab Emirates",
ISNUMBER(SEARCH("rn""&gt;Republic of Ireland",S568)),"Ireland",
ISNUMBER(SEARCH("rn""&gt;Bosnia and Herzegovina",S568)),"Bosnia and Herzegovina",
ISNUMBER(SEARCH("rn""&gt;Trinidad and Tobago",S568)),"Trinidad and Tobago",
ISNUMBER(SEARCH("rn""&gt;Serbia and Montenegro",S568)),"Serbia and Montenegro",
ISNUMBER(SEARCH(_xlfn.UNICHAR(65533),S568)),"Côte d'Ivoire",
TRUE,""
)</f>
        <v/>
      </c>
      <c r="W568" s="30" t="str">
        <f t="shared" si="52"/>
        <v>Switzerland</v>
      </c>
      <c r="Z568" s="40" t="str">
        <v>Stade Felix Bollaert</v>
      </c>
      <c r="AA568" s="40" t="str" cm="1">
        <f t="array" ref="AA568">IFERROR(_xlfn.XLOOKUP(Z568,_xlfn.ANCHORARRAY(Z$31),AA$31:AA$37),Z568)</f>
        <v>Stade Felix Bollaert</v>
      </c>
      <c r="AB568" s="42" t="str">
        <v xml:space="preserve">Lens </v>
      </c>
      <c r="AC568" s="89" t="str">
        <f t="shared" si="53"/>
        <v xml:space="preserve">Lens </v>
      </c>
      <c r="AE568" s="42">
        <v>1994</v>
      </c>
      <c r="AK568" s="42">
        <v>2</v>
      </c>
      <c r="AL568" s="42">
        <v>1</v>
      </c>
      <c r="AW568" s="89" t="str">
        <v>GROUP_STAGE</v>
      </c>
      <c r="BE568" s="43" t="str">
        <f>IF(OR(DATA_CLEANED!AL559="",DATA_CLEANED!AM559=""),"MANQUANT",IF(OR(NOT(ISNUMBER(DATA_CLEANED!AL559)),NOT(ISNUMBER(DATA_CLEANED!AM559))),"ENTREE INVALIDE",IF(OR(DATA_CLEANED!AL559&lt;0,DATA_CLEANED!AM559&lt;0),"SCORE NEGATIF","OK")))</f>
        <v>OK</v>
      </c>
      <c r="BF568" s="43" t="str">
        <f>IF(DATA_CLEANED!AK559&lt;&gt;DATA_CLEANED!AN559,"OK","ERREUR")</f>
        <v>OK</v>
      </c>
      <c r="BG568" s="43" t="str">
        <f>IF(DATA_CLEANED!AL559&gt;DATA_CLEANED!AM559,DATA_CLEANED!AK559,IF(AND(DATA_QUALITE!W5045="-",DATA_CLEANED!AM559=DATA_CLEANED!AL559),"MATCH NUL",IF(AND(DATA_QUALITE!V5045="-",DATA_QUALITE!U5045="AUCUNE"),DATA_QUALITE!T5045,IF(DATA_QUALITE!V5045&lt;&gt;"-",DATA_QUALITE!V5045,DATA_CLEANED!AN559))))</f>
        <v>MATCH NUL</v>
      </c>
      <c r="BH568" s="103" t="str">
        <f>IF(AND(BG568="MATCH NUL",DATA_CLEANED!AO559="-"),"MATCH_NUL",IF(ISNUMBER(SEARCH("win on penalties",W5045)),"WIN_BY_PENALTY",IF(ISNUMBER(SEARCH("win after extra time",W5045)),"WIN_BY_EXTRA_TIME",IF(ISNUMBER(SEARCH("Golden Goal",W5045)),"WIN_BY_GOLDEN_GOAL","WIN_BY_SCORE"))))</f>
        <v>MATCH_NUL</v>
      </c>
      <c r="BI568" s="99" t="str">
        <f>IF(OR(BG568=DATA_CLEANED!AK559,BG568=DATA_CLEANED!AN559,BG568="MATCH NUL"),"OK","ERREUR")</f>
        <v>OK</v>
      </c>
    </row>
    <row r="569" spans="2:61">
      <c r="B569" s="75">
        <v>132</v>
      </c>
      <c r="C569" s="15" t="str">
        <v>Maxime Crépeau</v>
      </c>
      <c r="D569" s="15">
        <v>32</v>
      </c>
      <c r="E569" s="15" t="str">
        <v>Canada</v>
      </c>
      <c r="F569" s="15" t="str">
        <v>GK</v>
      </c>
      <c r="G569" s="15" t="str">
        <v>Orlando City SC</v>
      </c>
      <c r="H569" s="15">
        <v>16</v>
      </c>
      <c r="I569" s="15" t="str">
        <f t="shared" si="54"/>
        <v>132|Maxime Crépeau|32|Canada|GK|Orlando City SC|16</v>
      </c>
      <c r="J569" s="15" t="str">
        <f>IF(COUNTIF(I$438:I569,I569)&gt;1,"DOUBLON","OK")</f>
        <v>OK</v>
      </c>
      <c r="S569" s="30" t="str">
        <v>Switzerland</v>
      </c>
      <c r="T569" s="30" t="str">
        <f t="shared" si="50"/>
        <v>OK</v>
      </c>
      <c r="U569" s="30" t="str">
        <f t="shared" si="51"/>
        <v>-</v>
      </c>
      <c r="V569" s="30" t="str" cm="1">
        <f t="array" ref="V569">_xlfn.IFS(
ISNUMBER(SEARCH("USA",S569)),"United States",
ISNUMBER(SEARCH("Republic of Korea",S569)),"South Korea",
ISNUMBER(SEARCH("Cape Verde",S569)),"Cabo Verde",
ISNUMBER(SEARCH("Czechia",S569)),"Czech Republic",
ISNUMBER(SEARCH("Türkiye",S569)),"Turkey",
ISNUMBER(SEARCH("Ivory Coast",S569)),"Côte d'Ivoire",
ISNUMBER(SEARCH("Korea Republic",S569)),"South Korea",
ISNUMBER(SEARCH("Germany FR",S569)),"FR Germany",
ISNUMBER(SEARCH("West Germany",S569)),"FR Germany",
ISNUMBER(SEARCH("Germany DR",S569)),"DR Germany",
ISNUMBER(SEARCH("Korea DPR",S569)),"North Korea",
ISNUMBER(SEARCH("China PR",S569)),"China",
ISNUMBER(SEARCH("IR Iran",S569)),"Iran",
ISNUMBER(SEARCH("Congo DR",S569)),"Democratic Republic of the Congo",
ISNUMBER(SEARCH("DR Congo",S569)),"Democratic Republic of the Congo",
ISNUMBER(SEARCH("German DR",S569)),"DR Germany",
ISNUMBER(SEARCH("rn""&gt;United Arab Emirates",S569)),"United Arab Emirates",
ISNUMBER(SEARCH("rn""&gt;Republic of Ireland",S569)),"Ireland",
ISNUMBER(SEARCH("rn""&gt;Bosnia and Herzegovina",S569)),"Bosnia and Herzegovina",
ISNUMBER(SEARCH("rn""&gt;Trinidad and Tobago",S569)),"Trinidad and Tobago",
ISNUMBER(SEARCH("rn""&gt;Serbia and Montenegro",S569)),"Serbia and Montenegro",
ISNUMBER(SEARCH(_xlfn.UNICHAR(65533),S569)),"Côte d'Ivoire",
TRUE,""
)</f>
        <v/>
      </c>
      <c r="W569" s="30" t="str">
        <f t="shared" si="52"/>
        <v>Switzerland</v>
      </c>
      <c r="Z569" s="40" t="str">
        <v>Stade V�lodrome</v>
      </c>
      <c r="AA569" s="40" t="str" cm="1">
        <f t="array" ref="AA569">IFERROR(_xlfn.XLOOKUP(Z569,_xlfn.ANCHORARRAY(Z$31),AA$31:AA$37),Z569)</f>
        <v>Stade Vélodrome</v>
      </c>
      <c r="AB569" s="42" t="str">
        <v xml:space="preserve">Marseilles </v>
      </c>
      <c r="AC569" s="89" t="str">
        <f t="shared" si="53"/>
        <v xml:space="preserve">Marseilles </v>
      </c>
      <c r="AE569" s="42">
        <v>1994</v>
      </c>
      <c r="AK569" s="42">
        <v>2</v>
      </c>
      <c r="AL569" s="42">
        <v>1</v>
      </c>
      <c r="AW569" s="89" t="str">
        <v>GROUP_STAGE</v>
      </c>
      <c r="BE569" s="43" t="str">
        <f>IF(OR(DATA_CLEANED!AL560="",DATA_CLEANED!AM560=""),"MANQUANT",IF(OR(NOT(ISNUMBER(DATA_CLEANED!AL560)),NOT(ISNUMBER(DATA_CLEANED!AM560))),"ENTREE INVALIDE",IF(OR(DATA_CLEANED!AL560&lt;0,DATA_CLEANED!AM560&lt;0),"SCORE NEGATIF","OK")))</f>
        <v>OK</v>
      </c>
      <c r="BF569" s="43" t="str">
        <f>IF(DATA_CLEANED!AK560&lt;&gt;DATA_CLEANED!AN560,"OK","ERREUR")</f>
        <v>OK</v>
      </c>
      <c r="BG569" s="43" t="str">
        <f>IF(DATA_CLEANED!AL560&gt;DATA_CLEANED!AM560,DATA_CLEANED!AK560,IF(AND(DATA_QUALITE!W5046="-",DATA_CLEANED!AM560=DATA_CLEANED!AL560),"MATCH NUL",IF(AND(DATA_QUALITE!V5046="-",DATA_QUALITE!U5046="AUCUNE"),DATA_QUALITE!T5046,IF(DATA_QUALITE!V5046&lt;&gt;"-",DATA_QUALITE!V5046,DATA_CLEANED!AN560))))</f>
        <v>MATCH NUL</v>
      </c>
      <c r="BH569" s="103" t="str">
        <f>IF(AND(BG569="MATCH NUL",DATA_CLEANED!AO560="-"),"MATCH_NUL",IF(ISNUMBER(SEARCH("win on penalties",W5046)),"WIN_BY_PENALTY",IF(ISNUMBER(SEARCH("win after extra time",W5046)),"WIN_BY_EXTRA_TIME",IF(ISNUMBER(SEARCH("Golden Goal",W5046)),"WIN_BY_GOLDEN_GOAL","WIN_BY_SCORE"))))</f>
        <v>MATCH_NUL</v>
      </c>
      <c r="BI569" s="99" t="str">
        <f>IF(OR(BG569=DATA_CLEANED!AK560,BG569=DATA_CLEANED!AN560,BG569="MATCH NUL"),"OK","ERREUR")</f>
        <v>OK</v>
      </c>
    </row>
    <row r="570" spans="2:61">
      <c r="B570" s="75">
        <v>133</v>
      </c>
      <c r="C570" s="15" t="str">
        <v>Owen Goodman</v>
      </c>
      <c r="D570" s="15">
        <v>22</v>
      </c>
      <c r="E570" s="15" t="str">
        <v>Canada</v>
      </c>
      <c r="F570" s="15" t="str">
        <v>GK</v>
      </c>
      <c r="G570" s="15" t="str">
        <v>Barnsley</v>
      </c>
      <c r="H570" s="15">
        <v>18</v>
      </c>
      <c r="I570" s="15" t="str">
        <f t="shared" si="54"/>
        <v>133|Owen Goodman|22|Canada|GK|Barnsley|18</v>
      </c>
      <c r="J570" s="15" t="str">
        <f>IF(COUNTIF(I$438:I570,I570)&gt;1,"DOUBLON","OK")</f>
        <v>OK</v>
      </c>
      <c r="S570" s="30" t="str">
        <v>Switzerland</v>
      </c>
      <c r="T570" s="30" t="str">
        <f t="shared" si="50"/>
        <v>OK</v>
      </c>
      <c r="U570" s="30" t="str">
        <f t="shared" si="51"/>
        <v>-</v>
      </c>
      <c r="V570" s="30" t="str" cm="1">
        <f t="array" ref="V570">_xlfn.IFS(
ISNUMBER(SEARCH("USA",S570)),"United States",
ISNUMBER(SEARCH("Republic of Korea",S570)),"South Korea",
ISNUMBER(SEARCH("Cape Verde",S570)),"Cabo Verde",
ISNUMBER(SEARCH("Czechia",S570)),"Czech Republic",
ISNUMBER(SEARCH("Türkiye",S570)),"Turkey",
ISNUMBER(SEARCH("Ivory Coast",S570)),"Côte d'Ivoire",
ISNUMBER(SEARCH("Korea Republic",S570)),"South Korea",
ISNUMBER(SEARCH("Germany FR",S570)),"FR Germany",
ISNUMBER(SEARCH("West Germany",S570)),"FR Germany",
ISNUMBER(SEARCH("Germany DR",S570)),"DR Germany",
ISNUMBER(SEARCH("Korea DPR",S570)),"North Korea",
ISNUMBER(SEARCH("China PR",S570)),"China",
ISNUMBER(SEARCH("IR Iran",S570)),"Iran",
ISNUMBER(SEARCH("Congo DR",S570)),"Democratic Republic of the Congo",
ISNUMBER(SEARCH("DR Congo",S570)),"Democratic Republic of the Congo",
ISNUMBER(SEARCH("German DR",S570)),"DR Germany",
ISNUMBER(SEARCH("rn""&gt;United Arab Emirates",S570)),"United Arab Emirates",
ISNUMBER(SEARCH("rn""&gt;Republic of Ireland",S570)),"Ireland",
ISNUMBER(SEARCH("rn""&gt;Bosnia and Herzegovina",S570)),"Bosnia and Herzegovina",
ISNUMBER(SEARCH("rn""&gt;Trinidad and Tobago",S570)),"Trinidad and Tobago",
ISNUMBER(SEARCH("rn""&gt;Serbia and Montenegro",S570)),"Serbia and Montenegro",
ISNUMBER(SEARCH(_xlfn.UNICHAR(65533),S570)),"Côte d'Ivoire",
TRUE,""
)</f>
        <v/>
      </c>
      <c r="W570" s="30" t="str">
        <f t="shared" si="52"/>
        <v>Switzerland</v>
      </c>
      <c r="Z570" s="40" t="str">
        <v>Stade de Gerland</v>
      </c>
      <c r="AA570" s="40" t="str" cm="1">
        <f t="array" ref="AA570">IFERROR(_xlfn.XLOOKUP(Z570,_xlfn.ANCHORARRAY(Z$31),AA$31:AA$37),Z570)</f>
        <v>Stade de Gerland</v>
      </c>
      <c r="AB570" s="42" t="str">
        <v xml:space="preserve">Lyon </v>
      </c>
      <c r="AC570" s="89" t="str">
        <f t="shared" si="53"/>
        <v xml:space="preserve">Lyon </v>
      </c>
      <c r="AE570" s="42">
        <v>1994</v>
      </c>
      <c r="AK570" s="42">
        <v>4</v>
      </c>
      <c r="AL570" s="42">
        <v>0</v>
      </c>
      <c r="AW570" s="89" t="str">
        <v>GROUP_STAGE</v>
      </c>
      <c r="BE570" s="43" t="str">
        <f>IF(OR(DATA_CLEANED!AL561="",DATA_CLEANED!AM561=""),"MANQUANT",IF(OR(NOT(ISNUMBER(DATA_CLEANED!AL561)),NOT(ISNUMBER(DATA_CLEANED!AM561))),"ENTREE INVALIDE",IF(OR(DATA_CLEANED!AL561&lt;0,DATA_CLEANED!AM561&lt;0),"SCORE NEGATIF","OK")))</f>
        <v>OK</v>
      </c>
      <c r="BF570" s="43" t="str">
        <f>IF(DATA_CLEANED!AK561&lt;&gt;DATA_CLEANED!AN561,"OK","ERREUR")</f>
        <v>OK</v>
      </c>
      <c r="BG570" s="43" t="str">
        <f>IF(DATA_CLEANED!AL561&gt;DATA_CLEANED!AM561,DATA_CLEANED!AK561,IF(AND(DATA_QUALITE!W5047="-",DATA_CLEANED!AM561=DATA_CLEANED!AL561),"MATCH NUL",IF(AND(DATA_QUALITE!V5047="-",DATA_QUALITE!U5047="AUCUNE"),DATA_QUALITE!T5047,IF(DATA_QUALITE!V5047&lt;&gt;"-",DATA_QUALITE!V5047,DATA_CLEANED!AN561))))</f>
        <v>Germany</v>
      </c>
      <c r="BH570" s="103" t="str">
        <f>IF(AND(BG570="MATCH NUL",DATA_CLEANED!AO561="-"),"MATCH_NUL",IF(ISNUMBER(SEARCH("win on penalties",W5047)),"WIN_BY_PENALTY",IF(ISNUMBER(SEARCH("win after extra time",W5047)),"WIN_BY_EXTRA_TIME",IF(ISNUMBER(SEARCH("Golden Goal",W5047)),"WIN_BY_GOLDEN_GOAL","WIN_BY_SCORE"))))</f>
        <v>WIN_BY_SCORE</v>
      </c>
      <c r="BI570" s="99" t="str">
        <f>IF(OR(BG570=DATA_CLEANED!AK561,BG570=DATA_CLEANED!AN561,BG570="MATCH NUL"),"OK","ERREUR")</f>
        <v>OK</v>
      </c>
    </row>
    <row r="571" spans="2:61">
      <c r="B571" s="75">
        <v>134</v>
      </c>
      <c r="C571" s="15" t="str">
        <v>Alfie Jones</v>
      </c>
      <c r="D571" s="15">
        <v>28</v>
      </c>
      <c r="E571" s="15" t="str">
        <v>Canada</v>
      </c>
      <c r="F571" s="15" t="str">
        <v>CB</v>
      </c>
      <c r="G571" s="15" t="str">
        <v>Middlesbrough</v>
      </c>
      <c r="H571" s="15">
        <v>3</v>
      </c>
      <c r="I571" s="15" t="str">
        <f t="shared" si="54"/>
        <v>134|Alfie Jones|28|Canada|CB|Middlesbrough|3</v>
      </c>
      <c r="J571" s="15" t="str">
        <f>IF(COUNTIF(I$438:I571,I571)&gt;1,"DOUBLON","OK")</f>
        <v>OK</v>
      </c>
      <c r="S571" s="30" t="str">
        <v>Switzerland</v>
      </c>
      <c r="T571" s="30" t="str">
        <f t="shared" ref="T571:T634" si="55">IF(COUNTIF(R$21:R$250,S571)=1,"OK","ERREUR")</f>
        <v>OK</v>
      </c>
      <c r="U571" s="30" t="str">
        <f t="shared" si="51"/>
        <v>-</v>
      </c>
      <c r="V571" s="30" t="str" cm="1">
        <f t="array" ref="V571">_xlfn.IFS(
ISNUMBER(SEARCH("USA",S571)),"United States",
ISNUMBER(SEARCH("Republic of Korea",S571)),"South Korea",
ISNUMBER(SEARCH("Cape Verde",S571)),"Cabo Verde",
ISNUMBER(SEARCH("Czechia",S571)),"Czech Republic",
ISNUMBER(SEARCH("Türkiye",S571)),"Turkey",
ISNUMBER(SEARCH("Ivory Coast",S571)),"Côte d'Ivoire",
ISNUMBER(SEARCH("Korea Republic",S571)),"South Korea",
ISNUMBER(SEARCH("Germany FR",S571)),"FR Germany",
ISNUMBER(SEARCH("West Germany",S571)),"FR Germany",
ISNUMBER(SEARCH("Germany DR",S571)),"DR Germany",
ISNUMBER(SEARCH("Korea DPR",S571)),"North Korea",
ISNUMBER(SEARCH("China PR",S571)),"China",
ISNUMBER(SEARCH("IR Iran",S571)),"Iran",
ISNUMBER(SEARCH("Congo DR",S571)),"Democratic Republic of the Congo",
ISNUMBER(SEARCH("DR Congo",S571)),"Democratic Republic of the Congo",
ISNUMBER(SEARCH("German DR",S571)),"DR Germany",
ISNUMBER(SEARCH("rn""&gt;United Arab Emirates",S571)),"United Arab Emirates",
ISNUMBER(SEARCH("rn""&gt;Republic of Ireland",S571)),"Ireland",
ISNUMBER(SEARCH("rn""&gt;Bosnia and Herzegovina",S571)),"Bosnia and Herzegovina",
ISNUMBER(SEARCH("rn""&gt;Trinidad and Tobago",S571)),"Trinidad and Tobago",
ISNUMBER(SEARCH("rn""&gt;Serbia and Montenegro",S571)),"Serbia and Montenegro",
ISNUMBER(SEARCH(_xlfn.UNICHAR(65533),S571)),"Côte d'Ivoire",
TRUE,""
)</f>
        <v/>
      </c>
      <c r="W571" s="30" t="str">
        <f t="shared" si="52"/>
        <v>Switzerland</v>
      </c>
      <c r="Z571" s="40" t="str">
        <v>Parc des Princes</v>
      </c>
      <c r="AA571" s="40" t="str" cm="1">
        <f t="array" ref="AA571">IFERROR(_xlfn.XLOOKUP(Z571,_xlfn.ANCHORARRAY(Z$31),AA$31:AA$37),Z571)</f>
        <v>Parc des Princes</v>
      </c>
      <c r="AB571" s="42" t="str">
        <v xml:space="preserve">Paris </v>
      </c>
      <c r="AC571" s="89" t="str">
        <f t="shared" si="53"/>
        <v xml:space="preserve">Paris </v>
      </c>
      <c r="AE571" s="42">
        <v>1994</v>
      </c>
      <c r="AK571" s="42">
        <v>0</v>
      </c>
      <c r="AL571" s="42">
        <v>1</v>
      </c>
      <c r="AW571" s="89" t="str">
        <v>GROUP_STAGE</v>
      </c>
      <c r="BE571" s="43" t="str">
        <f>IF(OR(DATA_CLEANED!AL562="",DATA_CLEANED!AM562=""),"MANQUANT",IF(OR(NOT(ISNUMBER(DATA_CLEANED!AL562)),NOT(ISNUMBER(DATA_CLEANED!AM562))),"ENTREE INVALIDE",IF(OR(DATA_CLEANED!AL562&lt;0,DATA_CLEANED!AM562&lt;0),"SCORE NEGATIF","OK")))</f>
        <v>OK</v>
      </c>
      <c r="BF571" s="43" t="str">
        <f>IF(DATA_CLEANED!AK562&lt;&gt;DATA_CLEANED!AN562,"OK","ERREUR")</f>
        <v>OK</v>
      </c>
      <c r="BG571" s="43" t="str">
        <f>IF(DATA_CLEANED!AL562&gt;DATA_CLEANED!AM562,DATA_CLEANED!AK562,IF(AND(DATA_QUALITE!W5048="-",DATA_CLEANED!AM562=DATA_CLEANED!AL562),"MATCH NUL",IF(AND(DATA_QUALITE!V5048="-",DATA_QUALITE!U5048="AUCUNE"),DATA_QUALITE!T5048,IF(DATA_QUALITE!V5048&lt;&gt;"-",DATA_QUALITE!V5048,DATA_CLEANED!AN562))))</f>
        <v>Yugoslavia</v>
      </c>
      <c r="BH571" s="103" t="str">
        <f>IF(AND(BG571="MATCH NUL",DATA_CLEANED!AO562="-"),"MATCH_NUL",IF(ISNUMBER(SEARCH("win on penalties",W5048)),"WIN_BY_PENALTY",IF(ISNUMBER(SEARCH("win after extra time",W5048)),"WIN_BY_EXTRA_TIME",IF(ISNUMBER(SEARCH("Golden Goal",W5048)),"WIN_BY_GOLDEN_GOAL","WIN_BY_SCORE"))))</f>
        <v>WIN_BY_SCORE</v>
      </c>
      <c r="BI571" s="99" t="str">
        <f>IF(OR(BG571=DATA_CLEANED!AK562,BG571=DATA_CLEANED!AN562,BG571="MATCH NUL"),"OK","ERREUR")</f>
        <v>OK</v>
      </c>
    </row>
    <row r="572" spans="2:61">
      <c r="B572" s="75">
        <v>135</v>
      </c>
      <c r="C572" s="15" t="str">
        <v>Luc de Fougerolles</v>
      </c>
      <c r="D572" s="15">
        <v>20</v>
      </c>
      <c r="E572" s="15" t="str">
        <v>Canada</v>
      </c>
      <c r="F572" s="15" t="str">
        <v>CB</v>
      </c>
      <c r="G572" s="15" t="str">
        <v>Dender EH</v>
      </c>
      <c r="H572" s="15">
        <v>4</v>
      </c>
      <c r="I572" s="15" t="str">
        <f t="shared" si="54"/>
        <v>135|Luc de Fougerolles|20|Canada|CB|Dender EH|4</v>
      </c>
      <c r="J572" s="15" t="str">
        <f>IF(COUNTIF(I$438:I572,I572)&gt;1,"DOUBLON","OK")</f>
        <v>OK</v>
      </c>
      <c r="S572" s="30" t="str">
        <v>Switzerland</v>
      </c>
      <c r="T572" s="30" t="str">
        <f t="shared" si="55"/>
        <v>OK</v>
      </c>
      <c r="U572" s="30" t="str">
        <f t="shared" si="51"/>
        <v>-</v>
      </c>
      <c r="V572" s="30" t="str" cm="1">
        <f t="array" ref="V572">_xlfn.IFS(
ISNUMBER(SEARCH("USA",S572)),"United States",
ISNUMBER(SEARCH("Republic of Korea",S572)),"South Korea",
ISNUMBER(SEARCH("Cape Verde",S572)),"Cabo Verde",
ISNUMBER(SEARCH("Czechia",S572)),"Czech Republic",
ISNUMBER(SEARCH("Türkiye",S572)),"Turkey",
ISNUMBER(SEARCH("Ivory Coast",S572)),"Côte d'Ivoire",
ISNUMBER(SEARCH("Korea Republic",S572)),"South Korea",
ISNUMBER(SEARCH("Germany FR",S572)),"FR Germany",
ISNUMBER(SEARCH("West Germany",S572)),"FR Germany",
ISNUMBER(SEARCH("Germany DR",S572)),"DR Germany",
ISNUMBER(SEARCH("Korea DPR",S572)),"North Korea",
ISNUMBER(SEARCH("China PR",S572)),"China",
ISNUMBER(SEARCH("IR Iran",S572)),"Iran",
ISNUMBER(SEARCH("Congo DR",S572)),"Democratic Republic of the Congo",
ISNUMBER(SEARCH("DR Congo",S572)),"Democratic Republic of the Congo",
ISNUMBER(SEARCH("German DR",S572)),"DR Germany",
ISNUMBER(SEARCH("rn""&gt;United Arab Emirates",S572)),"United Arab Emirates",
ISNUMBER(SEARCH("rn""&gt;Republic of Ireland",S572)),"Ireland",
ISNUMBER(SEARCH("rn""&gt;Bosnia and Herzegovina",S572)),"Bosnia and Herzegovina",
ISNUMBER(SEARCH("rn""&gt;Trinidad and Tobago",S572)),"Trinidad and Tobago",
ISNUMBER(SEARCH("rn""&gt;Serbia and Montenegro",S572)),"Serbia and Montenegro",
ISNUMBER(SEARCH(_xlfn.UNICHAR(65533),S572)),"Côte d'Ivoire",
TRUE,""
)</f>
        <v/>
      </c>
      <c r="W572" s="30" t="str">
        <f t="shared" si="52"/>
        <v>Switzerland</v>
      </c>
      <c r="Z572" s="40" t="str">
        <v>Stade du Parc Lescure</v>
      </c>
      <c r="AA572" s="40" t="str" cm="1">
        <f t="array" ref="AA572">IFERROR(_xlfn.XLOOKUP(Z572,_xlfn.ANCHORARRAY(Z$31),AA$31:AA$37),Z572)</f>
        <v>Stade du Parc Lescure</v>
      </c>
      <c r="AB572" s="42" t="str">
        <v xml:space="preserve">Bordeaux </v>
      </c>
      <c r="AC572" s="89" t="str">
        <f t="shared" si="53"/>
        <v xml:space="preserve">Bordeaux </v>
      </c>
      <c r="AE572" s="42">
        <v>1994</v>
      </c>
      <c r="AK572" s="42">
        <v>0</v>
      </c>
      <c r="AL572" s="42">
        <v>2</v>
      </c>
      <c r="AW572" s="89" t="str">
        <v>GROUP_STAGE</v>
      </c>
      <c r="BE572" s="43" t="str">
        <f>IF(OR(DATA_CLEANED!AL563="",DATA_CLEANED!AM563=""),"MANQUANT",IF(OR(NOT(ISNUMBER(DATA_CLEANED!AL563)),NOT(ISNUMBER(DATA_CLEANED!AM563))),"ENTREE INVALIDE",IF(OR(DATA_CLEANED!AL563&lt;0,DATA_CLEANED!AM563&lt;0),"SCORE NEGATIF","OK")))</f>
        <v>OK</v>
      </c>
      <c r="BF572" s="43" t="str">
        <f>IF(DATA_CLEANED!AK563&lt;&gt;DATA_CLEANED!AN563,"OK","ERREUR")</f>
        <v>OK</v>
      </c>
      <c r="BG572" s="43" t="str">
        <f>IF(DATA_CLEANED!AL563&gt;DATA_CLEANED!AM563,DATA_CLEANED!AK563,IF(AND(DATA_QUALITE!W5049="-",DATA_CLEANED!AM563=DATA_CLEANED!AL563),"MATCH NUL",IF(AND(DATA_QUALITE!V5049="-",DATA_QUALITE!U5049="AUCUNE"),DATA_QUALITE!T5049,IF(DATA_QUALITE!V5049&lt;&gt;"-",DATA_QUALITE!V5049,DATA_CLEANED!AN563))))</f>
        <v>Jamaica</v>
      </c>
      <c r="BH572" s="103" t="str">
        <f>IF(AND(BG572="MATCH NUL",DATA_CLEANED!AO563="-"),"MATCH_NUL",IF(ISNUMBER(SEARCH("win on penalties",W5049)),"WIN_BY_PENALTY",IF(ISNUMBER(SEARCH("win after extra time",W5049)),"WIN_BY_EXTRA_TIME",IF(ISNUMBER(SEARCH("Golden Goal",W5049)),"WIN_BY_GOLDEN_GOAL","WIN_BY_SCORE"))))</f>
        <v>WIN_BY_SCORE</v>
      </c>
      <c r="BI572" s="99" t="str">
        <f>IF(OR(BG572=DATA_CLEANED!AK563,BG572=DATA_CLEANED!AN563,BG572="MATCH NUL"),"OK","ERREUR")</f>
        <v>OK</v>
      </c>
    </row>
    <row r="573" spans="2:61">
      <c r="B573" s="75">
        <v>136</v>
      </c>
      <c r="C573" s="15" t="str">
        <v>Joel Waterman</v>
      </c>
      <c r="D573" s="15">
        <v>30</v>
      </c>
      <c r="E573" s="15" t="str">
        <v>Canada</v>
      </c>
      <c r="F573" s="15" t="str">
        <v>CB</v>
      </c>
      <c r="G573" s="15" t="str">
        <v>Chicago Fire FC</v>
      </c>
      <c r="H573" s="15">
        <v>5</v>
      </c>
      <c r="I573" s="15" t="str">
        <f t="shared" si="54"/>
        <v>136|Joel Waterman|30|Canada|CB|Chicago Fire FC|5</v>
      </c>
      <c r="J573" s="15" t="str">
        <f>IF(COUNTIF(I$438:I573,I573)&gt;1,"DOUBLON","OK")</f>
        <v>OK</v>
      </c>
      <c r="S573" s="30" t="str">
        <v>Argentina</v>
      </c>
      <c r="T573" s="30" t="str">
        <f t="shared" si="55"/>
        <v>OK</v>
      </c>
      <c r="U573" s="30" t="str">
        <f t="shared" si="51"/>
        <v>-</v>
      </c>
      <c r="V573" s="30" t="str" cm="1">
        <f t="array" ref="V573">_xlfn.IFS(
ISNUMBER(SEARCH("USA",S573)),"United States",
ISNUMBER(SEARCH("Republic of Korea",S573)),"South Korea",
ISNUMBER(SEARCH("Cape Verde",S573)),"Cabo Verde",
ISNUMBER(SEARCH("Czechia",S573)),"Czech Republic",
ISNUMBER(SEARCH("Türkiye",S573)),"Turkey",
ISNUMBER(SEARCH("Ivory Coast",S573)),"Côte d'Ivoire",
ISNUMBER(SEARCH("Korea Republic",S573)),"South Korea",
ISNUMBER(SEARCH("Germany FR",S573)),"FR Germany",
ISNUMBER(SEARCH("West Germany",S573)),"FR Germany",
ISNUMBER(SEARCH("Germany DR",S573)),"DR Germany",
ISNUMBER(SEARCH("Korea DPR",S573)),"North Korea",
ISNUMBER(SEARCH("China PR",S573)),"China",
ISNUMBER(SEARCH("IR Iran",S573)),"Iran",
ISNUMBER(SEARCH("Congo DR",S573)),"Democratic Republic of the Congo",
ISNUMBER(SEARCH("DR Congo",S573)),"Democratic Republic of the Congo",
ISNUMBER(SEARCH("German DR",S573)),"DR Germany",
ISNUMBER(SEARCH("rn""&gt;United Arab Emirates",S573)),"United Arab Emirates",
ISNUMBER(SEARCH("rn""&gt;Republic of Ireland",S573)),"Ireland",
ISNUMBER(SEARCH("rn""&gt;Bosnia and Herzegovina",S573)),"Bosnia and Herzegovina",
ISNUMBER(SEARCH("rn""&gt;Trinidad and Tobago",S573)),"Trinidad and Tobago",
ISNUMBER(SEARCH("rn""&gt;Serbia and Montenegro",S573)),"Serbia and Montenegro",
ISNUMBER(SEARCH(_xlfn.UNICHAR(65533),S573)),"Côte d'Ivoire",
TRUE,""
)</f>
        <v/>
      </c>
      <c r="W573" s="30" t="str">
        <f t="shared" si="52"/>
        <v>Argentina</v>
      </c>
      <c r="Z573" s="40" t="str">
        <v>La Beaujoire</v>
      </c>
      <c r="AA573" s="40" t="str" cm="1">
        <f t="array" ref="AA573">IFERROR(_xlfn.XLOOKUP(Z573,_xlfn.ANCHORARRAY(Z$31),AA$31:AA$37),Z573)</f>
        <v>La Beaujoire</v>
      </c>
      <c r="AB573" s="42" t="str">
        <v xml:space="preserve">Nantes </v>
      </c>
      <c r="AC573" s="89" t="str">
        <f t="shared" si="53"/>
        <v xml:space="preserve">Nantes </v>
      </c>
      <c r="AE573" s="42">
        <v>1994</v>
      </c>
      <c r="AK573" s="42">
        <v>3</v>
      </c>
      <c r="AL573" s="42">
        <v>2</v>
      </c>
      <c r="AW573" s="89" t="str">
        <v>GROUP_STAGE</v>
      </c>
      <c r="BE573" s="43" t="str">
        <f>IF(OR(DATA_CLEANED!AL564="",DATA_CLEANED!AM564=""),"MANQUANT",IF(OR(NOT(ISNUMBER(DATA_CLEANED!AL564)),NOT(ISNUMBER(DATA_CLEANED!AM564))),"ENTREE INVALIDE",IF(OR(DATA_CLEANED!AL564&lt;0,DATA_CLEANED!AM564&lt;0),"SCORE NEGATIF","OK")))</f>
        <v>OK</v>
      </c>
      <c r="BF573" s="43" t="str">
        <f>IF(DATA_CLEANED!AK564&lt;&gt;DATA_CLEANED!AN564,"OK","ERREUR")</f>
        <v>OK</v>
      </c>
      <c r="BG573" s="43" t="str">
        <f>IF(DATA_CLEANED!AL564&gt;DATA_CLEANED!AM564,DATA_CLEANED!AK564,IF(AND(DATA_QUALITE!W5050="-",DATA_CLEANED!AM564=DATA_CLEANED!AL564),"MATCH NUL",IF(AND(DATA_QUALITE!V5050="-",DATA_QUALITE!U5050="AUCUNE"),DATA_QUALITE!T5050,IF(DATA_QUALITE!V5050&lt;&gt;"-",DATA_QUALITE!V5050,DATA_CLEANED!AN564))))</f>
        <v>Argentina</v>
      </c>
      <c r="BH573" s="103" t="str">
        <f>IF(AND(BG573="MATCH NUL",DATA_CLEANED!AO564="-"),"MATCH_NUL",IF(ISNUMBER(SEARCH("win on penalties",W5050)),"WIN_BY_PENALTY",IF(ISNUMBER(SEARCH("win after extra time",W5050)),"WIN_BY_EXTRA_TIME",IF(ISNUMBER(SEARCH("Golden Goal",W5050)),"WIN_BY_GOLDEN_GOAL","WIN_BY_SCORE"))))</f>
        <v>WIN_BY_SCORE</v>
      </c>
      <c r="BI573" s="99" t="str">
        <f>IF(OR(BG573=DATA_CLEANED!AK564,BG573=DATA_CLEANED!AN564,BG573="MATCH NUL"),"OK","ERREUR")</f>
        <v>OK</v>
      </c>
    </row>
    <row r="574" spans="2:61">
      <c r="B574" s="75">
        <v>137</v>
      </c>
      <c r="C574" s="15" t="str">
        <v>Derek Cornelius</v>
      </c>
      <c r="D574" s="15">
        <v>28</v>
      </c>
      <c r="E574" s="15" t="str">
        <v>Canada</v>
      </c>
      <c r="F574" s="15" t="str">
        <v>CB</v>
      </c>
      <c r="G574" s="15" t="str">
        <v>Rangers</v>
      </c>
      <c r="H574" s="15">
        <v>13</v>
      </c>
      <c r="I574" s="15" t="str">
        <f t="shared" si="54"/>
        <v>137|Derek Cornelius|28|Canada|CB|Rangers|13</v>
      </c>
      <c r="J574" s="15" t="str">
        <f>IF(COUNTIF(I$438:I574,I574)&gt;1,"DOUBLON","OK")</f>
        <v>OK</v>
      </c>
      <c r="S574" s="30" t="str">
        <v>Argentina</v>
      </c>
      <c r="T574" s="30" t="str">
        <f t="shared" si="55"/>
        <v>OK</v>
      </c>
      <c r="U574" s="30" t="str">
        <f t="shared" si="51"/>
        <v>-</v>
      </c>
      <c r="V574" s="30" t="str" cm="1">
        <f t="array" ref="V574">_xlfn.IFS(
ISNUMBER(SEARCH("USA",S574)),"United States",
ISNUMBER(SEARCH("Republic of Korea",S574)),"South Korea",
ISNUMBER(SEARCH("Cape Verde",S574)),"Cabo Verde",
ISNUMBER(SEARCH("Czechia",S574)),"Czech Republic",
ISNUMBER(SEARCH("Türkiye",S574)),"Turkey",
ISNUMBER(SEARCH("Ivory Coast",S574)),"Côte d'Ivoire",
ISNUMBER(SEARCH("Korea Republic",S574)),"South Korea",
ISNUMBER(SEARCH("Germany FR",S574)),"FR Germany",
ISNUMBER(SEARCH("West Germany",S574)),"FR Germany",
ISNUMBER(SEARCH("Germany DR",S574)),"DR Germany",
ISNUMBER(SEARCH("Korea DPR",S574)),"North Korea",
ISNUMBER(SEARCH("China PR",S574)),"China",
ISNUMBER(SEARCH("IR Iran",S574)),"Iran",
ISNUMBER(SEARCH("Congo DR",S574)),"Democratic Republic of the Congo",
ISNUMBER(SEARCH("DR Congo",S574)),"Democratic Republic of the Congo",
ISNUMBER(SEARCH("German DR",S574)),"DR Germany",
ISNUMBER(SEARCH("rn""&gt;United Arab Emirates",S574)),"United Arab Emirates",
ISNUMBER(SEARCH("rn""&gt;Republic of Ireland",S574)),"Ireland",
ISNUMBER(SEARCH("rn""&gt;Bosnia and Herzegovina",S574)),"Bosnia and Herzegovina",
ISNUMBER(SEARCH("rn""&gt;Trinidad and Tobago",S574)),"Trinidad and Tobago",
ISNUMBER(SEARCH("rn""&gt;Serbia and Montenegro",S574)),"Serbia and Montenegro",
ISNUMBER(SEARCH(_xlfn.UNICHAR(65533),S574)),"Côte d'Ivoire",
TRUE,""
)</f>
        <v/>
      </c>
      <c r="W574" s="30" t="str">
        <f t="shared" si="52"/>
        <v>Argentina</v>
      </c>
      <c r="Z574" s="40" t="str">
        <v>Stade Geoffroy Guichard</v>
      </c>
      <c r="AA574" s="40" t="str" cm="1">
        <f t="array" ref="AA574">IFERROR(_xlfn.XLOOKUP(Z574,_xlfn.ANCHORARRAY(Z$31),AA$31:AA$37),Z574)</f>
        <v>Stade Geoffroy Guichard</v>
      </c>
      <c r="AB574" s="42" t="str">
        <v xml:space="preserve">Saint-Etienne </v>
      </c>
      <c r="AC574" s="89" t="str">
        <f t="shared" si="53"/>
        <v xml:space="preserve">Saint-Etienne </v>
      </c>
      <c r="AE574" s="42">
        <v>1994</v>
      </c>
      <c r="AK574" s="42">
        <v>1</v>
      </c>
      <c r="AL574" s="42">
        <v>3</v>
      </c>
      <c r="AW574" s="89" t="str">
        <v>GROUP_STAGE</v>
      </c>
      <c r="BE574" s="43" t="str">
        <f>IF(OR(DATA_CLEANED!AL565="",DATA_CLEANED!AM565=""),"MANQUANT",IF(OR(NOT(ISNUMBER(DATA_CLEANED!AL565)),NOT(ISNUMBER(DATA_CLEANED!AM565))),"ENTREE INVALIDE",IF(OR(DATA_CLEANED!AL565&lt;0,DATA_CLEANED!AM565&lt;0),"SCORE NEGATIF","OK")))</f>
        <v>OK</v>
      </c>
      <c r="BF574" s="43" t="str">
        <f>IF(DATA_CLEANED!AK565&lt;&gt;DATA_CLEANED!AN565,"OK","ERREUR")</f>
        <v>OK</v>
      </c>
      <c r="BG574" s="43" t="str">
        <f>IF(DATA_CLEANED!AL565&gt;DATA_CLEANED!AM565,DATA_CLEANED!AK565,IF(AND(DATA_QUALITE!W5051="-",DATA_CLEANED!AM565=DATA_CLEANED!AL565),"MATCH NUL",IF(AND(DATA_QUALITE!V5051="-",DATA_QUALITE!U5051="AUCUNE"),DATA_QUALITE!T5051,IF(DATA_QUALITE!V5051&lt;&gt;"-",DATA_QUALITE!V5051,DATA_CLEANED!AN565))))</f>
        <v>MATCH NUL</v>
      </c>
      <c r="BH574" s="103" t="str">
        <f>IF(AND(BG574="MATCH NUL",DATA_CLEANED!AO565="-"),"MATCH_NUL",IF(ISNUMBER(SEARCH("win on penalties",W5051)),"WIN_BY_PENALTY",IF(ISNUMBER(SEARCH("win after extra time",W5051)),"WIN_BY_EXTRA_TIME",IF(ISNUMBER(SEARCH("Golden Goal",W5051)),"WIN_BY_GOLDEN_GOAL","WIN_BY_SCORE"))))</f>
        <v>MATCH_NUL</v>
      </c>
      <c r="BI574" s="99" t="str">
        <f>IF(OR(BG574=DATA_CLEANED!AK565,BG574=DATA_CLEANED!AN565,BG574="MATCH NUL"),"OK","ERREUR")</f>
        <v>OK</v>
      </c>
    </row>
    <row r="575" spans="2:61">
      <c r="B575" s="75">
        <v>138</v>
      </c>
      <c r="C575" s="15" t="str">
        <v>Moïse Bombito</v>
      </c>
      <c r="D575" s="15">
        <v>26</v>
      </c>
      <c r="E575" s="15" t="str">
        <v>Canada</v>
      </c>
      <c r="F575" s="15" t="str">
        <v>CB</v>
      </c>
      <c r="G575" s="15" t="str">
        <v>Nice</v>
      </c>
      <c r="H575" s="15">
        <v>15</v>
      </c>
      <c r="I575" s="15" t="str">
        <f t="shared" si="54"/>
        <v>138|Moïse Bombito|26|Canada|CB|Nice|15</v>
      </c>
      <c r="J575" s="15" t="str">
        <f>IF(COUNTIF(I$438:I575,I575)&gt;1,"DOUBLON","OK")</f>
        <v>OK</v>
      </c>
      <c r="S575" s="30" t="str">
        <v>Argentina</v>
      </c>
      <c r="T575" s="30" t="str">
        <f t="shared" si="55"/>
        <v>OK</v>
      </c>
      <c r="U575" s="30" t="str">
        <f t="shared" si="51"/>
        <v>-</v>
      </c>
      <c r="V575" s="30" t="str" cm="1">
        <f t="array" ref="V575">_xlfn.IFS(
ISNUMBER(SEARCH("USA",S575)),"United States",
ISNUMBER(SEARCH("Republic of Korea",S575)),"South Korea",
ISNUMBER(SEARCH("Cape Verde",S575)),"Cabo Verde",
ISNUMBER(SEARCH("Czechia",S575)),"Czech Republic",
ISNUMBER(SEARCH("Türkiye",S575)),"Turkey",
ISNUMBER(SEARCH("Ivory Coast",S575)),"Côte d'Ivoire",
ISNUMBER(SEARCH("Korea Republic",S575)),"South Korea",
ISNUMBER(SEARCH("Germany FR",S575)),"FR Germany",
ISNUMBER(SEARCH("West Germany",S575)),"FR Germany",
ISNUMBER(SEARCH("Germany DR",S575)),"DR Germany",
ISNUMBER(SEARCH("Korea DPR",S575)),"North Korea",
ISNUMBER(SEARCH("China PR",S575)),"China",
ISNUMBER(SEARCH("IR Iran",S575)),"Iran",
ISNUMBER(SEARCH("Congo DR",S575)),"Democratic Republic of the Congo",
ISNUMBER(SEARCH("DR Congo",S575)),"Democratic Republic of the Congo",
ISNUMBER(SEARCH("German DR",S575)),"DR Germany",
ISNUMBER(SEARCH("rn""&gt;United Arab Emirates",S575)),"United Arab Emirates",
ISNUMBER(SEARCH("rn""&gt;Republic of Ireland",S575)),"Ireland",
ISNUMBER(SEARCH("rn""&gt;Bosnia and Herzegovina",S575)),"Bosnia and Herzegovina",
ISNUMBER(SEARCH("rn""&gt;Trinidad and Tobago",S575)),"Trinidad and Tobago",
ISNUMBER(SEARCH("rn""&gt;Serbia and Montenegro",S575)),"Serbia and Montenegro",
ISNUMBER(SEARCH(_xlfn.UNICHAR(65533),S575)),"Côte d'Ivoire",
TRUE,""
)</f>
        <v/>
      </c>
      <c r="W575" s="30" t="str">
        <f t="shared" si="52"/>
        <v>Argentina</v>
      </c>
      <c r="Z575" s="40" t="str">
        <v>La Mosson</v>
      </c>
      <c r="AA575" s="40" t="str" cm="1">
        <f t="array" ref="AA575">IFERROR(_xlfn.XLOOKUP(Z575,_xlfn.ANCHORARRAY(Z$31),AA$31:AA$37),Z575)</f>
        <v>La Mosson</v>
      </c>
      <c r="AB575" s="42" t="str">
        <v xml:space="preserve">Montpellier </v>
      </c>
      <c r="AC575" s="89" t="str">
        <f t="shared" si="53"/>
        <v xml:space="preserve">Montpellier </v>
      </c>
      <c r="AE575" s="42">
        <v>1994</v>
      </c>
      <c r="AK575" s="42">
        <v>0</v>
      </c>
      <c r="AL575" s="42">
        <v>0</v>
      </c>
      <c r="AW575" s="89" t="str">
        <v>GROUP_STAGE</v>
      </c>
      <c r="BE575" s="43" t="str">
        <f>IF(OR(DATA_CLEANED!AL566="",DATA_CLEANED!AM566=""),"MANQUANT",IF(OR(NOT(ISNUMBER(DATA_CLEANED!AL566)),NOT(ISNUMBER(DATA_CLEANED!AM566))),"ENTREE INVALIDE",IF(OR(DATA_CLEANED!AL566&lt;0,DATA_CLEANED!AM566&lt;0),"SCORE NEGATIF","OK")))</f>
        <v>OK</v>
      </c>
      <c r="BF575" s="43" t="str">
        <f>IF(DATA_CLEANED!AK566&lt;&gt;DATA_CLEANED!AN566,"OK","ERREUR")</f>
        <v>OK</v>
      </c>
      <c r="BG575" s="43" t="str">
        <f>IF(DATA_CLEANED!AL566&gt;DATA_CLEANED!AM566,DATA_CLEANED!AK566,IF(AND(DATA_QUALITE!W5052="-",DATA_CLEANED!AM566=DATA_CLEANED!AL566),"MATCH NUL",IF(AND(DATA_QUALITE!V5052="-",DATA_QUALITE!U5052="AUCUNE"),DATA_QUALITE!T5052,IF(DATA_QUALITE!V5052&lt;&gt;"-",DATA_QUALITE!V5052,DATA_CLEANED!AN566))))</f>
        <v>England</v>
      </c>
      <c r="BH575" s="103" t="str">
        <f>IF(AND(BG575="MATCH NUL",DATA_CLEANED!AO566="-"),"MATCH_NUL",IF(ISNUMBER(SEARCH("win on penalties",W5052)),"WIN_BY_PENALTY",IF(ISNUMBER(SEARCH("win after extra time",W5052)),"WIN_BY_EXTRA_TIME",IF(ISNUMBER(SEARCH("Golden Goal",W5052)),"WIN_BY_GOLDEN_GOAL","WIN_BY_SCORE"))))</f>
        <v>WIN_BY_SCORE</v>
      </c>
      <c r="BI575" s="99" t="str">
        <f>IF(OR(BG575=DATA_CLEANED!AK566,BG575=DATA_CLEANED!AN566,BG575="MATCH NUL"),"OK","ERREUR")</f>
        <v>OK</v>
      </c>
    </row>
    <row r="576" spans="2:61">
      <c r="B576" s="75">
        <v>139</v>
      </c>
      <c r="C576" s="15" t="str">
        <v>Alphonso Davies</v>
      </c>
      <c r="D576" s="15">
        <v>25</v>
      </c>
      <c r="E576" s="15" t="str">
        <v>Canada</v>
      </c>
      <c r="F576" s="15" t="str">
        <v>LB</v>
      </c>
      <c r="G576" s="15" t="str">
        <v>Bayern Munich</v>
      </c>
      <c r="H576" s="15">
        <v>19</v>
      </c>
      <c r="I576" s="15" t="str">
        <f t="shared" si="54"/>
        <v>139|Alphonso Davies|25|Canada|LB|Bayern Munich|19</v>
      </c>
      <c r="J576" s="15" t="str">
        <f>IF(COUNTIF(I$438:I576,I576)&gt;1,"DOUBLON","OK")</f>
        <v>OK</v>
      </c>
      <c r="S576" s="30" t="str">
        <v>Argentina</v>
      </c>
      <c r="T576" s="30" t="str">
        <f t="shared" si="55"/>
        <v>OK</v>
      </c>
      <c r="U576" s="30" t="str">
        <f t="shared" ref="U576:U639" si="56">IF(OR(S576="Scotland",S576="England",S576="Wales",S576="Yugoslavia",S576="Czechoslovakia",S576="Northern Ireland",S576="Soviet Union",S576="Zaire",S576="Dutch East Indies"),"AUCUNE",IF(OR(S576="Cape Verde",S576="USA",S576="DR Congo",S576="Republic of Korea",S576="Germany FR",S576="Germany DR",S576="Czechia",S576="Ivory Coast",S576="Korea DPR",S576="China PR",S576="IR Iran",S576="Türkiye",S576="Congo DR",S576="German DR",S576="West Germany",S576="Republic of Ireland",ISNUMBER(SEARCH("rn""&gt;United Arab Emirates",S576)),ISNUMBER(SEARCH("rn""&gt;Republic of Ireland",S576)),ISNUMBER(SEARCH("rn""&gt;Bosnia and Herzegovina",S576)),ISNUMBER(SEARCH("rn""&gt;Trinidad and Tobago",S576)),ISNUMBER(SEARCH("rn""&gt;Serbia and Montenegro",S576)),ISNUMBER(SEARCH(_xlfn.UNICHAR(65533),S576))),"RENOMMER","-"))</f>
        <v>-</v>
      </c>
      <c r="V576" s="30" t="str" cm="1">
        <f t="array" ref="V576">_xlfn.IFS(
ISNUMBER(SEARCH("USA",S576)),"United States",
ISNUMBER(SEARCH("Republic of Korea",S576)),"South Korea",
ISNUMBER(SEARCH("Cape Verde",S576)),"Cabo Verde",
ISNUMBER(SEARCH("Czechia",S576)),"Czech Republic",
ISNUMBER(SEARCH("Türkiye",S576)),"Turkey",
ISNUMBER(SEARCH("Ivory Coast",S576)),"Côte d'Ivoire",
ISNUMBER(SEARCH("Korea Republic",S576)),"South Korea",
ISNUMBER(SEARCH("Germany FR",S576)),"FR Germany",
ISNUMBER(SEARCH("West Germany",S576)),"FR Germany",
ISNUMBER(SEARCH("Germany DR",S576)),"DR Germany",
ISNUMBER(SEARCH("Korea DPR",S576)),"North Korea",
ISNUMBER(SEARCH("China PR",S576)),"China",
ISNUMBER(SEARCH("IR Iran",S576)),"Iran",
ISNUMBER(SEARCH("Congo DR",S576)),"Democratic Republic of the Congo",
ISNUMBER(SEARCH("DR Congo",S576)),"Democratic Republic of the Congo",
ISNUMBER(SEARCH("German DR",S576)),"DR Germany",
ISNUMBER(SEARCH("rn""&gt;United Arab Emirates",S576)),"United Arab Emirates",
ISNUMBER(SEARCH("rn""&gt;Republic of Ireland",S576)),"Ireland",
ISNUMBER(SEARCH("rn""&gt;Bosnia and Herzegovina",S576)),"Bosnia and Herzegovina",
ISNUMBER(SEARCH("rn""&gt;Trinidad and Tobago",S576)),"Trinidad and Tobago",
ISNUMBER(SEARCH("rn""&gt;Serbia and Montenegro",S576)),"Serbia and Montenegro",
ISNUMBER(SEARCH(_xlfn.UNICHAR(65533),S576)),"Côte d'Ivoire",
TRUE,""
)</f>
        <v/>
      </c>
      <c r="W576" s="30" t="str">
        <f t="shared" si="52"/>
        <v>Argentina</v>
      </c>
      <c r="Z576" s="40" t="str">
        <v>Stade Municipal</v>
      </c>
      <c r="AA576" s="40" t="str" cm="1">
        <f t="array" ref="AA576">IFERROR(_xlfn.XLOOKUP(Z576,_xlfn.ANCHORARRAY(Z$31),AA$31:AA$37),Z576)</f>
        <v>Stade Municipal</v>
      </c>
      <c r="AB576" s="42" t="str">
        <v xml:space="preserve">Toulouse </v>
      </c>
      <c r="AC576" s="89" t="str">
        <f t="shared" si="53"/>
        <v xml:space="preserve">Toulouse </v>
      </c>
      <c r="AE576" s="42">
        <v>1994</v>
      </c>
      <c r="AK576" s="42">
        <v>1</v>
      </c>
      <c r="AL576" s="42">
        <v>1</v>
      </c>
      <c r="AW576" s="89" t="str">
        <v>ROUND_OF_16</v>
      </c>
      <c r="BE576" s="43" t="str">
        <f>IF(OR(DATA_CLEANED!AL567="",DATA_CLEANED!AM567=""),"MANQUANT",IF(OR(NOT(ISNUMBER(DATA_CLEANED!AL567)),NOT(ISNUMBER(DATA_CLEANED!AM567))),"ENTREE INVALIDE",IF(OR(DATA_CLEANED!AL567&lt;0,DATA_CLEANED!AM567&lt;0),"SCORE NEGATIF","OK")))</f>
        <v>OK</v>
      </c>
      <c r="BF576" s="43" t="str">
        <f>IF(DATA_CLEANED!AK567&lt;&gt;DATA_CLEANED!AN567,"OK","ERREUR")</f>
        <v>OK</v>
      </c>
      <c r="BG576" s="43" t="str">
        <f>IF(DATA_CLEANED!AL567&gt;DATA_CLEANED!AM567,DATA_CLEANED!AK567,IF(AND(DATA_QUALITE!W5053="-",DATA_CLEANED!AM567=DATA_CLEANED!AL567),"MATCH NUL",IF(AND(DATA_QUALITE!V5053="-",DATA_QUALITE!U5053="AUCUNE"),DATA_QUALITE!T5053,IF(DATA_QUALITE!V5053&lt;&gt;"-",DATA_QUALITE!V5053,DATA_CLEANED!AN567))))</f>
        <v>Italy</v>
      </c>
      <c r="BH576" s="103" t="str">
        <f>IF(AND(BG576="MATCH NUL",DATA_CLEANED!AO567="-"),"MATCH_NUL",IF(ISNUMBER(SEARCH("win on penalties",W5053)),"WIN_BY_PENALTY",IF(ISNUMBER(SEARCH("win after extra time",W5053)),"WIN_BY_EXTRA_TIME",IF(ISNUMBER(SEARCH("Golden Goal",W5053)),"WIN_BY_GOLDEN_GOAL","WIN_BY_SCORE"))))</f>
        <v>WIN_BY_SCORE</v>
      </c>
      <c r="BI576" s="99" t="str">
        <f>IF(OR(BG576=DATA_CLEANED!AK567,BG576=DATA_CLEANED!AN567,BG576="MATCH NUL"),"OK","ERREUR")</f>
        <v>OK</v>
      </c>
    </row>
    <row r="577" spans="2:61">
      <c r="B577" s="75">
        <v>140</v>
      </c>
      <c r="C577" s="15" t="str">
        <v>Alistair Johnston</v>
      </c>
      <c r="D577" s="15">
        <v>27</v>
      </c>
      <c r="E577" s="15" t="str">
        <v>Canada</v>
      </c>
      <c r="F577" s="15" t="str">
        <v>RB</v>
      </c>
      <c r="G577" s="15" t="str">
        <v>Celtic</v>
      </c>
      <c r="H577" s="15">
        <v>2</v>
      </c>
      <c r="I577" s="15" t="str">
        <f t="shared" si="54"/>
        <v>140|Alistair Johnston|27|Canada|RB|Celtic|2</v>
      </c>
      <c r="J577" s="15" t="str">
        <f>IF(COUNTIF(I$438:I577,I577)&gt;1,"DOUBLON","OK")</f>
        <v>OK</v>
      </c>
      <c r="S577" s="30" t="str">
        <v>Argentina</v>
      </c>
      <c r="T577" s="30" t="str">
        <f t="shared" si="55"/>
        <v>OK</v>
      </c>
      <c r="U577" s="30" t="str">
        <f t="shared" si="56"/>
        <v>-</v>
      </c>
      <c r="V577" s="30" t="str" cm="1">
        <f t="array" ref="V577">_xlfn.IFS(
ISNUMBER(SEARCH("USA",S577)),"United States",
ISNUMBER(SEARCH("Republic of Korea",S577)),"South Korea",
ISNUMBER(SEARCH("Cape Verde",S577)),"Cabo Verde",
ISNUMBER(SEARCH("Czechia",S577)),"Czech Republic",
ISNUMBER(SEARCH("Türkiye",S577)),"Turkey",
ISNUMBER(SEARCH("Ivory Coast",S577)),"Côte d'Ivoire",
ISNUMBER(SEARCH("Korea Republic",S577)),"South Korea",
ISNUMBER(SEARCH("Germany FR",S577)),"FR Germany",
ISNUMBER(SEARCH("West Germany",S577)),"FR Germany",
ISNUMBER(SEARCH("Germany DR",S577)),"DR Germany",
ISNUMBER(SEARCH("Korea DPR",S577)),"North Korea",
ISNUMBER(SEARCH("China PR",S577)),"China",
ISNUMBER(SEARCH("IR Iran",S577)),"Iran",
ISNUMBER(SEARCH("Congo DR",S577)),"Democratic Republic of the Congo",
ISNUMBER(SEARCH("DR Congo",S577)),"Democratic Republic of the Congo",
ISNUMBER(SEARCH("German DR",S577)),"DR Germany",
ISNUMBER(SEARCH("rn""&gt;United Arab Emirates",S577)),"United Arab Emirates",
ISNUMBER(SEARCH("rn""&gt;Republic of Ireland",S577)),"Ireland",
ISNUMBER(SEARCH("rn""&gt;Bosnia and Herzegovina",S577)),"Bosnia and Herzegovina",
ISNUMBER(SEARCH("rn""&gt;Trinidad and Tobago",S577)),"Trinidad and Tobago",
ISNUMBER(SEARCH("rn""&gt;Serbia and Montenegro",S577)),"Serbia and Montenegro",
ISNUMBER(SEARCH(_xlfn.UNICHAR(65533),S577)),"Côte d'Ivoire",
TRUE,""
)</f>
        <v/>
      </c>
      <c r="W577" s="30" t="str">
        <f t="shared" si="52"/>
        <v>Argentina</v>
      </c>
      <c r="Z577" s="40" t="str">
        <v>Stade de France</v>
      </c>
      <c r="AA577" s="40" t="str" cm="1">
        <f t="array" ref="AA577">IFERROR(_xlfn.XLOOKUP(Z577,_xlfn.ANCHORARRAY(Z$31),AA$31:AA$37),Z577)</f>
        <v>Stade de France</v>
      </c>
      <c r="AB577" s="42" t="str">
        <v xml:space="preserve">Saint-Denis </v>
      </c>
      <c r="AC577" s="89" t="str">
        <f t="shared" si="53"/>
        <v xml:space="preserve">Saint-Denis </v>
      </c>
      <c r="AE577" s="42">
        <v>1994</v>
      </c>
      <c r="AK577" s="42">
        <v>1</v>
      </c>
      <c r="AL577" s="42">
        <v>1</v>
      </c>
      <c r="AW577" s="89" t="str">
        <v>ROUND_OF_16</v>
      </c>
      <c r="BE577" s="43" t="str">
        <f>IF(OR(DATA_CLEANED!AL568="",DATA_CLEANED!AM568=""),"MANQUANT",IF(OR(NOT(ISNUMBER(DATA_CLEANED!AL568)),NOT(ISNUMBER(DATA_CLEANED!AM568))),"ENTREE INVALIDE",IF(OR(DATA_CLEANED!AL568&lt;0,DATA_CLEANED!AM568&lt;0),"SCORE NEGATIF","OK")))</f>
        <v>OK</v>
      </c>
      <c r="BF577" s="43" t="str">
        <f>IF(DATA_CLEANED!AK568&lt;&gt;DATA_CLEANED!AN568,"OK","ERREUR")</f>
        <v>OK</v>
      </c>
      <c r="BG577" s="43" t="str">
        <f>IF(DATA_CLEANED!AL568&gt;DATA_CLEANED!AM568,DATA_CLEANED!AK568,IF(AND(DATA_QUALITE!W5054="-",DATA_CLEANED!AM568=DATA_CLEANED!AL568),"MATCH NUL",IF(AND(DATA_QUALITE!V5054="-",DATA_QUALITE!U5054="AUCUNE"),DATA_QUALITE!T5054,IF(DATA_QUALITE!V5054&lt;&gt;"-",DATA_QUALITE!V5054,DATA_CLEANED!AN568))))</f>
        <v>Brazil</v>
      </c>
      <c r="BH577" s="103" t="str">
        <f>IF(AND(BG577="MATCH NUL",DATA_CLEANED!AO568="-"),"MATCH_NUL",IF(ISNUMBER(SEARCH("win on penalties",W5054)),"WIN_BY_PENALTY",IF(ISNUMBER(SEARCH("win after extra time",W5054)),"WIN_BY_EXTRA_TIME",IF(ISNUMBER(SEARCH("Golden Goal",W5054)),"WIN_BY_GOLDEN_GOAL","WIN_BY_SCORE"))))</f>
        <v>WIN_BY_SCORE</v>
      </c>
      <c r="BI577" s="99" t="str">
        <f>IF(OR(BG577=DATA_CLEANED!AK568,BG577=DATA_CLEANED!AN568,BG577="MATCH NUL"),"OK","ERREUR")</f>
        <v>OK</v>
      </c>
    </row>
    <row r="578" spans="2:61">
      <c r="B578" s="75">
        <v>141</v>
      </c>
      <c r="C578" s="15" t="str">
        <v>Richie Laryea</v>
      </c>
      <c r="D578" s="15">
        <v>31</v>
      </c>
      <c r="E578" s="15" t="str">
        <v>Canada</v>
      </c>
      <c r="F578" s="15" t="str">
        <v>RB</v>
      </c>
      <c r="G578" s="15" t="str">
        <v>Toronto FC</v>
      </c>
      <c r="H578" s="15">
        <v>22</v>
      </c>
      <c r="I578" s="15" t="str">
        <f t="shared" si="54"/>
        <v>141|Richie Laryea|31|Canada|RB|Toronto FC|22</v>
      </c>
      <c r="J578" s="15" t="str">
        <f>IF(COUNTIF(I$438:I578,I578)&gt;1,"DOUBLON","OK")</f>
        <v>OK</v>
      </c>
      <c r="S578" s="30" t="str">
        <v>Argentina</v>
      </c>
      <c r="T578" s="30" t="str">
        <f t="shared" si="55"/>
        <v>OK</v>
      </c>
      <c r="U578" s="30" t="str">
        <f t="shared" si="56"/>
        <v>-</v>
      </c>
      <c r="V578" s="30" t="str" cm="1">
        <f t="array" ref="V578">_xlfn.IFS(
ISNUMBER(SEARCH("USA",S578)),"United States",
ISNUMBER(SEARCH("Republic of Korea",S578)),"South Korea",
ISNUMBER(SEARCH("Cape Verde",S578)),"Cabo Verde",
ISNUMBER(SEARCH("Czechia",S578)),"Czech Republic",
ISNUMBER(SEARCH("Türkiye",S578)),"Turkey",
ISNUMBER(SEARCH("Ivory Coast",S578)),"Côte d'Ivoire",
ISNUMBER(SEARCH("Korea Republic",S578)),"South Korea",
ISNUMBER(SEARCH("Germany FR",S578)),"FR Germany",
ISNUMBER(SEARCH("West Germany",S578)),"FR Germany",
ISNUMBER(SEARCH("Germany DR",S578)),"DR Germany",
ISNUMBER(SEARCH("Korea DPR",S578)),"North Korea",
ISNUMBER(SEARCH("China PR",S578)),"China",
ISNUMBER(SEARCH("IR Iran",S578)),"Iran",
ISNUMBER(SEARCH("Congo DR",S578)),"Democratic Republic of the Congo",
ISNUMBER(SEARCH("DR Congo",S578)),"Democratic Republic of the Congo",
ISNUMBER(SEARCH("German DR",S578)),"DR Germany",
ISNUMBER(SEARCH("rn""&gt;United Arab Emirates",S578)),"United Arab Emirates",
ISNUMBER(SEARCH("rn""&gt;Republic of Ireland",S578)),"Ireland",
ISNUMBER(SEARCH("rn""&gt;Bosnia and Herzegovina",S578)),"Bosnia and Herzegovina",
ISNUMBER(SEARCH("rn""&gt;Trinidad and Tobago",S578)),"Trinidad and Tobago",
ISNUMBER(SEARCH("rn""&gt;Serbia and Montenegro",S578)),"Serbia and Montenegro",
ISNUMBER(SEARCH(_xlfn.UNICHAR(65533),S578)),"Côte d'Ivoire",
TRUE,""
)</f>
        <v/>
      </c>
      <c r="W578" s="30" t="str">
        <f t="shared" si="52"/>
        <v>Argentina</v>
      </c>
      <c r="Z578" s="40" t="str">
        <v>Parc des Princes</v>
      </c>
      <c r="AA578" s="40" t="str" cm="1">
        <f t="array" ref="AA578">IFERROR(_xlfn.XLOOKUP(Z578,_xlfn.ANCHORARRAY(Z$31),AA$31:AA$37),Z578)</f>
        <v>Parc des Princes</v>
      </c>
      <c r="AB578" s="42" t="str">
        <v xml:space="preserve">Paris </v>
      </c>
      <c r="AC578" s="89" t="str">
        <f t="shared" si="53"/>
        <v xml:space="preserve">Paris </v>
      </c>
      <c r="AE578" s="42">
        <v>1994</v>
      </c>
      <c r="AK578" s="42">
        <v>6</v>
      </c>
      <c r="AL578" s="42">
        <v>1</v>
      </c>
      <c r="AW578" s="89" t="str">
        <v>ROUND_OF_16</v>
      </c>
      <c r="BE578" s="43" t="str">
        <f>IF(OR(DATA_CLEANED!AL569="",DATA_CLEANED!AM569=""),"MANQUANT",IF(OR(NOT(ISNUMBER(DATA_CLEANED!AL569)),NOT(ISNUMBER(DATA_CLEANED!AM569))),"ENTREE INVALIDE",IF(OR(DATA_CLEANED!AL569&lt;0,DATA_CLEANED!AM569&lt;0),"SCORE NEGATIF","OK")))</f>
        <v>OK</v>
      </c>
      <c r="BF578" s="43" t="str">
        <f>IF(DATA_CLEANED!AK569&lt;&gt;DATA_CLEANED!AN569,"OK","ERREUR")</f>
        <v>OK</v>
      </c>
      <c r="BG578" s="43" t="str">
        <f>IF(DATA_CLEANED!AL569&gt;DATA_CLEANED!AM569,DATA_CLEANED!AK569,IF(AND(DATA_QUALITE!W5055="-",DATA_CLEANED!AM569=DATA_CLEANED!AL569),"MATCH NUL",IF(AND(DATA_QUALITE!V5055="-",DATA_QUALITE!U5055="AUCUNE"),DATA_QUALITE!T5055,IF(DATA_QUALITE!V5055&lt;&gt;"-",DATA_QUALITE!V5055,DATA_CLEANED!AN569))))</f>
        <v>France</v>
      </c>
      <c r="BH578" s="103" t="str">
        <f>IF(AND(BG578="MATCH NUL",DATA_CLEANED!AO569="-"),"MATCH_NUL",IF(ISNUMBER(SEARCH("win on penalties",W5055)),"WIN_BY_PENALTY",IF(ISNUMBER(SEARCH("win after extra time",W5055)),"WIN_BY_EXTRA_TIME",IF(ISNUMBER(SEARCH("Golden Goal",W5055)),"WIN_BY_GOLDEN_GOAL","WIN_BY_SCORE"))))</f>
        <v>WIN_BY_EXTRA_TIME</v>
      </c>
      <c r="BI578" s="99" t="str">
        <f>IF(OR(BG578=DATA_CLEANED!AK569,BG578=DATA_CLEANED!AN569,BG578="MATCH NUL"),"OK","ERREUR")</f>
        <v>OK</v>
      </c>
    </row>
    <row r="579" spans="2:61">
      <c r="B579" s="75">
        <v>142</v>
      </c>
      <c r="C579" s="15" t="str">
        <v>Stephen Eustáquio</v>
      </c>
      <c r="D579" s="15">
        <v>29</v>
      </c>
      <c r="E579" s="15" t="str">
        <v>Canada</v>
      </c>
      <c r="F579" s="15" t="str">
        <v>CDM</v>
      </c>
      <c r="G579" s="15" t="str">
        <v>Los Angeles FC</v>
      </c>
      <c r="H579" s="15">
        <v>7</v>
      </c>
      <c r="I579" s="15" t="str">
        <f t="shared" si="54"/>
        <v>142|Stephen Eustáquio|29|Canada|CDM|Los Angeles FC|7</v>
      </c>
      <c r="J579" s="15" t="str">
        <f>IF(COUNTIF(I$438:I579,I579)&gt;1,"DOUBLON","OK")</f>
        <v>OK</v>
      </c>
      <c r="S579" s="30" t="str">
        <v>Argentina</v>
      </c>
      <c r="T579" s="30" t="str">
        <f t="shared" si="55"/>
        <v>OK</v>
      </c>
      <c r="U579" s="30" t="str">
        <f t="shared" si="56"/>
        <v>-</v>
      </c>
      <c r="V579" s="30" t="str" cm="1">
        <f t="array" ref="V579">_xlfn.IFS(
ISNUMBER(SEARCH("USA",S579)),"United States",
ISNUMBER(SEARCH("Republic of Korea",S579)),"South Korea",
ISNUMBER(SEARCH("Cape Verde",S579)),"Cabo Verde",
ISNUMBER(SEARCH("Czechia",S579)),"Czech Republic",
ISNUMBER(SEARCH("Türkiye",S579)),"Turkey",
ISNUMBER(SEARCH("Ivory Coast",S579)),"Côte d'Ivoire",
ISNUMBER(SEARCH("Korea Republic",S579)),"South Korea",
ISNUMBER(SEARCH("Germany FR",S579)),"FR Germany",
ISNUMBER(SEARCH("West Germany",S579)),"FR Germany",
ISNUMBER(SEARCH("Germany DR",S579)),"DR Germany",
ISNUMBER(SEARCH("Korea DPR",S579)),"North Korea",
ISNUMBER(SEARCH("China PR",S579)),"China",
ISNUMBER(SEARCH("IR Iran",S579)),"Iran",
ISNUMBER(SEARCH("Congo DR",S579)),"Democratic Republic of the Congo",
ISNUMBER(SEARCH("DR Congo",S579)),"Democratic Republic of the Congo",
ISNUMBER(SEARCH("German DR",S579)),"DR Germany",
ISNUMBER(SEARCH("rn""&gt;United Arab Emirates",S579)),"United Arab Emirates",
ISNUMBER(SEARCH("rn""&gt;Republic of Ireland",S579)),"Ireland",
ISNUMBER(SEARCH("rn""&gt;Bosnia and Herzegovina",S579)),"Bosnia and Herzegovina",
ISNUMBER(SEARCH("rn""&gt;Trinidad and Tobago",S579)),"Trinidad and Tobago",
ISNUMBER(SEARCH("rn""&gt;Serbia and Montenegro",S579)),"Serbia and Montenegro",
ISNUMBER(SEARCH(_xlfn.UNICHAR(65533),S579)),"Côte d'Ivoire",
TRUE,""
)</f>
        <v/>
      </c>
      <c r="W579" s="30" t="str">
        <f t="shared" si="52"/>
        <v>Argentina</v>
      </c>
      <c r="Z579" s="40" t="str">
        <v>Stade Geoffroy Guichard</v>
      </c>
      <c r="AA579" s="40" t="str" cm="1">
        <f t="array" ref="AA579">IFERROR(_xlfn.XLOOKUP(Z579,_xlfn.ANCHORARRAY(Z$31),AA$31:AA$37),Z579)</f>
        <v>Stade Geoffroy Guichard</v>
      </c>
      <c r="AB579" s="42" t="str">
        <v xml:space="preserve">Saint-Etienne </v>
      </c>
      <c r="AC579" s="89" t="str">
        <f t="shared" si="53"/>
        <v xml:space="preserve">Saint-Etienne </v>
      </c>
      <c r="AE579" s="42">
        <v>1994</v>
      </c>
      <c r="AK579" s="42">
        <v>1</v>
      </c>
      <c r="AL579" s="42">
        <v>2</v>
      </c>
      <c r="AW579" s="89" t="str">
        <v>ROUND_OF_16</v>
      </c>
      <c r="BE579" s="43" t="str">
        <f>IF(OR(DATA_CLEANED!AL570="",DATA_CLEANED!AM570=""),"MANQUANT",IF(OR(NOT(ISNUMBER(DATA_CLEANED!AL570)),NOT(ISNUMBER(DATA_CLEANED!AM570))),"ENTREE INVALIDE",IF(OR(DATA_CLEANED!AL570&lt;0,DATA_CLEANED!AM570&lt;0),"SCORE NEGATIF","OK")))</f>
        <v>OK</v>
      </c>
      <c r="BF579" s="43" t="str">
        <f>IF(DATA_CLEANED!AK570&lt;&gt;DATA_CLEANED!AN570,"OK","ERREUR")</f>
        <v>OK</v>
      </c>
      <c r="BG579" s="43" t="str">
        <f>IF(DATA_CLEANED!AL570&gt;DATA_CLEANED!AM570,DATA_CLEANED!AK570,IF(AND(DATA_QUALITE!W5056="-",DATA_CLEANED!AM570=DATA_CLEANED!AL570),"MATCH NUL",IF(AND(DATA_QUALITE!V5056="-",DATA_QUALITE!U5056="AUCUNE"),DATA_QUALITE!T5056,IF(DATA_QUALITE!V5056&lt;&gt;"-",DATA_QUALITE!V5056,DATA_CLEANED!AN570))))</f>
        <v>Denmark</v>
      </c>
      <c r="BH579" s="103" t="str">
        <f>IF(AND(BG579="MATCH NUL",DATA_CLEANED!AO570="-"),"MATCH_NUL",IF(ISNUMBER(SEARCH("win on penalties",W5056)),"WIN_BY_PENALTY",IF(ISNUMBER(SEARCH("win after extra time",W5056)),"WIN_BY_EXTRA_TIME",IF(ISNUMBER(SEARCH("Golden Goal",W5056)),"WIN_BY_GOLDEN_GOAL","WIN_BY_SCORE"))))</f>
        <v>WIN_BY_SCORE</v>
      </c>
      <c r="BI579" s="99" t="str">
        <f>IF(OR(BG579=DATA_CLEANED!AK570,BG579=DATA_CLEANED!AN570,BG579="MATCH NUL"),"OK","ERREUR")</f>
        <v>OK</v>
      </c>
    </row>
    <row r="580" spans="2:61">
      <c r="B580" s="75">
        <v>143</v>
      </c>
      <c r="C580" s="15" t="str">
        <v>Niko Sigur</v>
      </c>
      <c r="D580" s="15">
        <v>22</v>
      </c>
      <c r="E580" s="15" t="str">
        <v>Canada</v>
      </c>
      <c r="F580" s="15" t="str">
        <v>CDM</v>
      </c>
      <c r="G580" s="15" t="str">
        <v>Hajduk Split</v>
      </c>
      <c r="H580" s="15">
        <v>23</v>
      </c>
      <c r="I580" s="15" t="str">
        <f t="shared" si="54"/>
        <v>143|Niko Sigur|22|Canada|CDM|Hajduk Split|23</v>
      </c>
      <c r="J580" s="15" t="str">
        <f>IF(COUNTIF(I$438:I580,I580)&gt;1,"DOUBLON","OK")</f>
        <v>OK</v>
      </c>
      <c r="S580" s="30" t="str">
        <v>Argentina</v>
      </c>
      <c r="T580" s="30" t="str">
        <f t="shared" si="55"/>
        <v>OK</v>
      </c>
      <c r="U580" s="30" t="str">
        <f t="shared" si="56"/>
        <v>-</v>
      </c>
      <c r="V580" s="30" t="str" cm="1">
        <f t="array" ref="V580">_xlfn.IFS(
ISNUMBER(SEARCH("USA",S580)),"United States",
ISNUMBER(SEARCH("Republic of Korea",S580)),"South Korea",
ISNUMBER(SEARCH("Cape Verde",S580)),"Cabo Verde",
ISNUMBER(SEARCH("Czechia",S580)),"Czech Republic",
ISNUMBER(SEARCH("Türkiye",S580)),"Turkey",
ISNUMBER(SEARCH("Ivory Coast",S580)),"Côte d'Ivoire",
ISNUMBER(SEARCH("Korea Republic",S580)),"South Korea",
ISNUMBER(SEARCH("Germany FR",S580)),"FR Germany",
ISNUMBER(SEARCH("West Germany",S580)),"FR Germany",
ISNUMBER(SEARCH("Germany DR",S580)),"DR Germany",
ISNUMBER(SEARCH("Korea DPR",S580)),"North Korea",
ISNUMBER(SEARCH("China PR",S580)),"China",
ISNUMBER(SEARCH("IR Iran",S580)),"Iran",
ISNUMBER(SEARCH("Congo DR",S580)),"Democratic Republic of the Congo",
ISNUMBER(SEARCH("DR Congo",S580)),"Democratic Republic of the Congo",
ISNUMBER(SEARCH("German DR",S580)),"DR Germany",
ISNUMBER(SEARCH("rn""&gt;United Arab Emirates",S580)),"United Arab Emirates",
ISNUMBER(SEARCH("rn""&gt;Republic of Ireland",S580)),"Ireland",
ISNUMBER(SEARCH("rn""&gt;Bosnia and Herzegovina",S580)),"Bosnia and Herzegovina",
ISNUMBER(SEARCH("rn""&gt;Trinidad and Tobago",S580)),"Trinidad and Tobago",
ISNUMBER(SEARCH("rn""&gt;Serbia and Montenegro",S580)),"Serbia and Montenegro",
ISNUMBER(SEARCH(_xlfn.UNICHAR(65533),S580)),"Côte d'Ivoire",
TRUE,""
)</f>
        <v/>
      </c>
      <c r="W580" s="30" t="str">
        <f t="shared" si="52"/>
        <v>Argentina</v>
      </c>
      <c r="Z580" s="40" t="str">
        <v>La Beaujoire</v>
      </c>
      <c r="AA580" s="40" t="str" cm="1">
        <f t="array" ref="AA580">IFERROR(_xlfn.XLOOKUP(Z580,_xlfn.ANCHORARRAY(Z$31),AA$31:AA$37),Z580)</f>
        <v>La Beaujoire</v>
      </c>
      <c r="AB580" s="42" t="str">
        <v xml:space="preserve">Nantes </v>
      </c>
      <c r="AC580" s="89" t="str">
        <f t="shared" si="53"/>
        <v xml:space="preserve">Nantes </v>
      </c>
      <c r="AE580" s="42">
        <v>1994</v>
      </c>
      <c r="AK580" s="42">
        <v>0</v>
      </c>
      <c r="AL580" s="42">
        <v>1</v>
      </c>
      <c r="AW580" s="89" t="str">
        <v>ROUND_OF_16</v>
      </c>
      <c r="BE580" s="43" t="str">
        <f>IF(OR(DATA_CLEANED!AL571="",DATA_CLEANED!AM571=""),"MANQUANT",IF(OR(NOT(ISNUMBER(DATA_CLEANED!AL571)),NOT(ISNUMBER(DATA_CLEANED!AM571))),"ENTREE INVALIDE",IF(OR(DATA_CLEANED!AL571&lt;0,DATA_CLEANED!AM571&lt;0),"SCORE NEGATIF","OK")))</f>
        <v>OK</v>
      </c>
      <c r="BF580" s="43" t="str">
        <f>IF(DATA_CLEANED!AK571&lt;&gt;DATA_CLEANED!AN571,"OK","ERREUR")</f>
        <v>OK</v>
      </c>
      <c r="BG580" s="43" t="str">
        <f>IF(DATA_CLEANED!AL571&gt;DATA_CLEANED!AM571,DATA_CLEANED!AK571,IF(AND(DATA_QUALITE!W5057="-",DATA_CLEANED!AM571=DATA_CLEANED!AL571),"MATCH NUL",IF(AND(DATA_QUALITE!V5057="-",DATA_QUALITE!U5057="AUCUNE"),DATA_QUALITE!T5057,IF(DATA_QUALITE!V5057&lt;&gt;"-",DATA_QUALITE!V5057,DATA_CLEANED!AN571))))</f>
        <v>Germany</v>
      </c>
      <c r="BH580" s="103" t="str">
        <f>IF(AND(BG580="MATCH NUL",DATA_CLEANED!AO571="-"),"MATCH_NUL",IF(ISNUMBER(SEARCH("win on penalties",W5057)),"WIN_BY_PENALTY",IF(ISNUMBER(SEARCH("win after extra time",W5057)),"WIN_BY_EXTRA_TIME",IF(ISNUMBER(SEARCH("Golden Goal",W5057)),"WIN_BY_GOLDEN_GOAL","WIN_BY_SCORE"))))</f>
        <v>WIN_BY_SCORE</v>
      </c>
      <c r="BI580" s="99" t="str">
        <f>IF(OR(BG580=DATA_CLEANED!AK571,BG580=DATA_CLEANED!AN571,BG580="MATCH NUL"),"OK","ERREUR")</f>
        <v>OK</v>
      </c>
    </row>
    <row r="581" spans="2:61">
      <c r="B581" s="75">
        <v>144</v>
      </c>
      <c r="C581" s="15" t="str">
        <v>Mathieu Choinière</v>
      </c>
      <c r="D581" s="15">
        <v>27</v>
      </c>
      <c r="E581" s="15" t="str">
        <v>Canada</v>
      </c>
      <c r="F581" s="15" t="str">
        <v>CM</v>
      </c>
      <c r="G581" s="15" t="str">
        <v>Los Angeles FC</v>
      </c>
      <c r="H581" s="15">
        <v>6</v>
      </c>
      <c r="I581" s="15" t="str">
        <f t="shared" si="54"/>
        <v>144|Mathieu Choinière|27|Canada|CM|Los Angeles FC|6</v>
      </c>
      <c r="J581" s="15" t="str">
        <f>IF(COUNTIF(I$438:I581,I581)&gt;1,"DOUBLON","OK")</f>
        <v>OK</v>
      </c>
      <c r="S581" s="30" t="str">
        <v>England</v>
      </c>
      <c r="T581" s="30" t="str">
        <f t="shared" si="55"/>
        <v>ERREUR</v>
      </c>
      <c r="U581" s="30" t="str">
        <f t="shared" si="56"/>
        <v>AUCUNE</v>
      </c>
      <c r="V581" s="30" t="str" cm="1">
        <f t="array" ref="V581">_xlfn.IFS(
ISNUMBER(SEARCH("USA",S581)),"United States",
ISNUMBER(SEARCH("Republic of Korea",S581)),"South Korea",
ISNUMBER(SEARCH("Cape Verde",S581)),"Cabo Verde",
ISNUMBER(SEARCH("Czechia",S581)),"Czech Republic",
ISNUMBER(SEARCH("Türkiye",S581)),"Turkey",
ISNUMBER(SEARCH("Ivory Coast",S581)),"Côte d'Ivoire",
ISNUMBER(SEARCH("Korea Republic",S581)),"South Korea",
ISNUMBER(SEARCH("Germany FR",S581)),"FR Germany",
ISNUMBER(SEARCH("West Germany",S581)),"FR Germany",
ISNUMBER(SEARCH("Germany DR",S581)),"DR Germany",
ISNUMBER(SEARCH("Korea DPR",S581)),"North Korea",
ISNUMBER(SEARCH("China PR",S581)),"China",
ISNUMBER(SEARCH("IR Iran",S581)),"Iran",
ISNUMBER(SEARCH("Congo DR",S581)),"Democratic Republic of the Congo",
ISNUMBER(SEARCH("DR Congo",S581)),"Democratic Republic of the Congo",
ISNUMBER(SEARCH("German DR",S581)),"DR Germany",
ISNUMBER(SEARCH("rn""&gt;United Arab Emirates",S581)),"United Arab Emirates",
ISNUMBER(SEARCH("rn""&gt;Republic of Ireland",S581)),"Ireland",
ISNUMBER(SEARCH("rn""&gt;Bosnia and Herzegovina",S581)),"Bosnia and Herzegovina",
ISNUMBER(SEARCH("rn""&gt;Trinidad and Tobago",S581)),"Trinidad and Tobago",
ISNUMBER(SEARCH("rn""&gt;Serbia and Montenegro",S581)),"Serbia and Montenegro",
ISNUMBER(SEARCH(_xlfn.UNICHAR(65533),S581)),"Côte d'Ivoire",
TRUE,""
)</f>
        <v/>
      </c>
      <c r="W581" s="30" t="str">
        <f t="shared" si="52"/>
        <v>England</v>
      </c>
      <c r="Z581" s="40" t="str">
        <v>Stade du Parc Lescure</v>
      </c>
      <c r="AA581" s="40" t="str" cm="1">
        <f t="array" ref="AA581">IFERROR(_xlfn.XLOOKUP(Z581,_xlfn.ANCHORARRAY(Z$31),AA$31:AA$37),Z581)</f>
        <v>Stade du Parc Lescure</v>
      </c>
      <c r="AB581" s="42" t="str">
        <v xml:space="preserve">Bordeaux </v>
      </c>
      <c r="AC581" s="89" t="str">
        <f t="shared" si="53"/>
        <v xml:space="preserve">Bordeaux </v>
      </c>
      <c r="AE581" s="42">
        <v>1994</v>
      </c>
      <c r="AK581" s="42">
        <v>0</v>
      </c>
      <c r="AL581" s="42">
        <v>2</v>
      </c>
      <c r="AW581" s="89" t="str">
        <v>ROUND_OF_16</v>
      </c>
      <c r="BE581" s="43" t="str">
        <f>IF(OR(DATA_CLEANED!AL572="",DATA_CLEANED!AM572=""),"MANQUANT",IF(OR(NOT(ISNUMBER(DATA_CLEANED!AL572)),NOT(ISNUMBER(DATA_CLEANED!AM572))),"ENTREE INVALIDE",IF(OR(DATA_CLEANED!AL572&lt;0,DATA_CLEANED!AM572&lt;0),"SCORE NEGATIF","OK")))</f>
        <v>OK</v>
      </c>
      <c r="BF581" s="43" t="str">
        <f>IF(DATA_CLEANED!AK572&lt;&gt;DATA_CLEANED!AN572,"OK","ERREUR")</f>
        <v>OK</v>
      </c>
      <c r="BG581" s="43" t="str">
        <f>IF(DATA_CLEANED!AL572&gt;DATA_CLEANED!AM572,DATA_CLEANED!AK572,IF(AND(DATA_QUALITE!W5058="-",DATA_CLEANED!AM572=DATA_CLEANED!AL572),"MATCH NUL",IF(AND(DATA_QUALITE!V5058="-",DATA_QUALITE!U5058="AUCUNE"),DATA_QUALITE!T5058,IF(DATA_QUALITE!V5058&lt;&gt;"-",DATA_QUALITE!V5058,DATA_CLEANED!AN572))))</f>
        <v>Netherlands</v>
      </c>
      <c r="BH581" s="103" t="str">
        <f>IF(AND(BG581="MATCH NUL",DATA_CLEANED!AO572="-"),"MATCH_NUL",IF(ISNUMBER(SEARCH("win on penalties",W5058)),"WIN_BY_PENALTY",IF(ISNUMBER(SEARCH("win after extra time",W5058)),"WIN_BY_EXTRA_TIME",IF(ISNUMBER(SEARCH("Golden Goal",W5058)),"WIN_BY_GOLDEN_GOAL","WIN_BY_SCORE"))))</f>
        <v>WIN_BY_SCORE</v>
      </c>
      <c r="BI581" s="99" t="str">
        <f>IF(OR(BG581=DATA_CLEANED!AK572,BG581=DATA_CLEANED!AN572,BG581="MATCH NUL"),"OK","ERREUR")</f>
        <v>OK</v>
      </c>
    </row>
    <row r="582" spans="2:61">
      <c r="B582" s="75">
        <v>145</v>
      </c>
      <c r="C582" s="15" t="str">
        <v>Ismaël Koné</v>
      </c>
      <c r="D582" s="15">
        <v>23</v>
      </c>
      <c r="E582" s="15" t="str">
        <v>Canada</v>
      </c>
      <c r="F582" s="15" t="str">
        <v>CM</v>
      </c>
      <c r="G582" s="15" t="str">
        <v>Sassuolo</v>
      </c>
      <c r="H582" s="15">
        <v>8</v>
      </c>
      <c r="I582" s="15" t="str">
        <f t="shared" si="54"/>
        <v>145|Ismaël Koné|23|Canada|CM|Sassuolo|8</v>
      </c>
      <c r="J582" s="15" t="str">
        <f>IF(COUNTIF(I$438:I582,I582)&gt;1,"DOUBLON","OK")</f>
        <v>OK</v>
      </c>
      <c r="S582" s="30" t="str">
        <v>England</v>
      </c>
      <c r="T582" s="30" t="str">
        <f t="shared" si="55"/>
        <v>ERREUR</v>
      </c>
      <c r="U582" s="30" t="str">
        <f t="shared" si="56"/>
        <v>AUCUNE</v>
      </c>
      <c r="V582" s="30" t="str" cm="1">
        <f t="array" ref="V582">_xlfn.IFS(
ISNUMBER(SEARCH("USA",S582)),"United States",
ISNUMBER(SEARCH("Republic of Korea",S582)),"South Korea",
ISNUMBER(SEARCH("Cape Verde",S582)),"Cabo Verde",
ISNUMBER(SEARCH("Czechia",S582)),"Czech Republic",
ISNUMBER(SEARCH("Türkiye",S582)),"Turkey",
ISNUMBER(SEARCH("Ivory Coast",S582)),"Côte d'Ivoire",
ISNUMBER(SEARCH("Korea Republic",S582)),"South Korea",
ISNUMBER(SEARCH("Germany FR",S582)),"FR Germany",
ISNUMBER(SEARCH("West Germany",S582)),"FR Germany",
ISNUMBER(SEARCH("Germany DR",S582)),"DR Germany",
ISNUMBER(SEARCH("Korea DPR",S582)),"North Korea",
ISNUMBER(SEARCH("China PR",S582)),"China",
ISNUMBER(SEARCH("IR Iran",S582)),"Iran",
ISNUMBER(SEARCH("Congo DR",S582)),"Democratic Republic of the Congo",
ISNUMBER(SEARCH("DR Congo",S582)),"Democratic Republic of the Congo",
ISNUMBER(SEARCH("German DR",S582)),"DR Germany",
ISNUMBER(SEARCH("rn""&gt;United Arab Emirates",S582)),"United Arab Emirates",
ISNUMBER(SEARCH("rn""&gt;Republic of Ireland",S582)),"Ireland",
ISNUMBER(SEARCH("rn""&gt;Bosnia and Herzegovina",S582)),"Bosnia and Herzegovina",
ISNUMBER(SEARCH("rn""&gt;Trinidad and Tobago",S582)),"Trinidad and Tobago",
ISNUMBER(SEARCH("rn""&gt;Serbia and Montenegro",S582)),"Serbia and Montenegro",
ISNUMBER(SEARCH(_xlfn.UNICHAR(65533),S582)),"Côte d'Ivoire",
TRUE,""
)</f>
        <v/>
      </c>
      <c r="W582" s="30" t="str">
        <f t="shared" si="52"/>
        <v>England</v>
      </c>
      <c r="Z582" s="40" t="str">
        <v>Stade V�lodrome</v>
      </c>
      <c r="AA582" s="40" t="str" cm="1">
        <f t="array" ref="AA582">IFERROR(_xlfn.XLOOKUP(Z582,_xlfn.ANCHORARRAY(Z$31),AA$31:AA$37),Z582)</f>
        <v>Stade Vélodrome</v>
      </c>
      <c r="AB582" s="42" t="str">
        <v xml:space="preserve">Marseilles </v>
      </c>
      <c r="AC582" s="89" t="str">
        <f t="shared" si="53"/>
        <v xml:space="preserve">Marseilles </v>
      </c>
      <c r="AE582" s="42">
        <v>1994</v>
      </c>
      <c r="AK582" s="42">
        <v>0</v>
      </c>
      <c r="AL582" s="42">
        <v>2</v>
      </c>
      <c r="AW582" s="89" t="str">
        <v>ROUND_OF_16</v>
      </c>
      <c r="BE582" s="43" t="str">
        <f>IF(OR(DATA_CLEANED!AL573="",DATA_CLEANED!AM573=""),"MANQUANT",IF(OR(NOT(ISNUMBER(DATA_CLEANED!AL573)),NOT(ISNUMBER(DATA_CLEANED!AM573))),"ENTREE INVALIDE",IF(OR(DATA_CLEANED!AL573&lt;0,DATA_CLEANED!AM573&lt;0),"SCORE NEGATIF","OK")))</f>
        <v>OK</v>
      </c>
      <c r="BF582" s="43" t="str">
        <f>IF(DATA_CLEANED!AK573&lt;&gt;DATA_CLEANED!AN573,"OK","ERREUR")</f>
        <v>OK</v>
      </c>
      <c r="BG582" s="43" t="str">
        <f>IF(DATA_CLEANED!AL573&gt;DATA_CLEANED!AM573,DATA_CLEANED!AK573,IF(AND(DATA_QUALITE!W5059="-",DATA_CLEANED!AM573=DATA_CLEANED!AL573),"MATCH NUL",IF(AND(DATA_QUALITE!V5059="-",DATA_QUALITE!U5059="AUCUNE"),DATA_QUALITE!T5059,IF(DATA_QUALITE!V5059&lt;&gt;"-",DATA_QUALITE!V5059,DATA_CLEANED!AN573))))</f>
        <v>Croatia</v>
      </c>
      <c r="BH582" s="103" t="str">
        <f>IF(AND(BG582="MATCH NUL",DATA_CLEANED!AO573="-"),"MATCH_NUL",IF(ISNUMBER(SEARCH("win on penalties",W5059)),"WIN_BY_PENALTY",IF(ISNUMBER(SEARCH("win after extra time",W5059)),"WIN_BY_EXTRA_TIME",IF(ISNUMBER(SEARCH("Golden Goal",W5059)),"WIN_BY_GOLDEN_GOAL","WIN_BY_SCORE"))))</f>
        <v>WIN_BY_SCORE</v>
      </c>
      <c r="BI582" s="99" t="str">
        <f>IF(OR(BG582=DATA_CLEANED!AK573,BG582=DATA_CLEANED!AN573,BG582="MATCH NUL"),"OK","ERREUR")</f>
        <v>OK</v>
      </c>
    </row>
    <row r="583" spans="2:61">
      <c r="B583" s="75">
        <v>146</v>
      </c>
      <c r="C583" s="15" t="str">
        <v>Jonathan Osorio</v>
      </c>
      <c r="D583" s="15">
        <v>33</v>
      </c>
      <c r="E583" s="15" t="str">
        <v>Canada</v>
      </c>
      <c r="F583" s="15" t="str">
        <v>CM</v>
      </c>
      <c r="G583" s="15" t="str">
        <v>Toronto FC</v>
      </c>
      <c r="H583" s="15">
        <v>21</v>
      </c>
      <c r="I583" s="15" t="str">
        <f t="shared" si="54"/>
        <v>146|Jonathan Osorio|33|Canada|CM|Toronto FC|21</v>
      </c>
      <c r="J583" s="15" t="str">
        <f>IF(COUNTIF(I$438:I583,I583)&gt;1,"DOUBLON","OK")</f>
        <v>OK</v>
      </c>
      <c r="S583" s="30" t="str">
        <v>England</v>
      </c>
      <c r="T583" s="30" t="str">
        <f t="shared" si="55"/>
        <v>ERREUR</v>
      </c>
      <c r="U583" s="30" t="str">
        <f t="shared" si="56"/>
        <v>AUCUNE</v>
      </c>
      <c r="V583" s="30" t="str" cm="1">
        <f t="array" ref="V583">_xlfn.IFS(
ISNUMBER(SEARCH("USA",S583)),"United States",
ISNUMBER(SEARCH("Republic of Korea",S583)),"South Korea",
ISNUMBER(SEARCH("Cape Verde",S583)),"Cabo Verde",
ISNUMBER(SEARCH("Czechia",S583)),"Czech Republic",
ISNUMBER(SEARCH("Türkiye",S583)),"Turkey",
ISNUMBER(SEARCH("Ivory Coast",S583)),"Côte d'Ivoire",
ISNUMBER(SEARCH("Korea Republic",S583)),"South Korea",
ISNUMBER(SEARCH("Germany FR",S583)),"FR Germany",
ISNUMBER(SEARCH("West Germany",S583)),"FR Germany",
ISNUMBER(SEARCH("Germany DR",S583)),"DR Germany",
ISNUMBER(SEARCH("Korea DPR",S583)),"North Korea",
ISNUMBER(SEARCH("China PR",S583)),"China",
ISNUMBER(SEARCH("IR Iran",S583)),"Iran",
ISNUMBER(SEARCH("Congo DR",S583)),"Democratic Republic of the Congo",
ISNUMBER(SEARCH("DR Congo",S583)),"Democratic Republic of the Congo",
ISNUMBER(SEARCH("German DR",S583)),"DR Germany",
ISNUMBER(SEARCH("rn""&gt;United Arab Emirates",S583)),"United Arab Emirates",
ISNUMBER(SEARCH("rn""&gt;Republic of Ireland",S583)),"Ireland",
ISNUMBER(SEARCH("rn""&gt;Bosnia and Herzegovina",S583)),"Bosnia and Herzegovina",
ISNUMBER(SEARCH("rn""&gt;Trinidad and Tobago",S583)),"Trinidad and Tobago",
ISNUMBER(SEARCH("rn""&gt;Serbia and Montenegro",S583)),"Serbia and Montenegro",
ISNUMBER(SEARCH(_xlfn.UNICHAR(65533),S583)),"Côte d'Ivoire",
TRUE,""
)</f>
        <v/>
      </c>
      <c r="W583" s="30" t="str">
        <f t="shared" si="52"/>
        <v>England</v>
      </c>
      <c r="Z583" s="40" t="str">
        <v>Stade Felix Bollaert</v>
      </c>
      <c r="AA583" s="40" t="str" cm="1">
        <f t="array" ref="AA583">IFERROR(_xlfn.XLOOKUP(Z583,_xlfn.ANCHORARRAY(Z$31),AA$31:AA$37),Z583)</f>
        <v>Stade Felix Bollaert</v>
      </c>
      <c r="AB583" s="42" t="str">
        <v xml:space="preserve">Lens </v>
      </c>
      <c r="AC583" s="89" t="str">
        <f t="shared" si="53"/>
        <v xml:space="preserve">Lens </v>
      </c>
      <c r="AE583" s="42">
        <v>1994</v>
      </c>
      <c r="AK583" s="42">
        <v>3</v>
      </c>
      <c r="AL583" s="42">
        <v>2</v>
      </c>
      <c r="AW583" s="89" t="str">
        <v>ROUND_OF_16</v>
      </c>
      <c r="BE583" s="43" t="str">
        <f>IF(OR(DATA_CLEANED!AL574="",DATA_CLEANED!AM574=""),"MANQUANT",IF(OR(NOT(ISNUMBER(DATA_CLEANED!AL574)),NOT(ISNUMBER(DATA_CLEANED!AM574))),"ENTREE INVALIDE",IF(OR(DATA_CLEANED!AL574&lt;0,DATA_CLEANED!AM574&lt;0),"SCORE NEGATIF","OK")))</f>
        <v>OK</v>
      </c>
      <c r="BF583" s="43" t="str">
        <f>IF(DATA_CLEANED!AK574&lt;&gt;DATA_CLEANED!AN574,"OK","ERREUR")</f>
        <v>OK</v>
      </c>
      <c r="BG583" s="43" t="str">
        <f>IF(DATA_CLEANED!AL574&gt;DATA_CLEANED!AM574,DATA_CLEANED!AK574,IF(AND(DATA_QUALITE!W5060="-",DATA_CLEANED!AM574=DATA_CLEANED!AL574),"MATCH NUL",IF(AND(DATA_QUALITE!V5060="-",DATA_QUALITE!U5060="AUCUNE"),DATA_QUALITE!T5060,IF(DATA_QUALITE!V5060&lt;&gt;"-",DATA_QUALITE!V5060,DATA_CLEANED!AN574))))</f>
        <v>Argentina</v>
      </c>
      <c r="BH583" s="103" t="str">
        <f>IF(AND(BG583="MATCH NUL",DATA_CLEANED!AO574="-"),"MATCH_NUL",IF(ISNUMBER(SEARCH("win on penalties",W5060)),"WIN_BY_PENALTY",IF(ISNUMBER(SEARCH("win after extra time",W5060)),"WIN_BY_EXTRA_TIME",IF(ISNUMBER(SEARCH("Golden Goal",W5060)),"WIN_BY_GOLDEN_GOAL","WIN_BY_SCORE"))))</f>
        <v>WIN_BY_PENALTY</v>
      </c>
      <c r="BI583" s="99" t="str">
        <f>IF(OR(BG583=DATA_CLEANED!AK574,BG583=DATA_CLEANED!AN574,BG583="MATCH NUL"),"OK","ERREUR")</f>
        <v>OK</v>
      </c>
    </row>
    <row r="584" spans="2:61">
      <c r="B584" s="75">
        <v>147</v>
      </c>
      <c r="C584" s="15" t="str">
        <v>Nathan Saliba</v>
      </c>
      <c r="D584" s="15">
        <v>22</v>
      </c>
      <c r="E584" s="15" t="str">
        <v>Canada</v>
      </c>
      <c r="F584" s="15" t="str">
        <v>CM</v>
      </c>
      <c r="G584" s="15" t="str">
        <v>Anderlecht</v>
      </c>
      <c r="H584" s="15">
        <v>25</v>
      </c>
      <c r="I584" s="15" t="str">
        <f t="shared" si="54"/>
        <v>147|Nathan Saliba|22|Canada|CM|Anderlecht|25</v>
      </c>
      <c r="J584" s="15" t="str">
        <f>IF(COUNTIF(I$438:I584,I584)&gt;1,"DOUBLON","OK")</f>
        <v>OK</v>
      </c>
      <c r="S584" s="30" t="str">
        <v>England</v>
      </c>
      <c r="T584" s="30" t="str">
        <f t="shared" si="55"/>
        <v>ERREUR</v>
      </c>
      <c r="U584" s="30" t="str">
        <f t="shared" si="56"/>
        <v>AUCUNE</v>
      </c>
      <c r="V584" s="30" t="str" cm="1">
        <f t="array" ref="V584">_xlfn.IFS(
ISNUMBER(SEARCH("USA",S584)),"United States",
ISNUMBER(SEARCH("Republic of Korea",S584)),"South Korea",
ISNUMBER(SEARCH("Cape Verde",S584)),"Cabo Verde",
ISNUMBER(SEARCH("Czechia",S584)),"Czech Republic",
ISNUMBER(SEARCH("Türkiye",S584)),"Turkey",
ISNUMBER(SEARCH("Ivory Coast",S584)),"Côte d'Ivoire",
ISNUMBER(SEARCH("Korea Republic",S584)),"South Korea",
ISNUMBER(SEARCH("Germany FR",S584)),"FR Germany",
ISNUMBER(SEARCH("West Germany",S584)),"FR Germany",
ISNUMBER(SEARCH("Germany DR",S584)),"DR Germany",
ISNUMBER(SEARCH("Korea DPR",S584)),"North Korea",
ISNUMBER(SEARCH("China PR",S584)),"China",
ISNUMBER(SEARCH("IR Iran",S584)),"Iran",
ISNUMBER(SEARCH("Congo DR",S584)),"Democratic Republic of the Congo",
ISNUMBER(SEARCH("DR Congo",S584)),"Democratic Republic of the Congo",
ISNUMBER(SEARCH("German DR",S584)),"DR Germany",
ISNUMBER(SEARCH("rn""&gt;United Arab Emirates",S584)),"United Arab Emirates",
ISNUMBER(SEARCH("rn""&gt;Republic of Ireland",S584)),"Ireland",
ISNUMBER(SEARCH("rn""&gt;Bosnia and Herzegovina",S584)),"Bosnia and Herzegovina",
ISNUMBER(SEARCH("rn""&gt;Trinidad and Tobago",S584)),"Trinidad and Tobago",
ISNUMBER(SEARCH("rn""&gt;Serbia and Montenegro",S584)),"Serbia and Montenegro",
ISNUMBER(SEARCH(_xlfn.UNICHAR(65533),S584)),"Côte d'Ivoire",
TRUE,""
)</f>
        <v/>
      </c>
      <c r="W584" s="30" t="str">
        <f t="shared" si="52"/>
        <v>England</v>
      </c>
      <c r="Z584" s="40" t="str">
        <v>Parc des Princes</v>
      </c>
      <c r="AA584" s="40" t="str" cm="1">
        <f t="array" ref="AA584">IFERROR(_xlfn.XLOOKUP(Z584,_xlfn.ANCHORARRAY(Z$31),AA$31:AA$37),Z584)</f>
        <v>Parc des Princes</v>
      </c>
      <c r="AB584" s="42" t="str">
        <v xml:space="preserve">Paris </v>
      </c>
      <c r="AC584" s="89" t="str">
        <f t="shared" si="53"/>
        <v xml:space="preserve">Paris </v>
      </c>
      <c r="AE584" s="42">
        <v>1994</v>
      </c>
      <c r="AK584" s="42">
        <v>3</v>
      </c>
      <c r="AL584" s="42">
        <v>0</v>
      </c>
      <c r="AW584" s="89" t="str">
        <v>QUARTER_FINALS</v>
      </c>
      <c r="BE584" s="43" t="str">
        <f>IF(OR(DATA_CLEANED!AL575="",DATA_CLEANED!AM575=""),"MANQUANT",IF(OR(NOT(ISNUMBER(DATA_CLEANED!AL575)),NOT(ISNUMBER(DATA_CLEANED!AM575))),"ENTREE INVALIDE",IF(OR(DATA_CLEANED!AL575&lt;0,DATA_CLEANED!AM575&lt;0),"SCORE NEGATIF","OK")))</f>
        <v>OK</v>
      </c>
      <c r="BF584" s="43" t="str">
        <f>IF(DATA_CLEANED!AK575&lt;&gt;DATA_CLEANED!AN575,"OK","ERREUR")</f>
        <v>OK</v>
      </c>
      <c r="BG584" s="43" t="str">
        <f>IF(DATA_CLEANED!AL575&gt;DATA_CLEANED!AM575,DATA_CLEANED!AK575,IF(AND(DATA_QUALITE!W5061="-",DATA_CLEANED!AM575=DATA_CLEANED!AL575),"MATCH NUL",IF(AND(DATA_QUALITE!V5061="-",DATA_QUALITE!U5061="AUCUNE"),DATA_QUALITE!T5061,IF(DATA_QUALITE!V5061&lt;&gt;"-",DATA_QUALITE!V5061,DATA_CLEANED!AN575))))</f>
        <v>France</v>
      </c>
      <c r="BH584" s="103" t="str">
        <f>IF(AND(BG584="MATCH NUL",DATA_CLEANED!AO575="-"),"MATCH_NUL",IF(ISNUMBER(SEARCH("win on penalties",W5061)),"WIN_BY_PENALTY",IF(ISNUMBER(SEARCH("win after extra time",W5061)),"WIN_BY_EXTRA_TIME",IF(ISNUMBER(SEARCH("Golden Goal",W5061)),"WIN_BY_GOLDEN_GOAL","WIN_BY_SCORE"))))</f>
        <v>WIN_BY_PENALTY</v>
      </c>
      <c r="BI584" s="99" t="str">
        <f>IF(OR(BG584=DATA_CLEANED!AK575,BG584=DATA_CLEANED!AN575,BG584="MATCH NUL"),"OK","ERREUR")</f>
        <v>OK</v>
      </c>
    </row>
    <row r="585" spans="2:61">
      <c r="B585" s="75">
        <v>148</v>
      </c>
      <c r="C585" s="15" t="str">
        <v>Ali Ahmed</v>
      </c>
      <c r="D585" s="15">
        <v>25</v>
      </c>
      <c r="E585" s="15" t="str">
        <v>Canada</v>
      </c>
      <c r="F585" s="15" t="str">
        <v>RM</v>
      </c>
      <c r="G585" s="15" t="str">
        <v>Norwich City</v>
      </c>
      <c r="H585" s="15">
        <v>20</v>
      </c>
      <c r="I585" s="15" t="str">
        <f t="shared" si="54"/>
        <v>148|Ali Ahmed|25|Canada|RM|Norwich City|20</v>
      </c>
      <c r="J585" s="15" t="str">
        <f>IF(COUNTIF(I$438:I585,I585)&gt;1,"DOUBLON","OK")</f>
        <v>OK</v>
      </c>
      <c r="S585" s="30" t="str">
        <v>England</v>
      </c>
      <c r="T585" s="30" t="str">
        <f t="shared" si="55"/>
        <v>ERREUR</v>
      </c>
      <c r="U585" s="30" t="str">
        <f t="shared" si="56"/>
        <v>AUCUNE</v>
      </c>
      <c r="V585" s="30" t="str" cm="1">
        <f t="array" ref="V585">_xlfn.IFS(
ISNUMBER(SEARCH("USA",S585)),"United States",
ISNUMBER(SEARCH("Republic of Korea",S585)),"South Korea",
ISNUMBER(SEARCH("Cape Verde",S585)),"Cabo Verde",
ISNUMBER(SEARCH("Czechia",S585)),"Czech Republic",
ISNUMBER(SEARCH("Türkiye",S585)),"Turkey",
ISNUMBER(SEARCH("Ivory Coast",S585)),"Côte d'Ivoire",
ISNUMBER(SEARCH("Korea Republic",S585)),"South Korea",
ISNUMBER(SEARCH("Germany FR",S585)),"FR Germany",
ISNUMBER(SEARCH("West Germany",S585)),"FR Germany",
ISNUMBER(SEARCH("Germany DR",S585)),"DR Germany",
ISNUMBER(SEARCH("Korea DPR",S585)),"North Korea",
ISNUMBER(SEARCH("China PR",S585)),"China",
ISNUMBER(SEARCH("IR Iran",S585)),"Iran",
ISNUMBER(SEARCH("Congo DR",S585)),"Democratic Republic of the Congo",
ISNUMBER(SEARCH("DR Congo",S585)),"Democratic Republic of the Congo",
ISNUMBER(SEARCH("German DR",S585)),"DR Germany",
ISNUMBER(SEARCH("rn""&gt;United Arab Emirates",S585)),"United Arab Emirates",
ISNUMBER(SEARCH("rn""&gt;Republic of Ireland",S585)),"Ireland",
ISNUMBER(SEARCH("rn""&gt;Bosnia and Herzegovina",S585)),"Bosnia and Herzegovina",
ISNUMBER(SEARCH("rn""&gt;Trinidad and Tobago",S585)),"Trinidad and Tobago",
ISNUMBER(SEARCH("rn""&gt;Serbia and Montenegro",S585)),"Serbia and Montenegro",
ISNUMBER(SEARCH(_xlfn.UNICHAR(65533),S585)),"Côte d'Ivoire",
TRUE,""
)</f>
        <v/>
      </c>
      <c r="W585" s="30" t="str">
        <f t="shared" si="52"/>
        <v>England</v>
      </c>
      <c r="Z585" s="40" t="str">
        <v>Stade de Gerland</v>
      </c>
      <c r="AA585" s="40" t="str" cm="1">
        <f t="array" ref="AA585">IFERROR(_xlfn.XLOOKUP(Z585,_xlfn.ANCHORARRAY(Z$31),AA$31:AA$37),Z585)</f>
        <v>Stade de Gerland</v>
      </c>
      <c r="AB585" s="42" t="str">
        <v xml:space="preserve">Lyon </v>
      </c>
      <c r="AC585" s="89" t="str">
        <f t="shared" si="53"/>
        <v xml:space="preserve">Lyon </v>
      </c>
      <c r="AE585" s="42">
        <v>1994</v>
      </c>
      <c r="AK585" s="42">
        <v>1</v>
      </c>
      <c r="AL585" s="42">
        <v>3</v>
      </c>
      <c r="AW585" s="89" t="str">
        <v>QUARTER_FINALS</v>
      </c>
      <c r="BE585" s="43" t="str">
        <f>IF(OR(DATA_CLEANED!AL576="",DATA_CLEANED!AM576=""),"MANQUANT",IF(OR(NOT(ISNUMBER(DATA_CLEANED!AL576)),NOT(ISNUMBER(DATA_CLEANED!AM576))),"ENTREE INVALIDE",IF(OR(DATA_CLEANED!AL576&lt;0,DATA_CLEANED!AM576&lt;0),"SCORE NEGATIF","OK")))</f>
        <v>OK</v>
      </c>
      <c r="BF585" s="43" t="str">
        <f>IF(DATA_CLEANED!AK576&lt;&gt;DATA_CLEANED!AN576,"OK","ERREUR")</f>
        <v>OK</v>
      </c>
      <c r="BG585" s="43" t="str">
        <f>IF(DATA_CLEANED!AL576&gt;DATA_CLEANED!AM576,DATA_CLEANED!AK576,IF(AND(DATA_QUALITE!W5062="-",DATA_CLEANED!AM576=DATA_CLEANED!AL576),"MATCH NUL",IF(AND(DATA_QUALITE!V5062="-",DATA_QUALITE!U5062="AUCUNE"),DATA_QUALITE!T5062,IF(DATA_QUALITE!V5062&lt;&gt;"-",DATA_QUALITE!V5062,DATA_CLEANED!AN576))))</f>
        <v>Brazil</v>
      </c>
      <c r="BH585" s="103" t="str">
        <f>IF(AND(BG585="MATCH NUL",DATA_CLEANED!AO576="-"),"MATCH_NUL",IF(ISNUMBER(SEARCH("win on penalties",W5062)),"WIN_BY_PENALTY",IF(ISNUMBER(SEARCH("win after extra time",W5062)),"WIN_BY_EXTRA_TIME",IF(ISNUMBER(SEARCH("Golden Goal",W5062)),"WIN_BY_GOLDEN_GOAL","WIN_BY_SCORE"))))</f>
        <v>WIN_BY_SCORE</v>
      </c>
      <c r="BI585" s="99" t="str">
        <f>IF(OR(BG585=DATA_CLEANED!AK576,BG585=DATA_CLEANED!AN576,BG585="MATCH NUL"),"OK","ERREUR")</f>
        <v>OK</v>
      </c>
    </row>
    <row r="586" spans="2:61">
      <c r="B586" s="75">
        <v>149</v>
      </c>
      <c r="C586" s="15" t="str">
        <v>Liam Millar</v>
      </c>
      <c r="D586" s="15">
        <v>26</v>
      </c>
      <c r="E586" s="15" t="str">
        <v>Canada</v>
      </c>
      <c r="F586" s="15" t="str">
        <v>LM</v>
      </c>
      <c r="G586" s="15" t="str">
        <v>Hull City</v>
      </c>
      <c r="H586" s="15">
        <v>11</v>
      </c>
      <c r="I586" s="15" t="str">
        <f t="shared" si="54"/>
        <v>149|Liam Millar|26|Canada|LM|Hull City|11</v>
      </c>
      <c r="J586" s="15" t="str">
        <f>IF(COUNTIF(I$438:I586,I586)&gt;1,"DOUBLON","OK")</f>
        <v>OK</v>
      </c>
      <c r="S586" s="30" t="str">
        <v>England</v>
      </c>
      <c r="T586" s="30" t="str">
        <f t="shared" si="55"/>
        <v>ERREUR</v>
      </c>
      <c r="U586" s="30" t="str">
        <f t="shared" si="56"/>
        <v>AUCUNE</v>
      </c>
      <c r="V586" s="30" t="str" cm="1">
        <f t="array" ref="V586">_xlfn.IFS(
ISNUMBER(SEARCH("USA",S586)),"United States",
ISNUMBER(SEARCH("Republic of Korea",S586)),"South Korea",
ISNUMBER(SEARCH("Cape Verde",S586)),"Cabo Verde",
ISNUMBER(SEARCH("Czechia",S586)),"Czech Republic",
ISNUMBER(SEARCH("Türkiye",S586)),"Turkey",
ISNUMBER(SEARCH("Ivory Coast",S586)),"Côte d'Ivoire",
ISNUMBER(SEARCH("Korea Republic",S586)),"South Korea",
ISNUMBER(SEARCH("Germany FR",S586)),"FR Germany",
ISNUMBER(SEARCH("West Germany",S586)),"FR Germany",
ISNUMBER(SEARCH("Germany DR",S586)),"DR Germany",
ISNUMBER(SEARCH("Korea DPR",S586)),"North Korea",
ISNUMBER(SEARCH("China PR",S586)),"China",
ISNUMBER(SEARCH("IR Iran",S586)),"Iran",
ISNUMBER(SEARCH("Congo DR",S586)),"Democratic Republic of the Congo",
ISNUMBER(SEARCH("DR Congo",S586)),"Democratic Republic of the Congo",
ISNUMBER(SEARCH("German DR",S586)),"DR Germany",
ISNUMBER(SEARCH("rn""&gt;United Arab Emirates",S586)),"United Arab Emirates",
ISNUMBER(SEARCH("rn""&gt;Republic of Ireland",S586)),"Ireland",
ISNUMBER(SEARCH("rn""&gt;Bosnia and Herzegovina",S586)),"Bosnia and Herzegovina",
ISNUMBER(SEARCH("rn""&gt;Trinidad and Tobago",S586)),"Trinidad and Tobago",
ISNUMBER(SEARCH("rn""&gt;Serbia and Montenegro",S586)),"Serbia and Montenegro",
ISNUMBER(SEARCH(_xlfn.UNICHAR(65533),S586)),"Côte d'Ivoire",
TRUE,""
)</f>
        <v/>
      </c>
      <c r="W586" s="30" t="str">
        <f t="shared" si="52"/>
        <v>England</v>
      </c>
      <c r="Z586" s="40" t="str">
        <v>La Mosson</v>
      </c>
      <c r="AA586" s="40" t="str" cm="1">
        <f t="array" ref="AA586">IFERROR(_xlfn.XLOOKUP(Z586,_xlfn.ANCHORARRAY(Z$31),AA$31:AA$37),Z586)</f>
        <v>La Mosson</v>
      </c>
      <c r="AB586" s="42" t="str">
        <v xml:space="preserve">Montpellier </v>
      </c>
      <c r="AC586" s="89" t="str">
        <f t="shared" si="53"/>
        <v xml:space="preserve">Montpellier </v>
      </c>
      <c r="AE586" s="42">
        <v>1994</v>
      </c>
      <c r="AK586" s="42">
        <v>3</v>
      </c>
      <c r="AL586" s="42">
        <v>2</v>
      </c>
      <c r="AW586" s="89" t="str">
        <v>QUARTER_FINALS</v>
      </c>
      <c r="BE586" s="43" t="str">
        <f>IF(OR(DATA_CLEANED!AL577="",DATA_CLEANED!AM577=""),"MANQUANT",IF(OR(NOT(ISNUMBER(DATA_CLEANED!AL577)),NOT(ISNUMBER(DATA_CLEANED!AM577))),"ENTREE INVALIDE",IF(OR(DATA_CLEANED!AL577&lt;0,DATA_CLEANED!AM577&lt;0),"SCORE NEGATIF","OK")))</f>
        <v>OK</v>
      </c>
      <c r="BF586" s="43" t="str">
        <f>IF(DATA_CLEANED!AK577&lt;&gt;DATA_CLEANED!AN577,"OK","ERREUR")</f>
        <v>OK</v>
      </c>
      <c r="BG586" s="43" t="str">
        <f>IF(DATA_CLEANED!AL577&gt;DATA_CLEANED!AM577,DATA_CLEANED!AK577,IF(AND(DATA_QUALITE!W5063="-",DATA_CLEANED!AM577=DATA_CLEANED!AL577),"MATCH NUL",IF(AND(DATA_QUALITE!V5063="-",DATA_QUALITE!U5063="AUCUNE"),DATA_QUALITE!T5063,IF(DATA_QUALITE!V5063&lt;&gt;"-",DATA_QUALITE!V5063,DATA_CLEANED!AN577))))</f>
        <v>Netherlands</v>
      </c>
      <c r="BH586" s="103" t="str">
        <f>IF(AND(BG586="MATCH NUL",DATA_CLEANED!AO577="-"),"MATCH_NUL",IF(ISNUMBER(SEARCH("win on penalties",W5063)),"WIN_BY_PENALTY",IF(ISNUMBER(SEARCH("win after extra time",W5063)),"WIN_BY_EXTRA_TIME",IF(ISNUMBER(SEARCH("Golden Goal",W5063)),"WIN_BY_GOLDEN_GOAL","WIN_BY_SCORE"))))</f>
        <v>WIN_BY_SCORE</v>
      </c>
      <c r="BI586" s="99" t="str">
        <f>IF(OR(BG586=DATA_CLEANED!AK577,BG586=DATA_CLEANED!AN577,BG586="MATCH NUL"),"OK","ERREUR")</f>
        <v>OK</v>
      </c>
    </row>
    <row r="587" spans="2:61">
      <c r="B587" s="75">
        <v>150</v>
      </c>
      <c r="C587" s="15" t="str">
        <v>Jacob Shaffelburg</v>
      </c>
      <c r="D587" s="15">
        <v>26</v>
      </c>
      <c r="E587" s="15" t="str">
        <v>Canada</v>
      </c>
      <c r="F587" s="15" t="str">
        <v>LW</v>
      </c>
      <c r="G587" s="15" t="str">
        <v>Los Angeles FC</v>
      </c>
      <c r="H587" s="15">
        <v>14</v>
      </c>
      <c r="I587" s="15" t="str">
        <f t="shared" si="54"/>
        <v>150|Jacob Shaffelburg|26|Canada|LW|Los Angeles FC|14</v>
      </c>
      <c r="J587" s="15" t="str">
        <f>IF(COUNTIF(I$438:I587,I587)&gt;1,"DOUBLON","OK")</f>
        <v>OK</v>
      </c>
      <c r="S587" s="30" t="str">
        <v>England</v>
      </c>
      <c r="T587" s="30" t="str">
        <f t="shared" si="55"/>
        <v>ERREUR</v>
      </c>
      <c r="U587" s="30" t="str">
        <f t="shared" si="56"/>
        <v>AUCUNE</v>
      </c>
      <c r="V587" s="30" t="str" cm="1">
        <f t="array" ref="V587">_xlfn.IFS(
ISNUMBER(SEARCH("USA",S587)),"United States",
ISNUMBER(SEARCH("Republic of Korea",S587)),"South Korea",
ISNUMBER(SEARCH("Cape Verde",S587)),"Cabo Verde",
ISNUMBER(SEARCH("Czechia",S587)),"Czech Republic",
ISNUMBER(SEARCH("Türkiye",S587)),"Turkey",
ISNUMBER(SEARCH("Ivory Coast",S587)),"Côte d'Ivoire",
ISNUMBER(SEARCH("Korea Republic",S587)),"South Korea",
ISNUMBER(SEARCH("Germany FR",S587)),"FR Germany",
ISNUMBER(SEARCH("West Germany",S587)),"FR Germany",
ISNUMBER(SEARCH("Germany DR",S587)),"DR Germany",
ISNUMBER(SEARCH("Korea DPR",S587)),"North Korea",
ISNUMBER(SEARCH("China PR",S587)),"China",
ISNUMBER(SEARCH("IR Iran",S587)),"Iran",
ISNUMBER(SEARCH("Congo DR",S587)),"Democratic Republic of the Congo",
ISNUMBER(SEARCH("DR Congo",S587)),"Democratic Republic of the Congo",
ISNUMBER(SEARCH("German DR",S587)),"DR Germany",
ISNUMBER(SEARCH("rn""&gt;United Arab Emirates",S587)),"United Arab Emirates",
ISNUMBER(SEARCH("rn""&gt;Republic of Ireland",S587)),"Ireland",
ISNUMBER(SEARCH("rn""&gt;Bosnia and Herzegovina",S587)),"Bosnia and Herzegovina",
ISNUMBER(SEARCH("rn""&gt;Trinidad and Tobago",S587)),"Trinidad and Tobago",
ISNUMBER(SEARCH("rn""&gt;Serbia and Montenegro",S587)),"Serbia and Montenegro",
ISNUMBER(SEARCH(_xlfn.UNICHAR(65533),S587)),"Côte d'Ivoire",
TRUE,""
)</f>
        <v/>
      </c>
      <c r="W587" s="30" t="str">
        <f t="shared" si="52"/>
        <v>England</v>
      </c>
      <c r="Z587" s="40" t="str">
        <v>Stade Municipal</v>
      </c>
      <c r="AA587" s="40" t="str" cm="1">
        <f t="array" ref="AA587">IFERROR(_xlfn.XLOOKUP(Z587,_xlfn.ANCHORARRAY(Z$31),AA$31:AA$37),Z587)</f>
        <v>Stade Municipal</v>
      </c>
      <c r="AB587" s="42" t="str">
        <v xml:space="preserve">Toulouse </v>
      </c>
      <c r="AC587" s="89" t="str">
        <f t="shared" si="53"/>
        <v xml:space="preserve">Toulouse </v>
      </c>
      <c r="AE587" s="42">
        <v>1994</v>
      </c>
      <c r="AK587" s="42">
        <v>2</v>
      </c>
      <c r="AL587" s="42">
        <v>0</v>
      </c>
      <c r="AW587" s="89" t="str">
        <v>QUARTER_FINALS</v>
      </c>
      <c r="BE587" s="43" t="str">
        <f>IF(OR(DATA_CLEANED!AL578="",DATA_CLEANED!AM578=""),"MANQUANT",IF(OR(NOT(ISNUMBER(DATA_CLEANED!AL578)),NOT(ISNUMBER(DATA_CLEANED!AM578))),"ENTREE INVALIDE",IF(OR(DATA_CLEANED!AL578&lt;0,DATA_CLEANED!AM578&lt;0),"SCORE NEGATIF","OK")))</f>
        <v>OK</v>
      </c>
      <c r="BF587" s="43" t="str">
        <f>IF(DATA_CLEANED!AK578&lt;&gt;DATA_CLEANED!AN578,"OK","ERREUR")</f>
        <v>OK</v>
      </c>
      <c r="BG587" s="43" t="str">
        <f>IF(DATA_CLEANED!AL578&gt;DATA_CLEANED!AM578,DATA_CLEANED!AK578,IF(AND(DATA_QUALITE!W5064="-",DATA_CLEANED!AM578=DATA_CLEANED!AL578),"MATCH NUL",IF(AND(DATA_QUALITE!V5064="-",DATA_QUALITE!U5064="AUCUNE"),DATA_QUALITE!T5064,IF(DATA_QUALITE!V5064&lt;&gt;"-",DATA_QUALITE!V5064,DATA_CLEANED!AN578))))</f>
        <v>Croatia</v>
      </c>
      <c r="BH587" s="103" t="str">
        <f>IF(AND(BG587="MATCH NUL",DATA_CLEANED!AO578="-"),"MATCH_NUL",IF(ISNUMBER(SEARCH("win on penalties",W5064)),"WIN_BY_PENALTY",IF(ISNUMBER(SEARCH("win after extra time",W5064)),"WIN_BY_EXTRA_TIME",IF(ISNUMBER(SEARCH("Golden Goal",W5064)),"WIN_BY_GOLDEN_GOAL","WIN_BY_SCORE"))))</f>
        <v>WIN_BY_SCORE</v>
      </c>
      <c r="BI587" s="99" t="str">
        <f>IF(OR(BG587=DATA_CLEANED!AK578,BG587=DATA_CLEANED!AN578,BG587="MATCH NUL"),"OK","ERREUR")</f>
        <v>OK</v>
      </c>
    </row>
    <row r="588" spans="2:61">
      <c r="B588" s="75">
        <v>151</v>
      </c>
      <c r="C588" s="15" t="str">
        <v>Jayden Nelson</v>
      </c>
      <c r="D588" s="15">
        <v>23</v>
      </c>
      <c r="E588" s="15" t="str">
        <v>Canada</v>
      </c>
      <c r="F588" s="15" t="str">
        <v>LW</v>
      </c>
      <c r="G588" s="15" t="str">
        <v>Austin FC</v>
      </c>
      <c r="H588" s="15">
        <v>26</v>
      </c>
      <c r="I588" s="15" t="str">
        <f t="shared" si="54"/>
        <v>151|Jayden Nelson|23|Canada|LW|Austin FC|26</v>
      </c>
      <c r="J588" s="15" t="str">
        <f>IF(COUNTIF(I$438:I588,I588)&gt;1,"DOUBLON","OK")</f>
        <v>OK</v>
      </c>
      <c r="S588" s="30" t="str">
        <v>England</v>
      </c>
      <c r="T588" s="30" t="str">
        <f t="shared" si="55"/>
        <v>ERREUR</v>
      </c>
      <c r="U588" s="30" t="str">
        <f t="shared" si="56"/>
        <v>AUCUNE</v>
      </c>
      <c r="V588" s="30" t="str" cm="1">
        <f t="array" ref="V588">_xlfn.IFS(
ISNUMBER(SEARCH("USA",S588)),"United States",
ISNUMBER(SEARCH("Republic of Korea",S588)),"South Korea",
ISNUMBER(SEARCH("Cape Verde",S588)),"Cabo Verde",
ISNUMBER(SEARCH("Czechia",S588)),"Czech Republic",
ISNUMBER(SEARCH("Türkiye",S588)),"Turkey",
ISNUMBER(SEARCH("Ivory Coast",S588)),"Côte d'Ivoire",
ISNUMBER(SEARCH("Korea Republic",S588)),"South Korea",
ISNUMBER(SEARCH("Germany FR",S588)),"FR Germany",
ISNUMBER(SEARCH("West Germany",S588)),"FR Germany",
ISNUMBER(SEARCH("Germany DR",S588)),"DR Germany",
ISNUMBER(SEARCH("Korea DPR",S588)),"North Korea",
ISNUMBER(SEARCH("China PR",S588)),"China",
ISNUMBER(SEARCH("IR Iran",S588)),"Iran",
ISNUMBER(SEARCH("Congo DR",S588)),"Democratic Republic of the Congo",
ISNUMBER(SEARCH("DR Congo",S588)),"Democratic Republic of the Congo",
ISNUMBER(SEARCH("German DR",S588)),"DR Germany",
ISNUMBER(SEARCH("rn""&gt;United Arab Emirates",S588)),"United Arab Emirates",
ISNUMBER(SEARCH("rn""&gt;Republic of Ireland",S588)),"Ireland",
ISNUMBER(SEARCH("rn""&gt;Bosnia and Herzegovina",S588)),"Bosnia and Herzegovina",
ISNUMBER(SEARCH("rn""&gt;Trinidad and Tobago",S588)),"Trinidad and Tobago",
ISNUMBER(SEARCH("rn""&gt;Serbia and Montenegro",S588)),"Serbia and Montenegro",
ISNUMBER(SEARCH(_xlfn.UNICHAR(65533),S588)),"Côte d'Ivoire",
TRUE,""
)</f>
        <v/>
      </c>
      <c r="W588" s="30" t="str">
        <f t="shared" si="52"/>
        <v>England</v>
      </c>
      <c r="Z588" s="40" t="str">
        <v>Stade de France</v>
      </c>
      <c r="AA588" s="40" t="str" cm="1">
        <f t="array" ref="AA588">IFERROR(_xlfn.XLOOKUP(Z588,_xlfn.ANCHORARRAY(Z$31),AA$31:AA$37),Z588)</f>
        <v>Stade de France</v>
      </c>
      <c r="AB588" s="42" t="str">
        <v xml:space="preserve">Saint-Denis </v>
      </c>
      <c r="AC588" s="89" t="str">
        <f t="shared" si="53"/>
        <v xml:space="preserve">Saint-Denis </v>
      </c>
      <c r="AE588" s="42">
        <v>1994</v>
      </c>
      <c r="AK588" s="42">
        <v>1</v>
      </c>
      <c r="AL588" s="42">
        <v>0</v>
      </c>
      <c r="AW588" s="89" t="str">
        <v>SEMI_FINALS</v>
      </c>
      <c r="BE588" s="43" t="str">
        <f>IF(OR(DATA_CLEANED!AL579="",DATA_CLEANED!AM579=""),"MANQUANT",IF(OR(NOT(ISNUMBER(DATA_CLEANED!AL579)),NOT(ISNUMBER(DATA_CLEANED!AM579))),"ENTREE INVALIDE",IF(OR(DATA_CLEANED!AL579&lt;0,DATA_CLEANED!AM579&lt;0),"SCORE NEGATIF","OK")))</f>
        <v>OK</v>
      </c>
      <c r="BF588" s="43" t="str">
        <f>IF(DATA_CLEANED!AK579&lt;&gt;DATA_CLEANED!AN579,"OK","ERREUR")</f>
        <v>OK</v>
      </c>
      <c r="BG588" s="43" t="str">
        <f>IF(DATA_CLEANED!AL579&gt;DATA_CLEANED!AM579,DATA_CLEANED!AK579,IF(AND(DATA_QUALITE!W5065="-",DATA_CLEANED!AM579=DATA_CLEANED!AL579),"MATCH NUL",IF(AND(DATA_QUALITE!V5065="-",DATA_QUALITE!U5065="AUCUNE"),DATA_QUALITE!T5065,IF(DATA_QUALITE!V5065&lt;&gt;"-",DATA_QUALITE!V5065,DATA_CLEANED!AN579))))</f>
        <v>Brazil</v>
      </c>
      <c r="BH588" s="103" t="str">
        <f>IF(AND(BG588="MATCH NUL",DATA_CLEANED!AO579="-"),"MATCH_NUL",IF(ISNUMBER(SEARCH("win on penalties",W5065)),"WIN_BY_PENALTY",IF(ISNUMBER(SEARCH("win after extra time",W5065)),"WIN_BY_EXTRA_TIME",IF(ISNUMBER(SEARCH("Golden Goal",W5065)),"WIN_BY_GOLDEN_GOAL","WIN_BY_SCORE"))))</f>
        <v>WIN_BY_PENALTY</v>
      </c>
      <c r="BI588" s="99" t="str">
        <f>IF(OR(BG588=DATA_CLEANED!AK579,BG588=DATA_CLEANED!AN579,BG588="MATCH NUL"),"OK","ERREUR")</f>
        <v>OK</v>
      </c>
    </row>
    <row r="589" spans="2:61">
      <c r="B589" s="75">
        <v>152</v>
      </c>
      <c r="C589" s="15" t="str">
        <v>Tajon Buchanan</v>
      </c>
      <c r="D589" s="15">
        <v>27</v>
      </c>
      <c r="E589" s="15" t="str">
        <v>Canada</v>
      </c>
      <c r="F589" s="15" t="str">
        <v>RW</v>
      </c>
      <c r="G589" s="15" t="str">
        <v>Villarreal</v>
      </c>
      <c r="H589" s="15">
        <v>17</v>
      </c>
      <c r="I589" s="15" t="str">
        <f t="shared" si="54"/>
        <v>152|Tajon Buchanan|27|Canada|RW|Villarreal|17</v>
      </c>
      <c r="J589" s="15" t="str">
        <f>IF(COUNTIF(I$438:I589,I589)&gt;1,"DOUBLON","OK")</f>
        <v>OK</v>
      </c>
      <c r="S589" s="30" t="str">
        <v>England</v>
      </c>
      <c r="T589" s="30" t="str">
        <f t="shared" si="55"/>
        <v>ERREUR</v>
      </c>
      <c r="U589" s="30" t="str">
        <f t="shared" si="56"/>
        <v>AUCUNE</v>
      </c>
      <c r="V589" s="30" t="str" cm="1">
        <f t="array" ref="V589">_xlfn.IFS(
ISNUMBER(SEARCH("USA",S589)),"United States",
ISNUMBER(SEARCH("Republic of Korea",S589)),"South Korea",
ISNUMBER(SEARCH("Cape Verde",S589)),"Cabo Verde",
ISNUMBER(SEARCH("Czechia",S589)),"Czech Republic",
ISNUMBER(SEARCH("Türkiye",S589)),"Turkey",
ISNUMBER(SEARCH("Ivory Coast",S589)),"Côte d'Ivoire",
ISNUMBER(SEARCH("Korea Republic",S589)),"South Korea",
ISNUMBER(SEARCH("Germany FR",S589)),"FR Germany",
ISNUMBER(SEARCH("West Germany",S589)),"FR Germany",
ISNUMBER(SEARCH("Germany DR",S589)),"DR Germany",
ISNUMBER(SEARCH("Korea DPR",S589)),"North Korea",
ISNUMBER(SEARCH("China PR",S589)),"China",
ISNUMBER(SEARCH("IR Iran",S589)),"Iran",
ISNUMBER(SEARCH("Congo DR",S589)),"Democratic Republic of the Congo",
ISNUMBER(SEARCH("DR Congo",S589)),"Democratic Republic of the Congo",
ISNUMBER(SEARCH("German DR",S589)),"DR Germany",
ISNUMBER(SEARCH("rn""&gt;United Arab Emirates",S589)),"United Arab Emirates",
ISNUMBER(SEARCH("rn""&gt;Republic of Ireland",S589)),"Ireland",
ISNUMBER(SEARCH("rn""&gt;Bosnia and Herzegovina",S589)),"Bosnia and Herzegovina",
ISNUMBER(SEARCH("rn""&gt;Trinidad and Tobago",S589)),"Trinidad and Tobago",
ISNUMBER(SEARCH("rn""&gt;Serbia and Montenegro",S589)),"Serbia and Montenegro",
ISNUMBER(SEARCH(_xlfn.UNICHAR(65533),S589)),"Côte d'Ivoire",
TRUE,""
)</f>
        <v/>
      </c>
      <c r="W589" s="30" t="str">
        <f t="shared" si="52"/>
        <v>England</v>
      </c>
      <c r="Z589" s="40" t="str">
        <v>La Beaujoire</v>
      </c>
      <c r="AA589" s="40" t="str" cm="1">
        <f t="array" ref="AA589">IFERROR(_xlfn.XLOOKUP(Z589,_xlfn.ANCHORARRAY(Z$31),AA$31:AA$37),Z589)</f>
        <v>La Beaujoire</v>
      </c>
      <c r="AB589" s="42" t="str">
        <v xml:space="preserve">Nantes </v>
      </c>
      <c r="AC589" s="89" t="str">
        <f t="shared" si="53"/>
        <v xml:space="preserve">Nantes </v>
      </c>
      <c r="AE589" s="42">
        <v>1994</v>
      </c>
      <c r="AK589" s="42">
        <v>1</v>
      </c>
      <c r="AL589" s="42">
        <v>2</v>
      </c>
      <c r="AW589" s="89" t="str">
        <v>SEMI_FINALS</v>
      </c>
      <c r="BE589" s="43" t="str">
        <f>IF(OR(DATA_CLEANED!AL580="",DATA_CLEANED!AM580=""),"MANQUANT",IF(OR(NOT(ISNUMBER(DATA_CLEANED!AL580)),NOT(ISNUMBER(DATA_CLEANED!AM580))),"ENTREE INVALIDE",IF(OR(DATA_CLEANED!AL580&lt;0,DATA_CLEANED!AM580&lt;0),"SCORE NEGATIF","OK")))</f>
        <v>OK</v>
      </c>
      <c r="BF589" s="43" t="str">
        <f>IF(DATA_CLEANED!AK580&lt;&gt;DATA_CLEANED!AN580,"OK","ERREUR")</f>
        <v>OK</v>
      </c>
      <c r="BG589" s="43" t="str">
        <f>IF(DATA_CLEANED!AL580&gt;DATA_CLEANED!AM580,DATA_CLEANED!AK580,IF(AND(DATA_QUALITE!W5066="-",DATA_CLEANED!AM580=DATA_CLEANED!AL580),"MATCH NUL",IF(AND(DATA_QUALITE!V5066="-",DATA_QUALITE!U5066="AUCUNE"),DATA_QUALITE!T5066,IF(DATA_QUALITE!V5066&lt;&gt;"-",DATA_QUALITE!V5066,DATA_CLEANED!AN580))))</f>
        <v>France</v>
      </c>
      <c r="BH589" s="103" t="str">
        <f>IF(AND(BG589="MATCH NUL",DATA_CLEANED!AO580="-"),"MATCH_NUL",IF(ISNUMBER(SEARCH("win on penalties",W5066)),"WIN_BY_PENALTY",IF(ISNUMBER(SEARCH("win after extra time",W5066)),"WIN_BY_EXTRA_TIME",IF(ISNUMBER(SEARCH("Golden Goal",W5066)),"WIN_BY_GOLDEN_GOAL","WIN_BY_SCORE"))))</f>
        <v>WIN_BY_SCORE</v>
      </c>
      <c r="BI589" s="99" t="str">
        <f>IF(OR(BG589=DATA_CLEANED!AK580,BG589=DATA_CLEANED!AN580,BG589="MATCH NUL"),"OK","ERREUR")</f>
        <v>OK</v>
      </c>
    </row>
    <row r="590" spans="2:61">
      <c r="B590" s="75">
        <v>153</v>
      </c>
      <c r="C590" s="15" t="str">
        <v>Cyle Larin</v>
      </c>
      <c r="D590" s="15">
        <v>31</v>
      </c>
      <c r="E590" s="15" t="str">
        <v>Canada</v>
      </c>
      <c r="F590" s="15" t="str">
        <v>ST</v>
      </c>
      <c r="G590" s="15" t="str">
        <v>Southampton</v>
      </c>
      <c r="H590" s="15">
        <v>9</v>
      </c>
      <c r="I590" s="15" t="str">
        <f t="shared" si="54"/>
        <v>153|Cyle Larin|31|Canada|ST|Southampton|9</v>
      </c>
      <c r="J590" s="15" t="str">
        <f>IF(COUNTIF(I$438:I590,I590)&gt;1,"DOUBLON","OK")</f>
        <v>OK</v>
      </c>
      <c r="S590" s="30" t="str">
        <v>France</v>
      </c>
      <c r="T590" s="30" t="str">
        <f t="shared" si="55"/>
        <v>OK</v>
      </c>
      <c r="U590" s="30" t="str">
        <f t="shared" si="56"/>
        <v>-</v>
      </c>
      <c r="V590" s="30" t="str" cm="1">
        <f t="array" ref="V590">_xlfn.IFS(
ISNUMBER(SEARCH("USA",S590)),"United States",
ISNUMBER(SEARCH("Republic of Korea",S590)),"South Korea",
ISNUMBER(SEARCH("Cape Verde",S590)),"Cabo Verde",
ISNUMBER(SEARCH("Czechia",S590)),"Czech Republic",
ISNUMBER(SEARCH("Türkiye",S590)),"Turkey",
ISNUMBER(SEARCH("Ivory Coast",S590)),"Côte d'Ivoire",
ISNUMBER(SEARCH("Korea Republic",S590)),"South Korea",
ISNUMBER(SEARCH("Germany FR",S590)),"FR Germany",
ISNUMBER(SEARCH("West Germany",S590)),"FR Germany",
ISNUMBER(SEARCH("Germany DR",S590)),"DR Germany",
ISNUMBER(SEARCH("Korea DPR",S590)),"North Korea",
ISNUMBER(SEARCH("China PR",S590)),"China",
ISNUMBER(SEARCH("IR Iran",S590)),"Iran",
ISNUMBER(SEARCH("Congo DR",S590)),"Democratic Republic of the Congo",
ISNUMBER(SEARCH("DR Congo",S590)),"Democratic Republic of the Congo",
ISNUMBER(SEARCH("German DR",S590)),"DR Germany",
ISNUMBER(SEARCH("rn""&gt;United Arab Emirates",S590)),"United Arab Emirates",
ISNUMBER(SEARCH("rn""&gt;Republic of Ireland",S590)),"Ireland",
ISNUMBER(SEARCH("rn""&gt;Bosnia and Herzegovina",S590)),"Bosnia and Herzegovina",
ISNUMBER(SEARCH("rn""&gt;Trinidad and Tobago",S590)),"Trinidad and Tobago",
ISNUMBER(SEARCH("rn""&gt;Serbia and Montenegro",S590)),"Serbia and Montenegro",
ISNUMBER(SEARCH(_xlfn.UNICHAR(65533),S590)),"Côte d'Ivoire",
TRUE,""
)</f>
        <v/>
      </c>
      <c r="W590" s="30" t="str">
        <f t="shared" ref="W590:W653" si="57">IF(V590="",S590,V590)</f>
        <v>France</v>
      </c>
      <c r="Z590" s="40" t="str">
        <v>Stade Geoffroy Guichard</v>
      </c>
      <c r="AA590" s="40" t="str" cm="1">
        <f t="array" ref="AA590">IFERROR(_xlfn.XLOOKUP(Z590,_xlfn.ANCHORARRAY(Z$31),AA$31:AA$37),Z590)</f>
        <v>Stade Geoffroy Guichard</v>
      </c>
      <c r="AB590" s="42" t="str">
        <v xml:space="preserve">Saint-Etienne </v>
      </c>
      <c r="AC590" s="89" t="str">
        <f t="shared" si="53"/>
        <v xml:space="preserve">Saint-Etienne </v>
      </c>
      <c r="AE590" s="42">
        <v>1994</v>
      </c>
      <c r="AK590" s="42">
        <v>1</v>
      </c>
      <c r="AL590" s="42">
        <v>1</v>
      </c>
      <c r="AW590" s="89" t="str">
        <v>THIRD_PLACE</v>
      </c>
      <c r="BE590" s="43" t="str">
        <f>IF(OR(DATA_CLEANED!AL581="",DATA_CLEANED!AM581=""),"MANQUANT",IF(OR(NOT(ISNUMBER(DATA_CLEANED!AL581)),NOT(ISNUMBER(DATA_CLEANED!AM581))),"ENTREE INVALIDE",IF(OR(DATA_CLEANED!AL581&lt;0,DATA_CLEANED!AM581&lt;0),"SCORE NEGATIF","OK")))</f>
        <v>OK</v>
      </c>
      <c r="BF590" s="43" t="str">
        <f>IF(DATA_CLEANED!AK581&lt;&gt;DATA_CLEANED!AN581,"OK","ERREUR")</f>
        <v>OK</v>
      </c>
      <c r="BG590" s="43" t="str">
        <f>IF(DATA_CLEANED!AL581&gt;DATA_CLEANED!AM581,DATA_CLEANED!AK581,IF(AND(DATA_QUALITE!W5067="-",DATA_CLEANED!AM581=DATA_CLEANED!AL581),"MATCH NUL",IF(AND(DATA_QUALITE!V5067="-",DATA_QUALITE!U5067="AUCUNE"),DATA_QUALITE!T5067,IF(DATA_QUALITE!V5067&lt;&gt;"-",DATA_QUALITE!V5067,DATA_CLEANED!AN581))))</f>
        <v>Croatia</v>
      </c>
      <c r="BH590" s="103" t="str">
        <f>IF(AND(BG590="MATCH NUL",DATA_CLEANED!AO581="-"),"MATCH_NUL",IF(ISNUMBER(SEARCH("win on penalties",W5067)),"WIN_BY_PENALTY",IF(ISNUMBER(SEARCH("win after extra time",W5067)),"WIN_BY_EXTRA_TIME",IF(ISNUMBER(SEARCH("Golden Goal",W5067)),"WIN_BY_GOLDEN_GOAL","WIN_BY_SCORE"))))</f>
        <v>WIN_BY_SCORE</v>
      </c>
      <c r="BI590" s="99" t="str">
        <f>IF(OR(BG590=DATA_CLEANED!AK581,BG590=DATA_CLEANED!AN581,BG590="MATCH NUL"),"OK","ERREUR")</f>
        <v>OK</v>
      </c>
    </row>
    <row r="591" spans="2:61">
      <c r="B591" s="75">
        <v>154</v>
      </c>
      <c r="C591" s="15" t="str">
        <v>Jonathan David</v>
      </c>
      <c r="D591" s="15">
        <v>26</v>
      </c>
      <c r="E591" s="15" t="str">
        <v>Canada</v>
      </c>
      <c r="F591" s="15" t="str">
        <v>ST</v>
      </c>
      <c r="G591" s="15" t="str">
        <v>Juventus</v>
      </c>
      <c r="H591" s="15">
        <v>10</v>
      </c>
      <c r="I591" s="15" t="str">
        <f t="shared" si="54"/>
        <v>154|Jonathan David|26|Canada|ST|Juventus|10</v>
      </c>
      <c r="J591" s="15" t="str">
        <f>IF(COUNTIF(I$438:I591,I591)&gt;1,"DOUBLON","OK")</f>
        <v>OK</v>
      </c>
      <c r="S591" s="30" t="str">
        <v>France</v>
      </c>
      <c r="T591" s="30" t="str">
        <f t="shared" si="55"/>
        <v>OK</v>
      </c>
      <c r="U591" s="30" t="str">
        <f t="shared" si="56"/>
        <v>-</v>
      </c>
      <c r="V591" s="30" t="str" cm="1">
        <f t="array" ref="V591">_xlfn.IFS(
ISNUMBER(SEARCH("USA",S591)),"United States",
ISNUMBER(SEARCH("Republic of Korea",S591)),"South Korea",
ISNUMBER(SEARCH("Cape Verde",S591)),"Cabo Verde",
ISNUMBER(SEARCH("Czechia",S591)),"Czech Republic",
ISNUMBER(SEARCH("Türkiye",S591)),"Turkey",
ISNUMBER(SEARCH("Ivory Coast",S591)),"Côte d'Ivoire",
ISNUMBER(SEARCH("Korea Republic",S591)),"South Korea",
ISNUMBER(SEARCH("Germany FR",S591)),"FR Germany",
ISNUMBER(SEARCH("West Germany",S591)),"FR Germany",
ISNUMBER(SEARCH("Germany DR",S591)),"DR Germany",
ISNUMBER(SEARCH("Korea DPR",S591)),"North Korea",
ISNUMBER(SEARCH("China PR",S591)),"China",
ISNUMBER(SEARCH("IR Iran",S591)),"Iran",
ISNUMBER(SEARCH("Congo DR",S591)),"Democratic Republic of the Congo",
ISNUMBER(SEARCH("DR Congo",S591)),"Democratic Republic of the Congo",
ISNUMBER(SEARCH("German DR",S591)),"DR Germany",
ISNUMBER(SEARCH("rn""&gt;United Arab Emirates",S591)),"United Arab Emirates",
ISNUMBER(SEARCH("rn""&gt;Republic of Ireland",S591)),"Ireland",
ISNUMBER(SEARCH("rn""&gt;Bosnia and Herzegovina",S591)),"Bosnia and Herzegovina",
ISNUMBER(SEARCH("rn""&gt;Trinidad and Tobago",S591)),"Trinidad and Tobago",
ISNUMBER(SEARCH("rn""&gt;Serbia and Montenegro",S591)),"Serbia and Montenegro",
ISNUMBER(SEARCH(_xlfn.UNICHAR(65533),S591)),"Côte d'Ivoire",
TRUE,""
)</f>
        <v/>
      </c>
      <c r="W591" s="30" t="str">
        <f t="shared" si="57"/>
        <v>France</v>
      </c>
      <c r="Z591" s="40" t="str">
        <v>Stade V�lodrome</v>
      </c>
      <c r="AA591" s="40" t="str" cm="1">
        <f t="array" ref="AA591">IFERROR(_xlfn.XLOOKUP(Z591,_xlfn.ANCHORARRAY(Z$31),AA$31:AA$37),Z591)</f>
        <v>Stade Vélodrome</v>
      </c>
      <c r="AB591" s="42" t="str">
        <v xml:space="preserve">Marseilles </v>
      </c>
      <c r="AC591" s="89" t="str">
        <f t="shared" si="53"/>
        <v xml:space="preserve">Marseilles </v>
      </c>
      <c r="AE591" s="42">
        <v>1994</v>
      </c>
      <c r="AK591" s="42">
        <v>2</v>
      </c>
      <c r="AL591" s="42">
        <v>1</v>
      </c>
      <c r="AW591" s="89" t="str">
        <v>FINAL</v>
      </c>
      <c r="BE591" s="43" t="str">
        <f>IF(OR(DATA_CLEANED!AL582="",DATA_CLEANED!AM582=""),"MANQUANT",IF(OR(NOT(ISNUMBER(DATA_CLEANED!AL582)),NOT(ISNUMBER(DATA_CLEANED!AM582))),"ENTREE INVALIDE",IF(OR(DATA_CLEANED!AL582&lt;0,DATA_CLEANED!AM582&lt;0),"SCORE NEGATIF","OK")))</f>
        <v>OK</v>
      </c>
      <c r="BF591" s="43" t="str">
        <f>IF(DATA_CLEANED!AK582&lt;&gt;DATA_CLEANED!AN582,"OK","ERREUR")</f>
        <v>OK</v>
      </c>
      <c r="BG591" s="43" t="str">
        <f>IF(DATA_CLEANED!AL582&gt;DATA_CLEANED!AM582,DATA_CLEANED!AK582,IF(AND(DATA_QUALITE!W5068="-",DATA_CLEANED!AM582=DATA_CLEANED!AL582),"MATCH NUL",IF(AND(DATA_QUALITE!V5068="-",DATA_QUALITE!U5068="AUCUNE"),DATA_QUALITE!T5068,IF(DATA_QUALITE!V5068&lt;&gt;"-",DATA_QUALITE!V5068,DATA_CLEANED!AN582))))</f>
        <v>France</v>
      </c>
      <c r="BH591" s="103" t="str">
        <f>IF(AND(BG591="MATCH NUL",DATA_CLEANED!AO582="-"),"MATCH_NUL",IF(ISNUMBER(SEARCH("win on penalties",W5068)),"WIN_BY_PENALTY",IF(ISNUMBER(SEARCH("win after extra time",W5068)),"WIN_BY_EXTRA_TIME",IF(ISNUMBER(SEARCH("Golden Goal",W5068)),"WIN_BY_GOLDEN_GOAL","WIN_BY_SCORE"))))</f>
        <v>WIN_BY_SCORE</v>
      </c>
      <c r="BI591" s="99" t="str">
        <f>IF(OR(BG591=DATA_CLEANED!AK582,BG591=DATA_CLEANED!AN582,BG591="MATCH NUL"),"OK","ERREUR")</f>
        <v>OK</v>
      </c>
    </row>
    <row r="592" spans="2:61">
      <c r="B592" s="75">
        <v>155</v>
      </c>
      <c r="C592" s="15" t="str">
        <v>Tani Oluwaseyi</v>
      </c>
      <c r="D592" s="15">
        <v>26</v>
      </c>
      <c r="E592" s="15" t="str">
        <v>Canada</v>
      </c>
      <c r="F592" s="15" t="str">
        <v>ST</v>
      </c>
      <c r="G592" s="15" t="str">
        <v>Villarreal</v>
      </c>
      <c r="H592" s="15">
        <v>12</v>
      </c>
      <c r="I592" s="15" t="str">
        <f t="shared" si="54"/>
        <v>155|Tani Oluwaseyi|26|Canada|ST|Villarreal|12</v>
      </c>
      <c r="J592" s="15" t="str">
        <f>IF(COUNTIF(I$438:I592,I592)&gt;1,"DOUBLON","OK")</f>
        <v>OK</v>
      </c>
      <c r="S592" s="30" t="str">
        <v>France</v>
      </c>
      <c r="T592" s="30" t="str">
        <f t="shared" si="55"/>
        <v>OK</v>
      </c>
      <c r="U592" s="30" t="str">
        <f t="shared" si="56"/>
        <v>-</v>
      </c>
      <c r="V592" s="30" t="str" cm="1">
        <f t="array" ref="V592">_xlfn.IFS(
ISNUMBER(SEARCH("USA",S592)),"United States",
ISNUMBER(SEARCH("Republic of Korea",S592)),"South Korea",
ISNUMBER(SEARCH("Cape Verde",S592)),"Cabo Verde",
ISNUMBER(SEARCH("Czechia",S592)),"Czech Republic",
ISNUMBER(SEARCH("Türkiye",S592)),"Turkey",
ISNUMBER(SEARCH("Ivory Coast",S592)),"Côte d'Ivoire",
ISNUMBER(SEARCH("Korea Republic",S592)),"South Korea",
ISNUMBER(SEARCH("Germany FR",S592)),"FR Germany",
ISNUMBER(SEARCH("West Germany",S592)),"FR Germany",
ISNUMBER(SEARCH("Germany DR",S592)),"DR Germany",
ISNUMBER(SEARCH("Korea DPR",S592)),"North Korea",
ISNUMBER(SEARCH("China PR",S592)),"China",
ISNUMBER(SEARCH("IR Iran",S592)),"Iran",
ISNUMBER(SEARCH("Congo DR",S592)),"Democratic Republic of the Congo",
ISNUMBER(SEARCH("DR Congo",S592)),"Democratic Republic of the Congo",
ISNUMBER(SEARCH("German DR",S592)),"DR Germany",
ISNUMBER(SEARCH("rn""&gt;United Arab Emirates",S592)),"United Arab Emirates",
ISNUMBER(SEARCH("rn""&gt;Republic of Ireland",S592)),"Ireland",
ISNUMBER(SEARCH("rn""&gt;Bosnia and Herzegovina",S592)),"Bosnia and Herzegovina",
ISNUMBER(SEARCH("rn""&gt;Trinidad and Tobago",S592)),"Trinidad and Tobago",
ISNUMBER(SEARCH("rn""&gt;Serbia and Montenegro",S592)),"Serbia and Montenegro",
ISNUMBER(SEARCH(_xlfn.UNICHAR(65533),S592)),"Côte d'Ivoire",
TRUE,""
)</f>
        <v/>
      </c>
      <c r="W592" s="30" t="str">
        <f t="shared" si="57"/>
        <v>France</v>
      </c>
      <c r="Z592" s="40" t="str">
        <v>Stade de Gerland</v>
      </c>
      <c r="AA592" s="40" t="str" cm="1">
        <f t="array" ref="AA592">IFERROR(_xlfn.XLOOKUP(Z592,_xlfn.ANCHORARRAY(Z$31),AA$31:AA$37),Z592)</f>
        <v>Stade de Gerland</v>
      </c>
      <c r="AB592" s="42" t="str">
        <v xml:space="preserve">Lyon </v>
      </c>
      <c r="AC592" s="89" t="str">
        <f t="shared" si="53"/>
        <v xml:space="preserve">Lyon </v>
      </c>
      <c r="AE592" s="42">
        <v>1994</v>
      </c>
      <c r="AK592" s="42">
        <v>2</v>
      </c>
      <c r="AL592" s="42">
        <v>3</v>
      </c>
      <c r="AW592" s="89" t="str">
        <v>GROUP_STAGE</v>
      </c>
      <c r="BE592" s="43" t="str">
        <f>IF(OR(DATA_CLEANED!AL583="",DATA_CLEANED!AM583=""),"MANQUANT",IF(OR(NOT(ISNUMBER(DATA_CLEANED!AL583)),NOT(ISNUMBER(DATA_CLEANED!AM583))),"ENTREE INVALIDE",IF(OR(DATA_CLEANED!AL583&lt;0,DATA_CLEANED!AM583&lt;0),"SCORE NEGATIF","OK")))</f>
        <v>OK</v>
      </c>
      <c r="BF592" s="43" t="str">
        <f>IF(DATA_CLEANED!AK583&lt;&gt;DATA_CLEANED!AN583,"OK","ERREUR")</f>
        <v>OK</v>
      </c>
      <c r="BG592" s="43" t="str">
        <f>IF(DATA_CLEANED!AL583&gt;DATA_CLEANED!AM583,DATA_CLEANED!AK583,IF(AND(DATA_QUALITE!W5069="-",DATA_CLEANED!AM583=DATA_CLEANED!AL583),"MATCH NUL",IF(AND(DATA_QUALITE!V5069="-",DATA_QUALITE!U5069="AUCUNE"),DATA_QUALITE!T5069,IF(DATA_QUALITE!V5069&lt;&gt;"-",DATA_QUALITE!V5069,DATA_CLEANED!AN583))))</f>
        <v>Senegal</v>
      </c>
      <c r="BH592" s="103" t="str">
        <f>IF(AND(BG592="MATCH NUL",DATA_CLEANED!AO583="-"),"MATCH_NUL",IF(ISNUMBER(SEARCH("win on penalties",W5069)),"WIN_BY_PENALTY",IF(ISNUMBER(SEARCH("win after extra time",W5069)),"WIN_BY_EXTRA_TIME",IF(ISNUMBER(SEARCH("Golden Goal",W5069)),"WIN_BY_GOLDEN_GOAL","WIN_BY_SCORE"))))</f>
        <v>WIN_BY_SCORE</v>
      </c>
      <c r="BI592" s="99" t="str">
        <f>IF(OR(BG592=DATA_CLEANED!AK583,BG592=DATA_CLEANED!AN583,BG592="MATCH NUL"),"OK","ERREUR")</f>
        <v>OK</v>
      </c>
    </row>
    <row r="593" spans="2:61">
      <c r="B593" s="75">
        <v>156</v>
      </c>
      <c r="C593" s="15" t="str">
        <v>Promise David</v>
      </c>
      <c r="D593" s="15">
        <v>24</v>
      </c>
      <c r="E593" s="15" t="str">
        <v>Canada</v>
      </c>
      <c r="F593" s="15" t="str">
        <v>ST</v>
      </c>
      <c r="G593" s="15" t="str">
        <v>Union Saint-Gilloise</v>
      </c>
      <c r="H593" s="15">
        <v>24</v>
      </c>
      <c r="I593" s="15" t="str">
        <f t="shared" si="54"/>
        <v>156|Promise David|24|Canada|ST|Union Saint-Gilloise|24</v>
      </c>
      <c r="J593" s="15" t="str">
        <f>IF(COUNTIF(I$438:I593,I593)&gt;1,"DOUBLON","OK")</f>
        <v>OK</v>
      </c>
      <c r="S593" s="30" t="str">
        <v>France</v>
      </c>
      <c r="T593" s="30" t="str">
        <f t="shared" si="55"/>
        <v>OK</v>
      </c>
      <c r="U593" s="30" t="str">
        <f t="shared" si="56"/>
        <v>-</v>
      </c>
      <c r="V593" s="30" t="str" cm="1">
        <f t="array" ref="V593">_xlfn.IFS(
ISNUMBER(SEARCH("USA",S593)),"United States",
ISNUMBER(SEARCH("Republic of Korea",S593)),"South Korea",
ISNUMBER(SEARCH("Cape Verde",S593)),"Cabo Verde",
ISNUMBER(SEARCH("Czechia",S593)),"Czech Republic",
ISNUMBER(SEARCH("Türkiye",S593)),"Turkey",
ISNUMBER(SEARCH("Ivory Coast",S593)),"Côte d'Ivoire",
ISNUMBER(SEARCH("Korea Republic",S593)),"South Korea",
ISNUMBER(SEARCH("Germany FR",S593)),"FR Germany",
ISNUMBER(SEARCH("West Germany",S593)),"FR Germany",
ISNUMBER(SEARCH("Germany DR",S593)),"DR Germany",
ISNUMBER(SEARCH("Korea DPR",S593)),"North Korea",
ISNUMBER(SEARCH("China PR",S593)),"China",
ISNUMBER(SEARCH("IR Iran",S593)),"Iran",
ISNUMBER(SEARCH("Congo DR",S593)),"Democratic Republic of the Congo",
ISNUMBER(SEARCH("DR Congo",S593)),"Democratic Republic of the Congo",
ISNUMBER(SEARCH("German DR",S593)),"DR Germany",
ISNUMBER(SEARCH("rn""&gt;United Arab Emirates",S593)),"United Arab Emirates",
ISNUMBER(SEARCH("rn""&gt;Republic of Ireland",S593)),"Ireland",
ISNUMBER(SEARCH("rn""&gt;Bosnia and Herzegovina",S593)),"Bosnia and Herzegovina",
ISNUMBER(SEARCH("rn""&gt;Trinidad and Tobago",S593)),"Trinidad and Tobago",
ISNUMBER(SEARCH("rn""&gt;Serbia and Montenegro",S593)),"Serbia and Montenegro",
ISNUMBER(SEARCH(_xlfn.UNICHAR(65533),S593)),"Côte d'Ivoire",
TRUE,""
)</f>
        <v/>
      </c>
      <c r="W593" s="30" t="str">
        <f t="shared" si="57"/>
        <v>France</v>
      </c>
      <c r="Z593" s="40" t="str">
        <v>Stade du Parc Lescure</v>
      </c>
      <c r="AA593" s="40" t="str" cm="1">
        <f t="array" ref="AA593">IFERROR(_xlfn.XLOOKUP(Z593,_xlfn.ANCHORARRAY(Z$31),AA$31:AA$37),Z593)</f>
        <v>Stade du Parc Lescure</v>
      </c>
      <c r="AB593" s="42" t="str">
        <v xml:space="preserve">Bordeaux </v>
      </c>
      <c r="AC593" s="89" t="str">
        <f t="shared" si="53"/>
        <v xml:space="preserve">Bordeaux </v>
      </c>
      <c r="AE593" s="42">
        <v>1994</v>
      </c>
      <c r="AK593" s="42">
        <v>2</v>
      </c>
      <c r="AL593" s="42">
        <v>1</v>
      </c>
      <c r="AW593" s="89" t="str">
        <v>GROUP_STAGE</v>
      </c>
      <c r="BE593" s="43" t="str">
        <f>IF(OR(DATA_CLEANED!AL584="",DATA_CLEANED!AM584=""),"MANQUANT",IF(OR(NOT(ISNUMBER(DATA_CLEANED!AL584)),NOT(ISNUMBER(DATA_CLEANED!AM584))),"ENTREE INVALIDE",IF(OR(DATA_CLEANED!AL584&lt;0,DATA_CLEANED!AM584&lt;0),"SCORE NEGATIF","OK")))</f>
        <v>OK</v>
      </c>
      <c r="BF593" s="43" t="str">
        <f>IF(DATA_CLEANED!AK584&lt;&gt;DATA_CLEANED!AN584,"OK","ERREUR")</f>
        <v>OK</v>
      </c>
      <c r="BG593" s="43" t="str">
        <f>IF(DATA_CLEANED!AL584&gt;DATA_CLEANED!AM584,DATA_CLEANED!AK584,IF(AND(DATA_QUALITE!W5070="-",DATA_CLEANED!AM584=DATA_CLEANED!AL584),"MATCH NUL",IF(AND(DATA_QUALITE!V5070="-",DATA_QUALITE!U5070="AUCUNE"),DATA_QUALITE!T5070,IF(DATA_QUALITE!V5070&lt;&gt;"-",DATA_QUALITE!V5070,DATA_CLEANED!AN584))))</f>
        <v>Denmark</v>
      </c>
      <c r="BH593" s="103" t="str">
        <f>IF(AND(BG593="MATCH NUL",DATA_CLEANED!AO584="-"),"MATCH_NUL",IF(ISNUMBER(SEARCH("win on penalties",W5070)),"WIN_BY_PENALTY",IF(ISNUMBER(SEARCH("win after extra time",W5070)),"WIN_BY_EXTRA_TIME",IF(ISNUMBER(SEARCH("Golden Goal",W5070)),"WIN_BY_GOLDEN_GOAL","WIN_BY_SCORE"))))</f>
        <v>WIN_BY_SCORE</v>
      </c>
      <c r="BI593" s="99" t="str">
        <f>IF(OR(BG593=DATA_CLEANED!AK584,BG593=DATA_CLEANED!AN584,BG593="MATCH NUL"),"OK","ERREUR")</f>
        <v>OK</v>
      </c>
    </row>
    <row r="594" spans="2:61">
      <c r="B594" s="75">
        <v>157</v>
      </c>
      <c r="C594" s="15" t="str">
        <v>Mahmud Abunada</v>
      </c>
      <c r="D594" s="15">
        <v>26</v>
      </c>
      <c r="E594" s="15" t="str">
        <v>Qatar</v>
      </c>
      <c r="F594" s="15" t="str">
        <v>GK</v>
      </c>
      <c r="G594" s="15" t="str">
        <v>Al-Rayyan</v>
      </c>
      <c r="H594" s="15">
        <v>1</v>
      </c>
      <c r="I594" s="15" t="str">
        <f t="shared" si="54"/>
        <v>157|Mahmud Abunada|26|Qatar|GK|Al-Rayyan|1</v>
      </c>
      <c r="J594" s="15" t="str">
        <f>IF(COUNTIF(I$438:I594,I594)&gt;1,"DOUBLON","OK")</f>
        <v>OK</v>
      </c>
      <c r="S594" s="30" t="str">
        <v>France</v>
      </c>
      <c r="T594" s="30" t="str">
        <f t="shared" si="55"/>
        <v>OK</v>
      </c>
      <c r="U594" s="30" t="str">
        <f t="shared" si="56"/>
        <v>-</v>
      </c>
      <c r="V594" s="30" t="str" cm="1">
        <f t="array" ref="V594">_xlfn.IFS(
ISNUMBER(SEARCH("USA",S594)),"United States",
ISNUMBER(SEARCH("Republic of Korea",S594)),"South Korea",
ISNUMBER(SEARCH("Cape Verde",S594)),"Cabo Verde",
ISNUMBER(SEARCH("Czechia",S594)),"Czech Republic",
ISNUMBER(SEARCH("Türkiye",S594)),"Turkey",
ISNUMBER(SEARCH("Ivory Coast",S594)),"Côte d'Ivoire",
ISNUMBER(SEARCH("Korea Republic",S594)),"South Korea",
ISNUMBER(SEARCH("Germany FR",S594)),"FR Germany",
ISNUMBER(SEARCH("West Germany",S594)),"FR Germany",
ISNUMBER(SEARCH("Germany DR",S594)),"DR Germany",
ISNUMBER(SEARCH("Korea DPR",S594)),"North Korea",
ISNUMBER(SEARCH("China PR",S594)),"China",
ISNUMBER(SEARCH("IR Iran",S594)),"Iran",
ISNUMBER(SEARCH("Congo DR",S594)),"Democratic Republic of the Congo",
ISNUMBER(SEARCH("DR Congo",S594)),"Democratic Republic of the Congo",
ISNUMBER(SEARCH("German DR",S594)),"DR Germany",
ISNUMBER(SEARCH("rn""&gt;United Arab Emirates",S594)),"United Arab Emirates",
ISNUMBER(SEARCH("rn""&gt;Republic of Ireland",S594)),"Ireland",
ISNUMBER(SEARCH("rn""&gt;Bosnia and Herzegovina",S594)),"Bosnia and Herzegovina",
ISNUMBER(SEARCH("rn""&gt;Trinidad and Tobago",S594)),"Trinidad and Tobago",
ISNUMBER(SEARCH("rn""&gt;Serbia and Montenegro",S594)),"Serbia and Montenegro",
ISNUMBER(SEARCH(_xlfn.UNICHAR(65533),S594)),"Côte d'Ivoire",
TRUE,""
)</f>
        <v/>
      </c>
      <c r="W594" s="30" t="str">
        <f t="shared" si="57"/>
        <v>France</v>
      </c>
      <c r="Z594" s="40" t="str">
        <v>Stade Felix Bollaert</v>
      </c>
      <c r="AA594" s="40" t="str" cm="1">
        <f t="array" ref="AA594">IFERROR(_xlfn.XLOOKUP(Z594,_xlfn.ANCHORARRAY(Z$31),AA$31:AA$37),Z594)</f>
        <v>Stade Felix Bollaert</v>
      </c>
      <c r="AB594" s="42" t="str">
        <v xml:space="preserve">Lens </v>
      </c>
      <c r="AC594" s="89" t="str">
        <f t="shared" si="53"/>
        <v xml:space="preserve">Lens </v>
      </c>
      <c r="AE594" s="42">
        <v>1994</v>
      </c>
      <c r="AK594" s="42">
        <v>2</v>
      </c>
      <c r="AL594" s="42">
        <v>2</v>
      </c>
      <c r="AW594" s="89" t="str">
        <v>GROUP_STAGE</v>
      </c>
      <c r="BE594" s="43" t="str">
        <f>IF(OR(DATA_CLEANED!AL585="",DATA_CLEANED!AM585=""),"MANQUANT",IF(OR(NOT(ISNUMBER(DATA_CLEANED!AL585)),NOT(ISNUMBER(DATA_CLEANED!AM585))),"ENTREE INVALIDE",IF(OR(DATA_CLEANED!AL585&lt;0,DATA_CLEANED!AM585&lt;0),"SCORE NEGATIF","OK")))</f>
        <v>OK</v>
      </c>
      <c r="BF594" s="43" t="str">
        <f>IF(DATA_CLEANED!AK585&lt;&gt;DATA_CLEANED!AN585,"OK","ERREUR")</f>
        <v>OK</v>
      </c>
      <c r="BG594" s="43" t="str">
        <f>IF(DATA_CLEANED!AL585&gt;DATA_CLEANED!AM585,DATA_CLEANED!AK585,IF(AND(DATA_QUALITE!W5071="-",DATA_CLEANED!AM585=DATA_CLEANED!AL585),"MATCH NUL",IF(AND(DATA_QUALITE!V5071="-",DATA_QUALITE!U5071="AUCUNE"),DATA_QUALITE!T5071,IF(DATA_QUALITE!V5071&lt;&gt;"-",DATA_QUALITE!V5071,DATA_CLEANED!AN585))))</f>
        <v>MATCH NUL</v>
      </c>
      <c r="BH594" s="103" t="str">
        <f>IF(AND(BG594="MATCH NUL",DATA_CLEANED!AO585="-"),"MATCH_NUL",IF(ISNUMBER(SEARCH("win on penalties",W5071)),"WIN_BY_PENALTY",IF(ISNUMBER(SEARCH("win after extra time",W5071)),"WIN_BY_EXTRA_TIME",IF(ISNUMBER(SEARCH("Golden Goal",W5071)),"WIN_BY_GOLDEN_GOAL","WIN_BY_SCORE"))))</f>
        <v>MATCH_NUL</v>
      </c>
      <c r="BI594" s="99" t="str">
        <f>IF(OR(BG594=DATA_CLEANED!AK585,BG594=DATA_CLEANED!AN585,BG594="MATCH NUL"),"OK","ERREUR")</f>
        <v>OK</v>
      </c>
    </row>
    <row r="595" spans="2:61">
      <c r="B595" s="75">
        <v>158</v>
      </c>
      <c r="C595" s="15" t="str">
        <v>Salah Zakaria</v>
      </c>
      <c r="D595" s="15">
        <v>27</v>
      </c>
      <c r="E595" s="15" t="str">
        <v>Qatar</v>
      </c>
      <c r="F595" s="15" t="str">
        <v>GK</v>
      </c>
      <c r="G595" s="15" t="str">
        <v>Al-Duhail</v>
      </c>
      <c r="H595" s="15">
        <v>21</v>
      </c>
      <c r="I595" s="15" t="str">
        <f t="shared" si="54"/>
        <v>158|Salah Zakaria|27|Qatar|GK|Al-Duhail|21</v>
      </c>
      <c r="J595" s="15" t="str">
        <f>IF(COUNTIF(I$438:I595,I595)&gt;1,"DOUBLON","OK")</f>
        <v>OK</v>
      </c>
      <c r="S595" s="30" t="str">
        <v>France</v>
      </c>
      <c r="T595" s="30" t="str">
        <f t="shared" si="55"/>
        <v>OK</v>
      </c>
      <c r="U595" s="30" t="str">
        <f t="shared" si="56"/>
        <v>-</v>
      </c>
      <c r="V595" s="30" t="str" cm="1">
        <f t="array" ref="V595">_xlfn.IFS(
ISNUMBER(SEARCH("USA",S595)),"United States",
ISNUMBER(SEARCH("Republic of Korea",S595)),"South Korea",
ISNUMBER(SEARCH("Cape Verde",S595)),"Cabo Verde",
ISNUMBER(SEARCH("Czechia",S595)),"Czech Republic",
ISNUMBER(SEARCH("Türkiye",S595)),"Turkey",
ISNUMBER(SEARCH("Ivory Coast",S595)),"Côte d'Ivoire",
ISNUMBER(SEARCH("Korea Republic",S595)),"South Korea",
ISNUMBER(SEARCH("Germany FR",S595)),"FR Germany",
ISNUMBER(SEARCH("West Germany",S595)),"FR Germany",
ISNUMBER(SEARCH("Germany DR",S595)),"DR Germany",
ISNUMBER(SEARCH("Korea DPR",S595)),"North Korea",
ISNUMBER(SEARCH("China PR",S595)),"China",
ISNUMBER(SEARCH("IR Iran",S595)),"Iran",
ISNUMBER(SEARCH("Congo DR",S595)),"Democratic Republic of the Congo",
ISNUMBER(SEARCH("DR Congo",S595)),"Democratic Republic of the Congo",
ISNUMBER(SEARCH("German DR",S595)),"DR Germany",
ISNUMBER(SEARCH("rn""&gt;United Arab Emirates",S595)),"United Arab Emirates",
ISNUMBER(SEARCH("rn""&gt;Republic of Ireland",S595)),"Ireland",
ISNUMBER(SEARCH("rn""&gt;Bosnia and Herzegovina",S595)),"Bosnia and Herzegovina",
ISNUMBER(SEARCH("rn""&gt;Trinidad and Tobago",S595)),"Trinidad and Tobago",
ISNUMBER(SEARCH("rn""&gt;Serbia and Montenegro",S595)),"Serbia and Montenegro",
ISNUMBER(SEARCH(_xlfn.UNICHAR(65533),S595)),"Côte d'Ivoire",
TRUE,""
)</f>
        <v/>
      </c>
      <c r="W595" s="30" t="str">
        <f t="shared" si="57"/>
        <v>France</v>
      </c>
      <c r="Z595" s="40" t="str">
        <v>Stade Municipal</v>
      </c>
      <c r="AA595" s="40" t="str" cm="1">
        <f t="array" ref="AA595">IFERROR(_xlfn.XLOOKUP(Z595,_xlfn.ANCHORARRAY(Z$31),AA$31:AA$37),Z595)</f>
        <v>Stade Municipal</v>
      </c>
      <c r="AB595" s="42" t="str">
        <v xml:space="preserve">Toulouse </v>
      </c>
      <c r="AC595" s="89" t="str">
        <f t="shared" si="53"/>
        <v xml:space="preserve">Toulouse </v>
      </c>
      <c r="AE595" s="42">
        <v>1994</v>
      </c>
      <c r="AK595" s="42">
        <v>1</v>
      </c>
      <c r="AL595" s="42">
        <v>2</v>
      </c>
      <c r="AW595" s="89" t="str">
        <v>GROUP_STAGE</v>
      </c>
      <c r="BE595" s="43" t="str">
        <f>IF(OR(DATA_CLEANED!AL586="",DATA_CLEANED!AM586=""),"MANQUANT",IF(OR(NOT(ISNUMBER(DATA_CLEANED!AL586)),NOT(ISNUMBER(DATA_CLEANED!AM586))),"ENTREE INVALIDE",IF(OR(DATA_CLEANED!AL586&lt;0,DATA_CLEANED!AM586&lt;0),"SCORE NEGATIF","OK")))</f>
        <v>OK</v>
      </c>
      <c r="BF595" s="43" t="str">
        <f>IF(DATA_CLEANED!AK586&lt;&gt;DATA_CLEANED!AN586,"OK","ERREUR")</f>
        <v>OK</v>
      </c>
      <c r="BG595" s="43" t="str">
        <f>IF(DATA_CLEANED!AL586&gt;DATA_CLEANED!AM586,DATA_CLEANED!AK586,IF(AND(DATA_QUALITE!W5072="-",DATA_CLEANED!AM586=DATA_CLEANED!AL586),"MATCH NUL",IF(AND(DATA_QUALITE!V5072="-",DATA_QUALITE!U5072="AUCUNE"),DATA_QUALITE!T5072,IF(DATA_QUALITE!V5072&lt;&gt;"-",DATA_QUALITE!V5072,DATA_CLEANED!AN586))))</f>
        <v>Germany</v>
      </c>
      <c r="BH595" s="103" t="str">
        <f>IF(AND(BG595="MATCH NUL",DATA_CLEANED!AO586="-"),"MATCH_NUL",IF(ISNUMBER(SEARCH("win on penalties",W5072)),"WIN_BY_PENALTY",IF(ISNUMBER(SEARCH("win after extra time",W5072)),"WIN_BY_EXTRA_TIME",IF(ISNUMBER(SEARCH("Golden Goal",W5072)),"WIN_BY_GOLDEN_GOAL","WIN_BY_SCORE"))))</f>
        <v>WIN_BY_SCORE</v>
      </c>
      <c r="BI595" s="99" t="str">
        <f>IF(OR(BG595=DATA_CLEANED!AK586,BG595=DATA_CLEANED!AN586,BG595="MATCH NUL"),"OK","ERREUR")</f>
        <v>OK</v>
      </c>
    </row>
    <row r="596" spans="2:61">
      <c r="B596" s="75">
        <v>159</v>
      </c>
      <c r="C596" s="15" t="str">
        <v>Meshaal Barsham</v>
      </c>
      <c r="D596" s="15">
        <v>28</v>
      </c>
      <c r="E596" s="15" t="str">
        <v>Qatar</v>
      </c>
      <c r="F596" s="15" t="str">
        <v>GK</v>
      </c>
      <c r="G596" s="15" t="str">
        <v>Al-Sadd</v>
      </c>
      <c r="H596" s="15">
        <v>22</v>
      </c>
      <c r="I596" s="15" t="str">
        <f t="shared" si="54"/>
        <v>159|Meshaal Barsham|28|Qatar|GK|Al-Sadd|22</v>
      </c>
      <c r="J596" s="15" t="str">
        <f>IF(COUNTIF(I$438:I596,I596)&gt;1,"DOUBLON","OK")</f>
        <v>OK</v>
      </c>
      <c r="S596" s="30" t="str">
        <v>France</v>
      </c>
      <c r="T596" s="30" t="str">
        <f t="shared" si="55"/>
        <v>OK</v>
      </c>
      <c r="U596" s="30" t="str">
        <f t="shared" si="56"/>
        <v>-</v>
      </c>
      <c r="V596" s="30" t="str" cm="1">
        <f t="array" ref="V596">_xlfn.IFS(
ISNUMBER(SEARCH("USA",S596)),"United States",
ISNUMBER(SEARCH("Republic of Korea",S596)),"South Korea",
ISNUMBER(SEARCH("Cape Verde",S596)),"Cabo Verde",
ISNUMBER(SEARCH("Czechia",S596)),"Czech Republic",
ISNUMBER(SEARCH("Türkiye",S596)),"Turkey",
ISNUMBER(SEARCH("Ivory Coast",S596)),"Côte d'Ivoire",
ISNUMBER(SEARCH("Korea Republic",S596)),"South Korea",
ISNUMBER(SEARCH("Germany FR",S596)),"FR Germany",
ISNUMBER(SEARCH("West Germany",S596)),"FR Germany",
ISNUMBER(SEARCH("Germany DR",S596)),"DR Germany",
ISNUMBER(SEARCH("Korea DPR",S596)),"North Korea",
ISNUMBER(SEARCH("China PR",S596)),"China",
ISNUMBER(SEARCH("IR Iran",S596)),"Iran",
ISNUMBER(SEARCH("Congo DR",S596)),"Democratic Republic of the Congo",
ISNUMBER(SEARCH("DR Congo",S596)),"Democratic Republic of the Congo",
ISNUMBER(SEARCH("German DR",S596)),"DR Germany",
ISNUMBER(SEARCH("rn""&gt;United Arab Emirates",S596)),"United Arab Emirates",
ISNUMBER(SEARCH("rn""&gt;Republic of Ireland",S596)),"Ireland",
ISNUMBER(SEARCH("rn""&gt;Bosnia and Herzegovina",S596)),"Bosnia and Herzegovina",
ISNUMBER(SEARCH("rn""&gt;Trinidad and Tobago",S596)),"Trinidad and Tobago",
ISNUMBER(SEARCH("rn""&gt;Serbia and Montenegro",S596)),"Serbia and Montenegro",
ISNUMBER(SEARCH(_xlfn.UNICHAR(65533),S596)),"Côte d'Ivoire",
TRUE,""
)</f>
        <v/>
      </c>
      <c r="W596" s="30" t="str">
        <f t="shared" si="57"/>
        <v>France</v>
      </c>
      <c r="Z596" s="40" t="str">
        <v>Parc des Princes</v>
      </c>
      <c r="AA596" s="40" t="str" cm="1">
        <f t="array" ref="AA596">IFERROR(_xlfn.XLOOKUP(Z596,_xlfn.ANCHORARRAY(Z$31),AA$31:AA$37),Z596)</f>
        <v>Parc des Princes</v>
      </c>
      <c r="AB596" s="42" t="str">
        <v xml:space="preserve">Paris </v>
      </c>
      <c r="AC596" s="89" t="str">
        <f t="shared" si="53"/>
        <v xml:space="preserve">Paris </v>
      </c>
      <c r="AE596" s="42">
        <v>1994</v>
      </c>
      <c r="AK596" s="42">
        <v>0</v>
      </c>
      <c r="AL596" s="42">
        <v>1</v>
      </c>
      <c r="AW596" s="89" t="str">
        <v>GROUP_STAGE</v>
      </c>
      <c r="BE596" s="43" t="str">
        <f>IF(OR(DATA_CLEANED!AL587="",DATA_CLEANED!AM587=""),"MANQUANT",IF(OR(NOT(ISNUMBER(DATA_CLEANED!AL587)),NOT(ISNUMBER(DATA_CLEANED!AM587))),"ENTREE INVALIDE",IF(OR(DATA_CLEANED!AL587&lt;0,DATA_CLEANED!AM587&lt;0),"SCORE NEGATIF","OK")))</f>
        <v>OK</v>
      </c>
      <c r="BF596" s="43" t="str">
        <f>IF(DATA_CLEANED!AK587&lt;&gt;DATA_CLEANED!AN587,"OK","ERREUR")</f>
        <v>OK</v>
      </c>
      <c r="BG596" s="43" t="str">
        <f>IF(DATA_CLEANED!AL587&gt;DATA_CLEANED!AM587,DATA_CLEANED!AK587,IF(AND(DATA_QUALITE!W5073="-",DATA_CLEANED!AM587=DATA_CLEANED!AL587),"MATCH NUL",IF(AND(DATA_QUALITE!V5073="-",DATA_QUALITE!U5073="AUCUNE"),DATA_QUALITE!T5073,IF(DATA_QUALITE!V5073&lt;&gt;"-",DATA_QUALITE!V5073,DATA_CLEANED!AN587))))</f>
        <v>Argentina</v>
      </c>
      <c r="BH596" s="103" t="str">
        <f>IF(AND(BG596="MATCH NUL",DATA_CLEANED!AO587="-"),"MATCH_NUL",IF(ISNUMBER(SEARCH("win on penalties",W5073)),"WIN_BY_PENALTY",IF(ISNUMBER(SEARCH("win after extra time",W5073)),"WIN_BY_EXTRA_TIME",IF(ISNUMBER(SEARCH("Golden Goal",W5073)),"WIN_BY_GOLDEN_GOAL","WIN_BY_SCORE"))))</f>
        <v>WIN_BY_SCORE</v>
      </c>
      <c r="BI596" s="99" t="str">
        <f>IF(OR(BG596=DATA_CLEANED!AK587,BG596=DATA_CLEANED!AN587,BG596="MATCH NUL"),"OK","ERREUR")</f>
        <v>OK</v>
      </c>
    </row>
    <row r="597" spans="2:61">
      <c r="B597" s="75">
        <v>160</v>
      </c>
      <c r="C597" s="15" t="str">
        <v>Lucas Mendes</v>
      </c>
      <c r="D597" s="15">
        <v>35</v>
      </c>
      <c r="E597" s="15" t="str">
        <v>Qatar</v>
      </c>
      <c r="F597" s="15" t="str">
        <v>CB</v>
      </c>
      <c r="G597" s="15" t="str">
        <v>Al-Wakrah</v>
      </c>
      <c r="H597" s="15">
        <v>3</v>
      </c>
      <c r="I597" s="15" t="str">
        <f t="shared" si="54"/>
        <v>160|Lucas Mendes|35|Qatar|CB|Al-Wakrah|3</v>
      </c>
      <c r="J597" s="15" t="str">
        <f>IF(COUNTIF(I$438:I597,I597)&gt;1,"DOUBLON","OK")</f>
        <v>OK</v>
      </c>
      <c r="S597" s="30" t="str">
        <v>France</v>
      </c>
      <c r="T597" s="30" t="str">
        <f t="shared" si="55"/>
        <v>OK</v>
      </c>
      <c r="U597" s="30" t="str">
        <f t="shared" si="56"/>
        <v>-</v>
      </c>
      <c r="V597" s="30" t="str" cm="1">
        <f t="array" ref="V597">_xlfn.IFS(
ISNUMBER(SEARCH("USA",S597)),"United States",
ISNUMBER(SEARCH("Republic of Korea",S597)),"South Korea",
ISNUMBER(SEARCH("Cape Verde",S597)),"Cabo Verde",
ISNUMBER(SEARCH("Czechia",S597)),"Czech Republic",
ISNUMBER(SEARCH("Türkiye",S597)),"Turkey",
ISNUMBER(SEARCH("Ivory Coast",S597)),"Côte d'Ivoire",
ISNUMBER(SEARCH("Korea Republic",S597)),"South Korea",
ISNUMBER(SEARCH("Germany FR",S597)),"FR Germany",
ISNUMBER(SEARCH("West Germany",S597)),"FR Germany",
ISNUMBER(SEARCH("Germany DR",S597)),"DR Germany",
ISNUMBER(SEARCH("Korea DPR",S597)),"North Korea",
ISNUMBER(SEARCH("China PR",S597)),"China",
ISNUMBER(SEARCH("IR Iran",S597)),"Iran",
ISNUMBER(SEARCH("Congo DR",S597)),"Democratic Republic of the Congo",
ISNUMBER(SEARCH("DR Congo",S597)),"Democratic Republic of the Congo",
ISNUMBER(SEARCH("German DR",S597)),"DR Germany",
ISNUMBER(SEARCH("rn""&gt;United Arab Emirates",S597)),"United Arab Emirates",
ISNUMBER(SEARCH("rn""&gt;Republic of Ireland",S597)),"Ireland",
ISNUMBER(SEARCH("rn""&gt;Bosnia and Herzegovina",S597)),"Bosnia and Herzegovina",
ISNUMBER(SEARCH("rn""&gt;Trinidad and Tobago",S597)),"Trinidad and Tobago",
ISNUMBER(SEARCH("rn""&gt;Serbia and Montenegro",S597)),"Serbia and Montenegro",
ISNUMBER(SEARCH(_xlfn.UNICHAR(65533),S597)),"Côte d'Ivoire",
TRUE,""
)</f>
        <v/>
      </c>
      <c r="W597" s="30" t="str">
        <f t="shared" si="57"/>
        <v>France</v>
      </c>
      <c r="Z597" s="40" t="str">
        <v>Stade Geoffroy Guichard</v>
      </c>
      <c r="AA597" s="40" t="str" cm="1">
        <f t="array" ref="AA597">IFERROR(_xlfn.XLOOKUP(Z597,_xlfn.ANCHORARRAY(Z$31),AA$31:AA$37),Z597)</f>
        <v>Stade Geoffroy Guichard</v>
      </c>
      <c r="AB597" s="42" t="str">
        <v xml:space="preserve">Saint-Etienne </v>
      </c>
      <c r="AC597" s="89" t="str">
        <f t="shared" si="53"/>
        <v xml:space="preserve">Saint-Etienne </v>
      </c>
      <c r="AE597" s="42">
        <v>1994</v>
      </c>
      <c r="AK597" s="42">
        <v>4</v>
      </c>
      <c r="AL597" s="42">
        <v>0</v>
      </c>
      <c r="AW597" s="89" t="str">
        <v>GROUP_STAGE</v>
      </c>
      <c r="BE597" s="43" t="str">
        <f>IF(OR(DATA_CLEANED!AL588="",DATA_CLEANED!AM588=""),"MANQUANT",IF(OR(NOT(ISNUMBER(DATA_CLEANED!AL588)),NOT(ISNUMBER(DATA_CLEANED!AM588))),"ENTREE INVALIDE",IF(OR(DATA_CLEANED!AL588&lt;0,DATA_CLEANED!AM588&lt;0),"SCORE NEGATIF","OK")))</f>
        <v>OK</v>
      </c>
      <c r="BF597" s="43" t="str">
        <f>IF(DATA_CLEANED!AK588&lt;&gt;DATA_CLEANED!AN588,"OK","ERREUR")</f>
        <v>OK</v>
      </c>
      <c r="BG597" s="43" t="str">
        <f>IF(DATA_CLEANED!AL588&gt;DATA_CLEANED!AM588,DATA_CLEANED!AK588,IF(AND(DATA_QUALITE!W5074="-",DATA_CLEANED!AM588=DATA_CLEANED!AL588),"MATCH NUL",IF(AND(DATA_QUALITE!V5074="-",DATA_QUALITE!U5074="AUCUNE"),DATA_QUALITE!T5074,IF(DATA_QUALITE!V5074&lt;&gt;"-",DATA_QUALITE!V5074,DATA_CLEANED!AN588))))</f>
        <v>MATCH NUL</v>
      </c>
      <c r="BH597" s="103" t="str">
        <f>IF(AND(BG597="MATCH NUL",DATA_CLEANED!AO588="-"),"MATCH_NUL",IF(ISNUMBER(SEARCH("win on penalties",W5074)),"WIN_BY_PENALTY",IF(ISNUMBER(SEARCH("win after extra time",W5074)),"WIN_BY_EXTRA_TIME",IF(ISNUMBER(SEARCH("Golden Goal",W5074)),"WIN_BY_GOLDEN_GOAL","WIN_BY_SCORE"))))</f>
        <v>MATCH_NUL</v>
      </c>
      <c r="BI597" s="99" t="str">
        <f>IF(OR(BG597=DATA_CLEANED!AK588,BG597=DATA_CLEANED!AN588,BG597="MATCH NUL"),"OK","ERREUR")</f>
        <v>OK</v>
      </c>
    </row>
    <row r="598" spans="2:61">
      <c r="B598" s="75">
        <v>161</v>
      </c>
      <c r="C598" s="15" t="str">
        <v>Issa Laye</v>
      </c>
      <c r="D598" s="15">
        <v>28</v>
      </c>
      <c r="E598" s="15" t="str">
        <v>Qatar</v>
      </c>
      <c r="F598" s="15" t="str">
        <v>CB</v>
      </c>
      <c r="G598" s="15" t="str">
        <v>Al-Arabi</v>
      </c>
      <c r="H598" s="15">
        <v>4</v>
      </c>
      <c r="I598" s="15" t="str">
        <f t="shared" si="54"/>
        <v>161|Issa Laye|28|Qatar|CB|Al-Arabi|4</v>
      </c>
      <c r="J598" s="15" t="str">
        <f>IF(COUNTIF(I$438:I598,I598)&gt;1,"DOUBLON","OK")</f>
        <v>OK</v>
      </c>
      <c r="S598" s="30" t="str">
        <v>France</v>
      </c>
      <c r="T598" s="30" t="str">
        <f t="shared" si="55"/>
        <v>OK</v>
      </c>
      <c r="U598" s="30" t="str">
        <f t="shared" si="56"/>
        <v>-</v>
      </c>
      <c r="V598" s="30" t="str" cm="1">
        <f t="array" ref="V598">_xlfn.IFS(
ISNUMBER(SEARCH("USA",S598)),"United States",
ISNUMBER(SEARCH("Republic of Korea",S598)),"South Korea",
ISNUMBER(SEARCH("Cape Verde",S598)),"Cabo Verde",
ISNUMBER(SEARCH("Czechia",S598)),"Czech Republic",
ISNUMBER(SEARCH("Türkiye",S598)),"Turkey",
ISNUMBER(SEARCH("Ivory Coast",S598)),"Côte d'Ivoire",
ISNUMBER(SEARCH("Korea Republic",S598)),"South Korea",
ISNUMBER(SEARCH("Germany FR",S598)),"FR Germany",
ISNUMBER(SEARCH("West Germany",S598)),"FR Germany",
ISNUMBER(SEARCH("Germany DR",S598)),"DR Germany",
ISNUMBER(SEARCH("Korea DPR",S598)),"North Korea",
ISNUMBER(SEARCH("China PR",S598)),"China",
ISNUMBER(SEARCH("IR Iran",S598)),"Iran",
ISNUMBER(SEARCH("Congo DR",S598)),"Democratic Republic of the Congo",
ISNUMBER(SEARCH("DR Congo",S598)),"Democratic Republic of the Congo",
ISNUMBER(SEARCH("German DR",S598)),"DR Germany",
ISNUMBER(SEARCH("rn""&gt;United Arab Emirates",S598)),"United Arab Emirates",
ISNUMBER(SEARCH("rn""&gt;Republic of Ireland",S598)),"Ireland",
ISNUMBER(SEARCH("rn""&gt;Bosnia and Herzegovina",S598)),"Bosnia and Herzegovina",
ISNUMBER(SEARCH("rn""&gt;Trinidad and Tobago",S598)),"Trinidad and Tobago",
ISNUMBER(SEARCH("rn""&gt;Serbia and Montenegro",S598)),"Serbia and Montenegro",
ISNUMBER(SEARCH(_xlfn.UNICHAR(65533),S598)),"Côte d'Ivoire",
TRUE,""
)</f>
        <v/>
      </c>
      <c r="W598" s="30" t="str">
        <f t="shared" si="57"/>
        <v>France</v>
      </c>
      <c r="Z598" s="40" t="str">
        <v>La Mosson</v>
      </c>
      <c r="AA598" s="40" t="str" cm="1">
        <f t="array" ref="AA598">IFERROR(_xlfn.XLOOKUP(Z598,_xlfn.ANCHORARRAY(Z$31),AA$31:AA$37),Z598)</f>
        <v>La Mosson</v>
      </c>
      <c r="AB598" s="42" t="str">
        <v xml:space="preserve">Montpellier </v>
      </c>
      <c r="AC598" s="89" t="str">
        <f t="shared" si="53"/>
        <v xml:space="preserve">Montpellier </v>
      </c>
      <c r="AE598" s="42">
        <v>1994</v>
      </c>
      <c r="AK598" s="42">
        <v>0</v>
      </c>
      <c r="AL598" s="42">
        <v>0</v>
      </c>
      <c r="AW598" s="89" t="str">
        <v>GROUP_STAGE</v>
      </c>
      <c r="BE598" s="43" t="str">
        <f>IF(OR(DATA_CLEANED!AL589="",DATA_CLEANED!AM589=""),"MANQUANT",IF(OR(NOT(ISNUMBER(DATA_CLEANED!AL589)),NOT(ISNUMBER(DATA_CLEANED!AM589))),"ENTREE INVALIDE",IF(OR(DATA_CLEANED!AL589&lt;0,DATA_CLEANED!AM589&lt;0),"SCORE NEGATIF","OK")))</f>
        <v>OK</v>
      </c>
      <c r="BF598" s="43" t="str">
        <f>IF(DATA_CLEANED!AK589&lt;&gt;DATA_CLEANED!AN589,"OK","ERREUR")</f>
        <v>OK</v>
      </c>
      <c r="BG598" s="43" t="str">
        <f>IF(DATA_CLEANED!AL589&gt;DATA_CLEANED!AM589,DATA_CLEANED!AK589,IF(AND(DATA_QUALITE!W5075="-",DATA_CLEANED!AM589=DATA_CLEANED!AL589),"MATCH NUL",IF(AND(DATA_QUALITE!V5075="-",DATA_QUALITE!U5075="AUCUNE"),DATA_QUALITE!T5075,IF(DATA_QUALITE!V5075&lt;&gt;"-",DATA_QUALITE!V5075,DATA_CLEANED!AN589))))</f>
        <v>MATCH NUL</v>
      </c>
      <c r="BH598" s="103" t="str">
        <f>IF(AND(BG598="MATCH NUL",DATA_CLEANED!AO589="-"),"MATCH_NUL",IF(ISNUMBER(SEARCH("win on penalties",W5075)),"WIN_BY_PENALTY",IF(ISNUMBER(SEARCH("win after extra time",W5075)),"WIN_BY_EXTRA_TIME",IF(ISNUMBER(SEARCH("Golden Goal",W5075)),"WIN_BY_GOLDEN_GOAL","WIN_BY_SCORE"))))</f>
        <v>MATCH_NUL</v>
      </c>
      <c r="BI598" s="99" t="str">
        <f>IF(OR(BG598=DATA_CLEANED!AK589,BG598=DATA_CLEANED!AN589,BG598="MATCH NUL"),"OK","ERREUR")</f>
        <v>OK</v>
      </c>
    </row>
    <row r="599" spans="2:61">
      <c r="B599" s="75">
        <v>162</v>
      </c>
      <c r="C599" s="15" t="str">
        <v>Jassem Gaber</v>
      </c>
      <c r="D599" s="15">
        <v>24</v>
      </c>
      <c r="E599" s="15" t="str">
        <v>Qatar</v>
      </c>
      <c r="F599" s="15" t="str">
        <v>CB</v>
      </c>
      <c r="G599" s="15" t="str">
        <v>Al-Rayyan</v>
      </c>
      <c r="H599" s="15">
        <v>5</v>
      </c>
      <c r="I599" s="15" t="str">
        <f t="shared" si="54"/>
        <v>162|Jassem Gaber|24|Qatar|CB|Al-Rayyan|5</v>
      </c>
      <c r="J599" s="15" t="str">
        <f>IF(COUNTIF(I$438:I599,I599)&gt;1,"DOUBLON","OK")</f>
        <v>OK</v>
      </c>
      <c r="S599" s="30" t="str">
        <v>Japan</v>
      </c>
      <c r="T599" s="30" t="str">
        <f t="shared" si="55"/>
        <v>OK</v>
      </c>
      <c r="U599" s="30" t="str">
        <f t="shared" si="56"/>
        <v>-</v>
      </c>
      <c r="V599" s="30" t="str" cm="1">
        <f t="array" ref="V599">_xlfn.IFS(
ISNUMBER(SEARCH("USA",S599)),"United States",
ISNUMBER(SEARCH("Republic of Korea",S599)),"South Korea",
ISNUMBER(SEARCH("Cape Verde",S599)),"Cabo Verde",
ISNUMBER(SEARCH("Czechia",S599)),"Czech Republic",
ISNUMBER(SEARCH("Türkiye",S599)),"Turkey",
ISNUMBER(SEARCH("Ivory Coast",S599)),"Côte d'Ivoire",
ISNUMBER(SEARCH("Korea Republic",S599)),"South Korea",
ISNUMBER(SEARCH("Germany FR",S599)),"FR Germany",
ISNUMBER(SEARCH("West Germany",S599)),"FR Germany",
ISNUMBER(SEARCH("Germany DR",S599)),"DR Germany",
ISNUMBER(SEARCH("Korea DPR",S599)),"North Korea",
ISNUMBER(SEARCH("China PR",S599)),"China",
ISNUMBER(SEARCH("IR Iran",S599)),"Iran",
ISNUMBER(SEARCH("Congo DR",S599)),"Democratic Republic of the Congo",
ISNUMBER(SEARCH("DR Congo",S599)),"Democratic Republic of the Congo",
ISNUMBER(SEARCH("German DR",S599)),"DR Germany",
ISNUMBER(SEARCH("rn""&gt;United Arab Emirates",S599)),"United Arab Emirates",
ISNUMBER(SEARCH("rn""&gt;Republic of Ireland",S599)),"Ireland",
ISNUMBER(SEARCH("rn""&gt;Bosnia and Herzegovina",S599)),"Bosnia and Herzegovina",
ISNUMBER(SEARCH("rn""&gt;Trinidad and Tobago",S599)),"Trinidad and Tobago",
ISNUMBER(SEARCH("rn""&gt;Serbia and Montenegro",S599)),"Serbia and Montenegro",
ISNUMBER(SEARCH(_xlfn.UNICHAR(65533),S599)),"Côte d'Ivoire",
TRUE,""
)</f>
        <v/>
      </c>
      <c r="W599" s="30" t="str">
        <f t="shared" si="57"/>
        <v>Japan</v>
      </c>
      <c r="Z599" s="40" t="str">
        <v>La Beaujoire</v>
      </c>
      <c r="AA599" s="40" t="str" cm="1">
        <f t="array" ref="AA599">IFERROR(_xlfn.XLOOKUP(Z599,_xlfn.ANCHORARRAY(Z$31),AA$31:AA$37),Z599)</f>
        <v>La Beaujoire</v>
      </c>
      <c r="AB599" s="42" t="str">
        <v xml:space="preserve">Nantes </v>
      </c>
      <c r="AC599" s="89" t="str">
        <f t="shared" si="53"/>
        <v xml:space="preserve">Nantes </v>
      </c>
      <c r="AE599" s="42">
        <v>1998</v>
      </c>
      <c r="AK599" s="42">
        <v>2</v>
      </c>
      <c r="AL599" s="42">
        <v>1</v>
      </c>
      <c r="AW599" s="89" t="str">
        <v>GROUP_STAGE</v>
      </c>
      <c r="BE599" s="43" t="str">
        <f>IF(OR(DATA_CLEANED!AL590="",DATA_CLEANED!AM590=""),"MANQUANT",IF(OR(NOT(ISNUMBER(DATA_CLEANED!AL590)),NOT(ISNUMBER(DATA_CLEANED!AM590))),"ENTREE INVALIDE",IF(OR(DATA_CLEANED!AL590&lt;0,DATA_CLEANED!AM590&lt;0),"SCORE NEGATIF","OK")))</f>
        <v>OK</v>
      </c>
      <c r="BF599" s="43" t="str">
        <f>IF(DATA_CLEANED!AK590&lt;&gt;DATA_CLEANED!AN590,"OK","ERREUR")</f>
        <v>OK</v>
      </c>
      <c r="BG599" s="43" t="str">
        <f>IF(DATA_CLEANED!AL590&gt;DATA_CLEANED!AM590,DATA_CLEANED!AK590,IF(AND(DATA_QUALITE!W5076="-",DATA_CLEANED!AM590=DATA_CLEANED!AL590),"MATCH NUL",IF(AND(DATA_QUALITE!V5076="-",DATA_QUALITE!U5076="AUCUNE"),DATA_QUALITE!T5076,IF(DATA_QUALITE!V5076&lt;&gt;"-",DATA_QUALITE!V5076,DATA_CLEANED!AN590))))</f>
        <v>Spain</v>
      </c>
      <c r="BH599" s="103" t="str">
        <f>IF(AND(BG599="MATCH NUL",DATA_CLEANED!AO590="-"),"MATCH_NUL",IF(ISNUMBER(SEARCH("win on penalties",W5076)),"WIN_BY_PENALTY",IF(ISNUMBER(SEARCH("win after extra time",W5076)),"WIN_BY_EXTRA_TIME",IF(ISNUMBER(SEARCH("Golden Goal",W5076)),"WIN_BY_GOLDEN_GOAL","WIN_BY_SCORE"))))</f>
        <v>WIN_BY_SCORE</v>
      </c>
      <c r="BI599" s="99" t="str">
        <f>IF(OR(BG599=DATA_CLEANED!AK590,BG599=DATA_CLEANED!AN590,BG599="MATCH NUL"),"OK","ERREUR")</f>
        <v>OK</v>
      </c>
    </row>
    <row r="600" spans="2:61">
      <c r="B600" s="75">
        <v>163</v>
      </c>
      <c r="C600" s="15" t="str">
        <v>Ayoub Al-Oui</v>
      </c>
      <c r="D600" s="15">
        <v>21</v>
      </c>
      <c r="E600" s="15" t="str">
        <v>Qatar</v>
      </c>
      <c r="F600" s="15" t="str">
        <v>CB</v>
      </c>
      <c r="G600" s="15" t="str">
        <v>Al-Gharafa</v>
      </c>
      <c r="H600" s="15">
        <v>13</v>
      </c>
      <c r="I600" s="15" t="str">
        <f t="shared" si="54"/>
        <v>163|Ayoub Al-Oui|21|Qatar|CB|Al-Gharafa|13</v>
      </c>
      <c r="J600" s="15" t="str">
        <f>IF(COUNTIF(I$438:I600,I600)&gt;1,"DOUBLON","OK")</f>
        <v>OK</v>
      </c>
      <c r="S600" s="30" t="str">
        <v>Japan</v>
      </c>
      <c r="T600" s="30" t="str">
        <f t="shared" si="55"/>
        <v>OK</v>
      </c>
      <c r="U600" s="30" t="str">
        <f t="shared" si="56"/>
        <v>-</v>
      </c>
      <c r="V600" s="30" t="str" cm="1">
        <f t="array" ref="V600">_xlfn.IFS(
ISNUMBER(SEARCH("USA",S600)),"United States",
ISNUMBER(SEARCH("Republic of Korea",S600)),"South Korea",
ISNUMBER(SEARCH("Cape Verde",S600)),"Cabo Verde",
ISNUMBER(SEARCH("Czechia",S600)),"Czech Republic",
ISNUMBER(SEARCH("Türkiye",S600)),"Turkey",
ISNUMBER(SEARCH("Ivory Coast",S600)),"Côte d'Ivoire",
ISNUMBER(SEARCH("Korea Republic",S600)),"South Korea",
ISNUMBER(SEARCH("Germany FR",S600)),"FR Germany",
ISNUMBER(SEARCH("West Germany",S600)),"FR Germany",
ISNUMBER(SEARCH("Germany DR",S600)),"DR Germany",
ISNUMBER(SEARCH("Korea DPR",S600)),"North Korea",
ISNUMBER(SEARCH("China PR",S600)),"China",
ISNUMBER(SEARCH("IR Iran",S600)),"Iran",
ISNUMBER(SEARCH("Congo DR",S600)),"Democratic Republic of the Congo",
ISNUMBER(SEARCH("DR Congo",S600)),"Democratic Republic of the Congo",
ISNUMBER(SEARCH("German DR",S600)),"DR Germany",
ISNUMBER(SEARCH("rn""&gt;United Arab Emirates",S600)),"United Arab Emirates",
ISNUMBER(SEARCH("rn""&gt;Republic of Ireland",S600)),"Ireland",
ISNUMBER(SEARCH("rn""&gt;Bosnia and Herzegovina",S600)),"Bosnia and Herzegovina",
ISNUMBER(SEARCH("rn""&gt;Trinidad and Tobago",S600)),"Trinidad and Tobago",
ISNUMBER(SEARCH("rn""&gt;Serbia and Montenegro",S600)),"Serbia and Montenegro",
ISNUMBER(SEARCH(_xlfn.UNICHAR(65533),S600)),"Côte d'Ivoire",
TRUE,""
)</f>
        <v/>
      </c>
      <c r="W600" s="30" t="str">
        <f t="shared" si="57"/>
        <v>Japan</v>
      </c>
      <c r="Z600" s="40" t="str">
        <v>Stade de Gerland</v>
      </c>
      <c r="AA600" s="40" t="str" cm="1">
        <f t="array" ref="AA600">IFERROR(_xlfn.XLOOKUP(Z600,_xlfn.ANCHORARRAY(Z$31),AA$31:AA$37),Z600)</f>
        <v>Stade de Gerland</v>
      </c>
      <c r="AB600" s="42" t="str">
        <v xml:space="preserve">Lyon </v>
      </c>
      <c r="AC600" s="89" t="str">
        <f t="shared" si="53"/>
        <v xml:space="preserve">Lyon </v>
      </c>
      <c r="AE600" s="42">
        <v>1998</v>
      </c>
      <c r="AK600" s="42">
        <v>2</v>
      </c>
      <c r="AL600" s="42">
        <v>2</v>
      </c>
      <c r="AW600" s="89" t="str">
        <v>GROUP_STAGE</v>
      </c>
      <c r="BE600" s="43" t="str">
        <f>IF(OR(DATA_CLEANED!AL591="",DATA_CLEANED!AM591=""),"MANQUANT",IF(OR(NOT(ISNUMBER(DATA_CLEANED!AL591)),NOT(ISNUMBER(DATA_CLEANED!AM591))),"ENTREE INVALIDE",IF(OR(DATA_CLEANED!AL591&lt;0,DATA_CLEANED!AM591&lt;0),"SCORE NEGATIF","OK")))</f>
        <v>OK</v>
      </c>
      <c r="BF600" s="43" t="str">
        <f>IF(DATA_CLEANED!AK591&lt;&gt;DATA_CLEANED!AN591,"OK","ERREUR")</f>
        <v>OK</v>
      </c>
      <c r="BG600" s="43" t="str">
        <f>IF(DATA_CLEANED!AL591&gt;DATA_CLEANED!AM591,DATA_CLEANED!AK591,IF(AND(DATA_QUALITE!W5077="-",DATA_CLEANED!AM591=DATA_CLEANED!AL591),"MATCH NUL",IF(AND(DATA_QUALITE!V5077="-",DATA_QUALITE!U5077="AUCUNE"),DATA_QUALITE!T5077,IF(DATA_QUALITE!V5077&lt;&gt;"-",DATA_QUALITE!V5077,DATA_CLEANED!AN591))))</f>
        <v>Brazil</v>
      </c>
      <c r="BH600" s="103" t="str">
        <f>IF(AND(BG600="MATCH NUL",DATA_CLEANED!AO591="-"),"MATCH_NUL",IF(ISNUMBER(SEARCH("win on penalties",W5077)),"WIN_BY_PENALTY",IF(ISNUMBER(SEARCH("win after extra time",W5077)),"WIN_BY_EXTRA_TIME",IF(ISNUMBER(SEARCH("Golden Goal",W5077)),"WIN_BY_GOLDEN_GOAL","WIN_BY_SCORE"))))</f>
        <v>WIN_BY_SCORE</v>
      </c>
      <c r="BI600" s="99" t="str">
        <f>IF(OR(BG600=DATA_CLEANED!AK591,BG600=DATA_CLEANED!AN591,BG600="MATCH NUL"),"OK","ERREUR")</f>
        <v>OK</v>
      </c>
    </row>
    <row r="601" spans="2:61">
      <c r="B601" s="75">
        <v>164</v>
      </c>
      <c r="C601" s="15" t="str">
        <v>Boualem Khoukhi</v>
      </c>
      <c r="D601" s="15">
        <v>35</v>
      </c>
      <c r="E601" s="15" t="str">
        <v>Qatar</v>
      </c>
      <c r="F601" s="15" t="str">
        <v>CB</v>
      </c>
      <c r="G601" s="15" t="str">
        <v>Al-Sadd</v>
      </c>
      <c r="H601" s="15">
        <v>16</v>
      </c>
      <c r="I601" s="15" t="str">
        <f t="shared" si="54"/>
        <v>164|Boualem Khoukhi|35|Qatar|CB|Al-Sadd|16</v>
      </c>
      <c r="J601" s="15" t="str">
        <f>IF(COUNTIF(I$438:I601,I601)&gt;1,"DOUBLON","OK")</f>
        <v>OK</v>
      </c>
      <c r="S601" s="30" t="str">
        <v>Japan</v>
      </c>
      <c r="T601" s="30" t="str">
        <f t="shared" si="55"/>
        <v>OK</v>
      </c>
      <c r="U601" s="30" t="str">
        <f t="shared" si="56"/>
        <v>-</v>
      </c>
      <c r="V601" s="30" t="str" cm="1">
        <f t="array" ref="V601">_xlfn.IFS(
ISNUMBER(SEARCH("USA",S601)),"United States",
ISNUMBER(SEARCH("Republic of Korea",S601)),"South Korea",
ISNUMBER(SEARCH("Cape Verde",S601)),"Cabo Verde",
ISNUMBER(SEARCH("Czechia",S601)),"Czech Republic",
ISNUMBER(SEARCH("Türkiye",S601)),"Turkey",
ISNUMBER(SEARCH("Ivory Coast",S601)),"Côte d'Ivoire",
ISNUMBER(SEARCH("Korea Republic",S601)),"South Korea",
ISNUMBER(SEARCH("Germany FR",S601)),"FR Germany",
ISNUMBER(SEARCH("West Germany",S601)),"FR Germany",
ISNUMBER(SEARCH("Germany DR",S601)),"DR Germany",
ISNUMBER(SEARCH("Korea DPR",S601)),"North Korea",
ISNUMBER(SEARCH("China PR",S601)),"China",
ISNUMBER(SEARCH("IR Iran",S601)),"Iran",
ISNUMBER(SEARCH("Congo DR",S601)),"Democratic Republic of the Congo",
ISNUMBER(SEARCH("DR Congo",S601)),"Democratic Republic of the Congo",
ISNUMBER(SEARCH("German DR",S601)),"DR Germany",
ISNUMBER(SEARCH("rn""&gt;United Arab Emirates",S601)),"United Arab Emirates",
ISNUMBER(SEARCH("rn""&gt;Republic of Ireland",S601)),"Ireland",
ISNUMBER(SEARCH("rn""&gt;Bosnia and Herzegovina",S601)),"Bosnia and Herzegovina",
ISNUMBER(SEARCH("rn""&gt;Trinidad and Tobago",S601)),"Trinidad and Tobago",
ISNUMBER(SEARCH("rn""&gt;Serbia and Montenegro",S601)),"Serbia and Montenegro",
ISNUMBER(SEARCH(_xlfn.UNICHAR(65533),S601)),"Côte d'Ivoire",
TRUE,""
)</f>
        <v/>
      </c>
      <c r="W601" s="30" t="str">
        <f t="shared" si="57"/>
        <v>Japan</v>
      </c>
      <c r="Z601" s="40" t="str">
        <v>Stade du Parc Lescure</v>
      </c>
      <c r="AA601" s="40" t="str" cm="1">
        <f t="array" ref="AA601">IFERROR(_xlfn.XLOOKUP(Z601,_xlfn.ANCHORARRAY(Z$31),AA$31:AA$37),Z601)</f>
        <v>Stade du Parc Lescure</v>
      </c>
      <c r="AB601" s="42" t="str">
        <v xml:space="preserve">Bordeaux </v>
      </c>
      <c r="AC601" s="89" t="str">
        <f t="shared" si="53"/>
        <v xml:space="preserve">Bordeaux </v>
      </c>
      <c r="AE601" s="42">
        <v>1998</v>
      </c>
      <c r="AK601" s="42">
        <v>2</v>
      </c>
      <c r="AL601" s="42">
        <v>2</v>
      </c>
      <c r="AW601" s="89" t="str">
        <v>GROUP_STAGE</v>
      </c>
      <c r="BE601" s="43" t="str">
        <f>IF(OR(DATA_CLEANED!AL592="",DATA_CLEANED!AM592=""),"MANQUANT",IF(OR(NOT(ISNUMBER(DATA_CLEANED!AL592)),NOT(ISNUMBER(DATA_CLEANED!AM592))),"ENTREE INVALIDE",IF(OR(DATA_CLEANED!AL592&lt;0,DATA_CLEANED!AM592&lt;0),"SCORE NEGATIF","OK")))</f>
        <v>OK</v>
      </c>
      <c r="BF601" s="43" t="str">
        <f>IF(DATA_CLEANED!AK592&lt;&gt;DATA_CLEANED!AN592,"OK","ERREUR")</f>
        <v>OK</v>
      </c>
      <c r="BG601" s="43" t="str">
        <f>IF(DATA_CLEANED!AL592&gt;DATA_CLEANED!AM592,DATA_CLEANED!AK592,IF(AND(DATA_QUALITE!W5078="-",DATA_CLEANED!AM592=DATA_CLEANED!AL592),"MATCH NUL",IF(AND(DATA_QUALITE!V5078="-",DATA_QUALITE!U5078="AUCUNE"),DATA_QUALITE!T5078,IF(DATA_QUALITE!V5078&lt;&gt;"-",DATA_QUALITE!V5078,DATA_CLEANED!AN592))))</f>
        <v>Italy</v>
      </c>
      <c r="BH601" s="103" t="str">
        <f>IF(AND(BG601="MATCH NUL",DATA_CLEANED!AO592="-"),"MATCH_NUL",IF(ISNUMBER(SEARCH("win on penalties",W5078)),"WIN_BY_PENALTY",IF(ISNUMBER(SEARCH("win after extra time",W5078)),"WIN_BY_EXTRA_TIME",IF(ISNUMBER(SEARCH("Golden Goal",W5078)),"WIN_BY_GOLDEN_GOAL","WIN_BY_SCORE"))))</f>
        <v>WIN_BY_SCORE</v>
      </c>
      <c r="BI601" s="99" t="str">
        <f>IF(OR(BG601=DATA_CLEANED!AK592,BG601=DATA_CLEANED!AN592,BG601="MATCH NUL"),"OK","ERREUR")</f>
        <v>OK</v>
      </c>
    </row>
    <row r="602" spans="2:61">
      <c r="B602" s="75">
        <v>165</v>
      </c>
      <c r="C602" s="15" t="str">
        <v>Al-Hashmi Al-Hussain</v>
      </c>
      <c r="D602" s="15">
        <v>22</v>
      </c>
      <c r="E602" s="15" t="str">
        <v>Qatar</v>
      </c>
      <c r="F602" s="15" t="str">
        <v>CB</v>
      </c>
      <c r="G602" s="15" t="str">
        <v>Al-Arabi</v>
      </c>
      <c r="H602" s="15">
        <v>25</v>
      </c>
      <c r="I602" s="15" t="str">
        <f t="shared" si="54"/>
        <v>165|Al-Hashmi Al-Hussain|22|Qatar|CB|Al-Arabi|25</v>
      </c>
      <c r="J602" s="15" t="str">
        <f>IF(COUNTIF(I$438:I602,I602)&gt;1,"DOUBLON","OK")</f>
        <v>OK</v>
      </c>
      <c r="S602" s="30" t="str">
        <v>Japan</v>
      </c>
      <c r="T602" s="30" t="str">
        <f t="shared" si="55"/>
        <v>OK</v>
      </c>
      <c r="U602" s="30" t="str">
        <f t="shared" si="56"/>
        <v>-</v>
      </c>
      <c r="V602" s="30" t="str" cm="1">
        <f t="array" ref="V602">_xlfn.IFS(
ISNUMBER(SEARCH("USA",S602)),"United States",
ISNUMBER(SEARCH("Republic of Korea",S602)),"South Korea",
ISNUMBER(SEARCH("Cape Verde",S602)),"Cabo Verde",
ISNUMBER(SEARCH("Czechia",S602)),"Czech Republic",
ISNUMBER(SEARCH("Türkiye",S602)),"Turkey",
ISNUMBER(SEARCH("Ivory Coast",S602)),"Côte d'Ivoire",
ISNUMBER(SEARCH("Korea Republic",S602)),"South Korea",
ISNUMBER(SEARCH("Germany FR",S602)),"FR Germany",
ISNUMBER(SEARCH("West Germany",S602)),"FR Germany",
ISNUMBER(SEARCH("Germany DR",S602)),"DR Germany",
ISNUMBER(SEARCH("Korea DPR",S602)),"North Korea",
ISNUMBER(SEARCH("China PR",S602)),"China",
ISNUMBER(SEARCH("IR Iran",S602)),"Iran",
ISNUMBER(SEARCH("Congo DR",S602)),"Democratic Republic of the Congo",
ISNUMBER(SEARCH("DR Congo",S602)),"Democratic Republic of the Congo",
ISNUMBER(SEARCH("German DR",S602)),"DR Germany",
ISNUMBER(SEARCH("rn""&gt;United Arab Emirates",S602)),"United Arab Emirates",
ISNUMBER(SEARCH("rn""&gt;Republic of Ireland",S602)),"Ireland",
ISNUMBER(SEARCH("rn""&gt;Bosnia and Herzegovina",S602)),"Bosnia and Herzegovina",
ISNUMBER(SEARCH("rn""&gt;Trinidad and Tobago",S602)),"Trinidad and Tobago",
ISNUMBER(SEARCH("rn""&gt;Serbia and Montenegro",S602)),"Serbia and Montenegro",
ISNUMBER(SEARCH(_xlfn.UNICHAR(65533),S602)),"Côte d'Ivoire",
TRUE,""
)</f>
        <v/>
      </c>
      <c r="W602" s="30" t="str">
        <f t="shared" si="57"/>
        <v>Japan</v>
      </c>
      <c r="Z602" s="40" t="str">
        <v>Stade de France</v>
      </c>
      <c r="AA602" s="40" t="str" cm="1">
        <f t="array" ref="AA602">IFERROR(_xlfn.XLOOKUP(Z602,_xlfn.ANCHORARRAY(Z$31),AA$31:AA$37),Z602)</f>
        <v>Stade de France</v>
      </c>
      <c r="AB602" s="42" t="str">
        <v xml:space="preserve">Saint-Denis </v>
      </c>
      <c r="AC602" s="89" t="str">
        <f t="shared" si="53"/>
        <v xml:space="preserve">Saint-Denis </v>
      </c>
      <c r="AE602" s="42">
        <v>1998</v>
      </c>
      <c r="AK602" s="42">
        <v>1</v>
      </c>
      <c r="AL602" s="42">
        <v>1</v>
      </c>
      <c r="AW602" s="89" t="str">
        <v>GROUP_STAGE</v>
      </c>
      <c r="BE602" s="43" t="str">
        <f>IF(OR(DATA_CLEANED!AL593="",DATA_CLEANED!AM593=""),"MANQUANT",IF(OR(NOT(ISNUMBER(DATA_CLEANED!AL593)),NOT(ISNUMBER(DATA_CLEANED!AM593))),"ENTREE INVALIDE",IF(OR(DATA_CLEANED!AL593&lt;0,DATA_CLEANED!AM593&lt;0),"SCORE NEGATIF","OK")))</f>
        <v>OK</v>
      </c>
      <c r="BF602" s="43" t="str">
        <f>IF(DATA_CLEANED!AK593&lt;&gt;DATA_CLEANED!AN593,"OK","ERREUR")</f>
        <v>OK</v>
      </c>
      <c r="BG602" s="43" t="str">
        <f>IF(DATA_CLEANED!AL593&gt;DATA_CLEANED!AM593,DATA_CLEANED!AK593,IF(AND(DATA_QUALITE!W5079="-",DATA_CLEANED!AM593=DATA_CLEANED!AL593),"MATCH NUL",IF(AND(DATA_QUALITE!V5079="-",DATA_QUALITE!U5079="AUCUNE"),DATA_QUALITE!T5079,IF(DATA_QUALITE!V5079&lt;&gt;"-",DATA_QUALITE!V5079,DATA_CLEANED!AN593))))</f>
        <v>Mexico</v>
      </c>
      <c r="BH602" s="103" t="str">
        <f>IF(AND(BG602="MATCH NUL",DATA_CLEANED!AO593="-"),"MATCH_NUL",IF(ISNUMBER(SEARCH("win on penalties",W5079)),"WIN_BY_PENALTY",IF(ISNUMBER(SEARCH("win after extra time",W5079)),"WIN_BY_EXTRA_TIME",IF(ISNUMBER(SEARCH("Golden Goal",W5079)),"WIN_BY_GOLDEN_GOAL","WIN_BY_SCORE"))))</f>
        <v>WIN_BY_SCORE</v>
      </c>
      <c r="BI602" s="99" t="str">
        <f>IF(OR(BG602=DATA_CLEANED!AK593,BG602=DATA_CLEANED!AN593,BG602="MATCH NUL"),"OK","ERREUR")</f>
        <v>OK</v>
      </c>
    </row>
    <row r="603" spans="2:61">
      <c r="B603" s="75">
        <v>166</v>
      </c>
      <c r="C603" s="15" t="str">
        <v>Homam Ahmed</v>
      </c>
      <c r="D603" s="15">
        <v>26</v>
      </c>
      <c r="E603" s="15" t="str">
        <v>Qatar</v>
      </c>
      <c r="F603" s="15" t="str">
        <v>LB</v>
      </c>
      <c r="G603" s="15" t="str">
        <v>Cultural Leonesa</v>
      </c>
      <c r="H603" s="15">
        <v>14</v>
      </c>
      <c r="I603" s="15" t="str">
        <f t="shared" si="54"/>
        <v>166|Homam Ahmed|26|Qatar|LB|Cultural Leonesa|14</v>
      </c>
      <c r="J603" s="15" t="str">
        <f>IF(COUNTIF(I$438:I603,I603)&gt;1,"DOUBLON","OK")</f>
        <v>OK</v>
      </c>
      <c r="S603" s="30" t="str">
        <v>Japan</v>
      </c>
      <c r="T603" s="30" t="str">
        <f t="shared" si="55"/>
        <v>OK</v>
      </c>
      <c r="U603" s="30" t="str">
        <f t="shared" si="56"/>
        <v>-</v>
      </c>
      <c r="V603" s="30" t="str" cm="1">
        <f t="array" ref="V603">_xlfn.IFS(
ISNUMBER(SEARCH("USA",S603)),"United States",
ISNUMBER(SEARCH("Republic of Korea",S603)),"South Korea",
ISNUMBER(SEARCH("Cape Verde",S603)),"Cabo Verde",
ISNUMBER(SEARCH("Czechia",S603)),"Czech Republic",
ISNUMBER(SEARCH("Türkiye",S603)),"Turkey",
ISNUMBER(SEARCH("Ivory Coast",S603)),"Côte d'Ivoire",
ISNUMBER(SEARCH("Korea Republic",S603)),"South Korea",
ISNUMBER(SEARCH("Germany FR",S603)),"FR Germany",
ISNUMBER(SEARCH("West Germany",S603)),"FR Germany",
ISNUMBER(SEARCH("Germany DR",S603)),"DR Germany",
ISNUMBER(SEARCH("Korea DPR",S603)),"North Korea",
ISNUMBER(SEARCH("China PR",S603)),"China",
ISNUMBER(SEARCH("IR Iran",S603)),"Iran",
ISNUMBER(SEARCH("Congo DR",S603)),"Democratic Republic of the Congo",
ISNUMBER(SEARCH("DR Congo",S603)),"Democratic Republic of the Congo",
ISNUMBER(SEARCH("German DR",S603)),"DR Germany",
ISNUMBER(SEARCH("rn""&gt;United Arab Emirates",S603)),"United Arab Emirates",
ISNUMBER(SEARCH("rn""&gt;Republic of Ireland",S603)),"Ireland",
ISNUMBER(SEARCH("rn""&gt;Bosnia and Herzegovina",S603)),"Bosnia and Herzegovina",
ISNUMBER(SEARCH("rn""&gt;Trinidad and Tobago",S603)),"Trinidad and Tobago",
ISNUMBER(SEARCH("rn""&gt;Serbia and Montenegro",S603)),"Serbia and Montenegro",
ISNUMBER(SEARCH(_xlfn.UNICHAR(65533),S603)),"Côte d'Ivoire",
TRUE,""
)</f>
        <v/>
      </c>
      <c r="W603" s="30" t="str">
        <f t="shared" si="57"/>
        <v>Japan</v>
      </c>
      <c r="Z603" s="40" t="str">
        <v>Stade Felix Bollaert</v>
      </c>
      <c r="AA603" s="40" t="str" cm="1">
        <f t="array" ref="AA603">IFERROR(_xlfn.XLOOKUP(Z603,_xlfn.ANCHORARRAY(Z$31),AA$31:AA$37),Z603)</f>
        <v>Stade Felix Bollaert</v>
      </c>
      <c r="AB603" s="42" t="str">
        <v xml:space="preserve">Lens </v>
      </c>
      <c r="AC603" s="89" t="str">
        <f t="shared" si="53"/>
        <v xml:space="preserve">Lens </v>
      </c>
      <c r="AE603" s="42">
        <v>1998</v>
      </c>
      <c r="AK603" s="42">
        <v>0</v>
      </c>
      <c r="AL603" s="42">
        <v>0</v>
      </c>
      <c r="AW603" s="89" t="str">
        <v>GROUP_STAGE</v>
      </c>
      <c r="BE603" s="43" t="str">
        <f>IF(OR(DATA_CLEANED!AL594="",DATA_CLEANED!AM594=""),"MANQUANT",IF(OR(NOT(ISNUMBER(DATA_CLEANED!AL594)),NOT(ISNUMBER(DATA_CLEANED!AM594))),"ENTREE INVALIDE",IF(OR(DATA_CLEANED!AL594&lt;0,DATA_CLEANED!AM594&lt;0),"SCORE NEGATIF","OK")))</f>
        <v>OK</v>
      </c>
      <c r="BF603" s="43" t="str">
        <f>IF(DATA_CLEANED!AK594&lt;&gt;DATA_CLEANED!AN594,"OK","ERREUR")</f>
        <v>OK</v>
      </c>
      <c r="BG603" s="43" t="str">
        <f>IF(DATA_CLEANED!AL594&gt;DATA_CLEANED!AM594,DATA_CLEANED!AK594,IF(AND(DATA_QUALITE!W5080="-",DATA_CLEANED!AM594=DATA_CLEANED!AL594),"MATCH NUL",IF(AND(DATA_QUALITE!V5080="-",DATA_QUALITE!U5080="AUCUNE"),DATA_QUALITE!T5080,IF(DATA_QUALITE!V5080&lt;&gt;"-",DATA_QUALITE!V5080,DATA_CLEANED!AN594))))</f>
        <v>Costa Rica</v>
      </c>
      <c r="BH603" s="103" t="str">
        <f>IF(AND(BG603="MATCH NUL",DATA_CLEANED!AO594="-"),"MATCH_NUL",IF(ISNUMBER(SEARCH("win on penalties",W5080)),"WIN_BY_PENALTY",IF(ISNUMBER(SEARCH("win after extra time",W5080)),"WIN_BY_EXTRA_TIME",IF(ISNUMBER(SEARCH("Golden Goal",W5080)),"WIN_BY_GOLDEN_GOAL","WIN_BY_SCORE"))))</f>
        <v>WIN_BY_SCORE</v>
      </c>
      <c r="BI603" s="99" t="str">
        <f>IF(OR(BG603=DATA_CLEANED!AK594,BG603=DATA_CLEANED!AN594,BG603="MATCH NUL"),"OK","ERREUR")</f>
        <v>OK</v>
      </c>
    </row>
    <row r="604" spans="2:61">
      <c r="B604" s="75">
        <v>167</v>
      </c>
      <c r="C604" s="15" t="str">
        <v>Sultan Al-Brake</v>
      </c>
      <c r="D604" s="15">
        <v>30</v>
      </c>
      <c r="E604" s="15" t="str">
        <v>Qatar</v>
      </c>
      <c r="F604" s="15" t="str">
        <v>LB</v>
      </c>
      <c r="G604" s="15" t="str">
        <v>Al-Duhail</v>
      </c>
      <c r="H604" s="15">
        <v>18</v>
      </c>
      <c r="I604" s="15" t="str">
        <f t="shared" si="54"/>
        <v>167|Sultan Al-Brake|30|Qatar|LB|Al-Duhail|18</v>
      </c>
      <c r="J604" s="15" t="str">
        <f>IF(COUNTIF(I$438:I604,I604)&gt;1,"DOUBLON","OK")</f>
        <v>OK</v>
      </c>
      <c r="S604" s="30" t="str">
        <v>Japan</v>
      </c>
      <c r="T604" s="30" t="str">
        <f t="shared" si="55"/>
        <v>OK</v>
      </c>
      <c r="U604" s="30" t="str">
        <f t="shared" si="56"/>
        <v>-</v>
      </c>
      <c r="V604" s="30" t="str" cm="1">
        <f t="array" ref="V604">_xlfn.IFS(
ISNUMBER(SEARCH("USA",S604)),"United States",
ISNUMBER(SEARCH("Republic of Korea",S604)),"South Korea",
ISNUMBER(SEARCH("Cape Verde",S604)),"Cabo Verde",
ISNUMBER(SEARCH("Czechia",S604)),"Czech Republic",
ISNUMBER(SEARCH("Türkiye",S604)),"Turkey",
ISNUMBER(SEARCH("Ivory Coast",S604)),"Côte d'Ivoire",
ISNUMBER(SEARCH("Korea Republic",S604)),"South Korea",
ISNUMBER(SEARCH("Germany FR",S604)),"FR Germany",
ISNUMBER(SEARCH("West Germany",S604)),"FR Germany",
ISNUMBER(SEARCH("Germany DR",S604)),"DR Germany",
ISNUMBER(SEARCH("Korea DPR",S604)),"North Korea",
ISNUMBER(SEARCH("China PR",S604)),"China",
ISNUMBER(SEARCH("IR Iran",S604)),"Iran",
ISNUMBER(SEARCH("Congo DR",S604)),"Democratic Republic of the Congo",
ISNUMBER(SEARCH("DR Congo",S604)),"Democratic Republic of the Congo",
ISNUMBER(SEARCH("German DR",S604)),"DR Germany",
ISNUMBER(SEARCH("rn""&gt;United Arab Emirates",S604)),"United Arab Emirates",
ISNUMBER(SEARCH("rn""&gt;Republic of Ireland",S604)),"Ireland",
ISNUMBER(SEARCH("rn""&gt;Bosnia and Herzegovina",S604)),"Bosnia and Herzegovina",
ISNUMBER(SEARCH("rn""&gt;Trinidad and Tobago",S604)),"Trinidad and Tobago",
ISNUMBER(SEARCH("rn""&gt;Serbia and Montenegro",S604)),"Serbia and Montenegro",
ISNUMBER(SEARCH(_xlfn.UNICHAR(65533),S604)),"Côte d'Ivoire",
TRUE,""
)</f>
        <v/>
      </c>
      <c r="W604" s="30" t="str">
        <f t="shared" si="57"/>
        <v>Japan</v>
      </c>
      <c r="Z604" s="40" t="str">
        <v>Stade V�lodrome</v>
      </c>
      <c r="AA604" s="40" t="str" cm="1">
        <f t="array" ref="AA604">IFERROR(_xlfn.XLOOKUP(Z604,_xlfn.ANCHORARRAY(Z$31),AA$31:AA$37),Z604)</f>
        <v>Stade Vélodrome</v>
      </c>
      <c r="AB604" s="42" t="str">
        <v xml:space="preserve">Marseilles </v>
      </c>
      <c r="AC604" s="89" t="str">
        <f t="shared" si="53"/>
        <v xml:space="preserve">Marseilles </v>
      </c>
      <c r="AE604" s="42">
        <v>1998</v>
      </c>
      <c r="AK604" s="42">
        <v>0</v>
      </c>
      <c r="AL604" s="42">
        <v>1</v>
      </c>
      <c r="AW604" s="89" t="str">
        <v>GROUP_STAGE</v>
      </c>
      <c r="BE604" s="43" t="str">
        <f>IF(OR(DATA_CLEANED!AL595="",DATA_CLEANED!AM595=""),"MANQUANT",IF(OR(NOT(ISNUMBER(DATA_CLEANED!AL595)),NOT(ISNUMBER(DATA_CLEANED!AM595))),"ENTREE INVALIDE",IF(OR(DATA_CLEANED!AL595&lt;0,DATA_CLEANED!AM595&lt;0),"SCORE NEGATIF","OK")))</f>
        <v>OK</v>
      </c>
      <c r="BF604" s="43" t="str">
        <f>IF(DATA_CLEANED!AK595&lt;&gt;DATA_CLEANED!AN595,"OK","ERREUR")</f>
        <v>OK</v>
      </c>
      <c r="BG604" s="43" t="str">
        <f>IF(DATA_CLEANED!AL595&gt;DATA_CLEANED!AM595,DATA_CLEANED!AK595,IF(AND(DATA_QUALITE!W5081="-",DATA_CLEANED!AM595=DATA_CLEANED!AL595),"MATCH NUL",IF(AND(DATA_QUALITE!V5081="-",DATA_QUALITE!U5081="AUCUNE"),DATA_QUALITE!T5081,IF(DATA_QUALITE!V5081&lt;&gt;"-",DATA_QUALITE!V5081,DATA_CLEANED!AN595))))</f>
        <v>MATCH NUL</v>
      </c>
      <c r="BH604" s="103" t="str">
        <f>IF(AND(BG604="MATCH NUL",DATA_CLEANED!AO595="-"),"MATCH_NUL",IF(ISNUMBER(SEARCH("win on penalties",W5081)),"WIN_BY_PENALTY",IF(ISNUMBER(SEARCH("win after extra time",W5081)),"WIN_BY_EXTRA_TIME",IF(ISNUMBER(SEARCH("Golden Goal",W5081)),"WIN_BY_GOLDEN_GOAL","WIN_BY_SCORE"))))</f>
        <v>MATCH_NUL</v>
      </c>
      <c r="BI604" s="99" t="str">
        <f>IF(OR(BG604=DATA_CLEANED!AK595,BG604=DATA_CLEANED!AN595,BG604="MATCH NUL"),"OK","ERREUR")</f>
        <v>OK</v>
      </c>
    </row>
    <row r="605" spans="2:61">
      <c r="B605" s="75">
        <v>168</v>
      </c>
      <c r="C605" s="15" t="str">
        <v>Pedro Miguel</v>
      </c>
      <c r="D605" s="15">
        <v>35</v>
      </c>
      <c r="E605" s="15" t="str">
        <v>Qatar</v>
      </c>
      <c r="F605" s="15" t="str">
        <v>RB</v>
      </c>
      <c r="G605" s="15" t="str">
        <v>Al-Sadd</v>
      </c>
      <c r="H605" s="15">
        <v>2</v>
      </c>
      <c r="I605" s="15" t="str">
        <f t="shared" si="54"/>
        <v>168|Pedro Miguel|35|Qatar|RB|Al-Sadd|2</v>
      </c>
      <c r="J605" s="15" t="str">
        <f>IF(COUNTIF(I$438:I605,I605)&gt;1,"DOUBLON","OK")</f>
        <v>OK</v>
      </c>
      <c r="S605" s="30" t="str">
        <v>Japan</v>
      </c>
      <c r="T605" s="30" t="str">
        <f t="shared" si="55"/>
        <v>OK</v>
      </c>
      <c r="U605" s="30" t="str">
        <f t="shared" si="56"/>
        <v>-</v>
      </c>
      <c r="V605" s="30" t="str" cm="1">
        <f t="array" ref="V605">_xlfn.IFS(
ISNUMBER(SEARCH("USA",S605)),"United States",
ISNUMBER(SEARCH("Republic of Korea",S605)),"South Korea",
ISNUMBER(SEARCH("Cape Verde",S605)),"Cabo Verde",
ISNUMBER(SEARCH("Czechia",S605)),"Czech Republic",
ISNUMBER(SEARCH("Türkiye",S605)),"Turkey",
ISNUMBER(SEARCH("Ivory Coast",S605)),"Côte d'Ivoire",
ISNUMBER(SEARCH("Korea Republic",S605)),"South Korea",
ISNUMBER(SEARCH("Germany FR",S605)),"FR Germany",
ISNUMBER(SEARCH("West Germany",S605)),"FR Germany",
ISNUMBER(SEARCH("Germany DR",S605)),"DR Germany",
ISNUMBER(SEARCH("Korea DPR",S605)),"North Korea",
ISNUMBER(SEARCH("China PR",S605)),"China",
ISNUMBER(SEARCH("IR Iran",S605)),"Iran",
ISNUMBER(SEARCH("Congo DR",S605)),"Democratic Republic of the Congo",
ISNUMBER(SEARCH("DR Congo",S605)),"Democratic Republic of the Congo",
ISNUMBER(SEARCH("German DR",S605)),"DR Germany",
ISNUMBER(SEARCH("rn""&gt;United Arab Emirates",S605)),"United Arab Emirates",
ISNUMBER(SEARCH("rn""&gt;Republic of Ireland",S605)),"Ireland",
ISNUMBER(SEARCH("rn""&gt;Bosnia and Herzegovina",S605)),"Bosnia and Herzegovina",
ISNUMBER(SEARCH("rn""&gt;Trinidad and Tobago",S605)),"Trinidad and Tobago",
ISNUMBER(SEARCH("rn""&gt;Serbia and Montenegro",S605)),"Serbia and Montenegro",
ISNUMBER(SEARCH(_xlfn.UNICHAR(65533),S605)),"Côte d'Ivoire",
TRUE,""
)</f>
        <v/>
      </c>
      <c r="W605" s="30" t="str">
        <f t="shared" si="57"/>
        <v>Japan</v>
      </c>
      <c r="Z605" s="40" t="str">
        <v>Parc des Princes</v>
      </c>
      <c r="AA605" s="40" t="str" cm="1">
        <f t="array" ref="AA605">IFERROR(_xlfn.XLOOKUP(Z605,_xlfn.ANCHORARRAY(Z$31),AA$31:AA$37),Z605)</f>
        <v>Parc des Princes</v>
      </c>
      <c r="AB605" s="42" t="str">
        <v xml:space="preserve">Paris </v>
      </c>
      <c r="AC605" s="89" t="str">
        <f t="shared" si="53"/>
        <v xml:space="preserve">Paris </v>
      </c>
      <c r="AE605" s="42">
        <v>1998</v>
      </c>
      <c r="AK605" s="42">
        <v>3</v>
      </c>
      <c r="AL605" s="42">
        <v>0</v>
      </c>
      <c r="AW605" s="89" t="str">
        <v>GROUP_STAGE</v>
      </c>
      <c r="BE605" s="43" t="str">
        <f>IF(OR(DATA_CLEANED!AL596="",DATA_CLEANED!AM596=""),"MANQUANT",IF(OR(NOT(ISNUMBER(DATA_CLEANED!AL596)),NOT(ISNUMBER(DATA_CLEANED!AM596))),"ENTREE INVALIDE",IF(OR(DATA_CLEANED!AL596&lt;0,DATA_CLEANED!AM596&lt;0),"SCORE NEGATIF","OK")))</f>
        <v>OK</v>
      </c>
      <c r="BF605" s="43" t="str">
        <f>IF(DATA_CLEANED!AK596&lt;&gt;DATA_CLEANED!AN596,"OK","ERREUR")</f>
        <v>OK</v>
      </c>
      <c r="BG605" s="43" t="str">
        <f>IF(DATA_CLEANED!AL596&gt;DATA_CLEANED!AM596,DATA_CLEANED!AK596,IF(AND(DATA_QUALITE!W5082="-",DATA_CLEANED!AM596=DATA_CLEANED!AL596),"MATCH NUL",IF(AND(DATA_QUALITE!V5082="-",DATA_QUALITE!U5082="AUCUNE"),DATA_QUALITE!T5082,IF(DATA_QUALITE!V5082&lt;&gt;"-",DATA_QUALITE!V5082,DATA_CLEANED!AN596))))</f>
        <v>South Korea</v>
      </c>
      <c r="BH605" s="103" t="str">
        <f>IF(AND(BG605="MATCH NUL",DATA_CLEANED!AO596="-"),"MATCH_NUL",IF(ISNUMBER(SEARCH("win on penalties",W5082)),"WIN_BY_PENALTY",IF(ISNUMBER(SEARCH("win after extra time",W5082)),"WIN_BY_EXTRA_TIME",IF(ISNUMBER(SEARCH("Golden Goal",W5082)),"WIN_BY_GOLDEN_GOAL","WIN_BY_SCORE"))))</f>
        <v>WIN_BY_SCORE</v>
      </c>
      <c r="BI605" s="99" t="str">
        <f>IF(OR(BG605=DATA_CLEANED!AK596,BG605=DATA_CLEANED!AN596,BG605="MATCH NUL"),"OK","ERREUR")</f>
        <v>OK</v>
      </c>
    </row>
    <row r="606" spans="2:61">
      <c r="B606" s="75">
        <v>169</v>
      </c>
      <c r="C606" s="15" t="str">
        <v>Ahmed Fathy</v>
      </c>
      <c r="D606" s="15">
        <v>33</v>
      </c>
      <c r="E606" s="15" t="str">
        <v>Qatar</v>
      </c>
      <c r="F606" s="15" t="str">
        <v>CDM</v>
      </c>
      <c r="G606" s="15" t="str">
        <v>Al-Arabi</v>
      </c>
      <c r="H606" s="15">
        <v>20</v>
      </c>
      <c r="I606" s="15" t="str">
        <f t="shared" si="54"/>
        <v>169|Ahmed Fathy|33|Qatar|CDM|Al-Arabi|20</v>
      </c>
      <c r="J606" s="15" t="str">
        <f>IF(COUNTIF(I$438:I606,I606)&gt;1,"DOUBLON","OK")</f>
        <v>OK</v>
      </c>
      <c r="S606" s="30" t="str">
        <v>Japan</v>
      </c>
      <c r="T606" s="30" t="str">
        <f t="shared" si="55"/>
        <v>OK</v>
      </c>
      <c r="U606" s="30" t="str">
        <f t="shared" si="56"/>
        <v>-</v>
      </c>
      <c r="V606" s="30" t="str" cm="1">
        <f t="array" ref="V606">_xlfn.IFS(
ISNUMBER(SEARCH("USA",S606)),"United States",
ISNUMBER(SEARCH("Republic of Korea",S606)),"South Korea",
ISNUMBER(SEARCH("Cape Verde",S606)),"Cabo Verde",
ISNUMBER(SEARCH("Czechia",S606)),"Czech Republic",
ISNUMBER(SEARCH("Türkiye",S606)),"Turkey",
ISNUMBER(SEARCH("Ivory Coast",S606)),"Côte d'Ivoire",
ISNUMBER(SEARCH("Korea Republic",S606)),"South Korea",
ISNUMBER(SEARCH("Germany FR",S606)),"FR Germany",
ISNUMBER(SEARCH("West Germany",S606)),"FR Germany",
ISNUMBER(SEARCH("Germany DR",S606)),"DR Germany",
ISNUMBER(SEARCH("Korea DPR",S606)),"North Korea",
ISNUMBER(SEARCH("China PR",S606)),"China",
ISNUMBER(SEARCH("IR Iran",S606)),"Iran",
ISNUMBER(SEARCH("Congo DR",S606)),"Democratic Republic of the Congo",
ISNUMBER(SEARCH("DR Congo",S606)),"Democratic Republic of the Congo",
ISNUMBER(SEARCH("German DR",S606)),"DR Germany",
ISNUMBER(SEARCH("rn""&gt;United Arab Emirates",S606)),"United Arab Emirates",
ISNUMBER(SEARCH("rn""&gt;Republic of Ireland",S606)),"Ireland",
ISNUMBER(SEARCH("rn""&gt;Bosnia and Herzegovina",S606)),"Bosnia and Herzegovina",
ISNUMBER(SEARCH("rn""&gt;Trinidad and Tobago",S606)),"Trinidad and Tobago",
ISNUMBER(SEARCH("rn""&gt;Serbia and Montenegro",S606)),"Serbia and Montenegro",
ISNUMBER(SEARCH(_xlfn.UNICHAR(65533),S606)),"Côte d'Ivoire",
TRUE,""
)</f>
        <v/>
      </c>
      <c r="W606" s="30" t="str">
        <f t="shared" si="57"/>
        <v>Japan</v>
      </c>
      <c r="Z606" s="40" t="str">
        <v>Stade Felix Bollaert</v>
      </c>
      <c r="AA606" s="40" t="str" cm="1">
        <f t="array" ref="AA606">IFERROR(_xlfn.XLOOKUP(Z606,_xlfn.ANCHORARRAY(Z$31),AA$31:AA$37),Z606)</f>
        <v>Stade Felix Bollaert</v>
      </c>
      <c r="AB606" s="42" t="str">
        <v xml:space="preserve">Lens </v>
      </c>
      <c r="AC606" s="89" t="str">
        <f t="shared" si="53"/>
        <v xml:space="preserve">Lens </v>
      </c>
      <c r="AE606" s="42">
        <v>1998</v>
      </c>
      <c r="AK606" s="42">
        <v>2</v>
      </c>
      <c r="AL606" s="42">
        <v>3</v>
      </c>
      <c r="AW606" s="89" t="str">
        <v>GROUP_STAGE</v>
      </c>
      <c r="BE606" s="43" t="str">
        <f>IF(OR(DATA_CLEANED!AL597="",DATA_CLEANED!AM597=""),"MANQUANT",IF(OR(NOT(ISNUMBER(DATA_CLEANED!AL597)),NOT(ISNUMBER(DATA_CLEANED!AM597))),"ENTREE INVALIDE",IF(OR(DATA_CLEANED!AL597&lt;0,DATA_CLEANED!AM597&lt;0),"SCORE NEGATIF","OK")))</f>
        <v>OK</v>
      </c>
      <c r="BF606" s="43" t="str">
        <f>IF(DATA_CLEANED!AK597&lt;&gt;DATA_CLEANED!AN597,"OK","ERREUR")</f>
        <v>OK</v>
      </c>
      <c r="BG606" s="43" t="str">
        <f>IF(DATA_CLEANED!AL597&gt;DATA_CLEANED!AM597,DATA_CLEANED!AK597,IF(AND(DATA_QUALITE!W5083="-",DATA_CLEANED!AM597=DATA_CLEANED!AL597),"MATCH NUL",IF(AND(DATA_QUALITE!V5083="-",DATA_QUALITE!U5083="AUCUNE"),DATA_QUALITE!T5083,IF(DATA_QUALITE!V5083&lt;&gt;"-",DATA_QUALITE!V5083,DATA_CLEANED!AN597))))</f>
        <v>Russia</v>
      </c>
      <c r="BH606" s="103" t="str">
        <f>IF(AND(BG606="MATCH NUL",DATA_CLEANED!AO597="-"),"MATCH_NUL",IF(ISNUMBER(SEARCH("win on penalties",W5083)),"WIN_BY_PENALTY",IF(ISNUMBER(SEARCH("win after extra time",W5083)),"WIN_BY_EXTRA_TIME",IF(ISNUMBER(SEARCH("Golden Goal",W5083)),"WIN_BY_GOLDEN_GOAL","WIN_BY_SCORE"))))</f>
        <v>WIN_BY_SCORE</v>
      </c>
      <c r="BI606" s="99" t="str">
        <f>IF(OR(BG606=DATA_CLEANED!AK597,BG606=DATA_CLEANED!AN597,BG606="MATCH NUL"),"OK","ERREUR")</f>
        <v>OK</v>
      </c>
    </row>
    <row r="607" spans="2:61">
      <c r="B607" s="75">
        <v>170</v>
      </c>
      <c r="C607" s="15" t="str">
        <v>Assim Madibo</v>
      </c>
      <c r="D607" s="15">
        <v>29</v>
      </c>
      <c r="E607" s="15" t="str">
        <v>Qatar</v>
      </c>
      <c r="F607" s="15" t="str">
        <v>CDM</v>
      </c>
      <c r="G607" s="15" t="str">
        <v>Al-Wakrah</v>
      </c>
      <c r="H607" s="15">
        <v>23</v>
      </c>
      <c r="I607" s="15" t="str">
        <f t="shared" si="54"/>
        <v>170|Assim Madibo|29|Qatar|CDM|Al-Wakrah|23</v>
      </c>
      <c r="J607" s="15" t="str">
        <f>IF(COUNTIF(I$438:I607,I607)&gt;1,"DOUBLON","OK")</f>
        <v>OK</v>
      </c>
      <c r="S607" s="30" t="str">
        <v>Japan</v>
      </c>
      <c r="T607" s="30" t="str">
        <f t="shared" si="55"/>
        <v>OK</v>
      </c>
      <c r="U607" s="30" t="str">
        <f t="shared" si="56"/>
        <v>-</v>
      </c>
      <c r="V607" s="30" t="str" cm="1">
        <f t="array" ref="V607">_xlfn.IFS(
ISNUMBER(SEARCH("USA",S607)),"United States",
ISNUMBER(SEARCH("Republic of Korea",S607)),"South Korea",
ISNUMBER(SEARCH("Cape Verde",S607)),"Cabo Verde",
ISNUMBER(SEARCH("Czechia",S607)),"Czech Republic",
ISNUMBER(SEARCH("Türkiye",S607)),"Turkey",
ISNUMBER(SEARCH("Ivory Coast",S607)),"Côte d'Ivoire",
ISNUMBER(SEARCH("Korea Republic",S607)),"South Korea",
ISNUMBER(SEARCH("Germany FR",S607)),"FR Germany",
ISNUMBER(SEARCH("West Germany",S607)),"FR Germany",
ISNUMBER(SEARCH("Germany DR",S607)),"DR Germany",
ISNUMBER(SEARCH("Korea DPR",S607)),"North Korea",
ISNUMBER(SEARCH("China PR",S607)),"China",
ISNUMBER(SEARCH("IR Iran",S607)),"Iran",
ISNUMBER(SEARCH("Congo DR",S607)),"Democratic Republic of the Congo",
ISNUMBER(SEARCH("DR Congo",S607)),"Democratic Republic of the Congo",
ISNUMBER(SEARCH("German DR",S607)),"DR Germany",
ISNUMBER(SEARCH("rn""&gt;United Arab Emirates",S607)),"United Arab Emirates",
ISNUMBER(SEARCH("rn""&gt;Republic of Ireland",S607)),"Ireland",
ISNUMBER(SEARCH("rn""&gt;Bosnia and Herzegovina",S607)),"Bosnia and Herzegovina",
ISNUMBER(SEARCH("rn""&gt;Trinidad and Tobago",S607)),"Trinidad and Tobago",
ISNUMBER(SEARCH("rn""&gt;Serbia and Montenegro",S607)),"Serbia and Montenegro",
ISNUMBER(SEARCH(_xlfn.UNICHAR(65533),S607)),"Côte d'Ivoire",
TRUE,""
)</f>
        <v/>
      </c>
      <c r="W607" s="30" t="str">
        <f t="shared" si="57"/>
        <v>Japan</v>
      </c>
      <c r="Z607" s="40" t="str">
        <v>Stade de France</v>
      </c>
      <c r="AA607" s="40" t="str" cm="1">
        <f t="array" ref="AA607">IFERROR(_xlfn.XLOOKUP(Z607,_xlfn.ANCHORARRAY(Z$31),AA$31:AA$37),Z607)</f>
        <v>Stade de France</v>
      </c>
      <c r="AB607" s="42" t="str">
        <v xml:space="preserve">Saint-Denis </v>
      </c>
      <c r="AC607" s="89" t="str">
        <f t="shared" si="53"/>
        <v xml:space="preserve">Saint-Denis </v>
      </c>
      <c r="AE607" s="42">
        <v>1998</v>
      </c>
      <c r="AK607" s="42">
        <v>1</v>
      </c>
      <c r="AL607" s="42">
        <v>3</v>
      </c>
      <c r="AW607" s="89" t="str">
        <v>GROUP_STAGE</v>
      </c>
      <c r="BE607" s="43" t="str">
        <f>IF(OR(DATA_CLEANED!AL598="",DATA_CLEANED!AM598=""),"MANQUANT",IF(OR(NOT(ISNUMBER(DATA_CLEANED!AL598)),NOT(ISNUMBER(DATA_CLEANED!AM598))),"ENTREE INVALIDE",IF(OR(DATA_CLEANED!AL598&lt;0,DATA_CLEANED!AM598&lt;0),"SCORE NEGATIF","OK")))</f>
        <v>OK</v>
      </c>
      <c r="BF607" s="43" t="str">
        <f>IF(DATA_CLEANED!AK598&lt;&gt;DATA_CLEANED!AN598,"OK","ERREUR")</f>
        <v>OK</v>
      </c>
      <c r="BG607" s="43" t="str">
        <f>IF(DATA_CLEANED!AL598&gt;DATA_CLEANED!AM598,DATA_CLEANED!AK598,IF(AND(DATA_QUALITE!W5084="-",DATA_CLEANED!AM598=DATA_CLEANED!AL598),"MATCH NUL",IF(AND(DATA_QUALITE!V5084="-",DATA_QUALITE!U5084="AUCUNE"),DATA_QUALITE!T5084,IF(DATA_QUALITE!V5084&lt;&gt;"-",DATA_QUALITE!V5084,DATA_CLEANED!AN598))))</f>
        <v>United States</v>
      </c>
      <c r="BH607" s="103" t="str">
        <f>IF(AND(BG607="MATCH NUL",DATA_CLEANED!AO598="-"),"MATCH_NUL",IF(ISNUMBER(SEARCH("win on penalties",W5084)),"WIN_BY_PENALTY",IF(ISNUMBER(SEARCH("win after extra time",W5084)),"WIN_BY_EXTRA_TIME",IF(ISNUMBER(SEARCH("Golden Goal",W5084)),"WIN_BY_GOLDEN_GOAL","WIN_BY_SCORE"))))</f>
        <v>WIN_BY_SCORE</v>
      </c>
      <c r="BI607" s="99" t="str">
        <f>IF(OR(BG607=DATA_CLEANED!AK598,BG607=DATA_CLEANED!AN598,BG607="MATCH NUL"),"OK","ERREUR")</f>
        <v>OK</v>
      </c>
    </row>
    <row r="608" spans="2:61">
      <c r="B608" s="75">
        <v>171</v>
      </c>
      <c r="C608" s="15" t="str">
        <v>Abdulaziz Hatem</v>
      </c>
      <c r="D608" s="15">
        <v>36</v>
      </c>
      <c r="E608" s="15" t="str">
        <v>Qatar</v>
      </c>
      <c r="F608" s="15" t="str">
        <v>CM</v>
      </c>
      <c r="G608" s="15" t="str">
        <v>Al-Rayyan</v>
      </c>
      <c r="H608" s="15">
        <v>6</v>
      </c>
      <c r="I608" s="15" t="str">
        <f t="shared" si="54"/>
        <v>171|Abdulaziz Hatem|36|Qatar|CM|Al-Rayyan|6</v>
      </c>
      <c r="J608" s="15" t="str">
        <f>IF(COUNTIF(I$438:I608,I608)&gt;1,"DOUBLON","OK")</f>
        <v>OK</v>
      </c>
      <c r="S608" s="30" t="str">
        <v>Ghana</v>
      </c>
      <c r="T608" s="30" t="str">
        <f t="shared" si="55"/>
        <v>OK</v>
      </c>
      <c r="U608" s="30" t="str">
        <f t="shared" si="56"/>
        <v>-</v>
      </c>
      <c r="V608" s="30" t="str" cm="1">
        <f t="array" ref="V608">_xlfn.IFS(
ISNUMBER(SEARCH("USA",S608)),"United States",
ISNUMBER(SEARCH("Republic of Korea",S608)),"South Korea",
ISNUMBER(SEARCH("Cape Verde",S608)),"Cabo Verde",
ISNUMBER(SEARCH("Czechia",S608)),"Czech Republic",
ISNUMBER(SEARCH("Türkiye",S608)),"Turkey",
ISNUMBER(SEARCH("Ivory Coast",S608)),"Côte d'Ivoire",
ISNUMBER(SEARCH("Korea Republic",S608)),"South Korea",
ISNUMBER(SEARCH("Germany FR",S608)),"FR Germany",
ISNUMBER(SEARCH("West Germany",S608)),"FR Germany",
ISNUMBER(SEARCH("Germany DR",S608)),"DR Germany",
ISNUMBER(SEARCH("Korea DPR",S608)),"North Korea",
ISNUMBER(SEARCH("China PR",S608)),"China",
ISNUMBER(SEARCH("IR Iran",S608)),"Iran",
ISNUMBER(SEARCH("Congo DR",S608)),"Democratic Republic of the Congo",
ISNUMBER(SEARCH("DR Congo",S608)),"Democratic Republic of the Congo",
ISNUMBER(SEARCH("German DR",S608)),"DR Germany",
ISNUMBER(SEARCH("rn""&gt;United Arab Emirates",S608)),"United Arab Emirates",
ISNUMBER(SEARCH("rn""&gt;Republic of Ireland",S608)),"Ireland",
ISNUMBER(SEARCH("rn""&gt;Bosnia and Herzegovina",S608)),"Bosnia and Herzegovina",
ISNUMBER(SEARCH("rn""&gt;Trinidad and Tobago",S608)),"Trinidad and Tobago",
ISNUMBER(SEARCH("rn""&gt;Serbia and Montenegro",S608)),"Serbia and Montenegro",
ISNUMBER(SEARCH(_xlfn.UNICHAR(65533),S608)),"Côte d'Ivoire",
TRUE,""
)</f>
        <v/>
      </c>
      <c r="W608" s="30" t="str">
        <f t="shared" si="57"/>
        <v>Ghana</v>
      </c>
      <c r="Z608" s="40" t="str">
        <v>La Mosson</v>
      </c>
      <c r="AA608" s="40" t="str" cm="1">
        <f t="array" ref="AA608">IFERROR(_xlfn.XLOOKUP(Z608,_xlfn.ANCHORARRAY(Z$31),AA$31:AA$37),Z608)</f>
        <v>La Mosson</v>
      </c>
      <c r="AB608" s="42" t="str">
        <v xml:space="preserve">Montpellier </v>
      </c>
      <c r="AC608" s="89" t="str">
        <f t="shared" si="53"/>
        <v xml:space="preserve">Montpellier </v>
      </c>
      <c r="AE608" s="42">
        <v>1998</v>
      </c>
      <c r="AK608" s="42">
        <v>0</v>
      </c>
      <c r="AL608" s="42">
        <v>0</v>
      </c>
      <c r="AW608" s="89" t="str">
        <v>GROUP_STAGE</v>
      </c>
      <c r="BE608" s="43" t="str">
        <f>IF(OR(DATA_CLEANED!AL599="",DATA_CLEANED!AM599=""),"MANQUANT",IF(OR(NOT(ISNUMBER(DATA_CLEANED!AL599)),NOT(ISNUMBER(DATA_CLEANED!AM599))),"ENTREE INVALIDE",IF(OR(DATA_CLEANED!AL599&lt;0,DATA_CLEANED!AM599&lt;0),"SCORE NEGATIF","OK")))</f>
        <v>OK</v>
      </c>
      <c r="BF608" s="43" t="str">
        <f>IF(DATA_CLEANED!AK599&lt;&gt;DATA_CLEANED!AN599,"OK","ERREUR")</f>
        <v>OK</v>
      </c>
      <c r="BG608" s="43" t="str">
        <f>IF(DATA_CLEANED!AL599&gt;DATA_CLEANED!AM599,DATA_CLEANED!AK599,IF(AND(DATA_QUALITE!W5085="-",DATA_CLEANED!AM599=DATA_CLEANED!AL599),"MATCH NUL",IF(AND(DATA_QUALITE!V5085="-",DATA_QUALITE!U5085="AUCUNE"),DATA_QUALITE!T5085,IF(DATA_QUALITE!V5085&lt;&gt;"-",DATA_QUALITE!V5085,DATA_CLEANED!AN599))))</f>
        <v>MATCH NUL</v>
      </c>
      <c r="BH608" s="103" t="str">
        <f>IF(AND(BG608="MATCH NUL",DATA_CLEANED!AO599="-"),"MATCH_NUL",IF(ISNUMBER(SEARCH("win on penalties",W5085)),"WIN_BY_PENALTY",IF(ISNUMBER(SEARCH("win after extra time",W5085)),"WIN_BY_EXTRA_TIME",IF(ISNUMBER(SEARCH("Golden Goal",W5085)),"WIN_BY_GOLDEN_GOAL","WIN_BY_SCORE"))))</f>
        <v>MATCH_NUL</v>
      </c>
      <c r="BI608" s="99" t="str">
        <f>IF(OR(BG608=DATA_CLEANED!AK599,BG608=DATA_CLEANED!AN599,BG608="MATCH NUL"),"OK","ERREUR")</f>
        <v>OK</v>
      </c>
    </row>
    <row r="609" spans="2:61">
      <c r="B609" s="75">
        <v>172</v>
      </c>
      <c r="C609" s="15" t="str">
        <v>Karim Boudiaf</v>
      </c>
      <c r="D609" s="15">
        <v>35</v>
      </c>
      <c r="E609" s="15" t="str">
        <v>Qatar</v>
      </c>
      <c r="F609" s="15" t="str">
        <v>CM</v>
      </c>
      <c r="G609" s="15" t="str">
        <v>Al-Duhail</v>
      </c>
      <c r="H609" s="15">
        <v>12</v>
      </c>
      <c r="I609" s="15" t="str">
        <f t="shared" si="54"/>
        <v>172|Karim Boudiaf|35|Qatar|CM|Al-Duhail|12</v>
      </c>
      <c r="J609" s="15" t="str">
        <f>IF(COUNTIF(I$438:I609,I609)&gt;1,"DOUBLON","OK")</f>
        <v>OK</v>
      </c>
      <c r="S609" s="30" t="str">
        <v>Ghana</v>
      </c>
      <c r="T609" s="30" t="str">
        <f t="shared" si="55"/>
        <v>OK</v>
      </c>
      <c r="U609" s="30" t="str">
        <f t="shared" si="56"/>
        <v>-</v>
      </c>
      <c r="V609" s="30" t="str" cm="1">
        <f t="array" ref="V609">_xlfn.IFS(
ISNUMBER(SEARCH("USA",S609)),"United States",
ISNUMBER(SEARCH("Republic of Korea",S609)),"South Korea",
ISNUMBER(SEARCH("Cape Verde",S609)),"Cabo Verde",
ISNUMBER(SEARCH("Czechia",S609)),"Czech Republic",
ISNUMBER(SEARCH("Türkiye",S609)),"Turkey",
ISNUMBER(SEARCH("Ivory Coast",S609)),"Côte d'Ivoire",
ISNUMBER(SEARCH("Korea Republic",S609)),"South Korea",
ISNUMBER(SEARCH("Germany FR",S609)),"FR Germany",
ISNUMBER(SEARCH("West Germany",S609)),"FR Germany",
ISNUMBER(SEARCH("Germany DR",S609)),"DR Germany",
ISNUMBER(SEARCH("Korea DPR",S609)),"North Korea",
ISNUMBER(SEARCH("China PR",S609)),"China",
ISNUMBER(SEARCH("IR Iran",S609)),"Iran",
ISNUMBER(SEARCH("Congo DR",S609)),"Democratic Republic of the Congo",
ISNUMBER(SEARCH("DR Congo",S609)),"Democratic Republic of the Congo",
ISNUMBER(SEARCH("German DR",S609)),"DR Germany",
ISNUMBER(SEARCH("rn""&gt;United Arab Emirates",S609)),"United Arab Emirates",
ISNUMBER(SEARCH("rn""&gt;Republic of Ireland",S609)),"Ireland",
ISNUMBER(SEARCH("rn""&gt;Bosnia and Herzegovina",S609)),"Bosnia and Herzegovina",
ISNUMBER(SEARCH("rn""&gt;Trinidad and Tobago",S609)),"Trinidad and Tobago",
ISNUMBER(SEARCH("rn""&gt;Serbia and Montenegro",S609)),"Serbia and Montenegro",
ISNUMBER(SEARCH(_xlfn.UNICHAR(65533),S609)),"Côte d'Ivoire",
TRUE,""
)</f>
        <v/>
      </c>
      <c r="W609" s="30" t="str">
        <f t="shared" si="57"/>
        <v>Ghana</v>
      </c>
      <c r="Z609" s="40" t="str">
        <v>Stade Municipal</v>
      </c>
      <c r="AA609" s="40" t="str" cm="1">
        <f t="array" ref="AA609">IFERROR(_xlfn.XLOOKUP(Z609,_xlfn.ANCHORARRAY(Z$31),AA$31:AA$37),Z609)</f>
        <v>Stade Municipal</v>
      </c>
      <c r="AB609" s="42" t="str">
        <v xml:space="preserve">Toulouse </v>
      </c>
      <c r="AC609" s="89" t="str">
        <f t="shared" si="53"/>
        <v xml:space="preserve">Toulouse </v>
      </c>
      <c r="AE609" s="42">
        <v>1998</v>
      </c>
      <c r="AK609" s="42">
        <v>1</v>
      </c>
      <c r="AL609" s="42">
        <v>0</v>
      </c>
      <c r="AW609" s="89" t="str">
        <v>GROUP_STAGE</v>
      </c>
      <c r="BE609" s="43" t="str">
        <f>IF(OR(DATA_CLEANED!AL600="",DATA_CLEANED!AM600=""),"MANQUANT",IF(OR(NOT(ISNUMBER(DATA_CLEANED!AL600)),NOT(ISNUMBER(DATA_CLEANED!AM600))),"ENTREE INVALIDE",IF(OR(DATA_CLEANED!AL600&lt;0,DATA_CLEANED!AM600&lt;0),"SCORE NEGATIF","OK")))</f>
        <v>OK</v>
      </c>
      <c r="BF609" s="43" t="str">
        <f>IF(DATA_CLEANED!AK600&lt;&gt;DATA_CLEANED!AN600,"OK","ERREUR")</f>
        <v>OK</v>
      </c>
      <c r="BG609" s="43" t="str">
        <f>IF(DATA_CLEANED!AL600&gt;DATA_CLEANED!AM600,DATA_CLEANED!AK600,IF(AND(DATA_QUALITE!W5086="-",DATA_CLEANED!AM600=DATA_CLEANED!AL600),"MATCH NUL",IF(AND(DATA_QUALITE!V5086="-",DATA_QUALITE!U5086="AUCUNE"),DATA_QUALITE!T5086,IF(DATA_QUALITE!V5086&lt;&gt;"-",DATA_QUALITE!V5086,DATA_CLEANED!AN600))))</f>
        <v>MATCH NUL</v>
      </c>
      <c r="BH609" s="103" t="str">
        <f>IF(AND(BG609="MATCH NUL",DATA_CLEANED!AO600="-"),"MATCH_NUL",IF(ISNUMBER(SEARCH("win on penalties",W5086)),"WIN_BY_PENALTY",IF(ISNUMBER(SEARCH("win after extra time",W5086)),"WIN_BY_EXTRA_TIME",IF(ISNUMBER(SEARCH("Golden Goal",W5086)),"WIN_BY_GOLDEN_GOAL","WIN_BY_SCORE"))))</f>
        <v>MATCH_NUL</v>
      </c>
      <c r="BI609" s="99" t="str">
        <f>IF(OR(BG609=DATA_CLEANED!AK600,BG609=DATA_CLEANED!AN600,BG609="MATCH NUL"),"OK","ERREUR")</f>
        <v>OK</v>
      </c>
    </row>
    <row r="610" spans="2:61">
      <c r="B610" s="75">
        <v>173</v>
      </c>
      <c r="C610" s="15" t="str">
        <v>Hassan Al-Haydos</v>
      </c>
      <c r="D610" s="15">
        <v>35</v>
      </c>
      <c r="E610" s="15" t="str">
        <v>Qatar</v>
      </c>
      <c r="F610" s="15" t="str">
        <v>CAM</v>
      </c>
      <c r="G610" s="15" t="str">
        <v>Al-Sadd</v>
      </c>
      <c r="H610" s="15">
        <v>10</v>
      </c>
      <c r="I610" s="15" t="str">
        <f t="shared" si="54"/>
        <v>173|Hassan Al-Haydos|35|Qatar|CAM|Al-Sadd|10</v>
      </c>
      <c r="J610" s="15" t="str">
        <f>IF(COUNTIF(I$438:I610,I610)&gt;1,"DOUBLON","OK")</f>
        <v>OK</v>
      </c>
      <c r="S610" s="30" t="str">
        <v>Ghana</v>
      </c>
      <c r="T610" s="30" t="str">
        <f t="shared" si="55"/>
        <v>OK</v>
      </c>
      <c r="U610" s="30" t="str">
        <f t="shared" si="56"/>
        <v>-</v>
      </c>
      <c r="V610" s="30" t="str" cm="1">
        <f t="array" ref="V610">_xlfn.IFS(
ISNUMBER(SEARCH("USA",S610)),"United States",
ISNUMBER(SEARCH("Republic of Korea",S610)),"South Korea",
ISNUMBER(SEARCH("Cape Verde",S610)),"Cabo Verde",
ISNUMBER(SEARCH("Czechia",S610)),"Czech Republic",
ISNUMBER(SEARCH("Türkiye",S610)),"Turkey",
ISNUMBER(SEARCH("Ivory Coast",S610)),"Côte d'Ivoire",
ISNUMBER(SEARCH("Korea Republic",S610)),"South Korea",
ISNUMBER(SEARCH("Germany FR",S610)),"FR Germany",
ISNUMBER(SEARCH("West Germany",S610)),"FR Germany",
ISNUMBER(SEARCH("Germany DR",S610)),"DR Germany",
ISNUMBER(SEARCH("Korea DPR",S610)),"North Korea",
ISNUMBER(SEARCH("China PR",S610)),"China",
ISNUMBER(SEARCH("IR Iran",S610)),"Iran",
ISNUMBER(SEARCH("Congo DR",S610)),"Democratic Republic of the Congo",
ISNUMBER(SEARCH("DR Congo",S610)),"Democratic Republic of the Congo",
ISNUMBER(SEARCH("German DR",S610)),"DR Germany",
ISNUMBER(SEARCH("rn""&gt;United Arab Emirates",S610)),"United Arab Emirates",
ISNUMBER(SEARCH("rn""&gt;Republic of Ireland",S610)),"Ireland",
ISNUMBER(SEARCH("rn""&gt;Bosnia and Herzegovina",S610)),"Bosnia and Herzegovina",
ISNUMBER(SEARCH("rn""&gt;Trinidad and Tobago",S610)),"Trinidad and Tobago",
ISNUMBER(SEARCH("rn""&gt;Serbia and Montenegro",S610)),"Serbia and Montenegro",
ISNUMBER(SEARCH(_xlfn.UNICHAR(65533),S610)),"Côte d'Ivoire",
TRUE,""
)</f>
        <v/>
      </c>
      <c r="W610" s="30" t="str">
        <f t="shared" si="57"/>
        <v>Ghana</v>
      </c>
      <c r="Z610" s="40" t="str">
        <v>Stade du Parc Lescure</v>
      </c>
      <c r="AA610" s="40" t="str" cm="1">
        <f t="array" ref="AA610">IFERROR(_xlfn.XLOOKUP(Z610,_xlfn.ANCHORARRAY(Z$31),AA$31:AA$37),Z610)</f>
        <v>Stade du Parc Lescure</v>
      </c>
      <c r="AB610" s="42" t="str">
        <v xml:space="preserve">Bordeaux </v>
      </c>
      <c r="AC610" s="89" t="str">
        <f t="shared" si="53"/>
        <v xml:space="preserve">Bordeaux </v>
      </c>
      <c r="AE610" s="42">
        <v>1998</v>
      </c>
      <c r="AK610" s="42">
        <v>1</v>
      </c>
      <c r="AL610" s="42">
        <v>0</v>
      </c>
      <c r="AW610" s="89" t="str">
        <v>GROUP_STAGE</v>
      </c>
      <c r="BE610" s="43" t="str">
        <f>IF(OR(DATA_CLEANED!AL601="",DATA_CLEANED!AM601=""),"MANQUANT",IF(OR(NOT(ISNUMBER(DATA_CLEANED!AL601)),NOT(ISNUMBER(DATA_CLEANED!AM601))),"ENTREE INVALIDE",IF(OR(DATA_CLEANED!AL601&lt;0,DATA_CLEANED!AM601&lt;0),"SCORE NEGATIF","OK")))</f>
        <v>OK</v>
      </c>
      <c r="BF610" s="43" t="str">
        <f>IF(DATA_CLEANED!AK601&lt;&gt;DATA_CLEANED!AN601,"OK","ERREUR")</f>
        <v>OK</v>
      </c>
      <c r="BG610" s="43" t="str">
        <f>IF(DATA_CLEANED!AL601&gt;DATA_CLEANED!AM601,DATA_CLEANED!AK601,IF(AND(DATA_QUALITE!W5087="-",DATA_CLEANED!AM601=DATA_CLEANED!AL601),"MATCH NUL",IF(AND(DATA_QUALITE!V5087="-",DATA_QUALITE!U5087="AUCUNE"),DATA_QUALITE!T5087,IF(DATA_QUALITE!V5087&lt;&gt;"-",DATA_QUALITE!V5087,DATA_CLEANED!AN601))))</f>
        <v>Cameroon</v>
      </c>
      <c r="BH610" s="103" t="str">
        <f>IF(AND(BG610="MATCH NUL",DATA_CLEANED!AO601="-"),"MATCH_NUL",IF(ISNUMBER(SEARCH("win on penalties",W5087)),"WIN_BY_PENALTY",IF(ISNUMBER(SEARCH("win after extra time",W5087)),"WIN_BY_EXTRA_TIME",IF(ISNUMBER(SEARCH("Golden Goal",W5087)),"WIN_BY_GOLDEN_GOAL","WIN_BY_SCORE"))))</f>
        <v>WIN_BY_SCORE</v>
      </c>
      <c r="BI610" s="99" t="str">
        <f>IF(OR(BG610=DATA_CLEANED!AK601,BG610=DATA_CLEANED!AN601,BG610="MATCH NUL"),"OK","ERREUR")</f>
        <v>OK</v>
      </c>
    </row>
    <row r="611" spans="2:61">
      <c r="B611" s="75">
        <v>174</v>
      </c>
      <c r="C611" s="15" t="str">
        <v>Ahmed Al-Ganehi</v>
      </c>
      <c r="D611" s="15">
        <v>25</v>
      </c>
      <c r="E611" s="15" t="str">
        <v>Qatar</v>
      </c>
      <c r="F611" s="15" t="str">
        <v>LM</v>
      </c>
      <c r="G611" s="15" t="str">
        <v>Al-Gharafa</v>
      </c>
      <c r="H611" s="15">
        <v>17</v>
      </c>
      <c r="I611" s="15" t="str">
        <f t="shared" si="54"/>
        <v>174|Ahmed Al-Ganehi|25|Qatar|LM|Al-Gharafa|17</v>
      </c>
      <c r="J611" s="15" t="str">
        <f>IF(COUNTIF(I$438:I611,I611)&gt;1,"DOUBLON","OK")</f>
        <v>OK</v>
      </c>
      <c r="S611" s="30" t="str">
        <v>Ghana</v>
      </c>
      <c r="T611" s="30" t="str">
        <f t="shared" si="55"/>
        <v>OK</v>
      </c>
      <c r="U611" s="30" t="str">
        <f t="shared" si="56"/>
        <v>-</v>
      </c>
      <c r="V611" s="30" t="str" cm="1">
        <f t="array" ref="V611">_xlfn.IFS(
ISNUMBER(SEARCH("USA",S611)),"United States",
ISNUMBER(SEARCH("Republic of Korea",S611)),"South Korea",
ISNUMBER(SEARCH("Cape Verde",S611)),"Cabo Verde",
ISNUMBER(SEARCH("Czechia",S611)),"Czech Republic",
ISNUMBER(SEARCH("Türkiye",S611)),"Turkey",
ISNUMBER(SEARCH("Ivory Coast",S611)),"Côte d'Ivoire",
ISNUMBER(SEARCH("Korea Republic",S611)),"South Korea",
ISNUMBER(SEARCH("Germany FR",S611)),"FR Germany",
ISNUMBER(SEARCH("West Germany",S611)),"FR Germany",
ISNUMBER(SEARCH("Germany DR",S611)),"DR Germany",
ISNUMBER(SEARCH("Korea DPR",S611)),"North Korea",
ISNUMBER(SEARCH("China PR",S611)),"China",
ISNUMBER(SEARCH("IR Iran",S611)),"Iran",
ISNUMBER(SEARCH("Congo DR",S611)),"Democratic Republic of the Congo",
ISNUMBER(SEARCH("DR Congo",S611)),"Democratic Republic of the Congo",
ISNUMBER(SEARCH("German DR",S611)),"DR Germany",
ISNUMBER(SEARCH("rn""&gt;United Arab Emirates",S611)),"United Arab Emirates",
ISNUMBER(SEARCH("rn""&gt;Republic of Ireland",S611)),"Ireland",
ISNUMBER(SEARCH("rn""&gt;Bosnia and Herzegovina",S611)),"Bosnia and Herzegovina",
ISNUMBER(SEARCH("rn""&gt;Trinidad and Tobago",S611)),"Trinidad and Tobago",
ISNUMBER(SEARCH("rn""&gt;Serbia and Montenegro",S611)),"Serbia and Montenegro",
ISNUMBER(SEARCH(_xlfn.UNICHAR(65533),S611)),"Côte d'Ivoire",
TRUE,""
)</f>
        <v/>
      </c>
      <c r="W611" s="30" t="str">
        <f t="shared" si="57"/>
        <v>Ghana</v>
      </c>
      <c r="Z611" s="40" t="str">
        <v>Stade Geoffroy Guichard</v>
      </c>
      <c r="AA611" s="40" t="str" cm="1">
        <f t="array" ref="AA611">IFERROR(_xlfn.XLOOKUP(Z611,_xlfn.ANCHORARRAY(Z$31),AA$31:AA$37),Z611)</f>
        <v>Stade Geoffroy Guichard</v>
      </c>
      <c r="AB611" s="42" t="str">
        <v xml:space="preserve">Saint-Etienne </v>
      </c>
      <c r="AC611" s="89" t="str">
        <f t="shared" si="53"/>
        <v xml:space="preserve">Saint-Etienne </v>
      </c>
      <c r="AE611" s="42">
        <v>1998</v>
      </c>
      <c r="AK611" s="42">
        <v>1</v>
      </c>
      <c r="AL611" s="42">
        <v>3</v>
      </c>
      <c r="AW611" s="89" t="str">
        <v>GROUP_STAGE</v>
      </c>
      <c r="BE611" s="43" t="str">
        <f>IF(OR(DATA_CLEANED!AL602="",DATA_CLEANED!AM602=""),"MANQUANT",IF(OR(NOT(ISNUMBER(DATA_CLEANED!AL602)),NOT(ISNUMBER(DATA_CLEANED!AM602))),"ENTREE INVALIDE",IF(OR(DATA_CLEANED!AL602&lt;0,DATA_CLEANED!AM602&lt;0),"SCORE NEGATIF","OK")))</f>
        <v>OK</v>
      </c>
      <c r="BF611" s="43" t="str">
        <f>IF(DATA_CLEANED!AK602&lt;&gt;DATA_CLEANED!AN602,"OK","ERREUR")</f>
        <v>OK</v>
      </c>
      <c r="BG611" s="43" t="str">
        <f>IF(DATA_CLEANED!AL602&gt;DATA_CLEANED!AM602,DATA_CLEANED!AK602,IF(AND(DATA_QUALITE!W5088="-",DATA_CLEANED!AM602=DATA_CLEANED!AL602),"MATCH NUL",IF(AND(DATA_QUALITE!V5088="-",DATA_QUALITE!U5088="AUCUNE"),DATA_QUALITE!T5088,IF(DATA_QUALITE!V5088&lt;&gt;"-",DATA_QUALITE!V5088,DATA_CLEANED!AN602))))</f>
        <v>MATCH NUL</v>
      </c>
      <c r="BH611" s="103" t="str">
        <f>IF(AND(BG611="MATCH NUL",DATA_CLEANED!AO602="-"),"MATCH_NUL",IF(ISNUMBER(SEARCH("win on penalties",W5088)),"WIN_BY_PENALTY",IF(ISNUMBER(SEARCH("win after extra time",W5088)),"WIN_BY_EXTRA_TIME",IF(ISNUMBER(SEARCH("Golden Goal",W5088)),"WIN_BY_GOLDEN_GOAL","WIN_BY_SCORE"))))</f>
        <v>MATCH_NUL</v>
      </c>
      <c r="BI611" s="99" t="str">
        <f>IF(OR(BG611=DATA_CLEANED!AK602,BG611=DATA_CLEANED!AN602,BG611="MATCH NUL"),"OK","ERREUR")</f>
        <v>OK</v>
      </c>
    </row>
    <row r="612" spans="2:61">
      <c r="B612" s="75">
        <v>175</v>
      </c>
      <c r="C612" s="15" t="str">
        <v>Akram Afif</v>
      </c>
      <c r="D612" s="15">
        <v>29</v>
      </c>
      <c r="E612" s="15" t="str">
        <v>Qatar</v>
      </c>
      <c r="F612" s="15" t="str">
        <v>LW</v>
      </c>
      <c r="G612" s="15" t="str">
        <v>Al-Sadd</v>
      </c>
      <c r="H612" s="15">
        <v>11</v>
      </c>
      <c r="I612" s="15" t="str">
        <f t="shared" si="54"/>
        <v>175|Akram Afif|29|Qatar|LW|Al-Sadd|11</v>
      </c>
      <c r="J612" s="15" t="str">
        <f>IF(COUNTIF(I$438:I612,I612)&gt;1,"DOUBLON","OK")</f>
        <v>OK</v>
      </c>
      <c r="S612" s="30" t="str">
        <v>Ghana</v>
      </c>
      <c r="T612" s="30" t="str">
        <f t="shared" si="55"/>
        <v>OK</v>
      </c>
      <c r="U612" s="30" t="str">
        <f t="shared" si="56"/>
        <v>-</v>
      </c>
      <c r="V612" s="30" t="str" cm="1">
        <f t="array" ref="V612">_xlfn.IFS(
ISNUMBER(SEARCH("USA",S612)),"United States",
ISNUMBER(SEARCH("Republic of Korea",S612)),"South Korea",
ISNUMBER(SEARCH("Cape Verde",S612)),"Cabo Verde",
ISNUMBER(SEARCH("Czechia",S612)),"Czech Republic",
ISNUMBER(SEARCH("Türkiye",S612)),"Turkey",
ISNUMBER(SEARCH("Ivory Coast",S612)),"Côte d'Ivoire",
ISNUMBER(SEARCH("Korea Republic",S612)),"South Korea",
ISNUMBER(SEARCH("Germany FR",S612)),"FR Germany",
ISNUMBER(SEARCH("West Germany",S612)),"FR Germany",
ISNUMBER(SEARCH("Germany DR",S612)),"DR Germany",
ISNUMBER(SEARCH("Korea DPR",S612)),"North Korea",
ISNUMBER(SEARCH("China PR",S612)),"China",
ISNUMBER(SEARCH("IR Iran",S612)),"Iran",
ISNUMBER(SEARCH("Congo DR",S612)),"Democratic Republic of the Congo",
ISNUMBER(SEARCH("DR Congo",S612)),"Democratic Republic of the Congo",
ISNUMBER(SEARCH("German DR",S612)),"DR Germany",
ISNUMBER(SEARCH("rn""&gt;United Arab Emirates",S612)),"United Arab Emirates",
ISNUMBER(SEARCH("rn""&gt;Republic of Ireland",S612)),"Ireland",
ISNUMBER(SEARCH("rn""&gt;Bosnia and Herzegovina",S612)),"Bosnia and Herzegovina",
ISNUMBER(SEARCH("rn""&gt;Trinidad and Tobago",S612)),"Trinidad and Tobago",
ISNUMBER(SEARCH("rn""&gt;Serbia and Montenegro",S612)),"Serbia and Montenegro",
ISNUMBER(SEARCH(_xlfn.UNICHAR(65533),S612)),"Côte d'Ivoire",
TRUE,""
)</f>
        <v/>
      </c>
      <c r="W612" s="30" t="str">
        <f t="shared" si="57"/>
        <v>Ghana</v>
      </c>
      <c r="Z612" s="40" t="str">
        <v>Stade de France</v>
      </c>
      <c r="AA612" s="40" t="str" cm="1">
        <f t="array" ref="AA612">IFERROR(_xlfn.XLOOKUP(Z612,_xlfn.ANCHORARRAY(Z$31),AA$31:AA$37),Z612)</f>
        <v>Stade de France</v>
      </c>
      <c r="AB612" s="42" t="str">
        <v xml:space="preserve">Saint-Denis </v>
      </c>
      <c r="AC612" s="89" t="str">
        <f t="shared" si="53"/>
        <v xml:space="preserve">Saint-Denis </v>
      </c>
      <c r="AE612" s="42">
        <v>1998</v>
      </c>
      <c r="AK612" s="42">
        <v>2</v>
      </c>
      <c r="AL612" s="42">
        <v>0</v>
      </c>
      <c r="AW612" s="89" t="str">
        <v>GROUP_STAGE</v>
      </c>
      <c r="BE612" s="43" t="str">
        <f>IF(OR(DATA_CLEANED!AL603="",DATA_CLEANED!AM603=""),"MANQUANT",IF(OR(NOT(ISNUMBER(DATA_CLEANED!AL603)),NOT(ISNUMBER(DATA_CLEANED!AM603))),"ENTREE INVALIDE",IF(OR(DATA_CLEANED!AL603&lt;0,DATA_CLEANED!AM603&lt;0),"SCORE NEGATIF","OK")))</f>
        <v>OK</v>
      </c>
      <c r="BF612" s="43" t="str">
        <f>IF(DATA_CLEANED!AK603&lt;&gt;DATA_CLEANED!AN603,"OK","ERREUR")</f>
        <v>OK</v>
      </c>
      <c r="BG612" s="43" t="str">
        <f>IF(DATA_CLEANED!AL603&gt;DATA_CLEANED!AM603,DATA_CLEANED!AK603,IF(AND(DATA_QUALITE!W5089="-",DATA_CLEANED!AM603=DATA_CLEANED!AL603),"MATCH NUL",IF(AND(DATA_QUALITE!V5089="-",DATA_QUALITE!U5089="AUCUNE"),DATA_QUALITE!T5089,IF(DATA_QUALITE!V5089&lt;&gt;"-",DATA_QUALITE!V5089,DATA_CLEANED!AN603))))</f>
        <v>Sweden</v>
      </c>
      <c r="BH612" s="103" t="str">
        <f>IF(AND(BG612="MATCH NUL",DATA_CLEANED!AO603="-"),"MATCH_NUL",IF(ISNUMBER(SEARCH("win on penalties",W5089)),"WIN_BY_PENALTY",IF(ISNUMBER(SEARCH("win after extra time",W5089)),"WIN_BY_EXTRA_TIME",IF(ISNUMBER(SEARCH("Golden Goal",W5089)),"WIN_BY_GOLDEN_GOAL","WIN_BY_SCORE"))))</f>
        <v>WIN_BY_SCORE</v>
      </c>
      <c r="BI612" s="99" t="str">
        <f>IF(OR(BG612=DATA_CLEANED!AK603,BG612=DATA_CLEANED!AN603,BG612="MATCH NUL"),"OK","ERREUR")</f>
        <v>OK</v>
      </c>
    </row>
    <row r="613" spans="2:61">
      <c r="B613" s="75">
        <v>176</v>
      </c>
      <c r="C613" s="15" t="str">
        <v>Edmilson Junior</v>
      </c>
      <c r="D613" s="15">
        <v>31</v>
      </c>
      <c r="E613" s="15" t="str">
        <v>Qatar</v>
      </c>
      <c r="F613" s="15" t="str">
        <v>RW</v>
      </c>
      <c r="G613" s="15" t="str">
        <v>Al-Duhail</v>
      </c>
      <c r="H613" s="15">
        <v>8</v>
      </c>
      <c r="I613" s="15" t="str">
        <f t="shared" si="54"/>
        <v>176|Edmilson Junior|31|Qatar|RW|Al-Duhail|8</v>
      </c>
      <c r="J613" s="15" t="str">
        <f>IF(COUNTIF(I$438:I613,I613)&gt;1,"DOUBLON","OK")</f>
        <v>OK</v>
      </c>
      <c r="S613" s="30" t="str">
        <v>Ghana</v>
      </c>
      <c r="T613" s="30" t="str">
        <f t="shared" si="55"/>
        <v>OK</v>
      </c>
      <c r="U613" s="30" t="str">
        <f t="shared" si="56"/>
        <v>-</v>
      </c>
      <c r="V613" s="30" t="str" cm="1">
        <f t="array" ref="V613">_xlfn.IFS(
ISNUMBER(SEARCH("USA",S613)),"United States",
ISNUMBER(SEARCH("Republic of Korea",S613)),"South Korea",
ISNUMBER(SEARCH("Cape Verde",S613)),"Cabo Verde",
ISNUMBER(SEARCH("Czechia",S613)),"Czech Republic",
ISNUMBER(SEARCH("Türkiye",S613)),"Turkey",
ISNUMBER(SEARCH("Ivory Coast",S613)),"Côte d'Ivoire",
ISNUMBER(SEARCH("Korea Republic",S613)),"South Korea",
ISNUMBER(SEARCH("Germany FR",S613)),"FR Germany",
ISNUMBER(SEARCH("West Germany",S613)),"FR Germany",
ISNUMBER(SEARCH("Germany DR",S613)),"DR Germany",
ISNUMBER(SEARCH("Korea DPR",S613)),"North Korea",
ISNUMBER(SEARCH("China PR",S613)),"China",
ISNUMBER(SEARCH("IR Iran",S613)),"Iran",
ISNUMBER(SEARCH("Congo DR",S613)),"Democratic Republic of the Congo",
ISNUMBER(SEARCH("DR Congo",S613)),"Democratic Republic of the Congo",
ISNUMBER(SEARCH("German DR",S613)),"DR Germany",
ISNUMBER(SEARCH("rn""&gt;United Arab Emirates",S613)),"United Arab Emirates",
ISNUMBER(SEARCH("rn""&gt;Republic of Ireland",S613)),"Ireland",
ISNUMBER(SEARCH("rn""&gt;Bosnia and Herzegovina",S613)),"Bosnia and Herzegovina",
ISNUMBER(SEARCH("rn""&gt;Trinidad and Tobago",S613)),"Trinidad and Tobago",
ISNUMBER(SEARCH("rn""&gt;Serbia and Montenegro",S613)),"Serbia and Montenegro",
ISNUMBER(SEARCH(_xlfn.UNICHAR(65533),S613)),"Côte d'Ivoire",
TRUE,""
)</f>
        <v/>
      </c>
      <c r="W613" s="30" t="str">
        <f t="shared" si="57"/>
        <v>Ghana</v>
      </c>
      <c r="Z613" s="40" t="str">
        <v>La Beaujoire</v>
      </c>
      <c r="AA613" s="40" t="str" cm="1">
        <f t="array" ref="AA613">IFERROR(_xlfn.XLOOKUP(Z613,_xlfn.ANCHORARRAY(Z$31),AA$31:AA$37),Z613)</f>
        <v>La Beaujoire</v>
      </c>
      <c r="AB613" s="42" t="str">
        <v xml:space="preserve">Nantes </v>
      </c>
      <c r="AC613" s="89" t="str">
        <f t="shared" si="53"/>
        <v xml:space="preserve">Nantes </v>
      </c>
      <c r="AE613" s="42">
        <v>1998</v>
      </c>
      <c r="AK613" s="42">
        <v>1</v>
      </c>
      <c r="AL613" s="42">
        <v>0</v>
      </c>
      <c r="AW613" s="89" t="str">
        <v>GROUP_STAGE</v>
      </c>
      <c r="BE613" s="43" t="str">
        <f>IF(OR(DATA_CLEANED!AL604="",DATA_CLEANED!AM604=""),"MANQUANT",IF(OR(NOT(ISNUMBER(DATA_CLEANED!AL604)),NOT(ISNUMBER(DATA_CLEANED!AM604))),"ENTREE INVALIDE",IF(OR(DATA_CLEANED!AL604&lt;0,DATA_CLEANED!AM604&lt;0),"SCORE NEGATIF","OK")))</f>
        <v>OK</v>
      </c>
      <c r="BF613" s="43" t="str">
        <f>IF(DATA_CLEANED!AK604&lt;&gt;DATA_CLEANED!AN604,"OK","ERREUR")</f>
        <v>OK</v>
      </c>
      <c r="BG613" s="43" t="str">
        <f>IF(DATA_CLEANED!AL604&gt;DATA_CLEANED!AM604,DATA_CLEANED!AK604,IF(AND(DATA_QUALITE!W5090="-",DATA_CLEANED!AM604=DATA_CLEANED!AL604),"MATCH NUL",IF(AND(DATA_QUALITE!V5090="-",DATA_QUALITE!U5090="AUCUNE"),DATA_QUALITE!T5090,IF(DATA_QUALITE!V5090&lt;&gt;"-",DATA_QUALITE!V5090,DATA_CLEANED!AN604))))</f>
        <v>England</v>
      </c>
      <c r="BH613" s="103" t="str">
        <f>IF(AND(BG613="MATCH NUL",DATA_CLEANED!AO604="-"),"MATCH_NUL",IF(ISNUMBER(SEARCH("win on penalties",W5090)),"WIN_BY_PENALTY",IF(ISNUMBER(SEARCH("win after extra time",W5090)),"WIN_BY_EXTRA_TIME",IF(ISNUMBER(SEARCH("Golden Goal",W5090)),"WIN_BY_GOLDEN_GOAL","WIN_BY_SCORE"))))</f>
        <v>WIN_BY_SCORE</v>
      </c>
      <c r="BI613" s="99" t="str">
        <f>IF(OR(BG613=DATA_CLEANED!AK604,BG613=DATA_CLEANED!AN604,BG613="MATCH NUL"),"OK","ERREUR")</f>
        <v>OK</v>
      </c>
    </row>
    <row r="614" spans="2:61">
      <c r="B614" s="75">
        <v>177</v>
      </c>
      <c r="C614" s="15" t="str">
        <v>Yusuf Abdurisag</v>
      </c>
      <c r="D614" s="15">
        <v>26</v>
      </c>
      <c r="E614" s="15" t="str">
        <v>Qatar</v>
      </c>
      <c r="F614" s="15" t="str">
        <v>RW</v>
      </c>
      <c r="G614" s="15" t="str">
        <v>Al-Wakrah</v>
      </c>
      <c r="H614" s="15">
        <v>15</v>
      </c>
      <c r="I614" s="15" t="str">
        <f t="shared" si="54"/>
        <v>177|Yusuf Abdurisag|26|Qatar|RW|Al-Wakrah|15</v>
      </c>
      <c r="J614" s="15" t="str">
        <f>IF(COUNTIF(I$438:I614,I614)&gt;1,"DOUBLON","OK")</f>
        <v>OK</v>
      </c>
      <c r="S614" s="30" t="str">
        <v>Ghana</v>
      </c>
      <c r="T614" s="30" t="str">
        <f t="shared" si="55"/>
        <v>OK</v>
      </c>
      <c r="U614" s="30" t="str">
        <f t="shared" si="56"/>
        <v>-</v>
      </c>
      <c r="V614" s="30" t="str" cm="1">
        <f t="array" ref="V614">_xlfn.IFS(
ISNUMBER(SEARCH("USA",S614)),"United States",
ISNUMBER(SEARCH("Republic of Korea",S614)),"South Korea",
ISNUMBER(SEARCH("Cape Verde",S614)),"Cabo Verde",
ISNUMBER(SEARCH("Czechia",S614)),"Czech Republic",
ISNUMBER(SEARCH("Türkiye",S614)),"Turkey",
ISNUMBER(SEARCH("Ivory Coast",S614)),"Côte d'Ivoire",
ISNUMBER(SEARCH("Korea Republic",S614)),"South Korea",
ISNUMBER(SEARCH("Germany FR",S614)),"FR Germany",
ISNUMBER(SEARCH("West Germany",S614)),"FR Germany",
ISNUMBER(SEARCH("Germany DR",S614)),"DR Germany",
ISNUMBER(SEARCH("Korea DPR",S614)),"North Korea",
ISNUMBER(SEARCH("China PR",S614)),"China",
ISNUMBER(SEARCH("IR Iran",S614)),"Iran",
ISNUMBER(SEARCH("Congo DR",S614)),"Democratic Republic of the Congo",
ISNUMBER(SEARCH("DR Congo",S614)),"Democratic Republic of the Congo",
ISNUMBER(SEARCH("German DR",S614)),"DR Germany",
ISNUMBER(SEARCH("rn""&gt;United Arab Emirates",S614)),"United Arab Emirates",
ISNUMBER(SEARCH("rn""&gt;Republic of Ireland",S614)),"Ireland",
ISNUMBER(SEARCH("rn""&gt;Bosnia and Herzegovina",S614)),"Bosnia and Herzegovina",
ISNUMBER(SEARCH("rn""&gt;Trinidad and Tobago",S614)),"Trinidad and Tobago",
ISNUMBER(SEARCH("rn""&gt;Serbia and Montenegro",S614)),"Serbia and Montenegro",
ISNUMBER(SEARCH(_xlfn.UNICHAR(65533),S614)),"Côte d'Ivoire",
TRUE,""
)</f>
        <v/>
      </c>
      <c r="W614" s="30" t="str">
        <f t="shared" si="57"/>
        <v>Ghana</v>
      </c>
      <c r="Z614" s="40" t="str">
        <v>Stade V�lodrome</v>
      </c>
      <c r="AA614" s="40" t="str" cm="1">
        <f t="array" ref="AA614">IFERROR(_xlfn.XLOOKUP(Z614,_xlfn.ANCHORARRAY(Z$31),AA$31:AA$37),Z614)</f>
        <v>Stade Vélodrome</v>
      </c>
      <c r="AB614" s="42" t="str">
        <v xml:space="preserve">Marseilles </v>
      </c>
      <c r="AC614" s="89" t="str">
        <f t="shared" si="53"/>
        <v xml:space="preserve">Marseilles </v>
      </c>
      <c r="AE614" s="42">
        <v>1998</v>
      </c>
      <c r="AK614" s="42">
        <v>2</v>
      </c>
      <c r="AL614" s="42">
        <v>0</v>
      </c>
      <c r="AW614" s="89" t="str">
        <v>GROUP_STAGE</v>
      </c>
      <c r="BE614" s="43" t="str">
        <f>IF(OR(DATA_CLEANED!AL605="",DATA_CLEANED!AM605=""),"MANQUANT",IF(OR(NOT(ISNUMBER(DATA_CLEANED!AL605)),NOT(ISNUMBER(DATA_CLEANED!AM605))),"ENTREE INVALIDE",IF(OR(DATA_CLEANED!AL605&lt;0,DATA_CLEANED!AM605&lt;0),"SCORE NEGATIF","OK")))</f>
        <v>OK</v>
      </c>
      <c r="BF614" s="43" t="str">
        <f>IF(DATA_CLEANED!AK605&lt;&gt;DATA_CLEANED!AN605,"OK","ERREUR")</f>
        <v>OK</v>
      </c>
      <c r="BG614" s="43" t="str">
        <f>IF(DATA_CLEANED!AL605&gt;DATA_CLEANED!AM605,DATA_CLEANED!AK605,IF(AND(DATA_QUALITE!W5091="-",DATA_CLEANED!AM605=DATA_CLEANED!AL605),"MATCH NUL",IF(AND(DATA_QUALITE!V5091="-",DATA_QUALITE!U5091="AUCUNE"),DATA_QUALITE!T5091,IF(DATA_QUALITE!V5091&lt;&gt;"-",DATA_QUALITE!V5091,DATA_CLEANED!AN605))))</f>
        <v>Spain</v>
      </c>
      <c r="BH614" s="103" t="str">
        <f>IF(AND(BG614="MATCH NUL",DATA_CLEANED!AO605="-"),"MATCH_NUL",IF(ISNUMBER(SEARCH("win on penalties",W5091)),"WIN_BY_PENALTY",IF(ISNUMBER(SEARCH("win after extra time",W5091)),"WIN_BY_EXTRA_TIME",IF(ISNUMBER(SEARCH("Golden Goal",W5091)),"WIN_BY_GOLDEN_GOAL","WIN_BY_SCORE"))))</f>
        <v>WIN_BY_SCORE</v>
      </c>
      <c r="BI614" s="99" t="str">
        <f>IF(OR(BG614=DATA_CLEANED!AK605,BG614=DATA_CLEANED!AN605,BG614="MATCH NUL"),"OK","ERREUR")</f>
        <v>OK</v>
      </c>
    </row>
    <row r="615" spans="2:61">
      <c r="B615" s="75">
        <v>178</v>
      </c>
      <c r="C615" s="15" t="str">
        <v>Tahsin Jamshid</v>
      </c>
      <c r="D615" s="15">
        <v>19</v>
      </c>
      <c r="E615" s="15" t="str">
        <v>Qatar</v>
      </c>
      <c r="F615" s="15" t="str">
        <v>RW</v>
      </c>
      <c r="G615" s="15" t="str">
        <v>Al-Duhail</v>
      </c>
      <c r="H615" s="15">
        <v>24</v>
      </c>
      <c r="I615" s="15" t="str">
        <f t="shared" si="54"/>
        <v>178|Tahsin Jamshid|19|Qatar|RW|Al-Duhail|24</v>
      </c>
      <c r="J615" s="15" t="str">
        <f>IF(COUNTIF(I$438:I615,I615)&gt;1,"DOUBLON","OK")</f>
        <v>OK</v>
      </c>
      <c r="S615" s="30" t="str">
        <v>Ghana</v>
      </c>
      <c r="T615" s="30" t="str">
        <f t="shared" si="55"/>
        <v>OK</v>
      </c>
      <c r="U615" s="30" t="str">
        <f t="shared" si="56"/>
        <v>-</v>
      </c>
      <c r="V615" s="30" t="str" cm="1">
        <f t="array" ref="V615">_xlfn.IFS(
ISNUMBER(SEARCH("USA",S615)),"United States",
ISNUMBER(SEARCH("Republic of Korea",S615)),"South Korea",
ISNUMBER(SEARCH("Cape Verde",S615)),"Cabo Verde",
ISNUMBER(SEARCH("Czechia",S615)),"Czech Republic",
ISNUMBER(SEARCH("Türkiye",S615)),"Turkey",
ISNUMBER(SEARCH("Ivory Coast",S615)),"Côte d'Ivoire",
ISNUMBER(SEARCH("Korea Republic",S615)),"South Korea",
ISNUMBER(SEARCH("Germany FR",S615)),"FR Germany",
ISNUMBER(SEARCH("West Germany",S615)),"FR Germany",
ISNUMBER(SEARCH("Germany DR",S615)),"DR Germany",
ISNUMBER(SEARCH("Korea DPR",S615)),"North Korea",
ISNUMBER(SEARCH("China PR",S615)),"China",
ISNUMBER(SEARCH("IR Iran",S615)),"Iran",
ISNUMBER(SEARCH("Congo DR",S615)),"Democratic Republic of the Congo",
ISNUMBER(SEARCH("DR Congo",S615)),"Democratic Republic of the Congo",
ISNUMBER(SEARCH("German DR",S615)),"DR Germany",
ISNUMBER(SEARCH("rn""&gt;United Arab Emirates",S615)),"United Arab Emirates",
ISNUMBER(SEARCH("rn""&gt;Republic of Ireland",S615)),"Ireland",
ISNUMBER(SEARCH("rn""&gt;Bosnia and Herzegovina",S615)),"Bosnia and Herzegovina",
ISNUMBER(SEARCH("rn""&gt;Trinidad and Tobago",S615)),"Trinidad and Tobago",
ISNUMBER(SEARCH("rn""&gt;Serbia and Montenegro",S615)),"Serbia and Montenegro",
ISNUMBER(SEARCH(_xlfn.UNICHAR(65533),S615)),"Côte d'Ivoire",
TRUE,""
)</f>
        <v/>
      </c>
      <c r="W615" s="30" t="str">
        <f t="shared" si="57"/>
        <v>Ghana</v>
      </c>
      <c r="Z615" s="40" t="str">
        <v>Stade de Gerland</v>
      </c>
      <c r="AA615" s="40" t="str" cm="1">
        <f t="array" ref="AA615">IFERROR(_xlfn.XLOOKUP(Z615,_xlfn.ANCHORARRAY(Z$31),AA$31:AA$37),Z615)</f>
        <v>Stade de Gerland</v>
      </c>
      <c r="AB615" s="42" t="str">
        <v xml:space="preserve">Lyon </v>
      </c>
      <c r="AC615" s="89" t="str">
        <f t="shared" si="53"/>
        <v xml:space="preserve">Lyon </v>
      </c>
      <c r="AE615" s="42">
        <v>1998</v>
      </c>
      <c r="AK615" s="42">
        <v>1</v>
      </c>
      <c r="AL615" s="42">
        <v>1</v>
      </c>
      <c r="AW615" s="89" t="str">
        <v>GROUP_STAGE</v>
      </c>
      <c r="BE615" s="43" t="str">
        <f>IF(OR(DATA_CLEANED!AL606="",DATA_CLEANED!AM606=""),"MANQUANT",IF(OR(NOT(ISNUMBER(DATA_CLEANED!AL606)),NOT(ISNUMBER(DATA_CLEANED!AM606))),"ENTREE INVALIDE",IF(OR(DATA_CLEANED!AL606&lt;0,DATA_CLEANED!AM606&lt;0),"SCORE NEGATIF","OK")))</f>
        <v>OK</v>
      </c>
      <c r="BF615" s="43" t="str">
        <f>IF(DATA_CLEANED!AK606&lt;&gt;DATA_CLEANED!AN606,"OK","ERREUR")</f>
        <v>OK</v>
      </c>
      <c r="BG615" s="43" t="str">
        <f>IF(DATA_CLEANED!AL606&gt;DATA_CLEANED!AM606,DATA_CLEANED!AK606,IF(AND(DATA_QUALITE!W5092="-",DATA_CLEANED!AM606=DATA_CLEANED!AL606),"MATCH NUL",IF(AND(DATA_QUALITE!V5092="-",DATA_QUALITE!U5092="AUCUNE"),DATA_QUALITE!T5092,IF(DATA_QUALITE!V5092&lt;&gt;"-",DATA_QUALITE!V5092,DATA_CLEANED!AN606))))</f>
        <v>South Africa</v>
      </c>
      <c r="BH615" s="103" t="str">
        <f>IF(AND(BG615="MATCH NUL",DATA_CLEANED!AO606="-"),"MATCH_NUL",IF(ISNUMBER(SEARCH("win on penalties",W5092)),"WIN_BY_PENALTY",IF(ISNUMBER(SEARCH("win after extra time",W5092)),"WIN_BY_EXTRA_TIME",IF(ISNUMBER(SEARCH("Golden Goal",W5092)),"WIN_BY_GOLDEN_GOAL","WIN_BY_SCORE"))))</f>
        <v>WIN_BY_SCORE</v>
      </c>
      <c r="BI615" s="99" t="str">
        <f>IF(OR(BG615=DATA_CLEANED!AK606,BG615=DATA_CLEANED!AN606,BG615="MATCH NUL"),"OK","ERREUR")</f>
        <v>OK</v>
      </c>
    </row>
    <row r="616" spans="2:61">
      <c r="B616" s="75">
        <v>179</v>
      </c>
      <c r="C616" s="15" t="str">
        <v>Ahmed Alaaeldin</v>
      </c>
      <c r="D616" s="15">
        <v>33</v>
      </c>
      <c r="E616" s="15" t="str">
        <v>Qatar</v>
      </c>
      <c r="F616" s="15" t="str">
        <v>ST</v>
      </c>
      <c r="G616" s="15" t="str">
        <v>Al-Rayyan</v>
      </c>
      <c r="H616" s="15">
        <v>7</v>
      </c>
      <c r="I616" s="15" t="str">
        <f t="shared" si="54"/>
        <v>179|Ahmed Alaaeldin|33|Qatar|ST|Al-Rayyan|7</v>
      </c>
      <c r="J616" s="15" t="str">
        <f>IF(COUNTIF(I$438:I616,I616)&gt;1,"DOUBLON","OK")</f>
        <v>OK</v>
      </c>
      <c r="S616" s="30" t="str">
        <v>Ghana</v>
      </c>
      <c r="T616" s="30" t="str">
        <f t="shared" si="55"/>
        <v>OK</v>
      </c>
      <c r="U616" s="30" t="str">
        <f t="shared" si="56"/>
        <v>-</v>
      </c>
      <c r="V616" s="30" t="str" cm="1">
        <f t="array" ref="V616">_xlfn.IFS(
ISNUMBER(SEARCH("USA",S616)),"United States",
ISNUMBER(SEARCH("Republic of Korea",S616)),"South Korea",
ISNUMBER(SEARCH("Cape Verde",S616)),"Cabo Verde",
ISNUMBER(SEARCH("Czechia",S616)),"Czech Republic",
ISNUMBER(SEARCH("Türkiye",S616)),"Turkey",
ISNUMBER(SEARCH("Ivory Coast",S616)),"Côte d'Ivoire",
ISNUMBER(SEARCH("Korea Republic",S616)),"South Korea",
ISNUMBER(SEARCH("Germany FR",S616)),"FR Germany",
ISNUMBER(SEARCH("West Germany",S616)),"FR Germany",
ISNUMBER(SEARCH("Germany DR",S616)),"DR Germany",
ISNUMBER(SEARCH("Korea DPR",S616)),"North Korea",
ISNUMBER(SEARCH("China PR",S616)),"China",
ISNUMBER(SEARCH("IR Iran",S616)),"Iran",
ISNUMBER(SEARCH("Congo DR",S616)),"Democratic Republic of the Congo",
ISNUMBER(SEARCH("DR Congo",S616)),"Democratic Republic of the Congo",
ISNUMBER(SEARCH("German DR",S616)),"DR Germany",
ISNUMBER(SEARCH("rn""&gt;United Arab Emirates",S616)),"United Arab Emirates",
ISNUMBER(SEARCH("rn""&gt;Republic of Ireland",S616)),"Ireland",
ISNUMBER(SEARCH("rn""&gt;Bosnia and Herzegovina",S616)),"Bosnia and Herzegovina",
ISNUMBER(SEARCH("rn""&gt;Trinidad and Tobago",S616)),"Trinidad and Tobago",
ISNUMBER(SEARCH("rn""&gt;Serbia and Montenegro",S616)),"Serbia and Montenegro",
ISNUMBER(SEARCH(_xlfn.UNICHAR(65533),S616)),"Côte d'Ivoire",
TRUE,""
)</f>
        <v/>
      </c>
      <c r="W616" s="30" t="str">
        <f t="shared" si="57"/>
        <v>Ghana</v>
      </c>
      <c r="Z616" s="40" t="str">
        <v>Stade V�lodrome</v>
      </c>
      <c r="AA616" s="40" t="str" cm="1">
        <f t="array" ref="AA616">IFERROR(_xlfn.XLOOKUP(Z616,_xlfn.ANCHORARRAY(Z$31),AA$31:AA$37),Z616)</f>
        <v>Stade Vélodrome</v>
      </c>
      <c r="AB616" s="42" t="str">
        <v xml:space="preserve">Marseilles </v>
      </c>
      <c r="AC616" s="89" t="str">
        <f t="shared" si="53"/>
        <v xml:space="preserve">Marseilles </v>
      </c>
      <c r="AE616" s="42">
        <v>1998</v>
      </c>
      <c r="AK616" s="42">
        <v>3</v>
      </c>
      <c r="AL616" s="42">
        <v>0</v>
      </c>
      <c r="AW616" s="89" t="str">
        <v>GROUP_STAGE</v>
      </c>
      <c r="BE616" s="43" t="str">
        <f>IF(OR(DATA_CLEANED!AL607="",DATA_CLEANED!AM607=""),"MANQUANT",IF(OR(NOT(ISNUMBER(DATA_CLEANED!AL607)),NOT(ISNUMBER(DATA_CLEANED!AM607))),"ENTREE INVALIDE",IF(OR(DATA_CLEANED!AL607&lt;0,DATA_CLEANED!AM607&lt;0),"SCORE NEGATIF","OK")))</f>
        <v>OK</v>
      </c>
      <c r="BF616" s="43" t="str">
        <f>IF(DATA_CLEANED!AK607&lt;&gt;DATA_CLEANED!AN607,"OK","ERREUR")</f>
        <v>OK</v>
      </c>
      <c r="BG616" s="43" t="str">
        <f>IF(DATA_CLEANED!AL607&gt;DATA_CLEANED!AM607,DATA_CLEANED!AK607,IF(AND(DATA_QUALITE!W5093="-",DATA_CLEANED!AM607=DATA_CLEANED!AL607),"MATCH NUL",IF(AND(DATA_QUALITE!V5093="-",DATA_QUALITE!U5093="AUCUNE"),DATA_QUALITE!T5093,IF(DATA_QUALITE!V5093&lt;&gt;"-",DATA_QUALITE!V5093,DATA_CLEANED!AN607))))</f>
        <v>Brazil</v>
      </c>
      <c r="BH616" s="103" t="str">
        <f>IF(AND(BG616="MATCH NUL",DATA_CLEANED!AO607="-"),"MATCH_NUL",IF(ISNUMBER(SEARCH("win on penalties",W5093)),"WIN_BY_PENALTY",IF(ISNUMBER(SEARCH("win after extra time",W5093)),"WIN_BY_EXTRA_TIME",IF(ISNUMBER(SEARCH("Golden Goal",W5093)),"WIN_BY_GOLDEN_GOAL","WIN_BY_SCORE"))))</f>
        <v>WIN_BY_SCORE</v>
      </c>
      <c r="BI616" s="99" t="str">
        <f>IF(OR(BG616=DATA_CLEANED!AK607,BG616=DATA_CLEANED!AN607,BG616="MATCH NUL"),"OK","ERREUR")</f>
        <v>OK</v>
      </c>
    </row>
    <row r="617" spans="2:61">
      <c r="B617" s="75">
        <v>180</v>
      </c>
      <c r="C617" s="15" t="str">
        <v>Mohammed Muntari</v>
      </c>
      <c r="D617" s="15">
        <v>32</v>
      </c>
      <c r="E617" s="15" t="str">
        <v>Qatar</v>
      </c>
      <c r="F617" s="15" t="str">
        <v>ST</v>
      </c>
      <c r="G617" s="15" t="str">
        <v>Al-Gharafa</v>
      </c>
      <c r="H617" s="15">
        <v>9</v>
      </c>
      <c r="I617" s="15" t="str">
        <f t="shared" si="54"/>
        <v>180|Mohammed Muntari|32|Qatar|ST|Al-Gharafa|9</v>
      </c>
      <c r="J617" s="15" t="str">
        <f>IF(COUNTIF(I$438:I617,I617)&gt;1,"DOUBLON","OK")</f>
        <v>OK</v>
      </c>
      <c r="S617" s="30" t="str">
        <v>Chile</v>
      </c>
      <c r="T617" s="30" t="str">
        <f t="shared" si="55"/>
        <v>OK</v>
      </c>
      <c r="U617" s="30" t="str">
        <f t="shared" si="56"/>
        <v>-</v>
      </c>
      <c r="V617" s="30" t="str" cm="1">
        <f t="array" ref="V617">_xlfn.IFS(
ISNUMBER(SEARCH("USA",S617)),"United States",
ISNUMBER(SEARCH("Republic of Korea",S617)),"South Korea",
ISNUMBER(SEARCH("Cape Verde",S617)),"Cabo Verde",
ISNUMBER(SEARCH("Czechia",S617)),"Czech Republic",
ISNUMBER(SEARCH("Türkiye",S617)),"Turkey",
ISNUMBER(SEARCH("Ivory Coast",S617)),"Côte d'Ivoire",
ISNUMBER(SEARCH("Korea Republic",S617)),"South Korea",
ISNUMBER(SEARCH("Germany FR",S617)),"FR Germany",
ISNUMBER(SEARCH("West Germany",S617)),"FR Germany",
ISNUMBER(SEARCH("Germany DR",S617)),"DR Germany",
ISNUMBER(SEARCH("Korea DPR",S617)),"North Korea",
ISNUMBER(SEARCH("China PR",S617)),"China",
ISNUMBER(SEARCH("IR Iran",S617)),"Iran",
ISNUMBER(SEARCH("Congo DR",S617)),"Democratic Republic of the Congo",
ISNUMBER(SEARCH("DR Congo",S617)),"Democratic Republic of the Congo",
ISNUMBER(SEARCH("German DR",S617)),"DR Germany",
ISNUMBER(SEARCH("rn""&gt;United Arab Emirates",S617)),"United Arab Emirates",
ISNUMBER(SEARCH("rn""&gt;Republic of Ireland",S617)),"Ireland",
ISNUMBER(SEARCH("rn""&gt;Bosnia and Herzegovina",S617)),"Bosnia and Herzegovina",
ISNUMBER(SEARCH("rn""&gt;Trinidad and Tobago",S617)),"Trinidad and Tobago",
ISNUMBER(SEARCH("rn""&gt;Serbia and Montenegro",S617)),"Serbia and Montenegro",
ISNUMBER(SEARCH(_xlfn.UNICHAR(65533),S617)),"Côte d'Ivoire",
TRUE,""
)</f>
        <v/>
      </c>
      <c r="W617" s="30" t="str">
        <f t="shared" si="57"/>
        <v>Chile</v>
      </c>
      <c r="Z617" s="40" t="str">
        <v>Stade de France</v>
      </c>
      <c r="AA617" s="40" t="str" cm="1">
        <f t="array" ref="AA617">IFERROR(_xlfn.XLOOKUP(Z617,_xlfn.ANCHORARRAY(Z$31),AA$31:AA$37),Z617)</f>
        <v>Stade de France</v>
      </c>
      <c r="AB617" s="42" t="str">
        <v xml:space="preserve">Saint-Denis </v>
      </c>
      <c r="AC617" s="89" t="str">
        <f t="shared" ref="AC617:AC680" si="58">_xlfn.SINGLE(IFERROR(_xlfn.XLOOKUP(AB617,AB$31:AB$34,AC$31:AC$34),AB617))</f>
        <v xml:space="preserve">Saint-Denis </v>
      </c>
      <c r="AE617" s="42">
        <v>1998</v>
      </c>
      <c r="AK617" s="42">
        <v>1</v>
      </c>
      <c r="AL617" s="42">
        <v>1</v>
      </c>
      <c r="AW617" s="89" t="str">
        <v>GROUP_STAGE</v>
      </c>
      <c r="BE617" s="43" t="str">
        <f>IF(OR(DATA_CLEANED!AL608="",DATA_CLEANED!AM608=""),"MANQUANT",IF(OR(NOT(ISNUMBER(DATA_CLEANED!AL608)),NOT(ISNUMBER(DATA_CLEANED!AM608))),"ENTREE INVALIDE",IF(OR(DATA_CLEANED!AL608&lt;0,DATA_CLEANED!AM608&lt;0),"SCORE NEGATIF","OK")))</f>
        <v>OK</v>
      </c>
      <c r="BF617" s="43" t="str">
        <f>IF(DATA_CLEANED!AK608&lt;&gt;DATA_CLEANED!AN608,"OK","ERREUR")</f>
        <v>OK</v>
      </c>
      <c r="BG617" s="43" t="str">
        <f>IF(DATA_CLEANED!AL608&gt;DATA_CLEANED!AM608,DATA_CLEANED!AK608,IF(AND(DATA_QUALITE!W5094="-",DATA_CLEANED!AM608=DATA_CLEANED!AL608),"MATCH NUL",IF(AND(DATA_QUALITE!V5094="-",DATA_QUALITE!U5094="AUCUNE"),DATA_QUALITE!T5094,IF(DATA_QUALITE!V5094&lt;&gt;"-",DATA_QUALITE!V5094,DATA_CLEANED!AN608))))</f>
        <v>Croatia</v>
      </c>
      <c r="BH617" s="103" t="str">
        <f>IF(AND(BG617="MATCH NUL",DATA_CLEANED!AO608="-"),"MATCH_NUL",IF(ISNUMBER(SEARCH("win on penalties",W5094)),"WIN_BY_PENALTY",IF(ISNUMBER(SEARCH("win after extra time",W5094)),"WIN_BY_EXTRA_TIME",IF(ISNUMBER(SEARCH("Golden Goal",W5094)),"WIN_BY_GOLDEN_GOAL","WIN_BY_SCORE"))))</f>
        <v>WIN_BY_SCORE</v>
      </c>
      <c r="BI617" s="99" t="str">
        <f>IF(OR(BG617=DATA_CLEANED!AK608,BG617=DATA_CLEANED!AN608,BG617="MATCH NUL"),"OK","ERREUR")</f>
        <v>OK</v>
      </c>
    </row>
    <row r="618" spans="2:61">
      <c r="B618" s="75">
        <v>181</v>
      </c>
      <c r="C618" s="15" t="str">
        <v>Almoez Ali</v>
      </c>
      <c r="D618" s="15">
        <v>29</v>
      </c>
      <c r="E618" s="15" t="str">
        <v>Qatar</v>
      </c>
      <c r="F618" s="15" t="str">
        <v>ST</v>
      </c>
      <c r="G618" s="15" t="str">
        <v>Al-Duhail</v>
      </c>
      <c r="H618" s="15">
        <v>19</v>
      </c>
      <c r="I618" s="15" t="str">
        <f t="shared" si="54"/>
        <v>181|Almoez Ali|29|Qatar|ST|Al-Duhail|19</v>
      </c>
      <c r="J618" s="15" t="str">
        <f>IF(COUNTIF(I$438:I618,I618)&gt;1,"DOUBLON","OK")</f>
        <v>OK</v>
      </c>
      <c r="S618" s="30" t="str">
        <v>Chile</v>
      </c>
      <c r="T618" s="30" t="str">
        <f t="shared" si="55"/>
        <v>OK</v>
      </c>
      <c r="U618" s="30" t="str">
        <f t="shared" si="56"/>
        <v>-</v>
      </c>
      <c r="V618" s="30" t="str" cm="1">
        <f t="array" ref="V618">_xlfn.IFS(
ISNUMBER(SEARCH("USA",S618)),"United States",
ISNUMBER(SEARCH("Republic of Korea",S618)),"South Korea",
ISNUMBER(SEARCH("Cape Verde",S618)),"Cabo Verde",
ISNUMBER(SEARCH("Czechia",S618)),"Czech Republic",
ISNUMBER(SEARCH("Türkiye",S618)),"Turkey",
ISNUMBER(SEARCH("Ivory Coast",S618)),"Côte d'Ivoire",
ISNUMBER(SEARCH("Korea Republic",S618)),"South Korea",
ISNUMBER(SEARCH("Germany FR",S618)),"FR Germany",
ISNUMBER(SEARCH("West Germany",S618)),"FR Germany",
ISNUMBER(SEARCH("Germany DR",S618)),"DR Germany",
ISNUMBER(SEARCH("Korea DPR",S618)),"North Korea",
ISNUMBER(SEARCH("China PR",S618)),"China",
ISNUMBER(SEARCH("IR Iran",S618)),"Iran",
ISNUMBER(SEARCH("Congo DR",S618)),"Democratic Republic of the Congo",
ISNUMBER(SEARCH("DR Congo",S618)),"Democratic Republic of the Congo",
ISNUMBER(SEARCH("German DR",S618)),"DR Germany",
ISNUMBER(SEARCH("rn""&gt;United Arab Emirates",S618)),"United Arab Emirates",
ISNUMBER(SEARCH("rn""&gt;Republic of Ireland",S618)),"Ireland",
ISNUMBER(SEARCH("rn""&gt;Bosnia and Herzegovina",S618)),"Bosnia and Herzegovina",
ISNUMBER(SEARCH("rn""&gt;Trinidad and Tobago",S618)),"Trinidad and Tobago",
ISNUMBER(SEARCH("rn""&gt;Serbia and Montenegro",S618)),"Serbia and Montenegro",
ISNUMBER(SEARCH(_xlfn.UNICHAR(65533),S618)),"Côte d'Ivoire",
TRUE,""
)</f>
        <v/>
      </c>
      <c r="W618" s="30" t="str">
        <f t="shared" si="57"/>
        <v>Chile</v>
      </c>
      <c r="Z618" s="40" t="str">
        <v>Parc des Princes</v>
      </c>
      <c r="AA618" s="40" t="str" cm="1">
        <f t="array" ref="AA618">IFERROR(_xlfn.XLOOKUP(Z618,_xlfn.ANCHORARRAY(Z$31),AA$31:AA$37),Z618)</f>
        <v>Parc des Princes</v>
      </c>
      <c r="AB618" s="42" t="str">
        <v xml:space="preserve">Paris </v>
      </c>
      <c r="AC618" s="89" t="str">
        <f t="shared" si="58"/>
        <v xml:space="preserve">Paris </v>
      </c>
      <c r="AE618" s="42">
        <v>1998</v>
      </c>
      <c r="AK618" s="42">
        <v>3</v>
      </c>
      <c r="AL618" s="42">
        <v>0</v>
      </c>
      <c r="AW618" s="89" t="str">
        <v>GROUP_STAGE</v>
      </c>
      <c r="BE618" s="43" t="str">
        <f>IF(OR(DATA_CLEANED!AL609="",DATA_CLEANED!AM609=""),"MANQUANT",IF(OR(NOT(ISNUMBER(DATA_CLEANED!AL609)),NOT(ISNUMBER(DATA_CLEANED!AM609))),"ENTREE INVALIDE",IF(OR(DATA_CLEANED!AL609&lt;0,DATA_CLEANED!AM609&lt;0),"SCORE NEGATIF","OK")))</f>
        <v>OK</v>
      </c>
      <c r="BF618" s="43" t="str">
        <f>IF(DATA_CLEANED!AK609&lt;&gt;DATA_CLEANED!AN609,"OK","ERREUR")</f>
        <v>OK</v>
      </c>
      <c r="BG618" s="43" t="str">
        <f>IF(DATA_CLEANED!AL609&gt;DATA_CLEANED!AM609,DATA_CLEANED!AK609,IF(AND(DATA_QUALITE!W5095="-",DATA_CLEANED!AM609=DATA_CLEANED!AL609),"MATCH NUL",IF(AND(DATA_QUALITE!V5095="-",DATA_QUALITE!U5095="AUCUNE"),DATA_QUALITE!T5095,IF(DATA_QUALITE!V5095&lt;&gt;"-",DATA_QUALITE!V5095,DATA_CLEANED!AN609))))</f>
        <v>MATCH NUL</v>
      </c>
      <c r="BH618" s="103" t="str">
        <f>IF(AND(BG618="MATCH NUL",DATA_CLEANED!AO609="-"),"MATCH_NUL",IF(ISNUMBER(SEARCH("win on penalties",W5095)),"WIN_BY_PENALTY",IF(ISNUMBER(SEARCH("win after extra time",W5095)),"WIN_BY_EXTRA_TIME",IF(ISNUMBER(SEARCH("Golden Goal",W5095)),"WIN_BY_GOLDEN_GOAL","WIN_BY_SCORE"))))</f>
        <v>MATCH_NUL</v>
      </c>
      <c r="BI618" s="99" t="str">
        <f>IF(OR(BG618=DATA_CLEANED!AK609,BG618=DATA_CLEANED!AN609,BG618="MATCH NUL"),"OK","ERREUR")</f>
        <v>OK</v>
      </c>
    </row>
    <row r="619" spans="2:61">
      <c r="B619" s="75">
        <v>182</v>
      </c>
      <c r="C619" s="15" t="str">
        <v>Mohamed Manai</v>
      </c>
      <c r="D619" s="15">
        <v>23</v>
      </c>
      <c r="E619" s="15" t="str">
        <v>Qatar</v>
      </c>
      <c r="F619" s="15" t="str">
        <v>ST</v>
      </c>
      <c r="G619" s="15" t="str">
        <v>Al-Shamal</v>
      </c>
      <c r="H619" s="15">
        <v>26</v>
      </c>
      <c r="I619" s="15" t="str">
        <f t="shared" si="54"/>
        <v>182|Mohamed Manai|23|Qatar|ST|Al-Shamal|26</v>
      </c>
      <c r="J619" s="15" t="str">
        <f>IF(COUNTIF(I$438:I619,I619)&gt;1,"DOUBLON","OK")</f>
        <v>OK</v>
      </c>
      <c r="S619" s="30" t="str">
        <v>Chile</v>
      </c>
      <c r="T619" s="30" t="str">
        <f t="shared" si="55"/>
        <v>OK</v>
      </c>
      <c r="U619" s="30" t="str">
        <f t="shared" si="56"/>
        <v>-</v>
      </c>
      <c r="V619" s="30" t="str" cm="1">
        <f t="array" ref="V619">_xlfn.IFS(
ISNUMBER(SEARCH("USA",S619)),"United States",
ISNUMBER(SEARCH("Republic of Korea",S619)),"South Korea",
ISNUMBER(SEARCH("Cape Verde",S619)),"Cabo Verde",
ISNUMBER(SEARCH("Czechia",S619)),"Czech Republic",
ISNUMBER(SEARCH("Türkiye",S619)),"Turkey",
ISNUMBER(SEARCH("Ivory Coast",S619)),"Côte d'Ivoire",
ISNUMBER(SEARCH("Korea Republic",S619)),"South Korea",
ISNUMBER(SEARCH("Germany FR",S619)),"FR Germany",
ISNUMBER(SEARCH("West Germany",S619)),"FR Germany",
ISNUMBER(SEARCH("Germany DR",S619)),"DR Germany",
ISNUMBER(SEARCH("Korea DPR",S619)),"North Korea",
ISNUMBER(SEARCH("China PR",S619)),"China",
ISNUMBER(SEARCH("IR Iran",S619)),"Iran",
ISNUMBER(SEARCH("Congo DR",S619)),"Democratic Republic of the Congo",
ISNUMBER(SEARCH("DR Congo",S619)),"Democratic Republic of the Congo",
ISNUMBER(SEARCH("German DR",S619)),"DR Germany",
ISNUMBER(SEARCH("rn""&gt;United Arab Emirates",S619)),"United Arab Emirates",
ISNUMBER(SEARCH("rn""&gt;Republic of Ireland",S619)),"Ireland",
ISNUMBER(SEARCH("rn""&gt;Bosnia and Herzegovina",S619)),"Bosnia and Herzegovina",
ISNUMBER(SEARCH("rn""&gt;Trinidad and Tobago",S619)),"Trinidad and Tobago",
ISNUMBER(SEARCH("rn""&gt;Serbia and Montenegro",S619)),"Serbia and Montenegro",
ISNUMBER(SEARCH(_xlfn.UNICHAR(65533),S619)),"Côte d'Ivoire",
TRUE,""
)</f>
        <v/>
      </c>
      <c r="W619" s="30" t="str">
        <f t="shared" si="57"/>
        <v>Chile</v>
      </c>
      <c r="Z619" s="40" t="str">
        <v>Stade de France</v>
      </c>
      <c r="AA619" s="40" t="str" cm="1">
        <f t="array" ref="AA619">IFERROR(_xlfn.XLOOKUP(Z619,_xlfn.ANCHORARRAY(Z$31),AA$31:AA$37),Z619)</f>
        <v>Stade de France</v>
      </c>
      <c r="AB619" s="42" t="str">
        <v xml:space="preserve">Saint-Denis </v>
      </c>
      <c r="AC619" s="89" t="str">
        <f t="shared" si="58"/>
        <v xml:space="preserve">Saint-Denis </v>
      </c>
      <c r="AE619" s="42">
        <v>1998</v>
      </c>
      <c r="AK619" s="42">
        <v>1</v>
      </c>
      <c r="AL619" s="42">
        <v>1</v>
      </c>
      <c r="AW619" s="89" t="str">
        <v>GROUP_STAGE</v>
      </c>
      <c r="BE619" s="43" t="str">
        <f>IF(OR(DATA_CLEANED!AL610="",DATA_CLEANED!AM610=""),"MANQUANT",IF(OR(NOT(ISNUMBER(DATA_CLEANED!AL610)),NOT(ISNUMBER(DATA_CLEANED!AM610))),"ENTREE INVALIDE",IF(OR(DATA_CLEANED!AL610&lt;0,DATA_CLEANED!AM610&lt;0),"SCORE NEGATIF","OK")))</f>
        <v>OK</v>
      </c>
      <c r="BF619" s="43" t="str">
        <f>IF(DATA_CLEANED!AK610&lt;&gt;DATA_CLEANED!AN610,"OK","ERREUR")</f>
        <v>OK</v>
      </c>
      <c r="BG619" s="43" t="str">
        <f>IF(DATA_CLEANED!AL610&gt;DATA_CLEANED!AM610,DATA_CLEANED!AK610,IF(AND(DATA_QUALITE!W5096="-",DATA_CLEANED!AM610=DATA_CLEANED!AL610),"MATCH NUL",IF(AND(DATA_QUALITE!V5096="-",DATA_QUALITE!U5096="AUCUNE"),DATA_QUALITE!T5096,IF(DATA_QUALITE!V5096&lt;&gt;"-",DATA_QUALITE!V5096,DATA_CLEANED!AN610))))</f>
        <v>Japan</v>
      </c>
      <c r="BH619" s="103" t="str">
        <f>IF(AND(BG619="MATCH NUL",DATA_CLEANED!AO610="-"),"MATCH_NUL",IF(ISNUMBER(SEARCH("win on penalties",W5096)),"WIN_BY_PENALTY",IF(ISNUMBER(SEARCH("win after extra time",W5096)),"WIN_BY_EXTRA_TIME",IF(ISNUMBER(SEARCH("Golden Goal",W5096)),"WIN_BY_GOLDEN_GOAL","WIN_BY_SCORE"))))</f>
        <v>WIN_BY_SCORE</v>
      </c>
      <c r="BI619" s="99" t="str">
        <f>IF(OR(BG619=DATA_CLEANED!AK610,BG619=DATA_CLEANED!AN610,BG619="MATCH NUL"),"OK","ERREUR")</f>
        <v>OK</v>
      </c>
    </row>
    <row r="620" spans="2:61">
      <c r="B620" s="75">
        <v>183</v>
      </c>
      <c r="C620" s="15" t="str">
        <v>Gregor Kobel</v>
      </c>
      <c r="D620" s="15">
        <v>28</v>
      </c>
      <c r="E620" s="15" t="str">
        <v>Switzerland</v>
      </c>
      <c r="F620" s="15" t="str">
        <v>GK</v>
      </c>
      <c r="G620" s="15" t="str">
        <v>Borussia Dortmund</v>
      </c>
      <c r="H620" s="15">
        <v>1</v>
      </c>
      <c r="I620" s="15" t="str">
        <f t="shared" si="54"/>
        <v>183|Gregor Kobel|28|Switzerland|GK|Borussia Dortmund|1</v>
      </c>
      <c r="J620" s="15" t="str">
        <f>IF(COUNTIF(I$438:I620,I620)&gt;1,"DOUBLON","OK")</f>
        <v>OK</v>
      </c>
      <c r="S620" s="30" t="str">
        <v>Chile</v>
      </c>
      <c r="T620" s="30" t="str">
        <f t="shared" si="55"/>
        <v>OK</v>
      </c>
      <c r="U620" s="30" t="str">
        <f t="shared" si="56"/>
        <v>-</v>
      </c>
      <c r="V620" s="30" t="str" cm="1">
        <f t="array" ref="V620">_xlfn.IFS(
ISNUMBER(SEARCH("USA",S620)),"United States",
ISNUMBER(SEARCH("Republic of Korea",S620)),"South Korea",
ISNUMBER(SEARCH("Cape Verde",S620)),"Cabo Verde",
ISNUMBER(SEARCH("Czechia",S620)),"Czech Republic",
ISNUMBER(SEARCH("Türkiye",S620)),"Turkey",
ISNUMBER(SEARCH("Ivory Coast",S620)),"Côte d'Ivoire",
ISNUMBER(SEARCH("Korea Republic",S620)),"South Korea",
ISNUMBER(SEARCH("Germany FR",S620)),"FR Germany",
ISNUMBER(SEARCH("West Germany",S620)),"FR Germany",
ISNUMBER(SEARCH("Germany DR",S620)),"DR Germany",
ISNUMBER(SEARCH("Korea DPR",S620)),"North Korea",
ISNUMBER(SEARCH("China PR",S620)),"China",
ISNUMBER(SEARCH("IR Iran",S620)),"Iran",
ISNUMBER(SEARCH("Congo DR",S620)),"Democratic Republic of the Congo",
ISNUMBER(SEARCH("DR Congo",S620)),"Democratic Republic of the Congo",
ISNUMBER(SEARCH("German DR",S620)),"DR Germany",
ISNUMBER(SEARCH("rn""&gt;United Arab Emirates",S620)),"United Arab Emirates",
ISNUMBER(SEARCH("rn""&gt;Republic of Ireland",S620)),"Ireland",
ISNUMBER(SEARCH("rn""&gt;Bosnia and Herzegovina",S620)),"Bosnia and Herzegovina",
ISNUMBER(SEARCH("rn""&gt;Trinidad and Tobago",S620)),"Trinidad and Tobago",
ISNUMBER(SEARCH("rn""&gt;Serbia and Montenegro",S620)),"Serbia and Montenegro",
ISNUMBER(SEARCH(_xlfn.UNICHAR(65533),S620)),"Côte d'Ivoire",
TRUE,""
)</f>
        <v/>
      </c>
      <c r="W620" s="30" t="str">
        <f t="shared" si="57"/>
        <v>Chile</v>
      </c>
      <c r="Z620" s="40" t="str">
        <v>Seoul World Cup Stadium</v>
      </c>
      <c r="AA620" s="40" t="str" cm="1">
        <f t="array" ref="AA620">IFERROR(_xlfn.XLOOKUP(Z620,_xlfn.ANCHORARRAY(Z$31),AA$31:AA$37),Z620)</f>
        <v>Seoul World Cup Stadium</v>
      </c>
      <c r="AB620" s="42" t="str">
        <v xml:space="preserve">Seoul </v>
      </c>
      <c r="AC620" s="89" t="str">
        <f t="shared" si="58"/>
        <v xml:space="preserve">Seoul </v>
      </c>
      <c r="AE620" s="42">
        <v>1998</v>
      </c>
      <c r="AK620" s="42">
        <v>4</v>
      </c>
      <c r="AL620" s="42">
        <v>0</v>
      </c>
      <c r="AW620" s="89" t="str">
        <v>GROUP_STAGE</v>
      </c>
      <c r="BE620" s="43" t="str">
        <f>IF(OR(DATA_CLEANED!AL611="",DATA_CLEANED!AM611=""),"MANQUANT",IF(OR(NOT(ISNUMBER(DATA_CLEANED!AL611)),NOT(ISNUMBER(DATA_CLEANED!AM611))),"ENTREE INVALIDE",IF(OR(DATA_CLEANED!AL611&lt;0,DATA_CLEANED!AM611&lt;0),"SCORE NEGATIF","OK")))</f>
        <v>OK</v>
      </c>
      <c r="BF620" s="43" t="str">
        <f>IF(DATA_CLEANED!AK611&lt;&gt;DATA_CLEANED!AN611,"OK","ERREUR")</f>
        <v>OK</v>
      </c>
      <c r="BG620" s="43" t="str">
        <f>IF(DATA_CLEANED!AL611&gt;DATA_CLEANED!AM611,DATA_CLEANED!AK611,IF(AND(DATA_QUALITE!W5097="-",DATA_CLEANED!AM611=DATA_CLEANED!AL611),"MATCH NUL",IF(AND(DATA_QUALITE!V5097="-",DATA_QUALITE!U5097="AUCUNE"),DATA_QUALITE!T5097,IF(DATA_QUALITE!V5097&lt;&gt;"-",DATA_QUALITE!V5097,DATA_CLEANED!AN611))))</f>
        <v>Mexico</v>
      </c>
      <c r="BH620" s="103" t="str">
        <f>IF(AND(BG620="MATCH NUL",DATA_CLEANED!AO611="-"),"MATCH_NUL",IF(ISNUMBER(SEARCH("win on penalties",W5097)),"WIN_BY_PENALTY",IF(ISNUMBER(SEARCH("win after extra time",W5097)),"WIN_BY_EXTRA_TIME",IF(ISNUMBER(SEARCH("Golden Goal",W5097)),"WIN_BY_GOLDEN_GOAL","WIN_BY_SCORE"))))</f>
        <v>WIN_BY_SCORE</v>
      </c>
      <c r="BI620" s="99" t="str">
        <f>IF(OR(BG620=DATA_CLEANED!AK611,BG620=DATA_CLEANED!AN611,BG620="MATCH NUL"),"OK","ERREUR")</f>
        <v>OK</v>
      </c>
    </row>
    <row r="621" spans="2:61">
      <c r="B621" s="75">
        <v>184</v>
      </c>
      <c r="C621" s="15" t="str">
        <v>Yvon Mvogo</v>
      </c>
      <c r="D621" s="15">
        <v>32</v>
      </c>
      <c r="E621" s="15" t="str">
        <v>Switzerland</v>
      </c>
      <c r="F621" s="15" t="str">
        <v>GK</v>
      </c>
      <c r="G621" s="15" t="str">
        <v>Lorient</v>
      </c>
      <c r="H621" s="15">
        <v>12</v>
      </c>
      <c r="I621" s="15" t="str">
        <f t="shared" si="54"/>
        <v>184|Yvon Mvogo|32|Switzerland|GK|Lorient|12</v>
      </c>
      <c r="J621" s="15" t="str">
        <f>IF(COUNTIF(I$438:I621,I621)&gt;1,"DOUBLON","OK")</f>
        <v>OK</v>
      </c>
      <c r="S621" s="30" t="str">
        <v>Chile</v>
      </c>
      <c r="T621" s="30" t="str">
        <f t="shared" si="55"/>
        <v>OK</v>
      </c>
      <c r="U621" s="30" t="str">
        <f t="shared" si="56"/>
        <v>-</v>
      </c>
      <c r="V621" s="30" t="str" cm="1">
        <f t="array" ref="V621">_xlfn.IFS(
ISNUMBER(SEARCH("USA",S621)),"United States",
ISNUMBER(SEARCH("Republic of Korea",S621)),"South Korea",
ISNUMBER(SEARCH("Cape Verde",S621)),"Cabo Verde",
ISNUMBER(SEARCH("Czechia",S621)),"Czech Republic",
ISNUMBER(SEARCH("Türkiye",S621)),"Turkey",
ISNUMBER(SEARCH("Ivory Coast",S621)),"Côte d'Ivoire",
ISNUMBER(SEARCH("Korea Republic",S621)),"South Korea",
ISNUMBER(SEARCH("Germany FR",S621)),"FR Germany",
ISNUMBER(SEARCH("West Germany",S621)),"FR Germany",
ISNUMBER(SEARCH("Germany DR",S621)),"DR Germany",
ISNUMBER(SEARCH("Korea DPR",S621)),"North Korea",
ISNUMBER(SEARCH("China PR",S621)),"China",
ISNUMBER(SEARCH("IR Iran",S621)),"Iran",
ISNUMBER(SEARCH("Congo DR",S621)),"Democratic Republic of the Congo",
ISNUMBER(SEARCH("DR Congo",S621)),"Democratic Republic of the Congo",
ISNUMBER(SEARCH("German DR",S621)),"DR Germany",
ISNUMBER(SEARCH("rn""&gt;United Arab Emirates",S621)),"United Arab Emirates",
ISNUMBER(SEARCH("rn""&gt;Republic of Ireland",S621)),"Ireland",
ISNUMBER(SEARCH("rn""&gt;Bosnia and Herzegovina",S621)),"Bosnia and Herzegovina",
ISNUMBER(SEARCH("rn""&gt;Trinidad and Tobago",S621)),"Trinidad and Tobago",
ISNUMBER(SEARCH("rn""&gt;Serbia and Montenegro",S621)),"Serbia and Montenegro",
ISNUMBER(SEARCH(_xlfn.UNICHAR(65533),S621)),"Côte d'Ivoire",
TRUE,""
)</f>
        <v/>
      </c>
      <c r="W621" s="30" t="str">
        <f t="shared" si="57"/>
        <v>Chile</v>
      </c>
      <c r="Z621" s="40" t="str">
        <v>Munsu Football Stadium</v>
      </c>
      <c r="AA621" s="40" t="str" cm="1">
        <f t="array" ref="AA621">IFERROR(_xlfn.XLOOKUP(Z621,_xlfn.ANCHORARRAY(Z$31),AA$31:AA$37),Z621)</f>
        <v>Munsu Football Stadium</v>
      </c>
      <c r="AB621" s="42" t="str">
        <v xml:space="preserve">Ulsan </v>
      </c>
      <c r="AC621" s="89" t="str">
        <f t="shared" si="58"/>
        <v xml:space="preserve">Ulsan </v>
      </c>
      <c r="AE621" s="42">
        <v>1998</v>
      </c>
      <c r="AK621" s="42">
        <v>1</v>
      </c>
      <c r="AL621" s="42">
        <v>0</v>
      </c>
      <c r="AW621" s="89" t="str">
        <v>GROUP_STAGE</v>
      </c>
      <c r="BE621" s="43" t="str">
        <f>IF(OR(DATA_CLEANED!AL612="",DATA_CLEANED!AM612=""),"MANQUANT",IF(OR(NOT(ISNUMBER(DATA_CLEANED!AL612)),NOT(ISNUMBER(DATA_CLEANED!AM612))),"ENTREE INVALIDE",IF(OR(DATA_CLEANED!AL612&lt;0,DATA_CLEANED!AM612&lt;0),"SCORE NEGATIF","OK")))</f>
        <v>OK</v>
      </c>
      <c r="BF621" s="43" t="str">
        <f>IF(DATA_CLEANED!AK612&lt;&gt;DATA_CLEANED!AN612,"OK","ERREUR")</f>
        <v>OK</v>
      </c>
      <c r="BG621" s="43" t="str">
        <f>IF(DATA_CLEANED!AL612&gt;DATA_CLEANED!AM612,DATA_CLEANED!AK612,IF(AND(DATA_QUALITE!W5098="-",DATA_CLEANED!AM612=DATA_CLEANED!AL612),"MATCH NUL",IF(AND(DATA_QUALITE!V5098="-",DATA_QUALITE!U5098="AUCUNE"),DATA_QUALITE!T5098,IF(DATA_QUALITE!V5098&lt;&gt;"-",DATA_QUALITE!V5098,DATA_CLEANED!AN612))))</f>
        <v>MATCH NUL</v>
      </c>
      <c r="BH621" s="103" t="str">
        <f>IF(AND(BG621="MATCH NUL",DATA_CLEANED!AO612="-"),"MATCH_NUL",IF(ISNUMBER(SEARCH("win on penalties",W5098)),"WIN_BY_PENALTY",IF(ISNUMBER(SEARCH("win after extra time",W5098)),"WIN_BY_EXTRA_TIME",IF(ISNUMBER(SEARCH("Golden Goal",W5098)),"WIN_BY_GOLDEN_GOAL","WIN_BY_SCORE"))))</f>
        <v>MATCH_NUL</v>
      </c>
      <c r="BI621" s="99" t="str">
        <f>IF(OR(BG621=DATA_CLEANED!AK612,BG621=DATA_CLEANED!AN612,BG621="MATCH NUL"),"OK","ERREUR")</f>
        <v>OK</v>
      </c>
    </row>
    <row r="622" spans="2:61">
      <c r="B622" s="75">
        <v>185</v>
      </c>
      <c r="C622" s="15" t="str">
        <v>Marvin Keller</v>
      </c>
      <c r="D622" s="15">
        <v>23</v>
      </c>
      <c r="E622" s="15" t="str">
        <v>Switzerland</v>
      </c>
      <c r="F622" s="15" t="str">
        <v>GK</v>
      </c>
      <c r="G622" s="15" t="str">
        <v>Young Boys</v>
      </c>
      <c r="H622" s="15">
        <v>21</v>
      </c>
      <c r="I622" s="15" t="str">
        <f t="shared" si="54"/>
        <v>185|Marvin Keller|23|Switzerland|GK|Young Boys|21</v>
      </c>
      <c r="J622" s="15" t="str">
        <f>IF(COUNTIF(I$438:I622,I622)&gt;1,"DOUBLON","OK")</f>
        <v>OK</v>
      </c>
      <c r="S622" s="30" t="str">
        <v>Chile</v>
      </c>
      <c r="T622" s="30" t="str">
        <f t="shared" si="55"/>
        <v>OK</v>
      </c>
      <c r="U622" s="30" t="str">
        <f t="shared" si="56"/>
        <v>-</v>
      </c>
      <c r="V622" s="30" t="str" cm="1">
        <f t="array" ref="V622">_xlfn.IFS(
ISNUMBER(SEARCH("USA",S622)),"United States",
ISNUMBER(SEARCH("Republic of Korea",S622)),"South Korea",
ISNUMBER(SEARCH("Cape Verde",S622)),"Cabo Verde",
ISNUMBER(SEARCH("Czechia",S622)),"Czech Republic",
ISNUMBER(SEARCH("Türkiye",S622)),"Turkey",
ISNUMBER(SEARCH("Ivory Coast",S622)),"Côte d'Ivoire",
ISNUMBER(SEARCH("Korea Republic",S622)),"South Korea",
ISNUMBER(SEARCH("Germany FR",S622)),"FR Germany",
ISNUMBER(SEARCH("West Germany",S622)),"FR Germany",
ISNUMBER(SEARCH("Germany DR",S622)),"DR Germany",
ISNUMBER(SEARCH("Korea DPR",S622)),"North Korea",
ISNUMBER(SEARCH("China PR",S622)),"China",
ISNUMBER(SEARCH("IR Iran",S622)),"Iran",
ISNUMBER(SEARCH("Congo DR",S622)),"Democratic Republic of the Congo",
ISNUMBER(SEARCH("DR Congo",S622)),"Democratic Republic of the Congo",
ISNUMBER(SEARCH("German DR",S622)),"DR Germany",
ISNUMBER(SEARCH("rn""&gt;United Arab Emirates",S622)),"United Arab Emirates",
ISNUMBER(SEARCH("rn""&gt;Republic of Ireland",S622)),"Ireland",
ISNUMBER(SEARCH("rn""&gt;Bosnia and Herzegovina",S622)),"Bosnia and Herzegovina",
ISNUMBER(SEARCH("rn""&gt;Trinidad and Tobago",S622)),"Trinidad and Tobago",
ISNUMBER(SEARCH("rn""&gt;Serbia and Montenegro",S622)),"Serbia and Montenegro",
ISNUMBER(SEARCH(_xlfn.UNICHAR(65533),S622)),"Côte d'Ivoire",
TRUE,""
)</f>
        <v/>
      </c>
      <c r="W622" s="30" t="str">
        <f t="shared" si="57"/>
        <v>Chile</v>
      </c>
      <c r="Z622" s="40" t="str">
        <v>Niigata Stadium Big Swan</v>
      </c>
      <c r="AA622" s="40" t="str" cm="1">
        <f t="array" ref="AA622">IFERROR(_xlfn.XLOOKUP(Z622,_xlfn.ANCHORARRAY(Z$31),AA$31:AA$37),Z622)</f>
        <v>Niigata Stadium Big Swan</v>
      </c>
      <c r="AB622" s="42" t="str">
        <v xml:space="preserve">Niigata </v>
      </c>
      <c r="AC622" s="89" t="str">
        <f t="shared" si="58"/>
        <v xml:space="preserve">Niigata </v>
      </c>
      <c r="AE622" s="42">
        <v>1998</v>
      </c>
      <c r="AK622" s="42">
        <v>0</v>
      </c>
      <c r="AL622" s="42">
        <v>0</v>
      </c>
      <c r="AW622" s="89" t="str">
        <v>GROUP_STAGE</v>
      </c>
      <c r="BE622" s="43" t="str">
        <f>IF(OR(DATA_CLEANED!AL613="",DATA_CLEANED!AM613=""),"MANQUANT",IF(OR(NOT(ISNUMBER(DATA_CLEANED!AL613)),NOT(ISNUMBER(DATA_CLEANED!AM613))),"ENTREE INVALIDE",IF(OR(DATA_CLEANED!AL613&lt;0,DATA_CLEANED!AM613&lt;0),"SCORE NEGATIF","OK")))</f>
        <v>OK</v>
      </c>
      <c r="BF622" s="43" t="str">
        <f>IF(DATA_CLEANED!AK613&lt;&gt;DATA_CLEANED!AN613,"OK","ERREUR")</f>
        <v>OK</v>
      </c>
      <c r="BG622" s="43" t="str">
        <f>IF(DATA_CLEANED!AL613&gt;DATA_CLEANED!AM613,DATA_CLEANED!AK613,IF(AND(DATA_QUALITE!W5099="-",DATA_CLEANED!AM613=DATA_CLEANED!AL613),"MATCH NUL",IF(AND(DATA_QUALITE!V5099="-",DATA_QUALITE!U5099="AUCUNE"),DATA_QUALITE!T5099,IF(DATA_QUALITE!V5099&lt;&gt;"-",DATA_QUALITE!V5099,DATA_CLEANED!AN613))))</f>
        <v>Portugal</v>
      </c>
      <c r="BH622" s="103" t="str">
        <f>IF(AND(BG622="MATCH NUL",DATA_CLEANED!AO613="-"),"MATCH_NUL",IF(ISNUMBER(SEARCH("win on penalties",W5099)),"WIN_BY_PENALTY",IF(ISNUMBER(SEARCH("win after extra time",W5099)),"WIN_BY_EXTRA_TIME",IF(ISNUMBER(SEARCH("Golden Goal",W5099)),"WIN_BY_GOLDEN_GOAL","WIN_BY_SCORE"))))</f>
        <v>WIN_BY_SCORE</v>
      </c>
      <c r="BI622" s="99" t="str">
        <f>IF(OR(BG622=DATA_CLEANED!AK613,BG622=DATA_CLEANED!AN613,BG622="MATCH NUL"),"OK","ERREUR")</f>
        <v>OK</v>
      </c>
    </row>
    <row r="623" spans="2:61">
      <c r="B623" s="75">
        <v>186</v>
      </c>
      <c r="C623" s="15" t="str">
        <v>Nico Elvedi</v>
      </c>
      <c r="D623" s="15">
        <v>29</v>
      </c>
      <c r="E623" s="15" t="str">
        <v>Switzerland</v>
      </c>
      <c r="F623" s="15" t="str">
        <v>CB</v>
      </c>
      <c r="G623" s="15" t="str">
        <v>Borussia Mönchengladbach</v>
      </c>
      <c r="H623" s="15">
        <v>4</v>
      </c>
      <c r="I623" s="15" t="str">
        <f t="shared" si="54"/>
        <v>186|Nico Elvedi|29|Switzerland|CB|Borussia Mönchengladbach|4</v>
      </c>
      <c r="J623" s="15" t="str">
        <f>IF(COUNTIF(I$438:I623,I623)&gt;1,"DOUBLON","OK")</f>
        <v>OK</v>
      </c>
      <c r="S623" s="30" t="str">
        <v>Chile</v>
      </c>
      <c r="T623" s="30" t="str">
        <f t="shared" si="55"/>
        <v>OK</v>
      </c>
      <c r="U623" s="30" t="str">
        <f t="shared" si="56"/>
        <v>-</v>
      </c>
      <c r="V623" s="30" t="str" cm="1">
        <f t="array" ref="V623">_xlfn.IFS(
ISNUMBER(SEARCH("USA",S623)),"United States",
ISNUMBER(SEARCH("Republic of Korea",S623)),"South Korea",
ISNUMBER(SEARCH("Cape Verde",S623)),"Cabo Verde",
ISNUMBER(SEARCH("Czechia",S623)),"Czech Republic",
ISNUMBER(SEARCH("Türkiye",S623)),"Turkey",
ISNUMBER(SEARCH("Ivory Coast",S623)),"Côte d'Ivoire",
ISNUMBER(SEARCH("Korea Republic",S623)),"South Korea",
ISNUMBER(SEARCH("Germany FR",S623)),"FR Germany",
ISNUMBER(SEARCH("West Germany",S623)),"FR Germany",
ISNUMBER(SEARCH("Germany DR",S623)),"DR Germany",
ISNUMBER(SEARCH("Korea DPR",S623)),"North Korea",
ISNUMBER(SEARCH("China PR",S623)),"China",
ISNUMBER(SEARCH("IR Iran",S623)),"Iran",
ISNUMBER(SEARCH("Congo DR",S623)),"Democratic Republic of the Congo",
ISNUMBER(SEARCH("DR Congo",S623)),"Democratic Republic of the Congo",
ISNUMBER(SEARCH("German DR",S623)),"DR Germany",
ISNUMBER(SEARCH("rn""&gt;United Arab Emirates",S623)),"United Arab Emirates",
ISNUMBER(SEARCH("rn""&gt;Republic of Ireland",S623)),"Ireland",
ISNUMBER(SEARCH("rn""&gt;Bosnia and Herzegovina",S623)),"Bosnia and Herzegovina",
ISNUMBER(SEARCH("rn""&gt;Trinidad and Tobago",S623)),"Trinidad and Tobago",
ISNUMBER(SEARCH("rn""&gt;Serbia and Montenegro",S623)),"Serbia and Montenegro",
ISNUMBER(SEARCH(_xlfn.UNICHAR(65533),S623)),"Côte d'Ivoire",
TRUE,""
)</f>
        <v/>
      </c>
      <c r="W623" s="30" t="str">
        <f t="shared" si="57"/>
        <v>Chile</v>
      </c>
      <c r="Z623" s="40" t="str">
        <v>Sapporo Dome</v>
      </c>
      <c r="AA623" s="40" t="str" cm="1">
        <f t="array" ref="AA623">IFERROR(_xlfn.XLOOKUP(Z623,_xlfn.ANCHORARRAY(Z$31),AA$31:AA$37),Z623)</f>
        <v>Sapporo Dome</v>
      </c>
      <c r="AB623" s="42" t="str">
        <v xml:space="preserve">Sapporo </v>
      </c>
      <c r="AC623" s="89" t="str">
        <f t="shared" si="58"/>
        <v xml:space="preserve">Sapporo </v>
      </c>
      <c r="AE623" s="42">
        <v>1998</v>
      </c>
      <c r="AK623" s="42">
        <v>0</v>
      </c>
      <c r="AL623" s="42">
        <v>1</v>
      </c>
      <c r="AW623" s="89" t="str">
        <v>GROUP_STAGE</v>
      </c>
      <c r="BE623" s="43" t="str">
        <f>IF(OR(DATA_CLEANED!AL614="",DATA_CLEANED!AM614=""),"MANQUANT",IF(OR(NOT(ISNUMBER(DATA_CLEANED!AL614)),NOT(ISNUMBER(DATA_CLEANED!AM614))),"ENTREE INVALIDE",IF(OR(DATA_CLEANED!AL614&lt;0,DATA_CLEANED!AM614&lt;0),"SCORE NEGATIF","OK")))</f>
        <v>OK</v>
      </c>
      <c r="BF623" s="43" t="str">
        <f>IF(DATA_CLEANED!AK614&lt;&gt;DATA_CLEANED!AN614,"OK","ERREUR")</f>
        <v>OK</v>
      </c>
      <c r="BG623" s="43" t="str">
        <f>IF(DATA_CLEANED!AL614&gt;DATA_CLEANED!AM614,DATA_CLEANED!AK614,IF(AND(DATA_QUALITE!W5100="-",DATA_CLEANED!AM614=DATA_CLEANED!AL614),"MATCH NUL",IF(AND(DATA_QUALITE!V5100="-",DATA_QUALITE!U5100="AUCUNE"),DATA_QUALITE!T5100,IF(DATA_QUALITE!V5100&lt;&gt;"-",DATA_QUALITE!V5100,DATA_CLEANED!AN614))))</f>
        <v>MATCH NUL</v>
      </c>
      <c r="BH623" s="103" t="str">
        <f>IF(AND(BG623="MATCH NUL",DATA_CLEANED!AO614="-"),"MATCH_NUL",IF(ISNUMBER(SEARCH("win on penalties",W5100)),"WIN_BY_PENALTY",IF(ISNUMBER(SEARCH("win after extra time",W5100)),"WIN_BY_EXTRA_TIME",IF(ISNUMBER(SEARCH("Golden Goal",W5100)),"WIN_BY_GOLDEN_GOAL","WIN_BY_SCORE"))))</f>
        <v>MATCH_NUL</v>
      </c>
      <c r="BI623" s="99" t="str">
        <f>IF(OR(BG623=DATA_CLEANED!AK614,BG623=DATA_CLEANED!AN614,BG623="MATCH NUL"),"OK","ERREUR")</f>
        <v>OK</v>
      </c>
    </row>
    <row r="624" spans="2:61">
      <c r="B624" s="75">
        <v>187</v>
      </c>
      <c r="C624" s="15" t="str">
        <v>Manuel Akanji</v>
      </c>
      <c r="D624" s="15">
        <v>30</v>
      </c>
      <c r="E624" s="15" t="str">
        <v>Switzerland</v>
      </c>
      <c r="F624" s="15" t="str">
        <v>CB</v>
      </c>
      <c r="G624" s="15" t="str">
        <v>Inter Milan</v>
      </c>
      <c r="H624" s="15">
        <v>5</v>
      </c>
      <c r="I624" s="15" t="str">
        <f t="shared" si="54"/>
        <v>187|Manuel Akanji|30|Switzerland|CB|Inter Milan|5</v>
      </c>
      <c r="J624" s="15" t="str">
        <f>IF(COUNTIF(I$438:I624,I624)&gt;1,"DOUBLON","OK")</f>
        <v>OK</v>
      </c>
      <c r="S624" s="30" t="str">
        <v>Chile</v>
      </c>
      <c r="T624" s="30" t="str">
        <f t="shared" si="55"/>
        <v>OK</v>
      </c>
      <c r="U624" s="30" t="str">
        <f t="shared" si="56"/>
        <v>-</v>
      </c>
      <c r="V624" s="30" t="str" cm="1">
        <f t="array" ref="V624">_xlfn.IFS(
ISNUMBER(SEARCH("USA",S624)),"United States",
ISNUMBER(SEARCH("Republic of Korea",S624)),"South Korea",
ISNUMBER(SEARCH("Cape Verde",S624)),"Cabo Verde",
ISNUMBER(SEARCH("Czechia",S624)),"Czech Republic",
ISNUMBER(SEARCH("Türkiye",S624)),"Turkey",
ISNUMBER(SEARCH("Ivory Coast",S624)),"Côte d'Ivoire",
ISNUMBER(SEARCH("Korea Republic",S624)),"South Korea",
ISNUMBER(SEARCH("Germany FR",S624)),"FR Germany",
ISNUMBER(SEARCH("West Germany",S624)),"FR Germany",
ISNUMBER(SEARCH("Germany DR",S624)),"DR Germany",
ISNUMBER(SEARCH("Korea DPR",S624)),"North Korea",
ISNUMBER(SEARCH("China PR",S624)),"China",
ISNUMBER(SEARCH("IR Iran",S624)),"Iran",
ISNUMBER(SEARCH("Congo DR",S624)),"Democratic Republic of the Congo",
ISNUMBER(SEARCH("DR Congo",S624)),"Democratic Republic of the Congo",
ISNUMBER(SEARCH("German DR",S624)),"DR Germany",
ISNUMBER(SEARCH("rn""&gt;United Arab Emirates",S624)),"United Arab Emirates",
ISNUMBER(SEARCH("rn""&gt;Republic of Ireland",S624)),"Ireland",
ISNUMBER(SEARCH("rn""&gt;Bosnia and Herzegovina",S624)),"Bosnia and Herzegovina",
ISNUMBER(SEARCH("rn""&gt;Trinidad and Tobago",S624)),"Trinidad and Tobago",
ISNUMBER(SEARCH("rn""&gt;Serbia and Montenegro",S624)),"Serbia and Montenegro",
ISNUMBER(SEARCH(_xlfn.UNICHAR(65533),S624)),"Côte d'Ivoire",
TRUE,""
)</f>
        <v/>
      </c>
      <c r="W624" s="30" t="str">
        <f t="shared" si="57"/>
        <v>Chile</v>
      </c>
      <c r="Z624" s="40" t="str">
        <v>Kashima Stadium</v>
      </c>
      <c r="AA624" s="40" t="str" cm="1">
        <f t="array" ref="AA624">IFERROR(_xlfn.XLOOKUP(Z624,_xlfn.ANCHORARRAY(Z$31),AA$31:AA$37),Z624)</f>
        <v>Kashima Stadium</v>
      </c>
      <c r="AB624" s="42" t="str">
        <v xml:space="preserve">Ibaraki </v>
      </c>
      <c r="AC624" s="89" t="str">
        <f t="shared" si="58"/>
        <v xml:space="preserve">Ibaraki </v>
      </c>
      <c r="AE624" s="42">
        <v>1998</v>
      </c>
      <c r="AK624" s="42">
        <v>2</v>
      </c>
      <c r="AL624" s="42">
        <v>2</v>
      </c>
      <c r="AW624" s="89" t="str">
        <v>GROUP_STAGE</v>
      </c>
      <c r="BE624" s="43" t="str">
        <f>IF(OR(DATA_CLEANED!AL615="",DATA_CLEANED!AM615=""),"MANQUANT",IF(OR(NOT(ISNUMBER(DATA_CLEANED!AL615)),NOT(ISNUMBER(DATA_CLEANED!AM615))),"ENTREE INVALIDE",IF(OR(DATA_CLEANED!AL615&lt;0,DATA_CLEANED!AM615&lt;0),"SCORE NEGATIF","OK")))</f>
        <v>OK</v>
      </c>
      <c r="BF624" s="43" t="str">
        <f>IF(DATA_CLEANED!AK615&lt;&gt;DATA_CLEANED!AN615,"OK","ERREUR")</f>
        <v>OK</v>
      </c>
      <c r="BG624" s="43" t="str">
        <f>IF(DATA_CLEANED!AL615&gt;DATA_CLEANED!AM615,DATA_CLEANED!AK615,IF(AND(DATA_QUALITE!W5101="-",DATA_CLEANED!AM615=DATA_CLEANED!AL615),"MATCH NUL",IF(AND(DATA_QUALITE!V5101="-",DATA_QUALITE!U5101="AUCUNE"),DATA_QUALITE!T5101,IF(DATA_QUALITE!V5101&lt;&gt;"-",DATA_QUALITE!V5101,DATA_CLEANED!AN615))))</f>
        <v>Denmark</v>
      </c>
      <c r="BH624" s="103" t="str">
        <f>IF(AND(BG624="MATCH NUL",DATA_CLEANED!AO615="-"),"MATCH_NUL",IF(ISNUMBER(SEARCH("win on penalties",W5101)),"WIN_BY_PENALTY",IF(ISNUMBER(SEARCH("win after extra time",W5101)),"WIN_BY_EXTRA_TIME",IF(ISNUMBER(SEARCH("Golden Goal",W5101)),"WIN_BY_GOLDEN_GOAL","WIN_BY_SCORE"))))</f>
        <v>WIN_BY_SCORE</v>
      </c>
      <c r="BI624" s="99" t="str">
        <f>IF(OR(BG624=DATA_CLEANED!AK615,BG624=DATA_CLEANED!AN615,BG624="MATCH NUL"),"OK","ERREUR")</f>
        <v>OK</v>
      </c>
    </row>
    <row r="625" spans="2:61">
      <c r="B625" s="75">
        <v>188</v>
      </c>
      <c r="C625" s="15" t="str">
        <v>Eray Cömert</v>
      </c>
      <c r="D625" s="15">
        <v>28</v>
      </c>
      <c r="E625" s="15" t="str">
        <v>Switzerland</v>
      </c>
      <c r="F625" s="15" t="str">
        <v>CB</v>
      </c>
      <c r="G625" s="15" t="str">
        <v>Valencia</v>
      </c>
      <c r="H625" s="15">
        <v>18</v>
      </c>
      <c r="I625" s="15" t="str">
        <f t="shared" si="54"/>
        <v>188|Eray Cömert|28|Switzerland|CB|Valencia|18</v>
      </c>
      <c r="J625" s="15" t="str">
        <f>IF(COUNTIF(I$438:I625,I625)&gt;1,"DOUBLON","OK")</f>
        <v>OK</v>
      </c>
      <c r="S625" s="30" t="str">
        <v>Chile</v>
      </c>
      <c r="T625" s="30" t="str">
        <f t="shared" si="55"/>
        <v>OK</v>
      </c>
      <c r="U625" s="30" t="str">
        <f t="shared" si="56"/>
        <v>-</v>
      </c>
      <c r="V625" s="30" t="str" cm="1">
        <f t="array" ref="V625">_xlfn.IFS(
ISNUMBER(SEARCH("USA",S625)),"United States",
ISNUMBER(SEARCH("Republic of Korea",S625)),"South Korea",
ISNUMBER(SEARCH("Cape Verde",S625)),"Cabo Verde",
ISNUMBER(SEARCH("Czechia",S625)),"Czech Republic",
ISNUMBER(SEARCH("Türkiye",S625)),"Turkey",
ISNUMBER(SEARCH("Ivory Coast",S625)),"Côte d'Ivoire",
ISNUMBER(SEARCH("Korea Republic",S625)),"South Korea",
ISNUMBER(SEARCH("Germany FR",S625)),"FR Germany",
ISNUMBER(SEARCH("West Germany",S625)),"FR Germany",
ISNUMBER(SEARCH("Germany DR",S625)),"DR Germany",
ISNUMBER(SEARCH("Korea DPR",S625)),"North Korea",
ISNUMBER(SEARCH("China PR",S625)),"China",
ISNUMBER(SEARCH("IR Iran",S625)),"Iran",
ISNUMBER(SEARCH("Congo DR",S625)),"Democratic Republic of the Congo",
ISNUMBER(SEARCH("DR Congo",S625)),"Democratic Republic of the Congo",
ISNUMBER(SEARCH("German DR",S625)),"DR Germany",
ISNUMBER(SEARCH("rn""&gt;United Arab Emirates",S625)),"United Arab Emirates",
ISNUMBER(SEARCH("rn""&gt;Republic of Ireland",S625)),"Ireland",
ISNUMBER(SEARCH("rn""&gt;Bosnia and Herzegovina",S625)),"Bosnia and Herzegovina",
ISNUMBER(SEARCH("rn""&gt;Trinidad and Tobago",S625)),"Trinidad and Tobago",
ISNUMBER(SEARCH("rn""&gt;Serbia and Montenegro",S625)),"Serbia and Montenegro",
ISNUMBER(SEARCH(_xlfn.UNICHAR(65533),S625)),"Côte d'Ivoire",
TRUE,""
)</f>
        <v/>
      </c>
      <c r="W625" s="30" t="str">
        <f t="shared" si="57"/>
        <v>Chile</v>
      </c>
      <c r="Z625" s="40" t="str">
        <v>Busan Asiad Main Stadium</v>
      </c>
      <c r="AA625" s="40" t="str" cm="1">
        <f t="array" ref="AA625">IFERROR(_xlfn.XLOOKUP(Z625,_xlfn.ANCHORARRAY(Z$31),AA$31:AA$37),Z625)</f>
        <v>Busan Asiad Main Stadium</v>
      </c>
      <c r="AB625" s="42" t="str">
        <v xml:space="preserve">Busan </v>
      </c>
      <c r="AC625" s="89" t="str">
        <f t="shared" si="58"/>
        <v xml:space="preserve">Busan </v>
      </c>
      <c r="AE625" s="42">
        <v>1998</v>
      </c>
      <c r="AK625" s="42">
        <v>5</v>
      </c>
      <c r="AL625" s="42">
        <v>0</v>
      </c>
      <c r="AW625" s="89" t="str">
        <v>GROUP_STAGE</v>
      </c>
      <c r="BE625" s="43" t="str">
        <f>IF(OR(DATA_CLEANED!AL616="",DATA_CLEANED!AM616=""),"MANQUANT",IF(OR(NOT(ISNUMBER(DATA_CLEANED!AL616)),NOT(ISNUMBER(DATA_CLEANED!AM616))),"ENTREE INVALIDE",IF(OR(DATA_CLEANED!AL616&lt;0,DATA_CLEANED!AM616&lt;0),"SCORE NEGATIF","OK")))</f>
        <v>OK</v>
      </c>
      <c r="BF625" s="43" t="str">
        <f>IF(DATA_CLEANED!AK616&lt;&gt;DATA_CLEANED!AN616,"OK","ERREUR")</f>
        <v>OK</v>
      </c>
      <c r="BG625" s="43" t="str">
        <f>IF(DATA_CLEANED!AL616&gt;DATA_CLEANED!AM616,DATA_CLEANED!AK616,IF(AND(DATA_QUALITE!W5102="-",DATA_CLEANED!AM616=DATA_CLEANED!AL616),"MATCH NUL",IF(AND(DATA_QUALITE!V5102="-",DATA_QUALITE!U5102="AUCUNE"),DATA_QUALITE!T5102,IF(DATA_QUALITE!V5102&lt;&gt;"-",DATA_QUALITE!V5102,DATA_CLEANED!AN616))))</f>
        <v>MATCH NUL</v>
      </c>
      <c r="BH625" s="103" t="str">
        <f>IF(AND(BG625="MATCH NUL",DATA_CLEANED!AO616="-"),"MATCH_NUL",IF(ISNUMBER(SEARCH("win on penalties",W5102)),"WIN_BY_PENALTY",IF(ISNUMBER(SEARCH("win after extra time",W5102)),"WIN_BY_EXTRA_TIME",IF(ISNUMBER(SEARCH("Golden Goal",W5102)),"WIN_BY_GOLDEN_GOAL","WIN_BY_SCORE"))))</f>
        <v>MATCH_NUL</v>
      </c>
      <c r="BI625" s="99" t="str">
        <f>IF(OR(BG625=DATA_CLEANED!AK616,BG625=DATA_CLEANED!AN616,BG625="MATCH NUL"),"OK","ERREUR")</f>
        <v>OK</v>
      </c>
    </row>
    <row r="626" spans="2:61">
      <c r="B626" s="75">
        <v>189</v>
      </c>
      <c r="C626" s="15" t="str">
        <v>Aurèle Amenda</v>
      </c>
      <c r="D626" s="15">
        <v>22</v>
      </c>
      <c r="E626" s="15" t="str">
        <v>Switzerland</v>
      </c>
      <c r="F626" s="15" t="str">
        <v>CB</v>
      </c>
      <c r="G626" s="15" t="str">
        <v>Eintracht Frankfurt</v>
      </c>
      <c r="H626" s="15">
        <v>24</v>
      </c>
      <c r="I626" s="15" t="str">
        <f t="shared" si="54"/>
        <v>189|Aurèle Amenda|22|Switzerland|CB|Eintracht Frankfurt|24</v>
      </c>
      <c r="J626" s="15" t="str">
        <f>IF(COUNTIF(I$438:I626,I626)&gt;1,"DOUBLON","OK")</f>
        <v>OK</v>
      </c>
      <c r="S626" s="30" t="str">
        <v>Chile</v>
      </c>
      <c r="T626" s="30" t="str">
        <f t="shared" si="55"/>
        <v>OK</v>
      </c>
      <c r="U626" s="30" t="str">
        <f t="shared" si="56"/>
        <v>-</v>
      </c>
      <c r="V626" s="30" t="str" cm="1">
        <f t="array" ref="V626">_xlfn.IFS(
ISNUMBER(SEARCH("USA",S626)),"United States",
ISNUMBER(SEARCH("Republic of Korea",S626)),"South Korea",
ISNUMBER(SEARCH("Cape Verde",S626)),"Cabo Verde",
ISNUMBER(SEARCH("Czechia",S626)),"Czech Republic",
ISNUMBER(SEARCH("Türkiye",S626)),"Turkey",
ISNUMBER(SEARCH("Ivory Coast",S626)),"Côte d'Ivoire",
ISNUMBER(SEARCH("Korea Republic",S626)),"South Korea",
ISNUMBER(SEARCH("Germany FR",S626)),"FR Germany",
ISNUMBER(SEARCH("West Germany",S626)),"FR Germany",
ISNUMBER(SEARCH("Germany DR",S626)),"DR Germany",
ISNUMBER(SEARCH("Korea DPR",S626)),"North Korea",
ISNUMBER(SEARCH("China PR",S626)),"China",
ISNUMBER(SEARCH("IR Iran",S626)),"Iran",
ISNUMBER(SEARCH("Congo DR",S626)),"Democratic Republic of the Congo",
ISNUMBER(SEARCH("DR Congo",S626)),"Democratic Republic of the Congo",
ISNUMBER(SEARCH("German DR",S626)),"DR Germany",
ISNUMBER(SEARCH("rn""&gt;United Arab Emirates",S626)),"United Arab Emirates",
ISNUMBER(SEARCH("rn""&gt;Republic of Ireland",S626)),"Ireland",
ISNUMBER(SEARCH("rn""&gt;Bosnia and Herzegovina",S626)),"Bosnia and Herzegovina",
ISNUMBER(SEARCH("rn""&gt;Trinidad and Tobago",S626)),"Trinidad and Tobago",
ISNUMBER(SEARCH("rn""&gt;Serbia and Montenegro",S626)),"Serbia and Montenegro",
ISNUMBER(SEARCH(_xlfn.UNICHAR(65533),S626)),"Côte d'Ivoire",
TRUE,""
)</f>
        <v/>
      </c>
      <c r="W626" s="30" t="str">
        <f t="shared" si="57"/>
        <v>Chile</v>
      </c>
      <c r="Z626" s="40" t="str">
        <v>Saitama Stadium 2002</v>
      </c>
      <c r="AA626" s="40" t="str" cm="1">
        <f t="array" ref="AA626">IFERROR(_xlfn.XLOOKUP(Z626,_xlfn.ANCHORARRAY(Z$31),AA$31:AA$37),Z626)</f>
        <v>Saitama Stadium 2002</v>
      </c>
      <c r="AB626" s="42" t="str">
        <v xml:space="preserve">Saitama </v>
      </c>
      <c r="AC626" s="89" t="str">
        <f t="shared" si="58"/>
        <v xml:space="preserve">Saitama </v>
      </c>
      <c r="AE626" s="42">
        <v>1998</v>
      </c>
      <c r="AK626" s="42">
        <v>2</v>
      </c>
      <c r="AL626" s="42">
        <v>2</v>
      </c>
      <c r="AW626" s="89" t="str">
        <v>GROUP_STAGE</v>
      </c>
      <c r="BE626" s="43" t="str">
        <f>IF(OR(DATA_CLEANED!AL617="",DATA_CLEANED!AM617=""),"MANQUANT",IF(OR(NOT(ISNUMBER(DATA_CLEANED!AL617)),NOT(ISNUMBER(DATA_CLEANED!AM617))),"ENTREE INVALIDE",IF(OR(DATA_CLEANED!AL617&lt;0,DATA_CLEANED!AM617&lt;0),"SCORE NEGATIF","OK")))</f>
        <v>OK</v>
      </c>
      <c r="BF626" s="43" t="str">
        <f>IF(DATA_CLEANED!AK617&lt;&gt;DATA_CLEANED!AN617,"OK","ERREUR")</f>
        <v>OK</v>
      </c>
      <c r="BG626" s="43" t="str">
        <f>IF(DATA_CLEANED!AL617&gt;DATA_CLEANED!AM617,DATA_CLEANED!AK617,IF(AND(DATA_QUALITE!W5103="-",DATA_CLEANED!AM617=DATA_CLEANED!AL617),"MATCH NUL",IF(AND(DATA_QUALITE!V5103="-",DATA_QUALITE!U5103="AUCUNE"),DATA_QUALITE!T5103,IF(DATA_QUALITE!V5103&lt;&gt;"-",DATA_QUALITE!V5103,DATA_CLEANED!AN617))))</f>
        <v>Ireland</v>
      </c>
      <c r="BH626" s="103" t="str">
        <f>IF(AND(BG626="MATCH NUL",DATA_CLEANED!AO617="-"),"MATCH_NUL",IF(ISNUMBER(SEARCH("win on penalties",W5103)),"WIN_BY_PENALTY",IF(ISNUMBER(SEARCH("win after extra time",W5103)),"WIN_BY_EXTRA_TIME",IF(ISNUMBER(SEARCH("Golden Goal",W5103)),"WIN_BY_GOLDEN_GOAL","WIN_BY_SCORE"))))</f>
        <v>WIN_BY_SCORE</v>
      </c>
      <c r="BI626" s="99" t="str">
        <f>IF(OR(BG626=DATA_CLEANED!AK617,BG626=DATA_CLEANED!AN617,BG626="MATCH NUL"),"OK","ERREUR")</f>
        <v>OK</v>
      </c>
    </row>
    <row r="627" spans="2:61">
      <c r="B627" s="75">
        <v>190</v>
      </c>
      <c r="C627" s="15" t="str">
        <v>Luca Jaquez</v>
      </c>
      <c r="D627" s="15">
        <v>23</v>
      </c>
      <c r="E627" s="15" t="str">
        <v>Switzerland</v>
      </c>
      <c r="F627" s="15" t="str">
        <v>CB</v>
      </c>
      <c r="G627" s="15" t="str">
        <v>VfB Stuttgart</v>
      </c>
      <c r="H627" s="15">
        <v>25</v>
      </c>
      <c r="I627" s="15" t="str">
        <f t="shared" si="54"/>
        <v>190|Luca Jaquez|23|Switzerland|CB|VfB Stuttgart|25</v>
      </c>
      <c r="J627" s="15" t="str">
        <f>IF(COUNTIF(I$438:I627,I627)&gt;1,"DOUBLON","OK")</f>
        <v>OK</v>
      </c>
      <c r="S627" s="30" t="str">
        <v>Greece</v>
      </c>
      <c r="T627" s="30" t="str">
        <f t="shared" si="55"/>
        <v>OK</v>
      </c>
      <c r="U627" s="30" t="str">
        <f t="shared" si="56"/>
        <v>-</v>
      </c>
      <c r="V627" s="30" t="str" cm="1">
        <f t="array" ref="V627">_xlfn.IFS(
ISNUMBER(SEARCH("USA",S627)),"United States",
ISNUMBER(SEARCH("Republic of Korea",S627)),"South Korea",
ISNUMBER(SEARCH("Cape Verde",S627)),"Cabo Verde",
ISNUMBER(SEARCH("Czechia",S627)),"Czech Republic",
ISNUMBER(SEARCH("Türkiye",S627)),"Turkey",
ISNUMBER(SEARCH("Ivory Coast",S627)),"Côte d'Ivoire",
ISNUMBER(SEARCH("Korea Republic",S627)),"South Korea",
ISNUMBER(SEARCH("Germany FR",S627)),"FR Germany",
ISNUMBER(SEARCH("West Germany",S627)),"FR Germany",
ISNUMBER(SEARCH("Germany DR",S627)),"DR Germany",
ISNUMBER(SEARCH("Korea DPR",S627)),"North Korea",
ISNUMBER(SEARCH("China PR",S627)),"China",
ISNUMBER(SEARCH("IR Iran",S627)),"Iran",
ISNUMBER(SEARCH("Congo DR",S627)),"Democratic Republic of the Congo",
ISNUMBER(SEARCH("DR Congo",S627)),"Democratic Republic of the Congo",
ISNUMBER(SEARCH("German DR",S627)),"DR Germany",
ISNUMBER(SEARCH("rn""&gt;United Arab Emirates",S627)),"United Arab Emirates",
ISNUMBER(SEARCH("rn""&gt;Republic of Ireland",S627)),"Ireland",
ISNUMBER(SEARCH("rn""&gt;Bosnia and Herzegovina",S627)),"Bosnia and Herzegovina",
ISNUMBER(SEARCH("rn""&gt;Trinidad and Tobago",S627)),"Trinidad and Tobago",
ISNUMBER(SEARCH("rn""&gt;Serbia and Montenegro",S627)),"Serbia and Montenegro",
ISNUMBER(SEARCH(_xlfn.UNICHAR(65533),S627)),"Côte d'Ivoire",
TRUE,""
)</f>
        <v/>
      </c>
      <c r="W627" s="30" t="str">
        <f t="shared" si="57"/>
        <v>Greece</v>
      </c>
      <c r="Z627" s="40" t="str">
        <v>Gwangju World Cup Stadium</v>
      </c>
      <c r="AA627" s="40" t="str" cm="1">
        <f t="array" ref="AA627">IFERROR(_xlfn.XLOOKUP(Z627,_xlfn.ANCHORARRAY(Z$31),AA$31:AA$37),Z627)</f>
        <v>Gwangju World Cup Stadium</v>
      </c>
      <c r="AB627" s="42" t="str">
        <v xml:space="preserve">Gwangju </v>
      </c>
      <c r="AC627" s="89" t="str">
        <f t="shared" si="58"/>
        <v xml:space="preserve">Gwangju </v>
      </c>
      <c r="AE627" s="42">
        <v>1998</v>
      </c>
      <c r="AK627" s="42">
        <v>5</v>
      </c>
      <c r="AL627" s="42">
        <v>0</v>
      </c>
      <c r="AW627" s="89" t="str">
        <v>GROUP_STAGE</v>
      </c>
      <c r="BE627" s="43" t="str">
        <f>IF(OR(DATA_CLEANED!AL618="",DATA_CLEANED!AM618=""),"MANQUANT",IF(OR(NOT(ISNUMBER(DATA_CLEANED!AL618)),NOT(ISNUMBER(DATA_CLEANED!AM618))),"ENTREE INVALIDE",IF(OR(DATA_CLEANED!AL618&lt;0,DATA_CLEANED!AM618&lt;0),"SCORE NEGATIF","OK")))</f>
        <v>OK</v>
      </c>
      <c r="BF627" s="43" t="str">
        <f>IF(DATA_CLEANED!AK618&lt;&gt;DATA_CLEANED!AN618,"OK","ERREUR")</f>
        <v>OK</v>
      </c>
      <c r="BG627" s="43" t="str">
        <f>IF(DATA_CLEANED!AL618&gt;DATA_CLEANED!AM618,DATA_CLEANED!AK618,IF(AND(DATA_QUALITE!W5104="-",DATA_CLEANED!AM618=DATA_CLEANED!AL618),"MATCH NUL",IF(AND(DATA_QUALITE!V5104="-",DATA_QUALITE!U5104="AUCUNE"),DATA_QUALITE!T5104,IF(DATA_QUALITE!V5104&lt;&gt;"-",DATA_QUALITE!V5104,DATA_CLEANED!AN618))))</f>
        <v>Germany</v>
      </c>
      <c r="BH627" s="103" t="str">
        <f>IF(AND(BG627="MATCH NUL",DATA_CLEANED!AO618="-"),"MATCH_NUL",IF(ISNUMBER(SEARCH("win on penalties",W5104)),"WIN_BY_PENALTY",IF(ISNUMBER(SEARCH("win after extra time",W5104)),"WIN_BY_EXTRA_TIME",IF(ISNUMBER(SEARCH("Golden Goal",W5104)),"WIN_BY_GOLDEN_GOAL","WIN_BY_SCORE"))))</f>
        <v>WIN_BY_SCORE</v>
      </c>
      <c r="BI627" s="99" t="str">
        <f>IF(OR(BG627=DATA_CLEANED!AK618,BG627=DATA_CLEANED!AN618,BG627="MATCH NUL"),"OK","ERREUR")</f>
        <v>OK</v>
      </c>
    </row>
    <row r="628" spans="2:61">
      <c r="B628" s="75">
        <v>191</v>
      </c>
      <c r="C628" s="15" t="str">
        <v>Miro Muheim</v>
      </c>
      <c r="D628" s="15">
        <v>28</v>
      </c>
      <c r="E628" s="15" t="str">
        <v>Switzerland</v>
      </c>
      <c r="F628" s="15" t="str">
        <v>LB</v>
      </c>
      <c r="G628" s="15" t="str">
        <v>Hamburger SV</v>
      </c>
      <c r="H628" s="15">
        <v>2</v>
      </c>
      <c r="I628" s="15" t="str">
        <f t="shared" si="54"/>
        <v>191|Miro Muheim|28|Switzerland|LB|Hamburger SV|2</v>
      </c>
      <c r="J628" s="15" t="str">
        <f>IF(COUNTIF(I$438:I628,I628)&gt;1,"DOUBLON","OK")</f>
        <v>OK</v>
      </c>
      <c r="S628" s="30" t="str">
        <v>Greece</v>
      </c>
      <c r="T628" s="30" t="str">
        <f t="shared" si="55"/>
        <v>OK</v>
      </c>
      <c r="U628" s="30" t="str">
        <f t="shared" si="56"/>
        <v>-</v>
      </c>
      <c r="V628" s="30" t="str" cm="1">
        <f t="array" ref="V628">_xlfn.IFS(
ISNUMBER(SEARCH("USA",S628)),"United States",
ISNUMBER(SEARCH("Republic of Korea",S628)),"South Korea",
ISNUMBER(SEARCH("Cape Verde",S628)),"Cabo Verde",
ISNUMBER(SEARCH("Czechia",S628)),"Czech Republic",
ISNUMBER(SEARCH("Türkiye",S628)),"Turkey",
ISNUMBER(SEARCH("Ivory Coast",S628)),"Côte d'Ivoire",
ISNUMBER(SEARCH("Korea Republic",S628)),"South Korea",
ISNUMBER(SEARCH("Germany FR",S628)),"FR Germany",
ISNUMBER(SEARCH("West Germany",S628)),"FR Germany",
ISNUMBER(SEARCH("Germany DR",S628)),"DR Germany",
ISNUMBER(SEARCH("Korea DPR",S628)),"North Korea",
ISNUMBER(SEARCH("China PR",S628)),"China",
ISNUMBER(SEARCH("IR Iran",S628)),"Iran",
ISNUMBER(SEARCH("Congo DR",S628)),"Democratic Republic of the Congo",
ISNUMBER(SEARCH("DR Congo",S628)),"Democratic Republic of the Congo",
ISNUMBER(SEARCH("German DR",S628)),"DR Germany",
ISNUMBER(SEARCH("rn""&gt;United Arab Emirates",S628)),"United Arab Emirates",
ISNUMBER(SEARCH("rn""&gt;Republic of Ireland",S628)),"Ireland",
ISNUMBER(SEARCH("rn""&gt;Bosnia and Herzegovina",S628)),"Bosnia and Herzegovina",
ISNUMBER(SEARCH("rn""&gt;Trinidad and Tobago",S628)),"Trinidad and Tobago",
ISNUMBER(SEARCH("rn""&gt;Serbia and Montenegro",S628)),"Serbia and Montenegro",
ISNUMBER(SEARCH(_xlfn.UNICHAR(65533),S628)),"Côte d'Ivoire",
TRUE,""
)</f>
        <v/>
      </c>
      <c r="W628" s="30" t="str">
        <f t="shared" si="57"/>
        <v>Greece</v>
      </c>
      <c r="Z628" s="40" t="str">
        <v>Munsu Football Stadium</v>
      </c>
      <c r="AA628" s="40" t="str" cm="1">
        <f t="array" ref="AA628">IFERROR(_xlfn.XLOOKUP(Z628,_xlfn.ANCHORARRAY(Z$31),AA$31:AA$37),Z628)</f>
        <v>Munsu Football Stadium</v>
      </c>
      <c r="AB628" s="42" t="str">
        <v xml:space="preserve">Ulsan </v>
      </c>
      <c r="AC628" s="89" t="str">
        <f t="shared" si="58"/>
        <v xml:space="preserve">Ulsan </v>
      </c>
      <c r="AE628" s="42">
        <v>1998</v>
      </c>
      <c r="AK628" s="42">
        <v>1</v>
      </c>
      <c r="AL628" s="42">
        <v>2</v>
      </c>
      <c r="AW628" s="89" t="str">
        <v>GROUP_STAGE</v>
      </c>
      <c r="BE628" s="43" t="str">
        <f>IF(OR(DATA_CLEANED!AL619="",DATA_CLEANED!AM619=""),"MANQUANT",IF(OR(NOT(ISNUMBER(DATA_CLEANED!AL619)),NOT(ISNUMBER(DATA_CLEANED!AM619))),"ENTREE INVALIDE",IF(OR(DATA_CLEANED!AL619&lt;0,DATA_CLEANED!AM619&lt;0),"SCORE NEGATIF","OK")))</f>
        <v>OK</v>
      </c>
      <c r="BF628" s="43" t="str">
        <f>IF(DATA_CLEANED!AK619&lt;&gt;DATA_CLEANED!AN619,"OK","ERREUR")</f>
        <v>OK</v>
      </c>
      <c r="BG628" s="43" t="str">
        <f>IF(DATA_CLEANED!AL619&gt;DATA_CLEANED!AM619,DATA_CLEANED!AK619,IF(AND(DATA_QUALITE!W5105="-",DATA_CLEANED!AM619=DATA_CLEANED!AL619),"MATCH NUL",IF(AND(DATA_QUALITE!V5105="-",DATA_QUALITE!U5105="AUCUNE"),DATA_QUALITE!T5105,IF(DATA_QUALITE!V5105&lt;&gt;"-",DATA_QUALITE!V5105,DATA_CLEANED!AN619))))</f>
        <v>MATCH NUL</v>
      </c>
      <c r="BH628" s="103" t="str">
        <f>IF(AND(BG628="MATCH NUL",DATA_CLEANED!AO619="-"),"MATCH_NUL",IF(ISNUMBER(SEARCH("win on penalties",W5105)),"WIN_BY_PENALTY",IF(ISNUMBER(SEARCH("win after extra time",W5105)),"WIN_BY_EXTRA_TIME",IF(ISNUMBER(SEARCH("Golden Goal",W5105)),"WIN_BY_GOLDEN_GOAL","WIN_BY_SCORE"))))</f>
        <v>MATCH_NUL</v>
      </c>
      <c r="BI628" s="99" t="str">
        <f>IF(OR(BG628=DATA_CLEANED!AK619,BG628=DATA_CLEANED!AN619,BG628="MATCH NUL"),"OK","ERREUR")</f>
        <v>OK</v>
      </c>
    </row>
    <row r="629" spans="2:61">
      <c r="B629" s="75">
        <v>192</v>
      </c>
      <c r="C629" s="15" t="str">
        <v>Ricardo Rodriguez</v>
      </c>
      <c r="D629" s="15">
        <v>33</v>
      </c>
      <c r="E629" s="15" t="str">
        <v>Switzerland</v>
      </c>
      <c r="F629" s="15" t="str">
        <v>LB</v>
      </c>
      <c r="G629" s="15" t="str">
        <v>Real Betis</v>
      </c>
      <c r="H629" s="15">
        <v>13</v>
      </c>
      <c r="I629" s="15" t="str">
        <f t="shared" si="54"/>
        <v>192|Ricardo Rodriguez|33|Switzerland|LB|Real Betis|13</v>
      </c>
      <c r="J629" s="15" t="str">
        <f>IF(COUNTIF(I$438:I629,I629)&gt;1,"DOUBLON","OK")</f>
        <v>OK</v>
      </c>
      <c r="S629" s="30" t="str">
        <v>Greece</v>
      </c>
      <c r="T629" s="30" t="str">
        <f t="shared" si="55"/>
        <v>OK</v>
      </c>
      <c r="U629" s="30" t="str">
        <f t="shared" si="56"/>
        <v>-</v>
      </c>
      <c r="V629" s="30" t="str" cm="1">
        <f t="array" ref="V629">_xlfn.IFS(
ISNUMBER(SEARCH("USA",S629)),"United States",
ISNUMBER(SEARCH("Republic of Korea",S629)),"South Korea",
ISNUMBER(SEARCH("Cape Verde",S629)),"Cabo Verde",
ISNUMBER(SEARCH("Czechia",S629)),"Czech Republic",
ISNUMBER(SEARCH("Türkiye",S629)),"Turkey",
ISNUMBER(SEARCH("Ivory Coast",S629)),"Côte d'Ivoire",
ISNUMBER(SEARCH("Korea Republic",S629)),"South Korea",
ISNUMBER(SEARCH("Germany FR",S629)),"FR Germany",
ISNUMBER(SEARCH("West Germany",S629)),"FR Germany",
ISNUMBER(SEARCH("Germany DR",S629)),"DR Germany",
ISNUMBER(SEARCH("Korea DPR",S629)),"North Korea",
ISNUMBER(SEARCH("China PR",S629)),"China",
ISNUMBER(SEARCH("IR Iran",S629)),"Iran",
ISNUMBER(SEARCH("Congo DR",S629)),"Democratic Republic of the Congo",
ISNUMBER(SEARCH("DR Congo",S629)),"Democratic Republic of the Congo",
ISNUMBER(SEARCH("German DR",S629)),"DR Germany",
ISNUMBER(SEARCH("rn""&gt;United Arab Emirates",S629)),"United Arab Emirates",
ISNUMBER(SEARCH("rn""&gt;Republic of Ireland",S629)),"Ireland",
ISNUMBER(SEARCH("rn""&gt;Bosnia and Herzegovina",S629)),"Bosnia and Herzegovina",
ISNUMBER(SEARCH("rn""&gt;Trinidad and Tobago",S629)),"Trinidad and Tobago",
ISNUMBER(SEARCH("rn""&gt;Serbia and Montenegro",S629)),"Serbia and Montenegro",
ISNUMBER(SEARCH(_xlfn.UNICHAR(65533),S629)),"Côte d'Ivoire",
TRUE,""
)</f>
        <v/>
      </c>
      <c r="W629" s="30" t="str">
        <f t="shared" si="57"/>
        <v>Greece</v>
      </c>
      <c r="Z629" s="40" t="str">
        <v>Sapporo Dome</v>
      </c>
      <c r="AA629" s="40" t="str" cm="1">
        <f t="array" ref="AA629">IFERROR(_xlfn.XLOOKUP(Z629,_xlfn.ANCHORARRAY(Z$31),AA$31:AA$37),Z629)</f>
        <v>Sapporo Dome</v>
      </c>
      <c r="AB629" s="42" t="str">
        <v xml:space="preserve">Sapporo </v>
      </c>
      <c r="AC629" s="89" t="str">
        <f t="shared" si="58"/>
        <v xml:space="preserve">Sapporo </v>
      </c>
      <c r="AE629" s="42">
        <v>1998</v>
      </c>
      <c r="AK629" s="42">
        <v>1</v>
      </c>
      <c r="AL629" s="42">
        <v>0</v>
      </c>
      <c r="AW629" s="89" t="str">
        <v>GROUP_STAGE</v>
      </c>
      <c r="BE629" s="43" t="str">
        <f>IF(OR(DATA_CLEANED!AL620="",DATA_CLEANED!AM620=""),"MANQUANT",IF(OR(NOT(ISNUMBER(DATA_CLEANED!AL620)),NOT(ISNUMBER(DATA_CLEANED!AM620))),"ENTREE INVALIDE",IF(OR(DATA_CLEANED!AL620&lt;0,DATA_CLEANED!AM620&lt;0),"SCORE NEGATIF","OK")))</f>
        <v>OK</v>
      </c>
      <c r="BF629" s="43" t="str">
        <f>IF(DATA_CLEANED!AK620&lt;&gt;DATA_CLEANED!AN620,"OK","ERREUR")</f>
        <v>OK</v>
      </c>
      <c r="BG629" s="43" t="str">
        <f>IF(DATA_CLEANED!AL620&gt;DATA_CLEANED!AM620,DATA_CLEANED!AK620,IF(AND(DATA_QUALITE!W5106="-",DATA_CLEANED!AM620=DATA_CLEANED!AL620),"MATCH NUL",IF(AND(DATA_QUALITE!V5106="-",DATA_QUALITE!U5106="AUCUNE"),DATA_QUALITE!T5106,IF(DATA_QUALITE!V5106&lt;&gt;"-",DATA_QUALITE!V5106,DATA_CLEANED!AN620))))</f>
        <v>MATCH NUL</v>
      </c>
      <c r="BH629" s="103" t="str">
        <f>IF(AND(BG629="MATCH NUL",DATA_CLEANED!AO620="-"),"MATCH_NUL",IF(ISNUMBER(SEARCH("win on penalties",W5106)),"WIN_BY_PENALTY",IF(ISNUMBER(SEARCH("win after extra time",W5106)),"WIN_BY_EXTRA_TIME",IF(ISNUMBER(SEARCH("Golden Goal",W5106)),"WIN_BY_GOLDEN_GOAL","WIN_BY_SCORE"))))</f>
        <v>MATCH_NUL</v>
      </c>
      <c r="BI629" s="99" t="str">
        <f>IF(OR(BG629=DATA_CLEANED!AK620,BG629=DATA_CLEANED!AN620,BG629="MATCH NUL"),"OK","ERREUR")</f>
        <v>OK</v>
      </c>
    </row>
    <row r="630" spans="2:61">
      <c r="B630" s="75">
        <v>193</v>
      </c>
      <c r="C630" s="15" t="str">
        <v>Silvan Widmer</v>
      </c>
      <c r="D630" s="15">
        <v>33</v>
      </c>
      <c r="E630" s="15" t="str">
        <v>Switzerland</v>
      </c>
      <c r="F630" s="15" t="str">
        <v>RB</v>
      </c>
      <c r="G630" s="15" t="str">
        <v>Mainz 05</v>
      </c>
      <c r="H630" s="15">
        <v>3</v>
      </c>
      <c r="I630" s="15" t="str">
        <f t="shared" si="54"/>
        <v>193|Silvan Widmer|33|Switzerland|RB|Mainz 05|3</v>
      </c>
      <c r="J630" s="15" t="str">
        <f>IF(COUNTIF(I$438:I630,I630)&gt;1,"DOUBLON","OK")</f>
        <v>OK</v>
      </c>
      <c r="S630" s="30" t="str">
        <v>Greece</v>
      </c>
      <c r="T630" s="30" t="str">
        <f t="shared" si="55"/>
        <v>OK</v>
      </c>
      <c r="U630" s="30" t="str">
        <f t="shared" si="56"/>
        <v>-</v>
      </c>
      <c r="V630" s="30" t="str" cm="1">
        <f t="array" ref="V630">_xlfn.IFS(
ISNUMBER(SEARCH("USA",S630)),"United States",
ISNUMBER(SEARCH("Republic of Korea",S630)),"South Korea",
ISNUMBER(SEARCH("Cape Verde",S630)),"Cabo Verde",
ISNUMBER(SEARCH("Czechia",S630)),"Czech Republic",
ISNUMBER(SEARCH("Türkiye",S630)),"Turkey",
ISNUMBER(SEARCH("Ivory Coast",S630)),"Côte d'Ivoire",
ISNUMBER(SEARCH("Korea Republic",S630)),"South Korea",
ISNUMBER(SEARCH("Germany FR",S630)),"FR Germany",
ISNUMBER(SEARCH("West Germany",S630)),"FR Germany",
ISNUMBER(SEARCH("Germany DR",S630)),"DR Germany",
ISNUMBER(SEARCH("Korea DPR",S630)),"North Korea",
ISNUMBER(SEARCH("China PR",S630)),"China",
ISNUMBER(SEARCH("IR Iran",S630)),"Iran",
ISNUMBER(SEARCH("Congo DR",S630)),"Democratic Republic of the Congo",
ISNUMBER(SEARCH("DR Congo",S630)),"Democratic Republic of the Congo",
ISNUMBER(SEARCH("German DR",S630)),"DR Germany",
ISNUMBER(SEARCH("rn""&gt;United Arab Emirates",S630)),"United Arab Emirates",
ISNUMBER(SEARCH("rn""&gt;Republic of Ireland",S630)),"Ireland",
ISNUMBER(SEARCH("rn""&gt;Bosnia and Herzegovina",S630)),"Bosnia and Herzegovina",
ISNUMBER(SEARCH("rn""&gt;Trinidad and Tobago",S630)),"Trinidad and Tobago",
ISNUMBER(SEARCH("rn""&gt;Serbia and Montenegro",S630)),"Serbia and Montenegro",
ISNUMBER(SEARCH(_xlfn.UNICHAR(65533),S630)),"Côte d'Ivoire",
TRUE,""
)</f>
        <v/>
      </c>
      <c r="W630" s="30" t="str">
        <f t="shared" si="57"/>
        <v>Greece</v>
      </c>
      <c r="Z630" s="40" t="str">
        <v>Niigata Stadium Big Swan</v>
      </c>
      <c r="AA630" s="40" t="str" cm="1">
        <f t="array" ref="AA630">IFERROR(_xlfn.XLOOKUP(Z630,_xlfn.ANCHORARRAY(Z$31),AA$31:AA$37),Z630)</f>
        <v>Niigata Stadium Big Swan</v>
      </c>
      <c r="AB630" s="42" t="str">
        <v xml:space="preserve">Niigata </v>
      </c>
      <c r="AC630" s="89" t="str">
        <f t="shared" si="58"/>
        <v xml:space="preserve">Niigata </v>
      </c>
      <c r="AE630" s="42">
        <v>1998</v>
      </c>
      <c r="AK630" s="42">
        <v>2</v>
      </c>
      <c r="AL630" s="42">
        <v>1</v>
      </c>
      <c r="AW630" s="89" t="str">
        <v>GROUP_STAGE</v>
      </c>
      <c r="BE630" s="43" t="str">
        <f>IF(OR(DATA_CLEANED!AL621="",DATA_CLEANED!AM621=""),"MANQUANT",IF(OR(NOT(ISNUMBER(DATA_CLEANED!AL621)),NOT(ISNUMBER(DATA_CLEANED!AM621))),"ENTREE INVALIDE",IF(OR(DATA_CLEANED!AL621&lt;0,DATA_CLEANED!AM621&lt;0),"SCORE NEGATIF","OK")))</f>
        <v>OK</v>
      </c>
      <c r="BF630" s="43" t="str">
        <f>IF(DATA_CLEANED!AK621&lt;&gt;DATA_CLEANED!AN621,"OK","ERREUR")</f>
        <v>OK</v>
      </c>
      <c r="BG630" s="43" t="str">
        <f>IF(DATA_CLEANED!AL621&gt;DATA_CLEANED!AM621,DATA_CLEANED!AK621,IF(AND(DATA_QUALITE!W5107="-",DATA_CLEANED!AM621=DATA_CLEANED!AL621),"MATCH NUL",IF(AND(DATA_QUALITE!V5107="-",DATA_QUALITE!U5107="AUCUNE"),DATA_QUALITE!T5107,IF(DATA_QUALITE!V5107&lt;&gt;"-",DATA_QUALITE!V5107,DATA_CLEANED!AN621))))</f>
        <v>Paraguay</v>
      </c>
      <c r="BH630" s="103" t="str">
        <f>IF(AND(BG630="MATCH NUL",DATA_CLEANED!AO621="-"),"MATCH_NUL",IF(ISNUMBER(SEARCH("win on penalties",W5107)),"WIN_BY_PENALTY",IF(ISNUMBER(SEARCH("win after extra time",W5107)),"WIN_BY_EXTRA_TIME",IF(ISNUMBER(SEARCH("Golden Goal",W5107)),"WIN_BY_GOLDEN_GOAL","WIN_BY_SCORE"))))</f>
        <v>WIN_BY_SCORE</v>
      </c>
      <c r="BI630" s="99" t="str">
        <f>IF(OR(BG630=DATA_CLEANED!AK621,BG630=DATA_CLEANED!AN621,BG630="MATCH NUL"),"OK","ERREUR")</f>
        <v>OK</v>
      </c>
    </row>
    <row r="631" spans="2:61">
      <c r="B631" s="75">
        <v>194</v>
      </c>
      <c r="C631" s="15" t="str">
        <v>Denis Zakaria</v>
      </c>
      <c r="D631" s="15">
        <v>29</v>
      </c>
      <c r="E631" s="15" t="str">
        <v>Switzerland</v>
      </c>
      <c r="F631" s="15" t="str">
        <v>CDM</v>
      </c>
      <c r="G631" s="15" t="str">
        <v>Monaco</v>
      </c>
      <c r="H631" s="15">
        <v>6</v>
      </c>
      <c r="I631" s="15" t="str">
        <f t="shared" ref="I631:I694" si="59">B631&amp;"|"&amp;C631&amp;"|"&amp;D631&amp;"|"&amp;E631&amp;"|"&amp;F631&amp;"|"&amp;G631&amp;"|"&amp;H631</f>
        <v>194|Denis Zakaria|29|Switzerland|CDM|Monaco|6</v>
      </c>
      <c r="J631" s="15" t="str">
        <f>IF(COUNTIF(I$438:I631,I631)&gt;1,"DOUBLON","OK")</f>
        <v>OK</v>
      </c>
      <c r="S631" s="30" t="str">
        <v>Greece</v>
      </c>
      <c r="T631" s="30" t="str">
        <f t="shared" si="55"/>
        <v>OK</v>
      </c>
      <c r="U631" s="30" t="str">
        <f t="shared" si="56"/>
        <v>-</v>
      </c>
      <c r="V631" s="30" t="str" cm="1">
        <f t="array" ref="V631">_xlfn.IFS(
ISNUMBER(SEARCH("USA",S631)),"United States",
ISNUMBER(SEARCH("Republic of Korea",S631)),"South Korea",
ISNUMBER(SEARCH("Cape Verde",S631)),"Cabo Verde",
ISNUMBER(SEARCH("Czechia",S631)),"Czech Republic",
ISNUMBER(SEARCH("Türkiye",S631)),"Turkey",
ISNUMBER(SEARCH("Ivory Coast",S631)),"Côte d'Ivoire",
ISNUMBER(SEARCH("Korea Republic",S631)),"South Korea",
ISNUMBER(SEARCH("Germany FR",S631)),"FR Germany",
ISNUMBER(SEARCH("West Germany",S631)),"FR Germany",
ISNUMBER(SEARCH("Germany DR",S631)),"DR Germany",
ISNUMBER(SEARCH("Korea DPR",S631)),"North Korea",
ISNUMBER(SEARCH("China PR",S631)),"China",
ISNUMBER(SEARCH("IR Iran",S631)),"Iran",
ISNUMBER(SEARCH("Congo DR",S631)),"Democratic Republic of the Congo",
ISNUMBER(SEARCH("DR Congo",S631)),"Democratic Republic of the Congo",
ISNUMBER(SEARCH("German DR",S631)),"DR Germany",
ISNUMBER(SEARCH("rn""&gt;United Arab Emirates",S631)),"United Arab Emirates",
ISNUMBER(SEARCH("rn""&gt;Republic of Ireland",S631)),"Ireland",
ISNUMBER(SEARCH("rn""&gt;Bosnia and Herzegovina",S631)),"Bosnia and Herzegovina",
ISNUMBER(SEARCH("rn""&gt;Trinidad and Tobago",S631)),"Trinidad and Tobago",
ISNUMBER(SEARCH("rn""&gt;Serbia and Montenegro",S631)),"Serbia and Montenegro",
ISNUMBER(SEARCH(_xlfn.UNICHAR(65533),S631)),"Côte d'Ivoire",
TRUE,""
)</f>
        <v/>
      </c>
      <c r="W631" s="30" t="str">
        <f t="shared" si="57"/>
        <v>Greece</v>
      </c>
      <c r="Z631" s="40" t="str">
        <v>Gwangju World Cup Stadium</v>
      </c>
      <c r="AA631" s="40" t="str" cm="1">
        <f t="array" ref="AA631">IFERROR(_xlfn.XLOOKUP(Z631,_xlfn.ANCHORARRAY(Z$31),AA$31:AA$37),Z631)</f>
        <v>Gwangju World Cup Stadium</v>
      </c>
      <c r="AB631" s="42" t="str">
        <v xml:space="preserve">Gwangju </v>
      </c>
      <c r="AC631" s="89" t="str">
        <f t="shared" si="58"/>
        <v xml:space="preserve">Gwangju </v>
      </c>
      <c r="AE631" s="42">
        <v>1998</v>
      </c>
      <c r="AK631" s="42">
        <v>2</v>
      </c>
      <c r="AL631" s="42">
        <v>1</v>
      </c>
      <c r="AW631" s="89" t="str">
        <v>GROUP_STAGE</v>
      </c>
      <c r="BE631" s="43" t="str">
        <f>IF(OR(DATA_CLEANED!AL622="",DATA_CLEANED!AM622=""),"MANQUANT",IF(OR(NOT(ISNUMBER(DATA_CLEANED!AL622)),NOT(ISNUMBER(DATA_CLEANED!AM622))),"ENTREE INVALIDE",IF(OR(DATA_CLEANED!AL622&lt;0,DATA_CLEANED!AM622&lt;0),"SCORE NEGATIF","OK")))</f>
        <v>OK</v>
      </c>
      <c r="BF631" s="43" t="str">
        <f>IF(DATA_CLEANED!AK622&lt;&gt;DATA_CLEANED!AN622,"OK","ERREUR")</f>
        <v>OK</v>
      </c>
      <c r="BG631" s="43" t="str">
        <f>IF(DATA_CLEANED!AL622&gt;DATA_CLEANED!AM622,DATA_CLEANED!AK622,IF(AND(DATA_QUALITE!W5108="-",DATA_CLEANED!AM622=DATA_CLEANED!AL622),"MATCH NUL",IF(AND(DATA_QUALITE!V5108="-",DATA_QUALITE!U5108="AUCUNE"),DATA_QUALITE!T5108,IF(DATA_QUALITE!V5108&lt;&gt;"-",DATA_QUALITE!V5108,DATA_CLEANED!AN622))))</f>
        <v>Spain</v>
      </c>
      <c r="BH631" s="103" t="str">
        <f>IF(AND(BG631="MATCH NUL",DATA_CLEANED!AO622="-"),"MATCH_NUL",IF(ISNUMBER(SEARCH("win on penalties",W5108)),"WIN_BY_PENALTY",IF(ISNUMBER(SEARCH("win after extra time",W5108)),"WIN_BY_EXTRA_TIME",IF(ISNUMBER(SEARCH("Golden Goal",W5108)),"WIN_BY_GOLDEN_GOAL","WIN_BY_SCORE"))))</f>
        <v>WIN_BY_SCORE</v>
      </c>
      <c r="BI631" s="99" t="str">
        <f>IF(OR(BG631=DATA_CLEANED!AK622,BG631=DATA_CLEANED!AN622,BG631="MATCH NUL"),"OK","ERREUR")</f>
        <v>OK</v>
      </c>
    </row>
    <row r="632" spans="2:61">
      <c r="B632" s="75">
        <v>195</v>
      </c>
      <c r="C632" s="15" t="str">
        <v>Ardon Jashari</v>
      </c>
      <c r="D632" s="15">
        <v>23</v>
      </c>
      <c r="E632" s="15" t="str">
        <v>Switzerland</v>
      </c>
      <c r="F632" s="15" t="str">
        <v>CDM</v>
      </c>
      <c r="G632" s="15" t="str">
        <v>AC Milan</v>
      </c>
      <c r="H632" s="15">
        <v>14</v>
      </c>
      <c r="I632" s="15" t="str">
        <f t="shared" si="59"/>
        <v>195|Ardon Jashari|23|Switzerland|CDM|AC Milan|14</v>
      </c>
      <c r="J632" s="15" t="str">
        <f>IF(COUNTIF(I$438:I632,I632)&gt;1,"DOUBLON","OK")</f>
        <v>OK</v>
      </c>
      <c r="S632" s="30" t="str">
        <v>Greece</v>
      </c>
      <c r="T632" s="30" t="str">
        <f t="shared" si="55"/>
        <v>OK</v>
      </c>
      <c r="U632" s="30" t="str">
        <f t="shared" si="56"/>
        <v>-</v>
      </c>
      <c r="V632" s="30" t="str" cm="1">
        <f t="array" ref="V632">_xlfn.IFS(
ISNUMBER(SEARCH("USA",S632)),"United States",
ISNUMBER(SEARCH("Republic of Korea",S632)),"South Korea",
ISNUMBER(SEARCH("Cape Verde",S632)),"Cabo Verde",
ISNUMBER(SEARCH("Czechia",S632)),"Czech Republic",
ISNUMBER(SEARCH("Türkiye",S632)),"Turkey",
ISNUMBER(SEARCH("Ivory Coast",S632)),"Côte d'Ivoire",
ISNUMBER(SEARCH("Korea Republic",S632)),"South Korea",
ISNUMBER(SEARCH("Germany FR",S632)),"FR Germany",
ISNUMBER(SEARCH("West Germany",S632)),"FR Germany",
ISNUMBER(SEARCH("Germany DR",S632)),"DR Germany",
ISNUMBER(SEARCH("Korea DPR",S632)),"North Korea",
ISNUMBER(SEARCH("China PR",S632)),"China",
ISNUMBER(SEARCH("IR Iran",S632)),"Iran",
ISNUMBER(SEARCH("Congo DR",S632)),"Democratic Republic of the Congo",
ISNUMBER(SEARCH("DR Congo",S632)),"Democratic Republic of the Congo",
ISNUMBER(SEARCH("German DR",S632)),"DR Germany",
ISNUMBER(SEARCH("rn""&gt;United Arab Emirates",S632)),"United Arab Emirates",
ISNUMBER(SEARCH("rn""&gt;Republic of Ireland",S632)),"Ireland",
ISNUMBER(SEARCH("rn""&gt;Bosnia and Herzegovina",S632)),"Bosnia and Herzegovina",
ISNUMBER(SEARCH("rn""&gt;Trinidad and Tobago",S632)),"Trinidad and Tobago",
ISNUMBER(SEARCH("rn""&gt;Serbia and Montenegro",S632)),"Serbia and Montenegro",
ISNUMBER(SEARCH(_xlfn.UNICHAR(65533),S632)),"Côte d'Ivoire",
TRUE,""
)</f>
        <v/>
      </c>
      <c r="W632" s="30" t="str">
        <f t="shared" si="57"/>
        <v>Greece</v>
      </c>
      <c r="Z632" s="40" t="str">
        <v>Saitama Stadium 2002</v>
      </c>
      <c r="AA632" s="40" t="str" cm="1">
        <f t="array" ref="AA632">IFERROR(_xlfn.XLOOKUP(Z632,_xlfn.ANCHORARRAY(Z$31),AA$31:AA$37),Z632)</f>
        <v>Saitama Stadium 2002</v>
      </c>
      <c r="AB632" s="42" t="str">
        <v xml:space="preserve">Saitama </v>
      </c>
      <c r="AC632" s="89" t="str">
        <f t="shared" si="58"/>
        <v xml:space="preserve">Saitama </v>
      </c>
      <c r="AE632" s="42">
        <v>1998</v>
      </c>
      <c r="AK632" s="42">
        <v>1</v>
      </c>
      <c r="AL632" s="42">
        <v>1</v>
      </c>
      <c r="AW632" s="89" t="str">
        <v>GROUP_STAGE</v>
      </c>
      <c r="BE632" s="43" t="str">
        <f>IF(OR(DATA_CLEANED!AL623="",DATA_CLEANED!AM623=""),"MANQUANT",IF(OR(NOT(ISNUMBER(DATA_CLEANED!AL623)),NOT(ISNUMBER(DATA_CLEANED!AM623))),"ENTREE INVALIDE",IF(OR(DATA_CLEANED!AL623&lt;0,DATA_CLEANED!AM623&lt;0),"SCORE NEGATIF","OK")))</f>
        <v>OK</v>
      </c>
      <c r="BF632" s="43" t="str">
        <f>IF(DATA_CLEANED!AK623&lt;&gt;DATA_CLEANED!AN623,"OK","ERREUR")</f>
        <v>OK</v>
      </c>
      <c r="BG632" s="43" t="str">
        <f>IF(DATA_CLEANED!AL623&gt;DATA_CLEANED!AM623,DATA_CLEANED!AK623,IF(AND(DATA_QUALITE!W5109="-",DATA_CLEANED!AM623=DATA_CLEANED!AL623),"MATCH NUL",IF(AND(DATA_QUALITE!V5109="-",DATA_QUALITE!U5109="AUCUNE"),DATA_QUALITE!T5109,IF(DATA_QUALITE!V5109&lt;&gt;"-",DATA_QUALITE!V5109,DATA_CLEANED!AN623))))</f>
        <v>Brazil</v>
      </c>
      <c r="BH632" s="103" t="str">
        <f>IF(AND(BG632="MATCH NUL",DATA_CLEANED!AO623="-"),"MATCH_NUL",IF(ISNUMBER(SEARCH("win on penalties",W5109)),"WIN_BY_PENALTY",IF(ISNUMBER(SEARCH("win after extra time",W5109)),"WIN_BY_EXTRA_TIME",IF(ISNUMBER(SEARCH("Golden Goal",W5109)),"WIN_BY_GOLDEN_GOAL","WIN_BY_SCORE"))))</f>
        <v>WIN_BY_SCORE</v>
      </c>
      <c r="BI632" s="99" t="str">
        <f>IF(OR(BG632=DATA_CLEANED!AK623,BG632=DATA_CLEANED!AN623,BG632="MATCH NUL"),"OK","ERREUR")</f>
        <v>OK</v>
      </c>
    </row>
    <row r="633" spans="2:61">
      <c r="B633" s="75">
        <v>196</v>
      </c>
      <c r="C633" s="15" t="str">
        <v>Remo Freuler</v>
      </c>
      <c r="D633" s="15">
        <v>34</v>
      </c>
      <c r="E633" s="15" t="str">
        <v>Switzerland</v>
      </c>
      <c r="F633" s="15" t="str">
        <v>CM</v>
      </c>
      <c r="G633" s="15" t="str">
        <v>Bologna</v>
      </c>
      <c r="H633" s="15">
        <v>8</v>
      </c>
      <c r="I633" s="15" t="str">
        <f t="shared" si="59"/>
        <v>196|Remo Freuler|34|Switzerland|CM|Bologna|8</v>
      </c>
      <c r="J633" s="15" t="str">
        <f>IF(COUNTIF(I$438:I633,I633)&gt;1,"DOUBLON","OK")</f>
        <v>OK</v>
      </c>
      <c r="S633" s="30" t="str">
        <v>Greece</v>
      </c>
      <c r="T633" s="30" t="str">
        <f t="shared" si="55"/>
        <v>OK</v>
      </c>
      <c r="U633" s="30" t="str">
        <f t="shared" si="56"/>
        <v>-</v>
      </c>
      <c r="V633" s="30" t="str" cm="1">
        <f t="array" ref="V633">_xlfn.IFS(
ISNUMBER(SEARCH("USA",S633)),"United States",
ISNUMBER(SEARCH("Republic of Korea",S633)),"South Korea",
ISNUMBER(SEARCH("Cape Verde",S633)),"Cabo Verde",
ISNUMBER(SEARCH("Czechia",S633)),"Czech Republic",
ISNUMBER(SEARCH("Türkiye",S633)),"Turkey",
ISNUMBER(SEARCH("Ivory Coast",S633)),"Côte d'Ivoire",
ISNUMBER(SEARCH("Korea Republic",S633)),"South Korea",
ISNUMBER(SEARCH("Germany FR",S633)),"FR Germany",
ISNUMBER(SEARCH("West Germany",S633)),"FR Germany",
ISNUMBER(SEARCH("Germany DR",S633)),"DR Germany",
ISNUMBER(SEARCH("Korea DPR",S633)),"North Korea",
ISNUMBER(SEARCH("China PR",S633)),"China",
ISNUMBER(SEARCH("IR Iran",S633)),"Iran",
ISNUMBER(SEARCH("Congo DR",S633)),"Democratic Republic of the Congo",
ISNUMBER(SEARCH("DR Congo",S633)),"Democratic Republic of the Congo",
ISNUMBER(SEARCH("German DR",S633)),"DR Germany",
ISNUMBER(SEARCH("rn""&gt;United Arab Emirates",S633)),"United Arab Emirates",
ISNUMBER(SEARCH("rn""&gt;Republic of Ireland",S633)),"Ireland",
ISNUMBER(SEARCH("rn""&gt;Bosnia and Herzegovina",S633)),"Bosnia and Herzegovina",
ISNUMBER(SEARCH("rn""&gt;Trinidad and Tobago",S633)),"Trinidad and Tobago",
ISNUMBER(SEARCH("rn""&gt;Serbia and Montenegro",S633)),"Serbia and Montenegro",
ISNUMBER(SEARCH(_xlfn.UNICHAR(65533),S633)),"Côte d'Ivoire",
TRUE,""
)</f>
        <v/>
      </c>
      <c r="W633" s="30" t="str">
        <f t="shared" si="57"/>
        <v>Greece</v>
      </c>
      <c r="Z633" s="40" t="str">
        <v>Busan Asiad Main Stadium</v>
      </c>
      <c r="AA633" s="40" t="str" cm="1">
        <f t="array" ref="AA633">IFERROR(_xlfn.XLOOKUP(Z633,_xlfn.ANCHORARRAY(Z$31),AA$31:AA$37),Z633)</f>
        <v>Busan Asiad Main Stadium</v>
      </c>
      <c r="AB633" s="42" t="str">
        <v xml:space="preserve">Busan </v>
      </c>
      <c r="AC633" s="89" t="str">
        <f t="shared" si="58"/>
        <v xml:space="preserve">Busan </v>
      </c>
      <c r="AE633" s="42">
        <v>1998</v>
      </c>
      <c r="AK633" s="42">
        <v>0</v>
      </c>
      <c r="AL633" s="42">
        <v>3</v>
      </c>
      <c r="AW633" s="89" t="str">
        <v>GROUP_STAGE</v>
      </c>
      <c r="BE633" s="43" t="str">
        <f>IF(OR(DATA_CLEANED!AL624="",DATA_CLEANED!AM624=""),"MANQUANT",IF(OR(NOT(ISNUMBER(DATA_CLEANED!AL624)),NOT(ISNUMBER(DATA_CLEANED!AM624))),"ENTREE INVALIDE",IF(OR(DATA_CLEANED!AL624&lt;0,DATA_CLEANED!AM624&lt;0),"SCORE NEGATIF","OK")))</f>
        <v>OK</v>
      </c>
      <c r="BF633" s="43" t="str">
        <f>IF(DATA_CLEANED!AK624&lt;&gt;DATA_CLEANED!AN624,"OK","ERREUR")</f>
        <v>OK</v>
      </c>
      <c r="BG633" s="43" t="str">
        <f>IF(DATA_CLEANED!AL624&gt;DATA_CLEANED!AM624,DATA_CLEANED!AK624,IF(AND(DATA_QUALITE!W5110="-",DATA_CLEANED!AM624=DATA_CLEANED!AL624),"MATCH NUL",IF(AND(DATA_QUALITE!V5110="-",DATA_QUALITE!U5110="AUCUNE"),DATA_QUALITE!T5110,IF(DATA_QUALITE!V5110&lt;&gt;"-",DATA_QUALITE!V5110,DATA_CLEANED!AN624))))</f>
        <v>Turkey</v>
      </c>
      <c r="BH633" s="103" t="str">
        <f>IF(AND(BG633="MATCH NUL",DATA_CLEANED!AO624="-"),"MATCH_NUL",IF(ISNUMBER(SEARCH("win on penalties",W5110)),"WIN_BY_PENALTY",IF(ISNUMBER(SEARCH("win after extra time",W5110)),"WIN_BY_EXTRA_TIME",IF(ISNUMBER(SEARCH("Golden Goal",W5110)),"WIN_BY_GOLDEN_GOAL","WIN_BY_SCORE"))))</f>
        <v>WIN_BY_SCORE</v>
      </c>
      <c r="BI633" s="99" t="str">
        <f>IF(OR(BG633=DATA_CLEANED!AK624,BG633=DATA_CLEANED!AN624,BG633="MATCH NUL"),"OK","ERREUR")</f>
        <v>OK</v>
      </c>
    </row>
    <row r="634" spans="2:61">
      <c r="B634" s="75">
        <v>197</v>
      </c>
      <c r="C634" s="15" t="str">
        <v>Johan Manzambi</v>
      </c>
      <c r="D634" s="15">
        <v>20</v>
      </c>
      <c r="E634" s="15" t="str">
        <v>Switzerland</v>
      </c>
      <c r="F634" s="15" t="str">
        <v>CM</v>
      </c>
      <c r="G634" s="15" t="str">
        <v>SC Freiburg</v>
      </c>
      <c r="H634" s="15">
        <v>9</v>
      </c>
      <c r="I634" s="15" t="str">
        <f t="shared" si="59"/>
        <v>197|Johan Manzambi|20|Switzerland|CM|SC Freiburg|9</v>
      </c>
      <c r="J634" s="15" t="str">
        <f>IF(COUNTIF(I$438:I634,I634)&gt;1,"DOUBLON","OK")</f>
        <v>OK</v>
      </c>
      <c r="S634" s="30" t="str">
        <v>Greece</v>
      </c>
      <c r="T634" s="30" t="str">
        <f t="shared" si="55"/>
        <v>OK</v>
      </c>
      <c r="U634" s="30" t="str">
        <f t="shared" si="56"/>
        <v>-</v>
      </c>
      <c r="V634" s="30" t="str" cm="1">
        <f t="array" ref="V634">_xlfn.IFS(
ISNUMBER(SEARCH("USA",S634)),"United States",
ISNUMBER(SEARCH("Republic of Korea",S634)),"South Korea",
ISNUMBER(SEARCH("Cape Verde",S634)),"Cabo Verde",
ISNUMBER(SEARCH("Czechia",S634)),"Czech Republic",
ISNUMBER(SEARCH("Türkiye",S634)),"Turkey",
ISNUMBER(SEARCH("Ivory Coast",S634)),"Côte d'Ivoire",
ISNUMBER(SEARCH("Korea Republic",S634)),"South Korea",
ISNUMBER(SEARCH("Germany FR",S634)),"FR Germany",
ISNUMBER(SEARCH("West Germany",S634)),"FR Germany",
ISNUMBER(SEARCH("Germany DR",S634)),"DR Germany",
ISNUMBER(SEARCH("Korea DPR",S634)),"North Korea",
ISNUMBER(SEARCH("China PR",S634)),"China",
ISNUMBER(SEARCH("IR Iran",S634)),"Iran",
ISNUMBER(SEARCH("Congo DR",S634)),"Democratic Republic of the Congo",
ISNUMBER(SEARCH("DR Congo",S634)),"Democratic Republic of the Congo",
ISNUMBER(SEARCH("German DR",S634)),"DR Germany",
ISNUMBER(SEARCH("rn""&gt;United Arab Emirates",S634)),"United Arab Emirates",
ISNUMBER(SEARCH("rn""&gt;Republic of Ireland",S634)),"Ireland",
ISNUMBER(SEARCH("rn""&gt;Bosnia and Herzegovina",S634)),"Bosnia and Herzegovina",
ISNUMBER(SEARCH("rn""&gt;Trinidad and Tobago",S634)),"Trinidad and Tobago",
ISNUMBER(SEARCH("rn""&gt;Serbia and Montenegro",S634)),"Serbia and Montenegro",
ISNUMBER(SEARCH(_xlfn.UNICHAR(65533),S634)),"Côte d'Ivoire",
TRUE,""
)</f>
        <v/>
      </c>
      <c r="W634" s="30" t="str">
        <f t="shared" si="57"/>
        <v>Greece</v>
      </c>
      <c r="Z634" s="40" t="str">
        <v>Kobe Wing Stadium</v>
      </c>
      <c r="AA634" s="40" t="str" cm="1">
        <f t="array" ref="AA634">IFERROR(_xlfn.XLOOKUP(Z634,_xlfn.ANCHORARRAY(Z$31),AA$31:AA$37),Z634)</f>
        <v>Kobe Wing Stadium</v>
      </c>
      <c r="AB634" s="42" t="str">
        <v xml:space="preserve">Kobe </v>
      </c>
      <c r="AC634" s="89" t="str">
        <f t="shared" si="58"/>
        <v xml:space="preserve">Kobe </v>
      </c>
      <c r="AE634" s="42">
        <v>1998</v>
      </c>
      <c r="AK634" s="42">
        <v>1</v>
      </c>
      <c r="AL634" s="42">
        <v>2</v>
      </c>
      <c r="AW634" s="89" t="str">
        <v>GROUP_STAGE</v>
      </c>
      <c r="BE634" s="43" t="str">
        <f>IF(OR(DATA_CLEANED!AL625="",DATA_CLEANED!AM625=""),"MANQUANT",IF(OR(NOT(ISNUMBER(DATA_CLEANED!AL625)),NOT(ISNUMBER(DATA_CLEANED!AM625))),"ENTREE INVALIDE",IF(OR(DATA_CLEANED!AL625&lt;0,DATA_CLEANED!AM625&lt;0),"SCORE NEGATIF","OK")))</f>
        <v>OK</v>
      </c>
      <c r="BF634" s="43" t="str">
        <f>IF(DATA_CLEANED!AK625&lt;&gt;DATA_CLEANED!AN625,"OK","ERREUR")</f>
        <v>OK</v>
      </c>
      <c r="BG634" s="43" t="str">
        <f>IF(DATA_CLEANED!AL625&gt;DATA_CLEANED!AM625,DATA_CLEANED!AK625,IF(AND(DATA_QUALITE!W5111="-",DATA_CLEANED!AM625=DATA_CLEANED!AL625),"MATCH NUL",IF(AND(DATA_QUALITE!V5111="-",DATA_QUALITE!U5111="AUCUNE"),DATA_QUALITE!T5111,IF(DATA_QUALITE!V5111&lt;&gt;"-",DATA_QUALITE!V5111,DATA_CLEANED!AN625))))</f>
        <v>Ecuador</v>
      </c>
      <c r="BH634" s="103" t="str">
        <f>IF(AND(BG634="MATCH NUL",DATA_CLEANED!AO625="-"),"MATCH_NUL",IF(ISNUMBER(SEARCH("win on penalties",W5111)),"WIN_BY_PENALTY",IF(ISNUMBER(SEARCH("win after extra time",W5111)),"WIN_BY_EXTRA_TIME",IF(ISNUMBER(SEARCH("Golden Goal",W5111)),"WIN_BY_GOLDEN_GOAL","WIN_BY_SCORE"))))</f>
        <v>WIN_BY_SCORE</v>
      </c>
      <c r="BI634" s="99" t="str">
        <f>IF(OR(BG634=DATA_CLEANED!AK625,BG634=DATA_CLEANED!AN625,BG634="MATCH NUL"),"OK","ERREUR")</f>
        <v>OK</v>
      </c>
    </row>
    <row r="635" spans="2:61">
      <c r="B635" s="75">
        <v>198</v>
      </c>
      <c r="C635" s="15" t="str">
        <v>Granit Xhaka</v>
      </c>
      <c r="D635" s="15">
        <v>33</v>
      </c>
      <c r="E635" s="15" t="str">
        <v>Switzerland</v>
      </c>
      <c r="F635" s="15" t="str">
        <v>CM</v>
      </c>
      <c r="G635" s="15" t="str">
        <v>Sunderland</v>
      </c>
      <c r="H635" s="15">
        <v>10</v>
      </c>
      <c r="I635" s="15" t="str">
        <f t="shared" si="59"/>
        <v>198|Granit Xhaka|33|Switzerland|CM|Sunderland|10</v>
      </c>
      <c r="J635" s="15" t="str">
        <f>IF(COUNTIF(I$438:I635,I635)&gt;1,"DOUBLON","OK")</f>
        <v>OK</v>
      </c>
      <c r="S635" s="30" t="str">
        <v>Greece</v>
      </c>
      <c r="T635" s="30" t="str">
        <f t="shared" ref="T635:T698" si="60">IF(COUNTIF(R$21:R$250,S635)=1,"OK","ERREUR")</f>
        <v>OK</v>
      </c>
      <c r="U635" s="30" t="str">
        <f t="shared" si="56"/>
        <v>-</v>
      </c>
      <c r="V635" s="30" t="str" cm="1">
        <f t="array" ref="V635">_xlfn.IFS(
ISNUMBER(SEARCH("USA",S635)),"United States",
ISNUMBER(SEARCH("Republic of Korea",S635)),"South Korea",
ISNUMBER(SEARCH("Cape Verde",S635)),"Cabo Verde",
ISNUMBER(SEARCH("Czechia",S635)),"Czech Republic",
ISNUMBER(SEARCH("Türkiye",S635)),"Turkey",
ISNUMBER(SEARCH("Ivory Coast",S635)),"Côte d'Ivoire",
ISNUMBER(SEARCH("Korea Republic",S635)),"South Korea",
ISNUMBER(SEARCH("Germany FR",S635)),"FR Germany",
ISNUMBER(SEARCH("West Germany",S635)),"FR Germany",
ISNUMBER(SEARCH("Germany DR",S635)),"DR Germany",
ISNUMBER(SEARCH("Korea DPR",S635)),"North Korea",
ISNUMBER(SEARCH("China PR",S635)),"China",
ISNUMBER(SEARCH("IR Iran",S635)),"Iran",
ISNUMBER(SEARCH("Congo DR",S635)),"Democratic Republic of the Congo",
ISNUMBER(SEARCH("DR Congo",S635)),"Democratic Republic of the Congo",
ISNUMBER(SEARCH("German DR",S635)),"DR Germany",
ISNUMBER(SEARCH("rn""&gt;United Arab Emirates",S635)),"United Arab Emirates",
ISNUMBER(SEARCH("rn""&gt;Republic of Ireland",S635)),"Ireland",
ISNUMBER(SEARCH("rn""&gt;Bosnia and Herzegovina",S635)),"Bosnia and Herzegovina",
ISNUMBER(SEARCH("rn""&gt;Trinidad and Tobago",S635)),"Trinidad and Tobago",
ISNUMBER(SEARCH("rn""&gt;Serbia and Montenegro",S635)),"Serbia and Montenegro",
ISNUMBER(SEARCH(_xlfn.UNICHAR(65533),S635)),"Côte d'Ivoire",
TRUE,""
)</f>
        <v/>
      </c>
      <c r="W635" s="30" t="str">
        <f t="shared" si="57"/>
        <v>Greece</v>
      </c>
      <c r="Z635" s="40" t="str">
        <v>Suwon World Cup Stadium</v>
      </c>
      <c r="AA635" s="40" t="str" cm="1">
        <f t="array" ref="AA635">IFERROR(_xlfn.XLOOKUP(Z635,_xlfn.ANCHORARRAY(Z$31),AA$31:AA$37),Z635)</f>
        <v>Suwon World Cup Stadium</v>
      </c>
      <c r="AB635" s="42" t="str">
        <v xml:space="preserve">Suwon </v>
      </c>
      <c r="AC635" s="89" t="str">
        <f t="shared" si="58"/>
        <v xml:space="preserve">Suwon </v>
      </c>
      <c r="AE635" s="42">
        <v>1998</v>
      </c>
      <c r="AK635" s="42">
        <v>2</v>
      </c>
      <c r="AL635" s="42">
        <v>1</v>
      </c>
      <c r="AW635" s="89" t="str">
        <v>GROUP_STAGE</v>
      </c>
      <c r="BE635" s="43" t="str">
        <f>IF(OR(DATA_CLEANED!AL626="",DATA_CLEANED!AM626=""),"MANQUANT",IF(OR(NOT(ISNUMBER(DATA_CLEANED!AL626)),NOT(ISNUMBER(DATA_CLEANED!AM626))),"ENTREE INVALIDE",IF(OR(DATA_CLEANED!AL626&lt;0,DATA_CLEANED!AM626&lt;0),"SCORE NEGATIF","OK")))</f>
        <v>OK</v>
      </c>
      <c r="BF635" s="43" t="str">
        <f>IF(DATA_CLEANED!AK626&lt;&gt;DATA_CLEANED!AN626,"OK","ERREUR")</f>
        <v>OK</v>
      </c>
      <c r="BG635" s="43" t="str">
        <f>IF(DATA_CLEANED!AL626&gt;DATA_CLEANED!AM626,DATA_CLEANED!AK626,IF(AND(DATA_QUALITE!W5112="-",DATA_CLEANED!AM626=DATA_CLEANED!AL626),"MATCH NUL",IF(AND(DATA_QUALITE!V5112="-",DATA_QUALITE!U5112="AUCUNE"),DATA_QUALITE!T5112,IF(DATA_QUALITE!V5112&lt;&gt;"-",DATA_QUALITE!V5112,DATA_CLEANED!AN626))))</f>
        <v>MATCH NUL</v>
      </c>
      <c r="BH635" s="103" t="str">
        <f>IF(AND(BG635="MATCH NUL",DATA_CLEANED!AO626="-"),"MATCH_NUL",IF(ISNUMBER(SEARCH("win on penalties",W5112)),"WIN_BY_PENALTY",IF(ISNUMBER(SEARCH("win after extra time",W5112)),"WIN_BY_EXTRA_TIME",IF(ISNUMBER(SEARCH("Golden Goal",W5112)),"WIN_BY_GOLDEN_GOAL","WIN_BY_SCORE"))))</f>
        <v>MATCH_NUL</v>
      </c>
      <c r="BI635" s="99" t="str">
        <f>IF(OR(BG635=DATA_CLEANED!AK626,BG635=DATA_CLEANED!AN626,BG635="MATCH NUL"),"OK","ERREUR")</f>
        <v>OK</v>
      </c>
    </row>
    <row r="636" spans="2:61">
      <c r="B636" s="75">
        <v>199</v>
      </c>
      <c r="C636" s="15" t="str">
        <v>Djibril Sow</v>
      </c>
      <c r="D636" s="15">
        <v>29</v>
      </c>
      <c r="E636" s="15" t="str">
        <v>Switzerland</v>
      </c>
      <c r="F636" s="15" t="str">
        <v>CM</v>
      </c>
      <c r="G636" s="15" t="str">
        <v>Sevilla</v>
      </c>
      <c r="H636" s="15">
        <v>15</v>
      </c>
      <c r="I636" s="15" t="str">
        <f t="shared" si="59"/>
        <v>199|Djibril Sow|29|Switzerland|CM|Sevilla|15</v>
      </c>
      <c r="J636" s="15" t="str">
        <f>IF(COUNTIF(I$438:I636,I636)&gt;1,"DOUBLON","OK")</f>
        <v>OK</v>
      </c>
      <c r="S636" s="30" t="str">
        <v>Costa Rica</v>
      </c>
      <c r="T636" s="30" t="str">
        <f t="shared" si="60"/>
        <v>OK</v>
      </c>
      <c r="U636" s="30" t="str">
        <f t="shared" si="56"/>
        <v>-</v>
      </c>
      <c r="V636" s="30" t="str" cm="1">
        <f t="array" ref="V636">_xlfn.IFS(
ISNUMBER(SEARCH("USA",S636)),"United States",
ISNUMBER(SEARCH("Republic of Korea",S636)),"South Korea",
ISNUMBER(SEARCH("Cape Verde",S636)),"Cabo Verde",
ISNUMBER(SEARCH("Czechia",S636)),"Czech Republic",
ISNUMBER(SEARCH("Türkiye",S636)),"Turkey",
ISNUMBER(SEARCH("Ivory Coast",S636)),"Côte d'Ivoire",
ISNUMBER(SEARCH("Korea Republic",S636)),"South Korea",
ISNUMBER(SEARCH("Germany FR",S636)),"FR Germany",
ISNUMBER(SEARCH("West Germany",S636)),"FR Germany",
ISNUMBER(SEARCH("Germany DR",S636)),"DR Germany",
ISNUMBER(SEARCH("Korea DPR",S636)),"North Korea",
ISNUMBER(SEARCH("China PR",S636)),"China",
ISNUMBER(SEARCH("IR Iran",S636)),"Iran",
ISNUMBER(SEARCH("Congo DR",S636)),"Democratic Republic of the Congo",
ISNUMBER(SEARCH("DR Congo",S636)),"Democratic Republic of the Congo",
ISNUMBER(SEARCH("German DR",S636)),"DR Germany",
ISNUMBER(SEARCH("rn""&gt;United Arab Emirates",S636)),"United Arab Emirates",
ISNUMBER(SEARCH("rn""&gt;Republic of Ireland",S636)),"Ireland",
ISNUMBER(SEARCH("rn""&gt;Bosnia and Herzegovina",S636)),"Bosnia and Herzegovina",
ISNUMBER(SEARCH("rn""&gt;Trinidad and Tobago",S636)),"Trinidad and Tobago",
ISNUMBER(SEARCH("rn""&gt;Serbia and Montenegro",S636)),"Serbia and Montenegro",
ISNUMBER(SEARCH(_xlfn.UNICHAR(65533),S636)),"Côte d'Ivoire",
TRUE,""
)</f>
        <v/>
      </c>
      <c r="W636" s="30" t="str">
        <f t="shared" si="57"/>
        <v>Costa Rica</v>
      </c>
      <c r="Z636" s="40" t="str">
        <v>Kashima Stadium</v>
      </c>
      <c r="AA636" s="40" t="str" cm="1">
        <f t="array" ref="AA636">IFERROR(_xlfn.XLOOKUP(Z636,_xlfn.ANCHORARRAY(Z$31),AA$31:AA$37),Z636)</f>
        <v>Kashima Stadium</v>
      </c>
      <c r="AB636" s="42" t="str">
        <v xml:space="preserve">Ibaraki </v>
      </c>
      <c r="AC636" s="89" t="str">
        <f t="shared" si="58"/>
        <v xml:space="preserve">Ibaraki </v>
      </c>
      <c r="AE636" s="42">
        <v>1998</v>
      </c>
      <c r="AK636" s="42">
        <v>2</v>
      </c>
      <c r="AL636" s="42">
        <v>2</v>
      </c>
      <c r="AW636" s="89" t="str">
        <v>GROUP_STAGE</v>
      </c>
      <c r="BE636" s="43" t="str">
        <f>IF(OR(DATA_CLEANED!AL627="",DATA_CLEANED!AM627=""),"MANQUANT",IF(OR(NOT(ISNUMBER(DATA_CLEANED!AL627)),NOT(ISNUMBER(DATA_CLEANED!AM627))),"ENTREE INVALIDE",IF(OR(DATA_CLEANED!AL627&lt;0,DATA_CLEANED!AM627&lt;0),"SCORE NEGATIF","OK")))</f>
        <v>OK</v>
      </c>
      <c r="BF636" s="43" t="str">
        <f>IF(DATA_CLEANED!AK627&lt;&gt;DATA_CLEANED!AN627,"OK","ERREUR")</f>
        <v>OK</v>
      </c>
      <c r="BG636" s="43" t="str">
        <f>IF(DATA_CLEANED!AL627&gt;DATA_CLEANED!AM627,DATA_CLEANED!AK627,IF(AND(DATA_QUALITE!W5113="-",DATA_CLEANED!AM627=DATA_CLEANED!AL627),"MATCH NUL",IF(AND(DATA_QUALITE!V5113="-",DATA_QUALITE!U5113="AUCUNE"),DATA_QUALITE!T5113,IF(DATA_QUALITE!V5113&lt;&gt;"-",DATA_QUALITE!V5113,DATA_CLEANED!AN627))))</f>
        <v>Japan</v>
      </c>
      <c r="BH636" s="103" t="str">
        <f>IF(AND(BG636="MATCH NUL",DATA_CLEANED!AO627="-"),"MATCH_NUL",IF(ISNUMBER(SEARCH("win on penalties",W5113)),"WIN_BY_PENALTY",IF(ISNUMBER(SEARCH("win after extra time",W5113)),"WIN_BY_EXTRA_TIME",IF(ISNUMBER(SEARCH("Golden Goal",W5113)),"WIN_BY_GOLDEN_GOAL","WIN_BY_SCORE"))))</f>
        <v>WIN_BY_SCORE</v>
      </c>
      <c r="BI636" s="99" t="str">
        <f>IF(OR(BG636=DATA_CLEANED!AK627,BG636=DATA_CLEANED!AN627,BG636="MATCH NUL"),"OK","ERREUR")</f>
        <v>OK</v>
      </c>
    </row>
    <row r="637" spans="2:61">
      <c r="B637" s="75">
        <v>200</v>
      </c>
      <c r="C637" s="15" t="str">
        <v>Michel Aebischer</v>
      </c>
      <c r="D637" s="15">
        <v>29</v>
      </c>
      <c r="E637" s="15" t="str">
        <v>Switzerland</v>
      </c>
      <c r="F637" s="15" t="str">
        <v>CM</v>
      </c>
      <c r="G637" s="15" t="str">
        <v>Pisa</v>
      </c>
      <c r="H637" s="15">
        <v>20</v>
      </c>
      <c r="I637" s="15" t="str">
        <f t="shared" si="59"/>
        <v>200|Michel Aebischer|29|Switzerland|CM|Pisa|20</v>
      </c>
      <c r="J637" s="15" t="str">
        <f>IF(COUNTIF(I$438:I637,I637)&gt;1,"DOUBLON","OK")</f>
        <v>OK</v>
      </c>
      <c r="S637" s="30" t="str">
        <v>Costa Rica</v>
      </c>
      <c r="T637" s="30" t="str">
        <f t="shared" si="60"/>
        <v>OK</v>
      </c>
      <c r="U637" s="30" t="str">
        <f t="shared" si="56"/>
        <v>-</v>
      </c>
      <c r="V637" s="30" t="str" cm="1">
        <f t="array" ref="V637">_xlfn.IFS(
ISNUMBER(SEARCH("USA",S637)),"United States",
ISNUMBER(SEARCH("Republic of Korea",S637)),"South Korea",
ISNUMBER(SEARCH("Cape Verde",S637)),"Cabo Verde",
ISNUMBER(SEARCH("Czechia",S637)),"Czech Republic",
ISNUMBER(SEARCH("Türkiye",S637)),"Turkey",
ISNUMBER(SEARCH("Ivory Coast",S637)),"Côte d'Ivoire",
ISNUMBER(SEARCH("Korea Republic",S637)),"South Korea",
ISNUMBER(SEARCH("Germany FR",S637)),"FR Germany",
ISNUMBER(SEARCH("West Germany",S637)),"FR Germany",
ISNUMBER(SEARCH("Germany DR",S637)),"DR Germany",
ISNUMBER(SEARCH("Korea DPR",S637)),"North Korea",
ISNUMBER(SEARCH("China PR",S637)),"China",
ISNUMBER(SEARCH("IR Iran",S637)),"Iran",
ISNUMBER(SEARCH("Congo DR",S637)),"Democratic Republic of the Congo",
ISNUMBER(SEARCH("DR Congo",S637)),"Democratic Republic of the Congo",
ISNUMBER(SEARCH("German DR",S637)),"DR Germany",
ISNUMBER(SEARCH("rn""&gt;United Arab Emirates",S637)),"United Arab Emirates",
ISNUMBER(SEARCH("rn""&gt;Republic of Ireland",S637)),"Ireland",
ISNUMBER(SEARCH("rn""&gt;Bosnia and Herzegovina",S637)),"Bosnia and Herzegovina",
ISNUMBER(SEARCH("rn""&gt;Trinidad and Tobago",S637)),"Trinidad and Tobago",
ISNUMBER(SEARCH("rn""&gt;Serbia and Montenegro",S637)),"Serbia and Montenegro",
ISNUMBER(SEARCH(_xlfn.UNICHAR(65533),S637)),"Côte d'Ivoire",
TRUE,""
)</f>
        <v/>
      </c>
      <c r="W637" s="30" t="str">
        <f t="shared" si="57"/>
        <v>Costa Rica</v>
      </c>
      <c r="Z637" s="40" t="str">
        <v>Daegu World Cup Stadium</v>
      </c>
      <c r="AA637" s="40" t="str" cm="1">
        <f t="array" ref="AA637">IFERROR(_xlfn.XLOOKUP(Z637,_xlfn.ANCHORARRAY(Z$31),AA$31:AA$37),Z637)</f>
        <v>Daegu World Cup Stadium</v>
      </c>
      <c r="AB637" s="42" t="str">
        <v xml:space="preserve">Daegu </v>
      </c>
      <c r="AC637" s="89" t="str">
        <f t="shared" si="58"/>
        <v xml:space="preserve">Daegu </v>
      </c>
      <c r="AE637" s="42">
        <v>1998</v>
      </c>
      <c r="AK637" s="42">
        <v>6</v>
      </c>
      <c r="AL637" s="42">
        <v>1</v>
      </c>
      <c r="AW637" s="89" t="str">
        <v>GROUP_STAGE</v>
      </c>
      <c r="BE637" s="43" t="str">
        <f>IF(OR(DATA_CLEANED!AL628="",DATA_CLEANED!AM628=""),"MANQUANT",IF(OR(NOT(ISNUMBER(DATA_CLEANED!AL628)),NOT(ISNUMBER(DATA_CLEANED!AM628))),"ENTREE INVALIDE",IF(OR(DATA_CLEANED!AL628&lt;0,DATA_CLEANED!AM628&lt;0),"SCORE NEGATIF","OK")))</f>
        <v>OK</v>
      </c>
      <c r="BF637" s="43" t="str">
        <f>IF(DATA_CLEANED!AK628&lt;&gt;DATA_CLEANED!AN628,"OK","ERREUR")</f>
        <v>OK</v>
      </c>
      <c r="BG637" s="43" t="str">
        <f>IF(DATA_CLEANED!AL628&gt;DATA_CLEANED!AM628,DATA_CLEANED!AK628,IF(AND(DATA_QUALITE!W5114="-",DATA_CLEANED!AM628=DATA_CLEANED!AL628),"MATCH NUL",IF(AND(DATA_QUALITE!V5114="-",DATA_QUALITE!U5114="AUCUNE"),DATA_QUALITE!T5114,IF(DATA_QUALITE!V5114&lt;&gt;"-",DATA_QUALITE!V5114,DATA_CLEANED!AN628))))</f>
        <v>South Korea</v>
      </c>
      <c r="BH637" s="103" t="str">
        <f>IF(AND(BG637="MATCH NUL",DATA_CLEANED!AO628="-"),"MATCH_NUL",IF(ISNUMBER(SEARCH("win on penalties",W5114)),"WIN_BY_PENALTY",IF(ISNUMBER(SEARCH("win after extra time",W5114)),"WIN_BY_EXTRA_TIME",IF(ISNUMBER(SEARCH("Golden Goal",W5114)),"WIN_BY_GOLDEN_GOAL","WIN_BY_SCORE"))))</f>
        <v>WIN_BY_SCORE</v>
      </c>
      <c r="BI637" s="99" t="str">
        <f>IF(OR(BG637=DATA_CLEANED!AK628,BG637=DATA_CLEANED!AN628,BG637="MATCH NUL"),"OK","ERREUR")</f>
        <v>OK</v>
      </c>
    </row>
    <row r="638" spans="2:61">
      <c r="B638" s="75">
        <v>201</v>
      </c>
      <c r="C638" s="15" t="str">
        <v>Fabian Rieder</v>
      </c>
      <c r="D638" s="15">
        <v>24</v>
      </c>
      <c r="E638" s="15" t="str">
        <v>Switzerland</v>
      </c>
      <c r="F638" s="15" t="str">
        <v>CAM</v>
      </c>
      <c r="G638" s="15" t="str">
        <v>FC Augsburg</v>
      </c>
      <c r="H638" s="15">
        <v>22</v>
      </c>
      <c r="I638" s="15" t="str">
        <f t="shared" si="59"/>
        <v>201|Fabian Rieder|24|Switzerland|CAM|FC Augsburg|22</v>
      </c>
      <c r="J638" s="15" t="str">
        <f>IF(COUNTIF(I$438:I638,I638)&gt;1,"DOUBLON","OK")</f>
        <v>OK</v>
      </c>
      <c r="S638" s="30" t="str">
        <v>Costa Rica</v>
      </c>
      <c r="T638" s="30" t="str">
        <f t="shared" si="60"/>
        <v>OK</v>
      </c>
      <c r="U638" s="30" t="str">
        <f t="shared" si="56"/>
        <v>-</v>
      </c>
      <c r="V638" s="30" t="str" cm="1">
        <f t="array" ref="V638">_xlfn.IFS(
ISNUMBER(SEARCH("USA",S638)),"United States",
ISNUMBER(SEARCH("Republic of Korea",S638)),"South Korea",
ISNUMBER(SEARCH("Cape Verde",S638)),"Cabo Verde",
ISNUMBER(SEARCH("Czechia",S638)),"Czech Republic",
ISNUMBER(SEARCH("Türkiye",S638)),"Turkey",
ISNUMBER(SEARCH("Ivory Coast",S638)),"Côte d'Ivoire",
ISNUMBER(SEARCH("Korea Republic",S638)),"South Korea",
ISNUMBER(SEARCH("Germany FR",S638)),"FR Germany",
ISNUMBER(SEARCH("West Germany",S638)),"FR Germany",
ISNUMBER(SEARCH("Germany DR",S638)),"DR Germany",
ISNUMBER(SEARCH("Korea DPR",S638)),"North Korea",
ISNUMBER(SEARCH("China PR",S638)),"China",
ISNUMBER(SEARCH("IR Iran",S638)),"Iran",
ISNUMBER(SEARCH("Congo DR",S638)),"Democratic Republic of the Congo",
ISNUMBER(SEARCH("DR Congo",S638)),"Democratic Republic of the Congo",
ISNUMBER(SEARCH("German DR",S638)),"DR Germany",
ISNUMBER(SEARCH("rn""&gt;United Arab Emirates",S638)),"United Arab Emirates",
ISNUMBER(SEARCH("rn""&gt;Republic of Ireland",S638)),"Ireland",
ISNUMBER(SEARCH("rn""&gt;Bosnia and Herzegovina",S638)),"Bosnia and Herzegovina",
ISNUMBER(SEARCH("rn""&gt;Trinidad and Tobago",S638)),"Trinidad and Tobago",
ISNUMBER(SEARCH("rn""&gt;Serbia and Montenegro",S638)),"Serbia and Montenegro",
ISNUMBER(SEARCH(_xlfn.UNICHAR(65533),S638)),"Côte d'Ivoire",
TRUE,""
)</f>
        <v/>
      </c>
      <c r="W638" s="30" t="str">
        <f t="shared" si="57"/>
        <v>Costa Rica</v>
      </c>
      <c r="Z638" s="40" t="str">
        <v>Saitama Stadium 2002</v>
      </c>
      <c r="AA638" s="40" t="str" cm="1">
        <f t="array" ref="AA638">IFERROR(_xlfn.XLOOKUP(Z638,_xlfn.ANCHORARRAY(Z$31),AA$31:AA$37),Z638)</f>
        <v>Saitama Stadium 2002</v>
      </c>
      <c r="AB638" s="42" t="str">
        <v xml:space="preserve">Saitama </v>
      </c>
      <c r="AC638" s="89" t="str">
        <f t="shared" si="58"/>
        <v xml:space="preserve">Saitama </v>
      </c>
      <c r="AE638" s="42">
        <v>1998</v>
      </c>
      <c r="AK638" s="42">
        <v>1</v>
      </c>
      <c r="AL638" s="42">
        <v>3</v>
      </c>
      <c r="AW638" s="89" t="str">
        <v>GROUP_STAGE</v>
      </c>
      <c r="BE638" s="43" t="str">
        <f>IF(OR(DATA_CLEANED!AL629="",DATA_CLEANED!AM629=""),"MANQUANT",IF(OR(NOT(ISNUMBER(DATA_CLEANED!AL629)),NOT(ISNUMBER(DATA_CLEANED!AM629))),"ENTREE INVALIDE",IF(OR(DATA_CLEANED!AL629&lt;0,DATA_CLEANED!AM629&lt;0),"SCORE NEGATIF","OK")))</f>
        <v>OK</v>
      </c>
      <c r="BF638" s="43" t="str">
        <f>IF(DATA_CLEANED!AK629&lt;&gt;DATA_CLEANED!AN629,"OK","ERREUR")</f>
        <v>OK</v>
      </c>
      <c r="BG638" s="43" t="str">
        <f>IF(DATA_CLEANED!AL629&gt;DATA_CLEANED!AM629,DATA_CLEANED!AK629,IF(AND(DATA_QUALITE!W5115="-",DATA_CLEANED!AM629=DATA_CLEANED!AL629),"MATCH NUL",IF(AND(DATA_QUALITE!V5115="-",DATA_QUALITE!U5115="AUCUNE"),DATA_QUALITE!T5115,IF(DATA_QUALITE!V5115&lt;&gt;"-",DATA_QUALITE!V5115,DATA_CLEANED!AN629))))</f>
        <v>Poland</v>
      </c>
      <c r="BH638" s="103" t="str">
        <f>IF(AND(BG638="MATCH NUL",DATA_CLEANED!AO629="-"),"MATCH_NUL",IF(ISNUMBER(SEARCH("win on penalties",W5115)),"WIN_BY_PENALTY",IF(ISNUMBER(SEARCH("win after extra time",W5115)),"WIN_BY_EXTRA_TIME",IF(ISNUMBER(SEARCH("Golden Goal",W5115)),"WIN_BY_GOLDEN_GOAL","WIN_BY_SCORE"))))</f>
        <v>WIN_BY_SCORE</v>
      </c>
      <c r="BI638" s="99" t="str">
        <f>IF(OR(BG638=DATA_CLEANED!AK629,BG638=DATA_CLEANED!AN629,BG638="MATCH NUL"),"OK","ERREUR")</f>
        <v>OK</v>
      </c>
    </row>
    <row r="639" spans="2:61">
      <c r="B639" s="75">
        <v>202</v>
      </c>
      <c r="C639" s="15" t="str">
        <v>Christian Fassnacht</v>
      </c>
      <c r="D639" s="15">
        <v>32</v>
      </c>
      <c r="E639" s="15" t="str">
        <v>Switzerland</v>
      </c>
      <c r="F639" s="15" t="str">
        <v>RM</v>
      </c>
      <c r="G639" s="15" t="str">
        <v>Young Boys</v>
      </c>
      <c r="H639" s="15">
        <v>16</v>
      </c>
      <c r="I639" s="15" t="str">
        <f t="shared" si="59"/>
        <v>202|Christian Fassnacht|32|Switzerland|RM|Young Boys|16</v>
      </c>
      <c r="J639" s="15" t="str">
        <f>IF(COUNTIF(I$438:I639,I639)&gt;1,"DOUBLON","OK")</f>
        <v>OK</v>
      </c>
      <c r="S639" s="30" t="str">
        <v>Costa Rica</v>
      </c>
      <c r="T639" s="30" t="str">
        <f t="shared" si="60"/>
        <v>OK</v>
      </c>
      <c r="U639" s="30" t="str">
        <f t="shared" si="56"/>
        <v>-</v>
      </c>
      <c r="V639" s="30" t="str" cm="1">
        <f t="array" ref="V639">_xlfn.IFS(
ISNUMBER(SEARCH("USA",S639)),"United States",
ISNUMBER(SEARCH("Republic of Korea",S639)),"South Korea",
ISNUMBER(SEARCH("Cape Verde",S639)),"Cabo Verde",
ISNUMBER(SEARCH("Czechia",S639)),"Czech Republic",
ISNUMBER(SEARCH("Türkiye",S639)),"Turkey",
ISNUMBER(SEARCH("Ivory Coast",S639)),"Côte d'Ivoire",
ISNUMBER(SEARCH("Korea Republic",S639)),"South Korea",
ISNUMBER(SEARCH("Germany FR",S639)),"FR Germany",
ISNUMBER(SEARCH("West Germany",S639)),"FR Germany",
ISNUMBER(SEARCH("Germany DR",S639)),"DR Germany",
ISNUMBER(SEARCH("Korea DPR",S639)),"North Korea",
ISNUMBER(SEARCH("China PR",S639)),"China",
ISNUMBER(SEARCH("IR Iran",S639)),"Iran",
ISNUMBER(SEARCH("Congo DR",S639)),"Democratic Republic of the Congo",
ISNUMBER(SEARCH("DR Congo",S639)),"Democratic Republic of the Congo",
ISNUMBER(SEARCH("German DR",S639)),"DR Germany",
ISNUMBER(SEARCH("rn""&gt;United Arab Emirates",S639)),"United Arab Emirates",
ISNUMBER(SEARCH("rn""&gt;Republic of Ireland",S639)),"Ireland",
ISNUMBER(SEARCH("rn""&gt;Bosnia and Herzegovina",S639)),"Bosnia and Herzegovina",
ISNUMBER(SEARCH("rn""&gt;Trinidad and Tobago",S639)),"Trinidad and Tobago",
ISNUMBER(SEARCH("rn""&gt;Serbia and Montenegro",S639)),"Serbia and Montenegro",
ISNUMBER(SEARCH(_xlfn.UNICHAR(65533),S639)),"Côte d'Ivoire",
TRUE,""
)</f>
        <v/>
      </c>
      <c r="W639" s="30" t="str">
        <f t="shared" si="57"/>
        <v>Costa Rica</v>
      </c>
      <c r="Z639" s="40" t="str">
        <v>Busan Asiad Main Stadium</v>
      </c>
      <c r="AA639" s="40" t="str" cm="1">
        <f t="array" ref="AA639">IFERROR(_xlfn.XLOOKUP(Z639,_xlfn.ANCHORARRAY(Z$31),AA$31:AA$37),Z639)</f>
        <v>Busan Asiad Main Stadium</v>
      </c>
      <c r="AB639" s="42" t="str">
        <v xml:space="preserve">Busan </v>
      </c>
      <c r="AC639" s="89" t="str">
        <f t="shared" si="58"/>
        <v xml:space="preserve">Busan </v>
      </c>
      <c r="AE639" s="42">
        <v>1998</v>
      </c>
      <c r="AK639" s="42">
        <v>1</v>
      </c>
      <c r="AL639" s="42">
        <v>1</v>
      </c>
      <c r="AW639" s="89" t="str">
        <v>GROUP_STAGE</v>
      </c>
      <c r="BE639" s="43" t="str">
        <f>IF(OR(DATA_CLEANED!AL630="",DATA_CLEANED!AM630=""),"MANQUANT",IF(OR(NOT(ISNUMBER(DATA_CLEANED!AL630)),NOT(ISNUMBER(DATA_CLEANED!AM630))),"ENTREE INVALIDE",IF(OR(DATA_CLEANED!AL630&lt;0,DATA_CLEANED!AM630&lt;0),"SCORE NEGATIF","OK")))</f>
        <v>OK</v>
      </c>
      <c r="BF639" s="43" t="str">
        <f>IF(DATA_CLEANED!AK630&lt;&gt;DATA_CLEANED!AN630,"OK","ERREUR")</f>
        <v>OK</v>
      </c>
      <c r="BG639" s="43" t="str">
        <f>IF(DATA_CLEANED!AL630&gt;DATA_CLEANED!AM630,DATA_CLEANED!AK630,IF(AND(DATA_QUALITE!W5116="-",DATA_CLEANED!AM630=DATA_CLEANED!AL630),"MATCH NUL",IF(AND(DATA_QUALITE!V5116="-",DATA_QUALITE!U5116="AUCUNE"),DATA_QUALITE!T5116,IF(DATA_QUALITE!V5116&lt;&gt;"-",DATA_QUALITE!V5116,DATA_CLEANED!AN630))))</f>
        <v>Belgium</v>
      </c>
      <c r="BH639" s="103" t="str">
        <f>IF(AND(BG639="MATCH NUL",DATA_CLEANED!AO630="-"),"MATCH_NUL",IF(ISNUMBER(SEARCH("win on penalties",W5116)),"WIN_BY_PENALTY",IF(ISNUMBER(SEARCH("win after extra time",W5116)),"WIN_BY_EXTRA_TIME",IF(ISNUMBER(SEARCH("Golden Goal",W5116)),"WIN_BY_GOLDEN_GOAL","WIN_BY_SCORE"))))</f>
        <v>WIN_BY_SCORE</v>
      </c>
      <c r="BI639" s="99" t="str">
        <f>IF(OR(BG639=DATA_CLEANED!AK630,BG639=DATA_CLEANED!AN630,BG639="MATCH NUL"),"OK","ERREUR")</f>
        <v>OK</v>
      </c>
    </row>
    <row r="640" spans="2:61">
      <c r="B640" s="75">
        <v>203</v>
      </c>
      <c r="C640" s="15" t="str">
        <v>Rubén Vargas</v>
      </c>
      <c r="D640" s="15">
        <v>27</v>
      </c>
      <c r="E640" s="15" t="str">
        <v>Switzerland</v>
      </c>
      <c r="F640" s="15" t="str">
        <v>LW</v>
      </c>
      <c r="G640" s="15" t="str">
        <v>Sevilla</v>
      </c>
      <c r="H640" s="15">
        <v>17</v>
      </c>
      <c r="I640" s="15" t="str">
        <f t="shared" si="59"/>
        <v>203|Rubén Vargas|27|Switzerland|LW|Sevilla|17</v>
      </c>
      <c r="J640" s="15" t="str">
        <f>IF(COUNTIF(I$438:I640,I640)&gt;1,"DOUBLON","OK")</f>
        <v>OK</v>
      </c>
      <c r="S640" s="30" t="str">
        <v>Costa Rica</v>
      </c>
      <c r="T640" s="30" t="str">
        <f t="shared" si="60"/>
        <v>OK</v>
      </c>
      <c r="U640" s="30" t="str">
        <f t="shared" ref="U640:U703" si="61">IF(OR(S640="Scotland",S640="England",S640="Wales",S640="Yugoslavia",S640="Czechoslovakia",S640="Northern Ireland",S640="Soviet Union",S640="Zaire",S640="Dutch East Indies"),"AUCUNE",IF(OR(S640="Cape Verde",S640="USA",S640="DR Congo",S640="Republic of Korea",S640="Germany FR",S640="Germany DR",S640="Czechia",S640="Ivory Coast",S640="Korea DPR",S640="China PR",S640="IR Iran",S640="Türkiye",S640="Congo DR",S640="German DR",S640="West Germany",S640="Republic of Ireland",ISNUMBER(SEARCH("rn""&gt;United Arab Emirates",S640)),ISNUMBER(SEARCH("rn""&gt;Republic of Ireland",S640)),ISNUMBER(SEARCH("rn""&gt;Bosnia and Herzegovina",S640)),ISNUMBER(SEARCH("rn""&gt;Trinidad and Tobago",S640)),ISNUMBER(SEARCH("rn""&gt;Serbia and Montenegro",S640)),ISNUMBER(SEARCH(_xlfn.UNICHAR(65533),S640))),"RENOMMER","-"))</f>
        <v>-</v>
      </c>
      <c r="V640" s="30" t="str" cm="1">
        <f t="array" ref="V640">_xlfn.IFS(
ISNUMBER(SEARCH("USA",S640)),"United States",
ISNUMBER(SEARCH("Republic of Korea",S640)),"South Korea",
ISNUMBER(SEARCH("Cape Verde",S640)),"Cabo Verde",
ISNUMBER(SEARCH("Czechia",S640)),"Czech Republic",
ISNUMBER(SEARCH("Türkiye",S640)),"Turkey",
ISNUMBER(SEARCH("Ivory Coast",S640)),"Côte d'Ivoire",
ISNUMBER(SEARCH("Korea Republic",S640)),"South Korea",
ISNUMBER(SEARCH("Germany FR",S640)),"FR Germany",
ISNUMBER(SEARCH("West Germany",S640)),"FR Germany",
ISNUMBER(SEARCH("Germany DR",S640)),"DR Germany",
ISNUMBER(SEARCH("Korea DPR",S640)),"North Korea",
ISNUMBER(SEARCH("China PR",S640)),"China",
ISNUMBER(SEARCH("IR Iran",S640)),"Iran",
ISNUMBER(SEARCH("Congo DR",S640)),"Democratic Republic of the Congo",
ISNUMBER(SEARCH("DR Congo",S640)),"Democratic Republic of the Congo",
ISNUMBER(SEARCH("German DR",S640)),"DR Germany",
ISNUMBER(SEARCH("rn""&gt;United Arab Emirates",S640)),"United Arab Emirates",
ISNUMBER(SEARCH("rn""&gt;Republic of Ireland",S640)),"Ireland",
ISNUMBER(SEARCH("rn""&gt;Bosnia and Herzegovina",S640)),"Bosnia and Herzegovina",
ISNUMBER(SEARCH("rn""&gt;Trinidad and Tobago",S640)),"Trinidad and Tobago",
ISNUMBER(SEARCH("rn""&gt;Serbia and Montenegro",S640)),"Serbia and Montenegro",
ISNUMBER(SEARCH(_xlfn.UNICHAR(65533),S640)),"Côte d'Ivoire",
TRUE,""
)</f>
        <v/>
      </c>
      <c r="W640" s="30" t="str">
        <f t="shared" si="57"/>
        <v>Costa Rica</v>
      </c>
      <c r="Z640" s="40" t="str">
        <v>Kobe Wing Stadium</v>
      </c>
      <c r="AA640" s="40" t="str" cm="1">
        <f t="array" ref="AA640">IFERROR(_xlfn.XLOOKUP(Z640,_xlfn.ANCHORARRAY(Z$31),AA$31:AA$37),Z640)</f>
        <v>Kobe Wing Stadium</v>
      </c>
      <c r="AB640" s="42" t="str">
        <v xml:space="preserve">Kobe </v>
      </c>
      <c r="AC640" s="89" t="str">
        <f t="shared" si="58"/>
        <v xml:space="preserve">Kobe </v>
      </c>
      <c r="AE640" s="42">
        <v>1998</v>
      </c>
      <c r="AK640" s="42">
        <v>2</v>
      </c>
      <c r="AL640" s="42">
        <v>2</v>
      </c>
      <c r="AW640" s="89" t="str">
        <v>ROUND_OF_16</v>
      </c>
      <c r="BE640" s="43" t="str">
        <f>IF(OR(DATA_CLEANED!AL631="",DATA_CLEANED!AM631=""),"MANQUANT",IF(OR(NOT(ISNUMBER(DATA_CLEANED!AL631)),NOT(ISNUMBER(DATA_CLEANED!AM631))),"ENTREE INVALIDE",IF(OR(DATA_CLEANED!AL631&lt;0,DATA_CLEANED!AM631&lt;0),"SCORE NEGATIF","OK")))</f>
        <v>OK</v>
      </c>
      <c r="BF640" s="43" t="str">
        <f>IF(DATA_CLEANED!AK631&lt;&gt;DATA_CLEANED!AN631,"OK","ERREUR")</f>
        <v>OK</v>
      </c>
      <c r="BG640" s="43" t="str">
        <f>IF(DATA_CLEANED!AL631&gt;DATA_CLEANED!AM631,DATA_CLEANED!AK631,IF(AND(DATA_QUALITE!W5117="-",DATA_CLEANED!AM631=DATA_CLEANED!AL631),"MATCH NUL",IF(AND(DATA_QUALITE!V5117="-",DATA_QUALITE!U5117="AUCUNE"),DATA_QUALITE!T5117,IF(DATA_QUALITE!V5117&lt;&gt;"-",DATA_QUALITE!V5117,DATA_CLEANED!AN631))))</f>
        <v>England</v>
      </c>
      <c r="BH640" s="103" t="str">
        <f>IF(AND(BG640="MATCH NUL",DATA_CLEANED!AO631="-"),"MATCH_NUL",IF(ISNUMBER(SEARCH("win on penalties",W5117)),"WIN_BY_PENALTY",IF(ISNUMBER(SEARCH("win after extra time",W5117)),"WIN_BY_EXTRA_TIME",IF(ISNUMBER(SEARCH("Golden Goal",W5117)),"WIN_BY_GOLDEN_GOAL","WIN_BY_SCORE"))))</f>
        <v>WIN_BY_SCORE</v>
      </c>
      <c r="BI640" s="99" t="str">
        <f>IF(OR(BG640=DATA_CLEANED!AK631,BG640=DATA_CLEANED!AN631,BG640="MATCH NUL"),"OK","ERREUR")</f>
        <v>OK</v>
      </c>
    </row>
    <row r="641" spans="2:61">
      <c r="B641" s="75">
        <v>204</v>
      </c>
      <c r="C641" s="15" t="str">
        <v>Noah Okafor</v>
      </c>
      <c r="D641" s="15">
        <v>26</v>
      </c>
      <c r="E641" s="15" t="str">
        <v>Switzerland</v>
      </c>
      <c r="F641" s="15" t="str">
        <v>LW</v>
      </c>
      <c r="G641" s="15" t="str">
        <v>Leeds United</v>
      </c>
      <c r="H641" s="15">
        <v>19</v>
      </c>
      <c r="I641" s="15" t="str">
        <f t="shared" si="59"/>
        <v>204|Noah Okafor|26|Switzerland|LW|Leeds United|19</v>
      </c>
      <c r="J641" s="15" t="str">
        <f>IF(COUNTIF(I$438:I641,I641)&gt;1,"DOUBLON","OK")</f>
        <v>OK</v>
      </c>
      <c r="S641" s="30" t="str">
        <v>Costa Rica</v>
      </c>
      <c r="T641" s="30" t="str">
        <f t="shared" si="60"/>
        <v>OK</v>
      </c>
      <c r="U641" s="30" t="str">
        <f t="shared" si="61"/>
        <v>-</v>
      </c>
      <c r="V641" s="30" t="str" cm="1">
        <f t="array" ref="V641">_xlfn.IFS(
ISNUMBER(SEARCH("USA",S641)),"United States",
ISNUMBER(SEARCH("Republic of Korea",S641)),"South Korea",
ISNUMBER(SEARCH("Cape Verde",S641)),"Cabo Verde",
ISNUMBER(SEARCH("Czechia",S641)),"Czech Republic",
ISNUMBER(SEARCH("Türkiye",S641)),"Turkey",
ISNUMBER(SEARCH("Ivory Coast",S641)),"Côte d'Ivoire",
ISNUMBER(SEARCH("Korea Republic",S641)),"South Korea",
ISNUMBER(SEARCH("Germany FR",S641)),"FR Germany",
ISNUMBER(SEARCH("West Germany",S641)),"FR Germany",
ISNUMBER(SEARCH("Germany DR",S641)),"DR Germany",
ISNUMBER(SEARCH("Korea DPR",S641)),"North Korea",
ISNUMBER(SEARCH("China PR",S641)),"China",
ISNUMBER(SEARCH("IR Iran",S641)),"Iran",
ISNUMBER(SEARCH("Congo DR",S641)),"Democratic Republic of the Congo",
ISNUMBER(SEARCH("DR Congo",S641)),"Democratic Republic of the Congo",
ISNUMBER(SEARCH("German DR",S641)),"DR Germany",
ISNUMBER(SEARCH("rn""&gt;United Arab Emirates",S641)),"United Arab Emirates",
ISNUMBER(SEARCH("rn""&gt;Republic of Ireland",S641)),"Ireland",
ISNUMBER(SEARCH("rn""&gt;Bosnia and Herzegovina",S641)),"Bosnia and Herzegovina",
ISNUMBER(SEARCH("rn""&gt;Trinidad and Tobago",S641)),"Trinidad and Tobago",
ISNUMBER(SEARCH("rn""&gt;Serbia and Montenegro",S641)),"Serbia and Montenegro",
ISNUMBER(SEARCH(_xlfn.UNICHAR(65533),S641)),"Côte d'Ivoire",
TRUE,""
)</f>
        <v/>
      </c>
      <c r="W641" s="30" t="str">
        <f t="shared" si="57"/>
        <v>Costa Rica</v>
      </c>
      <c r="Z641" s="40" t="str">
        <v>Sapporo Dome</v>
      </c>
      <c r="AA641" s="40" t="str" cm="1">
        <f t="array" ref="AA641">IFERROR(_xlfn.XLOOKUP(Z641,_xlfn.ANCHORARRAY(Z$31),AA$31:AA$37),Z641)</f>
        <v>Sapporo Dome</v>
      </c>
      <c r="AB641" s="42" t="str">
        <v xml:space="preserve">Sapporo </v>
      </c>
      <c r="AC641" s="89" t="str">
        <f t="shared" si="58"/>
        <v xml:space="preserve">Sapporo </v>
      </c>
      <c r="AE641" s="42">
        <v>1998</v>
      </c>
      <c r="AK641" s="42">
        <v>2</v>
      </c>
      <c r="AL641" s="42">
        <v>0</v>
      </c>
      <c r="AW641" s="89" t="str">
        <v>ROUND_OF_16</v>
      </c>
      <c r="BE641" s="43" t="str">
        <f>IF(OR(DATA_CLEANED!AL632="",DATA_CLEANED!AM632=""),"MANQUANT",IF(OR(NOT(ISNUMBER(DATA_CLEANED!AL632)),NOT(ISNUMBER(DATA_CLEANED!AM632))),"ENTREE INVALIDE",IF(OR(DATA_CLEANED!AL632&lt;0,DATA_CLEANED!AM632&lt;0),"SCORE NEGATIF","OK")))</f>
        <v>OK</v>
      </c>
      <c r="BF641" s="43" t="str">
        <f>IF(DATA_CLEANED!AK632&lt;&gt;DATA_CLEANED!AN632,"OK","ERREUR")</f>
        <v>OK</v>
      </c>
      <c r="BG641" s="43" t="str">
        <f>IF(DATA_CLEANED!AL632&gt;DATA_CLEANED!AM632,DATA_CLEANED!AK632,IF(AND(DATA_QUALITE!W5118="-",DATA_CLEANED!AM632=DATA_CLEANED!AL632),"MATCH NUL",IF(AND(DATA_QUALITE!V5118="-",DATA_QUALITE!U5118="AUCUNE"),DATA_QUALITE!T5118,IF(DATA_QUALITE!V5118&lt;&gt;"-",DATA_QUALITE!V5118,DATA_CLEANED!AN632))))</f>
        <v>Germany</v>
      </c>
      <c r="BH641" s="103" t="str">
        <f>IF(AND(BG641="MATCH NUL",DATA_CLEANED!AO632="-"),"MATCH_NUL",IF(ISNUMBER(SEARCH("win on penalties",W5118)),"WIN_BY_PENALTY",IF(ISNUMBER(SEARCH("win after extra time",W5118)),"WIN_BY_EXTRA_TIME",IF(ISNUMBER(SEARCH("Golden Goal",W5118)),"WIN_BY_GOLDEN_GOAL","WIN_BY_SCORE"))))</f>
        <v>WIN_BY_SCORE</v>
      </c>
      <c r="BI641" s="99" t="str">
        <f>IF(OR(BG641=DATA_CLEANED!AK632,BG641=DATA_CLEANED!AN632,BG641="MATCH NUL"),"OK","ERREUR")</f>
        <v>OK</v>
      </c>
    </row>
    <row r="642" spans="2:61">
      <c r="B642" s="75">
        <v>205</v>
      </c>
      <c r="C642" s="15" t="str">
        <v>Dan Ndoye</v>
      </c>
      <c r="D642" s="15">
        <v>25</v>
      </c>
      <c r="E642" s="15" t="str">
        <v>Switzerland</v>
      </c>
      <c r="F642" s="15" t="str">
        <v>RW</v>
      </c>
      <c r="G642" s="15" t="str">
        <v>Nottingham Forest</v>
      </c>
      <c r="H642" s="15">
        <v>11</v>
      </c>
      <c r="I642" s="15" t="str">
        <f t="shared" si="59"/>
        <v>205|Dan Ndoye|25|Switzerland|RW|Nottingham Forest|11</v>
      </c>
      <c r="J642" s="15" t="str">
        <f>IF(COUNTIF(I$438:I642,I642)&gt;1,"DOUBLON","OK")</f>
        <v>OK</v>
      </c>
      <c r="S642" s="30" t="str">
        <v>Costa Rica</v>
      </c>
      <c r="T642" s="30" t="str">
        <f t="shared" si="60"/>
        <v>OK</v>
      </c>
      <c r="U642" s="30" t="str">
        <f t="shared" si="61"/>
        <v>-</v>
      </c>
      <c r="V642" s="30" t="str" cm="1">
        <f t="array" ref="V642">_xlfn.IFS(
ISNUMBER(SEARCH("USA",S642)),"United States",
ISNUMBER(SEARCH("Republic of Korea",S642)),"South Korea",
ISNUMBER(SEARCH("Cape Verde",S642)),"Cabo Verde",
ISNUMBER(SEARCH("Czechia",S642)),"Czech Republic",
ISNUMBER(SEARCH("Türkiye",S642)),"Turkey",
ISNUMBER(SEARCH("Ivory Coast",S642)),"Côte d'Ivoire",
ISNUMBER(SEARCH("Korea Republic",S642)),"South Korea",
ISNUMBER(SEARCH("Germany FR",S642)),"FR Germany",
ISNUMBER(SEARCH("West Germany",S642)),"FR Germany",
ISNUMBER(SEARCH("Germany DR",S642)),"DR Germany",
ISNUMBER(SEARCH("Korea DPR",S642)),"North Korea",
ISNUMBER(SEARCH("China PR",S642)),"China",
ISNUMBER(SEARCH("IR Iran",S642)),"Iran",
ISNUMBER(SEARCH("Congo DR",S642)),"Democratic Republic of the Congo",
ISNUMBER(SEARCH("DR Congo",S642)),"Democratic Republic of the Congo",
ISNUMBER(SEARCH("German DR",S642)),"DR Germany",
ISNUMBER(SEARCH("rn""&gt;United Arab Emirates",S642)),"United Arab Emirates",
ISNUMBER(SEARCH("rn""&gt;Republic of Ireland",S642)),"Ireland",
ISNUMBER(SEARCH("rn""&gt;Bosnia and Herzegovina",S642)),"Bosnia and Herzegovina",
ISNUMBER(SEARCH("rn""&gt;Trinidad and Tobago",S642)),"Trinidad and Tobago",
ISNUMBER(SEARCH("rn""&gt;Serbia and Montenegro",S642)),"Serbia and Montenegro",
ISNUMBER(SEARCH(_xlfn.UNICHAR(65533),S642)),"Côte d'Ivoire",
TRUE,""
)</f>
        <v/>
      </c>
      <c r="W642" s="30" t="str">
        <f t="shared" si="57"/>
        <v>Costa Rica</v>
      </c>
      <c r="Z642" s="40" t="str">
        <v>Jeonju World Cup Stadium</v>
      </c>
      <c r="AA642" s="40" t="str" cm="1">
        <f t="array" ref="AA642">IFERROR(_xlfn.XLOOKUP(Z642,_xlfn.ANCHORARRAY(Z$31),AA$31:AA$37),Z642)</f>
        <v>Jeonju World Cup Stadium</v>
      </c>
      <c r="AB642" s="42" t="str">
        <v xml:space="preserve">Jeonju </v>
      </c>
      <c r="AC642" s="89" t="str">
        <f t="shared" si="58"/>
        <v xml:space="preserve">Jeonju </v>
      </c>
      <c r="AE642" s="42">
        <v>1998</v>
      </c>
      <c r="AK642" s="42">
        <v>0</v>
      </c>
      <c r="AL642" s="42">
        <v>1</v>
      </c>
      <c r="AW642" s="89" t="str">
        <v>ROUND_OF_16</v>
      </c>
      <c r="BE642" s="43" t="str">
        <f>IF(OR(DATA_CLEANED!AL633="",DATA_CLEANED!AM633=""),"MANQUANT",IF(OR(NOT(ISNUMBER(DATA_CLEANED!AL633)),NOT(ISNUMBER(DATA_CLEANED!AM633))),"ENTREE INVALIDE",IF(OR(DATA_CLEANED!AL633&lt;0,DATA_CLEANED!AM633&lt;0),"SCORE NEGATIF","OK")))</f>
        <v>OK</v>
      </c>
      <c r="BF642" s="43" t="str">
        <f>IF(DATA_CLEANED!AK633&lt;&gt;DATA_CLEANED!AN633,"OK","ERREUR")</f>
        <v>OK</v>
      </c>
      <c r="BG642" s="43" t="str">
        <f>IF(DATA_CLEANED!AL633&gt;DATA_CLEANED!AM633,DATA_CLEANED!AK633,IF(AND(DATA_QUALITE!W5119="-",DATA_CLEANED!AM633=DATA_CLEANED!AL633),"MATCH NUL",IF(AND(DATA_QUALITE!V5119="-",DATA_QUALITE!U5119="AUCUNE"),DATA_QUALITE!T5119,IF(DATA_QUALITE!V5119&lt;&gt;"-",DATA_QUALITE!V5119,DATA_CLEANED!AN633))))</f>
        <v>Spain</v>
      </c>
      <c r="BH642" s="103" t="str">
        <f>IF(AND(BG642="MATCH NUL",DATA_CLEANED!AO633="-"),"MATCH_NUL",IF(ISNUMBER(SEARCH("win on penalties",W5119)),"WIN_BY_PENALTY",IF(ISNUMBER(SEARCH("win after extra time",W5119)),"WIN_BY_EXTRA_TIME",IF(ISNUMBER(SEARCH("Golden Goal",W5119)),"WIN_BY_GOLDEN_GOAL","WIN_BY_SCORE"))))</f>
        <v>WIN_BY_PENALTY</v>
      </c>
      <c r="BI642" s="99" t="str">
        <f>IF(OR(BG642=DATA_CLEANED!AK633,BG642=DATA_CLEANED!AN633,BG642="MATCH NUL"),"OK","ERREUR")</f>
        <v>OK</v>
      </c>
    </row>
    <row r="643" spans="2:61">
      <c r="B643" s="75">
        <v>206</v>
      </c>
      <c r="C643" s="15" t="str">
        <v>Breel Embolo</v>
      </c>
      <c r="D643" s="15">
        <v>29</v>
      </c>
      <c r="E643" s="15" t="str">
        <v>Switzerland</v>
      </c>
      <c r="F643" s="15" t="str">
        <v>ST</v>
      </c>
      <c r="G643" s="15" t="str">
        <v>Rennes</v>
      </c>
      <c r="H643" s="15">
        <v>7</v>
      </c>
      <c r="I643" s="15" t="str">
        <f t="shared" si="59"/>
        <v>206|Breel Embolo|29|Switzerland|ST|Rennes|7</v>
      </c>
      <c r="J643" s="15" t="str">
        <f>IF(COUNTIF(I$438:I643,I643)&gt;1,"DOUBLON","OK")</f>
        <v>OK</v>
      </c>
      <c r="S643" s="30" t="str">
        <v>Costa Rica</v>
      </c>
      <c r="T643" s="30" t="str">
        <f t="shared" si="60"/>
        <v>OK</v>
      </c>
      <c r="U643" s="30" t="str">
        <f t="shared" si="61"/>
        <v>-</v>
      </c>
      <c r="V643" s="30" t="str" cm="1">
        <f t="array" ref="V643">_xlfn.IFS(
ISNUMBER(SEARCH("USA",S643)),"United States",
ISNUMBER(SEARCH("Republic of Korea",S643)),"South Korea",
ISNUMBER(SEARCH("Cape Verde",S643)),"Cabo Verde",
ISNUMBER(SEARCH("Czechia",S643)),"Czech Republic",
ISNUMBER(SEARCH("Türkiye",S643)),"Turkey",
ISNUMBER(SEARCH("Ivory Coast",S643)),"Côte d'Ivoire",
ISNUMBER(SEARCH("Korea Republic",S643)),"South Korea",
ISNUMBER(SEARCH("Germany FR",S643)),"FR Germany",
ISNUMBER(SEARCH("West Germany",S643)),"FR Germany",
ISNUMBER(SEARCH("Germany DR",S643)),"DR Germany",
ISNUMBER(SEARCH("Korea DPR",S643)),"North Korea",
ISNUMBER(SEARCH("China PR",S643)),"China",
ISNUMBER(SEARCH("IR Iran",S643)),"Iran",
ISNUMBER(SEARCH("Congo DR",S643)),"Democratic Republic of the Congo",
ISNUMBER(SEARCH("DR Congo",S643)),"Democratic Republic of the Congo",
ISNUMBER(SEARCH("German DR",S643)),"DR Germany",
ISNUMBER(SEARCH("rn""&gt;United Arab Emirates",S643)),"United Arab Emirates",
ISNUMBER(SEARCH("rn""&gt;Republic of Ireland",S643)),"Ireland",
ISNUMBER(SEARCH("rn""&gt;Bosnia and Herzegovina",S643)),"Bosnia and Herzegovina",
ISNUMBER(SEARCH("rn""&gt;Trinidad and Tobago",S643)),"Trinidad and Tobago",
ISNUMBER(SEARCH("rn""&gt;Serbia and Montenegro",S643)),"Serbia and Montenegro",
ISNUMBER(SEARCH(_xlfn.UNICHAR(65533),S643)),"Côte d'Ivoire",
TRUE,""
)</f>
        <v/>
      </c>
      <c r="W643" s="30" t="str">
        <f t="shared" si="57"/>
        <v>Costa Rica</v>
      </c>
      <c r="Z643" s="40" t="str">
        <v>Daegu World Cup Stadium</v>
      </c>
      <c r="AA643" s="40" t="str" cm="1">
        <f t="array" ref="AA643">IFERROR(_xlfn.XLOOKUP(Z643,_xlfn.ANCHORARRAY(Z$31),AA$31:AA$37),Z643)</f>
        <v>Daegu World Cup Stadium</v>
      </c>
      <c r="AB643" s="42" t="str">
        <v xml:space="preserve">Daegu </v>
      </c>
      <c r="AC643" s="89" t="str">
        <f t="shared" si="58"/>
        <v xml:space="preserve">Daegu </v>
      </c>
      <c r="AE643" s="42">
        <v>1998</v>
      </c>
      <c r="AK643" s="42">
        <v>1</v>
      </c>
      <c r="AL643" s="42">
        <v>2</v>
      </c>
      <c r="AW643" s="89" t="str">
        <v>ROUND_OF_16</v>
      </c>
      <c r="BE643" s="43" t="str">
        <f>IF(OR(DATA_CLEANED!AL634="",DATA_CLEANED!AM634=""),"MANQUANT",IF(OR(NOT(ISNUMBER(DATA_CLEANED!AL634)),NOT(ISNUMBER(DATA_CLEANED!AM634))),"ENTREE INVALIDE",IF(OR(DATA_CLEANED!AL634&lt;0,DATA_CLEANED!AM634&lt;0),"SCORE NEGATIF","OK")))</f>
        <v>OK</v>
      </c>
      <c r="BF643" s="43" t="str">
        <f>IF(DATA_CLEANED!AK634&lt;&gt;DATA_CLEANED!AN634,"OK","ERREUR")</f>
        <v>OK</v>
      </c>
      <c r="BG643" s="43" t="str">
        <f>IF(DATA_CLEANED!AL634&gt;DATA_CLEANED!AM634,DATA_CLEANED!AK634,IF(AND(DATA_QUALITE!W5120="-",DATA_CLEANED!AM634=DATA_CLEANED!AL634),"MATCH NUL",IF(AND(DATA_QUALITE!V5120="-",DATA_QUALITE!U5120="AUCUNE"),DATA_QUALITE!T5120,IF(DATA_QUALITE!V5120&lt;&gt;"-",DATA_QUALITE!V5120,DATA_CLEANED!AN634))))</f>
        <v>Senegal</v>
      </c>
      <c r="BH643" s="103" t="str">
        <f>IF(AND(BG643="MATCH NUL",DATA_CLEANED!AO634="-"),"MATCH_NUL",IF(ISNUMBER(SEARCH("win on penalties",W5120)),"WIN_BY_PENALTY",IF(ISNUMBER(SEARCH("win after extra time",W5120)),"WIN_BY_EXTRA_TIME",IF(ISNUMBER(SEARCH("Golden Goal",W5120)),"WIN_BY_GOLDEN_GOAL","WIN_BY_SCORE"))))</f>
        <v>WIN_BY_GOLDEN_GOAL</v>
      </c>
      <c r="BI643" s="99" t="str">
        <f>IF(OR(BG643=DATA_CLEANED!AK634,BG643=DATA_CLEANED!AN634,BG643="MATCH NUL"),"OK","ERREUR")</f>
        <v>OK</v>
      </c>
    </row>
    <row r="644" spans="2:61">
      <c r="B644" s="75">
        <v>207</v>
      </c>
      <c r="C644" s="15" t="str">
        <v>Zeki Amdouni</v>
      </c>
      <c r="D644" s="15">
        <v>25</v>
      </c>
      <c r="E644" s="15" t="str">
        <v>Switzerland</v>
      </c>
      <c r="F644" s="15" t="str">
        <v>ST</v>
      </c>
      <c r="G644" s="15" t="str">
        <v>Burnley</v>
      </c>
      <c r="H644" s="15">
        <v>23</v>
      </c>
      <c r="I644" s="15" t="str">
        <f t="shared" si="59"/>
        <v>207|Zeki Amdouni|25|Switzerland|ST|Burnley|23</v>
      </c>
      <c r="J644" s="15" t="str">
        <f>IF(COUNTIF(I$438:I644,I644)&gt;1,"DOUBLON","OK")</f>
        <v>OK</v>
      </c>
      <c r="S644" s="30" t="str">
        <v>Argentina</v>
      </c>
      <c r="T644" s="30" t="str">
        <f t="shared" si="60"/>
        <v>OK</v>
      </c>
      <c r="U644" s="30" t="str">
        <f t="shared" si="61"/>
        <v>-</v>
      </c>
      <c r="V644" s="30" t="str" cm="1">
        <f t="array" ref="V644">_xlfn.IFS(
ISNUMBER(SEARCH("USA",S644)),"United States",
ISNUMBER(SEARCH("Republic of Korea",S644)),"South Korea",
ISNUMBER(SEARCH("Cape Verde",S644)),"Cabo Verde",
ISNUMBER(SEARCH("Czechia",S644)),"Czech Republic",
ISNUMBER(SEARCH("Türkiye",S644)),"Turkey",
ISNUMBER(SEARCH("Ivory Coast",S644)),"Côte d'Ivoire",
ISNUMBER(SEARCH("Korea Republic",S644)),"South Korea",
ISNUMBER(SEARCH("Germany FR",S644)),"FR Germany",
ISNUMBER(SEARCH("West Germany",S644)),"FR Germany",
ISNUMBER(SEARCH("Germany DR",S644)),"DR Germany",
ISNUMBER(SEARCH("Korea DPR",S644)),"North Korea",
ISNUMBER(SEARCH("China PR",S644)),"China",
ISNUMBER(SEARCH("IR Iran",S644)),"Iran",
ISNUMBER(SEARCH("Congo DR",S644)),"Democratic Republic of the Congo",
ISNUMBER(SEARCH("DR Congo",S644)),"Democratic Republic of the Congo",
ISNUMBER(SEARCH("German DR",S644)),"DR Germany",
ISNUMBER(SEARCH("rn""&gt;United Arab Emirates",S644)),"United Arab Emirates",
ISNUMBER(SEARCH("rn""&gt;Republic of Ireland",S644)),"Ireland",
ISNUMBER(SEARCH("rn""&gt;Bosnia and Herzegovina",S644)),"Bosnia and Herzegovina",
ISNUMBER(SEARCH("rn""&gt;Trinidad and Tobago",S644)),"Trinidad and Tobago",
ISNUMBER(SEARCH("rn""&gt;Serbia and Montenegro",S644)),"Serbia and Montenegro",
ISNUMBER(SEARCH(_xlfn.UNICHAR(65533),S644)),"Côte d'Ivoire",
TRUE,""
)</f>
        <v/>
      </c>
      <c r="W644" s="30" t="str">
        <f t="shared" si="57"/>
        <v>Argentina</v>
      </c>
      <c r="Z644" s="40" t="str">
        <v>Jeju World Cup Stadium</v>
      </c>
      <c r="AA644" s="40" t="str" cm="1">
        <f t="array" ref="AA644">IFERROR(_xlfn.XLOOKUP(Z644,_xlfn.ANCHORARRAY(Z$31),AA$31:AA$37),Z644)</f>
        <v>Jeju World Cup Stadium</v>
      </c>
      <c r="AB644" s="42" t="str">
        <v xml:space="preserve">Jeju </v>
      </c>
      <c r="AC644" s="89" t="str">
        <f t="shared" si="58"/>
        <v xml:space="preserve">Jeju </v>
      </c>
      <c r="AE644" s="42">
        <v>1998</v>
      </c>
      <c r="AK644" s="42">
        <v>1</v>
      </c>
      <c r="AL644" s="42">
        <v>0</v>
      </c>
      <c r="AW644" s="89" t="str">
        <v>ROUND_OF_16</v>
      </c>
      <c r="BE644" s="43" t="str">
        <f>IF(OR(DATA_CLEANED!AL635="",DATA_CLEANED!AM635=""),"MANQUANT",IF(OR(NOT(ISNUMBER(DATA_CLEANED!AL635)),NOT(ISNUMBER(DATA_CLEANED!AM635))),"ENTREE INVALIDE",IF(OR(DATA_CLEANED!AL635&lt;0,DATA_CLEANED!AM635&lt;0),"SCORE NEGATIF","OK")))</f>
        <v>OK</v>
      </c>
      <c r="BF644" s="43" t="str">
        <f>IF(DATA_CLEANED!AK635&lt;&gt;DATA_CLEANED!AN635,"OK","ERREUR")</f>
        <v>OK</v>
      </c>
      <c r="BG644" s="43" t="str">
        <f>IF(DATA_CLEANED!AL635&gt;DATA_CLEANED!AM635,DATA_CLEANED!AK635,IF(AND(DATA_QUALITE!W5121="-",DATA_CLEANED!AM635=DATA_CLEANED!AL635),"MATCH NUL",IF(AND(DATA_QUALITE!V5121="-",DATA_QUALITE!U5121="AUCUNE"),DATA_QUALITE!T5121,IF(DATA_QUALITE!V5121&lt;&gt;"-",DATA_QUALITE!V5121,DATA_CLEANED!AN635))))</f>
        <v>Brazil</v>
      </c>
      <c r="BH644" s="103" t="str">
        <f>IF(AND(BG644="MATCH NUL",DATA_CLEANED!AO635="-"),"MATCH_NUL",IF(ISNUMBER(SEARCH("win on penalties",W5121)),"WIN_BY_PENALTY",IF(ISNUMBER(SEARCH("win after extra time",W5121)),"WIN_BY_EXTRA_TIME",IF(ISNUMBER(SEARCH("Golden Goal",W5121)),"WIN_BY_GOLDEN_GOAL","WIN_BY_SCORE"))))</f>
        <v>WIN_BY_SCORE</v>
      </c>
      <c r="BI644" s="99" t="str">
        <f>IF(OR(BG644=DATA_CLEANED!AK635,BG644=DATA_CLEANED!AN635,BG644="MATCH NUL"),"OK","ERREUR")</f>
        <v>OK</v>
      </c>
    </row>
    <row r="645" spans="2:61">
      <c r="B645" s="75">
        <v>208</v>
      </c>
      <c r="C645" s="15" t="str">
        <v>Cedric Itten</v>
      </c>
      <c r="D645" s="15">
        <v>29</v>
      </c>
      <c r="E645" s="15" t="str">
        <v>Switzerland</v>
      </c>
      <c r="F645" s="15" t="str">
        <v>ST</v>
      </c>
      <c r="G645" s="15" t="str">
        <v>Fortuna Düsseldorf</v>
      </c>
      <c r="H645" s="15">
        <v>26</v>
      </c>
      <c r="I645" s="15" t="str">
        <f t="shared" si="59"/>
        <v>208|Cedric Itten|29|Switzerland|ST|Fortuna Düsseldorf|26</v>
      </c>
      <c r="J645" s="15" t="str">
        <f>IF(COUNTIF(I$438:I645,I645)&gt;1,"DOUBLON","OK")</f>
        <v>OK</v>
      </c>
      <c r="S645" s="30" t="str">
        <v>Argentina</v>
      </c>
      <c r="T645" s="30" t="str">
        <f t="shared" si="60"/>
        <v>OK</v>
      </c>
      <c r="U645" s="30" t="str">
        <f t="shared" si="61"/>
        <v>-</v>
      </c>
      <c r="V645" s="30" t="str" cm="1">
        <f t="array" ref="V645">_xlfn.IFS(
ISNUMBER(SEARCH("USA",S645)),"United States",
ISNUMBER(SEARCH("Republic of Korea",S645)),"South Korea",
ISNUMBER(SEARCH("Cape Verde",S645)),"Cabo Verde",
ISNUMBER(SEARCH("Czechia",S645)),"Czech Republic",
ISNUMBER(SEARCH("Türkiye",S645)),"Turkey",
ISNUMBER(SEARCH("Ivory Coast",S645)),"Côte d'Ivoire",
ISNUMBER(SEARCH("Korea Republic",S645)),"South Korea",
ISNUMBER(SEARCH("Germany FR",S645)),"FR Germany",
ISNUMBER(SEARCH("West Germany",S645)),"FR Germany",
ISNUMBER(SEARCH("Germany DR",S645)),"DR Germany",
ISNUMBER(SEARCH("Korea DPR",S645)),"North Korea",
ISNUMBER(SEARCH("China PR",S645)),"China",
ISNUMBER(SEARCH("IR Iran",S645)),"Iran",
ISNUMBER(SEARCH("Congo DR",S645)),"Democratic Republic of the Congo",
ISNUMBER(SEARCH("DR Congo",S645)),"Democratic Republic of the Congo",
ISNUMBER(SEARCH("German DR",S645)),"DR Germany",
ISNUMBER(SEARCH("rn""&gt;United Arab Emirates",S645)),"United Arab Emirates",
ISNUMBER(SEARCH("rn""&gt;Republic of Ireland",S645)),"Ireland",
ISNUMBER(SEARCH("rn""&gt;Bosnia and Herzegovina",S645)),"Bosnia and Herzegovina",
ISNUMBER(SEARCH("rn""&gt;Trinidad and Tobago",S645)),"Trinidad and Tobago",
ISNUMBER(SEARCH("rn""&gt;Serbia and Montenegro",S645)),"Serbia and Montenegro",
ISNUMBER(SEARCH(_xlfn.UNICHAR(65533),S645)),"Côte d'Ivoire",
TRUE,""
)</f>
        <v/>
      </c>
      <c r="W645" s="30" t="str">
        <f t="shared" si="57"/>
        <v>Argentina</v>
      </c>
      <c r="Z645" s="40" t="str">
        <v>Kashima Stadium</v>
      </c>
      <c r="AA645" s="40" t="str" cm="1">
        <f t="array" ref="AA645">IFERROR(_xlfn.XLOOKUP(Z645,_xlfn.ANCHORARRAY(Z$31),AA$31:AA$37),Z645)</f>
        <v>Kashima Stadium</v>
      </c>
      <c r="AB645" s="42" t="str">
        <v xml:space="preserve">Ibaraki </v>
      </c>
      <c r="AC645" s="89" t="str">
        <f t="shared" si="58"/>
        <v xml:space="preserve">Ibaraki </v>
      </c>
      <c r="AE645" s="42">
        <v>1998</v>
      </c>
      <c r="AK645" s="42">
        <v>1</v>
      </c>
      <c r="AL645" s="42">
        <v>1</v>
      </c>
      <c r="AW645" s="89" t="str">
        <v>ROUND_OF_16</v>
      </c>
      <c r="BE645" s="43" t="str">
        <f>IF(OR(DATA_CLEANED!AL636="",DATA_CLEANED!AM636=""),"MANQUANT",IF(OR(NOT(ISNUMBER(DATA_CLEANED!AL636)),NOT(ISNUMBER(DATA_CLEANED!AM636))),"ENTREE INVALIDE",IF(OR(DATA_CLEANED!AL636&lt;0,DATA_CLEANED!AM636&lt;0),"SCORE NEGATIF","OK")))</f>
        <v>OK</v>
      </c>
      <c r="BF645" s="43" t="str">
        <f>IF(DATA_CLEANED!AK636&lt;&gt;DATA_CLEANED!AN636,"OK","ERREUR")</f>
        <v>OK</v>
      </c>
      <c r="BG645" s="43" t="str">
        <f>IF(DATA_CLEANED!AL636&gt;DATA_CLEANED!AM636,DATA_CLEANED!AK636,IF(AND(DATA_QUALITE!W5122="-",DATA_CLEANED!AM636=DATA_CLEANED!AL636),"MATCH NUL",IF(AND(DATA_QUALITE!V5122="-",DATA_QUALITE!U5122="AUCUNE"),DATA_QUALITE!T5122,IF(DATA_QUALITE!V5122&lt;&gt;"-",DATA_QUALITE!V5122,DATA_CLEANED!AN636))))</f>
        <v>United States</v>
      </c>
      <c r="BH645" s="103" t="str">
        <f>IF(AND(BG645="MATCH NUL",DATA_CLEANED!AO636="-"),"MATCH_NUL",IF(ISNUMBER(SEARCH("win on penalties",W5122)),"WIN_BY_PENALTY",IF(ISNUMBER(SEARCH("win after extra time",W5122)),"WIN_BY_EXTRA_TIME",IF(ISNUMBER(SEARCH("Golden Goal",W5122)),"WIN_BY_GOLDEN_GOAL","WIN_BY_SCORE"))))</f>
        <v>WIN_BY_SCORE</v>
      </c>
      <c r="BI645" s="99" t="str">
        <f>IF(OR(BG645=DATA_CLEANED!AK636,BG645=DATA_CLEANED!AN636,BG645="MATCH NUL"),"OK","ERREUR")</f>
        <v>OK</v>
      </c>
    </row>
    <row r="646" spans="2:61">
      <c r="B646" s="75">
        <v>209</v>
      </c>
      <c r="C646" s="15" t="str">
        <v>Alisson</v>
      </c>
      <c r="D646" s="15">
        <v>33</v>
      </c>
      <c r="E646" s="15" t="str">
        <v>Brazil</v>
      </c>
      <c r="F646" s="15" t="str">
        <v>GK</v>
      </c>
      <c r="G646" s="15" t="str">
        <v>Liverpool</v>
      </c>
      <c r="H646" s="15">
        <v>1</v>
      </c>
      <c r="I646" s="15" t="str">
        <f t="shared" si="59"/>
        <v>209|Alisson|33|Brazil|GK|Liverpool|1</v>
      </c>
      <c r="J646" s="15" t="str">
        <f>IF(COUNTIF(I$438:I646,I646)&gt;1,"DOUBLON","OK")</f>
        <v>OK</v>
      </c>
      <c r="S646" s="30" t="str">
        <v>Argentina</v>
      </c>
      <c r="T646" s="30" t="str">
        <f t="shared" si="60"/>
        <v>OK</v>
      </c>
      <c r="U646" s="30" t="str">
        <f t="shared" si="61"/>
        <v>-</v>
      </c>
      <c r="V646" s="30" t="str" cm="1">
        <f t="array" ref="V646">_xlfn.IFS(
ISNUMBER(SEARCH("USA",S646)),"United States",
ISNUMBER(SEARCH("Republic of Korea",S646)),"South Korea",
ISNUMBER(SEARCH("Cape Verde",S646)),"Cabo Verde",
ISNUMBER(SEARCH("Czechia",S646)),"Czech Republic",
ISNUMBER(SEARCH("Türkiye",S646)),"Turkey",
ISNUMBER(SEARCH("Ivory Coast",S646)),"Côte d'Ivoire",
ISNUMBER(SEARCH("Korea Republic",S646)),"South Korea",
ISNUMBER(SEARCH("Germany FR",S646)),"FR Germany",
ISNUMBER(SEARCH("West Germany",S646)),"FR Germany",
ISNUMBER(SEARCH("Germany DR",S646)),"DR Germany",
ISNUMBER(SEARCH("Korea DPR",S646)),"North Korea",
ISNUMBER(SEARCH("China PR",S646)),"China",
ISNUMBER(SEARCH("IR Iran",S646)),"Iran",
ISNUMBER(SEARCH("Congo DR",S646)),"Democratic Republic of the Congo",
ISNUMBER(SEARCH("DR Congo",S646)),"Democratic Republic of the Congo",
ISNUMBER(SEARCH("German DR",S646)),"DR Germany",
ISNUMBER(SEARCH("rn""&gt;United Arab Emirates",S646)),"United Arab Emirates",
ISNUMBER(SEARCH("rn""&gt;Republic of Ireland",S646)),"Ireland",
ISNUMBER(SEARCH("rn""&gt;Bosnia and Herzegovina",S646)),"Bosnia and Herzegovina",
ISNUMBER(SEARCH("rn""&gt;Trinidad and Tobago",S646)),"Trinidad and Tobago",
ISNUMBER(SEARCH("rn""&gt;Serbia and Montenegro",S646)),"Serbia and Montenegro",
ISNUMBER(SEARCH(_xlfn.UNICHAR(65533),S646)),"Côte d'Ivoire",
TRUE,""
)</f>
        <v/>
      </c>
      <c r="W646" s="30" t="str">
        <f t="shared" si="57"/>
        <v>Argentina</v>
      </c>
      <c r="Z646" s="40" t="str">
        <v>Incheon Football Stadium</v>
      </c>
      <c r="AA646" s="40" t="str" cm="1">
        <f t="array" ref="AA646">IFERROR(_xlfn.XLOOKUP(Z646,_xlfn.ANCHORARRAY(Z$31),AA$31:AA$37),Z646)</f>
        <v>Incheon Football Stadium</v>
      </c>
      <c r="AB646" s="42" t="str">
        <v xml:space="preserve">Incheon </v>
      </c>
      <c r="AC646" s="89" t="str">
        <f t="shared" si="58"/>
        <v xml:space="preserve">Incheon </v>
      </c>
      <c r="AE646" s="42">
        <v>1998</v>
      </c>
      <c r="AK646" s="42">
        <v>0</v>
      </c>
      <c r="AL646" s="42">
        <v>2</v>
      </c>
      <c r="AW646" s="89" t="str">
        <v>ROUND_OF_16</v>
      </c>
      <c r="BE646" s="43" t="str">
        <f>IF(OR(DATA_CLEANED!AL637="",DATA_CLEANED!AM637=""),"MANQUANT",IF(OR(NOT(ISNUMBER(DATA_CLEANED!AL637)),NOT(ISNUMBER(DATA_CLEANED!AM637))),"ENTREE INVALIDE",IF(OR(DATA_CLEANED!AL637&lt;0,DATA_CLEANED!AM637&lt;0),"SCORE NEGATIF","OK")))</f>
        <v>OK</v>
      </c>
      <c r="BF646" s="43" t="str">
        <f>IF(DATA_CLEANED!AK637&lt;&gt;DATA_CLEANED!AN637,"OK","ERREUR")</f>
        <v>OK</v>
      </c>
      <c r="BG646" s="43" t="str">
        <f>IF(DATA_CLEANED!AL637&gt;DATA_CLEANED!AM637,DATA_CLEANED!AK637,IF(AND(DATA_QUALITE!W5123="-",DATA_CLEANED!AM637=DATA_CLEANED!AL637),"MATCH NUL",IF(AND(DATA_QUALITE!V5123="-",DATA_QUALITE!U5123="AUCUNE"),DATA_QUALITE!T5123,IF(DATA_QUALITE!V5123&lt;&gt;"-",DATA_QUALITE!V5123,DATA_CLEANED!AN637))))</f>
        <v>Turkey</v>
      </c>
      <c r="BH646" s="103" t="str">
        <f>IF(AND(BG646="MATCH NUL",DATA_CLEANED!AO637="-"),"MATCH_NUL",IF(ISNUMBER(SEARCH("win on penalties",W5123)),"WIN_BY_PENALTY",IF(ISNUMBER(SEARCH("win after extra time",W5123)),"WIN_BY_EXTRA_TIME",IF(ISNUMBER(SEARCH("Golden Goal",W5123)),"WIN_BY_GOLDEN_GOAL","WIN_BY_SCORE"))))</f>
        <v>WIN_BY_SCORE</v>
      </c>
      <c r="BI646" s="99" t="str">
        <f>IF(OR(BG646=DATA_CLEANED!AK637,BG646=DATA_CLEANED!AN637,BG646="MATCH NUL"),"OK","ERREUR")</f>
        <v>OK</v>
      </c>
    </row>
    <row r="647" spans="2:61">
      <c r="B647" s="75">
        <v>210</v>
      </c>
      <c r="C647" s="15" t="str">
        <v>Weverton</v>
      </c>
      <c r="D647" s="15">
        <v>38</v>
      </c>
      <c r="E647" s="15" t="str">
        <v>Brazil</v>
      </c>
      <c r="F647" s="15" t="str">
        <v>GK</v>
      </c>
      <c r="G647" s="15" t="str">
        <v>Grêmio</v>
      </c>
      <c r="H647" s="15">
        <v>12</v>
      </c>
      <c r="I647" s="15" t="str">
        <f t="shared" si="59"/>
        <v>210|Weverton|38|Brazil|GK|Grêmio|12</v>
      </c>
      <c r="J647" s="15" t="str">
        <f>IF(COUNTIF(I$438:I647,I647)&gt;1,"DOUBLON","OK")</f>
        <v>OK</v>
      </c>
      <c r="S647" s="30" t="str">
        <v>Argentina</v>
      </c>
      <c r="T647" s="30" t="str">
        <f t="shared" si="60"/>
        <v>OK</v>
      </c>
      <c r="U647" s="30" t="str">
        <f t="shared" si="61"/>
        <v>-</v>
      </c>
      <c r="V647" s="30" t="str" cm="1">
        <f t="array" ref="V647">_xlfn.IFS(
ISNUMBER(SEARCH("USA",S647)),"United States",
ISNUMBER(SEARCH("Republic of Korea",S647)),"South Korea",
ISNUMBER(SEARCH("Cape Verde",S647)),"Cabo Verde",
ISNUMBER(SEARCH("Czechia",S647)),"Czech Republic",
ISNUMBER(SEARCH("Türkiye",S647)),"Turkey",
ISNUMBER(SEARCH("Ivory Coast",S647)),"Côte d'Ivoire",
ISNUMBER(SEARCH("Korea Republic",S647)),"South Korea",
ISNUMBER(SEARCH("Germany FR",S647)),"FR Germany",
ISNUMBER(SEARCH("West Germany",S647)),"FR Germany",
ISNUMBER(SEARCH("Germany DR",S647)),"DR Germany",
ISNUMBER(SEARCH("Korea DPR",S647)),"North Korea",
ISNUMBER(SEARCH("China PR",S647)),"China",
ISNUMBER(SEARCH("IR Iran",S647)),"Iran",
ISNUMBER(SEARCH("Congo DR",S647)),"Democratic Republic of the Congo",
ISNUMBER(SEARCH("DR Congo",S647)),"Democratic Republic of the Congo",
ISNUMBER(SEARCH("German DR",S647)),"DR Germany",
ISNUMBER(SEARCH("rn""&gt;United Arab Emirates",S647)),"United Arab Emirates",
ISNUMBER(SEARCH("rn""&gt;Republic of Ireland",S647)),"Ireland",
ISNUMBER(SEARCH("rn""&gt;Bosnia and Herzegovina",S647)),"Bosnia and Herzegovina",
ISNUMBER(SEARCH("rn""&gt;Trinidad and Tobago",S647)),"Trinidad and Tobago",
ISNUMBER(SEARCH("rn""&gt;Serbia and Montenegro",S647)),"Serbia and Montenegro",
ISNUMBER(SEARCH(_xlfn.UNICHAR(65533),S647)),"Côte d'Ivoire",
TRUE,""
)</f>
        <v/>
      </c>
      <c r="W647" s="30" t="str">
        <f t="shared" si="57"/>
        <v>Argentina</v>
      </c>
      <c r="Z647" s="40" t="str">
        <v>International Stadium Yokohama</v>
      </c>
      <c r="AA647" s="40" t="str" cm="1">
        <f t="array" ref="AA647">IFERROR(_xlfn.XLOOKUP(Z647,_xlfn.ANCHORARRAY(Z$31),AA$31:AA$37),Z647)</f>
        <v>International Stadium Yokohama</v>
      </c>
      <c r="AB647" s="42" t="str">
        <v xml:space="preserve">Yokohama </v>
      </c>
      <c r="AC647" s="89" t="str">
        <f t="shared" si="58"/>
        <v xml:space="preserve">Yokohama </v>
      </c>
      <c r="AE647" s="42">
        <v>1998</v>
      </c>
      <c r="AK647" s="42">
        <v>1</v>
      </c>
      <c r="AL647" s="42">
        <v>0</v>
      </c>
      <c r="AW647" s="89" t="str">
        <v>ROUND_OF_16</v>
      </c>
      <c r="BE647" s="43" t="str">
        <f>IF(OR(DATA_CLEANED!AL638="",DATA_CLEANED!AM638=""),"MANQUANT",IF(OR(NOT(ISNUMBER(DATA_CLEANED!AL638)),NOT(ISNUMBER(DATA_CLEANED!AM638))),"ENTREE INVALIDE",IF(OR(DATA_CLEANED!AL638&lt;0,DATA_CLEANED!AM638&lt;0),"SCORE NEGATIF","OK")))</f>
        <v>OK</v>
      </c>
      <c r="BF647" s="43" t="str">
        <f>IF(DATA_CLEANED!AK638&lt;&gt;DATA_CLEANED!AN638,"OK","ERREUR")</f>
        <v>OK</v>
      </c>
      <c r="BG647" s="43" t="str">
        <f>IF(DATA_CLEANED!AL638&gt;DATA_CLEANED!AM638,DATA_CLEANED!AK638,IF(AND(DATA_QUALITE!W5124="-",DATA_CLEANED!AM638=DATA_CLEANED!AL638),"MATCH NUL",IF(AND(DATA_QUALITE!V5124="-",DATA_QUALITE!U5124="AUCUNE"),DATA_QUALITE!T5124,IF(DATA_QUALITE!V5124&lt;&gt;"-",DATA_QUALITE!V5124,DATA_CLEANED!AN638))))</f>
        <v>South Korea</v>
      </c>
      <c r="BH647" s="103" t="str">
        <f>IF(AND(BG647="MATCH NUL",DATA_CLEANED!AO638="-"),"MATCH_NUL",IF(ISNUMBER(SEARCH("win on penalties",W5124)),"WIN_BY_PENALTY",IF(ISNUMBER(SEARCH("win after extra time",W5124)),"WIN_BY_EXTRA_TIME",IF(ISNUMBER(SEARCH("Golden Goal",W5124)),"WIN_BY_GOLDEN_GOAL","WIN_BY_SCORE"))))</f>
        <v>WIN_BY_GOLDEN_GOAL</v>
      </c>
      <c r="BI647" s="99" t="str">
        <f>IF(OR(BG647=DATA_CLEANED!AK638,BG647=DATA_CLEANED!AN638,BG647="MATCH NUL"),"OK","ERREUR")</f>
        <v>OK</v>
      </c>
    </row>
    <row r="648" spans="2:61">
      <c r="B648" s="75">
        <v>211</v>
      </c>
      <c r="C648" s="15" t="str">
        <v>Ederson Moraes</v>
      </c>
      <c r="D648" s="15">
        <v>32</v>
      </c>
      <c r="E648" s="15" t="str">
        <v>Brazil</v>
      </c>
      <c r="F648" s="15" t="str">
        <v>GK</v>
      </c>
      <c r="G648" s="15" t="str">
        <v>Fenerbahçe</v>
      </c>
      <c r="H648" s="15">
        <v>23</v>
      </c>
      <c r="I648" s="15" t="str">
        <f t="shared" si="59"/>
        <v>211|Ederson Moraes|32|Brazil|GK|Fenerbahçe|23</v>
      </c>
      <c r="J648" s="15" t="str">
        <f>IF(COUNTIF(I$438:I648,I648)&gt;1,"DOUBLON","OK")</f>
        <v>OK</v>
      </c>
      <c r="S648" s="30" t="str">
        <v>Argentina</v>
      </c>
      <c r="T648" s="30" t="str">
        <f t="shared" si="60"/>
        <v>OK</v>
      </c>
      <c r="U648" s="30" t="str">
        <f t="shared" si="61"/>
        <v>-</v>
      </c>
      <c r="V648" s="30" t="str" cm="1">
        <f t="array" ref="V648">_xlfn.IFS(
ISNUMBER(SEARCH("USA",S648)),"United States",
ISNUMBER(SEARCH("Republic of Korea",S648)),"South Korea",
ISNUMBER(SEARCH("Cape Verde",S648)),"Cabo Verde",
ISNUMBER(SEARCH("Czechia",S648)),"Czech Republic",
ISNUMBER(SEARCH("Türkiye",S648)),"Turkey",
ISNUMBER(SEARCH("Ivory Coast",S648)),"Côte d'Ivoire",
ISNUMBER(SEARCH("Korea Republic",S648)),"South Korea",
ISNUMBER(SEARCH("Germany FR",S648)),"FR Germany",
ISNUMBER(SEARCH("West Germany",S648)),"FR Germany",
ISNUMBER(SEARCH("Germany DR",S648)),"DR Germany",
ISNUMBER(SEARCH("Korea DPR",S648)),"North Korea",
ISNUMBER(SEARCH("China PR",S648)),"China",
ISNUMBER(SEARCH("IR Iran",S648)),"Iran",
ISNUMBER(SEARCH("Congo DR",S648)),"Democratic Republic of the Congo",
ISNUMBER(SEARCH("DR Congo",S648)),"Democratic Republic of the Congo",
ISNUMBER(SEARCH("German DR",S648)),"DR Germany",
ISNUMBER(SEARCH("rn""&gt;United Arab Emirates",S648)),"United Arab Emirates",
ISNUMBER(SEARCH("rn""&gt;Republic of Ireland",S648)),"Ireland",
ISNUMBER(SEARCH("rn""&gt;Bosnia and Herzegovina",S648)),"Bosnia and Herzegovina",
ISNUMBER(SEARCH("rn""&gt;Trinidad and Tobago",S648)),"Trinidad and Tobago",
ISNUMBER(SEARCH("rn""&gt;Serbia and Montenegro",S648)),"Serbia and Montenegro",
ISNUMBER(SEARCH(_xlfn.UNICHAR(65533),S648)),"Côte d'Ivoire",
TRUE,""
)</f>
        <v/>
      </c>
      <c r="W648" s="30" t="str">
        <f t="shared" si="57"/>
        <v>Argentina</v>
      </c>
      <c r="Z648" s="40" t="str">
        <v>Miyagi Stadium</v>
      </c>
      <c r="AA648" s="40" t="str" cm="1">
        <f t="array" ref="AA648">IFERROR(_xlfn.XLOOKUP(Z648,_xlfn.ANCHORARRAY(Z$31),AA$31:AA$37),Z648)</f>
        <v>Miyagi Stadium</v>
      </c>
      <c r="AB648" s="42" t="str">
        <v xml:space="preserve">Rifu </v>
      </c>
      <c r="AC648" s="89" t="str">
        <f t="shared" si="58"/>
        <v xml:space="preserve">Rifu </v>
      </c>
      <c r="AE648" s="42">
        <v>1998</v>
      </c>
      <c r="AK648" s="42">
        <v>4</v>
      </c>
      <c r="AL648" s="42">
        <v>1</v>
      </c>
      <c r="AW648" s="89" t="str">
        <v>QUARTER_FINALS</v>
      </c>
      <c r="BE648" s="43" t="str">
        <f>IF(OR(DATA_CLEANED!AL639="",DATA_CLEANED!AM639=""),"MANQUANT",IF(OR(NOT(ISNUMBER(DATA_CLEANED!AL639)),NOT(ISNUMBER(DATA_CLEANED!AM639))),"ENTREE INVALIDE",IF(OR(DATA_CLEANED!AL639&lt;0,DATA_CLEANED!AM639&lt;0),"SCORE NEGATIF","OK")))</f>
        <v>OK</v>
      </c>
      <c r="BF648" s="43" t="str">
        <f>IF(DATA_CLEANED!AK639&lt;&gt;DATA_CLEANED!AN639,"OK","ERREUR")</f>
        <v>OK</v>
      </c>
      <c r="BG648" s="43" t="str">
        <f>IF(DATA_CLEANED!AL639&gt;DATA_CLEANED!AM639,DATA_CLEANED!AK639,IF(AND(DATA_QUALITE!W5125="-",DATA_CLEANED!AM639=DATA_CLEANED!AL639),"MATCH NUL",IF(AND(DATA_QUALITE!V5125="-",DATA_QUALITE!U5125="AUCUNE"),DATA_QUALITE!T5125,IF(DATA_QUALITE!V5125&lt;&gt;"-",DATA_QUALITE!V5125,DATA_CLEANED!AN639))))</f>
        <v>Brazil</v>
      </c>
      <c r="BH648" s="103" t="str">
        <f>IF(AND(BG648="MATCH NUL",DATA_CLEANED!AO639="-"),"MATCH_NUL",IF(ISNUMBER(SEARCH("win on penalties",W5125)),"WIN_BY_PENALTY",IF(ISNUMBER(SEARCH("win after extra time",W5125)),"WIN_BY_EXTRA_TIME",IF(ISNUMBER(SEARCH("Golden Goal",W5125)),"WIN_BY_GOLDEN_GOAL","WIN_BY_SCORE"))))</f>
        <v>WIN_BY_SCORE</v>
      </c>
      <c r="BI648" s="99" t="str">
        <f>IF(OR(BG648=DATA_CLEANED!AK639,BG648=DATA_CLEANED!AN639,BG648="MATCH NUL"),"OK","ERREUR")</f>
        <v>OK</v>
      </c>
    </row>
    <row r="649" spans="2:61">
      <c r="B649" s="75">
        <v>212</v>
      </c>
      <c r="C649" s="15" t="str">
        <v>Gabriel Magalhães</v>
      </c>
      <c r="D649" s="15">
        <v>28</v>
      </c>
      <c r="E649" s="15" t="str">
        <v>Brazil</v>
      </c>
      <c r="F649" s="15" t="str">
        <v>CB</v>
      </c>
      <c r="G649" s="15" t="str">
        <v>Arsenal</v>
      </c>
      <c r="H649" s="15">
        <v>3</v>
      </c>
      <c r="I649" s="15" t="str">
        <f t="shared" si="59"/>
        <v>212|Gabriel Magalhães|28|Brazil|CB|Arsenal|3</v>
      </c>
      <c r="J649" s="15" t="str">
        <f>IF(COUNTIF(I$438:I649,I649)&gt;1,"DOUBLON","OK")</f>
        <v>OK</v>
      </c>
      <c r="S649" s="30" t="str">
        <v>Argentina</v>
      </c>
      <c r="T649" s="30" t="str">
        <f t="shared" si="60"/>
        <v>OK</v>
      </c>
      <c r="U649" s="30" t="str">
        <f t="shared" si="61"/>
        <v>-</v>
      </c>
      <c r="V649" s="30" t="str" cm="1">
        <f t="array" ref="V649">_xlfn.IFS(
ISNUMBER(SEARCH("USA",S649)),"United States",
ISNUMBER(SEARCH("Republic of Korea",S649)),"South Korea",
ISNUMBER(SEARCH("Cape Verde",S649)),"Cabo Verde",
ISNUMBER(SEARCH("Czechia",S649)),"Czech Republic",
ISNUMBER(SEARCH("Türkiye",S649)),"Turkey",
ISNUMBER(SEARCH("Ivory Coast",S649)),"Côte d'Ivoire",
ISNUMBER(SEARCH("Korea Republic",S649)),"South Korea",
ISNUMBER(SEARCH("Germany FR",S649)),"FR Germany",
ISNUMBER(SEARCH("West Germany",S649)),"FR Germany",
ISNUMBER(SEARCH("Germany DR",S649)),"DR Germany",
ISNUMBER(SEARCH("Korea DPR",S649)),"North Korea",
ISNUMBER(SEARCH("China PR",S649)),"China",
ISNUMBER(SEARCH("IR Iran",S649)),"Iran",
ISNUMBER(SEARCH("Congo DR",S649)),"Democratic Republic of the Congo",
ISNUMBER(SEARCH("DR Congo",S649)),"Democratic Republic of the Congo",
ISNUMBER(SEARCH("German DR",S649)),"DR Germany",
ISNUMBER(SEARCH("rn""&gt;United Arab Emirates",S649)),"United Arab Emirates",
ISNUMBER(SEARCH("rn""&gt;Republic of Ireland",S649)),"Ireland",
ISNUMBER(SEARCH("rn""&gt;Bosnia and Herzegovina",S649)),"Bosnia and Herzegovina",
ISNUMBER(SEARCH("rn""&gt;Trinidad and Tobago",S649)),"Trinidad and Tobago",
ISNUMBER(SEARCH("rn""&gt;Serbia and Montenegro",S649)),"Serbia and Montenegro",
ISNUMBER(SEARCH(_xlfn.UNICHAR(65533),S649)),"Côte d'Ivoire",
TRUE,""
)</f>
        <v/>
      </c>
      <c r="W649" s="30" t="str">
        <f t="shared" si="57"/>
        <v>Argentina</v>
      </c>
      <c r="Z649" s="40" t="str">
        <v>Daegu World Cup Stadium</v>
      </c>
      <c r="AA649" s="40" t="str" cm="1">
        <f t="array" ref="AA649">IFERROR(_xlfn.XLOOKUP(Z649,_xlfn.ANCHORARRAY(Z$31),AA$31:AA$37),Z649)</f>
        <v>Daegu World Cup Stadium</v>
      </c>
      <c r="AB649" s="42" t="str">
        <v xml:space="preserve">Daegu </v>
      </c>
      <c r="AC649" s="89" t="str">
        <f t="shared" si="58"/>
        <v xml:space="preserve">Daegu </v>
      </c>
      <c r="AE649" s="42">
        <v>1998</v>
      </c>
      <c r="AK649" s="42">
        <v>1</v>
      </c>
      <c r="AL649" s="42">
        <v>0</v>
      </c>
      <c r="AW649" s="89" t="str">
        <v>QUARTER_FINALS</v>
      </c>
      <c r="BE649" s="43" t="str">
        <f>IF(OR(DATA_CLEANED!AL640="",DATA_CLEANED!AM640=""),"MANQUANT",IF(OR(NOT(ISNUMBER(DATA_CLEANED!AL640)),NOT(ISNUMBER(DATA_CLEANED!AM640))),"ENTREE INVALIDE",IF(OR(DATA_CLEANED!AL640&lt;0,DATA_CLEANED!AM640&lt;0),"SCORE NEGATIF","OK")))</f>
        <v>OK</v>
      </c>
      <c r="BF649" s="43" t="str">
        <f>IF(DATA_CLEANED!AK640&lt;&gt;DATA_CLEANED!AN640,"OK","ERREUR")</f>
        <v>OK</v>
      </c>
      <c r="BG649" s="43" t="str">
        <f>IF(DATA_CLEANED!AL640&gt;DATA_CLEANED!AM640,DATA_CLEANED!AK640,IF(AND(DATA_QUALITE!W5126="-",DATA_CLEANED!AM640=DATA_CLEANED!AL640),"MATCH NUL",IF(AND(DATA_QUALITE!V5126="-",DATA_QUALITE!U5126="AUCUNE"),DATA_QUALITE!T5126,IF(DATA_QUALITE!V5126&lt;&gt;"-",DATA_QUALITE!V5126,DATA_CLEANED!AN640))))</f>
        <v>Germany</v>
      </c>
      <c r="BH649" s="103" t="str">
        <f>IF(AND(BG649="MATCH NUL",DATA_CLEANED!AO640="-"),"MATCH_NUL",IF(ISNUMBER(SEARCH("win on penalties",W5126)),"WIN_BY_PENALTY",IF(ISNUMBER(SEARCH("win after extra time",W5126)),"WIN_BY_EXTRA_TIME",IF(ISNUMBER(SEARCH("Golden Goal",W5126)),"WIN_BY_GOLDEN_GOAL","WIN_BY_SCORE"))))</f>
        <v>WIN_BY_SCORE</v>
      </c>
      <c r="BI649" s="99" t="str">
        <f>IF(OR(BG649=DATA_CLEANED!AK640,BG649=DATA_CLEANED!AN640,BG649="MATCH NUL"),"OK","ERREUR")</f>
        <v>OK</v>
      </c>
    </row>
    <row r="650" spans="2:61">
      <c r="B650" s="75">
        <v>213</v>
      </c>
      <c r="C650" s="15" t="str">
        <v>Marquinhos</v>
      </c>
      <c r="D650" s="15">
        <v>32</v>
      </c>
      <c r="E650" s="15" t="str">
        <v>Brazil</v>
      </c>
      <c r="F650" s="15" t="str">
        <v>CB</v>
      </c>
      <c r="G650" s="15" t="str">
        <v>Paris Saint-Germain</v>
      </c>
      <c r="H650" s="15">
        <v>4</v>
      </c>
      <c r="I650" s="15" t="str">
        <f t="shared" si="59"/>
        <v>213|Marquinhos|32|Brazil|CB|Paris Saint-Germain|4</v>
      </c>
      <c r="J650" s="15" t="str">
        <f>IF(COUNTIF(I$438:I650,I650)&gt;1,"DOUBLON","OK")</f>
        <v>OK</v>
      </c>
      <c r="S650" s="30" t="str">
        <v>Argentina</v>
      </c>
      <c r="T650" s="30" t="str">
        <f t="shared" si="60"/>
        <v>OK</v>
      </c>
      <c r="U650" s="30" t="str">
        <f t="shared" si="61"/>
        <v>-</v>
      </c>
      <c r="V650" s="30" t="str" cm="1">
        <f t="array" ref="V650">_xlfn.IFS(
ISNUMBER(SEARCH("USA",S650)),"United States",
ISNUMBER(SEARCH("Republic of Korea",S650)),"South Korea",
ISNUMBER(SEARCH("Cape Verde",S650)),"Cabo Verde",
ISNUMBER(SEARCH("Czechia",S650)),"Czech Republic",
ISNUMBER(SEARCH("Türkiye",S650)),"Turkey",
ISNUMBER(SEARCH("Ivory Coast",S650)),"Côte d'Ivoire",
ISNUMBER(SEARCH("Korea Republic",S650)),"South Korea",
ISNUMBER(SEARCH("Germany FR",S650)),"FR Germany",
ISNUMBER(SEARCH("West Germany",S650)),"FR Germany",
ISNUMBER(SEARCH("Germany DR",S650)),"DR Germany",
ISNUMBER(SEARCH("Korea DPR",S650)),"North Korea",
ISNUMBER(SEARCH("China PR",S650)),"China",
ISNUMBER(SEARCH("IR Iran",S650)),"Iran",
ISNUMBER(SEARCH("Congo DR",S650)),"Democratic Republic of the Congo",
ISNUMBER(SEARCH("DR Congo",S650)),"Democratic Republic of the Congo",
ISNUMBER(SEARCH("German DR",S650)),"DR Germany",
ISNUMBER(SEARCH("rn""&gt;United Arab Emirates",S650)),"United Arab Emirates",
ISNUMBER(SEARCH("rn""&gt;Republic of Ireland",S650)),"Ireland",
ISNUMBER(SEARCH("rn""&gt;Bosnia and Herzegovina",S650)),"Bosnia and Herzegovina",
ISNUMBER(SEARCH("rn""&gt;Trinidad and Tobago",S650)),"Trinidad and Tobago",
ISNUMBER(SEARCH("rn""&gt;Serbia and Montenegro",S650)),"Serbia and Montenegro",
ISNUMBER(SEARCH(_xlfn.UNICHAR(65533),S650)),"Côte d'Ivoire",
TRUE,""
)</f>
        <v/>
      </c>
      <c r="W650" s="30" t="str">
        <f t="shared" si="57"/>
        <v>Argentina</v>
      </c>
      <c r="Z650" s="40" t="str">
        <v>Jeonju World Cup Stadium</v>
      </c>
      <c r="AA650" s="40" t="str" cm="1">
        <f t="array" ref="AA650">IFERROR(_xlfn.XLOOKUP(Z650,_xlfn.ANCHORARRAY(Z$31),AA$31:AA$37),Z650)</f>
        <v>Jeonju World Cup Stadium</v>
      </c>
      <c r="AB650" s="42" t="str">
        <v xml:space="preserve">Jeonju </v>
      </c>
      <c r="AC650" s="89" t="str">
        <f t="shared" si="58"/>
        <v xml:space="preserve">Jeonju </v>
      </c>
      <c r="AE650" s="42">
        <v>1998</v>
      </c>
      <c r="AK650" s="42">
        <v>1</v>
      </c>
      <c r="AL650" s="42">
        <v>4</v>
      </c>
      <c r="AW650" s="89" t="str">
        <v>QUARTER_FINALS</v>
      </c>
      <c r="BE650" s="43" t="str">
        <f>IF(OR(DATA_CLEANED!AL641="",DATA_CLEANED!AM641=""),"MANQUANT",IF(OR(NOT(ISNUMBER(DATA_CLEANED!AL641)),NOT(ISNUMBER(DATA_CLEANED!AM641))),"ENTREE INVALIDE",IF(OR(DATA_CLEANED!AL641&lt;0,DATA_CLEANED!AM641&lt;0),"SCORE NEGATIF","OK")))</f>
        <v>OK</v>
      </c>
      <c r="BF650" s="43" t="str">
        <f>IF(DATA_CLEANED!AK641&lt;&gt;DATA_CLEANED!AN641,"OK","ERREUR")</f>
        <v>OK</v>
      </c>
      <c r="BG650" s="43" t="str">
        <f>IF(DATA_CLEANED!AL641&gt;DATA_CLEANED!AM641,DATA_CLEANED!AK641,IF(AND(DATA_QUALITE!W5127="-",DATA_CLEANED!AM641=DATA_CLEANED!AL641),"MATCH NUL",IF(AND(DATA_QUALITE!V5127="-",DATA_QUALITE!U5127="AUCUNE"),DATA_QUALITE!T5127,IF(DATA_QUALITE!V5127&lt;&gt;"-",DATA_QUALITE!V5127,DATA_CLEANED!AN641))))</f>
        <v>Turkey</v>
      </c>
      <c r="BH650" s="103" t="str">
        <f>IF(AND(BG650="MATCH NUL",DATA_CLEANED!AO641="-"),"MATCH_NUL",IF(ISNUMBER(SEARCH("win on penalties",W5127)),"WIN_BY_PENALTY",IF(ISNUMBER(SEARCH("win after extra time",W5127)),"WIN_BY_EXTRA_TIME",IF(ISNUMBER(SEARCH("Golden Goal",W5127)),"WIN_BY_GOLDEN_GOAL","WIN_BY_SCORE"))))</f>
        <v>WIN_BY_GOLDEN_GOAL</v>
      </c>
      <c r="BI650" s="99" t="str">
        <f>IF(OR(BG650=DATA_CLEANED!AK641,BG650=DATA_CLEANED!AN641,BG650="MATCH NUL"),"OK","ERREUR")</f>
        <v>OK</v>
      </c>
    </row>
    <row r="651" spans="2:61">
      <c r="B651" s="75">
        <v>214</v>
      </c>
      <c r="C651" s="15" t="str">
        <v>Bremer</v>
      </c>
      <c r="D651" s="15">
        <v>29</v>
      </c>
      <c r="E651" s="15" t="str">
        <v>Brazil</v>
      </c>
      <c r="F651" s="15" t="str">
        <v>CB</v>
      </c>
      <c r="G651" s="15" t="str">
        <v>Juventus</v>
      </c>
      <c r="H651" s="15">
        <v>14</v>
      </c>
      <c r="I651" s="15" t="str">
        <f t="shared" si="59"/>
        <v>214|Bremer|29|Brazil|CB|Juventus|14</v>
      </c>
      <c r="J651" s="15" t="str">
        <f>IF(COUNTIF(I$438:I651,I651)&gt;1,"DOUBLON","OK")</f>
        <v>OK</v>
      </c>
      <c r="S651" s="30" t="str">
        <v>Argentina</v>
      </c>
      <c r="T651" s="30" t="str">
        <f t="shared" si="60"/>
        <v>OK</v>
      </c>
      <c r="U651" s="30" t="str">
        <f t="shared" si="61"/>
        <v>-</v>
      </c>
      <c r="V651" s="30" t="str" cm="1">
        <f t="array" ref="V651">_xlfn.IFS(
ISNUMBER(SEARCH("USA",S651)),"United States",
ISNUMBER(SEARCH("Republic of Korea",S651)),"South Korea",
ISNUMBER(SEARCH("Cape Verde",S651)),"Cabo Verde",
ISNUMBER(SEARCH("Czechia",S651)),"Czech Republic",
ISNUMBER(SEARCH("Türkiye",S651)),"Turkey",
ISNUMBER(SEARCH("Ivory Coast",S651)),"Côte d'Ivoire",
ISNUMBER(SEARCH("Korea Republic",S651)),"South Korea",
ISNUMBER(SEARCH("Germany FR",S651)),"FR Germany",
ISNUMBER(SEARCH("West Germany",S651)),"FR Germany",
ISNUMBER(SEARCH("Germany DR",S651)),"DR Germany",
ISNUMBER(SEARCH("Korea DPR",S651)),"North Korea",
ISNUMBER(SEARCH("China PR",S651)),"China",
ISNUMBER(SEARCH("IR Iran",S651)),"Iran",
ISNUMBER(SEARCH("Congo DR",S651)),"Democratic Republic of the Congo",
ISNUMBER(SEARCH("DR Congo",S651)),"Democratic Republic of the Congo",
ISNUMBER(SEARCH("German DR",S651)),"DR Germany",
ISNUMBER(SEARCH("rn""&gt;United Arab Emirates",S651)),"United Arab Emirates",
ISNUMBER(SEARCH("rn""&gt;Republic of Ireland",S651)),"Ireland",
ISNUMBER(SEARCH("rn""&gt;Bosnia and Herzegovina",S651)),"Bosnia and Herzegovina",
ISNUMBER(SEARCH("rn""&gt;Trinidad and Tobago",S651)),"Trinidad and Tobago",
ISNUMBER(SEARCH("rn""&gt;Serbia and Montenegro",S651)),"Serbia and Montenegro",
ISNUMBER(SEARCH(_xlfn.UNICHAR(65533),S651)),"Côte d'Ivoire",
TRUE,""
)</f>
        <v/>
      </c>
      <c r="W651" s="30" t="str">
        <f t="shared" si="57"/>
        <v>Argentina</v>
      </c>
      <c r="Z651" s="40" t="str">
        <v>Oita Stadium Big Eye</v>
      </c>
      <c r="AA651" s="40" t="str" cm="1">
        <f t="array" ref="AA651">IFERROR(_xlfn.XLOOKUP(Z651,_xlfn.ANCHORARRAY(Z$31),AA$31:AA$37),Z651)</f>
        <v>Oita Stadium Big Eye</v>
      </c>
      <c r="AB651" s="42" t="str">
        <v xml:space="preserve">Oita </v>
      </c>
      <c r="AC651" s="89" t="str">
        <f t="shared" si="58"/>
        <v xml:space="preserve">Oita </v>
      </c>
      <c r="AE651" s="42">
        <v>1998</v>
      </c>
      <c r="AK651" s="42">
        <v>2</v>
      </c>
      <c r="AL651" s="42">
        <v>1</v>
      </c>
      <c r="AW651" s="89" t="str">
        <v>QUARTER_FINALS</v>
      </c>
      <c r="BE651" s="43" t="str">
        <f>IF(OR(DATA_CLEANED!AL642="",DATA_CLEANED!AM642=""),"MANQUANT",IF(OR(NOT(ISNUMBER(DATA_CLEANED!AL642)),NOT(ISNUMBER(DATA_CLEANED!AM642))),"ENTREE INVALIDE",IF(OR(DATA_CLEANED!AL642&lt;0,DATA_CLEANED!AM642&lt;0),"SCORE NEGATIF","OK")))</f>
        <v>OK</v>
      </c>
      <c r="BF651" s="43" t="str">
        <f>IF(DATA_CLEANED!AK642&lt;&gt;DATA_CLEANED!AN642,"OK","ERREUR")</f>
        <v>OK</v>
      </c>
      <c r="BG651" s="43" t="str">
        <f>IF(DATA_CLEANED!AL642&gt;DATA_CLEANED!AM642,DATA_CLEANED!AK642,IF(AND(DATA_QUALITE!W5128="-",DATA_CLEANED!AM642=DATA_CLEANED!AL642),"MATCH NUL",IF(AND(DATA_QUALITE!V5128="-",DATA_QUALITE!U5128="AUCUNE"),DATA_QUALITE!T5128,IF(DATA_QUALITE!V5128&lt;&gt;"-",DATA_QUALITE!V5128,DATA_CLEANED!AN642))))</f>
        <v>South Korea</v>
      </c>
      <c r="BH651" s="103" t="str">
        <f>IF(AND(BG651="MATCH NUL",DATA_CLEANED!AO642="-"),"MATCH_NUL",IF(ISNUMBER(SEARCH("win on penalties",W5128)),"WIN_BY_PENALTY",IF(ISNUMBER(SEARCH("win after extra time",W5128)),"WIN_BY_EXTRA_TIME",IF(ISNUMBER(SEARCH("Golden Goal",W5128)),"WIN_BY_GOLDEN_GOAL","WIN_BY_SCORE"))))</f>
        <v>WIN_BY_PENALTY</v>
      </c>
      <c r="BI651" s="99" t="str">
        <f>IF(OR(BG651=DATA_CLEANED!AK642,BG651=DATA_CLEANED!AN642,BG651="MATCH NUL"),"OK","ERREUR")</f>
        <v>OK</v>
      </c>
    </row>
    <row r="652" spans="2:61">
      <c r="B652" s="75">
        <v>215</v>
      </c>
      <c r="C652" s="15" t="str">
        <v>Léo Pereira</v>
      </c>
      <c r="D652" s="15">
        <v>30</v>
      </c>
      <c r="E652" s="15" t="str">
        <v>Brazil</v>
      </c>
      <c r="F652" s="15" t="str">
        <v>CB</v>
      </c>
      <c r="G652" s="15" t="str">
        <v>Flamengo</v>
      </c>
      <c r="H652" s="15">
        <v>15</v>
      </c>
      <c r="I652" s="15" t="str">
        <f t="shared" si="59"/>
        <v>215|Léo Pereira|30|Brazil|CB|Flamengo|15</v>
      </c>
      <c r="J652" s="15" t="str">
        <f>IF(COUNTIF(I$438:I652,I652)&gt;1,"DOUBLON","OK")</f>
        <v>OK</v>
      </c>
      <c r="S652" s="30" t="str">
        <v>England</v>
      </c>
      <c r="T652" s="30" t="str">
        <f t="shared" si="60"/>
        <v>ERREUR</v>
      </c>
      <c r="U652" s="30" t="str">
        <f t="shared" si="61"/>
        <v>AUCUNE</v>
      </c>
      <c r="V652" s="30" t="str" cm="1">
        <f t="array" ref="V652">_xlfn.IFS(
ISNUMBER(SEARCH("USA",S652)),"United States",
ISNUMBER(SEARCH("Republic of Korea",S652)),"South Korea",
ISNUMBER(SEARCH("Cape Verde",S652)),"Cabo Verde",
ISNUMBER(SEARCH("Czechia",S652)),"Czech Republic",
ISNUMBER(SEARCH("Türkiye",S652)),"Turkey",
ISNUMBER(SEARCH("Ivory Coast",S652)),"Côte d'Ivoire",
ISNUMBER(SEARCH("Korea Republic",S652)),"South Korea",
ISNUMBER(SEARCH("Germany FR",S652)),"FR Germany",
ISNUMBER(SEARCH("West Germany",S652)),"FR Germany",
ISNUMBER(SEARCH("Germany DR",S652)),"DR Germany",
ISNUMBER(SEARCH("Korea DPR",S652)),"North Korea",
ISNUMBER(SEARCH("China PR",S652)),"China",
ISNUMBER(SEARCH("IR Iran",S652)),"Iran",
ISNUMBER(SEARCH("Congo DR",S652)),"Democratic Republic of the Congo",
ISNUMBER(SEARCH("DR Congo",S652)),"Democratic Republic of the Congo",
ISNUMBER(SEARCH("German DR",S652)),"DR Germany",
ISNUMBER(SEARCH("rn""&gt;United Arab Emirates",S652)),"United Arab Emirates",
ISNUMBER(SEARCH("rn""&gt;Republic of Ireland",S652)),"Ireland",
ISNUMBER(SEARCH("rn""&gt;Bosnia and Herzegovina",S652)),"Bosnia and Herzegovina",
ISNUMBER(SEARCH("rn""&gt;Trinidad and Tobago",S652)),"Trinidad and Tobago",
ISNUMBER(SEARCH("rn""&gt;Serbia and Montenegro",S652)),"Serbia and Montenegro",
ISNUMBER(SEARCH(_xlfn.UNICHAR(65533),S652)),"Côte d'Ivoire",
TRUE,""
)</f>
        <v/>
      </c>
      <c r="W652" s="30" t="str">
        <f t="shared" si="57"/>
        <v>England</v>
      </c>
      <c r="Z652" s="40" t="str">
        <v>Incheon Football Stadium</v>
      </c>
      <c r="AA652" s="40" t="str" cm="1">
        <f t="array" ref="AA652">IFERROR(_xlfn.XLOOKUP(Z652,_xlfn.ANCHORARRAY(Z$31),AA$31:AA$37),Z652)</f>
        <v>Incheon Football Stadium</v>
      </c>
      <c r="AB652" s="42" t="str">
        <v xml:space="preserve">Incheon </v>
      </c>
      <c r="AC652" s="89" t="str">
        <f t="shared" si="58"/>
        <v xml:space="preserve">Incheon </v>
      </c>
      <c r="AE652" s="42">
        <v>1998</v>
      </c>
      <c r="AK652" s="42">
        <v>2</v>
      </c>
      <c r="AL652" s="42">
        <v>1</v>
      </c>
      <c r="AW652" s="89" t="str">
        <v>SEMI_FINALS</v>
      </c>
      <c r="BE652" s="43" t="str">
        <f>IF(OR(DATA_CLEANED!AL643="",DATA_CLEANED!AM643=""),"MANQUANT",IF(OR(NOT(ISNUMBER(DATA_CLEANED!AL643)),NOT(ISNUMBER(DATA_CLEANED!AM643))),"ENTREE INVALIDE",IF(OR(DATA_CLEANED!AL643&lt;0,DATA_CLEANED!AM643&lt;0),"SCORE NEGATIF","OK")))</f>
        <v>OK</v>
      </c>
      <c r="BF652" s="43" t="str">
        <f>IF(DATA_CLEANED!AK643&lt;&gt;DATA_CLEANED!AN643,"OK","ERREUR")</f>
        <v>OK</v>
      </c>
      <c r="BG652" s="43" t="str">
        <f>IF(DATA_CLEANED!AL643&gt;DATA_CLEANED!AM643,DATA_CLEANED!AK643,IF(AND(DATA_QUALITE!W5129="-",DATA_CLEANED!AM643=DATA_CLEANED!AL643),"MATCH NUL",IF(AND(DATA_QUALITE!V5129="-",DATA_QUALITE!U5129="AUCUNE"),DATA_QUALITE!T5129,IF(DATA_QUALITE!V5129&lt;&gt;"-",DATA_QUALITE!V5129,DATA_CLEANED!AN643))))</f>
        <v>Germany</v>
      </c>
      <c r="BH652" s="103" t="str">
        <f>IF(AND(BG652="MATCH NUL",DATA_CLEANED!AO643="-"),"MATCH_NUL",IF(ISNUMBER(SEARCH("win on penalties",W5129)),"WIN_BY_PENALTY",IF(ISNUMBER(SEARCH("win after extra time",W5129)),"WIN_BY_EXTRA_TIME",IF(ISNUMBER(SEARCH("Golden Goal",W5129)),"WIN_BY_GOLDEN_GOAL","WIN_BY_SCORE"))))</f>
        <v>WIN_BY_SCORE</v>
      </c>
      <c r="BI652" s="99" t="str">
        <f>IF(OR(BG652=DATA_CLEANED!AK643,BG652=DATA_CLEANED!AN643,BG652="MATCH NUL"),"OK","ERREUR")</f>
        <v>OK</v>
      </c>
    </row>
    <row r="653" spans="2:61">
      <c r="B653" s="75">
        <v>216</v>
      </c>
      <c r="C653" s="15" t="str">
        <v>Roger Ibañez</v>
      </c>
      <c r="D653" s="15">
        <v>27</v>
      </c>
      <c r="E653" s="15" t="str">
        <v>Brazil</v>
      </c>
      <c r="F653" s="15" t="str">
        <v>CB</v>
      </c>
      <c r="G653" s="15" t="str">
        <v>Al-Ahli</v>
      </c>
      <c r="H653" s="15">
        <v>24</v>
      </c>
      <c r="I653" s="15" t="str">
        <f t="shared" si="59"/>
        <v>216|Roger Ibañez|27|Brazil|CB|Al-Ahli|24</v>
      </c>
      <c r="J653" s="15" t="str">
        <f>IF(COUNTIF(I$438:I653,I653)&gt;1,"DOUBLON","OK")</f>
        <v>OK</v>
      </c>
      <c r="S653" s="30" t="str">
        <v>England</v>
      </c>
      <c r="T653" s="30" t="str">
        <f t="shared" si="60"/>
        <v>ERREUR</v>
      </c>
      <c r="U653" s="30" t="str">
        <f t="shared" si="61"/>
        <v>AUCUNE</v>
      </c>
      <c r="V653" s="30" t="str" cm="1">
        <f t="array" ref="V653">_xlfn.IFS(
ISNUMBER(SEARCH("USA",S653)),"United States",
ISNUMBER(SEARCH("Republic of Korea",S653)),"South Korea",
ISNUMBER(SEARCH("Cape Verde",S653)),"Cabo Verde",
ISNUMBER(SEARCH("Czechia",S653)),"Czech Republic",
ISNUMBER(SEARCH("Türkiye",S653)),"Turkey",
ISNUMBER(SEARCH("Ivory Coast",S653)),"Côte d'Ivoire",
ISNUMBER(SEARCH("Korea Republic",S653)),"South Korea",
ISNUMBER(SEARCH("Germany FR",S653)),"FR Germany",
ISNUMBER(SEARCH("West Germany",S653)),"FR Germany",
ISNUMBER(SEARCH("Germany DR",S653)),"DR Germany",
ISNUMBER(SEARCH("Korea DPR",S653)),"North Korea",
ISNUMBER(SEARCH("China PR",S653)),"China",
ISNUMBER(SEARCH("IR Iran",S653)),"Iran",
ISNUMBER(SEARCH("Congo DR",S653)),"Democratic Republic of the Congo",
ISNUMBER(SEARCH("DR Congo",S653)),"Democratic Republic of the Congo",
ISNUMBER(SEARCH("German DR",S653)),"DR Germany",
ISNUMBER(SEARCH("rn""&gt;United Arab Emirates",S653)),"United Arab Emirates",
ISNUMBER(SEARCH("rn""&gt;Republic of Ireland",S653)),"Ireland",
ISNUMBER(SEARCH("rn""&gt;Bosnia and Herzegovina",S653)),"Bosnia and Herzegovina",
ISNUMBER(SEARCH("rn""&gt;Trinidad and Tobago",S653)),"Trinidad and Tobago",
ISNUMBER(SEARCH("rn""&gt;Serbia and Montenegro",S653)),"Serbia and Montenegro",
ISNUMBER(SEARCH(_xlfn.UNICHAR(65533),S653)),"Côte d'Ivoire",
TRUE,""
)</f>
        <v/>
      </c>
      <c r="W653" s="30" t="str">
        <f t="shared" si="57"/>
        <v>England</v>
      </c>
      <c r="Z653" s="40" t="str">
        <v>Suwon World Cup Stadium</v>
      </c>
      <c r="AA653" s="40" t="str" cm="1">
        <f t="array" ref="AA653">IFERROR(_xlfn.XLOOKUP(Z653,_xlfn.ANCHORARRAY(Z$31),AA$31:AA$37),Z653)</f>
        <v>Suwon World Cup Stadium</v>
      </c>
      <c r="AB653" s="42" t="str">
        <v xml:space="preserve">Suwon </v>
      </c>
      <c r="AC653" s="89" t="str">
        <f t="shared" si="58"/>
        <v xml:space="preserve">Suwon </v>
      </c>
      <c r="AE653" s="42">
        <v>1998</v>
      </c>
      <c r="AK653" s="42">
        <v>0</v>
      </c>
      <c r="AL653" s="42">
        <v>1</v>
      </c>
      <c r="AW653" s="89" t="str">
        <v>SEMI_FINALS</v>
      </c>
      <c r="BE653" s="43" t="str">
        <f>IF(OR(DATA_CLEANED!AL644="",DATA_CLEANED!AM644=""),"MANQUANT",IF(OR(NOT(ISNUMBER(DATA_CLEANED!AL644)),NOT(ISNUMBER(DATA_CLEANED!AM644))),"ENTREE INVALIDE",IF(OR(DATA_CLEANED!AL644&lt;0,DATA_CLEANED!AM644&lt;0),"SCORE NEGATIF","OK")))</f>
        <v>OK</v>
      </c>
      <c r="BF653" s="43" t="str">
        <f>IF(DATA_CLEANED!AK644&lt;&gt;DATA_CLEANED!AN644,"OK","ERREUR")</f>
        <v>OK</v>
      </c>
      <c r="BG653" s="43" t="str">
        <f>IF(DATA_CLEANED!AL644&gt;DATA_CLEANED!AM644,DATA_CLEANED!AK644,IF(AND(DATA_QUALITE!W5130="-",DATA_CLEANED!AM644=DATA_CLEANED!AL644),"MATCH NUL",IF(AND(DATA_QUALITE!V5130="-",DATA_QUALITE!U5130="AUCUNE"),DATA_QUALITE!T5130,IF(DATA_QUALITE!V5130&lt;&gt;"-",DATA_QUALITE!V5130,DATA_CLEANED!AN644))))</f>
        <v>Brazil</v>
      </c>
      <c r="BH653" s="103" t="str">
        <f>IF(AND(BG653="MATCH NUL",DATA_CLEANED!AO644="-"),"MATCH_NUL",IF(ISNUMBER(SEARCH("win on penalties",W5130)),"WIN_BY_PENALTY",IF(ISNUMBER(SEARCH("win after extra time",W5130)),"WIN_BY_EXTRA_TIME",IF(ISNUMBER(SEARCH("Golden Goal",W5130)),"WIN_BY_GOLDEN_GOAL","WIN_BY_SCORE"))))</f>
        <v>WIN_BY_SCORE</v>
      </c>
      <c r="BI653" s="99" t="str">
        <f>IF(OR(BG653=DATA_CLEANED!AK644,BG653=DATA_CLEANED!AN644,BG653="MATCH NUL"),"OK","ERREUR")</f>
        <v>OK</v>
      </c>
    </row>
    <row r="654" spans="2:61">
      <c r="B654" s="75">
        <v>217</v>
      </c>
      <c r="C654" s="15" t="str">
        <v>Alex Sandro</v>
      </c>
      <c r="D654" s="15">
        <v>35</v>
      </c>
      <c r="E654" s="15" t="str">
        <v>Brazil</v>
      </c>
      <c r="F654" s="15" t="str">
        <v>LB</v>
      </c>
      <c r="G654" s="15" t="str">
        <v>Flamengo</v>
      </c>
      <c r="H654" s="15">
        <v>6</v>
      </c>
      <c r="I654" s="15" t="str">
        <f t="shared" si="59"/>
        <v>217|Alex Sandro|35|Brazil|LB|Flamengo|6</v>
      </c>
      <c r="J654" s="15" t="str">
        <f>IF(COUNTIF(I$438:I654,I654)&gt;1,"DOUBLON","OK")</f>
        <v>OK</v>
      </c>
      <c r="S654" s="30" t="str">
        <v>England</v>
      </c>
      <c r="T654" s="30" t="str">
        <f t="shared" si="60"/>
        <v>ERREUR</v>
      </c>
      <c r="U654" s="30" t="str">
        <f t="shared" si="61"/>
        <v>AUCUNE</v>
      </c>
      <c r="V654" s="30" t="str" cm="1">
        <f t="array" ref="V654">_xlfn.IFS(
ISNUMBER(SEARCH("USA",S654)),"United States",
ISNUMBER(SEARCH("Republic of Korea",S654)),"South Korea",
ISNUMBER(SEARCH("Cape Verde",S654)),"Cabo Verde",
ISNUMBER(SEARCH("Czechia",S654)),"Czech Republic",
ISNUMBER(SEARCH("Türkiye",S654)),"Turkey",
ISNUMBER(SEARCH("Ivory Coast",S654)),"Côte d'Ivoire",
ISNUMBER(SEARCH("Korea Republic",S654)),"South Korea",
ISNUMBER(SEARCH("Germany FR",S654)),"FR Germany",
ISNUMBER(SEARCH("West Germany",S654)),"FR Germany",
ISNUMBER(SEARCH("Germany DR",S654)),"DR Germany",
ISNUMBER(SEARCH("Korea DPR",S654)),"North Korea",
ISNUMBER(SEARCH("China PR",S654)),"China",
ISNUMBER(SEARCH("IR Iran",S654)),"Iran",
ISNUMBER(SEARCH("Congo DR",S654)),"Democratic Republic of the Congo",
ISNUMBER(SEARCH("DR Congo",S654)),"Democratic Republic of the Congo",
ISNUMBER(SEARCH("German DR",S654)),"DR Germany",
ISNUMBER(SEARCH("rn""&gt;United Arab Emirates",S654)),"United Arab Emirates",
ISNUMBER(SEARCH("rn""&gt;Republic of Ireland",S654)),"Ireland",
ISNUMBER(SEARCH("rn""&gt;Bosnia and Herzegovina",S654)),"Bosnia and Herzegovina",
ISNUMBER(SEARCH("rn""&gt;Trinidad and Tobago",S654)),"Trinidad and Tobago",
ISNUMBER(SEARCH("rn""&gt;Serbia and Montenegro",S654)),"Serbia and Montenegro",
ISNUMBER(SEARCH(_xlfn.UNICHAR(65533),S654)),"Côte d'Ivoire",
TRUE,""
)</f>
        <v/>
      </c>
      <c r="W654" s="30" t="str">
        <f t="shared" ref="W654:W717" si="62">IF(V654="",S654,V654)</f>
        <v>England</v>
      </c>
      <c r="Z654" s="40" t="str">
        <v>International Stadium Yokohama</v>
      </c>
      <c r="AA654" s="40" t="str" cm="1">
        <f t="array" ref="AA654">IFERROR(_xlfn.XLOOKUP(Z654,_xlfn.ANCHORARRAY(Z$31),AA$31:AA$37),Z654)</f>
        <v>International Stadium Yokohama</v>
      </c>
      <c r="AB654" s="42" t="str">
        <v xml:space="preserve">Yokohama </v>
      </c>
      <c r="AC654" s="89" t="str">
        <f t="shared" si="58"/>
        <v xml:space="preserve">Yokohama </v>
      </c>
      <c r="AE654" s="42">
        <v>1998</v>
      </c>
      <c r="AK654" s="42">
        <v>2</v>
      </c>
      <c r="AL654" s="42">
        <v>2</v>
      </c>
      <c r="AW654" s="89" t="str">
        <v>THIRD_PLACE</v>
      </c>
      <c r="BE654" s="43" t="str">
        <f>IF(OR(DATA_CLEANED!AL645="",DATA_CLEANED!AM645=""),"MANQUANT",IF(OR(NOT(ISNUMBER(DATA_CLEANED!AL645)),NOT(ISNUMBER(DATA_CLEANED!AM645))),"ENTREE INVALIDE",IF(OR(DATA_CLEANED!AL645&lt;0,DATA_CLEANED!AM645&lt;0),"SCORE NEGATIF","OK")))</f>
        <v>OK</v>
      </c>
      <c r="BF654" s="43" t="str">
        <f>IF(DATA_CLEANED!AK645&lt;&gt;DATA_CLEANED!AN645,"OK","ERREUR")</f>
        <v>OK</v>
      </c>
      <c r="BG654" s="43" t="str">
        <f>IF(DATA_CLEANED!AL645&gt;DATA_CLEANED!AM645,DATA_CLEANED!AK645,IF(AND(DATA_QUALITE!W5131="-",DATA_CLEANED!AM645=DATA_CLEANED!AL645),"MATCH NUL",IF(AND(DATA_QUALITE!V5131="-",DATA_QUALITE!U5131="AUCUNE"),DATA_QUALITE!T5131,IF(DATA_QUALITE!V5131&lt;&gt;"-",DATA_QUALITE!V5131,DATA_CLEANED!AN645))))</f>
        <v>Turkey</v>
      </c>
      <c r="BH654" s="103" t="str">
        <f>IF(AND(BG654="MATCH NUL",DATA_CLEANED!AO645="-"),"MATCH_NUL",IF(ISNUMBER(SEARCH("win on penalties",W5131)),"WIN_BY_PENALTY",IF(ISNUMBER(SEARCH("win after extra time",W5131)),"WIN_BY_EXTRA_TIME",IF(ISNUMBER(SEARCH("Golden Goal",W5131)),"WIN_BY_GOLDEN_GOAL","WIN_BY_SCORE"))))</f>
        <v>WIN_BY_SCORE</v>
      </c>
      <c r="BI654" s="99" t="str">
        <f>IF(OR(BG654=DATA_CLEANED!AK645,BG654=DATA_CLEANED!AN645,BG654="MATCH NUL"),"OK","ERREUR")</f>
        <v>OK</v>
      </c>
    </row>
    <row r="655" spans="2:61">
      <c r="B655" s="75">
        <v>218</v>
      </c>
      <c r="C655" s="15" t="str">
        <v>Douglas Santos</v>
      </c>
      <c r="D655" s="15">
        <v>32</v>
      </c>
      <c r="E655" s="15" t="str">
        <v>Brazil</v>
      </c>
      <c r="F655" s="15" t="str">
        <v>LB</v>
      </c>
      <c r="G655" s="15" t="str">
        <v>Zenit Saint Petersburg</v>
      </c>
      <c r="H655" s="15">
        <v>16</v>
      </c>
      <c r="I655" s="15" t="str">
        <f t="shared" si="59"/>
        <v>218|Douglas Santos|32|Brazil|LB|Zenit Saint Petersburg|16</v>
      </c>
      <c r="J655" s="15" t="str">
        <f>IF(COUNTIF(I$438:I655,I655)&gt;1,"DOUBLON","OK")</f>
        <v>OK</v>
      </c>
      <c r="S655" s="30" t="str">
        <v>England</v>
      </c>
      <c r="T655" s="30" t="str">
        <f t="shared" si="60"/>
        <v>ERREUR</v>
      </c>
      <c r="U655" s="30" t="str">
        <f t="shared" si="61"/>
        <v>AUCUNE</v>
      </c>
      <c r="V655" s="30" t="str" cm="1">
        <f t="array" ref="V655">_xlfn.IFS(
ISNUMBER(SEARCH("USA",S655)),"United States",
ISNUMBER(SEARCH("Republic of Korea",S655)),"South Korea",
ISNUMBER(SEARCH("Cape Verde",S655)),"Cabo Verde",
ISNUMBER(SEARCH("Czechia",S655)),"Czech Republic",
ISNUMBER(SEARCH("Türkiye",S655)),"Turkey",
ISNUMBER(SEARCH("Ivory Coast",S655)),"Côte d'Ivoire",
ISNUMBER(SEARCH("Korea Republic",S655)),"South Korea",
ISNUMBER(SEARCH("Germany FR",S655)),"FR Germany",
ISNUMBER(SEARCH("West Germany",S655)),"FR Germany",
ISNUMBER(SEARCH("Germany DR",S655)),"DR Germany",
ISNUMBER(SEARCH("Korea DPR",S655)),"North Korea",
ISNUMBER(SEARCH("China PR",S655)),"China",
ISNUMBER(SEARCH("IR Iran",S655)),"Iran",
ISNUMBER(SEARCH("Congo DR",S655)),"Democratic Republic of the Congo",
ISNUMBER(SEARCH("DR Congo",S655)),"Democratic Republic of the Congo",
ISNUMBER(SEARCH("German DR",S655)),"DR Germany",
ISNUMBER(SEARCH("rn""&gt;United Arab Emirates",S655)),"United Arab Emirates",
ISNUMBER(SEARCH("rn""&gt;Republic of Ireland",S655)),"Ireland",
ISNUMBER(SEARCH("rn""&gt;Bosnia and Herzegovina",S655)),"Bosnia and Herzegovina",
ISNUMBER(SEARCH("rn""&gt;Trinidad and Tobago",S655)),"Trinidad and Tobago",
ISNUMBER(SEARCH("rn""&gt;Serbia and Montenegro",S655)),"Serbia and Montenegro",
ISNUMBER(SEARCH(_xlfn.UNICHAR(65533),S655)),"Côte d'Ivoire",
TRUE,""
)</f>
        <v/>
      </c>
      <c r="W655" s="30" t="str">
        <f t="shared" si="62"/>
        <v>England</v>
      </c>
      <c r="Z655" s="40" t="str">
        <v>Shizuoka Stadium Ecopa</v>
      </c>
      <c r="AA655" s="40" t="str" cm="1">
        <f t="array" ref="AA655">IFERROR(_xlfn.XLOOKUP(Z655,_xlfn.ANCHORARRAY(Z$31),AA$31:AA$37),Z655)</f>
        <v>Shizuoka Stadium Ecopa</v>
      </c>
      <c r="AB655" s="42" t="str">
        <v xml:space="preserve">Shizuoka </v>
      </c>
      <c r="AC655" s="89" t="str">
        <f t="shared" si="58"/>
        <v xml:space="preserve">Shizuoka </v>
      </c>
      <c r="AE655" s="42">
        <v>1998</v>
      </c>
      <c r="AK655" s="42">
        <v>0</v>
      </c>
      <c r="AL655" s="42">
        <v>0</v>
      </c>
      <c r="AW655" s="89" t="str">
        <v>FINAL</v>
      </c>
      <c r="BE655" s="43" t="str">
        <f>IF(OR(DATA_CLEANED!AL646="",DATA_CLEANED!AM646=""),"MANQUANT",IF(OR(NOT(ISNUMBER(DATA_CLEANED!AL646)),NOT(ISNUMBER(DATA_CLEANED!AM646))),"ENTREE INVALIDE",IF(OR(DATA_CLEANED!AL646&lt;0,DATA_CLEANED!AM646&lt;0),"SCORE NEGATIF","OK")))</f>
        <v>OK</v>
      </c>
      <c r="BF655" s="43" t="str">
        <f>IF(DATA_CLEANED!AK646&lt;&gt;DATA_CLEANED!AN646,"OK","ERREUR")</f>
        <v>OK</v>
      </c>
      <c r="BG655" s="43" t="str">
        <f>IF(DATA_CLEANED!AL646&gt;DATA_CLEANED!AM646,DATA_CLEANED!AK646,IF(AND(DATA_QUALITE!W5132="-",DATA_CLEANED!AM646=DATA_CLEANED!AL646),"MATCH NUL",IF(AND(DATA_QUALITE!V5132="-",DATA_QUALITE!U5132="AUCUNE"),DATA_QUALITE!T5132,IF(DATA_QUALITE!V5132&lt;&gt;"-",DATA_QUALITE!V5132,DATA_CLEANED!AN646))))</f>
        <v>Brazil</v>
      </c>
      <c r="BH655" s="103" t="str">
        <f>IF(AND(BG655="MATCH NUL",DATA_CLEANED!AO646="-"),"MATCH_NUL",IF(ISNUMBER(SEARCH("win on penalties",W5132)),"WIN_BY_PENALTY",IF(ISNUMBER(SEARCH("win after extra time",W5132)),"WIN_BY_EXTRA_TIME",IF(ISNUMBER(SEARCH("Golden Goal",W5132)),"WIN_BY_GOLDEN_GOAL","WIN_BY_SCORE"))))</f>
        <v>WIN_BY_SCORE</v>
      </c>
      <c r="BI655" s="99" t="str">
        <f>IF(OR(BG655=DATA_CLEANED!AK646,BG655=DATA_CLEANED!AN646,BG655="MATCH NUL"),"OK","ERREUR")</f>
        <v>OK</v>
      </c>
    </row>
    <row r="656" spans="2:61">
      <c r="B656" s="75">
        <v>219</v>
      </c>
      <c r="C656" s="15" t="str">
        <v>Danilo Luiz</v>
      </c>
      <c r="D656" s="15">
        <v>34</v>
      </c>
      <c r="E656" s="15" t="str">
        <v>Brazil</v>
      </c>
      <c r="F656" s="15" t="str">
        <v>RB</v>
      </c>
      <c r="G656" s="15" t="str">
        <v>Flamengo</v>
      </c>
      <c r="H656" s="15">
        <v>13</v>
      </c>
      <c r="I656" s="15" t="str">
        <f t="shared" si="59"/>
        <v>219|Danilo Luiz|34|Brazil|RB|Flamengo|13</v>
      </c>
      <c r="J656" s="15" t="str">
        <f>IF(COUNTIF(I$438:I656,I656)&gt;1,"DOUBLON","OK")</f>
        <v>OK</v>
      </c>
      <c r="S656" s="30" t="str">
        <v>England</v>
      </c>
      <c r="T656" s="30" t="str">
        <f t="shared" si="60"/>
        <v>ERREUR</v>
      </c>
      <c r="U656" s="30" t="str">
        <f t="shared" si="61"/>
        <v>AUCUNE</v>
      </c>
      <c r="V656" s="30" t="str" cm="1">
        <f t="array" ref="V656">_xlfn.IFS(
ISNUMBER(SEARCH("USA",S656)),"United States",
ISNUMBER(SEARCH("Republic of Korea",S656)),"South Korea",
ISNUMBER(SEARCH("Cape Verde",S656)),"Cabo Verde",
ISNUMBER(SEARCH("Czechia",S656)),"Czech Republic",
ISNUMBER(SEARCH("Türkiye",S656)),"Turkey",
ISNUMBER(SEARCH("Ivory Coast",S656)),"Côte d'Ivoire",
ISNUMBER(SEARCH("Korea Republic",S656)),"South Korea",
ISNUMBER(SEARCH("Germany FR",S656)),"FR Germany",
ISNUMBER(SEARCH("West Germany",S656)),"FR Germany",
ISNUMBER(SEARCH("Germany DR",S656)),"DR Germany",
ISNUMBER(SEARCH("Korea DPR",S656)),"North Korea",
ISNUMBER(SEARCH("China PR",S656)),"China",
ISNUMBER(SEARCH("IR Iran",S656)),"Iran",
ISNUMBER(SEARCH("Congo DR",S656)),"Democratic Republic of the Congo",
ISNUMBER(SEARCH("DR Congo",S656)),"Democratic Republic of the Congo",
ISNUMBER(SEARCH("German DR",S656)),"DR Germany",
ISNUMBER(SEARCH("rn""&gt;United Arab Emirates",S656)),"United Arab Emirates",
ISNUMBER(SEARCH("rn""&gt;Republic of Ireland",S656)),"Ireland",
ISNUMBER(SEARCH("rn""&gt;Bosnia and Herzegovina",S656)),"Bosnia and Herzegovina",
ISNUMBER(SEARCH("rn""&gt;Trinidad and Tobago",S656)),"Trinidad and Tobago",
ISNUMBER(SEARCH("rn""&gt;Serbia and Montenegro",S656)),"Serbia and Montenegro",
ISNUMBER(SEARCH(_xlfn.UNICHAR(65533),S656)),"Côte d'Ivoire",
TRUE,""
)</f>
        <v/>
      </c>
      <c r="W656" s="30" t="str">
        <f t="shared" si="62"/>
        <v>England</v>
      </c>
      <c r="Z656" s="40" t="str">
        <v>Miyagi Stadium</v>
      </c>
      <c r="AA656" s="40" t="str" cm="1">
        <f t="array" ref="AA656">IFERROR(_xlfn.XLOOKUP(Z656,_xlfn.ANCHORARRAY(Z$31),AA$31:AA$37),Z656)</f>
        <v>Miyagi Stadium</v>
      </c>
      <c r="AB656" s="42" t="str">
        <v xml:space="preserve">Rifu </v>
      </c>
      <c r="AC656" s="89" t="str">
        <f t="shared" si="58"/>
        <v xml:space="preserve">Rifu </v>
      </c>
      <c r="AE656" s="42">
        <v>1998</v>
      </c>
      <c r="AK656" s="42">
        <v>3</v>
      </c>
      <c r="AL656" s="42">
        <v>2</v>
      </c>
      <c r="AW656" s="89" t="str">
        <v>GROUP_STAGE</v>
      </c>
      <c r="BE656" s="43" t="str">
        <f>IF(OR(DATA_CLEANED!AL647="",DATA_CLEANED!AM647=""),"MANQUANT",IF(OR(NOT(ISNUMBER(DATA_CLEANED!AL647)),NOT(ISNUMBER(DATA_CLEANED!AM647))),"ENTREE INVALIDE",IF(OR(DATA_CLEANED!AL647&lt;0,DATA_CLEANED!AM647&lt;0),"SCORE NEGATIF","OK")))</f>
        <v>OK</v>
      </c>
      <c r="BF656" s="43" t="str">
        <f>IF(DATA_CLEANED!AK647&lt;&gt;DATA_CLEANED!AN647,"OK","ERREUR")</f>
        <v>OK</v>
      </c>
      <c r="BG656" s="43" t="str">
        <f>IF(DATA_CLEANED!AL647&gt;DATA_CLEANED!AM647,DATA_CLEANED!AK647,IF(AND(DATA_QUALITE!W5133="-",DATA_CLEANED!AM647=DATA_CLEANED!AL647),"MATCH NUL",IF(AND(DATA_QUALITE!V5133="-",DATA_QUALITE!U5133="AUCUNE"),DATA_QUALITE!T5133,IF(DATA_QUALITE!V5133&lt;&gt;"-",DATA_QUALITE!V5133,DATA_CLEANED!AN647))))</f>
        <v>Germany</v>
      </c>
      <c r="BH656" s="103" t="str">
        <f>IF(AND(BG656="MATCH NUL",DATA_CLEANED!AO647="-"),"MATCH_NUL",IF(ISNUMBER(SEARCH("win on penalties",W5133)),"WIN_BY_PENALTY",IF(ISNUMBER(SEARCH("win after extra time",W5133)),"WIN_BY_EXTRA_TIME",IF(ISNUMBER(SEARCH("Golden Goal",W5133)),"WIN_BY_GOLDEN_GOAL","WIN_BY_SCORE"))))</f>
        <v>WIN_BY_SCORE</v>
      </c>
      <c r="BI656" s="99" t="str">
        <f>IF(OR(BG656=DATA_CLEANED!AK647,BG656=DATA_CLEANED!AN647,BG656="MATCH NUL"),"OK","ERREUR")</f>
        <v>OK</v>
      </c>
    </row>
    <row r="657" spans="2:61">
      <c r="B657" s="75">
        <v>220</v>
      </c>
      <c r="C657" s="15" t="str">
        <v>Casemiro</v>
      </c>
      <c r="D657" s="15">
        <v>34</v>
      </c>
      <c r="E657" s="15" t="str">
        <v>Brazil</v>
      </c>
      <c r="F657" s="15" t="str">
        <v>CDM</v>
      </c>
      <c r="G657" s="15" t="str">
        <v>Manchester United</v>
      </c>
      <c r="H657" s="15">
        <v>5</v>
      </c>
      <c r="I657" s="15" t="str">
        <f t="shared" si="59"/>
        <v>220|Casemiro|34|Brazil|CDM|Manchester United|5</v>
      </c>
      <c r="J657" s="15" t="str">
        <f>IF(COUNTIF(I$438:I657,I657)&gt;1,"DOUBLON","OK")</f>
        <v>OK</v>
      </c>
      <c r="S657" s="30" t="str">
        <v>England</v>
      </c>
      <c r="T657" s="30" t="str">
        <f t="shared" si="60"/>
        <v>ERREUR</v>
      </c>
      <c r="U657" s="30" t="str">
        <f t="shared" si="61"/>
        <v>AUCUNE</v>
      </c>
      <c r="V657" s="30" t="str" cm="1">
        <f t="array" ref="V657">_xlfn.IFS(
ISNUMBER(SEARCH("USA",S657)),"United States",
ISNUMBER(SEARCH("Republic of Korea",S657)),"South Korea",
ISNUMBER(SEARCH("Cape Verde",S657)),"Cabo Verde",
ISNUMBER(SEARCH("Czechia",S657)),"Czech Republic",
ISNUMBER(SEARCH("Türkiye",S657)),"Turkey",
ISNUMBER(SEARCH("Ivory Coast",S657)),"Côte d'Ivoire",
ISNUMBER(SEARCH("Korea Republic",S657)),"South Korea",
ISNUMBER(SEARCH("Germany FR",S657)),"FR Germany",
ISNUMBER(SEARCH("West Germany",S657)),"FR Germany",
ISNUMBER(SEARCH("Germany DR",S657)),"DR Germany",
ISNUMBER(SEARCH("Korea DPR",S657)),"North Korea",
ISNUMBER(SEARCH("China PR",S657)),"China",
ISNUMBER(SEARCH("IR Iran",S657)),"Iran",
ISNUMBER(SEARCH("Congo DR",S657)),"Democratic Republic of the Congo",
ISNUMBER(SEARCH("DR Congo",S657)),"Democratic Republic of the Congo",
ISNUMBER(SEARCH("German DR",S657)),"DR Germany",
ISNUMBER(SEARCH("rn""&gt;United Arab Emirates",S657)),"United Arab Emirates",
ISNUMBER(SEARCH("rn""&gt;Republic of Ireland",S657)),"Ireland",
ISNUMBER(SEARCH("rn""&gt;Bosnia and Herzegovina",S657)),"Bosnia and Herzegovina",
ISNUMBER(SEARCH("rn""&gt;Trinidad and Tobago",S657)),"Trinidad and Tobago",
ISNUMBER(SEARCH("rn""&gt;Serbia and Montenegro",S657)),"Serbia and Montenegro",
ISNUMBER(SEARCH(_xlfn.UNICHAR(65533),S657)),"Côte d'Ivoire",
TRUE,""
)</f>
        <v/>
      </c>
      <c r="W657" s="30" t="str">
        <f t="shared" si="62"/>
        <v>England</v>
      </c>
      <c r="Z657" s="40" t="str">
        <v>Osaka Nagai Stadium</v>
      </c>
      <c r="AA657" s="40" t="str" cm="1">
        <f t="array" ref="AA657">IFERROR(_xlfn.XLOOKUP(Z657,_xlfn.ANCHORARRAY(Z$31),AA$31:AA$37),Z657)</f>
        <v>Osaka Nagai Stadium</v>
      </c>
      <c r="AB657" s="42" t="str">
        <v xml:space="preserve">Osaka </v>
      </c>
      <c r="AC657" s="89" t="str">
        <f t="shared" si="58"/>
        <v xml:space="preserve">Osaka </v>
      </c>
      <c r="AE657" s="42">
        <v>1998</v>
      </c>
      <c r="AK657" s="42">
        <v>2</v>
      </c>
      <c r="AL657" s="42">
        <v>1</v>
      </c>
      <c r="AW657" s="89" t="str">
        <v>GROUP_STAGE</v>
      </c>
      <c r="BE657" s="43" t="str">
        <f>IF(OR(DATA_CLEANED!AL648="",DATA_CLEANED!AM648=""),"MANQUANT",IF(OR(NOT(ISNUMBER(DATA_CLEANED!AL648)),NOT(ISNUMBER(DATA_CLEANED!AM648))),"ENTREE INVALIDE",IF(OR(DATA_CLEANED!AL648&lt;0,DATA_CLEANED!AM648&lt;0),"SCORE NEGATIF","OK")))</f>
        <v>OK</v>
      </c>
      <c r="BF657" s="43" t="str">
        <f>IF(DATA_CLEANED!AK648&lt;&gt;DATA_CLEANED!AN648,"OK","ERREUR")</f>
        <v>OK</v>
      </c>
      <c r="BG657" s="43" t="str">
        <f>IF(DATA_CLEANED!AL648&gt;DATA_CLEANED!AM648,DATA_CLEANED!AK648,IF(AND(DATA_QUALITE!W5134="-",DATA_CLEANED!AM648=DATA_CLEANED!AL648),"MATCH NUL",IF(AND(DATA_QUALITE!V5134="-",DATA_QUALITE!U5134="AUCUNE"),DATA_QUALITE!T5134,IF(DATA_QUALITE!V5134&lt;&gt;"-",DATA_QUALITE!V5134,DATA_CLEANED!AN648))))</f>
        <v>Ecuador</v>
      </c>
      <c r="BH657" s="103" t="str">
        <f>IF(AND(BG657="MATCH NUL",DATA_CLEANED!AO648="-"),"MATCH_NUL",IF(ISNUMBER(SEARCH("win on penalties",W5134)),"WIN_BY_PENALTY",IF(ISNUMBER(SEARCH("win after extra time",W5134)),"WIN_BY_EXTRA_TIME",IF(ISNUMBER(SEARCH("Golden Goal",W5134)),"WIN_BY_GOLDEN_GOAL","WIN_BY_SCORE"))))</f>
        <v>WIN_BY_SCORE</v>
      </c>
      <c r="BI657" s="99" t="str">
        <f>IF(OR(BG657=DATA_CLEANED!AK648,BG657=DATA_CLEANED!AN648,BG657="MATCH NUL"),"OK","ERREUR")</f>
        <v>OK</v>
      </c>
    </row>
    <row r="658" spans="2:61">
      <c r="B658" s="75">
        <v>221</v>
      </c>
      <c r="C658" s="15" t="str">
        <v>Fabinho</v>
      </c>
      <c r="D658" s="15">
        <v>32</v>
      </c>
      <c r="E658" s="15" t="str">
        <v>Brazil</v>
      </c>
      <c r="F658" s="15" t="str">
        <v>CDM</v>
      </c>
      <c r="G658" s="15" t="str">
        <v>Al-Ittihad</v>
      </c>
      <c r="H658" s="15">
        <v>17</v>
      </c>
      <c r="I658" s="15" t="str">
        <f t="shared" si="59"/>
        <v>221|Fabinho|32|Brazil|CDM|Al-Ittihad|17</v>
      </c>
      <c r="J658" s="15" t="str">
        <f>IF(COUNTIF(I$438:I658,I658)&gt;1,"DOUBLON","OK")</f>
        <v>OK</v>
      </c>
      <c r="S658" s="30" t="str">
        <v>England</v>
      </c>
      <c r="T658" s="30" t="str">
        <f t="shared" si="60"/>
        <v>ERREUR</v>
      </c>
      <c r="U658" s="30" t="str">
        <f t="shared" si="61"/>
        <v>AUCUNE</v>
      </c>
      <c r="V658" s="30" t="str" cm="1">
        <f t="array" ref="V658">_xlfn.IFS(
ISNUMBER(SEARCH("USA",S658)),"United States",
ISNUMBER(SEARCH("Republic of Korea",S658)),"South Korea",
ISNUMBER(SEARCH("Cape Verde",S658)),"Cabo Verde",
ISNUMBER(SEARCH("Czechia",S658)),"Czech Republic",
ISNUMBER(SEARCH("Türkiye",S658)),"Turkey",
ISNUMBER(SEARCH("Ivory Coast",S658)),"Côte d'Ivoire",
ISNUMBER(SEARCH("Korea Republic",S658)),"South Korea",
ISNUMBER(SEARCH("Germany FR",S658)),"FR Germany",
ISNUMBER(SEARCH("West Germany",S658)),"FR Germany",
ISNUMBER(SEARCH("Germany DR",S658)),"DR Germany",
ISNUMBER(SEARCH("Korea DPR",S658)),"North Korea",
ISNUMBER(SEARCH("China PR",S658)),"China",
ISNUMBER(SEARCH("IR Iran",S658)),"Iran",
ISNUMBER(SEARCH("Congo DR",S658)),"Democratic Republic of the Congo",
ISNUMBER(SEARCH("DR Congo",S658)),"Democratic Republic of the Congo",
ISNUMBER(SEARCH("German DR",S658)),"DR Germany",
ISNUMBER(SEARCH("rn""&gt;United Arab Emirates",S658)),"United Arab Emirates",
ISNUMBER(SEARCH("rn""&gt;Republic of Ireland",S658)),"Ireland",
ISNUMBER(SEARCH("rn""&gt;Bosnia and Herzegovina",S658)),"Bosnia and Herzegovina",
ISNUMBER(SEARCH("rn""&gt;Trinidad and Tobago",S658)),"Trinidad and Tobago",
ISNUMBER(SEARCH("rn""&gt;Serbia and Montenegro",S658)),"Serbia and Montenegro",
ISNUMBER(SEARCH(_xlfn.UNICHAR(65533),S658)),"Côte d'Ivoire",
TRUE,""
)</f>
        <v/>
      </c>
      <c r="W658" s="30" t="str">
        <f t="shared" si="62"/>
        <v>England</v>
      </c>
      <c r="Z658" s="40" t="str">
        <v>Jeju World Cup Stadium</v>
      </c>
      <c r="AA658" s="40" t="str" cm="1">
        <f t="array" ref="AA658">IFERROR(_xlfn.XLOOKUP(Z658,_xlfn.ANCHORARRAY(Z$31),AA$31:AA$37),Z658)</f>
        <v>Jeju World Cup Stadium</v>
      </c>
      <c r="AB658" s="42" t="str">
        <v xml:space="preserve">Jeju </v>
      </c>
      <c r="AC658" s="89" t="str">
        <f t="shared" si="58"/>
        <v xml:space="preserve">Jeju </v>
      </c>
      <c r="AE658" s="42">
        <v>1998</v>
      </c>
      <c r="AK658" s="42">
        <v>0</v>
      </c>
      <c r="AL658" s="42">
        <v>3</v>
      </c>
      <c r="AW658" s="89" t="str">
        <v>GROUP_STAGE</v>
      </c>
      <c r="BE658" s="43" t="str">
        <f>IF(OR(DATA_CLEANED!AL649="",DATA_CLEANED!AM649=""),"MANQUANT",IF(OR(NOT(ISNUMBER(DATA_CLEANED!AL649)),NOT(ISNUMBER(DATA_CLEANED!AM649))),"ENTREE INVALIDE",IF(OR(DATA_CLEANED!AL649&lt;0,DATA_CLEANED!AM649&lt;0),"SCORE NEGATIF","OK")))</f>
        <v>OK</v>
      </c>
      <c r="BF658" s="43" t="str">
        <f>IF(DATA_CLEANED!AK649&lt;&gt;DATA_CLEANED!AN649,"OK","ERREUR")</f>
        <v>OK</v>
      </c>
      <c r="BG658" s="43" t="str">
        <f>IF(DATA_CLEANED!AL649&gt;DATA_CLEANED!AM649,DATA_CLEANED!AK649,IF(AND(DATA_QUALITE!W5135="-",DATA_CLEANED!AM649=DATA_CLEANED!AL649),"MATCH NUL",IF(AND(DATA_QUALITE!V5135="-",DATA_QUALITE!U5135="AUCUNE"),DATA_QUALITE!T5135,IF(DATA_QUALITE!V5135&lt;&gt;"-",DATA_QUALITE!V5135,DATA_CLEANED!AN649))))</f>
        <v>England</v>
      </c>
      <c r="BH658" s="103" t="str">
        <f>IF(AND(BG658="MATCH NUL",DATA_CLEANED!AO649="-"),"MATCH_NUL",IF(ISNUMBER(SEARCH("win on penalties",W5135)),"WIN_BY_PENALTY",IF(ISNUMBER(SEARCH("win after extra time",W5135)),"WIN_BY_EXTRA_TIME",IF(ISNUMBER(SEARCH("Golden Goal",W5135)),"WIN_BY_GOLDEN_GOAL","WIN_BY_SCORE"))))</f>
        <v>WIN_BY_SCORE</v>
      </c>
      <c r="BI658" s="99" t="str">
        <f>IF(OR(BG658=DATA_CLEANED!AK649,BG658=DATA_CLEANED!AN649,BG658="MATCH NUL"),"OK","ERREUR")</f>
        <v>OK</v>
      </c>
    </row>
    <row r="659" spans="2:61">
      <c r="B659" s="75">
        <v>222</v>
      </c>
      <c r="C659" s="15" t="str">
        <v>Danilo Santos</v>
      </c>
      <c r="D659" s="15">
        <v>25</v>
      </c>
      <c r="E659" s="15" t="str">
        <v>Brazil</v>
      </c>
      <c r="F659" s="15" t="str">
        <v>CDM</v>
      </c>
      <c r="G659" s="15" t="str">
        <v>Botafogo</v>
      </c>
      <c r="H659" s="15">
        <v>18</v>
      </c>
      <c r="I659" s="15" t="str">
        <f t="shared" si="59"/>
        <v>222|Danilo Santos|25|Brazil|CDM|Botafogo|18</v>
      </c>
      <c r="J659" s="15" t="str">
        <f>IF(COUNTIF(I$438:I659,I659)&gt;1,"DOUBLON","OK")</f>
        <v>OK</v>
      </c>
      <c r="S659" s="30" t="str">
        <v>England</v>
      </c>
      <c r="T659" s="30" t="str">
        <f t="shared" si="60"/>
        <v>ERREUR</v>
      </c>
      <c r="U659" s="30" t="str">
        <f t="shared" si="61"/>
        <v>AUCUNE</v>
      </c>
      <c r="V659" s="30" t="str" cm="1">
        <f t="array" ref="V659">_xlfn.IFS(
ISNUMBER(SEARCH("USA",S659)),"United States",
ISNUMBER(SEARCH("Republic of Korea",S659)),"South Korea",
ISNUMBER(SEARCH("Cape Verde",S659)),"Cabo Verde",
ISNUMBER(SEARCH("Czechia",S659)),"Czech Republic",
ISNUMBER(SEARCH("Türkiye",S659)),"Turkey",
ISNUMBER(SEARCH("Ivory Coast",S659)),"Côte d'Ivoire",
ISNUMBER(SEARCH("Korea Republic",S659)),"South Korea",
ISNUMBER(SEARCH("Germany FR",S659)),"FR Germany",
ISNUMBER(SEARCH("West Germany",S659)),"FR Germany",
ISNUMBER(SEARCH("Germany DR",S659)),"DR Germany",
ISNUMBER(SEARCH("Korea DPR",S659)),"North Korea",
ISNUMBER(SEARCH("China PR",S659)),"China",
ISNUMBER(SEARCH("IR Iran",S659)),"Iran",
ISNUMBER(SEARCH("Congo DR",S659)),"Democratic Republic of the Congo",
ISNUMBER(SEARCH("DR Congo",S659)),"Democratic Republic of the Congo",
ISNUMBER(SEARCH("German DR",S659)),"DR Germany",
ISNUMBER(SEARCH("rn""&gt;United Arab Emirates",S659)),"United Arab Emirates",
ISNUMBER(SEARCH("rn""&gt;Republic of Ireland",S659)),"Ireland",
ISNUMBER(SEARCH("rn""&gt;Bosnia and Herzegovina",S659)),"Bosnia and Herzegovina",
ISNUMBER(SEARCH("rn""&gt;Trinidad and Tobago",S659)),"Trinidad and Tobago",
ISNUMBER(SEARCH("rn""&gt;Serbia and Montenegro",S659)),"Serbia and Montenegro",
ISNUMBER(SEARCH(_xlfn.UNICHAR(65533),S659)),"Côte d'Ivoire",
TRUE,""
)</f>
        <v/>
      </c>
      <c r="W659" s="30" t="str">
        <f t="shared" si="62"/>
        <v>England</v>
      </c>
      <c r="Z659" s="40" t="str">
        <v>Daejeon World Cup Stadium</v>
      </c>
      <c r="AA659" s="40" t="str" cm="1">
        <f t="array" ref="AA659">IFERROR(_xlfn.XLOOKUP(Z659,_xlfn.ANCHORARRAY(Z$31),AA$31:AA$37),Z659)</f>
        <v>Daejeon World Cup Stadium</v>
      </c>
      <c r="AB659" s="42" t="str">
        <v xml:space="preserve">Daejeon </v>
      </c>
      <c r="AC659" s="89" t="str">
        <f t="shared" si="58"/>
        <v xml:space="preserve">Daejeon </v>
      </c>
      <c r="AE659" s="42">
        <v>1998</v>
      </c>
      <c r="AK659" s="42">
        <v>1</v>
      </c>
      <c r="AL659" s="42">
        <v>1</v>
      </c>
      <c r="AW659" s="89" t="str">
        <v>GROUP_STAGE</v>
      </c>
      <c r="BE659" s="43" t="str">
        <f>IF(OR(DATA_CLEANED!AL650="",DATA_CLEANED!AM650=""),"MANQUANT",IF(OR(NOT(ISNUMBER(DATA_CLEANED!AL650)),NOT(ISNUMBER(DATA_CLEANED!AM650))),"ENTREE INVALIDE",IF(OR(DATA_CLEANED!AL650&lt;0,DATA_CLEANED!AM650&lt;0),"SCORE NEGATIF","OK")))</f>
        <v>OK</v>
      </c>
      <c r="BF659" s="43" t="str">
        <f>IF(DATA_CLEANED!AK650&lt;&gt;DATA_CLEANED!AN650,"OK","ERREUR")</f>
        <v>OK</v>
      </c>
      <c r="BG659" s="43" t="str">
        <f>IF(DATA_CLEANED!AL650&gt;DATA_CLEANED!AM650,DATA_CLEANED!AK650,IF(AND(DATA_QUALITE!W5136="-",DATA_CLEANED!AM650=DATA_CLEANED!AL650),"MATCH NUL",IF(AND(DATA_QUALITE!V5136="-",DATA_QUALITE!U5136="AUCUNE"),DATA_QUALITE!T5136,IF(DATA_QUALITE!V5136&lt;&gt;"-",DATA_QUALITE!V5136,DATA_CLEANED!AN650))))</f>
        <v>MATCH NUL</v>
      </c>
      <c r="BH659" s="103" t="str">
        <f>IF(AND(BG659="MATCH NUL",DATA_CLEANED!AO650="-"),"MATCH_NUL",IF(ISNUMBER(SEARCH("win on penalties",W5136)),"WIN_BY_PENALTY",IF(ISNUMBER(SEARCH("win after extra time",W5136)),"WIN_BY_EXTRA_TIME",IF(ISNUMBER(SEARCH("Golden Goal",W5136)),"WIN_BY_GOLDEN_GOAL","WIN_BY_SCORE"))))</f>
        <v>MATCH_NUL</v>
      </c>
      <c r="BI659" s="99" t="str">
        <f>IF(OR(BG659=DATA_CLEANED!AK650,BG659=DATA_CLEANED!AN650,BG659="MATCH NUL"),"OK","ERREUR")</f>
        <v>OK</v>
      </c>
    </row>
    <row r="660" spans="2:61">
      <c r="B660" s="75">
        <v>223</v>
      </c>
      <c r="C660" s="15" t="str">
        <v>Éderson Silva</v>
      </c>
      <c r="D660" s="15">
        <v>26</v>
      </c>
      <c r="E660" s="15" t="str">
        <v>Brazil</v>
      </c>
      <c r="F660" s="15" t="str">
        <v>CM</v>
      </c>
      <c r="G660" s="15" t="str">
        <v>Atalanta</v>
      </c>
      <c r="H660" s="15">
        <v>2</v>
      </c>
      <c r="I660" s="15" t="str">
        <f t="shared" si="59"/>
        <v>223|Éderson Silva|26|Brazil|CM|Atalanta|2</v>
      </c>
      <c r="J660" s="15" t="str">
        <f>IF(COUNTIF(I$438:I660,I660)&gt;1,"DOUBLON","OK")</f>
        <v>OK</v>
      </c>
      <c r="S660" s="30" t="str">
        <v>England</v>
      </c>
      <c r="T660" s="30" t="str">
        <f t="shared" si="60"/>
        <v>ERREUR</v>
      </c>
      <c r="U660" s="30" t="str">
        <f t="shared" si="61"/>
        <v>AUCUNE</v>
      </c>
      <c r="V660" s="30" t="str" cm="1">
        <f t="array" ref="V660">_xlfn.IFS(
ISNUMBER(SEARCH("USA",S660)),"United States",
ISNUMBER(SEARCH("Republic of Korea",S660)),"South Korea",
ISNUMBER(SEARCH("Cape Verde",S660)),"Cabo Verde",
ISNUMBER(SEARCH("Czechia",S660)),"Czech Republic",
ISNUMBER(SEARCH("Türkiye",S660)),"Turkey",
ISNUMBER(SEARCH("Ivory Coast",S660)),"Côte d'Ivoire",
ISNUMBER(SEARCH("Korea Republic",S660)),"South Korea",
ISNUMBER(SEARCH("Germany FR",S660)),"FR Germany",
ISNUMBER(SEARCH("West Germany",S660)),"FR Germany",
ISNUMBER(SEARCH("Germany DR",S660)),"DR Germany",
ISNUMBER(SEARCH("Korea DPR",S660)),"North Korea",
ISNUMBER(SEARCH("China PR",S660)),"China",
ISNUMBER(SEARCH("IR Iran",S660)),"Iran",
ISNUMBER(SEARCH("Congo DR",S660)),"Democratic Republic of the Congo",
ISNUMBER(SEARCH("DR Congo",S660)),"Democratic Republic of the Congo",
ISNUMBER(SEARCH("German DR",S660)),"DR Germany",
ISNUMBER(SEARCH("rn""&gt;United Arab Emirates",S660)),"United Arab Emirates",
ISNUMBER(SEARCH("rn""&gt;Republic of Ireland",S660)),"Ireland",
ISNUMBER(SEARCH("rn""&gt;Bosnia and Herzegovina",S660)),"Bosnia and Herzegovina",
ISNUMBER(SEARCH("rn""&gt;Trinidad and Tobago",S660)),"Trinidad and Tobago",
ISNUMBER(SEARCH("rn""&gt;Serbia and Montenegro",S660)),"Serbia and Montenegro",
ISNUMBER(SEARCH(_xlfn.UNICHAR(65533),S660)),"Côte d'Ivoire",
TRUE,""
)</f>
        <v/>
      </c>
      <c r="W660" s="30" t="str">
        <f t="shared" si="62"/>
        <v>England</v>
      </c>
      <c r="Z660" s="40" t="str">
        <v>Suwon World Cup Stadium</v>
      </c>
      <c r="AA660" s="40" t="str" cm="1">
        <f t="array" ref="AA660">IFERROR(_xlfn.XLOOKUP(Z660,_xlfn.ANCHORARRAY(Z$31),AA$31:AA$37),Z660)</f>
        <v>Suwon World Cup Stadium</v>
      </c>
      <c r="AB660" s="42" t="str">
        <v xml:space="preserve">Suwon </v>
      </c>
      <c r="AC660" s="89" t="str">
        <f t="shared" si="58"/>
        <v xml:space="preserve">Suwon </v>
      </c>
      <c r="AE660" s="42">
        <v>1998</v>
      </c>
      <c r="AK660" s="42">
        <v>2</v>
      </c>
      <c r="AL660" s="42">
        <v>1</v>
      </c>
      <c r="AW660" s="89" t="str">
        <v>GROUP_STAGE</v>
      </c>
      <c r="BE660" s="43" t="str">
        <f>IF(OR(DATA_CLEANED!AL651="",DATA_CLEANED!AM651=""),"MANQUANT",IF(OR(NOT(ISNUMBER(DATA_CLEANED!AL651)),NOT(ISNUMBER(DATA_CLEANED!AM651))),"ENTREE INVALIDE",IF(OR(DATA_CLEANED!AL651&lt;0,DATA_CLEANED!AM651&lt;0),"SCORE NEGATIF","OK")))</f>
        <v>OK</v>
      </c>
      <c r="BF660" s="43" t="str">
        <f>IF(DATA_CLEANED!AK651&lt;&gt;DATA_CLEANED!AN651,"OK","ERREUR")</f>
        <v>OK</v>
      </c>
      <c r="BG660" s="43" t="str">
        <f>IF(DATA_CLEANED!AL651&gt;DATA_CLEANED!AM651,DATA_CLEANED!AK651,IF(AND(DATA_QUALITE!W5137="-",DATA_CLEANED!AM651=DATA_CLEANED!AL651),"MATCH NUL",IF(AND(DATA_QUALITE!V5137="-",DATA_QUALITE!U5137="AUCUNE"),DATA_QUALITE!T5137,IF(DATA_QUALITE!V5137&lt;&gt;"-",DATA_QUALITE!V5137,DATA_CLEANED!AN651))))</f>
        <v>Argentina</v>
      </c>
      <c r="BH660" s="103" t="str">
        <f>IF(AND(BG660="MATCH NUL",DATA_CLEANED!AO651="-"),"MATCH_NUL",IF(ISNUMBER(SEARCH("win on penalties",W5137)),"WIN_BY_PENALTY",IF(ISNUMBER(SEARCH("win after extra time",W5137)),"WIN_BY_EXTRA_TIME",IF(ISNUMBER(SEARCH("Golden Goal",W5137)),"WIN_BY_GOLDEN_GOAL","WIN_BY_SCORE"))))</f>
        <v>WIN_BY_SCORE</v>
      </c>
      <c r="BI660" s="99" t="str">
        <f>IF(OR(BG660=DATA_CLEANED!AK651,BG660=DATA_CLEANED!AN651,BG660="MATCH NUL"),"OK","ERREUR")</f>
        <v>OK</v>
      </c>
    </row>
    <row r="661" spans="2:61">
      <c r="B661" s="75">
        <v>224</v>
      </c>
      <c r="C661" s="15" t="str">
        <v>Bruno Guimarães</v>
      </c>
      <c r="D661" s="15">
        <v>28</v>
      </c>
      <c r="E661" s="15" t="str">
        <v>Brazil</v>
      </c>
      <c r="F661" s="15" t="str">
        <v>CM</v>
      </c>
      <c r="G661" s="15" t="str">
        <v>Newcastle United</v>
      </c>
      <c r="H661" s="15">
        <v>8</v>
      </c>
      <c r="I661" s="15" t="str">
        <f t="shared" si="59"/>
        <v>224|Bruno Guimarães|28|Brazil|CM|Newcastle United|8</v>
      </c>
      <c r="J661" s="15" t="str">
        <f>IF(COUNTIF(I$438:I661,I661)&gt;1,"DOUBLON","OK")</f>
        <v>OK</v>
      </c>
      <c r="S661" s="30" t="str">
        <v>England</v>
      </c>
      <c r="T661" s="30" t="str">
        <f t="shared" si="60"/>
        <v>ERREUR</v>
      </c>
      <c r="U661" s="30" t="str">
        <f t="shared" si="61"/>
        <v>AUCUNE</v>
      </c>
      <c r="V661" s="30" t="str" cm="1">
        <f t="array" ref="V661">_xlfn.IFS(
ISNUMBER(SEARCH("USA",S661)),"United States",
ISNUMBER(SEARCH("Republic of Korea",S661)),"South Korea",
ISNUMBER(SEARCH("Cape Verde",S661)),"Cabo Verde",
ISNUMBER(SEARCH("Czechia",S661)),"Czech Republic",
ISNUMBER(SEARCH("Türkiye",S661)),"Turkey",
ISNUMBER(SEARCH("Ivory Coast",S661)),"Côte d'Ivoire",
ISNUMBER(SEARCH("Korea Republic",S661)),"South Korea",
ISNUMBER(SEARCH("Germany FR",S661)),"FR Germany",
ISNUMBER(SEARCH("West Germany",S661)),"FR Germany",
ISNUMBER(SEARCH("Germany DR",S661)),"DR Germany",
ISNUMBER(SEARCH("Korea DPR",S661)),"North Korea",
ISNUMBER(SEARCH("China PR",S661)),"China",
ISNUMBER(SEARCH("IR Iran",S661)),"Iran",
ISNUMBER(SEARCH("Congo DR",S661)),"Democratic Republic of the Congo",
ISNUMBER(SEARCH("DR Congo",S661)),"Democratic Republic of the Congo",
ISNUMBER(SEARCH("German DR",S661)),"DR Germany",
ISNUMBER(SEARCH("rn""&gt;United Arab Emirates",S661)),"United Arab Emirates",
ISNUMBER(SEARCH("rn""&gt;Republic of Ireland",S661)),"Ireland",
ISNUMBER(SEARCH("rn""&gt;Bosnia and Herzegovina",S661)),"Bosnia and Herzegovina",
ISNUMBER(SEARCH("rn""&gt;Trinidad and Tobago",S661)),"Trinidad and Tobago",
ISNUMBER(SEARCH("rn""&gt;Serbia and Montenegro",S661)),"Serbia and Montenegro",
ISNUMBER(SEARCH(_xlfn.UNICHAR(65533),S661)),"Côte d'Ivoire",
TRUE,""
)</f>
        <v/>
      </c>
      <c r="W661" s="30" t="str">
        <f t="shared" si="62"/>
        <v>England</v>
      </c>
      <c r="Z661" s="40" t="str">
        <v>Seoul World Cup Stadium</v>
      </c>
      <c r="AA661" s="40" t="str" cm="1">
        <f t="array" ref="AA661">IFERROR(_xlfn.XLOOKUP(Z661,_xlfn.ANCHORARRAY(Z$31),AA$31:AA$37),Z661)</f>
        <v>Seoul World Cup Stadium</v>
      </c>
      <c r="AB661" s="42" t="str">
        <v xml:space="preserve">Seoul </v>
      </c>
      <c r="AC661" s="89" t="str">
        <f t="shared" si="58"/>
        <v xml:space="preserve">Seoul </v>
      </c>
      <c r="AE661" s="42">
        <v>1998</v>
      </c>
      <c r="AK661" s="42">
        <v>1</v>
      </c>
      <c r="AL661" s="42">
        <v>2</v>
      </c>
      <c r="AW661" s="89" t="str">
        <v>GROUP_STAGE</v>
      </c>
      <c r="BE661" s="43" t="str">
        <f>IF(OR(DATA_CLEANED!AL652="",DATA_CLEANED!AM652=""),"MANQUANT",IF(OR(NOT(ISNUMBER(DATA_CLEANED!AL652)),NOT(ISNUMBER(DATA_CLEANED!AM652))),"ENTREE INVALIDE",IF(OR(DATA_CLEANED!AL652&lt;0,DATA_CLEANED!AM652&lt;0),"SCORE NEGATIF","OK")))</f>
        <v>OK</v>
      </c>
      <c r="BF661" s="43" t="str">
        <f>IF(DATA_CLEANED!AK652&lt;&gt;DATA_CLEANED!AN652,"OK","ERREUR")</f>
        <v>OK</v>
      </c>
      <c r="BG661" s="43" t="str">
        <f>IF(DATA_CLEANED!AL652&gt;DATA_CLEANED!AM652,DATA_CLEANED!AK652,IF(AND(DATA_QUALITE!W5138="-",DATA_CLEANED!AM652=DATA_CLEANED!AL652),"MATCH NUL",IF(AND(DATA_QUALITE!V5138="-",DATA_QUALITE!U5138="AUCUNE"),DATA_QUALITE!T5138,IF(DATA_QUALITE!V5138&lt;&gt;"-",DATA_QUALITE!V5138,DATA_CLEANED!AN652))))</f>
        <v>Netherlands</v>
      </c>
      <c r="BH661" s="103" t="str">
        <f>IF(AND(BG661="MATCH NUL",DATA_CLEANED!AO652="-"),"MATCH_NUL",IF(ISNUMBER(SEARCH("win on penalties",W5138)),"WIN_BY_PENALTY",IF(ISNUMBER(SEARCH("win after extra time",W5138)),"WIN_BY_EXTRA_TIME",IF(ISNUMBER(SEARCH("Golden Goal",W5138)),"WIN_BY_GOLDEN_GOAL","WIN_BY_SCORE"))))</f>
        <v>WIN_BY_SCORE</v>
      </c>
      <c r="BI661" s="99" t="str">
        <f>IF(OR(BG661=DATA_CLEANED!AK652,BG661=DATA_CLEANED!AN652,BG661="MATCH NUL"),"OK","ERREUR")</f>
        <v>OK</v>
      </c>
    </row>
    <row r="662" spans="2:61">
      <c r="B662" s="75">
        <v>225</v>
      </c>
      <c r="C662" s="15" t="str">
        <v>Lucas Paquetá</v>
      </c>
      <c r="D662" s="15">
        <v>28</v>
      </c>
      <c r="E662" s="15" t="str">
        <v>Brazil</v>
      </c>
      <c r="F662" s="15" t="str">
        <v>CAM</v>
      </c>
      <c r="G662" s="15" t="str">
        <v>Flamengo</v>
      </c>
      <c r="H662" s="15">
        <v>20</v>
      </c>
      <c r="I662" s="15" t="str">
        <f t="shared" si="59"/>
        <v>225|Lucas Paquetá|28|Brazil|CAM|Flamengo|20</v>
      </c>
      <c r="J662" s="15" t="str">
        <f>IF(COUNTIF(I$438:I662,I662)&gt;1,"DOUBLON","OK")</f>
        <v>OK</v>
      </c>
      <c r="S662" s="30" t="str">
        <v>Denmark</v>
      </c>
      <c r="T662" s="30" t="str">
        <f t="shared" si="60"/>
        <v>OK</v>
      </c>
      <c r="U662" s="30" t="str">
        <f t="shared" si="61"/>
        <v>-</v>
      </c>
      <c r="V662" s="30" t="str" cm="1">
        <f t="array" ref="V662">_xlfn.IFS(
ISNUMBER(SEARCH("USA",S662)),"United States",
ISNUMBER(SEARCH("Republic of Korea",S662)),"South Korea",
ISNUMBER(SEARCH("Cape Verde",S662)),"Cabo Verde",
ISNUMBER(SEARCH("Czechia",S662)),"Czech Republic",
ISNUMBER(SEARCH("Türkiye",S662)),"Turkey",
ISNUMBER(SEARCH("Ivory Coast",S662)),"Côte d'Ivoire",
ISNUMBER(SEARCH("Korea Republic",S662)),"South Korea",
ISNUMBER(SEARCH("Germany FR",S662)),"FR Germany",
ISNUMBER(SEARCH("West Germany",S662)),"FR Germany",
ISNUMBER(SEARCH("Germany DR",S662)),"DR Germany",
ISNUMBER(SEARCH("Korea DPR",S662)),"North Korea",
ISNUMBER(SEARCH("China PR",S662)),"China",
ISNUMBER(SEARCH("IR Iran",S662)),"Iran",
ISNUMBER(SEARCH("Congo DR",S662)),"Democratic Republic of the Congo",
ISNUMBER(SEARCH("DR Congo",S662)),"Democratic Republic of the Congo",
ISNUMBER(SEARCH("German DR",S662)),"DR Germany",
ISNUMBER(SEARCH("rn""&gt;United Arab Emirates",S662)),"United Arab Emirates",
ISNUMBER(SEARCH("rn""&gt;Republic of Ireland",S662)),"Ireland",
ISNUMBER(SEARCH("rn""&gt;Bosnia and Herzegovina",S662)),"Bosnia and Herzegovina",
ISNUMBER(SEARCH("rn""&gt;Trinidad and Tobago",S662)),"Trinidad and Tobago",
ISNUMBER(SEARCH("rn""&gt;Serbia and Montenegro",S662)),"Serbia and Montenegro",
ISNUMBER(SEARCH(_xlfn.UNICHAR(65533),S662)),"Côte d'Ivoire",
TRUE,""
)</f>
        <v/>
      </c>
      <c r="W662" s="30" t="str">
        <f t="shared" si="62"/>
        <v>Denmark</v>
      </c>
      <c r="Z662" s="40" t="str">
        <v>International Stadium Yokohama</v>
      </c>
      <c r="AA662" s="40" t="str" cm="1">
        <f t="array" ref="AA662">IFERROR(_xlfn.XLOOKUP(Z662,_xlfn.ANCHORARRAY(Z$31),AA$31:AA$37),Z662)</f>
        <v>International Stadium Yokohama</v>
      </c>
      <c r="AB662" s="42" t="str">
        <v xml:space="preserve">Yokohama </v>
      </c>
      <c r="AC662" s="89" t="str">
        <f t="shared" si="58"/>
        <v xml:space="preserve">Yokohama </v>
      </c>
      <c r="AE662" s="42">
        <v>1998</v>
      </c>
      <c r="AK662" s="42">
        <v>0</v>
      </c>
      <c r="AL662" s="42">
        <v>3</v>
      </c>
      <c r="AW662" s="89" t="str">
        <v>GROUP_STAGE</v>
      </c>
      <c r="BE662" s="43" t="str">
        <f>IF(OR(DATA_CLEANED!AL653="",DATA_CLEANED!AM653=""),"MANQUANT",IF(OR(NOT(ISNUMBER(DATA_CLEANED!AL653)),NOT(ISNUMBER(DATA_CLEANED!AM653))),"ENTREE INVALIDE",IF(OR(DATA_CLEANED!AL653&lt;0,DATA_CLEANED!AM653&lt;0),"SCORE NEGATIF","OK")))</f>
        <v>OK</v>
      </c>
      <c r="BF662" s="43" t="str">
        <f>IF(DATA_CLEANED!AK653&lt;&gt;DATA_CLEANED!AN653,"OK","ERREUR")</f>
        <v>OK</v>
      </c>
      <c r="BG662" s="43" t="str">
        <f>IF(DATA_CLEANED!AL653&gt;DATA_CLEANED!AM653,DATA_CLEANED!AK653,IF(AND(DATA_QUALITE!W5139="-",DATA_CLEANED!AM653=DATA_CLEANED!AL653),"MATCH NUL",IF(AND(DATA_QUALITE!V5139="-",DATA_QUALITE!U5139="AUCUNE"),DATA_QUALITE!T5139,IF(DATA_QUALITE!V5139&lt;&gt;"-",DATA_QUALITE!V5139,DATA_CLEANED!AN653))))</f>
        <v>Mexico</v>
      </c>
      <c r="BH662" s="103" t="str">
        <f>IF(AND(BG662="MATCH NUL",DATA_CLEANED!AO653="-"),"MATCH_NUL",IF(ISNUMBER(SEARCH("win on penalties",W5139)),"WIN_BY_PENALTY",IF(ISNUMBER(SEARCH("win after extra time",W5139)),"WIN_BY_EXTRA_TIME",IF(ISNUMBER(SEARCH("Golden Goal",W5139)),"WIN_BY_GOLDEN_GOAL","WIN_BY_SCORE"))))</f>
        <v>WIN_BY_SCORE</v>
      </c>
      <c r="BI662" s="99" t="str">
        <f>IF(OR(BG662=DATA_CLEANED!AK653,BG662=DATA_CLEANED!AN653,BG662="MATCH NUL"),"OK","ERREUR")</f>
        <v>OK</v>
      </c>
    </row>
    <row r="663" spans="2:61">
      <c r="B663" s="75">
        <v>226</v>
      </c>
      <c r="C663" s="15" t="str">
        <v>Vinícius Júnior</v>
      </c>
      <c r="D663" s="15">
        <v>25</v>
      </c>
      <c r="E663" s="15" t="str">
        <v>Brazil</v>
      </c>
      <c r="F663" s="15" t="str">
        <v>LW</v>
      </c>
      <c r="G663" s="15" t="str">
        <v>Real Madrid</v>
      </c>
      <c r="H663" s="15">
        <v>7</v>
      </c>
      <c r="I663" s="15" t="str">
        <f t="shared" si="59"/>
        <v>226|Vinícius Júnior|25|Brazil|LW|Real Madrid|7</v>
      </c>
      <c r="J663" s="15" t="str">
        <f>IF(COUNTIF(I$438:I663,I663)&gt;1,"DOUBLON","OK")</f>
        <v>OK</v>
      </c>
      <c r="S663" s="30" t="str">
        <v>Denmark</v>
      </c>
      <c r="T663" s="30" t="str">
        <f t="shared" si="60"/>
        <v>OK</v>
      </c>
      <c r="U663" s="30" t="str">
        <f t="shared" si="61"/>
        <v>-</v>
      </c>
      <c r="V663" s="30" t="str" cm="1">
        <f t="array" ref="V663">_xlfn.IFS(
ISNUMBER(SEARCH("USA",S663)),"United States",
ISNUMBER(SEARCH("Republic of Korea",S663)),"South Korea",
ISNUMBER(SEARCH("Cape Verde",S663)),"Cabo Verde",
ISNUMBER(SEARCH("Czechia",S663)),"Czech Republic",
ISNUMBER(SEARCH("Türkiye",S663)),"Turkey",
ISNUMBER(SEARCH("Ivory Coast",S663)),"Côte d'Ivoire",
ISNUMBER(SEARCH("Korea Republic",S663)),"South Korea",
ISNUMBER(SEARCH("Germany FR",S663)),"FR Germany",
ISNUMBER(SEARCH("West Germany",S663)),"FR Germany",
ISNUMBER(SEARCH("Germany DR",S663)),"DR Germany",
ISNUMBER(SEARCH("Korea DPR",S663)),"North Korea",
ISNUMBER(SEARCH("China PR",S663)),"China",
ISNUMBER(SEARCH("IR Iran",S663)),"Iran",
ISNUMBER(SEARCH("Congo DR",S663)),"Democratic Republic of the Congo",
ISNUMBER(SEARCH("DR Congo",S663)),"Democratic Republic of the Congo",
ISNUMBER(SEARCH("German DR",S663)),"DR Germany",
ISNUMBER(SEARCH("rn""&gt;United Arab Emirates",S663)),"United Arab Emirates",
ISNUMBER(SEARCH("rn""&gt;Republic of Ireland",S663)),"Ireland",
ISNUMBER(SEARCH("rn""&gt;Bosnia and Herzegovina",S663)),"Bosnia and Herzegovina",
ISNUMBER(SEARCH("rn""&gt;Trinidad and Tobago",S663)),"Trinidad and Tobago",
ISNUMBER(SEARCH("rn""&gt;Serbia and Montenegro",S663)),"Serbia and Montenegro",
ISNUMBER(SEARCH(_xlfn.UNICHAR(65533),S663)),"Côte d'Ivoire",
TRUE,""
)</f>
        <v/>
      </c>
      <c r="W663" s="30" t="str">
        <f t="shared" si="62"/>
        <v>Denmark</v>
      </c>
      <c r="Z663" s="40" t="str">
        <v>Oita Stadium Big Eye</v>
      </c>
      <c r="AA663" s="40" t="str" cm="1">
        <f t="array" ref="AA663">IFERROR(_xlfn.XLOOKUP(Z663,_xlfn.ANCHORARRAY(Z$31),AA$31:AA$37),Z663)</f>
        <v>Oita Stadium Big Eye</v>
      </c>
      <c r="AB663" s="42" t="str">
        <v xml:space="preserve">Oita </v>
      </c>
      <c r="AC663" s="89" t="str">
        <f t="shared" si="58"/>
        <v xml:space="preserve">Oita </v>
      </c>
      <c r="AE663" s="42">
        <v>2002</v>
      </c>
      <c r="AK663" s="42">
        <v>0</v>
      </c>
      <c r="AL663" s="42">
        <v>1</v>
      </c>
      <c r="AW663" s="89" t="str">
        <v>GROUP_STAGE</v>
      </c>
      <c r="BE663" s="43" t="str">
        <f>IF(OR(DATA_CLEANED!AL654="",DATA_CLEANED!AM654=""),"MANQUANT",IF(OR(NOT(ISNUMBER(DATA_CLEANED!AL654)),NOT(ISNUMBER(DATA_CLEANED!AM654))),"ENTREE INVALIDE",IF(OR(DATA_CLEANED!AL654&lt;0,DATA_CLEANED!AM654&lt;0),"SCORE NEGATIF","OK")))</f>
        <v>OK</v>
      </c>
      <c r="BF663" s="43" t="str">
        <f>IF(DATA_CLEANED!AK654&lt;&gt;DATA_CLEANED!AN654,"OK","ERREUR")</f>
        <v>OK</v>
      </c>
      <c r="BG663" s="43" t="str">
        <f>IF(DATA_CLEANED!AL654&gt;DATA_CLEANED!AM654,DATA_CLEANED!AK654,IF(AND(DATA_QUALITE!W5140="-",DATA_CLEANED!AM654=DATA_CLEANED!AL654),"MATCH NUL",IF(AND(DATA_QUALITE!V5140="-",DATA_QUALITE!U5140="AUCUNE"),DATA_QUALITE!T5140,IF(DATA_QUALITE!V5140&lt;&gt;"-",DATA_QUALITE!V5140,DATA_CLEANED!AN654))))</f>
        <v>Portugal</v>
      </c>
      <c r="BH663" s="103" t="str">
        <f>IF(AND(BG663="MATCH NUL",DATA_CLEANED!AO654="-"),"MATCH_NUL",IF(ISNUMBER(SEARCH("win on penalties",W5140)),"WIN_BY_PENALTY",IF(ISNUMBER(SEARCH("win after extra time",W5140)),"WIN_BY_EXTRA_TIME",IF(ISNUMBER(SEARCH("Golden Goal",W5140)),"WIN_BY_GOLDEN_GOAL","WIN_BY_SCORE"))))</f>
        <v>WIN_BY_SCORE</v>
      </c>
      <c r="BI663" s="99" t="str">
        <f>IF(OR(BG663=DATA_CLEANED!AK654,BG663=DATA_CLEANED!AN654,BG663="MATCH NUL"),"OK","ERREUR")</f>
        <v>OK</v>
      </c>
    </row>
    <row r="664" spans="2:61">
      <c r="B664" s="75">
        <v>227</v>
      </c>
      <c r="C664" s="15" t="str">
        <v>Gabriel Martinelli</v>
      </c>
      <c r="D664" s="15">
        <v>24</v>
      </c>
      <c r="E664" s="15" t="str">
        <v>Brazil</v>
      </c>
      <c r="F664" s="15" t="str">
        <v>LW</v>
      </c>
      <c r="G664" s="15" t="str">
        <v>Arsenal</v>
      </c>
      <c r="H664" s="15">
        <v>22</v>
      </c>
      <c r="I664" s="15" t="str">
        <f t="shared" si="59"/>
        <v>227|Gabriel Martinelli|24|Brazil|LW|Arsenal|22</v>
      </c>
      <c r="J664" s="15" t="str">
        <f>IF(COUNTIF(I$438:I664,I664)&gt;1,"DOUBLON","OK")</f>
        <v>OK</v>
      </c>
      <c r="S664" s="30" t="str">
        <v>Denmark</v>
      </c>
      <c r="T664" s="30" t="str">
        <f t="shared" si="60"/>
        <v>OK</v>
      </c>
      <c r="U664" s="30" t="str">
        <f t="shared" si="61"/>
        <v>-</v>
      </c>
      <c r="V664" s="30" t="str" cm="1">
        <f t="array" ref="V664">_xlfn.IFS(
ISNUMBER(SEARCH("USA",S664)),"United States",
ISNUMBER(SEARCH("Republic of Korea",S664)),"South Korea",
ISNUMBER(SEARCH("Cape Verde",S664)),"Cabo Verde",
ISNUMBER(SEARCH("Czechia",S664)),"Czech Republic",
ISNUMBER(SEARCH("Türkiye",S664)),"Turkey",
ISNUMBER(SEARCH("Ivory Coast",S664)),"Côte d'Ivoire",
ISNUMBER(SEARCH("Korea Republic",S664)),"South Korea",
ISNUMBER(SEARCH("Germany FR",S664)),"FR Germany",
ISNUMBER(SEARCH("West Germany",S664)),"FR Germany",
ISNUMBER(SEARCH("Germany DR",S664)),"DR Germany",
ISNUMBER(SEARCH("Korea DPR",S664)),"North Korea",
ISNUMBER(SEARCH("China PR",S664)),"China",
ISNUMBER(SEARCH("IR Iran",S664)),"Iran",
ISNUMBER(SEARCH("Congo DR",S664)),"Democratic Republic of the Congo",
ISNUMBER(SEARCH("DR Congo",S664)),"Democratic Republic of the Congo",
ISNUMBER(SEARCH("German DR",S664)),"DR Germany",
ISNUMBER(SEARCH("rn""&gt;United Arab Emirates",S664)),"United Arab Emirates",
ISNUMBER(SEARCH("rn""&gt;Republic of Ireland",S664)),"Ireland",
ISNUMBER(SEARCH("rn""&gt;Bosnia and Herzegovina",S664)),"Bosnia and Herzegovina",
ISNUMBER(SEARCH("rn""&gt;Trinidad and Tobago",S664)),"Trinidad and Tobago",
ISNUMBER(SEARCH("rn""&gt;Serbia and Montenegro",S664)),"Serbia and Montenegro",
ISNUMBER(SEARCH(_xlfn.UNICHAR(65533),S664)),"Côte d'Ivoire",
TRUE,""
)</f>
        <v/>
      </c>
      <c r="W664" s="30" t="str">
        <f t="shared" si="62"/>
        <v>Denmark</v>
      </c>
      <c r="Z664" s="40" t="str">
        <v>Osaka Nagai Stadium</v>
      </c>
      <c r="AA664" s="40" t="str" cm="1">
        <f t="array" ref="AA664">IFERROR(_xlfn.XLOOKUP(Z664,_xlfn.ANCHORARRAY(Z$31),AA$31:AA$37),Z664)</f>
        <v>Osaka Nagai Stadium</v>
      </c>
      <c r="AB664" s="42" t="str">
        <v xml:space="preserve">Osaka </v>
      </c>
      <c r="AC664" s="89" t="str">
        <f t="shared" si="58"/>
        <v xml:space="preserve">Osaka </v>
      </c>
      <c r="AE664" s="42">
        <v>2002</v>
      </c>
      <c r="AK664" s="42">
        <v>1</v>
      </c>
      <c r="AL664" s="42">
        <v>2</v>
      </c>
      <c r="AW664" s="89" t="str">
        <v>GROUP_STAGE</v>
      </c>
      <c r="BE664" s="43" t="str">
        <f>IF(OR(DATA_CLEANED!AL655="",DATA_CLEANED!AM655=""),"MANQUANT",IF(OR(NOT(ISNUMBER(DATA_CLEANED!AL655)),NOT(ISNUMBER(DATA_CLEANED!AM655))),"ENTREE INVALIDE",IF(OR(DATA_CLEANED!AL655&lt;0,DATA_CLEANED!AM655&lt;0),"SCORE NEGATIF","OK")))</f>
        <v>OK</v>
      </c>
      <c r="BF664" s="43" t="str">
        <f>IF(DATA_CLEANED!AK655&lt;&gt;DATA_CLEANED!AN655,"OK","ERREUR")</f>
        <v>OK</v>
      </c>
      <c r="BG664" s="43" t="str">
        <f>IF(DATA_CLEANED!AL655&gt;DATA_CLEANED!AM655,DATA_CLEANED!AK655,IF(AND(DATA_QUALITE!W5141="-",DATA_CLEANED!AM655=DATA_CLEANED!AL655),"MATCH NUL",IF(AND(DATA_QUALITE!V5141="-",DATA_QUALITE!U5141="AUCUNE"),DATA_QUALITE!T5141,IF(DATA_QUALITE!V5141&lt;&gt;"-",DATA_QUALITE!V5141,DATA_CLEANED!AN655))))</f>
        <v>Australia</v>
      </c>
      <c r="BH664" s="103" t="str">
        <f>IF(AND(BG664="MATCH NUL",DATA_CLEANED!AO655="-"),"MATCH_NUL",IF(ISNUMBER(SEARCH("win on penalties",W5141)),"WIN_BY_PENALTY",IF(ISNUMBER(SEARCH("win after extra time",W5141)),"WIN_BY_EXTRA_TIME",IF(ISNUMBER(SEARCH("Golden Goal",W5141)),"WIN_BY_GOLDEN_GOAL","WIN_BY_SCORE"))))</f>
        <v>WIN_BY_SCORE</v>
      </c>
      <c r="BI664" s="99" t="str">
        <f>IF(OR(BG664=DATA_CLEANED!AK655,BG664=DATA_CLEANED!AN655,BG664="MATCH NUL"),"OK","ERREUR")</f>
        <v>OK</v>
      </c>
    </row>
    <row r="665" spans="2:61">
      <c r="B665" s="75">
        <v>228</v>
      </c>
      <c r="C665" s="15" t="str">
        <v>Raphinha</v>
      </c>
      <c r="D665" s="15">
        <v>29</v>
      </c>
      <c r="E665" s="15" t="str">
        <v>Brazil</v>
      </c>
      <c r="F665" s="15" t="str">
        <v>RW</v>
      </c>
      <c r="G665" s="15" t="str">
        <v>Barcelona</v>
      </c>
      <c r="H665" s="15">
        <v>11</v>
      </c>
      <c r="I665" s="15" t="str">
        <f t="shared" si="59"/>
        <v>228|Raphinha|29|Brazil|RW|Barcelona|11</v>
      </c>
      <c r="J665" s="15" t="str">
        <f>IF(COUNTIF(I$438:I665,I665)&gt;1,"DOUBLON","OK")</f>
        <v>OK</v>
      </c>
      <c r="S665" s="30" t="str">
        <v>Denmark</v>
      </c>
      <c r="T665" s="30" t="str">
        <f t="shared" si="60"/>
        <v>OK</v>
      </c>
      <c r="U665" s="30" t="str">
        <f t="shared" si="61"/>
        <v>-</v>
      </c>
      <c r="V665" s="30" t="str" cm="1">
        <f t="array" ref="V665">_xlfn.IFS(
ISNUMBER(SEARCH("USA",S665)),"United States",
ISNUMBER(SEARCH("Republic of Korea",S665)),"South Korea",
ISNUMBER(SEARCH("Cape Verde",S665)),"Cabo Verde",
ISNUMBER(SEARCH("Czechia",S665)),"Czech Republic",
ISNUMBER(SEARCH("Türkiye",S665)),"Turkey",
ISNUMBER(SEARCH("Ivory Coast",S665)),"Côte d'Ivoire",
ISNUMBER(SEARCH("Korea Republic",S665)),"South Korea",
ISNUMBER(SEARCH("Germany FR",S665)),"FR Germany",
ISNUMBER(SEARCH("West Germany",S665)),"FR Germany",
ISNUMBER(SEARCH("Germany DR",S665)),"DR Germany",
ISNUMBER(SEARCH("Korea DPR",S665)),"North Korea",
ISNUMBER(SEARCH("China PR",S665)),"China",
ISNUMBER(SEARCH("IR Iran",S665)),"Iran",
ISNUMBER(SEARCH("Congo DR",S665)),"Democratic Republic of the Congo",
ISNUMBER(SEARCH("DR Congo",S665)),"Democratic Republic of the Congo",
ISNUMBER(SEARCH("German DR",S665)),"DR Germany",
ISNUMBER(SEARCH("rn""&gt;United Arab Emirates",S665)),"United Arab Emirates",
ISNUMBER(SEARCH("rn""&gt;Republic of Ireland",S665)),"Ireland",
ISNUMBER(SEARCH("rn""&gt;Bosnia and Herzegovina",S665)),"Bosnia and Herzegovina",
ISNUMBER(SEARCH("rn""&gt;Trinidad and Tobago",S665)),"Trinidad and Tobago",
ISNUMBER(SEARCH("rn""&gt;Serbia and Montenegro",S665)),"Serbia and Montenegro",
ISNUMBER(SEARCH(_xlfn.UNICHAR(65533),S665)),"Côte d'Ivoire",
TRUE,""
)</f>
        <v/>
      </c>
      <c r="W665" s="30" t="str">
        <f t="shared" si="62"/>
        <v>Denmark</v>
      </c>
      <c r="Z665" s="40" t="str">
        <v>Incheon Football Stadium</v>
      </c>
      <c r="AA665" s="40" t="str" cm="1">
        <f t="array" ref="AA665">IFERROR(_xlfn.XLOOKUP(Z665,_xlfn.ANCHORARRAY(Z$31),AA$31:AA$37),Z665)</f>
        <v>Incheon Football Stadium</v>
      </c>
      <c r="AB665" s="42" t="str">
        <v xml:space="preserve">Incheon </v>
      </c>
      <c r="AC665" s="89" t="str">
        <f t="shared" si="58"/>
        <v xml:space="preserve">Incheon </v>
      </c>
      <c r="AE665" s="42">
        <v>2002</v>
      </c>
      <c r="AK665" s="42">
        <v>1</v>
      </c>
      <c r="AL665" s="42">
        <v>1</v>
      </c>
      <c r="AW665" s="89" t="str">
        <v>GROUP_STAGE</v>
      </c>
      <c r="BE665" s="43" t="str">
        <f>IF(OR(DATA_CLEANED!AL656="",DATA_CLEANED!AM656=""),"MANQUANT",IF(OR(NOT(ISNUMBER(DATA_CLEANED!AL656)),NOT(ISNUMBER(DATA_CLEANED!AM656))),"ENTREE INVALIDE",IF(OR(DATA_CLEANED!AL656&lt;0,DATA_CLEANED!AM656&lt;0),"SCORE NEGATIF","OK")))</f>
        <v>OK</v>
      </c>
      <c r="BF665" s="43" t="str">
        <f>IF(DATA_CLEANED!AK656&lt;&gt;DATA_CLEANED!AN656,"OK","ERREUR")</f>
        <v>OK</v>
      </c>
      <c r="BG665" s="43" t="str">
        <f>IF(DATA_CLEANED!AL656&gt;DATA_CLEANED!AM656,DATA_CLEANED!AK656,IF(AND(DATA_QUALITE!W5142="-",DATA_CLEANED!AM656=DATA_CLEANED!AL656),"MATCH NUL",IF(AND(DATA_QUALITE!V5142="-",DATA_QUALITE!U5142="AUCUNE"),DATA_QUALITE!T5142,IF(DATA_QUALITE!V5142&lt;&gt;"-",DATA_QUALITE!V5142,DATA_CLEANED!AN656))))</f>
        <v>Czech Republic</v>
      </c>
      <c r="BH665" s="103" t="str">
        <f>IF(AND(BG665="MATCH NUL",DATA_CLEANED!AO656="-"),"MATCH_NUL",IF(ISNUMBER(SEARCH("win on penalties",W5142)),"WIN_BY_PENALTY",IF(ISNUMBER(SEARCH("win after extra time",W5142)),"WIN_BY_EXTRA_TIME",IF(ISNUMBER(SEARCH("Golden Goal",W5142)),"WIN_BY_GOLDEN_GOAL","WIN_BY_SCORE"))))</f>
        <v>WIN_BY_SCORE</v>
      </c>
      <c r="BI665" s="99" t="str">
        <f>IF(OR(BG665=DATA_CLEANED!AK656,BG665=DATA_CLEANED!AN656,BG665="MATCH NUL"),"OK","ERREUR")</f>
        <v>OK</v>
      </c>
    </row>
    <row r="666" spans="2:61">
      <c r="B666" s="75">
        <v>229</v>
      </c>
      <c r="C666" s="15" t="str">
        <v>Luiz Henrique</v>
      </c>
      <c r="D666" s="15">
        <v>25</v>
      </c>
      <c r="E666" s="15" t="str">
        <v>Brazil</v>
      </c>
      <c r="F666" s="15" t="str">
        <v>RW</v>
      </c>
      <c r="G666" s="15" t="str">
        <v>Zenit Saint Petersburg</v>
      </c>
      <c r="H666" s="15">
        <v>21</v>
      </c>
      <c r="I666" s="15" t="str">
        <f t="shared" si="59"/>
        <v>229|Luiz Henrique|25|Brazil|RW|Zenit Saint Petersburg|21</v>
      </c>
      <c r="J666" s="15" t="str">
        <f>IF(COUNTIF(I$438:I666,I666)&gt;1,"DOUBLON","OK")</f>
        <v>OK</v>
      </c>
      <c r="S666" s="30" t="str">
        <v>Denmark</v>
      </c>
      <c r="T666" s="30" t="str">
        <f t="shared" si="60"/>
        <v>OK</v>
      </c>
      <c r="U666" s="30" t="str">
        <f t="shared" si="61"/>
        <v>-</v>
      </c>
      <c r="V666" s="30" t="str" cm="1">
        <f t="array" ref="V666">_xlfn.IFS(
ISNUMBER(SEARCH("USA",S666)),"United States",
ISNUMBER(SEARCH("Republic of Korea",S666)),"South Korea",
ISNUMBER(SEARCH("Cape Verde",S666)),"Cabo Verde",
ISNUMBER(SEARCH("Czechia",S666)),"Czech Republic",
ISNUMBER(SEARCH("Türkiye",S666)),"Turkey",
ISNUMBER(SEARCH("Ivory Coast",S666)),"Côte d'Ivoire",
ISNUMBER(SEARCH("Korea Republic",S666)),"South Korea",
ISNUMBER(SEARCH("Germany FR",S666)),"FR Germany",
ISNUMBER(SEARCH("West Germany",S666)),"FR Germany",
ISNUMBER(SEARCH("Germany DR",S666)),"DR Germany",
ISNUMBER(SEARCH("Korea DPR",S666)),"North Korea",
ISNUMBER(SEARCH("China PR",S666)),"China",
ISNUMBER(SEARCH("IR Iran",S666)),"Iran",
ISNUMBER(SEARCH("Congo DR",S666)),"Democratic Republic of the Congo",
ISNUMBER(SEARCH("DR Congo",S666)),"Democratic Republic of the Congo",
ISNUMBER(SEARCH("German DR",S666)),"DR Germany",
ISNUMBER(SEARCH("rn""&gt;United Arab Emirates",S666)),"United Arab Emirates",
ISNUMBER(SEARCH("rn""&gt;Republic of Ireland",S666)),"Ireland",
ISNUMBER(SEARCH("rn""&gt;Bosnia and Herzegovina",S666)),"Bosnia and Herzegovina",
ISNUMBER(SEARCH("rn""&gt;Trinidad and Tobago",S666)),"Trinidad and Tobago",
ISNUMBER(SEARCH("rn""&gt;Serbia and Montenegro",S666)),"Serbia and Montenegro",
ISNUMBER(SEARCH(_xlfn.UNICHAR(65533),S666)),"Côte d'Ivoire",
TRUE,""
)</f>
        <v/>
      </c>
      <c r="W666" s="30" t="str">
        <f t="shared" si="62"/>
        <v>Denmark</v>
      </c>
      <c r="Z666" s="40" t="str">
        <v>Daejeon World Cup Stadium</v>
      </c>
      <c r="AA666" s="40" t="str" cm="1">
        <f t="array" ref="AA666">IFERROR(_xlfn.XLOOKUP(Z666,_xlfn.ANCHORARRAY(Z$31),AA$31:AA$37),Z666)</f>
        <v>Daejeon World Cup Stadium</v>
      </c>
      <c r="AB666" s="42" t="str">
        <v xml:space="preserve">Daejeon </v>
      </c>
      <c r="AC666" s="89" t="str">
        <f t="shared" si="58"/>
        <v xml:space="preserve">Daejeon </v>
      </c>
      <c r="AE666" s="42">
        <v>2002</v>
      </c>
      <c r="AK666" s="42">
        <v>8</v>
      </c>
      <c r="AL666" s="42">
        <v>0</v>
      </c>
      <c r="AW666" s="89" t="str">
        <v>GROUP_STAGE</v>
      </c>
      <c r="BE666" s="43" t="str">
        <f>IF(OR(DATA_CLEANED!AL657="",DATA_CLEANED!AM657=""),"MANQUANT",IF(OR(NOT(ISNUMBER(DATA_CLEANED!AL657)),NOT(ISNUMBER(DATA_CLEANED!AM657))),"ENTREE INVALIDE",IF(OR(DATA_CLEANED!AL657&lt;0,DATA_CLEANED!AM657&lt;0),"SCORE NEGATIF","OK")))</f>
        <v>OK</v>
      </c>
      <c r="BF666" s="43" t="str">
        <f>IF(DATA_CLEANED!AK657&lt;&gt;DATA_CLEANED!AN657,"OK","ERREUR")</f>
        <v>OK</v>
      </c>
      <c r="BG666" s="43" t="str">
        <f>IF(DATA_CLEANED!AL657&gt;DATA_CLEANED!AM657,DATA_CLEANED!AK657,IF(AND(DATA_QUALITE!W5143="-",DATA_CLEANED!AM657=DATA_CLEANED!AL657),"MATCH NUL",IF(AND(DATA_QUALITE!V5143="-",DATA_QUALITE!U5143="AUCUNE"),DATA_QUALITE!T5143,IF(DATA_QUALITE!V5143&lt;&gt;"-",DATA_QUALITE!V5143,DATA_CLEANED!AN657))))</f>
        <v>Italy</v>
      </c>
      <c r="BH666" s="103" t="str">
        <f>IF(AND(BG666="MATCH NUL",DATA_CLEANED!AO657="-"),"MATCH_NUL",IF(ISNUMBER(SEARCH("win on penalties",W5143)),"WIN_BY_PENALTY",IF(ISNUMBER(SEARCH("win after extra time",W5143)),"WIN_BY_EXTRA_TIME",IF(ISNUMBER(SEARCH("Golden Goal",W5143)),"WIN_BY_GOLDEN_GOAL","WIN_BY_SCORE"))))</f>
        <v>WIN_BY_SCORE</v>
      </c>
      <c r="BI666" s="99" t="str">
        <f>IF(OR(BG666=DATA_CLEANED!AK657,BG666=DATA_CLEANED!AN657,BG666="MATCH NUL"),"OK","ERREUR")</f>
        <v>OK</v>
      </c>
    </row>
    <row r="667" spans="2:61">
      <c r="B667" s="75">
        <v>230</v>
      </c>
      <c r="C667" s="15" t="str">
        <v>Rayan</v>
      </c>
      <c r="D667" s="15">
        <v>19</v>
      </c>
      <c r="E667" s="15" t="str">
        <v>Brazil</v>
      </c>
      <c r="F667" s="15" t="str">
        <v>RW</v>
      </c>
      <c r="G667" s="15" t="str">
        <v>Bournemouth</v>
      </c>
      <c r="H667" s="15">
        <v>26</v>
      </c>
      <c r="I667" s="15" t="str">
        <f t="shared" si="59"/>
        <v>230|Rayan|19|Brazil|RW|Bournemouth|26</v>
      </c>
      <c r="J667" s="15" t="str">
        <f>IF(COUNTIF(I$438:I667,I667)&gt;1,"DOUBLON","OK")</f>
        <v>OK</v>
      </c>
      <c r="S667" s="30" t="str">
        <v>Denmark</v>
      </c>
      <c r="T667" s="30" t="str">
        <f t="shared" si="60"/>
        <v>OK</v>
      </c>
      <c r="U667" s="30" t="str">
        <f t="shared" si="61"/>
        <v>-</v>
      </c>
      <c r="V667" s="30" t="str" cm="1">
        <f t="array" ref="V667">_xlfn.IFS(
ISNUMBER(SEARCH("USA",S667)),"United States",
ISNUMBER(SEARCH("Republic of Korea",S667)),"South Korea",
ISNUMBER(SEARCH("Cape Verde",S667)),"Cabo Verde",
ISNUMBER(SEARCH("Czechia",S667)),"Czech Republic",
ISNUMBER(SEARCH("Türkiye",S667)),"Turkey",
ISNUMBER(SEARCH("Ivory Coast",S667)),"Côte d'Ivoire",
ISNUMBER(SEARCH("Korea Republic",S667)),"South Korea",
ISNUMBER(SEARCH("Germany FR",S667)),"FR Germany",
ISNUMBER(SEARCH("West Germany",S667)),"FR Germany",
ISNUMBER(SEARCH("Germany DR",S667)),"DR Germany",
ISNUMBER(SEARCH("Korea DPR",S667)),"North Korea",
ISNUMBER(SEARCH("China PR",S667)),"China",
ISNUMBER(SEARCH("IR Iran",S667)),"Iran",
ISNUMBER(SEARCH("Congo DR",S667)),"Democratic Republic of the Congo",
ISNUMBER(SEARCH("DR Congo",S667)),"Democratic Republic of the Congo",
ISNUMBER(SEARCH("German DR",S667)),"DR Germany",
ISNUMBER(SEARCH("rn""&gt;United Arab Emirates",S667)),"United Arab Emirates",
ISNUMBER(SEARCH("rn""&gt;Republic of Ireland",S667)),"Ireland",
ISNUMBER(SEARCH("rn""&gt;Bosnia and Herzegovina",S667)),"Bosnia and Herzegovina",
ISNUMBER(SEARCH("rn""&gt;Trinidad and Tobago",S667)),"Trinidad and Tobago",
ISNUMBER(SEARCH("rn""&gt;Serbia and Montenegro",S667)),"Serbia and Montenegro",
ISNUMBER(SEARCH(_xlfn.UNICHAR(65533),S667)),"Côte d'Ivoire",
TRUE,""
)</f>
        <v/>
      </c>
      <c r="W667" s="30" t="str">
        <f t="shared" si="62"/>
        <v>Denmark</v>
      </c>
      <c r="Z667" s="40" t="str">
        <v>Shizuoka Stadium Ecopa</v>
      </c>
      <c r="AA667" s="40" t="str" cm="1">
        <f t="array" ref="AA667">IFERROR(_xlfn.XLOOKUP(Z667,_xlfn.ANCHORARRAY(Z$31),AA$31:AA$37),Z667)</f>
        <v>Shizuoka Stadium Ecopa</v>
      </c>
      <c r="AB667" s="42" t="str">
        <v xml:space="preserve">Shizuoka </v>
      </c>
      <c r="AC667" s="89" t="str">
        <f t="shared" si="58"/>
        <v xml:space="preserve">Shizuoka </v>
      </c>
      <c r="AE667" s="42">
        <v>2002</v>
      </c>
      <c r="AK667" s="42">
        <v>1</v>
      </c>
      <c r="AL667" s="42">
        <v>0</v>
      </c>
      <c r="AW667" s="89" t="str">
        <v>GROUP_STAGE</v>
      </c>
      <c r="BE667" s="43" t="str">
        <f>IF(OR(DATA_CLEANED!AL658="",DATA_CLEANED!AM658=""),"MANQUANT",IF(OR(NOT(ISNUMBER(DATA_CLEANED!AL658)),NOT(ISNUMBER(DATA_CLEANED!AM658))),"ENTREE INVALIDE",IF(OR(DATA_CLEANED!AL658&lt;0,DATA_CLEANED!AM658&lt;0),"SCORE NEGATIF","OK")))</f>
        <v>OK</v>
      </c>
      <c r="BF667" s="43" t="str">
        <f>IF(DATA_CLEANED!AK658&lt;&gt;DATA_CLEANED!AN658,"OK","ERREUR")</f>
        <v>OK</v>
      </c>
      <c r="BG667" s="43" t="str">
        <f>IF(DATA_CLEANED!AL658&gt;DATA_CLEANED!AM658,DATA_CLEANED!AK658,IF(AND(DATA_QUALITE!W5144="-",DATA_CLEANED!AM658=DATA_CLEANED!AL658),"MATCH NUL",IF(AND(DATA_QUALITE!V5144="-",DATA_QUALITE!U5144="AUCUNE"),DATA_QUALITE!T5144,IF(DATA_QUALITE!V5144&lt;&gt;"-",DATA_QUALITE!V5144,DATA_CLEANED!AN658))))</f>
        <v>South Korea</v>
      </c>
      <c r="BH667" s="103" t="str">
        <f>IF(AND(BG667="MATCH NUL",DATA_CLEANED!AO658="-"),"MATCH_NUL",IF(ISNUMBER(SEARCH("win on penalties",W5144)),"WIN_BY_PENALTY",IF(ISNUMBER(SEARCH("win after extra time",W5144)),"WIN_BY_EXTRA_TIME",IF(ISNUMBER(SEARCH("Golden Goal",W5144)),"WIN_BY_GOLDEN_GOAL","WIN_BY_SCORE"))))</f>
        <v>WIN_BY_SCORE</v>
      </c>
      <c r="BI667" s="99" t="str">
        <f>IF(OR(BG667=DATA_CLEANED!AK658,BG667=DATA_CLEANED!AN658,BG667="MATCH NUL"),"OK","ERREUR")</f>
        <v>OK</v>
      </c>
    </row>
    <row r="668" spans="2:61">
      <c r="B668" s="75">
        <v>231</v>
      </c>
      <c r="C668" s="15" t="str">
        <v>Matheus Cunha</v>
      </c>
      <c r="D668" s="15">
        <v>27</v>
      </c>
      <c r="E668" s="15" t="str">
        <v>Brazil</v>
      </c>
      <c r="F668" s="15" t="str">
        <v>ST</v>
      </c>
      <c r="G668" s="15" t="str">
        <v>Manchester United</v>
      </c>
      <c r="H668" s="15">
        <v>9</v>
      </c>
      <c r="I668" s="15" t="str">
        <f t="shared" si="59"/>
        <v>231|Matheus Cunha|27|Brazil|ST|Manchester United|9</v>
      </c>
      <c r="J668" s="15" t="str">
        <f>IF(COUNTIF(I$438:I668,I668)&gt;1,"DOUBLON","OK")</f>
        <v>OK</v>
      </c>
      <c r="S668" s="30" t="str">
        <v>Denmark</v>
      </c>
      <c r="T668" s="30" t="str">
        <f t="shared" si="60"/>
        <v>OK</v>
      </c>
      <c r="U668" s="30" t="str">
        <f t="shared" si="61"/>
        <v>-</v>
      </c>
      <c r="V668" s="30" t="str" cm="1">
        <f t="array" ref="V668">_xlfn.IFS(
ISNUMBER(SEARCH("USA",S668)),"United States",
ISNUMBER(SEARCH("Republic of Korea",S668)),"South Korea",
ISNUMBER(SEARCH("Cape Verde",S668)),"Cabo Verde",
ISNUMBER(SEARCH("Czechia",S668)),"Czech Republic",
ISNUMBER(SEARCH("Türkiye",S668)),"Turkey",
ISNUMBER(SEARCH("Ivory Coast",S668)),"Côte d'Ivoire",
ISNUMBER(SEARCH("Korea Republic",S668)),"South Korea",
ISNUMBER(SEARCH("Germany FR",S668)),"FR Germany",
ISNUMBER(SEARCH("West Germany",S668)),"FR Germany",
ISNUMBER(SEARCH("Germany DR",S668)),"DR Germany",
ISNUMBER(SEARCH("Korea DPR",S668)),"North Korea",
ISNUMBER(SEARCH("China PR",S668)),"China",
ISNUMBER(SEARCH("IR Iran",S668)),"Iran",
ISNUMBER(SEARCH("Congo DR",S668)),"Democratic Republic of the Congo",
ISNUMBER(SEARCH("DR Congo",S668)),"Democratic Republic of the Congo",
ISNUMBER(SEARCH("German DR",S668)),"DR Germany",
ISNUMBER(SEARCH("rn""&gt;United Arab Emirates",S668)),"United Arab Emirates",
ISNUMBER(SEARCH("rn""&gt;Republic of Ireland",S668)),"Ireland",
ISNUMBER(SEARCH("rn""&gt;Bosnia and Herzegovina",S668)),"Bosnia and Herzegovina",
ISNUMBER(SEARCH("rn""&gt;Trinidad and Tobago",S668)),"Trinidad and Tobago",
ISNUMBER(SEARCH("rn""&gt;Serbia and Montenegro",S668)),"Serbia and Montenegro",
ISNUMBER(SEARCH(_xlfn.UNICHAR(65533),S668)),"Côte d'Ivoire",
TRUE,""
)</f>
        <v/>
      </c>
      <c r="W668" s="30" t="str">
        <f t="shared" si="62"/>
        <v>Denmark</v>
      </c>
      <c r="Z668" s="40" t="str">
        <v>Niigata Stadium Big Swan</v>
      </c>
      <c r="AA668" s="40" t="str" cm="1">
        <f t="array" ref="AA668">IFERROR(_xlfn.XLOOKUP(Z668,_xlfn.ANCHORARRAY(Z$31),AA$31:AA$37),Z668)</f>
        <v>Niigata Stadium Big Swan</v>
      </c>
      <c r="AB668" s="42" t="str">
        <v xml:space="preserve">Niigata </v>
      </c>
      <c r="AC668" s="89" t="str">
        <f t="shared" si="58"/>
        <v xml:space="preserve">Niigata </v>
      </c>
      <c r="AE668" s="42">
        <v>2002</v>
      </c>
      <c r="AK668" s="42">
        <v>2</v>
      </c>
      <c r="AL668" s="42">
        <v>2</v>
      </c>
      <c r="AW668" s="89" t="str">
        <v>GROUP_STAGE</v>
      </c>
      <c r="BE668" s="43" t="str">
        <f>IF(OR(DATA_CLEANED!AL659="",DATA_CLEANED!AM659=""),"MANQUANT",IF(OR(NOT(ISNUMBER(DATA_CLEANED!AL659)),NOT(ISNUMBER(DATA_CLEANED!AM659))),"ENTREE INVALIDE",IF(OR(DATA_CLEANED!AL659&lt;0,DATA_CLEANED!AM659&lt;0),"SCORE NEGATIF","OK")))</f>
        <v>OK</v>
      </c>
      <c r="BF668" s="43" t="str">
        <f>IF(DATA_CLEANED!AK659&lt;&gt;DATA_CLEANED!AN659,"OK","ERREUR")</f>
        <v>OK</v>
      </c>
      <c r="BG668" s="43" t="str">
        <f>IF(DATA_CLEANED!AL659&gt;DATA_CLEANED!AM659,DATA_CLEANED!AK659,IF(AND(DATA_QUALITE!W5145="-",DATA_CLEANED!AM659=DATA_CLEANED!AL659),"MATCH NUL",IF(AND(DATA_QUALITE!V5145="-",DATA_QUALITE!U5145="AUCUNE"),DATA_QUALITE!T5145,IF(DATA_QUALITE!V5145&lt;&gt;"-",DATA_QUALITE!V5145,DATA_CLEANED!AN659))))</f>
        <v>MATCH NUL</v>
      </c>
      <c r="BH668" s="103" t="str">
        <f>IF(AND(BG668="MATCH NUL",DATA_CLEANED!AO659="-"),"MATCH_NUL",IF(ISNUMBER(SEARCH("win on penalties",W5145)),"WIN_BY_PENALTY",IF(ISNUMBER(SEARCH("win after extra time",W5145)),"WIN_BY_EXTRA_TIME",IF(ISNUMBER(SEARCH("Golden Goal",W5145)),"WIN_BY_GOLDEN_GOAL","WIN_BY_SCORE"))))</f>
        <v>MATCH_NUL</v>
      </c>
      <c r="BI668" s="99" t="str">
        <f>IF(OR(BG668=DATA_CLEANED!AK659,BG668=DATA_CLEANED!AN659,BG668="MATCH NUL"),"OK","ERREUR")</f>
        <v>OK</v>
      </c>
    </row>
    <row r="669" spans="2:61">
      <c r="B669" s="75">
        <v>232</v>
      </c>
      <c r="C669" s="15" t="str">
        <v>Neymar</v>
      </c>
      <c r="D669" s="15">
        <v>34</v>
      </c>
      <c r="E669" s="15" t="str">
        <v>Brazil</v>
      </c>
      <c r="F669" s="15" t="str">
        <v>ST</v>
      </c>
      <c r="G669" s="15" t="str">
        <v>Santos</v>
      </c>
      <c r="H669" s="15">
        <v>10</v>
      </c>
      <c r="I669" s="15" t="str">
        <f t="shared" si="59"/>
        <v>232|Neymar|34|Brazil|ST|Santos|10</v>
      </c>
      <c r="J669" s="15" t="str">
        <f>IF(COUNTIF(I$438:I669,I669)&gt;1,"DOUBLON","OK")</f>
        <v>OK</v>
      </c>
      <c r="S669" s="30" t="str">
        <v>Denmark</v>
      </c>
      <c r="T669" s="30" t="str">
        <f t="shared" si="60"/>
        <v>OK</v>
      </c>
      <c r="U669" s="30" t="str">
        <f t="shared" si="61"/>
        <v>-</v>
      </c>
      <c r="V669" s="30" t="str" cm="1">
        <f t="array" ref="V669">_xlfn.IFS(
ISNUMBER(SEARCH("USA",S669)),"United States",
ISNUMBER(SEARCH("Republic of Korea",S669)),"South Korea",
ISNUMBER(SEARCH("Cape Verde",S669)),"Cabo Verde",
ISNUMBER(SEARCH("Czechia",S669)),"Czech Republic",
ISNUMBER(SEARCH("Türkiye",S669)),"Turkey",
ISNUMBER(SEARCH("Ivory Coast",S669)),"Côte d'Ivoire",
ISNUMBER(SEARCH("Korea Republic",S669)),"South Korea",
ISNUMBER(SEARCH("Germany FR",S669)),"FR Germany",
ISNUMBER(SEARCH("West Germany",S669)),"FR Germany",
ISNUMBER(SEARCH("Germany DR",S669)),"DR Germany",
ISNUMBER(SEARCH("Korea DPR",S669)),"North Korea",
ISNUMBER(SEARCH("China PR",S669)),"China",
ISNUMBER(SEARCH("IR Iran",S669)),"Iran",
ISNUMBER(SEARCH("Congo DR",S669)),"Democratic Republic of the Congo",
ISNUMBER(SEARCH("DR Congo",S669)),"Democratic Republic of the Congo",
ISNUMBER(SEARCH("German DR",S669)),"DR Germany",
ISNUMBER(SEARCH("rn""&gt;United Arab Emirates",S669)),"United Arab Emirates",
ISNUMBER(SEARCH("rn""&gt;Republic of Ireland",S669)),"Ireland",
ISNUMBER(SEARCH("rn""&gt;Bosnia and Herzegovina",S669)),"Bosnia and Herzegovina",
ISNUMBER(SEARCH("rn""&gt;Trinidad and Tobago",S669)),"Trinidad and Tobago",
ISNUMBER(SEARCH("rn""&gt;Serbia and Montenegro",S669)),"Serbia and Montenegro",
ISNUMBER(SEARCH(_xlfn.UNICHAR(65533),S669)),"Côte d'Ivoire",
TRUE,""
)</f>
        <v/>
      </c>
      <c r="W669" s="30" t="str">
        <f t="shared" si="62"/>
        <v>Denmark</v>
      </c>
      <c r="Z669" s="40" t="str">
        <v>Jeju World Cup Stadium</v>
      </c>
      <c r="AA669" s="40" t="str" cm="1">
        <f t="array" ref="AA669">IFERROR(_xlfn.XLOOKUP(Z669,_xlfn.ANCHORARRAY(Z$31),AA$31:AA$37),Z669)</f>
        <v>Jeju World Cup Stadium</v>
      </c>
      <c r="AB669" s="42" t="str">
        <v xml:space="preserve">Jeju </v>
      </c>
      <c r="AC669" s="89" t="str">
        <f t="shared" si="58"/>
        <v xml:space="preserve">Jeju </v>
      </c>
      <c r="AE669" s="42">
        <v>2002</v>
      </c>
      <c r="AK669" s="42">
        <v>1</v>
      </c>
      <c r="AL669" s="42">
        <v>1</v>
      </c>
      <c r="AW669" s="89" t="str">
        <v>GROUP_STAGE</v>
      </c>
      <c r="BE669" s="43" t="str">
        <f>IF(OR(DATA_CLEANED!AL660="",DATA_CLEANED!AM660=""),"MANQUANT",IF(OR(NOT(ISNUMBER(DATA_CLEANED!AL660)),NOT(ISNUMBER(DATA_CLEANED!AM660))),"ENTREE INVALIDE",IF(OR(DATA_CLEANED!AL660&lt;0,DATA_CLEANED!AM660&lt;0),"SCORE NEGATIF","OK")))</f>
        <v>OK</v>
      </c>
      <c r="BF669" s="43" t="str">
        <f>IF(DATA_CLEANED!AK660&lt;&gt;DATA_CLEANED!AN660,"OK","ERREUR")</f>
        <v>OK</v>
      </c>
      <c r="BG669" s="43" t="str">
        <f>IF(DATA_CLEANED!AL660&gt;DATA_CLEANED!AM660,DATA_CLEANED!AK660,IF(AND(DATA_QUALITE!W5146="-",DATA_CLEANED!AM660=DATA_CLEANED!AL660),"MATCH NUL",IF(AND(DATA_QUALITE!V5146="-",DATA_QUALITE!U5146="AUCUNE"),DATA_QUALITE!T5146,IF(DATA_QUALITE!V5146&lt;&gt;"-",DATA_QUALITE!V5146,DATA_CLEANED!AN660))))</f>
        <v>Brazil</v>
      </c>
      <c r="BH669" s="103" t="str">
        <f>IF(AND(BG669="MATCH NUL",DATA_CLEANED!AO660="-"),"MATCH_NUL",IF(ISNUMBER(SEARCH("win on penalties",W5146)),"WIN_BY_PENALTY",IF(ISNUMBER(SEARCH("win after extra time",W5146)),"WIN_BY_EXTRA_TIME",IF(ISNUMBER(SEARCH("Golden Goal",W5146)),"WIN_BY_GOLDEN_GOAL","WIN_BY_SCORE"))))</f>
        <v>WIN_BY_SCORE</v>
      </c>
      <c r="BI669" s="99" t="str">
        <f>IF(OR(BG669=DATA_CLEANED!AK660,BG669=DATA_CLEANED!AN660,BG669="MATCH NUL"),"OK","ERREUR")</f>
        <v>OK</v>
      </c>
    </row>
    <row r="670" spans="2:61">
      <c r="B670" s="75">
        <v>233</v>
      </c>
      <c r="C670" s="15" t="str">
        <v>Endrick</v>
      </c>
      <c r="D670" s="15">
        <v>19</v>
      </c>
      <c r="E670" s="15" t="str">
        <v>Brazil</v>
      </c>
      <c r="F670" s="15" t="str">
        <v>ST</v>
      </c>
      <c r="G670" s="15" t="str">
        <v>Lyon</v>
      </c>
      <c r="H670" s="15">
        <v>19</v>
      </c>
      <c r="I670" s="15" t="str">
        <f t="shared" si="59"/>
        <v>233|Endrick|19|Brazil|ST|Lyon|19</v>
      </c>
      <c r="J670" s="15" t="str">
        <f>IF(COUNTIF(I$438:I670,I670)&gt;1,"DOUBLON","OK")</f>
        <v>OK</v>
      </c>
      <c r="S670" s="30" t="str">
        <v>Denmark</v>
      </c>
      <c r="T670" s="30" t="str">
        <f t="shared" si="60"/>
        <v>OK</v>
      </c>
      <c r="U670" s="30" t="str">
        <f t="shared" si="61"/>
        <v>-</v>
      </c>
      <c r="V670" s="30" t="str" cm="1">
        <f t="array" ref="V670">_xlfn.IFS(
ISNUMBER(SEARCH("USA",S670)),"United States",
ISNUMBER(SEARCH("Republic of Korea",S670)),"South Korea",
ISNUMBER(SEARCH("Cape Verde",S670)),"Cabo Verde",
ISNUMBER(SEARCH("Czechia",S670)),"Czech Republic",
ISNUMBER(SEARCH("Türkiye",S670)),"Turkey",
ISNUMBER(SEARCH("Ivory Coast",S670)),"Côte d'Ivoire",
ISNUMBER(SEARCH("Korea Republic",S670)),"South Korea",
ISNUMBER(SEARCH("Germany FR",S670)),"FR Germany",
ISNUMBER(SEARCH("West Germany",S670)),"FR Germany",
ISNUMBER(SEARCH("Germany DR",S670)),"DR Germany",
ISNUMBER(SEARCH("Korea DPR",S670)),"North Korea",
ISNUMBER(SEARCH("China PR",S670)),"China",
ISNUMBER(SEARCH("IR Iran",S670)),"Iran",
ISNUMBER(SEARCH("Congo DR",S670)),"Democratic Republic of the Congo",
ISNUMBER(SEARCH("DR Congo",S670)),"Democratic Republic of the Congo",
ISNUMBER(SEARCH("German DR",S670)),"DR Germany",
ISNUMBER(SEARCH("rn""&gt;United Arab Emirates",S670)),"United Arab Emirates",
ISNUMBER(SEARCH("rn""&gt;Republic of Ireland",S670)),"Ireland",
ISNUMBER(SEARCH("rn""&gt;Bosnia and Herzegovina",S670)),"Bosnia and Herzegovina",
ISNUMBER(SEARCH("rn""&gt;Trinidad and Tobago",S670)),"Trinidad and Tobago",
ISNUMBER(SEARCH("rn""&gt;Serbia and Montenegro",S670)),"Serbia and Montenegro",
ISNUMBER(SEARCH(_xlfn.UNICHAR(65533),S670)),"Côte d'Ivoire",
TRUE,""
)</f>
        <v/>
      </c>
      <c r="W670" s="30" t="str">
        <f t="shared" si="62"/>
        <v>Denmark</v>
      </c>
      <c r="Z670" s="40" t="str">
        <v>Suwon World Cup Stadium</v>
      </c>
      <c r="AA670" s="40" t="str" cm="1">
        <f t="array" ref="AA670">IFERROR(_xlfn.XLOOKUP(Z670,_xlfn.ANCHORARRAY(Z$31),AA$31:AA$37),Z670)</f>
        <v>Suwon World Cup Stadium</v>
      </c>
      <c r="AB670" s="42" t="str">
        <v xml:space="preserve">Suwon </v>
      </c>
      <c r="AC670" s="89" t="str">
        <f t="shared" si="58"/>
        <v xml:space="preserve">Suwon </v>
      </c>
      <c r="AE670" s="42">
        <v>2002</v>
      </c>
      <c r="AK670" s="42">
        <v>3</v>
      </c>
      <c r="AL670" s="42">
        <v>1</v>
      </c>
      <c r="AW670" s="89" t="str">
        <v>GROUP_STAGE</v>
      </c>
      <c r="BE670" s="43" t="str">
        <f>IF(OR(DATA_CLEANED!AL661="",DATA_CLEANED!AM661=""),"MANQUANT",IF(OR(NOT(ISNUMBER(DATA_CLEANED!AL661)),NOT(ISNUMBER(DATA_CLEANED!AM661))),"ENTREE INVALIDE",IF(OR(DATA_CLEANED!AL661&lt;0,DATA_CLEANED!AM661&lt;0),"SCORE NEGATIF","OK")))</f>
        <v>OK</v>
      </c>
      <c r="BF670" s="43" t="str">
        <f>IF(DATA_CLEANED!AK661&lt;&gt;DATA_CLEANED!AN661,"OK","ERREUR")</f>
        <v>OK</v>
      </c>
      <c r="BG670" s="43" t="str">
        <f>IF(DATA_CLEANED!AL661&gt;DATA_CLEANED!AM661,DATA_CLEANED!AK661,IF(AND(DATA_QUALITE!W5147="-",DATA_CLEANED!AM661=DATA_CLEANED!AL661),"MATCH NUL",IF(AND(DATA_QUALITE!V5147="-",DATA_QUALITE!U5147="AUCUNE"),DATA_QUALITE!T5147,IF(DATA_QUALITE!V5147&lt;&gt;"-",DATA_QUALITE!V5147,DATA_CLEANED!AN661))))</f>
        <v>Spain</v>
      </c>
      <c r="BH670" s="103" t="str">
        <f>IF(AND(BG670="MATCH NUL",DATA_CLEANED!AO661="-"),"MATCH_NUL",IF(ISNUMBER(SEARCH("win on penalties",W5147)),"WIN_BY_PENALTY",IF(ISNUMBER(SEARCH("win after extra time",W5147)),"WIN_BY_EXTRA_TIME",IF(ISNUMBER(SEARCH("Golden Goal",W5147)),"WIN_BY_GOLDEN_GOAL","WIN_BY_SCORE"))))</f>
        <v>WIN_BY_SCORE</v>
      </c>
      <c r="BI670" s="99" t="str">
        <f>IF(OR(BG670=DATA_CLEANED!AK661,BG670=DATA_CLEANED!AN661,BG670="MATCH NUL"),"OK","ERREUR")</f>
        <v>OK</v>
      </c>
    </row>
    <row r="671" spans="2:61">
      <c r="B671" s="75">
        <v>234</v>
      </c>
      <c r="C671" s="15" t="str">
        <v>Igor Thiago</v>
      </c>
      <c r="D671" s="15">
        <v>24</v>
      </c>
      <c r="E671" s="15" t="str">
        <v>Brazil</v>
      </c>
      <c r="F671" s="15" t="str">
        <v>ST</v>
      </c>
      <c r="G671" s="15" t="str">
        <v>Brentford</v>
      </c>
      <c r="H671" s="15">
        <v>25</v>
      </c>
      <c r="I671" s="15" t="str">
        <f t="shared" si="59"/>
        <v>234|Igor Thiago|24|Brazil|ST|Brentford|25</v>
      </c>
      <c r="J671" s="15" t="str">
        <f>IF(COUNTIF(I$438:I671,I671)&gt;1,"DOUBLON","OK")</f>
        <v>OK</v>
      </c>
      <c r="S671" s="30" t="str">
        <v>Denmark</v>
      </c>
      <c r="T671" s="30" t="str">
        <f t="shared" si="60"/>
        <v>OK</v>
      </c>
      <c r="U671" s="30" t="str">
        <f t="shared" si="61"/>
        <v>-</v>
      </c>
      <c r="V671" s="30" t="str" cm="1">
        <f t="array" ref="V671">_xlfn.IFS(
ISNUMBER(SEARCH("USA",S671)),"United States",
ISNUMBER(SEARCH("Republic of Korea",S671)),"South Korea",
ISNUMBER(SEARCH("Cape Verde",S671)),"Cabo Verde",
ISNUMBER(SEARCH("Czechia",S671)),"Czech Republic",
ISNUMBER(SEARCH("Türkiye",S671)),"Turkey",
ISNUMBER(SEARCH("Ivory Coast",S671)),"Côte d'Ivoire",
ISNUMBER(SEARCH("Korea Republic",S671)),"South Korea",
ISNUMBER(SEARCH("Germany FR",S671)),"FR Germany",
ISNUMBER(SEARCH("West Germany",S671)),"FR Germany",
ISNUMBER(SEARCH("Germany DR",S671)),"DR Germany",
ISNUMBER(SEARCH("Korea DPR",S671)),"North Korea",
ISNUMBER(SEARCH("China PR",S671)),"China",
ISNUMBER(SEARCH("IR Iran",S671)),"Iran",
ISNUMBER(SEARCH("Congo DR",S671)),"Democratic Republic of the Congo",
ISNUMBER(SEARCH("DR Congo",S671)),"Democratic Republic of the Congo",
ISNUMBER(SEARCH("German DR",S671)),"DR Germany",
ISNUMBER(SEARCH("rn""&gt;United Arab Emirates",S671)),"United Arab Emirates",
ISNUMBER(SEARCH("rn""&gt;Republic of Ireland",S671)),"Ireland",
ISNUMBER(SEARCH("rn""&gt;Bosnia and Herzegovina",S671)),"Bosnia and Herzegovina",
ISNUMBER(SEARCH("rn""&gt;Trinidad and Tobago",S671)),"Trinidad and Tobago",
ISNUMBER(SEARCH("rn""&gt;Serbia and Montenegro",S671)),"Serbia and Montenegro",
ISNUMBER(SEARCH(_xlfn.UNICHAR(65533),S671)),"Côte d'Ivoire",
TRUE,""
)</f>
        <v/>
      </c>
      <c r="W671" s="30" t="str">
        <f t="shared" si="62"/>
        <v>Denmark</v>
      </c>
      <c r="Z671" s="40" t="str">
        <v>Oita Stadium Big Eye</v>
      </c>
      <c r="AA671" s="40" t="str" cm="1">
        <f t="array" ref="AA671">IFERROR(_xlfn.XLOOKUP(Z671,_xlfn.ANCHORARRAY(Z$31),AA$31:AA$37),Z671)</f>
        <v>Oita Stadium Big Eye</v>
      </c>
      <c r="AB671" s="42" t="str">
        <v xml:space="preserve">Oita </v>
      </c>
      <c r="AC671" s="89" t="str">
        <f t="shared" si="58"/>
        <v xml:space="preserve">Oita </v>
      </c>
      <c r="AE671" s="42">
        <v>2002</v>
      </c>
      <c r="AK671" s="42">
        <v>2</v>
      </c>
      <c r="AL671" s="42">
        <v>1</v>
      </c>
      <c r="AW671" s="89" t="str">
        <v>GROUP_STAGE</v>
      </c>
      <c r="BE671" s="43" t="str">
        <f>IF(OR(DATA_CLEANED!AL662="",DATA_CLEANED!AM662=""),"MANQUANT",IF(OR(NOT(ISNUMBER(DATA_CLEANED!AL662)),NOT(ISNUMBER(DATA_CLEANED!AM662))),"ENTREE INVALIDE",IF(OR(DATA_CLEANED!AL662&lt;0,DATA_CLEANED!AM662&lt;0),"SCORE NEGATIF","OK")))</f>
        <v>OK</v>
      </c>
      <c r="BF671" s="43" t="str">
        <f>IF(DATA_CLEANED!AK662&lt;&gt;DATA_CLEANED!AN662,"OK","ERREUR")</f>
        <v>OK</v>
      </c>
      <c r="BG671" s="43" t="str">
        <f>IF(DATA_CLEANED!AL662&gt;DATA_CLEANED!AM662,DATA_CLEANED!AK662,IF(AND(DATA_QUALITE!W5148="-",DATA_CLEANED!AM662=DATA_CLEANED!AL662),"MATCH NUL",IF(AND(DATA_QUALITE!V5148="-",DATA_QUALITE!U5148="AUCUNE"),DATA_QUALITE!T5148,IF(DATA_QUALITE!V5148&lt;&gt;"-",DATA_QUALITE!V5148,DATA_CLEANED!AN662))))</f>
        <v>MATCH NUL</v>
      </c>
      <c r="BH671" s="103" t="str">
        <f>IF(AND(BG671="MATCH NUL",DATA_CLEANED!AO662="-"),"MATCH_NUL",IF(ISNUMBER(SEARCH("win on penalties",W5148)),"WIN_BY_PENALTY",IF(ISNUMBER(SEARCH("win after extra time",W5148)),"WIN_BY_EXTRA_TIME",IF(ISNUMBER(SEARCH("Golden Goal",W5148)),"WIN_BY_GOLDEN_GOAL","WIN_BY_SCORE"))))</f>
        <v>MATCH_NUL</v>
      </c>
      <c r="BI671" s="99" t="str">
        <f>IF(OR(BG671=DATA_CLEANED!AK662,BG671=DATA_CLEANED!AN662,BG671="MATCH NUL"),"OK","ERREUR")</f>
        <v>OK</v>
      </c>
    </row>
    <row r="672" spans="2:61">
      <c r="B672" s="75">
        <v>235</v>
      </c>
      <c r="C672" s="15" t="str">
        <v>Johny Placide</v>
      </c>
      <c r="D672" s="15">
        <v>38</v>
      </c>
      <c r="E672" s="15" t="str">
        <v>Haiti</v>
      </c>
      <c r="F672" s="15" t="str">
        <v>GK</v>
      </c>
      <c r="G672" s="15" t="str">
        <v>Bastia</v>
      </c>
      <c r="H672" s="15">
        <v>1</v>
      </c>
      <c r="I672" s="15" t="str">
        <f t="shared" si="59"/>
        <v>235|Johny Placide|38|Haiti|GK|Bastia|1</v>
      </c>
      <c r="J672" s="15" t="str">
        <f>IF(COUNTIF(I$438:I672,I672)&gt;1,"DOUBLON","OK")</f>
        <v>OK</v>
      </c>
      <c r="S672" s="30" t="str">
        <v>Russia</v>
      </c>
      <c r="T672" s="30" t="str">
        <f t="shared" si="60"/>
        <v>OK</v>
      </c>
      <c r="U672" s="30" t="str">
        <f t="shared" si="61"/>
        <v>-</v>
      </c>
      <c r="V672" s="30" t="str" cm="1">
        <f t="array" ref="V672">_xlfn.IFS(
ISNUMBER(SEARCH("USA",S672)),"United States",
ISNUMBER(SEARCH("Republic of Korea",S672)),"South Korea",
ISNUMBER(SEARCH("Cape Verde",S672)),"Cabo Verde",
ISNUMBER(SEARCH("Czechia",S672)),"Czech Republic",
ISNUMBER(SEARCH("Türkiye",S672)),"Turkey",
ISNUMBER(SEARCH("Ivory Coast",S672)),"Côte d'Ivoire",
ISNUMBER(SEARCH("Korea Republic",S672)),"South Korea",
ISNUMBER(SEARCH("Germany FR",S672)),"FR Germany",
ISNUMBER(SEARCH("West Germany",S672)),"FR Germany",
ISNUMBER(SEARCH("Germany DR",S672)),"DR Germany",
ISNUMBER(SEARCH("Korea DPR",S672)),"North Korea",
ISNUMBER(SEARCH("China PR",S672)),"China",
ISNUMBER(SEARCH("IR Iran",S672)),"Iran",
ISNUMBER(SEARCH("Congo DR",S672)),"Democratic Republic of the Congo",
ISNUMBER(SEARCH("DR Congo",S672)),"Democratic Republic of the Congo",
ISNUMBER(SEARCH("German DR",S672)),"DR Germany",
ISNUMBER(SEARCH("rn""&gt;United Arab Emirates",S672)),"United Arab Emirates",
ISNUMBER(SEARCH("rn""&gt;Republic of Ireland",S672)),"Ireland",
ISNUMBER(SEARCH("rn""&gt;Bosnia and Herzegovina",S672)),"Bosnia and Herzegovina",
ISNUMBER(SEARCH("rn""&gt;Trinidad and Tobago",S672)),"Trinidad and Tobago",
ISNUMBER(SEARCH("rn""&gt;Serbia and Montenegro",S672)),"Serbia and Montenegro",
ISNUMBER(SEARCH(_xlfn.UNICHAR(65533),S672)),"Côte d'Ivoire",
TRUE,""
)</f>
        <v/>
      </c>
      <c r="W672" s="30" t="str">
        <f t="shared" si="62"/>
        <v>Russia</v>
      </c>
      <c r="Z672" s="40" t="str">
        <v>Kobe Wing Stadium</v>
      </c>
      <c r="AA672" s="40" t="str" cm="1">
        <f t="array" ref="AA672">IFERROR(_xlfn.XLOOKUP(Z672,_xlfn.ANCHORARRAY(Z$31),AA$31:AA$37),Z672)</f>
        <v>Kobe Wing Stadium</v>
      </c>
      <c r="AB672" s="42" t="str">
        <v xml:space="preserve">Kobe </v>
      </c>
      <c r="AC672" s="89" t="str">
        <f t="shared" si="58"/>
        <v xml:space="preserve">Kobe </v>
      </c>
      <c r="AE672" s="42">
        <v>2002</v>
      </c>
      <c r="AK672" s="42">
        <v>2</v>
      </c>
      <c r="AL672" s="42">
        <v>0</v>
      </c>
      <c r="AW672" s="89" t="str">
        <v>GROUP_STAGE</v>
      </c>
      <c r="BE672" s="43" t="str">
        <f>IF(OR(DATA_CLEANED!AL663="",DATA_CLEANED!AM663=""),"MANQUANT",IF(OR(NOT(ISNUMBER(DATA_CLEANED!AL663)),NOT(ISNUMBER(DATA_CLEANED!AM663))),"ENTREE INVALIDE",IF(OR(DATA_CLEANED!AL663&lt;0,DATA_CLEANED!AM663&lt;0),"SCORE NEGATIF","OK")))</f>
        <v>OK</v>
      </c>
      <c r="BF672" s="43" t="str">
        <f>IF(DATA_CLEANED!AK663&lt;&gt;DATA_CLEANED!AN663,"OK","ERREUR")</f>
        <v>OK</v>
      </c>
      <c r="BG672" s="43" t="str">
        <f>IF(DATA_CLEANED!AL663&gt;DATA_CLEANED!AM663,DATA_CLEANED!AK663,IF(AND(DATA_QUALITE!W5149="-",DATA_CLEANED!AM663=DATA_CLEANED!AL663),"MATCH NUL",IF(AND(DATA_QUALITE!V5149="-",DATA_QUALITE!U5149="AUCUNE"),DATA_QUALITE!T5149,IF(DATA_QUALITE!V5149&lt;&gt;"-",DATA_QUALITE!V5149,DATA_CLEANED!AN663))))</f>
        <v>Germany</v>
      </c>
      <c r="BH672" s="103" t="str">
        <f>IF(AND(BG672="MATCH NUL",DATA_CLEANED!AO663="-"),"MATCH_NUL",IF(ISNUMBER(SEARCH("win on penalties",W5149)),"WIN_BY_PENALTY",IF(ISNUMBER(SEARCH("win after extra time",W5149)),"WIN_BY_EXTRA_TIME",IF(ISNUMBER(SEARCH("Golden Goal",W5149)),"WIN_BY_GOLDEN_GOAL","WIN_BY_SCORE"))))</f>
        <v>WIN_BY_SCORE</v>
      </c>
      <c r="BI672" s="99" t="str">
        <f>IF(OR(BG672=DATA_CLEANED!AK663,BG672=DATA_CLEANED!AN663,BG672="MATCH NUL"),"OK","ERREUR")</f>
        <v>OK</v>
      </c>
    </row>
    <row r="673" spans="2:61">
      <c r="B673" s="75">
        <v>236</v>
      </c>
      <c r="C673" s="15" t="str">
        <v>Alexandre Pierre</v>
      </c>
      <c r="D673" s="15">
        <v>25</v>
      </c>
      <c r="E673" s="15" t="str">
        <v>Haiti</v>
      </c>
      <c r="F673" s="15" t="str">
        <v>GK</v>
      </c>
      <c r="G673" s="15" t="str">
        <v>Sochaux</v>
      </c>
      <c r="H673" s="15">
        <v>12</v>
      </c>
      <c r="I673" s="15" t="str">
        <f t="shared" si="59"/>
        <v>236|Alexandre Pierre|25|Haiti|GK|Sochaux|12</v>
      </c>
      <c r="J673" s="15" t="str">
        <f>IF(COUNTIF(I$438:I673,I673)&gt;1,"DOUBLON","OK")</f>
        <v>OK</v>
      </c>
      <c r="S673" s="30" t="str">
        <v>Russia</v>
      </c>
      <c r="T673" s="30" t="str">
        <f t="shared" si="60"/>
        <v>OK</v>
      </c>
      <c r="U673" s="30" t="str">
        <f t="shared" si="61"/>
        <v>-</v>
      </c>
      <c r="V673" s="30" t="str" cm="1">
        <f t="array" ref="V673">_xlfn.IFS(
ISNUMBER(SEARCH("USA",S673)),"United States",
ISNUMBER(SEARCH("Republic of Korea",S673)),"South Korea",
ISNUMBER(SEARCH("Cape Verde",S673)),"Cabo Verde",
ISNUMBER(SEARCH("Czechia",S673)),"Czech Republic",
ISNUMBER(SEARCH("Türkiye",S673)),"Turkey",
ISNUMBER(SEARCH("Ivory Coast",S673)),"Côte d'Ivoire",
ISNUMBER(SEARCH("Korea Republic",S673)),"South Korea",
ISNUMBER(SEARCH("Germany FR",S673)),"FR Germany",
ISNUMBER(SEARCH("West Germany",S673)),"FR Germany",
ISNUMBER(SEARCH("Germany DR",S673)),"DR Germany",
ISNUMBER(SEARCH("Korea DPR",S673)),"North Korea",
ISNUMBER(SEARCH("China PR",S673)),"China",
ISNUMBER(SEARCH("IR Iran",S673)),"Iran",
ISNUMBER(SEARCH("Congo DR",S673)),"Democratic Republic of the Congo",
ISNUMBER(SEARCH("DR Congo",S673)),"Democratic Republic of the Congo",
ISNUMBER(SEARCH("German DR",S673)),"DR Germany",
ISNUMBER(SEARCH("rn""&gt;United Arab Emirates",S673)),"United Arab Emirates",
ISNUMBER(SEARCH("rn""&gt;Republic of Ireland",S673)),"Ireland",
ISNUMBER(SEARCH("rn""&gt;Bosnia and Herzegovina",S673)),"Bosnia and Herzegovina",
ISNUMBER(SEARCH("rn""&gt;Trinidad and Tobago",S673)),"Trinidad and Tobago",
ISNUMBER(SEARCH("rn""&gt;Serbia and Montenegro",S673)),"Serbia and Montenegro",
ISNUMBER(SEARCH(_xlfn.UNICHAR(65533),S673)),"Côte d'Ivoire",
TRUE,""
)</f>
        <v/>
      </c>
      <c r="W673" s="30" t="str">
        <f t="shared" si="62"/>
        <v>Russia</v>
      </c>
      <c r="Z673" s="40" t="str">
        <v>Jeonju World Cup Stadium</v>
      </c>
      <c r="AA673" s="40" t="str" cm="1">
        <f t="array" ref="AA673">IFERROR(_xlfn.XLOOKUP(Z673,_xlfn.ANCHORARRAY(Z$31),AA$31:AA$37),Z673)</f>
        <v>Jeonju World Cup Stadium</v>
      </c>
      <c r="AB673" s="42" t="str">
        <v xml:space="preserve">Jeonju </v>
      </c>
      <c r="AC673" s="89" t="str">
        <f t="shared" si="58"/>
        <v xml:space="preserve">Jeonju </v>
      </c>
      <c r="AE673" s="42">
        <v>2002</v>
      </c>
      <c r="AK673" s="42">
        <v>0</v>
      </c>
      <c r="AL673" s="42">
        <v>1</v>
      </c>
      <c r="AW673" s="89" t="str">
        <v>GROUP_STAGE</v>
      </c>
      <c r="BE673" s="43" t="str">
        <f>IF(OR(DATA_CLEANED!AL664="",DATA_CLEANED!AM664=""),"MANQUANT",IF(OR(NOT(ISNUMBER(DATA_CLEANED!AL664)),NOT(ISNUMBER(DATA_CLEANED!AM664))),"ENTREE INVALIDE",IF(OR(DATA_CLEANED!AL664&lt;0,DATA_CLEANED!AM664&lt;0),"SCORE NEGATIF","OK")))</f>
        <v>OK</v>
      </c>
      <c r="BF673" s="43" t="str">
        <f>IF(DATA_CLEANED!AK664&lt;&gt;DATA_CLEANED!AN664,"OK","ERREUR")</f>
        <v>OK</v>
      </c>
      <c r="BG673" s="43" t="str">
        <f>IF(DATA_CLEANED!AL664&gt;DATA_CLEANED!AM664,DATA_CLEANED!AK664,IF(AND(DATA_QUALITE!W5150="-",DATA_CLEANED!AM664=DATA_CLEANED!AL664),"MATCH NUL",IF(AND(DATA_QUALITE!V5150="-",DATA_QUALITE!U5150="AUCUNE"),DATA_QUALITE!T5150,IF(DATA_QUALITE!V5150&lt;&gt;"-",DATA_QUALITE!V5150,DATA_CLEANED!AN664))))</f>
        <v>Ecuador</v>
      </c>
      <c r="BH673" s="103" t="str">
        <f>IF(AND(BG673="MATCH NUL",DATA_CLEANED!AO664="-"),"MATCH_NUL",IF(ISNUMBER(SEARCH("win on penalties",W5150)),"WIN_BY_PENALTY",IF(ISNUMBER(SEARCH("win after extra time",W5150)),"WIN_BY_EXTRA_TIME",IF(ISNUMBER(SEARCH("Golden Goal",W5150)),"WIN_BY_GOLDEN_GOAL","WIN_BY_SCORE"))))</f>
        <v>WIN_BY_SCORE</v>
      </c>
      <c r="BI673" s="99" t="str">
        <f>IF(OR(BG673=DATA_CLEANED!AK664,BG673=DATA_CLEANED!AN664,BG673="MATCH NUL"),"OK","ERREUR")</f>
        <v>OK</v>
      </c>
    </row>
    <row r="674" spans="2:61">
      <c r="B674" s="75">
        <v>237</v>
      </c>
      <c r="C674" s="15" t="str">
        <v>Josué Duverger</v>
      </c>
      <c r="D674" s="15">
        <v>26</v>
      </c>
      <c r="E674" s="15" t="str">
        <v>Haiti</v>
      </c>
      <c r="F674" s="15" t="str">
        <v>GK</v>
      </c>
      <c r="G674" s="15" t="str">
        <v>Cosmos Koblenz</v>
      </c>
      <c r="H674" s="15">
        <v>23</v>
      </c>
      <c r="I674" s="15" t="str">
        <f t="shared" si="59"/>
        <v>237|Josué Duverger|26|Haiti|GK|Cosmos Koblenz|23</v>
      </c>
      <c r="J674" s="15" t="str">
        <f>IF(COUNTIF(I$438:I674,I674)&gt;1,"DOUBLON","OK")</f>
        <v>OK</v>
      </c>
      <c r="S674" s="30" t="str">
        <v>Russia</v>
      </c>
      <c r="T674" s="30" t="str">
        <f t="shared" si="60"/>
        <v>OK</v>
      </c>
      <c r="U674" s="30" t="str">
        <f t="shared" si="61"/>
        <v>-</v>
      </c>
      <c r="V674" s="30" t="str" cm="1">
        <f t="array" ref="V674">_xlfn.IFS(
ISNUMBER(SEARCH("USA",S674)),"United States",
ISNUMBER(SEARCH("Republic of Korea",S674)),"South Korea",
ISNUMBER(SEARCH("Cape Verde",S674)),"Cabo Verde",
ISNUMBER(SEARCH("Czechia",S674)),"Czech Republic",
ISNUMBER(SEARCH("Türkiye",S674)),"Turkey",
ISNUMBER(SEARCH("Ivory Coast",S674)),"Côte d'Ivoire",
ISNUMBER(SEARCH("Korea Republic",S674)),"South Korea",
ISNUMBER(SEARCH("Germany FR",S674)),"FR Germany",
ISNUMBER(SEARCH("West Germany",S674)),"FR Germany",
ISNUMBER(SEARCH("Germany DR",S674)),"DR Germany",
ISNUMBER(SEARCH("Korea DPR",S674)),"North Korea",
ISNUMBER(SEARCH("China PR",S674)),"China",
ISNUMBER(SEARCH("IR Iran",S674)),"Iran",
ISNUMBER(SEARCH("Congo DR",S674)),"Democratic Republic of the Congo",
ISNUMBER(SEARCH("DR Congo",S674)),"Democratic Republic of the Congo",
ISNUMBER(SEARCH("German DR",S674)),"DR Germany",
ISNUMBER(SEARCH("rn""&gt;United Arab Emirates",S674)),"United Arab Emirates",
ISNUMBER(SEARCH("rn""&gt;Republic of Ireland",S674)),"Ireland",
ISNUMBER(SEARCH("rn""&gt;Bosnia and Herzegovina",S674)),"Bosnia and Herzegovina",
ISNUMBER(SEARCH("rn""&gt;Trinidad and Tobago",S674)),"Trinidad and Tobago",
ISNUMBER(SEARCH("rn""&gt;Serbia and Montenegro",S674)),"Serbia and Montenegro",
ISNUMBER(SEARCH(_xlfn.UNICHAR(65533),S674)),"Côte d'Ivoire",
TRUE,""
)</f>
        <v/>
      </c>
      <c r="W674" s="30" t="str">
        <f t="shared" si="62"/>
        <v>Russia</v>
      </c>
      <c r="Z674" s="40" t="str">
        <v>Miyagi Stadium</v>
      </c>
      <c r="AA674" s="40" t="str" cm="1">
        <f t="array" ref="AA674">IFERROR(_xlfn.XLOOKUP(Z674,_xlfn.ANCHORARRAY(Z$31),AA$31:AA$37),Z674)</f>
        <v>Miyagi Stadium</v>
      </c>
      <c r="AB674" s="42" t="str">
        <v xml:space="preserve">Rifu </v>
      </c>
      <c r="AC674" s="89" t="str">
        <f t="shared" si="58"/>
        <v xml:space="preserve">Rifu </v>
      </c>
      <c r="AE674" s="42">
        <v>2002</v>
      </c>
      <c r="AK674" s="42">
        <v>0</v>
      </c>
      <c r="AL674" s="42">
        <v>2</v>
      </c>
      <c r="AW674" s="89" t="str">
        <v>GROUP_STAGE</v>
      </c>
      <c r="BE674" s="43" t="str">
        <f>IF(OR(DATA_CLEANED!AL665="",DATA_CLEANED!AM665=""),"MANQUANT",IF(OR(NOT(ISNUMBER(DATA_CLEANED!AL665)),NOT(ISNUMBER(DATA_CLEANED!AM665))),"ENTREE INVALIDE",IF(OR(DATA_CLEANED!AL665&lt;0,DATA_CLEANED!AM665&lt;0),"SCORE NEGATIF","OK")))</f>
        <v>OK</v>
      </c>
      <c r="BF674" s="43" t="str">
        <f>IF(DATA_CLEANED!AK665&lt;&gt;DATA_CLEANED!AN665,"OK","ERREUR")</f>
        <v>OK</v>
      </c>
      <c r="BG674" s="43" t="str">
        <f>IF(DATA_CLEANED!AL665&gt;DATA_CLEANED!AM665,DATA_CLEANED!AK665,IF(AND(DATA_QUALITE!W5151="-",DATA_CLEANED!AM665=DATA_CLEANED!AL665),"MATCH NUL",IF(AND(DATA_QUALITE!V5151="-",DATA_QUALITE!U5151="AUCUNE"),DATA_QUALITE!T5151,IF(DATA_QUALITE!V5151&lt;&gt;"-",DATA_QUALITE!V5151,DATA_CLEANED!AN665))))</f>
        <v>England</v>
      </c>
      <c r="BH674" s="103" t="str">
        <f>IF(AND(BG674="MATCH NUL",DATA_CLEANED!AO665="-"),"MATCH_NUL",IF(ISNUMBER(SEARCH("win on penalties",W5151)),"WIN_BY_PENALTY",IF(ISNUMBER(SEARCH("win after extra time",W5151)),"WIN_BY_EXTRA_TIME",IF(ISNUMBER(SEARCH("Golden Goal",W5151)),"WIN_BY_GOLDEN_GOAL","WIN_BY_SCORE"))))</f>
        <v>WIN_BY_SCORE</v>
      </c>
      <c r="BI674" s="99" t="str">
        <f>IF(OR(BG674=DATA_CLEANED!AK665,BG674=DATA_CLEANED!AN665,BG674="MATCH NUL"),"OK","ERREUR")</f>
        <v>OK</v>
      </c>
    </row>
    <row r="675" spans="2:61">
      <c r="B675" s="75">
        <v>238</v>
      </c>
      <c r="C675" s="15" t="str">
        <v>Ricardo Adé</v>
      </c>
      <c r="D675" s="15">
        <v>36</v>
      </c>
      <c r="E675" s="15" t="str">
        <v>Haiti</v>
      </c>
      <c r="F675" s="15" t="str">
        <v>CB</v>
      </c>
      <c r="G675" s="15" t="str">
        <v>LDU Quito</v>
      </c>
      <c r="H675" s="15">
        <v>4</v>
      </c>
      <c r="I675" s="15" t="str">
        <f t="shared" si="59"/>
        <v>238|Ricardo Adé|36|Haiti|CB|LDU Quito|4</v>
      </c>
      <c r="J675" s="15" t="str">
        <f>IF(COUNTIF(I$438:I675,I675)&gt;1,"DOUBLON","OK")</f>
        <v>OK</v>
      </c>
      <c r="S675" s="30" t="str">
        <v>Russia</v>
      </c>
      <c r="T675" s="30" t="str">
        <f t="shared" si="60"/>
        <v>OK</v>
      </c>
      <c r="U675" s="30" t="str">
        <f t="shared" si="61"/>
        <v>-</v>
      </c>
      <c r="V675" s="30" t="str" cm="1">
        <f t="array" ref="V675">_xlfn.IFS(
ISNUMBER(SEARCH("USA",S675)),"United States",
ISNUMBER(SEARCH("Republic of Korea",S675)),"South Korea",
ISNUMBER(SEARCH("Cape Verde",S675)),"Cabo Verde",
ISNUMBER(SEARCH("Czechia",S675)),"Czech Republic",
ISNUMBER(SEARCH("Türkiye",S675)),"Turkey",
ISNUMBER(SEARCH("Ivory Coast",S675)),"Côte d'Ivoire",
ISNUMBER(SEARCH("Korea Republic",S675)),"South Korea",
ISNUMBER(SEARCH("Germany FR",S675)),"FR Germany",
ISNUMBER(SEARCH("West Germany",S675)),"FR Germany",
ISNUMBER(SEARCH("Germany DR",S675)),"DR Germany",
ISNUMBER(SEARCH("Korea DPR",S675)),"North Korea",
ISNUMBER(SEARCH("China PR",S675)),"China",
ISNUMBER(SEARCH("IR Iran",S675)),"Iran",
ISNUMBER(SEARCH("Congo DR",S675)),"Democratic Republic of the Congo",
ISNUMBER(SEARCH("DR Congo",S675)),"Democratic Republic of the Congo",
ISNUMBER(SEARCH("German DR",S675)),"DR Germany",
ISNUMBER(SEARCH("rn""&gt;United Arab Emirates",S675)),"United Arab Emirates",
ISNUMBER(SEARCH("rn""&gt;Republic of Ireland",S675)),"Ireland",
ISNUMBER(SEARCH("rn""&gt;Bosnia and Herzegovina",S675)),"Bosnia and Herzegovina",
ISNUMBER(SEARCH("rn""&gt;Trinidad and Tobago",S675)),"Trinidad and Tobago",
ISNUMBER(SEARCH("rn""&gt;Serbia and Montenegro",S675)),"Serbia and Montenegro",
ISNUMBER(SEARCH(_xlfn.UNICHAR(65533),S675)),"Côte d'Ivoire",
TRUE,""
)</f>
        <v/>
      </c>
      <c r="W675" s="30" t="str">
        <f t="shared" si="62"/>
        <v>Russia</v>
      </c>
      <c r="Z675" s="40" t="str">
        <v>Daejeon World Cup Stadium</v>
      </c>
      <c r="AA675" s="40" t="str" cm="1">
        <f t="array" ref="AA675">IFERROR(_xlfn.XLOOKUP(Z675,_xlfn.ANCHORARRAY(Z$31),AA$31:AA$37),Z675)</f>
        <v>Daejeon World Cup Stadium</v>
      </c>
      <c r="AB675" s="42" t="str">
        <v xml:space="preserve">Daejeon </v>
      </c>
      <c r="AC675" s="89" t="str">
        <f t="shared" si="58"/>
        <v xml:space="preserve">Daejeon </v>
      </c>
      <c r="AE675" s="42">
        <v>2002</v>
      </c>
      <c r="AK675" s="42">
        <v>2</v>
      </c>
      <c r="AL675" s="42">
        <v>2</v>
      </c>
      <c r="AW675" s="89" t="str">
        <v>GROUP_STAGE</v>
      </c>
      <c r="BE675" s="43" t="str">
        <f>IF(OR(DATA_CLEANED!AL666="",DATA_CLEANED!AM666=""),"MANQUANT",IF(OR(NOT(ISNUMBER(DATA_CLEANED!AL666)),NOT(ISNUMBER(DATA_CLEANED!AM666))),"ENTREE INVALIDE",IF(OR(DATA_CLEANED!AL666&lt;0,DATA_CLEANED!AM666&lt;0),"SCORE NEGATIF","OK")))</f>
        <v>OK</v>
      </c>
      <c r="BF675" s="43" t="str">
        <f>IF(DATA_CLEANED!AK666&lt;&gt;DATA_CLEANED!AN666,"OK","ERREUR")</f>
        <v>OK</v>
      </c>
      <c r="BG675" s="43" t="str">
        <f>IF(DATA_CLEANED!AL666&gt;DATA_CLEANED!AM666,DATA_CLEANED!AK666,IF(AND(DATA_QUALITE!W5152="-",DATA_CLEANED!AM666=DATA_CLEANED!AL666),"MATCH NUL",IF(AND(DATA_QUALITE!V5152="-",DATA_QUALITE!U5152="AUCUNE"),DATA_QUALITE!T5152,IF(DATA_QUALITE!V5152&lt;&gt;"-",DATA_QUALITE!V5152,DATA_CLEANED!AN666))))</f>
        <v>Sweden</v>
      </c>
      <c r="BH675" s="103" t="str">
        <f>IF(AND(BG675="MATCH NUL",DATA_CLEANED!AO666="-"),"MATCH_NUL",IF(ISNUMBER(SEARCH("win on penalties",W5152)),"WIN_BY_PENALTY",IF(ISNUMBER(SEARCH("win after extra time",W5152)),"WIN_BY_EXTRA_TIME",IF(ISNUMBER(SEARCH("Golden Goal",W5152)),"WIN_BY_GOLDEN_GOAL","WIN_BY_SCORE"))))</f>
        <v>WIN_BY_SCORE</v>
      </c>
      <c r="BI675" s="99" t="str">
        <f>IF(OR(BG675=DATA_CLEANED!AK666,BG675=DATA_CLEANED!AN666,BG675="MATCH NUL"),"OK","ERREUR")</f>
        <v>OK</v>
      </c>
    </row>
    <row r="676" spans="2:61">
      <c r="B676" s="75">
        <v>239</v>
      </c>
      <c r="C676" s="15" t="str">
        <v>Hannes Delcroix</v>
      </c>
      <c r="D676" s="15">
        <v>27</v>
      </c>
      <c r="E676" s="15" t="str">
        <v>Haiti</v>
      </c>
      <c r="F676" s="15" t="str">
        <v>CB</v>
      </c>
      <c r="G676" s="15" t="str">
        <v>Lugano</v>
      </c>
      <c r="H676" s="15">
        <v>5</v>
      </c>
      <c r="I676" s="15" t="str">
        <f t="shared" si="59"/>
        <v>239|Hannes Delcroix|27|Haiti|CB|Lugano|5</v>
      </c>
      <c r="J676" s="15" t="str">
        <f>IF(COUNTIF(I$438:I676,I676)&gt;1,"DOUBLON","OK")</f>
        <v>OK</v>
      </c>
      <c r="S676" s="30" t="str">
        <v>Russia</v>
      </c>
      <c r="T676" s="30" t="str">
        <f t="shared" si="60"/>
        <v>OK</v>
      </c>
      <c r="U676" s="30" t="str">
        <f t="shared" si="61"/>
        <v>-</v>
      </c>
      <c r="V676" s="30" t="str" cm="1">
        <f t="array" ref="V676">_xlfn.IFS(
ISNUMBER(SEARCH("USA",S676)),"United States",
ISNUMBER(SEARCH("Republic of Korea",S676)),"South Korea",
ISNUMBER(SEARCH("Cape Verde",S676)),"Cabo Verde",
ISNUMBER(SEARCH("Czechia",S676)),"Czech Republic",
ISNUMBER(SEARCH("Türkiye",S676)),"Turkey",
ISNUMBER(SEARCH("Ivory Coast",S676)),"Côte d'Ivoire",
ISNUMBER(SEARCH("Korea Republic",S676)),"South Korea",
ISNUMBER(SEARCH("Germany FR",S676)),"FR Germany",
ISNUMBER(SEARCH("West Germany",S676)),"FR Germany",
ISNUMBER(SEARCH("Germany DR",S676)),"DR Germany",
ISNUMBER(SEARCH("Korea DPR",S676)),"North Korea",
ISNUMBER(SEARCH("China PR",S676)),"China",
ISNUMBER(SEARCH("IR Iran",S676)),"Iran",
ISNUMBER(SEARCH("Congo DR",S676)),"Democratic Republic of the Congo",
ISNUMBER(SEARCH("DR Congo",S676)),"Democratic Republic of the Congo",
ISNUMBER(SEARCH("German DR",S676)),"DR Germany",
ISNUMBER(SEARCH("rn""&gt;United Arab Emirates",S676)),"United Arab Emirates",
ISNUMBER(SEARCH("rn""&gt;Republic of Ireland",S676)),"Ireland",
ISNUMBER(SEARCH("rn""&gt;Bosnia and Herzegovina",S676)),"Bosnia and Herzegovina",
ISNUMBER(SEARCH("rn""&gt;Trinidad and Tobago",S676)),"Trinidad and Tobago",
ISNUMBER(SEARCH("rn""&gt;Serbia and Montenegro",S676)),"Serbia and Montenegro",
ISNUMBER(SEARCH(_xlfn.UNICHAR(65533),S676)),"Côte d'Ivoire",
TRUE,""
)</f>
        <v/>
      </c>
      <c r="W676" s="30" t="str">
        <f t="shared" si="62"/>
        <v>Russia</v>
      </c>
      <c r="Z676" s="40" t="str">
        <v>Shizuoka Stadium Ecopa</v>
      </c>
      <c r="AA676" s="40" t="str" cm="1">
        <f t="array" ref="AA676">IFERROR(_xlfn.XLOOKUP(Z676,_xlfn.ANCHORARRAY(Z$31),AA$31:AA$37),Z676)</f>
        <v>Shizuoka Stadium Ecopa</v>
      </c>
      <c r="AB676" s="42" t="str">
        <v xml:space="preserve">Shizuoka </v>
      </c>
      <c r="AC676" s="89" t="str">
        <f t="shared" si="58"/>
        <v xml:space="preserve">Shizuoka </v>
      </c>
      <c r="AE676" s="42">
        <v>2002</v>
      </c>
      <c r="AK676" s="42">
        <v>2</v>
      </c>
      <c r="AL676" s="42">
        <v>0</v>
      </c>
      <c r="AW676" s="89" t="str">
        <v>GROUP_STAGE</v>
      </c>
      <c r="BE676" s="43" t="str">
        <f>IF(OR(DATA_CLEANED!AL667="",DATA_CLEANED!AM667=""),"MANQUANT",IF(OR(NOT(ISNUMBER(DATA_CLEANED!AL667)),NOT(ISNUMBER(DATA_CLEANED!AM667))),"ENTREE INVALIDE",IF(OR(DATA_CLEANED!AL667&lt;0,DATA_CLEANED!AM667&lt;0),"SCORE NEGATIF","OK")))</f>
        <v>OK</v>
      </c>
      <c r="BF676" s="43" t="str">
        <f>IF(DATA_CLEANED!AK667&lt;&gt;DATA_CLEANED!AN667,"OK","ERREUR")</f>
        <v>OK</v>
      </c>
      <c r="BG676" s="43" t="str">
        <f>IF(DATA_CLEANED!AL667&gt;DATA_CLEANED!AM667,DATA_CLEANED!AK667,IF(AND(DATA_QUALITE!W5153="-",DATA_CLEANED!AM667=DATA_CLEANED!AL667),"MATCH NUL",IF(AND(DATA_QUALITE!V5153="-",DATA_QUALITE!U5153="AUCUNE"),DATA_QUALITE!T5153,IF(DATA_QUALITE!V5153&lt;&gt;"-",DATA_QUALITE!V5153,DATA_CLEANED!AN667))))</f>
        <v>Argentina</v>
      </c>
      <c r="BH676" s="103" t="str">
        <f>IF(AND(BG676="MATCH NUL",DATA_CLEANED!AO667="-"),"MATCH_NUL",IF(ISNUMBER(SEARCH("win on penalties",W5153)),"WIN_BY_PENALTY",IF(ISNUMBER(SEARCH("win after extra time",W5153)),"WIN_BY_EXTRA_TIME",IF(ISNUMBER(SEARCH("Golden Goal",W5153)),"WIN_BY_GOLDEN_GOAL","WIN_BY_SCORE"))))</f>
        <v>WIN_BY_SCORE</v>
      </c>
      <c r="BI676" s="99" t="str">
        <f>IF(OR(BG676=DATA_CLEANED!AK667,BG676=DATA_CLEANED!AN667,BG676="MATCH NUL"),"OK","ERREUR")</f>
        <v>OK</v>
      </c>
    </row>
    <row r="677" spans="2:61">
      <c r="B677" s="75">
        <v>240</v>
      </c>
      <c r="C677" s="15" t="str">
        <v>Garven Metusala</v>
      </c>
      <c r="D677" s="15">
        <v>26</v>
      </c>
      <c r="E677" s="15" t="str">
        <v>Haiti</v>
      </c>
      <c r="F677" s="15" t="str">
        <v>CB</v>
      </c>
      <c r="G677" s="15" t="str">
        <v>Colorado Springs Switchbacks FC</v>
      </c>
      <c r="H677" s="15">
        <v>14</v>
      </c>
      <c r="I677" s="15" t="str">
        <f t="shared" si="59"/>
        <v>240|Garven Metusala|26|Haiti|CB|Colorado Springs Switchbacks FC|14</v>
      </c>
      <c r="J677" s="15" t="str">
        <f>IF(COUNTIF(I$438:I677,I677)&gt;1,"DOUBLON","OK")</f>
        <v>OK</v>
      </c>
      <c r="S677" s="30" t="str">
        <v>Russia</v>
      </c>
      <c r="T677" s="30" t="str">
        <f t="shared" si="60"/>
        <v>OK</v>
      </c>
      <c r="U677" s="30" t="str">
        <f t="shared" si="61"/>
        <v>-</v>
      </c>
      <c r="V677" s="30" t="str" cm="1">
        <f t="array" ref="V677">_xlfn.IFS(
ISNUMBER(SEARCH("USA",S677)),"United States",
ISNUMBER(SEARCH("Republic of Korea",S677)),"South Korea",
ISNUMBER(SEARCH("Cape Verde",S677)),"Cabo Verde",
ISNUMBER(SEARCH("Czechia",S677)),"Czech Republic",
ISNUMBER(SEARCH("Türkiye",S677)),"Turkey",
ISNUMBER(SEARCH("Ivory Coast",S677)),"Côte d'Ivoire",
ISNUMBER(SEARCH("Korea Republic",S677)),"South Korea",
ISNUMBER(SEARCH("Germany FR",S677)),"FR Germany",
ISNUMBER(SEARCH("West Germany",S677)),"FR Germany",
ISNUMBER(SEARCH("Germany DR",S677)),"DR Germany",
ISNUMBER(SEARCH("Korea DPR",S677)),"North Korea",
ISNUMBER(SEARCH("China PR",S677)),"China",
ISNUMBER(SEARCH("IR Iran",S677)),"Iran",
ISNUMBER(SEARCH("Congo DR",S677)),"Democratic Republic of the Congo",
ISNUMBER(SEARCH("DR Congo",S677)),"Democratic Republic of the Congo",
ISNUMBER(SEARCH("German DR",S677)),"DR Germany",
ISNUMBER(SEARCH("rn""&gt;United Arab Emirates",S677)),"United Arab Emirates",
ISNUMBER(SEARCH("rn""&gt;Republic of Ireland",S677)),"Ireland",
ISNUMBER(SEARCH("rn""&gt;Bosnia and Herzegovina",S677)),"Bosnia and Herzegovina",
ISNUMBER(SEARCH("rn""&gt;Trinidad and Tobago",S677)),"Trinidad and Tobago",
ISNUMBER(SEARCH("rn""&gt;Serbia and Montenegro",S677)),"Serbia and Montenegro",
ISNUMBER(SEARCH(_xlfn.UNICHAR(65533),S677)),"Côte d'Ivoire",
TRUE,""
)</f>
        <v/>
      </c>
      <c r="W677" s="30" t="str">
        <f t="shared" si="62"/>
        <v>Russia</v>
      </c>
      <c r="Z677" s="40" t="str">
        <v>Munsu Football Stadium</v>
      </c>
      <c r="AA677" s="40" t="str" cm="1">
        <f t="array" ref="AA677">IFERROR(_xlfn.XLOOKUP(Z677,_xlfn.ANCHORARRAY(Z$31),AA$31:AA$37),Z677)</f>
        <v>Munsu Football Stadium</v>
      </c>
      <c r="AB677" s="42" t="str">
        <v xml:space="preserve">Ulsan </v>
      </c>
      <c r="AC677" s="89" t="str">
        <f t="shared" si="58"/>
        <v xml:space="preserve">Ulsan </v>
      </c>
      <c r="AE677" s="42">
        <v>2002</v>
      </c>
      <c r="AK677" s="42">
        <v>2</v>
      </c>
      <c r="AL677" s="42">
        <v>0</v>
      </c>
      <c r="AW677" s="89" t="str">
        <v>GROUP_STAGE</v>
      </c>
      <c r="BE677" s="43" t="str">
        <f>IF(OR(DATA_CLEANED!AL668="",DATA_CLEANED!AM668=""),"MANQUANT",IF(OR(NOT(ISNUMBER(DATA_CLEANED!AL668)),NOT(ISNUMBER(DATA_CLEANED!AM668))),"ENTREE INVALIDE",IF(OR(DATA_CLEANED!AL668&lt;0,DATA_CLEANED!AM668&lt;0),"SCORE NEGATIF","OK")))</f>
        <v>OK</v>
      </c>
      <c r="BF677" s="43" t="str">
        <f>IF(DATA_CLEANED!AK668&lt;&gt;DATA_CLEANED!AN668,"OK","ERREUR")</f>
        <v>OK</v>
      </c>
      <c r="BG677" s="43" t="str">
        <f>IF(DATA_CLEANED!AL668&gt;DATA_CLEANED!AM668,DATA_CLEANED!AK668,IF(AND(DATA_QUALITE!W5154="-",DATA_CLEANED!AM668=DATA_CLEANED!AL668),"MATCH NUL",IF(AND(DATA_QUALITE!V5154="-",DATA_QUALITE!U5154="AUCUNE"),DATA_QUALITE!T5154,IF(DATA_QUALITE!V5154&lt;&gt;"-",DATA_QUALITE!V5154,DATA_CLEANED!AN668))))</f>
        <v>Netherlands</v>
      </c>
      <c r="BH677" s="103" t="str">
        <f>IF(AND(BG677="MATCH NUL",DATA_CLEANED!AO668="-"),"MATCH_NUL",IF(ISNUMBER(SEARCH("win on penalties",W5154)),"WIN_BY_PENALTY",IF(ISNUMBER(SEARCH("win after extra time",W5154)),"WIN_BY_EXTRA_TIME",IF(ISNUMBER(SEARCH("Golden Goal",W5154)),"WIN_BY_GOLDEN_GOAL","WIN_BY_SCORE"))))</f>
        <v>WIN_BY_SCORE</v>
      </c>
      <c r="BI677" s="99" t="str">
        <f>IF(OR(BG677=DATA_CLEANED!AK668,BG677=DATA_CLEANED!AN668,BG677="MATCH NUL"),"OK","ERREUR")</f>
        <v>OK</v>
      </c>
    </row>
    <row r="678" spans="2:61">
      <c r="B678" s="75">
        <v>241</v>
      </c>
      <c r="C678" s="15" t="str">
        <v>Jean-Kévin Duverne</v>
      </c>
      <c r="D678" s="15">
        <v>28</v>
      </c>
      <c r="E678" s="15" t="str">
        <v>Haiti</v>
      </c>
      <c r="F678" s="15" t="str">
        <v>CB</v>
      </c>
      <c r="G678" s="15" t="str">
        <v>Gent</v>
      </c>
      <c r="H678" s="15">
        <v>22</v>
      </c>
      <c r="I678" s="15" t="str">
        <f t="shared" si="59"/>
        <v>241|Jean-Kévin Duverne|28|Haiti|CB|Gent|22</v>
      </c>
      <c r="J678" s="15" t="str">
        <f>IF(COUNTIF(I$438:I678,I678)&gt;1,"DOUBLON","OK")</f>
        <v>OK</v>
      </c>
      <c r="S678" s="30" t="str">
        <v>Russia</v>
      </c>
      <c r="T678" s="30" t="str">
        <f t="shared" si="60"/>
        <v>OK</v>
      </c>
      <c r="U678" s="30" t="str">
        <f t="shared" si="61"/>
        <v>-</v>
      </c>
      <c r="V678" s="30" t="str" cm="1">
        <f t="array" ref="V678">_xlfn.IFS(
ISNUMBER(SEARCH("USA",S678)),"United States",
ISNUMBER(SEARCH("Republic of Korea",S678)),"South Korea",
ISNUMBER(SEARCH("Cape Verde",S678)),"Cabo Verde",
ISNUMBER(SEARCH("Czechia",S678)),"Czech Republic",
ISNUMBER(SEARCH("Türkiye",S678)),"Turkey",
ISNUMBER(SEARCH("Ivory Coast",S678)),"Côte d'Ivoire",
ISNUMBER(SEARCH("Korea Republic",S678)),"South Korea",
ISNUMBER(SEARCH("Germany FR",S678)),"FR Germany",
ISNUMBER(SEARCH("West Germany",S678)),"FR Germany",
ISNUMBER(SEARCH("Germany DR",S678)),"DR Germany",
ISNUMBER(SEARCH("Korea DPR",S678)),"North Korea",
ISNUMBER(SEARCH("China PR",S678)),"China",
ISNUMBER(SEARCH("IR Iran",S678)),"Iran",
ISNUMBER(SEARCH("Congo DR",S678)),"Democratic Republic of the Congo",
ISNUMBER(SEARCH("DR Congo",S678)),"Democratic Republic of the Congo",
ISNUMBER(SEARCH("German DR",S678)),"DR Germany",
ISNUMBER(SEARCH("rn""&gt;United Arab Emirates",S678)),"United Arab Emirates",
ISNUMBER(SEARCH("rn""&gt;Republic of Ireland",S678)),"Ireland",
ISNUMBER(SEARCH("rn""&gt;Bosnia and Herzegovina",S678)),"Bosnia and Herzegovina",
ISNUMBER(SEARCH("rn""&gt;Trinidad and Tobago",S678)),"Trinidad and Tobago",
ISNUMBER(SEARCH("rn""&gt;Serbia and Montenegro",S678)),"Serbia and Montenegro",
ISNUMBER(SEARCH(_xlfn.UNICHAR(65533),S678)),"Côte d'Ivoire",
TRUE,""
)</f>
        <v/>
      </c>
      <c r="W678" s="30" t="str">
        <f t="shared" si="62"/>
        <v>Russia</v>
      </c>
      <c r="Z678" s="40" t="str">
        <v>Osaka Nagai Stadium</v>
      </c>
      <c r="AA678" s="40" t="str" cm="1">
        <f t="array" ref="AA678">IFERROR(_xlfn.XLOOKUP(Z678,_xlfn.ANCHORARRAY(Z$31),AA$31:AA$37),Z678)</f>
        <v>Osaka Nagai Stadium</v>
      </c>
      <c r="AB678" s="42" t="str">
        <v xml:space="preserve">Osaka </v>
      </c>
      <c r="AC678" s="89" t="str">
        <f t="shared" si="58"/>
        <v xml:space="preserve">Osaka </v>
      </c>
      <c r="AE678" s="42">
        <v>2002</v>
      </c>
      <c r="AK678" s="42">
        <v>3</v>
      </c>
      <c r="AL678" s="42">
        <v>2</v>
      </c>
      <c r="AW678" s="89" t="str">
        <v>GROUP_STAGE</v>
      </c>
      <c r="BE678" s="43" t="str">
        <f>IF(OR(DATA_CLEANED!AL669="",DATA_CLEANED!AM669=""),"MANQUANT",IF(OR(NOT(ISNUMBER(DATA_CLEANED!AL669)),NOT(ISNUMBER(DATA_CLEANED!AM669))),"ENTREE INVALIDE",IF(OR(DATA_CLEANED!AL669&lt;0,DATA_CLEANED!AM669&lt;0),"SCORE NEGATIF","OK")))</f>
        <v>OK</v>
      </c>
      <c r="BF678" s="43" t="str">
        <f>IF(DATA_CLEANED!AK669&lt;&gt;DATA_CLEANED!AN669,"OK","ERREUR")</f>
        <v>OK</v>
      </c>
      <c r="BG678" s="43" t="str">
        <f>IF(DATA_CLEANED!AL669&gt;DATA_CLEANED!AM669,DATA_CLEANED!AK669,IF(AND(DATA_QUALITE!W5155="-",DATA_CLEANED!AM669=DATA_CLEANED!AL669),"MATCH NUL",IF(AND(DATA_QUALITE!V5155="-",DATA_QUALITE!U5155="AUCUNE"),DATA_QUALITE!T5155,IF(DATA_QUALITE!V5155&lt;&gt;"-",DATA_QUALITE!V5155,DATA_CLEANED!AN669))))</f>
        <v>MATCH NUL</v>
      </c>
      <c r="BH678" s="103" t="str">
        <f>IF(AND(BG678="MATCH NUL",DATA_CLEANED!AO669="-"),"MATCH_NUL",IF(ISNUMBER(SEARCH("win on penalties",W5155)),"WIN_BY_PENALTY",IF(ISNUMBER(SEARCH("win after extra time",W5155)),"WIN_BY_EXTRA_TIME",IF(ISNUMBER(SEARCH("Golden Goal",W5155)),"WIN_BY_GOLDEN_GOAL","WIN_BY_SCORE"))))</f>
        <v>MATCH_NUL</v>
      </c>
      <c r="BI678" s="99" t="str">
        <f>IF(OR(BG678=DATA_CLEANED!AK669,BG678=DATA_CLEANED!AN669,BG678="MATCH NUL"),"OK","ERREUR")</f>
        <v>OK</v>
      </c>
    </row>
    <row r="679" spans="2:61">
      <c r="B679" s="75">
        <v>242</v>
      </c>
      <c r="C679" s="15" t="str">
        <v>Wilguens Paugain</v>
      </c>
      <c r="D679" s="15">
        <v>24</v>
      </c>
      <c r="E679" s="15" t="str">
        <v>Haiti</v>
      </c>
      <c r="F679" s="15" t="str">
        <v>CB</v>
      </c>
      <c r="G679" s="15" t="str">
        <v>Zulte Waregem</v>
      </c>
      <c r="H679" s="15">
        <v>24</v>
      </c>
      <c r="I679" s="15" t="str">
        <f t="shared" si="59"/>
        <v>242|Wilguens Paugain|24|Haiti|CB|Zulte Waregem|24</v>
      </c>
      <c r="J679" s="15" t="str">
        <f>IF(COUNTIF(I$438:I679,I679)&gt;1,"DOUBLON","OK")</f>
        <v>OK</v>
      </c>
      <c r="S679" s="30" t="str">
        <v>Russia</v>
      </c>
      <c r="T679" s="30" t="str">
        <f t="shared" si="60"/>
        <v>OK</v>
      </c>
      <c r="U679" s="30" t="str">
        <f t="shared" si="61"/>
        <v>-</v>
      </c>
      <c r="V679" s="30" t="str" cm="1">
        <f t="array" ref="V679">_xlfn.IFS(
ISNUMBER(SEARCH("USA",S679)),"United States",
ISNUMBER(SEARCH("Republic of Korea",S679)),"South Korea",
ISNUMBER(SEARCH("Cape Verde",S679)),"Cabo Verde",
ISNUMBER(SEARCH("Czechia",S679)),"Czech Republic",
ISNUMBER(SEARCH("Türkiye",S679)),"Turkey",
ISNUMBER(SEARCH("Ivory Coast",S679)),"Côte d'Ivoire",
ISNUMBER(SEARCH("Korea Republic",S679)),"South Korea",
ISNUMBER(SEARCH("Germany FR",S679)),"FR Germany",
ISNUMBER(SEARCH("West Germany",S679)),"FR Germany",
ISNUMBER(SEARCH("Germany DR",S679)),"DR Germany",
ISNUMBER(SEARCH("Korea DPR",S679)),"North Korea",
ISNUMBER(SEARCH("China PR",S679)),"China",
ISNUMBER(SEARCH("IR Iran",S679)),"Iran",
ISNUMBER(SEARCH("Congo DR",S679)),"Democratic Republic of the Congo",
ISNUMBER(SEARCH("DR Congo",S679)),"Democratic Republic of the Congo",
ISNUMBER(SEARCH("German DR",S679)),"DR Germany",
ISNUMBER(SEARCH("rn""&gt;United Arab Emirates",S679)),"United Arab Emirates",
ISNUMBER(SEARCH("rn""&gt;Republic of Ireland",S679)),"Ireland",
ISNUMBER(SEARCH("rn""&gt;Bosnia and Herzegovina",S679)),"Bosnia and Herzegovina",
ISNUMBER(SEARCH("rn""&gt;Trinidad and Tobago",S679)),"Trinidad and Tobago",
ISNUMBER(SEARCH("rn""&gt;Serbia and Montenegro",S679)),"Serbia and Montenegro",
ISNUMBER(SEARCH(_xlfn.UNICHAR(65533),S679)),"Côte d'Ivoire",
TRUE,""
)</f>
        <v/>
      </c>
      <c r="W679" s="30" t="str">
        <f t="shared" si="62"/>
        <v>Russia</v>
      </c>
      <c r="Z679" s="40" t="str">
        <v>Gwangju World Cup Stadium</v>
      </c>
      <c r="AA679" s="40" t="str" cm="1">
        <f t="array" ref="AA679">IFERROR(_xlfn.XLOOKUP(Z679,_xlfn.ANCHORARRAY(Z$31),AA$31:AA$37),Z679)</f>
        <v>Gwangju World Cup Stadium</v>
      </c>
      <c r="AB679" s="42" t="str">
        <v xml:space="preserve">Gwangju </v>
      </c>
      <c r="AC679" s="89" t="str">
        <f t="shared" si="58"/>
        <v xml:space="preserve">Gwangju </v>
      </c>
      <c r="AE679" s="42">
        <v>2002</v>
      </c>
      <c r="AK679" s="42">
        <v>1</v>
      </c>
      <c r="AL679" s="42">
        <v>1</v>
      </c>
      <c r="AW679" s="89" t="str">
        <v>GROUP_STAGE</v>
      </c>
      <c r="BE679" s="43" t="str">
        <f>IF(OR(DATA_CLEANED!AL670="",DATA_CLEANED!AM670=""),"MANQUANT",IF(OR(NOT(ISNUMBER(DATA_CLEANED!AL670)),NOT(ISNUMBER(DATA_CLEANED!AM670))),"ENTREE INVALIDE",IF(OR(DATA_CLEANED!AL670&lt;0,DATA_CLEANED!AM670&lt;0),"SCORE NEGATIF","OK")))</f>
        <v>OK</v>
      </c>
      <c r="BF679" s="43" t="str">
        <f>IF(DATA_CLEANED!AK670&lt;&gt;DATA_CLEANED!AN670,"OK","ERREUR")</f>
        <v>OK</v>
      </c>
      <c r="BG679" s="43" t="str">
        <f>IF(DATA_CLEANED!AL670&gt;DATA_CLEANED!AM670,DATA_CLEANED!AK670,IF(AND(DATA_QUALITE!W5156="-",DATA_CLEANED!AM670=DATA_CLEANED!AL670),"MATCH NUL",IF(AND(DATA_QUALITE!V5156="-",DATA_QUALITE!U5156="AUCUNE"),DATA_QUALITE!T5156,IF(DATA_QUALITE!V5156&lt;&gt;"-",DATA_QUALITE!V5156,DATA_CLEANED!AN670))))</f>
        <v>Portugal</v>
      </c>
      <c r="BH679" s="103" t="str">
        <f>IF(AND(BG679="MATCH NUL",DATA_CLEANED!AO670="-"),"MATCH_NUL",IF(ISNUMBER(SEARCH("win on penalties",W5156)),"WIN_BY_PENALTY",IF(ISNUMBER(SEARCH("win after extra time",W5156)),"WIN_BY_EXTRA_TIME",IF(ISNUMBER(SEARCH("Golden Goal",W5156)),"WIN_BY_GOLDEN_GOAL","WIN_BY_SCORE"))))</f>
        <v>WIN_BY_SCORE</v>
      </c>
      <c r="BI679" s="99" t="str">
        <f>IF(OR(BG679=DATA_CLEANED!AK670,BG679=DATA_CLEANED!AN670,BG679="MATCH NUL"),"OK","ERREUR")</f>
        <v>OK</v>
      </c>
    </row>
    <row r="680" spans="2:61">
      <c r="B680" s="75">
        <v>243</v>
      </c>
      <c r="C680" s="15" t="str">
        <v>Martin Expérience</v>
      </c>
      <c r="D680" s="15">
        <v>27</v>
      </c>
      <c r="E680" s="15" t="str">
        <v>Haiti</v>
      </c>
      <c r="F680" s="15" t="str">
        <v>LB</v>
      </c>
      <c r="G680" s="15" t="str">
        <v>Nancy</v>
      </c>
      <c r="H680" s="15">
        <v>8</v>
      </c>
      <c r="I680" s="15" t="str">
        <f t="shared" si="59"/>
        <v>243|Martin Expérience|27|Haiti|LB|Nancy|8</v>
      </c>
      <c r="J680" s="15" t="str">
        <f>IF(COUNTIF(I$438:I680,I680)&gt;1,"DOUBLON","OK")</f>
        <v>OK</v>
      </c>
      <c r="S680" s="30" t="str">
        <v>Croatia</v>
      </c>
      <c r="T680" s="30" t="str">
        <f t="shared" si="60"/>
        <v>OK</v>
      </c>
      <c r="U680" s="30" t="str">
        <f t="shared" si="61"/>
        <v>-</v>
      </c>
      <c r="V680" s="30" t="str" cm="1">
        <f t="array" ref="V680">_xlfn.IFS(
ISNUMBER(SEARCH("USA",S680)),"United States",
ISNUMBER(SEARCH("Republic of Korea",S680)),"South Korea",
ISNUMBER(SEARCH("Cape Verde",S680)),"Cabo Verde",
ISNUMBER(SEARCH("Czechia",S680)),"Czech Republic",
ISNUMBER(SEARCH("Türkiye",S680)),"Turkey",
ISNUMBER(SEARCH("Ivory Coast",S680)),"Côte d'Ivoire",
ISNUMBER(SEARCH("Korea Republic",S680)),"South Korea",
ISNUMBER(SEARCH("Germany FR",S680)),"FR Germany",
ISNUMBER(SEARCH("West Germany",S680)),"FR Germany",
ISNUMBER(SEARCH("Germany DR",S680)),"DR Germany",
ISNUMBER(SEARCH("Korea DPR",S680)),"North Korea",
ISNUMBER(SEARCH("China PR",S680)),"China",
ISNUMBER(SEARCH("IR Iran",S680)),"Iran",
ISNUMBER(SEARCH("Congo DR",S680)),"Democratic Republic of the Congo",
ISNUMBER(SEARCH("DR Congo",S680)),"Democratic Republic of the Congo",
ISNUMBER(SEARCH("German DR",S680)),"DR Germany",
ISNUMBER(SEARCH("rn""&gt;United Arab Emirates",S680)),"United Arab Emirates",
ISNUMBER(SEARCH("rn""&gt;Republic of Ireland",S680)),"Ireland",
ISNUMBER(SEARCH("rn""&gt;Bosnia and Herzegovina",S680)),"Bosnia and Herzegovina",
ISNUMBER(SEARCH("rn""&gt;Trinidad and Tobago",S680)),"Trinidad and Tobago",
ISNUMBER(SEARCH("rn""&gt;Serbia and Montenegro",S680)),"Serbia and Montenegro",
ISNUMBER(SEARCH(_xlfn.UNICHAR(65533),S680)),"Côte d'Ivoire",
TRUE,""
)</f>
        <v/>
      </c>
      <c r="W680" s="30" t="str">
        <f t="shared" si="62"/>
        <v>Croatia</v>
      </c>
      <c r="Z680" s="40" t="str">
        <v>Seoul World Cup Stadium</v>
      </c>
      <c r="AA680" s="40" t="str" cm="1">
        <f t="array" ref="AA680">IFERROR(_xlfn.XLOOKUP(Z680,_xlfn.ANCHORARRAY(Z$31),AA$31:AA$37),Z680)</f>
        <v>Seoul World Cup Stadium</v>
      </c>
      <c r="AB680" s="42" t="str">
        <v xml:space="preserve">Seoul </v>
      </c>
      <c r="AC680" s="89" t="str">
        <f t="shared" si="58"/>
        <v xml:space="preserve">Seoul </v>
      </c>
      <c r="AE680" s="42">
        <v>2002</v>
      </c>
      <c r="AK680" s="42">
        <v>1</v>
      </c>
      <c r="AL680" s="42">
        <v>1</v>
      </c>
      <c r="AW680" s="89" t="str">
        <v>GROUP_STAGE</v>
      </c>
      <c r="BE680" s="43" t="str">
        <f>IF(OR(DATA_CLEANED!AL671="",DATA_CLEANED!AM671=""),"MANQUANT",IF(OR(NOT(ISNUMBER(DATA_CLEANED!AL671)),NOT(ISNUMBER(DATA_CLEANED!AM671))),"ENTREE INVALIDE",IF(OR(DATA_CLEANED!AL671&lt;0,DATA_CLEANED!AM671&lt;0),"SCORE NEGATIF","OK")))</f>
        <v>OK</v>
      </c>
      <c r="BF680" s="43" t="str">
        <f>IF(DATA_CLEANED!AK671&lt;&gt;DATA_CLEANED!AN671,"OK","ERREUR")</f>
        <v>OK</v>
      </c>
      <c r="BG680" s="43" t="str">
        <f>IF(DATA_CLEANED!AL671&gt;DATA_CLEANED!AM671,DATA_CLEANED!AK671,IF(AND(DATA_QUALITE!W5157="-",DATA_CLEANED!AM671=DATA_CLEANED!AL671),"MATCH NUL",IF(AND(DATA_QUALITE!V5157="-",DATA_QUALITE!U5157="AUCUNE"),DATA_QUALITE!T5157,IF(DATA_QUALITE!V5157&lt;&gt;"-",DATA_QUALITE!V5157,DATA_CLEANED!AN671))))</f>
        <v>Ghana</v>
      </c>
      <c r="BH680" s="103" t="str">
        <f>IF(AND(BG680="MATCH NUL",DATA_CLEANED!AO671="-"),"MATCH_NUL",IF(ISNUMBER(SEARCH("win on penalties",W5157)),"WIN_BY_PENALTY",IF(ISNUMBER(SEARCH("win after extra time",W5157)),"WIN_BY_EXTRA_TIME",IF(ISNUMBER(SEARCH("Golden Goal",W5157)),"WIN_BY_GOLDEN_GOAL","WIN_BY_SCORE"))))</f>
        <v>WIN_BY_SCORE</v>
      </c>
      <c r="BI680" s="99" t="str">
        <f>IF(OR(BG680=DATA_CLEANED!AK671,BG680=DATA_CLEANED!AN671,BG680="MATCH NUL"),"OK","ERREUR")</f>
        <v>OK</v>
      </c>
    </row>
    <row r="681" spans="2:61">
      <c r="B681" s="75">
        <v>244</v>
      </c>
      <c r="C681" s="15" t="str">
        <v>Duke Lacroix</v>
      </c>
      <c r="D681" s="15">
        <v>32</v>
      </c>
      <c r="E681" s="15" t="str">
        <v>Haiti</v>
      </c>
      <c r="F681" s="15" t="str">
        <v>LB</v>
      </c>
      <c r="G681" s="15" t="str">
        <v>Colorado Springs Switchbacks FC</v>
      </c>
      <c r="H681" s="15">
        <v>13</v>
      </c>
      <c r="I681" s="15" t="str">
        <f t="shared" si="59"/>
        <v>244|Duke Lacroix|32|Haiti|LB|Colorado Springs Switchbacks FC|13</v>
      </c>
      <c r="J681" s="15" t="str">
        <f>IF(COUNTIF(I$438:I681,I681)&gt;1,"DOUBLON","OK")</f>
        <v>OK</v>
      </c>
      <c r="S681" s="30" t="str">
        <v>Croatia</v>
      </c>
      <c r="T681" s="30" t="str">
        <f t="shared" si="60"/>
        <v>OK</v>
      </c>
      <c r="U681" s="30" t="str">
        <f t="shared" si="61"/>
        <v>-</v>
      </c>
      <c r="V681" s="30" t="str" cm="1">
        <f t="array" ref="V681">_xlfn.IFS(
ISNUMBER(SEARCH("USA",S681)),"United States",
ISNUMBER(SEARCH("Republic of Korea",S681)),"South Korea",
ISNUMBER(SEARCH("Cape Verde",S681)),"Cabo Verde",
ISNUMBER(SEARCH("Czechia",S681)),"Czech Republic",
ISNUMBER(SEARCH("Türkiye",S681)),"Turkey",
ISNUMBER(SEARCH("Ivory Coast",S681)),"Côte d'Ivoire",
ISNUMBER(SEARCH("Korea Republic",S681)),"South Korea",
ISNUMBER(SEARCH("Germany FR",S681)),"FR Germany",
ISNUMBER(SEARCH("West Germany",S681)),"FR Germany",
ISNUMBER(SEARCH("Germany DR",S681)),"DR Germany",
ISNUMBER(SEARCH("Korea DPR",S681)),"North Korea",
ISNUMBER(SEARCH("China PR",S681)),"China",
ISNUMBER(SEARCH("IR Iran",S681)),"Iran",
ISNUMBER(SEARCH("Congo DR",S681)),"Democratic Republic of the Congo",
ISNUMBER(SEARCH("DR Congo",S681)),"Democratic Republic of the Congo",
ISNUMBER(SEARCH("German DR",S681)),"DR Germany",
ISNUMBER(SEARCH("rn""&gt;United Arab Emirates",S681)),"United Arab Emirates",
ISNUMBER(SEARCH("rn""&gt;Republic of Ireland",S681)),"Ireland",
ISNUMBER(SEARCH("rn""&gt;Bosnia and Herzegovina",S681)),"Bosnia and Herzegovina",
ISNUMBER(SEARCH("rn""&gt;Trinidad and Tobago",S681)),"Trinidad and Tobago",
ISNUMBER(SEARCH("rn""&gt;Serbia and Montenegro",S681)),"Serbia and Montenegro",
ISNUMBER(SEARCH(_xlfn.UNICHAR(65533),S681)),"Côte d'Ivoire",
TRUE,""
)</f>
        <v/>
      </c>
      <c r="W681" s="30" t="str">
        <f t="shared" si="62"/>
        <v>Croatia</v>
      </c>
      <c r="Z681" s="40" t="str">
        <v>Saitama Stadium 2002</v>
      </c>
      <c r="AA681" s="40" t="str" cm="1">
        <f t="array" ref="AA681">IFERROR(_xlfn.XLOOKUP(Z681,_xlfn.ANCHORARRAY(Z$31),AA$31:AA$37),Z681)</f>
        <v>Saitama Stadium 2002</v>
      </c>
      <c r="AB681" s="42" t="str">
        <v xml:space="preserve">Saitama </v>
      </c>
      <c r="AC681" s="89" t="str">
        <f t="shared" ref="AC681:AC744" si="63">_xlfn.SINGLE(IFERROR(_xlfn.XLOOKUP(AB681,AB$31:AB$34,AC$31:AC$34),AB681))</f>
        <v xml:space="preserve">Saitama </v>
      </c>
      <c r="AE681" s="42">
        <v>2002</v>
      </c>
      <c r="AK681" s="42">
        <v>1</v>
      </c>
      <c r="AL681" s="42">
        <v>0</v>
      </c>
      <c r="AW681" s="89" t="str">
        <v>GROUP_STAGE</v>
      </c>
      <c r="BE681" s="43" t="str">
        <f>IF(OR(DATA_CLEANED!AL672="",DATA_CLEANED!AM672=""),"MANQUANT",IF(OR(NOT(ISNUMBER(DATA_CLEANED!AL672)),NOT(ISNUMBER(DATA_CLEANED!AM672))),"ENTREE INVALIDE",IF(OR(DATA_CLEANED!AL672&lt;0,DATA_CLEANED!AM672&lt;0),"SCORE NEGATIF","OK")))</f>
        <v>OK</v>
      </c>
      <c r="BF681" s="43" t="str">
        <f>IF(DATA_CLEANED!AK672&lt;&gt;DATA_CLEANED!AN672,"OK","ERREUR")</f>
        <v>OK</v>
      </c>
      <c r="BG681" s="43" t="str">
        <f>IF(DATA_CLEANED!AL672&gt;DATA_CLEANED!AM672,DATA_CLEANED!AK672,IF(AND(DATA_QUALITE!W5158="-",DATA_CLEANED!AM672=DATA_CLEANED!AL672),"MATCH NUL",IF(AND(DATA_QUALITE!V5158="-",DATA_QUALITE!U5158="AUCUNE"),DATA_QUALITE!T5158,IF(DATA_QUALITE!V5158&lt;&gt;"-",DATA_QUALITE!V5158,DATA_CLEANED!AN672))))</f>
        <v>MATCH NUL</v>
      </c>
      <c r="BH681" s="103" t="str">
        <f>IF(AND(BG681="MATCH NUL",DATA_CLEANED!AO672="-"),"MATCH_NUL",IF(ISNUMBER(SEARCH("win on penalties",W5158)),"WIN_BY_PENALTY",IF(ISNUMBER(SEARCH("win after extra time",W5158)),"WIN_BY_EXTRA_TIME",IF(ISNUMBER(SEARCH("Golden Goal",W5158)),"WIN_BY_GOLDEN_GOAL","WIN_BY_SCORE"))))</f>
        <v>MATCH_NUL</v>
      </c>
      <c r="BI681" s="99" t="str">
        <f>IF(OR(BG681=DATA_CLEANED!AK672,BG681=DATA_CLEANED!AN672,BG681="MATCH NUL"),"OK","ERREUR")</f>
        <v>OK</v>
      </c>
    </row>
    <row r="682" spans="2:61">
      <c r="B682" s="75">
        <v>245</v>
      </c>
      <c r="C682" s="15" t="str">
        <v>Carlens Arcus</v>
      </c>
      <c r="D682" s="15">
        <v>29</v>
      </c>
      <c r="E682" s="15" t="str">
        <v>Haiti</v>
      </c>
      <c r="F682" s="15" t="str">
        <v>RB</v>
      </c>
      <c r="G682" s="15" t="str">
        <v>Angers</v>
      </c>
      <c r="H682" s="15">
        <v>2</v>
      </c>
      <c r="I682" s="15" t="str">
        <f t="shared" si="59"/>
        <v>245|Carlens Arcus|29|Haiti|RB|Angers|2</v>
      </c>
      <c r="J682" s="15" t="str">
        <f>IF(COUNTIF(I$438:I682,I682)&gt;1,"DOUBLON","OK")</f>
        <v>OK</v>
      </c>
      <c r="S682" s="30" t="str">
        <v>Croatia</v>
      </c>
      <c r="T682" s="30" t="str">
        <f t="shared" si="60"/>
        <v>OK</v>
      </c>
      <c r="U682" s="30" t="str">
        <f t="shared" si="61"/>
        <v>-</v>
      </c>
      <c r="V682" s="30" t="str" cm="1">
        <f t="array" ref="V682">_xlfn.IFS(
ISNUMBER(SEARCH("USA",S682)),"United States",
ISNUMBER(SEARCH("Republic of Korea",S682)),"South Korea",
ISNUMBER(SEARCH("Cape Verde",S682)),"Cabo Verde",
ISNUMBER(SEARCH("Czechia",S682)),"Czech Republic",
ISNUMBER(SEARCH("Türkiye",S682)),"Turkey",
ISNUMBER(SEARCH("Ivory Coast",S682)),"Côte d'Ivoire",
ISNUMBER(SEARCH("Korea Republic",S682)),"South Korea",
ISNUMBER(SEARCH("Germany FR",S682)),"FR Germany",
ISNUMBER(SEARCH("West Germany",S682)),"FR Germany",
ISNUMBER(SEARCH("Germany DR",S682)),"DR Germany",
ISNUMBER(SEARCH("Korea DPR",S682)),"North Korea",
ISNUMBER(SEARCH("China PR",S682)),"China",
ISNUMBER(SEARCH("IR Iran",S682)),"Iran",
ISNUMBER(SEARCH("Congo DR",S682)),"Democratic Republic of the Congo",
ISNUMBER(SEARCH("DR Congo",S682)),"Democratic Republic of the Congo",
ISNUMBER(SEARCH("German DR",S682)),"DR Germany",
ISNUMBER(SEARCH("rn""&gt;United Arab Emirates",S682)),"United Arab Emirates",
ISNUMBER(SEARCH("rn""&gt;Republic of Ireland",S682)),"Ireland",
ISNUMBER(SEARCH("rn""&gt;Bosnia and Herzegovina",S682)),"Bosnia and Herzegovina",
ISNUMBER(SEARCH("rn""&gt;Trinidad and Tobago",S682)),"Trinidad and Tobago",
ISNUMBER(SEARCH("rn""&gt;Serbia and Montenegro",S682)),"Serbia and Montenegro",
ISNUMBER(SEARCH(_xlfn.UNICHAR(65533),S682)),"Côte d'Ivoire",
TRUE,""
)</f>
        <v/>
      </c>
      <c r="W682" s="30" t="str">
        <f t="shared" si="62"/>
        <v>Croatia</v>
      </c>
      <c r="Z682" s="40" t="str">
        <v>Daegu World Cup Stadium</v>
      </c>
      <c r="AA682" s="40" t="str" cm="1">
        <f t="array" ref="AA682">IFERROR(_xlfn.XLOOKUP(Z682,_xlfn.ANCHORARRAY(Z$31),AA$31:AA$37),Z682)</f>
        <v>Daegu World Cup Stadium</v>
      </c>
      <c r="AB682" s="42" t="str">
        <v xml:space="preserve">Daegu </v>
      </c>
      <c r="AC682" s="89" t="str">
        <f t="shared" si="63"/>
        <v xml:space="preserve">Daegu </v>
      </c>
      <c r="AE682" s="42">
        <v>2002</v>
      </c>
      <c r="AK682" s="42">
        <v>0</v>
      </c>
      <c r="AL682" s="42">
        <v>0</v>
      </c>
      <c r="AW682" s="89" t="str">
        <v>GROUP_STAGE</v>
      </c>
      <c r="BE682" s="43" t="str">
        <f>IF(OR(DATA_CLEANED!AL673="",DATA_CLEANED!AM673=""),"MANQUANT",IF(OR(NOT(ISNUMBER(DATA_CLEANED!AL673)),NOT(ISNUMBER(DATA_CLEANED!AM673))),"ENTREE INVALIDE",IF(OR(DATA_CLEANED!AL673&lt;0,DATA_CLEANED!AM673&lt;0),"SCORE NEGATIF","OK")))</f>
        <v>OK</v>
      </c>
      <c r="BF682" s="43" t="str">
        <f>IF(DATA_CLEANED!AK673&lt;&gt;DATA_CLEANED!AN673,"OK","ERREUR")</f>
        <v>OK</v>
      </c>
      <c r="BG682" s="43" t="str">
        <f>IF(DATA_CLEANED!AL673&gt;DATA_CLEANED!AM673,DATA_CLEANED!AK673,IF(AND(DATA_QUALITE!W5159="-",DATA_CLEANED!AM673=DATA_CLEANED!AL673),"MATCH NUL",IF(AND(DATA_QUALITE!V5159="-",DATA_QUALITE!U5159="AUCUNE"),DATA_QUALITE!T5159,IF(DATA_QUALITE!V5159&lt;&gt;"-",DATA_QUALITE!V5159,DATA_CLEANED!AN673))))</f>
        <v>MATCH NUL</v>
      </c>
      <c r="BH682" s="103" t="str">
        <f>IF(AND(BG682="MATCH NUL",DATA_CLEANED!AO673="-"),"MATCH_NUL",IF(ISNUMBER(SEARCH("win on penalties",W5159)),"WIN_BY_PENALTY",IF(ISNUMBER(SEARCH("win after extra time",W5159)),"WIN_BY_EXTRA_TIME",IF(ISNUMBER(SEARCH("Golden Goal",W5159)),"WIN_BY_GOLDEN_GOAL","WIN_BY_SCORE"))))</f>
        <v>MATCH_NUL</v>
      </c>
      <c r="BI682" s="99" t="str">
        <f>IF(OR(BG682=DATA_CLEANED!AK673,BG682=DATA_CLEANED!AN673,BG682="MATCH NUL"),"OK","ERREUR")</f>
        <v>OK</v>
      </c>
    </row>
    <row r="683" spans="2:61">
      <c r="B683" s="75">
        <v>246</v>
      </c>
      <c r="C683" s="15" t="str">
        <v>Keeto Thermoncy</v>
      </c>
      <c r="D683" s="15">
        <v>20</v>
      </c>
      <c r="E683" s="15" t="str">
        <v>Haiti</v>
      </c>
      <c r="F683" s="15" t="str">
        <v>RB</v>
      </c>
      <c r="G683" s="15" t="str">
        <v>Young Boys</v>
      </c>
      <c r="H683" s="15">
        <v>3</v>
      </c>
      <c r="I683" s="15" t="str">
        <f t="shared" si="59"/>
        <v>246|Keeto Thermoncy|20|Haiti|RB|Young Boys|3</v>
      </c>
      <c r="J683" s="15" t="str">
        <f>IF(COUNTIF(I$438:I683,I683)&gt;1,"DOUBLON","OK")</f>
        <v>OK</v>
      </c>
      <c r="S683" s="30" t="str">
        <v>Croatia</v>
      </c>
      <c r="T683" s="30" t="str">
        <f t="shared" si="60"/>
        <v>OK</v>
      </c>
      <c r="U683" s="30" t="str">
        <f t="shared" si="61"/>
        <v>-</v>
      </c>
      <c r="V683" s="30" t="str" cm="1">
        <f t="array" ref="V683">_xlfn.IFS(
ISNUMBER(SEARCH("USA",S683)),"United States",
ISNUMBER(SEARCH("Republic of Korea",S683)),"South Korea",
ISNUMBER(SEARCH("Cape Verde",S683)),"Cabo Verde",
ISNUMBER(SEARCH("Czechia",S683)),"Czech Republic",
ISNUMBER(SEARCH("Türkiye",S683)),"Turkey",
ISNUMBER(SEARCH("Ivory Coast",S683)),"Côte d'Ivoire",
ISNUMBER(SEARCH("Korea Republic",S683)),"South Korea",
ISNUMBER(SEARCH("Germany FR",S683)),"FR Germany",
ISNUMBER(SEARCH("West Germany",S683)),"FR Germany",
ISNUMBER(SEARCH("Germany DR",S683)),"DR Germany",
ISNUMBER(SEARCH("Korea DPR",S683)),"North Korea",
ISNUMBER(SEARCH("China PR",S683)),"China",
ISNUMBER(SEARCH("IR Iran",S683)),"Iran",
ISNUMBER(SEARCH("Congo DR",S683)),"Democratic Republic of the Congo",
ISNUMBER(SEARCH("DR Congo",S683)),"Democratic Republic of the Congo",
ISNUMBER(SEARCH("German DR",S683)),"DR Germany",
ISNUMBER(SEARCH("rn""&gt;United Arab Emirates",S683)),"United Arab Emirates",
ISNUMBER(SEARCH("rn""&gt;Republic of Ireland",S683)),"Ireland",
ISNUMBER(SEARCH("rn""&gt;Bosnia and Herzegovina",S683)),"Bosnia and Herzegovina",
ISNUMBER(SEARCH("rn""&gt;Trinidad and Tobago",S683)),"Trinidad and Tobago",
ISNUMBER(SEARCH("rn""&gt;Serbia and Montenegro",S683)),"Serbia and Montenegro",
ISNUMBER(SEARCH(_xlfn.UNICHAR(65533),S683)),"Côte d'Ivoire",
TRUE,""
)</f>
        <v/>
      </c>
      <c r="W683" s="30" t="str">
        <f t="shared" si="62"/>
        <v>Croatia</v>
      </c>
      <c r="Z683" s="40" t="str">
        <v>International Stadium Yokohama</v>
      </c>
      <c r="AA683" s="40" t="str" cm="1">
        <f t="array" ref="AA683">IFERROR(_xlfn.XLOOKUP(Z683,_xlfn.ANCHORARRAY(Z$31),AA$31:AA$37),Z683)</f>
        <v>International Stadium Yokohama</v>
      </c>
      <c r="AB683" s="42" t="str">
        <v xml:space="preserve">Yokohama </v>
      </c>
      <c r="AC683" s="89" t="str">
        <f t="shared" si="63"/>
        <v xml:space="preserve">Yokohama </v>
      </c>
      <c r="AE683" s="42">
        <v>2002</v>
      </c>
      <c r="AK683" s="42">
        <v>2</v>
      </c>
      <c r="AL683" s="42">
        <v>1</v>
      </c>
      <c r="AW683" s="89" t="str">
        <v>GROUP_STAGE</v>
      </c>
      <c r="BE683" s="43" t="str">
        <f>IF(OR(DATA_CLEANED!AL674="",DATA_CLEANED!AM674=""),"MANQUANT",IF(OR(NOT(ISNUMBER(DATA_CLEANED!AL674)),NOT(ISNUMBER(DATA_CLEANED!AM674))),"ENTREE INVALIDE",IF(OR(DATA_CLEANED!AL674&lt;0,DATA_CLEANED!AM674&lt;0),"SCORE NEGATIF","OK")))</f>
        <v>OK</v>
      </c>
      <c r="BF683" s="43" t="str">
        <f>IF(DATA_CLEANED!AK674&lt;&gt;DATA_CLEANED!AN674,"OK","ERREUR")</f>
        <v>OK</v>
      </c>
      <c r="BG683" s="43" t="str">
        <f>IF(DATA_CLEANED!AL674&gt;DATA_CLEANED!AM674,DATA_CLEANED!AK674,IF(AND(DATA_QUALITE!W5160="-",DATA_CLEANED!AM674=DATA_CLEANED!AL674),"MATCH NUL",IF(AND(DATA_QUALITE!V5160="-",DATA_QUALITE!U5160="AUCUNE"),DATA_QUALITE!T5160,IF(DATA_QUALITE!V5160&lt;&gt;"-",DATA_QUALITE!V5160,DATA_CLEANED!AN674))))</f>
        <v>Brazil</v>
      </c>
      <c r="BH683" s="103" t="str">
        <f>IF(AND(BG683="MATCH NUL",DATA_CLEANED!AO674="-"),"MATCH_NUL",IF(ISNUMBER(SEARCH("win on penalties",W5160)),"WIN_BY_PENALTY",IF(ISNUMBER(SEARCH("win after extra time",W5160)),"WIN_BY_EXTRA_TIME",IF(ISNUMBER(SEARCH("Golden Goal",W5160)),"WIN_BY_GOLDEN_GOAL","WIN_BY_SCORE"))))</f>
        <v>WIN_BY_SCORE</v>
      </c>
      <c r="BI683" s="99" t="str">
        <f>IF(OR(BG683=DATA_CLEANED!AK674,BG683=DATA_CLEANED!AN674,BG683="MATCH NUL"),"OK","ERREUR")</f>
        <v>OK</v>
      </c>
    </row>
    <row r="684" spans="2:61">
      <c r="B684" s="75">
        <v>247</v>
      </c>
      <c r="C684" s="15" t="str">
        <v>Carl Sainté</v>
      </c>
      <c r="D684" s="15">
        <v>23</v>
      </c>
      <c r="E684" s="15" t="str">
        <v>Haiti</v>
      </c>
      <c r="F684" s="15" t="str">
        <v>CDM</v>
      </c>
      <c r="G684" s="15" t="str">
        <v>El Paso Locomotive FC</v>
      </c>
      <c r="H684" s="15">
        <v>6</v>
      </c>
      <c r="I684" s="15" t="str">
        <f t="shared" si="59"/>
        <v>247|Carl Sainté|23|Haiti|CDM|El Paso Locomotive FC|6</v>
      </c>
      <c r="J684" s="15" t="str">
        <f>IF(COUNTIF(I$438:I684,I684)&gt;1,"DOUBLON","OK")</f>
        <v>OK</v>
      </c>
      <c r="S684" s="30" t="str">
        <v>Croatia</v>
      </c>
      <c r="T684" s="30" t="str">
        <f t="shared" si="60"/>
        <v>OK</v>
      </c>
      <c r="U684" s="30" t="str">
        <f t="shared" si="61"/>
        <v>-</v>
      </c>
      <c r="V684" s="30" t="str" cm="1">
        <f t="array" ref="V684">_xlfn.IFS(
ISNUMBER(SEARCH("USA",S684)),"United States",
ISNUMBER(SEARCH("Republic of Korea",S684)),"South Korea",
ISNUMBER(SEARCH("Cape Verde",S684)),"Cabo Verde",
ISNUMBER(SEARCH("Czechia",S684)),"Czech Republic",
ISNUMBER(SEARCH("Türkiye",S684)),"Turkey",
ISNUMBER(SEARCH("Ivory Coast",S684)),"Côte d'Ivoire",
ISNUMBER(SEARCH("Korea Republic",S684)),"South Korea",
ISNUMBER(SEARCH("Germany FR",S684)),"FR Germany",
ISNUMBER(SEARCH("West Germany",S684)),"FR Germany",
ISNUMBER(SEARCH("Germany DR",S684)),"DR Germany",
ISNUMBER(SEARCH("Korea DPR",S684)),"North Korea",
ISNUMBER(SEARCH("China PR",S684)),"China",
ISNUMBER(SEARCH("IR Iran",S684)),"Iran",
ISNUMBER(SEARCH("Congo DR",S684)),"Democratic Republic of the Congo",
ISNUMBER(SEARCH("DR Congo",S684)),"Democratic Republic of the Congo",
ISNUMBER(SEARCH("German DR",S684)),"DR Germany",
ISNUMBER(SEARCH("rn""&gt;United Arab Emirates",S684)),"United Arab Emirates",
ISNUMBER(SEARCH("rn""&gt;Republic of Ireland",S684)),"Ireland",
ISNUMBER(SEARCH("rn""&gt;Bosnia and Herzegovina",S684)),"Bosnia and Herzegovina",
ISNUMBER(SEARCH("rn""&gt;Trinidad and Tobago",S684)),"Trinidad and Tobago",
ISNUMBER(SEARCH("rn""&gt;Serbia and Montenegro",S684)),"Serbia and Montenegro",
ISNUMBER(SEARCH(_xlfn.UNICHAR(65533),S684)),"Côte d'Ivoire",
TRUE,""
)</f>
        <v/>
      </c>
      <c r="W684" s="30" t="str">
        <f t="shared" si="62"/>
        <v>Croatia</v>
      </c>
      <c r="Z684" s="40" t="str">
        <v>FIFA World Cup Stadium, Munich</v>
      </c>
      <c r="AA684" s="40" t="str" cm="1">
        <f t="array" ref="AA684">IFERROR(_xlfn.XLOOKUP(Z684,_xlfn.ANCHORARRAY(Z$31),AA$31:AA$37),Z684)</f>
        <v>FIFA World Cup Stadium, Munich</v>
      </c>
      <c r="AB684" s="42" t="str">
        <v xml:space="preserve">Munich </v>
      </c>
      <c r="AC684" s="89" t="str">
        <f t="shared" si="63"/>
        <v xml:space="preserve">Munich </v>
      </c>
      <c r="AE684" s="42">
        <v>2002</v>
      </c>
      <c r="AK684" s="42">
        <v>0</v>
      </c>
      <c r="AL684" s="42">
        <v>1</v>
      </c>
      <c r="AW684" s="89" t="str">
        <v>GROUP_STAGE</v>
      </c>
      <c r="BE684" s="43" t="str">
        <f>IF(OR(DATA_CLEANED!AL675="",DATA_CLEANED!AM675=""),"MANQUANT",IF(OR(NOT(ISNUMBER(DATA_CLEANED!AL675)),NOT(ISNUMBER(DATA_CLEANED!AM675))),"ENTREE INVALIDE",IF(OR(DATA_CLEANED!AL675&lt;0,DATA_CLEANED!AM675&lt;0),"SCORE NEGATIF","OK")))</f>
        <v>OK</v>
      </c>
      <c r="BF684" s="43" t="str">
        <f>IF(DATA_CLEANED!AK675&lt;&gt;DATA_CLEANED!AN675,"OK","ERREUR")</f>
        <v>OK</v>
      </c>
      <c r="BG684" s="43" t="str">
        <f>IF(DATA_CLEANED!AL675&gt;DATA_CLEANED!AM675,DATA_CLEANED!AK675,IF(AND(DATA_QUALITE!W5161="-",DATA_CLEANED!AM675=DATA_CLEANED!AL675),"MATCH NUL",IF(AND(DATA_QUALITE!V5161="-",DATA_QUALITE!U5161="AUCUNE"),DATA_QUALITE!T5161,IF(DATA_QUALITE!V5161&lt;&gt;"-",DATA_QUALITE!V5161,DATA_CLEANED!AN675))))</f>
        <v>MATCH NUL</v>
      </c>
      <c r="BH684" s="103" t="str">
        <f>IF(AND(BG684="MATCH NUL",DATA_CLEANED!AO675="-"),"MATCH_NUL",IF(ISNUMBER(SEARCH("win on penalties",W5161)),"WIN_BY_PENALTY",IF(ISNUMBER(SEARCH("win after extra time",W5161)),"WIN_BY_EXTRA_TIME",IF(ISNUMBER(SEARCH("Golden Goal",W5161)),"WIN_BY_GOLDEN_GOAL","WIN_BY_SCORE"))))</f>
        <v>MATCH_NUL</v>
      </c>
      <c r="BI684" s="99" t="str">
        <f>IF(OR(BG684=DATA_CLEANED!AK675,BG684=DATA_CLEANED!AN675,BG684="MATCH NUL"),"OK","ERREUR")</f>
        <v>OK</v>
      </c>
    </row>
    <row r="685" spans="2:61">
      <c r="B685" s="75">
        <v>248</v>
      </c>
      <c r="C685" s="15" t="str">
        <v>Danley Jean Jacques</v>
      </c>
      <c r="D685" s="15">
        <v>26</v>
      </c>
      <c r="E685" s="15" t="str">
        <v>Haiti</v>
      </c>
      <c r="F685" s="15" t="str">
        <v>CDM</v>
      </c>
      <c r="G685" s="15" t="str">
        <v>Philadelphia Union</v>
      </c>
      <c r="H685" s="15">
        <v>17</v>
      </c>
      <c r="I685" s="15" t="str">
        <f t="shared" si="59"/>
        <v>248|Danley Jean Jacques|26|Haiti|CDM|Philadelphia Union|17</v>
      </c>
      <c r="J685" s="15" t="str">
        <f>IF(COUNTIF(I$438:I685,I685)&gt;1,"DOUBLON","OK")</f>
        <v>OK</v>
      </c>
      <c r="S685" s="30" t="str">
        <v>Croatia</v>
      </c>
      <c r="T685" s="30" t="str">
        <f t="shared" si="60"/>
        <v>OK</v>
      </c>
      <c r="U685" s="30" t="str">
        <f t="shared" si="61"/>
        <v>-</v>
      </c>
      <c r="V685" s="30" t="str" cm="1">
        <f t="array" ref="V685">_xlfn.IFS(
ISNUMBER(SEARCH("USA",S685)),"United States",
ISNUMBER(SEARCH("Republic of Korea",S685)),"South Korea",
ISNUMBER(SEARCH("Cape Verde",S685)),"Cabo Verde",
ISNUMBER(SEARCH("Czechia",S685)),"Czech Republic",
ISNUMBER(SEARCH("Türkiye",S685)),"Turkey",
ISNUMBER(SEARCH("Ivory Coast",S685)),"Côte d'Ivoire",
ISNUMBER(SEARCH("Korea Republic",S685)),"South Korea",
ISNUMBER(SEARCH("Germany FR",S685)),"FR Germany",
ISNUMBER(SEARCH("West Germany",S685)),"FR Germany",
ISNUMBER(SEARCH("Germany DR",S685)),"DR Germany",
ISNUMBER(SEARCH("Korea DPR",S685)),"North Korea",
ISNUMBER(SEARCH("China PR",S685)),"China",
ISNUMBER(SEARCH("IR Iran",S685)),"Iran",
ISNUMBER(SEARCH("Congo DR",S685)),"Democratic Republic of the Congo",
ISNUMBER(SEARCH("DR Congo",S685)),"Democratic Republic of the Congo",
ISNUMBER(SEARCH("German DR",S685)),"DR Germany",
ISNUMBER(SEARCH("rn""&gt;United Arab Emirates",S685)),"United Arab Emirates",
ISNUMBER(SEARCH("rn""&gt;Republic of Ireland",S685)),"Ireland",
ISNUMBER(SEARCH("rn""&gt;Bosnia and Herzegovina",S685)),"Bosnia and Herzegovina",
ISNUMBER(SEARCH("rn""&gt;Trinidad and Tobago",S685)),"Trinidad and Tobago",
ISNUMBER(SEARCH("rn""&gt;Serbia and Montenegro",S685)),"Serbia and Montenegro",
ISNUMBER(SEARCH(_xlfn.UNICHAR(65533),S685)),"Côte d'Ivoire",
TRUE,""
)</f>
        <v/>
      </c>
      <c r="W685" s="30" t="str">
        <f t="shared" si="62"/>
        <v>Croatia</v>
      </c>
      <c r="Z685" s="40" t="str">
        <v>FIFA World Cup Stadium, Gelsenkirchen</v>
      </c>
      <c r="AA685" s="40" t="str" cm="1">
        <f t="array" ref="AA685">IFERROR(_xlfn.XLOOKUP(Z685,_xlfn.ANCHORARRAY(Z$31),AA$31:AA$37),Z685)</f>
        <v>FIFA World Cup Stadium, Gelsenkirchen</v>
      </c>
      <c r="AB685" s="42" t="str">
        <v xml:space="preserve">Gelsenkirchen </v>
      </c>
      <c r="AC685" s="89" t="str">
        <f t="shared" si="63"/>
        <v xml:space="preserve">Gelsenkirchen </v>
      </c>
      <c r="AE685" s="42">
        <v>2002</v>
      </c>
      <c r="AK685" s="42">
        <v>3</v>
      </c>
      <c r="AL685" s="42">
        <v>1</v>
      </c>
      <c r="AW685" s="89" t="str">
        <v>GROUP_STAGE</v>
      </c>
      <c r="BE685" s="43" t="str">
        <f>IF(OR(DATA_CLEANED!AL676="",DATA_CLEANED!AM676=""),"MANQUANT",IF(OR(NOT(ISNUMBER(DATA_CLEANED!AL676)),NOT(ISNUMBER(DATA_CLEANED!AM676))),"ENTREE INVALIDE",IF(OR(DATA_CLEANED!AL676&lt;0,DATA_CLEANED!AM676&lt;0),"SCORE NEGATIF","OK")))</f>
        <v>OK</v>
      </c>
      <c r="BF685" s="43" t="str">
        <f>IF(DATA_CLEANED!AK676&lt;&gt;DATA_CLEANED!AN676,"OK","ERREUR")</f>
        <v>OK</v>
      </c>
      <c r="BG685" s="43" t="str">
        <f>IF(DATA_CLEANED!AL676&gt;DATA_CLEANED!AM676,DATA_CLEANED!AK676,IF(AND(DATA_QUALITE!W5162="-",DATA_CLEANED!AM676=DATA_CLEANED!AL676),"MATCH NUL",IF(AND(DATA_QUALITE!V5162="-",DATA_QUALITE!U5162="AUCUNE"),DATA_QUALITE!T5162,IF(DATA_QUALITE!V5162&lt;&gt;"-",DATA_QUALITE!V5162,DATA_CLEANED!AN676))))</f>
        <v>Switzerland</v>
      </c>
      <c r="BH685" s="103" t="str">
        <f>IF(AND(BG685="MATCH NUL",DATA_CLEANED!AO676="-"),"MATCH_NUL",IF(ISNUMBER(SEARCH("win on penalties",W5162)),"WIN_BY_PENALTY",IF(ISNUMBER(SEARCH("win after extra time",W5162)),"WIN_BY_EXTRA_TIME",IF(ISNUMBER(SEARCH("Golden Goal",W5162)),"WIN_BY_GOLDEN_GOAL","WIN_BY_SCORE"))))</f>
        <v>WIN_BY_SCORE</v>
      </c>
      <c r="BI685" s="99" t="str">
        <f>IF(OR(BG685=DATA_CLEANED!AK676,BG685=DATA_CLEANED!AN676,BG685="MATCH NUL"),"OK","ERREUR")</f>
        <v>OK</v>
      </c>
    </row>
    <row r="686" spans="2:61">
      <c r="B686" s="75">
        <v>249</v>
      </c>
      <c r="C686" s="15" t="str">
        <v>Dominique Simon</v>
      </c>
      <c r="D686" s="15">
        <v>25</v>
      </c>
      <c r="E686" s="15" t="str">
        <v>Haiti</v>
      </c>
      <c r="F686" s="15" t="str">
        <v>CM</v>
      </c>
      <c r="G686" s="15" t="str">
        <v>Tatran Prešov</v>
      </c>
      <c r="H686" s="15">
        <v>25</v>
      </c>
      <c r="I686" s="15" t="str">
        <f t="shared" si="59"/>
        <v>249|Dominique Simon|25|Haiti|CM|Tatran Prešov|25</v>
      </c>
      <c r="J686" s="15" t="str">
        <f>IF(COUNTIF(I$438:I686,I686)&gt;1,"DOUBLON","OK")</f>
        <v>OK</v>
      </c>
      <c r="S686" s="30" t="str">
        <v>Croatia</v>
      </c>
      <c r="T686" s="30" t="str">
        <f t="shared" si="60"/>
        <v>OK</v>
      </c>
      <c r="U686" s="30" t="str">
        <f t="shared" si="61"/>
        <v>-</v>
      </c>
      <c r="V686" s="30" t="str" cm="1">
        <f t="array" ref="V686">_xlfn.IFS(
ISNUMBER(SEARCH("USA",S686)),"United States",
ISNUMBER(SEARCH("Republic of Korea",S686)),"South Korea",
ISNUMBER(SEARCH("Cape Verde",S686)),"Cabo Verde",
ISNUMBER(SEARCH("Czechia",S686)),"Czech Republic",
ISNUMBER(SEARCH("Türkiye",S686)),"Turkey",
ISNUMBER(SEARCH("Ivory Coast",S686)),"Côte d'Ivoire",
ISNUMBER(SEARCH("Korea Republic",S686)),"South Korea",
ISNUMBER(SEARCH("Germany FR",S686)),"FR Germany",
ISNUMBER(SEARCH("West Germany",S686)),"FR Germany",
ISNUMBER(SEARCH("Germany DR",S686)),"DR Germany",
ISNUMBER(SEARCH("Korea DPR",S686)),"North Korea",
ISNUMBER(SEARCH("China PR",S686)),"China",
ISNUMBER(SEARCH("IR Iran",S686)),"Iran",
ISNUMBER(SEARCH("Congo DR",S686)),"Democratic Republic of the Congo",
ISNUMBER(SEARCH("DR Congo",S686)),"Democratic Republic of the Congo",
ISNUMBER(SEARCH("German DR",S686)),"DR Germany",
ISNUMBER(SEARCH("rn""&gt;United Arab Emirates",S686)),"United Arab Emirates",
ISNUMBER(SEARCH("rn""&gt;Republic of Ireland",S686)),"Ireland",
ISNUMBER(SEARCH("rn""&gt;Bosnia and Herzegovina",S686)),"Bosnia and Herzegovina",
ISNUMBER(SEARCH("rn""&gt;Trinidad and Tobago",S686)),"Trinidad and Tobago",
ISNUMBER(SEARCH("rn""&gt;Serbia and Montenegro",S686)),"Serbia and Montenegro",
ISNUMBER(SEARCH(_xlfn.UNICHAR(65533),S686)),"Côte d'Ivoire",
TRUE,""
)</f>
        <v/>
      </c>
      <c r="W686" s="30" t="str">
        <f t="shared" si="62"/>
        <v>Croatia</v>
      </c>
      <c r="Z686" s="40" t="str">
        <v>FIFA World Cup Stadium, Frankfurt</v>
      </c>
      <c r="AA686" s="40" t="str" cm="1">
        <f t="array" ref="AA686">IFERROR(_xlfn.XLOOKUP(Z686,_xlfn.ANCHORARRAY(Z$31),AA$31:AA$37),Z686)</f>
        <v>FIFA World Cup Stadium, Frankfurt</v>
      </c>
      <c r="AB686" s="42" t="str">
        <v xml:space="preserve">Frankfurt/Main </v>
      </c>
      <c r="AC686" s="89" t="str">
        <f t="shared" si="63"/>
        <v xml:space="preserve">Frankfurt/Main </v>
      </c>
      <c r="AE686" s="42">
        <v>2002</v>
      </c>
      <c r="AK686" s="42">
        <v>1</v>
      </c>
      <c r="AL686" s="42">
        <v>0</v>
      </c>
      <c r="AW686" s="89" t="str">
        <v>GROUP_STAGE</v>
      </c>
      <c r="BE686" s="43" t="str">
        <f>IF(OR(DATA_CLEANED!AL677="",DATA_CLEANED!AM677=""),"MANQUANT",IF(OR(NOT(ISNUMBER(DATA_CLEANED!AL677)),NOT(ISNUMBER(DATA_CLEANED!AM677))),"ENTREE INVALIDE",IF(OR(DATA_CLEANED!AL677&lt;0,DATA_CLEANED!AM677&lt;0),"SCORE NEGATIF","OK")))</f>
        <v>OK</v>
      </c>
      <c r="BF686" s="43" t="str">
        <f>IF(DATA_CLEANED!AK677&lt;&gt;DATA_CLEANED!AN677,"OK","ERREUR")</f>
        <v>OK</v>
      </c>
      <c r="BG686" s="43" t="str">
        <f>IF(DATA_CLEANED!AL677&gt;DATA_CLEANED!AM677,DATA_CLEANED!AK677,IF(AND(DATA_QUALITE!W5163="-",DATA_CLEANED!AM677=DATA_CLEANED!AL677),"MATCH NUL",IF(AND(DATA_QUALITE!V5163="-",DATA_QUALITE!U5163="AUCUNE"),DATA_QUALITE!T5163,IF(DATA_QUALITE!V5163&lt;&gt;"-",DATA_QUALITE!V5163,DATA_CLEANED!AN677))))</f>
        <v>Ukraine</v>
      </c>
      <c r="BH686" s="103" t="str">
        <f>IF(AND(BG686="MATCH NUL",DATA_CLEANED!AO677="-"),"MATCH_NUL",IF(ISNUMBER(SEARCH("win on penalties",W5163)),"WIN_BY_PENALTY",IF(ISNUMBER(SEARCH("win after extra time",W5163)),"WIN_BY_EXTRA_TIME",IF(ISNUMBER(SEARCH("Golden Goal",W5163)),"WIN_BY_GOLDEN_GOAL","WIN_BY_SCORE"))))</f>
        <v>WIN_BY_SCORE</v>
      </c>
      <c r="BI686" s="99" t="str">
        <f>IF(OR(BG686=DATA_CLEANED!AK677,BG686=DATA_CLEANED!AN677,BG686="MATCH NUL"),"OK","ERREUR")</f>
        <v>OK</v>
      </c>
    </row>
    <row r="687" spans="2:61">
      <c r="B687" s="75">
        <v>250</v>
      </c>
      <c r="C687" s="15" t="str">
        <v>Woodensky Pierre</v>
      </c>
      <c r="D687" s="15">
        <v>21</v>
      </c>
      <c r="E687" s="15" t="str">
        <v>Haiti</v>
      </c>
      <c r="F687" s="15" t="str">
        <v>CM</v>
      </c>
      <c r="G687" s="15" t="str">
        <v>Violette</v>
      </c>
      <c r="H687" s="15">
        <v>26</v>
      </c>
      <c r="I687" s="15" t="str">
        <f t="shared" si="59"/>
        <v>250|Woodensky Pierre|21|Haiti|CM|Violette|26</v>
      </c>
      <c r="J687" s="15" t="str">
        <f>IF(COUNTIF(I$438:I687,I687)&gt;1,"DOUBLON","OK")</f>
        <v>OK</v>
      </c>
      <c r="S687" s="30" t="str">
        <v>Croatia</v>
      </c>
      <c r="T687" s="30" t="str">
        <f t="shared" si="60"/>
        <v>OK</v>
      </c>
      <c r="U687" s="30" t="str">
        <f t="shared" si="61"/>
        <v>-</v>
      </c>
      <c r="V687" s="30" t="str" cm="1">
        <f t="array" ref="V687">_xlfn.IFS(
ISNUMBER(SEARCH("USA",S687)),"United States",
ISNUMBER(SEARCH("Republic of Korea",S687)),"South Korea",
ISNUMBER(SEARCH("Cape Verde",S687)),"Cabo Verde",
ISNUMBER(SEARCH("Czechia",S687)),"Czech Republic",
ISNUMBER(SEARCH("Türkiye",S687)),"Turkey",
ISNUMBER(SEARCH("Ivory Coast",S687)),"Côte d'Ivoire",
ISNUMBER(SEARCH("Korea Republic",S687)),"South Korea",
ISNUMBER(SEARCH("Germany FR",S687)),"FR Germany",
ISNUMBER(SEARCH("West Germany",S687)),"FR Germany",
ISNUMBER(SEARCH("Germany DR",S687)),"DR Germany",
ISNUMBER(SEARCH("Korea DPR",S687)),"North Korea",
ISNUMBER(SEARCH("China PR",S687)),"China",
ISNUMBER(SEARCH("IR Iran",S687)),"Iran",
ISNUMBER(SEARCH("Congo DR",S687)),"Democratic Republic of the Congo",
ISNUMBER(SEARCH("DR Congo",S687)),"Democratic Republic of the Congo",
ISNUMBER(SEARCH("German DR",S687)),"DR Germany",
ISNUMBER(SEARCH("rn""&gt;United Arab Emirates",S687)),"United Arab Emirates",
ISNUMBER(SEARCH("rn""&gt;Republic of Ireland",S687)),"Ireland",
ISNUMBER(SEARCH("rn""&gt;Bosnia and Herzegovina",S687)),"Bosnia and Herzegovina",
ISNUMBER(SEARCH("rn""&gt;Trinidad and Tobago",S687)),"Trinidad and Tobago",
ISNUMBER(SEARCH("rn""&gt;Serbia and Montenegro",S687)),"Serbia and Montenegro",
ISNUMBER(SEARCH(_xlfn.UNICHAR(65533),S687)),"Côte d'Ivoire",
TRUE,""
)</f>
        <v/>
      </c>
      <c r="W687" s="30" t="str">
        <f t="shared" si="62"/>
        <v>Croatia</v>
      </c>
      <c r="Z687" s="40" t="str">
        <v>FIFA World Cup Stadium, Dortmund</v>
      </c>
      <c r="AA687" s="40" t="str" cm="1">
        <f t="array" ref="AA687">IFERROR(_xlfn.XLOOKUP(Z687,_xlfn.ANCHORARRAY(Z$31),AA$31:AA$37),Z687)</f>
        <v>FIFA World Cup Stadium, Dortmund</v>
      </c>
      <c r="AB687" s="42" t="str">
        <v xml:space="preserve">Dortmund </v>
      </c>
      <c r="AC687" s="89" t="str">
        <f t="shared" si="63"/>
        <v xml:space="preserve">Dortmund </v>
      </c>
      <c r="AE687" s="42">
        <v>2002</v>
      </c>
      <c r="AK687" s="42">
        <v>4</v>
      </c>
      <c r="AL687" s="42">
        <v>0</v>
      </c>
      <c r="AW687" s="89" t="str">
        <v>GROUP_STAGE</v>
      </c>
      <c r="BE687" s="43" t="str">
        <f>IF(OR(DATA_CLEANED!AL678="",DATA_CLEANED!AM678=""),"MANQUANT",IF(OR(NOT(ISNUMBER(DATA_CLEANED!AL678)),NOT(ISNUMBER(DATA_CLEANED!AM678))),"ENTREE INVALIDE",IF(OR(DATA_CLEANED!AL678&lt;0,DATA_CLEANED!AM678&lt;0),"SCORE NEGATIF","OK")))</f>
        <v>OK</v>
      </c>
      <c r="BF687" s="43" t="str">
        <f>IF(DATA_CLEANED!AK678&lt;&gt;DATA_CLEANED!AN678,"OK","ERREUR")</f>
        <v>OK</v>
      </c>
      <c r="BG687" s="43" t="str">
        <f>IF(DATA_CLEANED!AL678&gt;DATA_CLEANED!AM678,DATA_CLEANED!AK678,IF(AND(DATA_QUALITE!W5164="-",DATA_CLEANED!AM678=DATA_CLEANED!AL678),"MATCH NUL",IF(AND(DATA_QUALITE!V5164="-",DATA_QUALITE!U5164="AUCUNE"),DATA_QUALITE!T5164,IF(DATA_QUALITE!V5164&lt;&gt;"-",DATA_QUALITE!V5164,DATA_CLEANED!AN678))))</f>
        <v>Spain</v>
      </c>
      <c r="BH687" s="103" t="str">
        <f>IF(AND(BG687="MATCH NUL",DATA_CLEANED!AO678="-"),"MATCH_NUL",IF(ISNUMBER(SEARCH("win on penalties",W5164)),"WIN_BY_PENALTY",IF(ISNUMBER(SEARCH("win after extra time",W5164)),"WIN_BY_EXTRA_TIME",IF(ISNUMBER(SEARCH("Golden Goal",W5164)),"WIN_BY_GOLDEN_GOAL","WIN_BY_SCORE"))))</f>
        <v>WIN_BY_SCORE</v>
      </c>
      <c r="BI687" s="99" t="str">
        <f>IF(OR(BG687=DATA_CLEANED!AK678,BG687=DATA_CLEANED!AN678,BG687="MATCH NUL"),"OK","ERREUR")</f>
        <v>OK</v>
      </c>
    </row>
    <row r="688" spans="2:61">
      <c r="B688" s="75">
        <v>251</v>
      </c>
      <c r="C688" s="15" t="str">
        <v>Jean-Ricner Bellegarde</v>
      </c>
      <c r="D688" s="15">
        <v>27</v>
      </c>
      <c r="E688" s="15" t="str">
        <v>Haiti</v>
      </c>
      <c r="F688" s="15" t="str">
        <v>CAM</v>
      </c>
      <c r="G688" s="15" t="str">
        <v>Wolverhampton Wanderers</v>
      </c>
      <c r="H688" s="15">
        <v>10</v>
      </c>
      <c r="I688" s="15" t="str">
        <f t="shared" si="59"/>
        <v>251|Jean-Ricner Bellegarde|27|Haiti|CAM|Wolverhampton Wanderers|10</v>
      </c>
      <c r="J688" s="15" t="str">
        <f>IF(COUNTIF(I$438:I688,I688)&gt;1,"DOUBLON","OK")</f>
        <v>OK</v>
      </c>
      <c r="S688" s="30" t="str">
        <v>Croatia</v>
      </c>
      <c r="T688" s="30" t="str">
        <f t="shared" si="60"/>
        <v>OK</v>
      </c>
      <c r="U688" s="30" t="str">
        <f t="shared" si="61"/>
        <v>-</v>
      </c>
      <c r="V688" s="30" t="str" cm="1">
        <f t="array" ref="V688">_xlfn.IFS(
ISNUMBER(SEARCH("USA",S688)),"United States",
ISNUMBER(SEARCH("Republic of Korea",S688)),"South Korea",
ISNUMBER(SEARCH("Cape Verde",S688)),"Cabo Verde",
ISNUMBER(SEARCH("Czechia",S688)),"Czech Republic",
ISNUMBER(SEARCH("Türkiye",S688)),"Turkey",
ISNUMBER(SEARCH("Ivory Coast",S688)),"Côte d'Ivoire",
ISNUMBER(SEARCH("Korea Republic",S688)),"South Korea",
ISNUMBER(SEARCH("Germany FR",S688)),"FR Germany",
ISNUMBER(SEARCH("West Germany",S688)),"FR Germany",
ISNUMBER(SEARCH("Germany DR",S688)),"DR Germany",
ISNUMBER(SEARCH("Korea DPR",S688)),"North Korea",
ISNUMBER(SEARCH("China PR",S688)),"China",
ISNUMBER(SEARCH("IR Iran",S688)),"Iran",
ISNUMBER(SEARCH("Congo DR",S688)),"Democratic Republic of the Congo",
ISNUMBER(SEARCH("DR Congo",S688)),"Democratic Republic of the Congo",
ISNUMBER(SEARCH("German DR",S688)),"DR Germany",
ISNUMBER(SEARCH("rn""&gt;United Arab Emirates",S688)),"United Arab Emirates",
ISNUMBER(SEARCH("rn""&gt;Republic of Ireland",S688)),"Ireland",
ISNUMBER(SEARCH("rn""&gt;Bosnia and Herzegovina",S688)),"Bosnia and Herzegovina",
ISNUMBER(SEARCH("rn""&gt;Trinidad and Tobago",S688)),"Trinidad and Tobago",
ISNUMBER(SEARCH("rn""&gt;Serbia and Montenegro",S688)),"Serbia and Montenegro",
ISNUMBER(SEARCH(_xlfn.UNICHAR(65533),S688)),"Côte d'Ivoire",
TRUE,""
)</f>
        <v/>
      </c>
      <c r="W688" s="30" t="str">
        <f t="shared" si="62"/>
        <v>Croatia</v>
      </c>
      <c r="Z688" s="40" t="str">
        <v>FIFA World Cup Stadium, Hamburg</v>
      </c>
      <c r="AA688" s="40" t="str" cm="1">
        <f t="array" ref="AA688">IFERROR(_xlfn.XLOOKUP(Z688,_xlfn.ANCHORARRAY(Z$31),AA$31:AA$37),Z688)</f>
        <v>FIFA World Cup Stadium, Hamburg</v>
      </c>
      <c r="AB688" s="42" t="str">
        <v xml:space="preserve">Hamburg </v>
      </c>
      <c r="AC688" s="89" t="str">
        <f t="shared" si="63"/>
        <v xml:space="preserve">Hamburg </v>
      </c>
      <c r="AE688" s="42">
        <v>2002</v>
      </c>
      <c r="AK688" s="42">
        <v>1</v>
      </c>
      <c r="AL688" s="42">
        <v>2</v>
      </c>
      <c r="AW688" s="89" t="str">
        <v>GROUP_STAGE</v>
      </c>
      <c r="BE688" s="43" t="str">
        <f>IF(OR(DATA_CLEANED!AL679="",DATA_CLEANED!AM679=""),"MANQUANT",IF(OR(NOT(ISNUMBER(DATA_CLEANED!AL679)),NOT(ISNUMBER(DATA_CLEANED!AM679))),"ENTREE INVALIDE",IF(OR(DATA_CLEANED!AL679&lt;0,DATA_CLEANED!AM679&lt;0),"SCORE NEGATIF","OK")))</f>
        <v>OK</v>
      </c>
      <c r="BF688" s="43" t="str">
        <f>IF(DATA_CLEANED!AK679&lt;&gt;DATA_CLEANED!AN679,"OK","ERREUR")</f>
        <v>OK</v>
      </c>
      <c r="BG688" s="43" t="str">
        <f>IF(DATA_CLEANED!AL679&gt;DATA_CLEANED!AM679,DATA_CLEANED!AK679,IF(AND(DATA_QUALITE!W5165="-",DATA_CLEANED!AM679=DATA_CLEANED!AL679),"MATCH NUL",IF(AND(DATA_QUALITE!V5165="-",DATA_QUALITE!U5165="AUCUNE"),DATA_QUALITE!T5165,IF(DATA_QUALITE!V5165&lt;&gt;"-",DATA_QUALITE!V5165,DATA_CLEANED!AN679))))</f>
        <v>Germany</v>
      </c>
      <c r="BH688" s="103" t="str">
        <f>IF(AND(BG688="MATCH NUL",DATA_CLEANED!AO679="-"),"MATCH_NUL",IF(ISNUMBER(SEARCH("win on penalties",W5165)),"WIN_BY_PENALTY",IF(ISNUMBER(SEARCH("win after extra time",W5165)),"WIN_BY_EXTRA_TIME",IF(ISNUMBER(SEARCH("Golden Goal",W5165)),"WIN_BY_GOLDEN_GOAL","WIN_BY_SCORE"))))</f>
        <v>WIN_BY_SCORE</v>
      </c>
      <c r="BI688" s="99" t="str">
        <f>IF(OR(BG688=DATA_CLEANED!AK679,BG688=DATA_CLEANED!AN679,BG688="MATCH NUL"),"OK","ERREUR")</f>
        <v>OK</v>
      </c>
    </row>
    <row r="689" spans="2:61">
      <c r="B689" s="75">
        <v>252</v>
      </c>
      <c r="C689" s="15" t="str">
        <v>Derrick Etienne Jr.</v>
      </c>
      <c r="D689" s="15">
        <v>29</v>
      </c>
      <c r="E689" s="15" t="str">
        <v>Haiti</v>
      </c>
      <c r="F689" s="15" t="str">
        <v>LW</v>
      </c>
      <c r="G689" s="15" t="str">
        <v>Toronto FC</v>
      </c>
      <c r="H689" s="15">
        <v>7</v>
      </c>
      <c r="I689" s="15" t="str">
        <f t="shared" si="59"/>
        <v>252|Derrick Etienne Jr.|29|Haiti|LW|Toronto FC|7</v>
      </c>
      <c r="J689" s="15" t="str">
        <f>IF(COUNTIF(I$438:I689,I689)&gt;1,"DOUBLON","OK")</f>
        <v>OK</v>
      </c>
      <c r="S689" s="30" t="str">
        <v>Croatia</v>
      </c>
      <c r="T689" s="30" t="str">
        <f t="shared" si="60"/>
        <v>OK</v>
      </c>
      <c r="U689" s="30" t="str">
        <f t="shared" si="61"/>
        <v>-</v>
      </c>
      <c r="V689" s="30" t="str" cm="1">
        <f t="array" ref="V689">_xlfn.IFS(
ISNUMBER(SEARCH("USA",S689)),"United States",
ISNUMBER(SEARCH("Republic of Korea",S689)),"South Korea",
ISNUMBER(SEARCH("Cape Verde",S689)),"Cabo Verde",
ISNUMBER(SEARCH("Czechia",S689)),"Czech Republic",
ISNUMBER(SEARCH("Türkiye",S689)),"Turkey",
ISNUMBER(SEARCH("Ivory Coast",S689)),"Côte d'Ivoire",
ISNUMBER(SEARCH("Korea Republic",S689)),"South Korea",
ISNUMBER(SEARCH("Germany FR",S689)),"FR Germany",
ISNUMBER(SEARCH("West Germany",S689)),"FR Germany",
ISNUMBER(SEARCH("Germany DR",S689)),"DR Germany",
ISNUMBER(SEARCH("Korea DPR",S689)),"North Korea",
ISNUMBER(SEARCH("China PR",S689)),"China",
ISNUMBER(SEARCH("IR Iran",S689)),"Iran",
ISNUMBER(SEARCH("Congo DR",S689)),"Democratic Republic of the Congo",
ISNUMBER(SEARCH("DR Congo",S689)),"Democratic Republic of the Congo",
ISNUMBER(SEARCH("German DR",S689)),"DR Germany",
ISNUMBER(SEARCH("rn""&gt;United Arab Emirates",S689)),"United Arab Emirates",
ISNUMBER(SEARCH("rn""&gt;Republic of Ireland",S689)),"Ireland",
ISNUMBER(SEARCH("rn""&gt;Bosnia and Herzegovina",S689)),"Bosnia and Herzegovina",
ISNUMBER(SEARCH("rn""&gt;Trinidad and Tobago",S689)),"Trinidad and Tobago",
ISNUMBER(SEARCH("rn""&gt;Serbia and Montenegro",S689)),"Serbia and Montenegro",
ISNUMBER(SEARCH(_xlfn.UNICHAR(65533),S689)),"Côte d'Ivoire",
TRUE,""
)</f>
        <v/>
      </c>
      <c r="W689" s="30" t="str">
        <f t="shared" si="62"/>
        <v>Croatia</v>
      </c>
      <c r="Z689" s="40" t="str">
        <v>Zentralstadion</v>
      </c>
      <c r="AA689" s="40" t="str" cm="1">
        <f t="array" ref="AA689">IFERROR(_xlfn.XLOOKUP(Z689,_xlfn.ANCHORARRAY(Z$31),AA$31:AA$37),Z689)</f>
        <v>Zentralstadion</v>
      </c>
      <c r="AB689" s="42" t="str">
        <v xml:space="preserve">Leipzig </v>
      </c>
      <c r="AC689" s="89" t="str">
        <f t="shared" si="63"/>
        <v xml:space="preserve">Leipzig </v>
      </c>
      <c r="AE689" s="42">
        <v>2002</v>
      </c>
      <c r="AK689" s="42">
        <v>1</v>
      </c>
      <c r="AL689" s="42">
        <v>1</v>
      </c>
      <c r="AW689" s="89" t="str">
        <v>GROUP_STAGE</v>
      </c>
      <c r="BE689" s="43" t="str">
        <f>IF(OR(DATA_CLEANED!AL680="",DATA_CLEANED!AM680=""),"MANQUANT",IF(OR(NOT(ISNUMBER(DATA_CLEANED!AL680)),NOT(ISNUMBER(DATA_CLEANED!AM680))),"ENTREE INVALIDE",IF(OR(DATA_CLEANED!AL680&lt;0,DATA_CLEANED!AM680&lt;0),"SCORE NEGATIF","OK")))</f>
        <v>OK</v>
      </c>
      <c r="BF689" s="43" t="str">
        <f>IF(DATA_CLEANED!AK680&lt;&gt;DATA_CLEANED!AN680,"OK","ERREUR")</f>
        <v>OK</v>
      </c>
      <c r="BG689" s="43" t="str">
        <f>IF(DATA_CLEANED!AL680&gt;DATA_CLEANED!AM680,DATA_CLEANED!AK680,IF(AND(DATA_QUALITE!W5166="-",DATA_CLEANED!AM680=DATA_CLEANED!AL680),"MATCH NUL",IF(AND(DATA_QUALITE!V5166="-",DATA_QUALITE!U5166="AUCUNE"),DATA_QUALITE!T5166,IF(DATA_QUALITE!V5166&lt;&gt;"-",DATA_QUALITE!V5166,DATA_CLEANED!AN680))))</f>
        <v>Poland</v>
      </c>
      <c r="BH689" s="103" t="str">
        <f>IF(AND(BG689="MATCH NUL",DATA_CLEANED!AO680="-"),"MATCH_NUL",IF(ISNUMBER(SEARCH("win on penalties",W5166)),"WIN_BY_PENALTY",IF(ISNUMBER(SEARCH("win after extra time",W5166)),"WIN_BY_EXTRA_TIME",IF(ISNUMBER(SEARCH("Golden Goal",W5166)),"WIN_BY_GOLDEN_GOAL","WIN_BY_SCORE"))))</f>
        <v>WIN_BY_SCORE</v>
      </c>
      <c r="BI689" s="99" t="str">
        <f>IF(OR(BG689=DATA_CLEANED!AK680,BG689=DATA_CLEANED!AN680,BG689="MATCH NUL"),"OK","ERREUR")</f>
        <v>OK</v>
      </c>
    </row>
    <row r="690" spans="2:61">
      <c r="B690" s="75">
        <v>253</v>
      </c>
      <c r="C690" s="15" t="str">
        <v>Ruben Providence</v>
      </c>
      <c r="D690" s="15">
        <v>24</v>
      </c>
      <c r="E690" s="15" t="str">
        <v>Haiti</v>
      </c>
      <c r="F690" s="15" t="str">
        <v>LW</v>
      </c>
      <c r="G690" s="15" t="str">
        <v>Almere City</v>
      </c>
      <c r="H690" s="15">
        <v>15</v>
      </c>
      <c r="I690" s="15" t="str">
        <f t="shared" si="59"/>
        <v>253|Ruben Providence|24|Haiti|LW|Almere City|15</v>
      </c>
      <c r="J690" s="15" t="str">
        <f>IF(COUNTIF(I$438:I690,I690)&gt;1,"DOUBLON","OK")</f>
        <v>OK</v>
      </c>
      <c r="S690" s="30" t="str">
        <v>Croatia</v>
      </c>
      <c r="T690" s="30" t="str">
        <f t="shared" si="60"/>
        <v>OK</v>
      </c>
      <c r="U690" s="30" t="str">
        <f t="shared" si="61"/>
        <v>-</v>
      </c>
      <c r="V690" s="30" t="str" cm="1">
        <f t="array" ref="V690">_xlfn.IFS(
ISNUMBER(SEARCH("USA",S690)),"United States",
ISNUMBER(SEARCH("Republic of Korea",S690)),"South Korea",
ISNUMBER(SEARCH("Cape Verde",S690)),"Cabo Verde",
ISNUMBER(SEARCH("Czechia",S690)),"Czech Republic",
ISNUMBER(SEARCH("Türkiye",S690)),"Turkey",
ISNUMBER(SEARCH("Ivory Coast",S690)),"Côte d'Ivoire",
ISNUMBER(SEARCH("Korea Republic",S690)),"South Korea",
ISNUMBER(SEARCH("Germany FR",S690)),"FR Germany",
ISNUMBER(SEARCH("West Germany",S690)),"FR Germany",
ISNUMBER(SEARCH("Germany DR",S690)),"DR Germany",
ISNUMBER(SEARCH("Korea DPR",S690)),"North Korea",
ISNUMBER(SEARCH("China PR",S690)),"China",
ISNUMBER(SEARCH("IR Iran",S690)),"Iran",
ISNUMBER(SEARCH("Congo DR",S690)),"Democratic Republic of the Congo",
ISNUMBER(SEARCH("DR Congo",S690)),"Democratic Republic of the Congo",
ISNUMBER(SEARCH("German DR",S690)),"DR Germany",
ISNUMBER(SEARCH("rn""&gt;United Arab Emirates",S690)),"United Arab Emirates",
ISNUMBER(SEARCH("rn""&gt;Republic of Ireland",S690)),"Ireland",
ISNUMBER(SEARCH("rn""&gt;Bosnia and Herzegovina",S690)),"Bosnia and Herzegovina",
ISNUMBER(SEARCH("rn""&gt;Trinidad and Tobago",S690)),"Trinidad and Tobago",
ISNUMBER(SEARCH("rn""&gt;Serbia and Montenegro",S690)),"Serbia and Montenegro",
ISNUMBER(SEARCH(_xlfn.UNICHAR(65533),S690)),"Côte d'Ivoire",
TRUE,""
)</f>
        <v/>
      </c>
      <c r="W690" s="30" t="str">
        <f t="shared" si="62"/>
        <v>Croatia</v>
      </c>
      <c r="Z690" s="40" t="str">
        <v>Franken-Stadion</v>
      </c>
      <c r="AA690" s="40" t="str" cm="1">
        <f t="array" ref="AA690">IFERROR(_xlfn.XLOOKUP(Z690,_xlfn.ANCHORARRAY(Z$31),AA$31:AA$37),Z690)</f>
        <v>Franken-Stadion</v>
      </c>
      <c r="AB690" s="42" t="str">
        <v xml:space="preserve">Nuremberg </v>
      </c>
      <c r="AC690" s="89" t="str">
        <f t="shared" si="63"/>
        <v xml:space="preserve">Nuremberg </v>
      </c>
      <c r="AE690" s="42">
        <v>2002</v>
      </c>
      <c r="AK690" s="42">
        <v>1</v>
      </c>
      <c r="AL690" s="42">
        <v>0</v>
      </c>
      <c r="AW690" s="89" t="str">
        <v>GROUP_STAGE</v>
      </c>
      <c r="BE690" s="43" t="str">
        <f>IF(OR(DATA_CLEANED!AL681="",DATA_CLEANED!AM681=""),"MANQUANT",IF(OR(NOT(ISNUMBER(DATA_CLEANED!AL681)),NOT(ISNUMBER(DATA_CLEANED!AM681))),"ENTREE INVALIDE",IF(OR(DATA_CLEANED!AL681&lt;0,DATA_CLEANED!AM681&lt;0),"SCORE NEGATIF","OK")))</f>
        <v>OK</v>
      </c>
      <c r="BF690" s="43" t="str">
        <f>IF(DATA_CLEANED!AK681&lt;&gt;DATA_CLEANED!AN681,"OK","ERREUR")</f>
        <v>OK</v>
      </c>
      <c r="BG690" s="43" t="str">
        <f>IF(DATA_CLEANED!AL681&gt;DATA_CLEANED!AM681,DATA_CLEANED!AK681,IF(AND(DATA_QUALITE!W5167="-",DATA_CLEANED!AM681=DATA_CLEANED!AL681),"MATCH NUL",IF(AND(DATA_QUALITE!V5167="-",DATA_QUALITE!U5167="AUCUNE"),DATA_QUALITE!T5167,IF(DATA_QUALITE!V5167&lt;&gt;"-",DATA_QUALITE!V5167,DATA_CLEANED!AN681))))</f>
        <v>MATCH NUL</v>
      </c>
      <c r="BH690" s="103" t="str">
        <f>IF(AND(BG690="MATCH NUL",DATA_CLEANED!AO681="-"),"MATCH_NUL",IF(ISNUMBER(SEARCH("win on penalties",W5167)),"WIN_BY_PENALTY",IF(ISNUMBER(SEARCH("win after extra time",W5167)),"WIN_BY_EXTRA_TIME",IF(ISNUMBER(SEARCH("Golden Goal",W5167)),"WIN_BY_GOLDEN_GOAL","WIN_BY_SCORE"))))</f>
        <v>MATCH_NUL</v>
      </c>
      <c r="BI690" s="99" t="str">
        <f>IF(OR(BG690=DATA_CLEANED!AK681,BG690=DATA_CLEANED!AN681,BG690="MATCH NUL"),"OK","ERREUR")</f>
        <v>OK</v>
      </c>
    </row>
    <row r="691" spans="2:61">
      <c r="B691" s="75">
        <v>254</v>
      </c>
      <c r="C691" s="15" t="str">
        <v>Yassin Fortuné</v>
      </c>
      <c r="D691" s="15">
        <v>27</v>
      </c>
      <c r="E691" s="15" t="str">
        <v>Haiti</v>
      </c>
      <c r="F691" s="15" t="str">
        <v>LW</v>
      </c>
      <c r="G691" s="15" t="str">
        <v>Vizela</v>
      </c>
      <c r="H691" s="15">
        <v>19</v>
      </c>
      <c r="I691" s="15" t="str">
        <f t="shared" si="59"/>
        <v>254|Yassin Fortuné|27|Haiti|LW|Vizela|19</v>
      </c>
      <c r="J691" s="15" t="str">
        <f>IF(COUNTIF(I$438:I691,I691)&gt;1,"DOUBLON","OK")</f>
        <v>OK</v>
      </c>
      <c r="S691" s="30" t="str">
        <v>Croatia</v>
      </c>
      <c r="T691" s="30" t="str">
        <f t="shared" si="60"/>
        <v>OK</v>
      </c>
      <c r="U691" s="30" t="str">
        <f t="shared" si="61"/>
        <v>-</v>
      </c>
      <c r="V691" s="30" t="str" cm="1">
        <f t="array" ref="V691">_xlfn.IFS(
ISNUMBER(SEARCH("USA",S691)),"United States",
ISNUMBER(SEARCH("Republic of Korea",S691)),"South Korea",
ISNUMBER(SEARCH("Cape Verde",S691)),"Cabo Verde",
ISNUMBER(SEARCH("Czechia",S691)),"Czech Republic",
ISNUMBER(SEARCH("Türkiye",S691)),"Turkey",
ISNUMBER(SEARCH("Ivory Coast",S691)),"Côte d'Ivoire",
ISNUMBER(SEARCH("Korea Republic",S691)),"South Korea",
ISNUMBER(SEARCH("Germany FR",S691)),"FR Germany",
ISNUMBER(SEARCH("West Germany",S691)),"FR Germany",
ISNUMBER(SEARCH("Germany DR",S691)),"DR Germany",
ISNUMBER(SEARCH("Korea DPR",S691)),"North Korea",
ISNUMBER(SEARCH("China PR",S691)),"China",
ISNUMBER(SEARCH("IR Iran",S691)),"Iran",
ISNUMBER(SEARCH("Congo DR",S691)),"Democratic Republic of the Congo",
ISNUMBER(SEARCH("DR Congo",S691)),"Democratic Republic of the Congo",
ISNUMBER(SEARCH("German DR",S691)),"DR Germany",
ISNUMBER(SEARCH("rn""&gt;United Arab Emirates",S691)),"United Arab Emirates",
ISNUMBER(SEARCH("rn""&gt;Republic of Ireland",S691)),"Ireland",
ISNUMBER(SEARCH("rn""&gt;Bosnia and Herzegovina",S691)),"Bosnia and Herzegovina",
ISNUMBER(SEARCH("rn""&gt;Trinidad and Tobago",S691)),"Trinidad and Tobago",
ISNUMBER(SEARCH("rn""&gt;Serbia and Montenegro",S691)),"Serbia and Montenegro",
ISNUMBER(SEARCH(_xlfn.UNICHAR(65533),S691)),"Côte d'Ivoire",
TRUE,""
)</f>
        <v/>
      </c>
      <c r="W691" s="30" t="str">
        <f t="shared" si="62"/>
        <v>Croatia</v>
      </c>
      <c r="Z691" s="40" t="str">
        <v>FIFA World Cup Stadium, Cologne</v>
      </c>
      <c r="AA691" s="40" t="str" cm="1">
        <f t="array" ref="AA691">IFERROR(_xlfn.XLOOKUP(Z691,_xlfn.ANCHORARRAY(Z$31),AA$31:AA$37),Z691)</f>
        <v>FIFA World Cup Stadium, Cologne</v>
      </c>
      <c r="AB691" s="42" t="str">
        <v xml:space="preserve">Cologne </v>
      </c>
      <c r="AC691" s="89" t="str">
        <f t="shared" si="63"/>
        <v xml:space="preserve">Cologne </v>
      </c>
      <c r="AE691" s="42">
        <v>2002</v>
      </c>
      <c r="AK691" s="42">
        <v>2</v>
      </c>
      <c r="AL691" s="42">
        <v>1</v>
      </c>
      <c r="AW691" s="89" t="str">
        <v>GROUP_STAGE</v>
      </c>
      <c r="BE691" s="43" t="str">
        <f>IF(OR(DATA_CLEANED!AL682="",DATA_CLEANED!AM682=""),"MANQUANT",IF(OR(NOT(ISNUMBER(DATA_CLEANED!AL682)),NOT(ISNUMBER(DATA_CLEANED!AM682))),"ENTREE INVALIDE",IF(OR(DATA_CLEANED!AL682&lt;0,DATA_CLEANED!AM682&lt;0),"SCORE NEGATIF","OK")))</f>
        <v>OK</v>
      </c>
      <c r="BF691" s="43" t="str">
        <f>IF(DATA_CLEANED!AK682&lt;&gt;DATA_CLEANED!AN682,"OK","ERREUR")</f>
        <v>OK</v>
      </c>
      <c r="BG691" s="43" t="str">
        <f>IF(DATA_CLEANED!AL682&gt;DATA_CLEANED!AM682,DATA_CLEANED!AK682,IF(AND(DATA_QUALITE!W5168="-",DATA_CLEANED!AM682=DATA_CLEANED!AL682),"MATCH NUL",IF(AND(DATA_QUALITE!V5168="-",DATA_QUALITE!U5168="AUCUNE"),DATA_QUALITE!T5168,IF(DATA_QUALITE!V5168&lt;&gt;"-",DATA_QUALITE!V5168,DATA_CLEANED!AN682))))</f>
        <v>Paraguay</v>
      </c>
      <c r="BH691" s="103" t="str">
        <f>IF(AND(BG691="MATCH NUL",DATA_CLEANED!AO682="-"),"MATCH_NUL",IF(ISNUMBER(SEARCH("win on penalties",W5168)),"WIN_BY_PENALTY",IF(ISNUMBER(SEARCH("win after extra time",W5168)),"WIN_BY_EXTRA_TIME",IF(ISNUMBER(SEARCH("Golden Goal",W5168)),"WIN_BY_GOLDEN_GOAL","WIN_BY_SCORE"))))</f>
        <v>WIN_BY_SCORE</v>
      </c>
      <c r="BI691" s="99" t="str">
        <f>IF(OR(BG691=DATA_CLEANED!AK682,BG691=DATA_CLEANED!AN682,BG691="MATCH NUL"),"OK","ERREUR")</f>
        <v>OK</v>
      </c>
    </row>
    <row r="692" spans="2:61">
      <c r="B692" s="75">
        <v>255</v>
      </c>
      <c r="C692" s="15" t="str">
        <v>Louicius Deedson</v>
      </c>
      <c r="D692" s="15">
        <v>25</v>
      </c>
      <c r="E692" s="15" t="str">
        <v>Haiti</v>
      </c>
      <c r="F692" s="15" t="str">
        <v>RW</v>
      </c>
      <c r="G692" s="15" t="str">
        <v>FC Dallas</v>
      </c>
      <c r="H692" s="15">
        <v>11</v>
      </c>
      <c r="I692" s="15" t="str">
        <f t="shared" si="59"/>
        <v>255|Louicius Deedson|25|Haiti|RW|FC Dallas|11</v>
      </c>
      <c r="J692" s="15" t="str">
        <f>IF(COUNTIF(I$438:I692,I692)&gt;1,"DOUBLON","OK")</f>
        <v>OK</v>
      </c>
      <c r="S692" s="30" t="str">
        <v>Croatia</v>
      </c>
      <c r="T692" s="30" t="str">
        <f t="shared" si="60"/>
        <v>OK</v>
      </c>
      <c r="U692" s="30" t="str">
        <f t="shared" si="61"/>
        <v>-</v>
      </c>
      <c r="V692" s="30" t="str" cm="1">
        <f t="array" ref="V692">_xlfn.IFS(
ISNUMBER(SEARCH("USA",S692)),"United States",
ISNUMBER(SEARCH("Republic of Korea",S692)),"South Korea",
ISNUMBER(SEARCH("Cape Verde",S692)),"Cabo Verde",
ISNUMBER(SEARCH("Czechia",S692)),"Czech Republic",
ISNUMBER(SEARCH("Türkiye",S692)),"Turkey",
ISNUMBER(SEARCH("Ivory Coast",S692)),"Côte d'Ivoire",
ISNUMBER(SEARCH("Korea Republic",S692)),"South Korea",
ISNUMBER(SEARCH("Germany FR",S692)),"FR Germany",
ISNUMBER(SEARCH("West Germany",S692)),"FR Germany",
ISNUMBER(SEARCH("Germany DR",S692)),"DR Germany",
ISNUMBER(SEARCH("Korea DPR",S692)),"North Korea",
ISNUMBER(SEARCH("China PR",S692)),"China",
ISNUMBER(SEARCH("IR Iran",S692)),"Iran",
ISNUMBER(SEARCH("Congo DR",S692)),"Democratic Republic of the Congo",
ISNUMBER(SEARCH("DR Congo",S692)),"Democratic Republic of the Congo",
ISNUMBER(SEARCH("German DR",S692)),"DR Germany",
ISNUMBER(SEARCH("rn""&gt;United Arab Emirates",S692)),"United Arab Emirates",
ISNUMBER(SEARCH("rn""&gt;Republic of Ireland",S692)),"Ireland",
ISNUMBER(SEARCH("rn""&gt;Bosnia and Herzegovina",S692)),"Bosnia and Herzegovina",
ISNUMBER(SEARCH("rn""&gt;Trinidad and Tobago",S692)),"Trinidad and Tobago",
ISNUMBER(SEARCH("rn""&gt;Serbia and Montenegro",S692)),"Serbia and Montenegro",
ISNUMBER(SEARCH(_xlfn.UNICHAR(65533),S692)),"Côte d'Ivoire",
TRUE,""
)</f>
        <v/>
      </c>
      <c r="W692" s="30" t="str">
        <f t="shared" si="62"/>
        <v>Croatia</v>
      </c>
      <c r="Z692" s="40" t="str">
        <v>Fritz-Walter-Stadion</v>
      </c>
      <c r="AA692" s="40" t="str" cm="1">
        <f t="array" ref="AA692">IFERROR(_xlfn.XLOOKUP(Z692,_xlfn.ANCHORARRAY(Z$31),AA$31:AA$37),Z692)</f>
        <v>Fritz-Walter-Stadion</v>
      </c>
      <c r="AB692" s="42" t="str">
        <v xml:space="preserve">Kaiserslautern </v>
      </c>
      <c r="AC692" s="89" t="str">
        <f t="shared" si="63"/>
        <v xml:space="preserve">Kaiserslautern </v>
      </c>
      <c r="AE692" s="42">
        <v>2002</v>
      </c>
      <c r="AK692" s="42">
        <v>1</v>
      </c>
      <c r="AL692" s="42">
        <v>1</v>
      </c>
      <c r="AW692" s="89" t="str">
        <v>GROUP_STAGE</v>
      </c>
      <c r="BE692" s="43" t="str">
        <f>IF(OR(DATA_CLEANED!AL683="",DATA_CLEANED!AM683=""),"MANQUANT",IF(OR(NOT(ISNUMBER(DATA_CLEANED!AL683)),NOT(ISNUMBER(DATA_CLEANED!AM683))),"ENTREE INVALIDE",IF(OR(DATA_CLEANED!AL683&lt;0,DATA_CLEANED!AM683&lt;0),"SCORE NEGATIF","OK")))</f>
        <v>OK</v>
      </c>
      <c r="BF692" s="43" t="str">
        <f>IF(DATA_CLEANED!AK683&lt;&gt;DATA_CLEANED!AN683,"OK","ERREUR")</f>
        <v>OK</v>
      </c>
      <c r="BG692" s="43" t="str">
        <f>IF(DATA_CLEANED!AL683&gt;DATA_CLEANED!AM683,DATA_CLEANED!AK683,IF(AND(DATA_QUALITE!W5169="-",DATA_CLEANED!AM683=DATA_CLEANED!AL683),"MATCH NUL",IF(AND(DATA_QUALITE!V5169="-",DATA_QUALITE!U5169="AUCUNE"),DATA_QUALITE!T5169,IF(DATA_QUALITE!V5169&lt;&gt;"-",DATA_QUALITE!V5169,DATA_CLEANED!AN683))))</f>
        <v>MATCH NUL</v>
      </c>
      <c r="BH692" s="103" t="str">
        <f>IF(AND(BG692="MATCH NUL",DATA_CLEANED!AO683="-"),"MATCH_NUL",IF(ISNUMBER(SEARCH("win on penalties",W5169)),"WIN_BY_PENALTY",IF(ISNUMBER(SEARCH("win after extra time",W5169)),"WIN_BY_EXTRA_TIME",IF(ISNUMBER(SEARCH("Golden Goal",W5169)),"WIN_BY_GOLDEN_GOAL","WIN_BY_SCORE"))))</f>
        <v>MATCH_NUL</v>
      </c>
      <c r="BI692" s="99" t="str">
        <f>IF(OR(BG692=DATA_CLEANED!AK683,BG692=DATA_CLEANED!AN683,BG692="MATCH NUL"),"OK","ERREUR")</f>
        <v>OK</v>
      </c>
    </row>
    <row r="693" spans="2:61">
      <c r="B693" s="75">
        <v>256</v>
      </c>
      <c r="C693" s="15" t="str">
        <v>Lenny Joseph</v>
      </c>
      <c r="D693" s="15">
        <v>25</v>
      </c>
      <c r="E693" s="15" t="str">
        <v>Haiti</v>
      </c>
      <c r="F693" s="15" t="str">
        <v>RW</v>
      </c>
      <c r="G693" s="15" t="str">
        <v>Ferencváros</v>
      </c>
      <c r="H693" s="15">
        <v>16</v>
      </c>
      <c r="I693" s="15" t="str">
        <f t="shared" si="59"/>
        <v>256|Lenny Joseph|25|Haiti|RW|Ferencváros|16</v>
      </c>
      <c r="J693" s="15" t="str">
        <f>IF(COUNTIF(I$438:I693,I693)&gt;1,"DOUBLON","OK")</f>
        <v>OK</v>
      </c>
      <c r="S693" s="30" t="str">
        <v>Croatia</v>
      </c>
      <c r="T693" s="30" t="str">
        <f t="shared" si="60"/>
        <v>OK</v>
      </c>
      <c r="U693" s="30" t="str">
        <f t="shared" si="61"/>
        <v>-</v>
      </c>
      <c r="V693" s="30" t="str" cm="1">
        <f t="array" ref="V693">_xlfn.IFS(
ISNUMBER(SEARCH("USA",S693)),"United States",
ISNUMBER(SEARCH("Republic of Korea",S693)),"South Korea",
ISNUMBER(SEARCH("Cape Verde",S693)),"Cabo Verde",
ISNUMBER(SEARCH("Czechia",S693)),"Czech Republic",
ISNUMBER(SEARCH("Türkiye",S693)),"Turkey",
ISNUMBER(SEARCH("Ivory Coast",S693)),"Côte d'Ivoire",
ISNUMBER(SEARCH("Korea Republic",S693)),"South Korea",
ISNUMBER(SEARCH("Germany FR",S693)),"FR Germany",
ISNUMBER(SEARCH("West Germany",S693)),"FR Germany",
ISNUMBER(SEARCH("Germany DR",S693)),"DR Germany",
ISNUMBER(SEARCH("Korea DPR",S693)),"North Korea",
ISNUMBER(SEARCH("China PR",S693)),"China",
ISNUMBER(SEARCH("IR Iran",S693)),"Iran",
ISNUMBER(SEARCH("Congo DR",S693)),"Democratic Republic of the Congo",
ISNUMBER(SEARCH("DR Congo",S693)),"Democratic Republic of the Congo",
ISNUMBER(SEARCH("German DR",S693)),"DR Germany",
ISNUMBER(SEARCH("rn""&gt;United Arab Emirates",S693)),"United Arab Emirates",
ISNUMBER(SEARCH("rn""&gt;Republic of Ireland",S693)),"Ireland",
ISNUMBER(SEARCH("rn""&gt;Bosnia and Herzegovina",S693)),"Bosnia and Herzegovina",
ISNUMBER(SEARCH("rn""&gt;Trinidad and Tobago",S693)),"Trinidad and Tobago",
ISNUMBER(SEARCH("rn""&gt;Serbia and Montenegro",S693)),"Serbia and Montenegro",
ISNUMBER(SEARCH(_xlfn.UNICHAR(65533),S693)),"Côte d'Ivoire",
TRUE,""
)</f>
        <v/>
      </c>
      <c r="W693" s="30" t="str">
        <f t="shared" si="62"/>
        <v>Croatia</v>
      </c>
      <c r="Z693" s="40" t="str">
        <v>FIFA World Cup Stadium, Gelsenkirchen</v>
      </c>
      <c r="AA693" s="40" t="str" cm="1">
        <f t="array" ref="AA693">IFERROR(_xlfn.XLOOKUP(Z693,_xlfn.ANCHORARRAY(Z$31),AA$31:AA$37),Z693)</f>
        <v>FIFA World Cup Stadium, Gelsenkirchen</v>
      </c>
      <c r="AB693" s="42" t="str">
        <v xml:space="preserve">Gelsenkirchen </v>
      </c>
      <c r="AC693" s="89" t="str">
        <f t="shared" si="63"/>
        <v xml:space="preserve">Gelsenkirchen </v>
      </c>
      <c r="AE693" s="42">
        <v>2002</v>
      </c>
      <c r="AK693" s="42">
        <v>4</v>
      </c>
      <c r="AL693" s="42">
        <v>0</v>
      </c>
      <c r="AW693" s="89" t="str">
        <v>GROUP_STAGE</v>
      </c>
      <c r="BE693" s="43" t="str">
        <f>IF(OR(DATA_CLEANED!AL684="",DATA_CLEANED!AM684=""),"MANQUANT",IF(OR(NOT(ISNUMBER(DATA_CLEANED!AL684)),NOT(ISNUMBER(DATA_CLEANED!AM684))),"ENTREE INVALIDE",IF(OR(DATA_CLEANED!AL684&lt;0,DATA_CLEANED!AM684&lt;0),"SCORE NEGATIF","OK")))</f>
        <v>OK</v>
      </c>
      <c r="BF693" s="43" t="str">
        <f>IF(DATA_CLEANED!AK684&lt;&gt;DATA_CLEANED!AN684,"OK","ERREUR")</f>
        <v>OK</v>
      </c>
      <c r="BG693" s="43" t="str">
        <f>IF(DATA_CLEANED!AL684&gt;DATA_CLEANED!AM684,DATA_CLEANED!AK684,IF(AND(DATA_QUALITE!W5170="-",DATA_CLEANED!AM684=DATA_CLEANED!AL684),"MATCH NUL",IF(AND(DATA_QUALITE!V5170="-",DATA_QUALITE!U5170="AUCUNE"),DATA_QUALITE!T5170,IF(DATA_QUALITE!V5170&lt;&gt;"-",DATA_QUALITE!V5170,DATA_CLEANED!AN684))))</f>
        <v>Portugal</v>
      </c>
      <c r="BH693" s="103" t="str">
        <f>IF(AND(BG693="MATCH NUL",DATA_CLEANED!AO684="-"),"MATCH_NUL",IF(ISNUMBER(SEARCH("win on penalties",W5170)),"WIN_BY_PENALTY",IF(ISNUMBER(SEARCH("win after extra time",W5170)),"WIN_BY_EXTRA_TIME",IF(ISNUMBER(SEARCH("Golden Goal",W5170)),"WIN_BY_GOLDEN_GOAL","WIN_BY_SCORE"))))</f>
        <v>WIN_BY_SCORE</v>
      </c>
      <c r="BI693" s="99" t="str">
        <f>IF(OR(BG693=DATA_CLEANED!AK684,BG693=DATA_CLEANED!AN684,BG693="MATCH NUL"),"OK","ERREUR")</f>
        <v>OK</v>
      </c>
    </row>
    <row r="694" spans="2:61">
      <c r="B694" s="75">
        <v>257</v>
      </c>
      <c r="C694" s="15" t="str">
        <v>Josué Casimir</v>
      </c>
      <c r="D694" s="15">
        <v>24</v>
      </c>
      <c r="E694" s="15" t="str">
        <v>Haiti</v>
      </c>
      <c r="F694" s="15" t="str">
        <v>RW</v>
      </c>
      <c r="G694" s="15" t="str">
        <v>Auxerre</v>
      </c>
      <c r="H694" s="15">
        <v>21</v>
      </c>
      <c r="I694" s="15" t="str">
        <f t="shared" si="59"/>
        <v>257|Josué Casimir|24|Haiti|RW|Auxerre|21</v>
      </c>
      <c r="J694" s="15" t="str">
        <f>IF(COUNTIF(I$438:I694,I694)&gt;1,"DOUBLON","OK")</f>
        <v>OK</v>
      </c>
      <c r="S694" s="30" t="str">
        <v>Croatia</v>
      </c>
      <c r="T694" s="30" t="str">
        <f t="shared" si="60"/>
        <v>OK</v>
      </c>
      <c r="U694" s="30" t="str">
        <f t="shared" si="61"/>
        <v>-</v>
      </c>
      <c r="V694" s="30" t="str" cm="1">
        <f t="array" ref="V694">_xlfn.IFS(
ISNUMBER(SEARCH("USA",S694)),"United States",
ISNUMBER(SEARCH("Republic of Korea",S694)),"South Korea",
ISNUMBER(SEARCH("Cape Verde",S694)),"Cabo Verde",
ISNUMBER(SEARCH("Czechia",S694)),"Czech Republic",
ISNUMBER(SEARCH("Türkiye",S694)),"Turkey",
ISNUMBER(SEARCH("Ivory Coast",S694)),"Côte d'Ivoire",
ISNUMBER(SEARCH("Korea Republic",S694)),"South Korea",
ISNUMBER(SEARCH("Germany FR",S694)),"FR Germany",
ISNUMBER(SEARCH("West Germany",S694)),"FR Germany",
ISNUMBER(SEARCH("Germany DR",S694)),"DR Germany",
ISNUMBER(SEARCH("Korea DPR",S694)),"North Korea",
ISNUMBER(SEARCH("China PR",S694)),"China",
ISNUMBER(SEARCH("IR Iran",S694)),"Iran",
ISNUMBER(SEARCH("Congo DR",S694)),"Democratic Republic of the Congo",
ISNUMBER(SEARCH("DR Congo",S694)),"Democratic Republic of the Congo",
ISNUMBER(SEARCH("German DR",S694)),"DR Germany",
ISNUMBER(SEARCH("rn""&gt;United Arab Emirates",S694)),"United Arab Emirates",
ISNUMBER(SEARCH("rn""&gt;Republic of Ireland",S694)),"Ireland",
ISNUMBER(SEARCH("rn""&gt;Bosnia and Herzegovina",S694)),"Bosnia and Herzegovina",
ISNUMBER(SEARCH("rn""&gt;Trinidad and Tobago",S694)),"Trinidad and Tobago",
ISNUMBER(SEARCH("rn""&gt;Serbia and Montenegro",S694)),"Serbia and Montenegro",
ISNUMBER(SEARCH(_xlfn.UNICHAR(65533),S694)),"Côte d'Ivoire",
TRUE,""
)</f>
        <v/>
      </c>
      <c r="W694" s="30" t="str">
        <f t="shared" si="62"/>
        <v>Croatia</v>
      </c>
      <c r="Z694" s="40" t="str">
        <v>FIFA World Cup Stadium, Hanover</v>
      </c>
      <c r="AA694" s="40" t="str" cm="1">
        <f t="array" ref="AA694">IFERROR(_xlfn.XLOOKUP(Z694,_xlfn.ANCHORARRAY(Z$31),AA$31:AA$37),Z694)</f>
        <v>FIFA World Cup Stadium, Hanover</v>
      </c>
      <c r="AB694" s="42" t="str">
        <v xml:space="preserve">Hanover </v>
      </c>
      <c r="AC694" s="89" t="str">
        <f t="shared" si="63"/>
        <v xml:space="preserve">Hanover </v>
      </c>
      <c r="AE694" s="42">
        <v>2002</v>
      </c>
      <c r="AK694" s="42">
        <v>1</v>
      </c>
      <c r="AL694" s="42">
        <v>1</v>
      </c>
      <c r="AW694" s="89" t="str">
        <v>GROUP_STAGE</v>
      </c>
      <c r="BE694" s="43" t="str">
        <f>IF(OR(DATA_CLEANED!AL685="",DATA_CLEANED!AM685=""),"MANQUANT",IF(OR(NOT(ISNUMBER(DATA_CLEANED!AL685)),NOT(ISNUMBER(DATA_CLEANED!AM685))),"ENTREE INVALIDE",IF(OR(DATA_CLEANED!AL685&lt;0,DATA_CLEANED!AM685&lt;0),"SCORE NEGATIF","OK")))</f>
        <v>OK</v>
      </c>
      <c r="BF694" s="43" t="str">
        <f>IF(DATA_CLEANED!AK685&lt;&gt;DATA_CLEANED!AN685,"OK","ERREUR")</f>
        <v>OK</v>
      </c>
      <c r="BG694" s="43" t="str">
        <f>IF(DATA_CLEANED!AL685&gt;DATA_CLEANED!AM685,DATA_CLEANED!AK685,IF(AND(DATA_QUALITE!W5171="-",DATA_CLEANED!AM685=DATA_CLEANED!AL685),"MATCH NUL",IF(AND(DATA_QUALITE!V5171="-",DATA_QUALITE!U5171="AUCUNE"),DATA_QUALITE!T5171,IF(DATA_QUALITE!V5171&lt;&gt;"-",DATA_QUALITE!V5171,DATA_CLEANED!AN685))))</f>
        <v>MATCH NUL</v>
      </c>
      <c r="BH694" s="103" t="str">
        <f>IF(AND(BG694="MATCH NUL",DATA_CLEANED!AO685="-"),"MATCH_NUL",IF(ISNUMBER(SEARCH("win on penalties",W5171)),"WIN_BY_PENALTY",IF(ISNUMBER(SEARCH("win after extra time",W5171)),"WIN_BY_EXTRA_TIME",IF(ISNUMBER(SEARCH("Golden Goal",W5171)),"WIN_BY_GOLDEN_GOAL","WIN_BY_SCORE"))))</f>
        <v>MATCH_NUL</v>
      </c>
      <c r="BI694" s="99" t="str">
        <f>IF(OR(BG694=DATA_CLEANED!AK685,BG694=DATA_CLEANED!AN685,BG694="MATCH NUL"),"OK","ERREUR")</f>
        <v>OK</v>
      </c>
    </row>
    <row r="695" spans="2:61">
      <c r="B695" s="75">
        <v>258</v>
      </c>
      <c r="C695" s="15" t="str">
        <v>Duckens Nazon</v>
      </c>
      <c r="D695" s="15">
        <v>32</v>
      </c>
      <c r="E695" s="15" t="str">
        <v>Haiti</v>
      </c>
      <c r="F695" s="15" t="str">
        <v>ST</v>
      </c>
      <c r="G695" s="15" t="str">
        <v>Esteghlal</v>
      </c>
      <c r="H695" s="15">
        <v>9</v>
      </c>
      <c r="I695" s="15" t="str">
        <f t="shared" ref="I695:I758" si="64">B695&amp;"|"&amp;C695&amp;"|"&amp;D695&amp;"|"&amp;E695&amp;"|"&amp;F695&amp;"|"&amp;G695&amp;"|"&amp;H695</f>
        <v>258|Duckens Nazon|32|Haiti|ST|Esteghlal|9</v>
      </c>
      <c r="J695" s="15" t="str">
        <f>IF(COUNTIF(I$438:I695,I695)&gt;1,"DOUBLON","OK")</f>
        <v>OK</v>
      </c>
      <c r="S695" s="30" t="str">
        <v>Croatia</v>
      </c>
      <c r="T695" s="30" t="str">
        <f t="shared" si="60"/>
        <v>OK</v>
      </c>
      <c r="U695" s="30" t="str">
        <f t="shared" si="61"/>
        <v>-</v>
      </c>
      <c r="V695" s="30" t="str" cm="1">
        <f t="array" ref="V695">_xlfn.IFS(
ISNUMBER(SEARCH("USA",S695)),"United States",
ISNUMBER(SEARCH("Republic of Korea",S695)),"South Korea",
ISNUMBER(SEARCH("Cape Verde",S695)),"Cabo Verde",
ISNUMBER(SEARCH("Czechia",S695)),"Czech Republic",
ISNUMBER(SEARCH("Türkiye",S695)),"Turkey",
ISNUMBER(SEARCH("Ivory Coast",S695)),"Côte d'Ivoire",
ISNUMBER(SEARCH("Korea Republic",S695)),"South Korea",
ISNUMBER(SEARCH("Germany FR",S695)),"FR Germany",
ISNUMBER(SEARCH("West Germany",S695)),"FR Germany",
ISNUMBER(SEARCH("Germany DR",S695)),"DR Germany",
ISNUMBER(SEARCH("Korea DPR",S695)),"North Korea",
ISNUMBER(SEARCH("China PR",S695)),"China",
ISNUMBER(SEARCH("IR Iran",S695)),"Iran",
ISNUMBER(SEARCH("Congo DR",S695)),"Democratic Republic of the Congo",
ISNUMBER(SEARCH("DR Congo",S695)),"Democratic Republic of the Congo",
ISNUMBER(SEARCH("German DR",S695)),"DR Germany",
ISNUMBER(SEARCH("rn""&gt;United Arab Emirates",S695)),"United Arab Emirates",
ISNUMBER(SEARCH("rn""&gt;Republic of Ireland",S695)),"Ireland",
ISNUMBER(SEARCH("rn""&gt;Bosnia and Herzegovina",S695)),"Bosnia and Herzegovina",
ISNUMBER(SEARCH("rn""&gt;Trinidad and Tobago",S695)),"Trinidad and Tobago",
ISNUMBER(SEARCH("rn""&gt;Serbia and Montenegro",S695)),"Serbia and Montenegro",
ISNUMBER(SEARCH(_xlfn.UNICHAR(65533),S695)),"Côte d'Ivoire",
TRUE,""
)</f>
        <v/>
      </c>
      <c r="W695" s="30" t="str">
        <f t="shared" si="62"/>
        <v>Croatia</v>
      </c>
      <c r="Z695" s="40" t="str">
        <v>FIFA World Cup Stadium, Frankfurt</v>
      </c>
      <c r="AA695" s="40" t="str" cm="1">
        <f t="array" ref="AA695">IFERROR(_xlfn.XLOOKUP(Z695,_xlfn.ANCHORARRAY(Z$31),AA$31:AA$37),Z695)</f>
        <v>FIFA World Cup Stadium, Frankfurt</v>
      </c>
      <c r="AB695" s="42" t="str">
        <v xml:space="preserve">Frankfurt/Main </v>
      </c>
      <c r="AC695" s="89" t="str">
        <f t="shared" si="63"/>
        <v xml:space="preserve">Frankfurt/Main </v>
      </c>
      <c r="AE695" s="42">
        <v>2002</v>
      </c>
      <c r="AK695" s="42">
        <v>2</v>
      </c>
      <c r="AL695" s="42">
        <v>0</v>
      </c>
      <c r="AW695" s="89" t="str">
        <v>GROUP_STAGE</v>
      </c>
      <c r="BE695" s="43" t="str">
        <f>IF(OR(DATA_CLEANED!AL686="",DATA_CLEANED!AM686=""),"MANQUANT",IF(OR(NOT(ISNUMBER(DATA_CLEANED!AL686)),NOT(ISNUMBER(DATA_CLEANED!AM686))),"ENTREE INVALIDE",IF(OR(DATA_CLEANED!AL686&lt;0,DATA_CLEANED!AM686&lt;0),"SCORE NEGATIF","OK")))</f>
        <v>OK</v>
      </c>
      <c r="BF695" s="43" t="str">
        <f>IF(DATA_CLEANED!AK686&lt;&gt;DATA_CLEANED!AN686,"OK","ERREUR")</f>
        <v>OK</v>
      </c>
      <c r="BG695" s="43" t="str">
        <f>IF(DATA_CLEANED!AL686&gt;DATA_CLEANED!AM686,DATA_CLEANED!AK686,IF(AND(DATA_QUALITE!W5172="-",DATA_CLEANED!AM686=DATA_CLEANED!AL686),"MATCH NUL",IF(AND(DATA_QUALITE!V5172="-",DATA_QUALITE!U5172="AUCUNE"),DATA_QUALITE!T5172,IF(DATA_QUALITE!V5172&lt;&gt;"-",DATA_QUALITE!V5172,DATA_CLEANED!AN686))))</f>
        <v>Côte d'Ivoire</v>
      </c>
      <c r="BH695" s="103" t="str">
        <f>IF(AND(BG695="MATCH NUL",DATA_CLEANED!AO686="-"),"MATCH_NUL",IF(ISNUMBER(SEARCH("win on penalties",W5172)),"WIN_BY_PENALTY",IF(ISNUMBER(SEARCH("win after extra time",W5172)),"WIN_BY_EXTRA_TIME",IF(ISNUMBER(SEARCH("Golden Goal",W5172)),"WIN_BY_GOLDEN_GOAL","WIN_BY_SCORE"))))</f>
        <v>WIN_BY_SCORE</v>
      </c>
      <c r="BI695" s="99" t="str">
        <f>IF(OR(BG695=DATA_CLEANED!AK686,BG695=DATA_CLEANED!AN686,BG695="MATCH NUL"),"OK","ERREUR")</f>
        <v>OK</v>
      </c>
    </row>
    <row r="696" spans="2:61">
      <c r="B696" s="75">
        <v>259</v>
      </c>
      <c r="C696" s="15" t="str">
        <v>Wilson Isidor</v>
      </c>
      <c r="D696" s="15">
        <v>25</v>
      </c>
      <c r="E696" s="15" t="str">
        <v>Haiti</v>
      </c>
      <c r="F696" s="15" t="str">
        <v>ST</v>
      </c>
      <c r="G696" s="15" t="str">
        <v>Sunderland</v>
      </c>
      <c r="H696" s="15">
        <v>18</v>
      </c>
      <c r="I696" s="15" t="str">
        <f t="shared" si="64"/>
        <v>259|Wilson Isidor|25|Haiti|ST|Sunderland|18</v>
      </c>
      <c r="J696" s="15" t="str">
        <f>IF(COUNTIF(I$438:I696,I696)&gt;1,"DOUBLON","OK")</f>
        <v>OK</v>
      </c>
      <c r="S696" s="30" t="str">
        <v>Croatia</v>
      </c>
      <c r="T696" s="30" t="str">
        <f t="shared" si="60"/>
        <v>OK</v>
      </c>
      <c r="U696" s="30" t="str">
        <f t="shared" si="61"/>
        <v>-</v>
      </c>
      <c r="V696" s="30" t="str" cm="1">
        <f t="array" ref="V696">_xlfn.IFS(
ISNUMBER(SEARCH("USA",S696)),"United States",
ISNUMBER(SEARCH("Republic of Korea",S696)),"South Korea",
ISNUMBER(SEARCH("Cape Verde",S696)),"Cabo Verde",
ISNUMBER(SEARCH("Czechia",S696)),"Czech Republic",
ISNUMBER(SEARCH("Türkiye",S696)),"Turkey",
ISNUMBER(SEARCH("Ivory Coast",S696)),"Côte d'Ivoire",
ISNUMBER(SEARCH("Korea Republic",S696)),"South Korea",
ISNUMBER(SEARCH("Germany FR",S696)),"FR Germany",
ISNUMBER(SEARCH("West Germany",S696)),"FR Germany",
ISNUMBER(SEARCH("Germany DR",S696)),"DR Germany",
ISNUMBER(SEARCH("Korea DPR",S696)),"North Korea",
ISNUMBER(SEARCH("China PR",S696)),"China",
ISNUMBER(SEARCH("IR Iran",S696)),"Iran",
ISNUMBER(SEARCH("Congo DR",S696)),"Democratic Republic of the Congo",
ISNUMBER(SEARCH("DR Congo",S696)),"Democratic Republic of the Congo",
ISNUMBER(SEARCH("German DR",S696)),"DR Germany",
ISNUMBER(SEARCH("rn""&gt;United Arab Emirates",S696)),"United Arab Emirates",
ISNUMBER(SEARCH("rn""&gt;Republic of Ireland",S696)),"Ireland",
ISNUMBER(SEARCH("rn""&gt;Bosnia and Herzegovina",S696)),"Bosnia and Herzegovina",
ISNUMBER(SEARCH("rn""&gt;Trinidad and Tobago",S696)),"Trinidad and Tobago",
ISNUMBER(SEARCH("rn""&gt;Serbia and Montenegro",S696)),"Serbia and Montenegro",
ISNUMBER(SEARCH(_xlfn.UNICHAR(65533),S696)),"Côte d'Ivoire",
TRUE,""
)</f>
        <v/>
      </c>
      <c r="W696" s="30" t="str">
        <f t="shared" si="62"/>
        <v>Croatia</v>
      </c>
      <c r="Z696" s="40" t="str">
        <v>Gottlieb-Daimler-Stadion</v>
      </c>
      <c r="AA696" s="40" t="str" cm="1">
        <f t="array" ref="AA696">IFERROR(_xlfn.XLOOKUP(Z696,_xlfn.ANCHORARRAY(Z$31),AA$31:AA$37),Z696)</f>
        <v>Gottlieb-Daimler-Stadion</v>
      </c>
      <c r="AB696" s="42" t="str">
        <v xml:space="preserve">Stuttgart </v>
      </c>
      <c r="AC696" s="89" t="str">
        <f t="shared" si="63"/>
        <v xml:space="preserve">Stuttgart </v>
      </c>
      <c r="AE696" s="42">
        <v>2002</v>
      </c>
      <c r="AK696" s="42">
        <v>3</v>
      </c>
      <c r="AL696" s="42">
        <v>3</v>
      </c>
      <c r="AW696" s="89" t="str">
        <v>GROUP_STAGE</v>
      </c>
      <c r="BE696" s="43" t="str">
        <f>IF(OR(DATA_CLEANED!AL687="",DATA_CLEANED!AM687=""),"MANQUANT",IF(OR(NOT(ISNUMBER(DATA_CLEANED!AL687)),NOT(ISNUMBER(DATA_CLEANED!AM687))),"ENTREE INVALIDE",IF(OR(DATA_CLEANED!AL687&lt;0,DATA_CLEANED!AM687&lt;0),"SCORE NEGATIF","OK")))</f>
        <v>OK</v>
      </c>
      <c r="BF696" s="43" t="str">
        <f>IF(DATA_CLEANED!AK687&lt;&gt;DATA_CLEANED!AN687,"OK","ERREUR")</f>
        <v>OK</v>
      </c>
      <c r="BG696" s="43" t="str">
        <f>IF(DATA_CLEANED!AL687&gt;DATA_CLEANED!AM687,DATA_CLEANED!AK687,IF(AND(DATA_QUALITE!W5173="-",DATA_CLEANED!AM687=DATA_CLEANED!AL687),"MATCH NUL",IF(AND(DATA_QUALITE!V5173="-",DATA_QUALITE!U5173="AUCUNE"),DATA_QUALITE!T5173,IF(DATA_QUALITE!V5173&lt;&gt;"-",DATA_QUALITE!V5173,DATA_CLEANED!AN687))))</f>
        <v>Italy</v>
      </c>
      <c r="BH696" s="103" t="str">
        <f>IF(AND(BG696="MATCH NUL",DATA_CLEANED!AO687="-"),"MATCH_NUL",IF(ISNUMBER(SEARCH("win on penalties",W5173)),"WIN_BY_PENALTY",IF(ISNUMBER(SEARCH("win after extra time",W5173)),"WIN_BY_EXTRA_TIME",IF(ISNUMBER(SEARCH("Golden Goal",W5173)),"WIN_BY_GOLDEN_GOAL","WIN_BY_SCORE"))))</f>
        <v>WIN_BY_SCORE</v>
      </c>
      <c r="BI696" s="99" t="str">
        <f>IF(OR(BG696=DATA_CLEANED!AK687,BG696=DATA_CLEANED!AN687,BG696="MATCH NUL"),"OK","ERREUR")</f>
        <v>OK</v>
      </c>
    </row>
    <row r="697" spans="2:61">
      <c r="B697" s="75">
        <v>260</v>
      </c>
      <c r="C697" s="15" t="str">
        <v>Frantzdy Pierrot</v>
      </c>
      <c r="D697" s="15">
        <v>31</v>
      </c>
      <c r="E697" s="15" t="str">
        <v>Haiti</v>
      </c>
      <c r="F697" s="15" t="str">
        <v>ST</v>
      </c>
      <c r="G697" s="15" t="str">
        <v>Çaykur Rizespor</v>
      </c>
      <c r="H697" s="15">
        <v>20</v>
      </c>
      <c r="I697" s="15" t="str">
        <f t="shared" si="64"/>
        <v>260|Frantzdy Pierrot|31|Haiti|ST|Çaykur Rizespor|20</v>
      </c>
      <c r="J697" s="15" t="str">
        <f>IF(COUNTIF(I$438:I697,I697)&gt;1,"DOUBLON","OK")</f>
        <v>OK</v>
      </c>
      <c r="S697" s="30" t="str">
        <v>Croatia</v>
      </c>
      <c r="T697" s="30" t="str">
        <f t="shared" si="60"/>
        <v>OK</v>
      </c>
      <c r="U697" s="30" t="str">
        <f t="shared" si="61"/>
        <v>-</v>
      </c>
      <c r="V697" s="30" t="str" cm="1">
        <f t="array" ref="V697">_xlfn.IFS(
ISNUMBER(SEARCH("USA",S697)),"United States",
ISNUMBER(SEARCH("Republic of Korea",S697)),"South Korea",
ISNUMBER(SEARCH("Cape Verde",S697)),"Cabo Verde",
ISNUMBER(SEARCH("Czechia",S697)),"Czech Republic",
ISNUMBER(SEARCH("Türkiye",S697)),"Turkey",
ISNUMBER(SEARCH("Ivory Coast",S697)),"Côte d'Ivoire",
ISNUMBER(SEARCH("Korea Republic",S697)),"South Korea",
ISNUMBER(SEARCH("Germany FR",S697)),"FR Germany",
ISNUMBER(SEARCH("West Germany",S697)),"FR Germany",
ISNUMBER(SEARCH("Germany DR",S697)),"DR Germany",
ISNUMBER(SEARCH("Korea DPR",S697)),"North Korea",
ISNUMBER(SEARCH("China PR",S697)),"China",
ISNUMBER(SEARCH("IR Iran",S697)),"Iran",
ISNUMBER(SEARCH("Congo DR",S697)),"Democratic Republic of the Congo",
ISNUMBER(SEARCH("DR Congo",S697)),"Democratic Republic of the Congo",
ISNUMBER(SEARCH("German DR",S697)),"DR Germany",
ISNUMBER(SEARCH("rn""&gt;United Arab Emirates",S697)),"United Arab Emirates",
ISNUMBER(SEARCH("rn""&gt;Republic of Ireland",S697)),"Ireland",
ISNUMBER(SEARCH("rn""&gt;Bosnia and Herzegovina",S697)),"Bosnia and Herzegovina",
ISNUMBER(SEARCH("rn""&gt;Trinidad and Tobago",S697)),"Trinidad and Tobago",
ISNUMBER(SEARCH("rn""&gt;Serbia and Montenegro",S697)),"Serbia and Montenegro",
ISNUMBER(SEARCH(_xlfn.UNICHAR(65533),S697)),"Côte d'Ivoire",
TRUE,""
)</f>
        <v/>
      </c>
      <c r="W697" s="30" t="str">
        <f t="shared" si="62"/>
        <v>Croatia</v>
      </c>
      <c r="Z697" s="40" t="str">
        <v>Olympiastadion</v>
      </c>
      <c r="AA697" s="40" t="str" cm="1">
        <f t="array" ref="AA697">IFERROR(_xlfn.XLOOKUP(Z697,_xlfn.ANCHORARRAY(Z$31),AA$31:AA$37),Z697)</f>
        <v>Olympiastadion</v>
      </c>
      <c r="AB697" s="42" t="str">
        <v xml:space="preserve">Berlin </v>
      </c>
      <c r="AC697" s="89" t="str">
        <f t="shared" si="63"/>
        <v xml:space="preserve">Berlin </v>
      </c>
      <c r="AE697" s="42">
        <v>2002</v>
      </c>
      <c r="AK697" s="42">
        <v>0</v>
      </c>
      <c r="AL697" s="42">
        <v>3</v>
      </c>
      <c r="AW697" s="89" t="str">
        <v>GROUP_STAGE</v>
      </c>
      <c r="BE697" s="43" t="str">
        <f>IF(OR(DATA_CLEANED!AL688="",DATA_CLEANED!AM688=""),"MANQUANT",IF(OR(NOT(ISNUMBER(DATA_CLEANED!AL688)),NOT(ISNUMBER(DATA_CLEANED!AM688))),"ENTREE INVALIDE",IF(OR(DATA_CLEANED!AL688&lt;0,DATA_CLEANED!AM688&lt;0),"SCORE NEGATIF","OK")))</f>
        <v>OK</v>
      </c>
      <c r="BF697" s="43" t="str">
        <f>IF(DATA_CLEANED!AK688&lt;&gt;DATA_CLEANED!AN688,"OK","ERREUR")</f>
        <v>OK</v>
      </c>
      <c r="BG697" s="43" t="str">
        <f>IF(DATA_CLEANED!AL688&gt;DATA_CLEANED!AM688,DATA_CLEANED!AK688,IF(AND(DATA_QUALITE!W5174="-",DATA_CLEANED!AM688=DATA_CLEANED!AL688),"MATCH NUL",IF(AND(DATA_QUALITE!V5174="-",DATA_QUALITE!U5174="AUCUNE"),DATA_QUALITE!T5174,IF(DATA_QUALITE!V5174&lt;&gt;"-",DATA_QUALITE!V5174,DATA_CLEANED!AN688))))</f>
        <v>Ghana</v>
      </c>
      <c r="BH697" s="103" t="str">
        <f>IF(AND(BG697="MATCH NUL",DATA_CLEANED!AO688="-"),"MATCH_NUL",IF(ISNUMBER(SEARCH("win on penalties",W5174)),"WIN_BY_PENALTY",IF(ISNUMBER(SEARCH("win after extra time",W5174)),"WIN_BY_EXTRA_TIME",IF(ISNUMBER(SEARCH("Golden Goal",W5174)),"WIN_BY_GOLDEN_GOAL","WIN_BY_SCORE"))))</f>
        <v>WIN_BY_SCORE</v>
      </c>
      <c r="BI697" s="99" t="str">
        <f>IF(OR(BG697=DATA_CLEANED!AK688,BG697=DATA_CLEANED!AN688,BG697="MATCH NUL"),"OK","ERREUR")</f>
        <v>OK</v>
      </c>
    </row>
    <row r="698" spans="2:61">
      <c r="B698" s="75">
        <v>261</v>
      </c>
      <c r="C698" s="15" t="str">
        <v>Yassine Bounou</v>
      </c>
      <c r="D698" s="15">
        <v>35</v>
      </c>
      <c r="E698" s="15" t="str">
        <v>Morocco</v>
      </c>
      <c r="F698" s="15" t="str">
        <v>GK</v>
      </c>
      <c r="G698" s="15" t="str">
        <v>Al-Hilal</v>
      </c>
      <c r="H698" s="15">
        <v>1</v>
      </c>
      <c r="I698" s="15" t="str">
        <f t="shared" si="64"/>
        <v>261|Yassine Bounou|35|Morocco|GK|Al-Hilal|1</v>
      </c>
      <c r="J698" s="15" t="str">
        <f>IF(COUNTIF(I$438:I698,I698)&gt;1,"DOUBLON","OK")</f>
        <v>OK</v>
      </c>
      <c r="S698" s="30" t="str">
        <v>Spain</v>
      </c>
      <c r="T698" s="30" t="str">
        <f t="shared" si="60"/>
        <v>OK</v>
      </c>
      <c r="U698" s="30" t="str">
        <f t="shared" si="61"/>
        <v>-</v>
      </c>
      <c r="V698" s="30" t="str" cm="1">
        <f t="array" ref="V698">_xlfn.IFS(
ISNUMBER(SEARCH("USA",S698)),"United States",
ISNUMBER(SEARCH("Republic of Korea",S698)),"South Korea",
ISNUMBER(SEARCH("Cape Verde",S698)),"Cabo Verde",
ISNUMBER(SEARCH("Czechia",S698)),"Czech Republic",
ISNUMBER(SEARCH("Türkiye",S698)),"Turkey",
ISNUMBER(SEARCH("Ivory Coast",S698)),"Côte d'Ivoire",
ISNUMBER(SEARCH("Korea Republic",S698)),"South Korea",
ISNUMBER(SEARCH("Germany FR",S698)),"FR Germany",
ISNUMBER(SEARCH("West Germany",S698)),"FR Germany",
ISNUMBER(SEARCH("Germany DR",S698)),"DR Germany",
ISNUMBER(SEARCH("Korea DPR",S698)),"North Korea",
ISNUMBER(SEARCH("China PR",S698)),"China",
ISNUMBER(SEARCH("IR Iran",S698)),"Iran",
ISNUMBER(SEARCH("Congo DR",S698)),"Democratic Republic of the Congo",
ISNUMBER(SEARCH("DR Congo",S698)),"Democratic Republic of the Congo",
ISNUMBER(SEARCH("German DR",S698)),"DR Germany",
ISNUMBER(SEARCH("rn""&gt;United Arab Emirates",S698)),"United Arab Emirates",
ISNUMBER(SEARCH("rn""&gt;Republic of Ireland",S698)),"Ireland",
ISNUMBER(SEARCH("rn""&gt;Bosnia and Herzegovina",S698)),"Bosnia and Herzegovina",
ISNUMBER(SEARCH("rn""&gt;Trinidad and Tobago",S698)),"Trinidad and Tobago",
ISNUMBER(SEARCH("rn""&gt;Serbia and Montenegro",S698)),"Serbia and Montenegro",
ISNUMBER(SEARCH(_xlfn.UNICHAR(65533),S698)),"Côte d'Ivoire",
TRUE,""
)</f>
        <v/>
      </c>
      <c r="W698" s="30" t="str">
        <f t="shared" si="62"/>
        <v>Spain</v>
      </c>
      <c r="Z698" s="40" t="str">
        <v>Zentralstadion</v>
      </c>
      <c r="AA698" s="40" t="str" cm="1">
        <f t="array" ref="AA698">IFERROR(_xlfn.XLOOKUP(Z698,_xlfn.ANCHORARRAY(Z$31),AA$31:AA$37),Z698)</f>
        <v>Zentralstadion</v>
      </c>
      <c r="AB698" s="42" t="str">
        <v xml:space="preserve">Leipzig </v>
      </c>
      <c r="AC698" s="89" t="str">
        <f t="shared" si="63"/>
        <v xml:space="preserve">Leipzig </v>
      </c>
      <c r="AE698" s="42">
        <v>2002</v>
      </c>
      <c r="AK698" s="42">
        <v>0</v>
      </c>
      <c r="AL698" s="42">
        <v>2</v>
      </c>
      <c r="AW698" s="89" t="str">
        <v>GROUP_STAGE</v>
      </c>
      <c r="BE698" s="43" t="str">
        <f>IF(OR(DATA_CLEANED!AL689="",DATA_CLEANED!AM689=""),"MANQUANT",IF(OR(NOT(ISNUMBER(DATA_CLEANED!AL689)),NOT(ISNUMBER(DATA_CLEANED!AM689))),"ENTREE INVALIDE",IF(OR(DATA_CLEANED!AL689&lt;0,DATA_CLEANED!AM689&lt;0),"SCORE NEGATIF","OK")))</f>
        <v>OK</v>
      </c>
      <c r="BF698" s="43" t="str">
        <f>IF(DATA_CLEANED!AK689&lt;&gt;DATA_CLEANED!AN689,"OK","ERREUR")</f>
        <v>OK</v>
      </c>
      <c r="BG698" s="43" t="str">
        <f>IF(DATA_CLEANED!AL689&gt;DATA_CLEANED!AM689,DATA_CLEANED!AK689,IF(AND(DATA_QUALITE!W5175="-",DATA_CLEANED!AM689=DATA_CLEANED!AL689),"MATCH NUL",IF(AND(DATA_QUALITE!V5175="-",DATA_QUALITE!U5175="AUCUNE"),DATA_QUALITE!T5175,IF(DATA_QUALITE!V5175&lt;&gt;"-",DATA_QUALITE!V5175,DATA_CLEANED!AN689))))</f>
        <v>Brazil</v>
      </c>
      <c r="BH698" s="103" t="str">
        <f>IF(AND(BG698="MATCH NUL",DATA_CLEANED!AO689="-"),"MATCH_NUL",IF(ISNUMBER(SEARCH("win on penalties",W5175)),"WIN_BY_PENALTY",IF(ISNUMBER(SEARCH("win after extra time",W5175)),"WIN_BY_EXTRA_TIME",IF(ISNUMBER(SEARCH("Golden Goal",W5175)),"WIN_BY_GOLDEN_GOAL","WIN_BY_SCORE"))))</f>
        <v>WIN_BY_SCORE</v>
      </c>
      <c r="BI698" s="99" t="str">
        <f>IF(OR(BG698=DATA_CLEANED!AK689,BG698=DATA_CLEANED!AN689,BG698="MATCH NUL"),"OK","ERREUR")</f>
        <v>OK</v>
      </c>
    </row>
    <row r="699" spans="2:61">
      <c r="B699" s="75">
        <v>262</v>
      </c>
      <c r="C699" s="15" t="str">
        <v>Munir Mohamedi</v>
      </c>
      <c r="D699" s="15">
        <v>37</v>
      </c>
      <c r="E699" s="15" t="str">
        <v>Morocco</v>
      </c>
      <c r="F699" s="15" t="str">
        <v>GK</v>
      </c>
      <c r="G699" s="15" t="str">
        <v>RS Berkane</v>
      </c>
      <c r="H699" s="15">
        <v>12</v>
      </c>
      <c r="I699" s="15" t="str">
        <f t="shared" si="64"/>
        <v>262|Munir Mohamedi|37|Morocco|GK|RS Berkane|12</v>
      </c>
      <c r="J699" s="15" t="str">
        <f>IF(COUNTIF(I$438:I699,I699)&gt;1,"DOUBLON","OK")</f>
        <v>OK</v>
      </c>
      <c r="S699" s="30" t="str">
        <v>Spain</v>
      </c>
      <c r="T699" s="30" t="str">
        <f t="shared" ref="T699:T762" si="65">IF(COUNTIF(R$21:R$250,S699)=1,"OK","ERREUR")</f>
        <v>OK</v>
      </c>
      <c r="U699" s="30" t="str">
        <f t="shared" si="61"/>
        <v>-</v>
      </c>
      <c r="V699" s="30" t="str" cm="1">
        <f t="array" ref="V699">_xlfn.IFS(
ISNUMBER(SEARCH("USA",S699)),"United States",
ISNUMBER(SEARCH("Republic of Korea",S699)),"South Korea",
ISNUMBER(SEARCH("Cape Verde",S699)),"Cabo Verde",
ISNUMBER(SEARCH("Czechia",S699)),"Czech Republic",
ISNUMBER(SEARCH("Türkiye",S699)),"Turkey",
ISNUMBER(SEARCH("Ivory Coast",S699)),"Côte d'Ivoire",
ISNUMBER(SEARCH("Korea Republic",S699)),"South Korea",
ISNUMBER(SEARCH("Germany FR",S699)),"FR Germany",
ISNUMBER(SEARCH("West Germany",S699)),"FR Germany",
ISNUMBER(SEARCH("Germany DR",S699)),"DR Germany",
ISNUMBER(SEARCH("Korea DPR",S699)),"North Korea",
ISNUMBER(SEARCH("China PR",S699)),"China",
ISNUMBER(SEARCH("IR Iran",S699)),"Iran",
ISNUMBER(SEARCH("Congo DR",S699)),"Democratic Republic of the Congo",
ISNUMBER(SEARCH("DR Congo",S699)),"Democratic Republic of the Congo",
ISNUMBER(SEARCH("German DR",S699)),"DR Germany",
ISNUMBER(SEARCH("rn""&gt;United Arab Emirates",S699)),"United Arab Emirates",
ISNUMBER(SEARCH("rn""&gt;Republic of Ireland",S699)),"Ireland",
ISNUMBER(SEARCH("rn""&gt;Bosnia and Herzegovina",S699)),"Bosnia and Herzegovina",
ISNUMBER(SEARCH("rn""&gt;Trinidad and Tobago",S699)),"Trinidad and Tobago",
ISNUMBER(SEARCH("rn""&gt;Serbia and Montenegro",S699)),"Serbia and Montenegro",
ISNUMBER(SEARCH(_xlfn.UNICHAR(65533),S699)),"Côte d'Ivoire",
TRUE,""
)</f>
        <v/>
      </c>
      <c r="W699" s="30" t="str">
        <f t="shared" si="62"/>
        <v>Spain</v>
      </c>
      <c r="Z699" s="40" t="str">
        <v>FIFA World Cup Stadium, Munich</v>
      </c>
      <c r="AA699" s="40" t="str" cm="1">
        <f t="array" ref="AA699">IFERROR(_xlfn.XLOOKUP(Z699,_xlfn.ANCHORARRAY(Z$31),AA$31:AA$37),Z699)</f>
        <v>FIFA World Cup Stadium, Munich</v>
      </c>
      <c r="AB699" s="42" t="str">
        <v xml:space="preserve">Munich </v>
      </c>
      <c r="AC699" s="89" t="str">
        <f t="shared" si="63"/>
        <v xml:space="preserve">Munich </v>
      </c>
      <c r="AE699" s="42">
        <v>2002</v>
      </c>
      <c r="AK699" s="42">
        <v>1</v>
      </c>
      <c r="AL699" s="42">
        <v>1</v>
      </c>
      <c r="AW699" s="89" t="str">
        <v>GROUP_STAGE</v>
      </c>
      <c r="BE699" s="43" t="str">
        <f>IF(OR(DATA_CLEANED!AL690="",DATA_CLEANED!AM690=""),"MANQUANT",IF(OR(NOT(ISNUMBER(DATA_CLEANED!AL690)),NOT(ISNUMBER(DATA_CLEANED!AM690))),"ENTREE INVALIDE",IF(OR(DATA_CLEANED!AL690&lt;0,DATA_CLEANED!AM690&lt;0),"SCORE NEGATIF","OK")))</f>
        <v>OK</v>
      </c>
      <c r="BF699" s="43" t="str">
        <f>IF(DATA_CLEANED!AK690&lt;&gt;DATA_CLEANED!AN690,"OK","ERREUR")</f>
        <v>OK</v>
      </c>
      <c r="BG699" s="43" t="str">
        <f>IF(DATA_CLEANED!AL690&gt;DATA_CLEANED!AM690,DATA_CLEANED!AK690,IF(AND(DATA_QUALITE!W5176="-",DATA_CLEANED!AM690=DATA_CLEANED!AL690),"MATCH NUL",IF(AND(DATA_QUALITE!V5176="-",DATA_QUALITE!U5176="AUCUNE"),DATA_QUALITE!T5176,IF(DATA_QUALITE!V5176&lt;&gt;"-",DATA_QUALITE!V5176,DATA_CLEANED!AN690))))</f>
        <v>MATCH NUL</v>
      </c>
      <c r="BH699" s="103" t="str">
        <f>IF(AND(BG699="MATCH NUL",DATA_CLEANED!AO690="-"),"MATCH_NUL",IF(ISNUMBER(SEARCH("win on penalties",W5176)),"WIN_BY_PENALTY",IF(ISNUMBER(SEARCH("win after extra time",W5176)),"WIN_BY_EXTRA_TIME",IF(ISNUMBER(SEARCH("Golden Goal",W5176)),"WIN_BY_GOLDEN_GOAL","WIN_BY_SCORE"))))</f>
        <v>MATCH_NUL</v>
      </c>
      <c r="BI699" s="99" t="str">
        <f>IF(OR(BG699=DATA_CLEANED!AK690,BG699=DATA_CLEANED!AN690,BG699="MATCH NUL"),"OK","ERREUR")</f>
        <v>OK</v>
      </c>
    </row>
    <row r="700" spans="2:61">
      <c r="B700" s="75">
        <v>263</v>
      </c>
      <c r="C700" s="15" t="str">
        <v>Ahmed Reda Tagnaouti</v>
      </c>
      <c r="D700" s="15">
        <v>30</v>
      </c>
      <c r="E700" s="15" t="str">
        <v>Morocco</v>
      </c>
      <c r="F700" s="15" t="str">
        <v>GK</v>
      </c>
      <c r="G700" s="15" t="str">
        <v>AS FAR</v>
      </c>
      <c r="H700" s="15">
        <v>22</v>
      </c>
      <c r="I700" s="15" t="str">
        <f t="shared" si="64"/>
        <v>263|Ahmed Reda Tagnaouti|30|Morocco|GK|AS FAR|22</v>
      </c>
      <c r="J700" s="15" t="str">
        <f>IF(COUNTIF(I$438:I700,I700)&gt;1,"DOUBLON","OK")</f>
        <v>OK</v>
      </c>
      <c r="S700" s="30" t="str">
        <v>Spain</v>
      </c>
      <c r="T700" s="30" t="str">
        <f t="shared" si="65"/>
        <v>OK</v>
      </c>
      <c r="U700" s="30" t="str">
        <f t="shared" si="61"/>
        <v>-</v>
      </c>
      <c r="V700" s="30" t="str" cm="1">
        <f t="array" ref="V700">_xlfn.IFS(
ISNUMBER(SEARCH("USA",S700)),"United States",
ISNUMBER(SEARCH("Republic of Korea",S700)),"South Korea",
ISNUMBER(SEARCH("Cape Verde",S700)),"Cabo Verde",
ISNUMBER(SEARCH("Czechia",S700)),"Czech Republic",
ISNUMBER(SEARCH("Türkiye",S700)),"Turkey",
ISNUMBER(SEARCH("Ivory Coast",S700)),"Côte d'Ivoire",
ISNUMBER(SEARCH("Korea Republic",S700)),"South Korea",
ISNUMBER(SEARCH("Germany FR",S700)),"FR Germany",
ISNUMBER(SEARCH("West Germany",S700)),"FR Germany",
ISNUMBER(SEARCH("Germany DR",S700)),"DR Germany",
ISNUMBER(SEARCH("Korea DPR",S700)),"North Korea",
ISNUMBER(SEARCH("China PR",S700)),"China",
ISNUMBER(SEARCH("IR Iran",S700)),"Iran",
ISNUMBER(SEARCH("Congo DR",S700)),"Democratic Republic of the Congo",
ISNUMBER(SEARCH("DR Congo",S700)),"Democratic Republic of the Congo",
ISNUMBER(SEARCH("German DR",S700)),"DR Germany",
ISNUMBER(SEARCH("rn""&gt;United Arab Emirates",S700)),"United Arab Emirates",
ISNUMBER(SEARCH("rn""&gt;Republic of Ireland",S700)),"Ireland",
ISNUMBER(SEARCH("rn""&gt;Bosnia and Herzegovina",S700)),"Bosnia and Herzegovina",
ISNUMBER(SEARCH("rn""&gt;Trinidad and Tobago",S700)),"Trinidad and Tobago",
ISNUMBER(SEARCH("rn""&gt;Serbia and Montenegro",S700)),"Serbia and Montenegro",
ISNUMBER(SEARCH(_xlfn.UNICHAR(65533),S700)),"Côte d'Ivoire",
TRUE,""
)</f>
        <v/>
      </c>
      <c r="W700" s="30" t="str">
        <f t="shared" si="62"/>
        <v>Spain</v>
      </c>
      <c r="Z700" s="40" t="str">
        <v>FIFA World Cup Stadium, Dortmund</v>
      </c>
      <c r="AA700" s="40" t="str" cm="1">
        <f t="array" ref="AA700">IFERROR(_xlfn.XLOOKUP(Z700,_xlfn.ANCHORARRAY(Z$31),AA$31:AA$37),Z700)</f>
        <v>FIFA World Cup Stadium, Dortmund</v>
      </c>
      <c r="AB700" s="42" t="str">
        <v xml:space="preserve">Dortmund </v>
      </c>
      <c r="AC700" s="89" t="str">
        <f t="shared" si="63"/>
        <v xml:space="preserve">Dortmund </v>
      </c>
      <c r="AE700" s="42">
        <v>2002</v>
      </c>
      <c r="AK700" s="42">
        <v>0</v>
      </c>
      <c r="AL700" s="42">
        <v>0</v>
      </c>
      <c r="AW700" s="89" t="str">
        <v>GROUP_STAGE</v>
      </c>
      <c r="BE700" s="43" t="str">
        <f>IF(OR(DATA_CLEANED!AL691="",DATA_CLEANED!AM691=""),"MANQUANT",IF(OR(NOT(ISNUMBER(DATA_CLEANED!AL691)),NOT(ISNUMBER(DATA_CLEANED!AM691))),"ENTREE INVALIDE",IF(OR(DATA_CLEANED!AL691&lt;0,DATA_CLEANED!AM691&lt;0),"SCORE NEGATIF","OK")))</f>
        <v>OK</v>
      </c>
      <c r="BF700" s="43" t="str">
        <f>IF(DATA_CLEANED!AK691&lt;&gt;DATA_CLEANED!AN691,"OK","ERREUR")</f>
        <v>OK</v>
      </c>
      <c r="BG700" s="43" t="str">
        <f>IF(DATA_CLEANED!AL691&gt;DATA_CLEANED!AM691,DATA_CLEANED!AK691,IF(AND(DATA_QUALITE!W5177="-",DATA_CLEANED!AM691=DATA_CLEANED!AL691),"MATCH NUL",IF(AND(DATA_QUALITE!V5177="-",DATA_QUALITE!U5177="AUCUNE"),DATA_QUALITE!T5177,IF(DATA_QUALITE!V5177&lt;&gt;"-",DATA_QUALITE!V5177,DATA_CLEANED!AN691))))</f>
        <v>Ukraine</v>
      </c>
      <c r="BH700" s="103" t="str">
        <f>IF(AND(BG700="MATCH NUL",DATA_CLEANED!AO691="-"),"MATCH_NUL",IF(ISNUMBER(SEARCH("win on penalties",W5177)),"WIN_BY_PENALTY",IF(ISNUMBER(SEARCH("win after extra time",W5177)),"WIN_BY_EXTRA_TIME",IF(ISNUMBER(SEARCH("Golden Goal",W5177)),"WIN_BY_GOLDEN_GOAL","WIN_BY_SCORE"))))</f>
        <v>WIN_BY_SCORE</v>
      </c>
      <c r="BI700" s="99" t="str">
        <f>IF(OR(BG700=DATA_CLEANED!AK691,BG700=DATA_CLEANED!AN691,BG700="MATCH NUL"),"OK","ERREUR")</f>
        <v>OK</v>
      </c>
    </row>
    <row r="701" spans="2:61">
      <c r="B701" s="75">
        <v>264</v>
      </c>
      <c r="C701" s="15" t="str">
        <v>Marwane Saâdane</v>
      </c>
      <c r="D701" s="15">
        <v>34</v>
      </c>
      <c r="E701" s="15" t="str">
        <v>Morocco</v>
      </c>
      <c r="F701" s="15" t="str">
        <v>CB</v>
      </c>
      <c r="G701" s="15" t="str">
        <v>Al-Fateh</v>
      </c>
      <c r="H701" s="15">
        <v>5</v>
      </c>
      <c r="I701" s="15" t="str">
        <f t="shared" si="64"/>
        <v>264|Marwane Saâdane|34|Morocco|CB|Al-Fateh|5</v>
      </c>
      <c r="J701" s="15" t="str">
        <f>IF(COUNTIF(I$438:I701,I701)&gt;1,"DOUBLON","OK")</f>
        <v>OK</v>
      </c>
      <c r="S701" s="30" t="str">
        <v>Spain</v>
      </c>
      <c r="T701" s="30" t="str">
        <f t="shared" si="65"/>
        <v>OK</v>
      </c>
      <c r="U701" s="30" t="str">
        <f t="shared" si="61"/>
        <v>-</v>
      </c>
      <c r="V701" s="30" t="str" cm="1">
        <f t="array" ref="V701">_xlfn.IFS(
ISNUMBER(SEARCH("USA",S701)),"United States",
ISNUMBER(SEARCH("Republic of Korea",S701)),"South Korea",
ISNUMBER(SEARCH("Cape Verde",S701)),"Cabo Verde",
ISNUMBER(SEARCH("Czechia",S701)),"Czech Republic",
ISNUMBER(SEARCH("Türkiye",S701)),"Turkey",
ISNUMBER(SEARCH("Ivory Coast",S701)),"Côte d'Ivoire",
ISNUMBER(SEARCH("Korea Republic",S701)),"South Korea",
ISNUMBER(SEARCH("Germany FR",S701)),"FR Germany",
ISNUMBER(SEARCH("West Germany",S701)),"FR Germany",
ISNUMBER(SEARCH("Germany DR",S701)),"DR Germany",
ISNUMBER(SEARCH("Korea DPR",S701)),"North Korea",
ISNUMBER(SEARCH("China PR",S701)),"China",
ISNUMBER(SEARCH("IR Iran",S701)),"Iran",
ISNUMBER(SEARCH("Congo DR",S701)),"Democratic Republic of the Congo",
ISNUMBER(SEARCH("DR Congo",S701)),"Democratic Republic of the Congo",
ISNUMBER(SEARCH("German DR",S701)),"DR Germany",
ISNUMBER(SEARCH("rn""&gt;United Arab Emirates",S701)),"United Arab Emirates",
ISNUMBER(SEARCH("rn""&gt;Republic of Ireland",S701)),"Ireland",
ISNUMBER(SEARCH("rn""&gt;Bosnia and Herzegovina",S701)),"Bosnia and Herzegovina",
ISNUMBER(SEARCH("rn""&gt;Trinidad and Tobago",S701)),"Trinidad and Tobago",
ISNUMBER(SEARCH("rn""&gt;Serbia and Montenegro",S701)),"Serbia and Montenegro",
ISNUMBER(SEARCH(_xlfn.UNICHAR(65533),S701)),"Côte d'Ivoire",
TRUE,""
)</f>
        <v/>
      </c>
      <c r="W701" s="30" t="str">
        <f t="shared" si="62"/>
        <v>Spain</v>
      </c>
      <c r="Z701" s="40" t="str">
        <v>FIFA World Cup Stadium, Hamburg</v>
      </c>
      <c r="AA701" s="40" t="str" cm="1">
        <f t="array" ref="AA701">IFERROR(_xlfn.XLOOKUP(Z701,_xlfn.ANCHORARRAY(Z$31),AA$31:AA$37),Z701)</f>
        <v>FIFA World Cup Stadium, Hamburg</v>
      </c>
      <c r="AB701" s="42" t="str">
        <v xml:space="preserve">Hamburg </v>
      </c>
      <c r="AC701" s="89" t="str">
        <f t="shared" si="63"/>
        <v xml:space="preserve">Hamburg </v>
      </c>
      <c r="AE701" s="42">
        <v>2002</v>
      </c>
      <c r="AK701" s="42">
        <v>1</v>
      </c>
      <c r="AL701" s="42">
        <v>3</v>
      </c>
      <c r="AW701" s="89" t="str">
        <v>GROUP_STAGE</v>
      </c>
      <c r="BE701" s="43" t="str">
        <f>IF(OR(DATA_CLEANED!AL692="",DATA_CLEANED!AM692=""),"MANQUANT",IF(OR(NOT(ISNUMBER(DATA_CLEANED!AL692)),NOT(ISNUMBER(DATA_CLEANED!AM692))),"ENTREE INVALIDE",IF(OR(DATA_CLEANED!AL692&lt;0,DATA_CLEANED!AM692&lt;0),"SCORE NEGATIF","OK")))</f>
        <v>OK</v>
      </c>
      <c r="BF701" s="43" t="str">
        <f>IF(DATA_CLEANED!AK692&lt;&gt;DATA_CLEANED!AN692,"OK","ERREUR")</f>
        <v>OK</v>
      </c>
      <c r="BG701" s="43" t="str">
        <f>IF(DATA_CLEANED!AL692&gt;DATA_CLEANED!AM692,DATA_CLEANED!AK692,IF(AND(DATA_QUALITE!W5178="-",DATA_CLEANED!AM692=DATA_CLEANED!AL692),"MATCH NUL",IF(AND(DATA_QUALITE!V5178="-",DATA_QUALITE!U5178="AUCUNE"),DATA_QUALITE!T5178,IF(DATA_QUALITE!V5178&lt;&gt;"-",DATA_QUALITE!V5178,DATA_CLEANED!AN692))))</f>
        <v>Spain</v>
      </c>
      <c r="BH701" s="103" t="str">
        <f>IF(AND(BG701="MATCH NUL",DATA_CLEANED!AO692="-"),"MATCH_NUL",IF(ISNUMBER(SEARCH("win on penalties",W5178)),"WIN_BY_PENALTY",IF(ISNUMBER(SEARCH("win after extra time",W5178)),"WIN_BY_EXTRA_TIME",IF(ISNUMBER(SEARCH("Golden Goal",W5178)),"WIN_BY_GOLDEN_GOAL","WIN_BY_SCORE"))))</f>
        <v>WIN_BY_SCORE</v>
      </c>
      <c r="BI701" s="99" t="str">
        <f>IF(OR(BG701=DATA_CLEANED!AK692,BG701=DATA_CLEANED!AN692,BG701="MATCH NUL"),"OK","ERREUR")</f>
        <v>OK</v>
      </c>
    </row>
    <row r="702" spans="2:61">
      <c r="B702" s="75">
        <v>265</v>
      </c>
      <c r="C702" s="15" t="str">
        <v>Issa Diop</v>
      </c>
      <c r="D702" s="15">
        <v>29</v>
      </c>
      <c r="E702" s="15" t="str">
        <v>Morocco</v>
      </c>
      <c r="F702" s="15" t="str">
        <v>CB</v>
      </c>
      <c r="G702" s="15" t="str">
        <v>Fulham</v>
      </c>
      <c r="H702" s="15">
        <v>14</v>
      </c>
      <c r="I702" s="15" t="str">
        <f t="shared" si="64"/>
        <v>265|Issa Diop|29|Morocco|CB|Fulham|14</v>
      </c>
      <c r="J702" s="15" t="str">
        <f>IF(COUNTIF(I$438:I702,I702)&gt;1,"DOUBLON","OK")</f>
        <v>OK</v>
      </c>
      <c r="S702" s="30" t="str">
        <v>Spain</v>
      </c>
      <c r="T702" s="30" t="str">
        <f t="shared" si="65"/>
        <v>OK</v>
      </c>
      <c r="U702" s="30" t="str">
        <f t="shared" si="61"/>
        <v>-</v>
      </c>
      <c r="V702" s="30" t="str" cm="1">
        <f t="array" ref="V702">_xlfn.IFS(
ISNUMBER(SEARCH("USA",S702)),"United States",
ISNUMBER(SEARCH("Republic of Korea",S702)),"South Korea",
ISNUMBER(SEARCH("Cape Verde",S702)),"Cabo Verde",
ISNUMBER(SEARCH("Czechia",S702)),"Czech Republic",
ISNUMBER(SEARCH("Türkiye",S702)),"Turkey",
ISNUMBER(SEARCH("Ivory Coast",S702)),"Côte d'Ivoire",
ISNUMBER(SEARCH("Korea Republic",S702)),"South Korea",
ISNUMBER(SEARCH("Germany FR",S702)),"FR Germany",
ISNUMBER(SEARCH("West Germany",S702)),"FR Germany",
ISNUMBER(SEARCH("Germany DR",S702)),"DR Germany",
ISNUMBER(SEARCH("Korea DPR",S702)),"North Korea",
ISNUMBER(SEARCH("China PR",S702)),"China",
ISNUMBER(SEARCH("IR Iran",S702)),"Iran",
ISNUMBER(SEARCH("Congo DR",S702)),"Democratic Republic of the Congo",
ISNUMBER(SEARCH("DR Congo",S702)),"Democratic Republic of the Congo",
ISNUMBER(SEARCH("German DR",S702)),"DR Germany",
ISNUMBER(SEARCH("rn""&gt;United Arab Emirates",S702)),"United Arab Emirates",
ISNUMBER(SEARCH("rn""&gt;Republic of Ireland",S702)),"Ireland",
ISNUMBER(SEARCH("rn""&gt;Bosnia and Herzegovina",S702)),"Bosnia and Herzegovina",
ISNUMBER(SEARCH("rn""&gt;Trinidad and Tobago",S702)),"Trinidad and Tobago",
ISNUMBER(SEARCH("rn""&gt;Serbia and Montenegro",S702)),"Serbia and Montenegro",
ISNUMBER(SEARCH(_xlfn.UNICHAR(65533),S702)),"Côte d'Ivoire",
TRUE,""
)</f>
        <v/>
      </c>
      <c r="W702" s="30" t="str">
        <f t="shared" si="62"/>
        <v>Spain</v>
      </c>
      <c r="Z702" s="40" t="str">
        <v>Franken-Stadion</v>
      </c>
      <c r="AA702" s="40" t="str" cm="1">
        <f t="array" ref="AA702">IFERROR(_xlfn.XLOOKUP(Z702,_xlfn.ANCHORARRAY(Z$31),AA$31:AA$37),Z702)</f>
        <v>Franken-Stadion</v>
      </c>
      <c r="AB702" s="42" t="str">
        <v xml:space="preserve">Nuremberg </v>
      </c>
      <c r="AC702" s="89" t="str">
        <f t="shared" si="63"/>
        <v xml:space="preserve">Nuremberg </v>
      </c>
      <c r="AE702" s="42">
        <v>2002</v>
      </c>
      <c r="AK702" s="42">
        <v>2</v>
      </c>
      <c r="AL702" s="42">
        <v>3</v>
      </c>
      <c r="AW702" s="89" t="str">
        <v>GROUP_STAGE</v>
      </c>
      <c r="BE702" s="43" t="str">
        <f>IF(OR(DATA_CLEANED!AL693="",DATA_CLEANED!AM693=""),"MANQUANT",IF(OR(NOT(ISNUMBER(DATA_CLEANED!AL693)),NOT(ISNUMBER(DATA_CLEANED!AM693))),"ENTREE INVALIDE",IF(OR(DATA_CLEANED!AL693&lt;0,DATA_CLEANED!AM693&lt;0),"SCORE NEGATIF","OK")))</f>
        <v>OK</v>
      </c>
      <c r="BF702" s="43" t="str">
        <f>IF(DATA_CLEANED!AK693&lt;&gt;DATA_CLEANED!AN693,"OK","ERREUR")</f>
        <v>OK</v>
      </c>
      <c r="BG702" s="43" t="str">
        <f>IF(DATA_CLEANED!AL693&gt;DATA_CLEANED!AM693,DATA_CLEANED!AK693,IF(AND(DATA_QUALITE!W5179="-",DATA_CLEANED!AM693=DATA_CLEANED!AL693),"MATCH NUL",IF(AND(DATA_QUALITE!V5179="-",DATA_QUALITE!U5179="AUCUNE"),DATA_QUALITE!T5179,IF(DATA_QUALITE!V5179&lt;&gt;"-",DATA_QUALITE!V5179,DATA_CLEANED!AN693))))</f>
        <v>France</v>
      </c>
      <c r="BH702" s="103" t="str">
        <f>IF(AND(BG702="MATCH NUL",DATA_CLEANED!AO693="-"),"MATCH_NUL",IF(ISNUMBER(SEARCH("win on penalties",W5179)),"WIN_BY_PENALTY",IF(ISNUMBER(SEARCH("win after extra time",W5179)),"WIN_BY_EXTRA_TIME",IF(ISNUMBER(SEARCH("Golden Goal",W5179)),"WIN_BY_GOLDEN_GOAL","WIN_BY_SCORE"))))</f>
        <v>WIN_BY_SCORE</v>
      </c>
      <c r="BI702" s="99" t="str">
        <f>IF(OR(BG702=DATA_CLEANED!AK693,BG702=DATA_CLEANED!AN693,BG702="MATCH NUL"),"OK","ERREUR")</f>
        <v>OK</v>
      </c>
    </row>
    <row r="703" spans="2:61">
      <c r="B703" s="75">
        <v>266</v>
      </c>
      <c r="C703" s="15" t="str">
        <v>Chadi Riad</v>
      </c>
      <c r="D703" s="15">
        <v>22</v>
      </c>
      <c r="E703" s="15" t="str">
        <v>Morocco</v>
      </c>
      <c r="F703" s="15" t="str">
        <v>CB</v>
      </c>
      <c r="G703" s="15" t="str">
        <v>Crystal Palace</v>
      </c>
      <c r="H703" s="15">
        <v>18</v>
      </c>
      <c r="I703" s="15" t="str">
        <f t="shared" si="64"/>
        <v>266|Chadi Riad|22|Morocco|CB|Crystal Palace|18</v>
      </c>
      <c r="J703" s="15" t="str">
        <f>IF(COUNTIF(I$438:I703,I703)&gt;1,"DOUBLON","OK")</f>
        <v>OK</v>
      </c>
      <c r="S703" s="30" t="str">
        <v>Spain</v>
      </c>
      <c r="T703" s="30" t="str">
        <f t="shared" si="65"/>
        <v>OK</v>
      </c>
      <c r="U703" s="30" t="str">
        <f t="shared" si="61"/>
        <v>-</v>
      </c>
      <c r="V703" s="30" t="str" cm="1">
        <f t="array" ref="V703">_xlfn.IFS(
ISNUMBER(SEARCH("USA",S703)),"United States",
ISNUMBER(SEARCH("Republic of Korea",S703)),"South Korea",
ISNUMBER(SEARCH("Cape Verde",S703)),"Cabo Verde",
ISNUMBER(SEARCH("Czechia",S703)),"Czech Republic",
ISNUMBER(SEARCH("Türkiye",S703)),"Turkey",
ISNUMBER(SEARCH("Ivory Coast",S703)),"Côte d'Ivoire",
ISNUMBER(SEARCH("Korea Republic",S703)),"South Korea",
ISNUMBER(SEARCH("Germany FR",S703)),"FR Germany",
ISNUMBER(SEARCH("West Germany",S703)),"FR Germany",
ISNUMBER(SEARCH("Germany DR",S703)),"DR Germany",
ISNUMBER(SEARCH("Korea DPR",S703)),"North Korea",
ISNUMBER(SEARCH("China PR",S703)),"China",
ISNUMBER(SEARCH("IR Iran",S703)),"Iran",
ISNUMBER(SEARCH("Congo DR",S703)),"Democratic Republic of the Congo",
ISNUMBER(SEARCH("DR Congo",S703)),"Democratic Republic of the Congo",
ISNUMBER(SEARCH("German DR",S703)),"DR Germany",
ISNUMBER(SEARCH("rn""&gt;United Arab Emirates",S703)),"United Arab Emirates",
ISNUMBER(SEARCH("rn""&gt;Republic of Ireland",S703)),"Ireland",
ISNUMBER(SEARCH("rn""&gt;Bosnia and Herzegovina",S703)),"Bosnia and Herzegovina",
ISNUMBER(SEARCH("rn""&gt;Trinidad and Tobago",S703)),"Trinidad and Tobago",
ISNUMBER(SEARCH("rn""&gt;Serbia and Montenegro",S703)),"Serbia and Montenegro",
ISNUMBER(SEARCH(_xlfn.UNICHAR(65533),S703)),"Côte d'Ivoire",
TRUE,""
)</f>
        <v/>
      </c>
      <c r="W703" s="30" t="str">
        <f t="shared" si="62"/>
        <v>Spain</v>
      </c>
      <c r="Z703" s="40" t="str">
        <v>Olympiastadion</v>
      </c>
      <c r="AA703" s="40" t="str" cm="1">
        <f t="array" ref="AA703">IFERROR(_xlfn.XLOOKUP(Z703,_xlfn.ANCHORARRAY(Z$31),AA$31:AA$37),Z703)</f>
        <v>Olympiastadion</v>
      </c>
      <c r="AB703" s="42" t="str">
        <v xml:space="preserve">Berlin </v>
      </c>
      <c r="AC703" s="89" t="str">
        <f t="shared" si="63"/>
        <v xml:space="preserve">Berlin </v>
      </c>
      <c r="AE703" s="42">
        <v>2002</v>
      </c>
      <c r="AK703" s="42">
        <v>2</v>
      </c>
      <c r="AL703" s="42">
        <v>5</v>
      </c>
      <c r="AW703" s="89" t="str">
        <v>GROUP_STAGE</v>
      </c>
      <c r="BE703" s="43" t="str">
        <f>IF(OR(DATA_CLEANED!AL694="",DATA_CLEANED!AM694=""),"MANQUANT",IF(OR(NOT(ISNUMBER(DATA_CLEANED!AL694)),NOT(ISNUMBER(DATA_CLEANED!AM694))),"ENTREE INVALIDE",IF(OR(DATA_CLEANED!AL694&lt;0,DATA_CLEANED!AM694&lt;0),"SCORE NEGATIF","OK")))</f>
        <v>OK</v>
      </c>
      <c r="BF703" s="43" t="str">
        <f>IF(DATA_CLEANED!AK694&lt;&gt;DATA_CLEANED!AN694,"OK","ERREUR")</f>
        <v>OK</v>
      </c>
      <c r="BG703" s="43" t="str">
        <f>IF(DATA_CLEANED!AL694&gt;DATA_CLEANED!AM694,DATA_CLEANED!AK694,IF(AND(DATA_QUALITE!W5180="-",DATA_CLEANED!AM694=DATA_CLEANED!AL694),"MATCH NUL",IF(AND(DATA_QUALITE!V5180="-",DATA_QUALITE!U5180="AUCUNE"),DATA_QUALITE!T5180,IF(DATA_QUALITE!V5180&lt;&gt;"-",DATA_QUALITE!V5180,DATA_CLEANED!AN694))))</f>
        <v>Switzerland</v>
      </c>
      <c r="BH703" s="103" t="str">
        <f>IF(AND(BG703="MATCH NUL",DATA_CLEANED!AO694="-"),"MATCH_NUL",IF(ISNUMBER(SEARCH("win on penalties",W5180)),"WIN_BY_PENALTY",IF(ISNUMBER(SEARCH("win after extra time",W5180)),"WIN_BY_EXTRA_TIME",IF(ISNUMBER(SEARCH("Golden Goal",W5180)),"WIN_BY_GOLDEN_GOAL","WIN_BY_SCORE"))))</f>
        <v>WIN_BY_SCORE</v>
      </c>
      <c r="BI703" s="99" t="str">
        <f>IF(OR(BG703=DATA_CLEANED!AK694,BG703=DATA_CLEANED!AN694,BG703="MATCH NUL"),"OK","ERREUR")</f>
        <v>OK</v>
      </c>
    </row>
    <row r="704" spans="2:61">
      <c r="B704" s="75">
        <v>267</v>
      </c>
      <c r="C704" s="15" t="str">
        <v>Redouane Halhal</v>
      </c>
      <c r="D704" s="15">
        <v>23</v>
      </c>
      <c r="E704" s="15" t="str">
        <v>Morocco</v>
      </c>
      <c r="F704" s="15" t="str">
        <v>CB</v>
      </c>
      <c r="G704" s="15" t="str">
        <v>Mechelen</v>
      </c>
      <c r="H704" s="15">
        <v>25</v>
      </c>
      <c r="I704" s="15" t="str">
        <f t="shared" si="64"/>
        <v>267|Redouane Halhal|23|Morocco|CB|Mechelen|25</v>
      </c>
      <c r="J704" s="15" t="str">
        <f>IF(COUNTIF(I$438:I704,I704)&gt;1,"DOUBLON","OK")</f>
        <v>OK</v>
      </c>
      <c r="S704" s="30" t="str">
        <v>Spain</v>
      </c>
      <c r="T704" s="30" t="str">
        <f t="shared" si="65"/>
        <v>OK</v>
      </c>
      <c r="U704" s="30" t="str">
        <f t="shared" ref="U704:U767" si="66">IF(OR(S704="Scotland",S704="England",S704="Wales",S704="Yugoslavia",S704="Czechoslovakia",S704="Northern Ireland",S704="Soviet Union",S704="Zaire",S704="Dutch East Indies"),"AUCUNE",IF(OR(S704="Cape Verde",S704="USA",S704="DR Congo",S704="Republic of Korea",S704="Germany FR",S704="Germany DR",S704="Czechia",S704="Ivory Coast",S704="Korea DPR",S704="China PR",S704="IR Iran",S704="Türkiye",S704="Congo DR",S704="German DR",S704="West Germany",S704="Republic of Ireland",ISNUMBER(SEARCH("rn""&gt;United Arab Emirates",S704)),ISNUMBER(SEARCH("rn""&gt;Republic of Ireland",S704)),ISNUMBER(SEARCH("rn""&gt;Bosnia and Herzegovina",S704)),ISNUMBER(SEARCH("rn""&gt;Trinidad and Tobago",S704)),ISNUMBER(SEARCH("rn""&gt;Serbia and Montenegro",S704)),ISNUMBER(SEARCH(_xlfn.UNICHAR(65533),S704))),"RENOMMER","-"))</f>
        <v>-</v>
      </c>
      <c r="V704" s="30" t="str" cm="1">
        <f t="array" ref="V704">_xlfn.IFS(
ISNUMBER(SEARCH("USA",S704)),"United States",
ISNUMBER(SEARCH("Republic of Korea",S704)),"South Korea",
ISNUMBER(SEARCH("Cape Verde",S704)),"Cabo Verde",
ISNUMBER(SEARCH("Czechia",S704)),"Czech Republic",
ISNUMBER(SEARCH("Türkiye",S704)),"Turkey",
ISNUMBER(SEARCH("Ivory Coast",S704)),"Côte d'Ivoire",
ISNUMBER(SEARCH("Korea Republic",S704)),"South Korea",
ISNUMBER(SEARCH("Germany FR",S704)),"FR Germany",
ISNUMBER(SEARCH("West Germany",S704)),"FR Germany",
ISNUMBER(SEARCH("Germany DR",S704)),"DR Germany",
ISNUMBER(SEARCH("Korea DPR",S704)),"North Korea",
ISNUMBER(SEARCH("China PR",S704)),"China",
ISNUMBER(SEARCH("IR Iran",S704)),"Iran",
ISNUMBER(SEARCH("Congo DR",S704)),"Democratic Republic of the Congo",
ISNUMBER(SEARCH("DR Congo",S704)),"Democratic Republic of the Congo",
ISNUMBER(SEARCH("German DR",S704)),"DR Germany",
ISNUMBER(SEARCH("rn""&gt;United Arab Emirates",S704)),"United Arab Emirates",
ISNUMBER(SEARCH("rn""&gt;Republic of Ireland",S704)),"Ireland",
ISNUMBER(SEARCH("rn""&gt;Bosnia and Herzegovina",S704)),"Bosnia and Herzegovina",
ISNUMBER(SEARCH("rn""&gt;Trinidad and Tobago",S704)),"Trinidad and Tobago",
ISNUMBER(SEARCH("rn""&gt;Serbia and Montenegro",S704)),"Serbia and Montenegro",
ISNUMBER(SEARCH(_xlfn.UNICHAR(65533),S704)),"Côte d'Ivoire",
TRUE,""
)</f>
        <v/>
      </c>
      <c r="W704" s="30" t="str">
        <f t="shared" si="62"/>
        <v>Spain</v>
      </c>
      <c r="Z704" s="40" t="str">
        <v>FIFA World Cup Stadium, Gelsenkirchen</v>
      </c>
      <c r="AA704" s="40" t="str" cm="1">
        <f t="array" ref="AA704">IFERROR(_xlfn.XLOOKUP(Z704,_xlfn.ANCHORARRAY(Z$31),AA$31:AA$37),Z704)</f>
        <v>FIFA World Cup Stadium, Gelsenkirchen</v>
      </c>
      <c r="AB704" s="42" t="str">
        <v xml:space="preserve">Gelsenkirchen </v>
      </c>
      <c r="AC704" s="89" t="str">
        <f t="shared" si="63"/>
        <v xml:space="preserve">Gelsenkirchen </v>
      </c>
      <c r="AE704" s="42">
        <v>2002</v>
      </c>
      <c r="AK704" s="42">
        <v>3</v>
      </c>
      <c r="AL704" s="42">
        <v>0</v>
      </c>
      <c r="AW704" s="89" t="str">
        <v>ROUND_OF_16</v>
      </c>
      <c r="BE704" s="43" t="str">
        <f>IF(OR(DATA_CLEANED!AL695="",DATA_CLEANED!AM695=""),"MANQUANT",IF(OR(NOT(ISNUMBER(DATA_CLEANED!AL695)),NOT(ISNUMBER(DATA_CLEANED!AM695))),"ENTREE INVALIDE",IF(OR(DATA_CLEANED!AL695&lt;0,DATA_CLEANED!AM695&lt;0),"SCORE NEGATIF","OK")))</f>
        <v>OK</v>
      </c>
      <c r="BF704" s="43" t="str">
        <f>IF(DATA_CLEANED!AK695&lt;&gt;DATA_CLEANED!AN695,"OK","ERREUR")</f>
        <v>OK</v>
      </c>
      <c r="BG704" s="43" t="str">
        <f>IF(DATA_CLEANED!AL695&gt;DATA_CLEANED!AM695,DATA_CLEANED!AK695,IF(AND(DATA_QUALITE!W5181="-",DATA_CLEANED!AM695=DATA_CLEANED!AL695),"MATCH NUL",IF(AND(DATA_QUALITE!V5181="-",DATA_QUALITE!U5181="AUCUNE"),DATA_QUALITE!T5181,IF(DATA_QUALITE!V5181&lt;&gt;"-",DATA_QUALITE!V5181,DATA_CLEANED!AN695))))</f>
        <v>Germany</v>
      </c>
      <c r="BH704" s="103" t="str">
        <f>IF(AND(BG704="MATCH NUL",DATA_CLEANED!AO695="-"),"MATCH_NUL",IF(ISNUMBER(SEARCH("win on penalties",W5181)),"WIN_BY_PENALTY",IF(ISNUMBER(SEARCH("win after extra time",W5181)),"WIN_BY_EXTRA_TIME",IF(ISNUMBER(SEARCH("Golden Goal",W5181)),"WIN_BY_GOLDEN_GOAL","WIN_BY_SCORE"))))</f>
        <v>WIN_BY_SCORE</v>
      </c>
      <c r="BI704" s="99" t="str">
        <f>IF(OR(BG704=DATA_CLEANED!AK695,BG704=DATA_CLEANED!AN695,BG704="MATCH NUL"),"OK","ERREUR")</f>
        <v>OK</v>
      </c>
    </row>
    <row r="705" spans="2:61">
      <c r="B705" s="75">
        <v>268</v>
      </c>
      <c r="C705" s="15" t="str">
        <v>Noussair Mazraoui</v>
      </c>
      <c r="D705" s="15">
        <v>28</v>
      </c>
      <c r="E705" s="15" t="str">
        <v>Morocco</v>
      </c>
      <c r="F705" s="15" t="str">
        <v>LB</v>
      </c>
      <c r="G705" s="15" t="str">
        <v>Manchester United</v>
      </c>
      <c r="H705" s="15">
        <v>3</v>
      </c>
      <c r="I705" s="15" t="str">
        <f t="shared" si="64"/>
        <v>268|Noussair Mazraoui|28|Morocco|LB|Manchester United|3</v>
      </c>
      <c r="J705" s="15" t="str">
        <f>IF(COUNTIF(I$438:I705,I705)&gt;1,"DOUBLON","OK")</f>
        <v>OK</v>
      </c>
      <c r="S705" s="30" t="str">
        <v>Brazil</v>
      </c>
      <c r="T705" s="30" t="str">
        <f t="shared" si="65"/>
        <v>OK</v>
      </c>
      <c r="U705" s="30" t="str">
        <f t="shared" si="66"/>
        <v>-</v>
      </c>
      <c r="V705" s="30" t="str" cm="1">
        <f t="array" ref="V705">_xlfn.IFS(
ISNUMBER(SEARCH("USA",S705)),"United States",
ISNUMBER(SEARCH("Republic of Korea",S705)),"South Korea",
ISNUMBER(SEARCH("Cape Verde",S705)),"Cabo Verde",
ISNUMBER(SEARCH("Czechia",S705)),"Czech Republic",
ISNUMBER(SEARCH("Türkiye",S705)),"Turkey",
ISNUMBER(SEARCH("Ivory Coast",S705)),"Côte d'Ivoire",
ISNUMBER(SEARCH("Korea Republic",S705)),"South Korea",
ISNUMBER(SEARCH("Germany FR",S705)),"FR Germany",
ISNUMBER(SEARCH("West Germany",S705)),"FR Germany",
ISNUMBER(SEARCH("Germany DR",S705)),"DR Germany",
ISNUMBER(SEARCH("Korea DPR",S705)),"North Korea",
ISNUMBER(SEARCH("China PR",S705)),"China",
ISNUMBER(SEARCH("IR Iran",S705)),"Iran",
ISNUMBER(SEARCH("Congo DR",S705)),"Democratic Republic of the Congo",
ISNUMBER(SEARCH("DR Congo",S705)),"Democratic Republic of the Congo",
ISNUMBER(SEARCH("German DR",S705)),"DR Germany",
ISNUMBER(SEARCH("rn""&gt;United Arab Emirates",S705)),"United Arab Emirates",
ISNUMBER(SEARCH("rn""&gt;Republic of Ireland",S705)),"Ireland",
ISNUMBER(SEARCH("rn""&gt;Bosnia and Herzegovina",S705)),"Bosnia and Herzegovina",
ISNUMBER(SEARCH("rn""&gt;Trinidad and Tobago",S705)),"Trinidad and Tobago",
ISNUMBER(SEARCH("rn""&gt;Serbia and Montenegro",S705)),"Serbia and Montenegro",
ISNUMBER(SEARCH(_xlfn.UNICHAR(65533),S705)),"Côte d'Ivoire",
TRUE,""
)</f>
        <v/>
      </c>
      <c r="W705" s="30" t="str">
        <f t="shared" si="62"/>
        <v>Brazil</v>
      </c>
      <c r="Z705" s="40" t="str">
        <v>Gottlieb-Daimler-Stadion</v>
      </c>
      <c r="AA705" s="40" t="str" cm="1">
        <f t="array" ref="AA705">IFERROR(_xlfn.XLOOKUP(Z705,_xlfn.ANCHORARRAY(Z$31),AA$31:AA$37),Z705)</f>
        <v>Gottlieb-Daimler-Stadion</v>
      </c>
      <c r="AB705" s="42" t="str">
        <v xml:space="preserve">Stuttgart </v>
      </c>
      <c r="AC705" s="89" t="str">
        <f t="shared" si="63"/>
        <v xml:space="preserve">Stuttgart </v>
      </c>
      <c r="AE705" s="42">
        <v>2002</v>
      </c>
      <c r="AK705" s="42">
        <v>1</v>
      </c>
      <c r="AL705" s="42">
        <v>0</v>
      </c>
      <c r="AW705" s="89" t="str">
        <v>ROUND_OF_16</v>
      </c>
      <c r="BE705" s="43" t="str">
        <f>IF(OR(DATA_CLEANED!AL696="",DATA_CLEANED!AM696=""),"MANQUANT",IF(OR(NOT(ISNUMBER(DATA_CLEANED!AL696)),NOT(ISNUMBER(DATA_CLEANED!AM696))),"ENTREE INVALIDE",IF(OR(DATA_CLEANED!AL696&lt;0,DATA_CLEANED!AM696&lt;0),"SCORE NEGATIF","OK")))</f>
        <v>OK</v>
      </c>
      <c r="BF705" s="43" t="str">
        <f>IF(DATA_CLEANED!AK696&lt;&gt;DATA_CLEANED!AN696,"OK","ERREUR")</f>
        <v>OK</v>
      </c>
      <c r="BG705" s="43" t="str">
        <f>IF(DATA_CLEANED!AL696&gt;DATA_CLEANED!AM696,DATA_CLEANED!AK696,IF(AND(DATA_QUALITE!W5182="-",DATA_CLEANED!AM696=DATA_CLEANED!AL696),"MATCH NUL",IF(AND(DATA_QUALITE!V5182="-",DATA_QUALITE!U5182="AUCUNE"),DATA_QUALITE!T5182,IF(DATA_QUALITE!V5182&lt;&gt;"-",DATA_QUALITE!V5182,DATA_CLEANED!AN696))))</f>
        <v>Argentina</v>
      </c>
      <c r="BH705" s="103" t="str">
        <f>IF(AND(BG705="MATCH NUL",DATA_CLEANED!AO696="-"),"MATCH_NUL",IF(ISNUMBER(SEARCH("win on penalties",W5182)),"WIN_BY_PENALTY",IF(ISNUMBER(SEARCH("win after extra time",W5182)),"WIN_BY_EXTRA_TIME",IF(ISNUMBER(SEARCH("Golden Goal",W5182)),"WIN_BY_GOLDEN_GOAL","WIN_BY_SCORE"))))</f>
        <v>WIN_BY_EXTRA_TIME</v>
      </c>
      <c r="BI705" s="99" t="str">
        <f>IF(OR(BG705=DATA_CLEANED!AK696,BG705=DATA_CLEANED!AN696,BG705="MATCH NUL"),"OK","ERREUR")</f>
        <v>OK</v>
      </c>
    </row>
    <row r="706" spans="2:61">
      <c r="B706" s="75">
        <v>269</v>
      </c>
      <c r="C706" s="15" t="str">
        <v>Youssef Belammari</v>
      </c>
      <c r="D706" s="15">
        <v>27</v>
      </c>
      <c r="E706" s="15" t="str">
        <v>Morocco</v>
      </c>
      <c r="F706" s="15" t="str">
        <v>LB</v>
      </c>
      <c r="G706" s="15" t="str">
        <v>Al Ahly</v>
      </c>
      <c r="H706" s="15">
        <v>19</v>
      </c>
      <c r="I706" s="15" t="str">
        <f t="shared" si="64"/>
        <v>269|Youssef Belammari|27|Morocco|LB|Al Ahly|19</v>
      </c>
      <c r="J706" s="15" t="str">
        <f>IF(COUNTIF(I$438:I706,I706)&gt;1,"DOUBLON","OK")</f>
        <v>OK</v>
      </c>
      <c r="S706" s="30" t="str">
        <v>Brazil</v>
      </c>
      <c r="T706" s="30" t="str">
        <f t="shared" si="65"/>
        <v>OK</v>
      </c>
      <c r="U706" s="30" t="str">
        <f t="shared" si="66"/>
        <v>-</v>
      </c>
      <c r="V706" s="30" t="str" cm="1">
        <f t="array" ref="V706">_xlfn.IFS(
ISNUMBER(SEARCH("USA",S706)),"United States",
ISNUMBER(SEARCH("Republic of Korea",S706)),"South Korea",
ISNUMBER(SEARCH("Cape Verde",S706)),"Cabo Verde",
ISNUMBER(SEARCH("Czechia",S706)),"Czech Republic",
ISNUMBER(SEARCH("Türkiye",S706)),"Turkey",
ISNUMBER(SEARCH("Ivory Coast",S706)),"Côte d'Ivoire",
ISNUMBER(SEARCH("Korea Republic",S706)),"South Korea",
ISNUMBER(SEARCH("Germany FR",S706)),"FR Germany",
ISNUMBER(SEARCH("West Germany",S706)),"FR Germany",
ISNUMBER(SEARCH("Germany DR",S706)),"DR Germany",
ISNUMBER(SEARCH("Korea DPR",S706)),"North Korea",
ISNUMBER(SEARCH("China PR",S706)),"China",
ISNUMBER(SEARCH("IR Iran",S706)),"Iran",
ISNUMBER(SEARCH("Congo DR",S706)),"Democratic Republic of the Congo",
ISNUMBER(SEARCH("DR Congo",S706)),"Democratic Republic of the Congo",
ISNUMBER(SEARCH("German DR",S706)),"DR Germany",
ISNUMBER(SEARCH("rn""&gt;United Arab Emirates",S706)),"United Arab Emirates",
ISNUMBER(SEARCH("rn""&gt;Republic of Ireland",S706)),"Ireland",
ISNUMBER(SEARCH("rn""&gt;Bosnia and Herzegovina",S706)),"Bosnia and Herzegovina",
ISNUMBER(SEARCH("rn""&gt;Trinidad and Tobago",S706)),"Trinidad and Tobago",
ISNUMBER(SEARCH("rn""&gt;Serbia and Montenegro",S706)),"Serbia and Montenegro",
ISNUMBER(SEARCH(_xlfn.UNICHAR(65533),S706)),"Côte d'Ivoire",
TRUE,""
)</f>
        <v/>
      </c>
      <c r="W706" s="30" t="str">
        <f t="shared" si="62"/>
        <v>Brazil</v>
      </c>
      <c r="Z706" s="40" t="str">
        <v>FIFA World Cup Stadium, Hanover</v>
      </c>
      <c r="AA706" s="40" t="str" cm="1">
        <f t="array" ref="AA706">IFERROR(_xlfn.XLOOKUP(Z706,_xlfn.ANCHORARRAY(Z$31),AA$31:AA$37),Z706)</f>
        <v>FIFA World Cup Stadium, Hanover</v>
      </c>
      <c r="AB706" s="42" t="str">
        <v xml:space="preserve">Hanover </v>
      </c>
      <c r="AC706" s="89" t="str">
        <f t="shared" si="63"/>
        <v xml:space="preserve">Hanover </v>
      </c>
      <c r="AE706" s="42">
        <v>2002</v>
      </c>
      <c r="AK706" s="42">
        <v>1</v>
      </c>
      <c r="AL706" s="42">
        <v>1</v>
      </c>
      <c r="AW706" s="89" t="str">
        <v>ROUND_OF_16</v>
      </c>
      <c r="BE706" s="43" t="str">
        <f>IF(OR(DATA_CLEANED!AL697="",DATA_CLEANED!AM697=""),"MANQUANT",IF(OR(NOT(ISNUMBER(DATA_CLEANED!AL697)),NOT(ISNUMBER(DATA_CLEANED!AM697))),"ENTREE INVALIDE",IF(OR(DATA_CLEANED!AL697&lt;0,DATA_CLEANED!AM697&lt;0),"SCORE NEGATIF","OK")))</f>
        <v>OK</v>
      </c>
      <c r="BF706" s="43" t="str">
        <f>IF(DATA_CLEANED!AK697&lt;&gt;DATA_CLEANED!AN697,"OK","ERREUR")</f>
        <v>OK</v>
      </c>
      <c r="BG706" s="43" t="str">
        <f>IF(DATA_CLEANED!AL697&gt;DATA_CLEANED!AM697,DATA_CLEANED!AK697,IF(AND(DATA_QUALITE!W5183="-",DATA_CLEANED!AM697=DATA_CLEANED!AL697),"MATCH NUL",IF(AND(DATA_QUALITE!V5183="-",DATA_QUALITE!U5183="AUCUNE"),DATA_QUALITE!T5183,IF(DATA_QUALITE!V5183&lt;&gt;"-",DATA_QUALITE!V5183,DATA_CLEANED!AN697))))</f>
        <v>England</v>
      </c>
      <c r="BH706" s="103" t="str">
        <f>IF(AND(BG706="MATCH NUL",DATA_CLEANED!AO697="-"),"MATCH_NUL",IF(ISNUMBER(SEARCH("win on penalties",W5183)),"WIN_BY_PENALTY",IF(ISNUMBER(SEARCH("win after extra time",W5183)),"WIN_BY_EXTRA_TIME",IF(ISNUMBER(SEARCH("Golden Goal",W5183)),"WIN_BY_GOLDEN_GOAL","WIN_BY_SCORE"))))</f>
        <v>WIN_BY_SCORE</v>
      </c>
      <c r="BI706" s="99" t="str">
        <f>IF(OR(BG706=DATA_CLEANED!AK697,BG706=DATA_CLEANED!AN697,BG706="MATCH NUL"),"OK","ERREUR")</f>
        <v>OK</v>
      </c>
    </row>
    <row r="707" spans="2:61">
      <c r="B707" s="75">
        <v>270</v>
      </c>
      <c r="C707" s="15" t="str">
        <v>Anass Salah-Eddine</v>
      </c>
      <c r="D707" s="15">
        <v>24</v>
      </c>
      <c r="E707" s="15" t="str">
        <v>Morocco</v>
      </c>
      <c r="F707" s="15" t="str">
        <v>LB</v>
      </c>
      <c r="G707" s="15" t="str">
        <v>PSV Eindhoven</v>
      </c>
      <c r="H707" s="15">
        <v>26</v>
      </c>
      <c r="I707" s="15" t="str">
        <f t="shared" si="64"/>
        <v>270|Anass Salah-Eddine|24|Morocco|LB|PSV Eindhoven|26</v>
      </c>
      <c r="J707" s="15" t="str">
        <f>IF(COUNTIF(I$438:I707,I707)&gt;1,"DOUBLON","OK")</f>
        <v>OK</v>
      </c>
      <c r="S707" s="30" t="str">
        <v>Brazil</v>
      </c>
      <c r="T707" s="30" t="str">
        <f t="shared" si="65"/>
        <v>OK</v>
      </c>
      <c r="U707" s="30" t="str">
        <f t="shared" si="66"/>
        <v>-</v>
      </c>
      <c r="V707" s="30" t="str" cm="1">
        <f t="array" ref="V707">_xlfn.IFS(
ISNUMBER(SEARCH("USA",S707)),"United States",
ISNUMBER(SEARCH("Republic of Korea",S707)),"South Korea",
ISNUMBER(SEARCH("Cape Verde",S707)),"Cabo Verde",
ISNUMBER(SEARCH("Czechia",S707)),"Czech Republic",
ISNUMBER(SEARCH("Türkiye",S707)),"Turkey",
ISNUMBER(SEARCH("Ivory Coast",S707)),"Côte d'Ivoire",
ISNUMBER(SEARCH("Korea Republic",S707)),"South Korea",
ISNUMBER(SEARCH("Germany FR",S707)),"FR Germany",
ISNUMBER(SEARCH("West Germany",S707)),"FR Germany",
ISNUMBER(SEARCH("Germany DR",S707)),"DR Germany",
ISNUMBER(SEARCH("Korea DPR",S707)),"North Korea",
ISNUMBER(SEARCH("China PR",S707)),"China",
ISNUMBER(SEARCH("IR Iran",S707)),"Iran",
ISNUMBER(SEARCH("Congo DR",S707)),"Democratic Republic of the Congo",
ISNUMBER(SEARCH("DR Congo",S707)),"Democratic Republic of the Congo",
ISNUMBER(SEARCH("German DR",S707)),"DR Germany",
ISNUMBER(SEARCH("rn""&gt;United Arab Emirates",S707)),"United Arab Emirates",
ISNUMBER(SEARCH("rn""&gt;Republic of Ireland",S707)),"Ireland",
ISNUMBER(SEARCH("rn""&gt;Bosnia and Herzegovina",S707)),"Bosnia and Herzegovina",
ISNUMBER(SEARCH("rn""&gt;Trinidad and Tobago",S707)),"Trinidad and Tobago",
ISNUMBER(SEARCH("rn""&gt;Serbia and Montenegro",S707)),"Serbia and Montenegro",
ISNUMBER(SEARCH(_xlfn.UNICHAR(65533),S707)),"Côte d'Ivoire",
TRUE,""
)</f>
        <v/>
      </c>
      <c r="W707" s="30" t="str">
        <f t="shared" si="62"/>
        <v>Brazil</v>
      </c>
      <c r="Z707" s="40" t="str">
        <v>FIFA World Cup Stadium, Frankfurt</v>
      </c>
      <c r="AA707" s="40" t="str" cm="1">
        <f t="array" ref="AA707">IFERROR(_xlfn.XLOOKUP(Z707,_xlfn.ANCHORARRAY(Z$31),AA$31:AA$37),Z707)</f>
        <v>FIFA World Cup Stadium, Frankfurt</v>
      </c>
      <c r="AB707" s="42" t="str">
        <v xml:space="preserve">Frankfurt/Main </v>
      </c>
      <c r="AC707" s="89" t="str">
        <f t="shared" si="63"/>
        <v xml:space="preserve">Frankfurt/Main </v>
      </c>
      <c r="AE707" s="42">
        <v>2002</v>
      </c>
      <c r="AK707" s="42">
        <v>0</v>
      </c>
      <c r="AL707" s="42">
        <v>2</v>
      </c>
      <c r="AW707" s="89" t="str">
        <v>ROUND_OF_16</v>
      </c>
      <c r="BE707" s="43" t="str">
        <f>IF(OR(DATA_CLEANED!AL698="",DATA_CLEANED!AM698=""),"MANQUANT",IF(OR(NOT(ISNUMBER(DATA_CLEANED!AL698)),NOT(ISNUMBER(DATA_CLEANED!AM698))),"ENTREE INVALIDE",IF(OR(DATA_CLEANED!AL698&lt;0,DATA_CLEANED!AM698&lt;0),"SCORE NEGATIF","OK")))</f>
        <v>OK</v>
      </c>
      <c r="BF707" s="43" t="str">
        <f>IF(DATA_CLEANED!AK698&lt;&gt;DATA_CLEANED!AN698,"OK","ERREUR")</f>
        <v>OK</v>
      </c>
      <c r="BG707" s="43" t="str">
        <f>IF(DATA_CLEANED!AL698&gt;DATA_CLEANED!AM698,DATA_CLEANED!AK698,IF(AND(DATA_QUALITE!W5184="-",DATA_CLEANED!AM698=DATA_CLEANED!AL698),"MATCH NUL",IF(AND(DATA_QUALITE!V5184="-",DATA_QUALITE!U5184="AUCUNE"),DATA_QUALITE!T5184,IF(DATA_QUALITE!V5184&lt;&gt;"-",DATA_QUALITE!V5184,DATA_CLEANED!AN698))))</f>
        <v>Portugal</v>
      </c>
      <c r="BH707" s="103" t="str">
        <f>IF(AND(BG707="MATCH NUL",DATA_CLEANED!AO698="-"),"MATCH_NUL",IF(ISNUMBER(SEARCH("win on penalties",W5184)),"WIN_BY_PENALTY",IF(ISNUMBER(SEARCH("win after extra time",W5184)),"WIN_BY_EXTRA_TIME",IF(ISNUMBER(SEARCH("Golden Goal",W5184)),"WIN_BY_GOLDEN_GOAL","WIN_BY_SCORE"))))</f>
        <v>WIN_BY_SCORE</v>
      </c>
      <c r="BI707" s="99" t="str">
        <f>IF(OR(BG707=DATA_CLEANED!AK698,BG707=DATA_CLEANED!AN698,BG707="MATCH NUL"),"OK","ERREUR")</f>
        <v>OK</v>
      </c>
    </row>
    <row r="708" spans="2:61">
      <c r="B708" s="75">
        <v>271</v>
      </c>
      <c r="C708" s="15" t="str">
        <v>Achraf Hakimi</v>
      </c>
      <c r="D708" s="15">
        <v>27</v>
      </c>
      <c r="E708" s="15" t="str">
        <v>Morocco</v>
      </c>
      <c r="F708" s="15" t="str">
        <v>RB</v>
      </c>
      <c r="G708" s="15" t="str">
        <v>Paris Saint-Germain</v>
      </c>
      <c r="H708" s="15">
        <v>2</v>
      </c>
      <c r="I708" s="15" t="str">
        <f t="shared" si="64"/>
        <v>271|Achraf Hakimi|27|Morocco|RB|Paris Saint-Germain|2</v>
      </c>
      <c r="J708" s="15" t="str">
        <f>IF(COUNTIF(I$438:I708,I708)&gt;1,"DOUBLON","OK")</f>
        <v>OK</v>
      </c>
      <c r="S708" s="30" t="str">
        <v>Brazil</v>
      </c>
      <c r="T708" s="30" t="str">
        <f t="shared" si="65"/>
        <v>OK</v>
      </c>
      <c r="U708" s="30" t="str">
        <f t="shared" si="66"/>
        <v>-</v>
      </c>
      <c r="V708" s="30" t="str" cm="1">
        <f t="array" ref="V708">_xlfn.IFS(
ISNUMBER(SEARCH("USA",S708)),"United States",
ISNUMBER(SEARCH("Republic of Korea",S708)),"South Korea",
ISNUMBER(SEARCH("Cape Verde",S708)),"Cabo Verde",
ISNUMBER(SEARCH("Czechia",S708)),"Czech Republic",
ISNUMBER(SEARCH("Türkiye",S708)),"Turkey",
ISNUMBER(SEARCH("Ivory Coast",S708)),"Côte d'Ivoire",
ISNUMBER(SEARCH("Korea Republic",S708)),"South Korea",
ISNUMBER(SEARCH("Germany FR",S708)),"FR Germany",
ISNUMBER(SEARCH("West Germany",S708)),"FR Germany",
ISNUMBER(SEARCH("Germany DR",S708)),"DR Germany",
ISNUMBER(SEARCH("Korea DPR",S708)),"North Korea",
ISNUMBER(SEARCH("China PR",S708)),"China",
ISNUMBER(SEARCH("IR Iran",S708)),"Iran",
ISNUMBER(SEARCH("Congo DR",S708)),"Democratic Republic of the Congo",
ISNUMBER(SEARCH("DR Congo",S708)),"Democratic Republic of the Congo",
ISNUMBER(SEARCH("German DR",S708)),"DR Germany",
ISNUMBER(SEARCH("rn""&gt;United Arab Emirates",S708)),"United Arab Emirates",
ISNUMBER(SEARCH("rn""&gt;Republic of Ireland",S708)),"Ireland",
ISNUMBER(SEARCH("rn""&gt;Bosnia and Herzegovina",S708)),"Bosnia and Herzegovina",
ISNUMBER(SEARCH("rn""&gt;Trinidad and Tobago",S708)),"Trinidad and Tobago",
ISNUMBER(SEARCH("rn""&gt;Serbia and Montenegro",S708)),"Serbia and Montenegro",
ISNUMBER(SEARCH(_xlfn.UNICHAR(65533),S708)),"Côte d'Ivoire",
TRUE,""
)</f>
        <v/>
      </c>
      <c r="W708" s="30" t="str">
        <f t="shared" si="62"/>
        <v>Brazil</v>
      </c>
      <c r="Z708" s="40" t="str">
        <v>FIFA World Cup Stadium, Cologne</v>
      </c>
      <c r="AA708" s="40" t="str" cm="1">
        <f t="array" ref="AA708">IFERROR(_xlfn.XLOOKUP(Z708,_xlfn.ANCHORARRAY(Z$31),AA$31:AA$37),Z708)</f>
        <v>FIFA World Cup Stadium, Cologne</v>
      </c>
      <c r="AB708" s="42" t="str">
        <v xml:space="preserve">Cologne </v>
      </c>
      <c r="AC708" s="89" t="str">
        <f t="shared" si="63"/>
        <v xml:space="preserve">Cologne </v>
      </c>
      <c r="AE708" s="42">
        <v>2002</v>
      </c>
      <c r="AK708" s="42">
        <v>0</v>
      </c>
      <c r="AL708" s="42">
        <v>1</v>
      </c>
      <c r="AW708" s="89" t="str">
        <v>ROUND_OF_16</v>
      </c>
      <c r="BE708" s="43" t="str">
        <f>IF(OR(DATA_CLEANED!AL699="",DATA_CLEANED!AM699=""),"MANQUANT",IF(OR(NOT(ISNUMBER(DATA_CLEANED!AL699)),NOT(ISNUMBER(DATA_CLEANED!AM699))),"ENTREE INVALIDE",IF(OR(DATA_CLEANED!AL699&lt;0,DATA_CLEANED!AM699&lt;0),"SCORE NEGATIF","OK")))</f>
        <v>OK</v>
      </c>
      <c r="BF708" s="43" t="str">
        <f>IF(DATA_CLEANED!AK699&lt;&gt;DATA_CLEANED!AN699,"OK","ERREUR")</f>
        <v>OK</v>
      </c>
      <c r="BG708" s="43" t="str">
        <f>IF(DATA_CLEANED!AL699&gt;DATA_CLEANED!AM699,DATA_CLEANED!AK699,IF(AND(DATA_QUALITE!W5185="-",DATA_CLEANED!AM699=DATA_CLEANED!AL699),"MATCH NUL",IF(AND(DATA_QUALITE!V5185="-",DATA_QUALITE!U5185="AUCUNE"),DATA_QUALITE!T5185,IF(DATA_QUALITE!V5185&lt;&gt;"-",DATA_QUALITE!V5185,DATA_CLEANED!AN699))))</f>
        <v>Italy</v>
      </c>
      <c r="BH708" s="103" t="str">
        <f>IF(AND(BG708="MATCH NUL",DATA_CLEANED!AO699="-"),"MATCH_NUL",IF(ISNUMBER(SEARCH("win on penalties",W5185)),"WIN_BY_PENALTY",IF(ISNUMBER(SEARCH("win after extra time",W5185)),"WIN_BY_EXTRA_TIME",IF(ISNUMBER(SEARCH("Golden Goal",W5185)),"WIN_BY_GOLDEN_GOAL","WIN_BY_SCORE"))))</f>
        <v>WIN_BY_SCORE</v>
      </c>
      <c r="BI708" s="99" t="str">
        <f>IF(OR(BG708=DATA_CLEANED!AK699,BG708=DATA_CLEANED!AN699,BG708="MATCH NUL"),"OK","ERREUR")</f>
        <v>OK</v>
      </c>
    </row>
    <row r="709" spans="2:61">
      <c r="B709" s="75">
        <v>272</v>
      </c>
      <c r="C709" s="15" t="str">
        <v>Zakaria El Ouahdi</v>
      </c>
      <c r="D709" s="15">
        <v>24</v>
      </c>
      <c r="E709" s="15" t="str">
        <v>Morocco</v>
      </c>
      <c r="F709" s="15" t="str">
        <v>RB</v>
      </c>
      <c r="G709" s="15" t="str">
        <v>Genk</v>
      </c>
      <c r="H709" s="15">
        <v>13</v>
      </c>
      <c r="I709" s="15" t="str">
        <f t="shared" si="64"/>
        <v>272|Zakaria El Ouahdi|24|Morocco|RB|Genk|13</v>
      </c>
      <c r="J709" s="15" t="str">
        <f>IF(COUNTIF(I$438:I709,I709)&gt;1,"DOUBLON","OK")</f>
        <v>OK</v>
      </c>
      <c r="S709" s="30" t="str">
        <v>Brazil</v>
      </c>
      <c r="T709" s="30" t="str">
        <f t="shared" si="65"/>
        <v>OK</v>
      </c>
      <c r="U709" s="30" t="str">
        <f t="shared" si="66"/>
        <v>-</v>
      </c>
      <c r="V709" s="30" t="str" cm="1">
        <f t="array" ref="V709">_xlfn.IFS(
ISNUMBER(SEARCH("USA",S709)),"United States",
ISNUMBER(SEARCH("Republic of Korea",S709)),"South Korea",
ISNUMBER(SEARCH("Cape Verde",S709)),"Cabo Verde",
ISNUMBER(SEARCH("Czechia",S709)),"Czech Republic",
ISNUMBER(SEARCH("Türkiye",S709)),"Turkey",
ISNUMBER(SEARCH("Ivory Coast",S709)),"Côte d'Ivoire",
ISNUMBER(SEARCH("Korea Republic",S709)),"South Korea",
ISNUMBER(SEARCH("Germany FR",S709)),"FR Germany",
ISNUMBER(SEARCH("West Germany",S709)),"FR Germany",
ISNUMBER(SEARCH("Germany DR",S709)),"DR Germany",
ISNUMBER(SEARCH("Korea DPR",S709)),"North Korea",
ISNUMBER(SEARCH("China PR",S709)),"China",
ISNUMBER(SEARCH("IR Iran",S709)),"Iran",
ISNUMBER(SEARCH("Congo DR",S709)),"Democratic Republic of the Congo",
ISNUMBER(SEARCH("DR Congo",S709)),"Democratic Republic of the Congo",
ISNUMBER(SEARCH("German DR",S709)),"DR Germany",
ISNUMBER(SEARCH("rn""&gt;United Arab Emirates",S709)),"United Arab Emirates",
ISNUMBER(SEARCH("rn""&gt;Republic of Ireland",S709)),"Ireland",
ISNUMBER(SEARCH("rn""&gt;Bosnia and Herzegovina",S709)),"Bosnia and Herzegovina",
ISNUMBER(SEARCH("rn""&gt;Trinidad and Tobago",S709)),"Trinidad and Tobago",
ISNUMBER(SEARCH("rn""&gt;Serbia and Montenegro",S709)),"Serbia and Montenegro",
ISNUMBER(SEARCH(_xlfn.UNICHAR(65533),S709)),"Côte d'Ivoire",
TRUE,""
)</f>
        <v/>
      </c>
      <c r="W709" s="30" t="str">
        <f t="shared" si="62"/>
        <v>Brazil</v>
      </c>
      <c r="Z709" s="40" t="str">
        <v>Fritz-Walter-Stadion</v>
      </c>
      <c r="AA709" s="40" t="str" cm="1">
        <f t="array" ref="AA709">IFERROR(_xlfn.XLOOKUP(Z709,_xlfn.ANCHORARRAY(Z$31),AA$31:AA$37),Z709)</f>
        <v>Fritz-Walter-Stadion</v>
      </c>
      <c r="AB709" s="42" t="str">
        <v xml:space="preserve">Kaiserslautern </v>
      </c>
      <c r="AC709" s="89" t="str">
        <f t="shared" si="63"/>
        <v xml:space="preserve">Kaiserslautern </v>
      </c>
      <c r="AE709" s="42">
        <v>2002</v>
      </c>
      <c r="AK709" s="42">
        <v>3</v>
      </c>
      <c r="AL709" s="42">
        <v>1</v>
      </c>
      <c r="AW709" s="89" t="str">
        <v>ROUND_OF_16</v>
      </c>
      <c r="BE709" s="43" t="str">
        <f>IF(OR(DATA_CLEANED!AL700="",DATA_CLEANED!AM700=""),"MANQUANT",IF(OR(NOT(ISNUMBER(DATA_CLEANED!AL700)),NOT(ISNUMBER(DATA_CLEANED!AM700))),"ENTREE INVALIDE",IF(OR(DATA_CLEANED!AL700&lt;0,DATA_CLEANED!AM700&lt;0),"SCORE NEGATIF","OK")))</f>
        <v>OK</v>
      </c>
      <c r="BF709" s="43" t="str">
        <f>IF(DATA_CLEANED!AK700&lt;&gt;DATA_CLEANED!AN700,"OK","ERREUR")</f>
        <v>OK</v>
      </c>
      <c r="BG709" s="43" t="str">
        <f>IF(DATA_CLEANED!AL700&gt;DATA_CLEANED!AM700,DATA_CLEANED!AK700,IF(AND(DATA_QUALITE!W5186="-",DATA_CLEANED!AM700=DATA_CLEANED!AL700),"MATCH NUL",IF(AND(DATA_QUALITE!V5186="-",DATA_QUALITE!U5186="AUCUNE"),DATA_QUALITE!T5186,IF(DATA_QUALITE!V5186&lt;&gt;"-",DATA_QUALITE!V5186,DATA_CLEANED!AN700))))</f>
        <v>Ukraine</v>
      </c>
      <c r="BH709" s="103" t="str">
        <f>IF(AND(BG709="MATCH NUL",DATA_CLEANED!AO700="-"),"MATCH_NUL",IF(ISNUMBER(SEARCH("win on penalties",W5186)),"WIN_BY_PENALTY",IF(ISNUMBER(SEARCH("win after extra time",W5186)),"WIN_BY_EXTRA_TIME",IF(ISNUMBER(SEARCH("Golden Goal",W5186)),"WIN_BY_GOLDEN_GOAL","WIN_BY_SCORE"))))</f>
        <v>WIN_BY_PENALTY</v>
      </c>
      <c r="BI709" s="99" t="str">
        <f>IF(OR(BG709=DATA_CLEANED!AK700,BG709=DATA_CLEANED!AN700,BG709="MATCH NUL"),"OK","ERREUR")</f>
        <v>OK</v>
      </c>
    </row>
    <row r="710" spans="2:61">
      <c r="B710" s="75">
        <v>273</v>
      </c>
      <c r="C710" s="15" t="str">
        <v>Sofyan Amrabat</v>
      </c>
      <c r="D710" s="15">
        <v>29</v>
      </c>
      <c r="E710" s="15" t="str">
        <v>Morocco</v>
      </c>
      <c r="F710" s="15" t="str">
        <v>CDM</v>
      </c>
      <c r="G710" s="15" t="str">
        <v>Real Betis</v>
      </c>
      <c r="H710" s="15">
        <v>4</v>
      </c>
      <c r="I710" s="15" t="str">
        <f t="shared" si="64"/>
        <v>273|Sofyan Amrabat|29|Morocco|CDM|Real Betis|4</v>
      </c>
      <c r="J710" s="15" t="str">
        <f>IF(COUNTIF(I$438:I710,I710)&gt;1,"DOUBLON","OK")</f>
        <v>OK</v>
      </c>
      <c r="S710" s="30" t="str">
        <v>Brazil</v>
      </c>
      <c r="T710" s="30" t="str">
        <f t="shared" si="65"/>
        <v>OK</v>
      </c>
      <c r="U710" s="30" t="str">
        <f t="shared" si="66"/>
        <v>-</v>
      </c>
      <c r="V710" s="30" t="str" cm="1">
        <f t="array" ref="V710">_xlfn.IFS(
ISNUMBER(SEARCH("USA",S710)),"United States",
ISNUMBER(SEARCH("Republic of Korea",S710)),"South Korea",
ISNUMBER(SEARCH("Cape Verde",S710)),"Cabo Verde",
ISNUMBER(SEARCH("Czechia",S710)),"Czech Republic",
ISNUMBER(SEARCH("Türkiye",S710)),"Turkey",
ISNUMBER(SEARCH("Ivory Coast",S710)),"Côte d'Ivoire",
ISNUMBER(SEARCH("Korea Republic",S710)),"South Korea",
ISNUMBER(SEARCH("Germany FR",S710)),"FR Germany",
ISNUMBER(SEARCH("West Germany",S710)),"FR Germany",
ISNUMBER(SEARCH("Germany DR",S710)),"DR Germany",
ISNUMBER(SEARCH("Korea DPR",S710)),"North Korea",
ISNUMBER(SEARCH("China PR",S710)),"China",
ISNUMBER(SEARCH("IR Iran",S710)),"Iran",
ISNUMBER(SEARCH("Congo DR",S710)),"Democratic Republic of the Congo",
ISNUMBER(SEARCH("DR Congo",S710)),"Democratic Republic of the Congo",
ISNUMBER(SEARCH("German DR",S710)),"DR Germany",
ISNUMBER(SEARCH("rn""&gt;United Arab Emirates",S710)),"United Arab Emirates",
ISNUMBER(SEARCH("rn""&gt;Republic of Ireland",S710)),"Ireland",
ISNUMBER(SEARCH("rn""&gt;Bosnia and Herzegovina",S710)),"Bosnia and Herzegovina",
ISNUMBER(SEARCH("rn""&gt;Trinidad and Tobago",S710)),"Trinidad and Tobago",
ISNUMBER(SEARCH("rn""&gt;Serbia and Montenegro",S710)),"Serbia and Montenegro",
ISNUMBER(SEARCH(_xlfn.UNICHAR(65533),S710)),"Côte d'Ivoire",
TRUE,""
)</f>
        <v/>
      </c>
      <c r="W710" s="30" t="str">
        <f t="shared" si="62"/>
        <v>Brazil</v>
      </c>
      <c r="Z710" s="40" t="str">
        <v>Franken-Stadion</v>
      </c>
      <c r="AA710" s="40" t="str" cm="1">
        <f t="array" ref="AA710">IFERROR(_xlfn.XLOOKUP(Z710,_xlfn.ANCHORARRAY(Z$31),AA$31:AA$37),Z710)</f>
        <v>Franken-Stadion</v>
      </c>
      <c r="AB710" s="42" t="str">
        <v xml:space="preserve">Nuremberg </v>
      </c>
      <c r="AC710" s="89" t="str">
        <f t="shared" si="63"/>
        <v xml:space="preserve">Nuremberg </v>
      </c>
      <c r="AE710" s="42">
        <v>2002</v>
      </c>
      <c r="AK710" s="42">
        <v>3</v>
      </c>
      <c r="AL710" s="42">
        <v>2</v>
      </c>
      <c r="AW710" s="89" t="str">
        <v>ROUND_OF_16</v>
      </c>
      <c r="BE710" s="43" t="str">
        <f>IF(OR(DATA_CLEANED!AL701="",DATA_CLEANED!AM701=""),"MANQUANT",IF(OR(NOT(ISNUMBER(DATA_CLEANED!AL701)),NOT(ISNUMBER(DATA_CLEANED!AM701))),"ENTREE INVALIDE",IF(OR(DATA_CLEANED!AL701&lt;0,DATA_CLEANED!AM701&lt;0),"SCORE NEGATIF","OK")))</f>
        <v>OK</v>
      </c>
      <c r="BF710" s="43" t="str">
        <f>IF(DATA_CLEANED!AK701&lt;&gt;DATA_CLEANED!AN701,"OK","ERREUR")</f>
        <v>OK</v>
      </c>
      <c r="BG710" s="43" t="str">
        <f>IF(DATA_CLEANED!AL701&gt;DATA_CLEANED!AM701,DATA_CLEANED!AK701,IF(AND(DATA_QUALITE!W5187="-",DATA_CLEANED!AM701=DATA_CLEANED!AL701),"MATCH NUL",IF(AND(DATA_QUALITE!V5187="-",DATA_QUALITE!U5187="AUCUNE"),DATA_QUALITE!T5187,IF(DATA_QUALITE!V5187&lt;&gt;"-",DATA_QUALITE!V5187,DATA_CLEANED!AN701))))</f>
        <v>Brazil</v>
      </c>
      <c r="BH710" s="103" t="str">
        <f>IF(AND(BG710="MATCH NUL",DATA_CLEANED!AO701="-"),"MATCH_NUL",IF(ISNUMBER(SEARCH("win on penalties",W5187)),"WIN_BY_PENALTY",IF(ISNUMBER(SEARCH("win after extra time",W5187)),"WIN_BY_EXTRA_TIME",IF(ISNUMBER(SEARCH("Golden Goal",W5187)),"WIN_BY_GOLDEN_GOAL","WIN_BY_SCORE"))))</f>
        <v>WIN_BY_SCORE</v>
      </c>
      <c r="BI710" s="99" t="str">
        <f>IF(OR(BG710=DATA_CLEANED!AK701,BG710=DATA_CLEANED!AN701,BG710="MATCH NUL"),"OK","ERREUR")</f>
        <v>OK</v>
      </c>
    </row>
    <row r="711" spans="2:61">
      <c r="B711" s="75">
        <v>274</v>
      </c>
      <c r="C711" s="15" t="str">
        <v>Ayyoub Bouaddi</v>
      </c>
      <c r="D711" s="15">
        <v>18</v>
      </c>
      <c r="E711" s="15" t="str">
        <v>Morocco</v>
      </c>
      <c r="F711" s="15" t="str">
        <v>CDM</v>
      </c>
      <c r="G711" s="15" t="str">
        <v>Lille</v>
      </c>
      <c r="H711" s="15">
        <v>6</v>
      </c>
      <c r="I711" s="15" t="str">
        <f t="shared" si="64"/>
        <v>274|Ayyoub Bouaddi|18|Morocco|CDM|Lille|6</v>
      </c>
      <c r="J711" s="15" t="str">
        <f>IF(COUNTIF(I$438:I711,I711)&gt;1,"DOUBLON","OK")</f>
        <v>OK</v>
      </c>
      <c r="S711" s="30" t="str">
        <v>Brazil</v>
      </c>
      <c r="T711" s="30" t="str">
        <f t="shared" si="65"/>
        <v>OK</v>
      </c>
      <c r="U711" s="30" t="str">
        <f t="shared" si="66"/>
        <v>-</v>
      </c>
      <c r="V711" s="30" t="str" cm="1">
        <f t="array" ref="V711">_xlfn.IFS(
ISNUMBER(SEARCH("USA",S711)),"United States",
ISNUMBER(SEARCH("Republic of Korea",S711)),"South Korea",
ISNUMBER(SEARCH("Cape Verde",S711)),"Cabo Verde",
ISNUMBER(SEARCH("Czechia",S711)),"Czech Republic",
ISNUMBER(SEARCH("Türkiye",S711)),"Turkey",
ISNUMBER(SEARCH("Ivory Coast",S711)),"Côte d'Ivoire",
ISNUMBER(SEARCH("Korea Republic",S711)),"South Korea",
ISNUMBER(SEARCH("Germany FR",S711)),"FR Germany",
ISNUMBER(SEARCH("West Germany",S711)),"FR Germany",
ISNUMBER(SEARCH("Germany DR",S711)),"DR Germany",
ISNUMBER(SEARCH("Korea DPR",S711)),"North Korea",
ISNUMBER(SEARCH("China PR",S711)),"China",
ISNUMBER(SEARCH("IR Iran",S711)),"Iran",
ISNUMBER(SEARCH("Congo DR",S711)),"Democratic Republic of the Congo",
ISNUMBER(SEARCH("DR Congo",S711)),"Democratic Republic of the Congo",
ISNUMBER(SEARCH("German DR",S711)),"DR Germany",
ISNUMBER(SEARCH("rn""&gt;United Arab Emirates",S711)),"United Arab Emirates",
ISNUMBER(SEARCH("rn""&gt;Republic of Ireland",S711)),"Ireland",
ISNUMBER(SEARCH("rn""&gt;Bosnia and Herzegovina",S711)),"Bosnia and Herzegovina",
ISNUMBER(SEARCH("rn""&gt;Trinidad and Tobago",S711)),"Trinidad and Tobago",
ISNUMBER(SEARCH("rn""&gt;Serbia and Montenegro",S711)),"Serbia and Montenegro",
ISNUMBER(SEARCH(_xlfn.UNICHAR(65533),S711)),"Côte d'Ivoire",
TRUE,""
)</f>
        <v/>
      </c>
      <c r="W711" s="30" t="str">
        <f t="shared" si="62"/>
        <v>Brazil</v>
      </c>
      <c r="Z711" s="40" t="str">
        <v>FIFA World Cup Stadium, Munich</v>
      </c>
      <c r="AA711" s="40" t="str" cm="1">
        <f t="array" ref="AA711">IFERROR(_xlfn.XLOOKUP(Z711,_xlfn.ANCHORARRAY(Z$31),AA$31:AA$37),Z711)</f>
        <v>FIFA World Cup Stadium, Munich</v>
      </c>
      <c r="AB711" s="42" t="str">
        <v xml:space="preserve">Munich </v>
      </c>
      <c r="AC711" s="89" t="str">
        <f t="shared" si="63"/>
        <v xml:space="preserve">Munich </v>
      </c>
      <c r="AE711" s="42">
        <v>2002</v>
      </c>
      <c r="AK711" s="42">
        <v>0</v>
      </c>
      <c r="AL711" s="42">
        <v>3</v>
      </c>
      <c r="AW711" s="89" t="str">
        <v>ROUND_OF_16</v>
      </c>
      <c r="BE711" s="43" t="str">
        <f>IF(OR(DATA_CLEANED!AL702="",DATA_CLEANED!AM702=""),"MANQUANT",IF(OR(NOT(ISNUMBER(DATA_CLEANED!AL702)),NOT(ISNUMBER(DATA_CLEANED!AM702))),"ENTREE INVALIDE",IF(OR(DATA_CLEANED!AL702&lt;0,DATA_CLEANED!AM702&lt;0),"SCORE NEGATIF","OK")))</f>
        <v>OK</v>
      </c>
      <c r="BF711" s="43" t="str">
        <f>IF(DATA_CLEANED!AK702&lt;&gt;DATA_CLEANED!AN702,"OK","ERREUR")</f>
        <v>OK</v>
      </c>
      <c r="BG711" s="43" t="str">
        <f>IF(DATA_CLEANED!AL702&gt;DATA_CLEANED!AM702,DATA_CLEANED!AK702,IF(AND(DATA_QUALITE!W5188="-",DATA_CLEANED!AM702=DATA_CLEANED!AL702),"MATCH NUL",IF(AND(DATA_QUALITE!V5188="-",DATA_QUALITE!U5188="AUCUNE"),DATA_QUALITE!T5188,IF(DATA_QUALITE!V5188&lt;&gt;"-",DATA_QUALITE!V5188,DATA_CLEANED!AN702))))</f>
        <v>France</v>
      </c>
      <c r="BH711" s="103" t="str">
        <f>IF(AND(BG711="MATCH NUL",DATA_CLEANED!AO702="-"),"MATCH_NUL",IF(ISNUMBER(SEARCH("win on penalties",W5188)),"WIN_BY_PENALTY",IF(ISNUMBER(SEARCH("win after extra time",W5188)),"WIN_BY_EXTRA_TIME",IF(ISNUMBER(SEARCH("Golden Goal",W5188)),"WIN_BY_GOLDEN_GOAL","WIN_BY_SCORE"))))</f>
        <v>WIN_BY_SCORE</v>
      </c>
      <c r="BI711" s="99" t="str">
        <f>IF(OR(BG711=DATA_CLEANED!AK702,BG711=DATA_CLEANED!AN702,BG711="MATCH NUL"),"OK","ERREUR")</f>
        <v>OK</v>
      </c>
    </row>
    <row r="712" spans="2:61">
      <c r="B712" s="75">
        <v>275</v>
      </c>
      <c r="C712" s="15" t="str">
        <v>Azzedine Ounahi</v>
      </c>
      <c r="D712" s="15">
        <v>26</v>
      </c>
      <c r="E712" s="15" t="str">
        <v>Morocco</v>
      </c>
      <c r="F712" s="15" t="str">
        <v>CM</v>
      </c>
      <c r="G712" s="15" t="str">
        <v>Girona</v>
      </c>
      <c r="H712" s="15">
        <v>8</v>
      </c>
      <c r="I712" s="15" t="str">
        <f t="shared" si="64"/>
        <v>275|Azzedine Ounahi|26|Morocco|CM|Girona|8</v>
      </c>
      <c r="J712" s="15" t="str">
        <f>IF(COUNTIF(I$438:I712,I712)&gt;1,"DOUBLON","OK")</f>
        <v>OK</v>
      </c>
      <c r="S712" s="30" t="str">
        <v>Brazil</v>
      </c>
      <c r="T712" s="30" t="str">
        <f t="shared" si="65"/>
        <v>OK</v>
      </c>
      <c r="U712" s="30" t="str">
        <f t="shared" si="66"/>
        <v>-</v>
      </c>
      <c r="V712" s="30" t="str" cm="1">
        <f t="array" ref="V712">_xlfn.IFS(
ISNUMBER(SEARCH("USA",S712)),"United States",
ISNUMBER(SEARCH("Republic of Korea",S712)),"South Korea",
ISNUMBER(SEARCH("Cape Verde",S712)),"Cabo Verde",
ISNUMBER(SEARCH("Czechia",S712)),"Czech Republic",
ISNUMBER(SEARCH("Türkiye",S712)),"Turkey",
ISNUMBER(SEARCH("Ivory Coast",S712)),"Côte d'Ivoire",
ISNUMBER(SEARCH("Korea Republic",S712)),"South Korea",
ISNUMBER(SEARCH("Germany FR",S712)),"FR Germany",
ISNUMBER(SEARCH("West Germany",S712)),"FR Germany",
ISNUMBER(SEARCH("Germany DR",S712)),"DR Germany",
ISNUMBER(SEARCH("Korea DPR",S712)),"North Korea",
ISNUMBER(SEARCH("China PR",S712)),"China",
ISNUMBER(SEARCH("IR Iran",S712)),"Iran",
ISNUMBER(SEARCH("Congo DR",S712)),"Democratic Republic of the Congo",
ISNUMBER(SEARCH("DR Congo",S712)),"Democratic Republic of the Congo",
ISNUMBER(SEARCH("German DR",S712)),"DR Germany",
ISNUMBER(SEARCH("rn""&gt;United Arab Emirates",S712)),"United Arab Emirates",
ISNUMBER(SEARCH("rn""&gt;Republic of Ireland",S712)),"Ireland",
ISNUMBER(SEARCH("rn""&gt;Bosnia and Herzegovina",S712)),"Bosnia and Herzegovina",
ISNUMBER(SEARCH("rn""&gt;Trinidad and Tobago",S712)),"Trinidad and Tobago",
ISNUMBER(SEARCH("rn""&gt;Serbia and Montenegro",S712)),"Serbia and Montenegro",
ISNUMBER(SEARCH(_xlfn.UNICHAR(65533),S712)),"Côte d'Ivoire",
TRUE,""
)</f>
        <v/>
      </c>
      <c r="W712" s="30" t="str">
        <f t="shared" si="62"/>
        <v>Brazil</v>
      </c>
      <c r="Z712" s="40" t="str">
        <v>Zentralstadion</v>
      </c>
      <c r="AA712" s="40" t="str" cm="1">
        <f t="array" ref="AA712">IFERROR(_xlfn.XLOOKUP(Z712,_xlfn.ANCHORARRAY(Z$31),AA$31:AA$37),Z712)</f>
        <v>Zentralstadion</v>
      </c>
      <c r="AB712" s="42" t="str">
        <v xml:space="preserve">Leipzig </v>
      </c>
      <c r="AC712" s="89" t="str">
        <f t="shared" si="63"/>
        <v xml:space="preserve">Leipzig </v>
      </c>
      <c r="AE712" s="42">
        <v>2002</v>
      </c>
      <c r="AK712" s="42">
        <v>1</v>
      </c>
      <c r="AL712" s="42">
        <v>0</v>
      </c>
      <c r="AW712" s="89" t="str">
        <v>QUARTER_FINALS</v>
      </c>
      <c r="BE712" s="43" t="str">
        <f>IF(OR(DATA_CLEANED!AL703="",DATA_CLEANED!AM703=""),"MANQUANT",IF(OR(NOT(ISNUMBER(DATA_CLEANED!AL703)),NOT(ISNUMBER(DATA_CLEANED!AM703))),"ENTREE INVALIDE",IF(OR(DATA_CLEANED!AL703&lt;0,DATA_CLEANED!AM703&lt;0),"SCORE NEGATIF","OK")))</f>
        <v>OK</v>
      </c>
      <c r="BF712" s="43" t="str">
        <f>IF(DATA_CLEANED!AK703&lt;&gt;DATA_CLEANED!AN703,"OK","ERREUR")</f>
        <v>OK</v>
      </c>
      <c r="BG712" s="43" t="str">
        <f>IF(DATA_CLEANED!AL703&gt;DATA_CLEANED!AM703,DATA_CLEANED!AK703,IF(AND(DATA_QUALITE!W5189="-",DATA_CLEANED!AM703=DATA_CLEANED!AL703),"MATCH NUL",IF(AND(DATA_QUALITE!V5189="-",DATA_QUALITE!U5189="AUCUNE"),DATA_QUALITE!T5189,IF(DATA_QUALITE!V5189&lt;&gt;"-",DATA_QUALITE!V5189,DATA_CLEANED!AN703))))</f>
        <v>Germany</v>
      </c>
      <c r="BH712" s="103" t="str">
        <f>IF(AND(BG712="MATCH NUL",DATA_CLEANED!AO703="-"),"MATCH_NUL",IF(ISNUMBER(SEARCH("win on penalties",W5189)),"WIN_BY_PENALTY",IF(ISNUMBER(SEARCH("win after extra time",W5189)),"WIN_BY_EXTRA_TIME",IF(ISNUMBER(SEARCH("Golden Goal",W5189)),"WIN_BY_GOLDEN_GOAL","WIN_BY_SCORE"))))</f>
        <v>WIN_BY_PENALTY</v>
      </c>
      <c r="BI712" s="99" t="str">
        <f>IF(OR(BG712=DATA_CLEANED!AK703,BG712=DATA_CLEANED!AN703,BG712="MATCH NUL"),"OK","ERREUR")</f>
        <v>OK</v>
      </c>
    </row>
    <row r="713" spans="2:61">
      <c r="B713" s="75">
        <v>276</v>
      </c>
      <c r="C713" s="15" t="str">
        <v>Samir El Mourabet</v>
      </c>
      <c r="D713" s="15">
        <v>20</v>
      </c>
      <c r="E713" s="15" t="str">
        <v>Morocco</v>
      </c>
      <c r="F713" s="15" t="str">
        <v>CM</v>
      </c>
      <c r="G713" s="15" t="str">
        <v>Strasbourg</v>
      </c>
      <c r="H713" s="15">
        <v>15</v>
      </c>
      <c r="I713" s="15" t="str">
        <f t="shared" si="64"/>
        <v>276|Samir El Mourabet|20|Morocco|CM|Strasbourg|15</v>
      </c>
      <c r="J713" s="15" t="str">
        <f>IF(COUNTIF(I$438:I713,I713)&gt;1,"DOUBLON","OK")</f>
        <v>OK</v>
      </c>
      <c r="S713" s="30" t="str">
        <v>Argentina</v>
      </c>
      <c r="T713" s="30" t="str">
        <f t="shared" si="65"/>
        <v>OK</v>
      </c>
      <c r="U713" s="30" t="str">
        <f t="shared" si="66"/>
        <v>-</v>
      </c>
      <c r="V713" s="30" t="str" cm="1">
        <f t="array" ref="V713">_xlfn.IFS(
ISNUMBER(SEARCH("USA",S713)),"United States",
ISNUMBER(SEARCH("Republic of Korea",S713)),"South Korea",
ISNUMBER(SEARCH("Cape Verde",S713)),"Cabo Verde",
ISNUMBER(SEARCH("Czechia",S713)),"Czech Republic",
ISNUMBER(SEARCH("Türkiye",S713)),"Turkey",
ISNUMBER(SEARCH("Ivory Coast",S713)),"Côte d'Ivoire",
ISNUMBER(SEARCH("Korea Republic",S713)),"South Korea",
ISNUMBER(SEARCH("Germany FR",S713)),"FR Germany",
ISNUMBER(SEARCH("West Germany",S713)),"FR Germany",
ISNUMBER(SEARCH("Germany DR",S713)),"DR Germany",
ISNUMBER(SEARCH("Korea DPR",S713)),"North Korea",
ISNUMBER(SEARCH("China PR",S713)),"China",
ISNUMBER(SEARCH("IR Iran",S713)),"Iran",
ISNUMBER(SEARCH("Congo DR",S713)),"Democratic Republic of the Congo",
ISNUMBER(SEARCH("DR Congo",S713)),"Democratic Republic of the Congo",
ISNUMBER(SEARCH("German DR",S713)),"DR Germany",
ISNUMBER(SEARCH("rn""&gt;United Arab Emirates",S713)),"United Arab Emirates",
ISNUMBER(SEARCH("rn""&gt;Republic of Ireland",S713)),"Ireland",
ISNUMBER(SEARCH("rn""&gt;Bosnia and Herzegovina",S713)),"Bosnia and Herzegovina",
ISNUMBER(SEARCH("rn""&gt;Trinidad and Tobago",S713)),"Trinidad and Tobago",
ISNUMBER(SEARCH("rn""&gt;Serbia and Montenegro",S713)),"Serbia and Montenegro",
ISNUMBER(SEARCH(_xlfn.UNICHAR(65533),S713)),"Côte d'Ivoire",
TRUE,""
)</f>
        <v/>
      </c>
      <c r="W713" s="30" t="str">
        <f t="shared" si="62"/>
        <v>Argentina</v>
      </c>
      <c r="Z713" s="40" t="str">
        <v>FIFA World Cup Stadium, Dortmund</v>
      </c>
      <c r="AA713" s="40" t="str" cm="1">
        <f t="array" ref="AA713">IFERROR(_xlfn.XLOOKUP(Z713,_xlfn.ANCHORARRAY(Z$31),AA$31:AA$37),Z713)</f>
        <v>FIFA World Cup Stadium, Dortmund</v>
      </c>
      <c r="AB713" s="42" t="str">
        <v xml:space="preserve">Dortmund </v>
      </c>
      <c r="AC713" s="89" t="str">
        <f t="shared" si="63"/>
        <v xml:space="preserve">Dortmund </v>
      </c>
      <c r="AE713" s="42">
        <v>2002</v>
      </c>
      <c r="AK713" s="42">
        <v>1</v>
      </c>
      <c r="AL713" s="42">
        <v>1</v>
      </c>
      <c r="AW713" s="89" t="str">
        <v>QUARTER_FINALS</v>
      </c>
      <c r="BE713" s="43" t="str">
        <f>IF(OR(DATA_CLEANED!AL704="",DATA_CLEANED!AM704=""),"MANQUANT",IF(OR(NOT(ISNUMBER(DATA_CLEANED!AL704)),NOT(ISNUMBER(DATA_CLEANED!AM704))),"ENTREE INVALIDE",IF(OR(DATA_CLEANED!AL704&lt;0,DATA_CLEANED!AM704&lt;0),"SCORE NEGATIF","OK")))</f>
        <v>OK</v>
      </c>
      <c r="BF713" s="43" t="str">
        <f>IF(DATA_CLEANED!AK704&lt;&gt;DATA_CLEANED!AN704,"OK","ERREUR")</f>
        <v>OK</v>
      </c>
      <c r="BG713" s="43" t="str">
        <f>IF(DATA_CLEANED!AL704&gt;DATA_CLEANED!AM704,DATA_CLEANED!AK704,IF(AND(DATA_QUALITE!W5190="-",DATA_CLEANED!AM704=DATA_CLEANED!AL704),"MATCH NUL",IF(AND(DATA_QUALITE!V5190="-",DATA_QUALITE!U5190="AUCUNE"),DATA_QUALITE!T5190,IF(DATA_QUALITE!V5190&lt;&gt;"-",DATA_QUALITE!V5190,DATA_CLEANED!AN704))))</f>
        <v>Italy</v>
      </c>
      <c r="BH713" s="103" t="str">
        <f>IF(AND(BG713="MATCH NUL",DATA_CLEANED!AO704="-"),"MATCH_NUL",IF(ISNUMBER(SEARCH("win on penalties",W5190)),"WIN_BY_PENALTY",IF(ISNUMBER(SEARCH("win after extra time",W5190)),"WIN_BY_EXTRA_TIME",IF(ISNUMBER(SEARCH("Golden Goal",W5190)),"WIN_BY_GOLDEN_GOAL","WIN_BY_SCORE"))))</f>
        <v>WIN_BY_SCORE</v>
      </c>
      <c r="BI713" s="99" t="str">
        <f>IF(OR(BG713=DATA_CLEANED!AK704,BG713=DATA_CLEANED!AN704,BG713="MATCH NUL"),"OK","ERREUR")</f>
        <v>OK</v>
      </c>
    </row>
    <row r="714" spans="2:61">
      <c r="B714" s="75">
        <v>277</v>
      </c>
      <c r="C714" s="15" t="str">
        <v>Gessime Yassine</v>
      </c>
      <c r="D714" s="15">
        <v>20</v>
      </c>
      <c r="E714" s="15" t="str">
        <v>Morocco</v>
      </c>
      <c r="F714" s="15" t="str">
        <v>CM</v>
      </c>
      <c r="G714" s="15" t="str">
        <v>Strasbourg</v>
      </c>
      <c r="H714" s="15">
        <v>16</v>
      </c>
      <c r="I714" s="15" t="str">
        <f t="shared" si="64"/>
        <v>277|Gessime Yassine|20|Morocco|CM|Strasbourg|16</v>
      </c>
      <c r="J714" s="15" t="str">
        <f>IF(COUNTIF(I$438:I714,I714)&gt;1,"DOUBLON","OK")</f>
        <v>OK</v>
      </c>
      <c r="S714" s="30" t="str">
        <v>Argentina</v>
      </c>
      <c r="T714" s="30" t="str">
        <f t="shared" si="65"/>
        <v>OK</v>
      </c>
      <c r="U714" s="30" t="str">
        <f t="shared" si="66"/>
        <v>-</v>
      </c>
      <c r="V714" s="30" t="str" cm="1">
        <f t="array" ref="V714">_xlfn.IFS(
ISNUMBER(SEARCH("USA",S714)),"United States",
ISNUMBER(SEARCH("Republic of Korea",S714)),"South Korea",
ISNUMBER(SEARCH("Cape Verde",S714)),"Cabo Verde",
ISNUMBER(SEARCH("Czechia",S714)),"Czech Republic",
ISNUMBER(SEARCH("Türkiye",S714)),"Turkey",
ISNUMBER(SEARCH("Ivory Coast",S714)),"Côte d'Ivoire",
ISNUMBER(SEARCH("Korea Republic",S714)),"South Korea",
ISNUMBER(SEARCH("Germany FR",S714)),"FR Germany",
ISNUMBER(SEARCH("West Germany",S714)),"FR Germany",
ISNUMBER(SEARCH("Germany DR",S714)),"DR Germany",
ISNUMBER(SEARCH("Korea DPR",S714)),"North Korea",
ISNUMBER(SEARCH("China PR",S714)),"China",
ISNUMBER(SEARCH("IR Iran",S714)),"Iran",
ISNUMBER(SEARCH("Congo DR",S714)),"Democratic Republic of the Congo",
ISNUMBER(SEARCH("DR Congo",S714)),"Democratic Republic of the Congo",
ISNUMBER(SEARCH("German DR",S714)),"DR Germany",
ISNUMBER(SEARCH("rn""&gt;United Arab Emirates",S714)),"United Arab Emirates",
ISNUMBER(SEARCH("rn""&gt;Republic of Ireland",S714)),"Ireland",
ISNUMBER(SEARCH("rn""&gt;Bosnia and Herzegovina",S714)),"Bosnia and Herzegovina",
ISNUMBER(SEARCH("rn""&gt;Trinidad and Tobago",S714)),"Trinidad and Tobago",
ISNUMBER(SEARCH("rn""&gt;Serbia and Montenegro",S714)),"Serbia and Montenegro",
ISNUMBER(SEARCH(_xlfn.UNICHAR(65533),S714)),"Côte d'Ivoire",
TRUE,""
)</f>
        <v/>
      </c>
      <c r="W714" s="30" t="str">
        <f t="shared" si="62"/>
        <v>Argentina</v>
      </c>
      <c r="Z714" s="40" t="str">
        <v>FIFA World Cup Stadium, Hamburg</v>
      </c>
      <c r="AA714" s="40" t="str" cm="1">
        <f t="array" ref="AA714">IFERROR(_xlfn.XLOOKUP(Z714,_xlfn.ANCHORARRAY(Z$31),AA$31:AA$37),Z714)</f>
        <v>FIFA World Cup Stadium, Hamburg</v>
      </c>
      <c r="AB714" s="42" t="str">
        <v xml:space="preserve">Hamburg </v>
      </c>
      <c r="AC714" s="89" t="str">
        <f t="shared" si="63"/>
        <v xml:space="preserve">Hamburg </v>
      </c>
      <c r="AE714" s="42">
        <v>2002</v>
      </c>
      <c r="AK714" s="42">
        <v>1</v>
      </c>
      <c r="AL714" s="42">
        <v>2</v>
      </c>
      <c r="AW714" s="89" t="str">
        <v>QUARTER_FINALS</v>
      </c>
      <c r="BE714" s="43" t="str">
        <f>IF(OR(DATA_CLEANED!AL705="",DATA_CLEANED!AM705=""),"MANQUANT",IF(OR(NOT(ISNUMBER(DATA_CLEANED!AL705)),NOT(ISNUMBER(DATA_CLEANED!AM705))),"ENTREE INVALIDE",IF(OR(DATA_CLEANED!AL705&lt;0,DATA_CLEANED!AM705&lt;0),"SCORE NEGATIF","OK")))</f>
        <v>OK</v>
      </c>
      <c r="BF714" s="43" t="str">
        <f>IF(DATA_CLEANED!AK705&lt;&gt;DATA_CLEANED!AN705,"OK","ERREUR")</f>
        <v>OK</v>
      </c>
      <c r="BG714" s="43" t="str">
        <f>IF(DATA_CLEANED!AL705&gt;DATA_CLEANED!AM705,DATA_CLEANED!AK705,IF(AND(DATA_QUALITE!W5191="-",DATA_CLEANED!AM705=DATA_CLEANED!AL705),"MATCH NUL",IF(AND(DATA_QUALITE!V5191="-",DATA_QUALITE!U5191="AUCUNE"),DATA_QUALITE!T5191,IF(DATA_QUALITE!V5191&lt;&gt;"-",DATA_QUALITE!V5191,DATA_CLEANED!AN705))))</f>
        <v>Portugal</v>
      </c>
      <c r="BH714" s="103" t="str">
        <f>IF(AND(BG714="MATCH NUL",DATA_CLEANED!AO705="-"),"MATCH_NUL",IF(ISNUMBER(SEARCH("win on penalties",W5191)),"WIN_BY_PENALTY",IF(ISNUMBER(SEARCH("win after extra time",W5191)),"WIN_BY_EXTRA_TIME",IF(ISNUMBER(SEARCH("Golden Goal",W5191)),"WIN_BY_GOLDEN_GOAL","WIN_BY_SCORE"))))</f>
        <v>WIN_BY_PENALTY</v>
      </c>
      <c r="BI714" s="99" t="str">
        <f>IF(OR(BG714=DATA_CLEANED!AK705,BG714=DATA_CLEANED!AN705,BG714="MATCH NUL"),"OK","ERREUR")</f>
        <v>OK</v>
      </c>
    </row>
    <row r="715" spans="2:61">
      <c r="B715" s="75">
        <v>278</v>
      </c>
      <c r="C715" s="15" t="str">
        <v>Neil El Aynaoui</v>
      </c>
      <c r="D715" s="15">
        <v>24</v>
      </c>
      <c r="E715" s="15" t="str">
        <v>Morocco</v>
      </c>
      <c r="F715" s="15" t="str">
        <v>CM</v>
      </c>
      <c r="G715" s="15" t="str">
        <v>Roma</v>
      </c>
      <c r="H715" s="15">
        <v>24</v>
      </c>
      <c r="I715" s="15" t="str">
        <f t="shared" si="64"/>
        <v>278|Neil El Aynaoui|24|Morocco|CM|Roma|24</v>
      </c>
      <c r="J715" s="15" t="str">
        <f>IF(COUNTIF(I$438:I715,I715)&gt;1,"DOUBLON","OK")</f>
        <v>OK</v>
      </c>
      <c r="S715" s="30" t="str">
        <v>Argentina</v>
      </c>
      <c r="T715" s="30" t="str">
        <f t="shared" si="65"/>
        <v>OK</v>
      </c>
      <c r="U715" s="30" t="str">
        <f t="shared" si="66"/>
        <v>-</v>
      </c>
      <c r="V715" s="30" t="str" cm="1">
        <f t="array" ref="V715">_xlfn.IFS(
ISNUMBER(SEARCH("USA",S715)),"United States",
ISNUMBER(SEARCH("Republic of Korea",S715)),"South Korea",
ISNUMBER(SEARCH("Cape Verde",S715)),"Cabo Verde",
ISNUMBER(SEARCH("Czechia",S715)),"Czech Republic",
ISNUMBER(SEARCH("Türkiye",S715)),"Turkey",
ISNUMBER(SEARCH("Ivory Coast",S715)),"Côte d'Ivoire",
ISNUMBER(SEARCH("Korea Republic",S715)),"South Korea",
ISNUMBER(SEARCH("Germany FR",S715)),"FR Germany",
ISNUMBER(SEARCH("West Germany",S715)),"FR Germany",
ISNUMBER(SEARCH("Germany DR",S715)),"DR Germany",
ISNUMBER(SEARCH("Korea DPR",S715)),"North Korea",
ISNUMBER(SEARCH("China PR",S715)),"China",
ISNUMBER(SEARCH("IR Iran",S715)),"Iran",
ISNUMBER(SEARCH("Congo DR",S715)),"Democratic Republic of the Congo",
ISNUMBER(SEARCH("DR Congo",S715)),"Democratic Republic of the Congo",
ISNUMBER(SEARCH("German DR",S715)),"DR Germany",
ISNUMBER(SEARCH("rn""&gt;United Arab Emirates",S715)),"United Arab Emirates",
ISNUMBER(SEARCH("rn""&gt;Republic of Ireland",S715)),"Ireland",
ISNUMBER(SEARCH("rn""&gt;Bosnia and Herzegovina",S715)),"Bosnia and Herzegovina",
ISNUMBER(SEARCH("rn""&gt;Trinidad and Tobago",S715)),"Trinidad and Tobago",
ISNUMBER(SEARCH("rn""&gt;Serbia and Montenegro",S715)),"Serbia and Montenegro",
ISNUMBER(SEARCH(_xlfn.UNICHAR(65533),S715)),"Côte d'Ivoire",
TRUE,""
)</f>
        <v/>
      </c>
      <c r="W715" s="30" t="str">
        <f t="shared" si="62"/>
        <v>Argentina</v>
      </c>
      <c r="Z715" s="40" t="str">
        <v>Gottlieb-Daimler-Stadion</v>
      </c>
      <c r="AA715" s="40" t="str" cm="1">
        <f t="array" ref="AA715">IFERROR(_xlfn.XLOOKUP(Z715,_xlfn.ANCHORARRAY(Z$31),AA$31:AA$37),Z715)</f>
        <v>Gottlieb-Daimler-Stadion</v>
      </c>
      <c r="AB715" s="42" t="str">
        <v xml:space="preserve">Stuttgart </v>
      </c>
      <c r="AC715" s="89" t="str">
        <f t="shared" si="63"/>
        <v xml:space="preserve">Stuttgart </v>
      </c>
      <c r="AE715" s="42">
        <v>2002</v>
      </c>
      <c r="AK715" s="42">
        <v>2</v>
      </c>
      <c r="AL715" s="42">
        <v>0</v>
      </c>
      <c r="AW715" s="89" t="str">
        <v>QUARTER_FINALS</v>
      </c>
      <c r="BE715" s="43" t="str">
        <f>IF(OR(DATA_CLEANED!AL706="",DATA_CLEANED!AM706=""),"MANQUANT",IF(OR(NOT(ISNUMBER(DATA_CLEANED!AL706)),NOT(ISNUMBER(DATA_CLEANED!AM706))),"ENTREE INVALIDE",IF(OR(DATA_CLEANED!AL706&lt;0,DATA_CLEANED!AM706&lt;0),"SCORE NEGATIF","OK")))</f>
        <v>OK</v>
      </c>
      <c r="BF715" s="43" t="str">
        <f>IF(DATA_CLEANED!AK706&lt;&gt;DATA_CLEANED!AN706,"OK","ERREUR")</f>
        <v>OK</v>
      </c>
      <c r="BG715" s="43" t="str">
        <f>IF(DATA_CLEANED!AL706&gt;DATA_CLEANED!AM706,DATA_CLEANED!AK706,IF(AND(DATA_QUALITE!W5192="-",DATA_CLEANED!AM706=DATA_CLEANED!AL706),"MATCH NUL",IF(AND(DATA_QUALITE!V5192="-",DATA_QUALITE!U5192="AUCUNE"),DATA_QUALITE!T5192,IF(DATA_QUALITE!V5192&lt;&gt;"-",DATA_QUALITE!V5192,DATA_CLEANED!AN706))))</f>
        <v>France</v>
      </c>
      <c r="BH715" s="103" t="str">
        <f>IF(AND(BG715="MATCH NUL",DATA_CLEANED!AO706="-"),"MATCH_NUL",IF(ISNUMBER(SEARCH("win on penalties",W5192)),"WIN_BY_PENALTY",IF(ISNUMBER(SEARCH("win after extra time",W5192)),"WIN_BY_EXTRA_TIME",IF(ISNUMBER(SEARCH("Golden Goal",W5192)),"WIN_BY_GOLDEN_GOAL","WIN_BY_SCORE"))))</f>
        <v>WIN_BY_SCORE</v>
      </c>
      <c r="BI715" s="99" t="str">
        <f>IF(OR(BG715=DATA_CLEANED!AK706,BG715=DATA_CLEANED!AN706,BG715="MATCH NUL"),"OK","ERREUR")</f>
        <v>OK</v>
      </c>
    </row>
    <row r="716" spans="2:61">
      <c r="B716" s="75">
        <v>279</v>
      </c>
      <c r="C716" s="15" t="str">
        <v>Chemsdine Talbi</v>
      </c>
      <c r="D716" s="15">
        <v>21</v>
      </c>
      <c r="E716" s="15" t="str">
        <v>Morocco</v>
      </c>
      <c r="F716" s="15" t="str">
        <v>CAM</v>
      </c>
      <c r="G716" s="15" t="str">
        <v>Sunderland</v>
      </c>
      <c r="H716" s="15">
        <v>7</v>
      </c>
      <c r="I716" s="15" t="str">
        <f t="shared" si="64"/>
        <v>279|Chemsdine Talbi|21|Morocco|CAM|Sunderland|7</v>
      </c>
      <c r="J716" s="15" t="str">
        <f>IF(COUNTIF(I$438:I716,I716)&gt;1,"DOUBLON","OK")</f>
        <v>OK</v>
      </c>
      <c r="S716" s="30" t="str">
        <v>Argentina</v>
      </c>
      <c r="T716" s="30" t="str">
        <f t="shared" si="65"/>
        <v>OK</v>
      </c>
      <c r="U716" s="30" t="str">
        <f t="shared" si="66"/>
        <v>-</v>
      </c>
      <c r="V716" s="30" t="str" cm="1">
        <f t="array" ref="V716">_xlfn.IFS(
ISNUMBER(SEARCH("USA",S716)),"United States",
ISNUMBER(SEARCH("Republic of Korea",S716)),"South Korea",
ISNUMBER(SEARCH("Cape Verde",S716)),"Cabo Verde",
ISNUMBER(SEARCH("Czechia",S716)),"Czech Republic",
ISNUMBER(SEARCH("Türkiye",S716)),"Turkey",
ISNUMBER(SEARCH("Ivory Coast",S716)),"Côte d'Ivoire",
ISNUMBER(SEARCH("Korea Republic",S716)),"South Korea",
ISNUMBER(SEARCH("Germany FR",S716)),"FR Germany",
ISNUMBER(SEARCH("West Germany",S716)),"FR Germany",
ISNUMBER(SEARCH("Germany DR",S716)),"DR Germany",
ISNUMBER(SEARCH("Korea DPR",S716)),"North Korea",
ISNUMBER(SEARCH("China PR",S716)),"China",
ISNUMBER(SEARCH("IR Iran",S716)),"Iran",
ISNUMBER(SEARCH("Congo DR",S716)),"Democratic Republic of the Congo",
ISNUMBER(SEARCH("DR Congo",S716)),"Democratic Republic of the Congo",
ISNUMBER(SEARCH("German DR",S716)),"DR Germany",
ISNUMBER(SEARCH("rn""&gt;United Arab Emirates",S716)),"United Arab Emirates",
ISNUMBER(SEARCH("rn""&gt;Republic of Ireland",S716)),"Ireland",
ISNUMBER(SEARCH("rn""&gt;Bosnia and Herzegovina",S716)),"Bosnia and Herzegovina",
ISNUMBER(SEARCH("rn""&gt;Trinidad and Tobago",S716)),"Trinidad and Tobago",
ISNUMBER(SEARCH("rn""&gt;Serbia and Montenegro",S716)),"Serbia and Montenegro",
ISNUMBER(SEARCH(_xlfn.UNICHAR(65533),S716)),"Côte d'Ivoire",
TRUE,""
)</f>
        <v/>
      </c>
      <c r="W716" s="30" t="str">
        <f t="shared" si="62"/>
        <v>Argentina</v>
      </c>
      <c r="Z716" s="40" t="str">
        <v>Olympiastadion</v>
      </c>
      <c r="AA716" s="40" t="str" cm="1">
        <f t="array" ref="AA716">IFERROR(_xlfn.XLOOKUP(Z716,_xlfn.ANCHORARRAY(Z$31),AA$31:AA$37),Z716)</f>
        <v>Olympiastadion</v>
      </c>
      <c r="AB716" s="42" t="str">
        <v xml:space="preserve">Berlin </v>
      </c>
      <c r="AC716" s="89" t="str">
        <f t="shared" si="63"/>
        <v xml:space="preserve">Berlin </v>
      </c>
      <c r="AE716" s="42">
        <v>2002</v>
      </c>
      <c r="AK716" s="42">
        <v>0</v>
      </c>
      <c r="AL716" s="42">
        <v>2</v>
      </c>
      <c r="AW716" s="89" t="str">
        <v>SEMI_FINALS</v>
      </c>
      <c r="BE716" s="43" t="str">
        <f>IF(OR(DATA_CLEANED!AL707="",DATA_CLEANED!AM707=""),"MANQUANT",IF(OR(NOT(ISNUMBER(DATA_CLEANED!AL707)),NOT(ISNUMBER(DATA_CLEANED!AM707))),"ENTREE INVALIDE",IF(OR(DATA_CLEANED!AL707&lt;0,DATA_CLEANED!AM707&lt;0),"SCORE NEGATIF","OK")))</f>
        <v>OK</v>
      </c>
      <c r="BF716" s="43" t="str">
        <f>IF(DATA_CLEANED!AK707&lt;&gt;DATA_CLEANED!AN707,"OK","ERREUR")</f>
        <v>OK</v>
      </c>
      <c r="BG716" s="43" t="str">
        <f>IF(DATA_CLEANED!AL707&gt;DATA_CLEANED!AM707,DATA_CLEANED!AK707,IF(AND(DATA_QUALITE!W5193="-",DATA_CLEANED!AM707=DATA_CLEANED!AL707),"MATCH NUL",IF(AND(DATA_QUALITE!V5193="-",DATA_QUALITE!U5193="AUCUNE"),DATA_QUALITE!T5193,IF(DATA_QUALITE!V5193&lt;&gt;"-",DATA_QUALITE!V5193,DATA_CLEANED!AN707))))</f>
        <v>Italy</v>
      </c>
      <c r="BH716" s="103" t="str">
        <f>IF(AND(BG716="MATCH NUL",DATA_CLEANED!AO707="-"),"MATCH_NUL",IF(ISNUMBER(SEARCH("win on penalties",W5193)),"WIN_BY_PENALTY",IF(ISNUMBER(SEARCH("win after extra time",W5193)),"WIN_BY_EXTRA_TIME",IF(ISNUMBER(SEARCH("Golden Goal",W5193)),"WIN_BY_GOLDEN_GOAL","WIN_BY_SCORE"))))</f>
        <v>WIN_BY_EXTRA_TIME</v>
      </c>
      <c r="BI716" s="99" t="str">
        <f>IF(OR(BG716=DATA_CLEANED!AK707,BG716=DATA_CLEANED!AN707,BG716="MATCH NUL"),"OK","ERREUR")</f>
        <v>OK</v>
      </c>
    </row>
    <row r="717" spans="2:61">
      <c r="B717" s="75">
        <v>280</v>
      </c>
      <c r="C717" s="15" t="str">
        <v>Ismael Saibari</v>
      </c>
      <c r="D717" s="15">
        <v>25</v>
      </c>
      <c r="E717" s="15" t="str">
        <v>Morocco</v>
      </c>
      <c r="F717" s="15" t="str">
        <v>CAM</v>
      </c>
      <c r="G717" s="15" t="str">
        <v>PSV Eindhoven</v>
      </c>
      <c r="H717" s="15">
        <v>11</v>
      </c>
      <c r="I717" s="15" t="str">
        <f t="shared" si="64"/>
        <v>280|Ismael Saibari|25|Morocco|CAM|PSV Eindhoven|11</v>
      </c>
      <c r="J717" s="15" t="str">
        <f>IF(COUNTIF(I$438:I717,I717)&gt;1,"DOUBLON","OK")</f>
        <v>OK</v>
      </c>
      <c r="S717" s="30" t="str">
        <v>Argentina</v>
      </c>
      <c r="T717" s="30" t="str">
        <f t="shared" si="65"/>
        <v>OK</v>
      </c>
      <c r="U717" s="30" t="str">
        <f t="shared" si="66"/>
        <v>-</v>
      </c>
      <c r="V717" s="30" t="str" cm="1">
        <f t="array" ref="V717">_xlfn.IFS(
ISNUMBER(SEARCH("USA",S717)),"United States",
ISNUMBER(SEARCH("Republic of Korea",S717)),"South Korea",
ISNUMBER(SEARCH("Cape Verde",S717)),"Cabo Verde",
ISNUMBER(SEARCH("Czechia",S717)),"Czech Republic",
ISNUMBER(SEARCH("Türkiye",S717)),"Turkey",
ISNUMBER(SEARCH("Ivory Coast",S717)),"Côte d'Ivoire",
ISNUMBER(SEARCH("Korea Republic",S717)),"South Korea",
ISNUMBER(SEARCH("Germany FR",S717)),"FR Germany",
ISNUMBER(SEARCH("West Germany",S717)),"FR Germany",
ISNUMBER(SEARCH("Germany DR",S717)),"DR Germany",
ISNUMBER(SEARCH("Korea DPR",S717)),"North Korea",
ISNUMBER(SEARCH("China PR",S717)),"China",
ISNUMBER(SEARCH("IR Iran",S717)),"Iran",
ISNUMBER(SEARCH("Congo DR",S717)),"Democratic Republic of the Congo",
ISNUMBER(SEARCH("DR Congo",S717)),"Democratic Republic of the Congo",
ISNUMBER(SEARCH("German DR",S717)),"DR Germany",
ISNUMBER(SEARCH("rn""&gt;United Arab Emirates",S717)),"United Arab Emirates",
ISNUMBER(SEARCH("rn""&gt;Republic of Ireland",S717)),"Ireland",
ISNUMBER(SEARCH("rn""&gt;Bosnia and Herzegovina",S717)),"Bosnia and Herzegovina",
ISNUMBER(SEARCH("rn""&gt;Trinidad and Tobago",S717)),"Trinidad and Tobago",
ISNUMBER(SEARCH("rn""&gt;Serbia and Montenegro",S717)),"Serbia and Montenegro",
ISNUMBER(SEARCH(_xlfn.UNICHAR(65533),S717)),"Côte d'Ivoire",
TRUE,""
)</f>
        <v/>
      </c>
      <c r="W717" s="30" t="str">
        <f t="shared" si="62"/>
        <v>Argentina</v>
      </c>
      <c r="Z717" s="40" t="str">
        <v>FIFA World Cup Stadium, Hanover</v>
      </c>
      <c r="AA717" s="40" t="str" cm="1">
        <f t="array" ref="AA717">IFERROR(_xlfn.XLOOKUP(Z717,_xlfn.ANCHORARRAY(Z$31),AA$31:AA$37),Z717)</f>
        <v>FIFA World Cup Stadium, Hanover</v>
      </c>
      <c r="AB717" s="42" t="str">
        <v xml:space="preserve">Hanover </v>
      </c>
      <c r="AC717" s="89" t="str">
        <f t="shared" si="63"/>
        <v xml:space="preserve">Hanover </v>
      </c>
      <c r="AE717" s="42">
        <v>2002</v>
      </c>
      <c r="AK717" s="42">
        <v>0</v>
      </c>
      <c r="AL717" s="42">
        <v>1</v>
      </c>
      <c r="AW717" s="89" t="str">
        <v>SEMI_FINALS</v>
      </c>
      <c r="BE717" s="43" t="str">
        <f>IF(OR(DATA_CLEANED!AL708="",DATA_CLEANED!AM708=""),"MANQUANT",IF(OR(NOT(ISNUMBER(DATA_CLEANED!AL708)),NOT(ISNUMBER(DATA_CLEANED!AM708))),"ENTREE INVALIDE",IF(OR(DATA_CLEANED!AL708&lt;0,DATA_CLEANED!AM708&lt;0),"SCORE NEGATIF","OK")))</f>
        <v>OK</v>
      </c>
      <c r="BF717" s="43" t="str">
        <f>IF(DATA_CLEANED!AK708&lt;&gt;DATA_CLEANED!AN708,"OK","ERREUR")</f>
        <v>OK</v>
      </c>
      <c r="BG717" s="43" t="str">
        <f>IF(DATA_CLEANED!AL708&gt;DATA_CLEANED!AM708,DATA_CLEANED!AK708,IF(AND(DATA_QUALITE!W5194="-",DATA_CLEANED!AM708=DATA_CLEANED!AL708),"MATCH NUL",IF(AND(DATA_QUALITE!V5194="-",DATA_QUALITE!U5194="AUCUNE"),DATA_QUALITE!T5194,IF(DATA_QUALITE!V5194&lt;&gt;"-",DATA_QUALITE!V5194,DATA_CLEANED!AN708))))</f>
        <v>France</v>
      </c>
      <c r="BH717" s="103" t="str">
        <f>IF(AND(BG717="MATCH NUL",DATA_CLEANED!AO708="-"),"MATCH_NUL",IF(ISNUMBER(SEARCH("win on penalties",W5194)),"WIN_BY_PENALTY",IF(ISNUMBER(SEARCH("win after extra time",W5194)),"WIN_BY_EXTRA_TIME",IF(ISNUMBER(SEARCH("Golden Goal",W5194)),"WIN_BY_GOLDEN_GOAL","WIN_BY_SCORE"))))</f>
        <v>WIN_BY_SCORE</v>
      </c>
      <c r="BI717" s="99" t="str">
        <f>IF(OR(BG717=DATA_CLEANED!AK708,BG717=DATA_CLEANED!AN708,BG717="MATCH NUL"),"OK","ERREUR")</f>
        <v>OK</v>
      </c>
    </row>
    <row r="718" spans="2:61">
      <c r="B718" s="75">
        <v>281</v>
      </c>
      <c r="C718" s="15" t="str">
        <v>Bilal El Khannouss</v>
      </c>
      <c r="D718" s="15">
        <v>22</v>
      </c>
      <c r="E718" s="15" t="str">
        <v>Morocco</v>
      </c>
      <c r="F718" s="15" t="str">
        <v>CAM</v>
      </c>
      <c r="G718" s="15" t="str">
        <v>VfB Stuttgart</v>
      </c>
      <c r="H718" s="15">
        <v>23</v>
      </c>
      <c r="I718" s="15" t="str">
        <f t="shared" si="64"/>
        <v>281|Bilal El Khannouss|22|Morocco|CAM|VfB Stuttgart|23</v>
      </c>
      <c r="J718" s="15" t="str">
        <f>IF(COUNTIF(I$438:I718,I718)&gt;1,"DOUBLON","OK")</f>
        <v>OK</v>
      </c>
      <c r="S718" s="30" t="str">
        <v>Argentina</v>
      </c>
      <c r="T718" s="30" t="str">
        <f t="shared" si="65"/>
        <v>OK</v>
      </c>
      <c r="U718" s="30" t="str">
        <f t="shared" si="66"/>
        <v>-</v>
      </c>
      <c r="V718" s="30" t="str" cm="1">
        <f t="array" ref="V718">_xlfn.IFS(
ISNUMBER(SEARCH("USA",S718)),"United States",
ISNUMBER(SEARCH("Republic of Korea",S718)),"South Korea",
ISNUMBER(SEARCH("Cape Verde",S718)),"Cabo Verde",
ISNUMBER(SEARCH("Czechia",S718)),"Czech Republic",
ISNUMBER(SEARCH("Türkiye",S718)),"Turkey",
ISNUMBER(SEARCH("Ivory Coast",S718)),"Côte d'Ivoire",
ISNUMBER(SEARCH("Korea Republic",S718)),"South Korea",
ISNUMBER(SEARCH("Germany FR",S718)),"FR Germany",
ISNUMBER(SEARCH("West Germany",S718)),"FR Germany",
ISNUMBER(SEARCH("Germany DR",S718)),"DR Germany",
ISNUMBER(SEARCH("Korea DPR",S718)),"North Korea",
ISNUMBER(SEARCH("China PR",S718)),"China",
ISNUMBER(SEARCH("IR Iran",S718)),"Iran",
ISNUMBER(SEARCH("Congo DR",S718)),"Democratic Republic of the Congo",
ISNUMBER(SEARCH("DR Congo",S718)),"Democratic Republic of the Congo",
ISNUMBER(SEARCH("German DR",S718)),"DR Germany",
ISNUMBER(SEARCH("rn""&gt;United Arab Emirates",S718)),"United Arab Emirates",
ISNUMBER(SEARCH("rn""&gt;Republic of Ireland",S718)),"Ireland",
ISNUMBER(SEARCH("rn""&gt;Bosnia and Herzegovina",S718)),"Bosnia and Herzegovina",
ISNUMBER(SEARCH("rn""&gt;Trinidad and Tobago",S718)),"Trinidad and Tobago",
ISNUMBER(SEARCH("rn""&gt;Serbia and Montenegro",S718)),"Serbia and Montenegro",
ISNUMBER(SEARCH(_xlfn.UNICHAR(65533),S718)),"Côte d'Ivoire",
TRUE,""
)</f>
        <v/>
      </c>
      <c r="W718" s="30" t="str">
        <f t="shared" ref="W718:W781" si="67">IF(V718="",S718,V718)</f>
        <v>Argentina</v>
      </c>
      <c r="Z718" s="40" t="str">
        <v>FIFA World Cup Stadium, Cologne</v>
      </c>
      <c r="AA718" s="40" t="str" cm="1">
        <f t="array" ref="AA718">IFERROR(_xlfn.XLOOKUP(Z718,_xlfn.ANCHORARRAY(Z$31),AA$31:AA$37),Z718)</f>
        <v>FIFA World Cup Stadium, Cologne</v>
      </c>
      <c r="AB718" s="42" t="str">
        <v xml:space="preserve">Cologne </v>
      </c>
      <c r="AC718" s="89" t="str">
        <f t="shared" si="63"/>
        <v xml:space="preserve">Cologne </v>
      </c>
      <c r="AE718" s="42">
        <v>2002</v>
      </c>
      <c r="AK718" s="42">
        <v>2</v>
      </c>
      <c r="AL718" s="42">
        <v>1</v>
      </c>
      <c r="AW718" s="89" t="str">
        <v>THIRD_PLACE</v>
      </c>
      <c r="BE718" s="43" t="str">
        <f>IF(OR(DATA_CLEANED!AL709="",DATA_CLEANED!AM709=""),"MANQUANT",IF(OR(NOT(ISNUMBER(DATA_CLEANED!AL709)),NOT(ISNUMBER(DATA_CLEANED!AM709))),"ENTREE INVALIDE",IF(OR(DATA_CLEANED!AL709&lt;0,DATA_CLEANED!AM709&lt;0),"SCORE NEGATIF","OK")))</f>
        <v>OK</v>
      </c>
      <c r="BF718" s="43" t="str">
        <f>IF(DATA_CLEANED!AK709&lt;&gt;DATA_CLEANED!AN709,"OK","ERREUR")</f>
        <v>OK</v>
      </c>
      <c r="BG718" s="43" t="str">
        <f>IF(DATA_CLEANED!AL709&gt;DATA_CLEANED!AM709,DATA_CLEANED!AK709,IF(AND(DATA_QUALITE!W5195="-",DATA_CLEANED!AM709=DATA_CLEANED!AL709),"MATCH NUL",IF(AND(DATA_QUALITE!V5195="-",DATA_QUALITE!U5195="AUCUNE"),DATA_QUALITE!T5195,IF(DATA_QUALITE!V5195&lt;&gt;"-",DATA_QUALITE!V5195,DATA_CLEANED!AN709))))</f>
        <v>Germany</v>
      </c>
      <c r="BH718" s="103" t="str">
        <f>IF(AND(BG718="MATCH NUL",DATA_CLEANED!AO709="-"),"MATCH_NUL",IF(ISNUMBER(SEARCH("win on penalties",W5195)),"WIN_BY_PENALTY",IF(ISNUMBER(SEARCH("win after extra time",W5195)),"WIN_BY_EXTRA_TIME",IF(ISNUMBER(SEARCH("Golden Goal",W5195)),"WIN_BY_GOLDEN_GOAL","WIN_BY_SCORE"))))</f>
        <v>WIN_BY_SCORE</v>
      </c>
      <c r="BI718" s="99" t="str">
        <f>IF(OR(BG718=DATA_CLEANED!AK709,BG718=DATA_CLEANED!AN709,BG718="MATCH NUL"),"OK","ERREUR")</f>
        <v>OK</v>
      </c>
    </row>
    <row r="719" spans="2:61">
      <c r="B719" s="75">
        <v>282</v>
      </c>
      <c r="C719" s="15" t="str">
        <v>Brahim Díaz</v>
      </c>
      <c r="D719" s="15">
        <v>26</v>
      </c>
      <c r="E719" s="15" t="str">
        <v>Morocco</v>
      </c>
      <c r="F719" s="15" t="str">
        <v>LW</v>
      </c>
      <c r="G719" s="15" t="str">
        <v>Real Madrid</v>
      </c>
      <c r="H719" s="15">
        <v>10</v>
      </c>
      <c r="I719" s="15" t="str">
        <f t="shared" si="64"/>
        <v>282|Brahim Díaz|26|Morocco|LW|Real Madrid|10</v>
      </c>
      <c r="J719" s="15" t="str">
        <f>IF(COUNTIF(I$438:I719,I719)&gt;1,"DOUBLON","OK")</f>
        <v>OK</v>
      </c>
      <c r="S719" s="30" t="str">
        <v>Argentina</v>
      </c>
      <c r="T719" s="30" t="str">
        <f t="shared" si="65"/>
        <v>OK</v>
      </c>
      <c r="U719" s="30" t="str">
        <f t="shared" si="66"/>
        <v>-</v>
      </c>
      <c r="V719" s="30" t="str" cm="1">
        <f t="array" ref="V719">_xlfn.IFS(
ISNUMBER(SEARCH("USA",S719)),"United States",
ISNUMBER(SEARCH("Republic of Korea",S719)),"South Korea",
ISNUMBER(SEARCH("Cape Verde",S719)),"Cabo Verde",
ISNUMBER(SEARCH("Czechia",S719)),"Czech Republic",
ISNUMBER(SEARCH("Türkiye",S719)),"Turkey",
ISNUMBER(SEARCH("Ivory Coast",S719)),"Côte d'Ivoire",
ISNUMBER(SEARCH("Korea Republic",S719)),"South Korea",
ISNUMBER(SEARCH("Germany FR",S719)),"FR Germany",
ISNUMBER(SEARCH("West Germany",S719)),"FR Germany",
ISNUMBER(SEARCH("Germany DR",S719)),"DR Germany",
ISNUMBER(SEARCH("Korea DPR",S719)),"North Korea",
ISNUMBER(SEARCH("China PR",S719)),"China",
ISNUMBER(SEARCH("IR Iran",S719)),"Iran",
ISNUMBER(SEARCH("Congo DR",S719)),"Democratic Republic of the Congo",
ISNUMBER(SEARCH("DR Congo",S719)),"Democratic Republic of the Congo",
ISNUMBER(SEARCH("German DR",S719)),"DR Germany",
ISNUMBER(SEARCH("rn""&gt;United Arab Emirates",S719)),"United Arab Emirates",
ISNUMBER(SEARCH("rn""&gt;Republic of Ireland",S719)),"Ireland",
ISNUMBER(SEARCH("rn""&gt;Bosnia and Herzegovina",S719)),"Bosnia and Herzegovina",
ISNUMBER(SEARCH("rn""&gt;Trinidad and Tobago",S719)),"Trinidad and Tobago",
ISNUMBER(SEARCH("rn""&gt;Serbia and Montenegro",S719)),"Serbia and Montenegro",
ISNUMBER(SEARCH(_xlfn.UNICHAR(65533),S719)),"Côte d'Ivoire",
TRUE,""
)</f>
        <v/>
      </c>
      <c r="W719" s="30" t="str">
        <f t="shared" si="67"/>
        <v>Argentina</v>
      </c>
      <c r="Z719" s="40" t="str">
        <v>Fritz-Walter-Stadion</v>
      </c>
      <c r="AA719" s="40" t="str" cm="1">
        <f t="array" ref="AA719">IFERROR(_xlfn.XLOOKUP(Z719,_xlfn.ANCHORARRAY(Z$31),AA$31:AA$37),Z719)</f>
        <v>Fritz-Walter-Stadion</v>
      </c>
      <c r="AB719" s="42" t="str">
        <v xml:space="preserve">Kaiserslautern </v>
      </c>
      <c r="AC719" s="89" t="str">
        <f t="shared" si="63"/>
        <v xml:space="preserve">Kaiserslautern </v>
      </c>
      <c r="AE719" s="42">
        <v>2002</v>
      </c>
      <c r="AK719" s="42">
        <v>1</v>
      </c>
      <c r="AL719" s="42">
        <v>2</v>
      </c>
      <c r="AW719" s="89" t="str">
        <v>FINAL</v>
      </c>
      <c r="BE719" s="43" t="str">
        <f>IF(OR(DATA_CLEANED!AL710="",DATA_CLEANED!AM710=""),"MANQUANT",IF(OR(NOT(ISNUMBER(DATA_CLEANED!AL710)),NOT(ISNUMBER(DATA_CLEANED!AM710))),"ENTREE INVALIDE",IF(OR(DATA_CLEANED!AL710&lt;0,DATA_CLEANED!AM710&lt;0),"SCORE NEGATIF","OK")))</f>
        <v>OK</v>
      </c>
      <c r="BF719" s="43" t="str">
        <f>IF(DATA_CLEANED!AK710&lt;&gt;DATA_CLEANED!AN710,"OK","ERREUR")</f>
        <v>OK</v>
      </c>
      <c r="BG719" s="43" t="str">
        <f>IF(DATA_CLEANED!AL710&gt;DATA_CLEANED!AM710,DATA_CLEANED!AK710,IF(AND(DATA_QUALITE!W5196="-",DATA_CLEANED!AM710=DATA_CLEANED!AL710),"MATCH NUL",IF(AND(DATA_QUALITE!V5196="-",DATA_QUALITE!U5196="AUCUNE"),DATA_QUALITE!T5196,IF(DATA_QUALITE!V5196&lt;&gt;"-",DATA_QUALITE!V5196,DATA_CLEANED!AN710))))</f>
        <v>Italy</v>
      </c>
      <c r="BH719" s="103" t="str">
        <f>IF(AND(BG719="MATCH NUL",DATA_CLEANED!AO710="-"),"MATCH_NUL",IF(ISNUMBER(SEARCH("win on penalties",W5196)),"WIN_BY_PENALTY",IF(ISNUMBER(SEARCH("win after extra time",W5196)),"WIN_BY_EXTRA_TIME",IF(ISNUMBER(SEARCH("Golden Goal",W5196)),"WIN_BY_GOLDEN_GOAL","WIN_BY_SCORE"))))</f>
        <v>WIN_BY_PENALTY</v>
      </c>
      <c r="BI719" s="99" t="str">
        <f>IF(OR(BG719=DATA_CLEANED!AK710,BG719=DATA_CLEANED!AN710,BG719="MATCH NUL"),"OK","ERREUR")</f>
        <v>OK</v>
      </c>
    </row>
    <row r="720" spans="2:61">
      <c r="B720" s="75">
        <v>283</v>
      </c>
      <c r="C720" s="15" t="str">
        <v>Amine Sbaï</v>
      </c>
      <c r="D720" s="15">
        <v>25</v>
      </c>
      <c r="E720" s="15" t="str">
        <v>Morocco</v>
      </c>
      <c r="F720" s="15" t="str">
        <v>LW</v>
      </c>
      <c r="G720" s="15" t="str">
        <v>Angers</v>
      </c>
      <c r="H720" s="15">
        <v>17</v>
      </c>
      <c r="I720" s="15" t="str">
        <f t="shared" si="64"/>
        <v>283|Amine Sbaï|25|Morocco|LW|Angers|17</v>
      </c>
      <c r="J720" s="15" t="str">
        <f>IF(COUNTIF(I$438:I720,I720)&gt;1,"DOUBLON","OK")</f>
        <v>OK</v>
      </c>
      <c r="S720" s="30" t="str">
        <v>Argentina</v>
      </c>
      <c r="T720" s="30" t="str">
        <f t="shared" si="65"/>
        <v>OK</v>
      </c>
      <c r="U720" s="30" t="str">
        <f t="shared" si="66"/>
        <v>-</v>
      </c>
      <c r="V720" s="30" t="str" cm="1">
        <f t="array" ref="V720">_xlfn.IFS(
ISNUMBER(SEARCH("USA",S720)),"United States",
ISNUMBER(SEARCH("Republic of Korea",S720)),"South Korea",
ISNUMBER(SEARCH("Cape Verde",S720)),"Cabo Verde",
ISNUMBER(SEARCH("Czechia",S720)),"Czech Republic",
ISNUMBER(SEARCH("Türkiye",S720)),"Turkey",
ISNUMBER(SEARCH("Ivory Coast",S720)),"Côte d'Ivoire",
ISNUMBER(SEARCH("Korea Republic",S720)),"South Korea",
ISNUMBER(SEARCH("Germany FR",S720)),"FR Germany",
ISNUMBER(SEARCH("West Germany",S720)),"FR Germany",
ISNUMBER(SEARCH("Germany DR",S720)),"DR Germany",
ISNUMBER(SEARCH("Korea DPR",S720)),"North Korea",
ISNUMBER(SEARCH("China PR",S720)),"China",
ISNUMBER(SEARCH("IR Iran",S720)),"Iran",
ISNUMBER(SEARCH("Congo DR",S720)),"Democratic Republic of the Congo",
ISNUMBER(SEARCH("DR Congo",S720)),"Democratic Republic of the Congo",
ISNUMBER(SEARCH("German DR",S720)),"DR Germany",
ISNUMBER(SEARCH("rn""&gt;United Arab Emirates",S720)),"United Arab Emirates",
ISNUMBER(SEARCH("rn""&gt;Republic of Ireland",S720)),"Ireland",
ISNUMBER(SEARCH("rn""&gt;Bosnia and Herzegovina",S720)),"Bosnia and Herzegovina",
ISNUMBER(SEARCH("rn""&gt;Trinidad and Tobago",S720)),"Trinidad and Tobago",
ISNUMBER(SEARCH("rn""&gt;Serbia and Montenegro",S720)),"Serbia and Montenegro",
ISNUMBER(SEARCH(_xlfn.UNICHAR(65533),S720)),"Côte d'Ivoire",
TRUE,""
)</f>
        <v/>
      </c>
      <c r="W720" s="30" t="str">
        <f t="shared" si="67"/>
        <v>Argentina</v>
      </c>
      <c r="Z720" s="40" t="str">
        <v>Zentralstadion</v>
      </c>
      <c r="AA720" s="40" t="str" cm="1">
        <f t="array" ref="AA720">IFERROR(_xlfn.XLOOKUP(Z720,_xlfn.ANCHORARRAY(Z$31),AA$31:AA$37),Z720)</f>
        <v>Zentralstadion</v>
      </c>
      <c r="AB720" s="42" t="str">
        <v xml:space="preserve">Leipzig </v>
      </c>
      <c r="AC720" s="89" t="str">
        <f t="shared" si="63"/>
        <v xml:space="preserve">Leipzig </v>
      </c>
      <c r="AE720" s="42">
        <v>2002</v>
      </c>
      <c r="AK720" s="42">
        <v>1</v>
      </c>
      <c r="AL720" s="42">
        <v>0</v>
      </c>
      <c r="AW720" s="89" t="str">
        <v>GROUP_STAGE</v>
      </c>
      <c r="BE720" s="43" t="str">
        <f>IF(OR(DATA_CLEANED!AL711="",DATA_CLEANED!AM711=""),"MANQUANT",IF(OR(NOT(ISNUMBER(DATA_CLEANED!AL711)),NOT(ISNUMBER(DATA_CLEANED!AM711))),"ENTREE INVALIDE",IF(OR(DATA_CLEANED!AL711&lt;0,DATA_CLEANED!AM711&lt;0),"SCORE NEGATIF","OK")))</f>
        <v>OK</v>
      </c>
      <c r="BF720" s="43" t="str">
        <f>IF(DATA_CLEANED!AK711&lt;&gt;DATA_CLEANED!AN711,"OK","ERREUR")</f>
        <v>OK</v>
      </c>
      <c r="BG720" s="43" t="str">
        <f>IF(DATA_CLEANED!AL711&gt;DATA_CLEANED!AM711,DATA_CLEANED!AK711,IF(AND(DATA_QUALITE!W5197="-",DATA_CLEANED!AM711=DATA_CLEANED!AL711),"MATCH NUL",IF(AND(DATA_QUALITE!V5197="-",DATA_QUALITE!U5197="AUCUNE"),DATA_QUALITE!T5197,IF(DATA_QUALITE!V5197&lt;&gt;"-",DATA_QUALITE!V5197,DATA_CLEANED!AN711))))</f>
        <v>MATCH NUL</v>
      </c>
      <c r="BH720" s="103" t="str">
        <f>IF(AND(BG720="MATCH NUL",DATA_CLEANED!AO711="-"),"MATCH_NUL",IF(ISNUMBER(SEARCH("win on penalties",W5197)),"WIN_BY_PENALTY",IF(ISNUMBER(SEARCH("win after extra time",W5197)),"WIN_BY_EXTRA_TIME",IF(ISNUMBER(SEARCH("Golden Goal",W5197)),"WIN_BY_GOLDEN_GOAL","WIN_BY_SCORE"))))</f>
        <v>MATCH_NUL</v>
      </c>
      <c r="BI720" s="99" t="str">
        <f>IF(OR(BG720=DATA_CLEANED!AK711,BG720=DATA_CLEANED!AN711,BG720="MATCH NUL"),"OK","ERREUR")</f>
        <v>OK</v>
      </c>
    </row>
    <row r="721" spans="2:61">
      <c r="B721" s="75">
        <v>284</v>
      </c>
      <c r="C721" s="15" t="str">
        <v>Ayoube Amaimouni</v>
      </c>
      <c r="D721" s="15">
        <v>21</v>
      </c>
      <c r="E721" s="15" t="str">
        <v>Morocco</v>
      </c>
      <c r="F721" s="15" t="str">
        <v>RW</v>
      </c>
      <c r="G721" s="15" t="str">
        <v>Eintracht Frankfurt</v>
      </c>
      <c r="H721" s="15">
        <v>21</v>
      </c>
      <c r="I721" s="15" t="str">
        <f t="shared" si="64"/>
        <v>284|Ayoube Amaimouni|21|Morocco|RW|Eintracht Frankfurt|21</v>
      </c>
      <c r="J721" s="15" t="str">
        <f>IF(COUNTIF(I$438:I721,I721)&gt;1,"DOUBLON","OK")</f>
        <v>OK</v>
      </c>
      <c r="S721" s="30" t="str">
        <v>Argentina</v>
      </c>
      <c r="T721" s="30" t="str">
        <f t="shared" si="65"/>
        <v>OK</v>
      </c>
      <c r="U721" s="30" t="str">
        <f t="shared" si="66"/>
        <v>-</v>
      </c>
      <c r="V721" s="30" t="str" cm="1">
        <f t="array" ref="V721">_xlfn.IFS(
ISNUMBER(SEARCH("USA",S721)),"United States",
ISNUMBER(SEARCH("Republic of Korea",S721)),"South Korea",
ISNUMBER(SEARCH("Cape Verde",S721)),"Cabo Verde",
ISNUMBER(SEARCH("Czechia",S721)),"Czech Republic",
ISNUMBER(SEARCH("Türkiye",S721)),"Turkey",
ISNUMBER(SEARCH("Ivory Coast",S721)),"Côte d'Ivoire",
ISNUMBER(SEARCH("Korea Republic",S721)),"South Korea",
ISNUMBER(SEARCH("Germany FR",S721)),"FR Germany",
ISNUMBER(SEARCH("West Germany",S721)),"FR Germany",
ISNUMBER(SEARCH("Germany DR",S721)),"DR Germany",
ISNUMBER(SEARCH("Korea DPR",S721)),"North Korea",
ISNUMBER(SEARCH("China PR",S721)),"China",
ISNUMBER(SEARCH("IR Iran",S721)),"Iran",
ISNUMBER(SEARCH("Congo DR",S721)),"Democratic Republic of the Congo",
ISNUMBER(SEARCH("DR Congo",S721)),"Democratic Republic of the Congo",
ISNUMBER(SEARCH("German DR",S721)),"DR Germany",
ISNUMBER(SEARCH("rn""&gt;United Arab Emirates",S721)),"United Arab Emirates",
ISNUMBER(SEARCH("rn""&gt;Republic of Ireland",S721)),"Ireland",
ISNUMBER(SEARCH("rn""&gt;Bosnia and Herzegovina",S721)),"Bosnia and Herzegovina",
ISNUMBER(SEARCH("rn""&gt;Trinidad and Tobago",S721)),"Trinidad and Tobago",
ISNUMBER(SEARCH("rn""&gt;Serbia and Montenegro",S721)),"Serbia and Montenegro",
ISNUMBER(SEARCH(_xlfn.UNICHAR(65533),S721)),"Côte d'Ivoire",
TRUE,""
)</f>
        <v/>
      </c>
      <c r="W721" s="30" t="str">
        <f t="shared" si="67"/>
        <v>Argentina</v>
      </c>
      <c r="Z721" s="40" t="str">
        <v>FIFA World Cup Stadium, Gelsenkirchen</v>
      </c>
      <c r="AA721" s="40" t="str" cm="1">
        <f t="array" ref="AA721">IFERROR(_xlfn.XLOOKUP(Z721,_xlfn.ANCHORARRAY(Z$31),AA$31:AA$37),Z721)</f>
        <v>FIFA World Cup Stadium, Gelsenkirchen</v>
      </c>
      <c r="AB721" s="42" t="str">
        <v xml:space="preserve">Gelsenkirchen </v>
      </c>
      <c r="AC721" s="89" t="str">
        <f t="shared" si="63"/>
        <v xml:space="preserve">Gelsenkirchen </v>
      </c>
      <c r="AE721" s="42">
        <v>2002</v>
      </c>
      <c r="AK721" s="42">
        <v>0</v>
      </c>
      <c r="AL721" s="42">
        <v>1</v>
      </c>
      <c r="AW721" s="89" t="str">
        <v>GROUP_STAGE</v>
      </c>
      <c r="BE721" s="43" t="str">
        <f>IF(OR(DATA_CLEANED!AL712="",DATA_CLEANED!AM712=""),"MANQUANT",IF(OR(NOT(ISNUMBER(DATA_CLEANED!AL712)),NOT(ISNUMBER(DATA_CLEANED!AM712))),"ENTREE INVALIDE",IF(OR(DATA_CLEANED!AL712&lt;0,DATA_CLEANED!AM712&lt;0),"SCORE NEGATIF","OK")))</f>
        <v>OK</v>
      </c>
      <c r="BF721" s="43" t="str">
        <f>IF(DATA_CLEANED!AK712&lt;&gt;DATA_CLEANED!AN712,"OK","ERREUR")</f>
        <v>OK</v>
      </c>
      <c r="BG721" s="43" t="str">
        <f>IF(DATA_CLEANED!AL712&gt;DATA_CLEANED!AM712,DATA_CLEANED!AK712,IF(AND(DATA_QUALITE!W5198="-",DATA_CLEANED!AM712=DATA_CLEANED!AL712),"MATCH NUL",IF(AND(DATA_QUALITE!V5198="-",DATA_QUALITE!U5198="AUCUNE"),DATA_QUALITE!T5198,IF(DATA_QUALITE!V5198&lt;&gt;"-",DATA_QUALITE!V5198,DATA_CLEANED!AN712))))</f>
        <v>MATCH NUL</v>
      </c>
      <c r="BH721" s="103" t="str">
        <f>IF(AND(BG721="MATCH NUL",DATA_CLEANED!AO712="-"),"MATCH_NUL",IF(ISNUMBER(SEARCH("win on penalties",W5198)),"WIN_BY_PENALTY",IF(ISNUMBER(SEARCH("win after extra time",W5198)),"WIN_BY_EXTRA_TIME",IF(ISNUMBER(SEARCH("Golden Goal",W5198)),"WIN_BY_GOLDEN_GOAL","WIN_BY_SCORE"))))</f>
        <v>MATCH_NUL</v>
      </c>
      <c r="BI721" s="99" t="str">
        <f>IF(OR(BG721=DATA_CLEANED!AK712,BG721=DATA_CLEANED!AN712,BG721="MATCH NUL"),"OK","ERREUR")</f>
        <v>OK</v>
      </c>
    </row>
    <row r="722" spans="2:61">
      <c r="B722" s="75">
        <v>285</v>
      </c>
      <c r="C722" s="15" t="str">
        <v>Soufiane Rahimi</v>
      </c>
      <c r="D722" s="15">
        <v>30</v>
      </c>
      <c r="E722" s="15" t="str">
        <v>Morocco</v>
      </c>
      <c r="F722" s="15" t="str">
        <v>ST</v>
      </c>
      <c r="G722" s="15" t="str">
        <v>Al Ain</v>
      </c>
      <c r="H722" s="15">
        <v>9</v>
      </c>
      <c r="I722" s="15" t="str">
        <f t="shared" si="64"/>
        <v>285|Soufiane Rahimi|30|Morocco|ST|Al Ain|9</v>
      </c>
      <c r="J722" s="15" t="str">
        <f>IF(COUNTIF(I$438:I722,I722)&gt;1,"DOUBLON","OK")</f>
        <v>OK</v>
      </c>
      <c r="S722" s="30" t="str">
        <v>Argentina</v>
      </c>
      <c r="T722" s="30" t="str">
        <f t="shared" si="65"/>
        <v>OK</v>
      </c>
      <c r="U722" s="30" t="str">
        <f t="shared" si="66"/>
        <v>-</v>
      </c>
      <c r="V722" s="30" t="str" cm="1">
        <f t="array" ref="V722">_xlfn.IFS(
ISNUMBER(SEARCH("USA",S722)),"United States",
ISNUMBER(SEARCH("Republic of Korea",S722)),"South Korea",
ISNUMBER(SEARCH("Cape Verde",S722)),"Cabo Verde",
ISNUMBER(SEARCH("Czechia",S722)),"Czech Republic",
ISNUMBER(SEARCH("Türkiye",S722)),"Turkey",
ISNUMBER(SEARCH("Ivory Coast",S722)),"Côte d'Ivoire",
ISNUMBER(SEARCH("Korea Republic",S722)),"South Korea",
ISNUMBER(SEARCH("Germany FR",S722)),"FR Germany",
ISNUMBER(SEARCH("West Germany",S722)),"FR Germany",
ISNUMBER(SEARCH("Germany DR",S722)),"DR Germany",
ISNUMBER(SEARCH("Korea DPR",S722)),"North Korea",
ISNUMBER(SEARCH("China PR",S722)),"China",
ISNUMBER(SEARCH("IR Iran",S722)),"Iran",
ISNUMBER(SEARCH("Congo DR",S722)),"Democratic Republic of the Congo",
ISNUMBER(SEARCH("DR Congo",S722)),"Democratic Republic of the Congo",
ISNUMBER(SEARCH("German DR",S722)),"DR Germany",
ISNUMBER(SEARCH("rn""&gt;United Arab Emirates",S722)),"United Arab Emirates",
ISNUMBER(SEARCH("rn""&gt;Republic of Ireland",S722)),"Ireland",
ISNUMBER(SEARCH("rn""&gt;Bosnia and Herzegovina",S722)),"Bosnia and Herzegovina",
ISNUMBER(SEARCH("rn""&gt;Trinidad and Tobago",S722)),"Trinidad and Tobago",
ISNUMBER(SEARCH("rn""&gt;Serbia and Montenegro",S722)),"Serbia and Montenegro",
ISNUMBER(SEARCH(_xlfn.UNICHAR(65533),S722)),"Côte d'Ivoire",
TRUE,""
)</f>
        <v/>
      </c>
      <c r="W722" s="30" t="str">
        <f t="shared" si="67"/>
        <v>Argentina</v>
      </c>
      <c r="Z722" s="40" t="str">
        <v>FIFA World Cup Stadium, Frankfurt</v>
      </c>
      <c r="AA722" s="40" t="str" cm="1">
        <f t="array" ref="AA722">IFERROR(_xlfn.XLOOKUP(Z722,_xlfn.ANCHORARRAY(Z$31),AA$31:AA$37),Z722)</f>
        <v>FIFA World Cup Stadium, Frankfurt</v>
      </c>
      <c r="AB722" s="42" t="str">
        <v xml:space="preserve">Frankfurt/Main </v>
      </c>
      <c r="AC722" s="89" t="str">
        <f t="shared" si="63"/>
        <v xml:space="preserve">Frankfurt/Main </v>
      </c>
      <c r="AE722" s="42">
        <v>2002</v>
      </c>
      <c r="AK722" s="42">
        <v>0</v>
      </c>
      <c r="AL722" s="42">
        <v>0</v>
      </c>
      <c r="AW722" s="89" t="str">
        <v>GROUP_STAGE</v>
      </c>
      <c r="BE722" s="43" t="str">
        <f>IF(OR(DATA_CLEANED!AL713="",DATA_CLEANED!AM713=""),"MANQUANT",IF(OR(NOT(ISNUMBER(DATA_CLEANED!AL713)),NOT(ISNUMBER(DATA_CLEANED!AM713))),"ENTREE INVALIDE",IF(OR(DATA_CLEANED!AL713&lt;0,DATA_CLEANED!AM713&lt;0),"SCORE NEGATIF","OK")))</f>
        <v>OK</v>
      </c>
      <c r="BF722" s="43" t="str">
        <f>IF(DATA_CLEANED!AK713&lt;&gt;DATA_CLEANED!AN713,"OK","ERREUR")</f>
        <v>OK</v>
      </c>
      <c r="BG722" s="43" t="str">
        <f>IF(DATA_CLEANED!AL713&gt;DATA_CLEANED!AM713,DATA_CLEANED!AK713,IF(AND(DATA_QUALITE!W5199="-",DATA_CLEANED!AM713=DATA_CLEANED!AL713),"MATCH NUL",IF(AND(DATA_QUALITE!V5199="-",DATA_QUALITE!U5199="AUCUNE"),DATA_QUALITE!T5199,IF(DATA_QUALITE!V5199&lt;&gt;"-",DATA_QUALITE!V5199,DATA_CLEANED!AN713))))</f>
        <v>South Korea</v>
      </c>
      <c r="BH722" s="103" t="str">
        <f>IF(AND(BG722="MATCH NUL",DATA_CLEANED!AO713="-"),"MATCH_NUL",IF(ISNUMBER(SEARCH("win on penalties",W5199)),"WIN_BY_PENALTY",IF(ISNUMBER(SEARCH("win after extra time",W5199)),"WIN_BY_EXTRA_TIME",IF(ISNUMBER(SEARCH("Golden Goal",W5199)),"WIN_BY_GOLDEN_GOAL","WIN_BY_SCORE"))))</f>
        <v>WIN_BY_SCORE</v>
      </c>
      <c r="BI722" s="99" t="str">
        <f>IF(OR(BG722=DATA_CLEANED!AK713,BG722=DATA_CLEANED!AN713,BG722="MATCH NUL"),"OK","ERREUR")</f>
        <v>OK</v>
      </c>
    </row>
    <row r="723" spans="2:61">
      <c r="B723" s="75">
        <v>286</v>
      </c>
      <c r="C723" s="15" t="str">
        <v>Ayoub El Kaabi</v>
      </c>
      <c r="D723" s="15">
        <v>32</v>
      </c>
      <c r="E723" s="15" t="str">
        <v>Morocco</v>
      </c>
      <c r="F723" s="15" t="str">
        <v>ST</v>
      </c>
      <c r="G723" s="15" t="str">
        <v>Olympiacos</v>
      </c>
      <c r="H723" s="15">
        <v>20</v>
      </c>
      <c r="I723" s="15" t="str">
        <f t="shared" si="64"/>
        <v>286|Ayoub El Kaabi|32|Morocco|ST|Olympiacos|20</v>
      </c>
      <c r="J723" s="15" t="str">
        <f>IF(COUNTIF(I$438:I723,I723)&gt;1,"DOUBLON","OK")</f>
        <v>OK</v>
      </c>
      <c r="S723" s="30" t="str">
        <v>France</v>
      </c>
      <c r="T723" s="30" t="str">
        <f t="shared" si="65"/>
        <v>OK</v>
      </c>
      <c r="U723" s="30" t="str">
        <f t="shared" si="66"/>
        <v>-</v>
      </c>
      <c r="V723" s="30" t="str" cm="1">
        <f t="array" ref="V723">_xlfn.IFS(
ISNUMBER(SEARCH("USA",S723)),"United States",
ISNUMBER(SEARCH("Republic of Korea",S723)),"South Korea",
ISNUMBER(SEARCH("Cape Verde",S723)),"Cabo Verde",
ISNUMBER(SEARCH("Czechia",S723)),"Czech Republic",
ISNUMBER(SEARCH("Türkiye",S723)),"Turkey",
ISNUMBER(SEARCH("Ivory Coast",S723)),"Côte d'Ivoire",
ISNUMBER(SEARCH("Korea Republic",S723)),"South Korea",
ISNUMBER(SEARCH("Germany FR",S723)),"FR Germany",
ISNUMBER(SEARCH("West Germany",S723)),"FR Germany",
ISNUMBER(SEARCH("Germany DR",S723)),"DR Germany",
ISNUMBER(SEARCH("Korea DPR",S723)),"North Korea",
ISNUMBER(SEARCH("China PR",S723)),"China",
ISNUMBER(SEARCH("IR Iran",S723)),"Iran",
ISNUMBER(SEARCH("Congo DR",S723)),"Democratic Republic of the Congo",
ISNUMBER(SEARCH("DR Congo",S723)),"Democratic Republic of the Congo",
ISNUMBER(SEARCH("German DR",S723)),"DR Germany",
ISNUMBER(SEARCH("rn""&gt;United Arab Emirates",S723)),"United Arab Emirates",
ISNUMBER(SEARCH("rn""&gt;Republic of Ireland",S723)),"Ireland",
ISNUMBER(SEARCH("rn""&gt;Bosnia and Herzegovina",S723)),"Bosnia and Herzegovina",
ISNUMBER(SEARCH("rn""&gt;Trinidad and Tobago",S723)),"Trinidad and Tobago",
ISNUMBER(SEARCH("rn""&gt;Serbia and Montenegro",S723)),"Serbia and Montenegro",
ISNUMBER(SEARCH(_xlfn.UNICHAR(65533),S723)),"Côte d'Ivoire",
TRUE,""
)</f>
        <v/>
      </c>
      <c r="W723" s="30" t="str">
        <f t="shared" si="67"/>
        <v>France</v>
      </c>
      <c r="Z723" s="40" t="str">
        <v>FIFA World Cup Stadium, Munich</v>
      </c>
      <c r="AA723" s="40" t="str" cm="1">
        <f t="array" ref="AA723">IFERROR(_xlfn.XLOOKUP(Z723,_xlfn.ANCHORARRAY(Z$31),AA$31:AA$37),Z723)</f>
        <v>FIFA World Cup Stadium, Munich</v>
      </c>
      <c r="AB723" s="42" t="str">
        <v xml:space="preserve">Munich </v>
      </c>
      <c r="AC723" s="89" t="str">
        <f t="shared" si="63"/>
        <v xml:space="preserve">Munich </v>
      </c>
      <c r="AE723" s="42">
        <v>2002</v>
      </c>
      <c r="AK723" s="42">
        <v>1</v>
      </c>
      <c r="AL723" s="42">
        <v>0</v>
      </c>
      <c r="AW723" s="89" t="str">
        <v>GROUP_STAGE</v>
      </c>
      <c r="BE723" s="43" t="str">
        <f>IF(OR(DATA_CLEANED!AL714="",DATA_CLEANED!AM714=""),"MANQUANT",IF(OR(NOT(ISNUMBER(DATA_CLEANED!AL714)),NOT(ISNUMBER(DATA_CLEANED!AM714))),"ENTREE INVALIDE",IF(OR(DATA_CLEANED!AL714&lt;0,DATA_CLEANED!AM714&lt;0),"SCORE NEGATIF","OK")))</f>
        <v>OK</v>
      </c>
      <c r="BF723" s="43" t="str">
        <f>IF(DATA_CLEANED!AK714&lt;&gt;DATA_CLEANED!AN714,"OK","ERREUR")</f>
        <v>OK</v>
      </c>
      <c r="BG723" s="43" t="str">
        <f>IF(DATA_CLEANED!AL714&gt;DATA_CLEANED!AM714,DATA_CLEANED!AK714,IF(AND(DATA_QUALITE!W5200="-",DATA_CLEANED!AM714=DATA_CLEANED!AL714),"MATCH NUL",IF(AND(DATA_QUALITE!V5200="-",DATA_QUALITE!U5200="AUCUNE"),DATA_QUALITE!T5200,IF(DATA_QUALITE!V5200&lt;&gt;"-",DATA_QUALITE!V5200,DATA_CLEANED!AN714))))</f>
        <v>Argentina</v>
      </c>
      <c r="BH723" s="103" t="str">
        <f>IF(AND(BG723="MATCH NUL",DATA_CLEANED!AO714="-"),"MATCH_NUL",IF(ISNUMBER(SEARCH("win on penalties",W5200)),"WIN_BY_PENALTY",IF(ISNUMBER(SEARCH("win after extra time",W5200)),"WIN_BY_EXTRA_TIME",IF(ISNUMBER(SEARCH("Golden Goal",W5200)),"WIN_BY_GOLDEN_GOAL","WIN_BY_SCORE"))))</f>
        <v>WIN_BY_SCORE</v>
      </c>
      <c r="BI723" s="99" t="str">
        <f>IF(OR(BG723=DATA_CLEANED!AK714,BG723=DATA_CLEANED!AN714,BG723="MATCH NUL"),"OK","ERREUR")</f>
        <v>OK</v>
      </c>
    </row>
    <row r="724" spans="2:61">
      <c r="B724" s="75">
        <v>287</v>
      </c>
      <c r="C724" s="15" t="str">
        <v>Angus Gunn</v>
      </c>
      <c r="D724" s="15">
        <v>30</v>
      </c>
      <c r="E724" s="15" t="str">
        <v>Scotland</v>
      </c>
      <c r="F724" s="15" t="str">
        <v>GK</v>
      </c>
      <c r="G724" s="15" t="str">
        <v>Nottingham Forest</v>
      </c>
      <c r="H724" s="15">
        <v>1</v>
      </c>
      <c r="I724" s="15" t="str">
        <f t="shared" si="64"/>
        <v>287|Angus Gunn|30|Scotland|GK|Nottingham Forest|1</v>
      </c>
      <c r="J724" s="15" t="str">
        <f>IF(COUNTIF(I$438:I724,I724)&gt;1,"DOUBLON","OK")</f>
        <v>OK</v>
      </c>
      <c r="S724" s="30" t="str">
        <v>France</v>
      </c>
      <c r="T724" s="30" t="str">
        <f t="shared" si="65"/>
        <v>OK</v>
      </c>
      <c r="U724" s="30" t="str">
        <f t="shared" si="66"/>
        <v>-</v>
      </c>
      <c r="V724" s="30" t="str" cm="1">
        <f t="array" ref="V724">_xlfn.IFS(
ISNUMBER(SEARCH("USA",S724)),"United States",
ISNUMBER(SEARCH("Republic of Korea",S724)),"South Korea",
ISNUMBER(SEARCH("Cape Verde",S724)),"Cabo Verde",
ISNUMBER(SEARCH("Czechia",S724)),"Czech Republic",
ISNUMBER(SEARCH("Türkiye",S724)),"Turkey",
ISNUMBER(SEARCH("Ivory Coast",S724)),"Côte d'Ivoire",
ISNUMBER(SEARCH("Korea Republic",S724)),"South Korea",
ISNUMBER(SEARCH("Germany FR",S724)),"FR Germany",
ISNUMBER(SEARCH("West Germany",S724)),"FR Germany",
ISNUMBER(SEARCH("Germany DR",S724)),"DR Germany",
ISNUMBER(SEARCH("Korea DPR",S724)),"North Korea",
ISNUMBER(SEARCH("China PR",S724)),"China",
ISNUMBER(SEARCH("IR Iran",S724)),"Iran",
ISNUMBER(SEARCH("Congo DR",S724)),"Democratic Republic of the Congo",
ISNUMBER(SEARCH("DR Congo",S724)),"Democratic Republic of the Congo",
ISNUMBER(SEARCH("German DR",S724)),"DR Germany",
ISNUMBER(SEARCH("rn""&gt;United Arab Emirates",S724)),"United Arab Emirates",
ISNUMBER(SEARCH("rn""&gt;Republic of Ireland",S724)),"Ireland",
ISNUMBER(SEARCH("rn""&gt;Bosnia and Herzegovina",S724)),"Bosnia and Herzegovina",
ISNUMBER(SEARCH("rn""&gt;Trinidad and Tobago",S724)),"Trinidad and Tobago",
ISNUMBER(SEARCH("rn""&gt;Serbia and Montenegro",S724)),"Serbia and Montenegro",
ISNUMBER(SEARCH(_xlfn.UNICHAR(65533),S724)),"Côte d'Ivoire",
TRUE,""
)</f>
        <v/>
      </c>
      <c r="W724" s="30" t="str">
        <f t="shared" si="67"/>
        <v>France</v>
      </c>
      <c r="Z724" s="40" t="str">
        <v>FIFA World Cup Stadium, Hamburg</v>
      </c>
      <c r="AA724" s="40" t="str" cm="1">
        <f t="array" ref="AA724">IFERROR(_xlfn.XLOOKUP(Z724,_xlfn.ANCHORARRAY(Z$31),AA$31:AA$37),Z724)</f>
        <v>FIFA World Cup Stadium, Hamburg</v>
      </c>
      <c r="AB724" s="42" t="str">
        <v xml:space="preserve">Hamburg </v>
      </c>
      <c r="AC724" s="89" t="str">
        <f t="shared" si="63"/>
        <v xml:space="preserve">Hamburg </v>
      </c>
      <c r="AE724" s="42">
        <v>2002</v>
      </c>
      <c r="AK724" s="42">
        <v>1</v>
      </c>
      <c r="AL724" s="42">
        <v>0</v>
      </c>
      <c r="AW724" s="89" t="str">
        <v>GROUP_STAGE</v>
      </c>
      <c r="BE724" s="43" t="str">
        <f>IF(OR(DATA_CLEANED!AL715="",DATA_CLEANED!AM715=""),"MANQUANT",IF(OR(NOT(ISNUMBER(DATA_CLEANED!AL715)),NOT(ISNUMBER(DATA_CLEANED!AM715))),"ENTREE INVALIDE",IF(OR(DATA_CLEANED!AL715&lt;0,DATA_CLEANED!AM715&lt;0),"SCORE NEGATIF","OK")))</f>
        <v>OK</v>
      </c>
      <c r="BF724" s="43" t="str">
        <f>IF(DATA_CLEANED!AK715&lt;&gt;DATA_CLEANED!AN715,"OK","ERREUR")</f>
        <v>OK</v>
      </c>
      <c r="BG724" s="43" t="str">
        <f>IF(DATA_CLEANED!AL715&gt;DATA_CLEANED!AM715,DATA_CLEANED!AK715,IF(AND(DATA_QUALITE!W5201="-",DATA_CLEANED!AM715=DATA_CLEANED!AL715),"MATCH NUL",IF(AND(DATA_QUALITE!V5201="-",DATA_QUALITE!U5201="AUCUNE"),DATA_QUALITE!T5201,IF(DATA_QUALITE!V5201&lt;&gt;"-",DATA_QUALITE!V5201,DATA_CLEANED!AN715))))</f>
        <v>MATCH NUL</v>
      </c>
      <c r="BH724" s="103" t="str">
        <f>IF(AND(BG724="MATCH NUL",DATA_CLEANED!AO715="-"),"MATCH_NUL",IF(ISNUMBER(SEARCH("win on penalties",W5201)),"WIN_BY_PENALTY",IF(ISNUMBER(SEARCH("win after extra time",W5201)),"WIN_BY_EXTRA_TIME",IF(ISNUMBER(SEARCH("Golden Goal",W5201)),"WIN_BY_GOLDEN_GOAL","WIN_BY_SCORE"))))</f>
        <v>MATCH_NUL</v>
      </c>
      <c r="BI724" s="99" t="str">
        <f>IF(OR(BG724=DATA_CLEANED!AK715,BG724=DATA_CLEANED!AN715,BG724="MATCH NUL"),"OK","ERREUR")</f>
        <v>OK</v>
      </c>
    </row>
    <row r="725" spans="2:61">
      <c r="B725" s="75">
        <v>288</v>
      </c>
      <c r="C725" s="15" t="str">
        <v>Liam Kelly</v>
      </c>
      <c r="D725" s="15">
        <v>30</v>
      </c>
      <c r="E725" s="15" t="str">
        <v>Scotland</v>
      </c>
      <c r="F725" s="15" t="str">
        <v>GK</v>
      </c>
      <c r="G725" s="15" t="str">
        <v>Rangers</v>
      </c>
      <c r="H725" s="15">
        <v>12</v>
      </c>
      <c r="I725" s="15" t="str">
        <f t="shared" si="64"/>
        <v>288|Liam Kelly|30|Scotland|GK|Rangers|12</v>
      </c>
      <c r="J725" s="15" t="str">
        <f>IF(COUNTIF(I$438:I725,I725)&gt;1,"DOUBLON","OK")</f>
        <v>OK</v>
      </c>
      <c r="S725" s="30" t="str">
        <v>France</v>
      </c>
      <c r="T725" s="30" t="str">
        <f t="shared" si="65"/>
        <v>OK</v>
      </c>
      <c r="U725" s="30" t="str">
        <f t="shared" si="66"/>
        <v>-</v>
      </c>
      <c r="V725" s="30" t="str" cm="1">
        <f t="array" ref="V725">_xlfn.IFS(
ISNUMBER(SEARCH("USA",S725)),"United States",
ISNUMBER(SEARCH("Republic of Korea",S725)),"South Korea",
ISNUMBER(SEARCH("Cape Verde",S725)),"Cabo Verde",
ISNUMBER(SEARCH("Czechia",S725)),"Czech Republic",
ISNUMBER(SEARCH("Türkiye",S725)),"Turkey",
ISNUMBER(SEARCH("Ivory Coast",S725)),"Côte d'Ivoire",
ISNUMBER(SEARCH("Korea Republic",S725)),"South Korea",
ISNUMBER(SEARCH("Germany FR",S725)),"FR Germany",
ISNUMBER(SEARCH("West Germany",S725)),"FR Germany",
ISNUMBER(SEARCH("Germany DR",S725)),"DR Germany",
ISNUMBER(SEARCH("Korea DPR",S725)),"North Korea",
ISNUMBER(SEARCH("China PR",S725)),"China",
ISNUMBER(SEARCH("IR Iran",S725)),"Iran",
ISNUMBER(SEARCH("Congo DR",S725)),"Democratic Republic of the Congo",
ISNUMBER(SEARCH("DR Congo",S725)),"Democratic Republic of the Congo",
ISNUMBER(SEARCH("German DR",S725)),"DR Germany",
ISNUMBER(SEARCH("rn""&gt;United Arab Emirates",S725)),"United Arab Emirates",
ISNUMBER(SEARCH("rn""&gt;Republic of Ireland",S725)),"Ireland",
ISNUMBER(SEARCH("rn""&gt;Bosnia and Herzegovina",S725)),"Bosnia and Herzegovina",
ISNUMBER(SEARCH("rn""&gt;Trinidad and Tobago",S725)),"Trinidad and Tobago",
ISNUMBER(SEARCH("rn""&gt;Serbia and Montenegro",S725)),"Serbia and Montenegro",
ISNUMBER(SEARCH(_xlfn.UNICHAR(65533),S725)),"Côte d'Ivoire",
TRUE,""
)</f>
        <v/>
      </c>
      <c r="W725" s="30" t="str">
        <f t="shared" si="67"/>
        <v>France</v>
      </c>
      <c r="Z725" s="40" t="str">
        <v>Franken-Stadion</v>
      </c>
      <c r="AA725" s="40" t="str" cm="1">
        <f t="array" ref="AA725">IFERROR(_xlfn.XLOOKUP(Z725,_xlfn.ANCHORARRAY(Z$31),AA$31:AA$37),Z725)</f>
        <v>Franken-Stadion</v>
      </c>
      <c r="AB725" s="42" t="str">
        <v xml:space="preserve">Nuremberg </v>
      </c>
      <c r="AC725" s="89" t="str">
        <f t="shared" si="63"/>
        <v xml:space="preserve">Nuremberg </v>
      </c>
      <c r="AE725" s="42">
        <v>2002</v>
      </c>
      <c r="AK725" s="42">
        <v>2</v>
      </c>
      <c r="AL725" s="42">
        <v>3</v>
      </c>
      <c r="AW725" s="89" t="str">
        <v>GROUP_STAGE</v>
      </c>
      <c r="BE725" s="43" t="str">
        <f>IF(OR(DATA_CLEANED!AL716="",DATA_CLEANED!AM716=""),"MANQUANT",IF(OR(NOT(ISNUMBER(DATA_CLEANED!AL716)),NOT(ISNUMBER(DATA_CLEANED!AM716))),"ENTREE INVALIDE",IF(OR(DATA_CLEANED!AL716&lt;0,DATA_CLEANED!AM716&lt;0),"SCORE NEGATIF","OK")))</f>
        <v>OK</v>
      </c>
      <c r="BF725" s="43" t="str">
        <f>IF(DATA_CLEANED!AK716&lt;&gt;DATA_CLEANED!AN716,"OK","ERREUR")</f>
        <v>OK</v>
      </c>
      <c r="BG725" s="43" t="str">
        <f>IF(DATA_CLEANED!AL716&gt;DATA_CLEANED!AM716,DATA_CLEANED!AK716,IF(AND(DATA_QUALITE!W5202="-",DATA_CLEANED!AM716=DATA_CLEANED!AL716),"MATCH NUL",IF(AND(DATA_QUALITE!V5202="-",DATA_QUALITE!U5202="AUCUNE"),DATA_QUALITE!T5202,IF(DATA_QUALITE!V5202&lt;&gt;"-",DATA_QUALITE!V5202,DATA_CLEANED!AN716))))</f>
        <v>Slovenia</v>
      </c>
      <c r="BH725" s="103" t="str">
        <f>IF(AND(BG725="MATCH NUL",DATA_CLEANED!AO716="-"),"MATCH_NUL",IF(ISNUMBER(SEARCH("win on penalties",W5202)),"WIN_BY_PENALTY",IF(ISNUMBER(SEARCH("win after extra time",W5202)),"WIN_BY_EXTRA_TIME",IF(ISNUMBER(SEARCH("Golden Goal",W5202)),"WIN_BY_GOLDEN_GOAL","WIN_BY_SCORE"))))</f>
        <v>WIN_BY_SCORE</v>
      </c>
      <c r="BI725" s="99" t="str">
        <f>IF(OR(BG725=DATA_CLEANED!AK716,BG725=DATA_CLEANED!AN716,BG725="MATCH NUL"),"OK","ERREUR")</f>
        <v>OK</v>
      </c>
    </row>
    <row r="726" spans="2:61">
      <c r="B726" s="75">
        <v>289</v>
      </c>
      <c r="C726" s="15" t="str">
        <v>Craig Gordon</v>
      </c>
      <c r="D726" s="15">
        <v>43</v>
      </c>
      <c r="E726" s="15" t="str">
        <v>Scotland</v>
      </c>
      <c r="F726" s="15" t="str">
        <v>GK</v>
      </c>
      <c r="G726" s="15" t="str">
        <v>Heart of Midlothian</v>
      </c>
      <c r="H726" s="15">
        <v>21</v>
      </c>
      <c r="I726" s="15" t="str">
        <f t="shared" si="64"/>
        <v>289|Craig Gordon|43|Scotland|GK|Heart of Midlothian|21</v>
      </c>
      <c r="J726" s="15" t="str">
        <f>IF(COUNTIF(I$438:I726,I726)&gt;1,"DOUBLON","OK")</f>
        <v>OK</v>
      </c>
      <c r="S726" s="30" t="str">
        <v>France</v>
      </c>
      <c r="T726" s="30" t="str">
        <f t="shared" si="65"/>
        <v>OK</v>
      </c>
      <c r="U726" s="30" t="str">
        <f t="shared" si="66"/>
        <v>-</v>
      </c>
      <c r="V726" s="30" t="str" cm="1">
        <f t="array" ref="V726">_xlfn.IFS(
ISNUMBER(SEARCH("USA",S726)),"United States",
ISNUMBER(SEARCH("Republic of Korea",S726)),"South Korea",
ISNUMBER(SEARCH("Cape Verde",S726)),"Cabo Verde",
ISNUMBER(SEARCH("Czechia",S726)),"Czech Republic",
ISNUMBER(SEARCH("Türkiye",S726)),"Turkey",
ISNUMBER(SEARCH("Ivory Coast",S726)),"Côte d'Ivoire",
ISNUMBER(SEARCH("Korea Republic",S726)),"South Korea",
ISNUMBER(SEARCH("Germany FR",S726)),"FR Germany",
ISNUMBER(SEARCH("West Germany",S726)),"FR Germany",
ISNUMBER(SEARCH("Germany DR",S726)),"DR Germany",
ISNUMBER(SEARCH("Korea DPR",S726)),"North Korea",
ISNUMBER(SEARCH("China PR",S726)),"China",
ISNUMBER(SEARCH("IR Iran",S726)),"Iran",
ISNUMBER(SEARCH("Congo DR",S726)),"Democratic Republic of the Congo",
ISNUMBER(SEARCH("DR Congo",S726)),"Democratic Republic of the Congo",
ISNUMBER(SEARCH("German DR",S726)),"DR Germany",
ISNUMBER(SEARCH("rn""&gt;United Arab Emirates",S726)),"United Arab Emirates",
ISNUMBER(SEARCH("rn""&gt;Republic of Ireland",S726)),"Ireland",
ISNUMBER(SEARCH("rn""&gt;Bosnia and Herzegovina",S726)),"Bosnia and Herzegovina",
ISNUMBER(SEARCH("rn""&gt;Trinidad and Tobago",S726)),"Trinidad and Tobago",
ISNUMBER(SEARCH("rn""&gt;Serbia and Montenegro",S726)),"Serbia and Montenegro",
ISNUMBER(SEARCH(_xlfn.UNICHAR(65533),S726)),"Côte d'Ivoire",
TRUE,""
)</f>
        <v/>
      </c>
      <c r="W726" s="30" t="str">
        <f t="shared" si="67"/>
        <v>France</v>
      </c>
      <c r="Z726" s="40" t="str">
        <v>FIFA World Cup Stadium, Dortmund</v>
      </c>
      <c r="AA726" s="40" t="str" cm="1">
        <f t="array" ref="AA726">IFERROR(_xlfn.XLOOKUP(Z726,_xlfn.ANCHORARRAY(Z$31),AA$31:AA$37),Z726)</f>
        <v>FIFA World Cup Stadium, Dortmund</v>
      </c>
      <c r="AB726" s="42" t="str">
        <v xml:space="preserve">Dortmund </v>
      </c>
      <c r="AC726" s="89" t="str">
        <f t="shared" si="63"/>
        <v xml:space="preserve">Dortmund </v>
      </c>
      <c r="AE726" s="42">
        <v>2002</v>
      </c>
      <c r="AK726" s="42">
        <v>0</v>
      </c>
      <c r="AL726" s="42">
        <v>2</v>
      </c>
      <c r="AW726" s="89" t="str">
        <v>GROUP_STAGE</v>
      </c>
      <c r="BE726" s="43" t="str">
        <f>IF(OR(DATA_CLEANED!AL717="",DATA_CLEANED!AM717=""),"MANQUANT",IF(OR(NOT(ISNUMBER(DATA_CLEANED!AL717)),NOT(ISNUMBER(DATA_CLEANED!AM717))),"ENTREE INVALIDE",IF(OR(DATA_CLEANED!AL717&lt;0,DATA_CLEANED!AM717&lt;0),"SCORE NEGATIF","OK")))</f>
        <v>OK</v>
      </c>
      <c r="BF726" s="43" t="str">
        <f>IF(DATA_CLEANED!AK717&lt;&gt;DATA_CLEANED!AN717,"OK","ERREUR")</f>
        <v>OK</v>
      </c>
      <c r="BG726" s="43" t="str">
        <f>IF(DATA_CLEANED!AL717&gt;DATA_CLEANED!AM717,DATA_CLEANED!AK717,IF(AND(DATA_QUALITE!W5203="-",DATA_CLEANED!AM717=DATA_CLEANED!AL717),"MATCH NUL",IF(AND(DATA_QUALITE!V5203="-",DATA_QUALITE!U5203="AUCUNE"),DATA_QUALITE!T5203,IF(DATA_QUALITE!V5203&lt;&gt;"-",DATA_QUALITE!V5203,DATA_CLEANED!AN717))))</f>
        <v>Ghana</v>
      </c>
      <c r="BH726" s="103" t="str">
        <f>IF(AND(BG726="MATCH NUL",DATA_CLEANED!AO717="-"),"MATCH_NUL",IF(ISNUMBER(SEARCH("win on penalties",W5203)),"WIN_BY_PENALTY",IF(ISNUMBER(SEARCH("win after extra time",W5203)),"WIN_BY_EXTRA_TIME",IF(ISNUMBER(SEARCH("Golden Goal",W5203)),"WIN_BY_GOLDEN_GOAL","WIN_BY_SCORE"))))</f>
        <v>WIN_BY_SCORE</v>
      </c>
      <c r="BI726" s="99" t="str">
        <f>IF(OR(BG726=DATA_CLEANED!AK717,BG726=DATA_CLEANED!AN717,BG726="MATCH NUL"),"OK","ERREUR")</f>
        <v>OK</v>
      </c>
    </row>
    <row r="727" spans="2:61">
      <c r="B727" s="75">
        <v>290</v>
      </c>
      <c r="C727" s="15" t="str">
        <v>Grant Hanley</v>
      </c>
      <c r="D727" s="15">
        <v>34</v>
      </c>
      <c r="E727" s="15" t="str">
        <v>Scotland</v>
      </c>
      <c r="F727" s="15" t="str">
        <v>CB</v>
      </c>
      <c r="G727" s="15" t="str">
        <v>Hibernian</v>
      </c>
      <c r="H727" s="15">
        <v>5</v>
      </c>
      <c r="I727" s="15" t="str">
        <f t="shared" si="64"/>
        <v>290|Grant Hanley|34|Scotland|CB|Hibernian|5</v>
      </c>
      <c r="J727" s="15" t="str">
        <f>IF(COUNTIF(I$438:I727,I727)&gt;1,"DOUBLON","OK")</f>
        <v>OK</v>
      </c>
      <c r="S727" s="30" t="str">
        <v>France</v>
      </c>
      <c r="T727" s="30" t="str">
        <f t="shared" si="65"/>
        <v>OK</v>
      </c>
      <c r="U727" s="30" t="str">
        <f t="shared" si="66"/>
        <v>-</v>
      </c>
      <c r="V727" s="30" t="str" cm="1">
        <f t="array" ref="V727">_xlfn.IFS(
ISNUMBER(SEARCH("USA",S727)),"United States",
ISNUMBER(SEARCH("Republic of Korea",S727)),"South Korea",
ISNUMBER(SEARCH("Cape Verde",S727)),"Cabo Verde",
ISNUMBER(SEARCH("Czechia",S727)),"Czech Republic",
ISNUMBER(SEARCH("Türkiye",S727)),"Turkey",
ISNUMBER(SEARCH("Ivory Coast",S727)),"Côte d'Ivoire",
ISNUMBER(SEARCH("Korea Republic",S727)),"South Korea",
ISNUMBER(SEARCH("Germany FR",S727)),"FR Germany",
ISNUMBER(SEARCH("West Germany",S727)),"FR Germany",
ISNUMBER(SEARCH("Germany DR",S727)),"DR Germany",
ISNUMBER(SEARCH("Korea DPR",S727)),"North Korea",
ISNUMBER(SEARCH("China PR",S727)),"China",
ISNUMBER(SEARCH("IR Iran",S727)),"Iran",
ISNUMBER(SEARCH("Congo DR",S727)),"Democratic Republic of the Congo",
ISNUMBER(SEARCH("DR Congo",S727)),"Democratic Republic of the Congo",
ISNUMBER(SEARCH("German DR",S727)),"DR Germany",
ISNUMBER(SEARCH("rn""&gt;United Arab Emirates",S727)),"United Arab Emirates",
ISNUMBER(SEARCH("rn""&gt;Republic of Ireland",S727)),"Ireland",
ISNUMBER(SEARCH("rn""&gt;Bosnia and Herzegovina",S727)),"Bosnia and Herzegovina",
ISNUMBER(SEARCH("rn""&gt;Trinidad and Tobago",S727)),"Trinidad and Tobago",
ISNUMBER(SEARCH("rn""&gt;Serbia and Montenegro",S727)),"Serbia and Montenegro",
ISNUMBER(SEARCH(_xlfn.UNICHAR(65533),S727)),"Côte d'Ivoire",
TRUE,""
)</f>
        <v/>
      </c>
      <c r="W727" s="30" t="str">
        <f t="shared" si="67"/>
        <v>France</v>
      </c>
      <c r="Z727" s="40" t="str">
        <v>Gottlieb-Daimler-Stadion</v>
      </c>
      <c r="AA727" s="40" t="str" cm="1">
        <f t="array" ref="AA727">IFERROR(_xlfn.XLOOKUP(Z727,_xlfn.ANCHORARRAY(Z$31),AA$31:AA$37),Z727)</f>
        <v>Gottlieb-Daimler-Stadion</v>
      </c>
      <c r="AB727" s="42" t="str">
        <v xml:space="preserve">Stuttgart </v>
      </c>
      <c r="AC727" s="89" t="str">
        <f t="shared" si="63"/>
        <v xml:space="preserve">Stuttgart </v>
      </c>
      <c r="AE727" s="42">
        <v>2006</v>
      </c>
      <c r="AK727" s="42">
        <v>4</v>
      </c>
      <c r="AL727" s="42">
        <v>2</v>
      </c>
      <c r="AW727" s="89" t="str">
        <v>GROUP_STAGE</v>
      </c>
      <c r="BE727" s="43" t="str">
        <f>IF(OR(DATA_CLEANED!AL718="",DATA_CLEANED!AM718=""),"MANQUANT",IF(OR(NOT(ISNUMBER(DATA_CLEANED!AL718)),NOT(ISNUMBER(DATA_CLEANED!AM718))),"ENTREE INVALIDE",IF(OR(DATA_CLEANED!AL718&lt;0,DATA_CLEANED!AM718&lt;0),"SCORE NEGATIF","OK")))</f>
        <v>OK</v>
      </c>
      <c r="BF727" s="43" t="str">
        <f>IF(DATA_CLEANED!AK718&lt;&gt;DATA_CLEANED!AN718,"OK","ERREUR")</f>
        <v>OK</v>
      </c>
      <c r="BG727" s="43" t="str">
        <f>IF(DATA_CLEANED!AL718&gt;DATA_CLEANED!AM718,DATA_CLEANED!AK718,IF(AND(DATA_QUALITE!W5204="-",DATA_CLEANED!AM718=DATA_CLEANED!AL718),"MATCH NUL",IF(AND(DATA_QUALITE!V5204="-",DATA_QUALITE!U5204="AUCUNE"),DATA_QUALITE!T5204,IF(DATA_QUALITE!V5204&lt;&gt;"-",DATA_QUALITE!V5204,DATA_CLEANED!AN718))))</f>
        <v>Germany</v>
      </c>
      <c r="BH727" s="103" t="str">
        <f>IF(AND(BG727="MATCH NUL",DATA_CLEANED!AO718="-"),"MATCH_NUL",IF(ISNUMBER(SEARCH("win on penalties",W5204)),"WIN_BY_PENALTY",IF(ISNUMBER(SEARCH("win after extra time",W5204)),"WIN_BY_EXTRA_TIME",IF(ISNUMBER(SEARCH("Golden Goal",W5204)),"WIN_BY_GOLDEN_GOAL","WIN_BY_SCORE"))))</f>
        <v>WIN_BY_SCORE</v>
      </c>
      <c r="BI727" s="99" t="str">
        <f>IF(OR(BG727=DATA_CLEANED!AK718,BG727=DATA_CLEANED!AN718,BG727="MATCH NUL"),"OK","ERREUR")</f>
        <v>OK</v>
      </c>
    </row>
    <row r="728" spans="2:61">
      <c r="B728" s="75">
        <v>291</v>
      </c>
      <c r="C728" s="15" t="str">
        <v>Kieran Tierney</v>
      </c>
      <c r="D728" s="15">
        <v>29</v>
      </c>
      <c r="E728" s="15" t="str">
        <v>Scotland</v>
      </c>
      <c r="F728" s="15" t="str">
        <v>CB</v>
      </c>
      <c r="G728" s="15" t="str">
        <v>Celtic</v>
      </c>
      <c r="H728" s="15">
        <v>6</v>
      </c>
      <c r="I728" s="15" t="str">
        <f t="shared" si="64"/>
        <v>291|Kieran Tierney|29|Scotland|CB|Celtic|6</v>
      </c>
      <c r="J728" s="15" t="str">
        <f>IF(COUNTIF(I$438:I728,I728)&gt;1,"DOUBLON","OK")</f>
        <v>OK</v>
      </c>
      <c r="S728" s="30" t="str">
        <v>France</v>
      </c>
      <c r="T728" s="30" t="str">
        <f t="shared" si="65"/>
        <v>OK</v>
      </c>
      <c r="U728" s="30" t="str">
        <f t="shared" si="66"/>
        <v>-</v>
      </c>
      <c r="V728" s="30" t="str" cm="1">
        <f t="array" ref="V728">_xlfn.IFS(
ISNUMBER(SEARCH("USA",S728)),"United States",
ISNUMBER(SEARCH("Republic of Korea",S728)),"South Korea",
ISNUMBER(SEARCH("Cape Verde",S728)),"Cabo Verde",
ISNUMBER(SEARCH("Czechia",S728)),"Czech Republic",
ISNUMBER(SEARCH("Türkiye",S728)),"Turkey",
ISNUMBER(SEARCH("Ivory Coast",S728)),"Côte d'Ivoire",
ISNUMBER(SEARCH("Korea Republic",S728)),"South Korea",
ISNUMBER(SEARCH("Germany FR",S728)),"FR Germany",
ISNUMBER(SEARCH("West Germany",S728)),"FR Germany",
ISNUMBER(SEARCH("Germany DR",S728)),"DR Germany",
ISNUMBER(SEARCH("Korea DPR",S728)),"North Korea",
ISNUMBER(SEARCH("China PR",S728)),"China",
ISNUMBER(SEARCH("IR Iran",S728)),"Iran",
ISNUMBER(SEARCH("Congo DR",S728)),"Democratic Republic of the Congo",
ISNUMBER(SEARCH("DR Congo",S728)),"Democratic Republic of the Congo",
ISNUMBER(SEARCH("German DR",S728)),"DR Germany",
ISNUMBER(SEARCH("rn""&gt;United Arab Emirates",S728)),"United Arab Emirates",
ISNUMBER(SEARCH("rn""&gt;Republic of Ireland",S728)),"Ireland",
ISNUMBER(SEARCH("rn""&gt;Bosnia and Herzegovina",S728)),"Bosnia and Herzegovina",
ISNUMBER(SEARCH("rn""&gt;Trinidad and Tobago",S728)),"Trinidad and Tobago",
ISNUMBER(SEARCH("rn""&gt;Serbia and Montenegro",S728)),"Serbia and Montenegro",
ISNUMBER(SEARCH(_xlfn.UNICHAR(65533),S728)),"Côte d'Ivoire",
TRUE,""
)</f>
        <v/>
      </c>
      <c r="W728" s="30" t="str">
        <f t="shared" si="67"/>
        <v>France</v>
      </c>
      <c r="Z728" s="40" t="str">
        <v>Olympiastadion</v>
      </c>
      <c r="AA728" s="40" t="str" cm="1">
        <f t="array" ref="AA728">IFERROR(_xlfn.XLOOKUP(Z728,_xlfn.ANCHORARRAY(Z$31),AA$31:AA$37),Z728)</f>
        <v>Olympiastadion</v>
      </c>
      <c r="AB728" s="42" t="str">
        <v xml:space="preserve">Berlin </v>
      </c>
      <c r="AC728" s="89" t="str">
        <f t="shared" si="63"/>
        <v xml:space="preserve">Berlin </v>
      </c>
      <c r="AE728" s="42">
        <v>2006</v>
      </c>
      <c r="AK728" s="42">
        <v>0</v>
      </c>
      <c r="AL728" s="42">
        <v>2</v>
      </c>
      <c r="AW728" s="89" t="str">
        <v>GROUP_STAGE</v>
      </c>
      <c r="BE728" s="43" t="str">
        <f>IF(OR(DATA_CLEANED!AL719="",DATA_CLEANED!AM719=""),"MANQUANT",IF(OR(NOT(ISNUMBER(DATA_CLEANED!AL719)),NOT(ISNUMBER(DATA_CLEANED!AM719))),"ENTREE INVALIDE",IF(OR(DATA_CLEANED!AL719&lt;0,DATA_CLEANED!AM719&lt;0),"SCORE NEGATIF","OK")))</f>
        <v>OK</v>
      </c>
      <c r="BF728" s="43" t="str">
        <f>IF(DATA_CLEANED!AK719&lt;&gt;DATA_CLEANED!AN719,"OK","ERREUR")</f>
        <v>OK</v>
      </c>
      <c r="BG728" s="43" t="str">
        <f>IF(DATA_CLEANED!AL719&gt;DATA_CLEANED!AM719,DATA_CLEANED!AK719,IF(AND(DATA_QUALITE!W5205="-",DATA_CLEANED!AM719=DATA_CLEANED!AL719),"MATCH NUL",IF(AND(DATA_QUALITE!V5205="-",DATA_QUALITE!U5205="AUCUNE"),DATA_QUALITE!T5205,IF(DATA_QUALITE!V5205&lt;&gt;"-",DATA_QUALITE!V5205,DATA_CLEANED!AN719))))</f>
        <v>Netherlands</v>
      </c>
      <c r="BH728" s="103" t="str">
        <f>IF(AND(BG728="MATCH NUL",DATA_CLEANED!AO719="-"),"MATCH_NUL",IF(ISNUMBER(SEARCH("win on penalties",W5205)),"WIN_BY_PENALTY",IF(ISNUMBER(SEARCH("win after extra time",W5205)),"WIN_BY_EXTRA_TIME",IF(ISNUMBER(SEARCH("Golden Goal",W5205)),"WIN_BY_GOLDEN_GOAL","WIN_BY_SCORE"))))</f>
        <v>WIN_BY_SCORE</v>
      </c>
      <c r="BI728" s="99" t="str">
        <f>IF(OR(BG728=DATA_CLEANED!AK719,BG728=DATA_CLEANED!AN719,BG728="MATCH NUL"),"OK","ERREUR")</f>
        <v>OK</v>
      </c>
    </row>
    <row r="729" spans="2:61">
      <c r="B729" s="75">
        <v>292</v>
      </c>
      <c r="C729" s="15" t="str">
        <v>Jack Hendry</v>
      </c>
      <c r="D729" s="15">
        <v>31</v>
      </c>
      <c r="E729" s="15" t="str">
        <v>Scotland</v>
      </c>
      <c r="F729" s="15" t="str">
        <v>CB</v>
      </c>
      <c r="G729" s="15" t="str">
        <v>Al-Ettifaq</v>
      </c>
      <c r="H729" s="15">
        <v>13</v>
      </c>
      <c r="I729" s="15" t="str">
        <f t="shared" si="64"/>
        <v>292|Jack Hendry|31|Scotland|CB|Al-Ettifaq|13</v>
      </c>
      <c r="J729" s="15" t="str">
        <f>IF(COUNTIF(I$438:I729,I729)&gt;1,"DOUBLON","OK")</f>
        <v>OK</v>
      </c>
      <c r="S729" s="30" t="str">
        <v>France</v>
      </c>
      <c r="T729" s="30" t="str">
        <f t="shared" si="65"/>
        <v>OK</v>
      </c>
      <c r="U729" s="30" t="str">
        <f t="shared" si="66"/>
        <v>-</v>
      </c>
      <c r="V729" s="30" t="str" cm="1">
        <f t="array" ref="V729">_xlfn.IFS(
ISNUMBER(SEARCH("USA",S729)),"United States",
ISNUMBER(SEARCH("Republic of Korea",S729)),"South Korea",
ISNUMBER(SEARCH("Cape Verde",S729)),"Cabo Verde",
ISNUMBER(SEARCH("Czechia",S729)),"Czech Republic",
ISNUMBER(SEARCH("Türkiye",S729)),"Turkey",
ISNUMBER(SEARCH("Ivory Coast",S729)),"Côte d'Ivoire",
ISNUMBER(SEARCH("Korea Republic",S729)),"South Korea",
ISNUMBER(SEARCH("Germany FR",S729)),"FR Germany",
ISNUMBER(SEARCH("West Germany",S729)),"FR Germany",
ISNUMBER(SEARCH("Germany DR",S729)),"DR Germany",
ISNUMBER(SEARCH("Korea DPR",S729)),"North Korea",
ISNUMBER(SEARCH("China PR",S729)),"China",
ISNUMBER(SEARCH("IR Iran",S729)),"Iran",
ISNUMBER(SEARCH("Congo DR",S729)),"Democratic Republic of the Congo",
ISNUMBER(SEARCH("DR Congo",S729)),"Democratic Republic of the Congo",
ISNUMBER(SEARCH("German DR",S729)),"DR Germany",
ISNUMBER(SEARCH("rn""&gt;United Arab Emirates",S729)),"United Arab Emirates",
ISNUMBER(SEARCH("rn""&gt;Republic of Ireland",S729)),"Ireland",
ISNUMBER(SEARCH("rn""&gt;Bosnia and Herzegovina",S729)),"Bosnia and Herzegovina",
ISNUMBER(SEARCH("rn""&gt;Trinidad and Tobago",S729)),"Trinidad and Tobago",
ISNUMBER(SEARCH("rn""&gt;Serbia and Montenegro",S729)),"Serbia and Montenegro",
ISNUMBER(SEARCH(_xlfn.UNICHAR(65533),S729)),"Côte d'Ivoire",
TRUE,""
)</f>
        <v/>
      </c>
      <c r="W729" s="30" t="str">
        <f t="shared" si="67"/>
        <v>France</v>
      </c>
      <c r="Z729" s="40" t="str">
        <v>Fritz-Walter-Stadion</v>
      </c>
      <c r="AA729" s="40" t="str" cm="1">
        <f t="array" ref="AA729">IFERROR(_xlfn.XLOOKUP(Z729,_xlfn.ANCHORARRAY(Z$31),AA$31:AA$37),Z729)</f>
        <v>Fritz-Walter-Stadion</v>
      </c>
      <c r="AB729" s="42" t="str">
        <v xml:space="preserve">Kaiserslautern </v>
      </c>
      <c r="AC729" s="89" t="str">
        <f t="shared" si="63"/>
        <v xml:space="preserve">Kaiserslautern </v>
      </c>
      <c r="AE729" s="42">
        <v>2006</v>
      </c>
      <c r="AK729" s="42">
        <v>1</v>
      </c>
      <c r="AL729" s="42">
        <v>0</v>
      </c>
      <c r="AW729" s="89" t="str">
        <v>GROUP_STAGE</v>
      </c>
      <c r="BE729" s="43" t="str">
        <f>IF(OR(DATA_CLEANED!AL720="",DATA_CLEANED!AM720=""),"MANQUANT",IF(OR(NOT(ISNUMBER(DATA_CLEANED!AL720)),NOT(ISNUMBER(DATA_CLEANED!AM720))),"ENTREE INVALIDE",IF(OR(DATA_CLEANED!AL720&lt;0,DATA_CLEANED!AM720&lt;0),"SCORE NEGATIF","OK")))</f>
        <v>OK</v>
      </c>
      <c r="BF729" s="43" t="str">
        <f>IF(DATA_CLEANED!AK720&lt;&gt;DATA_CLEANED!AN720,"OK","ERREUR")</f>
        <v>OK</v>
      </c>
      <c r="BG729" s="43" t="str">
        <f>IF(DATA_CLEANED!AL720&gt;DATA_CLEANED!AM720,DATA_CLEANED!AK720,IF(AND(DATA_QUALITE!W5206="-",DATA_CLEANED!AM720=DATA_CLEANED!AL720),"MATCH NUL",IF(AND(DATA_QUALITE!V5206="-",DATA_QUALITE!U5206="AUCUNE"),DATA_QUALITE!T5206,IF(DATA_QUALITE!V5206&lt;&gt;"-",DATA_QUALITE!V5206,DATA_CLEANED!AN720))))</f>
        <v>Japan</v>
      </c>
      <c r="BH729" s="103" t="str">
        <f>IF(AND(BG729="MATCH NUL",DATA_CLEANED!AO720="-"),"MATCH_NUL",IF(ISNUMBER(SEARCH("win on penalties",W5206)),"WIN_BY_PENALTY",IF(ISNUMBER(SEARCH("win after extra time",W5206)),"WIN_BY_EXTRA_TIME",IF(ISNUMBER(SEARCH("Golden Goal",W5206)),"WIN_BY_GOLDEN_GOAL","WIN_BY_SCORE"))))</f>
        <v>WIN_BY_SCORE</v>
      </c>
      <c r="BI729" s="99" t="str">
        <f>IF(OR(BG729=DATA_CLEANED!AK720,BG729=DATA_CLEANED!AN720,BG729="MATCH NUL"),"OK","ERREUR")</f>
        <v>OK</v>
      </c>
    </row>
    <row r="730" spans="2:61">
      <c r="B730" s="75">
        <v>293</v>
      </c>
      <c r="C730" s="15" t="str">
        <v>John Souttar</v>
      </c>
      <c r="D730" s="15">
        <v>29</v>
      </c>
      <c r="E730" s="15" t="str">
        <v>Scotland</v>
      </c>
      <c r="F730" s="15" t="str">
        <v>CB</v>
      </c>
      <c r="G730" s="15" t="str">
        <v>Rangers</v>
      </c>
      <c r="H730" s="15">
        <v>15</v>
      </c>
      <c r="I730" s="15" t="str">
        <f t="shared" si="64"/>
        <v>293|John Souttar|29|Scotland|CB|Rangers|15</v>
      </c>
      <c r="J730" s="15" t="str">
        <f>IF(COUNTIF(I$438:I730,I730)&gt;1,"DOUBLON","OK")</f>
        <v>OK</v>
      </c>
      <c r="S730" s="30" t="str">
        <v>France</v>
      </c>
      <c r="T730" s="30" t="str">
        <f t="shared" si="65"/>
        <v>OK</v>
      </c>
      <c r="U730" s="30" t="str">
        <f t="shared" si="66"/>
        <v>-</v>
      </c>
      <c r="V730" s="30" t="str" cm="1">
        <f t="array" ref="V730">_xlfn.IFS(
ISNUMBER(SEARCH("USA",S730)),"United States",
ISNUMBER(SEARCH("Republic of Korea",S730)),"South Korea",
ISNUMBER(SEARCH("Cape Verde",S730)),"Cabo Verde",
ISNUMBER(SEARCH("Czechia",S730)),"Czech Republic",
ISNUMBER(SEARCH("Türkiye",S730)),"Turkey",
ISNUMBER(SEARCH("Ivory Coast",S730)),"Côte d'Ivoire",
ISNUMBER(SEARCH("Korea Republic",S730)),"South Korea",
ISNUMBER(SEARCH("Germany FR",S730)),"FR Germany",
ISNUMBER(SEARCH("West Germany",S730)),"FR Germany",
ISNUMBER(SEARCH("Germany DR",S730)),"DR Germany",
ISNUMBER(SEARCH("Korea DPR",S730)),"North Korea",
ISNUMBER(SEARCH("China PR",S730)),"China",
ISNUMBER(SEARCH("IR Iran",S730)),"Iran",
ISNUMBER(SEARCH("Congo DR",S730)),"Democratic Republic of the Congo",
ISNUMBER(SEARCH("DR Congo",S730)),"Democratic Republic of the Congo",
ISNUMBER(SEARCH("German DR",S730)),"DR Germany",
ISNUMBER(SEARCH("rn""&gt;United Arab Emirates",S730)),"United Arab Emirates",
ISNUMBER(SEARCH("rn""&gt;Republic of Ireland",S730)),"Ireland",
ISNUMBER(SEARCH("rn""&gt;Bosnia and Herzegovina",S730)),"Bosnia and Herzegovina",
ISNUMBER(SEARCH("rn""&gt;Trinidad and Tobago",S730)),"Trinidad and Tobago",
ISNUMBER(SEARCH("rn""&gt;Serbia and Montenegro",S730)),"Serbia and Montenegro",
ISNUMBER(SEARCH(_xlfn.UNICHAR(65533),S730)),"Côte d'Ivoire",
TRUE,""
)</f>
        <v/>
      </c>
      <c r="W730" s="30" t="str">
        <f t="shared" si="67"/>
        <v>France</v>
      </c>
      <c r="Z730" s="40" t="str">
        <v>FIFA World Cup Stadium, Cologne</v>
      </c>
      <c r="AA730" s="40" t="str" cm="1">
        <f t="array" ref="AA730">IFERROR(_xlfn.XLOOKUP(Z730,_xlfn.ANCHORARRAY(Z$31),AA$31:AA$37),Z730)</f>
        <v>FIFA World Cup Stadium, Cologne</v>
      </c>
      <c r="AB730" s="42" t="str">
        <v xml:space="preserve">Cologne </v>
      </c>
      <c r="AC730" s="89" t="str">
        <f t="shared" si="63"/>
        <v xml:space="preserve">Cologne </v>
      </c>
      <c r="AE730" s="42">
        <v>2006</v>
      </c>
      <c r="AK730" s="42">
        <v>0</v>
      </c>
      <c r="AL730" s="42">
        <v>0</v>
      </c>
      <c r="AW730" s="89" t="str">
        <v>GROUP_STAGE</v>
      </c>
      <c r="BE730" s="43" t="str">
        <f>IF(OR(DATA_CLEANED!AL721="",DATA_CLEANED!AM721=""),"MANQUANT",IF(OR(NOT(ISNUMBER(DATA_CLEANED!AL721)),NOT(ISNUMBER(DATA_CLEANED!AM721))),"ENTREE INVALIDE",IF(OR(DATA_CLEANED!AL721&lt;0,DATA_CLEANED!AM721&lt;0),"SCORE NEGATIF","OK")))</f>
        <v>OK</v>
      </c>
      <c r="BF730" s="43" t="str">
        <f>IF(DATA_CLEANED!AK721&lt;&gt;DATA_CLEANED!AN721,"OK","ERREUR")</f>
        <v>OK</v>
      </c>
      <c r="BG730" s="43" t="str">
        <f>IF(DATA_CLEANED!AL721&gt;DATA_CLEANED!AM721,DATA_CLEANED!AK721,IF(AND(DATA_QUALITE!W5207="-",DATA_CLEANED!AM721=DATA_CLEANED!AL721),"MATCH NUL",IF(AND(DATA_QUALITE!V5207="-",DATA_QUALITE!U5207="AUCUNE"),DATA_QUALITE!T5207,IF(DATA_QUALITE!V5207&lt;&gt;"-",DATA_QUALITE!V5207,DATA_CLEANED!AN721))))</f>
        <v>MATCH NUL</v>
      </c>
      <c r="BH730" s="103" t="str">
        <f>IF(AND(BG730="MATCH NUL",DATA_CLEANED!AO721="-"),"MATCH_NUL",IF(ISNUMBER(SEARCH("win on penalties",W5207)),"WIN_BY_PENALTY",IF(ISNUMBER(SEARCH("win after extra time",W5207)),"WIN_BY_EXTRA_TIME",IF(ISNUMBER(SEARCH("Golden Goal",W5207)),"WIN_BY_GOLDEN_GOAL","WIN_BY_SCORE"))))</f>
        <v>MATCH_NUL</v>
      </c>
      <c r="BI730" s="99" t="str">
        <f>IF(OR(BG730=DATA_CLEANED!AK721,BG730=DATA_CLEANED!AN721,BG730="MATCH NUL"),"OK","ERREUR")</f>
        <v>OK</v>
      </c>
    </row>
    <row r="731" spans="2:61">
      <c r="B731" s="75">
        <v>294</v>
      </c>
      <c r="C731" s="15" t="str">
        <v>Dominic Hyam</v>
      </c>
      <c r="D731" s="15">
        <v>30</v>
      </c>
      <c r="E731" s="15" t="str">
        <v>Scotland</v>
      </c>
      <c r="F731" s="15" t="str">
        <v>CB</v>
      </c>
      <c r="G731" s="15" t="str">
        <v>Wrexham</v>
      </c>
      <c r="H731" s="15">
        <v>16</v>
      </c>
      <c r="I731" s="15" t="str">
        <f t="shared" si="64"/>
        <v>294|Dominic Hyam|30|Scotland|CB|Wrexham|16</v>
      </c>
      <c r="J731" s="15" t="str">
        <f>IF(COUNTIF(I$438:I731,I731)&gt;1,"DOUBLON","OK")</f>
        <v>OK</v>
      </c>
      <c r="S731" s="30" t="str">
        <v>Paraguay</v>
      </c>
      <c r="T731" s="30" t="str">
        <f t="shared" si="65"/>
        <v>OK</v>
      </c>
      <c r="U731" s="30" t="str">
        <f t="shared" si="66"/>
        <v>-</v>
      </c>
      <c r="V731" s="30" t="str" cm="1">
        <f t="array" ref="V731">_xlfn.IFS(
ISNUMBER(SEARCH("USA",S731)),"United States",
ISNUMBER(SEARCH("Republic of Korea",S731)),"South Korea",
ISNUMBER(SEARCH("Cape Verde",S731)),"Cabo Verde",
ISNUMBER(SEARCH("Czechia",S731)),"Czech Republic",
ISNUMBER(SEARCH("Türkiye",S731)),"Turkey",
ISNUMBER(SEARCH("Ivory Coast",S731)),"Côte d'Ivoire",
ISNUMBER(SEARCH("Korea Republic",S731)),"South Korea",
ISNUMBER(SEARCH("Germany FR",S731)),"FR Germany",
ISNUMBER(SEARCH("West Germany",S731)),"FR Germany",
ISNUMBER(SEARCH("Germany DR",S731)),"DR Germany",
ISNUMBER(SEARCH("Korea DPR",S731)),"North Korea",
ISNUMBER(SEARCH("China PR",S731)),"China",
ISNUMBER(SEARCH("IR Iran",S731)),"Iran",
ISNUMBER(SEARCH("Congo DR",S731)),"Democratic Republic of the Congo",
ISNUMBER(SEARCH("DR Congo",S731)),"Democratic Republic of the Congo",
ISNUMBER(SEARCH("German DR",S731)),"DR Germany",
ISNUMBER(SEARCH("rn""&gt;United Arab Emirates",S731)),"United Arab Emirates",
ISNUMBER(SEARCH("rn""&gt;Republic of Ireland",S731)),"Ireland",
ISNUMBER(SEARCH("rn""&gt;Bosnia and Herzegovina",S731)),"Bosnia and Herzegovina",
ISNUMBER(SEARCH("rn""&gt;Trinidad and Tobago",S731)),"Trinidad and Tobago",
ISNUMBER(SEARCH("rn""&gt;Serbia and Montenegro",S731)),"Serbia and Montenegro",
ISNUMBER(SEARCH(_xlfn.UNICHAR(65533),S731)),"Côte d'Ivoire",
TRUE,""
)</f>
        <v/>
      </c>
      <c r="W731" s="30" t="str">
        <f t="shared" si="67"/>
        <v>Paraguay</v>
      </c>
      <c r="Z731" s="40" t="str">
        <v>FIFA World Cup Stadium, Hanover</v>
      </c>
      <c r="AA731" s="40" t="str" cm="1">
        <f t="array" ref="AA731">IFERROR(_xlfn.XLOOKUP(Z731,_xlfn.ANCHORARRAY(Z$31),AA$31:AA$37),Z731)</f>
        <v>FIFA World Cup Stadium, Hanover</v>
      </c>
      <c r="AB731" s="42" t="str">
        <v xml:space="preserve">Hanover </v>
      </c>
      <c r="AC731" s="89" t="str">
        <f t="shared" si="63"/>
        <v xml:space="preserve">Hanover </v>
      </c>
      <c r="AE731" s="42">
        <v>2006</v>
      </c>
      <c r="AK731" s="42">
        <v>2</v>
      </c>
      <c r="AL731" s="42">
        <v>1</v>
      </c>
      <c r="AW731" s="89" t="str">
        <v>GROUP_STAGE</v>
      </c>
      <c r="BE731" s="43" t="str">
        <f>IF(OR(DATA_CLEANED!AL722="",DATA_CLEANED!AM722=""),"MANQUANT",IF(OR(NOT(ISNUMBER(DATA_CLEANED!AL722)),NOT(ISNUMBER(DATA_CLEANED!AM722))),"ENTREE INVALIDE",IF(OR(DATA_CLEANED!AL722&lt;0,DATA_CLEANED!AM722&lt;0),"SCORE NEGATIF","OK")))</f>
        <v>OK</v>
      </c>
      <c r="BF731" s="43" t="str">
        <f>IF(DATA_CLEANED!AK722&lt;&gt;DATA_CLEANED!AN722,"OK","ERREUR")</f>
        <v>OK</v>
      </c>
      <c r="BG731" s="43" t="str">
        <f>IF(DATA_CLEANED!AL722&gt;DATA_CLEANED!AM722,DATA_CLEANED!AK722,IF(AND(DATA_QUALITE!W5208="-",DATA_CLEANED!AM722=DATA_CLEANED!AL722),"MATCH NUL",IF(AND(DATA_QUALITE!V5208="-",DATA_QUALITE!U5208="AUCUNE"),DATA_QUALITE!T5208,IF(DATA_QUALITE!V5208&lt;&gt;"-",DATA_QUALITE!V5208,DATA_CLEANED!AN722))))</f>
        <v>MATCH NUL</v>
      </c>
      <c r="BH731" s="103" t="str">
        <f>IF(AND(BG731="MATCH NUL",DATA_CLEANED!AO722="-"),"MATCH_NUL",IF(ISNUMBER(SEARCH("win on penalties",W5208)),"WIN_BY_PENALTY",IF(ISNUMBER(SEARCH("win after extra time",W5208)),"WIN_BY_EXTRA_TIME",IF(ISNUMBER(SEARCH("Golden Goal",W5208)),"WIN_BY_GOLDEN_GOAL","WIN_BY_SCORE"))))</f>
        <v>MATCH_NUL</v>
      </c>
      <c r="BI731" s="99" t="str">
        <f>IF(OR(BG731=DATA_CLEANED!AK722,BG731=DATA_CLEANED!AN722,BG731="MATCH NUL"),"OK","ERREUR")</f>
        <v>OK</v>
      </c>
    </row>
    <row r="732" spans="2:61">
      <c r="B732" s="75">
        <v>295</v>
      </c>
      <c r="C732" s="15" t="str">
        <v>Scott McKenna</v>
      </c>
      <c r="D732" s="15">
        <v>29</v>
      </c>
      <c r="E732" s="15" t="str">
        <v>Scotland</v>
      </c>
      <c r="F732" s="15" t="str">
        <v>CB</v>
      </c>
      <c r="G732" s="15" t="str">
        <v>Dinamo Zagreb</v>
      </c>
      <c r="H732" s="15">
        <v>26</v>
      </c>
      <c r="I732" s="15" t="str">
        <f t="shared" si="64"/>
        <v>295|Scott McKenna|29|Scotland|CB|Dinamo Zagreb|26</v>
      </c>
      <c r="J732" s="15" t="str">
        <f>IF(COUNTIF(I$438:I732,I732)&gt;1,"DOUBLON","OK")</f>
        <v>OK</v>
      </c>
      <c r="S732" s="30" t="str">
        <v>Paraguay</v>
      </c>
      <c r="T732" s="30" t="str">
        <f t="shared" si="65"/>
        <v>OK</v>
      </c>
      <c r="U732" s="30" t="str">
        <f t="shared" si="66"/>
        <v>-</v>
      </c>
      <c r="V732" s="30" t="str" cm="1">
        <f t="array" ref="V732">_xlfn.IFS(
ISNUMBER(SEARCH("USA",S732)),"United States",
ISNUMBER(SEARCH("Republic of Korea",S732)),"South Korea",
ISNUMBER(SEARCH("Cape Verde",S732)),"Cabo Verde",
ISNUMBER(SEARCH("Czechia",S732)),"Czech Republic",
ISNUMBER(SEARCH("Türkiye",S732)),"Turkey",
ISNUMBER(SEARCH("Ivory Coast",S732)),"Côte d'Ivoire",
ISNUMBER(SEARCH("Korea Republic",S732)),"South Korea",
ISNUMBER(SEARCH("Germany FR",S732)),"FR Germany",
ISNUMBER(SEARCH("West Germany",S732)),"FR Germany",
ISNUMBER(SEARCH("Germany DR",S732)),"DR Germany",
ISNUMBER(SEARCH("Korea DPR",S732)),"North Korea",
ISNUMBER(SEARCH("China PR",S732)),"China",
ISNUMBER(SEARCH("IR Iran",S732)),"Iran",
ISNUMBER(SEARCH("Congo DR",S732)),"Democratic Republic of the Congo",
ISNUMBER(SEARCH("DR Congo",S732)),"Democratic Republic of the Congo",
ISNUMBER(SEARCH("German DR",S732)),"DR Germany",
ISNUMBER(SEARCH("rn""&gt;United Arab Emirates",S732)),"United Arab Emirates",
ISNUMBER(SEARCH("rn""&gt;Republic of Ireland",S732)),"Ireland",
ISNUMBER(SEARCH("rn""&gt;Bosnia and Herzegovina",S732)),"Bosnia and Herzegovina",
ISNUMBER(SEARCH("rn""&gt;Trinidad and Tobago",S732)),"Trinidad and Tobago",
ISNUMBER(SEARCH("rn""&gt;Serbia and Montenegro",S732)),"Serbia and Montenegro",
ISNUMBER(SEARCH(_xlfn.UNICHAR(65533),S732)),"Côte d'Ivoire",
TRUE,""
)</f>
        <v/>
      </c>
      <c r="W732" s="30" t="str">
        <f t="shared" si="67"/>
        <v>Paraguay</v>
      </c>
      <c r="Z732" s="40" t="str">
        <v>FIFA World Cup Stadium, Munich</v>
      </c>
      <c r="AA732" s="40" t="str" cm="1">
        <f t="array" ref="AA732">IFERROR(_xlfn.XLOOKUP(Z732,_xlfn.ANCHORARRAY(Z$31),AA$31:AA$37),Z732)</f>
        <v>FIFA World Cup Stadium, Munich</v>
      </c>
      <c r="AB732" s="42" t="str">
        <v xml:space="preserve">Munich </v>
      </c>
      <c r="AC732" s="89" t="str">
        <f t="shared" si="63"/>
        <v xml:space="preserve">Munich </v>
      </c>
      <c r="AE732" s="42">
        <v>2006</v>
      </c>
      <c r="AK732" s="42">
        <v>0</v>
      </c>
      <c r="AL732" s="42">
        <v>1</v>
      </c>
      <c r="AW732" s="89" t="str">
        <v>GROUP_STAGE</v>
      </c>
      <c r="BE732" s="43" t="str">
        <f>IF(OR(DATA_CLEANED!AL723="",DATA_CLEANED!AM723=""),"MANQUANT",IF(OR(NOT(ISNUMBER(DATA_CLEANED!AL723)),NOT(ISNUMBER(DATA_CLEANED!AM723))),"ENTREE INVALIDE",IF(OR(DATA_CLEANED!AL723&lt;0,DATA_CLEANED!AM723&lt;0),"SCORE NEGATIF","OK")))</f>
        <v>OK</v>
      </c>
      <c r="BF732" s="43" t="str">
        <f>IF(DATA_CLEANED!AK723&lt;&gt;DATA_CLEANED!AN723,"OK","ERREUR")</f>
        <v>OK</v>
      </c>
      <c r="BG732" s="43" t="str">
        <f>IF(DATA_CLEANED!AL723&gt;DATA_CLEANED!AM723,DATA_CLEANED!AK723,IF(AND(DATA_QUALITE!W5209="-",DATA_CLEANED!AM723=DATA_CLEANED!AL723),"MATCH NUL",IF(AND(DATA_QUALITE!V5209="-",DATA_QUALITE!U5209="AUCUNE"),DATA_QUALITE!T5209,IF(DATA_QUALITE!V5209&lt;&gt;"-",DATA_QUALITE!V5209,DATA_CLEANED!AN723))))</f>
        <v>MATCH NUL</v>
      </c>
      <c r="BH732" s="103" t="str">
        <f>IF(AND(BG732="MATCH NUL",DATA_CLEANED!AO723="-"),"MATCH_NUL",IF(ISNUMBER(SEARCH("win on penalties",W5209)),"WIN_BY_PENALTY",IF(ISNUMBER(SEARCH("win after extra time",W5209)),"WIN_BY_EXTRA_TIME",IF(ISNUMBER(SEARCH("Golden Goal",W5209)),"WIN_BY_GOLDEN_GOAL","WIN_BY_SCORE"))))</f>
        <v>MATCH_NUL</v>
      </c>
      <c r="BI732" s="99" t="str">
        <f>IF(OR(BG732=DATA_CLEANED!AK723,BG732=DATA_CLEANED!AN723,BG732="MATCH NUL"),"OK","ERREUR")</f>
        <v>OK</v>
      </c>
    </row>
    <row r="733" spans="2:61">
      <c r="B733" s="75">
        <v>296</v>
      </c>
      <c r="C733" s="15" t="str">
        <v>Andy Robertson</v>
      </c>
      <c r="D733" s="15">
        <v>32</v>
      </c>
      <c r="E733" s="15" t="str">
        <v>Scotland</v>
      </c>
      <c r="F733" s="15" t="str">
        <v>LB</v>
      </c>
      <c r="G733" s="15" t="str">
        <v>Liverpool</v>
      </c>
      <c r="H733" s="15">
        <v>3</v>
      </c>
      <c r="I733" s="15" t="str">
        <f t="shared" si="64"/>
        <v>296|Andy Robertson|32|Scotland|LB|Liverpool|3</v>
      </c>
      <c r="J733" s="15" t="str">
        <f>IF(COUNTIF(I$438:I733,I733)&gt;1,"DOUBLON","OK")</f>
        <v>OK</v>
      </c>
      <c r="S733" s="30" t="str">
        <v>Paraguay</v>
      </c>
      <c r="T733" s="30" t="str">
        <f t="shared" si="65"/>
        <v>OK</v>
      </c>
      <c r="U733" s="30" t="str">
        <f t="shared" si="66"/>
        <v>-</v>
      </c>
      <c r="V733" s="30" t="str" cm="1">
        <f t="array" ref="V733">_xlfn.IFS(
ISNUMBER(SEARCH("USA",S733)),"United States",
ISNUMBER(SEARCH("Republic of Korea",S733)),"South Korea",
ISNUMBER(SEARCH("Cape Verde",S733)),"Cabo Verde",
ISNUMBER(SEARCH("Czechia",S733)),"Czech Republic",
ISNUMBER(SEARCH("Türkiye",S733)),"Turkey",
ISNUMBER(SEARCH("Ivory Coast",S733)),"Côte d'Ivoire",
ISNUMBER(SEARCH("Korea Republic",S733)),"South Korea",
ISNUMBER(SEARCH("Germany FR",S733)),"FR Germany",
ISNUMBER(SEARCH("West Germany",S733)),"FR Germany",
ISNUMBER(SEARCH("Germany DR",S733)),"DR Germany",
ISNUMBER(SEARCH("Korea DPR",S733)),"North Korea",
ISNUMBER(SEARCH("China PR",S733)),"China",
ISNUMBER(SEARCH("IR Iran",S733)),"Iran",
ISNUMBER(SEARCH("Congo DR",S733)),"Democratic Republic of the Congo",
ISNUMBER(SEARCH("DR Congo",S733)),"Democratic Republic of the Congo",
ISNUMBER(SEARCH("German DR",S733)),"DR Germany",
ISNUMBER(SEARCH("rn""&gt;United Arab Emirates",S733)),"United Arab Emirates",
ISNUMBER(SEARCH("rn""&gt;Republic of Ireland",S733)),"Ireland",
ISNUMBER(SEARCH("rn""&gt;Bosnia and Herzegovina",S733)),"Bosnia and Herzegovina",
ISNUMBER(SEARCH("rn""&gt;Trinidad and Tobago",S733)),"Trinidad and Tobago",
ISNUMBER(SEARCH("rn""&gt;Serbia and Montenegro",S733)),"Serbia and Montenegro",
ISNUMBER(SEARCH(_xlfn.UNICHAR(65533),S733)),"Côte d'Ivoire",
TRUE,""
)</f>
        <v/>
      </c>
      <c r="W733" s="30" t="str">
        <f t="shared" si="67"/>
        <v>Paraguay</v>
      </c>
      <c r="Z733" s="40" t="str">
        <v>Zentralstadion</v>
      </c>
      <c r="AA733" s="40" t="str" cm="1">
        <f t="array" ref="AA733">IFERROR(_xlfn.XLOOKUP(Z733,_xlfn.ANCHORARRAY(Z$31),AA$31:AA$37),Z733)</f>
        <v>Zentralstadion</v>
      </c>
      <c r="AB733" s="42" t="str">
        <v xml:space="preserve">Leipzig </v>
      </c>
      <c r="AC733" s="89" t="str">
        <f t="shared" si="63"/>
        <v xml:space="preserve">Leipzig </v>
      </c>
      <c r="AE733" s="42">
        <v>2006</v>
      </c>
      <c r="AK733" s="42">
        <v>3</v>
      </c>
      <c r="AL733" s="42">
        <v>1</v>
      </c>
      <c r="AW733" s="89" t="str">
        <v>GROUP_STAGE</v>
      </c>
      <c r="BE733" s="43" t="str">
        <f>IF(OR(DATA_CLEANED!AL724="",DATA_CLEANED!AM724=""),"MANQUANT",IF(OR(NOT(ISNUMBER(DATA_CLEANED!AL724)),NOT(ISNUMBER(DATA_CLEANED!AM724))),"ENTREE INVALIDE",IF(OR(DATA_CLEANED!AL724&lt;0,DATA_CLEANED!AM724&lt;0),"SCORE NEGATIF","OK")))</f>
        <v>OK</v>
      </c>
      <c r="BF733" s="43" t="str">
        <f>IF(DATA_CLEANED!AK724&lt;&gt;DATA_CLEANED!AN724,"OK","ERREUR")</f>
        <v>OK</v>
      </c>
      <c r="BG733" s="43" t="str">
        <f>IF(DATA_CLEANED!AL724&gt;DATA_CLEANED!AM724,DATA_CLEANED!AK724,IF(AND(DATA_QUALITE!W5210="-",DATA_CLEANED!AM724=DATA_CLEANED!AL724),"MATCH NUL",IF(AND(DATA_QUALITE!V5210="-",DATA_QUALITE!U5210="AUCUNE"),DATA_QUALITE!T5210,IF(DATA_QUALITE!V5210&lt;&gt;"-",DATA_QUALITE!V5210,DATA_CLEANED!AN724))))</f>
        <v>Brazil</v>
      </c>
      <c r="BH733" s="103" t="str">
        <f>IF(AND(BG733="MATCH NUL",DATA_CLEANED!AO724="-"),"MATCH_NUL",IF(ISNUMBER(SEARCH("win on penalties",W5210)),"WIN_BY_PENALTY",IF(ISNUMBER(SEARCH("win after extra time",W5210)),"WIN_BY_EXTRA_TIME",IF(ISNUMBER(SEARCH("Golden Goal",W5210)),"WIN_BY_GOLDEN_GOAL","WIN_BY_SCORE"))))</f>
        <v>WIN_BY_SCORE</v>
      </c>
      <c r="BI733" s="99" t="str">
        <f>IF(OR(BG733=DATA_CLEANED!AK724,BG733=DATA_CLEANED!AN724,BG733="MATCH NUL"),"OK","ERREUR")</f>
        <v>OK</v>
      </c>
    </row>
    <row r="734" spans="2:61">
      <c r="B734" s="75">
        <v>297</v>
      </c>
      <c r="C734" s="15" t="str">
        <v>Aaron Hickey</v>
      </c>
      <c r="D734" s="15">
        <v>24</v>
      </c>
      <c r="E734" s="15" t="str">
        <v>Scotland</v>
      </c>
      <c r="F734" s="15" t="str">
        <v>RB</v>
      </c>
      <c r="G734" s="15" t="str">
        <v>Brentford</v>
      </c>
      <c r="H734" s="15">
        <v>2</v>
      </c>
      <c r="I734" s="15" t="str">
        <f t="shared" si="64"/>
        <v>297|Aaron Hickey|24|Scotland|RB|Brentford|2</v>
      </c>
      <c r="J734" s="15" t="str">
        <f>IF(COUNTIF(I$438:I734,I734)&gt;1,"DOUBLON","OK")</f>
        <v>OK</v>
      </c>
      <c r="S734" s="30" t="str">
        <v>Paraguay</v>
      </c>
      <c r="T734" s="30" t="str">
        <f t="shared" si="65"/>
        <v>OK</v>
      </c>
      <c r="U734" s="30" t="str">
        <f t="shared" si="66"/>
        <v>-</v>
      </c>
      <c r="V734" s="30" t="str" cm="1">
        <f t="array" ref="V734">_xlfn.IFS(
ISNUMBER(SEARCH("USA",S734)),"United States",
ISNUMBER(SEARCH("Republic of Korea",S734)),"South Korea",
ISNUMBER(SEARCH("Cape Verde",S734)),"Cabo Verde",
ISNUMBER(SEARCH("Czechia",S734)),"Czech Republic",
ISNUMBER(SEARCH("Türkiye",S734)),"Turkey",
ISNUMBER(SEARCH("Ivory Coast",S734)),"Côte d'Ivoire",
ISNUMBER(SEARCH("Korea Republic",S734)),"South Korea",
ISNUMBER(SEARCH("Germany FR",S734)),"FR Germany",
ISNUMBER(SEARCH("West Germany",S734)),"FR Germany",
ISNUMBER(SEARCH("Germany DR",S734)),"DR Germany",
ISNUMBER(SEARCH("Korea DPR",S734)),"North Korea",
ISNUMBER(SEARCH("China PR",S734)),"China",
ISNUMBER(SEARCH("IR Iran",S734)),"Iran",
ISNUMBER(SEARCH("Congo DR",S734)),"Democratic Republic of the Congo",
ISNUMBER(SEARCH("DR Congo",S734)),"Democratic Republic of the Congo",
ISNUMBER(SEARCH("German DR",S734)),"DR Germany",
ISNUMBER(SEARCH("rn""&gt;United Arab Emirates",S734)),"United Arab Emirates",
ISNUMBER(SEARCH("rn""&gt;Republic of Ireland",S734)),"Ireland",
ISNUMBER(SEARCH("rn""&gt;Bosnia and Herzegovina",S734)),"Bosnia and Herzegovina",
ISNUMBER(SEARCH("rn""&gt;Trinidad and Tobago",S734)),"Trinidad and Tobago",
ISNUMBER(SEARCH("rn""&gt;Serbia and Montenegro",S734)),"Serbia and Montenegro",
ISNUMBER(SEARCH(_xlfn.UNICHAR(65533),S734)),"Côte d'Ivoire",
TRUE,""
)</f>
        <v/>
      </c>
      <c r="W734" s="30" t="str">
        <f t="shared" si="67"/>
        <v>Paraguay</v>
      </c>
      <c r="Z734" s="40" t="str">
        <v>Gottlieb-Daimler-Stadion</v>
      </c>
      <c r="AA734" s="40" t="str" cm="1">
        <f t="array" ref="AA734">IFERROR(_xlfn.XLOOKUP(Z734,_xlfn.ANCHORARRAY(Z$31),AA$31:AA$37),Z734)</f>
        <v>Gottlieb-Daimler-Stadion</v>
      </c>
      <c r="AB734" s="42" t="str">
        <v xml:space="preserve">Stuttgart </v>
      </c>
      <c r="AC734" s="89" t="str">
        <f t="shared" si="63"/>
        <v xml:space="preserve">Stuttgart </v>
      </c>
      <c r="AE734" s="42">
        <v>2006</v>
      </c>
      <c r="AK734" s="42">
        <v>0</v>
      </c>
      <c r="AL734" s="42">
        <v>1</v>
      </c>
      <c r="AW734" s="89" t="str">
        <v>GROUP_STAGE</v>
      </c>
      <c r="BE734" s="43" t="str">
        <f>IF(OR(DATA_CLEANED!AL725="",DATA_CLEANED!AM725=""),"MANQUANT",IF(OR(NOT(ISNUMBER(DATA_CLEANED!AL725)),NOT(ISNUMBER(DATA_CLEANED!AM725))),"ENTREE INVALIDE",IF(OR(DATA_CLEANED!AL725&lt;0,DATA_CLEANED!AM725&lt;0),"SCORE NEGATIF","OK")))</f>
        <v>OK</v>
      </c>
      <c r="BF734" s="43" t="str">
        <f>IF(DATA_CLEANED!AK725&lt;&gt;DATA_CLEANED!AN725,"OK","ERREUR")</f>
        <v>OK</v>
      </c>
      <c r="BG734" s="43" t="str">
        <f>IF(DATA_CLEANED!AL725&gt;DATA_CLEANED!AM725,DATA_CLEANED!AK725,IF(AND(DATA_QUALITE!W5211="-",DATA_CLEANED!AM725=DATA_CLEANED!AL725),"MATCH NUL",IF(AND(DATA_QUALITE!V5211="-",DATA_QUALITE!U5211="AUCUNE"),DATA_QUALITE!T5211,IF(DATA_QUALITE!V5211&lt;&gt;"-",DATA_QUALITE!V5211,DATA_CLEANED!AN725))))</f>
        <v>Chile</v>
      </c>
      <c r="BH734" s="103" t="str">
        <f>IF(AND(BG734="MATCH NUL",DATA_CLEANED!AO725="-"),"MATCH_NUL",IF(ISNUMBER(SEARCH("win on penalties",W5211)),"WIN_BY_PENALTY",IF(ISNUMBER(SEARCH("win after extra time",W5211)),"WIN_BY_EXTRA_TIME",IF(ISNUMBER(SEARCH("Golden Goal",W5211)),"WIN_BY_GOLDEN_GOAL","WIN_BY_SCORE"))))</f>
        <v>WIN_BY_SCORE</v>
      </c>
      <c r="BI734" s="99" t="str">
        <f>IF(OR(BG734=DATA_CLEANED!AK725,BG734=DATA_CLEANED!AN725,BG734="MATCH NUL"),"OK","ERREUR")</f>
        <v>OK</v>
      </c>
    </row>
    <row r="735" spans="2:61">
      <c r="B735" s="75">
        <v>298</v>
      </c>
      <c r="C735" s="15" t="str">
        <v>Nathan Patterson</v>
      </c>
      <c r="D735" s="15">
        <v>24</v>
      </c>
      <c r="E735" s="15" t="str">
        <v>Scotland</v>
      </c>
      <c r="F735" s="15" t="str">
        <v>RB</v>
      </c>
      <c r="G735" s="15" t="str">
        <v>Everton</v>
      </c>
      <c r="H735" s="15">
        <v>22</v>
      </c>
      <c r="I735" s="15" t="str">
        <f t="shared" si="64"/>
        <v>298|Nathan Patterson|24|Scotland|RB|Everton|22</v>
      </c>
      <c r="J735" s="15" t="str">
        <f>IF(COUNTIF(I$438:I735,I735)&gt;1,"DOUBLON","OK")</f>
        <v>OK</v>
      </c>
      <c r="S735" s="30" t="str">
        <v>Paraguay</v>
      </c>
      <c r="T735" s="30" t="str">
        <f t="shared" si="65"/>
        <v>OK</v>
      </c>
      <c r="U735" s="30" t="str">
        <f t="shared" si="66"/>
        <v>-</v>
      </c>
      <c r="V735" s="30" t="str" cm="1">
        <f t="array" ref="V735">_xlfn.IFS(
ISNUMBER(SEARCH("USA",S735)),"United States",
ISNUMBER(SEARCH("Republic of Korea",S735)),"South Korea",
ISNUMBER(SEARCH("Cape Verde",S735)),"Cabo Verde",
ISNUMBER(SEARCH("Czechia",S735)),"Czech Republic",
ISNUMBER(SEARCH("Türkiye",S735)),"Turkey",
ISNUMBER(SEARCH("Ivory Coast",S735)),"Côte d'Ivoire",
ISNUMBER(SEARCH("Korea Republic",S735)),"South Korea",
ISNUMBER(SEARCH("Germany FR",S735)),"FR Germany",
ISNUMBER(SEARCH("West Germany",S735)),"FR Germany",
ISNUMBER(SEARCH("Germany DR",S735)),"DR Germany",
ISNUMBER(SEARCH("Korea DPR",S735)),"North Korea",
ISNUMBER(SEARCH("China PR",S735)),"China",
ISNUMBER(SEARCH("IR Iran",S735)),"Iran",
ISNUMBER(SEARCH("Congo DR",S735)),"Democratic Republic of the Congo",
ISNUMBER(SEARCH("DR Congo",S735)),"Democratic Republic of the Congo",
ISNUMBER(SEARCH("German DR",S735)),"DR Germany",
ISNUMBER(SEARCH("rn""&gt;United Arab Emirates",S735)),"United Arab Emirates",
ISNUMBER(SEARCH("rn""&gt;Republic of Ireland",S735)),"Ireland",
ISNUMBER(SEARCH("rn""&gt;Bosnia and Herzegovina",S735)),"Bosnia and Herzegovina",
ISNUMBER(SEARCH("rn""&gt;Trinidad and Tobago",S735)),"Trinidad and Tobago",
ISNUMBER(SEARCH("rn""&gt;Serbia and Montenegro",S735)),"Serbia and Montenegro",
ISNUMBER(SEARCH(_xlfn.UNICHAR(65533),S735)),"Côte d'Ivoire",
TRUE,""
)</f>
        <v/>
      </c>
      <c r="W735" s="30" t="str">
        <f t="shared" si="67"/>
        <v>Paraguay</v>
      </c>
      <c r="Z735" s="40" t="str">
        <v>Franken-Stadion</v>
      </c>
      <c r="AA735" s="40" t="str" cm="1">
        <f t="array" ref="AA735">IFERROR(_xlfn.XLOOKUP(Z735,_xlfn.ANCHORARRAY(Z$31),AA$31:AA$37),Z735)</f>
        <v>Franken-Stadion</v>
      </c>
      <c r="AB735" s="42" t="str">
        <v xml:space="preserve">Nuremberg </v>
      </c>
      <c r="AC735" s="89" t="str">
        <f t="shared" si="63"/>
        <v xml:space="preserve">Nuremberg </v>
      </c>
      <c r="AE735" s="42">
        <v>2006</v>
      </c>
      <c r="AK735" s="42">
        <v>3</v>
      </c>
      <c r="AL735" s="42">
        <v>1</v>
      </c>
      <c r="AW735" s="89" t="str">
        <v>GROUP_STAGE</v>
      </c>
      <c r="BE735" s="43" t="str">
        <f>IF(OR(DATA_CLEANED!AL726="",DATA_CLEANED!AM726=""),"MANQUANT",IF(OR(NOT(ISNUMBER(DATA_CLEANED!AL726)),NOT(ISNUMBER(DATA_CLEANED!AM726))),"ENTREE INVALIDE",IF(OR(DATA_CLEANED!AL726&lt;0,DATA_CLEANED!AM726&lt;0),"SCORE NEGATIF","OK")))</f>
        <v>OK</v>
      </c>
      <c r="BF735" s="43" t="str">
        <f>IF(DATA_CLEANED!AK726&lt;&gt;DATA_CLEANED!AN726,"OK","ERREUR")</f>
        <v>OK</v>
      </c>
      <c r="BG735" s="43" t="str">
        <f>IF(DATA_CLEANED!AL726&gt;DATA_CLEANED!AM726,DATA_CLEANED!AK726,IF(AND(DATA_QUALITE!W5212="-",DATA_CLEANED!AM726=DATA_CLEANED!AL726),"MATCH NUL",IF(AND(DATA_QUALITE!V5212="-",DATA_QUALITE!U5212="AUCUNE"),DATA_QUALITE!T5212,IF(DATA_QUALITE!V5212&lt;&gt;"-",DATA_QUALITE!V5212,DATA_CLEANED!AN726))))</f>
        <v>Switzerland</v>
      </c>
      <c r="BH735" s="103" t="str">
        <f>IF(AND(BG735="MATCH NUL",DATA_CLEANED!AO726="-"),"MATCH_NUL",IF(ISNUMBER(SEARCH("win on penalties",W5212)),"WIN_BY_PENALTY",IF(ISNUMBER(SEARCH("win after extra time",W5212)),"WIN_BY_EXTRA_TIME",IF(ISNUMBER(SEARCH("Golden Goal",W5212)),"WIN_BY_GOLDEN_GOAL","WIN_BY_SCORE"))))</f>
        <v>WIN_BY_SCORE</v>
      </c>
      <c r="BI735" s="99" t="str">
        <f>IF(OR(BG735=DATA_CLEANED!AK726,BG735=DATA_CLEANED!AN726,BG735="MATCH NUL"),"OK","ERREUR")</f>
        <v>OK</v>
      </c>
    </row>
    <row r="736" spans="2:61">
      <c r="B736" s="75">
        <v>299</v>
      </c>
      <c r="C736" s="15" t="str">
        <v>Anthony Ralston</v>
      </c>
      <c r="D736" s="15">
        <v>27</v>
      </c>
      <c r="E736" s="15" t="str">
        <v>Scotland</v>
      </c>
      <c r="F736" s="15" t="str">
        <v>RB</v>
      </c>
      <c r="G736" s="15" t="str">
        <v>Celtic</v>
      </c>
      <c r="H736" s="15">
        <v>24</v>
      </c>
      <c r="I736" s="15" t="str">
        <f t="shared" si="64"/>
        <v>299|Anthony Ralston|27|Scotland|RB|Celtic|24</v>
      </c>
      <c r="J736" s="15" t="str">
        <f>IF(COUNTIF(I$438:I736,I736)&gt;1,"DOUBLON","OK")</f>
        <v>OK</v>
      </c>
      <c r="S736" s="30" t="str">
        <v>Paraguay</v>
      </c>
      <c r="T736" s="30" t="str">
        <f t="shared" si="65"/>
        <v>OK</v>
      </c>
      <c r="U736" s="30" t="str">
        <f t="shared" si="66"/>
        <v>-</v>
      </c>
      <c r="V736" s="30" t="str" cm="1">
        <f t="array" ref="V736">_xlfn.IFS(
ISNUMBER(SEARCH("USA",S736)),"United States",
ISNUMBER(SEARCH("Republic of Korea",S736)),"South Korea",
ISNUMBER(SEARCH("Cape Verde",S736)),"Cabo Verde",
ISNUMBER(SEARCH("Czechia",S736)),"Czech Republic",
ISNUMBER(SEARCH("Türkiye",S736)),"Turkey",
ISNUMBER(SEARCH("Ivory Coast",S736)),"Côte d'Ivoire",
ISNUMBER(SEARCH("Korea Republic",S736)),"South Korea",
ISNUMBER(SEARCH("Germany FR",S736)),"FR Germany",
ISNUMBER(SEARCH("West Germany",S736)),"FR Germany",
ISNUMBER(SEARCH("Germany DR",S736)),"DR Germany",
ISNUMBER(SEARCH("Korea DPR",S736)),"North Korea",
ISNUMBER(SEARCH("China PR",S736)),"China",
ISNUMBER(SEARCH("IR Iran",S736)),"Iran",
ISNUMBER(SEARCH("Congo DR",S736)),"Democratic Republic of the Congo",
ISNUMBER(SEARCH("DR Congo",S736)),"Democratic Republic of the Congo",
ISNUMBER(SEARCH("German DR",S736)),"DR Germany",
ISNUMBER(SEARCH("rn""&gt;United Arab Emirates",S736)),"United Arab Emirates",
ISNUMBER(SEARCH("rn""&gt;Republic of Ireland",S736)),"Ireland",
ISNUMBER(SEARCH("rn""&gt;Bosnia and Herzegovina",S736)),"Bosnia and Herzegovina",
ISNUMBER(SEARCH("rn""&gt;Trinidad and Tobago",S736)),"Trinidad and Tobago",
ISNUMBER(SEARCH("rn""&gt;Serbia and Montenegro",S736)),"Serbia and Montenegro",
ISNUMBER(SEARCH(_xlfn.UNICHAR(65533),S736)),"Côte d'Ivoire",
TRUE,""
)</f>
        <v/>
      </c>
      <c r="W736" s="30" t="str">
        <f t="shared" si="67"/>
        <v>Paraguay</v>
      </c>
      <c r="Z736" s="40" t="str">
        <v>Fritz-Walter-Stadion</v>
      </c>
      <c r="AA736" s="40" t="str" cm="1">
        <f t="array" ref="AA736">IFERROR(_xlfn.XLOOKUP(Z736,_xlfn.ANCHORARRAY(Z$31),AA$31:AA$37),Z736)</f>
        <v>Fritz-Walter-Stadion</v>
      </c>
      <c r="AB736" s="42" t="str">
        <v xml:space="preserve">Kaiserslautern </v>
      </c>
      <c r="AC736" s="89" t="str">
        <f t="shared" si="63"/>
        <v xml:space="preserve">Kaiserslautern </v>
      </c>
      <c r="AE736" s="42">
        <v>2006</v>
      </c>
      <c r="AK736" s="42">
        <v>0</v>
      </c>
      <c r="AL736" s="42">
        <v>3</v>
      </c>
      <c r="AW736" s="89" t="str">
        <v>GROUP_STAGE</v>
      </c>
      <c r="BE736" s="43" t="str">
        <f>IF(OR(DATA_CLEANED!AL727="",DATA_CLEANED!AM727=""),"MANQUANT",IF(OR(NOT(ISNUMBER(DATA_CLEANED!AL727)),NOT(ISNUMBER(DATA_CLEANED!AM727))),"ENTREE INVALIDE",IF(OR(DATA_CLEANED!AL727&lt;0,DATA_CLEANED!AM727&lt;0),"SCORE NEGATIF","OK")))</f>
        <v>OK</v>
      </c>
      <c r="BF736" s="43" t="str">
        <f>IF(DATA_CLEANED!AK727&lt;&gt;DATA_CLEANED!AN727,"OK","ERREUR")</f>
        <v>OK</v>
      </c>
      <c r="BG736" s="43" t="str">
        <f>IF(DATA_CLEANED!AL727&gt;DATA_CLEANED!AM727,DATA_CLEANED!AK727,IF(AND(DATA_QUALITE!W5213="-",DATA_CLEANED!AM727=DATA_CLEANED!AL727),"MATCH NUL",IF(AND(DATA_QUALITE!V5213="-",DATA_QUALITE!U5213="AUCUNE"),DATA_QUALITE!T5213,IF(DATA_QUALITE!V5213&lt;&gt;"-",DATA_QUALITE!V5213,DATA_CLEANED!AN727))))</f>
        <v>Uruguay</v>
      </c>
      <c r="BH736" s="103" t="str">
        <f>IF(AND(BG736="MATCH NUL",DATA_CLEANED!AO727="-"),"MATCH_NUL",IF(ISNUMBER(SEARCH("win on penalties",W5213)),"WIN_BY_PENALTY",IF(ISNUMBER(SEARCH("win after extra time",W5213)),"WIN_BY_EXTRA_TIME",IF(ISNUMBER(SEARCH("Golden Goal",W5213)),"WIN_BY_GOLDEN_GOAL","WIN_BY_SCORE"))))</f>
        <v>WIN_BY_SCORE</v>
      </c>
      <c r="BI736" s="99" t="str">
        <f>IF(OR(BG736=DATA_CLEANED!AK727,BG736=DATA_CLEANED!AN727,BG736="MATCH NUL"),"OK","ERREUR")</f>
        <v>OK</v>
      </c>
    </row>
    <row r="737" spans="2:61">
      <c r="B737" s="75">
        <v>300</v>
      </c>
      <c r="C737" s="15" t="str">
        <v>Tyler Fletcher</v>
      </c>
      <c r="D737" s="15">
        <v>19</v>
      </c>
      <c r="E737" s="15" t="str">
        <v>Scotland</v>
      </c>
      <c r="F737" s="15" t="str">
        <v>CDM</v>
      </c>
      <c r="G737" s="15" t="str">
        <v>Manchester United</v>
      </c>
      <c r="H737" s="15">
        <v>8</v>
      </c>
      <c r="I737" s="15" t="str">
        <f t="shared" si="64"/>
        <v>300|Tyler Fletcher|19|Scotland|CDM|Manchester United|8</v>
      </c>
      <c r="J737" s="15" t="str">
        <f>IF(COUNTIF(I$438:I737,I737)&gt;1,"DOUBLON","OK")</f>
        <v>OK</v>
      </c>
      <c r="S737" s="30" t="str">
        <v>Paraguay</v>
      </c>
      <c r="T737" s="30" t="str">
        <f t="shared" si="65"/>
        <v>OK</v>
      </c>
      <c r="U737" s="30" t="str">
        <f t="shared" si="66"/>
        <v>-</v>
      </c>
      <c r="V737" s="30" t="str" cm="1">
        <f t="array" ref="V737">_xlfn.IFS(
ISNUMBER(SEARCH("USA",S737)),"United States",
ISNUMBER(SEARCH("Republic of Korea",S737)),"South Korea",
ISNUMBER(SEARCH("Cape Verde",S737)),"Cabo Verde",
ISNUMBER(SEARCH("Czechia",S737)),"Czech Republic",
ISNUMBER(SEARCH("Türkiye",S737)),"Turkey",
ISNUMBER(SEARCH("Ivory Coast",S737)),"Côte d'Ivoire",
ISNUMBER(SEARCH("Korea Republic",S737)),"South Korea",
ISNUMBER(SEARCH("Germany FR",S737)),"FR Germany",
ISNUMBER(SEARCH("West Germany",S737)),"FR Germany",
ISNUMBER(SEARCH("Germany DR",S737)),"DR Germany",
ISNUMBER(SEARCH("Korea DPR",S737)),"North Korea",
ISNUMBER(SEARCH("China PR",S737)),"China",
ISNUMBER(SEARCH("IR Iran",S737)),"Iran",
ISNUMBER(SEARCH("Congo DR",S737)),"Democratic Republic of the Congo",
ISNUMBER(SEARCH("DR Congo",S737)),"Democratic Republic of the Congo",
ISNUMBER(SEARCH("German DR",S737)),"DR Germany",
ISNUMBER(SEARCH("rn""&gt;United Arab Emirates",S737)),"United Arab Emirates",
ISNUMBER(SEARCH("rn""&gt;Republic of Ireland",S737)),"Ireland",
ISNUMBER(SEARCH("rn""&gt;Bosnia and Herzegovina",S737)),"Bosnia and Herzegovina",
ISNUMBER(SEARCH("rn""&gt;Trinidad and Tobago",S737)),"Trinidad and Tobago",
ISNUMBER(SEARCH("rn""&gt;Serbia and Montenegro",S737)),"Serbia and Montenegro",
ISNUMBER(SEARCH(_xlfn.UNICHAR(65533),S737)),"Côte d'Ivoire",
TRUE,""
)</f>
        <v/>
      </c>
      <c r="W737" s="30" t="str">
        <f t="shared" si="67"/>
        <v>Paraguay</v>
      </c>
      <c r="Z737" s="40" t="str">
        <v>FIFA World Cup Stadium, Cologne</v>
      </c>
      <c r="AA737" s="40" t="str" cm="1">
        <f t="array" ref="AA737">IFERROR(_xlfn.XLOOKUP(Z737,_xlfn.ANCHORARRAY(Z$31),AA$31:AA$37),Z737)</f>
        <v>FIFA World Cup Stadium, Cologne</v>
      </c>
      <c r="AB737" s="42" t="str">
        <v xml:space="preserve">Cologne </v>
      </c>
      <c r="AC737" s="89" t="str">
        <f t="shared" si="63"/>
        <v xml:space="preserve">Cologne </v>
      </c>
      <c r="AE737" s="42">
        <v>2006</v>
      </c>
      <c r="AK737" s="42">
        <v>2</v>
      </c>
      <c r="AL737" s="42">
        <v>0</v>
      </c>
      <c r="AW737" s="89" t="str">
        <v>GROUP_STAGE</v>
      </c>
      <c r="BE737" s="43" t="str">
        <f>IF(OR(DATA_CLEANED!AL728="",DATA_CLEANED!AM728=""),"MANQUANT",IF(OR(NOT(ISNUMBER(DATA_CLEANED!AL728)),NOT(ISNUMBER(DATA_CLEANED!AM728))),"ENTREE INVALIDE",IF(OR(DATA_CLEANED!AL728&lt;0,DATA_CLEANED!AM728&lt;0),"SCORE NEGATIF","OK")))</f>
        <v>OK</v>
      </c>
      <c r="BF737" s="43" t="str">
        <f>IF(DATA_CLEANED!AK728&lt;&gt;DATA_CLEANED!AN728,"OK","ERREUR")</f>
        <v>OK</v>
      </c>
      <c r="BG737" s="43" t="str">
        <f>IF(DATA_CLEANED!AL728&gt;DATA_CLEANED!AM728,DATA_CLEANED!AK728,IF(AND(DATA_QUALITE!W5214="-",DATA_CLEANED!AM728=DATA_CLEANED!AL728),"MATCH NUL",IF(AND(DATA_QUALITE!V5214="-",DATA_QUALITE!U5214="AUCUNE"),DATA_QUALITE!T5214,IF(DATA_QUALITE!V5214&lt;&gt;"-",DATA_QUALITE!V5214,DATA_CLEANED!AN728))))</f>
        <v>Argentina</v>
      </c>
      <c r="BH737" s="103" t="str">
        <f>IF(AND(BG737="MATCH NUL",DATA_CLEANED!AO728="-"),"MATCH_NUL",IF(ISNUMBER(SEARCH("win on penalties",W5214)),"WIN_BY_PENALTY",IF(ISNUMBER(SEARCH("win after extra time",W5214)),"WIN_BY_EXTRA_TIME",IF(ISNUMBER(SEARCH("Golden Goal",W5214)),"WIN_BY_GOLDEN_GOAL","WIN_BY_SCORE"))))</f>
        <v>WIN_BY_SCORE</v>
      </c>
      <c r="BI737" s="99" t="str">
        <f>IF(OR(BG737=DATA_CLEANED!AK728,BG737=DATA_CLEANED!AN728,BG737="MATCH NUL"),"OK","ERREUR")</f>
        <v>OK</v>
      </c>
    </row>
    <row r="738" spans="2:61">
      <c r="B738" s="75">
        <v>301</v>
      </c>
      <c r="C738" s="15" t="str">
        <v>Ryan Christie</v>
      </c>
      <c r="D738" s="15">
        <v>31</v>
      </c>
      <c r="E738" s="15" t="str">
        <v>Scotland</v>
      </c>
      <c r="F738" s="15" t="str">
        <v>CM</v>
      </c>
      <c r="G738" s="15" t="str">
        <v>Bournemouth</v>
      </c>
      <c r="H738" s="15">
        <v>11</v>
      </c>
      <c r="I738" s="15" t="str">
        <f t="shared" si="64"/>
        <v>301|Ryan Christie|31|Scotland|CM|Bournemouth|11</v>
      </c>
      <c r="J738" s="15" t="str">
        <f>IF(COUNTIF(I$438:I738,I738)&gt;1,"DOUBLON","OK")</f>
        <v>OK</v>
      </c>
      <c r="S738" s="30" t="str">
        <v>Paraguay</v>
      </c>
      <c r="T738" s="30" t="str">
        <f t="shared" si="65"/>
        <v>OK</v>
      </c>
      <c r="U738" s="30" t="str">
        <f t="shared" si="66"/>
        <v>-</v>
      </c>
      <c r="V738" s="30" t="str" cm="1">
        <f t="array" ref="V738">_xlfn.IFS(
ISNUMBER(SEARCH("USA",S738)),"United States",
ISNUMBER(SEARCH("Republic of Korea",S738)),"South Korea",
ISNUMBER(SEARCH("Cape Verde",S738)),"Cabo Verde",
ISNUMBER(SEARCH("Czechia",S738)),"Czech Republic",
ISNUMBER(SEARCH("Türkiye",S738)),"Turkey",
ISNUMBER(SEARCH("Ivory Coast",S738)),"Côte d'Ivoire",
ISNUMBER(SEARCH("Korea Republic",S738)),"South Korea",
ISNUMBER(SEARCH("Germany FR",S738)),"FR Germany",
ISNUMBER(SEARCH("West Germany",S738)),"FR Germany",
ISNUMBER(SEARCH("Germany DR",S738)),"DR Germany",
ISNUMBER(SEARCH("Korea DPR",S738)),"North Korea",
ISNUMBER(SEARCH("China PR",S738)),"China",
ISNUMBER(SEARCH("IR Iran",S738)),"Iran",
ISNUMBER(SEARCH("Congo DR",S738)),"Democratic Republic of the Congo",
ISNUMBER(SEARCH("DR Congo",S738)),"Democratic Republic of the Congo",
ISNUMBER(SEARCH("German DR",S738)),"DR Germany",
ISNUMBER(SEARCH("rn""&gt;United Arab Emirates",S738)),"United Arab Emirates",
ISNUMBER(SEARCH("rn""&gt;Republic of Ireland",S738)),"Ireland",
ISNUMBER(SEARCH("rn""&gt;Bosnia and Herzegovina",S738)),"Bosnia and Herzegovina",
ISNUMBER(SEARCH("rn""&gt;Trinidad and Tobago",S738)),"Trinidad and Tobago",
ISNUMBER(SEARCH("rn""&gt;Serbia and Montenegro",S738)),"Serbia and Montenegro",
ISNUMBER(SEARCH(_xlfn.UNICHAR(65533),S738)),"Côte d'Ivoire",
TRUE,""
)</f>
        <v/>
      </c>
      <c r="W738" s="30" t="str">
        <f t="shared" si="67"/>
        <v>Paraguay</v>
      </c>
      <c r="Z738" s="40" t="str">
        <v>FIFA World Cup Stadium, Dortmund</v>
      </c>
      <c r="AA738" s="40" t="str" cm="1">
        <f t="array" ref="AA738">IFERROR(_xlfn.XLOOKUP(Z738,_xlfn.ANCHORARRAY(Z$31),AA$31:AA$37),Z738)</f>
        <v>FIFA World Cup Stadium, Dortmund</v>
      </c>
      <c r="AB738" s="42" t="str">
        <v xml:space="preserve">Dortmund </v>
      </c>
      <c r="AC738" s="89" t="str">
        <f t="shared" si="63"/>
        <v xml:space="preserve">Dortmund </v>
      </c>
      <c r="AE738" s="42">
        <v>2006</v>
      </c>
      <c r="AK738" s="42">
        <v>2</v>
      </c>
      <c r="AL738" s="42">
        <v>1</v>
      </c>
      <c r="AW738" s="89" t="str">
        <v>GROUP_STAGE</v>
      </c>
      <c r="BE738" s="43" t="str">
        <f>IF(OR(DATA_CLEANED!AL729="",DATA_CLEANED!AM729=""),"MANQUANT",IF(OR(NOT(ISNUMBER(DATA_CLEANED!AL729)),NOT(ISNUMBER(DATA_CLEANED!AM729))),"ENTREE INVALIDE",IF(OR(DATA_CLEANED!AL729&lt;0,DATA_CLEANED!AM729&lt;0),"SCORE NEGATIF","OK")))</f>
        <v>OK</v>
      </c>
      <c r="BF738" s="43" t="str">
        <f>IF(DATA_CLEANED!AK729&lt;&gt;DATA_CLEANED!AN729,"OK","ERREUR")</f>
        <v>OK</v>
      </c>
      <c r="BG738" s="43" t="str">
        <f>IF(DATA_CLEANED!AL729&gt;DATA_CLEANED!AM729,DATA_CLEANED!AK729,IF(AND(DATA_QUALITE!W5215="-",DATA_CLEANED!AM729=DATA_CLEANED!AL729),"MATCH NUL",IF(AND(DATA_QUALITE!V5215="-",DATA_QUALITE!U5215="AUCUNE"),DATA_QUALITE!T5215,IF(DATA_QUALITE!V5215&lt;&gt;"-",DATA_QUALITE!V5215,DATA_CLEANED!AN729))))</f>
        <v>Greece</v>
      </c>
      <c r="BH738" s="103" t="str">
        <f>IF(AND(BG738="MATCH NUL",DATA_CLEANED!AO729="-"),"MATCH_NUL",IF(ISNUMBER(SEARCH("win on penalties",W5215)),"WIN_BY_PENALTY",IF(ISNUMBER(SEARCH("win after extra time",W5215)),"WIN_BY_EXTRA_TIME",IF(ISNUMBER(SEARCH("Golden Goal",W5215)),"WIN_BY_GOLDEN_GOAL","WIN_BY_SCORE"))))</f>
        <v>WIN_BY_SCORE</v>
      </c>
      <c r="BI738" s="99" t="str">
        <f>IF(OR(BG738=DATA_CLEANED!AK729,BG738=DATA_CLEANED!AN729,BG738="MATCH NUL"),"OK","ERREUR")</f>
        <v>OK</v>
      </c>
    </row>
    <row r="739" spans="2:61">
      <c r="B739" s="75">
        <v>302</v>
      </c>
      <c r="C739" s="15" t="str">
        <v>Lewis Ferguson</v>
      </c>
      <c r="D739" s="15">
        <v>26</v>
      </c>
      <c r="E739" s="15" t="str">
        <v>Scotland</v>
      </c>
      <c r="F739" s="15" t="str">
        <v>CM</v>
      </c>
      <c r="G739" s="15" t="str">
        <v>Bologna</v>
      </c>
      <c r="H739" s="15">
        <v>19</v>
      </c>
      <c r="I739" s="15" t="str">
        <f t="shared" si="64"/>
        <v>302|Lewis Ferguson|26|Scotland|CM|Bologna|19</v>
      </c>
      <c r="J739" s="15" t="str">
        <f>IF(COUNTIF(I$438:I739,I739)&gt;1,"DOUBLON","OK")</f>
        <v>OK</v>
      </c>
      <c r="S739" s="30" t="str">
        <v>Paraguay</v>
      </c>
      <c r="T739" s="30" t="str">
        <f t="shared" si="65"/>
        <v>OK</v>
      </c>
      <c r="U739" s="30" t="str">
        <f t="shared" si="66"/>
        <v>-</v>
      </c>
      <c r="V739" s="30" t="str" cm="1">
        <f t="array" ref="V739">_xlfn.IFS(
ISNUMBER(SEARCH("USA",S739)),"United States",
ISNUMBER(SEARCH("Republic of Korea",S739)),"South Korea",
ISNUMBER(SEARCH("Cape Verde",S739)),"Cabo Verde",
ISNUMBER(SEARCH("Czechia",S739)),"Czech Republic",
ISNUMBER(SEARCH("Türkiye",S739)),"Turkey",
ISNUMBER(SEARCH("Ivory Coast",S739)),"Côte d'Ivoire",
ISNUMBER(SEARCH("Korea Republic",S739)),"South Korea",
ISNUMBER(SEARCH("Germany FR",S739)),"FR Germany",
ISNUMBER(SEARCH("West Germany",S739)),"FR Germany",
ISNUMBER(SEARCH("Germany DR",S739)),"DR Germany",
ISNUMBER(SEARCH("Korea DPR",S739)),"North Korea",
ISNUMBER(SEARCH("China PR",S739)),"China",
ISNUMBER(SEARCH("IR Iran",S739)),"Iran",
ISNUMBER(SEARCH("Congo DR",S739)),"Democratic Republic of the Congo",
ISNUMBER(SEARCH("DR Congo",S739)),"Democratic Republic of the Congo",
ISNUMBER(SEARCH("German DR",S739)),"DR Germany",
ISNUMBER(SEARCH("rn""&gt;United Arab Emirates",S739)),"United Arab Emirates",
ISNUMBER(SEARCH("rn""&gt;Republic of Ireland",S739)),"Ireland",
ISNUMBER(SEARCH("rn""&gt;Bosnia and Herzegovina",S739)),"Bosnia and Herzegovina",
ISNUMBER(SEARCH("rn""&gt;Trinidad and Tobago",S739)),"Trinidad and Tobago",
ISNUMBER(SEARCH("rn""&gt;Serbia and Montenegro",S739)),"Serbia and Montenegro",
ISNUMBER(SEARCH(_xlfn.UNICHAR(65533),S739)),"Côte d'Ivoire",
TRUE,""
)</f>
        <v/>
      </c>
      <c r="W739" s="30" t="str">
        <f t="shared" si="67"/>
        <v>Paraguay</v>
      </c>
      <c r="Z739" s="40" t="str">
        <v>FIFA World Cup Stadium, Hanover</v>
      </c>
      <c r="AA739" s="40" t="str" cm="1">
        <f t="array" ref="AA739">IFERROR(_xlfn.XLOOKUP(Z739,_xlfn.ANCHORARRAY(Z$31),AA$31:AA$37),Z739)</f>
        <v>FIFA World Cup Stadium, Hanover</v>
      </c>
      <c r="AB739" s="42" t="str">
        <v xml:space="preserve">Hanover </v>
      </c>
      <c r="AC739" s="89" t="str">
        <f t="shared" si="63"/>
        <v xml:space="preserve">Hanover </v>
      </c>
      <c r="AE739" s="42">
        <v>2006</v>
      </c>
      <c r="AK739" s="42">
        <v>0</v>
      </c>
      <c r="AL739" s="42">
        <v>0</v>
      </c>
      <c r="AW739" s="89" t="str">
        <v>GROUP_STAGE</v>
      </c>
      <c r="BE739" s="43" t="str">
        <f>IF(OR(DATA_CLEANED!AL730="",DATA_CLEANED!AM730=""),"MANQUANT",IF(OR(NOT(ISNUMBER(DATA_CLEANED!AL730)),NOT(ISNUMBER(DATA_CLEANED!AM730))),"ENTREE INVALIDE",IF(OR(DATA_CLEANED!AL730&lt;0,DATA_CLEANED!AM730&lt;0),"SCORE NEGATIF","OK")))</f>
        <v>OK</v>
      </c>
      <c r="BF739" s="43" t="str">
        <f>IF(DATA_CLEANED!AK730&lt;&gt;DATA_CLEANED!AN730,"OK","ERREUR")</f>
        <v>OK</v>
      </c>
      <c r="BG739" s="43" t="str">
        <f>IF(DATA_CLEANED!AL730&gt;DATA_CLEANED!AM730,DATA_CLEANED!AK730,IF(AND(DATA_QUALITE!W5216="-",DATA_CLEANED!AM730=DATA_CLEANED!AL730),"MATCH NUL",IF(AND(DATA_QUALITE!V5216="-",DATA_QUALITE!U5216="AUCUNE"),DATA_QUALITE!T5216,IF(DATA_QUALITE!V5216&lt;&gt;"-",DATA_QUALITE!V5216,DATA_CLEANED!AN730))))</f>
        <v>Mexico</v>
      </c>
      <c r="BH739" s="103" t="str">
        <f>IF(AND(BG739="MATCH NUL",DATA_CLEANED!AO730="-"),"MATCH_NUL",IF(ISNUMBER(SEARCH("win on penalties",W5216)),"WIN_BY_PENALTY",IF(ISNUMBER(SEARCH("win after extra time",W5216)),"WIN_BY_EXTRA_TIME",IF(ISNUMBER(SEARCH("Golden Goal",W5216)),"WIN_BY_GOLDEN_GOAL","WIN_BY_SCORE"))))</f>
        <v>WIN_BY_SCORE</v>
      </c>
      <c r="BI739" s="99" t="str">
        <f>IF(OR(BG739=DATA_CLEANED!AK730,BG739=DATA_CLEANED!AN730,BG739="MATCH NUL"),"OK","ERREUR")</f>
        <v>OK</v>
      </c>
    </row>
    <row r="740" spans="2:61">
      <c r="B740" s="75">
        <v>303</v>
      </c>
      <c r="C740" s="15" t="str">
        <v>Kenny McLean</v>
      </c>
      <c r="D740" s="15">
        <v>34</v>
      </c>
      <c r="E740" s="15" t="str">
        <v>Scotland</v>
      </c>
      <c r="F740" s="15" t="str">
        <v>CM</v>
      </c>
      <c r="G740" s="15" t="str">
        <v>Norwich City</v>
      </c>
      <c r="H740" s="15">
        <v>23</v>
      </c>
      <c r="I740" s="15" t="str">
        <f t="shared" si="64"/>
        <v>303|Kenny McLean|34|Scotland|CM|Norwich City|23</v>
      </c>
      <c r="J740" s="15" t="str">
        <f>IF(COUNTIF(I$438:I740,I740)&gt;1,"DOUBLON","OK")</f>
        <v>OK</v>
      </c>
      <c r="S740" s="30" t="str">
        <v>Paraguay</v>
      </c>
      <c r="T740" s="30" t="str">
        <f t="shared" si="65"/>
        <v>OK</v>
      </c>
      <c r="U740" s="30" t="str">
        <f t="shared" si="66"/>
        <v>-</v>
      </c>
      <c r="V740" s="30" t="str" cm="1">
        <f t="array" ref="V740">_xlfn.IFS(
ISNUMBER(SEARCH("USA",S740)),"United States",
ISNUMBER(SEARCH("Republic of Korea",S740)),"South Korea",
ISNUMBER(SEARCH("Cape Verde",S740)),"Cabo Verde",
ISNUMBER(SEARCH("Czechia",S740)),"Czech Republic",
ISNUMBER(SEARCH("Türkiye",S740)),"Turkey",
ISNUMBER(SEARCH("Ivory Coast",S740)),"Côte d'Ivoire",
ISNUMBER(SEARCH("Korea Republic",S740)),"South Korea",
ISNUMBER(SEARCH("Germany FR",S740)),"FR Germany",
ISNUMBER(SEARCH("West Germany",S740)),"FR Germany",
ISNUMBER(SEARCH("Germany DR",S740)),"DR Germany",
ISNUMBER(SEARCH("Korea DPR",S740)),"North Korea",
ISNUMBER(SEARCH("China PR",S740)),"China",
ISNUMBER(SEARCH("IR Iran",S740)),"Iran",
ISNUMBER(SEARCH("Congo DR",S740)),"Democratic Republic of the Congo",
ISNUMBER(SEARCH("DR Congo",S740)),"Democratic Republic of the Congo",
ISNUMBER(SEARCH("German DR",S740)),"DR Germany",
ISNUMBER(SEARCH("rn""&gt;United Arab Emirates",S740)),"United Arab Emirates",
ISNUMBER(SEARCH("rn""&gt;Republic of Ireland",S740)),"Ireland",
ISNUMBER(SEARCH("rn""&gt;Bosnia and Herzegovina",S740)),"Bosnia and Herzegovina",
ISNUMBER(SEARCH("rn""&gt;Trinidad and Tobago",S740)),"Trinidad and Tobago",
ISNUMBER(SEARCH("rn""&gt;Serbia and Montenegro",S740)),"Serbia and Montenegro",
ISNUMBER(SEARCH(_xlfn.UNICHAR(65533),S740)),"Côte d'Ivoire",
TRUE,""
)</f>
        <v/>
      </c>
      <c r="W740" s="30" t="str">
        <f t="shared" si="67"/>
        <v>Paraguay</v>
      </c>
      <c r="Z740" s="40" t="str">
        <v>Olympiastadion</v>
      </c>
      <c r="AA740" s="40" t="str" cm="1">
        <f t="array" ref="AA740">IFERROR(_xlfn.XLOOKUP(Z740,_xlfn.ANCHORARRAY(Z$31),AA$31:AA$37),Z740)</f>
        <v>Olympiastadion</v>
      </c>
      <c r="AB740" s="42" t="str">
        <v xml:space="preserve">Berlin </v>
      </c>
      <c r="AC740" s="89" t="str">
        <f t="shared" si="63"/>
        <v xml:space="preserve">Berlin </v>
      </c>
      <c r="AE740" s="42">
        <v>2006</v>
      </c>
      <c r="AK740" s="42">
        <v>1</v>
      </c>
      <c r="AL740" s="42">
        <v>0</v>
      </c>
      <c r="AW740" s="89" t="str">
        <v>GROUP_STAGE</v>
      </c>
      <c r="BE740" s="43" t="str">
        <f>IF(OR(DATA_CLEANED!AL731="",DATA_CLEANED!AM731=""),"MANQUANT",IF(OR(NOT(ISNUMBER(DATA_CLEANED!AL731)),NOT(ISNUMBER(DATA_CLEANED!AM731))),"ENTREE INVALIDE",IF(OR(DATA_CLEANED!AL731&lt;0,DATA_CLEANED!AM731&lt;0),"SCORE NEGATIF","OK")))</f>
        <v>OK</v>
      </c>
      <c r="BF740" s="43" t="str">
        <f>IF(DATA_CLEANED!AK731&lt;&gt;DATA_CLEANED!AN731,"OK","ERREUR")</f>
        <v>OK</v>
      </c>
      <c r="BG740" s="43" t="str">
        <f>IF(DATA_CLEANED!AL731&gt;DATA_CLEANED!AM731,DATA_CLEANED!AK731,IF(AND(DATA_QUALITE!W5217="-",DATA_CLEANED!AM731=DATA_CLEANED!AL731),"MATCH NUL",IF(AND(DATA_QUALITE!V5217="-",DATA_QUALITE!U5217="AUCUNE"),DATA_QUALITE!T5217,IF(DATA_QUALITE!V5217&lt;&gt;"-",DATA_QUALITE!V5217,DATA_CLEANED!AN731))))</f>
        <v>Serbia</v>
      </c>
      <c r="BH740" s="103" t="str">
        <f>IF(AND(BG740="MATCH NUL",DATA_CLEANED!AO731="-"),"MATCH_NUL",IF(ISNUMBER(SEARCH("win on penalties",W5217)),"WIN_BY_PENALTY",IF(ISNUMBER(SEARCH("win after extra time",W5217)),"WIN_BY_EXTRA_TIME",IF(ISNUMBER(SEARCH("Golden Goal",W5217)),"WIN_BY_GOLDEN_GOAL","WIN_BY_SCORE"))))</f>
        <v>WIN_BY_SCORE</v>
      </c>
      <c r="BI740" s="99" t="str">
        <f>IF(OR(BG740=DATA_CLEANED!AK731,BG740=DATA_CLEANED!AN731,BG740="MATCH NUL"),"OK","ERREUR")</f>
        <v>OK</v>
      </c>
    </row>
    <row r="741" spans="2:61">
      <c r="B741" s="75">
        <v>304</v>
      </c>
      <c r="C741" s="15" t="str">
        <v>Scott McTominay</v>
      </c>
      <c r="D741" s="15">
        <v>29</v>
      </c>
      <c r="E741" s="15" t="str">
        <v>Scotland</v>
      </c>
      <c r="F741" s="15" t="str">
        <v>CAM</v>
      </c>
      <c r="G741" s="15" t="str">
        <v>Napoli</v>
      </c>
      <c r="H741" s="15">
        <v>4</v>
      </c>
      <c r="I741" s="15" t="str">
        <f t="shared" si="64"/>
        <v>304|Scott McTominay|29|Scotland|CAM|Napoli|4</v>
      </c>
      <c r="J741" s="15" t="str">
        <f>IF(COUNTIF(I$438:I741,I741)&gt;1,"DOUBLON","OK")</f>
        <v>OK</v>
      </c>
      <c r="S741" s="30" t="str">
        <v>Morocco</v>
      </c>
      <c r="T741" s="30" t="str">
        <f t="shared" si="65"/>
        <v>OK</v>
      </c>
      <c r="U741" s="30" t="str">
        <f t="shared" si="66"/>
        <v>-</v>
      </c>
      <c r="V741" s="30" t="str" cm="1">
        <f t="array" ref="V741">_xlfn.IFS(
ISNUMBER(SEARCH("USA",S741)),"United States",
ISNUMBER(SEARCH("Republic of Korea",S741)),"South Korea",
ISNUMBER(SEARCH("Cape Verde",S741)),"Cabo Verde",
ISNUMBER(SEARCH("Czechia",S741)),"Czech Republic",
ISNUMBER(SEARCH("Türkiye",S741)),"Turkey",
ISNUMBER(SEARCH("Ivory Coast",S741)),"Côte d'Ivoire",
ISNUMBER(SEARCH("Korea Republic",S741)),"South Korea",
ISNUMBER(SEARCH("Germany FR",S741)),"FR Germany",
ISNUMBER(SEARCH("West Germany",S741)),"FR Germany",
ISNUMBER(SEARCH("Germany DR",S741)),"DR Germany",
ISNUMBER(SEARCH("Korea DPR",S741)),"North Korea",
ISNUMBER(SEARCH("China PR",S741)),"China",
ISNUMBER(SEARCH("IR Iran",S741)),"Iran",
ISNUMBER(SEARCH("Congo DR",S741)),"Democratic Republic of the Congo",
ISNUMBER(SEARCH("DR Congo",S741)),"Democratic Republic of the Congo",
ISNUMBER(SEARCH("German DR",S741)),"DR Germany",
ISNUMBER(SEARCH("rn""&gt;United Arab Emirates",S741)),"United Arab Emirates",
ISNUMBER(SEARCH("rn""&gt;Republic of Ireland",S741)),"Ireland",
ISNUMBER(SEARCH("rn""&gt;Bosnia and Herzegovina",S741)),"Bosnia and Herzegovina",
ISNUMBER(SEARCH("rn""&gt;Trinidad and Tobago",S741)),"Trinidad and Tobago",
ISNUMBER(SEARCH("rn""&gt;Serbia and Montenegro",S741)),"Serbia and Montenegro",
ISNUMBER(SEARCH(_xlfn.UNICHAR(65533),S741)),"Côte d'Ivoire",
TRUE,""
)</f>
        <v/>
      </c>
      <c r="W741" s="30" t="str">
        <f t="shared" si="67"/>
        <v>Morocco</v>
      </c>
      <c r="Z741" s="40" t="str">
        <v>FIFA World Cup Stadium, Hamburg</v>
      </c>
      <c r="AA741" s="40" t="str" cm="1">
        <f t="array" ref="AA741">IFERROR(_xlfn.XLOOKUP(Z741,_xlfn.ANCHORARRAY(Z$31),AA$31:AA$37),Z741)</f>
        <v>FIFA World Cup Stadium, Hamburg</v>
      </c>
      <c r="AB741" s="42" t="str">
        <v xml:space="preserve">Hamburg </v>
      </c>
      <c r="AC741" s="89" t="str">
        <f t="shared" si="63"/>
        <v xml:space="preserve">Hamburg </v>
      </c>
      <c r="AE741" s="42">
        <v>2006</v>
      </c>
      <c r="AK741" s="42">
        <v>4</v>
      </c>
      <c r="AL741" s="42">
        <v>0</v>
      </c>
      <c r="AW741" s="89" t="str">
        <v>GROUP_STAGE</v>
      </c>
      <c r="BE741" s="43" t="str">
        <f>IF(OR(DATA_CLEANED!AL732="",DATA_CLEANED!AM732=""),"MANQUANT",IF(OR(NOT(ISNUMBER(DATA_CLEANED!AL732)),NOT(ISNUMBER(DATA_CLEANED!AM732))),"ENTREE INVALIDE",IF(OR(DATA_CLEANED!AL732&lt;0,DATA_CLEANED!AM732&lt;0),"SCORE NEGATIF","OK")))</f>
        <v>OK</v>
      </c>
      <c r="BF741" s="43" t="str">
        <f>IF(DATA_CLEANED!AK732&lt;&gt;DATA_CLEANED!AN732,"OK","ERREUR")</f>
        <v>OK</v>
      </c>
      <c r="BG741" s="43" t="str">
        <f>IF(DATA_CLEANED!AL732&gt;DATA_CLEANED!AM732,DATA_CLEANED!AK732,IF(AND(DATA_QUALITE!W5218="-",DATA_CLEANED!AM732=DATA_CLEANED!AL732),"MATCH NUL",IF(AND(DATA_QUALITE!V5218="-",DATA_QUALITE!U5218="AUCUNE"),DATA_QUALITE!T5218,IF(DATA_QUALITE!V5218&lt;&gt;"-",DATA_QUALITE!V5218,DATA_CLEANED!AN732))))</f>
        <v>MATCH NUL</v>
      </c>
      <c r="BH741" s="103" t="str">
        <f>IF(AND(BG741="MATCH NUL",DATA_CLEANED!AO732="-"),"MATCH_NUL",IF(ISNUMBER(SEARCH("win on penalties",W5218)),"WIN_BY_PENALTY",IF(ISNUMBER(SEARCH("win after extra time",W5218)),"WIN_BY_EXTRA_TIME",IF(ISNUMBER(SEARCH("Golden Goal",W5218)),"WIN_BY_GOLDEN_GOAL","WIN_BY_SCORE"))))</f>
        <v>MATCH_NUL</v>
      </c>
      <c r="BI741" s="99" t="str">
        <f>IF(OR(BG741=DATA_CLEANED!AK732,BG741=DATA_CLEANED!AN732,BG741="MATCH NUL"),"OK","ERREUR")</f>
        <v>OK</v>
      </c>
    </row>
    <row r="742" spans="2:61">
      <c r="B742" s="75">
        <v>305</v>
      </c>
      <c r="C742" s="15" t="str">
        <v>John McGinn</v>
      </c>
      <c r="D742" s="15">
        <v>31</v>
      </c>
      <c r="E742" s="15" t="str">
        <v>Scotland</v>
      </c>
      <c r="F742" s="15" t="str">
        <v>CAM</v>
      </c>
      <c r="G742" s="15" t="str">
        <v>Aston Villa</v>
      </c>
      <c r="H742" s="15">
        <v>7</v>
      </c>
      <c r="I742" s="15" t="str">
        <f t="shared" si="64"/>
        <v>305|John McGinn|31|Scotland|CAM|Aston Villa|7</v>
      </c>
      <c r="J742" s="15" t="str">
        <f>IF(COUNTIF(I$438:I742,I742)&gt;1,"DOUBLON","OK")</f>
        <v>OK</v>
      </c>
      <c r="S742" s="30" t="str">
        <v>Morocco</v>
      </c>
      <c r="T742" s="30" t="str">
        <f t="shared" si="65"/>
        <v>OK</v>
      </c>
      <c r="U742" s="30" t="str">
        <f t="shared" si="66"/>
        <v>-</v>
      </c>
      <c r="V742" s="30" t="str" cm="1">
        <f t="array" ref="V742">_xlfn.IFS(
ISNUMBER(SEARCH("USA",S742)),"United States",
ISNUMBER(SEARCH("Republic of Korea",S742)),"South Korea",
ISNUMBER(SEARCH("Cape Verde",S742)),"Cabo Verde",
ISNUMBER(SEARCH("Czechia",S742)),"Czech Republic",
ISNUMBER(SEARCH("Türkiye",S742)),"Turkey",
ISNUMBER(SEARCH("Ivory Coast",S742)),"Côte d'Ivoire",
ISNUMBER(SEARCH("Korea Republic",S742)),"South Korea",
ISNUMBER(SEARCH("Germany FR",S742)),"FR Germany",
ISNUMBER(SEARCH("West Germany",S742)),"FR Germany",
ISNUMBER(SEARCH("Germany DR",S742)),"DR Germany",
ISNUMBER(SEARCH("Korea DPR",S742)),"North Korea",
ISNUMBER(SEARCH("China PR",S742)),"China",
ISNUMBER(SEARCH("IR Iran",S742)),"Iran",
ISNUMBER(SEARCH("Congo DR",S742)),"Democratic Republic of the Congo",
ISNUMBER(SEARCH("DR Congo",S742)),"Democratic Republic of the Congo",
ISNUMBER(SEARCH("German DR",S742)),"DR Germany",
ISNUMBER(SEARCH("rn""&gt;United Arab Emirates",S742)),"United Arab Emirates",
ISNUMBER(SEARCH("rn""&gt;Republic of Ireland",S742)),"Ireland",
ISNUMBER(SEARCH("rn""&gt;Bosnia and Herzegovina",S742)),"Bosnia and Herzegovina",
ISNUMBER(SEARCH("rn""&gt;Trinidad and Tobago",S742)),"Trinidad and Tobago",
ISNUMBER(SEARCH("rn""&gt;Serbia and Montenegro",S742)),"Serbia and Montenegro",
ISNUMBER(SEARCH(_xlfn.UNICHAR(65533),S742)),"Côte d'Ivoire",
TRUE,""
)</f>
        <v/>
      </c>
      <c r="W742" s="30" t="str">
        <f t="shared" si="67"/>
        <v>Morocco</v>
      </c>
      <c r="Z742" s="40" t="str">
        <v>FIFA World Cup Stadium, Gelsenkirchen</v>
      </c>
      <c r="AA742" s="40" t="str" cm="1">
        <f t="array" ref="AA742">IFERROR(_xlfn.XLOOKUP(Z742,_xlfn.ANCHORARRAY(Z$31),AA$31:AA$37),Z742)</f>
        <v>FIFA World Cup Stadium, Gelsenkirchen</v>
      </c>
      <c r="AB742" s="42" t="str">
        <v xml:space="preserve">Gelsenkirchen </v>
      </c>
      <c r="AC742" s="89" t="str">
        <f t="shared" si="63"/>
        <v xml:space="preserve">Gelsenkirchen </v>
      </c>
      <c r="AE742" s="42">
        <v>2006</v>
      </c>
      <c r="AK742" s="42">
        <v>2</v>
      </c>
      <c r="AL742" s="42">
        <v>2</v>
      </c>
      <c r="AW742" s="89" t="str">
        <v>GROUP_STAGE</v>
      </c>
      <c r="BE742" s="43" t="str">
        <f>IF(OR(DATA_CLEANED!AL733="",DATA_CLEANED!AM733=""),"MANQUANT",IF(OR(NOT(ISNUMBER(DATA_CLEANED!AL733)),NOT(ISNUMBER(DATA_CLEANED!AM733))),"ENTREE INVALIDE",IF(OR(DATA_CLEANED!AL733&lt;0,DATA_CLEANED!AM733&lt;0),"SCORE NEGATIF","OK")))</f>
        <v>OK</v>
      </c>
      <c r="BF742" s="43" t="str">
        <f>IF(DATA_CLEANED!AK733&lt;&gt;DATA_CLEANED!AN733,"OK","ERREUR")</f>
        <v>OK</v>
      </c>
      <c r="BG742" s="43" t="str">
        <f>IF(DATA_CLEANED!AL733&gt;DATA_CLEANED!AM733,DATA_CLEANED!AK733,IF(AND(DATA_QUALITE!W5219="-",DATA_CLEANED!AM733=DATA_CLEANED!AL733),"MATCH NUL",IF(AND(DATA_QUALITE!V5219="-",DATA_QUALITE!U5219="AUCUNE"),DATA_QUALITE!T5219,IF(DATA_QUALITE!V5219&lt;&gt;"-",DATA_QUALITE!V5219,DATA_CLEANED!AN733))))</f>
        <v>MATCH NUL</v>
      </c>
      <c r="BH742" s="103" t="str">
        <f>IF(AND(BG742="MATCH NUL",DATA_CLEANED!AO733="-"),"MATCH_NUL",IF(ISNUMBER(SEARCH("win on penalties",W5219)),"WIN_BY_PENALTY",IF(ISNUMBER(SEARCH("win after extra time",W5219)),"WIN_BY_EXTRA_TIME",IF(ISNUMBER(SEARCH("Golden Goal",W5219)),"WIN_BY_GOLDEN_GOAL","WIN_BY_SCORE"))))</f>
        <v>MATCH_NUL</v>
      </c>
      <c r="BI742" s="99" t="str">
        <f>IF(OR(BG742=DATA_CLEANED!AK733,BG742=DATA_CLEANED!AN733,BG742="MATCH NUL"),"OK","ERREUR")</f>
        <v>OK</v>
      </c>
    </row>
    <row r="743" spans="2:61">
      <c r="B743" s="75">
        <v>306</v>
      </c>
      <c r="C743" s="15" t="str">
        <v>Ben Gannon-Doak</v>
      </c>
      <c r="D743" s="15">
        <v>20</v>
      </c>
      <c r="E743" s="15" t="str">
        <v>Scotland</v>
      </c>
      <c r="F743" s="15" t="str">
        <v>LW</v>
      </c>
      <c r="G743" s="15" t="str">
        <v>Bournemouth</v>
      </c>
      <c r="H743" s="15">
        <v>17</v>
      </c>
      <c r="I743" s="15" t="str">
        <f t="shared" si="64"/>
        <v>306|Ben Gannon-Doak|20|Scotland|LW|Bournemouth|17</v>
      </c>
      <c r="J743" s="15" t="str">
        <f>IF(COUNTIF(I$438:I743,I743)&gt;1,"DOUBLON","OK")</f>
        <v>OK</v>
      </c>
      <c r="S743" s="30" t="str">
        <v>Morocco</v>
      </c>
      <c r="T743" s="30" t="str">
        <f t="shared" si="65"/>
        <v>OK</v>
      </c>
      <c r="U743" s="30" t="str">
        <f t="shared" si="66"/>
        <v>-</v>
      </c>
      <c r="V743" s="30" t="str" cm="1">
        <f t="array" ref="V743">_xlfn.IFS(
ISNUMBER(SEARCH("USA",S743)),"United States",
ISNUMBER(SEARCH("Republic of Korea",S743)),"South Korea",
ISNUMBER(SEARCH("Cape Verde",S743)),"Cabo Verde",
ISNUMBER(SEARCH("Czechia",S743)),"Czech Republic",
ISNUMBER(SEARCH("Türkiye",S743)),"Turkey",
ISNUMBER(SEARCH("Ivory Coast",S743)),"Côte d'Ivoire",
ISNUMBER(SEARCH("Korea Republic",S743)),"South Korea",
ISNUMBER(SEARCH("Germany FR",S743)),"FR Germany",
ISNUMBER(SEARCH("West Germany",S743)),"FR Germany",
ISNUMBER(SEARCH("Germany DR",S743)),"DR Germany",
ISNUMBER(SEARCH("Korea DPR",S743)),"North Korea",
ISNUMBER(SEARCH("China PR",S743)),"China",
ISNUMBER(SEARCH("IR Iran",S743)),"Iran",
ISNUMBER(SEARCH("Congo DR",S743)),"Democratic Republic of the Congo",
ISNUMBER(SEARCH("DR Congo",S743)),"Democratic Republic of the Congo",
ISNUMBER(SEARCH("German DR",S743)),"DR Germany",
ISNUMBER(SEARCH("rn""&gt;United Arab Emirates",S743)),"United Arab Emirates",
ISNUMBER(SEARCH("rn""&gt;Republic of Ireland",S743)),"Ireland",
ISNUMBER(SEARCH("rn""&gt;Bosnia and Herzegovina",S743)),"Bosnia and Herzegovina",
ISNUMBER(SEARCH("rn""&gt;Trinidad and Tobago",S743)),"Trinidad and Tobago",
ISNUMBER(SEARCH("rn""&gt;Serbia and Montenegro",S743)),"Serbia and Montenegro",
ISNUMBER(SEARCH(_xlfn.UNICHAR(65533),S743)),"Côte d'Ivoire",
TRUE,""
)</f>
        <v/>
      </c>
      <c r="W743" s="30" t="str">
        <f t="shared" si="67"/>
        <v>Morocco</v>
      </c>
      <c r="Z743" s="40" t="str">
        <v>FIFA World Cup Stadium, Frankfurt</v>
      </c>
      <c r="AA743" s="40" t="str" cm="1">
        <f t="array" ref="AA743">IFERROR(_xlfn.XLOOKUP(Z743,_xlfn.ANCHORARRAY(Z$31),AA$31:AA$37),Z743)</f>
        <v>FIFA World Cup Stadium, Frankfurt</v>
      </c>
      <c r="AB743" s="42" t="str">
        <v xml:space="preserve">Frankfurt/Main </v>
      </c>
      <c r="AC743" s="89" t="str">
        <f t="shared" si="63"/>
        <v xml:space="preserve">Frankfurt/Main </v>
      </c>
      <c r="AE743" s="42">
        <v>2006</v>
      </c>
      <c r="AK743" s="42">
        <v>1</v>
      </c>
      <c r="AL743" s="42">
        <v>0</v>
      </c>
      <c r="AW743" s="89" t="str">
        <v>GROUP_STAGE</v>
      </c>
      <c r="BE743" s="43" t="str">
        <f>IF(OR(DATA_CLEANED!AL734="",DATA_CLEANED!AM734=""),"MANQUANT",IF(OR(NOT(ISNUMBER(DATA_CLEANED!AL734)),NOT(ISNUMBER(DATA_CLEANED!AM734))),"ENTREE INVALIDE",IF(OR(DATA_CLEANED!AL734&lt;0,DATA_CLEANED!AM734&lt;0),"SCORE NEGATIF","OK")))</f>
        <v>OK</v>
      </c>
      <c r="BF743" s="43" t="str">
        <f>IF(DATA_CLEANED!AK734&lt;&gt;DATA_CLEANED!AN734,"OK","ERREUR")</f>
        <v>OK</v>
      </c>
      <c r="BG743" s="43" t="str">
        <f>IF(DATA_CLEANED!AL734&gt;DATA_CLEANED!AM734,DATA_CLEANED!AK734,IF(AND(DATA_QUALITE!W5220="-",DATA_CLEANED!AM734=DATA_CLEANED!AL734),"MATCH NUL",IF(AND(DATA_QUALITE!V5220="-",DATA_QUALITE!U5220="AUCUNE"),DATA_QUALITE!T5220,IF(DATA_QUALITE!V5220&lt;&gt;"-",DATA_QUALITE!V5220,DATA_CLEANED!AN734))))</f>
        <v>Netherlands</v>
      </c>
      <c r="BH743" s="103" t="str">
        <f>IF(AND(BG743="MATCH NUL",DATA_CLEANED!AO734="-"),"MATCH_NUL",IF(ISNUMBER(SEARCH("win on penalties",W5220)),"WIN_BY_PENALTY",IF(ISNUMBER(SEARCH("win after extra time",W5220)),"WIN_BY_EXTRA_TIME",IF(ISNUMBER(SEARCH("Golden Goal",W5220)),"WIN_BY_GOLDEN_GOAL","WIN_BY_SCORE"))))</f>
        <v>WIN_BY_SCORE</v>
      </c>
      <c r="BI743" s="99" t="str">
        <f>IF(OR(BG743=DATA_CLEANED!AK734,BG743=DATA_CLEANED!AN734,BG743="MATCH NUL"),"OK","ERREUR")</f>
        <v>OK</v>
      </c>
    </row>
    <row r="744" spans="2:61">
      <c r="B744" s="75">
        <v>307</v>
      </c>
      <c r="C744" s="15" t="str">
        <v>Findlay Curtis</v>
      </c>
      <c r="D744" s="15">
        <v>20</v>
      </c>
      <c r="E744" s="15" t="str">
        <v>Scotland</v>
      </c>
      <c r="F744" s="15" t="str">
        <v>RW</v>
      </c>
      <c r="G744" s="15" t="str">
        <v>Kilmarnock</v>
      </c>
      <c r="H744" s="15">
        <v>25</v>
      </c>
      <c r="I744" s="15" t="str">
        <f t="shared" si="64"/>
        <v>307|Findlay Curtis|20|Scotland|RW|Kilmarnock|25</v>
      </c>
      <c r="J744" s="15" t="str">
        <f>IF(COUNTIF(I$438:I744,I744)&gt;1,"DOUBLON","OK")</f>
        <v>OK</v>
      </c>
      <c r="S744" s="30" t="str">
        <v>Morocco</v>
      </c>
      <c r="T744" s="30" t="str">
        <f t="shared" si="65"/>
        <v>OK</v>
      </c>
      <c r="U744" s="30" t="str">
        <f t="shared" si="66"/>
        <v>-</v>
      </c>
      <c r="V744" s="30" t="str" cm="1">
        <f t="array" ref="V744">_xlfn.IFS(
ISNUMBER(SEARCH("USA",S744)),"United States",
ISNUMBER(SEARCH("Republic of Korea",S744)),"South Korea",
ISNUMBER(SEARCH("Cape Verde",S744)),"Cabo Verde",
ISNUMBER(SEARCH("Czechia",S744)),"Czech Republic",
ISNUMBER(SEARCH("Türkiye",S744)),"Turkey",
ISNUMBER(SEARCH("Ivory Coast",S744)),"Côte d'Ivoire",
ISNUMBER(SEARCH("Korea Republic",S744)),"South Korea",
ISNUMBER(SEARCH("Germany FR",S744)),"FR Germany",
ISNUMBER(SEARCH("West Germany",S744)),"FR Germany",
ISNUMBER(SEARCH("Germany DR",S744)),"DR Germany",
ISNUMBER(SEARCH("Korea DPR",S744)),"North Korea",
ISNUMBER(SEARCH("China PR",S744)),"China",
ISNUMBER(SEARCH("IR Iran",S744)),"Iran",
ISNUMBER(SEARCH("Congo DR",S744)),"Democratic Republic of the Congo",
ISNUMBER(SEARCH("DR Congo",S744)),"Democratic Republic of the Congo",
ISNUMBER(SEARCH("German DR",S744)),"DR Germany",
ISNUMBER(SEARCH("rn""&gt;United Arab Emirates",S744)),"United Arab Emirates",
ISNUMBER(SEARCH("rn""&gt;Republic of Ireland",S744)),"Ireland",
ISNUMBER(SEARCH("rn""&gt;Bosnia and Herzegovina",S744)),"Bosnia and Herzegovina",
ISNUMBER(SEARCH("rn""&gt;Trinidad and Tobago",S744)),"Trinidad and Tobago",
ISNUMBER(SEARCH("rn""&gt;Serbia and Montenegro",S744)),"Serbia and Montenegro",
ISNUMBER(SEARCH(_xlfn.UNICHAR(65533),S744)),"Côte d'Ivoire",
TRUE,""
)</f>
        <v/>
      </c>
      <c r="W744" s="30" t="str">
        <f t="shared" si="67"/>
        <v>Morocco</v>
      </c>
      <c r="Z744" s="40" t="str">
        <v>FIFA World Cup Stadium, Dortmund</v>
      </c>
      <c r="AA744" s="40" t="str" cm="1">
        <f t="array" ref="AA744">IFERROR(_xlfn.XLOOKUP(Z744,_xlfn.ANCHORARRAY(Z$31),AA$31:AA$37),Z744)</f>
        <v>FIFA World Cup Stadium, Dortmund</v>
      </c>
      <c r="AB744" s="42" t="str">
        <v xml:space="preserve">Dortmund </v>
      </c>
      <c r="AC744" s="89" t="str">
        <f t="shared" si="63"/>
        <v xml:space="preserve">Dortmund </v>
      </c>
      <c r="AE744" s="42">
        <v>2006</v>
      </c>
      <c r="AK744" s="42">
        <v>3</v>
      </c>
      <c r="AL744" s="42">
        <v>0</v>
      </c>
      <c r="AW744" s="89" t="str">
        <v>GROUP_STAGE</v>
      </c>
      <c r="BE744" s="43" t="str">
        <f>IF(OR(DATA_CLEANED!AL735="",DATA_CLEANED!AM735=""),"MANQUANT",IF(OR(NOT(ISNUMBER(DATA_CLEANED!AL735)),NOT(ISNUMBER(DATA_CLEANED!AM735))),"ENTREE INVALIDE",IF(OR(DATA_CLEANED!AL735&lt;0,DATA_CLEANED!AM735&lt;0),"SCORE NEGATIF","OK")))</f>
        <v>OK</v>
      </c>
      <c r="BF744" s="43" t="str">
        <f>IF(DATA_CLEANED!AK735&lt;&gt;DATA_CLEANED!AN735,"OK","ERREUR")</f>
        <v>OK</v>
      </c>
      <c r="BG744" s="43" t="str">
        <f>IF(DATA_CLEANED!AL735&gt;DATA_CLEANED!AM735,DATA_CLEANED!AK735,IF(AND(DATA_QUALITE!W5221="-",DATA_CLEANED!AM735=DATA_CLEANED!AL735),"MATCH NUL",IF(AND(DATA_QUALITE!V5221="-",DATA_QUALITE!U5221="AUCUNE"),DATA_QUALITE!T5221,IF(DATA_QUALITE!V5221&lt;&gt;"-",DATA_QUALITE!V5221,DATA_CLEANED!AN735))))</f>
        <v>MATCH NUL</v>
      </c>
      <c r="BH744" s="103" t="str">
        <f>IF(AND(BG744="MATCH NUL",DATA_CLEANED!AO735="-"),"MATCH_NUL",IF(ISNUMBER(SEARCH("win on penalties",W5221)),"WIN_BY_PENALTY",IF(ISNUMBER(SEARCH("win after extra time",W5221)),"WIN_BY_EXTRA_TIME",IF(ISNUMBER(SEARCH("Golden Goal",W5221)),"WIN_BY_GOLDEN_GOAL","WIN_BY_SCORE"))))</f>
        <v>MATCH_NUL</v>
      </c>
      <c r="BI744" s="99" t="str">
        <f>IF(OR(BG744=DATA_CLEANED!AK735,BG744=DATA_CLEANED!AN735,BG744="MATCH NUL"),"OK","ERREUR")</f>
        <v>OK</v>
      </c>
    </row>
    <row r="745" spans="2:61">
      <c r="B745" s="75">
        <v>308</v>
      </c>
      <c r="C745" s="15" t="str">
        <v>Lyndon Dykes</v>
      </c>
      <c r="D745" s="15">
        <v>30</v>
      </c>
      <c r="E745" s="15" t="str">
        <v>Scotland</v>
      </c>
      <c r="F745" s="15" t="str">
        <v>ST</v>
      </c>
      <c r="G745" s="15" t="str">
        <v>Charlton Athletic</v>
      </c>
      <c r="H745" s="15">
        <v>9</v>
      </c>
      <c r="I745" s="15" t="str">
        <f t="shared" si="64"/>
        <v>308|Lyndon Dykes|30|Scotland|ST|Charlton Athletic|9</v>
      </c>
      <c r="J745" s="15" t="str">
        <f>IF(COUNTIF(I$438:I745,I745)&gt;1,"DOUBLON","OK")</f>
        <v>OK</v>
      </c>
      <c r="S745" s="30" t="str">
        <v>Morocco</v>
      </c>
      <c r="T745" s="30" t="str">
        <f t="shared" si="65"/>
        <v>OK</v>
      </c>
      <c r="U745" s="30" t="str">
        <f t="shared" si="66"/>
        <v>-</v>
      </c>
      <c r="V745" s="30" t="str" cm="1">
        <f t="array" ref="V745">_xlfn.IFS(
ISNUMBER(SEARCH("USA",S745)),"United States",
ISNUMBER(SEARCH("Republic of Korea",S745)),"South Korea",
ISNUMBER(SEARCH("Cape Verde",S745)),"Cabo Verde",
ISNUMBER(SEARCH("Czechia",S745)),"Czech Republic",
ISNUMBER(SEARCH("Türkiye",S745)),"Turkey",
ISNUMBER(SEARCH("Ivory Coast",S745)),"Côte d'Ivoire",
ISNUMBER(SEARCH("Korea Republic",S745)),"South Korea",
ISNUMBER(SEARCH("Germany FR",S745)),"FR Germany",
ISNUMBER(SEARCH("West Germany",S745)),"FR Germany",
ISNUMBER(SEARCH("Germany DR",S745)),"DR Germany",
ISNUMBER(SEARCH("Korea DPR",S745)),"North Korea",
ISNUMBER(SEARCH("China PR",S745)),"China",
ISNUMBER(SEARCH("IR Iran",S745)),"Iran",
ISNUMBER(SEARCH("Congo DR",S745)),"Democratic Republic of the Congo",
ISNUMBER(SEARCH("DR Congo",S745)),"Democratic Republic of the Congo",
ISNUMBER(SEARCH("German DR",S745)),"DR Germany",
ISNUMBER(SEARCH("rn""&gt;United Arab Emirates",S745)),"United Arab Emirates",
ISNUMBER(SEARCH("rn""&gt;Republic of Ireland",S745)),"Ireland",
ISNUMBER(SEARCH("rn""&gt;Bosnia and Herzegovina",S745)),"Bosnia and Herzegovina",
ISNUMBER(SEARCH("rn""&gt;Trinidad and Tobago",S745)),"Trinidad and Tobago",
ISNUMBER(SEARCH("rn""&gt;Serbia and Montenegro",S745)),"Serbia and Montenegro",
ISNUMBER(SEARCH(_xlfn.UNICHAR(65533),S745)),"Côte d'Ivoire",
TRUE,""
)</f>
        <v/>
      </c>
      <c r="W745" s="30" t="str">
        <f t="shared" si="67"/>
        <v>Morocco</v>
      </c>
      <c r="Z745" s="40" t="str">
        <v>FIFA World Cup Stadium, Munich</v>
      </c>
      <c r="AA745" s="40" t="str" cm="1">
        <f t="array" ref="AA745">IFERROR(_xlfn.XLOOKUP(Z745,_xlfn.ANCHORARRAY(Z$31),AA$31:AA$37),Z745)</f>
        <v>FIFA World Cup Stadium, Munich</v>
      </c>
      <c r="AB745" s="42" t="str">
        <v xml:space="preserve">Munich </v>
      </c>
      <c r="AC745" s="89" t="str">
        <f t="shared" ref="AC745:AC808" si="68">_xlfn.SINGLE(IFERROR(_xlfn.XLOOKUP(AB745,AB$31:AB$34,AC$31:AC$34),AB745))</f>
        <v xml:space="preserve">Munich </v>
      </c>
      <c r="AE745" s="42">
        <v>2006</v>
      </c>
      <c r="AK745" s="42">
        <v>2</v>
      </c>
      <c r="AL745" s="42">
        <v>0</v>
      </c>
      <c r="AW745" s="89" t="str">
        <v>GROUP_STAGE</v>
      </c>
      <c r="BE745" s="43" t="str">
        <f>IF(OR(DATA_CLEANED!AL736="",DATA_CLEANED!AM736=""),"MANQUANT",IF(OR(NOT(ISNUMBER(DATA_CLEANED!AL736)),NOT(ISNUMBER(DATA_CLEANED!AM736))),"ENTREE INVALIDE",IF(OR(DATA_CLEANED!AL736&lt;0,DATA_CLEANED!AM736&lt;0),"SCORE NEGATIF","OK")))</f>
        <v>OK</v>
      </c>
      <c r="BF745" s="43" t="str">
        <f>IF(DATA_CLEANED!AK736&lt;&gt;DATA_CLEANED!AN736,"OK","ERREUR")</f>
        <v>OK</v>
      </c>
      <c r="BG745" s="43" t="str">
        <f>IF(DATA_CLEANED!AL736&gt;DATA_CLEANED!AM736,DATA_CLEANED!AK736,IF(AND(DATA_QUALITE!W5222="-",DATA_CLEANED!AM736=DATA_CLEANED!AL736),"MATCH NUL",IF(AND(DATA_QUALITE!V5222="-",DATA_QUALITE!U5222="AUCUNE"),DATA_QUALITE!T5222,IF(DATA_QUALITE!V5222&lt;&gt;"-",DATA_QUALITE!V5222,DATA_CLEANED!AN736))))</f>
        <v>Denmark</v>
      </c>
      <c r="BH745" s="103" t="str">
        <f>IF(AND(BG745="MATCH NUL",DATA_CLEANED!AO736="-"),"MATCH_NUL",IF(ISNUMBER(SEARCH("win on penalties",W5222)),"WIN_BY_PENALTY",IF(ISNUMBER(SEARCH("win after extra time",W5222)),"WIN_BY_EXTRA_TIME",IF(ISNUMBER(SEARCH("Golden Goal",W5222)),"WIN_BY_GOLDEN_GOAL","WIN_BY_SCORE"))))</f>
        <v>WIN_BY_SCORE</v>
      </c>
      <c r="BI745" s="99" t="str">
        <f>IF(OR(BG745=DATA_CLEANED!AK736,BG745=DATA_CLEANED!AN736,BG745="MATCH NUL"),"OK","ERREUR")</f>
        <v>OK</v>
      </c>
    </row>
    <row r="746" spans="2:61">
      <c r="B746" s="75">
        <v>309</v>
      </c>
      <c r="C746" s="15" t="str">
        <v>Ché Adams</v>
      </c>
      <c r="D746" s="15">
        <v>29</v>
      </c>
      <c r="E746" s="15" t="str">
        <v>Scotland</v>
      </c>
      <c r="F746" s="15" t="str">
        <v>ST</v>
      </c>
      <c r="G746" s="15" t="str">
        <v>Torino</v>
      </c>
      <c r="H746" s="15">
        <v>10</v>
      </c>
      <c r="I746" s="15" t="str">
        <f t="shared" si="64"/>
        <v>309|Ché Adams|29|Scotland|ST|Torino|10</v>
      </c>
      <c r="J746" s="15" t="str">
        <f>IF(COUNTIF(I$438:I746,I746)&gt;1,"DOUBLON","OK")</f>
        <v>OK</v>
      </c>
      <c r="S746" s="30" t="str">
        <v>Morocco</v>
      </c>
      <c r="T746" s="30" t="str">
        <f t="shared" si="65"/>
        <v>OK</v>
      </c>
      <c r="U746" s="30" t="str">
        <f t="shared" si="66"/>
        <v>-</v>
      </c>
      <c r="V746" s="30" t="str" cm="1">
        <f t="array" ref="V746">_xlfn.IFS(
ISNUMBER(SEARCH("USA",S746)),"United States",
ISNUMBER(SEARCH("Republic of Korea",S746)),"South Korea",
ISNUMBER(SEARCH("Cape Verde",S746)),"Cabo Verde",
ISNUMBER(SEARCH("Czechia",S746)),"Czech Republic",
ISNUMBER(SEARCH("Türkiye",S746)),"Turkey",
ISNUMBER(SEARCH("Ivory Coast",S746)),"Côte d'Ivoire",
ISNUMBER(SEARCH("Korea Republic",S746)),"South Korea",
ISNUMBER(SEARCH("Germany FR",S746)),"FR Germany",
ISNUMBER(SEARCH("West Germany",S746)),"FR Germany",
ISNUMBER(SEARCH("Germany DR",S746)),"DR Germany",
ISNUMBER(SEARCH("Korea DPR",S746)),"North Korea",
ISNUMBER(SEARCH("China PR",S746)),"China",
ISNUMBER(SEARCH("IR Iran",S746)),"Iran",
ISNUMBER(SEARCH("Congo DR",S746)),"Democratic Republic of the Congo",
ISNUMBER(SEARCH("DR Congo",S746)),"Democratic Republic of the Congo",
ISNUMBER(SEARCH("German DR",S746)),"DR Germany",
ISNUMBER(SEARCH("rn""&gt;United Arab Emirates",S746)),"United Arab Emirates",
ISNUMBER(SEARCH("rn""&gt;Republic of Ireland",S746)),"Ireland",
ISNUMBER(SEARCH("rn""&gt;Bosnia and Herzegovina",S746)),"Bosnia and Herzegovina",
ISNUMBER(SEARCH("rn""&gt;Trinidad and Tobago",S746)),"Trinidad and Tobago",
ISNUMBER(SEARCH("rn""&gt;Serbia and Montenegro",S746)),"Serbia and Montenegro",
ISNUMBER(SEARCH(_xlfn.UNICHAR(65533),S746)),"Côte d'Ivoire",
TRUE,""
)</f>
        <v/>
      </c>
      <c r="W746" s="30" t="str">
        <f t="shared" si="67"/>
        <v>Morocco</v>
      </c>
      <c r="Z746" s="40" t="str">
        <v>Gottlieb-Daimler-Stadion</v>
      </c>
      <c r="AA746" s="40" t="str" cm="1">
        <f t="array" ref="AA746">IFERROR(_xlfn.XLOOKUP(Z746,_xlfn.ANCHORARRAY(Z$31),AA$31:AA$37),Z746)</f>
        <v>Gottlieb-Daimler-Stadion</v>
      </c>
      <c r="AB746" s="42" t="str">
        <v xml:space="preserve">Stuttgart </v>
      </c>
      <c r="AC746" s="89" t="str">
        <f t="shared" si="68"/>
        <v xml:space="preserve">Stuttgart </v>
      </c>
      <c r="AE746" s="42">
        <v>2006</v>
      </c>
      <c r="AK746" s="42">
        <v>1</v>
      </c>
      <c r="AL746" s="42">
        <v>0</v>
      </c>
      <c r="AW746" s="89" t="str">
        <v>GROUP_STAGE</v>
      </c>
      <c r="BE746" s="43" t="str">
        <f>IF(OR(DATA_CLEANED!AL737="",DATA_CLEANED!AM737=""),"MANQUANT",IF(OR(NOT(ISNUMBER(DATA_CLEANED!AL737)),NOT(ISNUMBER(DATA_CLEANED!AM737))),"ENTREE INVALIDE",IF(OR(DATA_CLEANED!AL737&lt;0,DATA_CLEANED!AM737&lt;0),"SCORE NEGATIF","OK")))</f>
        <v>OK</v>
      </c>
      <c r="BF746" s="43" t="str">
        <f>IF(DATA_CLEANED!AK737&lt;&gt;DATA_CLEANED!AN737,"OK","ERREUR")</f>
        <v>OK</v>
      </c>
      <c r="BG746" s="43" t="str">
        <f>IF(DATA_CLEANED!AL737&gt;DATA_CLEANED!AM737,DATA_CLEANED!AK737,IF(AND(DATA_QUALITE!W5223="-",DATA_CLEANED!AM737=DATA_CLEANED!AL737),"MATCH NUL",IF(AND(DATA_QUALITE!V5223="-",DATA_QUALITE!U5223="AUCUNE"),DATA_QUALITE!T5223,IF(DATA_QUALITE!V5223&lt;&gt;"-",DATA_QUALITE!V5223,DATA_CLEANED!AN737))))</f>
        <v>Paraguay</v>
      </c>
      <c r="BH746" s="103" t="str">
        <f>IF(AND(BG746="MATCH NUL",DATA_CLEANED!AO737="-"),"MATCH_NUL",IF(ISNUMBER(SEARCH("win on penalties",W5223)),"WIN_BY_PENALTY",IF(ISNUMBER(SEARCH("win after extra time",W5223)),"WIN_BY_EXTRA_TIME",IF(ISNUMBER(SEARCH("Golden Goal",W5223)),"WIN_BY_GOLDEN_GOAL","WIN_BY_SCORE"))))</f>
        <v>WIN_BY_SCORE</v>
      </c>
      <c r="BI746" s="99" t="str">
        <f>IF(OR(BG746=DATA_CLEANED!AK737,BG746=DATA_CLEANED!AN737,BG746="MATCH NUL"),"OK","ERREUR")</f>
        <v>OK</v>
      </c>
    </row>
    <row r="747" spans="2:61">
      <c r="B747" s="75">
        <v>310</v>
      </c>
      <c r="C747" s="15" t="str">
        <v>Ross Stewart</v>
      </c>
      <c r="D747" s="15">
        <v>29</v>
      </c>
      <c r="E747" s="15" t="str">
        <v>Scotland</v>
      </c>
      <c r="F747" s="15" t="str">
        <v>ST</v>
      </c>
      <c r="G747" s="15" t="str">
        <v>Southampton</v>
      </c>
      <c r="H747" s="15">
        <v>14</v>
      </c>
      <c r="I747" s="15" t="str">
        <f t="shared" si="64"/>
        <v>310|Ross Stewart|29|Scotland|ST|Southampton|14</v>
      </c>
      <c r="J747" s="15" t="str">
        <f>IF(COUNTIF(I$438:I747,I747)&gt;1,"DOUBLON","OK")</f>
        <v>OK</v>
      </c>
      <c r="S747" s="30" t="str">
        <v>Morocco</v>
      </c>
      <c r="T747" s="30" t="str">
        <f t="shared" si="65"/>
        <v>OK</v>
      </c>
      <c r="U747" s="30" t="str">
        <f t="shared" si="66"/>
        <v>-</v>
      </c>
      <c r="V747" s="30" t="str" cm="1">
        <f t="array" ref="V747">_xlfn.IFS(
ISNUMBER(SEARCH("USA",S747)),"United States",
ISNUMBER(SEARCH("Republic of Korea",S747)),"South Korea",
ISNUMBER(SEARCH("Cape Verde",S747)),"Cabo Verde",
ISNUMBER(SEARCH("Czechia",S747)),"Czech Republic",
ISNUMBER(SEARCH("Türkiye",S747)),"Turkey",
ISNUMBER(SEARCH("Ivory Coast",S747)),"Côte d'Ivoire",
ISNUMBER(SEARCH("Korea Republic",S747)),"South Korea",
ISNUMBER(SEARCH("Germany FR",S747)),"FR Germany",
ISNUMBER(SEARCH("West Germany",S747)),"FR Germany",
ISNUMBER(SEARCH("Germany DR",S747)),"DR Germany",
ISNUMBER(SEARCH("Korea DPR",S747)),"North Korea",
ISNUMBER(SEARCH("China PR",S747)),"China",
ISNUMBER(SEARCH("IR Iran",S747)),"Iran",
ISNUMBER(SEARCH("Congo DR",S747)),"Democratic Republic of the Congo",
ISNUMBER(SEARCH("DR Congo",S747)),"Democratic Republic of the Congo",
ISNUMBER(SEARCH("German DR",S747)),"DR Germany",
ISNUMBER(SEARCH("rn""&gt;United Arab Emirates",S747)),"United Arab Emirates",
ISNUMBER(SEARCH("rn""&gt;Republic of Ireland",S747)),"Ireland",
ISNUMBER(SEARCH("rn""&gt;Bosnia and Herzegovina",S747)),"Bosnia and Herzegovina",
ISNUMBER(SEARCH("rn""&gt;Trinidad and Tobago",S747)),"Trinidad and Tobago",
ISNUMBER(SEARCH("rn""&gt;Serbia and Montenegro",S747)),"Serbia and Montenegro",
ISNUMBER(SEARCH(_xlfn.UNICHAR(65533),S747)),"Côte d'Ivoire",
TRUE,""
)</f>
        <v/>
      </c>
      <c r="W747" s="30" t="str">
        <f t="shared" si="67"/>
        <v>Morocco</v>
      </c>
      <c r="Z747" s="40" t="str">
        <v>Olympiastadion</v>
      </c>
      <c r="AA747" s="40" t="str" cm="1">
        <f t="array" ref="AA747">IFERROR(_xlfn.XLOOKUP(Z747,_xlfn.ANCHORARRAY(Z$31),AA$31:AA$37),Z747)</f>
        <v>Olympiastadion</v>
      </c>
      <c r="AB747" s="42" t="str">
        <v xml:space="preserve">Berlin </v>
      </c>
      <c r="AC747" s="89" t="str">
        <f t="shared" si="68"/>
        <v xml:space="preserve">Berlin </v>
      </c>
      <c r="AE747" s="42">
        <v>2006</v>
      </c>
      <c r="AK747" s="42">
        <v>6</v>
      </c>
      <c r="AL747" s="42">
        <v>0</v>
      </c>
      <c r="AW747" s="89" t="str">
        <v>GROUP_STAGE</v>
      </c>
      <c r="BE747" s="43" t="str">
        <f>IF(OR(DATA_CLEANED!AL738="",DATA_CLEANED!AM738=""),"MANQUANT",IF(OR(NOT(ISNUMBER(DATA_CLEANED!AL738)),NOT(ISNUMBER(DATA_CLEANED!AM738))),"ENTREE INVALIDE",IF(OR(DATA_CLEANED!AL738&lt;0,DATA_CLEANED!AM738&lt;0),"SCORE NEGATIF","OK")))</f>
        <v>OK</v>
      </c>
      <c r="BF747" s="43" t="str">
        <f>IF(DATA_CLEANED!AK738&lt;&gt;DATA_CLEANED!AN738,"OK","ERREUR")</f>
        <v>OK</v>
      </c>
      <c r="BG747" s="43" t="str">
        <f>IF(DATA_CLEANED!AL738&gt;DATA_CLEANED!AM738,DATA_CLEANED!AK738,IF(AND(DATA_QUALITE!W5224="-",DATA_CLEANED!AM738=DATA_CLEANED!AL738),"MATCH NUL",IF(AND(DATA_QUALITE!V5224="-",DATA_QUALITE!U5224="AUCUNE"),DATA_QUALITE!T5224,IF(DATA_QUALITE!V5224&lt;&gt;"-",DATA_QUALITE!V5224,DATA_CLEANED!AN738))))</f>
        <v>MATCH NUL</v>
      </c>
      <c r="BH747" s="103" t="str">
        <f>IF(AND(BG747="MATCH NUL",DATA_CLEANED!AO738="-"),"MATCH_NUL",IF(ISNUMBER(SEARCH("win on penalties",W5224)),"WIN_BY_PENALTY",IF(ISNUMBER(SEARCH("win after extra time",W5224)),"WIN_BY_EXTRA_TIME",IF(ISNUMBER(SEARCH("Golden Goal",W5224)),"WIN_BY_GOLDEN_GOAL","WIN_BY_SCORE"))))</f>
        <v>MATCH_NUL</v>
      </c>
      <c r="BI747" s="99" t="str">
        <f>IF(OR(BG747=DATA_CLEANED!AK738,BG747=DATA_CLEANED!AN738,BG747="MATCH NUL"),"OK","ERREUR")</f>
        <v>OK</v>
      </c>
    </row>
    <row r="748" spans="2:61">
      <c r="B748" s="75">
        <v>311</v>
      </c>
      <c r="C748" s="15" t="str">
        <v>George Hirst</v>
      </c>
      <c r="D748" s="15">
        <v>27</v>
      </c>
      <c r="E748" s="15" t="str">
        <v>Scotland</v>
      </c>
      <c r="F748" s="15" t="str">
        <v>ST</v>
      </c>
      <c r="G748" s="15" t="str">
        <v>Ipswich Town</v>
      </c>
      <c r="H748" s="15">
        <v>18</v>
      </c>
      <c r="I748" s="15" t="str">
        <f t="shared" si="64"/>
        <v>311|George Hirst|27|Scotland|ST|Ipswich Town|18</v>
      </c>
      <c r="J748" s="15" t="str">
        <f>IF(COUNTIF(I$438:I748,I748)&gt;1,"DOUBLON","OK")</f>
        <v>OK</v>
      </c>
      <c r="S748" s="30" t="str">
        <v>Morocco</v>
      </c>
      <c r="T748" s="30" t="str">
        <f t="shared" si="65"/>
        <v>OK</v>
      </c>
      <c r="U748" s="30" t="str">
        <f t="shared" si="66"/>
        <v>-</v>
      </c>
      <c r="V748" s="30" t="str" cm="1">
        <f t="array" ref="V748">_xlfn.IFS(
ISNUMBER(SEARCH("USA",S748)),"United States",
ISNUMBER(SEARCH("Republic of Korea",S748)),"South Korea",
ISNUMBER(SEARCH("Cape Verde",S748)),"Cabo Verde",
ISNUMBER(SEARCH("Czechia",S748)),"Czech Republic",
ISNUMBER(SEARCH("Türkiye",S748)),"Turkey",
ISNUMBER(SEARCH("Ivory Coast",S748)),"Côte d'Ivoire",
ISNUMBER(SEARCH("Korea Republic",S748)),"South Korea",
ISNUMBER(SEARCH("Germany FR",S748)),"FR Germany",
ISNUMBER(SEARCH("West Germany",S748)),"FR Germany",
ISNUMBER(SEARCH("Germany DR",S748)),"DR Germany",
ISNUMBER(SEARCH("Korea DPR",S748)),"North Korea",
ISNUMBER(SEARCH("China PR",S748)),"China",
ISNUMBER(SEARCH("IR Iran",S748)),"Iran",
ISNUMBER(SEARCH("Congo DR",S748)),"Democratic Republic of the Congo",
ISNUMBER(SEARCH("DR Congo",S748)),"Democratic Republic of the Congo",
ISNUMBER(SEARCH("German DR",S748)),"DR Germany",
ISNUMBER(SEARCH("rn""&gt;United Arab Emirates",S748)),"United Arab Emirates",
ISNUMBER(SEARCH("rn""&gt;Republic of Ireland",S748)),"Ireland",
ISNUMBER(SEARCH("rn""&gt;Bosnia and Herzegovina",S748)),"Bosnia and Herzegovina",
ISNUMBER(SEARCH("rn""&gt;Trinidad and Tobago",S748)),"Trinidad and Tobago",
ISNUMBER(SEARCH("rn""&gt;Serbia and Montenegro",S748)),"Serbia and Montenegro",
ISNUMBER(SEARCH(_xlfn.UNICHAR(65533),S748)),"Côte d'Ivoire",
TRUE,""
)</f>
        <v/>
      </c>
      <c r="W748" s="30" t="str">
        <f t="shared" si="67"/>
        <v>Morocco</v>
      </c>
      <c r="Z748" s="40" t="str">
        <v>Soccer City Stadium</v>
      </c>
      <c r="AA748" s="40" t="str" cm="1">
        <f t="array" ref="AA748">IFERROR(_xlfn.XLOOKUP(Z748,_xlfn.ANCHORARRAY(Z$31),AA$31:AA$37),Z748)</f>
        <v>Soccer City Stadium</v>
      </c>
      <c r="AB748" s="42" t="str">
        <v xml:space="preserve">Johannesburg </v>
      </c>
      <c r="AC748" s="89" t="str">
        <f t="shared" si="68"/>
        <v xml:space="preserve">Johannesburg </v>
      </c>
      <c r="AE748" s="42">
        <v>2006</v>
      </c>
      <c r="AK748" s="42">
        <v>2</v>
      </c>
      <c r="AL748" s="42">
        <v>1</v>
      </c>
      <c r="AW748" s="89" t="str">
        <v>GROUP_STAGE</v>
      </c>
      <c r="BE748" s="43" t="str">
        <f>IF(OR(DATA_CLEANED!AL739="",DATA_CLEANED!AM739=""),"MANQUANT",IF(OR(NOT(ISNUMBER(DATA_CLEANED!AL739)),NOT(ISNUMBER(DATA_CLEANED!AM739))),"ENTREE INVALIDE",IF(OR(DATA_CLEANED!AL739&lt;0,DATA_CLEANED!AM739&lt;0),"SCORE NEGATIF","OK")))</f>
        <v>OK</v>
      </c>
      <c r="BF748" s="43" t="str">
        <f>IF(DATA_CLEANED!AK739&lt;&gt;DATA_CLEANED!AN739,"OK","ERREUR")</f>
        <v>OK</v>
      </c>
      <c r="BG748" s="43" t="str">
        <f>IF(DATA_CLEANED!AL739&gt;DATA_CLEANED!AM739,DATA_CLEANED!AK739,IF(AND(DATA_QUALITE!W5225="-",DATA_CLEANED!AM739=DATA_CLEANED!AL739),"MATCH NUL",IF(AND(DATA_QUALITE!V5225="-",DATA_QUALITE!U5225="AUCUNE"),DATA_QUALITE!T5225,IF(DATA_QUALITE!V5225&lt;&gt;"-",DATA_QUALITE!V5225,DATA_CLEANED!AN739))))</f>
        <v>Brazil</v>
      </c>
      <c r="BH748" s="103" t="str">
        <f>IF(AND(BG748="MATCH NUL",DATA_CLEANED!AO739="-"),"MATCH_NUL",IF(ISNUMBER(SEARCH("win on penalties",W5225)),"WIN_BY_PENALTY",IF(ISNUMBER(SEARCH("win after extra time",W5225)),"WIN_BY_EXTRA_TIME",IF(ISNUMBER(SEARCH("Golden Goal",W5225)),"WIN_BY_GOLDEN_GOAL","WIN_BY_SCORE"))))</f>
        <v>WIN_BY_SCORE</v>
      </c>
      <c r="BI748" s="99" t="str">
        <f>IF(OR(BG748=DATA_CLEANED!AK739,BG748=DATA_CLEANED!AN739,BG748="MATCH NUL"),"OK","ERREUR")</f>
        <v>OK</v>
      </c>
    </row>
    <row r="749" spans="2:61">
      <c r="B749" s="75">
        <v>312</v>
      </c>
      <c r="C749" s="15" t="str">
        <v>Lawrence Shankland</v>
      </c>
      <c r="D749" s="15">
        <v>30</v>
      </c>
      <c r="E749" s="15" t="str">
        <v>Scotland</v>
      </c>
      <c r="F749" s="15" t="str">
        <v>ST</v>
      </c>
      <c r="G749" s="15" t="str">
        <v>Heart of Midlothian</v>
      </c>
      <c r="H749" s="15">
        <v>20</v>
      </c>
      <c r="I749" s="15" t="str">
        <f t="shared" si="64"/>
        <v>312|Lawrence Shankland|30|Scotland|ST|Heart of Midlothian|20</v>
      </c>
      <c r="J749" s="15" t="str">
        <f>IF(COUNTIF(I$438:I749,I749)&gt;1,"DOUBLON","OK")</f>
        <v>OK</v>
      </c>
      <c r="S749" s="30" t="str">
        <v>Morocco</v>
      </c>
      <c r="T749" s="30" t="str">
        <f t="shared" si="65"/>
        <v>OK</v>
      </c>
      <c r="U749" s="30" t="str">
        <f t="shared" si="66"/>
        <v>-</v>
      </c>
      <c r="V749" s="30" t="str" cm="1">
        <f t="array" ref="V749">_xlfn.IFS(
ISNUMBER(SEARCH("USA",S749)),"United States",
ISNUMBER(SEARCH("Republic of Korea",S749)),"South Korea",
ISNUMBER(SEARCH("Cape Verde",S749)),"Cabo Verde",
ISNUMBER(SEARCH("Czechia",S749)),"Czech Republic",
ISNUMBER(SEARCH("Türkiye",S749)),"Turkey",
ISNUMBER(SEARCH("Ivory Coast",S749)),"Côte d'Ivoire",
ISNUMBER(SEARCH("Korea Republic",S749)),"South Korea",
ISNUMBER(SEARCH("Germany FR",S749)),"FR Germany",
ISNUMBER(SEARCH("West Germany",S749)),"FR Germany",
ISNUMBER(SEARCH("Germany DR",S749)),"DR Germany",
ISNUMBER(SEARCH("Korea DPR",S749)),"North Korea",
ISNUMBER(SEARCH("China PR",S749)),"China",
ISNUMBER(SEARCH("IR Iran",S749)),"Iran",
ISNUMBER(SEARCH("Congo DR",S749)),"Democratic Republic of the Congo",
ISNUMBER(SEARCH("DR Congo",S749)),"Democratic Republic of the Congo",
ISNUMBER(SEARCH("German DR",S749)),"DR Germany",
ISNUMBER(SEARCH("rn""&gt;United Arab Emirates",S749)),"United Arab Emirates",
ISNUMBER(SEARCH("rn""&gt;Republic of Ireland",S749)),"Ireland",
ISNUMBER(SEARCH("rn""&gt;Bosnia and Herzegovina",S749)),"Bosnia and Herzegovina",
ISNUMBER(SEARCH("rn""&gt;Trinidad and Tobago",S749)),"Trinidad and Tobago",
ISNUMBER(SEARCH("rn""&gt;Serbia and Montenegro",S749)),"Serbia and Montenegro",
ISNUMBER(SEARCH(_xlfn.UNICHAR(65533),S749)),"Côte d'Ivoire",
TRUE,""
)</f>
        <v/>
      </c>
      <c r="W749" s="30" t="str">
        <f t="shared" si="67"/>
        <v>Morocco</v>
      </c>
      <c r="Z749" s="40" t="str">
        <v>Cape Town Stadium</v>
      </c>
      <c r="AA749" s="40" t="str" cm="1">
        <f t="array" ref="AA749">IFERROR(_xlfn.XLOOKUP(Z749,_xlfn.ANCHORARRAY(Z$31),AA$31:AA$37),Z749)</f>
        <v>Cape Town Stadium</v>
      </c>
      <c r="AB749" s="42" t="str">
        <v xml:space="preserve">Cape Town </v>
      </c>
      <c r="AC749" s="89" t="str">
        <f t="shared" si="68"/>
        <v xml:space="preserve">Cape Town </v>
      </c>
      <c r="AE749" s="42">
        <v>2006</v>
      </c>
      <c r="AK749" s="42">
        <v>0</v>
      </c>
      <c r="AL749" s="42">
        <v>0</v>
      </c>
      <c r="AW749" s="89" t="str">
        <v>GROUP_STAGE</v>
      </c>
      <c r="BE749" s="43" t="str">
        <f>IF(OR(DATA_CLEANED!AL740="",DATA_CLEANED!AM740=""),"MANQUANT",IF(OR(NOT(ISNUMBER(DATA_CLEANED!AL740)),NOT(ISNUMBER(DATA_CLEANED!AM740))),"ENTREE INVALIDE",IF(OR(DATA_CLEANED!AL740&lt;0,DATA_CLEANED!AM740&lt;0),"SCORE NEGATIF","OK")))</f>
        <v>OK</v>
      </c>
      <c r="BF749" s="43" t="str">
        <f>IF(DATA_CLEANED!AK740&lt;&gt;DATA_CLEANED!AN740,"OK","ERREUR")</f>
        <v>OK</v>
      </c>
      <c r="BG749" s="43" t="str">
        <f>IF(DATA_CLEANED!AL740&gt;DATA_CLEANED!AM740,DATA_CLEANED!AK740,IF(AND(DATA_QUALITE!W5226="-",DATA_CLEANED!AM740=DATA_CLEANED!AL740),"MATCH NUL",IF(AND(DATA_QUALITE!V5226="-",DATA_QUALITE!U5226="AUCUNE"),DATA_QUALITE!T5226,IF(DATA_QUALITE!V5226&lt;&gt;"-",DATA_QUALITE!V5226,DATA_CLEANED!AN740))))</f>
        <v>Portugal</v>
      </c>
      <c r="BH749" s="103" t="str">
        <f>IF(AND(BG749="MATCH NUL",DATA_CLEANED!AO740="-"),"MATCH_NUL",IF(ISNUMBER(SEARCH("win on penalties",W5226)),"WIN_BY_PENALTY",IF(ISNUMBER(SEARCH("win after extra time",W5226)),"WIN_BY_EXTRA_TIME",IF(ISNUMBER(SEARCH("Golden Goal",W5226)),"WIN_BY_GOLDEN_GOAL","WIN_BY_SCORE"))))</f>
        <v>WIN_BY_SCORE</v>
      </c>
      <c r="BI749" s="99" t="str">
        <f>IF(OR(BG749=DATA_CLEANED!AK740,BG749=DATA_CLEANED!AN740,BG749="MATCH NUL"),"OK","ERREUR")</f>
        <v>OK</v>
      </c>
    </row>
    <row r="750" spans="2:61">
      <c r="B750" s="75">
        <v>313</v>
      </c>
      <c r="C750" s="15" t="str">
        <v>Gatito Fernández</v>
      </c>
      <c r="D750" s="15">
        <v>38</v>
      </c>
      <c r="E750" s="15" t="str">
        <v>Paraguay</v>
      </c>
      <c r="F750" s="15" t="str">
        <v>GK</v>
      </c>
      <c r="G750" s="15" t="str">
        <v>Cerro Porteño</v>
      </c>
      <c r="H750" s="15">
        <v>1</v>
      </c>
      <c r="I750" s="15" t="str">
        <f t="shared" si="64"/>
        <v>313|Gatito Fernández|38|Paraguay|GK|Cerro Porteño|1</v>
      </c>
      <c r="J750" s="15" t="str">
        <f>IF(COUNTIF(I$438:I750,I750)&gt;1,"DOUBLON","OK")</f>
        <v>OK</v>
      </c>
      <c r="S750" s="30" t="str">
        <v>Egypt</v>
      </c>
      <c r="T750" s="30" t="str">
        <f t="shared" si="65"/>
        <v>OK</v>
      </c>
      <c r="U750" s="30" t="str">
        <f t="shared" si="66"/>
        <v>-</v>
      </c>
      <c r="V750" s="30" t="str" cm="1">
        <f t="array" ref="V750">_xlfn.IFS(
ISNUMBER(SEARCH("USA",S750)),"United States",
ISNUMBER(SEARCH("Republic of Korea",S750)),"South Korea",
ISNUMBER(SEARCH("Cape Verde",S750)),"Cabo Verde",
ISNUMBER(SEARCH("Czechia",S750)),"Czech Republic",
ISNUMBER(SEARCH("Türkiye",S750)),"Turkey",
ISNUMBER(SEARCH("Ivory Coast",S750)),"Côte d'Ivoire",
ISNUMBER(SEARCH("Korea Republic",S750)),"South Korea",
ISNUMBER(SEARCH("Germany FR",S750)),"FR Germany",
ISNUMBER(SEARCH("West Germany",S750)),"FR Germany",
ISNUMBER(SEARCH("Germany DR",S750)),"DR Germany",
ISNUMBER(SEARCH("Korea DPR",S750)),"North Korea",
ISNUMBER(SEARCH("China PR",S750)),"China",
ISNUMBER(SEARCH("IR Iran",S750)),"Iran",
ISNUMBER(SEARCH("Congo DR",S750)),"Democratic Republic of the Congo",
ISNUMBER(SEARCH("DR Congo",S750)),"Democratic Republic of the Congo",
ISNUMBER(SEARCH("German DR",S750)),"DR Germany",
ISNUMBER(SEARCH("rn""&gt;United Arab Emirates",S750)),"United Arab Emirates",
ISNUMBER(SEARCH("rn""&gt;Republic of Ireland",S750)),"Ireland",
ISNUMBER(SEARCH("rn""&gt;Bosnia and Herzegovina",S750)),"Bosnia and Herzegovina",
ISNUMBER(SEARCH("rn""&gt;Trinidad and Tobago",S750)),"Trinidad and Tobago",
ISNUMBER(SEARCH("rn""&gt;Serbia and Montenegro",S750)),"Serbia and Montenegro",
ISNUMBER(SEARCH(_xlfn.UNICHAR(65533),S750)),"Côte d'Ivoire",
TRUE,""
)</f>
        <v/>
      </c>
      <c r="W750" s="30" t="str">
        <f t="shared" si="67"/>
        <v>Egypt</v>
      </c>
      <c r="Z750" s="40" t="str">
        <v>Port Elizabeth Stadium</v>
      </c>
      <c r="AA750" s="40" t="str" cm="1">
        <f t="array" ref="AA750">IFERROR(_xlfn.XLOOKUP(Z750,_xlfn.ANCHORARRAY(Z$31),AA$31:AA$37),Z750)</f>
        <v>Port Elizabeth Stadium</v>
      </c>
      <c r="AB750" s="42" t="str">
        <v xml:space="preserve">Nelson Mandela Bay/Port Elizabeth </v>
      </c>
      <c r="AC750" s="89" t="str">
        <f t="shared" si="68"/>
        <v xml:space="preserve">Nelson Mandela Bay/Port Elizabeth </v>
      </c>
      <c r="AE750" s="42">
        <v>2006</v>
      </c>
      <c r="AK750" s="42">
        <v>2</v>
      </c>
      <c r="AL750" s="42">
        <v>0</v>
      </c>
      <c r="AW750" s="89" t="str">
        <v>GROUP_STAGE</v>
      </c>
      <c r="BE750" s="43" t="str">
        <f>IF(OR(DATA_CLEANED!AL741="",DATA_CLEANED!AM741=""),"MANQUANT",IF(OR(NOT(ISNUMBER(DATA_CLEANED!AL741)),NOT(ISNUMBER(DATA_CLEANED!AM741))),"ENTREE INVALIDE",IF(OR(DATA_CLEANED!AL741&lt;0,DATA_CLEANED!AM741&lt;0),"SCORE NEGATIF","OK")))</f>
        <v>OK</v>
      </c>
      <c r="BF750" s="43" t="str">
        <f>IF(DATA_CLEANED!AK741&lt;&gt;DATA_CLEANED!AN741,"OK","ERREUR")</f>
        <v>OK</v>
      </c>
      <c r="BG750" s="43" t="str">
        <f>IF(DATA_CLEANED!AL741&gt;DATA_CLEANED!AM741,DATA_CLEANED!AK741,IF(AND(DATA_QUALITE!W5227="-",DATA_CLEANED!AM741=DATA_CLEANED!AL741),"MATCH NUL",IF(AND(DATA_QUALITE!V5227="-",DATA_QUALITE!U5227="AUCUNE"),DATA_QUALITE!T5227,IF(DATA_QUALITE!V5227&lt;&gt;"-",DATA_QUALITE!V5227,DATA_CLEANED!AN741))))</f>
        <v>Chile</v>
      </c>
      <c r="BH750" s="103" t="str">
        <f>IF(AND(BG750="MATCH NUL",DATA_CLEANED!AO741="-"),"MATCH_NUL",IF(ISNUMBER(SEARCH("win on penalties",W5227)),"WIN_BY_PENALTY",IF(ISNUMBER(SEARCH("win after extra time",W5227)),"WIN_BY_EXTRA_TIME",IF(ISNUMBER(SEARCH("Golden Goal",W5227)),"WIN_BY_GOLDEN_GOAL","WIN_BY_SCORE"))))</f>
        <v>WIN_BY_SCORE</v>
      </c>
      <c r="BI750" s="99" t="str">
        <f>IF(OR(BG750=DATA_CLEANED!AK741,BG750=DATA_CLEANED!AN741,BG750="MATCH NUL"),"OK","ERREUR")</f>
        <v>OK</v>
      </c>
    </row>
    <row r="751" spans="2:61">
      <c r="B751" s="75">
        <v>314</v>
      </c>
      <c r="C751" s="15" t="str">
        <v>Orlando Gill</v>
      </c>
      <c r="D751" s="15">
        <v>26</v>
      </c>
      <c r="E751" s="15" t="str">
        <v>Paraguay</v>
      </c>
      <c r="F751" s="15" t="str">
        <v>GK</v>
      </c>
      <c r="G751" s="15" t="str">
        <v>San Lorenzo</v>
      </c>
      <c r="H751" s="15">
        <v>12</v>
      </c>
      <c r="I751" s="15" t="str">
        <f t="shared" si="64"/>
        <v>314|Orlando Gill|26|Paraguay|GK|San Lorenzo|12</v>
      </c>
      <c r="J751" s="15" t="str">
        <f>IF(COUNTIF(I$438:I751,I751)&gt;1,"DOUBLON","OK")</f>
        <v>OK</v>
      </c>
      <c r="S751" s="30" t="str">
        <v>Egypt</v>
      </c>
      <c r="T751" s="30" t="str">
        <f t="shared" si="65"/>
        <v>OK</v>
      </c>
      <c r="U751" s="30" t="str">
        <f t="shared" si="66"/>
        <v>-</v>
      </c>
      <c r="V751" s="30" t="str" cm="1">
        <f t="array" ref="V751">_xlfn.IFS(
ISNUMBER(SEARCH("USA",S751)),"United States",
ISNUMBER(SEARCH("Republic of Korea",S751)),"South Korea",
ISNUMBER(SEARCH("Cape Verde",S751)),"Cabo Verde",
ISNUMBER(SEARCH("Czechia",S751)),"Czech Republic",
ISNUMBER(SEARCH("Türkiye",S751)),"Turkey",
ISNUMBER(SEARCH("Ivory Coast",S751)),"Côte d'Ivoire",
ISNUMBER(SEARCH("Korea Republic",S751)),"South Korea",
ISNUMBER(SEARCH("Germany FR",S751)),"FR Germany",
ISNUMBER(SEARCH("West Germany",S751)),"FR Germany",
ISNUMBER(SEARCH("Germany DR",S751)),"DR Germany",
ISNUMBER(SEARCH("Korea DPR",S751)),"North Korea",
ISNUMBER(SEARCH("China PR",S751)),"China",
ISNUMBER(SEARCH("IR Iran",S751)),"Iran",
ISNUMBER(SEARCH("Congo DR",S751)),"Democratic Republic of the Congo",
ISNUMBER(SEARCH("DR Congo",S751)),"Democratic Republic of the Congo",
ISNUMBER(SEARCH("German DR",S751)),"DR Germany",
ISNUMBER(SEARCH("rn""&gt;United Arab Emirates",S751)),"United Arab Emirates",
ISNUMBER(SEARCH("rn""&gt;Republic of Ireland",S751)),"Ireland",
ISNUMBER(SEARCH("rn""&gt;Bosnia and Herzegovina",S751)),"Bosnia and Herzegovina",
ISNUMBER(SEARCH("rn""&gt;Trinidad and Tobago",S751)),"Trinidad and Tobago",
ISNUMBER(SEARCH("rn""&gt;Serbia and Montenegro",S751)),"Serbia and Montenegro",
ISNUMBER(SEARCH(_xlfn.UNICHAR(65533),S751)),"Côte d'Ivoire",
TRUE,""
)</f>
        <v/>
      </c>
      <c r="W751" s="30" t="str">
        <f t="shared" si="67"/>
        <v>Egypt</v>
      </c>
      <c r="Z751" s="40" t="str">
        <v>Ellis Park Stadium</v>
      </c>
      <c r="AA751" s="40" t="str" cm="1">
        <f t="array" ref="AA751">IFERROR(_xlfn.XLOOKUP(Z751,_xlfn.ANCHORARRAY(Z$31),AA$31:AA$37),Z751)</f>
        <v>Ellis Park Stadium</v>
      </c>
      <c r="AB751" s="42" t="str">
        <v xml:space="preserve">Johannesburg </v>
      </c>
      <c r="AC751" s="89" t="str">
        <f t="shared" si="68"/>
        <v xml:space="preserve">Johannesburg </v>
      </c>
      <c r="AE751" s="42">
        <v>2006</v>
      </c>
      <c r="AK751" s="42">
        <v>0</v>
      </c>
      <c r="AL751" s="42">
        <v>2</v>
      </c>
      <c r="AW751" s="89" t="str">
        <v>GROUP_STAGE</v>
      </c>
      <c r="BE751" s="43" t="str">
        <f>IF(OR(DATA_CLEANED!AL742="",DATA_CLEANED!AM742=""),"MANQUANT",IF(OR(NOT(ISNUMBER(DATA_CLEANED!AL742)),NOT(ISNUMBER(DATA_CLEANED!AM742))),"ENTREE INVALIDE",IF(OR(DATA_CLEANED!AL742&lt;0,DATA_CLEANED!AM742&lt;0),"SCORE NEGATIF","OK")))</f>
        <v>OK</v>
      </c>
      <c r="BF751" s="43" t="str">
        <f>IF(DATA_CLEANED!AK742&lt;&gt;DATA_CLEANED!AN742,"OK","ERREUR")</f>
        <v>OK</v>
      </c>
      <c r="BG751" s="43" t="str">
        <f>IF(DATA_CLEANED!AL742&gt;DATA_CLEANED!AM742,DATA_CLEANED!AK742,IF(AND(DATA_QUALITE!W5228="-",DATA_CLEANED!AM742=DATA_CLEANED!AL742),"MATCH NUL",IF(AND(DATA_QUALITE!V5228="-",DATA_QUALITE!U5228="AUCUNE"),DATA_QUALITE!T5228,IF(DATA_QUALITE!V5228&lt;&gt;"-",DATA_QUALITE!V5228,DATA_CLEANED!AN742))))</f>
        <v>Spain</v>
      </c>
      <c r="BH751" s="103" t="str">
        <f>IF(AND(BG751="MATCH NUL",DATA_CLEANED!AO742="-"),"MATCH_NUL",IF(ISNUMBER(SEARCH("win on penalties",W5228)),"WIN_BY_PENALTY",IF(ISNUMBER(SEARCH("win after extra time",W5228)),"WIN_BY_EXTRA_TIME",IF(ISNUMBER(SEARCH("Golden Goal",W5228)),"WIN_BY_GOLDEN_GOAL","WIN_BY_SCORE"))))</f>
        <v>WIN_BY_SCORE</v>
      </c>
      <c r="BI751" s="99" t="str">
        <f>IF(OR(BG751=DATA_CLEANED!AK742,BG751=DATA_CLEANED!AN742,BG751="MATCH NUL"),"OK","ERREUR")</f>
        <v>OK</v>
      </c>
    </row>
    <row r="752" spans="2:61">
      <c r="B752" s="75">
        <v>315</v>
      </c>
      <c r="C752" s="15" t="str">
        <v>Gastón Olveira</v>
      </c>
      <c r="D752" s="15">
        <v>33</v>
      </c>
      <c r="E752" s="15" t="str">
        <v>Paraguay</v>
      </c>
      <c r="F752" s="15" t="str">
        <v>GK</v>
      </c>
      <c r="G752" s="15" t="str">
        <v>Olimpia</v>
      </c>
      <c r="H752" s="15">
        <v>22</v>
      </c>
      <c r="I752" s="15" t="str">
        <f t="shared" si="64"/>
        <v>315|Gastón Olveira|33|Paraguay|GK|Olimpia|22</v>
      </c>
      <c r="J752" s="15" t="str">
        <f>IF(COUNTIF(I$438:I752,I752)&gt;1,"DOUBLON","OK")</f>
        <v>OK</v>
      </c>
      <c r="S752" s="30" t="str">
        <v>Egypt</v>
      </c>
      <c r="T752" s="30" t="str">
        <f t="shared" si="65"/>
        <v>OK</v>
      </c>
      <c r="U752" s="30" t="str">
        <f t="shared" si="66"/>
        <v>-</v>
      </c>
      <c r="V752" s="30" t="str" cm="1">
        <f t="array" ref="V752">_xlfn.IFS(
ISNUMBER(SEARCH("USA",S752)),"United States",
ISNUMBER(SEARCH("Republic of Korea",S752)),"South Korea",
ISNUMBER(SEARCH("Cape Verde",S752)),"Cabo Verde",
ISNUMBER(SEARCH("Czechia",S752)),"Czech Republic",
ISNUMBER(SEARCH("Türkiye",S752)),"Turkey",
ISNUMBER(SEARCH("Ivory Coast",S752)),"Côte d'Ivoire",
ISNUMBER(SEARCH("Korea Republic",S752)),"South Korea",
ISNUMBER(SEARCH("Germany FR",S752)),"FR Germany",
ISNUMBER(SEARCH("West Germany",S752)),"FR Germany",
ISNUMBER(SEARCH("Germany DR",S752)),"DR Germany",
ISNUMBER(SEARCH("Korea DPR",S752)),"North Korea",
ISNUMBER(SEARCH("China PR",S752)),"China",
ISNUMBER(SEARCH("IR Iran",S752)),"Iran",
ISNUMBER(SEARCH("Congo DR",S752)),"Democratic Republic of the Congo",
ISNUMBER(SEARCH("DR Congo",S752)),"Democratic Republic of the Congo",
ISNUMBER(SEARCH("German DR",S752)),"DR Germany",
ISNUMBER(SEARCH("rn""&gt;United Arab Emirates",S752)),"United Arab Emirates",
ISNUMBER(SEARCH("rn""&gt;Republic of Ireland",S752)),"Ireland",
ISNUMBER(SEARCH("rn""&gt;Bosnia and Herzegovina",S752)),"Bosnia and Herzegovina",
ISNUMBER(SEARCH("rn""&gt;Trinidad and Tobago",S752)),"Trinidad and Tobago",
ISNUMBER(SEARCH("rn""&gt;Serbia and Montenegro",S752)),"Serbia and Montenegro",
ISNUMBER(SEARCH(_xlfn.UNICHAR(65533),S752)),"Côte d'Ivoire",
TRUE,""
)</f>
        <v/>
      </c>
      <c r="W752" s="30" t="str">
        <f t="shared" si="67"/>
        <v>Egypt</v>
      </c>
      <c r="Z752" s="40" t="str">
        <v>Royal Bafokeng Sports Palace</v>
      </c>
      <c r="AA752" s="40" t="str" cm="1">
        <f t="array" ref="AA752">IFERROR(_xlfn.XLOOKUP(Z752,_xlfn.ANCHORARRAY(Z$31),AA$31:AA$37),Z752)</f>
        <v>Royal Bafokeng Sports Palace</v>
      </c>
      <c r="AB752" s="42" t="str">
        <v xml:space="preserve">Phokeng </v>
      </c>
      <c r="AC752" s="89" t="str">
        <f t="shared" si="68"/>
        <v xml:space="preserve">Phokeng </v>
      </c>
      <c r="AE752" s="42">
        <v>2006</v>
      </c>
      <c r="AK752" s="42">
        <v>1</v>
      </c>
      <c r="AL752" s="42">
        <v>1</v>
      </c>
      <c r="AW752" s="89" t="str">
        <v>GROUP_STAGE</v>
      </c>
      <c r="BE752" s="43" t="str">
        <f>IF(OR(DATA_CLEANED!AL743="",DATA_CLEANED!AM743=""),"MANQUANT",IF(OR(NOT(ISNUMBER(DATA_CLEANED!AL743)),NOT(ISNUMBER(DATA_CLEANED!AM743))),"ENTREE INVALIDE",IF(OR(DATA_CLEANED!AL743&lt;0,DATA_CLEANED!AM743&lt;0),"SCORE NEGATIF","OK")))</f>
        <v>OK</v>
      </c>
      <c r="BF752" s="43" t="str">
        <f>IF(DATA_CLEANED!AK743&lt;&gt;DATA_CLEANED!AN743,"OK","ERREUR")</f>
        <v>OK</v>
      </c>
      <c r="BG752" s="43" t="str">
        <f>IF(DATA_CLEANED!AL743&gt;DATA_CLEANED!AM743,DATA_CLEANED!AK743,IF(AND(DATA_QUALITE!W5229="-",DATA_CLEANED!AM743=DATA_CLEANED!AL743),"MATCH NUL",IF(AND(DATA_QUALITE!V5229="-",DATA_QUALITE!U5229="AUCUNE"),DATA_QUALITE!T5229,IF(DATA_QUALITE!V5229&lt;&gt;"-",DATA_QUALITE!V5229,DATA_CLEANED!AN743))))</f>
        <v>Uruguay</v>
      </c>
      <c r="BH752" s="103" t="str">
        <f>IF(AND(BG752="MATCH NUL",DATA_CLEANED!AO743="-"),"MATCH_NUL",IF(ISNUMBER(SEARCH("win on penalties",W5229)),"WIN_BY_PENALTY",IF(ISNUMBER(SEARCH("win after extra time",W5229)),"WIN_BY_EXTRA_TIME",IF(ISNUMBER(SEARCH("Golden Goal",W5229)),"WIN_BY_GOLDEN_GOAL","WIN_BY_SCORE"))))</f>
        <v>WIN_BY_SCORE</v>
      </c>
      <c r="BI752" s="99" t="str">
        <f>IF(OR(BG752=DATA_CLEANED!AK743,BG752=DATA_CLEANED!AN743,BG752="MATCH NUL"),"OK","ERREUR")</f>
        <v>OK</v>
      </c>
    </row>
    <row r="753" spans="2:61">
      <c r="B753" s="75">
        <v>316</v>
      </c>
      <c r="C753" s="15" t="str">
        <v>Omar Alderete</v>
      </c>
      <c r="D753" s="15">
        <v>29</v>
      </c>
      <c r="E753" s="15" t="str">
        <v>Paraguay</v>
      </c>
      <c r="F753" s="15" t="str">
        <v>CB</v>
      </c>
      <c r="G753" s="15" t="str">
        <v>Sunderland</v>
      </c>
      <c r="H753" s="15">
        <v>3</v>
      </c>
      <c r="I753" s="15" t="str">
        <f t="shared" si="64"/>
        <v>316|Omar Alderete|29|Paraguay|CB|Sunderland|3</v>
      </c>
      <c r="J753" s="15" t="str">
        <f>IF(COUNTIF(I$438:I753,I753)&gt;1,"DOUBLON","OK")</f>
        <v>OK</v>
      </c>
      <c r="S753" s="30" t="str">
        <v>Egypt</v>
      </c>
      <c r="T753" s="30" t="str">
        <f t="shared" si="65"/>
        <v>OK</v>
      </c>
      <c r="U753" s="30" t="str">
        <f t="shared" si="66"/>
        <v>-</v>
      </c>
      <c r="V753" s="30" t="str" cm="1">
        <f t="array" ref="V753">_xlfn.IFS(
ISNUMBER(SEARCH("USA",S753)),"United States",
ISNUMBER(SEARCH("Republic of Korea",S753)),"South Korea",
ISNUMBER(SEARCH("Cape Verde",S753)),"Cabo Verde",
ISNUMBER(SEARCH("Czechia",S753)),"Czech Republic",
ISNUMBER(SEARCH("Türkiye",S753)),"Turkey",
ISNUMBER(SEARCH("Ivory Coast",S753)),"Côte d'Ivoire",
ISNUMBER(SEARCH("Korea Republic",S753)),"South Korea",
ISNUMBER(SEARCH("Germany FR",S753)),"FR Germany",
ISNUMBER(SEARCH("West Germany",S753)),"FR Germany",
ISNUMBER(SEARCH("Germany DR",S753)),"DR Germany",
ISNUMBER(SEARCH("Korea DPR",S753)),"North Korea",
ISNUMBER(SEARCH("China PR",S753)),"China",
ISNUMBER(SEARCH("IR Iran",S753)),"Iran",
ISNUMBER(SEARCH("Congo DR",S753)),"Democratic Republic of the Congo",
ISNUMBER(SEARCH("DR Congo",S753)),"Democratic Republic of the Congo",
ISNUMBER(SEARCH("German DR",S753)),"DR Germany",
ISNUMBER(SEARCH("rn""&gt;United Arab Emirates",S753)),"United Arab Emirates",
ISNUMBER(SEARCH("rn""&gt;Republic of Ireland",S753)),"Ireland",
ISNUMBER(SEARCH("rn""&gt;Bosnia and Herzegovina",S753)),"Bosnia and Herzegovina",
ISNUMBER(SEARCH("rn""&gt;Trinidad and Tobago",S753)),"Trinidad and Tobago",
ISNUMBER(SEARCH("rn""&gt;Serbia and Montenegro",S753)),"Serbia and Montenegro",
ISNUMBER(SEARCH(_xlfn.UNICHAR(65533),S753)),"Côte d'Ivoire",
TRUE,""
)</f>
        <v/>
      </c>
      <c r="W753" s="30" t="str">
        <f t="shared" si="67"/>
        <v>Egypt</v>
      </c>
      <c r="Z753" s="40" t="str">
        <v>Peter Mokaba Stadium</v>
      </c>
      <c r="AA753" s="40" t="str" cm="1">
        <f t="array" ref="AA753">IFERROR(_xlfn.XLOOKUP(Z753,_xlfn.ANCHORARRAY(Z$31),AA$31:AA$37),Z753)</f>
        <v>Peter Mokaba Stadium</v>
      </c>
      <c r="AB753" s="42" t="str">
        <v xml:space="preserve">Polokwane </v>
      </c>
      <c r="AC753" s="89" t="str">
        <f t="shared" si="68"/>
        <v xml:space="preserve">Polokwane </v>
      </c>
      <c r="AE753" s="42">
        <v>2006</v>
      </c>
      <c r="AK753" s="42">
        <v>0</v>
      </c>
      <c r="AL753" s="42">
        <v>0</v>
      </c>
      <c r="AW753" s="89" t="str">
        <v>GROUP_STAGE</v>
      </c>
      <c r="BE753" s="43" t="str">
        <f>IF(OR(DATA_CLEANED!AL744="",DATA_CLEANED!AM744=""),"MANQUANT",IF(OR(NOT(ISNUMBER(DATA_CLEANED!AL744)),NOT(ISNUMBER(DATA_CLEANED!AM744))),"ENTREE INVALIDE",IF(OR(DATA_CLEANED!AL744&lt;0,DATA_CLEANED!AM744&lt;0),"SCORE NEGATIF","OK")))</f>
        <v>OK</v>
      </c>
      <c r="BF753" s="43" t="str">
        <f>IF(DATA_CLEANED!AK744&lt;&gt;DATA_CLEANED!AN744,"OK","ERREUR")</f>
        <v>OK</v>
      </c>
      <c r="BG753" s="43" t="str">
        <f>IF(DATA_CLEANED!AL744&gt;DATA_CLEANED!AM744,DATA_CLEANED!AK744,IF(AND(DATA_QUALITE!W5230="-",DATA_CLEANED!AM744=DATA_CLEANED!AL744),"MATCH NUL",IF(AND(DATA_QUALITE!V5230="-",DATA_QUALITE!U5230="AUCUNE"),DATA_QUALITE!T5230,IF(DATA_QUALITE!V5230&lt;&gt;"-",DATA_QUALITE!V5230,DATA_CLEANED!AN744))))</f>
        <v>South Africa</v>
      </c>
      <c r="BH753" s="103" t="str">
        <f>IF(AND(BG753="MATCH NUL",DATA_CLEANED!AO744="-"),"MATCH_NUL",IF(ISNUMBER(SEARCH("win on penalties",W5230)),"WIN_BY_PENALTY",IF(ISNUMBER(SEARCH("win after extra time",W5230)),"WIN_BY_EXTRA_TIME",IF(ISNUMBER(SEARCH("Golden Goal",W5230)),"WIN_BY_GOLDEN_GOAL","WIN_BY_SCORE"))))</f>
        <v>WIN_BY_SCORE</v>
      </c>
      <c r="BI753" s="99" t="str">
        <f>IF(OR(BG753=DATA_CLEANED!AK744,BG753=DATA_CLEANED!AN744,BG753="MATCH NUL"),"OK","ERREUR")</f>
        <v>OK</v>
      </c>
    </row>
    <row r="754" spans="2:61">
      <c r="B754" s="75">
        <v>317</v>
      </c>
      <c r="C754" s="15" t="str">
        <v>Fabián Balbuena</v>
      </c>
      <c r="D754" s="15">
        <v>34</v>
      </c>
      <c r="E754" s="15" t="str">
        <v>Paraguay</v>
      </c>
      <c r="F754" s="15" t="str">
        <v>CB</v>
      </c>
      <c r="G754" s="15" t="str">
        <v>Grêmio</v>
      </c>
      <c r="H754" s="15">
        <v>5</v>
      </c>
      <c r="I754" s="15" t="str">
        <f t="shared" si="64"/>
        <v>317|Fabián Balbuena|34|Paraguay|CB|Grêmio|5</v>
      </c>
      <c r="J754" s="15" t="str">
        <f>IF(COUNTIF(I$438:I754,I754)&gt;1,"DOUBLON","OK")</f>
        <v>OK</v>
      </c>
      <c r="S754" s="30" t="str">
        <v>Egypt</v>
      </c>
      <c r="T754" s="30" t="str">
        <f t="shared" si="65"/>
        <v>OK</v>
      </c>
      <c r="U754" s="30" t="str">
        <f t="shared" si="66"/>
        <v>-</v>
      </c>
      <c r="V754" s="30" t="str" cm="1">
        <f t="array" ref="V754">_xlfn.IFS(
ISNUMBER(SEARCH("USA",S754)),"United States",
ISNUMBER(SEARCH("Republic of Korea",S754)),"South Korea",
ISNUMBER(SEARCH("Cape Verde",S754)),"Cabo Verde",
ISNUMBER(SEARCH("Czechia",S754)),"Czech Republic",
ISNUMBER(SEARCH("Türkiye",S754)),"Turkey",
ISNUMBER(SEARCH("Ivory Coast",S754)),"Côte d'Ivoire",
ISNUMBER(SEARCH("Korea Republic",S754)),"South Korea",
ISNUMBER(SEARCH("Germany FR",S754)),"FR Germany",
ISNUMBER(SEARCH("West Germany",S754)),"FR Germany",
ISNUMBER(SEARCH("Germany DR",S754)),"DR Germany",
ISNUMBER(SEARCH("Korea DPR",S754)),"North Korea",
ISNUMBER(SEARCH("China PR",S754)),"China",
ISNUMBER(SEARCH("IR Iran",S754)),"Iran",
ISNUMBER(SEARCH("Congo DR",S754)),"Democratic Republic of the Congo",
ISNUMBER(SEARCH("DR Congo",S754)),"Democratic Republic of the Congo",
ISNUMBER(SEARCH("German DR",S754)),"DR Germany",
ISNUMBER(SEARCH("rn""&gt;United Arab Emirates",S754)),"United Arab Emirates",
ISNUMBER(SEARCH("rn""&gt;Republic of Ireland",S754)),"Ireland",
ISNUMBER(SEARCH("rn""&gt;Bosnia and Herzegovina",S754)),"Bosnia and Herzegovina",
ISNUMBER(SEARCH("rn""&gt;Trinidad and Tobago",S754)),"Trinidad and Tobago",
ISNUMBER(SEARCH("rn""&gt;Serbia and Montenegro",S754)),"Serbia and Montenegro",
ISNUMBER(SEARCH(_xlfn.UNICHAR(65533),S754)),"Côte d'Ivoire",
TRUE,""
)</f>
        <v/>
      </c>
      <c r="W754" s="30" t="str">
        <f t="shared" si="67"/>
        <v>Egypt</v>
      </c>
      <c r="Z754" s="40" t="str">
        <v>Loftus Versfeld Stadium</v>
      </c>
      <c r="AA754" s="40" t="str" cm="1">
        <f t="array" ref="AA754">IFERROR(_xlfn.XLOOKUP(Z754,_xlfn.ANCHORARRAY(Z$31),AA$31:AA$37),Z754)</f>
        <v>Loftus Versfeld Stadium</v>
      </c>
      <c r="AB754" s="42" t="str">
        <v xml:space="preserve">Tshwane/Pretoria </v>
      </c>
      <c r="AC754" s="89" t="str">
        <f t="shared" si="68"/>
        <v xml:space="preserve">Tshwane/Pretoria </v>
      </c>
      <c r="AE754" s="42">
        <v>2006</v>
      </c>
      <c r="AK754" s="42">
        <v>2</v>
      </c>
      <c r="AL754" s="42">
        <v>0</v>
      </c>
      <c r="AW754" s="89" t="str">
        <v>GROUP_STAGE</v>
      </c>
      <c r="BE754" s="43" t="str">
        <f>IF(OR(DATA_CLEANED!AL745="",DATA_CLEANED!AM745=""),"MANQUANT",IF(OR(NOT(ISNUMBER(DATA_CLEANED!AL745)),NOT(ISNUMBER(DATA_CLEANED!AM745))),"ENTREE INVALIDE",IF(OR(DATA_CLEANED!AL745&lt;0,DATA_CLEANED!AM745&lt;0),"SCORE NEGATIF","OK")))</f>
        <v>OK</v>
      </c>
      <c r="BF754" s="43" t="str">
        <f>IF(DATA_CLEANED!AK745&lt;&gt;DATA_CLEANED!AN745,"OK","ERREUR")</f>
        <v>OK</v>
      </c>
      <c r="BG754" s="43" t="str">
        <f>IF(DATA_CLEANED!AL745&gt;DATA_CLEANED!AM745,DATA_CLEANED!AK745,IF(AND(DATA_QUALITE!W5231="-",DATA_CLEANED!AM745=DATA_CLEANED!AL745),"MATCH NUL",IF(AND(DATA_QUALITE!V5231="-",DATA_QUALITE!U5231="AUCUNE"),DATA_QUALITE!T5231,IF(DATA_QUALITE!V5231&lt;&gt;"-",DATA_QUALITE!V5231,DATA_CLEANED!AN745))))</f>
        <v>MATCH NUL</v>
      </c>
      <c r="BH754" s="103" t="str">
        <f>IF(AND(BG754="MATCH NUL",DATA_CLEANED!AO745="-"),"MATCH_NUL",IF(ISNUMBER(SEARCH("win on penalties",W5231)),"WIN_BY_PENALTY",IF(ISNUMBER(SEARCH("win after extra time",W5231)),"WIN_BY_EXTRA_TIME",IF(ISNUMBER(SEARCH("Golden Goal",W5231)),"WIN_BY_GOLDEN_GOAL","WIN_BY_SCORE"))))</f>
        <v>MATCH_NUL</v>
      </c>
      <c r="BI754" s="99" t="str">
        <f>IF(OR(BG754=DATA_CLEANED!AK745,BG754=DATA_CLEANED!AN745,BG754="MATCH NUL"),"OK","ERREUR")</f>
        <v>OK</v>
      </c>
    </row>
    <row r="755" spans="2:61">
      <c r="B755" s="75">
        <v>318</v>
      </c>
      <c r="C755" s="15" t="str">
        <v>José Canale</v>
      </c>
      <c r="D755" s="15">
        <v>29</v>
      </c>
      <c r="E755" s="15" t="str">
        <v>Paraguay</v>
      </c>
      <c r="F755" s="15" t="str">
        <v>CB</v>
      </c>
      <c r="G755" s="15" t="str">
        <v>Lanús</v>
      </c>
      <c r="H755" s="15">
        <v>13</v>
      </c>
      <c r="I755" s="15" t="str">
        <f t="shared" si="64"/>
        <v>318|José Canale|29|Paraguay|CB|Lanús|13</v>
      </c>
      <c r="J755" s="15" t="str">
        <f>IF(COUNTIF(I$438:I755,I755)&gt;1,"DOUBLON","OK")</f>
        <v>OK</v>
      </c>
      <c r="S755" s="30" t="str">
        <v>Egypt</v>
      </c>
      <c r="T755" s="30" t="str">
        <f t="shared" si="65"/>
        <v>OK</v>
      </c>
      <c r="U755" s="30" t="str">
        <f t="shared" si="66"/>
        <v>-</v>
      </c>
      <c r="V755" s="30" t="str" cm="1">
        <f t="array" ref="V755">_xlfn.IFS(
ISNUMBER(SEARCH("USA",S755)),"United States",
ISNUMBER(SEARCH("Republic of Korea",S755)),"South Korea",
ISNUMBER(SEARCH("Cape Verde",S755)),"Cabo Verde",
ISNUMBER(SEARCH("Czechia",S755)),"Czech Republic",
ISNUMBER(SEARCH("Türkiye",S755)),"Turkey",
ISNUMBER(SEARCH("Ivory Coast",S755)),"Côte d'Ivoire",
ISNUMBER(SEARCH("Korea Republic",S755)),"South Korea",
ISNUMBER(SEARCH("Germany FR",S755)),"FR Germany",
ISNUMBER(SEARCH("West Germany",S755)),"FR Germany",
ISNUMBER(SEARCH("Germany DR",S755)),"DR Germany",
ISNUMBER(SEARCH("Korea DPR",S755)),"North Korea",
ISNUMBER(SEARCH("China PR",S755)),"China",
ISNUMBER(SEARCH("IR Iran",S755)),"Iran",
ISNUMBER(SEARCH("Congo DR",S755)),"Democratic Republic of the Congo",
ISNUMBER(SEARCH("DR Congo",S755)),"Democratic Republic of the Congo",
ISNUMBER(SEARCH("German DR",S755)),"DR Germany",
ISNUMBER(SEARCH("rn""&gt;United Arab Emirates",S755)),"United Arab Emirates",
ISNUMBER(SEARCH("rn""&gt;Republic of Ireland",S755)),"Ireland",
ISNUMBER(SEARCH("rn""&gt;Bosnia and Herzegovina",S755)),"Bosnia and Herzegovina",
ISNUMBER(SEARCH("rn""&gt;Trinidad and Tobago",S755)),"Trinidad and Tobago",
ISNUMBER(SEARCH("rn""&gt;Serbia and Montenegro",S755)),"Serbia and Montenegro",
ISNUMBER(SEARCH(_xlfn.UNICHAR(65533),S755)),"Côte d'Ivoire",
TRUE,""
)</f>
        <v/>
      </c>
      <c r="W755" s="30" t="str">
        <f t="shared" si="67"/>
        <v>Egypt</v>
      </c>
      <c r="Z755" s="40" t="str">
        <v>Durban Stadium</v>
      </c>
      <c r="AA755" s="40" t="str" cm="1">
        <f t="array" ref="AA755">IFERROR(_xlfn.XLOOKUP(Z755,_xlfn.ANCHORARRAY(Z$31),AA$31:AA$37),Z755)</f>
        <v>Durban Stadium</v>
      </c>
      <c r="AB755" s="42" t="str">
        <v xml:space="preserve">Durban </v>
      </c>
      <c r="AC755" s="89" t="str">
        <f t="shared" si="68"/>
        <v xml:space="preserve">Durban </v>
      </c>
      <c r="AE755" s="42">
        <v>2006</v>
      </c>
      <c r="AK755" s="42">
        <v>1</v>
      </c>
      <c r="AL755" s="42">
        <v>1</v>
      </c>
      <c r="AW755" s="89" t="str">
        <v>GROUP_STAGE</v>
      </c>
      <c r="BE755" s="43" t="str">
        <f>IF(OR(DATA_CLEANED!AL746="",DATA_CLEANED!AM746=""),"MANQUANT",IF(OR(NOT(ISNUMBER(DATA_CLEANED!AL746)),NOT(ISNUMBER(DATA_CLEANED!AM746))),"ENTREE INVALIDE",IF(OR(DATA_CLEANED!AL746&lt;0,DATA_CLEANED!AM746&lt;0),"SCORE NEGATIF","OK")))</f>
        <v>OK</v>
      </c>
      <c r="BF755" s="43" t="str">
        <f>IF(DATA_CLEANED!AK746&lt;&gt;DATA_CLEANED!AN746,"OK","ERREUR")</f>
        <v>OK</v>
      </c>
      <c r="BG755" s="43" t="str">
        <f>IF(DATA_CLEANED!AL746&gt;DATA_CLEANED!AM746,DATA_CLEANED!AK746,IF(AND(DATA_QUALITE!W5232="-",DATA_CLEANED!AM746=DATA_CLEANED!AL746),"MATCH NUL",IF(AND(DATA_QUALITE!V5232="-",DATA_QUALITE!U5232="AUCUNE"),DATA_QUALITE!T5232,IF(DATA_QUALITE!V5232&lt;&gt;"-",DATA_QUALITE!V5232,DATA_CLEANED!AN746))))</f>
        <v>Argentina</v>
      </c>
      <c r="BH755" s="103" t="str">
        <f>IF(AND(BG755="MATCH NUL",DATA_CLEANED!AO746="-"),"MATCH_NUL",IF(ISNUMBER(SEARCH("win on penalties",W5232)),"WIN_BY_PENALTY",IF(ISNUMBER(SEARCH("win after extra time",W5232)),"WIN_BY_EXTRA_TIME",IF(ISNUMBER(SEARCH("Golden Goal",W5232)),"WIN_BY_GOLDEN_GOAL","WIN_BY_SCORE"))))</f>
        <v>WIN_BY_SCORE</v>
      </c>
      <c r="BI755" s="99" t="str">
        <f>IF(OR(BG755=DATA_CLEANED!AK746,BG755=DATA_CLEANED!AN746,BG755="MATCH NUL"),"OK","ERREUR")</f>
        <v>OK</v>
      </c>
    </row>
    <row r="756" spans="2:61">
      <c r="B756" s="75">
        <v>319</v>
      </c>
      <c r="C756" s="15" t="str">
        <v>Gustavo Gómez</v>
      </c>
      <c r="D756" s="15">
        <v>33</v>
      </c>
      <c r="E756" s="15" t="str">
        <v>Paraguay</v>
      </c>
      <c r="F756" s="15" t="str">
        <v>CB</v>
      </c>
      <c r="G756" s="15" t="str">
        <v>Palmeiras</v>
      </c>
      <c r="H756" s="15">
        <v>15</v>
      </c>
      <c r="I756" s="15" t="str">
        <f t="shared" si="64"/>
        <v>319|Gustavo Gómez|33|Paraguay|CB|Palmeiras|15</v>
      </c>
      <c r="J756" s="15" t="str">
        <f>IF(COUNTIF(I$438:I756,I756)&gt;1,"DOUBLON","OK")</f>
        <v>OK</v>
      </c>
      <c r="S756" s="30" t="str">
        <v>Egypt</v>
      </c>
      <c r="T756" s="30" t="str">
        <f t="shared" si="65"/>
        <v>OK</v>
      </c>
      <c r="U756" s="30" t="str">
        <f t="shared" si="66"/>
        <v>-</v>
      </c>
      <c r="V756" s="30" t="str" cm="1">
        <f t="array" ref="V756">_xlfn.IFS(
ISNUMBER(SEARCH("USA",S756)),"United States",
ISNUMBER(SEARCH("Republic of Korea",S756)),"South Korea",
ISNUMBER(SEARCH("Cape Verde",S756)),"Cabo Verde",
ISNUMBER(SEARCH("Czechia",S756)),"Czech Republic",
ISNUMBER(SEARCH("Türkiye",S756)),"Turkey",
ISNUMBER(SEARCH("Ivory Coast",S756)),"Côte d'Ivoire",
ISNUMBER(SEARCH("Korea Republic",S756)),"South Korea",
ISNUMBER(SEARCH("Germany FR",S756)),"FR Germany",
ISNUMBER(SEARCH("West Germany",S756)),"FR Germany",
ISNUMBER(SEARCH("Germany DR",S756)),"DR Germany",
ISNUMBER(SEARCH("Korea DPR",S756)),"North Korea",
ISNUMBER(SEARCH("China PR",S756)),"China",
ISNUMBER(SEARCH("IR Iran",S756)),"Iran",
ISNUMBER(SEARCH("Congo DR",S756)),"Democratic Republic of the Congo",
ISNUMBER(SEARCH("DR Congo",S756)),"Democratic Republic of the Congo",
ISNUMBER(SEARCH("German DR",S756)),"DR Germany",
ISNUMBER(SEARCH("rn""&gt;United Arab Emirates",S756)),"United Arab Emirates",
ISNUMBER(SEARCH("rn""&gt;Republic of Ireland",S756)),"Ireland",
ISNUMBER(SEARCH("rn""&gt;Bosnia and Herzegovina",S756)),"Bosnia and Herzegovina",
ISNUMBER(SEARCH("rn""&gt;Trinidad and Tobago",S756)),"Trinidad and Tobago",
ISNUMBER(SEARCH("rn""&gt;Serbia and Montenegro",S756)),"Serbia and Montenegro",
ISNUMBER(SEARCH(_xlfn.UNICHAR(65533),S756)),"Côte d'Ivoire",
TRUE,""
)</f>
        <v/>
      </c>
      <c r="W756" s="30" t="str">
        <f t="shared" si="67"/>
        <v>Egypt</v>
      </c>
      <c r="Z756" s="40" t="str">
        <v>Soccer City Stadium</v>
      </c>
      <c r="AA756" s="40" t="str" cm="1">
        <f t="array" ref="AA756">IFERROR(_xlfn.XLOOKUP(Z756,_xlfn.ANCHORARRAY(Z$31),AA$31:AA$37),Z756)</f>
        <v>Soccer City Stadium</v>
      </c>
      <c r="AB756" s="42" t="str">
        <v xml:space="preserve">Johannesburg </v>
      </c>
      <c r="AC756" s="89" t="str">
        <f t="shared" si="68"/>
        <v xml:space="preserve">Johannesburg </v>
      </c>
      <c r="AE756" s="42">
        <v>2006</v>
      </c>
      <c r="AK756" s="42">
        <v>0</v>
      </c>
      <c r="AL756" s="42">
        <v>2</v>
      </c>
      <c r="AW756" s="89" t="str">
        <v>GROUP_STAGE</v>
      </c>
      <c r="BE756" s="43" t="str">
        <f>IF(OR(DATA_CLEANED!AL747="",DATA_CLEANED!AM747=""),"MANQUANT",IF(OR(NOT(ISNUMBER(DATA_CLEANED!AL747)),NOT(ISNUMBER(DATA_CLEANED!AM747))),"ENTREE INVALIDE",IF(OR(DATA_CLEANED!AL747&lt;0,DATA_CLEANED!AM747&lt;0),"SCORE NEGATIF","OK")))</f>
        <v>OK</v>
      </c>
      <c r="BF756" s="43" t="str">
        <f>IF(DATA_CLEANED!AK747&lt;&gt;DATA_CLEANED!AN747,"OK","ERREUR")</f>
        <v>OK</v>
      </c>
      <c r="BG756" s="43" t="str">
        <f>IF(DATA_CLEANED!AL747&gt;DATA_CLEANED!AM747,DATA_CLEANED!AK747,IF(AND(DATA_QUALITE!W5233="-",DATA_CLEANED!AM747=DATA_CLEANED!AL747),"MATCH NUL",IF(AND(DATA_QUALITE!V5233="-",DATA_QUALITE!U5233="AUCUNE"),DATA_QUALITE!T5233,IF(DATA_QUALITE!V5233&lt;&gt;"-",DATA_QUALITE!V5233,DATA_CLEANED!AN747))))</f>
        <v>England</v>
      </c>
      <c r="BH756" s="103" t="str">
        <f>IF(AND(BG756="MATCH NUL",DATA_CLEANED!AO747="-"),"MATCH_NUL",IF(ISNUMBER(SEARCH("win on penalties",W5233)),"WIN_BY_PENALTY",IF(ISNUMBER(SEARCH("win after extra time",W5233)),"WIN_BY_EXTRA_TIME",IF(ISNUMBER(SEARCH("Golden Goal",W5233)),"WIN_BY_GOLDEN_GOAL","WIN_BY_SCORE"))))</f>
        <v>WIN_BY_SCORE</v>
      </c>
      <c r="BI756" s="99" t="str">
        <f>IF(OR(BG756=DATA_CLEANED!AK747,BG756=DATA_CLEANED!AN747,BG756="MATCH NUL"),"OK","ERREUR")</f>
        <v>OK</v>
      </c>
    </row>
    <row r="757" spans="2:61">
      <c r="B757" s="75">
        <v>320</v>
      </c>
      <c r="C757" s="15" t="str">
        <v>Alexandro Maidana</v>
      </c>
      <c r="D757" s="15">
        <v>20</v>
      </c>
      <c r="E757" s="15" t="str">
        <v>Paraguay</v>
      </c>
      <c r="F757" s="15" t="str">
        <v>CB</v>
      </c>
      <c r="G757" s="15" t="str">
        <v>Talleres</v>
      </c>
      <c r="H757" s="15">
        <v>26</v>
      </c>
      <c r="I757" s="15" t="str">
        <f t="shared" si="64"/>
        <v>320|Alexandro Maidana|20|Paraguay|CB|Talleres|26</v>
      </c>
      <c r="J757" s="15" t="str">
        <f>IF(COUNTIF(I$438:I757,I757)&gt;1,"DOUBLON","OK")</f>
        <v>OK</v>
      </c>
      <c r="S757" s="30" t="str">
        <v>Egypt</v>
      </c>
      <c r="T757" s="30" t="str">
        <f t="shared" si="65"/>
        <v>OK</v>
      </c>
      <c r="U757" s="30" t="str">
        <f t="shared" si="66"/>
        <v>-</v>
      </c>
      <c r="V757" s="30" t="str" cm="1">
        <f t="array" ref="V757">_xlfn.IFS(
ISNUMBER(SEARCH("USA",S757)),"United States",
ISNUMBER(SEARCH("Republic of Korea",S757)),"South Korea",
ISNUMBER(SEARCH("Cape Verde",S757)),"Cabo Verde",
ISNUMBER(SEARCH("Czechia",S757)),"Czech Republic",
ISNUMBER(SEARCH("Türkiye",S757)),"Turkey",
ISNUMBER(SEARCH("Ivory Coast",S757)),"Côte d'Ivoire",
ISNUMBER(SEARCH("Korea Republic",S757)),"South Korea",
ISNUMBER(SEARCH("Germany FR",S757)),"FR Germany",
ISNUMBER(SEARCH("West Germany",S757)),"FR Germany",
ISNUMBER(SEARCH("Germany DR",S757)),"DR Germany",
ISNUMBER(SEARCH("Korea DPR",S757)),"North Korea",
ISNUMBER(SEARCH("China PR",S757)),"China",
ISNUMBER(SEARCH("IR Iran",S757)),"Iran",
ISNUMBER(SEARCH("Congo DR",S757)),"Democratic Republic of the Congo",
ISNUMBER(SEARCH("DR Congo",S757)),"Democratic Republic of the Congo",
ISNUMBER(SEARCH("German DR",S757)),"DR Germany",
ISNUMBER(SEARCH("rn""&gt;United Arab Emirates",S757)),"United Arab Emirates",
ISNUMBER(SEARCH("rn""&gt;Republic of Ireland",S757)),"Ireland",
ISNUMBER(SEARCH("rn""&gt;Bosnia and Herzegovina",S757)),"Bosnia and Herzegovina",
ISNUMBER(SEARCH("rn""&gt;Trinidad and Tobago",S757)),"Trinidad and Tobago",
ISNUMBER(SEARCH("rn""&gt;Serbia and Montenegro",S757)),"Serbia and Montenegro",
ISNUMBER(SEARCH(_xlfn.UNICHAR(65533),S757)),"Côte d'Ivoire",
TRUE,""
)</f>
        <v/>
      </c>
      <c r="W757" s="30" t="str">
        <f t="shared" si="67"/>
        <v>Egypt</v>
      </c>
      <c r="Z757" s="40" t="str">
        <v>Free State Stadium</v>
      </c>
      <c r="AA757" s="40" t="str" cm="1">
        <f t="array" ref="AA757">IFERROR(_xlfn.XLOOKUP(Z757,_xlfn.ANCHORARRAY(Z$31),AA$31:AA$37),Z757)</f>
        <v>Free State Stadium</v>
      </c>
      <c r="AB757" s="42" t="str">
        <v xml:space="preserve">Mangaung/Bloemfontein </v>
      </c>
      <c r="AC757" s="89" t="str">
        <f t="shared" si="68"/>
        <v xml:space="preserve">Mangaung/Bloemfontein </v>
      </c>
      <c r="AE757" s="42">
        <v>2006</v>
      </c>
      <c r="AK757" s="42">
        <v>0</v>
      </c>
      <c r="AL757" s="42">
        <v>4</v>
      </c>
      <c r="AW757" s="89" t="str">
        <v>GROUP_STAGE</v>
      </c>
      <c r="BE757" s="43" t="str">
        <f>IF(OR(DATA_CLEANED!AL748="",DATA_CLEANED!AM748=""),"MANQUANT",IF(OR(NOT(ISNUMBER(DATA_CLEANED!AL748)),NOT(ISNUMBER(DATA_CLEANED!AM748))),"ENTREE INVALIDE",IF(OR(DATA_CLEANED!AL748&lt;0,DATA_CLEANED!AM748&lt;0),"SCORE NEGATIF","OK")))</f>
        <v>OK</v>
      </c>
      <c r="BF757" s="43" t="str">
        <f>IF(DATA_CLEANED!AK748&lt;&gt;DATA_CLEANED!AN748,"OK","ERREUR")</f>
        <v>OK</v>
      </c>
      <c r="BG757" s="43" t="str">
        <f>IF(DATA_CLEANED!AL748&gt;DATA_CLEANED!AM748,DATA_CLEANED!AK748,IF(AND(DATA_QUALITE!W5234="-",DATA_CLEANED!AM748=DATA_CLEANED!AL748),"MATCH NUL",IF(AND(DATA_QUALITE!V5234="-",DATA_QUALITE!U5234="AUCUNE"),DATA_QUALITE!T5234,IF(DATA_QUALITE!V5234&lt;&gt;"-",DATA_QUALITE!V5234,DATA_CLEANED!AN748))))</f>
        <v>United States</v>
      </c>
      <c r="BH757" s="103" t="str">
        <f>IF(AND(BG757="MATCH NUL",DATA_CLEANED!AO748="-"),"MATCH_NUL",IF(ISNUMBER(SEARCH("win on penalties",W5234)),"WIN_BY_PENALTY",IF(ISNUMBER(SEARCH("win after extra time",W5234)),"WIN_BY_EXTRA_TIME",IF(ISNUMBER(SEARCH("Golden Goal",W5234)),"WIN_BY_GOLDEN_GOAL","WIN_BY_SCORE"))))</f>
        <v>WIN_BY_SCORE</v>
      </c>
      <c r="BI757" s="99" t="str">
        <f>IF(OR(BG757=DATA_CLEANED!AK748,BG757=DATA_CLEANED!AN748,BG757="MATCH NUL"),"OK","ERREUR")</f>
        <v>OK</v>
      </c>
    </row>
    <row r="758" spans="2:61">
      <c r="B758" s="75">
        <v>321</v>
      </c>
      <c r="C758" s="15" t="str">
        <v>Júnior Alonso</v>
      </c>
      <c r="D758" s="15">
        <v>33</v>
      </c>
      <c r="E758" s="15" t="str">
        <v>Paraguay</v>
      </c>
      <c r="F758" s="15" t="str">
        <v>LB</v>
      </c>
      <c r="G758" s="15" t="str">
        <v>Atlético Mineiro</v>
      </c>
      <c r="H758" s="15">
        <v>6</v>
      </c>
      <c r="I758" s="15" t="str">
        <f t="shared" si="64"/>
        <v>321|Júnior Alonso|33|Paraguay|LB|Atlético Mineiro|6</v>
      </c>
      <c r="J758" s="15" t="str">
        <f>IF(COUNTIF(I$438:I758,I758)&gt;1,"DOUBLON","OK")</f>
        <v>OK</v>
      </c>
      <c r="S758" s="30" t="str">
        <v>Colombia</v>
      </c>
      <c r="T758" s="30" t="str">
        <f t="shared" si="65"/>
        <v>OK</v>
      </c>
      <c r="U758" s="30" t="str">
        <f t="shared" si="66"/>
        <v>-</v>
      </c>
      <c r="V758" s="30" t="str" cm="1">
        <f t="array" ref="V758">_xlfn.IFS(
ISNUMBER(SEARCH("USA",S758)),"United States",
ISNUMBER(SEARCH("Republic of Korea",S758)),"South Korea",
ISNUMBER(SEARCH("Cape Verde",S758)),"Cabo Verde",
ISNUMBER(SEARCH("Czechia",S758)),"Czech Republic",
ISNUMBER(SEARCH("Türkiye",S758)),"Turkey",
ISNUMBER(SEARCH("Ivory Coast",S758)),"Côte d'Ivoire",
ISNUMBER(SEARCH("Korea Republic",S758)),"South Korea",
ISNUMBER(SEARCH("Germany FR",S758)),"FR Germany",
ISNUMBER(SEARCH("West Germany",S758)),"FR Germany",
ISNUMBER(SEARCH("Germany DR",S758)),"DR Germany",
ISNUMBER(SEARCH("Korea DPR",S758)),"North Korea",
ISNUMBER(SEARCH("China PR",S758)),"China",
ISNUMBER(SEARCH("IR Iran",S758)),"Iran",
ISNUMBER(SEARCH("Congo DR",S758)),"Democratic Republic of the Congo",
ISNUMBER(SEARCH("DR Congo",S758)),"Democratic Republic of the Congo",
ISNUMBER(SEARCH("German DR",S758)),"DR Germany",
ISNUMBER(SEARCH("rn""&gt;United Arab Emirates",S758)),"United Arab Emirates",
ISNUMBER(SEARCH("rn""&gt;Republic of Ireland",S758)),"Ireland",
ISNUMBER(SEARCH("rn""&gt;Bosnia and Herzegovina",S758)),"Bosnia and Herzegovina",
ISNUMBER(SEARCH("rn""&gt;Trinidad and Tobago",S758)),"Trinidad and Tobago",
ISNUMBER(SEARCH("rn""&gt;Serbia and Montenegro",S758)),"Serbia and Montenegro",
ISNUMBER(SEARCH(_xlfn.UNICHAR(65533),S758)),"Côte d'Ivoire",
TRUE,""
)</f>
        <v/>
      </c>
      <c r="W758" s="30" t="str">
        <f t="shared" si="67"/>
        <v>Colombia</v>
      </c>
      <c r="Z758" s="40" t="str">
        <v>Cape Town Stadium</v>
      </c>
      <c r="AA758" s="40" t="str" cm="1">
        <f t="array" ref="AA758">IFERROR(_xlfn.XLOOKUP(Z758,_xlfn.ANCHORARRAY(Z$31),AA$31:AA$37),Z758)</f>
        <v>Cape Town Stadium</v>
      </c>
      <c r="AB758" s="42" t="str">
        <v xml:space="preserve">Cape Town </v>
      </c>
      <c r="AC758" s="89" t="str">
        <f t="shared" si="68"/>
        <v xml:space="preserve">Cape Town </v>
      </c>
      <c r="AE758" s="42">
        <v>2006</v>
      </c>
      <c r="AK758" s="42">
        <v>3</v>
      </c>
      <c r="AL758" s="42">
        <v>1</v>
      </c>
      <c r="AW758" s="89" t="str">
        <v>GROUP_STAGE</v>
      </c>
      <c r="BE758" s="43" t="str">
        <f>IF(OR(DATA_CLEANED!AL749="",DATA_CLEANED!AM749=""),"MANQUANT",IF(OR(NOT(ISNUMBER(DATA_CLEANED!AL749)),NOT(ISNUMBER(DATA_CLEANED!AM749))),"ENTREE INVALIDE",IF(OR(DATA_CLEANED!AL749&lt;0,DATA_CLEANED!AM749&lt;0),"SCORE NEGATIF","OK")))</f>
        <v>OK</v>
      </c>
      <c r="BF758" s="43" t="str">
        <f>IF(DATA_CLEANED!AK749&lt;&gt;DATA_CLEANED!AN749,"OK","ERREUR")</f>
        <v>OK</v>
      </c>
      <c r="BG758" s="43" t="str">
        <f>IF(DATA_CLEANED!AL749&gt;DATA_CLEANED!AM749,DATA_CLEANED!AK749,IF(AND(DATA_QUALITE!W5235="-",DATA_CLEANED!AM749=DATA_CLEANED!AL749),"MATCH NUL",IF(AND(DATA_QUALITE!V5235="-",DATA_QUALITE!U5235="AUCUNE"),DATA_QUALITE!T5235,IF(DATA_QUALITE!V5235&lt;&gt;"-",DATA_QUALITE!V5235,DATA_CLEANED!AN749))))</f>
        <v>Germany</v>
      </c>
      <c r="BH758" s="103" t="str">
        <f>IF(AND(BG758="MATCH NUL",DATA_CLEANED!AO749="-"),"MATCH_NUL",IF(ISNUMBER(SEARCH("win on penalties",W5235)),"WIN_BY_PENALTY",IF(ISNUMBER(SEARCH("win after extra time",W5235)),"WIN_BY_EXTRA_TIME",IF(ISNUMBER(SEARCH("Golden Goal",W5235)),"WIN_BY_GOLDEN_GOAL","WIN_BY_SCORE"))))</f>
        <v>WIN_BY_SCORE</v>
      </c>
      <c r="BI758" s="99" t="str">
        <f>IF(OR(BG758=DATA_CLEANED!AK749,BG758=DATA_CLEANED!AN749,BG758="MATCH NUL"),"OK","ERREUR")</f>
        <v>OK</v>
      </c>
    </row>
    <row r="759" spans="2:61">
      <c r="B759" s="75">
        <v>322</v>
      </c>
      <c r="C759" s="15" t="str">
        <v>Gustavo Velázquez</v>
      </c>
      <c r="D759" s="15">
        <v>35</v>
      </c>
      <c r="E759" s="15" t="str">
        <v>Paraguay</v>
      </c>
      <c r="F759" s="15" t="str">
        <v>RB</v>
      </c>
      <c r="G759" s="15" t="str">
        <v>Cerro Porteño</v>
      </c>
      <c r="H759" s="15">
        <v>2</v>
      </c>
      <c r="I759" s="15" t="str">
        <f t="shared" ref="I759:I822" si="69">B759&amp;"|"&amp;C759&amp;"|"&amp;D759&amp;"|"&amp;E759&amp;"|"&amp;F759&amp;"|"&amp;G759&amp;"|"&amp;H759</f>
        <v>322|Gustavo Velázquez|35|Paraguay|RB|Cerro Porteño|2</v>
      </c>
      <c r="J759" s="15" t="str">
        <f>IF(COUNTIF(I$438:I759,I759)&gt;1,"DOUBLON","OK")</f>
        <v>OK</v>
      </c>
      <c r="S759" s="30" t="str">
        <v>Colombia</v>
      </c>
      <c r="T759" s="30" t="str">
        <f t="shared" si="65"/>
        <v>OK</v>
      </c>
      <c r="U759" s="30" t="str">
        <f t="shared" si="66"/>
        <v>-</v>
      </c>
      <c r="V759" s="30" t="str" cm="1">
        <f t="array" ref="V759">_xlfn.IFS(
ISNUMBER(SEARCH("USA",S759)),"United States",
ISNUMBER(SEARCH("Republic of Korea",S759)),"South Korea",
ISNUMBER(SEARCH("Cape Verde",S759)),"Cabo Verde",
ISNUMBER(SEARCH("Czechia",S759)),"Czech Republic",
ISNUMBER(SEARCH("Türkiye",S759)),"Turkey",
ISNUMBER(SEARCH("Ivory Coast",S759)),"Côte d'Ivoire",
ISNUMBER(SEARCH("Korea Republic",S759)),"South Korea",
ISNUMBER(SEARCH("Germany FR",S759)),"FR Germany",
ISNUMBER(SEARCH("West Germany",S759)),"FR Germany",
ISNUMBER(SEARCH("Germany DR",S759)),"DR Germany",
ISNUMBER(SEARCH("Korea DPR",S759)),"North Korea",
ISNUMBER(SEARCH("China PR",S759)),"China",
ISNUMBER(SEARCH("IR Iran",S759)),"Iran",
ISNUMBER(SEARCH("Congo DR",S759)),"Democratic Republic of the Congo",
ISNUMBER(SEARCH("DR Congo",S759)),"Democratic Republic of the Congo",
ISNUMBER(SEARCH("German DR",S759)),"DR Germany",
ISNUMBER(SEARCH("rn""&gt;United Arab Emirates",S759)),"United Arab Emirates",
ISNUMBER(SEARCH("rn""&gt;Republic of Ireland",S759)),"Ireland",
ISNUMBER(SEARCH("rn""&gt;Bosnia and Herzegovina",S759)),"Bosnia and Herzegovina",
ISNUMBER(SEARCH("rn""&gt;Trinidad and Tobago",S759)),"Trinidad and Tobago",
ISNUMBER(SEARCH("rn""&gt;Serbia and Montenegro",S759)),"Serbia and Montenegro",
ISNUMBER(SEARCH(_xlfn.UNICHAR(65533),S759)),"Côte d'Ivoire",
TRUE,""
)</f>
        <v/>
      </c>
      <c r="W759" s="30" t="str">
        <f t="shared" si="67"/>
        <v>Colombia</v>
      </c>
      <c r="Z759" s="40" t="str">
        <v>Royal Bafokeng Sports Palace</v>
      </c>
      <c r="AA759" s="40" t="str" cm="1">
        <f t="array" ref="AA759">IFERROR(_xlfn.XLOOKUP(Z759,_xlfn.ANCHORARRAY(Z$31),AA$31:AA$37),Z759)</f>
        <v>Royal Bafokeng Sports Palace</v>
      </c>
      <c r="AB759" s="42" t="str">
        <v xml:space="preserve">Phokeng </v>
      </c>
      <c r="AC759" s="89" t="str">
        <f t="shared" si="68"/>
        <v xml:space="preserve">Phokeng </v>
      </c>
      <c r="AE759" s="42">
        <v>2006</v>
      </c>
      <c r="AK759" s="42">
        <v>0</v>
      </c>
      <c r="AL759" s="42">
        <v>3</v>
      </c>
      <c r="AW759" s="89" t="str">
        <v>GROUP_STAGE</v>
      </c>
      <c r="BE759" s="43" t="str">
        <f>IF(OR(DATA_CLEANED!AL750="",DATA_CLEANED!AM750=""),"MANQUANT",IF(OR(NOT(ISNUMBER(DATA_CLEANED!AL750)),NOT(ISNUMBER(DATA_CLEANED!AM750))),"ENTREE INVALIDE",IF(OR(DATA_CLEANED!AL750&lt;0,DATA_CLEANED!AM750&lt;0),"SCORE NEGATIF","OK")))</f>
        <v>OK</v>
      </c>
      <c r="BF759" s="43" t="str">
        <f>IF(DATA_CLEANED!AK750&lt;&gt;DATA_CLEANED!AN750,"OK","ERREUR")</f>
        <v>OK</v>
      </c>
      <c r="BG759" s="43" t="str">
        <f>IF(DATA_CLEANED!AL750&gt;DATA_CLEANED!AM750,DATA_CLEANED!AK750,IF(AND(DATA_QUALITE!W5236="-",DATA_CLEANED!AM750=DATA_CLEANED!AL750),"MATCH NUL",IF(AND(DATA_QUALITE!V5236="-",DATA_QUALITE!U5236="AUCUNE"),DATA_QUALITE!T5236,IF(DATA_QUALITE!V5236&lt;&gt;"-",DATA_QUALITE!V5236,DATA_CLEANED!AN750))))</f>
        <v>Australia</v>
      </c>
      <c r="BH759" s="103" t="str">
        <f>IF(AND(BG759="MATCH NUL",DATA_CLEANED!AO750="-"),"MATCH_NUL",IF(ISNUMBER(SEARCH("win on penalties",W5236)),"WIN_BY_PENALTY",IF(ISNUMBER(SEARCH("win after extra time",W5236)),"WIN_BY_EXTRA_TIME",IF(ISNUMBER(SEARCH("Golden Goal",W5236)),"WIN_BY_GOLDEN_GOAL","WIN_BY_SCORE"))))</f>
        <v>WIN_BY_SCORE</v>
      </c>
      <c r="BI759" s="99" t="str">
        <f>IF(OR(BG759=DATA_CLEANED!AK750,BG759=DATA_CLEANED!AN750,BG759="MATCH NUL"),"OK","ERREUR")</f>
        <v>OK</v>
      </c>
    </row>
    <row r="760" spans="2:61">
      <c r="B760" s="75">
        <v>323</v>
      </c>
      <c r="C760" s="15" t="str">
        <v>Juan José Cáceres</v>
      </c>
      <c r="D760" s="15">
        <v>26</v>
      </c>
      <c r="E760" s="15" t="str">
        <v>Paraguay</v>
      </c>
      <c r="F760" s="15" t="str">
        <v>RB</v>
      </c>
      <c r="G760" s="15" t="str">
        <v>Dynamo Moscow</v>
      </c>
      <c r="H760" s="15">
        <v>4</v>
      </c>
      <c r="I760" s="15" t="str">
        <f t="shared" si="69"/>
        <v>323|Juan José Cáceres|26|Paraguay|RB|Dynamo Moscow|4</v>
      </c>
      <c r="J760" s="15" t="str">
        <f>IF(COUNTIF(I$438:I760,I760)&gt;1,"DOUBLON","OK")</f>
        <v>OK</v>
      </c>
      <c r="S760" s="30" t="str">
        <v>Colombia</v>
      </c>
      <c r="T760" s="30" t="str">
        <f t="shared" si="65"/>
        <v>OK</v>
      </c>
      <c r="U760" s="30" t="str">
        <f t="shared" si="66"/>
        <v>-</v>
      </c>
      <c r="V760" s="30" t="str" cm="1">
        <f t="array" ref="V760">_xlfn.IFS(
ISNUMBER(SEARCH("USA",S760)),"United States",
ISNUMBER(SEARCH("Republic of Korea",S760)),"South Korea",
ISNUMBER(SEARCH("Cape Verde",S760)),"Cabo Verde",
ISNUMBER(SEARCH("Czechia",S760)),"Czech Republic",
ISNUMBER(SEARCH("Türkiye",S760)),"Turkey",
ISNUMBER(SEARCH("Ivory Coast",S760)),"Côte d'Ivoire",
ISNUMBER(SEARCH("Korea Republic",S760)),"South Korea",
ISNUMBER(SEARCH("Germany FR",S760)),"FR Germany",
ISNUMBER(SEARCH("West Germany",S760)),"FR Germany",
ISNUMBER(SEARCH("Germany DR",S760)),"DR Germany",
ISNUMBER(SEARCH("Korea DPR",S760)),"North Korea",
ISNUMBER(SEARCH("China PR",S760)),"China",
ISNUMBER(SEARCH("IR Iran",S760)),"Iran",
ISNUMBER(SEARCH("Congo DR",S760)),"Democratic Republic of the Congo",
ISNUMBER(SEARCH("DR Congo",S760)),"Democratic Republic of the Congo",
ISNUMBER(SEARCH("German DR",S760)),"DR Germany",
ISNUMBER(SEARCH("rn""&gt;United Arab Emirates",S760)),"United Arab Emirates",
ISNUMBER(SEARCH("rn""&gt;Republic of Ireland",S760)),"Ireland",
ISNUMBER(SEARCH("rn""&gt;Bosnia and Herzegovina",S760)),"Bosnia and Herzegovina",
ISNUMBER(SEARCH("rn""&gt;Trinidad and Tobago",S760)),"Trinidad and Tobago",
ISNUMBER(SEARCH("rn""&gt;Serbia and Montenegro",S760)),"Serbia and Montenegro",
ISNUMBER(SEARCH(_xlfn.UNICHAR(65533),S760)),"Côte d'Ivoire",
TRUE,""
)</f>
        <v/>
      </c>
      <c r="W760" s="30" t="str">
        <f t="shared" si="67"/>
        <v>Colombia</v>
      </c>
      <c r="Z760" s="40" t="str">
        <v>Port Elizabeth Stadium</v>
      </c>
      <c r="AA760" s="40" t="str" cm="1">
        <f t="array" ref="AA760">IFERROR(_xlfn.XLOOKUP(Z760,_xlfn.ANCHORARRAY(Z$31),AA$31:AA$37),Z760)</f>
        <v>Port Elizabeth Stadium</v>
      </c>
      <c r="AB760" s="42" t="str">
        <v xml:space="preserve">Nelson Mandela Bay/Port Elizabeth </v>
      </c>
      <c r="AC760" s="89" t="str">
        <f t="shared" si="68"/>
        <v xml:space="preserve">Nelson Mandela Bay/Port Elizabeth </v>
      </c>
      <c r="AE760" s="42">
        <v>2006</v>
      </c>
      <c r="AK760" s="42">
        <v>1</v>
      </c>
      <c r="AL760" s="42">
        <v>2</v>
      </c>
      <c r="AW760" s="89" t="str">
        <v>GROUP_STAGE</v>
      </c>
      <c r="BE760" s="43" t="str">
        <f>IF(OR(DATA_CLEANED!AL751="",DATA_CLEANED!AM751=""),"MANQUANT",IF(OR(NOT(ISNUMBER(DATA_CLEANED!AL751)),NOT(ISNUMBER(DATA_CLEANED!AM751))),"ENTREE INVALIDE",IF(OR(DATA_CLEANED!AL751&lt;0,DATA_CLEANED!AM751&lt;0),"SCORE NEGATIF","OK")))</f>
        <v>OK</v>
      </c>
      <c r="BF760" s="43" t="str">
        <f>IF(DATA_CLEANED!AK751&lt;&gt;DATA_CLEANED!AN751,"OK","ERREUR")</f>
        <v>OK</v>
      </c>
      <c r="BG760" s="43" t="str">
        <f>IF(DATA_CLEANED!AL751&gt;DATA_CLEANED!AM751,DATA_CLEANED!AK751,IF(AND(DATA_QUALITE!W5237="-",DATA_CLEANED!AM751=DATA_CLEANED!AL751),"MATCH NUL",IF(AND(DATA_QUALITE!V5237="-",DATA_QUALITE!U5237="AUCUNE"),DATA_QUALITE!T5237,IF(DATA_QUALITE!V5237&lt;&gt;"-",DATA_QUALITE!V5237,DATA_CLEANED!AN751))))</f>
        <v>Slovakia</v>
      </c>
      <c r="BH760" s="103" t="str">
        <f>IF(AND(BG760="MATCH NUL",DATA_CLEANED!AO751="-"),"MATCH_NUL",IF(ISNUMBER(SEARCH("win on penalties",W5237)),"WIN_BY_PENALTY",IF(ISNUMBER(SEARCH("win after extra time",W5237)),"WIN_BY_EXTRA_TIME",IF(ISNUMBER(SEARCH("Golden Goal",W5237)),"WIN_BY_GOLDEN_GOAL","WIN_BY_SCORE"))))</f>
        <v>WIN_BY_SCORE</v>
      </c>
      <c r="BI760" s="99" t="str">
        <f>IF(OR(BG760=DATA_CLEANED!AK751,BG760=DATA_CLEANED!AN751,BG760="MATCH NUL"),"OK","ERREUR")</f>
        <v>OK</v>
      </c>
    </row>
    <row r="761" spans="2:61">
      <c r="B761" s="75">
        <v>324</v>
      </c>
      <c r="C761" s="15" t="str">
        <v>Andrés Cubas</v>
      </c>
      <c r="D761" s="15">
        <v>30</v>
      </c>
      <c r="E761" s="15" t="str">
        <v>Paraguay</v>
      </c>
      <c r="F761" s="15" t="str">
        <v>CDM</v>
      </c>
      <c r="G761" s="15" t="str">
        <v>Vancouver Whitecaps FC</v>
      </c>
      <c r="H761" s="15">
        <v>14</v>
      </c>
      <c r="I761" s="15" t="str">
        <f t="shared" si="69"/>
        <v>324|Andrés Cubas|30|Paraguay|CDM|Vancouver Whitecaps FC|14</v>
      </c>
      <c r="J761" s="15" t="str">
        <f>IF(COUNTIF(I$438:I761,I761)&gt;1,"DOUBLON","OK")</f>
        <v>OK</v>
      </c>
      <c r="S761" s="30" t="str">
        <v>Colombia</v>
      </c>
      <c r="T761" s="30" t="str">
        <f t="shared" si="65"/>
        <v>OK</v>
      </c>
      <c r="U761" s="30" t="str">
        <f t="shared" si="66"/>
        <v>-</v>
      </c>
      <c r="V761" s="30" t="str" cm="1">
        <f t="array" ref="V761">_xlfn.IFS(
ISNUMBER(SEARCH("USA",S761)),"United States",
ISNUMBER(SEARCH("Republic of Korea",S761)),"South Korea",
ISNUMBER(SEARCH("Cape Verde",S761)),"Cabo Verde",
ISNUMBER(SEARCH("Czechia",S761)),"Czech Republic",
ISNUMBER(SEARCH("Türkiye",S761)),"Turkey",
ISNUMBER(SEARCH("Ivory Coast",S761)),"Côte d'Ivoire",
ISNUMBER(SEARCH("Korea Republic",S761)),"South Korea",
ISNUMBER(SEARCH("Germany FR",S761)),"FR Germany",
ISNUMBER(SEARCH("West Germany",S761)),"FR Germany",
ISNUMBER(SEARCH("Germany DR",S761)),"DR Germany",
ISNUMBER(SEARCH("Korea DPR",S761)),"North Korea",
ISNUMBER(SEARCH("China PR",S761)),"China",
ISNUMBER(SEARCH("IR Iran",S761)),"Iran",
ISNUMBER(SEARCH("Congo DR",S761)),"Democratic Republic of the Congo",
ISNUMBER(SEARCH("DR Congo",S761)),"Democratic Republic of the Congo",
ISNUMBER(SEARCH("German DR",S761)),"DR Germany",
ISNUMBER(SEARCH("rn""&gt;United Arab Emirates",S761)),"United Arab Emirates",
ISNUMBER(SEARCH("rn""&gt;Republic of Ireland",S761)),"Ireland",
ISNUMBER(SEARCH("rn""&gt;Bosnia and Herzegovina",S761)),"Bosnia and Herzegovina",
ISNUMBER(SEARCH("rn""&gt;Trinidad and Tobago",S761)),"Trinidad and Tobago",
ISNUMBER(SEARCH("rn""&gt;Serbia and Montenegro",S761)),"Serbia and Montenegro",
ISNUMBER(SEARCH(_xlfn.UNICHAR(65533),S761)),"Côte d'Ivoire",
TRUE,""
)</f>
        <v/>
      </c>
      <c r="W761" s="30" t="str">
        <f t="shared" si="67"/>
        <v>Colombia</v>
      </c>
      <c r="Z761" s="40" t="str">
        <v>Ellis Park Stadium</v>
      </c>
      <c r="AA761" s="40" t="str" cm="1">
        <f t="array" ref="AA761">IFERROR(_xlfn.XLOOKUP(Z761,_xlfn.ANCHORARRAY(Z$31),AA$31:AA$37),Z761)</f>
        <v>Ellis Park Stadium</v>
      </c>
      <c r="AB761" s="42" t="str">
        <v xml:space="preserve">Johannesburg </v>
      </c>
      <c r="AC761" s="89" t="str">
        <f t="shared" si="68"/>
        <v xml:space="preserve">Johannesburg </v>
      </c>
      <c r="AE761" s="42">
        <v>2006</v>
      </c>
      <c r="AK761" s="42">
        <v>2</v>
      </c>
      <c r="AL761" s="42">
        <v>2</v>
      </c>
      <c r="AW761" s="89" t="str">
        <v>GROUP_STAGE</v>
      </c>
      <c r="BE761" s="43" t="str">
        <f>IF(OR(DATA_CLEANED!AL752="",DATA_CLEANED!AM752=""),"MANQUANT",IF(OR(NOT(ISNUMBER(DATA_CLEANED!AL752)),NOT(ISNUMBER(DATA_CLEANED!AM752))),"ENTREE INVALIDE",IF(OR(DATA_CLEANED!AL752&lt;0,DATA_CLEANED!AM752&lt;0),"SCORE NEGATIF","OK")))</f>
        <v>OK</v>
      </c>
      <c r="BF761" s="43" t="str">
        <f>IF(DATA_CLEANED!AK752&lt;&gt;DATA_CLEANED!AN752,"OK","ERREUR")</f>
        <v>OK</v>
      </c>
      <c r="BG761" s="43" t="str">
        <f>IF(DATA_CLEANED!AL752&gt;DATA_CLEANED!AM752,DATA_CLEANED!AK752,IF(AND(DATA_QUALITE!W5238="-",DATA_CLEANED!AM752=DATA_CLEANED!AL752),"MATCH NUL",IF(AND(DATA_QUALITE!V5238="-",DATA_QUALITE!U5238="AUCUNE"),DATA_QUALITE!T5238,IF(DATA_QUALITE!V5238&lt;&gt;"-",DATA_QUALITE!V5238,DATA_CLEANED!AN752))))</f>
        <v>MATCH NUL</v>
      </c>
      <c r="BH761" s="103" t="str">
        <f>IF(AND(BG761="MATCH NUL",DATA_CLEANED!AO752="-"),"MATCH_NUL",IF(ISNUMBER(SEARCH("win on penalties",W5238)),"WIN_BY_PENALTY",IF(ISNUMBER(SEARCH("win after extra time",W5238)),"WIN_BY_EXTRA_TIME",IF(ISNUMBER(SEARCH("Golden Goal",W5238)),"WIN_BY_GOLDEN_GOAL","WIN_BY_SCORE"))))</f>
        <v>MATCH_NUL</v>
      </c>
      <c r="BI761" s="99" t="str">
        <f>IF(OR(BG761=DATA_CLEANED!AK752,BG761=DATA_CLEANED!AN752,BG761="MATCH NUL"),"OK","ERREUR")</f>
        <v>OK</v>
      </c>
    </row>
    <row r="762" spans="2:61">
      <c r="B762" s="75">
        <v>325</v>
      </c>
      <c r="C762" s="15" t="str">
        <v>Braian Ojeda</v>
      </c>
      <c r="D762" s="15">
        <v>25</v>
      </c>
      <c r="E762" s="15" t="str">
        <v>Paraguay</v>
      </c>
      <c r="F762" s="15" t="str">
        <v>CDM</v>
      </c>
      <c r="G762" s="15" t="str">
        <v>Orlando City SC</v>
      </c>
      <c r="H762" s="15">
        <v>20</v>
      </c>
      <c r="I762" s="15" t="str">
        <f t="shared" si="69"/>
        <v>325|Braian Ojeda|25|Paraguay|CDM|Orlando City SC|20</v>
      </c>
      <c r="J762" s="15" t="str">
        <f>IF(COUNTIF(I$438:I762,I762)&gt;1,"DOUBLON","OK")</f>
        <v>OK</v>
      </c>
      <c r="S762" s="30" t="str">
        <v>Colombia</v>
      </c>
      <c r="T762" s="30" t="str">
        <f t="shared" si="65"/>
        <v>OK</v>
      </c>
      <c r="U762" s="30" t="str">
        <f t="shared" si="66"/>
        <v>-</v>
      </c>
      <c r="V762" s="30" t="str" cm="1">
        <f t="array" ref="V762">_xlfn.IFS(
ISNUMBER(SEARCH("USA",S762)),"United States",
ISNUMBER(SEARCH("Republic of Korea",S762)),"South Korea",
ISNUMBER(SEARCH("Cape Verde",S762)),"Cabo Verde",
ISNUMBER(SEARCH("Czechia",S762)),"Czech Republic",
ISNUMBER(SEARCH("Türkiye",S762)),"Turkey",
ISNUMBER(SEARCH("Ivory Coast",S762)),"Côte d'Ivoire",
ISNUMBER(SEARCH("Korea Republic",S762)),"South Korea",
ISNUMBER(SEARCH("Germany FR",S762)),"FR Germany",
ISNUMBER(SEARCH("West Germany",S762)),"FR Germany",
ISNUMBER(SEARCH("Germany DR",S762)),"DR Germany",
ISNUMBER(SEARCH("Korea DPR",S762)),"North Korea",
ISNUMBER(SEARCH("China PR",S762)),"China",
ISNUMBER(SEARCH("IR Iran",S762)),"Iran",
ISNUMBER(SEARCH("Congo DR",S762)),"Democratic Republic of the Congo",
ISNUMBER(SEARCH("DR Congo",S762)),"Democratic Republic of the Congo",
ISNUMBER(SEARCH("German DR",S762)),"DR Germany",
ISNUMBER(SEARCH("rn""&gt;United Arab Emirates",S762)),"United Arab Emirates",
ISNUMBER(SEARCH("rn""&gt;Republic of Ireland",S762)),"Ireland",
ISNUMBER(SEARCH("rn""&gt;Bosnia and Herzegovina",S762)),"Bosnia and Herzegovina",
ISNUMBER(SEARCH("rn""&gt;Trinidad and Tobago",S762)),"Trinidad and Tobago",
ISNUMBER(SEARCH("rn""&gt;Serbia and Montenegro",S762)),"Serbia and Montenegro",
ISNUMBER(SEARCH(_xlfn.UNICHAR(65533),S762)),"Côte d'Ivoire",
TRUE,""
)</f>
        <v/>
      </c>
      <c r="W762" s="30" t="str">
        <f t="shared" si="67"/>
        <v>Colombia</v>
      </c>
      <c r="Z762" s="40" t="str">
        <v>Mbombela Stadium</v>
      </c>
      <c r="AA762" s="40" t="str" cm="1">
        <f t="array" ref="AA762">IFERROR(_xlfn.XLOOKUP(Z762,_xlfn.ANCHORARRAY(Z$31),AA$31:AA$37),Z762)</f>
        <v>Mbombela Stadium</v>
      </c>
      <c r="AB762" s="42" t="str">
        <v xml:space="preserve">Nelspruit </v>
      </c>
      <c r="AC762" s="89" t="str">
        <f t="shared" si="68"/>
        <v xml:space="preserve">Nelspruit </v>
      </c>
      <c r="AE762" s="42">
        <v>2006</v>
      </c>
      <c r="AK762" s="42">
        <v>2</v>
      </c>
      <c r="AL762" s="42">
        <v>0</v>
      </c>
      <c r="AW762" s="89" t="str">
        <v>GROUP_STAGE</v>
      </c>
      <c r="BE762" s="43" t="str">
        <f>IF(OR(DATA_CLEANED!AL753="",DATA_CLEANED!AM753=""),"MANQUANT",IF(OR(NOT(ISNUMBER(DATA_CLEANED!AL753)),NOT(ISNUMBER(DATA_CLEANED!AM753))),"ENTREE INVALIDE",IF(OR(DATA_CLEANED!AL753&lt;0,DATA_CLEANED!AM753&lt;0),"SCORE NEGATIF","OK")))</f>
        <v>OK</v>
      </c>
      <c r="BF762" s="43" t="str">
        <f>IF(DATA_CLEANED!AK753&lt;&gt;DATA_CLEANED!AN753,"OK","ERREUR")</f>
        <v>OK</v>
      </c>
      <c r="BG762" s="43" t="str">
        <f>IF(DATA_CLEANED!AL753&gt;DATA_CLEANED!AM753,DATA_CLEANED!AK753,IF(AND(DATA_QUALITE!W5239="-",DATA_CLEANED!AM753=DATA_CLEANED!AL753),"MATCH NUL",IF(AND(DATA_QUALITE!V5239="-",DATA_QUALITE!U5239="AUCUNE"),DATA_QUALITE!T5239,IF(DATA_QUALITE!V5239&lt;&gt;"-",DATA_QUALITE!V5239,DATA_CLEANED!AN753))))</f>
        <v>Japan</v>
      </c>
      <c r="BH762" s="103" t="str">
        <f>IF(AND(BG762="MATCH NUL",DATA_CLEANED!AO753="-"),"MATCH_NUL",IF(ISNUMBER(SEARCH("win on penalties",W5239)),"WIN_BY_PENALTY",IF(ISNUMBER(SEARCH("win after extra time",W5239)),"WIN_BY_EXTRA_TIME",IF(ISNUMBER(SEARCH("Golden Goal",W5239)),"WIN_BY_GOLDEN_GOAL","WIN_BY_SCORE"))))</f>
        <v>WIN_BY_SCORE</v>
      </c>
      <c r="BI762" s="99" t="str">
        <f>IF(OR(BG762=DATA_CLEANED!AK753,BG762=DATA_CLEANED!AN753,BG762="MATCH NUL"),"OK","ERREUR")</f>
        <v>OK</v>
      </c>
    </row>
    <row r="763" spans="2:61">
      <c r="B763" s="75">
        <v>326</v>
      </c>
      <c r="C763" s="15" t="str">
        <v>Diego Gómez</v>
      </c>
      <c r="D763" s="15">
        <v>23</v>
      </c>
      <c r="E763" s="15" t="str">
        <v>Paraguay</v>
      </c>
      <c r="F763" s="15" t="str">
        <v>CM</v>
      </c>
      <c r="G763" s="15" t="str">
        <v>Brighton &amp; Hove Albion</v>
      </c>
      <c r="H763" s="15">
        <v>8</v>
      </c>
      <c r="I763" s="15" t="str">
        <f t="shared" si="69"/>
        <v>326|Diego Gómez|23|Paraguay|CM|Brighton &amp; Hove Albion|8</v>
      </c>
      <c r="J763" s="15" t="str">
        <f>IF(COUNTIF(I$438:I763,I763)&gt;1,"DOUBLON","OK")</f>
        <v>OK</v>
      </c>
      <c r="S763" s="30" t="str">
        <v>Colombia</v>
      </c>
      <c r="T763" s="30" t="str">
        <f t="shared" ref="T763:T826" si="70">IF(COUNTIF(R$21:R$250,S763)=1,"OK","ERREUR")</f>
        <v>OK</v>
      </c>
      <c r="U763" s="30" t="str">
        <f t="shared" si="66"/>
        <v>-</v>
      </c>
      <c r="V763" s="30" t="str" cm="1">
        <f t="array" ref="V763">_xlfn.IFS(
ISNUMBER(SEARCH("USA",S763)),"United States",
ISNUMBER(SEARCH("Republic of Korea",S763)),"South Korea",
ISNUMBER(SEARCH("Cape Verde",S763)),"Cabo Verde",
ISNUMBER(SEARCH("Czechia",S763)),"Czech Republic",
ISNUMBER(SEARCH("Türkiye",S763)),"Turkey",
ISNUMBER(SEARCH("Ivory Coast",S763)),"Côte d'Ivoire",
ISNUMBER(SEARCH("Korea Republic",S763)),"South Korea",
ISNUMBER(SEARCH("Germany FR",S763)),"FR Germany",
ISNUMBER(SEARCH("West Germany",S763)),"FR Germany",
ISNUMBER(SEARCH("Germany DR",S763)),"DR Germany",
ISNUMBER(SEARCH("Korea DPR",S763)),"North Korea",
ISNUMBER(SEARCH("China PR",S763)),"China",
ISNUMBER(SEARCH("IR Iran",S763)),"Iran",
ISNUMBER(SEARCH("Congo DR",S763)),"Democratic Republic of the Congo",
ISNUMBER(SEARCH("DR Congo",S763)),"Democratic Republic of the Congo",
ISNUMBER(SEARCH("German DR",S763)),"DR Germany",
ISNUMBER(SEARCH("rn""&gt;United Arab Emirates",S763)),"United Arab Emirates",
ISNUMBER(SEARCH("rn""&gt;Republic of Ireland",S763)),"Ireland",
ISNUMBER(SEARCH("rn""&gt;Bosnia and Herzegovina",S763)),"Bosnia and Herzegovina",
ISNUMBER(SEARCH("rn""&gt;Trinidad and Tobago",S763)),"Trinidad and Tobago",
ISNUMBER(SEARCH("rn""&gt;Serbia and Montenegro",S763)),"Serbia and Montenegro",
ISNUMBER(SEARCH(_xlfn.UNICHAR(65533),S763)),"Côte d'Ivoire",
TRUE,""
)</f>
        <v/>
      </c>
      <c r="W763" s="30" t="str">
        <f t="shared" si="67"/>
        <v>Colombia</v>
      </c>
      <c r="Z763" s="40" t="str">
        <v>Durban Stadium</v>
      </c>
      <c r="AA763" s="40" t="str" cm="1">
        <f t="array" ref="AA763">IFERROR(_xlfn.XLOOKUP(Z763,_xlfn.ANCHORARRAY(Z$31),AA$31:AA$37),Z763)</f>
        <v>Durban Stadium</v>
      </c>
      <c r="AB763" s="42" t="str">
        <v xml:space="preserve">Durban </v>
      </c>
      <c r="AC763" s="89" t="str">
        <f t="shared" si="68"/>
        <v xml:space="preserve">Durban </v>
      </c>
      <c r="AE763" s="42">
        <v>2006</v>
      </c>
      <c r="AK763" s="42">
        <v>1</v>
      </c>
      <c r="AL763" s="42">
        <v>1</v>
      </c>
      <c r="AW763" s="89" t="str">
        <v>GROUP_STAGE</v>
      </c>
      <c r="BE763" s="43" t="str">
        <f>IF(OR(DATA_CLEANED!AL754="",DATA_CLEANED!AM754=""),"MANQUANT",IF(OR(NOT(ISNUMBER(DATA_CLEANED!AL754)),NOT(ISNUMBER(DATA_CLEANED!AM754))),"ENTREE INVALIDE",IF(OR(DATA_CLEANED!AL754&lt;0,DATA_CLEANED!AM754&lt;0),"SCORE NEGATIF","OK")))</f>
        <v>OK</v>
      </c>
      <c r="BF763" s="43" t="str">
        <f>IF(DATA_CLEANED!AK754&lt;&gt;DATA_CLEANED!AN754,"OK","ERREUR")</f>
        <v>OK</v>
      </c>
      <c r="BG763" s="43" t="str">
        <f>IF(DATA_CLEANED!AL754&gt;DATA_CLEANED!AM754,DATA_CLEANED!AK754,IF(AND(DATA_QUALITE!W5240="-",DATA_CLEANED!AM754=DATA_CLEANED!AL754),"MATCH NUL",IF(AND(DATA_QUALITE!V5240="-",DATA_QUALITE!U5240="AUCUNE"),DATA_QUALITE!T5240,IF(DATA_QUALITE!V5240&lt;&gt;"-",DATA_QUALITE!V5240,DATA_CLEANED!AN754))))</f>
        <v>Netherlands</v>
      </c>
      <c r="BH763" s="103" t="str">
        <f>IF(AND(BG763="MATCH NUL",DATA_CLEANED!AO754="-"),"MATCH_NUL",IF(ISNUMBER(SEARCH("win on penalties",W5240)),"WIN_BY_PENALTY",IF(ISNUMBER(SEARCH("win after extra time",W5240)),"WIN_BY_EXTRA_TIME",IF(ISNUMBER(SEARCH("Golden Goal",W5240)),"WIN_BY_GOLDEN_GOAL","WIN_BY_SCORE"))))</f>
        <v>WIN_BY_SCORE</v>
      </c>
      <c r="BI763" s="99" t="str">
        <f>IF(OR(BG763=DATA_CLEANED!AK754,BG763=DATA_CLEANED!AN754,BG763="MATCH NUL"),"OK","ERREUR")</f>
        <v>OK</v>
      </c>
    </row>
    <row r="764" spans="2:61">
      <c r="B764" s="75">
        <v>327</v>
      </c>
      <c r="C764" s="15" t="str">
        <v>Maurício</v>
      </c>
      <c r="D764" s="15">
        <v>24</v>
      </c>
      <c r="E764" s="15" t="str">
        <v>Paraguay</v>
      </c>
      <c r="F764" s="15" t="str">
        <v>CM</v>
      </c>
      <c r="G764" s="15" t="str">
        <v>Palmeiras</v>
      </c>
      <c r="H764" s="15">
        <v>11</v>
      </c>
      <c r="I764" s="15" t="str">
        <f t="shared" si="69"/>
        <v>327|Maurício|24|Paraguay|CM|Palmeiras|11</v>
      </c>
      <c r="J764" s="15" t="str">
        <f>IF(COUNTIF(I$438:I764,I764)&gt;1,"DOUBLON","OK")</f>
        <v>OK</v>
      </c>
      <c r="S764" s="30" t="str">
        <v>Colombia</v>
      </c>
      <c r="T764" s="30" t="str">
        <f t="shared" si="70"/>
        <v>OK</v>
      </c>
      <c r="U764" s="30" t="str">
        <f t="shared" si="66"/>
        <v>-</v>
      </c>
      <c r="V764" s="30" t="str" cm="1">
        <f t="array" ref="V764">_xlfn.IFS(
ISNUMBER(SEARCH("USA",S764)),"United States",
ISNUMBER(SEARCH("Republic of Korea",S764)),"South Korea",
ISNUMBER(SEARCH("Cape Verde",S764)),"Cabo Verde",
ISNUMBER(SEARCH("Czechia",S764)),"Czech Republic",
ISNUMBER(SEARCH("Türkiye",S764)),"Turkey",
ISNUMBER(SEARCH("Ivory Coast",S764)),"Côte d'Ivoire",
ISNUMBER(SEARCH("Korea Republic",S764)),"South Korea",
ISNUMBER(SEARCH("Germany FR",S764)),"FR Germany",
ISNUMBER(SEARCH("West Germany",S764)),"FR Germany",
ISNUMBER(SEARCH("Germany DR",S764)),"DR Germany",
ISNUMBER(SEARCH("Korea DPR",S764)),"North Korea",
ISNUMBER(SEARCH("China PR",S764)),"China",
ISNUMBER(SEARCH("IR Iran",S764)),"Iran",
ISNUMBER(SEARCH("Congo DR",S764)),"Democratic Republic of the Congo",
ISNUMBER(SEARCH("DR Congo",S764)),"Democratic Republic of the Congo",
ISNUMBER(SEARCH("German DR",S764)),"DR Germany",
ISNUMBER(SEARCH("rn""&gt;United Arab Emirates",S764)),"United Arab Emirates",
ISNUMBER(SEARCH("rn""&gt;Republic of Ireland",S764)),"Ireland",
ISNUMBER(SEARCH("rn""&gt;Bosnia and Herzegovina",S764)),"Bosnia and Herzegovina",
ISNUMBER(SEARCH("rn""&gt;Trinidad and Tobago",S764)),"Trinidad and Tobago",
ISNUMBER(SEARCH("rn""&gt;Serbia and Montenegro",S764)),"Serbia and Montenegro",
ISNUMBER(SEARCH(_xlfn.UNICHAR(65533),S764)),"Côte d'Ivoire",
TRUE,""
)</f>
        <v/>
      </c>
      <c r="W764" s="30" t="str">
        <f t="shared" si="67"/>
        <v>Colombia</v>
      </c>
      <c r="Z764" s="40" t="str">
        <v>Loftus Versfeld Stadium</v>
      </c>
      <c r="AA764" s="40" t="str" cm="1">
        <f t="array" ref="AA764">IFERROR(_xlfn.XLOOKUP(Z764,_xlfn.ANCHORARRAY(Z$31),AA$31:AA$37),Z764)</f>
        <v>Loftus Versfeld Stadium</v>
      </c>
      <c r="AB764" s="42" t="str">
        <v xml:space="preserve">Tshwane/Pretoria </v>
      </c>
      <c r="AC764" s="89" t="str">
        <f t="shared" si="68"/>
        <v xml:space="preserve">Tshwane/Pretoria </v>
      </c>
      <c r="AE764" s="42">
        <v>2006</v>
      </c>
      <c r="AK764" s="42">
        <v>2</v>
      </c>
      <c r="AL764" s="42">
        <v>1</v>
      </c>
      <c r="AW764" s="89" t="str">
        <v>GROUP_STAGE</v>
      </c>
      <c r="BE764" s="43" t="str">
        <f>IF(OR(DATA_CLEANED!AL755="",DATA_CLEANED!AM755=""),"MANQUANT",IF(OR(NOT(ISNUMBER(DATA_CLEANED!AL755)),NOT(ISNUMBER(DATA_CLEANED!AM755))),"ENTREE INVALIDE",IF(OR(DATA_CLEANED!AL755&lt;0,DATA_CLEANED!AM755&lt;0),"SCORE NEGATIF","OK")))</f>
        <v>OK</v>
      </c>
      <c r="BF764" s="43" t="str">
        <f>IF(DATA_CLEANED!AK755&lt;&gt;DATA_CLEANED!AN755,"OK","ERREUR")</f>
        <v>OK</v>
      </c>
      <c r="BG764" s="43" t="str">
        <f>IF(DATA_CLEANED!AL755&gt;DATA_CLEANED!AM755,DATA_CLEANED!AK755,IF(AND(DATA_QUALITE!W5241="-",DATA_CLEANED!AM755=DATA_CLEANED!AL755),"MATCH NUL",IF(AND(DATA_QUALITE!V5241="-",DATA_QUALITE!U5241="AUCUNE"),DATA_QUALITE!T5241,IF(DATA_QUALITE!V5241&lt;&gt;"-",DATA_QUALITE!V5241,DATA_CLEANED!AN755))))</f>
        <v>MATCH NUL</v>
      </c>
      <c r="BH764" s="103" t="str">
        <f>IF(AND(BG764="MATCH NUL",DATA_CLEANED!AO755="-"),"MATCH_NUL",IF(ISNUMBER(SEARCH("win on penalties",W5241)),"WIN_BY_PENALTY",IF(ISNUMBER(SEARCH("win after extra time",W5241)),"WIN_BY_EXTRA_TIME",IF(ISNUMBER(SEARCH("Golden Goal",W5241)),"WIN_BY_GOLDEN_GOAL","WIN_BY_SCORE"))))</f>
        <v>MATCH_NUL</v>
      </c>
      <c r="BI764" s="99" t="str">
        <f>IF(OR(BG764=DATA_CLEANED!AK755,BG764=DATA_CLEANED!AN755,BG764="MATCH NUL"),"OK","ERREUR")</f>
        <v>OK</v>
      </c>
    </row>
    <row r="765" spans="2:61">
      <c r="B765" s="75">
        <v>328</v>
      </c>
      <c r="C765" s="15" t="str">
        <v>Damián Bobadilla</v>
      </c>
      <c r="D765" s="15">
        <v>24</v>
      </c>
      <c r="E765" s="15" t="str">
        <v>Paraguay</v>
      </c>
      <c r="F765" s="15" t="str">
        <v>CM</v>
      </c>
      <c r="G765" s="15" t="str">
        <v>São Paulo</v>
      </c>
      <c r="H765" s="15">
        <v>16</v>
      </c>
      <c r="I765" s="15" t="str">
        <f t="shared" si="69"/>
        <v>328|Damián Bobadilla|24|Paraguay|CM|São Paulo|16</v>
      </c>
      <c r="J765" s="15" t="str">
        <f>IF(COUNTIF(I$438:I765,I765)&gt;1,"DOUBLON","OK")</f>
        <v>OK</v>
      </c>
      <c r="S765" s="30" t="str">
        <v>Colombia</v>
      </c>
      <c r="T765" s="30" t="str">
        <f t="shared" si="70"/>
        <v>OK</v>
      </c>
      <c r="U765" s="30" t="str">
        <f t="shared" si="66"/>
        <v>-</v>
      </c>
      <c r="V765" s="30" t="str" cm="1">
        <f t="array" ref="V765">_xlfn.IFS(
ISNUMBER(SEARCH("USA",S765)),"United States",
ISNUMBER(SEARCH("Republic of Korea",S765)),"South Korea",
ISNUMBER(SEARCH("Cape Verde",S765)),"Cabo Verde",
ISNUMBER(SEARCH("Czechia",S765)),"Czech Republic",
ISNUMBER(SEARCH("Türkiye",S765)),"Turkey",
ISNUMBER(SEARCH("Ivory Coast",S765)),"Côte d'Ivoire",
ISNUMBER(SEARCH("Korea Republic",S765)),"South Korea",
ISNUMBER(SEARCH("Germany FR",S765)),"FR Germany",
ISNUMBER(SEARCH("West Germany",S765)),"FR Germany",
ISNUMBER(SEARCH("Germany DR",S765)),"DR Germany",
ISNUMBER(SEARCH("Korea DPR",S765)),"North Korea",
ISNUMBER(SEARCH("China PR",S765)),"China",
ISNUMBER(SEARCH("IR Iran",S765)),"Iran",
ISNUMBER(SEARCH("Congo DR",S765)),"Democratic Republic of the Congo",
ISNUMBER(SEARCH("DR Congo",S765)),"Democratic Republic of the Congo",
ISNUMBER(SEARCH("German DR",S765)),"DR Germany",
ISNUMBER(SEARCH("rn""&gt;United Arab Emirates",S765)),"United Arab Emirates",
ISNUMBER(SEARCH("rn""&gt;Republic of Ireland",S765)),"Ireland",
ISNUMBER(SEARCH("rn""&gt;Bosnia and Herzegovina",S765)),"Bosnia and Herzegovina",
ISNUMBER(SEARCH("rn""&gt;Trinidad and Tobago",S765)),"Trinidad and Tobago",
ISNUMBER(SEARCH("rn""&gt;Serbia and Montenegro",S765)),"Serbia and Montenegro",
ISNUMBER(SEARCH(_xlfn.UNICHAR(65533),S765)),"Côte d'Ivoire",
TRUE,""
)</f>
        <v/>
      </c>
      <c r="W765" s="30" t="str">
        <f t="shared" si="67"/>
        <v>Colombia</v>
      </c>
      <c r="Z765" s="40" t="str">
        <v>Soccer City Stadium</v>
      </c>
      <c r="AA765" s="40" t="str" cm="1">
        <f t="array" ref="AA765">IFERROR(_xlfn.XLOOKUP(Z765,_xlfn.ANCHORARRAY(Z$31),AA$31:AA$37),Z765)</f>
        <v>Soccer City Stadium</v>
      </c>
      <c r="AB765" s="42" t="str">
        <v xml:space="preserve">Johannesburg </v>
      </c>
      <c r="AC765" s="89" t="str">
        <f t="shared" si="68"/>
        <v xml:space="preserve">Johannesburg </v>
      </c>
      <c r="AE765" s="42">
        <v>2006</v>
      </c>
      <c r="AK765" s="42">
        <v>0</v>
      </c>
      <c r="AL765" s="42">
        <v>0</v>
      </c>
      <c r="AW765" s="89" t="str">
        <v>GROUP_STAGE</v>
      </c>
      <c r="BE765" s="43" t="str">
        <f>IF(OR(DATA_CLEANED!AL756="",DATA_CLEANED!AM756=""),"MANQUANT",IF(OR(NOT(ISNUMBER(DATA_CLEANED!AL756)),NOT(ISNUMBER(DATA_CLEANED!AM756))),"ENTREE INVALIDE",IF(OR(DATA_CLEANED!AL756&lt;0,DATA_CLEANED!AM756&lt;0),"SCORE NEGATIF","OK")))</f>
        <v>OK</v>
      </c>
      <c r="BF765" s="43" t="str">
        <f>IF(DATA_CLEANED!AK756&lt;&gt;DATA_CLEANED!AN756,"OK","ERREUR")</f>
        <v>OK</v>
      </c>
      <c r="BG765" s="43" t="str">
        <f>IF(DATA_CLEANED!AL756&gt;DATA_CLEANED!AM756,DATA_CLEANED!AK756,IF(AND(DATA_QUALITE!W5242="-",DATA_CLEANED!AM756=DATA_CLEANED!AL756),"MATCH NUL",IF(AND(DATA_QUALITE!V5242="-",DATA_QUALITE!U5242="AUCUNE"),DATA_QUALITE!T5242,IF(DATA_QUALITE!V5242&lt;&gt;"-",DATA_QUALITE!V5242,DATA_CLEANED!AN756))))</f>
        <v>Côte d'Ivoire</v>
      </c>
      <c r="BH765" s="103" t="str">
        <f>IF(AND(BG765="MATCH NUL",DATA_CLEANED!AO756="-"),"MATCH_NUL",IF(ISNUMBER(SEARCH("win on penalties",W5242)),"WIN_BY_PENALTY",IF(ISNUMBER(SEARCH("win after extra time",W5242)),"WIN_BY_EXTRA_TIME",IF(ISNUMBER(SEARCH("Golden Goal",W5242)),"WIN_BY_GOLDEN_GOAL","WIN_BY_SCORE"))))</f>
        <v>WIN_BY_SCORE</v>
      </c>
      <c r="BI765" s="99" t="str">
        <f>IF(OR(BG765=DATA_CLEANED!AK756,BG765=DATA_CLEANED!AN756,BG765="MATCH NUL"),"OK","ERREUR")</f>
        <v>OK</v>
      </c>
    </row>
    <row r="766" spans="2:61">
      <c r="B766" s="75">
        <v>329</v>
      </c>
      <c r="C766" s="15" t="str">
        <v>Matías Galarza</v>
      </c>
      <c r="D766" s="15">
        <v>24</v>
      </c>
      <c r="E766" s="15" t="str">
        <v>Paraguay</v>
      </c>
      <c r="F766" s="15" t="str">
        <v>CM</v>
      </c>
      <c r="G766" s="15" t="str">
        <v>Atlanta United FC</v>
      </c>
      <c r="H766" s="15">
        <v>23</v>
      </c>
      <c r="I766" s="15" t="str">
        <f t="shared" si="69"/>
        <v>329|Matías Galarza|24|Paraguay|CM|Atlanta United FC|23</v>
      </c>
      <c r="J766" s="15" t="str">
        <f>IF(COUNTIF(I$438:I766,I766)&gt;1,"DOUBLON","OK")</f>
        <v>OK</v>
      </c>
      <c r="S766" s="30" t="str">
        <v>Colombia</v>
      </c>
      <c r="T766" s="30" t="str">
        <f t="shared" si="70"/>
        <v>OK</v>
      </c>
      <c r="U766" s="30" t="str">
        <f t="shared" si="66"/>
        <v>-</v>
      </c>
      <c r="V766" s="30" t="str" cm="1">
        <f t="array" ref="V766">_xlfn.IFS(
ISNUMBER(SEARCH("USA",S766)),"United States",
ISNUMBER(SEARCH("Republic of Korea",S766)),"South Korea",
ISNUMBER(SEARCH("Cape Verde",S766)),"Cabo Verde",
ISNUMBER(SEARCH("Czechia",S766)),"Czech Republic",
ISNUMBER(SEARCH("Türkiye",S766)),"Turkey",
ISNUMBER(SEARCH("Ivory Coast",S766)),"Côte d'Ivoire",
ISNUMBER(SEARCH("Korea Republic",S766)),"South Korea",
ISNUMBER(SEARCH("Germany FR",S766)),"FR Germany",
ISNUMBER(SEARCH("West Germany",S766)),"FR Germany",
ISNUMBER(SEARCH("Germany DR",S766)),"DR Germany",
ISNUMBER(SEARCH("Korea DPR",S766)),"North Korea",
ISNUMBER(SEARCH("China PR",S766)),"China",
ISNUMBER(SEARCH("IR Iran",S766)),"Iran",
ISNUMBER(SEARCH("Congo DR",S766)),"Democratic Republic of the Congo",
ISNUMBER(SEARCH("DR Congo",S766)),"Democratic Republic of the Congo",
ISNUMBER(SEARCH("German DR",S766)),"DR Germany",
ISNUMBER(SEARCH("rn""&gt;United Arab Emirates",S766)),"United Arab Emirates",
ISNUMBER(SEARCH("rn""&gt;Republic of Ireland",S766)),"Ireland",
ISNUMBER(SEARCH("rn""&gt;Bosnia and Herzegovina",S766)),"Bosnia and Herzegovina",
ISNUMBER(SEARCH("rn""&gt;Trinidad and Tobago",S766)),"Trinidad and Tobago",
ISNUMBER(SEARCH("rn""&gt;Serbia and Montenegro",S766)),"Serbia and Montenegro",
ISNUMBER(SEARCH(_xlfn.UNICHAR(65533),S766)),"Côte d'Ivoire",
TRUE,""
)</f>
        <v/>
      </c>
      <c r="W766" s="30" t="str">
        <f t="shared" si="67"/>
        <v>Colombia</v>
      </c>
      <c r="Z766" s="40" t="str">
        <v>Free State Stadium</v>
      </c>
      <c r="AA766" s="40" t="str" cm="1">
        <f t="array" ref="AA766">IFERROR(_xlfn.XLOOKUP(Z766,_xlfn.ANCHORARRAY(Z$31),AA$31:AA$37),Z766)</f>
        <v>Free State Stadium</v>
      </c>
      <c r="AB766" s="42" t="str">
        <v xml:space="preserve">Mangaung/Bloemfontein </v>
      </c>
      <c r="AC766" s="89" t="str">
        <f t="shared" si="68"/>
        <v xml:space="preserve">Mangaung/Bloemfontein </v>
      </c>
      <c r="AE766" s="42">
        <v>2006</v>
      </c>
      <c r="AK766" s="42">
        <v>3</v>
      </c>
      <c r="AL766" s="42">
        <v>2</v>
      </c>
      <c r="AW766" s="89" t="str">
        <v>GROUP_STAGE</v>
      </c>
      <c r="BE766" s="43" t="str">
        <f>IF(OR(DATA_CLEANED!AL757="",DATA_CLEANED!AM757=""),"MANQUANT",IF(OR(NOT(ISNUMBER(DATA_CLEANED!AL757)),NOT(ISNUMBER(DATA_CLEANED!AM757))),"ENTREE INVALIDE",IF(OR(DATA_CLEANED!AL757&lt;0,DATA_CLEANED!AM757&lt;0),"SCORE NEGATIF","OK")))</f>
        <v>OK</v>
      </c>
      <c r="BF766" s="43" t="str">
        <f>IF(DATA_CLEANED!AK757&lt;&gt;DATA_CLEANED!AN757,"OK","ERREUR")</f>
        <v>OK</v>
      </c>
      <c r="BG766" s="43" t="str">
        <f>IF(DATA_CLEANED!AL757&gt;DATA_CLEANED!AM757,DATA_CLEANED!AK757,IF(AND(DATA_QUALITE!W5243="-",DATA_CLEANED!AM757=DATA_CLEANED!AL757),"MATCH NUL",IF(AND(DATA_QUALITE!V5243="-",DATA_QUALITE!U5243="AUCUNE"),DATA_QUALITE!T5243,IF(DATA_QUALITE!V5243&lt;&gt;"-",DATA_QUALITE!V5243,DATA_CLEANED!AN757))))</f>
        <v>Spain</v>
      </c>
      <c r="BH766" s="103" t="str">
        <f>IF(AND(BG766="MATCH NUL",DATA_CLEANED!AO757="-"),"MATCH_NUL",IF(ISNUMBER(SEARCH("win on penalties",W5243)),"WIN_BY_PENALTY",IF(ISNUMBER(SEARCH("win after extra time",W5243)),"WIN_BY_EXTRA_TIME",IF(ISNUMBER(SEARCH("Golden Goal",W5243)),"WIN_BY_GOLDEN_GOAL","WIN_BY_SCORE"))))</f>
        <v>WIN_BY_SCORE</v>
      </c>
      <c r="BI766" s="99" t="str">
        <f>IF(OR(BG766=DATA_CLEANED!AK757,BG766=DATA_CLEANED!AN757,BG766="MATCH NUL"),"OK","ERREUR")</f>
        <v>OK</v>
      </c>
    </row>
    <row r="767" spans="2:61">
      <c r="B767" s="75">
        <v>330</v>
      </c>
      <c r="C767" s="15" t="str">
        <v>Miguel Almirón</v>
      </c>
      <c r="D767" s="15">
        <v>32</v>
      </c>
      <c r="E767" s="15" t="str">
        <v>Paraguay</v>
      </c>
      <c r="F767" s="15" t="str">
        <v>CAM</v>
      </c>
      <c r="G767" s="15" t="str">
        <v>Atlanta United FC</v>
      </c>
      <c r="H767" s="15">
        <v>10</v>
      </c>
      <c r="I767" s="15" t="str">
        <f t="shared" si="69"/>
        <v>330|Miguel Almirón|32|Paraguay|CAM|Atlanta United FC|10</v>
      </c>
      <c r="J767" s="15" t="str">
        <f>IF(COUNTIF(I$438:I767,I767)&gt;1,"DOUBLON","OK")</f>
        <v>OK</v>
      </c>
      <c r="S767" s="30" t="str">
        <v>France</v>
      </c>
      <c r="T767" s="30" t="str">
        <f t="shared" si="70"/>
        <v>OK</v>
      </c>
      <c r="U767" s="30" t="str">
        <f t="shared" si="66"/>
        <v>-</v>
      </c>
      <c r="V767" s="30" t="str" cm="1">
        <f t="array" ref="V767">_xlfn.IFS(
ISNUMBER(SEARCH("USA",S767)),"United States",
ISNUMBER(SEARCH("Republic of Korea",S767)),"South Korea",
ISNUMBER(SEARCH("Cape Verde",S767)),"Cabo Verde",
ISNUMBER(SEARCH("Czechia",S767)),"Czech Republic",
ISNUMBER(SEARCH("Türkiye",S767)),"Turkey",
ISNUMBER(SEARCH("Ivory Coast",S767)),"Côte d'Ivoire",
ISNUMBER(SEARCH("Korea Republic",S767)),"South Korea",
ISNUMBER(SEARCH("Germany FR",S767)),"FR Germany",
ISNUMBER(SEARCH("West Germany",S767)),"FR Germany",
ISNUMBER(SEARCH("Germany DR",S767)),"DR Germany",
ISNUMBER(SEARCH("Korea DPR",S767)),"North Korea",
ISNUMBER(SEARCH("China PR",S767)),"China",
ISNUMBER(SEARCH("IR Iran",S767)),"Iran",
ISNUMBER(SEARCH("Congo DR",S767)),"Democratic Republic of the Congo",
ISNUMBER(SEARCH("DR Congo",S767)),"Democratic Republic of the Congo",
ISNUMBER(SEARCH("German DR",S767)),"DR Germany",
ISNUMBER(SEARCH("rn""&gt;United Arab Emirates",S767)),"United Arab Emirates",
ISNUMBER(SEARCH("rn""&gt;Republic of Ireland",S767)),"Ireland",
ISNUMBER(SEARCH("rn""&gt;Bosnia and Herzegovina",S767)),"Bosnia and Herzegovina",
ISNUMBER(SEARCH("rn""&gt;Trinidad and Tobago",S767)),"Trinidad and Tobago",
ISNUMBER(SEARCH("rn""&gt;Serbia and Montenegro",S767)),"Serbia and Montenegro",
ISNUMBER(SEARCH(_xlfn.UNICHAR(65533),S767)),"Côte d'Ivoire",
TRUE,""
)</f>
        <v/>
      </c>
      <c r="W767" s="30" t="str">
        <f t="shared" si="67"/>
        <v>France</v>
      </c>
      <c r="Z767" s="40" t="str">
        <v>Peter Mokaba Stadium</v>
      </c>
      <c r="AA767" s="40" t="str" cm="1">
        <f t="array" ref="AA767">IFERROR(_xlfn.XLOOKUP(Z767,_xlfn.ANCHORARRAY(Z$31),AA$31:AA$37),Z767)</f>
        <v>Peter Mokaba Stadium</v>
      </c>
      <c r="AB767" s="42" t="str">
        <v xml:space="preserve">Polokwane </v>
      </c>
      <c r="AC767" s="89" t="str">
        <f t="shared" si="68"/>
        <v xml:space="preserve">Polokwane </v>
      </c>
      <c r="AE767" s="42">
        <v>2006</v>
      </c>
      <c r="AK767" s="42">
        <v>0</v>
      </c>
      <c r="AL767" s="42">
        <v>2</v>
      </c>
      <c r="AW767" s="89" t="str">
        <v>GROUP_STAGE</v>
      </c>
      <c r="BE767" s="43" t="str">
        <f>IF(OR(DATA_CLEANED!AL758="",DATA_CLEANED!AM758=""),"MANQUANT",IF(OR(NOT(ISNUMBER(DATA_CLEANED!AL758)),NOT(ISNUMBER(DATA_CLEANED!AM758))),"ENTREE INVALIDE",IF(OR(DATA_CLEANED!AL758&lt;0,DATA_CLEANED!AM758&lt;0),"SCORE NEGATIF","OK")))</f>
        <v>OK</v>
      </c>
      <c r="BF767" s="43" t="str">
        <f>IF(DATA_CLEANED!AK758&lt;&gt;DATA_CLEANED!AN758,"OK","ERREUR")</f>
        <v>OK</v>
      </c>
      <c r="BG767" s="43" t="str">
        <f>IF(DATA_CLEANED!AL758&gt;DATA_CLEANED!AM758,DATA_CLEANED!AK758,IF(AND(DATA_QUALITE!W5244="-",DATA_CLEANED!AM758=DATA_CLEANED!AL758),"MATCH NUL",IF(AND(DATA_QUALITE!V5244="-",DATA_QUALITE!U5244="AUCUNE"),DATA_QUALITE!T5244,IF(DATA_QUALITE!V5244&lt;&gt;"-",DATA_QUALITE!V5244,DATA_CLEANED!AN758))))</f>
        <v>MATCH NUL</v>
      </c>
      <c r="BH767" s="103" t="str">
        <f>IF(AND(BG767="MATCH NUL",DATA_CLEANED!AO758="-"),"MATCH_NUL",IF(ISNUMBER(SEARCH("win on penalties",W5244)),"WIN_BY_PENALTY",IF(ISNUMBER(SEARCH("win after extra time",W5244)),"WIN_BY_EXTRA_TIME",IF(ISNUMBER(SEARCH("Golden Goal",W5244)),"WIN_BY_GOLDEN_GOAL","WIN_BY_SCORE"))))</f>
        <v>MATCH_NUL</v>
      </c>
      <c r="BI767" s="99" t="str">
        <f>IF(OR(BG767=DATA_CLEANED!AK758,BG767=DATA_CLEANED!AN758,BG767="MATCH NUL"),"OK","ERREUR")</f>
        <v>OK</v>
      </c>
    </row>
    <row r="768" spans="2:61">
      <c r="B768" s="75">
        <v>331</v>
      </c>
      <c r="C768" s="15" t="str">
        <v>Kaku</v>
      </c>
      <c r="D768" s="15">
        <v>31</v>
      </c>
      <c r="E768" s="15" t="str">
        <v>Paraguay</v>
      </c>
      <c r="F768" s="15" t="str">
        <v>CAM</v>
      </c>
      <c r="G768" s="15" t="str">
        <v>Al Ain</v>
      </c>
      <c r="H768" s="15">
        <v>17</v>
      </c>
      <c r="I768" s="15" t="str">
        <f t="shared" si="69"/>
        <v>331|Kaku|31|Paraguay|CAM|Al Ain|17</v>
      </c>
      <c r="J768" s="15" t="str">
        <f>IF(COUNTIF(I$438:I768,I768)&gt;1,"DOUBLON","OK")</f>
        <v>OK</v>
      </c>
      <c r="S768" s="30" t="str">
        <v>West Germany</v>
      </c>
      <c r="T768" s="30" t="str">
        <f t="shared" si="70"/>
        <v>ERREUR</v>
      </c>
      <c r="U768" s="30" t="str">
        <f t="shared" ref="U768:U831" si="71">IF(OR(S768="Scotland",S768="England",S768="Wales",S768="Yugoslavia",S768="Czechoslovakia",S768="Northern Ireland",S768="Soviet Union",S768="Zaire",S768="Dutch East Indies"),"AUCUNE",IF(OR(S768="Cape Verde",S768="USA",S768="DR Congo",S768="Republic of Korea",S768="Germany FR",S768="Germany DR",S768="Czechia",S768="Ivory Coast",S768="Korea DPR",S768="China PR",S768="IR Iran",S768="Türkiye",S768="Congo DR",S768="German DR",S768="West Germany",S768="Republic of Ireland",ISNUMBER(SEARCH("rn""&gt;United Arab Emirates",S768)),ISNUMBER(SEARCH("rn""&gt;Republic of Ireland",S768)),ISNUMBER(SEARCH("rn""&gt;Bosnia and Herzegovina",S768)),ISNUMBER(SEARCH("rn""&gt;Trinidad and Tobago",S768)),ISNUMBER(SEARCH("rn""&gt;Serbia and Montenegro",S768)),ISNUMBER(SEARCH(_xlfn.UNICHAR(65533),S768))),"RENOMMER","-"))</f>
        <v>RENOMMER</v>
      </c>
      <c r="V768" s="30" t="str" cm="1">
        <f t="array" ref="V768">_xlfn.IFS(
ISNUMBER(SEARCH("USA",S768)),"United States",
ISNUMBER(SEARCH("Republic of Korea",S768)),"South Korea",
ISNUMBER(SEARCH("Cape Verde",S768)),"Cabo Verde",
ISNUMBER(SEARCH("Czechia",S768)),"Czech Republic",
ISNUMBER(SEARCH("Türkiye",S768)),"Turkey",
ISNUMBER(SEARCH("Ivory Coast",S768)),"Côte d'Ivoire",
ISNUMBER(SEARCH("Korea Republic",S768)),"South Korea",
ISNUMBER(SEARCH("Germany FR",S768)),"FR Germany",
ISNUMBER(SEARCH("West Germany",S768)),"FR Germany",
ISNUMBER(SEARCH("Germany DR",S768)),"DR Germany",
ISNUMBER(SEARCH("Korea DPR",S768)),"North Korea",
ISNUMBER(SEARCH("China PR",S768)),"China",
ISNUMBER(SEARCH("IR Iran",S768)),"Iran",
ISNUMBER(SEARCH("Congo DR",S768)),"Democratic Republic of the Congo",
ISNUMBER(SEARCH("DR Congo",S768)),"Democratic Republic of the Congo",
ISNUMBER(SEARCH("German DR",S768)),"DR Germany",
ISNUMBER(SEARCH("rn""&gt;United Arab Emirates",S768)),"United Arab Emirates",
ISNUMBER(SEARCH("rn""&gt;Republic of Ireland",S768)),"Ireland",
ISNUMBER(SEARCH("rn""&gt;Bosnia and Herzegovina",S768)),"Bosnia and Herzegovina",
ISNUMBER(SEARCH("rn""&gt;Trinidad and Tobago",S768)),"Trinidad and Tobago",
ISNUMBER(SEARCH("rn""&gt;Serbia and Montenegro",S768)),"Serbia and Montenegro",
ISNUMBER(SEARCH(_xlfn.UNICHAR(65533),S768)),"Côte d'Ivoire",
TRUE,""
)</f>
        <v>FR Germany</v>
      </c>
      <c r="W768" s="30" t="str">
        <f t="shared" si="67"/>
        <v>FR Germany</v>
      </c>
      <c r="Z768" s="40" t="str">
        <v>Port Elizabeth Stadium</v>
      </c>
      <c r="AA768" s="40" t="str" cm="1">
        <f t="array" ref="AA768">IFERROR(_xlfn.XLOOKUP(Z768,_xlfn.ANCHORARRAY(Z$31),AA$31:AA$37),Z768)</f>
        <v>Port Elizabeth Stadium</v>
      </c>
      <c r="AB768" s="42" t="str">
        <v xml:space="preserve">Nelson Mandela Bay/Port Elizabeth </v>
      </c>
      <c r="AC768" s="89" t="str">
        <f t="shared" si="68"/>
        <v xml:space="preserve">Nelson Mandela Bay/Port Elizabeth </v>
      </c>
      <c r="AE768" s="42">
        <v>2006</v>
      </c>
      <c r="AK768" s="42">
        <v>2</v>
      </c>
      <c r="AL768" s="42">
        <v>1</v>
      </c>
      <c r="AW768" s="89" t="str">
        <v>ROUND_OF_16</v>
      </c>
      <c r="BE768" s="43" t="str">
        <f>IF(OR(DATA_CLEANED!AL759="",DATA_CLEANED!AM759=""),"MANQUANT",IF(OR(NOT(ISNUMBER(DATA_CLEANED!AL759)),NOT(ISNUMBER(DATA_CLEANED!AM759))),"ENTREE INVALIDE",IF(OR(DATA_CLEANED!AL759&lt;0,DATA_CLEANED!AM759&lt;0),"SCORE NEGATIF","OK")))</f>
        <v>OK</v>
      </c>
      <c r="BF768" s="43" t="str">
        <f>IF(DATA_CLEANED!AK759&lt;&gt;DATA_CLEANED!AN759,"OK","ERREUR")</f>
        <v>OK</v>
      </c>
      <c r="BG768" s="43" t="str">
        <f>IF(DATA_CLEANED!AL759&gt;DATA_CLEANED!AM759,DATA_CLEANED!AK759,IF(AND(DATA_QUALITE!W5245="-",DATA_CLEANED!AM759=DATA_CLEANED!AL759),"MATCH NUL",IF(AND(DATA_QUALITE!V5245="-",DATA_QUALITE!U5245="AUCUNE"),DATA_QUALITE!T5245,IF(DATA_QUALITE!V5245&lt;&gt;"-",DATA_QUALITE!V5245,DATA_CLEANED!AN759))))</f>
        <v>Uruguay</v>
      </c>
      <c r="BH768" s="103" t="str">
        <f>IF(AND(BG768="MATCH NUL",DATA_CLEANED!AO759="-"),"MATCH_NUL",IF(ISNUMBER(SEARCH("win on penalties",W5245)),"WIN_BY_PENALTY",IF(ISNUMBER(SEARCH("win after extra time",W5245)),"WIN_BY_EXTRA_TIME",IF(ISNUMBER(SEARCH("Golden Goal",W5245)),"WIN_BY_GOLDEN_GOAL","WIN_BY_SCORE"))))</f>
        <v>WIN_BY_SCORE</v>
      </c>
      <c r="BI768" s="99" t="str">
        <f>IF(OR(BG768=DATA_CLEANED!AK759,BG768=DATA_CLEANED!AN759,BG768="MATCH NUL"),"OK","ERREUR")</f>
        <v>OK</v>
      </c>
    </row>
    <row r="769" spans="2:61">
      <c r="B769" s="75">
        <v>332</v>
      </c>
      <c r="C769" s="15" t="str">
        <v>Gustavo Caballero</v>
      </c>
      <c r="D769" s="15">
        <v>24</v>
      </c>
      <c r="E769" s="15" t="str">
        <v>Paraguay</v>
      </c>
      <c r="F769" s="15" t="str">
        <v>CAM</v>
      </c>
      <c r="G769" s="15" t="str">
        <v>Portsmouth</v>
      </c>
      <c r="H769" s="15">
        <v>24</v>
      </c>
      <c r="I769" s="15" t="str">
        <f t="shared" si="69"/>
        <v>332|Gustavo Caballero|24|Paraguay|CAM|Portsmouth|24</v>
      </c>
      <c r="J769" s="15" t="str">
        <f>IF(COUNTIF(I$438:I769,I769)&gt;1,"DOUBLON","OK")</f>
        <v>OK</v>
      </c>
      <c r="S769" s="30" t="str">
        <v>France</v>
      </c>
      <c r="T769" s="30" t="str">
        <f t="shared" si="70"/>
        <v>OK</v>
      </c>
      <c r="U769" s="30" t="str">
        <f t="shared" si="71"/>
        <v>-</v>
      </c>
      <c r="V769" s="30" t="str" cm="1">
        <f t="array" ref="V769">_xlfn.IFS(
ISNUMBER(SEARCH("USA",S769)),"United States",
ISNUMBER(SEARCH("Republic of Korea",S769)),"South Korea",
ISNUMBER(SEARCH("Cape Verde",S769)),"Cabo Verde",
ISNUMBER(SEARCH("Czechia",S769)),"Czech Republic",
ISNUMBER(SEARCH("Türkiye",S769)),"Turkey",
ISNUMBER(SEARCH("Ivory Coast",S769)),"Côte d'Ivoire",
ISNUMBER(SEARCH("Korea Republic",S769)),"South Korea",
ISNUMBER(SEARCH("Germany FR",S769)),"FR Germany",
ISNUMBER(SEARCH("West Germany",S769)),"FR Germany",
ISNUMBER(SEARCH("Germany DR",S769)),"DR Germany",
ISNUMBER(SEARCH("Korea DPR",S769)),"North Korea",
ISNUMBER(SEARCH("China PR",S769)),"China",
ISNUMBER(SEARCH("IR Iran",S769)),"Iran",
ISNUMBER(SEARCH("Congo DR",S769)),"Democratic Republic of the Congo",
ISNUMBER(SEARCH("DR Congo",S769)),"Democratic Republic of the Congo",
ISNUMBER(SEARCH("German DR",S769)),"DR Germany",
ISNUMBER(SEARCH("rn""&gt;United Arab Emirates",S769)),"United Arab Emirates",
ISNUMBER(SEARCH("rn""&gt;Republic of Ireland",S769)),"Ireland",
ISNUMBER(SEARCH("rn""&gt;Bosnia and Herzegovina",S769)),"Bosnia and Herzegovina",
ISNUMBER(SEARCH("rn""&gt;Trinidad and Tobago",S769)),"Trinidad and Tobago",
ISNUMBER(SEARCH("rn""&gt;Serbia and Montenegro",S769)),"Serbia and Montenegro",
ISNUMBER(SEARCH(_xlfn.UNICHAR(65533),S769)),"Côte d'Ivoire",
TRUE,""
)</f>
        <v/>
      </c>
      <c r="W769" s="30" t="str">
        <f t="shared" si="67"/>
        <v>France</v>
      </c>
      <c r="Z769" s="40" t="str">
        <v>Ellis Park Stadium</v>
      </c>
      <c r="AA769" s="40" t="str" cm="1">
        <f t="array" ref="AA769">IFERROR(_xlfn.XLOOKUP(Z769,_xlfn.ANCHORARRAY(Z$31),AA$31:AA$37),Z769)</f>
        <v>Ellis Park Stadium</v>
      </c>
      <c r="AB769" s="42" t="str">
        <v xml:space="preserve">Johannesburg </v>
      </c>
      <c r="AC769" s="89" t="str">
        <f t="shared" si="68"/>
        <v xml:space="preserve">Johannesburg </v>
      </c>
      <c r="AE769" s="42">
        <v>2006</v>
      </c>
      <c r="AK769" s="42">
        <v>1</v>
      </c>
      <c r="AL769" s="42">
        <v>4</v>
      </c>
      <c r="AW769" s="89" t="str">
        <v>ROUND_OF_16</v>
      </c>
      <c r="BE769" s="43" t="str">
        <f>IF(OR(DATA_CLEANED!AL760="",DATA_CLEANED!AM760=""),"MANQUANT",IF(OR(NOT(ISNUMBER(DATA_CLEANED!AL760)),NOT(ISNUMBER(DATA_CLEANED!AM760))),"ENTREE INVALIDE",IF(OR(DATA_CLEANED!AL760&lt;0,DATA_CLEANED!AM760&lt;0),"SCORE NEGATIF","OK")))</f>
        <v>OK</v>
      </c>
      <c r="BF769" s="43" t="str">
        <f>IF(DATA_CLEANED!AK760&lt;&gt;DATA_CLEANED!AN760,"OK","ERREUR")</f>
        <v>OK</v>
      </c>
      <c r="BG769" s="43" t="str">
        <f>IF(DATA_CLEANED!AL760&gt;DATA_CLEANED!AM760,DATA_CLEANED!AK760,IF(AND(DATA_QUALITE!W5246="-",DATA_CLEANED!AM760=DATA_CLEANED!AL760),"MATCH NUL",IF(AND(DATA_QUALITE!V5246="-",DATA_QUALITE!U5246="AUCUNE"),DATA_QUALITE!T5246,IF(DATA_QUALITE!V5246&lt;&gt;"-",DATA_QUALITE!V5246,DATA_CLEANED!AN760))))</f>
        <v>Ghana</v>
      </c>
      <c r="BH769" s="103" t="str">
        <f>IF(AND(BG769="MATCH NUL",DATA_CLEANED!AO760="-"),"MATCH_NUL",IF(ISNUMBER(SEARCH("win on penalties",W5246)),"WIN_BY_PENALTY",IF(ISNUMBER(SEARCH("win after extra time",W5246)),"WIN_BY_EXTRA_TIME",IF(ISNUMBER(SEARCH("Golden Goal",W5246)),"WIN_BY_GOLDEN_GOAL","WIN_BY_SCORE"))))</f>
        <v>WIN_BY_EXTRA_TIME</v>
      </c>
      <c r="BI769" s="99" t="str">
        <f>IF(OR(BG769=DATA_CLEANED!AK760,BG769=DATA_CLEANED!AN760,BG769="MATCH NUL"),"OK","ERREUR")</f>
        <v>OK</v>
      </c>
    </row>
    <row r="770" spans="2:61">
      <c r="B770" s="75">
        <v>333</v>
      </c>
      <c r="C770" s="15" t="str">
        <v>Ramón Sosa</v>
      </c>
      <c r="D770" s="15">
        <v>26</v>
      </c>
      <c r="E770" s="15" t="str">
        <v>Paraguay</v>
      </c>
      <c r="F770" s="15" t="str">
        <v>LW</v>
      </c>
      <c r="G770" s="15" t="str">
        <v>Palmeiras</v>
      </c>
      <c r="H770" s="15">
        <v>7</v>
      </c>
      <c r="I770" s="15" t="str">
        <f t="shared" si="69"/>
        <v>333|Ramón Sosa|26|Paraguay|LW|Palmeiras|7</v>
      </c>
      <c r="J770" s="15" t="str">
        <f>IF(COUNTIF(I$438:I770,I770)&gt;1,"DOUBLON","OK")</f>
        <v>OK</v>
      </c>
      <c r="S770" s="30" t="str">
        <v>West Germany</v>
      </c>
      <c r="T770" s="30" t="str">
        <f t="shared" si="70"/>
        <v>ERREUR</v>
      </c>
      <c r="U770" s="30" t="str">
        <f t="shared" si="71"/>
        <v>RENOMMER</v>
      </c>
      <c r="V770" s="30" t="str" cm="1">
        <f t="array" ref="V770">_xlfn.IFS(
ISNUMBER(SEARCH("USA",S770)),"United States",
ISNUMBER(SEARCH("Republic of Korea",S770)),"South Korea",
ISNUMBER(SEARCH("Cape Verde",S770)),"Cabo Verde",
ISNUMBER(SEARCH("Czechia",S770)),"Czech Republic",
ISNUMBER(SEARCH("Türkiye",S770)),"Turkey",
ISNUMBER(SEARCH("Ivory Coast",S770)),"Côte d'Ivoire",
ISNUMBER(SEARCH("Korea Republic",S770)),"South Korea",
ISNUMBER(SEARCH("Germany FR",S770)),"FR Germany",
ISNUMBER(SEARCH("West Germany",S770)),"FR Germany",
ISNUMBER(SEARCH("Germany DR",S770)),"DR Germany",
ISNUMBER(SEARCH("Korea DPR",S770)),"North Korea",
ISNUMBER(SEARCH("China PR",S770)),"China",
ISNUMBER(SEARCH("IR Iran",S770)),"Iran",
ISNUMBER(SEARCH("Congo DR",S770)),"Democratic Republic of the Congo",
ISNUMBER(SEARCH("DR Congo",S770)),"Democratic Republic of the Congo",
ISNUMBER(SEARCH("German DR",S770)),"DR Germany",
ISNUMBER(SEARCH("rn""&gt;United Arab Emirates",S770)),"United Arab Emirates",
ISNUMBER(SEARCH("rn""&gt;Republic of Ireland",S770)),"Ireland",
ISNUMBER(SEARCH("rn""&gt;Bosnia and Herzegovina",S770)),"Bosnia and Herzegovina",
ISNUMBER(SEARCH("rn""&gt;Trinidad and Tobago",S770)),"Trinidad and Tobago",
ISNUMBER(SEARCH("rn""&gt;Serbia and Montenegro",S770)),"Serbia and Montenegro",
ISNUMBER(SEARCH(_xlfn.UNICHAR(65533),S770)),"Côte d'Ivoire",
TRUE,""
)</f>
        <v>FR Germany</v>
      </c>
      <c r="W770" s="30" t="str">
        <f t="shared" si="67"/>
        <v>FR Germany</v>
      </c>
      <c r="Z770" s="40" t="str">
        <v>Cape Town Stadium</v>
      </c>
      <c r="AA770" s="40" t="str" cm="1">
        <f t="array" ref="AA770">IFERROR(_xlfn.XLOOKUP(Z770,_xlfn.ANCHORARRAY(Z$31),AA$31:AA$37),Z770)</f>
        <v>Cape Town Stadium</v>
      </c>
      <c r="AB770" s="42" t="str">
        <v xml:space="preserve">Cape Town </v>
      </c>
      <c r="AC770" s="89" t="str">
        <f t="shared" si="68"/>
        <v xml:space="preserve">Cape Town </v>
      </c>
      <c r="AE770" s="42">
        <v>2006</v>
      </c>
      <c r="AK770" s="42">
        <v>2</v>
      </c>
      <c r="AL770" s="42">
        <v>2</v>
      </c>
      <c r="AW770" s="89" t="str">
        <v>ROUND_OF_16</v>
      </c>
      <c r="BE770" s="43" t="str">
        <f>IF(OR(DATA_CLEANED!AL761="",DATA_CLEANED!AM761=""),"MANQUANT",IF(OR(NOT(ISNUMBER(DATA_CLEANED!AL761)),NOT(ISNUMBER(DATA_CLEANED!AM761))),"ENTREE INVALIDE",IF(OR(DATA_CLEANED!AL761&lt;0,DATA_CLEANED!AM761&lt;0),"SCORE NEGATIF","OK")))</f>
        <v>OK</v>
      </c>
      <c r="BF770" s="43" t="str">
        <f>IF(DATA_CLEANED!AK761&lt;&gt;DATA_CLEANED!AN761,"OK","ERREUR")</f>
        <v>OK</v>
      </c>
      <c r="BG770" s="43" t="str">
        <f>IF(DATA_CLEANED!AL761&gt;DATA_CLEANED!AM761,DATA_CLEANED!AK761,IF(AND(DATA_QUALITE!W5247="-",DATA_CLEANED!AM761=DATA_CLEANED!AL761),"MATCH NUL",IF(AND(DATA_QUALITE!V5247="-",DATA_QUALITE!U5247="AUCUNE"),DATA_QUALITE!T5247,IF(DATA_QUALITE!V5247&lt;&gt;"-",DATA_QUALITE!V5247,DATA_CLEANED!AN761))))</f>
        <v>Germany</v>
      </c>
      <c r="BH770" s="103" t="str">
        <f>IF(AND(BG770="MATCH NUL",DATA_CLEANED!AO761="-"),"MATCH_NUL",IF(ISNUMBER(SEARCH("win on penalties",W5247)),"WIN_BY_PENALTY",IF(ISNUMBER(SEARCH("win after extra time",W5247)),"WIN_BY_EXTRA_TIME",IF(ISNUMBER(SEARCH("Golden Goal",W5247)),"WIN_BY_GOLDEN_GOAL","WIN_BY_SCORE"))))</f>
        <v>WIN_BY_SCORE</v>
      </c>
      <c r="BI770" s="99" t="str">
        <f>IF(OR(BG770=DATA_CLEANED!AK761,BG770=DATA_CLEANED!AN761,BG770="MATCH NUL"),"OK","ERREUR")</f>
        <v>OK</v>
      </c>
    </row>
    <row r="771" spans="2:61">
      <c r="B771" s="75">
        <v>334</v>
      </c>
      <c r="C771" s="15" t="str">
        <v>Julio Enciso</v>
      </c>
      <c r="D771" s="15">
        <v>22</v>
      </c>
      <c r="E771" s="15" t="str">
        <v>Paraguay</v>
      </c>
      <c r="F771" s="15" t="str">
        <v>LW</v>
      </c>
      <c r="G771" s="15" t="str">
        <v>Strasbourg</v>
      </c>
      <c r="H771" s="15">
        <v>19</v>
      </c>
      <c r="I771" s="15" t="str">
        <f t="shared" si="69"/>
        <v>334|Julio Enciso|22|Paraguay|LW|Strasbourg|19</v>
      </c>
      <c r="J771" s="15" t="str">
        <f>IF(COUNTIF(I$438:I771,I771)&gt;1,"DOUBLON","OK")</f>
        <v>OK</v>
      </c>
      <c r="S771" s="30" t="str">
        <v>France</v>
      </c>
      <c r="T771" s="30" t="str">
        <f t="shared" si="70"/>
        <v>OK</v>
      </c>
      <c r="U771" s="30" t="str">
        <f t="shared" si="71"/>
        <v>-</v>
      </c>
      <c r="V771" s="30" t="str" cm="1">
        <f t="array" ref="V771">_xlfn.IFS(
ISNUMBER(SEARCH("USA",S771)),"United States",
ISNUMBER(SEARCH("Republic of Korea",S771)),"South Korea",
ISNUMBER(SEARCH("Cape Verde",S771)),"Cabo Verde",
ISNUMBER(SEARCH("Czechia",S771)),"Czech Republic",
ISNUMBER(SEARCH("Türkiye",S771)),"Turkey",
ISNUMBER(SEARCH("Ivory Coast",S771)),"Côte d'Ivoire",
ISNUMBER(SEARCH("Korea Republic",S771)),"South Korea",
ISNUMBER(SEARCH("Germany FR",S771)),"FR Germany",
ISNUMBER(SEARCH("West Germany",S771)),"FR Germany",
ISNUMBER(SEARCH("Germany DR",S771)),"DR Germany",
ISNUMBER(SEARCH("Korea DPR",S771)),"North Korea",
ISNUMBER(SEARCH("China PR",S771)),"China",
ISNUMBER(SEARCH("IR Iran",S771)),"Iran",
ISNUMBER(SEARCH("Congo DR",S771)),"Democratic Republic of the Congo",
ISNUMBER(SEARCH("DR Congo",S771)),"Democratic Republic of the Congo",
ISNUMBER(SEARCH("German DR",S771)),"DR Germany",
ISNUMBER(SEARCH("rn""&gt;United Arab Emirates",S771)),"United Arab Emirates",
ISNUMBER(SEARCH("rn""&gt;Republic of Ireland",S771)),"Ireland",
ISNUMBER(SEARCH("rn""&gt;Bosnia and Herzegovina",S771)),"Bosnia and Herzegovina",
ISNUMBER(SEARCH("rn""&gt;Trinidad and Tobago",S771)),"Trinidad and Tobago",
ISNUMBER(SEARCH("rn""&gt;Serbia and Montenegro",S771)),"Serbia and Montenegro",
ISNUMBER(SEARCH(_xlfn.UNICHAR(65533),S771)),"Côte d'Ivoire",
TRUE,""
)</f>
        <v/>
      </c>
      <c r="W771" s="30" t="str">
        <f t="shared" si="67"/>
        <v>France</v>
      </c>
      <c r="Z771" s="40" t="str">
        <v>Durban Stadium</v>
      </c>
      <c r="AA771" s="40" t="str" cm="1">
        <f t="array" ref="AA771">IFERROR(_xlfn.XLOOKUP(Z771,_xlfn.ANCHORARRAY(Z$31),AA$31:AA$37),Z771)</f>
        <v>Durban Stadium</v>
      </c>
      <c r="AB771" s="42" t="str">
        <v xml:space="preserve">Durban </v>
      </c>
      <c r="AC771" s="89" t="str">
        <f t="shared" si="68"/>
        <v xml:space="preserve">Durban </v>
      </c>
      <c r="AE771" s="42">
        <v>2006</v>
      </c>
      <c r="AK771" s="42">
        <v>1</v>
      </c>
      <c r="AL771" s="42">
        <v>0</v>
      </c>
      <c r="AW771" s="89" t="str">
        <v>ROUND_OF_16</v>
      </c>
      <c r="BE771" s="43" t="str">
        <f>IF(OR(DATA_CLEANED!AL762="",DATA_CLEANED!AM762=""),"MANQUANT",IF(OR(NOT(ISNUMBER(DATA_CLEANED!AL762)),NOT(ISNUMBER(DATA_CLEANED!AM762))),"ENTREE INVALIDE",IF(OR(DATA_CLEANED!AL762&lt;0,DATA_CLEANED!AM762&lt;0),"SCORE NEGATIF","OK")))</f>
        <v>OK</v>
      </c>
      <c r="BF771" s="43" t="str">
        <f>IF(DATA_CLEANED!AK762&lt;&gt;DATA_CLEANED!AN762,"OK","ERREUR")</f>
        <v>OK</v>
      </c>
      <c r="BG771" s="43" t="str">
        <f>IF(DATA_CLEANED!AL762&gt;DATA_CLEANED!AM762,DATA_CLEANED!AK762,IF(AND(DATA_QUALITE!W5248="-",DATA_CLEANED!AM762=DATA_CLEANED!AL762),"MATCH NUL",IF(AND(DATA_QUALITE!V5248="-",DATA_QUALITE!U5248="AUCUNE"),DATA_QUALITE!T5248,IF(DATA_QUALITE!V5248&lt;&gt;"-",DATA_QUALITE!V5248,DATA_CLEANED!AN762))))</f>
        <v>Argentina</v>
      </c>
      <c r="BH771" s="103" t="str">
        <f>IF(AND(BG771="MATCH NUL",DATA_CLEANED!AO762="-"),"MATCH_NUL",IF(ISNUMBER(SEARCH("win on penalties",W5248)),"WIN_BY_PENALTY",IF(ISNUMBER(SEARCH("win after extra time",W5248)),"WIN_BY_EXTRA_TIME",IF(ISNUMBER(SEARCH("Golden Goal",W5248)),"WIN_BY_GOLDEN_GOAL","WIN_BY_SCORE"))))</f>
        <v>WIN_BY_SCORE</v>
      </c>
      <c r="BI771" s="99" t="str">
        <f>IF(OR(BG771=DATA_CLEANED!AK762,BG771=DATA_CLEANED!AN762,BG771="MATCH NUL"),"OK","ERREUR")</f>
        <v>OK</v>
      </c>
    </row>
    <row r="772" spans="2:61">
      <c r="B772" s="75">
        <v>335</v>
      </c>
      <c r="C772" s="15" t="str">
        <v>Isidro Pitta</v>
      </c>
      <c r="D772" s="15">
        <v>26</v>
      </c>
      <c r="E772" s="15" t="str">
        <v>Paraguay</v>
      </c>
      <c r="F772" s="15" t="str">
        <v>RW</v>
      </c>
      <c r="G772" s="15" t="str">
        <v>Red Bull Bragantino</v>
      </c>
      <c r="H772" s="15">
        <v>25</v>
      </c>
      <c r="I772" s="15" t="str">
        <f t="shared" si="69"/>
        <v>335|Isidro Pitta|26|Paraguay|RW|Red Bull Bragantino|25</v>
      </c>
      <c r="J772" s="15" t="str">
        <f>IF(COUNTIF(I$438:I772,I772)&gt;1,"DOUBLON","OK")</f>
        <v>OK</v>
      </c>
      <c r="S772" s="30" t="str">
        <v>West Germany</v>
      </c>
      <c r="T772" s="30" t="str">
        <f t="shared" si="70"/>
        <v>ERREUR</v>
      </c>
      <c r="U772" s="30" t="str">
        <f t="shared" si="71"/>
        <v>RENOMMER</v>
      </c>
      <c r="V772" s="30" t="str" cm="1">
        <f t="array" ref="V772">_xlfn.IFS(
ISNUMBER(SEARCH("USA",S772)),"United States",
ISNUMBER(SEARCH("Republic of Korea",S772)),"South Korea",
ISNUMBER(SEARCH("Cape Verde",S772)),"Cabo Verde",
ISNUMBER(SEARCH("Czechia",S772)),"Czech Republic",
ISNUMBER(SEARCH("Türkiye",S772)),"Turkey",
ISNUMBER(SEARCH("Ivory Coast",S772)),"Côte d'Ivoire",
ISNUMBER(SEARCH("Korea Republic",S772)),"South Korea",
ISNUMBER(SEARCH("Germany FR",S772)),"FR Germany",
ISNUMBER(SEARCH("West Germany",S772)),"FR Germany",
ISNUMBER(SEARCH("Germany DR",S772)),"DR Germany",
ISNUMBER(SEARCH("Korea DPR",S772)),"North Korea",
ISNUMBER(SEARCH("China PR",S772)),"China",
ISNUMBER(SEARCH("IR Iran",S772)),"Iran",
ISNUMBER(SEARCH("Congo DR",S772)),"Democratic Republic of the Congo",
ISNUMBER(SEARCH("DR Congo",S772)),"Democratic Republic of the Congo",
ISNUMBER(SEARCH("German DR",S772)),"DR Germany",
ISNUMBER(SEARCH("rn""&gt;United Arab Emirates",S772)),"United Arab Emirates",
ISNUMBER(SEARCH("rn""&gt;Republic of Ireland",S772)),"Ireland",
ISNUMBER(SEARCH("rn""&gt;Bosnia and Herzegovina",S772)),"Bosnia and Herzegovina",
ISNUMBER(SEARCH("rn""&gt;Trinidad and Tobago",S772)),"Trinidad and Tobago",
ISNUMBER(SEARCH("rn""&gt;Serbia and Montenegro",S772)),"Serbia and Montenegro",
ISNUMBER(SEARCH(_xlfn.UNICHAR(65533),S772)),"Côte d'Ivoire",
TRUE,""
)</f>
        <v>FR Germany</v>
      </c>
      <c r="W772" s="30" t="str">
        <f t="shared" si="67"/>
        <v>FR Germany</v>
      </c>
      <c r="Z772" s="40" t="str">
        <v>Royal Bafokeng Sports Palace</v>
      </c>
      <c r="AA772" s="40" t="str" cm="1">
        <f t="array" ref="AA772">IFERROR(_xlfn.XLOOKUP(Z772,_xlfn.ANCHORARRAY(Z$31),AA$31:AA$37),Z772)</f>
        <v>Royal Bafokeng Sports Palace</v>
      </c>
      <c r="AB772" s="42" t="str">
        <v xml:space="preserve">Phokeng </v>
      </c>
      <c r="AC772" s="89" t="str">
        <f t="shared" si="68"/>
        <v xml:space="preserve">Phokeng </v>
      </c>
      <c r="AE772" s="42">
        <v>2006</v>
      </c>
      <c r="AK772" s="42">
        <v>0</v>
      </c>
      <c r="AL772" s="42">
        <v>1</v>
      </c>
      <c r="AW772" s="89" t="str">
        <v>ROUND_OF_16</v>
      </c>
      <c r="BE772" s="43" t="str">
        <f>IF(OR(DATA_CLEANED!AL763="",DATA_CLEANED!AM763=""),"MANQUANT",IF(OR(NOT(ISNUMBER(DATA_CLEANED!AL763)),NOT(ISNUMBER(DATA_CLEANED!AM763))),"ENTREE INVALIDE",IF(OR(DATA_CLEANED!AL763&lt;0,DATA_CLEANED!AM763&lt;0),"SCORE NEGATIF","OK")))</f>
        <v>OK</v>
      </c>
      <c r="BF772" s="43" t="str">
        <f>IF(DATA_CLEANED!AK763&lt;&gt;DATA_CLEANED!AN763,"OK","ERREUR")</f>
        <v>OK</v>
      </c>
      <c r="BG772" s="43" t="str">
        <f>IF(DATA_CLEANED!AL763&gt;DATA_CLEANED!AM763,DATA_CLEANED!AK763,IF(AND(DATA_QUALITE!W5249="-",DATA_CLEANED!AM763=DATA_CLEANED!AL763),"MATCH NUL",IF(AND(DATA_QUALITE!V5249="-",DATA_QUALITE!U5249="AUCUNE"),DATA_QUALITE!T5249,IF(DATA_QUALITE!V5249&lt;&gt;"-",DATA_QUALITE!V5249,DATA_CLEANED!AN763))))</f>
        <v>Netherlands</v>
      </c>
      <c r="BH772" s="103" t="str">
        <f>IF(AND(BG772="MATCH NUL",DATA_CLEANED!AO763="-"),"MATCH_NUL",IF(ISNUMBER(SEARCH("win on penalties",W5249)),"WIN_BY_PENALTY",IF(ISNUMBER(SEARCH("win after extra time",W5249)),"WIN_BY_EXTRA_TIME",IF(ISNUMBER(SEARCH("Golden Goal",W5249)),"WIN_BY_GOLDEN_GOAL","WIN_BY_SCORE"))))</f>
        <v>WIN_BY_SCORE</v>
      </c>
      <c r="BI772" s="99" t="str">
        <f>IF(OR(BG772=DATA_CLEANED!AK763,BG772=DATA_CLEANED!AN763,BG772="MATCH NUL"),"OK","ERREUR")</f>
        <v>OK</v>
      </c>
    </row>
    <row r="773" spans="2:61">
      <c r="B773" s="75">
        <v>336</v>
      </c>
      <c r="C773" s="15" t="str">
        <v>Antonio Sanabria</v>
      </c>
      <c r="D773" s="15">
        <v>30</v>
      </c>
      <c r="E773" s="15" t="str">
        <v>Paraguay</v>
      </c>
      <c r="F773" s="15" t="str">
        <v>ST</v>
      </c>
      <c r="G773" s="15" t="str">
        <v>Cremonese</v>
      </c>
      <c r="H773" s="15">
        <v>9</v>
      </c>
      <c r="I773" s="15" t="str">
        <f t="shared" si="69"/>
        <v>336|Antonio Sanabria|30|Paraguay|ST|Cremonese|9</v>
      </c>
      <c r="J773" s="15" t="str">
        <f>IF(COUNTIF(I$438:I773,I773)&gt;1,"DOUBLON","OK")</f>
        <v>OK</v>
      </c>
      <c r="S773" s="30" t="str">
        <v>France</v>
      </c>
      <c r="T773" s="30" t="str">
        <f t="shared" si="70"/>
        <v>OK</v>
      </c>
      <c r="U773" s="30" t="str">
        <f t="shared" si="71"/>
        <v>-</v>
      </c>
      <c r="V773" s="30" t="str" cm="1">
        <f t="array" ref="V773">_xlfn.IFS(
ISNUMBER(SEARCH("USA",S773)),"United States",
ISNUMBER(SEARCH("Republic of Korea",S773)),"South Korea",
ISNUMBER(SEARCH("Cape Verde",S773)),"Cabo Verde",
ISNUMBER(SEARCH("Czechia",S773)),"Czech Republic",
ISNUMBER(SEARCH("Türkiye",S773)),"Turkey",
ISNUMBER(SEARCH("Ivory Coast",S773)),"Côte d'Ivoire",
ISNUMBER(SEARCH("Korea Republic",S773)),"South Korea",
ISNUMBER(SEARCH("Germany FR",S773)),"FR Germany",
ISNUMBER(SEARCH("West Germany",S773)),"FR Germany",
ISNUMBER(SEARCH("Germany DR",S773)),"DR Germany",
ISNUMBER(SEARCH("Korea DPR",S773)),"North Korea",
ISNUMBER(SEARCH("China PR",S773)),"China",
ISNUMBER(SEARCH("IR Iran",S773)),"Iran",
ISNUMBER(SEARCH("Congo DR",S773)),"Democratic Republic of the Congo",
ISNUMBER(SEARCH("DR Congo",S773)),"Democratic Republic of the Congo",
ISNUMBER(SEARCH("German DR",S773)),"DR Germany",
ISNUMBER(SEARCH("rn""&gt;United Arab Emirates",S773)),"United Arab Emirates",
ISNUMBER(SEARCH("rn""&gt;Republic of Ireland",S773)),"Ireland",
ISNUMBER(SEARCH("rn""&gt;Bosnia and Herzegovina",S773)),"Bosnia and Herzegovina",
ISNUMBER(SEARCH("rn""&gt;Trinidad and Tobago",S773)),"Trinidad and Tobago",
ISNUMBER(SEARCH("rn""&gt;Serbia and Montenegro",S773)),"Serbia and Montenegro",
ISNUMBER(SEARCH(_xlfn.UNICHAR(65533),S773)),"Côte d'Ivoire",
TRUE,""
)</f>
        <v/>
      </c>
      <c r="W773" s="30" t="str">
        <f t="shared" si="67"/>
        <v>France</v>
      </c>
      <c r="Z773" s="40" t="str">
        <v>Loftus Versfeld Stadium</v>
      </c>
      <c r="AA773" s="40" t="str" cm="1">
        <f t="array" ref="AA773">IFERROR(_xlfn.XLOOKUP(Z773,_xlfn.ANCHORARRAY(Z$31),AA$31:AA$37),Z773)</f>
        <v>Loftus Versfeld Stadium</v>
      </c>
      <c r="AB773" s="42" t="str">
        <v xml:space="preserve">Tshwane/Pretoria </v>
      </c>
      <c r="AC773" s="89" t="str">
        <f t="shared" si="68"/>
        <v xml:space="preserve">Tshwane/Pretoria </v>
      </c>
      <c r="AE773" s="42">
        <v>2006</v>
      </c>
      <c r="AK773" s="42">
        <v>0</v>
      </c>
      <c r="AL773" s="42">
        <v>2</v>
      </c>
      <c r="AW773" s="89" t="str">
        <v>ROUND_OF_16</v>
      </c>
      <c r="BE773" s="43" t="str">
        <f>IF(OR(DATA_CLEANED!AL764="",DATA_CLEANED!AM764=""),"MANQUANT",IF(OR(NOT(ISNUMBER(DATA_CLEANED!AL764)),NOT(ISNUMBER(DATA_CLEANED!AM764))),"ENTREE INVALIDE",IF(OR(DATA_CLEANED!AL764&lt;0,DATA_CLEANED!AM764&lt;0),"SCORE NEGATIF","OK")))</f>
        <v>OK</v>
      </c>
      <c r="BF773" s="43" t="str">
        <f>IF(DATA_CLEANED!AK764&lt;&gt;DATA_CLEANED!AN764,"OK","ERREUR")</f>
        <v>OK</v>
      </c>
      <c r="BG773" s="43" t="str">
        <f>IF(DATA_CLEANED!AL764&gt;DATA_CLEANED!AM764,DATA_CLEANED!AK764,IF(AND(DATA_QUALITE!W5250="-",DATA_CLEANED!AM764=DATA_CLEANED!AL764),"MATCH NUL",IF(AND(DATA_QUALITE!V5250="-",DATA_QUALITE!U5250="AUCUNE"),DATA_QUALITE!T5250,IF(DATA_QUALITE!V5250&lt;&gt;"-",DATA_QUALITE!V5250,DATA_CLEANED!AN764))))</f>
        <v>Brazil</v>
      </c>
      <c r="BH773" s="103" t="str">
        <f>IF(AND(BG773="MATCH NUL",DATA_CLEANED!AO764="-"),"MATCH_NUL",IF(ISNUMBER(SEARCH("win on penalties",W5250)),"WIN_BY_PENALTY",IF(ISNUMBER(SEARCH("win after extra time",W5250)),"WIN_BY_EXTRA_TIME",IF(ISNUMBER(SEARCH("Golden Goal",W5250)),"WIN_BY_GOLDEN_GOAL","WIN_BY_SCORE"))))</f>
        <v>WIN_BY_SCORE</v>
      </c>
      <c r="BI773" s="99" t="str">
        <f>IF(OR(BG773=DATA_CLEANED!AK764,BG773=DATA_CLEANED!AN764,BG773="MATCH NUL"),"OK","ERREUR")</f>
        <v>OK</v>
      </c>
    </row>
    <row r="774" spans="2:61">
      <c r="B774" s="75">
        <v>337</v>
      </c>
      <c r="C774" s="15" t="str">
        <v>Álex Arce</v>
      </c>
      <c r="D774" s="15">
        <v>30</v>
      </c>
      <c r="E774" s="15" t="str">
        <v>Paraguay</v>
      </c>
      <c r="F774" s="15" t="str">
        <v>ST</v>
      </c>
      <c r="G774" s="15" t="str">
        <v>Independiente Rivadavia</v>
      </c>
      <c r="H774" s="15">
        <v>18</v>
      </c>
      <c r="I774" s="15" t="str">
        <f t="shared" si="69"/>
        <v>337|Álex Arce|30|Paraguay|ST|Independiente Rivadavia|18</v>
      </c>
      <c r="J774" s="15" t="str">
        <f>IF(COUNTIF(I$438:I774,I774)&gt;1,"DOUBLON","OK")</f>
        <v>OK</v>
      </c>
      <c r="S774" s="30" t="str">
        <v>West Germany</v>
      </c>
      <c r="T774" s="30" t="str">
        <f t="shared" si="70"/>
        <v>ERREUR</v>
      </c>
      <c r="U774" s="30" t="str">
        <f t="shared" si="71"/>
        <v>RENOMMER</v>
      </c>
      <c r="V774" s="30" t="str" cm="1">
        <f t="array" ref="V774">_xlfn.IFS(
ISNUMBER(SEARCH("USA",S774)),"United States",
ISNUMBER(SEARCH("Republic of Korea",S774)),"South Korea",
ISNUMBER(SEARCH("Cape Verde",S774)),"Cabo Verde",
ISNUMBER(SEARCH("Czechia",S774)),"Czech Republic",
ISNUMBER(SEARCH("Türkiye",S774)),"Turkey",
ISNUMBER(SEARCH("Ivory Coast",S774)),"Côte d'Ivoire",
ISNUMBER(SEARCH("Korea Republic",S774)),"South Korea",
ISNUMBER(SEARCH("Germany FR",S774)),"FR Germany",
ISNUMBER(SEARCH("West Germany",S774)),"FR Germany",
ISNUMBER(SEARCH("Germany DR",S774)),"DR Germany",
ISNUMBER(SEARCH("Korea DPR",S774)),"North Korea",
ISNUMBER(SEARCH("China PR",S774)),"China",
ISNUMBER(SEARCH("IR Iran",S774)),"Iran",
ISNUMBER(SEARCH("Congo DR",S774)),"Democratic Republic of the Congo",
ISNUMBER(SEARCH("DR Congo",S774)),"Democratic Republic of the Congo",
ISNUMBER(SEARCH("German DR",S774)),"DR Germany",
ISNUMBER(SEARCH("rn""&gt;United Arab Emirates",S774)),"United Arab Emirates",
ISNUMBER(SEARCH("rn""&gt;Republic of Ireland",S774)),"Ireland",
ISNUMBER(SEARCH("rn""&gt;Bosnia and Herzegovina",S774)),"Bosnia and Herzegovina",
ISNUMBER(SEARCH("rn""&gt;Trinidad and Tobago",S774)),"Trinidad and Tobago",
ISNUMBER(SEARCH("rn""&gt;Serbia and Montenegro",S774)),"Serbia and Montenegro",
ISNUMBER(SEARCH(_xlfn.UNICHAR(65533),S774)),"Côte d'Ivoire",
TRUE,""
)</f>
        <v>FR Germany</v>
      </c>
      <c r="W774" s="30" t="str">
        <f t="shared" si="67"/>
        <v>FR Germany</v>
      </c>
      <c r="Z774" s="40" t="str">
        <v>Free State Stadium</v>
      </c>
      <c r="AA774" s="40" t="str" cm="1">
        <f t="array" ref="AA774">IFERROR(_xlfn.XLOOKUP(Z774,_xlfn.ANCHORARRAY(Z$31),AA$31:AA$37),Z774)</f>
        <v>Free State Stadium</v>
      </c>
      <c r="AB774" s="42" t="str">
        <v xml:space="preserve">Mangaung/Bloemfontein </v>
      </c>
      <c r="AC774" s="89" t="str">
        <f t="shared" si="68"/>
        <v xml:space="preserve">Mangaung/Bloemfontein </v>
      </c>
      <c r="AE774" s="42">
        <v>2006</v>
      </c>
      <c r="AK774" s="42">
        <v>2</v>
      </c>
      <c r="AL774" s="42">
        <v>0</v>
      </c>
      <c r="AW774" s="89" t="str">
        <v>ROUND_OF_16</v>
      </c>
      <c r="BE774" s="43" t="str">
        <f>IF(OR(DATA_CLEANED!AL765="",DATA_CLEANED!AM765=""),"MANQUANT",IF(OR(NOT(ISNUMBER(DATA_CLEANED!AL765)),NOT(ISNUMBER(DATA_CLEANED!AM765))),"ENTREE INVALIDE",IF(OR(DATA_CLEANED!AL765&lt;0,DATA_CLEANED!AM765&lt;0),"SCORE NEGATIF","OK")))</f>
        <v>OK</v>
      </c>
      <c r="BF774" s="43" t="str">
        <f>IF(DATA_CLEANED!AK765&lt;&gt;DATA_CLEANED!AN765,"OK","ERREUR")</f>
        <v>OK</v>
      </c>
      <c r="BG774" s="43" t="str">
        <f>IF(DATA_CLEANED!AL765&gt;DATA_CLEANED!AM765,DATA_CLEANED!AK765,IF(AND(DATA_QUALITE!W5251="-",DATA_CLEANED!AM765=DATA_CLEANED!AL765),"MATCH NUL",IF(AND(DATA_QUALITE!V5251="-",DATA_QUALITE!U5251="AUCUNE"),DATA_QUALITE!T5251,IF(DATA_QUALITE!V5251&lt;&gt;"-",DATA_QUALITE!V5251,DATA_CLEANED!AN765))))</f>
        <v>Paraguay</v>
      </c>
      <c r="BH774" s="103" t="str">
        <f>IF(AND(BG774="MATCH NUL",DATA_CLEANED!AO765="-"),"MATCH_NUL",IF(ISNUMBER(SEARCH("win on penalties",W5251)),"WIN_BY_PENALTY",IF(ISNUMBER(SEARCH("win after extra time",W5251)),"WIN_BY_EXTRA_TIME",IF(ISNUMBER(SEARCH("Golden Goal",W5251)),"WIN_BY_GOLDEN_GOAL","WIN_BY_SCORE"))))</f>
        <v>WIN_BY_PENALTY</v>
      </c>
      <c r="BI774" s="99" t="str">
        <f>IF(OR(BG774=DATA_CLEANED!AK765,BG774=DATA_CLEANED!AN765,BG774="MATCH NUL"),"OK","ERREUR")</f>
        <v>OK</v>
      </c>
    </row>
    <row r="775" spans="2:61">
      <c r="B775" s="75">
        <v>338</v>
      </c>
      <c r="C775" s="15" t="str">
        <v>Gabriel Ávalos</v>
      </c>
      <c r="D775" s="15">
        <v>34</v>
      </c>
      <c r="E775" s="15" t="str">
        <v>Paraguay</v>
      </c>
      <c r="F775" s="15" t="str">
        <v>ST</v>
      </c>
      <c r="G775" s="15" t="str">
        <v>Independiente</v>
      </c>
      <c r="H775" s="15">
        <v>21</v>
      </c>
      <c r="I775" s="15" t="str">
        <f t="shared" si="69"/>
        <v>338|Gabriel Ávalos|34|Paraguay|ST|Independiente|21</v>
      </c>
      <c r="J775" s="15" t="str">
        <f>IF(COUNTIF(I$438:I775,I775)&gt;1,"DOUBLON","OK")</f>
        <v>OK</v>
      </c>
      <c r="S775" s="30" t="str">
        <v>France</v>
      </c>
      <c r="T775" s="30" t="str">
        <f t="shared" si="70"/>
        <v>OK</v>
      </c>
      <c r="U775" s="30" t="str">
        <f t="shared" si="71"/>
        <v>-</v>
      </c>
      <c r="V775" s="30" t="str" cm="1">
        <f t="array" ref="V775">_xlfn.IFS(
ISNUMBER(SEARCH("USA",S775)),"United States",
ISNUMBER(SEARCH("Republic of Korea",S775)),"South Korea",
ISNUMBER(SEARCH("Cape Verde",S775)),"Cabo Verde",
ISNUMBER(SEARCH("Czechia",S775)),"Czech Republic",
ISNUMBER(SEARCH("Türkiye",S775)),"Turkey",
ISNUMBER(SEARCH("Ivory Coast",S775)),"Côte d'Ivoire",
ISNUMBER(SEARCH("Korea Republic",S775)),"South Korea",
ISNUMBER(SEARCH("Germany FR",S775)),"FR Germany",
ISNUMBER(SEARCH("West Germany",S775)),"FR Germany",
ISNUMBER(SEARCH("Germany DR",S775)),"DR Germany",
ISNUMBER(SEARCH("Korea DPR",S775)),"North Korea",
ISNUMBER(SEARCH("China PR",S775)),"China",
ISNUMBER(SEARCH("IR Iran",S775)),"Iran",
ISNUMBER(SEARCH("Congo DR",S775)),"Democratic Republic of the Congo",
ISNUMBER(SEARCH("DR Congo",S775)),"Democratic Republic of the Congo",
ISNUMBER(SEARCH("German DR",S775)),"DR Germany",
ISNUMBER(SEARCH("rn""&gt;United Arab Emirates",S775)),"United Arab Emirates",
ISNUMBER(SEARCH("rn""&gt;Republic of Ireland",S775)),"Ireland",
ISNUMBER(SEARCH("rn""&gt;Bosnia and Herzegovina",S775)),"Bosnia and Herzegovina",
ISNUMBER(SEARCH("rn""&gt;Trinidad and Tobago",S775)),"Trinidad and Tobago",
ISNUMBER(SEARCH("rn""&gt;Serbia and Montenegro",S775)),"Serbia and Montenegro",
ISNUMBER(SEARCH(_xlfn.UNICHAR(65533),S775)),"Côte d'Ivoire",
TRUE,""
)</f>
        <v/>
      </c>
      <c r="W775" s="30" t="str">
        <f t="shared" si="67"/>
        <v>France</v>
      </c>
      <c r="Z775" s="40" t="str">
        <v>Mbombela Stadium</v>
      </c>
      <c r="AA775" s="40" t="str" cm="1">
        <f t="array" ref="AA775">IFERROR(_xlfn.XLOOKUP(Z775,_xlfn.ANCHORARRAY(Z$31),AA$31:AA$37),Z775)</f>
        <v>Mbombela Stadium</v>
      </c>
      <c r="AB775" s="42" t="str">
        <v xml:space="preserve">Nelspruit </v>
      </c>
      <c r="AC775" s="89" t="str">
        <f t="shared" si="68"/>
        <v xml:space="preserve">Nelspruit </v>
      </c>
      <c r="AE775" s="42">
        <v>2006</v>
      </c>
      <c r="AK775" s="42">
        <v>2</v>
      </c>
      <c r="AL775" s="42">
        <v>0</v>
      </c>
      <c r="AW775" s="89" t="str">
        <v>ROUND_OF_16</v>
      </c>
      <c r="BE775" s="43" t="str">
        <f>IF(OR(DATA_CLEANED!AL766="",DATA_CLEANED!AM766=""),"MANQUANT",IF(OR(NOT(ISNUMBER(DATA_CLEANED!AL766)),NOT(ISNUMBER(DATA_CLEANED!AM766))),"ENTREE INVALIDE",IF(OR(DATA_CLEANED!AL766&lt;0,DATA_CLEANED!AM766&lt;0),"SCORE NEGATIF","OK")))</f>
        <v>OK</v>
      </c>
      <c r="BF775" s="43" t="str">
        <f>IF(DATA_CLEANED!AK766&lt;&gt;DATA_CLEANED!AN766,"OK","ERREUR")</f>
        <v>OK</v>
      </c>
      <c r="BG775" s="43" t="str">
        <f>IF(DATA_CLEANED!AL766&gt;DATA_CLEANED!AM766,DATA_CLEANED!AK766,IF(AND(DATA_QUALITE!W5252="-",DATA_CLEANED!AM766=DATA_CLEANED!AL766),"MATCH NUL",IF(AND(DATA_QUALITE!V5252="-",DATA_QUALITE!U5252="AUCUNE"),DATA_QUALITE!T5252,IF(DATA_QUALITE!V5252&lt;&gt;"-",DATA_QUALITE!V5252,DATA_CLEANED!AN766))))</f>
        <v>Spain</v>
      </c>
      <c r="BH775" s="103" t="str">
        <f>IF(AND(BG775="MATCH NUL",DATA_CLEANED!AO766="-"),"MATCH_NUL",IF(ISNUMBER(SEARCH("win on penalties",W5252)),"WIN_BY_PENALTY",IF(ISNUMBER(SEARCH("win after extra time",W5252)),"WIN_BY_EXTRA_TIME",IF(ISNUMBER(SEARCH("Golden Goal",W5252)),"WIN_BY_GOLDEN_GOAL","WIN_BY_SCORE"))))</f>
        <v>WIN_BY_SCORE</v>
      </c>
      <c r="BI775" s="99" t="str">
        <f>IF(OR(BG775=DATA_CLEANED!AK766,BG775=DATA_CLEANED!AN766,BG775="MATCH NUL"),"OK","ERREUR")</f>
        <v>OK</v>
      </c>
    </row>
    <row r="776" spans="2:61">
      <c r="B776" s="75">
        <v>339</v>
      </c>
      <c r="C776" s="15" t="str">
        <v>Mert Günok</v>
      </c>
      <c r="D776" s="15">
        <v>37</v>
      </c>
      <c r="E776" s="15" t="str">
        <v>Turkey</v>
      </c>
      <c r="F776" s="15" t="str">
        <v>GK</v>
      </c>
      <c r="G776" s="15" t="str">
        <v>Fenerbahçe</v>
      </c>
      <c r="H776" s="15">
        <v>1</v>
      </c>
      <c r="I776" s="15" t="str">
        <f t="shared" si="69"/>
        <v>339|Mert Günok|37|Turkey|GK|Fenerbahçe|1</v>
      </c>
      <c r="J776" s="15" t="str">
        <f>IF(COUNTIF(I$438:I776,I776)&gt;1,"DOUBLON","OK")</f>
        <v>OK</v>
      </c>
      <c r="S776" s="30" t="str">
        <v>West Germany</v>
      </c>
      <c r="T776" s="30" t="str">
        <f t="shared" si="70"/>
        <v>ERREUR</v>
      </c>
      <c r="U776" s="30" t="str">
        <f t="shared" si="71"/>
        <v>RENOMMER</v>
      </c>
      <c r="V776" s="30" t="str" cm="1">
        <f t="array" ref="V776">_xlfn.IFS(
ISNUMBER(SEARCH("USA",S776)),"United States",
ISNUMBER(SEARCH("Republic of Korea",S776)),"South Korea",
ISNUMBER(SEARCH("Cape Verde",S776)),"Cabo Verde",
ISNUMBER(SEARCH("Czechia",S776)),"Czech Republic",
ISNUMBER(SEARCH("Türkiye",S776)),"Turkey",
ISNUMBER(SEARCH("Ivory Coast",S776)),"Côte d'Ivoire",
ISNUMBER(SEARCH("Korea Republic",S776)),"South Korea",
ISNUMBER(SEARCH("Germany FR",S776)),"FR Germany",
ISNUMBER(SEARCH("West Germany",S776)),"FR Germany",
ISNUMBER(SEARCH("Germany DR",S776)),"DR Germany",
ISNUMBER(SEARCH("Korea DPR",S776)),"North Korea",
ISNUMBER(SEARCH("China PR",S776)),"China",
ISNUMBER(SEARCH("IR Iran",S776)),"Iran",
ISNUMBER(SEARCH("Congo DR",S776)),"Democratic Republic of the Congo",
ISNUMBER(SEARCH("DR Congo",S776)),"Democratic Republic of the Congo",
ISNUMBER(SEARCH("German DR",S776)),"DR Germany",
ISNUMBER(SEARCH("rn""&gt;United Arab Emirates",S776)),"United Arab Emirates",
ISNUMBER(SEARCH("rn""&gt;Republic of Ireland",S776)),"Ireland",
ISNUMBER(SEARCH("rn""&gt;Bosnia and Herzegovina",S776)),"Bosnia and Herzegovina",
ISNUMBER(SEARCH("rn""&gt;Trinidad and Tobago",S776)),"Trinidad and Tobago",
ISNUMBER(SEARCH("rn""&gt;Serbia and Montenegro",S776)),"Serbia and Montenegro",
ISNUMBER(SEARCH(_xlfn.UNICHAR(65533),S776)),"Côte d'Ivoire",
TRUE,""
)</f>
        <v>FR Germany</v>
      </c>
      <c r="W776" s="30" t="str">
        <f t="shared" si="67"/>
        <v>FR Germany</v>
      </c>
      <c r="Z776" s="40" t="str">
        <v>Soccer City Stadium</v>
      </c>
      <c r="AA776" s="40" t="str" cm="1">
        <f t="array" ref="AA776">IFERROR(_xlfn.XLOOKUP(Z776,_xlfn.ANCHORARRAY(Z$31),AA$31:AA$37),Z776)</f>
        <v>Soccer City Stadium</v>
      </c>
      <c r="AB776" s="42" t="str">
        <v xml:space="preserve">Johannesburg </v>
      </c>
      <c r="AC776" s="89" t="str">
        <f t="shared" si="68"/>
        <v xml:space="preserve">Johannesburg </v>
      </c>
      <c r="AE776" s="42">
        <v>2006</v>
      </c>
      <c r="AK776" s="42">
        <v>2</v>
      </c>
      <c r="AL776" s="42">
        <v>1</v>
      </c>
      <c r="AW776" s="89" t="str">
        <v>QUARTER_FINALS</v>
      </c>
      <c r="BE776" s="43" t="str">
        <f>IF(OR(DATA_CLEANED!AL767="",DATA_CLEANED!AM767=""),"MANQUANT",IF(OR(NOT(ISNUMBER(DATA_CLEANED!AL767)),NOT(ISNUMBER(DATA_CLEANED!AM767))),"ENTREE INVALIDE",IF(OR(DATA_CLEANED!AL767&lt;0,DATA_CLEANED!AM767&lt;0),"SCORE NEGATIF","OK")))</f>
        <v>OK</v>
      </c>
      <c r="BF776" s="43" t="str">
        <f>IF(DATA_CLEANED!AK767&lt;&gt;DATA_CLEANED!AN767,"OK","ERREUR")</f>
        <v>OK</v>
      </c>
      <c r="BG776" s="43" t="str">
        <f>IF(DATA_CLEANED!AL767&gt;DATA_CLEANED!AM767,DATA_CLEANED!AK767,IF(AND(DATA_QUALITE!W5253="-",DATA_CLEANED!AM767=DATA_CLEANED!AL767),"MATCH NUL",IF(AND(DATA_QUALITE!V5253="-",DATA_QUALITE!U5253="AUCUNE"),DATA_QUALITE!T5253,IF(DATA_QUALITE!V5253&lt;&gt;"-",DATA_QUALITE!V5253,DATA_CLEANED!AN767))))</f>
        <v>Netherlands</v>
      </c>
      <c r="BH776" s="103" t="str">
        <f>IF(AND(BG776="MATCH NUL",DATA_CLEANED!AO767="-"),"MATCH_NUL",IF(ISNUMBER(SEARCH("win on penalties",W5253)),"WIN_BY_PENALTY",IF(ISNUMBER(SEARCH("win after extra time",W5253)),"WIN_BY_EXTRA_TIME",IF(ISNUMBER(SEARCH("Golden Goal",W5253)),"WIN_BY_GOLDEN_GOAL","WIN_BY_SCORE"))))</f>
        <v>WIN_BY_SCORE</v>
      </c>
      <c r="BI776" s="99" t="str">
        <f>IF(OR(BG776=DATA_CLEANED!AK767,BG776=DATA_CLEANED!AN767,BG776="MATCH NUL"),"OK","ERREUR")</f>
        <v>OK</v>
      </c>
    </row>
    <row r="777" spans="2:61">
      <c r="B777" s="75">
        <v>340</v>
      </c>
      <c r="C777" s="15" t="str">
        <v>Altay Bayındır</v>
      </c>
      <c r="D777" s="15">
        <v>28</v>
      </c>
      <c r="E777" s="15" t="str">
        <v>Turkey</v>
      </c>
      <c r="F777" s="15" t="str">
        <v>GK</v>
      </c>
      <c r="G777" s="15" t="str">
        <v>Manchester United</v>
      </c>
      <c r="H777" s="15">
        <v>12</v>
      </c>
      <c r="I777" s="15" t="str">
        <f t="shared" si="69"/>
        <v>340|Altay Bayındır|28|Turkey|GK|Manchester United|12</v>
      </c>
      <c r="J777" s="15" t="str">
        <f>IF(COUNTIF(I$438:I777,I777)&gt;1,"DOUBLON","OK")</f>
        <v>OK</v>
      </c>
      <c r="S777" s="30" t="str">
        <v>France</v>
      </c>
      <c r="T777" s="30" t="str">
        <f t="shared" si="70"/>
        <v>OK</v>
      </c>
      <c r="U777" s="30" t="str">
        <f t="shared" si="71"/>
        <v>-</v>
      </c>
      <c r="V777" s="30" t="str" cm="1">
        <f t="array" ref="V777">_xlfn.IFS(
ISNUMBER(SEARCH("USA",S777)),"United States",
ISNUMBER(SEARCH("Republic of Korea",S777)),"South Korea",
ISNUMBER(SEARCH("Cape Verde",S777)),"Cabo Verde",
ISNUMBER(SEARCH("Czechia",S777)),"Czech Republic",
ISNUMBER(SEARCH("Türkiye",S777)),"Turkey",
ISNUMBER(SEARCH("Ivory Coast",S777)),"Côte d'Ivoire",
ISNUMBER(SEARCH("Korea Republic",S777)),"South Korea",
ISNUMBER(SEARCH("Germany FR",S777)),"FR Germany",
ISNUMBER(SEARCH("West Germany",S777)),"FR Germany",
ISNUMBER(SEARCH("Germany DR",S777)),"DR Germany",
ISNUMBER(SEARCH("Korea DPR",S777)),"North Korea",
ISNUMBER(SEARCH("China PR",S777)),"China",
ISNUMBER(SEARCH("IR Iran",S777)),"Iran",
ISNUMBER(SEARCH("Congo DR",S777)),"Democratic Republic of the Congo",
ISNUMBER(SEARCH("DR Congo",S777)),"Democratic Republic of the Congo",
ISNUMBER(SEARCH("German DR",S777)),"DR Germany",
ISNUMBER(SEARCH("rn""&gt;United Arab Emirates",S777)),"United Arab Emirates",
ISNUMBER(SEARCH("rn""&gt;Republic of Ireland",S777)),"Ireland",
ISNUMBER(SEARCH("rn""&gt;Bosnia and Herzegovina",S777)),"Bosnia and Herzegovina",
ISNUMBER(SEARCH("rn""&gt;Trinidad and Tobago",S777)),"Trinidad and Tobago",
ISNUMBER(SEARCH("rn""&gt;Serbia and Montenegro",S777)),"Serbia and Montenegro",
ISNUMBER(SEARCH(_xlfn.UNICHAR(65533),S777)),"Côte d'Ivoire",
TRUE,""
)</f>
        <v/>
      </c>
      <c r="W777" s="30" t="str">
        <f t="shared" si="67"/>
        <v>France</v>
      </c>
      <c r="Z777" s="40" t="str">
        <v>Cape Town Stadium</v>
      </c>
      <c r="AA777" s="40" t="str" cm="1">
        <f t="array" ref="AA777">IFERROR(_xlfn.XLOOKUP(Z777,_xlfn.ANCHORARRAY(Z$31),AA$31:AA$37),Z777)</f>
        <v>Cape Town Stadium</v>
      </c>
      <c r="AB777" s="42" t="str">
        <v xml:space="preserve">Cape Town </v>
      </c>
      <c r="AC777" s="89" t="str">
        <f t="shared" si="68"/>
        <v xml:space="preserve">Cape Town </v>
      </c>
      <c r="AE777" s="42">
        <v>2006</v>
      </c>
      <c r="AK777" s="42">
        <v>1</v>
      </c>
      <c r="AL777" s="42">
        <v>0</v>
      </c>
      <c r="AW777" s="89" t="str">
        <v>QUARTER_FINALS</v>
      </c>
      <c r="BE777" s="43" t="str">
        <f>IF(OR(DATA_CLEANED!AL768="",DATA_CLEANED!AM768=""),"MANQUANT",IF(OR(NOT(ISNUMBER(DATA_CLEANED!AL768)),NOT(ISNUMBER(DATA_CLEANED!AM768))),"ENTREE INVALIDE",IF(OR(DATA_CLEANED!AL768&lt;0,DATA_CLEANED!AM768&lt;0),"SCORE NEGATIF","OK")))</f>
        <v>OK</v>
      </c>
      <c r="BF777" s="43" t="str">
        <f>IF(DATA_CLEANED!AK768&lt;&gt;DATA_CLEANED!AN768,"OK","ERREUR")</f>
        <v>OK</v>
      </c>
      <c r="BG777" s="43" t="str">
        <f>IF(DATA_CLEANED!AL768&gt;DATA_CLEANED!AM768,DATA_CLEANED!AK768,IF(AND(DATA_QUALITE!W5254="-",DATA_CLEANED!AM768=DATA_CLEANED!AL768),"MATCH NUL",IF(AND(DATA_QUALITE!V5254="-",DATA_QUALITE!U5254="AUCUNE"),DATA_QUALITE!T5254,IF(DATA_QUALITE!V5254&lt;&gt;"-",DATA_QUALITE!V5254,DATA_CLEANED!AN768))))</f>
        <v>Uruguay</v>
      </c>
      <c r="BH777" s="103" t="str">
        <f>IF(AND(BG777="MATCH NUL",DATA_CLEANED!AO768="-"),"MATCH_NUL",IF(ISNUMBER(SEARCH("win on penalties",W5254)),"WIN_BY_PENALTY",IF(ISNUMBER(SEARCH("win after extra time",W5254)),"WIN_BY_EXTRA_TIME",IF(ISNUMBER(SEARCH("Golden Goal",W5254)),"WIN_BY_GOLDEN_GOAL","WIN_BY_SCORE"))))</f>
        <v>WIN_BY_PENALTY</v>
      </c>
      <c r="BI777" s="99" t="str">
        <f>IF(OR(BG777=DATA_CLEANED!AK768,BG777=DATA_CLEANED!AN768,BG777="MATCH NUL"),"OK","ERREUR")</f>
        <v>OK</v>
      </c>
    </row>
    <row r="778" spans="2:61">
      <c r="B778" s="75">
        <v>341</v>
      </c>
      <c r="C778" s="15" t="str">
        <v>Uğurcan Çakır</v>
      </c>
      <c r="D778" s="15">
        <v>30</v>
      </c>
      <c r="E778" s="15" t="str">
        <v>Turkey</v>
      </c>
      <c r="F778" s="15" t="str">
        <v>GK</v>
      </c>
      <c r="G778" s="15" t="str">
        <v>Galatasaray</v>
      </c>
      <c r="H778" s="15">
        <v>23</v>
      </c>
      <c r="I778" s="15" t="str">
        <f t="shared" si="69"/>
        <v>341|Uğurcan Çakır|30|Turkey|GK|Galatasaray|23</v>
      </c>
      <c r="J778" s="15" t="str">
        <f>IF(COUNTIF(I$438:I778,I778)&gt;1,"DOUBLON","OK")</f>
        <v>OK</v>
      </c>
      <c r="S778" s="30" t="str">
        <v>West Germany</v>
      </c>
      <c r="T778" s="30" t="str">
        <f t="shared" si="70"/>
        <v>ERREUR</v>
      </c>
      <c r="U778" s="30" t="str">
        <f t="shared" si="71"/>
        <v>RENOMMER</v>
      </c>
      <c r="V778" s="30" t="str" cm="1">
        <f t="array" ref="V778">_xlfn.IFS(
ISNUMBER(SEARCH("USA",S778)),"United States",
ISNUMBER(SEARCH("Republic of Korea",S778)),"South Korea",
ISNUMBER(SEARCH("Cape Verde",S778)),"Cabo Verde",
ISNUMBER(SEARCH("Czechia",S778)),"Czech Republic",
ISNUMBER(SEARCH("Türkiye",S778)),"Turkey",
ISNUMBER(SEARCH("Ivory Coast",S778)),"Côte d'Ivoire",
ISNUMBER(SEARCH("Korea Republic",S778)),"South Korea",
ISNUMBER(SEARCH("Germany FR",S778)),"FR Germany",
ISNUMBER(SEARCH("West Germany",S778)),"FR Germany",
ISNUMBER(SEARCH("Germany DR",S778)),"DR Germany",
ISNUMBER(SEARCH("Korea DPR",S778)),"North Korea",
ISNUMBER(SEARCH("China PR",S778)),"China",
ISNUMBER(SEARCH("IR Iran",S778)),"Iran",
ISNUMBER(SEARCH("Congo DR",S778)),"Democratic Republic of the Congo",
ISNUMBER(SEARCH("DR Congo",S778)),"Democratic Republic of the Congo",
ISNUMBER(SEARCH("German DR",S778)),"DR Germany",
ISNUMBER(SEARCH("rn""&gt;United Arab Emirates",S778)),"United Arab Emirates",
ISNUMBER(SEARCH("rn""&gt;Republic of Ireland",S778)),"Ireland",
ISNUMBER(SEARCH("rn""&gt;Bosnia and Herzegovina",S778)),"Bosnia and Herzegovina",
ISNUMBER(SEARCH("rn""&gt;Trinidad and Tobago",S778)),"Trinidad and Tobago",
ISNUMBER(SEARCH("rn""&gt;Serbia and Montenegro",S778)),"Serbia and Montenegro",
ISNUMBER(SEARCH(_xlfn.UNICHAR(65533),S778)),"Côte d'Ivoire",
TRUE,""
)</f>
        <v>FR Germany</v>
      </c>
      <c r="W778" s="30" t="str">
        <f t="shared" si="67"/>
        <v>FR Germany</v>
      </c>
      <c r="Z778" s="40" t="str">
        <v>Port Elizabeth Stadium</v>
      </c>
      <c r="AA778" s="40" t="str" cm="1">
        <f t="array" ref="AA778">IFERROR(_xlfn.XLOOKUP(Z778,_xlfn.ANCHORARRAY(Z$31),AA$31:AA$37),Z778)</f>
        <v>Port Elizabeth Stadium</v>
      </c>
      <c r="AB778" s="42" t="str">
        <v xml:space="preserve">Nelson Mandela Bay/Port Elizabeth </v>
      </c>
      <c r="AC778" s="89" t="str">
        <f t="shared" si="68"/>
        <v xml:space="preserve">Nelson Mandela Bay/Port Elizabeth </v>
      </c>
      <c r="AE778" s="42">
        <v>2006</v>
      </c>
      <c r="AK778" s="42">
        <v>1</v>
      </c>
      <c r="AL778" s="42">
        <v>0</v>
      </c>
      <c r="AW778" s="89" t="str">
        <v>QUARTER_FINALS</v>
      </c>
      <c r="BE778" s="43" t="str">
        <f>IF(OR(DATA_CLEANED!AL769="",DATA_CLEANED!AM769=""),"MANQUANT",IF(OR(NOT(ISNUMBER(DATA_CLEANED!AL769)),NOT(ISNUMBER(DATA_CLEANED!AM769))),"ENTREE INVALIDE",IF(OR(DATA_CLEANED!AL769&lt;0,DATA_CLEANED!AM769&lt;0),"SCORE NEGATIF","OK")))</f>
        <v>OK</v>
      </c>
      <c r="BF778" s="43" t="str">
        <f>IF(DATA_CLEANED!AK769&lt;&gt;DATA_CLEANED!AN769,"OK","ERREUR")</f>
        <v>OK</v>
      </c>
      <c r="BG778" s="43" t="str">
        <f>IF(DATA_CLEANED!AL769&gt;DATA_CLEANED!AM769,DATA_CLEANED!AK769,IF(AND(DATA_QUALITE!W5255="-",DATA_CLEANED!AM769=DATA_CLEANED!AL769),"MATCH NUL",IF(AND(DATA_QUALITE!V5255="-",DATA_QUALITE!U5255="AUCUNE"),DATA_QUALITE!T5255,IF(DATA_QUALITE!V5255&lt;&gt;"-",DATA_QUALITE!V5255,DATA_CLEANED!AN769))))</f>
        <v>Germany</v>
      </c>
      <c r="BH778" s="103" t="str">
        <f>IF(AND(BG778="MATCH NUL",DATA_CLEANED!AO769="-"),"MATCH_NUL",IF(ISNUMBER(SEARCH("win on penalties",W5255)),"WIN_BY_PENALTY",IF(ISNUMBER(SEARCH("win after extra time",W5255)),"WIN_BY_EXTRA_TIME",IF(ISNUMBER(SEARCH("Golden Goal",W5255)),"WIN_BY_GOLDEN_GOAL","WIN_BY_SCORE"))))</f>
        <v>WIN_BY_SCORE</v>
      </c>
      <c r="BI778" s="99" t="str">
        <f>IF(OR(BG778=DATA_CLEANED!AK769,BG778=DATA_CLEANED!AN769,BG778="MATCH NUL"),"OK","ERREUR")</f>
        <v>OK</v>
      </c>
    </row>
    <row r="779" spans="2:61">
      <c r="B779" s="75">
        <v>342</v>
      </c>
      <c r="C779" s="15" t="str">
        <v>Merih Demiral</v>
      </c>
      <c r="D779" s="15">
        <v>28</v>
      </c>
      <c r="E779" s="15" t="str">
        <v>Turkey</v>
      </c>
      <c r="F779" s="15" t="str">
        <v>CB</v>
      </c>
      <c r="G779" s="15" t="str">
        <v>Al-Ahli</v>
      </c>
      <c r="H779" s="15">
        <v>3</v>
      </c>
      <c r="I779" s="15" t="str">
        <f t="shared" si="69"/>
        <v>342|Merih Demiral|28|Turkey|CB|Al-Ahli|3</v>
      </c>
      <c r="J779" s="15" t="str">
        <f>IF(COUNTIF(I$438:I779,I779)&gt;1,"DOUBLON","OK")</f>
        <v>OK</v>
      </c>
      <c r="S779" s="30" t="str">
        <v>Belgium</v>
      </c>
      <c r="T779" s="30" t="str">
        <f t="shared" si="70"/>
        <v>OK</v>
      </c>
      <c r="U779" s="30" t="str">
        <f t="shared" si="71"/>
        <v>-</v>
      </c>
      <c r="V779" s="30" t="str" cm="1">
        <f t="array" ref="V779">_xlfn.IFS(
ISNUMBER(SEARCH("USA",S779)),"United States",
ISNUMBER(SEARCH("Republic of Korea",S779)),"South Korea",
ISNUMBER(SEARCH("Cape Verde",S779)),"Cabo Verde",
ISNUMBER(SEARCH("Czechia",S779)),"Czech Republic",
ISNUMBER(SEARCH("Türkiye",S779)),"Turkey",
ISNUMBER(SEARCH("Ivory Coast",S779)),"Côte d'Ivoire",
ISNUMBER(SEARCH("Korea Republic",S779)),"South Korea",
ISNUMBER(SEARCH("Germany FR",S779)),"FR Germany",
ISNUMBER(SEARCH("West Germany",S779)),"FR Germany",
ISNUMBER(SEARCH("Germany DR",S779)),"DR Germany",
ISNUMBER(SEARCH("Korea DPR",S779)),"North Korea",
ISNUMBER(SEARCH("China PR",S779)),"China",
ISNUMBER(SEARCH("IR Iran",S779)),"Iran",
ISNUMBER(SEARCH("Congo DR",S779)),"Democratic Republic of the Congo",
ISNUMBER(SEARCH("DR Congo",S779)),"Democratic Republic of the Congo",
ISNUMBER(SEARCH("German DR",S779)),"DR Germany",
ISNUMBER(SEARCH("rn""&gt;United Arab Emirates",S779)),"United Arab Emirates",
ISNUMBER(SEARCH("rn""&gt;Republic of Ireland",S779)),"Ireland",
ISNUMBER(SEARCH("rn""&gt;Bosnia and Herzegovina",S779)),"Bosnia and Herzegovina",
ISNUMBER(SEARCH("rn""&gt;Trinidad and Tobago",S779)),"Trinidad and Tobago",
ISNUMBER(SEARCH("rn""&gt;Serbia and Montenegro",S779)),"Serbia and Montenegro",
ISNUMBER(SEARCH(_xlfn.UNICHAR(65533),S779)),"Côte d'Ivoire",
TRUE,""
)</f>
        <v/>
      </c>
      <c r="W779" s="30" t="str">
        <f t="shared" si="67"/>
        <v>Belgium</v>
      </c>
      <c r="Z779" s="40" t="str">
        <v>Ellis Park Stadium</v>
      </c>
      <c r="AA779" s="40" t="str" cm="1">
        <f t="array" ref="AA779">IFERROR(_xlfn.XLOOKUP(Z779,_xlfn.ANCHORARRAY(Z$31),AA$31:AA$37),Z779)</f>
        <v>Ellis Park Stadium</v>
      </c>
      <c r="AB779" s="42" t="str">
        <v xml:space="preserve">Johannesburg </v>
      </c>
      <c r="AC779" s="89" t="str">
        <f t="shared" si="68"/>
        <v xml:space="preserve">Johannesburg </v>
      </c>
      <c r="AE779" s="42">
        <v>2006</v>
      </c>
      <c r="AK779" s="42">
        <v>1</v>
      </c>
      <c r="AL779" s="42">
        <v>0</v>
      </c>
      <c r="AW779" s="89" t="str">
        <v>QUARTER_FINALS</v>
      </c>
      <c r="BE779" s="43" t="str">
        <f>IF(OR(DATA_CLEANED!AL770="",DATA_CLEANED!AM770=""),"MANQUANT",IF(OR(NOT(ISNUMBER(DATA_CLEANED!AL770)),NOT(ISNUMBER(DATA_CLEANED!AM770))),"ENTREE INVALIDE",IF(OR(DATA_CLEANED!AL770&lt;0,DATA_CLEANED!AM770&lt;0),"SCORE NEGATIF","OK")))</f>
        <v>OK</v>
      </c>
      <c r="BF779" s="43" t="str">
        <f>IF(DATA_CLEANED!AK770&lt;&gt;DATA_CLEANED!AN770,"OK","ERREUR")</f>
        <v>OK</v>
      </c>
      <c r="BG779" s="43" t="str">
        <f>IF(DATA_CLEANED!AL770&gt;DATA_CLEANED!AM770,DATA_CLEANED!AK770,IF(AND(DATA_QUALITE!W5256="-",DATA_CLEANED!AM770=DATA_CLEANED!AL770),"MATCH NUL",IF(AND(DATA_QUALITE!V5256="-",DATA_QUALITE!U5256="AUCUNE"),DATA_QUALITE!T5256,IF(DATA_QUALITE!V5256&lt;&gt;"-",DATA_QUALITE!V5256,DATA_CLEANED!AN770))))</f>
        <v>Spain</v>
      </c>
      <c r="BH779" s="103" t="str">
        <f>IF(AND(BG779="MATCH NUL",DATA_CLEANED!AO770="-"),"MATCH_NUL",IF(ISNUMBER(SEARCH("win on penalties",W5256)),"WIN_BY_PENALTY",IF(ISNUMBER(SEARCH("win after extra time",W5256)),"WIN_BY_EXTRA_TIME",IF(ISNUMBER(SEARCH("Golden Goal",W5256)),"WIN_BY_GOLDEN_GOAL","WIN_BY_SCORE"))))</f>
        <v>WIN_BY_SCORE</v>
      </c>
      <c r="BI779" s="99" t="str">
        <f>IF(OR(BG779=DATA_CLEANED!AK770,BG779=DATA_CLEANED!AN770,BG779="MATCH NUL"),"OK","ERREUR")</f>
        <v>OK</v>
      </c>
    </row>
    <row r="780" spans="2:61">
      <c r="B780" s="75">
        <v>343</v>
      </c>
      <c r="C780" s="15" t="str">
        <v>Çağlar Söyüncü</v>
      </c>
      <c r="D780" s="15">
        <v>30</v>
      </c>
      <c r="E780" s="15" t="str">
        <v>Turkey</v>
      </c>
      <c r="F780" s="15" t="str">
        <v>CB</v>
      </c>
      <c r="G780" s="15" t="str">
        <v>Fenerbahçe</v>
      </c>
      <c r="H780" s="15">
        <v>4</v>
      </c>
      <c r="I780" s="15" t="str">
        <f t="shared" si="69"/>
        <v>343|Çağlar Söyüncü|30|Turkey|CB|Fenerbahçe|4</v>
      </c>
      <c r="J780" s="15" t="str">
        <f>IF(COUNTIF(I$438:I780,I780)&gt;1,"DOUBLON","OK")</f>
        <v>OK</v>
      </c>
      <c r="S780" s="30" t="str">
        <v>Spain</v>
      </c>
      <c r="T780" s="30" t="str">
        <f t="shared" si="70"/>
        <v>OK</v>
      </c>
      <c r="U780" s="30" t="str">
        <f t="shared" si="71"/>
        <v>-</v>
      </c>
      <c r="V780" s="30" t="str" cm="1">
        <f t="array" ref="V780">_xlfn.IFS(
ISNUMBER(SEARCH("USA",S780)),"United States",
ISNUMBER(SEARCH("Republic of Korea",S780)),"South Korea",
ISNUMBER(SEARCH("Cape Verde",S780)),"Cabo Verde",
ISNUMBER(SEARCH("Czechia",S780)),"Czech Republic",
ISNUMBER(SEARCH("Türkiye",S780)),"Turkey",
ISNUMBER(SEARCH("Ivory Coast",S780)),"Côte d'Ivoire",
ISNUMBER(SEARCH("Korea Republic",S780)),"South Korea",
ISNUMBER(SEARCH("Germany FR",S780)),"FR Germany",
ISNUMBER(SEARCH("West Germany",S780)),"FR Germany",
ISNUMBER(SEARCH("Germany DR",S780)),"DR Germany",
ISNUMBER(SEARCH("Korea DPR",S780)),"North Korea",
ISNUMBER(SEARCH("China PR",S780)),"China",
ISNUMBER(SEARCH("IR Iran",S780)),"Iran",
ISNUMBER(SEARCH("Congo DR",S780)),"Democratic Republic of the Congo",
ISNUMBER(SEARCH("DR Congo",S780)),"Democratic Republic of the Congo",
ISNUMBER(SEARCH("German DR",S780)),"DR Germany",
ISNUMBER(SEARCH("rn""&gt;United Arab Emirates",S780)),"United Arab Emirates",
ISNUMBER(SEARCH("rn""&gt;Republic of Ireland",S780)),"Ireland",
ISNUMBER(SEARCH("rn""&gt;Bosnia and Herzegovina",S780)),"Bosnia and Herzegovina",
ISNUMBER(SEARCH("rn""&gt;Trinidad and Tobago",S780)),"Trinidad and Tobago",
ISNUMBER(SEARCH("rn""&gt;Serbia and Montenegro",S780)),"Serbia and Montenegro",
ISNUMBER(SEARCH(_xlfn.UNICHAR(65533),S780)),"Côte d'Ivoire",
TRUE,""
)</f>
        <v/>
      </c>
      <c r="W780" s="30" t="str">
        <f t="shared" si="67"/>
        <v>Spain</v>
      </c>
      <c r="Z780" s="40" t="str">
        <v>Royal Bafokeng Sports Palace</v>
      </c>
      <c r="AA780" s="40" t="str" cm="1">
        <f t="array" ref="AA780">IFERROR(_xlfn.XLOOKUP(Z780,_xlfn.ANCHORARRAY(Z$31),AA$31:AA$37),Z780)</f>
        <v>Royal Bafokeng Sports Palace</v>
      </c>
      <c r="AB780" s="42" t="str">
        <v xml:space="preserve">Phokeng </v>
      </c>
      <c r="AC780" s="89" t="str">
        <f t="shared" si="68"/>
        <v xml:space="preserve">Phokeng </v>
      </c>
      <c r="AE780" s="42">
        <v>2006</v>
      </c>
      <c r="AK780" s="42">
        <v>0</v>
      </c>
      <c r="AL780" s="42">
        <v>0</v>
      </c>
      <c r="AW780" s="89" t="str">
        <v>SEMI_FINALS</v>
      </c>
      <c r="BE780" s="43" t="str">
        <f>IF(OR(DATA_CLEANED!AL771="",DATA_CLEANED!AM771=""),"MANQUANT",IF(OR(NOT(ISNUMBER(DATA_CLEANED!AL771)),NOT(ISNUMBER(DATA_CLEANED!AM771))),"ENTREE INVALIDE",IF(OR(DATA_CLEANED!AL771&lt;0,DATA_CLEANED!AM771&lt;0),"SCORE NEGATIF","OK")))</f>
        <v>OK</v>
      </c>
      <c r="BF780" s="43" t="str">
        <f>IF(DATA_CLEANED!AK771&lt;&gt;DATA_CLEANED!AN771,"OK","ERREUR")</f>
        <v>OK</v>
      </c>
      <c r="BG780" s="43" t="str">
        <f>IF(DATA_CLEANED!AL771&gt;DATA_CLEANED!AM771,DATA_CLEANED!AK771,IF(AND(DATA_QUALITE!W5257="-",DATA_CLEANED!AM771=DATA_CLEANED!AL771),"MATCH NUL",IF(AND(DATA_QUALITE!V5257="-",DATA_QUALITE!U5257="AUCUNE"),DATA_QUALITE!T5257,IF(DATA_QUALITE!V5257&lt;&gt;"-",DATA_QUALITE!V5257,DATA_CLEANED!AN771))))</f>
        <v>Netherlands</v>
      </c>
      <c r="BH780" s="103" t="str">
        <f>IF(AND(BG780="MATCH NUL",DATA_CLEANED!AO771="-"),"MATCH_NUL",IF(ISNUMBER(SEARCH("win on penalties",W5257)),"WIN_BY_PENALTY",IF(ISNUMBER(SEARCH("win after extra time",W5257)),"WIN_BY_EXTRA_TIME",IF(ISNUMBER(SEARCH("Golden Goal",W5257)),"WIN_BY_GOLDEN_GOAL","WIN_BY_SCORE"))))</f>
        <v>WIN_BY_SCORE</v>
      </c>
      <c r="BI780" s="99" t="str">
        <f>IF(OR(BG780=DATA_CLEANED!AK771,BG780=DATA_CLEANED!AN771,BG780="MATCH NUL"),"OK","ERREUR")</f>
        <v>OK</v>
      </c>
    </row>
    <row r="781" spans="2:61">
      <c r="B781" s="75">
        <v>344</v>
      </c>
      <c r="C781" s="15" t="str">
        <v>Abdülkerim Bardakcı</v>
      </c>
      <c r="D781" s="15">
        <v>31</v>
      </c>
      <c r="E781" s="15" t="str">
        <v>Turkey</v>
      </c>
      <c r="F781" s="15" t="str">
        <v>CB</v>
      </c>
      <c r="G781" s="15" t="str">
        <v>Galatasaray</v>
      </c>
      <c r="H781" s="15">
        <v>14</v>
      </c>
      <c r="I781" s="15" t="str">
        <f t="shared" si="69"/>
        <v>344|Abdülkerim Bardakcı|31|Turkey|CB|Galatasaray|14</v>
      </c>
      <c r="J781" s="15" t="str">
        <f>IF(COUNTIF(I$438:I781,I781)&gt;1,"DOUBLON","OK")</f>
        <v>OK</v>
      </c>
      <c r="S781" s="30" t="str">
        <v>Belgium</v>
      </c>
      <c r="T781" s="30" t="str">
        <f t="shared" si="70"/>
        <v>OK</v>
      </c>
      <c r="U781" s="30" t="str">
        <f t="shared" si="71"/>
        <v>-</v>
      </c>
      <c r="V781" s="30" t="str" cm="1">
        <f t="array" ref="V781">_xlfn.IFS(
ISNUMBER(SEARCH("USA",S781)),"United States",
ISNUMBER(SEARCH("Republic of Korea",S781)),"South Korea",
ISNUMBER(SEARCH("Cape Verde",S781)),"Cabo Verde",
ISNUMBER(SEARCH("Czechia",S781)),"Czech Republic",
ISNUMBER(SEARCH("Türkiye",S781)),"Turkey",
ISNUMBER(SEARCH("Ivory Coast",S781)),"Côte d'Ivoire",
ISNUMBER(SEARCH("Korea Republic",S781)),"South Korea",
ISNUMBER(SEARCH("Germany FR",S781)),"FR Germany",
ISNUMBER(SEARCH("West Germany",S781)),"FR Germany",
ISNUMBER(SEARCH("Germany DR",S781)),"DR Germany",
ISNUMBER(SEARCH("Korea DPR",S781)),"North Korea",
ISNUMBER(SEARCH("China PR",S781)),"China",
ISNUMBER(SEARCH("IR Iran",S781)),"Iran",
ISNUMBER(SEARCH("Congo DR",S781)),"Democratic Republic of the Congo",
ISNUMBER(SEARCH("DR Congo",S781)),"Democratic Republic of the Congo",
ISNUMBER(SEARCH("German DR",S781)),"DR Germany",
ISNUMBER(SEARCH("rn""&gt;United Arab Emirates",S781)),"United Arab Emirates",
ISNUMBER(SEARCH("rn""&gt;Republic of Ireland",S781)),"Ireland",
ISNUMBER(SEARCH("rn""&gt;Bosnia and Herzegovina",S781)),"Bosnia and Herzegovina",
ISNUMBER(SEARCH("rn""&gt;Trinidad and Tobago",S781)),"Trinidad and Tobago",
ISNUMBER(SEARCH("rn""&gt;Serbia and Montenegro",S781)),"Serbia and Montenegro",
ISNUMBER(SEARCH(_xlfn.UNICHAR(65533),S781)),"Côte d'Ivoire",
TRUE,""
)</f>
        <v/>
      </c>
      <c r="W781" s="30" t="str">
        <f t="shared" si="67"/>
        <v>Belgium</v>
      </c>
      <c r="Z781" s="40" t="str">
        <v>Free State Stadium</v>
      </c>
      <c r="AA781" s="40" t="str" cm="1">
        <f t="array" ref="AA781">IFERROR(_xlfn.XLOOKUP(Z781,_xlfn.ANCHORARRAY(Z$31),AA$31:AA$37),Z781)</f>
        <v>Free State Stadium</v>
      </c>
      <c r="AB781" s="42" t="str">
        <v xml:space="preserve">Mangaung/Bloemfontein </v>
      </c>
      <c r="AC781" s="89" t="str">
        <f t="shared" si="68"/>
        <v xml:space="preserve">Mangaung/Bloemfontein </v>
      </c>
      <c r="AE781" s="42">
        <v>2006</v>
      </c>
      <c r="AK781" s="42">
        <v>3</v>
      </c>
      <c r="AL781" s="42">
        <v>0</v>
      </c>
      <c r="AW781" s="89" t="str">
        <v>SEMI_FINALS</v>
      </c>
      <c r="BE781" s="43" t="str">
        <f>IF(OR(DATA_CLEANED!AL772="",DATA_CLEANED!AM772=""),"MANQUANT",IF(OR(NOT(ISNUMBER(DATA_CLEANED!AL772)),NOT(ISNUMBER(DATA_CLEANED!AM772))),"ENTREE INVALIDE",IF(OR(DATA_CLEANED!AL772&lt;0,DATA_CLEANED!AM772&lt;0),"SCORE NEGATIF","OK")))</f>
        <v>OK</v>
      </c>
      <c r="BF781" s="43" t="str">
        <f>IF(DATA_CLEANED!AK772&lt;&gt;DATA_CLEANED!AN772,"OK","ERREUR")</f>
        <v>OK</v>
      </c>
      <c r="BG781" s="43" t="str">
        <f>IF(DATA_CLEANED!AL772&gt;DATA_CLEANED!AM772,DATA_CLEANED!AK772,IF(AND(DATA_QUALITE!W5258="-",DATA_CLEANED!AM772=DATA_CLEANED!AL772),"MATCH NUL",IF(AND(DATA_QUALITE!V5258="-",DATA_QUALITE!U5258="AUCUNE"),DATA_QUALITE!T5258,IF(DATA_QUALITE!V5258&lt;&gt;"-",DATA_QUALITE!V5258,DATA_CLEANED!AN772))))</f>
        <v>Spain</v>
      </c>
      <c r="BH781" s="103" t="str">
        <f>IF(AND(BG781="MATCH NUL",DATA_CLEANED!AO772="-"),"MATCH_NUL",IF(ISNUMBER(SEARCH("win on penalties",W5258)),"WIN_BY_PENALTY",IF(ISNUMBER(SEARCH("win after extra time",W5258)),"WIN_BY_EXTRA_TIME",IF(ISNUMBER(SEARCH("Golden Goal",W5258)),"WIN_BY_GOLDEN_GOAL","WIN_BY_SCORE"))))</f>
        <v>WIN_BY_SCORE</v>
      </c>
      <c r="BI781" s="99" t="str">
        <f>IF(OR(BG781=DATA_CLEANED!AK772,BG781=DATA_CLEANED!AN772,BG781="MATCH NUL"),"OK","ERREUR")</f>
        <v>OK</v>
      </c>
    </row>
    <row r="782" spans="2:61">
      <c r="B782" s="75">
        <v>345</v>
      </c>
      <c r="C782" s="15" t="str">
        <v>Ozan Kabak</v>
      </c>
      <c r="D782" s="15">
        <v>26</v>
      </c>
      <c r="E782" s="15" t="str">
        <v>Turkey</v>
      </c>
      <c r="F782" s="15" t="str">
        <v>CB</v>
      </c>
      <c r="G782" s="15" t="str">
        <v>TSG Hoffenheim</v>
      </c>
      <c r="H782" s="15">
        <v>15</v>
      </c>
      <c r="I782" s="15" t="str">
        <f t="shared" si="69"/>
        <v>345|Ozan Kabak|26|Turkey|CB|TSG Hoffenheim|15</v>
      </c>
      <c r="J782" s="15" t="str">
        <f>IF(COUNTIF(I$438:I782,I782)&gt;1,"DOUBLON","OK")</f>
        <v>OK</v>
      </c>
      <c r="S782" s="30" t="str">
        <v>Spain</v>
      </c>
      <c r="T782" s="30" t="str">
        <f t="shared" si="70"/>
        <v>OK</v>
      </c>
      <c r="U782" s="30" t="str">
        <f t="shared" si="71"/>
        <v>-</v>
      </c>
      <c r="V782" s="30" t="str" cm="1">
        <f t="array" ref="V782">_xlfn.IFS(
ISNUMBER(SEARCH("USA",S782)),"United States",
ISNUMBER(SEARCH("Republic of Korea",S782)),"South Korea",
ISNUMBER(SEARCH("Cape Verde",S782)),"Cabo Verde",
ISNUMBER(SEARCH("Czechia",S782)),"Czech Republic",
ISNUMBER(SEARCH("Türkiye",S782)),"Turkey",
ISNUMBER(SEARCH("Ivory Coast",S782)),"Côte d'Ivoire",
ISNUMBER(SEARCH("Korea Republic",S782)),"South Korea",
ISNUMBER(SEARCH("Germany FR",S782)),"FR Germany",
ISNUMBER(SEARCH("West Germany",S782)),"FR Germany",
ISNUMBER(SEARCH("Germany DR",S782)),"DR Germany",
ISNUMBER(SEARCH("Korea DPR",S782)),"North Korea",
ISNUMBER(SEARCH("China PR",S782)),"China",
ISNUMBER(SEARCH("IR Iran",S782)),"Iran",
ISNUMBER(SEARCH("Congo DR",S782)),"Democratic Republic of the Congo",
ISNUMBER(SEARCH("DR Congo",S782)),"Democratic Republic of the Congo",
ISNUMBER(SEARCH("German DR",S782)),"DR Germany",
ISNUMBER(SEARCH("rn""&gt;United Arab Emirates",S782)),"United Arab Emirates",
ISNUMBER(SEARCH("rn""&gt;Republic of Ireland",S782)),"Ireland",
ISNUMBER(SEARCH("rn""&gt;Bosnia and Herzegovina",S782)),"Bosnia and Herzegovina",
ISNUMBER(SEARCH("rn""&gt;Trinidad and Tobago",S782)),"Trinidad and Tobago",
ISNUMBER(SEARCH("rn""&gt;Serbia and Montenegro",S782)),"Serbia and Montenegro",
ISNUMBER(SEARCH(_xlfn.UNICHAR(65533),S782)),"Côte d'Ivoire",
TRUE,""
)</f>
        <v/>
      </c>
      <c r="W782" s="30" t="str">
        <f t="shared" ref="W782:W845" si="72">IF(V782="",S782,V782)</f>
        <v>Spain</v>
      </c>
      <c r="Z782" s="40" t="str">
        <v>Durban Stadium</v>
      </c>
      <c r="AA782" s="40" t="str" cm="1">
        <f t="array" ref="AA782">IFERROR(_xlfn.XLOOKUP(Z782,_xlfn.ANCHORARRAY(Z$31),AA$31:AA$37),Z782)</f>
        <v>Durban Stadium</v>
      </c>
      <c r="AB782" s="42" t="str">
        <v xml:space="preserve">Durban </v>
      </c>
      <c r="AC782" s="89" t="str">
        <f t="shared" si="68"/>
        <v xml:space="preserve">Durban </v>
      </c>
      <c r="AE782" s="42">
        <v>2006</v>
      </c>
      <c r="AK782" s="42">
        <v>1</v>
      </c>
      <c r="AL782" s="42">
        <v>3</v>
      </c>
      <c r="AW782" s="89" t="str">
        <v>THIRD_PLACE</v>
      </c>
      <c r="BE782" s="43" t="str">
        <f>IF(OR(DATA_CLEANED!AL773="",DATA_CLEANED!AM773=""),"MANQUANT",IF(OR(NOT(ISNUMBER(DATA_CLEANED!AL773)),NOT(ISNUMBER(DATA_CLEANED!AM773))),"ENTREE INVALIDE",IF(OR(DATA_CLEANED!AL773&lt;0,DATA_CLEANED!AM773&lt;0),"SCORE NEGATIF","OK")))</f>
        <v>OK</v>
      </c>
      <c r="BF782" s="43" t="str">
        <f>IF(DATA_CLEANED!AK773&lt;&gt;DATA_CLEANED!AN773,"OK","ERREUR")</f>
        <v>OK</v>
      </c>
      <c r="BG782" s="43" t="str">
        <f>IF(DATA_CLEANED!AL773&gt;DATA_CLEANED!AM773,DATA_CLEANED!AK773,IF(AND(DATA_QUALITE!W5259="-",DATA_CLEANED!AM773=DATA_CLEANED!AL773),"MATCH NUL",IF(AND(DATA_QUALITE!V5259="-",DATA_QUALITE!U5259="AUCUNE"),DATA_QUALITE!T5259,IF(DATA_QUALITE!V5259&lt;&gt;"-",DATA_QUALITE!V5259,DATA_CLEANED!AN773))))</f>
        <v>Germany</v>
      </c>
      <c r="BH782" s="103" t="str">
        <f>IF(AND(BG782="MATCH NUL",DATA_CLEANED!AO773="-"),"MATCH_NUL",IF(ISNUMBER(SEARCH("win on penalties",W5259)),"WIN_BY_PENALTY",IF(ISNUMBER(SEARCH("win after extra time",W5259)),"WIN_BY_EXTRA_TIME",IF(ISNUMBER(SEARCH("Golden Goal",W5259)),"WIN_BY_GOLDEN_GOAL","WIN_BY_SCORE"))))</f>
        <v>WIN_BY_SCORE</v>
      </c>
      <c r="BI782" s="99" t="str">
        <f>IF(OR(BG782=DATA_CLEANED!AK773,BG782=DATA_CLEANED!AN773,BG782="MATCH NUL"),"OK","ERREUR")</f>
        <v>OK</v>
      </c>
    </row>
    <row r="783" spans="2:61">
      <c r="B783" s="75">
        <v>346</v>
      </c>
      <c r="C783" s="15" t="str">
        <v>Samet Akaydin</v>
      </c>
      <c r="D783" s="15">
        <v>32</v>
      </c>
      <c r="E783" s="15" t="str">
        <v>Turkey</v>
      </c>
      <c r="F783" s="15" t="str">
        <v>CB</v>
      </c>
      <c r="G783" s="15" t="str">
        <v>Çaykur Rizespor</v>
      </c>
      <c r="H783" s="15">
        <v>25</v>
      </c>
      <c r="I783" s="15" t="str">
        <f t="shared" si="69"/>
        <v>346|Samet Akaydin|32|Turkey|CB|Çaykur Rizespor|25</v>
      </c>
      <c r="J783" s="15" t="str">
        <f>IF(COUNTIF(I$438:I783,I783)&gt;1,"DOUBLON","OK")</f>
        <v>OK</v>
      </c>
      <c r="S783" s="30" t="str">
        <v>Belgium</v>
      </c>
      <c r="T783" s="30" t="str">
        <f t="shared" si="70"/>
        <v>OK</v>
      </c>
      <c r="U783" s="30" t="str">
        <f t="shared" si="71"/>
        <v>-</v>
      </c>
      <c r="V783" s="30" t="str" cm="1">
        <f t="array" ref="V783">_xlfn.IFS(
ISNUMBER(SEARCH("USA",S783)),"United States",
ISNUMBER(SEARCH("Republic of Korea",S783)),"South Korea",
ISNUMBER(SEARCH("Cape Verde",S783)),"Cabo Verde",
ISNUMBER(SEARCH("Czechia",S783)),"Czech Republic",
ISNUMBER(SEARCH("Türkiye",S783)),"Turkey",
ISNUMBER(SEARCH("Ivory Coast",S783)),"Côte d'Ivoire",
ISNUMBER(SEARCH("Korea Republic",S783)),"South Korea",
ISNUMBER(SEARCH("Germany FR",S783)),"FR Germany",
ISNUMBER(SEARCH("West Germany",S783)),"FR Germany",
ISNUMBER(SEARCH("Germany DR",S783)),"DR Germany",
ISNUMBER(SEARCH("Korea DPR",S783)),"North Korea",
ISNUMBER(SEARCH("China PR",S783)),"China",
ISNUMBER(SEARCH("IR Iran",S783)),"Iran",
ISNUMBER(SEARCH("Congo DR",S783)),"Democratic Republic of the Congo",
ISNUMBER(SEARCH("DR Congo",S783)),"Democratic Republic of the Congo",
ISNUMBER(SEARCH("German DR",S783)),"DR Germany",
ISNUMBER(SEARCH("rn""&gt;United Arab Emirates",S783)),"United Arab Emirates",
ISNUMBER(SEARCH("rn""&gt;Republic of Ireland",S783)),"Ireland",
ISNUMBER(SEARCH("rn""&gt;Bosnia and Herzegovina",S783)),"Bosnia and Herzegovina",
ISNUMBER(SEARCH("rn""&gt;Trinidad and Tobago",S783)),"Trinidad and Tobago",
ISNUMBER(SEARCH("rn""&gt;Serbia and Montenegro",S783)),"Serbia and Montenegro",
ISNUMBER(SEARCH(_xlfn.UNICHAR(65533),S783)),"Côte d'Ivoire",
TRUE,""
)</f>
        <v/>
      </c>
      <c r="W783" s="30" t="str">
        <f t="shared" si="72"/>
        <v>Belgium</v>
      </c>
      <c r="Z783" s="40" t="str">
        <v>Peter Mokaba Stadium</v>
      </c>
      <c r="AA783" s="40" t="str" cm="1">
        <f t="array" ref="AA783">IFERROR(_xlfn.XLOOKUP(Z783,_xlfn.ANCHORARRAY(Z$31),AA$31:AA$37),Z783)</f>
        <v>Peter Mokaba Stadium</v>
      </c>
      <c r="AB783" s="42" t="str">
        <v xml:space="preserve">Polokwane </v>
      </c>
      <c r="AC783" s="89" t="str">
        <f t="shared" si="68"/>
        <v xml:space="preserve">Polokwane </v>
      </c>
      <c r="AE783" s="42">
        <v>2006</v>
      </c>
      <c r="AK783" s="42">
        <v>1</v>
      </c>
      <c r="AL783" s="42">
        <v>1</v>
      </c>
      <c r="AW783" s="89" t="str">
        <v>FINAL</v>
      </c>
      <c r="BE783" s="43" t="str">
        <f>IF(OR(DATA_CLEANED!AL774="",DATA_CLEANED!AM774=""),"MANQUANT",IF(OR(NOT(ISNUMBER(DATA_CLEANED!AL774)),NOT(ISNUMBER(DATA_CLEANED!AM774))),"ENTREE INVALIDE",IF(OR(DATA_CLEANED!AL774&lt;0,DATA_CLEANED!AM774&lt;0),"SCORE NEGATIF","OK")))</f>
        <v>OK</v>
      </c>
      <c r="BF783" s="43" t="str">
        <f>IF(DATA_CLEANED!AK774&lt;&gt;DATA_CLEANED!AN774,"OK","ERREUR")</f>
        <v>OK</v>
      </c>
      <c r="BG783" s="43" t="str">
        <f>IF(DATA_CLEANED!AL774&gt;DATA_CLEANED!AM774,DATA_CLEANED!AK774,IF(AND(DATA_QUALITE!W5260="-",DATA_CLEANED!AM774=DATA_CLEANED!AL774),"MATCH NUL",IF(AND(DATA_QUALITE!V5260="-",DATA_QUALITE!U5260="AUCUNE"),DATA_QUALITE!T5260,IF(DATA_QUALITE!V5260&lt;&gt;"-",DATA_QUALITE!V5260,DATA_CLEANED!AN774))))</f>
        <v>Spain</v>
      </c>
      <c r="BH783" s="103" t="str">
        <f>IF(AND(BG783="MATCH NUL",DATA_CLEANED!AO774="-"),"MATCH_NUL",IF(ISNUMBER(SEARCH("win on penalties",W5260)),"WIN_BY_PENALTY",IF(ISNUMBER(SEARCH("win after extra time",W5260)),"WIN_BY_EXTRA_TIME",IF(ISNUMBER(SEARCH("Golden Goal",W5260)),"WIN_BY_GOLDEN_GOAL","WIN_BY_SCORE"))))</f>
        <v>WIN_BY_EXTRA_TIME</v>
      </c>
      <c r="BI783" s="99" t="str">
        <f>IF(OR(BG783=DATA_CLEANED!AK774,BG783=DATA_CLEANED!AN774,BG783="MATCH NUL"),"OK","ERREUR")</f>
        <v>OK</v>
      </c>
    </row>
    <row r="784" spans="2:61">
      <c r="B784" s="75">
        <v>347</v>
      </c>
      <c r="C784" s="15" t="str">
        <v>Eren Elmalı</v>
      </c>
      <c r="D784" s="15">
        <v>25</v>
      </c>
      <c r="E784" s="15" t="str">
        <v>Turkey</v>
      </c>
      <c r="F784" s="15" t="str">
        <v>LB</v>
      </c>
      <c r="G784" s="15" t="str">
        <v>Galatasaray</v>
      </c>
      <c r="H784" s="15">
        <v>13</v>
      </c>
      <c r="I784" s="15" t="str">
        <f t="shared" si="69"/>
        <v>347|Eren Elmalı|25|Turkey|LB|Galatasaray|13</v>
      </c>
      <c r="J784" s="15" t="str">
        <f>IF(COUNTIF(I$438:I784,I784)&gt;1,"DOUBLON","OK")</f>
        <v>OK</v>
      </c>
      <c r="S784" s="30" t="str">
        <v>Spain</v>
      </c>
      <c r="T784" s="30" t="str">
        <f t="shared" si="70"/>
        <v>OK</v>
      </c>
      <c r="U784" s="30" t="str">
        <f t="shared" si="71"/>
        <v>-</v>
      </c>
      <c r="V784" s="30" t="str" cm="1">
        <f t="array" ref="V784">_xlfn.IFS(
ISNUMBER(SEARCH("USA",S784)),"United States",
ISNUMBER(SEARCH("Republic of Korea",S784)),"South Korea",
ISNUMBER(SEARCH("Cape Verde",S784)),"Cabo Verde",
ISNUMBER(SEARCH("Czechia",S784)),"Czech Republic",
ISNUMBER(SEARCH("Türkiye",S784)),"Turkey",
ISNUMBER(SEARCH("Ivory Coast",S784)),"Côte d'Ivoire",
ISNUMBER(SEARCH("Korea Republic",S784)),"South Korea",
ISNUMBER(SEARCH("Germany FR",S784)),"FR Germany",
ISNUMBER(SEARCH("West Germany",S784)),"FR Germany",
ISNUMBER(SEARCH("Germany DR",S784)),"DR Germany",
ISNUMBER(SEARCH("Korea DPR",S784)),"North Korea",
ISNUMBER(SEARCH("China PR",S784)),"China",
ISNUMBER(SEARCH("IR Iran",S784)),"Iran",
ISNUMBER(SEARCH("Congo DR",S784)),"Democratic Republic of the Congo",
ISNUMBER(SEARCH("DR Congo",S784)),"Democratic Republic of the Congo",
ISNUMBER(SEARCH("German DR",S784)),"DR Germany",
ISNUMBER(SEARCH("rn""&gt;United Arab Emirates",S784)),"United Arab Emirates",
ISNUMBER(SEARCH("rn""&gt;Republic of Ireland",S784)),"Ireland",
ISNUMBER(SEARCH("rn""&gt;Bosnia and Herzegovina",S784)),"Bosnia and Herzegovina",
ISNUMBER(SEARCH("rn""&gt;Trinidad and Tobago",S784)),"Trinidad and Tobago",
ISNUMBER(SEARCH("rn""&gt;Serbia and Montenegro",S784)),"Serbia and Montenegro",
ISNUMBER(SEARCH(_xlfn.UNICHAR(65533),S784)),"Côte d'Ivoire",
TRUE,""
)</f>
        <v/>
      </c>
      <c r="W784" s="30" t="str">
        <f t="shared" si="72"/>
        <v>Spain</v>
      </c>
      <c r="Z784" s="40" t="str">
        <v>Port Elizabeth Stadium</v>
      </c>
      <c r="AA784" s="40" t="str" cm="1">
        <f t="array" ref="AA784">IFERROR(_xlfn.XLOOKUP(Z784,_xlfn.ANCHORARRAY(Z$31),AA$31:AA$37),Z784)</f>
        <v>Port Elizabeth Stadium</v>
      </c>
      <c r="AB784" s="42" t="str">
        <v xml:space="preserve">Nelson Mandela Bay/Port Elizabeth </v>
      </c>
      <c r="AC784" s="89" t="str">
        <f t="shared" si="68"/>
        <v xml:space="preserve">Nelson Mandela Bay/Port Elizabeth </v>
      </c>
      <c r="AE784" s="42">
        <v>2006</v>
      </c>
      <c r="AK784" s="42">
        <v>3</v>
      </c>
      <c r="AL784" s="42">
        <v>0</v>
      </c>
      <c r="AW784" s="89" t="str">
        <v>GROUP_STAGE</v>
      </c>
      <c r="BE784" s="43" t="str">
        <f>IF(OR(DATA_CLEANED!AL775="",DATA_CLEANED!AM775=""),"MANQUANT",IF(OR(NOT(ISNUMBER(DATA_CLEANED!AL775)),NOT(ISNUMBER(DATA_CLEANED!AM775))),"ENTREE INVALIDE",IF(OR(DATA_CLEANED!AL775&lt;0,DATA_CLEANED!AM775&lt;0),"SCORE NEGATIF","OK")))</f>
        <v>OK</v>
      </c>
      <c r="BF784" s="43" t="str">
        <f>IF(DATA_CLEANED!AK775&lt;&gt;DATA_CLEANED!AN775,"OK","ERREUR")</f>
        <v>OK</v>
      </c>
      <c r="BG784" s="43" t="str">
        <f>IF(DATA_CLEANED!AL775&gt;DATA_CLEANED!AM775,DATA_CLEANED!AK775,IF(AND(DATA_QUALITE!W5261="-",DATA_CLEANED!AM775=DATA_CLEANED!AL775),"MATCH NUL",IF(AND(DATA_QUALITE!V5261="-",DATA_QUALITE!U5261="AUCUNE"),DATA_QUALITE!T5261,IF(DATA_QUALITE!V5261&lt;&gt;"-",DATA_QUALITE!V5261,DATA_CLEANED!AN775))))</f>
        <v>Brazil</v>
      </c>
      <c r="BH784" s="103" t="str">
        <f>IF(AND(BG784="MATCH NUL",DATA_CLEANED!AO775="-"),"MATCH_NUL",IF(ISNUMBER(SEARCH("win on penalties",W5261)),"WIN_BY_PENALTY",IF(ISNUMBER(SEARCH("win after extra time",W5261)),"WIN_BY_EXTRA_TIME",IF(ISNUMBER(SEARCH("Golden Goal",W5261)),"WIN_BY_GOLDEN_GOAL","WIN_BY_SCORE"))))</f>
        <v>WIN_BY_SCORE</v>
      </c>
      <c r="BI784" s="99" t="str">
        <f>IF(OR(BG784=DATA_CLEANED!AK775,BG784=DATA_CLEANED!AN775,BG784="MATCH NUL"),"OK","ERREUR")</f>
        <v>OK</v>
      </c>
    </row>
    <row r="785" spans="2:61">
      <c r="B785" s="75">
        <v>348</v>
      </c>
      <c r="C785" s="15" t="str">
        <v>Ferdi Kadıoğlu</v>
      </c>
      <c r="D785" s="15">
        <v>26</v>
      </c>
      <c r="E785" s="15" t="str">
        <v>Turkey</v>
      </c>
      <c r="F785" s="15" t="str">
        <v>LB</v>
      </c>
      <c r="G785" s="15" t="str">
        <v>Brighton &amp; Hove Albion</v>
      </c>
      <c r="H785" s="15">
        <v>20</v>
      </c>
      <c r="I785" s="15" t="str">
        <f t="shared" si="69"/>
        <v>348|Ferdi Kadıoğlu|26|Turkey|LB|Brighton &amp; Hove Albion|20</v>
      </c>
      <c r="J785" s="15" t="str">
        <f>IF(COUNTIF(I$438:I785,I785)&gt;1,"DOUBLON","OK")</f>
        <v>OK</v>
      </c>
      <c r="S785" s="30" t="str">
        <v>Belgium</v>
      </c>
      <c r="T785" s="30" t="str">
        <f t="shared" si="70"/>
        <v>OK</v>
      </c>
      <c r="U785" s="30" t="str">
        <f t="shared" si="71"/>
        <v>-</v>
      </c>
      <c r="V785" s="30" t="str" cm="1">
        <f t="array" ref="V785">_xlfn.IFS(
ISNUMBER(SEARCH("USA",S785)),"United States",
ISNUMBER(SEARCH("Republic of Korea",S785)),"South Korea",
ISNUMBER(SEARCH("Cape Verde",S785)),"Cabo Verde",
ISNUMBER(SEARCH("Czechia",S785)),"Czech Republic",
ISNUMBER(SEARCH("Türkiye",S785)),"Turkey",
ISNUMBER(SEARCH("Ivory Coast",S785)),"Côte d'Ivoire",
ISNUMBER(SEARCH("Korea Republic",S785)),"South Korea",
ISNUMBER(SEARCH("Germany FR",S785)),"FR Germany",
ISNUMBER(SEARCH("West Germany",S785)),"FR Germany",
ISNUMBER(SEARCH("Germany DR",S785)),"DR Germany",
ISNUMBER(SEARCH("Korea DPR",S785)),"North Korea",
ISNUMBER(SEARCH("China PR",S785)),"China",
ISNUMBER(SEARCH("IR Iran",S785)),"Iran",
ISNUMBER(SEARCH("Congo DR",S785)),"Democratic Republic of the Congo",
ISNUMBER(SEARCH("DR Congo",S785)),"Democratic Republic of the Congo",
ISNUMBER(SEARCH("German DR",S785)),"DR Germany",
ISNUMBER(SEARCH("rn""&gt;United Arab Emirates",S785)),"United Arab Emirates",
ISNUMBER(SEARCH("rn""&gt;Republic of Ireland",S785)),"Ireland",
ISNUMBER(SEARCH("rn""&gt;Bosnia and Herzegovina",S785)),"Bosnia and Herzegovina",
ISNUMBER(SEARCH("rn""&gt;Trinidad and Tobago",S785)),"Trinidad and Tobago",
ISNUMBER(SEARCH("rn""&gt;Serbia and Montenegro",S785)),"Serbia and Montenegro",
ISNUMBER(SEARCH(_xlfn.UNICHAR(65533),S785)),"Côte d'Ivoire",
TRUE,""
)</f>
        <v/>
      </c>
      <c r="W785" s="30" t="str">
        <f t="shared" si="72"/>
        <v>Belgium</v>
      </c>
      <c r="Z785" s="40" t="str">
        <v>Loftus Versfeld Stadium</v>
      </c>
      <c r="AA785" s="40" t="str" cm="1">
        <f t="array" ref="AA785">IFERROR(_xlfn.XLOOKUP(Z785,_xlfn.ANCHORARRAY(Z$31),AA$31:AA$37),Z785)</f>
        <v>Loftus Versfeld Stadium</v>
      </c>
      <c r="AB785" s="42" t="str">
        <v xml:space="preserve">Tshwane/Pretoria </v>
      </c>
      <c r="AC785" s="89" t="str">
        <f t="shared" si="68"/>
        <v xml:space="preserve">Tshwane/Pretoria </v>
      </c>
      <c r="AE785" s="42">
        <v>2006</v>
      </c>
      <c r="AK785" s="42">
        <v>0</v>
      </c>
      <c r="AL785" s="42">
        <v>0</v>
      </c>
      <c r="AW785" s="89" t="str">
        <v>GROUP_STAGE</v>
      </c>
      <c r="BE785" s="43" t="str">
        <f>IF(OR(DATA_CLEANED!AL776="",DATA_CLEANED!AM776=""),"MANQUANT",IF(OR(NOT(ISNUMBER(DATA_CLEANED!AL776)),NOT(ISNUMBER(DATA_CLEANED!AM776))),"ENTREE INVALIDE",IF(OR(DATA_CLEANED!AL776&lt;0,DATA_CLEANED!AM776&lt;0),"SCORE NEGATIF","OK")))</f>
        <v>OK</v>
      </c>
      <c r="BF785" s="43" t="str">
        <f>IF(DATA_CLEANED!AK776&lt;&gt;DATA_CLEANED!AN776,"OK","ERREUR")</f>
        <v>OK</v>
      </c>
      <c r="BG785" s="43" t="str">
        <f>IF(DATA_CLEANED!AL776&gt;DATA_CLEANED!AM776,DATA_CLEANED!AK776,IF(AND(DATA_QUALITE!W5262="-",DATA_CLEANED!AM776=DATA_CLEANED!AL776),"MATCH NUL",IF(AND(DATA_QUALITE!V5262="-",DATA_QUALITE!U5262="AUCUNE"),DATA_QUALITE!T5262,IF(DATA_QUALITE!V5262&lt;&gt;"-",DATA_QUALITE!V5262,DATA_CLEANED!AN776))))</f>
        <v>Mexico</v>
      </c>
      <c r="BH785" s="103" t="str">
        <f>IF(AND(BG785="MATCH NUL",DATA_CLEANED!AO776="-"),"MATCH_NUL",IF(ISNUMBER(SEARCH("win on penalties",W5262)),"WIN_BY_PENALTY",IF(ISNUMBER(SEARCH("win after extra time",W5262)),"WIN_BY_EXTRA_TIME",IF(ISNUMBER(SEARCH("Golden Goal",W5262)),"WIN_BY_GOLDEN_GOAL","WIN_BY_SCORE"))))</f>
        <v>WIN_BY_SCORE</v>
      </c>
      <c r="BI785" s="99" t="str">
        <f>IF(OR(BG785=DATA_CLEANED!AK776,BG785=DATA_CLEANED!AN776,BG785="MATCH NUL"),"OK","ERREUR")</f>
        <v>OK</v>
      </c>
    </row>
    <row r="786" spans="2:61">
      <c r="B786" s="75">
        <v>349</v>
      </c>
      <c r="C786" s="15" t="str">
        <v>Zeki Çelik</v>
      </c>
      <c r="D786" s="15">
        <v>29</v>
      </c>
      <c r="E786" s="15" t="str">
        <v>Turkey</v>
      </c>
      <c r="F786" s="15" t="str">
        <v>RB</v>
      </c>
      <c r="G786" s="15" t="str">
        <v>Roma</v>
      </c>
      <c r="H786" s="15">
        <v>2</v>
      </c>
      <c r="I786" s="15" t="str">
        <f t="shared" si="69"/>
        <v>349|Zeki Çelik|29|Turkey|RB|Roma|2</v>
      </c>
      <c r="J786" s="15" t="str">
        <f>IF(COUNTIF(I$438:I786,I786)&gt;1,"DOUBLON","OK")</f>
        <v>OK</v>
      </c>
      <c r="S786" s="30" t="str">
        <v>Spain</v>
      </c>
      <c r="T786" s="30" t="str">
        <f t="shared" si="70"/>
        <v>OK</v>
      </c>
      <c r="U786" s="30" t="str">
        <f t="shared" si="71"/>
        <v>-</v>
      </c>
      <c r="V786" s="30" t="str" cm="1">
        <f t="array" ref="V786">_xlfn.IFS(
ISNUMBER(SEARCH("USA",S786)),"United States",
ISNUMBER(SEARCH("Republic of Korea",S786)),"South Korea",
ISNUMBER(SEARCH("Cape Verde",S786)),"Cabo Verde",
ISNUMBER(SEARCH("Czechia",S786)),"Czech Republic",
ISNUMBER(SEARCH("Türkiye",S786)),"Turkey",
ISNUMBER(SEARCH("Ivory Coast",S786)),"Côte d'Ivoire",
ISNUMBER(SEARCH("Korea Republic",S786)),"South Korea",
ISNUMBER(SEARCH("Germany FR",S786)),"FR Germany",
ISNUMBER(SEARCH("West Germany",S786)),"FR Germany",
ISNUMBER(SEARCH("Germany DR",S786)),"DR Germany",
ISNUMBER(SEARCH("Korea DPR",S786)),"North Korea",
ISNUMBER(SEARCH("China PR",S786)),"China",
ISNUMBER(SEARCH("IR Iran",S786)),"Iran",
ISNUMBER(SEARCH("Congo DR",S786)),"Democratic Republic of the Congo",
ISNUMBER(SEARCH("DR Congo",S786)),"Democratic Republic of the Congo",
ISNUMBER(SEARCH("German DR",S786)),"DR Germany",
ISNUMBER(SEARCH("rn""&gt;United Arab Emirates",S786)),"United Arab Emirates",
ISNUMBER(SEARCH("rn""&gt;Republic of Ireland",S786)),"Ireland",
ISNUMBER(SEARCH("rn""&gt;Bosnia and Herzegovina",S786)),"Bosnia and Herzegovina",
ISNUMBER(SEARCH("rn""&gt;Trinidad and Tobago",S786)),"Trinidad and Tobago",
ISNUMBER(SEARCH("rn""&gt;Serbia and Montenegro",S786)),"Serbia and Montenegro",
ISNUMBER(SEARCH(_xlfn.UNICHAR(65533),S786)),"Côte d'Ivoire",
TRUE,""
)</f>
        <v/>
      </c>
      <c r="W786" s="30" t="str">
        <f t="shared" si="72"/>
        <v>Spain</v>
      </c>
      <c r="Z786" s="40" t="str">
        <v>Soccer City Stadium</v>
      </c>
      <c r="AA786" s="40" t="str" cm="1">
        <f t="array" ref="AA786">IFERROR(_xlfn.XLOOKUP(Z786,_xlfn.ANCHORARRAY(Z$31),AA$31:AA$37),Z786)</f>
        <v>Soccer City Stadium</v>
      </c>
      <c r="AB786" s="42" t="str">
        <v xml:space="preserve">Johannesburg </v>
      </c>
      <c r="AC786" s="89" t="str">
        <f t="shared" si="68"/>
        <v xml:space="preserve">Johannesburg </v>
      </c>
      <c r="AE786" s="42">
        <v>2006</v>
      </c>
      <c r="AK786" s="42">
        <v>0</v>
      </c>
      <c r="AL786" s="42">
        <v>1</v>
      </c>
      <c r="AW786" s="89" t="str">
        <v>GROUP_STAGE</v>
      </c>
      <c r="BE786" s="43" t="str">
        <f>IF(OR(DATA_CLEANED!AL777="",DATA_CLEANED!AM777=""),"MANQUANT",IF(OR(NOT(ISNUMBER(DATA_CLEANED!AL777)),NOT(ISNUMBER(DATA_CLEANED!AM777))),"ENTREE INVALIDE",IF(OR(DATA_CLEANED!AL777&lt;0,DATA_CLEANED!AM777&lt;0),"SCORE NEGATIF","OK")))</f>
        <v>OK</v>
      </c>
      <c r="BF786" s="43" t="str">
        <f>IF(DATA_CLEANED!AK777&lt;&gt;DATA_CLEANED!AN777,"OK","ERREUR")</f>
        <v>OK</v>
      </c>
      <c r="BG786" s="43" t="str">
        <f>IF(DATA_CLEANED!AL777&gt;DATA_CLEANED!AM777,DATA_CLEANED!AK777,IF(AND(DATA_QUALITE!W5263="-",DATA_CLEANED!AM777=DATA_CLEANED!AL777),"MATCH NUL",IF(AND(DATA_QUALITE!V5263="-",DATA_QUALITE!U5263="AUCUNE"),DATA_QUALITE!T5263,IF(DATA_QUALITE!V5263&lt;&gt;"-",DATA_QUALITE!V5263,DATA_CLEANED!AN777))))</f>
        <v>Netherlands</v>
      </c>
      <c r="BH786" s="103" t="str">
        <f>IF(AND(BG786="MATCH NUL",DATA_CLEANED!AO777="-"),"MATCH_NUL",IF(ISNUMBER(SEARCH("win on penalties",W5263)),"WIN_BY_PENALTY",IF(ISNUMBER(SEARCH("win after extra time",W5263)),"WIN_BY_EXTRA_TIME",IF(ISNUMBER(SEARCH("Golden Goal",W5263)),"WIN_BY_GOLDEN_GOAL","WIN_BY_SCORE"))))</f>
        <v>WIN_BY_SCORE</v>
      </c>
      <c r="BI786" s="99" t="str">
        <f>IF(OR(BG786=DATA_CLEANED!AK777,BG786=DATA_CLEANED!AN777,BG786="MATCH NUL"),"OK","ERREUR")</f>
        <v>OK</v>
      </c>
    </row>
    <row r="787" spans="2:61">
      <c r="B787" s="75">
        <v>350</v>
      </c>
      <c r="C787" s="15" t="str">
        <v>Mert Müldür</v>
      </c>
      <c r="D787" s="15">
        <v>27</v>
      </c>
      <c r="E787" s="15" t="str">
        <v>Turkey</v>
      </c>
      <c r="F787" s="15" t="str">
        <v>RB</v>
      </c>
      <c r="G787" s="15" t="str">
        <v>Fenerbahçe</v>
      </c>
      <c r="H787" s="15">
        <v>18</v>
      </c>
      <c r="I787" s="15" t="str">
        <f t="shared" si="69"/>
        <v>350|Mert Müldür|27|Turkey|RB|Fenerbahçe|18</v>
      </c>
      <c r="J787" s="15" t="str">
        <f>IF(COUNTIF(I$438:I787,I787)&gt;1,"DOUBLON","OK")</f>
        <v>OK</v>
      </c>
      <c r="S787" s="30" t="str">
        <v>Belgium</v>
      </c>
      <c r="T787" s="30" t="str">
        <f t="shared" si="70"/>
        <v>OK</v>
      </c>
      <c r="U787" s="30" t="str">
        <f t="shared" si="71"/>
        <v>-</v>
      </c>
      <c r="V787" s="30" t="str" cm="1">
        <f t="array" ref="V787">_xlfn.IFS(
ISNUMBER(SEARCH("USA",S787)),"United States",
ISNUMBER(SEARCH("Republic of Korea",S787)),"South Korea",
ISNUMBER(SEARCH("Cape Verde",S787)),"Cabo Verde",
ISNUMBER(SEARCH("Czechia",S787)),"Czech Republic",
ISNUMBER(SEARCH("Türkiye",S787)),"Turkey",
ISNUMBER(SEARCH("Ivory Coast",S787)),"Côte d'Ivoire",
ISNUMBER(SEARCH("Korea Republic",S787)),"South Korea",
ISNUMBER(SEARCH("Germany FR",S787)),"FR Germany",
ISNUMBER(SEARCH("West Germany",S787)),"FR Germany",
ISNUMBER(SEARCH("Germany DR",S787)),"DR Germany",
ISNUMBER(SEARCH("Korea DPR",S787)),"North Korea",
ISNUMBER(SEARCH("China PR",S787)),"China",
ISNUMBER(SEARCH("IR Iran",S787)),"Iran",
ISNUMBER(SEARCH("Congo DR",S787)),"Democratic Republic of the Congo",
ISNUMBER(SEARCH("DR Congo",S787)),"Democratic Republic of the Congo",
ISNUMBER(SEARCH("German DR",S787)),"DR Germany",
ISNUMBER(SEARCH("rn""&gt;United Arab Emirates",S787)),"United Arab Emirates",
ISNUMBER(SEARCH("rn""&gt;Republic of Ireland",S787)),"Ireland",
ISNUMBER(SEARCH("rn""&gt;Bosnia and Herzegovina",S787)),"Bosnia and Herzegovina",
ISNUMBER(SEARCH("rn""&gt;Trinidad and Tobago",S787)),"Trinidad and Tobago",
ISNUMBER(SEARCH("rn""&gt;Serbia and Montenegro",S787)),"Serbia and Montenegro",
ISNUMBER(SEARCH(_xlfn.UNICHAR(65533),S787)),"Côte d'Ivoire",
TRUE,""
)</f>
        <v/>
      </c>
      <c r="W787" s="30" t="str">
        <f t="shared" si="72"/>
        <v>Belgium</v>
      </c>
      <c r="Z787" s="40" t="str">
        <v>Mbombela Stadium</v>
      </c>
      <c r="AA787" s="40" t="str" cm="1">
        <f t="array" ref="AA787">IFERROR(_xlfn.XLOOKUP(Z787,_xlfn.ANCHORARRAY(Z$31),AA$31:AA$37),Z787)</f>
        <v>Mbombela Stadium</v>
      </c>
      <c r="AB787" s="42" t="str">
        <v xml:space="preserve">Nelspruit </v>
      </c>
      <c r="AC787" s="89" t="str">
        <f t="shared" si="68"/>
        <v xml:space="preserve">Nelspruit </v>
      </c>
      <c r="AE787" s="42">
        <v>2006</v>
      </c>
      <c r="AK787" s="42">
        <v>0</v>
      </c>
      <c r="AL787" s="42">
        <v>2</v>
      </c>
      <c r="AW787" s="89" t="str">
        <v>GROUP_STAGE</v>
      </c>
      <c r="BE787" s="43" t="str">
        <f>IF(OR(DATA_CLEANED!AL778="",DATA_CLEANED!AM778=""),"MANQUANT",IF(OR(NOT(ISNUMBER(DATA_CLEANED!AL778)),NOT(ISNUMBER(DATA_CLEANED!AM778))),"ENTREE INVALIDE",IF(OR(DATA_CLEANED!AL778&lt;0,DATA_CLEANED!AM778&lt;0),"SCORE NEGATIF","OK")))</f>
        <v>OK</v>
      </c>
      <c r="BF787" s="43" t="str">
        <f>IF(DATA_CLEANED!AK778&lt;&gt;DATA_CLEANED!AN778,"OK","ERREUR")</f>
        <v>OK</v>
      </c>
      <c r="BG787" s="43" t="str">
        <f>IF(DATA_CLEANED!AL778&gt;DATA_CLEANED!AM778,DATA_CLEANED!AK778,IF(AND(DATA_QUALITE!W5264="-",DATA_CLEANED!AM778=DATA_CLEANED!AL778),"MATCH NUL",IF(AND(DATA_QUALITE!V5264="-",DATA_QUALITE!U5264="AUCUNE"),DATA_QUALITE!T5264,IF(DATA_QUALITE!V5264&lt;&gt;"-",DATA_QUALITE!V5264,DATA_CLEANED!AN778))))</f>
        <v>Chile</v>
      </c>
      <c r="BH787" s="103" t="str">
        <f>IF(AND(BG787="MATCH NUL",DATA_CLEANED!AO778="-"),"MATCH_NUL",IF(ISNUMBER(SEARCH("win on penalties",W5264)),"WIN_BY_PENALTY",IF(ISNUMBER(SEARCH("win after extra time",W5264)),"WIN_BY_EXTRA_TIME",IF(ISNUMBER(SEARCH("Golden Goal",W5264)),"WIN_BY_GOLDEN_GOAL","WIN_BY_SCORE"))))</f>
        <v>WIN_BY_SCORE</v>
      </c>
      <c r="BI787" s="99" t="str">
        <f>IF(OR(BG787=DATA_CLEANED!AK778,BG787=DATA_CLEANED!AN778,BG787="MATCH NUL"),"OK","ERREUR")</f>
        <v>OK</v>
      </c>
    </row>
    <row r="788" spans="2:61">
      <c r="B788" s="75">
        <v>351</v>
      </c>
      <c r="C788" s="15" t="str">
        <v>Salih Özcan</v>
      </c>
      <c r="D788" s="15">
        <v>28</v>
      </c>
      <c r="E788" s="15" t="str">
        <v>Turkey</v>
      </c>
      <c r="F788" s="15" t="str">
        <v>CDM</v>
      </c>
      <c r="G788" s="15" t="str">
        <v>Borussia Dortmund</v>
      </c>
      <c r="H788" s="15">
        <v>5</v>
      </c>
      <c r="I788" s="15" t="str">
        <f t="shared" si="69"/>
        <v>351|Salih Özcan|28|Turkey|CDM|Borussia Dortmund|5</v>
      </c>
      <c r="J788" s="15" t="str">
        <f>IF(COUNTIF(I$438:I788,I788)&gt;1,"DOUBLON","OK")</f>
        <v>OK</v>
      </c>
      <c r="S788" s="30" t="str">
        <v>Brazil</v>
      </c>
      <c r="T788" s="30" t="str">
        <f t="shared" si="70"/>
        <v>OK</v>
      </c>
      <c r="U788" s="30" t="str">
        <f t="shared" si="71"/>
        <v>-</v>
      </c>
      <c r="V788" s="30" t="str" cm="1">
        <f t="array" ref="V788">_xlfn.IFS(
ISNUMBER(SEARCH("USA",S788)),"United States",
ISNUMBER(SEARCH("Republic of Korea",S788)),"South Korea",
ISNUMBER(SEARCH("Cape Verde",S788)),"Cabo Verde",
ISNUMBER(SEARCH("Czechia",S788)),"Czech Republic",
ISNUMBER(SEARCH("Türkiye",S788)),"Turkey",
ISNUMBER(SEARCH("Ivory Coast",S788)),"Côte d'Ivoire",
ISNUMBER(SEARCH("Korea Republic",S788)),"South Korea",
ISNUMBER(SEARCH("Germany FR",S788)),"FR Germany",
ISNUMBER(SEARCH("West Germany",S788)),"FR Germany",
ISNUMBER(SEARCH("Germany DR",S788)),"DR Germany",
ISNUMBER(SEARCH("Korea DPR",S788)),"North Korea",
ISNUMBER(SEARCH("China PR",S788)),"China",
ISNUMBER(SEARCH("IR Iran",S788)),"Iran",
ISNUMBER(SEARCH("Congo DR",S788)),"Democratic Republic of the Congo",
ISNUMBER(SEARCH("DR Congo",S788)),"Democratic Republic of the Congo",
ISNUMBER(SEARCH("German DR",S788)),"DR Germany",
ISNUMBER(SEARCH("rn""&gt;United Arab Emirates",S788)),"United Arab Emirates",
ISNUMBER(SEARCH("rn""&gt;Republic of Ireland",S788)),"Ireland",
ISNUMBER(SEARCH("rn""&gt;Bosnia and Herzegovina",S788)),"Bosnia and Herzegovina",
ISNUMBER(SEARCH("rn""&gt;Trinidad and Tobago",S788)),"Trinidad and Tobago",
ISNUMBER(SEARCH("rn""&gt;Serbia and Montenegro",S788)),"Serbia and Montenegro",
ISNUMBER(SEARCH(_xlfn.UNICHAR(65533),S788)),"Côte d'Ivoire",
TRUE,""
)</f>
        <v/>
      </c>
      <c r="W788" s="30" t="str">
        <f t="shared" si="72"/>
        <v>Brazil</v>
      </c>
      <c r="Z788" s="40" t="str">
        <v>Ellis Park Stadium</v>
      </c>
      <c r="AA788" s="40" t="str" cm="1">
        <f t="array" ref="AA788">IFERROR(_xlfn.XLOOKUP(Z788,_xlfn.ANCHORARRAY(Z$31),AA$31:AA$37),Z788)</f>
        <v>Ellis Park Stadium</v>
      </c>
      <c r="AB788" s="42" t="str">
        <v xml:space="preserve">Johannesburg </v>
      </c>
      <c r="AC788" s="89" t="str">
        <f t="shared" si="68"/>
        <v xml:space="preserve">Johannesburg </v>
      </c>
      <c r="AE788" s="42">
        <v>2006</v>
      </c>
      <c r="AK788" s="42">
        <v>0</v>
      </c>
      <c r="AL788" s="42">
        <v>1</v>
      </c>
      <c r="AW788" s="89" t="str">
        <v>GROUP_STAGE</v>
      </c>
      <c r="BE788" s="43" t="str">
        <f>IF(OR(DATA_CLEANED!AL779="",DATA_CLEANED!AM779=""),"MANQUANT",IF(OR(NOT(ISNUMBER(DATA_CLEANED!AL779)),NOT(ISNUMBER(DATA_CLEANED!AM779))),"ENTREE INVALIDE",IF(OR(DATA_CLEANED!AL779&lt;0,DATA_CLEANED!AM779&lt;0),"SCORE NEGATIF","OK")))</f>
        <v>OK</v>
      </c>
      <c r="BF788" s="43" t="str">
        <f>IF(DATA_CLEANED!AK779&lt;&gt;DATA_CLEANED!AN779,"OK","ERREUR")</f>
        <v>OK</v>
      </c>
      <c r="BG788" s="43" t="str">
        <f>IF(DATA_CLEANED!AL779&gt;DATA_CLEANED!AM779,DATA_CLEANED!AK779,IF(AND(DATA_QUALITE!W5265="-",DATA_CLEANED!AM779=DATA_CLEANED!AL779),"MATCH NUL",IF(AND(DATA_QUALITE!V5265="-",DATA_QUALITE!U5265="AUCUNE"),DATA_QUALITE!T5265,IF(DATA_QUALITE!V5265&lt;&gt;"-",DATA_QUALITE!V5265,DATA_CLEANED!AN779))))</f>
        <v>Colombia</v>
      </c>
      <c r="BH788" s="103" t="str">
        <f>IF(AND(BG788="MATCH NUL",DATA_CLEANED!AO779="-"),"MATCH_NUL",IF(ISNUMBER(SEARCH("win on penalties",W5265)),"WIN_BY_PENALTY",IF(ISNUMBER(SEARCH("win after extra time",W5265)),"WIN_BY_EXTRA_TIME",IF(ISNUMBER(SEARCH("Golden Goal",W5265)),"WIN_BY_GOLDEN_GOAL","WIN_BY_SCORE"))))</f>
        <v>WIN_BY_SCORE</v>
      </c>
      <c r="BI788" s="99" t="str">
        <f>IF(OR(BG788=DATA_CLEANED!AK779,BG788=DATA_CLEANED!AN779,BG788="MATCH NUL"),"OK","ERREUR")</f>
        <v>OK</v>
      </c>
    </row>
    <row r="789" spans="2:61">
      <c r="B789" s="75">
        <v>352</v>
      </c>
      <c r="C789" s="15" t="str">
        <v>İsmail Yüksek</v>
      </c>
      <c r="D789" s="15">
        <v>27</v>
      </c>
      <c r="E789" s="15" t="str">
        <v>Turkey</v>
      </c>
      <c r="F789" s="15" t="str">
        <v>CDM</v>
      </c>
      <c r="G789" s="15" t="str">
        <v>Fenerbahçe</v>
      </c>
      <c r="H789" s="15">
        <v>16</v>
      </c>
      <c r="I789" s="15" t="str">
        <f t="shared" si="69"/>
        <v>352|İsmail Yüksek|27|Turkey|CDM|Fenerbahçe|16</v>
      </c>
      <c r="J789" s="15" t="str">
        <f>IF(COUNTIF(I$438:I789,I789)&gt;1,"DOUBLON","OK")</f>
        <v>OK</v>
      </c>
      <c r="S789" s="30" t="str">
        <v>France</v>
      </c>
      <c r="T789" s="30" t="str">
        <f t="shared" si="70"/>
        <v>OK</v>
      </c>
      <c r="U789" s="30" t="str">
        <f t="shared" si="71"/>
        <v>-</v>
      </c>
      <c r="V789" s="30" t="str" cm="1">
        <f t="array" ref="V789">_xlfn.IFS(
ISNUMBER(SEARCH("USA",S789)),"United States",
ISNUMBER(SEARCH("Republic of Korea",S789)),"South Korea",
ISNUMBER(SEARCH("Cape Verde",S789)),"Cabo Verde",
ISNUMBER(SEARCH("Czechia",S789)),"Czech Republic",
ISNUMBER(SEARCH("Türkiye",S789)),"Turkey",
ISNUMBER(SEARCH("Ivory Coast",S789)),"Côte d'Ivoire",
ISNUMBER(SEARCH("Korea Republic",S789)),"South Korea",
ISNUMBER(SEARCH("Germany FR",S789)),"FR Germany",
ISNUMBER(SEARCH("West Germany",S789)),"FR Germany",
ISNUMBER(SEARCH("Germany DR",S789)),"DR Germany",
ISNUMBER(SEARCH("Korea DPR",S789)),"North Korea",
ISNUMBER(SEARCH("China PR",S789)),"China",
ISNUMBER(SEARCH("IR Iran",S789)),"Iran",
ISNUMBER(SEARCH("Congo DR",S789)),"Democratic Republic of the Congo",
ISNUMBER(SEARCH("DR Congo",S789)),"Democratic Republic of the Congo",
ISNUMBER(SEARCH("German DR",S789)),"DR Germany",
ISNUMBER(SEARCH("rn""&gt;United Arab Emirates",S789)),"United Arab Emirates",
ISNUMBER(SEARCH("rn""&gt;Republic of Ireland",S789)),"Ireland",
ISNUMBER(SEARCH("rn""&gt;Bosnia and Herzegovina",S789)),"Bosnia and Herzegovina",
ISNUMBER(SEARCH("rn""&gt;Trinidad and Tobago",S789)),"Trinidad and Tobago",
ISNUMBER(SEARCH("rn""&gt;Serbia and Montenegro",S789)),"Serbia and Montenegro",
ISNUMBER(SEARCH(_xlfn.UNICHAR(65533),S789)),"Côte d'Ivoire",
TRUE,""
)</f>
        <v/>
      </c>
      <c r="W789" s="30" t="str">
        <f t="shared" si="72"/>
        <v>France</v>
      </c>
      <c r="Z789" s="40" t="str">
        <v>Peter Mokaba Stadium</v>
      </c>
      <c r="AA789" s="40" t="str" cm="1">
        <f t="array" ref="AA789">IFERROR(_xlfn.XLOOKUP(Z789,_xlfn.ANCHORARRAY(Z$31),AA$31:AA$37),Z789)</f>
        <v>Peter Mokaba Stadium</v>
      </c>
      <c r="AB789" s="42" t="str">
        <v xml:space="preserve">Polokwane </v>
      </c>
      <c r="AC789" s="89" t="str">
        <f t="shared" si="68"/>
        <v xml:space="preserve">Polokwane </v>
      </c>
      <c r="AE789" s="42">
        <v>2006</v>
      </c>
      <c r="AK789" s="42">
        <v>3</v>
      </c>
      <c r="AL789" s="42">
        <v>1</v>
      </c>
      <c r="AW789" s="89" t="str">
        <v>GROUP_STAGE</v>
      </c>
      <c r="BE789" s="43" t="str">
        <f>IF(OR(DATA_CLEANED!AL780="",DATA_CLEANED!AM780=""),"MANQUANT",IF(OR(NOT(ISNUMBER(DATA_CLEANED!AL780)),NOT(ISNUMBER(DATA_CLEANED!AM780))),"ENTREE INVALIDE",IF(OR(DATA_CLEANED!AL780&lt;0,DATA_CLEANED!AM780&lt;0),"SCORE NEGATIF","OK")))</f>
        <v>OK</v>
      </c>
      <c r="BF789" s="43" t="str">
        <f>IF(DATA_CLEANED!AK780&lt;&gt;DATA_CLEANED!AN780,"OK","ERREUR")</f>
        <v>OK</v>
      </c>
      <c r="BG789" s="43" t="str">
        <f>IF(DATA_CLEANED!AL780&gt;DATA_CLEANED!AM780,DATA_CLEANED!AK780,IF(AND(DATA_QUALITE!W5266="-",DATA_CLEANED!AM780=DATA_CLEANED!AL780),"MATCH NUL",IF(AND(DATA_QUALITE!V5266="-",DATA_QUALITE!U5266="AUCUNE"),DATA_QUALITE!T5266,IF(DATA_QUALITE!V5266&lt;&gt;"-",DATA_QUALITE!V5266,DATA_CLEANED!AN780))))</f>
        <v>Costa Rica</v>
      </c>
      <c r="BH789" s="103" t="str">
        <f>IF(AND(BG789="MATCH NUL",DATA_CLEANED!AO780="-"),"MATCH_NUL",IF(ISNUMBER(SEARCH("win on penalties",W5266)),"WIN_BY_PENALTY",IF(ISNUMBER(SEARCH("win after extra time",W5266)),"WIN_BY_EXTRA_TIME",IF(ISNUMBER(SEARCH("Golden Goal",W5266)),"WIN_BY_GOLDEN_GOAL","WIN_BY_SCORE"))))</f>
        <v>WIN_BY_SCORE</v>
      </c>
      <c r="BI789" s="99" t="str">
        <f>IF(OR(BG789=DATA_CLEANED!AK780,BG789=DATA_CLEANED!AN780,BG789="MATCH NUL"),"OK","ERREUR")</f>
        <v>OK</v>
      </c>
    </row>
    <row r="790" spans="2:61">
      <c r="B790" s="75">
        <v>353</v>
      </c>
      <c r="C790" s="15" t="str">
        <v>Kaan Ayhan</v>
      </c>
      <c r="D790" s="15">
        <v>31</v>
      </c>
      <c r="E790" s="15" t="str">
        <v>Turkey</v>
      </c>
      <c r="F790" s="15" t="str">
        <v>CDM</v>
      </c>
      <c r="G790" s="15" t="str">
        <v>Galatasaray</v>
      </c>
      <c r="H790" s="15">
        <v>22</v>
      </c>
      <c r="I790" s="15" t="str">
        <f t="shared" si="69"/>
        <v>353|Kaan Ayhan|31|Turkey|CDM|Galatasaray|22</v>
      </c>
      <c r="J790" s="15" t="str">
        <f>IF(COUNTIF(I$438:I790,I790)&gt;1,"DOUBLON","OK")</f>
        <v>OK</v>
      </c>
      <c r="S790" s="30" t="str">
        <v>Brazil</v>
      </c>
      <c r="T790" s="30" t="str">
        <f t="shared" si="70"/>
        <v>OK</v>
      </c>
      <c r="U790" s="30" t="str">
        <f t="shared" si="71"/>
        <v>-</v>
      </c>
      <c r="V790" s="30" t="str" cm="1">
        <f t="array" ref="V790">_xlfn.IFS(
ISNUMBER(SEARCH("USA",S790)),"United States",
ISNUMBER(SEARCH("Republic of Korea",S790)),"South Korea",
ISNUMBER(SEARCH("Cape Verde",S790)),"Cabo Verde",
ISNUMBER(SEARCH("Czechia",S790)),"Czech Republic",
ISNUMBER(SEARCH("Türkiye",S790)),"Turkey",
ISNUMBER(SEARCH("Ivory Coast",S790)),"Côte d'Ivoire",
ISNUMBER(SEARCH("Korea Republic",S790)),"South Korea",
ISNUMBER(SEARCH("Germany FR",S790)),"FR Germany",
ISNUMBER(SEARCH("West Germany",S790)),"FR Germany",
ISNUMBER(SEARCH("Germany DR",S790)),"DR Germany",
ISNUMBER(SEARCH("Korea DPR",S790)),"North Korea",
ISNUMBER(SEARCH("China PR",S790)),"China",
ISNUMBER(SEARCH("IR Iran",S790)),"Iran",
ISNUMBER(SEARCH("Congo DR",S790)),"Democratic Republic of the Congo",
ISNUMBER(SEARCH("DR Congo",S790)),"Democratic Republic of the Congo",
ISNUMBER(SEARCH("German DR",S790)),"DR Germany",
ISNUMBER(SEARCH("rn""&gt;United Arab Emirates",S790)),"United Arab Emirates",
ISNUMBER(SEARCH("rn""&gt;Republic of Ireland",S790)),"Ireland",
ISNUMBER(SEARCH("rn""&gt;Bosnia and Herzegovina",S790)),"Bosnia and Herzegovina",
ISNUMBER(SEARCH("rn""&gt;Trinidad and Tobago",S790)),"Trinidad and Tobago",
ISNUMBER(SEARCH("rn""&gt;Serbia and Montenegro",S790)),"Serbia and Montenegro",
ISNUMBER(SEARCH(_xlfn.UNICHAR(65533),S790)),"Côte d'Ivoire",
TRUE,""
)</f>
        <v/>
      </c>
      <c r="W790" s="30" t="str">
        <f t="shared" si="72"/>
        <v>Brazil</v>
      </c>
      <c r="Z790" s="40" t="str">
        <v>Royal Bafokeng Sports Palace</v>
      </c>
      <c r="AA790" s="40" t="str" cm="1">
        <f t="array" ref="AA790">IFERROR(_xlfn.XLOOKUP(Z790,_xlfn.ANCHORARRAY(Z$31),AA$31:AA$37),Z790)</f>
        <v>Royal Bafokeng Sports Palace</v>
      </c>
      <c r="AB790" s="42" t="str">
        <v xml:space="preserve">Phokeng </v>
      </c>
      <c r="AC790" s="89" t="str">
        <f t="shared" si="68"/>
        <v xml:space="preserve">Phokeng </v>
      </c>
      <c r="AE790" s="42">
        <v>2006</v>
      </c>
      <c r="AK790" s="42">
        <v>1</v>
      </c>
      <c r="AL790" s="42">
        <v>1</v>
      </c>
      <c r="AW790" s="89" t="str">
        <v>GROUP_STAGE</v>
      </c>
      <c r="BE790" s="43" t="str">
        <f>IF(OR(DATA_CLEANED!AL781="",DATA_CLEANED!AM781=""),"MANQUANT",IF(OR(NOT(ISNUMBER(DATA_CLEANED!AL781)),NOT(ISNUMBER(DATA_CLEANED!AM781))),"ENTREE INVALIDE",IF(OR(DATA_CLEANED!AL781&lt;0,DATA_CLEANED!AM781&lt;0),"SCORE NEGATIF","OK")))</f>
        <v>OK</v>
      </c>
      <c r="BF790" s="43" t="str">
        <f>IF(DATA_CLEANED!AK781&lt;&gt;DATA_CLEANED!AN781,"OK","ERREUR")</f>
        <v>OK</v>
      </c>
      <c r="BG790" s="43" t="str">
        <f>IF(DATA_CLEANED!AL781&gt;DATA_CLEANED!AM781,DATA_CLEANED!AK781,IF(AND(DATA_QUALITE!W5267="-",DATA_CLEANED!AM781=DATA_CLEANED!AL781),"MATCH NUL",IF(AND(DATA_QUALITE!V5267="-",DATA_QUALITE!U5267="AUCUNE"),DATA_QUALITE!T5267,IF(DATA_QUALITE!V5267&lt;&gt;"-",DATA_QUALITE!V5267,DATA_CLEANED!AN781))))</f>
        <v>Italy</v>
      </c>
      <c r="BH790" s="103" t="str">
        <f>IF(AND(BG790="MATCH NUL",DATA_CLEANED!AO781="-"),"MATCH_NUL",IF(ISNUMBER(SEARCH("win on penalties",W5267)),"WIN_BY_PENALTY",IF(ISNUMBER(SEARCH("win after extra time",W5267)),"WIN_BY_EXTRA_TIME",IF(ISNUMBER(SEARCH("Golden Goal",W5267)),"WIN_BY_GOLDEN_GOAL","WIN_BY_SCORE"))))</f>
        <v>WIN_BY_SCORE</v>
      </c>
      <c r="BI790" s="99" t="str">
        <f>IF(OR(BG790=DATA_CLEANED!AK781,BG790=DATA_CLEANED!AN781,BG790="MATCH NUL"),"OK","ERREUR")</f>
        <v>OK</v>
      </c>
    </row>
    <row r="791" spans="2:61">
      <c r="B791" s="75">
        <v>354</v>
      </c>
      <c r="C791" s="15" t="str">
        <v>Orkun Kökçü</v>
      </c>
      <c r="D791" s="15">
        <v>25</v>
      </c>
      <c r="E791" s="15" t="str">
        <v>Turkey</v>
      </c>
      <c r="F791" s="15" t="str">
        <v>CM</v>
      </c>
      <c r="G791" s="15" t="str">
        <v>Beşiktaş</v>
      </c>
      <c r="H791" s="15">
        <v>6</v>
      </c>
      <c r="I791" s="15" t="str">
        <f t="shared" si="69"/>
        <v>354|Orkun Kökçü|25|Turkey|CM|Beşiktaş|6</v>
      </c>
      <c r="J791" s="15" t="str">
        <f>IF(COUNTIF(I$438:I791,I791)&gt;1,"DOUBLON","OK")</f>
        <v>OK</v>
      </c>
      <c r="S791" s="30" t="str">
        <v>Brazil</v>
      </c>
      <c r="T791" s="30" t="str">
        <f t="shared" si="70"/>
        <v>OK</v>
      </c>
      <c r="U791" s="30" t="str">
        <f t="shared" si="71"/>
        <v>-</v>
      </c>
      <c r="V791" s="30" t="str" cm="1">
        <f t="array" ref="V791">_xlfn.IFS(
ISNUMBER(SEARCH("USA",S791)),"United States",
ISNUMBER(SEARCH("Republic of Korea",S791)),"South Korea",
ISNUMBER(SEARCH("Cape Verde",S791)),"Cabo Verde",
ISNUMBER(SEARCH("Czechia",S791)),"Czech Republic",
ISNUMBER(SEARCH("Türkiye",S791)),"Turkey",
ISNUMBER(SEARCH("Ivory Coast",S791)),"Côte d'Ivoire",
ISNUMBER(SEARCH("Korea Republic",S791)),"South Korea",
ISNUMBER(SEARCH("Germany FR",S791)),"FR Germany",
ISNUMBER(SEARCH("West Germany",S791)),"FR Germany",
ISNUMBER(SEARCH("Germany DR",S791)),"DR Germany",
ISNUMBER(SEARCH("Korea DPR",S791)),"North Korea",
ISNUMBER(SEARCH("China PR",S791)),"China",
ISNUMBER(SEARCH("IR Iran",S791)),"Iran",
ISNUMBER(SEARCH("Congo DR",S791)),"Democratic Republic of the Congo",
ISNUMBER(SEARCH("DR Congo",S791)),"Democratic Republic of the Congo",
ISNUMBER(SEARCH("German DR",S791)),"DR Germany",
ISNUMBER(SEARCH("rn""&gt;United Arab Emirates",S791)),"United Arab Emirates",
ISNUMBER(SEARCH("rn""&gt;Republic of Ireland",S791)),"Ireland",
ISNUMBER(SEARCH("rn""&gt;Bosnia and Herzegovina",S791)),"Bosnia and Herzegovina",
ISNUMBER(SEARCH("rn""&gt;Trinidad and Tobago",S791)),"Trinidad and Tobago",
ISNUMBER(SEARCH("rn""&gt;Serbia and Montenegro",S791)),"Serbia and Montenegro",
ISNUMBER(SEARCH(_xlfn.UNICHAR(65533),S791)),"Côte d'Ivoire",
TRUE,""
)</f>
        <v/>
      </c>
      <c r="W791" s="30" t="str">
        <f t="shared" si="72"/>
        <v>Brazil</v>
      </c>
      <c r="Z791" s="40" t="str">
        <v>Cape Town Stadium</v>
      </c>
      <c r="AA791" s="40" t="str" cm="1">
        <f t="array" ref="AA791">IFERROR(_xlfn.XLOOKUP(Z791,_xlfn.ANCHORARRAY(Z$31),AA$31:AA$37),Z791)</f>
        <v>Cape Town Stadium</v>
      </c>
      <c r="AB791" s="42" t="str">
        <v xml:space="preserve">Cape Town </v>
      </c>
      <c r="AC791" s="89" t="str">
        <f t="shared" si="68"/>
        <v xml:space="preserve">Cape Town </v>
      </c>
      <c r="AE791" s="42">
        <v>2010</v>
      </c>
      <c r="AK791" s="42">
        <v>1</v>
      </c>
      <c r="AL791" s="42">
        <v>1</v>
      </c>
      <c r="AW791" s="89" t="str">
        <v>GROUP_STAGE</v>
      </c>
      <c r="BE791" s="43" t="str">
        <f>IF(OR(DATA_CLEANED!AL782="",DATA_CLEANED!AM782=""),"MANQUANT",IF(OR(NOT(ISNUMBER(DATA_CLEANED!AL782)),NOT(ISNUMBER(DATA_CLEANED!AM782))),"ENTREE INVALIDE",IF(OR(DATA_CLEANED!AL782&lt;0,DATA_CLEANED!AM782&lt;0),"SCORE NEGATIF","OK")))</f>
        <v>OK</v>
      </c>
      <c r="BF791" s="43" t="str">
        <f>IF(DATA_CLEANED!AK782&lt;&gt;DATA_CLEANED!AN782,"OK","ERREUR")</f>
        <v>OK</v>
      </c>
      <c r="BG791" s="43" t="str">
        <f>IF(DATA_CLEANED!AL782&gt;DATA_CLEANED!AM782,DATA_CLEANED!AK782,IF(AND(DATA_QUALITE!W5268="-",DATA_CLEANED!AM782=DATA_CLEANED!AL782),"MATCH NUL",IF(AND(DATA_QUALITE!V5268="-",DATA_QUALITE!U5268="AUCUNE"),DATA_QUALITE!T5268,IF(DATA_QUALITE!V5268&lt;&gt;"-",DATA_QUALITE!V5268,DATA_CLEANED!AN782))))</f>
        <v>Côte d'Ivoire</v>
      </c>
      <c r="BH791" s="103" t="str">
        <f>IF(AND(BG791="MATCH NUL",DATA_CLEANED!AO782="-"),"MATCH_NUL",IF(ISNUMBER(SEARCH("win on penalties",W5268)),"WIN_BY_PENALTY",IF(ISNUMBER(SEARCH("win after extra time",W5268)),"WIN_BY_EXTRA_TIME",IF(ISNUMBER(SEARCH("Golden Goal",W5268)),"WIN_BY_GOLDEN_GOAL","WIN_BY_SCORE"))))</f>
        <v>WIN_BY_SCORE</v>
      </c>
      <c r="BI791" s="99" t="str">
        <f>IF(OR(BG791=DATA_CLEANED!AK782,BG791=DATA_CLEANED!AN782,BG791="MATCH NUL"),"OK","ERREUR")</f>
        <v>OK</v>
      </c>
    </row>
    <row r="792" spans="2:61">
      <c r="B792" s="75">
        <v>355</v>
      </c>
      <c r="C792" s="15" t="str">
        <v>Arda Güler</v>
      </c>
      <c r="D792" s="15">
        <v>21</v>
      </c>
      <c r="E792" s="15" t="str">
        <v>Turkey</v>
      </c>
      <c r="F792" s="15" t="str">
        <v>CAM</v>
      </c>
      <c r="G792" s="15" t="str">
        <v>Real Madrid</v>
      </c>
      <c r="H792" s="15">
        <v>8</v>
      </c>
      <c r="I792" s="15" t="str">
        <f t="shared" si="69"/>
        <v>355|Arda Güler|21|Turkey|CAM|Real Madrid|8</v>
      </c>
      <c r="J792" s="15" t="str">
        <f>IF(COUNTIF(I$438:I792,I792)&gt;1,"DOUBLON","OK")</f>
        <v>OK</v>
      </c>
      <c r="S792" s="30" t="str">
        <v>France</v>
      </c>
      <c r="T792" s="30" t="str">
        <f t="shared" si="70"/>
        <v>OK</v>
      </c>
      <c r="U792" s="30" t="str">
        <f t="shared" si="71"/>
        <v>-</v>
      </c>
      <c r="V792" s="30" t="str" cm="1">
        <f t="array" ref="V792">_xlfn.IFS(
ISNUMBER(SEARCH("USA",S792)),"United States",
ISNUMBER(SEARCH("Republic of Korea",S792)),"South Korea",
ISNUMBER(SEARCH("Cape Verde",S792)),"Cabo Verde",
ISNUMBER(SEARCH("Czechia",S792)),"Czech Republic",
ISNUMBER(SEARCH("Türkiye",S792)),"Turkey",
ISNUMBER(SEARCH("Ivory Coast",S792)),"Côte d'Ivoire",
ISNUMBER(SEARCH("Korea Republic",S792)),"South Korea",
ISNUMBER(SEARCH("Germany FR",S792)),"FR Germany",
ISNUMBER(SEARCH("West Germany",S792)),"FR Germany",
ISNUMBER(SEARCH("Germany DR",S792)),"DR Germany",
ISNUMBER(SEARCH("Korea DPR",S792)),"North Korea",
ISNUMBER(SEARCH("China PR",S792)),"China",
ISNUMBER(SEARCH("IR Iran",S792)),"Iran",
ISNUMBER(SEARCH("Congo DR",S792)),"Democratic Republic of the Congo",
ISNUMBER(SEARCH("DR Congo",S792)),"Democratic Republic of the Congo",
ISNUMBER(SEARCH("German DR",S792)),"DR Germany",
ISNUMBER(SEARCH("rn""&gt;United Arab Emirates",S792)),"United Arab Emirates",
ISNUMBER(SEARCH("rn""&gt;Republic of Ireland",S792)),"Ireland",
ISNUMBER(SEARCH("rn""&gt;Bosnia and Herzegovina",S792)),"Bosnia and Herzegovina",
ISNUMBER(SEARCH("rn""&gt;Trinidad and Tobago",S792)),"Trinidad and Tobago",
ISNUMBER(SEARCH("rn""&gt;Serbia and Montenegro",S792)),"Serbia and Montenegro",
ISNUMBER(SEARCH(_xlfn.UNICHAR(65533),S792)),"Côte d'Ivoire",
TRUE,""
)</f>
        <v/>
      </c>
      <c r="W792" s="30" t="str">
        <f t="shared" si="72"/>
        <v>France</v>
      </c>
      <c r="Z792" s="40" t="str">
        <v>Durban Stadium</v>
      </c>
      <c r="AA792" s="40" t="str" cm="1">
        <f t="array" ref="AA792">IFERROR(_xlfn.XLOOKUP(Z792,_xlfn.ANCHORARRAY(Z$31),AA$31:AA$37),Z792)</f>
        <v>Durban Stadium</v>
      </c>
      <c r="AB792" s="42" t="str">
        <v xml:space="preserve">Durban </v>
      </c>
      <c r="AC792" s="89" t="str">
        <f t="shared" si="68"/>
        <v xml:space="preserve">Durban </v>
      </c>
      <c r="AE792" s="42">
        <v>2010</v>
      </c>
      <c r="AK792" s="42">
        <v>0</v>
      </c>
      <c r="AL792" s="42">
        <v>0</v>
      </c>
      <c r="AW792" s="89" t="str">
        <v>GROUP_STAGE</v>
      </c>
      <c r="BE792" s="43" t="str">
        <f>IF(OR(DATA_CLEANED!AL783="",DATA_CLEANED!AM783=""),"MANQUANT",IF(OR(NOT(ISNUMBER(DATA_CLEANED!AL783)),NOT(ISNUMBER(DATA_CLEANED!AM783))),"ENTREE INVALIDE",IF(OR(DATA_CLEANED!AL783&lt;0,DATA_CLEANED!AM783&lt;0),"SCORE NEGATIF","OK")))</f>
        <v>OK</v>
      </c>
      <c r="BF792" s="43" t="str">
        <f>IF(DATA_CLEANED!AK783&lt;&gt;DATA_CLEANED!AN783,"OK","ERREUR")</f>
        <v>OK</v>
      </c>
      <c r="BG792" s="43" t="str">
        <f>IF(DATA_CLEANED!AL783&gt;DATA_CLEANED!AM783,DATA_CLEANED!AK783,IF(AND(DATA_QUALITE!W5269="-",DATA_CLEANED!AM783=DATA_CLEANED!AL783),"MATCH NUL",IF(AND(DATA_QUALITE!V5269="-",DATA_QUALITE!U5269="AUCUNE"),DATA_QUALITE!T5269,IF(DATA_QUALITE!V5269&lt;&gt;"-",DATA_QUALITE!V5269,DATA_CLEANED!AN783))))</f>
        <v>Switzerland</v>
      </c>
      <c r="BH792" s="103" t="str">
        <f>IF(AND(BG792="MATCH NUL",DATA_CLEANED!AO783="-"),"MATCH_NUL",IF(ISNUMBER(SEARCH("win on penalties",W5269)),"WIN_BY_PENALTY",IF(ISNUMBER(SEARCH("win after extra time",W5269)),"WIN_BY_EXTRA_TIME",IF(ISNUMBER(SEARCH("Golden Goal",W5269)),"WIN_BY_GOLDEN_GOAL","WIN_BY_SCORE"))))</f>
        <v>WIN_BY_SCORE</v>
      </c>
      <c r="BI792" s="99" t="str">
        <f>IF(OR(BG792=DATA_CLEANED!AK783,BG792=DATA_CLEANED!AN783,BG792="MATCH NUL"),"OK","ERREUR")</f>
        <v>OK</v>
      </c>
    </row>
    <row r="793" spans="2:61">
      <c r="B793" s="75">
        <v>356</v>
      </c>
      <c r="C793" s="15" t="str">
        <v>Hakan Çalhanoğlu</v>
      </c>
      <c r="D793" s="15">
        <v>32</v>
      </c>
      <c r="E793" s="15" t="str">
        <v>Turkey</v>
      </c>
      <c r="F793" s="15" t="str">
        <v>CAM</v>
      </c>
      <c r="G793" s="15" t="str">
        <v>Inter Milan</v>
      </c>
      <c r="H793" s="15">
        <v>10</v>
      </c>
      <c r="I793" s="15" t="str">
        <f t="shared" si="69"/>
        <v>356|Hakan Çalhanoğlu|32|Turkey|CAM|Inter Milan|10</v>
      </c>
      <c r="J793" s="15" t="str">
        <f>IF(COUNTIF(I$438:I793,I793)&gt;1,"DOUBLON","OK")</f>
        <v>OK</v>
      </c>
      <c r="S793" s="30" t="str">
        <v>Brazil</v>
      </c>
      <c r="T793" s="30" t="str">
        <f t="shared" si="70"/>
        <v>OK</v>
      </c>
      <c r="U793" s="30" t="str">
        <f t="shared" si="71"/>
        <v>-</v>
      </c>
      <c r="V793" s="30" t="str" cm="1">
        <f t="array" ref="V793">_xlfn.IFS(
ISNUMBER(SEARCH("USA",S793)),"United States",
ISNUMBER(SEARCH("Republic of Korea",S793)),"South Korea",
ISNUMBER(SEARCH("Cape Verde",S793)),"Cabo Verde",
ISNUMBER(SEARCH("Czechia",S793)),"Czech Republic",
ISNUMBER(SEARCH("Türkiye",S793)),"Turkey",
ISNUMBER(SEARCH("Ivory Coast",S793)),"Côte d'Ivoire",
ISNUMBER(SEARCH("Korea Republic",S793)),"South Korea",
ISNUMBER(SEARCH("Germany FR",S793)),"FR Germany",
ISNUMBER(SEARCH("West Germany",S793)),"FR Germany",
ISNUMBER(SEARCH("Germany DR",S793)),"DR Germany",
ISNUMBER(SEARCH("Korea DPR",S793)),"North Korea",
ISNUMBER(SEARCH("China PR",S793)),"China",
ISNUMBER(SEARCH("IR Iran",S793)),"Iran",
ISNUMBER(SEARCH("Congo DR",S793)),"Democratic Republic of the Congo",
ISNUMBER(SEARCH("DR Congo",S793)),"Democratic Republic of the Congo",
ISNUMBER(SEARCH("German DR",S793)),"DR Germany",
ISNUMBER(SEARCH("rn""&gt;United Arab Emirates",S793)),"United Arab Emirates",
ISNUMBER(SEARCH("rn""&gt;Republic of Ireland",S793)),"Ireland",
ISNUMBER(SEARCH("rn""&gt;Bosnia and Herzegovina",S793)),"Bosnia and Herzegovina",
ISNUMBER(SEARCH("rn""&gt;Trinidad and Tobago",S793)),"Trinidad and Tobago",
ISNUMBER(SEARCH("rn""&gt;Serbia and Montenegro",S793)),"Serbia and Montenegro",
ISNUMBER(SEARCH(_xlfn.UNICHAR(65533),S793)),"Côte d'Ivoire",
TRUE,""
)</f>
        <v/>
      </c>
      <c r="W793" s="30" t="str">
        <f t="shared" si="72"/>
        <v>Brazil</v>
      </c>
      <c r="Z793" s="40" t="str">
        <v>Mbombela Stadium</v>
      </c>
      <c r="AA793" s="40" t="str" cm="1">
        <f t="array" ref="AA793">IFERROR(_xlfn.XLOOKUP(Z793,_xlfn.ANCHORARRAY(Z$31),AA$31:AA$37),Z793)</f>
        <v>Mbombela Stadium</v>
      </c>
      <c r="AB793" s="42" t="str">
        <v xml:space="preserve">Nelspruit </v>
      </c>
      <c r="AC793" s="89" t="str">
        <f t="shared" si="68"/>
        <v xml:space="preserve">Nelspruit </v>
      </c>
      <c r="AE793" s="42">
        <v>2010</v>
      </c>
      <c r="AK793" s="42">
        <v>2</v>
      </c>
      <c r="AL793" s="42">
        <v>0</v>
      </c>
      <c r="AW793" s="89" t="str">
        <v>GROUP_STAGE</v>
      </c>
      <c r="BE793" s="43" t="str">
        <f>IF(OR(DATA_CLEANED!AL784="",DATA_CLEANED!AM784=""),"MANQUANT",IF(OR(NOT(ISNUMBER(DATA_CLEANED!AL784)),NOT(ISNUMBER(DATA_CLEANED!AM784))),"ENTREE INVALIDE",IF(OR(DATA_CLEANED!AL784&lt;0,DATA_CLEANED!AM784&lt;0),"SCORE NEGATIF","OK")))</f>
        <v>OK</v>
      </c>
      <c r="BF793" s="43" t="str">
        <f>IF(DATA_CLEANED!AK784&lt;&gt;DATA_CLEANED!AN784,"OK","ERREUR")</f>
        <v>OK</v>
      </c>
      <c r="BG793" s="43" t="str">
        <f>IF(DATA_CLEANED!AL784&gt;DATA_CLEANED!AM784,DATA_CLEANED!AK784,IF(AND(DATA_QUALITE!W5270="-",DATA_CLEANED!AM784=DATA_CLEANED!AL784),"MATCH NUL",IF(AND(DATA_QUALITE!V5270="-",DATA_QUALITE!U5270="AUCUNE"),DATA_QUALITE!T5270,IF(DATA_QUALITE!V5270&lt;&gt;"-",DATA_QUALITE!V5270,DATA_CLEANED!AN784))))</f>
        <v>France</v>
      </c>
      <c r="BH793" s="103" t="str">
        <f>IF(AND(BG793="MATCH NUL",DATA_CLEANED!AO784="-"),"MATCH_NUL",IF(ISNUMBER(SEARCH("win on penalties",W5270)),"WIN_BY_PENALTY",IF(ISNUMBER(SEARCH("win after extra time",W5270)),"WIN_BY_EXTRA_TIME",IF(ISNUMBER(SEARCH("Golden Goal",W5270)),"WIN_BY_GOLDEN_GOAL","WIN_BY_SCORE"))))</f>
        <v>WIN_BY_SCORE</v>
      </c>
      <c r="BI793" s="99" t="str">
        <f>IF(OR(BG793=DATA_CLEANED!AK784,BG793=DATA_CLEANED!AN784,BG793="MATCH NUL"),"OK","ERREUR")</f>
        <v>OK</v>
      </c>
    </row>
    <row r="794" spans="2:61">
      <c r="B794" s="75">
        <v>357</v>
      </c>
      <c r="C794" s="15" t="str">
        <v>Kerem Aktürkoğlu</v>
      </c>
      <c r="D794" s="15">
        <v>27</v>
      </c>
      <c r="E794" s="15" t="str">
        <v>Turkey</v>
      </c>
      <c r="F794" s="15" t="str">
        <v>LW</v>
      </c>
      <c r="G794" s="15" t="str">
        <v>Fenerbahçe</v>
      </c>
      <c r="H794" s="15">
        <v>7</v>
      </c>
      <c r="I794" s="15" t="str">
        <f t="shared" si="69"/>
        <v>357|Kerem Aktürkoğlu|27|Turkey|LW|Fenerbahçe|7</v>
      </c>
      <c r="J794" s="15" t="str">
        <f>IF(COUNTIF(I$438:I794,I794)&gt;1,"DOUBLON","OK")</f>
        <v>OK</v>
      </c>
      <c r="S794" s="30" t="str">
        <v>France</v>
      </c>
      <c r="T794" s="30" t="str">
        <f t="shared" si="70"/>
        <v>OK</v>
      </c>
      <c r="U794" s="30" t="str">
        <f t="shared" si="71"/>
        <v>-</v>
      </c>
      <c r="V794" s="30" t="str" cm="1">
        <f t="array" ref="V794">_xlfn.IFS(
ISNUMBER(SEARCH("USA",S794)),"United States",
ISNUMBER(SEARCH("Republic of Korea",S794)),"South Korea",
ISNUMBER(SEARCH("Cape Verde",S794)),"Cabo Verde",
ISNUMBER(SEARCH("Czechia",S794)),"Czech Republic",
ISNUMBER(SEARCH("Türkiye",S794)),"Turkey",
ISNUMBER(SEARCH("Ivory Coast",S794)),"Côte d'Ivoire",
ISNUMBER(SEARCH("Korea Republic",S794)),"South Korea",
ISNUMBER(SEARCH("Germany FR",S794)),"FR Germany",
ISNUMBER(SEARCH("West Germany",S794)),"FR Germany",
ISNUMBER(SEARCH("Germany DR",S794)),"DR Germany",
ISNUMBER(SEARCH("Korea DPR",S794)),"North Korea",
ISNUMBER(SEARCH("China PR",S794)),"China",
ISNUMBER(SEARCH("IR Iran",S794)),"Iran",
ISNUMBER(SEARCH("Congo DR",S794)),"Democratic Republic of the Congo",
ISNUMBER(SEARCH("DR Congo",S794)),"Democratic Republic of the Congo",
ISNUMBER(SEARCH("German DR",S794)),"DR Germany",
ISNUMBER(SEARCH("rn""&gt;United Arab Emirates",S794)),"United Arab Emirates",
ISNUMBER(SEARCH("rn""&gt;Republic of Ireland",S794)),"Ireland",
ISNUMBER(SEARCH("rn""&gt;Bosnia and Herzegovina",S794)),"Bosnia and Herzegovina",
ISNUMBER(SEARCH("rn""&gt;Trinidad and Tobago",S794)),"Trinidad and Tobago",
ISNUMBER(SEARCH("rn""&gt;Serbia and Montenegro",S794)),"Serbia and Montenegro",
ISNUMBER(SEARCH(_xlfn.UNICHAR(65533),S794)),"Côte d'Ivoire",
TRUE,""
)</f>
        <v/>
      </c>
      <c r="W794" s="30" t="str">
        <f t="shared" si="72"/>
        <v>France</v>
      </c>
      <c r="Z794" s="40" t="str">
        <v>Loftus Versfeld Stadium</v>
      </c>
      <c r="AA794" s="40" t="str" cm="1">
        <f t="array" ref="AA794">IFERROR(_xlfn.XLOOKUP(Z794,_xlfn.ANCHORARRAY(Z$31),AA$31:AA$37),Z794)</f>
        <v>Loftus Versfeld Stadium</v>
      </c>
      <c r="AB794" s="42" t="str">
        <v xml:space="preserve">Tshwane/Pretoria </v>
      </c>
      <c r="AC794" s="89" t="str">
        <f t="shared" si="68"/>
        <v xml:space="preserve">Tshwane/Pretoria </v>
      </c>
      <c r="AE794" s="42">
        <v>2010</v>
      </c>
      <c r="AK794" s="42">
        <v>1</v>
      </c>
      <c r="AL794" s="42">
        <v>0</v>
      </c>
      <c r="AW794" s="89" t="str">
        <v>GROUP_STAGE</v>
      </c>
      <c r="BE794" s="43" t="str">
        <f>IF(OR(DATA_CLEANED!AL785="",DATA_CLEANED!AM785=""),"MANQUANT",IF(OR(NOT(ISNUMBER(DATA_CLEANED!AL785)),NOT(ISNUMBER(DATA_CLEANED!AM785))),"ENTREE INVALIDE",IF(OR(DATA_CLEANED!AL785&lt;0,DATA_CLEANED!AM785&lt;0),"SCORE NEGATIF","OK")))</f>
        <v>OK</v>
      </c>
      <c r="BF794" s="43" t="str">
        <f>IF(DATA_CLEANED!AK785&lt;&gt;DATA_CLEANED!AN785,"OK","ERREUR")</f>
        <v>OK</v>
      </c>
      <c r="BG794" s="43" t="str">
        <f>IF(DATA_CLEANED!AL785&gt;DATA_CLEANED!AM785,DATA_CLEANED!AK785,IF(AND(DATA_QUALITE!W5271="-",DATA_CLEANED!AM785=DATA_CLEANED!AL785),"MATCH NUL",IF(AND(DATA_QUALITE!V5271="-",DATA_QUALITE!U5271="AUCUNE"),DATA_QUALITE!T5271,IF(DATA_QUALITE!V5271&lt;&gt;"-",DATA_QUALITE!V5271,DATA_CLEANED!AN785))))</f>
        <v>Argentina</v>
      </c>
      <c r="BH794" s="103" t="str">
        <f>IF(AND(BG794="MATCH NUL",DATA_CLEANED!AO785="-"),"MATCH_NUL",IF(ISNUMBER(SEARCH("win on penalties",W5271)),"WIN_BY_PENALTY",IF(ISNUMBER(SEARCH("win after extra time",W5271)),"WIN_BY_EXTRA_TIME",IF(ISNUMBER(SEARCH("Golden Goal",W5271)),"WIN_BY_GOLDEN_GOAL","WIN_BY_SCORE"))))</f>
        <v>WIN_BY_SCORE</v>
      </c>
      <c r="BI794" s="99" t="str">
        <f>IF(OR(BG794=DATA_CLEANED!AK785,BG794=DATA_CLEANED!AN785,BG794="MATCH NUL"),"OK","ERREUR")</f>
        <v>OK</v>
      </c>
    </row>
    <row r="795" spans="2:61">
      <c r="B795" s="75">
        <v>358</v>
      </c>
      <c r="C795" s="15" t="str">
        <v>Kenan Yıldız</v>
      </c>
      <c r="D795" s="15">
        <v>21</v>
      </c>
      <c r="E795" s="15" t="str">
        <v>Turkey</v>
      </c>
      <c r="F795" s="15" t="str">
        <v>LW</v>
      </c>
      <c r="G795" s="15" t="str">
        <v>Juventus</v>
      </c>
      <c r="H795" s="15">
        <v>11</v>
      </c>
      <c r="I795" s="15" t="str">
        <f t="shared" si="69"/>
        <v>358|Kenan Yıldız|21|Turkey|LW|Juventus|11</v>
      </c>
      <c r="J795" s="15" t="str">
        <f>IF(COUNTIF(I$438:I795,I795)&gt;1,"DOUBLON","OK")</f>
        <v>OK</v>
      </c>
      <c r="S795" s="30" t="str">
        <v>Brazil</v>
      </c>
      <c r="T795" s="30" t="str">
        <f t="shared" si="70"/>
        <v>OK</v>
      </c>
      <c r="U795" s="30" t="str">
        <f t="shared" si="71"/>
        <v>-</v>
      </c>
      <c r="V795" s="30" t="str" cm="1">
        <f t="array" ref="V795">_xlfn.IFS(
ISNUMBER(SEARCH("USA",S795)),"United States",
ISNUMBER(SEARCH("Republic of Korea",S795)),"South Korea",
ISNUMBER(SEARCH("Cape Verde",S795)),"Cabo Verde",
ISNUMBER(SEARCH("Czechia",S795)),"Czech Republic",
ISNUMBER(SEARCH("Türkiye",S795)),"Turkey",
ISNUMBER(SEARCH("Ivory Coast",S795)),"Côte d'Ivoire",
ISNUMBER(SEARCH("Korea Republic",S795)),"South Korea",
ISNUMBER(SEARCH("Germany FR",S795)),"FR Germany",
ISNUMBER(SEARCH("West Germany",S795)),"FR Germany",
ISNUMBER(SEARCH("Germany DR",S795)),"DR Germany",
ISNUMBER(SEARCH("Korea DPR",S795)),"North Korea",
ISNUMBER(SEARCH("China PR",S795)),"China",
ISNUMBER(SEARCH("IR Iran",S795)),"Iran",
ISNUMBER(SEARCH("Congo DR",S795)),"Democratic Republic of the Congo",
ISNUMBER(SEARCH("DR Congo",S795)),"Democratic Republic of the Congo",
ISNUMBER(SEARCH("German DR",S795)),"DR Germany",
ISNUMBER(SEARCH("rn""&gt;United Arab Emirates",S795)),"United Arab Emirates",
ISNUMBER(SEARCH("rn""&gt;Republic of Ireland",S795)),"Ireland",
ISNUMBER(SEARCH("rn""&gt;Bosnia and Herzegovina",S795)),"Bosnia and Herzegovina",
ISNUMBER(SEARCH("rn""&gt;Trinidad and Tobago",S795)),"Trinidad and Tobago",
ISNUMBER(SEARCH("rn""&gt;Serbia and Montenegro",S795)),"Serbia and Montenegro",
ISNUMBER(SEARCH(_xlfn.UNICHAR(65533),S795)),"Côte d'Ivoire",
TRUE,""
)</f>
        <v/>
      </c>
      <c r="W795" s="30" t="str">
        <f t="shared" si="72"/>
        <v>Brazil</v>
      </c>
      <c r="Z795" s="40" t="str">
        <v>Free State Stadium</v>
      </c>
      <c r="AA795" s="40" t="str" cm="1">
        <f t="array" ref="AA795">IFERROR(_xlfn.XLOOKUP(Z795,_xlfn.ANCHORARRAY(Z$31),AA$31:AA$37),Z795)</f>
        <v>Free State Stadium</v>
      </c>
      <c r="AB795" s="42" t="str">
        <v xml:space="preserve">Mangaung/Bloemfontein </v>
      </c>
      <c r="AC795" s="89" t="str">
        <f t="shared" si="68"/>
        <v xml:space="preserve">Mangaung/Bloemfontein </v>
      </c>
      <c r="AE795" s="42">
        <v>2010</v>
      </c>
      <c r="AK795" s="42">
        <v>1</v>
      </c>
      <c r="AL795" s="42">
        <v>1</v>
      </c>
      <c r="AW795" s="89" t="str">
        <v>GROUP_STAGE</v>
      </c>
      <c r="BE795" s="43" t="str">
        <f>IF(OR(DATA_CLEANED!AL786="",DATA_CLEANED!AM786=""),"MANQUANT",IF(OR(NOT(ISNUMBER(DATA_CLEANED!AL786)),NOT(ISNUMBER(DATA_CLEANED!AM786))),"ENTREE INVALIDE",IF(OR(DATA_CLEANED!AL786&lt;0,DATA_CLEANED!AM786&lt;0),"SCORE NEGATIF","OK")))</f>
        <v>OK</v>
      </c>
      <c r="BF795" s="43" t="str">
        <f>IF(DATA_CLEANED!AK786&lt;&gt;DATA_CLEANED!AN786,"OK","ERREUR")</f>
        <v>OK</v>
      </c>
      <c r="BG795" s="43" t="str">
        <f>IF(DATA_CLEANED!AL786&gt;DATA_CLEANED!AM786,DATA_CLEANED!AK786,IF(AND(DATA_QUALITE!W5272="-",DATA_CLEANED!AM786=DATA_CLEANED!AL786),"MATCH NUL",IF(AND(DATA_QUALITE!V5272="-",DATA_QUALITE!U5272="AUCUNE"),DATA_QUALITE!T5272,IF(DATA_QUALITE!V5272&lt;&gt;"-",DATA_QUALITE!V5272,DATA_CLEANED!AN786))))</f>
        <v>Germany</v>
      </c>
      <c r="BH795" s="103" t="str">
        <f>IF(AND(BG795="MATCH NUL",DATA_CLEANED!AO786="-"),"MATCH_NUL",IF(ISNUMBER(SEARCH("win on penalties",W5272)),"WIN_BY_PENALTY",IF(ISNUMBER(SEARCH("win after extra time",W5272)),"WIN_BY_EXTRA_TIME",IF(ISNUMBER(SEARCH("Golden Goal",W5272)),"WIN_BY_GOLDEN_GOAL","WIN_BY_SCORE"))))</f>
        <v>WIN_BY_SCORE</v>
      </c>
      <c r="BI795" s="99" t="str">
        <f>IF(OR(BG795=DATA_CLEANED!AK786,BG795=DATA_CLEANED!AN786,BG795="MATCH NUL"),"OK","ERREUR")</f>
        <v>OK</v>
      </c>
    </row>
    <row r="796" spans="2:61">
      <c r="B796" s="75">
        <v>359</v>
      </c>
      <c r="C796" s="15" t="str">
        <v>İrfan Can Kahveci</v>
      </c>
      <c r="D796" s="15">
        <v>30</v>
      </c>
      <c r="E796" s="15" t="str">
        <v>Turkey</v>
      </c>
      <c r="F796" s="15" t="str">
        <v>RW</v>
      </c>
      <c r="G796" s="15" t="str">
        <v>Kasımpaşa</v>
      </c>
      <c r="H796" s="15">
        <v>17</v>
      </c>
      <c r="I796" s="15" t="str">
        <f t="shared" si="69"/>
        <v>359|İrfan Can Kahveci|30|Turkey|RW|Kasımpaşa|17</v>
      </c>
      <c r="J796" s="15" t="str">
        <f>IF(COUNTIF(I$438:I796,I796)&gt;1,"DOUBLON","OK")</f>
        <v>OK</v>
      </c>
      <c r="S796" s="30" t="str">
        <v>France</v>
      </c>
      <c r="T796" s="30" t="str">
        <f t="shared" si="70"/>
        <v>OK</v>
      </c>
      <c r="U796" s="30" t="str">
        <f t="shared" si="71"/>
        <v>-</v>
      </c>
      <c r="V796" s="30" t="str" cm="1">
        <f t="array" ref="V796">_xlfn.IFS(
ISNUMBER(SEARCH("USA",S796)),"United States",
ISNUMBER(SEARCH("Republic of Korea",S796)),"South Korea",
ISNUMBER(SEARCH("Cape Verde",S796)),"Cabo Verde",
ISNUMBER(SEARCH("Czechia",S796)),"Czech Republic",
ISNUMBER(SEARCH("Türkiye",S796)),"Turkey",
ISNUMBER(SEARCH("Ivory Coast",S796)),"Côte d'Ivoire",
ISNUMBER(SEARCH("Korea Republic",S796)),"South Korea",
ISNUMBER(SEARCH("Germany FR",S796)),"FR Germany",
ISNUMBER(SEARCH("West Germany",S796)),"FR Germany",
ISNUMBER(SEARCH("Germany DR",S796)),"DR Germany",
ISNUMBER(SEARCH("Korea DPR",S796)),"North Korea",
ISNUMBER(SEARCH("China PR",S796)),"China",
ISNUMBER(SEARCH("IR Iran",S796)),"Iran",
ISNUMBER(SEARCH("Congo DR",S796)),"Democratic Republic of the Congo",
ISNUMBER(SEARCH("DR Congo",S796)),"Democratic Republic of the Congo",
ISNUMBER(SEARCH("German DR",S796)),"DR Germany",
ISNUMBER(SEARCH("rn""&gt;United Arab Emirates",S796)),"United Arab Emirates",
ISNUMBER(SEARCH("rn""&gt;Republic of Ireland",S796)),"Ireland",
ISNUMBER(SEARCH("rn""&gt;Bosnia and Herzegovina",S796)),"Bosnia and Herzegovina",
ISNUMBER(SEARCH("rn""&gt;Trinidad and Tobago",S796)),"Trinidad and Tobago",
ISNUMBER(SEARCH("rn""&gt;Serbia and Montenegro",S796)),"Serbia and Montenegro",
ISNUMBER(SEARCH(_xlfn.UNICHAR(65533),S796)),"Côte d'Ivoire",
TRUE,""
)</f>
        <v/>
      </c>
      <c r="W796" s="30" t="str">
        <f t="shared" si="72"/>
        <v>France</v>
      </c>
      <c r="Z796" s="40" t="str">
        <v>Port Elizabeth Stadium</v>
      </c>
      <c r="AA796" s="40" t="str" cm="1">
        <f t="array" ref="AA796">IFERROR(_xlfn.XLOOKUP(Z796,_xlfn.ANCHORARRAY(Z$31),AA$31:AA$37),Z796)</f>
        <v>Port Elizabeth Stadium</v>
      </c>
      <c r="AB796" s="42" t="str">
        <v xml:space="preserve">Nelson Mandela Bay/Port Elizabeth </v>
      </c>
      <c r="AC796" s="89" t="str">
        <f t="shared" si="68"/>
        <v xml:space="preserve">Nelson Mandela Bay/Port Elizabeth </v>
      </c>
      <c r="AE796" s="42">
        <v>2010</v>
      </c>
      <c r="AK796" s="42">
        <v>0</v>
      </c>
      <c r="AL796" s="42">
        <v>1</v>
      </c>
      <c r="AW796" s="89" t="str">
        <v>GROUP_STAGE</v>
      </c>
      <c r="BE796" s="43" t="str">
        <f>IF(OR(DATA_CLEANED!AL787="",DATA_CLEANED!AM787=""),"MANQUANT",IF(OR(NOT(ISNUMBER(DATA_CLEANED!AL787)),NOT(ISNUMBER(DATA_CLEANED!AM787))),"ENTREE INVALIDE",IF(OR(DATA_CLEANED!AL787&lt;0,DATA_CLEANED!AM787&lt;0),"SCORE NEGATIF","OK")))</f>
        <v>OK</v>
      </c>
      <c r="BF796" s="43" t="str">
        <f>IF(DATA_CLEANED!AK787&lt;&gt;DATA_CLEANED!AN787,"OK","ERREUR")</f>
        <v>OK</v>
      </c>
      <c r="BG796" s="43" t="str">
        <f>IF(DATA_CLEANED!AL787&gt;DATA_CLEANED!AM787,DATA_CLEANED!AK787,IF(AND(DATA_QUALITE!W5273="-",DATA_CLEANED!AM787=DATA_CLEANED!AL787),"MATCH NUL",IF(AND(DATA_QUALITE!V5273="-",DATA_QUALITE!U5273="AUCUNE"),DATA_QUALITE!T5273,IF(DATA_QUALITE!V5273&lt;&gt;"-",DATA_QUALITE!V5273,DATA_CLEANED!AN787))))</f>
        <v>MATCH NUL</v>
      </c>
      <c r="BH796" s="103" t="str">
        <f>IF(AND(BG796="MATCH NUL",DATA_CLEANED!AO787="-"),"MATCH_NUL",IF(ISNUMBER(SEARCH("win on penalties",W5273)),"WIN_BY_PENALTY",IF(ISNUMBER(SEARCH("win after extra time",W5273)),"WIN_BY_EXTRA_TIME",IF(ISNUMBER(SEARCH("Golden Goal",W5273)),"WIN_BY_GOLDEN_GOAL","WIN_BY_SCORE"))))</f>
        <v>MATCH_NUL</v>
      </c>
      <c r="BI796" s="99" t="str">
        <f>IF(OR(BG796=DATA_CLEANED!AK787,BG796=DATA_CLEANED!AN787,BG796="MATCH NUL"),"OK","ERREUR")</f>
        <v>OK</v>
      </c>
    </row>
    <row r="797" spans="2:61">
      <c r="B797" s="75">
        <v>360</v>
      </c>
      <c r="C797" s="15" t="str">
        <v>Yunus Akgün</v>
      </c>
      <c r="D797" s="15">
        <v>25</v>
      </c>
      <c r="E797" s="15" t="str">
        <v>Turkey</v>
      </c>
      <c r="F797" s="15" t="str">
        <v>RW</v>
      </c>
      <c r="G797" s="15" t="str">
        <v>Galatasaray</v>
      </c>
      <c r="H797" s="15">
        <v>19</v>
      </c>
      <c r="I797" s="15" t="str">
        <f t="shared" si="69"/>
        <v>360|Yunus Akgün|25|Turkey|RW|Galatasaray|19</v>
      </c>
      <c r="J797" s="15" t="str">
        <f>IF(COUNTIF(I$438:I797,I797)&gt;1,"DOUBLON","OK")</f>
        <v>OK</v>
      </c>
      <c r="S797" s="30" t="str">
        <v>Brazil</v>
      </c>
      <c r="T797" s="30" t="str">
        <f t="shared" si="70"/>
        <v>OK</v>
      </c>
      <c r="U797" s="30" t="str">
        <f t="shared" si="71"/>
        <v>-</v>
      </c>
      <c r="V797" s="30" t="str" cm="1">
        <f t="array" ref="V797">_xlfn.IFS(
ISNUMBER(SEARCH("USA",S797)),"United States",
ISNUMBER(SEARCH("Republic of Korea",S797)),"South Korea",
ISNUMBER(SEARCH("Cape Verde",S797)),"Cabo Verde",
ISNUMBER(SEARCH("Czechia",S797)),"Czech Republic",
ISNUMBER(SEARCH("Türkiye",S797)),"Turkey",
ISNUMBER(SEARCH("Ivory Coast",S797)),"Côte d'Ivoire",
ISNUMBER(SEARCH("Korea Republic",S797)),"South Korea",
ISNUMBER(SEARCH("Germany FR",S797)),"FR Germany",
ISNUMBER(SEARCH("West Germany",S797)),"FR Germany",
ISNUMBER(SEARCH("Germany DR",S797)),"DR Germany",
ISNUMBER(SEARCH("Korea DPR",S797)),"North Korea",
ISNUMBER(SEARCH("China PR",S797)),"China",
ISNUMBER(SEARCH("IR Iran",S797)),"Iran",
ISNUMBER(SEARCH("Congo DR",S797)),"Democratic Republic of the Congo",
ISNUMBER(SEARCH("DR Congo",S797)),"Democratic Republic of the Congo",
ISNUMBER(SEARCH("German DR",S797)),"DR Germany",
ISNUMBER(SEARCH("rn""&gt;United Arab Emirates",S797)),"United Arab Emirates",
ISNUMBER(SEARCH("rn""&gt;Republic of Ireland",S797)),"Ireland",
ISNUMBER(SEARCH("rn""&gt;Bosnia and Herzegovina",S797)),"Bosnia and Herzegovina",
ISNUMBER(SEARCH("rn""&gt;Trinidad and Tobago",S797)),"Trinidad and Tobago",
ISNUMBER(SEARCH("rn""&gt;Serbia and Montenegro",S797)),"Serbia and Montenegro",
ISNUMBER(SEARCH(_xlfn.UNICHAR(65533),S797)),"Côte d'Ivoire",
TRUE,""
)</f>
        <v/>
      </c>
      <c r="W797" s="30" t="str">
        <f t="shared" si="72"/>
        <v>Brazil</v>
      </c>
      <c r="Z797" s="40" t="str">
        <v>Royal Bafokeng Sports Palace</v>
      </c>
      <c r="AA797" s="40" t="str" cm="1">
        <f t="array" ref="AA797">IFERROR(_xlfn.XLOOKUP(Z797,_xlfn.ANCHORARRAY(Z$31),AA$31:AA$37),Z797)</f>
        <v>Royal Bafokeng Sports Palace</v>
      </c>
      <c r="AB797" s="42" t="str">
        <v xml:space="preserve">Phokeng </v>
      </c>
      <c r="AC797" s="89" t="str">
        <f t="shared" si="68"/>
        <v xml:space="preserve">Phokeng </v>
      </c>
      <c r="AE797" s="42">
        <v>2010</v>
      </c>
      <c r="AK797" s="42">
        <v>0</v>
      </c>
      <c r="AL797" s="42">
        <v>1</v>
      </c>
      <c r="AW797" s="89" t="str">
        <v>GROUP_STAGE</v>
      </c>
      <c r="BE797" s="43" t="str">
        <f>IF(OR(DATA_CLEANED!AL788="",DATA_CLEANED!AM788=""),"MANQUANT",IF(OR(NOT(ISNUMBER(DATA_CLEANED!AL788)),NOT(ISNUMBER(DATA_CLEANED!AM788))),"ENTREE INVALIDE",IF(OR(DATA_CLEANED!AL788&lt;0,DATA_CLEANED!AM788&lt;0),"SCORE NEGATIF","OK")))</f>
        <v>OK</v>
      </c>
      <c r="BF797" s="43" t="str">
        <f>IF(DATA_CLEANED!AK788&lt;&gt;DATA_CLEANED!AN788,"OK","ERREUR")</f>
        <v>OK</v>
      </c>
      <c r="BG797" s="43" t="str">
        <f>IF(DATA_CLEANED!AL788&gt;DATA_CLEANED!AM788,DATA_CLEANED!AK788,IF(AND(DATA_QUALITE!W5274="-",DATA_CLEANED!AM788=DATA_CLEANED!AL788),"MATCH NUL",IF(AND(DATA_QUALITE!V5274="-",DATA_QUALITE!U5274="AUCUNE"),DATA_QUALITE!T5274,IF(DATA_QUALITE!V5274&lt;&gt;"-",DATA_QUALITE!V5274,DATA_CLEANED!AN788))))</f>
        <v>United States</v>
      </c>
      <c r="BH797" s="103" t="str">
        <f>IF(AND(BG797="MATCH NUL",DATA_CLEANED!AO788="-"),"MATCH_NUL",IF(ISNUMBER(SEARCH("win on penalties",W5274)),"WIN_BY_PENALTY",IF(ISNUMBER(SEARCH("win after extra time",W5274)),"WIN_BY_EXTRA_TIME",IF(ISNUMBER(SEARCH("Golden Goal",W5274)),"WIN_BY_GOLDEN_GOAL","WIN_BY_SCORE"))))</f>
        <v>WIN_BY_SCORE</v>
      </c>
      <c r="BI797" s="99" t="str">
        <f>IF(OR(BG797=DATA_CLEANED!AK788,BG797=DATA_CLEANED!AN788,BG797="MATCH NUL"),"OK","ERREUR")</f>
        <v>OK</v>
      </c>
    </row>
    <row r="798" spans="2:61">
      <c r="B798" s="75">
        <v>361</v>
      </c>
      <c r="C798" s="15" t="str">
        <v>Oğuz Aydın</v>
      </c>
      <c r="D798" s="15">
        <v>25</v>
      </c>
      <c r="E798" s="15" t="str">
        <v>Turkey</v>
      </c>
      <c r="F798" s="15" t="str">
        <v>RW</v>
      </c>
      <c r="G798" s="15" t="str">
        <v>Fenerbahçe</v>
      </c>
      <c r="H798" s="15">
        <v>24</v>
      </c>
      <c r="I798" s="15" t="str">
        <f t="shared" si="69"/>
        <v>361|Oğuz Aydın|25|Turkey|RW|Fenerbahçe|24</v>
      </c>
      <c r="J798" s="15" t="str">
        <f>IF(COUNTIF(I$438:I798,I798)&gt;1,"DOUBLON","OK")</f>
        <v>OK</v>
      </c>
      <c r="S798" s="30" t="str">
        <v>France</v>
      </c>
      <c r="T798" s="30" t="str">
        <f t="shared" si="70"/>
        <v>OK</v>
      </c>
      <c r="U798" s="30" t="str">
        <f t="shared" si="71"/>
        <v>-</v>
      </c>
      <c r="V798" s="30" t="str" cm="1">
        <f t="array" ref="V798">_xlfn.IFS(
ISNUMBER(SEARCH("USA",S798)),"United States",
ISNUMBER(SEARCH("Republic of Korea",S798)),"South Korea",
ISNUMBER(SEARCH("Cape Verde",S798)),"Cabo Verde",
ISNUMBER(SEARCH("Czechia",S798)),"Czech Republic",
ISNUMBER(SEARCH("Türkiye",S798)),"Turkey",
ISNUMBER(SEARCH("Ivory Coast",S798)),"Côte d'Ivoire",
ISNUMBER(SEARCH("Korea Republic",S798)),"South Korea",
ISNUMBER(SEARCH("Germany FR",S798)),"FR Germany",
ISNUMBER(SEARCH("West Germany",S798)),"FR Germany",
ISNUMBER(SEARCH("Germany DR",S798)),"DR Germany",
ISNUMBER(SEARCH("Korea DPR",S798)),"North Korea",
ISNUMBER(SEARCH("China PR",S798)),"China",
ISNUMBER(SEARCH("IR Iran",S798)),"Iran",
ISNUMBER(SEARCH("Congo DR",S798)),"Democratic Republic of the Congo",
ISNUMBER(SEARCH("DR Congo",S798)),"Democratic Republic of the Congo",
ISNUMBER(SEARCH("German DR",S798)),"DR Germany",
ISNUMBER(SEARCH("rn""&gt;United Arab Emirates",S798)),"United Arab Emirates",
ISNUMBER(SEARCH("rn""&gt;Republic of Ireland",S798)),"Ireland",
ISNUMBER(SEARCH("rn""&gt;Bosnia and Herzegovina",S798)),"Bosnia and Herzegovina",
ISNUMBER(SEARCH("rn""&gt;Trinidad and Tobago",S798)),"Trinidad and Tobago",
ISNUMBER(SEARCH("rn""&gt;Serbia and Montenegro",S798)),"Serbia and Montenegro",
ISNUMBER(SEARCH(_xlfn.UNICHAR(65533),S798)),"Côte d'Ivoire",
TRUE,""
)</f>
        <v/>
      </c>
      <c r="W798" s="30" t="str">
        <f t="shared" si="72"/>
        <v>France</v>
      </c>
      <c r="Z798" s="40" t="str">
        <v>Free State Stadium</v>
      </c>
      <c r="AA798" s="40" t="str" cm="1">
        <f t="array" ref="AA798">IFERROR(_xlfn.XLOOKUP(Z798,_xlfn.ANCHORARRAY(Z$31),AA$31:AA$37),Z798)</f>
        <v>Free State Stadium</v>
      </c>
      <c r="AB798" s="42" t="str">
        <v xml:space="preserve">Mangaung/Bloemfontein </v>
      </c>
      <c r="AC798" s="89" t="str">
        <f t="shared" si="68"/>
        <v xml:space="preserve">Mangaung/Bloemfontein </v>
      </c>
      <c r="AE798" s="42">
        <v>2010</v>
      </c>
      <c r="AK798" s="42">
        <v>4</v>
      </c>
      <c r="AL798" s="42">
        <v>0</v>
      </c>
      <c r="AW798" s="89" t="str">
        <v>GROUP_STAGE</v>
      </c>
      <c r="BE798" s="43" t="str">
        <f>IF(OR(DATA_CLEANED!AL789="",DATA_CLEANED!AM789=""),"MANQUANT",IF(OR(NOT(ISNUMBER(DATA_CLEANED!AL789)),NOT(ISNUMBER(DATA_CLEANED!AM789))),"ENTREE INVALIDE",IF(OR(DATA_CLEANED!AL789&lt;0,DATA_CLEANED!AM789&lt;0),"SCORE NEGATIF","OK")))</f>
        <v>OK</v>
      </c>
      <c r="BF798" s="43" t="str">
        <f>IF(DATA_CLEANED!AK789&lt;&gt;DATA_CLEANED!AN789,"OK","ERREUR")</f>
        <v>OK</v>
      </c>
      <c r="BG798" s="43" t="str">
        <f>IF(DATA_CLEANED!AL789&gt;DATA_CLEANED!AM789,DATA_CLEANED!AK789,IF(AND(DATA_QUALITE!W5275="-",DATA_CLEANED!AM789=DATA_CLEANED!AL789),"MATCH NUL",IF(AND(DATA_QUALITE!V5275="-",DATA_QUALITE!U5275="AUCUNE"),DATA_QUALITE!T5275,IF(DATA_QUALITE!V5275&lt;&gt;"-",DATA_QUALITE!V5275,DATA_CLEANED!AN789))))</f>
        <v>Belgium</v>
      </c>
      <c r="BH798" s="103" t="str">
        <f>IF(AND(BG798="MATCH NUL",DATA_CLEANED!AO789="-"),"MATCH_NUL",IF(ISNUMBER(SEARCH("win on penalties",W5275)),"WIN_BY_PENALTY",IF(ISNUMBER(SEARCH("win after extra time",W5275)),"WIN_BY_EXTRA_TIME",IF(ISNUMBER(SEARCH("Golden Goal",W5275)),"WIN_BY_GOLDEN_GOAL","WIN_BY_SCORE"))))</f>
        <v>WIN_BY_SCORE</v>
      </c>
      <c r="BI798" s="99" t="str">
        <f>IF(OR(BG798=DATA_CLEANED!AK789,BG798=DATA_CLEANED!AN789,BG798="MATCH NUL"),"OK","ERREUR")</f>
        <v>OK</v>
      </c>
    </row>
    <row r="799" spans="2:61">
      <c r="B799" s="75">
        <v>362</v>
      </c>
      <c r="C799" s="15" t="str">
        <v>Deniz Gül</v>
      </c>
      <c r="D799" s="15">
        <v>21</v>
      </c>
      <c r="E799" s="15" t="str">
        <v>Turkey</v>
      </c>
      <c r="F799" s="15" t="str">
        <v>ST</v>
      </c>
      <c r="G799" s="15" t="str">
        <v>Porto</v>
      </c>
      <c r="H799" s="15">
        <v>9</v>
      </c>
      <c r="I799" s="15" t="str">
        <f t="shared" si="69"/>
        <v>362|Deniz Gül|21|Turkey|ST|Porto|9</v>
      </c>
      <c r="J799" s="15" t="str">
        <f>IF(COUNTIF(I$438:I799,I799)&gt;1,"DOUBLON","OK")</f>
        <v>OK</v>
      </c>
      <c r="S799" s="30" t="str">
        <v>West Germany</v>
      </c>
      <c r="T799" s="30" t="str">
        <f t="shared" si="70"/>
        <v>ERREUR</v>
      </c>
      <c r="U799" s="30" t="str">
        <f t="shared" si="71"/>
        <v>RENOMMER</v>
      </c>
      <c r="V799" s="30" t="str" cm="1">
        <f t="array" ref="V799">_xlfn.IFS(
ISNUMBER(SEARCH("USA",S799)),"United States",
ISNUMBER(SEARCH("Republic of Korea",S799)),"South Korea",
ISNUMBER(SEARCH("Cape Verde",S799)),"Cabo Verde",
ISNUMBER(SEARCH("Czechia",S799)),"Czech Republic",
ISNUMBER(SEARCH("Türkiye",S799)),"Turkey",
ISNUMBER(SEARCH("Ivory Coast",S799)),"Côte d'Ivoire",
ISNUMBER(SEARCH("Korea Republic",S799)),"South Korea",
ISNUMBER(SEARCH("Germany FR",S799)),"FR Germany",
ISNUMBER(SEARCH("West Germany",S799)),"FR Germany",
ISNUMBER(SEARCH("Germany DR",S799)),"DR Germany",
ISNUMBER(SEARCH("Korea DPR",S799)),"North Korea",
ISNUMBER(SEARCH("China PR",S799)),"China",
ISNUMBER(SEARCH("IR Iran",S799)),"Iran",
ISNUMBER(SEARCH("Congo DR",S799)),"Democratic Republic of the Congo",
ISNUMBER(SEARCH("DR Congo",S799)),"Democratic Republic of the Congo",
ISNUMBER(SEARCH("German DR",S799)),"DR Germany",
ISNUMBER(SEARCH("rn""&gt;United Arab Emirates",S799)),"United Arab Emirates",
ISNUMBER(SEARCH("rn""&gt;Republic of Ireland",S799)),"Ireland",
ISNUMBER(SEARCH("rn""&gt;Bosnia and Herzegovina",S799)),"Bosnia and Herzegovina",
ISNUMBER(SEARCH("rn""&gt;Trinidad and Tobago",S799)),"Trinidad and Tobago",
ISNUMBER(SEARCH("rn""&gt;Serbia and Montenegro",S799)),"Serbia and Montenegro",
ISNUMBER(SEARCH(_xlfn.UNICHAR(65533),S799)),"Côte d'Ivoire",
TRUE,""
)</f>
        <v>FR Germany</v>
      </c>
      <c r="W799" s="30" t="str">
        <f t="shared" si="72"/>
        <v>FR Germany</v>
      </c>
      <c r="Z799" s="40" t="str">
        <v>Soccer City Stadium</v>
      </c>
      <c r="AA799" s="40" t="str" cm="1">
        <f t="array" ref="AA799">IFERROR(_xlfn.XLOOKUP(Z799,_xlfn.ANCHORARRAY(Z$31),AA$31:AA$37),Z799)</f>
        <v>Soccer City Stadium</v>
      </c>
      <c r="AB799" s="42" t="str">
        <v xml:space="preserve">Johannesburg </v>
      </c>
      <c r="AC799" s="89" t="str">
        <f t="shared" si="68"/>
        <v xml:space="preserve">Johannesburg </v>
      </c>
      <c r="AE799" s="42">
        <v>2010</v>
      </c>
      <c r="AK799" s="42">
        <v>2</v>
      </c>
      <c r="AL799" s="42">
        <v>0</v>
      </c>
      <c r="AW799" s="89" t="str">
        <v>GROUP_STAGE</v>
      </c>
      <c r="BE799" s="43" t="str">
        <f>IF(OR(DATA_CLEANED!AL790="",DATA_CLEANED!AM790=""),"MANQUANT",IF(OR(NOT(ISNUMBER(DATA_CLEANED!AL790)),NOT(ISNUMBER(DATA_CLEANED!AM790))),"ENTREE INVALIDE",IF(OR(DATA_CLEANED!AL790&lt;0,DATA_CLEANED!AM790&lt;0),"SCORE NEGATIF","OK")))</f>
        <v>OK</v>
      </c>
      <c r="BF799" s="43" t="str">
        <f>IF(DATA_CLEANED!AK790&lt;&gt;DATA_CLEANED!AN790,"OK","ERREUR")</f>
        <v>OK</v>
      </c>
      <c r="BG799" s="43" t="str">
        <f>IF(DATA_CLEANED!AL790&gt;DATA_CLEANED!AM790,DATA_CLEANED!AK790,IF(AND(DATA_QUALITE!W5276="-",DATA_CLEANED!AM790=DATA_CLEANED!AL790),"MATCH NUL",IF(AND(DATA_QUALITE!V5276="-",DATA_QUALITE!U5276="AUCUNE"),DATA_QUALITE!T5276,IF(DATA_QUALITE!V5276&lt;&gt;"-",DATA_QUALITE!V5276,DATA_CLEANED!AN790))))</f>
        <v>MATCH NUL</v>
      </c>
      <c r="BH799" s="103" t="str">
        <f>IF(AND(BG799="MATCH NUL",DATA_CLEANED!AO790="-"),"MATCH_NUL",IF(ISNUMBER(SEARCH("win on penalties",W5276)),"WIN_BY_PENALTY",IF(ISNUMBER(SEARCH("win after extra time",W5276)),"WIN_BY_EXTRA_TIME",IF(ISNUMBER(SEARCH("Golden Goal",W5276)),"WIN_BY_GOLDEN_GOAL","WIN_BY_SCORE"))))</f>
        <v>MATCH_NUL</v>
      </c>
      <c r="BI799" s="99" t="str">
        <f>IF(OR(BG799=DATA_CLEANED!AK790,BG799=DATA_CLEANED!AN790,BG799="MATCH NUL"),"OK","ERREUR")</f>
        <v>OK</v>
      </c>
    </row>
    <row r="800" spans="2:61">
      <c r="B800" s="75">
        <v>363</v>
      </c>
      <c r="C800" s="15" t="str">
        <v>Barış Alper Yılmaz</v>
      </c>
      <c r="D800" s="15">
        <v>26</v>
      </c>
      <c r="E800" s="15" t="str">
        <v>Turkey</v>
      </c>
      <c r="F800" s="15" t="str">
        <v>ST</v>
      </c>
      <c r="G800" s="15" t="str">
        <v>Galatasaray</v>
      </c>
      <c r="H800" s="15">
        <v>21</v>
      </c>
      <c r="I800" s="15" t="str">
        <f t="shared" si="69"/>
        <v>363|Barış Alper Yılmaz|26|Turkey|ST|Galatasaray|21</v>
      </c>
      <c r="J800" s="15" t="str">
        <f>IF(COUNTIF(I$438:I800,I800)&gt;1,"DOUBLON","OK")</f>
        <v>OK</v>
      </c>
      <c r="S800" s="30" t="str">
        <v>Mexico</v>
      </c>
      <c r="T800" s="30" t="str">
        <f t="shared" si="70"/>
        <v>OK</v>
      </c>
      <c r="U800" s="30" t="str">
        <f t="shared" si="71"/>
        <v>-</v>
      </c>
      <c r="V800" s="30" t="str" cm="1">
        <f t="array" ref="V800">_xlfn.IFS(
ISNUMBER(SEARCH("USA",S800)),"United States",
ISNUMBER(SEARCH("Republic of Korea",S800)),"South Korea",
ISNUMBER(SEARCH("Cape Verde",S800)),"Cabo Verde",
ISNUMBER(SEARCH("Czechia",S800)),"Czech Republic",
ISNUMBER(SEARCH("Türkiye",S800)),"Turkey",
ISNUMBER(SEARCH("Ivory Coast",S800)),"Côte d'Ivoire",
ISNUMBER(SEARCH("Korea Republic",S800)),"South Korea",
ISNUMBER(SEARCH("Germany FR",S800)),"FR Germany",
ISNUMBER(SEARCH("West Germany",S800)),"FR Germany",
ISNUMBER(SEARCH("Germany DR",S800)),"DR Germany",
ISNUMBER(SEARCH("Korea DPR",S800)),"North Korea",
ISNUMBER(SEARCH("China PR",S800)),"China",
ISNUMBER(SEARCH("IR Iran",S800)),"Iran",
ISNUMBER(SEARCH("Congo DR",S800)),"Democratic Republic of the Congo",
ISNUMBER(SEARCH("DR Congo",S800)),"Democratic Republic of the Congo",
ISNUMBER(SEARCH("German DR",S800)),"DR Germany",
ISNUMBER(SEARCH("rn""&gt;United Arab Emirates",S800)),"United Arab Emirates",
ISNUMBER(SEARCH("rn""&gt;Republic of Ireland",S800)),"Ireland",
ISNUMBER(SEARCH("rn""&gt;Bosnia and Herzegovina",S800)),"Bosnia and Herzegovina",
ISNUMBER(SEARCH("rn""&gt;Trinidad and Tobago",S800)),"Trinidad and Tobago",
ISNUMBER(SEARCH("rn""&gt;Serbia and Montenegro",S800)),"Serbia and Montenegro",
ISNUMBER(SEARCH(_xlfn.UNICHAR(65533),S800)),"Côte d'Ivoire",
TRUE,""
)</f>
        <v/>
      </c>
      <c r="W800" s="30" t="str">
        <f t="shared" si="72"/>
        <v>Mexico</v>
      </c>
      <c r="Z800" s="40" t="str">
        <v>Durban Stadium</v>
      </c>
      <c r="AA800" s="40" t="str" cm="1">
        <f t="array" ref="AA800">IFERROR(_xlfn.XLOOKUP(Z800,_xlfn.ANCHORARRAY(Z$31),AA$31:AA$37),Z800)</f>
        <v>Durban Stadium</v>
      </c>
      <c r="AB800" s="42" t="str">
        <v xml:space="preserve">Durban </v>
      </c>
      <c r="AC800" s="89" t="str">
        <f t="shared" si="68"/>
        <v xml:space="preserve">Durban </v>
      </c>
      <c r="AE800" s="42">
        <v>2010</v>
      </c>
      <c r="AK800" s="42">
        <v>1</v>
      </c>
      <c r="AL800" s="42">
        <v>0</v>
      </c>
      <c r="AW800" s="89" t="str">
        <v>GROUP_STAGE</v>
      </c>
      <c r="BE800" s="43" t="str">
        <f>IF(OR(DATA_CLEANED!AL791="",DATA_CLEANED!AM791=""),"MANQUANT",IF(OR(NOT(ISNUMBER(DATA_CLEANED!AL791)),NOT(ISNUMBER(DATA_CLEANED!AM791))),"ENTREE INVALIDE",IF(OR(DATA_CLEANED!AL791&lt;0,DATA_CLEANED!AM791&lt;0),"SCORE NEGATIF","OK")))</f>
        <v>OK</v>
      </c>
      <c r="BF800" s="43" t="str">
        <f>IF(DATA_CLEANED!AK791&lt;&gt;DATA_CLEANED!AN791,"OK","ERREUR")</f>
        <v>OK</v>
      </c>
      <c r="BG800" s="43" t="str">
        <f>IF(DATA_CLEANED!AL791&gt;DATA_CLEANED!AM791,DATA_CLEANED!AK791,IF(AND(DATA_QUALITE!W5277="-",DATA_CLEANED!AM791=DATA_CLEANED!AL791),"MATCH NUL",IF(AND(DATA_QUALITE!V5277="-",DATA_QUALITE!U5277="AUCUNE"),DATA_QUALITE!T5277,IF(DATA_QUALITE!V5277&lt;&gt;"-",DATA_QUALITE!V5277,DATA_CLEANED!AN791))))</f>
        <v>MATCH NUL</v>
      </c>
      <c r="BH800" s="103" t="str">
        <f>IF(AND(BG800="MATCH NUL",DATA_CLEANED!AO791="-"),"MATCH_NUL",IF(ISNUMBER(SEARCH("win on penalties",W5277)),"WIN_BY_PENALTY",IF(ISNUMBER(SEARCH("win after extra time",W5277)),"WIN_BY_EXTRA_TIME",IF(ISNUMBER(SEARCH("Golden Goal",W5277)),"WIN_BY_GOLDEN_GOAL","WIN_BY_SCORE"))))</f>
        <v>MATCH_NUL</v>
      </c>
      <c r="BI800" s="99" t="str">
        <f>IF(OR(BG800=DATA_CLEANED!AK791,BG800=DATA_CLEANED!AN791,BG800="MATCH NUL"),"OK","ERREUR")</f>
        <v>OK</v>
      </c>
    </row>
    <row r="801" spans="2:61">
      <c r="B801" s="75">
        <v>364</v>
      </c>
      <c r="C801" s="15" t="str">
        <v>Can Uzun</v>
      </c>
      <c r="D801" s="15">
        <v>20</v>
      </c>
      <c r="E801" s="15" t="str">
        <v>Turkey</v>
      </c>
      <c r="F801" s="15" t="str">
        <v>ST</v>
      </c>
      <c r="G801" s="15" t="str">
        <v>Eintracht Frankfurt</v>
      </c>
      <c r="H801" s="15">
        <v>26</v>
      </c>
      <c r="I801" s="15" t="str">
        <f t="shared" si="69"/>
        <v>364|Can Uzun|20|Turkey|ST|Eintracht Frankfurt|26</v>
      </c>
      <c r="J801" s="15" t="str">
        <f>IF(COUNTIF(I$438:I801,I801)&gt;1,"DOUBLON","OK")</f>
        <v>OK</v>
      </c>
      <c r="S801" s="30" t="str">
        <v>West Germany</v>
      </c>
      <c r="T801" s="30" t="str">
        <f t="shared" si="70"/>
        <v>ERREUR</v>
      </c>
      <c r="U801" s="30" t="str">
        <f t="shared" si="71"/>
        <v>RENOMMER</v>
      </c>
      <c r="V801" s="30" t="str" cm="1">
        <f t="array" ref="V801">_xlfn.IFS(
ISNUMBER(SEARCH("USA",S801)),"United States",
ISNUMBER(SEARCH("Republic of Korea",S801)),"South Korea",
ISNUMBER(SEARCH("Cape Verde",S801)),"Cabo Verde",
ISNUMBER(SEARCH("Czechia",S801)),"Czech Republic",
ISNUMBER(SEARCH("Türkiye",S801)),"Turkey",
ISNUMBER(SEARCH("Ivory Coast",S801)),"Côte d'Ivoire",
ISNUMBER(SEARCH("Korea Republic",S801)),"South Korea",
ISNUMBER(SEARCH("Germany FR",S801)),"FR Germany",
ISNUMBER(SEARCH("West Germany",S801)),"FR Germany",
ISNUMBER(SEARCH("Germany DR",S801)),"DR Germany",
ISNUMBER(SEARCH("Korea DPR",S801)),"North Korea",
ISNUMBER(SEARCH("China PR",S801)),"China",
ISNUMBER(SEARCH("IR Iran",S801)),"Iran",
ISNUMBER(SEARCH("Congo DR",S801)),"Democratic Republic of the Congo",
ISNUMBER(SEARCH("DR Congo",S801)),"Democratic Republic of the Congo",
ISNUMBER(SEARCH("German DR",S801)),"DR Germany",
ISNUMBER(SEARCH("rn""&gt;United Arab Emirates",S801)),"United Arab Emirates",
ISNUMBER(SEARCH("rn""&gt;Republic of Ireland",S801)),"Ireland",
ISNUMBER(SEARCH("rn""&gt;Bosnia and Herzegovina",S801)),"Bosnia and Herzegovina",
ISNUMBER(SEARCH("rn""&gt;Trinidad and Tobago",S801)),"Trinidad and Tobago",
ISNUMBER(SEARCH("rn""&gt;Serbia and Montenegro",S801)),"Serbia and Montenegro",
ISNUMBER(SEARCH(_xlfn.UNICHAR(65533),S801)),"Côte d'Ivoire",
TRUE,""
)</f>
        <v>FR Germany</v>
      </c>
      <c r="W801" s="30" t="str">
        <f t="shared" si="72"/>
        <v>FR Germany</v>
      </c>
      <c r="Z801" s="40" t="str">
        <v>Ellis Park Stadium</v>
      </c>
      <c r="AA801" s="40" t="str" cm="1">
        <f t="array" ref="AA801">IFERROR(_xlfn.XLOOKUP(Z801,_xlfn.ANCHORARRAY(Z$31),AA$31:AA$37),Z801)</f>
        <v>Ellis Park Stadium</v>
      </c>
      <c r="AB801" s="42" t="str">
        <v xml:space="preserve">Johannesburg </v>
      </c>
      <c r="AC801" s="89" t="str">
        <f t="shared" si="68"/>
        <v xml:space="preserve">Johannesburg </v>
      </c>
      <c r="AE801" s="42">
        <v>2010</v>
      </c>
      <c r="AK801" s="42">
        <v>1</v>
      </c>
      <c r="AL801" s="42">
        <v>1</v>
      </c>
      <c r="AW801" s="89" t="str">
        <v>GROUP_STAGE</v>
      </c>
      <c r="BE801" s="43" t="str">
        <f>IF(OR(DATA_CLEANED!AL792="",DATA_CLEANED!AM792=""),"MANQUANT",IF(OR(NOT(ISNUMBER(DATA_CLEANED!AL792)),NOT(ISNUMBER(DATA_CLEANED!AM792))),"ENTREE INVALIDE",IF(OR(DATA_CLEANED!AL792&lt;0,DATA_CLEANED!AM792&lt;0),"SCORE NEGATIF","OK")))</f>
        <v>OK</v>
      </c>
      <c r="BF801" s="43" t="str">
        <f>IF(DATA_CLEANED!AK792&lt;&gt;DATA_CLEANED!AN792,"OK","ERREUR")</f>
        <v>OK</v>
      </c>
      <c r="BG801" s="43" t="str">
        <f>IF(DATA_CLEANED!AL792&gt;DATA_CLEANED!AM792,DATA_CLEANED!AK792,IF(AND(DATA_QUALITE!W5278="-",DATA_CLEANED!AM792=DATA_CLEANED!AL792),"MATCH NUL",IF(AND(DATA_QUALITE!V5278="-",DATA_QUALITE!U5278="AUCUNE"),DATA_QUALITE!T5278,IF(DATA_QUALITE!V5278&lt;&gt;"-",DATA_QUALITE!V5278,DATA_CLEANED!AN792))))</f>
        <v>Netherlands</v>
      </c>
      <c r="BH801" s="103" t="str">
        <f>IF(AND(BG801="MATCH NUL",DATA_CLEANED!AO792="-"),"MATCH_NUL",IF(ISNUMBER(SEARCH("win on penalties",W5278)),"WIN_BY_PENALTY",IF(ISNUMBER(SEARCH("win after extra time",W5278)),"WIN_BY_EXTRA_TIME",IF(ISNUMBER(SEARCH("Golden Goal",W5278)),"WIN_BY_GOLDEN_GOAL","WIN_BY_SCORE"))))</f>
        <v>WIN_BY_SCORE</v>
      </c>
      <c r="BI801" s="99" t="str">
        <f>IF(OR(BG801=DATA_CLEANED!AK792,BG801=DATA_CLEANED!AN792,BG801="MATCH NUL"),"OK","ERREUR")</f>
        <v>OK</v>
      </c>
    </row>
    <row r="802" spans="2:61">
      <c r="B802" s="75">
        <v>365</v>
      </c>
      <c r="C802" s="15" t="str">
        <v>Mathew Ryan</v>
      </c>
      <c r="D802" s="15">
        <v>34</v>
      </c>
      <c r="E802" s="15" t="str">
        <v>Australia</v>
      </c>
      <c r="F802" s="15" t="str">
        <v>GK</v>
      </c>
      <c r="G802" s="15" t="str">
        <v>Levante</v>
      </c>
      <c r="H802" s="15">
        <v>1</v>
      </c>
      <c r="I802" s="15" t="str">
        <f t="shared" si="69"/>
        <v>365|Mathew Ryan|34|Australia|GK|Levante|1</v>
      </c>
      <c r="J802" s="15" t="str">
        <f>IF(COUNTIF(I$438:I802,I802)&gt;1,"DOUBLON","OK")</f>
        <v>OK</v>
      </c>
      <c r="S802" s="30" t="str">
        <v>Mexico</v>
      </c>
      <c r="T802" s="30" t="str">
        <f t="shared" si="70"/>
        <v>OK</v>
      </c>
      <c r="U802" s="30" t="str">
        <f t="shared" si="71"/>
        <v>-</v>
      </c>
      <c r="V802" s="30" t="str" cm="1">
        <f t="array" ref="V802">_xlfn.IFS(
ISNUMBER(SEARCH("USA",S802)),"United States",
ISNUMBER(SEARCH("Republic of Korea",S802)),"South Korea",
ISNUMBER(SEARCH("Cape Verde",S802)),"Cabo Verde",
ISNUMBER(SEARCH("Czechia",S802)),"Czech Republic",
ISNUMBER(SEARCH("Türkiye",S802)),"Turkey",
ISNUMBER(SEARCH("Ivory Coast",S802)),"Côte d'Ivoire",
ISNUMBER(SEARCH("Korea Republic",S802)),"South Korea",
ISNUMBER(SEARCH("Germany FR",S802)),"FR Germany",
ISNUMBER(SEARCH("West Germany",S802)),"FR Germany",
ISNUMBER(SEARCH("Germany DR",S802)),"DR Germany",
ISNUMBER(SEARCH("Korea DPR",S802)),"North Korea",
ISNUMBER(SEARCH("China PR",S802)),"China",
ISNUMBER(SEARCH("IR Iran",S802)),"Iran",
ISNUMBER(SEARCH("Congo DR",S802)),"Democratic Republic of the Congo",
ISNUMBER(SEARCH("DR Congo",S802)),"Democratic Republic of the Congo",
ISNUMBER(SEARCH("German DR",S802)),"DR Germany",
ISNUMBER(SEARCH("rn""&gt;United Arab Emirates",S802)),"United Arab Emirates",
ISNUMBER(SEARCH("rn""&gt;Republic of Ireland",S802)),"Ireland",
ISNUMBER(SEARCH("rn""&gt;Bosnia and Herzegovina",S802)),"Bosnia and Herzegovina",
ISNUMBER(SEARCH("rn""&gt;Trinidad and Tobago",S802)),"Trinidad and Tobago",
ISNUMBER(SEARCH("rn""&gt;Serbia and Montenegro",S802)),"Serbia and Montenegro",
ISNUMBER(SEARCH(_xlfn.UNICHAR(65533),S802)),"Côte d'Ivoire",
TRUE,""
)</f>
        <v/>
      </c>
      <c r="W802" s="30" t="str">
        <f t="shared" si="72"/>
        <v>Mexico</v>
      </c>
      <c r="Z802" s="40" t="str">
        <v>Loftus Versfeld Stadium</v>
      </c>
      <c r="AA802" s="40" t="str" cm="1">
        <f t="array" ref="AA802">IFERROR(_xlfn.XLOOKUP(Z802,_xlfn.ANCHORARRAY(Z$31),AA$31:AA$37),Z802)</f>
        <v>Loftus Versfeld Stadium</v>
      </c>
      <c r="AB802" s="42" t="str">
        <v xml:space="preserve">Tshwane/Pretoria </v>
      </c>
      <c r="AC802" s="89" t="str">
        <f t="shared" si="68"/>
        <v xml:space="preserve">Tshwane/Pretoria </v>
      </c>
      <c r="AE802" s="42">
        <v>2010</v>
      </c>
      <c r="AK802" s="42">
        <v>1</v>
      </c>
      <c r="AL802" s="42">
        <v>1</v>
      </c>
      <c r="AW802" s="89" t="str">
        <v>GROUP_STAGE</v>
      </c>
      <c r="BE802" s="43" t="str">
        <f>IF(OR(DATA_CLEANED!AL793="",DATA_CLEANED!AM793=""),"MANQUANT",IF(OR(NOT(ISNUMBER(DATA_CLEANED!AL793)),NOT(ISNUMBER(DATA_CLEANED!AM793))),"ENTREE INVALIDE",IF(OR(DATA_CLEANED!AL793&lt;0,DATA_CLEANED!AM793&lt;0),"SCORE NEGATIF","OK")))</f>
        <v>OK</v>
      </c>
      <c r="BF802" s="43" t="str">
        <f>IF(DATA_CLEANED!AK793&lt;&gt;DATA_CLEANED!AN793,"OK","ERREUR")</f>
        <v>OK</v>
      </c>
      <c r="BG802" s="43" t="str">
        <f>IF(DATA_CLEANED!AL793&gt;DATA_CLEANED!AM793,DATA_CLEANED!AK793,IF(AND(DATA_QUALITE!W5279="-",DATA_CLEANED!AM793=DATA_CLEANED!AL793),"MATCH NUL",IF(AND(DATA_QUALITE!V5279="-",DATA_QUALITE!U5279="AUCUNE"),DATA_QUALITE!T5279,IF(DATA_QUALITE!V5279&lt;&gt;"-",DATA_QUALITE!V5279,DATA_CLEANED!AN793))))</f>
        <v>Chile</v>
      </c>
      <c r="BH802" s="103" t="str">
        <f>IF(AND(BG802="MATCH NUL",DATA_CLEANED!AO793="-"),"MATCH_NUL",IF(ISNUMBER(SEARCH("win on penalties",W5279)),"WIN_BY_PENALTY",IF(ISNUMBER(SEARCH("win after extra time",W5279)),"WIN_BY_EXTRA_TIME",IF(ISNUMBER(SEARCH("Golden Goal",W5279)),"WIN_BY_GOLDEN_GOAL","WIN_BY_SCORE"))))</f>
        <v>WIN_BY_SCORE</v>
      </c>
      <c r="BI802" s="99" t="str">
        <f>IF(OR(BG802=DATA_CLEANED!AK793,BG802=DATA_CLEANED!AN793,BG802="MATCH NUL"),"OK","ERREUR")</f>
        <v>OK</v>
      </c>
    </row>
    <row r="803" spans="2:61">
      <c r="B803" s="75">
        <v>366</v>
      </c>
      <c r="C803" s="15" t="str">
        <v>Paul Izzo</v>
      </c>
      <c r="D803" s="15">
        <v>31</v>
      </c>
      <c r="E803" s="15" t="str">
        <v>Australia</v>
      </c>
      <c r="F803" s="15" t="str">
        <v>GK</v>
      </c>
      <c r="G803" s="15" t="str">
        <v>Randers</v>
      </c>
      <c r="H803" s="15">
        <v>12</v>
      </c>
      <c r="I803" s="15" t="str">
        <f t="shared" si="69"/>
        <v>366|Paul Izzo|31|Australia|GK|Randers|12</v>
      </c>
      <c r="J803" s="15" t="str">
        <f>IF(COUNTIF(I$438:I803,I803)&gt;1,"DOUBLON","OK")</f>
        <v>OK</v>
      </c>
      <c r="S803" s="30" t="str">
        <v>West Germany</v>
      </c>
      <c r="T803" s="30" t="str">
        <f t="shared" si="70"/>
        <v>ERREUR</v>
      </c>
      <c r="U803" s="30" t="str">
        <f t="shared" si="71"/>
        <v>RENOMMER</v>
      </c>
      <c r="V803" s="30" t="str" cm="1">
        <f t="array" ref="V803">_xlfn.IFS(
ISNUMBER(SEARCH("USA",S803)),"United States",
ISNUMBER(SEARCH("Republic of Korea",S803)),"South Korea",
ISNUMBER(SEARCH("Cape Verde",S803)),"Cabo Verde",
ISNUMBER(SEARCH("Czechia",S803)),"Czech Republic",
ISNUMBER(SEARCH("Türkiye",S803)),"Turkey",
ISNUMBER(SEARCH("Ivory Coast",S803)),"Côte d'Ivoire",
ISNUMBER(SEARCH("Korea Republic",S803)),"South Korea",
ISNUMBER(SEARCH("Germany FR",S803)),"FR Germany",
ISNUMBER(SEARCH("West Germany",S803)),"FR Germany",
ISNUMBER(SEARCH("Germany DR",S803)),"DR Germany",
ISNUMBER(SEARCH("Korea DPR",S803)),"North Korea",
ISNUMBER(SEARCH("China PR",S803)),"China",
ISNUMBER(SEARCH("IR Iran",S803)),"Iran",
ISNUMBER(SEARCH("Congo DR",S803)),"Democratic Republic of the Congo",
ISNUMBER(SEARCH("DR Congo",S803)),"Democratic Republic of the Congo",
ISNUMBER(SEARCH("German DR",S803)),"DR Germany",
ISNUMBER(SEARCH("rn""&gt;United Arab Emirates",S803)),"United Arab Emirates",
ISNUMBER(SEARCH("rn""&gt;Republic of Ireland",S803)),"Ireland",
ISNUMBER(SEARCH("rn""&gt;Bosnia and Herzegovina",S803)),"Bosnia and Herzegovina",
ISNUMBER(SEARCH("rn""&gt;Trinidad and Tobago",S803)),"Trinidad and Tobago",
ISNUMBER(SEARCH("rn""&gt;Serbia and Montenegro",S803)),"Serbia and Montenegro",
ISNUMBER(SEARCH(_xlfn.UNICHAR(65533),S803)),"Côte d'Ivoire",
TRUE,""
)</f>
        <v>FR Germany</v>
      </c>
      <c r="W803" s="30" t="str">
        <f t="shared" si="72"/>
        <v>FR Germany</v>
      </c>
      <c r="Z803" s="40" t="str">
        <v>Cape Town Stadium</v>
      </c>
      <c r="AA803" s="40" t="str" cm="1">
        <f t="array" ref="AA803">IFERROR(_xlfn.XLOOKUP(Z803,_xlfn.ANCHORARRAY(Z$31),AA$31:AA$37),Z803)</f>
        <v>Cape Town Stadium</v>
      </c>
      <c r="AB803" s="42" t="str">
        <v xml:space="preserve">Cape Town </v>
      </c>
      <c r="AC803" s="89" t="str">
        <f t="shared" si="68"/>
        <v xml:space="preserve">Cape Town </v>
      </c>
      <c r="AE803" s="42">
        <v>2010</v>
      </c>
      <c r="AK803" s="42">
        <v>0</v>
      </c>
      <c r="AL803" s="42">
        <v>0</v>
      </c>
      <c r="AW803" s="89" t="str">
        <v>GROUP_STAGE</v>
      </c>
      <c r="BE803" s="43" t="str">
        <f>IF(OR(DATA_CLEANED!AL794="",DATA_CLEANED!AM794=""),"MANQUANT",IF(OR(NOT(ISNUMBER(DATA_CLEANED!AL794)),NOT(ISNUMBER(DATA_CLEANED!AM794))),"ENTREE INVALIDE",IF(OR(DATA_CLEANED!AL794&lt;0,DATA_CLEANED!AM794&lt;0),"SCORE NEGATIF","OK")))</f>
        <v>OK</v>
      </c>
      <c r="BF803" s="43" t="str">
        <f>IF(DATA_CLEANED!AK794&lt;&gt;DATA_CLEANED!AN794,"OK","ERREUR")</f>
        <v>OK</v>
      </c>
      <c r="BG803" s="43" t="str">
        <f>IF(DATA_CLEANED!AL794&gt;DATA_CLEANED!AM794,DATA_CLEANED!AK794,IF(AND(DATA_QUALITE!W5280="-",DATA_CLEANED!AM794=DATA_CLEANED!AL794),"MATCH NUL",IF(AND(DATA_QUALITE!V5280="-",DATA_QUALITE!U5280="AUCUNE"),DATA_QUALITE!T5280,IF(DATA_QUALITE!V5280&lt;&gt;"-",DATA_QUALITE!V5280,DATA_CLEANED!AN794))))</f>
        <v>Croatia</v>
      </c>
      <c r="BH803" s="103" t="str">
        <f>IF(AND(BG803="MATCH NUL",DATA_CLEANED!AO794="-"),"MATCH_NUL",IF(ISNUMBER(SEARCH("win on penalties",W5280)),"WIN_BY_PENALTY",IF(ISNUMBER(SEARCH("win after extra time",W5280)),"WIN_BY_EXTRA_TIME",IF(ISNUMBER(SEARCH("Golden Goal",W5280)),"WIN_BY_GOLDEN_GOAL","WIN_BY_SCORE"))))</f>
        <v>WIN_BY_SCORE</v>
      </c>
      <c r="BI803" s="99" t="str">
        <f>IF(OR(BG803=DATA_CLEANED!AK794,BG803=DATA_CLEANED!AN794,BG803="MATCH NUL"),"OK","ERREUR")</f>
        <v>OK</v>
      </c>
    </row>
    <row r="804" spans="2:61">
      <c r="B804" s="75">
        <v>367</v>
      </c>
      <c r="C804" s="15" t="str">
        <v>Patrick Beach</v>
      </c>
      <c r="D804" s="15">
        <v>22</v>
      </c>
      <c r="E804" s="15" t="str">
        <v>Australia</v>
      </c>
      <c r="F804" s="15" t="str">
        <v>GK</v>
      </c>
      <c r="G804" s="15" t="str">
        <v>Melbourne City</v>
      </c>
      <c r="H804" s="15">
        <v>18</v>
      </c>
      <c r="I804" s="15" t="str">
        <f t="shared" si="69"/>
        <v>367|Patrick Beach|22|Australia|GK|Melbourne City|18</v>
      </c>
      <c r="J804" s="15" t="str">
        <f>IF(COUNTIF(I$438:I804,I804)&gt;1,"DOUBLON","OK")</f>
        <v>OK</v>
      </c>
      <c r="S804" s="30" t="str">
        <v>Mexico</v>
      </c>
      <c r="T804" s="30" t="str">
        <f t="shared" si="70"/>
        <v>OK</v>
      </c>
      <c r="U804" s="30" t="str">
        <f t="shared" si="71"/>
        <v>-</v>
      </c>
      <c r="V804" s="30" t="str" cm="1">
        <f t="array" ref="V804">_xlfn.IFS(
ISNUMBER(SEARCH("USA",S804)),"United States",
ISNUMBER(SEARCH("Republic of Korea",S804)),"South Korea",
ISNUMBER(SEARCH("Cape Verde",S804)),"Cabo Verde",
ISNUMBER(SEARCH("Czechia",S804)),"Czech Republic",
ISNUMBER(SEARCH("Türkiye",S804)),"Turkey",
ISNUMBER(SEARCH("Ivory Coast",S804)),"Côte d'Ivoire",
ISNUMBER(SEARCH("Korea Republic",S804)),"South Korea",
ISNUMBER(SEARCH("Germany FR",S804)),"FR Germany",
ISNUMBER(SEARCH("West Germany",S804)),"FR Germany",
ISNUMBER(SEARCH("Germany DR",S804)),"DR Germany",
ISNUMBER(SEARCH("Korea DPR",S804)),"North Korea",
ISNUMBER(SEARCH("China PR",S804)),"China",
ISNUMBER(SEARCH("IR Iran",S804)),"Iran",
ISNUMBER(SEARCH("Congo DR",S804)),"Democratic Republic of the Congo",
ISNUMBER(SEARCH("DR Congo",S804)),"Democratic Republic of the Congo",
ISNUMBER(SEARCH("German DR",S804)),"DR Germany",
ISNUMBER(SEARCH("rn""&gt;United Arab Emirates",S804)),"United Arab Emirates",
ISNUMBER(SEARCH("rn""&gt;Republic of Ireland",S804)),"Ireland",
ISNUMBER(SEARCH("rn""&gt;Bosnia and Herzegovina",S804)),"Bosnia and Herzegovina",
ISNUMBER(SEARCH("rn""&gt;Trinidad and Tobago",S804)),"Trinidad and Tobago",
ISNUMBER(SEARCH("rn""&gt;Serbia and Montenegro",S804)),"Serbia and Montenegro",
ISNUMBER(SEARCH(_xlfn.UNICHAR(65533),S804)),"Côte d'Ivoire",
TRUE,""
)</f>
        <v/>
      </c>
      <c r="W804" s="30" t="str">
        <f t="shared" si="72"/>
        <v>Mexico</v>
      </c>
      <c r="Z804" s="40" t="str">
        <v>Port Elizabeth Stadium</v>
      </c>
      <c r="AA804" s="40" t="str" cm="1">
        <f t="array" ref="AA804">IFERROR(_xlfn.XLOOKUP(Z804,_xlfn.ANCHORARRAY(Z$31),AA$31:AA$37),Z804)</f>
        <v>Port Elizabeth Stadium</v>
      </c>
      <c r="AB804" s="42" t="str">
        <v xml:space="preserve">Nelson Mandela Bay/Port Elizabeth </v>
      </c>
      <c r="AC804" s="89" t="str">
        <f t="shared" si="68"/>
        <v xml:space="preserve">Nelson Mandela Bay/Port Elizabeth </v>
      </c>
      <c r="AE804" s="42">
        <v>2010</v>
      </c>
      <c r="AK804" s="42">
        <v>2</v>
      </c>
      <c r="AL804" s="42">
        <v>1</v>
      </c>
      <c r="AW804" s="89" t="str">
        <v>GROUP_STAGE</v>
      </c>
      <c r="BE804" s="43" t="str">
        <f>IF(OR(DATA_CLEANED!AL795="",DATA_CLEANED!AM795=""),"MANQUANT",IF(OR(NOT(ISNUMBER(DATA_CLEANED!AL795)),NOT(ISNUMBER(DATA_CLEANED!AM795))),"ENTREE INVALIDE",IF(OR(DATA_CLEANED!AL795&lt;0,DATA_CLEANED!AM795&lt;0),"SCORE NEGATIF","OK")))</f>
        <v>OK</v>
      </c>
      <c r="BF804" s="43" t="str">
        <f>IF(DATA_CLEANED!AK795&lt;&gt;DATA_CLEANED!AN795,"OK","ERREUR")</f>
        <v>OK</v>
      </c>
      <c r="BG804" s="43" t="str">
        <f>IF(DATA_CLEANED!AL795&gt;DATA_CLEANED!AM795,DATA_CLEANED!AK795,IF(AND(DATA_QUALITE!W5281="-",DATA_CLEANED!AM795=DATA_CLEANED!AL795),"MATCH NUL",IF(AND(DATA_QUALITE!V5281="-",DATA_QUALITE!U5281="AUCUNE"),DATA_QUALITE!T5281,IF(DATA_QUALITE!V5281&lt;&gt;"-",DATA_QUALITE!V5281,DATA_CLEANED!AN795))))</f>
        <v>Colombia</v>
      </c>
      <c r="BH804" s="103" t="str">
        <f>IF(AND(BG804="MATCH NUL",DATA_CLEANED!AO795="-"),"MATCH_NUL",IF(ISNUMBER(SEARCH("win on penalties",W5281)),"WIN_BY_PENALTY",IF(ISNUMBER(SEARCH("win after extra time",W5281)),"WIN_BY_EXTRA_TIME",IF(ISNUMBER(SEARCH("Golden Goal",W5281)),"WIN_BY_GOLDEN_GOAL","WIN_BY_SCORE"))))</f>
        <v>WIN_BY_SCORE</v>
      </c>
      <c r="BI804" s="99" t="str">
        <f>IF(OR(BG804=DATA_CLEANED!AK795,BG804=DATA_CLEANED!AN795,BG804="MATCH NUL"),"OK","ERREUR")</f>
        <v>OK</v>
      </c>
    </row>
    <row r="805" spans="2:61">
      <c r="B805" s="75">
        <v>368</v>
      </c>
      <c r="C805" s="15" t="str">
        <v>Miloš Degenek</v>
      </c>
      <c r="D805" s="15">
        <v>32</v>
      </c>
      <c r="E805" s="15" t="str">
        <v>Australia</v>
      </c>
      <c r="F805" s="15" t="str">
        <v>CB</v>
      </c>
      <c r="G805" s="15" t="str">
        <v>APOEL</v>
      </c>
      <c r="H805" s="15">
        <v>2</v>
      </c>
      <c r="I805" s="15" t="str">
        <f t="shared" si="69"/>
        <v>368|Miloš Degenek|32|Australia|CB|APOEL|2</v>
      </c>
      <c r="J805" s="15" t="str">
        <f>IF(COUNTIF(I$438:I805,I805)&gt;1,"DOUBLON","OK")</f>
        <v>OK</v>
      </c>
      <c r="S805" s="30" t="str">
        <v>West Germany</v>
      </c>
      <c r="T805" s="30" t="str">
        <f t="shared" si="70"/>
        <v>ERREUR</v>
      </c>
      <c r="U805" s="30" t="str">
        <f t="shared" si="71"/>
        <v>RENOMMER</v>
      </c>
      <c r="V805" s="30" t="str" cm="1">
        <f t="array" ref="V805">_xlfn.IFS(
ISNUMBER(SEARCH("USA",S805)),"United States",
ISNUMBER(SEARCH("Republic of Korea",S805)),"South Korea",
ISNUMBER(SEARCH("Cape Verde",S805)),"Cabo Verde",
ISNUMBER(SEARCH("Czechia",S805)),"Czech Republic",
ISNUMBER(SEARCH("Türkiye",S805)),"Turkey",
ISNUMBER(SEARCH("Ivory Coast",S805)),"Côte d'Ivoire",
ISNUMBER(SEARCH("Korea Republic",S805)),"South Korea",
ISNUMBER(SEARCH("Germany FR",S805)),"FR Germany",
ISNUMBER(SEARCH("West Germany",S805)),"FR Germany",
ISNUMBER(SEARCH("Germany DR",S805)),"DR Germany",
ISNUMBER(SEARCH("Korea DPR",S805)),"North Korea",
ISNUMBER(SEARCH("China PR",S805)),"China",
ISNUMBER(SEARCH("IR Iran",S805)),"Iran",
ISNUMBER(SEARCH("Congo DR",S805)),"Democratic Republic of the Congo",
ISNUMBER(SEARCH("DR Congo",S805)),"Democratic Republic of the Congo",
ISNUMBER(SEARCH("German DR",S805)),"DR Germany",
ISNUMBER(SEARCH("rn""&gt;United Arab Emirates",S805)),"United Arab Emirates",
ISNUMBER(SEARCH("rn""&gt;Republic of Ireland",S805)),"Ireland",
ISNUMBER(SEARCH("rn""&gt;Bosnia and Herzegovina",S805)),"Bosnia and Herzegovina",
ISNUMBER(SEARCH("rn""&gt;Trinidad and Tobago",S805)),"Trinidad and Tobago",
ISNUMBER(SEARCH("rn""&gt;Serbia and Montenegro",S805)),"Serbia and Montenegro",
ISNUMBER(SEARCH(_xlfn.UNICHAR(65533),S805)),"Côte d'Ivoire",
TRUE,""
)</f>
        <v>FR Germany</v>
      </c>
      <c r="W805" s="30" t="str">
        <f t="shared" si="72"/>
        <v>FR Germany</v>
      </c>
      <c r="Z805" s="40" t="str">
        <v>Soccer City Stadium</v>
      </c>
      <c r="AA805" s="40" t="str" cm="1">
        <f t="array" ref="AA805">IFERROR(_xlfn.XLOOKUP(Z805,_xlfn.ANCHORARRAY(Z$31),AA$31:AA$37),Z805)</f>
        <v>Soccer City Stadium</v>
      </c>
      <c r="AB805" s="42" t="str">
        <v xml:space="preserve">Johannesburg </v>
      </c>
      <c r="AC805" s="89" t="str">
        <f t="shared" si="68"/>
        <v xml:space="preserve">Johannesburg </v>
      </c>
      <c r="AE805" s="42">
        <v>2010</v>
      </c>
      <c r="AK805" s="42">
        <v>0</v>
      </c>
      <c r="AL805" s="42">
        <v>1</v>
      </c>
      <c r="AW805" s="89" t="str">
        <v>GROUP_STAGE</v>
      </c>
      <c r="BE805" s="43" t="str">
        <f>IF(OR(DATA_CLEANED!AL796="",DATA_CLEANED!AM796=""),"MANQUANT",IF(OR(NOT(ISNUMBER(DATA_CLEANED!AL796)),NOT(ISNUMBER(DATA_CLEANED!AM796))),"ENTREE INVALIDE",IF(OR(DATA_CLEANED!AL796&lt;0,DATA_CLEANED!AM796&lt;0),"SCORE NEGATIF","OK")))</f>
        <v>OK</v>
      </c>
      <c r="BF805" s="43" t="str">
        <f>IF(DATA_CLEANED!AK796&lt;&gt;DATA_CLEANED!AN796,"OK","ERREUR")</f>
        <v>OK</v>
      </c>
      <c r="BG805" s="43" t="str">
        <f>IF(DATA_CLEANED!AL796&gt;DATA_CLEANED!AM796,DATA_CLEANED!AK796,IF(AND(DATA_QUALITE!W5282="-",DATA_CLEANED!AM796=DATA_CLEANED!AL796),"MATCH NUL",IF(AND(DATA_QUALITE!V5282="-",DATA_QUALITE!U5282="AUCUNE"),DATA_QUALITE!T5282,IF(DATA_QUALITE!V5282&lt;&gt;"-",DATA_QUALITE!V5282,DATA_CLEANED!AN796))))</f>
        <v>Uruguay</v>
      </c>
      <c r="BH805" s="103" t="str">
        <f>IF(AND(BG805="MATCH NUL",DATA_CLEANED!AO796="-"),"MATCH_NUL",IF(ISNUMBER(SEARCH("win on penalties",W5282)),"WIN_BY_PENALTY",IF(ISNUMBER(SEARCH("win after extra time",W5282)),"WIN_BY_EXTRA_TIME",IF(ISNUMBER(SEARCH("Golden Goal",W5282)),"WIN_BY_GOLDEN_GOAL","WIN_BY_SCORE"))))</f>
        <v>WIN_BY_SCORE</v>
      </c>
      <c r="BI805" s="99" t="str">
        <f>IF(OR(BG805=DATA_CLEANED!AK796,BG805=DATA_CLEANED!AN796,BG805="MATCH NUL"),"OK","ERREUR")</f>
        <v>OK</v>
      </c>
    </row>
    <row r="806" spans="2:61">
      <c r="B806" s="75">
        <v>369</v>
      </c>
      <c r="C806" s="15" t="str">
        <v>Alessandro Circati</v>
      </c>
      <c r="D806" s="15">
        <v>22</v>
      </c>
      <c r="E806" s="15" t="str">
        <v>Australia</v>
      </c>
      <c r="F806" s="15" t="str">
        <v>CB</v>
      </c>
      <c r="G806" s="15" t="str">
        <v>Parma</v>
      </c>
      <c r="H806" s="15">
        <v>3</v>
      </c>
      <c r="I806" s="15" t="str">
        <f t="shared" si="69"/>
        <v>369|Alessandro Circati|22|Australia|CB|Parma|3</v>
      </c>
      <c r="J806" s="15" t="str">
        <f>IF(COUNTIF(I$438:I806,I806)&gt;1,"DOUBLON","OK")</f>
        <v>OK</v>
      </c>
      <c r="S806" s="30" t="str">
        <v>Republic of Ireland</v>
      </c>
      <c r="T806" s="30" t="str">
        <f t="shared" si="70"/>
        <v>ERREUR</v>
      </c>
      <c r="U806" s="30" t="str">
        <f t="shared" si="71"/>
        <v>RENOMMER</v>
      </c>
      <c r="V806" s="30" t="str" cm="1">
        <f t="array" ref="V806">_xlfn.IFS(
ISNUMBER(SEARCH("USA",S806)),"United States",
ISNUMBER(SEARCH("Republic of Korea",S806)),"South Korea",
ISNUMBER(SEARCH("Cape Verde",S806)),"Cabo Verde",
ISNUMBER(SEARCH("Czechia",S806)),"Czech Republic",
ISNUMBER(SEARCH("Türkiye",S806)),"Turkey",
ISNUMBER(SEARCH("Ivory Coast",S806)),"Côte d'Ivoire",
ISNUMBER(SEARCH("Korea Republic",S806)),"South Korea",
ISNUMBER(SEARCH("Germany FR",S806)),"FR Germany",
ISNUMBER(SEARCH("West Germany",S806)),"FR Germany",
ISNUMBER(SEARCH("Germany DR",S806)),"DR Germany",
ISNUMBER(SEARCH("Korea DPR",S806)),"North Korea",
ISNUMBER(SEARCH("China PR",S806)),"China",
ISNUMBER(SEARCH("IR Iran",S806)),"Iran",
ISNUMBER(SEARCH("Congo DR",S806)),"Democratic Republic of the Congo",
ISNUMBER(SEARCH("DR Congo",S806)),"Democratic Republic of the Congo",
ISNUMBER(SEARCH("German DR",S806)),"DR Germany",
ISNUMBER(SEARCH("rn""&gt;United Arab Emirates",S806)),"United Arab Emirates",
ISNUMBER(SEARCH("rn""&gt;Republic of Ireland",S806)),"Ireland",
ISNUMBER(SEARCH("rn""&gt;Bosnia and Herzegovina",S806)),"Bosnia and Herzegovina",
ISNUMBER(SEARCH("rn""&gt;Trinidad and Tobago",S806)),"Trinidad and Tobago",
ISNUMBER(SEARCH("rn""&gt;Serbia and Montenegro",S806)),"Serbia and Montenegro",
ISNUMBER(SEARCH(_xlfn.UNICHAR(65533),S806)),"Côte d'Ivoire",
TRUE,""
)</f>
        <v/>
      </c>
      <c r="W806" s="30" t="str">
        <f t="shared" si="72"/>
        <v>Republic of Ireland</v>
      </c>
      <c r="Z806" s="40" t="str">
        <v>Cape Town Stadium</v>
      </c>
      <c r="AA806" s="40" t="str" cm="1">
        <f t="array" ref="AA806">IFERROR(_xlfn.XLOOKUP(Z806,_xlfn.ANCHORARRAY(Z$31),AA$31:AA$37),Z806)</f>
        <v>Cape Town Stadium</v>
      </c>
      <c r="AB806" s="42" t="str">
        <v xml:space="preserve">Cape Town </v>
      </c>
      <c r="AC806" s="89" t="str">
        <f t="shared" si="68"/>
        <v xml:space="preserve">Cape Town </v>
      </c>
      <c r="AE806" s="42">
        <v>2010</v>
      </c>
      <c r="AK806" s="42">
        <v>0</v>
      </c>
      <c r="AL806" s="42">
        <v>1</v>
      </c>
      <c r="AW806" s="89" t="str">
        <v>GROUP_STAGE</v>
      </c>
      <c r="BE806" s="43" t="str">
        <f>IF(OR(DATA_CLEANED!AL797="",DATA_CLEANED!AM797=""),"MANQUANT",IF(OR(NOT(ISNUMBER(DATA_CLEANED!AL797)),NOT(ISNUMBER(DATA_CLEANED!AM797))),"ENTREE INVALIDE",IF(OR(DATA_CLEANED!AL797&lt;0,DATA_CLEANED!AM797&lt;0),"SCORE NEGATIF","OK")))</f>
        <v>OK</v>
      </c>
      <c r="BF806" s="43" t="str">
        <f>IF(DATA_CLEANED!AK797&lt;&gt;DATA_CLEANED!AN797,"OK","ERREUR")</f>
        <v>OK</v>
      </c>
      <c r="BG806" s="43" t="str">
        <f>IF(DATA_CLEANED!AL797&gt;DATA_CLEANED!AM797,DATA_CLEANED!AK797,IF(AND(DATA_QUALITE!W5283="-",DATA_CLEANED!AM797=DATA_CLEANED!AL797),"MATCH NUL",IF(AND(DATA_QUALITE!V5283="-",DATA_QUALITE!U5283="AUCUNE"),DATA_QUALITE!T5283,IF(DATA_QUALITE!V5283&lt;&gt;"-",DATA_QUALITE!V5283,DATA_CLEANED!AN797))))</f>
        <v>MATCH NUL</v>
      </c>
      <c r="BH806" s="103" t="str">
        <f>IF(AND(BG806="MATCH NUL",DATA_CLEANED!AO797="-"),"MATCH_NUL",IF(ISNUMBER(SEARCH("win on penalties",W5283)),"WIN_BY_PENALTY",IF(ISNUMBER(SEARCH("win after extra time",W5283)),"WIN_BY_EXTRA_TIME",IF(ISNUMBER(SEARCH("Golden Goal",W5283)),"WIN_BY_GOLDEN_GOAL","WIN_BY_SCORE"))))</f>
        <v>MATCH_NUL</v>
      </c>
      <c r="BI806" s="99" t="str">
        <f>IF(OR(BG806=DATA_CLEANED!AK797,BG806=DATA_CLEANED!AN797,BG806="MATCH NUL"),"OK","ERREUR")</f>
        <v>OK</v>
      </c>
    </row>
    <row r="807" spans="2:61">
      <c r="B807" s="75">
        <v>370</v>
      </c>
      <c r="C807" s="15" t="str">
        <v>Kai Trewin</v>
      </c>
      <c r="D807" s="15">
        <v>25</v>
      </c>
      <c r="E807" s="15" t="str">
        <v>Australia</v>
      </c>
      <c r="F807" s="15" t="str">
        <v>CB</v>
      </c>
      <c r="G807" s="15" t="str">
        <v>New York City FC</v>
      </c>
      <c r="H807" s="15">
        <v>15</v>
      </c>
      <c r="I807" s="15" t="str">
        <f t="shared" si="69"/>
        <v>370|Kai Trewin|25|Australia|CB|New York City FC|15</v>
      </c>
      <c r="J807" s="15" t="str">
        <f>IF(COUNTIF(I$438:I807,I807)&gt;1,"DOUBLON","OK")</f>
        <v>OK</v>
      </c>
      <c r="S807" s="30" t="str">
        <v>Romania</v>
      </c>
      <c r="T807" s="30" t="str">
        <f t="shared" si="70"/>
        <v>OK</v>
      </c>
      <c r="U807" s="30" t="str">
        <f t="shared" si="71"/>
        <v>-</v>
      </c>
      <c r="V807" s="30" t="str" cm="1">
        <f t="array" ref="V807">_xlfn.IFS(
ISNUMBER(SEARCH("USA",S807)),"United States",
ISNUMBER(SEARCH("Republic of Korea",S807)),"South Korea",
ISNUMBER(SEARCH("Cape Verde",S807)),"Cabo Verde",
ISNUMBER(SEARCH("Czechia",S807)),"Czech Republic",
ISNUMBER(SEARCH("Türkiye",S807)),"Turkey",
ISNUMBER(SEARCH("Ivory Coast",S807)),"Côte d'Ivoire",
ISNUMBER(SEARCH("Korea Republic",S807)),"South Korea",
ISNUMBER(SEARCH("Germany FR",S807)),"FR Germany",
ISNUMBER(SEARCH("West Germany",S807)),"FR Germany",
ISNUMBER(SEARCH("Germany DR",S807)),"DR Germany",
ISNUMBER(SEARCH("Korea DPR",S807)),"North Korea",
ISNUMBER(SEARCH("China PR",S807)),"China",
ISNUMBER(SEARCH("IR Iran",S807)),"Iran",
ISNUMBER(SEARCH("Congo DR",S807)),"Democratic Republic of the Congo",
ISNUMBER(SEARCH("DR Congo",S807)),"Democratic Republic of the Congo",
ISNUMBER(SEARCH("German DR",S807)),"DR Germany",
ISNUMBER(SEARCH("rn""&gt;United Arab Emirates",S807)),"United Arab Emirates",
ISNUMBER(SEARCH("rn""&gt;Republic of Ireland",S807)),"Ireland",
ISNUMBER(SEARCH("rn""&gt;Bosnia and Herzegovina",S807)),"Bosnia and Herzegovina",
ISNUMBER(SEARCH("rn""&gt;Trinidad and Tobago",S807)),"Trinidad and Tobago",
ISNUMBER(SEARCH("rn""&gt;Serbia and Montenegro",S807)),"Serbia and Montenegro",
ISNUMBER(SEARCH(_xlfn.UNICHAR(65533),S807)),"Côte d'Ivoire",
TRUE,""
)</f>
        <v/>
      </c>
      <c r="W807" s="30" t="str">
        <f t="shared" si="72"/>
        <v>Romania</v>
      </c>
      <c r="Z807" s="40" t="str">
        <v>Ellis Park Stadium</v>
      </c>
      <c r="AA807" s="40" t="str" cm="1">
        <f t="array" ref="AA807">IFERROR(_xlfn.XLOOKUP(Z807,_xlfn.ANCHORARRAY(Z$31),AA$31:AA$37),Z807)</f>
        <v>Ellis Park Stadium</v>
      </c>
      <c r="AB807" s="42" t="str">
        <v xml:space="preserve">Johannesburg </v>
      </c>
      <c r="AC807" s="89" t="str">
        <f t="shared" si="68"/>
        <v xml:space="preserve">Johannesburg </v>
      </c>
      <c r="AE807" s="42">
        <v>2010</v>
      </c>
      <c r="AK807" s="42">
        <v>0</v>
      </c>
      <c r="AL807" s="42">
        <v>3</v>
      </c>
      <c r="AW807" s="89" t="str">
        <v>GROUP_STAGE</v>
      </c>
      <c r="BE807" s="43" t="str">
        <f>IF(OR(DATA_CLEANED!AL798="",DATA_CLEANED!AM798=""),"MANQUANT",IF(OR(NOT(ISNUMBER(DATA_CLEANED!AL798)),NOT(ISNUMBER(DATA_CLEANED!AM798))),"ENTREE INVALIDE",IF(OR(DATA_CLEANED!AL798&lt;0,DATA_CLEANED!AM798&lt;0),"SCORE NEGATIF","OK")))</f>
        <v>OK</v>
      </c>
      <c r="BF807" s="43" t="str">
        <f>IF(DATA_CLEANED!AK798&lt;&gt;DATA_CLEANED!AN798,"OK","ERREUR")</f>
        <v>OK</v>
      </c>
      <c r="BG807" s="43" t="str">
        <f>IF(DATA_CLEANED!AL798&gt;DATA_CLEANED!AM798,DATA_CLEANED!AK798,IF(AND(DATA_QUALITE!W5284="-",DATA_CLEANED!AM798=DATA_CLEANED!AL798),"MATCH NUL",IF(AND(DATA_QUALITE!V5284="-",DATA_QUALITE!U5284="AUCUNE"),DATA_QUALITE!T5284,IF(DATA_QUALITE!V5284&lt;&gt;"-",DATA_QUALITE!V5284,DATA_CLEANED!AN798))))</f>
        <v>Costa Rica</v>
      </c>
      <c r="BH807" s="103" t="str">
        <f>IF(AND(BG807="MATCH NUL",DATA_CLEANED!AO798="-"),"MATCH_NUL",IF(ISNUMBER(SEARCH("win on penalties",W5284)),"WIN_BY_PENALTY",IF(ISNUMBER(SEARCH("win after extra time",W5284)),"WIN_BY_EXTRA_TIME",IF(ISNUMBER(SEARCH("Golden Goal",W5284)),"WIN_BY_GOLDEN_GOAL","WIN_BY_SCORE"))))</f>
        <v>WIN_BY_SCORE</v>
      </c>
      <c r="BI807" s="99" t="str">
        <f>IF(OR(BG807=DATA_CLEANED!AK798,BG807=DATA_CLEANED!AN798,BG807="MATCH NUL"),"OK","ERREUR")</f>
        <v>OK</v>
      </c>
    </row>
    <row r="808" spans="2:61">
      <c r="B808" s="75">
        <v>371</v>
      </c>
      <c r="C808" s="15" t="str">
        <v>Harry Souttar</v>
      </c>
      <c r="D808" s="15">
        <v>27</v>
      </c>
      <c r="E808" s="15" t="str">
        <v>Australia</v>
      </c>
      <c r="F808" s="15" t="str">
        <v>CB</v>
      </c>
      <c r="G808" s="15" t="str">
        <v>Leicester City</v>
      </c>
      <c r="H808" s="15">
        <v>19</v>
      </c>
      <c r="I808" s="15" t="str">
        <f t="shared" si="69"/>
        <v>371|Harry Souttar|27|Australia|CB|Leicester City|19</v>
      </c>
      <c r="J808" s="15" t="str">
        <f>IF(COUNTIF(I$438:I808,I808)&gt;1,"DOUBLON","OK")</f>
        <v>OK</v>
      </c>
      <c r="S808" s="30" t="str">
        <v>Republic of Ireland</v>
      </c>
      <c r="T808" s="30" t="str">
        <f t="shared" si="70"/>
        <v>ERREUR</v>
      </c>
      <c r="U808" s="30" t="str">
        <f t="shared" si="71"/>
        <v>RENOMMER</v>
      </c>
      <c r="V808" s="30" t="str" cm="1">
        <f t="array" ref="V808">_xlfn.IFS(
ISNUMBER(SEARCH("USA",S808)),"United States",
ISNUMBER(SEARCH("Republic of Korea",S808)),"South Korea",
ISNUMBER(SEARCH("Cape Verde",S808)),"Cabo Verde",
ISNUMBER(SEARCH("Czechia",S808)),"Czech Republic",
ISNUMBER(SEARCH("Türkiye",S808)),"Turkey",
ISNUMBER(SEARCH("Ivory Coast",S808)),"Côte d'Ivoire",
ISNUMBER(SEARCH("Korea Republic",S808)),"South Korea",
ISNUMBER(SEARCH("Germany FR",S808)),"FR Germany",
ISNUMBER(SEARCH("West Germany",S808)),"FR Germany",
ISNUMBER(SEARCH("Germany DR",S808)),"DR Germany",
ISNUMBER(SEARCH("Korea DPR",S808)),"North Korea",
ISNUMBER(SEARCH("China PR",S808)),"China",
ISNUMBER(SEARCH("IR Iran",S808)),"Iran",
ISNUMBER(SEARCH("Congo DR",S808)),"Democratic Republic of the Congo",
ISNUMBER(SEARCH("DR Congo",S808)),"Democratic Republic of the Congo",
ISNUMBER(SEARCH("German DR",S808)),"DR Germany",
ISNUMBER(SEARCH("rn""&gt;United Arab Emirates",S808)),"United Arab Emirates",
ISNUMBER(SEARCH("rn""&gt;Republic of Ireland",S808)),"Ireland",
ISNUMBER(SEARCH("rn""&gt;Bosnia and Herzegovina",S808)),"Bosnia and Herzegovina",
ISNUMBER(SEARCH("rn""&gt;Trinidad and Tobago",S808)),"Trinidad and Tobago",
ISNUMBER(SEARCH("rn""&gt;Serbia and Montenegro",S808)),"Serbia and Montenegro",
ISNUMBER(SEARCH(_xlfn.UNICHAR(65533),S808)),"Côte d'Ivoire",
TRUE,""
)</f>
        <v/>
      </c>
      <c r="W808" s="30" t="str">
        <f t="shared" si="72"/>
        <v>Republic of Ireland</v>
      </c>
      <c r="Z808" s="40" t="str">
        <v>Cape Town Stadium</v>
      </c>
      <c r="AA808" s="40" t="str" cm="1">
        <f t="array" ref="AA808">IFERROR(_xlfn.XLOOKUP(Z808,_xlfn.ANCHORARRAY(Z$31),AA$31:AA$37),Z808)</f>
        <v>Cape Town Stadium</v>
      </c>
      <c r="AB808" s="42" t="str">
        <v xml:space="preserve">Cape Town </v>
      </c>
      <c r="AC808" s="89" t="str">
        <f t="shared" si="68"/>
        <v xml:space="preserve">Cape Town </v>
      </c>
      <c r="AE808" s="42">
        <v>2010</v>
      </c>
      <c r="AK808" s="42">
        <v>4</v>
      </c>
      <c r="AL808" s="42">
        <v>1</v>
      </c>
      <c r="AW808" s="89" t="str">
        <v>GROUP_STAGE</v>
      </c>
      <c r="BE808" s="43" t="str">
        <f>IF(OR(DATA_CLEANED!AL799="",DATA_CLEANED!AM799=""),"MANQUANT",IF(OR(NOT(ISNUMBER(DATA_CLEANED!AL799)),NOT(ISNUMBER(DATA_CLEANED!AM799))),"ENTREE INVALIDE",IF(OR(DATA_CLEANED!AL799&lt;0,DATA_CLEANED!AM799&lt;0),"SCORE NEGATIF","OK")))</f>
        <v>OK</v>
      </c>
      <c r="BF808" s="43" t="str">
        <f>IF(DATA_CLEANED!AK799&lt;&gt;DATA_CLEANED!AN799,"OK","ERREUR")</f>
        <v>OK</v>
      </c>
      <c r="BG808" s="43" t="str">
        <f>IF(DATA_CLEANED!AL799&gt;DATA_CLEANED!AM799,DATA_CLEANED!AK799,IF(AND(DATA_QUALITE!W5285="-",DATA_CLEANED!AM799=DATA_CLEANED!AL799),"MATCH NUL",IF(AND(DATA_QUALITE!V5285="-",DATA_QUALITE!U5285="AUCUNE"),DATA_QUALITE!T5285,IF(DATA_QUALITE!V5285&lt;&gt;"-",DATA_QUALITE!V5285,DATA_CLEANED!AN799))))</f>
        <v>France</v>
      </c>
      <c r="BH808" s="103" t="str">
        <f>IF(AND(BG808="MATCH NUL",DATA_CLEANED!AO799="-"),"MATCH_NUL",IF(ISNUMBER(SEARCH("win on penalties",W5285)),"WIN_BY_PENALTY",IF(ISNUMBER(SEARCH("win after extra time",W5285)),"WIN_BY_EXTRA_TIME",IF(ISNUMBER(SEARCH("Golden Goal",W5285)),"WIN_BY_GOLDEN_GOAL","WIN_BY_SCORE"))))</f>
        <v>WIN_BY_SCORE</v>
      </c>
      <c r="BI808" s="99" t="str">
        <f>IF(OR(BG808=DATA_CLEANED!AK799,BG808=DATA_CLEANED!AN799,BG808="MATCH NUL"),"OK","ERREUR")</f>
        <v>OK</v>
      </c>
    </row>
    <row r="809" spans="2:61">
      <c r="B809" s="75">
        <v>372</v>
      </c>
      <c r="C809" s="15" t="str">
        <v>Cameron Burgess</v>
      </c>
      <c r="D809" s="15">
        <v>30</v>
      </c>
      <c r="E809" s="15" t="str">
        <v>Australia</v>
      </c>
      <c r="F809" s="15" t="str">
        <v>CB</v>
      </c>
      <c r="G809" s="15" t="str">
        <v>Swansea City</v>
      </c>
      <c r="H809" s="15">
        <v>21</v>
      </c>
      <c r="I809" s="15" t="str">
        <f t="shared" si="69"/>
        <v>372|Cameron Burgess|30|Australia|CB|Swansea City|21</v>
      </c>
      <c r="J809" s="15" t="str">
        <f>IF(COUNTIF(I$438:I809,I809)&gt;1,"DOUBLON","OK")</f>
        <v>OK</v>
      </c>
      <c r="S809" s="30" t="str">
        <v>Romania</v>
      </c>
      <c r="T809" s="30" t="str">
        <f t="shared" si="70"/>
        <v>OK</v>
      </c>
      <c r="U809" s="30" t="str">
        <f t="shared" si="71"/>
        <v>-</v>
      </c>
      <c r="V809" s="30" t="str" cm="1">
        <f t="array" ref="V809">_xlfn.IFS(
ISNUMBER(SEARCH("USA",S809)),"United States",
ISNUMBER(SEARCH("Republic of Korea",S809)),"South Korea",
ISNUMBER(SEARCH("Cape Verde",S809)),"Cabo Verde",
ISNUMBER(SEARCH("Czechia",S809)),"Czech Republic",
ISNUMBER(SEARCH("Türkiye",S809)),"Turkey",
ISNUMBER(SEARCH("Ivory Coast",S809)),"Côte d'Ivoire",
ISNUMBER(SEARCH("Korea Republic",S809)),"South Korea",
ISNUMBER(SEARCH("Germany FR",S809)),"FR Germany",
ISNUMBER(SEARCH("West Germany",S809)),"FR Germany",
ISNUMBER(SEARCH("Germany DR",S809)),"DR Germany",
ISNUMBER(SEARCH("Korea DPR",S809)),"North Korea",
ISNUMBER(SEARCH("China PR",S809)),"China",
ISNUMBER(SEARCH("IR Iran",S809)),"Iran",
ISNUMBER(SEARCH("Congo DR",S809)),"Democratic Republic of the Congo",
ISNUMBER(SEARCH("DR Congo",S809)),"Democratic Republic of the Congo",
ISNUMBER(SEARCH("German DR",S809)),"DR Germany",
ISNUMBER(SEARCH("rn""&gt;United Arab Emirates",S809)),"United Arab Emirates",
ISNUMBER(SEARCH("rn""&gt;Republic of Ireland",S809)),"Ireland",
ISNUMBER(SEARCH("rn""&gt;Bosnia and Herzegovina",S809)),"Bosnia and Herzegovina",
ISNUMBER(SEARCH("rn""&gt;Trinidad and Tobago",S809)),"Trinidad and Tobago",
ISNUMBER(SEARCH("rn""&gt;Serbia and Montenegro",S809)),"Serbia and Montenegro",
ISNUMBER(SEARCH(_xlfn.UNICHAR(65533),S809)),"Côte d'Ivoire",
TRUE,""
)</f>
        <v/>
      </c>
      <c r="W809" s="30" t="str">
        <f t="shared" si="72"/>
        <v>Romania</v>
      </c>
      <c r="Z809" s="40" t="str">
        <v>Durban Stadium</v>
      </c>
      <c r="AA809" s="40" t="str" cm="1">
        <f t="array" ref="AA809">IFERROR(_xlfn.XLOOKUP(Z809,_xlfn.ANCHORARRAY(Z$31),AA$31:AA$37),Z809)</f>
        <v>Durban Stadium</v>
      </c>
      <c r="AB809" s="42" t="str">
        <v xml:space="preserve">Durban </v>
      </c>
      <c r="AC809" s="89" t="str">
        <f t="shared" ref="AC809:AC872" si="73">_xlfn.SINGLE(IFERROR(_xlfn.XLOOKUP(AB809,AB$31:AB$34,AC$31:AC$34),AB809))</f>
        <v xml:space="preserve">Durban </v>
      </c>
      <c r="AE809" s="42">
        <v>2010</v>
      </c>
      <c r="AK809" s="42">
        <v>2</v>
      </c>
      <c r="AL809" s="42">
        <v>1</v>
      </c>
      <c r="AW809" s="89" t="str">
        <v>GROUP_STAGE</v>
      </c>
      <c r="BE809" s="43" t="str">
        <f>IF(OR(DATA_CLEANED!AL800="",DATA_CLEANED!AM800=""),"MANQUANT",IF(OR(NOT(ISNUMBER(DATA_CLEANED!AL800)),NOT(ISNUMBER(DATA_CLEANED!AM800))),"ENTREE INVALIDE",IF(OR(DATA_CLEANED!AL800&lt;0,DATA_CLEANED!AM800&lt;0),"SCORE NEGATIF","OK")))</f>
        <v>OK</v>
      </c>
      <c r="BF809" s="43" t="str">
        <f>IF(DATA_CLEANED!AK800&lt;&gt;DATA_CLEANED!AN800,"OK","ERREUR")</f>
        <v>OK</v>
      </c>
      <c r="BG809" s="43" t="str">
        <f>IF(DATA_CLEANED!AL800&gt;DATA_CLEANED!AM800,DATA_CLEANED!AK800,IF(AND(DATA_QUALITE!W5286="-",DATA_CLEANED!AM800=DATA_CLEANED!AL800),"MATCH NUL",IF(AND(DATA_QUALITE!V5286="-",DATA_QUALITE!U5286="AUCUNE"),DATA_QUALITE!T5286,IF(DATA_QUALITE!V5286&lt;&gt;"-",DATA_QUALITE!V5286,DATA_CLEANED!AN800))))</f>
        <v>Ecuador</v>
      </c>
      <c r="BH809" s="103" t="str">
        <f>IF(AND(BG809="MATCH NUL",DATA_CLEANED!AO800="-"),"MATCH_NUL",IF(ISNUMBER(SEARCH("win on penalties",W5286)),"WIN_BY_PENALTY",IF(ISNUMBER(SEARCH("win after extra time",W5286)),"WIN_BY_EXTRA_TIME",IF(ISNUMBER(SEARCH("Golden Goal",W5286)),"WIN_BY_GOLDEN_GOAL","WIN_BY_SCORE"))))</f>
        <v>WIN_BY_SCORE</v>
      </c>
      <c r="BI809" s="99" t="str">
        <f>IF(OR(BG809=DATA_CLEANED!AK800,BG809=DATA_CLEANED!AN800,BG809="MATCH NUL"),"OK","ERREUR")</f>
        <v>OK</v>
      </c>
    </row>
    <row r="810" spans="2:61">
      <c r="B810" s="75">
        <v>373</v>
      </c>
      <c r="C810" s="15" t="str">
        <v>Lucas Herrington</v>
      </c>
      <c r="D810" s="15">
        <v>18</v>
      </c>
      <c r="E810" s="15" t="str">
        <v>Australia</v>
      </c>
      <c r="F810" s="15" t="str">
        <v>CB</v>
      </c>
      <c r="G810" s="15" t="str">
        <v>Colorado Rapids</v>
      </c>
      <c r="H810" s="15">
        <v>25</v>
      </c>
      <c r="I810" s="15" t="str">
        <f t="shared" si="69"/>
        <v>373|Lucas Herrington|18|Australia|CB|Colorado Rapids|25</v>
      </c>
      <c r="J810" s="15" t="str">
        <f>IF(COUNTIF(I$438:I810,I810)&gt;1,"DOUBLON","OK")</f>
        <v>OK</v>
      </c>
      <c r="S810" s="30" t="str">
        <v>Republic of Ireland</v>
      </c>
      <c r="T810" s="30" t="str">
        <f t="shared" si="70"/>
        <v>ERREUR</v>
      </c>
      <c r="U810" s="30" t="str">
        <f t="shared" si="71"/>
        <v>RENOMMER</v>
      </c>
      <c r="V810" s="30" t="str" cm="1">
        <f t="array" ref="V810">_xlfn.IFS(
ISNUMBER(SEARCH("USA",S810)),"United States",
ISNUMBER(SEARCH("Republic of Korea",S810)),"South Korea",
ISNUMBER(SEARCH("Cape Verde",S810)),"Cabo Verde",
ISNUMBER(SEARCH("Czechia",S810)),"Czech Republic",
ISNUMBER(SEARCH("Türkiye",S810)),"Turkey",
ISNUMBER(SEARCH("Ivory Coast",S810)),"Côte d'Ivoire",
ISNUMBER(SEARCH("Korea Republic",S810)),"South Korea",
ISNUMBER(SEARCH("Germany FR",S810)),"FR Germany",
ISNUMBER(SEARCH("West Germany",S810)),"FR Germany",
ISNUMBER(SEARCH("Germany DR",S810)),"DR Germany",
ISNUMBER(SEARCH("Korea DPR",S810)),"North Korea",
ISNUMBER(SEARCH("China PR",S810)),"China",
ISNUMBER(SEARCH("IR Iran",S810)),"Iran",
ISNUMBER(SEARCH("Congo DR",S810)),"Democratic Republic of the Congo",
ISNUMBER(SEARCH("DR Congo",S810)),"Democratic Republic of the Congo",
ISNUMBER(SEARCH("German DR",S810)),"DR Germany",
ISNUMBER(SEARCH("rn""&gt;United Arab Emirates",S810)),"United Arab Emirates",
ISNUMBER(SEARCH("rn""&gt;Republic of Ireland",S810)),"Ireland",
ISNUMBER(SEARCH("rn""&gt;Bosnia and Herzegovina",S810)),"Bosnia and Herzegovina",
ISNUMBER(SEARCH("rn""&gt;Trinidad and Tobago",S810)),"Trinidad and Tobago",
ISNUMBER(SEARCH("rn""&gt;Serbia and Montenegro",S810)),"Serbia and Montenegro",
ISNUMBER(SEARCH(_xlfn.UNICHAR(65533),S810)),"Côte d'Ivoire",
TRUE,""
)</f>
        <v/>
      </c>
      <c r="W810" s="30" t="str">
        <f t="shared" si="72"/>
        <v>Republic of Ireland</v>
      </c>
      <c r="Z810" s="40" t="str">
        <v>Port Elizabeth Stadium</v>
      </c>
      <c r="AA810" s="40" t="str" cm="1">
        <f t="array" ref="AA810">IFERROR(_xlfn.XLOOKUP(Z810,_xlfn.ANCHORARRAY(Z$31),AA$31:AA$37),Z810)</f>
        <v>Port Elizabeth Stadium</v>
      </c>
      <c r="AB810" s="42" t="str">
        <v xml:space="preserve">Nelson Mandela Bay/Port Elizabeth </v>
      </c>
      <c r="AC810" s="89" t="str">
        <f t="shared" si="73"/>
        <v xml:space="preserve">Nelson Mandela Bay/Port Elizabeth </v>
      </c>
      <c r="AE810" s="42">
        <v>2010</v>
      </c>
      <c r="AK810" s="42">
        <v>0</v>
      </c>
      <c r="AL810" s="42">
        <v>2</v>
      </c>
      <c r="AW810" s="89" t="str">
        <v>GROUP_STAGE</v>
      </c>
      <c r="BE810" s="43" t="str">
        <f>IF(OR(DATA_CLEANED!AL801="",DATA_CLEANED!AM801=""),"MANQUANT",IF(OR(NOT(ISNUMBER(DATA_CLEANED!AL801)),NOT(ISNUMBER(DATA_CLEANED!AM801))),"ENTREE INVALIDE",IF(OR(DATA_CLEANED!AL801&lt;0,DATA_CLEANED!AM801&lt;0),"SCORE NEGATIF","OK")))</f>
        <v>OK</v>
      </c>
      <c r="BF810" s="43" t="str">
        <f>IF(DATA_CLEANED!AK801&lt;&gt;DATA_CLEANED!AN801,"OK","ERREUR")</f>
        <v>OK</v>
      </c>
      <c r="BG810" s="43" t="str">
        <f>IF(DATA_CLEANED!AL801&gt;DATA_CLEANED!AM801,DATA_CLEANED!AK801,IF(AND(DATA_QUALITE!W5287="-",DATA_CLEANED!AM801=DATA_CLEANED!AL801),"MATCH NUL",IF(AND(DATA_QUALITE!V5287="-",DATA_QUALITE!U5287="AUCUNE"),DATA_QUALITE!T5287,IF(DATA_QUALITE!V5287&lt;&gt;"-",DATA_QUALITE!V5287,DATA_CLEANED!AN801))))</f>
        <v>Argentina</v>
      </c>
      <c r="BH810" s="103" t="str">
        <f>IF(AND(BG810="MATCH NUL",DATA_CLEANED!AO801="-"),"MATCH_NUL",IF(ISNUMBER(SEARCH("win on penalties",W5287)),"WIN_BY_PENALTY",IF(ISNUMBER(SEARCH("win after extra time",W5287)),"WIN_BY_EXTRA_TIME",IF(ISNUMBER(SEARCH("Golden Goal",W5287)),"WIN_BY_GOLDEN_GOAL","WIN_BY_SCORE"))))</f>
        <v>WIN_BY_SCORE</v>
      </c>
      <c r="BI810" s="99" t="str">
        <f>IF(OR(BG810=DATA_CLEANED!AK801,BG810=DATA_CLEANED!AN801,BG810="MATCH NUL"),"OK","ERREUR")</f>
        <v>OK</v>
      </c>
    </row>
    <row r="811" spans="2:61">
      <c r="B811" s="75">
        <v>374</v>
      </c>
      <c r="C811" s="15" t="str">
        <v>Jordan Bos</v>
      </c>
      <c r="D811" s="15">
        <v>23</v>
      </c>
      <c r="E811" s="15" t="str">
        <v>Australia</v>
      </c>
      <c r="F811" s="15" t="str">
        <v>LB</v>
      </c>
      <c r="G811" s="15" t="str">
        <v>Feyenoord</v>
      </c>
      <c r="H811" s="15">
        <v>5</v>
      </c>
      <c r="I811" s="15" t="str">
        <f t="shared" si="69"/>
        <v>374|Jordan Bos|23|Australia|LB|Feyenoord|5</v>
      </c>
      <c r="J811" s="15" t="str">
        <f>IF(COUNTIF(I$438:I811,I811)&gt;1,"DOUBLON","OK")</f>
        <v>OK</v>
      </c>
      <c r="S811" s="30" t="str">
        <v>Romania</v>
      </c>
      <c r="T811" s="30" t="str">
        <f t="shared" si="70"/>
        <v>OK</v>
      </c>
      <c r="U811" s="30" t="str">
        <f t="shared" si="71"/>
        <v>-</v>
      </c>
      <c r="V811" s="30" t="str" cm="1">
        <f t="array" ref="V811">_xlfn.IFS(
ISNUMBER(SEARCH("USA",S811)),"United States",
ISNUMBER(SEARCH("Republic of Korea",S811)),"South Korea",
ISNUMBER(SEARCH("Cape Verde",S811)),"Cabo Verde",
ISNUMBER(SEARCH("Czechia",S811)),"Czech Republic",
ISNUMBER(SEARCH("Türkiye",S811)),"Turkey",
ISNUMBER(SEARCH("Ivory Coast",S811)),"Côte d'Ivoire",
ISNUMBER(SEARCH("Korea Republic",S811)),"South Korea",
ISNUMBER(SEARCH("Germany FR",S811)),"FR Germany",
ISNUMBER(SEARCH("West Germany",S811)),"FR Germany",
ISNUMBER(SEARCH("Germany DR",S811)),"DR Germany",
ISNUMBER(SEARCH("Korea DPR",S811)),"North Korea",
ISNUMBER(SEARCH("China PR",S811)),"China",
ISNUMBER(SEARCH("IR Iran",S811)),"Iran",
ISNUMBER(SEARCH("Congo DR",S811)),"Democratic Republic of the Congo",
ISNUMBER(SEARCH("DR Congo",S811)),"Democratic Republic of the Congo",
ISNUMBER(SEARCH("German DR",S811)),"DR Germany",
ISNUMBER(SEARCH("rn""&gt;United Arab Emirates",S811)),"United Arab Emirates",
ISNUMBER(SEARCH("rn""&gt;Republic of Ireland",S811)),"Ireland",
ISNUMBER(SEARCH("rn""&gt;Bosnia and Herzegovina",S811)),"Bosnia and Herzegovina",
ISNUMBER(SEARCH("rn""&gt;Trinidad and Tobago",S811)),"Trinidad and Tobago",
ISNUMBER(SEARCH("rn""&gt;Serbia and Montenegro",S811)),"Serbia and Montenegro",
ISNUMBER(SEARCH(_xlfn.UNICHAR(65533),S811)),"Côte d'Ivoire",
TRUE,""
)</f>
        <v/>
      </c>
      <c r="W811" s="30" t="str">
        <f t="shared" si="72"/>
        <v>Romania</v>
      </c>
      <c r="Z811" s="40" t="str">
        <v>Soccer City Stadium</v>
      </c>
      <c r="AA811" s="40" t="str" cm="1">
        <f t="array" ref="AA811">IFERROR(_xlfn.XLOOKUP(Z811,_xlfn.ANCHORARRAY(Z$31),AA$31:AA$37),Z811)</f>
        <v>Soccer City Stadium</v>
      </c>
      <c r="AB811" s="42" t="str">
        <v xml:space="preserve">Johannesburg </v>
      </c>
      <c r="AC811" s="89" t="str">
        <f t="shared" si="73"/>
        <v xml:space="preserve">Johannesburg </v>
      </c>
      <c r="AE811" s="42">
        <v>2010</v>
      </c>
      <c r="AK811" s="42">
        <v>0</v>
      </c>
      <c r="AL811" s="42">
        <v>1</v>
      </c>
      <c r="AW811" s="89" t="str">
        <v>GROUP_STAGE</v>
      </c>
      <c r="BE811" s="43" t="str">
        <f>IF(OR(DATA_CLEANED!AL802="",DATA_CLEANED!AM802=""),"MANQUANT",IF(OR(NOT(ISNUMBER(DATA_CLEANED!AL802)),NOT(ISNUMBER(DATA_CLEANED!AM802))),"ENTREE INVALIDE",IF(OR(DATA_CLEANED!AL802&lt;0,DATA_CLEANED!AM802&lt;0),"SCORE NEGATIF","OK")))</f>
        <v>OK</v>
      </c>
      <c r="BF811" s="43" t="str">
        <f>IF(DATA_CLEANED!AK802&lt;&gt;DATA_CLEANED!AN802,"OK","ERREUR")</f>
        <v>OK</v>
      </c>
      <c r="BG811" s="43" t="str">
        <f>IF(DATA_CLEANED!AL802&gt;DATA_CLEANED!AM802,DATA_CLEANED!AK802,IF(AND(DATA_QUALITE!W5288="-",DATA_CLEANED!AM802=DATA_CLEANED!AL802),"MATCH NUL",IF(AND(DATA_QUALITE!V5288="-",DATA_QUALITE!U5288="AUCUNE"),DATA_QUALITE!T5288,IF(DATA_QUALITE!V5288&lt;&gt;"-",DATA_QUALITE!V5288,DATA_CLEANED!AN802))))</f>
        <v>MATCH NUL</v>
      </c>
      <c r="BH811" s="103" t="str">
        <f>IF(AND(BG811="MATCH NUL",DATA_CLEANED!AO802="-"),"MATCH_NUL",IF(ISNUMBER(SEARCH("win on penalties",W5288)),"WIN_BY_PENALTY",IF(ISNUMBER(SEARCH("win after extra time",W5288)),"WIN_BY_EXTRA_TIME",IF(ISNUMBER(SEARCH("Golden Goal",W5288)),"WIN_BY_GOLDEN_GOAL","WIN_BY_SCORE"))))</f>
        <v>MATCH_NUL</v>
      </c>
      <c r="BI811" s="99" t="str">
        <f>IF(OR(BG811=DATA_CLEANED!AK802,BG811=DATA_CLEANED!AN802,BG811="MATCH NUL"),"OK","ERREUR")</f>
        <v>OK</v>
      </c>
    </row>
    <row r="812" spans="2:61">
      <c r="B812" s="75">
        <v>375</v>
      </c>
      <c r="C812" s="15" t="str">
        <v>Aziz Behich</v>
      </c>
      <c r="D812" s="15">
        <v>35</v>
      </c>
      <c r="E812" s="15" t="str">
        <v>Australia</v>
      </c>
      <c r="F812" s="15" t="str">
        <v>LB</v>
      </c>
      <c r="G812" s="15" t="str">
        <v>Melbourne City</v>
      </c>
      <c r="H812" s="15">
        <v>16</v>
      </c>
      <c r="I812" s="15" t="str">
        <f t="shared" si="69"/>
        <v>375|Aziz Behich|35|Australia|LB|Melbourne City|16</v>
      </c>
      <c r="J812" s="15" t="str">
        <f>IF(COUNTIF(I$438:I812,I812)&gt;1,"DOUBLON","OK")</f>
        <v>OK</v>
      </c>
      <c r="S812" s="30" t="str">
        <v>Republic of Ireland</v>
      </c>
      <c r="T812" s="30" t="str">
        <f t="shared" si="70"/>
        <v>ERREUR</v>
      </c>
      <c r="U812" s="30" t="str">
        <f t="shared" si="71"/>
        <v>RENOMMER</v>
      </c>
      <c r="V812" s="30" t="str" cm="1">
        <f t="array" ref="V812">_xlfn.IFS(
ISNUMBER(SEARCH("USA",S812)),"United States",
ISNUMBER(SEARCH("Republic of Korea",S812)),"South Korea",
ISNUMBER(SEARCH("Cape Verde",S812)),"Cabo Verde",
ISNUMBER(SEARCH("Czechia",S812)),"Czech Republic",
ISNUMBER(SEARCH("Türkiye",S812)),"Turkey",
ISNUMBER(SEARCH("Ivory Coast",S812)),"Côte d'Ivoire",
ISNUMBER(SEARCH("Korea Republic",S812)),"South Korea",
ISNUMBER(SEARCH("Germany FR",S812)),"FR Germany",
ISNUMBER(SEARCH("West Germany",S812)),"FR Germany",
ISNUMBER(SEARCH("Germany DR",S812)),"DR Germany",
ISNUMBER(SEARCH("Korea DPR",S812)),"North Korea",
ISNUMBER(SEARCH("China PR",S812)),"China",
ISNUMBER(SEARCH("IR Iran",S812)),"Iran",
ISNUMBER(SEARCH("Congo DR",S812)),"Democratic Republic of the Congo",
ISNUMBER(SEARCH("DR Congo",S812)),"Democratic Republic of the Congo",
ISNUMBER(SEARCH("German DR",S812)),"DR Germany",
ISNUMBER(SEARCH("rn""&gt;United Arab Emirates",S812)),"United Arab Emirates",
ISNUMBER(SEARCH("rn""&gt;Republic of Ireland",S812)),"Ireland",
ISNUMBER(SEARCH("rn""&gt;Bosnia and Herzegovina",S812)),"Bosnia and Herzegovina",
ISNUMBER(SEARCH("rn""&gt;Trinidad and Tobago",S812)),"Trinidad and Tobago",
ISNUMBER(SEARCH("rn""&gt;Serbia and Montenegro",S812)),"Serbia and Montenegro",
ISNUMBER(SEARCH(_xlfn.UNICHAR(65533),S812)),"Côte d'Ivoire",
TRUE,""
)</f>
        <v/>
      </c>
      <c r="W812" s="30" t="str">
        <f t="shared" si="72"/>
        <v>Republic of Ireland</v>
      </c>
      <c r="Z812" s="40" t="str">
        <v>Arena de Sao Paulo</v>
      </c>
      <c r="AA812" s="40" t="str" cm="1">
        <f t="array" ref="AA812">IFERROR(_xlfn.XLOOKUP(Z812,_xlfn.ANCHORARRAY(Z$31),AA$31:AA$37),Z812)</f>
        <v>Arena de Sao Paulo</v>
      </c>
      <c r="AB812" s="42" t="str">
        <v xml:space="preserve">Sao Paulo </v>
      </c>
      <c r="AC812" s="89" t="str">
        <f t="shared" si="73"/>
        <v xml:space="preserve">Sao Paulo </v>
      </c>
      <c r="AE812" s="42">
        <v>2010</v>
      </c>
      <c r="AK812" s="42">
        <v>2</v>
      </c>
      <c r="AL812" s="42">
        <v>2</v>
      </c>
      <c r="AW812" s="89" t="str">
        <v>GROUP_STAGE</v>
      </c>
      <c r="BE812" s="43" t="str">
        <f>IF(OR(DATA_CLEANED!AL803="",DATA_CLEANED!AM803=""),"MANQUANT",IF(OR(NOT(ISNUMBER(DATA_CLEANED!AL803)),NOT(ISNUMBER(DATA_CLEANED!AM803))),"ENTREE INVALIDE",IF(OR(DATA_CLEANED!AL803&lt;0,DATA_CLEANED!AM803&lt;0),"SCORE NEGATIF","OK")))</f>
        <v>OK</v>
      </c>
      <c r="BF812" s="43" t="str">
        <f>IF(DATA_CLEANED!AK803&lt;&gt;DATA_CLEANED!AN803,"OK","ERREUR")</f>
        <v>OK</v>
      </c>
      <c r="BG812" s="43" t="str">
        <f>IF(DATA_CLEANED!AL803&gt;DATA_CLEANED!AM803,DATA_CLEANED!AK803,IF(AND(DATA_QUALITE!W5289="-",DATA_CLEANED!AM803=DATA_CLEANED!AL803),"MATCH NUL",IF(AND(DATA_QUALITE!V5289="-",DATA_QUALITE!U5289="AUCUNE"),DATA_QUALITE!T5289,IF(DATA_QUALITE!V5289&lt;&gt;"-",DATA_QUALITE!V5289,DATA_CLEANED!AN803))))</f>
        <v>Nigeria</v>
      </c>
      <c r="BH812" s="103" t="str">
        <f>IF(AND(BG812="MATCH NUL",DATA_CLEANED!AO803="-"),"MATCH_NUL",IF(ISNUMBER(SEARCH("win on penalties",W5289)),"WIN_BY_PENALTY",IF(ISNUMBER(SEARCH("win after extra time",W5289)),"WIN_BY_EXTRA_TIME",IF(ISNUMBER(SEARCH("Golden Goal",W5289)),"WIN_BY_GOLDEN_GOAL","WIN_BY_SCORE"))))</f>
        <v>WIN_BY_SCORE</v>
      </c>
      <c r="BI812" s="99" t="str">
        <f>IF(OR(BG812=DATA_CLEANED!AK803,BG812=DATA_CLEANED!AN803,BG812="MATCH NUL"),"OK","ERREUR")</f>
        <v>OK</v>
      </c>
    </row>
    <row r="813" spans="2:61">
      <c r="B813" s="75">
        <v>376</v>
      </c>
      <c r="C813" s="15" t="str">
        <v>Jacob Italiano</v>
      </c>
      <c r="D813" s="15">
        <v>24</v>
      </c>
      <c r="E813" s="15" t="str">
        <v>Australia</v>
      </c>
      <c r="F813" s="15" t="str">
        <v>RB</v>
      </c>
      <c r="G813" s="15" t="str">
        <v>Grazer AK</v>
      </c>
      <c r="H813" s="15">
        <v>4</v>
      </c>
      <c r="I813" s="15" t="str">
        <f t="shared" si="69"/>
        <v>376|Jacob Italiano|24|Australia|RB|Grazer AK|4</v>
      </c>
      <c r="J813" s="15" t="str">
        <f>IF(COUNTIF(I$438:I813,I813)&gt;1,"DOUBLON","OK")</f>
        <v>OK</v>
      </c>
      <c r="S813" s="30" t="str">
        <v>Romania</v>
      </c>
      <c r="T813" s="30" t="str">
        <f t="shared" si="70"/>
        <v>OK</v>
      </c>
      <c r="U813" s="30" t="str">
        <f t="shared" si="71"/>
        <v>-</v>
      </c>
      <c r="V813" s="30" t="str" cm="1">
        <f t="array" ref="V813">_xlfn.IFS(
ISNUMBER(SEARCH("USA",S813)),"United States",
ISNUMBER(SEARCH("Republic of Korea",S813)),"South Korea",
ISNUMBER(SEARCH("Cape Verde",S813)),"Cabo Verde",
ISNUMBER(SEARCH("Czechia",S813)),"Czech Republic",
ISNUMBER(SEARCH("Türkiye",S813)),"Turkey",
ISNUMBER(SEARCH("Ivory Coast",S813)),"Côte d'Ivoire",
ISNUMBER(SEARCH("Korea Republic",S813)),"South Korea",
ISNUMBER(SEARCH("Germany FR",S813)),"FR Germany",
ISNUMBER(SEARCH("West Germany",S813)),"FR Germany",
ISNUMBER(SEARCH("Germany DR",S813)),"DR Germany",
ISNUMBER(SEARCH("Korea DPR",S813)),"North Korea",
ISNUMBER(SEARCH("China PR",S813)),"China",
ISNUMBER(SEARCH("IR Iran",S813)),"Iran",
ISNUMBER(SEARCH("Congo DR",S813)),"Democratic Republic of the Congo",
ISNUMBER(SEARCH("DR Congo",S813)),"Democratic Republic of the Congo",
ISNUMBER(SEARCH("German DR",S813)),"DR Germany",
ISNUMBER(SEARCH("rn""&gt;United Arab Emirates",S813)),"United Arab Emirates",
ISNUMBER(SEARCH("rn""&gt;Republic of Ireland",S813)),"Ireland",
ISNUMBER(SEARCH("rn""&gt;Bosnia and Herzegovina",S813)),"Bosnia and Herzegovina",
ISNUMBER(SEARCH("rn""&gt;Trinidad and Tobago",S813)),"Trinidad and Tobago",
ISNUMBER(SEARCH("rn""&gt;Serbia and Montenegro",S813)),"Serbia and Montenegro",
ISNUMBER(SEARCH(_xlfn.UNICHAR(65533),S813)),"Côte d'Ivoire",
TRUE,""
)</f>
        <v/>
      </c>
      <c r="W813" s="30" t="str">
        <f t="shared" si="72"/>
        <v>Romania</v>
      </c>
      <c r="Z813" s="40" t="str">
        <v>Estadio das Dunas</v>
      </c>
      <c r="AA813" s="40" t="str" cm="1">
        <f t="array" ref="AA813">IFERROR(_xlfn.XLOOKUP(Z813,_xlfn.ANCHORARRAY(Z$31),AA$31:AA$37),Z813)</f>
        <v>Estadio das Dunas</v>
      </c>
      <c r="AB813" s="42" t="str">
        <v xml:space="preserve">Natal </v>
      </c>
      <c r="AC813" s="89" t="str">
        <f t="shared" si="73"/>
        <v xml:space="preserve">Natal </v>
      </c>
      <c r="AE813" s="42">
        <v>2010</v>
      </c>
      <c r="AK813" s="42">
        <v>0</v>
      </c>
      <c r="AL813" s="42">
        <v>0</v>
      </c>
      <c r="AW813" s="89" t="str">
        <v>GROUP_STAGE</v>
      </c>
      <c r="BE813" s="43" t="str">
        <f>IF(OR(DATA_CLEANED!AL804="",DATA_CLEANED!AM804=""),"MANQUANT",IF(OR(NOT(ISNUMBER(DATA_CLEANED!AL804)),NOT(ISNUMBER(DATA_CLEANED!AM804))),"ENTREE INVALIDE",IF(OR(DATA_CLEANED!AL804&lt;0,DATA_CLEANED!AM804&lt;0),"SCORE NEGATIF","OK")))</f>
        <v>OK</v>
      </c>
      <c r="BF813" s="43" t="str">
        <f>IF(DATA_CLEANED!AK804&lt;&gt;DATA_CLEANED!AN804,"OK","ERREUR")</f>
        <v>OK</v>
      </c>
      <c r="BG813" s="43" t="str">
        <f>IF(DATA_CLEANED!AL804&gt;DATA_CLEANED!AM804,DATA_CLEANED!AK804,IF(AND(DATA_QUALITE!W5290="-",DATA_CLEANED!AM804=DATA_CLEANED!AL804),"MATCH NUL",IF(AND(DATA_QUALITE!V5290="-",DATA_QUALITE!U5290="AUCUNE"),DATA_QUALITE!T5290,IF(DATA_QUALITE!V5290&lt;&gt;"-",DATA_QUALITE!V5290,DATA_CLEANED!AN804))))</f>
        <v>Belgium</v>
      </c>
      <c r="BH813" s="103" t="str">
        <f>IF(AND(BG813="MATCH NUL",DATA_CLEANED!AO804="-"),"MATCH_NUL",IF(ISNUMBER(SEARCH("win on penalties",W5290)),"WIN_BY_PENALTY",IF(ISNUMBER(SEARCH("win after extra time",W5290)),"WIN_BY_EXTRA_TIME",IF(ISNUMBER(SEARCH("Golden Goal",W5290)),"WIN_BY_GOLDEN_GOAL","WIN_BY_SCORE"))))</f>
        <v>WIN_BY_SCORE</v>
      </c>
      <c r="BI813" s="99" t="str">
        <f>IF(OR(BG813=DATA_CLEANED!AK804,BG813=DATA_CLEANED!AN804,BG813="MATCH NUL"),"OK","ERREUR")</f>
        <v>OK</v>
      </c>
    </row>
    <row r="814" spans="2:61">
      <c r="B814" s="75">
        <v>377</v>
      </c>
      <c r="C814" s="15" t="str">
        <v>Jason Geria</v>
      </c>
      <c r="D814" s="15">
        <v>33</v>
      </c>
      <c r="E814" s="15" t="str">
        <v>Australia</v>
      </c>
      <c r="F814" s="15" t="str">
        <v>RB</v>
      </c>
      <c r="G814" s="15" t="str">
        <v>Albirex Niigata</v>
      </c>
      <c r="H814" s="15">
        <v>6</v>
      </c>
      <c r="I814" s="15" t="str">
        <f t="shared" si="69"/>
        <v>377|Jason Geria|33|Australia|RB|Albirex Niigata|6</v>
      </c>
      <c r="J814" s="15" t="str">
        <f>IF(COUNTIF(I$438:I814,I814)&gt;1,"DOUBLON","OK")</f>
        <v>OK</v>
      </c>
      <c r="S814" s="30" t="str">
        <v>Republic of Ireland</v>
      </c>
      <c r="T814" s="30" t="str">
        <f t="shared" si="70"/>
        <v>ERREUR</v>
      </c>
      <c r="U814" s="30" t="str">
        <f t="shared" si="71"/>
        <v>RENOMMER</v>
      </c>
      <c r="V814" s="30" t="str" cm="1">
        <f t="array" ref="V814">_xlfn.IFS(
ISNUMBER(SEARCH("USA",S814)),"United States",
ISNUMBER(SEARCH("Republic of Korea",S814)),"South Korea",
ISNUMBER(SEARCH("Cape Verde",S814)),"Cabo Verde",
ISNUMBER(SEARCH("Czechia",S814)),"Czech Republic",
ISNUMBER(SEARCH("Türkiye",S814)),"Turkey",
ISNUMBER(SEARCH("Ivory Coast",S814)),"Côte d'Ivoire",
ISNUMBER(SEARCH("Korea Republic",S814)),"South Korea",
ISNUMBER(SEARCH("Germany FR",S814)),"FR Germany",
ISNUMBER(SEARCH("West Germany",S814)),"FR Germany",
ISNUMBER(SEARCH("Germany DR",S814)),"DR Germany",
ISNUMBER(SEARCH("Korea DPR",S814)),"North Korea",
ISNUMBER(SEARCH("China PR",S814)),"China",
ISNUMBER(SEARCH("IR Iran",S814)),"Iran",
ISNUMBER(SEARCH("Congo DR",S814)),"Democratic Republic of the Congo",
ISNUMBER(SEARCH("DR Congo",S814)),"Democratic Republic of the Congo",
ISNUMBER(SEARCH("German DR",S814)),"DR Germany",
ISNUMBER(SEARCH("rn""&gt;United Arab Emirates",S814)),"United Arab Emirates",
ISNUMBER(SEARCH("rn""&gt;Republic of Ireland",S814)),"Ireland",
ISNUMBER(SEARCH("rn""&gt;Bosnia and Herzegovina",S814)),"Bosnia and Herzegovina",
ISNUMBER(SEARCH("rn""&gt;Trinidad and Tobago",S814)),"Trinidad and Tobago",
ISNUMBER(SEARCH("rn""&gt;Serbia and Montenegro",S814)),"Serbia and Montenegro",
ISNUMBER(SEARCH(_xlfn.UNICHAR(65533),S814)),"Côte d'Ivoire",
TRUE,""
)</f>
        <v/>
      </c>
      <c r="W814" s="30" t="str">
        <f t="shared" si="72"/>
        <v>Republic of Ireland</v>
      </c>
      <c r="Z814" s="40" t="str">
        <v>Arena Fonte Nova</v>
      </c>
      <c r="AA814" s="40" t="str" cm="1">
        <f t="array" ref="AA814">IFERROR(_xlfn.XLOOKUP(Z814,_xlfn.ANCHORARRAY(Z$31),AA$31:AA$37),Z814)</f>
        <v>Arena Fonte Nova</v>
      </c>
      <c r="AB814" s="42" t="str">
        <v xml:space="preserve">Salvador </v>
      </c>
      <c r="AC814" s="89" t="str">
        <f t="shared" si="73"/>
        <v xml:space="preserve">Salvador </v>
      </c>
      <c r="AE814" s="42">
        <v>2010</v>
      </c>
      <c r="AK814" s="42">
        <v>1</v>
      </c>
      <c r="AL814" s="42">
        <v>0</v>
      </c>
      <c r="AW814" s="89" t="str">
        <v>GROUP_STAGE</v>
      </c>
      <c r="BE814" s="43" t="str">
        <f>IF(OR(DATA_CLEANED!AL805="",DATA_CLEANED!AM805=""),"MANQUANT",IF(OR(NOT(ISNUMBER(DATA_CLEANED!AL805)),NOT(ISNUMBER(DATA_CLEANED!AM805))),"ENTREE INVALIDE",IF(OR(DATA_CLEANED!AL805&lt;0,DATA_CLEANED!AM805&lt;0),"SCORE NEGATIF","OK")))</f>
        <v>OK</v>
      </c>
      <c r="BF814" s="43" t="str">
        <f>IF(DATA_CLEANED!AK805&lt;&gt;DATA_CLEANED!AN805,"OK","ERREUR")</f>
        <v>OK</v>
      </c>
      <c r="BG814" s="43" t="str">
        <f>IF(DATA_CLEANED!AL805&gt;DATA_CLEANED!AM805,DATA_CLEANED!AK805,IF(AND(DATA_QUALITE!W5291="-",DATA_CLEANED!AM805=DATA_CLEANED!AL805),"MATCH NUL",IF(AND(DATA_QUALITE!V5291="-",DATA_QUALITE!U5291="AUCUNE"),DATA_QUALITE!T5291,IF(DATA_QUALITE!V5291&lt;&gt;"-",DATA_QUALITE!V5291,DATA_CLEANED!AN805))))</f>
        <v>Algeria</v>
      </c>
      <c r="BH814" s="103" t="str">
        <f>IF(AND(BG814="MATCH NUL",DATA_CLEANED!AO805="-"),"MATCH_NUL",IF(ISNUMBER(SEARCH("win on penalties",W5291)),"WIN_BY_PENALTY",IF(ISNUMBER(SEARCH("win after extra time",W5291)),"WIN_BY_EXTRA_TIME",IF(ISNUMBER(SEARCH("Golden Goal",W5291)),"WIN_BY_GOLDEN_GOAL","WIN_BY_SCORE"))))</f>
        <v>WIN_BY_SCORE</v>
      </c>
      <c r="BI814" s="99" t="str">
        <f>IF(OR(BG814=DATA_CLEANED!AK805,BG814=DATA_CLEANED!AN805,BG814="MATCH NUL"),"OK","ERREUR")</f>
        <v>OK</v>
      </c>
    </row>
    <row r="815" spans="2:61">
      <c r="B815" s="75">
        <v>378</v>
      </c>
      <c r="C815" s="15" t="str">
        <v>Aiden O'Neill</v>
      </c>
      <c r="D815" s="15">
        <v>27</v>
      </c>
      <c r="E815" s="15" t="str">
        <v>Australia</v>
      </c>
      <c r="F815" s="15" t="str">
        <v>CDM</v>
      </c>
      <c r="G815" s="15" t="str">
        <v>New York City FC</v>
      </c>
      <c r="H815" s="15">
        <v>13</v>
      </c>
      <c r="I815" s="15" t="str">
        <f t="shared" si="69"/>
        <v>378|Aiden O'Neill|27|Australia|CDM|New York City FC|13</v>
      </c>
      <c r="J815" s="15" t="str">
        <f>IF(COUNTIF(I$438:I815,I815)&gt;1,"DOUBLON","OK")</f>
        <v>OK</v>
      </c>
      <c r="S815" s="30" t="str">
        <v>Romania</v>
      </c>
      <c r="T815" s="30" t="str">
        <f t="shared" si="70"/>
        <v>OK</v>
      </c>
      <c r="U815" s="30" t="str">
        <f t="shared" si="71"/>
        <v>-</v>
      </c>
      <c r="V815" s="30" t="str" cm="1">
        <f t="array" ref="V815">_xlfn.IFS(
ISNUMBER(SEARCH("USA",S815)),"United States",
ISNUMBER(SEARCH("Republic of Korea",S815)),"South Korea",
ISNUMBER(SEARCH("Cape Verde",S815)),"Cabo Verde",
ISNUMBER(SEARCH("Czechia",S815)),"Czech Republic",
ISNUMBER(SEARCH("Türkiye",S815)),"Turkey",
ISNUMBER(SEARCH("Ivory Coast",S815)),"Côte d'Ivoire",
ISNUMBER(SEARCH("Korea Republic",S815)),"South Korea",
ISNUMBER(SEARCH("Germany FR",S815)),"FR Germany",
ISNUMBER(SEARCH("West Germany",S815)),"FR Germany",
ISNUMBER(SEARCH("Germany DR",S815)),"DR Germany",
ISNUMBER(SEARCH("Korea DPR",S815)),"North Korea",
ISNUMBER(SEARCH("China PR",S815)),"China",
ISNUMBER(SEARCH("IR Iran",S815)),"Iran",
ISNUMBER(SEARCH("Congo DR",S815)),"Democratic Republic of the Congo",
ISNUMBER(SEARCH("DR Congo",S815)),"Democratic Republic of the Congo",
ISNUMBER(SEARCH("German DR",S815)),"DR Germany",
ISNUMBER(SEARCH("rn""&gt;United Arab Emirates",S815)),"United Arab Emirates",
ISNUMBER(SEARCH("rn""&gt;Republic of Ireland",S815)),"Ireland",
ISNUMBER(SEARCH("rn""&gt;Bosnia and Herzegovina",S815)),"Bosnia and Herzegovina",
ISNUMBER(SEARCH("rn""&gt;Trinidad and Tobago",S815)),"Trinidad and Tobago",
ISNUMBER(SEARCH("rn""&gt;Serbia and Montenegro",S815)),"Serbia and Montenegro",
ISNUMBER(SEARCH(_xlfn.UNICHAR(65533),S815)),"Côte d'Ivoire",
TRUE,""
)</f>
        <v/>
      </c>
      <c r="W815" s="30" t="str">
        <f t="shared" si="72"/>
        <v>Romania</v>
      </c>
      <c r="Z815" s="40" t="str">
        <v>Arena Pantanal</v>
      </c>
      <c r="AA815" s="40" t="str" cm="1">
        <f t="array" ref="AA815">IFERROR(_xlfn.XLOOKUP(Z815,_xlfn.ANCHORARRAY(Z$31),AA$31:AA$37),Z815)</f>
        <v>Arena Pantanal</v>
      </c>
      <c r="AB815" s="42" t="str">
        <v xml:space="preserve">Cuiaba </v>
      </c>
      <c r="AC815" s="89" t="str">
        <f t="shared" si="73"/>
        <v xml:space="preserve">Cuiaba </v>
      </c>
      <c r="AE815" s="42">
        <v>2010</v>
      </c>
      <c r="AK815" s="42">
        <v>1</v>
      </c>
      <c r="AL815" s="42">
        <v>1</v>
      </c>
      <c r="AW815" s="89" t="str">
        <v>GROUP_STAGE</v>
      </c>
      <c r="BE815" s="43" t="str">
        <f>IF(OR(DATA_CLEANED!AL806="",DATA_CLEANED!AM806=""),"MANQUANT",IF(OR(NOT(ISNUMBER(DATA_CLEANED!AL806)),NOT(ISNUMBER(DATA_CLEANED!AM806))),"ENTREE INVALIDE",IF(OR(DATA_CLEANED!AL806&lt;0,DATA_CLEANED!AM806&lt;0),"SCORE NEGATIF","OK")))</f>
        <v>OK</v>
      </c>
      <c r="BF815" s="43" t="str">
        <f>IF(DATA_CLEANED!AK806&lt;&gt;DATA_CLEANED!AN806,"OK","ERREUR")</f>
        <v>OK</v>
      </c>
      <c r="BG815" s="43" t="str">
        <f>IF(DATA_CLEANED!AL806&gt;DATA_CLEANED!AM806,DATA_CLEANED!AK806,IF(AND(DATA_QUALITE!W5292="-",DATA_CLEANED!AM806=DATA_CLEANED!AL806),"MATCH NUL",IF(AND(DATA_QUALITE!V5292="-",DATA_QUALITE!U5292="AUCUNE"),DATA_QUALITE!T5292,IF(DATA_QUALITE!V5292&lt;&gt;"-",DATA_QUALITE!V5292,DATA_CLEANED!AN806))))</f>
        <v>MATCH NUL</v>
      </c>
      <c r="BH815" s="103" t="str">
        <f>IF(AND(BG815="MATCH NUL",DATA_CLEANED!AO806="-"),"MATCH_NUL",IF(ISNUMBER(SEARCH("win on penalties",W5292)),"WIN_BY_PENALTY",IF(ISNUMBER(SEARCH("win after extra time",W5292)),"WIN_BY_EXTRA_TIME",IF(ISNUMBER(SEARCH("Golden Goal",W5292)),"WIN_BY_GOLDEN_GOAL","WIN_BY_SCORE"))))</f>
        <v>MATCH_NUL</v>
      </c>
      <c r="BI815" s="99" t="str">
        <f>IF(OR(BG815=DATA_CLEANED!AK806,BG815=DATA_CLEANED!AN806,BG815="MATCH NUL"),"OK","ERREUR")</f>
        <v>OK</v>
      </c>
    </row>
    <row r="816" spans="2:61">
      <c r="B816" s="75">
        <v>379</v>
      </c>
      <c r="C816" s="15" t="str">
        <v>Cammy Devlin</v>
      </c>
      <c r="D816" s="15">
        <v>28</v>
      </c>
      <c r="E816" s="15" t="str">
        <v>Australia</v>
      </c>
      <c r="F816" s="15" t="str">
        <v>CDM</v>
      </c>
      <c r="G816" s="15" t="str">
        <v>Heart of Midlothian</v>
      </c>
      <c r="H816" s="15">
        <v>14</v>
      </c>
      <c r="I816" s="15" t="str">
        <f t="shared" si="69"/>
        <v>379|Cammy Devlin|28|Australia|CDM|Heart of Midlothian|14</v>
      </c>
      <c r="J816" s="15" t="str">
        <f>IF(COUNTIF(I$438:I816,I816)&gt;1,"DOUBLON","OK")</f>
        <v>OK</v>
      </c>
      <c r="S816" s="30" t="str">
        <v>Argentina</v>
      </c>
      <c r="T816" s="30" t="str">
        <f t="shared" si="70"/>
        <v>OK</v>
      </c>
      <c r="U816" s="30" t="str">
        <f t="shared" si="71"/>
        <v>-</v>
      </c>
      <c r="V816" s="30" t="str" cm="1">
        <f t="array" ref="V816">_xlfn.IFS(
ISNUMBER(SEARCH("USA",S816)),"United States",
ISNUMBER(SEARCH("Republic of Korea",S816)),"South Korea",
ISNUMBER(SEARCH("Cape Verde",S816)),"Cabo Verde",
ISNUMBER(SEARCH("Czechia",S816)),"Czech Republic",
ISNUMBER(SEARCH("Türkiye",S816)),"Turkey",
ISNUMBER(SEARCH("Ivory Coast",S816)),"Côte d'Ivoire",
ISNUMBER(SEARCH("Korea Republic",S816)),"South Korea",
ISNUMBER(SEARCH("Germany FR",S816)),"FR Germany",
ISNUMBER(SEARCH("West Germany",S816)),"FR Germany",
ISNUMBER(SEARCH("Germany DR",S816)),"DR Germany",
ISNUMBER(SEARCH("Korea DPR",S816)),"North Korea",
ISNUMBER(SEARCH("China PR",S816)),"China",
ISNUMBER(SEARCH("IR Iran",S816)),"Iran",
ISNUMBER(SEARCH("Congo DR",S816)),"Democratic Republic of the Congo",
ISNUMBER(SEARCH("DR Congo",S816)),"Democratic Republic of the Congo",
ISNUMBER(SEARCH("German DR",S816)),"DR Germany",
ISNUMBER(SEARCH("rn""&gt;United Arab Emirates",S816)),"United Arab Emirates",
ISNUMBER(SEARCH("rn""&gt;Republic of Ireland",S816)),"Ireland",
ISNUMBER(SEARCH("rn""&gt;Bosnia and Herzegovina",S816)),"Bosnia and Herzegovina",
ISNUMBER(SEARCH("rn""&gt;Trinidad and Tobago",S816)),"Trinidad and Tobago",
ISNUMBER(SEARCH("rn""&gt;Serbia and Montenegro",S816)),"Serbia and Montenegro",
ISNUMBER(SEARCH(_xlfn.UNICHAR(65533),S816)),"Côte d'Ivoire",
TRUE,""
)</f>
        <v/>
      </c>
      <c r="W816" s="30" t="str">
        <f t="shared" si="72"/>
        <v>Argentina</v>
      </c>
      <c r="Z816" s="40" t="str">
        <v>Estadio Mineirao</v>
      </c>
      <c r="AA816" s="40" t="str" cm="1">
        <f t="array" ref="AA816">IFERROR(_xlfn.XLOOKUP(Z816,_xlfn.ANCHORARRAY(Z$31),AA$31:AA$37),Z816)</f>
        <v>Estadio Mineirao</v>
      </c>
      <c r="AB816" s="42" t="str">
        <v xml:space="preserve">Belo Horizonte </v>
      </c>
      <c r="AC816" s="89" t="str">
        <f t="shared" si="73"/>
        <v xml:space="preserve">Belo Horizonte </v>
      </c>
      <c r="AE816" s="42">
        <v>2010</v>
      </c>
      <c r="AK816" s="42">
        <v>1</v>
      </c>
      <c r="AL816" s="42">
        <v>2</v>
      </c>
      <c r="AW816" s="89" t="str">
        <v>GROUP_STAGE</v>
      </c>
      <c r="BE816" s="43" t="str">
        <f>IF(OR(DATA_CLEANED!AL807="",DATA_CLEANED!AM807=""),"MANQUANT",IF(OR(NOT(ISNUMBER(DATA_CLEANED!AL807)),NOT(ISNUMBER(DATA_CLEANED!AM807))),"ENTREE INVALIDE",IF(OR(DATA_CLEANED!AL807&lt;0,DATA_CLEANED!AM807&lt;0),"SCORE NEGATIF","OK")))</f>
        <v>OK</v>
      </c>
      <c r="BF816" s="43" t="str">
        <f>IF(DATA_CLEANED!AK807&lt;&gt;DATA_CLEANED!AN807,"OK","ERREUR")</f>
        <v>OK</v>
      </c>
      <c r="BG816" s="43" t="str">
        <f>IF(DATA_CLEANED!AL807&gt;DATA_CLEANED!AM807,DATA_CLEANED!AK807,IF(AND(DATA_QUALITE!W5293="-",DATA_CLEANED!AM807=DATA_CLEANED!AL807),"MATCH NUL",IF(AND(DATA_QUALITE!V5293="-",DATA_QUALITE!U5293="AUCUNE"),DATA_QUALITE!T5293,IF(DATA_QUALITE!V5293&lt;&gt;"-",DATA_QUALITE!V5293,DATA_CLEANED!AN807))))</f>
        <v>Spain</v>
      </c>
      <c r="BH816" s="103" t="str">
        <f>IF(AND(BG816="MATCH NUL",DATA_CLEANED!AO807="-"),"MATCH_NUL",IF(ISNUMBER(SEARCH("win on penalties",W5293)),"WIN_BY_PENALTY",IF(ISNUMBER(SEARCH("win after extra time",W5293)),"WIN_BY_EXTRA_TIME",IF(ISNUMBER(SEARCH("Golden Goal",W5293)),"WIN_BY_GOLDEN_GOAL","WIN_BY_SCORE"))))</f>
        <v>WIN_BY_SCORE</v>
      </c>
      <c r="BI816" s="99" t="str">
        <f>IF(OR(BG816=DATA_CLEANED!AK807,BG816=DATA_CLEANED!AN807,BG816="MATCH NUL"),"OK","ERREUR")</f>
        <v>OK</v>
      </c>
    </row>
    <row r="817" spans="2:61">
      <c r="B817" s="75">
        <v>380</v>
      </c>
      <c r="C817" s="15" t="str">
        <v>Connor Metcalfe</v>
      </c>
      <c r="D817" s="15">
        <v>26</v>
      </c>
      <c r="E817" s="15" t="str">
        <v>Australia</v>
      </c>
      <c r="F817" s="15" t="str">
        <v>CM</v>
      </c>
      <c r="G817" s="15" t="str">
        <v>FC St. Pauli</v>
      </c>
      <c r="H817" s="15">
        <v>8</v>
      </c>
      <c r="I817" s="15" t="str">
        <f t="shared" si="69"/>
        <v>380|Connor Metcalfe|26|Australia|CM|FC St. Pauli|8</v>
      </c>
      <c r="J817" s="15" t="str">
        <f>IF(COUNTIF(I$438:I817,I817)&gt;1,"DOUBLON","OK")</f>
        <v>OK</v>
      </c>
      <c r="S817" s="30" t="str">
        <v>Yugoslavia</v>
      </c>
      <c r="T817" s="30" t="str">
        <f t="shared" si="70"/>
        <v>ERREUR</v>
      </c>
      <c r="U817" s="30" t="str">
        <f t="shared" si="71"/>
        <v>AUCUNE</v>
      </c>
      <c r="V817" s="30" t="str" cm="1">
        <f t="array" ref="V817">_xlfn.IFS(
ISNUMBER(SEARCH("USA",S817)),"United States",
ISNUMBER(SEARCH("Republic of Korea",S817)),"South Korea",
ISNUMBER(SEARCH("Cape Verde",S817)),"Cabo Verde",
ISNUMBER(SEARCH("Czechia",S817)),"Czech Republic",
ISNUMBER(SEARCH("Türkiye",S817)),"Turkey",
ISNUMBER(SEARCH("Ivory Coast",S817)),"Côte d'Ivoire",
ISNUMBER(SEARCH("Korea Republic",S817)),"South Korea",
ISNUMBER(SEARCH("Germany FR",S817)),"FR Germany",
ISNUMBER(SEARCH("West Germany",S817)),"FR Germany",
ISNUMBER(SEARCH("Germany DR",S817)),"DR Germany",
ISNUMBER(SEARCH("Korea DPR",S817)),"North Korea",
ISNUMBER(SEARCH("China PR",S817)),"China",
ISNUMBER(SEARCH("IR Iran",S817)),"Iran",
ISNUMBER(SEARCH("Congo DR",S817)),"Democratic Republic of the Congo",
ISNUMBER(SEARCH("DR Congo",S817)),"Democratic Republic of the Congo",
ISNUMBER(SEARCH("German DR",S817)),"DR Germany",
ISNUMBER(SEARCH("rn""&gt;United Arab Emirates",S817)),"United Arab Emirates",
ISNUMBER(SEARCH("rn""&gt;Republic of Ireland",S817)),"Ireland",
ISNUMBER(SEARCH("rn""&gt;Bosnia and Herzegovina",S817)),"Bosnia and Herzegovina",
ISNUMBER(SEARCH("rn""&gt;Trinidad and Tobago",S817)),"Trinidad and Tobago",
ISNUMBER(SEARCH("rn""&gt;Serbia and Montenegro",S817)),"Serbia and Montenegro",
ISNUMBER(SEARCH(_xlfn.UNICHAR(65533),S817)),"Côte d'Ivoire",
TRUE,""
)</f>
        <v/>
      </c>
      <c r="W817" s="30" t="str">
        <f t="shared" si="72"/>
        <v>Yugoslavia</v>
      </c>
      <c r="Z817" s="40" t="str">
        <v>Estadio Castelao</v>
      </c>
      <c r="AA817" s="40" t="str" cm="1">
        <f t="array" ref="AA817">IFERROR(_xlfn.XLOOKUP(Z817,_xlfn.ANCHORARRAY(Z$31),AA$31:AA$37),Z817)</f>
        <v>Estadio Castelao</v>
      </c>
      <c r="AB817" s="42" t="str">
        <v xml:space="preserve">Fortaleza </v>
      </c>
      <c r="AC817" s="89" t="str">
        <f t="shared" si="73"/>
        <v xml:space="preserve">Fortaleza </v>
      </c>
      <c r="AE817" s="42">
        <v>2010</v>
      </c>
      <c r="AK817" s="42">
        <v>0</v>
      </c>
      <c r="AL817" s="42">
        <v>2</v>
      </c>
      <c r="AW817" s="89" t="str">
        <v>GROUP_STAGE</v>
      </c>
      <c r="BE817" s="43" t="str">
        <f>IF(OR(DATA_CLEANED!AL808="",DATA_CLEANED!AM808=""),"MANQUANT",IF(OR(NOT(ISNUMBER(DATA_CLEANED!AL808)),NOT(ISNUMBER(DATA_CLEANED!AM808))),"ENTREE INVALIDE",IF(OR(DATA_CLEANED!AL808&lt;0,DATA_CLEANED!AM808&lt;0),"SCORE NEGATIF","OK")))</f>
        <v>OK</v>
      </c>
      <c r="BF817" s="43" t="str">
        <f>IF(DATA_CLEANED!AK808&lt;&gt;DATA_CLEANED!AN808,"OK","ERREUR")</f>
        <v>OK</v>
      </c>
      <c r="BG817" s="43" t="str">
        <f>IF(DATA_CLEANED!AL808&gt;DATA_CLEANED!AM808,DATA_CLEANED!AK808,IF(AND(DATA_QUALITE!W5294="-",DATA_CLEANED!AM808=DATA_CLEANED!AL808),"MATCH NUL",IF(AND(DATA_QUALITE!V5294="-",DATA_QUALITE!U5294="AUCUNE"),DATA_QUALITE!T5294,IF(DATA_QUALITE!V5294&lt;&gt;"-",DATA_QUALITE!V5294,DATA_CLEANED!AN808))))</f>
        <v>Netherlands</v>
      </c>
      <c r="BH817" s="103" t="str">
        <f>IF(AND(BG817="MATCH NUL",DATA_CLEANED!AO808="-"),"MATCH_NUL",IF(ISNUMBER(SEARCH("win on penalties",W5294)),"WIN_BY_PENALTY",IF(ISNUMBER(SEARCH("win after extra time",W5294)),"WIN_BY_EXTRA_TIME",IF(ISNUMBER(SEARCH("Golden Goal",W5294)),"WIN_BY_GOLDEN_GOAL","WIN_BY_SCORE"))))</f>
        <v>WIN_BY_SCORE</v>
      </c>
      <c r="BI817" s="99" t="str">
        <f>IF(OR(BG817=DATA_CLEANED!AK808,BG817=DATA_CLEANED!AN808,BG817="MATCH NUL"),"OK","ERREUR")</f>
        <v>OK</v>
      </c>
    </row>
    <row r="818" spans="2:61">
      <c r="B818" s="75">
        <v>381</v>
      </c>
      <c r="C818" s="15" t="str">
        <v>Jackson Irvine</v>
      </c>
      <c r="D818" s="15">
        <v>33</v>
      </c>
      <c r="E818" s="15" t="str">
        <v>Australia</v>
      </c>
      <c r="F818" s="15" t="str">
        <v>CM</v>
      </c>
      <c r="G818" s="15" t="str">
        <v>FC St. Pauli</v>
      </c>
      <c r="H818" s="15">
        <v>22</v>
      </c>
      <c r="I818" s="15" t="str">
        <f t="shared" si="69"/>
        <v>381|Jackson Irvine|33|Australia|CM|FC St. Pauli|22</v>
      </c>
      <c r="J818" s="15" t="str">
        <f>IF(COUNTIF(I$438:I818,I818)&gt;1,"DOUBLON","OK")</f>
        <v>OK</v>
      </c>
      <c r="S818" s="30" t="str">
        <v>Argentina</v>
      </c>
      <c r="T818" s="30" t="str">
        <f t="shared" si="70"/>
        <v>OK</v>
      </c>
      <c r="U818" s="30" t="str">
        <f t="shared" si="71"/>
        <v>-</v>
      </c>
      <c r="V818" s="30" t="str" cm="1">
        <f t="array" ref="V818">_xlfn.IFS(
ISNUMBER(SEARCH("USA",S818)),"United States",
ISNUMBER(SEARCH("Republic of Korea",S818)),"South Korea",
ISNUMBER(SEARCH("Cape Verde",S818)),"Cabo Verde",
ISNUMBER(SEARCH("Czechia",S818)),"Czech Republic",
ISNUMBER(SEARCH("Türkiye",S818)),"Turkey",
ISNUMBER(SEARCH("Ivory Coast",S818)),"Côte d'Ivoire",
ISNUMBER(SEARCH("Korea Republic",S818)),"South Korea",
ISNUMBER(SEARCH("Germany FR",S818)),"FR Germany",
ISNUMBER(SEARCH("West Germany",S818)),"FR Germany",
ISNUMBER(SEARCH("Germany DR",S818)),"DR Germany",
ISNUMBER(SEARCH("Korea DPR",S818)),"North Korea",
ISNUMBER(SEARCH("China PR",S818)),"China",
ISNUMBER(SEARCH("IR Iran",S818)),"Iran",
ISNUMBER(SEARCH("Congo DR",S818)),"Democratic Republic of the Congo",
ISNUMBER(SEARCH("DR Congo",S818)),"Democratic Republic of the Congo",
ISNUMBER(SEARCH("German DR",S818)),"DR Germany",
ISNUMBER(SEARCH("rn""&gt;United Arab Emirates",S818)),"United Arab Emirates",
ISNUMBER(SEARCH("rn""&gt;Republic of Ireland",S818)),"Ireland",
ISNUMBER(SEARCH("rn""&gt;Bosnia and Herzegovina",S818)),"Bosnia and Herzegovina",
ISNUMBER(SEARCH("rn""&gt;Trinidad and Tobago",S818)),"Trinidad and Tobago",
ISNUMBER(SEARCH("rn""&gt;Serbia and Montenegro",S818)),"Serbia and Montenegro",
ISNUMBER(SEARCH(_xlfn.UNICHAR(65533),S818)),"Côte d'Ivoire",
TRUE,""
)</f>
        <v/>
      </c>
      <c r="W818" s="30" t="str">
        <f t="shared" si="72"/>
        <v>Argentina</v>
      </c>
      <c r="Z818" s="40" t="str">
        <v>Arena Amazonia</v>
      </c>
      <c r="AA818" s="40" t="str" cm="1">
        <f t="array" ref="AA818">IFERROR(_xlfn.XLOOKUP(Z818,_xlfn.ANCHORARRAY(Z$31),AA$31:AA$37),Z818)</f>
        <v>Arena Amazonia</v>
      </c>
      <c r="AB818" s="42" t="str">
        <v xml:space="preserve">Manaus </v>
      </c>
      <c r="AC818" s="89" t="str">
        <f t="shared" si="73"/>
        <v xml:space="preserve">Manaus </v>
      </c>
      <c r="AE818" s="42">
        <v>2010</v>
      </c>
      <c r="AK818" s="42">
        <v>1</v>
      </c>
      <c r="AL818" s="42">
        <v>1</v>
      </c>
      <c r="AW818" s="89" t="str">
        <v>GROUP_STAGE</v>
      </c>
      <c r="BE818" s="43" t="str">
        <f>IF(OR(DATA_CLEANED!AL809="",DATA_CLEANED!AM809=""),"MANQUANT",IF(OR(NOT(ISNUMBER(DATA_CLEANED!AL809)),NOT(ISNUMBER(DATA_CLEANED!AM809))),"ENTREE INVALIDE",IF(OR(DATA_CLEANED!AL809&lt;0,DATA_CLEANED!AM809&lt;0),"SCORE NEGATIF","OK")))</f>
        <v>OK</v>
      </c>
      <c r="BF818" s="43" t="str">
        <f>IF(DATA_CLEANED!AK809&lt;&gt;DATA_CLEANED!AN809,"OK","ERREUR")</f>
        <v>OK</v>
      </c>
      <c r="BG818" s="43" t="str">
        <f>IF(DATA_CLEANED!AL809&gt;DATA_CLEANED!AM809,DATA_CLEANED!AK809,IF(AND(DATA_QUALITE!W5295="-",DATA_CLEANED!AM809=DATA_CLEANED!AL809),"MATCH NUL",IF(AND(DATA_QUALITE!V5295="-",DATA_QUALITE!U5295="AUCUNE"),DATA_QUALITE!T5295,IF(DATA_QUALITE!V5295&lt;&gt;"-",DATA_QUALITE!V5295,DATA_CLEANED!AN809))))</f>
        <v>Brazil</v>
      </c>
      <c r="BH818" s="103" t="str">
        <f>IF(AND(BG818="MATCH NUL",DATA_CLEANED!AO809="-"),"MATCH_NUL",IF(ISNUMBER(SEARCH("win on penalties",W5295)),"WIN_BY_PENALTY",IF(ISNUMBER(SEARCH("win after extra time",W5295)),"WIN_BY_EXTRA_TIME",IF(ISNUMBER(SEARCH("Golden Goal",W5295)),"WIN_BY_GOLDEN_GOAL","WIN_BY_SCORE"))))</f>
        <v>WIN_BY_SCORE</v>
      </c>
      <c r="BI818" s="99" t="str">
        <f>IF(OR(BG818=DATA_CLEANED!AK809,BG818=DATA_CLEANED!AN809,BG818="MATCH NUL"),"OK","ERREUR")</f>
        <v>OK</v>
      </c>
    </row>
    <row r="819" spans="2:61">
      <c r="B819" s="75">
        <v>382</v>
      </c>
      <c r="C819" s="15" t="str">
        <v>Paul Okon-Engstler</v>
      </c>
      <c r="D819" s="15">
        <v>21</v>
      </c>
      <c r="E819" s="15" t="str">
        <v>Australia</v>
      </c>
      <c r="F819" s="15" t="str">
        <v>CM</v>
      </c>
      <c r="G819" s="15" t="str">
        <v>Sydney FC</v>
      </c>
      <c r="H819" s="15">
        <v>24</v>
      </c>
      <c r="I819" s="15" t="str">
        <f t="shared" si="69"/>
        <v>382|Paul Okon-Engstler|21|Australia|CM|Sydney FC|24</v>
      </c>
      <c r="J819" s="15" t="str">
        <f>IF(COUNTIF(I$438:I819,I819)&gt;1,"DOUBLON","OK")</f>
        <v>OK</v>
      </c>
      <c r="S819" s="30" t="str">
        <v>Yugoslavia</v>
      </c>
      <c r="T819" s="30" t="str">
        <f t="shared" si="70"/>
        <v>ERREUR</v>
      </c>
      <c r="U819" s="30" t="str">
        <f t="shared" si="71"/>
        <v>AUCUNE</v>
      </c>
      <c r="V819" s="30" t="str" cm="1">
        <f t="array" ref="V819">_xlfn.IFS(
ISNUMBER(SEARCH("USA",S819)),"United States",
ISNUMBER(SEARCH("Republic of Korea",S819)),"South Korea",
ISNUMBER(SEARCH("Cape Verde",S819)),"Cabo Verde",
ISNUMBER(SEARCH("Czechia",S819)),"Czech Republic",
ISNUMBER(SEARCH("Türkiye",S819)),"Turkey",
ISNUMBER(SEARCH("Ivory Coast",S819)),"Côte d'Ivoire",
ISNUMBER(SEARCH("Korea Republic",S819)),"South Korea",
ISNUMBER(SEARCH("Germany FR",S819)),"FR Germany",
ISNUMBER(SEARCH("West Germany",S819)),"FR Germany",
ISNUMBER(SEARCH("Germany DR",S819)),"DR Germany",
ISNUMBER(SEARCH("Korea DPR",S819)),"North Korea",
ISNUMBER(SEARCH("China PR",S819)),"China",
ISNUMBER(SEARCH("IR Iran",S819)),"Iran",
ISNUMBER(SEARCH("Congo DR",S819)),"Democratic Republic of the Congo",
ISNUMBER(SEARCH("DR Congo",S819)),"Democratic Republic of the Congo",
ISNUMBER(SEARCH("German DR",S819)),"DR Germany",
ISNUMBER(SEARCH("rn""&gt;United Arab Emirates",S819)),"United Arab Emirates",
ISNUMBER(SEARCH("rn""&gt;Republic of Ireland",S819)),"Ireland",
ISNUMBER(SEARCH("rn""&gt;Bosnia and Herzegovina",S819)),"Bosnia and Herzegovina",
ISNUMBER(SEARCH("rn""&gt;Trinidad and Tobago",S819)),"Trinidad and Tobago",
ISNUMBER(SEARCH("rn""&gt;Serbia and Montenegro",S819)),"Serbia and Montenegro",
ISNUMBER(SEARCH(_xlfn.UNICHAR(65533),S819)),"Côte d'Ivoire",
TRUE,""
)</f>
        <v/>
      </c>
      <c r="W819" s="30" t="str">
        <f t="shared" si="72"/>
        <v>Yugoslavia</v>
      </c>
      <c r="Z819" s="40" t="str">
        <v>Arena Pernambuco</v>
      </c>
      <c r="AA819" s="40" t="str" cm="1">
        <f t="array" ref="AA819">IFERROR(_xlfn.XLOOKUP(Z819,_xlfn.ANCHORARRAY(Z$31),AA$31:AA$37),Z819)</f>
        <v>Arena Pernambuco</v>
      </c>
      <c r="AB819" s="42" t="str">
        <v xml:space="preserve">Recife </v>
      </c>
      <c r="AC819" s="89" t="str">
        <f t="shared" si="73"/>
        <v xml:space="preserve">Recife </v>
      </c>
      <c r="AE819" s="42">
        <v>2010</v>
      </c>
      <c r="AK819" s="42">
        <v>3</v>
      </c>
      <c r="AL819" s="42">
        <v>1</v>
      </c>
      <c r="AW819" s="89" t="str">
        <v>GROUP_STAGE</v>
      </c>
      <c r="BE819" s="43" t="str">
        <f>IF(OR(DATA_CLEANED!AL810="",DATA_CLEANED!AM810=""),"MANQUANT",IF(OR(NOT(ISNUMBER(DATA_CLEANED!AL810)),NOT(ISNUMBER(DATA_CLEANED!AM810))),"ENTREE INVALIDE",IF(OR(DATA_CLEANED!AL810&lt;0,DATA_CLEANED!AM810&lt;0),"SCORE NEGATIF","OK")))</f>
        <v>OK</v>
      </c>
      <c r="BF819" s="43" t="str">
        <f>IF(DATA_CLEANED!AK810&lt;&gt;DATA_CLEANED!AN810,"OK","ERREUR")</f>
        <v>OK</v>
      </c>
      <c r="BG819" s="43" t="str">
        <f>IF(DATA_CLEANED!AL810&gt;DATA_CLEANED!AM810,DATA_CLEANED!AK810,IF(AND(DATA_QUALITE!W5296="-",DATA_CLEANED!AM810=DATA_CLEANED!AL810),"MATCH NUL",IF(AND(DATA_QUALITE!V5296="-",DATA_QUALITE!U5296="AUCUNE"),DATA_QUALITE!T5296,IF(DATA_QUALITE!V5296&lt;&gt;"-",DATA_QUALITE!V5296,DATA_CLEANED!AN810))))</f>
        <v>Mexico</v>
      </c>
      <c r="BH819" s="103" t="str">
        <f>IF(AND(BG819="MATCH NUL",DATA_CLEANED!AO810="-"),"MATCH_NUL",IF(ISNUMBER(SEARCH("win on penalties",W5296)),"WIN_BY_PENALTY",IF(ISNUMBER(SEARCH("win after extra time",W5296)),"WIN_BY_EXTRA_TIME",IF(ISNUMBER(SEARCH("Golden Goal",W5296)),"WIN_BY_GOLDEN_GOAL","WIN_BY_SCORE"))))</f>
        <v>WIN_BY_SCORE</v>
      </c>
      <c r="BI819" s="99" t="str">
        <f>IF(OR(BG819=DATA_CLEANED!AK810,BG819=DATA_CLEANED!AN810,BG819="MATCH NUL"),"OK","ERREUR")</f>
        <v>OK</v>
      </c>
    </row>
    <row r="820" spans="2:61">
      <c r="B820" s="75">
        <v>383</v>
      </c>
      <c r="C820" s="15" t="str">
        <v>Ajdin Hrustic</v>
      </c>
      <c r="D820" s="15">
        <v>29</v>
      </c>
      <c r="E820" s="15" t="str">
        <v>Australia</v>
      </c>
      <c r="F820" s="15" t="str">
        <v>CAM</v>
      </c>
      <c r="G820" s="15" t="str">
        <v>Heracles Almelo</v>
      </c>
      <c r="H820" s="15">
        <v>10</v>
      </c>
      <c r="I820" s="15" t="str">
        <f t="shared" si="69"/>
        <v>383|Ajdin Hrustic|29|Australia|CAM|Heracles Almelo|10</v>
      </c>
      <c r="J820" s="15" t="str">
        <f>IF(COUNTIF(I$438:I820,I820)&gt;1,"DOUBLON","OK")</f>
        <v>OK</v>
      </c>
      <c r="S820" s="30" t="str">
        <v>Argentina</v>
      </c>
      <c r="T820" s="30" t="str">
        <f t="shared" si="70"/>
        <v>OK</v>
      </c>
      <c r="U820" s="30" t="str">
        <f t="shared" si="71"/>
        <v>-</v>
      </c>
      <c r="V820" s="30" t="str" cm="1">
        <f t="array" ref="V820">_xlfn.IFS(
ISNUMBER(SEARCH("USA",S820)),"United States",
ISNUMBER(SEARCH("Republic of Korea",S820)),"South Korea",
ISNUMBER(SEARCH("Cape Verde",S820)),"Cabo Verde",
ISNUMBER(SEARCH("Czechia",S820)),"Czech Republic",
ISNUMBER(SEARCH("Türkiye",S820)),"Turkey",
ISNUMBER(SEARCH("Ivory Coast",S820)),"Côte d'Ivoire",
ISNUMBER(SEARCH("Korea Republic",S820)),"South Korea",
ISNUMBER(SEARCH("Germany FR",S820)),"FR Germany",
ISNUMBER(SEARCH("West Germany",S820)),"FR Germany",
ISNUMBER(SEARCH("Germany DR",S820)),"DR Germany",
ISNUMBER(SEARCH("Korea DPR",S820)),"North Korea",
ISNUMBER(SEARCH("China PR",S820)),"China",
ISNUMBER(SEARCH("IR Iran",S820)),"Iran",
ISNUMBER(SEARCH("Congo DR",S820)),"Democratic Republic of the Congo",
ISNUMBER(SEARCH("DR Congo",S820)),"Democratic Republic of the Congo",
ISNUMBER(SEARCH("German DR",S820)),"DR Germany",
ISNUMBER(SEARCH("rn""&gt;United Arab Emirates",S820)),"United Arab Emirates",
ISNUMBER(SEARCH("rn""&gt;Republic of Ireland",S820)),"Ireland",
ISNUMBER(SEARCH("rn""&gt;Bosnia and Herzegovina",S820)),"Bosnia and Herzegovina",
ISNUMBER(SEARCH("rn""&gt;Trinidad and Tobago",S820)),"Trinidad and Tobago",
ISNUMBER(SEARCH("rn""&gt;Serbia and Montenegro",S820)),"Serbia and Montenegro",
ISNUMBER(SEARCH(_xlfn.UNICHAR(65533),S820)),"Côte d'Ivoire",
TRUE,""
)</f>
        <v/>
      </c>
      <c r="W820" s="30" t="str">
        <f t="shared" si="72"/>
        <v>Argentina</v>
      </c>
      <c r="Z820" s="40" t="str">
        <v>Estadio Nacional</v>
      </c>
      <c r="AA820" s="40" t="str" cm="1">
        <f t="array" ref="AA820">IFERROR(_xlfn.XLOOKUP(Z820,_xlfn.ANCHORARRAY(Z$31),AA$31:AA$37),Z820)</f>
        <v>Estadio Nacional</v>
      </c>
      <c r="AB820" s="42" t="str">
        <v xml:space="preserve">Brasilia </v>
      </c>
      <c r="AC820" s="89" t="str">
        <f t="shared" si="73"/>
        <v xml:space="preserve">Brasilia </v>
      </c>
      <c r="AE820" s="42">
        <v>2010</v>
      </c>
      <c r="AK820" s="42">
        <v>7</v>
      </c>
      <c r="AL820" s="42">
        <v>0</v>
      </c>
      <c r="AW820" s="89" t="str">
        <v>GROUP_STAGE</v>
      </c>
      <c r="BE820" s="43" t="str">
        <f>IF(OR(DATA_CLEANED!AL811="",DATA_CLEANED!AM811=""),"MANQUANT",IF(OR(NOT(ISNUMBER(DATA_CLEANED!AL811)),NOT(ISNUMBER(DATA_CLEANED!AM811))),"ENTREE INVALIDE",IF(OR(DATA_CLEANED!AL811&lt;0,DATA_CLEANED!AM811&lt;0),"SCORE NEGATIF","OK")))</f>
        <v>OK</v>
      </c>
      <c r="BF820" s="43" t="str">
        <f>IF(DATA_CLEANED!AK811&lt;&gt;DATA_CLEANED!AN811,"OK","ERREUR")</f>
        <v>OK</v>
      </c>
      <c r="BG820" s="43" t="str">
        <f>IF(DATA_CLEANED!AL811&gt;DATA_CLEANED!AM811,DATA_CLEANED!AK811,IF(AND(DATA_QUALITE!W5297="-",DATA_CLEANED!AM811=DATA_CLEANED!AL811),"MATCH NUL",IF(AND(DATA_QUALITE!V5297="-",DATA_QUALITE!U5297="AUCUNE"),DATA_QUALITE!T5297,IF(DATA_QUALITE!V5297&lt;&gt;"-",DATA_QUALITE!V5297,DATA_CLEANED!AN811))))</f>
        <v>Uruguay</v>
      </c>
      <c r="BH820" s="103" t="str">
        <f>IF(AND(BG820="MATCH NUL",DATA_CLEANED!AO811="-"),"MATCH_NUL",IF(ISNUMBER(SEARCH("win on penalties",W5297)),"WIN_BY_PENALTY",IF(ISNUMBER(SEARCH("win after extra time",W5297)),"WIN_BY_EXTRA_TIME",IF(ISNUMBER(SEARCH("Golden Goal",W5297)),"WIN_BY_GOLDEN_GOAL","WIN_BY_SCORE"))))</f>
        <v>WIN_BY_SCORE</v>
      </c>
      <c r="BI820" s="99" t="str">
        <f>IF(OR(BG820=DATA_CLEANED!AK811,BG820=DATA_CLEANED!AN811,BG820="MATCH NUL"),"OK","ERREUR")</f>
        <v>OK</v>
      </c>
    </row>
    <row r="821" spans="2:61">
      <c r="B821" s="75">
        <v>384</v>
      </c>
      <c r="C821" s="15" t="str">
        <v>Mathew Leckie</v>
      </c>
      <c r="D821" s="15">
        <v>35</v>
      </c>
      <c r="E821" s="15" t="str">
        <v>Australia</v>
      </c>
      <c r="F821" s="15" t="str">
        <v>LW</v>
      </c>
      <c r="G821" s="15" t="str">
        <v>Melbourne City</v>
      </c>
      <c r="H821" s="15">
        <v>7</v>
      </c>
      <c r="I821" s="15" t="str">
        <f t="shared" si="69"/>
        <v>384|Mathew Leckie|35|Australia|LW|Melbourne City|7</v>
      </c>
      <c r="J821" s="15" t="str">
        <f>IF(COUNTIF(I$438:I821,I821)&gt;1,"DOUBLON","OK")</f>
        <v>OK</v>
      </c>
      <c r="S821" s="30" t="str">
        <v>Yugoslavia</v>
      </c>
      <c r="T821" s="30" t="str">
        <f t="shared" si="70"/>
        <v>ERREUR</v>
      </c>
      <c r="U821" s="30" t="str">
        <f t="shared" si="71"/>
        <v>AUCUNE</v>
      </c>
      <c r="V821" s="30" t="str" cm="1">
        <f t="array" ref="V821">_xlfn.IFS(
ISNUMBER(SEARCH("USA",S821)),"United States",
ISNUMBER(SEARCH("Republic of Korea",S821)),"South Korea",
ISNUMBER(SEARCH("Cape Verde",S821)),"Cabo Verde",
ISNUMBER(SEARCH("Czechia",S821)),"Czech Republic",
ISNUMBER(SEARCH("Türkiye",S821)),"Turkey",
ISNUMBER(SEARCH("Ivory Coast",S821)),"Côte d'Ivoire",
ISNUMBER(SEARCH("Korea Republic",S821)),"South Korea",
ISNUMBER(SEARCH("Germany FR",S821)),"FR Germany",
ISNUMBER(SEARCH("West Germany",S821)),"FR Germany",
ISNUMBER(SEARCH("Germany DR",S821)),"DR Germany",
ISNUMBER(SEARCH("Korea DPR",S821)),"North Korea",
ISNUMBER(SEARCH("China PR",S821)),"China",
ISNUMBER(SEARCH("IR Iran",S821)),"Iran",
ISNUMBER(SEARCH("Congo DR",S821)),"Democratic Republic of the Congo",
ISNUMBER(SEARCH("DR Congo",S821)),"Democratic Republic of the Congo",
ISNUMBER(SEARCH("German DR",S821)),"DR Germany",
ISNUMBER(SEARCH("rn""&gt;United Arab Emirates",S821)),"United Arab Emirates",
ISNUMBER(SEARCH("rn""&gt;Republic of Ireland",S821)),"Ireland",
ISNUMBER(SEARCH("rn""&gt;Bosnia and Herzegovina",S821)),"Bosnia and Herzegovina",
ISNUMBER(SEARCH("rn""&gt;Trinidad and Tobago",S821)),"Trinidad and Tobago",
ISNUMBER(SEARCH("rn""&gt;Serbia and Montenegro",S821)),"Serbia and Montenegro",
ISNUMBER(SEARCH(_xlfn.UNICHAR(65533),S821)),"Côte d'Ivoire",
TRUE,""
)</f>
        <v/>
      </c>
      <c r="W821" s="30" t="str">
        <f t="shared" si="72"/>
        <v>Yugoslavia</v>
      </c>
      <c r="Z821" s="40" t="str">
        <v>Estadio Beira-Rio</v>
      </c>
      <c r="AA821" s="40" t="str" cm="1">
        <f t="array" ref="AA821">IFERROR(_xlfn.XLOOKUP(Z821,_xlfn.ANCHORARRAY(Z$31),AA$31:AA$37),Z821)</f>
        <v>Estadio Beira-Rio</v>
      </c>
      <c r="AB821" s="42" t="str">
        <v xml:space="preserve">Porto Alegre </v>
      </c>
      <c r="AC821" s="89" t="str">
        <f t="shared" si="73"/>
        <v xml:space="preserve">Porto Alegre </v>
      </c>
      <c r="AE821" s="42">
        <v>2010</v>
      </c>
      <c r="AK821" s="42">
        <v>1</v>
      </c>
      <c r="AL821" s="42">
        <v>0</v>
      </c>
      <c r="AW821" s="89" t="str">
        <v>GROUP_STAGE</v>
      </c>
      <c r="BE821" s="43" t="str">
        <f>IF(OR(DATA_CLEANED!AL812="",DATA_CLEANED!AM812=""),"MANQUANT",IF(OR(NOT(ISNUMBER(DATA_CLEANED!AL812)),NOT(ISNUMBER(DATA_CLEANED!AM812))),"ENTREE INVALIDE",IF(OR(DATA_CLEANED!AL812&lt;0,DATA_CLEANED!AM812&lt;0),"SCORE NEGATIF","OK")))</f>
        <v>OK</v>
      </c>
      <c r="BF821" s="43" t="str">
        <f>IF(DATA_CLEANED!AK812&lt;&gt;DATA_CLEANED!AN812,"OK","ERREUR")</f>
        <v>OK</v>
      </c>
      <c r="BG821" s="43" t="str">
        <f>IF(DATA_CLEANED!AL812&gt;DATA_CLEANED!AM812,DATA_CLEANED!AK812,IF(AND(DATA_QUALITE!W5298="-",DATA_CLEANED!AM812=DATA_CLEANED!AL812),"MATCH NUL",IF(AND(DATA_QUALITE!V5298="-",DATA_QUALITE!U5298="AUCUNE"),DATA_QUALITE!T5298,IF(DATA_QUALITE!V5298&lt;&gt;"-",DATA_QUALITE!V5298,DATA_CLEANED!AN812))))</f>
        <v>MATCH NUL</v>
      </c>
      <c r="BH821" s="103" t="str">
        <f>IF(AND(BG821="MATCH NUL",DATA_CLEANED!AO812="-"),"MATCH_NUL",IF(ISNUMBER(SEARCH("win on penalties",W5298)),"WIN_BY_PENALTY",IF(ISNUMBER(SEARCH("win after extra time",W5298)),"WIN_BY_EXTRA_TIME",IF(ISNUMBER(SEARCH("Golden Goal",W5298)),"WIN_BY_GOLDEN_GOAL","WIN_BY_SCORE"))))</f>
        <v>MATCH_NUL</v>
      </c>
      <c r="BI821" s="99" t="str">
        <f>IF(OR(BG821=DATA_CLEANED!AK812,BG821=DATA_CLEANED!AN812,BG821="MATCH NUL"),"OK","ERREUR")</f>
        <v>OK</v>
      </c>
    </row>
    <row r="822" spans="2:61">
      <c r="B822" s="75">
        <v>385</v>
      </c>
      <c r="C822" s="15" t="str">
        <v>Awer Mabil</v>
      </c>
      <c r="D822" s="15">
        <v>30</v>
      </c>
      <c r="E822" s="15" t="str">
        <v>Australia</v>
      </c>
      <c r="F822" s="15" t="str">
        <v>LW</v>
      </c>
      <c r="G822" s="15" t="str">
        <v>Castellón</v>
      </c>
      <c r="H822" s="15">
        <v>11</v>
      </c>
      <c r="I822" s="15" t="str">
        <f t="shared" si="69"/>
        <v>385|Awer Mabil|30|Australia|LW|Castellón|11</v>
      </c>
      <c r="J822" s="15" t="str">
        <f>IF(COUNTIF(I$438:I822,I822)&gt;1,"DOUBLON","OK")</f>
        <v>OK</v>
      </c>
      <c r="S822" s="30" t="str">
        <v>Argentina</v>
      </c>
      <c r="T822" s="30" t="str">
        <f t="shared" si="70"/>
        <v>OK</v>
      </c>
      <c r="U822" s="30" t="str">
        <f t="shared" si="71"/>
        <v>-</v>
      </c>
      <c r="V822" s="30" t="str" cm="1">
        <f t="array" ref="V822">_xlfn.IFS(
ISNUMBER(SEARCH("USA",S822)),"United States",
ISNUMBER(SEARCH("Republic of Korea",S822)),"South Korea",
ISNUMBER(SEARCH("Cape Verde",S822)),"Cabo Verde",
ISNUMBER(SEARCH("Czechia",S822)),"Czech Republic",
ISNUMBER(SEARCH("Türkiye",S822)),"Turkey",
ISNUMBER(SEARCH("Ivory Coast",S822)),"Côte d'Ivoire",
ISNUMBER(SEARCH("Korea Republic",S822)),"South Korea",
ISNUMBER(SEARCH("Germany FR",S822)),"FR Germany",
ISNUMBER(SEARCH("West Germany",S822)),"FR Germany",
ISNUMBER(SEARCH("Germany DR",S822)),"DR Germany",
ISNUMBER(SEARCH("Korea DPR",S822)),"North Korea",
ISNUMBER(SEARCH("China PR",S822)),"China",
ISNUMBER(SEARCH("IR Iran",S822)),"Iran",
ISNUMBER(SEARCH("Congo DR",S822)),"Democratic Republic of the Congo",
ISNUMBER(SEARCH("DR Congo",S822)),"Democratic Republic of the Congo",
ISNUMBER(SEARCH("German DR",S822)),"DR Germany",
ISNUMBER(SEARCH("rn""&gt;United Arab Emirates",S822)),"United Arab Emirates",
ISNUMBER(SEARCH("rn""&gt;Republic of Ireland",S822)),"Ireland",
ISNUMBER(SEARCH("rn""&gt;Bosnia and Herzegovina",S822)),"Bosnia and Herzegovina",
ISNUMBER(SEARCH("rn""&gt;Trinidad and Tobago",S822)),"Trinidad and Tobago",
ISNUMBER(SEARCH("rn""&gt;Serbia and Montenegro",S822)),"Serbia and Montenegro",
ISNUMBER(SEARCH(_xlfn.UNICHAR(65533),S822)),"Côte d'Ivoire",
TRUE,""
)</f>
        <v/>
      </c>
      <c r="W822" s="30" t="str">
        <f t="shared" si="72"/>
        <v>Argentina</v>
      </c>
      <c r="Z822" s="40" t="str">
        <v>Estadio do Maracana</v>
      </c>
      <c r="AA822" s="40" t="str" cm="1">
        <f t="array" ref="AA822">IFERROR(_xlfn.XLOOKUP(Z822,_xlfn.ANCHORARRAY(Z$31),AA$31:AA$37),Z822)</f>
        <v>Estadio do Maracana</v>
      </c>
      <c r="AB822" s="42" t="str">
        <v xml:space="preserve">Rio De Janeiro </v>
      </c>
      <c r="AC822" s="89" t="str">
        <f t="shared" si="73"/>
        <v xml:space="preserve">Rio De Janeiro </v>
      </c>
      <c r="AE822" s="42">
        <v>2010</v>
      </c>
      <c r="AK822" s="42">
        <v>2</v>
      </c>
      <c r="AL822" s="42">
        <v>0</v>
      </c>
      <c r="AW822" s="89" t="str">
        <v>GROUP_STAGE</v>
      </c>
      <c r="BE822" s="43" t="str">
        <f>IF(OR(DATA_CLEANED!AL813="",DATA_CLEANED!AM813=""),"MANQUANT",IF(OR(NOT(ISNUMBER(DATA_CLEANED!AL813)),NOT(ISNUMBER(DATA_CLEANED!AM813))),"ENTREE INVALIDE",IF(OR(DATA_CLEANED!AL813&lt;0,DATA_CLEANED!AM813&lt;0),"SCORE NEGATIF","OK")))</f>
        <v>OK</v>
      </c>
      <c r="BF822" s="43" t="str">
        <f>IF(DATA_CLEANED!AK813&lt;&gt;DATA_CLEANED!AN813,"OK","ERREUR")</f>
        <v>OK</v>
      </c>
      <c r="BG822" s="43" t="str">
        <f>IF(DATA_CLEANED!AL813&gt;DATA_CLEANED!AM813,DATA_CLEANED!AK813,IF(AND(DATA_QUALITE!W5299="-",DATA_CLEANED!AM813=DATA_CLEANED!AL813),"MATCH NUL",IF(AND(DATA_QUALITE!V5299="-",DATA_QUALITE!U5299="AUCUNE"),DATA_QUALITE!T5299,IF(DATA_QUALITE!V5299&lt;&gt;"-",DATA_QUALITE!V5299,DATA_CLEANED!AN813))))</f>
        <v>Colombia</v>
      </c>
      <c r="BH822" s="103" t="str">
        <f>IF(AND(BG822="MATCH NUL",DATA_CLEANED!AO813="-"),"MATCH_NUL",IF(ISNUMBER(SEARCH("win on penalties",W5299)),"WIN_BY_PENALTY",IF(ISNUMBER(SEARCH("win after extra time",W5299)),"WIN_BY_EXTRA_TIME",IF(ISNUMBER(SEARCH("Golden Goal",W5299)),"WIN_BY_GOLDEN_GOAL","WIN_BY_SCORE"))))</f>
        <v>WIN_BY_SCORE</v>
      </c>
      <c r="BI822" s="99" t="str">
        <f>IF(OR(BG822=DATA_CLEANED!AK813,BG822=DATA_CLEANED!AN813,BG822="MATCH NUL"),"OK","ERREUR")</f>
        <v>OK</v>
      </c>
    </row>
    <row r="823" spans="2:61">
      <c r="B823" s="75">
        <v>386</v>
      </c>
      <c r="C823" s="15" t="str">
        <v>Nishan Velupillay</v>
      </c>
      <c r="D823" s="15">
        <v>25</v>
      </c>
      <c r="E823" s="15" t="str">
        <v>Australia</v>
      </c>
      <c r="F823" s="15" t="str">
        <v>LW</v>
      </c>
      <c r="G823" s="15" t="str">
        <v>Melbourne Victory</v>
      </c>
      <c r="H823" s="15">
        <v>23</v>
      </c>
      <c r="I823" s="15" t="str">
        <f t="shared" ref="I823:I886" si="74">B823&amp;"|"&amp;C823&amp;"|"&amp;D823&amp;"|"&amp;E823&amp;"|"&amp;F823&amp;"|"&amp;G823&amp;"|"&amp;H823</f>
        <v>386|Nishan Velupillay|25|Australia|LW|Melbourne Victory|23</v>
      </c>
      <c r="J823" s="15" t="str">
        <f>IF(COUNTIF(I$438:I823,I823)&gt;1,"DOUBLON","OK")</f>
        <v>OK</v>
      </c>
      <c r="S823" s="30" t="str">
        <v>Yugoslavia</v>
      </c>
      <c r="T823" s="30" t="str">
        <f t="shared" si="70"/>
        <v>ERREUR</v>
      </c>
      <c r="U823" s="30" t="str">
        <f t="shared" si="71"/>
        <v>AUCUNE</v>
      </c>
      <c r="V823" s="30" t="str" cm="1">
        <f t="array" ref="V823">_xlfn.IFS(
ISNUMBER(SEARCH("USA",S823)),"United States",
ISNUMBER(SEARCH("Republic of Korea",S823)),"South Korea",
ISNUMBER(SEARCH("Cape Verde",S823)),"Cabo Verde",
ISNUMBER(SEARCH("Czechia",S823)),"Czech Republic",
ISNUMBER(SEARCH("Türkiye",S823)),"Turkey",
ISNUMBER(SEARCH("Ivory Coast",S823)),"Côte d'Ivoire",
ISNUMBER(SEARCH("Korea Republic",S823)),"South Korea",
ISNUMBER(SEARCH("Germany FR",S823)),"FR Germany",
ISNUMBER(SEARCH("West Germany",S823)),"FR Germany",
ISNUMBER(SEARCH("Germany DR",S823)),"DR Germany",
ISNUMBER(SEARCH("Korea DPR",S823)),"North Korea",
ISNUMBER(SEARCH("China PR",S823)),"China",
ISNUMBER(SEARCH("IR Iran",S823)),"Iran",
ISNUMBER(SEARCH("Congo DR",S823)),"Democratic Republic of the Congo",
ISNUMBER(SEARCH("DR Congo",S823)),"Democratic Republic of the Congo",
ISNUMBER(SEARCH("German DR",S823)),"DR Germany",
ISNUMBER(SEARCH("rn""&gt;United Arab Emirates",S823)),"United Arab Emirates",
ISNUMBER(SEARCH("rn""&gt;Republic of Ireland",S823)),"Ireland",
ISNUMBER(SEARCH("rn""&gt;Bosnia and Herzegovina",S823)),"Bosnia and Herzegovina",
ISNUMBER(SEARCH("rn""&gt;Trinidad and Tobago",S823)),"Trinidad and Tobago",
ISNUMBER(SEARCH("rn""&gt;Serbia and Montenegro",S823)),"Serbia and Montenegro",
ISNUMBER(SEARCH(_xlfn.UNICHAR(65533),S823)),"Côte d'Ivoire",
TRUE,""
)</f>
        <v/>
      </c>
      <c r="W823" s="30" t="str">
        <f t="shared" si="72"/>
        <v>Yugoslavia</v>
      </c>
      <c r="Z823" s="40" t="str">
        <v>Arena Fonte Nova</v>
      </c>
      <c r="AA823" s="40" t="str" cm="1">
        <f t="array" ref="AA823">IFERROR(_xlfn.XLOOKUP(Z823,_xlfn.ANCHORARRAY(Z$31),AA$31:AA$37),Z823)</f>
        <v>Arena Fonte Nova</v>
      </c>
      <c r="AB823" s="42" t="str">
        <v xml:space="preserve">Salvador </v>
      </c>
      <c r="AC823" s="89" t="str">
        <f t="shared" si="73"/>
        <v xml:space="preserve">Salvador </v>
      </c>
      <c r="AE823" s="42">
        <v>2010</v>
      </c>
      <c r="AK823" s="42">
        <v>0</v>
      </c>
      <c r="AL823" s="42">
        <v>1</v>
      </c>
      <c r="AW823" s="89" t="str">
        <v>GROUP_STAGE</v>
      </c>
      <c r="BE823" s="43" t="str">
        <f>IF(OR(DATA_CLEANED!AL814="",DATA_CLEANED!AM814=""),"MANQUANT",IF(OR(NOT(ISNUMBER(DATA_CLEANED!AL814)),NOT(ISNUMBER(DATA_CLEANED!AM814))),"ENTREE INVALIDE",IF(OR(DATA_CLEANED!AL814&lt;0,DATA_CLEANED!AM814&lt;0),"SCORE NEGATIF","OK")))</f>
        <v>OK</v>
      </c>
      <c r="BF823" s="43" t="str">
        <f>IF(DATA_CLEANED!AK814&lt;&gt;DATA_CLEANED!AN814,"OK","ERREUR")</f>
        <v>OK</v>
      </c>
      <c r="BG823" s="43" t="str">
        <f>IF(DATA_CLEANED!AL814&gt;DATA_CLEANED!AM814,DATA_CLEANED!AK814,IF(AND(DATA_QUALITE!W5300="-",DATA_CLEANED!AM814=DATA_CLEANED!AL814),"MATCH NUL",IF(AND(DATA_QUALITE!V5300="-",DATA_QUALITE!U5300="AUCUNE"),DATA_QUALITE!T5300,IF(DATA_QUALITE!V5300&lt;&gt;"-",DATA_QUALITE!V5300,DATA_CLEANED!AN814))))</f>
        <v>Greece</v>
      </c>
      <c r="BH823" s="103" t="str">
        <f>IF(AND(BG823="MATCH NUL",DATA_CLEANED!AO814="-"),"MATCH_NUL",IF(ISNUMBER(SEARCH("win on penalties",W5300)),"WIN_BY_PENALTY",IF(ISNUMBER(SEARCH("win after extra time",W5300)),"WIN_BY_EXTRA_TIME",IF(ISNUMBER(SEARCH("Golden Goal",W5300)),"WIN_BY_GOLDEN_GOAL","WIN_BY_SCORE"))))</f>
        <v>WIN_BY_SCORE</v>
      </c>
      <c r="BI823" s="99" t="str">
        <f>IF(OR(BG823=DATA_CLEANED!AK814,BG823=DATA_CLEANED!AN814,BG823="MATCH NUL"),"OK","ERREUR")</f>
        <v>OK</v>
      </c>
    </row>
    <row r="824" spans="2:61">
      <c r="B824" s="75">
        <v>387</v>
      </c>
      <c r="C824" s="15" t="str">
        <v>Nestory Irankunda</v>
      </c>
      <c r="D824" s="15">
        <v>20</v>
      </c>
      <c r="E824" s="15" t="str">
        <v>Australia</v>
      </c>
      <c r="F824" s="15" t="str">
        <v>RW</v>
      </c>
      <c r="G824" s="15" t="str">
        <v>Watford</v>
      </c>
      <c r="H824" s="15">
        <v>17</v>
      </c>
      <c r="I824" s="15" t="str">
        <f t="shared" si="74"/>
        <v>387|Nestory Irankunda|20|Australia|RW|Watford|17</v>
      </c>
      <c r="J824" s="15" t="str">
        <f>IF(COUNTIF(I$438:I824,I824)&gt;1,"DOUBLON","OK")</f>
        <v>OK</v>
      </c>
      <c r="S824" s="30" t="str">
        <v>Argentina</v>
      </c>
      <c r="T824" s="30" t="str">
        <f t="shared" si="70"/>
        <v>OK</v>
      </c>
      <c r="U824" s="30" t="str">
        <f t="shared" si="71"/>
        <v>-</v>
      </c>
      <c r="V824" s="30" t="str" cm="1">
        <f t="array" ref="V824">_xlfn.IFS(
ISNUMBER(SEARCH("USA",S824)),"United States",
ISNUMBER(SEARCH("Republic of Korea",S824)),"South Korea",
ISNUMBER(SEARCH("Cape Verde",S824)),"Cabo Verde",
ISNUMBER(SEARCH("Czechia",S824)),"Czech Republic",
ISNUMBER(SEARCH("Türkiye",S824)),"Turkey",
ISNUMBER(SEARCH("Ivory Coast",S824)),"Côte d'Ivoire",
ISNUMBER(SEARCH("Korea Republic",S824)),"South Korea",
ISNUMBER(SEARCH("Germany FR",S824)),"FR Germany",
ISNUMBER(SEARCH("West Germany",S824)),"FR Germany",
ISNUMBER(SEARCH("Germany DR",S824)),"DR Germany",
ISNUMBER(SEARCH("Korea DPR",S824)),"North Korea",
ISNUMBER(SEARCH("China PR",S824)),"China",
ISNUMBER(SEARCH("IR Iran",S824)),"Iran",
ISNUMBER(SEARCH("Congo DR",S824)),"Democratic Republic of the Congo",
ISNUMBER(SEARCH("DR Congo",S824)),"Democratic Republic of the Congo",
ISNUMBER(SEARCH("German DR",S824)),"DR Germany",
ISNUMBER(SEARCH("rn""&gt;United Arab Emirates",S824)),"United Arab Emirates",
ISNUMBER(SEARCH("rn""&gt;Republic of Ireland",S824)),"Ireland",
ISNUMBER(SEARCH("rn""&gt;Bosnia and Herzegovina",S824)),"Bosnia and Herzegovina",
ISNUMBER(SEARCH("rn""&gt;Trinidad and Tobago",S824)),"Trinidad and Tobago",
ISNUMBER(SEARCH("rn""&gt;Serbia and Montenegro",S824)),"Serbia and Montenegro",
ISNUMBER(SEARCH(_xlfn.UNICHAR(65533),S824)),"Côte d'Ivoire",
TRUE,""
)</f>
        <v/>
      </c>
      <c r="W824" s="30" t="str">
        <f t="shared" si="72"/>
        <v>Argentina</v>
      </c>
      <c r="Z824" s="40" t="str">
        <v>Arena da Baixada</v>
      </c>
      <c r="AA824" s="40" t="str" cm="1">
        <f t="array" ref="AA824">IFERROR(_xlfn.XLOOKUP(Z824,_xlfn.ANCHORARRAY(Z$31),AA$31:AA$37),Z824)</f>
        <v>Arena da Baixada</v>
      </c>
      <c r="AB824" s="42" t="str">
        <v xml:space="preserve">Curitiba </v>
      </c>
      <c r="AC824" s="89" t="str">
        <f t="shared" si="73"/>
        <v xml:space="preserve">Curitiba </v>
      </c>
      <c r="AE824" s="42">
        <v>2010</v>
      </c>
      <c r="AK824" s="42">
        <v>1</v>
      </c>
      <c r="AL824" s="42">
        <v>2</v>
      </c>
      <c r="AW824" s="89" t="str">
        <v>GROUP_STAGE</v>
      </c>
      <c r="BE824" s="43" t="str">
        <f>IF(OR(DATA_CLEANED!AL815="",DATA_CLEANED!AM815=""),"MANQUANT",IF(OR(NOT(ISNUMBER(DATA_CLEANED!AL815)),NOT(ISNUMBER(DATA_CLEANED!AM815))),"ENTREE INVALIDE",IF(OR(DATA_CLEANED!AL815&lt;0,DATA_CLEANED!AM815&lt;0),"SCORE NEGATIF","OK")))</f>
        <v>OK</v>
      </c>
      <c r="BF824" s="43" t="str">
        <f>IF(DATA_CLEANED!AK815&lt;&gt;DATA_CLEANED!AN815,"OK","ERREUR")</f>
        <v>OK</v>
      </c>
      <c r="BG824" s="43" t="str">
        <f>IF(DATA_CLEANED!AL815&gt;DATA_CLEANED!AM815,DATA_CLEANED!AK815,IF(AND(DATA_QUALITE!W5301="-",DATA_CLEANED!AM815=DATA_CLEANED!AL815),"MATCH NUL",IF(AND(DATA_QUALITE!V5301="-",DATA_QUALITE!U5301="AUCUNE"),DATA_QUALITE!T5301,IF(DATA_QUALITE!V5301&lt;&gt;"-",DATA_QUALITE!V5301,DATA_CLEANED!AN815))))</f>
        <v>Argentina</v>
      </c>
      <c r="BH824" s="103" t="str">
        <f>IF(AND(BG824="MATCH NUL",DATA_CLEANED!AO815="-"),"MATCH_NUL",IF(ISNUMBER(SEARCH("win on penalties",W5301)),"WIN_BY_PENALTY",IF(ISNUMBER(SEARCH("win after extra time",W5301)),"WIN_BY_EXTRA_TIME",IF(ISNUMBER(SEARCH("Golden Goal",W5301)),"WIN_BY_GOLDEN_GOAL","WIN_BY_SCORE"))))</f>
        <v>WIN_BY_SCORE</v>
      </c>
      <c r="BI824" s="99" t="str">
        <f>IF(OR(BG824=DATA_CLEANED!AK815,BG824=DATA_CLEANED!AN815,BG824="MATCH NUL"),"OK","ERREUR")</f>
        <v>OK</v>
      </c>
    </row>
    <row r="825" spans="2:61">
      <c r="B825" s="75">
        <v>388</v>
      </c>
      <c r="C825" s="15" t="str">
        <v>Cristian Volpato</v>
      </c>
      <c r="D825" s="15">
        <v>22</v>
      </c>
      <c r="E825" s="15" t="str">
        <v>Australia</v>
      </c>
      <c r="F825" s="15" t="str">
        <v>RW</v>
      </c>
      <c r="G825" s="15" t="str">
        <v>Sassuolo</v>
      </c>
      <c r="H825" s="15">
        <v>20</v>
      </c>
      <c r="I825" s="15" t="str">
        <f t="shared" si="74"/>
        <v>388|Cristian Volpato|22|Australia|RW|Sassuolo|20</v>
      </c>
      <c r="J825" s="15" t="str">
        <f>IF(COUNTIF(I$438:I825,I825)&gt;1,"DOUBLON","OK")</f>
        <v>OK</v>
      </c>
      <c r="S825" s="30" t="str">
        <v>Yugoslavia</v>
      </c>
      <c r="T825" s="30" t="str">
        <f t="shared" si="70"/>
        <v>ERREUR</v>
      </c>
      <c r="U825" s="30" t="str">
        <f t="shared" si="71"/>
        <v>AUCUNE</v>
      </c>
      <c r="V825" s="30" t="str" cm="1">
        <f t="array" ref="V825">_xlfn.IFS(
ISNUMBER(SEARCH("USA",S825)),"United States",
ISNUMBER(SEARCH("Republic of Korea",S825)),"South Korea",
ISNUMBER(SEARCH("Cape Verde",S825)),"Cabo Verde",
ISNUMBER(SEARCH("Czechia",S825)),"Czech Republic",
ISNUMBER(SEARCH("Türkiye",S825)),"Turkey",
ISNUMBER(SEARCH("Ivory Coast",S825)),"Côte d'Ivoire",
ISNUMBER(SEARCH("Korea Republic",S825)),"South Korea",
ISNUMBER(SEARCH("Germany FR",S825)),"FR Germany",
ISNUMBER(SEARCH("West Germany",S825)),"FR Germany",
ISNUMBER(SEARCH("Germany DR",S825)),"DR Germany",
ISNUMBER(SEARCH("Korea DPR",S825)),"North Korea",
ISNUMBER(SEARCH("China PR",S825)),"China",
ISNUMBER(SEARCH("IR Iran",S825)),"Iran",
ISNUMBER(SEARCH("Congo DR",S825)),"Democratic Republic of the Congo",
ISNUMBER(SEARCH("DR Congo",S825)),"Democratic Republic of the Congo",
ISNUMBER(SEARCH("German DR",S825)),"DR Germany",
ISNUMBER(SEARCH("rn""&gt;United Arab Emirates",S825)),"United Arab Emirates",
ISNUMBER(SEARCH("rn""&gt;Republic of Ireland",S825)),"Ireland",
ISNUMBER(SEARCH("rn""&gt;Bosnia and Herzegovina",S825)),"Bosnia and Herzegovina",
ISNUMBER(SEARCH("rn""&gt;Trinidad and Tobago",S825)),"Trinidad and Tobago",
ISNUMBER(SEARCH("rn""&gt;Serbia and Montenegro",S825)),"Serbia and Montenegro",
ISNUMBER(SEARCH(_xlfn.UNICHAR(65533),S825)),"Côte d'Ivoire",
TRUE,""
)</f>
        <v/>
      </c>
      <c r="W825" s="30" t="str">
        <f t="shared" si="72"/>
        <v>Yugoslavia</v>
      </c>
      <c r="Z825" s="40" t="str">
        <v>Estadio das Dunas</v>
      </c>
      <c r="AA825" s="40" t="str" cm="1">
        <f t="array" ref="AA825">IFERROR(_xlfn.XLOOKUP(Z825,_xlfn.ANCHORARRAY(Z$31),AA$31:AA$37),Z825)</f>
        <v>Estadio das Dunas</v>
      </c>
      <c r="AB825" s="42" t="str">
        <v xml:space="preserve">Natal </v>
      </c>
      <c r="AC825" s="89" t="str">
        <f t="shared" si="73"/>
        <v xml:space="preserve">Natal </v>
      </c>
      <c r="AE825" s="42">
        <v>2010</v>
      </c>
      <c r="AK825" s="42">
        <v>2</v>
      </c>
      <c r="AL825" s="42">
        <v>2</v>
      </c>
      <c r="AW825" s="89" t="str">
        <v>GROUP_STAGE</v>
      </c>
      <c r="BE825" s="43" t="str">
        <f>IF(OR(DATA_CLEANED!AL816="",DATA_CLEANED!AM816=""),"MANQUANT",IF(OR(NOT(ISNUMBER(DATA_CLEANED!AL816)),NOT(ISNUMBER(DATA_CLEANED!AM816))),"ENTREE INVALIDE",IF(OR(DATA_CLEANED!AL816&lt;0,DATA_CLEANED!AM816&lt;0),"SCORE NEGATIF","OK")))</f>
        <v>OK</v>
      </c>
      <c r="BF825" s="43" t="str">
        <f>IF(DATA_CLEANED!AK816&lt;&gt;DATA_CLEANED!AN816,"OK","ERREUR")</f>
        <v>OK</v>
      </c>
      <c r="BG825" s="43" t="str">
        <f>IF(DATA_CLEANED!AL816&gt;DATA_CLEANED!AM816,DATA_CLEANED!AK816,IF(AND(DATA_QUALITE!W5302="-",DATA_CLEANED!AM816=DATA_CLEANED!AL816),"MATCH NUL",IF(AND(DATA_QUALITE!V5302="-",DATA_QUALITE!U5302="AUCUNE"),DATA_QUALITE!T5302,IF(DATA_QUALITE!V5302&lt;&gt;"-",DATA_QUALITE!V5302,DATA_CLEANED!AN816))))</f>
        <v>Bosnia and Herzegovina</v>
      </c>
      <c r="BH825" s="103" t="str">
        <f>IF(AND(BG825="MATCH NUL",DATA_CLEANED!AO816="-"),"MATCH_NUL",IF(ISNUMBER(SEARCH("win on penalties",W5302)),"WIN_BY_PENALTY",IF(ISNUMBER(SEARCH("win after extra time",W5302)),"WIN_BY_EXTRA_TIME",IF(ISNUMBER(SEARCH("Golden Goal",W5302)),"WIN_BY_GOLDEN_GOAL","WIN_BY_SCORE"))))</f>
        <v>WIN_BY_SCORE</v>
      </c>
      <c r="BI825" s="99" t="str">
        <f>IF(OR(BG825=DATA_CLEANED!AK816,BG825=DATA_CLEANED!AN816,BG825="MATCH NUL"),"OK","ERREUR")</f>
        <v>OK</v>
      </c>
    </row>
    <row r="826" spans="2:61">
      <c r="B826" s="75">
        <v>389</v>
      </c>
      <c r="C826" s="15" t="str">
        <v>Mohamed Touré</v>
      </c>
      <c r="D826" s="15">
        <v>22</v>
      </c>
      <c r="E826" s="15" t="str">
        <v>Australia</v>
      </c>
      <c r="F826" s="15" t="str">
        <v>ST</v>
      </c>
      <c r="G826" s="15" t="str">
        <v>Norwich City</v>
      </c>
      <c r="H826" s="15">
        <v>9</v>
      </c>
      <c r="I826" s="15" t="str">
        <f t="shared" si="74"/>
        <v>389|Mohamed Touré|22|Australia|ST|Norwich City|9</v>
      </c>
      <c r="J826" s="15" t="str">
        <f>IF(COUNTIF(I$438:I826,I826)&gt;1,"DOUBLON","OK")</f>
        <v>OK</v>
      </c>
      <c r="S826" s="30" t="str">
        <v>Italy</v>
      </c>
      <c r="T826" s="30" t="str">
        <f t="shared" si="70"/>
        <v>OK</v>
      </c>
      <c r="U826" s="30" t="str">
        <f t="shared" si="71"/>
        <v>-</v>
      </c>
      <c r="V826" s="30" t="str" cm="1">
        <f t="array" ref="V826">_xlfn.IFS(
ISNUMBER(SEARCH("USA",S826)),"United States",
ISNUMBER(SEARCH("Republic of Korea",S826)),"South Korea",
ISNUMBER(SEARCH("Cape Verde",S826)),"Cabo Verde",
ISNUMBER(SEARCH("Czechia",S826)),"Czech Republic",
ISNUMBER(SEARCH("Türkiye",S826)),"Turkey",
ISNUMBER(SEARCH("Ivory Coast",S826)),"Côte d'Ivoire",
ISNUMBER(SEARCH("Korea Republic",S826)),"South Korea",
ISNUMBER(SEARCH("Germany FR",S826)),"FR Germany",
ISNUMBER(SEARCH("West Germany",S826)),"FR Germany",
ISNUMBER(SEARCH("Germany DR",S826)),"DR Germany",
ISNUMBER(SEARCH("Korea DPR",S826)),"North Korea",
ISNUMBER(SEARCH("China PR",S826)),"China",
ISNUMBER(SEARCH("IR Iran",S826)),"Iran",
ISNUMBER(SEARCH("Congo DR",S826)),"Democratic Republic of the Congo",
ISNUMBER(SEARCH("DR Congo",S826)),"Democratic Republic of the Congo",
ISNUMBER(SEARCH("German DR",S826)),"DR Germany",
ISNUMBER(SEARCH("rn""&gt;United Arab Emirates",S826)),"United Arab Emirates",
ISNUMBER(SEARCH("rn""&gt;Republic of Ireland",S826)),"Ireland",
ISNUMBER(SEARCH("rn""&gt;Bosnia and Herzegovina",S826)),"Bosnia and Herzegovina",
ISNUMBER(SEARCH("rn""&gt;Trinidad and Tobago",S826)),"Trinidad and Tobago",
ISNUMBER(SEARCH("rn""&gt;Serbia and Montenegro",S826)),"Serbia and Montenegro",
ISNUMBER(SEARCH(_xlfn.UNICHAR(65533),S826)),"Côte d'Ivoire",
TRUE,""
)</f>
        <v/>
      </c>
      <c r="W826" s="30" t="str">
        <f t="shared" si="72"/>
        <v>Italy</v>
      </c>
      <c r="Z826" s="40" t="str">
        <v>Estadio Mineirao</v>
      </c>
      <c r="AA826" s="40" t="str" cm="1">
        <f t="array" ref="AA826">IFERROR(_xlfn.XLOOKUP(Z826,_xlfn.ANCHORARRAY(Z$31),AA$31:AA$37),Z826)</f>
        <v>Estadio Mineirao</v>
      </c>
      <c r="AB826" s="42" t="str">
        <v xml:space="preserve">Belo Horizonte </v>
      </c>
      <c r="AC826" s="89" t="str">
        <f t="shared" si="73"/>
        <v xml:space="preserve">Belo Horizonte </v>
      </c>
      <c r="AE826" s="42">
        <v>2010</v>
      </c>
      <c r="AK826" s="42">
        <v>0</v>
      </c>
      <c r="AL826" s="42">
        <v>2</v>
      </c>
      <c r="AW826" s="89" t="str">
        <v>GROUP_STAGE</v>
      </c>
      <c r="BE826" s="43" t="str">
        <f>IF(OR(DATA_CLEANED!AL817="",DATA_CLEANED!AM817=""),"MANQUANT",IF(OR(NOT(ISNUMBER(DATA_CLEANED!AL817)),NOT(ISNUMBER(DATA_CLEANED!AM817))),"ENTREE INVALIDE",IF(OR(DATA_CLEANED!AL817&lt;0,DATA_CLEANED!AM817&lt;0),"SCORE NEGATIF","OK")))</f>
        <v>OK</v>
      </c>
      <c r="BF826" s="43" t="str">
        <f>IF(DATA_CLEANED!AK817&lt;&gt;DATA_CLEANED!AN817,"OK","ERREUR")</f>
        <v>OK</v>
      </c>
      <c r="BG826" s="43" t="str">
        <f>IF(DATA_CLEANED!AL817&gt;DATA_CLEANED!AM817,DATA_CLEANED!AK817,IF(AND(DATA_QUALITE!W5303="-",DATA_CLEANED!AM817=DATA_CLEANED!AL817),"MATCH NUL",IF(AND(DATA_QUALITE!V5303="-",DATA_QUALITE!U5303="AUCUNE"),DATA_QUALITE!T5303,IF(DATA_QUALITE!V5303&lt;&gt;"-",DATA_QUALITE!V5303,DATA_CLEANED!AN817))))</f>
        <v>Switzerland</v>
      </c>
      <c r="BH826" s="103" t="str">
        <f>IF(AND(BG826="MATCH NUL",DATA_CLEANED!AO817="-"),"MATCH_NUL",IF(ISNUMBER(SEARCH("win on penalties",W5303)),"WIN_BY_PENALTY",IF(ISNUMBER(SEARCH("win after extra time",W5303)),"WIN_BY_EXTRA_TIME",IF(ISNUMBER(SEARCH("Golden Goal",W5303)),"WIN_BY_GOLDEN_GOAL","WIN_BY_SCORE"))))</f>
        <v>WIN_BY_SCORE</v>
      </c>
      <c r="BI826" s="99" t="str">
        <f>IF(OR(BG826=DATA_CLEANED!AK817,BG826=DATA_CLEANED!AN817,BG826="MATCH NUL"),"OK","ERREUR")</f>
        <v>OK</v>
      </c>
    </row>
    <row r="827" spans="2:61">
      <c r="B827" s="75">
        <v>390</v>
      </c>
      <c r="C827" s="15" t="str">
        <v>Tete Yengi</v>
      </c>
      <c r="D827" s="15">
        <v>25</v>
      </c>
      <c r="E827" s="15" t="str">
        <v>Australia</v>
      </c>
      <c r="F827" s="15" t="str">
        <v>ST</v>
      </c>
      <c r="G827" s="15" t="str">
        <v>Machida Zelvia</v>
      </c>
      <c r="H827" s="15">
        <v>26</v>
      </c>
      <c r="I827" s="15" t="str">
        <f t="shared" si="74"/>
        <v>390|Tete Yengi|25|Australia|ST|Machida Zelvia|26</v>
      </c>
      <c r="J827" s="15" t="str">
        <f>IF(COUNTIF(I$438:I827,I827)&gt;1,"DOUBLON","OK")</f>
        <v>OK</v>
      </c>
      <c r="S827" s="30" t="str">
        <v>Argentina</v>
      </c>
      <c r="T827" s="30" t="str">
        <f t="shared" ref="T827:T890" si="75">IF(COUNTIF(R$21:R$250,S827)=1,"OK","ERREUR")</f>
        <v>OK</v>
      </c>
      <c r="U827" s="30" t="str">
        <f t="shared" si="71"/>
        <v>-</v>
      </c>
      <c r="V827" s="30" t="str" cm="1">
        <f t="array" ref="V827">_xlfn.IFS(
ISNUMBER(SEARCH("USA",S827)),"United States",
ISNUMBER(SEARCH("Republic of Korea",S827)),"South Korea",
ISNUMBER(SEARCH("Cape Verde",S827)),"Cabo Verde",
ISNUMBER(SEARCH("Czechia",S827)),"Czech Republic",
ISNUMBER(SEARCH("Türkiye",S827)),"Turkey",
ISNUMBER(SEARCH("Ivory Coast",S827)),"Côte d'Ivoire",
ISNUMBER(SEARCH("Korea Republic",S827)),"South Korea",
ISNUMBER(SEARCH("Germany FR",S827)),"FR Germany",
ISNUMBER(SEARCH("West Germany",S827)),"FR Germany",
ISNUMBER(SEARCH("Germany DR",S827)),"DR Germany",
ISNUMBER(SEARCH("Korea DPR",S827)),"North Korea",
ISNUMBER(SEARCH("China PR",S827)),"China",
ISNUMBER(SEARCH("IR Iran",S827)),"Iran",
ISNUMBER(SEARCH("Congo DR",S827)),"Democratic Republic of the Congo",
ISNUMBER(SEARCH("DR Congo",S827)),"Democratic Republic of the Congo",
ISNUMBER(SEARCH("German DR",S827)),"DR Germany",
ISNUMBER(SEARCH("rn""&gt;United Arab Emirates",S827)),"United Arab Emirates",
ISNUMBER(SEARCH("rn""&gt;Republic of Ireland",S827)),"Ireland",
ISNUMBER(SEARCH("rn""&gt;Bosnia and Herzegovina",S827)),"Bosnia and Herzegovina",
ISNUMBER(SEARCH("rn""&gt;Trinidad and Tobago",S827)),"Trinidad and Tobago",
ISNUMBER(SEARCH("rn""&gt;Serbia and Montenegro",S827)),"Serbia and Montenegro",
ISNUMBER(SEARCH(_xlfn.UNICHAR(65533),S827)),"Côte d'Ivoire",
TRUE,""
)</f>
        <v/>
      </c>
      <c r="W827" s="30" t="str">
        <f t="shared" si="72"/>
        <v>Argentina</v>
      </c>
      <c r="Z827" s="40" t="str">
        <v>Estadio Castelao</v>
      </c>
      <c r="AA827" s="40" t="str" cm="1">
        <f t="array" ref="AA827">IFERROR(_xlfn.XLOOKUP(Z827,_xlfn.ANCHORARRAY(Z$31),AA$31:AA$37),Z827)</f>
        <v>Estadio Castelao</v>
      </c>
      <c r="AB827" s="42" t="str">
        <v xml:space="preserve">Fortaleza </v>
      </c>
      <c r="AC827" s="89" t="str">
        <f t="shared" si="73"/>
        <v xml:space="preserve">Fortaleza </v>
      </c>
      <c r="AE827" s="42">
        <v>2010</v>
      </c>
      <c r="AK827" s="42">
        <v>0</v>
      </c>
      <c r="AL827" s="42">
        <v>1</v>
      </c>
      <c r="AW827" s="89" t="str">
        <v>GROUP_STAGE</v>
      </c>
      <c r="BE827" s="43" t="str">
        <f>IF(OR(DATA_CLEANED!AL818="",DATA_CLEANED!AM818=""),"MANQUANT",IF(OR(NOT(ISNUMBER(DATA_CLEANED!AL818)),NOT(ISNUMBER(DATA_CLEANED!AM818))),"ENTREE INVALIDE",IF(OR(DATA_CLEANED!AL818&lt;0,DATA_CLEANED!AM818&lt;0),"SCORE NEGATIF","OK")))</f>
        <v>OK</v>
      </c>
      <c r="BF827" s="43" t="str">
        <f>IF(DATA_CLEANED!AK818&lt;&gt;DATA_CLEANED!AN818,"OK","ERREUR")</f>
        <v>OK</v>
      </c>
      <c r="BG827" s="43" t="str">
        <f>IF(DATA_CLEANED!AL818&gt;DATA_CLEANED!AM818,DATA_CLEANED!AK818,IF(AND(DATA_QUALITE!W5304="-",DATA_CLEANED!AM818=DATA_CLEANED!AL818),"MATCH NUL",IF(AND(DATA_QUALITE!V5304="-",DATA_QUALITE!U5304="AUCUNE"),DATA_QUALITE!T5304,IF(DATA_QUALITE!V5304&lt;&gt;"-",DATA_QUALITE!V5304,DATA_CLEANED!AN818))))</f>
        <v>MATCH NUL</v>
      </c>
      <c r="BH827" s="103" t="str">
        <f>IF(AND(BG827="MATCH NUL",DATA_CLEANED!AO818="-"),"MATCH_NUL",IF(ISNUMBER(SEARCH("win on penalties",W5304)),"WIN_BY_PENALTY",IF(ISNUMBER(SEARCH("win after extra time",W5304)),"WIN_BY_EXTRA_TIME",IF(ISNUMBER(SEARCH("Golden Goal",W5304)),"WIN_BY_GOLDEN_GOAL","WIN_BY_SCORE"))))</f>
        <v>MATCH_NUL</v>
      </c>
      <c r="BI827" s="99" t="str">
        <f>IF(OR(BG827=DATA_CLEANED!AK818,BG827=DATA_CLEANED!AN818,BG827="MATCH NUL"),"OK","ERREUR")</f>
        <v>OK</v>
      </c>
    </row>
    <row r="828" spans="2:61">
      <c r="B828" s="75">
        <v>391</v>
      </c>
      <c r="C828" s="15" t="str">
        <v>Matt Turner</v>
      </c>
      <c r="D828" s="15">
        <v>31</v>
      </c>
      <c r="E828" s="15" t="str">
        <v>USA</v>
      </c>
      <c r="F828" s="15" t="str">
        <v>GK</v>
      </c>
      <c r="G828" s="15" t="str">
        <v>New England Revolution</v>
      </c>
      <c r="H828" s="15">
        <v>1</v>
      </c>
      <c r="I828" s="15" t="str">
        <f t="shared" si="74"/>
        <v>391|Matt Turner|31|USA|GK|New England Revolution|1</v>
      </c>
      <c r="J828" s="15" t="str">
        <f>IF(COUNTIF(I$438:I828,I828)&gt;1,"DOUBLON","OK")</f>
        <v>OK</v>
      </c>
      <c r="S828" s="30" t="str">
        <v>Italy</v>
      </c>
      <c r="T828" s="30" t="str">
        <f t="shared" si="75"/>
        <v>OK</v>
      </c>
      <c r="U828" s="30" t="str">
        <f t="shared" si="71"/>
        <v>-</v>
      </c>
      <c r="V828" s="30" t="str" cm="1">
        <f t="array" ref="V828">_xlfn.IFS(
ISNUMBER(SEARCH("USA",S828)),"United States",
ISNUMBER(SEARCH("Republic of Korea",S828)),"South Korea",
ISNUMBER(SEARCH("Cape Verde",S828)),"Cabo Verde",
ISNUMBER(SEARCH("Czechia",S828)),"Czech Republic",
ISNUMBER(SEARCH("Türkiye",S828)),"Turkey",
ISNUMBER(SEARCH("Ivory Coast",S828)),"Côte d'Ivoire",
ISNUMBER(SEARCH("Korea Republic",S828)),"South Korea",
ISNUMBER(SEARCH("Germany FR",S828)),"FR Germany",
ISNUMBER(SEARCH("West Germany",S828)),"FR Germany",
ISNUMBER(SEARCH("Germany DR",S828)),"DR Germany",
ISNUMBER(SEARCH("Korea DPR",S828)),"North Korea",
ISNUMBER(SEARCH("China PR",S828)),"China",
ISNUMBER(SEARCH("IR Iran",S828)),"Iran",
ISNUMBER(SEARCH("Congo DR",S828)),"Democratic Republic of the Congo",
ISNUMBER(SEARCH("DR Congo",S828)),"Democratic Republic of the Congo",
ISNUMBER(SEARCH("German DR",S828)),"DR Germany",
ISNUMBER(SEARCH("rn""&gt;United Arab Emirates",S828)),"United Arab Emirates",
ISNUMBER(SEARCH("rn""&gt;Republic of Ireland",S828)),"Ireland",
ISNUMBER(SEARCH("rn""&gt;Bosnia and Herzegovina",S828)),"Bosnia and Herzegovina",
ISNUMBER(SEARCH("rn""&gt;Trinidad and Tobago",S828)),"Trinidad and Tobago",
ISNUMBER(SEARCH("rn""&gt;Serbia and Montenegro",S828)),"Serbia and Montenegro",
ISNUMBER(SEARCH(_xlfn.UNICHAR(65533),S828)),"Côte d'Ivoire",
TRUE,""
)</f>
        <v/>
      </c>
      <c r="W828" s="30" t="str">
        <f t="shared" si="72"/>
        <v>Italy</v>
      </c>
      <c r="Z828" s="40" t="str">
        <v>Arena Pantanal</v>
      </c>
      <c r="AA828" s="40" t="str" cm="1">
        <f t="array" ref="AA828">IFERROR(_xlfn.XLOOKUP(Z828,_xlfn.ANCHORARRAY(Z$31),AA$31:AA$37),Z828)</f>
        <v>Arena Pantanal</v>
      </c>
      <c r="AB828" s="42" t="str">
        <v xml:space="preserve">Cuiaba </v>
      </c>
      <c r="AC828" s="89" t="str">
        <f t="shared" si="73"/>
        <v xml:space="preserve">Cuiaba </v>
      </c>
      <c r="AE828" s="42">
        <v>2010</v>
      </c>
      <c r="AK828" s="42">
        <v>1</v>
      </c>
      <c r="AL828" s="42">
        <v>0</v>
      </c>
      <c r="AW828" s="89" t="str">
        <v>GROUP_STAGE</v>
      </c>
      <c r="BE828" s="43" t="str">
        <f>IF(OR(DATA_CLEANED!AL819="",DATA_CLEANED!AM819=""),"MANQUANT",IF(OR(NOT(ISNUMBER(DATA_CLEANED!AL819)),NOT(ISNUMBER(DATA_CLEANED!AM819))),"ENTREE INVALIDE",IF(OR(DATA_CLEANED!AL819&lt;0,DATA_CLEANED!AM819&lt;0),"SCORE NEGATIF","OK")))</f>
        <v>OK</v>
      </c>
      <c r="BF828" s="43" t="str">
        <f>IF(DATA_CLEANED!AK819&lt;&gt;DATA_CLEANED!AN819,"OK","ERREUR")</f>
        <v>OK</v>
      </c>
      <c r="BG828" s="43" t="str">
        <f>IF(DATA_CLEANED!AL819&gt;DATA_CLEANED!AM819,DATA_CLEANED!AK819,IF(AND(DATA_QUALITE!W5305="-",DATA_CLEANED!AM819=DATA_CLEANED!AL819),"MATCH NUL",IF(AND(DATA_QUALITE!V5305="-",DATA_QUALITE!U5305="AUCUNE"),DATA_QUALITE!T5305,IF(DATA_QUALITE!V5305&lt;&gt;"-",DATA_QUALITE!V5305,DATA_CLEANED!AN819))))</f>
        <v>Germany</v>
      </c>
      <c r="BH828" s="103" t="str">
        <f>IF(AND(BG828="MATCH NUL",DATA_CLEANED!AO819="-"),"MATCH_NUL",IF(ISNUMBER(SEARCH("win on penalties",W5305)),"WIN_BY_PENALTY",IF(ISNUMBER(SEARCH("win after extra time",W5305)),"WIN_BY_EXTRA_TIME",IF(ISNUMBER(SEARCH("Golden Goal",W5305)),"WIN_BY_GOLDEN_GOAL","WIN_BY_SCORE"))))</f>
        <v>WIN_BY_SCORE</v>
      </c>
      <c r="BI828" s="99" t="str">
        <f>IF(OR(BG828=DATA_CLEANED!AK819,BG828=DATA_CLEANED!AN819,BG828="MATCH NUL"),"OK","ERREUR")</f>
        <v>OK</v>
      </c>
    </row>
    <row r="829" spans="2:61">
      <c r="B829" s="75">
        <v>392</v>
      </c>
      <c r="C829" s="15" t="str">
        <v>Matt Freese</v>
      </c>
      <c r="D829" s="15">
        <v>27</v>
      </c>
      <c r="E829" s="15" t="str">
        <v>USA</v>
      </c>
      <c r="F829" s="15" t="str">
        <v>GK</v>
      </c>
      <c r="G829" s="15" t="str">
        <v>New York City FC</v>
      </c>
      <c r="H829" s="15">
        <v>24</v>
      </c>
      <c r="I829" s="15" t="str">
        <f t="shared" si="74"/>
        <v>392|Matt Freese|27|USA|GK|New York City FC|24</v>
      </c>
      <c r="J829" s="15" t="str">
        <f>IF(COUNTIF(I$438:I829,I829)&gt;1,"DOUBLON","OK")</f>
        <v>OK</v>
      </c>
      <c r="S829" s="30" t="str">
        <v>Argentina</v>
      </c>
      <c r="T829" s="30" t="str">
        <f t="shared" si="75"/>
        <v>OK</v>
      </c>
      <c r="U829" s="30" t="str">
        <f t="shared" si="71"/>
        <v>-</v>
      </c>
      <c r="V829" s="30" t="str" cm="1">
        <f t="array" ref="V829">_xlfn.IFS(
ISNUMBER(SEARCH("USA",S829)),"United States",
ISNUMBER(SEARCH("Republic of Korea",S829)),"South Korea",
ISNUMBER(SEARCH("Cape Verde",S829)),"Cabo Verde",
ISNUMBER(SEARCH("Czechia",S829)),"Czech Republic",
ISNUMBER(SEARCH("Türkiye",S829)),"Turkey",
ISNUMBER(SEARCH("Ivory Coast",S829)),"Côte d'Ivoire",
ISNUMBER(SEARCH("Korea Republic",S829)),"South Korea",
ISNUMBER(SEARCH("Germany FR",S829)),"FR Germany",
ISNUMBER(SEARCH("West Germany",S829)),"FR Germany",
ISNUMBER(SEARCH("Germany DR",S829)),"DR Germany",
ISNUMBER(SEARCH("Korea DPR",S829)),"North Korea",
ISNUMBER(SEARCH("China PR",S829)),"China",
ISNUMBER(SEARCH("IR Iran",S829)),"Iran",
ISNUMBER(SEARCH("Congo DR",S829)),"Democratic Republic of the Congo",
ISNUMBER(SEARCH("DR Congo",S829)),"Democratic Republic of the Congo",
ISNUMBER(SEARCH("German DR",S829)),"DR Germany",
ISNUMBER(SEARCH("rn""&gt;United Arab Emirates",S829)),"United Arab Emirates",
ISNUMBER(SEARCH("rn""&gt;Republic of Ireland",S829)),"Ireland",
ISNUMBER(SEARCH("rn""&gt;Bosnia and Herzegovina",S829)),"Bosnia and Herzegovina",
ISNUMBER(SEARCH("rn""&gt;Trinidad and Tobago",S829)),"Trinidad and Tobago",
ISNUMBER(SEARCH("rn""&gt;Serbia and Montenegro",S829)),"Serbia and Montenegro",
ISNUMBER(SEARCH(_xlfn.UNICHAR(65533),S829)),"Côte d'Ivoire",
TRUE,""
)</f>
        <v/>
      </c>
      <c r="W829" s="30" t="str">
        <f t="shared" si="72"/>
        <v>Argentina</v>
      </c>
      <c r="Z829" s="40" t="str">
        <v>Estadio Beira-Rio</v>
      </c>
      <c r="AA829" s="40" t="str" cm="1">
        <f t="array" ref="AA829">IFERROR(_xlfn.XLOOKUP(Z829,_xlfn.ANCHORARRAY(Z$31),AA$31:AA$37),Z829)</f>
        <v>Estadio Beira-Rio</v>
      </c>
      <c r="AB829" s="42" t="str">
        <v xml:space="preserve">Porto Alegre </v>
      </c>
      <c r="AC829" s="89" t="str">
        <f t="shared" si="73"/>
        <v xml:space="preserve">Porto Alegre </v>
      </c>
      <c r="AE829" s="42">
        <v>2010</v>
      </c>
      <c r="AK829" s="42">
        <v>0</v>
      </c>
      <c r="AL829" s="42">
        <v>1</v>
      </c>
      <c r="AW829" s="89" t="str">
        <v>GROUP_STAGE</v>
      </c>
      <c r="BE829" s="43" t="str">
        <f>IF(OR(DATA_CLEANED!AL820="",DATA_CLEANED!AM820=""),"MANQUANT",IF(OR(NOT(ISNUMBER(DATA_CLEANED!AL820)),NOT(ISNUMBER(DATA_CLEANED!AM820))),"ENTREE INVALIDE",IF(OR(DATA_CLEANED!AL820&lt;0,DATA_CLEANED!AM820&lt;0),"SCORE NEGATIF","OK")))</f>
        <v>OK</v>
      </c>
      <c r="BF829" s="43" t="str">
        <f>IF(DATA_CLEANED!AK820&lt;&gt;DATA_CLEANED!AN820,"OK","ERREUR")</f>
        <v>OK</v>
      </c>
      <c r="BG829" s="43" t="str">
        <f>IF(DATA_CLEANED!AL820&gt;DATA_CLEANED!AM820,DATA_CLEANED!AK820,IF(AND(DATA_QUALITE!W5306="-",DATA_CLEANED!AM820=DATA_CLEANED!AL820),"MATCH NUL",IF(AND(DATA_QUALITE!V5306="-",DATA_QUALITE!U5306="AUCUNE"),DATA_QUALITE!T5306,IF(DATA_QUALITE!V5306&lt;&gt;"-",DATA_QUALITE!V5306,DATA_CLEANED!AN820))))</f>
        <v>Portugal</v>
      </c>
      <c r="BH829" s="103" t="str">
        <f>IF(AND(BG829="MATCH NUL",DATA_CLEANED!AO820="-"),"MATCH_NUL",IF(ISNUMBER(SEARCH("win on penalties",W5306)),"WIN_BY_PENALTY",IF(ISNUMBER(SEARCH("win after extra time",W5306)),"WIN_BY_EXTRA_TIME",IF(ISNUMBER(SEARCH("Golden Goal",W5306)),"WIN_BY_GOLDEN_GOAL","WIN_BY_SCORE"))))</f>
        <v>WIN_BY_SCORE</v>
      </c>
      <c r="BI829" s="99" t="str">
        <f>IF(OR(BG829=DATA_CLEANED!AK820,BG829=DATA_CLEANED!AN820,BG829="MATCH NUL"),"OK","ERREUR")</f>
        <v>OK</v>
      </c>
    </row>
    <row r="830" spans="2:61">
      <c r="B830" s="75">
        <v>393</v>
      </c>
      <c r="C830" s="15" t="str">
        <v>Chris Brady</v>
      </c>
      <c r="D830" s="15">
        <v>22</v>
      </c>
      <c r="E830" s="15" t="str">
        <v>USA</v>
      </c>
      <c r="F830" s="15" t="str">
        <v>GK</v>
      </c>
      <c r="G830" s="15" t="str">
        <v>Chicago Fire FC</v>
      </c>
      <c r="H830" s="15">
        <v>25</v>
      </c>
      <c r="I830" s="15" t="str">
        <f t="shared" si="74"/>
        <v>393|Chris Brady|22|USA|GK|Chicago Fire FC|25</v>
      </c>
      <c r="J830" s="15" t="str">
        <f>IF(COUNTIF(I$438:I830,I830)&gt;1,"DOUBLON","OK")</f>
        <v>OK</v>
      </c>
      <c r="S830" s="30" t="str">
        <v>Italy</v>
      </c>
      <c r="T830" s="30" t="str">
        <f t="shared" si="75"/>
        <v>OK</v>
      </c>
      <c r="U830" s="30" t="str">
        <f t="shared" si="71"/>
        <v>-</v>
      </c>
      <c r="V830" s="30" t="str" cm="1">
        <f t="array" ref="V830">_xlfn.IFS(
ISNUMBER(SEARCH("USA",S830)),"United States",
ISNUMBER(SEARCH("Republic of Korea",S830)),"South Korea",
ISNUMBER(SEARCH("Cape Verde",S830)),"Cabo Verde",
ISNUMBER(SEARCH("Czechia",S830)),"Czech Republic",
ISNUMBER(SEARCH("Türkiye",S830)),"Turkey",
ISNUMBER(SEARCH("Ivory Coast",S830)),"Côte d'Ivoire",
ISNUMBER(SEARCH("Korea Republic",S830)),"South Korea",
ISNUMBER(SEARCH("Germany FR",S830)),"FR Germany",
ISNUMBER(SEARCH("West Germany",S830)),"FR Germany",
ISNUMBER(SEARCH("Germany DR",S830)),"DR Germany",
ISNUMBER(SEARCH("Korea DPR",S830)),"North Korea",
ISNUMBER(SEARCH("China PR",S830)),"China",
ISNUMBER(SEARCH("IR Iran",S830)),"Iran",
ISNUMBER(SEARCH("Congo DR",S830)),"Democratic Republic of the Congo",
ISNUMBER(SEARCH("DR Congo",S830)),"Democratic Republic of the Congo",
ISNUMBER(SEARCH("German DR",S830)),"DR Germany",
ISNUMBER(SEARCH("rn""&gt;United Arab Emirates",S830)),"United Arab Emirates",
ISNUMBER(SEARCH("rn""&gt;Republic of Ireland",S830)),"Ireland",
ISNUMBER(SEARCH("rn""&gt;Bosnia and Herzegovina",S830)),"Bosnia and Herzegovina",
ISNUMBER(SEARCH("rn""&gt;Trinidad and Tobago",S830)),"Trinidad and Tobago",
ISNUMBER(SEARCH("rn""&gt;Serbia and Montenegro",S830)),"Serbia and Montenegro",
ISNUMBER(SEARCH(_xlfn.UNICHAR(65533),S830)),"Côte d'Ivoire",
TRUE,""
)</f>
        <v/>
      </c>
      <c r="W830" s="30" t="str">
        <f t="shared" si="72"/>
        <v>Italy</v>
      </c>
      <c r="Z830" s="40" t="str">
        <v>Estadio do Maracana</v>
      </c>
      <c r="AA830" s="40" t="str" cm="1">
        <f t="array" ref="AA830">IFERROR(_xlfn.XLOOKUP(Z830,_xlfn.ANCHORARRAY(Z$31),AA$31:AA$37),Z830)</f>
        <v>Estadio do Maracana</v>
      </c>
      <c r="AB830" s="42" t="str">
        <v xml:space="preserve">Rio De Janeiro </v>
      </c>
      <c r="AC830" s="89" t="str">
        <f t="shared" si="73"/>
        <v xml:space="preserve">Rio De Janeiro </v>
      </c>
      <c r="AE830" s="42">
        <v>2010</v>
      </c>
      <c r="AK830" s="42">
        <v>2</v>
      </c>
      <c r="AL830" s="42">
        <v>1</v>
      </c>
      <c r="AW830" s="89" t="str">
        <v>GROUP_STAGE</v>
      </c>
      <c r="BE830" s="43" t="str">
        <f>IF(OR(DATA_CLEANED!AL821="",DATA_CLEANED!AM821=""),"MANQUANT",IF(OR(NOT(ISNUMBER(DATA_CLEANED!AL821)),NOT(ISNUMBER(DATA_CLEANED!AM821))),"ENTREE INVALIDE",IF(OR(DATA_CLEANED!AL821&lt;0,DATA_CLEANED!AM821&lt;0),"SCORE NEGATIF","OK")))</f>
        <v>OK</v>
      </c>
      <c r="BF830" s="43" t="str">
        <f>IF(DATA_CLEANED!AK821&lt;&gt;DATA_CLEANED!AN821,"OK","ERREUR")</f>
        <v>OK</v>
      </c>
      <c r="BG830" s="43" t="str">
        <f>IF(DATA_CLEANED!AL821&gt;DATA_CLEANED!AM821,DATA_CLEANED!AK821,IF(AND(DATA_QUALITE!W5307="-",DATA_CLEANED!AM821=DATA_CLEANED!AL821),"MATCH NUL",IF(AND(DATA_QUALITE!V5307="-",DATA_QUALITE!U5307="AUCUNE"),DATA_QUALITE!T5307,IF(DATA_QUALITE!V5307&lt;&gt;"-",DATA_QUALITE!V5307,DATA_CLEANED!AN821))))</f>
        <v>Belgium</v>
      </c>
      <c r="BH830" s="103" t="str">
        <f>IF(AND(BG830="MATCH NUL",DATA_CLEANED!AO821="-"),"MATCH_NUL",IF(ISNUMBER(SEARCH("win on penalties",W5307)),"WIN_BY_PENALTY",IF(ISNUMBER(SEARCH("win after extra time",W5307)),"WIN_BY_EXTRA_TIME",IF(ISNUMBER(SEARCH("Golden Goal",W5307)),"WIN_BY_GOLDEN_GOAL","WIN_BY_SCORE"))))</f>
        <v>WIN_BY_SCORE</v>
      </c>
      <c r="BI830" s="99" t="str">
        <f>IF(OR(BG830=DATA_CLEANED!AK821,BG830=DATA_CLEANED!AN821,BG830="MATCH NUL"),"OK","ERREUR")</f>
        <v>OK</v>
      </c>
    </row>
    <row r="831" spans="2:61">
      <c r="B831" s="75">
        <v>394</v>
      </c>
      <c r="C831" s="15" t="str">
        <v>Chris Richards</v>
      </c>
      <c r="D831" s="15">
        <v>26</v>
      </c>
      <c r="E831" s="15" t="str">
        <v>USA</v>
      </c>
      <c r="F831" s="15" t="str">
        <v>CB</v>
      </c>
      <c r="G831" s="15" t="str">
        <v>Crystal Palace</v>
      </c>
      <c r="H831" s="15">
        <v>3</v>
      </c>
      <c r="I831" s="15" t="str">
        <f t="shared" si="74"/>
        <v>394|Chris Richards|26|USA|CB|Crystal Palace|3</v>
      </c>
      <c r="J831" s="15" t="str">
        <f>IF(COUNTIF(I$438:I831,I831)&gt;1,"DOUBLON","OK")</f>
        <v>OK</v>
      </c>
      <c r="S831" s="30" t="str">
        <v>Argentina</v>
      </c>
      <c r="T831" s="30" t="str">
        <f t="shared" si="75"/>
        <v>OK</v>
      </c>
      <c r="U831" s="30" t="str">
        <f t="shared" si="71"/>
        <v>-</v>
      </c>
      <c r="V831" s="30" t="str" cm="1">
        <f t="array" ref="V831">_xlfn.IFS(
ISNUMBER(SEARCH("USA",S831)),"United States",
ISNUMBER(SEARCH("Republic of Korea",S831)),"South Korea",
ISNUMBER(SEARCH("Cape Verde",S831)),"Cabo Verde",
ISNUMBER(SEARCH("Czechia",S831)),"Czech Republic",
ISNUMBER(SEARCH("Türkiye",S831)),"Turkey",
ISNUMBER(SEARCH("Ivory Coast",S831)),"Côte d'Ivoire",
ISNUMBER(SEARCH("Korea Republic",S831)),"South Korea",
ISNUMBER(SEARCH("Germany FR",S831)),"FR Germany",
ISNUMBER(SEARCH("West Germany",S831)),"FR Germany",
ISNUMBER(SEARCH("Germany DR",S831)),"DR Germany",
ISNUMBER(SEARCH("Korea DPR",S831)),"North Korea",
ISNUMBER(SEARCH("China PR",S831)),"China",
ISNUMBER(SEARCH("IR Iran",S831)),"Iran",
ISNUMBER(SEARCH("Congo DR",S831)),"Democratic Republic of the Congo",
ISNUMBER(SEARCH("DR Congo",S831)),"Democratic Republic of the Congo",
ISNUMBER(SEARCH("German DR",S831)),"DR Germany",
ISNUMBER(SEARCH("rn""&gt;United Arab Emirates",S831)),"United Arab Emirates",
ISNUMBER(SEARCH("rn""&gt;Republic of Ireland",S831)),"Ireland",
ISNUMBER(SEARCH("rn""&gt;Bosnia and Herzegovina",S831)),"Bosnia and Herzegovina",
ISNUMBER(SEARCH("rn""&gt;Trinidad and Tobago",S831)),"Trinidad and Tobago",
ISNUMBER(SEARCH("rn""&gt;Serbia and Montenegro",S831)),"Serbia and Montenegro",
ISNUMBER(SEARCH(_xlfn.UNICHAR(65533),S831)),"Côte d'Ivoire",
TRUE,""
)</f>
        <v/>
      </c>
      <c r="W831" s="30" t="str">
        <f t="shared" si="72"/>
        <v>Argentina</v>
      </c>
      <c r="Z831" s="40" t="str">
        <v>Arena Amazonia</v>
      </c>
      <c r="AA831" s="40" t="str" cm="1">
        <f t="array" ref="AA831">IFERROR(_xlfn.XLOOKUP(Z831,_xlfn.ANCHORARRAY(Z$31),AA$31:AA$37),Z831)</f>
        <v>Arena Amazonia</v>
      </c>
      <c r="AB831" s="42" t="str">
        <v xml:space="preserve">Manaus </v>
      </c>
      <c r="AC831" s="89" t="str">
        <f t="shared" si="73"/>
        <v xml:space="preserve">Manaus </v>
      </c>
      <c r="AE831" s="42">
        <v>2010</v>
      </c>
      <c r="AK831" s="42">
        <v>3</v>
      </c>
      <c r="AL831" s="42">
        <v>2</v>
      </c>
      <c r="AW831" s="89" t="str">
        <v>GROUP_STAGE</v>
      </c>
      <c r="BE831" s="43" t="str">
        <f>IF(OR(DATA_CLEANED!AL822="",DATA_CLEANED!AM822=""),"MANQUANT",IF(OR(NOT(ISNUMBER(DATA_CLEANED!AL822)),NOT(ISNUMBER(DATA_CLEANED!AM822))),"ENTREE INVALIDE",IF(OR(DATA_CLEANED!AL822&lt;0,DATA_CLEANED!AM822&lt;0),"SCORE NEGATIF","OK")))</f>
        <v>OK</v>
      </c>
      <c r="BF831" s="43" t="str">
        <f>IF(DATA_CLEANED!AK822&lt;&gt;DATA_CLEANED!AN822,"OK","ERREUR")</f>
        <v>OK</v>
      </c>
      <c r="BG831" s="43" t="str">
        <f>IF(DATA_CLEANED!AL822&gt;DATA_CLEANED!AM822,DATA_CLEANED!AK822,IF(AND(DATA_QUALITE!W5308="-",DATA_CLEANED!AM822=DATA_CLEANED!AL822),"MATCH NUL",IF(AND(DATA_QUALITE!V5308="-",DATA_QUALITE!U5308="AUCUNE"),DATA_QUALITE!T5308,IF(DATA_QUALITE!V5308&lt;&gt;"-",DATA_QUALITE!V5308,DATA_CLEANED!AN822))))</f>
        <v>MATCH NUL</v>
      </c>
      <c r="BH831" s="103" t="str">
        <f>IF(AND(BG831="MATCH NUL",DATA_CLEANED!AO822="-"),"MATCH_NUL",IF(ISNUMBER(SEARCH("win on penalties",W5308)),"WIN_BY_PENALTY",IF(ISNUMBER(SEARCH("win after extra time",W5308)),"WIN_BY_EXTRA_TIME",IF(ISNUMBER(SEARCH("Golden Goal",W5308)),"WIN_BY_GOLDEN_GOAL","WIN_BY_SCORE"))))</f>
        <v>MATCH_NUL</v>
      </c>
      <c r="BI831" s="99" t="str">
        <f>IF(OR(BG831=DATA_CLEANED!AK822,BG831=DATA_CLEANED!AN822,BG831="MATCH NUL"),"OK","ERREUR")</f>
        <v>OK</v>
      </c>
    </row>
    <row r="832" spans="2:61">
      <c r="B832" s="75">
        <v>395</v>
      </c>
      <c r="C832" s="15" t="str">
        <v>Auston Trusty</v>
      </c>
      <c r="D832" s="15">
        <v>27</v>
      </c>
      <c r="E832" s="15" t="str">
        <v>USA</v>
      </c>
      <c r="F832" s="15" t="str">
        <v>CB</v>
      </c>
      <c r="G832" s="15" t="str">
        <v>Celtic</v>
      </c>
      <c r="H832" s="15">
        <v>6</v>
      </c>
      <c r="I832" s="15" t="str">
        <f t="shared" si="74"/>
        <v>395|Auston Trusty|27|USA|CB|Celtic|6</v>
      </c>
      <c r="J832" s="15" t="str">
        <f>IF(COUNTIF(I$438:I832,I832)&gt;1,"DOUBLON","OK")</f>
        <v>OK</v>
      </c>
      <c r="S832" s="30" t="str">
        <v>Italy</v>
      </c>
      <c r="T832" s="30" t="str">
        <f t="shared" si="75"/>
        <v>OK</v>
      </c>
      <c r="U832" s="30" t="str">
        <f t="shared" ref="U832:U895" si="76">IF(OR(S832="Scotland",S832="England",S832="Wales",S832="Yugoslavia",S832="Czechoslovakia",S832="Northern Ireland",S832="Soviet Union",S832="Zaire",S832="Dutch East Indies"),"AUCUNE",IF(OR(S832="Cape Verde",S832="USA",S832="DR Congo",S832="Republic of Korea",S832="Germany FR",S832="Germany DR",S832="Czechia",S832="Ivory Coast",S832="Korea DPR",S832="China PR",S832="IR Iran",S832="Türkiye",S832="Congo DR",S832="German DR",S832="West Germany",S832="Republic of Ireland",ISNUMBER(SEARCH("rn""&gt;United Arab Emirates",S832)),ISNUMBER(SEARCH("rn""&gt;Republic of Ireland",S832)),ISNUMBER(SEARCH("rn""&gt;Bosnia and Herzegovina",S832)),ISNUMBER(SEARCH("rn""&gt;Trinidad and Tobago",S832)),ISNUMBER(SEARCH("rn""&gt;Serbia and Montenegro",S832)),ISNUMBER(SEARCH(_xlfn.UNICHAR(65533),S832))),"RENOMMER","-"))</f>
        <v>-</v>
      </c>
      <c r="V832" s="30" t="str" cm="1">
        <f t="array" ref="V832">_xlfn.IFS(
ISNUMBER(SEARCH("USA",S832)),"United States",
ISNUMBER(SEARCH("Republic of Korea",S832)),"South Korea",
ISNUMBER(SEARCH("Cape Verde",S832)),"Cabo Verde",
ISNUMBER(SEARCH("Czechia",S832)),"Czech Republic",
ISNUMBER(SEARCH("Türkiye",S832)),"Turkey",
ISNUMBER(SEARCH("Ivory Coast",S832)),"Côte d'Ivoire",
ISNUMBER(SEARCH("Korea Republic",S832)),"South Korea",
ISNUMBER(SEARCH("Germany FR",S832)),"FR Germany",
ISNUMBER(SEARCH("West Germany",S832)),"FR Germany",
ISNUMBER(SEARCH("Germany DR",S832)),"DR Germany",
ISNUMBER(SEARCH("Korea DPR",S832)),"North Korea",
ISNUMBER(SEARCH("China PR",S832)),"China",
ISNUMBER(SEARCH("IR Iran",S832)),"Iran",
ISNUMBER(SEARCH("Congo DR",S832)),"Democratic Republic of the Congo",
ISNUMBER(SEARCH("DR Congo",S832)),"Democratic Republic of the Congo",
ISNUMBER(SEARCH("German DR",S832)),"DR Germany",
ISNUMBER(SEARCH("rn""&gt;United Arab Emirates",S832)),"United Arab Emirates",
ISNUMBER(SEARCH("rn""&gt;Republic of Ireland",S832)),"Ireland",
ISNUMBER(SEARCH("rn""&gt;Bosnia and Herzegovina",S832)),"Bosnia and Herzegovina",
ISNUMBER(SEARCH("rn""&gt;Trinidad and Tobago",S832)),"Trinidad and Tobago",
ISNUMBER(SEARCH("rn""&gt;Serbia and Montenegro",S832)),"Serbia and Montenegro",
ISNUMBER(SEARCH(_xlfn.UNICHAR(65533),S832)),"Côte d'Ivoire",
TRUE,""
)</f>
        <v/>
      </c>
      <c r="W832" s="30" t="str">
        <f t="shared" si="72"/>
        <v>Italy</v>
      </c>
      <c r="Z832" s="40" t="str">
        <v>Estadio Nacional</v>
      </c>
      <c r="AA832" s="40" t="str" cm="1">
        <f t="array" ref="AA832">IFERROR(_xlfn.XLOOKUP(Z832,_xlfn.ANCHORARRAY(Z$31),AA$31:AA$37),Z832)</f>
        <v>Estadio Nacional</v>
      </c>
      <c r="AB832" s="42" t="str">
        <v xml:space="preserve">Brasilia </v>
      </c>
      <c r="AC832" s="89" t="str">
        <f t="shared" si="73"/>
        <v xml:space="preserve">Brasilia </v>
      </c>
      <c r="AE832" s="42">
        <v>2010</v>
      </c>
      <c r="AK832" s="42">
        <v>0</v>
      </c>
      <c r="AL832" s="42">
        <v>0</v>
      </c>
      <c r="AW832" s="89" t="str">
        <v>ROUND_OF_16</v>
      </c>
      <c r="BE832" s="43" t="str">
        <f>IF(OR(DATA_CLEANED!AL823="",DATA_CLEANED!AM823=""),"MANQUANT",IF(OR(NOT(ISNUMBER(DATA_CLEANED!AL823)),NOT(ISNUMBER(DATA_CLEANED!AM823))),"ENTREE INVALIDE",IF(OR(DATA_CLEANED!AL823&lt;0,DATA_CLEANED!AM823&lt;0),"SCORE NEGATIF","OK")))</f>
        <v>OK</v>
      </c>
      <c r="BF832" s="43" t="str">
        <f>IF(DATA_CLEANED!AK823&lt;&gt;DATA_CLEANED!AN823,"OK","ERREUR")</f>
        <v>OK</v>
      </c>
      <c r="BG832" s="43" t="str">
        <f>IF(DATA_CLEANED!AL823&gt;DATA_CLEANED!AM823,DATA_CLEANED!AK823,IF(AND(DATA_QUALITE!W5309="-",DATA_CLEANED!AM823=DATA_CLEANED!AL823),"MATCH NUL",IF(AND(DATA_QUALITE!V5309="-",DATA_QUALITE!U5309="AUCUNE"),DATA_QUALITE!T5309,IF(DATA_QUALITE!V5309&lt;&gt;"-",DATA_QUALITE!V5309,DATA_CLEANED!AN823))))</f>
        <v>Brazil</v>
      </c>
      <c r="BH832" s="103" t="str">
        <f>IF(AND(BG832="MATCH NUL",DATA_CLEANED!AO823="-"),"MATCH_NUL",IF(ISNUMBER(SEARCH("win on penalties",W5309)),"WIN_BY_PENALTY",IF(ISNUMBER(SEARCH("win after extra time",W5309)),"WIN_BY_EXTRA_TIME",IF(ISNUMBER(SEARCH("Golden Goal",W5309)),"WIN_BY_GOLDEN_GOAL","WIN_BY_SCORE"))))</f>
        <v>WIN_BY_PENALTY</v>
      </c>
      <c r="BI832" s="99" t="str">
        <f>IF(OR(BG832=DATA_CLEANED!AK823,BG832=DATA_CLEANED!AN823,BG832="MATCH NUL"),"OK","ERREUR")</f>
        <v>OK</v>
      </c>
    </row>
    <row r="833" spans="2:61">
      <c r="B833" s="75">
        <v>396</v>
      </c>
      <c r="C833" s="15" t="str">
        <v>Miles Robinson</v>
      </c>
      <c r="D833" s="15">
        <v>29</v>
      </c>
      <c r="E833" s="15" t="str">
        <v>USA</v>
      </c>
      <c r="F833" s="15" t="str">
        <v>CB</v>
      </c>
      <c r="G833" s="15" t="str">
        <v>FC Cincinnati</v>
      </c>
      <c r="H833" s="15">
        <v>12</v>
      </c>
      <c r="I833" s="15" t="str">
        <f t="shared" si="74"/>
        <v>396|Miles Robinson|29|USA|CB|FC Cincinnati|12</v>
      </c>
      <c r="J833" s="15" t="str">
        <f>IF(COUNTIF(I$438:I833,I833)&gt;1,"DOUBLON","OK")</f>
        <v>OK</v>
      </c>
      <c r="S833" s="30" t="str">
        <v>Argentina</v>
      </c>
      <c r="T833" s="30" t="str">
        <f t="shared" si="75"/>
        <v>OK</v>
      </c>
      <c r="U833" s="30" t="str">
        <f t="shared" si="76"/>
        <v>-</v>
      </c>
      <c r="V833" s="30" t="str" cm="1">
        <f t="array" ref="V833">_xlfn.IFS(
ISNUMBER(SEARCH("USA",S833)),"United States",
ISNUMBER(SEARCH("Republic of Korea",S833)),"South Korea",
ISNUMBER(SEARCH("Cape Verde",S833)),"Cabo Verde",
ISNUMBER(SEARCH("Czechia",S833)),"Czech Republic",
ISNUMBER(SEARCH("Türkiye",S833)),"Turkey",
ISNUMBER(SEARCH("Ivory Coast",S833)),"Côte d'Ivoire",
ISNUMBER(SEARCH("Korea Republic",S833)),"South Korea",
ISNUMBER(SEARCH("Germany FR",S833)),"FR Germany",
ISNUMBER(SEARCH("West Germany",S833)),"FR Germany",
ISNUMBER(SEARCH("Germany DR",S833)),"DR Germany",
ISNUMBER(SEARCH("Korea DPR",S833)),"North Korea",
ISNUMBER(SEARCH("China PR",S833)),"China",
ISNUMBER(SEARCH("IR Iran",S833)),"Iran",
ISNUMBER(SEARCH("Congo DR",S833)),"Democratic Republic of the Congo",
ISNUMBER(SEARCH("DR Congo",S833)),"Democratic Republic of the Congo",
ISNUMBER(SEARCH("German DR",S833)),"DR Germany",
ISNUMBER(SEARCH("rn""&gt;United Arab Emirates",S833)),"United Arab Emirates",
ISNUMBER(SEARCH("rn""&gt;Republic of Ireland",S833)),"Ireland",
ISNUMBER(SEARCH("rn""&gt;Bosnia and Herzegovina",S833)),"Bosnia and Herzegovina",
ISNUMBER(SEARCH("rn""&gt;Trinidad and Tobago",S833)),"Trinidad and Tobago",
ISNUMBER(SEARCH("rn""&gt;Serbia and Montenegro",S833)),"Serbia and Montenegro",
ISNUMBER(SEARCH(_xlfn.UNICHAR(65533),S833)),"Côte d'Ivoire",
TRUE,""
)</f>
        <v/>
      </c>
      <c r="W833" s="30" t="str">
        <f t="shared" si="72"/>
        <v>Argentina</v>
      </c>
      <c r="Z833" s="40" t="str">
        <v>Arena de Sao Paulo</v>
      </c>
      <c r="AA833" s="40" t="str" cm="1">
        <f t="array" ref="AA833">IFERROR(_xlfn.XLOOKUP(Z833,_xlfn.ANCHORARRAY(Z$31),AA$31:AA$37),Z833)</f>
        <v>Arena de Sao Paulo</v>
      </c>
      <c r="AB833" s="42" t="str">
        <v xml:space="preserve">Sao Paulo </v>
      </c>
      <c r="AC833" s="89" t="str">
        <f t="shared" si="73"/>
        <v xml:space="preserve">Sao Paulo </v>
      </c>
      <c r="AE833" s="42">
        <v>2010</v>
      </c>
      <c r="AK833" s="42">
        <v>1</v>
      </c>
      <c r="AL833" s="42">
        <v>3</v>
      </c>
      <c r="AW833" s="89" t="str">
        <v>ROUND_OF_16</v>
      </c>
      <c r="BE833" s="43" t="str">
        <f>IF(OR(DATA_CLEANED!AL824="",DATA_CLEANED!AM824=""),"MANQUANT",IF(OR(NOT(ISNUMBER(DATA_CLEANED!AL824)),NOT(ISNUMBER(DATA_CLEANED!AM824))),"ENTREE INVALIDE",IF(OR(DATA_CLEANED!AL824&lt;0,DATA_CLEANED!AM824&lt;0),"SCORE NEGATIF","OK")))</f>
        <v>OK</v>
      </c>
      <c r="BF833" s="43" t="str">
        <f>IF(DATA_CLEANED!AK824&lt;&gt;DATA_CLEANED!AN824,"OK","ERREUR")</f>
        <v>OK</v>
      </c>
      <c r="BG833" s="43" t="str">
        <f>IF(DATA_CLEANED!AL824&gt;DATA_CLEANED!AM824,DATA_CLEANED!AK824,IF(AND(DATA_QUALITE!W5310="-",DATA_CLEANED!AM824=DATA_CLEANED!AL824),"MATCH NUL",IF(AND(DATA_QUALITE!V5310="-",DATA_QUALITE!U5310="AUCUNE"),DATA_QUALITE!T5310,IF(DATA_QUALITE!V5310&lt;&gt;"-",DATA_QUALITE!V5310,DATA_CLEANED!AN824))))</f>
        <v>Colombia</v>
      </c>
      <c r="BH833" s="103" t="str">
        <f>IF(AND(BG833="MATCH NUL",DATA_CLEANED!AO824="-"),"MATCH_NUL",IF(ISNUMBER(SEARCH("win on penalties",W5310)),"WIN_BY_PENALTY",IF(ISNUMBER(SEARCH("win after extra time",W5310)),"WIN_BY_EXTRA_TIME",IF(ISNUMBER(SEARCH("Golden Goal",W5310)),"WIN_BY_GOLDEN_GOAL","WIN_BY_SCORE"))))</f>
        <v>WIN_BY_SCORE</v>
      </c>
      <c r="BI833" s="99" t="str">
        <f>IF(OR(BG833=DATA_CLEANED!AK824,BG833=DATA_CLEANED!AN824,BG833="MATCH NUL"),"OK","ERREUR")</f>
        <v>OK</v>
      </c>
    </row>
    <row r="834" spans="2:61">
      <c r="B834" s="75">
        <v>397</v>
      </c>
      <c r="C834" s="15" t="str">
        <v>Tim Ream</v>
      </c>
      <c r="D834" s="15">
        <v>38</v>
      </c>
      <c r="E834" s="15" t="str">
        <v>USA</v>
      </c>
      <c r="F834" s="15" t="str">
        <v>CB</v>
      </c>
      <c r="G834" s="15" t="str">
        <v>Charlotte FC</v>
      </c>
      <c r="H834" s="15">
        <v>13</v>
      </c>
      <c r="I834" s="15" t="str">
        <f t="shared" si="74"/>
        <v>397|Tim Ream|38|USA|CB|Charlotte FC|13</v>
      </c>
      <c r="J834" s="15" t="str">
        <f>IF(COUNTIF(I$438:I834,I834)&gt;1,"DOUBLON","OK")</f>
        <v>OK</v>
      </c>
      <c r="S834" s="30" t="str">
        <v>Italy</v>
      </c>
      <c r="T834" s="30" t="str">
        <f t="shared" si="75"/>
        <v>OK</v>
      </c>
      <c r="U834" s="30" t="str">
        <f t="shared" si="76"/>
        <v>-</v>
      </c>
      <c r="V834" s="30" t="str" cm="1">
        <f t="array" ref="V834">_xlfn.IFS(
ISNUMBER(SEARCH("USA",S834)),"United States",
ISNUMBER(SEARCH("Republic of Korea",S834)),"South Korea",
ISNUMBER(SEARCH("Cape Verde",S834)),"Cabo Verde",
ISNUMBER(SEARCH("Czechia",S834)),"Czech Republic",
ISNUMBER(SEARCH("Türkiye",S834)),"Turkey",
ISNUMBER(SEARCH("Ivory Coast",S834)),"Côte d'Ivoire",
ISNUMBER(SEARCH("Korea Republic",S834)),"South Korea",
ISNUMBER(SEARCH("Germany FR",S834)),"FR Germany",
ISNUMBER(SEARCH("West Germany",S834)),"FR Germany",
ISNUMBER(SEARCH("Germany DR",S834)),"DR Germany",
ISNUMBER(SEARCH("Korea DPR",S834)),"North Korea",
ISNUMBER(SEARCH("China PR",S834)),"China",
ISNUMBER(SEARCH("IR Iran",S834)),"Iran",
ISNUMBER(SEARCH("Congo DR",S834)),"Democratic Republic of the Congo",
ISNUMBER(SEARCH("DR Congo",S834)),"Democratic Republic of the Congo",
ISNUMBER(SEARCH("German DR",S834)),"DR Germany",
ISNUMBER(SEARCH("rn""&gt;United Arab Emirates",S834)),"United Arab Emirates",
ISNUMBER(SEARCH("rn""&gt;Republic of Ireland",S834)),"Ireland",
ISNUMBER(SEARCH("rn""&gt;Bosnia and Herzegovina",S834)),"Bosnia and Herzegovina",
ISNUMBER(SEARCH("rn""&gt;Trinidad and Tobago",S834)),"Trinidad and Tobago",
ISNUMBER(SEARCH("rn""&gt;Serbia and Montenegro",S834)),"Serbia and Montenegro",
ISNUMBER(SEARCH(_xlfn.UNICHAR(65533),S834)),"Côte d'Ivoire",
TRUE,""
)</f>
        <v/>
      </c>
      <c r="W834" s="30" t="str">
        <f t="shared" si="72"/>
        <v>Italy</v>
      </c>
      <c r="Z834" s="40" t="str">
        <v>Estadio das Dunas</v>
      </c>
      <c r="AA834" s="40" t="str" cm="1">
        <f t="array" ref="AA834">IFERROR(_xlfn.XLOOKUP(Z834,_xlfn.ANCHORARRAY(Z$31),AA$31:AA$37),Z834)</f>
        <v>Estadio das Dunas</v>
      </c>
      <c r="AB834" s="42" t="str">
        <v xml:space="preserve">Natal </v>
      </c>
      <c r="AC834" s="89" t="str">
        <f t="shared" si="73"/>
        <v xml:space="preserve">Natal </v>
      </c>
      <c r="AE834" s="42">
        <v>2010</v>
      </c>
      <c r="AK834" s="42">
        <v>1</v>
      </c>
      <c r="AL834" s="42">
        <v>2</v>
      </c>
      <c r="AW834" s="89" t="str">
        <v>ROUND_OF_16</v>
      </c>
      <c r="BE834" s="43" t="str">
        <f>IF(OR(DATA_CLEANED!AL825="",DATA_CLEANED!AM825=""),"MANQUANT",IF(OR(NOT(ISNUMBER(DATA_CLEANED!AL825)),NOT(ISNUMBER(DATA_CLEANED!AM825))),"ENTREE INVALIDE",IF(OR(DATA_CLEANED!AL825&lt;0,DATA_CLEANED!AM825&lt;0),"SCORE NEGATIF","OK")))</f>
        <v>OK</v>
      </c>
      <c r="BF834" s="43" t="str">
        <f>IF(DATA_CLEANED!AK825&lt;&gt;DATA_CLEANED!AN825,"OK","ERREUR")</f>
        <v>OK</v>
      </c>
      <c r="BG834" s="43" t="str">
        <f>IF(DATA_CLEANED!AL825&gt;DATA_CLEANED!AM825,DATA_CLEANED!AK825,IF(AND(DATA_QUALITE!W5311="-",DATA_CLEANED!AM825=DATA_CLEANED!AL825),"MATCH NUL",IF(AND(DATA_QUALITE!V5311="-",DATA_QUALITE!U5311="AUCUNE"),DATA_QUALITE!T5311,IF(DATA_QUALITE!V5311&lt;&gt;"-",DATA_QUALITE!V5311,DATA_CLEANED!AN825))))</f>
        <v>France</v>
      </c>
      <c r="BH834" s="103" t="str">
        <f>IF(AND(BG834="MATCH NUL",DATA_CLEANED!AO825="-"),"MATCH_NUL",IF(ISNUMBER(SEARCH("win on penalties",W5311)),"WIN_BY_PENALTY",IF(ISNUMBER(SEARCH("win after extra time",W5311)),"WIN_BY_EXTRA_TIME",IF(ISNUMBER(SEARCH("Golden Goal",W5311)),"WIN_BY_GOLDEN_GOAL","WIN_BY_SCORE"))))</f>
        <v>WIN_BY_SCORE</v>
      </c>
      <c r="BI834" s="99" t="str">
        <f>IF(OR(BG834=DATA_CLEANED!AK825,BG834=DATA_CLEANED!AN825,BG834="MATCH NUL"),"OK","ERREUR")</f>
        <v>OK</v>
      </c>
    </row>
    <row r="835" spans="2:61">
      <c r="B835" s="75">
        <v>398</v>
      </c>
      <c r="C835" s="15" t="str">
        <v>Mark McKenzie</v>
      </c>
      <c r="D835" s="15">
        <v>27</v>
      </c>
      <c r="E835" s="15" t="str">
        <v>USA</v>
      </c>
      <c r="F835" s="15" t="str">
        <v>CB</v>
      </c>
      <c r="G835" s="15" t="str">
        <v>Toulouse</v>
      </c>
      <c r="H835" s="15">
        <v>22</v>
      </c>
      <c r="I835" s="15" t="str">
        <f t="shared" si="74"/>
        <v>398|Mark McKenzie|27|USA|CB|Toulouse|22</v>
      </c>
      <c r="J835" s="15" t="str">
        <f>IF(COUNTIF(I$438:I835,I835)&gt;1,"DOUBLON","OK")</f>
        <v>OK</v>
      </c>
      <c r="S835" s="30" t="str">
        <v>West Germany</v>
      </c>
      <c r="T835" s="30" t="str">
        <f t="shared" si="75"/>
        <v>ERREUR</v>
      </c>
      <c r="U835" s="30" t="str">
        <f t="shared" si="76"/>
        <v>RENOMMER</v>
      </c>
      <c r="V835" s="30" t="str" cm="1">
        <f t="array" ref="V835">_xlfn.IFS(
ISNUMBER(SEARCH("USA",S835)),"United States",
ISNUMBER(SEARCH("Republic of Korea",S835)),"South Korea",
ISNUMBER(SEARCH("Cape Verde",S835)),"Cabo Verde",
ISNUMBER(SEARCH("Czechia",S835)),"Czech Republic",
ISNUMBER(SEARCH("Türkiye",S835)),"Turkey",
ISNUMBER(SEARCH("Ivory Coast",S835)),"Côte d'Ivoire",
ISNUMBER(SEARCH("Korea Republic",S835)),"South Korea",
ISNUMBER(SEARCH("Germany FR",S835)),"FR Germany",
ISNUMBER(SEARCH("West Germany",S835)),"FR Germany",
ISNUMBER(SEARCH("Germany DR",S835)),"DR Germany",
ISNUMBER(SEARCH("Korea DPR",S835)),"North Korea",
ISNUMBER(SEARCH("China PR",S835)),"China",
ISNUMBER(SEARCH("IR Iran",S835)),"Iran",
ISNUMBER(SEARCH("Congo DR",S835)),"Democratic Republic of the Congo",
ISNUMBER(SEARCH("DR Congo",S835)),"Democratic Republic of the Congo",
ISNUMBER(SEARCH("German DR",S835)),"DR Germany",
ISNUMBER(SEARCH("rn""&gt;United Arab Emirates",S835)),"United Arab Emirates",
ISNUMBER(SEARCH("rn""&gt;Republic of Ireland",S835)),"Ireland",
ISNUMBER(SEARCH("rn""&gt;Bosnia and Herzegovina",S835)),"Bosnia and Herzegovina",
ISNUMBER(SEARCH("rn""&gt;Trinidad and Tobago",S835)),"Trinidad and Tobago",
ISNUMBER(SEARCH("rn""&gt;Serbia and Montenegro",S835)),"Serbia and Montenegro",
ISNUMBER(SEARCH(_xlfn.UNICHAR(65533),S835)),"Côte d'Ivoire",
TRUE,""
)</f>
        <v>FR Germany</v>
      </c>
      <c r="W835" s="30" t="str">
        <f t="shared" si="72"/>
        <v>FR Germany</v>
      </c>
      <c r="Z835" s="40" t="str">
        <v>Arena Pernambuco</v>
      </c>
      <c r="AA835" s="40" t="str" cm="1">
        <f t="array" ref="AA835">IFERROR(_xlfn.XLOOKUP(Z835,_xlfn.ANCHORARRAY(Z$31),AA$31:AA$37),Z835)</f>
        <v>Arena Pernambuco</v>
      </c>
      <c r="AB835" s="42" t="str">
        <v xml:space="preserve">Recife </v>
      </c>
      <c r="AC835" s="89" t="str">
        <f t="shared" si="73"/>
        <v xml:space="preserve">Recife </v>
      </c>
      <c r="AE835" s="42">
        <v>2010</v>
      </c>
      <c r="AK835" s="42">
        <v>0</v>
      </c>
      <c r="AL835" s="42">
        <v>0</v>
      </c>
      <c r="AW835" s="89" t="str">
        <v>ROUND_OF_16</v>
      </c>
      <c r="BE835" s="43" t="str">
        <f>IF(OR(DATA_CLEANED!AL826="",DATA_CLEANED!AM826=""),"MANQUANT",IF(OR(NOT(ISNUMBER(DATA_CLEANED!AL826)),NOT(ISNUMBER(DATA_CLEANED!AM826))),"ENTREE INVALIDE",IF(OR(DATA_CLEANED!AL826&lt;0,DATA_CLEANED!AM826&lt;0),"SCORE NEGATIF","OK")))</f>
        <v>OK</v>
      </c>
      <c r="BF835" s="43" t="str">
        <f>IF(DATA_CLEANED!AK826&lt;&gt;DATA_CLEANED!AN826,"OK","ERREUR")</f>
        <v>OK</v>
      </c>
      <c r="BG835" s="43" t="str">
        <f>IF(DATA_CLEANED!AL826&gt;DATA_CLEANED!AM826,DATA_CLEANED!AK826,IF(AND(DATA_QUALITE!W5312="-",DATA_CLEANED!AM826=DATA_CLEANED!AL826),"MATCH NUL",IF(AND(DATA_QUALITE!V5312="-",DATA_QUALITE!U5312="AUCUNE"),DATA_QUALITE!T5312,IF(DATA_QUALITE!V5312&lt;&gt;"-",DATA_QUALITE!V5312,DATA_CLEANED!AN826))))</f>
        <v>Germany</v>
      </c>
      <c r="BH835" s="103" t="str">
        <f>IF(AND(BG835="MATCH NUL",DATA_CLEANED!AO826="-"),"MATCH_NUL",IF(ISNUMBER(SEARCH("win on penalties",W5312)),"WIN_BY_PENALTY",IF(ISNUMBER(SEARCH("win after extra time",W5312)),"WIN_BY_EXTRA_TIME",IF(ISNUMBER(SEARCH("Golden Goal",W5312)),"WIN_BY_GOLDEN_GOAL","WIN_BY_SCORE"))))</f>
        <v>WIN_BY_EXTRA_TIME</v>
      </c>
      <c r="BI835" s="99" t="str">
        <f>IF(OR(BG835=DATA_CLEANED!AK826,BG835=DATA_CLEANED!AN826,BG835="MATCH NUL"),"OK","ERREUR")</f>
        <v>OK</v>
      </c>
    </row>
    <row r="836" spans="2:61">
      <c r="B836" s="75">
        <v>399</v>
      </c>
      <c r="C836" s="15" t="str">
        <v>Antonee Robinson</v>
      </c>
      <c r="D836" s="15">
        <v>28</v>
      </c>
      <c r="E836" s="15" t="str">
        <v>USA</v>
      </c>
      <c r="F836" s="15" t="str">
        <v>LB</v>
      </c>
      <c r="G836" s="15" t="str">
        <v>Fulham</v>
      </c>
      <c r="H836" s="15">
        <v>5</v>
      </c>
      <c r="I836" s="15" t="str">
        <f t="shared" si="74"/>
        <v>399|Antonee Robinson|28|USA|LB|Fulham|5</v>
      </c>
      <c r="J836" s="15" t="str">
        <f>IF(COUNTIF(I$438:I836,I836)&gt;1,"DOUBLON","OK")</f>
        <v>OK</v>
      </c>
      <c r="S836" s="30" t="str">
        <v>England</v>
      </c>
      <c r="T836" s="30" t="str">
        <f t="shared" si="75"/>
        <v>ERREUR</v>
      </c>
      <c r="U836" s="30" t="str">
        <f t="shared" si="76"/>
        <v>AUCUNE</v>
      </c>
      <c r="V836" s="30" t="str" cm="1">
        <f t="array" ref="V836">_xlfn.IFS(
ISNUMBER(SEARCH("USA",S836)),"United States",
ISNUMBER(SEARCH("Republic of Korea",S836)),"South Korea",
ISNUMBER(SEARCH("Cape Verde",S836)),"Cabo Verde",
ISNUMBER(SEARCH("Czechia",S836)),"Czech Republic",
ISNUMBER(SEARCH("Türkiye",S836)),"Turkey",
ISNUMBER(SEARCH("Ivory Coast",S836)),"Côte d'Ivoire",
ISNUMBER(SEARCH("Korea Republic",S836)),"South Korea",
ISNUMBER(SEARCH("Germany FR",S836)),"FR Germany",
ISNUMBER(SEARCH("West Germany",S836)),"FR Germany",
ISNUMBER(SEARCH("Germany DR",S836)),"DR Germany",
ISNUMBER(SEARCH("Korea DPR",S836)),"North Korea",
ISNUMBER(SEARCH("China PR",S836)),"China",
ISNUMBER(SEARCH("IR Iran",S836)),"Iran",
ISNUMBER(SEARCH("Congo DR",S836)),"Democratic Republic of the Congo",
ISNUMBER(SEARCH("DR Congo",S836)),"Democratic Republic of the Congo",
ISNUMBER(SEARCH("German DR",S836)),"DR Germany",
ISNUMBER(SEARCH("rn""&gt;United Arab Emirates",S836)),"United Arab Emirates",
ISNUMBER(SEARCH("rn""&gt;Republic of Ireland",S836)),"Ireland",
ISNUMBER(SEARCH("rn""&gt;Bosnia and Herzegovina",S836)),"Bosnia and Herzegovina",
ISNUMBER(SEARCH("rn""&gt;Trinidad and Tobago",S836)),"Trinidad and Tobago",
ISNUMBER(SEARCH("rn""&gt;Serbia and Montenegro",S836)),"Serbia and Montenegro",
ISNUMBER(SEARCH(_xlfn.UNICHAR(65533),S836)),"Côte d'Ivoire",
TRUE,""
)</f>
        <v/>
      </c>
      <c r="W836" s="30" t="str">
        <f t="shared" si="72"/>
        <v>England</v>
      </c>
      <c r="Z836" s="40" t="str">
        <v>Arena Fonte Nova</v>
      </c>
      <c r="AA836" s="40" t="str" cm="1">
        <f t="array" ref="AA836">IFERROR(_xlfn.XLOOKUP(Z836,_xlfn.ANCHORARRAY(Z$31),AA$31:AA$37),Z836)</f>
        <v>Arena Fonte Nova</v>
      </c>
      <c r="AB836" s="42" t="str">
        <v xml:space="preserve">Salvador </v>
      </c>
      <c r="AC836" s="89" t="str">
        <f t="shared" si="73"/>
        <v xml:space="preserve">Salvador </v>
      </c>
      <c r="AE836" s="42">
        <v>2010</v>
      </c>
      <c r="AK836" s="42">
        <v>0</v>
      </c>
      <c r="AL836" s="42">
        <v>3</v>
      </c>
      <c r="AW836" s="89" t="str">
        <v>QUARTER_FINALS</v>
      </c>
      <c r="BE836" s="43" t="str">
        <f>IF(OR(DATA_CLEANED!AL827="",DATA_CLEANED!AM827=""),"MANQUANT",IF(OR(NOT(ISNUMBER(DATA_CLEANED!AL827)),NOT(ISNUMBER(DATA_CLEANED!AM827))),"ENTREE INVALIDE",IF(OR(DATA_CLEANED!AL827&lt;0,DATA_CLEANED!AM827&lt;0),"SCORE NEGATIF","OK")))</f>
        <v>OK</v>
      </c>
      <c r="BF836" s="43" t="str">
        <f>IF(DATA_CLEANED!AK827&lt;&gt;DATA_CLEANED!AN827,"OK","ERREUR")</f>
        <v>OK</v>
      </c>
      <c r="BG836" s="43" t="str">
        <f>IF(DATA_CLEANED!AL827&gt;DATA_CLEANED!AM827,DATA_CLEANED!AK827,IF(AND(DATA_QUALITE!W5313="-",DATA_CLEANED!AM827=DATA_CLEANED!AL827),"MATCH NUL",IF(AND(DATA_QUALITE!V5313="-",DATA_QUALITE!U5313="AUCUNE"),DATA_QUALITE!T5313,IF(DATA_QUALITE!V5313&lt;&gt;"-",DATA_QUALITE!V5313,DATA_CLEANED!AN827))))</f>
        <v>Brazil</v>
      </c>
      <c r="BH836" s="103" t="str">
        <f>IF(AND(BG836="MATCH NUL",DATA_CLEANED!AO827="-"),"MATCH_NUL",IF(ISNUMBER(SEARCH("win on penalties",W5313)),"WIN_BY_PENALTY",IF(ISNUMBER(SEARCH("win after extra time",W5313)),"WIN_BY_EXTRA_TIME",IF(ISNUMBER(SEARCH("Golden Goal",W5313)),"WIN_BY_GOLDEN_GOAL","WIN_BY_SCORE"))))</f>
        <v>WIN_BY_SCORE</v>
      </c>
      <c r="BI836" s="99" t="str">
        <f>IF(OR(BG836=DATA_CLEANED!AK827,BG836=DATA_CLEANED!AN827,BG836="MATCH NUL"),"OK","ERREUR")</f>
        <v>OK</v>
      </c>
    </row>
    <row r="837" spans="2:61">
      <c r="B837" s="75">
        <v>400</v>
      </c>
      <c r="C837" s="15" t="str">
        <v>Max Arfsten</v>
      </c>
      <c r="D837" s="15">
        <v>25</v>
      </c>
      <c r="E837" s="15" t="str">
        <v>USA</v>
      </c>
      <c r="F837" s="15" t="str">
        <v>LB</v>
      </c>
      <c r="G837" s="15" t="str">
        <v>Columbus Crew</v>
      </c>
      <c r="H837" s="15">
        <v>18</v>
      </c>
      <c r="I837" s="15" t="str">
        <f t="shared" si="74"/>
        <v>400|Max Arfsten|25|USA|LB|Columbus Crew|18</v>
      </c>
      <c r="J837" s="15" t="str">
        <f>IF(COUNTIF(I$438:I837,I837)&gt;1,"DOUBLON","OK")</f>
        <v>OK</v>
      </c>
      <c r="S837" s="30" t="str">
        <v>West Germany</v>
      </c>
      <c r="T837" s="30" t="str">
        <f t="shared" si="75"/>
        <v>ERREUR</v>
      </c>
      <c r="U837" s="30" t="str">
        <f t="shared" si="76"/>
        <v>RENOMMER</v>
      </c>
      <c r="V837" s="30" t="str" cm="1">
        <f t="array" ref="V837">_xlfn.IFS(
ISNUMBER(SEARCH("USA",S837)),"United States",
ISNUMBER(SEARCH("Republic of Korea",S837)),"South Korea",
ISNUMBER(SEARCH("Cape Verde",S837)),"Cabo Verde",
ISNUMBER(SEARCH("Czechia",S837)),"Czech Republic",
ISNUMBER(SEARCH("Türkiye",S837)),"Turkey",
ISNUMBER(SEARCH("Ivory Coast",S837)),"Côte d'Ivoire",
ISNUMBER(SEARCH("Korea Republic",S837)),"South Korea",
ISNUMBER(SEARCH("Germany FR",S837)),"FR Germany",
ISNUMBER(SEARCH("West Germany",S837)),"FR Germany",
ISNUMBER(SEARCH("Germany DR",S837)),"DR Germany",
ISNUMBER(SEARCH("Korea DPR",S837)),"North Korea",
ISNUMBER(SEARCH("China PR",S837)),"China",
ISNUMBER(SEARCH("IR Iran",S837)),"Iran",
ISNUMBER(SEARCH("Congo DR",S837)),"Democratic Republic of the Congo",
ISNUMBER(SEARCH("DR Congo",S837)),"Democratic Republic of the Congo",
ISNUMBER(SEARCH("German DR",S837)),"DR Germany",
ISNUMBER(SEARCH("rn""&gt;United Arab Emirates",S837)),"United Arab Emirates",
ISNUMBER(SEARCH("rn""&gt;Republic of Ireland",S837)),"Ireland",
ISNUMBER(SEARCH("rn""&gt;Bosnia and Herzegovina",S837)),"Bosnia and Herzegovina",
ISNUMBER(SEARCH("rn""&gt;Trinidad and Tobago",S837)),"Trinidad and Tobago",
ISNUMBER(SEARCH("rn""&gt;Serbia and Montenegro",S837)),"Serbia and Montenegro",
ISNUMBER(SEARCH(_xlfn.UNICHAR(65533),S837)),"Côte d'Ivoire",
TRUE,""
)</f>
        <v>FR Germany</v>
      </c>
      <c r="W837" s="30" t="str">
        <f t="shared" si="72"/>
        <v>FR Germany</v>
      </c>
      <c r="Z837" s="40" t="str">
        <v>Arena da Baixada</v>
      </c>
      <c r="AA837" s="40" t="str" cm="1">
        <f t="array" ref="AA837">IFERROR(_xlfn.XLOOKUP(Z837,_xlfn.ANCHORARRAY(Z$31),AA$31:AA$37),Z837)</f>
        <v>Arena da Baixada</v>
      </c>
      <c r="AB837" s="42" t="str">
        <v xml:space="preserve">Curitiba </v>
      </c>
      <c r="AC837" s="89" t="str">
        <f t="shared" si="73"/>
        <v xml:space="preserve">Curitiba </v>
      </c>
      <c r="AE837" s="42">
        <v>2010</v>
      </c>
      <c r="AK837" s="42">
        <v>1</v>
      </c>
      <c r="AL837" s="42">
        <v>2</v>
      </c>
      <c r="AW837" s="89" t="str">
        <v>QUARTER_FINALS</v>
      </c>
      <c r="BE837" s="43" t="str">
        <f>IF(OR(DATA_CLEANED!AL828="",DATA_CLEANED!AM828=""),"MANQUANT",IF(OR(NOT(ISNUMBER(DATA_CLEANED!AL828)),NOT(ISNUMBER(DATA_CLEANED!AM828))),"ENTREE INVALIDE",IF(OR(DATA_CLEANED!AL828&lt;0,DATA_CLEANED!AM828&lt;0),"SCORE NEGATIF","OK")))</f>
        <v>OK</v>
      </c>
      <c r="BF837" s="43" t="str">
        <f>IF(DATA_CLEANED!AK828&lt;&gt;DATA_CLEANED!AN828,"OK","ERREUR")</f>
        <v>OK</v>
      </c>
      <c r="BG837" s="43" t="str">
        <f>IF(DATA_CLEANED!AL828&gt;DATA_CLEANED!AM828,DATA_CLEANED!AK828,IF(AND(DATA_QUALITE!W5314="-",DATA_CLEANED!AM828=DATA_CLEANED!AL828),"MATCH NUL",IF(AND(DATA_QUALITE!V5314="-",DATA_QUALITE!U5314="AUCUNE"),DATA_QUALITE!T5314,IF(DATA_QUALITE!V5314&lt;&gt;"-",DATA_QUALITE!V5314,DATA_CLEANED!AN828))))</f>
        <v>Germany</v>
      </c>
      <c r="BH837" s="103" t="str">
        <f>IF(AND(BG837="MATCH NUL",DATA_CLEANED!AO828="-"),"MATCH_NUL",IF(ISNUMBER(SEARCH("win on penalties",W5314)),"WIN_BY_PENALTY",IF(ISNUMBER(SEARCH("win after extra time",W5314)),"WIN_BY_EXTRA_TIME",IF(ISNUMBER(SEARCH("Golden Goal",W5314)),"WIN_BY_GOLDEN_GOAL","WIN_BY_SCORE"))))</f>
        <v>WIN_BY_SCORE</v>
      </c>
      <c r="BI837" s="99" t="str">
        <f>IF(OR(BG837=DATA_CLEANED!AK828,BG837=DATA_CLEANED!AN828,BG837="MATCH NUL"),"OK","ERREUR")</f>
        <v>OK</v>
      </c>
    </row>
    <row r="838" spans="2:61">
      <c r="B838" s="75">
        <v>401</v>
      </c>
      <c r="C838" s="15" t="str">
        <v>Sergiño Dest</v>
      </c>
      <c r="D838" s="15">
        <v>25</v>
      </c>
      <c r="E838" s="15" t="str">
        <v>USA</v>
      </c>
      <c r="F838" s="15" t="str">
        <v>RB</v>
      </c>
      <c r="G838" s="15" t="str">
        <v>PSV Eindhoven</v>
      </c>
      <c r="H838" s="15">
        <v>2</v>
      </c>
      <c r="I838" s="15" t="str">
        <f t="shared" si="74"/>
        <v>401|Sergiño Dest|25|USA|RB|PSV Eindhoven|2</v>
      </c>
      <c r="J838" s="15" t="str">
        <f>IF(COUNTIF(I$438:I838,I838)&gt;1,"DOUBLON","OK")</f>
        <v>OK</v>
      </c>
      <c r="S838" s="30" t="str">
        <v>England</v>
      </c>
      <c r="T838" s="30" t="str">
        <f t="shared" si="75"/>
        <v>ERREUR</v>
      </c>
      <c r="U838" s="30" t="str">
        <f t="shared" si="76"/>
        <v>AUCUNE</v>
      </c>
      <c r="V838" s="30" t="str" cm="1">
        <f t="array" ref="V838">_xlfn.IFS(
ISNUMBER(SEARCH("USA",S838)),"United States",
ISNUMBER(SEARCH("Republic of Korea",S838)),"South Korea",
ISNUMBER(SEARCH("Cape Verde",S838)),"Cabo Verde",
ISNUMBER(SEARCH("Czechia",S838)),"Czech Republic",
ISNUMBER(SEARCH("Türkiye",S838)),"Turkey",
ISNUMBER(SEARCH("Ivory Coast",S838)),"Côte d'Ivoire",
ISNUMBER(SEARCH("Korea Republic",S838)),"South Korea",
ISNUMBER(SEARCH("Germany FR",S838)),"FR Germany",
ISNUMBER(SEARCH("West Germany",S838)),"FR Germany",
ISNUMBER(SEARCH("Germany DR",S838)),"DR Germany",
ISNUMBER(SEARCH("Korea DPR",S838)),"North Korea",
ISNUMBER(SEARCH("China PR",S838)),"China",
ISNUMBER(SEARCH("IR Iran",S838)),"Iran",
ISNUMBER(SEARCH("Congo DR",S838)),"Democratic Republic of the Congo",
ISNUMBER(SEARCH("DR Congo",S838)),"Democratic Republic of the Congo",
ISNUMBER(SEARCH("German DR",S838)),"DR Germany",
ISNUMBER(SEARCH("rn""&gt;United Arab Emirates",S838)),"United Arab Emirates",
ISNUMBER(SEARCH("rn""&gt;Republic of Ireland",S838)),"Ireland",
ISNUMBER(SEARCH("rn""&gt;Bosnia and Herzegovina",S838)),"Bosnia and Herzegovina",
ISNUMBER(SEARCH("rn""&gt;Trinidad and Tobago",S838)),"Trinidad and Tobago",
ISNUMBER(SEARCH("rn""&gt;Serbia and Montenegro",S838)),"Serbia and Montenegro",
ISNUMBER(SEARCH(_xlfn.UNICHAR(65533),S838)),"Côte d'Ivoire",
TRUE,""
)</f>
        <v/>
      </c>
      <c r="W838" s="30" t="str">
        <f t="shared" si="72"/>
        <v>England</v>
      </c>
      <c r="Z838" s="40" t="str">
        <v>Estadio Mineirao</v>
      </c>
      <c r="AA838" s="40" t="str" cm="1">
        <f t="array" ref="AA838">IFERROR(_xlfn.XLOOKUP(Z838,_xlfn.ANCHORARRAY(Z$31),AA$31:AA$37),Z838)</f>
        <v>Estadio Mineirao</v>
      </c>
      <c r="AB838" s="42" t="str">
        <v xml:space="preserve">Belo Horizonte </v>
      </c>
      <c r="AC838" s="89" t="str">
        <f t="shared" si="73"/>
        <v xml:space="preserve">Belo Horizonte </v>
      </c>
      <c r="AE838" s="42">
        <v>2010</v>
      </c>
      <c r="AK838" s="42">
        <v>0</v>
      </c>
      <c r="AL838" s="42">
        <v>0</v>
      </c>
      <c r="AW838" s="89" t="str">
        <v>SEMI_FINALS</v>
      </c>
      <c r="BE838" s="43" t="str">
        <f>IF(OR(DATA_CLEANED!AL829="",DATA_CLEANED!AM829=""),"MANQUANT",IF(OR(NOT(ISNUMBER(DATA_CLEANED!AL829)),NOT(ISNUMBER(DATA_CLEANED!AM829))),"ENTREE INVALIDE",IF(OR(DATA_CLEANED!AL829&lt;0,DATA_CLEANED!AM829&lt;0),"SCORE NEGATIF","OK")))</f>
        <v>OK</v>
      </c>
      <c r="BF838" s="43" t="str">
        <f>IF(DATA_CLEANED!AK829&lt;&gt;DATA_CLEANED!AN829,"OK","ERREUR")</f>
        <v>OK</v>
      </c>
      <c r="BG838" s="43" t="str">
        <f>IF(DATA_CLEANED!AL829&gt;DATA_CLEANED!AM829,DATA_CLEANED!AK829,IF(AND(DATA_QUALITE!W5315="-",DATA_CLEANED!AM829=DATA_CLEANED!AL829),"MATCH NUL",IF(AND(DATA_QUALITE!V5315="-",DATA_QUALITE!U5315="AUCUNE"),DATA_QUALITE!T5315,IF(DATA_QUALITE!V5315&lt;&gt;"-",DATA_QUALITE!V5315,DATA_CLEANED!AN829))))</f>
        <v>Germany</v>
      </c>
      <c r="BH838" s="103" t="str">
        <f>IF(AND(BG838="MATCH NUL",DATA_CLEANED!AO829="-"),"MATCH_NUL",IF(ISNUMBER(SEARCH("win on penalties",W5315)),"WIN_BY_PENALTY",IF(ISNUMBER(SEARCH("win after extra time",W5315)),"WIN_BY_EXTRA_TIME",IF(ISNUMBER(SEARCH("Golden Goal",W5315)),"WIN_BY_GOLDEN_GOAL","WIN_BY_SCORE"))))</f>
        <v>WIN_BY_SCORE</v>
      </c>
      <c r="BI838" s="99" t="str">
        <f>IF(OR(BG838=DATA_CLEANED!AK829,BG838=DATA_CLEANED!AN829,BG838="MATCH NUL"),"OK","ERREUR")</f>
        <v>OK</v>
      </c>
    </row>
    <row r="839" spans="2:61">
      <c r="B839" s="75">
        <v>402</v>
      </c>
      <c r="C839" s="15" t="str">
        <v>Alex Freeman</v>
      </c>
      <c r="D839" s="15">
        <v>21</v>
      </c>
      <c r="E839" s="15" t="str">
        <v>USA</v>
      </c>
      <c r="F839" s="15" t="str">
        <v>RB</v>
      </c>
      <c r="G839" s="15" t="str">
        <v>Villarreal</v>
      </c>
      <c r="H839" s="15">
        <v>16</v>
      </c>
      <c r="I839" s="15" t="str">
        <f t="shared" si="74"/>
        <v>402|Alex Freeman|21|USA|RB|Villarreal|16</v>
      </c>
      <c r="J839" s="15" t="str">
        <f>IF(COUNTIF(I$438:I839,I839)&gt;1,"DOUBLON","OK")</f>
        <v>OK</v>
      </c>
      <c r="S839" s="30" t="str">
        <v>West Germany</v>
      </c>
      <c r="T839" s="30" t="str">
        <f t="shared" si="75"/>
        <v>ERREUR</v>
      </c>
      <c r="U839" s="30" t="str">
        <f t="shared" si="76"/>
        <v>RENOMMER</v>
      </c>
      <c r="V839" s="30" t="str" cm="1">
        <f t="array" ref="V839">_xlfn.IFS(
ISNUMBER(SEARCH("USA",S839)),"United States",
ISNUMBER(SEARCH("Republic of Korea",S839)),"South Korea",
ISNUMBER(SEARCH("Cape Verde",S839)),"Cabo Verde",
ISNUMBER(SEARCH("Czechia",S839)),"Czech Republic",
ISNUMBER(SEARCH("Türkiye",S839)),"Turkey",
ISNUMBER(SEARCH("Ivory Coast",S839)),"Côte d'Ivoire",
ISNUMBER(SEARCH("Korea Republic",S839)),"South Korea",
ISNUMBER(SEARCH("Germany FR",S839)),"FR Germany",
ISNUMBER(SEARCH("West Germany",S839)),"FR Germany",
ISNUMBER(SEARCH("Germany DR",S839)),"DR Germany",
ISNUMBER(SEARCH("Korea DPR",S839)),"North Korea",
ISNUMBER(SEARCH("China PR",S839)),"China",
ISNUMBER(SEARCH("IR Iran",S839)),"Iran",
ISNUMBER(SEARCH("Congo DR",S839)),"Democratic Republic of the Congo",
ISNUMBER(SEARCH("DR Congo",S839)),"Democratic Republic of the Congo",
ISNUMBER(SEARCH("German DR",S839)),"DR Germany",
ISNUMBER(SEARCH("rn""&gt;United Arab Emirates",S839)),"United Arab Emirates",
ISNUMBER(SEARCH("rn""&gt;Republic of Ireland",S839)),"Ireland",
ISNUMBER(SEARCH("rn""&gt;Bosnia and Herzegovina",S839)),"Bosnia and Herzegovina",
ISNUMBER(SEARCH("rn""&gt;Trinidad and Tobago",S839)),"Trinidad and Tobago",
ISNUMBER(SEARCH("rn""&gt;Serbia and Montenegro",S839)),"Serbia and Montenegro",
ISNUMBER(SEARCH(_xlfn.UNICHAR(65533),S839)),"Côte d'Ivoire",
TRUE,""
)</f>
        <v>FR Germany</v>
      </c>
      <c r="W839" s="30" t="str">
        <f t="shared" si="72"/>
        <v>FR Germany</v>
      </c>
      <c r="Z839" s="40" t="str">
        <v>Estadio Castelao</v>
      </c>
      <c r="AA839" s="40" t="str" cm="1">
        <f t="array" ref="AA839">IFERROR(_xlfn.XLOOKUP(Z839,_xlfn.ANCHORARRAY(Z$31),AA$31:AA$37),Z839)</f>
        <v>Estadio Castelao</v>
      </c>
      <c r="AB839" s="42" t="str">
        <v xml:space="preserve">Fortaleza </v>
      </c>
      <c r="AC839" s="89" t="str">
        <f t="shared" si="73"/>
        <v xml:space="preserve">Fortaleza </v>
      </c>
      <c r="AE839" s="42">
        <v>2010</v>
      </c>
      <c r="AK839" s="42">
        <v>2</v>
      </c>
      <c r="AL839" s="42">
        <v>1</v>
      </c>
      <c r="AW839" s="89" t="str">
        <v>THIRD_PLACE</v>
      </c>
      <c r="BE839" s="43" t="str">
        <f>IF(OR(DATA_CLEANED!AL830="",DATA_CLEANED!AM830=""),"MANQUANT",IF(OR(NOT(ISNUMBER(DATA_CLEANED!AL830)),NOT(ISNUMBER(DATA_CLEANED!AM830))),"ENTREE INVALIDE",IF(OR(DATA_CLEANED!AL830&lt;0,DATA_CLEANED!AM830&lt;0),"SCORE NEGATIF","OK")))</f>
        <v>OK</v>
      </c>
      <c r="BF839" s="43" t="str">
        <f>IF(DATA_CLEANED!AK830&lt;&gt;DATA_CLEANED!AN830,"OK","ERREUR")</f>
        <v>OK</v>
      </c>
      <c r="BG839" s="43" t="str">
        <f>IF(DATA_CLEANED!AL830&gt;DATA_CLEANED!AM830,DATA_CLEANED!AK830,IF(AND(DATA_QUALITE!W5316="-",DATA_CLEANED!AM830=DATA_CLEANED!AL830),"MATCH NUL",IF(AND(DATA_QUALITE!V5316="-",DATA_QUALITE!U5316="AUCUNE"),DATA_QUALITE!T5316,IF(DATA_QUALITE!V5316&lt;&gt;"-",DATA_QUALITE!V5316,DATA_CLEANED!AN830))))</f>
        <v>Netherlands</v>
      </c>
      <c r="BH839" s="103" t="str">
        <f>IF(AND(BG839="MATCH NUL",DATA_CLEANED!AO830="-"),"MATCH_NUL",IF(ISNUMBER(SEARCH("win on penalties",W5316)),"WIN_BY_PENALTY",IF(ISNUMBER(SEARCH("win after extra time",W5316)),"WIN_BY_EXTRA_TIME",IF(ISNUMBER(SEARCH("Golden Goal",W5316)),"WIN_BY_GOLDEN_GOAL","WIN_BY_SCORE"))))</f>
        <v>WIN_BY_SCORE</v>
      </c>
      <c r="BI839" s="99" t="str">
        <f>IF(OR(BG839=DATA_CLEANED!AK830,BG839=DATA_CLEANED!AN830,BG839="MATCH NUL"),"OK","ERREUR")</f>
        <v>OK</v>
      </c>
    </row>
    <row r="840" spans="2:61">
      <c r="B840" s="75">
        <v>403</v>
      </c>
      <c r="C840" s="15" t="str">
        <v>Joe Scally</v>
      </c>
      <c r="D840" s="15">
        <v>23</v>
      </c>
      <c r="E840" s="15" t="str">
        <v>USA</v>
      </c>
      <c r="F840" s="15" t="str">
        <v>RB</v>
      </c>
      <c r="G840" s="15" t="str">
        <v>Borussia Mönchengladbach</v>
      </c>
      <c r="H840" s="15">
        <v>23</v>
      </c>
      <c r="I840" s="15" t="str">
        <f t="shared" si="74"/>
        <v>403|Joe Scally|23|USA|RB|Borussia Mönchengladbach|23</v>
      </c>
      <c r="J840" s="15" t="str">
        <f>IF(COUNTIF(I$438:I840,I840)&gt;1,"DOUBLON","OK")</f>
        <v>OK</v>
      </c>
      <c r="S840" s="30" t="str">
        <v>England</v>
      </c>
      <c r="T840" s="30" t="str">
        <f t="shared" si="75"/>
        <v>ERREUR</v>
      </c>
      <c r="U840" s="30" t="str">
        <f t="shared" si="76"/>
        <v>AUCUNE</v>
      </c>
      <c r="V840" s="30" t="str" cm="1">
        <f t="array" ref="V840">_xlfn.IFS(
ISNUMBER(SEARCH("USA",S840)),"United States",
ISNUMBER(SEARCH("Republic of Korea",S840)),"South Korea",
ISNUMBER(SEARCH("Cape Verde",S840)),"Cabo Verde",
ISNUMBER(SEARCH("Czechia",S840)),"Czech Republic",
ISNUMBER(SEARCH("Türkiye",S840)),"Turkey",
ISNUMBER(SEARCH("Ivory Coast",S840)),"Côte d'Ivoire",
ISNUMBER(SEARCH("Korea Republic",S840)),"South Korea",
ISNUMBER(SEARCH("Germany FR",S840)),"FR Germany",
ISNUMBER(SEARCH("West Germany",S840)),"FR Germany",
ISNUMBER(SEARCH("Germany DR",S840)),"DR Germany",
ISNUMBER(SEARCH("Korea DPR",S840)),"North Korea",
ISNUMBER(SEARCH("China PR",S840)),"China",
ISNUMBER(SEARCH("IR Iran",S840)),"Iran",
ISNUMBER(SEARCH("Congo DR",S840)),"Democratic Republic of the Congo",
ISNUMBER(SEARCH("DR Congo",S840)),"Democratic Republic of the Congo",
ISNUMBER(SEARCH("German DR",S840)),"DR Germany",
ISNUMBER(SEARCH("rn""&gt;United Arab Emirates",S840)),"United Arab Emirates",
ISNUMBER(SEARCH("rn""&gt;Republic of Ireland",S840)),"Ireland",
ISNUMBER(SEARCH("rn""&gt;Bosnia and Herzegovina",S840)),"Bosnia and Herzegovina",
ISNUMBER(SEARCH("rn""&gt;Trinidad and Tobago",S840)),"Trinidad and Tobago",
ISNUMBER(SEARCH("rn""&gt;Serbia and Montenegro",S840)),"Serbia and Montenegro",
ISNUMBER(SEARCH(_xlfn.UNICHAR(65533),S840)),"Côte d'Ivoire",
TRUE,""
)</f>
        <v/>
      </c>
      <c r="W840" s="30" t="str">
        <f t="shared" si="72"/>
        <v>England</v>
      </c>
      <c r="Z840" s="40" t="str">
        <v>Arena Pantanal</v>
      </c>
      <c r="AA840" s="40" t="str" cm="1">
        <f t="array" ref="AA840">IFERROR(_xlfn.XLOOKUP(Z840,_xlfn.ANCHORARRAY(Z$31),AA$31:AA$37),Z840)</f>
        <v>Arena Pantanal</v>
      </c>
      <c r="AB840" s="42" t="str">
        <v xml:space="preserve">Cuiaba </v>
      </c>
      <c r="AC840" s="89" t="str">
        <f t="shared" si="73"/>
        <v xml:space="preserve">Cuiaba </v>
      </c>
      <c r="AE840" s="42">
        <v>2010</v>
      </c>
      <c r="AK840" s="42">
        <v>1</v>
      </c>
      <c r="AL840" s="42">
        <v>2</v>
      </c>
      <c r="AW840" s="89" t="str">
        <v>FINAL</v>
      </c>
      <c r="BE840" s="43" t="str">
        <f>IF(OR(DATA_CLEANED!AL831="",DATA_CLEANED!AM831=""),"MANQUANT",IF(OR(NOT(ISNUMBER(DATA_CLEANED!AL831)),NOT(ISNUMBER(DATA_CLEANED!AM831))),"ENTREE INVALIDE",IF(OR(DATA_CLEANED!AL831&lt;0,DATA_CLEANED!AM831&lt;0),"SCORE NEGATIF","OK")))</f>
        <v>OK</v>
      </c>
      <c r="BF840" s="43" t="str">
        <f>IF(DATA_CLEANED!AK831&lt;&gt;DATA_CLEANED!AN831,"OK","ERREUR")</f>
        <v>OK</v>
      </c>
      <c r="BG840" s="43" t="str">
        <f>IF(DATA_CLEANED!AL831&gt;DATA_CLEANED!AM831,DATA_CLEANED!AK831,IF(AND(DATA_QUALITE!W5317="-",DATA_CLEANED!AM831=DATA_CLEANED!AL831),"MATCH NUL",IF(AND(DATA_QUALITE!V5317="-",DATA_QUALITE!U5317="AUCUNE"),DATA_QUALITE!T5317,IF(DATA_QUALITE!V5317&lt;&gt;"-",DATA_QUALITE!V5317,DATA_CLEANED!AN831))))</f>
        <v>Germany</v>
      </c>
      <c r="BH840" s="103" t="str">
        <f>IF(AND(BG840="MATCH NUL",DATA_CLEANED!AO831="-"),"MATCH_NUL",IF(ISNUMBER(SEARCH("win on penalties",W5317)),"WIN_BY_PENALTY",IF(ISNUMBER(SEARCH("win after extra time",W5317)),"WIN_BY_EXTRA_TIME",IF(ISNUMBER(SEARCH("Golden Goal",W5317)),"WIN_BY_GOLDEN_GOAL","WIN_BY_SCORE"))))</f>
        <v>WIN_BY_EXTRA_TIME</v>
      </c>
      <c r="BI840" s="99" t="str">
        <f>IF(OR(BG840=DATA_CLEANED!AK831,BG840=DATA_CLEANED!AN831,BG840="MATCH NUL"),"OK","ERREUR")</f>
        <v>OK</v>
      </c>
    </row>
    <row r="841" spans="2:61">
      <c r="B841" s="75">
        <v>404</v>
      </c>
      <c r="C841" s="15" t="str">
        <v>Tyler Adams</v>
      </c>
      <c r="D841" s="15">
        <v>27</v>
      </c>
      <c r="E841" s="15" t="str">
        <v>USA</v>
      </c>
      <c r="F841" s="15" t="str">
        <v>CDM</v>
      </c>
      <c r="G841" s="15" t="str">
        <v>Bournemouth</v>
      </c>
      <c r="H841" s="15">
        <v>4</v>
      </c>
      <c r="I841" s="15" t="str">
        <f t="shared" si="74"/>
        <v>404|Tyler Adams|27|USA|CDM|Bournemouth|4</v>
      </c>
      <c r="J841" s="15" t="str">
        <f>IF(COUNTIF(I$438:I841,I841)&gt;1,"DOUBLON","OK")</f>
        <v>OK</v>
      </c>
      <c r="S841" s="30" t="str">
        <v>West Germany</v>
      </c>
      <c r="T841" s="30" t="str">
        <f t="shared" si="75"/>
        <v>ERREUR</v>
      </c>
      <c r="U841" s="30" t="str">
        <f t="shared" si="76"/>
        <v>RENOMMER</v>
      </c>
      <c r="V841" s="30" t="str" cm="1">
        <f t="array" ref="V841">_xlfn.IFS(
ISNUMBER(SEARCH("USA",S841)),"United States",
ISNUMBER(SEARCH("Republic of Korea",S841)),"South Korea",
ISNUMBER(SEARCH("Cape Verde",S841)),"Cabo Verde",
ISNUMBER(SEARCH("Czechia",S841)),"Czech Republic",
ISNUMBER(SEARCH("Türkiye",S841)),"Turkey",
ISNUMBER(SEARCH("Ivory Coast",S841)),"Côte d'Ivoire",
ISNUMBER(SEARCH("Korea Republic",S841)),"South Korea",
ISNUMBER(SEARCH("Germany FR",S841)),"FR Germany",
ISNUMBER(SEARCH("West Germany",S841)),"FR Germany",
ISNUMBER(SEARCH("Germany DR",S841)),"DR Germany",
ISNUMBER(SEARCH("Korea DPR",S841)),"North Korea",
ISNUMBER(SEARCH("China PR",S841)),"China",
ISNUMBER(SEARCH("IR Iran",S841)),"Iran",
ISNUMBER(SEARCH("Congo DR",S841)),"Democratic Republic of the Congo",
ISNUMBER(SEARCH("DR Congo",S841)),"Democratic Republic of the Congo",
ISNUMBER(SEARCH("German DR",S841)),"DR Germany",
ISNUMBER(SEARCH("rn""&gt;United Arab Emirates",S841)),"United Arab Emirates",
ISNUMBER(SEARCH("rn""&gt;Republic of Ireland",S841)),"Ireland",
ISNUMBER(SEARCH("rn""&gt;Bosnia and Herzegovina",S841)),"Bosnia and Herzegovina",
ISNUMBER(SEARCH("rn""&gt;Trinidad and Tobago",S841)),"Trinidad and Tobago",
ISNUMBER(SEARCH("rn""&gt;Serbia and Montenegro",S841)),"Serbia and Montenegro",
ISNUMBER(SEARCH(_xlfn.UNICHAR(65533),S841)),"Côte d'Ivoire",
TRUE,""
)</f>
        <v>FR Germany</v>
      </c>
      <c r="W841" s="30" t="str">
        <f t="shared" si="72"/>
        <v>FR Germany</v>
      </c>
      <c r="Z841" s="40" t="str">
        <v>Estadio do Maracana</v>
      </c>
      <c r="AA841" s="40" t="str" cm="1">
        <f t="array" ref="AA841">IFERROR(_xlfn.XLOOKUP(Z841,_xlfn.ANCHORARRAY(Z$31),AA$31:AA$37),Z841)</f>
        <v>Estadio do Maracana</v>
      </c>
      <c r="AB841" s="42" t="str">
        <v xml:space="preserve">Rio De Janeiro </v>
      </c>
      <c r="AC841" s="89" t="str">
        <f t="shared" si="73"/>
        <v xml:space="preserve">Rio De Janeiro </v>
      </c>
      <c r="AE841" s="42">
        <v>2010</v>
      </c>
      <c r="AK841" s="42">
        <v>4</v>
      </c>
      <c r="AL841" s="42">
        <v>1</v>
      </c>
      <c r="AW841" s="89" t="str">
        <v>SEMI_FINALS</v>
      </c>
      <c r="BE841" s="43" t="str">
        <f>IF(OR(DATA_CLEANED!AL832="",DATA_CLEANED!AM832=""),"MANQUANT",IF(OR(NOT(ISNUMBER(DATA_CLEANED!AL832)),NOT(ISNUMBER(DATA_CLEANED!AM832))),"ENTREE INVALIDE",IF(OR(DATA_CLEANED!AL832&lt;0,DATA_CLEANED!AM832&lt;0),"SCORE NEGATIF","OK")))</f>
        <v>OK</v>
      </c>
      <c r="BF841" s="43" t="str">
        <f>IF(DATA_CLEANED!AK832&lt;&gt;DATA_CLEANED!AN832,"OK","ERREUR")</f>
        <v>OK</v>
      </c>
      <c r="BG841" s="43" t="str">
        <f>IF(DATA_CLEANED!AL832&gt;DATA_CLEANED!AM832,DATA_CLEANED!AK832,IF(AND(DATA_QUALITE!W5318="-",DATA_CLEANED!AM832=DATA_CLEANED!AL832),"MATCH NUL",IF(AND(DATA_QUALITE!V5318="-",DATA_QUALITE!U5318="AUCUNE"),DATA_QUALITE!T5318,IF(DATA_QUALITE!V5318&lt;&gt;"-",DATA_QUALITE!V5318,DATA_CLEANED!AN832))))</f>
        <v>Argentina</v>
      </c>
      <c r="BH841" s="103" t="str">
        <f>IF(AND(BG841="MATCH NUL",DATA_CLEANED!AO832="-"),"MATCH_NUL",IF(ISNUMBER(SEARCH("win on penalties",W5318)),"WIN_BY_PENALTY",IF(ISNUMBER(SEARCH("win after extra time",W5318)),"WIN_BY_EXTRA_TIME",IF(ISNUMBER(SEARCH("Golden Goal",W5318)),"WIN_BY_GOLDEN_GOAL","WIN_BY_SCORE"))))</f>
        <v>WIN_BY_PENALTY</v>
      </c>
      <c r="BI841" s="99" t="str">
        <f>IF(OR(BG841=DATA_CLEANED!AK832,BG841=DATA_CLEANED!AN832,BG841="MATCH NUL"),"OK","ERREUR")</f>
        <v>OK</v>
      </c>
    </row>
    <row r="842" spans="2:61">
      <c r="B842" s="75">
        <v>405</v>
      </c>
      <c r="C842" s="15" t="str">
        <v>Sebastian Berhalter</v>
      </c>
      <c r="D842" s="15">
        <v>25</v>
      </c>
      <c r="E842" s="15" t="str">
        <v>USA</v>
      </c>
      <c r="F842" s="15" t="str">
        <v>CDM</v>
      </c>
      <c r="G842" s="15" t="str">
        <v>Vancouver Whitecaps FC</v>
      </c>
      <c r="H842" s="15">
        <v>14</v>
      </c>
      <c r="I842" s="15" t="str">
        <f t="shared" si="74"/>
        <v>405|Sebastian Berhalter|25|USA|CDM|Vancouver Whitecaps FC|14</v>
      </c>
      <c r="J842" s="15" t="str">
        <f>IF(COUNTIF(I$438:I842,I842)&gt;1,"DOUBLON","OK")</f>
        <v>OK</v>
      </c>
      <c r="S842" s="30" t="str">
        <v>England</v>
      </c>
      <c r="T842" s="30" t="str">
        <f t="shared" si="75"/>
        <v>ERREUR</v>
      </c>
      <c r="U842" s="30" t="str">
        <f t="shared" si="76"/>
        <v>AUCUNE</v>
      </c>
      <c r="V842" s="30" t="str" cm="1">
        <f t="array" ref="V842">_xlfn.IFS(
ISNUMBER(SEARCH("USA",S842)),"United States",
ISNUMBER(SEARCH("Republic of Korea",S842)),"South Korea",
ISNUMBER(SEARCH("Cape Verde",S842)),"Cabo Verde",
ISNUMBER(SEARCH("Czechia",S842)),"Czech Republic",
ISNUMBER(SEARCH("Türkiye",S842)),"Turkey",
ISNUMBER(SEARCH("Ivory Coast",S842)),"Côte d'Ivoire",
ISNUMBER(SEARCH("Korea Republic",S842)),"South Korea",
ISNUMBER(SEARCH("Germany FR",S842)),"FR Germany",
ISNUMBER(SEARCH("West Germany",S842)),"FR Germany",
ISNUMBER(SEARCH("Germany DR",S842)),"DR Germany",
ISNUMBER(SEARCH("Korea DPR",S842)),"North Korea",
ISNUMBER(SEARCH("China PR",S842)),"China",
ISNUMBER(SEARCH("IR Iran",S842)),"Iran",
ISNUMBER(SEARCH("Congo DR",S842)),"Democratic Republic of the Congo",
ISNUMBER(SEARCH("DR Congo",S842)),"Democratic Republic of the Congo",
ISNUMBER(SEARCH("German DR",S842)),"DR Germany",
ISNUMBER(SEARCH("rn""&gt;United Arab Emirates",S842)),"United Arab Emirates",
ISNUMBER(SEARCH("rn""&gt;Republic of Ireland",S842)),"Ireland",
ISNUMBER(SEARCH("rn""&gt;Bosnia and Herzegovina",S842)),"Bosnia and Herzegovina",
ISNUMBER(SEARCH("rn""&gt;Trinidad and Tobago",S842)),"Trinidad and Tobago",
ISNUMBER(SEARCH("rn""&gt;Serbia and Montenegro",S842)),"Serbia and Montenegro",
ISNUMBER(SEARCH(_xlfn.UNICHAR(65533),S842)),"Côte d'Ivoire",
TRUE,""
)</f>
        <v/>
      </c>
      <c r="W842" s="30" t="str">
        <f t="shared" si="72"/>
        <v>England</v>
      </c>
      <c r="Z842" s="40" t="str">
        <v>Estadio Beira-Rio</v>
      </c>
      <c r="AA842" s="40" t="str" cm="1">
        <f t="array" ref="AA842">IFERROR(_xlfn.XLOOKUP(Z842,_xlfn.ANCHORARRAY(Z$31),AA$31:AA$37),Z842)</f>
        <v>Estadio Beira-Rio</v>
      </c>
      <c r="AB842" s="42" t="str">
        <v xml:space="preserve">Porto Alegre </v>
      </c>
      <c r="AC842" s="89" t="str">
        <f t="shared" si="73"/>
        <v xml:space="preserve">Porto Alegre </v>
      </c>
      <c r="AE842" s="42">
        <v>2010</v>
      </c>
      <c r="AK842" s="42">
        <v>3</v>
      </c>
      <c r="AL842" s="42">
        <v>1</v>
      </c>
      <c r="AW842" s="89" t="str">
        <v>QUARTER_FINALS</v>
      </c>
      <c r="BE842" s="43" t="str">
        <f>IF(OR(DATA_CLEANED!AL833="",DATA_CLEANED!AM833=""),"MANQUANT",IF(OR(NOT(ISNUMBER(DATA_CLEANED!AL833)),NOT(ISNUMBER(DATA_CLEANED!AM833))),"ENTREE INVALIDE",IF(OR(DATA_CLEANED!AL833&lt;0,DATA_CLEANED!AM833&lt;0),"SCORE NEGATIF","OK")))</f>
        <v>OK</v>
      </c>
      <c r="BF842" s="43" t="str">
        <f>IF(DATA_CLEANED!AK833&lt;&gt;DATA_CLEANED!AN833,"OK","ERREUR")</f>
        <v>OK</v>
      </c>
      <c r="BG842" s="43" t="str">
        <f>IF(DATA_CLEANED!AL833&gt;DATA_CLEANED!AM833,DATA_CLEANED!AK833,IF(AND(DATA_QUALITE!W5319="-",DATA_CLEANED!AM833=DATA_CLEANED!AL833),"MATCH NUL",IF(AND(DATA_QUALITE!V5319="-",DATA_QUALITE!U5319="AUCUNE"),DATA_QUALITE!T5319,IF(DATA_QUALITE!V5319&lt;&gt;"-",DATA_QUALITE!V5319,DATA_CLEANED!AN833))))</f>
        <v>Netherlands</v>
      </c>
      <c r="BH842" s="103" t="str">
        <f>IF(AND(BG842="MATCH NUL",DATA_CLEANED!AO833="-"),"MATCH_NUL",IF(ISNUMBER(SEARCH("win on penalties",W5319)),"WIN_BY_PENALTY",IF(ISNUMBER(SEARCH("win after extra time",W5319)),"WIN_BY_EXTRA_TIME",IF(ISNUMBER(SEARCH("Golden Goal",W5319)),"WIN_BY_GOLDEN_GOAL","WIN_BY_SCORE"))))</f>
        <v>WIN_BY_PENALTY</v>
      </c>
      <c r="BI842" s="99" t="str">
        <f>IF(OR(BG842=DATA_CLEANED!AK833,BG842=DATA_CLEANED!AN833,BG842="MATCH NUL"),"OK","ERREUR")</f>
        <v>OK</v>
      </c>
    </row>
    <row r="843" spans="2:61">
      <c r="B843" s="75">
        <v>406</v>
      </c>
      <c r="C843" s="15" t="str">
        <v>Weston McKennie</v>
      </c>
      <c r="D843" s="15">
        <v>27</v>
      </c>
      <c r="E843" s="15" t="str">
        <v>USA</v>
      </c>
      <c r="F843" s="15" t="str">
        <v>CM</v>
      </c>
      <c r="G843" s="15" t="str">
        <v>Juventus</v>
      </c>
      <c r="H843" s="15">
        <v>8</v>
      </c>
      <c r="I843" s="15" t="str">
        <f t="shared" si="74"/>
        <v>406|Weston McKennie|27|USA|CM|Juventus|8</v>
      </c>
      <c r="J843" s="15" t="str">
        <f>IF(COUNTIF(I$438:I843,I843)&gt;1,"DOUBLON","OK")</f>
        <v>OK</v>
      </c>
      <c r="S843" s="30" t="str">
        <v>England</v>
      </c>
      <c r="T843" s="30" t="str">
        <f t="shared" si="75"/>
        <v>ERREUR</v>
      </c>
      <c r="U843" s="30" t="str">
        <f t="shared" si="76"/>
        <v>AUCUNE</v>
      </c>
      <c r="V843" s="30" t="str" cm="1">
        <f t="array" ref="V843">_xlfn.IFS(
ISNUMBER(SEARCH("USA",S843)),"United States",
ISNUMBER(SEARCH("Republic of Korea",S843)),"South Korea",
ISNUMBER(SEARCH("Cape Verde",S843)),"Cabo Verde",
ISNUMBER(SEARCH("Czechia",S843)),"Czech Republic",
ISNUMBER(SEARCH("Türkiye",S843)),"Turkey",
ISNUMBER(SEARCH("Ivory Coast",S843)),"Côte d'Ivoire",
ISNUMBER(SEARCH("Korea Republic",S843)),"South Korea",
ISNUMBER(SEARCH("Germany FR",S843)),"FR Germany",
ISNUMBER(SEARCH("West Germany",S843)),"FR Germany",
ISNUMBER(SEARCH("Germany DR",S843)),"DR Germany",
ISNUMBER(SEARCH("Korea DPR",S843)),"North Korea",
ISNUMBER(SEARCH("China PR",S843)),"China",
ISNUMBER(SEARCH("IR Iran",S843)),"Iran",
ISNUMBER(SEARCH("Congo DR",S843)),"Democratic Republic of the Congo",
ISNUMBER(SEARCH("DR Congo",S843)),"Democratic Republic of the Congo",
ISNUMBER(SEARCH("German DR",S843)),"DR Germany",
ISNUMBER(SEARCH("rn""&gt;United Arab Emirates",S843)),"United Arab Emirates",
ISNUMBER(SEARCH("rn""&gt;Republic of Ireland",S843)),"Ireland",
ISNUMBER(SEARCH("rn""&gt;Bosnia and Herzegovina",S843)),"Bosnia and Herzegovina",
ISNUMBER(SEARCH("rn""&gt;Trinidad and Tobago",S843)),"Trinidad and Tobago",
ISNUMBER(SEARCH("rn""&gt;Serbia and Montenegro",S843)),"Serbia and Montenegro",
ISNUMBER(SEARCH(_xlfn.UNICHAR(65533),S843)),"Côte d'Ivoire",
TRUE,""
)</f>
        <v/>
      </c>
      <c r="W843" s="30" t="str">
        <f t="shared" si="72"/>
        <v>England</v>
      </c>
      <c r="Z843" s="40" t="str">
        <v>Arena Amazonia</v>
      </c>
      <c r="AA843" s="40" t="str" cm="1">
        <f t="array" ref="AA843">IFERROR(_xlfn.XLOOKUP(Z843,_xlfn.ANCHORARRAY(Z$31),AA$31:AA$37),Z843)</f>
        <v>Arena Amazonia</v>
      </c>
      <c r="AB843" s="42" t="str">
        <v xml:space="preserve">Manaus </v>
      </c>
      <c r="AC843" s="89" t="str">
        <f t="shared" si="73"/>
        <v xml:space="preserve">Manaus </v>
      </c>
      <c r="AE843" s="42">
        <v>2010</v>
      </c>
      <c r="AK843" s="42">
        <v>2</v>
      </c>
      <c r="AL843" s="42">
        <v>1</v>
      </c>
      <c r="AW843" s="89" t="str">
        <v>QUARTER_FINALS</v>
      </c>
      <c r="BE843" s="43" t="str">
        <f>IF(OR(DATA_CLEANED!AL834="",DATA_CLEANED!AM834=""),"MANQUANT",IF(OR(NOT(ISNUMBER(DATA_CLEANED!AL834)),NOT(ISNUMBER(DATA_CLEANED!AM834))),"ENTREE INVALIDE",IF(OR(DATA_CLEANED!AL834&lt;0,DATA_CLEANED!AM834&lt;0),"SCORE NEGATIF","OK")))</f>
        <v>OK</v>
      </c>
      <c r="BF843" s="43" t="str">
        <f>IF(DATA_CLEANED!AK834&lt;&gt;DATA_CLEANED!AN834,"OK","ERREUR")</f>
        <v>OK</v>
      </c>
      <c r="BG843" s="43" t="str">
        <f>IF(DATA_CLEANED!AL834&gt;DATA_CLEANED!AM834,DATA_CLEANED!AK834,IF(AND(DATA_QUALITE!W5320="-",DATA_CLEANED!AM834=DATA_CLEANED!AL834),"MATCH NUL",IF(AND(DATA_QUALITE!V5320="-",DATA_QUALITE!U5320="AUCUNE"),DATA_QUALITE!T5320,IF(DATA_QUALITE!V5320&lt;&gt;"-",DATA_QUALITE!V5320,DATA_CLEANED!AN834))))</f>
        <v>Argentina</v>
      </c>
      <c r="BH843" s="103" t="str">
        <f>IF(AND(BG843="MATCH NUL",DATA_CLEANED!AO834="-"),"MATCH_NUL",IF(ISNUMBER(SEARCH("win on penalties",W5320)),"WIN_BY_PENALTY",IF(ISNUMBER(SEARCH("win after extra time",W5320)),"WIN_BY_EXTRA_TIME",IF(ISNUMBER(SEARCH("Golden Goal",W5320)),"WIN_BY_GOLDEN_GOAL","WIN_BY_SCORE"))))</f>
        <v>WIN_BY_SCORE</v>
      </c>
      <c r="BI843" s="99" t="str">
        <f>IF(OR(BG843=DATA_CLEANED!AK834,BG843=DATA_CLEANED!AN834,BG843="MATCH NUL"),"OK","ERREUR")</f>
        <v>OK</v>
      </c>
    </row>
    <row r="844" spans="2:61">
      <c r="B844" s="75">
        <v>407</v>
      </c>
      <c r="C844" s="15" t="str">
        <v>Cristian Roldan</v>
      </c>
      <c r="D844" s="15">
        <v>31</v>
      </c>
      <c r="E844" s="15" t="str">
        <v>USA</v>
      </c>
      <c r="F844" s="15" t="str">
        <v>CM</v>
      </c>
      <c r="G844" s="15" t="str">
        <v>Seattle Sounders FC</v>
      </c>
      <c r="H844" s="15">
        <v>15</v>
      </c>
      <c r="I844" s="15" t="str">
        <f t="shared" si="74"/>
        <v>407|Cristian Roldan|31|USA|CM|Seattle Sounders FC|15</v>
      </c>
      <c r="J844" s="15" t="str">
        <f>IF(COUNTIF(I$438:I844,I844)&gt;1,"DOUBLON","OK")</f>
        <v>OK</v>
      </c>
      <c r="S844" s="30" t="str">
        <v>Bulgaria</v>
      </c>
      <c r="T844" s="30" t="str">
        <f t="shared" si="75"/>
        <v>OK</v>
      </c>
      <c r="U844" s="30" t="str">
        <f t="shared" si="76"/>
        <v>-</v>
      </c>
      <c r="V844" s="30" t="str" cm="1">
        <f t="array" ref="V844">_xlfn.IFS(
ISNUMBER(SEARCH("USA",S844)),"United States",
ISNUMBER(SEARCH("Republic of Korea",S844)),"South Korea",
ISNUMBER(SEARCH("Cape Verde",S844)),"Cabo Verde",
ISNUMBER(SEARCH("Czechia",S844)),"Czech Republic",
ISNUMBER(SEARCH("Türkiye",S844)),"Turkey",
ISNUMBER(SEARCH("Ivory Coast",S844)),"Côte d'Ivoire",
ISNUMBER(SEARCH("Korea Republic",S844)),"South Korea",
ISNUMBER(SEARCH("Germany FR",S844)),"FR Germany",
ISNUMBER(SEARCH("West Germany",S844)),"FR Germany",
ISNUMBER(SEARCH("Germany DR",S844)),"DR Germany",
ISNUMBER(SEARCH("Korea DPR",S844)),"North Korea",
ISNUMBER(SEARCH("China PR",S844)),"China",
ISNUMBER(SEARCH("IR Iran",S844)),"Iran",
ISNUMBER(SEARCH("Congo DR",S844)),"Democratic Republic of the Congo",
ISNUMBER(SEARCH("DR Congo",S844)),"Democratic Republic of the Congo",
ISNUMBER(SEARCH("German DR",S844)),"DR Germany",
ISNUMBER(SEARCH("rn""&gt;United Arab Emirates",S844)),"United Arab Emirates",
ISNUMBER(SEARCH("rn""&gt;Republic of Ireland",S844)),"Ireland",
ISNUMBER(SEARCH("rn""&gt;Bosnia and Herzegovina",S844)),"Bosnia and Herzegovina",
ISNUMBER(SEARCH("rn""&gt;Trinidad and Tobago",S844)),"Trinidad and Tobago",
ISNUMBER(SEARCH("rn""&gt;Serbia and Montenegro",S844)),"Serbia and Montenegro",
ISNUMBER(SEARCH(_xlfn.UNICHAR(65533),S844)),"Côte d'Ivoire",
TRUE,""
)</f>
        <v/>
      </c>
      <c r="W844" s="30" t="str">
        <f t="shared" si="72"/>
        <v>Bulgaria</v>
      </c>
      <c r="Z844" s="40" t="str">
        <v>Arena da Baixada</v>
      </c>
      <c r="AA844" s="40" t="str" cm="1">
        <f t="array" ref="AA844">IFERROR(_xlfn.XLOOKUP(Z844,_xlfn.ANCHORARRAY(Z$31),AA$31:AA$37),Z844)</f>
        <v>Arena da Baixada</v>
      </c>
      <c r="AB844" s="42" t="str">
        <v xml:space="preserve">Curitiba </v>
      </c>
      <c r="AC844" s="89" t="str">
        <f t="shared" si="73"/>
        <v xml:space="preserve">Curitiba </v>
      </c>
      <c r="AE844" s="42">
        <v>2010</v>
      </c>
      <c r="AK844" s="42">
        <v>3</v>
      </c>
      <c r="AL844" s="42">
        <v>0</v>
      </c>
      <c r="AW844" s="89" t="str">
        <v>ROUND_OF_16</v>
      </c>
      <c r="BE844" s="43" t="str">
        <f>IF(OR(DATA_CLEANED!AL835="",DATA_CLEANED!AM835=""),"MANQUANT",IF(OR(NOT(ISNUMBER(DATA_CLEANED!AL835)),NOT(ISNUMBER(DATA_CLEANED!AM835))),"ENTREE INVALIDE",IF(OR(DATA_CLEANED!AL835&lt;0,DATA_CLEANED!AM835&lt;0),"SCORE NEGATIF","OK")))</f>
        <v>OK</v>
      </c>
      <c r="BF844" s="43" t="str">
        <f>IF(DATA_CLEANED!AK835&lt;&gt;DATA_CLEANED!AN835,"OK","ERREUR")</f>
        <v>OK</v>
      </c>
      <c r="BG844" s="43" t="str">
        <f>IF(DATA_CLEANED!AL835&gt;DATA_CLEANED!AM835,DATA_CLEANED!AK835,IF(AND(DATA_QUALITE!W5321="-",DATA_CLEANED!AM835=DATA_CLEANED!AL835),"MATCH NUL",IF(AND(DATA_QUALITE!V5321="-",DATA_QUALITE!U5321="AUCUNE"),DATA_QUALITE!T5321,IF(DATA_QUALITE!V5321&lt;&gt;"-",DATA_QUALITE!V5321,DATA_CLEANED!AN835))))</f>
        <v>Netherlands</v>
      </c>
      <c r="BH844" s="103" t="str">
        <f>IF(AND(BG844="MATCH NUL",DATA_CLEANED!AO835="-"),"MATCH_NUL",IF(ISNUMBER(SEARCH("win on penalties",W5321)),"WIN_BY_PENALTY",IF(ISNUMBER(SEARCH("win after extra time",W5321)),"WIN_BY_EXTRA_TIME",IF(ISNUMBER(SEARCH("Golden Goal",W5321)),"WIN_BY_GOLDEN_GOAL","WIN_BY_SCORE"))))</f>
        <v>WIN_BY_SCORE</v>
      </c>
      <c r="BI844" s="99" t="str">
        <f>IF(OR(BG844=DATA_CLEANED!AK835,BG844=DATA_CLEANED!AN835,BG844="MATCH NUL"),"OK","ERREUR")</f>
        <v>OK</v>
      </c>
    </row>
    <row r="845" spans="2:61">
      <c r="B845" s="75">
        <v>408</v>
      </c>
      <c r="C845" s="15" t="str">
        <v>Giovanni Reyna</v>
      </c>
      <c r="D845" s="15">
        <v>23</v>
      </c>
      <c r="E845" s="15" t="str">
        <v>USA</v>
      </c>
      <c r="F845" s="15" t="str">
        <v>CAM</v>
      </c>
      <c r="G845" s="15" t="str">
        <v>Borussia Mönchengladbach</v>
      </c>
      <c r="H845" s="15">
        <v>7</v>
      </c>
      <c r="I845" s="15" t="str">
        <f t="shared" si="74"/>
        <v>408|Giovanni Reyna|23|USA|CAM|Borussia Mönchengladbach|7</v>
      </c>
      <c r="J845" s="15" t="str">
        <f>IF(COUNTIF(I$438:I845,I845)&gt;1,"DOUBLON","OK")</f>
        <v>OK</v>
      </c>
      <c r="S845" s="30" t="str">
        <v>Mexico</v>
      </c>
      <c r="T845" s="30" t="str">
        <f t="shared" si="75"/>
        <v>OK</v>
      </c>
      <c r="U845" s="30" t="str">
        <f t="shared" si="76"/>
        <v>-</v>
      </c>
      <c r="V845" s="30" t="str" cm="1">
        <f t="array" ref="V845">_xlfn.IFS(
ISNUMBER(SEARCH("USA",S845)),"United States",
ISNUMBER(SEARCH("Republic of Korea",S845)),"South Korea",
ISNUMBER(SEARCH("Cape Verde",S845)),"Cabo Verde",
ISNUMBER(SEARCH("Czechia",S845)),"Czech Republic",
ISNUMBER(SEARCH("Türkiye",S845)),"Turkey",
ISNUMBER(SEARCH("Ivory Coast",S845)),"Côte d'Ivoire",
ISNUMBER(SEARCH("Korea Republic",S845)),"South Korea",
ISNUMBER(SEARCH("Germany FR",S845)),"FR Germany",
ISNUMBER(SEARCH("West Germany",S845)),"FR Germany",
ISNUMBER(SEARCH("Germany DR",S845)),"DR Germany",
ISNUMBER(SEARCH("Korea DPR",S845)),"North Korea",
ISNUMBER(SEARCH("China PR",S845)),"China",
ISNUMBER(SEARCH("IR Iran",S845)),"Iran",
ISNUMBER(SEARCH("Congo DR",S845)),"Democratic Republic of the Congo",
ISNUMBER(SEARCH("DR Congo",S845)),"Democratic Republic of the Congo",
ISNUMBER(SEARCH("German DR",S845)),"DR Germany",
ISNUMBER(SEARCH("rn""&gt;United Arab Emirates",S845)),"United Arab Emirates",
ISNUMBER(SEARCH("rn""&gt;Republic of Ireland",S845)),"Ireland",
ISNUMBER(SEARCH("rn""&gt;Bosnia and Herzegovina",S845)),"Bosnia and Herzegovina",
ISNUMBER(SEARCH("rn""&gt;Trinidad and Tobago",S845)),"Trinidad and Tobago",
ISNUMBER(SEARCH("rn""&gt;Serbia and Montenegro",S845)),"Serbia and Montenegro",
ISNUMBER(SEARCH(_xlfn.UNICHAR(65533),S845)),"Côte d'Ivoire",
TRUE,""
)</f>
        <v/>
      </c>
      <c r="W845" s="30" t="str">
        <f t="shared" si="72"/>
        <v>Mexico</v>
      </c>
      <c r="Z845" s="40" t="str">
        <v>Arena de Sao Paulo</v>
      </c>
      <c r="AA845" s="40" t="str" cm="1">
        <f t="array" ref="AA845">IFERROR(_xlfn.XLOOKUP(Z845,_xlfn.ANCHORARRAY(Z$31),AA$31:AA$37),Z845)</f>
        <v>Arena de Sao Paulo</v>
      </c>
      <c r="AB845" s="42" t="str">
        <v xml:space="preserve">Sao Paulo </v>
      </c>
      <c r="AC845" s="89" t="str">
        <f t="shared" si="73"/>
        <v xml:space="preserve">Sao Paulo </v>
      </c>
      <c r="AE845" s="42">
        <v>2010</v>
      </c>
      <c r="AK845" s="42">
        <v>0</v>
      </c>
      <c r="AL845" s="42">
        <v>0</v>
      </c>
      <c r="AW845" s="89" t="str">
        <v>ROUND_OF_16</v>
      </c>
      <c r="BE845" s="43" t="str">
        <f>IF(OR(DATA_CLEANED!AL836="",DATA_CLEANED!AM836=""),"MANQUANT",IF(OR(NOT(ISNUMBER(DATA_CLEANED!AL836)),NOT(ISNUMBER(DATA_CLEANED!AM836))),"ENTREE INVALIDE",IF(OR(DATA_CLEANED!AL836&lt;0,DATA_CLEANED!AM836&lt;0),"SCORE NEGATIF","OK")))</f>
        <v>OK</v>
      </c>
      <c r="BF845" s="43" t="str">
        <f>IF(DATA_CLEANED!AK836&lt;&gt;DATA_CLEANED!AN836,"OK","ERREUR")</f>
        <v>OK</v>
      </c>
      <c r="BG845" s="43" t="str">
        <f>IF(DATA_CLEANED!AL836&gt;DATA_CLEANED!AM836,DATA_CLEANED!AK836,IF(AND(DATA_QUALITE!W5322="-",DATA_CLEANED!AM836=DATA_CLEANED!AL836),"MATCH NUL",IF(AND(DATA_QUALITE!V5322="-",DATA_QUALITE!U5322="AUCUNE"),DATA_QUALITE!T5322,IF(DATA_QUALITE!V5322&lt;&gt;"-",DATA_QUALITE!V5322,DATA_CLEANED!AN836))))</f>
        <v>Costa Rica</v>
      </c>
      <c r="BH845" s="103" t="str">
        <f>IF(AND(BG845="MATCH NUL",DATA_CLEANED!AO836="-"),"MATCH_NUL",IF(ISNUMBER(SEARCH("win on penalties",W5322)),"WIN_BY_PENALTY",IF(ISNUMBER(SEARCH("win after extra time",W5322)),"WIN_BY_EXTRA_TIME",IF(ISNUMBER(SEARCH("Golden Goal",W5322)),"WIN_BY_GOLDEN_GOAL","WIN_BY_SCORE"))))</f>
        <v>WIN_BY_PENALTY</v>
      </c>
      <c r="BI845" s="99" t="str">
        <f>IF(OR(BG845=DATA_CLEANED!AK836,BG845=DATA_CLEANED!AN836,BG845="MATCH NUL"),"OK","ERREUR")</f>
        <v>OK</v>
      </c>
    </row>
    <row r="846" spans="2:61">
      <c r="B846" s="75">
        <v>409</v>
      </c>
      <c r="C846" s="15" t="str">
        <v>Malik Tillman</v>
      </c>
      <c r="D846" s="15">
        <v>24</v>
      </c>
      <c r="E846" s="15" t="str">
        <v>USA</v>
      </c>
      <c r="F846" s="15" t="str">
        <v>CAM</v>
      </c>
      <c r="G846" s="15" t="str">
        <v>Bayer Leverkusen</v>
      </c>
      <c r="H846" s="15">
        <v>17</v>
      </c>
      <c r="I846" s="15" t="str">
        <f t="shared" si="74"/>
        <v>409|Malik Tillman|24|USA|CAM|Bayer Leverkusen|17</v>
      </c>
      <c r="J846" s="15" t="str">
        <f>IF(COUNTIF(I$438:I846,I846)&gt;1,"DOUBLON","OK")</f>
        <v>OK</v>
      </c>
      <c r="S846" s="30" t="str">
        <v>Bulgaria</v>
      </c>
      <c r="T846" s="30" t="str">
        <f t="shared" si="75"/>
        <v>OK</v>
      </c>
      <c r="U846" s="30" t="str">
        <f t="shared" si="76"/>
        <v>-</v>
      </c>
      <c r="V846" s="30" t="str" cm="1">
        <f t="array" ref="V846">_xlfn.IFS(
ISNUMBER(SEARCH("USA",S846)),"United States",
ISNUMBER(SEARCH("Republic of Korea",S846)),"South Korea",
ISNUMBER(SEARCH("Cape Verde",S846)),"Cabo Verde",
ISNUMBER(SEARCH("Czechia",S846)),"Czech Republic",
ISNUMBER(SEARCH("Türkiye",S846)),"Turkey",
ISNUMBER(SEARCH("Ivory Coast",S846)),"Côte d'Ivoire",
ISNUMBER(SEARCH("Korea Republic",S846)),"South Korea",
ISNUMBER(SEARCH("Germany FR",S846)),"FR Germany",
ISNUMBER(SEARCH("West Germany",S846)),"FR Germany",
ISNUMBER(SEARCH("Germany DR",S846)),"DR Germany",
ISNUMBER(SEARCH("Korea DPR",S846)),"North Korea",
ISNUMBER(SEARCH("China PR",S846)),"China",
ISNUMBER(SEARCH("IR Iran",S846)),"Iran",
ISNUMBER(SEARCH("Congo DR",S846)),"Democratic Republic of the Congo",
ISNUMBER(SEARCH("DR Congo",S846)),"Democratic Republic of the Congo",
ISNUMBER(SEARCH("German DR",S846)),"DR Germany",
ISNUMBER(SEARCH("rn""&gt;United Arab Emirates",S846)),"United Arab Emirates",
ISNUMBER(SEARCH("rn""&gt;Republic of Ireland",S846)),"Ireland",
ISNUMBER(SEARCH("rn""&gt;Bosnia and Herzegovina",S846)),"Bosnia and Herzegovina",
ISNUMBER(SEARCH("rn""&gt;Trinidad and Tobago",S846)),"Trinidad and Tobago",
ISNUMBER(SEARCH("rn""&gt;Serbia and Montenegro",S846)),"Serbia and Montenegro",
ISNUMBER(SEARCH(_xlfn.UNICHAR(65533),S846)),"Côte d'Ivoire",
TRUE,""
)</f>
        <v/>
      </c>
      <c r="W846" s="30" t="str">
        <f t="shared" ref="W846:W909" si="77">IF(V846="",S846,V846)</f>
        <v>Bulgaria</v>
      </c>
      <c r="Z846" s="40" t="str">
        <v>Estadio Nacional</v>
      </c>
      <c r="AA846" s="40" t="str" cm="1">
        <f t="array" ref="AA846">IFERROR(_xlfn.XLOOKUP(Z846,_xlfn.ANCHORARRAY(Z$31),AA$31:AA$37),Z846)</f>
        <v>Estadio Nacional</v>
      </c>
      <c r="AB846" s="42" t="str">
        <v xml:space="preserve">Brasilia </v>
      </c>
      <c r="AC846" s="89" t="str">
        <f t="shared" si="73"/>
        <v xml:space="preserve">Brasilia </v>
      </c>
      <c r="AE846" s="42">
        <v>2010</v>
      </c>
      <c r="AK846" s="42">
        <v>1</v>
      </c>
      <c r="AL846" s="42">
        <v>0</v>
      </c>
      <c r="AW846" s="89" t="str">
        <v>ROUND_OF_16</v>
      </c>
      <c r="BE846" s="43" t="str">
        <f>IF(OR(DATA_CLEANED!AL837="",DATA_CLEANED!AM837=""),"MANQUANT",IF(OR(NOT(ISNUMBER(DATA_CLEANED!AL837)),NOT(ISNUMBER(DATA_CLEANED!AM837))),"ENTREE INVALIDE",IF(OR(DATA_CLEANED!AL837&lt;0,DATA_CLEANED!AM837&lt;0),"SCORE NEGATIF","OK")))</f>
        <v>OK</v>
      </c>
      <c r="BF846" s="43" t="str">
        <f>IF(DATA_CLEANED!AK837&lt;&gt;DATA_CLEANED!AN837,"OK","ERREUR")</f>
        <v>OK</v>
      </c>
      <c r="BG846" s="43" t="str">
        <f>IF(DATA_CLEANED!AL837&gt;DATA_CLEANED!AM837,DATA_CLEANED!AK837,IF(AND(DATA_QUALITE!W5323="-",DATA_CLEANED!AM837=DATA_CLEANED!AL837),"MATCH NUL",IF(AND(DATA_QUALITE!V5323="-",DATA_QUALITE!U5323="AUCUNE"),DATA_QUALITE!T5323,IF(DATA_QUALITE!V5323&lt;&gt;"-",DATA_QUALITE!V5323,DATA_CLEANED!AN837))))</f>
        <v>Argentina</v>
      </c>
      <c r="BH846" s="103" t="str">
        <f>IF(AND(BG846="MATCH NUL",DATA_CLEANED!AO837="-"),"MATCH_NUL",IF(ISNUMBER(SEARCH("win on penalties",W5323)),"WIN_BY_PENALTY",IF(ISNUMBER(SEARCH("win after extra time",W5323)),"WIN_BY_EXTRA_TIME",IF(ISNUMBER(SEARCH("Golden Goal",W5323)),"WIN_BY_GOLDEN_GOAL","WIN_BY_SCORE"))))</f>
        <v>WIN_BY_EXTRA_TIME</v>
      </c>
      <c r="BI846" s="99" t="str">
        <f>IF(OR(BG846=DATA_CLEANED!AK837,BG846=DATA_CLEANED!AN837,BG846="MATCH NUL"),"OK","ERREUR")</f>
        <v>OK</v>
      </c>
    </row>
    <row r="847" spans="2:61">
      <c r="B847" s="75">
        <v>410</v>
      </c>
      <c r="C847" s="15" t="str">
        <v>Christian Pulisic</v>
      </c>
      <c r="D847" s="15">
        <v>27</v>
      </c>
      <c r="E847" s="15" t="str">
        <v>USA</v>
      </c>
      <c r="F847" s="15" t="str">
        <v>LW</v>
      </c>
      <c r="G847" s="15" t="str">
        <v>AC Milan</v>
      </c>
      <c r="H847" s="15">
        <v>10</v>
      </c>
      <c r="I847" s="15" t="str">
        <f t="shared" si="74"/>
        <v>410|Christian Pulisic|27|USA|LW|AC Milan|10</v>
      </c>
      <c r="J847" s="15" t="str">
        <f>IF(COUNTIF(I$438:I847,I847)&gt;1,"DOUBLON","OK")</f>
        <v>OK</v>
      </c>
      <c r="S847" s="30" t="str">
        <v>Mexico</v>
      </c>
      <c r="T847" s="30" t="str">
        <f t="shared" si="75"/>
        <v>OK</v>
      </c>
      <c r="U847" s="30" t="str">
        <f t="shared" si="76"/>
        <v>-</v>
      </c>
      <c r="V847" s="30" t="str" cm="1">
        <f t="array" ref="V847">_xlfn.IFS(
ISNUMBER(SEARCH("USA",S847)),"United States",
ISNUMBER(SEARCH("Republic of Korea",S847)),"South Korea",
ISNUMBER(SEARCH("Cape Verde",S847)),"Cabo Verde",
ISNUMBER(SEARCH("Czechia",S847)),"Czech Republic",
ISNUMBER(SEARCH("Türkiye",S847)),"Turkey",
ISNUMBER(SEARCH("Ivory Coast",S847)),"Côte d'Ivoire",
ISNUMBER(SEARCH("Korea Republic",S847)),"South Korea",
ISNUMBER(SEARCH("Germany FR",S847)),"FR Germany",
ISNUMBER(SEARCH("West Germany",S847)),"FR Germany",
ISNUMBER(SEARCH("Germany DR",S847)),"DR Germany",
ISNUMBER(SEARCH("Korea DPR",S847)),"North Korea",
ISNUMBER(SEARCH("China PR",S847)),"China",
ISNUMBER(SEARCH("IR Iran",S847)),"Iran",
ISNUMBER(SEARCH("Congo DR",S847)),"Democratic Republic of the Congo",
ISNUMBER(SEARCH("DR Congo",S847)),"Democratic Republic of the Congo",
ISNUMBER(SEARCH("German DR",S847)),"DR Germany",
ISNUMBER(SEARCH("rn""&gt;United Arab Emirates",S847)),"United Arab Emirates",
ISNUMBER(SEARCH("rn""&gt;Republic of Ireland",S847)),"Ireland",
ISNUMBER(SEARCH("rn""&gt;Bosnia and Herzegovina",S847)),"Bosnia and Herzegovina",
ISNUMBER(SEARCH("rn""&gt;Trinidad and Tobago",S847)),"Trinidad and Tobago",
ISNUMBER(SEARCH("rn""&gt;Serbia and Montenegro",S847)),"Serbia and Montenegro",
ISNUMBER(SEARCH(_xlfn.UNICHAR(65533),S847)),"Côte d'Ivoire",
TRUE,""
)</f>
        <v/>
      </c>
      <c r="W847" s="30" t="str">
        <f t="shared" si="77"/>
        <v>Mexico</v>
      </c>
      <c r="Z847" s="40" t="str">
        <v>Arena Pernambuco</v>
      </c>
      <c r="AA847" s="40" t="str" cm="1">
        <f t="array" ref="AA847">IFERROR(_xlfn.XLOOKUP(Z847,_xlfn.ANCHORARRAY(Z$31),AA$31:AA$37),Z847)</f>
        <v>Arena Pernambuco</v>
      </c>
      <c r="AB847" s="42" t="str">
        <v xml:space="preserve">Recife </v>
      </c>
      <c r="AC847" s="89" t="str">
        <f t="shared" si="73"/>
        <v xml:space="preserve">Recife </v>
      </c>
      <c r="AE847" s="42">
        <v>2010</v>
      </c>
      <c r="AK847" s="42">
        <v>2</v>
      </c>
      <c r="AL847" s="42">
        <v>1</v>
      </c>
      <c r="AW847" s="89" t="str">
        <v>ROUND_OF_16</v>
      </c>
      <c r="BE847" s="43" t="str">
        <f>IF(OR(DATA_CLEANED!AL838="",DATA_CLEANED!AM838=""),"MANQUANT",IF(OR(NOT(ISNUMBER(DATA_CLEANED!AL838)),NOT(ISNUMBER(DATA_CLEANED!AM838))),"ENTREE INVALIDE",IF(OR(DATA_CLEANED!AL838&lt;0,DATA_CLEANED!AM838&lt;0),"SCORE NEGATIF","OK")))</f>
        <v>OK</v>
      </c>
      <c r="BF847" s="43" t="str">
        <f>IF(DATA_CLEANED!AK838&lt;&gt;DATA_CLEANED!AN838,"OK","ERREUR")</f>
        <v>OK</v>
      </c>
      <c r="BG847" s="43" t="str">
        <f>IF(DATA_CLEANED!AL838&gt;DATA_CLEANED!AM838,DATA_CLEANED!AK838,IF(AND(DATA_QUALITE!W5324="-",DATA_CLEANED!AM838=DATA_CLEANED!AL838),"MATCH NUL",IF(AND(DATA_QUALITE!V5324="-",DATA_QUALITE!U5324="AUCUNE"),DATA_QUALITE!T5324,IF(DATA_QUALITE!V5324&lt;&gt;"-",DATA_QUALITE!V5324,DATA_CLEANED!AN838))))</f>
        <v>Belgium</v>
      </c>
      <c r="BH847" s="103" t="str">
        <f>IF(AND(BG847="MATCH NUL",DATA_CLEANED!AO838="-"),"MATCH_NUL",IF(ISNUMBER(SEARCH("win on penalties",W5324)),"WIN_BY_PENALTY",IF(ISNUMBER(SEARCH("win after extra time",W5324)),"WIN_BY_EXTRA_TIME",IF(ISNUMBER(SEARCH("Golden Goal",W5324)),"WIN_BY_GOLDEN_GOAL","WIN_BY_SCORE"))))</f>
        <v>WIN_BY_EXTRA_TIME</v>
      </c>
      <c r="BI847" s="99" t="str">
        <f>IF(OR(BG847=DATA_CLEANED!AK838,BG847=DATA_CLEANED!AN838,BG847="MATCH NUL"),"OK","ERREUR")</f>
        <v>OK</v>
      </c>
    </row>
    <row r="848" spans="2:61">
      <c r="B848" s="75">
        <v>411</v>
      </c>
      <c r="C848" s="15" t="str">
        <v>Brenden Aaronson</v>
      </c>
      <c r="D848" s="15">
        <v>25</v>
      </c>
      <c r="E848" s="15" t="str">
        <v>USA</v>
      </c>
      <c r="F848" s="15" t="str">
        <v>LW</v>
      </c>
      <c r="G848" s="15" t="str">
        <v>Leeds United</v>
      </c>
      <c r="H848" s="15">
        <v>11</v>
      </c>
      <c r="I848" s="15" t="str">
        <f t="shared" si="74"/>
        <v>411|Brenden Aaronson|25|USA|LW|Leeds United|11</v>
      </c>
      <c r="J848" s="15" t="str">
        <f>IF(COUNTIF(I$438:I848,I848)&gt;1,"DOUBLON","OK")</f>
        <v>OK</v>
      </c>
      <c r="S848" s="30" t="str">
        <v>Bulgaria</v>
      </c>
      <c r="T848" s="30" t="str">
        <f t="shared" si="75"/>
        <v>OK</v>
      </c>
      <c r="U848" s="30" t="str">
        <f t="shared" si="76"/>
        <v>-</v>
      </c>
      <c r="V848" s="30" t="str" cm="1">
        <f t="array" ref="V848">_xlfn.IFS(
ISNUMBER(SEARCH("USA",S848)),"United States",
ISNUMBER(SEARCH("Republic of Korea",S848)),"South Korea",
ISNUMBER(SEARCH("Cape Verde",S848)),"Cabo Verde",
ISNUMBER(SEARCH("Czechia",S848)),"Czech Republic",
ISNUMBER(SEARCH("Türkiye",S848)),"Turkey",
ISNUMBER(SEARCH("Ivory Coast",S848)),"Côte d'Ivoire",
ISNUMBER(SEARCH("Korea Republic",S848)),"South Korea",
ISNUMBER(SEARCH("Germany FR",S848)),"FR Germany",
ISNUMBER(SEARCH("West Germany",S848)),"FR Germany",
ISNUMBER(SEARCH("Germany DR",S848)),"DR Germany",
ISNUMBER(SEARCH("Korea DPR",S848)),"North Korea",
ISNUMBER(SEARCH("China PR",S848)),"China",
ISNUMBER(SEARCH("IR Iran",S848)),"Iran",
ISNUMBER(SEARCH("Congo DR",S848)),"Democratic Republic of the Congo",
ISNUMBER(SEARCH("DR Congo",S848)),"Democratic Republic of the Congo",
ISNUMBER(SEARCH("German DR",S848)),"DR Germany",
ISNUMBER(SEARCH("rn""&gt;United Arab Emirates",S848)),"United Arab Emirates",
ISNUMBER(SEARCH("rn""&gt;Republic of Ireland",S848)),"Ireland",
ISNUMBER(SEARCH("rn""&gt;Bosnia and Herzegovina",S848)),"Bosnia and Herzegovina",
ISNUMBER(SEARCH("rn""&gt;Trinidad and Tobago",S848)),"Trinidad and Tobago",
ISNUMBER(SEARCH("rn""&gt;Serbia and Montenegro",S848)),"Serbia and Montenegro",
ISNUMBER(SEARCH(_xlfn.UNICHAR(65533),S848)),"Côte d'Ivoire",
TRUE,""
)</f>
        <v/>
      </c>
      <c r="W848" s="30" t="str">
        <f t="shared" si="77"/>
        <v>Bulgaria</v>
      </c>
      <c r="Z848" s="40" t="str">
        <v>Estadio das Dunas</v>
      </c>
      <c r="AA848" s="40" t="str" cm="1">
        <f t="array" ref="AA848">IFERROR(_xlfn.XLOOKUP(Z848,_xlfn.ANCHORARRAY(Z$31),AA$31:AA$37),Z848)</f>
        <v>Estadio das Dunas</v>
      </c>
      <c r="AB848" s="42" t="str">
        <v xml:space="preserve">Natal </v>
      </c>
      <c r="AC848" s="89" t="str">
        <f t="shared" si="73"/>
        <v xml:space="preserve">Natal </v>
      </c>
      <c r="AE848" s="42">
        <v>2010</v>
      </c>
      <c r="AK848" s="42">
        <v>1</v>
      </c>
      <c r="AL848" s="42">
        <v>1</v>
      </c>
      <c r="AW848" s="89" t="str">
        <v>GROUP_STAGE</v>
      </c>
      <c r="BE848" s="43" t="str">
        <f>IF(OR(DATA_CLEANED!AL839="",DATA_CLEANED!AM839=""),"MANQUANT",IF(OR(NOT(ISNUMBER(DATA_CLEANED!AL839)),NOT(ISNUMBER(DATA_CLEANED!AM839))),"ENTREE INVALIDE",IF(OR(DATA_CLEANED!AL839&lt;0,DATA_CLEANED!AM839&lt;0),"SCORE NEGATIF","OK")))</f>
        <v>OK</v>
      </c>
      <c r="BF848" s="43" t="str">
        <f>IF(DATA_CLEANED!AK839&lt;&gt;DATA_CLEANED!AN839,"OK","ERREUR")</f>
        <v>OK</v>
      </c>
      <c r="BG848" s="43" t="str">
        <f>IF(DATA_CLEANED!AL839&gt;DATA_CLEANED!AM839,DATA_CLEANED!AK839,IF(AND(DATA_QUALITE!W5325="-",DATA_CLEANED!AM839=DATA_CLEANED!AL839),"MATCH NUL",IF(AND(DATA_QUALITE!V5325="-",DATA_QUALITE!U5325="AUCUNE"),DATA_QUALITE!T5325,IF(DATA_QUALITE!V5325&lt;&gt;"-",DATA_QUALITE!V5325,DATA_CLEANED!AN839))))</f>
        <v>Russia</v>
      </c>
      <c r="BH848" s="103" t="str">
        <f>IF(AND(BG848="MATCH NUL",DATA_CLEANED!AO839="-"),"MATCH_NUL",IF(ISNUMBER(SEARCH("win on penalties",W5325)),"WIN_BY_PENALTY",IF(ISNUMBER(SEARCH("win after extra time",W5325)),"WIN_BY_EXTRA_TIME",IF(ISNUMBER(SEARCH("Golden Goal",W5325)),"WIN_BY_GOLDEN_GOAL","WIN_BY_SCORE"))))</f>
        <v>WIN_BY_SCORE</v>
      </c>
      <c r="BI848" s="99" t="str">
        <f>IF(OR(BG848=DATA_CLEANED!AK839,BG848=DATA_CLEANED!AN839,BG848="MATCH NUL"),"OK","ERREUR")</f>
        <v>OK</v>
      </c>
    </row>
    <row r="849" spans="2:61">
      <c r="B849" s="75">
        <v>412</v>
      </c>
      <c r="C849" s="15" t="str">
        <v>Haji Wright</v>
      </c>
      <c r="D849" s="15">
        <v>28</v>
      </c>
      <c r="E849" s="15" t="str">
        <v>USA</v>
      </c>
      <c r="F849" s="15" t="str">
        <v>LW</v>
      </c>
      <c r="G849" s="15" t="str">
        <v>Coventry City</v>
      </c>
      <c r="H849" s="15">
        <v>19</v>
      </c>
      <c r="I849" s="15" t="str">
        <f t="shared" si="74"/>
        <v>412|Haji Wright|28|USA|LW|Coventry City|19</v>
      </c>
      <c r="J849" s="15" t="str">
        <f>IF(COUNTIF(I$438:I849,I849)&gt;1,"DOUBLON","OK")</f>
        <v>OK</v>
      </c>
      <c r="S849" s="30" t="str">
        <v>Mexico</v>
      </c>
      <c r="T849" s="30" t="str">
        <f t="shared" si="75"/>
        <v>OK</v>
      </c>
      <c r="U849" s="30" t="str">
        <f t="shared" si="76"/>
        <v>-</v>
      </c>
      <c r="V849" s="30" t="str" cm="1">
        <f t="array" ref="V849">_xlfn.IFS(
ISNUMBER(SEARCH("USA",S849)),"United States",
ISNUMBER(SEARCH("Republic of Korea",S849)),"South Korea",
ISNUMBER(SEARCH("Cape Verde",S849)),"Cabo Verde",
ISNUMBER(SEARCH("Czechia",S849)),"Czech Republic",
ISNUMBER(SEARCH("Türkiye",S849)),"Turkey",
ISNUMBER(SEARCH("Ivory Coast",S849)),"Côte d'Ivoire",
ISNUMBER(SEARCH("Korea Republic",S849)),"South Korea",
ISNUMBER(SEARCH("Germany FR",S849)),"FR Germany",
ISNUMBER(SEARCH("West Germany",S849)),"FR Germany",
ISNUMBER(SEARCH("Germany DR",S849)),"DR Germany",
ISNUMBER(SEARCH("Korea DPR",S849)),"North Korea",
ISNUMBER(SEARCH("China PR",S849)),"China",
ISNUMBER(SEARCH("IR Iran",S849)),"Iran",
ISNUMBER(SEARCH("Congo DR",S849)),"Democratic Republic of the Congo",
ISNUMBER(SEARCH("DR Congo",S849)),"Democratic Republic of the Congo",
ISNUMBER(SEARCH("German DR",S849)),"DR Germany",
ISNUMBER(SEARCH("rn""&gt;United Arab Emirates",S849)),"United Arab Emirates",
ISNUMBER(SEARCH("rn""&gt;Republic of Ireland",S849)),"Ireland",
ISNUMBER(SEARCH("rn""&gt;Bosnia and Herzegovina",S849)),"Bosnia and Herzegovina",
ISNUMBER(SEARCH("rn""&gt;Trinidad and Tobago",S849)),"Trinidad and Tobago",
ISNUMBER(SEARCH("rn""&gt;Serbia and Montenegro",S849)),"Serbia and Montenegro",
ISNUMBER(SEARCH(_xlfn.UNICHAR(65533),S849)),"Côte d'Ivoire",
TRUE,""
)</f>
        <v/>
      </c>
      <c r="W849" s="30" t="str">
        <f t="shared" si="77"/>
        <v>Mexico</v>
      </c>
      <c r="Z849" s="40" t="str">
        <v>Estadio Mineirao</v>
      </c>
      <c r="AA849" s="40" t="str" cm="1">
        <f t="array" ref="AA849">IFERROR(_xlfn.XLOOKUP(Z849,_xlfn.ANCHORARRAY(Z$31),AA$31:AA$37),Z849)</f>
        <v>Estadio Mineirao</v>
      </c>
      <c r="AB849" s="42" t="str">
        <v xml:space="preserve">Belo Horizonte </v>
      </c>
      <c r="AC849" s="89" t="str">
        <f t="shared" si="73"/>
        <v xml:space="preserve">Belo Horizonte </v>
      </c>
      <c r="AE849" s="42">
        <v>2010</v>
      </c>
      <c r="AK849" s="42">
        <v>0</v>
      </c>
      <c r="AL849" s="42">
        <v>4</v>
      </c>
      <c r="AW849" s="89" t="str">
        <v>GROUP_STAGE</v>
      </c>
      <c r="BE849" s="43" t="str">
        <f>IF(OR(DATA_CLEANED!AL840="",DATA_CLEANED!AM840=""),"MANQUANT",IF(OR(NOT(ISNUMBER(DATA_CLEANED!AL840)),NOT(ISNUMBER(DATA_CLEANED!AM840))),"ENTREE INVALIDE",IF(OR(DATA_CLEANED!AL840&lt;0,DATA_CLEANED!AM840&lt;0),"SCORE NEGATIF","OK")))</f>
        <v>OK</v>
      </c>
      <c r="BF849" s="43" t="str">
        <f>IF(DATA_CLEANED!AK840&lt;&gt;DATA_CLEANED!AN840,"OK","ERREUR")</f>
        <v>OK</v>
      </c>
      <c r="BG849" s="43" t="str">
        <f>IF(DATA_CLEANED!AL840&gt;DATA_CLEANED!AM840,DATA_CLEANED!AK840,IF(AND(DATA_QUALITE!W5326="-",DATA_CLEANED!AM840=DATA_CLEANED!AL840),"MATCH NUL",IF(AND(DATA_QUALITE!V5326="-",DATA_QUALITE!U5326="AUCUNE"),DATA_QUALITE!T5326,IF(DATA_QUALITE!V5326&lt;&gt;"-",DATA_QUALITE!V5326,DATA_CLEANED!AN840))))</f>
        <v>Uruguay</v>
      </c>
      <c r="BH849" s="103" t="str">
        <f>IF(AND(BG849="MATCH NUL",DATA_CLEANED!AO840="-"),"MATCH_NUL",IF(ISNUMBER(SEARCH("win on penalties",W5326)),"WIN_BY_PENALTY",IF(ISNUMBER(SEARCH("win after extra time",W5326)),"WIN_BY_EXTRA_TIME",IF(ISNUMBER(SEARCH("Golden Goal",W5326)),"WIN_BY_GOLDEN_GOAL","WIN_BY_SCORE"))))</f>
        <v>WIN_BY_SCORE</v>
      </c>
      <c r="BI849" s="99" t="str">
        <f>IF(OR(BG849=DATA_CLEANED!AK840,BG849=DATA_CLEANED!AN840,BG849="MATCH NUL"),"OK","ERREUR")</f>
        <v>OK</v>
      </c>
    </row>
    <row r="850" spans="2:61">
      <c r="B850" s="75">
        <v>413</v>
      </c>
      <c r="C850" s="15" t="str">
        <v>Timothy Weah</v>
      </c>
      <c r="D850" s="15">
        <v>26</v>
      </c>
      <c r="E850" s="15" t="str">
        <v>USA</v>
      </c>
      <c r="F850" s="15" t="str">
        <v>RW</v>
      </c>
      <c r="G850" s="15" t="str">
        <v>Marseille</v>
      </c>
      <c r="H850" s="15">
        <v>21</v>
      </c>
      <c r="I850" s="15" t="str">
        <f t="shared" si="74"/>
        <v>413|Timothy Weah|26|USA|RW|Marseille|21</v>
      </c>
      <c r="J850" s="15" t="str">
        <f>IF(COUNTIF(I$438:I850,I850)&gt;1,"DOUBLON","OK")</f>
        <v>OK</v>
      </c>
      <c r="S850" s="30" t="str">
        <v>Bulgaria</v>
      </c>
      <c r="T850" s="30" t="str">
        <f t="shared" si="75"/>
        <v>OK</v>
      </c>
      <c r="U850" s="30" t="str">
        <f t="shared" si="76"/>
        <v>-</v>
      </c>
      <c r="V850" s="30" t="str" cm="1">
        <f t="array" ref="V850">_xlfn.IFS(
ISNUMBER(SEARCH("USA",S850)),"United States",
ISNUMBER(SEARCH("Republic of Korea",S850)),"South Korea",
ISNUMBER(SEARCH("Cape Verde",S850)),"Cabo Verde",
ISNUMBER(SEARCH("Czechia",S850)),"Czech Republic",
ISNUMBER(SEARCH("Türkiye",S850)),"Turkey",
ISNUMBER(SEARCH("Ivory Coast",S850)),"Côte d'Ivoire",
ISNUMBER(SEARCH("Korea Republic",S850)),"South Korea",
ISNUMBER(SEARCH("Germany FR",S850)),"FR Germany",
ISNUMBER(SEARCH("West Germany",S850)),"FR Germany",
ISNUMBER(SEARCH("Germany DR",S850)),"DR Germany",
ISNUMBER(SEARCH("Korea DPR",S850)),"North Korea",
ISNUMBER(SEARCH("China PR",S850)),"China",
ISNUMBER(SEARCH("IR Iran",S850)),"Iran",
ISNUMBER(SEARCH("Congo DR",S850)),"Democratic Republic of the Congo",
ISNUMBER(SEARCH("DR Congo",S850)),"Democratic Republic of the Congo",
ISNUMBER(SEARCH("German DR",S850)),"DR Germany",
ISNUMBER(SEARCH("rn""&gt;United Arab Emirates",S850)),"United Arab Emirates",
ISNUMBER(SEARCH("rn""&gt;Republic of Ireland",S850)),"Ireland",
ISNUMBER(SEARCH("rn""&gt;Bosnia and Herzegovina",S850)),"Bosnia and Herzegovina",
ISNUMBER(SEARCH("rn""&gt;Trinidad and Tobago",S850)),"Trinidad and Tobago",
ISNUMBER(SEARCH("rn""&gt;Serbia and Montenegro",S850)),"Serbia and Montenegro",
ISNUMBER(SEARCH(_xlfn.UNICHAR(65533),S850)),"Côte d'Ivoire",
TRUE,""
)</f>
        <v/>
      </c>
      <c r="W850" s="30" t="str">
        <f t="shared" si="77"/>
        <v>Bulgaria</v>
      </c>
      <c r="Z850" s="40" t="str">
        <v>Arena Pantanal</v>
      </c>
      <c r="AA850" s="40" t="str" cm="1">
        <f t="array" ref="AA850">IFERROR(_xlfn.XLOOKUP(Z850,_xlfn.ANCHORARRAY(Z$31),AA$31:AA$37),Z850)</f>
        <v>Arena Pantanal</v>
      </c>
      <c r="AB850" s="42" t="str">
        <v xml:space="preserve">Cuiaba </v>
      </c>
      <c r="AC850" s="89" t="str">
        <f t="shared" si="73"/>
        <v xml:space="preserve">Cuiaba </v>
      </c>
      <c r="AE850" s="42">
        <v>2010</v>
      </c>
      <c r="AK850" s="42">
        <v>0</v>
      </c>
      <c r="AL850" s="42">
        <v>1</v>
      </c>
      <c r="AW850" s="89" t="str">
        <v>GROUP_STAGE</v>
      </c>
      <c r="BE850" s="43" t="str">
        <f>IF(OR(DATA_CLEANED!AL841="",DATA_CLEANED!AM841=""),"MANQUANT",IF(OR(NOT(ISNUMBER(DATA_CLEANED!AL841)),NOT(ISNUMBER(DATA_CLEANED!AM841))),"ENTREE INVALIDE",IF(OR(DATA_CLEANED!AL841&lt;0,DATA_CLEANED!AM841&lt;0),"SCORE NEGATIF","OK")))</f>
        <v>OK</v>
      </c>
      <c r="BF850" s="43" t="str">
        <f>IF(DATA_CLEANED!AK841&lt;&gt;DATA_CLEANED!AN841,"OK","ERREUR")</f>
        <v>OK</v>
      </c>
      <c r="BG850" s="43" t="str">
        <f>IF(DATA_CLEANED!AL841&gt;DATA_CLEANED!AM841,DATA_CLEANED!AK841,IF(AND(DATA_QUALITE!W5327="-",DATA_CLEANED!AM841=DATA_CLEANED!AL841),"MATCH NUL",IF(AND(DATA_QUALITE!V5327="-",DATA_QUALITE!U5327="AUCUNE"),DATA_QUALITE!T5327,IF(DATA_QUALITE!V5327&lt;&gt;"-",DATA_QUALITE!V5327,DATA_CLEANED!AN841))))</f>
        <v>Iran</v>
      </c>
      <c r="BH850" s="103" t="str">
        <f>IF(AND(BG850="MATCH NUL",DATA_CLEANED!AO841="-"),"MATCH_NUL",IF(ISNUMBER(SEARCH("win on penalties",W5327)),"WIN_BY_PENALTY",IF(ISNUMBER(SEARCH("win after extra time",W5327)),"WIN_BY_EXTRA_TIME",IF(ISNUMBER(SEARCH("Golden Goal",W5327)),"WIN_BY_GOLDEN_GOAL","WIN_BY_SCORE"))))</f>
        <v>WIN_BY_SCORE</v>
      </c>
      <c r="BI850" s="99" t="str">
        <f>IF(OR(BG850=DATA_CLEANED!AK841,BG850=DATA_CLEANED!AN841,BG850="MATCH NUL"),"OK","ERREUR")</f>
        <v>OK</v>
      </c>
    </row>
    <row r="851" spans="2:61">
      <c r="B851" s="75">
        <v>414</v>
      </c>
      <c r="C851" s="15" t="str">
        <v>Alejandro Zendejas</v>
      </c>
      <c r="D851" s="15">
        <v>28</v>
      </c>
      <c r="E851" s="15" t="str">
        <v>USA</v>
      </c>
      <c r="F851" s="15" t="str">
        <v>RW</v>
      </c>
      <c r="G851" s="15" t="str">
        <v>América</v>
      </c>
      <c r="H851" s="15">
        <v>26</v>
      </c>
      <c r="I851" s="15" t="str">
        <f t="shared" si="74"/>
        <v>414|Alejandro Zendejas|28|USA|RW|América|26</v>
      </c>
      <c r="J851" s="15" t="str">
        <f>IF(COUNTIF(I$438:I851,I851)&gt;1,"DOUBLON","OK")</f>
        <v>OK</v>
      </c>
      <c r="S851" s="30" t="str">
        <v>Mexico</v>
      </c>
      <c r="T851" s="30" t="str">
        <f t="shared" si="75"/>
        <v>OK</v>
      </c>
      <c r="U851" s="30" t="str">
        <f t="shared" si="76"/>
        <v>-</v>
      </c>
      <c r="V851" s="30" t="str" cm="1">
        <f t="array" ref="V851">_xlfn.IFS(
ISNUMBER(SEARCH("USA",S851)),"United States",
ISNUMBER(SEARCH("Republic of Korea",S851)),"South Korea",
ISNUMBER(SEARCH("Cape Verde",S851)),"Cabo Verde",
ISNUMBER(SEARCH("Czechia",S851)),"Czech Republic",
ISNUMBER(SEARCH("Türkiye",S851)),"Turkey",
ISNUMBER(SEARCH("Ivory Coast",S851)),"Côte d'Ivoire",
ISNUMBER(SEARCH("Korea Republic",S851)),"South Korea",
ISNUMBER(SEARCH("Germany FR",S851)),"FR Germany",
ISNUMBER(SEARCH("West Germany",S851)),"FR Germany",
ISNUMBER(SEARCH("Germany DR",S851)),"DR Germany",
ISNUMBER(SEARCH("Korea DPR",S851)),"North Korea",
ISNUMBER(SEARCH("China PR",S851)),"China",
ISNUMBER(SEARCH("IR Iran",S851)),"Iran",
ISNUMBER(SEARCH("Congo DR",S851)),"Democratic Republic of the Congo",
ISNUMBER(SEARCH("DR Congo",S851)),"Democratic Republic of the Congo",
ISNUMBER(SEARCH("German DR",S851)),"DR Germany",
ISNUMBER(SEARCH("rn""&gt;United Arab Emirates",S851)),"United Arab Emirates",
ISNUMBER(SEARCH("rn""&gt;Republic of Ireland",S851)),"Ireland",
ISNUMBER(SEARCH("rn""&gt;Bosnia and Herzegovina",S851)),"Bosnia and Herzegovina",
ISNUMBER(SEARCH("rn""&gt;Trinidad and Tobago",S851)),"Trinidad and Tobago",
ISNUMBER(SEARCH("rn""&gt;Serbia and Montenegro",S851)),"Serbia and Montenegro",
ISNUMBER(SEARCH(_xlfn.UNICHAR(65533),S851)),"Côte d'Ivoire",
TRUE,""
)</f>
        <v/>
      </c>
      <c r="W851" s="30" t="str">
        <f t="shared" si="77"/>
        <v>Mexico</v>
      </c>
      <c r="Z851" s="40" t="str">
        <v>Estadio Castelao</v>
      </c>
      <c r="AA851" s="40" t="str" cm="1">
        <f t="array" ref="AA851">IFERROR(_xlfn.XLOOKUP(Z851,_xlfn.ANCHORARRAY(Z$31),AA$31:AA$37),Z851)</f>
        <v>Estadio Castelao</v>
      </c>
      <c r="AB851" s="42" t="str">
        <v xml:space="preserve">Fortaleza </v>
      </c>
      <c r="AC851" s="89" t="str">
        <f t="shared" si="73"/>
        <v xml:space="preserve">Fortaleza </v>
      </c>
      <c r="AE851" s="42">
        <v>2010</v>
      </c>
      <c r="AK851" s="42">
        <v>2</v>
      </c>
      <c r="AL851" s="42">
        <v>3</v>
      </c>
      <c r="AW851" s="89" t="str">
        <v>GROUP_STAGE</v>
      </c>
      <c r="BE851" s="43" t="str">
        <f>IF(OR(DATA_CLEANED!AL842="",DATA_CLEANED!AM842=""),"MANQUANT",IF(OR(NOT(ISNUMBER(DATA_CLEANED!AL842)),NOT(ISNUMBER(DATA_CLEANED!AM842))),"ENTREE INVALIDE",IF(OR(DATA_CLEANED!AL842&lt;0,DATA_CLEANED!AM842&lt;0),"SCORE NEGATIF","OK")))</f>
        <v>OK</v>
      </c>
      <c r="BF851" s="43" t="str">
        <f>IF(DATA_CLEANED!AK842&lt;&gt;DATA_CLEANED!AN842,"OK","ERREUR")</f>
        <v>OK</v>
      </c>
      <c r="BG851" s="43" t="str">
        <f>IF(DATA_CLEANED!AL842&gt;DATA_CLEANED!AM842,DATA_CLEANED!AK842,IF(AND(DATA_QUALITE!W5328="-",DATA_CLEANED!AM842=DATA_CLEANED!AL842),"MATCH NUL",IF(AND(DATA_QUALITE!V5328="-",DATA_QUALITE!U5328="AUCUNE"),DATA_QUALITE!T5328,IF(DATA_QUALITE!V5328&lt;&gt;"-",DATA_QUALITE!V5328,DATA_CLEANED!AN842))))</f>
        <v>MATCH NUL</v>
      </c>
      <c r="BH851" s="103" t="str">
        <f>IF(AND(BG851="MATCH NUL",DATA_CLEANED!AO842="-"),"MATCH_NUL",IF(ISNUMBER(SEARCH("win on penalties",W5328)),"WIN_BY_PENALTY",IF(ISNUMBER(SEARCH("win after extra time",W5328)),"WIN_BY_EXTRA_TIME",IF(ISNUMBER(SEARCH("Golden Goal",W5328)),"WIN_BY_GOLDEN_GOAL","WIN_BY_SCORE"))))</f>
        <v>MATCH_NUL</v>
      </c>
      <c r="BI851" s="99" t="str">
        <f>IF(OR(BG851=DATA_CLEANED!AK842,BG851=DATA_CLEANED!AN842,BG851="MATCH NUL"),"OK","ERREUR")</f>
        <v>OK</v>
      </c>
    </row>
    <row r="852" spans="2:61">
      <c r="B852" s="75">
        <v>415</v>
      </c>
      <c r="C852" s="15" t="str">
        <v>Ricardo Pepi</v>
      </c>
      <c r="D852" s="15">
        <v>23</v>
      </c>
      <c r="E852" s="15" t="str">
        <v>USA</v>
      </c>
      <c r="F852" s="15" t="str">
        <v>ST</v>
      </c>
      <c r="G852" s="15" t="str">
        <v>PSV Eindhoven</v>
      </c>
      <c r="H852" s="15">
        <v>9</v>
      </c>
      <c r="I852" s="15" t="str">
        <f t="shared" si="74"/>
        <v>415|Ricardo Pepi|23|USA|ST|PSV Eindhoven|9</v>
      </c>
      <c r="J852" s="15" t="str">
        <f>IF(COUNTIF(I$438:I852,I852)&gt;1,"DOUBLON","OK")</f>
        <v>OK</v>
      </c>
      <c r="S852" s="30" t="str">
        <v>Sweden</v>
      </c>
      <c r="T852" s="30" t="str">
        <f t="shared" si="75"/>
        <v>OK</v>
      </c>
      <c r="U852" s="30" t="str">
        <f t="shared" si="76"/>
        <v>-</v>
      </c>
      <c r="V852" s="30" t="str" cm="1">
        <f t="array" ref="V852">_xlfn.IFS(
ISNUMBER(SEARCH("USA",S852)),"United States",
ISNUMBER(SEARCH("Republic of Korea",S852)),"South Korea",
ISNUMBER(SEARCH("Cape Verde",S852)),"Cabo Verde",
ISNUMBER(SEARCH("Czechia",S852)),"Czech Republic",
ISNUMBER(SEARCH("Türkiye",S852)),"Turkey",
ISNUMBER(SEARCH("Ivory Coast",S852)),"Côte d'Ivoire",
ISNUMBER(SEARCH("Korea Republic",S852)),"South Korea",
ISNUMBER(SEARCH("Germany FR",S852)),"FR Germany",
ISNUMBER(SEARCH("West Germany",S852)),"FR Germany",
ISNUMBER(SEARCH("Germany DR",S852)),"DR Germany",
ISNUMBER(SEARCH("Korea DPR",S852)),"North Korea",
ISNUMBER(SEARCH("China PR",S852)),"China",
ISNUMBER(SEARCH("IR Iran",S852)),"Iran",
ISNUMBER(SEARCH("Congo DR",S852)),"Democratic Republic of the Congo",
ISNUMBER(SEARCH("DR Congo",S852)),"Democratic Republic of the Congo",
ISNUMBER(SEARCH("German DR",S852)),"DR Germany",
ISNUMBER(SEARCH("rn""&gt;United Arab Emirates",S852)),"United Arab Emirates",
ISNUMBER(SEARCH("rn""&gt;Republic of Ireland",S852)),"Ireland",
ISNUMBER(SEARCH("rn""&gt;Bosnia and Herzegovina",S852)),"Bosnia and Herzegovina",
ISNUMBER(SEARCH("rn""&gt;Trinidad and Tobago",S852)),"Trinidad and Tobago",
ISNUMBER(SEARCH("rn""&gt;Serbia and Montenegro",S852)),"Serbia and Montenegro",
ISNUMBER(SEARCH(_xlfn.UNICHAR(65533),S852)),"Côte d'Ivoire",
TRUE,""
)</f>
        <v/>
      </c>
      <c r="W852" s="30" t="str">
        <f t="shared" si="77"/>
        <v>Sweden</v>
      </c>
      <c r="Z852" s="40" t="str">
        <v>Estadio Beira-Rio</v>
      </c>
      <c r="AA852" s="40" t="str" cm="1">
        <f t="array" ref="AA852">IFERROR(_xlfn.XLOOKUP(Z852,_xlfn.ANCHORARRAY(Z$31),AA$31:AA$37),Z852)</f>
        <v>Estadio Beira-Rio</v>
      </c>
      <c r="AB852" s="42" t="str">
        <v xml:space="preserve">Porto Alegre </v>
      </c>
      <c r="AC852" s="89" t="str">
        <f t="shared" si="73"/>
        <v xml:space="preserve">Porto Alegre </v>
      </c>
      <c r="AE852" s="42">
        <v>2010</v>
      </c>
      <c r="AK852" s="42">
        <v>0</v>
      </c>
      <c r="AL852" s="42">
        <v>1</v>
      </c>
      <c r="AW852" s="89" t="str">
        <v>GROUP_STAGE</v>
      </c>
      <c r="BE852" s="43" t="str">
        <f>IF(OR(DATA_CLEANED!AL843="",DATA_CLEANED!AM843=""),"MANQUANT",IF(OR(NOT(ISNUMBER(DATA_CLEANED!AL843)),NOT(ISNUMBER(DATA_CLEANED!AM843))),"ENTREE INVALIDE",IF(OR(DATA_CLEANED!AL843&lt;0,DATA_CLEANED!AM843&lt;0),"SCORE NEGATIF","OK")))</f>
        <v>OK</v>
      </c>
      <c r="BF852" s="43" t="str">
        <f>IF(DATA_CLEANED!AK843&lt;&gt;DATA_CLEANED!AN843,"OK","ERREUR")</f>
        <v>OK</v>
      </c>
      <c r="BG852" s="43" t="str">
        <f>IF(DATA_CLEANED!AL843&gt;DATA_CLEANED!AM843,DATA_CLEANED!AK843,IF(AND(DATA_QUALITE!W5329="-",DATA_CLEANED!AM843=DATA_CLEANED!AL843),"MATCH NUL",IF(AND(DATA_QUALITE!V5329="-",DATA_QUALITE!U5329="AUCUNE"),DATA_QUALITE!T5329,IF(DATA_QUALITE!V5329&lt;&gt;"-",DATA_QUALITE!V5329,DATA_CLEANED!AN843))))</f>
        <v>France</v>
      </c>
      <c r="BH852" s="103" t="str">
        <f>IF(AND(BG852="MATCH NUL",DATA_CLEANED!AO843="-"),"MATCH_NUL",IF(ISNUMBER(SEARCH("win on penalties",W5329)),"WIN_BY_PENALTY",IF(ISNUMBER(SEARCH("win after extra time",W5329)),"WIN_BY_EXTRA_TIME",IF(ISNUMBER(SEARCH("Golden Goal",W5329)),"WIN_BY_GOLDEN_GOAL","WIN_BY_SCORE"))))</f>
        <v>WIN_BY_SCORE</v>
      </c>
      <c r="BI852" s="99" t="str">
        <f>IF(OR(BG852=DATA_CLEANED!AK843,BG852=DATA_CLEANED!AN843,BG852="MATCH NUL"),"OK","ERREUR")</f>
        <v>OK</v>
      </c>
    </row>
    <row r="853" spans="2:61">
      <c r="B853" s="75">
        <v>416</v>
      </c>
      <c r="C853" s="15" t="str">
        <v>Folarin Balogun</v>
      </c>
      <c r="D853" s="15">
        <v>24</v>
      </c>
      <c r="E853" s="15" t="str">
        <v>USA</v>
      </c>
      <c r="F853" s="15" t="str">
        <v>ST</v>
      </c>
      <c r="G853" s="15" t="str">
        <v>Monaco</v>
      </c>
      <c r="H853" s="15">
        <v>20</v>
      </c>
      <c r="I853" s="15" t="str">
        <f t="shared" si="74"/>
        <v>416|Folarin Balogun|24|USA|ST|Monaco|20</v>
      </c>
      <c r="J853" s="15" t="str">
        <f>IF(COUNTIF(I$438:I853,I853)&gt;1,"DOUBLON","OK")</f>
        <v>OK</v>
      </c>
      <c r="S853" s="30" t="str">
        <v>Romania</v>
      </c>
      <c r="T853" s="30" t="str">
        <f t="shared" si="75"/>
        <v>OK</v>
      </c>
      <c r="U853" s="30" t="str">
        <f t="shared" si="76"/>
        <v>-</v>
      </c>
      <c r="V853" s="30" t="str" cm="1">
        <f t="array" ref="V853">_xlfn.IFS(
ISNUMBER(SEARCH("USA",S853)),"United States",
ISNUMBER(SEARCH("Republic of Korea",S853)),"South Korea",
ISNUMBER(SEARCH("Cape Verde",S853)),"Cabo Verde",
ISNUMBER(SEARCH("Czechia",S853)),"Czech Republic",
ISNUMBER(SEARCH("Türkiye",S853)),"Turkey",
ISNUMBER(SEARCH("Ivory Coast",S853)),"Côte d'Ivoire",
ISNUMBER(SEARCH("Korea Republic",S853)),"South Korea",
ISNUMBER(SEARCH("Germany FR",S853)),"FR Germany",
ISNUMBER(SEARCH("West Germany",S853)),"FR Germany",
ISNUMBER(SEARCH("Germany DR",S853)),"DR Germany",
ISNUMBER(SEARCH("Korea DPR",S853)),"North Korea",
ISNUMBER(SEARCH("China PR",S853)),"China",
ISNUMBER(SEARCH("IR Iran",S853)),"Iran",
ISNUMBER(SEARCH("Congo DR",S853)),"Democratic Republic of the Congo",
ISNUMBER(SEARCH("DR Congo",S853)),"Democratic Republic of the Congo",
ISNUMBER(SEARCH("German DR",S853)),"DR Germany",
ISNUMBER(SEARCH("rn""&gt;United Arab Emirates",S853)),"United Arab Emirates",
ISNUMBER(SEARCH("rn""&gt;Republic of Ireland",S853)),"Ireland",
ISNUMBER(SEARCH("rn""&gt;Bosnia and Herzegovina",S853)),"Bosnia and Herzegovina",
ISNUMBER(SEARCH("rn""&gt;Trinidad and Tobago",S853)),"Trinidad and Tobago",
ISNUMBER(SEARCH("rn""&gt;Serbia and Montenegro",S853)),"Serbia and Montenegro",
ISNUMBER(SEARCH(_xlfn.UNICHAR(65533),S853)),"Côte d'Ivoire",
TRUE,""
)</f>
        <v/>
      </c>
      <c r="W853" s="30" t="str">
        <f t="shared" si="77"/>
        <v>Romania</v>
      </c>
      <c r="Z853" s="40" t="str">
        <v>Arena Fonte Nova</v>
      </c>
      <c r="AA853" s="40" t="str" cm="1">
        <f t="array" ref="AA853">IFERROR(_xlfn.XLOOKUP(Z853,_xlfn.ANCHORARRAY(Z$31),AA$31:AA$37),Z853)</f>
        <v>Arena Fonte Nova</v>
      </c>
      <c r="AB853" s="42" t="str">
        <v xml:space="preserve">Salvador </v>
      </c>
      <c r="AC853" s="89" t="str">
        <f t="shared" si="73"/>
        <v xml:space="preserve">Salvador </v>
      </c>
      <c r="AE853" s="42">
        <v>2010</v>
      </c>
      <c r="AK853" s="42">
        <v>2</v>
      </c>
      <c r="AL853" s="42">
        <v>3</v>
      </c>
      <c r="AW853" s="89" t="str">
        <v>GROUP_STAGE</v>
      </c>
      <c r="BE853" s="43" t="str">
        <f>IF(OR(DATA_CLEANED!AL844="",DATA_CLEANED!AM844=""),"MANQUANT",IF(OR(NOT(ISNUMBER(DATA_CLEANED!AL844)),NOT(ISNUMBER(DATA_CLEANED!AM844))),"ENTREE INVALIDE",IF(OR(DATA_CLEANED!AL844&lt;0,DATA_CLEANED!AM844&lt;0),"SCORE NEGATIF","OK")))</f>
        <v>OK</v>
      </c>
      <c r="BF853" s="43" t="str">
        <f>IF(DATA_CLEANED!AK844&lt;&gt;DATA_CLEANED!AN844,"OK","ERREUR")</f>
        <v>OK</v>
      </c>
      <c r="BG853" s="43" t="str">
        <f>IF(DATA_CLEANED!AL844&gt;DATA_CLEANED!AM844,DATA_CLEANED!AK844,IF(AND(DATA_QUALITE!W5330="-",DATA_CLEANED!AM844=DATA_CLEANED!AL844),"MATCH NUL",IF(AND(DATA_QUALITE!V5330="-",DATA_QUALITE!U5330="AUCUNE"),DATA_QUALITE!T5330,IF(DATA_QUALITE!V5330&lt;&gt;"-",DATA_QUALITE!V5330,DATA_CLEANED!AN844))))</f>
        <v>MATCH NUL</v>
      </c>
      <c r="BH853" s="103" t="str">
        <f>IF(AND(BG853="MATCH NUL",DATA_CLEANED!AO844="-"),"MATCH_NUL",IF(ISNUMBER(SEARCH("win on penalties",W5330)),"WIN_BY_PENALTY",IF(ISNUMBER(SEARCH("win after extra time",W5330)),"WIN_BY_EXTRA_TIME",IF(ISNUMBER(SEARCH("Golden Goal",W5330)),"WIN_BY_GOLDEN_GOAL","WIN_BY_SCORE"))))</f>
        <v>MATCH_NUL</v>
      </c>
      <c r="BI853" s="99" t="str">
        <f>IF(OR(BG853=DATA_CLEANED!AK844,BG853=DATA_CLEANED!AN844,BG853="MATCH NUL"),"OK","ERREUR")</f>
        <v>OK</v>
      </c>
    </row>
    <row r="854" spans="2:61">
      <c r="B854" s="75">
        <v>417</v>
      </c>
      <c r="C854" s="15" t="str">
        <v>Eloy Room</v>
      </c>
      <c r="D854" s="15">
        <v>37</v>
      </c>
      <c r="E854" s="15" t="str">
        <v>Curaçao</v>
      </c>
      <c r="F854" s="15" t="str">
        <v>GK</v>
      </c>
      <c r="G854" s="15" t="str">
        <v>Miami FC</v>
      </c>
      <c r="H854" s="15">
        <v>1</v>
      </c>
      <c r="I854" s="15" t="str">
        <f t="shared" si="74"/>
        <v>417|Eloy Room|37|Curaçao|GK|Miami FC|1</v>
      </c>
      <c r="J854" s="15" t="str">
        <f>IF(COUNTIF(I$438:I854,I854)&gt;1,"DOUBLON","OK")</f>
        <v>OK</v>
      </c>
      <c r="S854" s="30" t="str">
        <v>Sweden</v>
      </c>
      <c r="T854" s="30" t="str">
        <f t="shared" si="75"/>
        <v>OK</v>
      </c>
      <c r="U854" s="30" t="str">
        <f t="shared" si="76"/>
        <v>-</v>
      </c>
      <c r="V854" s="30" t="str" cm="1">
        <f t="array" ref="V854">_xlfn.IFS(
ISNUMBER(SEARCH("USA",S854)),"United States",
ISNUMBER(SEARCH("Republic of Korea",S854)),"South Korea",
ISNUMBER(SEARCH("Cape Verde",S854)),"Cabo Verde",
ISNUMBER(SEARCH("Czechia",S854)),"Czech Republic",
ISNUMBER(SEARCH("Türkiye",S854)),"Turkey",
ISNUMBER(SEARCH("Ivory Coast",S854)),"Côte d'Ivoire",
ISNUMBER(SEARCH("Korea Republic",S854)),"South Korea",
ISNUMBER(SEARCH("Germany FR",S854)),"FR Germany",
ISNUMBER(SEARCH("West Germany",S854)),"FR Germany",
ISNUMBER(SEARCH("Germany DR",S854)),"DR Germany",
ISNUMBER(SEARCH("Korea DPR",S854)),"North Korea",
ISNUMBER(SEARCH("China PR",S854)),"China",
ISNUMBER(SEARCH("IR Iran",S854)),"Iran",
ISNUMBER(SEARCH("Congo DR",S854)),"Democratic Republic of the Congo",
ISNUMBER(SEARCH("DR Congo",S854)),"Democratic Republic of the Congo",
ISNUMBER(SEARCH("German DR",S854)),"DR Germany",
ISNUMBER(SEARCH("rn""&gt;United Arab Emirates",S854)),"United Arab Emirates",
ISNUMBER(SEARCH("rn""&gt;Republic of Ireland",S854)),"Ireland",
ISNUMBER(SEARCH("rn""&gt;Bosnia and Herzegovina",S854)),"Bosnia and Herzegovina",
ISNUMBER(SEARCH("rn""&gt;Trinidad and Tobago",S854)),"Trinidad and Tobago",
ISNUMBER(SEARCH("rn""&gt;Serbia and Montenegro",S854)),"Serbia and Montenegro",
ISNUMBER(SEARCH(_xlfn.UNICHAR(65533),S854)),"Côte d'Ivoire",
TRUE,""
)</f>
        <v/>
      </c>
      <c r="W854" s="30" t="str">
        <f t="shared" si="77"/>
        <v>Sweden</v>
      </c>
      <c r="Z854" s="40" t="str">
        <v>Arena Amazonia</v>
      </c>
      <c r="AA854" s="40" t="str" cm="1">
        <f t="array" ref="AA854">IFERROR(_xlfn.XLOOKUP(Z854,_xlfn.ANCHORARRAY(Z$31),AA$31:AA$37),Z854)</f>
        <v>Arena Amazonia</v>
      </c>
      <c r="AB854" s="42" t="str">
        <v xml:space="preserve">Manaus </v>
      </c>
      <c r="AC854" s="89" t="str">
        <f t="shared" si="73"/>
        <v xml:space="preserve">Manaus </v>
      </c>
      <c r="AE854" s="42">
        <v>2010</v>
      </c>
      <c r="AK854" s="42">
        <v>0</v>
      </c>
      <c r="AL854" s="42">
        <v>1</v>
      </c>
      <c r="AW854" s="89" t="str">
        <v>GROUP_STAGE</v>
      </c>
      <c r="BE854" s="43" t="str">
        <f>IF(OR(DATA_CLEANED!AL845="",DATA_CLEANED!AM845=""),"MANQUANT",IF(OR(NOT(ISNUMBER(DATA_CLEANED!AL845)),NOT(ISNUMBER(DATA_CLEANED!AM845))),"ENTREE INVALIDE",IF(OR(DATA_CLEANED!AL845&lt;0,DATA_CLEANED!AM845&lt;0),"SCORE NEGATIF","OK")))</f>
        <v>OK</v>
      </c>
      <c r="BF854" s="43" t="str">
        <f>IF(DATA_CLEANED!AK845&lt;&gt;DATA_CLEANED!AN845,"OK","ERREUR")</f>
        <v>OK</v>
      </c>
      <c r="BG854" s="43" t="str">
        <f>IF(DATA_CLEANED!AL845&gt;DATA_CLEANED!AM845,DATA_CLEANED!AK845,IF(AND(DATA_QUALITE!W5331="-",DATA_CLEANED!AM845=DATA_CLEANED!AL845),"MATCH NUL",IF(AND(DATA_QUALITE!V5331="-",DATA_QUALITE!U5331="AUCUNE"),DATA_QUALITE!T5331,IF(DATA_QUALITE!V5331&lt;&gt;"-",DATA_QUALITE!V5331,DATA_CLEANED!AN845))))</f>
        <v>Denmark</v>
      </c>
      <c r="BH854" s="103" t="str">
        <f>IF(AND(BG854="MATCH NUL",DATA_CLEANED!AO845="-"),"MATCH_NUL",IF(ISNUMBER(SEARCH("win on penalties",W5331)),"WIN_BY_PENALTY",IF(ISNUMBER(SEARCH("win after extra time",W5331)),"WIN_BY_EXTRA_TIME",IF(ISNUMBER(SEARCH("Golden Goal",W5331)),"WIN_BY_GOLDEN_GOAL","WIN_BY_SCORE"))))</f>
        <v>WIN_BY_SCORE</v>
      </c>
      <c r="BI854" s="99" t="str">
        <f>IF(OR(BG854=DATA_CLEANED!AK845,BG854=DATA_CLEANED!AN845,BG854="MATCH NUL"),"OK","ERREUR")</f>
        <v>OK</v>
      </c>
    </row>
    <row r="855" spans="2:61">
      <c r="B855" s="75">
        <v>418</v>
      </c>
      <c r="C855" s="15" t="str">
        <v>Tyrick Bodak</v>
      </c>
      <c r="D855" s="15">
        <v>24</v>
      </c>
      <c r="E855" s="15" t="str">
        <v>Curaçao</v>
      </c>
      <c r="F855" s="15" t="str">
        <v>GK</v>
      </c>
      <c r="G855" s="15" t="str">
        <v>Telstar</v>
      </c>
      <c r="H855" s="15">
        <v>25</v>
      </c>
      <c r="I855" s="15" t="str">
        <f t="shared" si="74"/>
        <v>418|Tyrick Bodak|24|Curaçao|GK|Telstar|25</v>
      </c>
      <c r="J855" s="15" t="str">
        <f>IF(COUNTIF(I$438:I855,I855)&gt;1,"DOUBLON","OK")</f>
        <v>OK</v>
      </c>
      <c r="S855" s="30" t="str">
        <v>Romania</v>
      </c>
      <c r="T855" s="30" t="str">
        <f t="shared" si="75"/>
        <v>OK</v>
      </c>
      <c r="U855" s="30" t="str">
        <f t="shared" si="76"/>
        <v>-</v>
      </c>
      <c r="V855" s="30" t="str" cm="1">
        <f t="array" ref="V855">_xlfn.IFS(
ISNUMBER(SEARCH("USA",S855)),"United States",
ISNUMBER(SEARCH("Republic of Korea",S855)),"South Korea",
ISNUMBER(SEARCH("Cape Verde",S855)),"Cabo Verde",
ISNUMBER(SEARCH("Czechia",S855)),"Czech Republic",
ISNUMBER(SEARCH("Türkiye",S855)),"Turkey",
ISNUMBER(SEARCH("Ivory Coast",S855)),"Côte d'Ivoire",
ISNUMBER(SEARCH("Korea Republic",S855)),"South Korea",
ISNUMBER(SEARCH("Germany FR",S855)),"FR Germany",
ISNUMBER(SEARCH("West Germany",S855)),"FR Germany",
ISNUMBER(SEARCH("Germany DR",S855)),"DR Germany",
ISNUMBER(SEARCH("Korea DPR",S855)),"North Korea",
ISNUMBER(SEARCH("China PR",S855)),"China",
ISNUMBER(SEARCH("IR Iran",S855)),"Iran",
ISNUMBER(SEARCH("Congo DR",S855)),"Democratic Republic of the Congo",
ISNUMBER(SEARCH("DR Congo",S855)),"Democratic Republic of the Congo",
ISNUMBER(SEARCH("German DR",S855)),"DR Germany",
ISNUMBER(SEARCH("rn""&gt;United Arab Emirates",S855)),"United Arab Emirates",
ISNUMBER(SEARCH("rn""&gt;Republic of Ireland",S855)),"Ireland",
ISNUMBER(SEARCH("rn""&gt;Bosnia and Herzegovina",S855)),"Bosnia and Herzegovina",
ISNUMBER(SEARCH("rn""&gt;Trinidad and Tobago",S855)),"Trinidad and Tobago",
ISNUMBER(SEARCH("rn""&gt;Serbia and Montenegro",S855)),"Serbia and Montenegro",
ISNUMBER(SEARCH(_xlfn.UNICHAR(65533),S855)),"Côte d'Ivoire",
TRUE,""
)</f>
        <v/>
      </c>
      <c r="W855" s="30" t="str">
        <f t="shared" si="77"/>
        <v>Romania</v>
      </c>
      <c r="Z855" s="40" t="str">
        <v>Estadio do Maracana</v>
      </c>
      <c r="AA855" s="40" t="str" cm="1">
        <f t="array" ref="AA855">IFERROR(_xlfn.XLOOKUP(Z855,_xlfn.ANCHORARRAY(Z$31),AA$31:AA$37),Z855)</f>
        <v>Estadio do Maracana</v>
      </c>
      <c r="AB855" s="42" t="str">
        <v xml:space="preserve">Rio De Janeiro </v>
      </c>
      <c r="AC855" s="89" t="str">
        <f t="shared" si="73"/>
        <v xml:space="preserve">Rio De Janeiro </v>
      </c>
      <c r="AE855" s="42">
        <v>2014</v>
      </c>
      <c r="AK855" s="42">
        <v>3</v>
      </c>
      <c r="AL855" s="42">
        <v>1</v>
      </c>
      <c r="AW855" s="89" t="str">
        <v>GROUP_STAGE</v>
      </c>
      <c r="BE855" s="43" t="str">
        <f>IF(OR(DATA_CLEANED!AL846="",DATA_CLEANED!AM846=""),"MANQUANT",IF(OR(NOT(ISNUMBER(DATA_CLEANED!AL846)),NOT(ISNUMBER(DATA_CLEANED!AM846))),"ENTREE INVALIDE",IF(OR(DATA_CLEANED!AL846&lt;0,DATA_CLEANED!AM846&lt;0),"SCORE NEGATIF","OK")))</f>
        <v>OK</v>
      </c>
      <c r="BF855" s="43" t="str">
        <f>IF(DATA_CLEANED!AK846&lt;&gt;DATA_CLEANED!AN846,"OK","ERREUR")</f>
        <v>OK</v>
      </c>
      <c r="BG855" s="43" t="str">
        <f>IF(DATA_CLEANED!AL846&gt;DATA_CLEANED!AM846,DATA_CLEANED!AK846,IF(AND(DATA_QUALITE!W5332="-",DATA_CLEANED!AM846=DATA_CLEANED!AL846),"MATCH NUL",IF(AND(DATA_QUALITE!V5332="-",DATA_QUALITE!U5332="AUCUNE"),DATA_QUALITE!T5332,IF(DATA_QUALITE!V5332&lt;&gt;"-",DATA_QUALITE!V5332,DATA_CLEANED!AN846))))</f>
        <v>Croatia</v>
      </c>
      <c r="BH855" s="103" t="str">
        <f>IF(AND(BG855="MATCH NUL",DATA_CLEANED!AO846="-"),"MATCH_NUL",IF(ISNUMBER(SEARCH("win on penalties",W5332)),"WIN_BY_PENALTY",IF(ISNUMBER(SEARCH("win after extra time",W5332)),"WIN_BY_EXTRA_TIME",IF(ISNUMBER(SEARCH("Golden Goal",W5332)),"WIN_BY_GOLDEN_GOAL","WIN_BY_SCORE"))))</f>
        <v>WIN_BY_SCORE</v>
      </c>
      <c r="BI855" s="99" t="str">
        <f>IF(OR(BG855=DATA_CLEANED!AK846,BG855=DATA_CLEANED!AN846,BG855="MATCH NUL"),"OK","ERREUR")</f>
        <v>OK</v>
      </c>
    </row>
    <row r="856" spans="2:61">
      <c r="B856" s="75">
        <v>419</v>
      </c>
      <c r="C856" s="15" t="str">
        <v>Trevor Doornbusch</v>
      </c>
      <c r="D856" s="15">
        <v>26</v>
      </c>
      <c r="E856" s="15" t="str">
        <v>Curaçao</v>
      </c>
      <c r="F856" s="15" t="str">
        <v>GK</v>
      </c>
      <c r="G856" s="15" t="str">
        <v>VVV-Venlo</v>
      </c>
      <c r="H856" s="15">
        <v>26</v>
      </c>
      <c r="I856" s="15" t="str">
        <f t="shared" si="74"/>
        <v>419|Trevor Doornbusch|26|Curaçao|GK|VVV-Venlo|26</v>
      </c>
      <c r="J856" s="15" t="str">
        <f>IF(COUNTIF(I$438:I856,I856)&gt;1,"DOUBLON","OK")</f>
        <v>OK</v>
      </c>
      <c r="S856" s="30" t="str">
        <v>Sweden</v>
      </c>
      <c r="T856" s="30" t="str">
        <f t="shared" si="75"/>
        <v>OK</v>
      </c>
      <c r="U856" s="30" t="str">
        <f t="shared" si="76"/>
        <v>-</v>
      </c>
      <c r="V856" s="30" t="str" cm="1">
        <f t="array" ref="V856">_xlfn.IFS(
ISNUMBER(SEARCH("USA",S856)),"United States",
ISNUMBER(SEARCH("Republic of Korea",S856)),"South Korea",
ISNUMBER(SEARCH("Cape Verde",S856)),"Cabo Verde",
ISNUMBER(SEARCH("Czechia",S856)),"Czech Republic",
ISNUMBER(SEARCH("Türkiye",S856)),"Turkey",
ISNUMBER(SEARCH("Ivory Coast",S856)),"Côte d'Ivoire",
ISNUMBER(SEARCH("Korea Republic",S856)),"South Korea",
ISNUMBER(SEARCH("Germany FR",S856)),"FR Germany",
ISNUMBER(SEARCH("West Germany",S856)),"FR Germany",
ISNUMBER(SEARCH("Germany DR",S856)),"DR Germany",
ISNUMBER(SEARCH("Korea DPR",S856)),"North Korea",
ISNUMBER(SEARCH("China PR",S856)),"China",
ISNUMBER(SEARCH("IR Iran",S856)),"Iran",
ISNUMBER(SEARCH("Congo DR",S856)),"Democratic Republic of the Congo",
ISNUMBER(SEARCH("DR Congo",S856)),"Democratic Republic of the Congo",
ISNUMBER(SEARCH("German DR",S856)),"DR Germany",
ISNUMBER(SEARCH("rn""&gt;United Arab Emirates",S856)),"United Arab Emirates",
ISNUMBER(SEARCH("rn""&gt;Republic of Ireland",S856)),"Ireland",
ISNUMBER(SEARCH("rn""&gt;Bosnia and Herzegovina",S856)),"Bosnia and Herzegovina",
ISNUMBER(SEARCH("rn""&gt;Trinidad and Tobago",S856)),"Trinidad and Tobago",
ISNUMBER(SEARCH("rn""&gt;Serbia and Montenegro",S856)),"Serbia and Montenegro",
ISNUMBER(SEARCH(_xlfn.UNICHAR(65533),S856)),"Côte d'Ivoire",
TRUE,""
)</f>
        <v/>
      </c>
      <c r="W856" s="30" t="str">
        <f t="shared" si="77"/>
        <v>Sweden</v>
      </c>
      <c r="Z856" s="40" t="str">
        <v>Arena Pernambuco</v>
      </c>
      <c r="AA856" s="40" t="str" cm="1">
        <f t="array" ref="AA856">IFERROR(_xlfn.XLOOKUP(Z856,_xlfn.ANCHORARRAY(Z$31),AA$31:AA$37),Z856)</f>
        <v>Arena Pernambuco</v>
      </c>
      <c r="AB856" s="42" t="str">
        <v xml:space="preserve">Recife </v>
      </c>
      <c r="AC856" s="89" t="str">
        <f t="shared" si="73"/>
        <v xml:space="preserve">Recife </v>
      </c>
      <c r="AE856" s="42">
        <v>2014</v>
      </c>
      <c r="AK856" s="42">
        <v>1</v>
      </c>
      <c r="AL856" s="42">
        <v>0</v>
      </c>
      <c r="AW856" s="89" t="str">
        <v>GROUP_STAGE</v>
      </c>
      <c r="BE856" s="43" t="str">
        <f>IF(OR(DATA_CLEANED!AL847="",DATA_CLEANED!AM847=""),"MANQUANT",IF(OR(NOT(ISNUMBER(DATA_CLEANED!AL847)),NOT(ISNUMBER(DATA_CLEANED!AM847))),"ENTREE INVALIDE",IF(OR(DATA_CLEANED!AL847&lt;0,DATA_CLEANED!AM847&lt;0),"SCORE NEGATIF","OK")))</f>
        <v>OK</v>
      </c>
      <c r="BF856" s="43" t="str">
        <f>IF(DATA_CLEANED!AK847&lt;&gt;DATA_CLEANED!AN847,"OK","ERREUR")</f>
        <v>OK</v>
      </c>
      <c r="BG856" s="43" t="str">
        <f>IF(DATA_CLEANED!AL847&gt;DATA_CLEANED!AM847,DATA_CLEANED!AK847,IF(AND(DATA_QUALITE!W5333="-",DATA_CLEANED!AM847=DATA_CLEANED!AL847),"MATCH NUL",IF(AND(DATA_QUALITE!V5333="-",DATA_QUALITE!U5333="AUCUNE"),DATA_QUALITE!T5333,IF(DATA_QUALITE!V5333&lt;&gt;"-",DATA_QUALITE!V5333,DATA_CLEANED!AN847))))</f>
        <v>Serbia</v>
      </c>
      <c r="BH856" s="103" t="str">
        <f>IF(AND(BG856="MATCH NUL",DATA_CLEANED!AO847="-"),"MATCH_NUL",IF(ISNUMBER(SEARCH("win on penalties",W5333)),"WIN_BY_PENALTY",IF(ISNUMBER(SEARCH("win after extra time",W5333)),"WIN_BY_EXTRA_TIME",IF(ISNUMBER(SEARCH("Golden Goal",W5333)),"WIN_BY_GOLDEN_GOAL","WIN_BY_SCORE"))))</f>
        <v>WIN_BY_SCORE</v>
      </c>
      <c r="BI856" s="99" t="str">
        <f>IF(OR(BG856=DATA_CLEANED!AK847,BG856=DATA_CLEANED!AN847,BG856="MATCH NUL"),"OK","ERREUR")</f>
        <v>OK</v>
      </c>
    </row>
    <row r="857" spans="2:61">
      <c r="B857" s="75">
        <v>420</v>
      </c>
      <c r="C857" s="15" t="str">
        <v>Juriën Gaari</v>
      </c>
      <c r="D857" s="15">
        <v>32</v>
      </c>
      <c r="E857" s="15" t="str">
        <v>Curaçao</v>
      </c>
      <c r="F857" s="15" t="str">
        <v>CB</v>
      </c>
      <c r="G857" s="15" t="str">
        <v>Abha</v>
      </c>
      <c r="H857" s="15">
        <v>3</v>
      </c>
      <c r="I857" s="15" t="str">
        <f t="shared" si="74"/>
        <v>420|Juriën Gaari|32|Curaçao|CB|Abha|3</v>
      </c>
      <c r="J857" s="15" t="str">
        <f>IF(COUNTIF(I$438:I857,I857)&gt;1,"DOUBLON","OK")</f>
        <v>OK</v>
      </c>
      <c r="S857" s="30" t="str">
        <v>Romania</v>
      </c>
      <c r="T857" s="30" t="str">
        <f t="shared" si="75"/>
        <v>OK</v>
      </c>
      <c r="U857" s="30" t="str">
        <f t="shared" si="76"/>
        <v>-</v>
      </c>
      <c r="V857" s="30" t="str" cm="1">
        <f t="array" ref="V857">_xlfn.IFS(
ISNUMBER(SEARCH("USA",S857)),"United States",
ISNUMBER(SEARCH("Republic of Korea",S857)),"South Korea",
ISNUMBER(SEARCH("Cape Verde",S857)),"Cabo Verde",
ISNUMBER(SEARCH("Czechia",S857)),"Czech Republic",
ISNUMBER(SEARCH("Türkiye",S857)),"Turkey",
ISNUMBER(SEARCH("Ivory Coast",S857)),"Côte d'Ivoire",
ISNUMBER(SEARCH("Korea Republic",S857)),"South Korea",
ISNUMBER(SEARCH("Germany FR",S857)),"FR Germany",
ISNUMBER(SEARCH("West Germany",S857)),"FR Germany",
ISNUMBER(SEARCH("Germany DR",S857)),"DR Germany",
ISNUMBER(SEARCH("Korea DPR",S857)),"North Korea",
ISNUMBER(SEARCH("China PR",S857)),"China",
ISNUMBER(SEARCH("IR Iran",S857)),"Iran",
ISNUMBER(SEARCH("Congo DR",S857)),"Democratic Republic of the Congo",
ISNUMBER(SEARCH("DR Congo",S857)),"Democratic Republic of the Congo",
ISNUMBER(SEARCH("German DR",S857)),"DR Germany",
ISNUMBER(SEARCH("rn""&gt;United Arab Emirates",S857)),"United Arab Emirates",
ISNUMBER(SEARCH("rn""&gt;Republic of Ireland",S857)),"Ireland",
ISNUMBER(SEARCH("rn""&gt;Bosnia and Herzegovina",S857)),"Bosnia and Herzegovina",
ISNUMBER(SEARCH("rn""&gt;Trinidad and Tobago",S857)),"Trinidad and Tobago",
ISNUMBER(SEARCH("rn""&gt;Serbia and Montenegro",S857)),"Serbia and Montenegro",
ISNUMBER(SEARCH(_xlfn.UNICHAR(65533),S857)),"Côte d'Ivoire",
TRUE,""
)</f>
        <v/>
      </c>
      <c r="W857" s="30" t="str">
        <f t="shared" si="77"/>
        <v>Romania</v>
      </c>
      <c r="Z857" s="40" t="str">
        <v>Estadio Nacional</v>
      </c>
      <c r="AA857" s="40" t="str" cm="1">
        <f t="array" ref="AA857">IFERROR(_xlfn.XLOOKUP(Z857,_xlfn.ANCHORARRAY(Z$31),AA$31:AA$37),Z857)</f>
        <v>Estadio Nacional</v>
      </c>
      <c r="AB857" s="42" t="str">
        <v xml:space="preserve">Brasilia </v>
      </c>
      <c r="AC857" s="89" t="str">
        <f t="shared" si="73"/>
        <v xml:space="preserve">Brasilia </v>
      </c>
      <c r="AE857" s="42">
        <v>2014</v>
      </c>
      <c r="AK857" s="42">
        <v>1</v>
      </c>
      <c r="AL857" s="42">
        <v>5</v>
      </c>
      <c r="AW857" s="89" t="str">
        <v>GROUP_STAGE</v>
      </c>
      <c r="BE857" s="43" t="str">
        <f>IF(OR(DATA_CLEANED!AL848="",DATA_CLEANED!AM848=""),"MANQUANT",IF(OR(NOT(ISNUMBER(DATA_CLEANED!AL848)),NOT(ISNUMBER(DATA_CLEANED!AM848))),"ENTREE INVALIDE",IF(OR(DATA_CLEANED!AL848&lt;0,DATA_CLEANED!AM848&lt;0),"SCORE NEGATIF","OK")))</f>
        <v>OK</v>
      </c>
      <c r="BF857" s="43" t="str">
        <f>IF(DATA_CLEANED!AK848&lt;&gt;DATA_CLEANED!AN848,"OK","ERREUR")</f>
        <v>OK</v>
      </c>
      <c r="BG857" s="43" t="str">
        <f>IF(DATA_CLEANED!AL848&gt;DATA_CLEANED!AM848,DATA_CLEANED!AK848,IF(AND(DATA_QUALITE!W5334="-",DATA_CLEANED!AM848=DATA_CLEANED!AL848),"MATCH NUL",IF(AND(DATA_QUALITE!V5334="-",DATA_QUALITE!U5334="AUCUNE"),DATA_QUALITE!T5334,IF(DATA_QUALITE!V5334&lt;&gt;"-",DATA_QUALITE!V5334,DATA_CLEANED!AN848))))</f>
        <v>Mexico</v>
      </c>
      <c r="BH857" s="103" t="str">
        <f>IF(AND(BG857="MATCH NUL",DATA_CLEANED!AO848="-"),"MATCH_NUL",IF(ISNUMBER(SEARCH("win on penalties",W5334)),"WIN_BY_PENALTY",IF(ISNUMBER(SEARCH("win after extra time",W5334)),"WIN_BY_EXTRA_TIME",IF(ISNUMBER(SEARCH("Golden Goal",W5334)),"WIN_BY_GOLDEN_GOAL","WIN_BY_SCORE"))))</f>
        <v>WIN_BY_SCORE</v>
      </c>
      <c r="BI857" s="99" t="str">
        <f>IF(OR(BG857=DATA_CLEANED!AK848,BG857=DATA_CLEANED!AN848,BG857="MATCH NUL"),"OK","ERREUR")</f>
        <v>OK</v>
      </c>
    </row>
    <row r="858" spans="2:61">
      <c r="B858" s="75">
        <v>421</v>
      </c>
      <c r="C858" s="15" t="str">
        <v>Roshon van Eijma</v>
      </c>
      <c r="D858" s="15">
        <v>28</v>
      </c>
      <c r="E858" s="15" t="str">
        <v>Curaçao</v>
      </c>
      <c r="F858" s="15" t="str">
        <v>CB</v>
      </c>
      <c r="G858" s="15" t="str">
        <v>RKC Waalwijk</v>
      </c>
      <c r="H858" s="15">
        <v>4</v>
      </c>
      <c r="I858" s="15" t="str">
        <f t="shared" si="74"/>
        <v>421|Roshon van Eijma|28|Curaçao|CB|RKC Waalwijk|4</v>
      </c>
      <c r="J858" s="15" t="str">
        <f>IF(COUNTIF(I$438:I858,I858)&gt;1,"DOUBLON","OK")</f>
        <v>OK</v>
      </c>
      <c r="S858" s="30" t="str">
        <v>Sweden</v>
      </c>
      <c r="T858" s="30" t="str">
        <f t="shared" si="75"/>
        <v>OK</v>
      </c>
      <c r="U858" s="30" t="str">
        <f t="shared" si="76"/>
        <v>-</v>
      </c>
      <c r="V858" s="30" t="str" cm="1">
        <f t="array" ref="V858">_xlfn.IFS(
ISNUMBER(SEARCH("USA",S858)),"United States",
ISNUMBER(SEARCH("Republic of Korea",S858)),"South Korea",
ISNUMBER(SEARCH("Cape Verde",S858)),"Cabo Verde",
ISNUMBER(SEARCH("Czechia",S858)),"Czech Republic",
ISNUMBER(SEARCH("Türkiye",S858)),"Turkey",
ISNUMBER(SEARCH("Ivory Coast",S858)),"Côte d'Ivoire",
ISNUMBER(SEARCH("Korea Republic",S858)),"South Korea",
ISNUMBER(SEARCH("Germany FR",S858)),"FR Germany",
ISNUMBER(SEARCH("West Germany",S858)),"FR Germany",
ISNUMBER(SEARCH("Germany DR",S858)),"DR Germany",
ISNUMBER(SEARCH("Korea DPR",S858)),"North Korea",
ISNUMBER(SEARCH("China PR",S858)),"China",
ISNUMBER(SEARCH("IR Iran",S858)),"Iran",
ISNUMBER(SEARCH("Congo DR",S858)),"Democratic Republic of the Congo",
ISNUMBER(SEARCH("DR Congo",S858)),"Democratic Republic of the Congo",
ISNUMBER(SEARCH("German DR",S858)),"DR Germany",
ISNUMBER(SEARCH("rn""&gt;United Arab Emirates",S858)),"United Arab Emirates",
ISNUMBER(SEARCH("rn""&gt;Republic of Ireland",S858)),"Ireland",
ISNUMBER(SEARCH("rn""&gt;Bosnia and Herzegovina",S858)),"Bosnia and Herzegovina",
ISNUMBER(SEARCH("rn""&gt;Trinidad and Tobago",S858)),"Trinidad and Tobago",
ISNUMBER(SEARCH("rn""&gt;Serbia and Montenegro",S858)),"Serbia and Montenegro",
ISNUMBER(SEARCH(_xlfn.UNICHAR(65533),S858)),"Côte d'Ivoire",
TRUE,""
)</f>
        <v/>
      </c>
      <c r="W858" s="30" t="str">
        <f t="shared" si="77"/>
        <v>Sweden</v>
      </c>
      <c r="Z858" s="40" t="str">
        <v>Arena de Sao Paulo</v>
      </c>
      <c r="AA858" s="40" t="str" cm="1">
        <f t="array" ref="AA858">IFERROR(_xlfn.XLOOKUP(Z858,_xlfn.ANCHORARRAY(Z$31),AA$31:AA$37),Z858)</f>
        <v>Arena de Sao Paulo</v>
      </c>
      <c r="AB858" s="42" t="str">
        <v xml:space="preserve">Sao Paulo </v>
      </c>
      <c r="AC858" s="89" t="str">
        <f t="shared" si="73"/>
        <v xml:space="preserve">Sao Paulo </v>
      </c>
      <c r="AE858" s="42">
        <v>2014</v>
      </c>
      <c r="AK858" s="42">
        <v>3</v>
      </c>
      <c r="AL858" s="42">
        <v>1</v>
      </c>
      <c r="AW858" s="89" t="str">
        <v>GROUP_STAGE</v>
      </c>
      <c r="BE858" s="43" t="str">
        <f>IF(OR(DATA_CLEANED!AL849="",DATA_CLEANED!AM849=""),"MANQUANT",IF(OR(NOT(ISNUMBER(DATA_CLEANED!AL849)),NOT(ISNUMBER(DATA_CLEANED!AM849))),"ENTREE INVALIDE",IF(OR(DATA_CLEANED!AL849&lt;0,DATA_CLEANED!AM849&lt;0),"SCORE NEGATIF","OK")))</f>
        <v>OK</v>
      </c>
      <c r="BF858" s="43" t="str">
        <f>IF(DATA_CLEANED!AK849&lt;&gt;DATA_CLEANED!AN849,"OK","ERREUR")</f>
        <v>OK</v>
      </c>
      <c r="BG858" s="43" t="str">
        <f>IF(DATA_CLEANED!AL849&gt;DATA_CLEANED!AM849,DATA_CLEANED!AK849,IF(AND(DATA_QUALITE!W5335="-",DATA_CLEANED!AM849=DATA_CLEANED!AL849),"MATCH NUL",IF(AND(DATA_QUALITE!V5335="-",DATA_QUALITE!U5335="AUCUNE"),DATA_QUALITE!T5335,IF(DATA_QUALITE!V5335&lt;&gt;"-",DATA_QUALITE!V5335,DATA_CLEANED!AN849))))</f>
        <v>MATCH NUL</v>
      </c>
      <c r="BH858" s="103" t="str">
        <f>IF(AND(BG858="MATCH NUL",DATA_CLEANED!AO849="-"),"MATCH_NUL",IF(ISNUMBER(SEARCH("win on penalties",W5335)),"WIN_BY_PENALTY",IF(ISNUMBER(SEARCH("win after extra time",W5335)),"WIN_BY_EXTRA_TIME",IF(ISNUMBER(SEARCH("Golden Goal",W5335)),"WIN_BY_GOLDEN_GOAL","WIN_BY_SCORE"))))</f>
        <v>MATCH_NUL</v>
      </c>
      <c r="BI858" s="99" t="str">
        <f>IF(OR(BG858=DATA_CLEANED!AK849,BG858=DATA_CLEANED!AN849,BG858="MATCH NUL"),"OK","ERREUR")</f>
        <v>OK</v>
      </c>
    </row>
    <row r="859" spans="2:61">
      <c r="B859" s="75">
        <v>422</v>
      </c>
      <c r="C859" s="15" t="str">
        <v>Armando Obispo</v>
      </c>
      <c r="D859" s="15">
        <v>27</v>
      </c>
      <c r="E859" s="15" t="str">
        <v>Curaçao</v>
      </c>
      <c r="F859" s="15" t="str">
        <v>CB</v>
      </c>
      <c r="G859" s="15" t="str">
        <v>PSV Eindhoven</v>
      </c>
      <c r="H859" s="15">
        <v>18</v>
      </c>
      <c r="I859" s="15" t="str">
        <f t="shared" si="74"/>
        <v>422|Armando Obispo|27|Curaçao|CB|PSV Eindhoven|18</v>
      </c>
      <c r="J859" s="15" t="str">
        <f>IF(COUNTIF(I$438:I859,I859)&gt;1,"DOUBLON","OK")</f>
        <v>OK</v>
      </c>
      <c r="S859" s="30" t="str">
        <v>Romania</v>
      </c>
      <c r="T859" s="30" t="str">
        <f t="shared" si="75"/>
        <v>OK</v>
      </c>
      <c r="U859" s="30" t="str">
        <f t="shared" si="76"/>
        <v>-</v>
      </c>
      <c r="V859" s="30" t="str" cm="1">
        <f t="array" ref="V859">_xlfn.IFS(
ISNUMBER(SEARCH("USA",S859)),"United States",
ISNUMBER(SEARCH("Republic of Korea",S859)),"South Korea",
ISNUMBER(SEARCH("Cape Verde",S859)),"Cabo Verde",
ISNUMBER(SEARCH("Czechia",S859)),"Czech Republic",
ISNUMBER(SEARCH("Türkiye",S859)),"Turkey",
ISNUMBER(SEARCH("Ivory Coast",S859)),"Côte d'Ivoire",
ISNUMBER(SEARCH("Korea Republic",S859)),"South Korea",
ISNUMBER(SEARCH("Germany FR",S859)),"FR Germany",
ISNUMBER(SEARCH("West Germany",S859)),"FR Germany",
ISNUMBER(SEARCH("Germany DR",S859)),"DR Germany",
ISNUMBER(SEARCH("Korea DPR",S859)),"North Korea",
ISNUMBER(SEARCH("China PR",S859)),"China",
ISNUMBER(SEARCH("IR Iran",S859)),"Iran",
ISNUMBER(SEARCH("Congo DR",S859)),"Democratic Republic of the Congo",
ISNUMBER(SEARCH("DR Congo",S859)),"Democratic Republic of the Congo",
ISNUMBER(SEARCH("German DR",S859)),"DR Germany",
ISNUMBER(SEARCH("rn""&gt;United Arab Emirates",S859)),"United Arab Emirates",
ISNUMBER(SEARCH("rn""&gt;Republic of Ireland",S859)),"Ireland",
ISNUMBER(SEARCH("rn""&gt;Bosnia and Herzegovina",S859)),"Bosnia and Herzegovina",
ISNUMBER(SEARCH("rn""&gt;Trinidad and Tobago",S859)),"Trinidad and Tobago",
ISNUMBER(SEARCH("rn""&gt;Serbia and Montenegro",S859)),"Serbia and Montenegro",
ISNUMBER(SEARCH(_xlfn.UNICHAR(65533),S859)),"Côte d'Ivoire",
TRUE,""
)</f>
        <v/>
      </c>
      <c r="W859" s="30" t="str">
        <f t="shared" si="77"/>
        <v>Romania</v>
      </c>
      <c r="Z859" s="40" t="str">
        <v>Arena da Baixada</v>
      </c>
      <c r="AA859" s="40" t="str" cm="1">
        <f t="array" ref="AA859">IFERROR(_xlfn.XLOOKUP(Z859,_xlfn.ANCHORARRAY(Z$31),AA$31:AA$37),Z859)</f>
        <v>Arena da Baixada</v>
      </c>
      <c r="AB859" s="42" t="str">
        <v xml:space="preserve">Curitiba </v>
      </c>
      <c r="AC859" s="89" t="str">
        <f t="shared" si="73"/>
        <v xml:space="preserve">Curitiba </v>
      </c>
      <c r="AE859" s="42">
        <v>2014</v>
      </c>
      <c r="AK859" s="42">
        <v>3</v>
      </c>
      <c r="AL859" s="42">
        <v>0</v>
      </c>
      <c r="AW859" s="89" t="str">
        <v>GROUP_STAGE</v>
      </c>
      <c r="BE859" s="43" t="str">
        <f>IF(OR(DATA_CLEANED!AL850="",DATA_CLEANED!AM850=""),"MANQUANT",IF(OR(NOT(ISNUMBER(DATA_CLEANED!AL850)),NOT(ISNUMBER(DATA_CLEANED!AM850))),"ENTREE INVALIDE",IF(OR(DATA_CLEANED!AL850&lt;0,DATA_CLEANED!AM850&lt;0),"SCORE NEGATIF","OK")))</f>
        <v>OK</v>
      </c>
      <c r="BF859" s="43" t="str">
        <f>IF(DATA_CLEANED!AK850&lt;&gt;DATA_CLEANED!AN850,"OK","ERREUR")</f>
        <v>OK</v>
      </c>
      <c r="BG859" s="43" t="str">
        <f>IF(DATA_CLEANED!AL850&gt;DATA_CLEANED!AM850,DATA_CLEANED!AK850,IF(AND(DATA_QUALITE!W5336="-",DATA_CLEANED!AM850=DATA_CLEANED!AL850),"MATCH NUL",IF(AND(DATA_QUALITE!V5336="-",DATA_QUALITE!U5336="AUCUNE"),DATA_QUALITE!T5336,IF(DATA_QUALITE!V5336&lt;&gt;"-",DATA_QUALITE!V5336,DATA_CLEANED!AN850))))</f>
        <v>Sweden</v>
      </c>
      <c r="BH859" s="103" t="str">
        <f>IF(AND(BG859="MATCH NUL",DATA_CLEANED!AO850="-"),"MATCH_NUL",IF(ISNUMBER(SEARCH("win on penalties",W5336)),"WIN_BY_PENALTY",IF(ISNUMBER(SEARCH("win after extra time",W5336)),"WIN_BY_EXTRA_TIME",IF(ISNUMBER(SEARCH("Golden Goal",W5336)),"WIN_BY_GOLDEN_GOAL","WIN_BY_SCORE"))))</f>
        <v>WIN_BY_SCORE</v>
      </c>
      <c r="BI859" s="99" t="str">
        <f>IF(OR(BG859=DATA_CLEANED!AK850,BG859=DATA_CLEANED!AN850,BG859="MATCH NUL"),"OK","ERREUR")</f>
        <v>OK</v>
      </c>
    </row>
    <row r="860" spans="2:61">
      <c r="B860" s="75">
        <v>423</v>
      </c>
      <c r="C860" s="15" t="str">
        <v>Riechedly Bazoer</v>
      </c>
      <c r="D860" s="15">
        <v>29</v>
      </c>
      <c r="E860" s="15" t="str">
        <v>Curaçao</v>
      </c>
      <c r="F860" s="15" t="str">
        <v>CB</v>
      </c>
      <c r="G860" s="15" t="str">
        <v>Konyaspor</v>
      </c>
      <c r="H860" s="15">
        <v>23</v>
      </c>
      <c r="I860" s="15" t="str">
        <f t="shared" si="74"/>
        <v>423|Riechedly Bazoer|29|Curaçao|CB|Konyaspor|23</v>
      </c>
      <c r="J860" s="15" t="str">
        <f>IF(COUNTIF(I$438:I860,I860)&gt;1,"DOUBLON","OK")</f>
        <v>OK</v>
      </c>
      <c r="S860" s="30" t="str">
        <v>Sweden</v>
      </c>
      <c r="T860" s="30" t="str">
        <f t="shared" si="75"/>
        <v>OK</v>
      </c>
      <c r="U860" s="30" t="str">
        <f t="shared" si="76"/>
        <v>-</v>
      </c>
      <c r="V860" s="30" t="str" cm="1">
        <f t="array" ref="V860">_xlfn.IFS(
ISNUMBER(SEARCH("USA",S860)),"United States",
ISNUMBER(SEARCH("Republic of Korea",S860)),"South Korea",
ISNUMBER(SEARCH("Cape Verde",S860)),"Cabo Verde",
ISNUMBER(SEARCH("Czechia",S860)),"Czech Republic",
ISNUMBER(SEARCH("Türkiye",S860)),"Turkey",
ISNUMBER(SEARCH("Ivory Coast",S860)),"Côte d'Ivoire",
ISNUMBER(SEARCH("Korea Republic",S860)),"South Korea",
ISNUMBER(SEARCH("Germany FR",S860)),"FR Germany",
ISNUMBER(SEARCH("West Germany",S860)),"FR Germany",
ISNUMBER(SEARCH("Germany DR",S860)),"DR Germany",
ISNUMBER(SEARCH("Korea DPR",S860)),"North Korea",
ISNUMBER(SEARCH("China PR",S860)),"China",
ISNUMBER(SEARCH("IR Iran",S860)),"Iran",
ISNUMBER(SEARCH("Congo DR",S860)),"Democratic Republic of the Congo",
ISNUMBER(SEARCH("DR Congo",S860)),"Democratic Republic of the Congo",
ISNUMBER(SEARCH("German DR",S860)),"DR Germany",
ISNUMBER(SEARCH("rn""&gt;United Arab Emirates",S860)),"United Arab Emirates",
ISNUMBER(SEARCH("rn""&gt;Republic of Ireland",S860)),"Ireland",
ISNUMBER(SEARCH("rn""&gt;Bosnia and Herzegovina",S860)),"Bosnia and Herzegovina",
ISNUMBER(SEARCH("rn""&gt;Trinidad and Tobago",S860)),"Trinidad and Tobago",
ISNUMBER(SEARCH("rn""&gt;Serbia and Montenegro",S860)),"Serbia and Montenegro",
ISNUMBER(SEARCH(_xlfn.UNICHAR(65533),S860)),"Côte d'Ivoire",
TRUE,""
)</f>
        <v/>
      </c>
      <c r="W860" s="30" t="str">
        <f t="shared" si="77"/>
        <v>Sweden</v>
      </c>
      <c r="Z860" s="40" t="str">
        <v>Estadio Mineirao</v>
      </c>
      <c r="AA860" s="40" t="str" cm="1">
        <f t="array" ref="AA860">IFERROR(_xlfn.XLOOKUP(Z860,_xlfn.ANCHORARRAY(Z$31),AA$31:AA$37),Z860)</f>
        <v>Estadio Mineirao</v>
      </c>
      <c r="AB860" s="42" t="str">
        <v xml:space="preserve">Belo Horizonte </v>
      </c>
      <c r="AC860" s="89" t="str">
        <f t="shared" si="73"/>
        <v xml:space="preserve">Belo Horizonte </v>
      </c>
      <c r="AE860" s="42">
        <v>2014</v>
      </c>
      <c r="AK860" s="42">
        <v>1</v>
      </c>
      <c r="AL860" s="42">
        <v>3</v>
      </c>
      <c r="AW860" s="89" t="str">
        <v>GROUP_STAGE</v>
      </c>
      <c r="BE860" s="43" t="str">
        <f>IF(OR(DATA_CLEANED!AL851="",DATA_CLEANED!AM851=""),"MANQUANT",IF(OR(NOT(ISNUMBER(DATA_CLEANED!AL851)),NOT(ISNUMBER(DATA_CLEANED!AM851))),"ENTREE INVALIDE",IF(OR(DATA_CLEANED!AL851&lt;0,DATA_CLEANED!AM851&lt;0),"SCORE NEGATIF","OK")))</f>
        <v>OK</v>
      </c>
      <c r="BF860" s="43" t="str">
        <f>IF(DATA_CLEANED!AK851&lt;&gt;DATA_CLEANED!AN851,"OK","ERREUR")</f>
        <v>OK</v>
      </c>
      <c r="BG860" s="43" t="str">
        <f>IF(DATA_CLEANED!AL851&gt;DATA_CLEANED!AM851,DATA_CLEANED!AK851,IF(AND(DATA_QUALITE!W5337="-",DATA_CLEANED!AM851=DATA_CLEANED!AL851),"MATCH NUL",IF(AND(DATA_QUALITE!V5337="-",DATA_QUALITE!U5337="AUCUNE"),DATA_QUALITE!T5337,IF(DATA_QUALITE!V5337&lt;&gt;"-",DATA_QUALITE!V5337,DATA_CLEANED!AN851))))</f>
        <v>Belgium</v>
      </c>
      <c r="BH860" s="103" t="str">
        <f>IF(AND(BG860="MATCH NUL",DATA_CLEANED!AO851="-"),"MATCH_NUL",IF(ISNUMBER(SEARCH("win on penalties",W5337)),"WIN_BY_PENALTY",IF(ISNUMBER(SEARCH("win after extra time",W5337)),"WIN_BY_EXTRA_TIME",IF(ISNUMBER(SEARCH("Golden Goal",W5337)),"WIN_BY_GOLDEN_GOAL","WIN_BY_SCORE"))))</f>
        <v>WIN_BY_SCORE</v>
      </c>
      <c r="BI860" s="99" t="str">
        <f>IF(OR(BG860=DATA_CLEANED!AK851,BG860=DATA_CLEANED!AN851,BG860="MATCH NUL"),"OK","ERREUR")</f>
        <v>OK</v>
      </c>
    </row>
    <row r="861" spans="2:61">
      <c r="B861" s="75">
        <v>424</v>
      </c>
      <c r="C861" s="15" t="str">
        <v>Deveron Fonville</v>
      </c>
      <c r="D861" s="15">
        <v>23</v>
      </c>
      <c r="E861" s="15" t="str">
        <v>Curaçao</v>
      </c>
      <c r="F861" s="15" t="str">
        <v>CB</v>
      </c>
      <c r="G861" s="15" t="str">
        <v>NEC</v>
      </c>
      <c r="H861" s="15">
        <v>24</v>
      </c>
      <c r="I861" s="15" t="str">
        <f t="shared" si="74"/>
        <v>424|Deveron Fonville|23|Curaçao|CB|NEC|24</v>
      </c>
      <c r="J861" s="15" t="str">
        <f>IF(COUNTIF(I$438:I861,I861)&gt;1,"DOUBLON","OK")</f>
        <v>OK</v>
      </c>
      <c r="S861" s="30" t="str">
        <v>Romania</v>
      </c>
      <c r="T861" s="30" t="str">
        <f t="shared" si="75"/>
        <v>OK</v>
      </c>
      <c r="U861" s="30" t="str">
        <f t="shared" si="76"/>
        <v>-</v>
      </c>
      <c r="V861" s="30" t="str" cm="1">
        <f t="array" ref="V861">_xlfn.IFS(
ISNUMBER(SEARCH("USA",S861)),"United States",
ISNUMBER(SEARCH("Republic of Korea",S861)),"South Korea",
ISNUMBER(SEARCH("Cape Verde",S861)),"Cabo Verde",
ISNUMBER(SEARCH("Czechia",S861)),"Czech Republic",
ISNUMBER(SEARCH("Türkiye",S861)),"Turkey",
ISNUMBER(SEARCH("Ivory Coast",S861)),"Côte d'Ivoire",
ISNUMBER(SEARCH("Korea Republic",S861)),"South Korea",
ISNUMBER(SEARCH("Germany FR",S861)),"FR Germany",
ISNUMBER(SEARCH("West Germany",S861)),"FR Germany",
ISNUMBER(SEARCH("Germany DR",S861)),"DR Germany",
ISNUMBER(SEARCH("Korea DPR",S861)),"North Korea",
ISNUMBER(SEARCH("China PR",S861)),"China",
ISNUMBER(SEARCH("IR Iran",S861)),"Iran",
ISNUMBER(SEARCH("Congo DR",S861)),"Democratic Republic of the Congo",
ISNUMBER(SEARCH("DR Congo",S861)),"Democratic Republic of the Congo",
ISNUMBER(SEARCH("German DR",S861)),"DR Germany",
ISNUMBER(SEARCH("rn""&gt;United Arab Emirates",S861)),"United Arab Emirates",
ISNUMBER(SEARCH("rn""&gt;Republic of Ireland",S861)),"Ireland",
ISNUMBER(SEARCH("rn""&gt;Bosnia and Herzegovina",S861)),"Bosnia and Herzegovina",
ISNUMBER(SEARCH("rn""&gt;Trinidad and Tobago",S861)),"Trinidad and Tobago",
ISNUMBER(SEARCH("rn""&gt;Serbia and Montenegro",S861)),"Serbia and Montenegro",
ISNUMBER(SEARCH(_xlfn.UNICHAR(65533),S861)),"Côte d'Ivoire",
TRUE,""
)</f>
        <v/>
      </c>
      <c r="W861" s="30" t="str">
        <f t="shared" si="77"/>
        <v>Romania</v>
      </c>
      <c r="Z861" s="40" t="str">
        <v>Estadio do Maracana</v>
      </c>
      <c r="AA861" s="40" t="str" cm="1">
        <f t="array" ref="AA861">IFERROR(_xlfn.XLOOKUP(Z861,_xlfn.ANCHORARRAY(Z$31),AA$31:AA$37),Z861)</f>
        <v>Estadio do Maracana</v>
      </c>
      <c r="AB861" s="42" t="str">
        <v xml:space="preserve">Rio De Janeiro </v>
      </c>
      <c r="AC861" s="89" t="str">
        <f t="shared" si="73"/>
        <v xml:space="preserve">Rio De Janeiro </v>
      </c>
      <c r="AE861" s="42">
        <v>2014</v>
      </c>
      <c r="AK861" s="42">
        <v>1</v>
      </c>
      <c r="AL861" s="42">
        <v>2</v>
      </c>
      <c r="AW861" s="89" t="str">
        <v>GROUP_STAGE</v>
      </c>
      <c r="BE861" s="43" t="str">
        <f>IF(OR(DATA_CLEANED!AL852="",DATA_CLEANED!AM852=""),"MANQUANT",IF(OR(NOT(ISNUMBER(DATA_CLEANED!AL852)),NOT(ISNUMBER(DATA_CLEANED!AM852))),"ENTREE INVALIDE",IF(OR(DATA_CLEANED!AL852&lt;0,DATA_CLEANED!AM852&lt;0),"SCORE NEGATIF","OK")))</f>
        <v>OK</v>
      </c>
      <c r="BF861" s="43" t="str">
        <f>IF(DATA_CLEANED!AK852&lt;&gt;DATA_CLEANED!AN852,"OK","ERREUR")</f>
        <v>OK</v>
      </c>
      <c r="BG861" s="43" t="str">
        <f>IF(DATA_CLEANED!AL852&gt;DATA_CLEANED!AM852,DATA_CLEANED!AK852,IF(AND(DATA_QUALITE!W5338="-",DATA_CLEANED!AM852=DATA_CLEANED!AL852),"MATCH NUL",IF(AND(DATA_QUALITE!V5338="-",DATA_QUALITE!U5338="AUCUNE"),DATA_QUALITE!T5338,IF(DATA_QUALITE!V5338&lt;&gt;"-",DATA_QUALITE!V5338,DATA_CLEANED!AN852))))</f>
        <v>England</v>
      </c>
      <c r="BH861" s="103" t="str">
        <f>IF(AND(BG861="MATCH NUL",DATA_CLEANED!AO852="-"),"MATCH_NUL",IF(ISNUMBER(SEARCH("win on penalties",W5338)),"WIN_BY_PENALTY",IF(ISNUMBER(SEARCH("win after extra time",W5338)),"WIN_BY_EXTRA_TIME",IF(ISNUMBER(SEARCH("Golden Goal",W5338)),"WIN_BY_GOLDEN_GOAL","WIN_BY_SCORE"))))</f>
        <v>WIN_BY_SCORE</v>
      </c>
      <c r="BI861" s="99" t="str">
        <f>IF(OR(BG861=DATA_CLEANED!AK852,BG861=DATA_CLEANED!AN852,BG861="MATCH NUL"),"OK","ERREUR")</f>
        <v>OK</v>
      </c>
    </row>
    <row r="862" spans="2:61">
      <c r="B862" s="75">
        <v>425</v>
      </c>
      <c r="C862" s="15" t="str">
        <v>Sherel Floranus</v>
      </c>
      <c r="D862" s="15">
        <v>27</v>
      </c>
      <c r="E862" s="15" t="str">
        <v>Curaçao</v>
      </c>
      <c r="F862" s="15" t="str">
        <v>LB</v>
      </c>
      <c r="G862" s="15" t="str">
        <v>PEC Zwolle</v>
      </c>
      <c r="H862" s="15">
        <v>5</v>
      </c>
      <c r="I862" s="15" t="str">
        <f t="shared" si="74"/>
        <v>425|Sherel Floranus|27|Curaçao|LB|PEC Zwolle|5</v>
      </c>
      <c r="J862" s="15" t="str">
        <f>IF(COUNTIF(I$438:I862,I862)&gt;1,"DOUBLON","OK")</f>
        <v>OK</v>
      </c>
      <c r="S862" s="30" t="str">
        <v>Sweden</v>
      </c>
      <c r="T862" s="30" t="str">
        <f t="shared" si="75"/>
        <v>OK</v>
      </c>
      <c r="U862" s="30" t="str">
        <f t="shared" si="76"/>
        <v>-</v>
      </c>
      <c r="V862" s="30" t="str" cm="1">
        <f t="array" ref="V862">_xlfn.IFS(
ISNUMBER(SEARCH("USA",S862)),"United States",
ISNUMBER(SEARCH("Republic of Korea",S862)),"South Korea",
ISNUMBER(SEARCH("Cape Verde",S862)),"Cabo Verde",
ISNUMBER(SEARCH("Czechia",S862)),"Czech Republic",
ISNUMBER(SEARCH("Türkiye",S862)),"Turkey",
ISNUMBER(SEARCH("Ivory Coast",S862)),"Côte d'Ivoire",
ISNUMBER(SEARCH("Korea Republic",S862)),"South Korea",
ISNUMBER(SEARCH("Germany FR",S862)),"FR Germany",
ISNUMBER(SEARCH("West Germany",S862)),"FR Germany",
ISNUMBER(SEARCH("Germany DR",S862)),"DR Germany",
ISNUMBER(SEARCH("Korea DPR",S862)),"North Korea",
ISNUMBER(SEARCH("China PR",S862)),"China",
ISNUMBER(SEARCH("IR Iran",S862)),"Iran",
ISNUMBER(SEARCH("Congo DR",S862)),"Democratic Republic of the Congo",
ISNUMBER(SEARCH("DR Congo",S862)),"Democratic Republic of the Congo",
ISNUMBER(SEARCH("German DR",S862)),"DR Germany",
ISNUMBER(SEARCH("rn""&gt;United Arab Emirates",S862)),"United Arab Emirates",
ISNUMBER(SEARCH("rn""&gt;Republic of Ireland",S862)),"Ireland",
ISNUMBER(SEARCH("rn""&gt;Bosnia and Herzegovina",S862)),"Bosnia and Herzegovina",
ISNUMBER(SEARCH("rn""&gt;Trinidad and Tobago",S862)),"Trinidad and Tobago",
ISNUMBER(SEARCH("rn""&gt;Serbia and Montenegro",S862)),"Serbia and Montenegro",
ISNUMBER(SEARCH(_xlfn.UNICHAR(65533),S862)),"Côte d'Ivoire",
TRUE,""
)</f>
        <v/>
      </c>
      <c r="W862" s="30" t="str">
        <f t="shared" si="77"/>
        <v>Sweden</v>
      </c>
      <c r="Z862" s="40" t="str">
        <v>Estadio Nacional</v>
      </c>
      <c r="AA862" s="40" t="str" cm="1">
        <f t="array" ref="AA862">IFERROR(_xlfn.XLOOKUP(Z862,_xlfn.ANCHORARRAY(Z$31),AA$31:AA$37),Z862)</f>
        <v>Estadio Nacional</v>
      </c>
      <c r="AB862" s="42" t="str">
        <v xml:space="preserve">Brasilia </v>
      </c>
      <c r="AC862" s="89" t="str">
        <f t="shared" si="73"/>
        <v xml:space="preserve">Brasilia </v>
      </c>
      <c r="AE862" s="42">
        <v>2014</v>
      </c>
      <c r="AK862" s="42">
        <v>2</v>
      </c>
      <c r="AL862" s="42">
        <v>1</v>
      </c>
      <c r="AW862" s="89" t="str">
        <v>GROUP_STAGE</v>
      </c>
      <c r="BE862" s="43" t="str">
        <f>IF(OR(DATA_CLEANED!AL853="",DATA_CLEANED!AM853=""),"MANQUANT",IF(OR(NOT(ISNUMBER(DATA_CLEANED!AL853)),NOT(ISNUMBER(DATA_CLEANED!AM853))),"ENTREE INVALIDE",IF(OR(DATA_CLEANED!AL853&lt;0,DATA_CLEANED!AM853&lt;0),"SCORE NEGATIF","OK")))</f>
        <v>OK</v>
      </c>
      <c r="BF862" s="43" t="str">
        <f>IF(DATA_CLEANED!AK853&lt;&gt;DATA_CLEANED!AN853,"OK","ERREUR")</f>
        <v>OK</v>
      </c>
      <c r="BG862" s="43" t="str">
        <f>IF(DATA_CLEANED!AL853&gt;DATA_CLEANED!AM853,DATA_CLEANED!AK853,IF(AND(DATA_QUALITE!W5339="-",DATA_CLEANED!AM853=DATA_CLEANED!AL853),"MATCH NUL",IF(AND(DATA_QUALITE!V5339="-",DATA_QUALITE!U5339="AUCUNE"),DATA_QUALITE!T5339,IF(DATA_QUALITE!V5339&lt;&gt;"-",DATA_QUALITE!V5339,DATA_CLEANED!AN853))))</f>
        <v>Japan</v>
      </c>
      <c r="BH862" s="103" t="str">
        <f>IF(AND(BG862="MATCH NUL",DATA_CLEANED!AO853="-"),"MATCH_NUL",IF(ISNUMBER(SEARCH("win on penalties",W5339)),"WIN_BY_PENALTY",IF(ISNUMBER(SEARCH("win after extra time",W5339)),"WIN_BY_EXTRA_TIME",IF(ISNUMBER(SEARCH("Golden Goal",W5339)),"WIN_BY_GOLDEN_GOAL","WIN_BY_SCORE"))))</f>
        <v>WIN_BY_SCORE</v>
      </c>
      <c r="BI862" s="99" t="str">
        <f>IF(OR(BG862=DATA_CLEANED!AK853,BG862=DATA_CLEANED!AN853,BG862="MATCH NUL"),"OK","ERREUR")</f>
        <v>OK</v>
      </c>
    </row>
    <row r="863" spans="2:61">
      <c r="B863" s="75">
        <v>426</v>
      </c>
      <c r="C863" s="15" t="str">
        <v>Shurandy Sambo</v>
      </c>
      <c r="D863" s="15">
        <v>24</v>
      </c>
      <c r="E863" s="15" t="str">
        <v>Curaçao</v>
      </c>
      <c r="F863" s="15" t="str">
        <v>RB</v>
      </c>
      <c r="G863" s="15" t="str">
        <v>Sparta Rotterdam</v>
      </c>
      <c r="H863" s="15">
        <v>2</v>
      </c>
      <c r="I863" s="15" t="str">
        <f t="shared" si="74"/>
        <v>426|Shurandy Sambo|24|Curaçao|RB|Sparta Rotterdam|2</v>
      </c>
      <c r="J863" s="15" t="str">
        <f>IF(COUNTIF(I$438:I863,I863)&gt;1,"DOUBLON","OK")</f>
        <v>OK</v>
      </c>
      <c r="S863" s="30" t="str">
        <v>Romania</v>
      </c>
      <c r="T863" s="30" t="str">
        <f t="shared" si="75"/>
        <v>OK</v>
      </c>
      <c r="U863" s="30" t="str">
        <f t="shared" si="76"/>
        <v>-</v>
      </c>
      <c r="V863" s="30" t="str" cm="1">
        <f t="array" ref="V863">_xlfn.IFS(
ISNUMBER(SEARCH("USA",S863)),"United States",
ISNUMBER(SEARCH("Republic of Korea",S863)),"South Korea",
ISNUMBER(SEARCH("Cape Verde",S863)),"Cabo Verde",
ISNUMBER(SEARCH("Czechia",S863)),"Czech Republic",
ISNUMBER(SEARCH("Türkiye",S863)),"Turkey",
ISNUMBER(SEARCH("Ivory Coast",S863)),"Côte d'Ivoire",
ISNUMBER(SEARCH("Korea Republic",S863)),"South Korea",
ISNUMBER(SEARCH("Germany FR",S863)),"FR Germany",
ISNUMBER(SEARCH("West Germany",S863)),"FR Germany",
ISNUMBER(SEARCH("Germany DR",S863)),"DR Germany",
ISNUMBER(SEARCH("Korea DPR",S863)),"North Korea",
ISNUMBER(SEARCH("China PR",S863)),"China",
ISNUMBER(SEARCH("IR Iran",S863)),"Iran",
ISNUMBER(SEARCH("Congo DR",S863)),"Democratic Republic of the Congo",
ISNUMBER(SEARCH("DR Congo",S863)),"Democratic Republic of the Congo",
ISNUMBER(SEARCH("German DR",S863)),"DR Germany",
ISNUMBER(SEARCH("rn""&gt;United Arab Emirates",S863)),"United Arab Emirates",
ISNUMBER(SEARCH("rn""&gt;Republic of Ireland",S863)),"Ireland",
ISNUMBER(SEARCH("rn""&gt;Bosnia and Herzegovina",S863)),"Bosnia and Herzegovina",
ISNUMBER(SEARCH("rn""&gt;Trinidad and Tobago",S863)),"Trinidad and Tobago",
ISNUMBER(SEARCH("rn""&gt;Serbia and Montenegro",S863)),"Serbia and Montenegro",
ISNUMBER(SEARCH(_xlfn.UNICHAR(65533),S863)),"Côte d'Ivoire",
TRUE,""
)</f>
        <v/>
      </c>
      <c r="W863" s="30" t="str">
        <f t="shared" si="77"/>
        <v>Romania</v>
      </c>
      <c r="Z863" s="40" t="str">
        <v>Estadio Beira-Rio</v>
      </c>
      <c r="AA863" s="40" t="str" cm="1">
        <f t="array" ref="AA863">IFERROR(_xlfn.XLOOKUP(Z863,_xlfn.ANCHORARRAY(Z$31),AA$31:AA$37),Z863)</f>
        <v>Estadio Beira-Rio</v>
      </c>
      <c r="AB863" s="42" t="str">
        <v xml:space="preserve">Porto Alegre </v>
      </c>
      <c r="AC863" s="89" t="str">
        <f t="shared" si="73"/>
        <v xml:space="preserve">Porto Alegre </v>
      </c>
      <c r="AE863" s="42">
        <v>2014</v>
      </c>
      <c r="AK863" s="42">
        <v>2</v>
      </c>
      <c r="AL863" s="42">
        <v>1</v>
      </c>
      <c r="AW863" s="89" t="str">
        <v>GROUP_STAGE</v>
      </c>
      <c r="BE863" s="43" t="str">
        <f>IF(OR(DATA_CLEANED!AL854="",DATA_CLEANED!AM854=""),"MANQUANT",IF(OR(NOT(ISNUMBER(DATA_CLEANED!AL854)),NOT(ISNUMBER(DATA_CLEANED!AM854))),"ENTREE INVALIDE",IF(OR(DATA_CLEANED!AL854&lt;0,DATA_CLEANED!AM854&lt;0),"SCORE NEGATIF","OK")))</f>
        <v>OK</v>
      </c>
      <c r="BF863" s="43" t="str">
        <f>IF(DATA_CLEANED!AK854&lt;&gt;DATA_CLEANED!AN854,"OK","ERREUR")</f>
        <v>OK</v>
      </c>
      <c r="BG863" s="43" t="str">
        <f>IF(DATA_CLEANED!AL854&gt;DATA_CLEANED!AM854,DATA_CLEANED!AK854,IF(AND(DATA_QUALITE!W5340="-",DATA_CLEANED!AM854=DATA_CLEANED!AL854),"MATCH NUL",IF(AND(DATA_QUALITE!V5340="-",DATA_QUALITE!U5340="AUCUNE"),DATA_QUALITE!T5340,IF(DATA_QUALITE!V5340&lt;&gt;"-",DATA_QUALITE!V5340,DATA_CLEANED!AN854))))</f>
        <v>Senegal</v>
      </c>
      <c r="BH863" s="103" t="str">
        <f>IF(AND(BG863="MATCH NUL",DATA_CLEANED!AO854="-"),"MATCH_NUL",IF(ISNUMBER(SEARCH("win on penalties",W5340)),"WIN_BY_PENALTY",IF(ISNUMBER(SEARCH("win after extra time",W5340)),"WIN_BY_EXTRA_TIME",IF(ISNUMBER(SEARCH("Golden Goal",W5340)),"WIN_BY_GOLDEN_GOAL","WIN_BY_SCORE"))))</f>
        <v>WIN_BY_SCORE</v>
      </c>
      <c r="BI863" s="99" t="str">
        <f>IF(OR(BG863=DATA_CLEANED!AK854,BG863=DATA_CLEANED!AN854,BG863="MATCH NUL"),"OK","ERREUR")</f>
        <v>OK</v>
      </c>
    </row>
    <row r="864" spans="2:61">
      <c r="B864" s="75">
        <v>427</v>
      </c>
      <c r="C864" s="15" t="str">
        <v>Joshua Brenet</v>
      </c>
      <c r="D864" s="15">
        <v>32</v>
      </c>
      <c r="E864" s="15" t="str">
        <v>Curaçao</v>
      </c>
      <c r="F864" s="15" t="str">
        <v>RB</v>
      </c>
      <c r="G864" s="15" t="str">
        <v>Kayserispor</v>
      </c>
      <c r="H864" s="15">
        <v>20</v>
      </c>
      <c r="I864" s="15" t="str">
        <f t="shared" si="74"/>
        <v>427|Joshua Brenet|32|Curaçao|RB|Kayserispor|20</v>
      </c>
      <c r="J864" s="15" t="str">
        <f>IF(COUNTIF(I$438:I864,I864)&gt;1,"DOUBLON","OK")</f>
        <v>OK</v>
      </c>
      <c r="S864" s="30" t="str">
        <v>Italy</v>
      </c>
      <c r="T864" s="30" t="str">
        <f t="shared" si="75"/>
        <v>OK</v>
      </c>
      <c r="U864" s="30" t="str">
        <f t="shared" si="76"/>
        <v>-</v>
      </c>
      <c r="V864" s="30" t="str" cm="1">
        <f t="array" ref="V864">_xlfn.IFS(
ISNUMBER(SEARCH("USA",S864)),"United States",
ISNUMBER(SEARCH("Republic of Korea",S864)),"South Korea",
ISNUMBER(SEARCH("Cape Verde",S864)),"Cabo Verde",
ISNUMBER(SEARCH("Czechia",S864)),"Czech Republic",
ISNUMBER(SEARCH("Türkiye",S864)),"Turkey",
ISNUMBER(SEARCH("Ivory Coast",S864)),"Côte d'Ivoire",
ISNUMBER(SEARCH("Korea Republic",S864)),"South Korea",
ISNUMBER(SEARCH("Germany FR",S864)),"FR Germany",
ISNUMBER(SEARCH("West Germany",S864)),"FR Germany",
ISNUMBER(SEARCH("Germany DR",S864)),"DR Germany",
ISNUMBER(SEARCH("Korea DPR",S864)),"North Korea",
ISNUMBER(SEARCH("China PR",S864)),"China",
ISNUMBER(SEARCH("IR Iran",S864)),"Iran",
ISNUMBER(SEARCH("Congo DR",S864)),"Democratic Republic of the Congo",
ISNUMBER(SEARCH("DR Congo",S864)),"Democratic Republic of the Congo",
ISNUMBER(SEARCH("German DR",S864)),"DR Germany",
ISNUMBER(SEARCH("rn""&gt;United Arab Emirates",S864)),"United Arab Emirates",
ISNUMBER(SEARCH("rn""&gt;Republic of Ireland",S864)),"Ireland",
ISNUMBER(SEARCH("rn""&gt;Bosnia and Herzegovina",S864)),"Bosnia and Herzegovina",
ISNUMBER(SEARCH("rn""&gt;Trinidad and Tobago",S864)),"Trinidad and Tobago",
ISNUMBER(SEARCH("rn""&gt;Serbia and Montenegro",S864)),"Serbia and Montenegro",
ISNUMBER(SEARCH(_xlfn.UNICHAR(65533),S864)),"Côte d'Ivoire",
TRUE,""
)</f>
        <v/>
      </c>
      <c r="W864" s="30" t="str">
        <f t="shared" si="77"/>
        <v>Italy</v>
      </c>
      <c r="Z864" s="40" t="str">
        <v>Estadio Castelao</v>
      </c>
      <c r="AA864" s="40" t="str" cm="1">
        <f t="array" ref="AA864">IFERROR(_xlfn.XLOOKUP(Z864,_xlfn.ANCHORARRAY(Z$31),AA$31:AA$37),Z864)</f>
        <v>Estadio Castelao</v>
      </c>
      <c r="AB864" s="42" t="str">
        <v xml:space="preserve">Fortaleza </v>
      </c>
      <c r="AC864" s="89" t="str">
        <f t="shared" si="73"/>
        <v xml:space="preserve">Fortaleza </v>
      </c>
      <c r="AE864" s="42">
        <v>2014</v>
      </c>
      <c r="AK864" s="42">
        <v>3</v>
      </c>
      <c r="AL864" s="42">
        <v>0</v>
      </c>
      <c r="AW864" s="89" t="str">
        <v>GROUP_STAGE</v>
      </c>
      <c r="BE864" s="43" t="str">
        <f>IF(OR(DATA_CLEANED!AL855="",DATA_CLEANED!AM855=""),"MANQUANT",IF(OR(NOT(ISNUMBER(DATA_CLEANED!AL855)),NOT(ISNUMBER(DATA_CLEANED!AM855))),"ENTREE INVALIDE",IF(OR(DATA_CLEANED!AL855&lt;0,DATA_CLEANED!AM855&lt;0),"SCORE NEGATIF","OK")))</f>
        <v>OK</v>
      </c>
      <c r="BF864" s="43" t="str">
        <f>IF(DATA_CLEANED!AK855&lt;&gt;DATA_CLEANED!AN855,"OK","ERREUR")</f>
        <v>OK</v>
      </c>
      <c r="BG864" s="43" t="str">
        <f>IF(DATA_CLEANED!AL855&gt;DATA_CLEANED!AM855,DATA_CLEANED!AK855,IF(AND(DATA_QUALITE!W5341="-",DATA_CLEANED!AM855=DATA_CLEANED!AL855),"MATCH NUL",IF(AND(DATA_QUALITE!V5341="-",DATA_QUALITE!U5341="AUCUNE"),DATA_QUALITE!T5341,IF(DATA_QUALITE!V5341&lt;&gt;"-",DATA_QUALITE!V5341,DATA_CLEANED!AN855))))</f>
        <v>Russia</v>
      </c>
      <c r="BH864" s="103" t="str">
        <f>IF(AND(BG864="MATCH NUL",DATA_CLEANED!AO855="-"),"MATCH_NUL",IF(ISNUMBER(SEARCH("win on penalties",W5341)),"WIN_BY_PENALTY",IF(ISNUMBER(SEARCH("win after extra time",W5341)),"WIN_BY_EXTRA_TIME",IF(ISNUMBER(SEARCH("Golden Goal",W5341)),"WIN_BY_GOLDEN_GOAL","WIN_BY_SCORE"))))</f>
        <v>WIN_BY_SCORE</v>
      </c>
      <c r="BI864" s="99" t="str">
        <f>IF(OR(BG864=DATA_CLEANED!AK855,BG864=DATA_CLEANED!AN855,BG864="MATCH NUL"),"OK","ERREUR")</f>
        <v>OK</v>
      </c>
    </row>
    <row r="865" spans="2:61">
      <c r="B865" s="75">
        <v>428</v>
      </c>
      <c r="C865" s="15" t="str">
        <v>Godfried Roemeratoe</v>
      </c>
      <c r="D865" s="15">
        <v>26</v>
      </c>
      <c r="E865" s="15" t="str">
        <v>Curaçao</v>
      </c>
      <c r="F865" s="15" t="str">
        <v>CDM</v>
      </c>
      <c r="G865" s="15" t="str">
        <v>RKC Waalwijk</v>
      </c>
      <c r="H865" s="15">
        <v>6</v>
      </c>
      <c r="I865" s="15" t="str">
        <f t="shared" si="74"/>
        <v>428|Godfried Roemeratoe|26|Curaçao|CDM|RKC Waalwijk|6</v>
      </c>
      <c r="J865" s="15" t="str">
        <f>IF(COUNTIF(I$438:I865,I865)&gt;1,"DOUBLON","OK")</f>
        <v>OK</v>
      </c>
      <c r="S865" s="30" t="str">
        <v>Brazil</v>
      </c>
      <c r="T865" s="30" t="str">
        <f t="shared" si="75"/>
        <v>OK</v>
      </c>
      <c r="U865" s="30" t="str">
        <f t="shared" si="76"/>
        <v>-</v>
      </c>
      <c r="V865" s="30" t="str" cm="1">
        <f t="array" ref="V865">_xlfn.IFS(
ISNUMBER(SEARCH("USA",S865)),"United States",
ISNUMBER(SEARCH("Republic of Korea",S865)),"South Korea",
ISNUMBER(SEARCH("Cape Verde",S865)),"Cabo Verde",
ISNUMBER(SEARCH("Czechia",S865)),"Czech Republic",
ISNUMBER(SEARCH("Türkiye",S865)),"Turkey",
ISNUMBER(SEARCH("Ivory Coast",S865)),"Côte d'Ivoire",
ISNUMBER(SEARCH("Korea Republic",S865)),"South Korea",
ISNUMBER(SEARCH("Germany FR",S865)),"FR Germany",
ISNUMBER(SEARCH("West Germany",S865)),"FR Germany",
ISNUMBER(SEARCH("Germany DR",S865)),"DR Germany",
ISNUMBER(SEARCH("Korea DPR",S865)),"North Korea",
ISNUMBER(SEARCH("China PR",S865)),"China",
ISNUMBER(SEARCH("IR Iran",S865)),"Iran",
ISNUMBER(SEARCH("Congo DR",S865)),"Democratic Republic of the Congo",
ISNUMBER(SEARCH("DR Congo",S865)),"Democratic Republic of the Congo",
ISNUMBER(SEARCH("German DR",S865)),"DR Germany",
ISNUMBER(SEARCH("rn""&gt;United Arab Emirates",S865)),"United Arab Emirates",
ISNUMBER(SEARCH("rn""&gt;Republic of Ireland",S865)),"Ireland",
ISNUMBER(SEARCH("rn""&gt;Bosnia and Herzegovina",S865)),"Bosnia and Herzegovina",
ISNUMBER(SEARCH("rn""&gt;Trinidad and Tobago",S865)),"Trinidad and Tobago",
ISNUMBER(SEARCH("rn""&gt;Serbia and Montenegro",S865)),"Serbia and Montenegro",
ISNUMBER(SEARCH(_xlfn.UNICHAR(65533),S865)),"Côte d'Ivoire",
TRUE,""
)</f>
        <v/>
      </c>
      <c r="W865" s="30" t="str">
        <f t="shared" si="77"/>
        <v>Brazil</v>
      </c>
      <c r="Z865" s="40" t="str">
        <v>Estadio do Maracana</v>
      </c>
      <c r="AA865" s="40" t="str" cm="1">
        <f t="array" ref="AA865">IFERROR(_xlfn.XLOOKUP(Z865,_xlfn.ANCHORARRAY(Z$31),AA$31:AA$37),Z865)</f>
        <v>Estadio do Maracana</v>
      </c>
      <c r="AB865" s="42" t="str">
        <v xml:space="preserve">Rio De Janeiro </v>
      </c>
      <c r="AC865" s="89" t="str">
        <f t="shared" si="73"/>
        <v xml:space="preserve">Rio De Janeiro </v>
      </c>
      <c r="AE865" s="42">
        <v>2014</v>
      </c>
      <c r="AK865" s="42">
        <v>2</v>
      </c>
      <c r="AL865" s="42">
        <v>1</v>
      </c>
      <c r="AW865" s="89" t="str">
        <v>GROUP_STAGE</v>
      </c>
      <c r="BE865" s="43" t="str">
        <f>IF(OR(DATA_CLEANED!AL856="",DATA_CLEANED!AM856=""),"MANQUANT",IF(OR(NOT(ISNUMBER(DATA_CLEANED!AL856)),NOT(ISNUMBER(DATA_CLEANED!AM856))),"ENTREE INVALIDE",IF(OR(DATA_CLEANED!AL856&lt;0,DATA_CLEANED!AM856&lt;0),"SCORE NEGATIF","OK")))</f>
        <v>OK</v>
      </c>
      <c r="BF865" s="43" t="str">
        <f>IF(DATA_CLEANED!AK856&lt;&gt;DATA_CLEANED!AN856,"OK","ERREUR")</f>
        <v>OK</v>
      </c>
      <c r="BG865" s="43" t="str">
        <f>IF(DATA_CLEANED!AL856&gt;DATA_CLEANED!AM856,DATA_CLEANED!AK856,IF(AND(DATA_QUALITE!W5342="-",DATA_CLEANED!AM856=DATA_CLEANED!AL856),"MATCH NUL",IF(AND(DATA_QUALITE!V5342="-",DATA_QUALITE!U5342="AUCUNE"),DATA_QUALITE!T5342,IF(DATA_QUALITE!V5342&lt;&gt;"-",DATA_QUALITE!V5342,DATA_CLEANED!AN856))))</f>
        <v>Portugal</v>
      </c>
      <c r="BH865" s="103" t="str">
        <f>IF(AND(BG865="MATCH NUL",DATA_CLEANED!AO856="-"),"MATCH_NUL",IF(ISNUMBER(SEARCH("win on penalties",W5342)),"WIN_BY_PENALTY",IF(ISNUMBER(SEARCH("win after extra time",W5342)),"WIN_BY_EXTRA_TIME",IF(ISNUMBER(SEARCH("Golden Goal",W5342)),"WIN_BY_GOLDEN_GOAL","WIN_BY_SCORE"))))</f>
        <v>WIN_BY_SCORE</v>
      </c>
      <c r="BI865" s="99" t="str">
        <f>IF(OR(BG865=DATA_CLEANED!AK856,BG865=DATA_CLEANED!AN856,BG865="MATCH NUL"),"OK","ERREUR")</f>
        <v>OK</v>
      </c>
    </row>
    <row r="866" spans="2:61">
      <c r="B866" s="75">
        <v>429</v>
      </c>
      <c r="C866" s="15" t="str">
        <v>Kevin Felida</v>
      </c>
      <c r="D866" s="15">
        <v>26</v>
      </c>
      <c r="E866" s="15" t="str">
        <v>Curaçao</v>
      </c>
      <c r="F866" s="15" t="str">
        <v>CDM</v>
      </c>
      <c r="G866" s="15" t="str">
        <v>Den Bosch</v>
      </c>
      <c r="H866" s="15">
        <v>22</v>
      </c>
      <c r="I866" s="15" t="str">
        <f t="shared" si="74"/>
        <v>429|Kevin Felida|26|Curaçao|CDM|Den Bosch|22</v>
      </c>
      <c r="J866" s="15" t="str">
        <f>IF(COUNTIF(I$438:I866,I866)&gt;1,"DOUBLON","OK")</f>
        <v>OK</v>
      </c>
      <c r="S866" s="30" t="str">
        <v>Italy</v>
      </c>
      <c r="T866" s="30" t="str">
        <f t="shared" si="75"/>
        <v>OK</v>
      </c>
      <c r="U866" s="30" t="str">
        <f t="shared" si="76"/>
        <v>-</v>
      </c>
      <c r="V866" s="30" t="str" cm="1">
        <f t="array" ref="V866">_xlfn.IFS(
ISNUMBER(SEARCH("USA",S866)),"United States",
ISNUMBER(SEARCH("Republic of Korea",S866)),"South Korea",
ISNUMBER(SEARCH("Cape Verde",S866)),"Cabo Verde",
ISNUMBER(SEARCH("Czechia",S866)),"Czech Republic",
ISNUMBER(SEARCH("Türkiye",S866)),"Turkey",
ISNUMBER(SEARCH("Ivory Coast",S866)),"Côte d'Ivoire",
ISNUMBER(SEARCH("Korea Republic",S866)),"South Korea",
ISNUMBER(SEARCH("Germany FR",S866)),"FR Germany",
ISNUMBER(SEARCH("West Germany",S866)),"FR Germany",
ISNUMBER(SEARCH("Germany DR",S866)),"DR Germany",
ISNUMBER(SEARCH("Korea DPR",S866)),"North Korea",
ISNUMBER(SEARCH("China PR",S866)),"China",
ISNUMBER(SEARCH("IR Iran",S866)),"Iran",
ISNUMBER(SEARCH("Congo DR",S866)),"Democratic Republic of the Congo",
ISNUMBER(SEARCH("DR Congo",S866)),"Democratic Republic of the Congo",
ISNUMBER(SEARCH("German DR",S866)),"DR Germany",
ISNUMBER(SEARCH("rn""&gt;United Arab Emirates",S866)),"United Arab Emirates",
ISNUMBER(SEARCH("rn""&gt;Republic of Ireland",S866)),"Ireland",
ISNUMBER(SEARCH("rn""&gt;Bosnia and Herzegovina",S866)),"Bosnia and Herzegovina",
ISNUMBER(SEARCH("rn""&gt;Trinidad and Tobago",S866)),"Trinidad and Tobago",
ISNUMBER(SEARCH("rn""&gt;Serbia and Montenegro",S866)),"Serbia and Montenegro",
ISNUMBER(SEARCH(_xlfn.UNICHAR(65533),S866)),"Côte d'Ivoire",
TRUE,""
)</f>
        <v/>
      </c>
      <c r="W866" s="30" t="str">
        <f t="shared" si="77"/>
        <v>Italy</v>
      </c>
      <c r="Z866" s="40" t="str">
        <v>Estadio Mineirao</v>
      </c>
      <c r="AA866" s="40" t="str" cm="1">
        <f t="array" ref="AA866">IFERROR(_xlfn.XLOOKUP(Z866,_xlfn.ANCHORARRAY(Z$31),AA$31:AA$37),Z866)</f>
        <v>Estadio Mineirao</v>
      </c>
      <c r="AB866" s="42" t="str">
        <v xml:space="preserve">Belo Horizonte </v>
      </c>
      <c r="AC866" s="89" t="str">
        <f t="shared" si="73"/>
        <v xml:space="preserve">Belo Horizonte </v>
      </c>
      <c r="AE866" s="42">
        <v>2014</v>
      </c>
      <c r="AK866" s="42">
        <v>4</v>
      </c>
      <c r="AL866" s="42">
        <v>0</v>
      </c>
      <c r="AW866" s="89" t="str">
        <v>GROUP_STAGE</v>
      </c>
      <c r="BE866" s="43" t="str">
        <f>IF(OR(DATA_CLEANED!AL857="",DATA_CLEANED!AM857=""),"MANQUANT",IF(OR(NOT(ISNUMBER(DATA_CLEANED!AL857)),NOT(ISNUMBER(DATA_CLEANED!AM857))),"ENTREE INVALIDE",IF(OR(DATA_CLEANED!AL857&lt;0,DATA_CLEANED!AM857&lt;0),"SCORE NEGATIF","OK")))</f>
        <v>OK</v>
      </c>
      <c r="BF866" s="43" t="str">
        <f>IF(DATA_CLEANED!AK857&lt;&gt;DATA_CLEANED!AN857,"OK","ERREUR")</f>
        <v>OK</v>
      </c>
      <c r="BG866" s="43" t="str">
        <f>IF(DATA_CLEANED!AL857&gt;DATA_CLEANED!AM857,DATA_CLEANED!AK857,IF(AND(DATA_QUALITE!W5343="-",DATA_CLEANED!AM857=DATA_CLEANED!AL857),"MATCH NUL",IF(AND(DATA_QUALITE!V5343="-",DATA_QUALITE!U5343="AUCUNE"),DATA_QUALITE!T5343,IF(DATA_QUALITE!V5343&lt;&gt;"-",DATA_QUALITE!V5343,DATA_CLEANED!AN857))))</f>
        <v>Uruguay</v>
      </c>
      <c r="BH866" s="103" t="str">
        <f>IF(AND(BG866="MATCH NUL",DATA_CLEANED!AO857="-"),"MATCH_NUL",IF(ISNUMBER(SEARCH("win on penalties",W5343)),"WIN_BY_PENALTY",IF(ISNUMBER(SEARCH("win after extra time",W5343)),"WIN_BY_EXTRA_TIME",IF(ISNUMBER(SEARCH("Golden Goal",W5343)),"WIN_BY_GOLDEN_GOAL","WIN_BY_SCORE"))))</f>
        <v>WIN_BY_SCORE</v>
      </c>
      <c r="BI866" s="99" t="str">
        <f>IF(OR(BG866=DATA_CLEANED!AK857,BG866=DATA_CLEANED!AN857,BG866="MATCH NUL"),"OK","ERREUR")</f>
        <v>OK</v>
      </c>
    </row>
    <row r="867" spans="2:61">
      <c r="B867" s="75">
        <v>430</v>
      </c>
      <c r="C867" s="15" t="str">
        <v>Juninho Bacuna</v>
      </c>
      <c r="D867" s="15">
        <v>28</v>
      </c>
      <c r="E867" s="15" t="str">
        <v>Curaçao</v>
      </c>
      <c r="F867" s="15" t="str">
        <v>CM</v>
      </c>
      <c r="G867" s="15" t="str">
        <v>Volendam</v>
      </c>
      <c r="H867" s="15">
        <v>7</v>
      </c>
      <c r="I867" s="15" t="str">
        <f t="shared" si="74"/>
        <v>430|Juninho Bacuna|28|Curaçao|CM|Volendam|7</v>
      </c>
      <c r="J867" s="15" t="str">
        <f>IF(COUNTIF(I$438:I867,I867)&gt;1,"DOUBLON","OK")</f>
        <v>OK</v>
      </c>
      <c r="S867" s="30" t="str">
        <v>Brazil</v>
      </c>
      <c r="T867" s="30" t="str">
        <f t="shared" si="75"/>
        <v>OK</v>
      </c>
      <c r="U867" s="30" t="str">
        <f t="shared" si="76"/>
        <v>-</v>
      </c>
      <c r="V867" s="30" t="str" cm="1">
        <f t="array" ref="V867">_xlfn.IFS(
ISNUMBER(SEARCH("USA",S867)),"United States",
ISNUMBER(SEARCH("Republic of Korea",S867)),"South Korea",
ISNUMBER(SEARCH("Cape Verde",S867)),"Cabo Verde",
ISNUMBER(SEARCH("Czechia",S867)),"Czech Republic",
ISNUMBER(SEARCH("Türkiye",S867)),"Turkey",
ISNUMBER(SEARCH("Ivory Coast",S867)),"Côte d'Ivoire",
ISNUMBER(SEARCH("Korea Republic",S867)),"South Korea",
ISNUMBER(SEARCH("Germany FR",S867)),"FR Germany",
ISNUMBER(SEARCH("West Germany",S867)),"FR Germany",
ISNUMBER(SEARCH("Germany DR",S867)),"DR Germany",
ISNUMBER(SEARCH("Korea DPR",S867)),"North Korea",
ISNUMBER(SEARCH("China PR",S867)),"China",
ISNUMBER(SEARCH("IR Iran",S867)),"Iran",
ISNUMBER(SEARCH("Congo DR",S867)),"Democratic Republic of the Congo",
ISNUMBER(SEARCH("DR Congo",S867)),"Democratic Republic of the Congo",
ISNUMBER(SEARCH("German DR",S867)),"DR Germany",
ISNUMBER(SEARCH("rn""&gt;United Arab Emirates",S867)),"United Arab Emirates",
ISNUMBER(SEARCH("rn""&gt;Republic of Ireland",S867)),"Ireland",
ISNUMBER(SEARCH("rn""&gt;Bosnia and Herzegovina",S867)),"Bosnia and Herzegovina",
ISNUMBER(SEARCH("rn""&gt;Trinidad and Tobago",S867)),"Trinidad and Tobago",
ISNUMBER(SEARCH("rn""&gt;Serbia and Montenegro",S867)),"Serbia and Montenegro",
ISNUMBER(SEARCH(_xlfn.UNICHAR(65533),S867)),"Côte d'Ivoire",
TRUE,""
)</f>
        <v/>
      </c>
      <c r="W867" s="30" t="str">
        <f t="shared" si="77"/>
        <v>Brazil</v>
      </c>
      <c r="Z867" s="40" t="str">
        <v>Estadio Nacional</v>
      </c>
      <c r="AA867" s="40" t="str" cm="1">
        <f t="array" ref="AA867">IFERROR(_xlfn.XLOOKUP(Z867,_xlfn.ANCHORARRAY(Z$31),AA$31:AA$37),Z867)</f>
        <v>Estadio Nacional</v>
      </c>
      <c r="AB867" s="42" t="str">
        <v xml:space="preserve">Brasilia </v>
      </c>
      <c r="AC867" s="89" t="str">
        <f t="shared" si="73"/>
        <v xml:space="preserve">Brasilia </v>
      </c>
      <c r="AE867" s="42">
        <v>2014</v>
      </c>
      <c r="AK867" s="42">
        <v>0</v>
      </c>
      <c r="AL867" s="42">
        <v>0</v>
      </c>
      <c r="AW867" s="89" t="str">
        <v>GROUP_STAGE</v>
      </c>
      <c r="BE867" s="43" t="str">
        <f>IF(OR(DATA_CLEANED!AL858="",DATA_CLEANED!AM858=""),"MANQUANT",IF(OR(NOT(ISNUMBER(DATA_CLEANED!AL858)),NOT(ISNUMBER(DATA_CLEANED!AM858))),"ENTREE INVALIDE",IF(OR(DATA_CLEANED!AL858&lt;0,DATA_CLEANED!AM858&lt;0),"SCORE NEGATIF","OK")))</f>
        <v>OK</v>
      </c>
      <c r="BF867" s="43" t="str">
        <f>IF(DATA_CLEANED!AK858&lt;&gt;DATA_CLEANED!AN858,"OK","ERREUR")</f>
        <v>OK</v>
      </c>
      <c r="BG867" s="43" t="str">
        <f>IF(DATA_CLEANED!AL858&gt;DATA_CLEANED!AM858,DATA_CLEANED!AK858,IF(AND(DATA_QUALITE!W5344="-",DATA_CLEANED!AM858=DATA_CLEANED!AL858),"MATCH NUL",IF(AND(DATA_QUALITE!V5344="-",DATA_QUALITE!U5344="AUCUNE"),DATA_QUALITE!T5344,IF(DATA_QUALITE!V5344&lt;&gt;"-",DATA_QUALITE!V5344,DATA_CLEANED!AN858))))</f>
        <v>Spain</v>
      </c>
      <c r="BH867" s="103" t="str">
        <f>IF(AND(BG867="MATCH NUL",DATA_CLEANED!AO858="-"),"MATCH_NUL",IF(ISNUMBER(SEARCH("win on penalties",W5344)),"WIN_BY_PENALTY",IF(ISNUMBER(SEARCH("win after extra time",W5344)),"WIN_BY_EXTRA_TIME",IF(ISNUMBER(SEARCH("Golden Goal",W5344)),"WIN_BY_GOLDEN_GOAL","WIN_BY_SCORE"))))</f>
        <v>WIN_BY_SCORE</v>
      </c>
      <c r="BI867" s="99" t="str">
        <f>IF(OR(BG867=DATA_CLEANED!AK858,BG867=DATA_CLEANED!AN858,BG867="MATCH NUL"),"OK","ERREUR")</f>
        <v>OK</v>
      </c>
    </row>
    <row r="868" spans="2:61">
      <c r="B868" s="75">
        <v>431</v>
      </c>
      <c r="C868" s="15" t="str">
        <v>Livano Comenencia</v>
      </c>
      <c r="D868" s="15">
        <v>22</v>
      </c>
      <c r="E868" s="15" t="str">
        <v>Curaçao</v>
      </c>
      <c r="F868" s="15" t="str">
        <v>CM</v>
      </c>
      <c r="G868" s="15" t="str">
        <v>Zürich</v>
      </c>
      <c r="H868" s="15">
        <v>8</v>
      </c>
      <c r="I868" s="15" t="str">
        <f t="shared" si="74"/>
        <v>431|Livano Comenencia|22|Curaçao|CM|Zürich|8</v>
      </c>
      <c r="J868" s="15" t="str">
        <f>IF(COUNTIF(I$438:I868,I868)&gt;1,"DOUBLON","OK")</f>
        <v>OK</v>
      </c>
      <c r="S868" s="30" t="str">
        <v>Italy</v>
      </c>
      <c r="T868" s="30" t="str">
        <f t="shared" si="75"/>
        <v>OK</v>
      </c>
      <c r="U868" s="30" t="str">
        <f t="shared" si="76"/>
        <v>-</v>
      </c>
      <c r="V868" s="30" t="str" cm="1">
        <f t="array" ref="V868">_xlfn.IFS(
ISNUMBER(SEARCH("USA",S868)),"United States",
ISNUMBER(SEARCH("Republic of Korea",S868)),"South Korea",
ISNUMBER(SEARCH("Cape Verde",S868)),"Cabo Verde",
ISNUMBER(SEARCH("Czechia",S868)),"Czech Republic",
ISNUMBER(SEARCH("Türkiye",S868)),"Turkey",
ISNUMBER(SEARCH("Ivory Coast",S868)),"Côte d'Ivoire",
ISNUMBER(SEARCH("Korea Republic",S868)),"South Korea",
ISNUMBER(SEARCH("Germany FR",S868)),"FR Germany",
ISNUMBER(SEARCH("West Germany",S868)),"FR Germany",
ISNUMBER(SEARCH("Germany DR",S868)),"DR Germany",
ISNUMBER(SEARCH("Korea DPR",S868)),"North Korea",
ISNUMBER(SEARCH("China PR",S868)),"China",
ISNUMBER(SEARCH("IR Iran",S868)),"Iran",
ISNUMBER(SEARCH("Congo DR",S868)),"Democratic Republic of the Congo",
ISNUMBER(SEARCH("DR Congo",S868)),"Democratic Republic of the Congo",
ISNUMBER(SEARCH("German DR",S868)),"DR Germany",
ISNUMBER(SEARCH("rn""&gt;United Arab Emirates",S868)),"United Arab Emirates",
ISNUMBER(SEARCH("rn""&gt;Republic of Ireland",S868)),"Ireland",
ISNUMBER(SEARCH("rn""&gt;Bosnia and Herzegovina",S868)),"Bosnia and Herzegovina",
ISNUMBER(SEARCH("rn""&gt;Trinidad and Tobago",S868)),"Trinidad and Tobago",
ISNUMBER(SEARCH("rn""&gt;Serbia and Montenegro",S868)),"Serbia and Montenegro",
ISNUMBER(SEARCH(_xlfn.UNICHAR(65533),S868)),"Côte d'Ivoire",
TRUE,""
)</f>
        <v/>
      </c>
      <c r="W868" s="30" t="str">
        <f t="shared" si="77"/>
        <v>Italy</v>
      </c>
      <c r="Z868" s="40" t="str">
        <v>Estadio do Maracana</v>
      </c>
      <c r="AA868" s="40" t="str" cm="1">
        <f t="array" ref="AA868">IFERROR(_xlfn.XLOOKUP(Z868,_xlfn.ANCHORARRAY(Z$31),AA$31:AA$37),Z868)</f>
        <v>Estadio do Maracana</v>
      </c>
      <c r="AB868" s="42" t="str">
        <v xml:space="preserve">Rio De Janeiro </v>
      </c>
      <c r="AC868" s="89" t="str">
        <f t="shared" si="73"/>
        <v xml:space="preserve">Rio De Janeiro </v>
      </c>
      <c r="AE868" s="42">
        <v>2014</v>
      </c>
      <c r="AK868" s="42">
        <v>1</v>
      </c>
      <c r="AL868" s="42">
        <v>2</v>
      </c>
      <c r="AW868" s="89" t="str">
        <v>GROUP_STAGE</v>
      </c>
      <c r="BE868" s="43" t="str">
        <f>IF(OR(DATA_CLEANED!AL859="",DATA_CLEANED!AM859=""),"MANQUANT",IF(OR(NOT(ISNUMBER(DATA_CLEANED!AL859)),NOT(ISNUMBER(DATA_CLEANED!AM859))),"ENTREE INVALIDE",IF(OR(DATA_CLEANED!AL859&lt;0,DATA_CLEANED!AM859&lt;0),"SCORE NEGATIF","OK")))</f>
        <v>OK</v>
      </c>
      <c r="BF868" s="43" t="str">
        <f>IF(DATA_CLEANED!AK859&lt;&gt;DATA_CLEANED!AN859,"OK","ERREUR")</f>
        <v>OK</v>
      </c>
      <c r="BG868" s="43" t="str">
        <f>IF(DATA_CLEANED!AL859&gt;DATA_CLEANED!AM859,DATA_CLEANED!AK859,IF(AND(DATA_QUALITE!W5345="-",DATA_CLEANED!AM859=DATA_CLEANED!AL859),"MATCH NUL",IF(AND(DATA_QUALITE!V5345="-",DATA_QUALITE!U5345="AUCUNE"),DATA_QUALITE!T5345,IF(DATA_QUALITE!V5345&lt;&gt;"-",DATA_QUALITE!V5345,DATA_CLEANED!AN859))))</f>
        <v>MATCH NUL</v>
      </c>
      <c r="BH868" s="103" t="str">
        <f>IF(AND(BG868="MATCH NUL",DATA_CLEANED!AO859="-"),"MATCH_NUL",IF(ISNUMBER(SEARCH("win on penalties",W5345)),"WIN_BY_PENALTY",IF(ISNUMBER(SEARCH("win after extra time",W5345)),"WIN_BY_EXTRA_TIME",IF(ISNUMBER(SEARCH("Golden Goal",W5345)),"WIN_BY_GOLDEN_GOAL","WIN_BY_SCORE"))))</f>
        <v>MATCH_NUL</v>
      </c>
      <c r="BI868" s="99" t="str">
        <f>IF(OR(BG868=DATA_CLEANED!AK859,BG868=DATA_CLEANED!AN859,BG868="MATCH NUL"),"OK","ERREUR")</f>
        <v>OK</v>
      </c>
    </row>
    <row r="869" spans="2:61">
      <c r="B869" s="75">
        <v>432</v>
      </c>
      <c r="C869" s="15" t="str">
        <v>Ar'jany Martha</v>
      </c>
      <c r="D869" s="15">
        <v>22</v>
      </c>
      <c r="E869" s="15" t="str">
        <v>Curaçao</v>
      </c>
      <c r="F869" s="15" t="str">
        <v>CM</v>
      </c>
      <c r="G869" s="15" t="str">
        <v>Rotherham United</v>
      </c>
      <c r="H869" s="15">
        <v>15</v>
      </c>
      <c r="I869" s="15" t="str">
        <f t="shared" si="74"/>
        <v>432|Ar'jany Martha|22|Curaçao|CM|Rotherham United|15</v>
      </c>
      <c r="J869" s="15" t="str">
        <f>IF(COUNTIF(I$438:I869,I869)&gt;1,"DOUBLON","OK")</f>
        <v>OK</v>
      </c>
      <c r="S869" s="30" t="str">
        <v>Brazil</v>
      </c>
      <c r="T869" s="30" t="str">
        <f t="shared" si="75"/>
        <v>OK</v>
      </c>
      <c r="U869" s="30" t="str">
        <f t="shared" si="76"/>
        <v>-</v>
      </c>
      <c r="V869" s="30" t="str" cm="1">
        <f t="array" ref="V869">_xlfn.IFS(
ISNUMBER(SEARCH("USA",S869)),"United States",
ISNUMBER(SEARCH("Republic of Korea",S869)),"South Korea",
ISNUMBER(SEARCH("Cape Verde",S869)),"Cabo Verde",
ISNUMBER(SEARCH("Czechia",S869)),"Czech Republic",
ISNUMBER(SEARCH("Türkiye",S869)),"Turkey",
ISNUMBER(SEARCH("Ivory Coast",S869)),"Côte d'Ivoire",
ISNUMBER(SEARCH("Korea Republic",S869)),"South Korea",
ISNUMBER(SEARCH("Germany FR",S869)),"FR Germany",
ISNUMBER(SEARCH("West Germany",S869)),"FR Germany",
ISNUMBER(SEARCH("Germany DR",S869)),"DR Germany",
ISNUMBER(SEARCH("Korea DPR",S869)),"North Korea",
ISNUMBER(SEARCH("China PR",S869)),"China",
ISNUMBER(SEARCH("IR Iran",S869)),"Iran",
ISNUMBER(SEARCH("Congo DR",S869)),"Democratic Republic of the Congo",
ISNUMBER(SEARCH("DR Congo",S869)),"Democratic Republic of the Congo",
ISNUMBER(SEARCH("German DR",S869)),"DR Germany",
ISNUMBER(SEARCH("rn""&gt;United Arab Emirates",S869)),"United Arab Emirates",
ISNUMBER(SEARCH("rn""&gt;Republic of Ireland",S869)),"Ireland",
ISNUMBER(SEARCH("rn""&gt;Bosnia and Herzegovina",S869)),"Bosnia and Herzegovina",
ISNUMBER(SEARCH("rn""&gt;Trinidad and Tobago",S869)),"Trinidad and Tobago",
ISNUMBER(SEARCH("rn""&gt;Serbia and Montenegro",S869)),"Serbia and Montenegro",
ISNUMBER(SEARCH(_xlfn.UNICHAR(65533),S869)),"Côte d'Ivoire",
TRUE,""
)</f>
        <v/>
      </c>
      <c r="W869" s="30" t="str">
        <f t="shared" si="77"/>
        <v>Brazil</v>
      </c>
      <c r="Z869" s="40" t="str">
        <v>Arena de Sao Paulo</v>
      </c>
      <c r="AA869" s="40" t="str" cm="1">
        <f t="array" ref="AA869">IFERROR(_xlfn.XLOOKUP(Z869,_xlfn.ANCHORARRAY(Z$31),AA$31:AA$37),Z869)</f>
        <v>Arena de Sao Paulo</v>
      </c>
      <c r="AB869" s="42" t="str">
        <v xml:space="preserve">Sao Paulo </v>
      </c>
      <c r="AC869" s="89" t="str">
        <f t="shared" si="73"/>
        <v xml:space="preserve">Sao Paulo </v>
      </c>
      <c r="AE869" s="42">
        <v>2014</v>
      </c>
      <c r="AK869" s="42">
        <v>2</v>
      </c>
      <c r="AL869" s="42">
        <v>1</v>
      </c>
      <c r="AW869" s="89" t="str">
        <v>GROUP_STAGE</v>
      </c>
      <c r="BE869" s="43" t="str">
        <f>IF(OR(DATA_CLEANED!AL860="",DATA_CLEANED!AM860=""),"MANQUANT",IF(OR(NOT(ISNUMBER(DATA_CLEANED!AL860)),NOT(ISNUMBER(DATA_CLEANED!AM860))),"ENTREE INVALIDE",IF(OR(DATA_CLEANED!AL860&lt;0,DATA_CLEANED!AM860&lt;0),"SCORE NEGATIF","OK")))</f>
        <v>OK</v>
      </c>
      <c r="BF869" s="43" t="str">
        <f>IF(DATA_CLEANED!AK860&lt;&gt;DATA_CLEANED!AN860,"OK","ERREUR")</f>
        <v>OK</v>
      </c>
      <c r="BG869" s="43" t="str">
        <f>IF(DATA_CLEANED!AL860&gt;DATA_CLEANED!AM860,DATA_CLEANED!AK860,IF(AND(DATA_QUALITE!W5346="-",DATA_CLEANED!AM860=DATA_CLEANED!AL860),"MATCH NUL",IF(AND(DATA_QUALITE!V5346="-",DATA_QUALITE!U5346="AUCUNE"),DATA_QUALITE!T5346,IF(DATA_QUALITE!V5346&lt;&gt;"-",DATA_QUALITE!V5346,DATA_CLEANED!AN860))))</f>
        <v>France</v>
      </c>
      <c r="BH869" s="103" t="str">
        <f>IF(AND(BG869="MATCH NUL",DATA_CLEANED!AO860="-"),"MATCH_NUL",IF(ISNUMBER(SEARCH("win on penalties",W5346)),"WIN_BY_PENALTY",IF(ISNUMBER(SEARCH("win after extra time",W5346)),"WIN_BY_EXTRA_TIME",IF(ISNUMBER(SEARCH("Golden Goal",W5346)),"WIN_BY_GOLDEN_GOAL","WIN_BY_SCORE"))))</f>
        <v>WIN_BY_SCORE</v>
      </c>
      <c r="BI869" s="99" t="str">
        <f>IF(OR(BG869=DATA_CLEANED!AK860,BG869=DATA_CLEANED!AN860,BG869="MATCH NUL"),"OK","ERREUR")</f>
        <v>OK</v>
      </c>
    </row>
    <row r="870" spans="2:61">
      <c r="B870" s="75">
        <v>433</v>
      </c>
      <c r="C870" s="15" t="str">
        <v>Leandro Bacuna</v>
      </c>
      <c r="D870" s="15">
        <v>34</v>
      </c>
      <c r="E870" s="15" t="str">
        <v>Curaçao</v>
      </c>
      <c r="F870" s="15" t="str">
        <v>CAM</v>
      </c>
      <c r="G870" s="15" t="str">
        <v>Iğdır</v>
      </c>
      <c r="H870" s="15">
        <v>10</v>
      </c>
      <c r="I870" s="15" t="str">
        <f t="shared" si="74"/>
        <v>433|Leandro Bacuna|34|Curaçao|CAM|Iğdır|10</v>
      </c>
      <c r="J870" s="15" t="str">
        <f>IF(COUNTIF(I$438:I870,I870)&gt;1,"DOUBLON","OK")</f>
        <v>OK</v>
      </c>
      <c r="S870" s="30" t="str">
        <v>Italy</v>
      </c>
      <c r="T870" s="30" t="str">
        <f t="shared" si="75"/>
        <v>OK</v>
      </c>
      <c r="U870" s="30" t="str">
        <f t="shared" si="76"/>
        <v>-</v>
      </c>
      <c r="V870" s="30" t="str" cm="1">
        <f t="array" ref="V870">_xlfn.IFS(
ISNUMBER(SEARCH("USA",S870)),"United States",
ISNUMBER(SEARCH("Republic of Korea",S870)),"South Korea",
ISNUMBER(SEARCH("Cape Verde",S870)),"Cabo Verde",
ISNUMBER(SEARCH("Czechia",S870)),"Czech Republic",
ISNUMBER(SEARCH("Türkiye",S870)),"Turkey",
ISNUMBER(SEARCH("Ivory Coast",S870)),"Côte d'Ivoire",
ISNUMBER(SEARCH("Korea Republic",S870)),"South Korea",
ISNUMBER(SEARCH("Germany FR",S870)),"FR Germany",
ISNUMBER(SEARCH("West Germany",S870)),"FR Germany",
ISNUMBER(SEARCH("Germany DR",S870)),"DR Germany",
ISNUMBER(SEARCH("Korea DPR",S870)),"North Korea",
ISNUMBER(SEARCH("China PR",S870)),"China",
ISNUMBER(SEARCH("IR Iran",S870)),"Iran",
ISNUMBER(SEARCH("Congo DR",S870)),"Democratic Republic of the Congo",
ISNUMBER(SEARCH("DR Congo",S870)),"Democratic Republic of the Congo",
ISNUMBER(SEARCH("German DR",S870)),"DR Germany",
ISNUMBER(SEARCH("rn""&gt;United Arab Emirates",S870)),"United Arab Emirates",
ISNUMBER(SEARCH("rn""&gt;Republic of Ireland",S870)),"Ireland",
ISNUMBER(SEARCH("rn""&gt;Bosnia and Herzegovina",S870)),"Bosnia and Herzegovina",
ISNUMBER(SEARCH("rn""&gt;Trinidad and Tobago",S870)),"Trinidad and Tobago",
ISNUMBER(SEARCH("rn""&gt;Serbia and Montenegro",S870)),"Serbia and Montenegro",
ISNUMBER(SEARCH(_xlfn.UNICHAR(65533),S870)),"Côte d'Ivoire",
TRUE,""
)</f>
        <v/>
      </c>
      <c r="W870" s="30" t="str">
        <f t="shared" si="77"/>
        <v>Italy</v>
      </c>
      <c r="Z870" s="40" t="str">
        <v>Arena Fonte Nova</v>
      </c>
      <c r="AA870" s="40" t="str" cm="1">
        <f t="array" ref="AA870">IFERROR(_xlfn.XLOOKUP(Z870,_xlfn.ANCHORARRAY(Z$31),AA$31:AA$37),Z870)</f>
        <v>Arena Fonte Nova</v>
      </c>
      <c r="AB870" s="42" t="str">
        <v xml:space="preserve">Salvador </v>
      </c>
      <c r="AC870" s="89" t="str">
        <f t="shared" si="73"/>
        <v xml:space="preserve">Salvador </v>
      </c>
      <c r="AE870" s="42">
        <v>2014</v>
      </c>
      <c r="AK870" s="42">
        <v>0</v>
      </c>
      <c r="AL870" s="42">
        <v>0</v>
      </c>
      <c r="AW870" s="89" t="str">
        <v>GROUP_STAGE</v>
      </c>
      <c r="BE870" s="43" t="str">
        <f>IF(OR(DATA_CLEANED!AL861="",DATA_CLEANED!AM861=""),"MANQUANT",IF(OR(NOT(ISNUMBER(DATA_CLEANED!AL861)),NOT(ISNUMBER(DATA_CLEANED!AM861))),"ENTREE INVALIDE",IF(OR(DATA_CLEANED!AL861&lt;0,DATA_CLEANED!AM861&lt;0),"SCORE NEGATIF","OK")))</f>
        <v>OK</v>
      </c>
      <c r="BF870" s="43" t="str">
        <f>IF(DATA_CLEANED!AK861&lt;&gt;DATA_CLEANED!AN861,"OK","ERREUR")</f>
        <v>OK</v>
      </c>
      <c r="BG870" s="43" t="str">
        <f>IF(DATA_CLEANED!AL861&gt;DATA_CLEANED!AM861,DATA_CLEANED!AK861,IF(AND(DATA_QUALITE!W5347="-",DATA_CLEANED!AM861=DATA_CLEANED!AL861),"MATCH NUL",IF(AND(DATA_QUALITE!V5347="-",DATA_QUALITE!U5347="AUCUNE"),DATA_QUALITE!T5347,IF(DATA_QUALITE!V5347&lt;&gt;"-",DATA_QUALITE!V5347,DATA_CLEANED!AN861))))</f>
        <v>Croatia</v>
      </c>
      <c r="BH870" s="103" t="str">
        <f>IF(AND(BG870="MATCH NUL",DATA_CLEANED!AO861="-"),"MATCH_NUL",IF(ISNUMBER(SEARCH("win on penalties",W5347)),"WIN_BY_PENALTY",IF(ISNUMBER(SEARCH("win after extra time",W5347)),"WIN_BY_EXTRA_TIME",IF(ISNUMBER(SEARCH("Golden Goal",W5347)),"WIN_BY_GOLDEN_GOAL","WIN_BY_SCORE"))))</f>
        <v>WIN_BY_SCORE</v>
      </c>
      <c r="BI870" s="99" t="str">
        <f>IF(OR(BG870=DATA_CLEANED!AK861,BG870=DATA_CLEANED!AN861,BG870="MATCH NUL"),"OK","ERREUR")</f>
        <v>OK</v>
      </c>
    </row>
    <row r="871" spans="2:61">
      <c r="B871" s="75">
        <v>434</v>
      </c>
      <c r="C871" s="15" t="str">
        <v>Tahith Chong</v>
      </c>
      <c r="D871" s="15">
        <v>26</v>
      </c>
      <c r="E871" s="15" t="str">
        <v>Curaçao</v>
      </c>
      <c r="F871" s="15" t="str">
        <v>CAM</v>
      </c>
      <c r="G871" s="15" t="str">
        <v>Sheffield United</v>
      </c>
      <c r="H871" s="15">
        <v>21</v>
      </c>
      <c r="I871" s="15" t="str">
        <f t="shared" si="74"/>
        <v>434|Tahith Chong|26|Curaçao|CAM|Sheffield United|21</v>
      </c>
      <c r="J871" s="15" t="str">
        <f>IF(COUNTIF(I$438:I871,I871)&gt;1,"DOUBLON","OK")</f>
        <v>OK</v>
      </c>
      <c r="S871" s="30" t="str">
        <v>Brazil</v>
      </c>
      <c r="T871" s="30" t="str">
        <f t="shared" si="75"/>
        <v>OK</v>
      </c>
      <c r="U871" s="30" t="str">
        <f t="shared" si="76"/>
        <v>-</v>
      </c>
      <c r="V871" s="30" t="str" cm="1">
        <f t="array" ref="V871">_xlfn.IFS(
ISNUMBER(SEARCH("USA",S871)),"United States",
ISNUMBER(SEARCH("Republic of Korea",S871)),"South Korea",
ISNUMBER(SEARCH("Cape Verde",S871)),"Cabo Verde",
ISNUMBER(SEARCH("Czechia",S871)),"Czech Republic",
ISNUMBER(SEARCH("Türkiye",S871)),"Turkey",
ISNUMBER(SEARCH("Ivory Coast",S871)),"Côte d'Ivoire",
ISNUMBER(SEARCH("Korea Republic",S871)),"South Korea",
ISNUMBER(SEARCH("Germany FR",S871)),"FR Germany",
ISNUMBER(SEARCH("West Germany",S871)),"FR Germany",
ISNUMBER(SEARCH("Germany DR",S871)),"DR Germany",
ISNUMBER(SEARCH("Korea DPR",S871)),"North Korea",
ISNUMBER(SEARCH("China PR",S871)),"China",
ISNUMBER(SEARCH("IR Iran",S871)),"Iran",
ISNUMBER(SEARCH("Congo DR",S871)),"Democratic Republic of the Congo",
ISNUMBER(SEARCH("DR Congo",S871)),"Democratic Republic of the Congo",
ISNUMBER(SEARCH("German DR",S871)),"DR Germany",
ISNUMBER(SEARCH("rn""&gt;United Arab Emirates",S871)),"United Arab Emirates",
ISNUMBER(SEARCH("rn""&gt;Republic of Ireland",S871)),"Ireland",
ISNUMBER(SEARCH("rn""&gt;Bosnia and Herzegovina",S871)),"Bosnia and Herzegovina",
ISNUMBER(SEARCH("rn""&gt;Trinidad and Tobago",S871)),"Trinidad and Tobago",
ISNUMBER(SEARCH("rn""&gt;Serbia and Montenegro",S871)),"Serbia and Montenegro",
ISNUMBER(SEARCH(_xlfn.UNICHAR(65533),S871)),"Côte d'Ivoire",
TRUE,""
)</f>
        <v/>
      </c>
      <c r="W871" s="30" t="str">
        <f t="shared" si="77"/>
        <v>Brazil</v>
      </c>
      <c r="Z871" s="40" t="str">
        <v>Estadio Nacional</v>
      </c>
      <c r="AA871" s="40" t="str" cm="1">
        <f t="array" ref="AA871">IFERROR(_xlfn.XLOOKUP(Z871,_xlfn.ANCHORARRAY(Z$31),AA$31:AA$37),Z871)</f>
        <v>Estadio Nacional</v>
      </c>
      <c r="AB871" s="42" t="str">
        <v xml:space="preserve">Brasilia </v>
      </c>
      <c r="AC871" s="89" t="str">
        <f t="shared" si="73"/>
        <v xml:space="preserve">Brasilia </v>
      </c>
      <c r="AE871" s="42">
        <v>2014</v>
      </c>
      <c r="AK871" s="42">
        <v>1</v>
      </c>
      <c r="AL871" s="42">
        <v>1</v>
      </c>
      <c r="AW871" s="89" t="str">
        <v>GROUP_STAGE</v>
      </c>
      <c r="BE871" s="43" t="str">
        <f>IF(OR(DATA_CLEANED!AL862="",DATA_CLEANED!AM862=""),"MANQUANT",IF(OR(NOT(ISNUMBER(DATA_CLEANED!AL862)),NOT(ISNUMBER(DATA_CLEANED!AM862))),"ENTREE INVALIDE",IF(OR(DATA_CLEANED!AL862&lt;0,DATA_CLEANED!AM862&lt;0),"SCORE NEGATIF","OK")))</f>
        <v>OK</v>
      </c>
      <c r="BF871" s="43" t="str">
        <f>IF(DATA_CLEANED!AK862&lt;&gt;DATA_CLEANED!AN862,"OK","ERREUR")</f>
        <v>OK</v>
      </c>
      <c r="BG871" s="43" t="str">
        <f>IF(DATA_CLEANED!AL862&gt;DATA_CLEANED!AM862,DATA_CLEANED!AK862,IF(AND(DATA_QUALITE!W5348="-",DATA_CLEANED!AM862=DATA_CLEANED!AL862),"MATCH NUL",IF(AND(DATA_QUALITE!V5348="-",DATA_QUALITE!U5348="AUCUNE"),DATA_QUALITE!T5348,IF(DATA_QUALITE!V5348&lt;&gt;"-",DATA_QUALITE!V5348,DATA_CLEANED!AN862))))</f>
        <v>Brazil</v>
      </c>
      <c r="BH871" s="103" t="str">
        <f>IF(AND(BG871="MATCH NUL",DATA_CLEANED!AO862="-"),"MATCH_NUL",IF(ISNUMBER(SEARCH("win on penalties",W5348)),"WIN_BY_PENALTY",IF(ISNUMBER(SEARCH("win after extra time",W5348)),"WIN_BY_EXTRA_TIME",IF(ISNUMBER(SEARCH("Golden Goal",W5348)),"WIN_BY_GOLDEN_GOAL","WIN_BY_SCORE"))))</f>
        <v>WIN_BY_SCORE</v>
      </c>
      <c r="BI871" s="99" t="str">
        <f>IF(OR(BG871=DATA_CLEANED!AK862,BG871=DATA_CLEANED!AN862,BG871="MATCH NUL"),"OK","ERREUR")</f>
        <v>OK</v>
      </c>
    </row>
    <row r="872" spans="2:61">
      <c r="B872" s="75">
        <v>435</v>
      </c>
      <c r="C872" s="15" t="str">
        <v>Jeremy Antonisse</v>
      </c>
      <c r="D872" s="15">
        <v>24</v>
      </c>
      <c r="E872" s="15" t="str">
        <v>Curaçao</v>
      </c>
      <c r="F872" s="15" t="str">
        <v>LW</v>
      </c>
      <c r="G872" s="15" t="str">
        <v>Kifisia</v>
      </c>
      <c r="H872" s="15">
        <v>11</v>
      </c>
      <c r="I872" s="15" t="str">
        <f t="shared" si="74"/>
        <v>435|Jeremy Antonisse|24|Curaçao|LW|Kifisia|11</v>
      </c>
      <c r="J872" s="15" t="str">
        <f>IF(COUNTIF(I$438:I872,I872)&gt;1,"DOUBLON","OK")</f>
        <v>OK</v>
      </c>
      <c r="S872" s="30" t="str">
        <v>Italy</v>
      </c>
      <c r="T872" s="30" t="str">
        <f t="shared" si="75"/>
        <v>OK</v>
      </c>
      <c r="U872" s="30" t="str">
        <f t="shared" si="76"/>
        <v>-</v>
      </c>
      <c r="V872" s="30" t="str" cm="1">
        <f t="array" ref="V872">_xlfn.IFS(
ISNUMBER(SEARCH("USA",S872)),"United States",
ISNUMBER(SEARCH("Republic of Korea",S872)),"South Korea",
ISNUMBER(SEARCH("Cape Verde",S872)),"Cabo Verde",
ISNUMBER(SEARCH("Czechia",S872)),"Czech Republic",
ISNUMBER(SEARCH("Türkiye",S872)),"Turkey",
ISNUMBER(SEARCH("Ivory Coast",S872)),"Côte d'Ivoire",
ISNUMBER(SEARCH("Korea Republic",S872)),"South Korea",
ISNUMBER(SEARCH("Germany FR",S872)),"FR Germany",
ISNUMBER(SEARCH("West Germany",S872)),"FR Germany",
ISNUMBER(SEARCH("Germany DR",S872)),"DR Germany",
ISNUMBER(SEARCH("Korea DPR",S872)),"North Korea",
ISNUMBER(SEARCH("China PR",S872)),"China",
ISNUMBER(SEARCH("IR Iran",S872)),"Iran",
ISNUMBER(SEARCH("Congo DR",S872)),"Democratic Republic of the Congo",
ISNUMBER(SEARCH("DR Congo",S872)),"Democratic Republic of the Congo",
ISNUMBER(SEARCH("German DR",S872)),"DR Germany",
ISNUMBER(SEARCH("rn""&gt;United Arab Emirates",S872)),"United Arab Emirates",
ISNUMBER(SEARCH("rn""&gt;Republic of Ireland",S872)),"Ireland",
ISNUMBER(SEARCH("rn""&gt;Bosnia and Herzegovina",S872)),"Bosnia and Herzegovina",
ISNUMBER(SEARCH("rn""&gt;Trinidad and Tobago",S872)),"Trinidad and Tobago",
ISNUMBER(SEARCH("rn""&gt;Serbia and Montenegro",S872)),"Serbia and Montenegro",
ISNUMBER(SEARCH(_xlfn.UNICHAR(65533),S872)),"Côte d'Ivoire",
TRUE,""
)</f>
        <v/>
      </c>
      <c r="W872" s="30" t="str">
        <f t="shared" si="77"/>
        <v>Italy</v>
      </c>
      <c r="Z872" s="40" t="str">
        <v>Estadio Castelao</v>
      </c>
      <c r="AA872" s="40" t="str" cm="1">
        <f t="array" ref="AA872">IFERROR(_xlfn.XLOOKUP(Z872,_xlfn.ANCHORARRAY(Z$31),AA$31:AA$37),Z872)</f>
        <v>Estadio Castelao</v>
      </c>
      <c r="AB872" s="42" t="str">
        <v xml:space="preserve">Fortaleza </v>
      </c>
      <c r="AC872" s="89" t="str">
        <f t="shared" si="73"/>
        <v xml:space="preserve">Fortaleza </v>
      </c>
      <c r="AE872" s="42">
        <v>2014</v>
      </c>
      <c r="AK872" s="42">
        <v>2</v>
      </c>
      <c r="AL872" s="42">
        <v>3</v>
      </c>
      <c r="AW872" s="89" t="str">
        <v>GROUP_STAGE</v>
      </c>
      <c r="BE872" s="43" t="str">
        <f>IF(OR(DATA_CLEANED!AL863="",DATA_CLEANED!AM863=""),"MANQUANT",IF(OR(NOT(ISNUMBER(DATA_CLEANED!AL863)),NOT(ISNUMBER(DATA_CLEANED!AM863))),"ENTREE INVALIDE",IF(OR(DATA_CLEANED!AL863&lt;0,DATA_CLEANED!AM863&lt;0),"SCORE NEGATIF","OK")))</f>
        <v>OK</v>
      </c>
      <c r="BF872" s="43" t="str">
        <f>IF(DATA_CLEANED!AK863&lt;&gt;DATA_CLEANED!AN863,"OK","ERREUR")</f>
        <v>OK</v>
      </c>
      <c r="BG872" s="43" t="str">
        <f>IF(DATA_CLEANED!AL863&gt;DATA_CLEANED!AM863,DATA_CLEANED!AK863,IF(AND(DATA_QUALITE!W5349="-",DATA_CLEANED!AM863=DATA_CLEANED!AL863),"MATCH NUL",IF(AND(DATA_QUALITE!V5349="-",DATA_QUALITE!U5349="AUCUNE"),DATA_QUALITE!T5349,IF(DATA_QUALITE!V5349&lt;&gt;"-",DATA_QUALITE!V5349,DATA_CLEANED!AN863))))</f>
        <v>Nigeria</v>
      </c>
      <c r="BH872" s="103" t="str">
        <f>IF(AND(BG872="MATCH NUL",DATA_CLEANED!AO863="-"),"MATCH_NUL",IF(ISNUMBER(SEARCH("win on penalties",W5349)),"WIN_BY_PENALTY",IF(ISNUMBER(SEARCH("win after extra time",W5349)),"WIN_BY_EXTRA_TIME",IF(ISNUMBER(SEARCH("Golden Goal",W5349)),"WIN_BY_GOLDEN_GOAL","WIN_BY_SCORE"))))</f>
        <v>WIN_BY_SCORE</v>
      </c>
      <c r="BI872" s="99" t="str">
        <f>IF(OR(BG872=DATA_CLEANED!AK863,BG872=DATA_CLEANED!AN863,BG872="MATCH NUL"),"OK","ERREUR")</f>
        <v>OK</v>
      </c>
    </row>
    <row r="873" spans="2:61">
      <c r="B873" s="75">
        <v>436</v>
      </c>
      <c r="C873" s="15" t="str">
        <v>Kenji Gorré</v>
      </c>
      <c r="D873" s="15">
        <v>31</v>
      </c>
      <c r="E873" s="15" t="str">
        <v>Curaçao</v>
      </c>
      <c r="F873" s="15" t="str">
        <v>LW</v>
      </c>
      <c r="G873" s="15" t="str">
        <v>Maccabi Haifa</v>
      </c>
      <c r="H873" s="15">
        <v>14</v>
      </c>
      <c r="I873" s="15" t="str">
        <f t="shared" si="74"/>
        <v>436|Kenji Gorré|31|Curaçao|LW|Maccabi Haifa|14</v>
      </c>
      <c r="J873" s="15" t="str">
        <f>IF(COUNTIF(I$438:I873,I873)&gt;1,"DOUBLON","OK")</f>
        <v>OK</v>
      </c>
      <c r="S873" s="30" t="str">
        <v>England</v>
      </c>
      <c r="T873" s="30" t="str">
        <f t="shared" si="75"/>
        <v>ERREUR</v>
      </c>
      <c r="U873" s="30" t="str">
        <f t="shared" si="76"/>
        <v>AUCUNE</v>
      </c>
      <c r="V873" s="30" t="str" cm="1">
        <f t="array" ref="V873">_xlfn.IFS(
ISNUMBER(SEARCH("USA",S873)),"United States",
ISNUMBER(SEARCH("Republic of Korea",S873)),"South Korea",
ISNUMBER(SEARCH("Cape Verde",S873)),"Cabo Verde",
ISNUMBER(SEARCH("Czechia",S873)),"Czech Republic",
ISNUMBER(SEARCH("Türkiye",S873)),"Turkey",
ISNUMBER(SEARCH("Ivory Coast",S873)),"Côte d'Ivoire",
ISNUMBER(SEARCH("Korea Republic",S873)),"South Korea",
ISNUMBER(SEARCH("Germany FR",S873)),"FR Germany",
ISNUMBER(SEARCH("West Germany",S873)),"FR Germany",
ISNUMBER(SEARCH("Germany DR",S873)),"DR Germany",
ISNUMBER(SEARCH("Korea DPR",S873)),"North Korea",
ISNUMBER(SEARCH("China PR",S873)),"China",
ISNUMBER(SEARCH("IR Iran",S873)),"Iran",
ISNUMBER(SEARCH("Congo DR",S873)),"Democratic Republic of the Congo",
ISNUMBER(SEARCH("DR Congo",S873)),"Democratic Republic of the Congo",
ISNUMBER(SEARCH("German DR",S873)),"DR Germany",
ISNUMBER(SEARCH("rn""&gt;United Arab Emirates",S873)),"United Arab Emirates",
ISNUMBER(SEARCH("rn""&gt;Republic of Ireland",S873)),"Ireland",
ISNUMBER(SEARCH("rn""&gt;Bosnia and Herzegovina",S873)),"Bosnia and Herzegovina",
ISNUMBER(SEARCH("rn""&gt;Trinidad and Tobago",S873)),"Trinidad and Tobago",
ISNUMBER(SEARCH("rn""&gt;Serbia and Montenegro",S873)),"Serbia and Montenegro",
ISNUMBER(SEARCH(_xlfn.UNICHAR(65533),S873)),"Côte d'Ivoire",
TRUE,""
)</f>
        <v/>
      </c>
      <c r="W873" s="30" t="str">
        <f t="shared" si="77"/>
        <v>England</v>
      </c>
      <c r="Z873" s="40" t="str">
        <v>Arena Pernambuco</v>
      </c>
      <c r="AA873" s="40" t="str" cm="1">
        <f t="array" ref="AA873">IFERROR(_xlfn.XLOOKUP(Z873,_xlfn.ANCHORARRAY(Z$31),AA$31:AA$37),Z873)</f>
        <v>Arena Pernambuco</v>
      </c>
      <c r="AB873" s="42" t="str">
        <v xml:space="preserve">Recife </v>
      </c>
      <c r="AC873" s="89" t="str">
        <f t="shared" ref="AC873:AC936" si="78">_xlfn.SINGLE(IFERROR(_xlfn.XLOOKUP(AB873,AB$31:AB$34,AC$31:AC$34),AB873))</f>
        <v xml:space="preserve">Recife </v>
      </c>
      <c r="AE873" s="42">
        <v>2014</v>
      </c>
      <c r="AK873" s="42">
        <v>0</v>
      </c>
      <c r="AL873" s="42">
        <v>2</v>
      </c>
      <c r="AW873" s="89" t="str">
        <v>GROUP_STAGE</v>
      </c>
      <c r="BE873" s="43" t="str">
        <f>IF(OR(DATA_CLEANED!AL864="",DATA_CLEANED!AM864=""),"MANQUANT",IF(OR(NOT(ISNUMBER(DATA_CLEANED!AL864)),NOT(ISNUMBER(DATA_CLEANED!AM864))),"ENTREE INVALIDE",IF(OR(DATA_CLEANED!AL864&lt;0,DATA_CLEANED!AM864&lt;0),"SCORE NEGATIF","OK")))</f>
        <v>OK</v>
      </c>
      <c r="BF873" s="43" t="str">
        <f>IF(DATA_CLEANED!AK864&lt;&gt;DATA_CLEANED!AN864,"OK","ERREUR")</f>
        <v>OK</v>
      </c>
      <c r="BG873" s="43" t="str">
        <f>IF(DATA_CLEANED!AL864&gt;DATA_CLEANED!AM864,DATA_CLEANED!AK864,IF(AND(DATA_QUALITE!W5350="-",DATA_CLEANED!AM864=DATA_CLEANED!AL864),"MATCH NUL",IF(AND(DATA_QUALITE!V5350="-",DATA_QUALITE!U5350="AUCUNE"),DATA_QUALITE!T5350,IF(DATA_QUALITE!V5350&lt;&gt;"-",DATA_QUALITE!V5350,DATA_CLEANED!AN864))))</f>
        <v>Switzerland</v>
      </c>
      <c r="BH873" s="103" t="str">
        <f>IF(AND(BG873="MATCH NUL",DATA_CLEANED!AO864="-"),"MATCH_NUL",IF(ISNUMBER(SEARCH("win on penalties",W5350)),"WIN_BY_PENALTY",IF(ISNUMBER(SEARCH("win after extra time",W5350)),"WIN_BY_EXTRA_TIME",IF(ISNUMBER(SEARCH("Golden Goal",W5350)),"WIN_BY_GOLDEN_GOAL","WIN_BY_SCORE"))))</f>
        <v>WIN_BY_SCORE</v>
      </c>
      <c r="BI873" s="99" t="str">
        <f>IF(OR(BG873=DATA_CLEANED!AK864,BG873=DATA_CLEANED!AN864,BG873="MATCH NUL"),"OK","ERREUR")</f>
        <v>OK</v>
      </c>
    </row>
    <row r="874" spans="2:61">
      <c r="B874" s="75">
        <v>437</v>
      </c>
      <c r="C874" s="15" t="str">
        <v>Gervane Kastaneer</v>
      </c>
      <c r="D874" s="15">
        <v>30</v>
      </c>
      <c r="E874" s="15" t="str">
        <v>Curaçao</v>
      </c>
      <c r="F874" s="15" t="str">
        <v>LW</v>
      </c>
      <c r="G874" s="15" t="str">
        <v>Terengganu</v>
      </c>
      <c r="H874" s="15">
        <v>19</v>
      </c>
      <c r="I874" s="15" t="str">
        <f t="shared" si="74"/>
        <v>437|Gervane Kastaneer|30|Curaçao|LW|Terengganu|19</v>
      </c>
      <c r="J874" s="15" t="str">
        <f>IF(COUNTIF(I$438:I874,I874)&gt;1,"DOUBLON","OK")</f>
        <v>OK</v>
      </c>
      <c r="S874" s="30" t="str">
        <v>Argentina</v>
      </c>
      <c r="T874" s="30" t="str">
        <f t="shared" si="75"/>
        <v>OK</v>
      </c>
      <c r="U874" s="30" t="str">
        <f t="shared" si="76"/>
        <v>-</v>
      </c>
      <c r="V874" s="30" t="str" cm="1">
        <f t="array" ref="V874">_xlfn.IFS(
ISNUMBER(SEARCH("USA",S874)),"United States",
ISNUMBER(SEARCH("Republic of Korea",S874)),"South Korea",
ISNUMBER(SEARCH("Cape Verde",S874)),"Cabo Verde",
ISNUMBER(SEARCH("Czechia",S874)),"Czech Republic",
ISNUMBER(SEARCH("Türkiye",S874)),"Turkey",
ISNUMBER(SEARCH("Ivory Coast",S874)),"Côte d'Ivoire",
ISNUMBER(SEARCH("Korea Republic",S874)),"South Korea",
ISNUMBER(SEARCH("Germany FR",S874)),"FR Germany",
ISNUMBER(SEARCH("West Germany",S874)),"FR Germany",
ISNUMBER(SEARCH("Germany DR",S874)),"DR Germany",
ISNUMBER(SEARCH("Korea DPR",S874)),"North Korea",
ISNUMBER(SEARCH("China PR",S874)),"China",
ISNUMBER(SEARCH("IR Iran",S874)),"Iran",
ISNUMBER(SEARCH("Congo DR",S874)),"Democratic Republic of the Congo",
ISNUMBER(SEARCH("DR Congo",S874)),"Democratic Republic of the Congo",
ISNUMBER(SEARCH("German DR",S874)),"DR Germany",
ISNUMBER(SEARCH("rn""&gt;United Arab Emirates",S874)),"United Arab Emirates",
ISNUMBER(SEARCH("rn""&gt;Republic of Ireland",S874)),"Ireland",
ISNUMBER(SEARCH("rn""&gt;Bosnia and Herzegovina",S874)),"Bosnia and Herzegovina",
ISNUMBER(SEARCH("rn""&gt;Trinidad and Tobago",S874)),"Trinidad and Tobago",
ISNUMBER(SEARCH("rn""&gt;Serbia and Montenegro",S874)),"Serbia and Montenegro",
ISNUMBER(SEARCH(_xlfn.UNICHAR(65533),S874)),"Côte d'Ivoire",
TRUE,""
)</f>
        <v/>
      </c>
      <c r="W874" s="30" t="str">
        <f t="shared" si="77"/>
        <v>Argentina</v>
      </c>
      <c r="Z874" s="40" t="str">
        <v>Arena de Sao Paulo</v>
      </c>
      <c r="AA874" s="40" t="str" cm="1">
        <f t="array" ref="AA874">IFERROR(_xlfn.XLOOKUP(Z874,_xlfn.ANCHORARRAY(Z$31),AA$31:AA$37),Z874)</f>
        <v>Arena de Sao Paulo</v>
      </c>
      <c r="AB874" s="42" t="str">
        <v xml:space="preserve">Sao Paulo </v>
      </c>
      <c r="AC874" s="89" t="str">
        <f t="shared" si="78"/>
        <v xml:space="preserve">Sao Paulo </v>
      </c>
      <c r="AE874" s="42">
        <v>2014</v>
      </c>
      <c r="AK874" s="42">
        <v>0</v>
      </c>
      <c r="AL874" s="42">
        <v>4</v>
      </c>
      <c r="AW874" s="89" t="str">
        <v>GROUP_STAGE</v>
      </c>
      <c r="BE874" s="43" t="str">
        <f>IF(OR(DATA_CLEANED!AL865="",DATA_CLEANED!AM865=""),"MANQUANT",IF(OR(NOT(ISNUMBER(DATA_CLEANED!AL865)),NOT(ISNUMBER(DATA_CLEANED!AM865))),"ENTREE INVALIDE",IF(OR(DATA_CLEANED!AL865&lt;0,DATA_CLEANED!AM865&lt;0),"SCORE NEGATIF","OK")))</f>
        <v>OK</v>
      </c>
      <c r="BF874" s="43" t="str">
        <f>IF(DATA_CLEANED!AK865&lt;&gt;DATA_CLEANED!AN865,"OK","ERREUR")</f>
        <v>OK</v>
      </c>
      <c r="BG874" s="43" t="str">
        <f>IF(DATA_CLEANED!AL865&gt;DATA_CLEANED!AM865,DATA_CLEANED!AK865,IF(AND(DATA_QUALITE!W5351="-",DATA_CLEANED!AM865=DATA_CLEANED!AL865),"MATCH NUL",IF(AND(DATA_QUALITE!V5351="-",DATA_QUALITE!U5351="AUCUNE"),DATA_QUALITE!T5351,IF(DATA_QUALITE!V5351&lt;&gt;"-",DATA_QUALITE!V5351,DATA_CLEANED!AN865))))</f>
        <v>Belgium</v>
      </c>
      <c r="BH874" s="103" t="str">
        <f>IF(AND(BG874="MATCH NUL",DATA_CLEANED!AO865="-"),"MATCH_NUL",IF(ISNUMBER(SEARCH("win on penalties",W5351)),"WIN_BY_PENALTY",IF(ISNUMBER(SEARCH("win after extra time",W5351)),"WIN_BY_EXTRA_TIME",IF(ISNUMBER(SEARCH("Golden Goal",W5351)),"WIN_BY_GOLDEN_GOAL","WIN_BY_SCORE"))))</f>
        <v>WIN_BY_SCORE</v>
      </c>
      <c r="BI874" s="99" t="str">
        <f>IF(OR(BG874=DATA_CLEANED!AK865,BG874=DATA_CLEANED!AN865,BG874="MATCH NUL"),"OK","ERREUR")</f>
        <v>OK</v>
      </c>
    </row>
    <row r="875" spans="2:61">
      <c r="B875" s="75">
        <v>438</v>
      </c>
      <c r="C875" s="15" t="str">
        <v>Sontje Hansen</v>
      </c>
      <c r="D875" s="15">
        <v>24</v>
      </c>
      <c r="E875" s="15" t="str">
        <v>Curaçao</v>
      </c>
      <c r="F875" s="15" t="str">
        <v>RW</v>
      </c>
      <c r="G875" s="15" t="str">
        <v>Middlesbrough</v>
      </c>
      <c r="H875" s="15">
        <v>12</v>
      </c>
      <c r="I875" s="15" t="str">
        <f t="shared" si="74"/>
        <v>438|Sontje Hansen|24|Curaçao|RW|Middlesbrough|12</v>
      </c>
      <c r="J875" s="15" t="str">
        <f>IF(COUNTIF(I$438:I875,I875)&gt;1,"DOUBLON","OK")</f>
        <v>OK</v>
      </c>
      <c r="S875" s="30" t="str">
        <v>England</v>
      </c>
      <c r="T875" s="30" t="str">
        <f t="shared" si="75"/>
        <v>ERREUR</v>
      </c>
      <c r="U875" s="30" t="str">
        <f t="shared" si="76"/>
        <v>AUCUNE</v>
      </c>
      <c r="V875" s="30" t="str" cm="1">
        <f t="array" ref="V875">_xlfn.IFS(
ISNUMBER(SEARCH("USA",S875)),"United States",
ISNUMBER(SEARCH("Republic of Korea",S875)),"South Korea",
ISNUMBER(SEARCH("Cape Verde",S875)),"Cabo Verde",
ISNUMBER(SEARCH("Czechia",S875)),"Czech Republic",
ISNUMBER(SEARCH("Türkiye",S875)),"Turkey",
ISNUMBER(SEARCH("Ivory Coast",S875)),"Côte d'Ivoire",
ISNUMBER(SEARCH("Korea Republic",S875)),"South Korea",
ISNUMBER(SEARCH("Germany FR",S875)),"FR Germany",
ISNUMBER(SEARCH("West Germany",S875)),"FR Germany",
ISNUMBER(SEARCH("Germany DR",S875)),"DR Germany",
ISNUMBER(SEARCH("Korea DPR",S875)),"North Korea",
ISNUMBER(SEARCH("China PR",S875)),"China",
ISNUMBER(SEARCH("IR Iran",S875)),"Iran",
ISNUMBER(SEARCH("Congo DR",S875)),"Democratic Republic of the Congo",
ISNUMBER(SEARCH("DR Congo",S875)),"Democratic Republic of the Congo",
ISNUMBER(SEARCH("German DR",S875)),"DR Germany",
ISNUMBER(SEARCH("rn""&gt;United Arab Emirates",S875)),"United Arab Emirates",
ISNUMBER(SEARCH("rn""&gt;Republic of Ireland",S875)),"Ireland",
ISNUMBER(SEARCH("rn""&gt;Bosnia and Herzegovina",S875)),"Bosnia and Herzegovina",
ISNUMBER(SEARCH("rn""&gt;Trinidad and Tobago",S875)),"Trinidad and Tobago",
ISNUMBER(SEARCH("rn""&gt;Serbia and Montenegro",S875)),"Serbia and Montenegro",
ISNUMBER(SEARCH(_xlfn.UNICHAR(65533),S875)),"Côte d'Ivoire",
TRUE,""
)</f>
        <v/>
      </c>
      <c r="W875" s="30" t="str">
        <f t="shared" si="77"/>
        <v>England</v>
      </c>
      <c r="Z875" s="40" t="str">
        <v>Arena Fonte Nova</v>
      </c>
      <c r="AA875" s="40" t="str" cm="1">
        <f t="array" ref="AA875">IFERROR(_xlfn.XLOOKUP(Z875,_xlfn.ANCHORARRAY(Z$31),AA$31:AA$37),Z875)</f>
        <v>Arena Fonte Nova</v>
      </c>
      <c r="AB875" s="42" t="str">
        <v xml:space="preserve">Salvador </v>
      </c>
      <c r="AC875" s="89" t="str">
        <f t="shared" si="78"/>
        <v xml:space="preserve">Salvador </v>
      </c>
      <c r="AE875" s="42">
        <v>2014</v>
      </c>
      <c r="AK875" s="42">
        <v>2</v>
      </c>
      <c r="AL875" s="42">
        <v>1</v>
      </c>
      <c r="AW875" s="89" t="str">
        <v>GROUP_STAGE</v>
      </c>
      <c r="BE875" s="43" t="str">
        <f>IF(OR(DATA_CLEANED!AL866="",DATA_CLEANED!AM866=""),"MANQUANT",IF(OR(NOT(ISNUMBER(DATA_CLEANED!AL866)),NOT(ISNUMBER(DATA_CLEANED!AM866))),"ENTREE INVALIDE",IF(OR(DATA_CLEANED!AL866&lt;0,DATA_CLEANED!AM866&lt;0),"SCORE NEGATIF","OK")))</f>
        <v>OK</v>
      </c>
      <c r="BF875" s="43" t="str">
        <f>IF(DATA_CLEANED!AK866&lt;&gt;DATA_CLEANED!AN866,"OK","ERREUR")</f>
        <v>OK</v>
      </c>
      <c r="BG875" s="43" t="str">
        <f>IF(DATA_CLEANED!AL866&gt;DATA_CLEANED!AM866,DATA_CLEANED!AK866,IF(AND(DATA_QUALITE!W5352="-",DATA_CLEANED!AM866=DATA_CLEANED!AL866),"MATCH NUL",IF(AND(DATA_QUALITE!V5352="-",DATA_QUALITE!U5352="AUCUNE"),DATA_QUALITE!T5352,IF(DATA_QUALITE!V5352&lt;&gt;"-",DATA_QUALITE!V5352,DATA_CLEANED!AN866))))</f>
        <v>Mexico</v>
      </c>
      <c r="BH875" s="103" t="str">
        <f>IF(AND(BG875="MATCH NUL",DATA_CLEANED!AO866="-"),"MATCH_NUL",IF(ISNUMBER(SEARCH("win on penalties",W5352)),"WIN_BY_PENALTY",IF(ISNUMBER(SEARCH("win after extra time",W5352)),"WIN_BY_EXTRA_TIME",IF(ISNUMBER(SEARCH("Golden Goal",W5352)),"WIN_BY_GOLDEN_GOAL","WIN_BY_SCORE"))))</f>
        <v>WIN_BY_SCORE</v>
      </c>
      <c r="BI875" s="99" t="str">
        <f>IF(OR(BG875=DATA_CLEANED!AK866,BG875=DATA_CLEANED!AN866,BG875="MATCH NUL"),"OK","ERREUR")</f>
        <v>OK</v>
      </c>
    </row>
    <row r="876" spans="2:61">
      <c r="B876" s="75">
        <v>439</v>
      </c>
      <c r="C876" s="15" t="str">
        <v>Jearl Margaritha</v>
      </c>
      <c r="D876" s="15">
        <v>26</v>
      </c>
      <c r="E876" s="15" t="str">
        <v>Curaçao</v>
      </c>
      <c r="F876" s="15" t="str">
        <v>RW</v>
      </c>
      <c r="G876" s="15" t="str">
        <v>Beveren</v>
      </c>
      <c r="H876" s="15">
        <v>16</v>
      </c>
      <c r="I876" s="15" t="str">
        <f t="shared" si="74"/>
        <v>439|Jearl Margaritha|26|Curaçao|RW|Beveren|16</v>
      </c>
      <c r="J876" s="15" t="str">
        <f>IF(COUNTIF(I$438:I876,I876)&gt;1,"DOUBLON","OK")</f>
        <v>OK</v>
      </c>
      <c r="S876" s="30" t="str">
        <v>Argentina</v>
      </c>
      <c r="T876" s="30" t="str">
        <f t="shared" si="75"/>
        <v>OK</v>
      </c>
      <c r="U876" s="30" t="str">
        <f t="shared" si="76"/>
        <v>-</v>
      </c>
      <c r="V876" s="30" t="str" cm="1">
        <f t="array" ref="V876">_xlfn.IFS(
ISNUMBER(SEARCH("USA",S876)),"United States",
ISNUMBER(SEARCH("Republic of Korea",S876)),"South Korea",
ISNUMBER(SEARCH("Cape Verde",S876)),"Cabo Verde",
ISNUMBER(SEARCH("Czechia",S876)),"Czech Republic",
ISNUMBER(SEARCH("Türkiye",S876)),"Turkey",
ISNUMBER(SEARCH("Ivory Coast",S876)),"Côte d'Ivoire",
ISNUMBER(SEARCH("Korea Republic",S876)),"South Korea",
ISNUMBER(SEARCH("Germany FR",S876)),"FR Germany",
ISNUMBER(SEARCH("West Germany",S876)),"FR Germany",
ISNUMBER(SEARCH("Germany DR",S876)),"DR Germany",
ISNUMBER(SEARCH("Korea DPR",S876)),"North Korea",
ISNUMBER(SEARCH("China PR",S876)),"China",
ISNUMBER(SEARCH("IR Iran",S876)),"Iran",
ISNUMBER(SEARCH("Congo DR",S876)),"Democratic Republic of the Congo",
ISNUMBER(SEARCH("DR Congo",S876)),"Democratic Republic of the Congo",
ISNUMBER(SEARCH("German DR",S876)),"DR Germany",
ISNUMBER(SEARCH("rn""&gt;United Arab Emirates",S876)),"United Arab Emirates",
ISNUMBER(SEARCH("rn""&gt;Republic of Ireland",S876)),"Ireland",
ISNUMBER(SEARCH("rn""&gt;Bosnia and Herzegovina",S876)),"Bosnia and Herzegovina",
ISNUMBER(SEARCH("rn""&gt;Trinidad and Tobago",S876)),"Trinidad and Tobago",
ISNUMBER(SEARCH("rn""&gt;Serbia and Montenegro",S876)),"Serbia and Montenegro",
ISNUMBER(SEARCH(_xlfn.UNICHAR(65533),S876)),"Côte d'Ivoire",
TRUE,""
)</f>
        <v/>
      </c>
      <c r="W876" s="30" t="str">
        <f t="shared" si="77"/>
        <v>Argentina</v>
      </c>
      <c r="Z876" s="40" t="str">
        <v>Luzhniki Stadium</v>
      </c>
      <c r="AA876" s="40" t="str" cm="1">
        <f t="array" ref="AA876">IFERROR(_xlfn.XLOOKUP(Z876,_xlfn.ANCHORARRAY(Z$31),AA$31:AA$37),Z876)</f>
        <v>Luzhniki Stadium</v>
      </c>
      <c r="AB876" s="42" t="str">
        <v>Moscow</v>
      </c>
      <c r="AC876" s="89" t="str">
        <f t="shared" si="78"/>
        <v>Moscow</v>
      </c>
      <c r="AE876" s="42">
        <v>2014</v>
      </c>
      <c r="AK876" s="42">
        <v>2</v>
      </c>
      <c r="AL876" s="42">
        <v>1</v>
      </c>
      <c r="AW876" s="89" t="str">
        <v>GROUP_STAGE</v>
      </c>
      <c r="BE876" s="43" t="str">
        <f>IF(OR(DATA_CLEANED!AL867="",DATA_CLEANED!AM867=""),"MANQUANT",IF(OR(NOT(ISNUMBER(DATA_CLEANED!AL867)),NOT(ISNUMBER(DATA_CLEANED!AM867))),"ENTREE INVALIDE",IF(OR(DATA_CLEANED!AL867&lt;0,DATA_CLEANED!AM867&lt;0),"SCORE NEGATIF","OK")))</f>
        <v>OK</v>
      </c>
      <c r="BF876" s="43" t="str">
        <f>IF(DATA_CLEANED!AK867&lt;&gt;DATA_CLEANED!AN867,"OK","ERREUR")</f>
        <v>OK</v>
      </c>
      <c r="BG876" s="43" t="str">
        <f>IF(DATA_CLEANED!AL867&gt;DATA_CLEANED!AM867,DATA_CLEANED!AK867,IF(AND(DATA_QUALITE!W5353="-",DATA_CLEANED!AM867=DATA_CLEANED!AL867),"MATCH NUL",IF(AND(DATA_QUALITE!V5353="-",DATA_QUALITE!U5353="AUCUNE"),DATA_QUALITE!T5353,IF(DATA_QUALITE!V5353&lt;&gt;"-",DATA_QUALITE!V5353,DATA_CLEANED!AN867))))</f>
        <v>Germany</v>
      </c>
      <c r="BH876" s="103" t="str">
        <f>IF(AND(BG876="MATCH NUL",DATA_CLEANED!AO867="-"),"MATCH_NUL",IF(ISNUMBER(SEARCH("win on penalties",W5353)),"WIN_BY_PENALTY",IF(ISNUMBER(SEARCH("win after extra time",W5353)),"WIN_BY_EXTRA_TIME",IF(ISNUMBER(SEARCH("Golden Goal",W5353)),"WIN_BY_GOLDEN_GOAL","WIN_BY_SCORE"))))</f>
        <v>WIN_BY_SCORE</v>
      </c>
      <c r="BI876" s="99" t="str">
        <f>IF(OR(BG876=DATA_CLEANED!AK867,BG876=DATA_CLEANED!AN867,BG876="MATCH NUL"),"OK","ERREUR")</f>
        <v>OK</v>
      </c>
    </row>
    <row r="877" spans="2:61">
      <c r="B877" s="75">
        <v>440</v>
      </c>
      <c r="C877" s="15" t="str">
        <v>Brandley Kuwas</v>
      </c>
      <c r="D877" s="15">
        <v>33</v>
      </c>
      <c r="E877" s="15" t="str">
        <v>Curaçao</v>
      </c>
      <c r="F877" s="15" t="str">
        <v>RW</v>
      </c>
      <c r="G877" s="15" t="str">
        <v>Volendam</v>
      </c>
      <c r="H877" s="15">
        <v>17</v>
      </c>
      <c r="I877" s="15" t="str">
        <f t="shared" si="74"/>
        <v>440|Brandley Kuwas|33|Curaçao|RW|Volendam|17</v>
      </c>
      <c r="J877" s="15" t="str">
        <f>IF(COUNTIF(I$438:I877,I877)&gt;1,"DOUBLON","OK")</f>
        <v>OK</v>
      </c>
      <c r="S877" s="30" t="str">
        <v>England</v>
      </c>
      <c r="T877" s="30" t="str">
        <f t="shared" si="75"/>
        <v>ERREUR</v>
      </c>
      <c r="U877" s="30" t="str">
        <f t="shared" si="76"/>
        <v>AUCUNE</v>
      </c>
      <c r="V877" s="30" t="str" cm="1">
        <f t="array" ref="V877">_xlfn.IFS(
ISNUMBER(SEARCH("USA",S877)),"United States",
ISNUMBER(SEARCH("Republic of Korea",S877)),"South Korea",
ISNUMBER(SEARCH("Cape Verde",S877)),"Cabo Verde",
ISNUMBER(SEARCH("Czechia",S877)),"Czech Republic",
ISNUMBER(SEARCH("Türkiye",S877)),"Turkey",
ISNUMBER(SEARCH("Ivory Coast",S877)),"Côte d'Ivoire",
ISNUMBER(SEARCH("Korea Republic",S877)),"South Korea",
ISNUMBER(SEARCH("Germany FR",S877)),"FR Germany",
ISNUMBER(SEARCH("West Germany",S877)),"FR Germany",
ISNUMBER(SEARCH("Germany DR",S877)),"DR Germany",
ISNUMBER(SEARCH("Korea DPR",S877)),"North Korea",
ISNUMBER(SEARCH("China PR",S877)),"China",
ISNUMBER(SEARCH("IR Iran",S877)),"Iran",
ISNUMBER(SEARCH("Congo DR",S877)),"Democratic Republic of the Congo",
ISNUMBER(SEARCH("DR Congo",S877)),"Democratic Republic of the Congo",
ISNUMBER(SEARCH("German DR",S877)),"DR Germany",
ISNUMBER(SEARCH("rn""&gt;United Arab Emirates",S877)),"United Arab Emirates",
ISNUMBER(SEARCH("rn""&gt;Republic of Ireland",S877)),"Ireland",
ISNUMBER(SEARCH("rn""&gt;Bosnia and Herzegovina",S877)),"Bosnia and Herzegovina",
ISNUMBER(SEARCH("rn""&gt;Trinidad and Tobago",S877)),"Trinidad and Tobago",
ISNUMBER(SEARCH("rn""&gt;Serbia and Montenegro",S877)),"Serbia and Montenegro",
ISNUMBER(SEARCH(_xlfn.UNICHAR(65533),S877)),"Côte d'Ivoire",
TRUE,""
)</f>
        <v/>
      </c>
      <c r="W877" s="30" t="str">
        <f t="shared" si="77"/>
        <v>England</v>
      </c>
      <c r="Z877" s="40" t="str">
        <v>Central Stadium</v>
      </c>
      <c r="AA877" s="40" t="str" cm="1">
        <f t="array" ref="AA877">IFERROR(_xlfn.XLOOKUP(Z877,_xlfn.ANCHORARRAY(Z$31),AA$31:AA$37),Z877)</f>
        <v>Central Stadium</v>
      </c>
      <c r="AB877" s="42" t="str">
        <v>Yekaterinburg</v>
      </c>
      <c r="AC877" s="89" t="str">
        <f t="shared" si="78"/>
        <v>Yekaterinburg</v>
      </c>
      <c r="AE877" s="42">
        <v>2014</v>
      </c>
      <c r="AK877" s="42">
        <v>0</v>
      </c>
      <c r="AL877" s="42">
        <v>0</v>
      </c>
      <c r="AW877" s="89" t="str">
        <v>GROUP_STAGE</v>
      </c>
      <c r="BE877" s="43" t="str">
        <f>IF(OR(DATA_CLEANED!AL868="",DATA_CLEANED!AM868=""),"MANQUANT",IF(OR(NOT(ISNUMBER(DATA_CLEANED!AL868)),NOT(ISNUMBER(DATA_CLEANED!AM868))),"ENTREE INVALIDE",IF(OR(DATA_CLEANED!AL868&lt;0,DATA_CLEANED!AM868&lt;0),"SCORE NEGATIF","OK")))</f>
        <v>OK</v>
      </c>
      <c r="BF877" s="43" t="str">
        <f>IF(DATA_CLEANED!AK868&lt;&gt;DATA_CLEANED!AN868,"OK","ERREUR")</f>
        <v>OK</v>
      </c>
      <c r="BG877" s="43" t="str">
        <f>IF(DATA_CLEANED!AL868&gt;DATA_CLEANED!AM868,DATA_CLEANED!AK868,IF(AND(DATA_QUALITE!W5354="-",DATA_CLEANED!AM868=DATA_CLEANED!AL868),"MATCH NUL",IF(AND(DATA_QUALITE!V5354="-",DATA_QUALITE!U5354="AUCUNE"),DATA_QUALITE!T5354,IF(DATA_QUALITE!V5354&lt;&gt;"-",DATA_QUALITE!V5354,DATA_CLEANED!AN868))))</f>
        <v>England</v>
      </c>
      <c r="BH877" s="103" t="str">
        <f>IF(AND(BG877="MATCH NUL",DATA_CLEANED!AO868="-"),"MATCH_NUL",IF(ISNUMBER(SEARCH("win on penalties",W5354)),"WIN_BY_PENALTY",IF(ISNUMBER(SEARCH("win after extra time",W5354)),"WIN_BY_EXTRA_TIME",IF(ISNUMBER(SEARCH("Golden Goal",W5354)),"WIN_BY_GOLDEN_GOAL","WIN_BY_SCORE"))))</f>
        <v>WIN_BY_SCORE</v>
      </c>
      <c r="BI877" s="99" t="str">
        <f>IF(OR(BG877=DATA_CLEANED!AK868,BG877=DATA_CLEANED!AN868,BG877="MATCH NUL"),"OK","ERREUR")</f>
        <v>OK</v>
      </c>
    </row>
    <row r="878" spans="2:61">
      <c r="B878" s="75">
        <v>441</v>
      </c>
      <c r="C878" s="15" t="str">
        <v>Jürgen Locadia</v>
      </c>
      <c r="D878" s="15">
        <v>32</v>
      </c>
      <c r="E878" s="15" t="str">
        <v>Curaçao</v>
      </c>
      <c r="F878" s="15" t="str">
        <v>ST</v>
      </c>
      <c r="G878" s="15" t="str">
        <v>Miami FC</v>
      </c>
      <c r="H878" s="15">
        <v>9</v>
      </c>
      <c r="I878" s="15" t="str">
        <f t="shared" si="74"/>
        <v>441|Jürgen Locadia|32|Curaçao|ST|Miami FC|9</v>
      </c>
      <c r="J878" s="15" t="str">
        <f>IF(COUNTIF(I$438:I878,I878)&gt;1,"DOUBLON","OK")</f>
        <v>OK</v>
      </c>
      <c r="S878" s="30" t="str">
        <v>Argentina</v>
      </c>
      <c r="T878" s="30" t="str">
        <f t="shared" si="75"/>
        <v>OK</v>
      </c>
      <c r="U878" s="30" t="str">
        <f t="shared" si="76"/>
        <v>-</v>
      </c>
      <c r="V878" s="30" t="str" cm="1">
        <f t="array" ref="V878">_xlfn.IFS(
ISNUMBER(SEARCH("USA",S878)),"United States",
ISNUMBER(SEARCH("Republic of Korea",S878)),"South Korea",
ISNUMBER(SEARCH("Cape Verde",S878)),"Cabo Verde",
ISNUMBER(SEARCH("Czechia",S878)),"Czech Republic",
ISNUMBER(SEARCH("Türkiye",S878)),"Turkey",
ISNUMBER(SEARCH("Ivory Coast",S878)),"Côte d'Ivoire",
ISNUMBER(SEARCH("Korea Republic",S878)),"South Korea",
ISNUMBER(SEARCH("Germany FR",S878)),"FR Germany",
ISNUMBER(SEARCH("West Germany",S878)),"FR Germany",
ISNUMBER(SEARCH("Germany DR",S878)),"DR Germany",
ISNUMBER(SEARCH("Korea DPR",S878)),"North Korea",
ISNUMBER(SEARCH("China PR",S878)),"China",
ISNUMBER(SEARCH("IR Iran",S878)),"Iran",
ISNUMBER(SEARCH("Congo DR",S878)),"Democratic Republic of the Congo",
ISNUMBER(SEARCH("DR Congo",S878)),"Democratic Republic of the Congo",
ISNUMBER(SEARCH("German DR",S878)),"DR Germany",
ISNUMBER(SEARCH("rn""&gt;United Arab Emirates",S878)),"United Arab Emirates",
ISNUMBER(SEARCH("rn""&gt;Republic of Ireland",S878)),"Ireland",
ISNUMBER(SEARCH("rn""&gt;Bosnia and Herzegovina",S878)),"Bosnia and Herzegovina",
ISNUMBER(SEARCH("rn""&gt;Trinidad and Tobago",S878)),"Trinidad and Tobago",
ISNUMBER(SEARCH("rn""&gt;Serbia and Montenegro",S878)),"Serbia and Montenegro",
ISNUMBER(SEARCH(_xlfn.UNICHAR(65533),S878)),"Côte d'Ivoire",
TRUE,""
)</f>
        <v/>
      </c>
      <c r="W878" s="30" t="str">
        <f t="shared" si="77"/>
        <v>Argentina</v>
      </c>
      <c r="Z878" s="40" t="str">
        <v>Krestovsky Stadium</v>
      </c>
      <c r="AA878" s="40" t="str" cm="1">
        <f t="array" ref="AA878">IFERROR(_xlfn.XLOOKUP(Z878,_xlfn.ANCHORARRAY(Z$31),AA$31:AA$37),Z878)</f>
        <v>Krestovsky Stadium</v>
      </c>
      <c r="AB878" s="42" t="str">
        <v>Saint Petersburg</v>
      </c>
      <c r="AC878" s="89" t="str">
        <f t="shared" si="78"/>
        <v>Saint Petersburg</v>
      </c>
      <c r="AE878" s="42">
        <v>2014</v>
      </c>
      <c r="AK878" s="42">
        <v>0</v>
      </c>
      <c r="AL878" s="42">
        <v>1</v>
      </c>
      <c r="AW878" s="89" t="str">
        <v>GROUP_STAGE</v>
      </c>
      <c r="BE878" s="43" t="str">
        <f>IF(OR(DATA_CLEANED!AL869="",DATA_CLEANED!AM869=""),"MANQUANT",IF(OR(NOT(ISNUMBER(DATA_CLEANED!AL869)),NOT(ISNUMBER(DATA_CLEANED!AM869))),"ENTREE INVALIDE",IF(OR(DATA_CLEANED!AL869&lt;0,DATA_CLEANED!AM869&lt;0),"SCORE NEGATIF","OK")))</f>
        <v>OK</v>
      </c>
      <c r="BF878" s="43" t="str">
        <f>IF(DATA_CLEANED!AK869&lt;&gt;DATA_CLEANED!AN869,"OK","ERREUR")</f>
        <v>OK</v>
      </c>
      <c r="BG878" s="43" t="str">
        <f>IF(DATA_CLEANED!AL869&gt;DATA_CLEANED!AM869,DATA_CLEANED!AK869,IF(AND(DATA_QUALITE!W5355="-",DATA_CLEANED!AM869=DATA_CLEANED!AL869),"MATCH NUL",IF(AND(DATA_QUALITE!V5355="-",DATA_QUALITE!U5355="AUCUNE"),DATA_QUALITE!T5355,IF(DATA_QUALITE!V5355&lt;&gt;"-",DATA_QUALITE!V5355,DATA_CLEANED!AN869))))</f>
        <v>MATCH NUL</v>
      </c>
      <c r="BH878" s="103" t="str">
        <f>IF(AND(BG878="MATCH NUL",DATA_CLEANED!AO869="-"),"MATCH_NUL",IF(ISNUMBER(SEARCH("win on penalties",W5355)),"WIN_BY_PENALTY",IF(ISNUMBER(SEARCH("win after extra time",W5355)),"WIN_BY_EXTRA_TIME",IF(ISNUMBER(SEARCH("Golden Goal",W5355)),"WIN_BY_GOLDEN_GOAL","WIN_BY_SCORE"))))</f>
        <v>MATCH_NUL</v>
      </c>
      <c r="BI878" s="99" t="str">
        <f>IF(OR(BG878=DATA_CLEANED!AK869,BG878=DATA_CLEANED!AN869,BG878="MATCH NUL"),"OK","ERREUR")</f>
        <v>OK</v>
      </c>
    </row>
    <row r="879" spans="2:61">
      <c r="B879" s="75">
        <v>442</v>
      </c>
      <c r="C879" s="15" t="str">
        <v>Tyrese Noslin</v>
      </c>
      <c r="D879" s="15">
        <v>23</v>
      </c>
      <c r="E879" s="15" t="str">
        <v>Curaçao</v>
      </c>
      <c r="F879" s="15" t="str">
        <v>ST</v>
      </c>
      <c r="G879" s="15" t="str">
        <v>Telstar</v>
      </c>
      <c r="H879" s="15">
        <v>13</v>
      </c>
      <c r="I879" s="15" t="str">
        <f t="shared" si="74"/>
        <v>442|Tyrese Noslin|23|Curaçao|ST|Telstar|13</v>
      </c>
      <c r="J879" s="15" t="str">
        <f>IF(COUNTIF(I$438:I879,I879)&gt;1,"DOUBLON","OK")</f>
        <v>OK</v>
      </c>
      <c r="S879" s="30" t="str">
        <v>England</v>
      </c>
      <c r="T879" s="30" t="str">
        <f t="shared" si="75"/>
        <v>ERREUR</v>
      </c>
      <c r="U879" s="30" t="str">
        <f t="shared" si="76"/>
        <v>AUCUNE</v>
      </c>
      <c r="V879" s="30" t="str" cm="1">
        <f t="array" ref="V879">_xlfn.IFS(
ISNUMBER(SEARCH("USA",S879)),"United States",
ISNUMBER(SEARCH("Republic of Korea",S879)),"South Korea",
ISNUMBER(SEARCH("Cape Verde",S879)),"Cabo Verde",
ISNUMBER(SEARCH("Czechia",S879)),"Czech Republic",
ISNUMBER(SEARCH("Türkiye",S879)),"Turkey",
ISNUMBER(SEARCH("Ivory Coast",S879)),"Côte d'Ivoire",
ISNUMBER(SEARCH("Korea Republic",S879)),"South Korea",
ISNUMBER(SEARCH("Germany FR",S879)),"FR Germany",
ISNUMBER(SEARCH("West Germany",S879)),"FR Germany",
ISNUMBER(SEARCH("Germany DR",S879)),"DR Germany",
ISNUMBER(SEARCH("Korea DPR",S879)),"North Korea",
ISNUMBER(SEARCH("China PR",S879)),"China",
ISNUMBER(SEARCH("IR Iran",S879)),"Iran",
ISNUMBER(SEARCH("Congo DR",S879)),"Democratic Republic of the Congo",
ISNUMBER(SEARCH("DR Congo",S879)),"Democratic Republic of the Congo",
ISNUMBER(SEARCH("German DR",S879)),"DR Germany",
ISNUMBER(SEARCH("rn""&gt;United Arab Emirates",S879)),"United Arab Emirates",
ISNUMBER(SEARCH("rn""&gt;Republic of Ireland",S879)),"Ireland",
ISNUMBER(SEARCH("rn""&gt;Bosnia and Herzegovina",S879)),"Bosnia and Herzegovina",
ISNUMBER(SEARCH("rn""&gt;Trinidad and Tobago",S879)),"Trinidad and Tobago",
ISNUMBER(SEARCH("rn""&gt;Serbia and Montenegro",S879)),"Serbia and Montenegro",
ISNUMBER(SEARCH(_xlfn.UNICHAR(65533),S879)),"Côte d'Ivoire",
TRUE,""
)</f>
        <v/>
      </c>
      <c r="W879" s="30" t="str">
        <f t="shared" si="77"/>
        <v>England</v>
      </c>
      <c r="Z879" s="40" t="str">
        <v>Fisht Olympic Stadium</v>
      </c>
      <c r="AA879" s="40" t="str" cm="1">
        <f t="array" ref="AA879">IFERROR(_xlfn.XLOOKUP(Z879,_xlfn.ANCHORARRAY(Z$31),AA$31:AA$37),Z879)</f>
        <v>Fisht Olympic Stadium</v>
      </c>
      <c r="AB879" s="42" t="str">
        <v>Sochi</v>
      </c>
      <c r="AC879" s="89" t="str">
        <f t="shared" si="78"/>
        <v>Sochi</v>
      </c>
      <c r="AE879" s="42">
        <v>2014</v>
      </c>
      <c r="AK879" s="42">
        <v>2</v>
      </c>
      <c r="AL879" s="42">
        <v>5</v>
      </c>
      <c r="AW879" s="89" t="str">
        <v>GROUP_STAGE</v>
      </c>
      <c r="BE879" s="43" t="str">
        <f>IF(OR(DATA_CLEANED!AL870="",DATA_CLEANED!AM870=""),"MANQUANT",IF(OR(NOT(ISNUMBER(DATA_CLEANED!AL870)),NOT(ISNUMBER(DATA_CLEANED!AM870))),"ENTREE INVALIDE",IF(OR(DATA_CLEANED!AL870&lt;0,DATA_CLEANED!AM870&lt;0),"SCORE NEGATIF","OK")))</f>
        <v>OK</v>
      </c>
      <c r="BF879" s="43" t="str">
        <f>IF(DATA_CLEANED!AK870&lt;&gt;DATA_CLEANED!AN870,"OK","ERREUR")</f>
        <v>OK</v>
      </c>
      <c r="BG879" s="43" t="str">
        <f>IF(DATA_CLEANED!AL870&gt;DATA_CLEANED!AM870,DATA_CLEANED!AK870,IF(AND(DATA_QUALITE!W5356="-",DATA_CLEANED!AM870=DATA_CLEANED!AL870),"MATCH NUL",IF(AND(DATA_QUALITE!V5356="-",DATA_QUALITE!U5356="AUCUNE"),DATA_QUALITE!T5356,IF(DATA_QUALITE!V5356&lt;&gt;"-",DATA_QUALITE!V5356,DATA_CLEANED!AN870))))</f>
        <v>Colombia</v>
      </c>
      <c r="BH879" s="103" t="str">
        <f>IF(AND(BG879="MATCH NUL",DATA_CLEANED!AO870="-"),"MATCH_NUL",IF(ISNUMBER(SEARCH("win on penalties",W5356)),"WIN_BY_PENALTY",IF(ISNUMBER(SEARCH("win after extra time",W5356)),"WIN_BY_EXTRA_TIME",IF(ISNUMBER(SEARCH("Golden Goal",W5356)),"WIN_BY_GOLDEN_GOAL","WIN_BY_SCORE"))))</f>
        <v>WIN_BY_SCORE</v>
      </c>
      <c r="BI879" s="99" t="str">
        <f>IF(OR(BG879=DATA_CLEANED!AK870,BG879=DATA_CLEANED!AN870,BG879="MATCH NUL"),"OK","ERREUR")</f>
        <v>OK</v>
      </c>
    </row>
    <row r="880" spans="2:61">
      <c r="B880" s="75">
        <v>443</v>
      </c>
      <c r="C880" s="15" t="str">
        <v>Hernán Galíndez</v>
      </c>
      <c r="D880" s="15">
        <v>39</v>
      </c>
      <c r="E880" s="15" t="str">
        <v>Ecuador</v>
      </c>
      <c r="F880" s="15" t="str">
        <v>GK</v>
      </c>
      <c r="G880" s="15" t="str">
        <v>Huracán</v>
      </c>
      <c r="H880" s="15">
        <v>1</v>
      </c>
      <c r="I880" s="15" t="str">
        <f t="shared" si="74"/>
        <v>443|Hernán Galíndez|39|Ecuador|GK|Huracán|1</v>
      </c>
      <c r="J880" s="15" t="str">
        <f>IF(COUNTIF(I$438:I880,I880)&gt;1,"DOUBLON","OK")</f>
        <v>OK</v>
      </c>
      <c r="S880" s="30" t="str">
        <v>Argentina</v>
      </c>
      <c r="T880" s="30" t="str">
        <f t="shared" si="75"/>
        <v>OK</v>
      </c>
      <c r="U880" s="30" t="str">
        <f t="shared" si="76"/>
        <v>-</v>
      </c>
      <c r="V880" s="30" t="str" cm="1">
        <f t="array" ref="V880">_xlfn.IFS(
ISNUMBER(SEARCH("USA",S880)),"United States",
ISNUMBER(SEARCH("Republic of Korea",S880)),"South Korea",
ISNUMBER(SEARCH("Cape Verde",S880)),"Cabo Verde",
ISNUMBER(SEARCH("Czechia",S880)),"Czech Republic",
ISNUMBER(SEARCH("Türkiye",S880)),"Turkey",
ISNUMBER(SEARCH("Ivory Coast",S880)),"Côte d'Ivoire",
ISNUMBER(SEARCH("Korea Republic",S880)),"South Korea",
ISNUMBER(SEARCH("Germany FR",S880)),"FR Germany",
ISNUMBER(SEARCH("West Germany",S880)),"FR Germany",
ISNUMBER(SEARCH("Germany DR",S880)),"DR Germany",
ISNUMBER(SEARCH("Korea DPR",S880)),"North Korea",
ISNUMBER(SEARCH("China PR",S880)),"China",
ISNUMBER(SEARCH("IR Iran",S880)),"Iran",
ISNUMBER(SEARCH("Congo DR",S880)),"Democratic Republic of the Congo",
ISNUMBER(SEARCH("DR Congo",S880)),"Democratic Republic of the Congo",
ISNUMBER(SEARCH("German DR",S880)),"DR Germany",
ISNUMBER(SEARCH("rn""&gt;United Arab Emirates",S880)),"United Arab Emirates",
ISNUMBER(SEARCH("rn""&gt;Republic of Ireland",S880)),"Ireland",
ISNUMBER(SEARCH("rn""&gt;Bosnia and Herzegovina",S880)),"Bosnia and Herzegovina",
ISNUMBER(SEARCH("rn""&gt;Trinidad and Tobago",S880)),"Trinidad and Tobago",
ISNUMBER(SEARCH("rn""&gt;Serbia and Montenegro",S880)),"Serbia and Montenegro",
ISNUMBER(SEARCH(_xlfn.UNICHAR(65533),S880)),"Côte d'Ivoire",
TRUE,""
)</f>
        <v/>
      </c>
      <c r="W880" s="30" t="str">
        <f t="shared" si="77"/>
        <v>Argentina</v>
      </c>
      <c r="Z880" s="40" t="str">
        <v>Kazan Arena</v>
      </c>
      <c r="AA880" s="40" t="str" cm="1">
        <f t="array" ref="AA880">IFERROR(_xlfn.XLOOKUP(Z880,_xlfn.ANCHORARRAY(Z$31),AA$31:AA$37),Z880)</f>
        <v>Kazan Arena</v>
      </c>
      <c r="AB880" s="42" t="str">
        <v>Kazan</v>
      </c>
      <c r="AC880" s="89" t="str">
        <f t="shared" si="78"/>
        <v>Kazan</v>
      </c>
      <c r="AE880" s="42">
        <v>2014</v>
      </c>
      <c r="AK880" s="42">
        <v>1</v>
      </c>
      <c r="AL880" s="42">
        <v>2</v>
      </c>
      <c r="AW880" s="89" t="str">
        <v>GROUP_STAGE</v>
      </c>
      <c r="BE880" s="43" t="str">
        <f>IF(OR(DATA_CLEANED!AL871="",DATA_CLEANED!AM871=""),"MANQUANT",IF(OR(NOT(ISNUMBER(DATA_CLEANED!AL871)),NOT(ISNUMBER(DATA_CLEANED!AM871))),"ENTREE INVALIDE",IF(OR(DATA_CLEANED!AL871&lt;0,DATA_CLEANED!AM871&lt;0),"SCORE NEGATIF","OK")))</f>
        <v>OK</v>
      </c>
      <c r="BF880" s="43" t="str">
        <f>IF(DATA_CLEANED!AK871&lt;&gt;DATA_CLEANED!AN871,"OK","ERREUR")</f>
        <v>OK</v>
      </c>
      <c r="BG880" s="43" t="str">
        <f>IF(DATA_CLEANED!AL871&gt;DATA_CLEANED!AM871,DATA_CLEANED!AK871,IF(AND(DATA_QUALITE!W5357="-",DATA_CLEANED!AM871=DATA_CLEANED!AL871),"MATCH NUL",IF(AND(DATA_QUALITE!V5357="-",DATA_QUALITE!U5357="AUCUNE"),DATA_QUALITE!T5357,IF(DATA_QUALITE!V5357&lt;&gt;"-",DATA_QUALITE!V5357,DATA_CLEANED!AN871))))</f>
        <v>Saudi Arabia</v>
      </c>
      <c r="BH880" s="103" t="str">
        <f>IF(AND(BG880="MATCH NUL",DATA_CLEANED!AO871="-"),"MATCH_NUL",IF(ISNUMBER(SEARCH("win on penalties",W5357)),"WIN_BY_PENALTY",IF(ISNUMBER(SEARCH("win after extra time",W5357)),"WIN_BY_EXTRA_TIME",IF(ISNUMBER(SEARCH("Golden Goal",W5357)),"WIN_BY_GOLDEN_GOAL","WIN_BY_SCORE"))))</f>
        <v>WIN_BY_SCORE</v>
      </c>
      <c r="BI880" s="99" t="str">
        <f>IF(OR(BG880=DATA_CLEANED!AK871,BG880=DATA_CLEANED!AN871,BG880="MATCH NUL"),"OK","ERREUR")</f>
        <v>OK</v>
      </c>
    </row>
    <row r="881" spans="2:61">
      <c r="B881" s="75">
        <v>444</v>
      </c>
      <c r="C881" s="15" t="str">
        <v>Moisés Ramírez</v>
      </c>
      <c r="D881" s="15">
        <v>25</v>
      </c>
      <c r="E881" s="15" t="str">
        <v>Ecuador</v>
      </c>
      <c r="F881" s="15" t="str">
        <v>GK</v>
      </c>
      <c r="G881" s="15" t="str">
        <v>Kifisia</v>
      </c>
      <c r="H881" s="15">
        <v>12</v>
      </c>
      <c r="I881" s="15" t="str">
        <f t="shared" si="74"/>
        <v>444|Moisés Ramírez|25|Ecuador|GK|Kifisia|12</v>
      </c>
      <c r="J881" s="15" t="str">
        <f>IF(COUNTIF(I$438:I881,I881)&gt;1,"DOUBLON","OK")</f>
        <v>OK</v>
      </c>
      <c r="S881" s="30" t="str">
        <v>England</v>
      </c>
      <c r="T881" s="30" t="str">
        <f t="shared" si="75"/>
        <v>ERREUR</v>
      </c>
      <c r="U881" s="30" t="str">
        <f t="shared" si="76"/>
        <v>AUCUNE</v>
      </c>
      <c r="V881" s="30" t="str" cm="1">
        <f t="array" ref="V881">_xlfn.IFS(
ISNUMBER(SEARCH("USA",S881)),"United States",
ISNUMBER(SEARCH("Republic of Korea",S881)),"South Korea",
ISNUMBER(SEARCH("Cape Verde",S881)),"Cabo Verde",
ISNUMBER(SEARCH("Czechia",S881)),"Czech Republic",
ISNUMBER(SEARCH("Türkiye",S881)),"Turkey",
ISNUMBER(SEARCH("Ivory Coast",S881)),"Côte d'Ivoire",
ISNUMBER(SEARCH("Korea Republic",S881)),"South Korea",
ISNUMBER(SEARCH("Germany FR",S881)),"FR Germany",
ISNUMBER(SEARCH("West Germany",S881)),"FR Germany",
ISNUMBER(SEARCH("Germany DR",S881)),"DR Germany",
ISNUMBER(SEARCH("Korea DPR",S881)),"North Korea",
ISNUMBER(SEARCH("China PR",S881)),"China",
ISNUMBER(SEARCH("IR Iran",S881)),"Iran",
ISNUMBER(SEARCH("Congo DR",S881)),"Democratic Republic of the Congo",
ISNUMBER(SEARCH("DR Congo",S881)),"Democratic Republic of the Congo",
ISNUMBER(SEARCH("German DR",S881)),"DR Germany",
ISNUMBER(SEARCH("rn""&gt;United Arab Emirates",S881)),"United Arab Emirates",
ISNUMBER(SEARCH("rn""&gt;Republic of Ireland",S881)),"Ireland",
ISNUMBER(SEARCH("rn""&gt;Bosnia and Herzegovina",S881)),"Bosnia and Herzegovina",
ISNUMBER(SEARCH("rn""&gt;Trinidad and Tobago",S881)),"Trinidad and Tobago",
ISNUMBER(SEARCH("rn""&gt;Serbia and Montenegro",S881)),"Serbia and Montenegro",
ISNUMBER(SEARCH(_xlfn.UNICHAR(65533),S881)),"Côte d'Ivoire",
TRUE,""
)</f>
        <v/>
      </c>
      <c r="W881" s="30" t="str">
        <f t="shared" si="77"/>
        <v>England</v>
      </c>
      <c r="Z881" s="40" t="str">
        <v>Otkritie Arena</v>
      </c>
      <c r="AA881" s="40" t="str" cm="1">
        <f t="array" ref="AA881">IFERROR(_xlfn.XLOOKUP(Z881,_xlfn.ANCHORARRAY(Z$31),AA$31:AA$37),Z881)</f>
        <v>Otkritie Arena</v>
      </c>
      <c r="AB881" s="42" t="str">
        <v>Moscow</v>
      </c>
      <c r="AC881" s="89" t="str">
        <f t="shared" si="78"/>
        <v>Moscow</v>
      </c>
      <c r="AE881" s="42">
        <v>2014</v>
      </c>
      <c r="AK881" s="42">
        <v>1</v>
      </c>
      <c r="AL881" s="42">
        <v>0</v>
      </c>
      <c r="AW881" s="89" t="str">
        <v>GROUP_STAGE</v>
      </c>
      <c r="BE881" s="43" t="str">
        <f>IF(OR(DATA_CLEANED!AL872="",DATA_CLEANED!AM872=""),"MANQUANT",IF(OR(NOT(ISNUMBER(DATA_CLEANED!AL872)),NOT(ISNUMBER(DATA_CLEANED!AM872))),"ENTREE INVALIDE",IF(OR(DATA_CLEANED!AL872&lt;0,DATA_CLEANED!AM872&lt;0),"SCORE NEGATIF","OK")))</f>
        <v>OK</v>
      </c>
      <c r="BF881" s="43" t="str">
        <f>IF(DATA_CLEANED!AK872&lt;&gt;DATA_CLEANED!AN872,"OK","ERREUR")</f>
        <v>OK</v>
      </c>
      <c r="BG881" s="43" t="str">
        <f>IF(DATA_CLEANED!AL872&gt;DATA_CLEANED!AM872,DATA_CLEANED!AK872,IF(AND(DATA_QUALITE!W5358="-",DATA_CLEANED!AM872=DATA_CLEANED!AL872),"MATCH NUL",IF(AND(DATA_QUALITE!V5358="-",DATA_QUALITE!U5358="AUCUNE"),DATA_QUALITE!T5358,IF(DATA_QUALITE!V5358&lt;&gt;"-",DATA_QUALITE!V5358,DATA_CLEANED!AN872))))</f>
        <v>Uruguay</v>
      </c>
      <c r="BH881" s="103" t="str">
        <f>IF(AND(BG881="MATCH NUL",DATA_CLEANED!AO872="-"),"MATCH_NUL",IF(ISNUMBER(SEARCH("win on penalties",W5358)),"WIN_BY_PENALTY",IF(ISNUMBER(SEARCH("win after extra time",W5358)),"WIN_BY_EXTRA_TIME",IF(ISNUMBER(SEARCH("Golden Goal",W5358)),"WIN_BY_GOLDEN_GOAL","WIN_BY_SCORE"))))</f>
        <v>WIN_BY_SCORE</v>
      </c>
      <c r="BI881" s="99" t="str">
        <f>IF(OR(BG881=DATA_CLEANED!AK872,BG881=DATA_CLEANED!AN872,BG881="MATCH NUL"),"OK","ERREUR")</f>
        <v>OK</v>
      </c>
    </row>
    <row r="882" spans="2:61">
      <c r="B882" s="75">
        <v>445</v>
      </c>
      <c r="C882" s="15" t="str">
        <v>Gonzalo Valle</v>
      </c>
      <c r="D882" s="15">
        <v>30</v>
      </c>
      <c r="E882" s="15" t="str">
        <v>Ecuador</v>
      </c>
      <c r="F882" s="15" t="str">
        <v>GK</v>
      </c>
      <c r="G882" s="15" t="str">
        <v>LDU Quito</v>
      </c>
      <c r="H882" s="15">
        <v>22</v>
      </c>
      <c r="I882" s="15" t="str">
        <f t="shared" si="74"/>
        <v>445|Gonzalo Valle|30|Ecuador|GK|LDU Quito|22</v>
      </c>
      <c r="J882" s="15" t="str">
        <f>IF(COUNTIF(I$438:I882,I882)&gt;1,"DOUBLON","OK")</f>
        <v>OK</v>
      </c>
      <c r="S882" s="30" t="str">
        <v>France</v>
      </c>
      <c r="T882" s="30" t="str">
        <f t="shared" si="75"/>
        <v>OK</v>
      </c>
      <c r="U882" s="30" t="str">
        <f t="shared" si="76"/>
        <v>-</v>
      </c>
      <c r="V882" s="30" t="str" cm="1">
        <f t="array" ref="V882">_xlfn.IFS(
ISNUMBER(SEARCH("USA",S882)),"United States",
ISNUMBER(SEARCH("Republic of Korea",S882)),"South Korea",
ISNUMBER(SEARCH("Cape Verde",S882)),"Cabo Verde",
ISNUMBER(SEARCH("Czechia",S882)),"Czech Republic",
ISNUMBER(SEARCH("Türkiye",S882)),"Turkey",
ISNUMBER(SEARCH("Ivory Coast",S882)),"Côte d'Ivoire",
ISNUMBER(SEARCH("Korea Republic",S882)),"South Korea",
ISNUMBER(SEARCH("Germany FR",S882)),"FR Germany",
ISNUMBER(SEARCH("West Germany",S882)),"FR Germany",
ISNUMBER(SEARCH("Germany DR",S882)),"DR Germany",
ISNUMBER(SEARCH("Korea DPR",S882)),"North Korea",
ISNUMBER(SEARCH("China PR",S882)),"China",
ISNUMBER(SEARCH("IR Iran",S882)),"Iran",
ISNUMBER(SEARCH("Congo DR",S882)),"Democratic Republic of the Congo",
ISNUMBER(SEARCH("DR Congo",S882)),"Democratic Republic of the Congo",
ISNUMBER(SEARCH("German DR",S882)),"DR Germany",
ISNUMBER(SEARCH("rn""&gt;United Arab Emirates",S882)),"United Arab Emirates",
ISNUMBER(SEARCH("rn""&gt;Republic of Ireland",S882)),"Ireland",
ISNUMBER(SEARCH("rn""&gt;Bosnia and Herzegovina",S882)),"Bosnia and Herzegovina",
ISNUMBER(SEARCH("rn""&gt;Trinidad and Tobago",S882)),"Trinidad and Tobago",
ISNUMBER(SEARCH("rn""&gt;Serbia and Montenegro",S882)),"Serbia and Montenegro",
ISNUMBER(SEARCH(_xlfn.UNICHAR(65533),S882)),"Côte d'Ivoire",
TRUE,""
)</f>
        <v/>
      </c>
      <c r="W882" s="30" t="str">
        <f t="shared" si="77"/>
        <v>France</v>
      </c>
      <c r="Z882" s="40" t="str">
        <v>Mordovia Arena</v>
      </c>
      <c r="AA882" s="40" t="str" cm="1">
        <f t="array" ref="AA882">IFERROR(_xlfn.XLOOKUP(Z882,_xlfn.ANCHORARRAY(Z$31),AA$31:AA$37),Z882)</f>
        <v>Mordovia Arena</v>
      </c>
      <c r="AB882" s="42" t="str">
        <v>Saransk</v>
      </c>
      <c r="AC882" s="89" t="str">
        <f t="shared" si="78"/>
        <v>Saransk</v>
      </c>
      <c r="AE882" s="42">
        <v>2014</v>
      </c>
      <c r="AK882" s="42">
        <v>2</v>
      </c>
      <c r="AL882" s="42">
        <v>2</v>
      </c>
      <c r="AW882" s="89" t="str">
        <v>GROUP_STAGE</v>
      </c>
      <c r="BE882" s="43" t="str">
        <f>IF(OR(DATA_CLEANED!AL873="",DATA_CLEANED!AM873=""),"MANQUANT",IF(OR(NOT(ISNUMBER(DATA_CLEANED!AL873)),NOT(ISNUMBER(DATA_CLEANED!AM873))),"ENTREE INVALIDE",IF(OR(DATA_CLEANED!AL873&lt;0,DATA_CLEANED!AM873&lt;0),"SCORE NEGATIF","OK")))</f>
        <v>OK</v>
      </c>
      <c r="BF882" s="43" t="str">
        <f>IF(DATA_CLEANED!AK873&lt;&gt;DATA_CLEANED!AN873,"OK","ERREUR")</f>
        <v>OK</v>
      </c>
      <c r="BG882" s="43" t="str">
        <f>IF(DATA_CLEANED!AL873&gt;DATA_CLEANED!AM873,DATA_CLEANED!AK873,IF(AND(DATA_QUALITE!W5359="-",DATA_CLEANED!AM873=DATA_CLEANED!AL873),"MATCH NUL",IF(AND(DATA_QUALITE!V5359="-",DATA_QUALITE!U5359="AUCUNE"),DATA_QUALITE!T5359,IF(DATA_QUALITE!V5359&lt;&gt;"-",DATA_QUALITE!V5359,DATA_CLEANED!AN873))))</f>
        <v>MATCH NUL</v>
      </c>
      <c r="BH882" s="103" t="str">
        <f>IF(AND(BG882="MATCH NUL",DATA_CLEANED!AO873="-"),"MATCH_NUL",IF(ISNUMBER(SEARCH("win on penalties",W5359)),"WIN_BY_PENALTY",IF(ISNUMBER(SEARCH("win after extra time",W5359)),"WIN_BY_EXTRA_TIME",IF(ISNUMBER(SEARCH("Golden Goal",W5359)),"WIN_BY_GOLDEN_GOAL","WIN_BY_SCORE"))))</f>
        <v>MATCH_NUL</v>
      </c>
      <c r="BI882" s="99" t="str">
        <f>IF(OR(BG882=DATA_CLEANED!AK873,BG882=DATA_CLEANED!AN873,BG882="MATCH NUL"),"OK","ERREUR")</f>
        <v>OK</v>
      </c>
    </row>
    <row r="883" spans="2:61">
      <c r="B883" s="75">
        <v>446</v>
      </c>
      <c r="C883" s="15" t="str">
        <v>Félix Torres</v>
      </c>
      <c r="D883" s="15">
        <v>29</v>
      </c>
      <c r="E883" s="15" t="str">
        <v>Ecuador</v>
      </c>
      <c r="F883" s="15" t="str">
        <v>CB</v>
      </c>
      <c r="G883" s="15" t="str">
        <v>Internacional</v>
      </c>
      <c r="H883" s="15">
        <v>2</v>
      </c>
      <c r="I883" s="15" t="str">
        <f t="shared" si="74"/>
        <v>446|Félix Torres|29|Ecuador|CB|Internacional|2</v>
      </c>
      <c r="J883" s="15" t="str">
        <f>IF(COUNTIF(I$438:I883,I883)&gt;1,"DOUBLON","OK")</f>
        <v>OK</v>
      </c>
      <c r="S883" s="30" t="str">
        <v>Italy</v>
      </c>
      <c r="T883" s="30" t="str">
        <f t="shared" si="75"/>
        <v>OK</v>
      </c>
      <c r="U883" s="30" t="str">
        <f t="shared" si="76"/>
        <v>-</v>
      </c>
      <c r="V883" s="30" t="str" cm="1">
        <f t="array" ref="V883">_xlfn.IFS(
ISNUMBER(SEARCH("USA",S883)),"United States",
ISNUMBER(SEARCH("Republic of Korea",S883)),"South Korea",
ISNUMBER(SEARCH("Cape Verde",S883)),"Cabo Verde",
ISNUMBER(SEARCH("Czechia",S883)),"Czech Republic",
ISNUMBER(SEARCH("Türkiye",S883)),"Turkey",
ISNUMBER(SEARCH("Ivory Coast",S883)),"Côte d'Ivoire",
ISNUMBER(SEARCH("Korea Republic",S883)),"South Korea",
ISNUMBER(SEARCH("Germany FR",S883)),"FR Germany",
ISNUMBER(SEARCH("West Germany",S883)),"FR Germany",
ISNUMBER(SEARCH("Germany DR",S883)),"DR Germany",
ISNUMBER(SEARCH("Korea DPR",S883)),"North Korea",
ISNUMBER(SEARCH("China PR",S883)),"China",
ISNUMBER(SEARCH("IR Iran",S883)),"Iran",
ISNUMBER(SEARCH("Congo DR",S883)),"Democratic Republic of the Congo",
ISNUMBER(SEARCH("DR Congo",S883)),"Democratic Republic of the Congo",
ISNUMBER(SEARCH("German DR",S883)),"DR Germany",
ISNUMBER(SEARCH("rn""&gt;United Arab Emirates",S883)),"United Arab Emirates",
ISNUMBER(SEARCH("rn""&gt;Republic of Ireland",S883)),"Ireland",
ISNUMBER(SEARCH("rn""&gt;Bosnia and Herzegovina",S883)),"Bosnia and Herzegovina",
ISNUMBER(SEARCH("rn""&gt;Trinidad and Tobago",S883)),"Trinidad and Tobago",
ISNUMBER(SEARCH("rn""&gt;Serbia and Montenegro",S883)),"Serbia and Montenegro",
ISNUMBER(SEARCH(_xlfn.UNICHAR(65533),S883)),"Côte d'Ivoire",
TRUE,""
)</f>
        <v/>
      </c>
      <c r="W883" s="30" t="str">
        <f t="shared" si="77"/>
        <v>Italy</v>
      </c>
      <c r="Z883" s="40" t="str">
        <v>Kaliningrad Stadium</v>
      </c>
      <c r="AA883" s="40" t="str" cm="1">
        <f t="array" ref="AA883">IFERROR(_xlfn.XLOOKUP(Z883,_xlfn.ANCHORARRAY(Z$31),AA$31:AA$37),Z883)</f>
        <v>Kaliningrad Stadium</v>
      </c>
      <c r="AB883" s="42" t="str">
        <v>Kaliningrad</v>
      </c>
      <c r="AC883" s="89" t="str">
        <f t="shared" si="78"/>
        <v>Kaliningrad</v>
      </c>
      <c r="AE883" s="42">
        <v>2014</v>
      </c>
      <c r="AK883" s="42">
        <v>1</v>
      </c>
      <c r="AL883" s="42">
        <v>0</v>
      </c>
      <c r="AW883" s="89" t="str">
        <v>GROUP_STAGE</v>
      </c>
      <c r="BE883" s="43" t="str">
        <f>IF(OR(DATA_CLEANED!AL874="",DATA_CLEANED!AM874=""),"MANQUANT",IF(OR(NOT(ISNUMBER(DATA_CLEANED!AL874)),NOT(ISNUMBER(DATA_CLEANED!AM874))),"ENTREE INVALIDE",IF(OR(DATA_CLEANED!AL874&lt;0,DATA_CLEANED!AM874&lt;0),"SCORE NEGATIF","OK")))</f>
        <v>OK</v>
      </c>
      <c r="BF883" s="43" t="str">
        <f>IF(DATA_CLEANED!AK874&lt;&gt;DATA_CLEANED!AN874,"OK","ERREUR")</f>
        <v>OK</v>
      </c>
      <c r="BG883" s="43" t="str">
        <f>IF(DATA_CLEANED!AL874&gt;DATA_CLEANED!AM874,DATA_CLEANED!AK874,IF(AND(DATA_QUALITE!W5360="-",DATA_CLEANED!AM874=DATA_CLEANED!AL874),"MATCH NUL",IF(AND(DATA_QUALITE!V5360="-",DATA_QUALITE!U5360="AUCUNE"),DATA_QUALITE!T5360,IF(DATA_QUALITE!V5360&lt;&gt;"-",DATA_QUALITE!V5360,DATA_CLEANED!AN874))))</f>
        <v>MATCH NUL</v>
      </c>
      <c r="BH883" s="103" t="str">
        <f>IF(AND(BG883="MATCH NUL",DATA_CLEANED!AO874="-"),"MATCH_NUL",IF(ISNUMBER(SEARCH("win on penalties",W5360)),"WIN_BY_PENALTY",IF(ISNUMBER(SEARCH("win after extra time",W5360)),"WIN_BY_EXTRA_TIME",IF(ISNUMBER(SEARCH("Golden Goal",W5360)),"WIN_BY_GOLDEN_GOAL","WIN_BY_SCORE"))))</f>
        <v>MATCH_NUL</v>
      </c>
      <c r="BI883" s="99" t="str">
        <f>IF(OR(BG883=DATA_CLEANED!AK874,BG883=DATA_CLEANED!AN874,BG883="MATCH NUL"),"OK","ERREUR")</f>
        <v>OK</v>
      </c>
    </row>
    <row r="884" spans="2:61">
      <c r="B884" s="75">
        <v>447</v>
      </c>
      <c r="C884" s="15" t="str">
        <v>Piero Hincapié</v>
      </c>
      <c r="D884" s="15">
        <v>24</v>
      </c>
      <c r="E884" s="15" t="str">
        <v>Ecuador</v>
      </c>
      <c r="F884" s="15" t="str">
        <v>CB</v>
      </c>
      <c r="G884" s="15" t="str">
        <v>Arsenal</v>
      </c>
      <c r="H884" s="15">
        <v>3</v>
      </c>
      <c r="I884" s="15" t="str">
        <f t="shared" si="74"/>
        <v>447|Piero Hincapié|24|Ecuador|CB|Arsenal|3</v>
      </c>
      <c r="J884" s="15" t="str">
        <f>IF(COUNTIF(I$438:I884,I884)&gt;1,"DOUBLON","OK")</f>
        <v>OK</v>
      </c>
      <c r="S884" s="30" t="str">
        <v>France</v>
      </c>
      <c r="T884" s="30" t="str">
        <f t="shared" si="75"/>
        <v>OK</v>
      </c>
      <c r="U884" s="30" t="str">
        <f t="shared" si="76"/>
        <v>-</v>
      </c>
      <c r="V884" s="30" t="str" cm="1">
        <f t="array" ref="V884">_xlfn.IFS(
ISNUMBER(SEARCH("USA",S884)),"United States",
ISNUMBER(SEARCH("Republic of Korea",S884)),"South Korea",
ISNUMBER(SEARCH("Cape Verde",S884)),"Cabo Verde",
ISNUMBER(SEARCH("Czechia",S884)),"Czech Republic",
ISNUMBER(SEARCH("Türkiye",S884)),"Turkey",
ISNUMBER(SEARCH("Ivory Coast",S884)),"Côte d'Ivoire",
ISNUMBER(SEARCH("Korea Republic",S884)),"South Korea",
ISNUMBER(SEARCH("Germany FR",S884)),"FR Germany",
ISNUMBER(SEARCH("West Germany",S884)),"FR Germany",
ISNUMBER(SEARCH("Germany DR",S884)),"DR Germany",
ISNUMBER(SEARCH("Korea DPR",S884)),"North Korea",
ISNUMBER(SEARCH("China PR",S884)),"China",
ISNUMBER(SEARCH("IR Iran",S884)),"Iran",
ISNUMBER(SEARCH("Congo DR",S884)),"Democratic Republic of the Congo",
ISNUMBER(SEARCH("DR Congo",S884)),"Democratic Republic of the Congo",
ISNUMBER(SEARCH("German DR",S884)),"DR Germany",
ISNUMBER(SEARCH("rn""&gt;United Arab Emirates",S884)),"United Arab Emirates",
ISNUMBER(SEARCH("rn""&gt;Republic of Ireland",S884)),"Ireland",
ISNUMBER(SEARCH("rn""&gt;Bosnia and Herzegovina",S884)),"Bosnia and Herzegovina",
ISNUMBER(SEARCH("rn""&gt;Trinidad and Tobago",S884)),"Trinidad and Tobago",
ISNUMBER(SEARCH("rn""&gt;Serbia and Montenegro",S884)),"Serbia and Montenegro",
ISNUMBER(SEARCH(_xlfn.UNICHAR(65533),S884)),"Côte d'Ivoire",
TRUE,""
)</f>
        <v/>
      </c>
      <c r="W884" s="30" t="str">
        <f t="shared" si="77"/>
        <v>France</v>
      </c>
      <c r="Z884" s="40" t="str">
        <v>Samara Arena</v>
      </c>
      <c r="AA884" s="40" t="str" cm="1">
        <f t="array" ref="AA884">IFERROR(_xlfn.XLOOKUP(Z884,_xlfn.ANCHORARRAY(Z$31),AA$31:AA$37),Z884)</f>
        <v>Samara Arena</v>
      </c>
      <c r="AB884" s="42" t="str">
        <v>Samara</v>
      </c>
      <c r="AC884" s="89" t="str">
        <f t="shared" si="78"/>
        <v>Samara</v>
      </c>
      <c r="AE884" s="42">
        <v>2014</v>
      </c>
      <c r="AK884" s="42">
        <v>1</v>
      </c>
      <c r="AL884" s="42">
        <v>0</v>
      </c>
      <c r="AW884" s="89" t="str">
        <v>GROUP_STAGE</v>
      </c>
      <c r="BE884" s="43" t="str">
        <f>IF(OR(DATA_CLEANED!AL875="",DATA_CLEANED!AM875=""),"MANQUANT",IF(OR(NOT(ISNUMBER(DATA_CLEANED!AL875)),NOT(ISNUMBER(DATA_CLEANED!AM875))),"ENTREE INVALIDE",IF(OR(DATA_CLEANED!AL875&lt;0,DATA_CLEANED!AM875&lt;0),"SCORE NEGATIF","OK")))</f>
        <v>OK</v>
      </c>
      <c r="BF884" s="43" t="str">
        <f>IF(DATA_CLEANED!AK875&lt;&gt;DATA_CLEANED!AN875,"OK","ERREUR")</f>
        <v>OK</v>
      </c>
      <c r="BG884" s="43" t="str">
        <f>IF(DATA_CLEANED!AL875&gt;DATA_CLEANED!AM875,DATA_CLEANED!AK875,IF(AND(DATA_QUALITE!W5361="-",DATA_CLEANED!AM875=DATA_CLEANED!AL875),"MATCH NUL",IF(AND(DATA_QUALITE!V5361="-",DATA_QUALITE!U5361="AUCUNE"),DATA_QUALITE!T5361,IF(DATA_QUALITE!V5361&lt;&gt;"-",DATA_QUALITE!V5361,DATA_CLEANED!AN875))))</f>
        <v>Peru</v>
      </c>
      <c r="BH884" s="103" t="str">
        <f>IF(AND(BG884="MATCH NUL",DATA_CLEANED!AO875="-"),"MATCH_NUL",IF(ISNUMBER(SEARCH("win on penalties",W5361)),"WIN_BY_PENALTY",IF(ISNUMBER(SEARCH("win after extra time",W5361)),"WIN_BY_EXTRA_TIME",IF(ISNUMBER(SEARCH("Golden Goal",W5361)),"WIN_BY_GOLDEN_GOAL","WIN_BY_SCORE"))))</f>
        <v>WIN_BY_SCORE</v>
      </c>
      <c r="BI884" s="99" t="str">
        <f>IF(OR(BG884=DATA_CLEANED!AK875,BG884=DATA_CLEANED!AN875,BG884="MATCH NUL"),"OK","ERREUR")</f>
        <v>OK</v>
      </c>
    </row>
    <row r="885" spans="2:61">
      <c r="B885" s="75">
        <v>448</v>
      </c>
      <c r="C885" s="15" t="str">
        <v>Joel Ordóñez</v>
      </c>
      <c r="D885" s="15">
        <v>22</v>
      </c>
      <c r="E885" s="15" t="str">
        <v>Ecuador</v>
      </c>
      <c r="F885" s="15" t="str">
        <v>CB</v>
      </c>
      <c r="G885" s="15" t="str">
        <v>Club Brugge</v>
      </c>
      <c r="H885" s="15">
        <v>4</v>
      </c>
      <c r="I885" s="15" t="str">
        <f t="shared" si="74"/>
        <v>448|Joel Ordóñez|22|Ecuador|CB|Club Brugge|4</v>
      </c>
      <c r="J885" s="15" t="str">
        <f>IF(COUNTIF(I$438:I885,I885)&gt;1,"DOUBLON","OK")</f>
        <v>OK</v>
      </c>
      <c r="S885" s="30" t="str">
        <v>Italy</v>
      </c>
      <c r="T885" s="30" t="str">
        <f t="shared" si="75"/>
        <v>OK</v>
      </c>
      <c r="U885" s="30" t="str">
        <f t="shared" si="76"/>
        <v>-</v>
      </c>
      <c r="V885" s="30" t="str" cm="1">
        <f t="array" ref="V885">_xlfn.IFS(
ISNUMBER(SEARCH("USA",S885)),"United States",
ISNUMBER(SEARCH("Republic of Korea",S885)),"South Korea",
ISNUMBER(SEARCH("Cape Verde",S885)),"Cabo Verde",
ISNUMBER(SEARCH("Czechia",S885)),"Czech Republic",
ISNUMBER(SEARCH("Türkiye",S885)),"Turkey",
ISNUMBER(SEARCH("Ivory Coast",S885)),"Côte d'Ivoire",
ISNUMBER(SEARCH("Korea Republic",S885)),"South Korea",
ISNUMBER(SEARCH("Germany FR",S885)),"FR Germany",
ISNUMBER(SEARCH("West Germany",S885)),"FR Germany",
ISNUMBER(SEARCH("Germany DR",S885)),"DR Germany",
ISNUMBER(SEARCH("Korea DPR",S885)),"North Korea",
ISNUMBER(SEARCH("China PR",S885)),"China",
ISNUMBER(SEARCH("IR Iran",S885)),"Iran",
ISNUMBER(SEARCH("Congo DR",S885)),"Democratic Republic of the Congo",
ISNUMBER(SEARCH("DR Congo",S885)),"Democratic Republic of the Congo",
ISNUMBER(SEARCH("German DR",S885)),"DR Germany",
ISNUMBER(SEARCH("rn""&gt;United Arab Emirates",S885)),"United Arab Emirates",
ISNUMBER(SEARCH("rn""&gt;Republic of Ireland",S885)),"Ireland",
ISNUMBER(SEARCH("rn""&gt;Bosnia and Herzegovina",S885)),"Bosnia and Herzegovina",
ISNUMBER(SEARCH("rn""&gt;Trinidad and Tobago",S885)),"Trinidad and Tobago",
ISNUMBER(SEARCH("rn""&gt;Serbia and Montenegro",S885)),"Serbia and Montenegro",
ISNUMBER(SEARCH(_xlfn.UNICHAR(65533),S885)),"Côte d'Ivoire",
TRUE,""
)</f>
        <v/>
      </c>
      <c r="W885" s="30" t="str">
        <f t="shared" si="77"/>
        <v>Italy</v>
      </c>
      <c r="Z885" s="40" t="str">
        <v>Luzhniki Stadium</v>
      </c>
      <c r="AA885" s="40" t="str" cm="1">
        <f t="array" ref="AA885">IFERROR(_xlfn.XLOOKUP(Z885,_xlfn.ANCHORARRAY(Z$31),AA$31:AA$37),Z885)</f>
        <v>Luzhniki Stadium</v>
      </c>
      <c r="AB885" s="42" t="str">
        <v>Moscow</v>
      </c>
      <c r="AC885" s="89" t="str">
        <f t="shared" si="78"/>
        <v>Moscow</v>
      </c>
      <c r="AE885" s="42">
        <v>2014</v>
      </c>
      <c r="AK885" s="42">
        <v>2</v>
      </c>
      <c r="AL885" s="42">
        <v>4</v>
      </c>
      <c r="AW885" s="89" t="str">
        <v>GROUP_STAGE</v>
      </c>
      <c r="BE885" s="43" t="str">
        <f>IF(OR(DATA_CLEANED!AL876="",DATA_CLEANED!AM876=""),"MANQUANT",IF(OR(NOT(ISNUMBER(DATA_CLEANED!AL876)),NOT(ISNUMBER(DATA_CLEANED!AM876))),"ENTREE INVALIDE",IF(OR(DATA_CLEANED!AL876&lt;0,DATA_CLEANED!AM876&lt;0),"SCORE NEGATIF","OK")))</f>
        <v>OK</v>
      </c>
      <c r="BF885" s="43" t="str">
        <f>IF(DATA_CLEANED!AK876&lt;&gt;DATA_CLEANED!AN876,"OK","ERREUR")</f>
        <v>OK</v>
      </c>
      <c r="BG885" s="43" t="str">
        <f>IF(DATA_CLEANED!AL876&gt;DATA_CLEANED!AM876,DATA_CLEANED!AK876,IF(AND(DATA_QUALITE!W5362="-",DATA_CLEANED!AM876=DATA_CLEANED!AL876),"MATCH NUL",IF(AND(DATA_QUALITE!V5362="-",DATA_QUALITE!U5362="AUCUNE"),DATA_QUALITE!T5362,IF(DATA_QUALITE!V5362&lt;&gt;"-",DATA_QUALITE!V5362,DATA_CLEANED!AN876))))</f>
        <v>MATCH NUL</v>
      </c>
      <c r="BH885" s="103" t="str">
        <f>IF(AND(BG885="MATCH NUL",DATA_CLEANED!AO876="-"),"MATCH_NUL",IF(ISNUMBER(SEARCH("win on penalties",W5362)),"WIN_BY_PENALTY",IF(ISNUMBER(SEARCH("win after extra time",W5362)),"WIN_BY_EXTRA_TIME",IF(ISNUMBER(SEARCH("Golden Goal",W5362)),"WIN_BY_GOLDEN_GOAL","WIN_BY_SCORE"))))</f>
        <v>MATCH_NUL</v>
      </c>
      <c r="BI885" s="99" t="str">
        <f>IF(OR(BG885=DATA_CLEANED!AK876,BG885=DATA_CLEANED!AN876,BG885="MATCH NUL"),"OK","ERREUR")</f>
        <v>OK</v>
      </c>
    </row>
    <row r="886" spans="2:61">
      <c r="B886" s="75">
        <v>449</v>
      </c>
      <c r="C886" s="15" t="str">
        <v>Willian Pacho</v>
      </c>
      <c r="D886" s="15">
        <v>24</v>
      </c>
      <c r="E886" s="15" t="str">
        <v>Ecuador</v>
      </c>
      <c r="F886" s="15" t="str">
        <v>CB</v>
      </c>
      <c r="G886" s="15" t="str">
        <v>Paris Saint-Germain</v>
      </c>
      <c r="H886" s="15">
        <v>6</v>
      </c>
      <c r="I886" s="15" t="str">
        <f t="shared" si="74"/>
        <v>449|Willian Pacho|24|Ecuador|CB|Paris Saint-Germain|6</v>
      </c>
      <c r="J886" s="15" t="str">
        <f>IF(COUNTIF(I$438:I886,I886)&gt;1,"DOUBLON","OK")</f>
        <v>OK</v>
      </c>
      <c r="S886" s="30" t="str">
        <v>France</v>
      </c>
      <c r="T886" s="30" t="str">
        <f t="shared" si="75"/>
        <v>OK</v>
      </c>
      <c r="U886" s="30" t="str">
        <f t="shared" si="76"/>
        <v>-</v>
      </c>
      <c r="V886" s="30" t="str" cm="1">
        <f t="array" ref="V886">_xlfn.IFS(
ISNUMBER(SEARCH("USA",S886)),"United States",
ISNUMBER(SEARCH("Republic of Korea",S886)),"South Korea",
ISNUMBER(SEARCH("Cape Verde",S886)),"Cabo Verde",
ISNUMBER(SEARCH("Czechia",S886)),"Czech Republic",
ISNUMBER(SEARCH("Türkiye",S886)),"Turkey",
ISNUMBER(SEARCH("Ivory Coast",S886)),"Côte d'Ivoire",
ISNUMBER(SEARCH("Korea Republic",S886)),"South Korea",
ISNUMBER(SEARCH("Germany FR",S886)),"FR Germany",
ISNUMBER(SEARCH("West Germany",S886)),"FR Germany",
ISNUMBER(SEARCH("Germany DR",S886)),"DR Germany",
ISNUMBER(SEARCH("Korea DPR",S886)),"North Korea",
ISNUMBER(SEARCH("China PR",S886)),"China",
ISNUMBER(SEARCH("IR Iran",S886)),"Iran",
ISNUMBER(SEARCH("Congo DR",S886)),"Democratic Republic of the Congo",
ISNUMBER(SEARCH("DR Congo",S886)),"Democratic Republic of the Congo",
ISNUMBER(SEARCH("German DR",S886)),"DR Germany",
ISNUMBER(SEARCH("rn""&gt;United Arab Emirates",S886)),"United Arab Emirates",
ISNUMBER(SEARCH("rn""&gt;Republic of Ireland",S886)),"Ireland",
ISNUMBER(SEARCH("rn""&gt;Bosnia and Herzegovina",S886)),"Bosnia and Herzegovina",
ISNUMBER(SEARCH("rn""&gt;Trinidad and Tobago",S886)),"Trinidad and Tobago",
ISNUMBER(SEARCH("rn""&gt;Serbia and Montenegro",S886)),"Serbia and Montenegro",
ISNUMBER(SEARCH(_xlfn.UNICHAR(65533),S886)),"Côte d'Ivoire",
TRUE,""
)</f>
        <v/>
      </c>
      <c r="W886" s="30" t="str">
        <f t="shared" si="77"/>
        <v>France</v>
      </c>
      <c r="Z886" s="40" t="str">
        <v>Rostov Arena</v>
      </c>
      <c r="AA886" s="40" t="str" cm="1">
        <f t="array" ref="AA886">IFERROR(_xlfn.XLOOKUP(Z886,_xlfn.ANCHORARRAY(Z$31),AA$31:AA$37),Z886)</f>
        <v>Rostov Arena</v>
      </c>
      <c r="AB886" s="42" t="str">
        <v>Rostov-on-Don</v>
      </c>
      <c r="AC886" s="89" t="str">
        <f t="shared" si="78"/>
        <v>Rostov-on-Don</v>
      </c>
      <c r="AE886" s="42">
        <v>2014</v>
      </c>
      <c r="AK886" s="42">
        <v>2</v>
      </c>
      <c r="AL886" s="42">
        <v>2</v>
      </c>
      <c r="AW886" s="89" t="str">
        <v>GROUP_STAGE</v>
      </c>
      <c r="BE886" s="43" t="str">
        <f>IF(OR(DATA_CLEANED!AL877="",DATA_CLEANED!AM877=""),"MANQUANT",IF(OR(NOT(ISNUMBER(DATA_CLEANED!AL877)),NOT(ISNUMBER(DATA_CLEANED!AM877))),"ENTREE INVALIDE",IF(OR(DATA_CLEANED!AL877&lt;0,DATA_CLEANED!AM877&lt;0),"SCORE NEGATIF","OK")))</f>
        <v>OK</v>
      </c>
      <c r="BF886" s="43" t="str">
        <f>IF(DATA_CLEANED!AK877&lt;&gt;DATA_CLEANED!AN877,"OK","ERREUR")</f>
        <v>OK</v>
      </c>
      <c r="BG886" s="43" t="str">
        <f>IF(DATA_CLEANED!AL877&gt;DATA_CLEANED!AM877,DATA_CLEANED!AK877,IF(AND(DATA_QUALITE!W5363="-",DATA_CLEANED!AM877=DATA_CLEANED!AL877),"MATCH NUL",IF(AND(DATA_QUALITE!V5363="-",DATA_QUALITE!U5363="AUCUNE"),DATA_QUALITE!T5363,IF(DATA_QUALITE!V5363&lt;&gt;"-",DATA_QUALITE!V5363,DATA_CLEANED!AN877))))</f>
        <v>Croatia</v>
      </c>
      <c r="BH886" s="103" t="str">
        <f>IF(AND(BG886="MATCH NUL",DATA_CLEANED!AO877="-"),"MATCH_NUL",IF(ISNUMBER(SEARCH("win on penalties",W5363)),"WIN_BY_PENALTY",IF(ISNUMBER(SEARCH("win after extra time",W5363)),"WIN_BY_EXTRA_TIME",IF(ISNUMBER(SEARCH("Golden Goal",W5363)),"WIN_BY_GOLDEN_GOAL","WIN_BY_SCORE"))))</f>
        <v>WIN_BY_SCORE</v>
      </c>
      <c r="BI886" s="99" t="str">
        <f>IF(OR(BG886=DATA_CLEANED!AK877,BG886=DATA_CLEANED!AN877,BG886="MATCH NUL"),"OK","ERREUR")</f>
        <v>OK</v>
      </c>
    </row>
    <row r="887" spans="2:61">
      <c r="B887" s="75">
        <v>450</v>
      </c>
      <c r="C887" s="15" t="str">
        <v>Jackson Porozo</v>
      </c>
      <c r="D887" s="15">
        <v>25</v>
      </c>
      <c r="E887" s="15" t="str">
        <v>Ecuador</v>
      </c>
      <c r="F887" s="15" t="str">
        <v>CB</v>
      </c>
      <c r="G887" s="15" t="str">
        <v>Tijuana</v>
      </c>
      <c r="H887" s="15">
        <v>25</v>
      </c>
      <c r="I887" s="15" t="str">
        <f t="shared" ref="I887:I950" si="79">B887&amp;"|"&amp;C887&amp;"|"&amp;D887&amp;"|"&amp;E887&amp;"|"&amp;F887&amp;"|"&amp;G887&amp;"|"&amp;H887</f>
        <v>450|Jackson Porozo|25|Ecuador|CB|Tijuana|25</v>
      </c>
      <c r="J887" s="15" t="str">
        <f>IF(COUNTIF(I$438:I887,I887)&gt;1,"DOUBLON","OK")</f>
        <v>OK</v>
      </c>
      <c r="S887" s="30" t="str">
        <v>Italy</v>
      </c>
      <c r="T887" s="30" t="str">
        <f t="shared" si="75"/>
        <v>OK</v>
      </c>
      <c r="U887" s="30" t="str">
        <f t="shared" si="76"/>
        <v>-</v>
      </c>
      <c r="V887" s="30" t="str" cm="1">
        <f t="array" ref="V887">_xlfn.IFS(
ISNUMBER(SEARCH("USA",S887)),"United States",
ISNUMBER(SEARCH("Republic of Korea",S887)),"South Korea",
ISNUMBER(SEARCH("Cape Verde",S887)),"Cabo Verde",
ISNUMBER(SEARCH("Czechia",S887)),"Czech Republic",
ISNUMBER(SEARCH("Türkiye",S887)),"Turkey",
ISNUMBER(SEARCH("Ivory Coast",S887)),"Côte d'Ivoire",
ISNUMBER(SEARCH("Korea Republic",S887)),"South Korea",
ISNUMBER(SEARCH("Germany FR",S887)),"FR Germany",
ISNUMBER(SEARCH("West Germany",S887)),"FR Germany",
ISNUMBER(SEARCH("Germany DR",S887)),"DR Germany",
ISNUMBER(SEARCH("Korea DPR",S887)),"North Korea",
ISNUMBER(SEARCH("China PR",S887)),"China",
ISNUMBER(SEARCH("IR Iran",S887)),"Iran",
ISNUMBER(SEARCH("Congo DR",S887)),"Democratic Republic of the Congo",
ISNUMBER(SEARCH("DR Congo",S887)),"Democratic Republic of the Congo",
ISNUMBER(SEARCH("German DR",S887)),"DR Germany",
ISNUMBER(SEARCH("rn""&gt;United Arab Emirates",S887)),"United Arab Emirates",
ISNUMBER(SEARCH("rn""&gt;Republic of Ireland",S887)),"Ireland",
ISNUMBER(SEARCH("rn""&gt;Bosnia and Herzegovina",S887)),"Bosnia and Herzegovina",
ISNUMBER(SEARCH("rn""&gt;Trinidad and Tobago",S887)),"Trinidad and Tobago",
ISNUMBER(SEARCH("rn""&gt;Serbia and Montenegro",S887)),"Serbia and Montenegro",
ISNUMBER(SEARCH(_xlfn.UNICHAR(65533),S887)),"Côte d'Ivoire",
TRUE,""
)</f>
        <v/>
      </c>
      <c r="W887" s="30" t="str">
        <f t="shared" si="77"/>
        <v>Italy</v>
      </c>
      <c r="Z887" s="40" t="str">
        <v>Nizhny Novgorod Stadium</v>
      </c>
      <c r="AA887" s="40" t="str" cm="1">
        <f t="array" ref="AA887">IFERROR(_xlfn.XLOOKUP(Z887,_xlfn.ANCHORARRAY(Z$31),AA$31:AA$37),Z887)</f>
        <v>Nizhny Novgorod Stadium</v>
      </c>
      <c r="AB887" s="42" t="str">
        <v>Nizhny Novgorod</v>
      </c>
      <c r="AC887" s="89" t="str">
        <f t="shared" si="78"/>
        <v>Nizhny Novgorod</v>
      </c>
      <c r="AE887" s="42">
        <v>2014</v>
      </c>
      <c r="AK887" s="42">
        <v>0</v>
      </c>
      <c r="AL887" s="42">
        <v>3</v>
      </c>
      <c r="AW887" s="89" t="str">
        <v>GROUP_STAGE</v>
      </c>
      <c r="BE887" s="43" t="str">
        <f>IF(OR(DATA_CLEANED!AL878="",DATA_CLEANED!AM878=""),"MANQUANT",IF(OR(NOT(ISNUMBER(DATA_CLEANED!AL878)),NOT(ISNUMBER(DATA_CLEANED!AM878))),"ENTREE INVALIDE",IF(OR(DATA_CLEANED!AL878&lt;0,DATA_CLEANED!AM878&lt;0),"SCORE NEGATIF","OK")))</f>
        <v>OK</v>
      </c>
      <c r="BF887" s="43" t="str">
        <f>IF(DATA_CLEANED!AK878&lt;&gt;DATA_CLEANED!AN878,"OK","ERREUR")</f>
        <v>OK</v>
      </c>
      <c r="BG887" s="43" t="str">
        <f>IF(DATA_CLEANED!AL878&gt;DATA_CLEANED!AM878,DATA_CLEANED!AK878,IF(AND(DATA_QUALITE!W5364="-",DATA_CLEANED!AM878=DATA_CLEANED!AL878),"MATCH NUL",IF(AND(DATA_QUALITE!V5364="-",DATA_QUALITE!U5364="AUCUNE"),DATA_QUALITE!T5364,IF(DATA_QUALITE!V5364&lt;&gt;"-",DATA_QUALITE!V5364,DATA_CLEANED!AN878))))</f>
        <v>Argentina</v>
      </c>
      <c r="BH887" s="103" t="str">
        <f>IF(AND(BG887="MATCH NUL",DATA_CLEANED!AO878="-"),"MATCH_NUL",IF(ISNUMBER(SEARCH("win on penalties",W5364)),"WIN_BY_PENALTY",IF(ISNUMBER(SEARCH("win after extra time",W5364)),"WIN_BY_EXTRA_TIME",IF(ISNUMBER(SEARCH("Golden Goal",W5364)),"WIN_BY_GOLDEN_GOAL","WIN_BY_SCORE"))))</f>
        <v>WIN_BY_SCORE</v>
      </c>
      <c r="BI887" s="99" t="str">
        <f>IF(OR(BG887=DATA_CLEANED!AK878,BG887=DATA_CLEANED!AN878,BG887="MATCH NUL"),"OK","ERREUR")</f>
        <v>OK</v>
      </c>
    </row>
    <row r="888" spans="2:61">
      <c r="B888" s="75">
        <v>451</v>
      </c>
      <c r="C888" s="15" t="str">
        <v>Pervis Estupiñán</v>
      </c>
      <c r="D888" s="15">
        <v>28</v>
      </c>
      <c r="E888" s="15" t="str">
        <v>Ecuador</v>
      </c>
      <c r="F888" s="15" t="str">
        <v>LB</v>
      </c>
      <c r="G888" s="15" t="str">
        <v>AC Milan</v>
      </c>
      <c r="H888" s="15">
        <v>7</v>
      </c>
      <c r="I888" s="15" t="str">
        <f t="shared" si="79"/>
        <v>451|Pervis Estupiñán|28|Ecuador|LB|AC Milan|7</v>
      </c>
      <c r="J888" s="15" t="str">
        <f>IF(COUNTIF(I$438:I888,I888)&gt;1,"DOUBLON","OK")</f>
        <v>OK</v>
      </c>
      <c r="S888" s="30" t="str">
        <v>France</v>
      </c>
      <c r="T888" s="30" t="str">
        <f t="shared" si="75"/>
        <v>OK</v>
      </c>
      <c r="U888" s="30" t="str">
        <f t="shared" si="76"/>
        <v>-</v>
      </c>
      <c r="V888" s="30" t="str" cm="1">
        <f t="array" ref="V888">_xlfn.IFS(
ISNUMBER(SEARCH("USA",S888)),"United States",
ISNUMBER(SEARCH("Republic of Korea",S888)),"South Korea",
ISNUMBER(SEARCH("Cape Verde",S888)),"Cabo Verde",
ISNUMBER(SEARCH("Czechia",S888)),"Czech Republic",
ISNUMBER(SEARCH("Türkiye",S888)),"Turkey",
ISNUMBER(SEARCH("Ivory Coast",S888)),"Côte d'Ivoire",
ISNUMBER(SEARCH("Korea Republic",S888)),"South Korea",
ISNUMBER(SEARCH("Germany FR",S888)),"FR Germany",
ISNUMBER(SEARCH("West Germany",S888)),"FR Germany",
ISNUMBER(SEARCH("Germany DR",S888)),"DR Germany",
ISNUMBER(SEARCH("Korea DPR",S888)),"North Korea",
ISNUMBER(SEARCH("China PR",S888)),"China",
ISNUMBER(SEARCH("IR Iran",S888)),"Iran",
ISNUMBER(SEARCH("Congo DR",S888)),"Democratic Republic of the Congo",
ISNUMBER(SEARCH("DR Congo",S888)),"Democratic Republic of the Congo",
ISNUMBER(SEARCH("German DR",S888)),"DR Germany",
ISNUMBER(SEARCH("rn""&gt;United Arab Emirates",S888)),"United Arab Emirates",
ISNUMBER(SEARCH("rn""&gt;Republic of Ireland",S888)),"Ireland",
ISNUMBER(SEARCH("rn""&gt;Bosnia and Herzegovina",S888)),"Bosnia and Herzegovina",
ISNUMBER(SEARCH("rn""&gt;Trinidad and Tobago",S888)),"Trinidad and Tobago",
ISNUMBER(SEARCH("rn""&gt;Serbia and Montenegro",S888)),"Serbia and Montenegro",
ISNUMBER(SEARCH(_xlfn.UNICHAR(65533),S888)),"Côte d'Ivoire",
TRUE,""
)</f>
        <v/>
      </c>
      <c r="W888" s="30" t="str">
        <f t="shared" si="77"/>
        <v>France</v>
      </c>
      <c r="Z888" s="40" t="str">
        <v>Fisht Olympic Stadium</v>
      </c>
      <c r="AA888" s="40" t="str" cm="1">
        <f t="array" ref="AA888">IFERROR(_xlfn.XLOOKUP(Z888,_xlfn.ANCHORARRAY(Z$31),AA$31:AA$37),Z888)</f>
        <v>Fisht Olympic Stadium</v>
      </c>
      <c r="AB888" s="42" t="str">
        <v>Sochi</v>
      </c>
      <c r="AC888" s="89" t="str">
        <f t="shared" si="78"/>
        <v>Sochi</v>
      </c>
      <c r="AE888" s="42">
        <v>2014</v>
      </c>
      <c r="AK888" s="42">
        <v>2</v>
      </c>
      <c r="AL888" s="42">
        <v>0</v>
      </c>
      <c r="AW888" s="89" t="str">
        <v>GROUP_STAGE</v>
      </c>
      <c r="BE888" s="43" t="str">
        <f>IF(OR(DATA_CLEANED!AL879="",DATA_CLEANED!AM879=""),"MANQUANT",IF(OR(NOT(ISNUMBER(DATA_CLEANED!AL879)),NOT(ISNUMBER(DATA_CLEANED!AM879))),"ENTREE INVALIDE",IF(OR(DATA_CLEANED!AL879&lt;0,DATA_CLEANED!AM879&lt;0),"SCORE NEGATIF","OK")))</f>
        <v>OK</v>
      </c>
      <c r="BF888" s="43" t="str">
        <f>IF(DATA_CLEANED!AK879&lt;&gt;DATA_CLEANED!AN879,"OK","ERREUR")</f>
        <v>OK</v>
      </c>
      <c r="BG888" s="43" t="str">
        <f>IF(DATA_CLEANED!AL879&gt;DATA_CLEANED!AM879,DATA_CLEANED!AK879,IF(AND(DATA_QUALITE!W5365="-",DATA_CLEANED!AM879=DATA_CLEANED!AL879),"MATCH NUL",IF(AND(DATA_QUALITE!V5365="-",DATA_QUALITE!U5365="AUCUNE"),DATA_QUALITE!T5365,IF(DATA_QUALITE!V5365&lt;&gt;"-",DATA_QUALITE!V5365,DATA_CLEANED!AN879))))</f>
        <v>South Korea</v>
      </c>
      <c r="BH888" s="103" t="str">
        <f>IF(AND(BG888="MATCH NUL",DATA_CLEANED!AO879="-"),"MATCH_NUL",IF(ISNUMBER(SEARCH("win on penalties",W5365)),"WIN_BY_PENALTY",IF(ISNUMBER(SEARCH("win after extra time",W5365)),"WIN_BY_EXTRA_TIME",IF(ISNUMBER(SEARCH("Golden Goal",W5365)),"WIN_BY_GOLDEN_GOAL","WIN_BY_SCORE"))))</f>
        <v>WIN_BY_SCORE</v>
      </c>
      <c r="BI888" s="99" t="str">
        <f>IF(OR(BG888=DATA_CLEANED!AK879,BG888=DATA_CLEANED!AN879,BG888="MATCH NUL"),"OK","ERREUR")</f>
        <v>OK</v>
      </c>
    </row>
    <row r="889" spans="2:61">
      <c r="B889" s="75">
        <v>452</v>
      </c>
      <c r="C889" s="15" t="str">
        <v>Yaimar Medina</v>
      </c>
      <c r="D889" s="15">
        <v>21</v>
      </c>
      <c r="E889" s="15" t="str">
        <v>Ecuador</v>
      </c>
      <c r="F889" s="15" t="str">
        <v>LB</v>
      </c>
      <c r="G889" s="15" t="str">
        <v>Genk</v>
      </c>
      <c r="H889" s="15">
        <v>26</v>
      </c>
      <c r="I889" s="15" t="str">
        <f t="shared" si="79"/>
        <v>452|Yaimar Medina|21|Ecuador|LB|Genk|26</v>
      </c>
      <c r="J889" s="15" t="str">
        <f>IF(COUNTIF(I$438:I889,I889)&gt;1,"DOUBLON","OK")</f>
        <v>OK</v>
      </c>
      <c r="S889" s="30" t="str">
        <v>Italy</v>
      </c>
      <c r="T889" s="30" t="str">
        <f t="shared" si="75"/>
        <v>OK</v>
      </c>
      <c r="U889" s="30" t="str">
        <f t="shared" si="76"/>
        <v>-</v>
      </c>
      <c r="V889" s="30" t="str" cm="1">
        <f t="array" ref="V889">_xlfn.IFS(
ISNUMBER(SEARCH("USA",S889)),"United States",
ISNUMBER(SEARCH("Republic of Korea",S889)),"South Korea",
ISNUMBER(SEARCH("Cape Verde",S889)),"Cabo Verde",
ISNUMBER(SEARCH("Czechia",S889)),"Czech Republic",
ISNUMBER(SEARCH("Türkiye",S889)),"Turkey",
ISNUMBER(SEARCH("Ivory Coast",S889)),"Côte d'Ivoire",
ISNUMBER(SEARCH("Korea Republic",S889)),"South Korea",
ISNUMBER(SEARCH("Germany FR",S889)),"FR Germany",
ISNUMBER(SEARCH("West Germany",S889)),"FR Germany",
ISNUMBER(SEARCH("Germany DR",S889)),"DR Germany",
ISNUMBER(SEARCH("Korea DPR",S889)),"North Korea",
ISNUMBER(SEARCH("China PR",S889)),"China",
ISNUMBER(SEARCH("IR Iran",S889)),"Iran",
ISNUMBER(SEARCH("Congo DR",S889)),"Democratic Republic of the Congo",
ISNUMBER(SEARCH("DR Congo",S889)),"Democratic Republic of the Congo",
ISNUMBER(SEARCH("German DR",S889)),"DR Germany",
ISNUMBER(SEARCH("rn""&gt;United Arab Emirates",S889)),"United Arab Emirates",
ISNUMBER(SEARCH("rn""&gt;Republic of Ireland",S889)),"Ireland",
ISNUMBER(SEARCH("rn""&gt;Bosnia and Herzegovina",S889)),"Bosnia and Herzegovina",
ISNUMBER(SEARCH("rn""&gt;Trinidad and Tobago",S889)),"Trinidad and Tobago",
ISNUMBER(SEARCH("rn""&gt;Serbia and Montenegro",S889)),"Serbia and Montenegro",
ISNUMBER(SEARCH(_xlfn.UNICHAR(65533),S889)),"Côte d'Ivoire",
TRUE,""
)</f>
        <v/>
      </c>
      <c r="W889" s="30" t="str">
        <f t="shared" si="77"/>
        <v>Italy</v>
      </c>
      <c r="Z889" s="40" t="str">
        <v>Volgograd Arena</v>
      </c>
      <c r="AA889" s="40" t="str" cm="1">
        <f t="array" ref="AA889">IFERROR(_xlfn.XLOOKUP(Z889,_xlfn.ANCHORARRAY(Z$31),AA$31:AA$37),Z889)</f>
        <v>Volgograd Arena</v>
      </c>
      <c r="AB889" s="42" t="str">
        <v>Volgograd</v>
      </c>
      <c r="AC889" s="89" t="str">
        <f t="shared" si="78"/>
        <v>Volgograd</v>
      </c>
      <c r="AE889" s="42">
        <v>2014</v>
      </c>
      <c r="AK889" s="42">
        <v>1</v>
      </c>
      <c r="AL889" s="42">
        <v>4</v>
      </c>
      <c r="AW889" s="89" t="str">
        <v>GROUP_STAGE</v>
      </c>
      <c r="BE889" s="43" t="str">
        <f>IF(OR(DATA_CLEANED!AL880="",DATA_CLEANED!AM880=""),"MANQUANT",IF(OR(NOT(ISNUMBER(DATA_CLEANED!AL880)),NOT(ISNUMBER(DATA_CLEANED!AM880))),"ENTREE INVALIDE",IF(OR(DATA_CLEANED!AL880&lt;0,DATA_CLEANED!AM880&lt;0),"SCORE NEGATIF","OK")))</f>
        <v>OK</v>
      </c>
      <c r="BF889" s="43" t="str">
        <f>IF(DATA_CLEANED!AK880&lt;&gt;DATA_CLEANED!AN880,"OK","ERREUR")</f>
        <v>OK</v>
      </c>
      <c r="BG889" s="43" t="str">
        <f>IF(DATA_CLEANED!AL880&gt;DATA_CLEANED!AM880,DATA_CLEANED!AK880,IF(AND(DATA_QUALITE!W5366="-",DATA_CLEANED!AM880=DATA_CLEANED!AL880),"MATCH NUL",IF(AND(DATA_QUALITE!V5366="-",DATA_QUALITE!U5366="AUCUNE"),DATA_QUALITE!T5366,IF(DATA_QUALITE!V5366&lt;&gt;"-",DATA_QUALITE!V5366,DATA_CLEANED!AN880))))</f>
        <v>Sweden</v>
      </c>
      <c r="BH889" s="103" t="str">
        <f>IF(AND(BG889="MATCH NUL",DATA_CLEANED!AO880="-"),"MATCH_NUL",IF(ISNUMBER(SEARCH("win on penalties",W5366)),"WIN_BY_PENALTY",IF(ISNUMBER(SEARCH("win after extra time",W5366)),"WIN_BY_EXTRA_TIME",IF(ISNUMBER(SEARCH("Golden Goal",W5366)),"WIN_BY_GOLDEN_GOAL","WIN_BY_SCORE"))))</f>
        <v>WIN_BY_SCORE</v>
      </c>
      <c r="BI889" s="99" t="str">
        <f>IF(OR(BG889=DATA_CLEANED!AK880,BG889=DATA_CLEANED!AN880,BG889="MATCH NUL"),"OK","ERREUR")</f>
        <v>OK</v>
      </c>
    </row>
    <row r="890" spans="2:61">
      <c r="B890" s="75">
        <v>453</v>
      </c>
      <c r="C890" s="15" t="str">
        <v>Ángelo Preciado</v>
      </c>
      <c r="D890" s="15">
        <v>28</v>
      </c>
      <c r="E890" s="15" t="str">
        <v>Ecuador</v>
      </c>
      <c r="F890" s="15" t="str">
        <v>RB</v>
      </c>
      <c r="G890" s="15" t="str">
        <v>Atlético Mineiro</v>
      </c>
      <c r="H890" s="15">
        <v>17</v>
      </c>
      <c r="I890" s="15" t="str">
        <f t="shared" si="79"/>
        <v>453|Ángelo Preciado|28|Ecuador|RB|Atlético Mineiro|17</v>
      </c>
      <c r="J890" s="15" t="str">
        <f>IF(COUNTIF(I$438:I890,I890)&gt;1,"DOUBLON","OK")</f>
        <v>OK</v>
      </c>
      <c r="S890" s="30" t="str">
        <v>France</v>
      </c>
      <c r="T890" s="30" t="str">
        <f t="shared" si="75"/>
        <v>OK</v>
      </c>
      <c r="U890" s="30" t="str">
        <f t="shared" si="76"/>
        <v>-</v>
      </c>
      <c r="V890" s="30" t="str" cm="1">
        <f t="array" ref="V890">_xlfn.IFS(
ISNUMBER(SEARCH("USA",S890)),"United States",
ISNUMBER(SEARCH("Republic of Korea",S890)),"South Korea",
ISNUMBER(SEARCH("Cape Verde",S890)),"Cabo Verde",
ISNUMBER(SEARCH("Czechia",S890)),"Czech Republic",
ISNUMBER(SEARCH("Türkiye",S890)),"Turkey",
ISNUMBER(SEARCH("Ivory Coast",S890)),"Côte d'Ivoire",
ISNUMBER(SEARCH("Korea Republic",S890)),"South Korea",
ISNUMBER(SEARCH("Germany FR",S890)),"FR Germany",
ISNUMBER(SEARCH("West Germany",S890)),"FR Germany",
ISNUMBER(SEARCH("Germany DR",S890)),"DR Germany",
ISNUMBER(SEARCH("Korea DPR",S890)),"North Korea",
ISNUMBER(SEARCH("China PR",S890)),"China",
ISNUMBER(SEARCH("IR Iran",S890)),"Iran",
ISNUMBER(SEARCH("Congo DR",S890)),"Democratic Republic of the Congo",
ISNUMBER(SEARCH("DR Congo",S890)),"Democratic Republic of the Congo",
ISNUMBER(SEARCH("German DR",S890)),"DR Germany",
ISNUMBER(SEARCH("rn""&gt;United Arab Emirates",S890)),"United Arab Emirates",
ISNUMBER(SEARCH("rn""&gt;Republic of Ireland",S890)),"Ireland",
ISNUMBER(SEARCH("rn""&gt;Bosnia and Herzegovina",S890)),"Bosnia and Herzegovina",
ISNUMBER(SEARCH("rn""&gt;Trinidad and Tobago",S890)),"Trinidad and Tobago",
ISNUMBER(SEARCH("rn""&gt;Serbia and Montenegro",S890)),"Serbia and Montenegro",
ISNUMBER(SEARCH(_xlfn.UNICHAR(65533),S890)),"Côte d'Ivoire",
TRUE,""
)</f>
        <v/>
      </c>
      <c r="W890" s="30" t="str">
        <f t="shared" si="77"/>
        <v>France</v>
      </c>
      <c r="Z890" s="40" t="str">
        <v>Mordovia Arena</v>
      </c>
      <c r="AA890" s="40" t="str" cm="1">
        <f t="array" ref="AA890">IFERROR(_xlfn.XLOOKUP(Z890,_xlfn.ANCHORARRAY(Z$31),AA$31:AA$37),Z890)</f>
        <v>Mordovia Arena</v>
      </c>
      <c r="AB890" s="42" t="str">
        <v>Saransk</v>
      </c>
      <c r="AC890" s="89" t="str">
        <f t="shared" si="78"/>
        <v>Saransk</v>
      </c>
      <c r="AE890" s="42">
        <v>2014</v>
      </c>
      <c r="AK890" s="42">
        <v>1</v>
      </c>
      <c r="AL890" s="42">
        <v>3</v>
      </c>
      <c r="AW890" s="89" t="str">
        <v>GROUP_STAGE</v>
      </c>
      <c r="BE890" s="43" t="str">
        <f>IF(OR(DATA_CLEANED!AL881="",DATA_CLEANED!AM881=""),"MANQUANT",IF(OR(NOT(ISNUMBER(DATA_CLEANED!AL881)),NOT(ISNUMBER(DATA_CLEANED!AM881))),"ENTREE INVALIDE",IF(OR(DATA_CLEANED!AL881&lt;0,DATA_CLEANED!AM881&lt;0),"SCORE NEGATIF","OK")))</f>
        <v>OK</v>
      </c>
      <c r="BF890" s="43" t="str">
        <f>IF(DATA_CLEANED!AK881&lt;&gt;DATA_CLEANED!AN881,"OK","ERREUR")</f>
        <v>OK</v>
      </c>
      <c r="BG890" s="43" t="str">
        <f>IF(DATA_CLEANED!AL881&gt;DATA_CLEANED!AM881,DATA_CLEANED!AK881,IF(AND(DATA_QUALITE!W5367="-",DATA_CLEANED!AM881=DATA_CLEANED!AL881),"MATCH NUL",IF(AND(DATA_QUALITE!V5367="-",DATA_QUALITE!U5367="AUCUNE"),DATA_QUALITE!T5367,IF(DATA_QUALITE!V5367&lt;&gt;"-",DATA_QUALITE!V5367,DATA_CLEANED!AN881))))</f>
        <v>Brazil</v>
      </c>
      <c r="BH890" s="103" t="str">
        <f>IF(AND(BG890="MATCH NUL",DATA_CLEANED!AO881="-"),"MATCH_NUL",IF(ISNUMBER(SEARCH("win on penalties",W5367)),"WIN_BY_PENALTY",IF(ISNUMBER(SEARCH("win after extra time",W5367)),"WIN_BY_EXTRA_TIME",IF(ISNUMBER(SEARCH("Golden Goal",W5367)),"WIN_BY_GOLDEN_GOAL","WIN_BY_SCORE"))))</f>
        <v>WIN_BY_SCORE</v>
      </c>
      <c r="BI890" s="99" t="str">
        <f>IF(OR(BG890=DATA_CLEANED!AK881,BG890=DATA_CLEANED!AN881,BG890="MATCH NUL"),"OK","ERREUR")</f>
        <v>OK</v>
      </c>
    </row>
    <row r="891" spans="2:61">
      <c r="B891" s="75">
        <v>454</v>
      </c>
      <c r="C891" s="15" t="str">
        <v>Moisés Caicedo</v>
      </c>
      <c r="D891" s="15">
        <v>24</v>
      </c>
      <c r="E891" s="15" t="str">
        <v>Ecuador</v>
      </c>
      <c r="F891" s="15" t="str">
        <v>CDM</v>
      </c>
      <c r="G891" s="15" t="str">
        <v>Chelsea</v>
      </c>
      <c r="H891" s="15">
        <v>23</v>
      </c>
      <c r="I891" s="15" t="str">
        <f t="shared" si="79"/>
        <v>454|Moisés Caicedo|24|Ecuador|CDM|Chelsea|23</v>
      </c>
      <c r="J891" s="15" t="str">
        <f>IF(COUNTIF(I$438:I891,I891)&gt;1,"DOUBLON","OK")</f>
        <v>OK</v>
      </c>
      <c r="S891" s="30" t="str">
        <v>Italy</v>
      </c>
      <c r="T891" s="30" t="str">
        <f t="shared" ref="T891:T954" si="80">IF(COUNTIF(R$21:R$250,S891)=1,"OK","ERREUR")</f>
        <v>OK</v>
      </c>
      <c r="U891" s="30" t="str">
        <f t="shared" si="76"/>
        <v>-</v>
      </c>
      <c r="V891" s="30" t="str" cm="1">
        <f t="array" ref="V891">_xlfn.IFS(
ISNUMBER(SEARCH("USA",S891)),"United States",
ISNUMBER(SEARCH("Republic of Korea",S891)),"South Korea",
ISNUMBER(SEARCH("Cape Verde",S891)),"Cabo Verde",
ISNUMBER(SEARCH("Czechia",S891)),"Czech Republic",
ISNUMBER(SEARCH("Türkiye",S891)),"Turkey",
ISNUMBER(SEARCH("Ivory Coast",S891)),"Côte d'Ivoire",
ISNUMBER(SEARCH("Korea Republic",S891)),"South Korea",
ISNUMBER(SEARCH("Germany FR",S891)),"FR Germany",
ISNUMBER(SEARCH("West Germany",S891)),"FR Germany",
ISNUMBER(SEARCH("Germany DR",S891)),"DR Germany",
ISNUMBER(SEARCH("Korea DPR",S891)),"North Korea",
ISNUMBER(SEARCH("China PR",S891)),"China",
ISNUMBER(SEARCH("IR Iran",S891)),"Iran",
ISNUMBER(SEARCH("Congo DR",S891)),"Democratic Republic of the Congo",
ISNUMBER(SEARCH("DR Congo",S891)),"Democratic Republic of the Congo",
ISNUMBER(SEARCH("German DR",S891)),"DR Germany",
ISNUMBER(SEARCH("rn""&gt;United Arab Emirates",S891)),"United Arab Emirates",
ISNUMBER(SEARCH("rn""&gt;Republic of Ireland",S891)),"Ireland",
ISNUMBER(SEARCH("rn""&gt;Bosnia and Herzegovina",S891)),"Bosnia and Herzegovina",
ISNUMBER(SEARCH("rn""&gt;Trinidad and Tobago",S891)),"Trinidad and Tobago",
ISNUMBER(SEARCH("rn""&gt;Serbia and Montenegro",S891)),"Serbia and Montenegro",
ISNUMBER(SEARCH(_xlfn.UNICHAR(65533),S891)),"Côte d'Ivoire",
TRUE,""
)</f>
        <v/>
      </c>
      <c r="W891" s="30" t="str">
        <f t="shared" si="77"/>
        <v>Italy</v>
      </c>
      <c r="Z891" s="40" t="str">
        <v>Otkritie Arena</v>
      </c>
      <c r="AA891" s="40" t="str" cm="1">
        <f t="array" ref="AA891">IFERROR(_xlfn.XLOOKUP(Z891,_xlfn.ANCHORARRAY(Z$31),AA$31:AA$37),Z891)</f>
        <v>Otkritie Arena</v>
      </c>
      <c r="AB891" s="42" t="str">
        <v>Moscow</v>
      </c>
      <c r="AC891" s="89" t="str">
        <f t="shared" si="78"/>
        <v>Moscow</v>
      </c>
      <c r="AE891" s="42">
        <v>2014</v>
      </c>
      <c r="AK891" s="42">
        <v>0</v>
      </c>
      <c r="AL891" s="42">
        <v>1</v>
      </c>
      <c r="AW891" s="89" t="str">
        <v>GROUP_STAGE</v>
      </c>
      <c r="BE891" s="43" t="str">
        <f>IF(OR(DATA_CLEANED!AL882="",DATA_CLEANED!AM882=""),"MANQUANT",IF(OR(NOT(ISNUMBER(DATA_CLEANED!AL882)),NOT(ISNUMBER(DATA_CLEANED!AM882))),"ENTREE INVALIDE",IF(OR(DATA_CLEANED!AL882&lt;0,DATA_CLEANED!AM882&lt;0),"SCORE NEGATIF","OK")))</f>
        <v>OK</v>
      </c>
      <c r="BF891" s="43" t="str">
        <f>IF(DATA_CLEANED!AK882&lt;&gt;DATA_CLEANED!AN882,"OK","ERREUR")</f>
        <v>OK</v>
      </c>
      <c r="BG891" s="43" t="str">
        <f>IF(DATA_CLEANED!AL882&gt;DATA_CLEANED!AM882,DATA_CLEANED!AK882,IF(AND(DATA_QUALITE!W5368="-",DATA_CLEANED!AM882=DATA_CLEANED!AL882),"MATCH NUL",IF(AND(DATA_QUALITE!V5368="-",DATA_QUALITE!U5368="AUCUNE"),DATA_QUALITE!T5368,IF(DATA_QUALITE!V5368&lt;&gt;"-",DATA_QUALITE!V5368,DATA_CLEANED!AN882))))</f>
        <v>MATCH NUL</v>
      </c>
      <c r="BH891" s="103" t="str">
        <f>IF(AND(BG891="MATCH NUL",DATA_CLEANED!AO882="-"),"MATCH_NUL",IF(ISNUMBER(SEARCH("win on penalties",W5368)),"WIN_BY_PENALTY",IF(ISNUMBER(SEARCH("win after extra time",W5368)),"WIN_BY_EXTRA_TIME",IF(ISNUMBER(SEARCH("Golden Goal",W5368)),"WIN_BY_GOLDEN_GOAL","WIN_BY_SCORE"))))</f>
        <v>MATCH_NUL</v>
      </c>
      <c r="BI891" s="99" t="str">
        <f>IF(OR(BG891=DATA_CLEANED!AK882,BG891=DATA_CLEANED!AN882,BG891="MATCH NUL"),"OK","ERREUR")</f>
        <v>OK</v>
      </c>
    </row>
    <row r="892" spans="2:61">
      <c r="B892" s="75">
        <v>455</v>
      </c>
      <c r="C892" s="15" t="str">
        <v>Jordy Alcívar</v>
      </c>
      <c r="D892" s="15">
        <v>26</v>
      </c>
      <c r="E892" s="15" t="str">
        <v>Ecuador</v>
      </c>
      <c r="F892" s="15" t="str">
        <v>CM</v>
      </c>
      <c r="G892" s="15" t="str">
        <v>Independiente del Valle</v>
      </c>
      <c r="H892" s="15">
        <v>5</v>
      </c>
      <c r="I892" s="15" t="str">
        <f t="shared" si="79"/>
        <v>455|Jordy Alcívar|26|Ecuador|CM|Independiente del Valle|5</v>
      </c>
      <c r="J892" s="15" t="str">
        <f>IF(COUNTIF(I$438:I892,I892)&gt;1,"DOUBLON","OK")</f>
        <v>OK</v>
      </c>
      <c r="S892" s="30" t="str">
        <v>Brazil</v>
      </c>
      <c r="T892" s="30" t="str">
        <f t="shared" si="80"/>
        <v>OK</v>
      </c>
      <c r="U892" s="30" t="str">
        <f t="shared" si="76"/>
        <v>-</v>
      </c>
      <c r="V892" s="30" t="str" cm="1">
        <f t="array" ref="V892">_xlfn.IFS(
ISNUMBER(SEARCH("USA",S892)),"United States",
ISNUMBER(SEARCH("Republic of Korea",S892)),"South Korea",
ISNUMBER(SEARCH("Cape Verde",S892)),"Cabo Verde",
ISNUMBER(SEARCH("Czechia",S892)),"Czech Republic",
ISNUMBER(SEARCH("Türkiye",S892)),"Turkey",
ISNUMBER(SEARCH("Ivory Coast",S892)),"Côte d'Ivoire",
ISNUMBER(SEARCH("Korea Republic",S892)),"South Korea",
ISNUMBER(SEARCH("Germany FR",S892)),"FR Germany",
ISNUMBER(SEARCH("West Germany",S892)),"FR Germany",
ISNUMBER(SEARCH("Germany DR",S892)),"DR Germany",
ISNUMBER(SEARCH("Korea DPR",S892)),"North Korea",
ISNUMBER(SEARCH("China PR",S892)),"China",
ISNUMBER(SEARCH("IR Iran",S892)),"Iran",
ISNUMBER(SEARCH("Congo DR",S892)),"Democratic Republic of the Congo",
ISNUMBER(SEARCH("DR Congo",S892)),"Democratic Republic of the Congo",
ISNUMBER(SEARCH("German DR",S892)),"DR Germany",
ISNUMBER(SEARCH("rn""&gt;United Arab Emirates",S892)),"United Arab Emirates",
ISNUMBER(SEARCH("rn""&gt;Republic of Ireland",S892)),"Ireland",
ISNUMBER(SEARCH("rn""&gt;Bosnia and Herzegovina",S892)),"Bosnia and Herzegovina",
ISNUMBER(SEARCH("rn""&gt;Trinidad and Tobago",S892)),"Trinidad and Tobago",
ISNUMBER(SEARCH("rn""&gt;Serbia and Montenegro",S892)),"Serbia and Montenegro",
ISNUMBER(SEARCH(_xlfn.UNICHAR(65533),S892)),"Côte d'Ivoire",
TRUE,""
)</f>
        <v/>
      </c>
      <c r="W892" s="30" t="str">
        <f t="shared" si="77"/>
        <v>Brazil</v>
      </c>
      <c r="Z892" s="40" t="str">
        <v>Krestovsky Stadium</v>
      </c>
      <c r="AA892" s="40" t="str" cm="1">
        <f t="array" ref="AA892">IFERROR(_xlfn.XLOOKUP(Z892,_xlfn.ANCHORARRAY(Z$31),AA$31:AA$37),Z892)</f>
        <v>Krestovsky Stadium</v>
      </c>
      <c r="AB892" s="42" t="str">
        <v>Saint Petersburg</v>
      </c>
      <c r="AC892" s="89" t="str">
        <f t="shared" si="78"/>
        <v>Saint Petersburg</v>
      </c>
      <c r="AE892" s="42">
        <v>2014</v>
      </c>
      <c r="AK892" s="42">
        <v>0</v>
      </c>
      <c r="AL892" s="42">
        <v>0</v>
      </c>
      <c r="AW892" s="89" t="str">
        <v>GROUP_STAGE</v>
      </c>
      <c r="BE892" s="43" t="str">
        <f>IF(OR(DATA_CLEANED!AL883="",DATA_CLEANED!AM883=""),"MANQUANT",IF(OR(NOT(ISNUMBER(DATA_CLEANED!AL883)),NOT(ISNUMBER(DATA_CLEANED!AM883))),"ENTREE INVALIDE",IF(OR(DATA_CLEANED!AL883&lt;0,DATA_CLEANED!AM883&lt;0),"SCORE NEGATIF","OK")))</f>
        <v>OK</v>
      </c>
      <c r="BF892" s="43" t="str">
        <f>IF(DATA_CLEANED!AK883&lt;&gt;DATA_CLEANED!AN883,"OK","ERREUR")</f>
        <v>OK</v>
      </c>
      <c r="BG892" s="43" t="str">
        <f>IF(DATA_CLEANED!AL883&gt;DATA_CLEANED!AM883,DATA_CLEANED!AK883,IF(AND(DATA_QUALITE!W5369="-",DATA_CLEANED!AM883=DATA_CLEANED!AL883),"MATCH NUL",IF(AND(DATA_QUALITE!V5369="-",DATA_QUALITE!U5369="AUCUNE"),DATA_QUALITE!T5369,IF(DATA_QUALITE!V5369&lt;&gt;"-",DATA_QUALITE!V5369,DATA_CLEANED!AN883))))</f>
        <v>Poland</v>
      </c>
      <c r="BH892" s="103" t="str">
        <f>IF(AND(BG892="MATCH NUL",DATA_CLEANED!AO883="-"),"MATCH_NUL",IF(ISNUMBER(SEARCH("win on penalties",W5369)),"WIN_BY_PENALTY",IF(ISNUMBER(SEARCH("win after extra time",W5369)),"WIN_BY_EXTRA_TIME",IF(ISNUMBER(SEARCH("Golden Goal",W5369)),"WIN_BY_GOLDEN_GOAL","WIN_BY_SCORE"))))</f>
        <v>WIN_BY_SCORE</v>
      </c>
      <c r="BI892" s="99" t="str">
        <f>IF(OR(BG892=DATA_CLEANED!AK883,BG892=DATA_CLEANED!AN883,BG892="MATCH NUL"),"OK","ERREUR")</f>
        <v>OK</v>
      </c>
    </row>
    <row r="893" spans="2:61">
      <c r="B893" s="75">
        <v>456</v>
      </c>
      <c r="C893" s="15" t="str">
        <v>Anthony Valencia</v>
      </c>
      <c r="D893" s="15">
        <v>22</v>
      </c>
      <c r="E893" s="15" t="str">
        <v>Ecuador</v>
      </c>
      <c r="F893" s="15" t="str">
        <v>CM</v>
      </c>
      <c r="G893" s="15" t="str">
        <v>Antwerp</v>
      </c>
      <c r="H893" s="15">
        <v>8</v>
      </c>
      <c r="I893" s="15" t="str">
        <f t="shared" si="79"/>
        <v>456|Anthony Valencia|22|Ecuador|CM|Antwerp|8</v>
      </c>
      <c r="J893" s="15" t="str">
        <f>IF(COUNTIF(I$438:I893,I893)&gt;1,"DOUBLON","OK")</f>
        <v>OK</v>
      </c>
      <c r="S893" s="30" t="str">
        <v>Netherlands</v>
      </c>
      <c r="T893" s="30" t="str">
        <f t="shared" si="80"/>
        <v>OK</v>
      </c>
      <c r="U893" s="30" t="str">
        <f t="shared" si="76"/>
        <v>-</v>
      </c>
      <c r="V893" s="30" t="str" cm="1">
        <f t="array" ref="V893">_xlfn.IFS(
ISNUMBER(SEARCH("USA",S893)),"United States",
ISNUMBER(SEARCH("Republic of Korea",S893)),"South Korea",
ISNUMBER(SEARCH("Cape Verde",S893)),"Cabo Verde",
ISNUMBER(SEARCH("Czechia",S893)),"Czech Republic",
ISNUMBER(SEARCH("Türkiye",S893)),"Turkey",
ISNUMBER(SEARCH("Ivory Coast",S893)),"Côte d'Ivoire",
ISNUMBER(SEARCH("Korea Republic",S893)),"South Korea",
ISNUMBER(SEARCH("Germany FR",S893)),"FR Germany",
ISNUMBER(SEARCH("West Germany",S893)),"FR Germany",
ISNUMBER(SEARCH("Germany DR",S893)),"DR Germany",
ISNUMBER(SEARCH("Korea DPR",S893)),"North Korea",
ISNUMBER(SEARCH("China PR",S893)),"China",
ISNUMBER(SEARCH("IR Iran",S893)),"Iran",
ISNUMBER(SEARCH("Congo DR",S893)),"Democratic Republic of the Congo",
ISNUMBER(SEARCH("DR Congo",S893)),"Democratic Republic of the Congo",
ISNUMBER(SEARCH("German DR",S893)),"DR Germany",
ISNUMBER(SEARCH("rn""&gt;United Arab Emirates",S893)),"United Arab Emirates",
ISNUMBER(SEARCH("rn""&gt;Republic of Ireland",S893)),"Ireland",
ISNUMBER(SEARCH("rn""&gt;Bosnia and Herzegovina",S893)),"Bosnia and Herzegovina",
ISNUMBER(SEARCH("rn""&gt;Trinidad and Tobago",S893)),"Trinidad and Tobago",
ISNUMBER(SEARCH("rn""&gt;Serbia and Montenegro",S893)),"Serbia and Montenegro",
ISNUMBER(SEARCH(_xlfn.UNICHAR(65533),S893)),"Côte d'Ivoire",
TRUE,""
)</f>
        <v/>
      </c>
      <c r="W893" s="30" t="str">
        <f t="shared" si="77"/>
        <v>Netherlands</v>
      </c>
      <c r="Z893" s="40" t="str">
        <v>Luzhniki Stadium</v>
      </c>
      <c r="AA893" s="40" t="str" cm="1">
        <f t="array" ref="AA893">IFERROR(_xlfn.XLOOKUP(Z893,_xlfn.ANCHORARRAY(Z$31),AA$31:AA$37),Z893)</f>
        <v>Luzhniki Stadium</v>
      </c>
      <c r="AB893" s="42" t="str">
        <v>Moscow</v>
      </c>
      <c r="AC893" s="89" t="str">
        <f t="shared" si="78"/>
        <v>Moscow</v>
      </c>
      <c r="AE893" s="42">
        <v>2014</v>
      </c>
      <c r="AK893" s="42">
        <v>1</v>
      </c>
      <c r="AL893" s="42">
        <v>4</v>
      </c>
      <c r="AW893" s="89" t="str">
        <v>GROUP_STAGE</v>
      </c>
      <c r="BE893" s="43" t="str">
        <f>IF(OR(DATA_CLEANED!AL884="",DATA_CLEANED!AM884=""),"MANQUANT",IF(OR(NOT(ISNUMBER(DATA_CLEANED!AL884)),NOT(ISNUMBER(DATA_CLEANED!AM884))),"ENTREE INVALIDE",IF(OR(DATA_CLEANED!AL884&lt;0,DATA_CLEANED!AM884&lt;0),"SCORE NEGATIF","OK")))</f>
        <v>OK</v>
      </c>
      <c r="BF893" s="43" t="str">
        <f>IF(DATA_CLEANED!AK884&lt;&gt;DATA_CLEANED!AN884,"OK","ERREUR")</f>
        <v>OK</v>
      </c>
      <c r="BG893" s="43" t="str">
        <f>IF(DATA_CLEANED!AL884&gt;DATA_CLEANED!AM884,DATA_CLEANED!AK884,IF(AND(DATA_QUALITE!W5370="-",DATA_CLEANED!AM884=DATA_CLEANED!AL884),"MATCH NUL",IF(AND(DATA_QUALITE!V5370="-",DATA_QUALITE!U5370="AUCUNE"),DATA_QUALITE!T5370,IF(DATA_QUALITE!V5370&lt;&gt;"-",DATA_QUALITE!V5370,DATA_CLEANED!AN884))))</f>
        <v>Colombia</v>
      </c>
      <c r="BH893" s="103" t="str">
        <f>IF(AND(BG893="MATCH NUL",DATA_CLEANED!AO884="-"),"MATCH_NUL",IF(ISNUMBER(SEARCH("win on penalties",W5370)),"WIN_BY_PENALTY",IF(ISNUMBER(SEARCH("win after extra time",W5370)),"WIN_BY_EXTRA_TIME",IF(ISNUMBER(SEARCH("Golden Goal",W5370)),"WIN_BY_GOLDEN_GOAL","WIN_BY_SCORE"))))</f>
        <v>WIN_BY_SCORE</v>
      </c>
      <c r="BI893" s="99" t="str">
        <f>IF(OR(BG893=DATA_CLEANED!AK884,BG893=DATA_CLEANED!AN884,BG893="MATCH NUL"),"OK","ERREUR")</f>
        <v>OK</v>
      </c>
    </row>
    <row r="894" spans="2:61">
      <c r="B894" s="75">
        <v>457</v>
      </c>
      <c r="C894" s="15" t="str">
        <v>Denil Castillo</v>
      </c>
      <c r="D894" s="15">
        <v>22</v>
      </c>
      <c r="E894" s="15" t="str">
        <v>Ecuador</v>
      </c>
      <c r="F894" s="15" t="str">
        <v>CM</v>
      </c>
      <c r="G894" s="15" t="str">
        <v>Midtjylland</v>
      </c>
      <c r="H894" s="15">
        <v>18</v>
      </c>
      <c r="I894" s="15" t="str">
        <f t="shared" si="79"/>
        <v>457|Denil Castillo|22|Ecuador|CM|Midtjylland|18</v>
      </c>
      <c r="J894" s="15" t="str">
        <f>IF(COUNTIF(I$438:I894,I894)&gt;1,"DOUBLON","OK")</f>
        <v>OK</v>
      </c>
      <c r="S894" s="30" t="str">
        <v>Brazil</v>
      </c>
      <c r="T894" s="30" t="str">
        <f t="shared" si="80"/>
        <v>OK</v>
      </c>
      <c r="U894" s="30" t="str">
        <f t="shared" si="76"/>
        <v>-</v>
      </c>
      <c r="V894" s="30" t="str" cm="1">
        <f t="array" ref="V894">_xlfn.IFS(
ISNUMBER(SEARCH("USA",S894)),"United States",
ISNUMBER(SEARCH("Republic of Korea",S894)),"South Korea",
ISNUMBER(SEARCH("Cape Verde",S894)),"Cabo Verde",
ISNUMBER(SEARCH("Czechia",S894)),"Czech Republic",
ISNUMBER(SEARCH("Türkiye",S894)),"Turkey",
ISNUMBER(SEARCH("Ivory Coast",S894)),"Côte d'Ivoire",
ISNUMBER(SEARCH("Korea Republic",S894)),"South Korea",
ISNUMBER(SEARCH("Germany FR",S894)),"FR Germany",
ISNUMBER(SEARCH("West Germany",S894)),"FR Germany",
ISNUMBER(SEARCH("Germany DR",S894)),"DR Germany",
ISNUMBER(SEARCH("Korea DPR",S894)),"North Korea",
ISNUMBER(SEARCH("China PR",S894)),"China",
ISNUMBER(SEARCH("IR Iran",S894)),"Iran",
ISNUMBER(SEARCH("Congo DR",S894)),"Democratic Republic of the Congo",
ISNUMBER(SEARCH("DR Congo",S894)),"Democratic Republic of the Congo",
ISNUMBER(SEARCH("German DR",S894)),"DR Germany",
ISNUMBER(SEARCH("rn""&gt;United Arab Emirates",S894)),"United Arab Emirates",
ISNUMBER(SEARCH("rn""&gt;Republic of Ireland",S894)),"Ireland",
ISNUMBER(SEARCH("rn""&gt;Bosnia and Herzegovina",S894)),"Bosnia and Herzegovina",
ISNUMBER(SEARCH("rn""&gt;Trinidad and Tobago",S894)),"Trinidad and Tobago",
ISNUMBER(SEARCH("rn""&gt;Serbia and Montenegro",S894)),"Serbia and Montenegro",
ISNUMBER(SEARCH(_xlfn.UNICHAR(65533),S894)),"Côte d'Ivoire",
TRUE,""
)</f>
        <v/>
      </c>
      <c r="W894" s="30" t="str">
        <f t="shared" si="77"/>
        <v>Brazil</v>
      </c>
      <c r="Z894" s="40" t="str">
        <v>Rostov Arena</v>
      </c>
      <c r="AA894" s="40" t="str" cm="1">
        <f t="array" ref="AA894">IFERROR(_xlfn.XLOOKUP(Z894,_xlfn.ANCHORARRAY(Z$31),AA$31:AA$37),Z894)</f>
        <v>Rostov Arena</v>
      </c>
      <c r="AB894" s="42" t="str">
        <v>Rostov-on-Don</v>
      </c>
      <c r="AC894" s="89" t="str">
        <f t="shared" si="78"/>
        <v>Rostov-on-Don</v>
      </c>
      <c r="AE894" s="42">
        <v>2014</v>
      </c>
      <c r="AK894" s="42">
        <v>2</v>
      </c>
      <c r="AL894" s="42">
        <v>1</v>
      </c>
      <c r="AW894" s="89" t="str">
        <v>GROUP_STAGE</v>
      </c>
      <c r="BE894" s="43" t="str">
        <f>IF(OR(DATA_CLEANED!AL885="",DATA_CLEANED!AM885=""),"MANQUANT",IF(OR(NOT(ISNUMBER(DATA_CLEANED!AL885)),NOT(ISNUMBER(DATA_CLEANED!AM885))),"ENTREE INVALIDE",IF(OR(DATA_CLEANED!AL885&lt;0,DATA_CLEANED!AM885&lt;0),"SCORE NEGATIF","OK")))</f>
        <v>OK</v>
      </c>
      <c r="BF894" s="43" t="str">
        <f>IF(DATA_CLEANED!AK885&lt;&gt;DATA_CLEANED!AN885,"OK","ERREUR")</f>
        <v>OK</v>
      </c>
      <c r="BG894" s="43" t="str">
        <f>IF(DATA_CLEANED!AL885&gt;DATA_CLEANED!AM885,DATA_CLEANED!AK885,IF(AND(DATA_QUALITE!W5371="-",DATA_CLEANED!AM885=DATA_CLEANED!AL885),"MATCH NUL",IF(AND(DATA_QUALITE!V5371="-",DATA_QUALITE!U5371="AUCUNE"),DATA_QUALITE!T5371,IF(DATA_QUALITE!V5371&lt;&gt;"-",DATA_QUALITE!V5371,DATA_CLEANED!AN885))))</f>
        <v>Belgium</v>
      </c>
      <c r="BH894" s="103" t="str">
        <f>IF(AND(BG894="MATCH NUL",DATA_CLEANED!AO885="-"),"MATCH_NUL",IF(ISNUMBER(SEARCH("win on penalties",W5371)),"WIN_BY_PENALTY",IF(ISNUMBER(SEARCH("win after extra time",W5371)),"WIN_BY_EXTRA_TIME",IF(ISNUMBER(SEARCH("Golden Goal",W5371)),"WIN_BY_GOLDEN_GOAL","WIN_BY_SCORE"))))</f>
        <v>WIN_BY_SCORE</v>
      </c>
      <c r="BI894" s="99" t="str">
        <f>IF(OR(BG894=DATA_CLEANED!AK885,BG894=DATA_CLEANED!AN885,BG894="MATCH NUL"),"OK","ERREUR")</f>
        <v>OK</v>
      </c>
    </row>
    <row r="895" spans="2:61">
      <c r="B895" s="75">
        <v>458</v>
      </c>
      <c r="C895" s="15" t="str">
        <v>Alan Franco</v>
      </c>
      <c r="D895" s="15">
        <v>27</v>
      </c>
      <c r="E895" s="15" t="str">
        <v>Ecuador</v>
      </c>
      <c r="F895" s="15" t="str">
        <v>CM</v>
      </c>
      <c r="G895" s="15" t="str">
        <v>Atlético Mineiro</v>
      </c>
      <c r="H895" s="15">
        <v>21</v>
      </c>
      <c r="I895" s="15" t="str">
        <f t="shared" si="79"/>
        <v>458|Alan Franco|27|Ecuador|CM|Atlético Mineiro|21</v>
      </c>
      <c r="J895" s="15" t="str">
        <f>IF(COUNTIF(I$438:I895,I895)&gt;1,"DOUBLON","OK")</f>
        <v>OK</v>
      </c>
      <c r="S895" s="30" t="str">
        <v>Netherlands</v>
      </c>
      <c r="T895" s="30" t="str">
        <f t="shared" si="80"/>
        <v>OK</v>
      </c>
      <c r="U895" s="30" t="str">
        <f t="shared" si="76"/>
        <v>-</v>
      </c>
      <c r="V895" s="30" t="str" cm="1">
        <f t="array" ref="V895">_xlfn.IFS(
ISNUMBER(SEARCH("USA",S895)),"United States",
ISNUMBER(SEARCH("Republic of Korea",S895)),"South Korea",
ISNUMBER(SEARCH("Cape Verde",S895)),"Cabo Verde",
ISNUMBER(SEARCH("Czechia",S895)),"Czech Republic",
ISNUMBER(SEARCH("Türkiye",S895)),"Turkey",
ISNUMBER(SEARCH("Ivory Coast",S895)),"Côte d'Ivoire",
ISNUMBER(SEARCH("Korea Republic",S895)),"South Korea",
ISNUMBER(SEARCH("Germany FR",S895)),"FR Germany",
ISNUMBER(SEARCH("West Germany",S895)),"FR Germany",
ISNUMBER(SEARCH("Germany DR",S895)),"DR Germany",
ISNUMBER(SEARCH("Korea DPR",S895)),"North Korea",
ISNUMBER(SEARCH("China PR",S895)),"China",
ISNUMBER(SEARCH("IR Iran",S895)),"Iran",
ISNUMBER(SEARCH("Congo DR",S895)),"Democratic Republic of the Congo",
ISNUMBER(SEARCH("DR Congo",S895)),"Democratic Republic of the Congo",
ISNUMBER(SEARCH("German DR",S895)),"DR Germany",
ISNUMBER(SEARCH("rn""&gt;United Arab Emirates",S895)),"United Arab Emirates",
ISNUMBER(SEARCH("rn""&gt;Republic of Ireland",S895)),"Ireland",
ISNUMBER(SEARCH("rn""&gt;Bosnia and Herzegovina",S895)),"Bosnia and Herzegovina",
ISNUMBER(SEARCH("rn""&gt;Trinidad and Tobago",S895)),"Trinidad and Tobago",
ISNUMBER(SEARCH("rn""&gt;Serbia and Montenegro",S895)),"Serbia and Montenegro",
ISNUMBER(SEARCH(_xlfn.UNICHAR(65533),S895)),"Côte d'Ivoire",
TRUE,""
)</f>
        <v/>
      </c>
      <c r="W895" s="30" t="str">
        <f t="shared" si="77"/>
        <v>Netherlands</v>
      </c>
      <c r="Z895" s="40" t="str">
        <v>Kazan Arena</v>
      </c>
      <c r="AA895" s="40" t="str" cm="1">
        <f t="array" ref="AA895">IFERROR(_xlfn.XLOOKUP(Z895,_xlfn.ANCHORARRAY(Z$31),AA$31:AA$37),Z895)</f>
        <v>Kazan Arena</v>
      </c>
      <c r="AB895" s="42" t="str">
        <v>Kazan</v>
      </c>
      <c r="AC895" s="89" t="str">
        <f t="shared" si="78"/>
        <v>Kazan</v>
      </c>
      <c r="AE895" s="42">
        <v>2014</v>
      </c>
      <c r="AK895" s="42">
        <v>2</v>
      </c>
      <c r="AL895" s="42">
        <v>3</v>
      </c>
      <c r="AW895" s="89" t="str">
        <v>GROUP_STAGE</v>
      </c>
      <c r="BE895" s="43" t="str">
        <f>IF(OR(DATA_CLEANED!AL886="",DATA_CLEANED!AM886=""),"MANQUANT",IF(OR(NOT(ISNUMBER(DATA_CLEANED!AL886)),NOT(ISNUMBER(DATA_CLEANED!AM886))),"ENTREE INVALIDE",IF(OR(DATA_CLEANED!AL886&lt;0,DATA_CLEANED!AM886&lt;0),"SCORE NEGATIF","OK")))</f>
        <v>OK</v>
      </c>
      <c r="BF895" s="43" t="str">
        <f>IF(DATA_CLEANED!AK886&lt;&gt;DATA_CLEANED!AN886,"OK","ERREUR")</f>
        <v>OK</v>
      </c>
      <c r="BG895" s="43" t="str">
        <f>IF(DATA_CLEANED!AL886&gt;DATA_CLEANED!AM886,DATA_CLEANED!AK886,IF(AND(DATA_QUALITE!W5372="-",DATA_CLEANED!AM886=DATA_CLEANED!AL886),"MATCH NUL",IF(AND(DATA_QUALITE!V5372="-",DATA_QUALITE!U5372="AUCUNE"),DATA_QUALITE!T5372,IF(DATA_QUALITE!V5372&lt;&gt;"-",DATA_QUALITE!V5372,DATA_CLEANED!AN886))))</f>
        <v>Tunisia</v>
      </c>
      <c r="BH895" s="103" t="str">
        <f>IF(AND(BG895="MATCH NUL",DATA_CLEANED!AO886="-"),"MATCH_NUL",IF(ISNUMBER(SEARCH("win on penalties",W5372)),"WIN_BY_PENALTY",IF(ISNUMBER(SEARCH("win after extra time",W5372)),"WIN_BY_EXTRA_TIME",IF(ISNUMBER(SEARCH("Golden Goal",W5372)),"WIN_BY_GOLDEN_GOAL","WIN_BY_SCORE"))))</f>
        <v>WIN_BY_SCORE</v>
      </c>
      <c r="BI895" s="99" t="str">
        <f>IF(OR(BG895=DATA_CLEANED!AK886,BG895=DATA_CLEANED!AN886,BG895="MATCH NUL"),"OK","ERREUR")</f>
        <v>OK</v>
      </c>
    </row>
    <row r="896" spans="2:61">
      <c r="B896" s="75">
        <v>459</v>
      </c>
      <c r="C896" s="15" t="str">
        <v>Kendry Páez</v>
      </c>
      <c r="D896" s="15">
        <v>19</v>
      </c>
      <c r="E896" s="15" t="str">
        <v>Ecuador</v>
      </c>
      <c r="F896" s="15" t="str">
        <v>CAM</v>
      </c>
      <c r="G896" s="15" t="str">
        <v>River Plate</v>
      </c>
      <c r="H896" s="15">
        <v>10</v>
      </c>
      <c r="I896" s="15" t="str">
        <f t="shared" si="79"/>
        <v>459|Kendry Páez|19|Ecuador|CAM|River Plate|10</v>
      </c>
      <c r="J896" s="15" t="str">
        <f>IF(COUNTIF(I$438:I896,I896)&gt;1,"DOUBLON","OK")</f>
        <v>OK</v>
      </c>
      <c r="S896" s="30" t="str">
        <v>Brazil</v>
      </c>
      <c r="T896" s="30" t="str">
        <f t="shared" si="80"/>
        <v>OK</v>
      </c>
      <c r="U896" s="30" t="str">
        <f t="shared" ref="U896:U959" si="81">IF(OR(S896="Scotland",S896="England",S896="Wales",S896="Yugoslavia",S896="Czechoslovakia",S896="Northern Ireland",S896="Soviet Union",S896="Zaire",S896="Dutch East Indies"),"AUCUNE",IF(OR(S896="Cape Verde",S896="USA",S896="DR Congo",S896="Republic of Korea",S896="Germany FR",S896="Germany DR",S896="Czechia",S896="Ivory Coast",S896="Korea DPR",S896="China PR",S896="IR Iran",S896="Türkiye",S896="Congo DR",S896="German DR",S896="West Germany",S896="Republic of Ireland",ISNUMBER(SEARCH("rn""&gt;United Arab Emirates",S896)),ISNUMBER(SEARCH("rn""&gt;Republic of Ireland",S896)),ISNUMBER(SEARCH("rn""&gt;Bosnia and Herzegovina",S896)),ISNUMBER(SEARCH("rn""&gt;Trinidad and Tobago",S896)),ISNUMBER(SEARCH("rn""&gt;Serbia and Montenegro",S896)),ISNUMBER(SEARCH(_xlfn.UNICHAR(65533),S896))),"RENOMMER","-"))</f>
        <v>-</v>
      </c>
      <c r="V896" s="30" t="str" cm="1">
        <f t="array" ref="V896">_xlfn.IFS(
ISNUMBER(SEARCH("USA",S896)),"United States",
ISNUMBER(SEARCH("Republic of Korea",S896)),"South Korea",
ISNUMBER(SEARCH("Cape Verde",S896)),"Cabo Verde",
ISNUMBER(SEARCH("Czechia",S896)),"Czech Republic",
ISNUMBER(SEARCH("Türkiye",S896)),"Turkey",
ISNUMBER(SEARCH("Ivory Coast",S896)),"Côte d'Ivoire",
ISNUMBER(SEARCH("Korea Republic",S896)),"South Korea",
ISNUMBER(SEARCH("Germany FR",S896)),"FR Germany",
ISNUMBER(SEARCH("West Germany",S896)),"FR Germany",
ISNUMBER(SEARCH("Germany DR",S896)),"DR Germany",
ISNUMBER(SEARCH("Korea DPR",S896)),"North Korea",
ISNUMBER(SEARCH("China PR",S896)),"China",
ISNUMBER(SEARCH("IR Iran",S896)),"Iran",
ISNUMBER(SEARCH("Congo DR",S896)),"Democratic Republic of the Congo",
ISNUMBER(SEARCH("DR Congo",S896)),"Democratic Republic of the Congo",
ISNUMBER(SEARCH("German DR",S896)),"DR Germany",
ISNUMBER(SEARCH("rn""&gt;United Arab Emirates",S896)),"United Arab Emirates",
ISNUMBER(SEARCH("rn""&gt;Republic of Ireland",S896)),"Ireland",
ISNUMBER(SEARCH("rn""&gt;Bosnia and Herzegovina",S896)),"Bosnia and Herzegovina",
ISNUMBER(SEARCH("rn""&gt;Trinidad and Tobago",S896)),"Trinidad and Tobago",
ISNUMBER(SEARCH("rn""&gt;Serbia and Montenegro",S896)),"Serbia and Montenegro",
ISNUMBER(SEARCH(_xlfn.UNICHAR(65533),S896)),"Côte d'Ivoire",
TRUE,""
)</f>
        <v/>
      </c>
      <c r="W896" s="30" t="str">
        <f t="shared" si="77"/>
        <v>Brazil</v>
      </c>
      <c r="Z896" s="40" t="str">
        <v>Samara Arena</v>
      </c>
      <c r="AA896" s="40" t="str" cm="1">
        <f t="array" ref="AA896">IFERROR(_xlfn.XLOOKUP(Z896,_xlfn.ANCHORARRAY(Z$31),AA$31:AA$37),Z896)</f>
        <v>Samara Arena</v>
      </c>
      <c r="AB896" s="42" t="str">
        <v>Samara</v>
      </c>
      <c r="AC896" s="89" t="str">
        <f t="shared" si="78"/>
        <v>Samara</v>
      </c>
      <c r="AE896" s="42">
        <v>2014</v>
      </c>
      <c r="AK896" s="42">
        <v>3</v>
      </c>
      <c r="AL896" s="42">
        <v>1</v>
      </c>
      <c r="AW896" s="89" t="str">
        <v>ROUND_OF_16</v>
      </c>
      <c r="BE896" s="43" t="str">
        <f>IF(OR(DATA_CLEANED!AL887="",DATA_CLEANED!AM887=""),"MANQUANT",IF(OR(NOT(ISNUMBER(DATA_CLEANED!AL887)),NOT(ISNUMBER(DATA_CLEANED!AM887))),"ENTREE INVALIDE",IF(OR(DATA_CLEANED!AL887&lt;0,DATA_CLEANED!AM887&lt;0),"SCORE NEGATIF","OK")))</f>
        <v>OK</v>
      </c>
      <c r="BF896" s="43" t="str">
        <f>IF(DATA_CLEANED!AK887&lt;&gt;DATA_CLEANED!AN887,"OK","ERREUR")</f>
        <v>OK</v>
      </c>
      <c r="BG896" s="43" t="str">
        <f>IF(DATA_CLEANED!AL887&gt;DATA_CLEANED!AM887,DATA_CLEANED!AK887,IF(AND(DATA_QUALITE!W5373="-",DATA_CLEANED!AM887=DATA_CLEANED!AL887),"MATCH NUL",IF(AND(DATA_QUALITE!V5373="-",DATA_QUALITE!U5373="AUCUNE"),DATA_QUALITE!T5373,IF(DATA_QUALITE!V5373&lt;&gt;"-",DATA_QUALITE!V5373,DATA_CLEANED!AN887))))</f>
        <v>France</v>
      </c>
      <c r="BH896" s="103" t="str">
        <f>IF(AND(BG896="MATCH NUL",DATA_CLEANED!AO887="-"),"MATCH_NUL",IF(ISNUMBER(SEARCH("win on penalties",W5373)),"WIN_BY_PENALTY",IF(ISNUMBER(SEARCH("win after extra time",W5373)),"WIN_BY_EXTRA_TIME",IF(ISNUMBER(SEARCH("Golden Goal",W5373)),"WIN_BY_GOLDEN_GOAL","WIN_BY_SCORE"))))</f>
        <v>WIN_BY_SCORE</v>
      </c>
      <c r="BI896" s="99" t="str">
        <f>IF(OR(BG896=DATA_CLEANED!AK887,BG896=DATA_CLEANED!AN887,BG896="MATCH NUL"),"OK","ERREUR")</f>
        <v>OK</v>
      </c>
    </row>
    <row r="897" spans="2:61">
      <c r="B897" s="75">
        <v>460</v>
      </c>
      <c r="C897" s="15" t="str">
        <v>Pedro Vite</v>
      </c>
      <c r="D897" s="15">
        <v>24</v>
      </c>
      <c r="E897" s="15" t="str">
        <v>Ecuador</v>
      </c>
      <c r="F897" s="15" t="str">
        <v>CAM</v>
      </c>
      <c r="G897" s="15" t="str">
        <v>Pumas UNAM</v>
      </c>
      <c r="H897" s="15">
        <v>15</v>
      </c>
      <c r="I897" s="15" t="str">
        <f t="shared" si="79"/>
        <v>460|Pedro Vite|24|Ecuador|CAM|Pumas UNAM|15</v>
      </c>
      <c r="J897" s="15" t="str">
        <f>IF(COUNTIF(I$438:I897,I897)&gt;1,"DOUBLON","OK")</f>
        <v>OK</v>
      </c>
      <c r="S897" s="30" t="str">
        <v>Netherlands</v>
      </c>
      <c r="T897" s="30" t="str">
        <f t="shared" si="80"/>
        <v>OK</v>
      </c>
      <c r="U897" s="30" t="str">
        <f t="shared" si="81"/>
        <v>-</v>
      </c>
      <c r="V897" s="30" t="str" cm="1">
        <f t="array" ref="V897">_xlfn.IFS(
ISNUMBER(SEARCH("USA",S897)),"United States",
ISNUMBER(SEARCH("Republic of Korea",S897)),"South Korea",
ISNUMBER(SEARCH("Cape Verde",S897)),"Cabo Verde",
ISNUMBER(SEARCH("Czechia",S897)),"Czech Republic",
ISNUMBER(SEARCH("Türkiye",S897)),"Turkey",
ISNUMBER(SEARCH("Ivory Coast",S897)),"Côte d'Ivoire",
ISNUMBER(SEARCH("Korea Republic",S897)),"South Korea",
ISNUMBER(SEARCH("Germany FR",S897)),"FR Germany",
ISNUMBER(SEARCH("West Germany",S897)),"FR Germany",
ISNUMBER(SEARCH("Germany DR",S897)),"DR Germany",
ISNUMBER(SEARCH("Korea DPR",S897)),"North Korea",
ISNUMBER(SEARCH("China PR",S897)),"China",
ISNUMBER(SEARCH("IR Iran",S897)),"Iran",
ISNUMBER(SEARCH("Congo DR",S897)),"Democratic Republic of the Congo",
ISNUMBER(SEARCH("DR Congo",S897)),"Democratic Republic of the Congo",
ISNUMBER(SEARCH("German DR",S897)),"DR Germany",
ISNUMBER(SEARCH("rn""&gt;United Arab Emirates",S897)),"United Arab Emirates",
ISNUMBER(SEARCH("rn""&gt;Republic of Ireland",S897)),"Ireland",
ISNUMBER(SEARCH("rn""&gt;Bosnia and Herzegovina",S897)),"Bosnia and Herzegovina",
ISNUMBER(SEARCH("rn""&gt;Trinidad and Tobago",S897)),"Trinidad and Tobago",
ISNUMBER(SEARCH("rn""&gt;Serbia and Montenegro",S897)),"Serbia and Montenegro",
ISNUMBER(SEARCH(_xlfn.UNICHAR(65533),S897)),"Côte d'Ivoire",
TRUE,""
)</f>
        <v/>
      </c>
      <c r="W897" s="30" t="str">
        <f t="shared" si="77"/>
        <v>Netherlands</v>
      </c>
      <c r="Z897" s="40" t="str">
        <v>Central Stadium</v>
      </c>
      <c r="AA897" s="40" t="str" cm="1">
        <f t="array" ref="AA897">IFERROR(_xlfn.XLOOKUP(Z897,_xlfn.ANCHORARRAY(Z$31),AA$31:AA$37),Z897)</f>
        <v>Central Stadium</v>
      </c>
      <c r="AB897" s="42" t="str">
        <v>Yekaterinburg</v>
      </c>
      <c r="AC897" s="89" t="str">
        <f t="shared" si="78"/>
        <v>Yekaterinburg</v>
      </c>
      <c r="AE897" s="42">
        <v>2014</v>
      </c>
      <c r="AK897" s="42">
        <v>0</v>
      </c>
      <c r="AL897" s="42">
        <v>3</v>
      </c>
      <c r="AW897" s="89" t="str">
        <v>ROUND_OF_16</v>
      </c>
      <c r="BE897" s="43" t="str">
        <f>IF(OR(DATA_CLEANED!AL888="",DATA_CLEANED!AM888=""),"MANQUANT",IF(OR(NOT(ISNUMBER(DATA_CLEANED!AL888)),NOT(ISNUMBER(DATA_CLEANED!AM888))),"ENTREE INVALIDE",IF(OR(DATA_CLEANED!AL888&lt;0,DATA_CLEANED!AM888&lt;0),"SCORE NEGATIF","OK")))</f>
        <v>OK</v>
      </c>
      <c r="BF897" s="43" t="str">
        <f>IF(DATA_CLEANED!AK888&lt;&gt;DATA_CLEANED!AN888,"OK","ERREUR")</f>
        <v>OK</v>
      </c>
      <c r="BG897" s="43" t="str">
        <f>IF(DATA_CLEANED!AL888&gt;DATA_CLEANED!AM888,DATA_CLEANED!AK888,IF(AND(DATA_QUALITE!W5374="-",DATA_CLEANED!AM888=DATA_CLEANED!AL888),"MATCH NUL",IF(AND(DATA_QUALITE!V5374="-",DATA_QUALITE!U5374="AUCUNE"),DATA_QUALITE!T5374,IF(DATA_QUALITE!V5374&lt;&gt;"-",DATA_QUALITE!V5374,DATA_CLEANED!AN888))))</f>
        <v>Uruguay</v>
      </c>
      <c r="BH897" s="103" t="str">
        <f>IF(AND(BG897="MATCH NUL",DATA_CLEANED!AO888="-"),"MATCH_NUL",IF(ISNUMBER(SEARCH("win on penalties",W5374)),"WIN_BY_PENALTY",IF(ISNUMBER(SEARCH("win after extra time",W5374)),"WIN_BY_EXTRA_TIME",IF(ISNUMBER(SEARCH("Golden Goal",W5374)),"WIN_BY_GOLDEN_GOAL","WIN_BY_SCORE"))))</f>
        <v>WIN_BY_SCORE</v>
      </c>
      <c r="BI897" s="99" t="str">
        <f>IF(OR(BG897=DATA_CLEANED!AK888,BG897=DATA_CLEANED!AN888,BG897="MATCH NUL"),"OK","ERREUR")</f>
        <v>OK</v>
      </c>
    </row>
    <row r="898" spans="2:61">
      <c r="B898" s="75">
        <v>461</v>
      </c>
      <c r="C898" s="15" t="str">
        <v>Alan Minda</v>
      </c>
      <c r="D898" s="15">
        <v>23</v>
      </c>
      <c r="E898" s="15" t="str">
        <v>Ecuador</v>
      </c>
      <c r="F898" s="15" t="str">
        <v>LW</v>
      </c>
      <c r="G898" s="15" t="str">
        <v>Atlético Mineiro</v>
      </c>
      <c r="H898" s="15">
        <v>14</v>
      </c>
      <c r="I898" s="15" t="str">
        <f t="shared" si="79"/>
        <v>461|Alan Minda|23|Ecuador|LW|Atlético Mineiro|14</v>
      </c>
      <c r="J898" s="15" t="str">
        <f>IF(COUNTIF(I$438:I898,I898)&gt;1,"DOUBLON","OK")</f>
        <v>OK</v>
      </c>
      <c r="S898" s="30" t="str">
        <v>Brazil</v>
      </c>
      <c r="T898" s="30" t="str">
        <f t="shared" si="80"/>
        <v>OK</v>
      </c>
      <c r="U898" s="30" t="str">
        <f t="shared" si="81"/>
        <v>-</v>
      </c>
      <c r="V898" s="30" t="str" cm="1">
        <f t="array" ref="V898">_xlfn.IFS(
ISNUMBER(SEARCH("USA",S898)),"United States",
ISNUMBER(SEARCH("Republic of Korea",S898)),"South Korea",
ISNUMBER(SEARCH("Cape Verde",S898)),"Cabo Verde",
ISNUMBER(SEARCH("Czechia",S898)),"Czech Republic",
ISNUMBER(SEARCH("Türkiye",S898)),"Turkey",
ISNUMBER(SEARCH("Ivory Coast",S898)),"Côte d'Ivoire",
ISNUMBER(SEARCH("Korea Republic",S898)),"South Korea",
ISNUMBER(SEARCH("Germany FR",S898)),"FR Germany",
ISNUMBER(SEARCH("West Germany",S898)),"FR Germany",
ISNUMBER(SEARCH("Germany DR",S898)),"DR Germany",
ISNUMBER(SEARCH("Korea DPR",S898)),"North Korea",
ISNUMBER(SEARCH("China PR",S898)),"China",
ISNUMBER(SEARCH("IR Iran",S898)),"Iran",
ISNUMBER(SEARCH("Congo DR",S898)),"Democratic Republic of the Congo",
ISNUMBER(SEARCH("DR Congo",S898)),"Democratic Republic of the Congo",
ISNUMBER(SEARCH("German DR",S898)),"DR Germany",
ISNUMBER(SEARCH("rn""&gt;United Arab Emirates",S898)),"United Arab Emirates",
ISNUMBER(SEARCH("rn""&gt;Republic of Ireland",S898)),"Ireland",
ISNUMBER(SEARCH("rn""&gt;Bosnia and Herzegovina",S898)),"Bosnia and Herzegovina",
ISNUMBER(SEARCH("rn""&gt;Trinidad and Tobago",S898)),"Trinidad and Tobago",
ISNUMBER(SEARCH("rn""&gt;Serbia and Montenegro",S898)),"Serbia and Montenegro",
ISNUMBER(SEARCH(_xlfn.UNICHAR(65533),S898)),"Côte d'Ivoire",
TRUE,""
)</f>
        <v/>
      </c>
      <c r="W898" s="30" t="str">
        <f t="shared" si="77"/>
        <v>Brazil</v>
      </c>
      <c r="Z898" s="40" t="str">
        <v>Nizhny Novgorod Stadium</v>
      </c>
      <c r="AA898" s="40" t="str" cm="1">
        <f t="array" ref="AA898">IFERROR(_xlfn.XLOOKUP(Z898,_xlfn.ANCHORARRAY(Z$31),AA$31:AA$37),Z898)</f>
        <v>Nizhny Novgorod Stadium</v>
      </c>
      <c r="AB898" s="42" t="str">
        <v>Nizhny Novgorod</v>
      </c>
      <c r="AC898" s="89" t="str">
        <f t="shared" si="78"/>
        <v>Nizhny Novgorod</v>
      </c>
      <c r="AE898" s="42">
        <v>2014</v>
      </c>
      <c r="AK898" s="42">
        <v>0</v>
      </c>
      <c r="AL898" s="42">
        <v>0</v>
      </c>
      <c r="AW898" s="89" t="str">
        <v>ROUND_OF_16</v>
      </c>
      <c r="BE898" s="43" t="str">
        <f>IF(OR(DATA_CLEANED!AL889="",DATA_CLEANED!AM889=""),"MANQUANT",IF(OR(NOT(ISNUMBER(DATA_CLEANED!AL889)),NOT(ISNUMBER(DATA_CLEANED!AM889))),"ENTREE INVALIDE",IF(OR(DATA_CLEANED!AL889&lt;0,DATA_CLEANED!AM889&lt;0),"SCORE NEGATIF","OK")))</f>
        <v>OK</v>
      </c>
      <c r="BF898" s="43" t="str">
        <f>IF(DATA_CLEANED!AK889&lt;&gt;DATA_CLEANED!AN889,"OK","ERREUR")</f>
        <v>OK</v>
      </c>
      <c r="BG898" s="43" t="str">
        <f>IF(DATA_CLEANED!AL889&gt;DATA_CLEANED!AM889,DATA_CLEANED!AK889,IF(AND(DATA_QUALITE!W5375="-",DATA_CLEANED!AM889=DATA_CLEANED!AL889),"MATCH NUL",IF(AND(DATA_QUALITE!V5375="-",DATA_QUALITE!U5375="AUCUNE"),DATA_QUALITE!T5375,IF(DATA_QUALITE!V5375&lt;&gt;"-",DATA_QUALITE!V5375,DATA_CLEANED!AN889))))</f>
        <v>Russia</v>
      </c>
      <c r="BH898" s="103" t="str">
        <f>IF(AND(BG898="MATCH NUL",DATA_CLEANED!AO889="-"),"MATCH_NUL",IF(ISNUMBER(SEARCH("win on penalties",W5375)),"WIN_BY_PENALTY",IF(ISNUMBER(SEARCH("win after extra time",W5375)),"WIN_BY_EXTRA_TIME",IF(ISNUMBER(SEARCH("Golden Goal",W5375)),"WIN_BY_GOLDEN_GOAL","WIN_BY_SCORE"))))</f>
        <v>WIN_BY_PENALTY</v>
      </c>
      <c r="BI898" s="99" t="str">
        <f>IF(OR(BG898=DATA_CLEANED!AK889,BG898=DATA_CLEANED!AN889,BG898="MATCH NUL"),"OK","ERREUR")</f>
        <v>OK</v>
      </c>
    </row>
    <row r="899" spans="2:61">
      <c r="B899" s="75">
        <v>462</v>
      </c>
      <c r="C899" s="15" t="str">
        <v>Gonzalo Plata</v>
      </c>
      <c r="D899" s="15">
        <v>25</v>
      </c>
      <c r="E899" s="15" t="str">
        <v>Ecuador</v>
      </c>
      <c r="F899" s="15" t="str">
        <v>LW</v>
      </c>
      <c r="G899" s="15" t="str">
        <v>Flamengo</v>
      </c>
      <c r="H899" s="15">
        <v>19</v>
      </c>
      <c r="I899" s="15" t="str">
        <f t="shared" si="79"/>
        <v>462|Gonzalo Plata|25|Ecuador|LW|Flamengo|19</v>
      </c>
      <c r="J899" s="15" t="str">
        <f>IF(COUNTIF(I$438:I899,I899)&gt;1,"DOUBLON","OK")</f>
        <v>OK</v>
      </c>
      <c r="S899" s="30" t="str">
        <v>Netherlands</v>
      </c>
      <c r="T899" s="30" t="str">
        <f t="shared" si="80"/>
        <v>OK</v>
      </c>
      <c r="U899" s="30" t="str">
        <f t="shared" si="81"/>
        <v>-</v>
      </c>
      <c r="V899" s="30" t="str" cm="1">
        <f t="array" ref="V899">_xlfn.IFS(
ISNUMBER(SEARCH("USA",S899)),"United States",
ISNUMBER(SEARCH("Republic of Korea",S899)),"South Korea",
ISNUMBER(SEARCH("Cape Verde",S899)),"Cabo Verde",
ISNUMBER(SEARCH("Czechia",S899)),"Czech Republic",
ISNUMBER(SEARCH("Türkiye",S899)),"Turkey",
ISNUMBER(SEARCH("Ivory Coast",S899)),"Côte d'Ivoire",
ISNUMBER(SEARCH("Korea Republic",S899)),"South Korea",
ISNUMBER(SEARCH("Germany FR",S899)),"FR Germany",
ISNUMBER(SEARCH("West Germany",S899)),"FR Germany",
ISNUMBER(SEARCH("Germany DR",S899)),"DR Germany",
ISNUMBER(SEARCH("Korea DPR",S899)),"North Korea",
ISNUMBER(SEARCH("China PR",S899)),"China",
ISNUMBER(SEARCH("IR Iran",S899)),"Iran",
ISNUMBER(SEARCH("Congo DR",S899)),"Democratic Republic of the Congo",
ISNUMBER(SEARCH("DR Congo",S899)),"Democratic Republic of the Congo",
ISNUMBER(SEARCH("German DR",S899)),"DR Germany",
ISNUMBER(SEARCH("rn""&gt;United Arab Emirates",S899)),"United Arab Emirates",
ISNUMBER(SEARCH("rn""&gt;Republic of Ireland",S899)),"Ireland",
ISNUMBER(SEARCH("rn""&gt;Bosnia and Herzegovina",S899)),"Bosnia and Herzegovina",
ISNUMBER(SEARCH("rn""&gt;Trinidad and Tobago",S899)),"Trinidad and Tobago",
ISNUMBER(SEARCH("rn""&gt;Serbia and Montenegro",S899)),"Serbia and Montenegro",
ISNUMBER(SEARCH(_xlfn.UNICHAR(65533),S899)),"Côte d'Ivoire",
TRUE,""
)</f>
        <v/>
      </c>
      <c r="W899" s="30" t="str">
        <f t="shared" si="77"/>
        <v>Netherlands</v>
      </c>
      <c r="Z899" s="40" t="str">
        <v>Krestovsky Stadium</v>
      </c>
      <c r="AA899" s="40" t="str" cm="1">
        <f t="array" ref="AA899">IFERROR(_xlfn.XLOOKUP(Z899,_xlfn.ANCHORARRAY(Z$31),AA$31:AA$37),Z899)</f>
        <v>Krestovsky Stadium</v>
      </c>
      <c r="AB899" s="42" t="str">
        <v>Saint Petersburg</v>
      </c>
      <c r="AC899" s="89" t="str">
        <f t="shared" si="78"/>
        <v>Saint Petersburg</v>
      </c>
      <c r="AE899" s="42">
        <v>2014</v>
      </c>
      <c r="AK899" s="42">
        <v>0</v>
      </c>
      <c r="AL899" s="42">
        <v>1</v>
      </c>
      <c r="AW899" s="89" t="str">
        <v>ROUND_OF_16</v>
      </c>
      <c r="BE899" s="43" t="str">
        <f>IF(OR(DATA_CLEANED!AL890="",DATA_CLEANED!AM890=""),"MANQUANT",IF(OR(NOT(ISNUMBER(DATA_CLEANED!AL890)),NOT(ISNUMBER(DATA_CLEANED!AM890))),"ENTREE INVALIDE",IF(OR(DATA_CLEANED!AL890&lt;0,DATA_CLEANED!AM890&lt;0),"SCORE NEGATIF","OK")))</f>
        <v>OK</v>
      </c>
      <c r="BF899" s="43" t="str">
        <f>IF(DATA_CLEANED!AK890&lt;&gt;DATA_CLEANED!AN890,"OK","ERREUR")</f>
        <v>OK</v>
      </c>
      <c r="BG899" s="43" t="str">
        <f>IF(DATA_CLEANED!AL890&gt;DATA_CLEANED!AM890,DATA_CLEANED!AK890,IF(AND(DATA_QUALITE!W5376="-",DATA_CLEANED!AM890=DATA_CLEANED!AL890),"MATCH NUL",IF(AND(DATA_QUALITE!V5376="-",DATA_QUALITE!U5376="AUCUNE"),DATA_QUALITE!T5376,IF(DATA_QUALITE!V5376&lt;&gt;"-",DATA_QUALITE!V5376,DATA_CLEANED!AN890))))</f>
        <v>Croatia</v>
      </c>
      <c r="BH899" s="103" t="str">
        <f>IF(AND(BG899="MATCH NUL",DATA_CLEANED!AO890="-"),"MATCH_NUL",IF(ISNUMBER(SEARCH("win on penalties",W5376)),"WIN_BY_PENALTY",IF(ISNUMBER(SEARCH("win after extra time",W5376)),"WIN_BY_EXTRA_TIME",IF(ISNUMBER(SEARCH("Golden Goal",W5376)),"WIN_BY_GOLDEN_GOAL","WIN_BY_SCORE"))))</f>
        <v>WIN_BY_PENALTY</v>
      </c>
      <c r="BI899" s="99" t="str">
        <f>IF(OR(BG899=DATA_CLEANED!AK890,BG899=DATA_CLEANED!AN890,BG899="MATCH NUL"),"OK","ERREUR")</f>
        <v>OK</v>
      </c>
    </row>
    <row r="900" spans="2:61">
      <c r="B900" s="75">
        <v>463</v>
      </c>
      <c r="C900" s="15" t="str">
        <v>Nilson Angulo</v>
      </c>
      <c r="D900" s="15">
        <v>22</v>
      </c>
      <c r="E900" s="15" t="str">
        <v>Ecuador</v>
      </c>
      <c r="F900" s="15" t="str">
        <v>LW</v>
      </c>
      <c r="G900" s="15" t="str">
        <v>Sunderland</v>
      </c>
      <c r="H900" s="15">
        <v>20</v>
      </c>
      <c r="I900" s="15" t="str">
        <f t="shared" si="79"/>
        <v>463|Nilson Angulo|22|Ecuador|LW|Sunderland|20</v>
      </c>
      <c r="J900" s="15" t="str">
        <f>IF(COUNTIF(I$438:I900,I900)&gt;1,"DOUBLON","OK")</f>
        <v>OK</v>
      </c>
      <c r="S900" s="30" t="str">
        <v>Spain</v>
      </c>
      <c r="T900" s="30" t="str">
        <f t="shared" si="80"/>
        <v>OK</v>
      </c>
      <c r="U900" s="30" t="str">
        <f t="shared" si="81"/>
        <v>-</v>
      </c>
      <c r="V900" s="30" t="str" cm="1">
        <f t="array" ref="V900">_xlfn.IFS(
ISNUMBER(SEARCH("USA",S900)),"United States",
ISNUMBER(SEARCH("Republic of Korea",S900)),"South Korea",
ISNUMBER(SEARCH("Cape Verde",S900)),"Cabo Verde",
ISNUMBER(SEARCH("Czechia",S900)),"Czech Republic",
ISNUMBER(SEARCH("Türkiye",S900)),"Turkey",
ISNUMBER(SEARCH("Ivory Coast",S900)),"Côte d'Ivoire",
ISNUMBER(SEARCH("Korea Republic",S900)),"South Korea",
ISNUMBER(SEARCH("Germany FR",S900)),"FR Germany",
ISNUMBER(SEARCH("West Germany",S900)),"FR Germany",
ISNUMBER(SEARCH("Germany DR",S900)),"DR Germany",
ISNUMBER(SEARCH("Korea DPR",S900)),"North Korea",
ISNUMBER(SEARCH("China PR",S900)),"China",
ISNUMBER(SEARCH("IR Iran",S900)),"Iran",
ISNUMBER(SEARCH("Congo DR",S900)),"Democratic Republic of the Congo",
ISNUMBER(SEARCH("DR Congo",S900)),"Democratic Republic of the Congo",
ISNUMBER(SEARCH("German DR",S900)),"DR Germany",
ISNUMBER(SEARCH("rn""&gt;United Arab Emirates",S900)),"United Arab Emirates",
ISNUMBER(SEARCH("rn""&gt;Republic of Ireland",S900)),"Ireland",
ISNUMBER(SEARCH("rn""&gt;Bosnia and Herzegovina",S900)),"Bosnia and Herzegovina",
ISNUMBER(SEARCH("rn""&gt;Trinidad and Tobago",S900)),"Trinidad and Tobago",
ISNUMBER(SEARCH("rn""&gt;Serbia and Montenegro",S900)),"Serbia and Montenegro",
ISNUMBER(SEARCH(_xlfn.UNICHAR(65533),S900)),"Côte d'Ivoire",
TRUE,""
)</f>
        <v/>
      </c>
      <c r="W900" s="30" t="str">
        <f t="shared" si="77"/>
        <v>Spain</v>
      </c>
      <c r="Z900" s="40" t="str">
        <v>Volgograd Arena</v>
      </c>
      <c r="AA900" s="40" t="str" cm="1">
        <f t="array" ref="AA900">IFERROR(_xlfn.XLOOKUP(Z900,_xlfn.ANCHORARRAY(Z$31),AA$31:AA$37),Z900)</f>
        <v>Volgograd Arena</v>
      </c>
      <c r="AB900" s="42" t="str">
        <v>Volgograd</v>
      </c>
      <c r="AC900" s="89" t="str">
        <f t="shared" si="78"/>
        <v>Volgograd</v>
      </c>
      <c r="AE900" s="42">
        <v>2014</v>
      </c>
      <c r="AK900" s="42">
        <v>2</v>
      </c>
      <c r="AL900" s="42">
        <v>1</v>
      </c>
      <c r="AW900" s="89" t="str">
        <v>ROUND_OF_16</v>
      </c>
      <c r="BE900" s="43" t="str">
        <f>IF(OR(DATA_CLEANED!AL891="",DATA_CLEANED!AM891=""),"MANQUANT",IF(OR(NOT(ISNUMBER(DATA_CLEANED!AL891)),NOT(ISNUMBER(DATA_CLEANED!AM891))),"ENTREE INVALIDE",IF(OR(DATA_CLEANED!AL891&lt;0,DATA_CLEANED!AM891&lt;0),"SCORE NEGATIF","OK")))</f>
        <v>OK</v>
      </c>
      <c r="BF900" s="43" t="str">
        <f>IF(DATA_CLEANED!AK891&lt;&gt;DATA_CLEANED!AN891,"OK","ERREUR")</f>
        <v>OK</v>
      </c>
      <c r="BG900" s="43" t="str">
        <f>IF(DATA_CLEANED!AL891&gt;DATA_CLEANED!AM891,DATA_CLEANED!AK891,IF(AND(DATA_QUALITE!W5377="-",DATA_CLEANED!AM891=DATA_CLEANED!AL891),"MATCH NUL",IF(AND(DATA_QUALITE!V5377="-",DATA_QUALITE!U5377="AUCUNE"),DATA_QUALITE!T5377,IF(DATA_QUALITE!V5377&lt;&gt;"-",DATA_QUALITE!V5377,DATA_CLEANED!AN891))))</f>
        <v>Brazil</v>
      </c>
      <c r="BH900" s="103" t="str">
        <f>IF(AND(BG900="MATCH NUL",DATA_CLEANED!AO891="-"),"MATCH_NUL",IF(ISNUMBER(SEARCH("win on penalties",W5377)),"WIN_BY_PENALTY",IF(ISNUMBER(SEARCH("win after extra time",W5377)),"WIN_BY_EXTRA_TIME",IF(ISNUMBER(SEARCH("Golden Goal",W5377)),"WIN_BY_GOLDEN_GOAL","WIN_BY_SCORE"))))</f>
        <v>WIN_BY_SCORE</v>
      </c>
      <c r="BI900" s="99" t="str">
        <f>IF(OR(BG900=DATA_CLEANED!AK891,BG900=DATA_CLEANED!AN891,BG900="MATCH NUL"),"OK","ERREUR")</f>
        <v>OK</v>
      </c>
    </row>
    <row r="901" spans="2:61">
      <c r="B901" s="75">
        <v>464</v>
      </c>
      <c r="C901" s="15" t="str">
        <v>John Yeboah</v>
      </c>
      <c r="D901" s="15">
        <v>25</v>
      </c>
      <c r="E901" s="15" t="str">
        <v>Ecuador</v>
      </c>
      <c r="F901" s="15" t="str">
        <v>RW</v>
      </c>
      <c r="G901" s="15" t="str">
        <v>Venezia</v>
      </c>
      <c r="H901" s="15">
        <v>9</v>
      </c>
      <c r="I901" s="15" t="str">
        <f t="shared" si="79"/>
        <v>464|John Yeboah|25|Ecuador|RW|Venezia|9</v>
      </c>
      <c r="J901" s="15" t="str">
        <f>IF(COUNTIF(I$438:I901,I901)&gt;1,"DOUBLON","OK")</f>
        <v>OK</v>
      </c>
      <c r="S901" s="30" t="str">
        <v>Republic of Ireland</v>
      </c>
      <c r="T901" s="30" t="str">
        <f t="shared" si="80"/>
        <v>ERREUR</v>
      </c>
      <c r="U901" s="30" t="str">
        <f t="shared" si="81"/>
        <v>RENOMMER</v>
      </c>
      <c r="V901" s="30" t="str" cm="1">
        <f t="array" ref="V901">_xlfn.IFS(
ISNUMBER(SEARCH("USA",S901)),"United States",
ISNUMBER(SEARCH("Republic of Korea",S901)),"South Korea",
ISNUMBER(SEARCH("Cape Verde",S901)),"Cabo Verde",
ISNUMBER(SEARCH("Czechia",S901)),"Czech Republic",
ISNUMBER(SEARCH("Türkiye",S901)),"Turkey",
ISNUMBER(SEARCH("Ivory Coast",S901)),"Côte d'Ivoire",
ISNUMBER(SEARCH("Korea Republic",S901)),"South Korea",
ISNUMBER(SEARCH("Germany FR",S901)),"FR Germany",
ISNUMBER(SEARCH("West Germany",S901)),"FR Germany",
ISNUMBER(SEARCH("Germany DR",S901)),"DR Germany",
ISNUMBER(SEARCH("Korea DPR",S901)),"North Korea",
ISNUMBER(SEARCH("China PR",S901)),"China",
ISNUMBER(SEARCH("IR Iran",S901)),"Iran",
ISNUMBER(SEARCH("Congo DR",S901)),"Democratic Republic of the Congo",
ISNUMBER(SEARCH("DR Congo",S901)),"Democratic Republic of the Congo",
ISNUMBER(SEARCH("German DR",S901)),"DR Germany",
ISNUMBER(SEARCH("rn""&gt;United Arab Emirates",S901)),"United Arab Emirates",
ISNUMBER(SEARCH("rn""&gt;Republic of Ireland",S901)),"Ireland",
ISNUMBER(SEARCH("rn""&gt;Bosnia and Herzegovina",S901)),"Bosnia and Herzegovina",
ISNUMBER(SEARCH("rn""&gt;Trinidad and Tobago",S901)),"Trinidad and Tobago",
ISNUMBER(SEARCH("rn""&gt;Serbia and Montenegro",S901)),"Serbia and Montenegro",
ISNUMBER(SEARCH(_xlfn.UNICHAR(65533),S901)),"Côte d'Ivoire",
TRUE,""
)</f>
        <v/>
      </c>
      <c r="W901" s="30" t="str">
        <f t="shared" si="77"/>
        <v>Republic of Ireland</v>
      </c>
      <c r="Z901" s="40" t="str">
        <v>Kaliningrad Stadium</v>
      </c>
      <c r="AA901" s="40" t="str" cm="1">
        <f t="array" ref="AA901">IFERROR(_xlfn.XLOOKUP(Z901,_xlfn.ANCHORARRAY(Z$31),AA$31:AA$37),Z901)</f>
        <v>Kaliningrad Stadium</v>
      </c>
      <c r="AB901" s="42" t="str">
        <v>Kaliningrad</v>
      </c>
      <c r="AC901" s="89" t="str">
        <f t="shared" si="78"/>
        <v>Kaliningrad</v>
      </c>
      <c r="AE901" s="42">
        <v>2014</v>
      </c>
      <c r="AK901" s="42">
        <v>0</v>
      </c>
      <c r="AL901" s="42">
        <v>1</v>
      </c>
      <c r="AW901" s="89" t="str">
        <v>ROUND_OF_16</v>
      </c>
      <c r="BE901" s="43" t="str">
        <f>IF(OR(DATA_CLEANED!AL892="",DATA_CLEANED!AM892=""),"MANQUANT",IF(OR(NOT(ISNUMBER(DATA_CLEANED!AL892)),NOT(ISNUMBER(DATA_CLEANED!AM892))),"ENTREE INVALIDE",IF(OR(DATA_CLEANED!AL892&lt;0,DATA_CLEANED!AM892&lt;0),"SCORE NEGATIF","OK")))</f>
        <v>OK</v>
      </c>
      <c r="BF901" s="43" t="str">
        <f>IF(DATA_CLEANED!AK892&lt;&gt;DATA_CLEANED!AN892,"OK","ERREUR")</f>
        <v>OK</v>
      </c>
      <c r="BG901" s="43" t="str">
        <f>IF(DATA_CLEANED!AL892&gt;DATA_CLEANED!AM892,DATA_CLEANED!AK892,IF(AND(DATA_QUALITE!W5378="-",DATA_CLEANED!AM892=DATA_CLEANED!AL892),"MATCH NUL",IF(AND(DATA_QUALITE!V5378="-",DATA_QUALITE!U5378="AUCUNE"),DATA_QUALITE!T5378,IF(DATA_QUALITE!V5378&lt;&gt;"-",DATA_QUALITE!V5378,DATA_CLEANED!AN892))))</f>
        <v>Belgium</v>
      </c>
      <c r="BH901" s="103" t="str">
        <f>IF(AND(BG901="MATCH NUL",DATA_CLEANED!AO892="-"),"MATCH_NUL",IF(ISNUMBER(SEARCH("win on penalties",W5378)),"WIN_BY_PENALTY",IF(ISNUMBER(SEARCH("win after extra time",W5378)),"WIN_BY_EXTRA_TIME",IF(ISNUMBER(SEARCH("Golden Goal",W5378)),"WIN_BY_GOLDEN_GOAL","WIN_BY_SCORE"))))</f>
        <v>WIN_BY_SCORE</v>
      </c>
      <c r="BI901" s="99" t="str">
        <f>IF(OR(BG901=DATA_CLEANED!AK892,BG901=DATA_CLEANED!AN892,BG901="MATCH NUL"),"OK","ERREUR")</f>
        <v>OK</v>
      </c>
    </row>
    <row r="902" spans="2:61">
      <c r="B902" s="75">
        <v>465</v>
      </c>
      <c r="C902" s="15" t="str">
        <v>Jeremy Arévalo</v>
      </c>
      <c r="D902" s="15">
        <v>21</v>
      </c>
      <c r="E902" s="15" t="str">
        <v>Ecuador</v>
      </c>
      <c r="F902" s="15" t="str">
        <v>RW</v>
      </c>
      <c r="G902" s="15" t="str">
        <v>VfB Stuttgart</v>
      </c>
      <c r="H902" s="15">
        <v>24</v>
      </c>
      <c r="I902" s="15" t="str">
        <f t="shared" si="79"/>
        <v>465|Jeremy Arévalo|21|Ecuador|RW|VfB Stuttgart|24</v>
      </c>
      <c r="J902" s="15" t="str">
        <f>IF(COUNTIF(I$438:I902,I902)&gt;1,"DOUBLON","OK")</f>
        <v>OK</v>
      </c>
      <c r="S902" s="30" t="str">
        <v>Spain</v>
      </c>
      <c r="T902" s="30" t="str">
        <f t="shared" si="80"/>
        <v>OK</v>
      </c>
      <c r="U902" s="30" t="str">
        <f t="shared" si="81"/>
        <v>-</v>
      </c>
      <c r="V902" s="30" t="str" cm="1">
        <f t="array" ref="V902">_xlfn.IFS(
ISNUMBER(SEARCH("USA",S902)),"United States",
ISNUMBER(SEARCH("Republic of Korea",S902)),"South Korea",
ISNUMBER(SEARCH("Cape Verde",S902)),"Cabo Verde",
ISNUMBER(SEARCH("Czechia",S902)),"Czech Republic",
ISNUMBER(SEARCH("Türkiye",S902)),"Turkey",
ISNUMBER(SEARCH("Ivory Coast",S902)),"Côte d'Ivoire",
ISNUMBER(SEARCH("Korea Republic",S902)),"South Korea",
ISNUMBER(SEARCH("Germany FR",S902)),"FR Germany",
ISNUMBER(SEARCH("West Germany",S902)),"FR Germany",
ISNUMBER(SEARCH("Germany DR",S902)),"DR Germany",
ISNUMBER(SEARCH("Korea DPR",S902)),"North Korea",
ISNUMBER(SEARCH("China PR",S902)),"China",
ISNUMBER(SEARCH("IR Iran",S902)),"Iran",
ISNUMBER(SEARCH("Congo DR",S902)),"Democratic Republic of the Congo",
ISNUMBER(SEARCH("DR Congo",S902)),"Democratic Republic of the Congo",
ISNUMBER(SEARCH("German DR",S902)),"DR Germany",
ISNUMBER(SEARCH("rn""&gt;United Arab Emirates",S902)),"United Arab Emirates",
ISNUMBER(SEARCH("rn""&gt;Republic of Ireland",S902)),"Ireland",
ISNUMBER(SEARCH("rn""&gt;Bosnia and Herzegovina",S902)),"Bosnia and Herzegovina",
ISNUMBER(SEARCH("rn""&gt;Trinidad and Tobago",S902)),"Trinidad and Tobago",
ISNUMBER(SEARCH("rn""&gt;Serbia and Montenegro",S902)),"Serbia and Montenegro",
ISNUMBER(SEARCH(_xlfn.UNICHAR(65533),S902)),"Côte d'Ivoire",
TRUE,""
)</f>
        <v/>
      </c>
      <c r="W902" s="30" t="str">
        <f t="shared" si="77"/>
        <v>Spain</v>
      </c>
      <c r="Z902" s="40" t="str">
        <v>Otkritie Arena</v>
      </c>
      <c r="AA902" s="40" t="str" cm="1">
        <f t="array" ref="AA902">IFERROR(_xlfn.XLOOKUP(Z902,_xlfn.ANCHORARRAY(Z$31),AA$31:AA$37),Z902)</f>
        <v>Otkritie Arena</v>
      </c>
      <c r="AB902" s="42" t="str">
        <v>Moscow</v>
      </c>
      <c r="AC902" s="89" t="str">
        <f t="shared" si="78"/>
        <v>Moscow</v>
      </c>
      <c r="AE902" s="42">
        <v>2014</v>
      </c>
      <c r="AK902" s="42">
        <v>1</v>
      </c>
      <c r="AL902" s="42">
        <v>1</v>
      </c>
      <c r="AW902" s="89" t="str">
        <v>ROUND_OF_16</v>
      </c>
      <c r="BE902" s="43" t="str">
        <f>IF(OR(DATA_CLEANED!AL893="",DATA_CLEANED!AM893=""),"MANQUANT",IF(OR(NOT(ISNUMBER(DATA_CLEANED!AL893)),NOT(ISNUMBER(DATA_CLEANED!AM893))),"ENTREE INVALIDE",IF(OR(DATA_CLEANED!AL893&lt;0,DATA_CLEANED!AM893&lt;0),"SCORE NEGATIF","OK")))</f>
        <v>OK</v>
      </c>
      <c r="BF902" s="43" t="str">
        <f>IF(DATA_CLEANED!AK893&lt;&gt;DATA_CLEANED!AN893,"OK","ERREUR")</f>
        <v>OK</v>
      </c>
      <c r="BG902" s="43" t="str">
        <f>IF(DATA_CLEANED!AL893&gt;DATA_CLEANED!AM893,DATA_CLEANED!AK893,IF(AND(DATA_QUALITE!W5379="-",DATA_CLEANED!AM893=DATA_CLEANED!AL893),"MATCH NUL",IF(AND(DATA_QUALITE!V5379="-",DATA_QUALITE!U5379="AUCUNE"),DATA_QUALITE!T5379,IF(DATA_QUALITE!V5379&lt;&gt;"-",DATA_QUALITE!V5379,DATA_CLEANED!AN893))))</f>
        <v>Sweden</v>
      </c>
      <c r="BH902" s="103" t="str">
        <f>IF(AND(BG902="MATCH NUL",DATA_CLEANED!AO893="-"),"MATCH_NUL",IF(ISNUMBER(SEARCH("win on penalties",W5379)),"WIN_BY_PENALTY",IF(ISNUMBER(SEARCH("win after extra time",W5379)),"WIN_BY_EXTRA_TIME",IF(ISNUMBER(SEARCH("Golden Goal",W5379)),"WIN_BY_GOLDEN_GOAL","WIN_BY_SCORE"))))</f>
        <v>WIN_BY_SCORE</v>
      </c>
      <c r="BI902" s="99" t="str">
        <f>IF(OR(BG902=DATA_CLEANED!AK893,BG902=DATA_CLEANED!AN893,BG902="MATCH NUL"),"OK","ERREUR")</f>
        <v>OK</v>
      </c>
    </row>
    <row r="903" spans="2:61">
      <c r="B903" s="75">
        <v>466</v>
      </c>
      <c r="C903" s="15" t="str">
        <v>Kevin Rodríguez</v>
      </c>
      <c r="D903" s="15">
        <v>26</v>
      </c>
      <c r="E903" s="15" t="str">
        <v>Ecuador</v>
      </c>
      <c r="F903" s="15" t="str">
        <v>ST</v>
      </c>
      <c r="G903" s="15" t="str">
        <v>Union Saint-Gilloise</v>
      </c>
      <c r="H903" s="15">
        <v>11</v>
      </c>
      <c r="I903" s="15" t="str">
        <f t="shared" si="79"/>
        <v>466|Kevin Rodríguez|26|Ecuador|ST|Union Saint-Gilloise|11</v>
      </c>
      <c r="J903" s="15" t="str">
        <f>IF(COUNTIF(I$438:I903,I903)&gt;1,"DOUBLON","OK")</f>
        <v>OK</v>
      </c>
      <c r="S903" s="30" t="str">
        <v>Republic of Ireland</v>
      </c>
      <c r="T903" s="30" t="str">
        <f t="shared" si="80"/>
        <v>ERREUR</v>
      </c>
      <c r="U903" s="30" t="str">
        <f t="shared" si="81"/>
        <v>RENOMMER</v>
      </c>
      <c r="V903" s="30" t="str" cm="1">
        <f t="array" ref="V903">_xlfn.IFS(
ISNUMBER(SEARCH("USA",S903)),"United States",
ISNUMBER(SEARCH("Republic of Korea",S903)),"South Korea",
ISNUMBER(SEARCH("Cape Verde",S903)),"Cabo Verde",
ISNUMBER(SEARCH("Czechia",S903)),"Czech Republic",
ISNUMBER(SEARCH("Türkiye",S903)),"Turkey",
ISNUMBER(SEARCH("Ivory Coast",S903)),"Côte d'Ivoire",
ISNUMBER(SEARCH("Korea Republic",S903)),"South Korea",
ISNUMBER(SEARCH("Germany FR",S903)),"FR Germany",
ISNUMBER(SEARCH("West Germany",S903)),"FR Germany",
ISNUMBER(SEARCH("Germany DR",S903)),"DR Germany",
ISNUMBER(SEARCH("Korea DPR",S903)),"North Korea",
ISNUMBER(SEARCH("China PR",S903)),"China",
ISNUMBER(SEARCH("IR Iran",S903)),"Iran",
ISNUMBER(SEARCH("Congo DR",S903)),"Democratic Republic of the Congo",
ISNUMBER(SEARCH("DR Congo",S903)),"Democratic Republic of the Congo",
ISNUMBER(SEARCH("German DR",S903)),"DR Germany",
ISNUMBER(SEARCH("rn""&gt;United Arab Emirates",S903)),"United Arab Emirates",
ISNUMBER(SEARCH("rn""&gt;Republic of Ireland",S903)),"Ireland",
ISNUMBER(SEARCH("rn""&gt;Bosnia and Herzegovina",S903)),"Bosnia and Herzegovina",
ISNUMBER(SEARCH("rn""&gt;Trinidad and Tobago",S903)),"Trinidad and Tobago",
ISNUMBER(SEARCH("rn""&gt;Serbia and Montenegro",S903)),"Serbia and Montenegro",
ISNUMBER(SEARCH(_xlfn.UNICHAR(65533),S903)),"Côte d'Ivoire",
TRUE,""
)</f>
        <v/>
      </c>
      <c r="W903" s="30" t="str">
        <f t="shared" si="77"/>
        <v>Republic of Ireland</v>
      </c>
      <c r="Z903" s="40" t="str">
        <v>Rostov Arena</v>
      </c>
      <c r="AA903" s="40" t="str" cm="1">
        <f t="array" ref="AA903">IFERROR(_xlfn.XLOOKUP(Z903,_xlfn.ANCHORARRAY(Z$31),AA$31:AA$37),Z903)</f>
        <v>Rostov Arena</v>
      </c>
      <c r="AB903" s="42" t="str">
        <v>Rostov-on-Don</v>
      </c>
      <c r="AC903" s="89" t="str">
        <f t="shared" si="78"/>
        <v>Rostov-on-Don</v>
      </c>
      <c r="AE903" s="42">
        <v>2014</v>
      </c>
      <c r="AK903" s="42">
        <v>1</v>
      </c>
      <c r="AL903" s="42">
        <v>1</v>
      </c>
      <c r="AW903" s="89" t="str">
        <v>ROUND_OF_16</v>
      </c>
      <c r="BE903" s="43" t="str">
        <f>IF(OR(DATA_CLEANED!AL894="",DATA_CLEANED!AM894=""),"MANQUANT",IF(OR(NOT(ISNUMBER(DATA_CLEANED!AL894)),NOT(ISNUMBER(DATA_CLEANED!AM894))),"ENTREE INVALIDE",IF(OR(DATA_CLEANED!AL894&lt;0,DATA_CLEANED!AM894&lt;0),"SCORE NEGATIF","OK")))</f>
        <v>OK</v>
      </c>
      <c r="BF903" s="43" t="str">
        <f>IF(DATA_CLEANED!AK894&lt;&gt;DATA_CLEANED!AN894,"OK","ERREUR")</f>
        <v>OK</v>
      </c>
      <c r="BG903" s="43" t="str">
        <f>IF(DATA_CLEANED!AL894&gt;DATA_CLEANED!AM894,DATA_CLEANED!AK894,IF(AND(DATA_QUALITE!W5380="-",DATA_CLEANED!AM894=DATA_CLEANED!AL894),"MATCH NUL",IF(AND(DATA_QUALITE!V5380="-",DATA_QUALITE!U5380="AUCUNE"),DATA_QUALITE!T5380,IF(DATA_QUALITE!V5380&lt;&gt;"-",DATA_QUALITE!V5380,DATA_CLEANED!AN894))))</f>
        <v>England</v>
      </c>
      <c r="BH903" s="103" t="str">
        <f>IF(AND(BG903="MATCH NUL",DATA_CLEANED!AO894="-"),"MATCH_NUL",IF(ISNUMBER(SEARCH("win on penalties",W5380)),"WIN_BY_PENALTY",IF(ISNUMBER(SEARCH("win after extra time",W5380)),"WIN_BY_EXTRA_TIME",IF(ISNUMBER(SEARCH("Golden Goal",W5380)),"WIN_BY_GOLDEN_GOAL","WIN_BY_SCORE"))))</f>
        <v>WIN_BY_PENALTY</v>
      </c>
      <c r="BI903" s="99" t="str">
        <f>IF(OR(BG903=DATA_CLEANED!AK894,BG903=DATA_CLEANED!AN894,BG903="MATCH NUL"),"OK","ERREUR")</f>
        <v>OK</v>
      </c>
    </row>
    <row r="904" spans="2:61">
      <c r="B904" s="75">
        <v>467</v>
      </c>
      <c r="C904" s="15" t="str">
        <v>Enner Valencia</v>
      </c>
      <c r="D904" s="15">
        <v>36</v>
      </c>
      <c r="E904" s="15" t="str">
        <v>Ecuador</v>
      </c>
      <c r="F904" s="15" t="str">
        <v>ST</v>
      </c>
      <c r="G904" s="15" t="str">
        <v>Pachuca</v>
      </c>
      <c r="H904" s="15">
        <v>13</v>
      </c>
      <c r="I904" s="15" t="str">
        <f t="shared" si="79"/>
        <v>467|Enner Valencia|36|Ecuador|ST|Pachuca|13</v>
      </c>
      <c r="J904" s="15" t="str">
        <f>IF(COUNTIF(I$438:I904,I904)&gt;1,"DOUBLON","OK")</f>
        <v>OK</v>
      </c>
      <c r="S904" s="30" t="str">
        <v>Spain</v>
      </c>
      <c r="T904" s="30" t="str">
        <f t="shared" si="80"/>
        <v>OK</v>
      </c>
      <c r="U904" s="30" t="str">
        <f t="shared" si="81"/>
        <v>-</v>
      </c>
      <c r="V904" s="30" t="str" cm="1">
        <f t="array" ref="V904">_xlfn.IFS(
ISNUMBER(SEARCH("USA",S904)),"United States",
ISNUMBER(SEARCH("Republic of Korea",S904)),"South Korea",
ISNUMBER(SEARCH("Cape Verde",S904)),"Cabo Verde",
ISNUMBER(SEARCH("Czechia",S904)),"Czech Republic",
ISNUMBER(SEARCH("Türkiye",S904)),"Turkey",
ISNUMBER(SEARCH("Ivory Coast",S904)),"Côte d'Ivoire",
ISNUMBER(SEARCH("Korea Republic",S904)),"South Korea",
ISNUMBER(SEARCH("Germany FR",S904)),"FR Germany",
ISNUMBER(SEARCH("West Germany",S904)),"FR Germany",
ISNUMBER(SEARCH("Germany DR",S904)),"DR Germany",
ISNUMBER(SEARCH("Korea DPR",S904)),"North Korea",
ISNUMBER(SEARCH("China PR",S904)),"China",
ISNUMBER(SEARCH("IR Iran",S904)),"Iran",
ISNUMBER(SEARCH("Congo DR",S904)),"Democratic Republic of the Congo",
ISNUMBER(SEARCH("DR Congo",S904)),"Democratic Republic of the Congo",
ISNUMBER(SEARCH("German DR",S904)),"DR Germany",
ISNUMBER(SEARCH("rn""&gt;United Arab Emirates",S904)),"United Arab Emirates",
ISNUMBER(SEARCH("rn""&gt;Republic of Ireland",S904)),"Ireland",
ISNUMBER(SEARCH("rn""&gt;Bosnia and Herzegovina",S904)),"Bosnia and Herzegovina",
ISNUMBER(SEARCH("rn""&gt;Trinidad and Tobago",S904)),"Trinidad and Tobago",
ISNUMBER(SEARCH("rn""&gt;Serbia and Montenegro",S904)),"Serbia and Montenegro",
ISNUMBER(SEARCH(_xlfn.UNICHAR(65533),S904)),"Côte d'Ivoire",
TRUE,""
)</f>
        <v/>
      </c>
      <c r="W904" s="30" t="str">
        <f t="shared" si="77"/>
        <v>Spain</v>
      </c>
      <c r="Z904" s="40" t="str">
        <v>Fisht Olympic Stadium</v>
      </c>
      <c r="AA904" s="40" t="str" cm="1">
        <f t="array" ref="AA904">IFERROR(_xlfn.XLOOKUP(Z904,_xlfn.ANCHORARRAY(Z$31),AA$31:AA$37),Z904)</f>
        <v>Fisht Olympic Stadium</v>
      </c>
      <c r="AB904" s="42" t="str">
        <v>Sochi</v>
      </c>
      <c r="AC904" s="89" t="str">
        <f t="shared" si="78"/>
        <v>Sochi</v>
      </c>
      <c r="AE904" s="42">
        <v>2014</v>
      </c>
      <c r="AK904" s="42">
        <v>2</v>
      </c>
      <c r="AL904" s="42">
        <v>0</v>
      </c>
      <c r="AW904" s="89" t="str">
        <v>QUARTER_FINALS</v>
      </c>
      <c r="BE904" s="43" t="str">
        <f>IF(OR(DATA_CLEANED!AL895="",DATA_CLEANED!AM895=""),"MANQUANT",IF(OR(NOT(ISNUMBER(DATA_CLEANED!AL895)),NOT(ISNUMBER(DATA_CLEANED!AM895))),"ENTREE INVALIDE",IF(OR(DATA_CLEANED!AL895&lt;0,DATA_CLEANED!AM895&lt;0),"SCORE NEGATIF","OK")))</f>
        <v>OK</v>
      </c>
      <c r="BF904" s="43" t="str">
        <f>IF(DATA_CLEANED!AK895&lt;&gt;DATA_CLEANED!AN895,"OK","ERREUR")</f>
        <v>OK</v>
      </c>
      <c r="BG904" s="43" t="str">
        <f>IF(DATA_CLEANED!AL895&gt;DATA_CLEANED!AM895,DATA_CLEANED!AK895,IF(AND(DATA_QUALITE!W5381="-",DATA_CLEANED!AM895=DATA_CLEANED!AL895),"MATCH NUL",IF(AND(DATA_QUALITE!V5381="-",DATA_QUALITE!U5381="AUCUNE"),DATA_QUALITE!T5381,IF(DATA_QUALITE!V5381&lt;&gt;"-",DATA_QUALITE!V5381,DATA_CLEANED!AN895))))</f>
        <v>France</v>
      </c>
      <c r="BH904" s="103" t="str">
        <f>IF(AND(BG904="MATCH NUL",DATA_CLEANED!AO895="-"),"MATCH_NUL",IF(ISNUMBER(SEARCH("win on penalties",W5381)),"WIN_BY_PENALTY",IF(ISNUMBER(SEARCH("win after extra time",W5381)),"WIN_BY_EXTRA_TIME",IF(ISNUMBER(SEARCH("Golden Goal",W5381)),"WIN_BY_GOLDEN_GOAL","WIN_BY_SCORE"))))</f>
        <v>WIN_BY_SCORE</v>
      </c>
      <c r="BI904" s="99" t="str">
        <f>IF(OR(BG904=DATA_CLEANED!AK895,BG904=DATA_CLEANED!AN895,BG904="MATCH NUL"),"OK","ERREUR")</f>
        <v>OK</v>
      </c>
    </row>
    <row r="905" spans="2:61">
      <c r="B905" s="75">
        <v>468</v>
      </c>
      <c r="C905" s="15" t="str">
        <v>Jordy Caicedo</v>
      </c>
      <c r="D905" s="15">
        <v>28</v>
      </c>
      <c r="E905" s="15" t="str">
        <v>Ecuador</v>
      </c>
      <c r="F905" s="15" t="str">
        <v>ST</v>
      </c>
      <c r="G905" s="15" t="str">
        <v>Huracán</v>
      </c>
      <c r="H905" s="15">
        <v>16</v>
      </c>
      <c r="I905" s="15" t="str">
        <f t="shared" si="79"/>
        <v>468|Jordy Caicedo|28|Ecuador|ST|Huracán|16</v>
      </c>
      <c r="J905" s="15" t="str">
        <f>IF(COUNTIF(I$438:I905,I905)&gt;1,"DOUBLON","OK")</f>
        <v>OK</v>
      </c>
      <c r="S905" s="30" t="str">
        <v>Republic of Ireland</v>
      </c>
      <c r="T905" s="30" t="str">
        <f t="shared" si="80"/>
        <v>ERREUR</v>
      </c>
      <c r="U905" s="30" t="str">
        <f t="shared" si="81"/>
        <v>RENOMMER</v>
      </c>
      <c r="V905" s="30" t="str" cm="1">
        <f t="array" ref="V905">_xlfn.IFS(
ISNUMBER(SEARCH("USA",S905)),"United States",
ISNUMBER(SEARCH("Republic of Korea",S905)),"South Korea",
ISNUMBER(SEARCH("Cape Verde",S905)),"Cabo Verde",
ISNUMBER(SEARCH("Czechia",S905)),"Czech Republic",
ISNUMBER(SEARCH("Türkiye",S905)),"Turkey",
ISNUMBER(SEARCH("Ivory Coast",S905)),"Côte d'Ivoire",
ISNUMBER(SEARCH("Korea Republic",S905)),"South Korea",
ISNUMBER(SEARCH("Germany FR",S905)),"FR Germany",
ISNUMBER(SEARCH("West Germany",S905)),"FR Germany",
ISNUMBER(SEARCH("Germany DR",S905)),"DR Germany",
ISNUMBER(SEARCH("Korea DPR",S905)),"North Korea",
ISNUMBER(SEARCH("China PR",S905)),"China",
ISNUMBER(SEARCH("IR Iran",S905)),"Iran",
ISNUMBER(SEARCH("Congo DR",S905)),"Democratic Republic of the Congo",
ISNUMBER(SEARCH("DR Congo",S905)),"Democratic Republic of the Congo",
ISNUMBER(SEARCH("German DR",S905)),"DR Germany",
ISNUMBER(SEARCH("rn""&gt;United Arab Emirates",S905)),"United Arab Emirates",
ISNUMBER(SEARCH("rn""&gt;Republic of Ireland",S905)),"Ireland",
ISNUMBER(SEARCH("rn""&gt;Bosnia and Herzegovina",S905)),"Bosnia and Herzegovina",
ISNUMBER(SEARCH("rn""&gt;Trinidad and Tobago",S905)),"Trinidad and Tobago",
ISNUMBER(SEARCH("rn""&gt;Serbia and Montenegro",S905)),"Serbia and Montenegro",
ISNUMBER(SEARCH(_xlfn.UNICHAR(65533),S905)),"Côte d'Ivoire",
TRUE,""
)</f>
        <v/>
      </c>
      <c r="W905" s="30" t="str">
        <f t="shared" si="77"/>
        <v>Republic of Ireland</v>
      </c>
      <c r="Z905" s="40" t="str">
        <v>Nizhny Novgorod Stadium</v>
      </c>
      <c r="AA905" s="40" t="str" cm="1">
        <f t="array" ref="AA905">IFERROR(_xlfn.XLOOKUP(Z905,_xlfn.ANCHORARRAY(Z$31),AA$31:AA$37),Z905)</f>
        <v>Nizhny Novgorod Stadium</v>
      </c>
      <c r="AB905" s="42" t="str">
        <v>Nizhny Novgorod</v>
      </c>
      <c r="AC905" s="89" t="str">
        <f t="shared" si="78"/>
        <v>Nizhny Novgorod</v>
      </c>
      <c r="AE905" s="42">
        <v>2014</v>
      </c>
      <c r="AK905" s="42">
        <v>2</v>
      </c>
      <c r="AL905" s="42">
        <v>0</v>
      </c>
      <c r="AW905" s="89" t="str">
        <v>QUARTER_FINALS</v>
      </c>
      <c r="BE905" s="43" t="str">
        <f>IF(OR(DATA_CLEANED!AL896="",DATA_CLEANED!AM896=""),"MANQUANT",IF(OR(NOT(ISNUMBER(DATA_CLEANED!AL896)),NOT(ISNUMBER(DATA_CLEANED!AM896))),"ENTREE INVALIDE",IF(OR(DATA_CLEANED!AL896&lt;0,DATA_CLEANED!AM896&lt;0),"SCORE NEGATIF","OK")))</f>
        <v>OK</v>
      </c>
      <c r="BF905" s="43" t="str">
        <f>IF(DATA_CLEANED!AK896&lt;&gt;DATA_CLEANED!AN896,"OK","ERREUR")</f>
        <v>OK</v>
      </c>
      <c r="BG905" s="43" t="str">
        <f>IF(DATA_CLEANED!AL896&gt;DATA_CLEANED!AM896,DATA_CLEANED!AK896,IF(AND(DATA_QUALITE!W5382="-",DATA_CLEANED!AM896=DATA_CLEANED!AL896),"MATCH NUL",IF(AND(DATA_QUALITE!V5382="-",DATA_QUALITE!U5382="AUCUNE"),DATA_QUALITE!T5382,IF(DATA_QUALITE!V5382&lt;&gt;"-",DATA_QUALITE!V5382,DATA_CLEANED!AN896))))</f>
        <v>Belgium</v>
      </c>
      <c r="BH905" s="103" t="str">
        <f>IF(AND(BG905="MATCH NUL",DATA_CLEANED!AO896="-"),"MATCH_NUL",IF(ISNUMBER(SEARCH("win on penalties",W5382)),"WIN_BY_PENALTY",IF(ISNUMBER(SEARCH("win after extra time",W5382)),"WIN_BY_EXTRA_TIME",IF(ISNUMBER(SEARCH("Golden Goal",W5382)),"WIN_BY_GOLDEN_GOAL","WIN_BY_SCORE"))))</f>
        <v>WIN_BY_SCORE</v>
      </c>
      <c r="BI905" s="99" t="str">
        <f>IF(OR(BG905=DATA_CLEANED!AK896,BG905=DATA_CLEANED!AN896,BG905="MATCH NUL"),"OK","ERREUR")</f>
        <v>OK</v>
      </c>
    </row>
    <row r="906" spans="2:61">
      <c r="B906" s="75">
        <v>469</v>
      </c>
      <c r="C906" s="15" t="str">
        <v>Manuel Neuer</v>
      </c>
      <c r="D906" s="15">
        <v>40</v>
      </c>
      <c r="E906" s="15" t="str">
        <v>Germany</v>
      </c>
      <c r="F906" s="15" t="str">
        <v>GK</v>
      </c>
      <c r="G906" s="15" t="str">
        <v>Bayern Munich</v>
      </c>
      <c r="H906" s="15">
        <v>1</v>
      </c>
      <c r="I906" s="15" t="str">
        <f t="shared" si="79"/>
        <v>469|Manuel Neuer|40|Germany|GK|Bayern Munich|1</v>
      </c>
      <c r="J906" s="15" t="str">
        <f>IF(COUNTIF(I$438:I906,I906)&gt;1,"DOUBLON","OK")</f>
        <v>OK</v>
      </c>
      <c r="S906" s="30" t="str">
        <v>Spain</v>
      </c>
      <c r="T906" s="30" t="str">
        <f t="shared" si="80"/>
        <v>OK</v>
      </c>
      <c r="U906" s="30" t="str">
        <f t="shared" si="81"/>
        <v>-</v>
      </c>
      <c r="V906" s="30" t="str" cm="1">
        <f t="array" ref="V906">_xlfn.IFS(
ISNUMBER(SEARCH("USA",S906)),"United States",
ISNUMBER(SEARCH("Republic of Korea",S906)),"South Korea",
ISNUMBER(SEARCH("Cape Verde",S906)),"Cabo Verde",
ISNUMBER(SEARCH("Czechia",S906)),"Czech Republic",
ISNUMBER(SEARCH("Türkiye",S906)),"Turkey",
ISNUMBER(SEARCH("Ivory Coast",S906)),"Côte d'Ivoire",
ISNUMBER(SEARCH("Korea Republic",S906)),"South Korea",
ISNUMBER(SEARCH("Germany FR",S906)),"FR Germany",
ISNUMBER(SEARCH("West Germany",S906)),"FR Germany",
ISNUMBER(SEARCH("Germany DR",S906)),"DR Germany",
ISNUMBER(SEARCH("Korea DPR",S906)),"North Korea",
ISNUMBER(SEARCH("China PR",S906)),"China",
ISNUMBER(SEARCH("IR Iran",S906)),"Iran",
ISNUMBER(SEARCH("Congo DR",S906)),"Democratic Republic of the Congo",
ISNUMBER(SEARCH("DR Congo",S906)),"Democratic Republic of the Congo",
ISNUMBER(SEARCH("German DR",S906)),"DR Germany",
ISNUMBER(SEARCH("rn""&gt;United Arab Emirates",S906)),"United Arab Emirates",
ISNUMBER(SEARCH("rn""&gt;Republic of Ireland",S906)),"Ireland",
ISNUMBER(SEARCH("rn""&gt;Bosnia and Herzegovina",S906)),"Bosnia and Herzegovina",
ISNUMBER(SEARCH("rn""&gt;Trinidad and Tobago",S906)),"Trinidad and Tobago",
ISNUMBER(SEARCH("rn""&gt;Serbia and Montenegro",S906)),"Serbia and Montenegro",
ISNUMBER(SEARCH(_xlfn.UNICHAR(65533),S906)),"Côte d'Ivoire",
TRUE,""
)</f>
        <v/>
      </c>
      <c r="W906" s="30" t="str">
        <f t="shared" si="77"/>
        <v>Spain</v>
      </c>
      <c r="Z906" s="40" t="str">
        <v>Central Stadium</v>
      </c>
      <c r="AA906" s="40" t="str" cm="1">
        <f t="array" ref="AA906">IFERROR(_xlfn.XLOOKUP(Z906,_xlfn.ANCHORARRAY(Z$31),AA$31:AA$37),Z906)</f>
        <v>Central Stadium</v>
      </c>
      <c r="AB906" s="42" t="str">
        <v>Yekaterinburg</v>
      </c>
      <c r="AC906" s="89" t="str">
        <f t="shared" si="78"/>
        <v>Yekaterinburg</v>
      </c>
      <c r="AE906" s="42">
        <v>2014</v>
      </c>
      <c r="AK906" s="42">
        <v>2</v>
      </c>
      <c r="AL906" s="42">
        <v>1</v>
      </c>
      <c r="AW906" s="89" t="str">
        <v>QUARTER_FINALS</v>
      </c>
      <c r="BE906" s="43" t="str">
        <f>IF(OR(DATA_CLEANED!AL897="",DATA_CLEANED!AM897=""),"MANQUANT",IF(OR(NOT(ISNUMBER(DATA_CLEANED!AL897)),NOT(ISNUMBER(DATA_CLEANED!AM897))),"ENTREE INVALIDE",IF(OR(DATA_CLEANED!AL897&lt;0,DATA_CLEANED!AM897&lt;0),"SCORE NEGATIF","OK")))</f>
        <v>OK</v>
      </c>
      <c r="BF906" s="43" t="str">
        <f>IF(DATA_CLEANED!AK897&lt;&gt;DATA_CLEANED!AN897,"OK","ERREUR")</f>
        <v>OK</v>
      </c>
      <c r="BG906" s="43" t="str">
        <f>IF(DATA_CLEANED!AL897&gt;DATA_CLEANED!AM897,DATA_CLEANED!AK897,IF(AND(DATA_QUALITE!W5383="-",DATA_CLEANED!AM897=DATA_CLEANED!AL897),"MATCH NUL",IF(AND(DATA_QUALITE!V5383="-",DATA_QUALITE!U5383="AUCUNE"),DATA_QUALITE!T5383,IF(DATA_QUALITE!V5383&lt;&gt;"-",DATA_QUALITE!V5383,DATA_CLEANED!AN897))))</f>
        <v>England</v>
      </c>
      <c r="BH906" s="103" t="str">
        <f>IF(AND(BG906="MATCH NUL",DATA_CLEANED!AO897="-"),"MATCH_NUL",IF(ISNUMBER(SEARCH("win on penalties",W5383)),"WIN_BY_PENALTY",IF(ISNUMBER(SEARCH("win after extra time",W5383)),"WIN_BY_EXTRA_TIME",IF(ISNUMBER(SEARCH("Golden Goal",W5383)),"WIN_BY_GOLDEN_GOAL","WIN_BY_SCORE"))))</f>
        <v>WIN_BY_SCORE</v>
      </c>
      <c r="BI906" s="99" t="str">
        <f>IF(OR(BG906=DATA_CLEANED!AK897,BG906=DATA_CLEANED!AN897,BG906="MATCH NUL"),"OK","ERREUR")</f>
        <v>OK</v>
      </c>
    </row>
    <row r="907" spans="2:61">
      <c r="B907" s="75">
        <v>470</v>
      </c>
      <c r="C907" s="15" t="str">
        <v>Oliver Baumann</v>
      </c>
      <c r="D907" s="15">
        <v>36</v>
      </c>
      <c r="E907" s="15" t="str">
        <v>Germany</v>
      </c>
      <c r="F907" s="15" t="str">
        <v>GK</v>
      </c>
      <c r="G907" s="15" t="str">
        <v>TSG Hoffenheim</v>
      </c>
      <c r="H907" s="15">
        <v>12</v>
      </c>
      <c r="I907" s="15" t="str">
        <f t="shared" si="79"/>
        <v>470|Oliver Baumann|36|Germany|GK|TSG Hoffenheim|12</v>
      </c>
      <c r="J907" s="15" t="str">
        <f>IF(COUNTIF(I$438:I907,I907)&gt;1,"DOUBLON","OK")</f>
        <v>OK</v>
      </c>
      <c r="S907" s="30" t="str">
        <v>Republic of Ireland</v>
      </c>
      <c r="T907" s="30" t="str">
        <f t="shared" si="80"/>
        <v>ERREUR</v>
      </c>
      <c r="U907" s="30" t="str">
        <f t="shared" si="81"/>
        <v>RENOMMER</v>
      </c>
      <c r="V907" s="30" t="str" cm="1">
        <f t="array" ref="V907">_xlfn.IFS(
ISNUMBER(SEARCH("USA",S907)),"United States",
ISNUMBER(SEARCH("Republic of Korea",S907)),"South Korea",
ISNUMBER(SEARCH("Cape Verde",S907)),"Cabo Verde",
ISNUMBER(SEARCH("Czechia",S907)),"Czech Republic",
ISNUMBER(SEARCH("Türkiye",S907)),"Turkey",
ISNUMBER(SEARCH("Ivory Coast",S907)),"Côte d'Ivoire",
ISNUMBER(SEARCH("Korea Republic",S907)),"South Korea",
ISNUMBER(SEARCH("Germany FR",S907)),"FR Germany",
ISNUMBER(SEARCH("West Germany",S907)),"FR Germany",
ISNUMBER(SEARCH("Germany DR",S907)),"DR Germany",
ISNUMBER(SEARCH("Korea DPR",S907)),"North Korea",
ISNUMBER(SEARCH("China PR",S907)),"China",
ISNUMBER(SEARCH("IR Iran",S907)),"Iran",
ISNUMBER(SEARCH("Congo DR",S907)),"Democratic Republic of the Congo",
ISNUMBER(SEARCH("DR Congo",S907)),"Democratic Republic of the Congo",
ISNUMBER(SEARCH("German DR",S907)),"DR Germany",
ISNUMBER(SEARCH("rn""&gt;United Arab Emirates",S907)),"United Arab Emirates",
ISNUMBER(SEARCH("rn""&gt;Republic of Ireland",S907)),"Ireland",
ISNUMBER(SEARCH("rn""&gt;Bosnia and Herzegovina",S907)),"Bosnia and Herzegovina",
ISNUMBER(SEARCH("rn""&gt;Trinidad and Tobago",S907)),"Trinidad and Tobago",
ISNUMBER(SEARCH("rn""&gt;Serbia and Montenegro",S907)),"Serbia and Montenegro",
ISNUMBER(SEARCH(_xlfn.UNICHAR(65533),S907)),"Côte d'Ivoire",
TRUE,""
)</f>
        <v/>
      </c>
      <c r="W907" s="30" t="str">
        <f t="shared" si="77"/>
        <v>Republic of Ireland</v>
      </c>
      <c r="Z907" s="40" t="str">
        <v>Kazan Arena</v>
      </c>
      <c r="AA907" s="40" t="str" cm="1">
        <f t="array" ref="AA907">IFERROR(_xlfn.XLOOKUP(Z907,_xlfn.ANCHORARRAY(Z$31),AA$31:AA$37),Z907)</f>
        <v>Kazan Arena</v>
      </c>
      <c r="AB907" s="42" t="str">
        <v>Kazan</v>
      </c>
      <c r="AC907" s="89" t="str">
        <f t="shared" si="78"/>
        <v>Kazan</v>
      </c>
      <c r="AE907" s="42">
        <v>2014</v>
      </c>
      <c r="AK907" s="42">
        <v>2</v>
      </c>
      <c r="AL907" s="42">
        <v>1</v>
      </c>
      <c r="AW907" s="89" t="str">
        <v>QUARTER_FINALS</v>
      </c>
      <c r="BE907" s="43" t="str">
        <f>IF(OR(DATA_CLEANED!AL898="",DATA_CLEANED!AM898=""),"MANQUANT",IF(OR(NOT(ISNUMBER(DATA_CLEANED!AL898)),NOT(ISNUMBER(DATA_CLEANED!AM898))),"ENTREE INVALIDE",IF(OR(DATA_CLEANED!AL898&lt;0,DATA_CLEANED!AM898&lt;0),"SCORE NEGATIF","OK")))</f>
        <v>OK</v>
      </c>
      <c r="BF907" s="43" t="str">
        <f>IF(DATA_CLEANED!AK898&lt;&gt;DATA_CLEANED!AN898,"OK","ERREUR")</f>
        <v>OK</v>
      </c>
      <c r="BG907" s="43" t="str">
        <f>IF(DATA_CLEANED!AL898&gt;DATA_CLEANED!AM898,DATA_CLEANED!AK898,IF(AND(DATA_QUALITE!W5384="-",DATA_CLEANED!AM898=DATA_CLEANED!AL898),"MATCH NUL",IF(AND(DATA_QUALITE!V5384="-",DATA_QUALITE!U5384="AUCUNE"),DATA_QUALITE!T5384,IF(DATA_QUALITE!V5384&lt;&gt;"-",DATA_QUALITE!V5384,DATA_CLEANED!AN898))))</f>
        <v>Croatia</v>
      </c>
      <c r="BH907" s="103" t="str">
        <f>IF(AND(BG907="MATCH NUL",DATA_CLEANED!AO898="-"),"MATCH_NUL",IF(ISNUMBER(SEARCH("win on penalties",W5384)),"WIN_BY_PENALTY",IF(ISNUMBER(SEARCH("win after extra time",W5384)),"WIN_BY_EXTRA_TIME",IF(ISNUMBER(SEARCH("Golden Goal",W5384)),"WIN_BY_GOLDEN_GOAL","WIN_BY_SCORE"))))</f>
        <v>WIN_BY_PENALTY</v>
      </c>
      <c r="BI907" s="99" t="str">
        <f>IF(OR(BG907=DATA_CLEANED!AK898,BG907=DATA_CLEANED!AN898,BG907="MATCH NUL"),"OK","ERREUR")</f>
        <v>OK</v>
      </c>
    </row>
    <row r="908" spans="2:61">
      <c r="B908" s="75">
        <v>471</v>
      </c>
      <c r="C908" s="15" t="str">
        <v>Alexander Nübel</v>
      </c>
      <c r="D908" s="15">
        <v>29</v>
      </c>
      <c r="E908" s="15" t="str">
        <v>Germany</v>
      </c>
      <c r="F908" s="15" t="str">
        <v>GK</v>
      </c>
      <c r="G908" s="15" t="str">
        <v>VfB Stuttgart</v>
      </c>
      <c r="H908" s="15">
        <v>21</v>
      </c>
      <c r="I908" s="15" t="str">
        <f t="shared" si="79"/>
        <v>471|Alexander Nübel|29|Germany|GK|VfB Stuttgart|21</v>
      </c>
      <c r="J908" s="15" t="str">
        <f>IF(COUNTIF(I$438:I908,I908)&gt;1,"DOUBLON","OK")</f>
        <v>OK</v>
      </c>
      <c r="S908" s="30" t="str">
        <v>Spain</v>
      </c>
      <c r="T908" s="30" t="str">
        <f t="shared" si="80"/>
        <v>OK</v>
      </c>
      <c r="U908" s="30" t="str">
        <f t="shared" si="81"/>
        <v>-</v>
      </c>
      <c r="V908" s="30" t="str" cm="1">
        <f t="array" ref="V908">_xlfn.IFS(
ISNUMBER(SEARCH("USA",S908)),"United States",
ISNUMBER(SEARCH("Republic of Korea",S908)),"South Korea",
ISNUMBER(SEARCH("Cape Verde",S908)),"Cabo Verde",
ISNUMBER(SEARCH("Czechia",S908)),"Czech Republic",
ISNUMBER(SEARCH("Türkiye",S908)),"Turkey",
ISNUMBER(SEARCH("Ivory Coast",S908)),"Côte d'Ivoire",
ISNUMBER(SEARCH("Korea Republic",S908)),"South Korea",
ISNUMBER(SEARCH("Germany FR",S908)),"FR Germany",
ISNUMBER(SEARCH("West Germany",S908)),"FR Germany",
ISNUMBER(SEARCH("Germany DR",S908)),"DR Germany",
ISNUMBER(SEARCH("Korea DPR",S908)),"North Korea",
ISNUMBER(SEARCH("China PR",S908)),"China",
ISNUMBER(SEARCH("IR Iran",S908)),"Iran",
ISNUMBER(SEARCH("Congo DR",S908)),"Democratic Republic of the Congo",
ISNUMBER(SEARCH("DR Congo",S908)),"Democratic Republic of the Congo",
ISNUMBER(SEARCH("German DR",S908)),"DR Germany",
ISNUMBER(SEARCH("rn""&gt;United Arab Emirates",S908)),"United Arab Emirates",
ISNUMBER(SEARCH("rn""&gt;Republic of Ireland",S908)),"Ireland",
ISNUMBER(SEARCH("rn""&gt;Bosnia and Herzegovina",S908)),"Bosnia and Herzegovina",
ISNUMBER(SEARCH("rn""&gt;Trinidad and Tobago",S908)),"Trinidad and Tobago",
ISNUMBER(SEARCH("rn""&gt;Serbia and Montenegro",S908)),"Serbia and Montenegro",
ISNUMBER(SEARCH(_xlfn.UNICHAR(65533),S908)),"Côte d'Ivoire",
TRUE,""
)</f>
        <v/>
      </c>
      <c r="W908" s="30" t="str">
        <f t="shared" si="77"/>
        <v>Spain</v>
      </c>
      <c r="Z908" s="40" t="str">
        <v>Volgograd Arena</v>
      </c>
      <c r="AA908" s="40" t="str" cm="1">
        <f t="array" ref="AA908">IFERROR(_xlfn.XLOOKUP(Z908,_xlfn.ANCHORARRAY(Z$31),AA$31:AA$37),Z908)</f>
        <v>Volgograd Arena</v>
      </c>
      <c r="AB908" s="42" t="str">
        <v>Volgograd</v>
      </c>
      <c r="AC908" s="89" t="str">
        <f t="shared" si="78"/>
        <v>Volgograd</v>
      </c>
      <c r="AE908" s="42">
        <v>2014</v>
      </c>
      <c r="AK908" s="42">
        <v>0</v>
      </c>
      <c r="AL908" s="42">
        <v>1</v>
      </c>
      <c r="AW908" s="89" t="str">
        <v>SEMI_FINALS</v>
      </c>
      <c r="BE908" s="43" t="str">
        <f>IF(OR(DATA_CLEANED!AL899="",DATA_CLEANED!AM899=""),"MANQUANT",IF(OR(NOT(ISNUMBER(DATA_CLEANED!AL899)),NOT(ISNUMBER(DATA_CLEANED!AM899))),"ENTREE INVALIDE",IF(OR(DATA_CLEANED!AL899&lt;0,DATA_CLEANED!AM899&lt;0),"SCORE NEGATIF","OK")))</f>
        <v>OK</v>
      </c>
      <c r="BF908" s="43" t="str">
        <f>IF(DATA_CLEANED!AK899&lt;&gt;DATA_CLEANED!AN899,"OK","ERREUR")</f>
        <v>OK</v>
      </c>
      <c r="BG908" s="43" t="str">
        <f>IF(DATA_CLEANED!AL899&gt;DATA_CLEANED!AM899,DATA_CLEANED!AK899,IF(AND(DATA_QUALITE!W5385="-",DATA_CLEANED!AM899=DATA_CLEANED!AL899),"MATCH NUL",IF(AND(DATA_QUALITE!V5385="-",DATA_QUALITE!U5385="AUCUNE"),DATA_QUALITE!T5385,IF(DATA_QUALITE!V5385&lt;&gt;"-",DATA_QUALITE!V5385,DATA_CLEANED!AN899))))</f>
        <v>France</v>
      </c>
      <c r="BH908" s="103" t="str">
        <f>IF(AND(BG908="MATCH NUL",DATA_CLEANED!AO899="-"),"MATCH_NUL",IF(ISNUMBER(SEARCH("win on penalties",W5385)),"WIN_BY_PENALTY",IF(ISNUMBER(SEARCH("win after extra time",W5385)),"WIN_BY_EXTRA_TIME",IF(ISNUMBER(SEARCH("Golden Goal",W5385)),"WIN_BY_GOLDEN_GOAL","WIN_BY_SCORE"))))</f>
        <v>WIN_BY_SCORE</v>
      </c>
      <c r="BI908" s="99" t="str">
        <f>IF(OR(BG908=DATA_CLEANED!AK899,BG908=DATA_CLEANED!AN899,BG908="MATCH NUL"),"OK","ERREUR")</f>
        <v>OK</v>
      </c>
    </row>
    <row r="909" spans="2:61">
      <c r="B909" s="75">
        <v>472</v>
      </c>
      <c r="C909" s="15" t="str">
        <v>Antonio Rüdiger</v>
      </c>
      <c r="D909" s="15">
        <v>33</v>
      </c>
      <c r="E909" s="15" t="str">
        <v>Germany</v>
      </c>
      <c r="F909" s="15" t="str">
        <v>CB</v>
      </c>
      <c r="G909" s="15" t="str">
        <v>Real Madrid</v>
      </c>
      <c r="H909" s="15">
        <v>2</v>
      </c>
      <c r="I909" s="15" t="str">
        <f t="shared" si="79"/>
        <v>472|Antonio Rüdiger|33|Germany|CB|Real Madrid|2</v>
      </c>
      <c r="J909" s="15" t="str">
        <f>IF(COUNTIF(I$438:I909,I909)&gt;1,"DOUBLON","OK")</f>
        <v>OK</v>
      </c>
      <c r="S909" s="30" t="str">
        <v>Spain</v>
      </c>
      <c r="T909" s="30" t="str">
        <f t="shared" si="80"/>
        <v>OK</v>
      </c>
      <c r="U909" s="30" t="str">
        <f t="shared" si="81"/>
        <v>-</v>
      </c>
      <c r="V909" s="30" t="str" cm="1">
        <f t="array" ref="V909">_xlfn.IFS(
ISNUMBER(SEARCH("USA",S909)),"United States",
ISNUMBER(SEARCH("Republic of Korea",S909)),"South Korea",
ISNUMBER(SEARCH("Cape Verde",S909)),"Cabo Verde",
ISNUMBER(SEARCH("Czechia",S909)),"Czech Republic",
ISNUMBER(SEARCH("Türkiye",S909)),"Turkey",
ISNUMBER(SEARCH("Ivory Coast",S909)),"Côte d'Ivoire",
ISNUMBER(SEARCH("Korea Republic",S909)),"South Korea",
ISNUMBER(SEARCH("Germany FR",S909)),"FR Germany",
ISNUMBER(SEARCH("West Germany",S909)),"FR Germany",
ISNUMBER(SEARCH("Germany DR",S909)),"DR Germany",
ISNUMBER(SEARCH("Korea DPR",S909)),"North Korea",
ISNUMBER(SEARCH("China PR",S909)),"China",
ISNUMBER(SEARCH("IR Iran",S909)),"Iran",
ISNUMBER(SEARCH("Congo DR",S909)),"Democratic Republic of the Congo",
ISNUMBER(SEARCH("DR Congo",S909)),"Democratic Republic of the Congo",
ISNUMBER(SEARCH("German DR",S909)),"DR Germany",
ISNUMBER(SEARCH("rn""&gt;United Arab Emirates",S909)),"United Arab Emirates",
ISNUMBER(SEARCH("rn""&gt;Republic of Ireland",S909)),"Ireland",
ISNUMBER(SEARCH("rn""&gt;Bosnia and Herzegovina",S909)),"Bosnia and Herzegovina",
ISNUMBER(SEARCH("rn""&gt;Trinidad and Tobago",S909)),"Trinidad and Tobago",
ISNUMBER(SEARCH("rn""&gt;Serbia and Montenegro",S909)),"Serbia and Montenegro",
ISNUMBER(SEARCH(_xlfn.UNICHAR(65533),S909)),"Côte d'Ivoire",
TRUE,""
)</f>
        <v/>
      </c>
      <c r="W909" s="30" t="str">
        <f t="shared" si="77"/>
        <v>Spain</v>
      </c>
      <c r="Z909" s="40" t="str">
        <v>Samara Arena</v>
      </c>
      <c r="AA909" s="40" t="str" cm="1">
        <f t="array" ref="AA909">IFERROR(_xlfn.XLOOKUP(Z909,_xlfn.ANCHORARRAY(Z$31),AA$31:AA$37),Z909)</f>
        <v>Samara Arena</v>
      </c>
      <c r="AB909" s="42" t="str">
        <v>Samara</v>
      </c>
      <c r="AC909" s="89" t="str">
        <f t="shared" si="78"/>
        <v>Samara</v>
      </c>
      <c r="AE909" s="42">
        <v>2014</v>
      </c>
      <c r="AK909" s="42">
        <v>1</v>
      </c>
      <c r="AL909" s="42">
        <v>7</v>
      </c>
      <c r="AW909" s="89" t="str">
        <v>SEMI_FINALS</v>
      </c>
      <c r="BE909" s="43" t="str">
        <f>IF(OR(DATA_CLEANED!AL900="",DATA_CLEANED!AM900=""),"MANQUANT",IF(OR(NOT(ISNUMBER(DATA_CLEANED!AL900)),NOT(ISNUMBER(DATA_CLEANED!AM900))),"ENTREE INVALIDE",IF(OR(DATA_CLEANED!AL900&lt;0,DATA_CLEANED!AM900&lt;0),"SCORE NEGATIF","OK")))</f>
        <v>OK</v>
      </c>
      <c r="BF909" s="43" t="str">
        <f>IF(DATA_CLEANED!AK900&lt;&gt;DATA_CLEANED!AN900,"OK","ERREUR")</f>
        <v>OK</v>
      </c>
      <c r="BG909" s="43" t="str">
        <f>IF(DATA_CLEANED!AL900&gt;DATA_CLEANED!AM900,DATA_CLEANED!AK900,IF(AND(DATA_QUALITE!W5386="-",DATA_CLEANED!AM900=DATA_CLEANED!AL900),"MATCH NUL",IF(AND(DATA_QUALITE!V5386="-",DATA_QUALITE!U5386="AUCUNE"),DATA_QUALITE!T5386,IF(DATA_QUALITE!V5386&lt;&gt;"-",DATA_QUALITE!V5386,DATA_CLEANED!AN900))))</f>
        <v>Croatia</v>
      </c>
      <c r="BH909" s="103" t="str">
        <f>IF(AND(BG909="MATCH NUL",DATA_CLEANED!AO900="-"),"MATCH_NUL",IF(ISNUMBER(SEARCH("win on penalties",W5386)),"WIN_BY_PENALTY",IF(ISNUMBER(SEARCH("win after extra time",W5386)),"WIN_BY_EXTRA_TIME",IF(ISNUMBER(SEARCH("Golden Goal",W5386)),"WIN_BY_GOLDEN_GOAL","WIN_BY_SCORE"))))</f>
        <v>WIN_BY_EXTRA_TIME</v>
      </c>
      <c r="BI909" s="99" t="str">
        <f>IF(OR(BG909=DATA_CLEANED!AK900,BG909=DATA_CLEANED!AN900,BG909="MATCH NUL"),"OK","ERREUR")</f>
        <v>OK</v>
      </c>
    </row>
    <row r="910" spans="2:61">
      <c r="B910" s="75">
        <v>473</v>
      </c>
      <c r="C910" s="15" t="str">
        <v>Waldemar Anton</v>
      </c>
      <c r="D910" s="15">
        <v>29</v>
      </c>
      <c r="E910" s="15" t="str">
        <v>Germany</v>
      </c>
      <c r="F910" s="15" t="str">
        <v>CB</v>
      </c>
      <c r="G910" s="15" t="str">
        <v>Borussia Dortmund</v>
      </c>
      <c r="H910" s="15">
        <v>3</v>
      </c>
      <c r="I910" s="15" t="str">
        <f t="shared" si="79"/>
        <v>473|Waldemar Anton|29|Germany|CB|Borussia Dortmund|3</v>
      </c>
      <c r="J910" s="15" t="str">
        <f>IF(COUNTIF(I$438:I910,I910)&gt;1,"DOUBLON","OK")</f>
        <v>OK</v>
      </c>
      <c r="S910" s="30" t="str">
        <v>South Korea</v>
      </c>
      <c r="T910" s="30" t="str">
        <f t="shared" si="80"/>
        <v>OK</v>
      </c>
      <c r="U910" s="30" t="str">
        <f t="shared" si="81"/>
        <v>-</v>
      </c>
      <c r="V910" s="30" t="str" cm="1">
        <f t="array" ref="V910">_xlfn.IFS(
ISNUMBER(SEARCH("USA",S910)),"United States",
ISNUMBER(SEARCH("Republic of Korea",S910)),"South Korea",
ISNUMBER(SEARCH("Cape Verde",S910)),"Cabo Verde",
ISNUMBER(SEARCH("Czechia",S910)),"Czech Republic",
ISNUMBER(SEARCH("Türkiye",S910)),"Turkey",
ISNUMBER(SEARCH("Ivory Coast",S910)),"Côte d'Ivoire",
ISNUMBER(SEARCH("Korea Republic",S910)),"South Korea",
ISNUMBER(SEARCH("Germany FR",S910)),"FR Germany",
ISNUMBER(SEARCH("West Germany",S910)),"FR Germany",
ISNUMBER(SEARCH("Germany DR",S910)),"DR Germany",
ISNUMBER(SEARCH("Korea DPR",S910)),"North Korea",
ISNUMBER(SEARCH("China PR",S910)),"China",
ISNUMBER(SEARCH("IR Iran",S910)),"Iran",
ISNUMBER(SEARCH("Congo DR",S910)),"Democratic Republic of the Congo",
ISNUMBER(SEARCH("DR Congo",S910)),"Democratic Republic of the Congo",
ISNUMBER(SEARCH("German DR",S910)),"DR Germany",
ISNUMBER(SEARCH("rn""&gt;United Arab Emirates",S910)),"United Arab Emirates",
ISNUMBER(SEARCH("rn""&gt;Republic of Ireland",S910)),"Ireland",
ISNUMBER(SEARCH("rn""&gt;Bosnia and Herzegovina",S910)),"Bosnia and Herzegovina",
ISNUMBER(SEARCH("rn""&gt;Trinidad and Tobago",S910)),"Trinidad and Tobago",
ISNUMBER(SEARCH("rn""&gt;Serbia and Montenegro",S910)),"Serbia and Montenegro",
ISNUMBER(SEARCH(_xlfn.UNICHAR(65533),S910)),"Côte d'Ivoire",
TRUE,""
)</f>
        <v/>
      </c>
      <c r="W910" s="30" t="str">
        <f t="shared" ref="W910:W973" si="82">IF(V910="",S910,V910)</f>
        <v>South Korea</v>
      </c>
      <c r="Z910" s="40" t="str">
        <v>Kaliningrad Stadium</v>
      </c>
      <c r="AA910" s="40" t="str" cm="1">
        <f t="array" ref="AA910">IFERROR(_xlfn.XLOOKUP(Z910,_xlfn.ANCHORARRAY(Z$31),AA$31:AA$37),Z910)</f>
        <v>Kaliningrad Stadium</v>
      </c>
      <c r="AB910" s="42" t="str">
        <v>Kaliningrad</v>
      </c>
      <c r="AC910" s="89" t="str">
        <f t="shared" si="78"/>
        <v>Kaliningrad</v>
      </c>
      <c r="AE910" s="42">
        <v>2014</v>
      </c>
      <c r="AK910" s="42">
        <v>0</v>
      </c>
      <c r="AL910" s="42">
        <v>3</v>
      </c>
      <c r="AW910" s="89" t="str">
        <v>THIRD_PLACE</v>
      </c>
      <c r="BE910" s="43" t="str">
        <f>IF(OR(DATA_CLEANED!AL901="",DATA_CLEANED!AM901=""),"MANQUANT",IF(OR(NOT(ISNUMBER(DATA_CLEANED!AL901)),NOT(ISNUMBER(DATA_CLEANED!AM901))),"ENTREE INVALIDE",IF(OR(DATA_CLEANED!AL901&lt;0,DATA_CLEANED!AM901&lt;0),"SCORE NEGATIF","OK")))</f>
        <v>OK</v>
      </c>
      <c r="BF910" s="43" t="str">
        <f>IF(DATA_CLEANED!AK901&lt;&gt;DATA_CLEANED!AN901,"OK","ERREUR")</f>
        <v>OK</v>
      </c>
      <c r="BG910" s="43" t="str">
        <f>IF(DATA_CLEANED!AL901&gt;DATA_CLEANED!AM901,DATA_CLEANED!AK901,IF(AND(DATA_QUALITE!W5387="-",DATA_CLEANED!AM901=DATA_CLEANED!AL901),"MATCH NUL",IF(AND(DATA_QUALITE!V5387="-",DATA_QUALITE!U5387="AUCUNE"),DATA_QUALITE!T5387,IF(DATA_QUALITE!V5387&lt;&gt;"-",DATA_QUALITE!V5387,DATA_CLEANED!AN901))))</f>
        <v>Belgium</v>
      </c>
      <c r="BH910" s="103" t="str">
        <f>IF(AND(BG910="MATCH NUL",DATA_CLEANED!AO901="-"),"MATCH_NUL",IF(ISNUMBER(SEARCH("win on penalties",W5387)),"WIN_BY_PENALTY",IF(ISNUMBER(SEARCH("win after extra time",W5387)),"WIN_BY_EXTRA_TIME",IF(ISNUMBER(SEARCH("Golden Goal",W5387)),"WIN_BY_GOLDEN_GOAL","WIN_BY_SCORE"))))</f>
        <v>WIN_BY_SCORE</v>
      </c>
      <c r="BI910" s="99" t="str">
        <f>IF(OR(BG910=DATA_CLEANED!AK901,BG910=DATA_CLEANED!AN901,BG910="MATCH NUL"),"OK","ERREUR")</f>
        <v>OK</v>
      </c>
    </row>
    <row r="911" spans="2:61">
      <c r="B911" s="75">
        <v>474</v>
      </c>
      <c r="C911" s="15" t="str">
        <v>Jonathan Tah</v>
      </c>
      <c r="D911" s="15">
        <v>30</v>
      </c>
      <c r="E911" s="15" t="str">
        <v>Germany</v>
      </c>
      <c r="F911" s="15" t="str">
        <v>CB</v>
      </c>
      <c r="G911" s="15" t="str">
        <v>Bayern Munich</v>
      </c>
      <c r="H911" s="15">
        <v>4</v>
      </c>
      <c r="I911" s="15" t="str">
        <f t="shared" si="79"/>
        <v>474|Jonathan Tah|30|Germany|CB|Bayern Munich|4</v>
      </c>
      <c r="J911" s="15" t="str">
        <f>IF(COUNTIF(I$438:I911,I911)&gt;1,"DOUBLON","OK")</f>
        <v>OK</v>
      </c>
      <c r="S911" s="30" t="str">
        <v>Spain</v>
      </c>
      <c r="T911" s="30" t="str">
        <f t="shared" si="80"/>
        <v>OK</v>
      </c>
      <c r="U911" s="30" t="str">
        <f t="shared" si="81"/>
        <v>-</v>
      </c>
      <c r="V911" s="30" t="str" cm="1">
        <f t="array" ref="V911">_xlfn.IFS(
ISNUMBER(SEARCH("USA",S911)),"United States",
ISNUMBER(SEARCH("Republic of Korea",S911)),"South Korea",
ISNUMBER(SEARCH("Cape Verde",S911)),"Cabo Verde",
ISNUMBER(SEARCH("Czechia",S911)),"Czech Republic",
ISNUMBER(SEARCH("Türkiye",S911)),"Turkey",
ISNUMBER(SEARCH("Ivory Coast",S911)),"Côte d'Ivoire",
ISNUMBER(SEARCH("Korea Republic",S911)),"South Korea",
ISNUMBER(SEARCH("Germany FR",S911)),"FR Germany",
ISNUMBER(SEARCH("West Germany",S911)),"FR Germany",
ISNUMBER(SEARCH("Germany DR",S911)),"DR Germany",
ISNUMBER(SEARCH("Korea DPR",S911)),"North Korea",
ISNUMBER(SEARCH("China PR",S911)),"China",
ISNUMBER(SEARCH("IR Iran",S911)),"Iran",
ISNUMBER(SEARCH("Congo DR",S911)),"Democratic Republic of the Congo",
ISNUMBER(SEARCH("DR Congo",S911)),"Democratic Republic of the Congo",
ISNUMBER(SEARCH("German DR",S911)),"DR Germany",
ISNUMBER(SEARCH("rn""&gt;United Arab Emirates",S911)),"United Arab Emirates",
ISNUMBER(SEARCH("rn""&gt;Republic of Ireland",S911)),"Ireland",
ISNUMBER(SEARCH("rn""&gt;Bosnia and Herzegovina",S911)),"Bosnia and Herzegovina",
ISNUMBER(SEARCH("rn""&gt;Trinidad and Tobago",S911)),"Trinidad and Tobago",
ISNUMBER(SEARCH("rn""&gt;Serbia and Montenegro",S911)),"Serbia and Montenegro",
ISNUMBER(SEARCH(_xlfn.UNICHAR(65533),S911)),"Côte d'Ivoire",
TRUE,""
)</f>
        <v/>
      </c>
      <c r="W911" s="30" t="str">
        <f t="shared" si="82"/>
        <v>Spain</v>
      </c>
      <c r="Z911" s="40" t="str">
        <v>Mordovia Arena</v>
      </c>
      <c r="AA911" s="40" t="str" cm="1">
        <f t="array" ref="AA911">IFERROR(_xlfn.XLOOKUP(Z911,_xlfn.ANCHORARRAY(Z$31),AA$31:AA$37),Z911)</f>
        <v>Mordovia Arena</v>
      </c>
      <c r="AB911" s="42" t="str">
        <v>Saransk</v>
      </c>
      <c r="AC911" s="89" t="str">
        <f t="shared" si="78"/>
        <v>Saransk</v>
      </c>
      <c r="AE911" s="42">
        <v>2014</v>
      </c>
      <c r="AK911" s="42">
        <v>1</v>
      </c>
      <c r="AL911" s="42">
        <v>0</v>
      </c>
      <c r="AW911" s="89" t="str">
        <v>FINAL</v>
      </c>
      <c r="BE911" s="43" t="str">
        <f>IF(OR(DATA_CLEANED!AL902="",DATA_CLEANED!AM902=""),"MANQUANT",IF(OR(NOT(ISNUMBER(DATA_CLEANED!AL902)),NOT(ISNUMBER(DATA_CLEANED!AM902))),"ENTREE INVALIDE",IF(OR(DATA_CLEANED!AL902&lt;0,DATA_CLEANED!AM902&lt;0),"SCORE NEGATIF","OK")))</f>
        <v>OK</v>
      </c>
      <c r="BF911" s="43" t="str">
        <f>IF(DATA_CLEANED!AK902&lt;&gt;DATA_CLEANED!AN902,"OK","ERREUR")</f>
        <v>OK</v>
      </c>
      <c r="BG911" s="43" t="str">
        <f>IF(DATA_CLEANED!AL902&gt;DATA_CLEANED!AM902,DATA_CLEANED!AK902,IF(AND(DATA_QUALITE!W5388="-",DATA_CLEANED!AM902=DATA_CLEANED!AL902),"MATCH NUL",IF(AND(DATA_QUALITE!V5388="-",DATA_QUALITE!U5388="AUCUNE"),DATA_QUALITE!T5388,IF(DATA_QUALITE!V5388&lt;&gt;"-",DATA_QUALITE!V5388,DATA_CLEANED!AN902))))</f>
        <v>France</v>
      </c>
      <c r="BH911" s="103" t="str">
        <f>IF(AND(BG911="MATCH NUL",DATA_CLEANED!AO902="-"),"MATCH_NUL",IF(ISNUMBER(SEARCH("win on penalties",W5388)),"WIN_BY_PENALTY",IF(ISNUMBER(SEARCH("win after extra time",W5388)),"WIN_BY_EXTRA_TIME",IF(ISNUMBER(SEARCH("Golden Goal",W5388)),"WIN_BY_GOLDEN_GOAL","WIN_BY_SCORE"))))</f>
        <v>WIN_BY_SCORE</v>
      </c>
      <c r="BI911" s="99" t="str">
        <f>IF(OR(BG911=DATA_CLEANED!AK902,BG911=DATA_CLEANED!AN902,BG911="MATCH NUL"),"OK","ERREUR")</f>
        <v>OK</v>
      </c>
    </row>
    <row r="912" spans="2:61">
      <c r="B912" s="75">
        <v>475</v>
      </c>
      <c r="C912" s="15" t="str">
        <v>Nico Schlotterbeck</v>
      </c>
      <c r="D912" s="15">
        <v>26</v>
      </c>
      <c r="E912" s="15" t="str">
        <v>Germany</v>
      </c>
      <c r="F912" s="15" t="str">
        <v>CB</v>
      </c>
      <c r="G912" s="15" t="str">
        <v>Borussia Dortmund</v>
      </c>
      <c r="H912" s="15">
        <v>15</v>
      </c>
      <c r="I912" s="15" t="str">
        <f t="shared" si="79"/>
        <v>475|Nico Schlotterbeck|26|Germany|CB|Borussia Dortmund|15</v>
      </c>
      <c r="J912" s="15" t="str">
        <f>IF(COUNTIF(I$438:I912,I912)&gt;1,"DOUBLON","OK")</f>
        <v>OK</v>
      </c>
      <c r="S912" s="30" t="str">
        <v>South Korea</v>
      </c>
      <c r="T912" s="30" t="str">
        <f t="shared" si="80"/>
        <v>OK</v>
      </c>
      <c r="U912" s="30" t="str">
        <f t="shared" si="81"/>
        <v>-</v>
      </c>
      <c r="V912" s="30" t="str" cm="1">
        <f t="array" ref="V912">_xlfn.IFS(
ISNUMBER(SEARCH("USA",S912)),"United States",
ISNUMBER(SEARCH("Republic of Korea",S912)),"South Korea",
ISNUMBER(SEARCH("Cape Verde",S912)),"Cabo Verde",
ISNUMBER(SEARCH("Czechia",S912)),"Czech Republic",
ISNUMBER(SEARCH("Türkiye",S912)),"Turkey",
ISNUMBER(SEARCH("Ivory Coast",S912)),"Côte d'Ivoire",
ISNUMBER(SEARCH("Korea Republic",S912)),"South Korea",
ISNUMBER(SEARCH("Germany FR",S912)),"FR Germany",
ISNUMBER(SEARCH("West Germany",S912)),"FR Germany",
ISNUMBER(SEARCH("Germany DR",S912)),"DR Germany",
ISNUMBER(SEARCH("Korea DPR",S912)),"North Korea",
ISNUMBER(SEARCH("China PR",S912)),"China",
ISNUMBER(SEARCH("IR Iran",S912)),"Iran",
ISNUMBER(SEARCH("Congo DR",S912)),"Democratic Republic of the Congo",
ISNUMBER(SEARCH("DR Congo",S912)),"Democratic Republic of the Congo",
ISNUMBER(SEARCH("German DR",S912)),"DR Germany",
ISNUMBER(SEARCH("rn""&gt;United Arab Emirates",S912)),"United Arab Emirates",
ISNUMBER(SEARCH("rn""&gt;Republic of Ireland",S912)),"Ireland",
ISNUMBER(SEARCH("rn""&gt;Bosnia and Herzegovina",S912)),"Bosnia and Herzegovina",
ISNUMBER(SEARCH("rn""&gt;Trinidad and Tobago",S912)),"Trinidad and Tobago",
ISNUMBER(SEARCH("rn""&gt;Serbia and Montenegro",S912)),"Serbia and Montenegro",
ISNUMBER(SEARCH(_xlfn.UNICHAR(65533),S912)),"Côte d'Ivoire",
TRUE,""
)</f>
        <v/>
      </c>
      <c r="W912" s="30" t="str">
        <f t="shared" si="82"/>
        <v>South Korea</v>
      </c>
      <c r="Z912" s="40" t="str">
        <v>Fisht Olympic Stadium</v>
      </c>
      <c r="AA912" s="40" t="str" cm="1">
        <f t="array" ref="AA912">IFERROR(_xlfn.XLOOKUP(Z912,_xlfn.ANCHORARRAY(Z$31),AA$31:AA$37),Z912)</f>
        <v>Fisht Olympic Stadium</v>
      </c>
      <c r="AB912" s="42" t="str">
        <v>Sochi</v>
      </c>
      <c r="AC912" s="89" t="str">
        <f t="shared" si="78"/>
        <v>Sochi</v>
      </c>
      <c r="AE912" s="42">
        <v>2014</v>
      </c>
      <c r="AK912" s="42">
        <v>0</v>
      </c>
      <c r="AL912" s="42">
        <v>0</v>
      </c>
      <c r="AW912" s="89" t="str">
        <v>GROUP_STAGE</v>
      </c>
      <c r="BE912" s="43" t="str">
        <f>IF(OR(DATA_CLEANED!AL903="",DATA_CLEANED!AM903=""),"MANQUANT",IF(OR(NOT(ISNUMBER(DATA_CLEANED!AL903)),NOT(ISNUMBER(DATA_CLEANED!AM903))),"ENTREE INVALIDE",IF(OR(DATA_CLEANED!AL903&lt;0,DATA_CLEANED!AM903&lt;0),"SCORE NEGATIF","OK")))</f>
        <v>OK</v>
      </c>
      <c r="BF912" s="43" t="str">
        <f>IF(DATA_CLEANED!AK903&lt;&gt;DATA_CLEANED!AN903,"OK","ERREUR")</f>
        <v>OK</v>
      </c>
      <c r="BG912" s="43" t="str">
        <f>IF(DATA_CLEANED!AL903&gt;DATA_CLEANED!AM903,DATA_CLEANED!AK903,IF(AND(DATA_QUALITE!W5389="-",DATA_CLEANED!AM903=DATA_CLEANED!AL903),"MATCH NUL",IF(AND(DATA_QUALITE!V5389="-",DATA_QUALITE!U5389="AUCUNE"),DATA_QUALITE!T5389,IF(DATA_QUALITE!V5389&lt;&gt;"-",DATA_QUALITE!V5389,DATA_CLEANED!AN903))))</f>
        <v>Ecuador</v>
      </c>
      <c r="BH912" s="103" t="str">
        <f>IF(AND(BG912="MATCH NUL",DATA_CLEANED!AO903="-"),"MATCH_NUL",IF(ISNUMBER(SEARCH("win on penalties",W5389)),"WIN_BY_PENALTY",IF(ISNUMBER(SEARCH("win after extra time",W5389)),"WIN_BY_EXTRA_TIME",IF(ISNUMBER(SEARCH("Golden Goal",W5389)),"WIN_BY_GOLDEN_GOAL","WIN_BY_SCORE"))))</f>
        <v>WIN_BY_SCORE</v>
      </c>
      <c r="BI912" s="99" t="str">
        <f>IF(OR(BG912=DATA_CLEANED!AK903,BG912=DATA_CLEANED!AN903,BG912="MATCH NUL"),"OK","ERREUR")</f>
        <v>OK</v>
      </c>
    </row>
    <row r="913" spans="2:61">
      <c r="B913" s="75">
        <v>476</v>
      </c>
      <c r="C913" s="15" t="str">
        <v>Malick Thiaw</v>
      </c>
      <c r="D913" s="15">
        <v>24</v>
      </c>
      <c r="E913" s="15" t="str">
        <v>Germany</v>
      </c>
      <c r="F913" s="15" t="str">
        <v>CB</v>
      </c>
      <c r="G913" s="15" t="str">
        <v>Newcastle United</v>
      </c>
      <c r="H913" s="15">
        <v>24</v>
      </c>
      <c r="I913" s="15" t="str">
        <f t="shared" si="79"/>
        <v>476|Malick Thiaw|24|Germany|CB|Newcastle United|24</v>
      </c>
      <c r="J913" s="15" t="str">
        <f>IF(COUNTIF(I$438:I913,I913)&gt;1,"DOUBLON","OK")</f>
        <v>OK</v>
      </c>
      <c r="S913" s="30" t="str">
        <v>Spain</v>
      </c>
      <c r="T913" s="30" t="str">
        <f t="shared" si="80"/>
        <v>OK</v>
      </c>
      <c r="U913" s="30" t="str">
        <f t="shared" si="81"/>
        <v>-</v>
      </c>
      <c r="V913" s="30" t="str" cm="1">
        <f t="array" ref="V913">_xlfn.IFS(
ISNUMBER(SEARCH("USA",S913)),"United States",
ISNUMBER(SEARCH("Republic of Korea",S913)),"South Korea",
ISNUMBER(SEARCH("Cape Verde",S913)),"Cabo Verde",
ISNUMBER(SEARCH("Czechia",S913)),"Czech Republic",
ISNUMBER(SEARCH("Türkiye",S913)),"Turkey",
ISNUMBER(SEARCH("Ivory Coast",S913)),"Côte d'Ivoire",
ISNUMBER(SEARCH("Korea Republic",S913)),"South Korea",
ISNUMBER(SEARCH("Germany FR",S913)),"FR Germany",
ISNUMBER(SEARCH("West Germany",S913)),"FR Germany",
ISNUMBER(SEARCH("Germany DR",S913)),"DR Germany",
ISNUMBER(SEARCH("Korea DPR",S913)),"North Korea",
ISNUMBER(SEARCH("China PR",S913)),"China",
ISNUMBER(SEARCH("IR Iran",S913)),"Iran",
ISNUMBER(SEARCH("Congo DR",S913)),"Democratic Republic of the Congo",
ISNUMBER(SEARCH("DR Congo",S913)),"Democratic Republic of the Congo",
ISNUMBER(SEARCH("German DR",S913)),"DR Germany",
ISNUMBER(SEARCH("rn""&gt;United Arab Emirates",S913)),"United Arab Emirates",
ISNUMBER(SEARCH("rn""&gt;Republic of Ireland",S913)),"Ireland",
ISNUMBER(SEARCH("rn""&gt;Bosnia and Herzegovina",S913)),"Bosnia and Herzegovina",
ISNUMBER(SEARCH("rn""&gt;Trinidad and Tobago",S913)),"Trinidad and Tobago",
ISNUMBER(SEARCH("rn""&gt;Serbia and Montenegro",S913)),"Serbia and Montenegro",
ISNUMBER(SEARCH(_xlfn.UNICHAR(65533),S913)),"Côte d'Ivoire",
TRUE,""
)</f>
        <v/>
      </c>
      <c r="W913" s="30" t="str">
        <f t="shared" si="82"/>
        <v>Spain</v>
      </c>
      <c r="Z913" s="40" t="str">
        <v>Luzhniki Stadium</v>
      </c>
      <c r="AA913" s="40" t="str" cm="1">
        <f t="array" ref="AA913">IFERROR(_xlfn.XLOOKUP(Z913,_xlfn.ANCHORARRAY(Z$31),AA$31:AA$37),Z913)</f>
        <v>Luzhniki Stadium</v>
      </c>
      <c r="AB913" s="42" t="str">
        <v>Moscow</v>
      </c>
      <c r="AC913" s="89" t="str">
        <f t="shared" si="78"/>
        <v>Moscow</v>
      </c>
      <c r="AE913" s="42">
        <v>2014</v>
      </c>
      <c r="AK913" s="42">
        <v>0</v>
      </c>
      <c r="AL913" s="42">
        <v>0</v>
      </c>
      <c r="AW913" s="89" t="str">
        <v>GROUP_STAGE</v>
      </c>
      <c r="BE913" s="43" t="str">
        <f>IF(OR(DATA_CLEANED!AL904="",DATA_CLEANED!AM904=""),"MANQUANT",IF(OR(NOT(ISNUMBER(DATA_CLEANED!AL904)),NOT(ISNUMBER(DATA_CLEANED!AM904))),"ENTREE INVALIDE",IF(OR(DATA_CLEANED!AL904&lt;0,DATA_CLEANED!AM904&lt;0),"SCORE NEGATIF","OK")))</f>
        <v>OK</v>
      </c>
      <c r="BF913" s="43" t="str">
        <f>IF(DATA_CLEANED!AK904&lt;&gt;DATA_CLEANED!AN904,"OK","ERREUR")</f>
        <v>OK</v>
      </c>
      <c r="BG913" s="43" t="str">
        <f>IF(DATA_CLEANED!AL904&gt;DATA_CLEANED!AM904,DATA_CLEANED!AK904,IF(AND(DATA_QUALITE!W5390="-",DATA_CLEANED!AM904=DATA_CLEANED!AL904),"MATCH NUL",IF(AND(DATA_QUALITE!V5390="-",DATA_QUALITE!U5390="AUCUNE"),DATA_QUALITE!T5390,IF(DATA_QUALITE!V5390&lt;&gt;"-",DATA_QUALITE!V5390,DATA_CLEANED!AN904))))</f>
        <v>England</v>
      </c>
      <c r="BH913" s="103" t="str">
        <f>IF(AND(BG913="MATCH NUL",DATA_CLEANED!AO904="-"),"MATCH_NUL",IF(ISNUMBER(SEARCH("win on penalties",W5390)),"WIN_BY_PENALTY",IF(ISNUMBER(SEARCH("win after extra time",W5390)),"WIN_BY_EXTRA_TIME",IF(ISNUMBER(SEARCH("Golden Goal",W5390)),"WIN_BY_GOLDEN_GOAL","WIN_BY_SCORE"))))</f>
        <v>WIN_BY_SCORE</v>
      </c>
      <c r="BI913" s="99" t="str">
        <f>IF(OR(BG913=DATA_CLEANED!AK904,BG913=DATA_CLEANED!AN904,BG913="MATCH NUL"),"OK","ERREUR")</f>
        <v>OK</v>
      </c>
    </row>
    <row r="914" spans="2:61">
      <c r="B914" s="75">
        <v>477</v>
      </c>
      <c r="C914" s="15" t="str">
        <v>Nathaniel Brown</v>
      </c>
      <c r="D914" s="15">
        <v>22</v>
      </c>
      <c r="E914" s="15" t="str">
        <v>Germany</v>
      </c>
      <c r="F914" s="15" t="str">
        <v>LB</v>
      </c>
      <c r="G914" s="15" t="str">
        <v>Eintracht Frankfurt</v>
      </c>
      <c r="H914" s="15">
        <v>18</v>
      </c>
      <c r="I914" s="15" t="str">
        <f t="shared" si="79"/>
        <v>477|Nathaniel Brown|22|Germany|LB|Eintracht Frankfurt|18</v>
      </c>
      <c r="J914" s="15" t="str">
        <f>IF(COUNTIF(I$438:I914,I914)&gt;1,"DOUBLON","OK")</f>
        <v>OK</v>
      </c>
      <c r="S914" s="30" t="str">
        <v>South Korea</v>
      </c>
      <c r="T914" s="30" t="str">
        <f t="shared" si="80"/>
        <v>OK</v>
      </c>
      <c r="U914" s="30" t="str">
        <f t="shared" si="81"/>
        <v>-</v>
      </c>
      <c r="V914" s="30" t="str" cm="1">
        <f t="array" ref="V914">_xlfn.IFS(
ISNUMBER(SEARCH("USA",S914)),"United States",
ISNUMBER(SEARCH("Republic of Korea",S914)),"South Korea",
ISNUMBER(SEARCH("Cape Verde",S914)),"Cabo Verde",
ISNUMBER(SEARCH("Czechia",S914)),"Czech Republic",
ISNUMBER(SEARCH("Türkiye",S914)),"Turkey",
ISNUMBER(SEARCH("Ivory Coast",S914)),"Côte d'Ivoire",
ISNUMBER(SEARCH("Korea Republic",S914)),"South Korea",
ISNUMBER(SEARCH("Germany FR",S914)),"FR Germany",
ISNUMBER(SEARCH("West Germany",S914)),"FR Germany",
ISNUMBER(SEARCH("Germany DR",S914)),"DR Germany",
ISNUMBER(SEARCH("Korea DPR",S914)),"North Korea",
ISNUMBER(SEARCH("China PR",S914)),"China",
ISNUMBER(SEARCH("IR Iran",S914)),"Iran",
ISNUMBER(SEARCH("Congo DR",S914)),"Democratic Republic of the Congo",
ISNUMBER(SEARCH("DR Congo",S914)),"Democratic Republic of the Congo",
ISNUMBER(SEARCH("German DR",S914)),"DR Germany",
ISNUMBER(SEARCH("rn""&gt;United Arab Emirates",S914)),"United Arab Emirates",
ISNUMBER(SEARCH("rn""&gt;Republic of Ireland",S914)),"Ireland",
ISNUMBER(SEARCH("rn""&gt;Bosnia and Herzegovina",S914)),"Bosnia and Herzegovina",
ISNUMBER(SEARCH("rn""&gt;Trinidad and Tobago",S914)),"Trinidad and Tobago",
ISNUMBER(SEARCH("rn""&gt;Serbia and Montenegro",S914)),"Serbia and Montenegro",
ISNUMBER(SEARCH(_xlfn.UNICHAR(65533),S914)),"Côte d'Ivoire",
TRUE,""
)</f>
        <v/>
      </c>
      <c r="W914" s="30" t="str">
        <f t="shared" si="82"/>
        <v>South Korea</v>
      </c>
      <c r="Z914" s="40" t="str">
        <v>Rostov Arena</v>
      </c>
      <c r="AA914" s="40" t="str" cm="1">
        <f t="array" ref="AA914">IFERROR(_xlfn.XLOOKUP(Z914,_xlfn.ANCHORARRAY(Z$31),AA$31:AA$37),Z914)</f>
        <v>Rostov Arena</v>
      </c>
      <c r="AB914" s="42" t="str">
        <v>Rostov-on-Don</v>
      </c>
      <c r="AC914" s="89" t="str">
        <f t="shared" si="78"/>
        <v>Rostov-on-Don</v>
      </c>
      <c r="AE914" s="42">
        <v>2014</v>
      </c>
      <c r="AK914" s="42">
        <v>1</v>
      </c>
      <c r="AL914" s="42">
        <v>0</v>
      </c>
      <c r="AW914" s="89" t="str">
        <v>GROUP_STAGE</v>
      </c>
      <c r="BE914" s="43" t="str">
        <f>IF(OR(DATA_CLEANED!AL905="",DATA_CLEANED!AM905=""),"MANQUANT",IF(OR(NOT(ISNUMBER(DATA_CLEANED!AL905)),NOT(ISNUMBER(DATA_CLEANED!AM905))),"ENTREE INVALIDE",IF(OR(DATA_CLEANED!AL905&lt;0,DATA_CLEANED!AM905&lt;0),"SCORE NEGATIF","OK")))</f>
        <v>OK</v>
      </c>
      <c r="BF914" s="43" t="str">
        <f>IF(DATA_CLEANED!AK905&lt;&gt;DATA_CLEANED!AN905,"OK","ERREUR")</f>
        <v>OK</v>
      </c>
      <c r="BG914" s="43" t="str">
        <f>IF(DATA_CLEANED!AL905&gt;DATA_CLEANED!AM905,DATA_CLEANED!AK905,IF(AND(DATA_QUALITE!W5391="-",DATA_CLEANED!AM905=DATA_CLEANED!AL905),"MATCH NUL",IF(AND(DATA_QUALITE!V5391="-",DATA_QUALITE!U5391="AUCUNE"),DATA_QUALITE!T5391,IF(DATA_QUALITE!V5391&lt;&gt;"-",DATA_QUALITE!V5391,DATA_CLEANED!AN905))))</f>
        <v>Netherlands</v>
      </c>
      <c r="BH914" s="103" t="str">
        <f>IF(AND(BG914="MATCH NUL",DATA_CLEANED!AO905="-"),"MATCH_NUL",IF(ISNUMBER(SEARCH("win on penalties",W5391)),"WIN_BY_PENALTY",IF(ISNUMBER(SEARCH("win after extra time",W5391)),"WIN_BY_EXTRA_TIME",IF(ISNUMBER(SEARCH("Golden Goal",W5391)),"WIN_BY_GOLDEN_GOAL","WIN_BY_SCORE"))))</f>
        <v>WIN_BY_SCORE</v>
      </c>
      <c r="BI914" s="99" t="str">
        <f>IF(OR(BG914=DATA_CLEANED!AK905,BG914=DATA_CLEANED!AN905,BG914="MATCH NUL"),"OK","ERREUR")</f>
        <v>OK</v>
      </c>
    </row>
    <row r="915" spans="2:61">
      <c r="B915" s="75">
        <v>478</v>
      </c>
      <c r="C915" s="15" t="str">
        <v>David Raum</v>
      </c>
      <c r="D915" s="15">
        <v>28</v>
      </c>
      <c r="E915" s="15" t="str">
        <v>Germany</v>
      </c>
      <c r="F915" s="15" t="str">
        <v>LB</v>
      </c>
      <c r="G915" s="15" t="str">
        <v>RB Leipzig</v>
      </c>
      <c r="H915" s="15">
        <v>22</v>
      </c>
      <c r="I915" s="15" t="str">
        <f t="shared" si="79"/>
        <v>478|David Raum|28|Germany|LB|RB Leipzig|22</v>
      </c>
      <c r="J915" s="15" t="str">
        <f>IF(COUNTIF(I$438:I915,I915)&gt;1,"DOUBLON","OK")</f>
        <v>OK</v>
      </c>
      <c r="S915" s="30" t="str">
        <v>Spain</v>
      </c>
      <c r="T915" s="30" t="str">
        <f t="shared" si="80"/>
        <v>OK</v>
      </c>
      <c r="U915" s="30" t="str">
        <f t="shared" si="81"/>
        <v>-</v>
      </c>
      <c r="V915" s="30" t="str" cm="1">
        <f t="array" ref="V915">_xlfn.IFS(
ISNUMBER(SEARCH("USA",S915)),"United States",
ISNUMBER(SEARCH("Republic of Korea",S915)),"South Korea",
ISNUMBER(SEARCH("Cape Verde",S915)),"Cabo Verde",
ISNUMBER(SEARCH("Czechia",S915)),"Czech Republic",
ISNUMBER(SEARCH("Türkiye",S915)),"Turkey",
ISNUMBER(SEARCH("Ivory Coast",S915)),"Côte d'Ivoire",
ISNUMBER(SEARCH("Korea Republic",S915)),"South Korea",
ISNUMBER(SEARCH("Germany FR",S915)),"FR Germany",
ISNUMBER(SEARCH("West Germany",S915)),"FR Germany",
ISNUMBER(SEARCH("Germany DR",S915)),"DR Germany",
ISNUMBER(SEARCH("Korea DPR",S915)),"North Korea",
ISNUMBER(SEARCH("China PR",S915)),"China",
ISNUMBER(SEARCH("IR Iran",S915)),"Iran",
ISNUMBER(SEARCH("Congo DR",S915)),"Democratic Republic of the Congo",
ISNUMBER(SEARCH("DR Congo",S915)),"Democratic Republic of the Congo",
ISNUMBER(SEARCH("German DR",S915)),"DR Germany",
ISNUMBER(SEARCH("rn""&gt;United Arab Emirates",S915)),"United Arab Emirates",
ISNUMBER(SEARCH("rn""&gt;Republic of Ireland",S915)),"Ireland",
ISNUMBER(SEARCH("rn""&gt;Bosnia and Herzegovina",S915)),"Bosnia and Herzegovina",
ISNUMBER(SEARCH("rn""&gt;Trinidad and Tobago",S915)),"Trinidad and Tobago",
ISNUMBER(SEARCH("rn""&gt;Serbia and Montenegro",S915)),"Serbia and Montenegro",
ISNUMBER(SEARCH(_xlfn.UNICHAR(65533),S915)),"Côte d'Ivoire",
TRUE,""
)</f>
        <v/>
      </c>
      <c r="W915" s="30" t="str">
        <f t="shared" si="82"/>
        <v>Spain</v>
      </c>
      <c r="Z915" s="40" t="str">
        <v>Krestovsky Stadium</v>
      </c>
      <c r="AA915" s="40" t="str" cm="1">
        <f t="array" ref="AA915">IFERROR(_xlfn.XLOOKUP(Z915,_xlfn.ANCHORARRAY(Z$31),AA$31:AA$37),Z915)</f>
        <v>Krestovsky Stadium</v>
      </c>
      <c r="AB915" s="42" t="str">
        <v>Saint Petersburg</v>
      </c>
      <c r="AC915" s="89" t="str">
        <f t="shared" si="78"/>
        <v>Saint Petersburg</v>
      </c>
      <c r="AE915" s="42">
        <v>2014</v>
      </c>
      <c r="AK915" s="42">
        <v>2</v>
      </c>
      <c r="AL915" s="42">
        <v>1</v>
      </c>
      <c r="AW915" s="89" t="str">
        <v>GROUP_STAGE</v>
      </c>
      <c r="BE915" s="43" t="str">
        <f>IF(OR(DATA_CLEANED!AL906="",DATA_CLEANED!AM906=""),"MANQUANT",IF(OR(NOT(ISNUMBER(DATA_CLEANED!AL906)),NOT(ISNUMBER(DATA_CLEANED!AM906))),"ENTREE INVALIDE",IF(OR(DATA_CLEANED!AL906&lt;0,DATA_CLEANED!AM906&lt;0),"SCORE NEGATIF","OK")))</f>
        <v>OK</v>
      </c>
      <c r="BF915" s="43" t="str">
        <f>IF(DATA_CLEANED!AK906&lt;&gt;DATA_CLEANED!AN906,"OK","ERREUR")</f>
        <v>OK</v>
      </c>
      <c r="BG915" s="43" t="str">
        <f>IF(DATA_CLEANED!AL906&gt;DATA_CLEANED!AM906,DATA_CLEANED!AK906,IF(AND(DATA_QUALITE!W5392="-",DATA_CLEANED!AM906=DATA_CLEANED!AL906),"MATCH NUL",IF(AND(DATA_QUALITE!V5392="-",DATA_QUALITE!U5392="AUCUNE"),DATA_QUALITE!T5392,IF(DATA_QUALITE!V5392&lt;&gt;"-",DATA_QUALITE!V5392,DATA_CLEANED!AN906))))</f>
        <v>MATCH NUL</v>
      </c>
      <c r="BH915" s="103" t="str">
        <f>IF(AND(BG915="MATCH NUL",DATA_CLEANED!AO906="-"),"MATCH_NUL",IF(ISNUMBER(SEARCH("win on penalties",W5392)),"WIN_BY_PENALTY",IF(ISNUMBER(SEARCH("win after extra time",W5392)),"WIN_BY_EXTRA_TIME",IF(ISNUMBER(SEARCH("Golden Goal",W5392)),"WIN_BY_GOLDEN_GOAL","WIN_BY_SCORE"))))</f>
        <v>MATCH_NUL</v>
      </c>
      <c r="BI915" s="99" t="str">
        <f>IF(OR(BG915=DATA_CLEANED!AK906,BG915=DATA_CLEANED!AN906,BG915="MATCH NUL"),"OK","ERREUR")</f>
        <v>OK</v>
      </c>
    </row>
    <row r="916" spans="2:61">
      <c r="B916" s="75">
        <v>479</v>
      </c>
      <c r="C916" s="15" t="str">
        <v>Joshua Kimmich</v>
      </c>
      <c r="D916" s="15">
        <v>31</v>
      </c>
      <c r="E916" s="15" t="str">
        <v>Germany</v>
      </c>
      <c r="F916" s="15" t="str">
        <v>RB</v>
      </c>
      <c r="G916" s="15" t="str">
        <v>Bayern Munich</v>
      </c>
      <c r="H916" s="15">
        <v>6</v>
      </c>
      <c r="I916" s="15" t="str">
        <f t="shared" si="79"/>
        <v>479|Joshua Kimmich|31|Germany|RB|Bayern Munich|6</v>
      </c>
      <c r="J916" s="15" t="str">
        <f>IF(COUNTIF(I$438:I916,I916)&gt;1,"DOUBLON","OK")</f>
        <v>OK</v>
      </c>
      <c r="S916" s="30" t="str">
        <v>South Korea</v>
      </c>
      <c r="T916" s="30" t="str">
        <f t="shared" si="80"/>
        <v>OK</v>
      </c>
      <c r="U916" s="30" t="str">
        <f t="shared" si="81"/>
        <v>-</v>
      </c>
      <c r="V916" s="30" t="str" cm="1">
        <f t="array" ref="V916">_xlfn.IFS(
ISNUMBER(SEARCH("USA",S916)),"United States",
ISNUMBER(SEARCH("Republic of Korea",S916)),"South Korea",
ISNUMBER(SEARCH("Cape Verde",S916)),"Cabo Verde",
ISNUMBER(SEARCH("Czechia",S916)),"Czech Republic",
ISNUMBER(SEARCH("Türkiye",S916)),"Turkey",
ISNUMBER(SEARCH("Ivory Coast",S916)),"Côte d'Ivoire",
ISNUMBER(SEARCH("Korea Republic",S916)),"South Korea",
ISNUMBER(SEARCH("Germany FR",S916)),"FR Germany",
ISNUMBER(SEARCH("West Germany",S916)),"FR Germany",
ISNUMBER(SEARCH("Germany DR",S916)),"DR Germany",
ISNUMBER(SEARCH("Korea DPR",S916)),"North Korea",
ISNUMBER(SEARCH("China PR",S916)),"China",
ISNUMBER(SEARCH("IR Iran",S916)),"Iran",
ISNUMBER(SEARCH("Congo DR",S916)),"Democratic Republic of the Congo",
ISNUMBER(SEARCH("DR Congo",S916)),"Democratic Republic of the Congo",
ISNUMBER(SEARCH("German DR",S916)),"DR Germany",
ISNUMBER(SEARCH("rn""&gt;United Arab Emirates",S916)),"United Arab Emirates",
ISNUMBER(SEARCH("rn""&gt;Republic of Ireland",S916)),"Ireland",
ISNUMBER(SEARCH("rn""&gt;Bosnia and Herzegovina",S916)),"Bosnia and Herzegovina",
ISNUMBER(SEARCH("rn""&gt;Trinidad and Tobago",S916)),"Trinidad and Tobago",
ISNUMBER(SEARCH("rn""&gt;Serbia and Montenegro",S916)),"Serbia and Montenegro",
ISNUMBER(SEARCH(_xlfn.UNICHAR(65533),S916)),"Côte d'Ivoire",
TRUE,""
)</f>
        <v/>
      </c>
      <c r="W916" s="30" t="str">
        <f t="shared" si="82"/>
        <v>South Korea</v>
      </c>
      <c r="Z916" s="40" t="str">
        <v>Kazan Arena</v>
      </c>
      <c r="AA916" s="40" t="str" cm="1">
        <f t="array" ref="AA916">IFERROR(_xlfn.XLOOKUP(Z916,_xlfn.ANCHORARRAY(Z$31),AA$31:AA$37),Z916)</f>
        <v>Kazan Arena</v>
      </c>
      <c r="AB916" s="42" t="str">
        <v>Kazan</v>
      </c>
      <c r="AC916" s="89" t="str">
        <f t="shared" si="78"/>
        <v>Kazan</v>
      </c>
      <c r="AE916" s="42">
        <v>2014</v>
      </c>
      <c r="AK916" s="42">
        <v>1</v>
      </c>
      <c r="AL916" s="42">
        <v>1</v>
      </c>
      <c r="AW916" s="89" t="str">
        <v>GROUP_STAGE</v>
      </c>
      <c r="BE916" s="43" t="str">
        <f>IF(OR(DATA_CLEANED!AL907="",DATA_CLEANED!AM907=""),"MANQUANT",IF(OR(NOT(ISNUMBER(DATA_CLEANED!AL907)),NOT(ISNUMBER(DATA_CLEANED!AM907))),"ENTREE INVALIDE",IF(OR(DATA_CLEANED!AL907&lt;0,DATA_CLEANED!AM907&lt;0),"SCORE NEGATIF","OK")))</f>
        <v>OK</v>
      </c>
      <c r="BF916" s="43" t="str">
        <f>IF(DATA_CLEANED!AK907&lt;&gt;DATA_CLEANED!AN907,"OK","ERREUR")</f>
        <v>OK</v>
      </c>
      <c r="BG916" s="43" t="str">
        <f>IF(DATA_CLEANED!AL907&gt;DATA_CLEANED!AM907,DATA_CLEANED!AK907,IF(AND(DATA_QUALITE!W5393="-",DATA_CLEANED!AM907=DATA_CLEANED!AL907),"MATCH NUL",IF(AND(DATA_QUALITE!V5393="-",DATA_QUALITE!U5393="AUCUNE"),DATA_QUALITE!T5393,IF(DATA_QUALITE!V5393&lt;&gt;"-",DATA_QUALITE!V5393,DATA_CLEANED!AN907))))</f>
        <v>Saudi Arabia</v>
      </c>
      <c r="BH916" s="103" t="str">
        <f>IF(AND(BG916="MATCH NUL",DATA_CLEANED!AO907="-"),"MATCH_NUL",IF(ISNUMBER(SEARCH("win on penalties",W5393)),"WIN_BY_PENALTY",IF(ISNUMBER(SEARCH("win after extra time",W5393)),"WIN_BY_EXTRA_TIME",IF(ISNUMBER(SEARCH("Golden Goal",W5393)),"WIN_BY_GOLDEN_GOAL","WIN_BY_SCORE"))))</f>
        <v>WIN_BY_SCORE</v>
      </c>
      <c r="BI916" s="99" t="str">
        <f>IF(OR(BG916=DATA_CLEANED!AK907,BG916=DATA_CLEANED!AN907,BG916="MATCH NUL"),"OK","ERREUR")</f>
        <v>OK</v>
      </c>
    </row>
    <row r="917" spans="2:61">
      <c r="B917" s="75">
        <v>480</v>
      </c>
      <c r="C917" s="15" t="str">
        <v>Aleksandar Pavlović</v>
      </c>
      <c r="D917" s="15">
        <v>22</v>
      </c>
      <c r="E917" s="15" t="str">
        <v>Germany</v>
      </c>
      <c r="F917" s="15" t="str">
        <v>CDM</v>
      </c>
      <c r="G917" s="15" t="str">
        <v>Bayern Munich</v>
      </c>
      <c r="H917" s="15">
        <v>5</v>
      </c>
      <c r="I917" s="15" t="str">
        <f t="shared" si="79"/>
        <v>480|Aleksandar Pavlović|22|Germany|CDM|Bayern Munich|5</v>
      </c>
      <c r="J917" s="15" t="str">
        <f>IF(COUNTIF(I$438:I917,I917)&gt;1,"DOUBLON","OK")</f>
        <v>OK</v>
      </c>
      <c r="S917" s="30" t="str">
        <v>South Korea</v>
      </c>
      <c r="T917" s="30" t="str">
        <f t="shared" si="80"/>
        <v>OK</v>
      </c>
      <c r="U917" s="30" t="str">
        <f t="shared" si="81"/>
        <v>-</v>
      </c>
      <c r="V917" s="30" t="str" cm="1">
        <f t="array" ref="V917">_xlfn.IFS(
ISNUMBER(SEARCH("USA",S917)),"United States",
ISNUMBER(SEARCH("Republic of Korea",S917)),"South Korea",
ISNUMBER(SEARCH("Cape Verde",S917)),"Cabo Verde",
ISNUMBER(SEARCH("Czechia",S917)),"Czech Republic",
ISNUMBER(SEARCH("Türkiye",S917)),"Turkey",
ISNUMBER(SEARCH("Ivory Coast",S917)),"Côte d'Ivoire",
ISNUMBER(SEARCH("Korea Republic",S917)),"South Korea",
ISNUMBER(SEARCH("Germany FR",S917)),"FR Germany",
ISNUMBER(SEARCH("West Germany",S917)),"FR Germany",
ISNUMBER(SEARCH("Germany DR",S917)),"DR Germany",
ISNUMBER(SEARCH("Korea DPR",S917)),"North Korea",
ISNUMBER(SEARCH("China PR",S917)),"China",
ISNUMBER(SEARCH("IR Iran",S917)),"Iran",
ISNUMBER(SEARCH("Congo DR",S917)),"Democratic Republic of the Congo",
ISNUMBER(SEARCH("DR Congo",S917)),"Democratic Republic of the Congo",
ISNUMBER(SEARCH("German DR",S917)),"DR Germany",
ISNUMBER(SEARCH("rn""&gt;United Arab Emirates",S917)),"United Arab Emirates",
ISNUMBER(SEARCH("rn""&gt;Republic of Ireland",S917)),"Ireland",
ISNUMBER(SEARCH("rn""&gt;Bosnia and Herzegovina",S917)),"Bosnia and Herzegovina",
ISNUMBER(SEARCH("rn""&gt;Trinidad and Tobago",S917)),"Trinidad and Tobago",
ISNUMBER(SEARCH("rn""&gt;Serbia and Montenegro",S917)),"Serbia and Montenegro",
ISNUMBER(SEARCH(_xlfn.UNICHAR(65533),S917)),"Côte d'Ivoire",
TRUE,""
)</f>
        <v/>
      </c>
      <c r="W917" s="30" t="str">
        <f t="shared" si="82"/>
        <v>South Korea</v>
      </c>
      <c r="Z917" s="40" t="str">
        <v>Central Stadium</v>
      </c>
      <c r="AA917" s="40" t="str" cm="1">
        <f t="array" ref="AA917">IFERROR(_xlfn.XLOOKUP(Z917,_xlfn.ANCHORARRAY(Z$31),AA$31:AA$37),Z917)</f>
        <v>Central Stadium</v>
      </c>
      <c r="AB917" s="42" t="str">
        <v>Yekaterinburg</v>
      </c>
      <c r="AC917" s="89" t="str">
        <f t="shared" si="78"/>
        <v>Yekaterinburg</v>
      </c>
      <c r="AE917" s="42">
        <v>2014</v>
      </c>
      <c r="AK917" s="42">
        <v>1</v>
      </c>
      <c r="AL917" s="42">
        <v>0</v>
      </c>
      <c r="AW917" s="89" t="str">
        <v>GROUP_STAGE</v>
      </c>
      <c r="BE917" s="43" t="str">
        <f>IF(OR(DATA_CLEANED!AL908="",DATA_CLEANED!AM908=""),"MANQUANT",IF(OR(NOT(ISNUMBER(DATA_CLEANED!AL908)),NOT(ISNUMBER(DATA_CLEANED!AM908))),"ENTREE INVALIDE",IF(OR(DATA_CLEANED!AL908&lt;0,DATA_CLEANED!AM908&lt;0),"SCORE NEGATIF","OK")))</f>
        <v>OK</v>
      </c>
      <c r="BF917" s="43" t="str">
        <f>IF(DATA_CLEANED!AK908&lt;&gt;DATA_CLEANED!AN908,"OK","ERREUR")</f>
        <v>OK</v>
      </c>
      <c r="BG917" s="43" t="str">
        <f>IF(DATA_CLEANED!AL908&gt;DATA_CLEANED!AM908,DATA_CLEANED!AK908,IF(AND(DATA_QUALITE!W5394="-",DATA_CLEANED!AM908=DATA_CLEANED!AL908),"MATCH NUL",IF(AND(DATA_QUALITE!V5394="-",DATA_QUALITE!U5394="AUCUNE"),DATA_QUALITE!T5394,IF(DATA_QUALITE!V5394&lt;&gt;"-",DATA_QUALITE!V5394,DATA_CLEANED!AN908))))</f>
        <v>MATCH NUL</v>
      </c>
      <c r="BH917" s="103" t="str">
        <f>IF(AND(BG917="MATCH NUL",DATA_CLEANED!AO908="-"),"MATCH_NUL",IF(ISNUMBER(SEARCH("win on penalties",W5394)),"WIN_BY_PENALTY",IF(ISNUMBER(SEARCH("win after extra time",W5394)),"WIN_BY_EXTRA_TIME",IF(ISNUMBER(SEARCH("Golden Goal",W5394)),"WIN_BY_GOLDEN_GOAL","WIN_BY_SCORE"))))</f>
        <v>MATCH_NUL</v>
      </c>
      <c r="BI917" s="99" t="str">
        <f>IF(OR(BG917=DATA_CLEANED!AK908,BG917=DATA_CLEANED!AN908,BG917="MATCH NUL"),"OK","ERREUR")</f>
        <v>OK</v>
      </c>
    </row>
    <row r="918" spans="2:61">
      <c r="B918" s="75">
        <v>481</v>
      </c>
      <c r="C918" s="15" t="str">
        <v>Angelo Stiller</v>
      </c>
      <c r="D918" s="15">
        <v>25</v>
      </c>
      <c r="E918" s="15" t="str">
        <v>Germany</v>
      </c>
      <c r="F918" s="15" t="str">
        <v>CDM</v>
      </c>
      <c r="G918" s="15" t="str">
        <v>VfB Stuttgart</v>
      </c>
      <c r="H918" s="15">
        <v>16</v>
      </c>
      <c r="I918" s="15" t="str">
        <f t="shared" si="79"/>
        <v>481|Angelo Stiller|25|Germany|CDM|VfB Stuttgart|16</v>
      </c>
      <c r="J918" s="15" t="str">
        <f>IF(COUNTIF(I$438:I918,I918)&gt;1,"DOUBLON","OK")</f>
        <v>OK</v>
      </c>
      <c r="S918" s="30" t="str">
        <v>Ukraine</v>
      </c>
      <c r="T918" s="30" t="str">
        <f t="shared" si="80"/>
        <v>OK</v>
      </c>
      <c r="U918" s="30" t="str">
        <f t="shared" si="81"/>
        <v>-</v>
      </c>
      <c r="V918" s="30" t="str" cm="1">
        <f t="array" ref="V918">_xlfn.IFS(
ISNUMBER(SEARCH("USA",S918)),"United States",
ISNUMBER(SEARCH("Republic of Korea",S918)),"South Korea",
ISNUMBER(SEARCH("Cape Verde",S918)),"Cabo Verde",
ISNUMBER(SEARCH("Czechia",S918)),"Czech Republic",
ISNUMBER(SEARCH("Türkiye",S918)),"Turkey",
ISNUMBER(SEARCH("Ivory Coast",S918)),"Côte d'Ivoire",
ISNUMBER(SEARCH("Korea Republic",S918)),"South Korea",
ISNUMBER(SEARCH("Germany FR",S918)),"FR Germany",
ISNUMBER(SEARCH("West Germany",S918)),"FR Germany",
ISNUMBER(SEARCH("Germany DR",S918)),"DR Germany",
ISNUMBER(SEARCH("Korea DPR",S918)),"North Korea",
ISNUMBER(SEARCH("China PR",S918)),"China",
ISNUMBER(SEARCH("IR Iran",S918)),"Iran",
ISNUMBER(SEARCH("Congo DR",S918)),"Democratic Republic of the Congo",
ISNUMBER(SEARCH("DR Congo",S918)),"Democratic Republic of the Congo",
ISNUMBER(SEARCH("German DR",S918)),"DR Germany",
ISNUMBER(SEARCH("rn""&gt;United Arab Emirates",S918)),"United Arab Emirates",
ISNUMBER(SEARCH("rn""&gt;Republic of Ireland",S918)),"Ireland",
ISNUMBER(SEARCH("rn""&gt;Bosnia and Herzegovina",S918)),"Bosnia and Herzegovina",
ISNUMBER(SEARCH("rn""&gt;Trinidad and Tobago",S918)),"Trinidad and Tobago",
ISNUMBER(SEARCH("rn""&gt;Serbia and Montenegro",S918)),"Serbia and Montenegro",
ISNUMBER(SEARCH(_xlfn.UNICHAR(65533),S918)),"Côte d'Ivoire",
TRUE,""
)</f>
        <v/>
      </c>
      <c r="W918" s="30" t="str">
        <f t="shared" si="82"/>
        <v>Ukraine</v>
      </c>
      <c r="Z918" s="40" t="str">
        <v>Otkritie Arena</v>
      </c>
      <c r="AA918" s="40" t="str" cm="1">
        <f t="array" ref="AA918">IFERROR(_xlfn.XLOOKUP(Z918,_xlfn.ANCHORARRAY(Z$31),AA$31:AA$37),Z918)</f>
        <v>Otkritie Arena</v>
      </c>
      <c r="AB918" s="42" t="str">
        <v>Moscow</v>
      </c>
      <c r="AC918" s="89" t="str">
        <f t="shared" si="78"/>
        <v>Moscow</v>
      </c>
      <c r="AE918" s="42">
        <v>2014</v>
      </c>
      <c r="AK918" s="42">
        <v>2</v>
      </c>
      <c r="AL918" s="42">
        <v>1</v>
      </c>
      <c r="AW918" s="89" t="str">
        <v>GROUP_STAGE</v>
      </c>
      <c r="BE918" s="43" t="str">
        <f>IF(OR(DATA_CLEANED!AL909="",DATA_CLEANED!AM909=""),"MANQUANT",IF(OR(NOT(ISNUMBER(DATA_CLEANED!AL909)),NOT(ISNUMBER(DATA_CLEANED!AM909))),"ENTREE INVALIDE",IF(OR(DATA_CLEANED!AL909&lt;0,DATA_CLEANED!AM909&lt;0),"SCORE NEGATIF","OK")))</f>
        <v>OK</v>
      </c>
      <c r="BF918" s="43" t="str">
        <f>IF(DATA_CLEANED!AK909&lt;&gt;DATA_CLEANED!AN909,"OK","ERREUR")</f>
        <v>OK</v>
      </c>
      <c r="BG918" s="43" t="str">
        <f>IF(DATA_CLEANED!AL909&gt;DATA_CLEANED!AM909,DATA_CLEANED!AK909,IF(AND(DATA_QUALITE!W5395="-",DATA_CLEANED!AM909=DATA_CLEANED!AL909),"MATCH NUL",IF(AND(DATA_QUALITE!V5395="-",DATA_QUALITE!U5395="AUCUNE"),DATA_QUALITE!T5395,IF(DATA_QUALITE!V5395&lt;&gt;"-",DATA_QUALITE!V5395,DATA_CLEANED!AN909))))</f>
        <v>MATCH NUL</v>
      </c>
      <c r="BH918" s="103" t="str">
        <f>IF(AND(BG918="MATCH NUL",DATA_CLEANED!AO909="-"),"MATCH_NUL",IF(ISNUMBER(SEARCH("win on penalties",W5395)),"WIN_BY_PENALTY",IF(ISNUMBER(SEARCH("win after extra time",W5395)),"WIN_BY_EXTRA_TIME",IF(ISNUMBER(SEARCH("Golden Goal",W5395)),"WIN_BY_GOLDEN_GOAL","WIN_BY_SCORE"))))</f>
        <v>MATCH_NUL</v>
      </c>
      <c r="BI918" s="99" t="str">
        <f>IF(OR(BG918=DATA_CLEANED!AK909,BG918=DATA_CLEANED!AN909,BG918="MATCH NUL"),"OK","ERREUR")</f>
        <v>OK</v>
      </c>
    </row>
    <row r="919" spans="2:61">
      <c r="B919" s="75">
        <v>482</v>
      </c>
      <c r="C919" s="15" t="str">
        <v>Leon Goretzka</v>
      </c>
      <c r="D919" s="15">
        <v>31</v>
      </c>
      <c r="E919" s="15" t="str">
        <v>Germany</v>
      </c>
      <c r="F919" s="15" t="str">
        <v>CM</v>
      </c>
      <c r="G919" s="15" t="str">
        <v>Bayern Munich</v>
      </c>
      <c r="H919" s="15">
        <v>8</v>
      </c>
      <c r="I919" s="15" t="str">
        <f t="shared" si="79"/>
        <v>482|Leon Goretzka|31|Germany|CM|Bayern Munich|8</v>
      </c>
      <c r="J919" s="15" t="str">
        <f>IF(COUNTIF(I$438:I919,I919)&gt;1,"DOUBLON","OK")</f>
        <v>OK</v>
      </c>
      <c r="S919" s="30" t="str">
        <v>Switzerland</v>
      </c>
      <c r="T919" s="30" t="str">
        <f t="shared" si="80"/>
        <v>OK</v>
      </c>
      <c r="U919" s="30" t="str">
        <f t="shared" si="81"/>
        <v>-</v>
      </c>
      <c r="V919" s="30" t="str" cm="1">
        <f t="array" ref="V919">_xlfn.IFS(
ISNUMBER(SEARCH("USA",S919)),"United States",
ISNUMBER(SEARCH("Republic of Korea",S919)),"South Korea",
ISNUMBER(SEARCH("Cape Verde",S919)),"Cabo Verde",
ISNUMBER(SEARCH("Czechia",S919)),"Czech Republic",
ISNUMBER(SEARCH("Türkiye",S919)),"Turkey",
ISNUMBER(SEARCH("Ivory Coast",S919)),"Côte d'Ivoire",
ISNUMBER(SEARCH("Korea Republic",S919)),"South Korea",
ISNUMBER(SEARCH("Germany FR",S919)),"FR Germany",
ISNUMBER(SEARCH("West Germany",S919)),"FR Germany",
ISNUMBER(SEARCH("Germany DR",S919)),"DR Germany",
ISNUMBER(SEARCH("Korea DPR",S919)),"North Korea",
ISNUMBER(SEARCH("China PR",S919)),"China",
ISNUMBER(SEARCH("IR Iran",S919)),"Iran",
ISNUMBER(SEARCH("Congo DR",S919)),"Democratic Republic of the Congo",
ISNUMBER(SEARCH("DR Congo",S919)),"Democratic Republic of the Congo",
ISNUMBER(SEARCH("German DR",S919)),"DR Germany",
ISNUMBER(SEARCH("rn""&gt;United Arab Emirates",S919)),"United Arab Emirates",
ISNUMBER(SEARCH("rn""&gt;Republic of Ireland",S919)),"Ireland",
ISNUMBER(SEARCH("rn""&gt;Bosnia and Herzegovina",S919)),"Bosnia and Herzegovina",
ISNUMBER(SEARCH("rn""&gt;Trinidad and Tobago",S919)),"Trinidad and Tobago",
ISNUMBER(SEARCH("rn""&gt;Serbia and Montenegro",S919)),"Serbia and Montenegro",
ISNUMBER(SEARCH(_xlfn.UNICHAR(65533),S919)),"Côte d'Ivoire",
TRUE,""
)</f>
        <v/>
      </c>
      <c r="W919" s="30" t="str">
        <f t="shared" si="82"/>
        <v>Switzerland</v>
      </c>
      <c r="Z919" s="40" t="str">
        <v>Nizhny Novgorod Stadium</v>
      </c>
      <c r="AA919" s="40" t="str" cm="1">
        <f t="array" ref="AA919">IFERROR(_xlfn.XLOOKUP(Z919,_xlfn.ANCHORARRAY(Z$31),AA$31:AA$37),Z919)</f>
        <v>Nizhny Novgorod Stadium</v>
      </c>
      <c r="AB919" s="42" t="str">
        <v>Nizhny Novgorod</v>
      </c>
      <c r="AC919" s="89" t="str">
        <f t="shared" si="78"/>
        <v>Nizhny Novgorod</v>
      </c>
      <c r="AE919" s="42">
        <v>2018</v>
      </c>
      <c r="AK919" s="42">
        <v>5</v>
      </c>
      <c r="AL919" s="42">
        <v>0</v>
      </c>
      <c r="AW919" s="89" t="str">
        <v>GROUP_STAGE</v>
      </c>
      <c r="BE919" s="43" t="str">
        <f>IF(OR(DATA_CLEANED!AL910="",DATA_CLEANED!AM910=""),"MANQUANT",IF(OR(NOT(ISNUMBER(DATA_CLEANED!AL910)),NOT(ISNUMBER(DATA_CLEANED!AM910))),"ENTREE INVALIDE",IF(OR(DATA_CLEANED!AL910&lt;0,DATA_CLEANED!AM910&lt;0),"SCORE NEGATIF","OK")))</f>
        <v>OK</v>
      </c>
      <c r="BF919" s="43" t="str">
        <f>IF(DATA_CLEANED!AK910&lt;&gt;DATA_CLEANED!AN910,"OK","ERREUR")</f>
        <v>OK</v>
      </c>
      <c r="BG919" s="43" t="str">
        <f>IF(DATA_CLEANED!AL910&gt;DATA_CLEANED!AM910,DATA_CLEANED!AK910,IF(AND(DATA_QUALITE!W5396="-",DATA_CLEANED!AM910=DATA_CLEANED!AL910),"MATCH NUL",IF(AND(DATA_QUALITE!V5396="-",DATA_QUALITE!U5396="AUCUNE"),DATA_QUALITE!T5396,IF(DATA_QUALITE!V5396&lt;&gt;"-",DATA_QUALITE!V5396,DATA_CLEANED!AN910))))</f>
        <v>France</v>
      </c>
      <c r="BH919" s="103" t="str">
        <f>IF(AND(BG919="MATCH NUL",DATA_CLEANED!AO910="-"),"MATCH_NUL",IF(ISNUMBER(SEARCH("win on penalties",W5396)),"WIN_BY_PENALTY",IF(ISNUMBER(SEARCH("win after extra time",W5396)),"WIN_BY_EXTRA_TIME",IF(ISNUMBER(SEARCH("Golden Goal",W5396)),"WIN_BY_GOLDEN_GOAL","WIN_BY_SCORE"))))</f>
        <v>WIN_BY_SCORE</v>
      </c>
      <c r="BI919" s="99" t="str">
        <f>IF(OR(BG919=DATA_CLEANED!AK910,BG919=DATA_CLEANED!AN910,BG919="MATCH NUL"),"OK","ERREUR")</f>
        <v>OK</v>
      </c>
    </row>
    <row r="920" spans="2:61">
      <c r="B920" s="75">
        <v>483</v>
      </c>
      <c r="C920" s="15" t="str">
        <v>Pascal Groß</v>
      </c>
      <c r="D920" s="15">
        <v>34</v>
      </c>
      <c r="E920" s="15" t="str">
        <v>Germany</v>
      </c>
      <c r="F920" s="15" t="str">
        <v>CM</v>
      </c>
      <c r="G920" s="15" t="str">
        <v>Brighton &amp; Hove Albion</v>
      </c>
      <c r="H920" s="15">
        <v>13</v>
      </c>
      <c r="I920" s="15" t="str">
        <f t="shared" si="79"/>
        <v>483|Pascal Groß|34|Germany|CM|Brighton &amp; Hove Albion|13</v>
      </c>
      <c r="J920" s="15" t="str">
        <f>IF(COUNTIF(I$438:I920,I920)&gt;1,"DOUBLON","OK")</f>
        <v>OK</v>
      </c>
      <c r="S920" s="30" t="str">
        <v>Ukraine</v>
      </c>
      <c r="T920" s="30" t="str">
        <f t="shared" si="80"/>
        <v>OK</v>
      </c>
      <c r="U920" s="30" t="str">
        <f t="shared" si="81"/>
        <v>-</v>
      </c>
      <c r="V920" s="30" t="str" cm="1">
        <f t="array" ref="V920">_xlfn.IFS(
ISNUMBER(SEARCH("USA",S920)),"United States",
ISNUMBER(SEARCH("Republic of Korea",S920)),"South Korea",
ISNUMBER(SEARCH("Cape Verde",S920)),"Cabo Verde",
ISNUMBER(SEARCH("Czechia",S920)),"Czech Republic",
ISNUMBER(SEARCH("Türkiye",S920)),"Turkey",
ISNUMBER(SEARCH("Ivory Coast",S920)),"Côte d'Ivoire",
ISNUMBER(SEARCH("Korea Republic",S920)),"South Korea",
ISNUMBER(SEARCH("Germany FR",S920)),"FR Germany",
ISNUMBER(SEARCH("West Germany",S920)),"FR Germany",
ISNUMBER(SEARCH("Germany DR",S920)),"DR Germany",
ISNUMBER(SEARCH("Korea DPR",S920)),"North Korea",
ISNUMBER(SEARCH("China PR",S920)),"China",
ISNUMBER(SEARCH("IR Iran",S920)),"Iran",
ISNUMBER(SEARCH("Congo DR",S920)),"Democratic Republic of the Congo",
ISNUMBER(SEARCH("DR Congo",S920)),"Democratic Republic of the Congo",
ISNUMBER(SEARCH("German DR",S920)),"DR Germany",
ISNUMBER(SEARCH("rn""&gt;United Arab Emirates",S920)),"United Arab Emirates",
ISNUMBER(SEARCH("rn""&gt;Republic of Ireland",S920)),"Ireland",
ISNUMBER(SEARCH("rn""&gt;Bosnia and Herzegovina",S920)),"Bosnia and Herzegovina",
ISNUMBER(SEARCH("rn""&gt;Trinidad and Tobago",S920)),"Trinidad and Tobago",
ISNUMBER(SEARCH("rn""&gt;Serbia and Montenegro",S920)),"Serbia and Montenegro",
ISNUMBER(SEARCH(_xlfn.UNICHAR(65533),S920)),"Côte d'Ivoire",
TRUE,""
)</f>
        <v/>
      </c>
      <c r="W920" s="30" t="str">
        <f t="shared" si="82"/>
        <v>Ukraine</v>
      </c>
      <c r="Z920" s="40" t="str">
        <v>Volgograd Arena</v>
      </c>
      <c r="AA920" s="40" t="str" cm="1">
        <f t="array" ref="AA920">IFERROR(_xlfn.XLOOKUP(Z920,_xlfn.ANCHORARRAY(Z$31),AA$31:AA$37),Z920)</f>
        <v>Volgograd Arena</v>
      </c>
      <c r="AB920" s="42" t="str">
        <v>Volgograd</v>
      </c>
      <c r="AC920" s="89" t="str">
        <f t="shared" si="78"/>
        <v>Volgograd</v>
      </c>
      <c r="AE920" s="42">
        <v>2018</v>
      </c>
      <c r="AK920" s="42">
        <v>0</v>
      </c>
      <c r="AL920" s="42">
        <v>1</v>
      </c>
      <c r="AW920" s="89" t="str">
        <v>GROUP_STAGE</v>
      </c>
      <c r="BE920" s="43" t="str">
        <f>IF(OR(DATA_CLEANED!AL911="",DATA_CLEANED!AM911=""),"MANQUANT",IF(OR(NOT(ISNUMBER(DATA_CLEANED!AL911)),NOT(ISNUMBER(DATA_CLEANED!AM911))),"ENTREE INVALIDE",IF(OR(DATA_CLEANED!AL911&lt;0,DATA_CLEANED!AM911&lt;0),"SCORE NEGATIF","OK")))</f>
        <v>OK</v>
      </c>
      <c r="BF920" s="43" t="str">
        <f>IF(DATA_CLEANED!AK911&lt;&gt;DATA_CLEANED!AN911,"OK","ERREUR")</f>
        <v>OK</v>
      </c>
      <c r="BG920" s="43" t="str">
        <f>IF(DATA_CLEANED!AL911&gt;DATA_CLEANED!AM911,DATA_CLEANED!AK911,IF(AND(DATA_QUALITE!W5397="-",DATA_CLEANED!AM911=DATA_CLEANED!AL911),"MATCH NUL",IF(AND(DATA_QUALITE!V5397="-",DATA_QUALITE!U5397="AUCUNE"),DATA_QUALITE!T5397,IF(DATA_QUALITE!V5397&lt;&gt;"-",DATA_QUALITE!V5397,DATA_CLEANED!AN911))))</f>
        <v>MATCH NUL</v>
      </c>
      <c r="BH920" s="103" t="str">
        <f>IF(AND(BG920="MATCH NUL",DATA_CLEANED!AO911="-"),"MATCH_NUL",IF(ISNUMBER(SEARCH("win on penalties",W5397)),"WIN_BY_PENALTY",IF(ISNUMBER(SEARCH("win after extra time",W5397)),"WIN_BY_EXTRA_TIME",IF(ISNUMBER(SEARCH("Golden Goal",W5397)),"WIN_BY_GOLDEN_GOAL","WIN_BY_SCORE"))))</f>
        <v>MATCH_NUL</v>
      </c>
      <c r="BI920" s="99" t="str">
        <f>IF(OR(BG920=DATA_CLEANED!AK911,BG920=DATA_CLEANED!AN911,BG920="MATCH NUL"),"OK","ERREUR")</f>
        <v>OK</v>
      </c>
    </row>
    <row r="921" spans="2:61">
      <c r="B921" s="75">
        <v>484</v>
      </c>
      <c r="C921" s="15" t="str">
        <v>Nadiem Amiri</v>
      </c>
      <c r="D921" s="15">
        <v>29</v>
      </c>
      <c r="E921" s="15" t="str">
        <v>Germany</v>
      </c>
      <c r="F921" s="15" t="str">
        <v>CM</v>
      </c>
      <c r="G921" s="15" t="str">
        <v>Mainz 05</v>
      </c>
      <c r="H921" s="15">
        <v>20</v>
      </c>
      <c r="I921" s="15" t="str">
        <f t="shared" si="79"/>
        <v>484|Nadiem Amiri|29|Germany|CM|Mainz 05|20</v>
      </c>
      <c r="J921" s="15" t="str">
        <f>IF(COUNTIF(I$438:I921,I921)&gt;1,"DOUBLON","OK")</f>
        <v>OK</v>
      </c>
      <c r="S921" s="30" t="str">
        <v>Switzerland</v>
      </c>
      <c r="T921" s="30" t="str">
        <f t="shared" si="80"/>
        <v>OK</v>
      </c>
      <c r="U921" s="30" t="str">
        <f t="shared" si="81"/>
        <v>-</v>
      </c>
      <c r="V921" s="30" t="str" cm="1">
        <f t="array" ref="V921">_xlfn.IFS(
ISNUMBER(SEARCH("USA",S921)),"United States",
ISNUMBER(SEARCH("Republic of Korea",S921)),"South Korea",
ISNUMBER(SEARCH("Cape Verde",S921)),"Cabo Verde",
ISNUMBER(SEARCH("Czechia",S921)),"Czech Republic",
ISNUMBER(SEARCH("Türkiye",S921)),"Turkey",
ISNUMBER(SEARCH("Ivory Coast",S921)),"Côte d'Ivoire",
ISNUMBER(SEARCH("Korea Republic",S921)),"South Korea",
ISNUMBER(SEARCH("Germany FR",S921)),"FR Germany",
ISNUMBER(SEARCH("West Germany",S921)),"FR Germany",
ISNUMBER(SEARCH("Germany DR",S921)),"DR Germany",
ISNUMBER(SEARCH("Korea DPR",S921)),"North Korea",
ISNUMBER(SEARCH("China PR",S921)),"China",
ISNUMBER(SEARCH("IR Iran",S921)),"Iran",
ISNUMBER(SEARCH("Congo DR",S921)),"Democratic Republic of the Congo",
ISNUMBER(SEARCH("DR Congo",S921)),"Democratic Republic of the Congo",
ISNUMBER(SEARCH("German DR",S921)),"DR Germany",
ISNUMBER(SEARCH("rn""&gt;United Arab Emirates",S921)),"United Arab Emirates",
ISNUMBER(SEARCH("rn""&gt;Republic of Ireland",S921)),"Ireland",
ISNUMBER(SEARCH("rn""&gt;Bosnia and Herzegovina",S921)),"Bosnia and Herzegovina",
ISNUMBER(SEARCH("rn""&gt;Trinidad and Tobago",S921)),"Trinidad and Tobago",
ISNUMBER(SEARCH("rn""&gt;Serbia and Montenegro",S921)),"Serbia and Montenegro",
ISNUMBER(SEARCH(_xlfn.UNICHAR(65533),S921)),"Côte d'Ivoire",
TRUE,""
)</f>
        <v/>
      </c>
      <c r="W921" s="30" t="str">
        <f t="shared" si="82"/>
        <v>Switzerland</v>
      </c>
      <c r="Z921" s="40" t="str">
        <v>Samara Arena</v>
      </c>
      <c r="AA921" s="40" t="str" cm="1">
        <f t="array" ref="AA921">IFERROR(_xlfn.XLOOKUP(Z921,_xlfn.ANCHORARRAY(Z$31),AA$31:AA$37),Z921)</f>
        <v>Samara Arena</v>
      </c>
      <c r="AB921" s="42" t="str">
        <v>Samara</v>
      </c>
      <c r="AC921" s="89" t="str">
        <f t="shared" si="78"/>
        <v>Samara</v>
      </c>
      <c r="AE921" s="42">
        <v>2018</v>
      </c>
      <c r="AK921" s="42">
        <v>0</v>
      </c>
      <c r="AL921" s="42">
        <v>1</v>
      </c>
      <c r="AW921" s="89" t="str">
        <v>GROUP_STAGE</v>
      </c>
      <c r="BE921" s="43" t="str">
        <f>IF(OR(DATA_CLEANED!AL912="",DATA_CLEANED!AM912=""),"MANQUANT",IF(OR(NOT(ISNUMBER(DATA_CLEANED!AL912)),NOT(ISNUMBER(DATA_CLEANED!AM912))),"ENTREE INVALIDE",IF(OR(DATA_CLEANED!AL912&lt;0,DATA_CLEANED!AM912&lt;0),"SCORE NEGATIF","OK")))</f>
        <v>OK</v>
      </c>
      <c r="BF921" s="43" t="str">
        <f>IF(DATA_CLEANED!AK912&lt;&gt;DATA_CLEANED!AN912,"OK","ERREUR")</f>
        <v>OK</v>
      </c>
      <c r="BG921" s="43" t="str">
        <f>IF(DATA_CLEANED!AL912&gt;DATA_CLEANED!AM912,DATA_CLEANED!AK912,IF(AND(DATA_QUALITE!W5398="-",DATA_CLEANED!AM912=DATA_CLEANED!AL912),"MATCH NUL",IF(AND(DATA_QUALITE!V5398="-",DATA_QUALITE!U5398="AUCUNE"),DATA_QUALITE!T5398,IF(DATA_QUALITE!V5398&lt;&gt;"-",DATA_QUALITE!V5398,DATA_CLEANED!AN912))))</f>
        <v>Japan</v>
      </c>
      <c r="BH921" s="103" t="str">
        <f>IF(AND(BG921="MATCH NUL",DATA_CLEANED!AO912="-"),"MATCH_NUL",IF(ISNUMBER(SEARCH("win on penalties",W5398)),"WIN_BY_PENALTY",IF(ISNUMBER(SEARCH("win after extra time",W5398)),"WIN_BY_EXTRA_TIME",IF(ISNUMBER(SEARCH("Golden Goal",W5398)),"WIN_BY_GOLDEN_GOAL","WIN_BY_SCORE"))))</f>
        <v>WIN_BY_SCORE</v>
      </c>
      <c r="BI921" s="99" t="str">
        <f>IF(OR(BG921=DATA_CLEANED!AK912,BG921=DATA_CLEANED!AN912,BG921="MATCH NUL"),"OK","ERREUR")</f>
        <v>OK</v>
      </c>
    </row>
    <row r="922" spans="2:61">
      <c r="B922" s="75">
        <v>485</v>
      </c>
      <c r="C922" s="15" t="str">
        <v>Felix Nmecha</v>
      </c>
      <c r="D922" s="15">
        <v>25</v>
      </c>
      <c r="E922" s="15" t="str">
        <v>Germany</v>
      </c>
      <c r="F922" s="15" t="str">
        <v>CM</v>
      </c>
      <c r="G922" s="15" t="str">
        <v>Borussia Dortmund</v>
      </c>
      <c r="H922" s="15">
        <v>23</v>
      </c>
      <c r="I922" s="15" t="str">
        <f t="shared" si="79"/>
        <v>485|Felix Nmecha|25|Germany|CM|Borussia Dortmund|23</v>
      </c>
      <c r="J922" s="15" t="str">
        <f>IF(COUNTIF(I$438:I922,I922)&gt;1,"DOUBLON","OK")</f>
        <v>OK</v>
      </c>
      <c r="S922" s="30" t="str">
        <v>Ukraine</v>
      </c>
      <c r="T922" s="30" t="str">
        <f t="shared" si="80"/>
        <v>OK</v>
      </c>
      <c r="U922" s="30" t="str">
        <f t="shared" si="81"/>
        <v>-</v>
      </c>
      <c r="V922" s="30" t="str" cm="1">
        <f t="array" ref="V922">_xlfn.IFS(
ISNUMBER(SEARCH("USA",S922)),"United States",
ISNUMBER(SEARCH("Republic of Korea",S922)),"South Korea",
ISNUMBER(SEARCH("Cape Verde",S922)),"Cabo Verde",
ISNUMBER(SEARCH("Czechia",S922)),"Czech Republic",
ISNUMBER(SEARCH("Türkiye",S922)),"Turkey",
ISNUMBER(SEARCH("Ivory Coast",S922)),"Côte d'Ivoire",
ISNUMBER(SEARCH("Korea Republic",S922)),"South Korea",
ISNUMBER(SEARCH("Germany FR",S922)),"FR Germany",
ISNUMBER(SEARCH("West Germany",S922)),"FR Germany",
ISNUMBER(SEARCH("Germany DR",S922)),"DR Germany",
ISNUMBER(SEARCH("Korea DPR",S922)),"North Korea",
ISNUMBER(SEARCH("China PR",S922)),"China",
ISNUMBER(SEARCH("IR Iran",S922)),"Iran",
ISNUMBER(SEARCH("Congo DR",S922)),"Democratic Republic of the Congo",
ISNUMBER(SEARCH("DR Congo",S922)),"Democratic Republic of the Congo",
ISNUMBER(SEARCH("German DR",S922)),"DR Germany",
ISNUMBER(SEARCH("rn""&gt;United Arab Emirates",S922)),"United Arab Emirates",
ISNUMBER(SEARCH("rn""&gt;Republic of Ireland",S922)),"Ireland",
ISNUMBER(SEARCH("rn""&gt;Bosnia and Herzegovina",S922)),"Bosnia and Herzegovina",
ISNUMBER(SEARCH("rn""&gt;Trinidad and Tobago",S922)),"Trinidad and Tobago",
ISNUMBER(SEARCH("rn""&gt;Serbia and Montenegro",S922)),"Serbia and Montenegro",
ISNUMBER(SEARCH(_xlfn.UNICHAR(65533),S922)),"Côte d'Ivoire",
TRUE,""
)</f>
        <v/>
      </c>
      <c r="W922" s="30" t="str">
        <f t="shared" si="82"/>
        <v>Ukraine</v>
      </c>
      <c r="Z922" s="40" t="str">
        <v>Kaliningrad Stadium</v>
      </c>
      <c r="AA922" s="40" t="str" cm="1">
        <f t="array" ref="AA922">IFERROR(_xlfn.XLOOKUP(Z922,_xlfn.ANCHORARRAY(Z$31),AA$31:AA$37),Z922)</f>
        <v>Kaliningrad Stadium</v>
      </c>
      <c r="AB922" s="42" t="str">
        <v>Kaliningrad</v>
      </c>
      <c r="AC922" s="89" t="str">
        <f t="shared" si="78"/>
        <v>Kaliningrad</v>
      </c>
      <c r="AE922" s="42">
        <v>2018</v>
      </c>
      <c r="AK922" s="42">
        <v>3</v>
      </c>
      <c r="AL922" s="42">
        <v>3</v>
      </c>
      <c r="AW922" s="89" t="str">
        <v>GROUP_STAGE</v>
      </c>
      <c r="BE922" s="43" t="str">
        <f>IF(OR(DATA_CLEANED!AL913="",DATA_CLEANED!AM913=""),"MANQUANT",IF(OR(NOT(ISNUMBER(DATA_CLEANED!AL913)),NOT(ISNUMBER(DATA_CLEANED!AM913))),"ENTREE INVALIDE",IF(OR(DATA_CLEANED!AL913&lt;0,DATA_CLEANED!AM913&lt;0),"SCORE NEGATIF","OK")))</f>
        <v>OK</v>
      </c>
      <c r="BF922" s="43" t="str">
        <f>IF(DATA_CLEANED!AK913&lt;&gt;DATA_CLEANED!AN913,"OK","ERREUR")</f>
        <v>OK</v>
      </c>
      <c r="BG922" s="43" t="str">
        <f>IF(DATA_CLEANED!AL913&gt;DATA_CLEANED!AM913,DATA_CLEANED!AK913,IF(AND(DATA_QUALITE!W5399="-",DATA_CLEANED!AM913=DATA_CLEANED!AL913),"MATCH NUL",IF(AND(DATA_QUALITE!V5399="-",DATA_QUALITE!U5399="AUCUNE"),DATA_QUALITE!T5399,IF(DATA_QUALITE!V5399&lt;&gt;"-",DATA_QUALITE!V5399,DATA_CLEANED!AN913))))</f>
        <v>Spain</v>
      </c>
      <c r="BH922" s="103" t="str">
        <f>IF(AND(BG922="MATCH NUL",DATA_CLEANED!AO913="-"),"MATCH_NUL",IF(ISNUMBER(SEARCH("win on penalties",W5399)),"WIN_BY_PENALTY",IF(ISNUMBER(SEARCH("win after extra time",W5399)),"WIN_BY_EXTRA_TIME",IF(ISNUMBER(SEARCH("Golden Goal",W5399)),"WIN_BY_GOLDEN_GOAL","WIN_BY_SCORE"))))</f>
        <v>WIN_BY_SCORE</v>
      </c>
      <c r="BI922" s="99" t="str">
        <f>IF(OR(BG922=DATA_CLEANED!AK913,BG922=DATA_CLEANED!AN913,BG922="MATCH NUL"),"OK","ERREUR")</f>
        <v>OK</v>
      </c>
    </row>
    <row r="923" spans="2:61">
      <c r="B923" s="75">
        <v>486</v>
      </c>
      <c r="C923" s="15" t="str">
        <v>Assan Ouédraogo</v>
      </c>
      <c r="D923" s="15">
        <v>20</v>
      </c>
      <c r="E923" s="15" t="str">
        <v>Germany</v>
      </c>
      <c r="F923" s="15" t="str">
        <v>CM</v>
      </c>
      <c r="G923" s="15" t="str">
        <v>RB Leipzig</v>
      </c>
      <c r="H923" s="15">
        <v>25</v>
      </c>
      <c r="I923" s="15" t="str">
        <f t="shared" si="79"/>
        <v>486|Assan Ouédraogo|20|Germany|CM|RB Leipzig|25</v>
      </c>
      <c r="J923" s="15" t="str">
        <f>IF(COUNTIF(I$438:I923,I923)&gt;1,"DOUBLON","OK")</f>
        <v>OK</v>
      </c>
      <c r="S923" s="30" t="str">
        <v>Switzerland</v>
      </c>
      <c r="T923" s="30" t="str">
        <f t="shared" si="80"/>
        <v>OK</v>
      </c>
      <c r="U923" s="30" t="str">
        <f t="shared" si="81"/>
        <v>-</v>
      </c>
      <c r="V923" s="30" t="str" cm="1">
        <f t="array" ref="V923">_xlfn.IFS(
ISNUMBER(SEARCH("USA",S923)),"United States",
ISNUMBER(SEARCH("Republic of Korea",S923)),"South Korea",
ISNUMBER(SEARCH("Cape Verde",S923)),"Cabo Verde",
ISNUMBER(SEARCH("Czechia",S923)),"Czech Republic",
ISNUMBER(SEARCH("Türkiye",S923)),"Turkey",
ISNUMBER(SEARCH("Ivory Coast",S923)),"Côte d'Ivoire",
ISNUMBER(SEARCH("Korea Republic",S923)),"South Korea",
ISNUMBER(SEARCH("Germany FR",S923)),"FR Germany",
ISNUMBER(SEARCH("West Germany",S923)),"FR Germany",
ISNUMBER(SEARCH("Germany DR",S923)),"DR Germany",
ISNUMBER(SEARCH("Korea DPR",S923)),"North Korea",
ISNUMBER(SEARCH("China PR",S923)),"China",
ISNUMBER(SEARCH("IR Iran",S923)),"Iran",
ISNUMBER(SEARCH("Congo DR",S923)),"Democratic Republic of the Congo",
ISNUMBER(SEARCH("DR Congo",S923)),"Democratic Republic of the Congo",
ISNUMBER(SEARCH("German DR",S923)),"DR Germany",
ISNUMBER(SEARCH("rn""&gt;United Arab Emirates",S923)),"United Arab Emirates",
ISNUMBER(SEARCH("rn""&gt;Republic of Ireland",S923)),"Ireland",
ISNUMBER(SEARCH("rn""&gt;Bosnia and Herzegovina",S923)),"Bosnia and Herzegovina",
ISNUMBER(SEARCH("rn""&gt;Trinidad and Tobago",S923)),"Trinidad and Tobago",
ISNUMBER(SEARCH("rn""&gt;Serbia and Montenegro",S923)),"Serbia and Montenegro",
ISNUMBER(SEARCH(_xlfn.UNICHAR(65533),S923)),"Côte d'Ivoire",
TRUE,""
)</f>
        <v/>
      </c>
      <c r="W923" s="30" t="str">
        <f t="shared" si="82"/>
        <v>Switzerland</v>
      </c>
      <c r="Z923" s="40" t="str">
        <v>Mordovia Arena</v>
      </c>
      <c r="AA923" s="40" t="str" cm="1">
        <f t="array" ref="AA923">IFERROR(_xlfn.XLOOKUP(Z923,_xlfn.ANCHORARRAY(Z$31),AA$31:AA$37),Z923)</f>
        <v>Mordovia Arena</v>
      </c>
      <c r="AB923" s="42" t="str">
        <v>Saransk</v>
      </c>
      <c r="AC923" s="89" t="str">
        <f t="shared" si="78"/>
        <v>Saransk</v>
      </c>
      <c r="AE923" s="42">
        <v>2018</v>
      </c>
      <c r="AK923" s="42">
        <v>2</v>
      </c>
      <c r="AL923" s="42">
        <v>1</v>
      </c>
      <c r="AW923" s="89" t="str">
        <v>GROUP_STAGE</v>
      </c>
      <c r="BE923" s="43" t="str">
        <f>IF(OR(DATA_CLEANED!AL914="",DATA_CLEANED!AM914=""),"MANQUANT",IF(OR(NOT(ISNUMBER(DATA_CLEANED!AL914)),NOT(ISNUMBER(DATA_CLEANED!AM914))),"ENTREE INVALIDE",IF(OR(DATA_CLEANED!AL914&lt;0,DATA_CLEANED!AM914&lt;0),"SCORE NEGATIF","OK")))</f>
        <v>OK</v>
      </c>
      <c r="BF923" s="43" t="str">
        <f>IF(DATA_CLEANED!AK914&lt;&gt;DATA_CLEANED!AN914,"OK","ERREUR")</f>
        <v>OK</v>
      </c>
      <c r="BG923" s="43" t="str">
        <f>IF(DATA_CLEANED!AL914&gt;DATA_CLEANED!AM914,DATA_CLEANED!AK914,IF(AND(DATA_QUALITE!W5400="-",DATA_CLEANED!AM914=DATA_CLEANED!AL914),"MATCH NUL",IF(AND(DATA_QUALITE!V5400="-",DATA_QUALITE!U5400="AUCUNE"),DATA_QUALITE!T5400,IF(DATA_QUALITE!V5400&lt;&gt;"-",DATA_QUALITE!V5400,DATA_CLEANED!AN914))))</f>
        <v>Belgium</v>
      </c>
      <c r="BH923" s="103" t="str">
        <f>IF(AND(BG923="MATCH NUL",DATA_CLEANED!AO914="-"),"MATCH_NUL",IF(ISNUMBER(SEARCH("win on penalties",W5400)),"WIN_BY_PENALTY",IF(ISNUMBER(SEARCH("win after extra time",W5400)),"WIN_BY_EXTRA_TIME",IF(ISNUMBER(SEARCH("Golden Goal",W5400)),"WIN_BY_GOLDEN_GOAL","WIN_BY_SCORE"))))</f>
        <v>WIN_BY_SCORE</v>
      </c>
      <c r="BI923" s="99" t="str">
        <f>IF(OR(BG923=DATA_CLEANED!AK914,BG923=DATA_CLEANED!AN914,BG923="MATCH NUL"),"OK","ERREUR")</f>
        <v>OK</v>
      </c>
    </row>
    <row r="924" spans="2:61">
      <c r="B924" s="75">
        <v>487</v>
      </c>
      <c r="C924" s="15" t="str">
        <v>Jamal Musiala</v>
      </c>
      <c r="D924" s="15">
        <v>23</v>
      </c>
      <c r="E924" s="15" t="str">
        <v>Germany</v>
      </c>
      <c r="F924" s="15" t="str">
        <v>CAM</v>
      </c>
      <c r="G924" s="15" t="str">
        <v>Bayern Munich</v>
      </c>
      <c r="H924" s="15">
        <v>10</v>
      </c>
      <c r="I924" s="15" t="str">
        <f t="shared" si="79"/>
        <v>487|Jamal Musiala|23|Germany|CAM|Bayern Munich|10</v>
      </c>
      <c r="J924" s="15" t="str">
        <f>IF(COUNTIF(I$438:I924,I924)&gt;1,"DOUBLON","OK")</f>
        <v>OK</v>
      </c>
      <c r="S924" s="30" t="str">
        <v>Ukraine</v>
      </c>
      <c r="T924" s="30" t="str">
        <f t="shared" si="80"/>
        <v>OK</v>
      </c>
      <c r="U924" s="30" t="str">
        <f t="shared" si="81"/>
        <v>-</v>
      </c>
      <c r="V924" s="30" t="str" cm="1">
        <f t="array" ref="V924">_xlfn.IFS(
ISNUMBER(SEARCH("USA",S924)),"United States",
ISNUMBER(SEARCH("Republic of Korea",S924)),"South Korea",
ISNUMBER(SEARCH("Cape Verde",S924)),"Cabo Verde",
ISNUMBER(SEARCH("Czechia",S924)),"Czech Republic",
ISNUMBER(SEARCH("Türkiye",S924)),"Turkey",
ISNUMBER(SEARCH("Ivory Coast",S924)),"Côte d'Ivoire",
ISNUMBER(SEARCH("Korea Republic",S924)),"South Korea",
ISNUMBER(SEARCH("Germany FR",S924)),"FR Germany",
ISNUMBER(SEARCH("West Germany",S924)),"FR Germany",
ISNUMBER(SEARCH("Germany DR",S924)),"DR Germany",
ISNUMBER(SEARCH("Korea DPR",S924)),"North Korea",
ISNUMBER(SEARCH("China PR",S924)),"China",
ISNUMBER(SEARCH("IR Iran",S924)),"Iran",
ISNUMBER(SEARCH("Congo DR",S924)),"Democratic Republic of the Congo",
ISNUMBER(SEARCH("DR Congo",S924)),"Democratic Republic of the Congo",
ISNUMBER(SEARCH("German DR",S924)),"DR Germany",
ISNUMBER(SEARCH("rn""&gt;United Arab Emirates",S924)),"United Arab Emirates",
ISNUMBER(SEARCH("rn""&gt;Republic of Ireland",S924)),"Ireland",
ISNUMBER(SEARCH("rn""&gt;Bosnia and Herzegovina",S924)),"Bosnia and Herzegovina",
ISNUMBER(SEARCH("rn""&gt;Trinidad and Tobago",S924)),"Trinidad and Tobago",
ISNUMBER(SEARCH("rn""&gt;Serbia and Montenegro",S924)),"Serbia and Montenegro",
ISNUMBER(SEARCH(_xlfn.UNICHAR(65533),S924)),"Côte d'Ivoire",
TRUE,""
)</f>
        <v/>
      </c>
      <c r="W924" s="30" t="str">
        <f t="shared" si="82"/>
        <v>Ukraine</v>
      </c>
      <c r="Z924" s="40" t="str">
        <v>Kazan Arena</v>
      </c>
      <c r="AA924" s="40" t="str" cm="1">
        <f t="array" ref="AA924">IFERROR(_xlfn.XLOOKUP(Z924,_xlfn.ANCHORARRAY(Z$31),AA$31:AA$37),Z924)</f>
        <v>Kazan Arena</v>
      </c>
      <c r="AB924" s="42" t="str">
        <v>Kazan</v>
      </c>
      <c r="AC924" s="89" t="str">
        <f t="shared" si="78"/>
        <v>Kazan</v>
      </c>
      <c r="AE924" s="42">
        <v>2018</v>
      </c>
      <c r="AK924" s="42">
        <v>1</v>
      </c>
      <c r="AL924" s="42">
        <v>1</v>
      </c>
      <c r="AW924" s="89" t="str">
        <v>GROUP_STAGE</v>
      </c>
      <c r="BE924" s="43" t="str">
        <f>IF(OR(DATA_CLEANED!AL915="",DATA_CLEANED!AM915=""),"MANQUANT",IF(OR(NOT(ISNUMBER(DATA_CLEANED!AL915)),NOT(ISNUMBER(DATA_CLEANED!AM915))),"ENTREE INVALIDE",IF(OR(DATA_CLEANED!AL915&lt;0,DATA_CLEANED!AM915&lt;0),"SCORE NEGATIF","OK")))</f>
        <v>OK</v>
      </c>
      <c r="BF924" s="43" t="str">
        <f>IF(DATA_CLEANED!AK915&lt;&gt;DATA_CLEANED!AN915,"OK","ERREUR")</f>
        <v>OK</v>
      </c>
      <c r="BG924" s="43" t="str">
        <f>IF(DATA_CLEANED!AL915&gt;DATA_CLEANED!AM915,DATA_CLEANED!AK915,IF(AND(DATA_QUALITE!W5401="-",DATA_CLEANED!AM915=DATA_CLEANED!AL915),"MATCH NUL",IF(AND(DATA_QUALITE!V5401="-",DATA_QUALITE!U5401="AUCUNE"),DATA_QUALITE!T5401,IF(DATA_QUALITE!V5401&lt;&gt;"-",DATA_QUALITE!V5401,DATA_CLEANED!AN915))))</f>
        <v>Switzerland</v>
      </c>
      <c r="BH924" s="103" t="str">
        <f>IF(AND(BG924="MATCH NUL",DATA_CLEANED!AO915="-"),"MATCH_NUL",IF(ISNUMBER(SEARCH("win on penalties",W5401)),"WIN_BY_PENALTY",IF(ISNUMBER(SEARCH("win after extra time",W5401)),"WIN_BY_EXTRA_TIME",IF(ISNUMBER(SEARCH("Golden Goal",W5401)),"WIN_BY_GOLDEN_GOAL","WIN_BY_SCORE"))))</f>
        <v>WIN_BY_SCORE</v>
      </c>
      <c r="BI924" s="99" t="str">
        <f>IF(OR(BG924=DATA_CLEANED!AK915,BG924=DATA_CLEANED!AN915,BG924="MATCH NUL"),"OK","ERREUR")</f>
        <v>OK</v>
      </c>
    </row>
    <row r="925" spans="2:61">
      <c r="B925" s="75">
        <v>488</v>
      </c>
      <c r="C925" s="15" t="str">
        <v>Florian Wirtz</v>
      </c>
      <c r="D925" s="15">
        <v>23</v>
      </c>
      <c r="E925" s="15" t="str">
        <v>Germany</v>
      </c>
      <c r="F925" s="15" t="str">
        <v>CAM</v>
      </c>
      <c r="G925" s="15" t="str">
        <v>Liverpool</v>
      </c>
      <c r="H925" s="15">
        <v>17</v>
      </c>
      <c r="I925" s="15" t="str">
        <f t="shared" si="79"/>
        <v>488|Florian Wirtz|23|Germany|CAM|Liverpool|17</v>
      </c>
      <c r="J925" s="15" t="str">
        <f>IF(COUNTIF(I$438:I925,I925)&gt;1,"DOUBLON","OK")</f>
        <v>OK</v>
      </c>
      <c r="S925" s="30" t="str">
        <v>Germany</v>
      </c>
      <c r="T925" s="30" t="str">
        <f t="shared" si="80"/>
        <v>OK</v>
      </c>
      <c r="U925" s="30" t="str">
        <f t="shared" si="81"/>
        <v>-</v>
      </c>
      <c r="V925" s="30" t="str" cm="1">
        <f t="array" ref="V925">_xlfn.IFS(
ISNUMBER(SEARCH("USA",S925)),"United States",
ISNUMBER(SEARCH("Republic of Korea",S925)),"South Korea",
ISNUMBER(SEARCH("Cape Verde",S925)),"Cabo Verde",
ISNUMBER(SEARCH("Czechia",S925)),"Czech Republic",
ISNUMBER(SEARCH("Türkiye",S925)),"Turkey",
ISNUMBER(SEARCH("Ivory Coast",S925)),"Côte d'Ivoire",
ISNUMBER(SEARCH("Korea Republic",S925)),"South Korea",
ISNUMBER(SEARCH("Germany FR",S925)),"FR Germany",
ISNUMBER(SEARCH("West Germany",S925)),"FR Germany",
ISNUMBER(SEARCH("Germany DR",S925)),"DR Germany",
ISNUMBER(SEARCH("Korea DPR",S925)),"North Korea",
ISNUMBER(SEARCH("China PR",S925)),"China",
ISNUMBER(SEARCH("IR Iran",S925)),"Iran",
ISNUMBER(SEARCH("Congo DR",S925)),"Democratic Republic of the Congo",
ISNUMBER(SEARCH("DR Congo",S925)),"Democratic Republic of the Congo",
ISNUMBER(SEARCH("German DR",S925)),"DR Germany",
ISNUMBER(SEARCH("rn""&gt;United Arab Emirates",S925)),"United Arab Emirates",
ISNUMBER(SEARCH("rn""&gt;Republic of Ireland",S925)),"Ireland",
ISNUMBER(SEARCH("rn""&gt;Bosnia and Herzegovina",S925)),"Bosnia and Herzegovina",
ISNUMBER(SEARCH("rn""&gt;Trinidad and Tobago",S925)),"Trinidad and Tobago",
ISNUMBER(SEARCH("rn""&gt;Serbia and Montenegro",S925)),"Serbia and Montenegro",
ISNUMBER(SEARCH(_xlfn.UNICHAR(65533),S925)),"Côte d'Ivoire",
TRUE,""
)</f>
        <v/>
      </c>
      <c r="W925" s="30" t="str">
        <f t="shared" si="82"/>
        <v>Germany</v>
      </c>
      <c r="Z925" s="40" t="str">
        <v>Fisht Olympic Stadium</v>
      </c>
      <c r="AA925" s="40" t="str" cm="1">
        <f t="array" ref="AA925">IFERROR(_xlfn.XLOOKUP(Z925,_xlfn.ANCHORARRAY(Z$31),AA$31:AA$37),Z925)</f>
        <v>Fisht Olympic Stadium</v>
      </c>
      <c r="AB925" s="42" t="str">
        <v>Sochi</v>
      </c>
      <c r="AC925" s="89" t="str">
        <f t="shared" si="78"/>
        <v>Sochi</v>
      </c>
      <c r="AE925" s="42">
        <v>2018</v>
      </c>
      <c r="AK925" s="42">
        <v>0</v>
      </c>
      <c r="AL925" s="42">
        <v>1</v>
      </c>
      <c r="AW925" s="89" t="str">
        <v>GROUP_STAGE</v>
      </c>
      <c r="BE925" s="43" t="str">
        <f>IF(OR(DATA_CLEANED!AL916="",DATA_CLEANED!AM916=""),"MANQUANT",IF(OR(NOT(ISNUMBER(DATA_CLEANED!AL916)),NOT(ISNUMBER(DATA_CLEANED!AM916))),"ENTREE INVALIDE",IF(OR(DATA_CLEANED!AL916&lt;0,DATA_CLEANED!AM916&lt;0),"SCORE NEGATIF","OK")))</f>
        <v>OK</v>
      </c>
      <c r="BF925" s="43" t="str">
        <f>IF(DATA_CLEANED!AK916&lt;&gt;DATA_CLEANED!AN916,"OK","ERREUR")</f>
        <v>OK</v>
      </c>
      <c r="BG925" s="43" t="str">
        <f>IF(DATA_CLEANED!AL916&gt;DATA_CLEANED!AM916,DATA_CLEANED!AK916,IF(AND(DATA_QUALITE!W5402="-",DATA_CLEANED!AM916=DATA_CLEANED!AL916),"MATCH NUL",IF(AND(DATA_QUALITE!V5402="-",DATA_QUALITE!U5402="AUCUNE"),DATA_QUALITE!T5402,IF(DATA_QUALITE!V5402&lt;&gt;"-",DATA_QUALITE!V5402,DATA_CLEANED!AN916))))</f>
        <v>MATCH NUL</v>
      </c>
      <c r="BH925" s="103" t="str">
        <f>IF(AND(BG925="MATCH NUL",DATA_CLEANED!AO916="-"),"MATCH_NUL",IF(ISNUMBER(SEARCH("win on penalties",W5402)),"WIN_BY_PENALTY",IF(ISNUMBER(SEARCH("win after extra time",W5402)),"WIN_BY_EXTRA_TIME",IF(ISNUMBER(SEARCH("Golden Goal",W5402)),"WIN_BY_GOLDEN_GOAL","WIN_BY_SCORE"))))</f>
        <v>MATCH_NUL</v>
      </c>
      <c r="BI925" s="99" t="str">
        <f>IF(OR(BG925=DATA_CLEANED!AK916,BG925=DATA_CLEANED!AN916,BG925="MATCH NUL"),"OK","ERREUR")</f>
        <v>OK</v>
      </c>
    </row>
    <row r="926" spans="2:61">
      <c r="B926" s="75">
        <v>489</v>
      </c>
      <c r="C926" s="15" t="str">
        <v>Jamie Leweling</v>
      </c>
      <c r="D926" s="15">
        <v>25</v>
      </c>
      <c r="E926" s="15" t="str">
        <v>Germany</v>
      </c>
      <c r="F926" s="15" t="str">
        <v>LW</v>
      </c>
      <c r="G926" s="15" t="str">
        <v>VfB Stuttgart</v>
      </c>
      <c r="H926" s="15">
        <v>9</v>
      </c>
      <c r="I926" s="15" t="str">
        <f t="shared" si="79"/>
        <v>489|Jamie Leweling|25|Germany|LW|VfB Stuttgart|9</v>
      </c>
      <c r="J926" s="15" t="str">
        <f>IF(COUNTIF(I$438:I926,I926)&gt;1,"DOUBLON","OK")</f>
        <v>OK</v>
      </c>
      <c r="S926" s="30" t="str">
        <v>Argentina</v>
      </c>
      <c r="T926" s="30" t="str">
        <f t="shared" si="80"/>
        <v>OK</v>
      </c>
      <c r="U926" s="30" t="str">
        <f t="shared" si="81"/>
        <v>-</v>
      </c>
      <c r="V926" s="30" t="str" cm="1">
        <f t="array" ref="V926">_xlfn.IFS(
ISNUMBER(SEARCH("USA",S926)),"United States",
ISNUMBER(SEARCH("Republic of Korea",S926)),"South Korea",
ISNUMBER(SEARCH("Cape Verde",S926)),"Cabo Verde",
ISNUMBER(SEARCH("Czechia",S926)),"Czech Republic",
ISNUMBER(SEARCH("Türkiye",S926)),"Turkey",
ISNUMBER(SEARCH("Ivory Coast",S926)),"Côte d'Ivoire",
ISNUMBER(SEARCH("Korea Republic",S926)),"South Korea",
ISNUMBER(SEARCH("Germany FR",S926)),"FR Germany",
ISNUMBER(SEARCH("West Germany",S926)),"FR Germany",
ISNUMBER(SEARCH("Germany DR",S926)),"DR Germany",
ISNUMBER(SEARCH("Korea DPR",S926)),"North Korea",
ISNUMBER(SEARCH("China PR",S926)),"China",
ISNUMBER(SEARCH("IR Iran",S926)),"Iran",
ISNUMBER(SEARCH("Congo DR",S926)),"Democratic Republic of the Congo",
ISNUMBER(SEARCH("DR Congo",S926)),"Democratic Republic of the Congo",
ISNUMBER(SEARCH("German DR",S926)),"DR Germany",
ISNUMBER(SEARCH("rn""&gt;United Arab Emirates",S926)),"United Arab Emirates",
ISNUMBER(SEARCH("rn""&gt;Republic of Ireland",S926)),"Ireland",
ISNUMBER(SEARCH("rn""&gt;Bosnia and Herzegovina",S926)),"Bosnia and Herzegovina",
ISNUMBER(SEARCH("rn""&gt;Trinidad and Tobago",S926)),"Trinidad and Tobago",
ISNUMBER(SEARCH("rn""&gt;Serbia and Montenegro",S926)),"Serbia and Montenegro",
ISNUMBER(SEARCH(_xlfn.UNICHAR(65533),S926)),"Côte d'Ivoire",
TRUE,""
)</f>
        <v/>
      </c>
      <c r="W926" s="30" t="str">
        <f t="shared" si="82"/>
        <v>Argentina</v>
      </c>
      <c r="Z926" s="40" t="str">
        <v>Luzhniki Stadium</v>
      </c>
      <c r="AA926" s="40" t="str" cm="1">
        <f t="array" ref="AA926">IFERROR(_xlfn.XLOOKUP(Z926,_xlfn.ANCHORARRAY(Z$31),AA$31:AA$37),Z926)</f>
        <v>Luzhniki Stadium</v>
      </c>
      <c r="AB926" s="42" t="str">
        <v>Moscow</v>
      </c>
      <c r="AC926" s="89" t="str">
        <f t="shared" si="78"/>
        <v>Moscow</v>
      </c>
      <c r="AE926" s="42">
        <v>2018</v>
      </c>
      <c r="AK926" s="42">
        <v>2</v>
      </c>
      <c r="AL926" s="42">
        <v>0</v>
      </c>
      <c r="AW926" s="89" t="str">
        <v>GROUP_STAGE</v>
      </c>
      <c r="BE926" s="43" t="str">
        <f>IF(OR(DATA_CLEANED!AL917="",DATA_CLEANED!AM917=""),"MANQUANT",IF(OR(NOT(ISNUMBER(DATA_CLEANED!AL917)),NOT(ISNUMBER(DATA_CLEANED!AM917))),"ENTREE INVALIDE",IF(OR(DATA_CLEANED!AL917&lt;0,DATA_CLEANED!AM917&lt;0),"SCORE NEGATIF","OK")))</f>
        <v>OK</v>
      </c>
      <c r="BF926" s="43" t="str">
        <f>IF(DATA_CLEANED!AK917&lt;&gt;DATA_CLEANED!AN917,"OK","ERREUR")</f>
        <v>OK</v>
      </c>
      <c r="BG926" s="43" t="str">
        <f>IF(DATA_CLEANED!AL917&gt;DATA_CLEANED!AM917,DATA_CLEANED!AK917,IF(AND(DATA_QUALITE!W5403="-",DATA_CLEANED!AM917=DATA_CLEANED!AL917),"MATCH NUL",IF(AND(DATA_QUALITE!V5403="-",DATA_QUALITE!U5403="AUCUNE"),DATA_QUALITE!T5403,IF(DATA_QUALITE!V5403&lt;&gt;"-",DATA_QUALITE!V5403,DATA_CLEANED!AN917))))</f>
        <v>Portugal</v>
      </c>
      <c r="BH926" s="103" t="str">
        <f>IF(AND(BG926="MATCH NUL",DATA_CLEANED!AO917="-"),"MATCH_NUL",IF(ISNUMBER(SEARCH("win on penalties",W5403)),"WIN_BY_PENALTY",IF(ISNUMBER(SEARCH("win after extra time",W5403)),"WIN_BY_EXTRA_TIME",IF(ISNUMBER(SEARCH("Golden Goal",W5403)),"WIN_BY_GOLDEN_GOAL","WIN_BY_SCORE"))))</f>
        <v>WIN_BY_SCORE</v>
      </c>
      <c r="BI926" s="99" t="str">
        <f>IF(OR(BG926=DATA_CLEANED!AK917,BG926=DATA_CLEANED!AN917,BG926="MATCH NUL"),"OK","ERREUR")</f>
        <v>OK</v>
      </c>
    </row>
    <row r="927" spans="2:61">
      <c r="B927" s="75">
        <v>490</v>
      </c>
      <c r="C927" s="15" t="str">
        <v>Leroy Sané</v>
      </c>
      <c r="D927" s="15">
        <v>30</v>
      </c>
      <c r="E927" s="15" t="str">
        <v>Germany</v>
      </c>
      <c r="F927" s="15" t="str">
        <v>LW</v>
      </c>
      <c r="G927" s="15" t="str">
        <v>Galatasaray</v>
      </c>
      <c r="H927" s="15">
        <v>19</v>
      </c>
      <c r="I927" s="15" t="str">
        <f t="shared" si="79"/>
        <v>490|Leroy Sané|30|Germany|LW|Galatasaray|19</v>
      </c>
      <c r="J927" s="15" t="str">
        <f>IF(COUNTIF(I$438:I927,I927)&gt;1,"DOUBLON","OK")</f>
        <v>OK</v>
      </c>
      <c r="S927" s="30" t="str">
        <v>Germany</v>
      </c>
      <c r="T927" s="30" t="str">
        <f t="shared" si="80"/>
        <v>OK</v>
      </c>
      <c r="U927" s="30" t="str">
        <f t="shared" si="81"/>
        <v>-</v>
      </c>
      <c r="V927" s="30" t="str" cm="1">
        <f t="array" ref="V927">_xlfn.IFS(
ISNUMBER(SEARCH("USA",S927)),"United States",
ISNUMBER(SEARCH("Republic of Korea",S927)),"South Korea",
ISNUMBER(SEARCH("Cape Verde",S927)),"Cabo Verde",
ISNUMBER(SEARCH("Czechia",S927)),"Czech Republic",
ISNUMBER(SEARCH("Türkiye",S927)),"Turkey",
ISNUMBER(SEARCH("Ivory Coast",S927)),"Côte d'Ivoire",
ISNUMBER(SEARCH("Korea Republic",S927)),"South Korea",
ISNUMBER(SEARCH("Germany FR",S927)),"FR Germany",
ISNUMBER(SEARCH("West Germany",S927)),"FR Germany",
ISNUMBER(SEARCH("Germany DR",S927)),"DR Germany",
ISNUMBER(SEARCH("Korea DPR",S927)),"North Korea",
ISNUMBER(SEARCH("China PR",S927)),"China",
ISNUMBER(SEARCH("IR Iran",S927)),"Iran",
ISNUMBER(SEARCH("Congo DR",S927)),"Democratic Republic of the Congo",
ISNUMBER(SEARCH("DR Congo",S927)),"Democratic Republic of the Congo",
ISNUMBER(SEARCH("German DR",S927)),"DR Germany",
ISNUMBER(SEARCH("rn""&gt;United Arab Emirates",S927)),"United Arab Emirates",
ISNUMBER(SEARCH("rn""&gt;Republic of Ireland",S927)),"Ireland",
ISNUMBER(SEARCH("rn""&gt;Bosnia and Herzegovina",S927)),"Bosnia and Herzegovina",
ISNUMBER(SEARCH("rn""&gt;Trinidad and Tobago",S927)),"Trinidad and Tobago",
ISNUMBER(SEARCH("rn""&gt;Serbia and Montenegro",S927)),"Serbia and Montenegro",
ISNUMBER(SEARCH(_xlfn.UNICHAR(65533),S927)),"Côte d'Ivoire",
TRUE,""
)</f>
        <v/>
      </c>
      <c r="W927" s="30" t="str">
        <f t="shared" si="82"/>
        <v>Germany</v>
      </c>
      <c r="Z927" s="40" t="str">
        <v>Nizhny Novgorod Stadium</v>
      </c>
      <c r="AA927" s="40" t="str" cm="1">
        <f t="array" ref="AA927">IFERROR(_xlfn.XLOOKUP(Z927,_xlfn.ANCHORARRAY(Z$31),AA$31:AA$37),Z927)</f>
        <v>Nizhny Novgorod Stadium</v>
      </c>
      <c r="AB927" s="42" t="str">
        <v>Nizhny Novgorod</v>
      </c>
      <c r="AC927" s="89" t="str">
        <f t="shared" si="78"/>
        <v>Nizhny Novgorod</v>
      </c>
      <c r="AE927" s="42">
        <v>2018</v>
      </c>
      <c r="AK927" s="42">
        <v>0</v>
      </c>
      <c r="AL927" s="42">
        <v>1</v>
      </c>
      <c r="AW927" s="89" t="str">
        <v>GROUP_STAGE</v>
      </c>
      <c r="BE927" s="43" t="str">
        <f>IF(OR(DATA_CLEANED!AL918="",DATA_CLEANED!AM918=""),"MANQUANT",IF(OR(NOT(ISNUMBER(DATA_CLEANED!AL918)),NOT(ISNUMBER(DATA_CLEANED!AM918))),"ENTREE INVALIDE",IF(OR(DATA_CLEANED!AL918&lt;0,DATA_CLEANED!AM918&lt;0),"SCORE NEGATIF","OK")))</f>
        <v>OK</v>
      </c>
      <c r="BF927" s="43" t="str">
        <f>IF(DATA_CLEANED!AK918&lt;&gt;DATA_CLEANED!AN918,"OK","ERREUR")</f>
        <v>OK</v>
      </c>
      <c r="BG927" s="43" t="str">
        <f>IF(DATA_CLEANED!AL918&gt;DATA_CLEANED!AM918,DATA_CLEANED!AK918,IF(AND(DATA_QUALITE!W5404="-",DATA_CLEANED!AM918=DATA_CLEANED!AL918),"MATCH NUL",IF(AND(DATA_QUALITE!V5404="-",DATA_QUALITE!U5404="AUCUNE"),DATA_QUALITE!T5404,IF(DATA_QUALITE!V5404&lt;&gt;"-",DATA_QUALITE!V5404,DATA_CLEANED!AN918))))</f>
        <v>Brazil</v>
      </c>
      <c r="BH927" s="103" t="str">
        <f>IF(AND(BG927="MATCH NUL",DATA_CLEANED!AO918="-"),"MATCH_NUL",IF(ISNUMBER(SEARCH("win on penalties",W5404)),"WIN_BY_PENALTY",IF(ISNUMBER(SEARCH("win after extra time",W5404)),"WIN_BY_EXTRA_TIME",IF(ISNUMBER(SEARCH("Golden Goal",W5404)),"WIN_BY_GOLDEN_GOAL","WIN_BY_SCORE"))))</f>
        <v>WIN_BY_SCORE</v>
      </c>
      <c r="BI927" s="99" t="str">
        <f>IF(OR(BG927=DATA_CLEANED!AK918,BG927=DATA_CLEANED!AN918,BG927="MATCH NUL"),"OK","ERREUR")</f>
        <v>OK</v>
      </c>
    </row>
    <row r="928" spans="2:61">
      <c r="B928" s="75">
        <v>491</v>
      </c>
      <c r="C928" s="15" t="str">
        <v>Maximilian Beier</v>
      </c>
      <c r="D928" s="15">
        <v>23</v>
      </c>
      <c r="E928" s="15" t="str">
        <v>Germany</v>
      </c>
      <c r="F928" s="15" t="str">
        <v>RW</v>
      </c>
      <c r="G928" s="15" t="str">
        <v>Borussia Dortmund</v>
      </c>
      <c r="H928" s="15">
        <v>14</v>
      </c>
      <c r="I928" s="15" t="str">
        <f t="shared" si="79"/>
        <v>491|Maximilian Beier|23|Germany|RW|Borussia Dortmund|14</v>
      </c>
      <c r="J928" s="15" t="str">
        <f>IF(COUNTIF(I$438:I928,I928)&gt;1,"DOUBLON","OK")</f>
        <v>OK</v>
      </c>
      <c r="S928" s="30" t="str">
        <v>Argentina</v>
      </c>
      <c r="T928" s="30" t="str">
        <f t="shared" si="80"/>
        <v>OK</v>
      </c>
      <c r="U928" s="30" t="str">
        <f t="shared" si="81"/>
        <v>-</v>
      </c>
      <c r="V928" s="30" t="str" cm="1">
        <f t="array" ref="V928">_xlfn.IFS(
ISNUMBER(SEARCH("USA",S928)),"United States",
ISNUMBER(SEARCH("Republic of Korea",S928)),"South Korea",
ISNUMBER(SEARCH("Cape Verde",S928)),"Cabo Verde",
ISNUMBER(SEARCH("Czechia",S928)),"Czech Republic",
ISNUMBER(SEARCH("Türkiye",S928)),"Turkey",
ISNUMBER(SEARCH("Ivory Coast",S928)),"Côte d'Ivoire",
ISNUMBER(SEARCH("Korea Republic",S928)),"South Korea",
ISNUMBER(SEARCH("Germany FR",S928)),"FR Germany",
ISNUMBER(SEARCH("West Germany",S928)),"FR Germany",
ISNUMBER(SEARCH("Germany DR",S928)),"DR Germany",
ISNUMBER(SEARCH("Korea DPR",S928)),"North Korea",
ISNUMBER(SEARCH("China PR",S928)),"China",
ISNUMBER(SEARCH("IR Iran",S928)),"Iran",
ISNUMBER(SEARCH("Congo DR",S928)),"Democratic Republic of the Congo",
ISNUMBER(SEARCH("DR Congo",S928)),"Democratic Republic of the Congo",
ISNUMBER(SEARCH("German DR",S928)),"DR Germany",
ISNUMBER(SEARCH("rn""&gt;United Arab Emirates",S928)),"United Arab Emirates",
ISNUMBER(SEARCH("rn""&gt;Republic of Ireland",S928)),"Ireland",
ISNUMBER(SEARCH("rn""&gt;Bosnia and Herzegovina",S928)),"Bosnia and Herzegovina",
ISNUMBER(SEARCH("rn""&gt;Trinidad and Tobago",S928)),"Trinidad and Tobago",
ISNUMBER(SEARCH("rn""&gt;Serbia and Montenegro",S928)),"Serbia and Montenegro",
ISNUMBER(SEARCH(_xlfn.UNICHAR(65533),S928)),"Côte d'Ivoire",
TRUE,""
)</f>
        <v/>
      </c>
      <c r="W928" s="30" t="str">
        <f t="shared" si="82"/>
        <v>Argentina</v>
      </c>
      <c r="Z928" s="40" t="str">
        <v>Samara Arena</v>
      </c>
      <c r="AA928" s="40" t="str" cm="1">
        <f t="array" ref="AA928">IFERROR(_xlfn.XLOOKUP(Z928,_xlfn.ANCHORARRAY(Z$31),AA$31:AA$37),Z928)</f>
        <v>Samara Arena</v>
      </c>
      <c r="AB928" s="42" t="str">
        <v>Samara</v>
      </c>
      <c r="AC928" s="89" t="str">
        <f t="shared" si="78"/>
        <v>Samara</v>
      </c>
      <c r="AE928" s="42">
        <v>2018</v>
      </c>
      <c r="AK928" s="42">
        <v>0</v>
      </c>
      <c r="AL928" s="42">
        <v>1</v>
      </c>
      <c r="AW928" s="89" t="str">
        <v>GROUP_STAGE</v>
      </c>
      <c r="BE928" s="43" t="str">
        <f>IF(OR(DATA_CLEANED!AL919="",DATA_CLEANED!AM919=""),"MANQUANT",IF(OR(NOT(ISNUMBER(DATA_CLEANED!AL919)),NOT(ISNUMBER(DATA_CLEANED!AM919))),"ENTREE INVALIDE",IF(OR(DATA_CLEANED!AL919&lt;0,DATA_CLEANED!AM919&lt;0),"SCORE NEGATIF","OK")))</f>
        <v>OK</v>
      </c>
      <c r="BF928" s="43" t="str">
        <f>IF(DATA_CLEANED!AK919&lt;&gt;DATA_CLEANED!AN919,"OK","ERREUR")</f>
        <v>OK</v>
      </c>
      <c r="BG928" s="43" t="str">
        <f>IF(DATA_CLEANED!AL919&gt;DATA_CLEANED!AM919,DATA_CLEANED!AK919,IF(AND(DATA_QUALITE!W5405="-",DATA_CLEANED!AM919=DATA_CLEANED!AL919),"MATCH NUL",IF(AND(DATA_QUALITE!V5405="-",DATA_QUALITE!U5405="AUCUNE"),DATA_QUALITE!T5405,IF(DATA_QUALITE!V5405&lt;&gt;"-",DATA_QUALITE!V5405,DATA_CLEANED!AN919))))</f>
        <v>Iran</v>
      </c>
      <c r="BH928" s="103" t="str">
        <f>IF(AND(BG928="MATCH NUL",DATA_CLEANED!AO919="-"),"MATCH_NUL",IF(ISNUMBER(SEARCH("win on penalties",W5405)),"WIN_BY_PENALTY",IF(ISNUMBER(SEARCH("win after extra time",W5405)),"WIN_BY_EXTRA_TIME",IF(ISNUMBER(SEARCH("Golden Goal",W5405)),"WIN_BY_GOLDEN_GOAL","WIN_BY_SCORE"))))</f>
        <v>WIN_BY_SCORE</v>
      </c>
      <c r="BI928" s="99" t="str">
        <f>IF(OR(BG928=DATA_CLEANED!AK919,BG928=DATA_CLEANED!AN919,BG928="MATCH NUL"),"OK","ERREUR")</f>
        <v>OK</v>
      </c>
    </row>
    <row r="929" spans="2:61">
      <c r="B929" s="75">
        <v>492</v>
      </c>
      <c r="C929" s="15" t="str">
        <v>Kai Havertz</v>
      </c>
      <c r="D929" s="15">
        <v>27</v>
      </c>
      <c r="E929" s="15" t="str">
        <v>Germany</v>
      </c>
      <c r="F929" s="15" t="str">
        <v>ST</v>
      </c>
      <c r="G929" s="15" t="str">
        <v>Arsenal</v>
      </c>
      <c r="H929" s="15">
        <v>7</v>
      </c>
      <c r="I929" s="15" t="str">
        <f t="shared" si="79"/>
        <v>492|Kai Havertz|27|Germany|ST|Arsenal|7</v>
      </c>
      <c r="J929" s="15" t="str">
        <f>IF(COUNTIF(I$438:I929,I929)&gt;1,"DOUBLON","OK")</f>
        <v>OK</v>
      </c>
      <c r="S929" s="30" t="str">
        <v>Germany</v>
      </c>
      <c r="T929" s="30" t="str">
        <f t="shared" si="80"/>
        <v>OK</v>
      </c>
      <c r="U929" s="30" t="str">
        <f t="shared" si="81"/>
        <v>-</v>
      </c>
      <c r="V929" s="30" t="str" cm="1">
        <f t="array" ref="V929">_xlfn.IFS(
ISNUMBER(SEARCH("USA",S929)),"United States",
ISNUMBER(SEARCH("Republic of Korea",S929)),"South Korea",
ISNUMBER(SEARCH("Cape Verde",S929)),"Cabo Verde",
ISNUMBER(SEARCH("Czechia",S929)),"Czech Republic",
ISNUMBER(SEARCH("Türkiye",S929)),"Turkey",
ISNUMBER(SEARCH("Ivory Coast",S929)),"Côte d'Ivoire",
ISNUMBER(SEARCH("Korea Republic",S929)),"South Korea",
ISNUMBER(SEARCH("Germany FR",S929)),"FR Germany",
ISNUMBER(SEARCH("West Germany",S929)),"FR Germany",
ISNUMBER(SEARCH("Germany DR",S929)),"DR Germany",
ISNUMBER(SEARCH("Korea DPR",S929)),"North Korea",
ISNUMBER(SEARCH("China PR",S929)),"China",
ISNUMBER(SEARCH("IR Iran",S929)),"Iran",
ISNUMBER(SEARCH("Congo DR",S929)),"Democratic Republic of the Congo",
ISNUMBER(SEARCH("DR Congo",S929)),"Democratic Republic of the Congo",
ISNUMBER(SEARCH("German DR",S929)),"DR Germany",
ISNUMBER(SEARCH("rn""&gt;United Arab Emirates",S929)),"United Arab Emirates",
ISNUMBER(SEARCH("rn""&gt;Republic of Ireland",S929)),"Ireland",
ISNUMBER(SEARCH("rn""&gt;Bosnia and Herzegovina",S929)),"Bosnia and Herzegovina",
ISNUMBER(SEARCH("rn""&gt;Trinidad and Tobago",S929)),"Trinidad and Tobago",
ISNUMBER(SEARCH("rn""&gt;Serbia and Montenegro",S929)),"Serbia and Montenegro",
ISNUMBER(SEARCH(_xlfn.UNICHAR(65533),S929)),"Côte d'Ivoire",
TRUE,""
)</f>
        <v/>
      </c>
      <c r="W929" s="30" t="str">
        <f t="shared" si="82"/>
        <v>Germany</v>
      </c>
      <c r="Z929" s="40" t="str">
        <v>Rostov Arena</v>
      </c>
      <c r="AA929" s="40" t="str" cm="1">
        <f t="array" ref="AA929">IFERROR(_xlfn.XLOOKUP(Z929,_xlfn.ANCHORARRAY(Z$31),AA$31:AA$37),Z929)</f>
        <v>Rostov Arena</v>
      </c>
      <c r="AB929" s="42" t="str">
        <v>Rostov-on-Don</v>
      </c>
      <c r="AC929" s="89" t="str">
        <f t="shared" si="78"/>
        <v>Rostov-on-Don</v>
      </c>
      <c r="AE929" s="42">
        <v>2018</v>
      </c>
      <c r="AK929" s="42">
        <v>1</v>
      </c>
      <c r="AL929" s="42">
        <v>1</v>
      </c>
      <c r="AW929" s="89" t="str">
        <v>GROUP_STAGE</v>
      </c>
      <c r="BE929" s="43" t="str">
        <f>IF(OR(DATA_CLEANED!AL920="",DATA_CLEANED!AM920=""),"MANQUANT",IF(OR(NOT(ISNUMBER(DATA_CLEANED!AL920)),NOT(ISNUMBER(DATA_CLEANED!AM920))),"ENTREE INVALIDE",IF(OR(DATA_CLEANED!AL920&lt;0,DATA_CLEANED!AM920&lt;0),"SCORE NEGATIF","OK")))</f>
        <v>OK</v>
      </c>
      <c r="BF929" s="43" t="str">
        <f>IF(DATA_CLEANED!AK920&lt;&gt;DATA_CLEANED!AN920,"OK","ERREUR")</f>
        <v>OK</v>
      </c>
      <c r="BG929" s="43" t="str">
        <f>IF(DATA_CLEANED!AL920&gt;DATA_CLEANED!AM920,DATA_CLEANED!AK920,IF(AND(DATA_QUALITE!W5406="-",DATA_CLEANED!AM920=DATA_CLEANED!AL920),"MATCH NUL",IF(AND(DATA_QUALITE!V5406="-",DATA_QUALITE!U5406="AUCUNE"),DATA_QUALITE!T5406,IF(DATA_QUALITE!V5406&lt;&gt;"-",DATA_QUALITE!V5406,DATA_CLEANED!AN920))))</f>
        <v>Senegal</v>
      </c>
      <c r="BH929" s="103" t="str">
        <f>IF(AND(BG929="MATCH NUL",DATA_CLEANED!AO920="-"),"MATCH_NUL",IF(ISNUMBER(SEARCH("win on penalties",W5406)),"WIN_BY_PENALTY",IF(ISNUMBER(SEARCH("win after extra time",W5406)),"WIN_BY_EXTRA_TIME",IF(ISNUMBER(SEARCH("Golden Goal",W5406)),"WIN_BY_GOLDEN_GOAL","WIN_BY_SCORE"))))</f>
        <v>WIN_BY_SCORE</v>
      </c>
      <c r="BI929" s="99" t="str">
        <f>IF(OR(BG929=DATA_CLEANED!AK920,BG929=DATA_CLEANED!AN920,BG929="MATCH NUL"),"OK","ERREUR")</f>
        <v>OK</v>
      </c>
    </row>
    <row r="930" spans="2:61">
      <c r="B930" s="75">
        <v>493</v>
      </c>
      <c r="C930" s="15" t="str">
        <v>Nick Woltemade</v>
      </c>
      <c r="D930" s="15">
        <v>24</v>
      </c>
      <c r="E930" s="15" t="str">
        <v>Germany</v>
      </c>
      <c r="F930" s="15" t="str">
        <v>ST</v>
      </c>
      <c r="G930" s="15" t="str">
        <v>Newcastle United</v>
      </c>
      <c r="H930" s="15">
        <v>11</v>
      </c>
      <c r="I930" s="15" t="str">
        <f t="shared" si="79"/>
        <v>493|Nick Woltemade|24|Germany|ST|Newcastle United|11</v>
      </c>
      <c r="J930" s="15" t="str">
        <f>IF(COUNTIF(I$438:I930,I930)&gt;1,"DOUBLON","OK")</f>
        <v>OK</v>
      </c>
      <c r="S930" s="30" t="str">
        <v>Argentina</v>
      </c>
      <c r="T930" s="30" t="str">
        <f t="shared" si="80"/>
        <v>OK</v>
      </c>
      <c r="U930" s="30" t="str">
        <f t="shared" si="81"/>
        <v>-</v>
      </c>
      <c r="V930" s="30" t="str" cm="1">
        <f t="array" ref="V930">_xlfn.IFS(
ISNUMBER(SEARCH("USA",S930)),"United States",
ISNUMBER(SEARCH("Republic of Korea",S930)),"South Korea",
ISNUMBER(SEARCH("Cape Verde",S930)),"Cabo Verde",
ISNUMBER(SEARCH("Czechia",S930)),"Czech Republic",
ISNUMBER(SEARCH("Türkiye",S930)),"Turkey",
ISNUMBER(SEARCH("Ivory Coast",S930)),"Côte d'Ivoire",
ISNUMBER(SEARCH("Korea Republic",S930)),"South Korea",
ISNUMBER(SEARCH("Germany FR",S930)),"FR Germany",
ISNUMBER(SEARCH("West Germany",S930)),"FR Germany",
ISNUMBER(SEARCH("Germany DR",S930)),"DR Germany",
ISNUMBER(SEARCH("Korea DPR",S930)),"North Korea",
ISNUMBER(SEARCH("China PR",S930)),"China",
ISNUMBER(SEARCH("IR Iran",S930)),"Iran",
ISNUMBER(SEARCH("Congo DR",S930)),"Democratic Republic of the Congo",
ISNUMBER(SEARCH("DR Congo",S930)),"Democratic Republic of the Congo",
ISNUMBER(SEARCH("German DR",S930)),"DR Germany",
ISNUMBER(SEARCH("rn""&gt;United Arab Emirates",S930)),"United Arab Emirates",
ISNUMBER(SEARCH("rn""&gt;Republic of Ireland",S930)),"Ireland",
ISNUMBER(SEARCH("rn""&gt;Bosnia and Herzegovina",S930)),"Bosnia and Herzegovina",
ISNUMBER(SEARCH("rn""&gt;Trinidad and Tobago",S930)),"Trinidad and Tobago",
ISNUMBER(SEARCH("rn""&gt;Serbia and Montenegro",S930)),"Serbia and Montenegro",
ISNUMBER(SEARCH(_xlfn.UNICHAR(65533),S930)),"Côte d'Ivoire",
TRUE,""
)</f>
        <v/>
      </c>
      <c r="W930" s="30" t="str">
        <f t="shared" si="82"/>
        <v>Argentina</v>
      </c>
      <c r="Z930" s="40" t="str">
        <v>Krestovsky Stadium</v>
      </c>
      <c r="AA930" s="40" t="str" cm="1">
        <f t="array" ref="AA930">IFERROR(_xlfn.XLOOKUP(Z930,_xlfn.ANCHORARRAY(Z$31),AA$31:AA$37),Z930)</f>
        <v>Krestovsky Stadium</v>
      </c>
      <c r="AB930" s="42" t="str">
        <v>Saint Petersburg</v>
      </c>
      <c r="AC930" s="89" t="str">
        <f t="shared" si="78"/>
        <v>Saint Petersburg</v>
      </c>
      <c r="AE930" s="42">
        <v>2018</v>
      </c>
      <c r="AK930" s="42">
        <v>1</v>
      </c>
      <c r="AL930" s="42">
        <v>0</v>
      </c>
      <c r="AW930" s="89" t="str">
        <v>GROUP_STAGE</v>
      </c>
      <c r="BE930" s="43" t="str">
        <f>IF(OR(DATA_CLEANED!AL921="",DATA_CLEANED!AM921=""),"MANQUANT",IF(OR(NOT(ISNUMBER(DATA_CLEANED!AL921)),NOT(ISNUMBER(DATA_CLEANED!AM921))),"ENTREE INVALIDE",IF(OR(DATA_CLEANED!AL921&lt;0,DATA_CLEANED!AM921&lt;0),"SCORE NEGATIF","OK")))</f>
        <v>OK</v>
      </c>
      <c r="BF930" s="43" t="str">
        <f>IF(DATA_CLEANED!AK921&lt;&gt;DATA_CLEANED!AN921,"OK","ERREUR")</f>
        <v>OK</v>
      </c>
      <c r="BG930" s="43" t="str">
        <f>IF(DATA_CLEANED!AL921&gt;DATA_CLEANED!AM921,DATA_CLEANED!AK921,IF(AND(DATA_QUALITE!W5407="-",DATA_CLEANED!AM921=DATA_CLEANED!AL921),"MATCH NUL",IF(AND(DATA_QUALITE!V5407="-",DATA_QUALITE!U5407="AUCUNE"),DATA_QUALITE!T5407,IF(DATA_QUALITE!V5407&lt;&gt;"-",DATA_QUALITE!V5407,DATA_CLEANED!AN921))))</f>
        <v>MATCH NUL</v>
      </c>
      <c r="BH930" s="103" t="str">
        <f>IF(AND(BG930="MATCH NUL",DATA_CLEANED!AO921="-"),"MATCH_NUL",IF(ISNUMBER(SEARCH("win on penalties",W5407)),"WIN_BY_PENALTY",IF(ISNUMBER(SEARCH("win after extra time",W5407)),"WIN_BY_EXTRA_TIME",IF(ISNUMBER(SEARCH("Golden Goal",W5407)),"WIN_BY_GOLDEN_GOAL","WIN_BY_SCORE"))))</f>
        <v>MATCH_NUL</v>
      </c>
      <c r="BI930" s="99" t="str">
        <f>IF(OR(BG930=DATA_CLEANED!AK921,BG930=DATA_CLEANED!AN921,BG930="MATCH NUL"),"OK","ERREUR")</f>
        <v>OK</v>
      </c>
    </row>
    <row r="931" spans="2:61">
      <c r="B931" s="75">
        <v>494</v>
      </c>
      <c r="C931" s="15" t="str">
        <v>Deniz Undav</v>
      </c>
      <c r="D931" s="15">
        <v>29</v>
      </c>
      <c r="E931" s="15" t="str">
        <v>Germany</v>
      </c>
      <c r="F931" s="15" t="str">
        <v>ST</v>
      </c>
      <c r="G931" s="15" t="str">
        <v>VfB Stuttgart</v>
      </c>
      <c r="H931" s="15">
        <v>26</v>
      </c>
      <c r="I931" s="15" t="str">
        <f t="shared" si="79"/>
        <v>494|Deniz Undav|29|Germany|ST|VfB Stuttgart|26</v>
      </c>
      <c r="J931" s="15" t="str">
        <f>IF(COUNTIF(I$438:I931,I931)&gt;1,"DOUBLON","OK")</f>
        <v>OK</v>
      </c>
      <c r="S931" s="30" t="str">
        <v>Germany</v>
      </c>
      <c r="T931" s="30" t="str">
        <f t="shared" si="80"/>
        <v>OK</v>
      </c>
      <c r="U931" s="30" t="str">
        <f t="shared" si="81"/>
        <v>-</v>
      </c>
      <c r="V931" s="30" t="str" cm="1">
        <f t="array" ref="V931">_xlfn.IFS(
ISNUMBER(SEARCH("USA",S931)),"United States",
ISNUMBER(SEARCH("Republic of Korea",S931)),"South Korea",
ISNUMBER(SEARCH("Cape Verde",S931)),"Cabo Verde",
ISNUMBER(SEARCH("Czechia",S931)),"Czech Republic",
ISNUMBER(SEARCH("Türkiye",S931)),"Turkey",
ISNUMBER(SEARCH("Ivory Coast",S931)),"Côte d'Ivoire",
ISNUMBER(SEARCH("Korea Republic",S931)),"South Korea",
ISNUMBER(SEARCH("Germany FR",S931)),"FR Germany",
ISNUMBER(SEARCH("West Germany",S931)),"FR Germany",
ISNUMBER(SEARCH("Germany DR",S931)),"DR Germany",
ISNUMBER(SEARCH("Korea DPR",S931)),"North Korea",
ISNUMBER(SEARCH("China PR",S931)),"China",
ISNUMBER(SEARCH("IR Iran",S931)),"Iran",
ISNUMBER(SEARCH("Congo DR",S931)),"Democratic Republic of the Congo",
ISNUMBER(SEARCH("DR Congo",S931)),"Democratic Republic of the Congo",
ISNUMBER(SEARCH("German DR",S931)),"DR Germany",
ISNUMBER(SEARCH("rn""&gt;United Arab Emirates",S931)),"United Arab Emirates",
ISNUMBER(SEARCH("rn""&gt;Republic of Ireland",S931)),"Ireland",
ISNUMBER(SEARCH("rn""&gt;Bosnia and Herzegovina",S931)),"Bosnia and Herzegovina",
ISNUMBER(SEARCH("rn""&gt;Trinidad and Tobago",S931)),"Trinidad and Tobago",
ISNUMBER(SEARCH("rn""&gt;Serbia and Montenegro",S931)),"Serbia and Montenegro",
ISNUMBER(SEARCH(_xlfn.UNICHAR(65533),S931)),"Côte d'Ivoire",
TRUE,""
)</f>
        <v/>
      </c>
      <c r="W931" s="30" t="str">
        <f t="shared" si="82"/>
        <v>Germany</v>
      </c>
      <c r="Z931" s="40" t="str">
        <v>Otkritie Arena</v>
      </c>
      <c r="AA931" s="40" t="str" cm="1">
        <f t="array" ref="AA931">IFERROR(_xlfn.XLOOKUP(Z931,_xlfn.ANCHORARRAY(Z$31),AA$31:AA$37),Z931)</f>
        <v>Otkritie Arena</v>
      </c>
      <c r="AB931" s="42" t="str">
        <v>Moscow</v>
      </c>
      <c r="AC931" s="89" t="str">
        <f t="shared" si="78"/>
        <v>Moscow</v>
      </c>
      <c r="AE931" s="42">
        <v>2018</v>
      </c>
      <c r="AK931" s="42">
        <v>3</v>
      </c>
      <c r="AL931" s="42">
        <v>0</v>
      </c>
      <c r="AW931" s="89" t="str">
        <v>GROUP_STAGE</v>
      </c>
      <c r="BE931" s="43" t="str">
        <f>IF(OR(DATA_CLEANED!AL922="",DATA_CLEANED!AM922=""),"MANQUANT",IF(OR(NOT(ISNUMBER(DATA_CLEANED!AL922)),NOT(ISNUMBER(DATA_CLEANED!AM922))),"ENTREE INVALIDE",IF(OR(DATA_CLEANED!AL922&lt;0,DATA_CLEANED!AM922&lt;0),"SCORE NEGATIF","OK")))</f>
        <v>OK</v>
      </c>
      <c r="BF931" s="43" t="str">
        <f>IF(DATA_CLEANED!AK922&lt;&gt;DATA_CLEANED!AN922,"OK","ERREUR")</f>
        <v>OK</v>
      </c>
      <c r="BG931" s="43" t="str">
        <f>IF(DATA_CLEANED!AL922&gt;DATA_CLEANED!AM922,DATA_CLEANED!AK922,IF(AND(DATA_QUALITE!W5408="-",DATA_CLEANED!AM922=DATA_CLEANED!AL922),"MATCH NUL",IF(AND(DATA_QUALITE!V5408="-",DATA_QUALITE!U5408="AUCUNE"),DATA_QUALITE!T5408,IF(DATA_QUALITE!V5408&lt;&gt;"-",DATA_QUALITE!V5408,DATA_CLEANED!AN922))))</f>
        <v>MATCH NUL</v>
      </c>
      <c r="BH931" s="103" t="str">
        <f>IF(AND(BG931="MATCH NUL",DATA_CLEANED!AO922="-"),"MATCH_NUL",IF(ISNUMBER(SEARCH("win on penalties",W5408)),"WIN_BY_PENALTY",IF(ISNUMBER(SEARCH("win after extra time",W5408)),"WIN_BY_EXTRA_TIME",IF(ISNUMBER(SEARCH("Golden Goal",W5408)),"WIN_BY_GOLDEN_GOAL","WIN_BY_SCORE"))))</f>
        <v>MATCH_NUL</v>
      </c>
      <c r="BI931" s="99" t="str">
        <f>IF(OR(BG931=DATA_CLEANED!AK922,BG931=DATA_CLEANED!AN922,BG931="MATCH NUL"),"OK","ERREUR")</f>
        <v>OK</v>
      </c>
    </row>
    <row r="932" spans="2:61">
      <c r="B932" s="75">
        <v>495</v>
      </c>
      <c r="C932" s="15" t="str">
        <v>Yahia Fofana</v>
      </c>
      <c r="D932" s="15">
        <v>25</v>
      </c>
      <c r="E932" s="15" t="str">
        <v>Côte d'Ivoire</v>
      </c>
      <c r="F932" s="15" t="str">
        <v>GK</v>
      </c>
      <c r="G932" s="15" t="str">
        <v>Çaykur Rizespor</v>
      </c>
      <c r="H932" s="15">
        <v>1</v>
      </c>
      <c r="I932" s="15" t="str">
        <f t="shared" si="79"/>
        <v>495|Yahia Fofana|25|Côte d'Ivoire|GK|Çaykur Rizespor|1</v>
      </c>
      <c r="J932" s="15" t="str">
        <f>IF(COUNTIF(I$438:I932,I932)&gt;1,"DOUBLON","OK")</f>
        <v>OK</v>
      </c>
      <c r="S932" s="30" t="str">
        <v>Argentina</v>
      </c>
      <c r="T932" s="30" t="str">
        <f t="shared" si="80"/>
        <v>OK</v>
      </c>
      <c r="U932" s="30" t="str">
        <f t="shared" si="81"/>
        <v>-</v>
      </c>
      <c r="V932" s="30" t="str" cm="1">
        <f t="array" ref="V932">_xlfn.IFS(
ISNUMBER(SEARCH("USA",S932)),"United States",
ISNUMBER(SEARCH("Republic of Korea",S932)),"South Korea",
ISNUMBER(SEARCH("Cape Verde",S932)),"Cabo Verde",
ISNUMBER(SEARCH("Czechia",S932)),"Czech Republic",
ISNUMBER(SEARCH("Türkiye",S932)),"Turkey",
ISNUMBER(SEARCH("Ivory Coast",S932)),"Côte d'Ivoire",
ISNUMBER(SEARCH("Korea Republic",S932)),"South Korea",
ISNUMBER(SEARCH("Germany FR",S932)),"FR Germany",
ISNUMBER(SEARCH("West Germany",S932)),"FR Germany",
ISNUMBER(SEARCH("Germany DR",S932)),"DR Germany",
ISNUMBER(SEARCH("Korea DPR",S932)),"North Korea",
ISNUMBER(SEARCH("China PR",S932)),"China",
ISNUMBER(SEARCH("IR Iran",S932)),"Iran",
ISNUMBER(SEARCH("Congo DR",S932)),"Democratic Republic of the Congo",
ISNUMBER(SEARCH("DR Congo",S932)),"Democratic Republic of the Congo",
ISNUMBER(SEARCH("German DR",S932)),"DR Germany",
ISNUMBER(SEARCH("rn""&gt;United Arab Emirates",S932)),"United Arab Emirates",
ISNUMBER(SEARCH("rn""&gt;Republic of Ireland",S932)),"Ireland",
ISNUMBER(SEARCH("rn""&gt;Bosnia and Herzegovina",S932)),"Bosnia and Herzegovina",
ISNUMBER(SEARCH("rn""&gt;Trinidad and Tobago",S932)),"Trinidad and Tobago",
ISNUMBER(SEARCH("rn""&gt;Serbia and Montenegro",S932)),"Serbia and Montenegro",
ISNUMBER(SEARCH(_xlfn.UNICHAR(65533),S932)),"Côte d'Ivoire",
TRUE,""
)</f>
        <v/>
      </c>
      <c r="W932" s="30" t="str">
        <f t="shared" si="82"/>
        <v>Argentina</v>
      </c>
      <c r="Z932" s="40" t="str">
        <v>Nizhny Novgorod Stadium</v>
      </c>
      <c r="AA932" s="40" t="str" cm="1">
        <f t="array" ref="AA932">IFERROR(_xlfn.XLOOKUP(Z932,_xlfn.ANCHORARRAY(Z$31),AA$31:AA$37),Z932)</f>
        <v>Nizhny Novgorod Stadium</v>
      </c>
      <c r="AB932" s="42" t="str">
        <v>Nizhny Novgorod</v>
      </c>
      <c r="AC932" s="89" t="str">
        <f t="shared" si="78"/>
        <v>Nizhny Novgorod</v>
      </c>
      <c r="AE932" s="42">
        <v>2018</v>
      </c>
      <c r="AK932" s="42">
        <v>1</v>
      </c>
      <c r="AL932" s="42">
        <v>2</v>
      </c>
      <c r="AW932" s="89" t="str">
        <v>GROUP_STAGE</v>
      </c>
      <c r="BE932" s="43" t="str">
        <f>IF(OR(DATA_CLEANED!AL923="",DATA_CLEANED!AM923=""),"MANQUANT",IF(OR(NOT(ISNUMBER(DATA_CLEANED!AL923)),NOT(ISNUMBER(DATA_CLEANED!AM923))),"ENTREE INVALIDE",IF(OR(DATA_CLEANED!AL923&lt;0,DATA_CLEANED!AM923&lt;0),"SCORE NEGATIF","OK")))</f>
        <v>OK</v>
      </c>
      <c r="BF932" s="43" t="str">
        <f>IF(DATA_CLEANED!AK923&lt;&gt;DATA_CLEANED!AN923,"OK","ERREUR")</f>
        <v>OK</v>
      </c>
      <c r="BG932" s="43" t="str">
        <f>IF(DATA_CLEANED!AL923&gt;DATA_CLEANED!AM923,DATA_CLEANED!AK923,IF(AND(DATA_QUALITE!W5409="-",DATA_CLEANED!AM923=DATA_CLEANED!AL923),"MATCH NUL",IF(AND(DATA_QUALITE!V5409="-",DATA_QUALITE!U5409="AUCUNE"),DATA_QUALITE!T5409,IF(DATA_QUALITE!V5409&lt;&gt;"-",DATA_QUALITE!V5409,DATA_CLEANED!AN923))))</f>
        <v>Australia</v>
      </c>
      <c r="BH932" s="103" t="str">
        <f>IF(AND(BG932="MATCH NUL",DATA_CLEANED!AO923="-"),"MATCH_NUL",IF(ISNUMBER(SEARCH("win on penalties",W5409)),"WIN_BY_PENALTY",IF(ISNUMBER(SEARCH("win after extra time",W5409)),"WIN_BY_EXTRA_TIME",IF(ISNUMBER(SEARCH("Golden Goal",W5409)),"WIN_BY_GOLDEN_GOAL","WIN_BY_SCORE"))))</f>
        <v>WIN_BY_SCORE</v>
      </c>
      <c r="BI932" s="99" t="str">
        <f>IF(OR(BG932=DATA_CLEANED!AK923,BG932=DATA_CLEANED!AN923,BG932="MATCH NUL"),"OK","ERREUR")</f>
        <v>OK</v>
      </c>
    </row>
    <row r="933" spans="2:61">
      <c r="B933" s="75">
        <v>496</v>
      </c>
      <c r="C933" s="15" t="str">
        <v>Mohamed Koné</v>
      </c>
      <c r="D933" s="15">
        <v>24</v>
      </c>
      <c r="E933" s="15" t="str">
        <v>Côte d'Ivoire</v>
      </c>
      <c r="F933" s="15" t="str">
        <v>GK</v>
      </c>
      <c r="G933" s="15" t="str">
        <v>Charleroi</v>
      </c>
      <c r="H933" s="15">
        <v>16</v>
      </c>
      <c r="I933" s="15" t="str">
        <f t="shared" si="79"/>
        <v>496|Mohamed Koné|24|Côte d'Ivoire|GK|Charleroi|16</v>
      </c>
      <c r="J933" s="15" t="str">
        <f>IF(COUNTIF(I$438:I933,I933)&gt;1,"DOUBLON","OK")</f>
        <v>OK</v>
      </c>
      <c r="S933" s="30" t="str">
        <v>Portugal</v>
      </c>
      <c r="T933" s="30" t="str">
        <f t="shared" si="80"/>
        <v>OK</v>
      </c>
      <c r="U933" s="30" t="str">
        <f t="shared" si="81"/>
        <v>-</v>
      </c>
      <c r="V933" s="30" t="str" cm="1">
        <f t="array" ref="V933">_xlfn.IFS(
ISNUMBER(SEARCH("USA",S933)),"United States",
ISNUMBER(SEARCH("Republic of Korea",S933)),"South Korea",
ISNUMBER(SEARCH("Cape Verde",S933)),"Cabo Verde",
ISNUMBER(SEARCH("Czechia",S933)),"Czech Republic",
ISNUMBER(SEARCH("Türkiye",S933)),"Turkey",
ISNUMBER(SEARCH("Ivory Coast",S933)),"Côte d'Ivoire",
ISNUMBER(SEARCH("Korea Republic",S933)),"South Korea",
ISNUMBER(SEARCH("Germany FR",S933)),"FR Germany",
ISNUMBER(SEARCH("West Germany",S933)),"FR Germany",
ISNUMBER(SEARCH("Germany DR",S933)),"DR Germany",
ISNUMBER(SEARCH("Korea DPR",S933)),"North Korea",
ISNUMBER(SEARCH("China PR",S933)),"China",
ISNUMBER(SEARCH("IR Iran",S933)),"Iran",
ISNUMBER(SEARCH("Congo DR",S933)),"Democratic Republic of the Congo",
ISNUMBER(SEARCH("DR Congo",S933)),"Democratic Republic of the Congo",
ISNUMBER(SEARCH("German DR",S933)),"DR Germany",
ISNUMBER(SEARCH("rn""&gt;United Arab Emirates",S933)),"United Arab Emirates",
ISNUMBER(SEARCH("rn""&gt;Republic of Ireland",S933)),"Ireland",
ISNUMBER(SEARCH("rn""&gt;Bosnia and Herzegovina",S933)),"Bosnia and Herzegovina",
ISNUMBER(SEARCH("rn""&gt;Trinidad and Tobago",S933)),"Trinidad and Tobago",
ISNUMBER(SEARCH("rn""&gt;Serbia and Montenegro",S933)),"Serbia and Montenegro",
ISNUMBER(SEARCH(_xlfn.UNICHAR(65533),S933)),"Côte d'Ivoire",
TRUE,""
)</f>
        <v/>
      </c>
      <c r="W933" s="30" t="str">
        <f t="shared" si="82"/>
        <v>Portugal</v>
      </c>
      <c r="Z933" s="40" t="str">
        <v>Kazan Arena</v>
      </c>
      <c r="AA933" s="40" t="str" cm="1">
        <f t="array" ref="AA933">IFERROR(_xlfn.XLOOKUP(Z933,_xlfn.ANCHORARRAY(Z$31),AA$31:AA$37),Z933)</f>
        <v>Kazan Arena</v>
      </c>
      <c r="AB933" s="42" t="str">
        <v>Kazan</v>
      </c>
      <c r="AC933" s="89" t="str">
        <f t="shared" si="78"/>
        <v>Kazan</v>
      </c>
      <c r="AE933" s="42">
        <v>2018</v>
      </c>
      <c r="AK933" s="42">
        <v>1</v>
      </c>
      <c r="AL933" s="42">
        <v>2</v>
      </c>
      <c r="AW933" s="89" t="str">
        <v>GROUP_STAGE</v>
      </c>
      <c r="BE933" s="43" t="str">
        <f>IF(OR(DATA_CLEANED!AL924="",DATA_CLEANED!AM924=""),"MANQUANT",IF(OR(NOT(ISNUMBER(DATA_CLEANED!AL924)),NOT(ISNUMBER(DATA_CLEANED!AM924))),"ENTREE INVALIDE",IF(OR(DATA_CLEANED!AL924&lt;0,DATA_CLEANED!AM924&lt;0),"SCORE NEGATIF","OK")))</f>
        <v>OK</v>
      </c>
      <c r="BF933" s="43" t="str">
        <f>IF(DATA_CLEANED!AK924&lt;&gt;DATA_CLEANED!AN924,"OK","ERREUR")</f>
        <v>OK</v>
      </c>
      <c r="BG933" s="43" t="str">
        <f>IF(DATA_CLEANED!AL924&gt;DATA_CLEANED!AM924,DATA_CLEANED!AK924,IF(AND(DATA_QUALITE!W5410="-",DATA_CLEANED!AM924=DATA_CLEANED!AL924),"MATCH NUL",IF(AND(DATA_QUALITE!V5410="-",DATA_QUALITE!U5410="AUCUNE"),DATA_QUALITE!T5410,IF(DATA_QUALITE!V5410&lt;&gt;"-",DATA_QUALITE!V5410,DATA_CLEANED!AN924))))</f>
        <v>Poland</v>
      </c>
      <c r="BH933" s="103" t="str">
        <f>IF(AND(BG933="MATCH NUL",DATA_CLEANED!AO924="-"),"MATCH_NUL",IF(ISNUMBER(SEARCH("win on penalties",W5410)),"WIN_BY_PENALTY",IF(ISNUMBER(SEARCH("win after extra time",W5410)),"WIN_BY_EXTRA_TIME",IF(ISNUMBER(SEARCH("Golden Goal",W5410)),"WIN_BY_GOLDEN_GOAL","WIN_BY_SCORE"))))</f>
        <v>WIN_BY_SCORE</v>
      </c>
      <c r="BI933" s="99" t="str">
        <f>IF(OR(BG933=DATA_CLEANED!AK924,BG933=DATA_CLEANED!AN924,BG933="MATCH NUL"),"OK","ERREUR")</f>
        <v>OK</v>
      </c>
    </row>
    <row r="934" spans="2:61">
      <c r="B934" s="75">
        <v>497</v>
      </c>
      <c r="C934" s="15" t="str">
        <v>Alban Lafont</v>
      </c>
      <c r="D934" s="15">
        <v>27</v>
      </c>
      <c r="E934" s="15" t="str">
        <v>Côte d'Ivoire</v>
      </c>
      <c r="F934" s="15" t="str">
        <v>GK</v>
      </c>
      <c r="G934" s="15" t="str">
        <v>Panathinaikos</v>
      </c>
      <c r="H934" s="15">
        <v>23</v>
      </c>
      <c r="I934" s="15" t="str">
        <f t="shared" si="79"/>
        <v>497|Alban Lafont|27|Côte d'Ivoire|GK|Panathinaikos|23</v>
      </c>
      <c r="J934" s="15" t="str">
        <f>IF(COUNTIF(I$438:I934,I934)&gt;1,"DOUBLON","OK")</f>
        <v>OK</v>
      </c>
      <c r="S934" s="30" t="str">
        <v>England</v>
      </c>
      <c r="T934" s="30" t="str">
        <f t="shared" si="80"/>
        <v>ERREUR</v>
      </c>
      <c r="U934" s="30" t="str">
        <f t="shared" si="81"/>
        <v>AUCUNE</v>
      </c>
      <c r="V934" s="30" t="str" cm="1">
        <f t="array" ref="V934">_xlfn.IFS(
ISNUMBER(SEARCH("USA",S934)),"United States",
ISNUMBER(SEARCH("Republic of Korea",S934)),"South Korea",
ISNUMBER(SEARCH("Cape Verde",S934)),"Cabo Verde",
ISNUMBER(SEARCH("Czechia",S934)),"Czech Republic",
ISNUMBER(SEARCH("Türkiye",S934)),"Turkey",
ISNUMBER(SEARCH("Ivory Coast",S934)),"Côte d'Ivoire",
ISNUMBER(SEARCH("Korea Republic",S934)),"South Korea",
ISNUMBER(SEARCH("Germany FR",S934)),"FR Germany",
ISNUMBER(SEARCH("West Germany",S934)),"FR Germany",
ISNUMBER(SEARCH("Germany DR",S934)),"DR Germany",
ISNUMBER(SEARCH("Korea DPR",S934)),"North Korea",
ISNUMBER(SEARCH("China PR",S934)),"China",
ISNUMBER(SEARCH("IR Iran",S934)),"Iran",
ISNUMBER(SEARCH("Congo DR",S934)),"Democratic Republic of the Congo",
ISNUMBER(SEARCH("DR Congo",S934)),"Democratic Republic of the Congo",
ISNUMBER(SEARCH("German DR",S934)),"DR Germany",
ISNUMBER(SEARCH("rn""&gt;United Arab Emirates",S934)),"United Arab Emirates",
ISNUMBER(SEARCH("rn""&gt;Republic of Ireland",S934)),"Ireland",
ISNUMBER(SEARCH("rn""&gt;Bosnia and Herzegovina",S934)),"Bosnia and Herzegovina",
ISNUMBER(SEARCH("rn""&gt;Trinidad and Tobago",S934)),"Trinidad and Tobago",
ISNUMBER(SEARCH("rn""&gt;Serbia and Montenegro",S934)),"Serbia and Montenegro",
ISNUMBER(SEARCH(_xlfn.UNICHAR(65533),S934)),"Côte d'Ivoire",
TRUE,""
)</f>
        <v/>
      </c>
      <c r="W934" s="30" t="str">
        <f t="shared" si="82"/>
        <v>England</v>
      </c>
      <c r="Z934" s="40" t="str">
        <v>Samara Arena</v>
      </c>
      <c r="AA934" s="40" t="str" cm="1">
        <f t="array" ref="AA934">IFERROR(_xlfn.XLOOKUP(Z934,_xlfn.ANCHORARRAY(Z$31),AA$31:AA$37),Z934)</f>
        <v>Samara Arena</v>
      </c>
      <c r="AB934" s="42" t="str">
        <v>Samara</v>
      </c>
      <c r="AC934" s="89" t="str">
        <f t="shared" si="78"/>
        <v>Samara</v>
      </c>
      <c r="AE934" s="42">
        <v>2018</v>
      </c>
      <c r="AK934" s="42">
        <v>1</v>
      </c>
      <c r="AL934" s="42">
        <v>2</v>
      </c>
      <c r="AW934" s="89" t="str">
        <v>GROUP_STAGE</v>
      </c>
      <c r="BE934" s="43" t="str">
        <f>IF(OR(DATA_CLEANED!AL925="",DATA_CLEANED!AM925=""),"MANQUANT",IF(OR(NOT(ISNUMBER(DATA_CLEANED!AL925)),NOT(ISNUMBER(DATA_CLEANED!AM925))),"ENTREE INVALIDE",IF(OR(DATA_CLEANED!AL925&lt;0,DATA_CLEANED!AM925&lt;0),"SCORE NEGATIF","OK")))</f>
        <v>OK</v>
      </c>
      <c r="BF934" s="43" t="str">
        <f>IF(DATA_CLEANED!AK925&lt;&gt;DATA_CLEANED!AN925,"OK","ERREUR")</f>
        <v>OK</v>
      </c>
      <c r="BG934" s="43" t="str">
        <f>IF(DATA_CLEANED!AL925&gt;DATA_CLEANED!AM925,DATA_CLEANED!AK925,IF(AND(DATA_QUALITE!W5411="-",DATA_CLEANED!AM925=DATA_CLEANED!AL925),"MATCH NUL",IF(AND(DATA_QUALITE!V5411="-",DATA_QUALITE!U5411="AUCUNE"),DATA_QUALITE!T5411,IF(DATA_QUALITE!V5411&lt;&gt;"-",DATA_QUALITE!V5411,DATA_CLEANED!AN925))))</f>
        <v>France</v>
      </c>
      <c r="BH934" s="103" t="str">
        <f>IF(AND(BG934="MATCH NUL",DATA_CLEANED!AO925="-"),"MATCH_NUL",IF(ISNUMBER(SEARCH("win on penalties",W5411)),"WIN_BY_PENALTY",IF(ISNUMBER(SEARCH("win after extra time",W5411)),"WIN_BY_EXTRA_TIME",IF(ISNUMBER(SEARCH("Golden Goal",W5411)),"WIN_BY_GOLDEN_GOAL","WIN_BY_SCORE"))))</f>
        <v>WIN_BY_SCORE</v>
      </c>
      <c r="BI934" s="99" t="str">
        <f>IF(OR(BG934=DATA_CLEANED!AK925,BG934=DATA_CLEANED!AN925,BG934="MATCH NUL"),"OK","ERREUR")</f>
        <v>OK</v>
      </c>
    </row>
    <row r="935" spans="2:61">
      <c r="B935" s="75">
        <v>498</v>
      </c>
      <c r="C935" s="15" t="str">
        <v>Ousmane Diomande</v>
      </c>
      <c r="D935" s="15">
        <v>22</v>
      </c>
      <c r="E935" s="15" t="str">
        <v>Côte d'Ivoire</v>
      </c>
      <c r="F935" s="15" t="str">
        <v>CB</v>
      </c>
      <c r="G935" s="15" t="str">
        <v>Sporting CP</v>
      </c>
      <c r="H935" s="15">
        <v>2</v>
      </c>
      <c r="I935" s="15" t="str">
        <f t="shared" si="79"/>
        <v>498|Ousmane Diomande|22|Côte d'Ivoire|CB|Sporting CP|2</v>
      </c>
      <c r="J935" s="15" t="str">
        <f>IF(COUNTIF(I$438:I935,I935)&gt;1,"DOUBLON","OK")</f>
        <v>OK</v>
      </c>
      <c r="S935" s="30" t="str">
        <v>Portugal</v>
      </c>
      <c r="T935" s="30" t="str">
        <f t="shared" si="80"/>
        <v>OK</v>
      </c>
      <c r="U935" s="30" t="str">
        <f t="shared" si="81"/>
        <v>-</v>
      </c>
      <c r="V935" s="30" t="str" cm="1">
        <f t="array" ref="V935">_xlfn.IFS(
ISNUMBER(SEARCH("USA",S935)),"United States",
ISNUMBER(SEARCH("Republic of Korea",S935)),"South Korea",
ISNUMBER(SEARCH("Cape Verde",S935)),"Cabo Verde",
ISNUMBER(SEARCH("Czechia",S935)),"Czech Republic",
ISNUMBER(SEARCH("Türkiye",S935)),"Turkey",
ISNUMBER(SEARCH("Ivory Coast",S935)),"Côte d'Ivoire",
ISNUMBER(SEARCH("Korea Republic",S935)),"South Korea",
ISNUMBER(SEARCH("Germany FR",S935)),"FR Germany",
ISNUMBER(SEARCH("West Germany",S935)),"FR Germany",
ISNUMBER(SEARCH("Germany DR",S935)),"DR Germany",
ISNUMBER(SEARCH("Korea DPR",S935)),"North Korea",
ISNUMBER(SEARCH("China PR",S935)),"China",
ISNUMBER(SEARCH("IR Iran",S935)),"Iran",
ISNUMBER(SEARCH("Congo DR",S935)),"Democratic Republic of the Congo",
ISNUMBER(SEARCH("DR Congo",S935)),"Democratic Republic of the Congo",
ISNUMBER(SEARCH("German DR",S935)),"DR Germany",
ISNUMBER(SEARCH("rn""&gt;United Arab Emirates",S935)),"United Arab Emirates",
ISNUMBER(SEARCH("rn""&gt;Republic of Ireland",S935)),"Ireland",
ISNUMBER(SEARCH("rn""&gt;Bosnia and Herzegovina",S935)),"Bosnia and Herzegovina",
ISNUMBER(SEARCH("rn""&gt;Trinidad and Tobago",S935)),"Trinidad and Tobago",
ISNUMBER(SEARCH("rn""&gt;Serbia and Montenegro",S935)),"Serbia and Montenegro",
ISNUMBER(SEARCH(_xlfn.UNICHAR(65533),S935)),"Côte d'Ivoire",
TRUE,""
)</f>
        <v/>
      </c>
      <c r="W935" s="30" t="str">
        <f t="shared" si="82"/>
        <v>Portugal</v>
      </c>
      <c r="Z935" s="40" t="str">
        <v>Fisht Olympic Stadium</v>
      </c>
      <c r="AA935" s="40" t="str" cm="1">
        <f t="array" ref="AA935">IFERROR(_xlfn.XLOOKUP(Z935,_xlfn.ANCHORARRAY(Z$31),AA$31:AA$37),Z935)</f>
        <v>Fisht Olympic Stadium</v>
      </c>
      <c r="AB935" s="42" t="str">
        <v>Sochi</v>
      </c>
      <c r="AC935" s="89" t="str">
        <f t="shared" si="78"/>
        <v>Sochi</v>
      </c>
      <c r="AE935" s="42">
        <v>2018</v>
      </c>
      <c r="AK935" s="42">
        <v>3</v>
      </c>
      <c r="AL935" s="42">
        <v>1</v>
      </c>
      <c r="AW935" s="89" t="str">
        <v>GROUP_STAGE</v>
      </c>
      <c r="BE935" s="43" t="str">
        <f>IF(OR(DATA_CLEANED!AL926="",DATA_CLEANED!AM926=""),"MANQUANT",IF(OR(NOT(ISNUMBER(DATA_CLEANED!AL926)),NOT(ISNUMBER(DATA_CLEANED!AM926))),"ENTREE INVALIDE",IF(OR(DATA_CLEANED!AL926&lt;0,DATA_CLEANED!AM926&lt;0),"SCORE NEGATIF","OK")))</f>
        <v>OK</v>
      </c>
      <c r="BF935" s="43" t="str">
        <f>IF(DATA_CLEANED!AK926&lt;&gt;DATA_CLEANED!AN926,"OK","ERREUR")</f>
        <v>OK</v>
      </c>
      <c r="BG935" s="43" t="str">
        <f>IF(DATA_CLEANED!AL926&gt;DATA_CLEANED!AM926,DATA_CLEANED!AK926,IF(AND(DATA_QUALITE!W5412="-",DATA_CLEANED!AM926=DATA_CLEANED!AL926),"MATCH NUL",IF(AND(DATA_QUALITE!V5412="-",DATA_QUALITE!U5412="AUCUNE"),DATA_QUALITE!T5412,IF(DATA_QUALITE!V5412&lt;&gt;"-",DATA_QUALITE!V5412,DATA_CLEANED!AN926))))</f>
        <v>Argentina</v>
      </c>
      <c r="BH935" s="103" t="str">
        <f>IF(AND(BG935="MATCH NUL",DATA_CLEANED!AO926="-"),"MATCH_NUL",IF(ISNUMBER(SEARCH("win on penalties",W5412)),"WIN_BY_PENALTY",IF(ISNUMBER(SEARCH("win after extra time",W5412)),"WIN_BY_EXTRA_TIME",IF(ISNUMBER(SEARCH("Golden Goal",W5412)),"WIN_BY_GOLDEN_GOAL","WIN_BY_SCORE"))))</f>
        <v>WIN_BY_SCORE</v>
      </c>
      <c r="BI935" s="99" t="str">
        <f>IF(OR(BG935=DATA_CLEANED!AK926,BG935=DATA_CLEANED!AN926,BG935="MATCH NUL"),"OK","ERREUR")</f>
        <v>OK</v>
      </c>
    </row>
    <row r="936" spans="2:61">
      <c r="B936" s="75">
        <v>499</v>
      </c>
      <c r="C936" s="15" t="str">
        <v>Odilon Kossounou</v>
      </c>
      <c r="D936" s="15">
        <v>25</v>
      </c>
      <c r="E936" s="15" t="str">
        <v>Côte d'Ivoire</v>
      </c>
      <c r="F936" s="15" t="str">
        <v>CB</v>
      </c>
      <c r="G936" s="15" t="str">
        <v>Atalanta</v>
      </c>
      <c r="H936" s="15">
        <v>7</v>
      </c>
      <c r="I936" s="15" t="str">
        <f t="shared" si="79"/>
        <v>499|Odilon Kossounou|25|Côte d'Ivoire|CB|Atalanta|7</v>
      </c>
      <c r="J936" s="15" t="str">
        <f>IF(COUNTIF(I$438:I936,I936)&gt;1,"DOUBLON","OK")</f>
        <v>OK</v>
      </c>
      <c r="S936" s="30" t="str">
        <v>England</v>
      </c>
      <c r="T936" s="30" t="str">
        <f t="shared" si="80"/>
        <v>ERREUR</v>
      </c>
      <c r="U936" s="30" t="str">
        <f t="shared" si="81"/>
        <v>AUCUNE</v>
      </c>
      <c r="V936" s="30" t="str" cm="1">
        <f t="array" ref="V936">_xlfn.IFS(
ISNUMBER(SEARCH("USA",S936)),"United States",
ISNUMBER(SEARCH("Republic of Korea",S936)),"South Korea",
ISNUMBER(SEARCH("Cape Verde",S936)),"Cabo Verde",
ISNUMBER(SEARCH("Czechia",S936)),"Czech Republic",
ISNUMBER(SEARCH("Türkiye",S936)),"Turkey",
ISNUMBER(SEARCH("Ivory Coast",S936)),"Côte d'Ivoire",
ISNUMBER(SEARCH("Korea Republic",S936)),"South Korea",
ISNUMBER(SEARCH("Germany FR",S936)),"FR Germany",
ISNUMBER(SEARCH("West Germany",S936)),"FR Germany",
ISNUMBER(SEARCH("Germany DR",S936)),"DR Germany",
ISNUMBER(SEARCH("Korea DPR",S936)),"North Korea",
ISNUMBER(SEARCH("China PR",S936)),"China",
ISNUMBER(SEARCH("IR Iran",S936)),"Iran",
ISNUMBER(SEARCH("Congo DR",S936)),"Democratic Republic of the Congo",
ISNUMBER(SEARCH("DR Congo",S936)),"Democratic Republic of the Congo",
ISNUMBER(SEARCH("German DR",S936)),"DR Germany",
ISNUMBER(SEARCH("rn""&gt;United Arab Emirates",S936)),"United Arab Emirates",
ISNUMBER(SEARCH("rn""&gt;Republic of Ireland",S936)),"Ireland",
ISNUMBER(SEARCH("rn""&gt;Bosnia and Herzegovina",S936)),"Bosnia and Herzegovina",
ISNUMBER(SEARCH("rn""&gt;Trinidad and Tobago",S936)),"Trinidad and Tobago",
ISNUMBER(SEARCH("rn""&gt;Serbia and Montenegro",S936)),"Serbia and Montenegro",
ISNUMBER(SEARCH(_xlfn.UNICHAR(65533),S936)),"Côte d'Ivoire",
TRUE,""
)</f>
        <v/>
      </c>
      <c r="W936" s="30" t="str">
        <f t="shared" si="82"/>
        <v>England</v>
      </c>
      <c r="Z936" s="40" t="str">
        <v>Krestovsky Stadium</v>
      </c>
      <c r="AA936" s="40" t="str" cm="1">
        <f t="array" ref="AA936">IFERROR(_xlfn.XLOOKUP(Z936,_xlfn.ANCHORARRAY(Z$31),AA$31:AA$37),Z936)</f>
        <v>Krestovsky Stadium</v>
      </c>
      <c r="AB936" s="42" t="str">
        <v>Saint Petersburg</v>
      </c>
      <c r="AC936" s="89" t="str">
        <f t="shared" si="78"/>
        <v>Saint Petersburg</v>
      </c>
      <c r="AE936" s="42">
        <v>2018</v>
      </c>
      <c r="AK936" s="42">
        <v>1</v>
      </c>
      <c r="AL936" s="42">
        <v>0</v>
      </c>
      <c r="AW936" s="89" t="str">
        <v>GROUP_STAGE</v>
      </c>
      <c r="BE936" s="43" t="str">
        <f>IF(OR(DATA_CLEANED!AL927="",DATA_CLEANED!AM927=""),"MANQUANT",IF(OR(NOT(ISNUMBER(DATA_CLEANED!AL927)),NOT(ISNUMBER(DATA_CLEANED!AM927))),"ENTREE INVALIDE",IF(OR(DATA_CLEANED!AL927&lt;0,DATA_CLEANED!AM927&lt;0),"SCORE NEGATIF","OK")))</f>
        <v>OK</v>
      </c>
      <c r="BF936" s="43" t="str">
        <f>IF(DATA_CLEANED!AK927&lt;&gt;DATA_CLEANED!AN927,"OK","ERREUR")</f>
        <v>OK</v>
      </c>
      <c r="BG936" s="43" t="str">
        <f>IF(DATA_CLEANED!AL927&gt;DATA_CLEANED!AM927,DATA_CLEANED!AK927,IF(AND(DATA_QUALITE!W5413="-",DATA_CLEANED!AM927=DATA_CLEANED!AL927),"MATCH NUL",IF(AND(DATA_QUALITE!V5413="-",DATA_QUALITE!U5413="AUCUNE"),DATA_QUALITE!T5413,IF(DATA_QUALITE!V5413&lt;&gt;"-",DATA_QUALITE!V5413,DATA_CLEANED!AN927))))</f>
        <v>Costa Rica</v>
      </c>
      <c r="BH936" s="103" t="str">
        <f>IF(AND(BG936="MATCH NUL",DATA_CLEANED!AO927="-"),"MATCH_NUL",IF(ISNUMBER(SEARCH("win on penalties",W5413)),"WIN_BY_PENALTY",IF(ISNUMBER(SEARCH("win after extra time",W5413)),"WIN_BY_EXTRA_TIME",IF(ISNUMBER(SEARCH("Golden Goal",W5413)),"WIN_BY_GOLDEN_GOAL","WIN_BY_SCORE"))))</f>
        <v>WIN_BY_SCORE</v>
      </c>
      <c r="BI936" s="99" t="str">
        <f>IF(OR(BG936=DATA_CLEANED!AK927,BG936=DATA_CLEANED!AN927,BG936="MATCH NUL"),"OK","ERREUR")</f>
        <v>OK</v>
      </c>
    </row>
    <row r="937" spans="2:61">
      <c r="B937" s="75">
        <v>500</v>
      </c>
      <c r="C937" s="15" t="str">
        <v>Emmanuel Agbadou</v>
      </c>
      <c r="D937" s="15">
        <v>28</v>
      </c>
      <c r="E937" s="15" t="str">
        <v>Côte d'Ivoire</v>
      </c>
      <c r="F937" s="15" t="str">
        <v>CB</v>
      </c>
      <c r="G937" s="15" t="str">
        <v>Beşiktaş</v>
      </c>
      <c r="H937" s="15">
        <v>20</v>
      </c>
      <c r="I937" s="15" t="str">
        <f t="shared" si="79"/>
        <v>500|Emmanuel Agbadou|28|Côte d'Ivoire|CB|Beşiktaş|20</v>
      </c>
      <c r="J937" s="15" t="str">
        <f>IF(COUNTIF(I$438:I937,I937)&gt;1,"DOUBLON","OK")</f>
        <v>OK</v>
      </c>
      <c r="S937" s="30" t="str">
        <v>Portugal</v>
      </c>
      <c r="T937" s="30" t="str">
        <f t="shared" si="80"/>
        <v>OK</v>
      </c>
      <c r="U937" s="30" t="str">
        <f t="shared" si="81"/>
        <v>-</v>
      </c>
      <c r="V937" s="30" t="str" cm="1">
        <f t="array" ref="V937">_xlfn.IFS(
ISNUMBER(SEARCH("USA",S937)),"United States",
ISNUMBER(SEARCH("Republic of Korea",S937)),"South Korea",
ISNUMBER(SEARCH("Cape Verde",S937)),"Cabo Verde",
ISNUMBER(SEARCH("Czechia",S937)),"Czech Republic",
ISNUMBER(SEARCH("Türkiye",S937)),"Turkey",
ISNUMBER(SEARCH("Ivory Coast",S937)),"Côte d'Ivoire",
ISNUMBER(SEARCH("Korea Republic",S937)),"South Korea",
ISNUMBER(SEARCH("Germany FR",S937)),"FR Germany",
ISNUMBER(SEARCH("West Germany",S937)),"FR Germany",
ISNUMBER(SEARCH("Germany DR",S937)),"DR Germany",
ISNUMBER(SEARCH("Korea DPR",S937)),"North Korea",
ISNUMBER(SEARCH("China PR",S937)),"China",
ISNUMBER(SEARCH("IR Iran",S937)),"Iran",
ISNUMBER(SEARCH("Congo DR",S937)),"Democratic Republic of the Congo",
ISNUMBER(SEARCH("DR Congo",S937)),"Democratic Republic of the Congo",
ISNUMBER(SEARCH("German DR",S937)),"DR Germany",
ISNUMBER(SEARCH("rn""&gt;United Arab Emirates",S937)),"United Arab Emirates",
ISNUMBER(SEARCH("rn""&gt;Republic of Ireland",S937)),"Ireland",
ISNUMBER(SEARCH("rn""&gt;Bosnia and Herzegovina",S937)),"Bosnia and Herzegovina",
ISNUMBER(SEARCH("rn""&gt;Trinidad and Tobago",S937)),"Trinidad and Tobago",
ISNUMBER(SEARCH("rn""&gt;Serbia and Montenegro",S937)),"Serbia and Montenegro",
ISNUMBER(SEARCH(_xlfn.UNICHAR(65533),S937)),"Côte d'Ivoire",
TRUE,""
)</f>
        <v/>
      </c>
      <c r="W937" s="30" t="str">
        <f t="shared" si="82"/>
        <v>Portugal</v>
      </c>
      <c r="Z937" s="40" t="str">
        <v>Luzhniki Stadium</v>
      </c>
      <c r="AA937" s="40" t="str" cm="1">
        <f t="array" ref="AA937">IFERROR(_xlfn.XLOOKUP(Z937,_xlfn.ANCHORARRAY(Z$31),AA$31:AA$37),Z937)</f>
        <v>Luzhniki Stadium</v>
      </c>
      <c r="AB937" s="42" t="str">
        <v>Moscow</v>
      </c>
      <c r="AC937" s="89" t="str">
        <f t="shared" ref="AC937:AC1000" si="83">_xlfn.SINGLE(IFERROR(_xlfn.XLOOKUP(AB937,AB$31:AB$34,AC$31:AC$34),AB937))</f>
        <v>Moscow</v>
      </c>
      <c r="AE937" s="42">
        <v>2018</v>
      </c>
      <c r="AK937" s="42">
        <v>1</v>
      </c>
      <c r="AL937" s="42">
        <v>0</v>
      </c>
      <c r="AW937" s="89" t="str">
        <v>GROUP_STAGE</v>
      </c>
      <c r="BE937" s="43" t="str">
        <f>IF(OR(DATA_CLEANED!AL928="",DATA_CLEANED!AM928=""),"MANQUANT",IF(OR(NOT(ISNUMBER(DATA_CLEANED!AL928)),NOT(ISNUMBER(DATA_CLEANED!AM928))),"ENTREE INVALIDE",IF(OR(DATA_CLEANED!AL928&lt;0,DATA_CLEANED!AM928&lt;0),"SCORE NEGATIF","OK")))</f>
        <v>OK</v>
      </c>
      <c r="BF937" s="43" t="str">
        <f>IF(DATA_CLEANED!AK928&lt;&gt;DATA_CLEANED!AN928,"OK","ERREUR")</f>
        <v>OK</v>
      </c>
      <c r="BG937" s="43" t="str">
        <f>IF(DATA_CLEANED!AL928&gt;DATA_CLEANED!AM928,DATA_CLEANED!AK928,IF(AND(DATA_QUALITE!W5414="-",DATA_CLEANED!AM928=DATA_CLEANED!AL928),"MATCH NUL",IF(AND(DATA_QUALITE!V5414="-",DATA_QUALITE!U5414="AUCUNE"),DATA_QUALITE!T5414,IF(DATA_QUALITE!V5414&lt;&gt;"-",DATA_QUALITE!V5414,DATA_CLEANED!AN928))))</f>
        <v>Morocco</v>
      </c>
      <c r="BH937" s="103" t="str">
        <f>IF(AND(BG937="MATCH NUL",DATA_CLEANED!AO928="-"),"MATCH_NUL",IF(ISNUMBER(SEARCH("win on penalties",W5414)),"WIN_BY_PENALTY",IF(ISNUMBER(SEARCH("win after extra time",W5414)),"WIN_BY_EXTRA_TIME",IF(ISNUMBER(SEARCH("Golden Goal",W5414)),"WIN_BY_GOLDEN_GOAL","WIN_BY_SCORE"))))</f>
        <v>WIN_BY_SCORE</v>
      </c>
      <c r="BI937" s="99" t="str">
        <f>IF(OR(BG937=DATA_CLEANED!AK928,BG937=DATA_CLEANED!AN928,BG937="MATCH NUL"),"OK","ERREUR")</f>
        <v>OK</v>
      </c>
    </row>
    <row r="938" spans="2:61">
      <c r="B938" s="75">
        <v>501</v>
      </c>
      <c r="C938" s="15" t="str">
        <v>Evan Ndicka</v>
      </c>
      <c r="D938" s="15">
        <v>26</v>
      </c>
      <c r="E938" s="15" t="str">
        <v>Côte d'Ivoire</v>
      </c>
      <c r="F938" s="15" t="str">
        <v>CB</v>
      </c>
      <c r="G938" s="15" t="str">
        <v>Roma</v>
      </c>
      <c r="H938" s="15">
        <v>21</v>
      </c>
      <c r="I938" s="15" t="str">
        <f t="shared" si="79"/>
        <v>501|Evan Ndicka|26|Côte d'Ivoire|CB|Roma|21</v>
      </c>
      <c r="J938" s="15" t="str">
        <f>IF(COUNTIF(I$438:I938,I938)&gt;1,"DOUBLON","OK")</f>
        <v>OK</v>
      </c>
      <c r="S938" s="30" t="str">
        <v>England</v>
      </c>
      <c r="T938" s="30" t="str">
        <f t="shared" si="80"/>
        <v>ERREUR</v>
      </c>
      <c r="U938" s="30" t="str">
        <f t="shared" si="81"/>
        <v>AUCUNE</v>
      </c>
      <c r="V938" s="30" t="str" cm="1">
        <f t="array" ref="V938">_xlfn.IFS(
ISNUMBER(SEARCH("USA",S938)),"United States",
ISNUMBER(SEARCH("Republic of Korea",S938)),"South Korea",
ISNUMBER(SEARCH("Cape Verde",S938)),"Cabo Verde",
ISNUMBER(SEARCH("Czechia",S938)),"Czech Republic",
ISNUMBER(SEARCH("Türkiye",S938)),"Turkey",
ISNUMBER(SEARCH("Ivory Coast",S938)),"Côte d'Ivoire",
ISNUMBER(SEARCH("Korea Republic",S938)),"South Korea",
ISNUMBER(SEARCH("Germany FR",S938)),"FR Germany",
ISNUMBER(SEARCH("West Germany",S938)),"FR Germany",
ISNUMBER(SEARCH("Germany DR",S938)),"DR Germany",
ISNUMBER(SEARCH("Korea DPR",S938)),"North Korea",
ISNUMBER(SEARCH("China PR",S938)),"China",
ISNUMBER(SEARCH("IR Iran",S938)),"Iran",
ISNUMBER(SEARCH("Congo DR",S938)),"Democratic Republic of the Congo",
ISNUMBER(SEARCH("DR Congo",S938)),"Democratic Republic of the Congo",
ISNUMBER(SEARCH("German DR",S938)),"DR Germany",
ISNUMBER(SEARCH("rn""&gt;United Arab Emirates",S938)),"United Arab Emirates",
ISNUMBER(SEARCH("rn""&gt;Republic of Ireland",S938)),"Ireland",
ISNUMBER(SEARCH("rn""&gt;Bosnia and Herzegovina",S938)),"Bosnia and Herzegovina",
ISNUMBER(SEARCH("rn""&gt;Trinidad and Tobago",S938)),"Trinidad and Tobago",
ISNUMBER(SEARCH("rn""&gt;Serbia and Montenegro",S938)),"Serbia and Montenegro",
ISNUMBER(SEARCH(_xlfn.UNICHAR(65533),S938)),"Côte d'Ivoire",
TRUE,""
)</f>
        <v/>
      </c>
      <c r="W938" s="30" t="str">
        <f t="shared" si="82"/>
        <v>England</v>
      </c>
      <c r="Z938" s="40" t="str">
        <v>Krestovsky Stadium</v>
      </c>
      <c r="AA938" s="40" t="str" cm="1">
        <f t="array" ref="AA938">IFERROR(_xlfn.XLOOKUP(Z938,_xlfn.ANCHORARRAY(Z$31),AA$31:AA$37),Z938)</f>
        <v>Krestovsky Stadium</v>
      </c>
      <c r="AB938" s="42" t="str">
        <v>Saint Petersburg</v>
      </c>
      <c r="AC938" s="89" t="str">
        <f t="shared" si="83"/>
        <v>Saint Petersburg</v>
      </c>
      <c r="AE938" s="42">
        <v>2018</v>
      </c>
      <c r="AK938" s="42">
        <v>0</v>
      </c>
      <c r="AL938" s="42">
        <v>1</v>
      </c>
      <c r="AW938" s="89" t="str">
        <v>GROUP_STAGE</v>
      </c>
      <c r="BE938" s="43" t="str">
        <f>IF(OR(DATA_CLEANED!AL929="",DATA_CLEANED!AM929=""),"MANQUANT",IF(OR(NOT(ISNUMBER(DATA_CLEANED!AL929)),NOT(ISNUMBER(DATA_CLEANED!AM929))),"ENTREE INVALIDE",IF(OR(DATA_CLEANED!AL929&lt;0,DATA_CLEANED!AM929&lt;0),"SCORE NEGATIF","OK")))</f>
        <v>OK</v>
      </c>
      <c r="BF938" s="43" t="str">
        <f>IF(DATA_CLEANED!AK929&lt;&gt;DATA_CLEANED!AN929,"OK","ERREUR")</f>
        <v>OK</v>
      </c>
      <c r="BG938" s="43" t="str">
        <f>IF(DATA_CLEANED!AL929&gt;DATA_CLEANED!AM929,DATA_CLEANED!AK929,IF(AND(DATA_QUALITE!W5415="-",DATA_CLEANED!AM929=DATA_CLEANED!AL929),"MATCH NUL",IF(AND(DATA_QUALITE!V5415="-",DATA_QUALITE!U5415="AUCUNE"),DATA_QUALITE!T5415,IF(DATA_QUALITE!V5415&lt;&gt;"-",DATA_QUALITE!V5415,DATA_CLEANED!AN929))))</f>
        <v>Croatia</v>
      </c>
      <c r="BH938" s="103" t="str">
        <f>IF(AND(BG938="MATCH NUL",DATA_CLEANED!AO929="-"),"MATCH_NUL",IF(ISNUMBER(SEARCH("win on penalties",W5415)),"WIN_BY_PENALTY",IF(ISNUMBER(SEARCH("win after extra time",W5415)),"WIN_BY_EXTRA_TIME",IF(ISNUMBER(SEARCH("Golden Goal",W5415)),"WIN_BY_GOLDEN_GOAL","WIN_BY_SCORE"))))</f>
        <v>WIN_BY_SCORE</v>
      </c>
      <c r="BI938" s="99" t="str">
        <f>IF(OR(BG938=DATA_CLEANED!AK929,BG938=DATA_CLEANED!AN929,BG938="MATCH NUL"),"OK","ERREUR")</f>
        <v>OK</v>
      </c>
    </row>
    <row r="939" spans="2:61">
      <c r="B939" s="75">
        <v>502</v>
      </c>
      <c r="C939" s="15" t="str">
        <v>Ghislain Konan</v>
      </c>
      <c r="D939" s="15">
        <v>30</v>
      </c>
      <c r="E939" s="15" t="str">
        <v>Côte d'Ivoire</v>
      </c>
      <c r="F939" s="15" t="str">
        <v>LB</v>
      </c>
      <c r="G939" s="15" t="str">
        <v>Gil Vicente</v>
      </c>
      <c r="H939" s="15">
        <v>3</v>
      </c>
      <c r="I939" s="15" t="str">
        <f t="shared" si="79"/>
        <v>502|Ghislain Konan|30|Côte d'Ivoire|LB|Gil Vicente|3</v>
      </c>
      <c r="J939" s="15" t="str">
        <f>IF(COUNTIF(I$438:I939,I939)&gt;1,"DOUBLON","OK")</f>
        <v>OK</v>
      </c>
      <c r="S939" s="30" t="str">
        <v>Portugal</v>
      </c>
      <c r="T939" s="30" t="str">
        <f t="shared" si="80"/>
        <v>OK</v>
      </c>
      <c r="U939" s="30" t="str">
        <f t="shared" si="81"/>
        <v>-</v>
      </c>
      <c r="V939" s="30" t="str" cm="1">
        <f t="array" ref="V939">_xlfn.IFS(
ISNUMBER(SEARCH("USA",S939)),"United States",
ISNUMBER(SEARCH("Republic of Korea",S939)),"South Korea",
ISNUMBER(SEARCH("Cape Verde",S939)),"Cabo Verde",
ISNUMBER(SEARCH("Czechia",S939)),"Czech Republic",
ISNUMBER(SEARCH("Türkiye",S939)),"Turkey",
ISNUMBER(SEARCH("Ivory Coast",S939)),"Côte d'Ivoire",
ISNUMBER(SEARCH("Korea Republic",S939)),"South Korea",
ISNUMBER(SEARCH("Germany FR",S939)),"FR Germany",
ISNUMBER(SEARCH("West Germany",S939)),"FR Germany",
ISNUMBER(SEARCH("Germany DR",S939)),"DR Germany",
ISNUMBER(SEARCH("Korea DPR",S939)),"North Korea",
ISNUMBER(SEARCH("China PR",S939)),"China",
ISNUMBER(SEARCH("IR Iran",S939)),"Iran",
ISNUMBER(SEARCH("Congo DR",S939)),"Democratic Republic of the Congo",
ISNUMBER(SEARCH("DR Congo",S939)),"Democratic Republic of the Congo",
ISNUMBER(SEARCH("German DR",S939)),"DR Germany",
ISNUMBER(SEARCH("rn""&gt;United Arab Emirates",S939)),"United Arab Emirates",
ISNUMBER(SEARCH("rn""&gt;Republic of Ireland",S939)),"Ireland",
ISNUMBER(SEARCH("rn""&gt;Bosnia and Herzegovina",S939)),"Bosnia and Herzegovina",
ISNUMBER(SEARCH("rn""&gt;Trinidad and Tobago",S939)),"Trinidad and Tobago",
ISNUMBER(SEARCH("rn""&gt;Serbia and Montenegro",S939)),"Serbia and Montenegro",
ISNUMBER(SEARCH(_xlfn.UNICHAR(65533),S939)),"Côte d'Ivoire",
TRUE,""
)</f>
        <v/>
      </c>
      <c r="W939" s="30" t="str">
        <f t="shared" si="82"/>
        <v>Portugal</v>
      </c>
      <c r="Z939" s="40" t="str">
        <v>Luzhniki Stadium</v>
      </c>
      <c r="AA939" s="40" t="str" cm="1">
        <f t="array" ref="AA939">IFERROR(_xlfn.XLOOKUP(Z939,_xlfn.ANCHORARRAY(Z$31),AA$31:AA$37),Z939)</f>
        <v>Luzhniki Stadium</v>
      </c>
      <c r="AB939" s="42" t="str">
        <v>Moscow</v>
      </c>
      <c r="AC939" s="89" t="str">
        <f t="shared" si="83"/>
        <v>Moscow</v>
      </c>
      <c r="AE939" s="42">
        <v>2018</v>
      </c>
      <c r="AK939" s="42">
        <v>1</v>
      </c>
      <c r="AL939" s="42">
        <v>1</v>
      </c>
      <c r="AW939" s="89" t="str">
        <v>GROUP_STAGE</v>
      </c>
      <c r="BE939" s="43" t="str">
        <f>IF(OR(DATA_CLEANED!AL930="",DATA_CLEANED!AM930=""),"MANQUANT",IF(OR(NOT(ISNUMBER(DATA_CLEANED!AL930)),NOT(ISNUMBER(DATA_CLEANED!AM930))),"ENTREE INVALIDE",IF(OR(DATA_CLEANED!AL930&lt;0,DATA_CLEANED!AM930&lt;0),"SCORE NEGATIF","OK")))</f>
        <v>OK</v>
      </c>
      <c r="BF939" s="43" t="str">
        <f>IF(DATA_CLEANED!AK930&lt;&gt;DATA_CLEANED!AN930,"OK","ERREUR")</f>
        <v>OK</v>
      </c>
      <c r="BG939" s="43" t="str">
        <f>IF(DATA_CLEANED!AL930&gt;DATA_CLEANED!AM930,DATA_CLEANED!AK930,IF(AND(DATA_QUALITE!W5416="-",DATA_CLEANED!AM930=DATA_CLEANED!AL930),"MATCH NUL",IF(AND(DATA_QUALITE!V5416="-",DATA_QUALITE!U5416="AUCUNE"),DATA_QUALITE!T5416,IF(DATA_QUALITE!V5416&lt;&gt;"-",DATA_QUALITE!V5416,DATA_CLEANED!AN930))))</f>
        <v>MATCH NUL</v>
      </c>
      <c r="BH939" s="103" t="str">
        <f>IF(AND(BG939="MATCH NUL",DATA_CLEANED!AO930="-"),"MATCH_NUL",IF(ISNUMBER(SEARCH("win on penalties",W5416)),"WIN_BY_PENALTY",IF(ISNUMBER(SEARCH("win after extra time",W5416)),"WIN_BY_EXTRA_TIME",IF(ISNUMBER(SEARCH("Golden Goal",W5416)),"WIN_BY_GOLDEN_GOAL","WIN_BY_SCORE"))))</f>
        <v>MATCH_NUL</v>
      </c>
      <c r="BI939" s="99" t="str">
        <f>IF(OR(BG939=DATA_CLEANED!AK930,BG939=DATA_CLEANED!AN930,BG939="MATCH NUL"),"OK","ERREUR")</f>
        <v>OK</v>
      </c>
    </row>
    <row r="940" spans="2:61">
      <c r="B940" s="75">
        <v>503</v>
      </c>
      <c r="C940" s="15" t="str">
        <v>Christopher Opéri</v>
      </c>
      <c r="D940" s="15">
        <v>29</v>
      </c>
      <c r="E940" s="15" t="str">
        <v>Côte d'Ivoire</v>
      </c>
      <c r="F940" s="15" t="str">
        <v>LB</v>
      </c>
      <c r="G940" s="15" t="str">
        <v>İstanbul Başakşehir</v>
      </c>
      <c r="H940" s="15">
        <v>13</v>
      </c>
      <c r="I940" s="15" t="str">
        <f t="shared" si="79"/>
        <v>503|Christopher Opéri|29|Côte d'Ivoire|LB|İstanbul Başakşehir|13</v>
      </c>
      <c r="J940" s="15" t="str">
        <f>IF(COUNTIF(I$438:I940,I940)&gt;1,"DOUBLON","OK")</f>
        <v>OK</v>
      </c>
      <c r="S940" s="30" t="str">
        <v>England</v>
      </c>
      <c r="T940" s="30" t="str">
        <f t="shared" si="80"/>
        <v>ERREUR</v>
      </c>
      <c r="U940" s="30" t="str">
        <f t="shared" si="81"/>
        <v>AUCUNE</v>
      </c>
      <c r="V940" s="30" t="str" cm="1">
        <f t="array" ref="V940">_xlfn.IFS(
ISNUMBER(SEARCH("USA",S940)),"United States",
ISNUMBER(SEARCH("Republic of Korea",S940)),"South Korea",
ISNUMBER(SEARCH("Cape Verde",S940)),"Cabo Verde",
ISNUMBER(SEARCH("Czechia",S940)),"Czech Republic",
ISNUMBER(SEARCH("Türkiye",S940)),"Turkey",
ISNUMBER(SEARCH("Ivory Coast",S940)),"Côte d'Ivoire",
ISNUMBER(SEARCH("Korea Republic",S940)),"South Korea",
ISNUMBER(SEARCH("Germany FR",S940)),"FR Germany",
ISNUMBER(SEARCH("West Germany",S940)),"FR Germany",
ISNUMBER(SEARCH("Germany DR",S940)),"DR Germany",
ISNUMBER(SEARCH("Korea DPR",S940)),"North Korea",
ISNUMBER(SEARCH("China PR",S940)),"China",
ISNUMBER(SEARCH("IR Iran",S940)),"Iran",
ISNUMBER(SEARCH("Congo DR",S940)),"Democratic Republic of the Congo",
ISNUMBER(SEARCH("DR Congo",S940)),"Democratic Republic of the Congo",
ISNUMBER(SEARCH("German DR",S940)),"DR Germany",
ISNUMBER(SEARCH("rn""&gt;United Arab Emirates",S940)),"United Arab Emirates",
ISNUMBER(SEARCH("rn""&gt;Republic of Ireland",S940)),"Ireland",
ISNUMBER(SEARCH("rn""&gt;Bosnia and Herzegovina",S940)),"Bosnia and Herzegovina",
ISNUMBER(SEARCH("rn""&gt;Trinidad and Tobago",S940)),"Trinidad and Tobago",
ISNUMBER(SEARCH("rn""&gt;Serbia and Montenegro",S940)),"Serbia and Montenegro",
ISNUMBER(SEARCH(_xlfn.UNICHAR(65533),S940)),"Côte d'Ivoire",
TRUE,""
)</f>
        <v/>
      </c>
      <c r="W940" s="30" t="str">
        <f t="shared" si="82"/>
        <v>England</v>
      </c>
      <c r="Z940" s="40" t="str">
        <v>Al Bayt Stadium</v>
      </c>
      <c r="AA940" s="40" t="str" cm="1">
        <f t="array" ref="AA940">IFERROR(_xlfn.XLOOKUP(Z940,_xlfn.ANCHORARRAY(Z$31),AA$31:AA$37),Z940)</f>
        <v>Al Bayt Stadium</v>
      </c>
      <c r="AB940" s="42" t="str">
        <v>Al Khor</v>
      </c>
      <c r="AC940" s="89" t="str">
        <f t="shared" si="83"/>
        <v>Al Khor</v>
      </c>
      <c r="AE940" s="42">
        <v>2018</v>
      </c>
      <c r="AK940" s="42">
        <v>1</v>
      </c>
      <c r="AL940" s="42">
        <v>0</v>
      </c>
      <c r="AW940" s="89" t="str">
        <v>GROUP_STAGE</v>
      </c>
      <c r="BE940" s="43" t="str">
        <f>IF(OR(DATA_CLEANED!AL931="",DATA_CLEANED!AM931=""),"MANQUANT",IF(OR(NOT(ISNUMBER(DATA_CLEANED!AL931)),NOT(ISNUMBER(DATA_CLEANED!AM931))),"ENTREE INVALIDE",IF(OR(DATA_CLEANED!AL931&lt;0,DATA_CLEANED!AM931&lt;0),"SCORE NEGATIF","OK")))</f>
        <v>OK</v>
      </c>
      <c r="BF940" s="43" t="str">
        <f>IF(DATA_CLEANED!AK931&lt;&gt;DATA_CLEANED!AN931,"OK","ERREUR")</f>
        <v>OK</v>
      </c>
      <c r="BG940" s="43" t="str">
        <f>IF(DATA_CLEANED!AL931&gt;DATA_CLEANED!AM931,DATA_CLEANED!AK931,IF(AND(DATA_QUALITE!W5417="-",DATA_CLEANED!AM931=DATA_CLEANED!AL931),"MATCH NUL",IF(AND(DATA_QUALITE!V5417="-",DATA_QUALITE!U5417="AUCUNE"),DATA_QUALITE!T5417,IF(DATA_QUALITE!V5417&lt;&gt;"-",DATA_QUALITE!V5417,DATA_CLEANED!AN931))))</f>
        <v>MATCH NUL</v>
      </c>
      <c r="BH940" s="103" t="str">
        <f>IF(AND(BG940="MATCH NUL",DATA_CLEANED!AO931="-"),"MATCH_NUL",IF(ISNUMBER(SEARCH("win on penalties",W5417)),"WIN_BY_PENALTY",IF(ISNUMBER(SEARCH("win after extra time",W5417)),"WIN_BY_EXTRA_TIME",IF(ISNUMBER(SEARCH("Golden Goal",W5417)),"WIN_BY_GOLDEN_GOAL","WIN_BY_SCORE"))))</f>
        <v>MATCH_NUL</v>
      </c>
      <c r="BI940" s="99" t="str">
        <f>IF(OR(BG940=DATA_CLEANED!AK931,BG940=DATA_CLEANED!AN931,BG940="MATCH NUL"),"OK","ERREUR")</f>
        <v>OK</v>
      </c>
    </row>
    <row r="941" spans="2:61">
      <c r="B941" s="75">
        <v>504</v>
      </c>
      <c r="C941" s="15" t="str">
        <v>Wilfried Singo</v>
      </c>
      <c r="D941" s="15">
        <v>25</v>
      </c>
      <c r="E941" s="15" t="str">
        <v>Côte d'Ivoire</v>
      </c>
      <c r="F941" s="15" t="str">
        <v>RB</v>
      </c>
      <c r="G941" s="15" t="str">
        <v>Galatasaray</v>
      </c>
      <c r="H941" s="15">
        <v>5</v>
      </c>
      <c r="I941" s="15" t="str">
        <f t="shared" si="79"/>
        <v>504|Wilfried Singo|25|Côte d'Ivoire|RB|Galatasaray|5</v>
      </c>
      <c r="J941" s="15" t="str">
        <f>IF(COUNTIF(I$438:I941,I941)&gt;1,"DOUBLON","OK")</f>
        <v>OK</v>
      </c>
      <c r="S941" s="30" t="str">
        <v>Portugal</v>
      </c>
      <c r="T941" s="30" t="str">
        <f t="shared" si="80"/>
        <v>OK</v>
      </c>
      <c r="U941" s="30" t="str">
        <f t="shared" si="81"/>
        <v>-</v>
      </c>
      <c r="V941" s="30" t="str" cm="1">
        <f t="array" ref="V941">_xlfn.IFS(
ISNUMBER(SEARCH("USA",S941)),"United States",
ISNUMBER(SEARCH("Republic of Korea",S941)),"South Korea",
ISNUMBER(SEARCH("Cape Verde",S941)),"Cabo Verde",
ISNUMBER(SEARCH("Czechia",S941)),"Czech Republic",
ISNUMBER(SEARCH("Türkiye",S941)),"Turkey",
ISNUMBER(SEARCH("Ivory Coast",S941)),"Côte d'Ivoire",
ISNUMBER(SEARCH("Korea Republic",S941)),"South Korea",
ISNUMBER(SEARCH("Germany FR",S941)),"FR Germany",
ISNUMBER(SEARCH("West Germany",S941)),"FR Germany",
ISNUMBER(SEARCH("Germany DR",S941)),"DR Germany",
ISNUMBER(SEARCH("Korea DPR",S941)),"North Korea",
ISNUMBER(SEARCH("China PR",S941)),"China",
ISNUMBER(SEARCH("IR Iran",S941)),"Iran",
ISNUMBER(SEARCH("Congo DR",S941)),"Democratic Republic of the Congo",
ISNUMBER(SEARCH("DR Congo",S941)),"Democratic Republic of the Congo",
ISNUMBER(SEARCH("German DR",S941)),"DR Germany",
ISNUMBER(SEARCH("rn""&gt;United Arab Emirates",S941)),"United Arab Emirates",
ISNUMBER(SEARCH("rn""&gt;Republic of Ireland",S941)),"Ireland",
ISNUMBER(SEARCH("rn""&gt;Bosnia and Herzegovina",S941)),"Bosnia and Herzegovina",
ISNUMBER(SEARCH("rn""&gt;Trinidad and Tobago",S941)),"Trinidad and Tobago",
ISNUMBER(SEARCH("rn""&gt;Serbia and Montenegro",S941)),"Serbia and Montenegro",
ISNUMBER(SEARCH(_xlfn.UNICHAR(65533),S941)),"Côte d'Ivoire",
TRUE,""
)</f>
        <v/>
      </c>
      <c r="W941" s="30" t="str">
        <f t="shared" si="82"/>
        <v>Portugal</v>
      </c>
      <c r="Z941" s="40" t="str">
        <v>Khalifa International Stadium</v>
      </c>
      <c r="AA941" s="40" t="str" cm="1">
        <f t="array" ref="AA941">IFERROR(_xlfn.XLOOKUP(Z941,_xlfn.ANCHORARRAY(Z$31),AA$31:AA$37),Z941)</f>
        <v>Khalifa International Stadium</v>
      </c>
      <c r="AB941" s="42" t="str">
        <v>Al Rayyan</v>
      </c>
      <c r="AC941" s="89" t="str">
        <f t="shared" si="83"/>
        <v>Al Rayyan</v>
      </c>
      <c r="AE941" s="42">
        <v>2018</v>
      </c>
      <c r="AK941" s="42">
        <v>0</v>
      </c>
      <c r="AL941" s="42">
        <v>3</v>
      </c>
      <c r="AW941" s="89" t="str">
        <v>GROUP_STAGE</v>
      </c>
      <c r="BE941" s="43" t="str">
        <f>IF(OR(DATA_CLEANED!AL932="",DATA_CLEANED!AM932=""),"MANQUANT",IF(OR(NOT(ISNUMBER(DATA_CLEANED!AL932)),NOT(ISNUMBER(DATA_CLEANED!AM932))),"ENTREE INVALIDE",IF(OR(DATA_CLEANED!AL932&lt;0,DATA_CLEANED!AM932&lt;0),"SCORE NEGATIF","OK")))</f>
        <v>OK</v>
      </c>
      <c r="BF941" s="43" t="str">
        <f>IF(DATA_CLEANED!AK932&lt;&gt;DATA_CLEANED!AN932,"OK","ERREUR")</f>
        <v>OK</v>
      </c>
      <c r="BG941" s="43" t="str">
        <f>IF(DATA_CLEANED!AL932&gt;DATA_CLEANED!AM932,DATA_CLEANED!AK932,IF(AND(DATA_QUALITE!W5418="-",DATA_CLEANED!AM932=DATA_CLEANED!AL932),"MATCH NUL",IF(AND(DATA_QUALITE!V5418="-",DATA_QUALITE!U5418="AUCUNE"),DATA_QUALITE!T5418,IF(DATA_QUALITE!V5418&lt;&gt;"-",DATA_QUALITE!V5418,DATA_CLEANED!AN932))))</f>
        <v>Ghana</v>
      </c>
      <c r="BH941" s="103" t="str">
        <f>IF(AND(BG941="MATCH NUL",DATA_CLEANED!AO932="-"),"MATCH_NUL",IF(ISNUMBER(SEARCH("win on penalties",W5418)),"WIN_BY_PENALTY",IF(ISNUMBER(SEARCH("win after extra time",W5418)),"WIN_BY_EXTRA_TIME",IF(ISNUMBER(SEARCH("Golden Goal",W5418)),"WIN_BY_GOLDEN_GOAL","WIN_BY_SCORE"))))</f>
        <v>WIN_BY_SCORE</v>
      </c>
      <c r="BI941" s="99" t="str">
        <f>IF(OR(BG941=DATA_CLEANED!AK932,BG941=DATA_CLEANED!AN932,BG941="MATCH NUL"),"OK","ERREUR")</f>
        <v>OK</v>
      </c>
    </row>
    <row r="942" spans="2:61">
      <c r="B942" s="75">
        <v>505</v>
      </c>
      <c r="C942" s="15" t="str">
        <v>Guéla Doué</v>
      </c>
      <c r="D942" s="15">
        <v>23</v>
      </c>
      <c r="E942" s="15" t="str">
        <v>Côte d'Ivoire</v>
      </c>
      <c r="F942" s="15" t="str">
        <v>RB</v>
      </c>
      <c r="G942" s="15" t="str">
        <v>Strasbourg</v>
      </c>
      <c r="H942" s="15">
        <v>17</v>
      </c>
      <c r="I942" s="15" t="str">
        <f t="shared" si="79"/>
        <v>505|Guéla Doué|23|Côte d'Ivoire|RB|Strasbourg|17</v>
      </c>
      <c r="J942" s="15" t="str">
        <f>IF(COUNTIF(I$438:I942,I942)&gt;1,"DOUBLON","OK")</f>
        <v>OK</v>
      </c>
      <c r="S942" s="30" t="str">
        <v>Italy</v>
      </c>
      <c r="T942" s="30" t="str">
        <f t="shared" si="80"/>
        <v>OK</v>
      </c>
      <c r="U942" s="30" t="str">
        <f t="shared" si="81"/>
        <v>-</v>
      </c>
      <c r="V942" s="30" t="str" cm="1">
        <f t="array" ref="V942">_xlfn.IFS(
ISNUMBER(SEARCH("USA",S942)),"United States",
ISNUMBER(SEARCH("Republic of Korea",S942)),"South Korea",
ISNUMBER(SEARCH("Cape Verde",S942)),"Cabo Verde",
ISNUMBER(SEARCH("Czechia",S942)),"Czech Republic",
ISNUMBER(SEARCH("Türkiye",S942)),"Turkey",
ISNUMBER(SEARCH("Ivory Coast",S942)),"Côte d'Ivoire",
ISNUMBER(SEARCH("Korea Republic",S942)),"South Korea",
ISNUMBER(SEARCH("Germany FR",S942)),"FR Germany",
ISNUMBER(SEARCH("West Germany",S942)),"FR Germany",
ISNUMBER(SEARCH("Germany DR",S942)),"DR Germany",
ISNUMBER(SEARCH("Korea DPR",S942)),"North Korea",
ISNUMBER(SEARCH("China PR",S942)),"China",
ISNUMBER(SEARCH("IR Iran",S942)),"Iran",
ISNUMBER(SEARCH("Congo DR",S942)),"Democratic Republic of the Congo",
ISNUMBER(SEARCH("DR Congo",S942)),"Democratic Republic of the Congo",
ISNUMBER(SEARCH("German DR",S942)),"DR Germany",
ISNUMBER(SEARCH("rn""&gt;United Arab Emirates",S942)),"United Arab Emirates",
ISNUMBER(SEARCH("rn""&gt;Republic of Ireland",S942)),"Ireland",
ISNUMBER(SEARCH("rn""&gt;Bosnia and Herzegovina",S942)),"Bosnia and Herzegovina",
ISNUMBER(SEARCH("rn""&gt;Trinidad and Tobago",S942)),"Trinidad and Tobago",
ISNUMBER(SEARCH("rn""&gt;Serbia and Montenegro",S942)),"Serbia and Montenegro",
ISNUMBER(SEARCH(_xlfn.UNICHAR(65533),S942)),"Côte d'Ivoire",
TRUE,""
)</f>
        <v/>
      </c>
      <c r="W942" s="30" t="str">
        <f t="shared" si="82"/>
        <v>Italy</v>
      </c>
      <c r="Z942" s="40" t="str">
        <v>Al Thumama Stadium</v>
      </c>
      <c r="AA942" s="40" t="str" cm="1">
        <f t="array" ref="AA942">IFERROR(_xlfn.XLOOKUP(Z942,_xlfn.ANCHORARRAY(Z$31),AA$31:AA$37),Z942)</f>
        <v>Al Thumama Stadium</v>
      </c>
      <c r="AB942" s="42" t="str">
        <v>Doha</v>
      </c>
      <c r="AC942" s="89" t="str">
        <f t="shared" si="83"/>
        <v>Doha</v>
      </c>
      <c r="AE942" s="42">
        <v>2018</v>
      </c>
      <c r="AK942" s="42">
        <v>2</v>
      </c>
      <c r="AL942" s="42">
        <v>0</v>
      </c>
      <c r="AW942" s="89" t="str">
        <v>GROUP_STAGE</v>
      </c>
      <c r="BE942" s="43" t="str">
        <f>IF(OR(DATA_CLEANED!AL933="",DATA_CLEANED!AM933=""),"MANQUANT",IF(OR(NOT(ISNUMBER(DATA_CLEANED!AL933)),NOT(ISNUMBER(DATA_CLEANED!AM933))),"ENTREE INVALIDE",IF(OR(DATA_CLEANED!AL933&lt;0,DATA_CLEANED!AM933&lt;0),"SCORE NEGATIF","OK")))</f>
        <v>OK</v>
      </c>
      <c r="BF942" s="43" t="str">
        <f>IF(DATA_CLEANED!AK933&lt;&gt;DATA_CLEANED!AN933,"OK","ERREUR")</f>
        <v>OK</v>
      </c>
      <c r="BG942" s="43" t="str">
        <f>IF(DATA_CLEANED!AL933&gt;DATA_CLEANED!AM933,DATA_CLEANED!AK933,IF(AND(DATA_QUALITE!W5419="-",DATA_CLEANED!AM933=DATA_CLEANED!AL933),"MATCH NUL",IF(AND(DATA_QUALITE!V5419="-",DATA_QUALITE!U5419="AUCUNE"),DATA_QUALITE!T5419,IF(DATA_QUALITE!V5419&lt;&gt;"-",DATA_QUALITE!V5419,DATA_CLEANED!AN933))))</f>
        <v>Brazil</v>
      </c>
      <c r="BH942" s="103" t="str">
        <f>IF(AND(BG942="MATCH NUL",DATA_CLEANED!AO933="-"),"MATCH_NUL",IF(ISNUMBER(SEARCH("win on penalties",W5419)),"WIN_BY_PENALTY",IF(ISNUMBER(SEARCH("win after extra time",W5419)),"WIN_BY_EXTRA_TIME",IF(ISNUMBER(SEARCH("Golden Goal",W5419)),"WIN_BY_GOLDEN_GOAL","WIN_BY_SCORE"))))</f>
        <v>WIN_BY_SCORE</v>
      </c>
      <c r="BI942" s="99" t="str">
        <f>IF(OR(BG942=DATA_CLEANED!AK933,BG942=DATA_CLEANED!AN933,BG942="MATCH NUL"),"OK","ERREUR")</f>
        <v>OK</v>
      </c>
    </row>
    <row r="943" spans="2:61">
      <c r="B943" s="75">
        <v>506</v>
      </c>
      <c r="C943" s="15" t="str">
        <v>Jean Michaël Seri</v>
      </c>
      <c r="D943" s="15">
        <v>34</v>
      </c>
      <c r="E943" s="15" t="str">
        <v>Côte d'Ivoire</v>
      </c>
      <c r="F943" s="15" t="str">
        <v>CDM</v>
      </c>
      <c r="G943" s="15" t="str">
        <v>Maribor</v>
      </c>
      <c r="H943" s="15">
        <v>4</v>
      </c>
      <c r="I943" s="15" t="str">
        <f t="shared" si="79"/>
        <v>506|Jean Michaël Seri|34|Côte d'Ivoire|CDM|Maribor|4</v>
      </c>
      <c r="J943" s="15" t="str">
        <f>IF(COUNTIF(I$438:I943,I943)&gt;1,"DOUBLON","OK")</f>
        <v>OK</v>
      </c>
      <c r="S943" s="30" t="str">
        <v>France</v>
      </c>
      <c r="T943" s="30" t="str">
        <f t="shared" si="80"/>
        <v>OK</v>
      </c>
      <c r="U943" s="30" t="str">
        <f t="shared" si="81"/>
        <v>-</v>
      </c>
      <c r="V943" s="30" t="str" cm="1">
        <f t="array" ref="V943">_xlfn.IFS(
ISNUMBER(SEARCH("USA",S943)),"United States",
ISNUMBER(SEARCH("Republic of Korea",S943)),"South Korea",
ISNUMBER(SEARCH("Cape Verde",S943)),"Cabo Verde",
ISNUMBER(SEARCH("Czechia",S943)),"Czech Republic",
ISNUMBER(SEARCH("Türkiye",S943)),"Turkey",
ISNUMBER(SEARCH("Ivory Coast",S943)),"Côte d'Ivoire",
ISNUMBER(SEARCH("Korea Republic",S943)),"South Korea",
ISNUMBER(SEARCH("Germany FR",S943)),"FR Germany",
ISNUMBER(SEARCH("West Germany",S943)),"FR Germany",
ISNUMBER(SEARCH("Germany DR",S943)),"DR Germany",
ISNUMBER(SEARCH("Korea DPR",S943)),"North Korea",
ISNUMBER(SEARCH("China PR",S943)),"China",
ISNUMBER(SEARCH("IR Iran",S943)),"Iran",
ISNUMBER(SEARCH("Congo DR",S943)),"Democratic Republic of the Congo",
ISNUMBER(SEARCH("DR Congo",S943)),"Democratic Republic of the Congo",
ISNUMBER(SEARCH("German DR",S943)),"DR Germany",
ISNUMBER(SEARCH("rn""&gt;United Arab Emirates",S943)),"United Arab Emirates",
ISNUMBER(SEARCH("rn""&gt;Republic of Ireland",S943)),"Ireland",
ISNUMBER(SEARCH("rn""&gt;Bosnia and Herzegovina",S943)),"Bosnia and Herzegovina",
ISNUMBER(SEARCH("rn""&gt;Trinidad and Tobago",S943)),"Trinidad and Tobago",
ISNUMBER(SEARCH("rn""&gt;Serbia and Montenegro",S943)),"Serbia and Montenegro",
ISNUMBER(SEARCH(_xlfn.UNICHAR(65533),S943)),"Côte d'Ivoire",
TRUE,""
)</f>
        <v/>
      </c>
      <c r="W943" s="30" t="str">
        <f t="shared" si="82"/>
        <v>France</v>
      </c>
      <c r="Z943" s="40" t="str">
        <v>Ahmad bin Ali Stadium</v>
      </c>
      <c r="AA943" s="40" t="str" cm="1">
        <f t="array" ref="AA943">IFERROR(_xlfn.XLOOKUP(Z943,_xlfn.ANCHORARRAY(Z$31),AA$31:AA$37),Z943)</f>
        <v>Ahmad bin Ali Stadium</v>
      </c>
      <c r="AB943" s="42" t="str">
        <v>Al Rayyan</v>
      </c>
      <c r="AC943" s="89" t="str">
        <f t="shared" si="83"/>
        <v>Al Rayyan</v>
      </c>
      <c r="AE943" s="42">
        <v>2018</v>
      </c>
      <c r="AK943" s="42">
        <v>2</v>
      </c>
      <c r="AL943" s="42">
        <v>0</v>
      </c>
      <c r="AW943" s="89" t="str">
        <v>GROUP_STAGE</v>
      </c>
      <c r="BE943" s="43" t="str">
        <f>IF(OR(DATA_CLEANED!AL934="",DATA_CLEANED!AM934=""),"MANQUANT",IF(OR(NOT(ISNUMBER(DATA_CLEANED!AL934)),NOT(ISNUMBER(DATA_CLEANED!AM934))),"ENTREE INVALIDE",IF(OR(DATA_CLEANED!AL934&lt;0,DATA_CLEANED!AM934&lt;0),"SCORE NEGATIF","OK")))</f>
        <v>OK</v>
      </c>
      <c r="BF943" s="43" t="str">
        <f>IF(DATA_CLEANED!AK934&lt;&gt;DATA_CLEANED!AN934,"OK","ERREUR")</f>
        <v>OK</v>
      </c>
      <c r="BG943" s="43" t="str">
        <f>IF(DATA_CLEANED!AL934&gt;DATA_CLEANED!AM934,DATA_CLEANED!AK934,IF(AND(DATA_QUALITE!W5420="-",DATA_CLEANED!AM934=DATA_CLEANED!AL934),"MATCH NUL",IF(AND(DATA_QUALITE!V5420="-",DATA_QUALITE!U5420="AUCUNE"),DATA_QUALITE!T5420,IF(DATA_QUALITE!V5420&lt;&gt;"-",DATA_QUALITE!V5420,DATA_CLEANED!AN934))))</f>
        <v>Portugal</v>
      </c>
      <c r="BH943" s="103" t="str">
        <f>IF(AND(BG943="MATCH NUL",DATA_CLEANED!AO934="-"),"MATCH_NUL",IF(ISNUMBER(SEARCH("win on penalties",W5420)),"WIN_BY_PENALTY",IF(ISNUMBER(SEARCH("win after extra time",W5420)),"WIN_BY_EXTRA_TIME",IF(ISNUMBER(SEARCH("Golden Goal",W5420)),"WIN_BY_GOLDEN_GOAL","WIN_BY_SCORE"))))</f>
        <v>WIN_BY_SCORE</v>
      </c>
      <c r="BI943" s="99" t="str">
        <f>IF(OR(BG943=DATA_CLEANED!AK934,BG943=DATA_CLEANED!AN934,BG943="MATCH NUL"),"OK","ERREUR")</f>
        <v>OK</v>
      </c>
    </row>
    <row r="944" spans="2:61">
      <c r="B944" s="75">
        <v>507</v>
      </c>
      <c r="C944" s="15" t="str">
        <v>Ibrahim Sangaré</v>
      </c>
      <c r="D944" s="15">
        <v>28</v>
      </c>
      <c r="E944" s="15" t="str">
        <v>Côte d'Ivoire</v>
      </c>
      <c r="F944" s="15" t="str">
        <v>CDM</v>
      </c>
      <c r="G944" s="15" t="str">
        <v>Nottingham Forest</v>
      </c>
      <c r="H944" s="15">
        <v>18</v>
      </c>
      <c r="I944" s="15" t="str">
        <f t="shared" si="79"/>
        <v>507|Ibrahim Sangaré|28|Côte d'Ivoire|CDM|Nottingham Forest|18</v>
      </c>
      <c r="J944" s="15" t="str">
        <f>IF(COUNTIF(I$438:I944,I944)&gt;1,"DOUBLON","OK")</f>
        <v>OK</v>
      </c>
      <c r="S944" s="30" t="str">
        <v>Italy</v>
      </c>
      <c r="T944" s="30" t="str">
        <f t="shared" si="80"/>
        <v>OK</v>
      </c>
      <c r="U944" s="30" t="str">
        <f t="shared" si="81"/>
        <v>-</v>
      </c>
      <c r="V944" s="30" t="str" cm="1">
        <f t="array" ref="V944">_xlfn.IFS(
ISNUMBER(SEARCH("USA",S944)),"United States",
ISNUMBER(SEARCH("Republic of Korea",S944)),"South Korea",
ISNUMBER(SEARCH("Cape Verde",S944)),"Cabo Verde",
ISNUMBER(SEARCH("Czechia",S944)),"Czech Republic",
ISNUMBER(SEARCH("Türkiye",S944)),"Turkey",
ISNUMBER(SEARCH("Ivory Coast",S944)),"Côte d'Ivoire",
ISNUMBER(SEARCH("Korea Republic",S944)),"South Korea",
ISNUMBER(SEARCH("Germany FR",S944)),"FR Germany",
ISNUMBER(SEARCH("West Germany",S944)),"FR Germany",
ISNUMBER(SEARCH("Germany DR",S944)),"DR Germany",
ISNUMBER(SEARCH("Korea DPR",S944)),"North Korea",
ISNUMBER(SEARCH("China PR",S944)),"China",
ISNUMBER(SEARCH("IR Iran",S944)),"Iran",
ISNUMBER(SEARCH("Congo DR",S944)),"Democratic Republic of the Congo",
ISNUMBER(SEARCH("DR Congo",S944)),"Democratic Republic of the Congo",
ISNUMBER(SEARCH("German DR",S944)),"DR Germany",
ISNUMBER(SEARCH("rn""&gt;United Arab Emirates",S944)),"United Arab Emirates",
ISNUMBER(SEARCH("rn""&gt;Republic of Ireland",S944)),"Ireland",
ISNUMBER(SEARCH("rn""&gt;Bosnia and Herzegovina",S944)),"Bosnia and Herzegovina",
ISNUMBER(SEARCH("rn""&gt;Trinidad and Tobago",S944)),"Trinidad and Tobago",
ISNUMBER(SEARCH("rn""&gt;Serbia and Montenegro",S944)),"Serbia and Montenegro",
ISNUMBER(SEARCH(_xlfn.UNICHAR(65533),S944)),"Côte d'Ivoire",
TRUE,""
)</f>
        <v/>
      </c>
      <c r="W944" s="30" t="str">
        <f t="shared" si="82"/>
        <v>Italy</v>
      </c>
      <c r="Z944" s="40" t="str">
        <v>Lusail Stadium</v>
      </c>
      <c r="AA944" s="40" t="str" cm="1">
        <f t="array" ref="AA944">IFERROR(_xlfn.XLOOKUP(Z944,_xlfn.ANCHORARRAY(Z$31),AA$31:AA$37),Z944)</f>
        <v>Lusail Stadium</v>
      </c>
      <c r="AB944" s="42" t="str">
        <v>Lusail</v>
      </c>
      <c r="AC944" s="89" t="str">
        <f t="shared" si="83"/>
        <v>Lusail</v>
      </c>
      <c r="AE944" s="42">
        <v>2018</v>
      </c>
      <c r="AK944" s="42">
        <v>1</v>
      </c>
      <c r="AL944" s="42">
        <v>2</v>
      </c>
      <c r="AW944" s="89" t="str">
        <v>GROUP_STAGE</v>
      </c>
      <c r="BE944" s="43" t="str">
        <f>IF(OR(DATA_CLEANED!AL935="",DATA_CLEANED!AM935=""),"MANQUANT",IF(OR(NOT(ISNUMBER(DATA_CLEANED!AL935)),NOT(ISNUMBER(DATA_CLEANED!AM935))),"ENTREE INVALIDE",IF(OR(DATA_CLEANED!AL935&lt;0,DATA_CLEANED!AM935&lt;0),"SCORE NEGATIF","OK")))</f>
        <v>OK</v>
      </c>
      <c r="BF944" s="43" t="str">
        <f>IF(DATA_CLEANED!AK935&lt;&gt;DATA_CLEANED!AN935,"OK","ERREUR")</f>
        <v>OK</v>
      </c>
      <c r="BG944" s="43" t="str">
        <f>IF(DATA_CLEANED!AL935&gt;DATA_CLEANED!AM935,DATA_CLEANED!AK935,IF(AND(DATA_QUALITE!W5421="-",DATA_CLEANED!AM935=DATA_CLEANED!AL935),"MATCH NUL",IF(AND(DATA_QUALITE!V5421="-",DATA_QUALITE!U5421="AUCUNE"),DATA_QUALITE!T5421,IF(DATA_QUALITE!V5421&lt;&gt;"-",DATA_QUALITE!V5421,DATA_CLEANED!AN935))))</f>
        <v>Senegal</v>
      </c>
      <c r="BH944" s="103" t="str">
        <f>IF(AND(BG944="MATCH NUL",DATA_CLEANED!AO935="-"),"MATCH_NUL",IF(ISNUMBER(SEARCH("win on penalties",W5421)),"WIN_BY_PENALTY",IF(ISNUMBER(SEARCH("win after extra time",W5421)),"WIN_BY_EXTRA_TIME",IF(ISNUMBER(SEARCH("Golden Goal",W5421)),"WIN_BY_GOLDEN_GOAL","WIN_BY_SCORE"))))</f>
        <v>WIN_BY_SCORE</v>
      </c>
      <c r="BI944" s="99" t="str">
        <f>IF(OR(BG944=DATA_CLEANED!AK935,BG944=DATA_CLEANED!AN935,BG944="MATCH NUL"),"OK","ERREUR")</f>
        <v>OK</v>
      </c>
    </row>
    <row r="945" spans="2:61">
      <c r="B945" s="75">
        <v>508</v>
      </c>
      <c r="C945" s="15" t="str">
        <v>Christ Inao Oulaï</v>
      </c>
      <c r="D945" s="15">
        <v>20</v>
      </c>
      <c r="E945" s="15" t="str">
        <v>Côte d'Ivoire</v>
      </c>
      <c r="F945" s="15" t="str">
        <v>CDM</v>
      </c>
      <c r="G945" s="15" t="str">
        <v>Trabzonspor</v>
      </c>
      <c r="H945" s="15">
        <v>26</v>
      </c>
      <c r="I945" s="15" t="str">
        <f t="shared" si="79"/>
        <v>508|Christ Inao Oulaï|20|Côte d'Ivoire|CDM|Trabzonspor|26</v>
      </c>
      <c r="J945" s="15" t="str">
        <f>IF(COUNTIF(I$438:I945,I945)&gt;1,"DOUBLON","OK")</f>
        <v>OK</v>
      </c>
      <c r="S945" s="30" t="str">
        <v>France</v>
      </c>
      <c r="T945" s="30" t="str">
        <f t="shared" si="80"/>
        <v>OK</v>
      </c>
      <c r="U945" s="30" t="str">
        <f t="shared" si="81"/>
        <v>-</v>
      </c>
      <c r="V945" s="30" t="str" cm="1">
        <f t="array" ref="V945">_xlfn.IFS(
ISNUMBER(SEARCH("USA",S945)),"United States",
ISNUMBER(SEARCH("Republic of Korea",S945)),"South Korea",
ISNUMBER(SEARCH("Cape Verde",S945)),"Cabo Verde",
ISNUMBER(SEARCH("Czechia",S945)),"Czech Republic",
ISNUMBER(SEARCH("Türkiye",S945)),"Turkey",
ISNUMBER(SEARCH("Ivory Coast",S945)),"Côte d'Ivoire",
ISNUMBER(SEARCH("Korea Republic",S945)),"South Korea",
ISNUMBER(SEARCH("Germany FR",S945)),"FR Germany",
ISNUMBER(SEARCH("West Germany",S945)),"FR Germany",
ISNUMBER(SEARCH("Germany DR",S945)),"DR Germany",
ISNUMBER(SEARCH("Korea DPR",S945)),"North Korea",
ISNUMBER(SEARCH("China PR",S945)),"China",
ISNUMBER(SEARCH("IR Iran",S945)),"Iran",
ISNUMBER(SEARCH("Congo DR",S945)),"Democratic Republic of the Congo",
ISNUMBER(SEARCH("DR Congo",S945)),"Democratic Republic of the Congo",
ISNUMBER(SEARCH("German DR",S945)),"DR Germany",
ISNUMBER(SEARCH("rn""&gt;United Arab Emirates",S945)),"United Arab Emirates",
ISNUMBER(SEARCH("rn""&gt;Republic of Ireland",S945)),"Ireland",
ISNUMBER(SEARCH("rn""&gt;Bosnia and Herzegovina",S945)),"Bosnia and Herzegovina",
ISNUMBER(SEARCH("rn""&gt;Trinidad and Tobago",S945)),"Trinidad and Tobago",
ISNUMBER(SEARCH("rn""&gt;Serbia and Montenegro",S945)),"Serbia and Montenegro",
ISNUMBER(SEARCH(_xlfn.UNICHAR(65533),S945)),"Côte d'Ivoire",
TRUE,""
)</f>
        <v/>
      </c>
      <c r="W945" s="30" t="str">
        <f t="shared" si="82"/>
        <v>France</v>
      </c>
      <c r="Z945" s="40" t="str">
        <v>Education City Stadium</v>
      </c>
      <c r="AA945" s="40" t="str" cm="1">
        <f t="array" ref="AA945">IFERROR(_xlfn.XLOOKUP(Z945,_xlfn.ANCHORARRAY(Z$31),AA$31:AA$37),Z945)</f>
        <v>Education City Stadium</v>
      </c>
      <c r="AB945" s="42" t="str">
        <v>Al Rayyan</v>
      </c>
      <c r="AC945" s="89" t="str">
        <f t="shared" si="83"/>
        <v>Al Rayyan</v>
      </c>
      <c r="AE945" s="42">
        <v>2018</v>
      </c>
      <c r="AK945" s="42">
        <v>5</v>
      </c>
      <c r="AL945" s="42">
        <v>2</v>
      </c>
      <c r="AW945" s="89" t="str">
        <v>GROUP_STAGE</v>
      </c>
      <c r="BE945" s="43" t="str">
        <f>IF(OR(DATA_CLEANED!AL936="",DATA_CLEANED!AM936=""),"MANQUANT",IF(OR(NOT(ISNUMBER(DATA_CLEANED!AL936)),NOT(ISNUMBER(DATA_CLEANED!AM936))),"ENTREE INVALIDE",IF(OR(DATA_CLEANED!AL936&lt;0,DATA_CLEANED!AM936&lt;0),"SCORE NEGATIF","OK")))</f>
        <v>OK</v>
      </c>
      <c r="BF945" s="43" t="str">
        <f>IF(DATA_CLEANED!AK936&lt;&gt;DATA_CLEANED!AN936,"OK","ERREUR")</f>
        <v>OK</v>
      </c>
      <c r="BG945" s="43" t="str">
        <f>IF(DATA_CLEANED!AL936&gt;DATA_CLEANED!AM936,DATA_CLEANED!AK936,IF(AND(DATA_QUALITE!W5422="-",DATA_CLEANED!AM936=DATA_CLEANED!AL936),"MATCH NUL",IF(AND(DATA_QUALITE!V5422="-",DATA_QUALITE!U5422="AUCUNE"),DATA_QUALITE!T5422,IF(DATA_QUALITE!V5422&lt;&gt;"-",DATA_QUALITE!V5422,DATA_CLEANED!AN936))))</f>
        <v>Netherlands</v>
      </c>
      <c r="BH945" s="103" t="str">
        <f>IF(AND(BG945="MATCH NUL",DATA_CLEANED!AO936="-"),"MATCH_NUL",IF(ISNUMBER(SEARCH("win on penalties",W5422)),"WIN_BY_PENALTY",IF(ISNUMBER(SEARCH("win after extra time",W5422)),"WIN_BY_EXTRA_TIME",IF(ISNUMBER(SEARCH("Golden Goal",W5422)),"WIN_BY_GOLDEN_GOAL","WIN_BY_SCORE"))))</f>
        <v>WIN_BY_SCORE</v>
      </c>
      <c r="BI945" s="99" t="str">
        <f>IF(OR(BG945=DATA_CLEANED!AK936,BG945=DATA_CLEANED!AN936,BG945="MATCH NUL"),"OK","ERREUR")</f>
        <v>OK</v>
      </c>
    </row>
    <row r="946" spans="2:61">
      <c r="B946" s="75">
        <v>509</v>
      </c>
      <c r="C946" s="15" t="str">
        <v>Seko Fofana</v>
      </c>
      <c r="D946" s="15">
        <v>31</v>
      </c>
      <c r="E946" s="15" t="str">
        <v>Côte d'Ivoire</v>
      </c>
      <c r="F946" s="15" t="str">
        <v>CM</v>
      </c>
      <c r="G946" s="15" t="str">
        <v>Porto</v>
      </c>
      <c r="H946" s="15">
        <v>6</v>
      </c>
      <c r="I946" s="15" t="str">
        <f t="shared" si="79"/>
        <v>509|Seko Fofana|31|Côte d'Ivoire|CM|Porto|6</v>
      </c>
      <c r="J946" s="15" t="str">
        <f>IF(COUNTIF(I$438:I946,I946)&gt;1,"DOUBLON","OK")</f>
        <v>OK</v>
      </c>
      <c r="S946" s="30" t="str">
        <v>Italy</v>
      </c>
      <c r="T946" s="30" t="str">
        <f t="shared" si="80"/>
        <v>OK</v>
      </c>
      <c r="U946" s="30" t="str">
        <f t="shared" si="81"/>
        <v>-</v>
      </c>
      <c r="V946" s="30" t="str" cm="1">
        <f t="array" ref="V946">_xlfn.IFS(
ISNUMBER(SEARCH("USA",S946)),"United States",
ISNUMBER(SEARCH("Republic of Korea",S946)),"South Korea",
ISNUMBER(SEARCH("Cape Verde",S946)),"Cabo Verde",
ISNUMBER(SEARCH("Czechia",S946)),"Czech Republic",
ISNUMBER(SEARCH("Türkiye",S946)),"Turkey",
ISNUMBER(SEARCH("Ivory Coast",S946)),"Côte d'Ivoire",
ISNUMBER(SEARCH("Korea Republic",S946)),"South Korea",
ISNUMBER(SEARCH("Germany FR",S946)),"FR Germany",
ISNUMBER(SEARCH("West Germany",S946)),"FR Germany",
ISNUMBER(SEARCH("Germany DR",S946)),"DR Germany",
ISNUMBER(SEARCH("Korea DPR",S946)),"North Korea",
ISNUMBER(SEARCH("China PR",S946)),"China",
ISNUMBER(SEARCH("IR Iran",S946)),"Iran",
ISNUMBER(SEARCH("Congo DR",S946)),"Democratic Republic of the Congo",
ISNUMBER(SEARCH("DR Congo",S946)),"Democratic Republic of the Congo",
ISNUMBER(SEARCH("German DR",S946)),"DR Germany",
ISNUMBER(SEARCH("rn""&gt;United Arab Emirates",S946)),"United Arab Emirates",
ISNUMBER(SEARCH("rn""&gt;Republic of Ireland",S946)),"Ireland",
ISNUMBER(SEARCH("rn""&gt;Bosnia and Herzegovina",S946)),"Bosnia and Herzegovina",
ISNUMBER(SEARCH("rn""&gt;Trinidad and Tobago",S946)),"Trinidad and Tobago",
ISNUMBER(SEARCH("rn""&gt;Serbia and Montenegro",S946)),"Serbia and Montenegro",
ISNUMBER(SEARCH(_xlfn.UNICHAR(65533),S946)),"Côte d'Ivoire",
TRUE,""
)</f>
        <v/>
      </c>
      <c r="W946" s="30" t="str">
        <f t="shared" si="82"/>
        <v>Italy</v>
      </c>
      <c r="Z946" s="40" t="str">
        <v>Stadium 974</v>
      </c>
      <c r="AA946" s="40" t="str" cm="1">
        <f t="array" ref="AA946">IFERROR(_xlfn.XLOOKUP(Z946,_xlfn.ANCHORARRAY(Z$31),AA$31:AA$37),Z946)</f>
        <v>Stadium 974</v>
      </c>
      <c r="AB946" s="42" t="str">
        <v>Doha</v>
      </c>
      <c r="AC946" s="89" t="str">
        <f t="shared" si="83"/>
        <v>Doha</v>
      </c>
      <c r="AE946" s="42">
        <v>2018</v>
      </c>
      <c r="AK946" s="42">
        <v>1</v>
      </c>
      <c r="AL946" s="42">
        <v>2</v>
      </c>
      <c r="AW946" s="89" t="str">
        <v>GROUP_STAGE</v>
      </c>
      <c r="BE946" s="43" t="str">
        <f>IF(OR(DATA_CLEANED!AL937="",DATA_CLEANED!AM937=""),"MANQUANT",IF(OR(NOT(ISNUMBER(DATA_CLEANED!AL937)),NOT(ISNUMBER(DATA_CLEANED!AM937))),"ENTREE INVALIDE",IF(OR(DATA_CLEANED!AL937&lt;0,DATA_CLEANED!AM937&lt;0),"SCORE NEGATIF","OK")))</f>
        <v>OK</v>
      </c>
      <c r="BF946" s="43" t="str">
        <f>IF(DATA_CLEANED!AK937&lt;&gt;DATA_CLEANED!AN937,"OK","ERREUR")</f>
        <v>OK</v>
      </c>
      <c r="BG946" s="43" t="str">
        <f>IF(DATA_CLEANED!AL937&gt;DATA_CLEANED!AM937,DATA_CLEANED!AK937,IF(AND(DATA_QUALITE!W5423="-",DATA_CLEANED!AM937=DATA_CLEANED!AL937),"MATCH NUL",IF(AND(DATA_QUALITE!V5423="-",DATA_QUALITE!U5423="AUCUNE"),DATA_QUALITE!T5423,IF(DATA_QUALITE!V5423&lt;&gt;"-",DATA_QUALITE!V5423,DATA_CLEANED!AN937))))</f>
        <v>United States</v>
      </c>
      <c r="BH946" s="103" t="str">
        <f>IF(AND(BG946="MATCH NUL",DATA_CLEANED!AO937="-"),"MATCH_NUL",IF(ISNUMBER(SEARCH("win on penalties",W5423)),"WIN_BY_PENALTY",IF(ISNUMBER(SEARCH("win after extra time",W5423)),"WIN_BY_EXTRA_TIME",IF(ISNUMBER(SEARCH("Golden Goal",W5423)),"WIN_BY_GOLDEN_GOAL","WIN_BY_SCORE"))))</f>
        <v>WIN_BY_SCORE</v>
      </c>
      <c r="BI946" s="99" t="str">
        <f>IF(OR(BG946=DATA_CLEANED!AK937,BG946=DATA_CLEANED!AN937,BG946="MATCH NUL"),"OK","ERREUR")</f>
        <v>OK</v>
      </c>
    </row>
    <row r="947" spans="2:61">
      <c r="B947" s="75">
        <v>510</v>
      </c>
      <c r="C947" s="15" t="str">
        <v>Franck Kessié</v>
      </c>
      <c r="D947" s="15">
        <v>29</v>
      </c>
      <c r="E947" s="15" t="str">
        <v>Côte d'Ivoire</v>
      </c>
      <c r="F947" s="15" t="str">
        <v>CM</v>
      </c>
      <c r="G947" s="15" t="str">
        <v>Al-Ahli</v>
      </c>
      <c r="H947" s="15">
        <v>8</v>
      </c>
      <c r="I947" s="15" t="str">
        <f t="shared" si="79"/>
        <v>510|Franck Kessié|29|Côte d'Ivoire|CM|Al-Ahli|8</v>
      </c>
      <c r="J947" s="15" t="str">
        <f>IF(COUNTIF(I$438:I947,I947)&gt;1,"DOUBLON","OK")</f>
        <v>OK</v>
      </c>
      <c r="S947" s="30" t="str">
        <v>France</v>
      </c>
      <c r="T947" s="30" t="str">
        <f t="shared" si="80"/>
        <v>OK</v>
      </c>
      <c r="U947" s="30" t="str">
        <f t="shared" si="81"/>
        <v>-</v>
      </c>
      <c r="V947" s="30" t="str" cm="1">
        <f t="array" ref="V947">_xlfn.IFS(
ISNUMBER(SEARCH("USA",S947)),"United States",
ISNUMBER(SEARCH("Republic of Korea",S947)),"South Korea",
ISNUMBER(SEARCH("Cape Verde",S947)),"Cabo Verde",
ISNUMBER(SEARCH("Czechia",S947)),"Czech Republic",
ISNUMBER(SEARCH("Türkiye",S947)),"Turkey",
ISNUMBER(SEARCH("Ivory Coast",S947)),"Côte d'Ivoire",
ISNUMBER(SEARCH("Korea Republic",S947)),"South Korea",
ISNUMBER(SEARCH("Germany FR",S947)),"FR Germany",
ISNUMBER(SEARCH("West Germany",S947)),"FR Germany",
ISNUMBER(SEARCH("Germany DR",S947)),"DR Germany",
ISNUMBER(SEARCH("Korea DPR",S947)),"North Korea",
ISNUMBER(SEARCH("China PR",S947)),"China",
ISNUMBER(SEARCH("IR Iran",S947)),"Iran",
ISNUMBER(SEARCH("Congo DR",S947)),"Democratic Republic of the Congo",
ISNUMBER(SEARCH("DR Congo",S947)),"Democratic Republic of the Congo",
ISNUMBER(SEARCH("German DR",S947)),"DR Germany",
ISNUMBER(SEARCH("rn""&gt;United Arab Emirates",S947)),"United Arab Emirates",
ISNUMBER(SEARCH("rn""&gt;Republic of Ireland",S947)),"Ireland",
ISNUMBER(SEARCH("rn""&gt;Bosnia and Herzegovina",S947)),"Bosnia and Herzegovina",
ISNUMBER(SEARCH("rn""&gt;Trinidad and Tobago",S947)),"Trinidad and Tobago",
ISNUMBER(SEARCH("rn""&gt;Serbia and Montenegro",S947)),"Serbia and Montenegro",
ISNUMBER(SEARCH(_xlfn.UNICHAR(65533),S947)),"Côte d'Ivoire",
TRUE,""
)</f>
        <v/>
      </c>
      <c r="W947" s="30" t="str">
        <f t="shared" si="82"/>
        <v>France</v>
      </c>
      <c r="Z947" s="40" t="str">
        <v>Al Janoub Stadium</v>
      </c>
      <c r="AA947" s="40" t="str" cm="1">
        <f t="array" ref="AA947">IFERROR(_xlfn.XLOOKUP(Z947,_xlfn.ANCHORARRAY(Z$31),AA$31:AA$37),Z947)</f>
        <v>Al Janoub Stadium</v>
      </c>
      <c r="AB947" s="42" t="str">
        <v>Al Wakrah</v>
      </c>
      <c r="AC947" s="89" t="str">
        <f t="shared" si="83"/>
        <v>Al Wakrah</v>
      </c>
      <c r="AE947" s="42">
        <v>2018</v>
      </c>
      <c r="AK947" s="42">
        <v>2</v>
      </c>
      <c r="AL947" s="42">
        <v>1</v>
      </c>
      <c r="AW947" s="89" t="str">
        <v>GROUP_STAGE</v>
      </c>
      <c r="BE947" s="43" t="str">
        <f>IF(OR(DATA_CLEANED!AL938="",DATA_CLEANED!AM938=""),"MANQUANT",IF(OR(NOT(ISNUMBER(DATA_CLEANED!AL938)),NOT(ISNUMBER(DATA_CLEANED!AM938))),"ENTREE INVALIDE",IF(OR(DATA_CLEANED!AL938&lt;0,DATA_CLEANED!AM938&lt;0),"SCORE NEGATIF","OK")))</f>
        <v>OK</v>
      </c>
      <c r="BF947" s="43" t="str">
        <f>IF(DATA_CLEANED!AK938&lt;&gt;DATA_CLEANED!AN938,"OK","ERREUR")</f>
        <v>OK</v>
      </c>
      <c r="BG947" s="43" t="str">
        <f>IF(DATA_CLEANED!AL938&gt;DATA_CLEANED!AM938,DATA_CLEANED!AK938,IF(AND(DATA_QUALITE!W5424="-",DATA_CLEANED!AM938=DATA_CLEANED!AL938),"MATCH NUL",IF(AND(DATA_QUALITE!V5424="-",DATA_QUALITE!U5424="AUCUNE"),DATA_QUALITE!T5424,IF(DATA_QUALITE!V5424&lt;&gt;"-",DATA_QUALITE!V5424,DATA_CLEANED!AN938))))</f>
        <v>England</v>
      </c>
      <c r="BH947" s="103" t="str">
        <f>IF(AND(BG947="MATCH NUL",DATA_CLEANED!AO938="-"),"MATCH_NUL",IF(ISNUMBER(SEARCH("win on penalties",W5424)),"WIN_BY_PENALTY",IF(ISNUMBER(SEARCH("win after extra time",W5424)),"WIN_BY_EXTRA_TIME",IF(ISNUMBER(SEARCH("Golden Goal",W5424)),"WIN_BY_GOLDEN_GOAL","WIN_BY_SCORE"))))</f>
        <v>WIN_BY_SCORE</v>
      </c>
      <c r="BI947" s="99" t="str">
        <f>IF(OR(BG947=DATA_CLEANED!AK938,BG947=DATA_CLEANED!AN938,BG947="MATCH NUL"),"OK","ERREUR")</f>
        <v>OK</v>
      </c>
    </row>
    <row r="948" spans="2:61">
      <c r="B948" s="75">
        <v>511</v>
      </c>
      <c r="C948" s="15" t="str">
        <v>Parfait Guiagon</v>
      </c>
      <c r="D948" s="15">
        <v>25</v>
      </c>
      <c r="E948" s="15" t="str">
        <v>Côte d'Ivoire</v>
      </c>
      <c r="F948" s="15" t="str">
        <v>CM</v>
      </c>
      <c r="G948" s="15" t="str">
        <v>Charleroi</v>
      </c>
      <c r="H948" s="15">
        <v>25</v>
      </c>
      <c r="I948" s="15" t="str">
        <f t="shared" si="79"/>
        <v>511|Parfait Guiagon|25|Côte d'Ivoire|CM|Charleroi|25</v>
      </c>
      <c r="J948" s="15" t="str">
        <f>IF(COUNTIF(I$438:I948,I948)&gt;1,"DOUBLON","OK")</f>
        <v>OK</v>
      </c>
      <c r="S948" s="30" t="str">
        <v>Italy</v>
      </c>
      <c r="T948" s="30" t="str">
        <f t="shared" si="80"/>
        <v>OK</v>
      </c>
      <c r="U948" s="30" t="str">
        <f t="shared" si="81"/>
        <v>-</v>
      </c>
      <c r="V948" s="30" t="str" cm="1">
        <f t="array" ref="V948">_xlfn.IFS(
ISNUMBER(SEARCH("USA",S948)),"United States",
ISNUMBER(SEARCH("Republic of Korea",S948)),"South Korea",
ISNUMBER(SEARCH("Cape Verde",S948)),"Cabo Verde",
ISNUMBER(SEARCH("Czechia",S948)),"Czech Republic",
ISNUMBER(SEARCH("Türkiye",S948)),"Turkey",
ISNUMBER(SEARCH("Ivory Coast",S948)),"Côte d'Ivoire",
ISNUMBER(SEARCH("Korea Republic",S948)),"South Korea",
ISNUMBER(SEARCH("Germany FR",S948)),"FR Germany",
ISNUMBER(SEARCH("West Germany",S948)),"FR Germany",
ISNUMBER(SEARCH("Germany DR",S948)),"DR Germany",
ISNUMBER(SEARCH("Korea DPR",S948)),"North Korea",
ISNUMBER(SEARCH("China PR",S948)),"China",
ISNUMBER(SEARCH("IR Iran",S948)),"Iran",
ISNUMBER(SEARCH("Congo DR",S948)),"Democratic Republic of the Congo",
ISNUMBER(SEARCH("DR Congo",S948)),"Democratic Republic of the Congo",
ISNUMBER(SEARCH("German DR",S948)),"DR Germany",
ISNUMBER(SEARCH("rn""&gt;United Arab Emirates",S948)),"United Arab Emirates",
ISNUMBER(SEARCH("rn""&gt;Republic of Ireland",S948)),"Ireland",
ISNUMBER(SEARCH("rn""&gt;Bosnia and Herzegovina",S948)),"Bosnia and Herzegovina",
ISNUMBER(SEARCH("rn""&gt;Trinidad and Tobago",S948)),"Trinidad and Tobago",
ISNUMBER(SEARCH("rn""&gt;Serbia and Montenegro",S948)),"Serbia and Montenegro",
ISNUMBER(SEARCH(_xlfn.UNICHAR(65533),S948)),"Côte d'Ivoire",
TRUE,""
)</f>
        <v/>
      </c>
      <c r="W948" s="30" t="str">
        <f t="shared" si="82"/>
        <v>Italy</v>
      </c>
      <c r="Z948" s="40" t="str">
        <v>Al Bayt Stadium</v>
      </c>
      <c r="AA948" s="40" t="str" cm="1">
        <f t="array" ref="AA948">IFERROR(_xlfn.XLOOKUP(Z948,_xlfn.ANCHORARRAY(Z$31),AA$31:AA$37),Z948)</f>
        <v>Al Bayt Stadium</v>
      </c>
      <c r="AB948" s="42" t="str">
        <v>Al Khor</v>
      </c>
      <c r="AC948" s="89" t="str">
        <f t="shared" si="83"/>
        <v>Al Khor</v>
      </c>
      <c r="AE948" s="42">
        <v>2018</v>
      </c>
      <c r="AK948" s="42">
        <v>6</v>
      </c>
      <c r="AL948" s="42">
        <v>1</v>
      </c>
      <c r="AW948" s="89" t="str">
        <v>GROUP_STAGE</v>
      </c>
      <c r="BE948" s="43" t="str">
        <f>IF(OR(DATA_CLEANED!AL939="",DATA_CLEANED!AM939=""),"MANQUANT",IF(OR(NOT(ISNUMBER(DATA_CLEANED!AL939)),NOT(ISNUMBER(DATA_CLEANED!AM939))),"ENTREE INVALIDE",IF(OR(DATA_CLEANED!AL939&lt;0,DATA_CLEANED!AM939&lt;0),"SCORE NEGATIF","OK")))</f>
        <v>OK</v>
      </c>
      <c r="BF948" s="43" t="str">
        <f>IF(DATA_CLEANED!AK939&lt;&gt;DATA_CLEANED!AN939,"OK","ERREUR")</f>
        <v>OK</v>
      </c>
      <c r="BG948" s="43" t="str">
        <f>IF(DATA_CLEANED!AL939&gt;DATA_CLEANED!AM939,DATA_CLEANED!AK939,IF(AND(DATA_QUALITE!W5425="-",DATA_CLEANED!AM939=DATA_CLEANED!AL939),"MATCH NUL",IF(AND(DATA_QUALITE!V5425="-",DATA_QUALITE!U5425="AUCUNE"),DATA_QUALITE!T5425,IF(DATA_QUALITE!V5425&lt;&gt;"-",DATA_QUALITE!V5425,DATA_CLEANED!AN939))))</f>
        <v>Australia</v>
      </c>
      <c r="BH948" s="103" t="str">
        <f>IF(AND(BG948="MATCH NUL",DATA_CLEANED!AO939="-"),"MATCH_NUL",IF(ISNUMBER(SEARCH("win on penalties",W5425)),"WIN_BY_PENALTY",IF(ISNUMBER(SEARCH("win after extra time",W5425)),"WIN_BY_EXTRA_TIME",IF(ISNUMBER(SEARCH("Golden Goal",W5425)),"WIN_BY_GOLDEN_GOAL","WIN_BY_SCORE"))))</f>
        <v>WIN_BY_SCORE</v>
      </c>
      <c r="BI948" s="99" t="str">
        <f>IF(OR(BG948=DATA_CLEANED!AK939,BG948=DATA_CLEANED!AN939,BG948="MATCH NUL"),"OK","ERREUR")</f>
        <v>OK</v>
      </c>
    </row>
    <row r="949" spans="2:61">
      <c r="B949" s="75">
        <v>512</v>
      </c>
      <c r="C949" s="15" t="str">
        <v>Simon Adingra</v>
      </c>
      <c r="D949" s="15">
        <v>24</v>
      </c>
      <c r="E949" s="15" t="str">
        <v>Côte d'Ivoire</v>
      </c>
      <c r="F949" s="15" t="str">
        <v>LW</v>
      </c>
      <c r="G949" s="15" t="str">
        <v>Monaco</v>
      </c>
      <c r="H949" s="15">
        <v>10</v>
      </c>
      <c r="I949" s="15" t="str">
        <f t="shared" si="79"/>
        <v>512|Simon Adingra|24|Côte d'Ivoire|LW|Monaco|10</v>
      </c>
      <c r="J949" s="15" t="str">
        <f>IF(COUNTIF(I$438:I949,I949)&gt;1,"DOUBLON","OK")</f>
        <v>OK</v>
      </c>
      <c r="S949" s="30" t="str">
        <v>France</v>
      </c>
      <c r="T949" s="30" t="str">
        <f t="shared" si="80"/>
        <v>OK</v>
      </c>
      <c r="U949" s="30" t="str">
        <f t="shared" si="81"/>
        <v>-</v>
      </c>
      <c r="V949" s="30" t="str" cm="1">
        <f t="array" ref="V949">_xlfn.IFS(
ISNUMBER(SEARCH("USA",S949)),"United States",
ISNUMBER(SEARCH("Republic of Korea",S949)),"South Korea",
ISNUMBER(SEARCH("Cape Verde",S949)),"Cabo Verde",
ISNUMBER(SEARCH("Czechia",S949)),"Czech Republic",
ISNUMBER(SEARCH("Türkiye",S949)),"Turkey",
ISNUMBER(SEARCH("Ivory Coast",S949)),"Côte d'Ivoire",
ISNUMBER(SEARCH("Korea Republic",S949)),"South Korea",
ISNUMBER(SEARCH("Germany FR",S949)),"FR Germany",
ISNUMBER(SEARCH("West Germany",S949)),"FR Germany",
ISNUMBER(SEARCH("Germany DR",S949)),"DR Germany",
ISNUMBER(SEARCH("Korea DPR",S949)),"North Korea",
ISNUMBER(SEARCH("China PR",S949)),"China",
ISNUMBER(SEARCH("IR Iran",S949)),"Iran",
ISNUMBER(SEARCH("Congo DR",S949)),"Democratic Republic of the Congo",
ISNUMBER(SEARCH("DR Congo",S949)),"Democratic Republic of the Congo",
ISNUMBER(SEARCH("German DR",S949)),"DR Germany",
ISNUMBER(SEARCH("rn""&gt;United Arab Emirates",S949)),"United Arab Emirates",
ISNUMBER(SEARCH("rn""&gt;Republic of Ireland",S949)),"Ireland",
ISNUMBER(SEARCH("rn""&gt;Bosnia and Herzegovina",S949)),"Bosnia and Herzegovina",
ISNUMBER(SEARCH("rn""&gt;Trinidad and Tobago",S949)),"Trinidad and Tobago",
ISNUMBER(SEARCH("rn""&gt;Serbia and Montenegro",S949)),"Serbia and Montenegro",
ISNUMBER(SEARCH(_xlfn.UNICHAR(65533),S949)),"Côte d'Ivoire",
TRUE,""
)</f>
        <v/>
      </c>
      <c r="W949" s="30" t="str">
        <f t="shared" si="82"/>
        <v>France</v>
      </c>
      <c r="Z949" s="40" t="str">
        <v>Khalifa International Stadium</v>
      </c>
      <c r="AA949" s="40" t="str" cm="1">
        <f t="array" ref="AA949">IFERROR(_xlfn.XLOOKUP(Z949,_xlfn.ANCHORARRAY(Z$31),AA$31:AA$37),Z949)</f>
        <v>Khalifa International Stadium</v>
      </c>
      <c r="AB949" s="42" t="str">
        <v>Al Rayyan</v>
      </c>
      <c r="AC949" s="89" t="str">
        <f t="shared" si="83"/>
        <v>Al Rayyan</v>
      </c>
      <c r="AE949" s="42">
        <v>2018</v>
      </c>
      <c r="AK949" s="42">
        <v>2</v>
      </c>
      <c r="AL949" s="42">
        <v>2</v>
      </c>
      <c r="AW949" s="89" t="str">
        <v>GROUP_STAGE</v>
      </c>
      <c r="BE949" s="43" t="str">
        <f>IF(OR(DATA_CLEANED!AL940="",DATA_CLEANED!AM940=""),"MANQUANT",IF(OR(NOT(ISNUMBER(DATA_CLEANED!AL940)),NOT(ISNUMBER(DATA_CLEANED!AM940))),"ENTREE INVALIDE",IF(OR(DATA_CLEANED!AL940&lt;0,DATA_CLEANED!AM940&lt;0),"SCORE NEGATIF","OK")))</f>
        <v>OK</v>
      </c>
      <c r="BF949" s="43" t="str">
        <f>IF(DATA_CLEANED!AK940&lt;&gt;DATA_CLEANED!AN940,"OK","ERREUR")</f>
        <v>OK</v>
      </c>
      <c r="BG949" s="43" t="str">
        <f>IF(DATA_CLEANED!AL940&gt;DATA_CLEANED!AM940,DATA_CLEANED!AK940,IF(AND(DATA_QUALITE!W5426="-",DATA_CLEANED!AM940=DATA_CLEANED!AL940),"MATCH NUL",IF(AND(DATA_QUALITE!V5426="-",DATA_QUALITE!U5426="AUCUNE"),DATA_QUALITE!T5426,IF(DATA_QUALITE!V5426&lt;&gt;"-",DATA_QUALITE!V5426,DATA_CLEANED!AN940))))</f>
        <v>Tunisia</v>
      </c>
      <c r="BH949" s="103" t="str">
        <f>IF(AND(BG949="MATCH NUL",DATA_CLEANED!AO940="-"),"MATCH_NUL",IF(ISNUMBER(SEARCH("win on penalties",W5426)),"WIN_BY_PENALTY",IF(ISNUMBER(SEARCH("win after extra time",W5426)),"WIN_BY_EXTRA_TIME",IF(ISNUMBER(SEARCH("Golden Goal",W5426)),"WIN_BY_GOLDEN_GOAL","WIN_BY_SCORE"))))</f>
        <v>WIN_BY_SCORE</v>
      </c>
      <c r="BI949" s="99" t="str">
        <f>IF(OR(BG949=DATA_CLEANED!AK940,BG949=DATA_CLEANED!AN940,BG949="MATCH NUL"),"OK","ERREUR")</f>
        <v>OK</v>
      </c>
    </row>
    <row r="950" spans="2:61">
      <c r="B950" s="75">
        <v>513</v>
      </c>
      <c r="C950" s="15" t="str">
        <v>Amad Diallo</v>
      </c>
      <c r="D950" s="15">
        <v>23</v>
      </c>
      <c r="E950" s="15" t="str">
        <v>Côte d'Ivoire</v>
      </c>
      <c r="F950" s="15" t="str">
        <v>LW</v>
      </c>
      <c r="G950" s="15" t="str">
        <v>Manchester United</v>
      </c>
      <c r="H950" s="15">
        <v>15</v>
      </c>
      <c r="I950" s="15" t="str">
        <f t="shared" si="79"/>
        <v>513|Amad Diallo|23|Côte d'Ivoire|LW|Manchester United|15</v>
      </c>
      <c r="J950" s="15" t="str">
        <f>IF(COUNTIF(I$438:I950,I950)&gt;1,"DOUBLON","OK")</f>
        <v>OK</v>
      </c>
      <c r="S950" s="30" t="str">
        <v>Italy</v>
      </c>
      <c r="T950" s="30" t="str">
        <f t="shared" si="80"/>
        <v>OK</v>
      </c>
      <c r="U950" s="30" t="str">
        <f t="shared" si="81"/>
        <v>-</v>
      </c>
      <c r="V950" s="30" t="str" cm="1">
        <f t="array" ref="V950">_xlfn.IFS(
ISNUMBER(SEARCH("USA",S950)),"United States",
ISNUMBER(SEARCH("Republic of Korea",S950)),"South Korea",
ISNUMBER(SEARCH("Cape Verde",S950)),"Cabo Verde",
ISNUMBER(SEARCH("Czechia",S950)),"Czech Republic",
ISNUMBER(SEARCH("Türkiye",S950)),"Turkey",
ISNUMBER(SEARCH("Ivory Coast",S950)),"Côte d'Ivoire",
ISNUMBER(SEARCH("Korea Republic",S950)),"South Korea",
ISNUMBER(SEARCH("Germany FR",S950)),"FR Germany",
ISNUMBER(SEARCH("West Germany",S950)),"FR Germany",
ISNUMBER(SEARCH("Germany DR",S950)),"DR Germany",
ISNUMBER(SEARCH("Korea DPR",S950)),"North Korea",
ISNUMBER(SEARCH("China PR",S950)),"China",
ISNUMBER(SEARCH("IR Iran",S950)),"Iran",
ISNUMBER(SEARCH("Congo DR",S950)),"Democratic Republic of the Congo",
ISNUMBER(SEARCH("DR Congo",S950)),"Democratic Republic of the Congo",
ISNUMBER(SEARCH("German DR",S950)),"DR Germany",
ISNUMBER(SEARCH("rn""&gt;United Arab Emirates",S950)),"United Arab Emirates",
ISNUMBER(SEARCH("rn""&gt;Republic of Ireland",S950)),"Ireland",
ISNUMBER(SEARCH("rn""&gt;Bosnia and Herzegovina",S950)),"Bosnia and Herzegovina",
ISNUMBER(SEARCH("rn""&gt;Trinidad and Tobago",S950)),"Trinidad and Tobago",
ISNUMBER(SEARCH("rn""&gt;Serbia and Montenegro",S950)),"Serbia and Montenegro",
ISNUMBER(SEARCH(_xlfn.UNICHAR(65533),S950)),"Côte d'Ivoire",
TRUE,""
)</f>
        <v/>
      </c>
      <c r="W950" s="30" t="str">
        <f t="shared" si="82"/>
        <v>Italy</v>
      </c>
      <c r="Z950" s="40" t="str">
        <v>Al Thumama Stadium</v>
      </c>
      <c r="AA950" s="40" t="str" cm="1">
        <f t="array" ref="AA950">IFERROR(_xlfn.XLOOKUP(Z950,_xlfn.ANCHORARRAY(Z$31),AA$31:AA$37),Z950)</f>
        <v>Al Thumama Stadium</v>
      </c>
      <c r="AB950" s="42" t="str">
        <v>Doha</v>
      </c>
      <c r="AC950" s="89" t="str">
        <f t="shared" si="83"/>
        <v>Doha</v>
      </c>
      <c r="AE950" s="42">
        <v>2018</v>
      </c>
      <c r="AK950" s="42">
        <v>0</v>
      </c>
      <c r="AL950" s="42">
        <v>3</v>
      </c>
      <c r="AW950" s="89" t="str">
        <v>GROUP_STAGE</v>
      </c>
      <c r="BE950" s="43" t="str">
        <f>IF(OR(DATA_CLEANED!AL941="",DATA_CLEANED!AM941=""),"MANQUANT",IF(OR(NOT(ISNUMBER(DATA_CLEANED!AL941)),NOT(ISNUMBER(DATA_CLEANED!AM941))),"ENTREE INVALIDE",IF(OR(DATA_CLEANED!AL941&lt;0,DATA_CLEANED!AM941&lt;0),"SCORE NEGATIF","OK")))</f>
        <v>OK</v>
      </c>
      <c r="BF950" s="43" t="str">
        <f>IF(DATA_CLEANED!AK941&lt;&gt;DATA_CLEANED!AN941,"OK","ERREUR")</f>
        <v>OK</v>
      </c>
      <c r="BG950" s="43" t="str">
        <f>IF(DATA_CLEANED!AL941&gt;DATA_CLEANED!AM941,DATA_CLEANED!AK941,IF(AND(DATA_QUALITE!W5427="-",DATA_CLEANED!AM941=DATA_CLEANED!AL941),"MATCH NUL",IF(AND(DATA_QUALITE!V5427="-",DATA_QUALITE!U5427="AUCUNE"),DATA_QUALITE!T5427,IF(DATA_QUALITE!V5427&lt;&gt;"-",DATA_QUALITE!V5427,DATA_CLEANED!AN941))))</f>
        <v>Argentina</v>
      </c>
      <c r="BH950" s="103" t="str">
        <f>IF(AND(BG950="MATCH NUL",DATA_CLEANED!AO941="-"),"MATCH_NUL",IF(ISNUMBER(SEARCH("win on penalties",W5427)),"WIN_BY_PENALTY",IF(ISNUMBER(SEARCH("win after extra time",W5427)),"WIN_BY_EXTRA_TIME",IF(ISNUMBER(SEARCH("Golden Goal",W5427)),"WIN_BY_GOLDEN_GOAL","WIN_BY_SCORE"))))</f>
        <v>WIN_BY_SCORE</v>
      </c>
      <c r="BI950" s="99" t="str">
        <f>IF(OR(BG950=DATA_CLEANED!AK941,BG950=DATA_CLEANED!AN941,BG950="MATCH NUL"),"OK","ERREUR")</f>
        <v>OK</v>
      </c>
    </row>
    <row r="951" spans="2:61">
      <c r="B951" s="75">
        <v>514</v>
      </c>
      <c r="C951" s="15" t="str">
        <v>Bazoumana Touré</v>
      </c>
      <c r="D951" s="15">
        <v>20</v>
      </c>
      <c r="E951" s="15" t="str">
        <v>Côte d'Ivoire</v>
      </c>
      <c r="F951" s="15" t="str">
        <v>LW</v>
      </c>
      <c r="G951" s="15" t="str">
        <v>TSG Hoffenheim</v>
      </c>
      <c r="H951" s="15">
        <v>24</v>
      </c>
      <c r="I951" s="15" t="str">
        <f t="shared" ref="I951:I1014" si="84">B951&amp;"|"&amp;C951&amp;"|"&amp;D951&amp;"|"&amp;E951&amp;"|"&amp;F951&amp;"|"&amp;G951&amp;"|"&amp;H951</f>
        <v>514|Bazoumana Touré|20|Côte d'Ivoire|LW|TSG Hoffenheim|24</v>
      </c>
      <c r="J951" s="15" t="str">
        <f>IF(COUNTIF(I$438:I951,I951)&gt;1,"DOUBLON","OK")</f>
        <v>OK</v>
      </c>
      <c r="S951" s="30" t="str">
        <v>Paraguay</v>
      </c>
      <c r="T951" s="30" t="str">
        <f t="shared" si="80"/>
        <v>OK</v>
      </c>
      <c r="U951" s="30" t="str">
        <f t="shared" si="81"/>
        <v>-</v>
      </c>
      <c r="V951" s="30" t="str" cm="1">
        <f t="array" ref="V951">_xlfn.IFS(
ISNUMBER(SEARCH("USA",S951)),"United States",
ISNUMBER(SEARCH("Republic of Korea",S951)),"South Korea",
ISNUMBER(SEARCH("Cape Verde",S951)),"Cabo Verde",
ISNUMBER(SEARCH("Czechia",S951)),"Czech Republic",
ISNUMBER(SEARCH("Türkiye",S951)),"Turkey",
ISNUMBER(SEARCH("Ivory Coast",S951)),"Côte d'Ivoire",
ISNUMBER(SEARCH("Korea Republic",S951)),"South Korea",
ISNUMBER(SEARCH("Germany FR",S951)),"FR Germany",
ISNUMBER(SEARCH("West Germany",S951)),"FR Germany",
ISNUMBER(SEARCH("Germany DR",S951)),"DR Germany",
ISNUMBER(SEARCH("Korea DPR",S951)),"North Korea",
ISNUMBER(SEARCH("China PR",S951)),"China",
ISNUMBER(SEARCH("IR Iran",S951)),"Iran",
ISNUMBER(SEARCH("Congo DR",S951)),"Democratic Republic of the Congo",
ISNUMBER(SEARCH("DR Congo",S951)),"Democratic Republic of the Congo",
ISNUMBER(SEARCH("German DR",S951)),"DR Germany",
ISNUMBER(SEARCH("rn""&gt;United Arab Emirates",S951)),"United Arab Emirates",
ISNUMBER(SEARCH("rn""&gt;Republic of Ireland",S951)),"Ireland",
ISNUMBER(SEARCH("rn""&gt;Bosnia and Herzegovina",S951)),"Bosnia and Herzegovina",
ISNUMBER(SEARCH("rn""&gt;Trinidad and Tobago",S951)),"Trinidad and Tobago",
ISNUMBER(SEARCH("rn""&gt;Serbia and Montenegro",S951)),"Serbia and Montenegro",
ISNUMBER(SEARCH(_xlfn.UNICHAR(65533),S951)),"Côte d'Ivoire",
TRUE,""
)</f>
        <v/>
      </c>
      <c r="W951" s="30" t="str">
        <f t="shared" si="82"/>
        <v>Paraguay</v>
      </c>
      <c r="Z951" s="40" t="str">
        <v>Ahmad bin Ali Stadium</v>
      </c>
      <c r="AA951" s="40" t="str" cm="1">
        <f t="array" ref="AA951">IFERROR(_xlfn.XLOOKUP(Z951,_xlfn.ANCHORARRAY(Z$31),AA$31:AA$37),Z951)</f>
        <v>Ahmad bin Ali Stadium</v>
      </c>
      <c r="AB951" s="42" t="str">
        <v>Al Rayyan</v>
      </c>
      <c r="AC951" s="89" t="str">
        <f t="shared" si="83"/>
        <v>Al Rayyan</v>
      </c>
      <c r="AE951" s="42">
        <v>2018</v>
      </c>
      <c r="AK951" s="42">
        <v>2</v>
      </c>
      <c r="AL951" s="42">
        <v>1</v>
      </c>
      <c r="AW951" s="89" t="str">
        <v>GROUP_STAGE</v>
      </c>
      <c r="BE951" s="43" t="str">
        <f>IF(OR(DATA_CLEANED!AL942="",DATA_CLEANED!AM942=""),"MANQUANT",IF(OR(NOT(ISNUMBER(DATA_CLEANED!AL942)),NOT(ISNUMBER(DATA_CLEANED!AM942))),"ENTREE INVALIDE",IF(OR(DATA_CLEANED!AL942&lt;0,DATA_CLEANED!AM942&lt;0),"SCORE NEGATIF","OK")))</f>
        <v>OK</v>
      </c>
      <c r="BF951" s="43" t="str">
        <f>IF(DATA_CLEANED!AK942&lt;&gt;DATA_CLEANED!AN942,"OK","ERREUR")</f>
        <v>OK</v>
      </c>
      <c r="BG951" s="43" t="str">
        <f>IF(DATA_CLEANED!AL942&gt;DATA_CLEANED!AM942,DATA_CLEANED!AK942,IF(AND(DATA_QUALITE!W5428="-",DATA_CLEANED!AM942=DATA_CLEANED!AL942),"MATCH NUL",IF(AND(DATA_QUALITE!V5428="-",DATA_QUALITE!U5428="AUCUNE"),DATA_QUALITE!T5428,IF(DATA_QUALITE!V5428&lt;&gt;"-",DATA_QUALITE!V5428,DATA_CLEANED!AN942))))</f>
        <v>Mexico</v>
      </c>
      <c r="BH951" s="103" t="str">
        <f>IF(AND(BG951="MATCH NUL",DATA_CLEANED!AO942="-"),"MATCH_NUL",IF(ISNUMBER(SEARCH("win on penalties",W5428)),"WIN_BY_PENALTY",IF(ISNUMBER(SEARCH("win after extra time",W5428)),"WIN_BY_EXTRA_TIME",IF(ISNUMBER(SEARCH("Golden Goal",W5428)),"WIN_BY_GOLDEN_GOAL","WIN_BY_SCORE"))))</f>
        <v>WIN_BY_SCORE</v>
      </c>
      <c r="BI951" s="99" t="str">
        <f>IF(OR(BG951=DATA_CLEANED!AK942,BG951=DATA_CLEANED!AN942,BG951="MATCH NUL"),"OK","ERREUR")</f>
        <v>OK</v>
      </c>
    </row>
    <row r="952" spans="2:61">
      <c r="B952" s="75">
        <v>515</v>
      </c>
      <c r="C952" s="15" t="str">
        <v>Nicolas Pépé</v>
      </c>
      <c r="D952" s="15">
        <v>31</v>
      </c>
      <c r="E952" s="15" t="str">
        <v>Côte d'Ivoire</v>
      </c>
      <c r="F952" s="15" t="str">
        <v>RW</v>
      </c>
      <c r="G952" s="15" t="str">
        <v>Villarreal</v>
      </c>
      <c r="H952" s="15">
        <v>19</v>
      </c>
      <c r="I952" s="15" t="str">
        <f t="shared" si="84"/>
        <v>515|Nicolas Pépé|31|Côte d'Ivoire|RW|Villarreal|19</v>
      </c>
      <c r="J952" s="15" t="str">
        <f>IF(COUNTIF(I$438:I952,I952)&gt;1,"DOUBLON","OK")</f>
        <v>OK</v>
      </c>
      <c r="S952" s="30" t="str">
        <v>Japan</v>
      </c>
      <c r="T952" s="30" t="str">
        <f t="shared" si="80"/>
        <v>OK</v>
      </c>
      <c r="U952" s="30" t="str">
        <f t="shared" si="81"/>
        <v>-</v>
      </c>
      <c r="V952" s="30" t="str" cm="1">
        <f t="array" ref="V952">_xlfn.IFS(
ISNUMBER(SEARCH("USA",S952)),"United States",
ISNUMBER(SEARCH("Republic of Korea",S952)),"South Korea",
ISNUMBER(SEARCH("Cape Verde",S952)),"Cabo Verde",
ISNUMBER(SEARCH("Czechia",S952)),"Czech Republic",
ISNUMBER(SEARCH("Türkiye",S952)),"Turkey",
ISNUMBER(SEARCH("Ivory Coast",S952)),"Côte d'Ivoire",
ISNUMBER(SEARCH("Korea Republic",S952)),"South Korea",
ISNUMBER(SEARCH("Germany FR",S952)),"FR Germany",
ISNUMBER(SEARCH("West Germany",S952)),"FR Germany",
ISNUMBER(SEARCH("Germany DR",S952)),"DR Germany",
ISNUMBER(SEARCH("Korea DPR",S952)),"North Korea",
ISNUMBER(SEARCH("China PR",S952)),"China",
ISNUMBER(SEARCH("IR Iran",S952)),"Iran",
ISNUMBER(SEARCH("Congo DR",S952)),"Democratic Republic of the Congo",
ISNUMBER(SEARCH("DR Congo",S952)),"Democratic Republic of the Congo",
ISNUMBER(SEARCH("German DR",S952)),"DR Germany",
ISNUMBER(SEARCH("rn""&gt;United Arab Emirates",S952)),"United Arab Emirates",
ISNUMBER(SEARCH("rn""&gt;Republic of Ireland",S952)),"Ireland",
ISNUMBER(SEARCH("rn""&gt;Bosnia and Herzegovina",S952)),"Bosnia and Herzegovina",
ISNUMBER(SEARCH("rn""&gt;Trinidad and Tobago",S952)),"Trinidad and Tobago",
ISNUMBER(SEARCH("rn""&gt;Serbia and Montenegro",S952)),"Serbia and Montenegro",
ISNUMBER(SEARCH(_xlfn.UNICHAR(65533),S952)),"Côte d'Ivoire",
TRUE,""
)</f>
        <v/>
      </c>
      <c r="W952" s="30" t="str">
        <f t="shared" si="82"/>
        <v>Japan</v>
      </c>
      <c r="Z952" s="40" t="str">
        <v>Al Janoub Stadium</v>
      </c>
      <c r="AA952" s="40" t="str" cm="1">
        <f t="array" ref="AA952">IFERROR(_xlfn.XLOOKUP(Z952,_xlfn.ANCHORARRAY(Z$31),AA$31:AA$37),Z952)</f>
        <v>Al Janoub Stadium</v>
      </c>
      <c r="AB952" s="42" t="str">
        <v>Al Wakrah</v>
      </c>
      <c r="AC952" s="89" t="str">
        <f t="shared" si="83"/>
        <v>Al Wakrah</v>
      </c>
      <c r="AE952" s="42">
        <v>2018</v>
      </c>
      <c r="AK952" s="42">
        <v>3</v>
      </c>
      <c r="AL952" s="42">
        <v>0</v>
      </c>
      <c r="AW952" s="89" t="str">
        <v>GROUP_STAGE</v>
      </c>
      <c r="BE952" s="43" t="str">
        <f>IF(OR(DATA_CLEANED!AL943="",DATA_CLEANED!AM943=""),"MANQUANT",IF(OR(NOT(ISNUMBER(DATA_CLEANED!AL943)),NOT(ISNUMBER(DATA_CLEANED!AM943))),"ENTREE INVALIDE",IF(OR(DATA_CLEANED!AL943&lt;0,DATA_CLEANED!AM943&lt;0),"SCORE NEGATIF","OK")))</f>
        <v>OK</v>
      </c>
      <c r="BF952" s="43" t="str">
        <f>IF(DATA_CLEANED!AK943&lt;&gt;DATA_CLEANED!AN943,"OK","ERREUR")</f>
        <v>OK</v>
      </c>
      <c r="BG952" s="43" t="str">
        <f>IF(DATA_CLEANED!AL943&gt;DATA_CLEANED!AM943,DATA_CLEANED!AK943,IF(AND(DATA_QUALITE!W5429="-",DATA_CLEANED!AM943=DATA_CLEANED!AL943),"MATCH NUL",IF(AND(DATA_QUALITE!V5429="-",DATA_QUALITE!U5429="AUCUNE"),DATA_QUALITE!T5429,IF(DATA_QUALITE!V5429&lt;&gt;"-",DATA_QUALITE!V5429,DATA_CLEANED!AN943))))</f>
        <v>Morocco</v>
      </c>
      <c r="BH952" s="103" t="str">
        <f>IF(AND(BG952="MATCH NUL",DATA_CLEANED!AO943="-"),"MATCH_NUL",IF(ISNUMBER(SEARCH("win on penalties",W5429)),"WIN_BY_PENALTY",IF(ISNUMBER(SEARCH("win after extra time",W5429)),"WIN_BY_EXTRA_TIME",IF(ISNUMBER(SEARCH("Golden Goal",W5429)),"WIN_BY_GOLDEN_GOAL","WIN_BY_SCORE"))))</f>
        <v>WIN_BY_SCORE</v>
      </c>
      <c r="BI952" s="99" t="str">
        <f>IF(OR(BG952=DATA_CLEANED!AK943,BG952=DATA_CLEANED!AN943,BG952="MATCH NUL"),"OK","ERREUR")</f>
        <v>OK</v>
      </c>
    </row>
    <row r="953" spans="2:61">
      <c r="B953" s="75">
        <v>516</v>
      </c>
      <c r="C953" s="15" t="str">
        <v>Ange-Yoan Bonny</v>
      </c>
      <c r="D953" s="15">
        <v>22</v>
      </c>
      <c r="E953" s="15" t="str">
        <v>Côte d'Ivoire</v>
      </c>
      <c r="F953" s="15" t="str">
        <v>ST</v>
      </c>
      <c r="G953" s="15" t="str">
        <v>Inter Milan</v>
      </c>
      <c r="H953" s="15">
        <v>9</v>
      </c>
      <c r="I953" s="15" t="str">
        <f t="shared" si="84"/>
        <v>516|Ange-Yoan Bonny|22|Côte d'Ivoire|ST|Inter Milan|9</v>
      </c>
      <c r="J953" s="15" t="str">
        <f>IF(COUNTIF(I$438:I953,I953)&gt;1,"DOUBLON","OK")</f>
        <v>OK</v>
      </c>
      <c r="S953" s="30" t="str">
        <v>Paraguay</v>
      </c>
      <c r="T953" s="30" t="str">
        <f t="shared" si="80"/>
        <v>OK</v>
      </c>
      <c r="U953" s="30" t="str">
        <f t="shared" si="81"/>
        <v>-</v>
      </c>
      <c r="V953" s="30" t="str" cm="1">
        <f t="array" ref="V953">_xlfn.IFS(
ISNUMBER(SEARCH("USA",S953)),"United States",
ISNUMBER(SEARCH("Republic of Korea",S953)),"South Korea",
ISNUMBER(SEARCH("Cape Verde",S953)),"Cabo Verde",
ISNUMBER(SEARCH("Czechia",S953)),"Czech Republic",
ISNUMBER(SEARCH("Türkiye",S953)),"Turkey",
ISNUMBER(SEARCH("Ivory Coast",S953)),"Côte d'Ivoire",
ISNUMBER(SEARCH("Korea Republic",S953)),"South Korea",
ISNUMBER(SEARCH("Germany FR",S953)),"FR Germany",
ISNUMBER(SEARCH("West Germany",S953)),"FR Germany",
ISNUMBER(SEARCH("Germany DR",S953)),"DR Germany",
ISNUMBER(SEARCH("Korea DPR",S953)),"North Korea",
ISNUMBER(SEARCH("China PR",S953)),"China",
ISNUMBER(SEARCH("IR Iran",S953)),"Iran",
ISNUMBER(SEARCH("Congo DR",S953)),"Democratic Republic of the Congo",
ISNUMBER(SEARCH("DR Congo",S953)),"Democratic Republic of the Congo",
ISNUMBER(SEARCH("German DR",S953)),"DR Germany",
ISNUMBER(SEARCH("rn""&gt;United Arab Emirates",S953)),"United Arab Emirates",
ISNUMBER(SEARCH("rn""&gt;Republic of Ireland",S953)),"Ireland",
ISNUMBER(SEARCH("rn""&gt;Bosnia and Herzegovina",S953)),"Bosnia and Herzegovina",
ISNUMBER(SEARCH("rn""&gt;Trinidad and Tobago",S953)),"Trinidad and Tobago",
ISNUMBER(SEARCH("rn""&gt;Serbia and Montenegro",S953)),"Serbia and Montenegro",
ISNUMBER(SEARCH(_xlfn.UNICHAR(65533),S953)),"Côte d'Ivoire",
TRUE,""
)</f>
        <v/>
      </c>
      <c r="W953" s="30" t="str">
        <f t="shared" si="82"/>
        <v>Paraguay</v>
      </c>
      <c r="Z953" s="40" t="str">
        <v>Education City Stadium</v>
      </c>
      <c r="AA953" s="40" t="str" cm="1">
        <f t="array" ref="AA953">IFERROR(_xlfn.XLOOKUP(Z953,_xlfn.ANCHORARRAY(Z$31),AA$31:AA$37),Z953)</f>
        <v>Education City Stadium</v>
      </c>
      <c r="AB953" s="42" t="str">
        <v>Al Rayyan</v>
      </c>
      <c r="AC953" s="89" t="str">
        <f t="shared" si="83"/>
        <v>Al Rayyan</v>
      </c>
      <c r="AE953" s="42">
        <v>2018</v>
      </c>
      <c r="AK953" s="42">
        <v>2</v>
      </c>
      <c r="AL953" s="42">
        <v>2</v>
      </c>
      <c r="AW953" s="89" t="str">
        <v>GROUP_STAGE</v>
      </c>
      <c r="BE953" s="43" t="str">
        <f>IF(OR(DATA_CLEANED!AL944="",DATA_CLEANED!AM944=""),"MANQUANT",IF(OR(NOT(ISNUMBER(DATA_CLEANED!AL944)),NOT(ISNUMBER(DATA_CLEANED!AM944))),"ENTREE INVALIDE",IF(OR(DATA_CLEANED!AL944&lt;0,DATA_CLEANED!AM944&lt;0),"SCORE NEGATIF","OK")))</f>
        <v>OK</v>
      </c>
      <c r="BF953" s="43" t="str">
        <f>IF(DATA_CLEANED!AK944&lt;&gt;DATA_CLEANED!AN944,"OK","ERREUR")</f>
        <v>OK</v>
      </c>
      <c r="BG953" s="43" t="str">
        <f>IF(DATA_CLEANED!AL944&gt;DATA_CLEANED!AM944,DATA_CLEANED!AK944,IF(AND(DATA_QUALITE!W5430="-",DATA_CLEANED!AM944=DATA_CLEANED!AL944),"MATCH NUL",IF(AND(DATA_QUALITE!V5430="-",DATA_QUALITE!U5430="AUCUNE"),DATA_QUALITE!T5430,IF(DATA_QUALITE!V5430&lt;&gt;"-",DATA_QUALITE!V5430,DATA_CLEANED!AN944))))</f>
        <v>MATCH NUL</v>
      </c>
      <c r="BH953" s="103" t="str">
        <f>IF(AND(BG953="MATCH NUL",DATA_CLEANED!AO944="-"),"MATCH_NUL",IF(ISNUMBER(SEARCH("win on penalties",W5430)),"WIN_BY_PENALTY",IF(ISNUMBER(SEARCH("win after extra time",W5430)),"WIN_BY_EXTRA_TIME",IF(ISNUMBER(SEARCH("Golden Goal",W5430)),"WIN_BY_GOLDEN_GOAL","WIN_BY_SCORE"))))</f>
        <v>MATCH_NUL</v>
      </c>
      <c r="BI953" s="99" t="str">
        <f>IF(OR(BG953=DATA_CLEANED!AK944,BG953=DATA_CLEANED!AN944,BG953="MATCH NUL"),"OK","ERREUR")</f>
        <v>OK</v>
      </c>
    </row>
    <row r="954" spans="2:61">
      <c r="B954" s="75">
        <v>517</v>
      </c>
      <c r="C954" s="15" t="str">
        <v>Yan Diomande</v>
      </c>
      <c r="D954" s="15">
        <v>19</v>
      </c>
      <c r="E954" s="15" t="str">
        <v>Côte d'Ivoire</v>
      </c>
      <c r="F954" s="15" t="str">
        <v>ST</v>
      </c>
      <c r="G954" s="15" t="str">
        <v>RB Leipzig</v>
      </c>
      <c r="H954" s="15">
        <v>11</v>
      </c>
      <c r="I954" s="15" t="str">
        <f t="shared" si="84"/>
        <v>517|Yan Diomande|19|Côte d'Ivoire|ST|RB Leipzig|11</v>
      </c>
      <c r="J954" s="15" t="str">
        <f>IF(COUNTIF(I$438:I954,I954)&gt;1,"DOUBLON","OK")</f>
        <v>OK</v>
      </c>
      <c r="S954" s="30" t="str">
        <v>Japan</v>
      </c>
      <c r="T954" s="30" t="str">
        <f t="shared" si="80"/>
        <v>OK</v>
      </c>
      <c r="U954" s="30" t="str">
        <f t="shared" si="81"/>
        <v>-</v>
      </c>
      <c r="V954" s="30" t="str" cm="1">
        <f t="array" ref="V954">_xlfn.IFS(
ISNUMBER(SEARCH("USA",S954)),"United States",
ISNUMBER(SEARCH("Republic of Korea",S954)),"South Korea",
ISNUMBER(SEARCH("Cape Verde",S954)),"Cabo Verde",
ISNUMBER(SEARCH("Czechia",S954)),"Czech Republic",
ISNUMBER(SEARCH("Türkiye",S954)),"Turkey",
ISNUMBER(SEARCH("Ivory Coast",S954)),"Côte d'Ivoire",
ISNUMBER(SEARCH("Korea Republic",S954)),"South Korea",
ISNUMBER(SEARCH("Germany FR",S954)),"FR Germany",
ISNUMBER(SEARCH("West Germany",S954)),"FR Germany",
ISNUMBER(SEARCH("Germany DR",S954)),"DR Germany",
ISNUMBER(SEARCH("Korea DPR",S954)),"North Korea",
ISNUMBER(SEARCH("China PR",S954)),"China",
ISNUMBER(SEARCH("IR Iran",S954)),"Iran",
ISNUMBER(SEARCH("Congo DR",S954)),"Democratic Republic of the Congo",
ISNUMBER(SEARCH("DR Congo",S954)),"Democratic Republic of the Congo",
ISNUMBER(SEARCH("German DR",S954)),"DR Germany",
ISNUMBER(SEARCH("rn""&gt;United Arab Emirates",S954)),"United Arab Emirates",
ISNUMBER(SEARCH("rn""&gt;Republic of Ireland",S954)),"Ireland",
ISNUMBER(SEARCH("rn""&gt;Bosnia and Herzegovina",S954)),"Bosnia and Herzegovina",
ISNUMBER(SEARCH("rn""&gt;Trinidad and Tobago",S954)),"Trinidad and Tobago",
ISNUMBER(SEARCH("rn""&gt;Serbia and Montenegro",S954)),"Serbia and Montenegro",
ISNUMBER(SEARCH(_xlfn.UNICHAR(65533),S954)),"Côte d'Ivoire",
TRUE,""
)</f>
        <v/>
      </c>
      <c r="W954" s="30" t="str">
        <f t="shared" si="82"/>
        <v>Japan</v>
      </c>
      <c r="Z954" s="40" t="str">
        <v>Stadium 974</v>
      </c>
      <c r="AA954" s="40" t="str" cm="1">
        <f t="array" ref="AA954">IFERROR(_xlfn.XLOOKUP(Z954,_xlfn.ANCHORARRAY(Z$31),AA$31:AA$37),Z954)</f>
        <v>Stadium 974</v>
      </c>
      <c r="AB954" s="42" t="str">
        <v>Doha</v>
      </c>
      <c r="AC954" s="89" t="str">
        <f t="shared" si="83"/>
        <v>Doha</v>
      </c>
      <c r="AE954" s="42">
        <v>2018</v>
      </c>
      <c r="AK954" s="42">
        <v>1</v>
      </c>
      <c r="AL954" s="42">
        <v>1</v>
      </c>
      <c r="AW954" s="89" t="str">
        <v>GROUP_STAGE</v>
      </c>
      <c r="BE954" s="43" t="str">
        <f>IF(OR(DATA_CLEANED!AL945="",DATA_CLEANED!AM945=""),"MANQUANT",IF(OR(NOT(ISNUMBER(DATA_CLEANED!AL945)),NOT(ISNUMBER(DATA_CLEANED!AM945))),"ENTREE INVALIDE",IF(OR(DATA_CLEANED!AL945&lt;0,DATA_CLEANED!AM945&lt;0),"SCORE NEGATIF","OK")))</f>
        <v>OK</v>
      </c>
      <c r="BF954" s="43" t="str">
        <f>IF(DATA_CLEANED!AK945&lt;&gt;DATA_CLEANED!AN945,"OK","ERREUR")</f>
        <v>OK</v>
      </c>
      <c r="BG954" s="43" t="str">
        <f>IF(DATA_CLEANED!AL945&gt;DATA_CLEANED!AM945,DATA_CLEANED!AK945,IF(AND(DATA_QUALITE!W5431="-",DATA_CLEANED!AM945=DATA_CLEANED!AL945),"MATCH NUL",IF(AND(DATA_QUALITE!V5431="-",DATA_QUALITE!U5431="AUCUNE"),DATA_QUALITE!T5431,IF(DATA_QUALITE!V5431&lt;&gt;"-",DATA_QUALITE!V5431,DATA_CLEANED!AN945))))</f>
        <v>Germany</v>
      </c>
      <c r="BH954" s="103" t="str">
        <f>IF(AND(BG954="MATCH NUL",DATA_CLEANED!AO945="-"),"MATCH_NUL",IF(ISNUMBER(SEARCH("win on penalties",W5431)),"WIN_BY_PENALTY",IF(ISNUMBER(SEARCH("win after extra time",W5431)),"WIN_BY_EXTRA_TIME",IF(ISNUMBER(SEARCH("Golden Goal",W5431)),"WIN_BY_GOLDEN_GOAL","WIN_BY_SCORE"))))</f>
        <v>WIN_BY_SCORE</v>
      </c>
      <c r="BI954" s="99" t="str">
        <f>IF(OR(BG954=DATA_CLEANED!AK945,BG954=DATA_CLEANED!AN945,BG954="MATCH NUL"),"OK","ERREUR")</f>
        <v>OK</v>
      </c>
    </row>
    <row r="955" spans="2:61">
      <c r="B955" s="75">
        <v>518</v>
      </c>
      <c r="C955" s="15" t="str">
        <v>Elye Wahi</v>
      </c>
      <c r="D955" s="15">
        <v>23</v>
      </c>
      <c r="E955" s="15" t="str">
        <v>Côte d'Ivoire</v>
      </c>
      <c r="F955" s="15" t="str">
        <v>ST</v>
      </c>
      <c r="G955" s="15" t="str">
        <v>Nice</v>
      </c>
      <c r="H955" s="15">
        <v>12</v>
      </c>
      <c r="I955" s="15" t="str">
        <f t="shared" si="84"/>
        <v>518|Elye Wahi|23|Côte d'Ivoire|ST|Nice|12</v>
      </c>
      <c r="J955" s="15" t="str">
        <f>IF(COUNTIF(I$438:I955,I955)&gt;1,"DOUBLON","OK")</f>
        <v>OK</v>
      </c>
      <c r="S955" s="30" t="str">
        <v>Paraguay</v>
      </c>
      <c r="T955" s="30" t="str">
        <f t="shared" ref="T955:T1018" si="85">IF(COUNTIF(R$21:R$250,S955)=1,"OK","ERREUR")</f>
        <v>OK</v>
      </c>
      <c r="U955" s="30" t="str">
        <f t="shared" si="81"/>
        <v>-</v>
      </c>
      <c r="V955" s="30" t="str" cm="1">
        <f t="array" ref="V955">_xlfn.IFS(
ISNUMBER(SEARCH("USA",S955)),"United States",
ISNUMBER(SEARCH("Republic of Korea",S955)),"South Korea",
ISNUMBER(SEARCH("Cape Verde",S955)),"Cabo Verde",
ISNUMBER(SEARCH("Czechia",S955)),"Czech Republic",
ISNUMBER(SEARCH("Türkiye",S955)),"Turkey",
ISNUMBER(SEARCH("Ivory Coast",S955)),"Côte d'Ivoire",
ISNUMBER(SEARCH("Korea Republic",S955)),"South Korea",
ISNUMBER(SEARCH("Germany FR",S955)),"FR Germany",
ISNUMBER(SEARCH("West Germany",S955)),"FR Germany",
ISNUMBER(SEARCH("Germany DR",S955)),"DR Germany",
ISNUMBER(SEARCH("Korea DPR",S955)),"North Korea",
ISNUMBER(SEARCH("China PR",S955)),"China",
ISNUMBER(SEARCH("IR Iran",S955)),"Iran",
ISNUMBER(SEARCH("Congo DR",S955)),"Democratic Republic of the Congo",
ISNUMBER(SEARCH("DR Congo",S955)),"Democratic Republic of the Congo",
ISNUMBER(SEARCH("German DR",S955)),"DR Germany",
ISNUMBER(SEARCH("rn""&gt;United Arab Emirates",S955)),"United Arab Emirates",
ISNUMBER(SEARCH("rn""&gt;Republic of Ireland",S955)),"Ireland",
ISNUMBER(SEARCH("rn""&gt;Bosnia and Herzegovina",S955)),"Bosnia and Herzegovina",
ISNUMBER(SEARCH("rn""&gt;Trinidad and Tobago",S955)),"Trinidad and Tobago",
ISNUMBER(SEARCH("rn""&gt;Serbia and Montenegro",S955)),"Serbia and Montenegro",
ISNUMBER(SEARCH(_xlfn.UNICHAR(65533),S955)),"Côte d'Ivoire",
TRUE,""
)</f>
        <v/>
      </c>
      <c r="W955" s="30" t="str">
        <f t="shared" si="82"/>
        <v>Paraguay</v>
      </c>
      <c r="Z955" s="40" t="str">
        <v>Lusail Stadium</v>
      </c>
      <c r="AA955" s="40" t="str" cm="1">
        <f t="array" ref="AA955">IFERROR(_xlfn.XLOOKUP(Z955,_xlfn.ANCHORARRAY(Z$31),AA$31:AA$37),Z955)</f>
        <v>Lusail Stadium</v>
      </c>
      <c r="AB955" s="42" t="str">
        <v>Lusail</v>
      </c>
      <c r="AC955" s="89" t="str">
        <f t="shared" si="83"/>
        <v>Lusail</v>
      </c>
      <c r="AE955" s="42">
        <v>2018</v>
      </c>
      <c r="AK955" s="42">
        <v>0</v>
      </c>
      <c r="AL955" s="42">
        <v>2</v>
      </c>
      <c r="AW955" s="89" t="str">
        <v>GROUP_STAGE</v>
      </c>
      <c r="BE955" s="43" t="str">
        <f>IF(OR(DATA_CLEANED!AL946="",DATA_CLEANED!AM946=""),"MANQUANT",IF(OR(NOT(ISNUMBER(DATA_CLEANED!AL946)),NOT(ISNUMBER(DATA_CLEANED!AM946))),"ENTREE INVALIDE",IF(OR(DATA_CLEANED!AL946&lt;0,DATA_CLEANED!AM946&lt;0),"SCORE NEGATIF","OK")))</f>
        <v>OK</v>
      </c>
      <c r="BF955" s="43" t="str">
        <f>IF(DATA_CLEANED!AK946&lt;&gt;DATA_CLEANED!AN946,"OK","ERREUR")</f>
        <v>OK</v>
      </c>
      <c r="BG955" s="43" t="str">
        <f>IF(DATA_CLEANED!AL946&gt;DATA_CLEANED!AM946,DATA_CLEANED!AK946,IF(AND(DATA_QUALITE!W5432="-",DATA_CLEANED!AM946=DATA_CLEANED!AL946),"MATCH NUL",IF(AND(DATA_QUALITE!V5432="-",DATA_QUALITE!U5432="AUCUNE"),DATA_QUALITE!T5432,IF(DATA_QUALITE!V5432&lt;&gt;"-",DATA_QUALITE!V5432,DATA_CLEANED!AN946))))</f>
        <v>Japan</v>
      </c>
      <c r="BH955" s="103" t="str">
        <f>IF(AND(BG955="MATCH NUL",DATA_CLEANED!AO946="-"),"MATCH_NUL",IF(ISNUMBER(SEARCH("win on penalties",W5432)),"WIN_BY_PENALTY",IF(ISNUMBER(SEARCH("win after extra time",W5432)),"WIN_BY_EXTRA_TIME",IF(ISNUMBER(SEARCH("Golden Goal",W5432)),"WIN_BY_GOLDEN_GOAL","WIN_BY_SCORE"))))</f>
        <v>WIN_BY_SCORE</v>
      </c>
      <c r="BI955" s="99" t="str">
        <f>IF(OR(BG955=DATA_CLEANED!AK946,BG955=DATA_CLEANED!AN946,BG955="MATCH NUL"),"OK","ERREUR")</f>
        <v>OK</v>
      </c>
    </row>
    <row r="956" spans="2:61">
      <c r="B956" s="75">
        <v>519</v>
      </c>
      <c r="C956" s="15" t="str">
        <v>Oumar Diakité</v>
      </c>
      <c r="D956" s="15">
        <v>22</v>
      </c>
      <c r="E956" s="15" t="str">
        <v>Côte d'Ivoire</v>
      </c>
      <c r="F956" s="15" t="str">
        <v>ST</v>
      </c>
      <c r="G956" s="15" t="str">
        <v>Cercle Brugge</v>
      </c>
      <c r="H956" s="15">
        <v>14</v>
      </c>
      <c r="I956" s="15" t="str">
        <f t="shared" si="84"/>
        <v>519|Oumar Diakité|22|Côte d'Ivoire|ST|Cercle Brugge|14</v>
      </c>
      <c r="J956" s="15" t="str">
        <f>IF(COUNTIF(I$438:I956,I956)&gt;1,"DOUBLON","OK")</f>
        <v>OK</v>
      </c>
      <c r="S956" s="30" t="str">
        <v>Japan</v>
      </c>
      <c r="T956" s="30" t="str">
        <f t="shared" si="85"/>
        <v>OK</v>
      </c>
      <c r="U956" s="30" t="str">
        <f t="shared" si="81"/>
        <v>-</v>
      </c>
      <c r="V956" s="30" t="str" cm="1">
        <f t="array" ref="V956">_xlfn.IFS(
ISNUMBER(SEARCH("USA",S956)),"United States",
ISNUMBER(SEARCH("Republic of Korea",S956)),"South Korea",
ISNUMBER(SEARCH("Cape Verde",S956)),"Cabo Verde",
ISNUMBER(SEARCH("Czechia",S956)),"Czech Republic",
ISNUMBER(SEARCH("Türkiye",S956)),"Turkey",
ISNUMBER(SEARCH("Ivory Coast",S956)),"Côte d'Ivoire",
ISNUMBER(SEARCH("Korea Republic",S956)),"South Korea",
ISNUMBER(SEARCH("Germany FR",S956)),"FR Germany",
ISNUMBER(SEARCH("West Germany",S956)),"FR Germany",
ISNUMBER(SEARCH("Germany DR",S956)),"DR Germany",
ISNUMBER(SEARCH("Korea DPR",S956)),"North Korea",
ISNUMBER(SEARCH("China PR",S956)),"China",
ISNUMBER(SEARCH("IR Iran",S956)),"Iran",
ISNUMBER(SEARCH("Congo DR",S956)),"Democratic Republic of the Congo",
ISNUMBER(SEARCH("DR Congo",S956)),"Democratic Republic of the Congo",
ISNUMBER(SEARCH("German DR",S956)),"DR Germany",
ISNUMBER(SEARCH("rn""&gt;United Arab Emirates",S956)),"United Arab Emirates",
ISNUMBER(SEARCH("rn""&gt;Republic of Ireland",S956)),"Ireland",
ISNUMBER(SEARCH("rn""&gt;Bosnia and Herzegovina",S956)),"Bosnia and Herzegovina",
ISNUMBER(SEARCH("rn""&gt;Trinidad and Tobago",S956)),"Trinidad and Tobago",
ISNUMBER(SEARCH("rn""&gt;Serbia and Montenegro",S956)),"Serbia and Montenegro",
ISNUMBER(SEARCH(_xlfn.UNICHAR(65533),S956)),"Côte d'Ivoire",
TRUE,""
)</f>
        <v/>
      </c>
      <c r="W956" s="30" t="str">
        <f t="shared" si="82"/>
        <v>Japan</v>
      </c>
      <c r="Z956" s="40" t="str">
        <v>Ahmad bin Ali Stadium</v>
      </c>
      <c r="AA956" s="40" t="str" cm="1">
        <f t="array" ref="AA956">IFERROR(_xlfn.XLOOKUP(Z956,_xlfn.ANCHORARRAY(Z$31),AA$31:AA$37),Z956)</f>
        <v>Ahmad bin Ali Stadium</v>
      </c>
      <c r="AB956" s="42" t="str">
        <v>Al Rayyan</v>
      </c>
      <c r="AC956" s="89" t="str">
        <f t="shared" si="83"/>
        <v>Al Rayyan</v>
      </c>
      <c r="AE956" s="42">
        <v>2018</v>
      </c>
      <c r="AK956" s="42">
        <v>0</v>
      </c>
      <c r="AL956" s="42">
        <v>0</v>
      </c>
      <c r="AW956" s="89" t="str">
        <v>GROUP_STAGE</v>
      </c>
      <c r="BE956" s="43" t="str">
        <f>IF(OR(DATA_CLEANED!AL947="",DATA_CLEANED!AM947=""),"MANQUANT",IF(OR(NOT(ISNUMBER(DATA_CLEANED!AL947)),NOT(ISNUMBER(DATA_CLEANED!AM947))),"ENTREE INVALIDE",IF(OR(DATA_CLEANED!AL947&lt;0,DATA_CLEANED!AM947&lt;0),"SCORE NEGATIF","OK")))</f>
        <v>OK</v>
      </c>
      <c r="BF956" s="43" t="str">
        <f>IF(DATA_CLEANED!AK947&lt;&gt;DATA_CLEANED!AN947,"OK","ERREUR")</f>
        <v>OK</v>
      </c>
      <c r="BG956" s="43" t="str">
        <f>IF(DATA_CLEANED!AL947&gt;DATA_CLEANED!AM947,DATA_CLEANED!AK947,IF(AND(DATA_QUALITE!W5433="-",DATA_CLEANED!AM947=DATA_CLEANED!AL947),"MATCH NUL",IF(AND(DATA_QUALITE!V5433="-",DATA_QUALITE!U5433="AUCUNE"),DATA_QUALITE!T5433,IF(DATA_QUALITE!V5433&lt;&gt;"-",DATA_QUALITE!V5433,DATA_CLEANED!AN947))))</f>
        <v>Uruguay</v>
      </c>
      <c r="BH956" s="103" t="str">
        <f>IF(AND(BG956="MATCH NUL",DATA_CLEANED!AO947="-"),"MATCH_NUL",IF(ISNUMBER(SEARCH("win on penalties",W5433)),"WIN_BY_PENALTY",IF(ISNUMBER(SEARCH("win after extra time",W5433)),"WIN_BY_EXTRA_TIME",IF(ISNUMBER(SEARCH("Golden Goal",W5433)),"WIN_BY_GOLDEN_GOAL","WIN_BY_SCORE"))))</f>
        <v>WIN_BY_SCORE</v>
      </c>
      <c r="BI956" s="99" t="str">
        <f>IF(OR(BG956=DATA_CLEANED!AK947,BG956=DATA_CLEANED!AN947,BG956="MATCH NUL"),"OK","ERREUR")</f>
        <v>OK</v>
      </c>
    </row>
    <row r="957" spans="2:61">
      <c r="B957" s="75">
        <v>520</v>
      </c>
      <c r="C957" s="15" t="str">
        <v>Evann Guessand</v>
      </c>
      <c r="D957" s="15">
        <v>24</v>
      </c>
      <c r="E957" s="15" t="str">
        <v>Côte d'Ivoire</v>
      </c>
      <c r="F957" s="15" t="str">
        <v>ST</v>
      </c>
      <c r="G957" s="15" t="str">
        <v>Crystal Palace</v>
      </c>
      <c r="H957" s="15">
        <v>22</v>
      </c>
      <c r="I957" s="15" t="str">
        <f t="shared" si="84"/>
        <v>520|Evann Guessand|24|Côte d'Ivoire|ST|Crystal Palace|22</v>
      </c>
      <c r="J957" s="15" t="str">
        <f>IF(COUNTIF(I$438:I957,I957)&gt;1,"DOUBLON","OK")</f>
        <v>OK</v>
      </c>
      <c r="S957" s="30" t="str">
        <v>Paraguay</v>
      </c>
      <c r="T957" s="30" t="str">
        <f t="shared" si="85"/>
        <v>OK</v>
      </c>
      <c r="U957" s="30" t="str">
        <f t="shared" si="81"/>
        <v>-</v>
      </c>
      <c r="V957" s="30" t="str" cm="1">
        <f t="array" ref="V957">_xlfn.IFS(
ISNUMBER(SEARCH("USA",S957)),"United States",
ISNUMBER(SEARCH("Republic of Korea",S957)),"South Korea",
ISNUMBER(SEARCH("Cape Verde",S957)),"Cabo Verde",
ISNUMBER(SEARCH("Czechia",S957)),"Czech Republic",
ISNUMBER(SEARCH("Türkiye",S957)),"Turkey",
ISNUMBER(SEARCH("Ivory Coast",S957)),"Côte d'Ivoire",
ISNUMBER(SEARCH("Korea Republic",S957)),"South Korea",
ISNUMBER(SEARCH("Germany FR",S957)),"FR Germany",
ISNUMBER(SEARCH("West Germany",S957)),"FR Germany",
ISNUMBER(SEARCH("Germany DR",S957)),"DR Germany",
ISNUMBER(SEARCH("Korea DPR",S957)),"North Korea",
ISNUMBER(SEARCH("China PR",S957)),"China",
ISNUMBER(SEARCH("IR Iran",S957)),"Iran",
ISNUMBER(SEARCH("Congo DR",S957)),"Democratic Republic of the Congo",
ISNUMBER(SEARCH("DR Congo",S957)),"Democratic Republic of the Congo",
ISNUMBER(SEARCH("German DR",S957)),"DR Germany",
ISNUMBER(SEARCH("rn""&gt;United Arab Emirates",S957)),"United Arab Emirates",
ISNUMBER(SEARCH("rn""&gt;Republic of Ireland",S957)),"Ireland",
ISNUMBER(SEARCH("rn""&gt;Bosnia and Herzegovina",S957)),"Bosnia and Herzegovina",
ISNUMBER(SEARCH("rn""&gt;Trinidad and Tobago",S957)),"Trinidad and Tobago",
ISNUMBER(SEARCH("rn""&gt;Serbia and Montenegro",S957)),"Serbia and Montenegro",
ISNUMBER(SEARCH(_xlfn.UNICHAR(65533),S957)),"Côte d'Ivoire",
TRUE,""
)</f>
        <v/>
      </c>
      <c r="W957" s="30" t="str">
        <f t="shared" si="82"/>
        <v>Paraguay</v>
      </c>
      <c r="Z957" s="40" t="str">
        <v>Al Thumama Stadium</v>
      </c>
      <c r="AA957" s="40" t="str" cm="1">
        <f t="array" ref="AA957">IFERROR(_xlfn.XLOOKUP(Z957,_xlfn.ANCHORARRAY(Z$31),AA$31:AA$37),Z957)</f>
        <v>Al Thumama Stadium</v>
      </c>
      <c r="AB957" s="42" t="str">
        <v>Doha</v>
      </c>
      <c r="AC957" s="89" t="str">
        <f t="shared" si="83"/>
        <v>Doha</v>
      </c>
      <c r="AE957" s="42">
        <v>2018</v>
      </c>
      <c r="AK957" s="42">
        <v>1</v>
      </c>
      <c r="AL957" s="42">
        <v>2</v>
      </c>
      <c r="AW957" s="89" t="str">
        <v>GROUP_STAGE</v>
      </c>
      <c r="BE957" s="43" t="str">
        <f>IF(OR(DATA_CLEANED!AL948="",DATA_CLEANED!AM948=""),"MANQUANT",IF(OR(NOT(ISNUMBER(DATA_CLEANED!AL948)),NOT(ISNUMBER(DATA_CLEANED!AM948))),"ENTREE INVALIDE",IF(OR(DATA_CLEANED!AL948&lt;0,DATA_CLEANED!AM948&lt;0),"SCORE NEGATIF","OK")))</f>
        <v>OK</v>
      </c>
      <c r="BF957" s="43" t="str">
        <f>IF(DATA_CLEANED!AK948&lt;&gt;DATA_CLEANED!AN948,"OK","ERREUR")</f>
        <v>OK</v>
      </c>
      <c r="BG957" s="43" t="str">
        <f>IF(DATA_CLEANED!AL948&gt;DATA_CLEANED!AM948,DATA_CLEANED!AK948,IF(AND(DATA_QUALITE!W5434="-",DATA_CLEANED!AM948=DATA_CLEANED!AL948),"MATCH NUL",IF(AND(DATA_QUALITE!V5434="-",DATA_QUALITE!U5434="AUCUNE"),DATA_QUALITE!T5434,IF(DATA_QUALITE!V5434&lt;&gt;"-",DATA_QUALITE!V5434,DATA_CLEANED!AN948))))</f>
        <v>South Korea</v>
      </c>
      <c r="BH957" s="103" t="str">
        <f>IF(AND(BG957="MATCH NUL",DATA_CLEANED!AO948="-"),"MATCH_NUL",IF(ISNUMBER(SEARCH("win on penalties",W5434)),"WIN_BY_PENALTY",IF(ISNUMBER(SEARCH("win after extra time",W5434)),"WIN_BY_EXTRA_TIME",IF(ISNUMBER(SEARCH("Golden Goal",W5434)),"WIN_BY_GOLDEN_GOAL","WIN_BY_SCORE"))))</f>
        <v>WIN_BY_SCORE</v>
      </c>
      <c r="BI957" s="99" t="str">
        <f>IF(OR(BG957=DATA_CLEANED!AK948,BG957=DATA_CLEANED!AN948,BG957="MATCH NUL"),"OK","ERREUR")</f>
        <v>OK</v>
      </c>
    </row>
    <row r="958" spans="2:61">
      <c r="B958" s="75">
        <v>521</v>
      </c>
      <c r="C958" s="15" t="str">
        <v>Zion Suzuki</v>
      </c>
      <c r="D958" s="15">
        <v>23</v>
      </c>
      <c r="E958" s="15" t="str">
        <v>Japan</v>
      </c>
      <c r="F958" s="15" t="str">
        <v>GK</v>
      </c>
      <c r="G958" s="15" t="str">
        <v>Parma</v>
      </c>
      <c r="H958" s="15">
        <v>1</v>
      </c>
      <c r="I958" s="15" t="str">
        <f t="shared" si="84"/>
        <v>521|Zion Suzuki|23|Japan|GK|Parma|1</v>
      </c>
      <c r="J958" s="15" t="str">
        <f>IF(COUNTIF(I$438:I958,I958)&gt;1,"DOUBLON","OK")</f>
        <v>OK</v>
      </c>
      <c r="S958" s="30" t="str">
        <v>Japan</v>
      </c>
      <c r="T958" s="30" t="str">
        <f t="shared" si="85"/>
        <v>OK</v>
      </c>
      <c r="U958" s="30" t="str">
        <f t="shared" si="81"/>
        <v>-</v>
      </c>
      <c r="V958" s="30" t="str" cm="1">
        <f t="array" ref="V958">_xlfn.IFS(
ISNUMBER(SEARCH("USA",S958)),"United States",
ISNUMBER(SEARCH("Republic of Korea",S958)),"South Korea",
ISNUMBER(SEARCH("Cape Verde",S958)),"Cabo Verde",
ISNUMBER(SEARCH("Czechia",S958)),"Czech Republic",
ISNUMBER(SEARCH("Türkiye",S958)),"Turkey",
ISNUMBER(SEARCH("Ivory Coast",S958)),"Côte d'Ivoire",
ISNUMBER(SEARCH("Korea Republic",S958)),"South Korea",
ISNUMBER(SEARCH("Germany FR",S958)),"FR Germany",
ISNUMBER(SEARCH("West Germany",S958)),"FR Germany",
ISNUMBER(SEARCH("Germany DR",S958)),"DR Germany",
ISNUMBER(SEARCH("Korea DPR",S958)),"North Korea",
ISNUMBER(SEARCH("China PR",S958)),"China",
ISNUMBER(SEARCH("IR Iran",S958)),"Iran",
ISNUMBER(SEARCH("Congo DR",S958)),"Democratic Republic of the Congo",
ISNUMBER(SEARCH("DR Congo",S958)),"Democratic Republic of the Congo",
ISNUMBER(SEARCH("German DR",S958)),"DR Germany",
ISNUMBER(SEARCH("rn""&gt;United Arab Emirates",S958)),"United Arab Emirates",
ISNUMBER(SEARCH("rn""&gt;Republic of Ireland",S958)),"Ireland",
ISNUMBER(SEARCH("rn""&gt;Bosnia and Herzegovina",S958)),"Bosnia and Herzegovina",
ISNUMBER(SEARCH("rn""&gt;Trinidad and Tobago",S958)),"Trinidad and Tobago",
ISNUMBER(SEARCH("rn""&gt;Serbia and Montenegro",S958)),"Serbia and Montenegro",
ISNUMBER(SEARCH(_xlfn.UNICHAR(65533),S958)),"Côte d'Ivoire",
TRUE,""
)</f>
        <v/>
      </c>
      <c r="W958" s="30" t="str">
        <f t="shared" si="82"/>
        <v>Japan</v>
      </c>
      <c r="Z958" s="40" t="str">
        <v>Khalifa International Stadium</v>
      </c>
      <c r="AA958" s="40" t="str" cm="1">
        <f t="array" ref="AA958">IFERROR(_xlfn.XLOOKUP(Z958,_xlfn.ANCHORARRAY(Z$31),AA$31:AA$37),Z958)</f>
        <v>Khalifa International Stadium</v>
      </c>
      <c r="AB958" s="42" t="str">
        <v>Al Rayyan</v>
      </c>
      <c r="AC958" s="89" t="str">
        <f t="shared" si="83"/>
        <v>Al Rayyan</v>
      </c>
      <c r="AE958" s="42">
        <v>2018</v>
      </c>
      <c r="AK958" s="42">
        <v>1</v>
      </c>
      <c r="AL958" s="42">
        <v>2</v>
      </c>
      <c r="AW958" s="89" t="str">
        <v>GROUP_STAGE</v>
      </c>
      <c r="BE958" s="43" t="str">
        <f>IF(OR(DATA_CLEANED!AL949="",DATA_CLEANED!AM949=""),"MANQUANT",IF(OR(NOT(ISNUMBER(DATA_CLEANED!AL949)),NOT(ISNUMBER(DATA_CLEANED!AM949))),"ENTREE INVALIDE",IF(OR(DATA_CLEANED!AL949&lt;0,DATA_CLEANED!AM949&lt;0),"SCORE NEGATIF","OK")))</f>
        <v>OK</v>
      </c>
      <c r="BF958" s="43" t="str">
        <f>IF(DATA_CLEANED!AK949&lt;&gt;DATA_CLEANED!AN949,"OK","ERREUR")</f>
        <v>OK</v>
      </c>
      <c r="BG958" s="43" t="str">
        <f>IF(DATA_CLEANED!AL949&gt;DATA_CLEANED!AM949,DATA_CLEANED!AK949,IF(AND(DATA_QUALITE!W5435="-",DATA_CLEANED!AM949=DATA_CLEANED!AL949),"MATCH NUL",IF(AND(DATA_QUALITE!V5435="-",DATA_QUALITE!U5435="AUCUNE"),DATA_QUALITE!T5435,IF(DATA_QUALITE!V5435&lt;&gt;"-",DATA_QUALITE!V5435,DATA_CLEANED!AN949))))</f>
        <v>Cameroon</v>
      </c>
      <c r="BH958" s="103" t="str">
        <f>IF(AND(BG958="MATCH NUL",DATA_CLEANED!AO949="-"),"MATCH_NUL",IF(ISNUMBER(SEARCH("win on penalties",W5435)),"WIN_BY_PENALTY",IF(ISNUMBER(SEARCH("win after extra time",W5435)),"WIN_BY_EXTRA_TIME",IF(ISNUMBER(SEARCH("Golden Goal",W5435)),"WIN_BY_GOLDEN_GOAL","WIN_BY_SCORE"))))</f>
        <v>WIN_BY_SCORE</v>
      </c>
      <c r="BI958" s="99" t="str">
        <f>IF(OR(BG958=DATA_CLEANED!AK949,BG958=DATA_CLEANED!AN949,BG958="MATCH NUL"),"OK","ERREUR")</f>
        <v>OK</v>
      </c>
    </row>
    <row r="959" spans="2:61">
      <c r="B959" s="75">
        <v>522</v>
      </c>
      <c r="C959" s="15" t="str">
        <v>Keisuke Ōsako</v>
      </c>
      <c r="D959" s="15">
        <v>26</v>
      </c>
      <c r="E959" s="15" t="str">
        <v>Japan</v>
      </c>
      <c r="F959" s="15" t="str">
        <v>GK</v>
      </c>
      <c r="G959" s="15" t="str">
        <v>Sanfrecce Hiroshima</v>
      </c>
      <c r="H959" s="15">
        <v>12</v>
      </c>
      <c r="I959" s="15" t="str">
        <f t="shared" si="84"/>
        <v>522|Keisuke Ōsako|26|Japan|GK|Sanfrecce Hiroshima|12</v>
      </c>
      <c r="J959" s="15" t="str">
        <f>IF(COUNTIF(I$438:I959,I959)&gt;1,"DOUBLON","OK")</f>
        <v>OK</v>
      </c>
      <c r="S959" s="30" t="str">
        <v>Paraguay</v>
      </c>
      <c r="T959" s="30" t="str">
        <f t="shared" si="85"/>
        <v>OK</v>
      </c>
      <c r="U959" s="30" t="str">
        <f t="shared" si="81"/>
        <v>-</v>
      </c>
      <c r="V959" s="30" t="str" cm="1">
        <f t="array" ref="V959">_xlfn.IFS(
ISNUMBER(SEARCH("USA",S959)),"United States",
ISNUMBER(SEARCH("Republic of Korea",S959)),"South Korea",
ISNUMBER(SEARCH("Cape Verde",S959)),"Cabo Verde",
ISNUMBER(SEARCH("Czechia",S959)),"Czech Republic",
ISNUMBER(SEARCH("Türkiye",S959)),"Turkey",
ISNUMBER(SEARCH("Ivory Coast",S959)),"Côte d'Ivoire",
ISNUMBER(SEARCH("Korea Republic",S959)),"South Korea",
ISNUMBER(SEARCH("Germany FR",S959)),"FR Germany",
ISNUMBER(SEARCH("West Germany",S959)),"FR Germany",
ISNUMBER(SEARCH("Germany DR",S959)),"DR Germany",
ISNUMBER(SEARCH("Korea DPR",S959)),"North Korea",
ISNUMBER(SEARCH("China PR",S959)),"China",
ISNUMBER(SEARCH("IR Iran",S959)),"Iran",
ISNUMBER(SEARCH("Congo DR",S959)),"Democratic Republic of the Congo",
ISNUMBER(SEARCH("DR Congo",S959)),"Democratic Republic of the Congo",
ISNUMBER(SEARCH("German DR",S959)),"DR Germany",
ISNUMBER(SEARCH("rn""&gt;United Arab Emirates",S959)),"United Arab Emirates",
ISNUMBER(SEARCH("rn""&gt;Republic of Ireland",S959)),"Ireland",
ISNUMBER(SEARCH("rn""&gt;Bosnia and Herzegovina",S959)),"Bosnia and Herzegovina",
ISNUMBER(SEARCH("rn""&gt;Trinidad and Tobago",S959)),"Trinidad and Tobago",
ISNUMBER(SEARCH("rn""&gt;Serbia and Montenegro",S959)),"Serbia and Montenegro",
ISNUMBER(SEARCH(_xlfn.UNICHAR(65533),S959)),"Côte d'Ivoire",
TRUE,""
)</f>
        <v/>
      </c>
      <c r="W959" s="30" t="str">
        <f t="shared" si="82"/>
        <v>Paraguay</v>
      </c>
      <c r="Z959" s="40" t="str">
        <v>Al Bayt Stadium</v>
      </c>
      <c r="AA959" s="40" t="str" cm="1">
        <f t="array" ref="AA959">IFERROR(_xlfn.XLOOKUP(Z959,_xlfn.ANCHORARRAY(Z$31),AA$31:AA$37),Z959)</f>
        <v>Al Bayt Stadium</v>
      </c>
      <c r="AB959" s="42" t="str">
        <v>Al Khor</v>
      </c>
      <c r="AC959" s="89" t="str">
        <f t="shared" si="83"/>
        <v>Al Khor</v>
      </c>
      <c r="AE959" s="42">
        <v>2018</v>
      </c>
      <c r="AK959" s="42">
        <v>2</v>
      </c>
      <c r="AL959" s="42">
        <v>0</v>
      </c>
      <c r="AW959" s="89" t="str">
        <v>GROUP_STAGE</v>
      </c>
      <c r="BE959" s="43" t="str">
        <f>IF(OR(DATA_CLEANED!AL950="",DATA_CLEANED!AM950=""),"MANQUANT",IF(OR(NOT(ISNUMBER(DATA_CLEANED!AL950)),NOT(ISNUMBER(DATA_CLEANED!AM950))),"ENTREE INVALIDE",IF(OR(DATA_CLEANED!AL950&lt;0,DATA_CLEANED!AM950&lt;0),"SCORE NEGATIF","OK")))</f>
        <v>OK</v>
      </c>
      <c r="BF959" s="43" t="str">
        <f>IF(DATA_CLEANED!AK950&lt;&gt;DATA_CLEANED!AN950,"OK","ERREUR")</f>
        <v>OK</v>
      </c>
      <c r="BG959" s="43" t="str">
        <f>IF(DATA_CLEANED!AL950&gt;DATA_CLEANED!AM950,DATA_CLEANED!AK950,IF(AND(DATA_QUALITE!W5436="-",DATA_CLEANED!AM950=DATA_CLEANED!AL950),"MATCH NUL",IF(AND(DATA_QUALITE!V5436="-",DATA_QUALITE!U5436="AUCUNE"),DATA_QUALITE!T5436,IF(DATA_QUALITE!V5436&lt;&gt;"-",DATA_QUALITE!V5436,DATA_CLEANED!AN950))))</f>
        <v>Switzerland</v>
      </c>
      <c r="BH959" s="103" t="str">
        <f>IF(AND(BG959="MATCH NUL",DATA_CLEANED!AO950="-"),"MATCH_NUL",IF(ISNUMBER(SEARCH("win on penalties",W5436)),"WIN_BY_PENALTY",IF(ISNUMBER(SEARCH("win after extra time",W5436)),"WIN_BY_EXTRA_TIME",IF(ISNUMBER(SEARCH("Golden Goal",W5436)),"WIN_BY_GOLDEN_GOAL","WIN_BY_SCORE"))))</f>
        <v>WIN_BY_SCORE</v>
      </c>
      <c r="BI959" s="99" t="str">
        <f>IF(OR(BG959=DATA_CLEANED!AK950,BG959=DATA_CLEANED!AN950,BG959="MATCH NUL"),"OK","ERREUR")</f>
        <v>OK</v>
      </c>
    </row>
    <row r="960" spans="2:61">
      <c r="B960" s="75">
        <v>523</v>
      </c>
      <c r="C960" s="15" t="str">
        <v>Tomoki Hayakawa</v>
      </c>
      <c r="D960" s="15">
        <v>27</v>
      </c>
      <c r="E960" s="15" t="str">
        <v>Japan</v>
      </c>
      <c r="F960" s="15" t="str">
        <v>GK</v>
      </c>
      <c r="G960" s="15" t="str">
        <v>Kashima Antlers</v>
      </c>
      <c r="H960" s="15">
        <v>23</v>
      </c>
      <c r="I960" s="15" t="str">
        <f t="shared" si="84"/>
        <v>523|Tomoki Hayakawa|27|Japan|GK|Kashima Antlers|23</v>
      </c>
      <c r="J960" s="15" t="str">
        <f>IF(COUNTIF(I$438:I960,I960)&gt;1,"DOUBLON","OK")</f>
        <v>OK</v>
      </c>
      <c r="S960" s="30" t="str">
        <v>Uruguay</v>
      </c>
      <c r="T960" s="30" t="str">
        <f t="shared" si="85"/>
        <v>OK</v>
      </c>
      <c r="U960" s="30" t="str">
        <f t="shared" ref="U960:U1023" si="86">IF(OR(S960="Scotland",S960="England",S960="Wales",S960="Yugoslavia",S960="Czechoslovakia",S960="Northern Ireland",S960="Soviet Union",S960="Zaire",S960="Dutch East Indies"),"AUCUNE",IF(OR(S960="Cape Verde",S960="USA",S960="DR Congo",S960="Republic of Korea",S960="Germany FR",S960="Germany DR",S960="Czechia",S960="Ivory Coast",S960="Korea DPR",S960="China PR",S960="IR Iran",S960="Türkiye",S960="Congo DR",S960="German DR",S960="West Germany",S960="Republic of Ireland",ISNUMBER(SEARCH("rn""&gt;United Arab Emirates",S960)),ISNUMBER(SEARCH("rn""&gt;Republic of Ireland",S960)),ISNUMBER(SEARCH("rn""&gt;Bosnia and Herzegovina",S960)),ISNUMBER(SEARCH("rn""&gt;Trinidad and Tobago",S960)),ISNUMBER(SEARCH("rn""&gt;Serbia and Montenegro",S960)),ISNUMBER(SEARCH(_xlfn.UNICHAR(65533),S960))),"RENOMMER","-"))</f>
        <v>-</v>
      </c>
      <c r="V960" s="30" t="str" cm="1">
        <f t="array" ref="V960">_xlfn.IFS(
ISNUMBER(SEARCH("USA",S960)),"United States",
ISNUMBER(SEARCH("Republic of Korea",S960)),"South Korea",
ISNUMBER(SEARCH("Cape Verde",S960)),"Cabo Verde",
ISNUMBER(SEARCH("Czechia",S960)),"Czech Republic",
ISNUMBER(SEARCH("Türkiye",S960)),"Turkey",
ISNUMBER(SEARCH("Ivory Coast",S960)),"Côte d'Ivoire",
ISNUMBER(SEARCH("Korea Republic",S960)),"South Korea",
ISNUMBER(SEARCH("Germany FR",S960)),"FR Germany",
ISNUMBER(SEARCH("West Germany",S960)),"FR Germany",
ISNUMBER(SEARCH("Germany DR",S960)),"DR Germany",
ISNUMBER(SEARCH("Korea DPR",S960)),"North Korea",
ISNUMBER(SEARCH("China PR",S960)),"China",
ISNUMBER(SEARCH("IR Iran",S960)),"Iran",
ISNUMBER(SEARCH("Congo DR",S960)),"Democratic Republic of the Congo",
ISNUMBER(SEARCH("DR Congo",S960)),"Democratic Republic of the Congo",
ISNUMBER(SEARCH("German DR",S960)),"DR Germany",
ISNUMBER(SEARCH("rn""&gt;United Arab Emirates",S960)),"United Arab Emirates",
ISNUMBER(SEARCH("rn""&gt;Republic of Ireland",S960)),"Ireland",
ISNUMBER(SEARCH("rn""&gt;Bosnia and Herzegovina",S960)),"Bosnia and Herzegovina",
ISNUMBER(SEARCH("rn""&gt;Trinidad and Tobago",S960)),"Trinidad and Tobago",
ISNUMBER(SEARCH("rn""&gt;Serbia and Montenegro",S960)),"Serbia and Montenegro",
ISNUMBER(SEARCH(_xlfn.UNICHAR(65533),S960)),"Côte d'Ivoire",
TRUE,""
)</f>
        <v/>
      </c>
      <c r="W960" s="30" t="str">
        <f t="shared" si="82"/>
        <v>Uruguay</v>
      </c>
      <c r="Z960" s="40" t="str">
        <v>Al Janoub Stadium</v>
      </c>
      <c r="AA960" s="40" t="str" cm="1">
        <f t="array" ref="AA960">IFERROR(_xlfn.XLOOKUP(Z960,_xlfn.ANCHORARRAY(Z$31),AA$31:AA$37),Z960)</f>
        <v>Al Janoub Stadium</v>
      </c>
      <c r="AB960" s="42" t="str">
        <v>Al Wakrah</v>
      </c>
      <c r="AC960" s="89" t="str">
        <f t="shared" si="83"/>
        <v>Al Wakrah</v>
      </c>
      <c r="AE960" s="42">
        <v>2018</v>
      </c>
      <c r="AK960" s="42">
        <v>0</v>
      </c>
      <c r="AL960" s="42">
        <v>3</v>
      </c>
      <c r="AW960" s="89" t="str">
        <v>ROUND_OF_16</v>
      </c>
      <c r="BE960" s="43" t="str">
        <f>IF(OR(DATA_CLEANED!AL951="",DATA_CLEANED!AM951=""),"MANQUANT",IF(OR(NOT(ISNUMBER(DATA_CLEANED!AL951)),NOT(ISNUMBER(DATA_CLEANED!AM951))),"ENTREE INVALIDE",IF(OR(DATA_CLEANED!AL951&lt;0,DATA_CLEANED!AM951&lt;0),"SCORE NEGATIF","OK")))</f>
        <v>OK</v>
      </c>
      <c r="BF960" s="43" t="str">
        <f>IF(DATA_CLEANED!AK951&lt;&gt;DATA_CLEANED!AN951,"OK","ERREUR")</f>
        <v>OK</v>
      </c>
      <c r="BG960" s="43" t="str">
        <f>IF(DATA_CLEANED!AL951&gt;DATA_CLEANED!AM951,DATA_CLEANED!AK951,IF(AND(DATA_QUALITE!W5437="-",DATA_CLEANED!AM951=DATA_CLEANED!AL951),"MATCH NUL",IF(AND(DATA_QUALITE!V5437="-",DATA_QUALITE!U5437="AUCUNE"),DATA_QUALITE!T5437,IF(DATA_QUALITE!V5437&lt;&gt;"-",DATA_QUALITE!V5437,DATA_CLEANED!AN951))))</f>
        <v>Netherlands</v>
      </c>
      <c r="BH960" s="103" t="str">
        <f>IF(AND(BG960="MATCH NUL",DATA_CLEANED!AO951="-"),"MATCH_NUL",IF(ISNUMBER(SEARCH("win on penalties",W5437)),"WIN_BY_PENALTY",IF(ISNUMBER(SEARCH("win after extra time",W5437)),"WIN_BY_EXTRA_TIME",IF(ISNUMBER(SEARCH("Golden Goal",W5437)),"WIN_BY_GOLDEN_GOAL","WIN_BY_SCORE"))))</f>
        <v>WIN_BY_SCORE</v>
      </c>
      <c r="BI960" s="99" t="str">
        <f>IF(OR(BG960=DATA_CLEANED!AK951,BG960=DATA_CLEANED!AN951,BG960="MATCH NUL"),"OK","ERREUR")</f>
        <v>OK</v>
      </c>
    </row>
    <row r="961" spans="2:61">
      <c r="B961" s="75">
        <v>524</v>
      </c>
      <c r="C961" s="15" t="str">
        <v>Shōgo Taniguchi</v>
      </c>
      <c r="D961" s="15">
        <v>34</v>
      </c>
      <c r="E961" s="15" t="str">
        <v>Japan</v>
      </c>
      <c r="F961" s="15" t="str">
        <v>CB</v>
      </c>
      <c r="G961" s="15" t="str">
        <v>Sint-Truiden</v>
      </c>
      <c r="H961" s="15">
        <v>3</v>
      </c>
      <c r="I961" s="15" t="str">
        <f t="shared" si="84"/>
        <v>524|Shōgo Taniguchi|34|Japan|CB|Sint-Truiden|3</v>
      </c>
      <c r="J961" s="15" t="str">
        <f>IF(COUNTIF(I$438:I961,I961)&gt;1,"DOUBLON","OK")</f>
        <v>OK</v>
      </c>
      <c r="S961" s="30" t="str">
        <v>Ghana</v>
      </c>
      <c r="T961" s="30" t="str">
        <f t="shared" si="85"/>
        <v>OK</v>
      </c>
      <c r="U961" s="30" t="str">
        <f t="shared" si="86"/>
        <v>-</v>
      </c>
      <c r="V961" s="30" t="str" cm="1">
        <f t="array" ref="V961">_xlfn.IFS(
ISNUMBER(SEARCH("USA",S961)),"United States",
ISNUMBER(SEARCH("Republic of Korea",S961)),"South Korea",
ISNUMBER(SEARCH("Cape Verde",S961)),"Cabo Verde",
ISNUMBER(SEARCH("Czechia",S961)),"Czech Republic",
ISNUMBER(SEARCH("Türkiye",S961)),"Turkey",
ISNUMBER(SEARCH("Ivory Coast",S961)),"Côte d'Ivoire",
ISNUMBER(SEARCH("Korea Republic",S961)),"South Korea",
ISNUMBER(SEARCH("Germany FR",S961)),"FR Germany",
ISNUMBER(SEARCH("West Germany",S961)),"FR Germany",
ISNUMBER(SEARCH("Germany DR",S961)),"DR Germany",
ISNUMBER(SEARCH("Korea DPR",S961)),"North Korea",
ISNUMBER(SEARCH("China PR",S961)),"China",
ISNUMBER(SEARCH("IR Iran",S961)),"Iran",
ISNUMBER(SEARCH("Congo DR",S961)),"Democratic Republic of the Congo",
ISNUMBER(SEARCH("DR Congo",S961)),"Democratic Republic of the Congo",
ISNUMBER(SEARCH("German DR",S961)),"DR Germany",
ISNUMBER(SEARCH("rn""&gt;United Arab Emirates",S961)),"United Arab Emirates",
ISNUMBER(SEARCH("rn""&gt;Republic of Ireland",S961)),"Ireland",
ISNUMBER(SEARCH("rn""&gt;Bosnia and Herzegovina",S961)),"Bosnia and Herzegovina",
ISNUMBER(SEARCH("rn""&gt;Trinidad and Tobago",S961)),"Trinidad and Tobago",
ISNUMBER(SEARCH("rn""&gt;Serbia and Montenegro",S961)),"Serbia and Montenegro",
ISNUMBER(SEARCH(_xlfn.UNICHAR(65533),S961)),"Côte d'Ivoire",
TRUE,""
)</f>
        <v/>
      </c>
      <c r="W961" s="30" t="str">
        <f t="shared" si="82"/>
        <v>Ghana</v>
      </c>
      <c r="Z961" s="40" t="str">
        <v>Education City Stadium</v>
      </c>
      <c r="AA961" s="40" t="str" cm="1">
        <f t="array" ref="AA961">IFERROR(_xlfn.XLOOKUP(Z961,_xlfn.ANCHORARRAY(Z$31),AA$31:AA$37),Z961)</f>
        <v>Education City Stadium</v>
      </c>
      <c r="AB961" s="42" t="str">
        <v>Al Rayyan</v>
      </c>
      <c r="AC961" s="89" t="str">
        <f t="shared" si="83"/>
        <v>Al Rayyan</v>
      </c>
      <c r="AE961" s="42">
        <v>2018</v>
      </c>
      <c r="AK961" s="42">
        <v>0</v>
      </c>
      <c r="AL961" s="42">
        <v>2</v>
      </c>
      <c r="AW961" s="89" t="str">
        <v>ROUND_OF_16</v>
      </c>
      <c r="BE961" s="43" t="str">
        <f>IF(OR(DATA_CLEANED!AL952="",DATA_CLEANED!AM952=""),"MANQUANT",IF(OR(NOT(ISNUMBER(DATA_CLEANED!AL952)),NOT(ISNUMBER(DATA_CLEANED!AM952))),"ENTREE INVALIDE",IF(OR(DATA_CLEANED!AL952&lt;0,DATA_CLEANED!AM952&lt;0),"SCORE NEGATIF","OK")))</f>
        <v>OK</v>
      </c>
      <c r="BF961" s="43" t="str">
        <f>IF(DATA_CLEANED!AK952&lt;&gt;DATA_CLEANED!AN952,"OK","ERREUR")</f>
        <v>OK</v>
      </c>
      <c r="BG961" s="43" t="str">
        <f>IF(DATA_CLEANED!AL952&gt;DATA_CLEANED!AM952,DATA_CLEANED!AK952,IF(AND(DATA_QUALITE!W5438="-",DATA_CLEANED!AM952=DATA_CLEANED!AL952),"MATCH NUL",IF(AND(DATA_QUALITE!V5438="-",DATA_QUALITE!U5438="AUCUNE"),DATA_QUALITE!T5438,IF(DATA_QUALITE!V5438&lt;&gt;"-",DATA_QUALITE!V5438,DATA_CLEANED!AN952))))</f>
        <v>Argentina</v>
      </c>
      <c r="BH961" s="103" t="str">
        <f>IF(AND(BG961="MATCH NUL",DATA_CLEANED!AO952="-"),"MATCH_NUL",IF(ISNUMBER(SEARCH("win on penalties",W5438)),"WIN_BY_PENALTY",IF(ISNUMBER(SEARCH("win after extra time",W5438)),"WIN_BY_EXTRA_TIME",IF(ISNUMBER(SEARCH("Golden Goal",W5438)),"WIN_BY_GOLDEN_GOAL","WIN_BY_SCORE"))))</f>
        <v>WIN_BY_SCORE</v>
      </c>
      <c r="BI961" s="99" t="str">
        <f>IF(OR(BG961=DATA_CLEANED!AK952,BG961=DATA_CLEANED!AN952,BG961="MATCH NUL"),"OK","ERREUR")</f>
        <v>OK</v>
      </c>
    </row>
    <row r="962" spans="2:61">
      <c r="B962" s="75">
        <v>525</v>
      </c>
      <c r="C962" s="15" t="str">
        <v>Kō Itakura</v>
      </c>
      <c r="D962" s="15">
        <v>29</v>
      </c>
      <c r="E962" s="15" t="str">
        <v>Japan</v>
      </c>
      <c r="F962" s="15" t="str">
        <v>CB</v>
      </c>
      <c r="G962" s="15" t="str">
        <v>Ajax</v>
      </c>
      <c r="H962" s="15">
        <v>4</v>
      </c>
      <c r="I962" s="15" t="str">
        <f t="shared" si="84"/>
        <v>525|Kō Itakura|29|Japan|CB|Ajax|4</v>
      </c>
      <c r="J962" s="15" t="str">
        <f>IF(COUNTIF(I$438:I962,I962)&gt;1,"DOUBLON","OK")</f>
        <v>OK</v>
      </c>
      <c r="S962" s="30" t="str">
        <v>Uruguay</v>
      </c>
      <c r="T962" s="30" t="str">
        <f t="shared" si="85"/>
        <v>OK</v>
      </c>
      <c r="U962" s="30" t="str">
        <f t="shared" si="86"/>
        <v>-</v>
      </c>
      <c r="V962" s="30" t="str" cm="1">
        <f t="array" ref="V962">_xlfn.IFS(
ISNUMBER(SEARCH("USA",S962)),"United States",
ISNUMBER(SEARCH("Republic of Korea",S962)),"South Korea",
ISNUMBER(SEARCH("Cape Verde",S962)),"Cabo Verde",
ISNUMBER(SEARCH("Czechia",S962)),"Czech Republic",
ISNUMBER(SEARCH("Türkiye",S962)),"Turkey",
ISNUMBER(SEARCH("Ivory Coast",S962)),"Côte d'Ivoire",
ISNUMBER(SEARCH("Korea Republic",S962)),"South Korea",
ISNUMBER(SEARCH("Germany FR",S962)),"FR Germany",
ISNUMBER(SEARCH("West Germany",S962)),"FR Germany",
ISNUMBER(SEARCH("Germany DR",S962)),"DR Germany",
ISNUMBER(SEARCH("Korea DPR",S962)),"North Korea",
ISNUMBER(SEARCH("China PR",S962)),"China",
ISNUMBER(SEARCH("IR Iran",S962)),"Iran",
ISNUMBER(SEARCH("Congo DR",S962)),"Democratic Republic of the Congo",
ISNUMBER(SEARCH("DR Congo",S962)),"Democratic Republic of the Congo",
ISNUMBER(SEARCH("German DR",S962)),"DR Germany",
ISNUMBER(SEARCH("rn""&gt;United Arab Emirates",S962)),"United Arab Emirates",
ISNUMBER(SEARCH("rn""&gt;Republic of Ireland",S962)),"Ireland",
ISNUMBER(SEARCH("rn""&gt;Bosnia and Herzegovina",S962)),"Bosnia and Herzegovina",
ISNUMBER(SEARCH("rn""&gt;Trinidad and Tobago",S962)),"Trinidad and Tobago",
ISNUMBER(SEARCH("rn""&gt;Serbia and Montenegro",S962)),"Serbia and Montenegro",
ISNUMBER(SEARCH(_xlfn.UNICHAR(65533),S962)),"Côte d'Ivoire",
TRUE,""
)</f>
        <v/>
      </c>
      <c r="W962" s="30" t="str">
        <f t="shared" si="82"/>
        <v>Uruguay</v>
      </c>
      <c r="Z962" s="40" t="str">
        <v>Stadium 974</v>
      </c>
      <c r="AA962" s="40" t="str" cm="1">
        <f t="array" ref="AA962">IFERROR(_xlfn.XLOOKUP(Z962,_xlfn.ANCHORARRAY(Z$31),AA$31:AA$37),Z962)</f>
        <v>Stadium 974</v>
      </c>
      <c r="AB962" s="42" t="str">
        <v>Doha</v>
      </c>
      <c r="AC962" s="89" t="str">
        <f t="shared" si="83"/>
        <v>Doha</v>
      </c>
      <c r="AE962" s="42">
        <v>2018</v>
      </c>
      <c r="AK962" s="42">
        <v>2</v>
      </c>
      <c r="AL962" s="42">
        <v>2</v>
      </c>
      <c r="AW962" s="89" t="str">
        <v>ROUND_OF_16</v>
      </c>
      <c r="BE962" s="43" t="str">
        <f>IF(OR(DATA_CLEANED!AL953="",DATA_CLEANED!AM953=""),"MANQUANT",IF(OR(NOT(ISNUMBER(DATA_CLEANED!AL953)),NOT(ISNUMBER(DATA_CLEANED!AM953))),"ENTREE INVALIDE",IF(OR(DATA_CLEANED!AL953&lt;0,DATA_CLEANED!AM953&lt;0),"SCORE NEGATIF","OK")))</f>
        <v>OK</v>
      </c>
      <c r="BF962" s="43" t="str">
        <f>IF(DATA_CLEANED!AK953&lt;&gt;DATA_CLEANED!AN953,"OK","ERREUR")</f>
        <v>OK</v>
      </c>
      <c r="BG962" s="43" t="str">
        <f>IF(DATA_CLEANED!AL953&gt;DATA_CLEANED!AM953,DATA_CLEANED!AK953,IF(AND(DATA_QUALITE!W5439="-",DATA_CLEANED!AM953=DATA_CLEANED!AL953),"MATCH NUL",IF(AND(DATA_QUALITE!V5439="-",DATA_QUALITE!U5439="AUCUNE"),DATA_QUALITE!T5439,IF(DATA_QUALITE!V5439&lt;&gt;"-",DATA_QUALITE!V5439,DATA_CLEANED!AN953))))</f>
        <v>France</v>
      </c>
      <c r="BH962" s="103" t="str">
        <f>IF(AND(BG962="MATCH NUL",DATA_CLEANED!AO953="-"),"MATCH_NUL",IF(ISNUMBER(SEARCH("win on penalties",W5439)),"WIN_BY_PENALTY",IF(ISNUMBER(SEARCH("win after extra time",W5439)),"WIN_BY_EXTRA_TIME",IF(ISNUMBER(SEARCH("Golden Goal",W5439)),"WIN_BY_GOLDEN_GOAL","WIN_BY_SCORE"))))</f>
        <v>WIN_BY_SCORE</v>
      </c>
      <c r="BI962" s="99" t="str">
        <f>IF(OR(BG962=DATA_CLEANED!AK953,BG962=DATA_CLEANED!AN953,BG962="MATCH NUL"),"OK","ERREUR")</f>
        <v>OK</v>
      </c>
    </row>
    <row r="963" spans="2:61">
      <c r="B963" s="75">
        <v>526</v>
      </c>
      <c r="C963" s="15" t="str">
        <v>Tsuyoshi Watanabe</v>
      </c>
      <c r="D963" s="15">
        <v>29</v>
      </c>
      <c r="E963" s="15" t="str">
        <v>Japan</v>
      </c>
      <c r="F963" s="15" t="str">
        <v>CB</v>
      </c>
      <c r="G963" s="15" t="str">
        <v>Feyenoord</v>
      </c>
      <c r="H963" s="15">
        <v>16</v>
      </c>
      <c r="I963" s="15" t="str">
        <f t="shared" si="84"/>
        <v>526|Tsuyoshi Watanabe|29|Japan|CB|Feyenoord|16</v>
      </c>
      <c r="J963" s="15" t="str">
        <f>IF(COUNTIF(I$438:I963,I963)&gt;1,"DOUBLON","OK")</f>
        <v>OK</v>
      </c>
      <c r="S963" s="30" t="str">
        <v>Ghana</v>
      </c>
      <c r="T963" s="30" t="str">
        <f t="shared" si="85"/>
        <v>OK</v>
      </c>
      <c r="U963" s="30" t="str">
        <f t="shared" si="86"/>
        <v>-</v>
      </c>
      <c r="V963" s="30" t="str" cm="1">
        <f t="array" ref="V963">_xlfn.IFS(
ISNUMBER(SEARCH("USA",S963)),"United States",
ISNUMBER(SEARCH("Republic of Korea",S963)),"South Korea",
ISNUMBER(SEARCH("Cape Verde",S963)),"Cabo Verde",
ISNUMBER(SEARCH("Czechia",S963)),"Czech Republic",
ISNUMBER(SEARCH("Türkiye",S963)),"Turkey",
ISNUMBER(SEARCH("Ivory Coast",S963)),"Côte d'Ivoire",
ISNUMBER(SEARCH("Korea Republic",S963)),"South Korea",
ISNUMBER(SEARCH("Germany FR",S963)),"FR Germany",
ISNUMBER(SEARCH("West Germany",S963)),"FR Germany",
ISNUMBER(SEARCH("Germany DR",S963)),"DR Germany",
ISNUMBER(SEARCH("Korea DPR",S963)),"North Korea",
ISNUMBER(SEARCH("China PR",S963)),"China",
ISNUMBER(SEARCH("IR Iran",S963)),"Iran",
ISNUMBER(SEARCH("Congo DR",S963)),"Democratic Republic of the Congo",
ISNUMBER(SEARCH("DR Congo",S963)),"Democratic Republic of the Congo",
ISNUMBER(SEARCH("German DR",S963)),"DR Germany",
ISNUMBER(SEARCH("rn""&gt;United Arab Emirates",S963)),"United Arab Emirates",
ISNUMBER(SEARCH("rn""&gt;Republic of Ireland",S963)),"Ireland",
ISNUMBER(SEARCH("rn""&gt;Bosnia and Herzegovina",S963)),"Bosnia and Herzegovina",
ISNUMBER(SEARCH("rn""&gt;Trinidad and Tobago",S963)),"Trinidad and Tobago",
ISNUMBER(SEARCH("rn""&gt;Serbia and Montenegro",S963)),"Serbia and Montenegro",
ISNUMBER(SEARCH(_xlfn.UNICHAR(65533),S963)),"Côte d'Ivoire",
TRUE,""
)</f>
        <v/>
      </c>
      <c r="W963" s="30" t="str">
        <f t="shared" si="82"/>
        <v>Ghana</v>
      </c>
      <c r="Z963" s="40" t="str">
        <v>Lusail Stadium</v>
      </c>
      <c r="AA963" s="40" t="str" cm="1">
        <f t="array" ref="AA963">IFERROR(_xlfn.XLOOKUP(Z963,_xlfn.ANCHORARRAY(Z$31),AA$31:AA$37),Z963)</f>
        <v>Lusail Stadium</v>
      </c>
      <c r="AB963" s="42" t="str">
        <v>Lusail</v>
      </c>
      <c r="AC963" s="89" t="str">
        <f t="shared" si="83"/>
        <v>Lusail</v>
      </c>
      <c r="AE963" s="42">
        <v>2018</v>
      </c>
      <c r="AK963" s="42">
        <v>0</v>
      </c>
      <c r="AL963" s="42">
        <v>1</v>
      </c>
      <c r="AW963" s="89" t="str">
        <v>ROUND_OF_16</v>
      </c>
      <c r="BE963" s="43" t="str">
        <f>IF(OR(DATA_CLEANED!AL954="",DATA_CLEANED!AM954=""),"MANQUANT",IF(OR(NOT(ISNUMBER(DATA_CLEANED!AL954)),NOT(ISNUMBER(DATA_CLEANED!AM954))),"ENTREE INVALIDE",IF(OR(DATA_CLEANED!AL954&lt;0,DATA_CLEANED!AM954&lt;0),"SCORE NEGATIF","OK")))</f>
        <v>OK</v>
      </c>
      <c r="BF963" s="43" t="str">
        <f>IF(DATA_CLEANED!AK954&lt;&gt;DATA_CLEANED!AN954,"OK","ERREUR")</f>
        <v>OK</v>
      </c>
      <c r="BG963" s="43" t="str">
        <f>IF(DATA_CLEANED!AL954&gt;DATA_CLEANED!AM954,DATA_CLEANED!AK954,IF(AND(DATA_QUALITE!W5440="-",DATA_CLEANED!AM954=DATA_CLEANED!AL954),"MATCH NUL",IF(AND(DATA_QUALITE!V5440="-",DATA_QUALITE!U5440="AUCUNE"),DATA_QUALITE!T5440,IF(DATA_QUALITE!V5440&lt;&gt;"-",DATA_QUALITE!V5440,DATA_CLEANED!AN954))))</f>
        <v>England</v>
      </c>
      <c r="BH963" s="103" t="str">
        <f>IF(AND(BG963="MATCH NUL",DATA_CLEANED!AO954="-"),"MATCH_NUL",IF(ISNUMBER(SEARCH("win on penalties",W5440)),"WIN_BY_PENALTY",IF(ISNUMBER(SEARCH("win after extra time",W5440)),"WIN_BY_EXTRA_TIME",IF(ISNUMBER(SEARCH("Golden Goal",W5440)),"WIN_BY_GOLDEN_GOAL","WIN_BY_SCORE"))))</f>
        <v>WIN_BY_SCORE</v>
      </c>
      <c r="BI963" s="99" t="str">
        <f>IF(OR(BG963=DATA_CLEANED!AK954,BG963=DATA_CLEANED!AN954,BG963="MATCH NUL"),"OK","ERREUR")</f>
        <v>OK</v>
      </c>
    </row>
    <row r="964" spans="2:61">
      <c r="B964" s="75">
        <v>527</v>
      </c>
      <c r="C964" s="15" t="str">
        <v>Ayumu Seko</v>
      </c>
      <c r="D964" s="15">
        <v>26</v>
      </c>
      <c r="E964" s="15" t="str">
        <v>Japan</v>
      </c>
      <c r="F964" s="15" t="str">
        <v>CB</v>
      </c>
      <c r="G964" s="15" t="str">
        <v>Le Havre</v>
      </c>
      <c r="H964" s="15">
        <v>20</v>
      </c>
      <c r="I964" s="15" t="str">
        <f t="shared" si="84"/>
        <v>527|Ayumu Seko|26|Japan|CB|Le Havre|20</v>
      </c>
      <c r="J964" s="15" t="str">
        <f>IF(COUNTIF(I$438:I964,I964)&gt;1,"DOUBLON","OK")</f>
        <v>OK</v>
      </c>
      <c r="S964" s="30" t="str">
        <v>Uruguay</v>
      </c>
      <c r="T964" s="30" t="str">
        <f t="shared" si="85"/>
        <v>OK</v>
      </c>
      <c r="U964" s="30" t="str">
        <f t="shared" si="86"/>
        <v>-</v>
      </c>
      <c r="V964" s="30" t="str" cm="1">
        <f t="array" ref="V964">_xlfn.IFS(
ISNUMBER(SEARCH("USA",S964)),"United States",
ISNUMBER(SEARCH("Republic of Korea",S964)),"South Korea",
ISNUMBER(SEARCH("Cape Verde",S964)),"Cabo Verde",
ISNUMBER(SEARCH("Czechia",S964)),"Czech Republic",
ISNUMBER(SEARCH("Türkiye",S964)),"Turkey",
ISNUMBER(SEARCH("Ivory Coast",S964)),"Côte d'Ivoire",
ISNUMBER(SEARCH("Korea Republic",S964)),"South Korea",
ISNUMBER(SEARCH("Germany FR",S964)),"FR Germany",
ISNUMBER(SEARCH("West Germany",S964)),"FR Germany",
ISNUMBER(SEARCH("Germany DR",S964)),"DR Germany",
ISNUMBER(SEARCH("Korea DPR",S964)),"North Korea",
ISNUMBER(SEARCH("China PR",S964)),"China",
ISNUMBER(SEARCH("IR Iran",S964)),"Iran",
ISNUMBER(SEARCH("Congo DR",S964)),"Democratic Republic of the Congo",
ISNUMBER(SEARCH("DR Congo",S964)),"Democratic Republic of the Congo",
ISNUMBER(SEARCH("German DR",S964)),"DR Germany",
ISNUMBER(SEARCH("rn""&gt;United Arab Emirates",S964)),"United Arab Emirates",
ISNUMBER(SEARCH("rn""&gt;Republic of Ireland",S964)),"Ireland",
ISNUMBER(SEARCH("rn""&gt;Bosnia and Herzegovina",S964)),"Bosnia and Herzegovina",
ISNUMBER(SEARCH("rn""&gt;Trinidad and Tobago",S964)),"Trinidad and Tobago",
ISNUMBER(SEARCH("rn""&gt;Serbia and Montenegro",S964)),"Serbia and Montenegro",
ISNUMBER(SEARCH(_xlfn.UNICHAR(65533),S964)),"Côte d'Ivoire",
TRUE,""
)</f>
        <v/>
      </c>
      <c r="W964" s="30" t="str">
        <f t="shared" si="82"/>
        <v>Uruguay</v>
      </c>
      <c r="Z964" s="40" t="str">
        <v>Ahmad bin Ali Stadium</v>
      </c>
      <c r="AA964" s="40" t="str" cm="1">
        <f t="array" ref="AA964">IFERROR(_xlfn.XLOOKUP(Z964,_xlfn.ANCHORARRAY(Z$31),AA$31:AA$37),Z964)</f>
        <v>Ahmad bin Ali Stadium</v>
      </c>
      <c r="AB964" s="42" t="str">
        <v>Al Rayyan</v>
      </c>
      <c r="AC964" s="89" t="str">
        <f t="shared" si="83"/>
        <v>Al Rayyan</v>
      </c>
      <c r="AE964" s="42">
        <v>2018</v>
      </c>
      <c r="AK964" s="42">
        <v>0</v>
      </c>
      <c r="AL964" s="42">
        <v>1</v>
      </c>
      <c r="AW964" s="89" t="str">
        <v>ROUND_OF_16</v>
      </c>
      <c r="BE964" s="43" t="str">
        <f>IF(OR(DATA_CLEANED!AL955="",DATA_CLEANED!AM955=""),"MANQUANT",IF(OR(NOT(ISNUMBER(DATA_CLEANED!AL955)),NOT(ISNUMBER(DATA_CLEANED!AM955))),"ENTREE INVALIDE",IF(OR(DATA_CLEANED!AL955&lt;0,DATA_CLEANED!AM955&lt;0),"SCORE NEGATIF","OK")))</f>
        <v>OK</v>
      </c>
      <c r="BF964" s="43" t="str">
        <f>IF(DATA_CLEANED!AK955&lt;&gt;DATA_CLEANED!AN955,"OK","ERREUR")</f>
        <v>OK</v>
      </c>
      <c r="BG964" s="43" t="str">
        <f>IF(DATA_CLEANED!AL955&gt;DATA_CLEANED!AM955,DATA_CLEANED!AK955,IF(AND(DATA_QUALITE!W5441="-",DATA_CLEANED!AM955=DATA_CLEANED!AL955),"MATCH NUL",IF(AND(DATA_QUALITE!V5441="-",DATA_QUALITE!U5441="AUCUNE"),DATA_QUALITE!T5441,IF(DATA_QUALITE!V5441&lt;&gt;"-",DATA_QUALITE!V5441,DATA_CLEANED!AN955))))</f>
        <v>Croatia</v>
      </c>
      <c r="BH964" s="103" t="str">
        <f>IF(AND(BG964="MATCH NUL",DATA_CLEANED!AO955="-"),"MATCH_NUL",IF(ISNUMBER(SEARCH("win on penalties",W5441)),"WIN_BY_PENALTY",IF(ISNUMBER(SEARCH("win after extra time",W5441)),"WIN_BY_EXTRA_TIME",IF(ISNUMBER(SEARCH("Golden Goal",W5441)),"WIN_BY_GOLDEN_GOAL","WIN_BY_SCORE"))))</f>
        <v>WIN_BY_PENALTY</v>
      </c>
      <c r="BI964" s="99" t="str">
        <f>IF(OR(BG964=DATA_CLEANED!AK955,BG964=DATA_CLEANED!AN955,BG964="MATCH NUL"),"OK","ERREUR")</f>
        <v>OK</v>
      </c>
    </row>
    <row r="965" spans="2:61">
      <c r="B965" s="75">
        <v>528</v>
      </c>
      <c r="C965" s="15" t="str">
        <v>Hiroki Itō</v>
      </c>
      <c r="D965" s="15">
        <v>27</v>
      </c>
      <c r="E965" s="15" t="str">
        <v>Japan</v>
      </c>
      <c r="F965" s="15" t="str">
        <v>CB</v>
      </c>
      <c r="G965" s="15" t="str">
        <v>Bayern Munich</v>
      </c>
      <c r="H965" s="15">
        <v>21</v>
      </c>
      <c r="I965" s="15" t="str">
        <f t="shared" si="84"/>
        <v>528|Hiroki Itō|27|Japan|CB|Bayern Munich|21</v>
      </c>
      <c r="J965" s="15" t="str">
        <f>IF(COUNTIF(I$438:I965,I965)&gt;1,"DOUBLON","OK")</f>
        <v>OK</v>
      </c>
      <c r="S965" s="30" t="str">
        <v>Ghana</v>
      </c>
      <c r="T965" s="30" t="str">
        <f t="shared" si="85"/>
        <v>OK</v>
      </c>
      <c r="U965" s="30" t="str">
        <f t="shared" si="86"/>
        <v>-</v>
      </c>
      <c r="V965" s="30" t="str" cm="1">
        <f t="array" ref="V965">_xlfn.IFS(
ISNUMBER(SEARCH("USA",S965)),"United States",
ISNUMBER(SEARCH("Republic of Korea",S965)),"South Korea",
ISNUMBER(SEARCH("Cape Verde",S965)),"Cabo Verde",
ISNUMBER(SEARCH("Czechia",S965)),"Czech Republic",
ISNUMBER(SEARCH("Türkiye",S965)),"Turkey",
ISNUMBER(SEARCH("Ivory Coast",S965)),"Côte d'Ivoire",
ISNUMBER(SEARCH("Korea Republic",S965)),"South Korea",
ISNUMBER(SEARCH("Germany FR",S965)),"FR Germany",
ISNUMBER(SEARCH("West Germany",S965)),"FR Germany",
ISNUMBER(SEARCH("Germany DR",S965)),"DR Germany",
ISNUMBER(SEARCH("Korea DPR",S965)),"North Korea",
ISNUMBER(SEARCH("China PR",S965)),"China",
ISNUMBER(SEARCH("IR Iran",S965)),"Iran",
ISNUMBER(SEARCH("Congo DR",S965)),"Democratic Republic of the Congo",
ISNUMBER(SEARCH("DR Congo",S965)),"Democratic Republic of the Congo",
ISNUMBER(SEARCH("German DR",S965)),"DR Germany",
ISNUMBER(SEARCH("rn""&gt;United Arab Emirates",S965)),"United Arab Emirates",
ISNUMBER(SEARCH("rn""&gt;Republic of Ireland",S965)),"Ireland",
ISNUMBER(SEARCH("rn""&gt;Bosnia and Herzegovina",S965)),"Bosnia and Herzegovina",
ISNUMBER(SEARCH("rn""&gt;Trinidad and Tobago",S965)),"Trinidad and Tobago",
ISNUMBER(SEARCH("rn""&gt;Serbia and Montenegro",S965)),"Serbia and Montenegro",
ISNUMBER(SEARCH(_xlfn.UNICHAR(65533),S965)),"Côte d'Ivoire",
TRUE,""
)</f>
        <v/>
      </c>
      <c r="W965" s="30" t="str">
        <f t="shared" si="82"/>
        <v>Ghana</v>
      </c>
      <c r="Z965" s="40" t="str">
        <v>Al Thumama Stadium</v>
      </c>
      <c r="AA965" s="40" t="str" cm="1">
        <f t="array" ref="AA965">IFERROR(_xlfn.XLOOKUP(Z965,_xlfn.ANCHORARRAY(Z$31),AA$31:AA$37),Z965)</f>
        <v>Al Thumama Stadium</v>
      </c>
      <c r="AB965" s="42" t="str">
        <v>Doha</v>
      </c>
      <c r="AC965" s="89" t="str">
        <f t="shared" si="83"/>
        <v>Doha</v>
      </c>
      <c r="AE965" s="42">
        <v>2018</v>
      </c>
      <c r="AK965" s="42">
        <v>0</v>
      </c>
      <c r="AL965" s="42">
        <v>1</v>
      </c>
      <c r="AW965" s="89" t="str">
        <v>ROUND_OF_16</v>
      </c>
      <c r="BE965" s="43" t="str">
        <f>IF(OR(DATA_CLEANED!AL956="",DATA_CLEANED!AM956=""),"MANQUANT",IF(OR(NOT(ISNUMBER(DATA_CLEANED!AL956)),NOT(ISNUMBER(DATA_CLEANED!AM956))),"ENTREE INVALIDE",IF(OR(DATA_CLEANED!AL956&lt;0,DATA_CLEANED!AM956&lt;0),"SCORE NEGATIF","OK")))</f>
        <v>OK</v>
      </c>
      <c r="BF965" s="43" t="str">
        <f>IF(DATA_CLEANED!AK956&lt;&gt;DATA_CLEANED!AN956,"OK","ERREUR")</f>
        <v>OK</v>
      </c>
      <c r="BG965" s="43" t="str">
        <f>IF(DATA_CLEANED!AL956&gt;DATA_CLEANED!AM956,DATA_CLEANED!AK956,IF(AND(DATA_QUALITE!W5442="-",DATA_CLEANED!AM956=DATA_CLEANED!AL956),"MATCH NUL",IF(AND(DATA_QUALITE!V5442="-",DATA_QUALITE!U5442="AUCUNE"),DATA_QUALITE!T5442,IF(DATA_QUALITE!V5442&lt;&gt;"-",DATA_QUALITE!V5442,DATA_CLEANED!AN956))))</f>
        <v>Brazil</v>
      </c>
      <c r="BH965" s="103" t="str">
        <f>IF(AND(BG965="MATCH NUL",DATA_CLEANED!AO956="-"),"MATCH_NUL",IF(ISNUMBER(SEARCH("win on penalties",W5442)),"WIN_BY_PENALTY",IF(ISNUMBER(SEARCH("win after extra time",W5442)),"WIN_BY_EXTRA_TIME",IF(ISNUMBER(SEARCH("Golden Goal",W5442)),"WIN_BY_GOLDEN_GOAL","WIN_BY_SCORE"))))</f>
        <v>WIN_BY_SCORE</v>
      </c>
      <c r="BI965" s="99" t="str">
        <f>IF(OR(BG965=DATA_CLEANED!AK956,BG965=DATA_CLEANED!AN956,BG965="MATCH NUL"),"OK","ERREUR")</f>
        <v>OK</v>
      </c>
    </row>
    <row r="966" spans="2:61">
      <c r="B966" s="75">
        <v>529</v>
      </c>
      <c r="C966" s="15" t="str">
        <v>Takehiro Tomiyasu</v>
      </c>
      <c r="D966" s="15">
        <v>27</v>
      </c>
      <c r="E966" s="15" t="str">
        <v>Japan</v>
      </c>
      <c r="F966" s="15" t="str">
        <v>CB</v>
      </c>
      <c r="G966" s="15" t="str">
        <v>Ajax</v>
      </c>
      <c r="H966" s="15">
        <v>22</v>
      </c>
      <c r="I966" s="15" t="str">
        <f t="shared" si="84"/>
        <v>529|Takehiro Tomiyasu|27|Japan|CB|Ajax|22</v>
      </c>
      <c r="J966" s="15" t="str">
        <f>IF(COUNTIF(I$438:I966,I966)&gt;1,"DOUBLON","OK")</f>
        <v>OK</v>
      </c>
      <c r="S966" s="30" t="str">
        <v>Uruguay</v>
      </c>
      <c r="T966" s="30" t="str">
        <f t="shared" si="85"/>
        <v>OK</v>
      </c>
      <c r="U966" s="30" t="str">
        <f t="shared" si="86"/>
        <v>-</v>
      </c>
      <c r="V966" s="30" t="str" cm="1">
        <f t="array" ref="V966">_xlfn.IFS(
ISNUMBER(SEARCH("USA",S966)),"United States",
ISNUMBER(SEARCH("Republic of Korea",S966)),"South Korea",
ISNUMBER(SEARCH("Cape Verde",S966)),"Cabo Verde",
ISNUMBER(SEARCH("Czechia",S966)),"Czech Republic",
ISNUMBER(SEARCH("Türkiye",S966)),"Turkey",
ISNUMBER(SEARCH("Ivory Coast",S966)),"Côte d'Ivoire",
ISNUMBER(SEARCH("Korea Republic",S966)),"South Korea",
ISNUMBER(SEARCH("Germany FR",S966)),"FR Germany",
ISNUMBER(SEARCH("West Germany",S966)),"FR Germany",
ISNUMBER(SEARCH("Germany DR",S966)),"DR Germany",
ISNUMBER(SEARCH("Korea DPR",S966)),"North Korea",
ISNUMBER(SEARCH("China PR",S966)),"China",
ISNUMBER(SEARCH("IR Iran",S966)),"Iran",
ISNUMBER(SEARCH("Congo DR",S966)),"Democratic Republic of the Congo",
ISNUMBER(SEARCH("DR Congo",S966)),"Democratic Republic of the Congo",
ISNUMBER(SEARCH("German DR",S966)),"DR Germany",
ISNUMBER(SEARCH("rn""&gt;United Arab Emirates",S966)),"United Arab Emirates",
ISNUMBER(SEARCH("rn""&gt;Republic of Ireland",S966)),"Ireland",
ISNUMBER(SEARCH("rn""&gt;Bosnia and Herzegovina",S966)),"Bosnia and Herzegovina",
ISNUMBER(SEARCH("rn""&gt;Trinidad and Tobago",S966)),"Trinidad and Tobago",
ISNUMBER(SEARCH("rn""&gt;Serbia and Montenegro",S966)),"Serbia and Montenegro",
ISNUMBER(SEARCH(_xlfn.UNICHAR(65533),S966)),"Côte d'Ivoire",
TRUE,""
)</f>
        <v/>
      </c>
      <c r="W966" s="30" t="str">
        <f t="shared" si="82"/>
        <v>Uruguay</v>
      </c>
      <c r="Z966" s="40" t="str">
        <v>Khalifa International Stadium</v>
      </c>
      <c r="AA966" s="40" t="str" cm="1">
        <f t="array" ref="AA966">IFERROR(_xlfn.XLOOKUP(Z966,_xlfn.ANCHORARRAY(Z$31),AA$31:AA$37),Z966)</f>
        <v>Khalifa International Stadium</v>
      </c>
      <c r="AB966" s="42" t="str">
        <v>Al Rayyan</v>
      </c>
      <c r="AC966" s="89" t="str">
        <f t="shared" si="83"/>
        <v>Al Rayyan</v>
      </c>
      <c r="AE966" s="42">
        <v>2018</v>
      </c>
      <c r="AK966" s="42">
        <v>1</v>
      </c>
      <c r="AL966" s="42">
        <v>2</v>
      </c>
      <c r="AW966" s="89" t="str">
        <v>ROUND_OF_16</v>
      </c>
      <c r="BE966" s="43" t="str">
        <f>IF(OR(DATA_CLEANED!AL957="",DATA_CLEANED!AM957=""),"MANQUANT",IF(OR(NOT(ISNUMBER(DATA_CLEANED!AL957)),NOT(ISNUMBER(DATA_CLEANED!AM957))),"ENTREE INVALIDE",IF(OR(DATA_CLEANED!AL957&lt;0,DATA_CLEANED!AM957&lt;0),"SCORE NEGATIF","OK")))</f>
        <v>OK</v>
      </c>
      <c r="BF966" s="43" t="str">
        <f>IF(DATA_CLEANED!AK957&lt;&gt;DATA_CLEANED!AN957,"OK","ERREUR")</f>
        <v>OK</v>
      </c>
      <c r="BG966" s="43" t="str">
        <f>IF(DATA_CLEANED!AL957&gt;DATA_CLEANED!AM957,DATA_CLEANED!AK957,IF(AND(DATA_QUALITE!W5443="-",DATA_CLEANED!AM957=DATA_CLEANED!AL957),"MATCH NUL",IF(AND(DATA_QUALITE!V5443="-",DATA_QUALITE!U5443="AUCUNE"),DATA_QUALITE!T5443,IF(DATA_QUALITE!V5443&lt;&gt;"-",DATA_QUALITE!V5443,DATA_CLEANED!AN957))))</f>
        <v>Morocco</v>
      </c>
      <c r="BH966" s="103" t="str">
        <f>IF(AND(BG966="MATCH NUL",DATA_CLEANED!AO957="-"),"MATCH_NUL",IF(ISNUMBER(SEARCH("win on penalties",W5443)),"WIN_BY_PENALTY",IF(ISNUMBER(SEARCH("win after extra time",W5443)),"WIN_BY_EXTRA_TIME",IF(ISNUMBER(SEARCH("Golden Goal",W5443)),"WIN_BY_GOLDEN_GOAL","WIN_BY_SCORE"))))</f>
        <v>WIN_BY_PENALTY</v>
      </c>
      <c r="BI966" s="99" t="str">
        <f>IF(OR(BG966=DATA_CLEANED!AK957,BG966=DATA_CLEANED!AN957,BG966="MATCH NUL"),"OK","ERREUR")</f>
        <v>OK</v>
      </c>
    </row>
    <row r="967" spans="2:61">
      <c r="B967" s="75">
        <v>530</v>
      </c>
      <c r="C967" s="15" t="str">
        <v>Yūto Nagatomo</v>
      </c>
      <c r="D967" s="15">
        <v>39</v>
      </c>
      <c r="E967" s="15" t="str">
        <v>Japan</v>
      </c>
      <c r="F967" s="15" t="str">
        <v>LB</v>
      </c>
      <c r="G967" s="15" t="str">
        <v>FC Tokyo</v>
      </c>
      <c r="H967" s="15">
        <v>5</v>
      </c>
      <c r="I967" s="15" t="str">
        <f t="shared" si="84"/>
        <v>530|Yūto Nagatomo|39|Japan|LB|FC Tokyo|5</v>
      </c>
      <c r="J967" s="15" t="str">
        <f>IF(COUNTIF(I$438:I967,I967)&gt;1,"DOUBLON","OK")</f>
        <v>OK</v>
      </c>
      <c r="S967" s="30" t="str">
        <v>Ghana</v>
      </c>
      <c r="T967" s="30" t="str">
        <f t="shared" si="85"/>
        <v>OK</v>
      </c>
      <c r="U967" s="30" t="str">
        <f t="shared" si="86"/>
        <v>-</v>
      </c>
      <c r="V967" s="30" t="str" cm="1">
        <f t="array" ref="V967">_xlfn.IFS(
ISNUMBER(SEARCH("USA",S967)),"United States",
ISNUMBER(SEARCH("Republic of Korea",S967)),"South Korea",
ISNUMBER(SEARCH("Cape Verde",S967)),"Cabo Verde",
ISNUMBER(SEARCH("Czechia",S967)),"Czech Republic",
ISNUMBER(SEARCH("Türkiye",S967)),"Turkey",
ISNUMBER(SEARCH("Ivory Coast",S967)),"Côte d'Ivoire",
ISNUMBER(SEARCH("Korea Republic",S967)),"South Korea",
ISNUMBER(SEARCH("Germany FR",S967)),"FR Germany",
ISNUMBER(SEARCH("West Germany",S967)),"FR Germany",
ISNUMBER(SEARCH("Germany DR",S967)),"DR Germany",
ISNUMBER(SEARCH("Korea DPR",S967)),"North Korea",
ISNUMBER(SEARCH("China PR",S967)),"China",
ISNUMBER(SEARCH("IR Iran",S967)),"Iran",
ISNUMBER(SEARCH("Congo DR",S967)),"Democratic Republic of the Congo",
ISNUMBER(SEARCH("DR Congo",S967)),"Democratic Republic of the Congo",
ISNUMBER(SEARCH("German DR",S967)),"DR Germany",
ISNUMBER(SEARCH("rn""&gt;United Arab Emirates",S967)),"United Arab Emirates",
ISNUMBER(SEARCH("rn""&gt;Republic of Ireland",S967)),"Ireland",
ISNUMBER(SEARCH("rn""&gt;Bosnia and Herzegovina",S967)),"Bosnia and Herzegovina",
ISNUMBER(SEARCH("rn""&gt;Trinidad and Tobago",S967)),"Trinidad and Tobago",
ISNUMBER(SEARCH("rn""&gt;Serbia and Montenegro",S967)),"Serbia and Montenegro",
ISNUMBER(SEARCH(_xlfn.UNICHAR(65533),S967)),"Côte d'Ivoire",
TRUE,""
)</f>
        <v/>
      </c>
      <c r="W967" s="30" t="str">
        <f t="shared" si="82"/>
        <v>Ghana</v>
      </c>
      <c r="Z967" s="40" t="str">
        <v>Al Bayt Stadium</v>
      </c>
      <c r="AA967" s="40" t="str" cm="1">
        <f t="array" ref="AA967">IFERROR(_xlfn.XLOOKUP(Z967,_xlfn.ANCHORARRAY(Z$31),AA$31:AA$37),Z967)</f>
        <v>Al Bayt Stadium</v>
      </c>
      <c r="AB967" s="42" t="str">
        <v>Al Khor</v>
      </c>
      <c r="AC967" s="89" t="str">
        <f t="shared" si="83"/>
        <v>Al Khor</v>
      </c>
      <c r="AE967" s="42">
        <v>2018</v>
      </c>
      <c r="AK967" s="42">
        <v>4</v>
      </c>
      <c r="AL967" s="42">
        <v>3</v>
      </c>
      <c r="AW967" s="89" t="str">
        <v>ROUND_OF_16</v>
      </c>
      <c r="BE967" s="43" t="str">
        <f>IF(OR(DATA_CLEANED!AL958="",DATA_CLEANED!AM958=""),"MANQUANT",IF(OR(NOT(ISNUMBER(DATA_CLEANED!AL958)),NOT(ISNUMBER(DATA_CLEANED!AM958))),"ENTREE INVALIDE",IF(OR(DATA_CLEANED!AL958&lt;0,DATA_CLEANED!AM958&lt;0),"SCORE NEGATIF","OK")))</f>
        <v>OK</v>
      </c>
      <c r="BF967" s="43" t="str">
        <f>IF(DATA_CLEANED!AK958&lt;&gt;DATA_CLEANED!AN958,"OK","ERREUR")</f>
        <v>OK</v>
      </c>
      <c r="BG967" s="43" t="str">
        <f>IF(DATA_CLEANED!AL958&gt;DATA_CLEANED!AM958,DATA_CLEANED!AK958,IF(AND(DATA_QUALITE!W5444="-",DATA_CLEANED!AM958=DATA_CLEANED!AL958),"MATCH NUL",IF(AND(DATA_QUALITE!V5444="-",DATA_QUALITE!U5444="AUCUNE"),DATA_QUALITE!T5444,IF(DATA_QUALITE!V5444&lt;&gt;"-",DATA_QUALITE!V5444,DATA_CLEANED!AN958))))</f>
        <v>Portugal</v>
      </c>
      <c r="BH967" s="103" t="str">
        <f>IF(AND(BG967="MATCH NUL",DATA_CLEANED!AO958="-"),"MATCH_NUL",IF(ISNUMBER(SEARCH("win on penalties",W5444)),"WIN_BY_PENALTY",IF(ISNUMBER(SEARCH("win after extra time",W5444)),"WIN_BY_EXTRA_TIME",IF(ISNUMBER(SEARCH("Golden Goal",W5444)),"WIN_BY_GOLDEN_GOAL","WIN_BY_SCORE"))))</f>
        <v>WIN_BY_SCORE</v>
      </c>
      <c r="BI967" s="99" t="str">
        <f>IF(OR(BG967=DATA_CLEANED!AK958,BG967=DATA_CLEANED!AN958,BG967="MATCH NUL"),"OK","ERREUR")</f>
        <v>OK</v>
      </c>
    </row>
    <row r="968" spans="2:61">
      <c r="B968" s="75">
        <v>531</v>
      </c>
      <c r="C968" s="15" t="str">
        <v>Junnosuke Suzuki</v>
      </c>
      <c r="D968" s="15">
        <v>22</v>
      </c>
      <c r="E968" s="15" t="str">
        <v>Japan</v>
      </c>
      <c r="F968" s="15" t="str">
        <v>LB</v>
      </c>
      <c r="G968" s="15" t="str">
        <v>Copenhagen</v>
      </c>
      <c r="H968" s="15">
        <v>25</v>
      </c>
      <c r="I968" s="15" t="str">
        <f t="shared" si="84"/>
        <v>531|Junnosuke Suzuki|22|Japan|LB|Copenhagen|25</v>
      </c>
      <c r="J968" s="15" t="str">
        <f>IF(COUNTIF(I$438:I968,I968)&gt;1,"DOUBLON","OK")</f>
        <v>OK</v>
      </c>
      <c r="S968" s="30" t="str">
        <v>Uruguay</v>
      </c>
      <c r="T968" s="30" t="str">
        <f t="shared" si="85"/>
        <v>OK</v>
      </c>
      <c r="U968" s="30" t="str">
        <f t="shared" si="86"/>
        <v>-</v>
      </c>
      <c r="V968" s="30" t="str" cm="1">
        <f t="array" ref="V968">_xlfn.IFS(
ISNUMBER(SEARCH("USA",S968)),"United States",
ISNUMBER(SEARCH("Republic of Korea",S968)),"South Korea",
ISNUMBER(SEARCH("Cape Verde",S968)),"Cabo Verde",
ISNUMBER(SEARCH("Czechia",S968)),"Czech Republic",
ISNUMBER(SEARCH("Türkiye",S968)),"Turkey",
ISNUMBER(SEARCH("Ivory Coast",S968)),"Côte d'Ivoire",
ISNUMBER(SEARCH("Korea Republic",S968)),"South Korea",
ISNUMBER(SEARCH("Germany FR",S968)),"FR Germany",
ISNUMBER(SEARCH("West Germany",S968)),"FR Germany",
ISNUMBER(SEARCH("Germany DR",S968)),"DR Germany",
ISNUMBER(SEARCH("Korea DPR",S968)),"North Korea",
ISNUMBER(SEARCH("China PR",S968)),"China",
ISNUMBER(SEARCH("IR Iran",S968)),"Iran",
ISNUMBER(SEARCH("Congo DR",S968)),"Democratic Republic of the Congo",
ISNUMBER(SEARCH("DR Congo",S968)),"Democratic Republic of the Congo",
ISNUMBER(SEARCH("German DR",S968)),"DR Germany",
ISNUMBER(SEARCH("rn""&gt;United Arab Emirates",S968)),"United Arab Emirates",
ISNUMBER(SEARCH("rn""&gt;Republic of Ireland",S968)),"Ireland",
ISNUMBER(SEARCH("rn""&gt;Bosnia and Herzegovina",S968)),"Bosnia and Herzegovina",
ISNUMBER(SEARCH("rn""&gt;Trinidad and Tobago",S968)),"Trinidad and Tobago",
ISNUMBER(SEARCH("rn""&gt;Serbia and Montenegro",S968)),"Serbia and Montenegro",
ISNUMBER(SEARCH(_xlfn.UNICHAR(65533),S968)),"Côte d'Ivoire",
TRUE,""
)</f>
        <v/>
      </c>
      <c r="W968" s="30" t="str">
        <f t="shared" si="82"/>
        <v>Uruguay</v>
      </c>
      <c r="Z968" s="40" t="str">
        <v>Al Janoub Stadium</v>
      </c>
      <c r="AA968" s="40" t="str" cm="1">
        <f t="array" ref="AA968">IFERROR(_xlfn.XLOOKUP(Z968,_xlfn.ANCHORARRAY(Z$31),AA$31:AA$37),Z968)</f>
        <v>Al Janoub Stadium</v>
      </c>
      <c r="AB968" s="42" t="str">
        <v>Al Wakrah</v>
      </c>
      <c r="AC968" s="89" t="str">
        <f t="shared" si="83"/>
        <v>Al Wakrah</v>
      </c>
      <c r="AE968" s="42">
        <v>2018</v>
      </c>
      <c r="AK968" s="42">
        <v>2</v>
      </c>
      <c r="AL968" s="42">
        <v>1</v>
      </c>
      <c r="AW968" s="89" t="str">
        <v>QUARTER_FINALS</v>
      </c>
      <c r="BE968" s="43" t="str">
        <f>IF(OR(DATA_CLEANED!AL959="",DATA_CLEANED!AM959=""),"MANQUANT",IF(OR(NOT(ISNUMBER(DATA_CLEANED!AL959)),NOT(ISNUMBER(DATA_CLEANED!AM959))),"ENTREE INVALIDE",IF(OR(DATA_CLEANED!AL959&lt;0,DATA_CLEANED!AM959&lt;0),"SCORE NEGATIF","OK")))</f>
        <v>OK</v>
      </c>
      <c r="BF968" s="43" t="str">
        <f>IF(DATA_CLEANED!AK959&lt;&gt;DATA_CLEANED!AN959,"OK","ERREUR")</f>
        <v>OK</v>
      </c>
      <c r="BG968" s="43" t="str">
        <f>IF(DATA_CLEANED!AL959&gt;DATA_CLEANED!AM959,DATA_CLEANED!AK959,IF(AND(DATA_QUALITE!W5445="-",DATA_CLEANED!AM959=DATA_CLEANED!AL959),"MATCH NUL",IF(AND(DATA_QUALITE!V5445="-",DATA_QUALITE!U5445="AUCUNE"),DATA_QUALITE!T5445,IF(DATA_QUALITE!V5445&lt;&gt;"-",DATA_QUALITE!V5445,DATA_CLEANED!AN959))))</f>
        <v>Croatia</v>
      </c>
      <c r="BH968" s="103" t="str">
        <f>IF(AND(BG968="MATCH NUL",DATA_CLEANED!AO959="-"),"MATCH_NUL",IF(ISNUMBER(SEARCH("win on penalties",W5445)),"WIN_BY_PENALTY",IF(ISNUMBER(SEARCH("win after extra time",W5445)),"WIN_BY_EXTRA_TIME",IF(ISNUMBER(SEARCH("Golden Goal",W5445)),"WIN_BY_GOLDEN_GOAL","WIN_BY_SCORE"))))</f>
        <v>WIN_BY_PENALTY</v>
      </c>
      <c r="BI968" s="99" t="str">
        <f>IF(OR(BG968=DATA_CLEANED!AK959,BG968=DATA_CLEANED!AN959,BG968="MATCH NUL"),"OK","ERREUR")</f>
        <v>OK</v>
      </c>
    </row>
    <row r="969" spans="2:61">
      <c r="B969" s="75">
        <v>532</v>
      </c>
      <c r="C969" s="15" t="str">
        <v>Yukinari Sugawara</v>
      </c>
      <c r="D969" s="15">
        <v>25</v>
      </c>
      <c r="E969" s="15" t="str">
        <v>Japan</v>
      </c>
      <c r="F969" s="15" t="str">
        <v>RB</v>
      </c>
      <c r="G969" s="15" t="str">
        <v>Werder Bremen</v>
      </c>
      <c r="H969" s="15">
        <v>2</v>
      </c>
      <c r="I969" s="15" t="str">
        <f t="shared" si="84"/>
        <v>532|Yukinari Sugawara|25|Japan|RB|Werder Bremen|2</v>
      </c>
      <c r="J969" s="15" t="str">
        <f>IF(COUNTIF(I$438:I969,I969)&gt;1,"DOUBLON","OK")</f>
        <v>OK</v>
      </c>
      <c r="S969" s="30" t="str">
        <v>Brazil</v>
      </c>
      <c r="T969" s="30" t="str">
        <f t="shared" si="85"/>
        <v>OK</v>
      </c>
      <c r="U969" s="30" t="str">
        <f t="shared" si="86"/>
        <v>-</v>
      </c>
      <c r="V969" s="30" t="str" cm="1">
        <f t="array" ref="V969">_xlfn.IFS(
ISNUMBER(SEARCH("USA",S969)),"United States",
ISNUMBER(SEARCH("Republic of Korea",S969)),"South Korea",
ISNUMBER(SEARCH("Cape Verde",S969)),"Cabo Verde",
ISNUMBER(SEARCH("Czechia",S969)),"Czech Republic",
ISNUMBER(SEARCH("Türkiye",S969)),"Turkey",
ISNUMBER(SEARCH("Ivory Coast",S969)),"Côte d'Ivoire",
ISNUMBER(SEARCH("Korea Republic",S969)),"South Korea",
ISNUMBER(SEARCH("Germany FR",S969)),"FR Germany",
ISNUMBER(SEARCH("West Germany",S969)),"FR Germany",
ISNUMBER(SEARCH("Germany DR",S969)),"DR Germany",
ISNUMBER(SEARCH("Korea DPR",S969)),"North Korea",
ISNUMBER(SEARCH("China PR",S969)),"China",
ISNUMBER(SEARCH("IR Iran",S969)),"Iran",
ISNUMBER(SEARCH("Congo DR",S969)),"Democratic Republic of the Congo",
ISNUMBER(SEARCH("DR Congo",S969)),"Democratic Republic of the Congo",
ISNUMBER(SEARCH("German DR",S969)),"DR Germany",
ISNUMBER(SEARCH("rn""&gt;United Arab Emirates",S969)),"United Arab Emirates",
ISNUMBER(SEARCH("rn""&gt;Republic of Ireland",S969)),"Ireland",
ISNUMBER(SEARCH("rn""&gt;Bosnia and Herzegovina",S969)),"Bosnia and Herzegovina",
ISNUMBER(SEARCH("rn""&gt;Trinidad and Tobago",S969)),"Trinidad and Tobago",
ISNUMBER(SEARCH("rn""&gt;Serbia and Montenegro",S969)),"Serbia and Montenegro",
ISNUMBER(SEARCH(_xlfn.UNICHAR(65533),S969)),"Côte d'Ivoire",
TRUE,""
)</f>
        <v/>
      </c>
      <c r="W969" s="30" t="str">
        <f t="shared" si="82"/>
        <v>Brazil</v>
      </c>
      <c r="Z969" s="40" t="str">
        <v>Education City Stadium</v>
      </c>
      <c r="AA969" s="40" t="str" cm="1">
        <f t="array" ref="AA969">IFERROR(_xlfn.XLOOKUP(Z969,_xlfn.ANCHORARRAY(Z$31),AA$31:AA$37),Z969)</f>
        <v>Education City Stadium</v>
      </c>
      <c r="AB969" s="42" t="str">
        <v>Al Rayyan</v>
      </c>
      <c r="AC969" s="89" t="str">
        <f t="shared" si="83"/>
        <v>Al Rayyan</v>
      </c>
      <c r="AE969" s="42">
        <v>2018</v>
      </c>
      <c r="AK969" s="42">
        <v>1</v>
      </c>
      <c r="AL969" s="42">
        <v>1</v>
      </c>
      <c r="AW969" s="89" t="str">
        <v>QUARTER_FINALS</v>
      </c>
      <c r="BE969" s="43" t="str">
        <f>IF(OR(DATA_CLEANED!AL960="",DATA_CLEANED!AM960=""),"MANQUANT",IF(OR(NOT(ISNUMBER(DATA_CLEANED!AL960)),NOT(ISNUMBER(DATA_CLEANED!AM960))),"ENTREE INVALIDE",IF(OR(DATA_CLEANED!AL960&lt;0,DATA_CLEANED!AM960&lt;0),"SCORE NEGATIF","OK")))</f>
        <v>OK</v>
      </c>
      <c r="BF969" s="43" t="str">
        <f>IF(DATA_CLEANED!AK960&lt;&gt;DATA_CLEANED!AN960,"OK","ERREUR")</f>
        <v>OK</v>
      </c>
      <c r="BG969" s="43" t="str">
        <f>IF(DATA_CLEANED!AL960&gt;DATA_CLEANED!AM960,DATA_CLEANED!AK960,IF(AND(DATA_QUALITE!W5446="-",DATA_CLEANED!AM960=DATA_CLEANED!AL960),"MATCH NUL",IF(AND(DATA_QUALITE!V5446="-",DATA_QUALITE!U5446="AUCUNE"),DATA_QUALITE!T5446,IF(DATA_QUALITE!V5446&lt;&gt;"-",DATA_QUALITE!V5446,DATA_CLEANED!AN960))))</f>
        <v>Argentina</v>
      </c>
      <c r="BH969" s="103" t="str">
        <f>IF(AND(BG969="MATCH NUL",DATA_CLEANED!AO960="-"),"MATCH_NUL",IF(ISNUMBER(SEARCH("win on penalties",W5446)),"WIN_BY_PENALTY",IF(ISNUMBER(SEARCH("win after extra time",W5446)),"WIN_BY_EXTRA_TIME",IF(ISNUMBER(SEARCH("Golden Goal",W5446)),"WIN_BY_GOLDEN_GOAL","WIN_BY_SCORE"))))</f>
        <v>WIN_BY_PENALTY</v>
      </c>
      <c r="BI969" s="99" t="str">
        <f>IF(OR(BG969=DATA_CLEANED!AK960,BG969=DATA_CLEANED!AN960,BG969="MATCH NUL"),"OK","ERREUR")</f>
        <v>OK</v>
      </c>
    </row>
    <row r="970" spans="2:61">
      <c r="B970" s="75">
        <v>533</v>
      </c>
      <c r="C970" s="15" t="str">
        <v>Kaishū Sano</v>
      </c>
      <c r="D970" s="15">
        <v>25</v>
      </c>
      <c r="E970" s="15" t="str">
        <v>Japan</v>
      </c>
      <c r="F970" s="15" t="str">
        <v>CDM</v>
      </c>
      <c r="G970" s="15" t="str">
        <v>Mainz 05</v>
      </c>
      <c r="H970" s="15">
        <v>24</v>
      </c>
      <c r="I970" s="15" t="str">
        <f t="shared" si="84"/>
        <v>533|Kaishū Sano|25|Japan|CDM|Mainz 05|24</v>
      </c>
      <c r="J970" s="15" t="str">
        <f>IF(COUNTIF(I$438:I970,I970)&gt;1,"DOUBLON","OK")</f>
        <v>OK</v>
      </c>
      <c r="S970" s="30" t="str">
        <v>Chile</v>
      </c>
      <c r="T970" s="30" t="str">
        <f t="shared" si="85"/>
        <v>OK</v>
      </c>
      <c r="U970" s="30" t="str">
        <f t="shared" si="86"/>
        <v>-</v>
      </c>
      <c r="V970" s="30" t="str" cm="1">
        <f t="array" ref="V970">_xlfn.IFS(
ISNUMBER(SEARCH("USA",S970)),"United States",
ISNUMBER(SEARCH("Republic of Korea",S970)),"South Korea",
ISNUMBER(SEARCH("Cape Verde",S970)),"Cabo Verde",
ISNUMBER(SEARCH("Czechia",S970)),"Czech Republic",
ISNUMBER(SEARCH("Türkiye",S970)),"Turkey",
ISNUMBER(SEARCH("Ivory Coast",S970)),"Côte d'Ivoire",
ISNUMBER(SEARCH("Korea Republic",S970)),"South Korea",
ISNUMBER(SEARCH("Germany FR",S970)),"FR Germany",
ISNUMBER(SEARCH("West Germany",S970)),"FR Germany",
ISNUMBER(SEARCH("Germany DR",S970)),"DR Germany",
ISNUMBER(SEARCH("Korea DPR",S970)),"North Korea",
ISNUMBER(SEARCH("China PR",S970)),"China",
ISNUMBER(SEARCH("IR Iran",S970)),"Iran",
ISNUMBER(SEARCH("Congo DR",S970)),"Democratic Republic of the Congo",
ISNUMBER(SEARCH("DR Congo",S970)),"Democratic Republic of the Congo",
ISNUMBER(SEARCH("German DR",S970)),"DR Germany",
ISNUMBER(SEARCH("rn""&gt;United Arab Emirates",S970)),"United Arab Emirates",
ISNUMBER(SEARCH("rn""&gt;Republic of Ireland",S970)),"Ireland",
ISNUMBER(SEARCH("rn""&gt;Bosnia and Herzegovina",S970)),"Bosnia and Herzegovina",
ISNUMBER(SEARCH("rn""&gt;Trinidad and Tobago",S970)),"Trinidad and Tobago",
ISNUMBER(SEARCH("rn""&gt;Serbia and Montenegro",S970)),"Serbia and Montenegro",
ISNUMBER(SEARCH(_xlfn.UNICHAR(65533),S970)),"Côte d'Ivoire",
TRUE,""
)</f>
        <v/>
      </c>
      <c r="W970" s="30" t="str">
        <f t="shared" si="82"/>
        <v>Chile</v>
      </c>
      <c r="Z970" s="40" t="str">
        <v>Stadium 974</v>
      </c>
      <c r="AA970" s="40" t="str" cm="1">
        <f t="array" ref="AA970">IFERROR(_xlfn.XLOOKUP(Z970,_xlfn.ANCHORARRAY(Z$31),AA$31:AA$37),Z970)</f>
        <v>Stadium 974</v>
      </c>
      <c r="AB970" s="42" t="str">
        <v>Doha</v>
      </c>
      <c r="AC970" s="89" t="str">
        <f t="shared" si="83"/>
        <v>Doha</v>
      </c>
      <c r="AE970" s="42">
        <v>2018</v>
      </c>
      <c r="AK970" s="42">
        <v>1</v>
      </c>
      <c r="AL970" s="42">
        <v>1</v>
      </c>
      <c r="AW970" s="89" t="str">
        <v>QUARTER_FINALS</v>
      </c>
      <c r="BE970" s="43" t="str">
        <f>IF(OR(DATA_CLEANED!AL961="",DATA_CLEANED!AM961=""),"MANQUANT",IF(OR(NOT(ISNUMBER(DATA_CLEANED!AL961)),NOT(ISNUMBER(DATA_CLEANED!AM961))),"ENTREE INVALIDE",IF(OR(DATA_CLEANED!AL961&lt;0,DATA_CLEANED!AM961&lt;0),"SCORE NEGATIF","OK")))</f>
        <v>OK</v>
      </c>
      <c r="BF970" s="43" t="str">
        <f>IF(DATA_CLEANED!AK961&lt;&gt;DATA_CLEANED!AN961,"OK","ERREUR")</f>
        <v>OK</v>
      </c>
      <c r="BG970" s="43" t="str">
        <f>IF(DATA_CLEANED!AL961&gt;DATA_CLEANED!AM961,DATA_CLEANED!AK961,IF(AND(DATA_QUALITE!W5447="-",DATA_CLEANED!AM961=DATA_CLEANED!AL961),"MATCH NUL",IF(AND(DATA_QUALITE!V5447="-",DATA_QUALITE!U5447="AUCUNE"),DATA_QUALITE!T5447,IF(DATA_QUALITE!V5447&lt;&gt;"-",DATA_QUALITE!V5447,DATA_CLEANED!AN961))))</f>
        <v>Morocco</v>
      </c>
      <c r="BH970" s="103" t="str">
        <f>IF(AND(BG970="MATCH NUL",DATA_CLEANED!AO961="-"),"MATCH_NUL",IF(ISNUMBER(SEARCH("win on penalties",W5447)),"WIN_BY_PENALTY",IF(ISNUMBER(SEARCH("win after extra time",W5447)),"WIN_BY_EXTRA_TIME",IF(ISNUMBER(SEARCH("Golden Goal",W5447)),"WIN_BY_GOLDEN_GOAL","WIN_BY_SCORE"))))</f>
        <v>WIN_BY_SCORE</v>
      </c>
      <c r="BI970" s="99" t="str">
        <f>IF(OR(BG970=DATA_CLEANED!AK961,BG970=DATA_CLEANED!AN961,BG970="MATCH NUL"),"OK","ERREUR")</f>
        <v>OK</v>
      </c>
    </row>
    <row r="971" spans="2:61">
      <c r="B971" s="75">
        <v>534</v>
      </c>
      <c r="C971" s="15" t="str">
        <v>Ao Tanaka</v>
      </c>
      <c r="D971" s="15">
        <v>27</v>
      </c>
      <c r="E971" s="15" t="str">
        <v>Japan</v>
      </c>
      <c r="F971" s="15" t="str">
        <v>CM</v>
      </c>
      <c r="G971" s="15" t="str">
        <v>Leeds United</v>
      </c>
      <c r="H971" s="15">
        <v>7</v>
      </c>
      <c r="I971" s="15" t="str">
        <f t="shared" si="84"/>
        <v>534|Ao Tanaka|27|Japan|CM|Leeds United|7</v>
      </c>
      <c r="J971" s="15" t="str">
        <f>IF(COUNTIF(I$438:I971,I971)&gt;1,"DOUBLON","OK")</f>
        <v>OK</v>
      </c>
      <c r="S971" s="30" t="str">
        <v>Brazil</v>
      </c>
      <c r="T971" s="30" t="str">
        <f t="shared" si="85"/>
        <v>OK</v>
      </c>
      <c r="U971" s="30" t="str">
        <f t="shared" si="86"/>
        <v>-</v>
      </c>
      <c r="V971" s="30" t="str" cm="1">
        <f t="array" ref="V971">_xlfn.IFS(
ISNUMBER(SEARCH("USA",S971)),"United States",
ISNUMBER(SEARCH("Republic of Korea",S971)),"South Korea",
ISNUMBER(SEARCH("Cape Verde",S971)),"Cabo Verde",
ISNUMBER(SEARCH("Czechia",S971)),"Czech Republic",
ISNUMBER(SEARCH("Türkiye",S971)),"Turkey",
ISNUMBER(SEARCH("Ivory Coast",S971)),"Côte d'Ivoire",
ISNUMBER(SEARCH("Korea Republic",S971)),"South Korea",
ISNUMBER(SEARCH("Germany FR",S971)),"FR Germany",
ISNUMBER(SEARCH("West Germany",S971)),"FR Germany",
ISNUMBER(SEARCH("Germany DR",S971)),"DR Germany",
ISNUMBER(SEARCH("Korea DPR",S971)),"North Korea",
ISNUMBER(SEARCH("China PR",S971)),"China",
ISNUMBER(SEARCH("IR Iran",S971)),"Iran",
ISNUMBER(SEARCH("Congo DR",S971)),"Democratic Republic of the Congo",
ISNUMBER(SEARCH("DR Congo",S971)),"Democratic Republic of the Congo",
ISNUMBER(SEARCH("German DR",S971)),"DR Germany",
ISNUMBER(SEARCH("rn""&gt;United Arab Emirates",S971)),"United Arab Emirates",
ISNUMBER(SEARCH("rn""&gt;Republic of Ireland",S971)),"Ireland",
ISNUMBER(SEARCH("rn""&gt;Bosnia and Herzegovina",S971)),"Bosnia and Herzegovina",
ISNUMBER(SEARCH("rn""&gt;Trinidad and Tobago",S971)),"Trinidad and Tobago",
ISNUMBER(SEARCH("rn""&gt;Serbia and Montenegro",S971)),"Serbia and Montenegro",
ISNUMBER(SEARCH(_xlfn.UNICHAR(65533),S971)),"Côte d'Ivoire",
TRUE,""
)</f>
        <v/>
      </c>
      <c r="W971" s="30" t="str">
        <f t="shared" si="82"/>
        <v>Brazil</v>
      </c>
      <c r="Z971" s="40" t="str">
        <v>Lusail Stadium</v>
      </c>
      <c r="AA971" s="40" t="str" cm="1">
        <f t="array" ref="AA971">IFERROR(_xlfn.XLOOKUP(Z971,_xlfn.ANCHORARRAY(Z$31),AA$31:AA$37),Z971)</f>
        <v>Lusail Stadium</v>
      </c>
      <c r="AB971" s="42" t="str">
        <v>Lusail</v>
      </c>
      <c r="AC971" s="89" t="str">
        <f t="shared" si="83"/>
        <v>Lusail</v>
      </c>
      <c r="AE971" s="42">
        <v>2018</v>
      </c>
      <c r="AK971" s="42">
        <v>2</v>
      </c>
      <c r="AL971" s="42">
        <v>0</v>
      </c>
      <c r="AW971" s="89" t="str">
        <v>QUARTER_FINALS</v>
      </c>
      <c r="BE971" s="43" t="str">
        <f>IF(OR(DATA_CLEANED!AL962="",DATA_CLEANED!AM962=""),"MANQUANT",IF(OR(NOT(ISNUMBER(DATA_CLEANED!AL962)),NOT(ISNUMBER(DATA_CLEANED!AM962))),"ENTREE INVALIDE",IF(OR(DATA_CLEANED!AL962&lt;0,DATA_CLEANED!AM962&lt;0),"SCORE NEGATIF","OK")))</f>
        <v>OK</v>
      </c>
      <c r="BF971" s="43" t="str">
        <f>IF(DATA_CLEANED!AK962&lt;&gt;DATA_CLEANED!AN962,"OK","ERREUR")</f>
        <v>OK</v>
      </c>
      <c r="BG971" s="43" t="str">
        <f>IF(DATA_CLEANED!AL962&gt;DATA_CLEANED!AM962,DATA_CLEANED!AK962,IF(AND(DATA_QUALITE!W5448="-",DATA_CLEANED!AM962=DATA_CLEANED!AL962),"MATCH NUL",IF(AND(DATA_QUALITE!V5448="-",DATA_QUALITE!U5448="AUCUNE"),DATA_QUALITE!T5448,IF(DATA_QUALITE!V5448&lt;&gt;"-",DATA_QUALITE!V5448,DATA_CLEANED!AN962))))</f>
        <v>France</v>
      </c>
      <c r="BH971" s="103" t="str">
        <f>IF(AND(BG971="MATCH NUL",DATA_CLEANED!AO962="-"),"MATCH_NUL",IF(ISNUMBER(SEARCH("win on penalties",W5448)),"WIN_BY_PENALTY",IF(ISNUMBER(SEARCH("win after extra time",W5448)),"WIN_BY_EXTRA_TIME",IF(ISNUMBER(SEARCH("Golden Goal",W5448)),"WIN_BY_GOLDEN_GOAL","WIN_BY_SCORE"))))</f>
        <v>WIN_BY_SCORE</v>
      </c>
      <c r="BI971" s="99" t="str">
        <f>IF(OR(BG971=DATA_CLEANED!AK962,BG971=DATA_CLEANED!AN962,BG971="MATCH NUL"),"OK","ERREUR")</f>
        <v>OK</v>
      </c>
    </row>
    <row r="972" spans="2:61">
      <c r="B972" s="75">
        <v>535</v>
      </c>
      <c r="C972" s="15" t="str">
        <v>Takefusa Kubo</v>
      </c>
      <c r="D972" s="15">
        <v>25</v>
      </c>
      <c r="E972" s="15" t="str">
        <v>Japan</v>
      </c>
      <c r="F972" s="15" t="str">
        <v>CAM</v>
      </c>
      <c r="G972" s="15" t="str">
        <v>Real Sociedad</v>
      </c>
      <c r="H972" s="15">
        <v>8</v>
      </c>
      <c r="I972" s="15" t="str">
        <f t="shared" si="84"/>
        <v>535|Takefusa Kubo|25|Japan|CAM|Real Sociedad|8</v>
      </c>
      <c r="J972" s="15" t="str">
        <f>IF(COUNTIF(I$438:I972,I972)&gt;1,"DOUBLON","OK")</f>
        <v>OK</v>
      </c>
      <c r="S972" s="30" t="str">
        <v>Chile</v>
      </c>
      <c r="T972" s="30" t="str">
        <f t="shared" si="85"/>
        <v>OK</v>
      </c>
      <c r="U972" s="30" t="str">
        <f t="shared" si="86"/>
        <v>-</v>
      </c>
      <c r="V972" s="30" t="str" cm="1">
        <f t="array" ref="V972">_xlfn.IFS(
ISNUMBER(SEARCH("USA",S972)),"United States",
ISNUMBER(SEARCH("Republic of Korea",S972)),"South Korea",
ISNUMBER(SEARCH("Cape Verde",S972)),"Cabo Verde",
ISNUMBER(SEARCH("Czechia",S972)),"Czech Republic",
ISNUMBER(SEARCH("Türkiye",S972)),"Turkey",
ISNUMBER(SEARCH("Ivory Coast",S972)),"Côte d'Ivoire",
ISNUMBER(SEARCH("Korea Republic",S972)),"South Korea",
ISNUMBER(SEARCH("Germany FR",S972)),"FR Germany",
ISNUMBER(SEARCH("West Germany",S972)),"FR Germany",
ISNUMBER(SEARCH("Germany DR",S972)),"DR Germany",
ISNUMBER(SEARCH("Korea DPR",S972)),"North Korea",
ISNUMBER(SEARCH("China PR",S972)),"China",
ISNUMBER(SEARCH("IR Iran",S972)),"Iran",
ISNUMBER(SEARCH("Congo DR",S972)),"Democratic Republic of the Congo",
ISNUMBER(SEARCH("DR Congo",S972)),"Democratic Republic of the Congo",
ISNUMBER(SEARCH("German DR",S972)),"DR Germany",
ISNUMBER(SEARCH("rn""&gt;United Arab Emirates",S972)),"United Arab Emirates",
ISNUMBER(SEARCH("rn""&gt;Republic of Ireland",S972)),"Ireland",
ISNUMBER(SEARCH("rn""&gt;Bosnia and Herzegovina",S972)),"Bosnia and Herzegovina",
ISNUMBER(SEARCH("rn""&gt;Trinidad and Tobago",S972)),"Trinidad and Tobago",
ISNUMBER(SEARCH("rn""&gt;Serbia and Montenegro",S972)),"Serbia and Montenegro",
ISNUMBER(SEARCH(_xlfn.UNICHAR(65533),S972)),"Côte d'Ivoire",
TRUE,""
)</f>
        <v/>
      </c>
      <c r="W972" s="30" t="str">
        <f t="shared" si="82"/>
        <v>Chile</v>
      </c>
      <c r="Z972" s="40" t="str">
        <v>Khalifa International Stadium</v>
      </c>
      <c r="AA972" s="40" t="str" cm="1">
        <f t="array" ref="AA972">IFERROR(_xlfn.XLOOKUP(Z972,_xlfn.ANCHORARRAY(Z$31),AA$31:AA$37),Z972)</f>
        <v>Khalifa International Stadium</v>
      </c>
      <c r="AB972" s="42" t="str">
        <v>Al Rayyan</v>
      </c>
      <c r="AC972" s="89" t="str">
        <f t="shared" si="83"/>
        <v>Al Rayyan</v>
      </c>
      <c r="AE972" s="42">
        <v>2018</v>
      </c>
      <c r="AK972" s="42">
        <v>3</v>
      </c>
      <c r="AL972" s="42">
        <v>2</v>
      </c>
      <c r="AW972" s="89" t="str">
        <v>SEMI_FINALS</v>
      </c>
      <c r="BE972" s="43" t="str">
        <f>IF(OR(DATA_CLEANED!AL963="",DATA_CLEANED!AM963=""),"MANQUANT",IF(OR(NOT(ISNUMBER(DATA_CLEANED!AL963)),NOT(ISNUMBER(DATA_CLEANED!AM963))),"ENTREE INVALIDE",IF(OR(DATA_CLEANED!AL963&lt;0,DATA_CLEANED!AM963&lt;0),"SCORE NEGATIF","OK")))</f>
        <v>OK</v>
      </c>
      <c r="BF972" s="43" t="str">
        <f>IF(DATA_CLEANED!AK963&lt;&gt;DATA_CLEANED!AN963,"OK","ERREUR")</f>
        <v>OK</v>
      </c>
      <c r="BG972" s="43" t="str">
        <f>IF(DATA_CLEANED!AL963&gt;DATA_CLEANED!AM963,DATA_CLEANED!AK963,IF(AND(DATA_QUALITE!W5449="-",DATA_CLEANED!AM963=DATA_CLEANED!AL963),"MATCH NUL",IF(AND(DATA_QUALITE!V5449="-",DATA_QUALITE!U5449="AUCUNE"),DATA_QUALITE!T5449,IF(DATA_QUALITE!V5449&lt;&gt;"-",DATA_QUALITE!V5449,DATA_CLEANED!AN963))))</f>
        <v>Argentina</v>
      </c>
      <c r="BH972" s="103" t="str">
        <f>IF(AND(BG972="MATCH NUL",DATA_CLEANED!AO963="-"),"MATCH_NUL",IF(ISNUMBER(SEARCH("win on penalties",W5449)),"WIN_BY_PENALTY",IF(ISNUMBER(SEARCH("win after extra time",W5449)),"WIN_BY_EXTRA_TIME",IF(ISNUMBER(SEARCH("Golden Goal",W5449)),"WIN_BY_GOLDEN_GOAL","WIN_BY_SCORE"))))</f>
        <v>WIN_BY_SCORE</v>
      </c>
      <c r="BI972" s="99" t="str">
        <f>IF(OR(BG972=DATA_CLEANED!AK963,BG972=DATA_CLEANED!AN963,BG972="MATCH NUL"),"OK","ERREUR")</f>
        <v>OK</v>
      </c>
    </row>
    <row r="973" spans="2:61">
      <c r="B973" s="75">
        <v>536</v>
      </c>
      <c r="C973" s="15" t="str">
        <v>Ritsu Dōan</v>
      </c>
      <c r="D973" s="15">
        <v>27</v>
      </c>
      <c r="E973" s="15" t="str">
        <v>Japan</v>
      </c>
      <c r="F973" s="15" t="str">
        <v>CAM</v>
      </c>
      <c r="G973" s="15" t="str">
        <v>Eintracht Frankfurt</v>
      </c>
      <c r="H973" s="15">
        <v>10</v>
      </c>
      <c r="I973" s="15" t="str">
        <f t="shared" si="84"/>
        <v>536|Ritsu Dōan|27|Japan|CAM|Eintracht Frankfurt|10</v>
      </c>
      <c r="J973" s="15" t="str">
        <f>IF(COUNTIF(I$438:I973,I973)&gt;1,"DOUBLON","OK")</f>
        <v>OK</v>
      </c>
      <c r="S973" s="30" t="str">
        <v>Brazil</v>
      </c>
      <c r="T973" s="30" t="str">
        <f t="shared" si="85"/>
        <v>OK</v>
      </c>
      <c r="U973" s="30" t="str">
        <f t="shared" si="86"/>
        <v>-</v>
      </c>
      <c r="V973" s="30" t="str" cm="1">
        <f t="array" ref="V973">_xlfn.IFS(
ISNUMBER(SEARCH("USA",S973)),"United States",
ISNUMBER(SEARCH("Republic of Korea",S973)),"South Korea",
ISNUMBER(SEARCH("Cape Verde",S973)),"Cabo Verde",
ISNUMBER(SEARCH("Czechia",S973)),"Czech Republic",
ISNUMBER(SEARCH("Türkiye",S973)),"Turkey",
ISNUMBER(SEARCH("Ivory Coast",S973)),"Côte d'Ivoire",
ISNUMBER(SEARCH("Korea Republic",S973)),"South Korea",
ISNUMBER(SEARCH("Germany FR",S973)),"FR Germany",
ISNUMBER(SEARCH("West Germany",S973)),"FR Germany",
ISNUMBER(SEARCH("Germany DR",S973)),"DR Germany",
ISNUMBER(SEARCH("Korea DPR",S973)),"North Korea",
ISNUMBER(SEARCH("China PR",S973)),"China",
ISNUMBER(SEARCH("IR Iran",S973)),"Iran",
ISNUMBER(SEARCH("Congo DR",S973)),"Democratic Republic of the Congo",
ISNUMBER(SEARCH("DR Congo",S973)),"Democratic Republic of the Congo",
ISNUMBER(SEARCH("German DR",S973)),"DR Germany",
ISNUMBER(SEARCH("rn""&gt;United Arab Emirates",S973)),"United Arab Emirates",
ISNUMBER(SEARCH("rn""&gt;Republic of Ireland",S973)),"Ireland",
ISNUMBER(SEARCH("rn""&gt;Bosnia and Herzegovina",S973)),"Bosnia and Herzegovina",
ISNUMBER(SEARCH("rn""&gt;Trinidad and Tobago",S973)),"Trinidad and Tobago",
ISNUMBER(SEARCH("rn""&gt;Serbia and Montenegro",S973)),"Serbia and Montenegro",
ISNUMBER(SEARCH(_xlfn.UNICHAR(65533),S973)),"Côte d'Ivoire",
TRUE,""
)</f>
        <v/>
      </c>
      <c r="W973" s="30" t="str">
        <f t="shared" si="82"/>
        <v>Brazil</v>
      </c>
      <c r="Z973" s="40" t="str">
        <v>Al Bayt Stadium</v>
      </c>
      <c r="AA973" s="40" t="str" cm="1">
        <f t="array" ref="AA973">IFERROR(_xlfn.XLOOKUP(Z973,_xlfn.ANCHORARRAY(Z$31),AA$31:AA$37),Z973)</f>
        <v>Al Bayt Stadium</v>
      </c>
      <c r="AB973" s="42" t="str">
        <v>Al Khor</v>
      </c>
      <c r="AC973" s="89" t="str">
        <f t="shared" si="83"/>
        <v>Al Khor</v>
      </c>
      <c r="AE973" s="42">
        <v>2018</v>
      </c>
      <c r="AK973" s="42">
        <v>1</v>
      </c>
      <c r="AL973" s="42">
        <v>0</v>
      </c>
      <c r="AW973" s="89" t="str">
        <v>SEMI_FINALS</v>
      </c>
      <c r="BE973" s="43" t="str">
        <f>IF(OR(DATA_CLEANED!AL964="",DATA_CLEANED!AM964=""),"MANQUANT",IF(OR(NOT(ISNUMBER(DATA_CLEANED!AL964)),NOT(ISNUMBER(DATA_CLEANED!AM964))),"ENTREE INVALIDE",IF(OR(DATA_CLEANED!AL964&lt;0,DATA_CLEANED!AM964&lt;0),"SCORE NEGATIF","OK")))</f>
        <v>OK</v>
      </c>
      <c r="BF973" s="43" t="str">
        <f>IF(DATA_CLEANED!AK964&lt;&gt;DATA_CLEANED!AN964,"OK","ERREUR")</f>
        <v>OK</v>
      </c>
      <c r="BG973" s="43" t="str">
        <f>IF(DATA_CLEANED!AL964&gt;DATA_CLEANED!AM964,DATA_CLEANED!AK964,IF(AND(DATA_QUALITE!W5450="-",DATA_CLEANED!AM964=DATA_CLEANED!AL964),"MATCH NUL",IF(AND(DATA_QUALITE!V5450="-",DATA_QUALITE!U5450="AUCUNE"),DATA_QUALITE!T5450,IF(DATA_QUALITE!V5450&lt;&gt;"-",DATA_QUALITE!V5450,DATA_CLEANED!AN964))))</f>
        <v>France</v>
      </c>
      <c r="BH973" s="103" t="str">
        <f>IF(AND(BG973="MATCH NUL",DATA_CLEANED!AO964="-"),"MATCH_NUL",IF(ISNUMBER(SEARCH("win on penalties",W5450)),"WIN_BY_PENALTY",IF(ISNUMBER(SEARCH("win after extra time",W5450)),"WIN_BY_EXTRA_TIME",IF(ISNUMBER(SEARCH("Golden Goal",W5450)),"WIN_BY_GOLDEN_GOAL","WIN_BY_SCORE"))))</f>
        <v>WIN_BY_SCORE</v>
      </c>
      <c r="BI973" s="99" t="str">
        <f>IF(OR(BG973=DATA_CLEANED!AK964,BG973=DATA_CLEANED!AN964,BG973="MATCH NUL"),"OK","ERREUR")</f>
        <v>OK</v>
      </c>
    </row>
    <row r="974" spans="2:61">
      <c r="B974" s="75">
        <v>537</v>
      </c>
      <c r="C974" s="15" t="str">
        <v>Daichi Kamada</v>
      </c>
      <c r="D974" s="15">
        <v>29</v>
      </c>
      <c r="E974" s="15" t="str">
        <v>Japan</v>
      </c>
      <c r="F974" s="15" t="str">
        <v>CAM</v>
      </c>
      <c r="G974" s="15" t="str">
        <v>Crystal Palace</v>
      </c>
      <c r="H974" s="15">
        <v>15</v>
      </c>
      <c r="I974" s="15" t="str">
        <f t="shared" si="84"/>
        <v>537|Daichi Kamada|29|Japan|CAM|Crystal Palace|15</v>
      </c>
      <c r="J974" s="15" t="str">
        <f>IF(COUNTIF(I$438:I974,I974)&gt;1,"DOUBLON","OK")</f>
        <v>OK</v>
      </c>
      <c r="S974" s="30" t="str">
        <v>Chile</v>
      </c>
      <c r="T974" s="30" t="str">
        <f t="shared" si="85"/>
        <v>OK</v>
      </c>
      <c r="U974" s="30" t="str">
        <f t="shared" si="86"/>
        <v>-</v>
      </c>
      <c r="V974" s="30" t="str" cm="1">
        <f t="array" ref="V974">_xlfn.IFS(
ISNUMBER(SEARCH("USA",S974)),"United States",
ISNUMBER(SEARCH("Republic of Korea",S974)),"South Korea",
ISNUMBER(SEARCH("Cape Verde",S974)),"Cabo Verde",
ISNUMBER(SEARCH("Czechia",S974)),"Czech Republic",
ISNUMBER(SEARCH("Türkiye",S974)),"Turkey",
ISNUMBER(SEARCH("Ivory Coast",S974)),"Côte d'Ivoire",
ISNUMBER(SEARCH("Korea Republic",S974)),"South Korea",
ISNUMBER(SEARCH("Germany FR",S974)),"FR Germany",
ISNUMBER(SEARCH("West Germany",S974)),"FR Germany",
ISNUMBER(SEARCH("Germany DR",S974)),"DR Germany",
ISNUMBER(SEARCH("Korea DPR",S974)),"North Korea",
ISNUMBER(SEARCH("China PR",S974)),"China",
ISNUMBER(SEARCH("IR Iran",S974)),"Iran",
ISNUMBER(SEARCH("Congo DR",S974)),"Democratic Republic of the Congo",
ISNUMBER(SEARCH("DR Congo",S974)),"Democratic Republic of the Congo",
ISNUMBER(SEARCH("German DR",S974)),"DR Germany",
ISNUMBER(SEARCH("rn""&gt;United Arab Emirates",S974)),"United Arab Emirates",
ISNUMBER(SEARCH("rn""&gt;Republic of Ireland",S974)),"Ireland",
ISNUMBER(SEARCH("rn""&gt;Bosnia and Herzegovina",S974)),"Bosnia and Herzegovina",
ISNUMBER(SEARCH("rn""&gt;Trinidad and Tobago",S974)),"Trinidad and Tobago",
ISNUMBER(SEARCH("rn""&gt;Serbia and Montenegro",S974)),"Serbia and Montenegro",
ISNUMBER(SEARCH(_xlfn.UNICHAR(65533),S974)),"Côte d'Ivoire",
TRUE,""
)</f>
        <v/>
      </c>
      <c r="W974" s="30" t="str">
        <f t="shared" ref="W974:W1037" si="87">IF(V974="",S974,V974)</f>
        <v>Chile</v>
      </c>
      <c r="Z974" s="40" t="str">
        <v>Al Thumama Stadium</v>
      </c>
      <c r="AA974" s="40" t="str" cm="1">
        <f t="array" ref="AA974">IFERROR(_xlfn.XLOOKUP(Z974,_xlfn.ANCHORARRAY(Z$31),AA$31:AA$37),Z974)</f>
        <v>Al Thumama Stadium</v>
      </c>
      <c r="AB974" s="42" t="str">
        <v>Doha</v>
      </c>
      <c r="AC974" s="89" t="str">
        <f t="shared" si="83"/>
        <v>Doha</v>
      </c>
      <c r="AE974" s="42">
        <v>2018</v>
      </c>
      <c r="AK974" s="42">
        <v>1</v>
      </c>
      <c r="AL974" s="42">
        <v>1</v>
      </c>
      <c r="AW974" s="89" t="str">
        <v>THIRD_PLACE</v>
      </c>
      <c r="BE974" s="43" t="str">
        <f>IF(OR(DATA_CLEANED!AL965="",DATA_CLEANED!AM965=""),"MANQUANT",IF(OR(NOT(ISNUMBER(DATA_CLEANED!AL965)),NOT(ISNUMBER(DATA_CLEANED!AM965))),"ENTREE INVALIDE",IF(OR(DATA_CLEANED!AL965&lt;0,DATA_CLEANED!AM965&lt;0),"SCORE NEGATIF","OK")))</f>
        <v>OK</v>
      </c>
      <c r="BF974" s="43" t="str">
        <f>IF(DATA_CLEANED!AK965&lt;&gt;DATA_CLEANED!AN965,"OK","ERREUR")</f>
        <v>OK</v>
      </c>
      <c r="BG974" s="43" t="str">
        <f>IF(DATA_CLEANED!AL965&gt;DATA_CLEANED!AM965,DATA_CLEANED!AK965,IF(AND(DATA_QUALITE!W5451="-",DATA_CLEANED!AM965=DATA_CLEANED!AL965),"MATCH NUL",IF(AND(DATA_QUALITE!V5451="-",DATA_QUALITE!U5451="AUCUNE"),DATA_QUALITE!T5451,IF(DATA_QUALITE!V5451&lt;&gt;"-",DATA_QUALITE!V5451,DATA_CLEANED!AN965))))</f>
        <v>Croatia</v>
      </c>
      <c r="BH974" s="103" t="str">
        <f>IF(AND(BG974="MATCH NUL",DATA_CLEANED!AO965="-"),"MATCH_NUL",IF(ISNUMBER(SEARCH("win on penalties",W5451)),"WIN_BY_PENALTY",IF(ISNUMBER(SEARCH("win after extra time",W5451)),"WIN_BY_EXTRA_TIME",IF(ISNUMBER(SEARCH("Golden Goal",W5451)),"WIN_BY_GOLDEN_GOAL","WIN_BY_SCORE"))))</f>
        <v>WIN_BY_SCORE</v>
      </c>
      <c r="BI974" s="99" t="str">
        <f>IF(OR(BG974=DATA_CLEANED!AK965,BG974=DATA_CLEANED!AN965,BG974="MATCH NUL"),"OK","ERREUR")</f>
        <v>OK</v>
      </c>
    </row>
    <row r="975" spans="2:61">
      <c r="B975" s="75">
        <v>538</v>
      </c>
      <c r="C975" s="15" t="str">
        <v>Yuito Suzuki</v>
      </c>
      <c r="D975" s="15">
        <v>24</v>
      </c>
      <c r="E975" s="15" t="str">
        <v>Japan</v>
      </c>
      <c r="F975" s="15" t="str">
        <v>CAM</v>
      </c>
      <c r="G975" s="15" t="str">
        <v>SC Freiburg</v>
      </c>
      <c r="H975" s="15">
        <v>17</v>
      </c>
      <c r="I975" s="15" t="str">
        <f t="shared" si="84"/>
        <v>538|Yuito Suzuki|24|Japan|CAM|SC Freiburg|17</v>
      </c>
      <c r="J975" s="15" t="str">
        <f>IF(COUNTIF(I$438:I975,I975)&gt;1,"DOUBLON","OK")</f>
        <v>OK</v>
      </c>
      <c r="S975" s="30" t="str">
        <v>Brazil</v>
      </c>
      <c r="T975" s="30" t="str">
        <f t="shared" si="85"/>
        <v>OK</v>
      </c>
      <c r="U975" s="30" t="str">
        <f t="shared" si="86"/>
        <v>-</v>
      </c>
      <c r="V975" s="30" t="str" cm="1">
        <f t="array" ref="V975">_xlfn.IFS(
ISNUMBER(SEARCH("USA",S975)),"United States",
ISNUMBER(SEARCH("Republic of Korea",S975)),"South Korea",
ISNUMBER(SEARCH("Cape Verde",S975)),"Cabo Verde",
ISNUMBER(SEARCH("Czechia",S975)),"Czech Republic",
ISNUMBER(SEARCH("Türkiye",S975)),"Turkey",
ISNUMBER(SEARCH("Ivory Coast",S975)),"Côte d'Ivoire",
ISNUMBER(SEARCH("Korea Republic",S975)),"South Korea",
ISNUMBER(SEARCH("Germany FR",S975)),"FR Germany",
ISNUMBER(SEARCH("West Germany",S975)),"FR Germany",
ISNUMBER(SEARCH("Germany DR",S975)),"DR Germany",
ISNUMBER(SEARCH("Korea DPR",S975)),"North Korea",
ISNUMBER(SEARCH("China PR",S975)),"China",
ISNUMBER(SEARCH("IR Iran",S975)),"Iran",
ISNUMBER(SEARCH("Congo DR",S975)),"Democratic Republic of the Congo",
ISNUMBER(SEARCH("DR Congo",S975)),"Democratic Republic of the Congo",
ISNUMBER(SEARCH("German DR",S975)),"DR Germany",
ISNUMBER(SEARCH("rn""&gt;United Arab Emirates",S975)),"United Arab Emirates",
ISNUMBER(SEARCH("rn""&gt;Republic of Ireland",S975)),"Ireland",
ISNUMBER(SEARCH("rn""&gt;Bosnia and Herzegovina",S975)),"Bosnia and Herzegovina",
ISNUMBER(SEARCH("rn""&gt;Trinidad and Tobago",S975)),"Trinidad and Tobago",
ISNUMBER(SEARCH("rn""&gt;Serbia and Montenegro",S975)),"Serbia and Montenegro",
ISNUMBER(SEARCH(_xlfn.UNICHAR(65533),S975)),"Côte d'Ivoire",
TRUE,""
)</f>
        <v/>
      </c>
      <c r="W975" s="30" t="str">
        <f t="shared" si="87"/>
        <v>Brazil</v>
      </c>
      <c r="Z975" s="40" t="str">
        <v>Ahmad bin Ali Stadium</v>
      </c>
      <c r="AA975" s="40" t="str" cm="1">
        <f t="array" ref="AA975">IFERROR(_xlfn.XLOOKUP(Z975,_xlfn.ANCHORARRAY(Z$31),AA$31:AA$37),Z975)</f>
        <v>Ahmad bin Ali Stadium</v>
      </c>
      <c r="AB975" s="42" t="str">
        <v>Al Rayyan</v>
      </c>
      <c r="AC975" s="89" t="str">
        <f t="shared" si="83"/>
        <v>Al Rayyan</v>
      </c>
      <c r="AE975" s="42">
        <v>2018</v>
      </c>
      <c r="AK975" s="42">
        <v>0</v>
      </c>
      <c r="AL975" s="42">
        <v>2</v>
      </c>
      <c r="AW975" s="89" t="str">
        <v>FINAL</v>
      </c>
      <c r="BE975" s="43" t="str">
        <f>IF(OR(DATA_CLEANED!AL966="",DATA_CLEANED!AM966=""),"MANQUANT",IF(OR(NOT(ISNUMBER(DATA_CLEANED!AL966)),NOT(ISNUMBER(DATA_CLEANED!AM966))),"ENTREE INVALIDE",IF(OR(DATA_CLEANED!AL966&lt;0,DATA_CLEANED!AM966&lt;0),"SCORE NEGATIF","OK")))</f>
        <v>OK</v>
      </c>
      <c r="BF975" s="43" t="str">
        <f>IF(DATA_CLEANED!AK966&lt;&gt;DATA_CLEANED!AN966,"OK","ERREUR")</f>
        <v>OK</v>
      </c>
      <c r="BG975" s="43" t="str">
        <f>IF(DATA_CLEANED!AL966&gt;DATA_CLEANED!AM966,DATA_CLEANED!AK966,IF(AND(DATA_QUALITE!W5452="-",DATA_CLEANED!AM966=DATA_CLEANED!AL966),"MATCH NUL",IF(AND(DATA_QUALITE!V5452="-",DATA_QUALITE!U5452="AUCUNE"),DATA_QUALITE!T5452,IF(DATA_QUALITE!V5452&lt;&gt;"-",DATA_QUALITE!V5452,DATA_CLEANED!AN966))))</f>
        <v>Argentina</v>
      </c>
      <c r="BH975" s="103" t="str">
        <f>IF(AND(BG975="MATCH NUL",DATA_CLEANED!AO966="-"),"MATCH_NUL",IF(ISNUMBER(SEARCH("win on penalties",W5452)),"WIN_BY_PENALTY",IF(ISNUMBER(SEARCH("win after extra time",W5452)),"WIN_BY_EXTRA_TIME",IF(ISNUMBER(SEARCH("Golden Goal",W5452)),"WIN_BY_GOLDEN_GOAL","WIN_BY_SCORE"))))</f>
        <v>WIN_BY_PENALTY</v>
      </c>
      <c r="BI975" s="99" t="str">
        <f>IF(OR(BG975=DATA_CLEANED!AK966,BG975=DATA_CLEANED!AN966,BG975="MATCH NUL"),"OK","ERREUR")</f>
        <v>OK</v>
      </c>
    </row>
    <row r="976" spans="2:61">
      <c r="B976" s="75">
        <v>539</v>
      </c>
      <c r="C976" s="15" t="str">
        <v>Daizen Maeda</v>
      </c>
      <c r="D976" s="15">
        <v>28</v>
      </c>
      <c r="E976" s="15" t="str">
        <v>Japan</v>
      </c>
      <c r="F976" s="15" t="str">
        <v>LW</v>
      </c>
      <c r="G976" s="15" t="str">
        <v>Celtic</v>
      </c>
      <c r="H976" s="15">
        <v>11</v>
      </c>
      <c r="I976" s="15" t="str">
        <f t="shared" si="84"/>
        <v>539|Daizen Maeda|28|Japan|LW|Celtic|11</v>
      </c>
      <c r="J976" s="15" t="str">
        <f>IF(COUNTIF(I$438:I976,I976)&gt;1,"DOUBLON","OK")</f>
        <v>OK</v>
      </c>
      <c r="S976" s="30" t="str">
        <v>Chile</v>
      </c>
      <c r="T976" s="30" t="str">
        <f t="shared" si="85"/>
        <v>OK</v>
      </c>
      <c r="U976" s="30" t="str">
        <f t="shared" si="86"/>
        <v>-</v>
      </c>
      <c r="V976" s="30" t="str" cm="1">
        <f t="array" ref="V976">_xlfn.IFS(
ISNUMBER(SEARCH("USA",S976)),"United States",
ISNUMBER(SEARCH("Republic of Korea",S976)),"South Korea",
ISNUMBER(SEARCH("Cape Verde",S976)),"Cabo Verde",
ISNUMBER(SEARCH("Czechia",S976)),"Czech Republic",
ISNUMBER(SEARCH("Türkiye",S976)),"Turkey",
ISNUMBER(SEARCH("Ivory Coast",S976)),"Côte d'Ivoire",
ISNUMBER(SEARCH("Korea Republic",S976)),"South Korea",
ISNUMBER(SEARCH("Germany FR",S976)),"FR Germany",
ISNUMBER(SEARCH("West Germany",S976)),"FR Germany",
ISNUMBER(SEARCH("Germany DR",S976)),"DR Germany",
ISNUMBER(SEARCH("Korea DPR",S976)),"North Korea",
ISNUMBER(SEARCH("China PR",S976)),"China",
ISNUMBER(SEARCH("IR Iran",S976)),"Iran",
ISNUMBER(SEARCH("Congo DR",S976)),"Democratic Republic of the Congo",
ISNUMBER(SEARCH("DR Congo",S976)),"Democratic Republic of the Congo",
ISNUMBER(SEARCH("German DR",S976)),"DR Germany",
ISNUMBER(SEARCH("rn""&gt;United Arab Emirates",S976)),"United Arab Emirates",
ISNUMBER(SEARCH("rn""&gt;Republic of Ireland",S976)),"Ireland",
ISNUMBER(SEARCH("rn""&gt;Bosnia and Herzegovina",S976)),"Bosnia and Herzegovina",
ISNUMBER(SEARCH("rn""&gt;Trinidad and Tobago",S976)),"Trinidad and Tobago",
ISNUMBER(SEARCH("rn""&gt;Serbia and Montenegro",S976)),"Serbia and Montenegro",
ISNUMBER(SEARCH(_xlfn.UNICHAR(65533),S976)),"Côte d'Ivoire",
TRUE,""
)</f>
        <v/>
      </c>
      <c r="W976" s="30" t="str">
        <f t="shared" si="87"/>
        <v>Chile</v>
      </c>
      <c r="Z976" s="40" t="str">
        <v>Al Janoub Stadium</v>
      </c>
      <c r="AA976" s="40" t="str" cm="1">
        <f t="array" ref="AA976">IFERROR(_xlfn.XLOOKUP(Z976,_xlfn.ANCHORARRAY(Z$31),AA$31:AA$37),Z976)</f>
        <v>Al Janoub Stadium</v>
      </c>
      <c r="AB976" s="42" t="str">
        <v>Al Wakrah</v>
      </c>
      <c r="AC976" s="89" t="str">
        <f t="shared" si="83"/>
        <v>Al Wakrah</v>
      </c>
      <c r="AE976" s="42">
        <v>2018</v>
      </c>
      <c r="AK976" s="42">
        <v>1</v>
      </c>
      <c r="AL976" s="42">
        <v>2</v>
      </c>
      <c r="AW976" s="89" t="str">
        <v>GROUP_STAGE</v>
      </c>
      <c r="BE976" s="43" t="str">
        <f>IF(OR(DATA_CLEANED!AL967="",DATA_CLEANED!AM967=""),"MANQUANT",IF(OR(NOT(ISNUMBER(DATA_CLEANED!AL967)),NOT(ISNUMBER(DATA_CLEANED!AM967))),"ENTREE INVALIDE",IF(OR(DATA_CLEANED!AL967&lt;0,DATA_CLEANED!AM967&lt;0),"SCORE NEGATIF","OK")))</f>
        <v>OK</v>
      </c>
      <c r="BF976" s="43" t="str">
        <f>IF(DATA_CLEANED!AK967&lt;&gt;DATA_CLEANED!AN967,"OK","ERREUR")</f>
        <v>OK</v>
      </c>
      <c r="BG976" s="43" t="str">
        <f>IF(DATA_CLEANED!AL967&gt;DATA_CLEANED!AM967,DATA_CLEANED!AK967,IF(AND(DATA_QUALITE!W5453="-",DATA_CLEANED!AM967=DATA_CLEANED!AL967),"MATCH NUL",IF(AND(DATA_QUALITE!V5453="-",DATA_QUALITE!U5453="AUCUNE"),DATA_QUALITE!T5453,IF(DATA_QUALITE!V5453&lt;&gt;"-",DATA_QUALITE!V5453,DATA_CLEANED!AN967))))</f>
        <v>Mexico</v>
      </c>
      <c r="BH976" s="103" t="str">
        <f>IF(AND(BG976="MATCH NUL",DATA_CLEANED!AO967="-"),"MATCH_NUL",IF(ISNUMBER(SEARCH("win on penalties",W5453)),"WIN_BY_PENALTY",IF(ISNUMBER(SEARCH("win after extra time",W5453)),"WIN_BY_EXTRA_TIME",IF(ISNUMBER(SEARCH("Golden Goal",W5453)),"WIN_BY_GOLDEN_GOAL","WIN_BY_SCORE"))))</f>
        <v>WIN_BY_SCORE</v>
      </c>
      <c r="BI976" s="99" t="str">
        <f>IF(OR(BG976=DATA_CLEANED!AK967,BG976=DATA_CLEANED!AN967,BG976="MATCH NUL"),"OK","ERREUR")</f>
        <v>OK</v>
      </c>
    </row>
    <row r="977" spans="2:61">
      <c r="B977" s="75">
        <v>540</v>
      </c>
      <c r="C977" s="15" t="str">
        <v>Keito Nakamura</v>
      </c>
      <c r="D977" s="15">
        <v>25</v>
      </c>
      <c r="E977" s="15" t="str">
        <v>Japan</v>
      </c>
      <c r="F977" s="15" t="str">
        <v>LW</v>
      </c>
      <c r="G977" s="15" t="str">
        <v>Reims</v>
      </c>
      <c r="H977" s="15">
        <v>13</v>
      </c>
      <c r="I977" s="15" t="str">
        <f t="shared" si="84"/>
        <v>540|Keito Nakamura|25|Japan|LW|Reims|13</v>
      </c>
      <c r="J977" s="15" t="str">
        <f>IF(COUNTIF(I$438:I977,I977)&gt;1,"DOUBLON","OK")</f>
        <v>OK</v>
      </c>
      <c r="S977" s="30" t="str">
        <v>Brazil</v>
      </c>
      <c r="T977" s="30" t="str">
        <f t="shared" si="85"/>
        <v>OK</v>
      </c>
      <c r="U977" s="30" t="str">
        <f t="shared" si="86"/>
        <v>-</v>
      </c>
      <c r="V977" s="30" t="str" cm="1">
        <f t="array" ref="V977">_xlfn.IFS(
ISNUMBER(SEARCH("USA",S977)),"United States",
ISNUMBER(SEARCH("Republic of Korea",S977)),"South Korea",
ISNUMBER(SEARCH("Cape Verde",S977)),"Cabo Verde",
ISNUMBER(SEARCH("Czechia",S977)),"Czech Republic",
ISNUMBER(SEARCH("Türkiye",S977)),"Turkey",
ISNUMBER(SEARCH("Ivory Coast",S977)),"Côte d'Ivoire",
ISNUMBER(SEARCH("Korea Republic",S977)),"South Korea",
ISNUMBER(SEARCH("Germany FR",S977)),"FR Germany",
ISNUMBER(SEARCH("West Germany",S977)),"FR Germany",
ISNUMBER(SEARCH("Germany DR",S977)),"DR Germany",
ISNUMBER(SEARCH("Korea DPR",S977)),"North Korea",
ISNUMBER(SEARCH("China PR",S977)),"China",
ISNUMBER(SEARCH("IR Iran",S977)),"Iran",
ISNUMBER(SEARCH("Congo DR",S977)),"Democratic Republic of the Congo",
ISNUMBER(SEARCH("DR Congo",S977)),"Democratic Republic of the Congo",
ISNUMBER(SEARCH("German DR",S977)),"DR Germany",
ISNUMBER(SEARCH("rn""&gt;United Arab Emirates",S977)),"United Arab Emirates",
ISNUMBER(SEARCH("rn""&gt;Republic of Ireland",S977)),"Ireland",
ISNUMBER(SEARCH("rn""&gt;Bosnia and Herzegovina",S977)),"Bosnia and Herzegovina",
ISNUMBER(SEARCH("rn""&gt;Trinidad and Tobago",S977)),"Trinidad and Tobago",
ISNUMBER(SEARCH("rn""&gt;Serbia and Montenegro",S977)),"Serbia and Montenegro",
ISNUMBER(SEARCH(_xlfn.UNICHAR(65533),S977)),"Côte d'Ivoire",
TRUE,""
)</f>
        <v/>
      </c>
      <c r="W977" s="30" t="str">
        <f t="shared" si="87"/>
        <v>Brazil</v>
      </c>
      <c r="Z977" s="40" t="str">
        <v>Education City Stadium</v>
      </c>
      <c r="AA977" s="40" t="str" cm="1">
        <f t="array" ref="AA977">IFERROR(_xlfn.XLOOKUP(Z977,_xlfn.ANCHORARRAY(Z$31),AA$31:AA$37),Z977)</f>
        <v>Education City Stadium</v>
      </c>
      <c r="AB977" s="42" t="str">
        <v>Al Rayyan</v>
      </c>
      <c r="AC977" s="89" t="str">
        <f t="shared" si="83"/>
        <v>Al Rayyan</v>
      </c>
      <c r="AE977" s="42">
        <v>2018</v>
      </c>
      <c r="AK977" s="42">
        <v>0</v>
      </c>
      <c r="AL977" s="42">
        <v>2</v>
      </c>
      <c r="AW977" s="89" t="str">
        <v>GROUP_STAGE</v>
      </c>
      <c r="BE977" s="43" t="str">
        <f>IF(OR(DATA_CLEANED!AL968="",DATA_CLEANED!AM968=""),"MANQUANT",IF(OR(NOT(ISNUMBER(DATA_CLEANED!AL968)),NOT(ISNUMBER(DATA_CLEANED!AM968))),"ENTREE INVALIDE",IF(OR(DATA_CLEANED!AL968&lt;0,DATA_CLEANED!AM968&lt;0),"SCORE NEGATIF","OK")))</f>
        <v>OK</v>
      </c>
      <c r="BF977" s="43" t="str">
        <f>IF(DATA_CLEANED!AK968&lt;&gt;DATA_CLEANED!AN968,"OK","ERREUR")</f>
        <v>OK</v>
      </c>
      <c r="BG977" s="43" t="str">
        <f>IF(DATA_CLEANED!AL968&gt;DATA_CLEANED!AM968,DATA_CLEANED!AK968,IF(AND(DATA_QUALITE!W5454="-",DATA_CLEANED!AM968=DATA_CLEANED!AL968),"MATCH NUL",IF(AND(DATA_QUALITE!V5454="-",DATA_QUALITE!U5454="AUCUNE"),DATA_QUALITE!T5454,IF(DATA_QUALITE!V5454&lt;&gt;"-",DATA_QUALITE!V5454,DATA_CLEANED!AN968))))</f>
        <v>South Korea</v>
      </c>
      <c r="BH977" s="103" t="str">
        <f>IF(AND(BG977="MATCH NUL",DATA_CLEANED!AO968="-"),"MATCH_NUL",IF(ISNUMBER(SEARCH("win on penalties",W5454)),"WIN_BY_PENALTY",IF(ISNUMBER(SEARCH("win after extra time",W5454)),"WIN_BY_EXTRA_TIME",IF(ISNUMBER(SEARCH("Golden Goal",W5454)),"WIN_BY_GOLDEN_GOAL","WIN_BY_SCORE"))))</f>
        <v>WIN_BY_SCORE</v>
      </c>
      <c r="BI977" s="99" t="str">
        <f>IF(OR(BG977=DATA_CLEANED!AK968,BG977=DATA_CLEANED!AN968,BG977="MATCH NUL"),"OK","ERREUR")</f>
        <v>OK</v>
      </c>
    </row>
    <row r="978" spans="2:61">
      <c r="B978" s="75">
        <v>541</v>
      </c>
      <c r="C978" s="15" t="str">
        <v>Junya Itō</v>
      </c>
      <c r="D978" s="15">
        <v>33</v>
      </c>
      <c r="E978" s="15" t="str">
        <v>Japan</v>
      </c>
      <c r="F978" s="15" t="str">
        <v>RW</v>
      </c>
      <c r="G978" s="15" t="str">
        <v>Genk</v>
      </c>
      <c r="H978" s="15">
        <v>14</v>
      </c>
      <c r="I978" s="15" t="str">
        <f t="shared" si="84"/>
        <v>541|Junya Itō|33|Japan|RW|Genk|14</v>
      </c>
      <c r="J978" s="15" t="str">
        <f>IF(COUNTIF(I$438:I978,I978)&gt;1,"DOUBLON","OK")</f>
        <v>OK</v>
      </c>
      <c r="S978" s="30" t="str">
        <v>Chile</v>
      </c>
      <c r="T978" s="30" t="str">
        <f t="shared" si="85"/>
        <v>OK</v>
      </c>
      <c r="U978" s="30" t="str">
        <f t="shared" si="86"/>
        <v>-</v>
      </c>
      <c r="V978" s="30" t="str" cm="1">
        <f t="array" ref="V978">_xlfn.IFS(
ISNUMBER(SEARCH("USA",S978)),"United States",
ISNUMBER(SEARCH("Republic of Korea",S978)),"South Korea",
ISNUMBER(SEARCH("Cape Verde",S978)),"Cabo Verde",
ISNUMBER(SEARCH("Czechia",S978)),"Czech Republic",
ISNUMBER(SEARCH("Türkiye",S978)),"Turkey",
ISNUMBER(SEARCH("Ivory Coast",S978)),"Côte d'Ivoire",
ISNUMBER(SEARCH("Korea Republic",S978)),"South Korea",
ISNUMBER(SEARCH("Germany FR",S978)),"FR Germany",
ISNUMBER(SEARCH("West Germany",S978)),"FR Germany",
ISNUMBER(SEARCH("Germany DR",S978)),"DR Germany",
ISNUMBER(SEARCH("Korea DPR",S978)),"North Korea",
ISNUMBER(SEARCH("China PR",S978)),"China",
ISNUMBER(SEARCH("IR Iran",S978)),"Iran",
ISNUMBER(SEARCH("Congo DR",S978)),"Democratic Republic of the Congo",
ISNUMBER(SEARCH("DR Congo",S978)),"Democratic Republic of the Congo",
ISNUMBER(SEARCH("German DR",S978)),"DR Germany",
ISNUMBER(SEARCH("rn""&gt;United Arab Emirates",S978)),"United Arab Emirates",
ISNUMBER(SEARCH("rn""&gt;Republic of Ireland",S978)),"Ireland",
ISNUMBER(SEARCH("rn""&gt;Bosnia and Herzegovina",S978)),"Bosnia and Herzegovina",
ISNUMBER(SEARCH("rn""&gt;Trinidad and Tobago",S978)),"Trinidad and Tobago",
ISNUMBER(SEARCH("rn""&gt;Serbia and Montenegro",S978)),"Serbia and Montenegro",
ISNUMBER(SEARCH(_xlfn.UNICHAR(65533),S978)),"Côte d'Ivoire",
TRUE,""
)</f>
        <v/>
      </c>
      <c r="W978" s="30" t="str">
        <f t="shared" si="87"/>
        <v>Chile</v>
      </c>
      <c r="Z978" s="40" t="str">
        <v>Stadium 974</v>
      </c>
      <c r="AA978" s="40" t="str" cm="1">
        <f t="array" ref="AA978">IFERROR(_xlfn.XLOOKUP(Z978,_xlfn.ANCHORARRAY(Z$31),AA$31:AA$37),Z978)</f>
        <v>Stadium 974</v>
      </c>
      <c r="AB978" s="42" t="str">
        <v>Doha</v>
      </c>
      <c r="AC978" s="89" t="str">
        <f t="shared" si="83"/>
        <v>Doha</v>
      </c>
      <c r="AE978" s="42">
        <v>2018</v>
      </c>
      <c r="AK978" s="42">
        <v>2</v>
      </c>
      <c r="AL978" s="42">
        <v>2</v>
      </c>
      <c r="AW978" s="89" t="str">
        <v>GROUP_STAGE</v>
      </c>
      <c r="BE978" s="43" t="str">
        <f>IF(OR(DATA_CLEANED!AL969="",DATA_CLEANED!AM969=""),"MANQUANT",IF(OR(NOT(ISNUMBER(DATA_CLEANED!AL969)),NOT(ISNUMBER(DATA_CLEANED!AM969))),"ENTREE INVALIDE",IF(OR(DATA_CLEANED!AL969&lt;0,DATA_CLEANED!AM969&lt;0),"SCORE NEGATIF","OK")))</f>
        <v>OK</v>
      </c>
      <c r="BF978" s="43" t="str">
        <f>IF(DATA_CLEANED!AK969&lt;&gt;DATA_CLEANED!AN969,"OK","ERREUR")</f>
        <v>OK</v>
      </c>
      <c r="BG978" s="43" t="str">
        <f>IF(DATA_CLEANED!AL969&gt;DATA_CLEANED!AM969,DATA_CLEANED!AK969,IF(AND(DATA_QUALITE!W5455="-",DATA_CLEANED!AM969=DATA_CLEANED!AL969),"MATCH NUL",IF(AND(DATA_QUALITE!V5455="-",DATA_QUALITE!U5455="AUCUNE"),DATA_QUALITE!T5455,IF(DATA_QUALITE!V5455&lt;&gt;"-",DATA_QUALITE!V5455,DATA_CLEANED!AN969))))</f>
        <v>MATCH NUL</v>
      </c>
      <c r="BH978" s="103" t="str">
        <f>IF(AND(BG978="MATCH NUL",DATA_CLEANED!AO969="-"),"MATCH_NUL",IF(ISNUMBER(SEARCH("win on penalties",W5455)),"WIN_BY_PENALTY",IF(ISNUMBER(SEARCH("win after extra time",W5455)),"WIN_BY_EXTRA_TIME",IF(ISNUMBER(SEARCH("Golden Goal",W5455)),"WIN_BY_GOLDEN_GOAL","WIN_BY_SCORE"))))</f>
        <v>MATCH_NUL</v>
      </c>
      <c r="BI978" s="99" t="str">
        <f>IF(OR(BG978=DATA_CLEANED!AK969,BG978=DATA_CLEANED!AN969,BG978="MATCH NUL"),"OK","ERREUR")</f>
        <v>OK</v>
      </c>
    </row>
    <row r="979" spans="2:61">
      <c r="B979" s="75">
        <v>542</v>
      </c>
      <c r="C979" s="15" t="str">
        <v>Shūto Machino</v>
      </c>
      <c r="D979" s="15">
        <v>26</v>
      </c>
      <c r="E979" s="15" t="str">
        <v>Japan</v>
      </c>
      <c r="F979" s="15" t="str">
        <v>ST</v>
      </c>
      <c r="G979" s="15" t="str">
        <v>Borussia Mönchengladbach</v>
      </c>
      <c r="H979" s="15">
        <v>6</v>
      </c>
      <c r="I979" s="15" t="str">
        <f t="shared" si="84"/>
        <v>542|Shūto Machino|26|Japan|ST|Borussia Mönchengladbach|6</v>
      </c>
      <c r="J979" s="15" t="str">
        <f>IF(COUNTIF(I$438:I979,I979)&gt;1,"DOUBLON","OK")</f>
        <v>OK</v>
      </c>
      <c r="S979" s="30" t="str">
        <v>Costa Rica</v>
      </c>
      <c r="T979" s="30" t="str">
        <f t="shared" si="85"/>
        <v>OK</v>
      </c>
      <c r="U979" s="30" t="str">
        <f t="shared" si="86"/>
        <v>-</v>
      </c>
      <c r="V979" s="30" t="str" cm="1">
        <f t="array" ref="V979">_xlfn.IFS(
ISNUMBER(SEARCH("USA",S979)),"United States",
ISNUMBER(SEARCH("Republic of Korea",S979)),"South Korea",
ISNUMBER(SEARCH("Cape Verde",S979)),"Cabo Verde",
ISNUMBER(SEARCH("Czechia",S979)),"Czech Republic",
ISNUMBER(SEARCH("Türkiye",S979)),"Turkey",
ISNUMBER(SEARCH("Ivory Coast",S979)),"Côte d'Ivoire",
ISNUMBER(SEARCH("Korea Republic",S979)),"South Korea",
ISNUMBER(SEARCH("Germany FR",S979)),"FR Germany",
ISNUMBER(SEARCH("West Germany",S979)),"FR Germany",
ISNUMBER(SEARCH("Germany DR",S979)),"DR Germany",
ISNUMBER(SEARCH("Korea DPR",S979)),"North Korea",
ISNUMBER(SEARCH("China PR",S979)),"China",
ISNUMBER(SEARCH("IR Iran",S979)),"Iran",
ISNUMBER(SEARCH("Congo DR",S979)),"Democratic Republic of the Congo",
ISNUMBER(SEARCH("DR Congo",S979)),"Democratic Republic of the Congo",
ISNUMBER(SEARCH("German DR",S979)),"DR Germany",
ISNUMBER(SEARCH("rn""&gt;United Arab Emirates",S979)),"United Arab Emirates",
ISNUMBER(SEARCH("rn""&gt;Republic of Ireland",S979)),"Ireland",
ISNUMBER(SEARCH("rn""&gt;Bosnia and Herzegovina",S979)),"Bosnia and Herzegovina",
ISNUMBER(SEARCH("rn""&gt;Trinidad and Tobago",S979)),"Trinidad and Tobago",
ISNUMBER(SEARCH("rn""&gt;Serbia and Montenegro",S979)),"Serbia and Montenegro",
ISNUMBER(SEARCH(_xlfn.UNICHAR(65533),S979)),"Côte d'Ivoire",
TRUE,""
)</f>
        <v/>
      </c>
      <c r="W979" s="30" t="str">
        <f t="shared" si="87"/>
        <v>Costa Rica</v>
      </c>
      <c r="Z979" s="40" t="str">
        <v>Lusail Stadium</v>
      </c>
      <c r="AA979" s="40" t="str" cm="1">
        <f t="array" ref="AA979">IFERROR(_xlfn.XLOOKUP(Z979,_xlfn.ANCHORARRAY(Z$31),AA$31:AA$37),Z979)</f>
        <v>Lusail Stadium</v>
      </c>
      <c r="AB979" s="42" t="str">
        <v>Lusail</v>
      </c>
      <c r="AC979" s="89" t="str">
        <f t="shared" si="83"/>
        <v>Lusail</v>
      </c>
      <c r="AE979" s="42">
        <v>2018</v>
      </c>
      <c r="AK979" s="42">
        <v>1</v>
      </c>
      <c r="AL979" s="42">
        <v>0</v>
      </c>
      <c r="AW979" s="89" t="str">
        <v>GROUP_STAGE</v>
      </c>
      <c r="BE979" s="43" t="str">
        <f>IF(OR(DATA_CLEANED!AL970="",DATA_CLEANED!AM970=""),"MANQUANT",IF(OR(NOT(ISNUMBER(DATA_CLEANED!AL970)),NOT(ISNUMBER(DATA_CLEANED!AM970))),"ENTREE INVALIDE",IF(OR(DATA_CLEANED!AL970&lt;0,DATA_CLEANED!AM970&lt;0),"SCORE NEGATIF","OK")))</f>
        <v>OK</v>
      </c>
      <c r="BF979" s="43" t="str">
        <f>IF(DATA_CLEANED!AK970&lt;&gt;DATA_CLEANED!AN970,"OK","ERREUR")</f>
        <v>OK</v>
      </c>
      <c r="BG979" s="43" t="str">
        <f>IF(DATA_CLEANED!AL970&gt;DATA_CLEANED!AM970,DATA_CLEANED!AK970,IF(AND(DATA_QUALITE!W5456="-",DATA_CLEANED!AM970=DATA_CLEANED!AL970),"MATCH NUL",IF(AND(DATA_QUALITE!V5456="-",DATA_QUALITE!U5456="AUCUNE"),DATA_QUALITE!T5456,IF(DATA_QUALITE!V5456&lt;&gt;"-",DATA_QUALITE!V5456,DATA_CLEANED!AN970))))</f>
        <v>United States</v>
      </c>
      <c r="BH979" s="103" t="str">
        <f>IF(AND(BG979="MATCH NUL",DATA_CLEANED!AO970="-"),"MATCH_NUL",IF(ISNUMBER(SEARCH("win on penalties",W5456)),"WIN_BY_PENALTY",IF(ISNUMBER(SEARCH("win after extra time",W5456)),"WIN_BY_EXTRA_TIME",IF(ISNUMBER(SEARCH("Golden Goal",W5456)),"WIN_BY_GOLDEN_GOAL","WIN_BY_SCORE"))))</f>
        <v>WIN_BY_SCORE</v>
      </c>
      <c r="BI979" s="99" t="str">
        <f>IF(OR(BG979=DATA_CLEANED!AK970,BG979=DATA_CLEANED!AN970,BG979="MATCH NUL"),"OK","ERREUR")</f>
        <v>OK</v>
      </c>
    </row>
    <row r="980" spans="2:61">
      <c r="B980" s="75">
        <v>543</v>
      </c>
      <c r="C980" s="15" t="str">
        <v>Keisuke Gotō</v>
      </c>
      <c r="D980" s="15">
        <v>21</v>
      </c>
      <c r="E980" s="15" t="str">
        <v>Japan</v>
      </c>
      <c r="F980" s="15" t="str">
        <v>ST</v>
      </c>
      <c r="G980" s="15" t="str">
        <v>Sint-Truiden</v>
      </c>
      <c r="H980" s="15">
        <v>9</v>
      </c>
      <c r="I980" s="15" t="str">
        <f t="shared" si="84"/>
        <v>543|Keisuke Gotō|21|Japan|ST|Sint-Truiden|9</v>
      </c>
      <c r="J980" s="15" t="str">
        <f>IF(COUNTIF(I$438:I980,I980)&gt;1,"DOUBLON","OK")</f>
        <v>OK</v>
      </c>
      <c r="S980" s="30" t="str">
        <v>Greece</v>
      </c>
      <c r="T980" s="30" t="str">
        <f t="shared" si="85"/>
        <v>OK</v>
      </c>
      <c r="U980" s="30" t="str">
        <f t="shared" si="86"/>
        <v>-</v>
      </c>
      <c r="V980" s="30" t="str" cm="1">
        <f t="array" ref="V980">_xlfn.IFS(
ISNUMBER(SEARCH("USA",S980)),"United States",
ISNUMBER(SEARCH("Republic of Korea",S980)),"South Korea",
ISNUMBER(SEARCH("Cape Verde",S980)),"Cabo Verde",
ISNUMBER(SEARCH("Czechia",S980)),"Czech Republic",
ISNUMBER(SEARCH("Türkiye",S980)),"Turkey",
ISNUMBER(SEARCH("Ivory Coast",S980)),"Côte d'Ivoire",
ISNUMBER(SEARCH("Korea Republic",S980)),"South Korea",
ISNUMBER(SEARCH("Germany FR",S980)),"FR Germany",
ISNUMBER(SEARCH("West Germany",S980)),"FR Germany",
ISNUMBER(SEARCH("Germany DR",S980)),"DR Germany",
ISNUMBER(SEARCH("Korea DPR",S980)),"North Korea",
ISNUMBER(SEARCH("China PR",S980)),"China",
ISNUMBER(SEARCH("IR Iran",S980)),"Iran",
ISNUMBER(SEARCH("Congo DR",S980)),"Democratic Republic of the Congo",
ISNUMBER(SEARCH("DR Congo",S980)),"Democratic Republic of the Congo",
ISNUMBER(SEARCH("German DR",S980)),"DR Germany",
ISNUMBER(SEARCH("rn""&gt;United Arab Emirates",S980)),"United Arab Emirates",
ISNUMBER(SEARCH("rn""&gt;Republic of Ireland",S980)),"Ireland",
ISNUMBER(SEARCH("rn""&gt;Bosnia and Herzegovina",S980)),"Bosnia and Herzegovina",
ISNUMBER(SEARCH("rn""&gt;Trinidad and Tobago",S980)),"Trinidad and Tobago",
ISNUMBER(SEARCH("rn""&gt;Serbia and Montenegro",S980)),"Serbia and Montenegro",
ISNUMBER(SEARCH(_xlfn.UNICHAR(65533),S980)),"Côte d'Ivoire",
TRUE,""
)</f>
        <v/>
      </c>
      <c r="W980" s="30" t="str">
        <f t="shared" si="87"/>
        <v>Greece</v>
      </c>
      <c r="Z980" s="40" t="str">
        <v>Al Thumama Stadium</v>
      </c>
      <c r="AA980" s="40" t="str" cm="1">
        <f t="array" ref="AA980">IFERROR(_xlfn.XLOOKUP(Z980,_xlfn.ANCHORARRAY(Z$31),AA$31:AA$37),Z980)</f>
        <v>Al Thumama Stadium</v>
      </c>
      <c r="AB980" s="42" t="str">
        <v>Doha</v>
      </c>
      <c r="AC980" s="89" t="str">
        <f t="shared" si="83"/>
        <v>Doha</v>
      </c>
      <c r="AE980" s="42">
        <v>2018</v>
      </c>
      <c r="AK980" s="42">
        <v>2</v>
      </c>
      <c r="AL980" s="42">
        <v>1</v>
      </c>
      <c r="AW980" s="89" t="str">
        <v>GROUP_STAGE</v>
      </c>
      <c r="BE980" s="43" t="str">
        <f>IF(OR(DATA_CLEANED!AL971="",DATA_CLEANED!AM971=""),"MANQUANT",IF(OR(NOT(ISNUMBER(DATA_CLEANED!AL971)),NOT(ISNUMBER(DATA_CLEANED!AM971))),"ENTREE INVALIDE",IF(OR(DATA_CLEANED!AL971&lt;0,DATA_CLEANED!AM971&lt;0),"SCORE NEGATIF","OK")))</f>
        <v>OK</v>
      </c>
      <c r="BF980" s="43" t="str">
        <f>IF(DATA_CLEANED!AK971&lt;&gt;DATA_CLEANED!AN971,"OK","ERREUR")</f>
        <v>OK</v>
      </c>
      <c r="BG980" s="43" t="str">
        <f>IF(DATA_CLEANED!AL971&gt;DATA_CLEANED!AM971,DATA_CLEANED!AK971,IF(AND(DATA_QUALITE!W5457="-",DATA_CLEANED!AM971=DATA_CLEANED!AL971),"MATCH NUL",IF(AND(DATA_QUALITE!V5457="-",DATA_QUALITE!U5457="AUCUNE"),DATA_QUALITE!T5457,IF(DATA_QUALITE!V5457&lt;&gt;"-",DATA_QUALITE!V5457,DATA_CLEANED!AN971))))</f>
        <v>Scotland</v>
      </c>
      <c r="BH980" s="103" t="str">
        <f>IF(AND(BG980="MATCH NUL",DATA_CLEANED!AO971="-"),"MATCH_NUL",IF(ISNUMBER(SEARCH("win on penalties",W5457)),"WIN_BY_PENALTY",IF(ISNUMBER(SEARCH("win after extra time",W5457)),"WIN_BY_EXTRA_TIME",IF(ISNUMBER(SEARCH("Golden Goal",W5457)),"WIN_BY_GOLDEN_GOAL","WIN_BY_SCORE"))))</f>
        <v>WIN_BY_SCORE</v>
      </c>
      <c r="BI980" s="99" t="str">
        <f>IF(OR(BG980=DATA_CLEANED!AK971,BG980=DATA_CLEANED!AN971,BG980="MATCH NUL"),"OK","ERREUR")</f>
        <v>OK</v>
      </c>
    </row>
    <row r="981" spans="2:61">
      <c r="B981" s="75">
        <v>544</v>
      </c>
      <c r="C981" s="15" t="str">
        <v>Ayase Ueda</v>
      </c>
      <c r="D981" s="15">
        <v>27</v>
      </c>
      <c r="E981" s="15" t="str">
        <v>Japan</v>
      </c>
      <c r="F981" s="15" t="str">
        <v>ST</v>
      </c>
      <c r="G981" s="15" t="str">
        <v>Feyenoord</v>
      </c>
      <c r="H981" s="15">
        <v>18</v>
      </c>
      <c r="I981" s="15" t="str">
        <f t="shared" si="84"/>
        <v>544|Ayase Ueda|27|Japan|ST|Feyenoord|18</v>
      </c>
      <c r="J981" s="15" t="str">
        <f>IF(COUNTIF(I$438:I981,I981)&gt;1,"DOUBLON","OK")</f>
        <v>OK</v>
      </c>
      <c r="S981" s="30" t="str">
        <v>Costa Rica</v>
      </c>
      <c r="T981" s="30" t="str">
        <f t="shared" si="85"/>
        <v>OK</v>
      </c>
      <c r="U981" s="30" t="str">
        <f t="shared" si="86"/>
        <v>-</v>
      </c>
      <c r="V981" s="30" t="str" cm="1">
        <f t="array" ref="V981">_xlfn.IFS(
ISNUMBER(SEARCH("USA",S981)),"United States",
ISNUMBER(SEARCH("Republic of Korea",S981)),"South Korea",
ISNUMBER(SEARCH("Cape Verde",S981)),"Cabo Verde",
ISNUMBER(SEARCH("Czechia",S981)),"Czech Republic",
ISNUMBER(SEARCH("Türkiye",S981)),"Turkey",
ISNUMBER(SEARCH("Ivory Coast",S981)),"Côte d'Ivoire",
ISNUMBER(SEARCH("Korea Republic",S981)),"South Korea",
ISNUMBER(SEARCH("Germany FR",S981)),"FR Germany",
ISNUMBER(SEARCH("West Germany",S981)),"FR Germany",
ISNUMBER(SEARCH("Germany DR",S981)),"DR Germany",
ISNUMBER(SEARCH("Korea DPR",S981)),"North Korea",
ISNUMBER(SEARCH("China PR",S981)),"China",
ISNUMBER(SEARCH("IR Iran",S981)),"Iran",
ISNUMBER(SEARCH("Congo DR",S981)),"Democratic Republic of the Congo",
ISNUMBER(SEARCH("DR Congo",S981)),"Democratic Republic of the Congo",
ISNUMBER(SEARCH("German DR",S981)),"DR Germany",
ISNUMBER(SEARCH("rn""&gt;United Arab Emirates",S981)),"United Arab Emirates",
ISNUMBER(SEARCH("rn""&gt;Republic of Ireland",S981)),"Ireland",
ISNUMBER(SEARCH("rn""&gt;Bosnia and Herzegovina",S981)),"Bosnia and Herzegovina",
ISNUMBER(SEARCH("rn""&gt;Trinidad and Tobago",S981)),"Trinidad and Tobago",
ISNUMBER(SEARCH("rn""&gt;Serbia and Montenegro",S981)),"Serbia and Montenegro",
ISNUMBER(SEARCH(_xlfn.UNICHAR(65533),S981)),"Côte d'Ivoire",
TRUE,""
)</f>
        <v/>
      </c>
      <c r="W981" s="30" t="str">
        <f t="shared" si="87"/>
        <v>Costa Rica</v>
      </c>
      <c r="Z981" s="40" t="str">
        <v>Ahmad bin Ali Stadium</v>
      </c>
      <c r="AA981" s="40" t="str" cm="1">
        <f t="array" ref="AA981">IFERROR(_xlfn.XLOOKUP(Z981,_xlfn.ANCHORARRAY(Z$31),AA$31:AA$37),Z981)</f>
        <v>Ahmad bin Ali Stadium</v>
      </c>
      <c r="AB981" s="42" t="str">
        <v>Al Rayyan</v>
      </c>
      <c r="AC981" s="89" t="str">
        <f t="shared" si="83"/>
        <v>Al Rayyan</v>
      </c>
      <c r="AE981" s="42">
        <v>2018</v>
      </c>
      <c r="AK981" s="42">
        <v>2</v>
      </c>
      <c r="AL981" s="42">
        <v>0</v>
      </c>
      <c r="AW981" s="89" t="str">
        <v>GROUP_STAGE</v>
      </c>
      <c r="BE981" s="43" t="str">
        <f>IF(OR(DATA_CLEANED!AL972="",DATA_CLEANED!AM972=""),"MANQUANT",IF(OR(NOT(ISNUMBER(DATA_CLEANED!AL972)),NOT(ISNUMBER(DATA_CLEANED!AM972))),"ENTREE INVALIDE",IF(OR(DATA_CLEANED!AL972&lt;0,DATA_CLEANED!AM972&lt;0),"SCORE NEGATIF","OK")))</f>
        <v>OK</v>
      </c>
      <c r="BF981" s="43" t="str">
        <f>IF(DATA_CLEANED!AK972&lt;&gt;DATA_CLEANED!AN972,"OK","ERREUR")</f>
        <v>OK</v>
      </c>
      <c r="BG981" s="43" t="str">
        <f>IF(DATA_CLEANED!AL972&gt;DATA_CLEANED!AM972,DATA_CLEANED!AK972,IF(AND(DATA_QUALITE!W5458="-",DATA_CLEANED!AM972=DATA_CLEANED!AL972),"MATCH NUL",IF(AND(DATA_QUALITE!V5458="-",DATA_QUALITE!U5458="AUCUNE"),DATA_QUALITE!T5458,IF(DATA_QUALITE!V5458&lt;&gt;"-",DATA_QUALITE!V5458,DATA_CLEANED!AN972))))</f>
        <v>Australia</v>
      </c>
      <c r="BH981" s="103" t="str">
        <f>IF(AND(BG981="MATCH NUL",DATA_CLEANED!AO972="-"),"MATCH_NUL",IF(ISNUMBER(SEARCH("win on penalties",W5458)),"WIN_BY_PENALTY",IF(ISNUMBER(SEARCH("win after extra time",W5458)),"WIN_BY_EXTRA_TIME",IF(ISNUMBER(SEARCH("Golden Goal",W5458)),"WIN_BY_GOLDEN_GOAL","WIN_BY_SCORE"))))</f>
        <v>WIN_BY_SCORE</v>
      </c>
      <c r="BI981" s="99" t="str">
        <f>IF(OR(BG981=DATA_CLEANED!AK972,BG981=DATA_CLEANED!AN972,BG981="MATCH NUL"),"OK","ERREUR")</f>
        <v>OK</v>
      </c>
    </row>
    <row r="982" spans="2:61">
      <c r="B982" s="75">
        <v>545</v>
      </c>
      <c r="C982" s="15" t="str">
        <v>Kōki Ogawa</v>
      </c>
      <c r="D982" s="15">
        <v>28</v>
      </c>
      <c r="E982" s="15" t="str">
        <v>Japan</v>
      </c>
      <c r="F982" s="15" t="str">
        <v>ST</v>
      </c>
      <c r="G982" s="15" t="str">
        <v>NEC</v>
      </c>
      <c r="H982" s="15">
        <v>19</v>
      </c>
      <c r="I982" s="15" t="str">
        <f t="shared" si="84"/>
        <v>545|Kōki Ogawa|28|Japan|ST|NEC|19</v>
      </c>
      <c r="J982" s="15" t="str">
        <f>IF(COUNTIF(I$438:I982,I982)&gt;1,"DOUBLON","OK")</f>
        <v>OK</v>
      </c>
      <c r="S982" s="30" t="str">
        <v>Greece</v>
      </c>
      <c r="T982" s="30" t="str">
        <f t="shared" si="85"/>
        <v>OK</v>
      </c>
      <c r="U982" s="30" t="str">
        <f t="shared" si="86"/>
        <v>-</v>
      </c>
      <c r="V982" s="30" t="str" cm="1">
        <f t="array" ref="V982">_xlfn.IFS(
ISNUMBER(SEARCH("USA",S982)),"United States",
ISNUMBER(SEARCH("Republic of Korea",S982)),"South Korea",
ISNUMBER(SEARCH("Cape Verde",S982)),"Cabo Verde",
ISNUMBER(SEARCH("Czechia",S982)),"Czech Republic",
ISNUMBER(SEARCH("Türkiye",S982)),"Turkey",
ISNUMBER(SEARCH("Ivory Coast",S982)),"Côte d'Ivoire",
ISNUMBER(SEARCH("Korea Republic",S982)),"South Korea",
ISNUMBER(SEARCH("Germany FR",S982)),"FR Germany",
ISNUMBER(SEARCH("West Germany",S982)),"FR Germany",
ISNUMBER(SEARCH("Germany DR",S982)),"DR Germany",
ISNUMBER(SEARCH("Korea DPR",S982)),"North Korea",
ISNUMBER(SEARCH("China PR",S982)),"China",
ISNUMBER(SEARCH("IR Iran",S982)),"Iran",
ISNUMBER(SEARCH("Congo DR",S982)),"Democratic Republic of the Congo",
ISNUMBER(SEARCH("DR Congo",S982)),"Democratic Republic of the Congo",
ISNUMBER(SEARCH("German DR",S982)),"DR Germany",
ISNUMBER(SEARCH("rn""&gt;United Arab Emirates",S982)),"United Arab Emirates",
ISNUMBER(SEARCH("rn""&gt;Republic of Ireland",S982)),"Ireland",
ISNUMBER(SEARCH("rn""&gt;Bosnia and Herzegovina",S982)),"Bosnia and Herzegovina",
ISNUMBER(SEARCH("rn""&gt;Trinidad and Tobago",S982)),"Trinidad and Tobago",
ISNUMBER(SEARCH("rn""&gt;Serbia and Montenegro",S982)),"Serbia and Montenegro",
ISNUMBER(SEARCH(_xlfn.UNICHAR(65533),S982)),"Côte d'Ivoire",
TRUE,""
)</f>
        <v/>
      </c>
      <c r="W982" s="30" t="str">
        <f t="shared" si="87"/>
        <v>Greece</v>
      </c>
      <c r="Z982" s="40" t="str">
        <v>Al Bayt Stadium</v>
      </c>
      <c r="AA982" s="40" t="str" cm="1">
        <f t="array" ref="AA982">IFERROR(_xlfn.XLOOKUP(Z982,_xlfn.ANCHORARRAY(Z$31),AA$31:AA$37),Z982)</f>
        <v>Al Bayt Stadium</v>
      </c>
      <c r="AB982" s="42" t="str">
        <v>Al Khor</v>
      </c>
      <c r="AC982" s="89" t="str">
        <f t="shared" si="83"/>
        <v>Al Khor</v>
      </c>
      <c r="AE982" s="42">
        <v>2018</v>
      </c>
      <c r="AK982" s="42">
        <v>4</v>
      </c>
      <c r="AL982" s="42">
        <v>2</v>
      </c>
      <c r="AW982" s="89" t="str">
        <v>GROUP_STAGE</v>
      </c>
      <c r="BE982" s="43" t="str">
        <f>IF(OR(DATA_CLEANED!AL973="",DATA_CLEANED!AM973=""),"MANQUANT",IF(OR(NOT(ISNUMBER(DATA_CLEANED!AL973)),NOT(ISNUMBER(DATA_CLEANED!AM973))),"ENTREE INVALIDE",IF(OR(DATA_CLEANED!AL973&lt;0,DATA_CLEANED!AM973&lt;0),"SCORE NEGATIF","OK")))</f>
        <v>OK</v>
      </c>
      <c r="BF982" s="43" t="str">
        <f>IF(DATA_CLEANED!AK973&lt;&gt;DATA_CLEANED!AN973,"OK","ERREUR")</f>
        <v>OK</v>
      </c>
      <c r="BG982" s="43" t="str">
        <f>IF(DATA_CLEANED!AL973&gt;DATA_CLEANED!AM973,DATA_CLEANED!AK973,IF(AND(DATA_QUALITE!W5459="-",DATA_CLEANED!AM973=DATA_CLEANED!AL973),"MATCH NUL",IF(AND(DATA_QUALITE!V5459="-",DATA_QUALITE!U5459="AUCUNE"),DATA_QUALITE!T5459,IF(DATA_QUALITE!V5459&lt;&gt;"-",DATA_QUALITE!V5459,DATA_CLEANED!AN973))))</f>
        <v>MATCH NUL</v>
      </c>
      <c r="BH982" s="103" t="str">
        <f>IF(AND(BG982="MATCH NUL",DATA_CLEANED!AO973="-"),"MATCH_NUL",IF(ISNUMBER(SEARCH("win on penalties",W5459)),"WIN_BY_PENALTY",IF(ISNUMBER(SEARCH("win after extra time",W5459)),"WIN_BY_EXTRA_TIME",IF(ISNUMBER(SEARCH("Golden Goal",W5459)),"WIN_BY_GOLDEN_GOAL","WIN_BY_SCORE"))))</f>
        <v>MATCH_NUL</v>
      </c>
      <c r="BI982" s="99" t="str">
        <f>IF(OR(BG982=DATA_CLEANED!AK973,BG982=DATA_CLEANED!AN973,BG982="MATCH NUL"),"OK","ERREUR")</f>
        <v>OK</v>
      </c>
    </row>
    <row r="983" spans="2:61">
      <c r="B983" s="75">
        <v>546</v>
      </c>
      <c r="C983" s="15" t="str">
        <v>Kento Shiogai</v>
      </c>
      <c r="D983" s="15">
        <v>21</v>
      </c>
      <c r="E983" s="15" t="str">
        <v>Japan</v>
      </c>
      <c r="F983" s="15" t="str">
        <v>ST</v>
      </c>
      <c r="G983" s="15" t="str">
        <v>VfL Wolfsburg</v>
      </c>
      <c r="H983" s="15">
        <v>26</v>
      </c>
      <c r="I983" s="15" t="str">
        <f t="shared" si="84"/>
        <v>546|Kento Shiogai|21|Japan|ST|VfL Wolfsburg|26</v>
      </c>
      <c r="J983" s="15" t="str">
        <f>IF(COUNTIF(I$438:I983,I983)&gt;1,"DOUBLON","OK")</f>
        <v>OK</v>
      </c>
      <c r="S983" s="30" t="str">
        <v>Costa Rica</v>
      </c>
      <c r="T983" s="30" t="str">
        <f t="shared" si="85"/>
        <v>OK</v>
      </c>
      <c r="U983" s="30" t="str">
        <f t="shared" si="86"/>
        <v>-</v>
      </c>
      <c r="V983" s="30" t="str" cm="1">
        <f t="array" ref="V983">_xlfn.IFS(
ISNUMBER(SEARCH("USA",S983)),"United States",
ISNUMBER(SEARCH("Republic of Korea",S983)),"South Korea",
ISNUMBER(SEARCH("Cape Verde",S983)),"Cabo Verde",
ISNUMBER(SEARCH("Czechia",S983)),"Czech Republic",
ISNUMBER(SEARCH("Türkiye",S983)),"Turkey",
ISNUMBER(SEARCH("Ivory Coast",S983)),"Côte d'Ivoire",
ISNUMBER(SEARCH("Korea Republic",S983)),"South Korea",
ISNUMBER(SEARCH("Germany FR",S983)),"FR Germany",
ISNUMBER(SEARCH("West Germany",S983)),"FR Germany",
ISNUMBER(SEARCH("Germany DR",S983)),"DR Germany",
ISNUMBER(SEARCH("Korea DPR",S983)),"North Korea",
ISNUMBER(SEARCH("China PR",S983)),"China",
ISNUMBER(SEARCH("IR Iran",S983)),"Iran",
ISNUMBER(SEARCH("Congo DR",S983)),"Democratic Republic of the Congo",
ISNUMBER(SEARCH("DR Congo",S983)),"Democratic Republic of the Congo",
ISNUMBER(SEARCH("German DR",S983)),"DR Germany",
ISNUMBER(SEARCH("rn""&gt;United Arab Emirates",S983)),"United Arab Emirates",
ISNUMBER(SEARCH("rn""&gt;Republic of Ireland",S983)),"Ireland",
ISNUMBER(SEARCH("rn""&gt;Bosnia and Herzegovina",S983)),"Bosnia and Herzegovina",
ISNUMBER(SEARCH("rn""&gt;Trinidad and Tobago",S983)),"Trinidad and Tobago",
ISNUMBER(SEARCH("rn""&gt;Serbia and Montenegro",S983)),"Serbia and Montenegro",
ISNUMBER(SEARCH(_xlfn.UNICHAR(65533),S983)),"Côte d'Ivoire",
TRUE,""
)</f>
        <v/>
      </c>
      <c r="W983" s="30" t="str">
        <f t="shared" si="87"/>
        <v>Costa Rica</v>
      </c>
      <c r="Z983" s="40" t="str">
        <v>Khalifa International Stadium</v>
      </c>
      <c r="AA983" s="40" t="str" cm="1">
        <f t="array" ref="AA983">IFERROR(_xlfn.XLOOKUP(Z983,_xlfn.ANCHORARRAY(Z$31),AA$31:AA$37),Z983)</f>
        <v>Khalifa International Stadium</v>
      </c>
      <c r="AB983" s="42" t="str">
        <v>Al Rayyan</v>
      </c>
      <c r="AC983" s="89" t="str">
        <f t="shared" si="83"/>
        <v>Al Rayyan</v>
      </c>
      <c r="AE983" s="42">
        <v>2022</v>
      </c>
      <c r="AK983" s="42">
        <v>0</v>
      </c>
      <c r="AL983" s="42">
        <v>2</v>
      </c>
      <c r="AW983" s="89" t="str">
        <v>GROUP_STAGE</v>
      </c>
      <c r="BE983" s="43" t="str">
        <f>IF(OR(DATA_CLEANED!AL974="",DATA_CLEANED!AM974=""),"MANQUANT",IF(OR(NOT(ISNUMBER(DATA_CLEANED!AL974)),NOT(ISNUMBER(DATA_CLEANED!AM974))),"ENTREE INVALIDE",IF(OR(DATA_CLEANED!AL974&lt;0,DATA_CLEANED!AM974&lt;0),"SCORE NEGATIF","OK")))</f>
        <v>OK</v>
      </c>
      <c r="BF983" s="43" t="str">
        <f>IF(DATA_CLEANED!AK974&lt;&gt;DATA_CLEANED!AN974,"OK","ERREUR")</f>
        <v>OK</v>
      </c>
      <c r="BG983" s="43" t="str">
        <f>IF(DATA_CLEANED!AL974&gt;DATA_CLEANED!AM974,DATA_CLEANED!AK974,IF(AND(DATA_QUALITE!W5460="-",DATA_CLEANED!AM974=DATA_CLEANED!AL974),"MATCH NUL",IF(AND(DATA_QUALITE!V5460="-",DATA_QUALITE!U5460="AUCUNE"),DATA_QUALITE!T5460,IF(DATA_QUALITE!V5460&lt;&gt;"-",DATA_QUALITE!V5460,DATA_CLEANED!AN974))))</f>
        <v>MATCH NUL</v>
      </c>
      <c r="BH983" s="103" t="str">
        <f>IF(AND(BG983="MATCH NUL",DATA_CLEANED!AO974="-"),"MATCH_NUL",IF(ISNUMBER(SEARCH("win on penalties",W5460)),"WIN_BY_PENALTY",IF(ISNUMBER(SEARCH("win after extra time",W5460)),"WIN_BY_EXTRA_TIME",IF(ISNUMBER(SEARCH("Golden Goal",W5460)),"WIN_BY_GOLDEN_GOAL","WIN_BY_SCORE"))))</f>
        <v>MATCH_NUL</v>
      </c>
      <c r="BI983" s="99" t="str">
        <f>IF(OR(BG983=DATA_CLEANED!AK974,BG983=DATA_CLEANED!AN974,BG983="MATCH NUL"),"OK","ERREUR")</f>
        <v>OK</v>
      </c>
    </row>
    <row r="984" spans="2:61">
      <c r="B984" s="75">
        <v>547</v>
      </c>
      <c r="C984" s="15" t="str">
        <v>Bart Verbruggen</v>
      </c>
      <c r="D984" s="15">
        <v>23</v>
      </c>
      <c r="E984" s="15" t="str">
        <v>Netherlands</v>
      </c>
      <c r="F984" s="15" t="str">
        <v>GK</v>
      </c>
      <c r="G984" s="15" t="str">
        <v>Brighton &amp; Hove Albion</v>
      </c>
      <c r="H984" s="15">
        <v>1</v>
      </c>
      <c r="I984" s="15" t="str">
        <f t="shared" si="84"/>
        <v>547|Bart Verbruggen|23|Netherlands|GK|Brighton &amp; Hove Albion|1</v>
      </c>
      <c r="J984" s="15" t="str">
        <f>IF(COUNTIF(I$438:I984,I984)&gt;1,"DOUBLON","OK")</f>
        <v>OK</v>
      </c>
      <c r="S984" s="30" t="str">
        <v>Greece</v>
      </c>
      <c r="T984" s="30" t="str">
        <f t="shared" si="85"/>
        <v>OK</v>
      </c>
      <c r="U984" s="30" t="str">
        <f t="shared" si="86"/>
        <v>-</v>
      </c>
      <c r="V984" s="30" t="str" cm="1">
        <f t="array" ref="V984">_xlfn.IFS(
ISNUMBER(SEARCH("USA",S984)),"United States",
ISNUMBER(SEARCH("Republic of Korea",S984)),"South Korea",
ISNUMBER(SEARCH("Cape Verde",S984)),"Cabo Verde",
ISNUMBER(SEARCH("Czechia",S984)),"Czech Republic",
ISNUMBER(SEARCH("Türkiye",S984)),"Turkey",
ISNUMBER(SEARCH("Ivory Coast",S984)),"Côte d'Ivoire",
ISNUMBER(SEARCH("Korea Republic",S984)),"South Korea",
ISNUMBER(SEARCH("Germany FR",S984)),"FR Germany",
ISNUMBER(SEARCH("West Germany",S984)),"FR Germany",
ISNUMBER(SEARCH("Germany DR",S984)),"DR Germany",
ISNUMBER(SEARCH("Korea DPR",S984)),"North Korea",
ISNUMBER(SEARCH("China PR",S984)),"China",
ISNUMBER(SEARCH("IR Iran",S984)),"Iran",
ISNUMBER(SEARCH("Congo DR",S984)),"Democratic Republic of the Congo",
ISNUMBER(SEARCH("DR Congo",S984)),"Democratic Republic of the Congo",
ISNUMBER(SEARCH("German DR",S984)),"DR Germany",
ISNUMBER(SEARCH("rn""&gt;United Arab Emirates",S984)),"United Arab Emirates",
ISNUMBER(SEARCH("rn""&gt;Republic of Ireland",S984)),"Ireland",
ISNUMBER(SEARCH("rn""&gt;Bosnia and Herzegovina",S984)),"Bosnia and Herzegovina",
ISNUMBER(SEARCH("rn""&gt;Trinidad and Tobago",S984)),"Trinidad and Tobago",
ISNUMBER(SEARCH("rn""&gt;Serbia and Montenegro",S984)),"Serbia and Montenegro",
ISNUMBER(SEARCH(_xlfn.UNICHAR(65533),S984)),"Côte d'Ivoire",
TRUE,""
)</f>
        <v/>
      </c>
      <c r="W984" s="30" t="str">
        <f t="shared" si="87"/>
        <v>Greece</v>
      </c>
      <c r="Z984" s="40" t="str">
        <v>Al Janoub Stadium</v>
      </c>
      <c r="AA984" s="40" t="str" cm="1">
        <f t="array" ref="AA984">IFERROR(_xlfn.XLOOKUP(Z984,_xlfn.ANCHORARRAY(Z$31),AA$31:AA$37),Z984)</f>
        <v>Al Janoub Stadium</v>
      </c>
      <c r="AB984" s="42" t="str">
        <v>Al Wakrah</v>
      </c>
      <c r="AC984" s="89" t="str">
        <f t="shared" si="83"/>
        <v>Al Wakrah</v>
      </c>
      <c r="AE984" s="42">
        <v>2022</v>
      </c>
      <c r="AK984" s="42">
        <v>6</v>
      </c>
      <c r="AL984" s="42">
        <v>2</v>
      </c>
      <c r="AW984" s="89" t="str">
        <v>GROUP_STAGE</v>
      </c>
      <c r="BE984" s="43" t="str">
        <f>IF(OR(DATA_CLEANED!AL975="",DATA_CLEANED!AM975=""),"MANQUANT",IF(OR(NOT(ISNUMBER(DATA_CLEANED!AL975)),NOT(ISNUMBER(DATA_CLEANED!AM975))),"ENTREE INVALIDE",IF(OR(DATA_CLEANED!AL975&lt;0,DATA_CLEANED!AM975&lt;0),"SCORE NEGATIF","OK")))</f>
        <v>OK</v>
      </c>
      <c r="BF984" s="43" t="str">
        <f>IF(DATA_CLEANED!AK975&lt;&gt;DATA_CLEANED!AN975,"OK","ERREUR")</f>
        <v>OK</v>
      </c>
      <c r="BG984" s="43" t="str">
        <f>IF(DATA_CLEANED!AL975&gt;DATA_CLEANED!AM975,DATA_CLEANED!AK975,IF(AND(DATA_QUALITE!W5461="-",DATA_CLEANED!AM975=DATA_CLEANED!AL975),"MATCH NUL",IF(AND(DATA_QUALITE!V5461="-",DATA_QUALITE!U5461="AUCUNE"),DATA_QUALITE!T5461,IF(DATA_QUALITE!V5461&lt;&gt;"-",DATA_QUALITE!V5461,DATA_CLEANED!AN975))))</f>
        <v>Germany</v>
      </c>
      <c r="BH984" s="103" t="str">
        <f>IF(AND(BG984="MATCH NUL",DATA_CLEANED!AO975="-"),"MATCH_NUL",IF(ISNUMBER(SEARCH("win on penalties",W5461)),"WIN_BY_PENALTY",IF(ISNUMBER(SEARCH("win after extra time",W5461)),"WIN_BY_EXTRA_TIME",IF(ISNUMBER(SEARCH("Golden Goal",W5461)),"WIN_BY_GOLDEN_GOAL","WIN_BY_SCORE"))))</f>
        <v>WIN_BY_SCORE</v>
      </c>
      <c r="BI984" s="99" t="str">
        <f>IF(OR(BG984=DATA_CLEANED!AK975,BG984=DATA_CLEANED!AN975,BG984="MATCH NUL"),"OK","ERREUR")</f>
        <v>OK</v>
      </c>
    </row>
    <row r="985" spans="2:61">
      <c r="B985" s="75">
        <v>548</v>
      </c>
      <c r="C985" s="15" t="str">
        <v>Robin Roefs</v>
      </c>
      <c r="D985" s="15">
        <v>23</v>
      </c>
      <c r="E985" s="15" t="str">
        <v>Netherlands</v>
      </c>
      <c r="F985" s="15" t="str">
        <v>GK</v>
      </c>
      <c r="G985" s="15" t="str">
        <v>Sunderland</v>
      </c>
      <c r="H985" s="15">
        <v>13</v>
      </c>
      <c r="I985" s="15" t="str">
        <f t="shared" si="84"/>
        <v>548|Robin Roefs|23|Netherlands|GK|Sunderland|13</v>
      </c>
      <c r="J985" s="15" t="str">
        <f>IF(COUNTIF(I$438:I985,I985)&gt;1,"DOUBLON","OK")</f>
        <v>OK</v>
      </c>
      <c r="S985" s="30" t="str">
        <v>Costa Rica</v>
      </c>
      <c r="T985" s="30" t="str">
        <f t="shared" si="85"/>
        <v>OK</v>
      </c>
      <c r="U985" s="30" t="str">
        <f t="shared" si="86"/>
        <v>-</v>
      </c>
      <c r="V985" s="30" t="str" cm="1">
        <f t="array" ref="V985">_xlfn.IFS(
ISNUMBER(SEARCH("USA",S985)),"United States",
ISNUMBER(SEARCH("Republic of Korea",S985)),"South Korea",
ISNUMBER(SEARCH("Cape Verde",S985)),"Cabo Verde",
ISNUMBER(SEARCH("Czechia",S985)),"Czech Republic",
ISNUMBER(SEARCH("Türkiye",S985)),"Turkey",
ISNUMBER(SEARCH("Ivory Coast",S985)),"Côte d'Ivoire",
ISNUMBER(SEARCH("Korea Republic",S985)),"South Korea",
ISNUMBER(SEARCH("Germany FR",S985)),"FR Germany",
ISNUMBER(SEARCH("West Germany",S985)),"FR Germany",
ISNUMBER(SEARCH("Germany DR",S985)),"DR Germany",
ISNUMBER(SEARCH("Korea DPR",S985)),"North Korea",
ISNUMBER(SEARCH("China PR",S985)),"China",
ISNUMBER(SEARCH("IR Iran",S985)),"Iran",
ISNUMBER(SEARCH("Congo DR",S985)),"Democratic Republic of the Congo",
ISNUMBER(SEARCH("DR Congo",S985)),"Democratic Republic of the Congo",
ISNUMBER(SEARCH("German DR",S985)),"DR Germany",
ISNUMBER(SEARCH("rn""&gt;United Arab Emirates",S985)),"United Arab Emirates",
ISNUMBER(SEARCH("rn""&gt;Republic of Ireland",S985)),"Ireland",
ISNUMBER(SEARCH("rn""&gt;Bosnia and Herzegovina",S985)),"Bosnia and Herzegovina",
ISNUMBER(SEARCH("rn""&gt;Trinidad and Tobago",S985)),"Trinidad and Tobago",
ISNUMBER(SEARCH("rn""&gt;Serbia and Montenegro",S985)),"Serbia and Montenegro",
ISNUMBER(SEARCH(_xlfn.UNICHAR(65533),S985)),"Côte d'Ivoire",
TRUE,""
)</f>
        <v/>
      </c>
      <c r="W985" s="30" t="str">
        <f t="shared" si="87"/>
        <v>Costa Rica</v>
      </c>
      <c r="Z985" s="40" t="str">
        <v>Education City Stadium</v>
      </c>
      <c r="AA985" s="40" t="str" cm="1">
        <f t="array" ref="AA985">IFERROR(_xlfn.XLOOKUP(Z985,_xlfn.ANCHORARRAY(Z$31),AA$31:AA$37),Z985)</f>
        <v>Education City Stadium</v>
      </c>
      <c r="AB985" s="42" t="str">
        <v>Al Rayyan</v>
      </c>
      <c r="AC985" s="89" t="str">
        <f t="shared" si="83"/>
        <v>Al Rayyan</v>
      </c>
      <c r="AE985" s="42">
        <v>2022</v>
      </c>
      <c r="AK985" s="42">
        <v>0</v>
      </c>
      <c r="AL985" s="42">
        <v>2</v>
      </c>
      <c r="AW985" s="89" t="str">
        <v>GROUP_STAGE</v>
      </c>
      <c r="BE985" s="43" t="str">
        <f>IF(OR(DATA_CLEANED!AL976="",DATA_CLEANED!AM976=""),"MANQUANT",IF(OR(NOT(ISNUMBER(DATA_CLEANED!AL976)),NOT(ISNUMBER(DATA_CLEANED!AM976))),"ENTREE INVALIDE",IF(OR(DATA_CLEANED!AL976&lt;0,DATA_CLEANED!AM976&lt;0),"SCORE NEGATIF","OK")))</f>
        <v>OK</v>
      </c>
      <c r="BF985" s="43" t="str">
        <f>IF(DATA_CLEANED!AK976&lt;&gt;DATA_CLEANED!AN976,"OK","ERREUR")</f>
        <v>OK</v>
      </c>
      <c r="BG985" s="43" t="str">
        <f>IF(DATA_CLEANED!AL976&gt;DATA_CLEANED!AM976,DATA_CLEANED!AK976,IF(AND(DATA_QUALITE!W5462="-",DATA_CLEANED!AM976=DATA_CLEANED!AL976),"MATCH NUL",IF(AND(DATA_QUALITE!V5462="-",DATA_QUALITE!U5462="AUCUNE"),DATA_QUALITE!T5462,IF(DATA_QUALITE!V5462&lt;&gt;"-",DATA_QUALITE!V5462,DATA_CLEANED!AN976))))</f>
        <v>MATCH NUL</v>
      </c>
      <c r="BH985" s="103" t="str">
        <f>IF(AND(BG985="MATCH NUL",DATA_CLEANED!AO976="-"),"MATCH_NUL",IF(ISNUMBER(SEARCH("win on penalties",W5462)),"WIN_BY_PENALTY",IF(ISNUMBER(SEARCH("win after extra time",W5462)),"WIN_BY_EXTRA_TIME",IF(ISNUMBER(SEARCH("Golden Goal",W5462)),"WIN_BY_GOLDEN_GOAL","WIN_BY_SCORE"))))</f>
        <v>MATCH_NUL</v>
      </c>
      <c r="BI985" s="99" t="str">
        <f>IF(OR(BG985=DATA_CLEANED!AK976,BG985=DATA_CLEANED!AN976,BG985="MATCH NUL"),"OK","ERREUR")</f>
        <v>OK</v>
      </c>
    </row>
    <row r="986" spans="2:61">
      <c r="B986" s="75">
        <v>549</v>
      </c>
      <c r="C986" s="15" t="str">
        <v>Mark Flekken</v>
      </c>
      <c r="D986" s="15">
        <v>32</v>
      </c>
      <c r="E986" s="15" t="str">
        <v>Netherlands</v>
      </c>
      <c r="F986" s="15" t="str">
        <v>GK</v>
      </c>
      <c r="G986" s="15" t="str">
        <v>Bayer Leverkusen</v>
      </c>
      <c r="H986" s="15">
        <v>23</v>
      </c>
      <c r="I986" s="15" t="str">
        <f t="shared" si="84"/>
        <v>549|Mark Flekken|32|Netherlands|GK|Bayer Leverkusen|23</v>
      </c>
      <c r="J986" s="15" t="str">
        <f>IF(COUNTIF(I$438:I986,I986)&gt;1,"DOUBLON","OK")</f>
        <v>OK</v>
      </c>
      <c r="S986" s="30" t="str">
        <v>Greece</v>
      </c>
      <c r="T986" s="30" t="str">
        <f t="shared" si="85"/>
        <v>OK</v>
      </c>
      <c r="U986" s="30" t="str">
        <f t="shared" si="86"/>
        <v>-</v>
      </c>
      <c r="V986" s="30" t="str" cm="1">
        <f t="array" ref="V986">_xlfn.IFS(
ISNUMBER(SEARCH("USA",S986)),"United States",
ISNUMBER(SEARCH("Republic of Korea",S986)),"South Korea",
ISNUMBER(SEARCH("Cape Verde",S986)),"Cabo Verde",
ISNUMBER(SEARCH("Czechia",S986)),"Czech Republic",
ISNUMBER(SEARCH("Türkiye",S986)),"Turkey",
ISNUMBER(SEARCH("Ivory Coast",S986)),"Côte d'Ivoire",
ISNUMBER(SEARCH("Korea Republic",S986)),"South Korea",
ISNUMBER(SEARCH("Germany FR",S986)),"FR Germany",
ISNUMBER(SEARCH("West Germany",S986)),"FR Germany",
ISNUMBER(SEARCH("Germany DR",S986)),"DR Germany",
ISNUMBER(SEARCH("Korea DPR",S986)),"North Korea",
ISNUMBER(SEARCH("China PR",S986)),"China",
ISNUMBER(SEARCH("IR Iran",S986)),"Iran",
ISNUMBER(SEARCH("Congo DR",S986)),"Democratic Republic of the Congo",
ISNUMBER(SEARCH("DR Congo",S986)),"Democratic Republic of the Congo",
ISNUMBER(SEARCH("German DR",S986)),"DR Germany",
ISNUMBER(SEARCH("rn""&gt;United Arab Emirates",S986)),"United Arab Emirates",
ISNUMBER(SEARCH("rn""&gt;Republic of Ireland",S986)),"Ireland",
ISNUMBER(SEARCH("rn""&gt;Bosnia and Herzegovina",S986)),"Bosnia and Herzegovina",
ISNUMBER(SEARCH("rn""&gt;Trinidad and Tobago",S986)),"Trinidad and Tobago",
ISNUMBER(SEARCH("rn""&gt;Serbia and Montenegro",S986)),"Serbia and Montenegro",
ISNUMBER(SEARCH(_xlfn.UNICHAR(65533),S986)),"Côte d'Ivoire",
TRUE,""
)</f>
        <v/>
      </c>
      <c r="W986" s="30" t="str">
        <f t="shared" si="87"/>
        <v>Greece</v>
      </c>
      <c r="Z986" s="40" t="str">
        <v>Lusail Stadium</v>
      </c>
      <c r="AA986" s="40" t="str" cm="1">
        <f t="array" ref="AA986">IFERROR(_xlfn.XLOOKUP(Z986,_xlfn.ANCHORARRAY(Z$31),AA$31:AA$37),Z986)</f>
        <v>Lusail Stadium</v>
      </c>
      <c r="AB986" s="42" t="str">
        <v>Lusail</v>
      </c>
      <c r="AC986" s="89" t="str">
        <f t="shared" si="83"/>
        <v>Lusail</v>
      </c>
      <c r="AE986" s="42">
        <v>2022</v>
      </c>
      <c r="AK986" s="42">
        <v>1</v>
      </c>
      <c r="AL986" s="42">
        <v>1</v>
      </c>
      <c r="AW986" s="89" t="str">
        <v>GROUP_STAGE</v>
      </c>
      <c r="BE986" s="43" t="str">
        <f>IF(OR(DATA_CLEANED!AL977="",DATA_CLEANED!AM977=""),"MANQUANT",IF(OR(NOT(ISNUMBER(DATA_CLEANED!AL977)),NOT(ISNUMBER(DATA_CLEANED!AM977))),"ENTREE INVALIDE",IF(OR(DATA_CLEANED!AL977&lt;0,DATA_CLEANED!AM977&lt;0),"SCORE NEGATIF","OK")))</f>
        <v>OK</v>
      </c>
      <c r="BF986" s="43" t="str">
        <f>IF(DATA_CLEANED!AK977&lt;&gt;DATA_CLEANED!AN977,"OK","ERREUR")</f>
        <v>OK</v>
      </c>
      <c r="BG986" s="43" t="str">
        <f>IF(DATA_CLEANED!AL977&gt;DATA_CLEANED!AM977,DATA_CLEANED!AK977,IF(AND(DATA_QUALITE!W5463="-",DATA_CLEANED!AM977=DATA_CLEANED!AL977),"MATCH NUL",IF(AND(DATA_QUALITE!V5463="-",DATA_QUALITE!U5463="AUCUNE"),DATA_QUALITE!T5463,IF(DATA_QUALITE!V5463&lt;&gt;"-",DATA_QUALITE!V5463,DATA_CLEANED!AN977))))</f>
        <v>Côte d'Ivoire</v>
      </c>
      <c r="BH986" s="103" t="str">
        <f>IF(AND(BG986="MATCH NUL",DATA_CLEANED!AO977="-"),"MATCH_NUL",IF(ISNUMBER(SEARCH("win on penalties",W5463)),"WIN_BY_PENALTY",IF(ISNUMBER(SEARCH("win after extra time",W5463)),"WIN_BY_EXTRA_TIME",IF(ISNUMBER(SEARCH("Golden Goal",W5463)),"WIN_BY_GOLDEN_GOAL","WIN_BY_SCORE"))))</f>
        <v>WIN_BY_SCORE</v>
      </c>
      <c r="BI986" s="99" t="str">
        <f>IF(OR(BG986=DATA_CLEANED!AK977,BG986=DATA_CLEANED!AN977,BG986="MATCH NUL"),"OK","ERREUR")</f>
        <v>OK</v>
      </c>
    </row>
    <row r="987" spans="2:61">
      <c r="B987" s="75">
        <v>550</v>
      </c>
      <c r="C987" s="15" t="str">
        <v>Virgil van Dijk</v>
      </c>
      <c r="D987" s="15">
        <v>34</v>
      </c>
      <c r="E987" s="15" t="str">
        <v>Netherlands</v>
      </c>
      <c r="F987" s="15" t="str">
        <v>CB</v>
      </c>
      <c r="G987" s="15" t="str">
        <v>Liverpool</v>
      </c>
      <c r="H987" s="15">
        <v>4</v>
      </c>
      <c r="I987" s="15" t="str">
        <f t="shared" si="84"/>
        <v>550|Virgil van Dijk|34|Netherlands|CB|Liverpool|4</v>
      </c>
      <c r="J987" s="15" t="str">
        <f>IF(COUNTIF(I$438:I987,I987)&gt;1,"DOUBLON","OK")</f>
        <v>OK</v>
      </c>
      <c r="S987" s="30" t="str">
        <v>Costa Rica</v>
      </c>
      <c r="T987" s="30" t="str">
        <f t="shared" si="85"/>
        <v>OK</v>
      </c>
      <c r="U987" s="30" t="str">
        <f t="shared" si="86"/>
        <v>-</v>
      </c>
      <c r="V987" s="30" t="str" cm="1">
        <f t="array" ref="V987">_xlfn.IFS(
ISNUMBER(SEARCH("USA",S987)),"United States",
ISNUMBER(SEARCH("Republic of Korea",S987)),"South Korea",
ISNUMBER(SEARCH("Cape Verde",S987)),"Cabo Verde",
ISNUMBER(SEARCH("Czechia",S987)),"Czech Republic",
ISNUMBER(SEARCH("Türkiye",S987)),"Turkey",
ISNUMBER(SEARCH("Ivory Coast",S987)),"Côte d'Ivoire",
ISNUMBER(SEARCH("Korea Republic",S987)),"South Korea",
ISNUMBER(SEARCH("Germany FR",S987)),"FR Germany",
ISNUMBER(SEARCH("West Germany",S987)),"FR Germany",
ISNUMBER(SEARCH("Germany DR",S987)),"DR Germany",
ISNUMBER(SEARCH("Korea DPR",S987)),"North Korea",
ISNUMBER(SEARCH("China PR",S987)),"China",
ISNUMBER(SEARCH("IR Iran",S987)),"Iran",
ISNUMBER(SEARCH("Congo DR",S987)),"Democratic Republic of the Congo",
ISNUMBER(SEARCH("DR Congo",S987)),"Democratic Republic of the Congo",
ISNUMBER(SEARCH("German DR",S987)),"DR Germany",
ISNUMBER(SEARCH("rn""&gt;United Arab Emirates",S987)),"United Arab Emirates",
ISNUMBER(SEARCH("rn""&gt;Republic of Ireland",S987)),"Ireland",
ISNUMBER(SEARCH("rn""&gt;Bosnia and Herzegovina",S987)),"Bosnia and Herzegovina",
ISNUMBER(SEARCH("rn""&gt;Trinidad and Tobago",S987)),"Trinidad and Tobago",
ISNUMBER(SEARCH("rn""&gt;Serbia and Montenegro",S987)),"Serbia and Montenegro",
ISNUMBER(SEARCH(_xlfn.UNICHAR(65533),S987)),"Côte d'Ivoire",
TRUE,""
)</f>
        <v/>
      </c>
      <c r="W987" s="30" t="str">
        <f t="shared" si="87"/>
        <v>Costa Rica</v>
      </c>
      <c r="Z987" s="40" t="str">
        <v>Stadium 974</v>
      </c>
      <c r="AA987" s="40" t="str" cm="1">
        <f t="array" ref="AA987">IFERROR(_xlfn.XLOOKUP(Z987,_xlfn.ANCHORARRAY(Z$31),AA$31:AA$37),Z987)</f>
        <v>Stadium 974</v>
      </c>
      <c r="AB987" s="42" t="str">
        <v>Doha</v>
      </c>
      <c r="AC987" s="89" t="str">
        <f t="shared" si="83"/>
        <v>Doha</v>
      </c>
      <c r="AE987" s="42">
        <v>2022</v>
      </c>
      <c r="AK987" s="42">
        <v>1</v>
      </c>
      <c r="AL987" s="42">
        <v>2</v>
      </c>
      <c r="AW987" s="89" t="str">
        <v>GROUP_STAGE</v>
      </c>
      <c r="BE987" s="43" t="str">
        <f>IF(OR(DATA_CLEANED!AL978="",DATA_CLEANED!AM978=""),"MANQUANT",IF(OR(NOT(ISNUMBER(DATA_CLEANED!AL978)),NOT(ISNUMBER(DATA_CLEANED!AM978))),"ENTREE INVALIDE",IF(OR(DATA_CLEANED!AL978&lt;0,DATA_CLEANED!AM978&lt;0),"SCORE NEGATIF","OK")))</f>
        <v>OK</v>
      </c>
      <c r="BF987" s="43" t="str">
        <f>IF(DATA_CLEANED!AK978&lt;&gt;DATA_CLEANED!AN978,"OK","ERREUR")</f>
        <v>OK</v>
      </c>
      <c r="BG987" s="43" t="str">
        <f>IF(DATA_CLEANED!AL978&gt;DATA_CLEANED!AM978,DATA_CLEANED!AK978,IF(AND(DATA_QUALITE!W5464="-",DATA_CLEANED!AM978=DATA_CLEANED!AL978),"MATCH NUL",IF(AND(DATA_QUALITE!V5464="-",DATA_QUALITE!U5464="AUCUNE"),DATA_QUALITE!T5464,IF(DATA_QUALITE!V5464&lt;&gt;"-",DATA_QUALITE!V5464,DATA_CLEANED!AN978))))</f>
        <v>Sweden</v>
      </c>
      <c r="BH987" s="103" t="str">
        <f>IF(AND(BG987="MATCH NUL",DATA_CLEANED!AO978="-"),"MATCH_NUL",IF(ISNUMBER(SEARCH("win on penalties",W5464)),"WIN_BY_PENALTY",IF(ISNUMBER(SEARCH("win after extra time",W5464)),"WIN_BY_EXTRA_TIME",IF(ISNUMBER(SEARCH("Golden Goal",W5464)),"WIN_BY_GOLDEN_GOAL","WIN_BY_SCORE"))))</f>
        <v>WIN_BY_SCORE</v>
      </c>
      <c r="BI987" s="99" t="str">
        <f>IF(OR(BG987=DATA_CLEANED!AK978,BG987=DATA_CLEANED!AN978,BG987="MATCH NUL"),"OK","ERREUR")</f>
        <v>OK</v>
      </c>
    </row>
    <row r="988" spans="2:61">
      <c r="B988" s="75">
        <v>551</v>
      </c>
      <c r="C988" s="15" t="str">
        <v>Nathan Aké</v>
      </c>
      <c r="D988" s="15">
        <v>31</v>
      </c>
      <c r="E988" s="15" t="str">
        <v>Netherlands</v>
      </c>
      <c r="F988" s="15" t="str">
        <v>CB</v>
      </c>
      <c r="G988" s="15" t="str">
        <v>Manchester City</v>
      </c>
      <c r="H988" s="15">
        <v>5</v>
      </c>
      <c r="I988" s="15" t="str">
        <f t="shared" si="84"/>
        <v>551|Nathan Aké|31|Netherlands|CB|Manchester City|5</v>
      </c>
      <c r="J988" s="15" t="str">
        <f>IF(COUNTIF(I$438:I988,I988)&gt;1,"DOUBLON","OK")</f>
        <v>OK</v>
      </c>
      <c r="S988" s="30" t="str">
        <v>Netherlands</v>
      </c>
      <c r="T988" s="30" t="str">
        <f t="shared" si="85"/>
        <v>OK</v>
      </c>
      <c r="U988" s="30" t="str">
        <f t="shared" si="86"/>
        <v>-</v>
      </c>
      <c r="V988" s="30" t="str" cm="1">
        <f t="array" ref="V988">_xlfn.IFS(
ISNUMBER(SEARCH("USA",S988)),"United States",
ISNUMBER(SEARCH("Republic of Korea",S988)),"South Korea",
ISNUMBER(SEARCH("Cape Verde",S988)),"Cabo Verde",
ISNUMBER(SEARCH("Czechia",S988)),"Czech Republic",
ISNUMBER(SEARCH("Türkiye",S988)),"Turkey",
ISNUMBER(SEARCH("Ivory Coast",S988)),"Côte d'Ivoire",
ISNUMBER(SEARCH("Korea Republic",S988)),"South Korea",
ISNUMBER(SEARCH("Germany FR",S988)),"FR Germany",
ISNUMBER(SEARCH("West Germany",S988)),"FR Germany",
ISNUMBER(SEARCH("Germany DR",S988)),"DR Germany",
ISNUMBER(SEARCH("Korea DPR",S988)),"North Korea",
ISNUMBER(SEARCH("China PR",S988)),"China",
ISNUMBER(SEARCH("IR Iran",S988)),"Iran",
ISNUMBER(SEARCH("Congo DR",S988)),"Democratic Republic of the Congo",
ISNUMBER(SEARCH("DR Congo",S988)),"Democratic Republic of the Congo",
ISNUMBER(SEARCH("German DR",S988)),"DR Germany",
ISNUMBER(SEARCH("rn""&gt;United Arab Emirates",S988)),"United Arab Emirates",
ISNUMBER(SEARCH("rn""&gt;Republic of Ireland",S988)),"Ireland",
ISNUMBER(SEARCH("rn""&gt;Bosnia and Herzegovina",S988)),"Bosnia and Herzegovina",
ISNUMBER(SEARCH("rn""&gt;Trinidad and Tobago",S988)),"Trinidad and Tobago",
ISNUMBER(SEARCH("rn""&gt;Serbia and Montenegro",S988)),"Serbia and Montenegro",
ISNUMBER(SEARCH(_xlfn.UNICHAR(65533),S988)),"Côte d'Ivoire",
TRUE,""
)</f>
        <v/>
      </c>
      <c r="W988" s="30" t="str">
        <f t="shared" si="87"/>
        <v>Netherlands</v>
      </c>
      <c r="Z988" s="40" t="str">
        <v>Khalifa International Stadium</v>
      </c>
      <c r="AA988" s="40" t="str" cm="1">
        <f t="array" ref="AA988">IFERROR(_xlfn.XLOOKUP(Z988,_xlfn.ANCHORARRAY(Z$31),AA$31:AA$37),Z988)</f>
        <v>Khalifa International Stadium</v>
      </c>
      <c r="AB988" s="42" t="str">
        <v>Al Rayyan</v>
      </c>
      <c r="AC988" s="89" t="str">
        <f t="shared" si="83"/>
        <v>Al Rayyan</v>
      </c>
      <c r="AE988" s="42">
        <v>2022</v>
      </c>
      <c r="AK988" s="42">
        <v>0</v>
      </c>
      <c r="AL988" s="42">
        <v>0</v>
      </c>
      <c r="AW988" s="89" t="str">
        <v>GROUP_STAGE</v>
      </c>
      <c r="BE988" s="43" t="str">
        <f>IF(OR(DATA_CLEANED!AL979="",DATA_CLEANED!AM979=""),"MANQUANT",IF(OR(NOT(ISNUMBER(DATA_CLEANED!AL979)),NOT(ISNUMBER(DATA_CLEANED!AM979))),"ENTREE INVALIDE",IF(OR(DATA_CLEANED!AL979&lt;0,DATA_CLEANED!AM979&lt;0),"SCORE NEGATIF","OK")))</f>
        <v>OK</v>
      </c>
      <c r="BF988" s="43" t="str">
        <f>IF(DATA_CLEANED!AK979&lt;&gt;DATA_CLEANED!AN979,"OK","ERREUR")</f>
        <v>OK</v>
      </c>
      <c r="BG988" s="43" t="str">
        <f>IF(DATA_CLEANED!AL979&gt;DATA_CLEANED!AM979,DATA_CLEANED!AK979,IF(AND(DATA_QUALITE!W5465="-",DATA_CLEANED!AM979=DATA_CLEANED!AL979),"MATCH NUL",IF(AND(DATA_QUALITE!V5465="-",DATA_QUALITE!U5465="AUCUNE"),DATA_QUALITE!T5465,IF(DATA_QUALITE!V5465&lt;&gt;"-",DATA_QUALITE!V5465,DATA_CLEANED!AN979))))</f>
        <v>MATCH NUL</v>
      </c>
      <c r="BH988" s="103" t="str">
        <f>IF(AND(BG988="MATCH NUL",DATA_CLEANED!AO979="-"),"MATCH_NUL",IF(ISNUMBER(SEARCH("win on penalties",W5465)),"WIN_BY_PENALTY",IF(ISNUMBER(SEARCH("win after extra time",W5465)),"WIN_BY_EXTRA_TIME",IF(ISNUMBER(SEARCH("Golden Goal",W5465)),"WIN_BY_GOLDEN_GOAL","WIN_BY_SCORE"))))</f>
        <v>MATCH_NUL</v>
      </c>
      <c r="BI988" s="99" t="str">
        <f>IF(OR(BG988=DATA_CLEANED!AK979,BG988=DATA_CLEANED!AN979,BG988="MATCH NUL"),"OK","ERREUR")</f>
        <v>OK</v>
      </c>
    </row>
    <row r="989" spans="2:61">
      <c r="B989" s="75">
        <v>552</v>
      </c>
      <c r="C989" s="15" t="str">
        <v>Jan Paul van Hecke</v>
      </c>
      <c r="D989" s="15">
        <v>26</v>
      </c>
      <c r="E989" s="15" t="str">
        <v>Netherlands</v>
      </c>
      <c r="F989" s="15" t="str">
        <v>CB</v>
      </c>
      <c r="G989" s="15" t="str">
        <v>Brighton &amp; Hove Albion</v>
      </c>
      <c r="H989" s="15">
        <v>6</v>
      </c>
      <c r="I989" s="15" t="str">
        <f t="shared" si="84"/>
        <v>552|Jan Paul van Hecke|26|Netherlands|CB|Brighton &amp; Hove Albion|6</v>
      </c>
      <c r="J989" s="15" t="str">
        <f>IF(COUNTIF(I$438:I989,I989)&gt;1,"DOUBLON","OK")</f>
        <v>OK</v>
      </c>
      <c r="S989" s="30" t="str">
        <v>Costa Rica</v>
      </c>
      <c r="T989" s="30" t="str">
        <f t="shared" si="85"/>
        <v>OK</v>
      </c>
      <c r="U989" s="30" t="str">
        <f t="shared" si="86"/>
        <v>-</v>
      </c>
      <c r="V989" s="30" t="str" cm="1">
        <f t="array" ref="V989">_xlfn.IFS(
ISNUMBER(SEARCH("USA",S989)),"United States",
ISNUMBER(SEARCH("Republic of Korea",S989)),"South Korea",
ISNUMBER(SEARCH("Cape Verde",S989)),"Cabo Verde",
ISNUMBER(SEARCH("Czechia",S989)),"Czech Republic",
ISNUMBER(SEARCH("Türkiye",S989)),"Turkey",
ISNUMBER(SEARCH("Ivory Coast",S989)),"Côte d'Ivoire",
ISNUMBER(SEARCH("Korea Republic",S989)),"South Korea",
ISNUMBER(SEARCH("Germany FR",S989)),"FR Germany",
ISNUMBER(SEARCH("West Germany",S989)),"FR Germany",
ISNUMBER(SEARCH("Germany DR",S989)),"DR Germany",
ISNUMBER(SEARCH("Korea DPR",S989)),"North Korea",
ISNUMBER(SEARCH("China PR",S989)),"China",
ISNUMBER(SEARCH("IR Iran",S989)),"Iran",
ISNUMBER(SEARCH("Congo DR",S989)),"Democratic Republic of the Congo",
ISNUMBER(SEARCH("DR Congo",S989)),"Democratic Republic of the Congo",
ISNUMBER(SEARCH("German DR",S989)),"DR Germany",
ISNUMBER(SEARCH("rn""&gt;United Arab Emirates",S989)),"United Arab Emirates",
ISNUMBER(SEARCH("rn""&gt;Republic of Ireland",S989)),"Ireland",
ISNUMBER(SEARCH("rn""&gt;Bosnia and Herzegovina",S989)),"Bosnia and Herzegovina",
ISNUMBER(SEARCH("rn""&gt;Trinidad and Tobago",S989)),"Trinidad and Tobago",
ISNUMBER(SEARCH("rn""&gt;Serbia and Montenegro",S989)),"Serbia and Montenegro",
ISNUMBER(SEARCH(_xlfn.UNICHAR(65533),S989)),"Côte d'Ivoire",
TRUE,""
)</f>
        <v/>
      </c>
      <c r="W989" s="30" t="str">
        <f t="shared" si="87"/>
        <v>Costa Rica</v>
      </c>
      <c r="Z989" s="40" t="str">
        <v>Ahmad bin Ali Stadium</v>
      </c>
      <c r="AA989" s="40" t="str" cm="1">
        <f t="array" ref="AA989">IFERROR(_xlfn.XLOOKUP(Z989,_xlfn.ANCHORARRAY(Z$31),AA$31:AA$37),Z989)</f>
        <v>Ahmad bin Ali Stadium</v>
      </c>
      <c r="AB989" s="42" t="str">
        <v>Al Rayyan</v>
      </c>
      <c r="AC989" s="89" t="str">
        <f t="shared" si="83"/>
        <v>Al Rayyan</v>
      </c>
      <c r="AE989" s="42">
        <v>2022</v>
      </c>
      <c r="AK989" s="42">
        <v>0</v>
      </c>
      <c r="AL989" s="42">
        <v>0</v>
      </c>
      <c r="AW989" s="89" t="str">
        <v>GROUP_STAGE</v>
      </c>
      <c r="BE989" s="43" t="str">
        <f>IF(OR(DATA_CLEANED!AL980="",DATA_CLEANED!AM980=""),"MANQUANT",IF(OR(NOT(ISNUMBER(DATA_CLEANED!AL980)),NOT(ISNUMBER(DATA_CLEANED!AM980))),"ENTREE INVALIDE",IF(OR(DATA_CLEANED!AL980&lt;0,DATA_CLEANED!AM980&lt;0),"SCORE NEGATIF","OK")))</f>
        <v>OK</v>
      </c>
      <c r="BF989" s="43" t="str">
        <f>IF(DATA_CLEANED!AK980&lt;&gt;DATA_CLEANED!AN980,"OK","ERREUR")</f>
        <v>OK</v>
      </c>
      <c r="BG989" s="43" t="str">
        <f>IF(DATA_CLEANED!AL980&gt;DATA_CLEANED!AM980,DATA_CLEANED!AK980,IF(AND(DATA_QUALITE!W5466="-",DATA_CLEANED!AM980=DATA_CLEANED!AL980),"MATCH NUL",IF(AND(DATA_QUALITE!V5466="-",DATA_QUALITE!U5466="AUCUNE"),DATA_QUALITE!T5466,IF(DATA_QUALITE!V5466&lt;&gt;"-",DATA_QUALITE!V5466,DATA_CLEANED!AN980))))</f>
        <v>MATCH NUL</v>
      </c>
      <c r="BH989" s="103" t="str">
        <f>IF(AND(BG989="MATCH NUL",DATA_CLEANED!AO980="-"),"MATCH_NUL",IF(ISNUMBER(SEARCH("win on penalties",W5466)),"WIN_BY_PENALTY",IF(ISNUMBER(SEARCH("win after extra time",W5466)),"WIN_BY_EXTRA_TIME",IF(ISNUMBER(SEARCH("Golden Goal",W5466)),"WIN_BY_GOLDEN_GOAL","WIN_BY_SCORE"))))</f>
        <v>MATCH_NUL</v>
      </c>
      <c r="BI989" s="99" t="str">
        <f>IF(OR(BG989=DATA_CLEANED!AK980,BG989=DATA_CLEANED!AN980,BG989="MATCH NUL"),"OK","ERREUR")</f>
        <v>OK</v>
      </c>
    </row>
    <row r="990" spans="2:61">
      <c r="B990" s="75">
        <v>553</v>
      </c>
      <c r="C990" s="15" t="str">
        <v>Mats Wieffer</v>
      </c>
      <c r="D990" s="15">
        <v>26</v>
      </c>
      <c r="E990" s="15" t="str">
        <v>Netherlands</v>
      </c>
      <c r="F990" s="15" t="str">
        <v>CB</v>
      </c>
      <c r="G990" s="15" t="str">
        <v>Brighton &amp; Hove Albion</v>
      </c>
      <c r="H990" s="15">
        <v>12</v>
      </c>
      <c r="I990" s="15" t="str">
        <f t="shared" si="84"/>
        <v>553|Mats Wieffer|26|Netherlands|CB|Brighton &amp; Hove Albion|12</v>
      </c>
      <c r="J990" s="15" t="str">
        <f>IF(COUNTIF(I$438:I990,I990)&gt;1,"DOUBLON","OK")</f>
        <v>OK</v>
      </c>
      <c r="S990" s="30" t="str">
        <v>Netherlands</v>
      </c>
      <c r="T990" s="30" t="str">
        <f t="shared" si="85"/>
        <v>OK</v>
      </c>
      <c r="U990" s="30" t="str">
        <f t="shared" si="86"/>
        <v>-</v>
      </c>
      <c r="V990" s="30" t="str" cm="1">
        <f t="array" ref="V990">_xlfn.IFS(
ISNUMBER(SEARCH("USA",S990)),"United States",
ISNUMBER(SEARCH("Republic of Korea",S990)),"South Korea",
ISNUMBER(SEARCH("Cape Verde",S990)),"Cabo Verde",
ISNUMBER(SEARCH("Czechia",S990)),"Czech Republic",
ISNUMBER(SEARCH("Türkiye",S990)),"Turkey",
ISNUMBER(SEARCH("Ivory Coast",S990)),"Côte d'Ivoire",
ISNUMBER(SEARCH("Korea Republic",S990)),"South Korea",
ISNUMBER(SEARCH("Germany FR",S990)),"FR Germany",
ISNUMBER(SEARCH("West Germany",S990)),"FR Germany",
ISNUMBER(SEARCH("Germany DR",S990)),"DR Germany",
ISNUMBER(SEARCH("Korea DPR",S990)),"North Korea",
ISNUMBER(SEARCH("China PR",S990)),"China",
ISNUMBER(SEARCH("IR Iran",S990)),"Iran",
ISNUMBER(SEARCH("Congo DR",S990)),"Democratic Republic of the Congo",
ISNUMBER(SEARCH("DR Congo",S990)),"Democratic Republic of the Congo",
ISNUMBER(SEARCH("German DR",S990)),"DR Germany",
ISNUMBER(SEARCH("rn""&gt;United Arab Emirates",S990)),"United Arab Emirates",
ISNUMBER(SEARCH("rn""&gt;Republic of Ireland",S990)),"Ireland",
ISNUMBER(SEARCH("rn""&gt;Bosnia and Herzegovina",S990)),"Bosnia and Herzegovina",
ISNUMBER(SEARCH("rn""&gt;Trinidad and Tobago",S990)),"Trinidad and Tobago",
ISNUMBER(SEARCH("rn""&gt;Serbia and Montenegro",S990)),"Serbia and Montenegro",
ISNUMBER(SEARCH(_xlfn.UNICHAR(65533),S990)),"Côte d'Ivoire",
TRUE,""
)</f>
        <v/>
      </c>
      <c r="W990" s="30" t="str">
        <f t="shared" si="87"/>
        <v>Netherlands</v>
      </c>
      <c r="Z990" s="40" t="str">
        <v>Al Thumama Stadium</v>
      </c>
      <c r="AA990" s="40" t="str" cm="1">
        <f t="array" ref="AA990">IFERROR(_xlfn.XLOOKUP(Z990,_xlfn.ANCHORARRAY(Z$31),AA$31:AA$37),Z990)</f>
        <v>Al Thumama Stadium</v>
      </c>
      <c r="AB990" s="42" t="str">
        <v>Doha</v>
      </c>
      <c r="AC990" s="89" t="str">
        <f t="shared" si="83"/>
        <v>Doha</v>
      </c>
      <c r="AE990" s="42">
        <v>2022</v>
      </c>
      <c r="AK990" s="42">
        <v>4</v>
      </c>
      <c r="AL990" s="42">
        <v>1</v>
      </c>
      <c r="AW990" s="89" t="str">
        <v>GROUP_STAGE</v>
      </c>
      <c r="BE990" s="43" t="str">
        <f>IF(OR(DATA_CLEANED!AL981="",DATA_CLEANED!AM981=""),"MANQUANT",IF(OR(NOT(ISNUMBER(DATA_CLEANED!AL981)),NOT(ISNUMBER(DATA_CLEANED!AM981))),"ENTREE INVALIDE",IF(OR(DATA_CLEANED!AL981&lt;0,DATA_CLEANED!AM981&lt;0),"SCORE NEGATIF","OK")))</f>
        <v>OK</v>
      </c>
      <c r="BF990" s="43" t="str">
        <f>IF(DATA_CLEANED!AK981&lt;&gt;DATA_CLEANED!AN981,"OK","ERREUR")</f>
        <v>OK</v>
      </c>
      <c r="BG990" s="43" t="str">
        <f>IF(DATA_CLEANED!AL981&gt;DATA_CLEANED!AM981,DATA_CLEANED!AK981,IF(AND(DATA_QUALITE!W5467="-",DATA_CLEANED!AM981=DATA_CLEANED!AL981),"MATCH NUL",IF(AND(DATA_QUALITE!V5467="-",DATA_QUALITE!U5467="AUCUNE"),DATA_QUALITE!T5467,IF(DATA_QUALITE!V5467&lt;&gt;"-",DATA_QUALITE!V5467,DATA_CLEANED!AN981))))</f>
        <v>MATCH NUL</v>
      </c>
      <c r="BH990" s="103" t="str">
        <f>IF(AND(BG990="MATCH NUL",DATA_CLEANED!AO981="-"),"MATCH_NUL",IF(ISNUMBER(SEARCH("win on penalties",W5467)),"WIN_BY_PENALTY",IF(ISNUMBER(SEARCH("win after extra time",W5467)),"WIN_BY_EXTRA_TIME",IF(ISNUMBER(SEARCH("Golden Goal",W5467)),"WIN_BY_GOLDEN_GOAL","WIN_BY_SCORE"))))</f>
        <v>MATCH_NUL</v>
      </c>
      <c r="BI990" s="99" t="str">
        <f>IF(OR(BG990=DATA_CLEANED!AK981,BG990=DATA_CLEANED!AN981,BG990="MATCH NUL"),"OK","ERREUR")</f>
        <v>OK</v>
      </c>
    </row>
    <row r="991" spans="2:61">
      <c r="B991" s="75">
        <v>554</v>
      </c>
      <c r="C991" s="15" t="str">
        <v>Micky van de Ven</v>
      </c>
      <c r="D991" s="15">
        <v>25</v>
      </c>
      <c r="E991" s="15" t="str">
        <v>Netherlands</v>
      </c>
      <c r="F991" s="15" t="str">
        <v>CB</v>
      </c>
      <c r="G991" s="15" t="str">
        <v>Tottenham Hotspur</v>
      </c>
      <c r="H991" s="15">
        <v>15</v>
      </c>
      <c r="I991" s="15" t="str">
        <f t="shared" si="84"/>
        <v>554|Micky van de Ven|25|Netherlands|CB|Tottenham Hotspur|15</v>
      </c>
      <c r="J991" s="15" t="str">
        <f>IF(COUNTIF(I$438:I991,I991)&gt;1,"DOUBLON","OK")</f>
        <v>OK</v>
      </c>
      <c r="S991" s="30" t="str">
        <v>Costa Rica</v>
      </c>
      <c r="T991" s="30" t="str">
        <f t="shared" si="85"/>
        <v>OK</v>
      </c>
      <c r="U991" s="30" t="str">
        <f t="shared" si="86"/>
        <v>-</v>
      </c>
      <c r="V991" s="30" t="str" cm="1">
        <f t="array" ref="V991">_xlfn.IFS(
ISNUMBER(SEARCH("USA",S991)),"United States",
ISNUMBER(SEARCH("Republic of Korea",S991)),"South Korea",
ISNUMBER(SEARCH("Cape Verde",S991)),"Cabo Verde",
ISNUMBER(SEARCH("Czechia",S991)),"Czech Republic",
ISNUMBER(SEARCH("Türkiye",S991)),"Turkey",
ISNUMBER(SEARCH("Ivory Coast",S991)),"Côte d'Ivoire",
ISNUMBER(SEARCH("Korea Republic",S991)),"South Korea",
ISNUMBER(SEARCH("Germany FR",S991)),"FR Germany",
ISNUMBER(SEARCH("West Germany",S991)),"FR Germany",
ISNUMBER(SEARCH("Germany DR",S991)),"DR Germany",
ISNUMBER(SEARCH("Korea DPR",S991)),"North Korea",
ISNUMBER(SEARCH("China PR",S991)),"China",
ISNUMBER(SEARCH("IR Iran",S991)),"Iran",
ISNUMBER(SEARCH("Congo DR",S991)),"Democratic Republic of the Congo",
ISNUMBER(SEARCH("DR Congo",S991)),"Democratic Republic of the Congo",
ISNUMBER(SEARCH("German DR",S991)),"DR Germany",
ISNUMBER(SEARCH("rn""&gt;United Arab Emirates",S991)),"United Arab Emirates",
ISNUMBER(SEARCH("rn""&gt;Republic of Ireland",S991)),"Ireland",
ISNUMBER(SEARCH("rn""&gt;Bosnia and Herzegovina",S991)),"Bosnia and Herzegovina",
ISNUMBER(SEARCH("rn""&gt;Trinidad and Tobago",S991)),"Trinidad and Tobago",
ISNUMBER(SEARCH("rn""&gt;Serbia and Montenegro",S991)),"Serbia and Montenegro",
ISNUMBER(SEARCH(_xlfn.UNICHAR(65533),S991)),"Côte d'Ivoire",
TRUE,""
)</f>
        <v/>
      </c>
      <c r="W991" s="30" t="str">
        <f t="shared" si="87"/>
        <v>Costa Rica</v>
      </c>
      <c r="Z991" s="40" t="str">
        <v>Al Bayt Stadium</v>
      </c>
      <c r="AA991" s="40" t="str" cm="1">
        <f t="array" ref="AA991">IFERROR(_xlfn.XLOOKUP(Z991,_xlfn.ANCHORARRAY(Z$31),AA$31:AA$37),Z991)</f>
        <v>Al Bayt Stadium</v>
      </c>
      <c r="AB991" s="42" t="str">
        <v>Al Khor</v>
      </c>
      <c r="AC991" s="89" t="str">
        <f t="shared" si="83"/>
        <v>Al Khor</v>
      </c>
      <c r="AE991" s="42">
        <v>2022</v>
      </c>
      <c r="AK991" s="42">
        <v>0</v>
      </c>
      <c r="AL991" s="42">
        <v>0</v>
      </c>
      <c r="AW991" s="89" t="str">
        <v>GROUP_STAGE</v>
      </c>
      <c r="BE991" s="43" t="str">
        <f>IF(OR(DATA_CLEANED!AL982="",DATA_CLEANED!AM982=""),"MANQUANT",IF(OR(NOT(ISNUMBER(DATA_CLEANED!AL982)),NOT(ISNUMBER(DATA_CLEANED!AM982))),"ENTREE INVALIDE",IF(OR(DATA_CLEANED!AL982&lt;0,DATA_CLEANED!AM982&lt;0),"SCORE NEGATIF","OK")))</f>
        <v>OK</v>
      </c>
      <c r="BF991" s="43" t="str">
        <f>IF(DATA_CLEANED!AK982&lt;&gt;DATA_CLEANED!AN982,"OK","ERREUR")</f>
        <v>OK</v>
      </c>
      <c r="BG991" s="43" t="str">
        <f>IF(DATA_CLEANED!AL982&gt;DATA_CLEANED!AM982,DATA_CLEANED!AK982,IF(AND(DATA_QUALITE!W5468="-",DATA_CLEANED!AM982=DATA_CLEANED!AL982),"MATCH NUL",IF(AND(DATA_QUALITE!V5468="-",DATA_QUALITE!U5468="AUCUNE"),DATA_QUALITE!T5468,IF(DATA_QUALITE!V5468&lt;&gt;"-",DATA_QUALITE!V5468,DATA_CLEANED!AN982))))</f>
        <v>MATCH NUL</v>
      </c>
      <c r="BH991" s="103" t="str">
        <f>IF(AND(BG991="MATCH NUL",DATA_CLEANED!AO982="-"),"MATCH_NUL",IF(ISNUMBER(SEARCH("win on penalties",W5468)),"WIN_BY_PENALTY",IF(ISNUMBER(SEARCH("win after extra time",W5468)),"WIN_BY_EXTRA_TIME",IF(ISNUMBER(SEARCH("Golden Goal",W5468)),"WIN_BY_GOLDEN_GOAL","WIN_BY_SCORE"))))</f>
        <v>MATCH_NUL</v>
      </c>
      <c r="BI991" s="99" t="str">
        <f>IF(OR(BG991=DATA_CLEANED!AK982,BG991=DATA_CLEANED!AN982,BG991="MATCH NUL"),"OK","ERREUR")</f>
        <v>OK</v>
      </c>
    </row>
    <row r="992" spans="2:61">
      <c r="B992" s="75">
        <v>555</v>
      </c>
      <c r="C992" s="15" t="str">
        <v>Jorrel Hato</v>
      </c>
      <c r="D992" s="15">
        <v>20</v>
      </c>
      <c r="E992" s="15" t="str">
        <v>Netherlands</v>
      </c>
      <c r="F992" s="15" t="str">
        <v>CB</v>
      </c>
      <c r="G992" s="15" t="str">
        <v>Chelsea</v>
      </c>
      <c r="H992" s="15">
        <v>25</v>
      </c>
      <c r="I992" s="15" t="str">
        <f t="shared" si="84"/>
        <v>555|Jorrel Hato|20|Netherlands|CB|Chelsea|25</v>
      </c>
      <c r="J992" s="15" t="str">
        <f>IF(COUNTIF(I$438:I992,I992)&gt;1,"DOUBLON","OK")</f>
        <v>OK</v>
      </c>
      <c r="S992" s="30" t="str">
        <v>Netherlands</v>
      </c>
      <c r="T992" s="30" t="str">
        <f t="shared" si="85"/>
        <v>OK</v>
      </c>
      <c r="U992" s="30" t="str">
        <f t="shared" si="86"/>
        <v>-</v>
      </c>
      <c r="V992" s="30" t="str" cm="1">
        <f t="array" ref="V992">_xlfn.IFS(
ISNUMBER(SEARCH("USA",S992)),"United States",
ISNUMBER(SEARCH("Republic of Korea",S992)),"South Korea",
ISNUMBER(SEARCH("Cape Verde",S992)),"Cabo Verde",
ISNUMBER(SEARCH("Czechia",S992)),"Czech Republic",
ISNUMBER(SEARCH("Türkiye",S992)),"Turkey",
ISNUMBER(SEARCH("Ivory Coast",S992)),"Côte d'Ivoire",
ISNUMBER(SEARCH("Korea Republic",S992)),"South Korea",
ISNUMBER(SEARCH("Germany FR",S992)),"FR Germany",
ISNUMBER(SEARCH("West Germany",S992)),"FR Germany",
ISNUMBER(SEARCH("Germany DR",S992)),"DR Germany",
ISNUMBER(SEARCH("Korea DPR",S992)),"North Korea",
ISNUMBER(SEARCH("China PR",S992)),"China",
ISNUMBER(SEARCH("IR Iran",S992)),"Iran",
ISNUMBER(SEARCH("Congo DR",S992)),"Democratic Republic of the Congo",
ISNUMBER(SEARCH("DR Congo",S992)),"Democratic Republic of the Congo",
ISNUMBER(SEARCH("German DR",S992)),"DR Germany",
ISNUMBER(SEARCH("rn""&gt;United Arab Emirates",S992)),"United Arab Emirates",
ISNUMBER(SEARCH("rn""&gt;Republic of Ireland",S992)),"Ireland",
ISNUMBER(SEARCH("rn""&gt;Bosnia and Herzegovina",S992)),"Bosnia and Herzegovina",
ISNUMBER(SEARCH("rn""&gt;Trinidad and Tobago",S992)),"Trinidad and Tobago",
ISNUMBER(SEARCH("rn""&gt;Serbia and Montenegro",S992)),"Serbia and Montenegro",
ISNUMBER(SEARCH(_xlfn.UNICHAR(65533),S992)),"Côte d'Ivoire",
TRUE,""
)</f>
        <v/>
      </c>
      <c r="W992" s="30" t="str">
        <f t="shared" si="87"/>
        <v>Netherlands</v>
      </c>
      <c r="Z992" s="40" t="str">
        <v>Al Janoub Stadium</v>
      </c>
      <c r="AA992" s="40" t="str" cm="1">
        <f t="array" ref="AA992">IFERROR(_xlfn.XLOOKUP(Z992,_xlfn.ANCHORARRAY(Z$31),AA$31:AA$37),Z992)</f>
        <v>Al Janoub Stadium</v>
      </c>
      <c r="AB992" s="42" t="str">
        <v>Al Wakrah</v>
      </c>
      <c r="AC992" s="89" t="str">
        <f t="shared" si="83"/>
        <v>Al Wakrah</v>
      </c>
      <c r="AE992" s="42">
        <v>2022</v>
      </c>
      <c r="AK992" s="42">
        <v>1</v>
      </c>
      <c r="AL992" s="42">
        <v>2</v>
      </c>
      <c r="AW992" s="89" t="str">
        <v>GROUP_STAGE</v>
      </c>
      <c r="BE992" s="43" t="str">
        <f>IF(OR(DATA_CLEANED!AL983="",DATA_CLEANED!AM983=""),"MANQUANT",IF(OR(NOT(ISNUMBER(DATA_CLEANED!AL983)),NOT(ISNUMBER(DATA_CLEANED!AM983))),"ENTREE INVALIDE",IF(OR(DATA_CLEANED!AL983&lt;0,DATA_CLEANED!AM983&lt;0),"SCORE NEGATIF","OK")))</f>
        <v>OK</v>
      </c>
      <c r="BF992" s="43" t="str">
        <f>IF(DATA_CLEANED!AK983&lt;&gt;DATA_CLEANED!AN983,"OK","ERREUR")</f>
        <v>OK</v>
      </c>
      <c r="BG992" s="43" t="str">
        <f>IF(DATA_CLEANED!AL983&gt;DATA_CLEANED!AM983,DATA_CLEANED!AK983,IF(AND(DATA_QUALITE!W5469="-",DATA_CLEANED!AM983=DATA_CLEANED!AL983),"MATCH NUL",IF(AND(DATA_QUALITE!V5469="-",DATA_QUALITE!U5469="AUCUNE"),DATA_QUALITE!T5469,IF(DATA_QUALITE!V5469&lt;&gt;"-",DATA_QUALITE!V5469,DATA_CLEANED!AN983))))</f>
        <v>France</v>
      </c>
      <c r="BH992" s="103" t="str">
        <f>IF(AND(BG992="MATCH NUL",DATA_CLEANED!AO983="-"),"MATCH_NUL",IF(ISNUMBER(SEARCH("win on penalties",W5469)),"WIN_BY_PENALTY",IF(ISNUMBER(SEARCH("win after extra time",W5469)),"WIN_BY_EXTRA_TIME",IF(ISNUMBER(SEARCH("Golden Goal",W5469)),"WIN_BY_GOLDEN_GOAL","WIN_BY_SCORE"))))</f>
        <v>WIN_BY_SCORE</v>
      </c>
      <c r="BI992" s="99" t="str">
        <f>IF(OR(BG992=DATA_CLEANED!AK983,BG992=DATA_CLEANED!AN983,BG992="MATCH NUL"),"OK","ERREUR")</f>
        <v>OK</v>
      </c>
    </row>
    <row r="993" spans="2:61">
      <c r="B993" s="75">
        <v>556</v>
      </c>
      <c r="C993" s="15" t="str">
        <v>Lutsharel Geertruida</v>
      </c>
      <c r="D993" s="15">
        <v>25</v>
      </c>
      <c r="E993" s="15" t="str">
        <v>Netherlands</v>
      </c>
      <c r="F993" s="15" t="str">
        <v>RB</v>
      </c>
      <c r="G993" s="15" t="str">
        <v>Sunderland</v>
      </c>
      <c r="H993" s="15">
        <v>2</v>
      </c>
      <c r="I993" s="15" t="str">
        <f t="shared" si="84"/>
        <v>556|Lutsharel Geertruida|25|Netherlands|RB|Sunderland|2</v>
      </c>
      <c r="J993" s="15" t="str">
        <f>IF(COUNTIF(I$438:I993,I993)&gt;1,"DOUBLON","OK")</f>
        <v>OK</v>
      </c>
      <c r="S993" s="30" t="str">
        <v>Costa Rica</v>
      </c>
      <c r="T993" s="30" t="str">
        <f t="shared" si="85"/>
        <v>OK</v>
      </c>
      <c r="U993" s="30" t="str">
        <f t="shared" si="86"/>
        <v>-</v>
      </c>
      <c r="V993" s="30" t="str" cm="1">
        <f t="array" ref="V993">_xlfn.IFS(
ISNUMBER(SEARCH("USA",S993)),"United States",
ISNUMBER(SEARCH("Republic of Korea",S993)),"South Korea",
ISNUMBER(SEARCH("Cape Verde",S993)),"Cabo Verde",
ISNUMBER(SEARCH("Czechia",S993)),"Czech Republic",
ISNUMBER(SEARCH("Türkiye",S993)),"Turkey",
ISNUMBER(SEARCH("Ivory Coast",S993)),"Côte d'Ivoire",
ISNUMBER(SEARCH("Korea Republic",S993)),"South Korea",
ISNUMBER(SEARCH("Germany FR",S993)),"FR Germany",
ISNUMBER(SEARCH("West Germany",S993)),"FR Germany",
ISNUMBER(SEARCH("Germany DR",S993)),"DR Germany",
ISNUMBER(SEARCH("Korea DPR",S993)),"North Korea",
ISNUMBER(SEARCH("China PR",S993)),"China",
ISNUMBER(SEARCH("IR Iran",S993)),"Iran",
ISNUMBER(SEARCH("Congo DR",S993)),"Democratic Republic of the Congo",
ISNUMBER(SEARCH("DR Congo",S993)),"Democratic Republic of the Congo",
ISNUMBER(SEARCH("German DR",S993)),"DR Germany",
ISNUMBER(SEARCH("rn""&gt;United Arab Emirates",S993)),"United Arab Emirates",
ISNUMBER(SEARCH("rn""&gt;Republic of Ireland",S993)),"Ireland",
ISNUMBER(SEARCH("rn""&gt;Bosnia and Herzegovina",S993)),"Bosnia and Herzegovina",
ISNUMBER(SEARCH("rn""&gt;Trinidad and Tobago",S993)),"Trinidad and Tobago",
ISNUMBER(SEARCH("rn""&gt;Serbia and Montenegro",S993)),"Serbia and Montenegro",
ISNUMBER(SEARCH(_xlfn.UNICHAR(65533),S993)),"Côte d'Ivoire",
TRUE,""
)</f>
        <v/>
      </c>
      <c r="W993" s="30" t="str">
        <f t="shared" si="87"/>
        <v>Costa Rica</v>
      </c>
      <c r="Z993" s="40" t="str">
        <v>Stadium 974</v>
      </c>
      <c r="AA993" s="40" t="str" cm="1">
        <f t="array" ref="AA993">IFERROR(_xlfn.XLOOKUP(Z993,_xlfn.ANCHORARRAY(Z$31),AA$31:AA$37),Z993)</f>
        <v>Stadium 974</v>
      </c>
      <c r="AB993" s="42" t="str">
        <v>Doha</v>
      </c>
      <c r="AC993" s="89" t="str">
        <f t="shared" si="83"/>
        <v>Doha</v>
      </c>
      <c r="AE993" s="42">
        <v>2022</v>
      </c>
      <c r="AK993" s="42">
        <v>7</v>
      </c>
      <c r="AL993" s="42">
        <v>0</v>
      </c>
      <c r="AW993" s="89" t="str">
        <v>GROUP_STAGE</v>
      </c>
      <c r="BE993" s="43" t="str">
        <f>IF(OR(DATA_CLEANED!AL984="",DATA_CLEANED!AM984=""),"MANQUANT",IF(OR(NOT(ISNUMBER(DATA_CLEANED!AL984)),NOT(ISNUMBER(DATA_CLEANED!AM984))),"ENTREE INVALIDE",IF(OR(DATA_CLEANED!AL984&lt;0,DATA_CLEANED!AM984&lt;0),"SCORE NEGATIF","OK")))</f>
        <v>OK</v>
      </c>
      <c r="BF993" s="43" t="str">
        <f>IF(DATA_CLEANED!AK984&lt;&gt;DATA_CLEANED!AN984,"OK","ERREUR")</f>
        <v>OK</v>
      </c>
      <c r="BG993" s="43" t="str">
        <f>IF(DATA_CLEANED!AL984&gt;DATA_CLEANED!AM984,DATA_CLEANED!AK984,IF(AND(DATA_QUALITE!W5470="-",DATA_CLEANED!AM984=DATA_CLEANED!AL984),"MATCH NUL",IF(AND(DATA_QUALITE!V5470="-",DATA_QUALITE!U5470="AUCUNE"),DATA_QUALITE!T5470,IF(DATA_QUALITE!V5470&lt;&gt;"-",DATA_QUALITE!V5470,DATA_CLEANED!AN984))))</f>
        <v>Norway</v>
      </c>
      <c r="BH993" s="103" t="str">
        <f>IF(AND(BG993="MATCH NUL",DATA_CLEANED!AO984="-"),"MATCH_NUL",IF(ISNUMBER(SEARCH("win on penalties",W5470)),"WIN_BY_PENALTY",IF(ISNUMBER(SEARCH("win after extra time",W5470)),"WIN_BY_EXTRA_TIME",IF(ISNUMBER(SEARCH("Golden Goal",W5470)),"WIN_BY_GOLDEN_GOAL","WIN_BY_SCORE"))))</f>
        <v>WIN_BY_SCORE</v>
      </c>
      <c r="BI993" s="99" t="str">
        <f>IF(OR(BG993=DATA_CLEANED!AK984,BG993=DATA_CLEANED!AN984,BG993="MATCH NUL"),"OK","ERREUR")</f>
        <v>OK</v>
      </c>
    </row>
    <row r="994" spans="2:61">
      <c r="B994" s="75">
        <v>557</v>
      </c>
      <c r="C994" s="15" t="str">
        <v>Denzel Dumfries</v>
      </c>
      <c r="D994" s="15">
        <v>30</v>
      </c>
      <c r="E994" s="15" t="str">
        <v>Netherlands</v>
      </c>
      <c r="F994" s="15" t="str">
        <v>RB</v>
      </c>
      <c r="G994" s="15" t="str">
        <v>Inter Milan</v>
      </c>
      <c r="H994" s="15">
        <v>22</v>
      </c>
      <c r="I994" s="15" t="str">
        <f t="shared" si="84"/>
        <v>557|Denzel Dumfries|30|Netherlands|RB|Inter Milan|22</v>
      </c>
      <c r="J994" s="15" t="str">
        <f>IF(COUNTIF(I$438:I994,I994)&gt;1,"DOUBLON","OK")</f>
        <v>OK</v>
      </c>
      <c r="S994" s="30" t="str">
        <v>Netherlands</v>
      </c>
      <c r="T994" s="30" t="str">
        <f t="shared" si="85"/>
        <v>OK</v>
      </c>
      <c r="U994" s="30" t="str">
        <f t="shared" si="86"/>
        <v>-</v>
      </c>
      <c r="V994" s="30" t="str" cm="1">
        <f t="array" ref="V994">_xlfn.IFS(
ISNUMBER(SEARCH("USA",S994)),"United States",
ISNUMBER(SEARCH("Republic of Korea",S994)),"South Korea",
ISNUMBER(SEARCH("Cape Verde",S994)),"Cabo Verde",
ISNUMBER(SEARCH("Czechia",S994)),"Czech Republic",
ISNUMBER(SEARCH("Türkiye",S994)),"Turkey",
ISNUMBER(SEARCH("Ivory Coast",S994)),"Côte d'Ivoire",
ISNUMBER(SEARCH("Korea Republic",S994)),"South Korea",
ISNUMBER(SEARCH("Germany FR",S994)),"FR Germany",
ISNUMBER(SEARCH("West Germany",S994)),"FR Germany",
ISNUMBER(SEARCH("Germany DR",S994)),"DR Germany",
ISNUMBER(SEARCH("Korea DPR",S994)),"North Korea",
ISNUMBER(SEARCH("China PR",S994)),"China",
ISNUMBER(SEARCH("IR Iran",S994)),"Iran",
ISNUMBER(SEARCH("Congo DR",S994)),"Democratic Republic of the Congo",
ISNUMBER(SEARCH("DR Congo",S994)),"Democratic Republic of the Congo",
ISNUMBER(SEARCH("German DR",S994)),"DR Germany",
ISNUMBER(SEARCH("rn""&gt;United Arab Emirates",S994)),"United Arab Emirates",
ISNUMBER(SEARCH("rn""&gt;Republic of Ireland",S994)),"Ireland",
ISNUMBER(SEARCH("rn""&gt;Bosnia and Herzegovina",S994)),"Bosnia and Herzegovina",
ISNUMBER(SEARCH("rn""&gt;Trinidad and Tobago",S994)),"Trinidad and Tobago",
ISNUMBER(SEARCH("rn""&gt;Serbia and Montenegro",S994)),"Serbia and Montenegro",
ISNUMBER(SEARCH(_xlfn.UNICHAR(65533),S994)),"Côte d'Ivoire",
TRUE,""
)</f>
        <v/>
      </c>
      <c r="W994" s="30" t="str">
        <f t="shared" si="87"/>
        <v>Netherlands</v>
      </c>
      <c r="Z994" s="40" t="str">
        <v>Education City Stadium</v>
      </c>
      <c r="AA994" s="40" t="str" cm="1">
        <f t="array" ref="AA994">IFERROR(_xlfn.XLOOKUP(Z994,_xlfn.ANCHORARRAY(Z$31),AA$31:AA$37),Z994)</f>
        <v>Education City Stadium</v>
      </c>
      <c r="AB994" s="42" t="str">
        <v>Al Rayyan</v>
      </c>
      <c r="AC994" s="89" t="str">
        <f t="shared" si="83"/>
        <v>Al Rayyan</v>
      </c>
      <c r="AE994" s="42">
        <v>2022</v>
      </c>
      <c r="AK994" s="42">
        <v>1</v>
      </c>
      <c r="AL994" s="42">
        <v>0</v>
      </c>
      <c r="AW994" s="89" t="str">
        <v>GROUP_STAGE</v>
      </c>
      <c r="BE994" s="43" t="str">
        <f>IF(OR(DATA_CLEANED!AL985="",DATA_CLEANED!AM985=""),"MANQUANT",IF(OR(NOT(ISNUMBER(DATA_CLEANED!AL985)),NOT(ISNUMBER(DATA_CLEANED!AM985))),"ENTREE INVALIDE",IF(OR(DATA_CLEANED!AL985&lt;0,DATA_CLEANED!AM985&lt;0),"SCORE NEGATIF","OK")))</f>
        <v>OK</v>
      </c>
      <c r="BF994" s="43" t="str">
        <f>IF(DATA_CLEANED!AK985&lt;&gt;DATA_CLEANED!AN985,"OK","ERREUR")</f>
        <v>OK</v>
      </c>
      <c r="BG994" s="43" t="str">
        <f>IF(DATA_CLEANED!AL985&gt;DATA_CLEANED!AM985,DATA_CLEANED!AK985,IF(AND(DATA_QUALITE!W5471="-",DATA_CLEANED!AM985=DATA_CLEANED!AL985),"MATCH NUL",IF(AND(DATA_QUALITE!V5471="-",DATA_QUALITE!U5471="AUCUNE"),DATA_QUALITE!T5471,IF(DATA_QUALITE!V5471&lt;&gt;"-",DATA_QUALITE!V5471,DATA_CLEANED!AN985))))</f>
        <v>Argentina</v>
      </c>
      <c r="BH994" s="103" t="str">
        <f>IF(AND(BG994="MATCH NUL",DATA_CLEANED!AO985="-"),"MATCH_NUL",IF(ISNUMBER(SEARCH("win on penalties",W5471)),"WIN_BY_PENALTY",IF(ISNUMBER(SEARCH("win after extra time",W5471)),"WIN_BY_EXTRA_TIME",IF(ISNUMBER(SEARCH("Golden Goal",W5471)),"WIN_BY_GOLDEN_GOAL","WIN_BY_SCORE"))))</f>
        <v>WIN_BY_SCORE</v>
      </c>
      <c r="BI994" s="99" t="str">
        <f>IF(OR(BG994=DATA_CLEANED!AK985,BG994=DATA_CLEANED!AN985,BG994="MATCH NUL"),"OK","ERREUR")</f>
        <v>OK</v>
      </c>
    </row>
    <row r="995" spans="2:61">
      <c r="B995" s="75">
        <v>558</v>
      </c>
      <c r="C995" s="15" t="str">
        <v>Marten de Roon</v>
      </c>
      <c r="D995" s="15">
        <v>35</v>
      </c>
      <c r="E995" s="15" t="str">
        <v>Netherlands</v>
      </c>
      <c r="F995" s="15" t="str">
        <v>CDM</v>
      </c>
      <c r="G995" s="15" t="str">
        <v>Atalanta</v>
      </c>
      <c r="H995" s="15">
        <v>3</v>
      </c>
      <c r="I995" s="15" t="str">
        <f t="shared" si="84"/>
        <v>558|Marten de Roon|35|Netherlands|CDM|Atalanta|3</v>
      </c>
      <c r="J995" s="15" t="str">
        <f>IF(COUNTIF(I$438:I995,I995)&gt;1,"DOUBLON","OK")</f>
        <v>OK</v>
      </c>
      <c r="S995" s="30" t="str">
        <v>Costa Rica</v>
      </c>
      <c r="T995" s="30" t="str">
        <f t="shared" si="85"/>
        <v>OK</v>
      </c>
      <c r="U995" s="30" t="str">
        <f t="shared" si="86"/>
        <v>-</v>
      </c>
      <c r="V995" s="30" t="str" cm="1">
        <f t="array" ref="V995">_xlfn.IFS(
ISNUMBER(SEARCH("USA",S995)),"United States",
ISNUMBER(SEARCH("Republic of Korea",S995)),"South Korea",
ISNUMBER(SEARCH("Cape Verde",S995)),"Cabo Verde",
ISNUMBER(SEARCH("Czechia",S995)),"Czech Republic",
ISNUMBER(SEARCH("Türkiye",S995)),"Turkey",
ISNUMBER(SEARCH("Ivory Coast",S995)),"Côte d'Ivoire",
ISNUMBER(SEARCH("Korea Republic",S995)),"South Korea",
ISNUMBER(SEARCH("Germany FR",S995)),"FR Germany",
ISNUMBER(SEARCH("West Germany",S995)),"FR Germany",
ISNUMBER(SEARCH("Germany DR",S995)),"DR Germany",
ISNUMBER(SEARCH("Korea DPR",S995)),"North Korea",
ISNUMBER(SEARCH("China PR",S995)),"China",
ISNUMBER(SEARCH("IR Iran",S995)),"Iran",
ISNUMBER(SEARCH("Congo DR",S995)),"Democratic Republic of the Congo",
ISNUMBER(SEARCH("DR Congo",S995)),"Democratic Republic of the Congo",
ISNUMBER(SEARCH("German DR",S995)),"DR Germany",
ISNUMBER(SEARCH("rn""&gt;United Arab Emirates",S995)),"United Arab Emirates",
ISNUMBER(SEARCH("rn""&gt;Republic of Ireland",S995)),"Ireland",
ISNUMBER(SEARCH("rn""&gt;Bosnia and Herzegovina",S995)),"Bosnia and Herzegovina",
ISNUMBER(SEARCH("rn""&gt;Trinidad and Tobago",S995)),"Trinidad and Tobago",
ISNUMBER(SEARCH("rn""&gt;Serbia and Montenegro",S995)),"Serbia and Montenegro",
ISNUMBER(SEARCH(_xlfn.UNICHAR(65533),S995)),"Côte d'Ivoire",
TRUE,""
)</f>
        <v/>
      </c>
      <c r="W995" s="30" t="str">
        <f t="shared" si="87"/>
        <v>Costa Rica</v>
      </c>
      <c r="Z995" s="40" t="str">
        <v>Lusail Stadium</v>
      </c>
      <c r="AA995" s="40" t="str" cm="1">
        <f t="array" ref="AA995">IFERROR(_xlfn.XLOOKUP(Z995,_xlfn.ANCHORARRAY(Z$31),AA$31:AA$37),Z995)</f>
        <v>Lusail Stadium</v>
      </c>
      <c r="AB995" s="42" t="str">
        <v>Lusail</v>
      </c>
      <c r="AC995" s="89" t="str">
        <f t="shared" si="83"/>
        <v>Lusail</v>
      </c>
      <c r="AE995" s="42">
        <v>2022</v>
      </c>
      <c r="AK995" s="42">
        <v>1</v>
      </c>
      <c r="AL995" s="42">
        <v>0</v>
      </c>
      <c r="AW995" s="89" t="str">
        <v>GROUP_STAGE</v>
      </c>
      <c r="BE995" s="43" t="str">
        <f>IF(OR(DATA_CLEANED!AL986="",DATA_CLEANED!AM986=""),"MANQUANT",IF(OR(NOT(ISNUMBER(DATA_CLEANED!AL986)),NOT(ISNUMBER(DATA_CLEANED!AM986))),"ENTREE INVALIDE",IF(OR(DATA_CLEANED!AL986&lt;0,DATA_CLEANED!AM986&lt;0),"SCORE NEGATIF","OK")))</f>
        <v>OK</v>
      </c>
      <c r="BF995" s="43" t="str">
        <f>IF(DATA_CLEANED!AK986&lt;&gt;DATA_CLEANED!AN986,"OK","ERREUR")</f>
        <v>OK</v>
      </c>
      <c r="BG995" s="43" t="str">
        <f>IF(DATA_CLEANED!AL986&gt;DATA_CLEANED!AM986,DATA_CLEANED!AK986,IF(AND(DATA_QUALITE!W5472="-",DATA_CLEANED!AM986=DATA_CLEANED!AL986),"MATCH NUL",IF(AND(DATA_QUALITE!V5472="-",DATA_QUALITE!U5472="AUCUNE"),DATA_QUALITE!T5472,IF(DATA_QUALITE!V5472&lt;&gt;"-",DATA_QUALITE!V5472,DATA_CLEANED!AN986))))</f>
        <v>Austria</v>
      </c>
      <c r="BH995" s="103" t="str">
        <f>IF(AND(BG995="MATCH NUL",DATA_CLEANED!AO986="-"),"MATCH_NUL",IF(ISNUMBER(SEARCH("win on penalties",W5472)),"WIN_BY_PENALTY",IF(ISNUMBER(SEARCH("win after extra time",W5472)),"WIN_BY_EXTRA_TIME",IF(ISNUMBER(SEARCH("Golden Goal",W5472)),"WIN_BY_GOLDEN_GOAL","WIN_BY_SCORE"))))</f>
        <v>WIN_BY_SCORE</v>
      </c>
      <c r="BI995" s="99" t="str">
        <f>IF(OR(BG995=DATA_CLEANED!AK986,BG995=DATA_CLEANED!AN986,BG995="MATCH NUL"),"OK","ERREUR")</f>
        <v>OK</v>
      </c>
    </row>
    <row r="996" spans="2:61">
      <c r="B996" s="75">
        <v>559</v>
      </c>
      <c r="C996" s="15" t="str">
        <v>Frenkie de Jong</v>
      </c>
      <c r="D996" s="15">
        <v>29</v>
      </c>
      <c r="E996" s="15" t="str">
        <v>Netherlands</v>
      </c>
      <c r="F996" s="15" t="str">
        <v>CDM</v>
      </c>
      <c r="G996" s="15" t="str">
        <v>Barcelona</v>
      </c>
      <c r="H996" s="15">
        <v>21</v>
      </c>
      <c r="I996" s="15" t="str">
        <f t="shared" si="84"/>
        <v>559|Frenkie de Jong|29|Netherlands|CDM|Barcelona|21</v>
      </c>
      <c r="J996" s="15" t="str">
        <f>IF(COUNTIF(I$438:I996,I996)&gt;1,"DOUBLON","OK")</f>
        <v>OK</v>
      </c>
      <c r="S996" s="30" t="str">
        <v>Argentina</v>
      </c>
      <c r="T996" s="30" t="str">
        <f t="shared" si="85"/>
        <v>OK</v>
      </c>
      <c r="U996" s="30" t="str">
        <f t="shared" si="86"/>
        <v>-</v>
      </c>
      <c r="V996" s="30" t="str" cm="1">
        <f t="array" ref="V996">_xlfn.IFS(
ISNUMBER(SEARCH("USA",S996)),"United States",
ISNUMBER(SEARCH("Republic of Korea",S996)),"South Korea",
ISNUMBER(SEARCH("Cape Verde",S996)),"Cabo Verde",
ISNUMBER(SEARCH("Czechia",S996)),"Czech Republic",
ISNUMBER(SEARCH("Türkiye",S996)),"Turkey",
ISNUMBER(SEARCH("Ivory Coast",S996)),"Côte d'Ivoire",
ISNUMBER(SEARCH("Korea Republic",S996)),"South Korea",
ISNUMBER(SEARCH("Germany FR",S996)),"FR Germany",
ISNUMBER(SEARCH("West Germany",S996)),"FR Germany",
ISNUMBER(SEARCH("Germany DR",S996)),"DR Germany",
ISNUMBER(SEARCH("Korea DPR",S996)),"North Korea",
ISNUMBER(SEARCH("China PR",S996)),"China",
ISNUMBER(SEARCH("IR Iran",S996)),"Iran",
ISNUMBER(SEARCH("Congo DR",S996)),"Democratic Republic of the Congo",
ISNUMBER(SEARCH("DR Congo",S996)),"Democratic Republic of the Congo",
ISNUMBER(SEARCH("German DR",S996)),"DR Germany",
ISNUMBER(SEARCH("rn""&gt;United Arab Emirates",S996)),"United Arab Emirates",
ISNUMBER(SEARCH("rn""&gt;Republic of Ireland",S996)),"Ireland",
ISNUMBER(SEARCH("rn""&gt;Bosnia and Herzegovina",S996)),"Bosnia and Herzegovina",
ISNUMBER(SEARCH("rn""&gt;Trinidad and Tobago",S996)),"Trinidad and Tobago",
ISNUMBER(SEARCH("rn""&gt;Serbia and Montenegro",S996)),"Serbia and Montenegro",
ISNUMBER(SEARCH(_xlfn.UNICHAR(65533),S996)),"Côte d'Ivoire",
TRUE,""
)</f>
        <v/>
      </c>
      <c r="W996" s="30" t="str">
        <f t="shared" si="87"/>
        <v>Argentina</v>
      </c>
      <c r="Z996" s="40" t="str">
        <v>Education City Stadium</v>
      </c>
      <c r="AA996" s="40" t="str" cm="1">
        <f t="array" ref="AA996">IFERROR(_xlfn.XLOOKUP(Z996,_xlfn.ANCHORARRAY(Z$31),AA$31:AA$37),Z996)</f>
        <v>Education City Stadium</v>
      </c>
      <c r="AB996" s="42" t="str">
        <v>Al Rayyan</v>
      </c>
      <c r="AC996" s="89" t="str">
        <f t="shared" si="83"/>
        <v>Al Rayyan</v>
      </c>
      <c r="AE996" s="42">
        <v>2022</v>
      </c>
      <c r="AK996" s="42">
        <v>0</v>
      </c>
      <c r="AL996" s="42">
        <v>0</v>
      </c>
      <c r="AW996" s="89" t="str">
        <v>GROUP_STAGE</v>
      </c>
      <c r="BE996" s="43" t="str">
        <f>IF(OR(DATA_CLEANED!AL987="",DATA_CLEANED!AM987=""),"MANQUANT",IF(OR(NOT(ISNUMBER(DATA_CLEANED!AL987)),NOT(ISNUMBER(DATA_CLEANED!AM987))),"ENTREE INVALIDE",IF(OR(DATA_CLEANED!AL987&lt;0,DATA_CLEANED!AM987&lt;0),"SCORE NEGATIF","OK")))</f>
        <v>OK</v>
      </c>
      <c r="BF996" s="43" t="str">
        <f>IF(DATA_CLEANED!AK987&lt;&gt;DATA_CLEANED!AN987,"OK","ERREUR")</f>
        <v>OK</v>
      </c>
      <c r="BG996" s="43" t="str">
        <f>IF(DATA_CLEANED!AL987&gt;DATA_CLEANED!AM987,DATA_CLEANED!AK987,IF(AND(DATA_QUALITE!W5473="-",DATA_CLEANED!AM987=DATA_CLEANED!AL987),"MATCH NUL",IF(AND(DATA_QUALITE!V5473="-",DATA_QUALITE!U5473="AUCUNE"),DATA_QUALITE!T5473,IF(DATA_QUALITE!V5473&lt;&gt;"-",DATA_QUALITE!V5473,DATA_CLEANED!AN987))))</f>
        <v>MATCH NUL</v>
      </c>
      <c r="BH996" s="103" t="str">
        <f>IF(AND(BG996="MATCH NUL",DATA_CLEANED!AO987="-"),"MATCH_NUL",IF(ISNUMBER(SEARCH("win on penalties",W5473)),"WIN_BY_PENALTY",IF(ISNUMBER(SEARCH("win after extra time",W5473)),"WIN_BY_EXTRA_TIME",IF(ISNUMBER(SEARCH("Golden Goal",W5473)),"WIN_BY_GOLDEN_GOAL","WIN_BY_SCORE"))))</f>
        <v>MATCH_NUL</v>
      </c>
      <c r="BI996" s="99" t="str">
        <f>IF(OR(BG996=DATA_CLEANED!AK987,BG996=DATA_CLEANED!AN987,BG996="MATCH NUL"),"OK","ERREUR")</f>
        <v>OK</v>
      </c>
    </row>
    <row r="997" spans="2:61">
      <c r="B997" s="75">
        <v>560</v>
      </c>
      <c r="C997" s="15" t="str">
        <v>Ryan Gravenberch</v>
      </c>
      <c r="D997" s="15">
        <v>24</v>
      </c>
      <c r="E997" s="15" t="str">
        <v>Netherlands</v>
      </c>
      <c r="F997" s="15" t="str">
        <v>CM</v>
      </c>
      <c r="G997" s="15" t="str">
        <v>Liverpool</v>
      </c>
      <c r="H997" s="15">
        <v>8</v>
      </c>
      <c r="I997" s="15" t="str">
        <f t="shared" si="84"/>
        <v>560|Ryan Gravenberch|24|Netherlands|CM|Liverpool|8</v>
      </c>
      <c r="J997" s="15" t="str">
        <f>IF(COUNTIF(I$438:I997,I997)&gt;1,"DOUBLON","OK")</f>
        <v>OK</v>
      </c>
      <c r="S997" s="30" t="str">
        <v>Netherlands</v>
      </c>
      <c r="T997" s="30" t="str">
        <f t="shared" si="85"/>
        <v>OK</v>
      </c>
      <c r="U997" s="30" t="str">
        <f t="shared" si="86"/>
        <v>-</v>
      </c>
      <c r="V997" s="30" t="str" cm="1">
        <f t="array" ref="V997">_xlfn.IFS(
ISNUMBER(SEARCH("USA",S997)),"United States",
ISNUMBER(SEARCH("Republic of Korea",S997)),"South Korea",
ISNUMBER(SEARCH("Cape Verde",S997)),"Cabo Verde",
ISNUMBER(SEARCH("Czechia",S997)),"Czech Republic",
ISNUMBER(SEARCH("Türkiye",S997)),"Turkey",
ISNUMBER(SEARCH("Ivory Coast",S997)),"Côte d'Ivoire",
ISNUMBER(SEARCH("Korea Republic",S997)),"South Korea",
ISNUMBER(SEARCH("Germany FR",S997)),"FR Germany",
ISNUMBER(SEARCH("West Germany",S997)),"FR Germany",
ISNUMBER(SEARCH("Germany DR",S997)),"DR Germany",
ISNUMBER(SEARCH("Korea DPR",S997)),"North Korea",
ISNUMBER(SEARCH("China PR",S997)),"China",
ISNUMBER(SEARCH("IR Iran",S997)),"Iran",
ISNUMBER(SEARCH("Congo DR",S997)),"Democratic Republic of the Congo",
ISNUMBER(SEARCH("DR Congo",S997)),"Democratic Republic of the Congo",
ISNUMBER(SEARCH("German DR",S997)),"DR Germany",
ISNUMBER(SEARCH("rn""&gt;United Arab Emirates",S997)),"United Arab Emirates",
ISNUMBER(SEARCH("rn""&gt;Republic of Ireland",S997)),"Ireland",
ISNUMBER(SEARCH("rn""&gt;Bosnia and Herzegovina",S997)),"Bosnia and Herzegovina",
ISNUMBER(SEARCH("rn""&gt;Trinidad and Tobago",S997)),"Trinidad and Tobago",
ISNUMBER(SEARCH("rn""&gt;Serbia and Montenegro",S997)),"Serbia and Montenegro",
ISNUMBER(SEARCH(_xlfn.UNICHAR(65533),S997)),"Côte d'Ivoire",
TRUE,""
)</f>
        <v/>
      </c>
      <c r="W997" s="30" t="str">
        <f t="shared" si="87"/>
        <v>Netherlands</v>
      </c>
      <c r="Z997" s="40" t="str">
        <v>Lusail Stadium</v>
      </c>
      <c r="AA997" s="40" t="str" cm="1">
        <f t="array" ref="AA997">IFERROR(_xlfn.XLOOKUP(Z997,_xlfn.ANCHORARRAY(Z$31),AA$31:AA$37),Z997)</f>
        <v>Lusail Stadium</v>
      </c>
      <c r="AB997" s="42" t="str">
        <v>Lusail</v>
      </c>
      <c r="AC997" s="89" t="str">
        <f t="shared" si="83"/>
        <v>Lusail</v>
      </c>
      <c r="AE997" s="42">
        <v>2022</v>
      </c>
      <c r="AK997" s="42">
        <v>3</v>
      </c>
      <c r="AL997" s="42">
        <v>2</v>
      </c>
      <c r="AW997" s="89" t="str">
        <v>GROUP_STAGE</v>
      </c>
      <c r="BE997" s="43" t="str">
        <f>IF(OR(DATA_CLEANED!AL988="",DATA_CLEANED!AM988=""),"MANQUANT",IF(OR(NOT(ISNUMBER(DATA_CLEANED!AL988)),NOT(ISNUMBER(DATA_CLEANED!AM988))),"ENTREE INVALIDE",IF(OR(DATA_CLEANED!AL988&lt;0,DATA_CLEANED!AM988&lt;0),"SCORE NEGATIF","OK")))</f>
        <v>OK</v>
      </c>
      <c r="BF997" s="43" t="str">
        <f>IF(DATA_CLEANED!AK988&lt;&gt;DATA_CLEANED!AN988,"OK","ERREUR")</f>
        <v>OK</v>
      </c>
      <c r="BG997" s="43" t="str">
        <f>IF(DATA_CLEANED!AL988&gt;DATA_CLEANED!AM988,DATA_CLEANED!AK988,IF(AND(DATA_QUALITE!W5474="-",DATA_CLEANED!AM988=DATA_CLEANED!AL988),"MATCH NUL",IF(AND(DATA_QUALITE!V5474="-",DATA_QUALITE!U5474="AUCUNE"),DATA_QUALITE!T5474,IF(DATA_QUALITE!V5474&lt;&gt;"-",DATA_QUALITE!V5474,DATA_CLEANED!AN988))))</f>
        <v>England</v>
      </c>
      <c r="BH997" s="103" t="str">
        <f>IF(AND(BG997="MATCH NUL",DATA_CLEANED!AO988="-"),"MATCH_NUL",IF(ISNUMBER(SEARCH("win on penalties",W5474)),"WIN_BY_PENALTY",IF(ISNUMBER(SEARCH("win after extra time",W5474)),"WIN_BY_EXTRA_TIME",IF(ISNUMBER(SEARCH("Golden Goal",W5474)),"WIN_BY_GOLDEN_GOAL","WIN_BY_SCORE"))))</f>
        <v>WIN_BY_SCORE</v>
      </c>
      <c r="BI997" s="99" t="str">
        <f>IF(OR(BG997=DATA_CLEANED!AK988,BG997=DATA_CLEANED!AN988,BG997="MATCH NUL"),"OK","ERREUR")</f>
        <v>OK</v>
      </c>
    </row>
    <row r="998" spans="2:61">
      <c r="B998" s="75">
        <v>561</v>
      </c>
      <c r="C998" s="15" t="str">
        <v>Tijjani Reijnders</v>
      </c>
      <c r="D998" s="15">
        <v>27</v>
      </c>
      <c r="E998" s="15" t="str">
        <v>Netherlands</v>
      </c>
      <c r="F998" s="15" t="str">
        <v>CM</v>
      </c>
      <c r="G998" s="15" t="str">
        <v>Manchester City</v>
      </c>
      <c r="H998" s="15">
        <v>14</v>
      </c>
      <c r="I998" s="15" t="str">
        <f t="shared" si="84"/>
        <v>561|Tijjani Reijnders|27|Netherlands|CM|Manchester City|14</v>
      </c>
      <c r="J998" s="15" t="str">
        <f>IF(COUNTIF(I$438:I998,I998)&gt;1,"DOUBLON","OK")</f>
        <v>OK</v>
      </c>
      <c r="S998" s="30" t="str">
        <v>Argentina</v>
      </c>
      <c r="T998" s="30" t="str">
        <f t="shared" si="85"/>
        <v>OK</v>
      </c>
      <c r="U998" s="30" t="str">
        <f t="shared" si="86"/>
        <v>-</v>
      </c>
      <c r="V998" s="30" t="str" cm="1">
        <f t="array" ref="V998">_xlfn.IFS(
ISNUMBER(SEARCH("USA",S998)),"United States",
ISNUMBER(SEARCH("Republic of Korea",S998)),"South Korea",
ISNUMBER(SEARCH("Cape Verde",S998)),"Cabo Verde",
ISNUMBER(SEARCH("Czechia",S998)),"Czech Republic",
ISNUMBER(SEARCH("Türkiye",S998)),"Turkey",
ISNUMBER(SEARCH("Ivory Coast",S998)),"Côte d'Ivoire",
ISNUMBER(SEARCH("Korea Republic",S998)),"South Korea",
ISNUMBER(SEARCH("Germany FR",S998)),"FR Germany",
ISNUMBER(SEARCH("West Germany",S998)),"FR Germany",
ISNUMBER(SEARCH("Germany DR",S998)),"DR Germany",
ISNUMBER(SEARCH("Korea DPR",S998)),"North Korea",
ISNUMBER(SEARCH("China PR",S998)),"China",
ISNUMBER(SEARCH("IR Iran",S998)),"Iran",
ISNUMBER(SEARCH("Congo DR",S998)),"Democratic Republic of the Congo",
ISNUMBER(SEARCH("DR Congo",S998)),"Democratic Republic of the Congo",
ISNUMBER(SEARCH("German DR",S998)),"DR Germany",
ISNUMBER(SEARCH("rn""&gt;United Arab Emirates",S998)),"United Arab Emirates",
ISNUMBER(SEARCH("rn""&gt;Republic of Ireland",S998)),"Ireland",
ISNUMBER(SEARCH("rn""&gt;Bosnia and Herzegovina",S998)),"Bosnia and Herzegovina",
ISNUMBER(SEARCH("rn""&gt;Trinidad and Tobago",S998)),"Trinidad and Tobago",
ISNUMBER(SEARCH("rn""&gt;Serbia and Montenegro",S998)),"Serbia and Montenegro",
ISNUMBER(SEARCH(_xlfn.UNICHAR(65533),S998)),"Côte d'Ivoire",
TRUE,""
)</f>
        <v/>
      </c>
      <c r="W998" s="30" t="str">
        <f t="shared" si="87"/>
        <v>Argentina</v>
      </c>
      <c r="Z998" s="40" t="str">
        <v>Al Thumama Stadium</v>
      </c>
      <c r="AA998" s="40" t="str" cm="1">
        <f t="array" ref="AA998">IFERROR(_xlfn.XLOOKUP(Z998,_xlfn.ANCHORARRAY(Z$31),AA$31:AA$37),Z998)</f>
        <v>Al Thumama Stadium</v>
      </c>
      <c r="AB998" s="42" t="str">
        <v>Doha</v>
      </c>
      <c r="AC998" s="89" t="str">
        <f t="shared" si="83"/>
        <v>Doha</v>
      </c>
      <c r="AE998" s="42">
        <v>2022</v>
      </c>
      <c r="AK998" s="42">
        <v>2</v>
      </c>
      <c r="AL998" s="42">
        <v>0</v>
      </c>
      <c r="AW998" s="89" t="str">
        <v>GROUP_STAGE</v>
      </c>
      <c r="BE998" s="43" t="str">
        <f>IF(OR(DATA_CLEANED!AL989="",DATA_CLEANED!AM989=""),"MANQUANT",IF(OR(NOT(ISNUMBER(DATA_CLEANED!AL989)),NOT(ISNUMBER(DATA_CLEANED!AM989))),"ENTREE INVALIDE",IF(OR(DATA_CLEANED!AL989&lt;0,DATA_CLEANED!AM989&lt;0),"SCORE NEGATIF","OK")))</f>
        <v>OK</v>
      </c>
      <c r="BF998" s="43" t="str">
        <f>IF(DATA_CLEANED!AK989&lt;&gt;DATA_CLEANED!AN989,"OK","ERREUR")</f>
        <v>OK</v>
      </c>
      <c r="BG998" s="43" t="str">
        <f>IF(DATA_CLEANED!AL989&gt;DATA_CLEANED!AM989,DATA_CLEANED!AK989,IF(AND(DATA_QUALITE!W5475="-",DATA_CLEANED!AM989=DATA_CLEANED!AL989),"MATCH NUL",IF(AND(DATA_QUALITE!V5475="-",DATA_QUALITE!U5475="AUCUNE"),DATA_QUALITE!T5475,IF(DATA_QUALITE!V5475&lt;&gt;"-",DATA_QUALITE!V5475,DATA_CLEANED!AN989))))</f>
        <v>Ghana</v>
      </c>
      <c r="BH998" s="103" t="str">
        <f>IF(AND(BG998="MATCH NUL",DATA_CLEANED!AO989="-"),"MATCH_NUL",IF(ISNUMBER(SEARCH("win on penalties",W5475)),"WIN_BY_PENALTY",IF(ISNUMBER(SEARCH("win after extra time",W5475)),"WIN_BY_EXTRA_TIME",IF(ISNUMBER(SEARCH("Golden Goal",W5475)),"WIN_BY_GOLDEN_GOAL","WIN_BY_SCORE"))))</f>
        <v>WIN_BY_SCORE</v>
      </c>
      <c r="BI998" s="99" t="str">
        <f>IF(OR(BG998=DATA_CLEANED!AK989,BG998=DATA_CLEANED!AN989,BG998="MATCH NUL"),"OK","ERREUR")</f>
        <v>OK</v>
      </c>
    </row>
    <row r="999" spans="2:61">
      <c r="B999" s="75">
        <v>562</v>
      </c>
      <c r="C999" s="15" t="str">
        <v>Quinten Timber</v>
      </c>
      <c r="D999" s="15">
        <v>24</v>
      </c>
      <c r="E999" s="15" t="str">
        <v>Netherlands</v>
      </c>
      <c r="F999" s="15" t="str">
        <v>CM</v>
      </c>
      <c r="G999" s="15" t="str">
        <v>Marseille</v>
      </c>
      <c r="H999" s="15">
        <v>26</v>
      </c>
      <c r="I999" s="15" t="str">
        <f t="shared" si="84"/>
        <v>562|Quinten Timber|24|Netherlands|CM|Marseille|26</v>
      </c>
      <c r="J999" s="15" t="str">
        <f>IF(COUNTIF(I$438:I999,I999)&gt;1,"DOUBLON","OK")</f>
        <v>OK</v>
      </c>
      <c r="S999" s="30" t="str">
        <v>Netherlands</v>
      </c>
      <c r="T999" s="30" t="str">
        <f t="shared" si="85"/>
        <v>OK</v>
      </c>
      <c r="U999" s="30" t="str">
        <f t="shared" si="86"/>
        <v>-</v>
      </c>
      <c r="V999" s="30" t="str" cm="1">
        <f t="array" ref="V999">_xlfn.IFS(
ISNUMBER(SEARCH("USA",S999)),"United States",
ISNUMBER(SEARCH("Republic of Korea",S999)),"South Korea",
ISNUMBER(SEARCH("Cape Verde",S999)),"Cabo Verde",
ISNUMBER(SEARCH("Czechia",S999)),"Czech Republic",
ISNUMBER(SEARCH("Türkiye",S999)),"Turkey",
ISNUMBER(SEARCH("Ivory Coast",S999)),"Côte d'Ivoire",
ISNUMBER(SEARCH("Korea Republic",S999)),"South Korea",
ISNUMBER(SEARCH("Germany FR",S999)),"FR Germany",
ISNUMBER(SEARCH("West Germany",S999)),"FR Germany",
ISNUMBER(SEARCH("Germany DR",S999)),"DR Germany",
ISNUMBER(SEARCH("Korea DPR",S999)),"North Korea",
ISNUMBER(SEARCH("China PR",S999)),"China",
ISNUMBER(SEARCH("IR Iran",S999)),"Iran",
ISNUMBER(SEARCH("Congo DR",S999)),"Democratic Republic of the Congo",
ISNUMBER(SEARCH("DR Congo",S999)),"Democratic Republic of the Congo",
ISNUMBER(SEARCH("German DR",S999)),"DR Germany",
ISNUMBER(SEARCH("rn""&gt;United Arab Emirates",S999)),"United Arab Emirates",
ISNUMBER(SEARCH("rn""&gt;Republic of Ireland",S999)),"Ireland",
ISNUMBER(SEARCH("rn""&gt;Bosnia and Herzegovina",S999)),"Bosnia and Herzegovina",
ISNUMBER(SEARCH("rn""&gt;Trinidad and Tobago",S999)),"Trinidad and Tobago",
ISNUMBER(SEARCH("rn""&gt;Serbia and Montenegro",S999)),"Serbia and Montenegro",
ISNUMBER(SEARCH(_xlfn.UNICHAR(65533),S999)),"Côte d'Ivoire",
TRUE,""
)</f>
        <v/>
      </c>
      <c r="W999" s="30" t="str">
        <f t="shared" si="87"/>
        <v>Netherlands</v>
      </c>
      <c r="Z999" s="40" t="str">
        <v>Al Bayt Stadium</v>
      </c>
      <c r="AA999" s="40" t="str" cm="1">
        <f t="array" ref="AA999">IFERROR(_xlfn.XLOOKUP(Z999,_xlfn.ANCHORARRAY(Z$31),AA$31:AA$37),Z999)</f>
        <v>Al Bayt Stadium</v>
      </c>
      <c r="AB999" s="42" t="str">
        <v>Al Khor</v>
      </c>
      <c r="AC999" s="89" t="str">
        <f t="shared" si="83"/>
        <v>Al Khor</v>
      </c>
      <c r="AE999" s="42">
        <v>2022</v>
      </c>
      <c r="AK999" s="42">
        <v>0</v>
      </c>
      <c r="AL999" s="42">
        <v>2</v>
      </c>
      <c r="AW999" s="89" t="str">
        <v>GROUP_STAGE</v>
      </c>
      <c r="BE999" s="43" t="str">
        <f>IF(OR(DATA_CLEANED!AL990="",DATA_CLEANED!AM990=""),"MANQUANT",IF(OR(NOT(ISNUMBER(DATA_CLEANED!AL990)),NOT(ISNUMBER(DATA_CLEANED!AM990))),"ENTREE INVALIDE",IF(OR(DATA_CLEANED!AL990&lt;0,DATA_CLEANED!AM990&lt;0),"SCORE NEGATIF","OK")))</f>
        <v>OK</v>
      </c>
      <c r="BF999" s="43" t="str">
        <f>IF(DATA_CLEANED!AK990&lt;&gt;DATA_CLEANED!AN990,"OK","ERREUR")</f>
        <v>OK</v>
      </c>
      <c r="BG999" s="43" t="str">
        <f>IF(DATA_CLEANED!AL990&gt;DATA_CLEANED!AM990,DATA_CLEANED!AK990,IF(AND(DATA_QUALITE!W5476="-",DATA_CLEANED!AM990=DATA_CLEANED!AL990),"MATCH NUL",IF(AND(DATA_QUALITE!V5476="-",DATA_QUALITE!U5476="AUCUNE"),DATA_QUALITE!T5476,IF(DATA_QUALITE!V5476&lt;&gt;"-",DATA_QUALITE!V5476,DATA_CLEANED!AN990))))</f>
        <v>Colombia</v>
      </c>
      <c r="BH999" s="103" t="str">
        <f>IF(AND(BG999="MATCH NUL",DATA_CLEANED!AO990="-"),"MATCH_NUL",IF(ISNUMBER(SEARCH("win on penalties",W5476)),"WIN_BY_PENALTY",IF(ISNUMBER(SEARCH("win after extra time",W5476)),"WIN_BY_EXTRA_TIME",IF(ISNUMBER(SEARCH("Golden Goal",W5476)),"WIN_BY_GOLDEN_GOAL","WIN_BY_SCORE"))))</f>
        <v>WIN_BY_SCORE</v>
      </c>
      <c r="BI999" s="99" t="str">
        <f>IF(OR(BG999=DATA_CLEANED!AK990,BG999=DATA_CLEANED!AN990,BG999="MATCH NUL"),"OK","ERREUR")</f>
        <v>OK</v>
      </c>
    </row>
    <row r="1000" spans="2:61">
      <c r="B1000" s="75">
        <v>563</v>
      </c>
      <c r="C1000" s="15" t="str">
        <v>Guus Til</v>
      </c>
      <c r="D1000" s="15">
        <v>28</v>
      </c>
      <c r="E1000" s="15" t="str">
        <v>Netherlands</v>
      </c>
      <c r="F1000" s="15" t="str">
        <v>CAM</v>
      </c>
      <c r="G1000" s="15" t="str">
        <v>PSV Eindhoven</v>
      </c>
      <c r="H1000" s="15">
        <v>16</v>
      </c>
      <c r="I1000" s="15" t="str">
        <f t="shared" si="84"/>
        <v>563|Guus Til|28|Netherlands|CAM|PSV Eindhoven|16</v>
      </c>
      <c r="J1000" s="15" t="str">
        <f>IF(COUNTIF(I$438:I1000,I1000)&gt;1,"DOUBLON","OK")</f>
        <v>OK</v>
      </c>
      <c r="S1000" s="30" t="str">
        <v>Argentina</v>
      </c>
      <c r="T1000" s="30" t="str">
        <f t="shared" si="85"/>
        <v>OK</v>
      </c>
      <c r="U1000" s="30" t="str">
        <f t="shared" si="86"/>
        <v>-</v>
      </c>
      <c r="V1000" s="30" t="str" cm="1">
        <f t="array" ref="V1000">_xlfn.IFS(
ISNUMBER(SEARCH("USA",S1000)),"United States",
ISNUMBER(SEARCH("Republic of Korea",S1000)),"South Korea",
ISNUMBER(SEARCH("Cape Verde",S1000)),"Cabo Verde",
ISNUMBER(SEARCH("Czechia",S1000)),"Czech Republic",
ISNUMBER(SEARCH("Türkiye",S1000)),"Turkey",
ISNUMBER(SEARCH("Ivory Coast",S1000)),"Côte d'Ivoire",
ISNUMBER(SEARCH("Korea Republic",S1000)),"South Korea",
ISNUMBER(SEARCH("Germany FR",S1000)),"FR Germany",
ISNUMBER(SEARCH("West Germany",S1000)),"FR Germany",
ISNUMBER(SEARCH("Germany DR",S1000)),"DR Germany",
ISNUMBER(SEARCH("Korea DPR",S1000)),"North Korea",
ISNUMBER(SEARCH("China PR",S1000)),"China",
ISNUMBER(SEARCH("IR Iran",S1000)),"Iran",
ISNUMBER(SEARCH("Congo DR",S1000)),"Democratic Republic of the Congo",
ISNUMBER(SEARCH("DR Congo",S1000)),"Democratic Republic of the Congo",
ISNUMBER(SEARCH("German DR",S1000)),"DR Germany",
ISNUMBER(SEARCH("rn""&gt;United Arab Emirates",S1000)),"United Arab Emirates",
ISNUMBER(SEARCH("rn""&gt;Republic of Ireland",S1000)),"Ireland",
ISNUMBER(SEARCH("rn""&gt;Bosnia and Herzegovina",S1000)),"Bosnia and Herzegovina",
ISNUMBER(SEARCH("rn""&gt;Trinidad and Tobago",S1000)),"Trinidad and Tobago",
ISNUMBER(SEARCH("rn""&gt;Serbia and Montenegro",S1000)),"Serbia and Montenegro",
ISNUMBER(SEARCH(_xlfn.UNICHAR(65533),S1000)),"Côte d'Ivoire",
TRUE,""
)</f>
        <v/>
      </c>
      <c r="W1000" s="30" t="str">
        <f t="shared" si="87"/>
        <v>Argentina</v>
      </c>
      <c r="Z1000" s="40" t="str">
        <v>Lusail Stadium</v>
      </c>
      <c r="AA1000" s="40" t="str" cm="1">
        <f t="array" ref="AA1000">IFERROR(_xlfn.XLOOKUP(Z1000,_xlfn.ANCHORARRAY(Z$31),AA$31:AA$37),Z1000)</f>
        <v>Lusail Stadium</v>
      </c>
      <c r="AB1000" s="42" t="str">
        <v>Lusail</v>
      </c>
      <c r="AC1000" s="89" t="str">
        <f t="shared" si="83"/>
        <v>Lusail</v>
      </c>
      <c r="AE1000" s="42">
        <v>2022</v>
      </c>
      <c r="AK1000" s="42">
        <v>1</v>
      </c>
      <c r="AL1000" s="42">
        <v>3</v>
      </c>
      <c r="AW1000" s="89" t="str">
        <v>GROUP_STAGE</v>
      </c>
      <c r="BE1000" s="43" t="str">
        <f>IF(OR(DATA_CLEANED!AL991="",DATA_CLEANED!AM991=""),"MANQUANT",IF(OR(NOT(ISNUMBER(DATA_CLEANED!AL991)),NOT(ISNUMBER(DATA_CLEANED!AM991))),"ENTREE INVALIDE",IF(OR(DATA_CLEANED!AL991&lt;0,DATA_CLEANED!AM991&lt;0),"SCORE NEGATIF","OK")))</f>
        <v>OK</v>
      </c>
      <c r="BF1000" s="43" t="str">
        <f>IF(DATA_CLEANED!AK991&lt;&gt;DATA_CLEANED!AN991,"OK","ERREUR")</f>
        <v>OK</v>
      </c>
      <c r="BG1000" s="43" t="str">
        <f>IF(DATA_CLEANED!AL991&gt;DATA_CLEANED!AM991,DATA_CLEANED!AK991,IF(AND(DATA_QUALITE!W5477="-",DATA_CLEANED!AM991=DATA_CLEANED!AL991),"MATCH NUL",IF(AND(DATA_QUALITE!V5477="-",DATA_QUALITE!U5477="AUCUNE"),DATA_QUALITE!T5477,IF(DATA_QUALITE!V5477&lt;&gt;"-",DATA_QUALITE!V5477,DATA_CLEANED!AN991))))</f>
        <v>MATCH NUL</v>
      </c>
      <c r="BH1000" s="103" t="str">
        <f>IF(AND(BG1000="MATCH NUL",DATA_CLEANED!AO991="-"),"MATCH_NUL",IF(ISNUMBER(SEARCH("win on penalties",W5477)),"WIN_BY_PENALTY",IF(ISNUMBER(SEARCH("win after extra time",W5477)),"WIN_BY_EXTRA_TIME",IF(ISNUMBER(SEARCH("Golden Goal",W5477)),"WIN_BY_GOLDEN_GOAL","WIN_BY_SCORE"))))</f>
        <v>MATCH_NUL</v>
      </c>
      <c r="BI1000" s="99" t="str">
        <f>IF(OR(BG1000=DATA_CLEANED!AK991,BG1000=DATA_CLEANED!AN991,BG1000="MATCH NUL"),"OK","ERREUR")</f>
        <v>OK</v>
      </c>
    </row>
    <row r="1001" spans="2:61">
      <c r="B1001" s="75">
        <v>564</v>
      </c>
      <c r="C1001" s="15" t="str">
        <v>Teun Koopmeiners</v>
      </c>
      <c r="D1001" s="15">
        <v>28</v>
      </c>
      <c r="E1001" s="15" t="str">
        <v>Netherlands</v>
      </c>
      <c r="F1001" s="15" t="str">
        <v>CAM</v>
      </c>
      <c r="G1001" s="15" t="str">
        <v>Juventus</v>
      </c>
      <c r="H1001" s="15">
        <v>20</v>
      </c>
      <c r="I1001" s="15" t="str">
        <f t="shared" si="84"/>
        <v>564|Teun Koopmeiners|28|Netherlands|CAM|Juventus|20</v>
      </c>
      <c r="J1001" s="15" t="str">
        <f>IF(COUNTIF(I$438:I1001,I1001)&gt;1,"DOUBLON","OK")</f>
        <v>OK</v>
      </c>
      <c r="S1001" s="30" t="str">
        <v>Netherlands</v>
      </c>
      <c r="T1001" s="30" t="str">
        <f t="shared" si="85"/>
        <v>OK</v>
      </c>
      <c r="U1001" s="30" t="str">
        <f t="shared" si="86"/>
        <v>-</v>
      </c>
      <c r="V1001" s="30" t="str" cm="1">
        <f t="array" ref="V1001">_xlfn.IFS(
ISNUMBER(SEARCH("USA",S1001)),"United States",
ISNUMBER(SEARCH("Republic of Korea",S1001)),"South Korea",
ISNUMBER(SEARCH("Cape Verde",S1001)),"Cabo Verde",
ISNUMBER(SEARCH("Czechia",S1001)),"Czech Republic",
ISNUMBER(SEARCH("Türkiye",S1001)),"Turkey",
ISNUMBER(SEARCH("Ivory Coast",S1001)),"Côte d'Ivoire",
ISNUMBER(SEARCH("Korea Republic",S1001)),"South Korea",
ISNUMBER(SEARCH("Germany FR",S1001)),"FR Germany",
ISNUMBER(SEARCH("West Germany",S1001)),"FR Germany",
ISNUMBER(SEARCH("Germany DR",S1001)),"DR Germany",
ISNUMBER(SEARCH("Korea DPR",S1001)),"North Korea",
ISNUMBER(SEARCH("China PR",S1001)),"China",
ISNUMBER(SEARCH("IR Iran",S1001)),"Iran",
ISNUMBER(SEARCH("Congo DR",S1001)),"Democratic Republic of the Congo",
ISNUMBER(SEARCH("DR Congo",S1001)),"Democratic Republic of the Congo",
ISNUMBER(SEARCH("German DR",S1001)),"DR Germany",
ISNUMBER(SEARCH("rn""&gt;United Arab Emirates",S1001)),"United Arab Emirates",
ISNUMBER(SEARCH("rn""&gt;Republic of Ireland",S1001)),"Ireland",
ISNUMBER(SEARCH("rn""&gt;Bosnia and Herzegovina",S1001)),"Bosnia and Herzegovina",
ISNUMBER(SEARCH("rn""&gt;Trinidad and Tobago",S1001)),"Trinidad and Tobago",
ISNUMBER(SEARCH("rn""&gt;Serbia and Montenegro",S1001)),"Serbia and Montenegro",
ISNUMBER(SEARCH(_xlfn.UNICHAR(65533),S1001)),"Côte d'Ivoire",
TRUE,""
)</f>
        <v/>
      </c>
      <c r="W1001" s="30" t="str">
        <f t="shared" si="87"/>
        <v>Netherlands</v>
      </c>
      <c r="Z1001" s="40" t="str">
        <v>Al Bayt Stadium</v>
      </c>
      <c r="AA1001" s="40" t="str" cm="1">
        <f t="array" ref="AA1001">IFERROR(_xlfn.XLOOKUP(Z1001,_xlfn.ANCHORARRAY(Z$31),AA$31:AA$37),Z1001)</f>
        <v>Al Bayt Stadium</v>
      </c>
      <c r="AB1001" s="42" t="str">
        <v>Al Khor</v>
      </c>
      <c r="AC1001" s="89" t="str">
        <f t="shared" ref="AC1001:AC1064" si="88">_xlfn.SINGLE(IFERROR(_xlfn.XLOOKUP(AB1001,AB$31:AB$34,AC$31:AC$34),AB1001))</f>
        <v>Al Khor</v>
      </c>
      <c r="AE1001" s="42">
        <v>2022</v>
      </c>
      <c r="AK1001" s="42">
        <v>1</v>
      </c>
      <c r="AL1001" s="42">
        <v>1</v>
      </c>
      <c r="AW1001" s="89" t="str">
        <v>GROUP_STAGE</v>
      </c>
      <c r="BE1001" s="43" t="str">
        <f>IF(OR(DATA_CLEANED!AL992="",DATA_CLEANED!AM992=""),"MANQUANT",IF(OR(NOT(ISNUMBER(DATA_CLEANED!AL992)),NOT(ISNUMBER(DATA_CLEANED!AM992))),"ENTREE INVALIDE",IF(OR(DATA_CLEANED!AL992&lt;0,DATA_CLEANED!AM992&lt;0),"SCORE NEGATIF","OK")))</f>
        <v>OK</v>
      </c>
      <c r="BF1001" s="43" t="str">
        <f>IF(DATA_CLEANED!AK992&lt;&gt;DATA_CLEANED!AN992,"OK","ERREUR")</f>
        <v>OK</v>
      </c>
      <c r="BG1001" s="43" t="str">
        <f>IF(DATA_CLEANED!AL992&gt;DATA_CLEANED!AM992,DATA_CLEANED!AK992,IF(AND(DATA_QUALITE!W5478="-",DATA_CLEANED!AM992=DATA_CLEANED!AL992),"MATCH NUL",IF(AND(DATA_QUALITE!V5478="-",DATA_QUALITE!U5478="AUCUNE"),DATA_QUALITE!T5478,IF(DATA_QUALITE!V5478&lt;&gt;"-",DATA_QUALITE!V5478,DATA_CLEANED!AN992))))</f>
        <v>Switzerland</v>
      </c>
      <c r="BH1001" s="103" t="str">
        <f>IF(AND(BG1001="MATCH NUL",DATA_CLEANED!AO992="-"),"MATCH_NUL",IF(ISNUMBER(SEARCH("win on penalties",W5478)),"WIN_BY_PENALTY",IF(ISNUMBER(SEARCH("win after extra time",W5478)),"WIN_BY_EXTRA_TIME",IF(ISNUMBER(SEARCH("Golden Goal",W5478)),"WIN_BY_GOLDEN_GOAL","WIN_BY_SCORE"))))</f>
        <v>WIN_BY_SCORE</v>
      </c>
      <c r="BI1001" s="99" t="str">
        <f>IF(OR(BG1001=DATA_CLEANED!AK992,BG1001=DATA_CLEANED!AN992,BG1001="MATCH NUL"),"OK","ERREUR")</f>
        <v>OK</v>
      </c>
    </row>
    <row r="1002" spans="2:61">
      <c r="B1002" s="75">
        <v>565</v>
      </c>
      <c r="C1002" s="15" t="str">
        <v>Justin Kluivert</v>
      </c>
      <c r="D1002" s="15">
        <v>27</v>
      </c>
      <c r="E1002" s="15" t="str">
        <v>Netherlands</v>
      </c>
      <c r="F1002" s="15" t="str">
        <v>LW</v>
      </c>
      <c r="G1002" s="15" t="str">
        <v>Bournemouth</v>
      </c>
      <c r="H1002" s="15">
        <v>7</v>
      </c>
      <c r="I1002" s="15" t="str">
        <f t="shared" si="84"/>
        <v>565|Justin Kluivert|27|Netherlands|LW|Bournemouth|7</v>
      </c>
      <c r="J1002" s="15" t="str">
        <f>IF(COUNTIF(I$438:I1002,I1002)&gt;1,"DOUBLON","OK")</f>
        <v>OK</v>
      </c>
      <c r="S1002" s="30" t="str">
        <v>Argentina</v>
      </c>
      <c r="T1002" s="30" t="str">
        <f t="shared" si="85"/>
        <v>OK</v>
      </c>
      <c r="U1002" s="30" t="str">
        <f t="shared" si="86"/>
        <v>-</v>
      </c>
      <c r="V1002" s="30" t="str" cm="1">
        <f t="array" ref="V1002">_xlfn.IFS(
ISNUMBER(SEARCH("USA",S1002)),"United States",
ISNUMBER(SEARCH("Republic of Korea",S1002)),"South Korea",
ISNUMBER(SEARCH("Cape Verde",S1002)),"Cabo Verde",
ISNUMBER(SEARCH("Czechia",S1002)),"Czech Republic",
ISNUMBER(SEARCH("Türkiye",S1002)),"Turkey",
ISNUMBER(SEARCH("Ivory Coast",S1002)),"Côte d'Ivoire",
ISNUMBER(SEARCH("Korea Republic",S1002)),"South Korea",
ISNUMBER(SEARCH("Germany FR",S1002)),"FR Germany",
ISNUMBER(SEARCH("West Germany",S1002)),"FR Germany",
ISNUMBER(SEARCH("Germany DR",S1002)),"DR Germany",
ISNUMBER(SEARCH("Korea DPR",S1002)),"North Korea",
ISNUMBER(SEARCH("China PR",S1002)),"China",
ISNUMBER(SEARCH("IR Iran",S1002)),"Iran",
ISNUMBER(SEARCH("Congo DR",S1002)),"Democratic Republic of the Congo",
ISNUMBER(SEARCH("DR Congo",S1002)),"Democratic Republic of the Congo",
ISNUMBER(SEARCH("German DR",S1002)),"DR Germany",
ISNUMBER(SEARCH("rn""&gt;United Arab Emirates",S1002)),"United Arab Emirates",
ISNUMBER(SEARCH("rn""&gt;Republic of Ireland",S1002)),"Ireland",
ISNUMBER(SEARCH("rn""&gt;Bosnia and Herzegovina",S1002)),"Bosnia and Herzegovina",
ISNUMBER(SEARCH("rn""&gt;Trinidad and Tobago",S1002)),"Trinidad and Tobago",
ISNUMBER(SEARCH("rn""&gt;Serbia and Montenegro",S1002)),"Serbia and Montenegro",
ISNUMBER(SEARCH(_xlfn.UNICHAR(65533),S1002)),"Côte d'Ivoire",
TRUE,""
)</f>
        <v/>
      </c>
      <c r="W1002" s="30" t="str">
        <f t="shared" si="87"/>
        <v>Argentina</v>
      </c>
      <c r="Z1002" s="40" t="str">
        <v>Khalifa International Stadium</v>
      </c>
      <c r="AA1002" s="40" t="str" cm="1">
        <f t="array" ref="AA1002">IFERROR(_xlfn.XLOOKUP(Z1002,_xlfn.ANCHORARRAY(Z$31),AA$31:AA$37),Z1002)</f>
        <v>Khalifa International Stadium</v>
      </c>
      <c r="AB1002" s="42" t="str">
        <v>Al Rayyan</v>
      </c>
      <c r="AC1002" s="89" t="str">
        <f t="shared" si="88"/>
        <v>Al Rayyan</v>
      </c>
      <c r="AE1002" s="42">
        <v>2022</v>
      </c>
      <c r="AK1002" s="42">
        <v>0</v>
      </c>
      <c r="AL1002" s="42">
        <v>0</v>
      </c>
      <c r="AW1002" s="89" t="str">
        <v>GROUP_STAGE</v>
      </c>
      <c r="BE1002" s="43" t="str">
        <f>IF(OR(DATA_CLEANED!AL993="",DATA_CLEANED!AM993=""),"MANQUANT",IF(OR(NOT(ISNUMBER(DATA_CLEANED!AL993)),NOT(ISNUMBER(DATA_CLEANED!AM993))),"ENTREE INVALIDE",IF(OR(DATA_CLEANED!AL993&lt;0,DATA_CLEANED!AM993&lt;0),"SCORE NEGATIF","OK")))</f>
        <v>OK</v>
      </c>
      <c r="BF1002" s="43" t="str">
        <f>IF(DATA_CLEANED!AK993&lt;&gt;DATA_CLEANED!AN993,"OK","ERREUR")</f>
        <v>OK</v>
      </c>
      <c r="BG1002" s="43" t="str">
        <f>IF(DATA_CLEANED!AL993&gt;DATA_CLEANED!AM993,DATA_CLEANED!AK993,IF(AND(DATA_QUALITE!W5479="-",DATA_CLEANED!AM993=DATA_CLEANED!AL993),"MATCH NUL",IF(AND(DATA_QUALITE!V5479="-",DATA_QUALITE!U5479="AUCUNE"),DATA_QUALITE!T5479,IF(DATA_QUALITE!V5479&lt;&gt;"-",DATA_QUALITE!V5479,DATA_CLEANED!AN993))))</f>
        <v>Canada</v>
      </c>
      <c r="BH1002" s="103" t="str">
        <f>IF(AND(BG1002="MATCH NUL",DATA_CLEANED!AO993="-"),"MATCH_NUL",IF(ISNUMBER(SEARCH("win on penalties",W5479)),"WIN_BY_PENALTY",IF(ISNUMBER(SEARCH("win after extra time",W5479)),"WIN_BY_EXTRA_TIME",IF(ISNUMBER(SEARCH("Golden Goal",W5479)),"WIN_BY_GOLDEN_GOAL","WIN_BY_SCORE"))))</f>
        <v>WIN_BY_SCORE</v>
      </c>
      <c r="BI1002" s="99" t="str">
        <f>IF(OR(BG1002=DATA_CLEANED!AK993,BG1002=DATA_CLEANED!AN993,BG1002="MATCH NUL"),"OK","ERREUR")</f>
        <v>OK</v>
      </c>
    </row>
    <row r="1003" spans="2:61">
      <c r="B1003" s="75">
        <v>566</v>
      </c>
      <c r="C1003" s="15" t="str">
        <v>Cody Gakpo</v>
      </c>
      <c r="D1003" s="15">
        <v>27</v>
      </c>
      <c r="E1003" s="15" t="str">
        <v>Netherlands</v>
      </c>
      <c r="F1003" s="15" t="str">
        <v>LW</v>
      </c>
      <c r="G1003" s="15" t="str">
        <v>Liverpool</v>
      </c>
      <c r="H1003" s="15">
        <v>11</v>
      </c>
      <c r="I1003" s="15" t="str">
        <f t="shared" si="84"/>
        <v>566|Cody Gakpo|27|Netherlands|LW|Liverpool|11</v>
      </c>
      <c r="J1003" s="15" t="str">
        <f>IF(COUNTIF(I$438:I1003,I1003)&gt;1,"DOUBLON","OK")</f>
        <v>OK</v>
      </c>
      <c r="S1003" s="30" t="str">
        <v>Netherlands</v>
      </c>
      <c r="T1003" s="30" t="str">
        <f t="shared" si="85"/>
        <v>OK</v>
      </c>
      <c r="U1003" s="30" t="str">
        <f t="shared" si="86"/>
        <v>-</v>
      </c>
      <c r="V1003" s="30" t="str" cm="1">
        <f t="array" ref="V1003">_xlfn.IFS(
ISNUMBER(SEARCH("USA",S1003)),"United States",
ISNUMBER(SEARCH("Republic of Korea",S1003)),"South Korea",
ISNUMBER(SEARCH("Cape Verde",S1003)),"Cabo Verde",
ISNUMBER(SEARCH("Czechia",S1003)),"Czech Republic",
ISNUMBER(SEARCH("Türkiye",S1003)),"Turkey",
ISNUMBER(SEARCH("Ivory Coast",S1003)),"Côte d'Ivoire",
ISNUMBER(SEARCH("Korea Republic",S1003)),"South Korea",
ISNUMBER(SEARCH("Germany FR",S1003)),"FR Germany",
ISNUMBER(SEARCH("West Germany",S1003)),"FR Germany",
ISNUMBER(SEARCH("Germany DR",S1003)),"DR Germany",
ISNUMBER(SEARCH("Korea DPR",S1003)),"North Korea",
ISNUMBER(SEARCH("China PR",S1003)),"China",
ISNUMBER(SEARCH("IR Iran",S1003)),"Iran",
ISNUMBER(SEARCH("Congo DR",S1003)),"Democratic Republic of the Congo",
ISNUMBER(SEARCH("DR Congo",S1003)),"Democratic Republic of the Congo",
ISNUMBER(SEARCH("German DR",S1003)),"DR Germany",
ISNUMBER(SEARCH("rn""&gt;United Arab Emirates",S1003)),"United Arab Emirates",
ISNUMBER(SEARCH("rn""&gt;Republic of Ireland",S1003)),"Ireland",
ISNUMBER(SEARCH("rn""&gt;Bosnia and Herzegovina",S1003)),"Bosnia and Herzegovina",
ISNUMBER(SEARCH("rn""&gt;Trinidad and Tobago",S1003)),"Trinidad and Tobago",
ISNUMBER(SEARCH("rn""&gt;Serbia and Montenegro",S1003)),"Serbia and Montenegro",
ISNUMBER(SEARCH(_xlfn.UNICHAR(65533),S1003)),"Côte d'Ivoire",
TRUE,""
)</f>
        <v/>
      </c>
      <c r="W1003" s="30" t="str">
        <f t="shared" si="87"/>
        <v>Netherlands</v>
      </c>
      <c r="Z1003" s="40" t="str">
        <v>Lusail Stadium</v>
      </c>
      <c r="AA1003" s="40" t="str" cm="1">
        <f t="array" ref="AA1003">IFERROR(_xlfn.XLOOKUP(Z1003,_xlfn.ANCHORARRAY(Z$31),AA$31:AA$37),Z1003)</f>
        <v>Lusail Stadium</v>
      </c>
      <c r="AB1003" s="42" t="str">
        <v>Lusail</v>
      </c>
      <c r="AC1003" s="89" t="str">
        <f t="shared" si="88"/>
        <v>Lusail</v>
      </c>
      <c r="AE1003" s="42">
        <v>2022</v>
      </c>
      <c r="AK1003" s="42">
        <v>0</v>
      </c>
      <c r="AL1003" s="42">
        <v>1</v>
      </c>
      <c r="AW1003" s="89" t="str">
        <v>GROUP_STAGE</v>
      </c>
      <c r="BE1003" s="43" t="str">
        <f>IF(OR(DATA_CLEANED!AL994="",DATA_CLEANED!AM994=""),"MANQUANT",IF(OR(NOT(ISNUMBER(DATA_CLEANED!AL994)),NOT(ISNUMBER(DATA_CLEANED!AM994))),"ENTREE INVALIDE",IF(OR(DATA_CLEANED!AL994&lt;0,DATA_CLEANED!AM994&lt;0),"SCORE NEGATIF","OK")))</f>
        <v>OK</v>
      </c>
      <c r="BF1003" s="43" t="str">
        <f>IF(DATA_CLEANED!AK994&lt;&gt;DATA_CLEANED!AN994,"OK","ERREUR")</f>
        <v>OK</v>
      </c>
      <c r="BG1003" s="43" t="str">
        <f>IF(DATA_CLEANED!AL994&gt;DATA_CLEANED!AM994,DATA_CLEANED!AK994,IF(AND(DATA_QUALITE!W5480="-",DATA_CLEANED!AM994=DATA_CLEANED!AL994),"MATCH NUL",IF(AND(DATA_QUALITE!V5480="-",DATA_QUALITE!U5480="AUCUNE"),DATA_QUALITE!T5480,IF(DATA_QUALITE!V5480&lt;&gt;"-",DATA_QUALITE!V5480,DATA_CLEANED!AN994))))</f>
        <v>Mexico</v>
      </c>
      <c r="BH1003" s="103" t="str">
        <f>IF(AND(BG1003="MATCH NUL",DATA_CLEANED!AO994="-"),"MATCH_NUL",IF(ISNUMBER(SEARCH("win on penalties",W5480)),"WIN_BY_PENALTY",IF(ISNUMBER(SEARCH("win after extra time",W5480)),"WIN_BY_EXTRA_TIME",IF(ISNUMBER(SEARCH("Golden Goal",W5480)),"WIN_BY_GOLDEN_GOAL","WIN_BY_SCORE"))))</f>
        <v>WIN_BY_SCORE</v>
      </c>
      <c r="BI1003" s="99" t="str">
        <f>IF(OR(BG1003=DATA_CLEANED!AK994,BG1003=DATA_CLEANED!AN994,BG1003="MATCH NUL"),"OK","ERREUR")</f>
        <v>OK</v>
      </c>
    </row>
    <row r="1004" spans="2:61">
      <c r="B1004" s="75">
        <v>567</v>
      </c>
      <c r="C1004" s="15" t="str">
        <v>Noa Lang</v>
      </c>
      <c r="D1004" s="15">
        <v>26</v>
      </c>
      <c r="E1004" s="15" t="str">
        <v>Netherlands</v>
      </c>
      <c r="F1004" s="15" t="str">
        <v>LW</v>
      </c>
      <c r="G1004" s="15" t="str">
        <v>Galatasaray</v>
      </c>
      <c r="H1004" s="15">
        <v>17</v>
      </c>
      <c r="I1004" s="15" t="str">
        <f t="shared" si="84"/>
        <v>567|Noa Lang|26|Netherlands|LW|Galatasaray|17</v>
      </c>
      <c r="J1004" s="15" t="str">
        <f>IF(COUNTIF(I$438:I1004,I1004)&gt;1,"DOUBLON","OK")</f>
        <v>OK</v>
      </c>
      <c r="S1004" s="30" t="str">
        <v>Colombia</v>
      </c>
      <c r="T1004" s="30" t="str">
        <f t="shared" si="85"/>
        <v>OK</v>
      </c>
      <c r="U1004" s="30" t="str">
        <f t="shared" si="86"/>
        <v>-</v>
      </c>
      <c r="V1004" s="30" t="str" cm="1">
        <f t="array" ref="V1004">_xlfn.IFS(
ISNUMBER(SEARCH("USA",S1004)),"United States",
ISNUMBER(SEARCH("Republic of Korea",S1004)),"South Korea",
ISNUMBER(SEARCH("Cape Verde",S1004)),"Cabo Verde",
ISNUMBER(SEARCH("Czechia",S1004)),"Czech Republic",
ISNUMBER(SEARCH("Türkiye",S1004)),"Turkey",
ISNUMBER(SEARCH("Ivory Coast",S1004)),"Côte d'Ivoire",
ISNUMBER(SEARCH("Korea Republic",S1004)),"South Korea",
ISNUMBER(SEARCH("Germany FR",S1004)),"FR Germany",
ISNUMBER(SEARCH("West Germany",S1004)),"FR Germany",
ISNUMBER(SEARCH("Germany DR",S1004)),"DR Germany",
ISNUMBER(SEARCH("Korea DPR",S1004)),"North Korea",
ISNUMBER(SEARCH("China PR",S1004)),"China",
ISNUMBER(SEARCH("IR Iran",S1004)),"Iran",
ISNUMBER(SEARCH("Congo DR",S1004)),"Democratic Republic of the Congo",
ISNUMBER(SEARCH("DR Congo",S1004)),"Democratic Republic of the Congo",
ISNUMBER(SEARCH("German DR",S1004)),"DR Germany",
ISNUMBER(SEARCH("rn""&gt;United Arab Emirates",S1004)),"United Arab Emirates",
ISNUMBER(SEARCH("rn""&gt;Republic of Ireland",S1004)),"Ireland",
ISNUMBER(SEARCH("rn""&gt;Bosnia and Herzegovina",S1004)),"Bosnia and Herzegovina",
ISNUMBER(SEARCH("rn""&gt;Trinidad and Tobago",S1004)),"Trinidad and Tobago",
ISNUMBER(SEARCH("rn""&gt;Serbia and Montenegro",S1004)),"Serbia and Montenegro",
ISNUMBER(SEARCH(_xlfn.UNICHAR(65533),S1004)),"Côte d'Ivoire",
TRUE,""
)</f>
        <v/>
      </c>
      <c r="W1004" s="30" t="str">
        <f t="shared" si="87"/>
        <v>Colombia</v>
      </c>
      <c r="Z1004" s="40" t="str">
        <v>Mexico City Stadium</v>
      </c>
      <c r="AA1004" s="40" t="str" cm="1">
        <f t="array" ref="AA1004">IFERROR(_xlfn.XLOOKUP(Z1004,_xlfn.ANCHORARRAY(Z$31),AA$31:AA$37),Z1004)</f>
        <v>Mexico City Stadium</v>
      </c>
      <c r="AB1004" s="42" t="str">
        <v>Mexico City</v>
      </c>
      <c r="AC1004" s="89" t="str">
        <f t="shared" si="88"/>
        <v>Mexico City</v>
      </c>
      <c r="AE1004" s="42">
        <v>2022</v>
      </c>
      <c r="AK1004" s="42">
        <v>2</v>
      </c>
      <c r="AL1004" s="42">
        <v>0</v>
      </c>
      <c r="AW1004" s="89" t="str">
        <v>GROUP_STAGE</v>
      </c>
      <c r="BE1004" s="43" t="str">
        <f>IF(OR(DATA_CLEANED!AL995="",DATA_CLEANED!AM995=""),"MANQUANT",IF(OR(NOT(ISNUMBER(DATA_CLEANED!AL995)),NOT(ISNUMBER(DATA_CLEANED!AM995))),"ENTREE INVALIDE",IF(OR(DATA_CLEANED!AL995&lt;0,DATA_CLEANED!AM995&lt;0),"SCORE NEGATIF","OK")))</f>
        <v>OK</v>
      </c>
      <c r="BF1004" s="43" t="str">
        <f>IF(DATA_CLEANED!AK995&lt;&gt;DATA_CLEANED!AN995,"OK","ERREUR")</f>
        <v>OK</v>
      </c>
      <c r="BG1004" s="43" t="str">
        <f>IF(DATA_CLEANED!AL995&gt;DATA_CLEANED!AM995,DATA_CLEANED!AK995,IF(AND(DATA_QUALITE!W5481="-",DATA_CLEANED!AM995=DATA_CLEANED!AL995),"MATCH NUL",IF(AND(DATA_QUALITE!V5481="-",DATA_QUALITE!U5481="AUCUNE"),DATA_QUALITE!T5481,IF(DATA_QUALITE!V5481&lt;&gt;"-",DATA_QUALITE!V5481,DATA_CLEANED!AN995))))</f>
        <v>United States</v>
      </c>
      <c r="BH1004" s="103" t="str">
        <f>IF(AND(BG1004="MATCH NUL",DATA_CLEANED!AO995="-"),"MATCH_NUL",IF(ISNUMBER(SEARCH("win on penalties",W5481)),"WIN_BY_PENALTY",IF(ISNUMBER(SEARCH("win after extra time",W5481)),"WIN_BY_EXTRA_TIME",IF(ISNUMBER(SEARCH("Golden Goal",W5481)),"WIN_BY_GOLDEN_GOAL","WIN_BY_SCORE"))))</f>
        <v>WIN_BY_SCORE</v>
      </c>
      <c r="BI1004" s="99" t="str">
        <f>IF(OR(BG1004=DATA_CLEANED!AK995,BG1004=DATA_CLEANED!AN995,BG1004="MATCH NUL"),"OK","ERREUR")</f>
        <v>OK</v>
      </c>
    </row>
    <row r="1005" spans="2:61">
      <c r="B1005" s="75">
        <v>568</v>
      </c>
      <c r="C1005" s="15" t="str">
        <v>Crysencio Summerville</v>
      </c>
      <c r="D1005" s="15">
        <v>24</v>
      </c>
      <c r="E1005" s="15" t="str">
        <v>Netherlands</v>
      </c>
      <c r="F1005" s="15" t="str">
        <v>LW</v>
      </c>
      <c r="G1005" s="15" t="str">
        <v>West Ham United</v>
      </c>
      <c r="H1005" s="15">
        <v>24</v>
      </c>
      <c r="I1005" s="15" t="str">
        <f t="shared" si="84"/>
        <v>568|Crysencio Summerville|24|Netherlands|LW|West Ham United|24</v>
      </c>
      <c r="J1005" s="15" t="str">
        <f>IF(COUNTIF(I$438:I1005,I1005)&gt;1,"DOUBLON","OK")</f>
        <v>OK</v>
      </c>
      <c r="S1005" s="30" t="str">
        <v>England</v>
      </c>
      <c r="T1005" s="30" t="str">
        <f t="shared" si="85"/>
        <v>ERREUR</v>
      </c>
      <c r="U1005" s="30" t="str">
        <f t="shared" si="86"/>
        <v>AUCUNE</v>
      </c>
      <c r="V1005" s="30" t="str" cm="1">
        <f t="array" ref="V1005">_xlfn.IFS(
ISNUMBER(SEARCH("USA",S1005)),"United States",
ISNUMBER(SEARCH("Republic of Korea",S1005)),"South Korea",
ISNUMBER(SEARCH("Cape Verde",S1005)),"Cabo Verde",
ISNUMBER(SEARCH("Czechia",S1005)),"Czech Republic",
ISNUMBER(SEARCH("Türkiye",S1005)),"Turkey",
ISNUMBER(SEARCH("Ivory Coast",S1005)),"Côte d'Ivoire",
ISNUMBER(SEARCH("Korea Republic",S1005)),"South Korea",
ISNUMBER(SEARCH("Germany FR",S1005)),"FR Germany",
ISNUMBER(SEARCH("West Germany",S1005)),"FR Germany",
ISNUMBER(SEARCH("Germany DR",S1005)),"DR Germany",
ISNUMBER(SEARCH("Korea DPR",S1005)),"North Korea",
ISNUMBER(SEARCH("China PR",S1005)),"China",
ISNUMBER(SEARCH("IR Iran",S1005)),"Iran",
ISNUMBER(SEARCH("Congo DR",S1005)),"Democratic Republic of the Congo",
ISNUMBER(SEARCH("DR Congo",S1005)),"Democratic Republic of the Congo",
ISNUMBER(SEARCH("German DR",S1005)),"DR Germany",
ISNUMBER(SEARCH("rn""&gt;United Arab Emirates",S1005)),"United Arab Emirates",
ISNUMBER(SEARCH("rn""&gt;Republic of Ireland",S1005)),"Ireland",
ISNUMBER(SEARCH("rn""&gt;Bosnia and Herzegovina",S1005)),"Bosnia and Herzegovina",
ISNUMBER(SEARCH("rn""&gt;Trinidad and Tobago",S1005)),"Trinidad and Tobago",
ISNUMBER(SEARCH("rn""&gt;Serbia and Montenegro",S1005)),"Serbia and Montenegro",
ISNUMBER(SEARCH(_xlfn.UNICHAR(65533),S1005)),"Côte d'Ivoire",
TRUE,""
)</f>
        <v/>
      </c>
      <c r="W1005" s="30" t="str">
        <f t="shared" si="87"/>
        <v>England</v>
      </c>
      <c r="Z1005" s="40" t="str">
        <v>Guadalajara Stadium</v>
      </c>
      <c r="AA1005" s="40" t="str" cm="1">
        <f t="array" ref="AA1005">IFERROR(_xlfn.XLOOKUP(Z1005,_xlfn.ANCHORARRAY(Z$31),AA$31:AA$37),Z1005)</f>
        <v>Guadalajara Stadium</v>
      </c>
      <c r="AB1005" s="42" t="str">
        <v>Guadalajara</v>
      </c>
      <c r="AC1005" s="89" t="str">
        <f t="shared" si="88"/>
        <v>Guadalajara</v>
      </c>
      <c r="AE1005" s="42">
        <v>2022</v>
      </c>
      <c r="AK1005" s="42">
        <v>2</v>
      </c>
      <c r="AL1005" s="42">
        <v>1</v>
      </c>
      <c r="AW1005" s="89" t="str">
        <v>GROUP_STAGE</v>
      </c>
      <c r="BE1005" s="43" t="str">
        <f>IF(OR(DATA_CLEANED!AL996="",DATA_CLEANED!AM996=""),"MANQUANT",IF(OR(NOT(ISNUMBER(DATA_CLEANED!AL996)),NOT(ISNUMBER(DATA_CLEANED!AM996))),"ENTREE INVALIDE",IF(OR(DATA_CLEANED!AL996&lt;0,DATA_CLEANED!AM996&lt;0),"SCORE NEGATIF","OK")))</f>
        <v>OK</v>
      </c>
      <c r="BF1005" s="43" t="str">
        <f>IF(DATA_CLEANED!AK996&lt;&gt;DATA_CLEANED!AN996,"OK","ERREUR")</f>
        <v>OK</v>
      </c>
      <c r="BG1005" s="43" t="str">
        <f>IF(DATA_CLEANED!AL996&gt;DATA_CLEANED!AM996,DATA_CLEANED!AK996,IF(AND(DATA_QUALITE!W5482="-",DATA_CLEANED!AM996=DATA_CLEANED!AL996),"MATCH NUL",IF(AND(DATA_QUALITE!V5482="-",DATA_QUALITE!U5482="AUCUNE"),DATA_QUALITE!T5482,IF(DATA_QUALITE!V5482&lt;&gt;"-",DATA_QUALITE!V5482,DATA_CLEANED!AN996))))</f>
        <v>Morocco</v>
      </c>
      <c r="BH1005" s="103" t="str">
        <f>IF(AND(BG1005="MATCH NUL",DATA_CLEANED!AO996="-"),"MATCH_NUL",IF(ISNUMBER(SEARCH("win on penalties",W5482)),"WIN_BY_PENALTY",IF(ISNUMBER(SEARCH("win after extra time",W5482)),"WIN_BY_EXTRA_TIME",IF(ISNUMBER(SEARCH("Golden Goal",W5482)),"WIN_BY_GOLDEN_GOAL","WIN_BY_SCORE"))))</f>
        <v>WIN_BY_SCORE</v>
      </c>
      <c r="BI1005" s="99" t="str">
        <f>IF(OR(BG1005=DATA_CLEANED!AK996,BG1005=DATA_CLEANED!AN996,BG1005="MATCH NUL"),"OK","ERREUR")</f>
        <v>OK</v>
      </c>
    </row>
    <row r="1006" spans="2:61">
      <c r="B1006" s="75">
        <v>569</v>
      </c>
      <c r="C1006" s="15" t="str">
        <v>Donyell Malen</v>
      </c>
      <c r="D1006" s="15">
        <v>27</v>
      </c>
      <c r="E1006" s="15" t="str">
        <v>Netherlands</v>
      </c>
      <c r="F1006" s="15" t="str">
        <v>RW</v>
      </c>
      <c r="G1006" s="15" t="str">
        <v>Roma</v>
      </c>
      <c r="H1006" s="15">
        <v>18</v>
      </c>
      <c r="I1006" s="15" t="str">
        <f t="shared" si="84"/>
        <v>569|Donyell Malen|27|Netherlands|RW|Roma|18</v>
      </c>
      <c r="J1006" s="15" t="str">
        <f>IF(COUNTIF(I$438:I1006,I1006)&gt;1,"DOUBLON","OK")</f>
        <v>OK</v>
      </c>
      <c r="S1006" s="30" t="str">
        <v>Colombia</v>
      </c>
      <c r="T1006" s="30" t="str">
        <f t="shared" si="85"/>
        <v>OK</v>
      </c>
      <c r="U1006" s="30" t="str">
        <f t="shared" si="86"/>
        <v>-</v>
      </c>
      <c r="V1006" s="30" t="str" cm="1">
        <f t="array" ref="V1006">_xlfn.IFS(
ISNUMBER(SEARCH("USA",S1006)),"United States",
ISNUMBER(SEARCH("Republic of Korea",S1006)),"South Korea",
ISNUMBER(SEARCH("Cape Verde",S1006)),"Cabo Verde",
ISNUMBER(SEARCH("Czechia",S1006)),"Czech Republic",
ISNUMBER(SEARCH("Türkiye",S1006)),"Turkey",
ISNUMBER(SEARCH("Ivory Coast",S1006)),"Côte d'Ivoire",
ISNUMBER(SEARCH("Korea Republic",S1006)),"South Korea",
ISNUMBER(SEARCH("Germany FR",S1006)),"FR Germany",
ISNUMBER(SEARCH("West Germany",S1006)),"FR Germany",
ISNUMBER(SEARCH("Germany DR",S1006)),"DR Germany",
ISNUMBER(SEARCH("Korea DPR",S1006)),"North Korea",
ISNUMBER(SEARCH("China PR",S1006)),"China",
ISNUMBER(SEARCH("IR Iran",S1006)),"Iran",
ISNUMBER(SEARCH("Congo DR",S1006)),"Democratic Republic of the Congo",
ISNUMBER(SEARCH("DR Congo",S1006)),"Democratic Republic of the Congo",
ISNUMBER(SEARCH("German DR",S1006)),"DR Germany",
ISNUMBER(SEARCH("rn""&gt;United Arab Emirates",S1006)),"United Arab Emirates",
ISNUMBER(SEARCH("rn""&gt;Republic of Ireland",S1006)),"Ireland",
ISNUMBER(SEARCH("rn""&gt;Bosnia and Herzegovina",S1006)),"Bosnia and Herzegovina",
ISNUMBER(SEARCH("rn""&gt;Trinidad and Tobago",S1006)),"Trinidad and Tobago",
ISNUMBER(SEARCH("rn""&gt;Serbia and Montenegro",S1006)),"Serbia and Montenegro",
ISNUMBER(SEARCH(_xlfn.UNICHAR(65533),S1006)),"Côte d'Ivoire",
TRUE,""
)</f>
        <v/>
      </c>
      <c r="W1006" s="30" t="str">
        <f t="shared" si="87"/>
        <v>Colombia</v>
      </c>
      <c r="Z1006" s="40" t="str">
        <v>Toronto Stadium</v>
      </c>
      <c r="AA1006" s="40" t="str" cm="1">
        <f t="array" ref="AA1006">IFERROR(_xlfn.XLOOKUP(Z1006,_xlfn.ANCHORARRAY(Z$31),AA$31:AA$37),Z1006)</f>
        <v>Toronto Stadium</v>
      </c>
      <c r="AB1006" s="42" t="str">
        <v>Toronto</v>
      </c>
      <c r="AC1006" s="89" t="str">
        <f t="shared" si="88"/>
        <v>Toronto</v>
      </c>
      <c r="AE1006" s="42">
        <v>2022</v>
      </c>
      <c r="AK1006" s="42">
        <v>2</v>
      </c>
      <c r="AL1006" s="42">
        <v>0</v>
      </c>
      <c r="AW1006" s="89" t="str">
        <v>GROUP_STAGE</v>
      </c>
      <c r="BE1006" s="43" t="str">
        <f>IF(OR(DATA_CLEANED!AL997="",DATA_CLEANED!AM997=""),"MANQUANT",IF(OR(NOT(ISNUMBER(DATA_CLEANED!AL997)),NOT(ISNUMBER(DATA_CLEANED!AM997))),"ENTREE INVALIDE",IF(OR(DATA_CLEANED!AL997&lt;0,DATA_CLEANED!AM997&lt;0),"SCORE NEGATIF","OK")))</f>
        <v>OK</v>
      </c>
      <c r="BF1006" s="43" t="str">
        <f>IF(DATA_CLEANED!AK997&lt;&gt;DATA_CLEANED!AN997,"OK","ERREUR")</f>
        <v>OK</v>
      </c>
      <c r="BG1006" s="43" t="str">
        <f>IF(DATA_CLEANED!AL997&gt;DATA_CLEANED!AM997,DATA_CLEANED!AK997,IF(AND(DATA_QUALITE!W5483="-",DATA_CLEANED!AM997=DATA_CLEANED!AL997),"MATCH NUL",IF(AND(DATA_QUALITE!V5483="-",DATA_QUALITE!U5483="AUCUNE"),DATA_QUALITE!T5483,IF(DATA_QUALITE!V5483&lt;&gt;"-",DATA_QUALITE!V5483,DATA_CLEANED!AN997))))</f>
        <v>Brazil</v>
      </c>
      <c r="BH1006" s="103" t="str">
        <f>IF(AND(BG1006="MATCH NUL",DATA_CLEANED!AO997="-"),"MATCH_NUL",IF(ISNUMBER(SEARCH("win on penalties",W5483)),"WIN_BY_PENALTY",IF(ISNUMBER(SEARCH("win after extra time",W5483)),"WIN_BY_EXTRA_TIME",IF(ISNUMBER(SEARCH("Golden Goal",W5483)),"WIN_BY_GOLDEN_GOAL","WIN_BY_SCORE"))))</f>
        <v>WIN_BY_SCORE</v>
      </c>
      <c r="BI1006" s="99" t="str">
        <f>IF(OR(BG1006=DATA_CLEANED!AK997,BG1006=DATA_CLEANED!AN997,BG1006="MATCH NUL"),"OK","ERREUR")</f>
        <v>OK</v>
      </c>
    </row>
    <row r="1007" spans="2:61">
      <c r="B1007" s="75">
        <v>570</v>
      </c>
      <c r="C1007" s="15" t="str">
        <v>Wout Weghorst</v>
      </c>
      <c r="D1007" s="15">
        <v>33</v>
      </c>
      <c r="E1007" s="15" t="str">
        <v>Netherlands</v>
      </c>
      <c r="F1007" s="15" t="str">
        <v>ST</v>
      </c>
      <c r="G1007" s="15" t="str">
        <v>Ajax</v>
      </c>
      <c r="H1007" s="15">
        <v>9</v>
      </c>
      <c r="I1007" s="15" t="str">
        <f t="shared" si="84"/>
        <v>570|Wout Weghorst|33|Netherlands|ST|Ajax|9</v>
      </c>
      <c r="J1007" s="15" t="str">
        <f>IF(COUNTIF(I$438:I1007,I1007)&gt;1,"DOUBLON","OK")</f>
        <v>OK</v>
      </c>
      <c r="S1007" s="30" t="str">
        <v>England</v>
      </c>
      <c r="T1007" s="30" t="str">
        <f t="shared" si="85"/>
        <v>ERREUR</v>
      </c>
      <c r="U1007" s="30" t="str">
        <f t="shared" si="86"/>
        <v>AUCUNE</v>
      </c>
      <c r="V1007" s="30" t="str" cm="1">
        <f t="array" ref="V1007">_xlfn.IFS(
ISNUMBER(SEARCH("USA",S1007)),"United States",
ISNUMBER(SEARCH("Republic of Korea",S1007)),"South Korea",
ISNUMBER(SEARCH("Cape Verde",S1007)),"Cabo Verde",
ISNUMBER(SEARCH("Czechia",S1007)),"Czech Republic",
ISNUMBER(SEARCH("Türkiye",S1007)),"Turkey",
ISNUMBER(SEARCH("Ivory Coast",S1007)),"Côte d'Ivoire",
ISNUMBER(SEARCH("Korea Republic",S1007)),"South Korea",
ISNUMBER(SEARCH("Germany FR",S1007)),"FR Germany",
ISNUMBER(SEARCH("West Germany",S1007)),"FR Germany",
ISNUMBER(SEARCH("Germany DR",S1007)),"DR Germany",
ISNUMBER(SEARCH("Korea DPR",S1007)),"North Korea",
ISNUMBER(SEARCH("China PR",S1007)),"China",
ISNUMBER(SEARCH("IR Iran",S1007)),"Iran",
ISNUMBER(SEARCH("Congo DR",S1007)),"Democratic Republic of the Congo",
ISNUMBER(SEARCH("DR Congo",S1007)),"Democratic Republic of the Congo",
ISNUMBER(SEARCH("German DR",S1007)),"DR Germany",
ISNUMBER(SEARCH("rn""&gt;United Arab Emirates",S1007)),"United Arab Emirates",
ISNUMBER(SEARCH("rn""&gt;Republic of Ireland",S1007)),"Ireland",
ISNUMBER(SEARCH("rn""&gt;Bosnia and Herzegovina",S1007)),"Bosnia and Herzegovina",
ISNUMBER(SEARCH("rn""&gt;Trinidad and Tobago",S1007)),"Trinidad and Tobago",
ISNUMBER(SEARCH("rn""&gt;Serbia and Montenegro",S1007)),"Serbia and Montenegro",
ISNUMBER(SEARCH(_xlfn.UNICHAR(65533),S1007)),"Côte d'Ivoire",
TRUE,""
)</f>
        <v/>
      </c>
      <c r="W1007" s="30" t="str">
        <f t="shared" si="87"/>
        <v>England</v>
      </c>
      <c r="Z1007" s="40" t="str">
        <v>Los Angeles Stadium</v>
      </c>
      <c r="AA1007" s="40" t="str" cm="1">
        <f t="array" ref="AA1007">IFERROR(_xlfn.XLOOKUP(Z1007,_xlfn.ANCHORARRAY(Z$31),AA$31:AA$37),Z1007)</f>
        <v>Los Angeles Stadium</v>
      </c>
      <c r="AB1007" s="42" t="str">
        <v>Los Angeles</v>
      </c>
      <c r="AC1007" s="89" t="str">
        <f t="shared" si="88"/>
        <v>Los Angeles</v>
      </c>
      <c r="AE1007" s="42">
        <v>2022</v>
      </c>
      <c r="AK1007" s="42">
        <v>0</v>
      </c>
      <c r="AL1007" s="42">
        <v>1</v>
      </c>
      <c r="AW1007" s="89" t="str">
        <v>GROUP_STAGE</v>
      </c>
      <c r="BE1007" s="43" t="str">
        <f>IF(OR(DATA_CLEANED!AL998="",DATA_CLEANED!AM998=""),"MANQUANT",IF(OR(NOT(ISNUMBER(DATA_CLEANED!AL998)),NOT(ISNUMBER(DATA_CLEANED!AM998))),"ENTREE INVALIDE",IF(OR(DATA_CLEANED!AL998&lt;0,DATA_CLEANED!AM998&lt;0),"SCORE NEGATIF","OK")))</f>
        <v>OK</v>
      </c>
      <c r="BF1007" s="43" t="str">
        <f>IF(DATA_CLEANED!AK998&lt;&gt;DATA_CLEANED!AN998,"OK","ERREUR")</f>
        <v>OK</v>
      </c>
      <c r="BG1007" s="43" t="str">
        <f>IF(DATA_CLEANED!AL998&gt;DATA_CLEANED!AM998,DATA_CLEANED!AK998,IF(AND(DATA_QUALITE!W5484="-",DATA_CLEANED!AM998=DATA_CLEANED!AL998),"MATCH NUL",IF(AND(DATA_QUALITE!V5484="-",DATA_QUALITE!U5484="AUCUNE"),DATA_QUALITE!T5484,IF(DATA_QUALITE!V5484&lt;&gt;"-",DATA_QUALITE!V5484,DATA_CLEANED!AN998))))</f>
        <v>Paraguay</v>
      </c>
      <c r="BH1007" s="103" t="str">
        <f>IF(AND(BG1007="MATCH NUL",DATA_CLEANED!AO998="-"),"MATCH_NUL",IF(ISNUMBER(SEARCH("win on penalties",W5484)),"WIN_BY_PENALTY",IF(ISNUMBER(SEARCH("win after extra time",W5484)),"WIN_BY_EXTRA_TIME",IF(ISNUMBER(SEARCH("Golden Goal",W5484)),"WIN_BY_GOLDEN_GOAL","WIN_BY_SCORE"))))</f>
        <v>WIN_BY_SCORE</v>
      </c>
      <c r="BI1007" s="99" t="str">
        <f>IF(OR(BG1007=DATA_CLEANED!AK998,BG1007=DATA_CLEANED!AN998,BG1007="MATCH NUL"),"OK","ERREUR")</f>
        <v>OK</v>
      </c>
    </row>
    <row r="1008" spans="2:61">
      <c r="B1008" s="75">
        <v>571</v>
      </c>
      <c r="C1008" s="15" t="str">
        <v>Memphis Depay</v>
      </c>
      <c r="D1008" s="15">
        <v>32</v>
      </c>
      <c r="E1008" s="15" t="str">
        <v>Netherlands</v>
      </c>
      <c r="F1008" s="15" t="str">
        <v>ST</v>
      </c>
      <c r="G1008" s="15" t="str">
        <v>Corinthians</v>
      </c>
      <c r="H1008" s="15">
        <v>10</v>
      </c>
      <c r="I1008" s="15" t="str">
        <f t="shared" si="84"/>
        <v>571|Memphis Depay|32|Netherlands|ST|Corinthians|10</v>
      </c>
      <c r="J1008" s="15" t="str">
        <f>IF(COUNTIF(I$438:I1008,I1008)&gt;1,"DOUBLON","OK")</f>
        <v>OK</v>
      </c>
      <c r="S1008" s="30" t="str">
        <v>Colombia</v>
      </c>
      <c r="T1008" s="30" t="str">
        <f t="shared" si="85"/>
        <v>OK</v>
      </c>
      <c r="U1008" s="30" t="str">
        <f t="shared" si="86"/>
        <v>-</v>
      </c>
      <c r="V1008" s="30" t="str" cm="1">
        <f t="array" ref="V1008">_xlfn.IFS(
ISNUMBER(SEARCH("USA",S1008)),"United States",
ISNUMBER(SEARCH("Republic of Korea",S1008)),"South Korea",
ISNUMBER(SEARCH("Cape Verde",S1008)),"Cabo Verde",
ISNUMBER(SEARCH("Czechia",S1008)),"Czech Republic",
ISNUMBER(SEARCH("Türkiye",S1008)),"Turkey",
ISNUMBER(SEARCH("Ivory Coast",S1008)),"Côte d'Ivoire",
ISNUMBER(SEARCH("Korea Republic",S1008)),"South Korea",
ISNUMBER(SEARCH("Germany FR",S1008)),"FR Germany",
ISNUMBER(SEARCH("West Germany",S1008)),"FR Germany",
ISNUMBER(SEARCH("Germany DR",S1008)),"DR Germany",
ISNUMBER(SEARCH("Korea DPR",S1008)),"North Korea",
ISNUMBER(SEARCH("China PR",S1008)),"China",
ISNUMBER(SEARCH("IR Iran",S1008)),"Iran",
ISNUMBER(SEARCH("Congo DR",S1008)),"Democratic Republic of the Congo",
ISNUMBER(SEARCH("DR Congo",S1008)),"Democratic Republic of the Congo",
ISNUMBER(SEARCH("German DR",S1008)),"DR Germany",
ISNUMBER(SEARCH("rn""&gt;United Arab Emirates",S1008)),"United Arab Emirates",
ISNUMBER(SEARCH("rn""&gt;Republic of Ireland",S1008)),"Ireland",
ISNUMBER(SEARCH("rn""&gt;Bosnia and Herzegovina",S1008)),"Bosnia and Herzegovina",
ISNUMBER(SEARCH("rn""&gt;Trinidad and Tobago",S1008)),"Trinidad and Tobago",
ISNUMBER(SEARCH("rn""&gt;Serbia and Montenegro",S1008)),"Serbia and Montenegro",
ISNUMBER(SEARCH(_xlfn.UNICHAR(65533),S1008)),"Côte d'Ivoire",
TRUE,""
)</f>
        <v/>
      </c>
      <c r="W1008" s="30" t="str">
        <f t="shared" si="87"/>
        <v>Colombia</v>
      </c>
      <c r="Z1008" s="40" t="str">
        <v>Boston Stadium</v>
      </c>
      <c r="AA1008" s="40" t="str" cm="1">
        <f t="array" ref="AA1008">IFERROR(_xlfn.XLOOKUP(Z1008,_xlfn.ANCHORARRAY(Z$31),AA$31:AA$37),Z1008)</f>
        <v>Boston Stadium</v>
      </c>
      <c r="AB1008" s="42" t="str">
        <v>Boston</v>
      </c>
      <c r="AC1008" s="89" t="str">
        <f t="shared" si="88"/>
        <v>Boston</v>
      </c>
      <c r="AE1008" s="42">
        <v>2022</v>
      </c>
      <c r="AK1008" s="42">
        <v>0</v>
      </c>
      <c r="AL1008" s="42">
        <v>2</v>
      </c>
      <c r="AW1008" s="89" t="str">
        <v>GROUP_STAGE</v>
      </c>
      <c r="BE1008" s="43" t="str">
        <f>IF(OR(DATA_CLEANED!AL999="",DATA_CLEANED!AM999=""),"MANQUANT",IF(OR(NOT(ISNUMBER(DATA_CLEANED!AL999)),NOT(ISNUMBER(DATA_CLEANED!AM999))),"ENTREE INVALIDE",IF(OR(DATA_CLEANED!AL999&lt;0,DATA_CLEANED!AM999&lt;0),"SCORE NEGATIF","OK")))</f>
        <v>OK</v>
      </c>
      <c r="BF1008" s="43" t="str">
        <f>IF(DATA_CLEANED!AK999&lt;&gt;DATA_CLEANED!AN999,"OK","ERREUR")</f>
        <v>OK</v>
      </c>
      <c r="BG1008" s="43" t="str">
        <f>IF(DATA_CLEANED!AL999&gt;DATA_CLEANED!AM999,DATA_CLEANED!AK999,IF(AND(DATA_QUALITE!W5485="-",DATA_CLEANED!AM999=DATA_CLEANED!AL999),"MATCH NUL",IF(AND(DATA_QUALITE!V5485="-",DATA_QUALITE!U5485="AUCUNE"),DATA_QUALITE!T5485,IF(DATA_QUALITE!V5485&lt;&gt;"-",DATA_QUALITE!V5485,DATA_CLEANED!AN999))))</f>
        <v>Netherlands</v>
      </c>
      <c r="BH1008" s="103" t="str">
        <f>IF(AND(BG1008="MATCH NUL",DATA_CLEANED!AO999="-"),"MATCH_NUL",IF(ISNUMBER(SEARCH("win on penalties",W5485)),"WIN_BY_PENALTY",IF(ISNUMBER(SEARCH("win after extra time",W5485)),"WIN_BY_EXTRA_TIME",IF(ISNUMBER(SEARCH("Golden Goal",W5485)),"WIN_BY_GOLDEN_GOAL","WIN_BY_SCORE"))))</f>
        <v>WIN_BY_SCORE</v>
      </c>
      <c r="BI1008" s="99" t="str">
        <f>IF(OR(BG1008=DATA_CLEANED!AK999,BG1008=DATA_CLEANED!AN999,BG1008="MATCH NUL"),"OK","ERREUR")</f>
        <v>OK</v>
      </c>
    </row>
    <row r="1009" spans="2:61">
      <c r="B1009" s="75">
        <v>572</v>
      </c>
      <c r="C1009" s="15" t="str">
        <v>Brian Brobbey</v>
      </c>
      <c r="D1009" s="15">
        <v>24</v>
      </c>
      <c r="E1009" s="15" t="str">
        <v>Netherlands</v>
      </c>
      <c r="F1009" s="15" t="str">
        <v>ST</v>
      </c>
      <c r="G1009" s="15" t="str">
        <v>Sunderland</v>
      </c>
      <c r="H1009" s="15">
        <v>19</v>
      </c>
      <c r="I1009" s="15" t="str">
        <f t="shared" si="84"/>
        <v>572|Brian Brobbey|24|Netherlands|ST|Sunderland|19</v>
      </c>
      <c r="J1009" s="15" t="str">
        <f>IF(COUNTIF(I$438:I1009,I1009)&gt;1,"DOUBLON","OK")</f>
        <v>OK</v>
      </c>
      <c r="S1009" s="30" t="str">
        <v>England</v>
      </c>
      <c r="T1009" s="30" t="str">
        <f t="shared" si="85"/>
        <v>ERREUR</v>
      </c>
      <c r="U1009" s="30" t="str">
        <f t="shared" si="86"/>
        <v>AUCUNE</v>
      </c>
      <c r="V1009" s="30" t="str" cm="1">
        <f t="array" ref="V1009">_xlfn.IFS(
ISNUMBER(SEARCH("USA",S1009)),"United States",
ISNUMBER(SEARCH("Republic of Korea",S1009)),"South Korea",
ISNUMBER(SEARCH("Cape Verde",S1009)),"Cabo Verde",
ISNUMBER(SEARCH("Czechia",S1009)),"Czech Republic",
ISNUMBER(SEARCH("Türkiye",S1009)),"Turkey",
ISNUMBER(SEARCH("Ivory Coast",S1009)),"Côte d'Ivoire",
ISNUMBER(SEARCH("Korea Republic",S1009)),"South Korea",
ISNUMBER(SEARCH("Germany FR",S1009)),"FR Germany",
ISNUMBER(SEARCH("West Germany",S1009)),"FR Germany",
ISNUMBER(SEARCH("Germany DR",S1009)),"DR Germany",
ISNUMBER(SEARCH("Korea DPR",S1009)),"North Korea",
ISNUMBER(SEARCH("China PR",S1009)),"China",
ISNUMBER(SEARCH("IR Iran",S1009)),"Iran",
ISNUMBER(SEARCH("Congo DR",S1009)),"Democratic Republic of the Congo",
ISNUMBER(SEARCH("DR Congo",S1009)),"Democratic Republic of the Congo",
ISNUMBER(SEARCH("German DR",S1009)),"DR Germany",
ISNUMBER(SEARCH("rn""&gt;United Arab Emirates",S1009)),"United Arab Emirates",
ISNUMBER(SEARCH("rn""&gt;Republic of Ireland",S1009)),"Ireland",
ISNUMBER(SEARCH("rn""&gt;Bosnia and Herzegovina",S1009)),"Bosnia and Herzegovina",
ISNUMBER(SEARCH("rn""&gt;Trinidad and Tobago",S1009)),"Trinidad and Tobago",
ISNUMBER(SEARCH("rn""&gt;Serbia and Montenegro",S1009)),"Serbia and Montenegro",
ISNUMBER(SEARCH(_xlfn.UNICHAR(65533),S1009)),"Côte d'Ivoire",
TRUE,""
)</f>
        <v/>
      </c>
      <c r="W1009" s="30" t="str">
        <f t="shared" si="87"/>
        <v>England</v>
      </c>
      <c r="Z1009" s="40" t="str">
        <v>BC Place Vancouver</v>
      </c>
      <c r="AA1009" s="40" t="str" cm="1">
        <f t="array" ref="AA1009">IFERROR(_xlfn.XLOOKUP(Z1009,_xlfn.ANCHORARRAY(Z$31),AA$31:AA$37),Z1009)</f>
        <v>BC Place Vancouver</v>
      </c>
      <c r="AB1009" s="42" t="str">
        <v>Vancouver</v>
      </c>
      <c r="AC1009" s="89" t="str">
        <f t="shared" si="88"/>
        <v>Vancouver</v>
      </c>
      <c r="AE1009" s="42">
        <v>2022</v>
      </c>
      <c r="AK1009" s="42">
        <v>4</v>
      </c>
      <c r="AL1009" s="42">
        <v>1</v>
      </c>
      <c r="AW1009" s="89" t="str">
        <v>GROUP_STAGE</v>
      </c>
      <c r="BE1009" s="43" t="str">
        <f>IF(OR(DATA_CLEANED!AL1000="",DATA_CLEANED!AM1000=""),"MANQUANT",IF(OR(NOT(ISNUMBER(DATA_CLEANED!AL1000)),NOT(ISNUMBER(DATA_CLEANED!AM1000))),"ENTREE INVALIDE",IF(OR(DATA_CLEANED!AL1000&lt;0,DATA_CLEANED!AM1000&lt;0),"SCORE NEGATIF","OK")))</f>
        <v>OK</v>
      </c>
      <c r="BF1009" s="43" t="str">
        <f>IF(DATA_CLEANED!AK1000&lt;&gt;DATA_CLEANED!AN1000,"OK","ERREUR")</f>
        <v>OK</v>
      </c>
      <c r="BG1009" s="43" t="str">
        <f>IF(DATA_CLEANED!AL1000&gt;DATA_CLEANED!AM1000,DATA_CLEANED!AK1000,IF(AND(DATA_QUALITE!W5486="-",DATA_CLEANED!AM1000=DATA_CLEANED!AL1000),"MATCH NUL",IF(AND(DATA_QUALITE!V5486="-",DATA_QUALITE!U5486="AUCUNE"),DATA_QUALITE!T5486,IF(DATA_QUALITE!V5486&lt;&gt;"-",DATA_QUALITE!V5486,DATA_CLEANED!AN1000))))</f>
        <v>Germany</v>
      </c>
      <c r="BH1009" s="103" t="str">
        <f>IF(AND(BG1009="MATCH NUL",DATA_CLEANED!AO1000="-"),"MATCH_NUL",IF(ISNUMBER(SEARCH("win on penalties",W5486)),"WIN_BY_PENALTY",IF(ISNUMBER(SEARCH("win after extra time",W5486)),"WIN_BY_EXTRA_TIME",IF(ISNUMBER(SEARCH("Golden Goal",W5486)),"WIN_BY_GOLDEN_GOAL","WIN_BY_SCORE"))))</f>
        <v>WIN_BY_SCORE</v>
      </c>
      <c r="BI1009" s="99" t="str">
        <f>IF(OR(BG1009=DATA_CLEANED!AK1000,BG1009=DATA_CLEANED!AN1000,BG1009="MATCH NUL"),"OK","ERREUR")</f>
        <v>OK</v>
      </c>
    </row>
    <row r="1010" spans="2:61">
      <c r="B1010" s="75">
        <v>573</v>
      </c>
      <c r="C1010" s="15" t="str">
        <v>Mouhib Chamakh</v>
      </c>
      <c r="D1010" s="15">
        <v>24</v>
      </c>
      <c r="E1010" s="15" t="str">
        <v>Tunisia</v>
      </c>
      <c r="F1010" s="15" t="str">
        <v>GK</v>
      </c>
      <c r="G1010" s="15" t="str">
        <v>Club Africain</v>
      </c>
      <c r="H1010" s="15">
        <v>1</v>
      </c>
      <c r="I1010" s="15" t="str">
        <f t="shared" si="84"/>
        <v>573|Mouhib Chamakh|24|Tunisia|GK|Club Africain|1</v>
      </c>
      <c r="J1010" s="15" t="str">
        <f>IF(COUNTIF(I$438:I1010,I1010)&gt;1,"DOUBLON","OK")</f>
        <v>OK</v>
      </c>
      <c r="S1010" s="30" t="str">
        <v>Colombia</v>
      </c>
      <c r="T1010" s="30" t="str">
        <f t="shared" si="85"/>
        <v>OK</v>
      </c>
      <c r="U1010" s="30" t="str">
        <f t="shared" si="86"/>
        <v>-</v>
      </c>
      <c r="V1010" s="30" t="str" cm="1">
        <f t="array" ref="V1010">_xlfn.IFS(
ISNUMBER(SEARCH("USA",S1010)),"United States",
ISNUMBER(SEARCH("Republic of Korea",S1010)),"South Korea",
ISNUMBER(SEARCH("Cape Verde",S1010)),"Cabo Verde",
ISNUMBER(SEARCH("Czechia",S1010)),"Czech Republic",
ISNUMBER(SEARCH("Türkiye",S1010)),"Turkey",
ISNUMBER(SEARCH("Ivory Coast",S1010)),"Côte d'Ivoire",
ISNUMBER(SEARCH("Korea Republic",S1010)),"South Korea",
ISNUMBER(SEARCH("Germany FR",S1010)),"FR Germany",
ISNUMBER(SEARCH("West Germany",S1010)),"FR Germany",
ISNUMBER(SEARCH("Germany DR",S1010)),"DR Germany",
ISNUMBER(SEARCH("Korea DPR",S1010)),"North Korea",
ISNUMBER(SEARCH("China PR",S1010)),"China",
ISNUMBER(SEARCH("IR Iran",S1010)),"Iran",
ISNUMBER(SEARCH("Congo DR",S1010)),"Democratic Republic of the Congo",
ISNUMBER(SEARCH("DR Congo",S1010)),"Democratic Republic of the Congo",
ISNUMBER(SEARCH("German DR",S1010)),"DR Germany",
ISNUMBER(SEARCH("rn""&gt;United Arab Emirates",S1010)),"United Arab Emirates",
ISNUMBER(SEARCH("rn""&gt;Republic of Ireland",S1010)),"Ireland",
ISNUMBER(SEARCH("rn""&gt;Bosnia and Herzegovina",S1010)),"Bosnia and Herzegovina",
ISNUMBER(SEARCH("rn""&gt;Trinidad and Tobago",S1010)),"Trinidad and Tobago",
ISNUMBER(SEARCH("rn""&gt;Serbia and Montenegro",S1010)),"Serbia and Montenegro",
ISNUMBER(SEARCH(_xlfn.UNICHAR(65533),S1010)),"Côte d'Ivoire",
TRUE,""
)</f>
        <v/>
      </c>
      <c r="W1010" s="30" t="str">
        <f t="shared" si="87"/>
        <v>Colombia</v>
      </c>
      <c r="Z1010" s="40" t="str">
        <v>New York New Jersey Stadium</v>
      </c>
      <c r="AA1010" s="40" t="str" cm="1">
        <f t="array" ref="AA1010">IFERROR(_xlfn.XLOOKUP(Z1010,_xlfn.ANCHORARRAY(Z$31),AA$31:AA$37),Z1010)</f>
        <v>New York New Jersey Stadium</v>
      </c>
      <c r="AB1010" s="42" t="str">
        <v>New Jersey</v>
      </c>
      <c r="AC1010" s="89" t="str">
        <f t="shared" si="88"/>
        <v>New Jersey</v>
      </c>
      <c r="AE1010" s="42">
        <v>2022</v>
      </c>
      <c r="AK1010" s="42">
        <v>1</v>
      </c>
      <c r="AL1010" s="42">
        <v>1</v>
      </c>
      <c r="AW1010" s="89" t="str">
        <v>GROUP_STAGE</v>
      </c>
      <c r="BE1010" s="43" t="str">
        <f>IF(OR(DATA_CLEANED!AL1001="",DATA_CLEANED!AM1001=""),"MANQUANT",IF(OR(NOT(ISNUMBER(DATA_CLEANED!AL1001)),NOT(ISNUMBER(DATA_CLEANED!AM1001))),"ENTREE INVALIDE",IF(OR(DATA_CLEANED!AL1001&lt;0,DATA_CLEANED!AM1001&lt;0),"SCORE NEGATIF","OK")))</f>
        <v>OK</v>
      </c>
      <c r="BF1010" s="43" t="str">
        <f>IF(DATA_CLEANED!AK1001&lt;&gt;DATA_CLEANED!AN1001,"OK","ERREUR")</f>
        <v>OK</v>
      </c>
      <c r="BG1010" s="43" t="str">
        <f>IF(DATA_CLEANED!AL1001&gt;DATA_CLEANED!AM1001,DATA_CLEANED!AK1001,IF(AND(DATA_QUALITE!W5487="-",DATA_CLEANED!AM1001=DATA_CLEANED!AL1001),"MATCH NUL",IF(AND(DATA_QUALITE!V5487="-",DATA_QUALITE!U5487="AUCUNE"),DATA_QUALITE!T5487,IF(DATA_QUALITE!V5487&lt;&gt;"-",DATA_QUALITE!V5487,DATA_CLEANED!AN1001))))</f>
        <v>MATCH NUL</v>
      </c>
      <c r="BH1010" s="103" t="str">
        <f>IF(AND(BG1010="MATCH NUL",DATA_CLEANED!AO1001="-"),"MATCH_NUL",IF(ISNUMBER(SEARCH("win on penalties",W5487)),"WIN_BY_PENALTY",IF(ISNUMBER(SEARCH("win after extra time",W5487)),"WIN_BY_EXTRA_TIME",IF(ISNUMBER(SEARCH("Golden Goal",W5487)),"WIN_BY_GOLDEN_GOAL","WIN_BY_SCORE"))))</f>
        <v>MATCH_NUL</v>
      </c>
      <c r="BI1010" s="99" t="str">
        <f>IF(OR(BG1010=DATA_CLEANED!AK1001,BG1010=DATA_CLEANED!AN1001,BG1010="MATCH NUL"),"OK","ERREUR")</f>
        <v>OK</v>
      </c>
    </row>
    <row r="1011" spans="2:61">
      <c r="B1011" s="75">
        <v>574</v>
      </c>
      <c r="C1011" s="15" t="str">
        <v>Aymen Dahmen</v>
      </c>
      <c r="D1011" s="15">
        <v>29</v>
      </c>
      <c r="E1011" s="15" t="str">
        <v>Tunisia</v>
      </c>
      <c r="F1011" s="15" t="str">
        <v>GK</v>
      </c>
      <c r="G1011" s="15" t="str">
        <v>CS Sfaxien</v>
      </c>
      <c r="H1011" s="15">
        <v>16</v>
      </c>
      <c r="I1011" s="15" t="str">
        <f t="shared" si="84"/>
        <v>574|Aymen Dahmen|29|Tunisia|GK|CS Sfaxien|16</v>
      </c>
      <c r="J1011" s="15" t="str">
        <f>IF(COUNTIF(I$438:I1011,I1011)&gt;1,"DOUBLON","OK")</f>
        <v>OK</v>
      </c>
      <c r="S1011" s="30" t="str">
        <v>England</v>
      </c>
      <c r="T1011" s="30" t="str">
        <f t="shared" si="85"/>
        <v>ERREUR</v>
      </c>
      <c r="U1011" s="30" t="str">
        <f t="shared" si="86"/>
        <v>AUCUNE</v>
      </c>
      <c r="V1011" s="30" t="str" cm="1">
        <f t="array" ref="V1011">_xlfn.IFS(
ISNUMBER(SEARCH("USA",S1011)),"United States",
ISNUMBER(SEARCH("Republic of Korea",S1011)),"South Korea",
ISNUMBER(SEARCH("Cape Verde",S1011)),"Cabo Verde",
ISNUMBER(SEARCH("Czechia",S1011)),"Czech Republic",
ISNUMBER(SEARCH("Türkiye",S1011)),"Turkey",
ISNUMBER(SEARCH("Ivory Coast",S1011)),"Côte d'Ivoire",
ISNUMBER(SEARCH("Korea Republic",S1011)),"South Korea",
ISNUMBER(SEARCH("Germany FR",S1011)),"FR Germany",
ISNUMBER(SEARCH("West Germany",S1011)),"FR Germany",
ISNUMBER(SEARCH("Germany DR",S1011)),"DR Germany",
ISNUMBER(SEARCH("Korea DPR",S1011)),"North Korea",
ISNUMBER(SEARCH("China PR",S1011)),"China",
ISNUMBER(SEARCH("IR Iran",S1011)),"Iran",
ISNUMBER(SEARCH("Congo DR",S1011)),"Democratic Republic of the Congo",
ISNUMBER(SEARCH("DR Congo",S1011)),"Democratic Republic of the Congo",
ISNUMBER(SEARCH("German DR",S1011)),"DR Germany",
ISNUMBER(SEARCH("rn""&gt;United Arab Emirates",S1011)),"United Arab Emirates",
ISNUMBER(SEARCH("rn""&gt;Republic of Ireland",S1011)),"Ireland",
ISNUMBER(SEARCH("rn""&gt;Bosnia and Herzegovina",S1011)),"Bosnia and Herzegovina",
ISNUMBER(SEARCH("rn""&gt;Trinidad and Tobago",S1011)),"Trinidad and Tobago",
ISNUMBER(SEARCH("rn""&gt;Serbia and Montenegro",S1011)),"Serbia and Montenegro",
ISNUMBER(SEARCH(_xlfn.UNICHAR(65533),S1011)),"Côte d'Ivoire",
TRUE,""
)</f>
        <v/>
      </c>
      <c r="W1011" s="30" t="str">
        <f t="shared" si="87"/>
        <v>England</v>
      </c>
      <c r="Z1011" s="40" t="str">
        <v>San Francisco Bay Area Stadium</v>
      </c>
      <c r="AA1011" s="40" t="str" cm="1">
        <f t="array" ref="AA1011">IFERROR(_xlfn.XLOOKUP(Z1011,_xlfn.ANCHORARRAY(Z$31),AA$31:AA$37),Z1011)</f>
        <v>San Francisco Bay Area Stadium</v>
      </c>
      <c r="AB1011" s="42" t="str">
        <v>San Francisco</v>
      </c>
      <c r="AC1011" s="89" t="str">
        <f t="shared" si="88"/>
        <v>San Francisco</v>
      </c>
      <c r="AE1011" s="42">
        <v>2022</v>
      </c>
      <c r="AK1011" s="42">
        <v>3</v>
      </c>
      <c r="AL1011" s="42">
        <v>3</v>
      </c>
      <c r="AW1011" s="89" t="str">
        <v>GROUP_STAGE</v>
      </c>
      <c r="BE1011" s="43" t="str">
        <f>IF(OR(DATA_CLEANED!AL1002="",DATA_CLEANED!AM1002=""),"MANQUANT",IF(OR(NOT(ISNUMBER(DATA_CLEANED!AL1002)),NOT(ISNUMBER(DATA_CLEANED!AM1002))),"ENTREE INVALIDE",IF(OR(DATA_CLEANED!AL1002&lt;0,DATA_CLEANED!AM1002&lt;0),"SCORE NEGATIF","OK")))</f>
        <v>OK</v>
      </c>
      <c r="BF1011" s="43" t="str">
        <f>IF(DATA_CLEANED!AK1002&lt;&gt;DATA_CLEANED!AN1002,"OK","ERREUR")</f>
        <v>OK</v>
      </c>
      <c r="BG1011" s="43" t="str">
        <f>IF(DATA_CLEANED!AL1002&gt;DATA_CLEANED!AM1002,DATA_CLEANED!AK1002,IF(AND(DATA_QUALITE!W5488="-",DATA_CLEANED!AM1002=DATA_CLEANED!AL1002),"MATCH NUL",IF(AND(DATA_QUALITE!V5488="-",DATA_QUALITE!U5488="AUCUNE"),DATA_QUALITE!T5488,IF(DATA_QUALITE!V5488&lt;&gt;"-",DATA_QUALITE!V5488,DATA_CLEANED!AN1002))))</f>
        <v>Japan</v>
      </c>
      <c r="BH1011" s="103" t="str">
        <f>IF(AND(BG1011="MATCH NUL",DATA_CLEANED!AO1002="-"),"MATCH_NUL",IF(ISNUMBER(SEARCH("win on penalties",W5488)),"WIN_BY_PENALTY",IF(ISNUMBER(SEARCH("win after extra time",W5488)),"WIN_BY_EXTRA_TIME",IF(ISNUMBER(SEARCH("Golden Goal",W5488)),"WIN_BY_GOLDEN_GOAL","WIN_BY_SCORE"))))</f>
        <v>WIN_BY_SCORE</v>
      </c>
      <c r="BI1011" s="99" t="str">
        <f>IF(OR(BG1011=DATA_CLEANED!AK1002,BG1011=DATA_CLEANED!AN1002,BG1011="MATCH NUL"),"OK","ERREUR")</f>
        <v>OK</v>
      </c>
    </row>
    <row r="1012" spans="2:61">
      <c r="B1012" s="75">
        <v>575</v>
      </c>
      <c r="C1012" s="15" t="str">
        <v>Sabri Ben Hessen</v>
      </c>
      <c r="D1012" s="15">
        <v>29</v>
      </c>
      <c r="E1012" s="15" t="str">
        <v>Tunisia</v>
      </c>
      <c r="F1012" s="15" t="str">
        <v>GK</v>
      </c>
      <c r="G1012" s="15" t="str">
        <v>Étoile du Sahel</v>
      </c>
      <c r="H1012" s="15">
        <v>22</v>
      </c>
      <c r="I1012" s="15" t="str">
        <f t="shared" si="84"/>
        <v>575|Sabri Ben Hessen|29|Tunisia|GK|Étoile du Sahel|22</v>
      </c>
      <c r="J1012" s="15" t="str">
        <f>IF(COUNTIF(I$438:I1012,I1012)&gt;1,"DOUBLON","OK")</f>
        <v>OK</v>
      </c>
      <c r="S1012" s="30" t="str">
        <v>Colombia</v>
      </c>
      <c r="T1012" s="30" t="str">
        <f t="shared" si="85"/>
        <v>OK</v>
      </c>
      <c r="U1012" s="30" t="str">
        <f t="shared" si="86"/>
        <v>-</v>
      </c>
      <c r="V1012" s="30" t="str" cm="1">
        <f t="array" ref="V1012">_xlfn.IFS(
ISNUMBER(SEARCH("USA",S1012)),"United States",
ISNUMBER(SEARCH("Republic of Korea",S1012)),"South Korea",
ISNUMBER(SEARCH("Cape Verde",S1012)),"Cabo Verde",
ISNUMBER(SEARCH("Czechia",S1012)),"Czech Republic",
ISNUMBER(SEARCH("Türkiye",S1012)),"Turkey",
ISNUMBER(SEARCH("Ivory Coast",S1012)),"Côte d'Ivoire",
ISNUMBER(SEARCH("Korea Republic",S1012)),"South Korea",
ISNUMBER(SEARCH("Germany FR",S1012)),"FR Germany",
ISNUMBER(SEARCH("West Germany",S1012)),"FR Germany",
ISNUMBER(SEARCH("Germany DR",S1012)),"DR Germany",
ISNUMBER(SEARCH("Korea DPR",S1012)),"North Korea",
ISNUMBER(SEARCH("China PR",S1012)),"China",
ISNUMBER(SEARCH("IR Iran",S1012)),"Iran",
ISNUMBER(SEARCH("Congo DR",S1012)),"Democratic Republic of the Congo",
ISNUMBER(SEARCH("DR Congo",S1012)),"Democratic Republic of the Congo",
ISNUMBER(SEARCH("German DR",S1012)),"DR Germany",
ISNUMBER(SEARCH("rn""&gt;United Arab Emirates",S1012)),"United Arab Emirates",
ISNUMBER(SEARCH("rn""&gt;Republic of Ireland",S1012)),"Ireland",
ISNUMBER(SEARCH("rn""&gt;Bosnia and Herzegovina",S1012)),"Bosnia and Herzegovina",
ISNUMBER(SEARCH("rn""&gt;Trinidad and Tobago",S1012)),"Trinidad and Tobago",
ISNUMBER(SEARCH("rn""&gt;Serbia and Montenegro",S1012)),"Serbia and Montenegro",
ISNUMBER(SEARCH(_xlfn.UNICHAR(65533),S1012)),"Côte d'Ivoire",
TRUE,""
)</f>
        <v/>
      </c>
      <c r="W1012" s="30" t="str">
        <f t="shared" si="87"/>
        <v>Colombia</v>
      </c>
      <c r="Z1012" s="40" t="str">
        <v>Houston Stadium</v>
      </c>
      <c r="AA1012" s="40" t="str" cm="1">
        <f t="array" ref="AA1012">IFERROR(_xlfn.XLOOKUP(Z1012,_xlfn.ANCHORARRAY(Z$31),AA$31:AA$37),Z1012)</f>
        <v>Houston Stadium</v>
      </c>
      <c r="AB1012" s="42" t="str">
        <v>Houston</v>
      </c>
      <c r="AC1012" s="89" t="str">
        <f t="shared" si="88"/>
        <v>Houston</v>
      </c>
      <c r="AE1012" s="42">
        <v>2022</v>
      </c>
      <c r="AK1012" s="42">
        <v>2</v>
      </c>
      <c r="AL1012" s="42">
        <v>3</v>
      </c>
      <c r="AW1012" s="89" t="str">
        <v>GROUP_STAGE</v>
      </c>
      <c r="BE1012" s="43" t="str">
        <f>IF(OR(DATA_CLEANED!AL1003="",DATA_CLEANED!AM1003=""),"MANQUANT",IF(OR(NOT(ISNUMBER(DATA_CLEANED!AL1003)),NOT(ISNUMBER(DATA_CLEANED!AM1003))),"ENTREE INVALIDE",IF(OR(DATA_CLEANED!AL1003&lt;0,DATA_CLEANED!AM1003&lt;0),"SCORE NEGATIF","OK")))</f>
        <v>OK</v>
      </c>
      <c r="BF1012" s="43" t="str">
        <f>IF(DATA_CLEANED!AK1003&lt;&gt;DATA_CLEANED!AN1003,"OK","ERREUR")</f>
        <v>OK</v>
      </c>
      <c r="BG1012" s="43" t="str">
        <f>IF(DATA_CLEANED!AL1003&gt;DATA_CLEANED!AM1003,DATA_CLEANED!AK1003,IF(AND(DATA_QUALITE!W5489="-",DATA_CLEANED!AM1003=DATA_CLEANED!AL1003),"MATCH NUL",IF(AND(DATA_QUALITE!V5489="-",DATA_QUALITE!U5489="AUCUNE"),DATA_QUALITE!T5489,IF(DATA_QUALITE!V5489&lt;&gt;"-",DATA_QUALITE!V5489,DATA_CLEANED!AN1003))))</f>
        <v>Spain</v>
      </c>
      <c r="BH1012" s="103" t="str">
        <f>IF(AND(BG1012="MATCH NUL",DATA_CLEANED!AO1003="-"),"MATCH_NUL",IF(ISNUMBER(SEARCH("win on penalties",W5489)),"WIN_BY_PENALTY",IF(ISNUMBER(SEARCH("win after extra time",W5489)),"WIN_BY_EXTRA_TIME",IF(ISNUMBER(SEARCH("Golden Goal",W5489)),"WIN_BY_GOLDEN_GOAL","WIN_BY_SCORE"))))</f>
        <v>WIN_BY_SCORE</v>
      </c>
      <c r="BI1012" s="99" t="str">
        <f>IF(OR(BG1012=DATA_CLEANED!AK1003,BG1012=DATA_CLEANED!AN1003,BG1012="MATCH NUL"),"OK","ERREUR")</f>
        <v>OK</v>
      </c>
    </row>
    <row r="1013" spans="2:61">
      <c r="B1013" s="75">
        <v>576</v>
      </c>
      <c r="C1013" s="15" t="str">
        <v>Montassar Talbi</v>
      </c>
      <c r="D1013" s="15">
        <v>28</v>
      </c>
      <c r="E1013" s="15" t="str">
        <v>Tunisia</v>
      </c>
      <c r="F1013" s="15" t="str">
        <v>CB</v>
      </c>
      <c r="G1013" s="15" t="str">
        <v>Lorient</v>
      </c>
      <c r="H1013" s="15">
        <v>3</v>
      </c>
      <c r="I1013" s="15" t="str">
        <f t="shared" si="84"/>
        <v>576|Montassar Talbi|28|Tunisia|CB|Lorient|3</v>
      </c>
      <c r="J1013" s="15" t="str">
        <f>IF(COUNTIF(I$438:I1013,I1013)&gt;1,"DOUBLON","OK")</f>
        <v>OK</v>
      </c>
      <c r="S1013" s="30" t="str">
        <v>England</v>
      </c>
      <c r="T1013" s="30" t="str">
        <f t="shared" si="85"/>
        <v>ERREUR</v>
      </c>
      <c r="U1013" s="30" t="str">
        <f t="shared" si="86"/>
        <v>AUCUNE</v>
      </c>
      <c r="V1013" s="30" t="str" cm="1">
        <f t="array" ref="V1013">_xlfn.IFS(
ISNUMBER(SEARCH("USA",S1013)),"United States",
ISNUMBER(SEARCH("Republic of Korea",S1013)),"South Korea",
ISNUMBER(SEARCH("Cape Verde",S1013)),"Cabo Verde",
ISNUMBER(SEARCH("Czechia",S1013)),"Czech Republic",
ISNUMBER(SEARCH("Türkiye",S1013)),"Turkey",
ISNUMBER(SEARCH("Ivory Coast",S1013)),"Côte d'Ivoire",
ISNUMBER(SEARCH("Korea Republic",S1013)),"South Korea",
ISNUMBER(SEARCH("Germany FR",S1013)),"FR Germany",
ISNUMBER(SEARCH("West Germany",S1013)),"FR Germany",
ISNUMBER(SEARCH("Germany DR",S1013)),"DR Germany",
ISNUMBER(SEARCH("Korea DPR",S1013)),"North Korea",
ISNUMBER(SEARCH("China PR",S1013)),"China",
ISNUMBER(SEARCH("IR Iran",S1013)),"Iran",
ISNUMBER(SEARCH("Congo DR",S1013)),"Democratic Republic of the Congo",
ISNUMBER(SEARCH("DR Congo",S1013)),"Democratic Republic of the Congo",
ISNUMBER(SEARCH("German DR",S1013)),"DR Germany",
ISNUMBER(SEARCH("rn""&gt;United Arab Emirates",S1013)),"United Arab Emirates",
ISNUMBER(SEARCH("rn""&gt;Republic of Ireland",S1013)),"Ireland",
ISNUMBER(SEARCH("rn""&gt;Bosnia and Herzegovina",S1013)),"Bosnia and Herzegovina",
ISNUMBER(SEARCH("rn""&gt;Trinidad and Tobago",S1013)),"Trinidad and Tobago",
ISNUMBER(SEARCH("rn""&gt;Serbia and Montenegro",S1013)),"Serbia and Montenegro",
ISNUMBER(SEARCH(_xlfn.UNICHAR(65533),S1013)),"Côte d'Ivoire",
TRUE,""
)</f>
        <v/>
      </c>
      <c r="W1013" s="30" t="str">
        <f t="shared" si="87"/>
        <v>England</v>
      </c>
      <c r="Z1013" s="40" t="str">
        <v>Dallas Stadium</v>
      </c>
      <c r="AA1013" s="40" t="str" cm="1">
        <f t="array" ref="AA1013">IFERROR(_xlfn.XLOOKUP(Z1013,_xlfn.ANCHORARRAY(Z$31),AA$31:AA$37),Z1013)</f>
        <v>Dallas Stadium</v>
      </c>
      <c r="AB1013" s="42" t="str">
        <v>Dallas</v>
      </c>
      <c r="AC1013" s="89" t="str">
        <f t="shared" si="88"/>
        <v>Dallas</v>
      </c>
      <c r="AE1013" s="42">
        <v>2022</v>
      </c>
      <c r="AK1013" s="42">
        <v>1</v>
      </c>
      <c r="AL1013" s="42">
        <v>0</v>
      </c>
      <c r="AW1013" s="89" t="str">
        <v>GROUP_STAGE</v>
      </c>
      <c r="BE1013" s="43" t="str">
        <f>IF(OR(DATA_CLEANED!AL1004="",DATA_CLEANED!AM1004=""),"MANQUANT",IF(OR(NOT(ISNUMBER(DATA_CLEANED!AL1004)),NOT(ISNUMBER(DATA_CLEANED!AM1004))),"ENTREE INVALIDE",IF(OR(DATA_CLEANED!AL1004&lt;0,DATA_CLEANED!AM1004&lt;0),"SCORE NEGATIF","OK")))</f>
        <v>OK</v>
      </c>
      <c r="BF1013" s="43" t="str">
        <f>IF(DATA_CLEANED!AK1004&lt;&gt;DATA_CLEANED!AN1004,"OK","ERREUR")</f>
        <v>OK</v>
      </c>
      <c r="BG1013" s="43" t="str">
        <f>IF(DATA_CLEANED!AL1004&gt;DATA_CLEANED!AM1004,DATA_CLEANED!AK1004,IF(AND(DATA_QUALITE!W5490="-",DATA_CLEANED!AM1004=DATA_CLEANED!AL1004),"MATCH NUL",IF(AND(DATA_QUALITE!V5490="-",DATA_QUALITE!U5490="AUCUNE"),DATA_QUALITE!T5490,IF(DATA_QUALITE!V5490&lt;&gt;"-",DATA_QUALITE!V5490,DATA_CLEANED!AN1004))))</f>
        <v>MATCH NUL</v>
      </c>
      <c r="BH1013" s="103" t="str">
        <f>IF(AND(BG1013="MATCH NUL",DATA_CLEANED!AO1004="-"),"MATCH_NUL",IF(ISNUMBER(SEARCH("win on penalties",W5490)),"WIN_BY_PENALTY",IF(ISNUMBER(SEARCH("win after extra time",W5490)),"WIN_BY_EXTRA_TIME",IF(ISNUMBER(SEARCH("Golden Goal",W5490)),"WIN_BY_GOLDEN_GOAL","WIN_BY_SCORE"))))</f>
        <v>MATCH_NUL</v>
      </c>
      <c r="BI1013" s="99" t="str">
        <f>IF(OR(BG1013=DATA_CLEANED!AK1004,BG1013=DATA_CLEANED!AN1004,BG1013="MATCH NUL"),"OK","ERREUR")</f>
        <v>OK</v>
      </c>
    </row>
    <row r="1014" spans="2:61">
      <c r="B1014" s="75">
        <v>577</v>
      </c>
      <c r="C1014" s="15" t="str">
        <v>Omar Rekik</v>
      </c>
      <c r="D1014" s="15">
        <v>24</v>
      </c>
      <c r="E1014" s="15" t="str">
        <v>Tunisia</v>
      </c>
      <c r="F1014" s="15" t="str">
        <v>CB</v>
      </c>
      <c r="G1014" s="15" t="str">
        <v>Maribor</v>
      </c>
      <c r="H1014" s="15">
        <v>4</v>
      </c>
      <c r="I1014" s="15" t="str">
        <f t="shared" si="84"/>
        <v>577|Omar Rekik|24|Tunisia|CB|Maribor|4</v>
      </c>
      <c r="J1014" s="15" t="str">
        <f>IF(COUNTIF(I$438:I1014,I1014)&gt;1,"DOUBLON","OK")</f>
        <v>OK</v>
      </c>
      <c r="S1014" s="30" t="str">
        <v>Denmark</v>
      </c>
      <c r="T1014" s="30" t="str">
        <f t="shared" si="85"/>
        <v>OK</v>
      </c>
      <c r="U1014" s="30" t="str">
        <f t="shared" si="86"/>
        <v>-</v>
      </c>
      <c r="V1014" s="30" t="str" cm="1">
        <f t="array" ref="V1014">_xlfn.IFS(
ISNUMBER(SEARCH("USA",S1014)),"United States",
ISNUMBER(SEARCH("Republic of Korea",S1014)),"South Korea",
ISNUMBER(SEARCH("Cape Verde",S1014)),"Cabo Verde",
ISNUMBER(SEARCH("Czechia",S1014)),"Czech Republic",
ISNUMBER(SEARCH("Türkiye",S1014)),"Turkey",
ISNUMBER(SEARCH("Ivory Coast",S1014)),"Côte d'Ivoire",
ISNUMBER(SEARCH("Korea Republic",S1014)),"South Korea",
ISNUMBER(SEARCH("Germany FR",S1014)),"FR Germany",
ISNUMBER(SEARCH("West Germany",S1014)),"FR Germany",
ISNUMBER(SEARCH("Germany DR",S1014)),"DR Germany",
ISNUMBER(SEARCH("Korea DPR",S1014)),"North Korea",
ISNUMBER(SEARCH("China PR",S1014)),"China",
ISNUMBER(SEARCH("IR Iran",S1014)),"Iran",
ISNUMBER(SEARCH("Congo DR",S1014)),"Democratic Republic of the Congo",
ISNUMBER(SEARCH("DR Congo",S1014)),"Democratic Republic of the Congo",
ISNUMBER(SEARCH("German DR",S1014)),"DR Germany",
ISNUMBER(SEARCH("rn""&gt;United Arab Emirates",S1014)),"United Arab Emirates",
ISNUMBER(SEARCH("rn""&gt;Republic of Ireland",S1014)),"Ireland",
ISNUMBER(SEARCH("rn""&gt;Bosnia and Herzegovina",S1014)),"Bosnia and Herzegovina",
ISNUMBER(SEARCH("rn""&gt;Trinidad and Tobago",S1014)),"Trinidad and Tobago",
ISNUMBER(SEARCH("rn""&gt;Serbia and Montenegro",S1014)),"Serbia and Montenegro",
ISNUMBER(SEARCH(_xlfn.UNICHAR(65533),S1014)),"Côte d'Ivoire",
TRUE,""
)</f>
        <v/>
      </c>
      <c r="W1014" s="30" t="str">
        <f t="shared" si="87"/>
        <v>Denmark</v>
      </c>
      <c r="Z1014" s="40" t="str">
        <v>Philadelphia Stadium</v>
      </c>
      <c r="AA1014" s="40" t="str" cm="1">
        <f t="array" ref="AA1014">IFERROR(_xlfn.XLOOKUP(Z1014,_xlfn.ANCHORARRAY(Z$31),AA$31:AA$37),Z1014)</f>
        <v>Philadelphia Stadium</v>
      </c>
      <c r="AB1014" s="42" t="str">
        <v>Philadelphia</v>
      </c>
      <c r="AC1014" s="89" t="str">
        <f t="shared" si="88"/>
        <v>Philadelphia</v>
      </c>
      <c r="AE1014" s="42">
        <v>2022</v>
      </c>
      <c r="AK1014" s="42">
        <v>2</v>
      </c>
      <c r="AL1014" s="42">
        <v>0</v>
      </c>
      <c r="AW1014" s="89" t="str">
        <v>GROUP_STAGE</v>
      </c>
      <c r="BE1014" s="43" t="str">
        <f>IF(OR(DATA_CLEANED!AL1005="",DATA_CLEANED!AM1005=""),"MANQUANT",IF(OR(NOT(ISNUMBER(DATA_CLEANED!AL1005)),NOT(ISNUMBER(DATA_CLEANED!AM1005))),"ENTREE INVALIDE",IF(OR(DATA_CLEANED!AL1005&lt;0,DATA_CLEANED!AM1005&lt;0),"SCORE NEGATIF","OK")))</f>
        <v>OK</v>
      </c>
      <c r="BF1014" s="43" t="str">
        <f>IF(DATA_CLEANED!AK1005&lt;&gt;DATA_CLEANED!AN1005,"OK","ERREUR")</f>
        <v>OK</v>
      </c>
      <c r="BG1014" s="43" t="str">
        <f>IF(DATA_CLEANED!AL1005&gt;DATA_CLEANED!AM1005,DATA_CLEANED!AK1005,IF(AND(DATA_QUALITE!W5491="-",DATA_CLEANED!AM1005=DATA_CLEANED!AL1005),"MATCH NUL",IF(AND(DATA_QUALITE!V5491="-",DATA_QUALITE!U5491="AUCUNE"),DATA_QUALITE!T5491,IF(DATA_QUALITE!V5491&lt;&gt;"-",DATA_QUALITE!V5491,DATA_CLEANED!AN1005))))</f>
        <v>MATCH NUL</v>
      </c>
      <c r="BH1014" s="103" t="str">
        <f>IF(AND(BG1014="MATCH NUL",DATA_CLEANED!AO1005="-"),"MATCH_NUL",IF(ISNUMBER(SEARCH("win on penalties",W5491)),"WIN_BY_PENALTY",IF(ISNUMBER(SEARCH("win after extra time",W5491)),"WIN_BY_EXTRA_TIME",IF(ISNUMBER(SEARCH("Golden Goal",W5491)),"WIN_BY_GOLDEN_GOAL","WIN_BY_SCORE"))))</f>
        <v>MATCH_NUL</v>
      </c>
      <c r="BI1014" s="99" t="str">
        <f>IF(OR(BG1014=DATA_CLEANED!AK1005,BG1014=DATA_CLEANED!AN1005,BG1014="MATCH NUL"),"OK","ERREUR")</f>
        <v>OK</v>
      </c>
    </row>
    <row r="1015" spans="2:61">
      <c r="B1015" s="75">
        <v>578</v>
      </c>
      <c r="C1015" s="15" t="str">
        <v>Dylan Bronn</v>
      </c>
      <c r="D1015" s="15">
        <v>30</v>
      </c>
      <c r="E1015" s="15" t="str">
        <v>Tunisia</v>
      </c>
      <c r="F1015" s="15" t="str">
        <v>CB</v>
      </c>
      <c r="G1015" s="15" t="str">
        <v>Servette</v>
      </c>
      <c r="H1015" s="15">
        <v>6</v>
      </c>
      <c r="I1015" s="15" t="str">
        <f t="shared" ref="I1015:I1078" si="89">B1015&amp;"|"&amp;C1015&amp;"|"&amp;D1015&amp;"|"&amp;E1015&amp;"|"&amp;F1015&amp;"|"&amp;G1015&amp;"|"&amp;H1015</f>
        <v>578|Dylan Bronn|30|Tunisia|CB|Servette|6</v>
      </c>
      <c r="J1015" s="15" t="str">
        <f>IF(COUNTIF(I$438:I1015,I1015)&gt;1,"DOUBLON","OK")</f>
        <v>OK</v>
      </c>
      <c r="S1015" s="30" t="str">
        <v>Croatia</v>
      </c>
      <c r="T1015" s="30" t="str">
        <f t="shared" si="85"/>
        <v>OK</v>
      </c>
      <c r="U1015" s="30" t="str">
        <f t="shared" si="86"/>
        <v>-</v>
      </c>
      <c r="V1015" s="30" t="str" cm="1">
        <f t="array" ref="V1015">_xlfn.IFS(
ISNUMBER(SEARCH("USA",S1015)),"United States",
ISNUMBER(SEARCH("Republic of Korea",S1015)),"South Korea",
ISNUMBER(SEARCH("Cape Verde",S1015)),"Cabo Verde",
ISNUMBER(SEARCH("Czechia",S1015)),"Czech Republic",
ISNUMBER(SEARCH("Türkiye",S1015)),"Turkey",
ISNUMBER(SEARCH("Ivory Coast",S1015)),"Côte d'Ivoire",
ISNUMBER(SEARCH("Korea Republic",S1015)),"South Korea",
ISNUMBER(SEARCH("Germany FR",S1015)),"FR Germany",
ISNUMBER(SEARCH("West Germany",S1015)),"FR Germany",
ISNUMBER(SEARCH("Germany DR",S1015)),"DR Germany",
ISNUMBER(SEARCH("Korea DPR",S1015)),"North Korea",
ISNUMBER(SEARCH("China PR",S1015)),"China",
ISNUMBER(SEARCH("IR Iran",S1015)),"Iran",
ISNUMBER(SEARCH("Congo DR",S1015)),"Democratic Republic of the Congo",
ISNUMBER(SEARCH("DR Congo",S1015)),"Democratic Republic of the Congo",
ISNUMBER(SEARCH("German DR",S1015)),"DR Germany",
ISNUMBER(SEARCH("rn""&gt;United Arab Emirates",S1015)),"United Arab Emirates",
ISNUMBER(SEARCH("rn""&gt;Republic of Ireland",S1015)),"Ireland",
ISNUMBER(SEARCH("rn""&gt;Bosnia and Herzegovina",S1015)),"Bosnia and Herzegovina",
ISNUMBER(SEARCH("rn""&gt;Trinidad and Tobago",S1015)),"Trinidad and Tobago",
ISNUMBER(SEARCH("rn""&gt;Serbia and Montenegro",S1015)),"Serbia and Montenegro",
ISNUMBER(SEARCH(_xlfn.UNICHAR(65533),S1015)),"Côte d'Ivoire",
TRUE,""
)</f>
        <v/>
      </c>
      <c r="W1015" s="30" t="str">
        <f t="shared" si="87"/>
        <v>Croatia</v>
      </c>
      <c r="Z1015" s="40" t="str">
        <v>Monterrey Stadium</v>
      </c>
      <c r="AA1015" s="40" t="str" cm="1">
        <f t="array" ref="AA1015">IFERROR(_xlfn.XLOOKUP(Z1015,_xlfn.ANCHORARRAY(Z$31),AA$31:AA$37),Z1015)</f>
        <v>Monterrey Stadium</v>
      </c>
      <c r="AB1015" s="42" t="str">
        <v>Monterrey</v>
      </c>
      <c r="AC1015" s="89" t="str">
        <f t="shared" si="88"/>
        <v>Monterrey</v>
      </c>
      <c r="AE1015" s="42">
        <v>2022</v>
      </c>
      <c r="AK1015" s="42">
        <v>1</v>
      </c>
      <c r="AL1015" s="42">
        <v>2</v>
      </c>
      <c r="AW1015" s="89" t="str">
        <v>GROUP_STAGE</v>
      </c>
      <c r="BE1015" s="43" t="str">
        <f>IF(OR(DATA_CLEANED!AL1006="",DATA_CLEANED!AM1006=""),"MANQUANT",IF(OR(NOT(ISNUMBER(DATA_CLEANED!AL1006)),NOT(ISNUMBER(DATA_CLEANED!AM1006))),"ENTREE INVALIDE",IF(OR(DATA_CLEANED!AL1006&lt;0,DATA_CLEANED!AM1006&lt;0),"SCORE NEGATIF","OK")))</f>
        <v>OK</v>
      </c>
      <c r="BF1015" s="43" t="str">
        <f>IF(DATA_CLEANED!AK1006&lt;&gt;DATA_CLEANED!AN1006,"OK","ERREUR")</f>
        <v>OK</v>
      </c>
      <c r="BG1015" s="43" t="str">
        <f>IF(DATA_CLEANED!AL1006&gt;DATA_CLEANED!AM1006,DATA_CLEANED!AK1006,IF(AND(DATA_QUALITE!W5492="-",DATA_CLEANED!AM1006=DATA_CLEANED!AL1006),"MATCH NUL",IF(AND(DATA_QUALITE!V5492="-",DATA_QUALITE!U5492="AUCUNE"),DATA_QUALITE!T5492,IF(DATA_QUALITE!V5492&lt;&gt;"-",DATA_QUALITE!V5492,DATA_CLEANED!AN1006))))</f>
        <v>Egypt</v>
      </c>
      <c r="BH1015" s="103" t="str">
        <f>IF(AND(BG1015="MATCH NUL",DATA_CLEANED!AO1006="-"),"MATCH_NUL",IF(ISNUMBER(SEARCH("win on penalties",W5492)),"WIN_BY_PENALTY",IF(ISNUMBER(SEARCH("win after extra time",W5492)),"WIN_BY_EXTRA_TIME",IF(ISNUMBER(SEARCH("Golden Goal",W5492)),"WIN_BY_GOLDEN_GOAL","WIN_BY_SCORE"))))</f>
        <v>WIN_BY_SCORE</v>
      </c>
      <c r="BI1015" s="99" t="str">
        <f>IF(OR(BG1015=DATA_CLEANED!AK1006,BG1015=DATA_CLEANED!AN1006,BG1015="MATCH NUL"),"OK","ERREUR")</f>
        <v>OK</v>
      </c>
    </row>
    <row r="1016" spans="2:61">
      <c r="B1016" s="75">
        <v>579</v>
      </c>
      <c r="C1016" s="15" t="str">
        <v>Raed Chikhaoui</v>
      </c>
      <c r="D1016" s="15">
        <v>22</v>
      </c>
      <c r="E1016" s="15" t="str">
        <v>Tunisia</v>
      </c>
      <c r="F1016" s="15" t="str">
        <v>CB</v>
      </c>
      <c r="G1016" s="15" t="str">
        <v>US Monastir</v>
      </c>
      <c r="H1016" s="15">
        <v>24</v>
      </c>
      <c r="I1016" s="15" t="str">
        <f t="shared" si="89"/>
        <v>579|Raed Chikhaoui|22|Tunisia|CB|US Monastir|24</v>
      </c>
      <c r="J1016" s="15" t="str">
        <f>IF(COUNTIF(I$438:I1016,I1016)&gt;1,"DOUBLON","OK")</f>
        <v>OK</v>
      </c>
      <c r="S1016" s="30" t="str">
        <v>Denmark</v>
      </c>
      <c r="T1016" s="30" t="str">
        <f t="shared" si="85"/>
        <v>OK</v>
      </c>
      <c r="U1016" s="30" t="str">
        <f t="shared" si="86"/>
        <v>-</v>
      </c>
      <c r="V1016" s="30" t="str" cm="1">
        <f t="array" ref="V1016">_xlfn.IFS(
ISNUMBER(SEARCH("USA",S1016)),"United States",
ISNUMBER(SEARCH("Republic of Korea",S1016)),"South Korea",
ISNUMBER(SEARCH("Cape Verde",S1016)),"Cabo Verde",
ISNUMBER(SEARCH("Czechia",S1016)),"Czech Republic",
ISNUMBER(SEARCH("Türkiye",S1016)),"Turkey",
ISNUMBER(SEARCH("Ivory Coast",S1016)),"Côte d'Ivoire",
ISNUMBER(SEARCH("Korea Republic",S1016)),"South Korea",
ISNUMBER(SEARCH("Germany FR",S1016)),"FR Germany",
ISNUMBER(SEARCH("West Germany",S1016)),"FR Germany",
ISNUMBER(SEARCH("Germany DR",S1016)),"DR Germany",
ISNUMBER(SEARCH("Korea DPR",S1016)),"North Korea",
ISNUMBER(SEARCH("China PR",S1016)),"China",
ISNUMBER(SEARCH("IR Iran",S1016)),"Iran",
ISNUMBER(SEARCH("Congo DR",S1016)),"Democratic Republic of the Congo",
ISNUMBER(SEARCH("DR Congo",S1016)),"Democratic Republic of the Congo",
ISNUMBER(SEARCH("German DR",S1016)),"DR Germany",
ISNUMBER(SEARCH("rn""&gt;United Arab Emirates",S1016)),"United Arab Emirates",
ISNUMBER(SEARCH("rn""&gt;Republic of Ireland",S1016)),"Ireland",
ISNUMBER(SEARCH("rn""&gt;Bosnia and Herzegovina",S1016)),"Bosnia and Herzegovina",
ISNUMBER(SEARCH("rn""&gt;Trinidad and Tobago",S1016)),"Trinidad and Tobago",
ISNUMBER(SEARCH("rn""&gt;Serbia and Montenegro",S1016)),"Serbia and Montenegro",
ISNUMBER(SEARCH(_xlfn.UNICHAR(65533),S1016)),"Côte d'Ivoire",
TRUE,""
)</f>
        <v/>
      </c>
      <c r="W1016" s="30" t="str">
        <f t="shared" si="87"/>
        <v>Denmark</v>
      </c>
      <c r="Z1016" s="40" t="str">
        <v>Atlanta Stadium</v>
      </c>
      <c r="AA1016" s="40" t="str" cm="1">
        <f t="array" ref="AA1016">IFERROR(_xlfn.XLOOKUP(Z1016,_xlfn.ANCHORARRAY(Z$31),AA$31:AA$37),Z1016)</f>
        <v>Atlanta Stadium</v>
      </c>
      <c r="AB1016" s="42" t="str">
        <v>Atlanta</v>
      </c>
      <c r="AC1016" s="89" t="str">
        <f t="shared" si="88"/>
        <v>Atlanta</v>
      </c>
      <c r="AE1016" s="42">
        <v>2022</v>
      </c>
      <c r="AK1016" s="42">
        <v>2</v>
      </c>
      <c r="AL1016" s="42">
        <v>0</v>
      </c>
      <c r="AW1016" s="89" t="str">
        <v>GROUP_STAGE</v>
      </c>
      <c r="BE1016" s="43" t="str">
        <f>IF(OR(DATA_CLEANED!AL1007="",DATA_CLEANED!AM1007=""),"MANQUANT",IF(OR(NOT(ISNUMBER(DATA_CLEANED!AL1007)),NOT(ISNUMBER(DATA_CLEANED!AM1007))),"ENTREE INVALIDE",IF(OR(DATA_CLEANED!AL1007&lt;0,DATA_CLEANED!AM1007&lt;0),"SCORE NEGATIF","OK")))</f>
        <v>OK</v>
      </c>
      <c r="BF1016" s="43" t="str">
        <f>IF(DATA_CLEANED!AK1007&lt;&gt;DATA_CLEANED!AN1007,"OK","ERREUR")</f>
        <v>OK</v>
      </c>
      <c r="BG1016" s="43" t="str">
        <f>IF(DATA_CLEANED!AL1007&gt;DATA_CLEANED!AM1007,DATA_CLEANED!AK1007,IF(AND(DATA_QUALITE!W5493="-",DATA_CLEANED!AM1007=DATA_CLEANED!AL1007),"MATCH NUL",IF(AND(DATA_QUALITE!V5493="-",DATA_QUALITE!U5493="AUCUNE"),DATA_QUALITE!T5493,IF(DATA_QUALITE!V5493&lt;&gt;"-",DATA_QUALITE!V5493,DATA_CLEANED!AN1007))))</f>
        <v>Croatia</v>
      </c>
      <c r="BH1016" s="103" t="str">
        <f>IF(AND(BG1016="MATCH NUL",DATA_CLEANED!AO1007="-"),"MATCH_NUL",IF(ISNUMBER(SEARCH("win on penalties",W5493)),"WIN_BY_PENALTY",IF(ISNUMBER(SEARCH("win after extra time",W5493)),"WIN_BY_EXTRA_TIME",IF(ISNUMBER(SEARCH("Golden Goal",W5493)),"WIN_BY_GOLDEN_GOAL","WIN_BY_SCORE"))))</f>
        <v>WIN_BY_SCORE</v>
      </c>
      <c r="BI1016" s="99" t="str">
        <f>IF(OR(BG1016=DATA_CLEANED!AK1007,BG1016=DATA_CLEANED!AN1007,BG1016="MATCH NUL"),"OK","ERREUR")</f>
        <v>OK</v>
      </c>
    </row>
    <row r="1017" spans="2:61">
      <c r="B1017" s="75">
        <v>580</v>
      </c>
      <c r="C1017" s="15" t="str">
        <v>Ali Abdi</v>
      </c>
      <c r="D1017" s="15">
        <v>32</v>
      </c>
      <c r="E1017" s="15" t="str">
        <v>Tunisia</v>
      </c>
      <c r="F1017" s="15" t="str">
        <v>LB</v>
      </c>
      <c r="G1017" s="15" t="str">
        <v>Nice</v>
      </c>
      <c r="H1017" s="15">
        <v>2</v>
      </c>
      <c r="I1017" s="15" t="str">
        <f t="shared" si="89"/>
        <v>580|Ali Abdi|32|Tunisia|LB|Nice|2</v>
      </c>
      <c r="J1017" s="15" t="str">
        <f>IF(COUNTIF(I$438:I1017,I1017)&gt;1,"DOUBLON","OK")</f>
        <v>OK</v>
      </c>
      <c r="S1017" s="30" t="str">
        <v>Croatia</v>
      </c>
      <c r="T1017" s="30" t="str">
        <f t="shared" si="85"/>
        <v>OK</v>
      </c>
      <c r="U1017" s="30" t="str">
        <f t="shared" si="86"/>
        <v>-</v>
      </c>
      <c r="V1017" s="30" t="str" cm="1">
        <f t="array" ref="V1017">_xlfn.IFS(
ISNUMBER(SEARCH("USA",S1017)),"United States",
ISNUMBER(SEARCH("Republic of Korea",S1017)),"South Korea",
ISNUMBER(SEARCH("Cape Verde",S1017)),"Cabo Verde",
ISNUMBER(SEARCH("Czechia",S1017)),"Czech Republic",
ISNUMBER(SEARCH("Türkiye",S1017)),"Turkey",
ISNUMBER(SEARCH("Ivory Coast",S1017)),"Côte d'Ivoire",
ISNUMBER(SEARCH("Korea Republic",S1017)),"South Korea",
ISNUMBER(SEARCH("Germany FR",S1017)),"FR Germany",
ISNUMBER(SEARCH("West Germany",S1017)),"FR Germany",
ISNUMBER(SEARCH("Germany DR",S1017)),"DR Germany",
ISNUMBER(SEARCH("Korea DPR",S1017)),"North Korea",
ISNUMBER(SEARCH("China PR",S1017)),"China",
ISNUMBER(SEARCH("IR Iran",S1017)),"Iran",
ISNUMBER(SEARCH("Congo DR",S1017)),"Democratic Republic of the Congo",
ISNUMBER(SEARCH("DR Congo",S1017)),"Democratic Republic of the Congo",
ISNUMBER(SEARCH("German DR",S1017)),"DR Germany",
ISNUMBER(SEARCH("rn""&gt;United Arab Emirates",S1017)),"United Arab Emirates",
ISNUMBER(SEARCH("rn""&gt;Republic of Ireland",S1017)),"Ireland",
ISNUMBER(SEARCH("rn""&gt;Bosnia and Herzegovina",S1017)),"Bosnia and Herzegovina",
ISNUMBER(SEARCH("rn""&gt;Trinidad and Tobago",S1017)),"Trinidad and Tobago",
ISNUMBER(SEARCH("rn""&gt;Serbia and Montenegro",S1017)),"Serbia and Montenegro",
ISNUMBER(SEARCH(_xlfn.UNICHAR(65533),S1017)),"Côte d'Ivoire",
TRUE,""
)</f>
        <v/>
      </c>
      <c r="W1017" s="30" t="str">
        <f t="shared" si="87"/>
        <v>Croatia</v>
      </c>
      <c r="Z1017" s="40" t="str">
        <v>Seattle Stadium</v>
      </c>
      <c r="AA1017" s="40" t="str" cm="1">
        <f t="array" ref="AA1017">IFERROR(_xlfn.XLOOKUP(Z1017,_xlfn.ANCHORARRAY(Z$31),AA$31:AA$37),Z1017)</f>
        <v>Seattle Stadium</v>
      </c>
      <c r="AB1017" s="42" t="str">
        <v>Seattle</v>
      </c>
      <c r="AC1017" s="89" t="str">
        <f t="shared" si="88"/>
        <v>Seattle</v>
      </c>
      <c r="AE1017" s="42">
        <v>2022</v>
      </c>
      <c r="AK1017" s="42">
        <v>0</v>
      </c>
      <c r="AL1017" s="42">
        <v>1</v>
      </c>
      <c r="AW1017" s="89" t="str">
        <v>GROUP_STAGE</v>
      </c>
      <c r="BE1017" s="43" t="str">
        <f>IF(OR(DATA_CLEANED!AL1008="",DATA_CLEANED!AM1008=""),"MANQUANT",IF(OR(NOT(ISNUMBER(DATA_CLEANED!AL1008)),NOT(ISNUMBER(DATA_CLEANED!AM1008))),"ENTREE INVALIDE",IF(OR(DATA_CLEANED!AL1008&lt;0,DATA_CLEANED!AM1008&lt;0),"SCORE NEGATIF","OK")))</f>
        <v>OK</v>
      </c>
      <c r="BF1017" s="43" t="str">
        <f>IF(DATA_CLEANED!AK1008&lt;&gt;DATA_CLEANED!AN1008,"OK","ERREUR")</f>
        <v>OK</v>
      </c>
      <c r="BG1017" s="43" t="str">
        <f>IF(DATA_CLEANED!AL1008&gt;DATA_CLEANED!AM1008,DATA_CLEANED!AK1008,IF(AND(DATA_QUALITE!W5494="-",DATA_CLEANED!AM1008=DATA_CLEANED!AL1008),"MATCH NUL",IF(AND(DATA_QUALITE!V5494="-",DATA_QUALITE!U5494="AUCUNE"),DATA_QUALITE!T5494,IF(DATA_QUALITE!V5494&lt;&gt;"-",DATA_QUALITE!V5494,DATA_CLEANED!AN1008))))</f>
        <v>Colombia</v>
      </c>
      <c r="BH1017" s="103" t="str">
        <f>IF(AND(BG1017="MATCH NUL",DATA_CLEANED!AO1008="-"),"MATCH_NUL",IF(ISNUMBER(SEARCH("win on penalties",W5494)),"WIN_BY_PENALTY",IF(ISNUMBER(SEARCH("win after extra time",W5494)),"WIN_BY_EXTRA_TIME",IF(ISNUMBER(SEARCH("Golden Goal",W5494)),"WIN_BY_GOLDEN_GOAL","WIN_BY_SCORE"))))</f>
        <v>WIN_BY_SCORE</v>
      </c>
      <c r="BI1017" s="99" t="str">
        <f>IF(OR(BG1017=DATA_CLEANED!AK1008,BG1017=DATA_CLEANED!AN1008,BG1017="MATCH NUL"),"OK","ERREUR")</f>
        <v>OK</v>
      </c>
    </row>
    <row r="1018" spans="2:61">
      <c r="B1018" s="75">
        <v>581</v>
      </c>
      <c r="C1018" s="15" t="str">
        <v>Mohamed Amine Ben Hamida</v>
      </c>
      <c r="D1018" s="15">
        <v>30</v>
      </c>
      <c r="E1018" s="15" t="str">
        <v>Tunisia</v>
      </c>
      <c r="F1018" s="15" t="str">
        <v>LB</v>
      </c>
      <c r="G1018" s="15" t="str">
        <v>Espérance de Tunis</v>
      </c>
      <c r="H1018" s="15">
        <v>21</v>
      </c>
      <c r="I1018" s="15" t="str">
        <f t="shared" si="89"/>
        <v>581|Mohamed Amine Ben Hamida|30|Tunisia|LB|Espérance de Tunis|21</v>
      </c>
      <c r="J1018" s="15" t="str">
        <f>IF(COUNTIF(I$438:I1018,I1018)&gt;1,"DOUBLON","OK")</f>
        <v>OK</v>
      </c>
      <c r="S1018" s="30" t="str">
        <v>Denmark</v>
      </c>
      <c r="T1018" s="30" t="str">
        <f t="shared" si="85"/>
        <v>OK</v>
      </c>
      <c r="U1018" s="30" t="str">
        <f t="shared" si="86"/>
        <v>-</v>
      </c>
      <c r="V1018" s="30" t="str" cm="1">
        <f t="array" ref="V1018">_xlfn.IFS(
ISNUMBER(SEARCH("USA",S1018)),"United States",
ISNUMBER(SEARCH("Republic of Korea",S1018)),"South Korea",
ISNUMBER(SEARCH("Cape Verde",S1018)),"Cabo Verde",
ISNUMBER(SEARCH("Czechia",S1018)),"Czech Republic",
ISNUMBER(SEARCH("Türkiye",S1018)),"Turkey",
ISNUMBER(SEARCH("Ivory Coast",S1018)),"Côte d'Ivoire",
ISNUMBER(SEARCH("Korea Republic",S1018)),"South Korea",
ISNUMBER(SEARCH("Germany FR",S1018)),"FR Germany",
ISNUMBER(SEARCH("West Germany",S1018)),"FR Germany",
ISNUMBER(SEARCH("Germany DR",S1018)),"DR Germany",
ISNUMBER(SEARCH("Korea DPR",S1018)),"North Korea",
ISNUMBER(SEARCH("China PR",S1018)),"China",
ISNUMBER(SEARCH("IR Iran",S1018)),"Iran",
ISNUMBER(SEARCH("Congo DR",S1018)),"Democratic Republic of the Congo",
ISNUMBER(SEARCH("DR Congo",S1018)),"Democratic Republic of the Congo",
ISNUMBER(SEARCH("German DR",S1018)),"DR Germany",
ISNUMBER(SEARCH("rn""&gt;United Arab Emirates",S1018)),"United Arab Emirates",
ISNUMBER(SEARCH("rn""&gt;Republic of Ireland",S1018)),"Ireland",
ISNUMBER(SEARCH("rn""&gt;Bosnia and Herzegovina",S1018)),"Bosnia and Herzegovina",
ISNUMBER(SEARCH("rn""&gt;Trinidad and Tobago",S1018)),"Trinidad and Tobago",
ISNUMBER(SEARCH("rn""&gt;Serbia and Montenegro",S1018)),"Serbia and Montenegro",
ISNUMBER(SEARCH(_xlfn.UNICHAR(65533),S1018)),"Côte d'Ivoire",
TRUE,""
)</f>
        <v/>
      </c>
      <c r="W1018" s="30" t="str">
        <f t="shared" si="87"/>
        <v>Denmark</v>
      </c>
      <c r="Z1018" s="40" t="str">
        <v>Miami Stadium</v>
      </c>
      <c r="AA1018" s="40" t="str" cm="1">
        <f t="array" ref="AA1018">IFERROR(_xlfn.XLOOKUP(Z1018,_xlfn.ANCHORARRAY(Z$31),AA$31:AA$37),Z1018)</f>
        <v>Miami Stadium</v>
      </c>
      <c r="AB1018" s="42" t="str">
        <v>Miami</v>
      </c>
      <c r="AC1018" s="89" t="str">
        <f t="shared" si="88"/>
        <v>Miami</v>
      </c>
      <c r="AE1018" s="42">
        <v>2022</v>
      </c>
      <c r="AK1018" s="42">
        <v>0</v>
      </c>
      <c r="AL1018" s="42">
        <v>3</v>
      </c>
      <c r="AW1018" s="89" t="str">
        <v>GROUP_STAGE</v>
      </c>
      <c r="BE1018" s="43" t="str">
        <f>IF(OR(DATA_CLEANED!AL1009="",DATA_CLEANED!AM1009=""),"MANQUANT",IF(OR(NOT(ISNUMBER(DATA_CLEANED!AL1009)),NOT(ISNUMBER(DATA_CLEANED!AM1009))),"ENTREE INVALIDE",IF(OR(DATA_CLEANED!AL1009&lt;0,DATA_CLEANED!AM1009&lt;0),"SCORE NEGATIF","OK")))</f>
        <v>OK</v>
      </c>
      <c r="BF1018" s="43" t="str">
        <f>IF(DATA_CLEANED!AK1009&lt;&gt;DATA_CLEANED!AN1009,"OK","ERREUR")</f>
        <v>OK</v>
      </c>
      <c r="BG1018" s="43" t="str">
        <f>IF(DATA_CLEANED!AL1009&gt;DATA_CLEANED!AM1009,DATA_CLEANED!AK1009,IF(AND(DATA_QUALITE!W5495="-",DATA_CLEANED!AM1009=DATA_CLEANED!AL1009),"MATCH NUL",IF(AND(DATA_QUALITE!V5495="-",DATA_QUALITE!U5495="AUCUNE"),DATA_QUALITE!T5495,IF(DATA_QUALITE!V5495&lt;&gt;"-",DATA_QUALITE!V5495,DATA_CLEANED!AN1009))))</f>
        <v>Switzerland</v>
      </c>
      <c r="BH1018" s="103" t="str">
        <f>IF(AND(BG1018="MATCH NUL",DATA_CLEANED!AO1009="-"),"MATCH_NUL",IF(ISNUMBER(SEARCH("win on penalties",W5495)),"WIN_BY_PENALTY",IF(ISNUMBER(SEARCH("win after extra time",W5495)),"WIN_BY_EXTRA_TIME",IF(ISNUMBER(SEARCH("Golden Goal",W5495)),"WIN_BY_GOLDEN_GOAL","WIN_BY_SCORE"))))</f>
        <v>WIN_BY_SCORE</v>
      </c>
      <c r="BI1018" s="99" t="str">
        <f>IF(OR(BG1018=DATA_CLEANED!AK1009,BG1018=DATA_CLEANED!AN1009,BG1018="MATCH NUL"),"OK","ERREUR")</f>
        <v>OK</v>
      </c>
    </row>
    <row r="1019" spans="2:61">
      <c r="B1019" s="75">
        <v>582</v>
      </c>
      <c r="C1019" s="15" t="str">
        <v>Adem Arous</v>
      </c>
      <c r="D1019" s="15">
        <v>21</v>
      </c>
      <c r="E1019" s="15" t="str">
        <v>Tunisia</v>
      </c>
      <c r="F1019" s="15" t="str">
        <v>RB</v>
      </c>
      <c r="G1019" s="15" t="str">
        <v>Kasımpaşa</v>
      </c>
      <c r="H1019" s="15">
        <v>5</v>
      </c>
      <c r="I1019" s="15" t="str">
        <f t="shared" si="89"/>
        <v>582|Adem Arous|21|Tunisia|RB|Kasımpaşa|5</v>
      </c>
      <c r="J1019" s="15" t="str">
        <f>IF(COUNTIF(I$438:I1019,I1019)&gt;1,"DOUBLON","OK")</f>
        <v>OK</v>
      </c>
      <c r="S1019" s="30" t="str">
        <v>Croatia</v>
      </c>
      <c r="T1019" s="30" t="str">
        <f t="shared" ref="T1019:T1082" si="90">IF(COUNTIF(R$21:R$250,S1019)=1,"OK","ERREUR")</f>
        <v>OK</v>
      </c>
      <c r="U1019" s="30" t="str">
        <f t="shared" si="86"/>
        <v>-</v>
      </c>
      <c r="V1019" s="30" t="str" cm="1">
        <f t="array" ref="V1019">_xlfn.IFS(
ISNUMBER(SEARCH("USA",S1019)),"United States",
ISNUMBER(SEARCH("Republic of Korea",S1019)),"South Korea",
ISNUMBER(SEARCH("Cape Verde",S1019)),"Cabo Verde",
ISNUMBER(SEARCH("Czechia",S1019)),"Czech Republic",
ISNUMBER(SEARCH("Türkiye",S1019)),"Turkey",
ISNUMBER(SEARCH("Ivory Coast",S1019)),"Côte d'Ivoire",
ISNUMBER(SEARCH("Korea Republic",S1019)),"South Korea",
ISNUMBER(SEARCH("Germany FR",S1019)),"FR Germany",
ISNUMBER(SEARCH("West Germany",S1019)),"FR Germany",
ISNUMBER(SEARCH("Germany DR",S1019)),"DR Germany",
ISNUMBER(SEARCH("Korea DPR",S1019)),"North Korea",
ISNUMBER(SEARCH("China PR",S1019)),"China",
ISNUMBER(SEARCH("IR Iran",S1019)),"Iran",
ISNUMBER(SEARCH("Congo DR",S1019)),"Democratic Republic of the Congo",
ISNUMBER(SEARCH("DR Congo",S1019)),"Democratic Republic of the Congo",
ISNUMBER(SEARCH("German DR",S1019)),"DR Germany",
ISNUMBER(SEARCH("rn""&gt;United Arab Emirates",S1019)),"United Arab Emirates",
ISNUMBER(SEARCH("rn""&gt;Republic of Ireland",S1019)),"Ireland",
ISNUMBER(SEARCH("rn""&gt;Bosnia and Herzegovina",S1019)),"Bosnia and Herzegovina",
ISNUMBER(SEARCH("rn""&gt;Trinidad and Tobago",S1019)),"Trinidad and Tobago",
ISNUMBER(SEARCH("rn""&gt;Serbia and Montenegro",S1019)),"Serbia and Montenegro",
ISNUMBER(SEARCH(_xlfn.UNICHAR(65533),S1019)),"Côte d'Ivoire",
TRUE,""
)</f>
        <v/>
      </c>
      <c r="W1019" s="30" t="str">
        <f t="shared" si="87"/>
        <v>Croatia</v>
      </c>
      <c r="Z1019" s="40" t="str">
        <v>Los Angeles Stadium</v>
      </c>
      <c r="AA1019" s="40" t="str" cm="1">
        <f t="array" ref="AA1019">IFERROR(_xlfn.XLOOKUP(Z1019,_xlfn.ANCHORARRAY(Z$31),AA$31:AA$37),Z1019)</f>
        <v>Los Angeles Stadium</v>
      </c>
      <c r="AB1019" s="42" t="str">
        <v>Los Angeles</v>
      </c>
      <c r="AC1019" s="89" t="str">
        <f t="shared" si="88"/>
        <v>Los Angeles</v>
      </c>
      <c r="AE1019" s="42">
        <v>2022</v>
      </c>
      <c r="AK1019" s="42">
        <v>1</v>
      </c>
      <c r="AL1019" s="42">
        <v>0</v>
      </c>
      <c r="AW1019" s="89" t="str">
        <v>GROUP_STAGE</v>
      </c>
      <c r="BE1019" s="43" t="str">
        <f>IF(OR(DATA_CLEANED!AL1010="",DATA_CLEANED!AM1010=""),"MANQUANT",IF(OR(NOT(ISNUMBER(DATA_CLEANED!AL1010)),NOT(ISNUMBER(DATA_CLEANED!AM1010))),"ENTREE INVALIDE",IF(OR(DATA_CLEANED!AL1010&lt;0,DATA_CLEANED!AM1010&lt;0),"SCORE NEGATIF","OK")))</f>
        <v>OK</v>
      </c>
      <c r="BF1019" s="43" t="str">
        <f>IF(DATA_CLEANED!AK1010&lt;&gt;DATA_CLEANED!AN1010,"OK","ERREUR")</f>
        <v>OK</v>
      </c>
      <c r="BG1019" s="43" t="str">
        <f>IF(DATA_CLEANED!AL1010&gt;DATA_CLEANED!AM1010,DATA_CLEANED!AK1010,IF(AND(DATA_QUALITE!W5496="-",DATA_CLEANED!AM1010=DATA_CLEANED!AL1010),"MATCH NUL",IF(AND(DATA_QUALITE!V5496="-",DATA_QUALITE!U5496="AUCUNE"),DATA_QUALITE!T5496,IF(DATA_QUALITE!V5496&lt;&gt;"-",DATA_QUALITE!V5496,DATA_CLEANED!AN1010))))</f>
        <v>Bosnia and Herzegovina</v>
      </c>
      <c r="BH1019" s="103" t="str">
        <f>IF(AND(BG1019="MATCH NUL",DATA_CLEANED!AO1010="-"),"MATCH_NUL",IF(ISNUMBER(SEARCH("win on penalties",W5496)),"WIN_BY_PENALTY",IF(ISNUMBER(SEARCH("win after extra time",W5496)),"WIN_BY_EXTRA_TIME",IF(ISNUMBER(SEARCH("Golden Goal",W5496)),"WIN_BY_GOLDEN_GOAL","WIN_BY_SCORE"))))</f>
        <v>WIN_BY_SCORE</v>
      </c>
      <c r="BI1019" s="99" t="str">
        <f>IF(OR(BG1019=DATA_CLEANED!AK1010,BG1019=DATA_CLEANED!AN1010,BG1019="MATCH NUL"),"OK","ERREUR")</f>
        <v>OK</v>
      </c>
    </row>
    <row r="1020" spans="2:61">
      <c r="B1020" s="75">
        <v>583</v>
      </c>
      <c r="C1020" s="15" t="str">
        <v>Mortadha Ben Ouanes</v>
      </c>
      <c r="D1020" s="15">
        <v>31</v>
      </c>
      <c r="E1020" s="15" t="str">
        <v>Tunisia</v>
      </c>
      <c r="F1020" s="15" t="str">
        <v>RB</v>
      </c>
      <c r="G1020" s="15" t="str">
        <v>Kasımpaşa</v>
      </c>
      <c r="H1020" s="15">
        <v>12</v>
      </c>
      <c r="I1020" s="15" t="str">
        <f t="shared" si="89"/>
        <v>583|Mortadha Ben Ouanes|31|Tunisia|RB|Kasımpaşa|12</v>
      </c>
      <c r="J1020" s="15" t="str">
        <f>IF(COUNTIF(I$438:I1020,I1020)&gt;1,"DOUBLON","OK")</f>
        <v>OK</v>
      </c>
      <c r="S1020" s="30" t="str">
        <v>Denmark</v>
      </c>
      <c r="T1020" s="30" t="str">
        <f t="shared" si="90"/>
        <v>OK</v>
      </c>
      <c r="U1020" s="30" t="str">
        <f t="shared" si="86"/>
        <v>-</v>
      </c>
      <c r="V1020" s="30" t="str" cm="1">
        <f t="array" ref="V1020">_xlfn.IFS(
ISNUMBER(SEARCH("USA",S1020)),"United States",
ISNUMBER(SEARCH("Republic of Korea",S1020)),"South Korea",
ISNUMBER(SEARCH("Cape Verde",S1020)),"Cabo Verde",
ISNUMBER(SEARCH("Czechia",S1020)),"Czech Republic",
ISNUMBER(SEARCH("Türkiye",S1020)),"Turkey",
ISNUMBER(SEARCH("Ivory Coast",S1020)),"Côte d'Ivoire",
ISNUMBER(SEARCH("Korea Republic",S1020)),"South Korea",
ISNUMBER(SEARCH("Germany FR",S1020)),"FR Germany",
ISNUMBER(SEARCH("West Germany",S1020)),"FR Germany",
ISNUMBER(SEARCH("Germany DR",S1020)),"DR Germany",
ISNUMBER(SEARCH("Korea DPR",S1020)),"North Korea",
ISNUMBER(SEARCH("China PR",S1020)),"China",
ISNUMBER(SEARCH("IR Iran",S1020)),"Iran",
ISNUMBER(SEARCH("Congo DR",S1020)),"Democratic Republic of the Congo",
ISNUMBER(SEARCH("DR Congo",S1020)),"Democratic Republic of the Congo",
ISNUMBER(SEARCH("German DR",S1020)),"DR Germany",
ISNUMBER(SEARCH("rn""&gt;United Arab Emirates",S1020)),"United Arab Emirates",
ISNUMBER(SEARCH("rn""&gt;Republic of Ireland",S1020)),"Ireland",
ISNUMBER(SEARCH("rn""&gt;Bosnia and Herzegovina",S1020)),"Bosnia and Herzegovina",
ISNUMBER(SEARCH("rn""&gt;Trinidad and Tobago",S1020)),"Trinidad and Tobago",
ISNUMBER(SEARCH("rn""&gt;Serbia and Montenegro",S1020)),"Serbia and Montenegro",
ISNUMBER(SEARCH(_xlfn.UNICHAR(65533),S1020)),"Côte d'Ivoire",
TRUE,""
)</f>
        <v/>
      </c>
      <c r="W1020" s="30" t="str">
        <f t="shared" si="87"/>
        <v>Denmark</v>
      </c>
      <c r="Z1020" s="40" t="str">
        <v>New York New Jersey Stadium</v>
      </c>
      <c r="AA1020" s="40" t="str" cm="1">
        <f t="array" ref="AA1020">IFERROR(_xlfn.XLOOKUP(Z1020,_xlfn.ANCHORARRAY(Z$31),AA$31:AA$37),Z1020)</f>
        <v>New York New Jersey Stadium</v>
      </c>
      <c r="AB1020" s="42" t="str">
        <v>New Jersey</v>
      </c>
      <c r="AC1020" s="89" t="str">
        <f t="shared" si="88"/>
        <v>New Jersey</v>
      </c>
      <c r="AE1020" s="42">
        <v>2022</v>
      </c>
      <c r="AK1020" s="42">
        <v>1</v>
      </c>
      <c r="AL1020" s="42">
        <v>0</v>
      </c>
      <c r="AW1020" s="89" t="str">
        <v>GROUP_STAGE</v>
      </c>
      <c r="BE1020" s="43" t="str">
        <f>IF(OR(DATA_CLEANED!AL1011="",DATA_CLEANED!AM1011=""),"MANQUANT",IF(OR(NOT(ISNUMBER(DATA_CLEANED!AL1011)),NOT(ISNUMBER(DATA_CLEANED!AM1011))),"ENTREE INVALIDE",IF(OR(DATA_CLEANED!AL1011&lt;0,DATA_CLEANED!AM1011&lt;0),"SCORE NEGATIF","OK")))</f>
        <v>OK</v>
      </c>
      <c r="BF1020" s="43" t="str">
        <f>IF(DATA_CLEANED!AK1011&lt;&gt;DATA_CLEANED!AN1011,"OK","ERREUR")</f>
        <v>OK</v>
      </c>
      <c r="BG1020" s="43" t="str">
        <f>IF(DATA_CLEANED!AL1011&gt;DATA_CLEANED!AM1011,DATA_CLEANED!AK1011,IF(AND(DATA_QUALITE!W5497="-",DATA_CLEANED!AM1011=DATA_CLEANED!AL1011),"MATCH NUL",IF(AND(DATA_QUALITE!V5497="-",DATA_QUALITE!U5497="AUCUNE"),DATA_QUALITE!T5497,IF(DATA_QUALITE!V5497&lt;&gt;"-",DATA_QUALITE!V5497,DATA_CLEANED!AN1011))))</f>
        <v>Morocco</v>
      </c>
      <c r="BH1020" s="103" t="str">
        <f>IF(AND(BG1020="MATCH NUL",DATA_CLEANED!AO1011="-"),"MATCH_NUL",IF(ISNUMBER(SEARCH("win on penalties",W5497)),"WIN_BY_PENALTY",IF(ISNUMBER(SEARCH("win after extra time",W5497)),"WIN_BY_EXTRA_TIME",IF(ISNUMBER(SEARCH("Golden Goal",W5497)),"WIN_BY_GOLDEN_GOAL","WIN_BY_SCORE"))))</f>
        <v>WIN_BY_SCORE</v>
      </c>
      <c r="BI1020" s="99" t="str">
        <f>IF(OR(BG1020=DATA_CLEANED!AK1011,BG1020=DATA_CLEANED!AN1011,BG1020="MATCH NUL"),"OK","ERREUR")</f>
        <v>OK</v>
      </c>
    </row>
    <row r="1021" spans="2:61">
      <c r="B1021" s="75">
        <v>584</v>
      </c>
      <c r="C1021" s="15" t="str">
        <v>Yan Valery</v>
      </c>
      <c r="D1021" s="15">
        <v>27</v>
      </c>
      <c r="E1021" s="15" t="str">
        <v>Tunisia</v>
      </c>
      <c r="F1021" s="15" t="str">
        <v>RB</v>
      </c>
      <c r="G1021" s="15" t="str">
        <v>Young Boys</v>
      </c>
      <c r="H1021" s="15">
        <v>20</v>
      </c>
      <c r="I1021" s="15" t="str">
        <f t="shared" si="89"/>
        <v>584|Yan Valery|27|Tunisia|RB|Young Boys|20</v>
      </c>
      <c r="J1021" s="15" t="str">
        <f>IF(COUNTIF(I$438:I1021,I1021)&gt;1,"DOUBLON","OK")</f>
        <v>OK</v>
      </c>
      <c r="S1021" s="30" t="str">
        <v>Croatia</v>
      </c>
      <c r="T1021" s="30" t="str">
        <f t="shared" si="90"/>
        <v>OK</v>
      </c>
      <c r="U1021" s="30" t="str">
        <f t="shared" si="86"/>
        <v>-</v>
      </c>
      <c r="V1021" s="30" t="str" cm="1">
        <f t="array" ref="V1021">_xlfn.IFS(
ISNUMBER(SEARCH("USA",S1021)),"United States",
ISNUMBER(SEARCH("Republic of Korea",S1021)),"South Korea",
ISNUMBER(SEARCH("Cape Verde",S1021)),"Cabo Verde",
ISNUMBER(SEARCH("Czechia",S1021)),"Czech Republic",
ISNUMBER(SEARCH("Türkiye",S1021)),"Turkey",
ISNUMBER(SEARCH("Ivory Coast",S1021)),"Côte d'Ivoire",
ISNUMBER(SEARCH("Korea Republic",S1021)),"South Korea",
ISNUMBER(SEARCH("Germany FR",S1021)),"FR Germany",
ISNUMBER(SEARCH("West Germany",S1021)),"FR Germany",
ISNUMBER(SEARCH("Germany DR",S1021)),"DR Germany",
ISNUMBER(SEARCH("Korea DPR",S1021)),"North Korea",
ISNUMBER(SEARCH("China PR",S1021)),"China",
ISNUMBER(SEARCH("IR Iran",S1021)),"Iran",
ISNUMBER(SEARCH("Congo DR",S1021)),"Democratic Republic of the Congo",
ISNUMBER(SEARCH("DR Congo",S1021)),"Democratic Republic of the Congo",
ISNUMBER(SEARCH("German DR",S1021)),"DR Germany",
ISNUMBER(SEARCH("rn""&gt;United Arab Emirates",S1021)),"United Arab Emirates",
ISNUMBER(SEARCH("rn""&gt;Republic of Ireland",S1021)),"Ireland",
ISNUMBER(SEARCH("rn""&gt;Bosnia and Herzegovina",S1021)),"Bosnia and Herzegovina",
ISNUMBER(SEARCH("rn""&gt;Trinidad and Tobago",S1021)),"Trinidad and Tobago",
ISNUMBER(SEARCH("rn""&gt;Serbia and Montenegro",S1021)),"Serbia and Montenegro",
ISNUMBER(SEARCH(_xlfn.UNICHAR(65533),S1021)),"Côte d'Ivoire",
TRUE,""
)</f>
        <v/>
      </c>
      <c r="W1021" s="30" t="str">
        <f t="shared" si="87"/>
        <v>Croatia</v>
      </c>
      <c r="Z1021" s="40" t="str">
        <v>Boston Stadium</v>
      </c>
      <c r="AA1021" s="40" t="str" cm="1">
        <f t="array" ref="AA1021">IFERROR(_xlfn.XLOOKUP(Z1021,_xlfn.ANCHORARRAY(Z$31),AA$31:AA$37),Z1021)</f>
        <v>Boston Stadium</v>
      </c>
      <c r="AB1021" s="42" t="str">
        <v>Boston</v>
      </c>
      <c r="AC1021" s="89" t="str">
        <f t="shared" si="88"/>
        <v>Boston</v>
      </c>
      <c r="AE1021" s="42">
        <v>2022</v>
      </c>
      <c r="AK1021" s="42">
        <v>0</v>
      </c>
      <c r="AL1021" s="42">
        <v>2</v>
      </c>
      <c r="AW1021" s="89" t="str">
        <v>GROUP_STAGE</v>
      </c>
      <c r="BE1021" s="43" t="str">
        <f>IF(OR(DATA_CLEANED!AL1012="",DATA_CLEANED!AM1012=""),"MANQUANT",IF(OR(NOT(ISNUMBER(DATA_CLEANED!AL1012)),NOT(ISNUMBER(DATA_CLEANED!AM1012))),"ENTREE INVALIDE",IF(OR(DATA_CLEANED!AL1012&lt;0,DATA_CLEANED!AM1012&lt;0),"SCORE NEGATIF","OK")))</f>
        <v>OK</v>
      </c>
      <c r="BF1021" s="43" t="str">
        <f>IF(DATA_CLEANED!AK1012&lt;&gt;DATA_CLEANED!AN1012,"OK","ERREUR")</f>
        <v>OK</v>
      </c>
      <c r="BG1021" s="43" t="str">
        <f>IF(DATA_CLEANED!AL1012&gt;DATA_CLEANED!AM1012,DATA_CLEANED!AK1012,IF(AND(DATA_QUALITE!W5498="-",DATA_CLEANED!AM1012=DATA_CLEANED!AL1012),"MATCH NUL",IF(AND(DATA_QUALITE!V5498="-",DATA_QUALITE!U5498="AUCUNE"),DATA_QUALITE!T5498,IF(DATA_QUALITE!V5498&lt;&gt;"-",DATA_QUALITE!V5498,DATA_CLEANED!AN1012))))</f>
        <v>Brazil</v>
      </c>
      <c r="BH1021" s="103" t="str">
        <f>IF(AND(BG1021="MATCH NUL",DATA_CLEANED!AO1012="-"),"MATCH_NUL",IF(ISNUMBER(SEARCH("win on penalties",W5498)),"WIN_BY_PENALTY",IF(ISNUMBER(SEARCH("win after extra time",W5498)),"WIN_BY_EXTRA_TIME",IF(ISNUMBER(SEARCH("Golden Goal",W5498)),"WIN_BY_GOLDEN_GOAL","WIN_BY_SCORE"))))</f>
        <v>WIN_BY_SCORE</v>
      </c>
      <c r="BI1021" s="99" t="str">
        <f>IF(OR(BG1021=DATA_CLEANED!AK1012,BG1021=DATA_CLEANED!AN1012,BG1021="MATCH NUL"),"OK","ERREUR")</f>
        <v>OK</v>
      </c>
    </row>
    <row r="1022" spans="2:61">
      <c r="B1022" s="75">
        <v>585</v>
      </c>
      <c r="C1022" s="15" t="str">
        <v>Moutaz Neffati</v>
      </c>
      <c r="D1022" s="15">
        <v>21</v>
      </c>
      <c r="E1022" s="15" t="str">
        <v>Tunisia</v>
      </c>
      <c r="F1022" s="15" t="str">
        <v>RB</v>
      </c>
      <c r="G1022" s="15" t="str">
        <v>IFK Norrköping</v>
      </c>
      <c r="H1022" s="15">
        <v>23</v>
      </c>
      <c r="I1022" s="15" t="str">
        <f t="shared" si="89"/>
        <v>585|Moutaz Neffati|21|Tunisia|RB|IFK Norrköping|23</v>
      </c>
      <c r="J1022" s="15" t="str">
        <f>IF(COUNTIF(I$438:I1022,I1022)&gt;1,"DOUBLON","OK")</f>
        <v>OK</v>
      </c>
      <c r="S1022" s="30" t="str">
        <v>Denmark</v>
      </c>
      <c r="T1022" s="30" t="str">
        <f t="shared" si="90"/>
        <v>OK</v>
      </c>
      <c r="U1022" s="30" t="str">
        <f t="shared" si="86"/>
        <v>-</v>
      </c>
      <c r="V1022" s="30" t="str" cm="1">
        <f t="array" ref="V1022">_xlfn.IFS(
ISNUMBER(SEARCH("USA",S1022)),"United States",
ISNUMBER(SEARCH("Republic of Korea",S1022)),"South Korea",
ISNUMBER(SEARCH("Cape Verde",S1022)),"Cabo Verde",
ISNUMBER(SEARCH("Czechia",S1022)),"Czech Republic",
ISNUMBER(SEARCH("Türkiye",S1022)),"Turkey",
ISNUMBER(SEARCH("Ivory Coast",S1022)),"Côte d'Ivoire",
ISNUMBER(SEARCH("Korea Republic",S1022)),"South Korea",
ISNUMBER(SEARCH("Germany FR",S1022)),"FR Germany",
ISNUMBER(SEARCH("West Germany",S1022)),"FR Germany",
ISNUMBER(SEARCH("Germany DR",S1022)),"DR Germany",
ISNUMBER(SEARCH("Korea DPR",S1022)),"North Korea",
ISNUMBER(SEARCH("China PR",S1022)),"China",
ISNUMBER(SEARCH("IR Iran",S1022)),"Iran",
ISNUMBER(SEARCH("Congo DR",S1022)),"Democratic Republic of the Congo",
ISNUMBER(SEARCH("DR Congo",S1022)),"Democratic Republic of the Congo",
ISNUMBER(SEARCH("German DR",S1022)),"DR Germany",
ISNUMBER(SEARCH("rn""&gt;United Arab Emirates",S1022)),"United Arab Emirates",
ISNUMBER(SEARCH("rn""&gt;Republic of Ireland",S1022)),"Ireland",
ISNUMBER(SEARCH("rn""&gt;Bosnia and Herzegovina",S1022)),"Bosnia and Herzegovina",
ISNUMBER(SEARCH("rn""&gt;Trinidad and Tobago",S1022)),"Trinidad and Tobago",
ISNUMBER(SEARCH("rn""&gt;Serbia and Montenegro",S1022)),"Serbia and Montenegro",
ISNUMBER(SEARCH(_xlfn.UNICHAR(65533),S1022)),"Côte d'Ivoire",
TRUE,""
)</f>
        <v/>
      </c>
      <c r="W1022" s="30" t="str">
        <f t="shared" si="87"/>
        <v>Denmark</v>
      </c>
      <c r="Z1022" s="40" t="str">
        <v>Kansas City Stadium</v>
      </c>
      <c r="AA1022" s="40" t="str" cm="1">
        <f t="array" ref="AA1022">IFERROR(_xlfn.XLOOKUP(Z1022,_xlfn.ANCHORARRAY(Z$31),AA$31:AA$37),Z1022)</f>
        <v>Kansas City Stadium</v>
      </c>
      <c r="AB1022" s="42" t="str">
        <v>Kansas City</v>
      </c>
      <c r="AC1022" s="89" t="str">
        <f t="shared" si="88"/>
        <v>Kansas City</v>
      </c>
      <c r="AE1022" s="42">
        <v>2022</v>
      </c>
      <c r="AK1022" s="42">
        <v>1</v>
      </c>
      <c r="AL1022" s="42">
        <v>2</v>
      </c>
      <c r="AW1022" s="89" t="str">
        <v>GROUP_STAGE</v>
      </c>
      <c r="BE1022" s="43" t="str">
        <f>IF(OR(DATA_CLEANED!AL1013="",DATA_CLEANED!AM1013=""),"MANQUANT",IF(OR(NOT(ISNUMBER(DATA_CLEANED!AL1013)),NOT(ISNUMBER(DATA_CLEANED!AM1013))),"ENTREE INVALIDE",IF(OR(DATA_CLEANED!AL1013&lt;0,DATA_CLEANED!AM1013&lt;0),"SCORE NEGATIF","OK")))</f>
        <v>OK</v>
      </c>
      <c r="BF1022" s="43" t="str">
        <f>IF(DATA_CLEANED!AK1013&lt;&gt;DATA_CLEANED!AN1013,"OK","ERREUR")</f>
        <v>OK</v>
      </c>
      <c r="BG1022" s="43" t="str">
        <f>IF(DATA_CLEANED!AL1013&gt;DATA_CLEANED!AM1013,DATA_CLEANED!AK1013,IF(AND(DATA_QUALITE!W5499="-",DATA_CLEANED!AM1013=DATA_CLEANED!AL1013),"MATCH NUL",IF(AND(DATA_QUALITE!V5499="-",DATA_QUALITE!U5499="AUCUNE"),DATA_QUALITE!T5499,IF(DATA_QUALITE!V5499&lt;&gt;"-",DATA_QUALITE!V5499,DATA_CLEANED!AN1013))))</f>
        <v>South Africa</v>
      </c>
      <c r="BH1022" s="103" t="str">
        <f>IF(AND(BG1022="MATCH NUL",DATA_CLEANED!AO1013="-"),"MATCH_NUL",IF(ISNUMBER(SEARCH("win on penalties",W5499)),"WIN_BY_PENALTY",IF(ISNUMBER(SEARCH("win after extra time",W5499)),"WIN_BY_EXTRA_TIME",IF(ISNUMBER(SEARCH("Golden Goal",W5499)),"WIN_BY_GOLDEN_GOAL","WIN_BY_SCORE"))))</f>
        <v>WIN_BY_SCORE</v>
      </c>
      <c r="BI1022" s="99" t="str">
        <f>IF(OR(BG1022=DATA_CLEANED!AK1013,BG1022=DATA_CLEANED!AN1013,BG1022="MATCH NUL"),"OK","ERREUR")</f>
        <v>OK</v>
      </c>
    </row>
    <row r="1023" spans="2:61">
      <c r="B1023" s="75">
        <v>586</v>
      </c>
      <c r="C1023" s="15" t="str">
        <v>Rani Khedira</v>
      </c>
      <c r="D1023" s="15">
        <v>32</v>
      </c>
      <c r="E1023" s="15" t="str">
        <v>Tunisia</v>
      </c>
      <c r="F1023" s="15" t="str">
        <v>CDM</v>
      </c>
      <c r="G1023" s="15" t="str">
        <v>Union Berlin</v>
      </c>
      <c r="H1023" s="15">
        <v>13</v>
      </c>
      <c r="I1023" s="15" t="str">
        <f t="shared" si="89"/>
        <v>586|Rani Khedira|32|Tunisia|CDM|Union Berlin|13</v>
      </c>
      <c r="J1023" s="15" t="str">
        <f>IF(COUNTIF(I$438:I1023,I1023)&gt;1,"DOUBLON","OK")</f>
        <v>OK</v>
      </c>
      <c r="S1023" s="30" t="str">
        <v>Croatia</v>
      </c>
      <c r="T1023" s="30" t="str">
        <f t="shared" si="90"/>
        <v>OK</v>
      </c>
      <c r="U1023" s="30" t="str">
        <f t="shared" si="86"/>
        <v>-</v>
      </c>
      <c r="V1023" s="30" t="str" cm="1">
        <f t="array" ref="V1023">_xlfn.IFS(
ISNUMBER(SEARCH("USA",S1023)),"United States",
ISNUMBER(SEARCH("Republic of Korea",S1023)),"South Korea",
ISNUMBER(SEARCH("Cape Verde",S1023)),"Cabo Verde",
ISNUMBER(SEARCH("Czechia",S1023)),"Czech Republic",
ISNUMBER(SEARCH("Türkiye",S1023)),"Turkey",
ISNUMBER(SEARCH("Ivory Coast",S1023)),"Côte d'Ivoire",
ISNUMBER(SEARCH("Korea Republic",S1023)),"South Korea",
ISNUMBER(SEARCH("Germany FR",S1023)),"FR Germany",
ISNUMBER(SEARCH("West Germany",S1023)),"FR Germany",
ISNUMBER(SEARCH("Germany DR",S1023)),"DR Germany",
ISNUMBER(SEARCH("Korea DPR",S1023)),"North Korea",
ISNUMBER(SEARCH("China PR",S1023)),"China",
ISNUMBER(SEARCH("IR Iran",S1023)),"Iran",
ISNUMBER(SEARCH("Congo DR",S1023)),"Democratic Republic of the Congo",
ISNUMBER(SEARCH("DR Congo",S1023)),"Democratic Republic of the Congo",
ISNUMBER(SEARCH("German DR",S1023)),"DR Germany",
ISNUMBER(SEARCH("rn""&gt;United Arab Emirates",S1023)),"United Arab Emirates",
ISNUMBER(SEARCH("rn""&gt;Republic of Ireland",S1023)),"Ireland",
ISNUMBER(SEARCH("rn""&gt;Bosnia and Herzegovina",S1023)),"Bosnia and Herzegovina",
ISNUMBER(SEARCH("rn""&gt;Trinidad and Tobago",S1023)),"Trinidad and Tobago",
ISNUMBER(SEARCH("rn""&gt;Serbia and Montenegro",S1023)),"Serbia and Montenegro",
ISNUMBER(SEARCH(_xlfn.UNICHAR(65533),S1023)),"Côte d'Ivoire",
TRUE,""
)</f>
        <v/>
      </c>
      <c r="W1023" s="30" t="str">
        <f t="shared" si="87"/>
        <v>Croatia</v>
      </c>
      <c r="Z1023" s="40" t="str">
        <v>San Francisco Bay Area Stadium</v>
      </c>
      <c r="AA1023" s="40" t="str" cm="1">
        <f t="array" ref="AA1023">IFERROR(_xlfn.XLOOKUP(Z1023,_xlfn.ANCHORARRAY(Z$31),AA$31:AA$37),Z1023)</f>
        <v>San Francisco Bay Area Stadium</v>
      </c>
      <c r="AB1023" s="42" t="str">
        <v>San Francisco</v>
      </c>
      <c r="AC1023" s="89" t="str">
        <f t="shared" si="88"/>
        <v>San Francisco</v>
      </c>
      <c r="AE1023" s="42">
        <v>2022</v>
      </c>
      <c r="AK1023" s="42">
        <v>1</v>
      </c>
      <c r="AL1023" s="42">
        <v>2</v>
      </c>
      <c r="AW1023" s="89" t="str">
        <v>GROUP_STAGE</v>
      </c>
      <c r="BE1023" s="43" t="str">
        <f>IF(OR(DATA_CLEANED!AL1014="",DATA_CLEANED!AM1014=""),"MANQUANT",IF(OR(NOT(ISNUMBER(DATA_CLEANED!AL1014)),NOT(ISNUMBER(DATA_CLEANED!AM1014))),"ENTREE INVALIDE",IF(OR(DATA_CLEANED!AL1014&lt;0,DATA_CLEANED!AM1014&lt;0),"SCORE NEGATIF","OK")))</f>
        <v>OK</v>
      </c>
      <c r="BF1023" s="43" t="str">
        <f>IF(DATA_CLEANED!AK1014&lt;&gt;DATA_CLEANED!AN1014,"OK","ERREUR")</f>
        <v>OK</v>
      </c>
      <c r="BG1023" s="43" t="str">
        <f>IF(DATA_CLEANED!AL1014&gt;DATA_CLEANED!AM1014,DATA_CLEANED!AK1014,IF(AND(DATA_QUALITE!W5500="-",DATA_CLEANED!AM1014=DATA_CLEANED!AL1014),"MATCH NUL",IF(AND(DATA_QUALITE!V5500="-",DATA_QUALITE!U5500="AUCUNE"),DATA_QUALITE!T5500,IF(DATA_QUALITE!V5500&lt;&gt;"-",DATA_QUALITE!V5500,DATA_CLEANED!AN1014))))</f>
        <v>Mexico</v>
      </c>
      <c r="BH1023" s="103" t="str">
        <f>IF(AND(BG1023="MATCH NUL",DATA_CLEANED!AO1014="-"),"MATCH_NUL",IF(ISNUMBER(SEARCH("win on penalties",W5500)),"WIN_BY_PENALTY",IF(ISNUMBER(SEARCH("win after extra time",W5500)),"WIN_BY_EXTRA_TIME",IF(ISNUMBER(SEARCH("Golden Goal",W5500)),"WIN_BY_GOLDEN_GOAL","WIN_BY_SCORE"))))</f>
        <v>WIN_BY_SCORE</v>
      </c>
      <c r="BI1023" s="99" t="str">
        <f>IF(OR(BG1023=DATA_CLEANED!AK1014,BG1023=DATA_CLEANED!AN1014,BG1023="MATCH NUL"),"OK","ERREUR")</f>
        <v>OK</v>
      </c>
    </row>
    <row r="1024" spans="2:61">
      <c r="B1024" s="75">
        <v>587</v>
      </c>
      <c r="C1024" s="15" t="str">
        <v>Ellyes Skhiri</v>
      </c>
      <c r="D1024" s="15">
        <v>31</v>
      </c>
      <c r="E1024" s="15" t="str">
        <v>Tunisia</v>
      </c>
      <c r="F1024" s="15" t="str">
        <v>CDM</v>
      </c>
      <c r="G1024" s="15" t="str">
        <v>Eintracht Frankfurt</v>
      </c>
      <c r="H1024" s="15">
        <v>17</v>
      </c>
      <c r="I1024" s="15" t="str">
        <f t="shared" si="89"/>
        <v>587|Ellyes Skhiri|31|Tunisia|CDM|Eintracht Frankfurt|17</v>
      </c>
      <c r="J1024" s="15" t="str">
        <f>IF(COUNTIF(I$438:I1024,I1024)&gt;1,"DOUBLON","OK")</f>
        <v>OK</v>
      </c>
      <c r="S1024" s="30" t="str">
        <v>Spain</v>
      </c>
      <c r="T1024" s="30" t="str">
        <f t="shared" si="90"/>
        <v>OK</v>
      </c>
      <c r="U1024" s="30" t="str">
        <f t="shared" ref="U1024:U1087" si="91">IF(OR(S1024="Scotland",S1024="England",S1024="Wales",S1024="Yugoslavia",S1024="Czechoslovakia",S1024="Northern Ireland",S1024="Soviet Union",S1024="Zaire",S1024="Dutch East Indies"),"AUCUNE",IF(OR(S1024="Cape Verde",S1024="USA",S1024="DR Congo",S1024="Republic of Korea",S1024="Germany FR",S1024="Germany DR",S1024="Czechia",S1024="Ivory Coast",S1024="Korea DPR",S1024="China PR",S1024="IR Iran",S1024="Türkiye",S1024="Congo DR",S1024="German DR",S1024="West Germany",S1024="Republic of Ireland",ISNUMBER(SEARCH("rn""&gt;United Arab Emirates",S1024)),ISNUMBER(SEARCH("rn""&gt;Republic of Ireland",S1024)),ISNUMBER(SEARCH("rn""&gt;Bosnia and Herzegovina",S1024)),ISNUMBER(SEARCH("rn""&gt;Trinidad and Tobago",S1024)),ISNUMBER(SEARCH("rn""&gt;Serbia and Montenegro",S1024)),ISNUMBER(SEARCH(_xlfn.UNICHAR(65533),S1024))),"RENOMMER","-"))</f>
        <v>-</v>
      </c>
      <c r="V1024" s="30" t="str" cm="1">
        <f t="array" ref="V1024">_xlfn.IFS(
ISNUMBER(SEARCH("USA",S1024)),"United States",
ISNUMBER(SEARCH("Republic of Korea",S1024)),"South Korea",
ISNUMBER(SEARCH("Cape Verde",S1024)),"Cabo Verde",
ISNUMBER(SEARCH("Czechia",S1024)),"Czech Republic",
ISNUMBER(SEARCH("Türkiye",S1024)),"Turkey",
ISNUMBER(SEARCH("Ivory Coast",S1024)),"Côte d'Ivoire",
ISNUMBER(SEARCH("Korea Republic",S1024)),"South Korea",
ISNUMBER(SEARCH("Germany FR",S1024)),"FR Germany",
ISNUMBER(SEARCH("West Germany",S1024)),"FR Germany",
ISNUMBER(SEARCH("Germany DR",S1024)),"DR Germany",
ISNUMBER(SEARCH("Korea DPR",S1024)),"North Korea",
ISNUMBER(SEARCH("China PR",S1024)),"China",
ISNUMBER(SEARCH("IR Iran",S1024)),"Iran",
ISNUMBER(SEARCH("Congo DR",S1024)),"Democratic Republic of the Congo",
ISNUMBER(SEARCH("DR Congo",S1024)),"Democratic Republic of the Congo",
ISNUMBER(SEARCH("German DR",S1024)),"DR Germany",
ISNUMBER(SEARCH("rn""&gt;United Arab Emirates",S1024)),"United Arab Emirates",
ISNUMBER(SEARCH("rn""&gt;Republic of Ireland",S1024)),"Ireland",
ISNUMBER(SEARCH("rn""&gt;Bosnia and Herzegovina",S1024)),"Bosnia and Herzegovina",
ISNUMBER(SEARCH("rn""&gt;Trinidad and Tobago",S1024)),"Trinidad and Tobago",
ISNUMBER(SEARCH("rn""&gt;Serbia and Montenegro",S1024)),"Serbia and Montenegro",
ISNUMBER(SEARCH(_xlfn.UNICHAR(65533),S1024)),"Côte d'Ivoire",
TRUE,""
)</f>
        <v/>
      </c>
      <c r="W1024" s="30" t="str">
        <f t="shared" si="87"/>
        <v>Spain</v>
      </c>
      <c r="Z1024" s="40" t="str">
        <v>Houston Stadium</v>
      </c>
      <c r="AA1024" s="40" t="str" cm="1">
        <f t="array" ref="AA1024">IFERROR(_xlfn.XLOOKUP(Z1024,_xlfn.ANCHORARRAY(Z$31),AA$31:AA$37),Z1024)</f>
        <v>Houston Stadium</v>
      </c>
      <c r="AB1024" s="42" t="str">
        <v>Houston</v>
      </c>
      <c r="AC1024" s="89" t="str">
        <f t="shared" si="88"/>
        <v>Houston</v>
      </c>
      <c r="AE1024" s="42">
        <v>2022</v>
      </c>
      <c r="AK1024" s="42">
        <v>0</v>
      </c>
      <c r="AL1024" s="42">
        <v>0</v>
      </c>
      <c r="AW1024" s="89" t="str">
        <v>GROUP_STAGE</v>
      </c>
      <c r="BE1024" s="43" t="str">
        <f>IF(OR(DATA_CLEANED!AL1015="",DATA_CLEANED!AM1015=""),"MANQUANT",IF(OR(NOT(ISNUMBER(DATA_CLEANED!AL1015)),NOT(ISNUMBER(DATA_CLEANED!AM1015))),"ENTREE INVALIDE",IF(OR(DATA_CLEANED!AL1015&lt;0,DATA_CLEANED!AM1015&lt;0),"SCORE NEGATIF","OK")))</f>
        <v>OK</v>
      </c>
      <c r="BF1024" s="43" t="str">
        <f>IF(DATA_CLEANED!AK1015&lt;&gt;DATA_CLEANED!AN1015,"OK","ERREUR")</f>
        <v>OK</v>
      </c>
      <c r="BG1024" s="43" t="str">
        <f>IF(DATA_CLEANED!AL1015&gt;DATA_CLEANED!AM1015,DATA_CLEANED!AK1015,IF(AND(DATA_QUALITE!W5501="-",DATA_CLEANED!AM1015=DATA_CLEANED!AL1015),"MATCH NUL",IF(AND(DATA_QUALITE!V5501="-",DATA_QUALITE!U5501="AUCUNE"),DATA_QUALITE!T5501,IF(DATA_QUALITE!V5501&lt;&gt;"-",DATA_QUALITE!V5501,DATA_CLEANED!AN1015))))</f>
        <v>Côte d'Ivoire</v>
      </c>
      <c r="BH1024" s="103" t="str">
        <f>IF(AND(BG1024="MATCH NUL",DATA_CLEANED!AO1015="-"),"MATCH_NUL",IF(ISNUMBER(SEARCH("win on penalties",W5501)),"WIN_BY_PENALTY",IF(ISNUMBER(SEARCH("win after extra time",W5501)),"WIN_BY_EXTRA_TIME",IF(ISNUMBER(SEARCH("Golden Goal",W5501)),"WIN_BY_GOLDEN_GOAL","WIN_BY_SCORE"))))</f>
        <v>WIN_BY_SCORE</v>
      </c>
      <c r="BI1024" s="99" t="str">
        <f>IF(OR(BG1024=DATA_CLEANED!AK1015,BG1024=DATA_CLEANED!AN1015,BG1024="MATCH NUL"),"OK","ERREUR")</f>
        <v>OK</v>
      </c>
    </row>
    <row r="1025" spans="2:61">
      <c r="B1025" s="75">
        <v>588</v>
      </c>
      <c r="C1025" s="15" t="str">
        <v>Khalil Ayari</v>
      </c>
      <c r="D1025" s="15">
        <v>21</v>
      </c>
      <c r="E1025" s="15" t="str">
        <v>Tunisia</v>
      </c>
      <c r="F1025" s="15" t="str">
        <v>CM</v>
      </c>
      <c r="G1025" s="15" t="str">
        <v>Paris Saint-Germain</v>
      </c>
      <c r="H1025" s="15">
        <v>14</v>
      </c>
      <c r="I1025" s="15" t="str">
        <f t="shared" si="89"/>
        <v>588|Khalil Ayari|21|Tunisia|CM|Paris Saint-Germain|14</v>
      </c>
      <c r="J1025" s="15" t="str">
        <f>IF(COUNTIF(I$438:I1025,I1025)&gt;1,"DOUBLON","OK")</f>
        <v>OK</v>
      </c>
      <c r="S1025" s="30" t="str">
        <v>Russia</v>
      </c>
      <c r="T1025" s="30" t="str">
        <f t="shared" si="90"/>
        <v>OK</v>
      </c>
      <c r="U1025" s="30" t="str">
        <f t="shared" si="91"/>
        <v>-</v>
      </c>
      <c r="V1025" s="30" t="str" cm="1">
        <f t="array" ref="V1025">_xlfn.IFS(
ISNUMBER(SEARCH("USA",S1025)),"United States",
ISNUMBER(SEARCH("Republic of Korea",S1025)),"South Korea",
ISNUMBER(SEARCH("Cape Verde",S1025)),"Cabo Verde",
ISNUMBER(SEARCH("Czechia",S1025)),"Czech Republic",
ISNUMBER(SEARCH("Türkiye",S1025)),"Turkey",
ISNUMBER(SEARCH("Ivory Coast",S1025)),"Côte d'Ivoire",
ISNUMBER(SEARCH("Korea Republic",S1025)),"South Korea",
ISNUMBER(SEARCH("Germany FR",S1025)),"FR Germany",
ISNUMBER(SEARCH("West Germany",S1025)),"FR Germany",
ISNUMBER(SEARCH("Germany DR",S1025)),"DR Germany",
ISNUMBER(SEARCH("Korea DPR",S1025)),"North Korea",
ISNUMBER(SEARCH("China PR",S1025)),"China",
ISNUMBER(SEARCH("IR Iran",S1025)),"Iran",
ISNUMBER(SEARCH("Congo DR",S1025)),"Democratic Republic of the Congo",
ISNUMBER(SEARCH("DR Congo",S1025)),"Democratic Republic of the Congo",
ISNUMBER(SEARCH("German DR",S1025)),"DR Germany",
ISNUMBER(SEARCH("rn""&gt;United Arab Emirates",S1025)),"United Arab Emirates",
ISNUMBER(SEARCH("rn""&gt;Republic of Ireland",S1025)),"Ireland",
ISNUMBER(SEARCH("rn""&gt;Bosnia and Herzegovina",S1025)),"Bosnia and Herzegovina",
ISNUMBER(SEARCH("rn""&gt;Trinidad and Tobago",S1025)),"Trinidad and Tobago",
ISNUMBER(SEARCH("rn""&gt;Serbia and Montenegro",S1025)),"Serbia and Montenegro",
ISNUMBER(SEARCH(_xlfn.UNICHAR(65533),S1025)),"Côte d'Ivoire",
TRUE,""
)</f>
        <v/>
      </c>
      <c r="W1025" s="30" t="str">
        <f t="shared" si="87"/>
        <v>Russia</v>
      </c>
      <c r="Z1025" s="40" t="str">
        <v>Dallas Stadium</v>
      </c>
      <c r="AA1025" s="40" t="str" cm="1">
        <f t="array" ref="AA1025">IFERROR(_xlfn.XLOOKUP(Z1025,_xlfn.ANCHORARRAY(Z$31),AA$31:AA$37),Z1025)</f>
        <v>Dallas Stadium</v>
      </c>
      <c r="AB1025" s="42" t="str">
        <v>Dallas</v>
      </c>
      <c r="AC1025" s="89" t="str">
        <f t="shared" si="88"/>
        <v>Dallas</v>
      </c>
      <c r="AE1025" s="42">
        <v>2022</v>
      </c>
      <c r="AK1025" s="42">
        <v>2</v>
      </c>
      <c r="AL1025" s="42">
        <v>4</v>
      </c>
      <c r="AW1025" s="89" t="str">
        <v>GROUP_STAGE</v>
      </c>
      <c r="BE1025" s="43" t="str">
        <f>IF(OR(DATA_CLEANED!AL1016="",DATA_CLEANED!AM1016=""),"MANQUANT",IF(OR(NOT(ISNUMBER(DATA_CLEANED!AL1016)),NOT(ISNUMBER(DATA_CLEANED!AM1016))),"ENTREE INVALIDE",IF(OR(DATA_CLEANED!AL1016&lt;0,DATA_CLEANED!AM1016&lt;0),"SCORE NEGATIF","OK")))</f>
        <v>OK</v>
      </c>
      <c r="BF1025" s="43" t="str">
        <f>IF(DATA_CLEANED!AK1016&lt;&gt;DATA_CLEANED!AN1016,"OK","ERREUR")</f>
        <v>OK</v>
      </c>
      <c r="BG1025" s="43" t="str">
        <f>IF(DATA_CLEANED!AL1016&gt;DATA_CLEANED!AM1016,DATA_CLEANED!AK1016,IF(AND(DATA_QUALITE!W5502="-",DATA_CLEANED!AM1016=DATA_CLEANED!AL1016),"MATCH NUL",IF(AND(DATA_QUALITE!V5502="-",DATA_QUALITE!U5502="AUCUNE"),DATA_QUALITE!T5502,IF(DATA_QUALITE!V5502&lt;&gt;"-",DATA_QUALITE!V5502,DATA_CLEANED!AN1016))))</f>
        <v>Ecuador</v>
      </c>
      <c r="BH1025" s="103" t="str">
        <f>IF(AND(BG1025="MATCH NUL",DATA_CLEANED!AO1016="-"),"MATCH_NUL",IF(ISNUMBER(SEARCH("win on penalties",W5502)),"WIN_BY_PENALTY",IF(ISNUMBER(SEARCH("win after extra time",W5502)),"WIN_BY_EXTRA_TIME",IF(ISNUMBER(SEARCH("Golden Goal",W5502)),"WIN_BY_GOLDEN_GOAL","WIN_BY_SCORE"))))</f>
        <v>WIN_BY_SCORE</v>
      </c>
      <c r="BI1025" s="99" t="str">
        <f>IF(OR(BG1025=DATA_CLEANED!AK1016,BG1025=DATA_CLEANED!AN1016,BG1025="MATCH NUL"),"OK","ERREUR")</f>
        <v>OK</v>
      </c>
    </row>
    <row r="1026" spans="2:61">
      <c r="B1026" s="75">
        <v>589</v>
      </c>
      <c r="C1026" s="15" t="str">
        <v>Mohamed Belhadj Mahmoud</v>
      </c>
      <c r="D1026" s="15">
        <v>26</v>
      </c>
      <c r="E1026" s="15" t="str">
        <v>Tunisia</v>
      </c>
      <c r="F1026" s="15" t="str">
        <v>CM</v>
      </c>
      <c r="G1026" s="15" t="str">
        <v>Lugano</v>
      </c>
      <c r="H1026" s="15">
        <v>15</v>
      </c>
      <c r="I1026" s="15" t="str">
        <f t="shared" si="89"/>
        <v>589|Mohamed Belhadj Mahmoud|26|Tunisia|CM|Lugano|15</v>
      </c>
      <c r="J1026" s="15" t="str">
        <f>IF(COUNTIF(I$438:I1026,I1026)&gt;1,"DOUBLON","OK")</f>
        <v>OK</v>
      </c>
      <c r="S1026" s="30" t="str">
        <v>Spain</v>
      </c>
      <c r="T1026" s="30" t="str">
        <f t="shared" si="90"/>
        <v>OK</v>
      </c>
      <c r="U1026" s="30" t="str">
        <f t="shared" si="91"/>
        <v>-</v>
      </c>
      <c r="V1026" s="30" t="str" cm="1">
        <f t="array" ref="V1026">_xlfn.IFS(
ISNUMBER(SEARCH("USA",S1026)),"United States",
ISNUMBER(SEARCH("Republic of Korea",S1026)),"South Korea",
ISNUMBER(SEARCH("Cape Verde",S1026)),"Cabo Verde",
ISNUMBER(SEARCH("Czechia",S1026)),"Czech Republic",
ISNUMBER(SEARCH("Türkiye",S1026)),"Turkey",
ISNUMBER(SEARCH("Ivory Coast",S1026)),"Côte d'Ivoire",
ISNUMBER(SEARCH("Korea Republic",S1026)),"South Korea",
ISNUMBER(SEARCH("Germany FR",S1026)),"FR Germany",
ISNUMBER(SEARCH("West Germany",S1026)),"FR Germany",
ISNUMBER(SEARCH("Germany DR",S1026)),"DR Germany",
ISNUMBER(SEARCH("Korea DPR",S1026)),"North Korea",
ISNUMBER(SEARCH("China PR",S1026)),"China",
ISNUMBER(SEARCH("IR Iran",S1026)),"Iran",
ISNUMBER(SEARCH("Congo DR",S1026)),"Democratic Republic of the Congo",
ISNUMBER(SEARCH("DR Congo",S1026)),"Democratic Republic of the Congo",
ISNUMBER(SEARCH("German DR",S1026)),"DR Germany",
ISNUMBER(SEARCH("rn""&gt;United Arab Emirates",S1026)),"United Arab Emirates",
ISNUMBER(SEARCH("rn""&gt;Republic of Ireland",S1026)),"Ireland",
ISNUMBER(SEARCH("rn""&gt;Bosnia and Herzegovina",S1026)),"Bosnia and Herzegovina",
ISNUMBER(SEARCH("rn""&gt;Trinidad and Tobago",S1026)),"Trinidad and Tobago",
ISNUMBER(SEARCH("rn""&gt;Serbia and Montenegro",S1026)),"Serbia and Montenegro",
ISNUMBER(SEARCH(_xlfn.UNICHAR(65533),S1026)),"Côte d'Ivoire",
TRUE,""
)</f>
        <v/>
      </c>
      <c r="W1026" s="30" t="str">
        <f t="shared" si="87"/>
        <v>Spain</v>
      </c>
      <c r="Z1026" s="40" t="str">
        <v>Toronto Stadium</v>
      </c>
      <c r="AA1026" s="40" t="str" cm="1">
        <f t="array" ref="AA1026">IFERROR(_xlfn.XLOOKUP(Z1026,_xlfn.ANCHORARRAY(Z$31),AA$31:AA$37),Z1026)</f>
        <v>Toronto Stadium</v>
      </c>
      <c r="AB1026" s="42" t="str">
        <v>Toronto</v>
      </c>
      <c r="AC1026" s="89" t="str">
        <f t="shared" si="88"/>
        <v>Toronto</v>
      </c>
      <c r="AE1026" s="42">
        <v>2022</v>
      </c>
      <c r="AK1026" s="42">
        <v>2</v>
      </c>
      <c r="AL1026" s="42">
        <v>1</v>
      </c>
      <c r="AW1026" s="89" t="str">
        <v>GROUP_STAGE</v>
      </c>
      <c r="BE1026" s="43" t="str">
        <f>IF(OR(DATA_CLEANED!AL1017="",DATA_CLEANED!AM1017=""),"MANQUANT",IF(OR(NOT(ISNUMBER(DATA_CLEANED!AL1017)),NOT(ISNUMBER(DATA_CLEANED!AM1017))),"ENTREE INVALIDE",IF(OR(DATA_CLEANED!AL1017&lt;0,DATA_CLEANED!AM1017&lt;0),"SCORE NEGATIF","OK")))</f>
        <v>OK</v>
      </c>
      <c r="BF1026" s="43" t="str">
        <f>IF(DATA_CLEANED!AK1017&lt;&gt;DATA_CLEANED!AN1017,"OK","ERREUR")</f>
        <v>OK</v>
      </c>
      <c r="BG1026" s="43" t="str">
        <f>IF(DATA_CLEANED!AL1017&gt;DATA_CLEANED!AM1017,DATA_CLEANED!AK1017,IF(AND(DATA_QUALITE!W5503="-",DATA_CLEANED!AM1017=DATA_CLEANED!AL1017),"MATCH NUL",IF(AND(DATA_QUALITE!V5503="-",DATA_QUALITE!U5503="AUCUNE"),DATA_QUALITE!T5503,IF(DATA_QUALITE!V5503&lt;&gt;"-",DATA_QUALITE!V5503,DATA_CLEANED!AN1017))))</f>
        <v>Netherlands</v>
      </c>
      <c r="BH1026" s="103" t="str">
        <f>IF(AND(BG1026="MATCH NUL",DATA_CLEANED!AO1017="-"),"MATCH_NUL",IF(ISNUMBER(SEARCH("win on penalties",W5503)),"WIN_BY_PENALTY",IF(ISNUMBER(SEARCH("win after extra time",W5503)),"WIN_BY_EXTRA_TIME",IF(ISNUMBER(SEARCH("Golden Goal",W5503)),"WIN_BY_GOLDEN_GOAL","WIN_BY_SCORE"))))</f>
        <v>WIN_BY_SCORE</v>
      </c>
      <c r="BI1026" s="99" t="str">
        <f>IF(OR(BG1026=DATA_CLEANED!AK1017,BG1026=DATA_CLEANED!AN1017,BG1026="MATCH NUL"),"OK","ERREUR")</f>
        <v>OK</v>
      </c>
    </row>
    <row r="1027" spans="2:61">
      <c r="B1027" s="75">
        <v>590</v>
      </c>
      <c r="C1027" s="15" t="str">
        <v>Anis Ben Slimane</v>
      </c>
      <c r="D1027" s="15">
        <v>25</v>
      </c>
      <c r="E1027" s="15" t="str">
        <v>Tunisia</v>
      </c>
      <c r="F1027" s="15" t="str">
        <v>CM</v>
      </c>
      <c r="G1027" s="15" t="str">
        <v>Norwich City</v>
      </c>
      <c r="H1027" s="15">
        <v>25</v>
      </c>
      <c r="I1027" s="15" t="str">
        <f t="shared" si="89"/>
        <v>590|Anis Ben Slimane|25|Tunisia|CM|Norwich City|25</v>
      </c>
      <c r="J1027" s="15" t="str">
        <f>IF(COUNTIF(I$438:I1027,I1027)&gt;1,"DOUBLON","OK")</f>
        <v>OK</v>
      </c>
      <c r="S1027" s="30" t="str">
        <v>Russia</v>
      </c>
      <c r="T1027" s="30" t="str">
        <f t="shared" si="90"/>
        <v>OK</v>
      </c>
      <c r="U1027" s="30" t="str">
        <f t="shared" si="91"/>
        <v>-</v>
      </c>
      <c r="V1027" s="30" t="str" cm="1">
        <f t="array" ref="V1027">_xlfn.IFS(
ISNUMBER(SEARCH("USA",S1027)),"United States",
ISNUMBER(SEARCH("Republic of Korea",S1027)),"South Korea",
ISNUMBER(SEARCH("Cape Verde",S1027)),"Cabo Verde",
ISNUMBER(SEARCH("Czechia",S1027)),"Czech Republic",
ISNUMBER(SEARCH("Türkiye",S1027)),"Turkey",
ISNUMBER(SEARCH("Ivory Coast",S1027)),"Côte d'Ivoire",
ISNUMBER(SEARCH("Korea Republic",S1027)),"South Korea",
ISNUMBER(SEARCH("Germany FR",S1027)),"FR Germany",
ISNUMBER(SEARCH("West Germany",S1027)),"FR Germany",
ISNUMBER(SEARCH("Germany DR",S1027)),"DR Germany",
ISNUMBER(SEARCH("Korea DPR",S1027)),"North Korea",
ISNUMBER(SEARCH("China PR",S1027)),"China",
ISNUMBER(SEARCH("IR Iran",S1027)),"Iran",
ISNUMBER(SEARCH("Congo DR",S1027)),"Democratic Republic of the Congo",
ISNUMBER(SEARCH("DR Congo",S1027)),"Democratic Republic of the Congo",
ISNUMBER(SEARCH("German DR",S1027)),"DR Germany",
ISNUMBER(SEARCH("rn""&gt;United Arab Emirates",S1027)),"United Arab Emirates",
ISNUMBER(SEARCH("rn""&gt;Republic of Ireland",S1027)),"Ireland",
ISNUMBER(SEARCH("rn""&gt;Bosnia and Herzegovina",S1027)),"Bosnia and Herzegovina",
ISNUMBER(SEARCH("rn""&gt;Trinidad and Tobago",S1027)),"Trinidad and Tobago",
ISNUMBER(SEARCH("rn""&gt;Serbia and Montenegro",S1027)),"Serbia and Montenegro",
ISNUMBER(SEARCH(_xlfn.UNICHAR(65533),S1027)),"Côte d'Ivoire",
TRUE,""
)</f>
        <v/>
      </c>
      <c r="W1027" s="30" t="str">
        <f t="shared" si="87"/>
        <v>Russia</v>
      </c>
      <c r="Z1027" s="40" t="str">
        <v>Mexico City Stadium</v>
      </c>
      <c r="AA1027" s="40" t="str" cm="1">
        <f t="array" ref="AA1027">IFERROR(_xlfn.XLOOKUP(Z1027,_xlfn.ANCHORARRAY(Z$31),AA$31:AA$37),Z1027)</f>
        <v>Mexico City Stadium</v>
      </c>
      <c r="AB1027" s="42" t="str">
        <v>Mexico City</v>
      </c>
      <c r="AC1027" s="89" t="str">
        <f t="shared" si="88"/>
        <v>Mexico City</v>
      </c>
      <c r="AE1027" s="42">
        <v>2022</v>
      </c>
      <c r="AK1027" s="42">
        <v>0</v>
      </c>
      <c r="AL1027" s="42">
        <v>2</v>
      </c>
      <c r="AW1027" s="89" t="str">
        <v>GROUP_STAGE</v>
      </c>
      <c r="BE1027" s="43" t="str">
        <f>IF(OR(DATA_CLEANED!AL1018="",DATA_CLEANED!AM1018=""),"MANQUANT",IF(OR(NOT(ISNUMBER(DATA_CLEANED!AL1018)),NOT(ISNUMBER(DATA_CLEANED!AM1018))),"ENTREE INVALIDE",IF(OR(DATA_CLEANED!AL1018&lt;0,DATA_CLEANED!AM1018&lt;0),"SCORE NEGATIF","OK")))</f>
        <v>OK</v>
      </c>
      <c r="BF1027" s="43" t="str">
        <f>IF(DATA_CLEANED!AK1018&lt;&gt;DATA_CLEANED!AN1018,"OK","ERREUR")</f>
        <v>OK</v>
      </c>
      <c r="BG1027" s="43" t="str">
        <f>IF(DATA_CLEANED!AL1018&gt;DATA_CLEANED!AM1018,DATA_CLEANED!AK1018,IF(AND(DATA_QUALITE!W5504="-",DATA_CLEANED!AM1018=DATA_CLEANED!AL1018),"MATCH NUL",IF(AND(DATA_QUALITE!V5504="-",DATA_QUALITE!U5504="AUCUNE"),DATA_QUALITE!T5504,IF(DATA_QUALITE!V5504&lt;&gt;"-",DATA_QUALITE!V5504,DATA_CLEANED!AN1018))))</f>
        <v>MATCH NUL</v>
      </c>
      <c r="BH1027" s="103" t="str">
        <f>IF(AND(BG1027="MATCH NUL",DATA_CLEANED!AO1018="-"),"MATCH_NUL",IF(ISNUMBER(SEARCH("win on penalties",W5504)),"WIN_BY_PENALTY",IF(ISNUMBER(SEARCH("win after extra time",W5504)),"WIN_BY_EXTRA_TIME",IF(ISNUMBER(SEARCH("Golden Goal",W5504)),"WIN_BY_GOLDEN_GOAL","WIN_BY_SCORE"))))</f>
        <v>MATCH_NUL</v>
      </c>
      <c r="BI1027" s="99" t="str">
        <f>IF(OR(BG1027=DATA_CLEANED!AK1018,BG1027=DATA_CLEANED!AN1018,BG1027="MATCH NUL"),"OK","ERREUR")</f>
        <v>OK</v>
      </c>
    </row>
    <row r="1028" spans="2:61">
      <c r="B1028" s="75">
        <v>591</v>
      </c>
      <c r="C1028" s="15" t="str">
        <v>Hannibal Mejbri</v>
      </c>
      <c r="D1028" s="15">
        <v>23</v>
      </c>
      <c r="E1028" s="15" t="str">
        <v>Tunisia</v>
      </c>
      <c r="F1028" s="15" t="str">
        <v>CAM</v>
      </c>
      <c r="G1028" s="15" t="str">
        <v>Burnley</v>
      </c>
      <c r="H1028" s="15">
        <v>10</v>
      </c>
      <c r="I1028" s="15" t="str">
        <f t="shared" si="89"/>
        <v>591|Hannibal Mejbri|23|Tunisia|CAM|Burnley|10</v>
      </c>
      <c r="J1028" s="15" t="str">
        <f>IF(COUNTIF(I$438:I1028,I1028)&gt;1,"DOUBLON","OK")</f>
        <v>OK</v>
      </c>
      <c r="S1028" s="30" t="str">
        <v>Spain</v>
      </c>
      <c r="T1028" s="30" t="str">
        <f t="shared" si="90"/>
        <v>OK</v>
      </c>
      <c r="U1028" s="30" t="str">
        <f t="shared" si="91"/>
        <v>-</v>
      </c>
      <c r="V1028" s="30" t="str" cm="1">
        <f t="array" ref="V1028">_xlfn.IFS(
ISNUMBER(SEARCH("USA",S1028)),"United States",
ISNUMBER(SEARCH("Republic of Korea",S1028)),"South Korea",
ISNUMBER(SEARCH("Cape Verde",S1028)),"Cabo Verde",
ISNUMBER(SEARCH("Czechia",S1028)),"Czech Republic",
ISNUMBER(SEARCH("Türkiye",S1028)),"Turkey",
ISNUMBER(SEARCH("Ivory Coast",S1028)),"Côte d'Ivoire",
ISNUMBER(SEARCH("Korea Republic",S1028)),"South Korea",
ISNUMBER(SEARCH("Germany FR",S1028)),"FR Germany",
ISNUMBER(SEARCH("West Germany",S1028)),"FR Germany",
ISNUMBER(SEARCH("Germany DR",S1028)),"DR Germany",
ISNUMBER(SEARCH("Korea DPR",S1028)),"North Korea",
ISNUMBER(SEARCH("China PR",S1028)),"China",
ISNUMBER(SEARCH("IR Iran",S1028)),"Iran",
ISNUMBER(SEARCH("Congo DR",S1028)),"Democratic Republic of the Congo",
ISNUMBER(SEARCH("DR Congo",S1028)),"Democratic Republic of the Congo",
ISNUMBER(SEARCH("German DR",S1028)),"DR Germany",
ISNUMBER(SEARCH("rn""&gt;United Arab Emirates",S1028)),"United Arab Emirates",
ISNUMBER(SEARCH("rn""&gt;Republic of Ireland",S1028)),"Ireland",
ISNUMBER(SEARCH("rn""&gt;Bosnia and Herzegovina",S1028)),"Bosnia and Herzegovina",
ISNUMBER(SEARCH("rn""&gt;Trinidad and Tobago",S1028)),"Trinidad and Tobago",
ISNUMBER(SEARCH("rn""&gt;Serbia and Montenegro",S1028)),"Serbia and Montenegro",
ISNUMBER(SEARCH(_xlfn.UNICHAR(65533),S1028)),"Côte d'Ivoire",
TRUE,""
)</f>
        <v/>
      </c>
      <c r="W1028" s="30" t="str">
        <f t="shared" si="87"/>
        <v>Spain</v>
      </c>
      <c r="Z1028" s="40" t="str">
        <v>Atlanta Stadium</v>
      </c>
      <c r="AA1028" s="40" t="str" cm="1">
        <f t="array" ref="AA1028">IFERROR(_xlfn.XLOOKUP(Z1028,_xlfn.ANCHORARRAY(Z$31),AA$31:AA$37),Z1028)</f>
        <v>Atlanta Stadium</v>
      </c>
      <c r="AB1028" s="42" t="str">
        <v>Atlanta</v>
      </c>
      <c r="AC1028" s="89" t="str">
        <f t="shared" si="88"/>
        <v>Atlanta</v>
      </c>
      <c r="AE1028" s="42">
        <v>2022</v>
      </c>
      <c r="AK1028" s="42">
        <v>2</v>
      </c>
      <c r="AL1028" s="42">
        <v>1</v>
      </c>
      <c r="AW1028" s="89" t="str">
        <v>GROUP_STAGE</v>
      </c>
      <c r="BE1028" s="43" t="str">
        <f>IF(OR(DATA_CLEANED!AL1019="",DATA_CLEANED!AM1019=""),"MANQUANT",IF(OR(NOT(ISNUMBER(DATA_CLEANED!AL1019)),NOT(ISNUMBER(DATA_CLEANED!AM1019))),"ENTREE INVALIDE",IF(OR(DATA_CLEANED!AL1019&lt;0,DATA_CLEANED!AM1019&lt;0),"SCORE NEGATIF","OK")))</f>
        <v>OK</v>
      </c>
      <c r="BF1028" s="43" t="str">
        <f>IF(DATA_CLEANED!AK1019&lt;&gt;DATA_CLEANED!AN1019,"OK","ERREUR")</f>
        <v>OK</v>
      </c>
      <c r="BG1028" s="43" t="str">
        <f>IF(DATA_CLEANED!AL1019&gt;DATA_CLEANED!AM1019,DATA_CLEANED!AK1019,IF(AND(DATA_QUALITE!W5505="-",DATA_CLEANED!AM1019=DATA_CLEANED!AL1019),"MATCH NUL",IF(AND(DATA_QUALITE!V5505="-",DATA_QUALITE!U5505="AUCUNE"),DATA_QUALITE!T5505,IF(DATA_QUALITE!V5505&lt;&gt;"-",DATA_QUALITE!V5505,DATA_CLEANED!AN1019))))</f>
        <v>Turkey</v>
      </c>
      <c r="BH1028" s="103" t="str">
        <f>IF(AND(BG1028="MATCH NUL",DATA_CLEANED!AO1019="-"),"MATCH_NUL",IF(ISNUMBER(SEARCH("win on penalties",W5505)),"WIN_BY_PENALTY",IF(ISNUMBER(SEARCH("win after extra time",W5505)),"WIN_BY_EXTRA_TIME",IF(ISNUMBER(SEARCH("Golden Goal",W5505)),"WIN_BY_GOLDEN_GOAL","WIN_BY_SCORE"))))</f>
        <v>WIN_BY_SCORE</v>
      </c>
      <c r="BI1028" s="99" t="str">
        <f>IF(OR(BG1028=DATA_CLEANED!AK1019,BG1028=DATA_CLEANED!AN1019,BG1028="MATCH NUL"),"OK","ERREUR")</f>
        <v>OK</v>
      </c>
    </row>
    <row r="1029" spans="2:61">
      <c r="B1029" s="75">
        <v>592</v>
      </c>
      <c r="C1029" s="15" t="str">
        <v>Ismaël Gharbi</v>
      </c>
      <c r="D1029" s="15">
        <v>22</v>
      </c>
      <c r="E1029" s="15" t="str">
        <v>Tunisia</v>
      </c>
      <c r="F1029" s="15" t="str">
        <v>CAM</v>
      </c>
      <c r="G1029" s="15" t="str">
        <v>FC Augsburg</v>
      </c>
      <c r="H1029" s="15">
        <v>11</v>
      </c>
      <c r="I1029" s="15" t="str">
        <f t="shared" si="89"/>
        <v>592|Ismaël Gharbi|22|Tunisia|CAM|FC Augsburg|11</v>
      </c>
      <c r="J1029" s="15" t="str">
        <f>IF(COUNTIF(I$438:I1029,I1029)&gt;1,"DOUBLON","OK")</f>
        <v>OK</v>
      </c>
      <c r="S1029" s="30" t="str">
        <v>Russia</v>
      </c>
      <c r="T1029" s="30" t="str">
        <f t="shared" si="90"/>
        <v>OK</v>
      </c>
      <c r="U1029" s="30" t="str">
        <f t="shared" si="91"/>
        <v>-</v>
      </c>
      <c r="V1029" s="30" t="str" cm="1">
        <f t="array" ref="V1029">_xlfn.IFS(
ISNUMBER(SEARCH("USA",S1029)),"United States",
ISNUMBER(SEARCH("Republic of Korea",S1029)),"South Korea",
ISNUMBER(SEARCH("Cape Verde",S1029)),"Cabo Verde",
ISNUMBER(SEARCH("Czechia",S1029)),"Czech Republic",
ISNUMBER(SEARCH("Türkiye",S1029)),"Turkey",
ISNUMBER(SEARCH("Ivory Coast",S1029)),"Côte d'Ivoire",
ISNUMBER(SEARCH("Korea Republic",S1029)),"South Korea",
ISNUMBER(SEARCH("Germany FR",S1029)),"FR Germany",
ISNUMBER(SEARCH("West Germany",S1029)),"FR Germany",
ISNUMBER(SEARCH("Germany DR",S1029)),"DR Germany",
ISNUMBER(SEARCH("Korea DPR",S1029)),"North Korea",
ISNUMBER(SEARCH("China PR",S1029)),"China",
ISNUMBER(SEARCH("IR Iran",S1029)),"Iran",
ISNUMBER(SEARCH("Congo DR",S1029)),"Democratic Republic of the Congo",
ISNUMBER(SEARCH("DR Congo",S1029)),"Democratic Republic of the Congo",
ISNUMBER(SEARCH("German DR",S1029)),"DR Germany",
ISNUMBER(SEARCH("rn""&gt;United Arab Emirates",S1029)),"United Arab Emirates",
ISNUMBER(SEARCH("rn""&gt;Republic of Ireland",S1029)),"Ireland",
ISNUMBER(SEARCH("rn""&gt;Bosnia and Herzegovina",S1029)),"Bosnia and Herzegovina",
ISNUMBER(SEARCH("rn""&gt;Trinidad and Tobago",S1029)),"Trinidad and Tobago",
ISNUMBER(SEARCH("rn""&gt;Serbia and Montenegro",S1029)),"Serbia and Montenegro",
ISNUMBER(SEARCH(_xlfn.UNICHAR(65533),S1029)),"Côte d'Ivoire",
TRUE,""
)</f>
        <v/>
      </c>
      <c r="W1029" s="30" t="str">
        <f t="shared" si="87"/>
        <v>Russia</v>
      </c>
      <c r="Z1029" s="40" t="str">
        <v>Los Angeles Stadium</v>
      </c>
      <c r="AA1029" s="40" t="str" cm="1">
        <f t="array" ref="AA1029">IFERROR(_xlfn.XLOOKUP(Z1029,_xlfn.ANCHORARRAY(Z$31),AA$31:AA$37),Z1029)</f>
        <v>Los Angeles Stadium</v>
      </c>
      <c r="AB1029" s="42" t="str">
        <v>Los Angeles</v>
      </c>
      <c r="AC1029" s="89" t="str">
        <f t="shared" si="88"/>
        <v>Los Angeles</v>
      </c>
      <c r="AE1029" s="42">
        <v>2022</v>
      </c>
      <c r="AK1029" s="42">
        <v>1</v>
      </c>
      <c r="AL1029" s="42">
        <v>0</v>
      </c>
      <c r="AW1029" s="89" t="str">
        <v>GROUP_STAGE</v>
      </c>
      <c r="BE1029" s="43" t="str">
        <f>IF(OR(DATA_CLEANED!AL1020="",DATA_CLEANED!AM1020=""),"MANQUANT",IF(OR(NOT(ISNUMBER(DATA_CLEANED!AL1020)),NOT(ISNUMBER(DATA_CLEANED!AM1020))),"ENTREE INVALIDE",IF(OR(DATA_CLEANED!AL1020&lt;0,DATA_CLEANED!AM1020&lt;0),"SCORE NEGATIF","OK")))</f>
        <v>OK</v>
      </c>
      <c r="BF1029" s="43" t="str">
        <f>IF(DATA_CLEANED!AK1020&lt;&gt;DATA_CLEANED!AN1020,"OK","ERREUR")</f>
        <v>OK</v>
      </c>
      <c r="BG1029" s="43" t="str">
        <f>IF(DATA_CLEANED!AL1020&gt;DATA_CLEANED!AM1020,DATA_CLEANED!AK1020,IF(AND(DATA_QUALITE!W5506="-",DATA_CLEANED!AM1020=DATA_CLEANED!AL1020),"MATCH NUL",IF(AND(DATA_QUALITE!V5506="-",DATA_QUALITE!U5506="AUCUNE"),DATA_QUALITE!T5506,IF(DATA_QUALITE!V5506&lt;&gt;"-",DATA_QUALITE!V5506,DATA_CLEANED!AN1020))))</f>
        <v>MATCH NUL</v>
      </c>
      <c r="BH1029" s="103" t="str">
        <f>IF(AND(BG1029="MATCH NUL",DATA_CLEANED!AO1020="-"),"MATCH_NUL",IF(ISNUMBER(SEARCH("win on penalties",W5506)),"WIN_BY_PENALTY",IF(ISNUMBER(SEARCH("win after extra time",W5506)),"WIN_BY_EXTRA_TIME",IF(ISNUMBER(SEARCH("Golden Goal",W5506)),"WIN_BY_GOLDEN_GOAL","WIN_BY_SCORE"))))</f>
        <v>MATCH_NUL</v>
      </c>
      <c r="BI1029" s="99" t="str">
        <f>IF(OR(BG1029=DATA_CLEANED!AK1020,BG1029=DATA_CLEANED!AN1020,BG1029="MATCH NUL"),"OK","ERREUR")</f>
        <v>OK</v>
      </c>
    </row>
    <row r="1030" spans="2:61">
      <c r="B1030" s="75">
        <v>593</v>
      </c>
      <c r="C1030" s="15" t="str">
        <v>Sebastian Tounekti</v>
      </c>
      <c r="D1030" s="15">
        <v>23</v>
      </c>
      <c r="E1030" s="15" t="str">
        <v>Tunisia</v>
      </c>
      <c r="F1030" s="15" t="str">
        <v>CAM</v>
      </c>
      <c r="G1030" s="15" t="str">
        <v>Celtic</v>
      </c>
      <c r="H1030" s="15">
        <v>26</v>
      </c>
      <c r="I1030" s="15" t="str">
        <f t="shared" si="89"/>
        <v>593|Sebastian Tounekti|23|Tunisia|CAM|Celtic|26</v>
      </c>
      <c r="J1030" s="15" t="str">
        <f>IF(COUNTIF(I$438:I1030,I1030)&gt;1,"DOUBLON","OK")</f>
        <v>OK</v>
      </c>
      <c r="S1030" s="30" t="str">
        <v>Spain</v>
      </c>
      <c r="T1030" s="30" t="str">
        <f t="shared" si="90"/>
        <v>OK</v>
      </c>
      <c r="U1030" s="30" t="str">
        <f t="shared" si="91"/>
        <v>-</v>
      </c>
      <c r="V1030" s="30" t="str" cm="1">
        <f t="array" ref="V1030">_xlfn.IFS(
ISNUMBER(SEARCH("USA",S1030)),"United States",
ISNUMBER(SEARCH("Republic of Korea",S1030)),"South Korea",
ISNUMBER(SEARCH("Cape Verde",S1030)),"Cabo Verde",
ISNUMBER(SEARCH("Czechia",S1030)),"Czech Republic",
ISNUMBER(SEARCH("Türkiye",S1030)),"Turkey",
ISNUMBER(SEARCH("Ivory Coast",S1030)),"Côte d'Ivoire",
ISNUMBER(SEARCH("Korea Republic",S1030)),"South Korea",
ISNUMBER(SEARCH("Germany FR",S1030)),"FR Germany",
ISNUMBER(SEARCH("West Germany",S1030)),"FR Germany",
ISNUMBER(SEARCH("Germany DR",S1030)),"DR Germany",
ISNUMBER(SEARCH("Korea DPR",S1030)),"North Korea",
ISNUMBER(SEARCH("China PR",S1030)),"China",
ISNUMBER(SEARCH("IR Iran",S1030)),"Iran",
ISNUMBER(SEARCH("Congo DR",S1030)),"Democratic Republic of the Congo",
ISNUMBER(SEARCH("DR Congo",S1030)),"Democratic Republic of the Congo",
ISNUMBER(SEARCH("German DR",S1030)),"DR Germany",
ISNUMBER(SEARCH("rn""&gt;United Arab Emirates",S1030)),"United Arab Emirates",
ISNUMBER(SEARCH("rn""&gt;Republic of Ireland",S1030)),"Ireland",
ISNUMBER(SEARCH("rn""&gt;Bosnia and Herzegovina",S1030)),"Bosnia and Herzegovina",
ISNUMBER(SEARCH("rn""&gt;Trinidad and Tobago",S1030)),"Trinidad and Tobago",
ISNUMBER(SEARCH("rn""&gt;Serbia and Montenegro",S1030)),"Serbia and Montenegro",
ISNUMBER(SEARCH(_xlfn.UNICHAR(65533),S1030)),"Côte d'Ivoire",
TRUE,""
)</f>
        <v/>
      </c>
      <c r="W1030" s="30" t="str">
        <f t="shared" si="87"/>
        <v>Spain</v>
      </c>
      <c r="Z1030" s="40" t="str">
        <v>BC Place Vancouver</v>
      </c>
      <c r="AA1030" s="40" t="str" cm="1">
        <f t="array" ref="AA1030">IFERROR(_xlfn.XLOOKUP(Z1030,_xlfn.ANCHORARRAY(Z$31),AA$31:AA$37),Z1030)</f>
        <v>BC Place Vancouver</v>
      </c>
      <c r="AB1030" s="42" t="str">
        <v>Vancouver</v>
      </c>
      <c r="AC1030" s="89" t="str">
        <f t="shared" si="88"/>
        <v>Vancouver</v>
      </c>
      <c r="AE1030" s="42">
        <v>2022</v>
      </c>
      <c r="AK1030" s="42">
        <v>2</v>
      </c>
      <c r="AL1030" s="42">
        <v>3</v>
      </c>
      <c r="AW1030" s="89" t="str">
        <v>GROUP_STAGE</v>
      </c>
      <c r="BE1030" s="43" t="str">
        <f>IF(OR(DATA_CLEANED!AL1021="",DATA_CLEANED!AM1021=""),"MANQUANT",IF(OR(NOT(ISNUMBER(DATA_CLEANED!AL1021)),NOT(ISNUMBER(DATA_CLEANED!AM1021))),"ENTREE INVALIDE",IF(OR(DATA_CLEANED!AL1021&lt;0,DATA_CLEANED!AM1021&lt;0),"SCORE NEGATIF","OK")))</f>
        <v>OK</v>
      </c>
      <c r="BF1030" s="43" t="str">
        <f>IF(DATA_CLEANED!AK1021&lt;&gt;DATA_CLEANED!AN1021,"OK","ERREUR")</f>
        <v>OK</v>
      </c>
      <c r="BG1030" s="43" t="str">
        <f>IF(DATA_CLEANED!AL1021&gt;DATA_CLEANED!AM1021,DATA_CLEANED!AK1021,IF(AND(DATA_QUALITE!W5507="-",DATA_CLEANED!AM1021=DATA_CLEANED!AL1021),"MATCH NUL",IF(AND(DATA_QUALITE!V5507="-",DATA_QUALITE!U5507="AUCUNE"),DATA_QUALITE!T5507,IF(DATA_QUALITE!V5507&lt;&gt;"-",DATA_QUALITE!V5507,DATA_CLEANED!AN1021))))</f>
        <v>France</v>
      </c>
      <c r="BH1030" s="103" t="str">
        <f>IF(AND(BG1030="MATCH NUL",DATA_CLEANED!AO1021="-"),"MATCH_NUL",IF(ISNUMBER(SEARCH("win on penalties",W5507)),"WIN_BY_PENALTY",IF(ISNUMBER(SEARCH("win after extra time",W5507)),"WIN_BY_EXTRA_TIME",IF(ISNUMBER(SEARCH("Golden Goal",W5507)),"WIN_BY_GOLDEN_GOAL","WIN_BY_SCORE"))))</f>
        <v>WIN_BY_SCORE</v>
      </c>
      <c r="BI1030" s="99" t="str">
        <f>IF(OR(BG1030=DATA_CLEANED!AK1021,BG1030=DATA_CLEANED!AN1021,BG1030="MATCH NUL"),"OK","ERREUR")</f>
        <v>OK</v>
      </c>
    </row>
    <row r="1031" spans="2:61">
      <c r="B1031" s="75">
        <v>594</v>
      </c>
      <c r="C1031" s="15" t="str">
        <v>Elias Achouri</v>
      </c>
      <c r="D1031" s="15">
        <v>27</v>
      </c>
      <c r="E1031" s="15" t="str">
        <v>Tunisia</v>
      </c>
      <c r="F1031" s="15" t="str">
        <v>LW</v>
      </c>
      <c r="G1031" s="15" t="str">
        <v>Copenhagen</v>
      </c>
      <c r="H1031" s="15">
        <v>7</v>
      </c>
      <c r="I1031" s="15" t="str">
        <f t="shared" si="89"/>
        <v>594|Elias Achouri|27|Tunisia|LW|Copenhagen|7</v>
      </c>
      <c r="J1031" s="15" t="str">
        <f>IF(COUNTIF(I$438:I1031,I1031)&gt;1,"DOUBLON","OK")</f>
        <v>OK</v>
      </c>
      <c r="S1031" s="30" t="str">
        <v>Russia</v>
      </c>
      <c r="T1031" s="30" t="str">
        <f t="shared" si="90"/>
        <v>OK</v>
      </c>
      <c r="U1031" s="30" t="str">
        <f t="shared" si="91"/>
        <v>-</v>
      </c>
      <c r="V1031" s="30" t="str" cm="1">
        <f t="array" ref="V1031">_xlfn.IFS(
ISNUMBER(SEARCH("USA",S1031)),"United States",
ISNUMBER(SEARCH("Republic of Korea",S1031)),"South Korea",
ISNUMBER(SEARCH("Cape Verde",S1031)),"Cabo Verde",
ISNUMBER(SEARCH("Czechia",S1031)),"Czech Republic",
ISNUMBER(SEARCH("Türkiye",S1031)),"Turkey",
ISNUMBER(SEARCH("Ivory Coast",S1031)),"Côte d'Ivoire",
ISNUMBER(SEARCH("Korea Republic",S1031)),"South Korea",
ISNUMBER(SEARCH("Germany FR",S1031)),"FR Germany",
ISNUMBER(SEARCH("West Germany",S1031)),"FR Germany",
ISNUMBER(SEARCH("Germany DR",S1031)),"DR Germany",
ISNUMBER(SEARCH("Korea DPR",S1031)),"North Korea",
ISNUMBER(SEARCH("China PR",S1031)),"China",
ISNUMBER(SEARCH("IR Iran",S1031)),"Iran",
ISNUMBER(SEARCH("Congo DR",S1031)),"Democratic Republic of the Congo",
ISNUMBER(SEARCH("DR Congo",S1031)),"Democratic Republic of the Congo",
ISNUMBER(SEARCH("German DR",S1031)),"DR Germany",
ISNUMBER(SEARCH("rn""&gt;United Arab Emirates",S1031)),"United Arab Emirates",
ISNUMBER(SEARCH("rn""&gt;Republic of Ireland",S1031)),"Ireland",
ISNUMBER(SEARCH("rn""&gt;Bosnia and Herzegovina",S1031)),"Bosnia and Herzegovina",
ISNUMBER(SEARCH("rn""&gt;Trinidad and Tobago",S1031)),"Trinidad and Tobago",
ISNUMBER(SEARCH("rn""&gt;Serbia and Montenegro",S1031)),"Serbia and Montenegro",
ISNUMBER(SEARCH(_xlfn.UNICHAR(65533),S1031)),"Côte d'Ivoire",
TRUE,""
)</f>
        <v/>
      </c>
      <c r="W1031" s="30" t="str">
        <f t="shared" si="87"/>
        <v>Russia</v>
      </c>
      <c r="Z1031" s="40" t="str">
        <v>Guadalajara Stadium</v>
      </c>
      <c r="AA1031" s="40" t="str" cm="1">
        <f t="array" ref="AA1031">IFERROR(_xlfn.XLOOKUP(Z1031,_xlfn.ANCHORARRAY(Z$31),AA$31:AA$37),Z1031)</f>
        <v>Guadalajara Stadium</v>
      </c>
      <c r="AB1031" s="42" t="str">
        <v>Guadalajara</v>
      </c>
      <c r="AC1031" s="89" t="str">
        <f t="shared" si="88"/>
        <v>Guadalajara</v>
      </c>
      <c r="AE1031" s="42">
        <v>2022</v>
      </c>
      <c r="AK1031" s="42">
        <v>3</v>
      </c>
      <c r="AL1031" s="42">
        <v>1</v>
      </c>
      <c r="AW1031" s="89" t="str">
        <v>GROUP_STAGE</v>
      </c>
      <c r="BE1031" s="43" t="str">
        <f>IF(OR(DATA_CLEANED!AL1022="",DATA_CLEANED!AM1022=""),"MANQUANT",IF(OR(NOT(ISNUMBER(DATA_CLEANED!AL1022)),NOT(ISNUMBER(DATA_CLEANED!AM1022))),"ENTREE INVALIDE",IF(OR(DATA_CLEANED!AL1022&lt;0,DATA_CLEANED!AM1022&lt;0),"SCORE NEGATIF","OK")))</f>
        <v>OK</v>
      </c>
      <c r="BF1031" s="43" t="str">
        <f>IF(DATA_CLEANED!AK1022&lt;&gt;DATA_CLEANED!AN1022,"OK","ERREUR")</f>
        <v>OK</v>
      </c>
      <c r="BG1031" s="43" t="str">
        <f>IF(DATA_CLEANED!AL1022&gt;DATA_CLEANED!AM1022,DATA_CLEANED!AK1022,IF(AND(DATA_QUALITE!W5508="-",DATA_CLEANED!AM1022=DATA_CLEANED!AL1022),"MATCH NUL",IF(AND(DATA_QUALITE!V5508="-",DATA_QUALITE!U5508="AUCUNE"),DATA_QUALITE!T5508,IF(DATA_QUALITE!V5508&lt;&gt;"-",DATA_QUALITE!V5508,DATA_CLEANED!AN1022))))</f>
        <v>Senegal</v>
      </c>
      <c r="BH1031" s="103" t="str">
        <f>IF(AND(BG1031="MATCH NUL",DATA_CLEANED!AO1022="-"),"MATCH_NUL",IF(ISNUMBER(SEARCH("win on penalties",W5508)),"WIN_BY_PENALTY",IF(ISNUMBER(SEARCH("win after extra time",W5508)),"WIN_BY_EXTRA_TIME",IF(ISNUMBER(SEARCH("Golden Goal",W5508)),"WIN_BY_GOLDEN_GOAL","WIN_BY_SCORE"))))</f>
        <v>WIN_BY_SCORE</v>
      </c>
      <c r="BI1031" s="99" t="str">
        <f>IF(OR(BG1031=DATA_CLEANED!AK1022,BG1031=DATA_CLEANED!AN1022,BG1031="MATCH NUL"),"OK","ERREUR")</f>
        <v>OK</v>
      </c>
    </row>
    <row r="1032" spans="2:61">
      <c r="B1032" s="75">
        <v>595</v>
      </c>
      <c r="C1032" s="15" t="str">
        <v>Elias Saad</v>
      </c>
      <c r="D1032" s="15">
        <v>26</v>
      </c>
      <c r="E1032" s="15" t="str">
        <v>Tunisia</v>
      </c>
      <c r="F1032" s="15" t="str">
        <v>LW</v>
      </c>
      <c r="G1032" s="15" t="str">
        <v>Hannover 96</v>
      </c>
      <c r="H1032" s="15">
        <v>8</v>
      </c>
      <c r="I1032" s="15" t="str">
        <f t="shared" si="89"/>
        <v>595|Elias Saad|26|Tunisia|LW|Hannover 96|8</v>
      </c>
      <c r="J1032" s="15" t="str">
        <f>IF(COUNTIF(I$438:I1032,I1032)&gt;1,"DOUBLON","OK")</f>
        <v>OK</v>
      </c>
      <c r="S1032" s="30" t="str">
        <v>Russia</v>
      </c>
      <c r="T1032" s="30" t="str">
        <f t="shared" si="90"/>
        <v>OK</v>
      </c>
      <c r="U1032" s="30" t="str">
        <f t="shared" si="91"/>
        <v>-</v>
      </c>
      <c r="V1032" s="30" t="str" cm="1">
        <f t="array" ref="V1032">_xlfn.IFS(
ISNUMBER(SEARCH("USA",S1032)),"United States",
ISNUMBER(SEARCH("Republic of Korea",S1032)),"South Korea",
ISNUMBER(SEARCH("Cape Verde",S1032)),"Cabo Verde",
ISNUMBER(SEARCH("Czechia",S1032)),"Czech Republic",
ISNUMBER(SEARCH("Türkiye",S1032)),"Turkey",
ISNUMBER(SEARCH("Ivory Coast",S1032)),"Côte d'Ivoire",
ISNUMBER(SEARCH("Korea Republic",S1032)),"South Korea",
ISNUMBER(SEARCH("Germany FR",S1032)),"FR Germany",
ISNUMBER(SEARCH("West Germany",S1032)),"FR Germany",
ISNUMBER(SEARCH("Germany DR",S1032)),"DR Germany",
ISNUMBER(SEARCH("Korea DPR",S1032)),"North Korea",
ISNUMBER(SEARCH("China PR",S1032)),"China",
ISNUMBER(SEARCH("IR Iran",S1032)),"Iran",
ISNUMBER(SEARCH("Congo DR",S1032)),"Democratic Republic of the Congo",
ISNUMBER(SEARCH("DR Congo",S1032)),"Democratic Republic of the Congo",
ISNUMBER(SEARCH("German DR",S1032)),"DR Germany",
ISNUMBER(SEARCH("rn""&gt;United Arab Emirates",S1032)),"United Arab Emirates",
ISNUMBER(SEARCH("rn""&gt;Republic of Ireland",S1032)),"Ireland",
ISNUMBER(SEARCH("rn""&gt;Bosnia and Herzegovina",S1032)),"Bosnia and Herzegovina",
ISNUMBER(SEARCH("rn""&gt;Trinidad and Tobago",S1032)),"Trinidad and Tobago",
ISNUMBER(SEARCH("rn""&gt;Serbia and Montenegro",S1032)),"Serbia and Montenegro",
ISNUMBER(SEARCH(_xlfn.UNICHAR(65533),S1032)),"Côte d'Ivoire",
TRUE,""
)</f>
        <v/>
      </c>
      <c r="W1032" s="30" t="str">
        <f t="shared" si="87"/>
        <v>Russia</v>
      </c>
      <c r="Z1032" s="40" t="str">
        <v>Seattle Stadium</v>
      </c>
      <c r="AA1032" s="40" t="str" cm="1">
        <f t="array" ref="AA1032">IFERROR(_xlfn.XLOOKUP(Z1032,_xlfn.ANCHORARRAY(Z$31),AA$31:AA$37),Z1032)</f>
        <v>Seattle Stadium</v>
      </c>
      <c r="AB1032" s="42" t="str">
        <v>Seattle</v>
      </c>
      <c r="AC1032" s="89" t="str">
        <f t="shared" si="88"/>
        <v>Seattle</v>
      </c>
      <c r="AE1032" s="42">
        <v>2022</v>
      </c>
      <c r="AK1032" s="42">
        <v>2</v>
      </c>
      <c r="AL1032" s="42">
        <v>1</v>
      </c>
      <c r="AW1032" s="89" t="str">
        <v>GROUP_STAGE</v>
      </c>
      <c r="BE1032" s="43" t="str">
        <f>IF(OR(DATA_CLEANED!AL1023="",DATA_CLEANED!AM1023=""),"MANQUANT",IF(OR(NOT(ISNUMBER(DATA_CLEANED!AL1023)),NOT(ISNUMBER(DATA_CLEANED!AM1023))),"ENTREE INVALIDE",IF(OR(DATA_CLEANED!AL1023&lt;0,DATA_CLEANED!AM1023&lt;0),"SCORE NEGATIF","OK")))</f>
        <v>OK</v>
      </c>
      <c r="BF1032" s="43" t="str">
        <f>IF(DATA_CLEANED!AK1023&lt;&gt;DATA_CLEANED!AN1023,"OK","ERREUR")</f>
        <v>OK</v>
      </c>
      <c r="BG1032" s="43" t="str">
        <f>IF(DATA_CLEANED!AL1023&gt;DATA_CLEANED!AM1023,DATA_CLEANED!AK1023,IF(AND(DATA_QUALITE!W5509="-",DATA_CLEANED!AM1023=DATA_CLEANED!AL1023),"MATCH NUL",IF(AND(DATA_QUALITE!V5509="-",DATA_QUALITE!U5509="AUCUNE"),DATA_QUALITE!T5509,IF(DATA_QUALITE!V5509&lt;&gt;"-",DATA_QUALITE!V5509,DATA_CLEANED!AN1023))))</f>
        <v>MATCH NUL</v>
      </c>
      <c r="BH1032" s="103" t="str">
        <f>IF(AND(BG1032="MATCH NUL",DATA_CLEANED!AO1023="-"),"MATCH_NUL",IF(ISNUMBER(SEARCH("win on penalties",W5509)),"WIN_BY_PENALTY",IF(ISNUMBER(SEARCH("win after extra time",W5509)),"WIN_BY_EXTRA_TIME",IF(ISNUMBER(SEARCH("Golden Goal",W5509)),"WIN_BY_GOLDEN_GOAL","WIN_BY_SCORE"))))</f>
        <v>MATCH_NUL</v>
      </c>
      <c r="BI1032" s="99" t="str">
        <f>IF(OR(BG1032=DATA_CLEANED!AK1023,BG1032=DATA_CLEANED!AN1023,BG1032="MATCH NUL"),"OK","ERREUR")</f>
        <v>OK</v>
      </c>
    </row>
    <row r="1033" spans="2:61">
      <c r="B1033" s="75">
        <v>596</v>
      </c>
      <c r="C1033" s="15" t="str">
        <v>Rayan Elloumi</v>
      </c>
      <c r="D1033" s="15">
        <v>18</v>
      </c>
      <c r="E1033" s="15" t="str">
        <v>Tunisia</v>
      </c>
      <c r="F1033" s="15" t="str">
        <v>RW</v>
      </c>
      <c r="G1033" s="15" t="str">
        <v>Vancouver Whitecaps FC</v>
      </c>
      <c r="H1033" s="15">
        <v>18</v>
      </c>
      <c r="I1033" s="15" t="str">
        <f t="shared" si="89"/>
        <v>596|Rayan Elloumi|18|Tunisia|RW|Vancouver Whitecaps FC|18</v>
      </c>
      <c r="J1033" s="15" t="str">
        <f>IF(COUNTIF(I$438:I1033,I1033)&gt;1,"DOUBLON","OK")</f>
        <v>OK</v>
      </c>
      <c r="S1033" s="30" t="str">
        <v>Croatia</v>
      </c>
      <c r="T1033" s="30" t="str">
        <f t="shared" si="90"/>
        <v>OK</v>
      </c>
      <c r="U1033" s="30" t="str">
        <f t="shared" si="91"/>
        <v>-</v>
      </c>
      <c r="V1033" s="30" t="str" cm="1">
        <f t="array" ref="V1033">_xlfn.IFS(
ISNUMBER(SEARCH("USA",S1033)),"United States",
ISNUMBER(SEARCH("Republic of Korea",S1033)),"South Korea",
ISNUMBER(SEARCH("Cape Verde",S1033)),"Cabo Verde",
ISNUMBER(SEARCH("Czechia",S1033)),"Czech Republic",
ISNUMBER(SEARCH("Türkiye",S1033)),"Turkey",
ISNUMBER(SEARCH("Ivory Coast",S1033)),"Côte d'Ivoire",
ISNUMBER(SEARCH("Korea Republic",S1033)),"South Korea",
ISNUMBER(SEARCH("Germany FR",S1033)),"FR Germany",
ISNUMBER(SEARCH("West Germany",S1033)),"FR Germany",
ISNUMBER(SEARCH("Germany DR",S1033)),"DR Germany",
ISNUMBER(SEARCH("Korea DPR",S1033)),"North Korea",
ISNUMBER(SEARCH("China PR",S1033)),"China",
ISNUMBER(SEARCH("IR Iran",S1033)),"Iran",
ISNUMBER(SEARCH("Congo DR",S1033)),"Democratic Republic of the Congo",
ISNUMBER(SEARCH("DR Congo",S1033)),"Democratic Republic of the Congo",
ISNUMBER(SEARCH("German DR",S1033)),"DR Germany",
ISNUMBER(SEARCH("rn""&gt;United Arab Emirates",S1033)),"United Arab Emirates",
ISNUMBER(SEARCH("rn""&gt;Republic of Ireland",S1033)),"Ireland",
ISNUMBER(SEARCH("rn""&gt;Bosnia and Herzegovina",S1033)),"Bosnia and Herzegovina",
ISNUMBER(SEARCH("rn""&gt;Trinidad and Tobago",S1033)),"Trinidad and Tobago",
ISNUMBER(SEARCH("rn""&gt;Serbia and Montenegro",S1033)),"Serbia and Montenegro",
ISNUMBER(SEARCH(_xlfn.UNICHAR(65533),S1033)),"Côte d'Ivoire",
TRUE,""
)</f>
        <v/>
      </c>
      <c r="W1033" s="30" t="str">
        <f t="shared" si="87"/>
        <v>Croatia</v>
      </c>
      <c r="Z1033" s="40" t="str">
        <v>Boston Stadium</v>
      </c>
      <c r="AA1033" s="40" t="str" cm="1">
        <f t="array" ref="AA1033">IFERROR(_xlfn.XLOOKUP(Z1033,_xlfn.ANCHORARRAY(Z$31),AA$31:AA$37),Z1033)</f>
        <v>Boston Stadium</v>
      </c>
      <c r="AB1033" s="42" t="str">
        <v>Boston</v>
      </c>
      <c r="AC1033" s="89" t="str">
        <f t="shared" si="88"/>
        <v>Boston</v>
      </c>
      <c r="AE1033" s="42">
        <v>2022</v>
      </c>
      <c r="AK1033" s="42">
        <v>3</v>
      </c>
      <c r="AL1033" s="42">
        <v>1</v>
      </c>
      <c r="AW1033" s="89" t="str">
        <v>GROUP_STAGE</v>
      </c>
      <c r="BE1033" s="43" t="str">
        <f>IF(OR(DATA_CLEANED!AL1024="",DATA_CLEANED!AM1024=""),"MANQUANT",IF(OR(NOT(ISNUMBER(DATA_CLEANED!AL1024)),NOT(ISNUMBER(DATA_CLEANED!AM1024))),"ENTREE INVALIDE",IF(OR(DATA_CLEANED!AL1024&lt;0,DATA_CLEANED!AM1024&lt;0),"SCORE NEGATIF","OK")))</f>
        <v>OK</v>
      </c>
      <c r="BF1033" s="43" t="str">
        <f>IF(DATA_CLEANED!AK1024&lt;&gt;DATA_CLEANED!AN1024,"OK","ERREUR")</f>
        <v>OK</v>
      </c>
      <c r="BG1033" s="43" t="str">
        <f>IF(DATA_CLEANED!AL1024&gt;DATA_CLEANED!AM1024,DATA_CLEANED!AK1024,IF(AND(DATA_QUALITE!W5510="-",DATA_CLEANED!AM1024=DATA_CLEANED!AL1024),"MATCH NUL",IF(AND(DATA_QUALITE!V5510="-",DATA_QUALITE!U5510="AUCUNE"),DATA_QUALITE!T5510,IF(DATA_QUALITE!V5510&lt;&gt;"-",DATA_QUALITE!V5510,DATA_CLEANED!AN1024))))</f>
        <v>Spain</v>
      </c>
      <c r="BH1033" s="103" t="str">
        <f>IF(AND(BG1033="MATCH NUL",DATA_CLEANED!AO1024="-"),"MATCH_NUL",IF(ISNUMBER(SEARCH("win on penalties",W5510)),"WIN_BY_PENALTY",IF(ISNUMBER(SEARCH("win after extra time",W5510)),"WIN_BY_EXTRA_TIME",IF(ISNUMBER(SEARCH("Golden Goal",W5510)),"WIN_BY_GOLDEN_GOAL","WIN_BY_SCORE"))))</f>
        <v>WIN_BY_SCORE</v>
      </c>
      <c r="BI1033" s="99" t="str">
        <f>IF(OR(BG1033=DATA_CLEANED!AK1024,BG1033=DATA_CLEANED!AN1024,BG1033="MATCH NUL"),"OK","ERREUR")</f>
        <v>OK</v>
      </c>
    </row>
    <row r="1034" spans="2:61">
      <c r="B1034" s="75">
        <v>597</v>
      </c>
      <c r="C1034" s="15" t="str">
        <v>Hazem Mastouri</v>
      </c>
      <c r="D1034" s="15">
        <v>28</v>
      </c>
      <c r="E1034" s="15" t="str">
        <v>Tunisia</v>
      </c>
      <c r="F1034" s="15" t="str">
        <v>ST</v>
      </c>
      <c r="G1034" s="15" t="str">
        <v>Dynamo Makhachkala</v>
      </c>
      <c r="H1034" s="15">
        <v>9</v>
      </c>
      <c r="I1034" s="15" t="str">
        <f t="shared" si="89"/>
        <v>597|Hazem Mastouri|28|Tunisia|ST|Dynamo Makhachkala|9</v>
      </c>
      <c r="J1034" s="15" t="str">
        <f>IF(COUNTIF(I$438:I1034,I1034)&gt;1,"DOUBLON","OK")</f>
        <v>OK</v>
      </c>
      <c r="S1034" s="30" t="str">
        <v>Russia</v>
      </c>
      <c r="T1034" s="30" t="str">
        <f t="shared" si="90"/>
        <v>OK</v>
      </c>
      <c r="U1034" s="30" t="str">
        <f t="shared" si="91"/>
        <v>-</v>
      </c>
      <c r="V1034" s="30" t="str" cm="1">
        <f t="array" ref="V1034">_xlfn.IFS(
ISNUMBER(SEARCH("USA",S1034)),"United States",
ISNUMBER(SEARCH("Republic of Korea",S1034)),"South Korea",
ISNUMBER(SEARCH("Cape Verde",S1034)),"Cabo Verde",
ISNUMBER(SEARCH("Czechia",S1034)),"Czech Republic",
ISNUMBER(SEARCH("Türkiye",S1034)),"Turkey",
ISNUMBER(SEARCH("Ivory Coast",S1034)),"Côte d'Ivoire",
ISNUMBER(SEARCH("Korea Republic",S1034)),"South Korea",
ISNUMBER(SEARCH("Germany FR",S1034)),"FR Germany",
ISNUMBER(SEARCH("West Germany",S1034)),"FR Germany",
ISNUMBER(SEARCH("Germany DR",S1034)),"DR Germany",
ISNUMBER(SEARCH("Korea DPR",S1034)),"North Korea",
ISNUMBER(SEARCH("China PR",S1034)),"China",
ISNUMBER(SEARCH("IR Iran",S1034)),"Iran",
ISNUMBER(SEARCH("Congo DR",S1034)),"Democratic Republic of the Congo",
ISNUMBER(SEARCH("DR Congo",S1034)),"Democratic Republic of the Congo",
ISNUMBER(SEARCH("German DR",S1034)),"DR Germany",
ISNUMBER(SEARCH("rn""&gt;United Arab Emirates",S1034)),"United Arab Emirates",
ISNUMBER(SEARCH("rn""&gt;Republic of Ireland",S1034)),"Ireland",
ISNUMBER(SEARCH("rn""&gt;Bosnia and Herzegovina",S1034)),"Bosnia and Herzegovina",
ISNUMBER(SEARCH("rn""&gt;Trinidad and Tobago",S1034)),"Trinidad and Tobago",
ISNUMBER(SEARCH("rn""&gt;Serbia and Montenegro",S1034)),"Serbia and Montenegro",
ISNUMBER(SEARCH(_xlfn.UNICHAR(65533),S1034)),"Côte d'Ivoire",
TRUE,""
)</f>
        <v/>
      </c>
      <c r="W1034" s="30" t="str">
        <f t="shared" si="87"/>
        <v>Russia</v>
      </c>
      <c r="Z1034" s="40" t="str">
        <v>Philadelphia Stadium</v>
      </c>
      <c r="AA1034" s="40" t="str" cm="1">
        <f t="array" ref="AA1034">IFERROR(_xlfn.XLOOKUP(Z1034,_xlfn.ANCHORARRAY(Z$31),AA$31:AA$37),Z1034)</f>
        <v>Philadelphia Stadium</v>
      </c>
      <c r="AB1034" s="42" t="str">
        <v>Philadelphia</v>
      </c>
      <c r="AC1034" s="89" t="str">
        <f t="shared" si="88"/>
        <v>Philadelphia</v>
      </c>
      <c r="AE1034" s="42">
        <v>2022</v>
      </c>
      <c r="AK1034" s="42">
        <v>3</v>
      </c>
      <c r="AL1034" s="42">
        <v>0</v>
      </c>
      <c r="AW1034" s="89" t="str">
        <v>GROUP_STAGE</v>
      </c>
      <c r="BE1034" s="43" t="str">
        <f>IF(OR(DATA_CLEANED!AL1025="",DATA_CLEANED!AM1025=""),"MANQUANT",IF(OR(NOT(ISNUMBER(DATA_CLEANED!AL1025)),NOT(ISNUMBER(DATA_CLEANED!AM1025))),"ENTREE INVALIDE",IF(OR(DATA_CLEANED!AL1025&lt;0,DATA_CLEANED!AM1025&lt;0),"SCORE NEGATIF","OK")))</f>
        <v>OK</v>
      </c>
      <c r="BF1034" s="43" t="str">
        <f>IF(DATA_CLEANED!AK1025&lt;&gt;DATA_CLEANED!AN1025,"OK","ERREUR")</f>
        <v>OK</v>
      </c>
      <c r="BG1034" s="43" t="str">
        <f>IF(DATA_CLEANED!AL1025&gt;DATA_CLEANED!AM1025,DATA_CLEANED!AK1025,IF(AND(DATA_QUALITE!W5511="-",DATA_CLEANED!AM1025=DATA_CLEANED!AL1025),"MATCH NUL",IF(AND(DATA_QUALITE!V5511="-",DATA_QUALITE!U5511="AUCUNE"),DATA_QUALITE!T5511,IF(DATA_QUALITE!V5511&lt;&gt;"-",DATA_QUALITE!V5511,DATA_CLEANED!AN1025))))</f>
        <v>Belgium</v>
      </c>
      <c r="BH1034" s="103" t="str">
        <f>IF(AND(BG1034="MATCH NUL",DATA_CLEANED!AO1025="-"),"MATCH_NUL",IF(ISNUMBER(SEARCH("win on penalties",W5511)),"WIN_BY_PENALTY",IF(ISNUMBER(SEARCH("win after extra time",W5511)),"WIN_BY_EXTRA_TIME",IF(ISNUMBER(SEARCH("Golden Goal",W5511)),"WIN_BY_GOLDEN_GOAL","WIN_BY_SCORE"))))</f>
        <v>WIN_BY_SCORE</v>
      </c>
      <c r="BI1034" s="99" t="str">
        <f>IF(OR(BG1034=DATA_CLEANED!AK1025,BG1034=DATA_CLEANED!AN1025,BG1034="MATCH NUL"),"OK","ERREUR")</f>
        <v>OK</v>
      </c>
    </row>
    <row r="1035" spans="2:61">
      <c r="B1035" s="75">
        <v>598</v>
      </c>
      <c r="C1035" s="15" t="str">
        <v>Firas Chaouat</v>
      </c>
      <c r="D1035" s="15">
        <v>30</v>
      </c>
      <c r="E1035" s="15" t="str">
        <v>Tunisia</v>
      </c>
      <c r="F1035" s="15" t="str">
        <v>ST</v>
      </c>
      <c r="G1035" s="15" t="str">
        <v>Club Africain</v>
      </c>
      <c r="H1035" s="15">
        <v>19</v>
      </c>
      <c r="I1035" s="15" t="str">
        <f t="shared" si="89"/>
        <v>598|Firas Chaouat|30|Tunisia|ST|Club Africain|19</v>
      </c>
      <c r="J1035" s="15" t="str">
        <f>IF(COUNTIF(I$438:I1035,I1035)&gt;1,"DOUBLON","OK")</f>
        <v>OK</v>
      </c>
      <c r="S1035" s="30" t="str">
        <v>Croatia</v>
      </c>
      <c r="T1035" s="30" t="str">
        <f t="shared" si="90"/>
        <v>OK</v>
      </c>
      <c r="U1035" s="30" t="str">
        <f t="shared" si="91"/>
        <v>-</v>
      </c>
      <c r="V1035" s="30" t="str" cm="1">
        <f t="array" ref="V1035">_xlfn.IFS(
ISNUMBER(SEARCH("USA",S1035)),"United States",
ISNUMBER(SEARCH("Republic of Korea",S1035)),"South Korea",
ISNUMBER(SEARCH("Cape Verde",S1035)),"Cabo Verde",
ISNUMBER(SEARCH("Czechia",S1035)),"Czech Republic",
ISNUMBER(SEARCH("Türkiye",S1035)),"Turkey",
ISNUMBER(SEARCH("Ivory Coast",S1035)),"Côte d'Ivoire",
ISNUMBER(SEARCH("Korea Republic",S1035)),"South Korea",
ISNUMBER(SEARCH("Germany FR",S1035)),"FR Germany",
ISNUMBER(SEARCH("West Germany",S1035)),"FR Germany",
ISNUMBER(SEARCH("Germany DR",S1035)),"DR Germany",
ISNUMBER(SEARCH("Korea DPR",S1035)),"North Korea",
ISNUMBER(SEARCH("China PR",S1035)),"China",
ISNUMBER(SEARCH("IR Iran",S1035)),"Iran",
ISNUMBER(SEARCH("Congo DR",S1035)),"Democratic Republic of the Congo",
ISNUMBER(SEARCH("DR Congo",S1035)),"Democratic Republic of the Congo",
ISNUMBER(SEARCH("German DR",S1035)),"DR Germany",
ISNUMBER(SEARCH("rn""&gt;United Arab Emirates",S1035)),"United Arab Emirates",
ISNUMBER(SEARCH("rn""&gt;Republic of Ireland",S1035)),"Ireland",
ISNUMBER(SEARCH("rn""&gt;Bosnia and Herzegovina",S1035)),"Bosnia and Herzegovina",
ISNUMBER(SEARCH("rn""&gt;Trinidad and Tobago",S1035)),"Trinidad and Tobago",
ISNUMBER(SEARCH("rn""&gt;Serbia and Montenegro",S1035)),"Serbia and Montenegro",
ISNUMBER(SEARCH(_xlfn.UNICHAR(65533),S1035)),"Côte d'Ivoire",
TRUE,""
)</f>
        <v/>
      </c>
      <c r="W1035" s="30" t="str">
        <f t="shared" si="87"/>
        <v>Croatia</v>
      </c>
      <c r="Z1035" s="40" t="str">
        <v>Santa Clara Stadium</v>
      </c>
      <c r="AA1035" s="40" t="str" cm="1">
        <f t="array" ref="AA1035">IFERROR(_xlfn.XLOOKUP(Z1035,_xlfn.ANCHORARRAY(Z$31),AA$31:AA$37),Z1035)</f>
        <v>Santa Clara Stadium</v>
      </c>
      <c r="AB1035" s="42" t="str">
        <v>Santa Clara</v>
      </c>
      <c r="AC1035" s="89" t="str">
        <f t="shared" si="88"/>
        <v>Santa Clara</v>
      </c>
      <c r="AE1035" s="42">
        <v>2022</v>
      </c>
      <c r="AK1035" s="42">
        <v>1</v>
      </c>
      <c r="AL1035" s="42">
        <v>1</v>
      </c>
      <c r="AW1035" s="89" t="str">
        <v>GROUP_STAGE</v>
      </c>
      <c r="BE1035" s="43" t="str">
        <f>IF(OR(DATA_CLEANED!AL1026="",DATA_CLEANED!AM1026=""),"MANQUANT",IF(OR(NOT(ISNUMBER(DATA_CLEANED!AL1026)),NOT(ISNUMBER(DATA_CLEANED!AM1026))),"ENTREE INVALIDE",IF(OR(DATA_CLEANED!AL1026&lt;0,DATA_CLEANED!AM1026&lt;0),"SCORE NEGATIF","OK")))</f>
        <v>OK</v>
      </c>
      <c r="BF1035" s="43" t="str">
        <f>IF(DATA_CLEANED!AK1026&lt;&gt;DATA_CLEANED!AN1026,"OK","ERREUR")</f>
        <v>OK</v>
      </c>
      <c r="BG1035" s="43" t="str">
        <f>IF(DATA_CLEANED!AL1026&gt;DATA_CLEANED!AM1026,DATA_CLEANED!AK1026,IF(AND(DATA_QUALITE!W5512="-",DATA_CLEANED!AM1026=DATA_CLEANED!AL1026),"MATCH NUL",IF(AND(DATA_QUALITE!V5512="-",DATA_QUALITE!U5512="AUCUNE"),DATA_QUALITE!T5512,IF(DATA_QUALITE!V5512&lt;&gt;"-",DATA_QUALITE!V5512,DATA_CLEANED!AN1026))))</f>
        <v>MATCH NUL</v>
      </c>
      <c r="BH1035" s="103" t="str">
        <f>IF(AND(BG1035="MATCH NUL",DATA_CLEANED!AO1026="-"),"MATCH_NUL",IF(ISNUMBER(SEARCH("win on penalties",W5512)),"WIN_BY_PENALTY",IF(ISNUMBER(SEARCH("win after extra time",W5512)),"WIN_BY_EXTRA_TIME",IF(ISNUMBER(SEARCH("Golden Goal",W5512)),"WIN_BY_GOLDEN_GOAL","WIN_BY_SCORE"))))</f>
        <v>MATCH_NUL</v>
      </c>
      <c r="BI1035" s="99" t="str">
        <f>IF(OR(BG1035=DATA_CLEANED!AK1026,BG1035=DATA_CLEANED!AN1026,BG1035="MATCH NUL"),"OK","ERREUR")</f>
        <v>OK</v>
      </c>
    </row>
    <row r="1036" spans="2:61">
      <c r="B1036" s="75">
        <v>599</v>
      </c>
      <c r="C1036" s="15" t="str">
        <v>Jacob Widell Zetterström</v>
      </c>
      <c r="D1036" s="15">
        <v>27</v>
      </c>
      <c r="E1036" s="15" t="str">
        <v>Sweden</v>
      </c>
      <c r="F1036" s="15" t="str">
        <v>GK</v>
      </c>
      <c r="G1036" s="15" t="str">
        <v>Derby County</v>
      </c>
      <c r="H1036" s="15">
        <v>1</v>
      </c>
      <c r="I1036" s="15" t="str">
        <f t="shared" si="89"/>
        <v>599|Jacob Widell Zetterström|27|Sweden|GK|Derby County|1</v>
      </c>
      <c r="J1036" s="15" t="str">
        <f>IF(COUNTIF(I$438:I1036,I1036)&gt;1,"DOUBLON","OK")</f>
        <v>OK</v>
      </c>
      <c r="S1036" s="30" t="str">
        <v>Russia</v>
      </c>
      <c r="T1036" s="30" t="str">
        <f t="shared" si="90"/>
        <v>OK</v>
      </c>
      <c r="U1036" s="30" t="str">
        <f t="shared" si="91"/>
        <v>-</v>
      </c>
      <c r="V1036" s="30" t="str" cm="1">
        <f t="array" ref="V1036">_xlfn.IFS(
ISNUMBER(SEARCH("USA",S1036)),"United States",
ISNUMBER(SEARCH("Republic of Korea",S1036)),"South Korea",
ISNUMBER(SEARCH("Cape Verde",S1036)),"Cabo Verde",
ISNUMBER(SEARCH("Czechia",S1036)),"Czech Republic",
ISNUMBER(SEARCH("Türkiye",S1036)),"Turkey",
ISNUMBER(SEARCH("Ivory Coast",S1036)),"Côte d'Ivoire",
ISNUMBER(SEARCH("Korea Republic",S1036)),"South Korea",
ISNUMBER(SEARCH("Germany FR",S1036)),"FR Germany",
ISNUMBER(SEARCH("West Germany",S1036)),"FR Germany",
ISNUMBER(SEARCH("Germany DR",S1036)),"DR Germany",
ISNUMBER(SEARCH("Korea DPR",S1036)),"North Korea",
ISNUMBER(SEARCH("China PR",S1036)),"China",
ISNUMBER(SEARCH("IR Iran",S1036)),"Iran",
ISNUMBER(SEARCH("Congo DR",S1036)),"Democratic Republic of the Congo",
ISNUMBER(SEARCH("DR Congo",S1036)),"Democratic Republic of the Congo",
ISNUMBER(SEARCH("German DR",S1036)),"DR Germany",
ISNUMBER(SEARCH("rn""&gt;United Arab Emirates",S1036)),"United Arab Emirates",
ISNUMBER(SEARCH("rn""&gt;Republic of Ireland",S1036)),"Ireland",
ISNUMBER(SEARCH("rn""&gt;Bosnia and Herzegovina",S1036)),"Bosnia and Herzegovina",
ISNUMBER(SEARCH("rn""&gt;Trinidad and Tobago",S1036)),"Trinidad and Tobago",
ISNUMBER(SEARCH("rn""&gt;Serbia and Montenegro",S1036)),"Serbia and Montenegro",
ISNUMBER(SEARCH(_xlfn.UNICHAR(65533),S1036)),"Côte d'Ivoire",
TRUE,""
)</f>
        <v/>
      </c>
      <c r="W1036" s="30" t="str">
        <f t="shared" si="87"/>
        <v>Russia</v>
      </c>
      <c r="Z1036" s="40" t="str">
        <v>Houston Stadium</v>
      </c>
      <c r="AA1036" s="40" t="str" cm="1">
        <f t="array" ref="AA1036">IFERROR(_xlfn.XLOOKUP(Z1036,_xlfn.ANCHORARRAY(Z$31),AA$31:AA$37),Z1036)</f>
        <v>Houston Stadium</v>
      </c>
      <c r="AB1036" s="42" t="str">
        <v>Houston</v>
      </c>
      <c r="AC1036" s="89" t="str">
        <f t="shared" si="88"/>
        <v>Houston</v>
      </c>
      <c r="AE1036" s="42">
        <v>2022</v>
      </c>
      <c r="AK1036" s="42">
        <v>4</v>
      </c>
      <c r="AL1036" s="42">
        <v>1</v>
      </c>
      <c r="AW1036" s="89" t="str">
        <v>GROUP_STAGE</v>
      </c>
      <c r="BE1036" s="43" t="str">
        <f>IF(OR(DATA_CLEANED!AL1027="",DATA_CLEANED!AM1027=""),"MANQUANT",IF(OR(NOT(ISNUMBER(DATA_CLEANED!AL1027)),NOT(ISNUMBER(DATA_CLEANED!AM1027))),"ENTREE INVALIDE",IF(OR(DATA_CLEANED!AL1027&lt;0,DATA_CLEANED!AM1027&lt;0),"SCORE NEGATIF","OK")))</f>
        <v>OK</v>
      </c>
      <c r="BF1036" s="43" t="str">
        <f>IF(DATA_CLEANED!AK1027&lt;&gt;DATA_CLEANED!AN1027,"OK","ERREUR")</f>
        <v>OK</v>
      </c>
      <c r="BG1036" s="43" t="str">
        <f>IF(DATA_CLEANED!AL1027&gt;DATA_CLEANED!AM1027,DATA_CLEANED!AK1027,IF(AND(DATA_QUALITE!W5513="-",DATA_CLEANED!AM1027=DATA_CLEANED!AL1027),"MATCH NUL",IF(AND(DATA_QUALITE!V5513="-",DATA_QUALITE!U5513="AUCUNE"),DATA_QUALITE!T5513,IF(DATA_QUALITE!V5513&lt;&gt;"-",DATA_QUALITE!V5513,DATA_CLEANED!AN1027))))</f>
        <v>England</v>
      </c>
      <c r="BH1036" s="103" t="str">
        <f>IF(AND(BG1036="MATCH NUL",DATA_CLEANED!AO1027="-"),"MATCH_NUL",IF(ISNUMBER(SEARCH("win on penalties",W5513)),"WIN_BY_PENALTY",IF(ISNUMBER(SEARCH("win after extra time",W5513)),"WIN_BY_EXTRA_TIME",IF(ISNUMBER(SEARCH("Golden Goal",W5513)),"WIN_BY_GOLDEN_GOAL","WIN_BY_SCORE"))))</f>
        <v>WIN_BY_SCORE</v>
      </c>
      <c r="BI1036" s="99" t="str">
        <f>IF(OR(BG1036=DATA_CLEANED!AK1027,BG1036=DATA_CLEANED!AN1027,BG1036="MATCH NUL"),"OK","ERREUR")</f>
        <v>OK</v>
      </c>
    </row>
    <row r="1037" spans="2:61">
      <c r="B1037" s="75">
        <v>600</v>
      </c>
      <c r="C1037" s="15" t="str">
        <v>Viktor Johansson</v>
      </c>
      <c r="D1037" s="15">
        <v>27</v>
      </c>
      <c r="E1037" s="15" t="str">
        <v>Sweden</v>
      </c>
      <c r="F1037" s="15" t="str">
        <v>GK</v>
      </c>
      <c r="G1037" s="15" t="str">
        <v>Stoke City</v>
      </c>
      <c r="H1037" s="15">
        <v>12</v>
      </c>
      <c r="I1037" s="15" t="str">
        <f t="shared" si="89"/>
        <v>600|Viktor Johansson|27|Sweden|GK|Stoke City|12</v>
      </c>
      <c r="J1037" s="15" t="str">
        <f>IF(COUNTIF(I$438:I1037,I1037)&gt;1,"DOUBLON","OK")</f>
        <v>OK</v>
      </c>
      <c r="S1037" s="30" t="str">
        <v>Croatia</v>
      </c>
      <c r="T1037" s="30" t="str">
        <f t="shared" si="90"/>
        <v>OK</v>
      </c>
      <c r="U1037" s="30" t="str">
        <f t="shared" si="91"/>
        <v>-</v>
      </c>
      <c r="V1037" s="30" t="str" cm="1">
        <f t="array" ref="V1037">_xlfn.IFS(
ISNUMBER(SEARCH("USA",S1037)),"United States",
ISNUMBER(SEARCH("Republic of Korea",S1037)),"South Korea",
ISNUMBER(SEARCH("Cape Verde",S1037)),"Cabo Verde",
ISNUMBER(SEARCH("Czechia",S1037)),"Czech Republic",
ISNUMBER(SEARCH("Türkiye",S1037)),"Turkey",
ISNUMBER(SEARCH("Ivory Coast",S1037)),"Côte d'Ivoire",
ISNUMBER(SEARCH("Korea Republic",S1037)),"South Korea",
ISNUMBER(SEARCH("Germany FR",S1037)),"FR Germany",
ISNUMBER(SEARCH("West Germany",S1037)),"FR Germany",
ISNUMBER(SEARCH("Germany DR",S1037)),"DR Germany",
ISNUMBER(SEARCH("Korea DPR",S1037)),"North Korea",
ISNUMBER(SEARCH("China PR",S1037)),"China",
ISNUMBER(SEARCH("IR Iran",S1037)),"Iran",
ISNUMBER(SEARCH("Congo DR",S1037)),"Democratic Republic of the Congo",
ISNUMBER(SEARCH("DR Congo",S1037)),"Democratic Republic of the Congo",
ISNUMBER(SEARCH("German DR",S1037)),"DR Germany",
ISNUMBER(SEARCH("rn""&gt;United Arab Emirates",S1037)),"United Arab Emirates",
ISNUMBER(SEARCH("rn""&gt;Republic of Ireland",S1037)),"Ireland",
ISNUMBER(SEARCH("rn""&gt;Bosnia and Herzegovina",S1037)),"Bosnia and Herzegovina",
ISNUMBER(SEARCH("rn""&gt;Trinidad and Tobago",S1037)),"Trinidad and Tobago",
ISNUMBER(SEARCH("rn""&gt;Serbia and Montenegro",S1037)),"Serbia and Montenegro",
ISNUMBER(SEARCH(_xlfn.UNICHAR(65533),S1037)),"Côte d'Ivoire",
TRUE,""
)</f>
        <v/>
      </c>
      <c r="W1037" s="30" t="str">
        <f t="shared" si="87"/>
        <v>Croatia</v>
      </c>
      <c r="Z1037" s="40" t="str">
        <v>Toronto Stadium</v>
      </c>
      <c r="AA1037" s="40" t="str" cm="1">
        <f t="array" ref="AA1037">IFERROR(_xlfn.XLOOKUP(Z1037,_xlfn.ANCHORARRAY(Z$31),AA$31:AA$37),Z1037)</f>
        <v>Toronto Stadium</v>
      </c>
      <c r="AB1037" s="42" t="str">
        <v>Toronto</v>
      </c>
      <c r="AC1037" s="89" t="str">
        <f t="shared" si="88"/>
        <v>Toronto</v>
      </c>
      <c r="AE1037" s="42">
        <v>2022</v>
      </c>
      <c r="AK1037" s="42">
        <v>0</v>
      </c>
      <c r="AL1037" s="42">
        <v>0</v>
      </c>
      <c r="AW1037" s="89" t="str">
        <v>GROUP_STAGE</v>
      </c>
      <c r="BE1037" s="43" t="str">
        <f>IF(OR(DATA_CLEANED!AL1028="",DATA_CLEANED!AM1028=""),"MANQUANT",IF(OR(NOT(ISNUMBER(DATA_CLEANED!AL1028)),NOT(ISNUMBER(DATA_CLEANED!AM1028))),"ENTREE INVALIDE",IF(OR(DATA_CLEANED!AL1028&lt;0,DATA_CLEANED!AM1028&lt;0),"SCORE NEGATIF","OK")))</f>
        <v>OK</v>
      </c>
      <c r="BF1037" s="43" t="str">
        <f>IF(DATA_CLEANED!AK1028&lt;&gt;DATA_CLEANED!AN1028,"OK","ERREUR")</f>
        <v>OK</v>
      </c>
      <c r="BG1037" s="43" t="str">
        <f>IF(DATA_CLEANED!AL1028&gt;DATA_CLEANED!AM1028,DATA_CLEANED!AK1028,IF(AND(DATA_QUALITE!W5514="-",DATA_CLEANED!AM1028=DATA_CLEANED!AL1028),"MATCH NUL",IF(AND(DATA_QUALITE!V5514="-",DATA_QUALITE!U5514="AUCUNE"),DATA_QUALITE!T5514,IF(DATA_QUALITE!V5514&lt;&gt;"-",DATA_QUALITE!V5514,DATA_CLEANED!AN1028))))</f>
        <v>Croatia</v>
      </c>
      <c r="BH1037" s="103" t="str">
        <f>IF(AND(BG1037="MATCH NUL",DATA_CLEANED!AO1028="-"),"MATCH_NUL",IF(ISNUMBER(SEARCH("win on penalties",W5514)),"WIN_BY_PENALTY",IF(ISNUMBER(SEARCH("win after extra time",W5514)),"WIN_BY_EXTRA_TIME",IF(ISNUMBER(SEARCH("Golden Goal",W5514)),"WIN_BY_GOLDEN_GOAL","WIN_BY_SCORE"))))</f>
        <v>WIN_BY_SCORE</v>
      </c>
      <c r="BI1037" s="99" t="str">
        <f>IF(OR(BG1037=DATA_CLEANED!AK1028,BG1037=DATA_CLEANED!AN1028,BG1037="MATCH NUL"),"OK","ERREUR")</f>
        <v>OK</v>
      </c>
    </row>
    <row r="1038" spans="2:61">
      <c r="B1038" s="75">
        <v>601</v>
      </c>
      <c r="C1038" s="15" t="str">
        <v>Kristoffer Nordfeldt</v>
      </c>
      <c r="D1038" s="15">
        <v>36</v>
      </c>
      <c r="E1038" s="15" t="str">
        <v>Sweden</v>
      </c>
      <c r="F1038" s="15" t="str">
        <v>GK</v>
      </c>
      <c r="G1038" s="15" t="str">
        <v>AIK</v>
      </c>
      <c r="H1038" s="15">
        <v>23</v>
      </c>
      <c r="I1038" s="15" t="str">
        <f t="shared" si="89"/>
        <v>601|Kristoffer Nordfeldt|36|Sweden|GK|AIK|23</v>
      </c>
      <c r="J1038" s="15" t="str">
        <f>IF(COUNTIF(I$438:I1038,I1038)&gt;1,"DOUBLON","OK")</f>
        <v>OK</v>
      </c>
      <c r="S1038" s="30" t="str">
        <v>Russia</v>
      </c>
      <c r="T1038" s="30" t="str">
        <f t="shared" si="90"/>
        <v>OK</v>
      </c>
      <c r="U1038" s="30" t="str">
        <f t="shared" si="91"/>
        <v>-</v>
      </c>
      <c r="V1038" s="30" t="str" cm="1">
        <f t="array" ref="V1038">_xlfn.IFS(
ISNUMBER(SEARCH("USA",S1038)),"United States",
ISNUMBER(SEARCH("Republic of Korea",S1038)),"South Korea",
ISNUMBER(SEARCH("Cape Verde",S1038)),"Cabo Verde",
ISNUMBER(SEARCH("Czechia",S1038)),"Czech Republic",
ISNUMBER(SEARCH("Türkiye",S1038)),"Turkey",
ISNUMBER(SEARCH("Ivory Coast",S1038)),"Côte d'Ivoire",
ISNUMBER(SEARCH("Korea Republic",S1038)),"South Korea",
ISNUMBER(SEARCH("Germany FR",S1038)),"FR Germany",
ISNUMBER(SEARCH("West Germany",S1038)),"FR Germany",
ISNUMBER(SEARCH("Germany DR",S1038)),"DR Germany",
ISNUMBER(SEARCH("Korea DPR",S1038)),"North Korea",
ISNUMBER(SEARCH("China PR",S1038)),"China",
ISNUMBER(SEARCH("IR Iran",S1038)),"Iran",
ISNUMBER(SEARCH("Congo DR",S1038)),"Democratic Republic of the Congo",
ISNUMBER(SEARCH("DR Congo",S1038)),"Democratic Republic of the Congo",
ISNUMBER(SEARCH("German DR",S1038)),"DR Germany",
ISNUMBER(SEARCH("rn""&gt;United Arab Emirates",S1038)),"United Arab Emirates",
ISNUMBER(SEARCH("rn""&gt;Republic of Ireland",S1038)),"Ireland",
ISNUMBER(SEARCH("rn""&gt;Bosnia and Herzegovina",S1038)),"Bosnia and Herzegovina",
ISNUMBER(SEARCH("rn""&gt;Trinidad and Tobago",S1038)),"Trinidad and Tobago",
ISNUMBER(SEARCH("rn""&gt;Serbia and Montenegro",S1038)),"Serbia and Montenegro",
ISNUMBER(SEARCH(_xlfn.UNICHAR(65533),S1038)),"Côte d'Ivoire",
TRUE,""
)</f>
        <v/>
      </c>
      <c r="W1038" s="30" t="str">
        <f t="shared" ref="W1038:W1101" si="92">IF(V1038="",S1038,V1038)</f>
        <v>Russia</v>
      </c>
      <c r="Z1038" s="40" t="str">
        <v>Kansas City Stadium</v>
      </c>
      <c r="AA1038" s="40" t="str" cm="1">
        <f t="array" ref="AA1038">IFERROR(_xlfn.XLOOKUP(Z1038,_xlfn.ANCHORARRAY(Z$31),AA$31:AA$37),Z1038)</f>
        <v>Kansas City Stadium</v>
      </c>
      <c r="AB1038" s="42" t="str">
        <v>Kansas City</v>
      </c>
      <c r="AC1038" s="89" t="str">
        <f t="shared" si="88"/>
        <v>Kansas City</v>
      </c>
      <c r="AE1038" s="42">
        <v>2022</v>
      </c>
      <c r="AK1038" s="42">
        <v>6</v>
      </c>
      <c r="AL1038" s="42">
        <v>1</v>
      </c>
      <c r="AW1038" s="89" t="str">
        <v>ROUND_OF_32</v>
      </c>
      <c r="BE1038" s="43" t="str">
        <f>IF(OR(DATA_CLEANED!AL1029="",DATA_CLEANED!AM1029=""),"MANQUANT",IF(OR(NOT(ISNUMBER(DATA_CLEANED!AL1029)),NOT(ISNUMBER(DATA_CLEANED!AM1029))),"ENTREE INVALIDE",IF(OR(DATA_CLEANED!AL1029&lt;0,DATA_CLEANED!AM1029&lt;0),"SCORE NEGATIF","OK")))</f>
        <v>OK</v>
      </c>
      <c r="BF1038" s="43" t="str">
        <f>IF(DATA_CLEANED!AK1029&lt;&gt;DATA_CLEANED!AN1029,"OK","ERREUR")</f>
        <v>OK</v>
      </c>
      <c r="BG1038" s="43" t="str">
        <f>IF(DATA_CLEANED!AL1029&gt;DATA_CLEANED!AM1029,DATA_CLEANED!AK1029,IF(AND(DATA_QUALITE!W5515="-",DATA_CLEANED!AM1029=DATA_CLEANED!AL1029),"MATCH NUL",IF(AND(DATA_QUALITE!V5515="-",DATA_QUALITE!U5515="AUCUNE"),DATA_QUALITE!T5515,IF(DATA_QUALITE!V5515&lt;&gt;"-",DATA_QUALITE!V5515,DATA_CLEANED!AN1029))))</f>
        <v>Canada</v>
      </c>
      <c r="BH1038" s="103" t="str">
        <f>IF(AND(BG1038="MATCH NUL",DATA_CLEANED!AO1029="-"),"MATCH_NUL",IF(ISNUMBER(SEARCH("win on penalties",W5515)),"WIN_BY_PENALTY",IF(ISNUMBER(SEARCH("win after extra time",W5515)),"WIN_BY_EXTRA_TIME",IF(ISNUMBER(SEARCH("Golden Goal",W5515)),"WIN_BY_GOLDEN_GOAL","WIN_BY_SCORE"))))</f>
        <v>WIN_BY_SCORE</v>
      </c>
      <c r="BI1038" s="99" t="str">
        <f>IF(OR(BG1038=DATA_CLEANED!AK1029,BG1038=DATA_CLEANED!AN1029,BG1038="MATCH NUL"),"OK","ERREUR")</f>
        <v>OK</v>
      </c>
    </row>
    <row r="1039" spans="2:61">
      <c r="B1039" s="75">
        <v>602</v>
      </c>
      <c r="C1039" s="15" t="str">
        <v>Gustaf Lagerbielke</v>
      </c>
      <c r="D1039" s="15">
        <v>26</v>
      </c>
      <c r="E1039" s="15" t="str">
        <v>Sweden</v>
      </c>
      <c r="F1039" s="15" t="str">
        <v>CB</v>
      </c>
      <c r="G1039" s="15" t="str">
        <v>Braga</v>
      </c>
      <c r="H1039" s="15">
        <v>2</v>
      </c>
      <c r="I1039" s="15" t="str">
        <f t="shared" si="89"/>
        <v>602|Gustaf Lagerbielke|26|Sweden|CB|Braga|2</v>
      </c>
      <c r="J1039" s="15" t="str">
        <f>IF(COUNTIF(I$438:I1039,I1039)&gt;1,"DOUBLON","OK")</f>
        <v>OK</v>
      </c>
      <c r="S1039" s="30" t="str">
        <v>Croatia</v>
      </c>
      <c r="T1039" s="30" t="str">
        <f t="shared" si="90"/>
        <v>OK</v>
      </c>
      <c r="U1039" s="30" t="str">
        <f t="shared" si="91"/>
        <v>-</v>
      </c>
      <c r="V1039" s="30" t="str" cm="1">
        <f t="array" ref="V1039">_xlfn.IFS(
ISNUMBER(SEARCH("USA",S1039)),"United States",
ISNUMBER(SEARCH("Republic of Korea",S1039)),"South Korea",
ISNUMBER(SEARCH("Cape Verde",S1039)),"Cabo Verde",
ISNUMBER(SEARCH("Czechia",S1039)),"Czech Republic",
ISNUMBER(SEARCH("Türkiye",S1039)),"Turkey",
ISNUMBER(SEARCH("Ivory Coast",S1039)),"Côte d'Ivoire",
ISNUMBER(SEARCH("Korea Republic",S1039)),"South Korea",
ISNUMBER(SEARCH("Germany FR",S1039)),"FR Germany",
ISNUMBER(SEARCH("West Germany",S1039)),"FR Germany",
ISNUMBER(SEARCH("Germany DR",S1039)),"DR Germany",
ISNUMBER(SEARCH("Korea DPR",S1039)),"North Korea",
ISNUMBER(SEARCH("China PR",S1039)),"China",
ISNUMBER(SEARCH("IR Iran",S1039)),"Iran",
ISNUMBER(SEARCH("Congo DR",S1039)),"Democratic Republic of the Congo",
ISNUMBER(SEARCH("DR Congo",S1039)),"Democratic Republic of the Congo",
ISNUMBER(SEARCH("German DR",S1039)),"DR Germany",
ISNUMBER(SEARCH("rn""&gt;United Arab Emirates",S1039)),"United Arab Emirates",
ISNUMBER(SEARCH("rn""&gt;Republic of Ireland",S1039)),"Ireland",
ISNUMBER(SEARCH("rn""&gt;Bosnia and Herzegovina",S1039)),"Bosnia and Herzegovina",
ISNUMBER(SEARCH("rn""&gt;Trinidad and Tobago",S1039)),"Trinidad and Tobago",
ISNUMBER(SEARCH("rn""&gt;Serbia and Montenegro",S1039)),"Serbia and Montenegro",
ISNUMBER(SEARCH(_xlfn.UNICHAR(65533),S1039)),"Côte d'Ivoire",
TRUE,""
)</f>
        <v/>
      </c>
      <c r="W1039" s="30" t="str">
        <f t="shared" si="92"/>
        <v>Croatia</v>
      </c>
      <c r="Z1039" s="40" t="str">
        <v>Guadalajara Stadium</v>
      </c>
      <c r="AA1039" s="40" t="str" cm="1">
        <f t="array" ref="AA1039">IFERROR(_xlfn.XLOOKUP(Z1039,_xlfn.ANCHORARRAY(Z$31),AA$31:AA$37),Z1039)</f>
        <v>Guadalajara Stadium</v>
      </c>
      <c r="AB1039" s="42" t="str">
        <v>Guadalajara</v>
      </c>
      <c r="AC1039" s="89" t="str">
        <f t="shared" si="88"/>
        <v>Guadalajara</v>
      </c>
      <c r="AE1039" s="42">
        <v>2022</v>
      </c>
      <c r="AK1039" s="42">
        <v>1</v>
      </c>
      <c r="AL1039" s="42">
        <v>1</v>
      </c>
      <c r="AW1039" s="89" t="str">
        <v>ROUND_OF_32</v>
      </c>
      <c r="BE1039" s="43" t="str">
        <f>IF(OR(DATA_CLEANED!AL1030="",DATA_CLEANED!AM1030=""),"MANQUANT",IF(OR(NOT(ISNUMBER(DATA_CLEANED!AL1030)),NOT(ISNUMBER(DATA_CLEANED!AM1030))),"ENTREE INVALIDE",IF(OR(DATA_CLEANED!AL1030&lt;0,DATA_CLEANED!AM1030&lt;0),"SCORE NEGATIF","OK")))</f>
        <v>OK</v>
      </c>
      <c r="BF1039" s="43" t="str">
        <f>IF(DATA_CLEANED!AK1030&lt;&gt;DATA_CLEANED!AN1030,"OK","ERREUR")</f>
        <v>OK</v>
      </c>
      <c r="BG1039" s="43" t="str">
        <f>IF(DATA_CLEANED!AL1030&gt;DATA_CLEANED!AM1030,DATA_CLEANED!AK1030,IF(AND(DATA_QUALITE!W5516="-",DATA_CLEANED!AM1030=DATA_CLEANED!AL1030),"MATCH NUL",IF(AND(DATA_QUALITE!V5516="-",DATA_QUALITE!U5516="AUCUNE"),DATA_QUALITE!T5516,IF(DATA_QUALITE!V5516&lt;&gt;"-",DATA_QUALITE!V5516,DATA_CLEANED!AN1030))))</f>
        <v>Paraguay</v>
      </c>
      <c r="BH1039" s="103" t="str">
        <f>IF(AND(BG1039="MATCH NUL",DATA_CLEANED!AO1030="-"),"MATCH_NUL",IF(ISNUMBER(SEARCH("win on penalties",W5516)),"WIN_BY_PENALTY",IF(ISNUMBER(SEARCH("win after extra time",W5516)),"WIN_BY_EXTRA_TIME",IF(ISNUMBER(SEARCH("Golden Goal",W5516)),"WIN_BY_GOLDEN_GOAL","WIN_BY_SCORE"))))</f>
        <v>WIN_BY_PENALTY</v>
      </c>
      <c r="BI1039" s="99" t="str">
        <f>IF(OR(BG1039=DATA_CLEANED!AK1030,BG1039=DATA_CLEANED!AN1030,BG1039="MATCH NUL"),"OK","ERREUR")</f>
        <v>OK</v>
      </c>
    </row>
    <row r="1040" spans="2:61">
      <c r="B1040" s="75">
        <v>603</v>
      </c>
      <c r="C1040" s="15" t="str">
        <v>Victor Lindelöf</v>
      </c>
      <c r="D1040" s="15">
        <v>31</v>
      </c>
      <c r="E1040" s="15" t="str">
        <v>Sweden</v>
      </c>
      <c r="F1040" s="15" t="str">
        <v>CB</v>
      </c>
      <c r="G1040" s="15" t="str">
        <v>Aston Villa</v>
      </c>
      <c r="H1040" s="15">
        <v>3</v>
      </c>
      <c r="I1040" s="15" t="str">
        <f t="shared" si="89"/>
        <v>603|Victor Lindelöf|31|Sweden|CB|Aston Villa|3</v>
      </c>
      <c r="J1040" s="15" t="str">
        <f>IF(COUNTIF(I$438:I1040,I1040)&gt;1,"DOUBLON","OK")</f>
        <v>OK</v>
      </c>
      <c r="S1040" s="30" t="str">
        <v>Russia</v>
      </c>
      <c r="T1040" s="30" t="str">
        <f t="shared" si="90"/>
        <v>OK</v>
      </c>
      <c r="U1040" s="30" t="str">
        <f t="shared" si="91"/>
        <v>-</v>
      </c>
      <c r="V1040" s="30" t="str" cm="1">
        <f t="array" ref="V1040">_xlfn.IFS(
ISNUMBER(SEARCH("USA",S1040)),"United States",
ISNUMBER(SEARCH("Republic of Korea",S1040)),"South Korea",
ISNUMBER(SEARCH("Cape Verde",S1040)),"Cabo Verde",
ISNUMBER(SEARCH("Czechia",S1040)),"Czech Republic",
ISNUMBER(SEARCH("Türkiye",S1040)),"Turkey",
ISNUMBER(SEARCH("Ivory Coast",S1040)),"Côte d'Ivoire",
ISNUMBER(SEARCH("Korea Republic",S1040)),"South Korea",
ISNUMBER(SEARCH("Germany FR",S1040)),"FR Germany",
ISNUMBER(SEARCH("West Germany",S1040)),"FR Germany",
ISNUMBER(SEARCH("Germany DR",S1040)),"DR Germany",
ISNUMBER(SEARCH("Korea DPR",S1040)),"North Korea",
ISNUMBER(SEARCH("China PR",S1040)),"China",
ISNUMBER(SEARCH("IR Iran",S1040)),"Iran",
ISNUMBER(SEARCH("Congo DR",S1040)),"Democratic Republic of the Congo",
ISNUMBER(SEARCH("DR Congo",S1040)),"Democratic Republic of the Congo",
ISNUMBER(SEARCH("German DR",S1040)),"DR Germany",
ISNUMBER(SEARCH("rn""&gt;United Arab Emirates",S1040)),"United Arab Emirates",
ISNUMBER(SEARCH("rn""&gt;Republic of Ireland",S1040)),"Ireland",
ISNUMBER(SEARCH("rn""&gt;Bosnia and Herzegovina",S1040)),"Bosnia and Herzegovina",
ISNUMBER(SEARCH("rn""&gt;Trinidad and Tobago",S1040)),"Trinidad and Tobago",
ISNUMBER(SEARCH("rn""&gt;Serbia and Montenegro",S1040)),"Serbia and Montenegro",
ISNUMBER(SEARCH(_xlfn.UNICHAR(65533),S1040)),"Côte d'Ivoire",
TRUE,""
)</f>
        <v/>
      </c>
      <c r="W1040" s="30" t="str">
        <f t="shared" si="92"/>
        <v>Russia</v>
      </c>
      <c r="Z1040" s="40" t="str">
        <v>Atlanta Stadium</v>
      </c>
      <c r="AA1040" s="40" t="str" cm="1">
        <f t="array" ref="AA1040">IFERROR(_xlfn.XLOOKUP(Z1040,_xlfn.ANCHORARRAY(Z$31),AA$31:AA$37),Z1040)</f>
        <v>Atlanta Stadium</v>
      </c>
      <c r="AB1040" s="42" t="str">
        <v>Atlanta</v>
      </c>
      <c r="AC1040" s="89" t="str">
        <f t="shared" si="88"/>
        <v>Atlanta</v>
      </c>
      <c r="AE1040" s="42">
        <v>2022</v>
      </c>
      <c r="AK1040" s="42">
        <v>2</v>
      </c>
      <c r="AL1040" s="42">
        <v>2</v>
      </c>
      <c r="AW1040" s="89" t="str">
        <v>ROUND_OF_32</v>
      </c>
      <c r="BE1040" s="43" t="str">
        <f>IF(OR(DATA_CLEANED!AL1031="",DATA_CLEANED!AM1031=""),"MANQUANT",IF(OR(NOT(ISNUMBER(DATA_CLEANED!AL1031)),NOT(ISNUMBER(DATA_CLEANED!AM1031))),"ENTREE INVALIDE",IF(OR(DATA_CLEANED!AL1031&lt;0,DATA_CLEANED!AM1031&lt;0),"SCORE NEGATIF","OK")))</f>
        <v>OK</v>
      </c>
      <c r="BF1040" s="43" t="str">
        <f>IF(DATA_CLEANED!AK1031&lt;&gt;DATA_CLEANED!AN1031,"OK","ERREUR")</f>
        <v>OK</v>
      </c>
      <c r="BG1040" s="43" t="str">
        <f>IF(DATA_CLEANED!AL1031&gt;DATA_CLEANED!AM1031,DATA_CLEANED!AK1031,IF(AND(DATA_QUALITE!W5517="-",DATA_CLEANED!AM1031=DATA_CLEANED!AL1031),"MATCH NUL",IF(AND(DATA_QUALITE!V5517="-",DATA_QUALITE!U5517="AUCUNE"),DATA_QUALITE!T5517,IF(DATA_QUALITE!V5517&lt;&gt;"-",DATA_QUALITE!V5517,DATA_CLEANED!AN1031))))</f>
        <v>Morocco</v>
      </c>
      <c r="BH1040" s="103" t="str">
        <f>IF(AND(BG1040="MATCH NUL",DATA_CLEANED!AO1031="-"),"MATCH_NUL",IF(ISNUMBER(SEARCH("win on penalties",W5517)),"WIN_BY_PENALTY",IF(ISNUMBER(SEARCH("win after extra time",W5517)),"WIN_BY_EXTRA_TIME",IF(ISNUMBER(SEARCH("Golden Goal",W5517)),"WIN_BY_GOLDEN_GOAL","WIN_BY_SCORE"))))</f>
        <v>WIN_BY_PENALTY</v>
      </c>
      <c r="BI1040" s="99" t="str">
        <f>IF(OR(BG1040=DATA_CLEANED!AK1031,BG1040=DATA_CLEANED!AN1031,BG1040="MATCH NUL"),"OK","ERREUR")</f>
        <v>OK</v>
      </c>
    </row>
    <row r="1041" spans="2:61">
      <c r="B1041" s="75">
        <v>604</v>
      </c>
      <c r="C1041" s="15" t="str">
        <v>Isak Hien</v>
      </c>
      <c r="D1041" s="15">
        <v>27</v>
      </c>
      <c r="E1041" s="15" t="str">
        <v>Sweden</v>
      </c>
      <c r="F1041" s="15" t="str">
        <v>CB</v>
      </c>
      <c r="G1041" s="15" t="str">
        <v>Atalanta</v>
      </c>
      <c r="H1041" s="15">
        <v>4</v>
      </c>
      <c r="I1041" s="15" t="str">
        <f t="shared" si="89"/>
        <v>604|Isak Hien|27|Sweden|CB|Atalanta|4</v>
      </c>
      <c r="J1041" s="15" t="str">
        <f>IF(COUNTIF(I$438:I1041,I1041)&gt;1,"DOUBLON","OK")</f>
        <v>OK</v>
      </c>
      <c r="S1041" s="30" t="str">
        <v>Croatia</v>
      </c>
      <c r="T1041" s="30" t="str">
        <f t="shared" si="90"/>
        <v>OK</v>
      </c>
      <c r="U1041" s="30" t="str">
        <f t="shared" si="91"/>
        <v>-</v>
      </c>
      <c r="V1041" s="30" t="str" cm="1">
        <f t="array" ref="V1041">_xlfn.IFS(
ISNUMBER(SEARCH("USA",S1041)),"United States",
ISNUMBER(SEARCH("Republic of Korea",S1041)),"South Korea",
ISNUMBER(SEARCH("Cape Verde",S1041)),"Cabo Verde",
ISNUMBER(SEARCH("Czechia",S1041)),"Czech Republic",
ISNUMBER(SEARCH("Türkiye",S1041)),"Turkey",
ISNUMBER(SEARCH("Ivory Coast",S1041)),"Côte d'Ivoire",
ISNUMBER(SEARCH("Korea Republic",S1041)),"South Korea",
ISNUMBER(SEARCH("Germany FR",S1041)),"FR Germany",
ISNUMBER(SEARCH("West Germany",S1041)),"FR Germany",
ISNUMBER(SEARCH("Germany DR",S1041)),"DR Germany",
ISNUMBER(SEARCH("Korea DPR",S1041)),"North Korea",
ISNUMBER(SEARCH("China PR",S1041)),"China",
ISNUMBER(SEARCH("IR Iran",S1041)),"Iran",
ISNUMBER(SEARCH("Congo DR",S1041)),"Democratic Republic of the Congo",
ISNUMBER(SEARCH("DR Congo",S1041)),"Democratic Republic of the Congo",
ISNUMBER(SEARCH("German DR",S1041)),"DR Germany",
ISNUMBER(SEARCH("rn""&gt;United Arab Emirates",S1041)),"United Arab Emirates",
ISNUMBER(SEARCH("rn""&gt;Republic of Ireland",S1041)),"Ireland",
ISNUMBER(SEARCH("rn""&gt;Bosnia and Herzegovina",S1041)),"Bosnia and Herzegovina",
ISNUMBER(SEARCH("rn""&gt;Trinidad and Tobago",S1041)),"Trinidad and Tobago",
ISNUMBER(SEARCH("rn""&gt;Serbia and Montenegro",S1041)),"Serbia and Montenegro",
ISNUMBER(SEARCH(_xlfn.UNICHAR(65533),S1041)),"Côte d'Ivoire",
TRUE,""
)</f>
        <v/>
      </c>
      <c r="W1041" s="30" t="str">
        <f t="shared" si="92"/>
        <v>Croatia</v>
      </c>
      <c r="Z1041" s="40" t="str">
        <v>Los Angeles Stadium</v>
      </c>
      <c r="AA1041" s="40" t="str" cm="1">
        <f t="array" ref="AA1041">IFERROR(_xlfn.XLOOKUP(Z1041,_xlfn.ANCHORARRAY(Z$31),AA$31:AA$37),Z1041)</f>
        <v>Los Angeles Stadium</v>
      </c>
      <c r="AB1041" s="42" t="str">
        <v>Los Angeles</v>
      </c>
      <c r="AC1041" s="89" t="str">
        <f t="shared" si="88"/>
        <v>Los Angeles</v>
      </c>
      <c r="AE1041" s="42">
        <v>2022</v>
      </c>
      <c r="AK1041" s="42">
        <v>1</v>
      </c>
      <c r="AL1041" s="42">
        <v>0</v>
      </c>
      <c r="AW1041" s="89" t="str">
        <v>ROUND_OF_32</v>
      </c>
      <c r="BE1041" s="43" t="str">
        <f>IF(OR(DATA_CLEANED!AL1032="",DATA_CLEANED!AM1032=""),"MANQUANT",IF(OR(NOT(ISNUMBER(DATA_CLEANED!AL1032)),NOT(ISNUMBER(DATA_CLEANED!AM1032))),"ENTREE INVALIDE",IF(OR(DATA_CLEANED!AL1032&lt;0,DATA_CLEANED!AM1032&lt;0),"SCORE NEGATIF","OK")))</f>
        <v>OK</v>
      </c>
      <c r="BF1041" s="43" t="str">
        <f>IF(DATA_CLEANED!AK1032&lt;&gt;DATA_CLEANED!AN1032,"OK","ERREUR")</f>
        <v>OK</v>
      </c>
      <c r="BG1041" s="43" t="str">
        <f>IF(DATA_CLEANED!AL1032&gt;DATA_CLEANED!AM1032,DATA_CLEANED!AK1032,IF(AND(DATA_QUALITE!W5518="-",DATA_CLEANED!AM1032=DATA_CLEANED!AL1032),"MATCH NUL",IF(AND(DATA_QUALITE!V5518="-",DATA_QUALITE!U5518="AUCUNE"),DATA_QUALITE!T5518,IF(DATA_QUALITE!V5518&lt;&gt;"-",DATA_QUALITE!V5518,DATA_CLEANED!AN1032))))</f>
        <v>Brazil</v>
      </c>
      <c r="BH1041" s="103" t="str">
        <f>IF(AND(BG1041="MATCH NUL",DATA_CLEANED!AO1032="-"),"MATCH_NUL",IF(ISNUMBER(SEARCH("win on penalties",W5518)),"WIN_BY_PENALTY",IF(ISNUMBER(SEARCH("win after extra time",W5518)),"WIN_BY_EXTRA_TIME",IF(ISNUMBER(SEARCH("Golden Goal",W5518)),"WIN_BY_GOLDEN_GOAL","WIN_BY_SCORE"))))</f>
        <v>WIN_BY_SCORE</v>
      </c>
      <c r="BI1041" s="99" t="str">
        <f>IF(OR(BG1041=DATA_CLEANED!AK1032,BG1041=DATA_CLEANED!AN1032,BG1041="MATCH NUL"),"OK","ERREUR")</f>
        <v>OK</v>
      </c>
    </row>
    <row r="1042" spans="2:61">
      <c r="B1042" s="75">
        <v>605</v>
      </c>
      <c r="C1042" s="15" t="str">
        <v>Hjalmar Ekdal</v>
      </c>
      <c r="D1042" s="15">
        <v>27</v>
      </c>
      <c r="E1042" s="15" t="str">
        <v>Sweden</v>
      </c>
      <c r="F1042" s="15" t="str">
        <v>CB</v>
      </c>
      <c r="G1042" s="15" t="str">
        <v>Burnley</v>
      </c>
      <c r="H1042" s="15">
        <v>14</v>
      </c>
      <c r="I1042" s="15" t="str">
        <f t="shared" si="89"/>
        <v>605|Hjalmar Ekdal|27|Sweden|CB|Burnley|14</v>
      </c>
      <c r="J1042" s="15" t="str">
        <f>IF(COUNTIF(I$438:I1042,I1042)&gt;1,"DOUBLON","OK")</f>
        <v>OK</v>
      </c>
      <c r="S1042" s="30" t="str">
        <v>Japan</v>
      </c>
      <c r="T1042" s="30" t="str">
        <f t="shared" si="90"/>
        <v>OK</v>
      </c>
      <c r="U1042" s="30" t="str">
        <f t="shared" si="91"/>
        <v>-</v>
      </c>
      <c r="V1042" s="30" t="str" cm="1">
        <f t="array" ref="V1042">_xlfn.IFS(
ISNUMBER(SEARCH("USA",S1042)),"United States",
ISNUMBER(SEARCH("Republic of Korea",S1042)),"South Korea",
ISNUMBER(SEARCH("Cape Verde",S1042)),"Cabo Verde",
ISNUMBER(SEARCH("Czechia",S1042)),"Czech Republic",
ISNUMBER(SEARCH("Türkiye",S1042)),"Turkey",
ISNUMBER(SEARCH("Ivory Coast",S1042)),"Côte d'Ivoire",
ISNUMBER(SEARCH("Korea Republic",S1042)),"South Korea",
ISNUMBER(SEARCH("Germany FR",S1042)),"FR Germany",
ISNUMBER(SEARCH("West Germany",S1042)),"FR Germany",
ISNUMBER(SEARCH("Germany DR",S1042)),"DR Germany",
ISNUMBER(SEARCH("Korea DPR",S1042)),"North Korea",
ISNUMBER(SEARCH("China PR",S1042)),"China",
ISNUMBER(SEARCH("IR Iran",S1042)),"Iran",
ISNUMBER(SEARCH("Congo DR",S1042)),"Democratic Republic of the Congo",
ISNUMBER(SEARCH("DR Congo",S1042)),"Democratic Republic of the Congo",
ISNUMBER(SEARCH("German DR",S1042)),"DR Germany",
ISNUMBER(SEARCH("rn""&gt;United Arab Emirates",S1042)),"United Arab Emirates",
ISNUMBER(SEARCH("rn""&gt;Republic of Ireland",S1042)),"Ireland",
ISNUMBER(SEARCH("rn""&gt;Bosnia and Herzegovina",S1042)),"Bosnia and Herzegovina",
ISNUMBER(SEARCH("rn""&gt;Trinidad and Tobago",S1042)),"Trinidad and Tobago",
ISNUMBER(SEARCH("rn""&gt;Serbia and Montenegro",S1042)),"Serbia and Montenegro",
ISNUMBER(SEARCH(_xlfn.UNICHAR(65533),S1042)),"Côte d'Ivoire",
TRUE,""
)</f>
        <v/>
      </c>
      <c r="W1042" s="30" t="str">
        <f t="shared" si="92"/>
        <v>Japan</v>
      </c>
      <c r="Z1042" s="40" t="str">
        <v>Miami Stadium</v>
      </c>
      <c r="AA1042" s="40" t="str" cm="1">
        <f t="array" ref="AA1042">IFERROR(_xlfn.XLOOKUP(Z1042,_xlfn.ANCHORARRAY(Z$31),AA$31:AA$37),Z1042)</f>
        <v>Miami Stadium</v>
      </c>
      <c r="AB1042" s="42" t="str">
        <v>Miami</v>
      </c>
      <c r="AC1042" s="89" t="str">
        <f t="shared" si="88"/>
        <v>Miami</v>
      </c>
      <c r="AE1042" s="42">
        <v>2022</v>
      </c>
      <c r="AK1042" s="42">
        <v>1</v>
      </c>
      <c r="AL1042" s="42">
        <v>2</v>
      </c>
      <c r="AW1042" s="89" t="str">
        <v>ROUND_OF_32</v>
      </c>
      <c r="BE1042" s="43" t="str">
        <f>IF(OR(DATA_CLEANED!AL1033="",DATA_CLEANED!AM1033=""),"MANQUANT",IF(OR(NOT(ISNUMBER(DATA_CLEANED!AL1033)),NOT(ISNUMBER(DATA_CLEANED!AM1033))),"ENTREE INVALIDE",IF(OR(DATA_CLEANED!AL1033&lt;0,DATA_CLEANED!AM1033&lt;0),"SCORE NEGATIF","OK")))</f>
        <v>OK</v>
      </c>
      <c r="BF1042" s="43" t="str">
        <f>IF(DATA_CLEANED!AK1033&lt;&gt;DATA_CLEANED!AN1033,"OK","ERREUR")</f>
        <v>OK</v>
      </c>
      <c r="BG1042" s="43" t="str">
        <f>IF(DATA_CLEANED!AL1033&gt;DATA_CLEANED!AM1033,DATA_CLEANED!AK1033,IF(AND(DATA_QUALITE!W5519="-",DATA_CLEANED!AM1033=DATA_CLEANED!AL1033),"MATCH NUL",IF(AND(DATA_QUALITE!V5519="-",DATA_QUALITE!U5519="AUCUNE"),DATA_QUALITE!T5519,IF(DATA_QUALITE!V5519&lt;&gt;"-",DATA_QUALITE!V5519,DATA_CLEANED!AN1033))))</f>
        <v>France</v>
      </c>
      <c r="BH1042" s="103" t="str">
        <f>IF(AND(BG1042="MATCH NUL",DATA_CLEANED!AO1033="-"),"MATCH_NUL",IF(ISNUMBER(SEARCH("win on penalties",W5519)),"WIN_BY_PENALTY",IF(ISNUMBER(SEARCH("win after extra time",W5519)),"WIN_BY_EXTRA_TIME",IF(ISNUMBER(SEARCH("Golden Goal",W5519)),"WIN_BY_GOLDEN_GOAL","WIN_BY_SCORE"))))</f>
        <v>WIN_BY_SCORE</v>
      </c>
      <c r="BI1042" s="99" t="str">
        <f>IF(OR(BG1042=DATA_CLEANED!AK1033,BG1042=DATA_CLEANED!AN1033,BG1042="MATCH NUL"),"OK","ERREUR")</f>
        <v>OK</v>
      </c>
    </row>
    <row r="1043" spans="2:61">
      <c r="B1043" s="75">
        <v>606</v>
      </c>
      <c r="C1043" s="15" t="str">
        <v>Carl Starfelt</v>
      </c>
      <c r="D1043" s="15">
        <v>31</v>
      </c>
      <c r="E1043" s="15" t="str">
        <v>Sweden</v>
      </c>
      <c r="F1043" s="15" t="str">
        <v>CB</v>
      </c>
      <c r="G1043" s="15" t="str">
        <v>Celta Vigo</v>
      </c>
      <c r="H1043" s="15">
        <v>15</v>
      </c>
      <c r="I1043" s="15" t="str">
        <f t="shared" si="89"/>
        <v>606|Carl Starfelt|31|Sweden|CB|Celta Vigo|15</v>
      </c>
      <c r="J1043" s="15" t="str">
        <f>IF(COUNTIF(I$438:I1043,I1043)&gt;1,"DOUBLON","OK")</f>
        <v>OK</v>
      </c>
      <c r="S1043" s="30" t="str">
        <v>Croatia</v>
      </c>
      <c r="T1043" s="30" t="str">
        <f t="shared" si="90"/>
        <v>OK</v>
      </c>
      <c r="U1043" s="30" t="str">
        <f t="shared" si="91"/>
        <v>-</v>
      </c>
      <c r="V1043" s="30" t="str" cm="1">
        <f t="array" ref="V1043">_xlfn.IFS(
ISNUMBER(SEARCH("USA",S1043)),"United States",
ISNUMBER(SEARCH("Republic of Korea",S1043)),"South Korea",
ISNUMBER(SEARCH("Cape Verde",S1043)),"Cabo Verde",
ISNUMBER(SEARCH("Czechia",S1043)),"Czech Republic",
ISNUMBER(SEARCH("Türkiye",S1043)),"Turkey",
ISNUMBER(SEARCH("Ivory Coast",S1043)),"Côte d'Ivoire",
ISNUMBER(SEARCH("Korea Republic",S1043)),"South Korea",
ISNUMBER(SEARCH("Germany FR",S1043)),"FR Germany",
ISNUMBER(SEARCH("West Germany",S1043)),"FR Germany",
ISNUMBER(SEARCH("Germany DR",S1043)),"DR Germany",
ISNUMBER(SEARCH("Korea DPR",S1043)),"North Korea",
ISNUMBER(SEARCH("China PR",S1043)),"China",
ISNUMBER(SEARCH("IR Iran",S1043)),"Iran",
ISNUMBER(SEARCH("Congo DR",S1043)),"Democratic Republic of the Congo",
ISNUMBER(SEARCH("DR Congo",S1043)),"Democratic Republic of the Congo",
ISNUMBER(SEARCH("German DR",S1043)),"DR Germany",
ISNUMBER(SEARCH("rn""&gt;United Arab Emirates",S1043)),"United Arab Emirates",
ISNUMBER(SEARCH("rn""&gt;Republic of Ireland",S1043)),"Ireland",
ISNUMBER(SEARCH("rn""&gt;Bosnia and Herzegovina",S1043)),"Bosnia and Herzegovina",
ISNUMBER(SEARCH("rn""&gt;Trinidad and Tobago",S1043)),"Trinidad and Tobago",
ISNUMBER(SEARCH("rn""&gt;Serbia and Montenegro",S1043)),"Serbia and Montenegro",
ISNUMBER(SEARCH(_xlfn.UNICHAR(65533),S1043)),"Côte d'Ivoire",
TRUE,""
)</f>
        <v/>
      </c>
      <c r="W1043" s="30" t="str">
        <f t="shared" si="92"/>
        <v>Croatia</v>
      </c>
      <c r="Z1043" s="40" t="str">
        <v>Vancouver Stadium</v>
      </c>
      <c r="AA1043" s="40" t="str" cm="1">
        <f t="array" ref="AA1043">IFERROR(_xlfn.XLOOKUP(Z1043,_xlfn.ANCHORARRAY(Z$31),AA$31:AA$37),Z1043)</f>
        <v>Vancouver Stadium</v>
      </c>
      <c r="AB1043" s="42" t="str">
        <v>Vancouver</v>
      </c>
      <c r="AC1043" s="89" t="str">
        <f t="shared" si="88"/>
        <v>Vancouver</v>
      </c>
      <c r="AE1043" s="42">
        <v>2022</v>
      </c>
      <c r="AK1043" s="42">
        <v>3</v>
      </c>
      <c r="AL1043" s="42">
        <v>0</v>
      </c>
      <c r="AW1043" s="89" t="str">
        <v>ROUND_OF_32</v>
      </c>
      <c r="BE1043" s="43" t="str">
        <f>IF(OR(DATA_CLEANED!AL1034="",DATA_CLEANED!AM1034=""),"MANQUANT",IF(OR(NOT(ISNUMBER(DATA_CLEANED!AL1034)),NOT(ISNUMBER(DATA_CLEANED!AM1034))),"ENTREE INVALIDE",IF(OR(DATA_CLEANED!AL1034&lt;0,DATA_CLEANED!AM1034&lt;0),"SCORE NEGATIF","OK")))</f>
        <v>OK</v>
      </c>
      <c r="BF1043" s="43" t="str">
        <f>IF(DATA_CLEANED!AK1034&lt;&gt;DATA_CLEANED!AN1034,"OK","ERREUR")</f>
        <v>OK</v>
      </c>
      <c r="BG1043" s="43" t="str">
        <f>IF(DATA_CLEANED!AL1034&gt;DATA_CLEANED!AM1034,DATA_CLEANED!AK1034,IF(AND(DATA_QUALITE!W5520="-",DATA_CLEANED!AM1034=DATA_CLEANED!AL1034),"MATCH NUL",IF(AND(DATA_QUALITE!V5520="-",DATA_QUALITE!U5520="AUCUNE"),DATA_QUALITE!T5520,IF(DATA_QUALITE!V5520&lt;&gt;"-",DATA_QUALITE!V5520,DATA_CLEANED!AN1034))))</f>
        <v>Norway</v>
      </c>
      <c r="BH1043" s="103" t="str">
        <f>IF(AND(BG1043="MATCH NUL",DATA_CLEANED!AO1034="-"),"MATCH_NUL",IF(ISNUMBER(SEARCH("win on penalties",W5520)),"WIN_BY_PENALTY",IF(ISNUMBER(SEARCH("win after extra time",W5520)),"WIN_BY_EXTRA_TIME",IF(ISNUMBER(SEARCH("Golden Goal",W5520)),"WIN_BY_GOLDEN_GOAL","WIN_BY_SCORE"))))</f>
        <v>WIN_BY_SCORE</v>
      </c>
      <c r="BI1043" s="99" t="str">
        <f>IF(OR(BG1043=DATA_CLEANED!AK1034,BG1043=DATA_CLEANED!AN1034,BG1043="MATCH NUL"),"OK","ERREUR")</f>
        <v>OK</v>
      </c>
    </row>
    <row r="1044" spans="2:61">
      <c r="B1044" s="75">
        <v>607</v>
      </c>
      <c r="C1044" s="15" t="str">
        <v>Eric Smith</v>
      </c>
      <c r="D1044" s="15">
        <v>29</v>
      </c>
      <c r="E1044" s="15" t="str">
        <v>Sweden</v>
      </c>
      <c r="F1044" s="15" t="str">
        <v>CB</v>
      </c>
      <c r="G1044" s="15" t="str">
        <v>FC St. Pauli</v>
      </c>
      <c r="H1044" s="15">
        <v>20</v>
      </c>
      <c r="I1044" s="15" t="str">
        <f t="shared" si="89"/>
        <v>607|Eric Smith|29|Sweden|CB|FC St. Pauli|20</v>
      </c>
      <c r="J1044" s="15" t="str">
        <f>IF(COUNTIF(I$438:I1044,I1044)&gt;1,"DOUBLON","OK")</f>
        <v>OK</v>
      </c>
      <c r="S1044" s="30" t="str">
        <v>Japan</v>
      </c>
      <c r="T1044" s="30" t="str">
        <f t="shared" si="90"/>
        <v>OK</v>
      </c>
      <c r="U1044" s="30" t="str">
        <f t="shared" si="91"/>
        <v>-</v>
      </c>
      <c r="V1044" s="30" t="str" cm="1">
        <f t="array" ref="V1044">_xlfn.IFS(
ISNUMBER(SEARCH("USA",S1044)),"United States",
ISNUMBER(SEARCH("Republic of Korea",S1044)),"South Korea",
ISNUMBER(SEARCH("Cape Verde",S1044)),"Cabo Verde",
ISNUMBER(SEARCH("Czechia",S1044)),"Czech Republic",
ISNUMBER(SEARCH("Türkiye",S1044)),"Turkey",
ISNUMBER(SEARCH("Ivory Coast",S1044)),"Côte d'Ivoire",
ISNUMBER(SEARCH("Korea Republic",S1044)),"South Korea",
ISNUMBER(SEARCH("Germany FR",S1044)),"FR Germany",
ISNUMBER(SEARCH("West Germany",S1044)),"FR Germany",
ISNUMBER(SEARCH("Germany DR",S1044)),"DR Germany",
ISNUMBER(SEARCH("Korea DPR",S1044)),"North Korea",
ISNUMBER(SEARCH("China PR",S1044)),"China",
ISNUMBER(SEARCH("IR Iran",S1044)),"Iran",
ISNUMBER(SEARCH("Congo DR",S1044)),"Democratic Republic of the Congo",
ISNUMBER(SEARCH("DR Congo",S1044)),"Democratic Republic of the Congo",
ISNUMBER(SEARCH("German DR",S1044)),"DR Germany",
ISNUMBER(SEARCH("rn""&gt;United Arab Emirates",S1044)),"United Arab Emirates",
ISNUMBER(SEARCH("rn""&gt;Republic of Ireland",S1044)),"Ireland",
ISNUMBER(SEARCH("rn""&gt;Bosnia and Herzegovina",S1044)),"Bosnia and Herzegovina",
ISNUMBER(SEARCH("rn""&gt;Trinidad and Tobago",S1044)),"Trinidad and Tobago",
ISNUMBER(SEARCH("rn""&gt;Serbia and Montenegro",S1044)),"Serbia and Montenegro",
ISNUMBER(SEARCH(_xlfn.UNICHAR(65533),S1044)),"Côte d'Ivoire",
TRUE,""
)</f>
        <v/>
      </c>
      <c r="W1044" s="30" t="str">
        <f t="shared" si="92"/>
        <v>Japan</v>
      </c>
      <c r="Z1044" s="40" t="str">
        <v>Toronto Stadium</v>
      </c>
      <c r="AA1044" s="40" t="str" cm="1">
        <f t="array" ref="AA1044">IFERROR(_xlfn.XLOOKUP(Z1044,_xlfn.ANCHORARRAY(Z$31),AA$31:AA$37),Z1044)</f>
        <v>Toronto Stadium</v>
      </c>
      <c r="AB1044" s="42" t="str">
        <v>Toronto</v>
      </c>
      <c r="AC1044" s="89" t="str">
        <f t="shared" si="88"/>
        <v>Toronto</v>
      </c>
      <c r="AE1044" s="42">
        <v>2022</v>
      </c>
      <c r="AK1044" s="42">
        <v>2</v>
      </c>
      <c r="AL1044" s="42">
        <v>0</v>
      </c>
      <c r="AW1044" s="89" t="str">
        <v>ROUND_OF_32</v>
      </c>
      <c r="BE1044" s="43" t="str">
        <f>IF(OR(DATA_CLEANED!AL1035="",DATA_CLEANED!AM1035=""),"MANQUANT",IF(OR(NOT(ISNUMBER(DATA_CLEANED!AL1035)),NOT(ISNUMBER(DATA_CLEANED!AM1035))),"ENTREE INVALIDE",IF(OR(DATA_CLEANED!AL1035&lt;0,DATA_CLEANED!AM1035&lt;0),"SCORE NEGATIF","OK")))</f>
        <v>OK</v>
      </c>
      <c r="BF1044" s="43" t="str">
        <f>IF(DATA_CLEANED!AK1035&lt;&gt;DATA_CLEANED!AN1035,"OK","ERREUR")</f>
        <v>OK</v>
      </c>
      <c r="BG1044" s="43" t="str">
        <f>IF(DATA_CLEANED!AL1035&gt;DATA_CLEANED!AM1035,DATA_CLEANED!AK1035,IF(AND(DATA_QUALITE!W5521="-",DATA_CLEANED!AM1035=DATA_CLEANED!AL1035),"MATCH NUL",IF(AND(DATA_QUALITE!V5521="-",DATA_QUALITE!U5521="AUCUNE"),DATA_QUALITE!T5521,IF(DATA_QUALITE!V5521&lt;&gt;"-",DATA_QUALITE!V5521,DATA_CLEANED!AN1035))))</f>
        <v>Mexico</v>
      </c>
      <c r="BH1044" s="103" t="str">
        <f>IF(AND(BG1044="MATCH NUL",DATA_CLEANED!AO1035="-"),"MATCH_NUL",IF(ISNUMBER(SEARCH("win on penalties",W5521)),"WIN_BY_PENALTY",IF(ISNUMBER(SEARCH("win after extra time",W5521)),"WIN_BY_EXTRA_TIME",IF(ISNUMBER(SEARCH("Golden Goal",W5521)),"WIN_BY_GOLDEN_GOAL","WIN_BY_SCORE"))))</f>
        <v>WIN_BY_SCORE</v>
      </c>
      <c r="BI1044" s="99" t="str">
        <f>IF(OR(BG1044=DATA_CLEANED!AK1035,BG1044=DATA_CLEANED!AN1035,BG1044="MATCH NUL"),"OK","ERREUR")</f>
        <v>OK</v>
      </c>
    </row>
    <row r="1045" spans="2:61">
      <c r="B1045" s="75">
        <v>608</v>
      </c>
      <c r="C1045" s="15" t="str">
        <v>Gabriel Gudmundsson</v>
      </c>
      <c r="D1045" s="15">
        <v>27</v>
      </c>
      <c r="E1045" s="15" t="str">
        <v>Sweden</v>
      </c>
      <c r="F1045" s="15" t="str">
        <v>LB</v>
      </c>
      <c r="G1045" s="15" t="str">
        <v>Leeds United</v>
      </c>
      <c r="H1045" s="15">
        <v>5</v>
      </c>
      <c r="I1045" s="15" t="str">
        <f t="shared" si="89"/>
        <v>608|Gabriel Gudmundsson|27|Sweden|LB|Leeds United|5</v>
      </c>
      <c r="J1045" s="15" t="str">
        <f>IF(COUNTIF(I$438:I1045,I1045)&gt;1,"DOUBLON","OK")</f>
        <v>OK</v>
      </c>
      <c r="S1045" s="30" t="str">
        <v>Croatia</v>
      </c>
      <c r="T1045" s="30" t="str">
        <f t="shared" si="90"/>
        <v>OK</v>
      </c>
      <c r="U1045" s="30" t="str">
        <f t="shared" si="91"/>
        <v>-</v>
      </c>
      <c r="V1045" s="30" t="str" cm="1">
        <f t="array" ref="V1045">_xlfn.IFS(
ISNUMBER(SEARCH("USA",S1045)),"United States",
ISNUMBER(SEARCH("Republic of Korea",S1045)),"South Korea",
ISNUMBER(SEARCH("Cape Verde",S1045)),"Cabo Verde",
ISNUMBER(SEARCH("Czechia",S1045)),"Czech Republic",
ISNUMBER(SEARCH("Türkiye",S1045)),"Turkey",
ISNUMBER(SEARCH("Ivory Coast",S1045)),"Côte d'Ivoire",
ISNUMBER(SEARCH("Korea Republic",S1045)),"South Korea",
ISNUMBER(SEARCH("Germany FR",S1045)),"FR Germany",
ISNUMBER(SEARCH("West Germany",S1045)),"FR Germany",
ISNUMBER(SEARCH("Germany DR",S1045)),"DR Germany",
ISNUMBER(SEARCH("Korea DPR",S1045)),"North Korea",
ISNUMBER(SEARCH("China PR",S1045)),"China",
ISNUMBER(SEARCH("IR Iran",S1045)),"Iran",
ISNUMBER(SEARCH("Congo DR",S1045)),"Democratic Republic of the Congo",
ISNUMBER(SEARCH("DR Congo",S1045)),"Democratic Republic of the Congo",
ISNUMBER(SEARCH("German DR",S1045)),"DR Germany",
ISNUMBER(SEARCH("rn""&gt;United Arab Emirates",S1045)),"United Arab Emirates",
ISNUMBER(SEARCH("rn""&gt;Republic of Ireland",S1045)),"Ireland",
ISNUMBER(SEARCH("rn""&gt;Bosnia and Herzegovina",S1045)),"Bosnia and Herzegovina",
ISNUMBER(SEARCH("rn""&gt;Trinidad and Tobago",S1045)),"Trinidad and Tobago",
ISNUMBER(SEARCH("rn""&gt;Serbia and Montenegro",S1045)),"Serbia and Montenegro",
ISNUMBER(SEARCH(_xlfn.UNICHAR(65533),S1045)),"Côte d'Ivoire",
TRUE,""
)</f>
        <v/>
      </c>
      <c r="W1045" s="30" t="str">
        <f t="shared" si="92"/>
        <v>Croatia</v>
      </c>
      <c r="Z1045" s="40" t="str">
        <v>Zapopan Stadium</v>
      </c>
      <c r="AA1045" s="40" t="str" cm="1">
        <f t="array" ref="AA1045">IFERROR(_xlfn.XLOOKUP(Z1045,_xlfn.ANCHORARRAY(Z$31),AA$31:AA$37),Z1045)</f>
        <v>Zapopan Stadium</v>
      </c>
      <c r="AB1045" s="42" t="str">
        <v>Zapopan</v>
      </c>
      <c r="AC1045" s="89" t="str">
        <f t="shared" si="88"/>
        <v>Zapopan</v>
      </c>
      <c r="AE1045" s="42">
        <v>2022</v>
      </c>
      <c r="AK1045" s="42">
        <v>2</v>
      </c>
      <c r="AL1045" s="42">
        <v>1</v>
      </c>
      <c r="AW1045" s="89" t="str">
        <v>ROUND_OF_32</v>
      </c>
      <c r="BE1045" s="43" t="str">
        <f>IF(OR(DATA_CLEANED!AL1036="",DATA_CLEANED!AM1036=""),"MANQUANT",IF(OR(NOT(ISNUMBER(DATA_CLEANED!AL1036)),NOT(ISNUMBER(DATA_CLEANED!AM1036))),"ENTREE INVALIDE",IF(OR(DATA_CLEANED!AL1036&lt;0,DATA_CLEANED!AM1036&lt;0),"SCORE NEGATIF","OK")))</f>
        <v>OK</v>
      </c>
      <c r="BF1045" s="43" t="str">
        <f>IF(DATA_CLEANED!AK1036&lt;&gt;DATA_CLEANED!AN1036,"OK","ERREUR")</f>
        <v>OK</v>
      </c>
      <c r="BG1045" s="43" t="str">
        <f>IF(DATA_CLEANED!AL1036&gt;DATA_CLEANED!AM1036,DATA_CLEANED!AK1036,IF(AND(DATA_QUALITE!W5522="-",DATA_CLEANED!AM1036=DATA_CLEANED!AL1036),"MATCH NUL",IF(AND(DATA_QUALITE!V5522="-",DATA_QUALITE!U5522="AUCUNE"),DATA_QUALITE!T5522,IF(DATA_QUALITE!V5522&lt;&gt;"-",DATA_QUALITE!V5522,DATA_CLEANED!AN1036))))</f>
        <v>England</v>
      </c>
      <c r="BH1045" s="103" t="str">
        <f>IF(AND(BG1045="MATCH NUL",DATA_CLEANED!AO1036="-"),"MATCH_NUL",IF(ISNUMBER(SEARCH("win on penalties",W5522)),"WIN_BY_PENALTY",IF(ISNUMBER(SEARCH("win after extra time",W5522)),"WIN_BY_EXTRA_TIME",IF(ISNUMBER(SEARCH("Golden Goal",W5522)),"WIN_BY_GOLDEN_GOAL","WIN_BY_SCORE"))))</f>
        <v>WIN_BY_SCORE</v>
      </c>
      <c r="BI1045" s="99" t="str">
        <f>IF(OR(BG1045=DATA_CLEANED!AK1036,BG1045=DATA_CLEANED!AN1036,BG1045="MATCH NUL"),"OK","ERREUR")</f>
        <v>OK</v>
      </c>
    </row>
    <row r="1046" spans="2:61">
      <c r="B1046" s="75">
        <v>609</v>
      </c>
      <c r="C1046" s="15" t="str">
        <v>Daniel Svensson</v>
      </c>
      <c r="D1046" s="15">
        <v>24</v>
      </c>
      <c r="E1046" s="15" t="str">
        <v>Sweden</v>
      </c>
      <c r="F1046" s="15" t="str">
        <v>LB</v>
      </c>
      <c r="G1046" s="15" t="str">
        <v>Borussia Dortmund</v>
      </c>
      <c r="H1046" s="15">
        <v>8</v>
      </c>
      <c r="I1046" s="15" t="str">
        <f t="shared" si="89"/>
        <v>609|Daniel Svensson|24|Sweden|LB|Borussia Dortmund|8</v>
      </c>
      <c r="J1046" s="15" t="str">
        <f>IF(COUNTIF(I$438:I1046,I1046)&gt;1,"DOUBLON","OK")</f>
        <v>OK</v>
      </c>
      <c r="S1046" s="30" t="str">
        <v>Japan</v>
      </c>
      <c r="T1046" s="30" t="str">
        <f t="shared" si="90"/>
        <v>OK</v>
      </c>
      <c r="U1046" s="30" t="str">
        <f t="shared" si="91"/>
        <v>-</v>
      </c>
      <c r="V1046" s="30" t="str" cm="1">
        <f t="array" ref="V1046">_xlfn.IFS(
ISNUMBER(SEARCH("USA",S1046)),"United States",
ISNUMBER(SEARCH("Republic of Korea",S1046)),"South Korea",
ISNUMBER(SEARCH("Cape Verde",S1046)),"Cabo Verde",
ISNUMBER(SEARCH("Czechia",S1046)),"Czech Republic",
ISNUMBER(SEARCH("Türkiye",S1046)),"Turkey",
ISNUMBER(SEARCH("Ivory Coast",S1046)),"Côte d'Ivoire",
ISNUMBER(SEARCH("Korea Republic",S1046)),"South Korea",
ISNUMBER(SEARCH("Germany FR",S1046)),"FR Germany",
ISNUMBER(SEARCH("West Germany",S1046)),"FR Germany",
ISNUMBER(SEARCH("Germany DR",S1046)),"DR Germany",
ISNUMBER(SEARCH("Korea DPR",S1046)),"North Korea",
ISNUMBER(SEARCH("China PR",S1046)),"China",
ISNUMBER(SEARCH("IR Iran",S1046)),"Iran",
ISNUMBER(SEARCH("Congo DR",S1046)),"Democratic Republic of the Congo",
ISNUMBER(SEARCH("DR Congo",S1046)),"Democratic Republic of the Congo",
ISNUMBER(SEARCH("German DR",S1046)),"DR Germany",
ISNUMBER(SEARCH("rn""&gt;United Arab Emirates",S1046)),"United Arab Emirates",
ISNUMBER(SEARCH("rn""&gt;Republic of Ireland",S1046)),"Ireland",
ISNUMBER(SEARCH("rn""&gt;Bosnia and Herzegovina",S1046)),"Bosnia and Herzegovina",
ISNUMBER(SEARCH("rn""&gt;Trinidad and Tobago",S1046)),"Trinidad and Tobago",
ISNUMBER(SEARCH("rn""&gt;Serbia and Montenegro",S1046)),"Serbia and Montenegro",
ISNUMBER(SEARCH(_xlfn.UNICHAR(65533),S1046)),"Côte d'Ivoire",
TRUE,""
)</f>
        <v/>
      </c>
      <c r="W1046" s="30" t="str">
        <f t="shared" si="92"/>
        <v>Japan</v>
      </c>
      <c r="Z1046" s="40" t="str">
        <v>Vancouver Stadium</v>
      </c>
      <c r="AA1046" s="40" t="str" cm="1">
        <f t="array" ref="AA1046">IFERROR(_xlfn.XLOOKUP(Z1046,_xlfn.ANCHORARRAY(Z$31),AA$31:AA$37),Z1046)</f>
        <v>Vancouver Stadium</v>
      </c>
      <c r="AB1046" s="42" t="str">
        <v>Vancouver</v>
      </c>
      <c r="AC1046" s="89" t="str">
        <f t="shared" si="88"/>
        <v>Vancouver</v>
      </c>
      <c r="AE1046" s="42">
        <v>2022</v>
      </c>
      <c r="AK1046" s="42">
        <v>3</v>
      </c>
      <c r="AL1046" s="42">
        <v>3</v>
      </c>
      <c r="AW1046" s="89" t="str">
        <v>ROUND_OF_32</v>
      </c>
      <c r="BE1046" s="43" t="str">
        <f>IF(OR(DATA_CLEANED!AL1037="",DATA_CLEANED!AM1037=""),"MANQUANT",IF(OR(NOT(ISNUMBER(DATA_CLEANED!AL1037)),NOT(ISNUMBER(DATA_CLEANED!AM1037))),"ENTREE INVALIDE",IF(OR(DATA_CLEANED!AL1037&lt;0,DATA_CLEANED!AM1037&lt;0),"SCORE NEGATIF","OK")))</f>
        <v>OK</v>
      </c>
      <c r="BF1046" s="43" t="str">
        <f>IF(DATA_CLEANED!AK1037&lt;&gt;DATA_CLEANED!AN1037,"OK","ERREUR")</f>
        <v>OK</v>
      </c>
      <c r="BG1046" s="43" t="str">
        <f>IF(DATA_CLEANED!AL1037&gt;DATA_CLEANED!AM1037,DATA_CLEANED!AK1037,IF(AND(DATA_QUALITE!W5523="-",DATA_CLEANED!AM1037=DATA_CLEANED!AL1037),"MATCH NUL",IF(AND(DATA_QUALITE!V5523="-",DATA_QUALITE!U5523="AUCUNE"),DATA_QUALITE!T5523,IF(DATA_QUALITE!V5523&lt;&gt;"-",DATA_QUALITE!V5523,DATA_CLEANED!AN1037))))</f>
        <v>Belgium</v>
      </c>
      <c r="BH1046" s="103" t="str">
        <f>IF(AND(BG1046="MATCH NUL",DATA_CLEANED!AO1037="-"),"MATCH_NUL",IF(ISNUMBER(SEARCH("win on penalties",W5523)),"WIN_BY_PENALTY",IF(ISNUMBER(SEARCH("win after extra time",W5523)),"WIN_BY_EXTRA_TIME",IF(ISNUMBER(SEARCH("Golden Goal",W5523)),"WIN_BY_GOLDEN_GOAL","WIN_BY_SCORE"))))</f>
        <v>WIN_BY_EXTRA_TIME</v>
      </c>
      <c r="BI1046" s="99" t="str">
        <f>IF(OR(BG1046=DATA_CLEANED!AK1037,BG1046=DATA_CLEANED!AN1037,BG1046="MATCH NUL"),"OK","ERREUR")</f>
        <v>OK</v>
      </c>
    </row>
    <row r="1047" spans="2:61">
      <c r="B1047" s="75">
        <v>610</v>
      </c>
      <c r="C1047" s="15" t="str">
        <v>Elliot Stroud</v>
      </c>
      <c r="D1047" s="15">
        <v>23</v>
      </c>
      <c r="E1047" s="15" t="str">
        <v>Sweden</v>
      </c>
      <c r="F1047" s="15" t="str">
        <v>LB</v>
      </c>
      <c r="G1047" s="15" t="str">
        <v>Mjällby AIF</v>
      </c>
      <c r="H1047" s="15">
        <v>24</v>
      </c>
      <c r="I1047" s="15" t="str">
        <f t="shared" si="89"/>
        <v>610|Elliot Stroud|23|Sweden|LB|Mjällby AIF|24</v>
      </c>
      <c r="J1047" s="15" t="str">
        <f>IF(COUNTIF(I$438:I1047,I1047)&gt;1,"DOUBLON","OK")</f>
        <v>OK</v>
      </c>
      <c r="S1047" s="30" t="str">
        <v>Croatia</v>
      </c>
      <c r="T1047" s="30" t="str">
        <f t="shared" si="90"/>
        <v>OK</v>
      </c>
      <c r="U1047" s="30" t="str">
        <f t="shared" si="91"/>
        <v>-</v>
      </c>
      <c r="V1047" s="30" t="str" cm="1">
        <f t="array" ref="V1047">_xlfn.IFS(
ISNUMBER(SEARCH("USA",S1047)),"United States",
ISNUMBER(SEARCH("Republic of Korea",S1047)),"South Korea",
ISNUMBER(SEARCH("Cape Verde",S1047)),"Cabo Verde",
ISNUMBER(SEARCH("Czechia",S1047)),"Czech Republic",
ISNUMBER(SEARCH("Türkiye",S1047)),"Turkey",
ISNUMBER(SEARCH("Ivory Coast",S1047)),"Côte d'Ivoire",
ISNUMBER(SEARCH("Korea Republic",S1047)),"South Korea",
ISNUMBER(SEARCH("Germany FR",S1047)),"FR Germany",
ISNUMBER(SEARCH("West Germany",S1047)),"FR Germany",
ISNUMBER(SEARCH("Germany DR",S1047)),"DR Germany",
ISNUMBER(SEARCH("Korea DPR",S1047)),"North Korea",
ISNUMBER(SEARCH("China PR",S1047)),"China",
ISNUMBER(SEARCH("IR Iran",S1047)),"Iran",
ISNUMBER(SEARCH("Congo DR",S1047)),"Democratic Republic of the Congo",
ISNUMBER(SEARCH("DR Congo",S1047)),"Democratic Republic of the Congo",
ISNUMBER(SEARCH("German DR",S1047)),"DR Germany",
ISNUMBER(SEARCH("rn""&gt;United Arab Emirates",S1047)),"United Arab Emirates",
ISNUMBER(SEARCH("rn""&gt;Republic of Ireland",S1047)),"Ireland",
ISNUMBER(SEARCH("rn""&gt;Bosnia and Herzegovina",S1047)),"Bosnia and Herzegovina",
ISNUMBER(SEARCH("rn""&gt;Trinidad and Tobago",S1047)),"Trinidad and Tobago",
ISNUMBER(SEARCH("rn""&gt;Serbia and Montenegro",S1047)),"Serbia and Montenegro",
ISNUMBER(SEARCH(_xlfn.UNICHAR(65533),S1047)),"Côte d'Ivoire",
TRUE,""
)</f>
        <v/>
      </c>
      <c r="W1047" s="30" t="str">
        <f t="shared" si="92"/>
        <v>Croatia</v>
      </c>
      <c r="Z1047" s="40" t="str">
        <v>Seattle Stadium</v>
      </c>
      <c r="AA1047" s="40" t="str" cm="1">
        <f t="array" ref="AA1047">IFERROR(_xlfn.XLOOKUP(Z1047,_xlfn.ANCHORARRAY(Z$31),AA$31:AA$37),Z1047)</f>
        <v>Seattle Stadium</v>
      </c>
      <c r="AB1047" s="42" t="str">
        <v>Seattle</v>
      </c>
      <c r="AC1047" s="89" t="str">
        <f t="shared" si="88"/>
        <v>Seattle</v>
      </c>
      <c r="AE1047" s="42">
        <v>2026</v>
      </c>
      <c r="AK1047" s="42">
        <v>2</v>
      </c>
      <c r="AL1047" s="42">
        <v>0</v>
      </c>
      <c r="AW1047" s="89" t="str">
        <v>ROUND_OF_32</v>
      </c>
      <c r="BE1047" s="43" t="str">
        <f>IF(OR(DATA_CLEANED!AL1038="",DATA_CLEANED!AM1038=""),"MANQUANT",IF(OR(NOT(ISNUMBER(DATA_CLEANED!AL1038)),NOT(ISNUMBER(DATA_CLEANED!AM1038))),"ENTREE INVALIDE",IF(OR(DATA_CLEANED!AL1038&lt;0,DATA_CLEANED!AM1038&lt;0),"SCORE NEGATIF","OK")))</f>
        <v>OK</v>
      </c>
      <c r="BF1047" s="43" t="str">
        <f>IF(DATA_CLEANED!AK1038&lt;&gt;DATA_CLEANED!AN1038,"OK","ERREUR")</f>
        <v>OK</v>
      </c>
      <c r="BG1047" s="43" t="str">
        <f>IF(DATA_CLEANED!AL1038&gt;DATA_CLEANED!AM1038,DATA_CLEANED!AK1038,IF(AND(DATA_QUALITE!W5524="-",DATA_CLEANED!AM1038=DATA_CLEANED!AL1038),"MATCH NUL",IF(AND(DATA_QUALITE!V5524="-",DATA_QUALITE!U5524="AUCUNE"),DATA_QUALITE!T5524,IF(DATA_QUALITE!V5524&lt;&gt;"-",DATA_QUALITE!V5524,DATA_CLEANED!AN1038))))</f>
        <v>United States</v>
      </c>
      <c r="BH1047" s="103" t="str">
        <f>IF(AND(BG1047="MATCH NUL",DATA_CLEANED!AO1038="-"),"MATCH_NUL",IF(ISNUMBER(SEARCH("win on penalties",W5524)),"WIN_BY_PENALTY",IF(ISNUMBER(SEARCH("win after extra time",W5524)),"WIN_BY_EXTRA_TIME",IF(ISNUMBER(SEARCH("Golden Goal",W5524)),"WIN_BY_GOLDEN_GOAL","WIN_BY_SCORE"))))</f>
        <v>WIN_BY_SCORE</v>
      </c>
      <c r="BI1047" s="99" t="str">
        <f>IF(OR(BG1047=DATA_CLEANED!AK1038,BG1047=DATA_CLEANED!AN1038,BG1047="MATCH NUL"),"OK","ERREUR")</f>
        <v>OK</v>
      </c>
    </row>
    <row r="1048" spans="2:61">
      <c r="B1048" s="75">
        <v>611</v>
      </c>
      <c r="C1048" s="15" t="str">
        <v>Herman Johansson</v>
      </c>
      <c r="D1048" s="15">
        <v>28</v>
      </c>
      <c r="E1048" s="15" t="str">
        <v>Sweden</v>
      </c>
      <c r="F1048" s="15" t="str">
        <v>RB</v>
      </c>
      <c r="G1048" s="15" t="str">
        <v>FC Dallas</v>
      </c>
      <c r="H1048" s="15">
        <v>6</v>
      </c>
      <c r="I1048" s="15" t="str">
        <f t="shared" si="89"/>
        <v>611|Herman Johansson|28|Sweden|RB|FC Dallas|6</v>
      </c>
      <c r="J1048" s="15" t="str">
        <f>IF(COUNTIF(I$438:I1048,I1048)&gt;1,"DOUBLON","OK")</f>
        <v>OK</v>
      </c>
      <c r="S1048" s="30" t="str">
        <v>Japan</v>
      </c>
      <c r="T1048" s="30" t="str">
        <f t="shared" si="90"/>
        <v>OK</v>
      </c>
      <c r="U1048" s="30" t="str">
        <f t="shared" si="91"/>
        <v>-</v>
      </c>
      <c r="V1048" s="30" t="str" cm="1">
        <f t="array" ref="V1048">_xlfn.IFS(
ISNUMBER(SEARCH("USA",S1048)),"United States",
ISNUMBER(SEARCH("Republic of Korea",S1048)),"South Korea",
ISNUMBER(SEARCH("Cape Verde",S1048)),"Cabo Verde",
ISNUMBER(SEARCH("Czechia",S1048)),"Czech Republic",
ISNUMBER(SEARCH("Türkiye",S1048)),"Turkey",
ISNUMBER(SEARCH("Ivory Coast",S1048)),"Côte d'Ivoire",
ISNUMBER(SEARCH("Korea Republic",S1048)),"South Korea",
ISNUMBER(SEARCH("Germany FR",S1048)),"FR Germany",
ISNUMBER(SEARCH("West Germany",S1048)),"FR Germany",
ISNUMBER(SEARCH("Germany DR",S1048)),"DR Germany",
ISNUMBER(SEARCH("Korea DPR",S1048)),"North Korea",
ISNUMBER(SEARCH("China PR",S1048)),"China",
ISNUMBER(SEARCH("IR Iran",S1048)),"Iran",
ISNUMBER(SEARCH("Congo DR",S1048)),"Democratic Republic of the Congo",
ISNUMBER(SEARCH("DR Congo",S1048)),"Democratic Republic of the Congo",
ISNUMBER(SEARCH("German DR",S1048)),"DR Germany",
ISNUMBER(SEARCH("rn""&gt;United Arab Emirates",S1048)),"United Arab Emirates",
ISNUMBER(SEARCH("rn""&gt;Republic of Ireland",S1048)),"Ireland",
ISNUMBER(SEARCH("rn""&gt;Bosnia and Herzegovina",S1048)),"Bosnia and Herzegovina",
ISNUMBER(SEARCH("rn""&gt;Trinidad and Tobago",S1048)),"Trinidad and Tobago",
ISNUMBER(SEARCH("rn""&gt;Serbia and Montenegro",S1048)),"Serbia and Montenegro",
ISNUMBER(SEARCH(_xlfn.UNICHAR(65533),S1048)),"Côte d'Ivoire",
TRUE,""
)</f>
        <v/>
      </c>
      <c r="W1048" s="30" t="str">
        <f t="shared" si="92"/>
        <v>Japan</v>
      </c>
      <c r="Z1048" s="40" t="str">
        <v>Atlanta Stadium</v>
      </c>
      <c r="AA1048" s="40" t="str" cm="1">
        <f t="array" ref="AA1048">IFERROR(_xlfn.XLOOKUP(Z1048,_xlfn.ANCHORARRAY(Z$31),AA$31:AA$37),Z1048)</f>
        <v>Atlanta Stadium</v>
      </c>
      <c r="AB1048" s="42" t="str">
        <v>Atlanta</v>
      </c>
      <c r="AC1048" s="89" t="str">
        <f t="shared" si="88"/>
        <v>Atlanta</v>
      </c>
      <c r="AE1048" s="42">
        <v>2026</v>
      </c>
      <c r="AK1048" s="42">
        <v>2</v>
      </c>
      <c r="AL1048" s="42">
        <v>1</v>
      </c>
      <c r="AW1048" s="89" t="str">
        <v>ROUND_OF_32</v>
      </c>
      <c r="BE1048" s="43" t="str">
        <f>IF(OR(DATA_CLEANED!AL1039="",DATA_CLEANED!AM1039=""),"MANQUANT",IF(OR(NOT(ISNUMBER(DATA_CLEANED!AL1039)),NOT(ISNUMBER(DATA_CLEANED!AM1039))),"ENTREE INVALIDE",IF(OR(DATA_CLEANED!AL1039&lt;0,DATA_CLEANED!AM1039&lt;0),"SCORE NEGATIF","OK")))</f>
        <v>OK</v>
      </c>
      <c r="BF1048" s="43" t="str">
        <f>IF(DATA_CLEANED!AK1039&lt;&gt;DATA_CLEANED!AN1039,"OK","ERREUR")</f>
        <v>OK</v>
      </c>
      <c r="BG1048" s="43" t="str">
        <f>IF(DATA_CLEANED!AL1039&gt;DATA_CLEANED!AM1039,DATA_CLEANED!AK1039,IF(AND(DATA_QUALITE!W5525="-",DATA_CLEANED!AM1039=DATA_CLEANED!AL1039),"MATCH NUL",IF(AND(DATA_QUALITE!V5525="-",DATA_QUALITE!U5525="AUCUNE"),DATA_QUALITE!T5525,IF(DATA_QUALITE!V5525&lt;&gt;"-",DATA_QUALITE!V5525,DATA_CLEANED!AN1039))))</f>
        <v>Portugal</v>
      </c>
      <c r="BH1048" s="103" t="str">
        <f>IF(AND(BG1048="MATCH NUL",DATA_CLEANED!AO1039="-"),"MATCH_NUL",IF(ISNUMBER(SEARCH("win on penalties",W5525)),"WIN_BY_PENALTY",IF(ISNUMBER(SEARCH("win after extra time",W5525)),"WIN_BY_EXTRA_TIME",IF(ISNUMBER(SEARCH("Golden Goal",W5525)),"WIN_BY_GOLDEN_GOAL","WIN_BY_SCORE"))))</f>
        <v>WIN_BY_SCORE</v>
      </c>
      <c r="BI1048" s="99" t="str">
        <f>IF(OR(BG1048=DATA_CLEANED!AK1039,BG1048=DATA_CLEANED!AN1039,BG1048="MATCH NUL"),"OK","ERREUR")</f>
        <v>OK</v>
      </c>
    </row>
    <row r="1049" spans="2:61">
      <c r="B1049" s="75">
        <v>612</v>
      </c>
      <c r="C1049" s="15" t="str">
        <v>Alexander Bernhardsson</v>
      </c>
      <c r="D1049" s="15">
        <v>27</v>
      </c>
      <c r="E1049" s="15" t="str">
        <v>Sweden</v>
      </c>
      <c r="F1049" s="15" t="str">
        <v>RB</v>
      </c>
      <c r="G1049" s="15" t="str">
        <v>Holstein Kiel</v>
      </c>
      <c r="H1049" s="15">
        <v>21</v>
      </c>
      <c r="I1049" s="15" t="str">
        <f t="shared" si="89"/>
        <v>612|Alexander Bernhardsson|27|Sweden|RB|Holstein Kiel|21</v>
      </c>
      <c r="J1049" s="15" t="str">
        <f>IF(COUNTIF(I$438:I1049,I1049)&gt;1,"DOUBLON","OK")</f>
        <v>OK</v>
      </c>
      <c r="S1049" s="30" t="str">
        <v>Croatia</v>
      </c>
      <c r="T1049" s="30" t="str">
        <f t="shared" si="90"/>
        <v>OK</v>
      </c>
      <c r="U1049" s="30" t="str">
        <f t="shared" si="91"/>
        <v>-</v>
      </c>
      <c r="V1049" s="30" t="str" cm="1">
        <f t="array" ref="V1049">_xlfn.IFS(
ISNUMBER(SEARCH("USA",S1049)),"United States",
ISNUMBER(SEARCH("Republic of Korea",S1049)),"South Korea",
ISNUMBER(SEARCH("Cape Verde",S1049)),"Cabo Verde",
ISNUMBER(SEARCH("Czechia",S1049)),"Czech Republic",
ISNUMBER(SEARCH("Türkiye",S1049)),"Turkey",
ISNUMBER(SEARCH("Ivory Coast",S1049)),"Côte d'Ivoire",
ISNUMBER(SEARCH("Korea Republic",S1049)),"South Korea",
ISNUMBER(SEARCH("Germany FR",S1049)),"FR Germany",
ISNUMBER(SEARCH("West Germany",S1049)),"FR Germany",
ISNUMBER(SEARCH("Germany DR",S1049)),"DR Germany",
ISNUMBER(SEARCH("Korea DPR",S1049)),"North Korea",
ISNUMBER(SEARCH("China PR",S1049)),"China",
ISNUMBER(SEARCH("IR Iran",S1049)),"Iran",
ISNUMBER(SEARCH("Congo DR",S1049)),"Democratic Republic of the Congo",
ISNUMBER(SEARCH("DR Congo",S1049)),"Democratic Republic of the Congo",
ISNUMBER(SEARCH("German DR",S1049)),"DR Germany",
ISNUMBER(SEARCH("rn""&gt;United Arab Emirates",S1049)),"United Arab Emirates",
ISNUMBER(SEARCH("rn""&gt;Republic of Ireland",S1049)),"Ireland",
ISNUMBER(SEARCH("rn""&gt;Bosnia and Herzegovina",S1049)),"Bosnia and Herzegovina",
ISNUMBER(SEARCH("rn""&gt;Trinidad and Tobago",S1049)),"Trinidad and Tobago",
ISNUMBER(SEARCH("rn""&gt;Serbia and Montenegro",S1049)),"Serbia and Montenegro",
ISNUMBER(SEARCH(_xlfn.UNICHAR(65533),S1049)),"Côte d'Ivoire",
TRUE,""
)</f>
        <v/>
      </c>
      <c r="W1049" s="30" t="str">
        <f t="shared" si="92"/>
        <v>Croatia</v>
      </c>
      <c r="Z1049" s="40" t="str">
        <v>Miami Stadium</v>
      </c>
      <c r="AA1049" s="40" t="str" cm="1">
        <f t="array" ref="AA1049">IFERROR(_xlfn.XLOOKUP(Z1049,_xlfn.ANCHORARRAY(Z$31),AA$31:AA$37),Z1049)</f>
        <v>Miami Stadium</v>
      </c>
      <c r="AB1049" s="42" t="str">
        <v>Miami</v>
      </c>
      <c r="AC1049" s="89" t="str">
        <f t="shared" si="88"/>
        <v>Miami</v>
      </c>
      <c r="AE1049" s="42">
        <v>2026</v>
      </c>
      <c r="AK1049" s="42">
        <v>1</v>
      </c>
      <c r="AL1049" s="42">
        <v>1</v>
      </c>
      <c r="AW1049" s="89" t="str">
        <v>ROUND_OF_32</v>
      </c>
      <c r="BE1049" s="43" t="str">
        <f>IF(OR(DATA_CLEANED!AL1040="",DATA_CLEANED!AM1040=""),"MANQUANT",IF(OR(NOT(ISNUMBER(DATA_CLEANED!AL1040)),NOT(ISNUMBER(DATA_CLEANED!AM1040))),"ENTREE INVALIDE",IF(OR(DATA_CLEANED!AL1040&lt;0,DATA_CLEANED!AM1040&lt;0),"SCORE NEGATIF","OK")))</f>
        <v>OK</v>
      </c>
      <c r="BF1049" s="43" t="str">
        <f>IF(DATA_CLEANED!AK1040&lt;&gt;DATA_CLEANED!AN1040,"OK","ERREUR")</f>
        <v>OK</v>
      </c>
      <c r="BG1049" s="43" t="str">
        <f>IF(DATA_CLEANED!AL1040&gt;DATA_CLEANED!AM1040,DATA_CLEANED!AK1040,IF(AND(DATA_QUALITE!W5526="-",DATA_CLEANED!AM1040=DATA_CLEANED!AL1040),"MATCH NUL",IF(AND(DATA_QUALITE!V5526="-",DATA_QUALITE!U5526="AUCUNE"),DATA_QUALITE!T5526,IF(DATA_QUALITE!V5526&lt;&gt;"-",DATA_QUALITE!V5526,DATA_CLEANED!AN1040))))</f>
        <v>Spain</v>
      </c>
      <c r="BH1049" s="103" t="str">
        <f>IF(AND(BG1049="MATCH NUL",DATA_CLEANED!AO1040="-"),"MATCH_NUL",IF(ISNUMBER(SEARCH("win on penalties",W5526)),"WIN_BY_PENALTY",IF(ISNUMBER(SEARCH("win after extra time",W5526)),"WIN_BY_EXTRA_TIME",IF(ISNUMBER(SEARCH("Golden Goal",W5526)),"WIN_BY_GOLDEN_GOAL","WIN_BY_SCORE"))))</f>
        <v>WIN_BY_SCORE</v>
      </c>
      <c r="BI1049" s="99" t="str">
        <f>IF(OR(BG1049=DATA_CLEANED!AK1040,BG1049=DATA_CLEANED!AN1040,BG1049="MATCH NUL"),"OK","ERREUR")</f>
        <v>OK</v>
      </c>
    </row>
    <row r="1050" spans="2:61">
      <c r="B1050" s="75">
        <v>613</v>
      </c>
      <c r="C1050" s="15" t="str">
        <v>Jesper Karlström</v>
      </c>
      <c r="D1050" s="15">
        <v>30</v>
      </c>
      <c r="E1050" s="15" t="str">
        <v>Sweden</v>
      </c>
      <c r="F1050" s="15" t="str">
        <v>CDM</v>
      </c>
      <c r="G1050" s="15" t="str">
        <v>Udinese</v>
      </c>
      <c r="H1050" s="15">
        <v>16</v>
      </c>
      <c r="I1050" s="15" t="str">
        <f t="shared" si="89"/>
        <v>613|Jesper Karlström|30|Sweden|CDM|Udinese|16</v>
      </c>
      <c r="J1050" s="15" t="str">
        <f>IF(COUNTIF(I$438:I1050,I1050)&gt;1,"DOUBLON","OK")</f>
        <v>OK</v>
      </c>
      <c r="S1050" s="30" t="str">
        <v>Morocco</v>
      </c>
      <c r="T1050" s="30" t="str">
        <f t="shared" si="90"/>
        <v>OK</v>
      </c>
      <c r="U1050" s="30" t="str">
        <f t="shared" si="91"/>
        <v>-</v>
      </c>
      <c r="V1050" s="30" t="str" cm="1">
        <f t="array" ref="V1050">_xlfn.IFS(
ISNUMBER(SEARCH("USA",S1050)),"United States",
ISNUMBER(SEARCH("Republic of Korea",S1050)),"South Korea",
ISNUMBER(SEARCH("Cape Verde",S1050)),"Cabo Verde",
ISNUMBER(SEARCH("Czechia",S1050)),"Czech Republic",
ISNUMBER(SEARCH("Türkiye",S1050)),"Turkey",
ISNUMBER(SEARCH("Ivory Coast",S1050)),"Côte d'Ivoire",
ISNUMBER(SEARCH("Korea Republic",S1050)),"South Korea",
ISNUMBER(SEARCH("Germany FR",S1050)),"FR Germany",
ISNUMBER(SEARCH("West Germany",S1050)),"FR Germany",
ISNUMBER(SEARCH("Germany DR",S1050)),"DR Germany",
ISNUMBER(SEARCH("Korea DPR",S1050)),"North Korea",
ISNUMBER(SEARCH("China PR",S1050)),"China",
ISNUMBER(SEARCH("IR Iran",S1050)),"Iran",
ISNUMBER(SEARCH("Congo DR",S1050)),"Democratic Republic of the Congo",
ISNUMBER(SEARCH("DR Congo",S1050)),"Democratic Republic of the Congo",
ISNUMBER(SEARCH("German DR",S1050)),"DR Germany",
ISNUMBER(SEARCH("rn""&gt;United Arab Emirates",S1050)),"United Arab Emirates",
ISNUMBER(SEARCH("rn""&gt;Republic of Ireland",S1050)),"Ireland",
ISNUMBER(SEARCH("rn""&gt;Bosnia and Herzegovina",S1050)),"Bosnia and Herzegovina",
ISNUMBER(SEARCH("rn""&gt;Trinidad and Tobago",S1050)),"Trinidad and Tobago",
ISNUMBER(SEARCH("rn""&gt;Serbia and Montenegro",S1050)),"Serbia and Montenegro",
ISNUMBER(SEARCH(_xlfn.UNICHAR(65533),S1050)),"Côte d'Ivoire",
TRUE,""
)</f>
        <v/>
      </c>
      <c r="W1050" s="30" t="str">
        <f t="shared" si="92"/>
        <v>Morocco</v>
      </c>
      <c r="Z1050" s="40" t="str">
        <v>Guadalajara Stadium</v>
      </c>
      <c r="AA1050" s="40" t="str" cm="1">
        <f t="array" ref="AA1050">IFERROR(_xlfn.XLOOKUP(Z1050,_xlfn.ANCHORARRAY(Z$31),AA$31:AA$37),Z1050)</f>
        <v>Guadalajara Stadium</v>
      </c>
      <c r="AB1050" s="42" t="str">
        <v>Guadalajara</v>
      </c>
      <c r="AC1050" s="89" t="str">
        <f t="shared" si="88"/>
        <v>Guadalajara</v>
      </c>
      <c r="AE1050" s="42">
        <v>2026</v>
      </c>
      <c r="AK1050" s="42">
        <v>4</v>
      </c>
      <c r="AL1050" s="42">
        <v>1</v>
      </c>
      <c r="AW1050" s="89" t="str">
        <v>ROUND_OF_32</v>
      </c>
      <c r="BE1050" s="43" t="str">
        <f>IF(OR(DATA_CLEANED!AL1041="",DATA_CLEANED!AM1041=""),"MANQUANT",IF(OR(NOT(ISNUMBER(DATA_CLEANED!AL1041)),NOT(ISNUMBER(DATA_CLEANED!AM1041))),"ENTREE INVALIDE",IF(OR(DATA_CLEANED!AL1041&lt;0,DATA_CLEANED!AM1041&lt;0),"SCORE NEGATIF","OK")))</f>
        <v>OK</v>
      </c>
      <c r="BF1050" s="43" t="str">
        <f>IF(DATA_CLEANED!AK1041&lt;&gt;DATA_CLEANED!AN1041,"OK","ERREUR")</f>
        <v>OK</v>
      </c>
      <c r="BG1050" s="43" t="str">
        <f>IF(DATA_CLEANED!AL1041&gt;DATA_CLEANED!AM1041,DATA_CLEANED!AK1041,IF(AND(DATA_QUALITE!W5527="-",DATA_CLEANED!AM1041=DATA_CLEANED!AL1041),"MATCH NUL",IF(AND(DATA_QUALITE!V5527="-",DATA_QUALITE!U5527="AUCUNE"),DATA_QUALITE!T5527,IF(DATA_QUALITE!V5527&lt;&gt;"-",DATA_QUALITE!V5527,DATA_CLEANED!AN1041))))</f>
        <v>Switzerland</v>
      </c>
      <c r="BH1050" s="103" t="str">
        <f>IF(AND(BG1050="MATCH NUL",DATA_CLEANED!AO1041="-"),"MATCH_NUL",IF(ISNUMBER(SEARCH("win on penalties",W5527)),"WIN_BY_PENALTY",IF(ISNUMBER(SEARCH("win after extra time",W5527)),"WIN_BY_EXTRA_TIME",IF(ISNUMBER(SEARCH("Golden Goal",W5527)),"WIN_BY_GOLDEN_GOAL","WIN_BY_SCORE"))))</f>
        <v>WIN_BY_SCORE</v>
      </c>
      <c r="BI1050" s="99" t="str">
        <f>IF(OR(BG1050=DATA_CLEANED!AK1041,BG1050=DATA_CLEANED!AN1041,BG1050="MATCH NUL"),"OK","ERREUR")</f>
        <v>OK</v>
      </c>
    </row>
    <row r="1051" spans="2:61">
      <c r="B1051" s="75">
        <v>614</v>
      </c>
      <c r="C1051" s="15" t="str">
        <v>Lucas Bergvall</v>
      </c>
      <c r="D1051" s="15">
        <v>20</v>
      </c>
      <c r="E1051" s="15" t="str">
        <v>Sweden</v>
      </c>
      <c r="F1051" s="15" t="str">
        <v>CM</v>
      </c>
      <c r="G1051" s="15" t="str">
        <v>Tottenham Hotspur</v>
      </c>
      <c r="H1051" s="15">
        <v>7</v>
      </c>
      <c r="I1051" s="15" t="str">
        <f t="shared" si="89"/>
        <v>614|Lucas Bergvall|20|Sweden|CM|Tottenham Hotspur|7</v>
      </c>
      <c r="J1051" s="15" t="str">
        <f>IF(COUNTIF(I$438:I1051,I1051)&gt;1,"DOUBLON","OK")</f>
        <v>OK</v>
      </c>
      <c r="S1051" s="30" t="str">
        <v>Spain</v>
      </c>
      <c r="T1051" s="30" t="str">
        <f t="shared" si="90"/>
        <v>OK</v>
      </c>
      <c r="U1051" s="30" t="str">
        <f t="shared" si="91"/>
        <v>-</v>
      </c>
      <c r="V1051" s="30" t="str" cm="1">
        <f t="array" ref="V1051">_xlfn.IFS(
ISNUMBER(SEARCH("USA",S1051)),"United States",
ISNUMBER(SEARCH("Republic of Korea",S1051)),"South Korea",
ISNUMBER(SEARCH("Cape Verde",S1051)),"Cabo Verde",
ISNUMBER(SEARCH("Czechia",S1051)),"Czech Republic",
ISNUMBER(SEARCH("Türkiye",S1051)),"Turkey",
ISNUMBER(SEARCH("Ivory Coast",S1051)),"Côte d'Ivoire",
ISNUMBER(SEARCH("Korea Republic",S1051)),"South Korea",
ISNUMBER(SEARCH("Germany FR",S1051)),"FR Germany",
ISNUMBER(SEARCH("West Germany",S1051)),"FR Germany",
ISNUMBER(SEARCH("Germany DR",S1051)),"DR Germany",
ISNUMBER(SEARCH("Korea DPR",S1051)),"North Korea",
ISNUMBER(SEARCH("China PR",S1051)),"China",
ISNUMBER(SEARCH("IR Iran",S1051)),"Iran",
ISNUMBER(SEARCH("Congo DR",S1051)),"Democratic Republic of the Congo",
ISNUMBER(SEARCH("DR Congo",S1051)),"Democratic Republic of the Congo",
ISNUMBER(SEARCH("German DR",S1051)),"DR Germany",
ISNUMBER(SEARCH("rn""&gt;United Arab Emirates",S1051)),"United Arab Emirates",
ISNUMBER(SEARCH("rn""&gt;Republic of Ireland",S1051)),"Ireland",
ISNUMBER(SEARCH("rn""&gt;Bosnia and Herzegovina",S1051)),"Bosnia and Herzegovina",
ISNUMBER(SEARCH("rn""&gt;Trinidad and Tobago",S1051)),"Trinidad and Tobago",
ISNUMBER(SEARCH("rn""&gt;Serbia and Montenegro",S1051)),"Serbia and Montenegro",
ISNUMBER(SEARCH(_xlfn.UNICHAR(65533),S1051)),"Côte d'Ivoire",
TRUE,""
)</f>
        <v/>
      </c>
      <c r="W1051" s="30" t="str">
        <f t="shared" si="92"/>
        <v>Spain</v>
      </c>
      <c r="Z1051" s="40" t="str">
        <v>Mexico City Stadium</v>
      </c>
      <c r="AA1051" s="40" t="str" cm="1">
        <f t="array" ref="AA1051">IFERROR(_xlfn.XLOOKUP(Z1051,_xlfn.ANCHORARRAY(Z$31),AA$31:AA$37),Z1051)</f>
        <v>Mexico City Stadium</v>
      </c>
      <c r="AB1051" s="42" t="str">
        <v>Mexico City</v>
      </c>
      <c r="AC1051" s="89" t="str">
        <f t="shared" si="88"/>
        <v>Mexico City</v>
      </c>
      <c r="AE1051" s="42">
        <v>2026</v>
      </c>
      <c r="AK1051" s="42">
        <v>0</v>
      </c>
      <c r="AL1051" s="42">
        <v>1</v>
      </c>
      <c r="AW1051" s="89" t="str">
        <v>ROUND_OF_32</v>
      </c>
      <c r="BE1051" s="43" t="str">
        <f>IF(OR(DATA_CLEANED!AL1042="",DATA_CLEANED!AM1042=""),"MANQUANT",IF(OR(NOT(ISNUMBER(DATA_CLEANED!AL1042)),NOT(ISNUMBER(DATA_CLEANED!AM1042))),"ENTREE INVALIDE",IF(OR(DATA_CLEANED!AL1042&lt;0,DATA_CLEANED!AM1042&lt;0),"SCORE NEGATIF","OK")))</f>
        <v>OK</v>
      </c>
      <c r="BF1051" s="43" t="str">
        <f>IF(DATA_CLEANED!AK1042&lt;&gt;DATA_CLEANED!AN1042,"OK","ERREUR")</f>
        <v>OK</v>
      </c>
      <c r="BG1051" s="43" t="str">
        <f>IF(DATA_CLEANED!AL1042&gt;DATA_CLEANED!AM1042,DATA_CLEANED!AK1042,IF(AND(DATA_QUALITE!W5528="-",DATA_CLEANED!AM1042=DATA_CLEANED!AL1042),"MATCH NUL",IF(AND(DATA_QUALITE!V5528="-",DATA_QUALITE!U5528="AUCUNE"),DATA_QUALITE!T5528,IF(DATA_QUALITE!V5528&lt;&gt;"-",DATA_QUALITE!V5528,DATA_CLEANED!AN1042))))</f>
        <v>Egypt</v>
      </c>
      <c r="BH1051" s="103" t="str">
        <f>IF(AND(BG1051="MATCH NUL",DATA_CLEANED!AO1042="-"),"MATCH_NUL",IF(ISNUMBER(SEARCH("win on penalties",W5528)),"WIN_BY_PENALTY",IF(ISNUMBER(SEARCH("win after extra time",W5528)),"WIN_BY_EXTRA_TIME",IF(ISNUMBER(SEARCH("Golden Goal",W5528)),"WIN_BY_GOLDEN_GOAL","WIN_BY_SCORE"))))</f>
        <v>WIN_BY_PENALTY</v>
      </c>
      <c r="BI1051" s="99" t="str">
        <f>IF(OR(BG1051=DATA_CLEANED!AK1042,BG1051=DATA_CLEANED!AN1042,BG1051="MATCH NUL"),"OK","ERREUR")</f>
        <v>OK</v>
      </c>
    </row>
    <row r="1052" spans="2:61">
      <c r="B1052" s="75">
        <v>615</v>
      </c>
      <c r="C1052" s="15" t="str">
        <v>Yasin Ayari</v>
      </c>
      <c r="D1052" s="15">
        <v>22</v>
      </c>
      <c r="E1052" s="15" t="str">
        <v>Sweden</v>
      </c>
      <c r="F1052" s="15" t="str">
        <v>CM</v>
      </c>
      <c r="G1052" s="15" t="str">
        <v>Brighton &amp; Hove Albion</v>
      </c>
      <c r="H1052" s="15">
        <v>18</v>
      </c>
      <c r="I1052" s="15" t="str">
        <f t="shared" si="89"/>
        <v>615|Yasin Ayari|22|Sweden|CM|Brighton &amp; Hove Albion|18</v>
      </c>
      <c r="J1052" s="15" t="str">
        <f>IF(COUNTIF(I$438:I1052,I1052)&gt;1,"DOUBLON","OK")</f>
        <v>OK</v>
      </c>
      <c r="S1052" s="30" t="str">
        <v>Morocco</v>
      </c>
      <c r="T1052" s="30" t="str">
        <f t="shared" si="90"/>
        <v>OK</v>
      </c>
      <c r="U1052" s="30" t="str">
        <f t="shared" si="91"/>
        <v>-</v>
      </c>
      <c r="V1052" s="30" t="str" cm="1">
        <f t="array" ref="V1052">_xlfn.IFS(
ISNUMBER(SEARCH("USA",S1052)),"United States",
ISNUMBER(SEARCH("Republic of Korea",S1052)),"South Korea",
ISNUMBER(SEARCH("Cape Verde",S1052)),"Cabo Verde",
ISNUMBER(SEARCH("Czechia",S1052)),"Czech Republic",
ISNUMBER(SEARCH("Türkiye",S1052)),"Turkey",
ISNUMBER(SEARCH("Ivory Coast",S1052)),"Côte d'Ivoire",
ISNUMBER(SEARCH("Korea Republic",S1052)),"South Korea",
ISNUMBER(SEARCH("Germany FR",S1052)),"FR Germany",
ISNUMBER(SEARCH("West Germany",S1052)),"FR Germany",
ISNUMBER(SEARCH("Germany DR",S1052)),"DR Germany",
ISNUMBER(SEARCH("Korea DPR",S1052)),"North Korea",
ISNUMBER(SEARCH("China PR",S1052)),"China",
ISNUMBER(SEARCH("IR Iran",S1052)),"Iran",
ISNUMBER(SEARCH("Congo DR",S1052)),"Democratic Republic of the Congo",
ISNUMBER(SEARCH("DR Congo",S1052)),"Democratic Republic of the Congo",
ISNUMBER(SEARCH("German DR",S1052)),"DR Germany",
ISNUMBER(SEARCH("rn""&gt;United Arab Emirates",S1052)),"United Arab Emirates",
ISNUMBER(SEARCH("rn""&gt;Republic of Ireland",S1052)),"Ireland",
ISNUMBER(SEARCH("rn""&gt;Bosnia and Herzegovina",S1052)),"Bosnia and Herzegovina",
ISNUMBER(SEARCH("rn""&gt;Trinidad and Tobago",S1052)),"Trinidad and Tobago",
ISNUMBER(SEARCH("rn""&gt;Serbia and Montenegro",S1052)),"Serbia and Montenegro",
ISNUMBER(SEARCH(_xlfn.UNICHAR(65533),S1052)),"Côte d'Ivoire",
TRUE,""
)</f>
        <v/>
      </c>
      <c r="W1052" s="30" t="str">
        <f t="shared" si="92"/>
        <v>Morocco</v>
      </c>
      <c r="Z1052" s="40" t="str">
        <v>Philadelphia Stadium</v>
      </c>
      <c r="AA1052" s="40" t="str" cm="1">
        <f t="array" ref="AA1052">IFERROR(_xlfn.XLOOKUP(Z1052,_xlfn.ANCHORARRAY(Z$31),AA$31:AA$37),Z1052)</f>
        <v>Philadelphia Stadium</v>
      </c>
      <c r="AB1052" s="42" t="str">
        <v>Philadelphia</v>
      </c>
      <c r="AC1052" s="89" t="str">
        <f t="shared" si="88"/>
        <v>Philadelphia</v>
      </c>
      <c r="AE1052" s="42">
        <v>2026</v>
      </c>
      <c r="AK1052" s="42">
        <v>2</v>
      </c>
      <c r="AL1052" s="42">
        <v>0</v>
      </c>
      <c r="AW1052" s="89" t="str">
        <v>ROUND_OF_32</v>
      </c>
      <c r="BE1052" s="43" t="str">
        <f>IF(OR(DATA_CLEANED!AL1043="",DATA_CLEANED!AM1043=""),"MANQUANT",IF(OR(NOT(ISNUMBER(DATA_CLEANED!AL1043)),NOT(ISNUMBER(DATA_CLEANED!AM1043))),"ENTREE INVALIDE",IF(OR(DATA_CLEANED!AL1043&lt;0,DATA_CLEANED!AM1043&lt;0),"SCORE NEGATIF","OK")))</f>
        <v>OK</v>
      </c>
      <c r="BF1052" s="43" t="str">
        <f>IF(DATA_CLEANED!AK1043&lt;&gt;DATA_CLEANED!AN1043,"OK","ERREUR")</f>
        <v>OK</v>
      </c>
      <c r="BG1052" s="43" t="str">
        <f>IF(DATA_CLEANED!AL1043&gt;DATA_CLEANED!AM1043,DATA_CLEANED!AK1043,IF(AND(DATA_QUALITE!W5529="-",DATA_CLEANED!AM1043=DATA_CLEANED!AL1043),"MATCH NUL",IF(AND(DATA_QUALITE!V5529="-",DATA_QUALITE!U5529="AUCUNE"),DATA_QUALITE!T5529,IF(DATA_QUALITE!V5529&lt;&gt;"-",DATA_QUALITE!V5529,DATA_CLEANED!AN1043))))</f>
        <v>Argentina</v>
      </c>
      <c r="BH1052" s="103" t="str">
        <f>IF(AND(BG1052="MATCH NUL",DATA_CLEANED!AO1043="-"),"MATCH_NUL",IF(ISNUMBER(SEARCH("win on penalties",W5529)),"WIN_BY_PENALTY",IF(ISNUMBER(SEARCH("win after extra time",W5529)),"WIN_BY_EXTRA_TIME",IF(ISNUMBER(SEARCH("Golden Goal",W5529)),"WIN_BY_GOLDEN_GOAL","WIN_BY_SCORE"))))</f>
        <v>WIN_BY_EXTRA_TIME</v>
      </c>
      <c r="BI1052" s="99" t="str">
        <f>IF(OR(BG1052=DATA_CLEANED!AK1043,BG1052=DATA_CLEANED!AN1043,BG1052="MATCH NUL"),"OK","ERREUR")</f>
        <v>OK</v>
      </c>
    </row>
    <row r="1053" spans="2:61">
      <c r="B1053" s="75">
        <v>616</v>
      </c>
      <c r="C1053" s="15" t="str">
        <v>Mattias Svanberg</v>
      </c>
      <c r="D1053" s="15">
        <v>27</v>
      </c>
      <c r="E1053" s="15" t="str">
        <v>Sweden</v>
      </c>
      <c r="F1053" s="15" t="str">
        <v>CM</v>
      </c>
      <c r="G1053" s="15" t="str">
        <v>VfL Wolfsburg</v>
      </c>
      <c r="H1053" s="15">
        <v>19</v>
      </c>
      <c r="I1053" s="15" t="str">
        <f t="shared" si="89"/>
        <v>616|Mattias Svanberg|27|Sweden|CM|VfL Wolfsburg|19</v>
      </c>
      <c r="J1053" s="15" t="str">
        <f>IF(COUNTIF(I$438:I1053,I1053)&gt;1,"DOUBLON","OK")</f>
        <v>OK</v>
      </c>
      <c r="S1053" s="30" t="str">
        <v>Spain</v>
      </c>
      <c r="T1053" s="30" t="str">
        <f t="shared" si="90"/>
        <v>OK</v>
      </c>
      <c r="U1053" s="30" t="str">
        <f t="shared" si="91"/>
        <v>-</v>
      </c>
      <c r="V1053" s="30" t="str" cm="1">
        <f t="array" ref="V1053">_xlfn.IFS(
ISNUMBER(SEARCH("USA",S1053)),"United States",
ISNUMBER(SEARCH("Republic of Korea",S1053)),"South Korea",
ISNUMBER(SEARCH("Cape Verde",S1053)),"Cabo Verde",
ISNUMBER(SEARCH("Czechia",S1053)),"Czech Republic",
ISNUMBER(SEARCH("Türkiye",S1053)),"Turkey",
ISNUMBER(SEARCH("Ivory Coast",S1053)),"Côte d'Ivoire",
ISNUMBER(SEARCH("Korea Republic",S1053)),"South Korea",
ISNUMBER(SEARCH("Germany FR",S1053)),"FR Germany",
ISNUMBER(SEARCH("West Germany",S1053)),"FR Germany",
ISNUMBER(SEARCH("Germany DR",S1053)),"DR Germany",
ISNUMBER(SEARCH("Korea DPR",S1053)),"North Korea",
ISNUMBER(SEARCH("China PR",S1053)),"China",
ISNUMBER(SEARCH("IR Iran",S1053)),"Iran",
ISNUMBER(SEARCH("Congo DR",S1053)),"Democratic Republic of the Congo",
ISNUMBER(SEARCH("DR Congo",S1053)),"Democratic Republic of the Congo",
ISNUMBER(SEARCH("German DR",S1053)),"DR Germany",
ISNUMBER(SEARCH("rn""&gt;United Arab Emirates",S1053)),"United Arab Emirates",
ISNUMBER(SEARCH("rn""&gt;Republic of Ireland",S1053)),"Ireland",
ISNUMBER(SEARCH("rn""&gt;Bosnia and Herzegovina",S1053)),"Bosnia and Herzegovina",
ISNUMBER(SEARCH("rn""&gt;Trinidad and Tobago",S1053)),"Trinidad and Tobago",
ISNUMBER(SEARCH("rn""&gt;Serbia and Montenegro",S1053)),"Serbia and Montenegro",
ISNUMBER(SEARCH(_xlfn.UNICHAR(65533),S1053)),"Côte d'Ivoire",
TRUE,""
)</f>
        <v/>
      </c>
      <c r="W1053" s="30" t="str">
        <f t="shared" si="92"/>
        <v>Spain</v>
      </c>
      <c r="Z1053" s="40" t="str">
        <v>New Jersey Stadium</v>
      </c>
      <c r="AA1053" s="40" t="str" cm="1">
        <f t="array" ref="AA1053">IFERROR(_xlfn.XLOOKUP(Z1053,_xlfn.ANCHORARRAY(Z$31),AA$31:AA$37),Z1053)</f>
        <v>New Jersey Stadium</v>
      </c>
      <c r="AB1053" s="42" t="str">
        <v>New Jersey</v>
      </c>
      <c r="AC1053" s="89" t="str">
        <f t="shared" si="88"/>
        <v>New Jersey</v>
      </c>
      <c r="AE1053" s="42">
        <v>2026</v>
      </c>
      <c r="AK1053" s="42">
        <v>1</v>
      </c>
      <c r="AL1053" s="42">
        <v>1</v>
      </c>
      <c r="AW1053" s="89" t="str">
        <v>ROUND_OF_32</v>
      </c>
      <c r="BE1053" s="43" t="str">
        <f>IF(OR(DATA_CLEANED!AL1044="",DATA_CLEANED!AM1044=""),"MANQUANT",IF(OR(NOT(ISNUMBER(DATA_CLEANED!AL1044)),NOT(ISNUMBER(DATA_CLEANED!AM1044))),"ENTREE INVALIDE",IF(OR(DATA_CLEANED!AL1044&lt;0,DATA_CLEANED!AM1044&lt;0),"SCORE NEGATIF","OK")))</f>
        <v>OK</v>
      </c>
      <c r="BF1053" s="43" t="str">
        <f>IF(DATA_CLEANED!AK1044&lt;&gt;DATA_CLEANED!AN1044,"OK","ERREUR")</f>
        <v>OK</v>
      </c>
      <c r="BG1053" s="43" t="str">
        <f>IF(DATA_CLEANED!AL1044&gt;DATA_CLEANED!AM1044,DATA_CLEANED!AK1044,IF(AND(DATA_QUALITE!W5530="-",DATA_CLEANED!AM1044=DATA_CLEANED!AL1044),"MATCH NUL",IF(AND(DATA_QUALITE!V5530="-",DATA_QUALITE!U5530="AUCUNE"),DATA_QUALITE!T5530,IF(DATA_QUALITE!V5530&lt;&gt;"-",DATA_QUALITE!V5530,DATA_CLEANED!AN1044))))</f>
        <v>Colombia</v>
      </c>
      <c r="BH1053" s="103" t="str">
        <f>IF(AND(BG1053="MATCH NUL",DATA_CLEANED!AO1044="-"),"MATCH_NUL",IF(ISNUMBER(SEARCH("win on penalties",W5530)),"WIN_BY_PENALTY",IF(ISNUMBER(SEARCH("win after extra time",W5530)),"WIN_BY_EXTRA_TIME",IF(ISNUMBER(SEARCH("Golden Goal",W5530)),"WIN_BY_GOLDEN_GOAL","WIN_BY_SCORE"))))</f>
        <v>WIN_BY_SCORE</v>
      </c>
      <c r="BI1053" s="99" t="str">
        <f>IF(OR(BG1053=DATA_CLEANED!AK1044,BG1053=DATA_CLEANED!AN1044,BG1053="MATCH NUL"),"OK","ERREUR")</f>
        <v>OK</v>
      </c>
    </row>
    <row r="1054" spans="2:61">
      <c r="B1054" s="75">
        <v>617</v>
      </c>
      <c r="C1054" s="15" t="str">
        <v>Besfort Zeneli</v>
      </c>
      <c r="D1054" s="15">
        <v>23</v>
      </c>
      <c r="E1054" s="15" t="str">
        <v>Sweden</v>
      </c>
      <c r="F1054" s="15" t="str">
        <v>CM</v>
      </c>
      <c r="G1054" s="15" t="str">
        <v>Union Saint-Gilloise</v>
      </c>
      <c r="H1054" s="15">
        <v>22</v>
      </c>
      <c r="I1054" s="15" t="str">
        <f t="shared" si="89"/>
        <v>617|Besfort Zeneli|23|Sweden|CM|Union Saint-Gilloise|22</v>
      </c>
      <c r="J1054" s="15" t="str">
        <f>IF(COUNTIF(I$438:I1054,I1054)&gt;1,"DOUBLON","OK")</f>
        <v>OK</v>
      </c>
      <c r="S1054" s="30" t="str">
        <v>Morocco</v>
      </c>
      <c r="T1054" s="30" t="str">
        <f t="shared" si="90"/>
        <v>OK</v>
      </c>
      <c r="U1054" s="30" t="str">
        <f t="shared" si="91"/>
        <v>-</v>
      </c>
      <c r="V1054" s="30" t="str" cm="1">
        <f t="array" ref="V1054">_xlfn.IFS(
ISNUMBER(SEARCH("USA",S1054)),"United States",
ISNUMBER(SEARCH("Republic of Korea",S1054)),"South Korea",
ISNUMBER(SEARCH("Cape Verde",S1054)),"Cabo Verde",
ISNUMBER(SEARCH("Czechia",S1054)),"Czech Republic",
ISNUMBER(SEARCH("Türkiye",S1054)),"Turkey",
ISNUMBER(SEARCH("Ivory Coast",S1054)),"Côte d'Ivoire",
ISNUMBER(SEARCH("Korea Republic",S1054)),"South Korea",
ISNUMBER(SEARCH("Germany FR",S1054)),"FR Germany",
ISNUMBER(SEARCH("West Germany",S1054)),"FR Germany",
ISNUMBER(SEARCH("Germany DR",S1054)),"DR Germany",
ISNUMBER(SEARCH("Korea DPR",S1054)),"North Korea",
ISNUMBER(SEARCH("China PR",S1054)),"China",
ISNUMBER(SEARCH("IR Iran",S1054)),"Iran",
ISNUMBER(SEARCH("Congo DR",S1054)),"Democratic Republic of the Congo",
ISNUMBER(SEARCH("DR Congo",S1054)),"Democratic Republic of the Congo",
ISNUMBER(SEARCH("German DR",S1054)),"DR Germany",
ISNUMBER(SEARCH("rn""&gt;United Arab Emirates",S1054)),"United Arab Emirates",
ISNUMBER(SEARCH("rn""&gt;Republic of Ireland",S1054)),"Ireland",
ISNUMBER(SEARCH("rn""&gt;Bosnia and Herzegovina",S1054)),"Bosnia and Herzegovina",
ISNUMBER(SEARCH("rn""&gt;Trinidad and Tobago",S1054)),"Trinidad and Tobago",
ISNUMBER(SEARCH("rn""&gt;Serbia and Montenegro",S1054)),"Serbia and Montenegro",
ISNUMBER(SEARCH(_xlfn.UNICHAR(65533),S1054)),"Côte d'Ivoire",
TRUE,""
)</f>
        <v/>
      </c>
      <c r="W1054" s="30" t="str">
        <f t="shared" si="92"/>
        <v>Morocco</v>
      </c>
      <c r="Z1054" s="40" t="str">
        <v>Kansas City Stadium</v>
      </c>
      <c r="AA1054" s="40" t="str" cm="1">
        <f t="array" ref="AA1054">IFERROR(_xlfn.XLOOKUP(Z1054,_xlfn.ANCHORARRAY(Z$31),AA$31:AA$37),Z1054)</f>
        <v>Kansas City Stadium</v>
      </c>
      <c r="AB1054" s="42" t="str">
        <v>Kansas City</v>
      </c>
      <c r="AC1054" s="89" t="str">
        <f t="shared" si="88"/>
        <v>Kansas City</v>
      </c>
      <c r="AE1054" s="42">
        <v>2026</v>
      </c>
      <c r="AK1054" s="42">
        <v>1</v>
      </c>
      <c r="AL1054" s="42">
        <v>1</v>
      </c>
      <c r="AW1054" s="89" t="str">
        <v>ROUND_OF_16</v>
      </c>
      <c r="BE1054" s="43" t="str">
        <f>IF(OR(DATA_CLEANED!AL1045="",DATA_CLEANED!AM1045=""),"MANQUANT",IF(OR(NOT(ISNUMBER(DATA_CLEANED!AL1045)),NOT(ISNUMBER(DATA_CLEANED!AM1045))),"ENTREE INVALIDE",IF(OR(DATA_CLEANED!AL1045&lt;0,DATA_CLEANED!AM1045&lt;0),"SCORE NEGATIF","OK")))</f>
        <v>OK</v>
      </c>
      <c r="BF1054" s="43" t="str">
        <f>IF(DATA_CLEANED!AK1045&lt;&gt;DATA_CLEANED!AN1045,"OK","ERREUR")</f>
        <v>OK</v>
      </c>
      <c r="BG1054" s="43" t="str">
        <f>IF(DATA_CLEANED!AL1045&gt;DATA_CLEANED!AM1045,DATA_CLEANED!AK1045,IF(AND(DATA_QUALITE!W5531="-",DATA_CLEANED!AM1045=DATA_CLEANED!AL1045),"MATCH NUL",IF(AND(DATA_QUALITE!V5531="-",DATA_QUALITE!U5531="AUCUNE"),DATA_QUALITE!T5531,IF(DATA_QUALITE!V5531&lt;&gt;"-",DATA_QUALITE!V5531,DATA_CLEANED!AN1045))))</f>
        <v>Morocco</v>
      </c>
      <c r="BH1054" s="103" t="str">
        <f>IF(AND(BG1054="MATCH NUL",DATA_CLEANED!AO1045="-"),"MATCH_NUL",IF(ISNUMBER(SEARCH("win on penalties",W5531)),"WIN_BY_PENALTY",IF(ISNUMBER(SEARCH("win after extra time",W5531)),"WIN_BY_EXTRA_TIME",IF(ISNUMBER(SEARCH("Golden Goal",W5531)),"WIN_BY_GOLDEN_GOAL","WIN_BY_SCORE"))))</f>
        <v>WIN_BY_SCORE</v>
      </c>
      <c r="BI1054" s="99" t="str">
        <f>IF(OR(BG1054=DATA_CLEANED!AK1045,BG1054=DATA_CLEANED!AN1045,BG1054="MATCH NUL"),"OK","ERREUR")</f>
        <v>OK</v>
      </c>
    </row>
    <row r="1055" spans="2:61">
      <c r="B1055" s="75">
        <v>618</v>
      </c>
      <c r="C1055" s="15" t="str">
        <v>Benjamin Nygren</v>
      </c>
      <c r="D1055" s="15">
        <v>24</v>
      </c>
      <c r="E1055" s="15" t="str">
        <v>Sweden</v>
      </c>
      <c r="F1055" s="15" t="str">
        <v>CAM</v>
      </c>
      <c r="G1055" s="15" t="str">
        <v>Celtic</v>
      </c>
      <c r="H1055" s="15">
        <v>10</v>
      </c>
      <c r="I1055" s="15" t="str">
        <f t="shared" si="89"/>
        <v>618|Benjamin Nygren|24|Sweden|CAM|Celtic|10</v>
      </c>
      <c r="J1055" s="15" t="str">
        <f>IF(COUNTIF(I$438:I1055,I1055)&gt;1,"DOUBLON","OK")</f>
        <v>OK</v>
      </c>
      <c r="S1055" s="30" t="str">
        <v>Spain</v>
      </c>
      <c r="T1055" s="30" t="str">
        <f t="shared" si="90"/>
        <v>OK</v>
      </c>
      <c r="U1055" s="30" t="str">
        <f t="shared" si="91"/>
        <v>-</v>
      </c>
      <c r="V1055" s="30" t="str" cm="1">
        <f t="array" ref="V1055">_xlfn.IFS(
ISNUMBER(SEARCH("USA",S1055)),"United States",
ISNUMBER(SEARCH("Republic of Korea",S1055)),"South Korea",
ISNUMBER(SEARCH("Cape Verde",S1055)),"Cabo Verde",
ISNUMBER(SEARCH("Czechia",S1055)),"Czech Republic",
ISNUMBER(SEARCH("Türkiye",S1055)),"Turkey",
ISNUMBER(SEARCH("Ivory Coast",S1055)),"Côte d'Ivoire",
ISNUMBER(SEARCH("Korea Republic",S1055)),"South Korea",
ISNUMBER(SEARCH("Germany FR",S1055)),"FR Germany",
ISNUMBER(SEARCH("West Germany",S1055)),"FR Germany",
ISNUMBER(SEARCH("Germany DR",S1055)),"DR Germany",
ISNUMBER(SEARCH("Korea DPR",S1055)),"North Korea",
ISNUMBER(SEARCH("China PR",S1055)),"China",
ISNUMBER(SEARCH("IR Iran",S1055)),"Iran",
ISNUMBER(SEARCH("Congo DR",S1055)),"Democratic Republic of the Congo",
ISNUMBER(SEARCH("DR Congo",S1055)),"Democratic Republic of the Congo",
ISNUMBER(SEARCH("German DR",S1055)),"DR Germany",
ISNUMBER(SEARCH("rn""&gt;United Arab Emirates",S1055)),"United Arab Emirates",
ISNUMBER(SEARCH("rn""&gt;Republic of Ireland",S1055)),"Ireland",
ISNUMBER(SEARCH("rn""&gt;Bosnia and Herzegovina",S1055)),"Bosnia and Herzegovina",
ISNUMBER(SEARCH("rn""&gt;Trinidad and Tobago",S1055)),"Trinidad and Tobago",
ISNUMBER(SEARCH("rn""&gt;Serbia and Montenegro",S1055)),"Serbia and Montenegro",
ISNUMBER(SEARCH(_xlfn.UNICHAR(65533),S1055)),"Côte d'Ivoire",
TRUE,""
)</f>
        <v/>
      </c>
      <c r="W1055" s="30" t="str">
        <f t="shared" si="92"/>
        <v>Spain</v>
      </c>
      <c r="Z1055" s="40" t="str">
        <v>Arlington Stadium</v>
      </c>
      <c r="AA1055" s="40" t="str" cm="1">
        <f t="array" ref="AA1055">IFERROR(_xlfn.XLOOKUP(Z1055,_xlfn.ANCHORARRAY(Z$31),AA$31:AA$37),Z1055)</f>
        <v>Arlington Stadium</v>
      </c>
      <c r="AB1055" s="42" t="str">
        <v>Arlington</v>
      </c>
      <c r="AC1055" s="89" t="str">
        <f t="shared" si="88"/>
        <v>Arlington</v>
      </c>
      <c r="AE1055" s="42">
        <v>2026</v>
      </c>
      <c r="AK1055" s="42">
        <v>7</v>
      </c>
      <c r="AL1055" s="42">
        <v>1</v>
      </c>
      <c r="AW1055" s="89" t="str">
        <v>ROUND_OF_16</v>
      </c>
      <c r="BE1055" s="43" t="str">
        <f>IF(OR(DATA_CLEANED!AL1046="",DATA_CLEANED!AM1046=""),"MANQUANT",IF(OR(NOT(ISNUMBER(DATA_CLEANED!AL1046)),NOT(ISNUMBER(DATA_CLEANED!AM1046))),"ENTREE INVALIDE",IF(OR(DATA_CLEANED!AL1046&lt;0,DATA_CLEANED!AM1046&lt;0),"SCORE NEGATIF","OK")))</f>
        <v>OK</v>
      </c>
      <c r="BF1055" s="43" t="str">
        <f>IF(DATA_CLEANED!AK1046&lt;&gt;DATA_CLEANED!AN1046,"OK","ERREUR")</f>
        <v>OK</v>
      </c>
      <c r="BG1055" s="43" t="str">
        <f>IF(DATA_CLEANED!AL1046&gt;DATA_CLEANED!AM1046,DATA_CLEANED!AK1046,IF(AND(DATA_QUALITE!W5532="-",DATA_CLEANED!AM1046=DATA_CLEANED!AL1046),"MATCH NUL",IF(AND(DATA_QUALITE!V5532="-",DATA_QUALITE!U5532="AUCUNE"),DATA_QUALITE!T5532,IF(DATA_QUALITE!V5532&lt;&gt;"-",DATA_QUALITE!V5532,DATA_CLEANED!AN1046))))</f>
        <v>France</v>
      </c>
      <c r="BH1055" s="103" t="str">
        <f>IF(AND(BG1055="MATCH NUL",DATA_CLEANED!AO1046="-"),"MATCH_NUL",IF(ISNUMBER(SEARCH("win on penalties",W5532)),"WIN_BY_PENALTY",IF(ISNUMBER(SEARCH("win after extra time",W5532)),"WIN_BY_EXTRA_TIME",IF(ISNUMBER(SEARCH("Golden Goal",W5532)),"WIN_BY_GOLDEN_GOAL","WIN_BY_SCORE"))))</f>
        <v>WIN_BY_SCORE</v>
      </c>
      <c r="BI1055" s="99" t="str">
        <f>IF(OR(BG1055=DATA_CLEANED!AK1046,BG1055=DATA_CLEANED!AN1046,BG1055="MATCH NUL"),"OK","ERREUR")</f>
        <v>OK</v>
      </c>
    </row>
    <row r="1056" spans="2:61">
      <c r="B1056" s="75">
        <v>619</v>
      </c>
      <c r="C1056" s="15" t="str">
        <v>Ken Sema</v>
      </c>
      <c r="D1056" s="15">
        <v>32</v>
      </c>
      <c r="E1056" s="15" t="str">
        <v>Sweden</v>
      </c>
      <c r="F1056" s="15" t="str">
        <v>CAM</v>
      </c>
      <c r="G1056" s="15" t="str">
        <v>Pafos</v>
      </c>
      <c r="H1056" s="15">
        <v>13</v>
      </c>
      <c r="I1056" s="15" t="str">
        <f t="shared" si="89"/>
        <v>619|Ken Sema|32|Sweden|CAM|Pafos|13</v>
      </c>
      <c r="J1056" s="15" t="str">
        <f>IF(COUNTIF(I$438:I1056,I1056)&gt;1,"DOUBLON","OK")</f>
        <v>OK</v>
      </c>
      <c r="S1056" s="30" t="str">
        <v>Morocco</v>
      </c>
      <c r="T1056" s="30" t="str">
        <f t="shared" si="90"/>
        <v>OK</v>
      </c>
      <c r="U1056" s="30" t="str">
        <f t="shared" si="91"/>
        <v>-</v>
      </c>
      <c r="V1056" s="30" t="str" cm="1">
        <f t="array" ref="V1056">_xlfn.IFS(
ISNUMBER(SEARCH("USA",S1056)),"United States",
ISNUMBER(SEARCH("Republic of Korea",S1056)),"South Korea",
ISNUMBER(SEARCH("Cape Verde",S1056)),"Cabo Verde",
ISNUMBER(SEARCH("Czechia",S1056)),"Czech Republic",
ISNUMBER(SEARCH("Türkiye",S1056)),"Turkey",
ISNUMBER(SEARCH("Ivory Coast",S1056)),"Côte d'Ivoire",
ISNUMBER(SEARCH("Korea Republic",S1056)),"South Korea",
ISNUMBER(SEARCH("Germany FR",S1056)),"FR Germany",
ISNUMBER(SEARCH("West Germany",S1056)),"FR Germany",
ISNUMBER(SEARCH("Germany DR",S1056)),"DR Germany",
ISNUMBER(SEARCH("Korea DPR",S1056)),"North Korea",
ISNUMBER(SEARCH("China PR",S1056)),"China",
ISNUMBER(SEARCH("IR Iran",S1056)),"Iran",
ISNUMBER(SEARCH("Congo DR",S1056)),"Democratic Republic of the Congo",
ISNUMBER(SEARCH("DR Congo",S1056)),"Democratic Republic of the Congo",
ISNUMBER(SEARCH("German DR",S1056)),"DR Germany",
ISNUMBER(SEARCH("rn""&gt;United Arab Emirates",S1056)),"United Arab Emirates",
ISNUMBER(SEARCH("rn""&gt;Republic of Ireland",S1056)),"Ireland",
ISNUMBER(SEARCH("rn""&gt;Bosnia and Herzegovina",S1056)),"Bosnia and Herzegovina",
ISNUMBER(SEARCH("rn""&gt;Trinidad and Tobago",S1056)),"Trinidad and Tobago",
ISNUMBER(SEARCH("rn""&gt;Serbia and Montenegro",S1056)),"Serbia and Montenegro",
ISNUMBER(SEARCH(_xlfn.UNICHAR(65533),S1056)),"Côte d'Ivoire",
TRUE,""
)</f>
        <v/>
      </c>
      <c r="W1056" s="30" t="str">
        <f t="shared" si="92"/>
        <v>Morocco</v>
      </c>
      <c r="Z1056" s="40" t="str">
        <v>Los Angeles Stadium</v>
      </c>
      <c r="AA1056" s="40" t="str" cm="1">
        <f t="array" ref="AA1056">IFERROR(_xlfn.XLOOKUP(Z1056,_xlfn.ANCHORARRAY(Z$31),AA$31:AA$37),Z1056)</f>
        <v>Los Angeles Stadium</v>
      </c>
      <c r="AB1056" s="42" t="str">
        <v>Los Angeles</v>
      </c>
      <c r="AC1056" s="89" t="str">
        <f t="shared" si="88"/>
        <v>Los Angeles</v>
      </c>
      <c r="AE1056" s="42">
        <v>2026</v>
      </c>
      <c r="AK1056" s="42">
        <v>2</v>
      </c>
      <c r="AL1056" s="42">
        <v>2</v>
      </c>
      <c r="AW1056" s="89" t="str">
        <v>ROUND_OF_16</v>
      </c>
      <c r="BE1056" s="43" t="str">
        <f>IF(OR(DATA_CLEANED!AL1047="",DATA_CLEANED!AM1047=""),"MANQUANT",IF(OR(NOT(ISNUMBER(DATA_CLEANED!AL1047)),NOT(ISNUMBER(DATA_CLEANED!AM1047))),"ENTREE INVALIDE",IF(OR(DATA_CLEANED!AL1047&lt;0,DATA_CLEANED!AM1047&lt;0),"SCORE NEGATIF","OK")))</f>
        <v>OK</v>
      </c>
      <c r="BF1056" s="43" t="str">
        <f>IF(DATA_CLEANED!AK1047&lt;&gt;DATA_CLEANED!AN1047,"OK","ERREUR")</f>
        <v>OK</v>
      </c>
      <c r="BG1056" s="43" t="str">
        <f>IF(DATA_CLEANED!AL1047&gt;DATA_CLEANED!AM1047,DATA_CLEANED!AK1047,IF(AND(DATA_QUALITE!W5533="-",DATA_CLEANED!AM1047=DATA_CLEANED!AL1047),"MATCH NUL",IF(AND(DATA_QUALITE!V5533="-",DATA_QUALITE!U5533="AUCUNE"),DATA_QUALITE!T5533,IF(DATA_QUALITE!V5533&lt;&gt;"-",DATA_QUALITE!V5533,DATA_CLEANED!AN1047))))</f>
        <v>Norway</v>
      </c>
      <c r="BH1056" s="103" t="str">
        <f>IF(AND(BG1056="MATCH NUL",DATA_CLEANED!AO1047="-"),"MATCH_NUL",IF(ISNUMBER(SEARCH("win on penalties",W5533)),"WIN_BY_PENALTY",IF(ISNUMBER(SEARCH("win after extra time",W5533)),"WIN_BY_EXTRA_TIME",IF(ISNUMBER(SEARCH("Golden Goal",W5533)),"WIN_BY_GOLDEN_GOAL","WIN_BY_SCORE"))))</f>
        <v>WIN_BY_SCORE</v>
      </c>
      <c r="BI1056" s="99" t="str">
        <f>IF(OR(BG1056=DATA_CLEANED!AK1047,BG1056=DATA_CLEANED!AN1047,BG1056="MATCH NUL"),"OK","ERREUR")</f>
        <v>OK</v>
      </c>
    </row>
    <row r="1057" spans="2:61">
      <c r="B1057" s="75">
        <v>620</v>
      </c>
      <c r="C1057" s="15" t="str">
        <v>Anthony Elanga</v>
      </c>
      <c r="D1057" s="15">
        <v>24</v>
      </c>
      <c r="E1057" s="15" t="str">
        <v>Sweden</v>
      </c>
      <c r="F1057" s="15" t="str">
        <v>LW</v>
      </c>
      <c r="G1057" s="15" t="str">
        <v>Newcastle United</v>
      </c>
      <c r="H1057" s="15">
        <v>11</v>
      </c>
      <c r="I1057" s="15" t="str">
        <f t="shared" si="89"/>
        <v>620|Anthony Elanga|24|Sweden|LW|Newcastle United|11</v>
      </c>
      <c r="J1057" s="15" t="str">
        <f>IF(COUNTIF(I$438:I1057,I1057)&gt;1,"DOUBLON","OK")</f>
        <v>OK</v>
      </c>
      <c r="S1057" s="30" t="str">
        <v>Croatia</v>
      </c>
      <c r="T1057" s="30" t="str">
        <f t="shared" si="90"/>
        <v>OK</v>
      </c>
      <c r="U1057" s="30" t="str">
        <f t="shared" si="91"/>
        <v>-</v>
      </c>
      <c r="V1057" s="30" t="str" cm="1">
        <f t="array" ref="V1057">_xlfn.IFS(
ISNUMBER(SEARCH("USA",S1057)),"United States",
ISNUMBER(SEARCH("Republic of Korea",S1057)),"South Korea",
ISNUMBER(SEARCH("Cape Verde",S1057)),"Cabo Verde",
ISNUMBER(SEARCH("Czechia",S1057)),"Czech Republic",
ISNUMBER(SEARCH("Türkiye",S1057)),"Turkey",
ISNUMBER(SEARCH("Ivory Coast",S1057)),"Côte d'Ivoire",
ISNUMBER(SEARCH("Korea Republic",S1057)),"South Korea",
ISNUMBER(SEARCH("Germany FR",S1057)),"FR Germany",
ISNUMBER(SEARCH("West Germany",S1057)),"FR Germany",
ISNUMBER(SEARCH("Germany DR",S1057)),"DR Germany",
ISNUMBER(SEARCH("Korea DPR",S1057)),"North Korea",
ISNUMBER(SEARCH("China PR",S1057)),"China",
ISNUMBER(SEARCH("IR Iran",S1057)),"Iran",
ISNUMBER(SEARCH("Congo DR",S1057)),"Democratic Republic of the Congo",
ISNUMBER(SEARCH("DR Congo",S1057)),"Democratic Republic of the Congo",
ISNUMBER(SEARCH("German DR",S1057)),"DR Germany",
ISNUMBER(SEARCH("rn""&gt;United Arab Emirates",S1057)),"United Arab Emirates",
ISNUMBER(SEARCH("rn""&gt;Republic of Ireland",S1057)),"Ireland",
ISNUMBER(SEARCH("rn""&gt;Bosnia and Herzegovina",S1057)),"Bosnia and Herzegovina",
ISNUMBER(SEARCH("rn""&gt;Trinidad and Tobago",S1057)),"Trinidad and Tobago",
ISNUMBER(SEARCH("rn""&gt;Serbia and Montenegro",S1057)),"Serbia and Montenegro",
ISNUMBER(SEARCH(_xlfn.UNICHAR(65533),S1057)),"Côte d'Ivoire",
TRUE,""
)</f>
        <v/>
      </c>
      <c r="W1057" s="30" t="str">
        <f t="shared" si="92"/>
        <v>Croatia</v>
      </c>
      <c r="Z1057" s="40" t="str">
        <v>Santa Clara Stadium</v>
      </c>
      <c r="AA1057" s="40" t="str" cm="1">
        <f t="array" ref="AA1057">IFERROR(_xlfn.XLOOKUP(Z1057,_xlfn.ANCHORARRAY(Z$31),AA$31:AA$37),Z1057)</f>
        <v>Santa Clara Stadium</v>
      </c>
      <c r="AB1057" s="42" t="str">
        <v>Santa Clara</v>
      </c>
      <c r="AC1057" s="89" t="str">
        <f t="shared" si="88"/>
        <v>Santa Clara</v>
      </c>
      <c r="AE1057" s="42">
        <v>2026</v>
      </c>
      <c r="AK1057" s="42">
        <v>1</v>
      </c>
      <c r="AL1057" s="42">
        <v>0</v>
      </c>
      <c r="AW1057" s="89" t="str">
        <v>ROUND_OF_16</v>
      </c>
      <c r="BE1057" s="43" t="str">
        <f>IF(OR(DATA_CLEANED!AL1048="",DATA_CLEANED!AM1048=""),"MANQUANT",IF(OR(NOT(ISNUMBER(DATA_CLEANED!AL1048)),NOT(ISNUMBER(DATA_CLEANED!AM1048))),"ENTREE INVALIDE",IF(OR(DATA_CLEANED!AL1048&lt;0,DATA_CLEANED!AM1048&lt;0),"SCORE NEGATIF","OK")))</f>
        <v>OK</v>
      </c>
      <c r="BF1057" s="43" t="str">
        <f>IF(DATA_CLEANED!AK1048&lt;&gt;DATA_CLEANED!AN1048,"OK","ERREUR")</f>
        <v>OK</v>
      </c>
      <c r="BG1057" s="43" t="str">
        <f>IF(DATA_CLEANED!AL1048&gt;DATA_CLEANED!AM1048,DATA_CLEANED!AK1048,IF(AND(DATA_QUALITE!W5534="-",DATA_CLEANED!AM1048=DATA_CLEANED!AL1048),"MATCH NUL",IF(AND(DATA_QUALITE!V5534="-",DATA_QUALITE!U5534="AUCUNE"),DATA_QUALITE!T5534,IF(DATA_QUALITE!V5534&lt;&gt;"-",DATA_QUALITE!V5534,DATA_CLEANED!AN1048))))</f>
        <v>England</v>
      </c>
      <c r="BH1057" s="103" t="str">
        <f>IF(AND(BG1057="MATCH NUL",DATA_CLEANED!AO1048="-"),"MATCH_NUL",IF(ISNUMBER(SEARCH("win on penalties",W5534)),"WIN_BY_PENALTY",IF(ISNUMBER(SEARCH("win after extra time",W5534)),"WIN_BY_EXTRA_TIME",IF(ISNUMBER(SEARCH("Golden Goal",W5534)),"WIN_BY_GOLDEN_GOAL","WIN_BY_SCORE"))))</f>
        <v>WIN_BY_SCORE</v>
      </c>
      <c r="BI1057" s="99" t="str">
        <f>IF(OR(BG1057=DATA_CLEANED!AK1048,BG1057=DATA_CLEANED!AN1048,BG1057="MATCH NUL"),"OK","ERREUR")</f>
        <v>OK</v>
      </c>
    </row>
    <row r="1058" spans="2:61">
      <c r="B1058" s="75">
        <v>621</v>
      </c>
      <c r="C1058" s="15" t="str">
        <v>Taha Ali</v>
      </c>
      <c r="D1058" s="15">
        <v>27</v>
      </c>
      <c r="E1058" s="15" t="str">
        <v>Sweden</v>
      </c>
      <c r="F1058" s="15" t="str">
        <v>LW</v>
      </c>
      <c r="G1058" s="15" t="str">
        <v>Malmö FF</v>
      </c>
      <c r="H1058" s="15">
        <v>26</v>
      </c>
      <c r="I1058" s="15" t="str">
        <f t="shared" si="89"/>
        <v>621|Taha Ali|27|Sweden|LW|Malmö FF|26</v>
      </c>
      <c r="J1058" s="15" t="str">
        <f>IF(COUNTIF(I$438:I1058,I1058)&gt;1,"DOUBLON","OK")</f>
        <v>OK</v>
      </c>
      <c r="S1058" s="30" t="str">
        <v>Brazil</v>
      </c>
      <c r="T1058" s="30" t="str">
        <f t="shared" si="90"/>
        <v>OK</v>
      </c>
      <c r="U1058" s="30" t="str">
        <f t="shared" si="91"/>
        <v>-</v>
      </c>
      <c r="V1058" s="30" t="str" cm="1">
        <f t="array" ref="V1058">_xlfn.IFS(
ISNUMBER(SEARCH("USA",S1058)),"United States",
ISNUMBER(SEARCH("Republic of Korea",S1058)),"South Korea",
ISNUMBER(SEARCH("Cape Verde",S1058)),"Cabo Verde",
ISNUMBER(SEARCH("Czechia",S1058)),"Czech Republic",
ISNUMBER(SEARCH("Türkiye",S1058)),"Turkey",
ISNUMBER(SEARCH("Ivory Coast",S1058)),"Côte d'Ivoire",
ISNUMBER(SEARCH("Korea Republic",S1058)),"South Korea",
ISNUMBER(SEARCH("Germany FR",S1058)),"FR Germany",
ISNUMBER(SEARCH("West Germany",S1058)),"FR Germany",
ISNUMBER(SEARCH("Germany DR",S1058)),"DR Germany",
ISNUMBER(SEARCH("Korea DPR",S1058)),"North Korea",
ISNUMBER(SEARCH("China PR",S1058)),"China",
ISNUMBER(SEARCH("IR Iran",S1058)),"Iran",
ISNUMBER(SEARCH("Congo DR",S1058)),"Democratic Republic of the Congo",
ISNUMBER(SEARCH("DR Congo",S1058)),"Democratic Republic of the Congo",
ISNUMBER(SEARCH("German DR",S1058)),"DR Germany",
ISNUMBER(SEARCH("rn""&gt;United Arab Emirates",S1058)),"United Arab Emirates",
ISNUMBER(SEARCH("rn""&gt;Republic of Ireland",S1058)),"Ireland",
ISNUMBER(SEARCH("rn""&gt;Bosnia and Herzegovina",S1058)),"Bosnia and Herzegovina",
ISNUMBER(SEARCH("rn""&gt;Trinidad and Tobago",S1058)),"Trinidad and Tobago",
ISNUMBER(SEARCH("rn""&gt;Serbia and Montenegro",S1058)),"Serbia and Montenegro",
ISNUMBER(SEARCH(_xlfn.UNICHAR(65533),S1058)),"Côte d'Ivoire",
TRUE,""
)</f>
        <v/>
      </c>
      <c r="W1058" s="30" t="str">
        <f t="shared" si="92"/>
        <v>Brazil</v>
      </c>
      <c r="Z1058" s="40" t="str">
        <v>Foxborough Stadium</v>
      </c>
      <c r="AA1058" s="40" t="str" cm="1">
        <f t="array" ref="AA1058">IFERROR(_xlfn.XLOOKUP(Z1058,_xlfn.ANCHORARRAY(Z$31),AA$31:AA$37),Z1058)</f>
        <v>Foxborough Stadium</v>
      </c>
      <c r="AB1058" s="42" t="str">
        <v>Foxborough</v>
      </c>
      <c r="AC1058" s="89" t="str">
        <f t="shared" si="88"/>
        <v>Foxborough</v>
      </c>
      <c r="AE1058" s="42">
        <v>2026</v>
      </c>
      <c r="AK1058" s="42">
        <v>5</v>
      </c>
      <c r="AL1058" s="42">
        <v>1</v>
      </c>
      <c r="AW1058" s="89" t="str">
        <v>ROUND_OF_16</v>
      </c>
      <c r="BE1058" s="43" t="str">
        <f>IF(OR(DATA_CLEANED!AL1049="",DATA_CLEANED!AM1049=""),"MANQUANT",IF(OR(NOT(ISNUMBER(DATA_CLEANED!AL1049)),NOT(ISNUMBER(DATA_CLEANED!AM1049))),"ENTREE INVALIDE",IF(OR(DATA_CLEANED!AL1049&lt;0,DATA_CLEANED!AM1049&lt;0),"SCORE NEGATIF","OK")))</f>
        <v>OK</v>
      </c>
      <c r="BF1058" s="43" t="str">
        <f>IF(DATA_CLEANED!AK1049&lt;&gt;DATA_CLEANED!AN1049,"OK","ERREUR")</f>
        <v>OK</v>
      </c>
      <c r="BG1058" s="43" t="str">
        <f>IF(DATA_CLEANED!AL1049&gt;DATA_CLEANED!AM1049,DATA_CLEANED!AK1049,IF(AND(DATA_QUALITE!W5535="-",DATA_CLEANED!AM1049=DATA_CLEANED!AL1049),"MATCH NUL",IF(AND(DATA_QUALITE!V5535="-",DATA_QUALITE!U5535="AUCUNE"),DATA_QUALITE!T5535,IF(DATA_QUALITE!V5535&lt;&gt;"-",DATA_QUALITE!V5535,DATA_CLEANED!AN1049))))</f>
        <v>Spain</v>
      </c>
      <c r="BH1058" s="103" t="str">
        <f>IF(AND(BG1058="MATCH NUL",DATA_CLEANED!AO1049="-"),"MATCH_NUL",IF(ISNUMBER(SEARCH("win on penalties",W5535)),"WIN_BY_PENALTY",IF(ISNUMBER(SEARCH("win after extra time",W5535)),"WIN_BY_EXTRA_TIME",IF(ISNUMBER(SEARCH("Golden Goal",W5535)),"WIN_BY_GOLDEN_GOAL","WIN_BY_SCORE"))))</f>
        <v>WIN_BY_SCORE</v>
      </c>
      <c r="BI1058" s="99" t="str">
        <f>IF(OR(BG1058=DATA_CLEANED!AK1049,BG1058=DATA_CLEANED!AN1049,BG1058="MATCH NUL"),"OK","ERREUR")</f>
        <v>OK</v>
      </c>
    </row>
    <row r="1059" spans="2:61">
      <c r="B1059" s="75">
        <v>622</v>
      </c>
      <c r="C1059" s="15" t="str">
        <v>Alexander Isak</v>
      </c>
      <c r="D1059" s="15">
        <v>26</v>
      </c>
      <c r="E1059" s="15" t="str">
        <v>Sweden</v>
      </c>
      <c r="F1059" s="15" t="str">
        <v>ST</v>
      </c>
      <c r="G1059" s="15" t="str">
        <v>Liverpool</v>
      </c>
      <c r="H1059" s="15">
        <v>9</v>
      </c>
      <c r="I1059" s="15" t="str">
        <f t="shared" si="89"/>
        <v>622|Alexander Isak|26|Sweden|ST|Liverpool|9</v>
      </c>
      <c r="J1059" s="15" t="str">
        <f>IF(COUNTIF(I$438:I1059,I1059)&gt;1,"DOUBLON","OK")</f>
        <v>OK</v>
      </c>
      <c r="S1059" s="30" t="str">
        <v>Croatia</v>
      </c>
      <c r="T1059" s="30" t="str">
        <f t="shared" si="90"/>
        <v>OK</v>
      </c>
      <c r="U1059" s="30" t="str">
        <f t="shared" si="91"/>
        <v>-</v>
      </c>
      <c r="V1059" s="30" t="str" cm="1">
        <f t="array" ref="V1059">_xlfn.IFS(
ISNUMBER(SEARCH("USA",S1059)),"United States",
ISNUMBER(SEARCH("Republic of Korea",S1059)),"South Korea",
ISNUMBER(SEARCH("Cape Verde",S1059)),"Cabo Verde",
ISNUMBER(SEARCH("Czechia",S1059)),"Czech Republic",
ISNUMBER(SEARCH("Türkiye",S1059)),"Turkey",
ISNUMBER(SEARCH("Ivory Coast",S1059)),"Côte d'Ivoire",
ISNUMBER(SEARCH("Korea Republic",S1059)),"South Korea",
ISNUMBER(SEARCH("Germany FR",S1059)),"FR Germany",
ISNUMBER(SEARCH("West Germany",S1059)),"FR Germany",
ISNUMBER(SEARCH("Germany DR",S1059)),"DR Germany",
ISNUMBER(SEARCH("Korea DPR",S1059)),"North Korea",
ISNUMBER(SEARCH("China PR",S1059)),"China",
ISNUMBER(SEARCH("IR Iran",S1059)),"Iran",
ISNUMBER(SEARCH("Congo DR",S1059)),"Democratic Republic of the Congo",
ISNUMBER(SEARCH("DR Congo",S1059)),"Democratic Republic of the Congo",
ISNUMBER(SEARCH("German DR",S1059)),"DR Germany",
ISNUMBER(SEARCH("rn""&gt;United Arab Emirates",S1059)),"United Arab Emirates",
ISNUMBER(SEARCH("rn""&gt;Republic of Ireland",S1059)),"Ireland",
ISNUMBER(SEARCH("rn""&gt;Bosnia and Herzegovina",S1059)),"Bosnia and Herzegovina",
ISNUMBER(SEARCH("rn""&gt;Trinidad and Tobago",S1059)),"Trinidad and Tobago",
ISNUMBER(SEARCH("rn""&gt;Serbia and Montenegro",S1059)),"Serbia and Montenegro",
ISNUMBER(SEARCH(_xlfn.UNICHAR(65533),S1059)),"Côte d'Ivoire",
TRUE,""
)</f>
        <v/>
      </c>
      <c r="W1059" s="30" t="str">
        <f t="shared" si="92"/>
        <v>Croatia</v>
      </c>
      <c r="Z1059" s="40" t="str">
        <v>Toronto Stadium</v>
      </c>
      <c r="AA1059" s="40" t="str" cm="1">
        <f t="array" ref="AA1059">IFERROR(_xlfn.XLOOKUP(Z1059,_xlfn.ANCHORARRAY(Z$31),AA$31:AA$37),Z1059)</f>
        <v>Toronto Stadium</v>
      </c>
      <c r="AB1059" s="42" t="str">
        <v>Toronto</v>
      </c>
      <c r="AC1059" s="89" t="str">
        <f t="shared" si="88"/>
        <v>Toronto</v>
      </c>
      <c r="AE1059" s="42">
        <v>2026</v>
      </c>
      <c r="AK1059" s="42">
        <v>0</v>
      </c>
      <c r="AL1059" s="42">
        <v>0</v>
      </c>
      <c r="AW1059" s="89" t="str">
        <v>ROUND_OF_16</v>
      </c>
      <c r="BE1059" s="43" t="str">
        <f>IF(OR(DATA_CLEANED!AL1050="",DATA_CLEANED!AM1050=""),"MANQUANT",IF(OR(NOT(ISNUMBER(DATA_CLEANED!AL1050)),NOT(ISNUMBER(DATA_CLEANED!AM1050))),"ENTREE INVALIDE",IF(OR(DATA_CLEANED!AL1050&lt;0,DATA_CLEANED!AM1050&lt;0),"SCORE NEGATIF","OK")))</f>
        <v>OK</v>
      </c>
      <c r="BF1059" s="43" t="str">
        <f>IF(DATA_CLEANED!AK1050&lt;&gt;DATA_CLEANED!AN1050,"OK","ERREUR")</f>
        <v>OK</v>
      </c>
      <c r="BG1059" s="43" t="str">
        <f>IF(DATA_CLEANED!AL1050&gt;DATA_CLEANED!AM1050,DATA_CLEANED!AK1050,IF(AND(DATA_QUALITE!W5536="-",DATA_CLEANED!AM1050=DATA_CLEANED!AL1050),"MATCH NUL",IF(AND(DATA_QUALITE!V5536="-",DATA_QUALITE!U5536="AUCUNE"),DATA_QUALITE!T5536,IF(DATA_QUALITE!V5536&lt;&gt;"-",DATA_QUALITE!V5536,DATA_CLEANED!AN1050))))</f>
        <v>Belgium</v>
      </c>
      <c r="BH1059" s="103" t="str">
        <f>IF(AND(BG1059="MATCH NUL",DATA_CLEANED!AO1050="-"),"MATCH_NUL",IF(ISNUMBER(SEARCH("win on penalties",W5536)),"WIN_BY_PENALTY",IF(ISNUMBER(SEARCH("win after extra time",W5536)),"WIN_BY_EXTRA_TIME",IF(ISNUMBER(SEARCH("Golden Goal",W5536)),"WIN_BY_GOLDEN_GOAL","WIN_BY_SCORE"))))</f>
        <v>WIN_BY_SCORE</v>
      </c>
      <c r="BI1059" s="99" t="str">
        <f>IF(OR(BG1059=DATA_CLEANED!AK1050,BG1059=DATA_CLEANED!AN1050,BG1059="MATCH NUL"),"OK","ERREUR")</f>
        <v>OK</v>
      </c>
    </row>
    <row r="1060" spans="2:61">
      <c r="B1060" s="75">
        <v>623</v>
      </c>
      <c r="C1060" s="15" t="str">
        <v>Viktor Gyökeres</v>
      </c>
      <c r="D1060" s="15">
        <v>28</v>
      </c>
      <c r="E1060" s="15" t="str">
        <v>Sweden</v>
      </c>
      <c r="F1060" s="15" t="str">
        <v>ST</v>
      </c>
      <c r="G1060" s="15" t="str">
        <v>Arsenal</v>
      </c>
      <c r="H1060" s="15">
        <v>17</v>
      </c>
      <c r="I1060" s="15" t="str">
        <f t="shared" si="89"/>
        <v>623|Viktor Gyökeres|28|Sweden|ST|Arsenal|17</v>
      </c>
      <c r="J1060" s="15" t="str">
        <f>IF(COUNTIF(I$438:I1060,I1060)&gt;1,"DOUBLON","OK")</f>
        <v>OK</v>
      </c>
      <c r="S1060" s="30" t="str">
        <v>Brazil</v>
      </c>
      <c r="T1060" s="30" t="str">
        <f t="shared" si="90"/>
        <v>OK</v>
      </c>
      <c r="U1060" s="30" t="str">
        <f t="shared" si="91"/>
        <v>-</v>
      </c>
      <c r="V1060" s="30" t="str" cm="1">
        <f t="array" ref="V1060">_xlfn.IFS(
ISNUMBER(SEARCH("USA",S1060)),"United States",
ISNUMBER(SEARCH("Republic of Korea",S1060)),"South Korea",
ISNUMBER(SEARCH("Cape Verde",S1060)),"Cabo Verde",
ISNUMBER(SEARCH("Czechia",S1060)),"Czech Republic",
ISNUMBER(SEARCH("Türkiye",S1060)),"Turkey",
ISNUMBER(SEARCH("Ivory Coast",S1060)),"Côte d'Ivoire",
ISNUMBER(SEARCH("Korea Republic",S1060)),"South Korea",
ISNUMBER(SEARCH("Germany FR",S1060)),"FR Germany",
ISNUMBER(SEARCH("West Germany",S1060)),"FR Germany",
ISNUMBER(SEARCH("Germany DR",S1060)),"DR Germany",
ISNUMBER(SEARCH("Korea DPR",S1060)),"North Korea",
ISNUMBER(SEARCH("China PR",S1060)),"China",
ISNUMBER(SEARCH("IR Iran",S1060)),"Iran",
ISNUMBER(SEARCH("Congo DR",S1060)),"Democratic Republic of the Congo",
ISNUMBER(SEARCH("DR Congo",S1060)),"Democratic Republic of the Congo",
ISNUMBER(SEARCH("German DR",S1060)),"DR Germany",
ISNUMBER(SEARCH("rn""&gt;United Arab Emirates",S1060)),"United Arab Emirates",
ISNUMBER(SEARCH("rn""&gt;Republic of Ireland",S1060)),"Ireland",
ISNUMBER(SEARCH("rn""&gt;Bosnia and Herzegovina",S1060)),"Bosnia and Herzegovina",
ISNUMBER(SEARCH("rn""&gt;Trinidad and Tobago",S1060)),"Trinidad and Tobago",
ISNUMBER(SEARCH("rn""&gt;Serbia and Montenegro",S1060)),"Serbia and Montenegro",
ISNUMBER(SEARCH(_xlfn.UNICHAR(65533),S1060)),"Côte d'Ivoire",
TRUE,""
)</f>
        <v/>
      </c>
      <c r="W1060" s="30" t="str">
        <f t="shared" si="92"/>
        <v>Brazil</v>
      </c>
      <c r="Z1060" s="40" t="str">
        <v>Houston Stadium</v>
      </c>
      <c r="AA1060" s="40" t="str" cm="1">
        <f t="array" ref="AA1060">IFERROR(_xlfn.XLOOKUP(Z1060,_xlfn.ANCHORARRAY(Z$31),AA$31:AA$37),Z1060)</f>
        <v>Houston Stadium</v>
      </c>
      <c r="AB1060" s="42" t="str">
        <v>Houston</v>
      </c>
      <c r="AC1060" s="89" t="str">
        <f t="shared" si="88"/>
        <v>Houston</v>
      </c>
      <c r="AE1060" s="42">
        <v>2026</v>
      </c>
      <c r="AK1060" s="42">
        <v>1</v>
      </c>
      <c r="AL1060" s="42">
        <v>1</v>
      </c>
      <c r="AW1060" s="89" t="str">
        <v>ROUND_OF_16</v>
      </c>
      <c r="BE1060" s="43" t="str">
        <f>IF(OR(DATA_CLEANED!AL1051="",DATA_CLEANED!AM1051=""),"MANQUANT",IF(OR(NOT(ISNUMBER(DATA_CLEANED!AL1051)),NOT(ISNUMBER(DATA_CLEANED!AM1051))),"ENTREE INVALIDE",IF(OR(DATA_CLEANED!AL1051&lt;0,DATA_CLEANED!AM1051&lt;0),"SCORE NEGATIF","OK")))</f>
        <v>OK</v>
      </c>
      <c r="BF1060" s="43" t="str">
        <f>IF(DATA_CLEANED!AK1051&lt;&gt;DATA_CLEANED!AN1051,"OK","ERREUR")</f>
        <v>OK</v>
      </c>
      <c r="BG1060" s="43" t="str">
        <f>IF(DATA_CLEANED!AL1051&gt;DATA_CLEANED!AM1051,DATA_CLEANED!AK1051,IF(AND(DATA_QUALITE!W5537="-",DATA_CLEANED!AM1051=DATA_CLEANED!AL1051),"MATCH NUL",IF(AND(DATA_QUALITE!V5537="-",DATA_QUALITE!U5537="AUCUNE"),DATA_QUALITE!T5537,IF(DATA_QUALITE!V5537&lt;&gt;"-",DATA_QUALITE!V5537,DATA_CLEANED!AN1051))))</f>
        <v>Argentina</v>
      </c>
      <c r="BH1060" s="103" t="str">
        <f>IF(AND(BG1060="MATCH NUL",DATA_CLEANED!AO1051="-"),"MATCH_NUL",IF(ISNUMBER(SEARCH("win on penalties",W5537)),"WIN_BY_PENALTY",IF(ISNUMBER(SEARCH("win after extra time",W5537)),"WIN_BY_EXTRA_TIME",IF(ISNUMBER(SEARCH("Golden Goal",W5537)),"WIN_BY_GOLDEN_GOAL","WIN_BY_SCORE"))))</f>
        <v>WIN_BY_SCORE</v>
      </c>
      <c r="BI1060" s="99" t="str">
        <f>IF(OR(BG1060=DATA_CLEANED!AK1051,BG1060=DATA_CLEANED!AN1051,BG1060="MATCH NUL"),"OK","ERREUR")</f>
        <v>OK</v>
      </c>
    </row>
    <row r="1061" spans="2:61">
      <c r="B1061" s="75">
        <v>624</v>
      </c>
      <c r="C1061" s="15" t="str">
        <v>Gustaf Nilsson</v>
      </c>
      <c r="D1061" s="15">
        <v>29</v>
      </c>
      <c r="E1061" s="15" t="str">
        <v>Sweden</v>
      </c>
      <c r="F1061" s="15" t="str">
        <v>ST</v>
      </c>
      <c r="G1061" s="15" t="str">
        <v>Club Brugge</v>
      </c>
      <c r="H1061" s="15">
        <v>25</v>
      </c>
      <c r="I1061" s="15" t="str">
        <f t="shared" si="89"/>
        <v>624|Gustaf Nilsson|29|Sweden|ST|Club Brugge|25</v>
      </c>
      <c r="J1061" s="15" t="str">
        <f>IF(COUNTIF(I$438:I1061,I1061)&gt;1,"DOUBLON","OK")</f>
        <v>OK</v>
      </c>
      <c r="S1061" s="30" t="str">
        <v>Croatia</v>
      </c>
      <c r="T1061" s="30" t="str">
        <f t="shared" si="90"/>
        <v>OK</v>
      </c>
      <c r="U1061" s="30" t="str">
        <f t="shared" si="91"/>
        <v>-</v>
      </c>
      <c r="V1061" s="30" t="str" cm="1">
        <f t="array" ref="V1061">_xlfn.IFS(
ISNUMBER(SEARCH("USA",S1061)),"United States",
ISNUMBER(SEARCH("Republic of Korea",S1061)),"South Korea",
ISNUMBER(SEARCH("Cape Verde",S1061)),"Cabo Verde",
ISNUMBER(SEARCH("Czechia",S1061)),"Czech Republic",
ISNUMBER(SEARCH("Türkiye",S1061)),"Turkey",
ISNUMBER(SEARCH("Ivory Coast",S1061)),"Côte d'Ivoire",
ISNUMBER(SEARCH("Korea Republic",S1061)),"South Korea",
ISNUMBER(SEARCH("Germany FR",S1061)),"FR Germany",
ISNUMBER(SEARCH("West Germany",S1061)),"FR Germany",
ISNUMBER(SEARCH("Germany DR",S1061)),"DR Germany",
ISNUMBER(SEARCH("Korea DPR",S1061)),"North Korea",
ISNUMBER(SEARCH("China PR",S1061)),"China",
ISNUMBER(SEARCH("IR Iran",S1061)),"Iran",
ISNUMBER(SEARCH("Congo DR",S1061)),"Democratic Republic of the Congo",
ISNUMBER(SEARCH("DR Congo",S1061)),"Democratic Republic of the Congo",
ISNUMBER(SEARCH("German DR",S1061)),"DR Germany",
ISNUMBER(SEARCH("rn""&gt;United Arab Emirates",S1061)),"United Arab Emirates",
ISNUMBER(SEARCH("rn""&gt;Republic of Ireland",S1061)),"Ireland",
ISNUMBER(SEARCH("rn""&gt;Bosnia and Herzegovina",S1061)),"Bosnia and Herzegovina",
ISNUMBER(SEARCH("rn""&gt;Trinidad and Tobago",S1061)),"Trinidad and Tobago",
ISNUMBER(SEARCH("rn""&gt;Serbia and Montenegro",S1061)),"Serbia and Montenegro",
ISNUMBER(SEARCH(_xlfn.UNICHAR(65533),S1061)),"Côte d'Ivoire",
TRUE,""
)</f>
        <v/>
      </c>
      <c r="W1061" s="30" t="str">
        <f t="shared" si="92"/>
        <v>Croatia</v>
      </c>
      <c r="Z1061" s="40" t="str">
        <v>Zapopan Stadium</v>
      </c>
      <c r="AA1061" s="40" t="str" cm="1">
        <f t="array" ref="AA1061">IFERROR(_xlfn.XLOOKUP(Z1061,_xlfn.ANCHORARRAY(Z$31),AA$31:AA$37),Z1061)</f>
        <v>Zapopan Stadium</v>
      </c>
      <c r="AB1061" s="42" t="str">
        <v>Zapopan</v>
      </c>
      <c r="AC1061" s="89" t="str">
        <f t="shared" si="88"/>
        <v>Zapopan</v>
      </c>
      <c r="AE1061" s="42">
        <v>2026</v>
      </c>
      <c r="AK1061" s="42">
        <v>1</v>
      </c>
      <c r="AL1061" s="42">
        <v>1</v>
      </c>
      <c r="AW1061" s="89" t="str">
        <v>ROUND_OF_16</v>
      </c>
      <c r="BE1061" s="43" t="str">
        <f>IF(OR(DATA_CLEANED!AL1052="",DATA_CLEANED!AM1052=""),"MANQUANT",IF(OR(NOT(ISNUMBER(DATA_CLEANED!AL1052)),NOT(ISNUMBER(DATA_CLEANED!AM1052))),"ENTREE INVALIDE",IF(OR(DATA_CLEANED!AL1052&lt;0,DATA_CLEANED!AM1052&lt;0),"SCORE NEGATIF","OK")))</f>
        <v>OK</v>
      </c>
      <c r="BF1061" s="43" t="str">
        <f>IF(DATA_CLEANED!AK1052&lt;&gt;DATA_CLEANED!AN1052,"OK","ERREUR")</f>
        <v>OK</v>
      </c>
      <c r="BG1061" s="43" t="str">
        <f>IF(DATA_CLEANED!AL1052&gt;DATA_CLEANED!AM1052,DATA_CLEANED!AK1052,IF(AND(DATA_QUALITE!W5538="-",DATA_CLEANED!AM1052=DATA_CLEANED!AL1052),"MATCH NUL",IF(AND(DATA_QUALITE!V5538="-",DATA_QUALITE!U5538="AUCUNE"),DATA_QUALITE!T5538,IF(DATA_QUALITE!V5538&lt;&gt;"-",DATA_QUALITE!V5538,DATA_CLEANED!AN1052))))</f>
        <v>Switzerland</v>
      </c>
      <c r="BH1061" s="103" t="str">
        <f>IF(AND(BG1061="MATCH NUL",DATA_CLEANED!AO1052="-"),"MATCH_NUL",IF(ISNUMBER(SEARCH("win on penalties",W5538)),"WIN_BY_PENALTY",IF(ISNUMBER(SEARCH("win after extra time",W5538)),"WIN_BY_EXTRA_TIME",IF(ISNUMBER(SEARCH("Golden Goal",W5538)),"WIN_BY_GOLDEN_GOAL","WIN_BY_SCORE"))))</f>
        <v>WIN_BY_PENALTY</v>
      </c>
      <c r="BI1061" s="99" t="str">
        <f>IF(OR(BG1061=DATA_CLEANED!AK1052,BG1061=DATA_CLEANED!AN1052,BG1061="MATCH NUL"),"OK","ERREUR")</f>
        <v>OK</v>
      </c>
    </row>
    <row r="1062" spans="2:61">
      <c r="B1062" s="75">
        <v>625</v>
      </c>
      <c r="C1062" s="15" t="str">
        <v>Thibaut Courtois</v>
      </c>
      <c r="D1062" s="15">
        <v>34</v>
      </c>
      <c r="E1062" s="15" t="str">
        <v>Belgium</v>
      </c>
      <c r="F1062" s="15" t="str">
        <v>GK</v>
      </c>
      <c r="G1062" s="15" t="str">
        <v>Real Madrid</v>
      </c>
      <c r="H1062" s="15">
        <v>1</v>
      </c>
      <c r="I1062" s="15" t="str">
        <f t="shared" si="89"/>
        <v>625|Thibaut Courtois|34|Belgium|GK|Real Madrid|1</v>
      </c>
      <c r="J1062" s="15" t="str">
        <f>IF(COUNTIF(I$438:I1062,I1062)&gt;1,"DOUBLON","OK")</f>
        <v>OK</v>
      </c>
      <c r="S1062" s="30" t="str">
        <v>Brazil</v>
      </c>
      <c r="T1062" s="30" t="str">
        <f t="shared" si="90"/>
        <v>OK</v>
      </c>
      <c r="U1062" s="30" t="str">
        <f t="shared" si="91"/>
        <v>-</v>
      </c>
      <c r="V1062" s="30" t="str" cm="1">
        <f t="array" ref="V1062">_xlfn.IFS(
ISNUMBER(SEARCH("USA",S1062)),"United States",
ISNUMBER(SEARCH("Republic of Korea",S1062)),"South Korea",
ISNUMBER(SEARCH("Cape Verde",S1062)),"Cabo Verde",
ISNUMBER(SEARCH("Czechia",S1062)),"Czech Republic",
ISNUMBER(SEARCH("Türkiye",S1062)),"Turkey",
ISNUMBER(SEARCH("Ivory Coast",S1062)),"Côte d'Ivoire",
ISNUMBER(SEARCH("Korea Republic",S1062)),"South Korea",
ISNUMBER(SEARCH("Germany FR",S1062)),"FR Germany",
ISNUMBER(SEARCH("West Germany",S1062)),"FR Germany",
ISNUMBER(SEARCH("Germany DR",S1062)),"DR Germany",
ISNUMBER(SEARCH("Korea DPR",S1062)),"North Korea",
ISNUMBER(SEARCH("China PR",S1062)),"China",
ISNUMBER(SEARCH("IR Iran",S1062)),"Iran",
ISNUMBER(SEARCH("Congo DR",S1062)),"Democratic Republic of the Congo",
ISNUMBER(SEARCH("DR Congo",S1062)),"Democratic Republic of the Congo",
ISNUMBER(SEARCH("German DR",S1062)),"DR Germany",
ISNUMBER(SEARCH("rn""&gt;United Arab Emirates",S1062)),"United Arab Emirates",
ISNUMBER(SEARCH("rn""&gt;Republic of Ireland",S1062)),"Ireland",
ISNUMBER(SEARCH("rn""&gt;Bosnia and Herzegovina",S1062)),"Bosnia and Herzegovina",
ISNUMBER(SEARCH("rn""&gt;Trinidad and Tobago",S1062)),"Trinidad and Tobago",
ISNUMBER(SEARCH("rn""&gt;Serbia and Montenegro",S1062)),"Serbia and Montenegro",
ISNUMBER(SEARCH(_xlfn.UNICHAR(65533),S1062)),"Côte d'Ivoire",
TRUE,""
)</f>
        <v/>
      </c>
      <c r="W1062" s="30" t="str">
        <f t="shared" si="92"/>
        <v>Brazil</v>
      </c>
      <c r="Z1062" s="40" t="str">
        <v>Vancouver Stadium</v>
      </c>
      <c r="AA1062" s="40" t="str" cm="1">
        <f t="array" ref="AA1062">IFERROR(_xlfn.XLOOKUP(Z1062,_xlfn.ANCHORARRAY(Z$31),AA$31:AA$37),Z1062)</f>
        <v>Vancouver Stadium</v>
      </c>
      <c r="AB1062" s="42" t="str">
        <v>Vancouver</v>
      </c>
      <c r="AC1062" s="89" t="str">
        <f t="shared" si="88"/>
        <v>Vancouver</v>
      </c>
      <c r="AE1062" s="42">
        <v>2026</v>
      </c>
      <c r="AK1062" s="42">
        <v>2</v>
      </c>
      <c r="AL1062" s="42">
        <v>2</v>
      </c>
      <c r="AW1062" s="89" t="str">
        <v>QUARTER_FINALS</v>
      </c>
      <c r="BE1062" s="43" t="str">
        <f>IF(OR(DATA_CLEANED!AL1053="",DATA_CLEANED!AM1053=""),"MANQUANT",IF(OR(NOT(ISNUMBER(DATA_CLEANED!AL1053)),NOT(ISNUMBER(DATA_CLEANED!AM1053))),"ENTREE INVALIDE",IF(OR(DATA_CLEANED!AL1053&lt;0,DATA_CLEANED!AM1053&lt;0),"SCORE NEGATIF","OK")))</f>
        <v>OK</v>
      </c>
      <c r="BF1062" s="43" t="str">
        <f>IF(DATA_CLEANED!AK1053&lt;&gt;DATA_CLEANED!AN1053,"OK","ERREUR")</f>
        <v>OK</v>
      </c>
      <c r="BG1062" s="43" t="str">
        <f>IF(DATA_CLEANED!AL1053&gt;DATA_CLEANED!AM1053,DATA_CLEANED!AK1053,IF(AND(DATA_QUALITE!W5539="-",DATA_CLEANED!AM1053=DATA_CLEANED!AL1053),"MATCH NUL",IF(AND(DATA_QUALITE!V5539="-",DATA_QUALITE!U5539="AUCUNE"),DATA_QUALITE!T5539,IF(DATA_QUALITE!V5539&lt;&gt;"-",DATA_QUALITE!V5539,DATA_CLEANED!AN1053))))</f>
        <v>France</v>
      </c>
      <c r="BH1062" s="103" t="str">
        <f>IF(AND(BG1062="MATCH NUL",DATA_CLEANED!AO1053="-"),"MATCH_NUL",IF(ISNUMBER(SEARCH("win on penalties",W5539)),"WIN_BY_PENALTY",IF(ISNUMBER(SEARCH("win after extra time",W5539)),"WIN_BY_EXTRA_TIME",IF(ISNUMBER(SEARCH("Golden Goal",W5539)),"WIN_BY_GOLDEN_GOAL","WIN_BY_SCORE"))))</f>
        <v>WIN_BY_SCORE</v>
      </c>
      <c r="BI1062" s="99" t="str">
        <f>IF(OR(BG1062=DATA_CLEANED!AK1053,BG1062=DATA_CLEANED!AN1053,BG1062="MATCH NUL"),"OK","ERREUR")</f>
        <v>OK</v>
      </c>
    </row>
    <row r="1063" spans="2:61">
      <c r="B1063" s="75">
        <v>626</v>
      </c>
      <c r="C1063" s="15" t="str">
        <v>Senne Lammens</v>
      </c>
      <c r="D1063" s="15">
        <v>23</v>
      </c>
      <c r="E1063" s="15" t="str">
        <v>Belgium</v>
      </c>
      <c r="F1063" s="15" t="str">
        <v>GK</v>
      </c>
      <c r="G1063" s="15" t="str">
        <v>Manchester United</v>
      </c>
      <c r="H1063" s="15">
        <v>12</v>
      </c>
      <c r="I1063" s="15" t="str">
        <f t="shared" si="89"/>
        <v>626|Senne Lammens|23|Belgium|GK|Manchester United|12</v>
      </c>
      <c r="J1063" s="15" t="str">
        <f>IF(COUNTIF(I$438:I1063,I1063)&gt;1,"DOUBLON","OK")</f>
        <v>OK</v>
      </c>
      <c r="S1063" s="30" t="str">
        <v>Croatia</v>
      </c>
      <c r="T1063" s="30" t="str">
        <f t="shared" si="90"/>
        <v>OK</v>
      </c>
      <c r="U1063" s="30" t="str">
        <f t="shared" si="91"/>
        <v>-</v>
      </c>
      <c r="V1063" s="30" t="str" cm="1">
        <f t="array" ref="V1063">_xlfn.IFS(
ISNUMBER(SEARCH("USA",S1063)),"United States",
ISNUMBER(SEARCH("Republic of Korea",S1063)),"South Korea",
ISNUMBER(SEARCH("Cape Verde",S1063)),"Cabo Verde",
ISNUMBER(SEARCH("Czechia",S1063)),"Czech Republic",
ISNUMBER(SEARCH("Türkiye",S1063)),"Turkey",
ISNUMBER(SEARCH("Ivory Coast",S1063)),"Côte d'Ivoire",
ISNUMBER(SEARCH("Korea Republic",S1063)),"South Korea",
ISNUMBER(SEARCH("Germany FR",S1063)),"FR Germany",
ISNUMBER(SEARCH("West Germany",S1063)),"FR Germany",
ISNUMBER(SEARCH("Germany DR",S1063)),"DR Germany",
ISNUMBER(SEARCH("Korea DPR",S1063)),"North Korea",
ISNUMBER(SEARCH("China PR",S1063)),"China",
ISNUMBER(SEARCH("IR Iran",S1063)),"Iran",
ISNUMBER(SEARCH("Congo DR",S1063)),"Democratic Republic of the Congo",
ISNUMBER(SEARCH("DR Congo",S1063)),"Democratic Republic of the Congo",
ISNUMBER(SEARCH("German DR",S1063)),"DR Germany",
ISNUMBER(SEARCH("rn""&gt;United Arab Emirates",S1063)),"United Arab Emirates",
ISNUMBER(SEARCH("rn""&gt;Republic of Ireland",S1063)),"Ireland",
ISNUMBER(SEARCH("rn""&gt;Bosnia and Herzegovina",S1063)),"Bosnia and Herzegovina",
ISNUMBER(SEARCH("rn""&gt;Trinidad and Tobago",S1063)),"Trinidad and Tobago",
ISNUMBER(SEARCH("rn""&gt;Serbia and Montenegro",S1063)),"Serbia and Montenegro",
ISNUMBER(SEARCH(_xlfn.UNICHAR(65533),S1063)),"Côte d'Ivoire",
TRUE,""
)</f>
        <v/>
      </c>
      <c r="W1063" s="30" t="str">
        <f t="shared" si="92"/>
        <v>Croatia</v>
      </c>
      <c r="Z1063" s="40" t="str">
        <v>Seattle Stadium</v>
      </c>
      <c r="AA1063" s="40" t="str" cm="1">
        <f t="array" ref="AA1063">IFERROR(_xlfn.XLOOKUP(Z1063,_xlfn.ANCHORARRAY(Z$31),AA$31:AA$37),Z1063)</f>
        <v>Seattle Stadium</v>
      </c>
      <c r="AB1063" s="42" t="str">
        <v>Seattle</v>
      </c>
      <c r="AC1063" s="89" t="str">
        <f t="shared" si="88"/>
        <v>Seattle</v>
      </c>
      <c r="AE1063" s="42">
        <v>2026</v>
      </c>
      <c r="AK1063" s="42">
        <v>3</v>
      </c>
      <c r="AL1063" s="42">
        <v>1</v>
      </c>
      <c r="AW1063" s="89" t="str">
        <v>QUARTER_FINALS</v>
      </c>
      <c r="BE1063" s="43" t="str">
        <f>IF(OR(DATA_CLEANED!AL1054="",DATA_CLEANED!AM1054=""),"MANQUANT",IF(OR(NOT(ISNUMBER(DATA_CLEANED!AL1054)),NOT(ISNUMBER(DATA_CLEANED!AM1054))),"ENTREE INVALIDE",IF(OR(DATA_CLEANED!AL1054&lt;0,DATA_CLEANED!AM1054&lt;0),"SCORE NEGATIF","OK")))</f>
        <v>OK</v>
      </c>
      <c r="BF1063" s="43" t="str">
        <f>IF(DATA_CLEANED!AK1054&lt;&gt;DATA_CLEANED!AN1054,"OK","ERREUR")</f>
        <v>OK</v>
      </c>
      <c r="BG1063" s="43" t="str">
        <f>IF(DATA_CLEANED!AL1054&gt;DATA_CLEANED!AM1054,DATA_CLEANED!AK1054,IF(AND(DATA_QUALITE!W5540="-",DATA_CLEANED!AM1054=DATA_CLEANED!AL1054),"MATCH NUL",IF(AND(DATA_QUALITE!V5540="-",DATA_QUALITE!U5540="AUCUNE"),DATA_QUALITE!T5540,IF(DATA_QUALITE!V5540&lt;&gt;"-",DATA_QUALITE!V5540,DATA_CLEANED!AN1054))))</f>
        <v>Spain</v>
      </c>
      <c r="BH1063" s="103" t="str">
        <f>IF(AND(BG1063="MATCH NUL",DATA_CLEANED!AO1054="-"),"MATCH_NUL",IF(ISNUMBER(SEARCH("win on penalties",W5540)),"WIN_BY_PENALTY",IF(ISNUMBER(SEARCH("win after extra time",W5540)),"WIN_BY_EXTRA_TIME",IF(ISNUMBER(SEARCH("Golden Goal",W5540)),"WIN_BY_GOLDEN_GOAL","WIN_BY_SCORE"))))</f>
        <v>WIN_BY_SCORE</v>
      </c>
      <c r="BI1063" s="99" t="str">
        <f>IF(OR(BG1063=DATA_CLEANED!AK1054,BG1063=DATA_CLEANED!AN1054,BG1063="MATCH NUL"),"OK","ERREUR")</f>
        <v>OK</v>
      </c>
    </row>
    <row r="1064" spans="2:61">
      <c r="B1064" s="75">
        <v>627</v>
      </c>
      <c r="C1064" s="15" t="str">
        <v>Mike Penders</v>
      </c>
      <c r="D1064" s="15">
        <v>20</v>
      </c>
      <c r="E1064" s="15" t="str">
        <v>Belgium</v>
      </c>
      <c r="F1064" s="15" t="str">
        <v>GK</v>
      </c>
      <c r="G1064" s="15" t="str">
        <v>Strasbourg</v>
      </c>
      <c r="H1064" s="15">
        <v>13</v>
      </c>
      <c r="I1064" s="15" t="str">
        <f t="shared" si="89"/>
        <v>627|Mike Penders|20|Belgium|GK|Strasbourg|13</v>
      </c>
      <c r="J1064" s="15" t="str">
        <f>IF(COUNTIF(I$438:I1064,I1064)&gt;1,"DOUBLON","OK")</f>
        <v>OK</v>
      </c>
      <c r="S1064" s="30" t="str">
        <v>Brazil</v>
      </c>
      <c r="T1064" s="30" t="str">
        <f t="shared" si="90"/>
        <v>OK</v>
      </c>
      <c r="U1064" s="30" t="str">
        <f t="shared" si="91"/>
        <v>-</v>
      </c>
      <c r="V1064" s="30" t="str" cm="1">
        <f t="array" ref="V1064">_xlfn.IFS(
ISNUMBER(SEARCH("USA",S1064)),"United States",
ISNUMBER(SEARCH("Republic of Korea",S1064)),"South Korea",
ISNUMBER(SEARCH("Cape Verde",S1064)),"Cabo Verde",
ISNUMBER(SEARCH("Czechia",S1064)),"Czech Republic",
ISNUMBER(SEARCH("Türkiye",S1064)),"Turkey",
ISNUMBER(SEARCH("Ivory Coast",S1064)),"Côte d'Ivoire",
ISNUMBER(SEARCH("Korea Republic",S1064)),"South Korea",
ISNUMBER(SEARCH("Germany FR",S1064)),"FR Germany",
ISNUMBER(SEARCH("West Germany",S1064)),"FR Germany",
ISNUMBER(SEARCH("Germany DR",S1064)),"DR Germany",
ISNUMBER(SEARCH("Korea DPR",S1064)),"North Korea",
ISNUMBER(SEARCH("China PR",S1064)),"China",
ISNUMBER(SEARCH("IR Iran",S1064)),"Iran",
ISNUMBER(SEARCH("Congo DR",S1064)),"Democratic Republic of the Congo",
ISNUMBER(SEARCH("DR Congo",S1064)),"Democratic Republic of the Congo",
ISNUMBER(SEARCH("German DR",S1064)),"DR Germany",
ISNUMBER(SEARCH("rn""&gt;United Arab Emirates",S1064)),"United Arab Emirates",
ISNUMBER(SEARCH("rn""&gt;Republic of Ireland",S1064)),"Ireland",
ISNUMBER(SEARCH("rn""&gt;Bosnia and Herzegovina",S1064)),"Bosnia and Herzegovina",
ISNUMBER(SEARCH("rn""&gt;Trinidad and Tobago",S1064)),"Trinidad and Tobago",
ISNUMBER(SEARCH("rn""&gt;Serbia and Montenegro",S1064)),"Serbia and Montenegro",
ISNUMBER(SEARCH(_xlfn.UNICHAR(65533),S1064)),"Côte d'Ivoire",
TRUE,""
)</f>
        <v/>
      </c>
      <c r="W1064" s="30" t="str">
        <f t="shared" si="92"/>
        <v>Brazil</v>
      </c>
      <c r="Z1064" s="40" t="str">
        <v>New Jersey Stadium</v>
      </c>
      <c r="AA1064" s="40" t="str" cm="1">
        <f t="array" ref="AA1064">IFERROR(_xlfn.XLOOKUP(Z1064,_xlfn.ANCHORARRAY(Z$31),AA$31:AA$37),Z1064)</f>
        <v>New Jersey Stadium</v>
      </c>
      <c r="AB1064" s="42" t="str">
        <v>New Jersey</v>
      </c>
      <c r="AC1064" s="89" t="str">
        <f t="shared" si="88"/>
        <v>New Jersey</v>
      </c>
      <c r="AE1064" s="42">
        <v>2026</v>
      </c>
      <c r="AK1064" s="42">
        <v>1</v>
      </c>
      <c r="AL1064" s="42">
        <v>4</v>
      </c>
      <c r="AW1064" s="89" t="str">
        <v>QUARTER_FINALS</v>
      </c>
      <c r="BE1064" s="43" t="str">
        <f>IF(OR(DATA_CLEANED!AL1055="",DATA_CLEANED!AM1055=""),"MANQUANT",IF(OR(NOT(ISNUMBER(DATA_CLEANED!AL1055)),NOT(ISNUMBER(DATA_CLEANED!AM1055))),"ENTREE INVALIDE",IF(OR(DATA_CLEANED!AL1055&lt;0,DATA_CLEANED!AM1055&lt;0),"SCORE NEGATIF","OK")))</f>
        <v>OK</v>
      </c>
      <c r="BF1064" s="43" t="str">
        <f>IF(DATA_CLEANED!AK1055&lt;&gt;DATA_CLEANED!AN1055,"OK","ERREUR")</f>
        <v>OK</v>
      </c>
      <c r="BG1064" s="43" t="str">
        <f>IF(DATA_CLEANED!AL1055&gt;DATA_CLEANED!AM1055,DATA_CLEANED!AK1055,IF(AND(DATA_QUALITE!W5541="-",DATA_CLEANED!AM1055=DATA_CLEANED!AL1055),"MATCH NUL",IF(AND(DATA_QUALITE!V5541="-",DATA_QUALITE!U5541="AUCUNE"),DATA_QUALITE!T5541,IF(DATA_QUALITE!V5541&lt;&gt;"-",DATA_QUALITE!V5541,DATA_CLEANED!AN1055))))</f>
        <v>England</v>
      </c>
      <c r="BH1064" s="103" t="str">
        <f>IF(AND(BG1064="MATCH NUL",DATA_CLEANED!AO1055="-"),"MATCH_NUL",IF(ISNUMBER(SEARCH("win on penalties",W5541)),"WIN_BY_PENALTY",IF(ISNUMBER(SEARCH("win after extra time",W5541)),"WIN_BY_EXTRA_TIME",IF(ISNUMBER(SEARCH("Golden Goal",W5541)),"WIN_BY_GOLDEN_GOAL","WIN_BY_SCORE"))))</f>
        <v>WIN_BY_EXTRA_TIME</v>
      </c>
      <c r="BI1064" s="99" t="str">
        <f>IF(OR(BG1064=DATA_CLEANED!AK1055,BG1064=DATA_CLEANED!AN1055,BG1064="MATCH NUL"),"OK","ERREUR")</f>
        <v>OK</v>
      </c>
    </row>
    <row r="1065" spans="2:61">
      <c r="B1065" s="75">
        <v>628</v>
      </c>
      <c r="C1065" s="15" t="str">
        <v>Zeno Debast</v>
      </c>
      <c r="D1065" s="15">
        <v>22</v>
      </c>
      <c r="E1065" s="15" t="str">
        <v>Belgium</v>
      </c>
      <c r="F1065" s="15" t="str">
        <v>CB</v>
      </c>
      <c r="G1065" s="15" t="str">
        <v>Sporting CP</v>
      </c>
      <c r="H1065" s="15">
        <v>2</v>
      </c>
      <c r="I1065" s="15" t="str">
        <f t="shared" si="89"/>
        <v>628|Zeno Debast|22|Belgium|CB|Sporting CP|2</v>
      </c>
      <c r="J1065" s="15" t="str">
        <f>IF(COUNTIF(I$438:I1065,I1065)&gt;1,"DOUBLON","OK")</f>
        <v>OK</v>
      </c>
      <c r="S1065" s="30" t="str">
        <v>Netherlands</v>
      </c>
      <c r="T1065" s="30" t="str">
        <f t="shared" si="90"/>
        <v>OK</v>
      </c>
      <c r="U1065" s="30" t="str">
        <f t="shared" si="91"/>
        <v>-</v>
      </c>
      <c r="V1065" s="30" t="str" cm="1">
        <f t="array" ref="V1065">_xlfn.IFS(
ISNUMBER(SEARCH("USA",S1065)),"United States",
ISNUMBER(SEARCH("Republic of Korea",S1065)),"South Korea",
ISNUMBER(SEARCH("Cape Verde",S1065)),"Cabo Verde",
ISNUMBER(SEARCH("Czechia",S1065)),"Czech Republic",
ISNUMBER(SEARCH("Türkiye",S1065)),"Turkey",
ISNUMBER(SEARCH("Ivory Coast",S1065)),"Côte d'Ivoire",
ISNUMBER(SEARCH("Korea Republic",S1065)),"South Korea",
ISNUMBER(SEARCH("Germany FR",S1065)),"FR Germany",
ISNUMBER(SEARCH("West Germany",S1065)),"FR Germany",
ISNUMBER(SEARCH("Germany DR",S1065)),"DR Germany",
ISNUMBER(SEARCH("Korea DPR",S1065)),"North Korea",
ISNUMBER(SEARCH("China PR",S1065)),"China",
ISNUMBER(SEARCH("IR Iran",S1065)),"Iran",
ISNUMBER(SEARCH("Congo DR",S1065)),"Democratic Republic of the Congo",
ISNUMBER(SEARCH("DR Congo",S1065)),"Democratic Republic of the Congo",
ISNUMBER(SEARCH("German DR",S1065)),"DR Germany",
ISNUMBER(SEARCH("rn""&gt;United Arab Emirates",S1065)),"United Arab Emirates",
ISNUMBER(SEARCH("rn""&gt;Republic of Ireland",S1065)),"Ireland",
ISNUMBER(SEARCH("rn""&gt;Bosnia and Herzegovina",S1065)),"Bosnia and Herzegovina",
ISNUMBER(SEARCH("rn""&gt;Trinidad and Tobago",S1065)),"Trinidad and Tobago",
ISNUMBER(SEARCH("rn""&gt;Serbia and Montenegro",S1065)),"Serbia and Montenegro",
ISNUMBER(SEARCH(_xlfn.UNICHAR(65533),S1065)),"Côte d'Ivoire",
TRUE,""
)</f>
        <v/>
      </c>
      <c r="W1065" s="30" t="str">
        <f t="shared" si="92"/>
        <v>Netherlands</v>
      </c>
      <c r="Z1065" s="40" t="str">
        <v>Philadelphia Stadium</v>
      </c>
      <c r="AA1065" s="40" t="str" cm="1">
        <f t="array" ref="AA1065">IFERROR(_xlfn.XLOOKUP(Z1065,_xlfn.ANCHORARRAY(Z$31),AA$31:AA$37),Z1065)</f>
        <v>Philadelphia Stadium</v>
      </c>
      <c r="AB1065" s="42" t="str">
        <v>Philadelphia</v>
      </c>
      <c r="AC1065" s="89" t="str">
        <f t="shared" ref="AC1065:AC1097" si="93">_xlfn.SINGLE(IFERROR(_xlfn.XLOOKUP(AB1065,AB$31:AB$34,AC$31:AC$34),AB1065))</f>
        <v>Philadelphia</v>
      </c>
      <c r="AE1065" s="42">
        <v>2026</v>
      </c>
      <c r="AK1065" s="42">
        <v>3</v>
      </c>
      <c r="AL1065" s="42">
        <v>0</v>
      </c>
      <c r="AW1065" s="89" t="str">
        <v>QUARTER_FINALS</v>
      </c>
      <c r="BE1065" s="43" t="str">
        <f>IF(OR(DATA_CLEANED!AL1056="",DATA_CLEANED!AM1056=""),"MANQUANT",IF(OR(NOT(ISNUMBER(DATA_CLEANED!AL1056)),NOT(ISNUMBER(DATA_CLEANED!AM1056))),"ENTREE INVALIDE",IF(OR(DATA_CLEANED!AL1056&lt;0,DATA_CLEANED!AM1056&lt;0),"SCORE NEGATIF","OK")))</f>
        <v>OK</v>
      </c>
      <c r="BF1065" s="43" t="str">
        <f>IF(DATA_CLEANED!AK1056&lt;&gt;DATA_CLEANED!AN1056,"OK","ERREUR")</f>
        <v>OK</v>
      </c>
      <c r="BG1065" s="43" t="str">
        <f>IF(DATA_CLEANED!AL1056&gt;DATA_CLEANED!AM1056,DATA_CLEANED!AK1056,IF(AND(DATA_QUALITE!W5542="-",DATA_CLEANED!AM1056=DATA_CLEANED!AL1056),"MATCH NUL",IF(AND(DATA_QUALITE!V5542="-",DATA_QUALITE!U5542="AUCUNE"),DATA_QUALITE!T5542,IF(DATA_QUALITE!V5542&lt;&gt;"-",DATA_QUALITE!V5542,DATA_CLEANED!AN1056))))</f>
        <v>Argentina</v>
      </c>
      <c r="BH1065" s="103" t="str">
        <f>IF(AND(BG1065="MATCH NUL",DATA_CLEANED!AO1056="-"),"MATCH_NUL",IF(ISNUMBER(SEARCH("win on penalties",W5542)),"WIN_BY_PENALTY",IF(ISNUMBER(SEARCH("win after extra time",W5542)),"WIN_BY_EXTRA_TIME",IF(ISNUMBER(SEARCH("Golden Goal",W5542)),"WIN_BY_GOLDEN_GOAL","WIN_BY_SCORE"))))</f>
        <v>WIN_BY_EXTRA_TIME</v>
      </c>
      <c r="BI1065" s="99" t="str">
        <f>IF(OR(BG1065=DATA_CLEANED!AK1056,BG1065=DATA_CLEANED!AN1056,BG1065="MATCH NUL"),"OK","ERREUR")</f>
        <v>OK</v>
      </c>
    </row>
    <row r="1066" spans="2:61">
      <c r="B1066" s="75">
        <v>629</v>
      </c>
      <c r="C1066" s="15" t="str">
        <v>Arthur Theate</v>
      </c>
      <c r="D1066" s="15">
        <v>26</v>
      </c>
      <c r="E1066" s="15" t="str">
        <v>Belgium</v>
      </c>
      <c r="F1066" s="15" t="str">
        <v>CB</v>
      </c>
      <c r="G1066" s="15" t="str">
        <v>Eintracht Frankfurt</v>
      </c>
      <c r="H1066" s="15">
        <v>3</v>
      </c>
      <c r="I1066" s="15" t="str">
        <f t="shared" si="89"/>
        <v>629|Arthur Theate|26|Belgium|CB|Eintracht Frankfurt|3</v>
      </c>
      <c r="J1066" s="15" t="str">
        <f>IF(COUNTIF(I$438:I1066,I1066)&gt;1,"DOUBLON","OK")</f>
        <v>OK</v>
      </c>
      <c r="S1066" s="30" t="str">
        <v>Argentina</v>
      </c>
      <c r="T1066" s="30" t="str">
        <f t="shared" si="90"/>
        <v>OK</v>
      </c>
      <c r="U1066" s="30" t="str">
        <f t="shared" si="91"/>
        <v>-</v>
      </c>
      <c r="V1066" s="30" t="str" cm="1">
        <f t="array" ref="V1066">_xlfn.IFS(
ISNUMBER(SEARCH("USA",S1066)),"United States",
ISNUMBER(SEARCH("Republic of Korea",S1066)),"South Korea",
ISNUMBER(SEARCH("Cape Verde",S1066)),"Cabo Verde",
ISNUMBER(SEARCH("Czechia",S1066)),"Czech Republic",
ISNUMBER(SEARCH("Türkiye",S1066)),"Turkey",
ISNUMBER(SEARCH("Ivory Coast",S1066)),"Côte d'Ivoire",
ISNUMBER(SEARCH("Korea Republic",S1066)),"South Korea",
ISNUMBER(SEARCH("Germany FR",S1066)),"FR Germany",
ISNUMBER(SEARCH("West Germany",S1066)),"FR Germany",
ISNUMBER(SEARCH("Germany DR",S1066)),"DR Germany",
ISNUMBER(SEARCH("Korea DPR",S1066)),"North Korea",
ISNUMBER(SEARCH("China PR",S1066)),"China",
ISNUMBER(SEARCH("IR Iran",S1066)),"Iran",
ISNUMBER(SEARCH("Congo DR",S1066)),"Democratic Republic of the Congo",
ISNUMBER(SEARCH("DR Congo",S1066)),"Democratic Republic of the Congo",
ISNUMBER(SEARCH("German DR",S1066)),"DR Germany",
ISNUMBER(SEARCH("rn""&gt;United Arab Emirates",S1066)),"United Arab Emirates",
ISNUMBER(SEARCH("rn""&gt;Republic of Ireland",S1066)),"Ireland",
ISNUMBER(SEARCH("rn""&gt;Bosnia and Herzegovina",S1066)),"Bosnia and Herzegovina",
ISNUMBER(SEARCH("rn""&gt;Trinidad and Tobago",S1066)),"Trinidad and Tobago",
ISNUMBER(SEARCH("rn""&gt;Serbia and Montenegro",S1066)),"Serbia and Montenegro",
ISNUMBER(SEARCH(_xlfn.UNICHAR(65533),S1066)),"Côte d'Ivoire",
TRUE,""
)</f>
        <v/>
      </c>
      <c r="W1066" s="30" t="str">
        <f t="shared" si="92"/>
        <v>Argentina</v>
      </c>
      <c r="Z1066" s="40" t="str">
        <v>Los Angeles Stadium</v>
      </c>
      <c r="AA1066" s="40" t="str" cm="1">
        <f t="array" ref="AA1066">IFERROR(_xlfn.XLOOKUP(Z1066,_xlfn.ANCHORARRAY(Z$31),AA$31:AA$37),Z1066)</f>
        <v>Los Angeles Stadium</v>
      </c>
      <c r="AB1066" s="42" t="str">
        <v>Los Angeles</v>
      </c>
      <c r="AC1066" s="89" t="str">
        <f t="shared" si="93"/>
        <v>Los Angeles</v>
      </c>
      <c r="AE1066" s="42">
        <v>2026</v>
      </c>
      <c r="AK1066" s="42">
        <v>3</v>
      </c>
      <c r="AL1066" s="42">
        <v>1</v>
      </c>
      <c r="AW1066" s="89" t="str">
        <v>SEMI_FINALS</v>
      </c>
      <c r="BE1066" s="43" t="str">
        <f>IF(OR(DATA_CLEANED!AL1057="",DATA_CLEANED!AM1057=""),"MANQUANT",IF(OR(NOT(ISNUMBER(DATA_CLEANED!AL1057)),NOT(ISNUMBER(DATA_CLEANED!AM1057))),"ENTREE INVALIDE",IF(OR(DATA_CLEANED!AL1057&lt;0,DATA_CLEANED!AM1057&lt;0),"SCORE NEGATIF","OK")))</f>
        <v>OK</v>
      </c>
      <c r="BF1066" s="43" t="str">
        <f>IF(DATA_CLEANED!AK1057&lt;&gt;DATA_CLEANED!AN1057,"OK","ERREUR")</f>
        <v>OK</v>
      </c>
      <c r="BG1066" s="43" t="str">
        <f>IF(DATA_CLEANED!AL1057&gt;DATA_CLEANED!AM1057,DATA_CLEANED!AK1057,IF(AND(DATA_QUALITE!W5543="-",DATA_CLEANED!AM1057=DATA_CLEANED!AL1057),"MATCH NUL",IF(AND(DATA_QUALITE!V5543="-",DATA_QUALITE!U5543="AUCUNE"),DATA_QUALITE!T5543,IF(DATA_QUALITE!V5543&lt;&gt;"-",DATA_QUALITE!V5543,DATA_CLEANED!AN1057))))</f>
        <v>Spain</v>
      </c>
      <c r="BH1066" s="103" t="str">
        <f>IF(AND(BG1066="MATCH NUL",DATA_CLEANED!AO1057="-"),"MATCH_NUL",IF(ISNUMBER(SEARCH("win on penalties",W5543)),"WIN_BY_PENALTY",IF(ISNUMBER(SEARCH("win after extra time",W5543)),"WIN_BY_EXTRA_TIME",IF(ISNUMBER(SEARCH("Golden Goal",W5543)),"WIN_BY_GOLDEN_GOAL","WIN_BY_SCORE"))))</f>
        <v>WIN_BY_SCORE</v>
      </c>
      <c r="BI1066" s="99" t="str">
        <f>IF(OR(BG1066=DATA_CLEANED!AK1057,BG1066=DATA_CLEANED!AN1057,BG1066="MATCH NUL"),"OK","ERREUR")</f>
        <v>OK</v>
      </c>
    </row>
    <row r="1067" spans="2:61">
      <c r="B1067" s="75">
        <v>630</v>
      </c>
      <c r="C1067" s="15" t="str">
        <v>Brandon Mechele</v>
      </c>
      <c r="D1067" s="15">
        <v>33</v>
      </c>
      <c r="E1067" s="15" t="str">
        <v>Belgium</v>
      </c>
      <c r="F1067" s="15" t="str">
        <v>CB</v>
      </c>
      <c r="G1067" s="15" t="str">
        <v>Club Brugge</v>
      </c>
      <c r="H1067" s="15">
        <v>4</v>
      </c>
      <c r="I1067" s="15" t="str">
        <f t="shared" si="89"/>
        <v>630|Brandon Mechele|33|Belgium|CB|Club Brugge|4</v>
      </c>
      <c r="J1067" s="15" t="str">
        <f>IF(COUNTIF(I$438:I1067,I1067)&gt;1,"DOUBLON","OK")</f>
        <v>OK</v>
      </c>
      <c r="S1067" s="30" t="str">
        <v>Netherlands</v>
      </c>
      <c r="T1067" s="30" t="str">
        <f t="shared" si="90"/>
        <v>OK</v>
      </c>
      <c r="U1067" s="30" t="str">
        <f t="shared" si="91"/>
        <v>-</v>
      </c>
      <c r="V1067" s="30" t="str" cm="1">
        <f t="array" ref="V1067">_xlfn.IFS(
ISNUMBER(SEARCH("USA",S1067)),"United States",
ISNUMBER(SEARCH("Republic of Korea",S1067)),"South Korea",
ISNUMBER(SEARCH("Cape Verde",S1067)),"Cabo Verde",
ISNUMBER(SEARCH("Czechia",S1067)),"Czech Republic",
ISNUMBER(SEARCH("Türkiye",S1067)),"Turkey",
ISNUMBER(SEARCH("Ivory Coast",S1067)),"Côte d'Ivoire",
ISNUMBER(SEARCH("Korea Republic",S1067)),"South Korea",
ISNUMBER(SEARCH("Germany FR",S1067)),"FR Germany",
ISNUMBER(SEARCH("West Germany",S1067)),"FR Germany",
ISNUMBER(SEARCH("Germany DR",S1067)),"DR Germany",
ISNUMBER(SEARCH("Korea DPR",S1067)),"North Korea",
ISNUMBER(SEARCH("China PR",S1067)),"China",
ISNUMBER(SEARCH("IR Iran",S1067)),"Iran",
ISNUMBER(SEARCH("Congo DR",S1067)),"Democratic Republic of the Congo",
ISNUMBER(SEARCH("DR Congo",S1067)),"Democratic Republic of the Congo",
ISNUMBER(SEARCH("German DR",S1067)),"DR Germany",
ISNUMBER(SEARCH("rn""&gt;United Arab Emirates",S1067)),"United Arab Emirates",
ISNUMBER(SEARCH("rn""&gt;Republic of Ireland",S1067)),"Ireland",
ISNUMBER(SEARCH("rn""&gt;Bosnia and Herzegovina",S1067)),"Bosnia and Herzegovina",
ISNUMBER(SEARCH("rn""&gt;Trinidad and Tobago",S1067)),"Trinidad and Tobago",
ISNUMBER(SEARCH("rn""&gt;Serbia and Montenegro",S1067)),"Serbia and Montenegro",
ISNUMBER(SEARCH(_xlfn.UNICHAR(65533),S1067)),"Côte d'Ivoire",
TRUE,""
)</f>
        <v/>
      </c>
      <c r="W1067" s="30" t="str">
        <f t="shared" si="92"/>
        <v>Netherlands</v>
      </c>
      <c r="Z1067" s="40" t="str">
        <v>Boston Stadium</v>
      </c>
      <c r="AA1067" s="40" t="str" cm="1">
        <f t="array" ref="AA1067">IFERROR(_xlfn.XLOOKUP(Z1067,_xlfn.ANCHORARRAY(Z$31),AA$31:AA$37),Z1067)</f>
        <v>Boston Stadium</v>
      </c>
      <c r="AB1067" s="42" t="str">
        <v>Boston</v>
      </c>
      <c r="AC1067" s="89" t="str">
        <f t="shared" si="93"/>
        <v>Boston</v>
      </c>
      <c r="AE1067" s="42">
        <v>2026</v>
      </c>
      <c r="AK1067" s="42">
        <v>1</v>
      </c>
      <c r="AL1067" s="42">
        <v>1</v>
      </c>
      <c r="AW1067" s="89" t="str">
        <v>SEMI_FINALS</v>
      </c>
      <c r="BE1067" s="43" t="str">
        <f>IF(OR(DATA_CLEANED!AL1058="",DATA_CLEANED!AM1058=""),"MANQUANT",IF(OR(NOT(ISNUMBER(DATA_CLEANED!AL1058)),NOT(ISNUMBER(DATA_CLEANED!AM1058))),"ENTREE INVALIDE",IF(OR(DATA_CLEANED!AL1058&lt;0,DATA_CLEANED!AM1058&lt;0),"SCORE NEGATIF","OK")))</f>
        <v>OK</v>
      </c>
      <c r="BF1067" s="43" t="str">
        <f>IF(DATA_CLEANED!AK1058&lt;&gt;DATA_CLEANED!AN1058,"OK","ERREUR")</f>
        <v>OK</v>
      </c>
      <c r="BG1067" s="43" t="str">
        <f>IF(DATA_CLEANED!AL1058&gt;DATA_CLEANED!AM1058,DATA_CLEANED!AK1058,IF(AND(DATA_QUALITE!W5544="-",DATA_CLEANED!AM1058=DATA_CLEANED!AL1058),"MATCH NUL",IF(AND(DATA_QUALITE!V5544="-",DATA_QUALITE!U5544="AUCUNE"),DATA_QUALITE!T5544,IF(DATA_QUALITE!V5544&lt;&gt;"-",DATA_QUALITE!V5544,DATA_CLEANED!AN1058))))</f>
        <v>Argentina</v>
      </c>
      <c r="BH1067" s="103" t="str">
        <f>IF(AND(BG1067="MATCH NUL",DATA_CLEANED!AO1058="-"),"MATCH_NUL",IF(ISNUMBER(SEARCH("win on penalties",W5544)),"WIN_BY_PENALTY",IF(ISNUMBER(SEARCH("win after extra time",W5544)),"WIN_BY_EXTRA_TIME",IF(ISNUMBER(SEARCH("Golden Goal",W5544)),"WIN_BY_GOLDEN_GOAL","WIN_BY_SCORE"))))</f>
        <v>WIN_BY_SCORE</v>
      </c>
      <c r="BI1067" s="99" t="str">
        <f>IF(OR(BG1067=DATA_CLEANED!AK1058,BG1067=DATA_CLEANED!AN1058,BG1067="MATCH NUL"),"OK","ERREUR")</f>
        <v>OK</v>
      </c>
    </row>
    <row r="1068" spans="2:61">
      <c r="B1068" s="75">
        <v>631</v>
      </c>
      <c r="C1068" s="15" t="str">
        <v>Koni De Winter</v>
      </c>
      <c r="D1068" s="15">
        <v>23</v>
      </c>
      <c r="E1068" s="15" t="str">
        <v>Belgium</v>
      </c>
      <c r="F1068" s="15" t="str">
        <v>CB</v>
      </c>
      <c r="G1068" s="15" t="str">
        <v>AC Milan</v>
      </c>
      <c r="H1068" s="15">
        <v>16</v>
      </c>
      <c r="I1068" s="15" t="str">
        <f t="shared" si="89"/>
        <v>631|Koni De Winter|23|Belgium|CB|AC Milan|16</v>
      </c>
      <c r="J1068" s="15" t="str">
        <f>IF(COUNTIF(I$438:I1068,I1068)&gt;1,"DOUBLON","OK")</f>
        <v>OK</v>
      </c>
      <c r="S1068" s="30" t="str">
        <v>Argentina</v>
      </c>
      <c r="T1068" s="30" t="str">
        <f t="shared" si="90"/>
        <v>OK</v>
      </c>
      <c r="U1068" s="30" t="str">
        <f t="shared" si="91"/>
        <v>-</v>
      </c>
      <c r="V1068" s="30" t="str" cm="1">
        <f t="array" ref="V1068">_xlfn.IFS(
ISNUMBER(SEARCH("USA",S1068)),"United States",
ISNUMBER(SEARCH("Republic of Korea",S1068)),"South Korea",
ISNUMBER(SEARCH("Cape Verde",S1068)),"Cabo Verde",
ISNUMBER(SEARCH("Czechia",S1068)),"Czech Republic",
ISNUMBER(SEARCH("Türkiye",S1068)),"Turkey",
ISNUMBER(SEARCH("Ivory Coast",S1068)),"Côte d'Ivoire",
ISNUMBER(SEARCH("Korea Republic",S1068)),"South Korea",
ISNUMBER(SEARCH("Germany FR",S1068)),"FR Germany",
ISNUMBER(SEARCH("West Germany",S1068)),"FR Germany",
ISNUMBER(SEARCH("Germany DR",S1068)),"DR Germany",
ISNUMBER(SEARCH("Korea DPR",S1068)),"North Korea",
ISNUMBER(SEARCH("China PR",S1068)),"China",
ISNUMBER(SEARCH("IR Iran",S1068)),"Iran",
ISNUMBER(SEARCH("Congo DR",S1068)),"Democratic Republic of the Congo",
ISNUMBER(SEARCH("DR Congo",S1068)),"Democratic Republic of the Congo",
ISNUMBER(SEARCH("German DR",S1068)),"DR Germany",
ISNUMBER(SEARCH("rn""&gt;United Arab Emirates",S1068)),"United Arab Emirates",
ISNUMBER(SEARCH("rn""&gt;Republic of Ireland",S1068)),"Ireland",
ISNUMBER(SEARCH("rn""&gt;Bosnia and Herzegovina",S1068)),"Bosnia and Herzegovina",
ISNUMBER(SEARCH("rn""&gt;Trinidad and Tobago",S1068)),"Trinidad and Tobago",
ISNUMBER(SEARCH("rn""&gt;Serbia and Montenegro",S1068)),"Serbia and Montenegro",
ISNUMBER(SEARCH(_xlfn.UNICHAR(65533),S1068)),"Côte d'Ivoire",
TRUE,""
)</f>
        <v/>
      </c>
      <c r="W1068" s="30" t="str">
        <f t="shared" si="92"/>
        <v>Argentina</v>
      </c>
      <c r="Z1068" s="40" t="str">
        <v>Estadio Monterrey</v>
      </c>
      <c r="AA1068" s="40" t="str" cm="1">
        <f t="array" ref="AA1068">IFERROR(_xlfn.XLOOKUP(Z1068,_xlfn.ANCHORARRAY(Z$31),AA$31:AA$37),Z1068)</f>
        <v>Estadio Monterrey</v>
      </c>
      <c r="AB1068" s="42" t="str">
        <v>Monterrey</v>
      </c>
      <c r="AC1068" s="89" t="str">
        <f t="shared" si="93"/>
        <v>Monterrey</v>
      </c>
      <c r="AE1068" s="42">
        <v>2026</v>
      </c>
      <c r="AK1068" s="42">
        <v>4</v>
      </c>
      <c r="AL1068" s="42">
        <v>2</v>
      </c>
      <c r="AW1068" s="89" t="str">
        <v>THIRD_PLACE</v>
      </c>
      <c r="BE1068" s="43" t="str">
        <f>IF(OR(DATA_CLEANED!AL1059="",DATA_CLEANED!AM1059=""),"MANQUANT",IF(OR(NOT(ISNUMBER(DATA_CLEANED!AL1059)),NOT(ISNUMBER(DATA_CLEANED!AM1059))),"ENTREE INVALIDE",IF(OR(DATA_CLEANED!AL1059&lt;0,DATA_CLEANED!AM1059&lt;0),"SCORE NEGATIF","OK")))</f>
        <v>OK</v>
      </c>
      <c r="BF1068" s="43" t="str">
        <f>IF(DATA_CLEANED!AK1059&lt;&gt;DATA_CLEANED!AN1059,"OK","ERREUR")</f>
        <v>OK</v>
      </c>
      <c r="BG1068" s="43" t="str">
        <f>IF(DATA_CLEANED!AL1059&gt;DATA_CLEANED!AM1059,DATA_CLEANED!AK1059,IF(AND(DATA_QUALITE!W5545="-",DATA_CLEANED!AM1059=DATA_CLEANED!AL1059),"MATCH NUL",IF(AND(DATA_QUALITE!V5545="-",DATA_QUALITE!U5545="AUCUNE"),DATA_QUALITE!T5545,IF(DATA_QUALITE!V5545&lt;&gt;"-",DATA_QUALITE!V5545,DATA_CLEANED!AN1059))))</f>
        <v>England</v>
      </c>
      <c r="BH1068" s="103" t="str">
        <f>IF(AND(BG1068="MATCH NUL",DATA_CLEANED!AO1059="-"),"MATCH_NUL",IF(ISNUMBER(SEARCH("win on penalties",W5545)),"WIN_BY_PENALTY",IF(ISNUMBER(SEARCH("win after extra time",W5545)),"WIN_BY_EXTRA_TIME",IF(ISNUMBER(SEARCH("Golden Goal",W5545)),"WIN_BY_GOLDEN_GOAL","WIN_BY_SCORE"))))</f>
        <v>WIN_BY_SCORE</v>
      </c>
      <c r="BI1068" s="99" t="str">
        <f>IF(OR(BG1068=DATA_CLEANED!AK1059,BG1068=DATA_CLEANED!AN1059,BG1068="MATCH NUL"),"OK","ERREUR")</f>
        <v>OK</v>
      </c>
    </row>
    <row r="1069" spans="2:61">
      <c r="B1069" s="75">
        <v>632</v>
      </c>
      <c r="C1069" s="15" t="str">
        <v>Nathan Ngoy</v>
      </c>
      <c r="D1069" s="15">
        <v>23</v>
      </c>
      <c r="E1069" s="15" t="str">
        <v>Belgium</v>
      </c>
      <c r="F1069" s="15" t="str">
        <v>CB</v>
      </c>
      <c r="G1069" s="15" t="str">
        <v>Lille</v>
      </c>
      <c r="H1069" s="15">
        <v>25</v>
      </c>
      <c r="I1069" s="15" t="str">
        <f t="shared" si="89"/>
        <v>632|Nathan Ngoy|23|Belgium|CB|Lille|25</v>
      </c>
      <c r="J1069" s="15" t="str">
        <f>IF(COUNTIF(I$438:I1069,I1069)&gt;1,"DOUBLON","OK")</f>
        <v>OK</v>
      </c>
      <c r="S1069" s="30" t="str">
        <v>Netherlands</v>
      </c>
      <c r="T1069" s="30" t="str">
        <f t="shared" si="90"/>
        <v>OK</v>
      </c>
      <c r="U1069" s="30" t="str">
        <f t="shared" si="91"/>
        <v>-</v>
      </c>
      <c r="V1069" s="30" t="str" cm="1">
        <f t="array" ref="V1069">_xlfn.IFS(
ISNUMBER(SEARCH("USA",S1069)),"United States",
ISNUMBER(SEARCH("Republic of Korea",S1069)),"South Korea",
ISNUMBER(SEARCH("Cape Verde",S1069)),"Cabo Verde",
ISNUMBER(SEARCH("Czechia",S1069)),"Czech Republic",
ISNUMBER(SEARCH("Türkiye",S1069)),"Turkey",
ISNUMBER(SEARCH("Ivory Coast",S1069)),"Côte d'Ivoire",
ISNUMBER(SEARCH("Korea Republic",S1069)),"South Korea",
ISNUMBER(SEARCH("Germany FR",S1069)),"FR Germany",
ISNUMBER(SEARCH("West Germany",S1069)),"FR Germany",
ISNUMBER(SEARCH("Germany DR",S1069)),"DR Germany",
ISNUMBER(SEARCH("Korea DPR",S1069)),"North Korea",
ISNUMBER(SEARCH("China PR",S1069)),"China",
ISNUMBER(SEARCH("IR Iran",S1069)),"Iran",
ISNUMBER(SEARCH("Congo DR",S1069)),"Democratic Republic of the Congo",
ISNUMBER(SEARCH("DR Congo",S1069)),"Democratic Republic of the Congo",
ISNUMBER(SEARCH("German DR",S1069)),"DR Germany",
ISNUMBER(SEARCH("rn""&gt;United Arab Emirates",S1069)),"United Arab Emirates",
ISNUMBER(SEARCH("rn""&gt;Republic of Ireland",S1069)),"Ireland",
ISNUMBER(SEARCH("rn""&gt;Bosnia and Herzegovina",S1069)),"Bosnia and Herzegovina",
ISNUMBER(SEARCH("rn""&gt;Trinidad and Tobago",S1069)),"Trinidad and Tobago",
ISNUMBER(SEARCH("rn""&gt;Serbia and Montenegro",S1069)),"Serbia and Montenegro",
ISNUMBER(SEARCH(_xlfn.UNICHAR(65533),S1069)),"Côte d'Ivoire",
TRUE,""
)</f>
        <v/>
      </c>
      <c r="W1069" s="30" t="str">
        <f t="shared" si="92"/>
        <v>Netherlands</v>
      </c>
      <c r="Z1069" s="40" t="str">
        <v>Houston Stadium</v>
      </c>
      <c r="AA1069" s="40" t="str" cm="1">
        <f t="array" ref="AA1069">IFERROR(_xlfn.XLOOKUP(Z1069,_xlfn.ANCHORARRAY(Z$31),AA$31:AA$37),Z1069)</f>
        <v>Houston Stadium</v>
      </c>
      <c r="AB1069" s="42" t="str">
        <v>Houston</v>
      </c>
      <c r="AC1069" s="89" t="str">
        <f t="shared" si="93"/>
        <v>Houston</v>
      </c>
      <c r="AE1069" s="42">
        <v>2026</v>
      </c>
      <c r="AK1069" s="42">
        <v>1</v>
      </c>
      <c r="AL1069" s="42">
        <v>0</v>
      </c>
      <c r="AW1069" s="89" t="str">
        <v>FINAL</v>
      </c>
      <c r="BE1069" s="43" t="str">
        <f>IF(OR(DATA_CLEANED!AL1060="",DATA_CLEANED!AM1060=""),"MANQUANT",IF(OR(NOT(ISNUMBER(DATA_CLEANED!AL1060)),NOT(ISNUMBER(DATA_CLEANED!AM1060))),"ENTREE INVALIDE",IF(OR(DATA_CLEANED!AL1060&lt;0,DATA_CLEANED!AM1060&lt;0),"SCORE NEGATIF","OK")))</f>
        <v>OK</v>
      </c>
      <c r="BF1069" s="43" t="str">
        <f>IF(DATA_CLEANED!AK1060&lt;&gt;DATA_CLEANED!AN1060,"OK","ERREUR")</f>
        <v>OK</v>
      </c>
      <c r="BG1069" s="43" t="str">
        <f>IF(DATA_CLEANED!AL1060&gt;DATA_CLEANED!AM1060,DATA_CLEANED!AK1060,IF(AND(DATA_QUALITE!W5546="-",DATA_CLEANED!AM1060=DATA_CLEANED!AL1060),"MATCH NUL",IF(AND(DATA_QUALITE!V5546="-",DATA_QUALITE!U5546="AUCUNE"),DATA_QUALITE!T5546,IF(DATA_QUALITE!V5546&lt;&gt;"-",DATA_QUALITE!V5546,DATA_CLEANED!AN1060))))</f>
        <v>Spain</v>
      </c>
      <c r="BH1069" s="103" t="str">
        <f>IF(AND(BG1069="MATCH NUL",DATA_CLEANED!AO1060="-"),"MATCH_NUL",IF(ISNUMBER(SEARCH("win on penalties",W5546)),"WIN_BY_PENALTY",IF(ISNUMBER(SEARCH("win after extra time",W5546)),"WIN_BY_EXTRA_TIME",IF(ISNUMBER(SEARCH("Golden Goal",W5546)),"WIN_BY_GOLDEN_GOAL","WIN_BY_SCORE"))))</f>
        <v>WIN_BY_EXTRA_TIME</v>
      </c>
      <c r="BI1069" s="99" t="str">
        <f>IF(OR(BG1069=DATA_CLEANED!AK1060,BG1069=DATA_CLEANED!AN1060,BG1069="MATCH NUL"),"OK","ERREUR")</f>
        <v>OK</v>
      </c>
    </row>
    <row r="1070" spans="2:61">
      <c r="B1070" s="75">
        <v>633</v>
      </c>
      <c r="C1070" s="15" t="str">
        <v>Maxim De Cuyper</v>
      </c>
      <c r="D1070" s="15">
        <v>25</v>
      </c>
      <c r="E1070" s="15" t="str">
        <v>Belgium</v>
      </c>
      <c r="F1070" s="15" t="str">
        <v>LB</v>
      </c>
      <c r="G1070" s="15" t="str">
        <v>Brighton &amp; Hove Albion</v>
      </c>
      <c r="H1070" s="15">
        <v>5</v>
      </c>
      <c r="I1070" s="15" t="str">
        <f t="shared" si="89"/>
        <v>633|Maxim De Cuyper|25|Belgium|LB|Brighton &amp; Hove Albion|5</v>
      </c>
      <c r="J1070" s="15" t="str">
        <f>IF(COUNTIF(I$438:I1070,I1070)&gt;1,"DOUBLON","OK")</f>
        <v>OK</v>
      </c>
      <c r="S1070" s="30" t="str">
        <v>Argentina</v>
      </c>
      <c r="T1070" s="30" t="str">
        <f t="shared" si="90"/>
        <v>OK</v>
      </c>
      <c r="U1070" s="30" t="str">
        <f t="shared" si="91"/>
        <v>-</v>
      </c>
      <c r="V1070" s="30" t="str" cm="1">
        <f t="array" ref="V1070">_xlfn.IFS(
ISNUMBER(SEARCH("USA",S1070)),"United States",
ISNUMBER(SEARCH("Republic of Korea",S1070)),"South Korea",
ISNUMBER(SEARCH("Cape Verde",S1070)),"Cabo Verde",
ISNUMBER(SEARCH("Czechia",S1070)),"Czech Republic",
ISNUMBER(SEARCH("Türkiye",S1070)),"Turkey",
ISNUMBER(SEARCH("Ivory Coast",S1070)),"Côte d'Ivoire",
ISNUMBER(SEARCH("Korea Republic",S1070)),"South Korea",
ISNUMBER(SEARCH("Germany FR",S1070)),"FR Germany",
ISNUMBER(SEARCH("West Germany",S1070)),"FR Germany",
ISNUMBER(SEARCH("Germany DR",S1070)),"DR Germany",
ISNUMBER(SEARCH("Korea DPR",S1070)),"North Korea",
ISNUMBER(SEARCH("China PR",S1070)),"China",
ISNUMBER(SEARCH("IR Iran",S1070)),"Iran",
ISNUMBER(SEARCH("Congo DR",S1070)),"Democratic Republic of the Congo",
ISNUMBER(SEARCH("DR Congo",S1070)),"Democratic Republic of the Congo",
ISNUMBER(SEARCH("German DR",S1070)),"DR Germany",
ISNUMBER(SEARCH("rn""&gt;United Arab Emirates",S1070)),"United Arab Emirates",
ISNUMBER(SEARCH("rn""&gt;Republic of Ireland",S1070)),"Ireland",
ISNUMBER(SEARCH("rn""&gt;Bosnia and Herzegovina",S1070)),"Bosnia and Herzegovina",
ISNUMBER(SEARCH("rn""&gt;Trinidad and Tobago",S1070)),"Trinidad and Tobago",
ISNUMBER(SEARCH("rn""&gt;Serbia and Montenegro",S1070)),"Serbia and Montenegro",
ISNUMBER(SEARCH(_xlfn.UNICHAR(65533),S1070)),"Côte d'Ivoire",
TRUE,""
)</f>
        <v/>
      </c>
      <c r="W1070" s="30" t="str">
        <f t="shared" si="92"/>
        <v>Argentina</v>
      </c>
      <c r="Z1070" s="40" t="str">
        <v>New York New Jersey Stadium</v>
      </c>
      <c r="AA1070" s="40" t="str" cm="1">
        <f t="array" ref="AA1070">IFERROR(_xlfn.XLOOKUP(Z1070,_xlfn.ANCHORARRAY(Z$31),AA$31:AA$37),Z1070)</f>
        <v>New York New Jersey Stadium</v>
      </c>
      <c r="AB1070" s="42" t="str">
        <v>New Jersey</v>
      </c>
      <c r="AC1070" s="89" t="str">
        <f t="shared" si="93"/>
        <v>New Jersey</v>
      </c>
      <c r="AE1070" s="42">
        <v>2026</v>
      </c>
      <c r="AK1070" s="42">
        <v>1</v>
      </c>
      <c r="AL1070" s="42">
        <v>3</v>
      </c>
    </row>
    <row r="1071" spans="2:61">
      <c r="B1071" s="75">
        <v>634</v>
      </c>
      <c r="C1071" s="15" t="str">
        <v>Joaquin Seys</v>
      </c>
      <c r="D1071" s="15">
        <v>21</v>
      </c>
      <c r="E1071" s="15" t="str">
        <v>Belgium</v>
      </c>
      <c r="F1071" s="15" t="str">
        <v>LB</v>
      </c>
      <c r="G1071" s="15" t="str">
        <v>Club Brugge</v>
      </c>
      <c r="H1071" s="15">
        <v>18</v>
      </c>
      <c r="I1071" s="15" t="str">
        <f t="shared" si="89"/>
        <v>634|Joaquin Seys|21|Belgium|LB|Club Brugge|18</v>
      </c>
      <c r="J1071" s="15" t="str">
        <f>IF(COUNTIF(I$438:I1071,I1071)&gt;1,"DOUBLON","OK")</f>
        <v>OK</v>
      </c>
      <c r="S1071" s="30" t="str">
        <v>Netherlands</v>
      </c>
      <c r="T1071" s="30" t="str">
        <f t="shared" si="90"/>
        <v>OK</v>
      </c>
      <c r="U1071" s="30" t="str">
        <f t="shared" si="91"/>
        <v>-</v>
      </c>
      <c r="V1071" s="30" t="str" cm="1">
        <f t="array" ref="V1071">_xlfn.IFS(
ISNUMBER(SEARCH("USA",S1071)),"United States",
ISNUMBER(SEARCH("Republic of Korea",S1071)),"South Korea",
ISNUMBER(SEARCH("Cape Verde",S1071)),"Cabo Verde",
ISNUMBER(SEARCH("Czechia",S1071)),"Czech Republic",
ISNUMBER(SEARCH("Türkiye",S1071)),"Turkey",
ISNUMBER(SEARCH("Ivory Coast",S1071)),"Côte d'Ivoire",
ISNUMBER(SEARCH("Korea Republic",S1071)),"South Korea",
ISNUMBER(SEARCH("Germany FR",S1071)),"FR Germany",
ISNUMBER(SEARCH("West Germany",S1071)),"FR Germany",
ISNUMBER(SEARCH("Germany DR",S1071)),"DR Germany",
ISNUMBER(SEARCH("Korea DPR",S1071)),"North Korea",
ISNUMBER(SEARCH("China PR",S1071)),"China",
ISNUMBER(SEARCH("IR Iran",S1071)),"Iran",
ISNUMBER(SEARCH("Congo DR",S1071)),"Democratic Republic of the Congo",
ISNUMBER(SEARCH("DR Congo",S1071)),"Democratic Republic of the Congo",
ISNUMBER(SEARCH("German DR",S1071)),"DR Germany",
ISNUMBER(SEARCH("rn""&gt;United Arab Emirates",S1071)),"United Arab Emirates",
ISNUMBER(SEARCH("rn""&gt;Republic of Ireland",S1071)),"Ireland",
ISNUMBER(SEARCH("rn""&gt;Bosnia and Herzegovina",S1071)),"Bosnia and Herzegovina",
ISNUMBER(SEARCH("rn""&gt;Trinidad and Tobago",S1071)),"Trinidad and Tobago",
ISNUMBER(SEARCH("rn""&gt;Serbia and Montenegro",S1071)),"Serbia and Montenegro",
ISNUMBER(SEARCH(_xlfn.UNICHAR(65533),S1071)),"Côte d'Ivoire",
TRUE,""
)</f>
        <v/>
      </c>
      <c r="W1071" s="30" t="str">
        <f t="shared" si="92"/>
        <v>Netherlands</v>
      </c>
      <c r="Z1071" s="40" t="str">
        <v>Dallas Stadium</v>
      </c>
      <c r="AA1071" s="40" t="str" cm="1">
        <f t="array" ref="AA1071">IFERROR(_xlfn.XLOOKUP(Z1071,_xlfn.ANCHORARRAY(Z$31),AA$31:AA$37),Z1071)</f>
        <v>Dallas Stadium</v>
      </c>
      <c r="AB1071" s="42" t="str">
        <v>Dallas</v>
      </c>
      <c r="AC1071" s="89" t="str">
        <f t="shared" si="93"/>
        <v>Dallas</v>
      </c>
      <c r="AE1071" s="42">
        <v>2026</v>
      </c>
      <c r="AK1071" s="42">
        <v>1</v>
      </c>
      <c r="AL1071" s="42">
        <v>1</v>
      </c>
    </row>
    <row r="1072" spans="2:61">
      <c r="B1072" s="75">
        <v>635</v>
      </c>
      <c r="C1072" s="15" t="str">
        <v>Thomas Meunier</v>
      </c>
      <c r="D1072" s="15">
        <v>34</v>
      </c>
      <c r="E1072" s="15" t="str">
        <v>Belgium</v>
      </c>
      <c r="F1072" s="15" t="str">
        <v>RB</v>
      </c>
      <c r="G1072" s="15" t="str">
        <v>Lille</v>
      </c>
      <c r="H1072" s="15">
        <v>15</v>
      </c>
      <c r="I1072" s="15" t="str">
        <f t="shared" si="89"/>
        <v>635|Thomas Meunier|34|Belgium|RB|Lille|15</v>
      </c>
      <c r="J1072" s="15" t="str">
        <f>IF(COUNTIF(I$438:I1072,I1072)&gt;1,"DOUBLON","OK")</f>
        <v>OK</v>
      </c>
      <c r="S1072" s="30" t="str">
        <v>Argentina</v>
      </c>
      <c r="T1072" s="30" t="str">
        <f t="shared" si="90"/>
        <v>OK</v>
      </c>
      <c r="U1072" s="30" t="str">
        <f t="shared" si="91"/>
        <v>-</v>
      </c>
      <c r="V1072" s="30" t="str" cm="1">
        <f t="array" ref="V1072">_xlfn.IFS(
ISNUMBER(SEARCH("USA",S1072)),"United States",
ISNUMBER(SEARCH("Republic of Korea",S1072)),"South Korea",
ISNUMBER(SEARCH("Cape Verde",S1072)),"Cabo Verde",
ISNUMBER(SEARCH("Czechia",S1072)),"Czech Republic",
ISNUMBER(SEARCH("Türkiye",S1072)),"Turkey",
ISNUMBER(SEARCH("Ivory Coast",S1072)),"Côte d'Ivoire",
ISNUMBER(SEARCH("Korea Republic",S1072)),"South Korea",
ISNUMBER(SEARCH("Germany FR",S1072)),"FR Germany",
ISNUMBER(SEARCH("West Germany",S1072)),"FR Germany",
ISNUMBER(SEARCH("Germany DR",S1072)),"DR Germany",
ISNUMBER(SEARCH("Korea DPR",S1072)),"North Korea",
ISNUMBER(SEARCH("China PR",S1072)),"China",
ISNUMBER(SEARCH("IR Iran",S1072)),"Iran",
ISNUMBER(SEARCH("Congo DR",S1072)),"Democratic Republic of the Congo",
ISNUMBER(SEARCH("DR Congo",S1072)),"Democratic Republic of the Congo",
ISNUMBER(SEARCH("German DR",S1072)),"DR Germany",
ISNUMBER(SEARCH("rn""&gt;United Arab Emirates",S1072)),"United Arab Emirates",
ISNUMBER(SEARCH("rn""&gt;Republic of Ireland",S1072)),"Ireland",
ISNUMBER(SEARCH("rn""&gt;Bosnia and Herzegovina",S1072)),"Bosnia and Herzegovina",
ISNUMBER(SEARCH("rn""&gt;Trinidad and Tobago",S1072)),"Trinidad and Tobago",
ISNUMBER(SEARCH("rn""&gt;Serbia and Montenegro",S1072)),"Serbia and Montenegro",
ISNUMBER(SEARCH(_xlfn.UNICHAR(65533),S1072)),"Côte d'Ivoire",
TRUE,""
)</f>
        <v/>
      </c>
      <c r="W1072" s="30" t="str">
        <f t="shared" si="92"/>
        <v>Argentina</v>
      </c>
      <c r="Z1072" s="40" t="str">
        <v>Mexico City Stadium</v>
      </c>
      <c r="AA1072" s="40" t="str" cm="1">
        <f t="array" ref="AA1072">IFERROR(_xlfn.XLOOKUP(Z1072,_xlfn.ANCHORARRAY(Z$31),AA$31:AA$37),Z1072)</f>
        <v>Mexico City Stadium</v>
      </c>
      <c r="AB1072" s="42" t="str">
        <v>Mexico City</v>
      </c>
      <c r="AC1072" s="89" t="str">
        <f t="shared" si="93"/>
        <v>Mexico City</v>
      </c>
      <c r="AE1072" s="42">
        <v>2026</v>
      </c>
      <c r="AK1072" s="42">
        <v>4</v>
      </c>
      <c r="AL1072" s="42">
        <v>1</v>
      </c>
    </row>
    <row r="1073" spans="2:38">
      <c r="B1073" s="75">
        <v>636</v>
      </c>
      <c r="C1073" s="15" t="str">
        <v>Timothy Castagne</v>
      </c>
      <c r="D1073" s="15">
        <v>30</v>
      </c>
      <c r="E1073" s="15" t="str">
        <v>Belgium</v>
      </c>
      <c r="F1073" s="15" t="str">
        <v>RB</v>
      </c>
      <c r="G1073" s="15" t="str">
        <v>Fulham</v>
      </c>
      <c r="H1073" s="15">
        <v>21</v>
      </c>
      <c r="I1073" s="15" t="str">
        <f t="shared" si="89"/>
        <v>636|Timothy Castagne|30|Belgium|RB|Fulham|21</v>
      </c>
      <c r="J1073" s="15" t="str">
        <f>IF(COUNTIF(I$438:I1073,I1073)&gt;1,"DOUBLON","OK")</f>
        <v>OK</v>
      </c>
      <c r="S1073" s="30" t="str">
        <v>Netherlands</v>
      </c>
      <c r="T1073" s="30" t="str">
        <f t="shared" si="90"/>
        <v>OK</v>
      </c>
      <c r="U1073" s="30" t="str">
        <f t="shared" si="91"/>
        <v>-</v>
      </c>
      <c r="V1073" s="30" t="str" cm="1">
        <f t="array" ref="V1073">_xlfn.IFS(
ISNUMBER(SEARCH("USA",S1073)),"United States",
ISNUMBER(SEARCH("Republic of Korea",S1073)),"South Korea",
ISNUMBER(SEARCH("Cape Verde",S1073)),"Cabo Verde",
ISNUMBER(SEARCH("Czechia",S1073)),"Czech Republic",
ISNUMBER(SEARCH("Türkiye",S1073)),"Turkey",
ISNUMBER(SEARCH("Ivory Coast",S1073)),"Côte d'Ivoire",
ISNUMBER(SEARCH("Korea Republic",S1073)),"South Korea",
ISNUMBER(SEARCH("Germany FR",S1073)),"FR Germany",
ISNUMBER(SEARCH("West Germany",S1073)),"FR Germany",
ISNUMBER(SEARCH("Germany DR",S1073)),"DR Germany",
ISNUMBER(SEARCH("Korea DPR",S1073)),"North Korea",
ISNUMBER(SEARCH("China PR",S1073)),"China",
ISNUMBER(SEARCH("IR Iran",S1073)),"Iran",
ISNUMBER(SEARCH("Congo DR",S1073)),"Democratic Republic of the Congo",
ISNUMBER(SEARCH("DR Congo",S1073)),"Democratic Republic of the Congo",
ISNUMBER(SEARCH("German DR",S1073)),"DR Germany",
ISNUMBER(SEARCH("rn""&gt;United Arab Emirates",S1073)),"United Arab Emirates",
ISNUMBER(SEARCH("rn""&gt;Republic of Ireland",S1073)),"Ireland",
ISNUMBER(SEARCH("rn""&gt;Bosnia and Herzegovina",S1073)),"Bosnia and Herzegovina",
ISNUMBER(SEARCH("rn""&gt;Trinidad and Tobago",S1073)),"Trinidad and Tobago",
ISNUMBER(SEARCH("rn""&gt;Serbia and Montenegro",S1073)),"Serbia and Montenegro",
ISNUMBER(SEARCH(_xlfn.UNICHAR(65533),S1073)),"Côte d'Ivoire",
TRUE,""
)</f>
        <v/>
      </c>
      <c r="W1073" s="30" t="str">
        <f t="shared" si="92"/>
        <v>Netherlands</v>
      </c>
      <c r="Z1073" s="40" t="str">
        <v>Atlanta Stadium</v>
      </c>
      <c r="AA1073" s="40" t="str" cm="1">
        <f t="array" ref="AA1073">IFERROR(_xlfn.XLOOKUP(Z1073,_xlfn.ANCHORARRAY(Z$31),AA$31:AA$37),Z1073)</f>
        <v>Atlanta Stadium</v>
      </c>
      <c r="AB1073" s="42" t="str">
        <v>Atlanta</v>
      </c>
      <c r="AC1073" s="89" t="str">
        <f t="shared" si="93"/>
        <v>Atlanta</v>
      </c>
      <c r="AE1073" s="42">
        <v>2026</v>
      </c>
      <c r="AK1073" s="42">
        <v>6</v>
      </c>
      <c r="AL1073" s="42">
        <v>0</v>
      </c>
    </row>
    <row r="1074" spans="2:38">
      <c r="B1074" s="75">
        <v>637</v>
      </c>
      <c r="C1074" s="15" t="str">
        <v>Axel Witsel</v>
      </c>
      <c r="D1074" s="15">
        <v>37</v>
      </c>
      <c r="E1074" s="15" t="str">
        <v>Belgium</v>
      </c>
      <c r="F1074" s="15" t="str">
        <v>CDM</v>
      </c>
      <c r="G1074" s="15" t="str">
        <v>Girona</v>
      </c>
      <c r="H1074" s="15">
        <v>6</v>
      </c>
      <c r="I1074" s="15" t="str">
        <f t="shared" si="89"/>
        <v>637|Axel Witsel|37|Belgium|CDM|Girona|6</v>
      </c>
      <c r="J1074" s="15" t="str">
        <f>IF(COUNTIF(I$438:I1074,I1074)&gt;1,"DOUBLON","OK")</f>
        <v>OK</v>
      </c>
      <c r="S1074" s="30" t="str">
        <v>Argentina</v>
      </c>
      <c r="T1074" s="30" t="str">
        <f t="shared" si="90"/>
        <v>OK</v>
      </c>
      <c r="U1074" s="30" t="str">
        <f t="shared" si="91"/>
        <v>-</v>
      </c>
      <c r="V1074" s="30" t="str" cm="1">
        <f t="array" ref="V1074">_xlfn.IFS(
ISNUMBER(SEARCH("USA",S1074)),"United States",
ISNUMBER(SEARCH("Republic of Korea",S1074)),"South Korea",
ISNUMBER(SEARCH("Cape Verde",S1074)),"Cabo Verde",
ISNUMBER(SEARCH("Czechia",S1074)),"Czech Republic",
ISNUMBER(SEARCH("Türkiye",S1074)),"Turkey",
ISNUMBER(SEARCH("Ivory Coast",S1074)),"Côte d'Ivoire",
ISNUMBER(SEARCH("Korea Republic",S1074)),"South Korea",
ISNUMBER(SEARCH("Germany FR",S1074)),"FR Germany",
ISNUMBER(SEARCH("West Germany",S1074)),"FR Germany",
ISNUMBER(SEARCH("Germany DR",S1074)),"DR Germany",
ISNUMBER(SEARCH("Korea DPR",S1074)),"North Korea",
ISNUMBER(SEARCH("China PR",S1074)),"China",
ISNUMBER(SEARCH("IR Iran",S1074)),"Iran",
ISNUMBER(SEARCH("Congo DR",S1074)),"Democratic Republic of the Congo",
ISNUMBER(SEARCH("DR Congo",S1074)),"Democratic Republic of the Congo",
ISNUMBER(SEARCH("German DR",S1074)),"DR Germany",
ISNUMBER(SEARCH("rn""&gt;United Arab Emirates",S1074)),"United Arab Emirates",
ISNUMBER(SEARCH("rn""&gt;Republic of Ireland",S1074)),"Ireland",
ISNUMBER(SEARCH("rn""&gt;Bosnia and Herzegovina",S1074)),"Bosnia and Herzegovina",
ISNUMBER(SEARCH("rn""&gt;Trinidad and Tobago",S1074)),"Trinidad and Tobago",
ISNUMBER(SEARCH("rn""&gt;Serbia and Montenegro",S1074)),"Serbia and Montenegro",
ISNUMBER(SEARCH(_xlfn.UNICHAR(65533),S1074)),"Côte d'Ivoire",
TRUE,""
)</f>
        <v/>
      </c>
      <c r="W1074" s="30" t="str">
        <f t="shared" si="92"/>
        <v>Argentina</v>
      </c>
      <c r="Z1074" s="40" t="str">
        <v>Seattle Stadium</v>
      </c>
      <c r="AA1074" s="40" t="str" cm="1">
        <f t="array" ref="AA1074">IFERROR(_xlfn.XLOOKUP(Z1074,_xlfn.ANCHORARRAY(Z$31),AA$31:AA$37),Z1074)</f>
        <v>Seattle Stadium</v>
      </c>
      <c r="AB1074" s="42" t="str">
        <v>Seattle</v>
      </c>
      <c r="AC1074" s="89" t="str">
        <f t="shared" si="93"/>
        <v>Seattle</v>
      </c>
      <c r="AE1074" s="42">
        <v>2026</v>
      </c>
      <c r="AK1074" s="42">
        <v>1</v>
      </c>
      <c r="AL1074" s="42">
        <v>0</v>
      </c>
    </row>
    <row r="1075" spans="2:38">
      <c r="B1075" s="75">
        <v>638</v>
      </c>
      <c r="C1075" s="15" t="str">
        <v>Amadou Onana</v>
      </c>
      <c r="D1075" s="15">
        <v>24</v>
      </c>
      <c r="E1075" s="15" t="str">
        <v>Belgium</v>
      </c>
      <c r="F1075" s="15" t="str">
        <v>CDM</v>
      </c>
      <c r="G1075" s="15" t="str">
        <v>Aston Villa</v>
      </c>
      <c r="H1075" s="15">
        <v>24</v>
      </c>
      <c r="I1075" s="15" t="str">
        <f t="shared" si="89"/>
        <v>638|Amadou Onana|24|Belgium|CDM|Aston Villa|24</v>
      </c>
      <c r="J1075" s="15" t="str">
        <f>IF(COUNTIF(I$438:I1075,I1075)&gt;1,"DOUBLON","OK")</f>
        <v>OK</v>
      </c>
      <c r="S1075" s="30" t="str">
        <v>France</v>
      </c>
      <c r="T1075" s="30" t="str">
        <f t="shared" si="90"/>
        <v>OK</v>
      </c>
      <c r="U1075" s="30" t="str">
        <f t="shared" si="91"/>
        <v>-</v>
      </c>
      <c r="V1075" s="30" t="str" cm="1">
        <f t="array" ref="V1075">_xlfn.IFS(
ISNUMBER(SEARCH("USA",S1075)),"United States",
ISNUMBER(SEARCH("Republic of Korea",S1075)),"South Korea",
ISNUMBER(SEARCH("Cape Verde",S1075)),"Cabo Verde",
ISNUMBER(SEARCH("Czechia",S1075)),"Czech Republic",
ISNUMBER(SEARCH("Türkiye",S1075)),"Turkey",
ISNUMBER(SEARCH("Ivory Coast",S1075)),"Côte d'Ivoire",
ISNUMBER(SEARCH("Korea Republic",S1075)),"South Korea",
ISNUMBER(SEARCH("Germany FR",S1075)),"FR Germany",
ISNUMBER(SEARCH("West Germany",S1075)),"FR Germany",
ISNUMBER(SEARCH("Germany DR",S1075)),"DR Germany",
ISNUMBER(SEARCH("Korea DPR",S1075)),"North Korea",
ISNUMBER(SEARCH("China PR",S1075)),"China",
ISNUMBER(SEARCH("IR Iran",S1075)),"Iran",
ISNUMBER(SEARCH("Congo DR",S1075)),"Democratic Republic of the Congo",
ISNUMBER(SEARCH("DR Congo",S1075)),"Democratic Republic of the Congo",
ISNUMBER(SEARCH("German DR",S1075)),"DR Germany",
ISNUMBER(SEARCH("rn""&gt;United Arab Emirates",S1075)),"United Arab Emirates",
ISNUMBER(SEARCH("rn""&gt;Republic of Ireland",S1075)),"Ireland",
ISNUMBER(SEARCH("rn""&gt;Bosnia and Herzegovina",S1075)),"Bosnia and Herzegovina",
ISNUMBER(SEARCH("rn""&gt;Trinidad and Tobago",S1075)),"Trinidad and Tobago",
ISNUMBER(SEARCH("rn""&gt;Serbia and Montenegro",S1075)),"Serbia and Montenegro",
ISNUMBER(SEARCH(_xlfn.UNICHAR(65533),S1075)),"Côte d'Ivoire",
TRUE,""
)</f>
        <v/>
      </c>
      <c r="W1075" s="30" t="str">
        <f t="shared" si="92"/>
        <v>France</v>
      </c>
      <c r="Z1075" s="40" t="str">
        <v>San Francisco Bay Area Stadium</v>
      </c>
      <c r="AA1075" s="40" t="str" cm="1">
        <f t="array" ref="AA1075">IFERROR(_xlfn.XLOOKUP(Z1075,_xlfn.ANCHORARRAY(Z$31),AA$31:AA$37),Z1075)</f>
        <v>San Francisco Bay Area Stadium</v>
      </c>
      <c r="AB1075" s="42" t="str">
        <v>San Francisco</v>
      </c>
      <c r="AC1075" s="89" t="str">
        <f t="shared" si="93"/>
        <v>San Francisco</v>
      </c>
      <c r="AE1075" s="42">
        <v>2026</v>
      </c>
      <c r="AK1075" s="42">
        <v>1</v>
      </c>
      <c r="AL1075" s="42">
        <v>0</v>
      </c>
    </row>
    <row r="1076" spans="2:38">
      <c r="B1076" s="75">
        <v>639</v>
      </c>
      <c r="C1076" s="15" t="str">
        <v>Youri Tielemans</v>
      </c>
      <c r="D1076" s="15">
        <v>29</v>
      </c>
      <c r="E1076" s="15" t="str">
        <v>Belgium</v>
      </c>
      <c r="F1076" s="15" t="str">
        <v>CM</v>
      </c>
      <c r="G1076" s="15" t="str">
        <v>Aston Villa</v>
      </c>
      <c r="H1076" s="15">
        <v>8</v>
      </c>
      <c r="I1076" s="15" t="str">
        <f t="shared" si="89"/>
        <v>639|Youri Tielemans|29|Belgium|CM|Aston Villa|8</v>
      </c>
      <c r="J1076" s="15" t="str">
        <f>IF(COUNTIF(I$438:I1076,I1076)&gt;1,"DOUBLON","OK")</f>
        <v>OK</v>
      </c>
      <c r="S1076" s="30" t="str">
        <v>Argentina</v>
      </c>
      <c r="T1076" s="30" t="str">
        <f t="shared" si="90"/>
        <v>OK</v>
      </c>
      <c r="U1076" s="30" t="str">
        <f t="shared" si="91"/>
        <v>-</v>
      </c>
      <c r="V1076" s="30" t="str" cm="1">
        <f t="array" ref="V1076">_xlfn.IFS(
ISNUMBER(SEARCH("USA",S1076)),"United States",
ISNUMBER(SEARCH("Republic of Korea",S1076)),"South Korea",
ISNUMBER(SEARCH("Cape Verde",S1076)),"Cabo Verde",
ISNUMBER(SEARCH("Czechia",S1076)),"Czech Republic",
ISNUMBER(SEARCH("Türkiye",S1076)),"Turkey",
ISNUMBER(SEARCH("Ivory Coast",S1076)),"Côte d'Ivoire",
ISNUMBER(SEARCH("Korea Republic",S1076)),"South Korea",
ISNUMBER(SEARCH("Germany FR",S1076)),"FR Germany",
ISNUMBER(SEARCH("West Germany",S1076)),"FR Germany",
ISNUMBER(SEARCH("Germany DR",S1076)),"DR Germany",
ISNUMBER(SEARCH("Korea DPR",S1076)),"North Korea",
ISNUMBER(SEARCH("China PR",S1076)),"China",
ISNUMBER(SEARCH("IR Iran",S1076)),"Iran",
ISNUMBER(SEARCH("Congo DR",S1076)),"Democratic Republic of the Congo",
ISNUMBER(SEARCH("DR Congo",S1076)),"Democratic Republic of the Congo",
ISNUMBER(SEARCH("German DR",S1076)),"DR Germany",
ISNUMBER(SEARCH("rn""&gt;United Arab Emirates",S1076)),"United Arab Emirates",
ISNUMBER(SEARCH("rn""&gt;Republic of Ireland",S1076)),"Ireland",
ISNUMBER(SEARCH("rn""&gt;Bosnia and Herzegovina",S1076)),"Bosnia and Herzegovina",
ISNUMBER(SEARCH("rn""&gt;Trinidad and Tobago",S1076)),"Trinidad and Tobago",
ISNUMBER(SEARCH("rn""&gt;Serbia and Montenegro",S1076)),"Serbia and Montenegro",
ISNUMBER(SEARCH(_xlfn.UNICHAR(65533),S1076)),"Côte d'Ivoire",
TRUE,""
)</f>
        <v/>
      </c>
      <c r="W1076" s="30" t="str">
        <f t="shared" si="92"/>
        <v>Argentina</v>
      </c>
      <c r="Z1076" s="40" t="str">
        <v>Toronto Stadium</v>
      </c>
      <c r="AA1076" s="40" t="str" cm="1">
        <f t="array" ref="AA1076">IFERROR(_xlfn.XLOOKUP(Z1076,_xlfn.ANCHORARRAY(Z$31),AA$31:AA$37),Z1076)</f>
        <v>Toronto Stadium</v>
      </c>
      <c r="AB1076" s="42" t="str">
        <v>Toronto</v>
      </c>
      <c r="AC1076" s="89" t="str">
        <f t="shared" si="93"/>
        <v>Toronto</v>
      </c>
      <c r="AE1076" s="42">
        <v>2026</v>
      </c>
      <c r="AK1076" s="42">
        <v>0</v>
      </c>
      <c r="AL1076" s="42">
        <v>1</v>
      </c>
    </row>
    <row r="1077" spans="2:38">
      <c r="B1077" s="75">
        <v>640</v>
      </c>
      <c r="C1077" s="15" t="str">
        <v>Hans Vanaken</v>
      </c>
      <c r="D1077" s="15">
        <v>33</v>
      </c>
      <c r="E1077" s="15" t="str">
        <v>Belgium</v>
      </c>
      <c r="F1077" s="15" t="str">
        <v>CM</v>
      </c>
      <c r="G1077" s="15" t="str">
        <v>Club Brugge</v>
      </c>
      <c r="H1077" s="15">
        <v>20</v>
      </c>
      <c r="I1077" s="15" t="str">
        <f t="shared" si="89"/>
        <v>640|Hans Vanaken|33|Belgium|CM|Club Brugge|20</v>
      </c>
      <c r="J1077" s="15" t="str">
        <f>IF(COUNTIF(I$438:I1077,I1077)&gt;1,"DOUBLON","OK")</f>
        <v>OK</v>
      </c>
      <c r="S1077" s="30" t="str">
        <v>France</v>
      </c>
      <c r="T1077" s="30" t="str">
        <f t="shared" si="90"/>
        <v>OK</v>
      </c>
      <c r="U1077" s="30" t="str">
        <f t="shared" si="91"/>
        <v>-</v>
      </c>
      <c r="V1077" s="30" t="str" cm="1">
        <f t="array" ref="V1077">_xlfn.IFS(
ISNUMBER(SEARCH("USA",S1077)),"United States",
ISNUMBER(SEARCH("Republic of Korea",S1077)),"South Korea",
ISNUMBER(SEARCH("Cape Verde",S1077)),"Cabo Verde",
ISNUMBER(SEARCH("Czechia",S1077)),"Czech Republic",
ISNUMBER(SEARCH("Türkiye",S1077)),"Turkey",
ISNUMBER(SEARCH("Ivory Coast",S1077)),"Côte d'Ivoire",
ISNUMBER(SEARCH("Korea Republic",S1077)),"South Korea",
ISNUMBER(SEARCH("Germany FR",S1077)),"FR Germany",
ISNUMBER(SEARCH("West Germany",S1077)),"FR Germany",
ISNUMBER(SEARCH("Germany DR",S1077)),"DR Germany",
ISNUMBER(SEARCH("Korea DPR",S1077)),"North Korea",
ISNUMBER(SEARCH("China PR",S1077)),"China",
ISNUMBER(SEARCH("IR Iran",S1077)),"Iran",
ISNUMBER(SEARCH("Congo DR",S1077)),"Democratic Republic of the Congo",
ISNUMBER(SEARCH("DR Congo",S1077)),"Democratic Republic of the Congo",
ISNUMBER(SEARCH("German DR",S1077)),"DR Germany",
ISNUMBER(SEARCH("rn""&gt;United Arab Emirates",S1077)),"United Arab Emirates",
ISNUMBER(SEARCH("rn""&gt;Republic of Ireland",S1077)),"Ireland",
ISNUMBER(SEARCH("rn""&gt;Bosnia and Herzegovina",S1077)),"Bosnia and Herzegovina",
ISNUMBER(SEARCH("rn""&gt;Trinidad and Tobago",S1077)),"Trinidad and Tobago",
ISNUMBER(SEARCH("rn""&gt;Serbia and Montenegro",S1077)),"Serbia and Montenegro",
ISNUMBER(SEARCH(_xlfn.UNICHAR(65533),S1077)),"Côte d'Ivoire",
TRUE,""
)</f>
        <v/>
      </c>
      <c r="W1077" s="30" t="str">
        <f t="shared" si="92"/>
        <v>France</v>
      </c>
      <c r="Z1077" s="40" t="str">
        <v>Los Angeles Stadium</v>
      </c>
      <c r="AA1077" s="40" t="str" cm="1">
        <f t="array" ref="AA1077">IFERROR(_xlfn.XLOOKUP(Z1077,_xlfn.ANCHORARRAY(Z$31),AA$31:AA$37),Z1077)</f>
        <v>Los Angeles Stadium</v>
      </c>
      <c r="AB1077" s="42" t="str">
        <v>Los Angeles</v>
      </c>
      <c r="AC1077" s="89" t="str">
        <f t="shared" si="93"/>
        <v>Los Angeles</v>
      </c>
      <c r="AE1077" s="42">
        <v>2026</v>
      </c>
      <c r="AK1077" s="42">
        <v>3</v>
      </c>
      <c r="AL1077" s="42">
        <v>0</v>
      </c>
    </row>
    <row r="1078" spans="2:38">
      <c r="B1078" s="75">
        <v>641</v>
      </c>
      <c r="C1078" s="15" t="str">
        <v>Nicolas Raskin</v>
      </c>
      <c r="D1078" s="15">
        <v>25</v>
      </c>
      <c r="E1078" s="15" t="str">
        <v>Belgium</v>
      </c>
      <c r="F1078" s="15" t="str">
        <v>CM</v>
      </c>
      <c r="G1078" s="15" t="str">
        <v>Rangers</v>
      </c>
      <c r="H1078" s="15">
        <v>23</v>
      </c>
      <c r="I1078" s="15" t="str">
        <f t="shared" si="89"/>
        <v>641|Nicolas Raskin|25|Belgium|CM|Rangers|23</v>
      </c>
      <c r="J1078" s="15" t="str">
        <f>IF(COUNTIF(I$438:I1078,I1078)&gt;1,"DOUBLON","OK")</f>
        <v>OK</v>
      </c>
      <c r="S1078" s="30" t="str">
        <v>Argentina</v>
      </c>
      <c r="T1078" s="30" t="str">
        <f t="shared" si="90"/>
        <v>OK</v>
      </c>
      <c r="U1078" s="30" t="str">
        <f t="shared" si="91"/>
        <v>-</v>
      </c>
      <c r="V1078" s="30" t="str" cm="1">
        <f t="array" ref="V1078">_xlfn.IFS(
ISNUMBER(SEARCH("USA",S1078)),"United States",
ISNUMBER(SEARCH("Republic of Korea",S1078)),"South Korea",
ISNUMBER(SEARCH("Cape Verde",S1078)),"Cabo Verde",
ISNUMBER(SEARCH("Czechia",S1078)),"Czech Republic",
ISNUMBER(SEARCH("Türkiye",S1078)),"Turkey",
ISNUMBER(SEARCH("Ivory Coast",S1078)),"Côte d'Ivoire",
ISNUMBER(SEARCH("Korea Republic",S1078)),"South Korea",
ISNUMBER(SEARCH("Germany FR",S1078)),"FR Germany",
ISNUMBER(SEARCH("West Germany",S1078)),"FR Germany",
ISNUMBER(SEARCH("Germany DR",S1078)),"DR Germany",
ISNUMBER(SEARCH("Korea DPR",S1078)),"North Korea",
ISNUMBER(SEARCH("China PR",S1078)),"China",
ISNUMBER(SEARCH("IR Iran",S1078)),"Iran",
ISNUMBER(SEARCH("Congo DR",S1078)),"Democratic Republic of the Congo",
ISNUMBER(SEARCH("DR Congo",S1078)),"Democratic Republic of the Congo",
ISNUMBER(SEARCH("German DR",S1078)),"DR Germany",
ISNUMBER(SEARCH("rn""&gt;United Arab Emirates",S1078)),"United Arab Emirates",
ISNUMBER(SEARCH("rn""&gt;Republic of Ireland",S1078)),"Ireland",
ISNUMBER(SEARCH("rn""&gt;Bosnia and Herzegovina",S1078)),"Bosnia and Herzegovina",
ISNUMBER(SEARCH("rn""&gt;Trinidad and Tobago",S1078)),"Trinidad and Tobago",
ISNUMBER(SEARCH("rn""&gt;Serbia and Montenegro",S1078)),"Serbia and Montenegro",
ISNUMBER(SEARCH(_xlfn.UNICHAR(65533),S1078)),"Côte d'Ivoire",
TRUE,""
)</f>
        <v/>
      </c>
      <c r="W1078" s="30" t="str">
        <f t="shared" si="92"/>
        <v>Argentina</v>
      </c>
      <c r="Z1078" s="40" t="str">
        <v>BC Place Vancouver</v>
      </c>
      <c r="AA1078" s="40" t="str" cm="1">
        <f t="array" ref="AA1078">IFERROR(_xlfn.XLOOKUP(Z1078,_xlfn.ANCHORARRAY(Z$31),AA$31:AA$37),Z1078)</f>
        <v>BC Place Vancouver</v>
      </c>
      <c r="AB1078" s="42" t="str">
        <v>Vancouver</v>
      </c>
      <c r="AC1078" s="89" t="str">
        <f t="shared" si="93"/>
        <v>Vancouver</v>
      </c>
      <c r="AE1078" s="42">
        <v>2026</v>
      </c>
      <c r="AK1078" s="42">
        <v>0</v>
      </c>
      <c r="AL1078" s="42">
        <v>1</v>
      </c>
    </row>
    <row r="1079" spans="2:38">
      <c r="B1079" s="75">
        <v>642</v>
      </c>
      <c r="C1079" s="15" t="str">
        <v>Kevin De Bruyne</v>
      </c>
      <c r="D1079" s="15">
        <v>34</v>
      </c>
      <c r="E1079" s="15" t="str">
        <v>Belgium</v>
      </c>
      <c r="F1079" s="15" t="str">
        <v>CAM</v>
      </c>
      <c r="G1079" s="15" t="str">
        <v>Napoli</v>
      </c>
      <c r="H1079" s="15">
        <v>7</v>
      </c>
      <c r="I1079" s="15" t="str">
        <f t="shared" ref="I1079:I1142" si="94">B1079&amp;"|"&amp;C1079&amp;"|"&amp;D1079&amp;"|"&amp;E1079&amp;"|"&amp;F1079&amp;"|"&amp;G1079&amp;"|"&amp;H1079</f>
        <v>642|Kevin De Bruyne|34|Belgium|CAM|Napoli|7</v>
      </c>
      <c r="J1079" s="15" t="str">
        <f>IF(COUNTIF(I$438:I1079,I1079)&gt;1,"DOUBLON","OK")</f>
        <v>OK</v>
      </c>
      <c r="S1079" s="30" t="str">
        <v>France</v>
      </c>
      <c r="T1079" s="30" t="str">
        <f t="shared" si="90"/>
        <v>OK</v>
      </c>
      <c r="U1079" s="30" t="str">
        <f t="shared" si="91"/>
        <v>-</v>
      </c>
      <c r="V1079" s="30" t="str" cm="1">
        <f t="array" ref="V1079">_xlfn.IFS(
ISNUMBER(SEARCH("USA",S1079)),"United States",
ISNUMBER(SEARCH("Republic of Korea",S1079)),"South Korea",
ISNUMBER(SEARCH("Cape Verde",S1079)),"Cabo Verde",
ISNUMBER(SEARCH("Czechia",S1079)),"Czech Republic",
ISNUMBER(SEARCH("Türkiye",S1079)),"Turkey",
ISNUMBER(SEARCH("Ivory Coast",S1079)),"Côte d'Ivoire",
ISNUMBER(SEARCH("Korea Republic",S1079)),"South Korea",
ISNUMBER(SEARCH("Germany FR",S1079)),"FR Germany",
ISNUMBER(SEARCH("West Germany",S1079)),"FR Germany",
ISNUMBER(SEARCH("Germany DR",S1079)),"DR Germany",
ISNUMBER(SEARCH("Korea DPR",S1079)),"North Korea",
ISNUMBER(SEARCH("China PR",S1079)),"China",
ISNUMBER(SEARCH("IR Iran",S1079)),"Iran",
ISNUMBER(SEARCH("Congo DR",S1079)),"Democratic Republic of the Congo",
ISNUMBER(SEARCH("DR Congo",S1079)),"Democratic Republic of the Congo",
ISNUMBER(SEARCH("German DR",S1079)),"DR Germany",
ISNUMBER(SEARCH("rn""&gt;United Arab Emirates",S1079)),"United Arab Emirates",
ISNUMBER(SEARCH("rn""&gt;Republic of Ireland",S1079)),"Ireland",
ISNUMBER(SEARCH("rn""&gt;Bosnia and Herzegovina",S1079)),"Bosnia and Herzegovina",
ISNUMBER(SEARCH("rn""&gt;Trinidad and Tobago",S1079)),"Trinidad and Tobago",
ISNUMBER(SEARCH("rn""&gt;Serbia and Montenegro",S1079)),"Serbia and Montenegro",
ISNUMBER(SEARCH(_xlfn.UNICHAR(65533),S1079)),"Côte d'Ivoire",
TRUE,""
)</f>
        <v/>
      </c>
      <c r="W1079" s="30" t="str">
        <f t="shared" si="92"/>
        <v>France</v>
      </c>
      <c r="Z1079" s="40" t="str">
        <v>Miami Stadium</v>
      </c>
      <c r="AA1079" s="40" t="str" cm="1">
        <f t="array" ref="AA1079">IFERROR(_xlfn.XLOOKUP(Z1079,_xlfn.ANCHORARRAY(Z$31),AA$31:AA$37),Z1079)</f>
        <v>Miami Stadium</v>
      </c>
      <c r="AB1079" s="42" t="str">
        <v>Miami</v>
      </c>
      <c r="AC1079" s="89" t="str">
        <f t="shared" si="93"/>
        <v>Miami</v>
      </c>
      <c r="AE1079" s="42">
        <v>2026</v>
      </c>
      <c r="AK1079" s="42">
        <v>5</v>
      </c>
      <c r="AL1079" s="42">
        <v>1</v>
      </c>
    </row>
    <row r="1080" spans="2:38">
      <c r="B1080" s="75">
        <v>643</v>
      </c>
      <c r="C1080" s="15" t="str">
        <v>Diego Moreira</v>
      </c>
      <c r="D1080" s="15">
        <v>21</v>
      </c>
      <c r="E1080" s="15" t="str">
        <v>Belgium</v>
      </c>
      <c r="F1080" s="15" t="str">
        <v>CAM</v>
      </c>
      <c r="G1080" s="15" t="str">
        <v>Strasbourg</v>
      </c>
      <c r="H1080" s="15">
        <v>19</v>
      </c>
      <c r="I1080" s="15" t="str">
        <f t="shared" si="94"/>
        <v>643|Diego Moreira|21|Belgium|CAM|Strasbourg|19</v>
      </c>
      <c r="J1080" s="15" t="str">
        <f>IF(COUNTIF(I$438:I1080,I1080)&gt;1,"DOUBLON","OK")</f>
        <v>OK</v>
      </c>
      <c r="S1080" s="30" t="str">
        <v>Argentina</v>
      </c>
      <c r="T1080" s="30" t="str">
        <f t="shared" si="90"/>
        <v>OK</v>
      </c>
      <c r="U1080" s="30" t="str">
        <f t="shared" si="91"/>
        <v>-</v>
      </c>
      <c r="V1080" s="30" t="str" cm="1">
        <f t="array" ref="V1080">_xlfn.IFS(
ISNUMBER(SEARCH("USA",S1080)),"United States",
ISNUMBER(SEARCH("Republic of Korea",S1080)),"South Korea",
ISNUMBER(SEARCH("Cape Verde",S1080)),"Cabo Verde",
ISNUMBER(SEARCH("Czechia",S1080)),"Czech Republic",
ISNUMBER(SEARCH("Türkiye",S1080)),"Turkey",
ISNUMBER(SEARCH("Ivory Coast",S1080)),"Côte d'Ivoire",
ISNUMBER(SEARCH("Korea Republic",S1080)),"South Korea",
ISNUMBER(SEARCH("Germany FR",S1080)),"FR Germany",
ISNUMBER(SEARCH("West Germany",S1080)),"FR Germany",
ISNUMBER(SEARCH("Germany DR",S1080)),"DR Germany",
ISNUMBER(SEARCH("Korea DPR",S1080)),"North Korea",
ISNUMBER(SEARCH("China PR",S1080)),"China",
ISNUMBER(SEARCH("IR Iran",S1080)),"Iran",
ISNUMBER(SEARCH("Congo DR",S1080)),"Democratic Republic of the Congo",
ISNUMBER(SEARCH("DR Congo",S1080)),"Democratic Republic of the Congo",
ISNUMBER(SEARCH("German DR",S1080)),"DR Germany",
ISNUMBER(SEARCH("rn""&gt;United Arab Emirates",S1080)),"United Arab Emirates",
ISNUMBER(SEARCH("rn""&gt;Republic of Ireland",S1080)),"Ireland",
ISNUMBER(SEARCH("rn""&gt;Bosnia and Herzegovina",S1080)),"Bosnia and Herzegovina",
ISNUMBER(SEARCH("rn""&gt;Trinidad and Tobago",S1080)),"Trinidad and Tobago",
ISNUMBER(SEARCH("rn""&gt;Serbia and Montenegro",S1080)),"Serbia and Montenegro",
ISNUMBER(SEARCH(_xlfn.UNICHAR(65533),S1080)),"Côte d'Ivoire",
TRUE,""
)</f>
        <v/>
      </c>
      <c r="W1080" s="30" t="str">
        <f t="shared" si="92"/>
        <v>Argentina</v>
      </c>
      <c r="Z1080" s="40" t="str">
        <v>Miami Stadium</v>
      </c>
      <c r="AA1080" s="40" t="str" cm="1">
        <f t="array" ref="AA1080">IFERROR(_xlfn.XLOOKUP(Z1080,_xlfn.ANCHORARRAY(Z$31),AA$31:AA$37),Z1080)</f>
        <v>Miami Stadium</v>
      </c>
      <c r="AB1080" s="42" t="str">
        <v>Miami</v>
      </c>
      <c r="AC1080" s="89" t="str">
        <f t="shared" si="93"/>
        <v>Miami</v>
      </c>
      <c r="AE1080" s="42">
        <v>2026</v>
      </c>
      <c r="AK1080" s="42">
        <v>2</v>
      </c>
      <c r="AL1080" s="42">
        <v>1</v>
      </c>
    </row>
    <row r="1081" spans="2:38">
      <c r="B1081" s="75">
        <v>644</v>
      </c>
      <c r="C1081" s="15" t="str">
        <v>Leandro Trossard</v>
      </c>
      <c r="D1081" s="15">
        <v>31</v>
      </c>
      <c r="E1081" s="15" t="str">
        <v>Belgium</v>
      </c>
      <c r="F1081" s="15" t="str">
        <v>LW</v>
      </c>
      <c r="G1081" s="15" t="str">
        <v>Arsenal</v>
      </c>
      <c r="H1081" s="15">
        <v>10</v>
      </c>
      <c r="I1081" s="15" t="str">
        <f t="shared" si="94"/>
        <v>644|Leandro Trossard|31|Belgium|LW|Arsenal|10</v>
      </c>
      <c r="J1081" s="15" t="str">
        <f>IF(COUNTIF(I$438:I1081,I1081)&gt;1,"DOUBLON","OK")</f>
        <v>OK</v>
      </c>
      <c r="S1081" s="30" t="str">
        <v>France</v>
      </c>
      <c r="T1081" s="30" t="str">
        <f t="shared" si="90"/>
        <v>OK</v>
      </c>
      <c r="U1081" s="30" t="str">
        <f t="shared" si="91"/>
        <v>-</v>
      </c>
      <c r="V1081" s="30" t="str" cm="1">
        <f t="array" ref="V1081">_xlfn.IFS(
ISNUMBER(SEARCH("USA",S1081)),"United States",
ISNUMBER(SEARCH("Republic of Korea",S1081)),"South Korea",
ISNUMBER(SEARCH("Cape Verde",S1081)),"Cabo Verde",
ISNUMBER(SEARCH("Czechia",S1081)),"Czech Republic",
ISNUMBER(SEARCH("Türkiye",S1081)),"Turkey",
ISNUMBER(SEARCH("Ivory Coast",S1081)),"Côte d'Ivoire",
ISNUMBER(SEARCH("Korea Republic",S1081)),"South Korea",
ISNUMBER(SEARCH("Germany FR",S1081)),"FR Germany",
ISNUMBER(SEARCH("West Germany",S1081)),"FR Germany",
ISNUMBER(SEARCH("Germany DR",S1081)),"DR Germany",
ISNUMBER(SEARCH("Korea DPR",S1081)),"North Korea",
ISNUMBER(SEARCH("China PR",S1081)),"China",
ISNUMBER(SEARCH("IR Iran",S1081)),"Iran",
ISNUMBER(SEARCH("Congo DR",S1081)),"Democratic Republic of the Congo",
ISNUMBER(SEARCH("DR Congo",S1081)),"Democratic Republic of the Congo",
ISNUMBER(SEARCH("German DR",S1081)),"DR Germany",
ISNUMBER(SEARCH("rn""&gt;United Arab Emirates",S1081)),"United Arab Emirates",
ISNUMBER(SEARCH("rn""&gt;Republic of Ireland",S1081)),"Ireland",
ISNUMBER(SEARCH("rn""&gt;Bosnia and Herzegovina",S1081)),"Bosnia and Herzegovina",
ISNUMBER(SEARCH("rn""&gt;Trinidad and Tobago",S1081)),"Trinidad and Tobago",
ISNUMBER(SEARCH("rn""&gt;Serbia and Montenegro",S1081)),"Serbia and Montenegro",
ISNUMBER(SEARCH(_xlfn.UNICHAR(65533),S1081)),"Côte d'Ivoire",
TRUE,""
)</f>
        <v/>
      </c>
      <c r="W1081" s="30" t="str">
        <f t="shared" si="92"/>
        <v>France</v>
      </c>
      <c r="Z1081" s="40" t="str">
        <v>Kansas City Stadium</v>
      </c>
      <c r="AA1081" s="40" t="str" cm="1">
        <f t="array" ref="AA1081">IFERROR(_xlfn.XLOOKUP(Z1081,_xlfn.ANCHORARRAY(Z$31),AA$31:AA$37),Z1081)</f>
        <v>Kansas City Stadium</v>
      </c>
      <c r="AB1081" s="42" t="str">
        <v>Kansas City</v>
      </c>
      <c r="AC1081" s="89" t="str">
        <f t="shared" si="93"/>
        <v>Kansas City</v>
      </c>
      <c r="AE1081" s="42">
        <v>2026</v>
      </c>
      <c r="AK1081" s="42">
        <v>0</v>
      </c>
      <c r="AL1081" s="42">
        <v>0</v>
      </c>
    </row>
    <row r="1082" spans="2:38">
      <c r="B1082" s="75">
        <v>645</v>
      </c>
      <c r="C1082" s="15" t="str">
        <v>Jérémy Doku</v>
      </c>
      <c r="D1082" s="15">
        <v>24</v>
      </c>
      <c r="E1082" s="15" t="str">
        <v>Belgium</v>
      </c>
      <c r="F1082" s="15" t="str">
        <v>LW</v>
      </c>
      <c r="G1082" s="15" t="str">
        <v>Manchester City</v>
      </c>
      <c r="H1082" s="15">
        <v>11</v>
      </c>
      <c r="I1082" s="15" t="str">
        <f t="shared" si="94"/>
        <v>645|Jérémy Doku|24|Belgium|LW|Manchester City|11</v>
      </c>
      <c r="J1082" s="15" t="str">
        <f>IF(COUNTIF(I$438:I1082,I1082)&gt;1,"DOUBLON","OK")</f>
        <v>OK</v>
      </c>
      <c r="S1082" s="30" t="str">
        <v>Argentina</v>
      </c>
      <c r="T1082" s="30" t="str">
        <f t="shared" si="90"/>
        <v>OK</v>
      </c>
      <c r="U1082" s="30" t="str">
        <f t="shared" si="91"/>
        <v>-</v>
      </c>
      <c r="V1082" s="30" t="str" cm="1">
        <f t="array" ref="V1082">_xlfn.IFS(
ISNUMBER(SEARCH("USA",S1082)),"United States",
ISNUMBER(SEARCH("Republic of Korea",S1082)),"South Korea",
ISNUMBER(SEARCH("Cape Verde",S1082)),"Cabo Verde",
ISNUMBER(SEARCH("Czechia",S1082)),"Czech Republic",
ISNUMBER(SEARCH("Türkiye",S1082)),"Turkey",
ISNUMBER(SEARCH("Ivory Coast",S1082)),"Côte d'Ivoire",
ISNUMBER(SEARCH("Korea Republic",S1082)),"South Korea",
ISNUMBER(SEARCH("Germany FR",S1082)),"FR Germany",
ISNUMBER(SEARCH("West Germany",S1082)),"FR Germany",
ISNUMBER(SEARCH("Germany DR",S1082)),"DR Germany",
ISNUMBER(SEARCH("Korea DPR",S1082)),"North Korea",
ISNUMBER(SEARCH("China PR",S1082)),"China",
ISNUMBER(SEARCH("IR Iran",S1082)),"Iran",
ISNUMBER(SEARCH("Congo DR",S1082)),"Democratic Republic of the Congo",
ISNUMBER(SEARCH("DR Congo",S1082)),"Democratic Republic of the Congo",
ISNUMBER(SEARCH("German DR",S1082)),"DR Germany",
ISNUMBER(SEARCH("rn""&gt;United Arab Emirates",S1082)),"United Arab Emirates",
ISNUMBER(SEARCH("rn""&gt;Republic of Ireland",S1082)),"Ireland",
ISNUMBER(SEARCH("rn""&gt;Bosnia and Herzegovina",S1082)),"Bosnia and Herzegovina",
ISNUMBER(SEARCH("rn""&gt;Trinidad and Tobago",S1082)),"Trinidad and Tobago",
ISNUMBER(SEARCH("rn""&gt;Serbia and Montenegro",S1082)),"Serbia and Montenegro",
ISNUMBER(SEARCH(_xlfn.UNICHAR(65533),S1082)),"Côte d'Ivoire",
TRUE,""
)</f>
        <v/>
      </c>
      <c r="W1082" s="30" t="str">
        <f t="shared" si="92"/>
        <v>Argentina</v>
      </c>
      <c r="Z1082" s="40" t="str">
        <v>NRG Stadium</v>
      </c>
      <c r="AA1082" s="40" t="str" cm="1">
        <f t="array" ref="AA1082">IFERROR(_xlfn.XLOOKUP(Z1082,_xlfn.ANCHORARRAY(Z$31),AA$31:AA$37),Z1082)</f>
        <v>NRG Stadium</v>
      </c>
      <c r="AB1082" s="42" t="str">
        <v>Houston</v>
      </c>
      <c r="AC1082" s="89" t="str">
        <f t="shared" si="93"/>
        <v>Houston</v>
      </c>
      <c r="AE1082" s="42">
        <v>2026</v>
      </c>
      <c r="AK1082" s="42">
        <v>0</v>
      </c>
      <c r="AL1082" s="42">
        <v>4</v>
      </c>
    </row>
    <row r="1083" spans="2:38">
      <c r="B1083" s="75">
        <v>646</v>
      </c>
      <c r="C1083" s="15" t="str">
        <v>Alexis Saelemaekers</v>
      </c>
      <c r="D1083" s="15">
        <v>26</v>
      </c>
      <c r="E1083" s="15" t="str">
        <v>Belgium</v>
      </c>
      <c r="F1083" s="15" t="str">
        <v>LW</v>
      </c>
      <c r="G1083" s="15" t="str">
        <v>AC Milan</v>
      </c>
      <c r="H1083" s="15">
        <v>22</v>
      </c>
      <c r="I1083" s="15" t="str">
        <f t="shared" si="94"/>
        <v>646|Alexis Saelemaekers|26|Belgium|LW|AC Milan|22</v>
      </c>
      <c r="J1083" s="15" t="str">
        <f>IF(COUNTIF(I$438:I1083,I1083)&gt;1,"DOUBLON","OK")</f>
        <v>OK</v>
      </c>
      <c r="S1083" s="30" t="str">
        <v>Germany</v>
      </c>
      <c r="T1083" s="30" t="str">
        <f t="shared" ref="T1083:T1118" si="95">IF(COUNTIF(R$21:R$250,S1083)=1,"OK","ERREUR")</f>
        <v>OK</v>
      </c>
      <c r="U1083" s="30" t="str">
        <f t="shared" si="91"/>
        <v>-</v>
      </c>
      <c r="V1083" s="30" t="str" cm="1">
        <f t="array" ref="V1083">_xlfn.IFS(
ISNUMBER(SEARCH("USA",S1083)),"United States",
ISNUMBER(SEARCH("Republic of Korea",S1083)),"South Korea",
ISNUMBER(SEARCH("Cape Verde",S1083)),"Cabo Verde",
ISNUMBER(SEARCH("Czechia",S1083)),"Czech Republic",
ISNUMBER(SEARCH("Türkiye",S1083)),"Turkey",
ISNUMBER(SEARCH("Ivory Coast",S1083)),"Côte d'Ivoire",
ISNUMBER(SEARCH("Korea Republic",S1083)),"South Korea",
ISNUMBER(SEARCH("Germany FR",S1083)),"FR Germany",
ISNUMBER(SEARCH("West Germany",S1083)),"FR Germany",
ISNUMBER(SEARCH("Germany DR",S1083)),"DR Germany",
ISNUMBER(SEARCH("Korea DPR",S1083)),"North Korea",
ISNUMBER(SEARCH("China PR",S1083)),"China",
ISNUMBER(SEARCH("IR Iran",S1083)),"Iran",
ISNUMBER(SEARCH("Congo DR",S1083)),"Democratic Republic of the Congo",
ISNUMBER(SEARCH("DR Congo",S1083)),"Democratic Republic of the Congo",
ISNUMBER(SEARCH("German DR",S1083)),"DR Germany",
ISNUMBER(SEARCH("rn""&gt;United Arab Emirates",S1083)),"United Arab Emirates",
ISNUMBER(SEARCH("rn""&gt;Republic of Ireland",S1083)),"Ireland",
ISNUMBER(SEARCH("rn""&gt;Bosnia and Herzegovina",S1083)),"Bosnia and Herzegovina",
ISNUMBER(SEARCH("rn""&gt;Trinidad and Tobago",S1083)),"Trinidad and Tobago",
ISNUMBER(SEARCH("rn""&gt;Serbia and Montenegro",S1083)),"Serbia and Montenegro",
ISNUMBER(SEARCH(_xlfn.UNICHAR(65533),S1083)),"Côte d'Ivoire",
TRUE,""
)</f>
        <v/>
      </c>
      <c r="W1083" s="30" t="str">
        <f t="shared" si="92"/>
        <v>Germany</v>
      </c>
      <c r="Z1083" s="40" t="str">
        <v>Lincoln Financial Field</v>
      </c>
      <c r="AA1083" s="40" t="str" cm="1">
        <f t="array" ref="AA1083">IFERROR(_xlfn.XLOOKUP(Z1083,_xlfn.ANCHORARRAY(Z$31),AA$31:AA$37),Z1083)</f>
        <v>Lincoln Financial Field</v>
      </c>
      <c r="AB1083" s="42" t="str">
        <v>Philadelphia</v>
      </c>
      <c r="AC1083" s="89" t="str">
        <f t="shared" si="93"/>
        <v>Philadelphia</v>
      </c>
      <c r="AE1083" s="42">
        <v>2026</v>
      </c>
      <c r="AK1083" s="42">
        <v>4</v>
      </c>
      <c r="AL1083" s="42">
        <v>0</v>
      </c>
    </row>
    <row r="1084" spans="2:38">
      <c r="B1084" s="75">
        <v>647</v>
      </c>
      <c r="C1084" s="15" t="str">
        <v>Dodi Lukébakio</v>
      </c>
      <c r="D1084" s="15">
        <v>28</v>
      </c>
      <c r="E1084" s="15" t="str">
        <v>Belgium</v>
      </c>
      <c r="F1084" s="15" t="str">
        <v>RW</v>
      </c>
      <c r="G1084" s="15" t="str">
        <v>Benfica</v>
      </c>
      <c r="H1084" s="15">
        <v>14</v>
      </c>
      <c r="I1084" s="15" t="str">
        <f t="shared" si="94"/>
        <v>647|Dodi Lukébakio|28|Belgium|RW|Benfica|14</v>
      </c>
      <c r="J1084" s="15" t="str">
        <f>IF(COUNTIF(I$438:I1084,I1084)&gt;1,"DOUBLON","OK")</f>
        <v>OK</v>
      </c>
      <c r="S1084" s="30" t="str">
        <v>Paraguay</v>
      </c>
      <c r="T1084" s="30" t="str">
        <f t="shared" si="95"/>
        <v>OK</v>
      </c>
      <c r="U1084" s="30" t="str">
        <f t="shared" si="91"/>
        <v>-</v>
      </c>
      <c r="V1084" s="30" t="str" cm="1">
        <f t="array" ref="V1084">_xlfn.IFS(
ISNUMBER(SEARCH("USA",S1084)),"United States",
ISNUMBER(SEARCH("Republic of Korea",S1084)),"South Korea",
ISNUMBER(SEARCH("Cape Verde",S1084)),"Cabo Verde",
ISNUMBER(SEARCH("Czechia",S1084)),"Czech Republic",
ISNUMBER(SEARCH("Türkiye",S1084)),"Turkey",
ISNUMBER(SEARCH("Ivory Coast",S1084)),"Côte d'Ivoire",
ISNUMBER(SEARCH("Korea Republic",S1084)),"South Korea",
ISNUMBER(SEARCH("Germany FR",S1084)),"FR Germany",
ISNUMBER(SEARCH("West Germany",S1084)),"FR Germany",
ISNUMBER(SEARCH("Germany DR",S1084)),"DR Germany",
ISNUMBER(SEARCH("Korea DPR",S1084)),"North Korea",
ISNUMBER(SEARCH("China PR",S1084)),"China",
ISNUMBER(SEARCH("IR Iran",S1084)),"Iran",
ISNUMBER(SEARCH("Congo DR",S1084)),"Democratic Republic of the Congo",
ISNUMBER(SEARCH("DR Congo",S1084)),"Democratic Republic of the Congo",
ISNUMBER(SEARCH("German DR",S1084)),"DR Germany",
ISNUMBER(SEARCH("rn""&gt;United Arab Emirates",S1084)),"United Arab Emirates",
ISNUMBER(SEARCH("rn""&gt;Republic of Ireland",S1084)),"Ireland",
ISNUMBER(SEARCH("rn""&gt;Bosnia and Herzegovina",S1084)),"Bosnia and Herzegovina",
ISNUMBER(SEARCH("rn""&gt;Trinidad and Tobago",S1084)),"Trinidad and Tobago",
ISNUMBER(SEARCH("rn""&gt;Serbia and Montenegro",S1084)),"Serbia and Montenegro",
ISNUMBER(SEARCH(_xlfn.UNICHAR(65533),S1084)),"Côte d'Ivoire",
TRUE,""
)</f>
        <v/>
      </c>
      <c r="W1084" s="30" t="str">
        <f t="shared" si="92"/>
        <v>Paraguay</v>
      </c>
      <c r="Z1084" s="40" t="str">
        <v>New York New Jersey Stadium</v>
      </c>
      <c r="AA1084" s="40" t="str" cm="1">
        <f t="array" ref="AA1084">IFERROR(_xlfn.XLOOKUP(Z1084,_xlfn.ANCHORARRAY(Z$31),AA$31:AA$37),Z1084)</f>
        <v>New York New Jersey Stadium</v>
      </c>
      <c r="AB1084" s="42" t="str">
        <v>New Jersey</v>
      </c>
      <c r="AC1084" s="89" t="str">
        <f t="shared" si="93"/>
        <v>New Jersey</v>
      </c>
      <c r="AE1084" s="42">
        <v>2026</v>
      </c>
      <c r="AK1084" s="42">
        <v>0</v>
      </c>
      <c r="AL1084" s="42">
        <v>0</v>
      </c>
    </row>
    <row r="1085" spans="2:38">
      <c r="B1085" s="75">
        <v>648</v>
      </c>
      <c r="C1085" s="15" t="str">
        <v>Matias Fernandez-Pardo</v>
      </c>
      <c r="D1085" s="15">
        <v>21</v>
      </c>
      <c r="E1085" s="15" t="str">
        <v>Belgium</v>
      </c>
      <c r="F1085" s="15" t="str">
        <v>RW</v>
      </c>
      <c r="G1085" s="15" t="str">
        <v>Lille</v>
      </c>
      <c r="H1085" s="15">
        <v>26</v>
      </c>
      <c r="I1085" s="15" t="str">
        <f t="shared" si="94"/>
        <v>648|Matias Fernandez-Pardo|21|Belgium|RW|Lille|26</v>
      </c>
      <c r="J1085" s="15" t="str">
        <f>IF(COUNTIF(I$438:I1085,I1085)&gt;1,"DOUBLON","OK")</f>
        <v>OK</v>
      </c>
      <c r="S1085" s="30" t="str">
        <v>Germany</v>
      </c>
      <c r="T1085" s="30" t="str">
        <f t="shared" si="95"/>
        <v>OK</v>
      </c>
      <c r="U1085" s="30" t="str">
        <f t="shared" si="91"/>
        <v>-</v>
      </c>
      <c r="V1085" s="30" t="str" cm="1">
        <f t="array" ref="V1085">_xlfn.IFS(
ISNUMBER(SEARCH("USA",S1085)),"United States",
ISNUMBER(SEARCH("Republic of Korea",S1085)),"South Korea",
ISNUMBER(SEARCH("Cape Verde",S1085)),"Cabo Verde",
ISNUMBER(SEARCH("Czechia",S1085)),"Czech Republic",
ISNUMBER(SEARCH("Türkiye",S1085)),"Turkey",
ISNUMBER(SEARCH("Ivory Coast",S1085)),"Côte d'Ivoire",
ISNUMBER(SEARCH("Korea Republic",S1085)),"South Korea",
ISNUMBER(SEARCH("Germany FR",S1085)),"FR Germany",
ISNUMBER(SEARCH("West Germany",S1085)),"FR Germany",
ISNUMBER(SEARCH("Germany DR",S1085)),"DR Germany",
ISNUMBER(SEARCH("Korea DPR",S1085)),"North Korea",
ISNUMBER(SEARCH("China PR",S1085)),"China",
ISNUMBER(SEARCH("IR Iran",S1085)),"Iran",
ISNUMBER(SEARCH("Congo DR",S1085)),"Democratic Republic of the Congo",
ISNUMBER(SEARCH("DR Congo",S1085)),"Democratic Republic of the Congo",
ISNUMBER(SEARCH("German DR",S1085)),"DR Germany",
ISNUMBER(SEARCH("rn""&gt;United Arab Emirates",S1085)),"United Arab Emirates",
ISNUMBER(SEARCH("rn""&gt;Republic of Ireland",S1085)),"Ireland",
ISNUMBER(SEARCH("rn""&gt;Bosnia and Herzegovina",S1085)),"Bosnia and Herzegovina",
ISNUMBER(SEARCH("rn""&gt;Trinidad and Tobago",S1085)),"Trinidad and Tobago",
ISNUMBER(SEARCH("rn""&gt;Serbia and Montenegro",S1085)),"Serbia and Montenegro",
ISNUMBER(SEARCH(_xlfn.UNICHAR(65533),S1085)),"Côte d'Ivoire",
TRUE,""
)</f>
        <v/>
      </c>
      <c r="W1085" s="30" t="str">
        <f t="shared" si="92"/>
        <v>Germany</v>
      </c>
      <c r="Z1085" s="40" t="str">
        <v>Banorte Stadium</v>
      </c>
      <c r="AA1085" s="40" t="str" cm="1">
        <f t="array" ref="AA1085">IFERROR(_xlfn.XLOOKUP(Z1085,_xlfn.ANCHORARRAY(Z$31),AA$31:AA$37),Z1085)</f>
        <v>Banorte Stadium</v>
      </c>
      <c r="AB1085" s="42" t="str">
        <v>Monterrey</v>
      </c>
      <c r="AC1085" s="89" t="str">
        <f t="shared" si="93"/>
        <v>Monterrey</v>
      </c>
      <c r="AE1085" s="42">
        <v>2026</v>
      </c>
      <c r="AK1085" s="42">
        <v>2</v>
      </c>
      <c r="AL1085" s="42">
        <v>2</v>
      </c>
    </row>
    <row r="1086" spans="2:38">
      <c r="B1086" s="75">
        <v>649</v>
      </c>
      <c r="C1086" s="15" t="str">
        <v>Romelu Lukaku</v>
      </c>
      <c r="D1086" s="15">
        <v>33</v>
      </c>
      <c r="E1086" s="15" t="str">
        <v>Belgium</v>
      </c>
      <c r="F1086" s="15" t="str">
        <v>ST</v>
      </c>
      <c r="G1086" s="15" t="str">
        <v>Napoli</v>
      </c>
      <c r="H1086" s="15">
        <v>9</v>
      </c>
      <c r="I1086" s="15" t="str">
        <f t="shared" si="94"/>
        <v>649|Romelu Lukaku|33|Belgium|ST|Napoli|9</v>
      </c>
      <c r="J1086" s="15" t="str">
        <f>IF(COUNTIF(I$438:I1086,I1086)&gt;1,"DOUBLON","OK")</f>
        <v>OK</v>
      </c>
      <c r="S1086" s="30" t="str">
        <v>Paraguay</v>
      </c>
      <c r="T1086" s="30" t="str">
        <f t="shared" si="95"/>
        <v>OK</v>
      </c>
      <c r="U1086" s="30" t="str">
        <f t="shared" si="91"/>
        <v>-</v>
      </c>
      <c r="V1086" s="30" t="str" cm="1">
        <f t="array" ref="V1086">_xlfn.IFS(
ISNUMBER(SEARCH("USA",S1086)),"United States",
ISNUMBER(SEARCH("Republic of Korea",S1086)),"South Korea",
ISNUMBER(SEARCH("Cape Verde",S1086)),"Cabo Verde",
ISNUMBER(SEARCH("Czechia",S1086)),"Czech Republic",
ISNUMBER(SEARCH("Türkiye",S1086)),"Turkey",
ISNUMBER(SEARCH("Ivory Coast",S1086)),"Côte d'Ivoire",
ISNUMBER(SEARCH("Korea Republic",S1086)),"South Korea",
ISNUMBER(SEARCH("Germany FR",S1086)),"FR Germany",
ISNUMBER(SEARCH("West Germany",S1086)),"FR Germany",
ISNUMBER(SEARCH("Germany DR",S1086)),"DR Germany",
ISNUMBER(SEARCH("Korea DPR",S1086)),"North Korea",
ISNUMBER(SEARCH("China PR",S1086)),"China",
ISNUMBER(SEARCH("IR Iran",S1086)),"Iran",
ISNUMBER(SEARCH("Congo DR",S1086)),"Democratic Republic of the Congo",
ISNUMBER(SEARCH("DR Congo",S1086)),"Democratic Republic of the Congo",
ISNUMBER(SEARCH("German DR",S1086)),"DR Germany",
ISNUMBER(SEARCH("rn""&gt;United Arab Emirates",S1086)),"United Arab Emirates",
ISNUMBER(SEARCH("rn""&gt;Republic of Ireland",S1086)),"Ireland",
ISNUMBER(SEARCH("rn""&gt;Bosnia and Herzegovina",S1086)),"Bosnia and Herzegovina",
ISNUMBER(SEARCH("rn""&gt;Trinidad and Tobago",S1086)),"Trinidad and Tobago",
ISNUMBER(SEARCH("rn""&gt;Serbia and Montenegro",S1086)),"Serbia and Montenegro",
ISNUMBER(SEARCH(_xlfn.UNICHAR(65533),S1086)),"Côte d'Ivoire",
TRUE,""
)</f>
        <v/>
      </c>
      <c r="W1086" s="30" t="str">
        <f t="shared" si="92"/>
        <v>Paraguay</v>
      </c>
      <c r="Z1086" s="40" t="str">
        <v>AT&amp;T Stadium</v>
      </c>
      <c r="AA1086" s="40" t="str" cm="1">
        <f t="array" ref="AA1086">IFERROR(_xlfn.XLOOKUP(Z1086,_xlfn.ANCHORARRAY(Z$31),AA$31:AA$37),Z1086)</f>
        <v>AT&amp;T Stadium</v>
      </c>
      <c r="AB1086" s="42" t="str">
        <v>Dallas</v>
      </c>
      <c r="AC1086" s="89" t="str">
        <f t="shared" si="93"/>
        <v>Dallas</v>
      </c>
      <c r="AE1086" s="42">
        <v>2026</v>
      </c>
      <c r="AK1086" s="42">
        <v>1</v>
      </c>
      <c r="AL1086" s="42">
        <v>3</v>
      </c>
    </row>
    <row r="1087" spans="2:38">
      <c r="B1087" s="75">
        <v>650</v>
      </c>
      <c r="C1087" s="15" t="str">
        <v>Charles De Ketelaere</v>
      </c>
      <c r="D1087" s="15">
        <v>25</v>
      </c>
      <c r="E1087" s="15" t="str">
        <v>Belgium</v>
      </c>
      <c r="F1087" s="15" t="str">
        <v>ST</v>
      </c>
      <c r="G1087" s="15" t="str">
        <v>Atalanta</v>
      </c>
      <c r="H1087" s="15">
        <v>17</v>
      </c>
      <c r="I1087" s="15" t="str">
        <f t="shared" si="94"/>
        <v>650|Charles De Ketelaere|25|Belgium|ST|Atalanta|17</v>
      </c>
      <c r="J1087" s="15" t="str">
        <f>IF(COUNTIF(I$438:I1087,I1087)&gt;1,"DOUBLON","OK")</f>
        <v>OK</v>
      </c>
      <c r="S1087" s="30" t="str">
        <v>Germany</v>
      </c>
      <c r="T1087" s="30" t="str">
        <f t="shared" si="95"/>
        <v>OK</v>
      </c>
      <c r="U1087" s="30" t="str">
        <f t="shared" si="91"/>
        <v>-</v>
      </c>
      <c r="V1087" s="30" t="str" cm="1">
        <f t="array" ref="V1087">_xlfn.IFS(
ISNUMBER(SEARCH("USA",S1087)),"United States",
ISNUMBER(SEARCH("Republic of Korea",S1087)),"South Korea",
ISNUMBER(SEARCH("Cape Verde",S1087)),"Cabo Verde",
ISNUMBER(SEARCH("Czechia",S1087)),"Czech Republic",
ISNUMBER(SEARCH("Türkiye",S1087)),"Turkey",
ISNUMBER(SEARCH("Ivory Coast",S1087)),"Côte d'Ivoire",
ISNUMBER(SEARCH("Korea Republic",S1087)),"South Korea",
ISNUMBER(SEARCH("Germany FR",S1087)),"FR Germany",
ISNUMBER(SEARCH("West Germany",S1087)),"FR Germany",
ISNUMBER(SEARCH("Germany DR",S1087)),"DR Germany",
ISNUMBER(SEARCH("Korea DPR",S1087)),"North Korea",
ISNUMBER(SEARCH("China PR",S1087)),"China",
ISNUMBER(SEARCH("IR Iran",S1087)),"Iran",
ISNUMBER(SEARCH("Congo DR",S1087)),"Democratic Republic of the Congo",
ISNUMBER(SEARCH("DR Congo",S1087)),"Democratic Republic of the Congo",
ISNUMBER(SEARCH("German DR",S1087)),"DR Germany",
ISNUMBER(SEARCH("rn""&gt;United Arab Emirates",S1087)),"United Arab Emirates",
ISNUMBER(SEARCH("rn""&gt;Republic of Ireland",S1087)),"Ireland",
ISNUMBER(SEARCH("rn""&gt;Bosnia and Herzegovina",S1087)),"Bosnia and Herzegovina",
ISNUMBER(SEARCH("rn""&gt;Trinidad and Tobago",S1087)),"Trinidad and Tobago",
ISNUMBER(SEARCH("rn""&gt;Serbia and Montenegro",S1087)),"Serbia and Montenegro",
ISNUMBER(SEARCH(_xlfn.UNICHAR(65533),S1087)),"Côte d'Ivoire",
TRUE,""
)</f>
        <v/>
      </c>
      <c r="W1087" s="30" t="str">
        <f t="shared" si="92"/>
        <v>Germany</v>
      </c>
      <c r="Z1087" s="40" t="str">
        <v>Lumen Field</v>
      </c>
      <c r="AA1087" s="40" t="str" cm="1">
        <f t="array" ref="AA1087">IFERROR(_xlfn.XLOOKUP(Z1087,_xlfn.ANCHORARRAY(Z$31),AA$31:AA$37),Z1087)</f>
        <v>Lumen Field</v>
      </c>
      <c r="AB1087" s="42" t="str">
        <v>Seattle</v>
      </c>
      <c r="AC1087" s="89" t="str">
        <f t="shared" si="93"/>
        <v>Seattle</v>
      </c>
      <c r="AE1087" s="42">
        <v>2026</v>
      </c>
      <c r="AK1087" s="42">
        <v>0</v>
      </c>
      <c r="AL1087" s="42">
        <v>1</v>
      </c>
    </row>
    <row r="1088" spans="2:38">
      <c r="B1088" s="75">
        <v>651</v>
      </c>
      <c r="C1088" s="15" t="str">
        <v>Mohamed El Shenawy</v>
      </c>
      <c r="D1088" s="15">
        <v>37</v>
      </c>
      <c r="E1088" s="15" t="str">
        <v>Egypt</v>
      </c>
      <c r="F1088" s="15" t="str">
        <v>GK</v>
      </c>
      <c r="G1088" s="15" t="str">
        <v>Al Ahly</v>
      </c>
      <c r="H1088" s="15">
        <v>1</v>
      </c>
      <c r="I1088" s="15" t="str">
        <f t="shared" si="94"/>
        <v>651|Mohamed El Shenawy|37|Egypt|GK|Al Ahly|1</v>
      </c>
      <c r="J1088" s="15" t="str">
        <f>IF(COUNTIF(I$438:I1088,I1088)&gt;1,"DOUBLON","OK")</f>
        <v>OK</v>
      </c>
      <c r="S1088" s="30" t="str">
        <v>Paraguay</v>
      </c>
      <c r="T1088" s="30" t="str">
        <f t="shared" si="95"/>
        <v>OK</v>
      </c>
      <c r="U1088" s="30" t="str">
        <f t="shared" ref="U1088:U1118" si="96">IF(OR(S1088="Scotland",S1088="England",S1088="Wales",S1088="Yugoslavia",S1088="Czechoslovakia",S1088="Northern Ireland",S1088="Soviet Union",S1088="Zaire",S1088="Dutch East Indies"),"AUCUNE",IF(OR(S1088="Cape Verde",S1088="USA",S1088="DR Congo",S1088="Republic of Korea",S1088="Germany FR",S1088="Germany DR",S1088="Czechia",S1088="Ivory Coast",S1088="Korea DPR",S1088="China PR",S1088="IR Iran",S1088="Türkiye",S1088="Congo DR",S1088="German DR",S1088="West Germany",S1088="Republic of Ireland",ISNUMBER(SEARCH("rn""&gt;United Arab Emirates",S1088)),ISNUMBER(SEARCH("rn""&gt;Republic of Ireland",S1088)),ISNUMBER(SEARCH("rn""&gt;Bosnia and Herzegovina",S1088)),ISNUMBER(SEARCH("rn""&gt;Trinidad and Tobago",S1088)),ISNUMBER(SEARCH("rn""&gt;Serbia and Montenegro",S1088)),ISNUMBER(SEARCH(_xlfn.UNICHAR(65533),S1088))),"RENOMMER","-"))</f>
        <v>-</v>
      </c>
      <c r="V1088" s="30" t="str" cm="1">
        <f t="array" ref="V1088">_xlfn.IFS(
ISNUMBER(SEARCH("USA",S1088)),"United States",
ISNUMBER(SEARCH("Republic of Korea",S1088)),"South Korea",
ISNUMBER(SEARCH("Cape Verde",S1088)),"Cabo Verde",
ISNUMBER(SEARCH("Czechia",S1088)),"Czech Republic",
ISNUMBER(SEARCH("Türkiye",S1088)),"Turkey",
ISNUMBER(SEARCH("Ivory Coast",S1088)),"Côte d'Ivoire",
ISNUMBER(SEARCH("Korea Republic",S1088)),"South Korea",
ISNUMBER(SEARCH("Germany FR",S1088)),"FR Germany",
ISNUMBER(SEARCH("West Germany",S1088)),"FR Germany",
ISNUMBER(SEARCH("Germany DR",S1088)),"DR Germany",
ISNUMBER(SEARCH("Korea DPR",S1088)),"North Korea",
ISNUMBER(SEARCH("China PR",S1088)),"China",
ISNUMBER(SEARCH("IR Iran",S1088)),"Iran",
ISNUMBER(SEARCH("Congo DR",S1088)),"Democratic Republic of the Congo",
ISNUMBER(SEARCH("DR Congo",S1088)),"Democratic Republic of the Congo",
ISNUMBER(SEARCH("German DR",S1088)),"DR Germany",
ISNUMBER(SEARCH("rn""&gt;United Arab Emirates",S1088)),"United Arab Emirates",
ISNUMBER(SEARCH("rn""&gt;Republic of Ireland",S1088)),"Ireland",
ISNUMBER(SEARCH("rn""&gt;Bosnia and Herzegovina",S1088)),"Bosnia and Herzegovina",
ISNUMBER(SEARCH("rn""&gt;Trinidad and Tobago",S1088)),"Trinidad and Tobago",
ISNUMBER(SEARCH("rn""&gt;Serbia and Montenegro",S1088)),"Serbia and Montenegro",
ISNUMBER(SEARCH(_xlfn.UNICHAR(65533),S1088)),"Côte d'Ivoire",
TRUE,""
)</f>
        <v/>
      </c>
      <c r="W1088" s="30" t="str">
        <f t="shared" si="92"/>
        <v>Paraguay</v>
      </c>
      <c r="Z1088" s="40" t="str">
        <v>Mercedes-Benz Stadium</v>
      </c>
      <c r="AA1088" s="40" t="str" cm="1">
        <f t="array" ref="AA1088">IFERROR(_xlfn.XLOOKUP(Z1088,_xlfn.ANCHORARRAY(Z$31),AA$31:AA$37),Z1088)</f>
        <v>Mercedes-Benz Stadium</v>
      </c>
      <c r="AB1088" s="42" t="str">
        <v>Atlanta</v>
      </c>
      <c r="AC1088" s="89" t="str">
        <f t="shared" si="93"/>
        <v>Atlanta</v>
      </c>
      <c r="AE1088" s="42">
        <v>2026</v>
      </c>
      <c r="AK1088" s="42">
        <v>1</v>
      </c>
      <c r="AL1088" s="42">
        <v>0</v>
      </c>
    </row>
    <row r="1089" spans="2:38">
      <c r="B1089" s="75">
        <v>652</v>
      </c>
      <c r="C1089" s="15" t="str">
        <v>El Mahdy Soliman</v>
      </c>
      <c r="D1089" s="15">
        <v>39</v>
      </c>
      <c r="E1089" s="15" t="str">
        <v>Egypt</v>
      </c>
      <c r="F1089" s="15" t="str">
        <v>GK</v>
      </c>
      <c r="G1089" s="15" t="str">
        <v>Zamalek</v>
      </c>
      <c r="H1089" s="15">
        <v>16</v>
      </c>
      <c r="I1089" s="15" t="str">
        <f t="shared" si="94"/>
        <v>652|El Mahdy Soliman|39|Egypt|GK|Zamalek|16</v>
      </c>
      <c r="J1089" s="15" t="str">
        <f>IF(COUNTIF(I$438:I1089,I1089)&gt;1,"DOUBLON","OK")</f>
        <v>OK</v>
      </c>
      <c r="S1089" s="30" t="str">
        <v>Germany</v>
      </c>
      <c r="T1089" s="30" t="str">
        <f t="shared" si="95"/>
        <v>OK</v>
      </c>
      <c r="U1089" s="30" t="str">
        <f t="shared" si="96"/>
        <v>-</v>
      </c>
      <c r="V1089" s="30" t="str" cm="1">
        <f t="array" ref="V1089">_xlfn.IFS(
ISNUMBER(SEARCH("USA",S1089)),"United States",
ISNUMBER(SEARCH("Republic of Korea",S1089)),"South Korea",
ISNUMBER(SEARCH("Cape Verde",S1089)),"Cabo Verde",
ISNUMBER(SEARCH("Czechia",S1089)),"Czech Republic",
ISNUMBER(SEARCH("Türkiye",S1089)),"Turkey",
ISNUMBER(SEARCH("Ivory Coast",S1089)),"Côte d'Ivoire",
ISNUMBER(SEARCH("Korea Republic",S1089)),"South Korea",
ISNUMBER(SEARCH("Germany FR",S1089)),"FR Germany",
ISNUMBER(SEARCH("West Germany",S1089)),"FR Germany",
ISNUMBER(SEARCH("Germany DR",S1089)),"DR Germany",
ISNUMBER(SEARCH("Korea DPR",S1089)),"North Korea",
ISNUMBER(SEARCH("China PR",S1089)),"China",
ISNUMBER(SEARCH("IR Iran",S1089)),"Iran",
ISNUMBER(SEARCH("Congo DR",S1089)),"Democratic Republic of the Congo",
ISNUMBER(SEARCH("DR Congo",S1089)),"Democratic Republic of the Congo",
ISNUMBER(SEARCH("German DR",S1089)),"DR Germany",
ISNUMBER(SEARCH("rn""&gt;United Arab Emirates",S1089)),"United Arab Emirates",
ISNUMBER(SEARCH("rn""&gt;Republic of Ireland",S1089)),"Ireland",
ISNUMBER(SEARCH("rn""&gt;Bosnia and Herzegovina",S1089)),"Bosnia and Herzegovina",
ISNUMBER(SEARCH("rn""&gt;Trinidad and Tobago",S1089)),"Trinidad and Tobago",
ISNUMBER(SEARCH("rn""&gt;Serbia and Montenegro",S1089)),"Serbia and Montenegro",
ISNUMBER(SEARCH(_xlfn.UNICHAR(65533),S1089)),"Côte d'Ivoire",
TRUE,""
)</f>
        <v/>
      </c>
      <c r="W1089" s="30" t="str">
        <f t="shared" si="92"/>
        <v>Germany</v>
      </c>
      <c r="Z1089" s="40" t="str">
        <v>BC Place</v>
      </c>
      <c r="AA1089" s="40" t="str" cm="1">
        <f t="array" ref="AA1089">IFERROR(_xlfn.XLOOKUP(Z1089,_xlfn.ANCHORARRAY(Z$31),AA$31:AA$37),Z1089)</f>
        <v>BC Place</v>
      </c>
      <c r="AB1089" s="42" t="str">
        <v>Vancouver</v>
      </c>
      <c r="AC1089" s="89" t="str">
        <f t="shared" si="93"/>
        <v>Vancouver</v>
      </c>
      <c r="AE1089" s="42">
        <v>2026</v>
      </c>
      <c r="AK1089" s="42">
        <v>2</v>
      </c>
      <c r="AL1089" s="42">
        <v>1</v>
      </c>
    </row>
    <row r="1090" spans="2:38">
      <c r="B1090" s="75">
        <v>653</v>
      </c>
      <c r="C1090" s="15" t="str">
        <v>Mostafa Shobeir</v>
      </c>
      <c r="D1090" s="15">
        <v>26</v>
      </c>
      <c r="E1090" s="15" t="str">
        <v>Egypt</v>
      </c>
      <c r="F1090" s="15" t="str">
        <v>GK</v>
      </c>
      <c r="G1090" s="15" t="str">
        <v>Al Ahly</v>
      </c>
      <c r="H1090" s="15">
        <v>23</v>
      </c>
      <c r="I1090" s="15" t="str">
        <f t="shared" si="94"/>
        <v>653|Mostafa Shobeir|26|Egypt|GK|Al Ahly|23</v>
      </c>
      <c r="J1090" s="15" t="str">
        <f>IF(COUNTIF(I$438:I1090,I1090)&gt;1,"DOUBLON","OK")</f>
        <v>OK</v>
      </c>
      <c r="S1090" s="30" t="str">
        <v>Paraguay</v>
      </c>
      <c r="T1090" s="30" t="str">
        <f t="shared" si="95"/>
        <v>OK</v>
      </c>
      <c r="U1090" s="30" t="str">
        <f t="shared" si="96"/>
        <v>-</v>
      </c>
      <c r="V1090" s="30" t="str" cm="1">
        <f t="array" ref="V1090">_xlfn.IFS(
ISNUMBER(SEARCH("USA",S1090)),"United States",
ISNUMBER(SEARCH("Republic of Korea",S1090)),"South Korea",
ISNUMBER(SEARCH("Cape Verde",S1090)),"Cabo Verde",
ISNUMBER(SEARCH("Czechia",S1090)),"Czech Republic",
ISNUMBER(SEARCH("Türkiye",S1090)),"Turkey",
ISNUMBER(SEARCH("Ivory Coast",S1090)),"Côte d'Ivoire",
ISNUMBER(SEARCH("Korea Republic",S1090)),"South Korea",
ISNUMBER(SEARCH("Germany FR",S1090)),"FR Germany",
ISNUMBER(SEARCH("West Germany",S1090)),"FR Germany",
ISNUMBER(SEARCH("Germany DR",S1090)),"DR Germany",
ISNUMBER(SEARCH("Korea DPR",S1090)),"North Korea",
ISNUMBER(SEARCH("China PR",S1090)),"China",
ISNUMBER(SEARCH("IR Iran",S1090)),"Iran",
ISNUMBER(SEARCH("Congo DR",S1090)),"Democratic Republic of the Congo",
ISNUMBER(SEARCH("DR Congo",S1090)),"Democratic Republic of the Congo",
ISNUMBER(SEARCH("German DR",S1090)),"DR Germany",
ISNUMBER(SEARCH("rn""&gt;United Arab Emirates",S1090)),"United Arab Emirates",
ISNUMBER(SEARCH("rn""&gt;Republic of Ireland",S1090)),"Ireland",
ISNUMBER(SEARCH("rn""&gt;Bosnia and Herzegovina",S1090)),"Bosnia and Herzegovina",
ISNUMBER(SEARCH("rn""&gt;Trinidad and Tobago",S1090)),"Trinidad and Tobago",
ISNUMBER(SEARCH("rn""&gt;Serbia and Montenegro",S1090)),"Serbia and Montenegro",
ISNUMBER(SEARCH(_xlfn.UNICHAR(65533),S1090)),"Côte d'Ivoire",
TRUE,""
)</f>
        <v/>
      </c>
      <c r="W1090" s="30" t="str">
        <f t="shared" si="92"/>
        <v>Paraguay</v>
      </c>
      <c r="Z1090" s="40" t="str">
        <v>Gillette Stadium</v>
      </c>
      <c r="AA1090" s="40" t="str" cm="1">
        <f t="array" ref="AA1090">IFERROR(_xlfn.XLOOKUP(Z1090,_xlfn.ANCHORARRAY(Z$31),AA$31:AA$37),Z1090)</f>
        <v>Gillette Stadium</v>
      </c>
      <c r="AB1090" s="42" t="str">
        <v>Boston</v>
      </c>
      <c r="AC1090" s="89" t="str">
        <f t="shared" si="93"/>
        <v>Boston</v>
      </c>
      <c r="AE1090" s="42">
        <v>2026</v>
      </c>
      <c r="AK1090" s="42">
        <v>3</v>
      </c>
      <c r="AL1090" s="42">
        <v>1</v>
      </c>
    </row>
    <row r="1091" spans="2:38">
      <c r="B1091" s="75">
        <v>654</v>
      </c>
      <c r="C1091" s="15" t="str">
        <v>Mohamed Alaa</v>
      </c>
      <c r="D1091" s="15">
        <v>27</v>
      </c>
      <c r="E1091" s="15" t="str">
        <v>Egypt</v>
      </c>
      <c r="F1091" s="15" t="str">
        <v>GK</v>
      </c>
      <c r="G1091" s="15" t="str">
        <v>El Gouna</v>
      </c>
      <c r="H1091" s="15">
        <v>26</v>
      </c>
      <c r="I1091" s="15" t="str">
        <f t="shared" si="94"/>
        <v>654|Mohamed Alaa|27|Egypt|GK|El Gouna|26</v>
      </c>
      <c r="J1091" s="15" t="str">
        <f>IF(COUNTIF(I$438:I1091,I1091)&gt;1,"DOUBLON","OK")</f>
        <v>OK</v>
      </c>
      <c r="S1091" s="30" t="str">
        <v>Germany</v>
      </c>
      <c r="T1091" s="30" t="str">
        <f t="shared" si="95"/>
        <v>OK</v>
      </c>
      <c r="U1091" s="30" t="str">
        <f t="shared" si="96"/>
        <v>-</v>
      </c>
      <c r="V1091" s="30" t="str" cm="1">
        <f t="array" ref="V1091">_xlfn.IFS(
ISNUMBER(SEARCH("USA",S1091)),"United States",
ISNUMBER(SEARCH("Republic of Korea",S1091)),"South Korea",
ISNUMBER(SEARCH("Cape Verde",S1091)),"Cabo Verde",
ISNUMBER(SEARCH("Czechia",S1091)),"Czech Republic",
ISNUMBER(SEARCH("Türkiye",S1091)),"Turkey",
ISNUMBER(SEARCH("Ivory Coast",S1091)),"Côte d'Ivoire",
ISNUMBER(SEARCH("Korea Republic",S1091)),"South Korea",
ISNUMBER(SEARCH("Germany FR",S1091)),"FR Germany",
ISNUMBER(SEARCH("West Germany",S1091)),"FR Germany",
ISNUMBER(SEARCH("Germany DR",S1091)),"DR Germany",
ISNUMBER(SEARCH("Korea DPR",S1091)),"North Korea",
ISNUMBER(SEARCH("China PR",S1091)),"China",
ISNUMBER(SEARCH("IR Iran",S1091)),"Iran",
ISNUMBER(SEARCH("Congo DR",S1091)),"Democratic Republic of the Congo",
ISNUMBER(SEARCH("DR Congo",S1091)),"Democratic Republic of the Congo",
ISNUMBER(SEARCH("German DR",S1091)),"DR Germany",
ISNUMBER(SEARCH("rn""&gt;United Arab Emirates",S1091)),"United Arab Emirates",
ISNUMBER(SEARCH("rn""&gt;Republic of Ireland",S1091)),"Ireland",
ISNUMBER(SEARCH("rn""&gt;Bosnia and Herzegovina",S1091)),"Bosnia and Herzegovina",
ISNUMBER(SEARCH("rn""&gt;Trinidad and Tobago",S1091)),"Trinidad and Tobago",
ISNUMBER(SEARCH("rn""&gt;Serbia and Montenegro",S1091)),"Serbia and Montenegro",
ISNUMBER(SEARCH(_xlfn.UNICHAR(65533),S1091)),"Côte d'Ivoire",
TRUE,""
)</f>
        <v/>
      </c>
      <c r="W1091" s="30" t="str">
        <f t="shared" si="92"/>
        <v>Germany</v>
      </c>
      <c r="Z1091" s="40" t="str">
        <v>SoFi Stadium</v>
      </c>
      <c r="AA1091" s="40" t="str" cm="1">
        <f t="array" ref="AA1091">IFERROR(_xlfn.XLOOKUP(Z1091,_xlfn.ANCHORARRAY(Z$31),AA$31:AA$37),Z1091)</f>
        <v>SoFi Stadium</v>
      </c>
      <c r="AB1091" s="42" t="str">
        <v>Los Angeles</v>
      </c>
      <c r="AC1091" s="89" t="str">
        <f t="shared" si="93"/>
        <v>Los Angeles</v>
      </c>
      <c r="AE1091" s="42">
        <v>2026</v>
      </c>
      <c r="AK1091" s="42">
        <v>4</v>
      </c>
      <c r="AL1091" s="42">
        <v>2</v>
      </c>
    </row>
    <row r="1092" spans="2:38">
      <c r="B1092" s="75">
        <v>655</v>
      </c>
      <c r="C1092" s="15" t="str">
        <v>Yasser Ibrahim</v>
      </c>
      <c r="D1092" s="15">
        <v>33</v>
      </c>
      <c r="E1092" s="15" t="str">
        <v>Egypt</v>
      </c>
      <c r="F1092" s="15" t="str">
        <v>CB</v>
      </c>
      <c r="G1092" s="15" t="str">
        <v>Al Ahly</v>
      </c>
      <c r="H1092" s="15">
        <v>2</v>
      </c>
      <c r="I1092" s="15" t="str">
        <f t="shared" si="94"/>
        <v>655|Yasser Ibrahim|33|Egypt|CB|Al Ahly|2</v>
      </c>
      <c r="J1092" s="15" t="str">
        <f>IF(COUNTIF(I$438:I1092,I1092)&gt;1,"DOUBLON","OK")</f>
        <v>OK</v>
      </c>
      <c r="S1092" s="30" t="str">
        <v>Paraguay</v>
      </c>
      <c r="T1092" s="30" t="str">
        <f t="shared" si="95"/>
        <v>OK</v>
      </c>
      <c r="U1092" s="30" t="str">
        <f t="shared" si="96"/>
        <v>-</v>
      </c>
      <c r="V1092" s="30" t="str" cm="1">
        <f t="array" ref="V1092">_xlfn.IFS(
ISNUMBER(SEARCH("USA",S1092)),"United States",
ISNUMBER(SEARCH("Republic of Korea",S1092)),"South Korea",
ISNUMBER(SEARCH("Cape Verde",S1092)),"Cabo Verde",
ISNUMBER(SEARCH("Czechia",S1092)),"Czech Republic",
ISNUMBER(SEARCH("Türkiye",S1092)),"Turkey",
ISNUMBER(SEARCH("Ivory Coast",S1092)),"Côte d'Ivoire",
ISNUMBER(SEARCH("Korea Republic",S1092)),"South Korea",
ISNUMBER(SEARCH("Germany FR",S1092)),"FR Germany",
ISNUMBER(SEARCH("West Germany",S1092)),"FR Germany",
ISNUMBER(SEARCH("Germany DR",S1092)),"DR Germany",
ISNUMBER(SEARCH("Korea DPR",S1092)),"North Korea",
ISNUMBER(SEARCH("China PR",S1092)),"China",
ISNUMBER(SEARCH("IR Iran",S1092)),"Iran",
ISNUMBER(SEARCH("Congo DR",S1092)),"Democratic Republic of the Congo",
ISNUMBER(SEARCH("DR Congo",S1092)),"Democratic Republic of the Congo",
ISNUMBER(SEARCH("German DR",S1092)),"DR Germany",
ISNUMBER(SEARCH("rn""&gt;United Arab Emirates",S1092)),"United Arab Emirates",
ISNUMBER(SEARCH("rn""&gt;Republic of Ireland",S1092)),"Ireland",
ISNUMBER(SEARCH("rn""&gt;Bosnia and Herzegovina",S1092)),"Bosnia and Herzegovina",
ISNUMBER(SEARCH("rn""&gt;Trinidad and Tobago",S1092)),"Trinidad and Tobago",
ISNUMBER(SEARCH("rn""&gt;Serbia and Montenegro",S1092)),"Serbia and Montenegro",
ISNUMBER(SEARCH(_xlfn.UNICHAR(65533),S1092)),"Côte d'Ivoire",
TRUE,""
)</f>
        <v/>
      </c>
      <c r="W1092" s="30" t="str">
        <f t="shared" si="92"/>
        <v>Paraguay</v>
      </c>
      <c r="Z1092" s="40" t="str">
        <v>Miami Stadium</v>
      </c>
      <c r="AA1092" s="40" t="str" cm="1">
        <f t="array" ref="AA1092">IFERROR(_xlfn.XLOOKUP(Z1092,_xlfn.ANCHORARRAY(Z$31),AA$31:AA$37),Z1092)</f>
        <v>Miami Stadium</v>
      </c>
      <c r="AB1092" s="42" t="str">
        <v>Miami</v>
      </c>
      <c r="AC1092" s="89" t="str">
        <f t="shared" si="93"/>
        <v>Miami</v>
      </c>
      <c r="AE1092" s="42">
        <v>2026</v>
      </c>
      <c r="AK1092" s="42">
        <v>0</v>
      </c>
      <c r="AL1092" s="42">
        <v>3</v>
      </c>
    </row>
    <row r="1093" spans="2:38">
      <c r="B1093" s="75">
        <v>656</v>
      </c>
      <c r="C1093" s="15" t="str">
        <v>Hossam Abdelmaguid</v>
      </c>
      <c r="D1093" s="15">
        <v>25</v>
      </c>
      <c r="E1093" s="15" t="str">
        <v>Egypt</v>
      </c>
      <c r="F1093" s="15" t="str">
        <v>CB</v>
      </c>
      <c r="G1093" s="15" t="str">
        <v>Zamalek</v>
      </c>
      <c r="H1093" s="15">
        <v>4</v>
      </c>
      <c r="I1093" s="15" t="str">
        <f t="shared" si="94"/>
        <v>656|Hossam Abdelmaguid|25|Egypt|CB|Zamalek|4</v>
      </c>
      <c r="J1093" s="15" t="str">
        <f>IF(COUNTIF(I$438:I1093,I1093)&gt;1,"DOUBLON","OK")</f>
        <v>OK</v>
      </c>
      <c r="S1093" s="30" t="str">
        <v>Netherlands</v>
      </c>
      <c r="T1093" s="30" t="str">
        <f t="shared" si="95"/>
        <v>OK</v>
      </c>
      <c r="U1093" s="30" t="str">
        <f t="shared" si="96"/>
        <v>-</v>
      </c>
      <c r="V1093" s="30" t="str" cm="1">
        <f t="array" ref="V1093">_xlfn.IFS(
ISNUMBER(SEARCH("USA",S1093)),"United States",
ISNUMBER(SEARCH("Republic of Korea",S1093)),"South Korea",
ISNUMBER(SEARCH("Cape Verde",S1093)),"Cabo Verde",
ISNUMBER(SEARCH("Czechia",S1093)),"Czech Republic",
ISNUMBER(SEARCH("Türkiye",S1093)),"Turkey",
ISNUMBER(SEARCH("Ivory Coast",S1093)),"Côte d'Ivoire",
ISNUMBER(SEARCH("Korea Republic",S1093)),"South Korea",
ISNUMBER(SEARCH("Germany FR",S1093)),"FR Germany",
ISNUMBER(SEARCH("West Germany",S1093)),"FR Germany",
ISNUMBER(SEARCH("Germany DR",S1093)),"DR Germany",
ISNUMBER(SEARCH("Korea DPR",S1093)),"North Korea",
ISNUMBER(SEARCH("China PR",S1093)),"China",
ISNUMBER(SEARCH("IR Iran",S1093)),"Iran",
ISNUMBER(SEARCH("Congo DR",S1093)),"Democratic Republic of the Congo",
ISNUMBER(SEARCH("DR Congo",S1093)),"Democratic Republic of the Congo",
ISNUMBER(SEARCH("German DR",S1093)),"DR Germany",
ISNUMBER(SEARCH("rn""&gt;United Arab Emirates",S1093)),"United Arab Emirates",
ISNUMBER(SEARCH("rn""&gt;Republic of Ireland",S1093)),"Ireland",
ISNUMBER(SEARCH("rn""&gt;Bosnia and Herzegovina",S1093)),"Bosnia and Herzegovina",
ISNUMBER(SEARCH("rn""&gt;Trinidad and Tobago",S1093)),"Trinidad and Tobago",
ISNUMBER(SEARCH("rn""&gt;Serbia and Montenegro",S1093)),"Serbia and Montenegro",
ISNUMBER(SEARCH(_xlfn.UNICHAR(65533),S1093)),"Côte d'Ivoire",
TRUE,""
)</f>
        <v/>
      </c>
      <c r="W1093" s="30" t="str">
        <f t="shared" si="92"/>
        <v>Netherlands</v>
      </c>
      <c r="Z1093" s="40" t="str">
        <v>GEHA Field at Arrowhead Stadium</v>
      </c>
      <c r="AA1093" s="40" t="str" cm="1">
        <f t="array" ref="AA1093">IFERROR(_xlfn.XLOOKUP(Z1093,_xlfn.ANCHORARRAY(Z$31),AA$31:AA$37),Z1093)</f>
        <v>GEHA Field at Arrowhead Stadium</v>
      </c>
      <c r="AB1093" s="42" t="str">
        <v>Kansas City</v>
      </c>
      <c r="AC1093" s="89" t="str">
        <f t="shared" si="93"/>
        <v>Kansas City</v>
      </c>
      <c r="AE1093" s="42">
        <v>2026</v>
      </c>
      <c r="AK1093" s="42">
        <v>1</v>
      </c>
      <c r="AL1093" s="42">
        <v>0</v>
      </c>
    </row>
    <row r="1094" spans="2:38">
      <c r="B1094" s="75">
        <v>657</v>
      </c>
      <c r="C1094" s="15" t="str">
        <v>Ramy Rabia</v>
      </c>
      <c r="D1094" s="15">
        <v>33</v>
      </c>
      <c r="E1094" s="15" t="str">
        <v>Egypt</v>
      </c>
      <c r="F1094" s="15" t="str">
        <v>CB</v>
      </c>
      <c r="G1094" s="15" t="str">
        <v>Al Ain</v>
      </c>
      <c r="H1094" s="15">
        <v>5</v>
      </c>
      <c r="I1094" s="15" t="str">
        <f t="shared" si="94"/>
        <v>657|Ramy Rabia|33|Egypt|CB|Al Ain|5</v>
      </c>
      <c r="J1094" s="15" t="str">
        <f>IF(COUNTIF(I$438:I1094,I1094)&gt;1,"DOUBLON","OK")</f>
        <v>OK</v>
      </c>
      <c r="S1094" s="30" t="str">
        <v>Morocco</v>
      </c>
      <c r="T1094" s="30" t="str">
        <f t="shared" si="95"/>
        <v>OK</v>
      </c>
      <c r="U1094" s="30" t="str">
        <f t="shared" si="96"/>
        <v>-</v>
      </c>
      <c r="V1094" s="30" t="str" cm="1">
        <f t="array" ref="V1094">_xlfn.IFS(
ISNUMBER(SEARCH("USA",S1094)),"United States",
ISNUMBER(SEARCH("Republic of Korea",S1094)),"South Korea",
ISNUMBER(SEARCH("Cape Verde",S1094)),"Cabo Verde",
ISNUMBER(SEARCH("Czechia",S1094)),"Czech Republic",
ISNUMBER(SEARCH("Türkiye",S1094)),"Turkey",
ISNUMBER(SEARCH("Ivory Coast",S1094)),"Côte d'Ivoire",
ISNUMBER(SEARCH("Korea Republic",S1094)),"South Korea",
ISNUMBER(SEARCH("Germany FR",S1094)),"FR Germany",
ISNUMBER(SEARCH("West Germany",S1094)),"FR Germany",
ISNUMBER(SEARCH("Germany DR",S1094)),"DR Germany",
ISNUMBER(SEARCH("Korea DPR",S1094)),"North Korea",
ISNUMBER(SEARCH("China PR",S1094)),"China",
ISNUMBER(SEARCH("IR Iran",S1094)),"Iran",
ISNUMBER(SEARCH("Congo DR",S1094)),"Democratic Republic of the Congo",
ISNUMBER(SEARCH("DR Congo",S1094)),"Democratic Republic of the Congo",
ISNUMBER(SEARCH("German DR",S1094)),"DR Germany",
ISNUMBER(SEARCH("rn""&gt;United Arab Emirates",S1094)),"United Arab Emirates",
ISNUMBER(SEARCH("rn""&gt;Republic of Ireland",S1094)),"Ireland",
ISNUMBER(SEARCH("rn""&gt;Bosnia and Herzegovina",S1094)),"Bosnia and Herzegovina",
ISNUMBER(SEARCH("rn""&gt;Trinidad and Tobago",S1094)),"Trinidad and Tobago",
ISNUMBER(SEARCH("rn""&gt;Serbia and Montenegro",S1094)),"Serbia and Montenegro",
ISNUMBER(SEARCH(_xlfn.UNICHAR(65533),S1094)),"Côte d'Ivoire",
TRUE,""
)</f>
        <v/>
      </c>
      <c r="W1094" s="30" t="str">
        <f t="shared" si="92"/>
        <v>Morocco</v>
      </c>
      <c r="Z1094" s="40" t="str">
        <v>AT&amp;T Stadium</v>
      </c>
      <c r="AA1094" s="40" t="str" cm="1">
        <f t="array" ref="AA1094">IFERROR(_xlfn.XLOOKUP(Z1094,_xlfn.ANCHORARRAY(Z$31),AA$31:AA$37),Z1094)</f>
        <v>AT&amp;T Stadium</v>
      </c>
      <c r="AB1094" s="42" t="str">
        <v>Dallas</v>
      </c>
      <c r="AC1094" s="89" t="str">
        <f t="shared" si="93"/>
        <v>Dallas</v>
      </c>
      <c r="AE1094" s="42">
        <v>2026</v>
      </c>
      <c r="AK1094" s="42">
        <v>0</v>
      </c>
      <c r="AL1094" s="42">
        <v>3</v>
      </c>
    </row>
    <row r="1095" spans="2:38">
      <c r="B1095" s="75">
        <v>658</v>
      </c>
      <c r="C1095" s="15" t="str">
        <v>Mohamed Abdelmonem</v>
      </c>
      <c r="D1095" s="15">
        <v>27</v>
      </c>
      <c r="E1095" s="15" t="str">
        <v>Egypt</v>
      </c>
      <c r="F1095" s="15" t="str">
        <v>CB</v>
      </c>
      <c r="G1095" s="15" t="str">
        <v>Nice</v>
      </c>
      <c r="H1095" s="15">
        <v>6</v>
      </c>
      <c r="I1095" s="15" t="str">
        <f t="shared" si="94"/>
        <v>658|Mohamed Abdelmonem|27|Egypt|CB|Nice|6</v>
      </c>
      <c r="J1095" s="15" t="str">
        <f>IF(COUNTIF(I$438:I1095,I1095)&gt;1,"DOUBLON","OK")</f>
        <v>OK</v>
      </c>
      <c r="S1095" s="30" t="str">
        <v>Netherlands</v>
      </c>
      <c r="T1095" s="30" t="str">
        <f t="shared" si="95"/>
        <v>OK</v>
      </c>
      <c r="U1095" s="30" t="str">
        <f t="shared" si="96"/>
        <v>-</v>
      </c>
      <c r="V1095" s="30" t="str" cm="1">
        <f t="array" ref="V1095">_xlfn.IFS(
ISNUMBER(SEARCH("USA",S1095)),"United States",
ISNUMBER(SEARCH("Republic of Korea",S1095)),"South Korea",
ISNUMBER(SEARCH("Cape Verde",S1095)),"Cabo Verde",
ISNUMBER(SEARCH("Czechia",S1095)),"Czech Republic",
ISNUMBER(SEARCH("Türkiye",S1095)),"Turkey",
ISNUMBER(SEARCH("Ivory Coast",S1095)),"Côte d'Ivoire",
ISNUMBER(SEARCH("Korea Republic",S1095)),"South Korea",
ISNUMBER(SEARCH("Germany FR",S1095)),"FR Germany",
ISNUMBER(SEARCH("West Germany",S1095)),"FR Germany",
ISNUMBER(SEARCH("Germany DR",S1095)),"DR Germany",
ISNUMBER(SEARCH("Korea DPR",S1095)),"North Korea",
ISNUMBER(SEARCH("China PR",S1095)),"China",
ISNUMBER(SEARCH("IR Iran",S1095)),"Iran",
ISNUMBER(SEARCH("Congo DR",S1095)),"Democratic Republic of the Congo",
ISNUMBER(SEARCH("DR Congo",S1095)),"Democratic Republic of the Congo",
ISNUMBER(SEARCH("German DR",S1095)),"DR Germany",
ISNUMBER(SEARCH("rn""&gt;United Arab Emirates",S1095)),"United Arab Emirates",
ISNUMBER(SEARCH("rn""&gt;Republic of Ireland",S1095)),"Ireland",
ISNUMBER(SEARCH("rn""&gt;Bosnia and Herzegovina",S1095)),"Bosnia and Herzegovina",
ISNUMBER(SEARCH("rn""&gt;Trinidad and Tobago",S1095)),"Trinidad and Tobago",
ISNUMBER(SEARCH("rn""&gt;Serbia and Montenegro",S1095)),"Serbia and Montenegro",
ISNUMBER(SEARCH(_xlfn.UNICHAR(65533),S1095)),"Côte d'Ivoire",
TRUE,""
)</f>
        <v/>
      </c>
      <c r="W1095" s="30" t="str">
        <f t="shared" si="92"/>
        <v>Netherlands</v>
      </c>
      <c r="Z1095" s="40" t="str">
        <v>Mercedes-Benz Stadium</v>
      </c>
      <c r="AA1095" s="40" t="str" cm="1">
        <f t="array" ref="AA1095">IFERROR(_xlfn.XLOOKUP(Z1095,_xlfn.ANCHORARRAY(Z$31),AA$31:AA$37),Z1095)</f>
        <v>Mercedes-Benz Stadium</v>
      </c>
      <c r="AB1095" s="42" t="str">
        <v>Atlanta</v>
      </c>
      <c r="AC1095" s="89" t="str">
        <f t="shared" si="93"/>
        <v>Atlanta</v>
      </c>
      <c r="AE1095" s="42">
        <v>2026</v>
      </c>
      <c r="AK1095" s="42">
        <v>0</v>
      </c>
      <c r="AL1095" s="42">
        <v>2</v>
      </c>
    </row>
    <row r="1096" spans="2:38">
      <c r="B1096" s="75">
        <v>659</v>
      </c>
      <c r="C1096" s="15" t="str">
        <v>Ahmed Fatouh</v>
      </c>
      <c r="D1096" s="15">
        <v>28</v>
      </c>
      <c r="E1096" s="15" t="str">
        <v>Egypt</v>
      </c>
      <c r="F1096" s="15" t="str">
        <v>LB</v>
      </c>
      <c r="G1096" s="15" t="str">
        <v>Zamalek</v>
      </c>
      <c r="H1096" s="15">
        <v>13</v>
      </c>
      <c r="I1096" s="15" t="str">
        <f t="shared" si="94"/>
        <v>659|Ahmed Fatouh|28|Egypt|LB|Zamalek|13</v>
      </c>
      <c r="J1096" s="15" t="str">
        <f>IF(COUNTIF(I$438:I1096,I1096)&gt;1,"DOUBLON","OK")</f>
        <v>OK</v>
      </c>
      <c r="S1096" s="30" t="str">
        <v>Morocco</v>
      </c>
      <c r="T1096" s="30" t="str">
        <f t="shared" si="95"/>
        <v>OK</v>
      </c>
      <c r="U1096" s="30" t="str">
        <f t="shared" si="96"/>
        <v>-</v>
      </c>
      <c r="V1096" s="30" t="str" cm="1">
        <f t="array" ref="V1096">_xlfn.IFS(
ISNUMBER(SEARCH("USA",S1096)),"United States",
ISNUMBER(SEARCH("Republic of Korea",S1096)),"South Korea",
ISNUMBER(SEARCH("Cape Verde",S1096)),"Cabo Verde",
ISNUMBER(SEARCH("Czechia",S1096)),"Czech Republic",
ISNUMBER(SEARCH("Türkiye",S1096)),"Turkey",
ISNUMBER(SEARCH("Ivory Coast",S1096)),"Côte d'Ivoire",
ISNUMBER(SEARCH("Korea Republic",S1096)),"South Korea",
ISNUMBER(SEARCH("Germany FR",S1096)),"FR Germany",
ISNUMBER(SEARCH("West Germany",S1096)),"FR Germany",
ISNUMBER(SEARCH("Germany DR",S1096)),"DR Germany",
ISNUMBER(SEARCH("Korea DPR",S1096)),"North Korea",
ISNUMBER(SEARCH("China PR",S1096)),"China",
ISNUMBER(SEARCH("IR Iran",S1096)),"Iran",
ISNUMBER(SEARCH("Congo DR",S1096)),"Democratic Republic of the Congo",
ISNUMBER(SEARCH("DR Congo",S1096)),"Democratic Republic of the Congo",
ISNUMBER(SEARCH("German DR",S1096)),"DR Germany",
ISNUMBER(SEARCH("rn""&gt;United Arab Emirates",S1096)),"United Arab Emirates",
ISNUMBER(SEARCH("rn""&gt;Republic of Ireland",S1096)),"Ireland",
ISNUMBER(SEARCH("rn""&gt;Bosnia and Herzegovina",S1096)),"Bosnia and Herzegovina",
ISNUMBER(SEARCH("rn""&gt;Trinidad and Tobago",S1096)),"Trinidad and Tobago",
ISNUMBER(SEARCH("rn""&gt;Serbia and Montenegro",S1096)),"Serbia and Montenegro",
ISNUMBER(SEARCH(_xlfn.UNICHAR(65533),S1096)),"Côte d'Ivoire",
TRUE,""
)</f>
        <v/>
      </c>
      <c r="W1096" s="30" t="str">
        <f t="shared" si="92"/>
        <v>Morocco</v>
      </c>
      <c r="Z1096" s="40" t="str">
        <v>Miami Stadium</v>
      </c>
      <c r="AA1096" s="40" t="str" cm="1">
        <f t="array" ref="AA1096">IFERROR(_xlfn.XLOOKUP(Z1096,_xlfn.ANCHORARRAY(Z$31),AA$31:AA$37),Z1096)</f>
        <v>Miami Stadium</v>
      </c>
      <c r="AB1096" s="42" t="str">
        <v>Miami</v>
      </c>
      <c r="AC1096" s="89" t="str">
        <f t="shared" si="93"/>
        <v>Miami</v>
      </c>
      <c r="AE1096" s="42">
        <v>2026</v>
      </c>
      <c r="AK1096" s="42">
        <v>2</v>
      </c>
      <c r="AL1096" s="42">
        <v>1</v>
      </c>
    </row>
    <row r="1097" spans="2:38">
      <c r="B1097" s="75">
        <v>660</v>
      </c>
      <c r="C1097" s="15" t="str">
        <v>Karim Hafez</v>
      </c>
      <c r="D1097" s="15">
        <v>30</v>
      </c>
      <c r="E1097" s="15" t="str">
        <v>Egypt</v>
      </c>
      <c r="F1097" s="15" t="str">
        <v>LB</v>
      </c>
      <c r="G1097" s="15" t="str">
        <v>Pyramids</v>
      </c>
      <c r="H1097" s="15">
        <v>15</v>
      </c>
      <c r="I1097" s="15" t="str">
        <f t="shared" si="94"/>
        <v>660|Karim Hafez|30|Egypt|LB|Pyramids|15</v>
      </c>
      <c r="J1097" s="15" t="str">
        <f>IF(COUNTIF(I$438:I1097,I1097)&gt;1,"DOUBLON","OK")</f>
        <v>OK</v>
      </c>
      <c r="S1097" s="30" t="str">
        <v>Netherlands</v>
      </c>
      <c r="T1097" s="30" t="str">
        <f t="shared" si="95"/>
        <v>OK</v>
      </c>
      <c r="U1097" s="30" t="str">
        <f t="shared" si="96"/>
        <v>-</v>
      </c>
      <c r="V1097" s="30" t="str" cm="1">
        <f t="array" ref="V1097">_xlfn.IFS(
ISNUMBER(SEARCH("USA",S1097)),"United States",
ISNUMBER(SEARCH("Republic of Korea",S1097)),"South Korea",
ISNUMBER(SEARCH("Cape Verde",S1097)),"Cabo Verde",
ISNUMBER(SEARCH("Czechia",S1097)),"Czech Republic",
ISNUMBER(SEARCH("Türkiye",S1097)),"Turkey",
ISNUMBER(SEARCH("Ivory Coast",S1097)),"Côte d'Ivoire",
ISNUMBER(SEARCH("Korea Republic",S1097)),"South Korea",
ISNUMBER(SEARCH("Germany FR",S1097)),"FR Germany",
ISNUMBER(SEARCH("West Germany",S1097)),"FR Germany",
ISNUMBER(SEARCH("Germany DR",S1097)),"DR Germany",
ISNUMBER(SEARCH("Korea DPR",S1097)),"North Korea",
ISNUMBER(SEARCH("China PR",S1097)),"China",
ISNUMBER(SEARCH("IR Iran",S1097)),"Iran",
ISNUMBER(SEARCH("Congo DR",S1097)),"Democratic Republic of the Congo",
ISNUMBER(SEARCH("DR Congo",S1097)),"Democratic Republic of the Congo",
ISNUMBER(SEARCH("German DR",S1097)),"DR Germany",
ISNUMBER(SEARCH("rn""&gt;United Arab Emirates",S1097)),"United Arab Emirates",
ISNUMBER(SEARCH("rn""&gt;Republic of Ireland",S1097)),"Ireland",
ISNUMBER(SEARCH("rn""&gt;Bosnia and Herzegovina",S1097)),"Bosnia and Herzegovina",
ISNUMBER(SEARCH("rn""&gt;Trinidad and Tobago",S1097)),"Trinidad and Tobago",
ISNUMBER(SEARCH("rn""&gt;Serbia and Montenegro",S1097)),"Serbia and Montenegro",
ISNUMBER(SEARCH(_xlfn.UNICHAR(65533),S1097)),"Côte d'Ivoire",
TRUE,""
)</f>
        <v/>
      </c>
      <c r="W1097" s="30" t="str">
        <f t="shared" si="92"/>
        <v>Netherlands</v>
      </c>
      <c r="Z1097" s="40" t="str">
        <v>New York New Jersey Stadium</v>
      </c>
      <c r="AA1097" s="40" t="str" cm="1">
        <f t="array" ref="AA1097">IFERROR(_xlfn.XLOOKUP(Z1097,_xlfn.ANCHORARRAY(Z$31),AA$31:AA$37),Z1097)</f>
        <v>New York New Jersey Stadium</v>
      </c>
      <c r="AB1097" s="42" t="str">
        <v>New Jersey</v>
      </c>
      <c r="AC1097" s="89" t="str">
        <f t="shared" si="93"/>
        <v>New Jersey</v>
      </c>
      <c r="AE1097" s="42">
        <v>2026</v>
      </c>
      <c r="AK1097" s="42">
        <v>1</v>
      </c>
      <c r="AL1097" s="42">
        <v>3</v>
      </c>
    </row>
    <row r="1098" spans="2:38">
      <c r="B1098" s="75">
        <v>661</v>
      </c>
      <c r="C1098" s="15" t="str">
        <v>Mohamed Hany</v>
      </c>
      <c r="D1098" s="15">
        <v>30</v>
      </c>
      <c r="E1098" s="15" t="str">
        <v>Egypt</v>
      </c>
      <c r="F1098" s="15" t="str">
        <v>RB</v>
      </c>
      <c r="G1098" s="15" t="str">
        <v>Al Ahly</v>
      </c>
      <c r="H1098" s="15">
        <v>3</v>
      </c>
      <c r="I1098" s="15" t="str">
        <f t="shared" si="94"/>
        <v>661|Mohamed Hany|30|Egypt|RB|Al Ahly|3</v>
      </c>
      <c r="J1098" s="15" t="str">
        <f>IF(COUNTIF(I$438:I1098,I1098)&gt;1,"DOUBLON","OK")</f>
        <v>OK</v>
      </c>
      <c r="S1098" s="30" t="str">
        <v>Morocco</v>
      </c>
      <c r="T1098" s="30" t="str">
        <f t="shared" si="95"/>
        <v>OK</v>
      </c>
      <c r="U1098" s="30" t="str">
        <f t="shared" si="96"/>
        <v>-</v>
      </c>
      <c r="V1098" s="30" t="str" cm="1">
        <f t="array" ref="V1098">_xlfn.IFS(
ISNUMBER(SEARCH("USA",S1098)),"United States",
ISNUMBER(SEARCH("Republic of Korea",S1098)),"South Korea",
ISNUMBER(SEARCH("Cape Verde",S1098)),"Cabo Verde",
ISNUMBER(SEARCH("Czechia",S1098)),"Czech Republic",
ISNUMBER(SEARCH("Türkiye",S1098)),"Turkey",
ISNUMBER(SEARCH("Ivory Coast",S1098)),"Côte d'Ivoire",
ISNUMBER(SEARCH("Korea Republic",S1098)),"South Korea",
ISNUMBER(SEARCH("Germany FR",S1098)),"FR Germany",
ISNUMBER(SEARCH("West Germany",S1098)),"FR Germany",
ISNUMBER(SEARCH("Germany DR",S1098)),"DR Germany",
ISNUMBER(SEARCH("Korea DPR",S1098)),"North Korea",
ISNUMBER(SEARCH("China PR",S1098)),"China",
ISNUMBER(SEARCH("IR Iran",S1098)),"Iran",
ISNUMBER(SEARCH("Congo DR",S1098)),"Democratic Republic of the Congo",
ISNUMBER(SEARCH("DR Congo",S1098)),"Democratic Republic of the Congo",
ISNUMBER(SEARCH("German DR",S1098)),"DR Germany",
ISNUMBER(SEARCH("rn""&gt;United Arab Emirates",S1098)),"United Arab Emirates",
ISNUMBER(SEARCH("rn""&gt;Republic of Ireland",S1098)),"Ireland",
ISNUMBER(SEARCH("rn""&gt;Bosnia and Herzegovina",S1098)),"Bosnia and Herzegovina",
ISNUMBER(SEARCH("rn""&gt;Trinidad and Tobago",S1098)),"Trinidad and Tobago",
ISNUMBER(SEARCH("rn""&gt;Serbia and Montenegro",S1098)),"Serbia and Montenegro",
ISNUMBER(SEARCH(_xlfn.UNICHAR(65533),S1098)),"Côte d'Ivoire",
TRUE,""
)</f>
        <v/>
      </c>
      <c r="W1098" s="30" t="str">
        <f t="shared" si="92"/>
        <v>Morocco</v>
      </c>
      <c r="AE1098" s="42">
        <v>2026</v>
      </c>
      <c r="AK1098" s="42">
        <v>1</v>
      </c>
      <c r="AL1098" s="42">
        <v>1</v>
      </c>
    </row>
    <row r="1099" spans="2:38">
      <c r="B1099" s="75">
        <v>662</v>
      </c>
      <c r="C1099" s="15" t="str">
        <v>Tarek Alaa</v>
      </c>
      <c r="D1099" s="15">
        <v>24</v>
      </c>
      <c r="E1099" s="15" t="str">
        <v>Egypt</v>
      </c>
      <c r="F1099" s="15" t="str">
        <v>RB</v>
      </c>
      <c r="G1099" s="15" t="str">
        <v>ZED</v>
      </c>
      <c r="H1099" s="15">
        <v>24</v>
      </c>
      <c r="I1099" s="15" t="str">
        <f t="shared" si="94"/>
        <v>662|Tarek Alaa|24|Egypt|RB|ZED|24</v>
      </c>
      <c r="J1099" s="15" t="str">
        <f>IF(COUNTIF(I$438:I1099,I1099)&gt;1,"DOUBLON","OK")</f>
        <v>OK</v>
      </c>
      <c r="S1099" s="30" t="str">
        <v>Netherlands</v>
      </c>
      <c r="T1099" s="30" t="str">
        <f t="shared" si="95"/>
        <v>OK</v>
      </c>
      <c r="U1099" s="30" t="str">
        <f t="shared" si="96"/>
        <v>-</v>
      </c>
      <c r="V1099" s="30" t="str" cm="1">
        <f t="array" ref="V1099">_xlfn.IFS(
ISNUMBER(SEARCH("USA",S1099)),"United States",
ISNUMBER(SEARCH("Republic of Korea",S1099)),"South Korea",
ISNUMBER(SEARCH("Cape Verde",S1099)),"Cabo Verde",
ISNUMBER(SEARCH("Czechia",S1099)),"Czech Republic",
ISNUMBER(SEARCH("Türkiye",S1099)),"Turkey",
ISNUMBER(SEARCH("Ivory Coast",S1099)),"Côte d'Ivoire",
ISNUMBER(SEARCH("Korea Republic",S1099)),"South Korea",
ISNUMBER(SEARCH("Germany FR",S1099)),"FR Germany",
ISNUMBER(SEARCH("West Germany",S1099)),"FR Germany",
ISNUMBER(SEARCH("Germany DR",S1099)),"DR Germany",
ISNUMBER(SEARCH("Korea DPR",S1099)),"North Korea",
ISNUMBER(SEARCH("China PR",S1099)),"China",
ISNUMBER(SEARCH("IR Iran",S1099)),"Iran",
ISNUMBER(SEARCH("Congo DR",S1099)),"Democratic Republic of the Congo",
ISNUMBER(SEARCH("DR Congo",S1099)),"Democratic Republic of the Congo",
ISNUMBER(SEARCH("German DR",S1099)),"DR Germany",
ISNUMBER(SEARCH("rn""&gt;United Arab Emirates",S1099)),"United Arab Emirates",
ISNUMBER(SEARCH("rn""&gt;Republic of Ireland",S1099)),"Ireland",
ISNUMBER(SEARCH("rn""&gt;Bosnia and Herzegovina",S1099)),"Bosnia and Herzegovina",
ISNUMBER(SEARCH("rn""&gt;Trinidad and Tobago",S1099)),"Trinidad and Tobago",
ISNUMBER(SEARCH("rn""&gt;Serbia and Montenegro",S1099)),"Serbia and Montenegro",
ISNUMBER(SEARCH(_xlfn.UNICHAR(65533),S1099)),"Côte d'Ivoire",
TRUE,""
)</f>
        <v/>
      </c>
      <c r="W1099" s="30" t="str">
        <f t="shared" si="92"/>
        <v>Netherlands</v>
      </c>
      <c r="AE1099" s="42">
        <v>2026</v>
      </c>
      <c r="AK1099" s="42">
        <v>3</v>
      </c>
      <c r="AL1099" s="42">
        <v>2</v>
      </c>
    </row>
    <row r="1100" spans="2:38">
      <c r="B1100" s="75">
        <v>663</v>
      </c>
      <c r="C1100" s="15" t="str">
        <v>Hamdy Fathy</v>
      </c>
      <c r="D1100" s="15">
        <v>31</v>
      </c>
      <c r="E1100" s="15" t="str">
        <v>Egypt</v>
      </c>
      <c r="F1100" s="15" t="str">
        <v>CDM</v>
      </c>
      <c r="G1100" s="15" t="str">
        <v>Al-Wakrah</v>
      </c>
      <c r="H1100" s="15">
        <v>14</v>
      </c>
      <c r="I1100" s="15" t="str">
        <f t="shared" si="94"/>
        <v>663|Hamdy Fathy|31|Egypt|CDM|Al-Wakrah|14</v>
      </c>
      <c r="J1100" s="15" t="str">
        <f>IF(COUNTIF(I$438:I1100,I1100)&gt;1,"DOUBLON","OK")</f>
        <v>OK</v>
      </c>
      <c r="S1100" s="30" t="str">
        <v>Morocco</v>
      </c>
      <c r="T1100" s="30" t="str">
        <f t="shared" si="95"/>
        <v>OK</v>
      </c>
      <c r="U1100" s="30" t="str">
        <f t="shared" si="96"/>
        <v>-</v>
      </c>
      <c r="V1100" s="30" t="str" cm="1">
        <f t="array" ref="V1100">_xlfn.IFS(
ISNUMBER(SEARCH("USA",S1100)),"United States",
ISNUMBER(SEARCH("Republic of Korea",S1100)),"South Korea",
ISNUMBER(SEARCH("Cape Verde",S1100)),"Cabo Verde",
ISNUMBER(SEARCH("Czechia",S1100)),"Czech Republic",
ISNUMBER(SEARCH("Türkiye",S1100)),"Turkey",
ISNUMBER(SEARCH("Ivory Coast",S1100)),"Côte d'Ivoire",
ISNUMBER(SEARCH("Korea Republic",S1100)),"South Korea",
ISNUMBER(SEARCH("Germany FR",S1100)),"FR Germany",
ISNUMBER(SEARCH("West Germany",S1100)),"FR Germany",
ISNUMBER(SEARCH("Germany DR",S1100)),"DR Germany",
ISNUMBER(SEARCH("Korea DPR",S1100)),"North Korea",
ISNUMBER(SEARCH("China PR",S1100)),"China",
ISNUMBER(SEARCH("IR Iran",S1100)),"Iran",
ISNUMBER(SEARCH("Congo DR",S1100)),"Democratic Republic of the Congo",
ISNUMBER(SEARCH("DR Congo",S1100)),"Democratic Republic of the Congo",
ISNUMBER(SEARCH("German DR",S1100)),"DR Germany",
ISNUMBER(SEARCH("rn""&gt;United Arab Emirates",S1100)),"United Arab Emirates",
ISNUMBER(SEARCH("rn""&gt;Republic of Ireland",S1100)),"Ireland",
ISNUMBER(SEARCH("rn""&gt;Bosnia and Herzegovina",S1100)),"Bosnia and Herzegovina",
ISNUMBER(SEARCH("rn""&gt;Trinidad and Tobago",S1100)),"Trinidad and Tobago",
ISNUMBER(SEARCH("rn""&gt;Serbia and Montenegro",S1100)),"Serbia and Montenegro",
ISNUMBER(SEARCH(_xlfn.UNICHAR(65533),S1100)),"Côte d'Ivoire",
TRUE,""
)</f>
        <v/>
      </c>
      <c r="W1100" s="30" t="str">
        <f t="shared" si="92"/>
        <v>Morocco</v>
      </c>
      <c r="AE1100" s="42">
        <v>2026</v>
      </c>
      <c r="AK1100" s="42">
        <v>0</v>
      </c>
      <c r="AL1100" s="42">
        <v>0</v>
      </c>
    </row>
    <row r="1101" spans="2:38">
      <c r="B1101" s="75">
        <v>664</v>
      </c>
      <c r="C1101" s="15" t="str">
        <v>Nabil Emad</v>
      </c>
      <c r="D1101" s="15">
        <v>30</v>
      </c>
      <c r="E1101" s="15" t="str">
        <v>Egypt</v>
      </c>
      <c r="F1101" s="15" t="str">
        <v>CDM</v>
      </c>
      <c r="G1101" s="15" t="str">
        <v>Al-Najma</v>
      </c>
      <c r="H1101" s="15">
        <v>18</v>
      </c>
      <c r="I1101" s="15" t="str">
        <f t="shared" si="94"/>
        <v>664|Nabil Emad|30|Egypt|CDM|Al-Najma|18</v>
      </c>
      <c r="J1101" s="15" t="str">
        <f>IF(COUNTIF(I$438:I1101,I1101)&gt;1,"DOUBLON","OK")</f>
        <v>OK</v>
      </c>
      <c r="S1101" s="30" t="str">
        <v>Netherlands</v>
      </c>
      <c r="T1101" s="30" t="str">
        <f t="shared" si="95"/>
        <v>OK</v>
      </c>
      <c r="U1101" s="30" t="str">
        <f t="shared" si="96"/>
        <v>-</v>
      </c>
      <c r="V1101" s="30" t="str" cm="1">
        <f t="array" ref="V1101">_xlfn.IFS(
ISNUMBER(SEARCH("USA",S1101)),"United States",
ISNUMBER(SEARCH("Republic of Korea",S1101)),"South Korea",
ISNUMBER(SEARCH("Cape Verde",S1101)),"Cabo Verde",
ISNUMBER(SEARCH("Czechia",S1101)),"Czech Republic",
ISNUMBER(SEARCH("Türkiye",S1101)),"Turkey",
ISNUMBER(SEARCH("Ivory Coast",S1101)),"Côte d'Ivoire",
ISNUMBER(SEARCH("Korea Republic",S1101)),"South Korea",
ISNUMBER(SEARCH("Germany FR",S1101)),"FR Germany",
ISNUMBER(SEARCH("West Germany",S1101)),"FR Germany",
ISNUMBER(SEARCH("Germany DR",S1101)),"DR Germany",
ISNUMBER(SEARCH("Korea DPR",S1101)),"North Korea",
ISNUMBER(SEARCH("China PR",S1101)),"China",
ISNUMBER(SEARCH("IR Iran",S1101)),"Iran",
ISNUMBER(SEARCH("Congo DR",S1101)),"Democratic Republic of the Congo",
ISNUMBER(SEARCH("DR Congo",S1101)),"Democratic Republic of the Congo",
ISNUMBER(SEARCH("German DR",S1101)),"DR Germany",
ISNUMBER(SEARCH("rn""&gt;United Arab Emirates",S1101)),"United Arab Emirates",
ISNUMBER(SEARCH("rn""&gt;Republic of Ireland",S1101)),"Ireland",
ISNUMBER(SEARCH("rn""&gt;Bosnia and Herzegovina",S1101)),"Bosnia and Herzegovina",
ISNUMBER(SEARCH("rn""&gt;Trinidad and Tobago",S1101)),"Trinidad and Tobago",
ISNUMBER(SEARCH("rn""&gt;Serbia and Montenegro",S1101)),"Serbia and Montenegro",
ISNUMBER(SEARCH(_xlfn.UNICHAR(65533),S1101)),"Côte d'Ivoire",
TRUE,""
)</f>
        <v/>
      </c>
      <c r="W1101" s="30" t="str">
        <f t="shared" si="92"/>
        <v>Netherlands</v>
      </c>
      <c r="AE1101" s="42">
        <v>2026</v>
      </c>
      <c r="AK1101" s="42">
        <v>1</v>
      </c>
      <c r="AL1101" s="42">
        <v>4</v>
      </c>
    </row>
    <row r="1102" spans="2:38">
      <c r="B1102" s="75">
        <v>665</v>
      </c>
      <c r="C1102" s="15" t="str">
        <v>Marwan Attia</v>
      </c>
      <c r="D1102" s="15">
        <v>27</v>
      </c>
      <c r="E1102" s="15" t="str">
        <v>Egypt</v>
      </c>
      <c r="F1102" s="15" t="str">
        <v>CDM</v>
      </c>
      <c r="G1102" s="15" t="str">
        <v>Al Ahly</v>
      </c>
      <c r="H1102" s="15">
        <v>19</v>
      </c>
      <c r="I1102" s="15" t="str">
        <f t="shared" si="94"/>
        <v>665|Marwan Attia|27|Egypt|CDM|Al Ahly|19</v>
      </c>
      <c r="J1102" s="15" t="str">
        <f>IF(COUNTIF(I$438:I1102,I1102)&gt;1,"DOUBLON","OK")</f>
        <v>OK</v>
      </c>
      <c r="S1102" s="30" t="str">
        <v>Australia</v>
      </c>
      <c r="T1102" s="30" t="str">
        <f t="shared" si="95"/>
        <v>OK</v>
      </c>
      <c r="U1102" s="30" t="str">
        <f t="shared" si="96"/>
        <v>-</v>
      </c>
      <c r="V1102" s="30" t="str" cm="1">
        <f t="array" ref="V1102">_xlfn.IFS(
ISNUMBER(SEARCH("USA",S1102)),"United States",
ISNUMBER(SEARCH("Republic of Korea",S1102)),"South Korea",
ISNUMBER(SEARCH("Cape Verde",S1102)),"Cabo Verde",
ISNUMBER(SEARCH("Czechia",S1102)),"Czech Republic",
ISNUMBER(SEARCH("Türkiye",S1102)),"Turkey",
ISNUMBER(SEARCH("Ivory Coast",S1102)),"Côte d'Ivoire",
ISNUMBER(SEARCH("Korea Republic",S1102)),"South Korea",
ISNUMBER(SEARCH("Germany FR",S1102)),"FR Germany",
ISNUMBER(SEARCH("West Germany",S1102)),"FR Germany",
ISNUMBER(SEARCH("Germany DR",S1102)),"DR Germany",
ISNUMBER(SEARCH("Korea DPR",S1102)),"North Korea",
ISNUMBER(SEARCH("China PR",S1102)),"China",
ISNUMBER(SEARCH("IR Iran",S1102)),"Iran",
ISNUMBER(SEARCH("Congo DR",S1102)),"Democratic Republic of the Congo",
ISNUMBER(SEARCH("DR Congo",S1102)),"Democratic Republic of the Congo",
ISNUMBER(SEARCH("German DR",S1102)),"DR Germany",
ISNUMBER(SEARCH("rn""&gt;United Arab Emirates",S1102)),"United Arab Emirates",
ISNUMBER(SEARCH("rn""&gt;Republic of Ireland",S1102)),"Ireland",
ISNUMBER(SEARCH("rn""&gt;Bosnia and Herzegovina",S1102)),"Bosnia and Herzegovina",
ISNUMBER(SEARCH("rn""&gt;Trinidad and Tobago",S1102)),"Trinidad and Tobago",
ISNUMBER(SEARCH("rn""&gt;Serbia and Montenegro",S1102)),"Serbia and Montenegro",
ISNUMBER(SEARCH(_xlfn.UNICHAR(65533),S1102)),"Côte d'Ivoire",
TRUE,""
)</f>
        <v/>
      </c>
      <c r="W1102" s="30" t="str">
        <f t="shared" ref="W1102:W1118" si="97">IF(V1102="",S1102,V1102)</f>
        <v>Australia</v>
      </c>
      <c r="AE1102" s="42">
        <v>2026</v>
      </c>
      <c r="AK1102" s="42">
        <v>5</v>
      </c>
      <c r="AL1102" s="42">
        <v>0</v>
      </c>
    </row>
    <row r="1103" spans="2:38">
      <c r="B1103" s="75">
        <v>666</v>
      </c>
      <c r="C1103" s="15" t="str">
        <v>Emam Ashour</v>
      </c>
      <c r="D1103" s="15">
        <v>28</v>
      </c>
      <c r="E1103" s="15" t="str">
        <v>Egypt</v>
      </c>
      <c r="F1103" s="15" t="str">
        <v>CM</v>
      </c>
      <c r="G1103" s="15" t="str">
        <v>Al Ahly</v>
      </c>
      <c r="H1103" s="15">
        <v>8</v>
      </c>
      <c r="I1103" s="15" t="str">
        <f t="shared" si="94"/>
        <v>666|Emam Ashour|28|Egypt|CM|Al Ahly|8</v>
      </c>
      <c r="J1103" s="15" t="str">
        <f>IF(COUNTIF(I$438:I1103,I1103)&gt;1,"DOUBLON","OK")</f>
        <v>OK</v>
      </c>
      <c r="S1103" s="30" t="str">
        <v>Egypt</v>
      </c>
      <c r="T1103" s="30" t="str">
        <f t="shared" si="95"/>
        <v>OK</v>
      </c>
      <c r="U1103" s="30" t="str">
        <f t="shared" si="96"/>
        <v>-</v>
      </c>
      <c r="V1103" s="30" t="str" cm="1">
        <f t="array" ref="V1103">_xlfn.IFS(
ISNUMBER(SEARCH("USA",S1103)),"United States",
ISNUMBER(SEARCH("Republic of Korea",S1103)),"South Korea",
ISNUMBER(SEARCH("Cape Verde",S1103)),"Cabo Verde",
ISNUMBER(SEARCH("Czechia",S1103)),"Czech Republic",
ISNUMBER(SEARCH("Türkiye",S1103)),"Turkey",
ISNUMBER(SEARCH("Ivory Coast",S1103)),"Côte d'Ivoire",
ISNUMBER(SEARCH("Korea Republic",S1103)),"South Korea",
ISNUMBER(SEARCH("Germany FR",S1103)),"FR Germany",
ISNUMBER(SEARCH("West Germany",S1103)),"FR Germany",
ISNUMBER(SEARCH("Germany DR",S1103)),"DR Germany",
ISNUMBER(SEARCH("Korea DPR",S1103)),"North Korea",
ISNUMBER(SEARCH("China PR",S1103)),"China",
ISNUMBER(SEARCH("IR Iran",S1103)),"Iran",
ISNUMBER(SEARCH("Congo DR",S1103)),"Democratic Republic of the Congo",
ISNUMBER(SEARCH("DR Congo",S1103)),"Democratic Republic of the Congo",
ISNUMBER(SEARCH("German DR",S1103)),"DR Germany",
ISNUMBER(SEARCH("rn""&gt;United Arab Emirates",S1103)),"United Arab Emirates",
ISNUMBER(SEARCH("rn""&gt;Republic of Ireland",S1103)),"Ireland",
ISNUMBER(SEARCH("rn""&gt;Bosnia and Herzegovina",S1103)),"Bosnia and Herzegovina",
ISNUMBER(SEARCH("rn""&gt;Trinidad and Tobago",S1103)),"Trinidad and Tobago",
ISNUMBER(SEARCH("rn""&gt;Serbia and Montenegro",S1103)),"Serbia and Montenegro",
ISNUMBER(SEARCH(_xlfn.UNICHAR(65533),S1103)),"Côte d'Ivoire",
TRUE,""
)</f>
        <v/>
      </c>
      <c r="W1103" s="30" t="str">
        <f t="shared" si="97"/>
        <v>Egypt</v>
      </c>
      <c r="AE1103" s="42">
        <v>2026</v>
      </c>
      <c r="AK1103" s="42">
        <v>0</v>
      </c>
      <c r="AL1103" s="42">
        <v>0</v>
      </c>
    </row>
    <row r="1104" spans="2:38">
      <c r="B1104" s="75">
        <v>667</v>
      </c>
      <c r="C1104" s="15" t="str">
        <v>Mohanad Lasheen</v>
      </c>
      <c r="D1104" s="15">
        <v>30</v>
      </c>
      <c r="E1104" s="15" t="str">
        <v>Egypt</v>
      </c>
      <c r="F1104" s="15" t="str">
        <v>CM</v>
      </c>
      <c r="G1104" s="15" t="str">
        <v>Pyramids</v>
      </c>
      <c r="H1104" s="15">
        <v>17</v>
      </c>
      <c r="I1104" s="15" t="str">
        <f t="shared" si="94"/>
        <v>667|Mohanad Lasheen|30|Egypt|CM|Pyramids|17</v>
      </c>
      <c r="J1104" s="15" t="str">
        <f>IF(COUNTIF(I$438:I1104,I1104)&gt;1,"DOUBLON","OK")</f>
        <v>OK</v>
      </c>
      <c r="S1104" s="30" t="str">
        <v>Australia</v>
      </c>
      <c r="T1104" s="30" t="str">
        <f t="shared" si="95"/>
        <v>OK</v>
      </c>
      <c r="U1104" s="30" t="str">
        <f t="shared" si="96"/>
        <v>-</v>
      </c>
      <c r="V1104" s="30" t="str" cm="1">
        <f t="array" ref="V1104">_xlfn.IFS(
ISNUMBER(SEARCH("USA",S1104)),"United States",
ISNUMBER(SEARCH("Republic of Korea",S1104)),"South Korea",
ISNUMBER(SEARCH("Cape Verde",S1104)),"Cabo Verde",
ISNUMBER(SEARCH("Czechia",S1104)),"Czech Republic",
ISNUMBER(SEARCH("Türkiye",S1104)),"Turkey",
ISNUMBER(SEARCH("Ivory Coast",S1104)),"Côte d'Ivoire",
ISNUMBER(SEARCH("Korea Republic",S1104)),"South Korea",
ISNUMBER(SEARCH("Germany FR",S1104)),"FR Germany",
ISNUMBER(SEARCH("West Germany",S1104)),"FR Germany",
ISNUMBER(SEARCH("Germany DR",S1104)),"DR Germany",
ISNUMBER(SEARCH("Korea DPR",S1104)),"North Korea",
ISNUMBER(SEARCH("China PR",S1104)),"China",
ISNUMBER(SEARCH("IR Iran",S1104)),"Iran",
ISNUMBER(SEARCH("Congo DR",S1104)),"Democratic Republic of the Congo",
ISNUMBER(SEARCH("DR Congo",S1104)),"Democratic Republic of the Congo",
ISNUMBER(SEARCH("German DR",S1104)),"DR Germany",
ISNUMBER(SEARCH("rn""&gt;United Arab Emirates",S1104)),"United Arab Emirates",
ISNUMBER(SEARCH("rn""&gt;Republic of Ireland",S1104)),"Ireland",
ISNUMBER(SEARCH("rn""&gt;Bosnia and Herzegovina",S1104)),"Bosnia and Herzegovina",
ISNUMBER(SEARCH("rn""&gt;Trinidad and Tobago",S1104)),"Trinidad and Tobago",
ISNUMBER(SEARCH("rn""&gt;Serbia and Montenegro",S1104)),"Serbia and Montenegro",
ISNUMBER(SEARCH(_xlfn.UNICHAR(65533),S1104)),"Côte d'Ivoire",
TRUE,""
)</f>
        <v/>
      </c>
      <c r="W1104" s="30" t="str">
        <f t="shared" si="97"/>
        <v>Australia</v>
      </c>
      <c r="AE1104" s="42">
        <v>2026</v>
      </c>
      <c r="AK1104" s="42">
        <v>0</v>
      </c>
      <c r="AL1104" s="42">
        <v>1</v>
      </c>
    </row>
    <row r="1105" spans="2:38">
      <c r="B1105" s="75">
        <v>668</v>
      </c>
      <c r="C1105" s="15" t="str">
        <v>Mostafa Ziko</v>
      </c>
      <c r="D1105" s="15">
        <v>29</v>
      </c>
      <c r="E1105" s="15" t="str">
        <v>Egypt</v>
      </c>
      <c r="F1105" s="15" t="str">
        <v>CAM</v>
      </c>
      <c r="G1105" s="15" t="str">
        <v>Pyramids</v>
      </c>
      <c r="H1105" s="15">
        <v>11</v>
      </c>
      <c r="I1105" s="15" t="str">
        <f t="shared" si="94"/>
        <v>668|Mostafa Ziko|29|Egypt|CAM|Pyramids|11</v>
      </c>
      <c r="J1105" s="15" t="str">
        <f>IF(COUNTIF(I$438:I1105,I1105)&gt;1,"DOUBLON","OK")</f>
        <v>OK</v>
      </c>
      <c r="S1105" s="30" t="str">
        <v>Egypt</v>
      </c>
      <c r="T1105" s="30" t="str">
        <f t="shared" si="95"/>
        <v>OK</v>
      </c>
      <c r="U1105" s="30" t="str">
        <f t="shared" si="96"/>
        <v>-</v>
      </c>
      <c r="V1105" s="30" t="str" cm="1">
        <f t="array" ref="V1105">_xlfn.IFS(
ISNUMBER(SEARCH("USA",S1105)),"United States",
ISNUMBER(SEARCH("Republic of Korea",S1105)),"South Korea",
ISNUMBER(SEARCH("Cape Verde",S1105)),"Cabo Verde",
ISNUMBER(SEARCH("Czechia",S1105)),"Czech Republic",
ISNUMBER(SEARCH("Türkiye",S1105)),"Turkey",
ISNUMBER(SEARCH("Ivory Coast",S1105)),"Côte d'Ivoire",
ISNUMBER(SEARCH("Korea Republic",S1105)),"South Korea",
ISNUMBER(SEARCH("Germany FR",S1105)),"FR Germany",
ISNUMBER(SEARCH("West Germany",S1105)),"FR Germany",
ISNUMBER(SEARCH("Germany DR",S1105)),"DR Germany",
ISNUMBER(SEARCH("Korea DPR",S1105)),"North Korea",
ISNUMBER(SEARCH("China PR",S1105)),"China",
ISNUMBER(SEARCH("IR Iran",S1105)),"Iran",
ISNUMBER(SEARCH("Congo DR",S1105)),"Democratic Republic of the Congo",
ISNUMBER(SEARCH("DR Congo",S1105)),"Democratic Republic of the Congo",
ISNUMBER(SEARCH("German DR",S1105)),"DR Germany",
ISNUMBER(SEARCH("rn""&gt;United Arab Emirates",S1105)),"United Arab Emirates",
ISNUMBER(SEARCH("rn""&gt;Republic of Ireland",S1105)),"Ireland",
ISNUMBER(SEARCH("rn""&gt;Bosnia and Herzegovina",S1105)),"Bosnia and Herzegovina",
ISNUMBER(SEARCH("rn""&gt;Trinidad and Tobago",S1105)),"Trinidad and Tobago",
ISNUMBER(SEARCH("rn""&gt;Serbia and Montenegro",S1105)),"Serbia and Montenegro",
ISNUMBER(SEARCH(_xlfn.UNICHAR(65533),S1105)),"Côte d'Ivoire",
TRUE,""
)</f>
        <v/>
      </c>
      <c r="W1105" s="30" t="str">
        <f t="shared" si="97"/>
        <v>Egypt</v>
      </c>
      <c r="AE1105" s="42">
        <v>2026</v>
      </c>
      <c r="AK1105" s="42">
        <v>1</v>
      </c>
      <c r="AL1105" s="42">
        <v>5</v>
      </c>
    </row>
    <row r="1106" spans="2:38">
      <c r="B1106" s="75">
        <v>669</v>
      </c>
      <c r="C1106" s="15" t="str">
        <v>Mahmoud Saber</v>
      </c>
      <c r="D1106" s="15">
        <v>24</v>
      </c>
      <c r="E1106" s="15" t="str">
        <v>Egypt</v>
      </c>
      <c r="F1106" s="15" t="str">
        <v>CAM</v>
      </c>
      <c r="G1106" s="15" t="str">
        <v>ZED</v>
      </c>
      <c r="H1106" s="15">
        <v>21</v>
      </c>
      <c r="I1106" s="15" t="str">
        <f t="shared" si="94"/>
        <v>669|Mahmoud Saber|24|Egypt|CAM|ZED|21</v>
      </c>
      <c r="J1106" s="15" t="str">
        <f>IF(COUNTIF(I$438:I1106,I1106)&gt;1,"DOUBLON","OK")</f>
        <v>OK</v>
      </c>
      <c r="S1106" s="30" t="str">
        <v>Australia</v>
      </c>
      <c r="T1106" s="30" t="str">
        <f t="shared" si="95"/>
        <v>OK</v>
      </c>
      <c r="U1106" s="30" t="str">
        <f t="shared" si="96"/>
        <v>-</v>
      </c>
      <c r="V1106" s="30" t="str" cm="1">
        <f t="array" ref="V1106">_xlfn.IFS(
ISNUMBER(SEARCH("USA",S1106)),"United States",
ISNUMBER(SEARCH("Republic of Korea",S1106)),"South Korea",
ISNUMBER(SEARCH("Cape Verde",S1106)),"Cabo Verde",
ISNUMBER(SEARCH("Czechia",S1106)),"Czech Republic",
ISNUMBER(SEARCH("Türkiye",S1106)),"Turkey",
ISNUMBER(SEARCH("Ivory Coast",S1106)),"Côte d'Ivoire",
ISNUMBER(SEARCH("Korea Republic",S1106)),"South Korea",
ISNUMBER(SEARCH("Germany FR",S1106)),"FR Germany",
ISNUMBER(SEARCH("West Germany",S1106)),"FR Germany",
ISNUMBER(SEARCH("Germany DR",S1106)),"DR Germany",
ISNUMBER(SEARCH("Korea DPR",S1106)),"North Korea",
ISNUMBER(SEARCH("China PR",S1106)),"China",
ISNUMBER(SEARCH("IR Iran",S1106)),"Iran",
ISNUMBER(SEARCH("Congo DR",S1106)),"Democratic Republic of the Congo",
ISNUMBER(SEARCH("DR Congo",S1106)),"Democratic Republic of the Congo",
ISNUMBER(SEARCH("German DR",S1106)),"DR Germany",
ISNUMBER(SEARCH("rn""&gt;United Arab Emirates",S1106)),"United Arab Emirates",
ISNUMBER(SEARCH("rn""&gt;Republic of Ireland",S1106)),"Ireland",
ISNUMBER(SEARCH("rn""&gt;Bosnia and Herzegovina",S1106)),"Bosnia and Herzegovina",
ISNUMBER(SEARCH("rn""&gt;Trinidad and Tobago",S1106)),"Trinidad and Tobago",
ISNUMBER(SEARCH("rn""&gt;Serbia and Montenegro",S1106)),"Serbia and Montenegro",
ISNUMBER(SEARCH(_xlfn.UNICHAR(65533),S1106)),"Côte d'Ivoire",
TRUE,""
)</f>
        <v/>
      </c>
      <c r="W1106" s="30" t="str">
        <f t="shared" si="97"/>
        <v>Australia</v>
      </c>
      <c r="AE1106" s="42">
        <v>2026</v>
      </c>
      <c r="AK1106" s="42">
        <v>1</v>
      </c>
      <c r="AL1106" s="42">
        <v>1</v>
      </c>
    </row>
    <row r="1107" spans="2:38">
      <c r="B1107" s="75">
        <v>670</v>
      </c>
      <c r="C1107" s="15" t="str">
        <v>Trézéguet</v>
      </c>
      <c r="D1107" s="15">
        <v>31</v>
      </c>
      <c r="E1107" s="15" t="str">
        <v>Egypt</v>
      </c>
      <c r="F1107" s="15" t="str">
        <v>LW</v>
      </c>
      <c r="G1107" s="15" t="str">
        <v>Al Ahly</v>
      </c>
      <c r="H1107" s="15">
        <v>7</v>
      </c>
      <c r="I1107" s="15" t="str">
        <f t="shared" si="94"/>
        <v>670|Trézéguet|31|Egypt|LW|Al Ahly|7</v>
      </c>
      <c r="J1107" s="15" t="str">
        <f>IF(COUNTIF(I$438:I1107,I1107)&gt;1,"DOUBLON","OK")</f>
        <v>OK</v>
      </c>
      <c r="S1107" s="30" t="str">
        <v>Egypt</v>
      </c>
      <c r="T1107" s="30" t="str">
        <f t="shared" si="95"/>
        <v>OK</v>
      </c>
      <c r="U1107" s="30" t="str">
        <f t="shared" si="96"/>
        <v>-</v>
      </c>
      <c r="V1107" s="30" t="str" cm="1">
        <f t="array" ref="V1107">_xlfn.IFS(
ISNUMBER(SEARCH("USA",S1107)),"United States",
ISNUMBER(SEARCH("Republic of Korea",S1107)),"South Korea",
ISNUMBER(SEARCH("Cape Verde",S1107)),"Cabo Verde",
ISNUMBER(SEARCH("Czechia",S1107)),"Czech Republic",
ISNUMBER(SEARCH("Türkiye",S1107)),"Turkey",
ISNUMBER(SEARCH("Ivory Coast",S1107)),"Côte d'Ivoire",
ISNUMBER(SEARCH("Korea Republic",S1107)),"South Korea",
ISNUMBER(SEARCH("Germany FR",S1107)),"FR Germany",
ISNUMBER(SEARCH("West Germany",S1107)),"FR Germany",
ISNUMBER(SEARCH("Germany DR",S1107)),"DR Germany",
ISNUMBER(SEARCH("Korea DPR",S1107)),"North Korea",
ISNUMBER(SEARCH("China PR",S1107)),"China",
ISNUMBER(SEARCH("IR Iran",S1107)),"Iran",
ISNUMBER(SEARCH("Congo DR",S1107)),"Democratic Republic of the Congo",
ISNUMBER(SEARCH("DR Congo",S1107)),"Democratic Republic of the Congo",
ISNUMBER(SEARCH("German DR",S1107)),"DR Germany",
ISNUMBER(SEARCH("rn""&gt;United Arab Emirates",S1107)),"United Arab Emirates",
ISNUMBER(SEARCH("rn""&gt;Republic of Ireland",S1107)),"Ireland",
ISNUMBER(SEARCH("rn""&gt;Bosnia and Herzegovina",S1107)),"Bosnia and Herzegovina",
ISNUMBER(SEARCH("rn""&gt;Trinidad and Tobago",S1107)),"Trinidad and Tobago",
ISNUMBER(SEARCH("rn""&gt;Serbia and Montenegro",S1107)),"Serbia and Montenegro",
ISNUMBER(SEARCH(_xlfn.UNICHAR(65533),S1107)),"Côte d'Ivoire",
TRUE,""
)</f>
        <v/>
      </c>
      <c r="W1107" s="30" t="str">
        <f t="shared" si="97"/>
        <v>Egypt</v>
      </c>
      <c r="AE1107" s="42">
        <v>2026</v>
      </c>
      <c r="AK1107" s="42">
        <v>0</v>
      </c>
      <c r="AL1107" s="42">
        <v>2</v>
      </c>
    </row>
    <row r="1108" spans="2:38">
      <c r="B1108" s="75">
        <v>671</v>
      </c>
      <c r="C1108" s="15" t="str">
        <v>Haissem Hassan</v>
      </c>
      <c r="D1108" s="15">
        <v>24</v>
      </c>
      <c r="E1108" s="15" t="str">
        <v>Egypt</v>
      </c>
      <c r="F1108" s="15" t="str">
        <v>LW</v>
      </c>
      <c r="G1108" s="15" t="str">
        <v>Oviedo</v>
      </c>
      <c r="H1108" s="15">
        <v>12</v>
      </c>
      <c r="I1108" s="15" t="str">
        <f t="shared" si="94"/>
        <v>671|Haissem Hassan|24|Egypt|LW|Oviedo|12</v>
      </c>
      <c r="J1108" s="15" t="str">
        <f>IF(COUNTIF(I$438:I1108,I1108)&gt;1,"DOUBLON","OK")</f>
        <v>OK</v>
      </c>
      <c r="S1108" s="30" t="str">
        <v>Australia</v>
      </c>
      <c r="T1108" s="30" t="str">
        <f t="shared" si="95"/>
        <v>OK</v>
      </c>
      <c r="U1108" s="30" t="str">
        <f t="shared" si="96"/>
        <v>-</v>
      </c>
      <c r="V1108" s="30" t="str" cm="1">
        <f t="array" ref="V1108">_xlfn.IFS(
ISNUMBER(SEARCH("USA",S1108)),"United States",
ISNUMBER(SEARCH("Republic of Korea",S1108)),"South Korea",
ISNUMBER(SEARCH("Cape Verde",S1108)),"Cabo Verde",
ISNUMBER(SEARCH("Czechia",S1108)),"Czech Republic",
ISNUMBER(SEARCH("Türkiye",S1108)),"Turkey",
ISNUMBER(SEARCH("Ivory Coast",S1108)),"Côte d'Ivoire",
ISNUMBER(SEARCH("Korea Republic",S1108)),"South Korea",
ISNUMBER(SEARCH("Germany FR",S1108)),"FR Germany",
ISNUMBER(SEARCH("West Germany",S1108)),"FR Germany",
ISNUMBER(SEARCH("Germany DR",S1108)),"DR Germany",
ISNUMBER(SEARCH("Korea DPR",S1108)),"North Korea",
ISNUMBER(SEARCH("China PR",S1108)),"China",
ISNUMBER(SEARCH("IR Iran",S1108)),"Iran",
ISNUMBER(SEARCH("Congo DR",S1108)),"Democratic Republic of the Congo",
ISNUMBER(SEARCH("DR Congo",S1108)),"Democratic Republic of the Congo",
ISNUMBER(SEARCH("German DR",S1108)),"DR Germany",
ISNUMBER(SEARCH("rn""&gt;United Arab Emirates",S1108)),"United Arab Emirates",
ISNUMBER(SEARCH("rn""&gt;Republic of Ireland",S1108)),"Ireland",
ISNUMBER(SEARCH("rn""&gt;Bosnia and Herzegovina",S1108)),"Bosnia and Herzegovina",
ISNUMBER(SEARCH("rn""&gt;Trinidad and Tobago",S1108)),"Trinidad and Tobago",
ISNUMBER(SEARCH("rn""&gt;Serbia and Montenegro",S1108)),"Serbia and Montenegro",
ISNUMBER(SEARCH(_xlfn.UNICHAR(65533),S1108)),"Côte d'Ivoire",
TRUE,""
)</f>
        <v/>
      </c>
      <c r="W1108" s="30" t="str">
        <f t="shared" si="97"/>
        <v>Australia</v>
      </c>
      <c r="AE1108" s="42">
        <v>2026</v>
      </c>
      <c r="AK1108" s="42">
        <v>2</v>
      </c>
      <c r="AL1108" s="42">
        <v>1</v>
      </c>
    </row>
    <row r="1109" spans="2:38">
      <c r="B1109" s="75">
        <v>672</v>
      </c>
      <c r="C1109" s="15" t="str">
        <v>Ibrahim Adel</v>
      </c>
      <c r="D1109" s="15">
        <v>25</v>
      </c>
      <c r="E1109" s="15" t="str">
        <v>Egypt</v>
      </c>
      <c r="F1109" s="15" t="str">
        <v>LW</v>
      </c>
      <c r="G1109" s="15" t="str">
        <v>Nordsjælland</v>
      </c>
      <c r="H1109" s="15">
        <v>20</v>
      </c>
      <c r="I1109" s="15" t="str">
        <f t="shared" si="94"/>
        <v>672|Ibrahim Adel|25|Egypt|LW|Nordsjælland|20</v>
      </c>
      <c r="J1109" s="15" t="str">
        <f>IF(COUNTIF(I$438:I1109,I1109)&gt;1,"DOUBLON","OK")</f>
        <v>OK</v>
      </c>
      <c r="S1109" s="30" t="str">
        <v>Egypt</v>
      </c>
      <c r="T1109" s="30" t="str">
        <f t="shared" si="95"/>
        <v>OK</v>
      </c>
      <c r="U1109" s="30" t="str">
        <f t="shared" si="96"/>
        <v>-</v>
      </c>
      <c r="V1109" s="30" t="str" cm="1">
        <f t="array" ref="V1109">_xlfn.IFS(
ISNUMBER(SEARCH("USA",S1109)),"United States",
ISNUMBER(SEARCH("Republic of Korea",S1109)),"South Korea",
ISNUMBER(SEARCH("Cape Verde",S1109)),"Cabo Verde",
ISNUMBER(SEARCH("Czechia",S1109)),"Czech Republic",
ISNUMBER(SEARCH("Türkiye",S1109)),"Turkey",
ISNUMBER(SEARCH("Ivory Coast",S1109)),"Côte d'Ivoire",
ISNUMBER(SEARCH("Korea Republic",S1109)),"South Korea",
ISNUMBER(SEARCH("Germany FR",S1109)),"FR Germany",
ISNUMBER(SEARCH("West Germany",S1109)),"FR Germany",
ISNUMBER(SEARCH("Germany DR",S1109)),"DR Germany",
ISNUMBER(SEARCH("Korea DPR",S1109)),"North Korea",
ISNUMBER(SEARCH("China PR",S1109)),"China",
ISNUMBER(SEARCH("IR Iran",S1109)),"Iran",
ISNUMBER(SEARCH("Congo DR",S1109)),"Democratic Republic of the Congo",
ISNUMBER(SEARCH("DR Congo",S1109)),"Democratic Republic of the Congo",
ISNUMBER(SEARCH("German DR",S1109)),"DR Germany",
ISNUMBER(SEARCH("rn""&gt;United Arab Emirates",S1109)),"United Arab Emirates",
ISNUMBER(SEARCH("rn""&gt;Republic of Ireland",S1109)),"Ireland",
ISNUMBER(SEARCH("rn""&gt;Bosnia and Herzegovina",S1109)),"Bosnia and Herzegovina",
ISNUMBER(SEARCH("rn""&gt;Trinidad and Tobago",S1109)),"Trinidad and Tobago",
ISNUMBER(SEARCH("rn""&gt;Serbia and Montenegro",S1109)),"Serbia and Montenegro",
ISNUMBER(SEARCH(_xlfn.UNICHAR(65533),S1109)),"Côte d'Ivoire",
TRUE,""
)</f>
        <v/>
      </c>
      <c r="W1109" s="30" t="str">
        <f t="shared" si="97"/>
        <v>Egypt</v>
      </c>
      <c r="AE1109" s="42">
        <v>2026</v>
      </c>
      <c r="AK1109" s="42">
        <v>0</v>
      </c>
      <c r="AL1109" s="42">
        <v>1</v>
      </c>
    </row>
    <row r="1110" spans="2:38">
      <c r="B1110" s="75">
        <v>673</v>
      </c>
      <c r="C1110" s="15" t="str">
        <v>Mohamed Salah</v>
      </c>
      <c r="D1110" s="15">
        <v>33</v>
      </c>
      <c r="E1110" s="15" t="str">
        <v>Egypt</v>
      </c>
      <c r="F1110" s="15" t="str">
        <v>RW</v>
      </c>
      <c r="G1110" s="15" t="str">
        <v>Liverpool</v>
      </c>
      <c r="H1110" s="15">
        <v>10</v>
      </c>
      <c r="I1110" s="15" t="str">
        <f t="shared" si="94"/>
        <v>673|Mohamed Salah|33|Egypt|RW|Liverpool|10</v>
      </c>
      <c r="J1110" s="15" t="str">
        <f>IF(COUNTIF(I$438:I1110,I1110)&gt;1,"DOUBLON","OK")</f>
        <v>OK</v>
      </c>
      <c r="S1110" s="30" t="str">
        <v>Switzerland</v>
      </c>
      <c r="T1110" s="30" t="str">
        <f t="shared" si="95"/>
        <v>OK</v>
      </c>
      <c r="U1110" s="30" t="str">
        <f t="shared" si="96"/>
        <v>-</v>
      </c>
      <c r="V1110" s="30" t="str" cm="1">
        <f t="array" ref="V1110">_xlfn.IFS(
ISNUMBER(SEARCH("USA",S1110)),"United States",
ISNUMBER(SEARCH("Republic of Korea",S1110)),"South Korea",
ISNUMBER(SEARCH("Cape Verde",S1110)),"Cabo Verde",
ISNUMBER(SEARCH("Czechia",S1110)),"Czech Republic",
ISNUMBER(SEARCH("Türkiye",S1110)),"Turkey",
ISNUMBER(SEARCH("Ivory Coast",S1110)),"Côte d'Ivoire",
ISNUMBER(SEARCH("Korea Republic",S1110)),"South Korea",
ISNUMBER(SEARCH("Germany FR",S1110)),"FR Germany",
ISNUMBER(SEARCH("West Germany",S1110)),"FR Germany",
ISNUMBER(SEARCH("Germany DR",S1110)),"DR Germany",
ISNUMBER(SEARCH("Korea DPR",S1110)),"North Korea",
ISNUMBER(SEARCH("China PR",S1110)),"China",
ISNUMBER(SEARCH("IR Iran",S1110)),"Iran",
ISNUMBER(SEARCH("Congo DR",S1110)),"Democratic Republic of the Congo",
ISNUMBER(SEARCH("DR Congo",S1110)),"Democratic Republic of the Congo",
ISNUMBER(SEARCH("German DR",S1110)),"DR Germany",
ISNUMBER(SEARCH("rn""&gt;United Arab Emirates",S1110)),"United Arab Emirates",
ISNUMBER(SEARCH("rn""&gt;Republic of Ireland",S1110)),"Ireland",
ISNUMBER(SEARCH("rn""&gt;Bosnia and Herzegovina",S1110)),"Bosnia and Herzegovina",
ISNUMBER(SEARCH("rn""&gt;Trinidad and Tobago",S1110)),"Trinidad and Tobago",
ISNUMBER(SEARCH("rn""&gt;Serbia and Montenegro",S1110)),"Serbia and Montenegro",
ISNUMBER(SEARCH(_xlfn.UNICHAR(65533),S1110)),"Côte d'Ivoire",
TRUE,""
)</f>
        <v/>
      </c>
      <c r="W1110" s="30" t="str">
        <f t="shared" si="97"/>
        <v>Switzerland</v>
      </c>
      <c r="AE1110" s="42">
        <v>2026</v>
      </c>
      <c r="AK1110" s="42">
        <v>1</v>
      </c>
      <c r="AL1110" s="42">
        <v>1</v>
      </c>
    </row>
    <row r="1111" spans="2:38">
      <c r="B1111" s="75">
        <v>674</v>
      </c>
      <c r="C1111" s="15" t="str">
        <v>Zizo</v>
      </c>
      <c r="D1111" s="15">
        <v>30</v>
      </c>
      <c r="E1111" s="15" t="str">
        <v>Egypt</v>
      </c>
      <c r="F1111" s="15" t="str">
        <v>RW</v>
      </c>
      <c r="G1111" s="15" t="str">
        <v>Al Ahly</v>
      </c>
      <c r="H1111" s="15">
        <v>25</v>
      </c>
      <c r="I1111" s="15" t="str">
        <f t="shared" si="94"/>
        <v>674|Zizo|30|Egypt|RW|Al Ahly|25</v>
      </c>
      <c r="J1111" s="15" t="str">
        <f>IF(COUNTIF(I$438:I1111,I1111)&gt;1,"DOUBLON","OK")</f>
        <v>OK</v>
      </c>
      <c r="S1111" s="30" t="str">
        <v>Colombia</v>
      </c>
      <c r="T1111" s="30" t="str">
        <f t="shared" si="95"/>
        <v>OK</v>
      </c>
      <c r="U1111" s="30" t="str">
        <f t="shared" si="96"/>
        <v>-</v>
      </c>
      <c r="V1111" s="30" t="str" cm="1">
        <f t="array" ref="V1111">_xlfn.IFS(
ISNUMBER(SEARCH("USA",S1111)),"United States",
ISNUMBER(SEARCH("Republic of Korea",S1111)),"South Korea",
ISNUMBER(SEARCH("Cape Verde",S1111)),"Cabo Verde",
ISNUMBER(SEARCH("Czechia",S1111)),"Czech Republic",
ISNUMBER(SEARCH("Türkiye",S1111)),"Turkey",
ISNUMBER(SEARCH("Ivory Coast",S1111)),"Côte d'Ivoire",
ISNUMBER(SEARCH("Korea Republic",S1111)),"South Korea",
ISNUMBER(SEARCH("Germany FR",S1111)),"FR Germany",
ISNUMBER(SEARCH("West Germany",S1111)),"FR Germany",
ISNUMBER(SEARCH("Germany DR",S1111)),"DR Germany",
ISNUMBER(SEARCH("Korea DPR",S1111)),"North Korea",
ISNUMBER(SEARCH("China PR",S1111)),"China",
ISNUMBER(SEARCH("IR Iran",S1111)),"Iran",
ISNUMBER(SEARCH("Congo DR",S1111)),"Democratic Republic of the Congo",
ISNUMBER(SEARCH("DR Congo",S1111)),"Democratic Republic of the Congo",
ISNUMBER(SEARCH("German DR",S1111)),"DR Germany",
ISNUMBER(SEARCH("rn""&gt;United Arab Emirates",S1111)),"United Arab Emirates",
ISNUMBER(SEARCH("rn""&gt;Republic of Ireland",S1111)),"Ireland",
ISNUMBER(SEARCH("rn""&gt;Bosnia and Herzegovina",S1111)),"Bosnia and Herzegovina",
ISNUMBER(SEARCH("rn""&gt;Trinidad and Tobago",S1111)),"Trinidad and Tobago",
ISNUMBER(SEARCH("rn""&gt;Serbia and Montenegro",S1111)),"Serbia and Montenegro",
ISNUMBER(SEARCH(_xlfn.UNICHAR(65533),S1111)),"Côte d'Ivoire",
TRUE,""
)</f>
        <v/>
      </c>
      <c r="W1111" s="30" t="str">
        <f t="shared" si="97"/>
        <v>Colombia</v>
      </c>
      <c r="AE1111" s="42">
        <v>2026</v>
      </c>
      <c r="AK1111" s="42">
        <v>1</v>
      </c>
      <c r="AL1111" s="42">
        <v>1</v>
      </c>
    </row>
    <row r="1112" spans="2:38">
      <c r="B1112" s="75">
        <v>675</v>
      </c>
      <c r="C1112" s="15" t="str">
        <v>Hamza Abdelkarim</v>
      </c>
      <c r="D1112" s="15">
        <v>18</v>
      </c>
      <c r="E1112" s="15" t="str">
        <v>Egypt</v>
      </c>
      <c r="F1112" s="15" t="str">
        <v>ST</v>
      </c>
      <c r="G1112" s="15" t="str">
        <v>Barcelona B</v>
      </c>
      <c r="H1112" s="15">
        <v>9</v>
      </c>
      <c r="I1112" s="15" t="str">
        <f t="shared" si="94"/>
        <v>675|Hamza Abdelkarim|18|Egypt|ST|Barcelona B|9</v>
      </c>
      <c r="J1112" s="15" t="str">
        <f>IF(COUNTIF(I$438:I1112,I1112)&gt;1,"DOUBLON","OK")</f>
        <v>OK</v>
      </c>
      <c r="S1112" s="30" t="str">
        <v>Switzerland</v>
      </c>
      <c r="T1112" s="30" t="str">
        <f t="shared" si="95"/>
        <v>OK</v>
      </c>
      <c r="U1112" s="30" t="str">
        <f t="shared" si="96"/>
        <v>-</v>
      </c>
      <c r="V1112" s="30" t="str" cm="1">
        <f t="array" ref="V1112">_xlfn.IFS(
ISNUMBER(SEARCH("USA",S1112)),"United States",
ISNUMBER(SEARCH("Republic of Korea",S1112)),"South Korea",
ISNUMBER(SEARCH("Cape Verde",S1112)),"Cabo Verde",
ISNUMBER(SEARCH("Czechia",S1112)),"Czech Republic",
ISNUMBER(SEARCH("Türkiye",S1112)),"Turkey",
ISNUMBER(SEARCH("Ivory Coast",S1112)),"Côte d'Ivoire",
ISNUMBER(SEARCH("Korea Republic",S1112)),"South Korea",
ISNUMBER(SEARCH("Germany FR",S1112)),"FR Germany",
ISNUMBER(SEARCH("West Germany",S1112)),"FR Germany",
ISNUMBER(SEARCH("Germany DR",S1112)),"DR Germany",
ISNUMBER(SEARCH("Korea DPR",S1112)),"North Korea",
ISNUMBER(SEARCH("China PR",S1112)),"China",
ISNUMBER(SEARCH("IR Iran",S1112)),"Iran",
ISNUMBER(SEARCH("Congo DR",S1112)),"Democratic Republic of the Congo",
ISNUMBER(SEARCH("DR Congo",S1112)),"Democratic Republic of the Congo",
ISNUMBER(SEARCH("German DR",S1112)),"DR Germany",
ISNUMBER(SEARCH("rn""&gt;United Arab Emirates",S1112)),"United Arab Emirates",
ISNUMBER(SEARCH("rn""&gt;Republic of Ireland",S1112)),"Ireland",
ISNUMBER(SEARCH("rn""&gt;Bosnia and Herzegovina",S1112)),"Bosnia and Herzegovina",
ISNUMBER(SEARCH("rn""&gt;Trinidad and Tobago",S1112)),"Trinidad and Tobago",
ISNUMBER(SEARCH("rn""&gt;Serbia and Montenegro",S1112)),"Serbia and Montenegro",
ISNUMBER(SEARCH(_xlfn.UNICHAR(65533),S1112)),"Côte d'Ivoire",
TRUE,""
)</f>
        <v/>
      </c>
      <c r="W1112" s="30" t="str">
        <f t="shared" si="97"/>
        <v>Switzerland</v>
      </c>
      <c r="AE1112" s="42">
        <v>2026</v>
      </c>
      <c r="AK1112" s="42">
        <v>2</v>
      </c>
      <c r="AL1112" s="42">
        <v>1</v>
      </c>
    </row>
    <row r="1113" spans="2:38">
      <c r="B1113" s="75">
        <v>676</v>
      </c>
      <c r="C1113" s="15" t="str">
        <v>Omar Marmoush</v>
      </c>
      <c r="D1113" s="15">
        <v>27</v>
      </c>
      <c r="E1113" s="15" t="str">
        <v>Egypt</v>
      </c>
      <c r="F1113" s="15" t="str">
        <v>ST</v>
      </c>
      <c r="G1113" s="15" t="str">
        <v>Manchester City</v>
      </c>
      <c r="H1113" s="15">
        <v>22</v>
      </c>
      <c r="I1113" s="15" t="str">
        <f t="shared" si="94"/>
        <v>676|Omar Marmoush|27|Egypt|ST|Manchester City|22</v>
      </c>
      <c r="J1113" s="15" t="str">
        <f>IF(COUNTIF(I$438:I1113,I1113)&gt;1,"DOUBLON","OK")</f>
        <v>OK</v>
      </c>
      <c r="S1113" s="30" t="str">
        <v>Colombia</v>
      </c>
      <c r="T1113" s="30" t="str">
        <f t="shared" si="95"/>
        <v>OK</v>
      </c>
      <c r="U1113" s="30" t="str">
        <f t="shared" si="96"/>
        <v>-</v>
      </c>
      <c r="V1113" s="30" t="str" cm="1">
        <f t="array" ref="V1113">_xlfn.IFS(
ISNUMBER(SEARCH("USA",S1113)),"United States",
ISNUMBER(SEARCH("Republic of Korea",S1113)),"South Korea",
ISNUMBER(SEARCH("Cape Verde",S1113)),"Cabo Verde",
ISNUMBER(SEARCH("Czechia",S1113)),"Czech Republic",
ISNUMBER(SEARCH("Türkiye",S1113)),"Turkey",
ISNUMBER(SEARCH("Ivory Coast",S1113)),"Côte d'Ivoire",
ISNUMBER(SEARCH("Korea Republic",S1113)),"South Korea",
ISNUMBER(SEARCH("Germany FR",S1113)),"FR Germany",
ISNUMBER(SEARCH("West Germany",S1113)),"FR Germany",
ISNUMBER(SEARCH("Germany DR",S1113)),"DR Germany",
ISNUMBER(SEARCH("Korea DPR",S1113)),"North Korea",
ISNUMBER(SEARCH("China PR",S1113)),"China",
ISNUMBER(SEARCH("IR Iran",S1113)),"Iran",
ISNUMBER(SEARCH("Congo DR",S1113)),"Democratic Republic of the Congo",
ISNUMBER(SEARCH("DR Congo",S1113)),"Democratic Republic of the Congo",
ISNUMBER(SEARCH("German DR",S1113)),"DR Germany",
ISNUMBER(SEARCH("rn""&gt;United Arab Emirates",S1113)),"United Arab Emirates",
ISNUMBER(SEARCH("rn""&gt;Republic of Ireland",S1113)),"Ireland",
ISNUMBER(SEARCH("rn""&gt;Bosnia and Herzegovina",S1113)),"Bosnia and Herzegovina",
ISNUMBER(SEARCH("rn""&gt;Trinidad and Tobago",S1113)),"Trinidad and Tobago",
ISNUMBER(SEARCH("rn""&gt;Serbia and Montenegro",S1113)),"Serbia and Montenegro",
ISNUMBER(SEARCH(_xlfn.UNICHAR(65533),S1113)),"Côte d'Ivoire",
TRUE,""
)</f>
        <v/>
      </c>
      <c r="W1113" s="30" t="str">
        <f t="shared" si="97"/>
        <v>Colombia</v>
      </c>
      <c r="AE1113" s="42">
        <v>2026</v>
      </c>
      <c r="AK1113" s="42">
        <v>3</v>
      </c>
      <c r="AL1113" s="42">
        <v>0</v>
      </c>
    </row>
    <row r="1114" spans="2:38">
      <c r="B1114" s="75">
        <v>677</v>
      </c>
      <c r="C1114" s="15" t="str">
        <v>Alireza Beiranvand</v>
      </c>
      <c r="D1114" s="15">
        <v>33</v>
      </c>
      <c r="E1114" s="15" t="str">
        <v>Iran</v>
      </c>
      <c r="F1114" s="15" t="str">
        <v>GK</v>
      </c>
      <c r="G1114" s="15" t="str">
        <v>Tractor</v>
      </c>
      <c r="H1114" s="15">
        <v>1</v>
      </c>
      <c r="I1114" s="15" t="str">
        <f t="shared" si="94"/>
        <v>677|Alireza Beiranvand|33|Iran|GK|Tractor|1</v>
      </c>
      <c r="J1114" s="15" t="str">
        <f>IF(COUNTIF(I$438:I1114,I1114)&gt;1,"DOUBLON","OK")</f>
        <v>OK</v>
      </c>
      <c r="S1114" s="30" t="str">
        <v>Switzerland</v>
      </c>
      <c r="T1114" s="30" t="str">
        <f t="shared" si="95"/>
        <v>OK</v>
      </c>
      <c r="U1114" s="30" t="str">
        <f t="shared" si="96"/>
        <v>-</v>
      </c>
      <c r="V1114" s="30" t="str" cm="1">
        <f t="array" ref="V1114">_xlfn.IFS(
ISNUMBER(SEARCH("USA",S1114)),"United States",
ISNUMBER(SEARCH("Republic of Korea",S1114)),"South Korea",
ISNUMBER(SEARCH("Cape Verde",S1114)),"Cabo Verde",
ISNUMBER(SEARCH("Czechia",S1114)),"Czech Republic",
ISNUMBER(SEARCH("Türkiye",S1114)),"Turkey",
ISNUMBER(SEARCH("Ivory Coast",S1114)),"Côte d'Ivoire",
ISNUMBER(SEARCH("Korea Republic",S1114)),"South Korea",
ISNUMBER(SEARCH("Germany FR",S1114)),"FR Germany",
ISNUMBER(SEARCH("West Germany",S1114)),"FR Germany",
ISNUMBER(SEARCH("Germany DR",S1114)),"DR Germany",
ISNUMBER(SEARCH("Korea DPR",S1114)),"North Korea",
ISNUMBER(SEARCH("China PR",S1114)),"China",
ISNUMBER(SEARCH("IR Iran",S1114)),"Iran",
ISNUMBER(SEARCH("Congo DR",S1114)),"Democratic Republic of the Congo",
ISNUMBER(SEARCH("DR Congo",S1114)),"Democratic Republic of the Congo",
ISNUMBER(SEARCH("German DR",S1114)),"DR Germany",
ISNUMBER(SEARCH("rn""&gt;United Arab Emirates",S1114)),"United Arab Emirates",
ISNUMBER(SEARCH("rn""&gt;Republic of Ireland",S1114)),"Ireland",
ISNUMBER(SEARCH("rn""&gt;Bosnia and Herzegovina",S1114)),"Bosnia and Herzegovina",
ISNUMBER(SEARCH("rn""&gt;Trinidad and Tobago",S1114)),"Trinidad and Tobago",
ISNUMBER(SEARCH("rn""&gt;Serbia and Montenegro",S1114)),"Serbia and Montenegro",
ISNUMBER(SEARCH(_xlfn.UNICHAR(65533),S1114)),"Côte d'Ivoire",
TRUE,""
)</f>
        <v/>
      </c>
      <c r="W1114" s="30" t="str">
        <f t="shared" si="97"/>
        <v>Switzerland</v>
      </c>
      <c r="AE1114" s="42">
        <v>2026</v>
      </c>
      <c r="AK1114" s="42">
        <v>1</v>
      </c>
      <c r="AL1114" s="42">
        <v>2</v>
      </c>
    </row>
    <row r="1115" spans="2:38">
      <c r="B1115" s="75">
        <v>678</v>
      </c>
      <c r="C1115" s="15" t="str">
        <v>Payam Niazmand</v>
      </c>
      <c r="D1115" s="15">
        <v>31</v>
      </c>
      <c r="E1115" s="15" t="str">
        <v>Iran</v>
      </c>
      <c r="F1115" s="15" t="str">
        <v>GK</v>
      </c>
      <c r="G1115" s="15" t="str">
        <v>Persepolis</v>
      </c>
      <c r="H1115" s="15">
        <v>12</v>
      </c>
      <c r="I1115" s="15" t="str">
        <f t="shared" si="94"/>
        <v>678|Payam Niazmand|31|Iran|GK|Persepolis|12</v>
      </c>
      <c r="J1115" s="15" t="str">
        <f>IF(COUNTIF(I$438:I1115,I1115)&gt;1,"DOUBLON","OK")</f>
        <v>OK</v>
      </c>
      <c r="S1115" s="30" t="str">
        <v>Colombia</v>
      </c>
      <c r="T1115" s="30" t="str">
        <f t="shared" si="95"/>
        <v>OK</v>
      </c>
      <c r="U1115" s="30" t="str">
        <f t="shared" si="96"/>
        <v>-</v>
      </c>
      <c r="V1115" s="30" t="str" cm="1">
        <f t="array" ref="V1115">_xlfn.IFS(
ISNUMBER(SEARCH("USA",S1115)),"United States",
ISNUMBER(SEARCH("Republic of Korea",S1115)),"South Korea",
ISNUMBER(SEARCH("Cape Verde",S1115)),"Cabo Verde",
ISNUMBER(SEARCH("Czechia",S1115)),"Czech Republic",
ISNUMBER(SEARCH("Türkiye",S1115)),"Turkey",
ISNUMBER(SEARCH("Ivory Coast",S1115)),"Côte d'Ivoire",
ISNUMBER(SEARCH("Korea Republic",S1115)),"South Korea",
ISNUMBER(SEARCH("Germany FR",S1115)),"FR Germany",
ISNUMBER(SEARCH("West Germany",S1115)),"FR Germany",
ISNUMBER(SEARCH("Germany DR",S1115)),"DR Germany",
ISNUMBER(SEARCH("Korea DPR",S1115)),"North Korea",
ISNUMBER(SEARCH("China PR",S1115)),"China",
ISNUMBER(SEARCH("IR Iran",S1115)),"Iran",
ISNUMBER(SEARCH("Congo DR",S1115)),"Democratic Republic of the Congo",
ISNUMBER(SEARCH("DR Congo",S1115)),"Democratic Republic of the Congo",
ISNUMBER(SEARCH("German DR",S1115)),"DR Germany",
ISNUMBER(SEARCH("rn""&gt;United Arab Emirates",S1115)),"United Arab Emirates",
ISNUMBER(SEARCH("rn""&gt;Republic of Ireland",S1115)),"Ireland",
ISNUMBER(SEARCH("rn""&gt;Bosnia and Herzegovina",S1115)),"Bosnia and Herzegovina",
ISNUMBER(SEARCH("rn""&gt;Trinidad and Tobago",S1115)),"Trinidad and Tobago",
ISNUMBER(SEARCH("rn""&gt;Serbia and Montenegro",S1115)),"Serbia and Montenegro",
ISNUMBER(SEARCH(_xlfn.UNICHAR(65533),S1115)),"Côte d'Ivoire",
TRUE,""
)</f>
        <v/>
      </c>
      <c r="W1115" s="30" t="str">
        <f t="shared" si="97"/>
        <v>Colombia</v>
      </c>
      <c r="AE1115" s="42">
        <v>2026</v>
      </c>
      <c r="AK1115" s="42">
        <v>2</v>
      </c>
      <c r="AL1115" s="42">
        <v>0</v>
      </c>
    </row>
    <row r="1116" spans="2:38">
      <c r="B1116" s="75">
        <v>679</v>
      </c>
      <c r="C1116" s="15" t="str">
        <v>Hossein Hosseini</v>
      </c>
      <c r="D1116" s="15">
        <v>33</v>
      </c>
      <c r="E1116" s="15" t="str">
        <v>Iran</v>
      </c>
      <c r="F1116" s="15" t="str">
        <v>GK</v>
      </c>
      <c r="G1116" s="15" t="str">
        <v>Sepahan</v>
      </c>
      <c r="H1116" s="15">
        <v>22</v>
      </c>
      <c r="I1116" s="15" t="str">
        <f t="shared" si="94"/>
        <v>679|Hossein Hosseini|33|Iran|GK|Sepahan|22</v>
      </c>
      <c r="J1116" s="15" t="str">
        <f>IF(COUNTIF(I$438:I1116,I1116)&gt;1,"DOUBLON","OK")</f>
        <v>OK</v>
      </c>
      <c r="S1116" s="30" t="str">
        <v>Switzerland</v>
      </c>
      <c r="T1116" s="30" t="str">
        <f t="shared" si="95"/>
        <v>OK</v>
      </c>
      <c r="U1116" s="30" t="str">
        <f t="shared" si="96"/>
        <v>-</v>
      </c>
      <c r="V1116" s="30" t="str" cm="1">
        <f t="array" ref="V1116">_xlfn.IFS(
ISNUMBER(SEARCH("USA",S1116)),"United States",
ISNUMBER(SEARCH("Republic of Korea",S1116)),"South Korea",
ISNUMBER(SEARCH("Cape Verde",S1116)),"Cabo Verde",
ISNUMBER(SEARCH("Czechia",S1116)),"Czech Republic",
ISNUMBER(SEARCH("Türkiye",S1116)),"Turkey",
ISNUMBER(SEARCH("Ivory Coast",S1116)),"Côte d'Ivoire",
ISNUMBER(SEARCH("Korea Republic",S1116)),"South Korea",
ISNUMBER(SEARCH("Germany FR",S1116)),"FR Germany",
ISNUMBER(SEARCH("West Germany",S1116)),"FR Germany",
ISNUMBER(SEARCH("Germany DR",S1116)),"DR Germany",
ISNUMBER(SEARCH("Korea DPR",S1116)),"North Korea",
ISNUMBER(SEARCH("China PR",S1116)),"China",
ISNUMBER(SEARCH("IR Iran",S1116)),"Iran",
ISNUMBER(SEARCH("Congo DR",S1116)),"Democratic Republic of the Congo",
ISNUMBER(SEARCH("DR Congo",S1116)),"Democratic Republic of the Congo",
ISNUMBER(SEARCH("German DR",S1116)),"DR Germany",
ISNUMBER(SEARCH("rn""&gt;United Arab Emirates",S1116)),"United Arab Emirates",
ISNUMBER(SEARCH("rn""&gt;Republic of Ireland",S1116)),"Ireland",
ISNUMBER(SEARCH("rn""&gt;Bosnia and Herzegovina",S1116)),"Bosnia and Herzegovina",
ISNUMBER(SEARCH("rn""&gt;Trinidad and Tobago",S1116)),"Trinidad and Tobago",
ISNUMBER(SEARCH("rn""&gt;Serbia and Montenegro",S1116)),"Serbia and Montenegro",
ISNUMBER(SEARCH(_xlfn.UNICHAR(65533),S1116)),"Côte d'Ivoire",
TRUE,""
)</f>
        <v/>
      </c>
      <c r="W1116" s="30" t="str">
        <f t="shared" si="97"/>
        <v>Switzerland</v>
      </c>
      <c r="AE1116" s="42">
        <v>2026</v>
      </c>
      <c r="AK1116" s="42">
        <v>2</v>
      </c>
      <c r="AL1116" s="42">
        <v>1</v>
      </c>
    </row>
    <row r="1117" spans="2:38">
      <c r="B1117" s="75">
        <v>680</v>
      </c>
      <c r="C1117" s="15" t="str">
        <v>Shojae Khalilzadeh</v>
      </c>
      <c r="D1117" s="15">
        <v>37</v>
      </c>
      <c r="E1117" s="15" t="str">
        <v>Iran</v>
      </c>
      <c r="F1117" s="15" t="str">
        <v>CB</v>
      </c>
      <c r="G1117" s="15" t="str">
        <v>Tractor</v>
      </c>
      <c r="H1117" s="15">
        <v>4</v>
      </c>
      <c r="I1117" s="15" t="str">
        <f t="shared" si="94"/>
        <v>680|Shojae Khalilzadeh|37|Iran|CB|Tractor|4</v>
      </c>
      <c r="J1117" s="15" t="str">
        <f>IF(COUNTIF(I$438:I1117,I1117)&gt;1,"DOUBLON","OK")</f>
        <v>OK</v>
      </c>
      <c r="S1117" s="30" t="str">
        <v>Colombia</v>
      </c>
      <c r="T1117" s="30" t="str">
        <f t="shared" si="95"/>
        <v>OK</v>
      </c>
      <c r="U1117" s="30" t="str">
        <f t="shared" si="96"/>
        <v>-</v>
      </c>
      <c r="V1117" s="30" t="str" cm="1">
        <f t="array" ref="V1117">_xlfn.IFS(
ISNUMBER(SEARCH("USA",S1117)),"United States",
ISNUMBER(SEARCH("Republic of Korea",S1117)),"South Korea",
ISNUMBER(SEARCH("Cape Verde",S1117)),"Cabo Verde",
ISNUMBER(SEARCH("Czechia",S1117)),"Czech Republic",
ISNUMBER(SEARCH("Türkiye",S1117)),"Turkey",
ISNUMBER(SEARCH("Ivory Coast",S1117)),"Côte d'Ivoire",
ISNUMBER(SEARCH("Korea Republic",S1117)),"South Korea",
ISNUMBER(SEARCH("Germany FR",S1117)),"FR Germany",
ISNUMBER(SEARCH("West Germany",S1117)),"FR Germany",
ISNUMBER(SEARCH("Germany DR",S1117)),"DR Germany",
ISNUMBER(SEARCH("Korea DPR",S1117)),"North Korea",
ISNUMBER(SEARCH("China PR",S1117)),"China",
ISNUMBER(SEARCH("IR Iran",S1117)),"Iran",
ISNUMBER(SEARCH("Congo DR",S1117)),"Democratic Republic of the Congo",
ISNUMBER(SEARCH("DR Congo",S1117)),"Democratic Republic of the Congo",
ISNUMBER(SEARCH("German DR",S1117)),"DR Germany",
ISNUMBER(SEARCH("rn""&gt;United Arab Emirates",S1117)),"United Arab Emirates",
ISNUMBER(SEARCH("rn""&gt;Republic of Ireland",S1117)),"Ireland",
ISNUMBER(SEARCH("rn""&gt;Bosnia and Herzegovina",S1117)),"Bosnia and Herzegovina",
ISNUMBER(SEARCH("rn""&gt;Trinidad and Tobago",S1117)),"Trinidad and Tobago",
ISNUMBER(SEARCH("rn""&gt;Serbia and Montenegro",S1117)),"Serbia and Montenegro",
ISNUMBER(SEARCH(_xlfn.UNICHAR(65533),S1117)),"Côte d'Ivoire",
TRUE,""
)</f>
        <v/>
      </c>
      <c r="W1117" s="30" t="str">
        <f t="shared" si="97"/>
        <v>Colombia</v>
      </c>
      <c r="AE1117" s="42">
        <v>2026</v>
      </c>
      <c r="AK1117" s="42">
        <v>3</v>
      </c>
      <c r="AL1117" s="42">
        <v>2</v>
      </c>
    </row>
    <row r="1118" spans="2:38">
      <c r="B1118" s="75">
        <v>681</v>
      </c>
      <c r="C1118" s="15" t="str">
        <v>Hossein Kanaanizadegan</v>
      </c>
      <c r="D1118" s="15">
        <v>32</v>
      </c>
      <c r="E1118" s="15" t="str">
        <v>Iran</v>
      </c>
      <c r="F1118" s="15" t="str">
        <v>CB</v>
      </c>
      <c r="G1118" s="15" t="str">
        <v>Persepolis</v>
      </c>
      <c r="H1118" s="15">
        <v>13</v>
      </c>
      <c r="I1118" s="15" t="str">
        <f t="shared" si="94"/>
        <v>681|Hossein Kanaanizadegan|32|Iran|CB|Persepolis|13</v>
      </c>
      <c r="J1118" s="15" t="str">
        <f>IF(COUNTIF(I$438:I1118,I1118)&gt;1,"DOUBLON","OK")</f>
        <v>OK</v>
      </c>
      <c r="S1118" s="30" t="str">
        <v>Switzerland</v>
      </c>
      <c r="T1118" s="30" t="str">
        <f t="shared" si="95"/>
        <v>OK</v>
      </c>
      <c r="U1118" s="30" t="str">
        <f t="shared" si="96"/>
        <v>-</v>
      </c>
      <c r="V1118" s="30" t="str" cm="1">
        <f t="array" ref="V1118">_xlfn.IFS(
ISNUMBER(SEARCH("USA",S1118)),"United States",
ISNUMBER(SEARCH("Republic of Korea",S1118)),"South Korea",
ISNUMBER(SEARCH("Cape Verde",S1118)),"Cabo Verde",
ISNUMBER(SEARCH("Czechia",S1118)),"Czech Republic",
ISNUMBER(SEARCH("Türkiye",S1118)),"Turkey",
ISNUMBER(SEARCH("Ivory Coast",S1118)),"Côte d'Ivoire",
ISNUMBER(SEARCH("Korea Republic",S1118)),"South Korea",
ISNUMBER(SEARCH("Germany FR",S1118)),"FR Germany",
ISNUMBER(SEARCH("West Germany",S1118)),"FR Germany",
ISNUMBER(SEARCH("Germany DR",S1118)),"DR Germany",
ISNUMBER(SEARCH("Korea DPR",S1118)),"North Korea",
ISNUMBER(SEARCH("China PR",S1118)),"China",
ISNUMBER(SEARCH("IR Iran",S1118)),"Iran",
ISNUMBER(SEARCH("Congo DR",S1118)),"Democratic Republic of the Congo",
ISNUMBER(SEARCH("DR Congo",S1118)),"Democratic Republic of the Congo",
ISNUMBER(SEARCH("German DR",S1118)),"DR Germany",
ISNUMBER(SEARCH("rn""&gt;United Arab Emirates",S1118)),"United Arab Emirates",
ISNUMBER(SEARCH("rn""&gt;Republic of Ireland",S1118)),"Ireland",
ISNUMBER(SEARCH("rn""&gt;Bosnia and Herzegovina",S1118)),"Bosnia and Herzegovina",
ISNUMBER(SEARCH("rn""&gt;Trinidad and Tobago",S1118)),"Trinidad and Tobago",
ISNUMBER(SEARCH("rn""&gt;Serbia and Montenegro",S1118)),"Serbia and Montenegro",
ISNUMBER(SEARCH(_xlfn.UNICHAR(65533),S1118)),"Côte d'Ivoire",
TRUE,""
)</f>
        <v/>
      </c>
      <c r="W1118" s="30" t="str">
        <f t="shared" si="97"/>
        <v>Switzerland</v>
      </c>
      <c r="AE1118" s="42">
        <v>2026</v>
      </c>
      <c r="AK1118" s="42">
        <v>2</v>
      </c>
      <c r="AL1118" s="42">
        <v>0</v>
      </c>
    </row>
    <row r="1119" spans="2:38">
      <c r="B1119" s="75">
        <v>682</v>
      </c>
      <c r="C1119" s="15" t="str">
        <v>Ali Nemati</v>
      </c>
      <c r="D1119" s="15">
        <v>30</v>
      </c>
      <c r="E1119" s="15" t="str">
        <v>Iran</v>
      </c>
      <c r="F1119" s="15" t="str">
        <v>CB</v>
      </c>
      <c r="G1119" s="15" t="str">
        <v>Foolad</v>
      </c>
      <c r="H1119" s="15">
        <v>19</v>
      </c>
      <c r="I1119" s="15" t="str">
        <f t="shared" si="94"/>
        <v>682|Ali Nemati|30|Iran|CB|Foolad|19</v>
      </c>
      <c r="J1119" s="15" t="str">
        <f>IF(COUNTIF(I$438:I1119,I1119)&gt;1,"DOUBLON","OK")</f>
        <v>OK</v>
      </c>
      <c r="AE1119" s="42">
        <v>2026</v>
      </c>
      <c r="AK1119" s="42">
        <v>2</v>
      </c>
      <c r="AL1119" s="42">
        <v>1</v>
      </c>
    </row>
    <row r="1120" spans="2:38" ht="18.75">
      <c r="B1120" s="75">
        <v>683</v>
      </c>
      <c r="C1120" s="15" t="str">
        <v>Danial Eiri</v>
      </c>
      <c r="D1120" s="15">
        <v>22</v>
      </c>
      <c r="E1120" s="15" t="str">
        <v>Iran</v>
      </c>
      <c r="F1120" s="15" t="str">
        <v>CB</v>
      </c>
      <c r="G1120" s="15" t="str">
        <v>Malavan</v>
      </c>
      <c r="H1120" s="15">
        <v>25</v>
      </c>
      <c r="I1120" s="15" t="str">
        <f t="shared" si="94"/>
        <v>683|Danial Eiri|22|Iran|CB|Malavan|25</v>
      </c>
      <c r="J1120" s="15" t="str">
        <f>IF(COUNTIF(I$438:I1120,I1120)&gt;1,"DOUBLON","OK")</f>
        <v>OK</v>
      </c>
      <c r="S1120" s="38" t="s">
        <v>570</v>
      </c>
      <c r="T1120" s="38" t="s">
        <v>3558</v>
      </c>
      <c r="U1120" s="38" t="s">
        <v>3593</v>
      </c>
      <c r="V1120" s="38" t="s">
        <v>3764</v>
      </c>
      <c r="W1120" s="38" t="s">
        <v>3765</v>
      </c>
      <c r="AE1120" s="42">
        <v>2026</v>
      </c>
      <c r="AK1120" s="42">
        <v>3</v>
      </c>
      <c r="AL1120" s="42">
        <v>0</v>
      </c>
    </row>
    <row r="1121" spans="2:38">
      <c r="B1121" s="75">
        <v>684</v>
      </c>
      <c r="C1121" s="15" t="str">
        <v>Ehsan Hajsafi</v>
      </c>
      <c r="D1121" s="15">
        <v>36</v>
      </c>
      <c r="E1121" s="15" t="str">
        <v>Iran</v>
      </c>
      <c r="F1121" s="15" t="str">
        <v>LB</v>
      </c>
      <c r="G1121" s="15" t="str">
        <v>Sepahan</v>
      </c>
      <c r="H1121" s="15">
        <v>3</v>
      </c>
      <c r="I1121" s="15" t="str">
        <f t="shared" si="94"/>
        <v>684|Ehsan Hajsafi|36|Iran|LB|Sepahan|3</v>
      </c>
      <c r="J1121" s="15" t="str">
        <f>IF(COUNTIF(I$438:I1121,I1121)&gt;1,"DOUBLON","OK")</f>
        <v>OK</v>
      </c>
      <c r="S1121" s="12" t="str" cm="1">
        <f t="array" ref="S1121:S2368">DATA_BRUT!X3:X1250</f>
        <v>Czech Republic</v>
      </c>
      <c r="T1121" s="12" t="str">
        <f t="shared" ref="T1121:T1184" si="98">IF(COUNTIF(R$13:R$250,S1121)=1,"OK","ERREUR")</f>
        <v>OK</v>
      </c>
      <c r="U1121" s="12" t="str">
        <f>IF(OR(S1121="Scotland",S1121="England",S1121="Wales",S1121="Yugoslavia",S1121="Czechoslovakia",S1121="Northern Ireland",S1121="Soviet Union",S1121="Zaire",S1121="Dutch East Indies"),"AUCUNE",IF(OR(S1121="Cape Verde",S1121="USA",S1121="DR Congo",S1121="Republic of Korea",S1121="Germany FR",S1121="Germany DR",S1121="Czechia",S1121="Ivory Coast",S1121="Korea DPR",S1121="China PR",S1121="IR Iran",S1121="Türkiye",S1121="Congo DR",S1121="German DR",S1121="West Germany",S1121="Republic of Ireland",ISNUMBER(SEARCH("rn""&gt;United Arab Emirates",S1121)),ISNUMBER(SEARCH("rn""&gt;Republic of Ireland",S1121)),ISNUMBER(SEARCH("rn""&gt;Bosnia and Herzegovina",S1121)),ISNUMBER(SEARCH("rn""&gt;Trinidad and Tobago",S1121)),ISNUMBER(SEARCH("rn""&gt;Serbia and Montenegro",S1121)),ISNUMBER(SEARCH(_xlfn.UNICHAR(65533),S1121))),"RENOMMER","-"))</f>
        <v>-</v>
      </c>
      <c r="V1121" s="12" t="str" cm="1">
        <f t="array" ref="V1121">_xlfn.IFS(
ISNUMBER(SEARCH("USA",S1121)),"United States",
ISNUMBER(SEARCH("Republic of Ireland",S1121)),"Ireland",
ISNUMBER(SEARCH("Republic of Korea",S1121)),"South Korea",
ISNUMBER(SEARCH("Cape Verde",S1121)),"Cabo Verde",
ISNUMBER(SEARCH("Czechia",S1121)),"Czech Republic",
ISNUMBER(SEARCH("Türkiye",S1121)),"Turkey",
ISNUMBER(SEARCH("Ivory Coast",S1121)),"Côte d'Ivoire",
ISNUMBER(SEARCH("Korea Republic",S1121)),"South Korea",
ISNUMBER(SEARCH("Germany FR",S1121)),"FR Germany",
ISNUMBER(SEARCH("West Germany",S1121)),"FR Germany",
ISNUMBER(SEARCH("Germany DR",S1121)),"DR Germany",
ISNUMBER(SEARCH("Korea DPR",S1121)),"North Korea",
ISNUMBER(SEARCH("China PR",S1121)),"China",
ISNUMBER(SEARCH("IR Iran",S1121)),"Iran",
ISNUMBER(SEARCH("Congo DR",S1121)),"Democratic Republic of the Congo",
ISNUMBER(SEARCH("DR Congo",S1121)),"Democratic Republic of the Congo",
ISNUMBER(SEARCH("German DR",S1121)),"DR Germany",
ISNUMBER(SEARCH("rn""&gt;United Arab Emirates",S1121)),"United Arab Emirates",
ISNUMBER(SEARCH("rn""&gt;Republic of Ireland",S1121)),"Ireland",
ISNUMBER(SEARCH("rn""&gt;Bosnia and Herzegovina",S1121)),"Bosnia and Herzegovina",
ISNUMBER(SEARCH("rn""&gt;Trinidad and Tobago",S1121)),"Trinidad and Tobago",
ISNUMBER(SEARCH("rn""&gt;Serbia and Montenegro",S1121)),"Serbia and Montenegro",
ISNUMBER(SEARCH(_xlfn.UNICHAR(65533),S1121)),"Côte d'Ivoire",
TRUE,""
)</f>
        <v/>
      </c>
      <c r="W1121" s="12" t="str">
        <f>IF(V1121="",S1121,V1121)</f>
        <v>Czech Republic</v>
      </c>
      <c r="AE1121" s="42">
        <v>2026</v>
      </c>
      <c r="AK1121" s="42">
        <v>2</v>
      </c>
      <c r="AL1121" s="42">
        <v>0</v>
      </c>
    </row>
    <row r="1122" spans="2:38">
      <c r="B1122" s="75">
        <v>685</v>
      </c>
      <c r="C1122" s="15" t="str">
        <v>Milad Mohammadi</v>
      </c>
      <c r="D1122" s="15">
        <v>32</v>
      </c>
      <c r="E1122" s="15" t="str">
        <v>Iran</v>
      </c>
      <c r="F1122" s="15" t="str">
        <v>LB</v>
      </c>
      <c r="G1122" s="15" t="str">
        <v>Persepolis</v>
      </c>
      <c r="H1122" s="15">
        <v>5</v>
      </c>
      <c r="I1122" s="15" t="str">
        <f t="shared" si="94"/>
        <v>685|Milad Mohammadi|32|Iran|LB|Persepolis|5</v>
      </c>
      <c r="J1122" s="15" t="str">
        <f>IF(COUNTIF(I$438:I1122,I1122)&gt;1,"DOUBLON","OK")</f>
        <v>OK</v>
      </c>
      <c r="S1122" s="12" t="str">
        <v>Czech Republic</v>
      </c>
      <c r="T1122" s="12" t="str">
        <f t="shared" si="98"/>
        <v>OK</v>
      </c>
      <c r="U1122" s="12" t="str">
        <f t="shared" ref="U1122:U1185" si="99">IF(OR(S1122="Scotland",S1122="England",S1122="Wales",S1122="Yugoslavia",S1122="Czechoslovakia",S1122="Northern Ireland",S1122="Soviet Union",S1122="Zaire",S1122="Dutch East Indies"),"AUCUNE",IF(OR(S1122="Cape Verde",S1122="USA",S1122="DR Congo",S1122="Republic of Korea",S1122="Germany FR",S1122="Germany DR",S1122="Czechia",S1122="Ivory Coast",S1122="Korea DPR",S1122="China PR",S1122="IR Iran",S1122="Türkiye",S1122="Congo DR",S1122="German DR",S1122="West Germany",S1122="Republic of Ireland",ISNUMBER(SEARCH("rn""&gt;United Arab Emirates",S1122)),ISNUMBER(SEARCH("rn""&gt;Republic of Ireland",S1122)),ISNUMBER(SEARCH("rn""&gt;Bosnia and Herzegovina",S1122)),ISNUMBER(SEARCH("rn""&gt;Trinidad and Tobago",S1122)),ISNUMBER(SEARCH("rn""&gt;Serbia and Montenegro",S1122)),ISNUMBER(SEARCH(_xlfn.UNICHAR(65533),S1122))),"RENOMMER","-"))</f>
        <v>-</v>
      </c>
      <c r="V1122" s="12" t="str" cm="1">
        <f t="array" ref="V1122">_xlfn.IFS(
ISNUMBER(SEARCH("USA",S1122)),"United States",
ISNUMBER(SEARCH("Republic of Ireland",S1122)),"Ireland",
ISNUMBER(SEARCH("Republic of Korea",S1122)),"South Korea",
ISNUMBER(SEARCH("Cape Verde",S1122)),"Cabo Verde",
ISNUMBER(SEARCH("Czechia",S1122)),"Czech Republic",
ISNUMBER(SEARCH("Türkiye",S1122)),"Turkey",
ISNUMBER(SEARCH("Ivory Coast",S1122)),"Côte d'Ivoire",
ISNUMBER(SEARCH("Korea Republic",S1122)),"South Korea",
ISNUMBER(SEARCH("Germany FR",S1122)),"FR Germany",
ISNUMBER(SEARCH("West Germany",S1122)),"FR Germany",
ISNUMBER(SEARCH("Germany DR",S1122)),"DR Germany",
ISNUMBER(SEARCH("Korea DPR",S1122)),"North Korea",
ISNUMBER(SEARCH("China PR",S1122)),"China",
ISNUMBER(SEARCH("IR Iran",S1122)),"Iran",
ISNUMBER(SEARCH("Congo DR",S1122)),"Democratic Republic of the Congo",
ISNUMBER(SEARCH("DR Congo",S1122)),"Democratic Republic of the Congo",
ISNUMBER(SEARCH("German DR",S1122)),"DR Germany",
ISNUMBER(SEARCH("rn""&gt;United Arab Emirates",S1122)),"United Arab Emirates",
ISNUMBER(SEARCH("rn""&gt;Republic of Ireland",S1122)),"Ireland",
ISNUMBER(SEARCH("rn""&gt;Bosnia and Herzegovina",S1122)),"Bosnia and Herzegovina",
ISNUMBER(SEARCH("rn""&gt;Trinidad and Tobago",S1122)),"Trinidad and Tobago",
ISNUMBER(SEARCH("rn""&gt;Serbia and Montenegro",S1122)),"Serbia and Montenegro",
ISNUMBER(SEARCH(_xlfn.UNICHAR(65533),S1122)),"Côte d'Ivoire",
TRUE,""
)</f>
        <v/>
      </c>
      <c r="W1122" s="12" t="str">
        <f t="shared" ref="W1122:W1185" si="100">IF(V1122="",S1122,V1122)</f>
        <v>Czech Republic</v>
      </c>
      <c r="AE1122" s="42">
        <v>2026</v>
      </c>
      <c r="AK1122" s="42">
        <v>1</v>
      </c>
      <c r="AL1122" s="42">
        <v>1</v>
      </c>
    </row>
    <row r="1123" spans="2:38">
      <c r="B1123" s="75">
        <v>686</v>
      </c>
      <c r="C1123" s="15" t="str">
        <v>Saleh Hardani</v>
      </c>
      <c r="D1123" s="15">
        <v>27</v>
      </c>
      <c r="E1123" s="15" t="str">
        <v>Iran</v>
      </c>
      <c r="F1123" s="15" t="str">
        <v>RB</v>
      </c>
      <c r="G1123" s="15" t="str">
        <v>Esteghlal</v>
      </c>
      <c r="H1123" s="15">
        <v>2</v>
      </c>
      <c r="I1123" s="15" t="str">
        <f t="shared" si="94"/>
        <v>686|Saleh Hardani|27|Iran|RB|Esteghlal|2</v>
      </c>
      <c r="J1123" s="15" t="str">
        <f>IF(COUNTIF(I$438:I1123,I1123)&gt;1,"DOUBLON","OK")</f>
        <v>OK</v>
      </c>
      <c r="S1123" s="12" t="str">
        <v>Czech Republic</v>
      </c>
      <c r="T1123" s="12" t="str">
        <f t="shared" si="98"/>
        <v>OK</v>
      </c>
      <c r="U1123" s="12" t="str">
        <f t="shared" si="99"/>
        <v>-</v>
      </c>
      <c r="V1123" s="12" t="str" cm="1">
        <f t="array" ref="V1123">_xlfn.IFS(
ISNUMBER(SEARCH("USA",S1123)),"United States",
ISNUMBER(SEARCH("Republic of Ireland",S1123)),"Ireland",
ISNUMBER(SEARCH("Republic of Korea",S1123)),"South Korea",
ISNUMBER(SEARCH("Cape Verde",S1123)),"Cabo Verde",
ISNUMBER(SEARCH("Czechia",S1123)),"Czech Republic",
ISNUMBER(SEARCH("Türkiye",S1123)),"Turkey",
ISNUMBER(SEARCH("Ivory Coast",S1123)),"Côte d'Ivoire",
ISNUMBER(SEARCH("Korea Republic",S1123)),"South Korea",
ISNUMBER(SEARCH("Germany FR",S1123)),"FR Germany",
ISNUMBER(SEARCH("West Germany",S1123)),"FR Germany",
ISNUMBER(SEARCH("Germany DR",S1123)),"DR Germany",
ISNUMBER(SEARCH("Korea DPR",S1123)),"North Korea",
ISNUMBER(SEARCH("China PR",S1123)),"China",
ISNUMBER(SEARCH("IR Iran",S1123)),"Iran",
ISNUMBER(SEARCH("Congo DR",S1123)),"Democratic Republic of the Congo",
ISNUMBER(SEARCH("DR Congo",S1123)),"Democratic Republic of the Congo",
ISNUMBER(SEARCH("German DR",S1123)),"DR Germany",
ISNUMBER(SEARCH("rn""&gt;United Arab Emirates",S1123)),"United Arab Emirates",
ISNUMBER(SEARCH("rn""&gt;Republic of Ireland",S1123)),"Ireland",
ISNUMBER(SEARCH("rn""&gt;Bosnia and Herzegovina",S1123)),"Bosnia and Herzegovina",
ISNUMBER(SEARCH("rn""&gt;Trinidad and Tobago",S1123)),"Trinidad and Tobago",
ISNUMBER(SEARCH("rn""&gt;Serbia and Montenegro",S1123)),"Serbia and Montenegro",
ISNUMBER(SEARCH(_xlfn.UNICHAR(65533),S1123)),"Côte d'Ivoire",
TRUE,""
)</f>
        <v/>
      </c>
      <c r="W1123" s="12" t="str">
        <f t="shared" si="100"/>
        <v>Czech Republic</v>
      </c>
      <c r="AE1123" s="42">
        <v>2026</v>
      </c>
      <c r="AK1123" s="42">
        <v>3</v>
      </c>
      <c r="AL1123" s="42">
        <v>2</v>
      </c>
    </row>
    <row r="1124" spans="2:38">
      <c r="B1124" s="75">
        <v>687</v>
      </c>
      <c r="C1124" s="15" t="str">
        <v>Arya Yousefi</v>
      </c>
      <c r="D1124" s="15">
        <v>24</v>
      </c>
      <c r="E1124" s="15" t="str">
        <v>Iran</v>
      </c>
      <c r="F1124" s="15" t="str">
        <v>RB</v>
      </c>
      <c r="G1124" s="15" t="str">
        <v>Sepahan</v>
      </c>
      <c r="H1124" s="15">
        <v>17</v>
      </c>
      <c r="I1124" s="15" t="str">
        <f t="shared" si="94"/>
        <v>687|Arya Yousefi|24|Iran|RB|Sepahan|17</v>
      </c>
      <c r="J1124" s="15" t="str">
        <f>IF(COUNTIF(I$438:I1124,I1124)&gt;1,"DOUBLON","OK")</f>
        <v>OK</v>
      </c>
      <c r="S1124" s="12" t="str">
        <v>Czech Republic</v>
      </c>
      <c r="T1124" s="12" t="str">
        <f t="shared" si="98"/>
        <v>OK</v>
      </c>
      <c r="U1124" s="12" t="str">
        <f t="shared" si="99"/>
        <v>-</v>
      </c>
      <c r="V1124" s="12" t="str" cm="1">
        <f t="array" ref="V1124">_xlfn.IFS(
ISNUMBER(SEARCH("USA",S1124)),"United States",
ISNUMBER(SEARCH("Republic of Ireland",S1124)),"Ireland",
ISNUMBER(SEARCH("Republic of Korea",S1124)),"South Korea",
ISNUMBER(SEARCH("Cape Verde",S1124)),"Cabo Verde",
ISNUMBER(SEARCH("Czechia",S1124)),"Czech Republic",
ISNUMBER(SEARCH("Türkiye",S1124)),"Turkey",
ISNUMBER(SEARCH("Ivory Coast",S1124)),"Côte d'Ivoire",
ISNUMBER(SEARCH("Korea Republic",S1124)),"South Korea",
ISNUMBER(SEARCH("Germany FR",S1124)),"FR Germany",
ISNUMBER(SEARCH("West Germany",S1124)),"FR Germany",
ISNUMBER(SEARCH("Germany DR",S1124)),"DR Germany",
ISNUMBER(SEARCH("Korea DPR",S1124)),"North Korea",
ISNUMBER(SEARCH("China PR",S1124)),"China",
ISNUMBER(SEARCH("IR Iran",S1124)),"Iran",
ISNUMBER(SEARCH("Congo DR",S1124)),"Democratic Republic of the Congo",
ISNUMBER(SEARCH("DR Congo",S1124)),"Democratic Republic of the Congo",
ISNUMBER(SEARCH("German DR",S1124)),"DR Germany",
ISNUMBER(SEARCH("rn""&gt;United Arab Emirates",S1124)),"United Arab Emirates",
ISNUMBER(SEARCH("rn""&gt;Republic of Ireland",S1124)),"Ireland",
ISNUMBER(SEARCH("rn""&gt;Bosnia and Herzegovina",S1124)),"Bosnia and Herzegovina",
ISNUMBER(SEARCH("rn""&gt;Trinidad and Tobago",S1124)),"Trinidad and Tobago",
ISNUMBER(SEARCH("rn""&gt;Serbia and Montenegro",S1124)),"Serbia and Montenegro",
ISNUMBER(SEARCH(_xlfn.UNICHAR(65533),S1124)),"Côte d'Ivoire",
TRUE,""
)</f>
        <v/>
      </c>
      <c r="W1124" s="12" t="str">
        <f t="shared" si="100"/>
        <v>Czech Republic</v>
      </c>
      <c r="AE1124" s="42">
        <v>2026</v>
      </c>
      <c r="AK1124" s="42">
        <v>1</v>
      </c>
      <c r="AL1124" s="42">
        <v>0</v>
      </c>
    </row>
    <row r="1125" spans="2:38">
      <c r="B1125" s="75">
        <v>688</v>
      </c>
      <c r="C1125" s="15" t="str">
        <v>Ramin Rezaeian</v>
      </c>
      <c r="D1125" s="15">
        <v>36</v>
      </c>
      <c r="E1125" s="15" t="str">
        <v>Iran</v>
      </c>
      <c r="F1125" s="15" t="str">
        <v>RB</v>
      </c>
      <c r="G1125" s="15" t="str">
        <v>Foolad</v>
      </c>
      <c r="H1125" s="15">
        <v>23</v>
      </c>
      <c r="I1125" s="15" t="str">
        <f t="shared" si="94"/>
        <v>688|Ramin Rezaeian|36|Iran|RB|Foolad|23</v>
      </c>
      <c r="J1125" s="15" t="str">
        <f>IF(COUNTIF(I$438:I1125,I1125)&gt;1,"DOUBLON","OK")</f>
        <v>OK</v>
      </c>
      <c r="S1125" s="12" t="str">
        <v>Czech Republic</v>
      </c>
      <c r="T1125" s="12" t="str">
        <f t="shared" si="98"/>
        <v>OK</v>
      </c>
      <c r="U1125" s="12" t="str">
        <f t="shared" si="99"/>
        <v>-</v>
      </c>
      <c r="V1125" s="12" t="str" cm="1">
        <f t="array" ref="V1125">_xlfn.IFS(
ISNUMBER(SEARCH("USA",S1125)),"United States",
ISNUMBER(SEARCH("Republic of Ireland",S1125)),"Ireland",
ISNUMBER(SEARCH("Republic of Korea",S1125)),"South Korea",
ISNUMBER(SEARCH("Cape Verde",S1125)),"Cabo Verde",
ISNUMBER(SEARCH("Czechia",S1125)),"Czech Republic",
ISNUMBER(SEARCH("Türkiye",S1125)),"Turkey",
ISNUMBER(SEARCH("Ivory Coast",S1125)),"Côte d'Ivoire",
ISNUMBER(SEARCH("Korea Republic",S1125)),"South Korea",
ISNUMBER(SEARCH("Germany FR",S1125)),"FR Germany",
ISNUMBER(SEARCH("West Germany",S1125)),"FR Germany",
ISNUMBER(SEARCH("Germany DR",S1125)),"DR Germany",
ISNUMBER(SEARCH("Korea DPR",S1125)),"North Korea",
ISNUMBER(SEARCH("China PR",S1125)),"China",
ISNUMBER(SEARCH("IR Iran",S1125)),"Iran",
ISNUMBER(SEARCH("Congo DR",S1125)),"Democratic Republic of the Congo",
ISNUMBER(SEARCH("DR Congo",S1125)),"Democratic Republic of the Congo",
ISNUMBER(SEARCH("German DR",S1125)),"DR Germany",
ISNUMBER(SEARCH("rn""&gt;United Arab Emirates",S1125)),"United Arab Emirates",
ISNUMBER(SEARCH("rn""&gt;Republic of Ireland",S1125)),"Ireland",
ISNUMBER(SEARCH("rn""&gt;Bosnia and Herzegovina",S1125)),"Bosnia and Herzegovina",
ISNUMBER(SEARCH("rn""&gt;Trinidad and Tobago",S1125)),"Trinidad and Tobago",
ISNUMBER(SEARCH("rn""&gt;Serbia and Montenegro",S1125)),"Serbia and Montenegro",
ISNUMBER(SEARCH(_xlfn.UNICHAR(65533),S1125)),"Côte d'Ivoire",
TRUE,""
)</f>
        <v/>
      </c>
      <c r="W1125" s="12" t="str">
        <f t="shared" si="100"/>
        <v>Czech Republic</v>
      </c>
      <c r="AE1125" s="42">
        <v>2026</v>
      </c>
      <c r="AK1125" s="42">
        <v>0</v>
      </c>
      <c r="AL1125" s="42">
        <v>3</v>
      </c>
    </row>
    <row r="1126" spans="2:38">
      <c r="B1126" s="75">
        <v>689</v>
      </c>
      <c r="C1126" s="15" t="str">
        <v>Saeid Ezatolahi</v>
      </c>
      <c r="D1126" s="15">
        <v>29</v>
      </c>
      <c r="E1126" s="15" t="str">
        <v>Iran</v>
      </c>
      <c r="F1126" s="15" t="str">
        <v>CDM</v>
      </c>
      <c r="G1126" s="15" t="str">
        <v>Shabab Al Ahli</v>
      </c>
      <c r="H1126" s="15">
        <v>6</v>
      </c>
      <c r="I1126" s="15" t="str">
        <f t="shared" si="94"/>
        <v>689|Saeid Ezatolahi|29|Iran|CDM|Shabab Al Ahli|6</v>
      </c>
      <c r="J1126" s="15" t="str">
        <f>IF(COUNTIF(I$438:I1126,I1126)&gt;1,"DOUBLON","OK")</f>
        <v>OK</v>
      </c>
      <c r="S1126" s="12" t="str">
        <v>Czech Republic</v>
      </c>
      <c r="T1126" s="12" t="str">
        <f t="shared" si="98"/>
        <v>OK</v>
      </c>
      <c r="U1126" s="12" t="str">
        <f t="shared" si="99"/>
        <v>-</v>
      </c>
      <c r="V1126" s="12" t="str" cm="1">
        <f t="array" ref="V1126">_xlfn.IFS(
ISNUMBER(SEARCH("USA",S1126)),"United States",
ISNUMBER(SEARCH("Republic of Ireland",S1126)),"Ireland",
ISNUMBER(SEARCH("Republic of Korea",S1126)),"South Korea",
ISNUMBER(SEARCH("Cape Verde",S1126)),"Cabo Verde",
ISNUMBER(SEARCH("Czechia",S1126)),"Czech Republic",
ISNUMBER(SEARCH("Türkiye",S1126)),"Turkey",
ISNUMBER(SEARCH("Ivory Coast",S1126)),"Côte d'Ivoire",
ISNUMBER(SEARCH("Korea Republic",S1126)),"South Korea",
ISNUMBER(SEARCH("Germany FR",S1126)),"FR Germany",
ISNUMBER(SEARCH("West Germany",S1126)),"FR Germany",
ISNUMBER(SEARCH("Germany DR",S1126)),"DR Germany",
ISNUMBER(SEARCH("Korea DPR",S1126)),"North Korea",
ISNUMBER(SEARCH("China PR",S1126)),"China",
ISNUMBER(SEARCH("IR Iran",S1126)),"Iran",
ISNUMBER(SEARCH("Congo DR",S1126)),"Democratic Republic of the Congo",
ISNUMBER(SEARCH("DR Congo",S1126)),"Democratic Republic of the Congo",
ISNUMBER(SEARCH("German DR",S1126)),"DR Germany",
ISNUMBER(SEARCH("rn""&gt;United Arab Emirates",S1126)),"United Arab Emirates",
ISNUMBER(SEARCH("rn""&gt;Republic of Ireland",S1126)),"Ireland",
ISNUMBER(SEARCH("rn""&gt;Bosnia and Herzegovina",S1126)),"Bosnia and Herzegovina",
ISNUMBER(SEARCH("rn""&gt;Trinidad and Tobago",S1126)),"Trinidad and Tobago",
ISNUMBER(SEARCH("rn""&gt;Serbia and Montenegro",S1126)),"Serbia and Montenegro",
ISNUMBER(SEARCH(_xlfn.UNICHAR(65533),S1126)),"Côte d'Ivoire",
TRUE,""
)</f>
        <v/>
      </c>
      <c r="W1126" s="12" t="str">
        <f t="shared" si="100"/>
        <v>Czech Republic</v>
      </c>
      <c r="AE1126" s="42">
        <v>2026</v>
      </c>
      <c r="AK1126" s="42">
        <v>0</v>
      </c>
      <c r="AL1126" s="42">
        <v>1</v>
      </c>
    </row>
    <row r="1127" spans="2:38">
      <c r="B1127" s="75">
        <v>690</v>
      </c>
      <c r="C1127" s="15" t="str">
        <v>Rouzbeh Cheshmi</v>
      </c>
      <c r="D1127" s="15">
        <v>32</v>
      </c>
      <c r="E1127" s="15" t="str">
        <v>Iran</v>
      </c>
      <c r="F1127" s="15" t="str">
        <v>CDM</v>
      </c>
      <c r="G1127" s="15" t="str">
        <v>Esteghlal</v>
      </c>
      <c r="H1127" s="15">
        <v>15</v>
      </c>
      <c r="I1127" s="15" t="str">
        <f t="shared" si="94"/>
        <v>690|Rouzbeh Cheshmi|32|Iran|CDM|Esteghlal|15</v>
      </c>
      <c r="J1127" s="15" t="str">
        <f>IF(COUNTIF(I$438:I1127,I1127)&gt;1,"DOUBLON","OK")</f>
        <v>OK</v>
      </c>
      <c r="S1127" s="12" t="str">
        <v>Czech Republic</v>
      </c>
      <c r="T1127" s="12" t="str">
        <f t="shared" si="98"/>
        <v>OK</v>
      </c>
      <c r="U1127" s="12" t="str">
        <f t="shared" si="99"/>
        <v>-</v>
      </c>
      <c r="V1127" s="12" t="str" cm="1">
        <f t="array" ref="V1127">_xlfn.IFS(
ISNUMBER(SEARCH("USA",S1127)),"United States",
ISNUMBER(SEARCH("Republic of Ireland",S1127)),"Ireland",
ISNUMBER(SEARCH("Republic of Korea",S1127)),"South Korea",
ISNUMBER(SEARCH("Cape Verde",S1127)),"Cabo Verde",
ISNUMBER(SEARCH("Czechia",S1127)),"Czech Republic",
ISNUMBER(SEARCH("Türkiye",S1127)),"Turkey",
ISNUMBER(SEARCH("Ivory Coast",S1127)),"Côte d'Ivoire",
ISNUMBER(SEARCH("Korea Republic",S1127)),"South Korea",
ISNUMBER(SEARCH("Germany FR",S1127)),"FR Germany",
ISNUMBER(SEARCH("West Germany",S1127)),"FR Germany",
ISNUMBER(SEARCH("Germany DR",S1127)),"DR Germany",
ISNUMBER(SEARCH("Korea DPR",S1127)),"North Korea",
ISNUMBER(SEARCH("China PR",S1127)),"China",
ISNUMBER(SEARCH("IR Iran",S1127)),"Iran",
ISNUMBER(SEARCH("Congo DR",S1127)),"Democratic Republic of the Congo",
ISNUMBER(SEARCH("DR Congo",S1127)),"Democratic Republic of the Congo",
ISNUMBER(SEARCH("German DR",S1127)),"DR Germany",
ISNUMBER(SEARCH("rn""&gt;United Arab Emirates",S1127)),"United Arab Emirates",
ISNUMBER(SEARCH("rn""&gt;Republic of Ireland",S1127)),"Ireland",
ISNUMBER(SEARCH("rn""&gt;Bosnia and Herzegovina",S1127)),"Bosnia and Herzegovina",
ISNUMBER(SEARCH("rn""&gt;Trinidad and Tobago",S1127)),"Trinidad and Tobago",
ISNUMBER(SEARCH("rn""&gt;Serbia and Montenegro",S1127)),"Serbia and Montenegro",
ISNUMBER(SEARCH(_xlfn.UNICHAR(65533),S1127)),"Côte d'Ivoire",
TRUE,""
)</f>
        <v/>
      </c>
      <c r="W1127" s="12" t="str">
        <f t="shared" si="100"/>
        <v>Czech Republic</v>
      </c>
      <c r="AE1127" s="42">
        <v>2026</v>
      </c>
      <c r="AK1127" s="42">
        <v>1</v>
      </c>
      <c r="AL1127" s="42">
        <v>2</v>
      </c>
    </row>
    <row r="1128" spans="2:38">
      <c r="B1128" s="75">
        <v>691</v>
      </c>
      <c r="C1128" s="15" t="str">
        <v>Mohammad Ghorbani</v>
      </c>
      <c r="D1128" s="15">
        <v>24</v>
      </c>
      <c r="E1128" s="15" t="str">
        <v>Iran</v>
      </c>
      <c r="F1128" s="15" t="str">
        <v>CM</v>
      </c>
      <c r="G1128" s="15" t="str">
        <v>Al Wahda</v>
      </c>
      <c r="H1128" s="15">
        <v>21</v>
      </c>
      <c r="I1128" s="15" t="str">
        <f t="shared" si="94"/>
        <v>691|Mohammad Ghorbani|24|Iran|CM|Al Wahda|21</v>
      </c>
      <c r="J1128" s="15" t="str">
        <f>IF(COUNTIF(I$438:I1128,I1128)&gt;1,"DOUBLON","OK")</f>
        <v>OK</v>
      </c>
      <c r="S1128" s="12" t="str">
        <v>Czech Republic</v>
      </c>
      <c r="T1128" s="12" t="str">
        <f t="shared" si="98"/>
        <v>OK</v>
      </c>
      <c r="U1128" s="12" t="str">
        <f t="shared" si="99"/>
        <v>-</v>
      </c>
      <c r="V1128" s="12" t="str" cm="1">
        <f t="array" ref="V1128">_xlfn.IFS(
ISNUMBER(SEARCH("USA",S1128)),"United States",
ISNUMBER(SEARCH("Republic of Ireland",S1128)),"Ireland",
ISNUMBER(SEARCH("Republic of Korea",S1128)),"South Korea",
ISNUMBER(SEARCH("Cape Verde",S1128)),"Cabo Verde",
ISNUMBER(SEARCH("Czechia",S1128)),"Czech Republic",
ISNUMBER(SEARCH("Türkiye",S1128)),"Turkey",
ISNUMBER(SEARCH("Ivory Coast",S1128)),"Côte d'Ivoire",
ISNUMBER(SEARCH("Korea Republic",S1128)),"South Korea",
ISNUMBER(SEARCH("Germany FR",S1128)),"FR Germany",
ISNUMBER(SEARCH("West Germany",S1128)),"FR Germany",
ISNUMBER(SEARCH("Germany DR",S1128)),"DR Germany",
ISNUMBER(SEARCH("Korea DPR",S1128)),"North Korea",
ISNUMBER(SEARCH("China PR",S1128)),"China",
ISNUMBER(SEARCH("IR Iran",S1128)),"Iran",
ISNUMBER(SEARCH("Congo DR",S1128)),"Democratic Republic of the Congo",
ISNUMBER(SEARCH("DR Congo",S1128)),"Democratic Republic of the Congo",
ISNUMBER(SEARCH("German DR",S1128)),"DR Germany",
ISNUMBER(SEARCH("rn""&gt;United Arab Emirates",S1128)),"United Arab Emirates",
ISNUMBER(SEARCH("rn""&gt;Republic of Ireland",S1128)),"Ireland",
ISNUMBER(SEARCH("rn""&gt;Bosnia and Herzegovina",S1128)),"Bosnia and Herzegovina",
ISNUMBER(SEARCH("rn""&gt;Trinidad and Tobago",S1128)),"Trinidad and Tobago",
ISNUMBER(SEARCH("rn""&gt;Serbia and Montenegro",S1128)),"Serbia and Montenegro",
ISNUMBER(SEARCH(_xlfn.UNICHAR(65533),S1128)),"Côte d'Ivoire",
TRUE,""
)</f>
        <v/>
      </c>
      <c r="W1128" s="12" t="str">
        <f t="shared" si="100"/>
        <v>Czech Republic</v>
      </c>
      <c r="AE1128" s="42">
        <v>2026</v>
      </c>
      <c r="AK1128" s="42">
        <v>2</v>
      </c>
      <c r="AL1128" s="42">
        <v>3</v>
      </c>
    </row>
    <row r="1129" spans="2:38">
      <c r="B1129" s="75">
        <v>692</v>
      </c>
      <c r="C1129" s="15" t="str">
        <v>Amirmohammad Razzaghinia</v>
      </c>
      <c r="D1129" s="15">
        <v>20</v>
      </c>
      <c r="E1129" s="15" t="str">
        <v>Iran</v>
      </c>
      <c r="F1129" s="15" t="str">
        <v>CM</v>
      </c>
      <c r="G1129" s="15" t="str">
        <v>Esteghlal</v>
      </c>
      <c r="H1129" s="15">
        <v>26</v>
      </c>
      <c r="I1129" s="15" t="str">
        <f t="shared" si="94"/>
        <v>692|Amirmohammad Razzaghinia|20|Iran|CM|Esteghlal|26</v>
      </c>
      <c r="J1129" s="15" t="str">
        <f>IF(COUNTIF(I$438:I1129,I1129)&gt;1,"DOUBLON","OK")</f>
        <v>OK</v>
      </c>
      <c r="S1129" s="12" t="str">
        <v>Czech Republic</v>
      </c>
      <c r="T1129" s="12" t="str">
        <f t="shared" si="98"/>
        <v>OK</v>
      </c>
      <c r="U1129" s="12" t="str">
        <f t="shared" si="99"/>
        <v>-</v>
      </c>
      <c r="V1129" s="12" t="str" cm="1">
        <f t="array" ref="V1129">_xlfn.IFS(
ISNUMBER(SEARCH("USA",S1129)),"United States",
ISNUMBER(SEARCH("Republic of Ireland",S1129)),"Ireland",
ISNUMBER(SEARCH("Republic of Korea",S1129)),"South Korea",
ISNUMBER(SEARCH("Cape Verde",S1129)),"Cabo Verde",
ISNUMBER(SEARCH("Czechia",S1129)),"Czech Republic",
ISNUMBER(SEARCH("Türkiye",S1129)),"Turkey",
ISNUMBER(SEARCH("Ivory Coast",S1129)),"Côte d'Ivoire",
ISNUMBER(SEARCH("Korea Republic",S1129)),"South Korea",
ISNUMBER(SEARCH("Germany FR",S1129)),"FR Germany",
ISNUMBER(SEARCH("West Germany",S1129)),"FR Germany",
ISNUMBER(SEARCH("Germany DR",S1129)),"DR Germany",
ISNUMBER(SEARCH("Korea DPR",S1129)),"North Korea",
ISNUMBER(SEARCH("China PR",S1129)),"China",
ISNUMBER(SEARCH("IR Iran",S1129)),"Iran",
ISNUMBER(SEARCH("Congo DR",S1129)),"Democratic Republic of the Congo",
ISNUMBER(SEARCH("DR Congo",S1129)),"Democratic Republic of the Congo",
ISNUMBER(SEARCH("German DR",S1129)),"DR Germany",
ISNUMBER(SEARCH("rn""&gt;United Arab Emirates",S1129)),"United Arab Emirates",
ISNUMBER(SEARCH("rn""&gt;Republic of Ireland",S1129)),"Ireland",
ISNUMBER(SEARCH("rn""&gt;Bosnia and Herzegovina",S1129)),"Bosnia and Herzegovina",
ISNUMBER(SEARCH("rn""&gt;Trinidad and Tobago",S1129)),"Trinidad and Tobago",
ISNUMBER(SEARCH("rn""&gt;Serbia and Montenegro",S1129)),"Serbia and Montenegro",
ISNUMBER(SEARCH(_xlfn.UNICHAR(65533),S1129)),"Côte d'Ivoire",
TRUE,""
)</f>
        <v/>
      </c>
      <c r="W1129" s="12" t="str">
        <f t="shared" si="100"/>
        <v>Czech Republic</v>
      </c>
      <c r="AE1129" s="42">
        <v>2026</v>
      </c>
      <c r="AK1129" s="42">
        <v>0</v>
      </c>
      <c r="AL1129" s="42">
        <v>1</v>
      </c>
    </row>
    <row r="1130" spans="2:38">
      <c r="B1130" s="75">
        <v>693</v>
      </c>
      <c r="C1130" s="15" t="str">
        <v>Saman Ghoddos</v>
      </c>
      <c r="D1130" s="15">
        <v>32</v>
      </c>
      <c r="E1130" s="15" t="str">
        <v>Iran</v>
      </c>
      <c r="F1130" s="15" t="str">
        <v>CAM</v>
      </c>
      <c r="G1130" s="15" t="str">
        <v>Kalba</v>
      </c>
      <c r="H1130" s="15">
        <v>14</v>
      </c>
      <c r="I1130" s="15" t="str">
        <f t="shared" si="94"/>
        <v>693|Saman Ghoddos|32|Iran|CAM|Kalba|14</v>
      </c>
      <c r="J1130" s="15" t="str">
        <f>IF(COUNTIF(I$438:I1130,I1130)&gt;1,"DOUBLON","OK")</f>
        <v>OK</v>
      </c>
      <c r="S1130" s="12" t="str">
        <v>Czech Republic</v>
      </c>
      <c r="T1130" s="12" t="str">
        <f t="shared" si="98"/>
        <v>OK</v>
      </c>
      <c r="U1130" s="12" t="str">
        <f t="shared" si="99"/>
        <v>-</v>
      </c>
      <c r="V1130" s="12" t="str" cm="1">
        <f t="array" ref="V1130">_xlfn.IFS(
ISNUMBER(SEARCH("USA",S1130)),"United States",
ISNUMBER(SEARCH("Republic of Ireland",S1130)),"Ireland",
ISNUMBER(SEARCH("Republic of Korea",S1130)),"South Korea",
ISNUMBER(SEARCH("Cape Verde",S1130)),"Cabo Verde",
ISNUMBER(SEARCH("Czechia",S1130)),"Czech Republic",
ISNUMBER(SEARCH("Türkiye",S1130)),"Turkey",
ISNUMBER(SEARCH("Ivory Coast",S1130)),"Côte d'Ivoire",
ISNUMBER(SEARCH("Korea Republic",S1130)),"South Korea",
ISNUMBER(SEARCH("Germany FR",S1130)),"FR Germany",
ISNUMBER(SEARCH("West Germany",S1130)),"FR Germany",
ISNUMBER(SEARCH("Germany DR",S1130)),"DR Germany",
ISNUMBER(SEARCH("Korea DPR",S1130)),"North Korea",
ISNUMBER(SEARCH("China PR",S1130)),"China",
ISNUMBER(SEARCH("IR Iran",S1130)),"Iran",
ISNUMBER(SEARCH("Congo DR",S1130)),"Democratic Republic of the Congo",
ISNUMBER(SEARCH("DR Congo",S1130)),"Democratic Republic of the Congo",
ISNUMBER(SEARCH("German DR",S1130)),"DR Germany",
ISNUMBER(SEARCH("rn""&gt;United Arab Emirates",S1130)),"United Arab Emirates",
ISNUMBER(SEARCH("rn""&gt;Republic of Ireland",S1130)),"Ireland",
ISNUMBER(SEARCH("rn""&gt;Bosnia and Herzegovina",S1130)),"Bosnia and Herzegovina",
ISNUMBER(SEARCH("rn""&gt;Trinidad and Tobago",S1130)),"Trinidad and Tobago",
ISNUMBER(SEARCH("rn""&gt;Serbia and Montenegro",S1130)),"Serbia and Montenegro",
ISNUMBER(SEARCH(_xlfn.UNICHAR(65533),S1130)),"Côte d'Ivoire",
TRUE,""
)</f>
        <v/>
      </c>
      <c r="W1130" s="12" t="str">
        <f t="shared" si="100"/>
        <v>Czech Republic</v>
      </c>
      <c r="AE1130" s="42">
        <v>2026</v>
      </c>
      <c r="AK1130" s="42">
        <v>1</v>
      </c>
      <c r="AL1130" s="42">
        <v>4</v>
      </c>
    </row>
    <row r="1131" spans="2:38">
      <c r="B1131" s="75">
        <v>694</v>
      </c>
      <c r="C1131" s="15" t="str">
        <v>Mohammad Mohebi</v>
      </c>
      <c r="D1131" s="15">
        <v>27</v>
      </c>
      <c r="E1131" s="15" t="str">
        <v>Iran</v>
      </c>
      <c r="F1131" s="15" t="str">
        <v>LW</v>
      </c>
      <c r="G1131" s="15" t="str">
        <v>Rostov</v>
      </c>
      <c r="H1131" s="15">
        <v>8</v>
      </c>
      <c r="I1131" s="15" t="str">
        <f t="shared" si="94"/>
        <v>694|Mohammad Mohebi|27|Iran|LW|Rostov|8</v>
      </c>
      <c r="J1131" s="15" t="str">
        <f>IF(COUNTIF(I$438:I1131,I1131)&gt;1,"DOUBLON","OK")</f>
        <v>OK</v>
      </c>
      <c r="S1131" s="12" t="str">
        <v>Czech Republic</v>
      </c>
      <c r="T1131" s="12" t="str">
        <f t="shared" si="98"/>
        <v>OK</v>
      </c>
      <c r="U1131" s="12" t="str">
        <f t="shared" si="99"/>
        <v>-</v>
      </c>
      <c r="V1131" s="12" t="str" cm="1">
        <f t="array" ref="V1131">_xlfn.IFS(
ISNUMBER(SEARCH("USA",S1131)),"United States",
ISNUMBER(SEARCH("Republic of Ireland",S1131)),"Ireland",
ISNUMBER(SEARCH("Republic of Korea",S1131)),"South Korea",
ISNUMBER(SEARCH("Cape Verde",S1131)),"Cabo Verde",
ISNUMBER(SEARCH("Czechia",S1131)),"Czech Republic",
ISNUMBER(SEARCH("Türkiye",S1131)),"Turkey",
ISNUMBER(SEARCH("Ivory Coast",S1131)),"Côte d'Ivoire",
ISNUMBER(SEARCH("Korea Republic",S1131)),"South Korea",
ISNUMBER(SEARCH("Germany FR",S1131)),"FR Germany",
ISNUMBER(SEARCH("West Germany",S1131)),"FR Germany",
ISNUMBER(SEARCH("Germany DR",S1131)),"DR Germany",
ISNUMBER(SEARCH("Korea DPR",S1131)),"North Korea",
ISNUMBER(SEARCH("China PR",S1131)),"China",
ISNUMBER(SEARCH("IR Iran",S1131)),"Iran",
ISNUMBER(SEARCH("Congo DR",S1131)),"Democratic Republic of the Congo",
ISNUMBER(SEARCH("DR Congo",S1131)),"Democratic Republic of the Congo",
ISNUMBER(SEARCH("German DR",S1131)),"DR Germany",
ISNUMBER(SEARCH("rn""&gt;United Arab Emirates",S1131)),"United Arab Emirates",
ISNUMBER(SEARCH("rn""&gt;Republic of Ireland",S1131)),"Ireland",
ISNUMBER(SEARCH("rn""&gt;Bosnia and Herzegovina",S1131)),"Bosnia and Herzegovina",
ISNUMBER(SEARCH("rn""&gt;Trinidad and Tobago",S1131)),"Trinidad and Tobago",
ISNUMBER(SEARCH("rn""&gt;Serbia and Montenegro",S1131)),"Serbia and Montenegro",
ISNUMBER(SEARCH(_xlfn.UNICHAR(65533),S1131)),"Côte d'Ivoire",
TRUE,""
)</f>
        <v/>
      </c>
      <c r="W1131" s="12" t="str">
        <f t="shared" si="100"/>
        <v>Czech Republic</v>
      </c>
      <c r="AE1131" s="42">
        <v>2026</v>
      </c>
      <c r="AK1131" s="42">
        <v>3</v>
      </c>
      <c r="AL1131" s="42">
        <v>2</v>
      </c>
    </row>
    <row r="1132" spans="2:38">
      <c r="B1132" s="75">
        <v>695</v>
      </c>
      <c r="C1132" s="15" t="str">
        <v>Mehdi Ghayedi</v>
      </c>
      <c r="D1132" s="15">
        <v>27</v>
      </c>
      <c r="E1132" s="15" t="str">
        <v>Iran</v>
      </c>
      <c r="F1132" s="15" t="str">
        <v>LW</v>
      </c>
      <c r="G1132" s="15" t="str">
        <v>Al Nasr</v>
      </c>
      <c r="H1132" s="15">
        <v>10</v>
      </c>
      <c r="I1132" s="15" t="str">
        <f t="shared" si="94"/>
        <v>695|Mehdi Ghayedi|27|Iran|LW|Al Nasr|10</v>
      </c>
      <c r="J1132" s="15" t="str">
        <f>IF(COUNTIF(I$438:I1132,I1132)&gt;1,"DOUBLON","OK")</f>
        <v>OK</v>
      </c>
      <c r="S1132" s="12" t="str">
        <v>Czech Republic</v>
      </c>
      <c r="T1132" s="12" t="str">
        <f t="shared" si="98"/>
        <v>OK</v>
      </c>
      <c r="U1132" s="12" t="str">
        <f t="shared" si="99"/>
        <v>-</v>
      </c>
      <c r="V1132" s="12" t="str" cm="1">
        <f t="array" ref="V1132">_xlfn.IFS(
ISNUMBER(SEARCH("USA",S1132)),"United States",
ISNUMBER(SEARCH("Republic of Ireland",S1132)),"Ireland",
ISNUMBER(SEARCH("Republic of Korea",S1132)),"South Korea",
ISNUMBER(SEARCH("Cape Verde",S1132)),"Cabo Verde",
ISNUMBER(SEARCH("Czechia",S1132)),"Czech Republic",
ISNUMBER(SEARCH("Türkiye",S1132)),"Turkey",
ISNUMBER(SEARCH("Ivory Coast",S1132)),"Côte d'Ivoire",
ISNUMBER(SEARCH("Korea Republic",S1132)),"South Korea",
ISNUMBER(SEARCH("Germany FR",S1132)),"FR Germany",
ISNUMBER(SEARCH("West Germany",S1132)),"FR Germany",
ISNUMBER(SEARCH("Germany DR",S1132)),"DR Germany",
ISNUMBER(SEARCH("Korea DPR",S1132)),"North Korea",
ISNUMBER(SEARCH("China PR",S1132)),"China",
ISNUMBER(SEARCH("IR Iran",S1132)),"Iran",
ISNUMBER(SEARCH("Congo DR",S1132)),"Democratic Republic of the Congo",
ISNUMBER(SEARCH("DR Congo",S1132)),"Democratic Republic of the Congo",
ISNUMBER(SEARCH("German DR",S1132)),"DR Germany",
ISNUMBER(SEARCH("rn""&gt;United Arab Emirates",S1132)),"United Arab Emirates",
ISNUMBER(SEARCH("rn""&gt;Republic of Ireland",S1132)),"Ireland",
ISNUMBER(SEARCH("rn""&gt;Bosnia and Herzegovina",S1132)),"Bosnia and Herzegovina",
ISNUMBER(SEARCH("rn""&gt;Trinidad and Tobago",S1132)),"Trinidad and Tobago",
ISNUMBER(SEARCH("rn""&gt;Serbia and Montenegro",S1132)),"Serbia and Montenegro",
ISNUMBER(SEARCH(_xlfn.UNICHAR(65533),S1132)),"Côte d'Ivoire",
TRUE,""
)</f>
        <v/>
      </c>
      <c r="W1132" s="12" t="str">
        <f t="shared" si="100"/>
        <v>Czech Republic</v>
      </c>
      <c r="AE1132" s="42">
        <v>2026</v>
      </c>
      <c r="AK1132" s="42">
        <v>0</v>
      </c>
      <c r="AL1132" s="42">
        <v>0</v>
      </c>
    </row>
    <row r="1133" spans="2:38">
      <c r="B1133" s="75">
        <v>696</v>
      </c>
      <c r="C1133" s="15" t="str">
        <v>Mahdi Torabi</v>
      </c>
      <c r="D1133" s="15">
        <v>31</v>
      </c>
      <c r="E1133" s="15" t="str">
        <v>Iran</v>
      </c>
      <c r="F1133" s="15" t="str">
        <v>LW</v>
      </c>
      <c r="G1133" s="15" t="str">
        <v>Tractor</v>
      </c>
      <c r="H1133" s="15">
        <v>16</v>
      </c>
      <c r="I1133" s="15" t="str">
        <f t="shared" si="94"/>
        <v>696|Mahdi Torabi|31|Iran|LW|Tractor|16</v>
      </c>
      <c r="J1133" s="15" t="str">
        <f>IF(COUNTIF(I$438:I1133,I1133)&gt;1,"DOUBLON","OK")</f>
        <v>OK</v>
      </c>
      <c r="S1133" s="12" t="str">
        <v>Czech Republic</v>
      </c>
      <c r="T1133" s="12" t="str">
        <f t="shared" si="98"/>
        <v>OK</v>
      </c>
      <c r="U1133" s="12" t="str">
        <f t="shared" si="99"/>
        <v>-</v>
      </c>
      <c r="V1133" s="12" t="str" cm="1">
        <f t="array" ref="V1133">_xlfn.IFS(
ISNUMBER(SEARCH("USA",S1133)),"United States",
ISNUMBER(SEARCH("Republic of Ireland",S1133)),"Ireland",
ISNUMBER(SEARCH("Republic of Korea",S1133)),"South Korea",
ISNUMBER(SEARCH("Cape Verde",S1133)),"Cabo Verde",
ISNUMBER(SEARCH("Czechia",S1133)),"Czech Republic",
ISNUMBER(SEARCH("Türkiye",S1133)),"Turkey",
ISNUMBER(SEARCH("Ivory Coast",S1133)),"Côte d'Ivoire",
ISNUMBER(SEARCH("Korea Republic",S1133)),"South Korea",
ISNUMBER(SEARCH("Germany FR",S1133)),"FR Germany",
ISNUMBER(SEARCH("West Germany",S1133)),"FR Germany",
ISNUMBER(SEARCH("Germany DR",S1133)),"DR Germany",
ISNUMBER(SEARCH("Korea DPR",S1133)),"North Korea",
ISNUMBER(SEARCH("China PR",S1133)),"China",
ISNUMBER(SEARCH("IR Iran",S1133)),"Iran",
ISNUMBER(SEARCH("Congo DR",S1133)),"Democratic Republic of the Congo",
ISNUMBER(SEARCH("DR Congo",S1133)),"Democratic Republic of the Congo",
ISNUMBER(SEARCH("German DR",S1133)),"DR Germany",
ISNUMBER(SEARCH("rn""&gt;United Arab Emirates",S1133)),"United Arab Emirates",
ISNUMBER(SEARCH("rn""&gt;Republic of Ireland",S1133)),"Ireland",
ISNUMBER(SEARCH("rn""&gt;Bosnia and Herzegovina",S1133)),"Bosnia and Herzegovina",
ISNUMBER(SEARCH("rn""&gt;Trinidad and Tobago",S1133)),"Trinidad and Tobago",
ISNUMBER(SEARCH("rn""&gt;Serbia and Montenegro",S1133)),"Serbia and Montenegro",
ISNUMBER(SEARCH(_xlfn.UNICHAR(65533),S1133)),"Côte d'Ivoire",
TRUE,""
)</f>
        <v/>
      </c>
      <c r="W1133" s="12" t="str">
        <f t="shared" si="100"/>
        <v>Czech Republic</v>
      </c>
      <c r="AE1133" s="42">
        <v>2026</v>
      </c>
      <c r="AK1133" s="42">
        <v>2</v>
      </c>
      <c r="AL1133" s="42">
        <v>0</v>
      </c>
    </row>
    <row r="1134" spans="2:38">
      <c r="B1134" s="75">
        <v>697</v>
      </c>
      <c r="C1134" s="15" t="str">
        <v>Alireza Jahanbakhsh</v>
      </c>
      <c r="D1134" s="15">
        <v>32</v>
      </c>
      <c r="E1134" s="15" t="str">
        <v>Iran</v>
      </c>
      <c r="F1134" s="15" t="str">
        <v>RW</v>
      </c>
      <c r="G1134" s="15" t="str">
        <v>Dender EH</v>
      </c>
      <c r="H1134" s="15">
        <v>7</v>
      </c>
      <c r="I1134" s="15" t="str">
        <f t="shared" si="94"/>
        <v>697|Alireza Jahanbakhsh|32|Iran|RW|Dender EH|7</v>
      </c>
      <c r="J1134" s="15" t="str">
        <f>IF(COUNTIF(I$438:I1134,I1134)&gt;1,"DOUBLON","OK")</f>
        <v>OK</v>
      </c>
      <c r="S1134" s="12" t="str">
        <v>Czech Republic</v>
      </c>
      <c r="T1134" s="12" t="str">
        <f t="shared" si="98"/>
        <v>OK</v>
      </c>
      <c r="U1134" s="12" t="str">
        <f t="shared" si="99"/>
        <v>-</v>
      </c>
      <c r="V1134" s="12" t="str" cm="1">
        <f t="array" ref="V1134">_xlfn.IFS(
ISNUMBER(SEARCH("USA",S1134)),"United States",
ISNUMBER(SEARCH("Republic of Ireland",S1134)),"Ireland",
ISNUMBER(SEARCH("Republic of Korea",S1134)),"South Korea",
ISNUMBER(SEARCH("Cape Verde",S1134)),"Cabo Verde",
ISNUMBER(SEARCH("Czechia",S1134)),"Czech Republic",
ISNUMBER(SEARCH("Türkiye",S1134)),"Turkey",
ISNUMBER(SEARCH("Ivory Coast",S1134)),"Côte d'Ivoire",
ISNUMBER(SEARCH("Korea Republic",S1134)),"South Korea",
ISNUMBER(SEARCH("Germany FR",S1134)),"FR Germany",
ISNUMBER(SEARCH("West Germany",S1134)),"FR Germany",
ISNUMBER(SEARCH("Germany DR",S1134)),"DR Germany",
ISNUMBER(SEARCH("Korea DPR",S1134)),"North Korea",
ISNUMBER(SEARCH("China PR",S1134)),"China",
ISNUMBER(SEARCH("IR Iran",S1134)),"Iran",
ISNUMBER(SEARCH("Congo DR",S1134)),"Democratic Republic of the Congo",
ISNUMBER(SEARCH("DR Congo",S1134)),"Democratic Republic of the Congo",
ISNUMBER(SEARCH("German DR",S1134)),"DR Germany",
ISNUMBER(SEARCH("rn""&gt;United Arab Emirates",S1134)),"United Arab Emirates",
ISNUMBER(SEARCH("rn""&gt;Republic of Ireland",S1134)),"Ireland",
ISNUMBER(SEARCH("rn""&gt;Bosnia and Herzegovina",S1134)),"Bosnia and Herzegovina",
ISNUMBER(SEARCH("rn""&gt;Trinidad and Tobago",S1134)),"Trinidad and Tobago",
ISNUMBER(SEARCH("rn""&gt;Serbia and Montenegro",S1134)),"Serbia and Montenegro",
ISNUMBER(SEARCH(_xlfn.UNICHAR(65533),S1134)),"Côte d'Ivoire",
TRUE,""
)</f>
        <v/>
      </c>
      <c r="W1134" s="12" t="str">
        <f t="shared" si="100"/>
        <v>Czech Republic</v>
      </c>
      <c r="AE1134" s="42">
        <v>2026</v>
      </c>
      <c r="AK1134" s="42">
        <v>2</v>
      </c>
      <c r="AL1134" s="42">
        <v>1</v>
      </c>
    </row>
    <row r="1135" spans="2:38">
      <c r="B1135" s="75">
        <v>698</v>
      </c>
      <c r="C1135" s="15" t="str">
        <v>Amirhossein Hosseinzadeh</v>
      </c>
      <c r="D1135" s="15">
        <v>25</v>
      </c>
      <c r="E1135" s="15" t="str">
        <v>Iran</v>
      </c>
      <c r="F1135" s="15" t="str">
        <v>RW</v>
      </c>
      <c r="G1135" s="15" t="str">
        <v>Tractor</v>
      </c>
      <c r="H1135" s="15">
        <v>18</v>
      </c>
      <c r="I1135" s="15" t="str">
        <f t="shared" si="94"/>
        <v>698|Amirhossein Hosseinzadeh|25|Iran|RW|Tractor|18</v>
      </c>
      <c r="J1135" s="15" t="str">
        <f>IF(COUNTIF(I$438:I1135,I1135)&gt;1,"DOUBLON","OK")</f>
        <v>OK</v>
      </c>
      <c r="S1135" s="12" t="str">
        <v>Czech Republic</v>
      </c>
      <c r="T1135" s="12" t="str">
        <f t="shared" si="98"/>
        <v>OK</v>
      </c>
      <c r="U1135" s="12" t="str">
        <f t="shared" si="99"/>
        <v>-</v>
      </c>
      <c r="V1135" s="12" t="str" cm="1">
        <f t="array" ref="V1135">_xlfn.IFS(
ISNUMBER(SEARCH("USA",S1135)),"United States",
ISNUMBER(SEARCH("Republic of Ireland",S1135)),"Ireland",
ISNUMBER(SEARCH("Republic of Korea",S1135)),"South Korea",
ISNUMBER(SEARCH("Cape Verde",S1135)),"Cabo Verde",
ISNUMBER(SEARCH("Czechia",S1135)),"Czech Republic",
ISNUMBER(SEARCH("Türkiye",S1135)),"Turkey",
ISNUMBER(SEARCH("Ivory Coast",S1135)),"Côte d'Ivoire",
ISNUMBER(SEARCH("Korea Republic",S1135)),"South Korea",
ISNUMBER(SEARCH("Germany FR",S1135)),"FR Germany",
ISNUMBER(SEARCH("West Germany",S1135)),"FR Germany",
ISNUMBER(SEARCH("Germany DR",S1135)),"DR Germany",
ISNUMBER(SEARCH("Korea DPR",S1135)),"North Korea",
ISNUMBER(SEARCH("China PR",S1135)),"China",
ISNUMBER(SEARCH("IR Iran",S1135)),"Iran",
ISNUMBER(SEARCH("Congo DR",S1135)),"Democratic Republic of the Congo",
ISNUMBER(SEARCH("DR Congo",S1135)),"Democratic Republic of the Congo",
ISNUMBER(SEARCH("German DR",S1135)),"DR Germany",
ISNUMBER(SEARCH("rn""&gt;United Arab Emirates",S1135)),"United Arab Emirates",
ISNUMBER(SEARCH("rn""&gt;Republic of Ireland",S1135)),"Ireland",
ISNUMBER(SEARCH("rn""&gt;Bosnia and Herzegovina",S1135)),"Bosnia and Herzegovina",
ISNUMBER(SEARCH("rn""&gt;Trinidad and Tobago",S1135)),"Trinidad and Tobago",
ISNUMBER(SEARCH("rn""&gt;Serbia and Montenegro",S1135)),"Serbia and Montenegro",
ISNUMBER(SEARCH(_xlfn.UNICHAR(65533),S1135)),"Côte d'Ivoire",
TRUE,""
)</f>
        <v/>
      </c>
      <c r="W1135" s="12" t="str">
        <f t="shared" si="100"/>
        <v>Czech Republic</v>
      </c>
      <c r="AE1135" s="42">
        <v>2026</v>
      </c>
      <c r="AK1135" s="42">
        <v>1</v>
      </c>
      <c r="AL1135" s="42">
        <v>2</v>
      </c>
    </row>
    <row r="1136" spans="2:38">
      <c r="B1136" s="75">
        <v>699</v>
      </c>
      <c r="C1136" s="15" t="str">
        <v>Mehdi Taremi</v>
      </c>
      <c r="D1136" s="15">
        <v>33</v>
      </c>
      <c r="E1136" s="15" t="str">
        <v>Iran</v>
      </c>
      <c r="F1136" s="15" t="str">
        <v>ST</v>
      </c>
      <c r="G1136" s="15" t="str">
        <v>Olympiacos</v>
      </c>
      <c r="H1136" s="15">
        <v>9</v>
      </c>
      <c r="I1136" s="15" t="str">
        <f t="shared" si="94"/>
        <v>699|Mehdi Taremi|33|Iran|ST|Olympiacos|9</v>
      </c>
      <c r="J1136" s="15" t="str">
        <f>IF(COUNTIF(I$438:I1136,I1136)&gt;1,"DOUBLON","OK")</f>
        <v>OK</v>
      </c>
      <c r="S1136" s="12" t="str">
        <v>Czech Republic</v>
      </c>
      <c r="T1136" s="12" t="str">
        <f t="shared" si="98"/>
        <v>OK</v>
      </c>
      <c r="U1136" s="12" t="str">
        <f t="shared" si="99"/>
        <v>-</v>
      </c>
      <c r="V1136" s="12" t="str" cm="1">
        <f t="array" ref="V1136">_xlfn.IFS(
ISNUMBER(SEARCH("USA",S1136)),"United States",
ISNUMBER(SEARCH("Republic of Ireland",S1136)),"Ireland",
ISNUMBER(SEARCH("Republic of Korea",S1136)),"South Korea",
ISNUMBER(SEARCH("Cape Verde",S1136)),"Cabo Verde",
ISNUMBER(SEARCH("Czechia",S1136)),"Czech Republic",
ISNUMBER(SEARCH("Türkiye",S1136)),"Turkey",
ISNUMBER(SEARCH("Ivory Coast",S1136)),"Côte d'Ivoire",
ISNUMBER(SEARCH("Korea Republic",S1136)),"South Korea",
ISNUMBER(SEARCH("Germany FR",S1136)),"FR Germany",
ISNUMBER(SEARCH("West Germany",S1136)),"FR Germany",
ISNUMBER(SEARCH("Germany DR",S1136)),"DR Germany",
ISNUMBER(SEARCH("Korea DPR",S1136)),"North Korea",
ISNUMBER(SEARCH("China PR",S1136)),"China",
ISNUMBER(SEARCH("IR Iran",S1136)),"Iran",
ISNUMBER(SEARCH("Congo DR",S1136)),"Democratic Republic of the Congo",
ISNUMBER(SEARCH("DR Congo",S1136)),"Democratic Republic of the Congo",
ISNUMBER(SEARCH("German DR",S1136)),"DR Germany",
ISNUMBER(SEARCH("rn""&gt;United Arab Emirates",S1136)),"United Arab Emirates",
ISNUMBER(SEARCH("rn""&gt;Republic of Ireland",S1136)),"Ireland",
ISNUMBER(SEARCH("rn""&gt;Bosnia and Herzegovina",S1136)),"Bosnia and Herzegovina",
ISNUMBER(SEARCH("rn""&gt;Trinidad and Tobago",S1136)),"Trinidad and Tobago",
ISNUMBER(SEARCH("rn""&gt;Serbia and Montenegro",S1136)),"Serbia and Montenegro",
ISNUMBER(SEARCH(_xlfn.UNICHAR(65533),S1136)),"Côte d'Ivoire",
TRUE,""
)</f>
        <v/>
      </c>
      <c r="W1136" s="12" t="str">
        <f t="shared" si="100"/>
        <v>Czech Republic</v>
      </c>
      <c r="AE1136" s="42">
        <v>2026</v>
      </c>
      <c r="AK1136" s="42">
        <v>3</v>
      </c>
      <c r="AL1136" s="42">
        <v>1</v>
      </c>
    </row>
    <row r="1137" spans="2:38">
      <c r="B1137" s="75">
        <v>700</v>
      </c>
      <c r="C1137" s="15" t="str">
        <v>Ali Alipour</v>
      </c>
      <c r="D1137" s="15">
        <v>30</v>
      </c>
      <c r="E1137" s="15" t="str">
        <v>Iran</v>
      </c>
      <c r="F1137" s="15" t="str">
        <v>ST</v>
      </c>
      <c r="G1137" s="15" t="str">
        <v>Persepolis</v>
      </c>
      <c r="H1137" s="15">
        <v>11</v>
      </c>
      <c r="I1137" s="15" t="str">
        <f t="shared" si="94"/>
        <v>700|Ali Alipour|30|Iran|ST|Persepolis|11</v>
      </c>
      <c r="J1137" s="15" t="str">
        <f>IF(COUNTIF(I$438:I1137,I1137)&gt;1,"DOUBLON","OK")</f>
        <v>OK</v>
      </c>
      <c r="S1137" s="12" t="str">
        <v>Czech Republic</v>
      </c>
      <c r="T1137" s="12" t="str">
        <f t="shared" si="98"/>
        <v>OK</v>
      </c>
      <c r="U1137" s="12" t="str">
        <f t="shared" si="99"/>
        <v>-</v>
      </c>
      <c r="V1137" s="12" t="str" cm="1">
        <f t="array" ref="V1137">_xlfn.IFS(
ISNUMBER(SEARCH("USA",S1137)),"United States",
ISNUMBER(SEARCH("Republic of Ireland",S1137)),"Ireland",
ISNUMBER(SEARCH("Republic of Korea",S1137)),"South Korea",
ISNUMBER(SEARCH("Cape Verde",S1137)),"Cabo Verde",
ISNUMBER(SEARCH("Czechia",S1137)),"Czech Republic",
ISNUMBER(SEARCH("Türkiye",S1137)),"Turkey",
ISNUMBER(SEARCH("Ivory Coast",S1137)),"Côte d'Ivoire",
ISNUMBER(SEARCH("Korea Republic",S1137)),"South Korea",
ISNUMBER(SEARCH("Germany FR",S1137)),"FR Germany",
ISNUMBER(SEARCH("West Germany",S1137)),"FR Germany",
ISNUMBER(SEARCH("Germany DR",S1137)),"DR Germany",
ISNUMBER(SEARCH("Korea DPR",S1137)),"North Korea",
ISNUMBER(SEARCH("China PR",S1137)),"China",
ISNUMBER(SEARCH("IR Iran",S1137)),"Iran",
ISNUMBER(SEARCH("Congo DR",S1137)),"Democratic Republic of the Congo",
ISNUMBER(SEARCH("DR Congo",S1137)),"Democratic Republic of the Congo",
ISNUMBER(SEARCH("German DR",S1137)),"DR Germany",
ISNUMBER(SEARCH("rn""&gt;United Arab Emirates",S1137)),"United Arab Emirates",
ISNUMBER(SEARCH("rn""&gt;Republic of Ireland",S1137)),"Ireland",
ISNUMBER(SEARCH("rn""&gt;Bosnia and Herzegovina",S1137)),"Bosnia and Herzegovina",
ISNUMBER(SEARCH("rn""&gt;Trinidad and Tobago",S1137)),"Trinidad and Tobago",
ISNUMBER(SEARCH("rn""&gt;Serbia and Montenegro",S1137)),"Serbia and Montenegro",
ISNUMBER(SEARCH(_xlfn.UNICHAR(65533),S1137)),"Côte d'Ivoire",
TRUE,""
)</f>
        <v/>
      </c>
      <c r="W1137" s="12" t="str">
        <f t="shared" si="100"/>
        <v>Czech Republic</v>
      </c>
      <c r="AE1137" s="42">
        <v>2026</v>
      </c>
      <c r="AK1137" s="42">
        <v>0</v>
      </c>
      <c r="AL1137" s="42">
        <v>2</v>
      </c>
    </row>
    <row r="1138" spans="2:38">
      <c r="B1138" s="75">
        <v>701</v>
      </c>
      <c r="C1138" s="15" t="str">
        <v>Shahriyar Moghanlou</v>
      </c>
      <c r="D1138" s="15">
        <v>31</v>
      </c>
      <c r="E1138" s="15" t="str">
        <v>Iran</v>
      </c>
      <c r="F1138" s="15" t="str">
        <v>ST</v>
      </c>
      <c r="G1138" s="15" t="str">
        <v>Kalba</v>
      </c>
      <c r="H1138" s="15">
        <v>20</v>
      </c>
      <c r="I1138" s="15" t="str">
        <f t="shared" si="94"/>
        <v>701|Shahriyar Moghanlou|31|Iran|ST|Kalba|20</v>
      </c>
      <c r="J1138" s="15" t="str">
        <f>IF(COUNTIF(I$438:I1138,I1138)&gt;1,"DOUBLON","OK")</f>
        <v>OK</v>
      </c>
      <c r="S1138" s="12" t="str">
        <v>Czech Republic</v>
      </c>
      <c r="T1138" s="12" t="str">
        <f t="shared" si="98"/>
        <v>OK</v>
      </c>
      <c r="U1138" s="12" t="str">
        <f t="shared" si="99"/>
        <v>-</v>
      </c>
      <c r="V1138" s="12" t="str" cm="1">
        <f t="array" ref="V1138">_xlfn.IFS(
ISNUMBER(SEARCH("USA",S1138)),"United States",
ISNUMBER(SEARCH("Republic of Ireland",S1138)),"Ireland",
ISNUMBER(SEARCH("Republic of Korea",S1138)),"South Korea",
ISNUMBER(SEARCH("Cape Verde",S1138)),"Cabo Verde",
ISNUMBER(SEARCH("Czechia",S1138)),"Czech Republic",
ISNUMBER(SEARCH("Türkiye",S1138)),"Turkey",
ISNUMBER(SEARCH("Ivory Coast",S1138)),"Côte d'Ivoire",
ISNUMBER(SEARCH("Korea Republic",S1138)),"South Korea",
ISNUMBER(SEARCH("Germany FR",S1138)),"FR Germany",
ISNUMBER(SEARCH("West Germany",S1138)),"FR Germany",
ISNUMBER(SEARCH("Germany DR",S1138)),"DR Germany",
ISNUMBER(SEARCH("Korea DPR",S1138)),"North Korea",
ISNUMBER(SEARCH("China PR",S1138)),"China",
ISNUMBER(SEARCH("IR Iran",S1138)),"Iran",
ISNUMBER(SEARCH("Congo DR",S1138)),"Democratic Republic of the Congo",
ISNUMBER(SEARCH("DR Congo",S1138)),"Democratic Republic of the Congo",
ISNUMBER(SEARCH("German DR",S1138)),"DR Germany",
ISNUMBER(SEARCH("rn""&gt;United Arab Emirates",S1138)),"United Arab Emirates",
ISNUMBER(SEARCH("rn""&gt;Republic of Ireland",S1138)),"Ireland",
ISNUMBER(SEARCH("rn""&gt;Bosnia and Herzegovina",S1138)),"Bosnia and Herzegovina",
ISNUMBER(SEARCH("rn""&gt;Trinidad and Tobago",S1138)),"Trinidad and Tobago",
ISNUMBER(SEARCH("rn""&gt;Serbia and Montenegro",S1138)),"Serbia and Montenegro",
ISNUMBER(SEARCH(_xlfn.UNICHAR(65533),S1138)),"Côte d'Ivoire",
TRUE,""
)</f>
        <v/>
      </c>
      <c r="W1138" s="12" t="str">
        <f t="shared" si="100"/>
        <v>Czech Republic</v>
      </c>
      <c r="AE1138" s="42">
        <v>2026</v>
      </c>
      <c r="AK1138" s="42">
        <v>1</v>
      </c>
      <c r="AL1138" s="42">
        <v>2</v>
      </c>
    </row>
    <row r="1139" spans="2:38">
      <c r="B1139" s="75">
        <v>702</v>
      </c>
      <c r="C1139" s="15" t="str">
        <v>Dennis Eckert</v>
      </c>
      <c r="D1139" s="15">
        <v>29</v>
      </c>
      <c r="E1139" s="15" t="str">
        <v>Iran</v>
      </c>
      <c r="F1139" s="15" t="str">
        <v>ST</v>
      </c>
      <c r="G1139" s="15" t="str">
        <v>Standard Liège</v>
      </c>
      <c r="H1139" s="15">
        <v>24</v>
      </c>
      <c r="I1139" s="15" t="str">
        <f t="shared" si="94"/>
        <v>702|Dennis Eckert|29|Iran|ST|Standard Liège|24</v>
      </c>
      <c r="J1139" s="15" t="str">
        <f>IF(COUNTIF(I$438:I1139,I1139)&gt;1,"DOUBLON","OK")</f>
        <v>OK</v>
      </c>
      <c r="S1139" s="12" t="str">
        <v>Czech Republic</v>
      </c>
      <c r="T1139" s="12" t="str">
        <f t="shared" si="98"/>
        <v>OK</v>
      </c>
      <c r="U1139" s="12" t="str">
        <f t="shared" si="99"/>
        <v>-</v>
      </c>
      <c r="V1139" s="12" t="str" cm="1">
        <f t="array" ref="V1139">_xlfn.IFS(
ISNUMBER(SEARCH("USA",S1139)),"United States",
ISNUMBER(SEARCH("Republic of Ireland",S1139)),"Ireland",
ISNUMBER(SEARCH("Republic of Korea",S1139)),"South Korea",
ISNUMBER(SEARCH("Cape Verde",S1139)),"Cabo Verde",
ISNUMBER(SEARCH("Czechia",S1139)),"Czech Republic",
ISNUMBER(SEARCH("Türkiye",S1139)),"Turkey",
ISNUMBER(SEARCH("Ivory Coast",S1139)),"Côte d'Ivoire",
ISNUMBER(SEARCH("Korea Republic",S1139)),"South Korea",
ISNUMBER(SEARCH("Germany FR",S1139)),"FR Germany",
ISNUMBER(SEARCH("West Germany",S1139)),"FR Germany",
ISNUMBER(SEARCH("Germany DR",S1139)),"DR Germany",
ISNUMBER(SEARCH("Korea DPR",S1139)),"North Korea",
ISNUMBER(SEARCH("China PR",S1139)),"China",
ISNUMBER(SEARCH("IR Iran",S1139)),"Iran",
ISNUMBER(SEARCH("Congo DR",S1139)),"Democratic Republic of the Congo",
ISNUMBER(SEARCH("DR Congo",S1139)),"Democratic Republic of the Congo",
ISNUMBER(SEARCH("German DR",S1139)),"DR Germany",
ISNUMBER(SEARCH("rn""&gt;United Arab Emirates",S1139)),"United Arab Emirates",
ISNUMBER(SEARCH("rn""&gt;Republic of Ireland",S1139)),"Ireland",
ISNUMBER(SEARCH("rn""&gt;Bosnia and Herzegovina",S1139)),"Bosnia and Herzegovina",
ISNUMBER(SEARCH("rn""&gt;Trinidad and Tobago",S1139)),"Trinidad and Tobago",
ISNUMBER(SEARCH("rn""&gt;Serbia and Montenegro",S1139)),"Serbia and Montenegro",
ISNUMBER(SEARCH(_xlfn.UNICHAR(65533),S1139)),"Côte d'Ivoire",
TRUE,""
)</f>
        <v/>
      </c>
      <c r="W1139" s="12" t="str">
        <f t="shared" si="100"/>
        <v>Czech Republic</v>
      </c>
      <c r="AE1139" s="42">
        <v>2026</v>
      </c>
      <c r="AK1139" s="42">
        <v>4</v>
      </c>
      <c r="AL1139" s="42">
        <v>6</v>
      </c>
    </row>
    <row r="1140" spans="2:38">
      <c r="B1140" s="75">
        <v>703</v>
      </c>
      <c r="C1140" s="15" t="str">
        <v>Max Crocombe</v>
      </c>
      <c r="D1140" s="15">
        <v>32</v>
      </c>
      <c r="E1140" s="15" t="str">
        <v>New Zealand</v>
      </c>
      <c r="F1140" s="15" t="str">
        <v>GK</v>
      </c>
      <c r="G1140" s="15" t="str">
        <v>Millwall</v>
      </c>
      <c r="H1140" s="15">
        <v>1</v>
      </c>
      <c r="I1140" s="15" t="str">
        <f t="shared" si="94"/>
        <v>703|Max Crocombe|32|New Zealand|GK|Millwall|1</v>
      </c>
      <c r="J1140" s="15" t="str">
        <f>IF(COUNTIF(I$438:I1140,I1140)&gt;1,"DOUBLON","OK")</f>
        <v>OK</v>
      </c>
      <c r="S1140" s="12" t="str">
        <v>Czech Republic</v>
      </c>
      <c r="T1140" s="12" t="str">
        <f t="shared" si="98"/>
        <v>OK</v>
      </c>
      <c r="U1140" s="12" t="str">
        <f t="shared" si="99"/>
        <v>-</v>
      </c>
      <c r="V1140" s="12" t="str" cm="1">
        <f t="array" ref="V1140">_xlfn.IFS(
ISNUMBER(SEARCH("USA",S1140)),"United States",
ISNUMBER(SEARCH("Republic of Ireland",S1140)),"Ireland",
ISNUMBER(SEARCH("Republic of Korea",S1140)),"South Korea",
ISNUMBER(SEARCH("Cape Verde",S1140)),"Cabo Verde",
ISNUMBER(SEARCH("Czechia",S1140)),"Czech Republic",
ISNUMBER(SEARCH("Türkiye",S1140)),"Turkey",
ISNUMBER(SEARCH("Ivory Coast",S1140)),"Côte d'Ivoire",
ISNUMBER(SEARCH("Korea Republic",S1140)),"South Korea",
ISNUMBER(SEARCH("Germany FR",S1140)),"FR Germany",
ISNUMBER(SEARCH("West Germany",S1140)),"FR Germany",
ISNUMBER(SEARCH("Germany DR",S1140)),"DR Germany",
ISNUMBER(SEARCH("Korea DPR",S1140)),"North Korea",
ISNUMBER(SEARCH("China PR",S1140)),"China",
ISNUMBER(SEARCH("IR Iran",S1140)),"Iran",
ISNUMBER(SEARCH("Congo DR",S1140)),"Democratic Republic of the Congo",
ISNUMBER(SEARCH("DR Congo",S1140)),"Democratic Republic of the Congo",
ISNUMBER(SEARCH("German DR",S1140)),"DR Germany",
ISNUMBER(SEARCH("rn""&gt;United Arab Emirates",S1140)),"United Arab Emirates",
ISNUMBER(SEARCH("rn""&gt;Republic of Ireland",S1140)),"Ireland",
ISNUMBER(SEARCH("rn""&gt;Bosnia and Herzegovina",S1140)),"Bosnia and Herzegovina",
ISNUMBER(SEARCH("rn""&gt;Trinidad and Tobago",S1140)),"Trinidad and Tobago",
ISNUMBER(SEARCH("rn""&gt;Serbia and Montenegro",S1140)),"Serbia and Montenegro",
ISNUMBER(SEARCH(_xlfn.UNICHAR(65533),S1140)),"Côte d'Ivoire",
TRUE,""
)</f>
        <v/>
      </c>
      <c r="W1140" s="12" t="str">
        <f t="shared" si="100"/>
        <v>Czech Republic</v>
      </c>
      <c r="AE1140" s="42">
        <v>2026</v>
      </c>
      <c r="AK1140" s="42">
        <v>1</v>
      </c>
      <c r="AL1140" s="42">
        <v>0</v>
      </c>
    </row>
    <row r="1141" spans="2:38">
      <c r="B1141" s="75">
        <v>704</v>
      </c>
      <c r="C1141" s="15" t="str">
        <v>Alex Paulsen</v>
      </c>
      <c r="D1141" s="15">
        <v>23</v>
      </c>
      <c r="E1141" s="15" t="str">
        <v>New Zealand</v>
      </c>
      <c r="F1141" s="15" t="str">
        <v>GK</v>
      </c>
      <c r="G1141" s="15" t="str">
        <v>Lechia Gdańsk</v>
      </c>
      <c r="H1141" s="15">
        <v>12</v>
      </c>
      <c r="I1141" s="15" t="str">
        <f t="shared" si="94"/>
        <v>704|Alex Paulsen|23|New Zealand|GK|Lechia Gdańsk|12</v>
      </c>
      <c r="J1141" s="15" t="str">
        <f>IF(COUNTIF(I$438:I1141,I1141)&gt;1,"DOUBLON","OK")</f>
        <v>OK</v>
      </c>
      <c r="S1141" s="12" t="str">
        <v>Czech Republic</v>
      </c>
      <c r="T1141" s="12" t="str">
        <f t="shared" si="98"/>
        <v>OK</v>
      </c>
      <c r="U1141" s="12" t="str">
        <f t="shared" si="99"/>
        <v>-</v>
      </c>
      <c r="V1141" s="12" t="str" cm="1">
        <f t="array" ref="V1141">_xlfn.IFS(
ISNUMBER(SEARCH("USA",S1141)),"United States",
ISNUMBER(SEARCH("Republic of Ireland",S1141)),"Ireland",
ISNUMBER(SEARCH("Republic of Korea",S1141)),"South Korea",
ISNUMBER(SEARCH("Cape Verde",S1141)),"Cabo Verde",
ISNUMBER(SEARCH("Czechia",S1141)),"Czech Republic",
ISNUMBER(SEARCH("Türkiye",S1141)),"Turkey",
ISNUMBER(SEARCH("Ivory Coast",S1141)),"Côte d'Ivoire",
ISNUMBER(SEARCH("Korea Republic",S1141)),"South Korea",
ISNUMBER(SEARCH("Germany FR",S1141)),"FR Germany",
ISNUMBER(SEARCH("West Germany",S1141)),"FR Germany",
ISNUMBER(SEARCH("Germany DR",S1141)),"DR Germany",
ISNUMBER(SEARCH("Korea DPR",S1141)),"North Korea",
ISNUMBER(SEARCH("China PR",S1141)),"China",
ISNUMBER(SEARCH("IR Iran",S1141)),"Iran",
ISNUMBER(SEARCH("Congo DR",S1141)),"Democratic Republic of the Congo",
ISNUMBER(SEARCH("DR Congo",S1141)),"Democratic Republic of the Congo",
ISNUMBER(SEARCH("German DR",S1141)),"DR Germany",
ISNUMBER(SEARCH("rn""&gt;United Arab Emirates",S1141)),"United Arab Emirates",
ISNUMBER(SEARCH("rn""&gt;Republic of Ireland",S1141)),"Ireland",
ISNUMBER(SEARCH("rn""&gt;Bosnia and Herzegovina",S1141)),"Bosnia and Herzegovina",
ISNUMBER(SEARCH("rn""&gt;Trinidad and Tobago",S1141)),"Trinidad and Tobago",
ISNUMBER(SEARCH("rn""&gt;Serbia and Montenegro",S1141)),"Serbia and Montenegro",
ISNUMBER(SEARCH(_xlfn.UNICHAR(65533),S1141)),"Côte d'Ivoire",
TRUE,""
)</f>
        <v/>
      </c>
      <c r="W1141" s="12" t="str">
        <f t="shared" si="100"/>
        <v>Czech Republic</v>
      </c>
    </row>
    <row r="1142" spans="2:38">
      <c r="B1142" s="75">
        <v>705</v>
      </c>
      <c r="C1142" s="15" t="str">
        <v>Michael Woud</v>
      </c>
      <c r="D1142" s="15">
        <v>27</v>
      </c>
      <c r="E1142" s="15" t="str">
        <v>New Zealand</v>
      </c>
      <c r="F1142" s="15" t="str">
        <v>GK</v>
      </c>
      <c r="G1142" s="15" t="str">
        <v>Auckland FC</v>
      </c>
      <c r="H1142" s="15">
        <v>22</v>
      </c>
      <c r="I1142" s="15" t="str">
        <f t="shared" si="94"/>
        <v>705|Michael Woud|27|New Zealand|GK|Auckland FC|22</v>
      </c>
      <c r="J1142" s="15" t="str">
        <f>IF(COUNTIF(I$438:I1142,I1142)&gt;1,"DOUBLON","OK")</f>
        <v>OK</v>
      </c>
      <c r="S1142" s="12" t="str">
        <v>Czech Republic</v>
      </c>
      <c r="T1142" s="12" t="str">
        <f t="shared" si="98"/>
        <v>OK</v>
      </c>
      <c r="U1142" s="12" t="str">
        <f t="shared" si="99"/>
        <v>-</v>
      </c>
      <c r="V1142" s="12" t="str" cm="1">
        <f t="array" ref="V1142">_xlfn.IFS(
ISNUMBER(SEARCH("USA",S1142)),"United States",
ISNUMBER(SEARCH("Republic of Ireland",S1142)),"Ireland",
ISNUMBER(SEARCH("Republic of Korea",S1142)),"South Korea",
ISNUMBER(SEARCH("Cape Verde",S1142)),"Cabo Verde",
ISNUMBER(SEARCH("Czechia",S1142)),"Czech Republic",
ISNUMBER(SEARCH("Türkiye",S1142)),"Turkey",
ISNUMBER(SEARCH("Ivory Coast",S1142)),"Côte d'Ivoire",
ISNUMBER(SEARCH("Korea Republic",S1142)),"South Korea",
ISNUMBER(SEARCH("Germany FR",S1142)),"FR Germany",
ISNUMBER(SEARCH("West Germany",S1142)),"FR Germany",
ISNUMBER(SEARCH("Germany DR",S1142)),"DR Germany",
ISNUMBER(SEARCH("Korea DPR",S1142)),"North Korea",
ISNUMBER(SEARCH("China PR",S1142)),"China",
ISNUMBER(SEARCH("IR Iran",S1142)),"Iran",
ISNUMBER(SEARCH("Congo DR",S1142)),"Democratic Republic of the Congo",
ISNUMBER(SEARCH("DR Congo",S1142)),"Democratic Republic of the Congo",
ISNUMBER(SEARCH("German DR",S1142)),"DR Germany",
ISNUMBER(SEARCH("rn""&gt;United Arab Emirates",S1142)),"United Arab Emirates",
ISNUMBER(SEARCH("rn""&gt;Republic of Ireland",S1142)),"Ireland",
ISNUMBER(SEARCH("rn""&gt;Bosnia and Herzegovina",S1142)),"Bosnia and Herzegovina",
ISNUMBER(SEARCH("rn""&gt;Trinidad and Tobago",S1142)),"Trinidad and Tobago",
ISNUMBER(SEARCH("rn""&gt;Serbia and Montenegro",S1142)),"Serbia and Montenegro",
ISNUMBER(SEARCH(_xlfn.UNICHAR(65533),S1142)),"Côte d'Ivoire",
TRUE,""
)</f>
        <v/>
      </c>
      <c r="W1142" s="12" t="str">
        <f t="shared" si="100"/>
        <v>Czech Republic</v>
      </c>
    </row>
    <row r="1143" spans="2:38">
      <c r="B1143" s="75">
        <v>706</v>
      </c>
      <c r="C1143" s="15" t="str">
        <v>Tyler Bindon</v>
      </c>
      <c r="D1143" s="15">
        <v>21</v>
      </c>
      <c r="E1143" s="15" t="str">
        <v>New Zealand</v>
      </c>
      <c r="F1143" s="15" t="str">
        <v>CB</v>
      </c>
      <c r="G1143" s="15" t="str">
        <v>Sheffield United</v>
      </c>
      <c r="H1143" s="15">
        <v>4</v>
      </c>
      <c r="I1143" s="15" t="str">
        <f t="shared" ref="I1143:I1206" si="101">B1143&amp;"|"&amp;C1143&amp;"|"&amp;D1143&amp;"|"&amp;E1143&amp;"|"&amp;F1143&amp;"|"&amp;G1143&amp;"|"&amp;H1143</f>
        <v>706|Tyler Bindon|21|New Zealand|CB|Sheffield United|4</v>
      </c>
      <c r="J1143" s="15" t="str">
        <f>IF(COUNTIF(I$438:I1143,I1143)&gt;1,"DOUBLON","OK")</f>
        <v>OK</v>
      </c>
      <c r="S1143" s="12" t="str">
        <v>Czech Republic</v>
      </c>
      <c r="T1143" s="12" t="str">
        <f t="shared" si="98"/>
        <v>OK</v>
      </c>
      <c r="U1143" s="12" t="str">
        <f t="shared" si="99"/>
        <v>-</v>
      </c>
      <c r="V1143" s="12" t="str" cm="1">
        <f t="array" ref="V1143">_xlfn.IFS(
ISNUMBER(SEARCH("USA",S1143)),"United States",
ISNUMBER(SEARCH("Republic of Ireland",S1143)),"Ireland",
ISNUMBER(SEARCH("Republic of Korea",S1143)),"South Korea",
ISNUMBER(SEARCH("Cape Verde",S1143)),"Cabo Verde",
ISNUMBER(SEARCH("Czechia",S1143)),"Czech Republic",
ISNUMBER(SEARCH("Türkiye",S1143)),"Turkey",
ISNUMBER(SEARCH("Ivory Coast",S1143)),"Côte d'Ivoire",
ISNUMBER(SEARCH("Korea Republic",S1143)),"South Korea",
ISNUMBER(SEARCH("Germany FR",S1143)),"FR Germany",
ISNUMBER(SEARCH("West Germany",S1143)),"FR Germany",
ISNUMBER(SEARCH("Germany DR",S1143)),"DR Germany",
ISNUMBER(SEARCH("Korea DPR",S1143)),"North Korea",
ISNUMBER(SEARCH("China PR",S1143)),"China",
ISNUMBER(SEARCH("IR Iran",S1143)),"Iran",
ISNUMBER(SEARCH("Congo DR",S1143)),"Democratic Republic of the Congo",
ISNUMBER(SEARCH("DR Congo",S1143)),"Democratic Republic of the Congo",
ISNUMBER(SEARCH("German DR",S1143)),"DR Germany",
ISNUMBER(SEARCH("rn""&gt;United Arab Emirates",S1143)),"United Arab Emirates",
ISNUMBER(SEARCH("rn""&gt;Republic of Ireland",S1143)),"Ireland",
ISNUMBER(SEARCH("rn""&gt;Bosnia and Herzegovina",S1143)),"Bosnia and Herzegovina",
ISNUMBER(SEARCH("rn""&gt;Trinidad and Tobago",S1143)),"Trinidad and Tobago",
ISNUMBER(SEARCH("rn""&gt;Serbia and Montenegro",S1143)),"Serbia and Montenegro",
ISNUMBER(SEARCH(_xlfn.UNICHAR(65533),S1143)),"Côte d'Ivoire",
TRUE,""
)</f>
        <v/>
      </c>
      <c r="W1143" s="12" t="str">
        <f t="shared" si="100"/>
        <v>Czech Republic</v>
      </c>
    </row>
    <row r="1144" spans="2:38">
      <c r="B1144" s="75">
        <v>707</v>
      </c>
      <c r="C1144" s="15" t="str">
        <v>Michael Boxall</v>
      </c>
      <c r="D1144" s="15">
        <v>37</v>
      </c>
      <c r="E1144" s="15" t="str">
        <v>New Zealand</v>
      </c>
      <c r="F1144" s="15" t="str">
        <v>CB</v>
      </c>
      <c r="G1144" s="15" t="str">
        <v>Minnesota United FC</v>
      </c>
      <c r="H1144" s="15">
        <v>5</v>
      </c>
      <c r="I1144" s="15" t="str">
        <f t="shared" si="101"/>
        <v>707|Michael Boxall|37|New Zealand|CB|Minnesota United FC|5</v>
      </c>
      <c r="J1144" s="15" t="str">
        <f>IF(COUNTIF(I$438:I1144,I1144)&gt;1,"DOUBLON","OK")</f>
        <v>OK</v>
      </c>
      <c r="S1144" s="12" t="str">
        <v>Czech Republic</v>
      </c>
      <c r="T1144" s="12" t="str">
        <f t="shared" si="98"/>
        <v>OK</v>
      </c>
      <c r="U1144" s="12" t="str">
        <f t="shared" si="99"/>
        <v>-</v>
      </c>
      <c r="V1144" s="12" t="str" cm="1">
        <f t="array" ref="V1144">_xlfn.IFS(
ISNUMBER(SEARCH("USA",S1144)),"United States",
ISNUMBER(SEARCH("Republic of Ireland",S1144)),"Ireland",
ISNUMBER(SEARCH("Republic of Korea",S1144)),"South Korea",
ISNUMBER(SEARCH("Cape Verde",S1144)),"Cabo Verde",
ISNUMBER(SEARCH("Czechia",S1144)),"Czech Republic",
ISNUMBER(SEARCH("Türkiye",S1144)),"Turkey",
ISNUMBER(SEARCH("Ivory Coast",S1144)),"Côte d'Ivoire",
ISNUMBER(SEARCH("Korea Republic",S1144)),"South Korea",
ISNUMBER(SEARCH("Germany FR",S1144)),"FR Germany",
ISNUMBER(SEARCH("West Germany",S1144)),"FR Germany",
ISNUMBER(SEARCH("Germany DR",S1144)),"DR Germany",
ISNUMBER(SEARCH("Korea DPR",S1144)),"North Korea",
ISNUMBER(SEARCH("China PR",S1144)),"China",
ISNUMBER(SEARCH("IR Iran",S1144)),"Iran",
ISNUMBER(SEARCH("Congo DR",S1144)),"Democratic Republic of the Congo",
ISNUMBER(SEARCH("DR Congo",S1144)),"Democratic Republic of the Congo",
ISNUMBER(SEARCH("German DR",S1144)),"DR Germany",
ISNUMBER(SEARCH("rn""&gt;United Arab Emirates",S1144)),"United Arab Emirates",
ISNUMBER(SEARCH("rn""&gt;Republic of Ireland",S1144)),"Ireland",
ISNUMBER(SEARCH("rn""&gt;Bosnia and Herzegovina",S1144)),"Bosnia and Herzegovina",
ISNUMBER(SEARCH("rn""&gt;Trinidad and Tobago",S1144)),"Trinidad and Tobago",
ISNUMBER(SEARCH("rn""&gt;Serbia and Montenegro",S1144)),"Serbia and Montenegro",
ISNUMBER(SEARCH(_xlfn.UNICHAR(65533),S1144)),"Côte d'Ivoire",
TRUE,""
)</f>
        <v/>
      </c>
      <c r="W1144" s="12" t="str">
        <f t="shared" si="100"/>
        <v>Czech Republic</v>
      </c>
    </row>
    <row r="1145" spans="2:38">
      <c r="B1145" s="75">
        <v>708</v>
      </c>
      <c r="C1145" s="15" t="str">
        <v>Nando Pijnaker</v>
      </c>
      <c r="D1145" s="15">
        <v>27</v>
      </c>
      <c r="E1145" s="15" t="str">
        <v>New Zealand</v>
      </c>
      <c r="F1145" s="15" t="str">
        <v>CB</v>
      </c>
      <c r="G1145" s="15" t="str">
        <v>Auckland FC</v>
      </c>
      <c r="H1145" s="15">
        <v>15</v>
      </c>
      <c r="I1145" s="15" t="str">
        <f t="shared" si="101"/>
        <v>708|Nando Pijnaker|27|New Zealand|CB|Auckland FC|15</v>
      </c>
      <c r="J1145" s="15" t="str">
        <f>IF(COUNTIF(I$438:I1145,I1145)&gt;1,"DOUBLON","OK")</f>
        <v>OK</v>
      </c>
      <c r="S1145" s="12" t="str">
        <v>Czech Republic</v>
      </c>
      <c r="T1145" s="12" t="str">
        <f t="shared" si="98"/>
        <v>OK</v>
      </c>
      <c r="U1145" s="12" t="str">
        <f t="shared" si="99"/>
        <v>-</v>
      </c>
      <c r="V1145" s="12" t="str" cm="1">
        <f t="array" ref="V1145">_xlfn.IFS(
ISNUMBER(SEARCH("USA",S1145)),"United States",
ISNUMBER(SEARCH("Republic of Ireland",S1145)),"Ireland",
ISNUMBER(SEARCH("Republic of Korea",S1145)),"South Korea",
ISNUMBER(SEARCH("Cape Verde",S1145)),"Cabo Verde",
ISNUMBER(SEARCH("Czechia",S1145)),"Czech Republic",
ISNUMBER(SEARCH("Türkiye",S1145)),"Turkey",
ISNUMBER(SEARCH("Ivory Coast",S1145)),"Côte d'Ivoire",
ISNUMBER(SEARCH("Korea Republic",S1145)),"South Korea",
ISNUMBER(SEARCH("Germany FR",S1145)),"FR Germany",
ISNUMBER(SEARCH("West Germany",S1145)),"FR Germany",
ISNUMBER(SEARCH("Germany DR",S1145)),"DR Germany",
ISNUMBER(SEARCH("Korea DPR",S1145)),"North Korea",
ISNUMBER(SEARCH("China PR",S1145)),"China",
ISNUMBER(SEARCH("IR Iran",S1145)),"Iran",
ISNUMBER(SEARCH("Congo DR",S1145)),"Democratic Republic of the Congo",
ISNUMBER(SEARCH("DR Congo",S1145)),"Democratic Republic of the Congo",
ISNUMBER(SEARCH("German DR",S1145)),"DR Germany",
ISNUMBER(SEARCH("rn""&gt;United Arab Emirates",S1145)),"United Arab Emirates",
ISNUMBER(SEARCH("rn""&gt;Republic of Ireland",S1145)),"Ireland",
ISNUMBER(SEARCH("rn""&gt;Bosnia and Herzegovina",S1145)),"Bosnia and Herzegovina",
ISNUMBER(SEARCH("rn""&gt;Trinidad and Tobago",S1145)),"Trinidad and Tobago",
ISNUMBER(SEARCH("rn""&gt;Serbia and Montenegro",S1145)),"Serbia and Montenegro",
ISNUMBER(SEARCH(_xlfn.UNICHAR(65533),S1145)),"Côte d'Ivoire",
TRUE,""
)</f>
        <v/>
      </c>
      <c r="W1145" s="12" t="str">
        <f t="shared" si="100"/>
        <v>Czech Republic</v>
      </c>
    </row>
    <row r="1146" spans="2:38">
      <c r="B1146" s="75">
        <v>709</v>
      </c>
      <c r="C1146" s="15" t="str">
        <v>Finn Surman</v>
      </c>
      <c r="D1146" s="15">
        <v>22</v>
      </c>
      <c r="E1146" s="15" t="str">
        <v>New Zealand</v>
      </c>
      <c r="F1146" s="15" t="str">
        <v>CB</v>
      </c>
      <c r="G1146" s="15" t="str">
        <v>Portland Timbers</v>
      </c>
      <c r="H1146" s="15">
        <v>16</v>
      </c>
      <c r="I1146" s="15" t="str">
        <f t="shared" si="101"/>
        <v>709|Finn Surman|22|New Zealand|CB|Portland Timbers|16</v>
      </c>
      <c r="J1146" s="15" t="str">
        <f>IF(COUNTIF(I$438:I1146,I1146)&gt;1,"DOUBLON","OK")</f>
        <v>OK</v>
      </c>
      <c r="S1146" s="12" t="str">
        <v>Czech Republic</v>
      </c>
      <c r="T1146" s="12" t="str">
        <f t="shared" si="98"/>
        <v>OK</v>
      </c>
      <c r="U1146" s="12" t="str">
        <f t="shared" si="99"/>
        <v>-</v>
      </c>
      <c r="V1146" s="12" t="str" cm="1">
        <f t="array" ref="V1146">_xlfn.IFS(
ISNUMBER(SEARCH("USA",S1146)),"United States",
ISNUMBER(SEARCH("Republic of Ireland",S1146)),"Ireland",
ISNUMBER(SEARCH("Republic of Korea",S1146)),"South Korea",
ISNUMBER(SEARCH("Cape Verde",S1146)),"Cabo Verde",
ISNUMBER(SEARCH("Czechia",S1146)),"Czech Republic",
ISNUMBER(SEARCH("Türkiye",S1146)),"Turkey",
ISNUMBER(SEARCH("Ivory Coast",S1146)),"Côte d'Ivoire",
ISNUMBER(SEARCH("Korea Republic",S1146)),"South Korea",
ISNUMBER(SEARCH("Germany FR",S1146)),"FR Germany",
ISNUMBER(SEARCH("West Germany",S1146)),"FR Germany",
ISNUMBER(SEARCH("Germany DR",S1146)),"DR Germany",
ISNUMBER(SEARCH("Korea DPR",S1146)),"North Korea",
ISNUMBER(SEARCH("China PR",S1146)),"China",
ISNUMBER(SEARCH("IR Iran",S1146)),"Iran",
ISNUMBER(SEARCH("Congo DR",S1146)),"Democratic Republic of the Congo",
ISNUMBER(SEARCH("DR Congo",S1146)),"Democratic Republic of the Congo",
ISNUMBER(SEARCH("German DR",S1146)),"DR Germany",
ISNUMBER(SEARCH("rn""&gt;United Arab Emirates",S1146)),"United Arab Emirates",
ISNUMBER(SEARCH("rn""&gt;Republic of Ireland",S1146)),"Ireland",
ISNUMBER(SEARCH("rn""&gt;Bosnia and Herzegovina",S1146)),"Bosnia and Herzegovina",
ISNUMBER(SEARCH("rn""&gt;Trinidad and Tobago",S1146)),"Trinidad and Tobago",
ISNUMBER(SEARCH("rn""&gt;Serbia and Montenegro",S1146)),"Serbia and Montenegro",
ISNUMBER(SEARCH(_xlfn.UNICHAR(65533),S1146)),"Côte d'Ivoire",
TRUE,""
)</f>
        <v/>
      </c>
      <c r="W1146" s="12" t="str">
        <f t="shared" si="100"/>
        <v>Czech Republic</v>
      </c>
    </row>
    <row r="1147" spans="2:38">
      <c r="B1147" s="75">
        <v>710</v>
      </c>
      <c r="C1147" s="15" t="str">
        <v>Tommy Smith</v>
      </c>
      <c r="D1147" s="15">
        <v>36</v>
      </c>
      <c r="E1147" s="15" t="str">
        <v>New Zealand</v>
      </c>
      <c r="F1147" s="15" t="str">
        <v>CB</v>
      </c>
      <c r="G1147" s="15" t="str">
        <v>Braintree Town</v>
      </c>
      <c r="H1147" s="15">
        <v>26</v>
      </c>
      <c r="I1147" s="15" t="str">
        <f t="shared" si="101"/>
        <v>710|Tommy Smith|36|New Zealand|CB|Braintree Town|26</v>
      </c>
      <c r="J1147" s="15" t="str">
        <f>IF(COUNTIF(I$438:I1147,I1147)&gt;1,"DOUBLON","OK")</f>
        <v>OK</v>
      </c>
      <c r="S1147" s="12" t="str">
        <v>Mexico</v>
      </c>
      <c r="T1147" s="12" t="str">
        <f t="shared" si="98"/>
        <v>OK</v>
      </c>
      <c r="U1147" s="12" t="str">
        <f t="shared" si="99"/>
        <v>-</v>
      </c>
      <c r="V1147" s="12" t="str" cm="1">
        <f t="array" ref="V1147">_xlfn.IFS(
ISNUMBER(SEARCH("USA",S1147)),"United States",
ISNUMBER(SEARCH("Republic of Ireland",S1147)),"Ireland",
ISNUMBER(SEARCH("Republic of Korea",S1147)),"South Korea",
ISNUMBER(SEARCH("Cape Verde",S1147)),"Cabo Verde",
ISNUMBER(SEARCH("Czechia",S1147)),"Czech Republic",
ISNUMBER(SEARCH("Türkiye",S1147)),"Turkey",
ISNUMBER(SEARCH("Ivory Coast",S1147)),"Côte d'Ivoire",
ISNUMBER(SEARCH("Korea Republic",S1147)),"South Korea",
ISNUMBER(SEARCH("Germany FR",S1147)),"FR Germany",
ISNUMBER(SEARCH("West Germany",S1147)),"FR Germany",
ISNUMBER(SEARCH("Germany DR",S1147)),"DR Germany",
ISNUMBER(SEARCH("Korea DPR",S1147)),"North Korea",
ISNUMBER(SEARCH("China PR",S1147)),"China",
ISNUMBER(SEARCH("IR Iran",S1147)),"Iran",
ISNUMBER(SEARCH("Congo DR",S1147)),"Democratic Republic of the Congo",
ISNUMBER(SEARCH("DR Congo",S1147)),"Democratic Republic of the Congo",
ISNUMBER(SEARCH("German DR",S1147)),"DR Germany",
ISNUMBER(SEARCH("rn""&gt;United Arab Emirates",S1147)),"United Arab Emirates",
ISNUMBER(SEARCH("rn""&gt;Republic of Ireland",S1147)),"Ireland",
ISNUMBER(SEARCH("rn""&gt;Bosnia and Herzegovina",S1147)),"Bosnia and Herzegovina",
ISNUMBER(SEARCH("rn""&gt;Trinidad and Tobago",S1147)),"Trinidad and Tobago",
ISNUMBER(SEARCH("rn""&gt;Serbia and Montenegro",S1147)),"Serbia and Montenegro",
ISNUMBER(SEARCH(_xlfn.UNICHAR(65533),S1147)),"Côte d'Ivoire",
TRUE,""
)</f>
        <v/>
      </c>
      <c r="W1147" s="12" t="str">
        <f t="shared" si="100"/>
        <v>Mexico</v>
      </c>
    </row>
    <row r="1148" spans="2:38">
      <c r="B1148" s="75">
        <v>711</v>
      </c>
      <c r="C1148" s="15" t="str">
        <v>Francis de Vries</v>
      </c>
      <c r="D1148" s="15">
        <v>31</v>
      </c>
      <c r="E1148" s="15" t="str">
        <v>New Zealand</v>
      </c>
      <c r="F1148" s="15" t="str">
        <v>LB</v>
      </c>
      <c r="G1148" s="15" t="str">
        <v>Auckland FC</v>
      </c>
      <c r="H1148" s="15">
        <v>3</v>
      </c>
      <c r="I1148" s="15" t="str">
        <f t="shared" si="101"/>
        <v>711|Francis de Vries|31|New Zealand|LB|Auckland FC|3</v>
      </c>
      <c r="J1148" s="15" t="str">
        <f>IF(COUNTIF(I$438:I1148,I1148)&gt;1,"DOUBLON","OK")</f>
        <v>OK</v>
      </c>
      <c r="S1148" s="12" t="str">
        <v>Mexico</v>
      </c>
      <c r="T1148" s="12" t="str">
        <f t="shared" si="98"/>
        <v>OK</v>
      </c>
      <c r="U1148" s="12" t="str">
        <f t="shared" si="99"/>
        <v>-</v>
      </c>
      <c r="V1148" s="12" t="str" cm="1">
        <f t="array" ref="V1148">_xlfn.IFS(
ISNUMBER(SEARCH("USA",S1148)),"United States",
ISNUMBER(SEARCH("Republic of Ireland",S1148)),"Ireland",
ISNUMBER(SEARCH("Republic of Korea",S1148)),"South Korea",
ISNUMBER(SEARCH("Cape Verde",S1148)),"Cabo Verde",
ISNUMBER(SEARCH("Czechia",S1148)),"Czech Republic",
ISNUMBER(SEARCH("Türkiye",S1148)),"Turkey",
ISNUMBER(SEARCH("Ivory Coast",S1148)),"Côte d'Ivoire",
ISNUMBER(SEARCH("Korea Republic",S1148)),"South Korea",
ISNUMBER(SEARCH("Germany FR",S1148)),"FR Germany",
ISNUMBER(SEARCH("West Germany",S1148)),"FR Germany",
ISNUMBER(SEARCH("Germany DR",S1148)),"DR Germany",
ISNUMBER(SEARCH("Korea DPR",S1148)),"North Korea",
ISNUMBER(SEARCH("China PR",S1148)),"China",
ISNUMBER(SEARCH("IR Iran",S1148)),"Iran",
ISNUMBER(SEARCH("Congo DR",S1148)),"Democratic Republic of the Congo",
ISNUMBER(SEARCH("DR Congo",S1148)),"Democratic Republic of the Congo",
ISNUMBER(SEARCH("German DR",S1148)),"DR Germany",
ISNUMBER(SEARCH("rn""&gt;United Arab Emirates",S1148)),"United Arab Emirates",
ISNUMBER(SEARCH("rn""&gt;Republic of Ireland",S1148)),"Ireland",
ISNUMBER(SEARCH("rn""&gt;Bosnia and Herzegovina",S1148)),"Bosnia and Herzegovina",
ISNUMBER(SEARCH("rn""&gt;Trinidad and Tobago",S1148)),"Trinidad and Tobago",
ISNUMBER(SEARCH("rn""&gt;Serbia and Montenegro",S1148)),"Serbia and Montenegro",
ISNUMBER(SEARCH(_xlfn.UNICHAR(65533),S1148)),"Côte d'Ivoire",
TRUE,""
)</f>
        <v/>
      </c>
      <c r="W1148" s="12" t="str">
        <f t="shared" si="100"/>
        <v>Mexico</v>
      </c>
    </row>
    <row r="1149" spans="2:38">
      <c r="B1149" s="75">
        <v>712</v>
      </c>
      <c r="C1149" s="15" t="str">
        <v>Liberato Cacace</v>
      </c>
      <c r="D1149" s="15">
        <v>25</v>
      </c>
      <c r="E1149" s="15" t="str">
        <v>New Zealand</v>
      </c>
      <c r="F1149" s="15" t="str">
        <v>LB</v>
      </c>
      <c r="G1149" s="15" t="str">
        <v>Wrexham</v>
      </c>
      <c r="H1149" s="15">
        <v>13</v>
      </c>
      <c r="I1149" s="15" t="str">
        <f t="shared" si="101"/>
        <v>712|Liberato Cacace|25|New Zealand|LB|Wrexham|13</v>
      </c>
      <c r="J1149" s="15" t="str">
        <f>IF(COUNTIF(I$438:I1149,I1149)&gt;1,"DOUBLON","OK")</f>
        <v>OK</v>
      </c>
      <c r="S1149" s="12" t="str">
        <v>Mexico</v>
      </c>
      <c r="T1149" s="12" t="str">
        <f t="shared" si="98"/>
        <v>OK</v>
      </c>
      <c r="U1149" s="12" t="str">
        <f t="shared" si="99"/>
        <v>-</v>
      </c>
      <c r="V1149" s="12" t="str" cm="1">
        <f t="array" ref="V1149">_xlfn.IFS(
ISNUMBER(SEARCH("USA",S1149)),"United States",
ISNUMBER(SEARCH("Republic of Ireland",S1149)),"Ireland",
ISNUMBER(SEARCH("Republic of Korea",S1149)),"South Korea",
ISNUMBER(SEARCH("Cape Verde",S1149)),"Cabo Verde",
ISNUMBER(SEARCH("Czechia",S1149)),"Czech Republic",
ISNUMBER(SEARCH("Türkiye",S1149)),"Turkey",
ISNUMBER(SEARCH("Ivory Coast",S1149)),"Côte d'Ivoire",
ISNUMBER(SEARCH("Korea Republic",S1149)),"South Korea",
ISNUMBER(SEARCH("Germany FR",S1149)),"FR Germany",
ISNUMBER(SEARCH("West Germany",S1149)),"FR Germany",
ISNUMBER(SEARCH("Germany DR",S1149)),"DR Germany",
ISNUMBER(SEARCH("Korea DPR",S1149)),"North Korea",
ISNUMBER(SEARCH("China PR",S1149)),"China",
ISNUMBER(SEARCH("IR Iran",S1149)),"Iran",
ISNUMBER(SEARCH("Congo DR",S1149)),"Democratic Republic of the Congo",
ISNUMBER(SEARCH("DR Congo",S1149)),"Democratic Republic of the Congo",
ISNUMBER(SEARCH("German DR",S1149)),"DR Germany",
ISNUMBER(SEARCH("rn""&gt;United Arab Emirates",S1149)),"United Arab Emirates",
ISNUMBER(SEARCH("rn""&gt;Republic of Ireland",S1149)),"Ireland",
ISNUMBER(SEARCH("rn""&gt;Bosnia and Herzegovina",S1149)),"Bosnia and Herzegovina",
ISNUMBER(SEARCH("rn""&gt;Trinidad and Tobago",S1149)),"Trinidad and Tobago",
ISNUMBER(SEARCH("rn""&gt;Serbia and Montenegro",S1149)),"Serbia and Montenegro",
ISNUMBER(SEARCH(_xlfn.UNICHAR(65533),S1149)),"Côte d'Ivoire",
TRUE,""
)</f>
        <v/>
      </c>
      <c r="W1149" s="12" t="str">
        <f t="shared" si="100"/>
        <v>Mexico</v>
      </c>
    </row>
    <row r="1150" spans="2:38">
      <c r="B1150" s="75">
        <v>713</v>
      </c>
      <c r="C1150" s="15" t="str">
        <v>Tim Payne</v>
      </c>
      <c r="D1150" s="15">
        <v>32</v>
      </c>
      <c r="E1150" s="15" t="str">
        <v>New Zealand</v>
      </c>
      <c r="F1150" s="15" t="str">
        <v>RB</v>
      </c>
      <c r="G1150" s="15" t="str">
        <v>Wellington Phoenix</v>
      </c>
      <c r="H1150" s="15">
        <v>2</v>
      </c>
      <c r="I1150" s="15" t="str">
        <f t="shared" si="101"/>
        <v>713|Tim Payne|32|New Zealand|RB|Wellington Phoenix|2</v>
      </c>
      <c r="J1150" s="15" t="str">
        <f>IF(COUNTIF(I$438:I1150,I1150)&gt;1,"DOUBLON","OK")</f>
        <v>OK</v>
      </c>
      <c r="S1150" s="12" t="str">
        <v>Mexico</v>
      </c>
      <c r="T1150" s="12" t="str">
        <f t="shared" si="98"/>
        <v>OK</v>
      </c>
      <c r="U1150" s="12" t="str">
        <f t="shared" si="99"/>
        <v>-</v>
      </c>
      <c r="V1150" s="12" t="str" cm="1">
        <f t="array" ref="V1150">_xlfn.IFS(
ISNUMBER(SEARCH("USA",S1150)),"United States",
ISNUMBER(SEARCH("Republic of Ireland",S1150)),"Ireland",
ISNUMBER(SEARCH("Republic of Korea",S1150)),"South Korea",
ISNUMBER(SEARCH("Cape Verde",S1150)),"Cabo Verde",
ISNUMBER(SEARCH("Czechia",S1150)),"Czech Republic",
ISNUMBER(SEARCH("Türkiye",S1150)),"Turkey",
ISNUMBER(SEARCH("Ivory Coast",S1150)),"Côte d'Ivoire",
ISNUMBER(SEARCH("Korea Republic",S1150)),"South Korea",
ISNUMBER(SEARCH("Germany FR",S1150)),"FR Germany",
ISNUMBER(SEARCH("West Germany",S1150)),"FR Germany",
ISNUMBER(SEARCH("Germany DR",S1150)),"DR Germany",
ISNUMBER(SEARCH("Korea DPR",S1150)),"North Korea",
ISNUMBER(SEARCH("China PR",S1150)),"China",
ISNUMBER(SEARCH("IR Iran",S1150)),"Iran",
ISNUMBER(SEARCH("Congo DR",S1150)),"Democratic Republic of the Congo",
ISNUMBER(SEARCH("DR Congo",S1150)),"Democratic Republic of the Congo",
ISNUMBER(SEARCH("German DR",S1150)),"DR Germany",
ISNUMBER(SEARCH("rn""&gt;United Arab Emirates",S1150)),"United Arab Emirates",
ISNUMBER(SEARCH("rn""&gt;Republic of Ireland",S1150)),"Ireland",
ISNUMBER(SEARCH("rn""&gt;Bosnia and Herzegovina",S1150)),"Bosnia and Herzegovina",
ISNUMBER(SEARCH("rn""&gt;Trinidad and Tobago",S1150)),"Trinidad and Tobago",
ISNUMBER(SEARCH("rn""&gt;Serbia and Montenegro",S1150)),"Serbia and Montenegro",
ISNUMBER(SEARCH(_xlfn.UNICHAR(65533),S1150)),"Côte d'Ivoire",
TRUE,""
)</f>
        <v/>
      </c>
      <c r="W1150" s="12" t="str">
        <f t="shared" si="100"/>
        <v>Mexico</v>
      </c>
    </row>
    <row r="1151" spans="2:38">
      <c r="B1151" s="75">
        <v>714</v>
      </c>
      <c r="C1151" s="15" t="str">
        <v>Callan Elliot</v>
      </c>
      <c r="D1151" s="15">
        <v>26</v>
      </c>
      <c r="E1151" s="15" t="str">
        <v>New Zealand</v>
      </c>
      <c r="F1151" s="15" t="str">
        <v>RB</v>
      </c>
      <c r="G1151" s="15" t="str">
        <v>Auckland FC</v>
      </c>
      <c r="H1151" s="15">
        <v>24</v>
      </c>
      <c r="I1151" s="15" t="str">
        <f t="shared" si="101"/>
        <v>714|Callan Elliot|26|New Zealand|RB|Auckland FC|24</v>
      </c>
      <c r="J1151" s="15" t="str">
        <f>IF(COUNTIF(I$438:I1151,I1151)&gt;1,"DOUBLON","OK")</f>
        <v>OK</v>
      </c>
      <c r="S1151" s="12" t="str">
        <v>Mexico</v>
      </c>
      <c r="T1151" s="12" t="str">
        <f t="shared" si="98"/>
        <v>OK</v>
      </c>
      <c r="U1151" s="12" t="str">
        <f t="shared" si="99"/>
        <v>-</v>
      </c>
      <c r="V1151" s="12" t="str" cm="1">
        <f t="array" ref="V1151">_xlfn.IFS(
ISNUMBER(SEARCH("USA",S1151)),"United States",
ISNUMBER(SEARCH("Republic of Ireland",S1151)),"Ireland",
ISNUMBER(SEARCH("Republic of Korea",S1151)),"South Korea",
ISNUMBER(SEARCH("Cape Verde",S1151)),"Cabo Verde",
ISNUMBER(SEARCH("Czechia",S1151)),"Czech Republic",
ISNUMBER(SEARCH("Türkiye",S1151)),"Turkey",
ISNUMBER(SEARCH("Ivory Coast",S1151)),"Côte d'Ivoire",
ISNUMBER(SEARCH("Korea Republic",S1151)),"South Korea",
ISNUMBER(SEARCH("Germany FR",S1151)),"FR Germany",
ISNUMBER(SEARCH("West Germany",S1151)),"FR Germany",
ISNUMBER(SEARCH("Germany DR",S1151)),"DR Germany",
ISNUMBER(SEARCH("Korea DPR",S1151)),"North Korea",
ISNUMBER(SEARCH("China PR",S1151)),"China",
ISNUMBER(SEARCH("IR Iran",S1151)),"Iran",
ISNUMBER(SEARCH("Congo DR",S1151)),"Democratic Republic of the Congo",
ISNUMBER(SEARCH("DR Congo",S1151)),"Democratic Republic of the Congo",
ISNUMBER(SEARCH("German DR",S1151)),"DR Germany",
ISNUMBER(SEARCH("rn""&gt;United Arab Emirates",S1151)),"United Arab Emirates",
ISNUMBER(SEARCH("rn""&gt;Republic of Ireland",S1151)),"Ireland",
ISNUMBER(SEARCH("rn""&gt;Bosnia and Herzegovina",S1151)),"Bosnia and Herzegovina",
ISNUMBER(SEARCH("rn""&gt;Trinidad and Tobago",S1151)),"Trinidad and Tobago",
ISNUMBER(SEARCH("rn""&gt;Serbia and Montenegro",S1151)),"Serbia and Montenegro",
ISNUMBER(SEARCH(_xlfn.UNICHAR(65533),S1151)),"Côte d'Ivoire",
TRUE,""
)</f>
        <v/>
      </c>
      <c r="W1151" s="12" t="str">
        <f t="shared" si="100"/>
        <v>Mexico</v>
      </c>
    </row>
    <row r="1152" spans="2:38">
      <c r="B1152" s="75">
        <v>715</v>
      </c>
      <c r="C1152" s="15" t="str">
        <v>Joe Bell</v>
      </c>
      <c r="D1152" s="15">
        <v>27</v>
      </c>
      <c r="E1152" s="15" t="str">
        <v>New Zealand</v>
      </c>
      <c r="F1152" s="15" t="str">
        <v>CDM</v>
      </c>
      <c r="G1152" s="15" t="str">
        <v>Viking</v>
      </c>
      <c r="H1152" s="15">
        <v>6</v>
      </c>
      <c r="I1152" s="15" t="str">
        <f t="shared" si="101"/>
        <v>715|Joe Bell|27|New Zealand|CDM|Viking|6</v>
      </c>
      <c r="J1152" s="15" t="str">
        <f>IF(COUNTIF(I$438:I1152,I1152)&gt;1,"DOUBLON","OK")</f>
        <v>OK</v>
      </c>
      <c r="S1152" s="12" t="str">
        <v>Mexico</v>
      </c>
      <c r="T1152" s="12" t="str">
        <f t="shared" si="98"/>
        <v>OK</v>
      </c>
      <c r="U1152" s="12" t="str">
        <f t="shared" si="99"/>
        <v>-</v>
      </c>
      <c r="V1152" s="12" t="str" cm="1">
        <f t="array" ref="V1152">_xlfn.IFS(
ISNUMBER(SEARCH("USA",S1152)),"United States",
ISNUMBER(SEARCH("Republic of Ireland",S1152)),"Ireland",
ISNUMBER(SEARCH("Republic of Korea",S1152)),"South Korea",
ISNUMBER(SEARCH("Cape Verde",S1152)),"Cabo Verde",
ISNUMBER(SEARCH("Czechia",S1152)),"Czech Republic",
ISNUMBER(SEARCH("Türkiye",S1152)),"Turkey",
ISNUMBER(SEARCH("Ivory Coast",S1152)),"Côte d'Ivoire",
ISNUMBER(SEARCH("Korea Republic",S1152)),"South Korea",
ISNUMBER(SEARCH("Germany FR",S1152)),"FR Germany",
ISNUMBER(SEARCH("West Germany",S1152)),"FR Germany",
ISNUMBER(SEARCH("Germany DR",S1152)),"DR Germany",
ISNUMBER(SEARCH("Korea DPR",S1152)),"North Korea",
ISNUMBER(SEARCH("China PR",S1152)),"China",
ISNUMBER(SEARCH("IR Iran",S1152)),"Iran",
ISNUMBER(SEARCH("Congo DR",S1152)),"Democratic Republic of the Congo",
ISNUMBER(SEARCH("DR Congo",S1152)),"Democratic Republic of the Congo",
ISNUMBER(SEARCH("German DR",S1152)),"DR Germany",
ISNUMBER(SEARCH("rn""&gt;United Arab Emirates",S1152)),"United Arab Emirates",
ISNUMBER(SEARCH("rn""&gt;Republic of Ireland",S1152)),"Ireland",
ISNUMBER(SEARCH("rn""&gt;Bosnia and Herzegovina",S1152)),"Bosnia and Herzegovina",
ISNUMBER(SEARCH("rn""&gt;Trinidad and Tobago",S1152)),"Trinidad and Tobago",
ISNUMBER(SEARCH("rn""&gt;Serbia and Montenegro",S1152)),"Serbia and Montenegro",
ISNUMBER(SEARCH(_xlfn.UNICHAR(65533),S1152)),"Côte d'Ivoire",
TRUE,""
)</f>
        <v/>
      </c>
      <c r="W1152" s="12" t="str">
        <f t="shared" si="100"/>
        <v>Mexico</v>
      </c>
    </row>
    <row r="1153" spans="2:23">
      <c r="B1153" s="75">
        <v>716</v>
      </c>
      <c r="C1153" s="15" t="str">
        <v>Alex Rufer</v>
      </c>
      <c r="D1153" s="15">
        <v>29</v>
      </c>
      <c r="E1153" s="15" t="str">
        <v>New Zealand</v>
      </c>
      <c r="F1153" s="15" t="str">
        <v>CDM</v>
      </c>
      <c r="G1153" s="15" t="str">
        <v>Wellington Phoenix</v>
      </c>
      <c r="H1153" s="15">
        <v>14</v>
      </c>
      <c r="I1153" s="15" t="str">
        <f t="shared" si="101"/>
        <v>716|Alex Rufer|29|New Zealand|CDM|Wellington Phoenix|14</v>
      </c>
      <c r="J1153" s="15" t="str">
        <f>IF(COUNTIF(I$438:I1153,I1153)&gt;1,"DOUBLON","OK")</f>
        <v>OK</v>
      </c>
      <c r="S1153" s="12" t="str">
        <v>Mexico</v>
      </c>
      <c r="T1153" s="12" t="str">
        <f t="shared" si="98"/>
        <v>OK</v>
      </c>
      <c r="U1153" s="12" t="str">
        <f t="shared" si="99"/>
        <v>-</v>
      </c>
      <c r="V1153" s="12" t="str" cm="1">
        <f t="array" ref="V1153">_xlfn.IFS(
ISNUMBER(SEARCH("USA",S1153)),"United States",
ISNUMBER(SEARCH("Republic of Ireland",S1153)),"Ireland",
ISNUMBER(SEARCH("Republic of Korea",S1153)),"South Korea",
ISNUMBER(SEARCH("Cape Verde",S1153)),"Cabo Verde",
ISNUMBER(SEARCH("Czechia",S1153)),"Czech Republic",
ISNUMBER(SEARCH("Türkiye",S1153)),"Turkey",
ISNUMBER(SEARCH("Ivory Coast",S1153)),"Côte d'Ivoire",
ISNUMBER(SEARCH("Korea Republic",S1153)),"South Korea",
ISNUMBER(SEARCH("Germany FR",S1153)),"FR Germany",
ISNUMBER(SEARCH("West Germany",S1153)),"FR Germany",
ISNUMBER(SEARCH("Germany DR",S1153)),"DR Germany",
ISNUMBER(SEARCH("Korea DPR",S1153)),"North Korea",
ISNUMBER(SEARCH("China PR",S1153)),"China",
ISNUMBER(SEARCH("IR Iran",S1153)),"Iran",
ISNUMBER(SEARCH("Congo DR",S1153)),"Democratic Republic of the Congo",
ISNUMBER(SEARCH("DR Congo",S1153)),"Democratic Republic of the Congo",
ISNUMBER(SEARCH("German DR",S1153)),"DR Germany",
ISNUMBER(SEARCH("rn""&gt;United Arab Emirates",S1153)),"United Arab Emirates",
ISNUMBER(SEARCH("rn""&gt;Republic of Ireland",S1153)),"Ireland",
ISNUMBER(SEARCH("rn""&gt;Bosnia and Herzegovina",S1153)),"Bosnia and Herzegovina",
ISNUMBER(SEARCH("rn""&gt;Trinidad and Tobago",S1153)),"Trinidad and Tobago",
ISNUMBER(SEARCH("rn""&gt;Serbia and Montenegro",S1153)),"Serbia and Montenegro",
ISNUMBER(SEARCH(_xlfn.UNICHAR(65533),S1153)),"Côte d'Ivoire",
TRUE,""
)</f>
        <v/>
      </c>
      <c r="W1153" s="12" t="str">
        <f t="shared" si="100"/>
        <v>Mexico</v>
      </c>
    </row>
    <row r="1154" spans="2:23">
      <c r="B1154" s="75">
        <v>717</v>
      </c>
      <c r="C1154" s="15" t="str">
        <v>Marko Stamenić</v>
      </c>
      <c r="D1154" s="15">
        <v>24</v>
      </c>
      <c r="E1154" s="15" t="str">
        <v>New Zealand</v>
      </c>
      <c r="F1154" s="15" t="str">
        <v>CM</v>
      </c>
      <c r="G1154" s="15" t="str">
        <v>Swansea City</v>
      </c>
      <c r="H1154" s="15">
        <v>8</v>
      </c>
      <c r="I1154" s="15" t="str">
        <f t="shared" si="101"/>
        <v>717|Marko Stamenić|24|New Zealand|CM|Swansea City|8</v>
      </c>
      <c r="J1154" s="15" t="str">
        <f>IF(COUNTIF(I$438:I1154,I1154)&gt;1,"DOUBLON","OK")</f>
        <v>OK</v>
      </c>
      <c r="S1154" s="12" t="str">
        <v>Mexico</v>
      </c>
      <c r="T1154" s="12" t="str">
        <f t="shared" si="98"/>
        <v>OK</v>
      </c>
      <c r="U1154" s="12" t="str">
        <f t="shared" si="99"/>
        <v>-</v>
      </c>
      <c r="V1154" s="12" t="str" cm="1">
        <f t="array" ref="V1154">_xlfn.IFS(
ISNUMBER(SEARCH("USA",S1154)),"United States",
ISNUMBER(SEARCH("Republic of Ireland",S1154)),"Ireland",
ISNUMBER(SEARCH("Republic of Korea",S1154)),"South Korea",
ISNUMBER(SEARCH("Cape Verde",S1154)),"Cabo Verde",
ISNUMBER(SEARCH("Czechia",S1154)),"Czech Republic",
ISNUMBER(SEARCH("Türkiye",S1154)),"Turkey",
ISNUMBER(SEARCH("Ivory Coast",S1154)),"Côte d'Ivoire",
ISNUMBER(SEARCH("Korea Republic",S1154)),"South Korea",
ISNUMBER(SEARCH("Germany FR",S1154)),"FR Germany",
ISNUMBER(SEARCH("West Germany",S1154)),"FR Germany",
ISNUMBER(SEARCH("Germany DR",S1154)),"DR Germany",
ISNUMBER(SEARCH("Korea DPR",S1154)),"North Korea",
ISNUMBER(SEARCH("China PR",S1154)),"China",
ISNUMBER(SEARCH("IR Iran",S1154)),"Iran",
ISNUMBER(SEARCH("Congo DR",S1154)),"Democratic Republic of the Congo",
ISNUMBER(SEARCH("DR Congo",S1154)),"Democratic Republic of the Congo",
ISNUMBER(SEARCH("German DR",S1154)),"DR Germany",
ISNUMBER(SEARCH("rn""&gt;United Arab Emirates",S1154)),"United Arab Emirates",
ISNUMBER(SEARCH("rn""&gt;Republic of Ireland",S1154)),"Ireland",
ISNUMBER(SEARCH("rn""&gt;Bosnia and Herzegovina",S1154)),"Bosnia and Herzegovina",
ISNUMBER(SEARCH("rn""&gt;Trinidad and Tobago",S1154)),"Trinidad and Tobago",
ISNUMBER(SEARCH("rn""&gt;Serbia and Montenegro",S1154)),"Serbia and Montenegro",
ISNUMBER(SEARCH(_xlfn.UNICHAR(65533),S1154)),"Côte d'Ivoire",
TRUE,""
)</f>
        <v/>
      </c>
      <c r="W1154" s="12" t="str">
        <f t="shared" si="100"/>
        <v>Mexico</v>
      </c>
    </row>
    <row r="1155" spans="2:23">
      <c r="B1155" s="75">
        <v>718</v>
      </c>
      <c r="C1155" s="15" t="str">
        <v>Ryan Thomas</v>
      </c>
      <c r="D1155" s="15">
        <v>31</v>
      </c>
      <c r="E1155" s="15" t="str">
        <v>New Zealand</v>
      </c>
      <c r="F1155" s="15" t="str">
        <v>CM</v>
      </c>
      <c r="G1155" s="15" t="str">
        <v>PEC Zwolle</v>
      </c>
      <c r="H1155" s="15">
        <v>23</v>
      </c>
      <c r="I1155" s="15" t="str">
        <f t="shared" si="101"/>
        <v>718|Ryan Thomas|31|New Zealand|CM|PEC Zwolle|23</v>
      </c>
      <c r="J1155" s="15" t="str">
        <f>IF(COUNTIF(I$438:I1155,I1155)&gt;1,"DOUBLON","OK")</f>
        <v>OK</v>
      </c>
      <c r="S1155" s="12" t="str">
        <v>Mexico</v>
      </c>
      <c r="T1155" s="12" t="str">
        <f t="shared" si="98"/>
        <v>OK</v>
      </c>
      <c r="U1155" s="12" t="str">
        <f t="shared" si="99"/>
        <v>-</v>
      </c>
      <c r="V1155" s="12" t="str" cm="1">
        <f t="array" ref="V1155">_xlfn.IFS(
ISNUMBER(SEARCH("USA",S1155)),"United States",
ISNUMBER(SEARCH("Republic of Ireland",S1155)),"Ireland",
ISNUMBER(SEARCH("Republic of Korea",S1155)),"South Korea",
ISNUMBER(SEARCH("Cape Verde",S1155)),"Cabo Verde",
ISNUMBER(SEARCH("Czechia",S1155)),"Czech Republic",
ISNUMBER(SEARCH("Türkiye",S1155)),"Turkey",
ISNUMBER(SEARCH("Ivory Coast",S1155)),"Côte d'Ivoire",
ISNUMBER(SEARCH("Korea Republic",S1155)),"South Korea",
ISNUMBER(SEARCH("Germany FR",S1155)),"FR Germany",
ISNUMBER(SEARCH("West Germany",S1155)),"FR Germany",
ISNUMBER(SEARCH("Germany DR",S1155)),"DR Germany",
ISNUMBER(SEARCH("Korea DPR",S1155)),"North Korea",
ISNUMBER(SEARCH("China PR",S1155)),"China",
ISNUMBER(SEARCH("IR Iran",S1155)),"Iran",
ISNUMBER(SEARCH("Congo DR",S1155)),"Democratic Republic of the Congo",
ISNUMBER(SEARCH("DR Congo",S1155)),"Democratic Republic of the Congo",
ISNUMBER(SEARCH("German DR",S1155)),"DR Germany",
ISNUMBER(SEARCH("rn""&gt;United Arab Emirates",S1155)),"United Arab Emirates",
ISNUMBER(SEARCH("rn""&gt;Republic of Ireland",S1155)),"Ireland",
ISNUMBER(SEARCH("rn""&gt;Bosnia and Herzegovina",S1155)),"Bosnia and Herzegovina",
ISNUMBER(SEARCH("rn""&gt;Trinidad and Tobago",S1155)),"Trinidad and Tobago",
ISNUMBER(SEARCH("rn""&gt;Serbia and Montenegro",S1155)),"Serbia and Montenegro",
ISNUMBER(SEARCH(_xlfn.UNICHAR(65533),S1155)),"Côte d'Ivoire",
TRUE,""
)</f>
        <v/>
      </c>
      <c r="W1155" s="12" t="str">
        <f t="shared" si="100"/>
        <v>Mexico</v>
      </c>
    </row>
    <row r="1156" spans="2:23">
      <c r="B1156" s="75">
        <v>719</v>
      </c>
      <c r="C1156" s="15" t="str">
        <v>Lachlan Bayliss</v>
      </c>
      <c r="D1156" s="15">
        <v>23</v>
      </c>
      <c r="E1156" s="15" t="str">
        <v>New Zealand</v>
      </c>
      <c r="F1156" s="15" t="str">
        <v>CM</v>
      </c>
      <c r="G1156" s="15" t="str">
        <v>Newcastle Jets</v>
      </c>
      <c r="H1156" s="15">
        <v>25</v>
      </c>
      <c r="I1156" s="15" t="str">
        <f t="shared" si="101"/>
        <v>719|Lachlan Bayliss|23|New Zealand|CM|Newcastle Jets|25</v>
      </c>
      <c r="J1156" s="15" t="str">
        <f>IF(COUNTIF(I$438:I1156,I1156)&gt;1,"DOUBLON","OK")</f>
        <v>OK</v>
      </c>
      <c r="S1156" s="12" t="str">
        <v>Mexico</v>
      </c>
      <c r="T1156" s="12" t="str">
        <f t="shared" si="98"/>
        <v>OK</v>
      </c>
      <c r="U1156" s="12" t="str">
        <f t="shared" si="99"/>
        <v>-</v>
      </c>
      <c r="V1156" s="12" t="str" cm="1">
        <f t="array" ref="V1156">_xlfn.IFS(
ISNUMBER(SEARCH("USA",S1156)),"United States",
ISNUMBER(SEARCH("Republic of Ireland",S1156)),"Ireland",
ISNUMBER(SEARCH("Republic of Korea",S1156)),"South Korea",
ISNUMBER(SEARCH("Cape Verde",S1156)),"Cabo Verde",
ISNUMBER(SEARCH("Czechia",S1156)),"Czech Republic",
ISNUMBER(SEARCH("Türkiye",S1156)),"Turkey",
ISNUMBER(SEARCH("Ivory Coast",S1156)),"Côte d'Ivoire",
ISNUMBER(SEARCH("Korea Republic",S1156)),"South Korea",
ISNUMBER(SEARCH("Germany FR",S1156)),"FR Germany",
ISNUMBER(SEARCH("West Germany",S1156)),"FR Germany",
ISNUMBER(SEARCH("Germany DR",S1156)),"DR Germany",
ISNUMBER(SEARCH("Korea DPR",S1156)),"North Korea",
ISNUMBER(SEARCH("China PR",S1156)),"China",
ISNUMBER(SEARCH("IR Iran",S1156)),"Iran",
ISNUMBER(SEARCH("Congo DR",S1156)),"Democratic Republic of the Congo",
ISNUMBER(SEARCH("DR Congo",S1156)),"Democratic Republic of the Congo",
ISNUMBER(SEARCH("German DR",S1156)),"DR Germany",
ISNUMBER(SEARCH("rn""&gt;United Arab Emirates",S1156)),"United Arab Emirates",
ISNUMBER(SEARCH("rn""&gt;Republic of Ireland",S1156)),"Ireland",
ISNUMBER(SEARCH("rn""&gt;Bosnia and Herzegovina",S1156)),"Bosnia and Herzegovina",
ISNUMBER(SEARCH("rn""&gt;Trinidad and Tobago",S1156)),"Trinidad and Tobago",
ISNUMBER(SEARCH("rn""&gt;Serbia and Montenegro",S1156)),"Serbia and Montenegro",
ISNUMBER(SEARCH(_xlfn.UNICHAR(65533),S1156)),"Côte d'Ivoire",
TRUE,""
)</f>
        <v/>
      </c>
      <c r="W1156" s="12" t="str">
        <f t="shared" si="100"/>
        <v>Mexico</v>
      </c>
    </row>
    <row r="1157" spans="2:23">
      <c r="B1157" s="75">
        <v>720</v>
      </c>
      <c r="C1157" s="15" t="str">
        <v>Sarpreet Singh</v>
      </c>
      <c r="D1157" s="15">
        <v>27</v>
      </c>
      <c r="E1157" s="15" t="str">
        <v>New Zealand</v>
      </c>
      <c r="F1157" s="15" t="str">
        <v>CAM</v>
      </c>
      <c r="G1157" s="15" t="str">
        <v>Wellington Phoenix</v>
      </c>
      <c r="H1157" s="15">
        <v>10</v>
      </c>
      <c r="I1157" s="15" t="str">
        <f t="shared" si="101"/>
        <v>720|Sarpreet Singh|27|New Zealand|CAM|Wellington Phoenix|10</v>
      </c>
      <c r="J1157" s="15" t="str">
        <f>IF(COUNTIF(I$438:I1157,I1157)&gt;1,"DOUBLON","OK")</f>
        <v>OK</v>
      </c>
      <c r="S1157" s="12" t="str">
        <v>Mexico</v>
      </c>
      <c r="T1157" s="12" t="str">
        <f t="shared" si="98"/>
        <v>OK</v>
      </c>
      <c r="U1157" s="12" t="str">
        <f t="shared" si="99"/>
        <v>-</v>
      </c>
      <c r="V1157" s="12" t="str" cm="1">
        <f t="array" ref="V1157">_xlfn.IFS(
ISNUMBER(SEARCH("USA",S1157)),"United States",
ISNUMBER(SEARCH("Republic of Ireland",S1157)),"Ireland",
ISNUMBER(SEARCH("Republic of Korea",S1157)),"South Korea",
ISNUMBER(SEARCH("Cape Verde",S1157)),"Cabo Verde",
ISNUMBER(SEARCH("Czechia",S1157)),"Czech Republic",
ISNUMBER(SEARCH("Türkiye",S1157)),"Turkey",
ISNUMBER(SEARCH("Ivory Coast",S1157)),"Côte d'Ivoire",
ISNUMBER(SEARCH("Korea Republic",S1157)),"South Korea",
ISNUMBER(SEARCH("Germany FR",S1157)),"FR Germany",
ISNUMBER(SEARCH("West Germany",S1157)),"FR Germany",
ISNUMBER(SEARCH("Germany DR",S1157)),"DR Germany",
ISNUMBER(SEARCH("Korea DPR",S1157)),"North Korea",
ISNUMBER(SEARCH("China PR",S1157)),"China",
ISNUMBER(SEARCH("IR Iran",S1157)),"Iran",
ISNUMBER(SEARCH("Congo DR",S1157)),"Democratic Republic of the Congo",
ISNUMBER(SEARCH("DR Congo",S1157)),"Democratic Republic of the Congo",
ISNUMBER(SEARCH("German DR",S1157)),"DR Germany",
ISNUMBER(SEARCH("rn""&gt;United Arab Emirates",S1157)),"United Arab Emirates",
ISNUMBER(SEARCH("rn""&gt;Republic of Ireland",S1157)),"Ireland",
ISNUMBER(SEARCH("rn""&gt;Bosnia and Herzegovina",S1157)),"Bosnia and Herzegovina",
ISNUMBER(SEARCH("rn""&gt;Trinidad and Tobago",S1157)),"Trinidad and Tobago",
ISNUMBER(SEARCH("rn""&gt;Serbia and Montenegro",S1157)),"Serbia and Montenegro",
ISNUMBER(SEARCH(_xlfn.UNICHAR(65533),S1157)),"Côte d'Ivoire",
TRUE,""
)</f>
        <v/>
      </c>
      <c r="W1157" s="12" t="str">
        <f t="shared" si="100"/>
        <v>Mexico</v>
      </c>
    </row>
    <row r="1158" spans="2:23">
      <c r="B1158" s="75">
        <v>721</v>
      </c>
      <c r="C1158" s="15" t="str">
        <v>Ben Old</v>
      </c>
      <c r="D1158" s="15">
        <v>23</v>
      </c>
      <c r="E1158" s="15" t="str">
        <v>New Zealand</v>
      </c>
      <c r="F1158" s="15" t="str">
        <v>CAM</v>
      </c>
      <c r="G1158" s="15" t="str">
        <v>Saint-Étienne</v>
      </c>
      <c r="H1158" s="15">
        <v>19</v>
      </c>
      <c r="I1158" s="15" t="str">
        <f t="shared" si="101"/>
        <v>721|Ben Old|23|New Zealand|CAM|Saint-Étienne|19</v>
      </c>
      <c r="J1158" s="15" t="str">
        <f>IF(COUNTIF(I$438:I1158,I1158)&gt;1,"DOUBLON","OK")</f>
        <v>OK</v>
      </c>
      <c r="S1158" s="12" t="str">
        <v>Mexico</v>
      </c>
      <c r="T1158" s="12" t="str">
        <f t="shared" si="98"/>
        <v>OK</v>
      </c>
      <c r="U1158" s="12" t="str">
        <f t="shared" si="99"/>
        <v>-</v>
      </c>
      <c r="V1158" s="12" t="str" cm="1">
        <f t="array" ref="V1158">_xlfn.IFS(
ISNUMBER(SEARCH("USA",S1158)),"United States",
ISNUMBER(SEARCH("Republic of Ireland",S1158)),"Ireland",
ISNUMBER(SEARCH("Republic of Korea",S1158)),"South Korea",
ISNUMBER(SEARCH("Cape Verde",S1158)),"Cabo Verde",
ISNUMBER(SEARCH("Czechia",S1158)),"Czech Republic",
ISNUMBER(SEARCH("Türkiye",S1158)),"Turkey",
ISNUMBER(SEARCH("Ivory Coast",S1158)),"Côte d'Ivoire",
ISNUMBER(SEARCH("Korea Republic",S1158)),"South Korea",
ISNUMBER(SEARCH("Germany FR",S1158)),"FR Germany",
ISNUMBER(SEARCH("West Germany",S1158)),"FR Germany",
ISNUMBER(SEARCH("Germany DR",S1158)),"DR Germany",
ISNUMBER(SEARCH("Korea DPR",S1158)),"North Korea",
ISNUMBER(SEARCH("China PR",S1158)),"China",
ISNUMBER(SEARCH("IR Iran",S1158)),"Iran",
ISNUMBER(SEARCH("Congo DR",S1158)),"Democratic Republic of the Congo",
ISNUMBER(SEARCH("DR Congo",S1158)),"Democratic Republic of the Congo",
ISNUMBER(SEARCH("German DR",S1158)),"DR Germany",
ISNUMBER(SEARCH("rn""&gt;United Arab Emirates",S1158)),"United Arab Emirates",
ISNUMBER(SEARCH("rn""&gt;Republic of Ireland",S1158)),"Ireland",
ISNUMBER(SEARCH("rn""&gt;Bosnia and Herzegovina",S1158)),"Bosnia and Herzegovina",
ISNUMBER(SEARCH("rn""&gt;Trinidad and Tobago",S1158)),"Trinidad and Tobago",
ISNUMBER(SEARCH("rn""&gt;Serbia and Montenegro",S1158)),"Serbia and Montenegro",
ISNUMBER(SEARCH(_xlfn.UNICHAR(65533),S1158)),"Côte d'Ivoire",
TRUE,""
)</f>
        <v/>
      </c>
      <c r="W1158" s="12" t="str">
        <f t="shared" si="100"/>
        <v>Mexico</v>
      </c>
    </row>
    <row r="1159" spans="2:23">
      <c r="B1159" s="75">
        <v>722</v>
      </c>
      <c r="C1159" s="15" t="str">
        <v>Callum McCowatt</v>
      </c>
      <c r="D1159" s="15">
        <v>27</v>
      </c>
      <c r="E1159" s="15" t="str">
        <v>New Zealand</v>
      </c>
      <c r="F1159" s="15" t="str">
        <v>CAM</v>
      </c>
      <c r="G1159" s="15" t="str">
        <v>Silkeborg</v>
      </c>
      <c r="H1159" s="15">
        <v>20</v>
      </c>
      <c r="I1159" s="15" t="str">
        <f t="shared" si="101"/>
        <v>722|Callum McCowatt|27|New Zealand|CAM|Silkeborg|20</v>
      </c>
      <c r="J1159" s="15" t="str">
        <f>IF(COUNTIF(I$438:I1159,I1159)&gt;1,"DOUBLON","OK")</f>
        <v>OK</v>
      </c>
      <c r="S1159" s="12" t="str">
        <v>Mexico</v>
      </c>
      <c r="T1159" s="12" t="str">
        <f t="shared" si="98"/>
        <v>OK</v>
      </c>
      <c r="U1159" s="12" t="str">
        <f t="shared" si="99"/>
        <v>-</v>
      </c>
      <c r="V1159" s="12" t="str" cm="1">
        <f t="array" ref="V1159">_xlfn.IFS(
ISNUMBER(SEARCH("USA",S1159)),"United States",
ISNUMBER(SEARCH("Republic of Ireland",S1159)),"Ireland",
ISNUMBER(SEARCH("Republic of Korea",S1159)),"South Korea",
ISNUMBER(SEARCH("Cape Verde",S1159)),"Cabo Verde",
ISNUMBER(SEARCH("Czechia",S1159)),"Czech Republic",
ISNUMBER(SEARCH("Türkiye",S1159)),"Turkey",
ISNUMBER(SEARCH("Ivory Coast",S1159)),"Côte d'Ivoire",
ISNUMBER(SEARCH("Korea Republic",S1159)),"South Korea",
ISNUMBER(SEARCH("Germany FR",S1159)),"FR Germany",
ISNUMBER(SEARCH("West Germany",S1159)),"FR Germany",
ISNUMBER(SEARCH("Germany DR",S1159)),"DR Germany",
ISNUMBER(SEARCH("Korea DPR",S1159)),"North Korea",
ISNUMBER(SEARCH("China PR",S1159)),"China",
ISNUMBER(SEARCH("IR Iran",S1159)),"Iran",
ISNUMBER(SEARCH("Congo DR",S1159)),"Democratic Republic of the Congo",
ISNUMBER(SEARCH("DR Congo",S1159)),"Democratic Republic of the Congo",
ISNUMBER(SEARCH("German DR",S1159)),"DR Germany",
ISNUMBER(SEARCH("rn""&gt;United Arab Emirates",S1159)),"United Arab Emirates",
ISNUMBER(SEARCH("rn""&gt;Republic of Ireland",S1159)),"Ireland",
ISNUMBER(SEARCH("rn""&gt;Bosnia and Herzegovina",S1159)),"Bosnia and Herzegovina",
ISNUMBER(SEARCH("rn""&gt;Trinidad and Tobago",S1159)),"Trinidad and Tobago",
ISNUMBER(SEARCH("rn""&gt;Serbia and Montenegro",S1159)),"Serbia and Montenegro",
ISNUMBER(SEARCH(_xlfn.UNICHAR(65533),S1159)),"Côte d'Ivoire",
TRUE,""
)</f>
        <v/>
      </c>
      <c r="W1159" s="12" t="str">
        <f t="shared" si="100"/>
        <v>Mexico</v>
      </c>
    </row>
    <row r="1160" spans="2:23">
      <c r="B1160" s="75">
        <v>723</v>
      </c>
      <c r="C1160" s="15" t="str">
        <v>Elijah Just</v>
      </c>
      <c r="D1160" s="15">
        <v>26</v>
      </c>
      <c r="E1160" s="15" t="str">
        <v>New Zealand</v>
      </c>
      <c r="F1160" s="15" t="str">
        <v>LW</v>
      </c>
      <c r="G1160" s="15" t="str">
        <v>Motherwell</v>
      </c>
      <c r="H1160" s="15">
        <v>11</v>
      </c>
      <c r="I1160" s="15" t="str">
        <f t="shared" si="101"/>
        <v>723|Elijah Just|26|New Zealand|LW|Motherwell|11</v>
      </c>
      <c r="J1160" s="15" t="str">
        <f>IF(COUNTIF(I$438:I1160,I1160)&gt;1,"DOUBLON","OK")</f>
        <v>OK</v>
      </c>
      <c r="S1160" s="12" t="str">
        <v>Mexico</v>
      </c>
      <c r="T1160" s="12" t="str">
        <f t="shared" si="98"/>
        <v>OK</v>
      </c>
      <c r="U1160" s="12" t="str">
        <f t="shared" si="99"/>
        <v>-</v>
      </c>
      <c r="V1160" s="12" t="str" cm="1">
        <f t="array" ref="V1160">_xlfn.IFS(
ISNUMBER(SEARCH("USA",S1160)),"United States",
ISNUMBER(SEARCH("Republic of Ireland",S1160)),"Ireland",
ISNUMBER(SEARCH("Republic of Korea",S1160)),"South Korea",
ISNUMBER(SEARCH("Cape Verde",S1160)),"Cabo Verde",
ISNUMBER(SEARCH("Czechia",S1160)),"Czech Republic",
ISNUMBER(SEARCH("Türkiye",S1160)),"Turkey",
ISNUMBER(SEARCH("Ivory Coast",S1160)),"Côte d'Ivoire",
ISNUMBER(SEARCH("Korea Republic",S1160)),"South Korea",
ISNUMBER(SEARCH("Germany FR",S1160)),"FR Germany",
ISNUMBER(SEARCH("West Germany",S1160)),"FR Germany",
ISNUMBER(SEARCH("Germany DR",S1160)),"DR Germany",
ISNUMBER(SEARCH("Korea DPR",S1160)),"North Korea",
ISNUMBER(SEARCH("China PR",S1160)),"China",
ISNUMBER(SEARCH("IR Iran",S1160)),"Iran",
ISNUMBER(SEARCH("Congo DR",S1160)),"Democratic Republic of the Congo",
ISNUMBER(SEARCH("DR Congo",S1160)),"Democratic Republic of the Congo",
ISNUMBER(SEARCH("German DR",S1160)),"DR Germany",
ISNUMBER(SEARCH("rn""&gt;United Arab Emirates",S1160)),"United Arab Emirates",
ISNUMBER(SEARCH("rn""&gt;Republic of Ireland",S1160)),"Ireland",
ISNUMBER(SEARCH("rn""&gt;Bosnia and Herzegovina",S1160)),"Bosnia and Herzegovina",
ISNUMBER(SEARCH("rn""&gt;Trinidad and Tobago",S1160)),"Trinidad and Tobago",
ISNUMBER(SEARCH("rn""&gt;Serbia and Montenegro",S1160)),"Serbia and Montenegro",
ISNUMBER(SEARCH(_xlfn.UNICHAR(65533),S1160)),"Côte d'Ivoire",
TRUE,""
)</f>
        <v/>
      </c>
      <c r="W1160" s="12" t="str">
        <f t="shared" si="100"/>
        <v>Mexico</v>
      </c>
    </row>
    <row r="1161" spans="2:23">
      <c r="B1161" s="75">
        <v>724</v>
      </c>
      <c r="C1161" s="15" t="str">
        <v>Jesse Randall</v>
      </c>
      <c r="D1161" s="15">
        <v>23</v>
      </c>
      <c r="E1161" s="15" t="str">
        <v>New Zealand</v>
      </c>
      <c r="F1161" s="15" t="str">
        <v>LW</v>
      </c>
      <c r="G1161" s="15" t="str">
        <v>Auckland FC</v>
      </c>
      <c r="H1161" s="15">
        <v>21</v>
      </c>
      <c r="I1161" s="15" t="str">
        <f t="shared" si="101"/>
        <v>724|Jesse Randall|23|New Zealand|LW|Auckland FC|21</v>
      </c>
      <c r="J1161" s="15" t="str">
        <f>IF(COUNTIF(I$438:I1161,I1161)&gt;1,"DOUBLON","OK")</f>
        <v>OK</v>
      </c>
      <c r="S1161" s="12" t="str">
        <v>Mexico</v>
      </c>
      <c r="T1161" s="12" t="str">
        <f t="shared" si="98"/>
        <v>OK</v>
      </c>
      <c r="U1161" s="12" t="str">
        <f t="shared" si="99"/>
        <v>-</v>
      </c>
      <c r="V1161" s="12" t="str" cm="1">
        <f t="array" ref="V1161">_xlfn.IFS(
ISNUMBER(SEARCH("USA",S1161)),"United States",
ISNUMBER(SEARCH("Republic of Ireland",S1161)),"Ireland",
ISNUMBER(SEARCH("Republic of Korea",S1161)),"South Korea",
ISNUMBER(SEARCH("Cape Verde",S1161)),"Cabo Verde",
ISNUMBER(SEARCH("Czechia",S1161)),"Czech Republic",
ISNUMBER(SEARCH("Türkiye",S1161)),"Turkey",
ISNUMBER(SEARCH("Ivory Coast",S1161)),"Côte d'Ivoire",
ISNUMBER(SEARCH("Korea Republic",S1161)),"South Korea",
ISNUMBER(SEARCH("Germany FR",S1161)),"FR Germany",
ISNUMBER(SEARCH("West Germany",S1161)),"FR Germany",
ISNUMBER(SEARCH("Germany DR",S1161)),"DR Germany",
ISNUMBER(SEARCH("Korea DPR",S1161)),"North Korea",
ISNUMBER(SEARCH("China PR",S1161)),"China",
ISNUMBER(SEARCH("IR Iran",S1161)),"Iran",
ISNUMBER(SEARCH("Congo DR",S1161)),"Democratic Republic of the Congo",
ISNUMBER(SEARCH("DR Congo",S1161)),"Democratic Republic of the Congo",
ISNUMBER(SEARCH("German DR",S1161)),"DR Germany",
ISNUMBER(SEARCH("rn""&gt;United Arab Emirates",S1161)),"United Arab Emirates",
ISNUMBER(SEARCH("rn""&gt;Republic of Ireland",S1161)),"Ireland",
ISNUMBER(SEARCH("rn""&gt;Bosnia and Herzegovina",S1161)),"Bosnia and Herzegovina",
ISNUMBER(SEARCH("rn""&gt;Trinidad and Tobago",S1161)),"Trinidad and Tobago",
ISNUMBER(SEARCH("rn""&gt;Serbia and Montenegro",S1161)),"Serbia and Montenegro",
ISNUMBER(SEARCH(_xlfn.UNICHAR(65533),S1161)),"Côte d'Ivoire",
TRUE,""
)</f>
        <v/>
      </c>
      <c r="W1161" s="12" t="str">
        <f t="shared" si="100"/>
        <v>Mexico</v>
      </c>
    </row>
    <row r="1162" spans="2:23">
      <c r="B1162" s="75">
        <v>725</v>
      </c>
      <c r="C1162" s="15" t="str">
        <v>Logan Rogerson</v>
      </c>
      <c r="D1162" s="15">
        <v>28</v>
      </c>
      <c r="E1162" s="15" t="str">
        <v>New Zealand</v>
      </c>
      <c r="F1162" s="15" t="str">
        <v>RW</v>
      </c>
      <c r="G1162" s="15" t="str">
        <v>Auckland FC</v>
      </c>
      <c r="H1162" s="15">
        <v>7</v>
      </c>
      <c r="I1162" s="15" t="str">
        <f t="shared" si="101"/>
        <v>725|Logan Rogerson|28|New Zealand|RW|Auckland FC|7</v>
      </c>
      <c r="J1162" s="15" t="str">
        <f>IF(COUNTIF(I$438:I1162,I1162)&gt;1,"DOUBLON","OK")</f>
        <v>OK</v>
      </c>
      <c r="S1162" s="12" t="str">
        <v>Mexico</v>
      </c>
      <c r="T1162" s="12" t="str">
        <f t="shared" si="98"/>
        <v>OK</v>
      </c>
      <c r="U1162" s="12" t="str">
        <f t="shared" si="99"/>
        <v>-</v>
      </c>
      <c r="V1162" s="12" t="str" cm="1">
        <f t="array" ref="V1162">_xlfn.IFS(
ISNUMBER(SEARCH("USA",S1162)),"United States",
ISNUMBER(SEARCH("Republic of Ireland",S1162)),"Ireland",
ISNUMBER(SEARCH("Republic of Korea",S1162)),"South Korea",
ISNUMBER(SEARCH("Cape Verde",S1162)),"Cabo Verde",
ISNUMBER(SEARCH("Czechia",S1162)),"Czech Republic",
ISNUMBER(SEARCH("Türkiye",S1162)),"Turkey",
ISNUMBER(SEARCH("Ivory Coast",S1162)),"Côte d'Ivoire",
ISNUMBER(SEARCH("Korea Republic",S1162)),"South Korea",
ISNUMBER(SEARCH("Germany FR",S1162)),"FR Germany",
ISNUMBER(SEARCH("West Germany",S1162)),"FR Germany",
ISNUMBER(SEARCH("Germany DR",S1162)),"DR Germany",
ISNUMBER(SEARCH("Korea DPR",S1162)),"North Korea",
ISNUMBER(SEARCH("China PR",S1162)),"China",
ISNUMBER(SEARCH("IR Iran",S1162)),"Iran",
ISNUMBER(SEARCH("Congo DR",S1162)),"Democratic Republic of the Congo",
ISNUMBER(SEARCH("DR Congo",S1162)),"Democratic Republic of the Congo",
ISNUMBER(SEARCH("German DR",S1162)),"DR Germany",
ISNUMBER(SEARCH("rn""&gt;United Arab Emirates",S1162)),"United Arab Emirates",
ISNUMBER(SEARCH("rn""&gt;Republic of Ireland",S1162)),"Ireland",
ISNUMBER(SEARCH("rn""&gt;Bosnia and Herzegovina",S1162)),"Bosnia and Herzegovina",
ISNUMBER(SEARCH("rn""&gt;Trinidad and Tobago",S1162)),"Trinidad and Tobago",
ISNUMBER(SEARCH("rn""&gt;Serbia and Montenegro",S1162)),"Serbia and Montenegro",
ISNUMBER(SEARCH(_xlfn.UNICHAR(65533),S1162)),"Côte d'Ivoire",
TRUE,""
)</f>
        <v/>
      </c>
      <c r="W1162" s="12" t="str">
        <f t="shared" si="100"/>
        <v>Mexico</v>
      </c>
    </row>
    <row r="1163" spans="2:23">
      <c r="B1163" s="75">
        <v>726</v>
      </c>
      <c r="C1163" s="15" t="str">
        <v>Kosta Barbarouses</v>
      </c>
      <c r="D1163" s="15">
        <v>36</v>
      </c>
      <c r="E1163" s="15" t="str">
        <v>New Zealand</v>
      </c>
      <c r="F1163" s="15" t="str">
        <v>RW</v>
      </c>
      <c r="G1163" s="15" t="str">
        <v>Western Sydney Wanderers</v>
      </c>
      <c r="H1163" s="15">
        <v>17</v>
      </c>
      <c r="I1163" s="15" t="str">
        <f t="shared" si="101"/>
        <v>726|Kosta Barbarouses|36|New Zealand|RW|Western Sydney Wanderers|17</v>
      </c>
      <c r="J1163" s="15" t="str">
        <f>IF(COUNTIF(I$438:I1163,I1163)&gt;1,"DOUBLON","OK")</f>
        <v>OK</v>
      </c>
      <c r="S1163" s="12" t="str">
        <v>Mexico</v>
      </c>
      <c r="T1163" s="12" t="str">
        <f t="shared" si="98"/>
        <v>OK</v>
      </c>
      <c r="U1163" s="12" t="str">
        <f t="shared" si="99"/>
        <v>-</v>
      </c>
      <c r="V1163" s="12" t="str" cm="1">
        <f t="array" ref="V1163">_xlfn.IFS(
ISNUMBER(SEARCH("USA",S1163)),"United States",
ISNUMBER(SEARCH("Republic of Ireland",S1163)),"Ireland",
ISNUMBER(SEARCH("Republic of Korea",S1163)),"South Korea",
ISNUMBER(SEARCH("Cape Verde",S1163)),"Cabo Verde",
ISNUMBER(SEARCH("Czechia",S1163)),"Czech Republic",
ISNUMBER(SEARCH("Türkiye",S1163)),"Turkey",
ISNUMBER(SEARCH("Ivory Coast",S1163)),"Côte d'Ivoire",
ISNUMBER(SEARCH("Korea Republic",S1163)),"South Korea",
ISNUMBER(SEARCH("Germany FR",S1163)),"FR Germany",
ISNUMBER(SEARCH("West Germany",S1163)),"FR Germany",
ISNUMBER(SEARCH("Germany DR",S1163)),"DR Germany",
ISNUMBER(SEARCH("Korea DPR",S1163)),"North Korea",
ISNUMBER(SEARCH("China PR",S1163)),"China",
ISNUMBER(SEARCH("IR Iran",S1163)),"Iran",
ISNUMBER(SEARCH("Congo DR",S1163)),"Democratic Republic of the Congo",
ISNUMBER(SEARCH("DR Congo",S1163)),"Democratic Republic of the Congo",
ISNUMBER(SEARCH("German DR",S1163)),"DR Germany",
ISNUMBER(SEARCH("rn""&gt;United Arab Emirates",S1163)),"United Arab Emirates",
ISNUMBER(SEARCH("rn""&gt;Republic of Ireland",S1163)),"Ireland",
ISNUMBER(SEARCH("rn""&gt;Bosnia and Herzegovina",S1163)),"Bosnia and Herzegovina",
ISNUMBER(SEARCH("rn""&gt;Trinidad and Tobago",S1163)),"Trinidad and Tobago",
ISNUMBER(SEARCH("rn""&gt;Serbia and Montenegro",S1163)),"Serbia and Montenegro",
ISNUMBER(SEARCH(_xlfn.UNICHAR(65533),S1163)),"Côte d'Ivoire",
TRUE,""
)</f>
        <v/>
      </c>
      <c r="W1163" s="12" t="str">
        <f t="shared" si="100"/>
        <v>Mexico</v>
      </c>
    </row>
    <row r="1164" spans="2:23">
      <c r="B1164" s="75">
        <v>727</v>
      </c>
      <c r="C1164" s="15" t="str">
        <v>Chris Wood</v>
      </c>
      <c r="D1164" s="15">
        <v>34</v>
      </c>
      <c r="E1164" s="15" t="str">
        <v>New Zealand</v>
      </c>
      <c r="F1164" s="15" t="str">
        <v>ST</v>
      </c>
      <c r="G1164" s="15" t="str">
        <v>Nottingham Forest</v>
      </c>
      <c r="H1164" s="15">
        <v>9</v>
      </c>
      <c r="I1164" s="15" t="str">
        <f t="shared" si="101"/>
        <v>727|Chris Wood|34|New Zealand|ST|Nottingham Forest|9</v>
      </c>
      <c r="J1164" s="15" t="str">
        <f>IF(COUNTIF(I$438:I1164,I1164)&gt;1,"DOUBLON","OK")</f>
        <v>OK</v>
      </c>
      <c r="S1164" s="12" t="str">
        <v>Mexico</v>
      </c>
      <c r="T1164" s="12" t="str">
        <f t="shared" si="98"/>
        <v>OK</v>
      </c>
      <c r="U1164" s="12" t="str">
        <f t="shared" si="99"/>
        <v>-</v>
      </c>
      <c r="V1164" s="12" t="str" cm="1">
        <f t="array" ref="V1164">_xlfn.IFS(
ISNUMBER(SEARCH("USA",S1164)),"United States",
ISNUMBER(SEARCH("Republic of Ireland",S1164)),"Ireland",
ISNUMBER(SEARCH("Republic of Korea",S1164)),"South Korea",
ISNUMBER(SEARCH("Cape Verde",S1164)),"Cabo Verde",
ISNUMBER(SEARCH("Czechia",S1164)),"Czech Republic",
ISNUMBER(SEARCH("Türkiye",S1164)),"Turkey",
ISNUMBER(SEARCH("Ivory Coast",S1164)),"Côte d'Ivoire",
ISNUMBER(SEARCH("Korea Republic",S1164)),"South Korea",
ISNUMBER(SEARCH("Germany FR",S1164)),"FR Germany",
ISNUMBER(SEARCH("West Germany",S1164)),"FR Germany",
ISNUMBER(SEARCH("Germany DR",S1164)),"DR Germany",
ISNUMBER(SEARCH("Korea DPR",S1164)),"North Korea",
ISNUMBER(SEARCH("China PR",S1164)),"China",
ISNUMBER(SEARCH("IR Iran",S1164)),"Iran",
ISNUMBER(SEARCH("Congo DR",S1164)),"Democratic Republic of the Congo",
ISNUMBER(SEARCH("DR Congo",S1164)),"Democratic Republic of the Congo",
ISNUMBER(SEARCH("German DR",S1164)),"DR Germany",
ISNUMBER(SEARCH("rn""&gt;United Arab Emirates",S1164)),"United Arab Emirates",
ISNUMBER(SEARCH("rn""&gt;Republic of Ireland",S1164)),"Ireland",
ISNUMBER(SEARCH("rn""&gt;Bosnia and Herzegovina",S1164)),"Bosnia and Herzegovina",
ISNUMBER(SEARCH("rn""&gt;Trinidad and Tobago",S1164)),"Trinidad and Tobago",
ISNUMBER(SEARCH("rn""&gt;Serbia and Montenegro",S1164)),"Serbia and Montenegro",
ISNUMBER(SEARCH(_xlfn.UNICHAR(65533),S1164)),"Côte d'Ivoire",
TRUE,""
)</f>
        <v/>
      </c>
      <c r="W1164" s="12" t="str">
        <f t="shared" si="100"/>
        <v>Mexico</v>
      </c>
    </row>
    <row r="1165" spans="2:23">
      <c r="B1165" s="75">
        <v>728</v>
      </c>
      <c r="C1165" s="15" t="str">
        <v>Ben Waine</v>
      </c>
      <c r="D1165" s="15">
        <v>25</v>
      </c>
      <c r="E1165" s="15" t="str">
        <v>New Zealand</v>
      </c>
      <c r="F1165" s="15" t="str">
        <v>ST</v>
      </c>
      <c r="G1165" s="15" t="str">
        <v>Port Vale</v>
      </c>
      <c r="H1165" s="15">
        <v>18</v>
      </c>
      <c r="I1165" s="15" t="str">
        <f t="shared" si="101"/>
        <v>728|Ben Waine|25|New Zealand|ST|Port Vale|18</v>
      </c>
      <c r="J1165" s="15" t="str">
        <f>IF(COUNTIF(I$438:I1165,I1165)&gt;1,"DOUBLON","OK")</f>
        <v>OK</v>
      </c>
      <c r="S1165" s="12" t="str">
        <v>Mexico</v>
      </c>
      <c r="T1165" s="12" t="str">
        <f t="shared" si="98"/>
        <v>OK</v>
      </c>
      <c r="U1165" s="12" t="str">
        <f t="shared" si="99"/>
        <v>-</v>
      </c>
      <c r="V1165" s="12" t="str" cm="1">
        <f t="array" ref="V1165">_xlfn.IFS(
ISNUMBER(SEARCH("USA",S1165)),"United States",
ISNUMBER(SEARCH("Republic of Ireland",S1165)),"Ireland",
ISNUMBER(SEARCH("Republic of Korea",S1165)),"South Korea",
ISNUMBER(SEARCH("Cape Verde",S1165)),"Cabo Verde",
ISNUMBER(SEARCH("Czechia",S1165)),"Czech Republic",
ISNUMBER(SEARCH("Türkiye",S1165)),"Turkey",
ISNUMBER(SEARCH("Ivory Coast",S1165)),"Côte d'Ivoire",
ISNUMBER(SEARCH("Korea Republic",S1165)),"South Korea",
ISNUMBER(SEARCH("Germany FR",S1165)),"FR Germany",
ISNUMBER(SEARCH("West Germany",S1165)),"FR Germany",
ISNUMBER(SEARCH("Germany DR",S1165)),"DR Germany",
ISNUMBER(SEARCH("Korea DPR",S1165)),"North Korea",
ISNUMBER(SEARCH("China PR",S1165)),"China",
ISNUMBER(SEARCH("IR Iran",S1165)),"Iran",
ISNUMBER(SEARCH("Congo DR",S1165)),"Democratic Republic of the Congo",
ISNUMBER(SEARCH("DR Congo",S1165)),"Democratic Republic of the Congo",
ISNUMBER(SEARCH("German DR",S1165)),"DR Germany",
ISNUMBER(SEARCH("rn""&gt;United Arab Emirates",S1165)),"United Arab Emirates",
ISNUMBER(SEARCH("rn""&gt;Republic of Ireland",S1165)),"Ireland",
ISNUMBER(SEARCH("rn""&gt;Bosnia and Herzegovina",S1165)),"Bosnia and Herzegovina",
ISNUMBER(SEARCH("rn""&gt;Trinidad and Tobago",S1165)),"Trinidad and Tobago",
ISNUMBER(SEARCH("rn""&gt;Serbia and Montenegro",S1165)),"Serbia and Montenegro",
ISNUMBER(SEARCH(_xlfn.UNICHAR(65533),S1165)),"Côte d'Ivoire",
TRUE,""
)</f>
        <v/>
      </c>
      <c r="W1165" s="12" t="str">
        <f t="shared" si="100"/>
        <v>Mexico</v>
      </c>
    </row>
    <row r="1166" spans="2:23">
      <c r="B1166" s="75">
        <v>729</v>
      </c>
      <c r="C1166" s="15" t="str">
        <v>Vozinha</v>
      </c>
      <c r="D1166" s="15">
        <v>40</v>
      </c>
      <c r="E1166" s="15" t="str">
        <v>Cape Verde</v>
      </c>
      <c r="F1166" s="15" t="str">
        <v>GK</v>
      </c>
      <c r="G1166" s="15" t="str">
        <v>Chaves</v>
      </c>
      <c r="H1166" s="15">
        <v>1</v>
      </c>
      <c r="I1166" s="15" t="str">
        <f t="shared" si="101"/>
        <v>729|Vozinha|40|Cape Verde|GK|Chaves|1</v>
      </c>
      <c r="J1166" s="15" t="str">
        <f>IF(COUNTIF(I$438:I1166,I1166)&gt;1,"DOUBLON","OK")</f>
        <v>OK</v>
      </c>
      <c r="S1166" s="12" t="str">
        <v>Mexico</v>
      </c>
      <c r="T1166" s="12" t="str">
        <f t="shared" si="98"/>
        <v>OK</v>
      </c>
      <c r="U1166" s="12" t="str">
        <f t="shared" si="99"/>
        <v>-</v>
      </c>
      <c r="V1166" s="12" t="str" cm="1">
        <f t="array" ref="V1166">_xlfn.IFS(
ISNUMBER(SEARCH("USA",S1166)),"United States",
ISNUMBER(SEARCH("Republic of Ireland",S1166)),"Ireland",
ISNUMBER(SEARCH("Republic of Korea",S1166)),"South Korea",
ISNUMBER(SEARCH("Cape Verde",S1166)),"Cabo Verde",
ISNUMBER(SEARCH("Czechia",S1166)),"Czech Republic",
ISNUMBER(SEARCH("Türkiye",S1166)),"Turkey",
ISNUMBER(SEARCH("Ivory Coast",S1166)),"Côte d'Ivoire",
ISNUMBER(SEARCH("Korea Republic",S1166)),"South Korea",
ISNUMBER(SEARCH("Germany FR",S1166)),"FR Germany",
ISNUMBER(SEARCH("West Germany",S1166)),"FR Germany",
ISNUMBER(SEARCH("Germany DR",S1166)),"DR Germany",
ISNUMBER(SEARCH("Korea DPR",S1166)),"North Korea",
ISNUMBER(SEARCH("China PR",S1166)),"China",
ISNUMBER(SEARCH("IR Iran",S1166)),"Iran",
ISNUMBER(SEARCH("Congo DR",S1166)),"Democratic Republic of the Congo",
ISNUMBER(SEARCH("DR Congo",S1166)),"Democratic Republic of the Congo",
ISNUMBER(SEARCH("German DR",S1166)),"DR Germany",
ISNUMBER(SEARCH("rn""&gt;United Arab Emirates",S1166)),"United Arab Emirates",
ISNUMBER(SEARCH("rn""&gt;Republic of Ireland",S1166)),"Ireland",
ISNUMBER(SEARCH("rn""&gt;Bosnia and Herzegovina",S1166)),"Bosnia and Herzegovina",
ISNUMBER(SEARCH("rn""&gt;Trinidad and Tobago",S1166)),"Trinidad and Tobago",
ISNUMBER(SEARCH("rn""&gt;Serbia and Montenegro",S1166)),"Serbia and Montenegro",
ISNUMBER(SEARCH(_xlfn.UNICHAR(65533),S1166)),"Côte d'Ivoire",
TRUE,""
)</f>
        <v/>
      </c>
      <c r="W1166" s="12" t="str">
        <f t="shared" si="100"/>
        <v>Mexico</v>
      </c>
    </row>
    <row r="1167" spans="2:23">
      <c r="B1167" s="75">
        <v>730</v>
      </c>
      <c r="C1167" s="15" t="str">
        <v>Márcio Rosa</v>
      </c>
      <c r="D1167" s="15">
        <v>29</v>
      </c>
      <c r="E1167" s="15" t="str">
        <v>Cape Verde</v>
      </c>
      <c r="F1167" s="15" t="str">
        <v>GK</v>
      </c>
      <c r="G1167" s="15" t="str">
        <v>Montana</v>
      </c>
      <c r="H1167" s="15">
        <v>12</v>
      </c>
      <c r="I1167" s="15" t="str">
        <f t="shared" si="101"/>
        <v>730|Márcio Rosa|29|Cape Verde|GK|Montana|12</v>
      </c>
      <c r="J1167" s="15" t="str">
        <f>IF(COUNTIF(I$438:I1167,I1167)&gt;1,"DOUBLON","OK")</f>
        <v>OK</v>
      </c>
      <c r="S1167" s="12" t="str">
        <v>Mexico</v>
      </c>
      <c r="T1167" s="12" t="str">
        <f t="shared" si="98"/>
        <v>OK</v>
      </c>
      <c r="U1167" s="12" t="str">
        <f t="shared" si="99"/>
        <v>-</v>
      </c>
      <c r="V1167" s="12" t="str" cm="1">
        <f t="array" ref="V1167">_xlfn.IFS(
ISNUMBER(SEARCH("USA",S1167)),"United States",
ISNUMBER(SEARCH("Republic of Ireland",S1167)),"Ireland",
ISNUMBER(SEARCH("Republic of Korea",S1167)),"South Korea",
ISNUMBER(SEARCH("Cape Verde",S1167)),"Cabo Verde",
ISNUMBER(SEARCH("Czechia",S1167)),"Czech Republic",
ISNUMBER(SEARCH("Türkiye",S1167)),"Turkey",
ISNUMBER(SEARCH("Ivory Coast",S1167)),"Côte d'Ivoire",
ISNUMBER(SEARCH("Korea Republic",S1167)),"South Korea",
ISNUMBER(SEARCH("Germany FR",S1167)),"FR Germany",
ISNUMBER(SEARCH("West Germany",S1167)),"FR Germany",
ISNUMBER(SEARCH("Germany DR",S1167)),"DR Germany",
ISNUMBER(SEARCH("Korea DPR",S1167)),"North Korea",
ISNUMBER(SEARCH("China PR",S1167)),"China",
ISNUMBER(SEARCH("IR Iran",S1167)),"Iran",
ISNUMBER(SEARCH("Congo DR",S1167)),"Democratic Republic of the Congo",
ISNUMBER(SEARCH("DR Congo",S1167)),"Democratic Republic of the Congo",
ISNUMBER(SEARCH("German DR",S1167)),"DR Germany",
ISNUMBER(SEARCH("rn""&gt;United Arab Emirates",S1167)),"United Arab Emirates",
ISNUMBER(SEARCH("rn""&gt;Republic of Ireland",S1167)),"Ireland",
ISNUMBER(SEARCH("rn""&gt;Bosnia and Herzegovina",S1167)),"Bosnia and Herzegovina",
ISNUMBER(SEARCH("rn""&gt;Trinidad and Tobago",S1167)),"Trinidad and Tobago",
ISNUMBER(SEARCH("rn""&gt;Serbia and Montenegro",S1167)),"Serbia and Montenegro",
ISNUMBER(SEARCH(_xlfn.UNICHAR(65533),S1167)),"Côte d'Ivoire",
TRUE,""
)</f>
        <v/>
      </c>
      <c r="W1167" s="12" t="str">
        <f t="shared" si="100"/>
        <v>Mexico</v>
      </c>
    </row>
    <row r="1168" spans="2:23">
      <c r="B1168" s="75">
        <v>731</v>
      </c>
      <c r="C1168" s="15" t="str">
        <v>CJ dos Santos</v>
      </c>
      <c r="D1168" s="15">
        <v>25</v>
      </c>
      <c r="E1168" s="15" t="str">
        <v>Cape Verde</v>
      </c>
      <c r="F1168" s="15" t="str">
        <v>GK</v>
      </c>
      <c r="G1168" s="15" t="str">
        <v>San Diego FC</v>
      </c>
      <c r="H1168" s="15">
        <v>23</v>
      </c>
      <c r="I1168" s="15" t="str">
        <f t="shared" si="101"/>
        <v>731|CJ dos Santos|25|Cape Verde|GK|San Diego FC|23</v>
      </c>
      <c r="J1168" s="15" t="str">
        <f>IF(COUNTIF(I$438:I1168,I1168)&gt;1,"DOUBLON","OK")</f>
        <v>OK</v>
      </c>
      <c r="S1168" s="12" t="str">
        <v>Mexico</v>
      </c>
      <c r="T1168" s="12" t="str">
        <f t="shared" si="98"/>
        <v>OK</v>
      </c>
      <c r="U1168" s="12" t="str">
        <f t="shared" si="99"/>
        <v>-</v>
      </c>
      <c r="V1168" s="12" t="str" cm="1">
        <f t="array" ref="V1168">_xlfn.IFS(
ISNUMBER(SEARCH("USA",S1168)),"United States",
ISNUMBER(SEARCH("Republic of Ireland",S1168)),"Ireland",
ISNUMBER(SEARCH("Republic of Korea",S1168)),"South Korea",
ISNUMBER(SEARCH("Cape Verde",S1168)),"Cabo Verde",
ISNUMBER(SEARCH("Czechia",S1168)),"Czech Republic",
ISNUMBER(SEARCH("Türkiye",S1168)),"Turkey",
ISNUMBER(SEARCH("Ivory Coast",S1168)),"Côte d'Ivoire",
ISNUMBER(SEARCH("Korea Republic",S1168)),"South Korea",
ISNUMBER(SEARCH("Germany FR",S1168)),"FR Germany",
ISNUMBER(SEARCH("West Germany",S1168)),"FR Germany",
ISNUMBER(SEARCH("Germany DR",S1168)),"DR Germany",
ISNUMBER(SEARCH("Korea DPR",S1168)),"North Korea",
ISNUMBER(SEARCH("China PR",S1168)),"China",
ISNUMBER(SEARCH("IR Iran",S1168)),"Iran",
ISNUMBER(SEARCH("Congo DR",S1168)),"Democratic Republic of the Congo",
ISNUMBER(SEARCH("DR Congo",S1168)),"Democratic Republic of the Congo",
ISNUMBER(SEARCH("German DR",S1168)),"DR Germany",
ISNUMBER(SEARCH("rn""&gt;United Arab Emirates",S1168)),"United Arab Emirates",
ISNUMBER(SEARCH("rn""&gt;Republic of Ireland",S1168)),"Ireland",
ISNUMBER(SEARCH("rn""&gt;Bosnia and Herzegovina",S1168)),"Bosnia and Herzegovina",
ISNUMBER(SEARCH("rn""&gt;Trinidad and Tobago",S1168)),"Trinidad and Tobago",
ISNUMBER(SEARCH("rn""&gt;Serbia and Montenegro",S1168)),"Serbia and Montenegro",
ISNUMBER(SEARCH(_xlfn.UNICHAR(65533),S1168)),"Côte d'Ivoire",
TRUE,""
)</f>
        <v/>
      </c>
      <c r="W1168" s="12" t="str">
        <f t="shared" si="100"/>
        <v>Mexico</v>
      </c>
    </row>
    <row r="1169" spans="2:23">
      <c r="B1169" s="75">
        <v>732</v>
      </c>
      <c r="C1169" s="15" t="str">
        <v>Diney</v>
      </c>
      <c r="D1169" s="15">
        <v>31</v>
      </c>
      <c r="E1169" s="15" t="str">
        <v>Cape Verde</v>
      </c>
      <c r="F1169" s="15" t="str">
        <v>CB</v>
      </c>
      <c r="G1169" s="15" t="str">
        <v>Al Bataeh</v>
      </c>
      <c r="H1169" s="15">
        <v>3</v>
      </c>
      <c r="I1169" s="15" t="str">
        <f t="shared" si="101"/>
        <v>732|Diney|31|Cape Verde|CB|Al Bataeh|3</v>
      </c>
      <c r="J1169" s="15" t="str">
        <f>IF(COUNTIF(I$438:I1169,I1169)&gt;1,"DOUBLON","OK")</f>
        <v>OK</v>
      </c>
      <c r="S1169" s="12" t="str">
        <v>Mexico</v>
      </c>
      <c r="T1169" s="12" t="str">
        <f t="shared" si="98"/>
        <v>OK</v>
      </c>
      <c r="U1169" s="12" t="str">
        <f t="shared" si="99"/>
        <v>-</v>
      </c>
      <c r="V1169" s="12" t="str" cm="1">
        <f t="array" ref="V1169">_xlfn.IFS(
ISNUMBER(SEARCH("USA",S1169)),"United States",
ISNUMBER(SEARCH("Republic of Ireland",S1169)),"Ireland",
ISNUMBER(SEARCH("Republic of Korea",S1169)),"South Korea",
ISNUMBER(SEARCH("Cape Verde",S1169)),"Cabo Verde",
ISNUMBER(SEARCH("Czechia",S1169)),"Czech Republic",
ISNUMBER(SEARCH("Türkiye",S1169)),"Turkey",
ISNUMBER(SEARCH("Ivory Coast",S1169)),"Côte d'Ivoire",
ISNUMBER(SEARCH("Korea Republic",S1169)),"South Korea",
ISNUMBER(SEARCH("Germany FR",S1169)),"FR Germany",
ISNUMBER(SEARCH("West Germany",S1169)),"FR Germany",
ISNUMBER(SEARCH("Germany DR",S1169)),"DR Germany",
ISNUMBER(SEARCH("Korea DPR",S1169)),"North Korea",
ISNUMBER(SEARCH("China PR",S1169)),"China",
ISNUMBER(SEARCH("IR Iran",S1169)),"Iran",
ISNUMBER(SEARCH("Congo DR",S1169)),"Democratic Republic of the Congo",
ISNUMBER(SEARCH("DR Congo",S1169)),"Democratic Republic of the Congo",
ISNUMBER(SEARCH("German DR",S1169)),"DR Germany",
ISNUMBER(SEARCH("rn""&gt;United Arab Emirates",S1169)),"United Arab Emirates",
ISNUMBER(SEARCH("rn""&gt;Republic of Ireland",S1169)),"Ireland",
ISNUMBER(SEARCH("rn""&gt;Bosnia and Herzegovina",S1169)),"Bosnia and Herzegovina",
ISNUMBER(SEARCH("rn""&gt;Trinidad and Tobago",S1169)),"Trinidad and Tobago",
ISNUMBER(SEARCH("rn""&gt;Serbia and Montenegro",S1169)),"Serbia and Montenegro",
ISNUMBER(SEARCH(_xlfn.UNICHAR(65533),S1169)),"Côte d'Ivoire",
TRUE,""
)</f>
        <v/>
      </c>
      <c r="W1169" s="12" t="str">
        <f t="shared" si="100"/>
        <v>Mexico</v>
      </c>
    </row>
    <row r="1170" spans="2:23">
      <c r="B1170" s="75">
        <v>733</v>
      </c>
      <c r="C1170" s="15" t="str">
        <v>Pico</v>
      </c>
      <c r="D1170" s="15">
        <v>33</v>
      </c>
      <c r="E1170" s="15" t="str">
        <v>Cape Verde</v>
      </c>
      <c r="F1170" s="15" t="str">
        <v>CB</v>
      </c>
      <c r="G1170" s="15" t="str">
        <v>Shamrock Rovers</v>
      </c>
      <c r="H1170" s="15">
        <v>4</v>
      </c>
      <c r="I1170" s="15" t="str">
        <f t="shared" si="101"/>
        <v>733|Pico|33|Cape Verde|CB|Shamrock Rovers|4</v>
      </c>
      <c r="J1170" s="15" t="str">
        <f>IF(COUNTIF(I$438:I1170,I1170)&gt;1,"DOUBLON","OK")</f>
        <v>OK</v>
      </c>
      <c r="S1170" s="12" t="str">
        <v>Mexico</v>
      </c>
      <c r="T1170" s="12" t="str">
        <f t="shared" si="98"/>
        <v>OK</v>
      </c>
      <c r="U1170" s="12" t="str">
        <f t="shared" si="99"/>
        <v>-</v>
      </c>
      <c r="V1170" s="12" t="str" cm="1">
        <f t="array" ref="V1170">_xlfn.IFS(
ISNUMBER(SEARCH("USA",S1170)),"United States",
ISNUMBER(SEARCH("Republic of Ireland",S1170)),"Ireland",
ISNUMBER(SEARCH("Republic of Korea",S1170)),"South Korea",
ISNUMBER(SEARCH("Cape Verde",S1170)),"Cabo Verde",
ISNUMBER(SEARCH("Czechia",S1170)),"Czech Republic",
ISNUMBER(SEARCH("Türkiye",S1170)),"Turkey",
ISNUMBER(SEARCH("Ivory Coast",S1170)),"Côte d'Ivoire",
ISNUMBER(SEARCH("Korea Republic",S1170)),"South Korea",
ISNUMBER(SEARCH("Germany FR",S1170)),"FR Germany",
ISNUMBER(SEARCH("West Germany",S1170)),"FR Germany",
ISNUMBER(SEARCH("Germany DR",S1170)),"DR Germany",
ISNUMBER(SEARCH("Korea DPR",S1170)),"North Korea",
ISNUMBER(SEARCH("China PR",S1170)),"China",
ISNUMBER(SEARCH("IR Iran",S1170)),"Iran",
ISNUMBER(SEARCH("Congo DR",S1170)),"Democratic Republic of the Congo",
ISNUMBER(SEARCH("DR Congo",S1170)),"Democratic Republic of the Congo",
ISNUMBER(SEARCH("German DR",S1170)),"DR Germany",
ISNUMBER(SEARCH("rn""&gt;United Arab Emirates",S1170)),"United Arab Emirates",
ISNUMBER(SEARCH("rn""&gt;Republic of Ireland",S1170)),"Ireland",
ISNUMBER(SEARCH("rn""&gt;Bosnia and Herzegovina",S1170)),"Bosnia and Herzegovina",
ISNUMBER(SEARCH("rn""&gt;Trinidad and Tobago",S1170)),"Trinidad and Tobago",
ISNUMBER(SEARCH("rn""&gt;Serbia and Montenegro",S1170)),"Serbia and Montenegro",
ISNUMBER(SEARCH(_xlfn.UNICHAR(65533),S1170)),"Côte d'Ivoire",
TRUE,""
)</f>
        <v/>
      </c>
      <c r="W1170" s="12" t="str">
        <f t="shared" si="100"/>
        <v>Mexico</v>
      </c>
    </row>
    <row r="1171" spans="2:23">
      <c r="B1171" s="75">
        <v>734</v>
      </c>
      <c r="C1171" s="15" t="str">
        <v>Logan Costa</v>
      </c>
      <c r="D1171" s="15">
        <v>25</v>
      </c>
      <c r="E1171" s="15" t="str">
        <v>Cape Verde</v>
      </c>
      <c r="F1171" s="15" t="str">
        <v>CB</v>
      </c>
      <c r="G1171" s="15" t="str">
        <v>Villarreal</v>
      </c>
      <c r="H1171" s="15">
        <v>5</v>
      </c>
      <c r="I1171" s="15" t="str">
        <f t="shared" si="101"/>
        <v>734|Logan Costa|25|Cape Verde|CB|Villarreal|5</v>
      </c>
      <c r="J1171" s="15" t="str">
        <f>IF(COUNTIF(I$438:I1171,I1171)&gt;1,"DOUBLON","OK")</f>
        <v>OK</v>
      </c>
      <c r="S1171" s="12" t="str">
        <v>Mexico</v>
      </c>
      <c r="T1171" s="12" t="str">
        <f t="shared" si="98"/>
        <v>OK</v>
      </c>
      <c r="U1171" s="12" t="str">
        <f t="shared" si="99"/>
        <v>-</v>
      </c>
      <c r="V1171" s="12" t="str" cm="1">
        <f t="array" ref="V1171">_xlfn.IFS(
ISNUMBER(SEARCH("USA",S1171)),"United States",
ISNUMBER(SEARCH("Republic of Ireland",S1171)),"Ireland",
ISNUMBER(SEARCH("Republic of Korea",S1171)),"South Korea",
ISNUMBER(SEARCH("Cape Verde",S1171)),"Cabo Verde",
ISNUMBER(SEARCH("Czechia",S1171)),"Czech Republic",
ISNUMBER(SEARCH("Türkiye",S1171)),"Turkey",
ISNUMBER(SEARCH("Ivory Coast",S1171)),"Côte d'Ivoire",
ISNUMBER(SEARCH("Korea Republic",S1171)),"South Korea",
ISNUMBER(SEARCH("Germany FR",S1171)),"FR Germany",
ISNUMBER(SEARCH("West Germany",S1171)),"FR Germany",
ISNUMBER(SEARCH("Germany DR",S1171)),"DR Germany",
ISNUMBER(SEARCH("Korea DPR",S1171)),"North Korea",
ISNUMBER(SEARCH("China PR",S1171)),"China",
ISNUMBER(SEARCH("IR Iran",S1171)),"Iran",
ISNUMBER(SEARCH("Congo DR",S1171)),"Democratic Republic of the Congo",
ISNUMBER(SEARCH("DR Congo",S1171)),"Democratic Republic of the Congo",
ISNUMBER(SEARCH("German DR",S1171)),"DR Germany",
ISNUMBER(SEARCH("rn""&gt;United Arab Emirates",S1171)),"United Arab Emirates",
ISNUMBER(SEARCH("rn""&gt;Republic of Ireland",S1171)),"Ireland",
ISNUMBER(SEARCH("rn""&gt;Bosnia and Herzegovina",S1171)),"Bosnia and Herzegovina",
ISNUMBER(SEARCH("rn""&gt;Trinidad and Tobago",S1171)),"Trinidad and Tobago",
ISNUMBER(SEARCH("rn""&gt;Serbia and Montenegro",S1171)),"Serbia and Montenegro",
ISNUMBER(SEARCH(_xlfn.UNICHAR(65533),S1171)),"Côte d'Ivoire",
TRUE,""
)</f>
        <v/>
      </c>
      <c r="W1171" s="12" t="str">
        <f t="shared" si="100"/>
        <v>Mexico</v>
      </c>
    </row>
    <row r="1172" spans="2:23">
      <c r="B1172" s="75">
        <v>735</v>
      </c>
      <c r="C1172" s="15" t="str">
        <v>Kelvin Pires</v>
      </c>
      <c r="D1172" s="15">
        <v>26</v>
      </c>
      <c r="E1172" s="15" t="str">
        <v>Cape Verde</v>
      </c>
      <c r="F1172" s="15" t="str">
        <v>CB</v>
      </c>
      <c r="G1172" s="15" t="str">
        <v>SJK</v>
      </c>
      <c r="H1172" s="15">
        <v>25</v>
      </c>
      <c r="I1172" s="15" t="str">
        <f t="shared" si="101"/>
        <v>735|Kelvin Pires|26|Cape Verde|CB|SJK|25</v>
      </c>
      <c r="J1172" s="15" t="str">
        <f>IF(COUNTIF(I$438:I1172,I1172)&gt;1,"DOUBLON","OK")</f>
        <v>OK</v>
      </c>
      <c r="S1172" s="12" t="str">
        <v>Mexico</v>
      </c>
      <c r="T1172" s="12" t="str">
        <f t="shared" si="98"/>
        <v>OK</v>
      </c>
      <c r="U1172" s="12" t="str">
        <f t="shared" si="99"/>
        <v>-</v>
      </c>
      <c r="V1172" s="12" t="str" cm="1">
        <f t="array" ref="V1172">_xlfn.IFS(
ISNUMBER(SEARCH("USA",S1172)),"United States",
ISNUMBER(SEARCH("Republic of Ireland",S1172)),"Ireland",
ISNUMBER(SEARCH("Republic of Korea",S1172)),"South Korea",
ISNUMBER(SEARCH("Cape Verde",S1172)),"Cabo Verde",
ISNUMBER(SEARCH("Czechia",S1172)),"Czech Republic",
ISNUMBER(SEARCH("Türkiye",S1172)),"Turkey",
ISNUMBER(SEARCH("Ivory Coast",S1172)),"Côte d'Ivoire",
ISNUMBER(SEARCH("Korea Republic",S1172)),"South Korea",
ISNUMBER(SEARCH("Germany FR",S1172)),"FR Germany",
ISNUMBER(SEARCH("West Germany",S1172)),"FR Germany",
ISNUMBER(SEARCH("Germany DR",S1172)),"DR Germany",
ISNUMBER(SEARCH("Korea DPR",S1172)),"North Korea",
ISNUMBER(SEARCH("China PR",S1172)),"China",
ISNUMBER(SEARCH("IR Iran",S1172)),"Iran",
ISNUMBER(SEARCH("Congo DR",S1172)),"Democratic Republic of the Congo",
ISNUMBER(SEARCH("DR Congo",S1172)),"Democratic Republic of the Congo",
ISNUMBER(SEARCH("German DR",S1172)),"DR Germany",
ISNUMBER(SEARCH("rn""&gt;United Arab Emirates",S1172)),"United Arab Emirates",
ISNUMBER(SEARCH("rn""&gt;Republic of Ireland",S1172)),"Ireland",
ISNUMBER(SEARCH("rn""&gt;Bosnia and Herzegovina",S1172)),"Bosnia and Herzegovina",
ISNUMBER(SEARCH("rn""&gt;Trinidad and Tobago",S1172)),"Trinidad and Tobago",
ISNUMBER(SEARCH("rn""&gt;Serbia and Montenegro",S1172)),"Serbia and Montenegro",
ISNUMBER(SEARCH(_xlfn.UNICHAR(65533),S1172)),"Côte d'Ivoire",
TRUE,""
)</f>
        <v/>
      </c>
      <c r="W1172" s="12" t="str">
        <f t="shared" si="100"/>
        <v>Mexico</v>
      </c>
    </row>
    <row r="1173" spans="2:23">
      <c r="B1173" s="75">
        <v>736</v>
      </c>
      <c r="C1173" s="15" t="str">
        <v>Stopira</v>
      </c>
      <c r="D1173" s="15">
        <v>38</v>
      </c>
      <c r="E1173" s="15" t="str">
        <v>Cape Verde</v>
      </c>
      <c r="F1173" s="15" t="str">
        <v>LB</v>
      </c>
      <c r="G1173" s="15" t="str">
        <v>Torreense</v>
      </c>
      <c r="H1173" s="15">
        <v>2</v>
      </c>
      <c r="I1173" s="15" t="str">
        <f t="shared" si="101"/>
        <v>736|Stopira|38|Cape Verde|LB|Torreense|2</v>
      </c>
      <c r="J1173" s="15" t="str">
        <f>IF(COUNTIF(I$438:I1173,I1173)&gt;1,"DOUBLON","OK")</f>
        <v>OK</v>
      </c>
      <c r="S1173" s="12" t="str">
        <v>South Africa</v>
      </c>
      <c r="T1173" s="12" t="str">
        <f t="shared" si="98"/>
        <v>OK</v>
      </c>
      <c r="U1173" s="12" t="str">
        <f t="shared" si="99"/>
        <v>-</v>
      </c>
      <c r="V1173" s="12" t="str" cm="1">
        <f t="array" ref="V1173">_xlfn.IFS(
ISNUMBER(SEARCH("USA",S1173)),"United States",
ISNUMBER(SEARCH("Republic of Ireland",S1173)),"Ireland",
ISNUMBER(SEARCH("Republic of Korea",S1173)),"South Korea",
ISNUMBER(SEARCH("Cape Verde",S1173)),"Cabo Verde",
ISNUMBER(SEARCH("Czechia",S1173)),"Czech Republic",
ISNUMBER(SEARCH("Türkiye",S1173)),"Turkey",
ISNUMBER(SEARCH("Ivory Coast",S1173)),"Côte d'Ivoire",
ISNUMBER(SEARCH("Korea Republic",S1173)),"South Korea",
ISNUMBER(SEARCH("Germany FR",S1173)),"FR Germany",
ISNUMBER(SEARCH("West Germany",S1173)),"FR Germany",
ISNUMBER(SEARCH("Germany DR",S1173)),"DR Germany",
ISNUMBER(SEARCH("Korea DPR",S1173)),"North Korea",
ISNUMBER(SEARCH("China PR",S1173)),"China",
ISNUMBER(SEARCH("IR Iran",S1173)),"Iran",
ISNUMBER(SEARCH("Congo DR",S1173)),"Democratic Republic of the Congo",
ISNUMBER(SEARCH("DR Congo",S1173)),"Democratic Republic of the Congo",
ISNUMBER(SEARCH("German DR",S1173)),"DR Germany",
ISNUMBER(SEARCH("rn""&gt;United Arab Emirates",S1173)),"United Arab Emirates",
ISNUMBER(SEARCH("rn""&gt;Republic of Ireland",S1173)),"Ireland",
ISNUMBER(SEARCH("rn""&gt;Bosnia and Herzegovina",S1173)),"Bosnia and Herzegovina",
ISNUMBER(SEARCH("rn""&gt;Trinidad and Tobago",S1173)),"Trinidad and Tobago",
ISNUMBER(SEARCH("rn""&gt;Serbia and Montenegro",S1173)),"Serbia and Montenegro",
ISNUMBER(SEARCH(_xlfn.UNICHAR(65533),S1173)),"Côte d'Ivoire",
TRUE,""
)</f>
        <v/>
      </c>
      <c r="W1173" s="12" t="str">
        <f t="shared" si="100"/>
        <v>South Africa</v>
      </c>
    </row>
    <row r="1174" spans="2:23">
      <c r="B1174" s="75">
        <v>737</v>
      </c>
      <c r="C1174" s="15" t="str">
        <v>Sidny Lopes Cabral</v>
      </c>
      <c r="D1174" s="15">
        <v>23</v>
      </c>
      <c r="E1174" s="15" t="str">
        <v>Cape Verde</v>
      </c>
      <c r="F1174" s="15" t="str">
        <v>LB</v>
      </c>
      <c r="G1174" s="15" t="str">
        <v>Benfica</v>
      </c>
      <c r="H1174" s="15">
        <v>13</v>
      </c>
      <c r="I1174" s="15" t="str">
        <f t="shared" si="101"/>
        <v>737|Sidny Lopes Cabral|23|Cape Verde|LB|Benfica|13</v>
      </c>
      <c r="J1174" s="15" t="str">
        <f>IF(COUNTIF(I$438:I1174,I1174)&gt;1,"DOUBLON","OK")</f>
        <v>OK</v>
      </c>
      <c r="S1174" s="12" t="str">
        <v>South Africa</v>
      </c>
      <c r="T1174" s="12" t="str">
        <f t="shared" si="98"/>
        <v>OK</v>
      </c>
      <c r="U1174" s="12" t="str">
        <f t="shared" si="99"/>
        <v>-</v>
      </c>
      <c r="V1174" s="12" t="str" cm="1">
        <f t="array" ref="V1174">_xlfn.IFS(
ISNUMBER(SEARCH("USA",S1174)),"United States",
ISNUMBER(SEARCH("Republic of Ireland",S1174)),"Ireland",
ISNUMBER(SEARCH("Republic of Korea",S1174)),"South Korea",
ISNUMBER(SEARCH("Cape Verde",S1174)),"Cabo Verde",
ISNUMBER(SEARCH("Czechia",S1174)),"Czech Republic",
ISNUMBER(SEARCH("Türkiye",S1174)),"Turkey",
ISNUMBER(SEARCH("Ivory Coast",S1174)),"Côte d'Ivoire",
ISNUMBER(SEARCH("Korea Republic",S1174)),"South Korea",
ISNUMBER(SEARCH("Germany FR",S1174)),"FR Germany",
ISNUMBER(SEARCH("West Germany",S1174)),"FR Germany",
ISNUMBER(SEARCH("Germany DR",S1174)),"DR Germany",
ISNUMBER(SEARCH("Korea DPR",S1174)),"North Korea",
ISNUMBER(SEARCH("China PR",S1174)),"China",
ISNUMBER(SEARCH("IR Iran",S1174)),"Iran",
ISNUMBER(SEARCH("Congo DR",S1174)),"Democratic Republic of the Congo",
ISNUMBER(SEARCH("DR Congo",S1174)),"Democratic Republic of the Congo",
ISNUMBER(SEARCH("German DR",S1174)),"DR Germany",
ISNUMBER(SEARCH("rn""&gt;United Arab Emirates",S1174)),"United Arab Emirates",
ISNUMBER(SEARCH("rn""&gt;Republic of Ireland",S1174)),"Ireland",
ISNUMBER(SEARCH("rn""&gt;Bosnia and Herzegovina",S1174)),"Bosnia and Herzegovina",
ISNUMBER(SEARCH("rn""&gt;Trinidad and Tobago",S1174)),"Trinidad and Tobago",
ISNUMBER(SEARCH("rn""&gt;Serbia and Montenegro",S1174)),"Serbia and Montenegro",
ISNUMBER(SEARCH(_xlfn.UNICHAR(65533),S1174)),"Côte d'Ivoire",
TRUE,""
)</f>
        <v/>
      </c>
      <c r="W1174" s="12" t="str">
        <f t="shared" si="100"/>
        <v>South Africa</v>
      </c>
    </row>
    <row r="1175" spans="2:23">
      <c r="B1175" s="75">
        <v>738</v>
      </c>
      <c r="C1175" s="15" t="str">
        <v>Steven Moreira</v>
      </c>
      <c r="D1175" s="15">
        <v>31</v>
      </c>
      <c r="E1175" s="15" t="str">
        <v>Cape Verde</v>
      </c>
      <c r="F1175" s="15" t="str">
        <v>RB</v>
      </c>
      <c r="G1175" s="15" t="str">
        <v>Columbus Crew</v>
      </c>
      <c r="H1175" s="15">
        <v>22</v>
      </c>
      <c r="I1175" s="15" t="str">
        <f t="shared" si="101"/>
        <v>738|Steven Moreira|31|Cape Verde|RB|Columbus Crew|22</v>
      </c>
      <c r="J1175" s="15" t="str">
        <f>IF(COUNTIF(I$438:I1175,I1175)&gt;1,"DOUBLON","OK")</f>
        <v>OK</v>
      </c>
      <c r="S1175" s="12" t="str">
        <v>South Africa</v>
      </c>
      <c r="T1175" s="12" t="str">
        <f t="shared" si="98"/>
        <v>OK</v>
      </c>
      <c r="U1175" s="12" t="str">
        <f t="shared" si="99"/>
        <v>-</v>
      </c>
      <c r="V1175" s="12" t="str" cm="1">
        <f t="array" ref="V1175">_xlfn.IFS(
ISNUMBER(SEARCH("USA",S1175)),"United States",
ISNUMBER(SEARCH("Republic of Ireland",S1175)),"Ireland",
ISNUMBER(SEARCH("Republic of Korea",S1175)),"South Korea",
ISNUMBER(SEARCH("Cape Verde",S1175)),"Cabo Verde",
ISNUMBER(SEARCH("Czechia",S1175)),"Czech Republic",
ISNUMBER(SEARCH("Türkiye",S1175)),"Turkey",
ISNUMBER(SEARCH("Ivory Coast",S1175)),"Côte d'Ivoire",
ISNUMBER(SEARCH("Korea Republic",S1175)),"South Korea",
ISNUMBER(SEARCH("Germany FR",S1175)),"FR Germany",
ISNUMBER(SEARCH("West Germany",S1175)),"FR Germany",
ISNUMBER(SEARCH("Germany DR",S1175)),"DR Germany",
ISNUMBER(SEARCH("Korea DPR",S1175)),"North Korea",
ISNUMBER(SEARCH("China PR",S1175)),"China",
ISNUMBER(SEARCH("IR Iran",S1175)),"Iran",
ISNUMBER(SEARCH("Congo DR",S1175)),"Democratic Republic of the Congo",
ISNUMBER(SEARCH("DR Congo",S1175)),"Democratic Republic of the Congo",
ISNUMBER(SEARCH("German DR",S1175)),"DR Germany",
ISNUMBER(SEARCH("rn""&gt;United Arab Emirates",S1175)),"United Arab Emirates",
ISNUMBER(SEARCH("rn""&gt;Republic of Ireland",S1175)),"Ireland",
ISNUMBER(SEARCH("rn""&gt;Bosnia and Herzegovina",S1175)),"Bosnia and Herzegovina",
ISNUMBER(SEARCH("rn""&gt;Trinidad and Tobago",S1175)),"Trinidad and Tobago",
ISNUMBER(SEARCH("rn""&gt;Serbia and Montenegro",S1175)),"Serbia and Montenegro",
ISNUMBER(SEARCH(_xlfn.UNICHAR(65533),S1175)),"Côte d'Ivoire",
TRUE,""
)</f>
        <v/>
      </c>
      <c r="W1175" s="12" t="str">
        <f t="shared" si="100"/>
        <v>South Africa</v>
      </c>
    </row>
    <row r="1176" spans="2:23">
      <c r="B1176" s="75">
        <v>739</v>
      </c>
      <c r="C1176" s="15" t="str">
        <v>Wagner Pina</v>
      </c>
      <c r="D1176" s="15">
        <v>23</v>
      </c>
      <c r="E1176" s="15" t="str">
        <v>Cape Verde</v>
      </c>
      <c r="F1176" s="15" t="str">
        <v>RB</v>
      </c>
      <c r="G1176" s="15" t="str">
        <v>Trabzonspor</v>
      </c>
      <c r="H1176" s="15">
        <v>24</v>
      </c>
      <c r="I1176" s="15" t="str">
        <f t="shared" si="101"/>
        <v>739|Wagner Pina|23|Cape Verde|RB|Trabzonspor|24</v>
      </c>
      <c r="J1176" s="15" t="str">
        <f>IF(COUNTIF(I$438:I1176,I1176)&gt;1,"DOUBLON","OK")</f>
        <v>OK</v>
      </c>
      <c r="S1176" s="12" t="str">
        <v>South Africa</v>
      </c>
      <c r="T1176" s="12" t="str">
        <f t="shared" si="98"/>
        <v>OK</v>
      </c>
      <c r="U1176" s="12" t="str">
        <f t="shared" si="99"/>
        <v>-</v>
      </c>
      <c r="V1176" s="12" t="str" cm="1">
        <f t="array" ref="V1176">_xlfn.IFS(
ISNUMBER(SEARCH("USA",S1176)),"United States",
ISNUMBER(SEARCH("Republic of Ireland",S1176)),"Ireland",
ISNUMBER(SEARCH("Republic of Korea",S1176)),"South Korea",
ISNUMBER(SEARCH("Cape Verde",S1176)),"Cabo Verde",
ISNUMBER(SEARCH("Czechia",S1176)),"Czech Republic",
ISNUMBER(SEARCH("Türkiye",S1176)),"Turkey",
ISNUMBER(SEARCH("Ivory Coast",S1176)),"Côte d'Ivoire",
ISNUMBER(SEARCH("Korea Republic",S1176)),"South Korea",
ISNUMBER(SEARCH("Germany FR",S1176)),"FR Germany",
ISNUMBER(SEARCH("West Germany",S1176)),"FR Germany",
ISNUMBER(SEARCH("Germany DR",S1176)),"DR Germany",
ISNUMBER(SEARCH("Korea DPR",S1176)),"North Korea",
ISNUMBER(SEARCH("China PR",S1176)),"China",
ISNUMBER(SEARCH("IR Iran",S1176)),"Iran",
ISNUMBER(SEARCH("Congo DR",S1176)),"Democratic Republic of the Congo",
ISNUMBER(SEARCH("DR Congo",S1176)),"Democratic Republic of the Congo",
ISNUMBER(SEARCH("German DR",S1176)),"DR Germany",
ISNUMBER(SEARCH("rn""&gt;United Arab Emirates",S1176)),"United Arab Emirates",
ISNUMBER(SEARCH("rn""&gt;Republic of Ireland",S1176)),"Ireland",
ISNUMBER(SEARCH("rn""&gt;Bosnia and Herzegovina",S1176)),"Bosnia and Herzegovina",
ISNUMBER(SEARCH("rn""&gt;Trinidad and Tobago",S1176)),"Trinidad and Tobago",
ISNUMBER(SEARCH("rn""&gt;Serbia and Montenegro",S1176)),"Serbia and Montenegro",
ISNUMBER(SEARCH(_xlfn.UNICHAR(65533),S1176)),"Côte d'Ivoire",
TRUE,""
)</f>
        <v/>
      </c>
      <c r="W1176" s="12" t="str">
        <f t="shared" si="100"/>
        <v>South Africa</v>
      </c>
    </row>
    <row r="1177" spans="2:23">
      <c r="B1177" s="75">
        <v>740</v>
      </c>
      <c r="C1177" s="15" t="str">
        <v>Kevin Pina</v>
      </c>
      <c r="D1177" s="15">
        <v>29</v>
      </c>
      <c r="E1177" s="15" t="str">
        <v>Cape Verde</v>
      </c>
      <c r="F1177" s="15" t="str">
        <v>CDM</v>
      </c>
      <c r="G1177" s="15" t="str">
        <v>Krasnodar</v>
      </c>
      <c r="H1177" s="15">
        <v>6</v>
      </c>
      <c r="I1177" s="15" t="str">
        <f t="shared" si="101"/>
        <v>740|Kevin Pina|29|Cape Verde|CDM|Krasnodar|6</v>
      </c>
      <c r="J1177" s="15" t="str">
        <f>IF(COUNTIF(I$438:I1177,I1177)&gt;1,"DOUBLON","OK")</f>
        <v>OK</v>
      </c>
      <c r="S1177" s="12" t="str">
        <v>South Africa</v>
      </c>
      <c r="T1177" s="12" t="str">
        <f t="shared" si="98"/>
        <v>OK</v>
      </c>
      <c r="U1177" s="12" t="str">
        <f t="shared" si="99"/>
        <v>-</v>
      </c>
      <c r="V1177" s="12" t="str" cm="1">
        <f t="array" ref="V1177">_xlfn.IFS(
ISNUMBER(SEARCH("USA",S1177)),"United States",
ISNUMBER(SEARCH("Republic of Ireland",S1177)),"Ireland",
ISNUMBER(SEARCH("Republic of Korea",S1177)),"South Korea",
ISNUMBER(SEARCH("Cape Verde",S1177)),"Cabo Verde",
ISNUMBER(SEARCH("Czechia",S1177)),"Czech Republic",
ISNUMBER(SEARCH("Türkiye",S1177)),"Turkey",
ISNUMBER(SEARCH("Ivory Coast",S1177)),"Côte d'Ivoire",
ISNUMBER(SEARCH("Korea Republic",S1177)),"South Korea",
ISNUMBER(SEARCH("Germany FR",S1177)),"FR Germany",
ISNUMBER(SEARCH("West Germany",S1177)),"FR Germany",
ISNUMBER(SEARCH("Germany DR",S1177)),"DR Germany",
ISNUMBER(SEARCH("Korea DPR",S1177)),"North Korea",
ISNUMBER(SEARCH("China PR",S1177)),"China",
ISNUMBER(SEARCH("IR Iran",S1177)),"Iran",
ISNUMBER(SEARCH("Congo DR",S1177)),"Democratic Republic of the Congo",
ISNUMBER(SEARCH("DR Congo",S1177)),"Democratic Republic of the Congo",
ISNUMBER(SEARCH("German DR",S1177)),"DR Germany",
ISNUMBER(SEARCH("rn""&gt;United Arab Emirates",S1177)),"United Arab Emirates",
ISNUMBER(SEARCH("rn""&gt;Republic of Ireland",S1177)),"Ireland",
ISNUMBER(SEARCH("rn""&gt;Bosnia and Herzegovina",S1177)),"Bosnia and Herzegovina",
ISNUMBER(SEARCH("rn""&gt;Trinidad and Tobago",S1177)),"Trinidad and Tobago",
ISNUMBER(SEARCH("rn""&gt;Serbia and Montenegro",S1177)),"Serbia and Montenegro",
ISNUMBER(SEARCH(_xlfn.UNICHAR(65533),S1177)),"Côte d'Ivoire",
TRUE,""
)</f>
        <v/>
      </c>
      <c r="W1177" s="12" t="str">
        <f t="shared" si="100"/>
        <v>South Africa</v>
      </c>
    </row>
    <row r="1178" spans="2:23">
      <c r="B1178" s="75">
        <v>741</v>
      </c>
      <c r="C1178" s="15" t="str">
        <v>Yannick Semedo</v>
      </c>
      <c r="D1178" s="15">
        <v>30</v>
      </c>
      <c r="E1178" s="15" t="str">
        <v>Cape Verde</v>
      </c>
      <c r="F1178" s="15" t="str">
        <v>CDM</v>
      </c>
      <c r="G1178" s="15" t="str">
        <v>Farense</v>
      </c>
      <c r="H1178" s="15">
        <v>16</v>
      </c>
      <c r="I1178" s="15" t="str">
        <f t="shared" si="101"/>
        <v>741|Yannick Semedo|30|Cape Verde|CDM|Farense|16</v>
      </c>
      <c r="J1178" s="15" t="str">
        <f>IF(COUNTIF(I$438:I1178,I1178)&gt;1,"DOUBLON","OK")</f>
        <v>OK</v>
      </c>
      <c r="S1178" s="12" t="str">
        <v>South Africa</v>
      </c>
      <c r="T1178" s="12" t="str">
        <f t="shared" si="98"/>
        <v>OK</v>
      </c>
      <c r="U1178" s="12" t="str">
        <f t="shared" si="99"/>
        <v>-</v>
      </c>
      <c r="V1178" s="12" t="str" cm="1">
        <f t="array" ref="V1178">_xlfn.IFS(
ISNUMBER(SEARCH("USA",S1178)),"United States",
ISNUMBER(SEARCH("Republic of Ireland",S1178)),"Ireland",
ISNUMBER(SEARCH("Republic of Korea",S1178)),"South Korea",
ISNUMBER(SEARCH("Cape Verde",S1178)),"Cabo Verde",
ISNUMBER(SEARCH("Czechia",S1178)),"Czech Republic",
ISNUMBER(SEARCH("Türkiye",S1178)),"Turkey",
ISNUMBER(SEARCH("Ivory Coast",S1178)),"Côte d'Ivoire",
ISNUMBER(SEARCH("Korea Republic",S1178)),"South Korea",
ISNUMBER(SEARCH("Germany FR",S1178)),"FR Germany",
ISNUMBER(SEARCH("West Germany",S1178)),"FR Germany",
ISNUMBER(SEARCH("Germany DR",S1178)),"DR Germany",
ISNUMBER(SEARCH("Korea DPR",S1178)),"North Korea",
ISNUMBER(SEARCH("China PR",S1178)),"China",
ISNUMBER(SEARCH("IR Iran",S1178)),"Iran",
ISNUMBER(SEARCH("Congo DR",S1178)),"Democratic Republic of the Congo",
ISNUMBER(SEARCH("DR Congo",S1178)),"Democratic Republic of the Congo",
ISNUMBER(SEARCH("German DR",S1178)),"DR Germany",
ISNUMBER(SEARCH("rn""&gt;United Arab Emirates",S1178)),"United Arab Emirates",
ISNUMBER(SEARCH("rn""&gt;Republic of Ireland",S1178)),"Ireland",
ISNUMBER(SEARCH("rn""&gt;Bosnia and Herzegovina",S1178)),"Bosnia and Herzegovina",
ISNUMBER(SEARCH("rn""&gt;Trinidad and Tobago",S1178)),"Trinidad and Tobago",
ISNUMBER(SEARCH("rn""&gt;Serbia and Montenegro",S1178)),"Serbia and Montenegro",
ISNUMBER(SEARCH(_xlfn.UNICHAR(65533),S1178)),"Côte d'Ivoire",
TRUE,""
)</f>
        <v/>
      </c>
      <c r="W1178" s="12" t="str">
        <f t="shared" si="100"/>
        <v>South Africa</v>
      </c>
    </row>
    <row r="1179" spans="2:23">
      <c r="B1179" s="75">
        <v>742</v>
      </c>
      <c r="C1179" s="15" t="str">
        <v>João Paulo</v>
      </c>
      <c r="D1179" s="15">
        <v>28</v>
      </c>
      <c r="E1179" s="15" t="str">
        <v>Cape Verde</v>
      </c>
      <c r="F1179" s="15" t="str">
        <v>CM</v>
      </c>
      <c r="G1179" s="15" t="str">
        <v>FCSB</v>
      </c>
      <c r="H1179" s="15">
        <v>8</v>
      </c>
      <c r="I1179" s="15" t="str">
        <f t="shared" si="101"/>
        <v>742|João Paulo|28|Cape Verde|CM|FCSB|8</v>
      </c>
      <c r="J1179" s="15" t="str">
        <f>IF(COUNTIF(I$438:I1179,I1179)&gt;1,"DOUBLON","OK")</f>
        <v>OK</v>
      </c>
      <c r="S1179" s="12" t="str">
        <v>South Africa</v>
      </c>
      <c r="T1179" s="12" t="str">
        <f t="shared" si="98"/>
        <v>OK</v>
      </c>
      <c r="U1179" s="12" t="str">
        <f t="shared" si="99"/>
        <v>-</v>
      </c>
      <c r="V1179" s="12" t="str" cm="1">
        <f t="array" ref="V1179">_xlfn.IFS(
ISNUMBER(SEARCH("USA",S1179)),"United States",
ISNUMBER(SEARCH("Republic of Ireland",S1179)),"Ireland",
ISNUMBER(SEARCH("Republic of Korea",S1179)),"South Korea",
ISNUMBER(SEARCH("Cape Verde",S1179)),"Cabo Verde",
ISNUMBER(SEARCH("Czechia",S1179)),"Czech Republic",
ISNUMBER(SEARCH("Türkiye",S1179)),"Turkey",
ISNUMBER(SEARCH("Ivory Coast",S1179)),"Côte d'Ivoire",
ISNUMBER(SEARCH("Korea Republic",S1179)),"South Korea",
ISNUMBER(SEARCH("Germany FR",S1179)),"FR Germany",
ISNUMBER(SEARCH("West Germany",S1179)),"FR Germany",
ISNUMBER(SEARCH("Germany DR",S1179)),"DR Germany",
ISNUMBER(SEARCH("Korea DPR",S1179)),"North Korea",
ISNUMBER(SEARCH("China PR",S1179)),"China",
ISNUMBER(SEARCH("IR Iran",S1179)),"Iran",
ISNUMBER(SEARCH("Congo DR",S1179)),"Democratic Republic of the Congo",
ISNUMBER(SEARCH("DR Congo",S1179)),"Democratic Republic of the Congo",
ISNUMBER(SEARCH("German DR",S1179)),"DR Germany",
ISNUMBER(SEARCH("rn""&gt;United Arab Emirates",S1179)),"United Arab Emirates",
ISNUMBER(SEARCH("rn""&gt;Republic of Ireland",S1179)),"Ireland",
ISNUMBER(SEARCH("rn""&gt;Bosnia and Herzegovina",S1179)),"Bosnia and Herzegovina",
ISNUMBER(SEARCH("rn""&gt;Trinidad and Tobago",S1179)),"Trinidad and Tobago",
ISNUMBER(SEARCH("rn""&gt;Serbia and Montenegro",S1179)),"Serbia and Montenegro",
ISNUMBER(SEARCH(_xlfn.UNICHAR(65533),S1179)),"Côte d'Ivoire",
TRUE,""
)</f>
        <v/>
      </c>
      <c r="W1179" s="12" t="str">
        <f t="shared" si="100"/>
        <v>South Africa</v>
      </c>
    </row>
    <row r="1180" spans="2:23">
      <c r="B1180" s="75">
        <v>743</v>
      </c>
      <c r="C1180" s="15" t="str">
        <v>Deroy Duarte</v>
      </c>
      <c r="D1180" s="15">
        <v>26</v>
      </c>
      <c r="E1180" s="15" t="str">
        <v>Cape Verde</v>
      </c>
      <c r="F1180" s="15" t="str">
        <v>CM</v>
      </c>
      <c r="G1180" s="15" t="str">
        <v>Ludogorets Razgrad</v>
      </c>
      <c r="H1180" s="15">
        <v>14</v>
      </c>
      <c r="I1180" s="15" t="str">
        <f t="shared" si="101"/>
        <v>743|Deroy Duarte|26|Cape Verde|CM|Ludogorets Razgrad|14</v>
      </c>
      <c r="J1180" s="15" t="str">
        <f>IF(COUNTIF(I$438:I1180,I1180)&gt;1,"DOUBLON","OK")</f>
        <v>OK</v>
      </c>
      <c r="S1180" s="12" t="str">
        <v>South Africa</v>
      </c>
      <c r="T1180" s="12" t="str">
        <f t="shared" si="98"/>
        <v>OK</v>
      </c>
      <c r="U1180" s="12" t="str">
        <f t="shared" si="99"/>
        <v>-</v>
      </c>
      <c r="V1180" s="12" t="str" cm="1">
        <f t="array" ref="V1180">_xlfn.IFS(
ISNUMBER(SEARCH("USA",S1180)),"United States",
ISNUMBER(SEARCH("Republic of Ireland",S1180)),"Ireland",
ISNUMBER(SEARCH("Republic of Korea",S1180)),"South Korea",
ISNUMBER(SEARCH("Cape Verde",S1180)),"Cabo Verde",
ISNUMBER(SEARCH("Czechia",S1180)),"Czech Republic",
ISNUMBER(SEARCH("Türkiye",S1180)),"Turkey",
ISNUMBER(SEARCH("Ivory Coast",S1180)),"Côte d'Ivoire",
ISNUMBER(SEARCH("Korea Republic",S1180)),"South Korea",
ISNUMBER(SEARCH("Germany FR",S1180)),"FR Germany",
ISNUMBER(SEARCH("West Germany",S1180)),"FR Germany",
ISNUMBER(SEARCH("Germany DR",S1180)),"DR Germany",
ISNUMBER(SEARCH("Korea DPR",S1180)),"North Korea",
ISNUMBER(SEARCH("China PR",S1180)),"China",
ISNUMBER(SEARCH("IR Iran",S1180)),"Iran",
ISNUMBER(SEARCH("Congo DR",S1180)),"Democratic Republic of the Congo",
ISNUMBER(SEARCH("DR Congo",S1180)),"Democratic Republic of the Congo",
ISNUMBER(SEARCH("German DR",S1180)),"DR Germany",
ISNUMBER(SEARCH("rn""&gt;United Arab Emirates",S1180)),"United Arab Emirates",
ISNUMBER(SEARCH("rn""&gt;Republic of Ireland",S1180)),"Ireland",
ISNUMBER(SEARCH("rn""&gt;Bosnia and Herzegovina",S1180)),"Bosnia and Herzegovina",
ISNUMBER(SEARCH("rn""&gt;Trinidad and Tobago",S1180)),"Trinidad and Tobago",
ISNUMBER(SEARCH("rn""&gt;Serbia and Montenegro",S1180)),"Serbia and Montenegro",
ISNUMBER(SEARCH(_xlfn.UNICHAR(65533),S1180)),"Côte d'Ivoire",
TRUE,""
)</f>
        <v/>
      </c>
      <c r="W1180" s="12" t="str">
        <f t="shared" si="100"/>
        <v>South Africa</v>
      </c>
    </row>
    <row r="1181" spans="2:23">
      <c r="B1181" s="75">
        <v>744</v>
      </c>
      <c r="C1181" s="15" t="str">
        <v>Laros Duarte</v>
      </c>
      <c r="D1181" s="15">
        <v>29</v>
      </c>
      <c r="E1181" s="15" t="str">
        <v>Cape Verde</v>
      </c>
      <c r="F1181" s="15" t="str">
        <v>CM</v>
      </c>
      <c r="G1181" s="15" t="str">
        <v>Puskás Akadémia</v>
      </c>
      <c r="H1181" s="15">
        <v>15</v>
      </c>
      <c r="I1181" s="15" t="str">
        <f t="shared" si="101"/>
        <v>744|Laros Duarte|29|Cape Verde|CM|Puskás Akadémia|15</v>
      </c>
      <c r="J1181" s="15" t="str">
        <f>IF(COUNTIF(I$438:I1181,I1181)&gt;1,"DOUBLON","OK")</f>
        <v>OK</v>
      </c>
      <c r="S1181" s="12" t="str">
        <v>South Africa</v>
      </c>
      <c r="T1181" s="12" t="str">
        <f t="shared" si="98"/>
        <v>OK</v>
      </c>
      <c r="U1181" s="12" t="str">
        <f t="shared" si="99"/>
        <v>-</v>
      </c>
      <c r="V1181" s="12" t="str" cm="1">
        <f t="array" ref="V1181">_xlfn.IFS(
ISNUMBER(SEARCH("USA",S1181)),"United States",
ISNUMBER(SEARCH("Republic of Ireland",S1181)),"Ireland",
ISNUMBER(SEARCH("Republic of Korea",S1181)),"South Korea",
ISNUMBER(SEARCH("Cape Verde",S1181)),"Cabo Verde",
ISNUMBER(SEARCH("Czechia",S1181)),"Czech Republic",
ISNUMBER(SEARCH("Türkiye",S1181)),"Turkey",
ISNUMBER(SEARCH("Ivory Coast",S1181)),"Côte d'Ivoire",
ISNUMBER(SEARCH("Korea Republic",S1181)),"South Korea",
ISNUMBER(SEARCH("Germany FR",S1181)),"FR Germany",
ISNUMBER(SEARCH("West Germany",S1181)),"FR Germany",
ISNUMBER(SEARCH("Germany DR",S1181)),"DR Germany",
ISNUMBER(SEARCH("Korea DPR",S1181)),"North Korea",
ISNUMBER(SEARCH("China PR",S1181)),"China",
ISNUMBER(SEARCH("IR Iran",S1181)),"Iran",
ISNUMBER(SEARCH("Congo DR",S1181)),"Democratic Republic of the Congo",
ISNUMBER(SEARCH("DR Congo",S1181)),"Democratic Republic of the Congo",
ISNUMBER(SEARCH("German DR",S1181)),"DR Germany",
ISNUMBER(SEARCH("rn""&gt;United Arab Emirates",S1181)),"United Arab Emirates",
ISNUMBER(SEARCH("rn""&gt;Republic of Ireland",S1181)),"Ireland",
ISNUMBER(SEARCH("rn""&gt;Bosnia and Herzegovina",S1181)),"Bosnia and Herzegovina",
ISNUMBER(SEARCH("rn""&gt;Trinidad and Tobago",S1181)),"Trinidad and Tobago",
ISNUMBER(SEARCH("rn""&gt;Serbia and Montenegro",S1181)),"Serbia and Montenegro",
ISNUMBER(SEARCH(_xlfn.UNICHAR(65533),S1181)),"Côte d'Ivoire",
TRUE,""
)</f>
        <v/>
      </c>
      <c r="W1181" s="12" t="str">
        <f t="shared" si="100"/>
        <v>South Africa</v>
      </c>
    </row>
    <row r="1182" spans="2:23">
      <c r="B1182" s="75">
        <v>745</v>
      </c>
      <c r="C1182" s="15" t="str">
        <v>Telmo Arcanjo</v>
      </c>
      <c r="D1182" s="15">
        <v>24</v>
      </c>
      <c r="E1182" s="15" t="str">
        <v>Cape Verde</v>
      </c>
      <c r="F1182" s="15" t="str">
        <v>CM</v>
      </c>
      <c r="G1182" s="15" t="str">
        <v>Vitória de Guimarães</v>
      </c>
      <c r="H1182" s="15">
        <v>18</v>
      </c>
      <c r="I1182" s="15" t="str">
        <f t="shared" si="101"/>
        <v>745|Telmo Arcanjo|24|Cape Verde|CM|Vitória de Guimarães|18</v>
      </c>
      <c r="J1182" s="15" t="str">
        <f>IF(COUNTIF(I$438:I1182,I1182)&gt;1,"DOUBLON","OK")</f>
        <v>OK</v>
      </c>
      <c r="S1182" s="12" t="str">
        <v>South Africa</v>
      </c>
      <c r="T1182" s="12" t="str">
        <f t="shared" si="98"/>
        <v>OK</v>
      </c>
      <c r="U1182" s="12" t="str">
        <f t="shared" si="99"/>
        <v>-</v>
      </c>
      <c r="V1182" s="12" t="str" cm="1">
        <f t="array" ref="V1182">_xlfn.IFS(
ISNUMBER(SEARCH("USA",S1182)),"United States",
ISNUMBER(SEARCH("Republic of Ireland",S1182)),"Ireland",
ISNUMBER(SEARCH("Republic of Korea",S1182)),"South Korea",
ISNUMBER(SEARCH("Cape Verde",S1182)),"Cabo Verde",
ISNUMBER(SEARCH("Czechia",S1182)),"Czech Republic",
ISNUMBER(SEARCH("Türkiye",S1182)),"Turkey",
ISNUMBER(SEARCH("Ivory Coast",S1182)),"Côte d'Ivoire",
ISNUMBER(SEARCH("Korea Republic",S1182)),"South Korea",
ISNUMBER(SEARCH("Germany FR",S1182)),"FR Germany",
ISNUMBER(SEARCH("West Germany",S1182)),"FR Germany",
ISNUMBER(SEARCH("Germany DR",S1182)),"DR Germany",
ISNUMBER(SEARCH("Korea DPR",S1182)),"North Korea",
ISNUMBER(SEARCH("China PR",S1182)),"China",
ISNUMBER(SEARCH("IR Iran",S1182)),"Iran",
ISNUMBER(SEARCH("Congo DR",S1182)),"Democratic Republic of the Congo",
ISNUMBER(SEARCH("DR Congo",S1182)),"Democratic Republic of the Congo",
ISNUMBER(SEARCH("German DR",S1182)),"DR Germany",
ISNUMBER(SEARCH("rn""&gt;United Arab Emirates",S1182)),"United Arab Emirates",
ISNUMBER(SEARCH("rn""&gt;Republic of Ireland",S1182)),"Ireland",
ISNUMBER(SEARCH("rn""&gt;Bosnia and Herzegovina",S1182)),"Bosnia and Herzegovina",
ISNUMBER(SEARCH("rn""&gt;Trinidad and Tobago",S1182)),"Trinidad and Tobago",
ISNUMBER(SEARCH("rn""&gt;Serbia and Montenegro",S1182)),"Serbia and Montenegro",
ISNUMBER(SEARCH(_xlfn.UNICHAR(65533),S1182)),"Côte d'Ivoire",
TRUE,""
)</f>
        <v/>
      </c>
      <c r="W1182" s="12" t="str">
        <f t="shared" si="100"/>
        <v>South Africa</v>
      </c>
    </row>
    <row r="1183" spans="2:23">
      <c r="B1183" s="75">
        <v>746</v>
      </c>
      <c r="C1183" s="15" t="str">
        <v>Jamiro Monteiro</v>
      </c>
      <c r="D1183" s="15">
        <v>32</v>
      </c>
      <c r="E1183" s="15" t="str">
        <v>Cape Verde</v>
      </c>
      <c r="F1183" s="15" t="str">
        <v>CAM</v>
      </c>
      <c r="G1183" s="15" t="str">
        <v>PEC Zwolle</v>
      </c>
      <c r="H1183" s="15">
        <v>10</v>
      </c>
      <c r="I1183" s="15" t="str">
        <f t="shared" si="101"/>
        <v>746|Jamiro Monteiro|32|Cape Verde|CAM|PEC Zwolle|10</v>
      </c>
      <c r="J1183" s="15" t="str">
        <f>IF(COUNTIF(I$438:I1183,I1183)&gt;1,"DOUBLON","OK")</f>
        <v>OK</v>
      </c>
      <c r="S1183" s="12" t="str">
        <v>South Africa</v>
      </c>
      <c r="T1183" s="12" t="str">
        <f t="shared" si="98"/>
        <v>OK</v>
      </c>
      <c r="U1183" s="12" t="str">
        <f t="shared" si="99"/>
        <v>-</v>
      </c>
      <c r="V1183" s="12" t="str" cm="1">
        <f t="array" ref="V1183">_xlfn.IFS(
ISNUMBER(SEARCH("USA",S1183)),"United States",
ISNUMBER(SEARCH("Republic of Ireland",S1183)),"Ireland",
ISNUMBER(SEARCH("Republic of Korea",S1183)),"South Korea",
ISNUMBER(SEARCH("Cape Verde",S1183)),"Cabo Verde",
ISNUMBER(SEARCH("Czechia",S1183)),"Czech Republic",
ISNUMBER(SEARCH("Türkiye",S1183)),"Turkey",
ISNUMBER(SEARCH("Ivory Coast",S1183)),"Côte d'Ivoire",
ISNUMBER(SEARCH("Korea Republic",S1183)),"South Korea",
ISNUMBER(SEARCH("Germany FR",S1183)),"FR Germany",
ISNUMBER(SEARCH("West Germany",S1183)),"FR Germany",
ISNUMBER(SEARCH("Germany DR",S1183)),"DR Germany",
ISNUMBER(SEARCH("Korea DPR",S1183)),"North Korea",
ISNUMBER(SEARCH("China PR",S1183)),"China",
ISNUMBER(SEARCH("IR Iran",S1183)),"Iran",
ISNUMBER(SEARCH("Congo DR",S1183)),"Democratic Republic of the Congo",
ISNUMBER(SEARCH("DR Congo",S1183)),"Democratic Republic of the Congo",
ISNUMBER(SEARCH("German DR",S1183)),"DR Germany",
ISNUMBER(SEARCH("rn""&gt;United Arab Emirates",S1183)),"United Arab Emirates",
ISNUMBER(SEARCH("rn""&gt;Republic of Ireland",S1183)),"Ireland",
ISNUMBER(SEARCH("rn""&gt;Bosnia and Herzegovina",S1183)),"Bosnia and Herzegovina",
ISNUMBER(SEARCH("rn""&gt;Trinidad and Tobago",S1183)),"Trinidad and Tobago",
ISNUMBER(SEARCH("rn""&gt;Serbia and Montenegro",S1183)),"Serbia and Montenegro",
ISNUMBER(SEARCH(_xlfn.UNICHAR(65533),S1183)),"Côte d'Ivoire",
TRUE,""
)</f>
        <v/>
      </c>
      <c r="W1183" s="12" t="str">
        <f t="shared" si="100"/>
        <v>South Africa</v>
      </c>
    </row>
    <row r="1184" spans="2:23">
      <c r="B1184" s="75">
        <v>747</v>
      </c>
      <c r="C1184" s="15" t="str">
        <v>Nuno da Costa</v>
      </c>
      <c r="D1184" s="15">
        <v>35</v>
      </c>
      <c r="E1184" s="15" t="str">
        <v>Cape Verde</v>
      </c>
      <c r="F1184" s="15" t="str">
        <v>CAM</v>
      </c>
      <c r="G1184" s="15" t="str">
        <v>İstanbul Başakşehir</v>
      </c>
      <c r="H1184" s="15">
        <v>21</v>
      </c>
      <c r="I1184" s="15" t="str">
        <f t="shared" si="101"/>
        <v>747|Nuno da Costa|35|Cape Verde|CAM|İstanbul Başakşehir|21</v>
      </c>
      <c r="J1184" s="15" t="str">
        <f>IF(COUNTIF(I$438:I1184,I1184)&gt;1,"DOUBLON","OK")</f>
        <v>OK</v>
      </c>
      <c r="S1184" s="12" t="str">
        <v>South Africa</v>
      </c>
      <c r="T1184" s="12" t="str">
        <f t="shared" si="98"/>
        <v>OK</v>
      </c>
      <c r="U1184" s="12" t="str">
        <f t="shared" si="99"/>
        <v>-</v>
      </c>
      <c r="V1184" s="12" t="str" cm="1">
        <f t="array" ref="V1184">_xlfn.IFS(
ISNUMBER(SEARCH("USA",S1184)),"United States",
ISNUMBER(SEARCH("Republic of Ireland",S1184)),"Ireland",
ISNUMBER(SEARCH("Republic of Korea",S1184)),"South Korea",
ISNUMBER(SEARCH("Cape Verde",S1184)),"Cabo Verde",
ISNUMBER(SEARCH("Czechia",S1184)),"Czech Republic",
ISNUMBER(SEARCH("Türkiye",S1184)),"Turkey",
ISNUMBER(SEARCH("Ivory Coast",S1184)),"Côte d'Ivoire",
ISNUMBER(SEARCH("Korea Republic",S1184)),"South Korea",
ISNUMBER(SEARCH("Germany FR",S1184)),"FR Germany",
ISNUMBER(SEARCH("West Germany",S1184)),"FR Germany",
ISNUMBER(SEARCH("Germany DR",S1184)),"DR Germany",
ISNUMBER(SEARCH("Korea DPR",S1184)),"North Korea",
ISNUMBER(SEARCH("China PR",S1184)),"China",
ISNUMBER(SEARCH("IR Iran",S1184)),"Iran",
ISNUMBER(SEARCH("Congo DR",S1184)),"Democratic Republic of the Congo",
ISNUMBER(SEARCH("DR Congo",S1184)),"Democratic Republic of the Congo",
ISNUMBER(SEARCH("German DR",S1184)),"DR Germany",
ISNUMBER(SEARCH("rn""&gt;United Arab Emirates",S1184)),"United Arab Emirates",
ISNUMBER(SEARCH("rn""&gt;Republic of Ireland",S1184)),"Ireland",
ISNUMBER(SEARCH("rn""&gt;Bosnia and Herzegovina",S1184)),"Bosnia and Herzegovina",
ISNUMBER(SEARCH("rn""&gt;Trinidad and Tobago",S1184)),"Trinidad and Tobago",
ISNUMBER(SEARCH("rn""&gt;Serbia and Montenegro",S1184)),"Serbia and Montenegro",
ISNUMBER(SEARCH(_xlfn.UNICHAR(65533),S1184)),"Côte d'Ivoire",
TRUE,""
)</f>
        <v/>
      </c>
      <c r="W1184" s="12" t="str">
        <f t="shared" si="100"/>
        <v>South Africa</v>
      </c>
    </row>
    <row r="1185" spans="2:23">
      <c r="B1185" s="75">
        <v>748</v>
      </c>
      <c r="C1185" s="15" t="str">
        <v>Jovane Cabral</v>
      </c>
      <c r="D1185" s="15">
        <v>27</v>
      </c>
      <c r="E1185" s="15" t="str">
        <v>Cape Verde</v>
      </c>
      <c r="F1185" s="15" t="str">
        <v>LW</v>
      </c>
      <c r="G1185" s="15" t="str">
        <v>Estrela Amadora</v>
      </c>
      <c r="H1185" s="15">
        <v>7</v>
      </c>
      <c r="I1185" s="15" t="str">
        <f t="shared" si="101"/>
        <v>748|Jovane Cabral|27|Cape Verde|LW|Estrela Amadora|7</v>
      </c>
      <c r="J1185" s="15" t="str">
        <f>IF(COUNTIF(I$438:I1185,I1185)&gt;1,"DOUBLON","OK")</f>
        <v>OK</v>
      </c>
      <c r="S1185" s="12" t="str">
        <v>South Africa</v>
      </c>
      <c r="T1185" s="12" t="str">
        <f t="shared" ref="T1185:T1248" si="102">IF(COUNTIF(R$13:R$250,S1185)=1,"OK","ERREUR")</f>
        <v>OK</v>
      </c>
      <c r="U1185" s="12" t="str">
        <f t="shared" si="99"/>
        <v>-</v>
      </c>
      <c r="V1185" s="12" t="str" cm="1">
        <f t="array" ref="V1185">_xlfn.IFS(
ISNUMBER(SEARCH("USA",S1185)),"United States",
ISNUMBER(SEARCH("Republic of Ireland",S1185)),"Ireland",
ISNUMBER(SEARCH("Republic of Korea",S1185)),"South Korea",
ISNUMBER(SEARCH("Cape Verde",S1185)),"Cabo Verde",
ISNUMBER(SEARCH("Czechia",S1185)),"Czech Republic",
ISNUMBER(SEARCH("Türkiye",S1185)),"Turkey",
ISNUMBER(SEARCH("Ivory Coast",S1185)),"Côte d'Ivoire",
ISNUMBER(SEARCH("Korea Republic",S1185)),"South Korea",
ISNUMBER(SEARCH("Germany FR",S1185)),"FR Germany",
ISNUMBER(SEARCH("West Germany",S1185)),"FR Germany",
ISNUMBER(SEARCH("Germany DR",S1185)),"DR Germany",
ISNUMBER(SEARCH("Korea DPR",S1185)),"North Korea",
ISNUMBER(SEARCH("China PR",S1185)),"China",
ISNUMBER(SEARCH("IR Iran",S1185)),"Iran",
ISNUMBER(SEARCH("Congo DR",S1185)),"Democratic Republic of the Congo",
ISNUMBER(SEARCH("DR Congo",S1185)),"Democratic Republic of the Congo",
ISNUMBER(SEARCH("German DR",S1185)),"DR Germany",
ISNUMBER(SEARCH("rn""&gt;United Arab Emirates",S1185)),"United Arab Emirates",
ISNUMBER(SEARCH("rn""&gt;Republic of Ireland",S1185)),"Ireland",
ISNUMBER(SEARCH("rn""&gt;Bosnia and Herzegovina",S1185)),"Bosnia and Herzegovina",
ISNUMBER(SEARCH("rn""&gt;Trinidad and Tobago",S1185)),"Trinidad and Tobago",
ISNUMBER(SEARCH("rn""&gt;Serbia and Montenegro",S1185)),"Serbia and Montenegro",
ISNUMBER(SEARCH(_xlfn.UNICHAR(65533),S1185)),"Côte d'Ivoire",
TRUE,""
)</f>
        <v/>
      </c>
      <c r="W1185" s="12" t="str">
        <f t="shared" si="100"/>
        <v>South Africa</v>
      </c>
    </row>
    <row r="1186" spans="2:23">
      <c r="B1186" s="75">
        <v>749</v>
      </c>
      <c r="C1186" s="15" t="str">
        <v>Willy Semedo</v>
      </c>
      <c r="D1186" s="15">
        <v>32</v>
      </c>
      <c r="E1186" s="15" t="str">
        <v>Cape Verde</v>
      </c>
      <c r="F1186" s="15" t="str">
        <v>LW</v>
      </c>
      <c r="G1186" s="15" t="str">
        <v>Omonia</v>
      </c>
      <c r="H1186" s="15">
        <v>17</v>
      </c>
      <c r="I1186" s="15" t="str">
        <f t="shared" si="101"/>
        <v>749|Willy Semedo|32|Cape Verde|LW|Omonia|17</v>
      </c>
      <c r="J1186" s="15" t="str">
        <f>IF(COUNTIF(I$438:I1186,I1186)&gt;1,"DOUBLON","OK")</f>
        <v>OK</v>
      </c>
      <c r="S1186" s="12" t="str">
        <v>South Africa</v>
      </c>
      <c r="T1186" s="12" t="str">
        <f t="shared" si="102"/>
        <v>OK</v>
      </c>
      <c r="U1186" s="12" t="str">
        <f t="shared" ref="U1186:U1249" si="103">IF(OR(S1186="Scotland",S1186="England",S1186="Wales",S1186="Yugoslavia",S1186="Czechoslovakia",S1186="Northern Ireland",S1186="Soviet Union",S1186="Zaire",S1186="Dutch East Indies"),"AUCUNE",IF(OR(S1186="Cape Verde",S1186="USA",S1186="DR Congo",S1186="Republic of Korea",S1186="Germany FR",S1186="Germany DR",S1186="Czechia",S1186="Ivory Coast",S1186="Korea DPR",S1186="China PR",S1186="IR Iran",S1186="Türkiye",S1186="Congo DR",S1186="German DR",S1186="West Germany",S1186="Republic of Ireland",ISNUMBER(SEARCH("rn""&gt;United Arab Emirates",S1186)),ISNUMBER(SEARCH("rn""&gt;Republic of Ireland",S1186)),ISNUMBER(SEARCH("rn""&gt;Bosnia and Herzegovina",S1186)),ISNUMBER(SEARCH("rn""&gt;Trinidad and Tobago",S1186)),ISNUMBER(SEARCH("rn""&gt;Serbia and Montenegro",S1186)),ISNUMBER(SEARCH(_xlfn.UNICHAR(65533),S1186))),"RENOMMER","-"))</f>
        <v>-</v>
      </c>
      <c r="V1186" s="12" t="str" cm="1">
        <f t="array" ref="V1186">_xlfn.IFS(
ISNUMBER(SEARCH("USA",S1186)),"United States",
ISNUMBER(SEARCH("Republic of Ireland",S1186)),"Ireland",
ISNUMBER(SEARCH("Republic of Korea",S1186)),"South Korea",
ISNUMBER(SEARCH("Cape Verde",S1186)),"Cabo Verde",
ISNUMBER(SEARCH("Czechia",S1186)),"Czech Republic",
ISNUMBER(SEARCH("Türkiye",S1186)),"Turkey",
ISNUMBER(SEARCH("Ivory Coast",S1186)),"Côte d'Ivoire",
ISNUMBER(SEARCH("Korea Republic",S1186)),"South Korea",
ISNUMBER(SEARCH("Germany FR",S1186)),"FR Germany",
ISNUMBER(SEARCH("West Germany",S1186)),"FR Germany",
ISNUMBER(SEARCH("Germany DR",S1186)),"DR Germany",
ISNUMBER(SEARCH("Korea DPR",S1186)),"North Korea",
ISNUMBER(SEARCH("China PR",S1186)),"China",
ISNUMBER(SEARCH("IR Iran",S1186)),"Iran",
ISNUMBER(SEARCH("Congo DR",S1186)),"Democratic Republic of the Congo",
ISNUMBER(SEARCH("DR Congo",S1186)),"Democratic Republic of the Congo",
ISNUMBER(SEARCH("German DR",S1186)),"DR Germany",
ISNUMBER(SEARCH("rn""&gt;United Arab Emirates",S1186)),"United Arab Emirates",
ISNUMBER(SEARCH("rn""&gt;Republic of Ireland",S1186)),"Ireland",
ISNUMBER(SEARCH("rn""&gt;Bosnia and Herzegovina",S1186)),"Bosnia and Herzegovina",
ISNUMBER(SEARCH("rn""&gt;Trinidad and Tobago",S1186)),"Trinidad and Tobago",
ISNUMBER(SEARCH("rn""&gt;Serbia and Montenegro",S1186)),"Serbia and Montenegro",
ISNUMBER(SEARCH(_xlfn.UNICHAR(65533),S1186)),"Côte d'Ivoire",
TRUE,""
)</f>
        <v/>
      </c>
      <c r="W1186" s="12" t="str">
        <f t="shared" ref="W1186:W1249" si="104">IF(V1186="",S1186,V1186)</f>
        <v>South Africa</v>
      </c>
    </row>
    <row r="1187" spans="2:23">
      <c r="B1187" s="75">
        <v>750</v>
      </c>
      <c r="C1187" s="15" t="str">
        <v>Hélio Varela</v>
      </c>
      <c r="D1187" s="15">
        <v>24</v>
      </c>
      <c r="E1187" s="15" t="str">
        <v>Cape Verde</v>
      </c>
      <c r="F1187" s="15" t="str">
        <v>LW</v>
      </c>
      <c r="G1187" s="15" t="str">
        <v>Maccabi Tel Aviv</v>
      </c>
      <c r="H1187" s="15">
        <v>26</v>
      </c>
      <c r="I1187" s="15" t="str">
        <f t="shared" si="101"/>
        <v>750|Hélio Varela|24|Cape Verde|LW|Maccabi Tel Aviv|26</v>
      </c>
      <c r="J1187" s="15" t="str">
        <f>IF(COUNTIF(I$438:I1187,I1187)&gt;1,"DOUBLON","OK")</f>
        <v>OK</v>
      </c>
      <c r="S1187" s="12" t="str">
        <v>South Africa</v>
      </c>
      <c r="T1187" s="12" t="str">
        <f t="shared" si="102"/>
        <v>OK</v>
      </c>
      <c r="U1187" s="12" t="str">
        <f t="shared" si="103"/>
        <v>-</v>
      </c>
      <c r="V1187" s="12" t="str" cm="1">
        <f t="array" ref="V1187">_xlfn.IFS(
ISNUMBER(SEARCH("USA",S1187)),"United States",
ISNUMBER(SEARCH("Republic of Ireland",S1187)),"Ireland",
ISNUMBER(SEARCH("Republic of Korea",S1187)),"South Korea",
ISNUMBER(SEARCH("Cape Verde",S1187)),"Cabo Verde",
ISNUMBER(SEARCH("Czechia",S1187)),"Czech Republic",
ISNUMBER(SEARCH("Türkiye",S1187)),"Turkey",
ISNUMBER(SEARCH("Ivory Coast",S1187)),"Côte d'Ivoire",
ISNUMBER(SEARCH("Korea Republic",S1187)),"South Korea",
ISNUMBER(SEARCH("Germany FR",S1187)),"FR Germany",
ISNUMBER(SEARCH("West Germany",S1187)),"FR Germany",
ISNUMBER(SEARCH("Germany DR",S1187)),"DR Germany",
ISNUMBER(SEARCH("Korea DPR",S1187)),"North Korea",
ISNUMBER(SEARCH("China PR",S1187)),"China",
ISNUMBER(SEARCH("IR Iran",S1187)),"Iran",
ISNUMBER(SEARCH("Congo DR",S1187)),"Democratic Republic of the Congo",
ISNUMBER(SEARCH("DR Congo",S1187)),"Democratic Republic of the Congo",
ISNUMBER(SEARCH("German DR",S1187)),"DR Germany",
ISNUMBER(SEARCH("rn""&gt;United Arab Emirates",S1187)),"United Arab Emirates",
ISNUMBER(SEARCH("rn""&gt;Republic of Ireland",S1187)),"Ireland",
ISNUMBER(SEARCH("rn""&gt;Bosnia and Herzegovina",S1187)),"Bosnia and Herzegovina",
ISNUMBER(SEARCH("rn""&gt;Trinidad and Tobago",S1187)),"Trinidad and Tobago",
ISNUMBER(SEARCH("rn""&gt;Serbia and Montenegro",S1187)),"Serbia and Montenegro",
ISNUMBER(SEARCH(_xlfn.UNICHAR(65533),S1187)),"Côte d'Ivoire",
TRUE,""
)</f>
        <v/>
      </c>
      <c r="W1187" s="12" t="str">
        <f t="shared" si="104"/>
        <v>South Africa</v>
      </c>
    </row>
    <row r="1188" spans="2:23">
      <c r="B1188" s="75">
        <v>751</v>
      </c>
      <c r="C1188" s="15" t="str">
        <v>Garry Rodrigues</v>
      </c>
      <c r="D1188" s="15">
        <v>35</v>
      </c>
      <c r="E1188" s="15" t="str">
        <v>Cape Verde</v>
      </c>
      <c r="F1188" s="15" t="str">
        <v>RW</v>
      </c>
      <c r="G1188" s="15" t="str">
        <v>Apollon Limassol</v>
      </c>
      <c r="H1188" s="15">
        <v>11</v>
      </c>
      <c r="I1188" s="15" t="str">
        <f t="shared" si="101"/>
        <v>751|Garry Rodrigues|35|Cape Verde|RW|Apollon Limassol|11</v>
      </c>
      <c r="J1188" s="15" t="str">
        <f>IF(COUNTIF(I$438:I1188,I1188)&gt;1,"DOUBLON","OK")</f>
        <v>OK</v>
      </c>
      <c r="S1188" s="12" t="str">
        <v>South Africa</v>
      </c>
      <c r="T1188" s="12" t="str">
        <f t="shared" si="102"/>
        <v>OK</v>
      </c>
      <c r="U1188" s="12" t="str">
        <f t="shared" si="103"/>
        <v>-</v>
      </c>
      <c r="V1188" s="12" t="str" cm="1">
        <f t="array" ref="V1188">_xlfn.IFS(
ISNUMBER(SEARCH("USA",S1188)),"United States",
ISNUMBER(SEARCH("Republic of Ireland",S1188)),"Ireland",
ISNUMBER(SEARCH("Republic of Korea",S1188)),"South Korea",
ISNUMBER(SEARCH("Cape Verde",S1188)),"Cabo Verde",
ISNUMBER(SEARCH("Czechia",S1188)),"Czech Republic",
ISNUMBER(SEARCH("Türkiye",S1188)),"Turkey",
ISNUMBER(SEARCH("Ivory Coast",S1188)),"Côte d'Ivoire",
ISNUMBER(SEARCH("Korea Republic",S1188)),"South Korea",
ISNUMBER(SEARCH("Germany FR",S1188)),"FR Germany",
ISNUMBER(SEARCH("West Germany",S1188)),"FR Germany",
ISNUMBER(SEARCH("Germany DR",S1188)),"DR Germany",
ISNUMBER(SEARCH("Korea DPR",S1188)),"North Korea",
ISNUMBER(SEARCH("China PR",S1188)),"China",
ISNUMBER(SEARCH("IR Iran",S1188)),"Iran",
ISNUMBER(SEARCH("Congo DR",S1188)),"Democratic Republic of the Congo",
ISNUMBER(SEARCH("DR Congo",S1188)),"Democratic Republic of the Congo",
ISNUMBER(SEARCH("German DR",S1188)),"DR Germany",
ISNUMBER(SEARCH("rn""&gt;United Arab Emirates",S1188)),"United Arab Emirates",
ISNUMBER(SEARCH("rn""&gt;Republic of Ireland",S1188)),"Ireland",
ISNUMBER(SEARCH("rn""&gt;Bosnia and Herzegovina",S1188)),"Bosnia and Herzegovina",
ISNUMBER(SEARCH("rn""&gt;Trinidad and Tobago",S1188)),"Trinidad and Tobago",
ISNUMBER(SEARCH("rn""&gt;Serbia and Montenegro",S1188)),"Serbia and Montenegro",
ISNUMBER(SEARCH(_xlfn.UNICHAR(65533),S1188)),"Côte d'Ivoire",
TRUE,""
)</f>
        <v/>
      </c>
      <c r="W1188" s="12" t="str">
        <f t="shared" si="104"/>
        <v>South Africa</v>
      </c>
    </row>
    <row r="1189" spans="2:23">
      <c r="B1189" s="75">
        <v>752</v>
      </c>
      <c r="C1189" s="15" t="str">
        <v>Ryan Mendes</v>
      </c>
      <c r="D1189" s="15">
        <v>36</v>
      </c>
      <c r="E1189" s="15" t="str">
        <v>Cape Verde</v>
      </c>
      <c r="F1189" s="15" t="str">
        <v>RW</v>
      </c>
      <c r="G1189" s="15" t="str">
        <v>Iğdır</v>
      </c>
      <c r="H1189" s="15">
        <v>20</v>
      </c>
      <c r="I1189" s="15" t="str">
        <f t="shared" si="101"/>
        <v>752|Ryan Mendes|36|Cape Verde|RW|Iğdır|20</v>
      </c>
      <c r="J1189" s="15" t="str">
        <f>IF(COUNTIF(I$438:I1189,I1189)&gt;1,"DOUBLON","OK")</f>
        <v>OK</v>
      </c>
      <c r="S1189" s="12" t="str">
        <v>South Africa</v>
      </c>
      <c r="T1189" s="12" t="str">
        <f t="shared" si="102"/>
        <v>OK</v>
      </c>
      <c r="U1189" s="12" t="str">
        <f t="shared" si="103"/>
        <v>-</v>
      </c>
      <c r="V1189" s="12" t="str" cm="1">
        <f t="array" ref="V1189">_xlfn.IFS(
ISNUMBER(SEARCH("USA",S1189)),"United States",
ISNUMBER(SEARCH("Republic of Ireland",S1189)),"Ireland",
ISNUMBER(SEARCH("Republic of Korea",S1189)),"South Korea",
ISNUMBER(SEARCH("Cape Verde",S1189)),"Cabo Verde",
ISNUMBER(SEARCH("Czechia",S1189)),"Czech Republic",
ISNUMBER(SEARCH("Türkiye",S1189)),"Turkey",
ISNUMBER(SEARCH("Ivory Coast",S1189)),"Côte d'Ivoire",
ISNUMBER(SEARCH("Korea Republic",S1189)),"South Korea",
ISNUMBER(SEARCH("Germany FR",S1189)),"FR Germany",
ISNUMBER(SEARCH("West Germany",S1189)),"FR Germany",
ISNUMBER(SEARCH("Germany DR",S1189)),"DR Germany",
ISNUMBER(SEARCH("Korea DPR",S1189)),"North Korea",
ISNUMBER(SEARCH("China PR",S1189)),"China",
ISNUMBER(SEARCH("IR Iran",S1189)),"Iran",
ISNUMBER(SEARCH("Congo DR",S1189)),"Democratic Republic of the Congo",
ISNUMBER(SEARCH("DR Congo",S1189)),"Democratic Republic of the Congo",
ISNUMBER(SEARCH("German DR",S1189)),"DR Germany",
ISNUMBER(SEARCH("rn""&gt;United Arab Emirates",S1189)),"United Arab Emirates",
ISNUMBER(SEARCH("rn""&gt;Republic of Ireland",S1189)),"Ireland",
ISNUMBER(SEARCH("rn""&gt;Bosnia and Herzegovina",S1189)),"Bosnia and Herzegovina",
ISNUMBER(SEARCH("rn""&gt;Trinidad and Tobago",S1189)),"Trinidad and Tobago",
ISNUMBER(SEARCH("rn""&gt;Serbia and Montenegro",S1189)),"Serbia and Montenegro",
ISNUMBER(SEARCH(_xlfn.UNICHAR(65533),S1189)),"Côte d'Ivoire",
TRUE,""
)</f>
        <v/>
      </c>
      <c r="W1189" s="12" t="str">
        <f t="shared" si="104"/>
        <v>South Africa</v>
      </c>
    </row>
    <row r="1190" spans="2:23">
      <c r="B1190" s="75">
        <v>753</v>
      </c>
      <c r="C1190" s="15" t="str">
        <v>Gilson Benchimol</v>
      </c>
      <c r="D1190" s="15">
        <v>24</v>
      </c>
      <c r="E1190" s="15" t="str">
        <v>Cape Verde</v>
      </c>
      <c r="F1190" s="15" t="str">
        <v>ST</v>
      </c>
      <c r="G1190" s="15" t="str">
        <v>Akron Tolyatti</v>
      </c>
      <c r="H1190" s="15">
        <v>9</v>
      </c>
      <c r="I1190" s="15" t="str">
        <f t="shared" si="101"/>
        <v>753|Gilson Benchimol|24|Cape Verde|ST|Akron Tolyatti|9</v>
      </c>
      <c r="J1190" s="15" t="str">
        <f>IF(COUNTIF(I$438:I1190,I1190)&gt;1,"DOUBLON","OK")</f>
        <v>OK</v>
      </c>
      <c r="S1190" s="12" t="str">
        <v>South Africa</v>
      </c>
      <c r="T1190" s="12" t="str">
        <f t="shared" si="102"/>
        <v>OK</v>
      </c>
      <c r="U1190" s="12" t="str">
        <f t="shared" si="103"/>
        <v>-</v>
      </c>
      <c r="V1190" s="12" t="str" cm="1">
        <f t="array" ref="V1190">_xlfn.IFS(
ISNUMBER(SEARCH("USA",S1190)),"United States",
ISNUMBER(SEARCH("Republic of Ireland",S1190)),"Ireland",
ISNUMBER(SEARCH("Republic of Korea",S1190)),"South Korea",
ISNUMBER(SEARCH("Cape Verde",S1190)),"Cabo Verde",
ISNUMBER(SEARCH("Czechia",S1190)),"Czech Republic",
ISNUMBER(SEARCH("Türkiye",S1190)),"Turkey",
ISNUMBER(SEARCH("Ivory Coast",S1190)),"Côte d'Ivoire",
ISNUMBER(SEARCH("Korea Republic",S1190)),"South Korea",
ISNUMBER(SEARCH("Germany FR",S1190)),"FR Germany",
ISNUMBER(SEARCH("West Germany",S1190)),"FR Germany",
ISNUMBER(SEARCH("Germany DR",S1190)),"DR Germany",
ISNUMBER(SEARCH("Korea DPR",S1190)),"North Korea",
ISNUMBER(SEARCH("China PR",S1190)),"China",
ISNUMBER(SEARCH("IR Iran",S1190)),"Iran",
ISNUMBER(SEARCH("Congo DR",S1190)),"Democratic Republic of the Congo",
ISNUMBER(SEARCH("DR Congo",S1190)),"Democratic Republic of the Congo",
ISNUMBER(SEARCH("German DR",S1190)),"DR Germany",
ISNUMBER(SEARCH("rn""&gt;United Arab Emirates",S1190)),"United Arab Emirates",
ISNUMBER(SEARCH("rn""&gt;Republic of Ireland",S1190)),"Ireland",
ISNUMBER(SEARCH("rn""&gt;Bosnia and Herzegovina",S1190)),"Bosnia and Herzegovina",
ISNUMBER(SEARCH("rn""&gt;Trinidad and Tobago",S1190)),"Trinidad and Tobago",
ISNUMBER(SEARCH("rn""&gt;Serbia and Montenegro",S1190)),"Serbia and Montenegro",
ISNUMBER(SEARCH(_xlfn.UNICHAR(65533),S1190)),"Côte d'Ivoire",
TRUE,""
)</f>
        <v/>
      </c>
      <c r="W1190" s="12" t="str">
        <f t="shared" si="104"/>
        <v>South Africa</v>
      </c>
    </row>
    <row r="1191" spans="2:23">
      <c r="B1191" s="75">
        <v>754</v>
      </c>
      <c r="C1191" s="15" t="str">
        <v>Dailon Livramento</v>
      </c>
      <c r="D1191" s="15">
        <v>25</v>
      </c>
      <c r="E1191" s="15" t="str">
        <v>Cape Verde</v>
      </c>
      <c r="F1191" s="15" t="str">
        <v>ST</v>
      </c>
      <c r="G1191" s="15" t="str">
        <v>Casa Pia</v>
      </c>
      <c r="H1191" s="15">
        <v>19</v>
      </c>
      <c r="I1191" s="15" t="str">
        <f t="shared" si="101"/>
        <v>754|Dailon Livramento|25|Cape Verde|ST|Casa Pia|19</v>
      </c>
      <c r="J1191" s="15" t="str">
        <f>IF(COUNTIF(I$438:I1191,I1191)&gt;1,"DOUBLON","OK")</f>
        <v>OK</v>
      </c>
      <c r="S1191" s="12" t="str">
        <v>South Africa</v>
      </c>
      <c r="T1191" s="12" t="str">
        <f t="shared" si="102"/>
        <v>OK</v>
      </c>
      <c r="U1191" s="12" t="str">
        <f t="shared" si="103"/>
        <v>-</v>
      </c>
      <c r="V1191" s="12" t="str" cm="1">
        <f t="array" ref="V1191">_xlfn.IFS(
ISNUMBER(SEARCH("USA",S1191)),"United States",
ISNUMBER(SEARCH("Republic of Ireland",S1191)),"Ireland",
ISNUMBER(SEARCH("Republic of Korea",S1191)),"South Korea",
ISNUMBER(SEARCH("Cape Verde",S1191)),"Cabo Verde",
ISNUMBER(SEARCH("Czechia",S1191)),"Czech Republic",
ISNUMBER(SEARCH("Türkiye",S1191)),"Turkey",
ISNUMBER(SEARCH("Ivory Coast",S1191)),"Côte d'Ivoire",
ISNUMBER(SEARCH("Korea Republic",S1191)),"South Korea",
ISNUMBER(SEARCH("Germany FR",S1191)),"FR Germany",
ISNUMBER(SEARCH("West Germany",S1191)),"FR Germany",
ISNUMBER(SEARCH("Germany DR",S1191)),"DR Germany",
ISNUMBER(SEARCH("Korea DPR",S1191)),"North Korea",
ISNUMBER(SEARCH("China PR",S1191)),"China",
ISNUMBER(SEARCH("IR Iran",S1191)),"Iran",
ISNUMBER(SEARCH("Congo DR",S1191)),"Democratic Republic of the Congo",
ISNUMBER(SEARCH("DR Congo",S1191)),"Democratic Republic of the Congo",
ISNUMBER(SEARCH("German DR",S1191)),"DR Germany",
ISNUMBER(SEARCH("rn""&gt;United Arab Emirates",S1191)),"United Arab Emirates",
ISNUMBER(SEARCH("rn""&gt;Republic of Ireland",S1191)),"Ireland",
ISNUMBER(SEARCH("rn""&gt;Bosnia and Herzegovina",S1191)),"Bosnia and Herzegovina",
ISNUMBER(SEARCH("rn""&gt;Trinidad and Tobago",S1191)),"Trinidad and Tobago",
ISNUMBER(SEARCH("rn""&gt;Serbia and Montenegro",S1191)),"Serbia and Montenegro",
ISNUMBER(SEARCH(_xlfn.UNICHAR(65533),S1191)),"Côte d'Ivoire",
TRUE,""
)</f>
        <v/>
      </c>
      <c r="W1191" s="12" t="str">
        <f t="shared" si="104"/>
        <v>South Africa</v>
      </c>
    </row>
    <row r="1192" spans="2:23">
      <c r="B1192" s="75">
        <v>755</v>
      </c>
      <c r="C1192" s="15" t="str">
        <v>Nawaf Al-Aqidi</v>
      </c>
      <c r="D1192" s="15">
        <v>26</v>
      </c>
      <c r="E1192" s="15" t="str">
        <v>Saudi Arabia</v>
      </c>
      <c r="F1192" s="15" t="str">
        <v>GK</v>
      </c>
      <c r="G1192" s="15" t="str">
        <v>Al-Nassr</v>
      </c>
      <c r="H1192" s="15">
        <v>1</v>
      </c>
      <c r="I1192" s="15" t="str">
        <f t="shared" si="101"/>
        <v>755|Nawaf Al-Aqidi|26|Saudi Arabia|GK|Al-Nassr|1</v>
      </c>
      <c r="J1192" s="15" t="str">
        <f>IF(COUNTIF(I$438:I1192,I1192)&gt;1,"DOUBLON","OK")</f>
        <v>OK</v>
      </c>
      <c r="S1192" s="12" t="str">
        <v>South Africa</v>
      </c>
      <c r="T1192" s="12" t="str">
        <f t="shared" si="102"/>
        <v>OK</v>
      </c>
      <c r="U1192" s="12" t="str">
        <f t="shared" si="103"/>
        <v>-</v>
      </c>
      <c r="V1192" s="12" t="str" cm="1">
        <f t="array" ref="V1192">_xlfn.IFS(
ISNUMBER(SEARCH("USA",S1192)),"United States",
ISNUMBER(SEARCH("Republic of Ireland",S1192)),"Ireland",
ISNUMBER(SEARCH("Republic of Korea",S1192)),"South Korea",
ISNUMBER(SEARCH("Cape Verde",S1192)),"Cabo Verde",
ISNUMBER(SEARCH("Czechia",S1192)),"Czech Republic",
ISNUMBER(SEARCH("Türkiye",S1192)),"Turkey",
ISNUMBER(SEARCH("Ivory Coast",S1192)),"Côte d'Ivoire",
ISNUMBER(SEARCH("Korea Republic",S1192)),"South Korea",
ISNUMBER(SEARCH("Germany FR",S1192)),"FR Germany",
ISNUMBER(SEARCH("West Germany",S1192)),"FR Germany",
ISNUMBER(SEARCH("Germany DR",S1192)),"DR Germany",
ISNUMBER(SEARCH("Korea DPR",S1192)),"North Korea",
ISNUMBER(SEARCH("China PR",S1192)),"China",
ISNUMBER(SEARCH("IR Iran",S1192)),"Iran",
ISNUMBER(SEARCH("Congo DR",S1192)),"Democratic Republic of the Congo",
ISNUMBER(SEARCH("DR Congo",S1192)),"Democratic Republic of the Congo",
ISNUMBER(SEARCH("German DR",S1192)),"DR Germany",
ISNUMBER(SEARCH("rn""&gt;United Arab Emirates",S1192)),"United Arab Emirates",
ISNUMBER(SEARCH("rn""&gt;Republic of Ireland",S1192)),"Ireland",
ISNUMBER(SEARCH("rn""&gt;Bosnia and Herzegovina",S1192)),"Bosnia and Herzegovina",
ISNUMBER(SEARCH("rn""&gt;Trinidad and Tobago",S1192)),"Trinidad and Tobago",
ISNUMBER(SEARCH("rn""&gt;Serbia and Montenegro",S1192)),"Serbia and Montenegro",
ISNUMBER(SEARCH(_xlfn.UNICHAR(65533),S1192)),"Côte d'Ivoire",
TRUE,""
)</f>
        <v/>
      </c>
      <c r="W1192" s="12" t="str">
        <f t="shared" si="104"/>
        <v>South Africa</v>
      </c>
    </row>
    <row r="1193" spans="2:23">
      <c r="B1193" s="75">
        <v>756</v>
      </c>
      <c r="C1193" s="15" t="str">
        <v>Mohammed Al-Owais</v>
      </c>
      <c r="D1193" s="15">
        <v>34</v>
      </c>
      <c r="E1193" s="15" t="str">
        <v>Saudi Arabia</v>
      </c>
      <c r="F1193" s="15" t="str">
        <v>GK</v>
      </c>
      <c r="G1193" s="15" t="str">
        <v>Al-Ula</v>
      </c>
      <c r="H1193" s="15">
        <v>21</v>
      </c>
      <c r="I1193" s="15" t="str">
        <f t="shared" si="101"/>
        <v>756|Mohammed Al-Owais|34|Saudi Arabia|GK|Al-Ula|21</v>
      </c>
      <c r="J1193" s="15" t="str">
        <f>IF(COUNTIF(I$438:I1193,I1193)&gt;1,"DOUBLON","OK")</f>
        <v>OK</v>
      </c>
      <c r="S1193" s="12" t="str">
        <v>South Africa</v>
      </c>
      <c r="T1193" s="12" t="str">
        <f t="shared" si="102"/>
        <v>OK</v>
      </c>
      <c r="U1193" s="12" t="str">
        <f t="shared" si="103"/>
        <v>-</v>
      </c>
      <c r="V1193" s="12" t="str" cm="1">
        <f t="array" ref="V1193">_xlfn.IFS(
ISNUMBER(SEARCH("USA",S1193)),"United States",
ISNUMBER(SEARCH("Republic of Ireland",S1193)),"Ireland",
ISNUMBER(SEARCH("Republic of Korea",S1193)),"South Korea",
ISNUMBER(SEARCH("Cape Verde",S1193)),"Cabo Verde",
ISNUMBER(SEARCH("Czechia",S1193)),"Czech Republic",
ISNUMBER(SEARCH("Türkiye",S1193)),"Turkey",
ISNUMBER(SEARCH("Ivory Coast",S1193)),"Côte d'Ivoire",
ISNUMBER(SEARCH("Korea Republic",S1193)),"South Korea",
ISNUMBER(SEARCH("Germany FR",S1193)),"FR Germany",
ISNUMBER(SEARCH("West Germany",S1193)),"FR Germany",
ISNUMBER(SEARCH("Germany DR",S1193)),"DR Germany",
ISNUMBER(SEARCH("Korea DPR",S1193)),"North Korea",
ISNUMBER(SEARCH("China PR",S1193)),"China",
ISNUMBER(SEARCH("IR Iran",S1193)),"Iran",
ISNUMBER(SEARCH("Congo DR",S1193)),"Democratic Republic of the Congo",
ISNUMBER(SEARCH("DR Congo",S1193)),"Democratic Republic of the Congo",
ISNUMBER(SEARCH("German DR",S1193)),"DR Germany",
ISNUMBER(SEARCH("rn""&gt;United Arab Emirates",S1193)),"United Arab Emirates",
ISNUMBER(SEARCH("rn""&gt;Republic of Ireland",S1193)),"Ireland",
ISNUMBER(SEARCH("rn""&gt;Bosnia and Herzegovina",S1193)),"Bosnia and Herzegovina",
ISNUMBER(SEARCH("rn""&gt;Trinidad and Tobago",S1193)),"Trinidad and Tobago",
ISNUMBER(SEARCH("rn""&gt;Serbia and Montenegro",S1193)),"Serbia and Montenegro",
ISNUMBER(SEARCH(_xlfn.UNICHAR(65533),S1193)),"Côte d'Ivoire",
TRUE,""
)</f>
        <v/>
      </c>
      <c r="W1193" s="12" t="str">
        <f t="shared" si="104"/>
        <v>South Africa</v>
      </c>
    </row>
    <row r="1194" spans="2:23">
      <c r="B1194" s="75">
        <v>757</v>
      </c>
      <c r="C1194" s="15" t="str">
        <v>Ahmed Al-Kassar</v>
      </c>
      <c r="D1194" s="15">
        <v>35</v>
      </c>
      <c r="E1194" s="15" t="str">
        <v>Saudi Arabia</v>
      </c>
      <c r="F1194" s="15" t="str">
        <v>GK</v>
      </c>
      <c r="G1194" s="15" t="str">
        <v>Al-Qadsiah</v>
      </c>
      <c r="H1194" s="15">
        <v>22</v>
      </c>
      <c r="I1194" s="15" t="str">
        <f t="shared" si="101"/>
        <v>757|Ahmed Al-Kassar|35|Saudi Arabia|GK|Al-Qadsiah|22</v>
      </c>
      <c r="J1194" s="15" t="str">
        <f>IF(COUNTIF(I$438:I1194,I1194)&gt;1,"DOUBLON","OK")</f>
        <v>OK</v>
      </c>
      <c r="S1194" s="12" t="str">
        <v>South Africa</v>
      </c>
      <c r="T1194" s="12" t="str">
        <f t="shared" si="102"/>
        <v>OK</v>
      </c>
      <c r="U1194" s="12" t="str">
        <f t="shared" si="103"/>
        <v>-</v>
      </c>
      <c r="V1194" s="12" t="str" cm="1">
        <f t="array" ref="V1194">_xlfn.IFS(
ISNUMBER(SEARCH("USA",S1194)),"United States",
ISNUMBER(SEARCH("Republic of Ireland",S1194)),"Ireland",
ISNUMBER(SEARCH("Republic of Korea",S1194)),"South Korea",
ISNUMBER(SEARCH("Cape Verde",S1194)),"Cabo Verde",
ISNUMBER(SEARCH("Czechia",S1194)),"Czech Republic",
ISNUMBER(SEARCH("Türkiye",S1194)),"Turkey",
ISNUMBER(SEARCH("Ivory Coast",S1194)),"Côte d'Ivoire",
ISNUMBER(SEARCH("Korea Republic",S1194)),"South Korea",
ISNUMBER(SEARCH("Germany FR",S1194)),"FR Germany",
ISNUMBER(SEARCH("West Germany",S1194)),"FR Germany",
ISNUMBER(SEARCH("Germany DR",S1194)),"DR Germany",
ISNUMBER(SEARCH("Korea DPR",S1194)),"North Korea",
ISNUMBER(SEARCH("China PR",S1194)),"China",
ISNUMBER(SEARCH("IR Iran",S1194)),"Iran",
ISNUMBER(SEARCH("Congo DR",S1194)),"Democratic Republic of the Congo",
ISNUMBER(SEARCH("DR Congo",S1194)),"Democratic Republic of the Congo",
ISNUMBER(SEARCH("German DR",S1194)),"DR Germany",
ISNUMBER(SEARCH("rn""&gt;United Arab Emirates",S1194)),"United Arab Emirates",
ISNUMBER(SEARCH("rn""&gt;Republic of Ireland",S1194)),"Ireland",
ISNUMBER(SEARCH("rn""&gt;Bosnia and Herzegovina",S1194)),"Bosnia and Herzegovina",
ISNUMBER(SEARCH("rn""&gt;Trinidad and Tobago",S1194)),"Trinidad and Tobago",
ISNUMBER(SEARCH("rn""&gt;Serbia and Montenegro",S1194)),"Serbia and Montenegro",
ISNUMBER(SEARCH(_xlfn.UNICHAR(65533),S1194)),"Côte d'Ivoire",
TRUE,""
)</f>
        <v/>
      </c>
      <c r="W1194" s="12" t="str">
        <f t="shared" si="104"/>
        <v>South Africa</v>
      </c>
    </row>
    <row r="1195" spans="2:23">
      <c r="B1195" s="75">
        <v>758</v>
      </c>
      <c r="C1195" s="15" t="str">
        <v>Ali Lajami</v>
      </c>
      <c r="D1195" s="15">
        <v>30</v>
      </c>
      <c r="E1195" s="15" t="str">
        <v>Saudi Arabia</v>
      </c>
      <c r="F1195" s="15" t="str">
        <v>CB</v>
      </c>
      <c r="G1195" s="15" t="str">
        <v>Al-Hilal</v>
      </c>
      <c r="H1195" s="15">
        <v>3</v>
      </c>
      <c r="I1195" s="15" t="str">
        <f t="shared" si="101"/>
        <v>758|Ali Lajami|30|Saudi Arabia|CB|Al-Hilal|3</v>
      </c>
      <c r="J1195" s="15" t="str">
        <f>IF(COUNTIF(I$438:I1195,I1195)&gt;1,"DOUBLON","OK")</f>
        <v>OK</v>
      </c>
      <c r="S1195" s="12" t="str">
        <v>South Africa</v>
      </c>
      <c r="T1195" s="12" t="str">
        <f t="shared" si="102"/>
        <v>OK</v>
      </c>
      <c r="U1195" s="12" t="str">
        <f t="shared" si="103"/>
        <v>-</v>
      </c>
      <c r="V1195" s="12" t="str" cm="1">
        <f t="array" ref="V1195">_xlfn.IFS(
ISNUMBER(SEARCH("USA",S1195)),"United States",
ISNUMBER(SEARCH("Republic of Ireland",S1195)),"Ireland",
ISNUMBER(SEARCH("Republic of Korea",S1195)),"South Korea",
ISNUMBER(SEARCH("Cape Verde",S1195)),"Cabo Verde",
ISNUMBER(SEARCH("Czechia",S1195)),"Czech Republic",
ISNUMBER(SEARCH("Türkiye",S1195)),"Turkey",
ISNUMBER(SEARCH("Ivory Coast",S1195)),"Côte d'Ivoire",
ISNUMBER(SEARCH("Korea Republic",S1195)),"South Korea",
ISNUMBER(SEARCH("Germany FR",S1195)),"FR Germany",
ISNUMBER(SEARCH("West Germany",S1195)),"FR Germany",
ISNUMBER(SEARCH("Germany DR",S1195)),"DR Germany",
ISNUMBER(SEARCH("Korea DPR",S1195)),"North Korea",
ISNUMBER(SEARCH("China PR",S1195)),"China",
ISNUMBER(SEARCH("IR Iran",S1195)),"Iran",
ISNUMBER(SEARCH("Congo DR",S1195)),"Democratic Republic of the Congo",
ISNUMBER(SEARCH("DR Congo",S1195)),"Democratic Republic of the Congo",
ISNUMBER(SEARCH("German DR",S1195)),"DR Germany",
ISNUMBER(SEARCH("rn""&gt;United Arab Emirates",S1195)),"United Arab Emirates",
ISNUMBER(SEARCH("rn""&gt;Republic of Ireland",S1195)),"Ireland",
ISNUMBER(SEARCH("rn""&gt;Bosnia and Herzegovina",S1195)),"Bosnia and Herzegovina",
ISNUMBER(SEARCH("rn""&gt;Trinidad and Tobago",S1195)),"Trinidad and Tobago",
ISNUMBER(SEARCH("rn""&gt;Serbia and Montenegro",S1195)),"Serbia and Montenegro",
ISNUMBER(SEARCH(_xlfn.UNICHAR(65533),S1195)),"Côte d'Ivoire",
TRUE,""
)</f>
        <v/>
      </c>
      <c r="W1195" s="12" t="str">
        <f t="shared" si="104"/>
        <v>South Africa</v>
      </c>
    </row>
    <row r="1196" spans="2:23">
      <c r="B1196" s="75">
        <v>759</v>
      </c>
      <c r="C1196" s="15" t="str">
        <v>Abdulelah Al-Amri</v>
      </c>
      <c r="D1196" s="15">
        <v>29</v>
      </c>
      <c r="E1196" s="15" t="str">
        <v>Saudi Arabia</v>
      </c>
      <c r="F1196" s="15" t="str">
        <v>CB</v>
      </c>
      <c r="G1196" s="15" t="str">
        <v>Al-Nassr</v>
      </c>
      <c r="H1196" s="15">
        <v>4</v>
      </c>
      <c r="I1196" s="15" t="str">
        <f t="shared" si="101"/>
        <v>759|Abdulelah Al-Amri|29|Saudi Arabia|CB|Al-Nassr|4</v>
      </c>
      <c r="J1196" s="15" t="str">
        <f>IF(COUNTIF(I$438:I1196,I1196)&gt;1,"DOUBLON","OK")</f>
        <v>OK</v>
      </c>
      <c r="S1196" s="12" t="str">
        <v>South Africa</v>
      </c>
      <c r="T1196" s="12" t="str">
        <f t="shared" si="102"/>
        <v>OK</v>
      </c>
      <c r="U1196" s="12" t="str">
        <f t="shared" si="103"/>
        <v>-</v>
      </c>
      <c r="V1196" s="12" t="str" cm="1">
        <f t="array" ref="V1196">_xlfn.IFS(
ISNUMBER(SEARCH("USA",S1196)),"United States",
ISNUMBER(SEARCH("Republic of Ireland",S1196)),"Ireland",
ISNUMBER(SEARCH("Republic of Korea",S1196)),"South Korea",
ISNUMBER(SEARCH("Cape Verde",S1196)),"Cabo Verde",
ISNUMBER(SEARCH("Czechia",S1196)),"Czech Republic",
ISNUMBER(SEARCH("Türkiye",S1196)),"Turkey",
ISNUMBER(SEARCH("Ivory Coast",S1196)),"Côte d'Ivoire",
ISNUMBER(SEARCH("Korea Republic",S1196)),"South Korea",
ISNUMBER(SEARCH("Germany FR",S1196)),"FR Germany",
ISNUMBER(SEARCH("West Germany",S1196)),"FR Germany",
ISNUMBER(SEARCH("Germany DR",S1196)),"DR Germany",
ISNUMBER(SEARCH("Korea DPR",S1196)),"North Korea",
ISNUMBER(SEARCH("China PR",S1196)),"China",
ISNUMBER(SEARCH("IR Iran",S1196)),"Iran",
ISNUMBER(SEARCH("Congo DR",S1196)),"Democratic Republic of the Congo",
ISNUMBER(SEARCH("DR Congo",S1196)),"Democratic Republic of the Congo",
ISNUMBER(SEARCH("German DR",S1196)),"DR Germany",
ISNUMBER(SEARCH("rn""&gt;United Arab Emirates",S1196)),"United Arab Emirates",
ISNUMBER(SEARCH("rn""&gt;Republic of Ireland",S1196)),"Ireland",
ISNUMBER(SEARCH("rn""&gt;Bosnia and Herzegovina",S1196)),"Bosnia and Herzegovina",
ISNUMBER(SEARCH("rn""&gt;Trinidad and Tobago",S1196)),"Trinidad and Tobago",
ISNUMBER(SEARCH("rn""&gt;Serbia and Montenegro",S1196)),"Serbia and Montenegro",
ISNUMBER(SEARCH(_xlfn.UNICHAR(65533),S1196)),"Côte d'Ivoire",
TRUE,""
)</f>
        <v/>
      </c>
      <c r="W1196" s="12" t="str">
        <f t="shared" si="104"/>
        <v>South Africa</v>
      </c>
    </row>
    <row r="1197" spans="2:23">
      <c r="B1197" s="75">
        <v>760</v>
      </c>
      <c r="C1197" s="15" t="str">
        <v>Hassan Al-Tambakti</v>
      </c>
      <c r="D1197" s="15">
        <v>27</v>
      </c>
      <c r="E1197" s="15" t="str">
        <v>Saudi Arabia</v>
      </c>
      <c r="F1197" s="15" t="str">
        <v>CB</v>
      </c>
      <c r="G1197" s="15" t="str">
        <v>Al-Hilal</v>
      </c>
      <c r="H1197" s="15">
        <v>5</v>
      </c>
      <c r="I1197" s="15" t="str">
        <f t="shared" si="101"/>
        <v>760|Hassan Al-Tambakti|27|Saudi Arabia|CB|Al-Hilal|5</v>
      </c>
      <c r="J1197" s="15" t="str">
        <f>IF(COUNTIF(I$438:I1197,I1197)&gt;1,"DOUBLON","OK")</f>
        <v>OK</v>
      </c>
      <c r="S1197" s="12" t="str">
        <v>South Africa</v>
      </c>
      <c r="T1197" s="12" t="str">
        <f t="shared" si="102"/>
        <v>OK</v>
      </c>
      <c r="U1197" s="12" t="str">
        <f t="shared" si="103"/>
        <v>-</v>
      </c>
      <c r="V1197" s="12" t="str" cm="1">
        <f t="array" ref="V1197">_xlfn.IFS(
ISNUMBER(SEARCH("USA",S1197)),"United States",
ISNUMBER(SEARCH("Republic of Ireland",S1197)),"Ireland",
ISNUMBER(SEARCH("Republic of Korea",S1197)),"South Korea",
ISNUMBER(SEARCH("Cape Verde",S1197)),"Cabo Verde",
ISNUMBER(SEARCH("Czechia",S1197)),"Czech Republic",
ISNUMBER(SEARCH("Türkiye",S1197)),"Turkey",
ISNUMBER(SEARCH("Ivory Coast",S1197)),"Côte d'Ivoire",
ISNUMBER(SEARCH("Korea Republic",S1197)),"South Korea",
ISNUMBER(SEARCH("Germany FR",S1197)),"FR Germany",
ISNUMBER(SEARCH("West Germany",S1197)),"FR Germany",
ISNUMBER(SEARCH("Germany DR",S1197)),"DR Germany",
ISNUMBER(SEARCH("Korea DPR",S1197)),"North Korea",
ISNUMBER(SEARCH("China PR",S1197)),"China",
ISNUMBER(SEARCH("IR Iran",S1197)),"Iran",
ISNUMBER(SEARCH("Congo DR",S1197)),"Democratic Republic of the Congo",
ISNUMBER(SEARCH("DR Congo",S1197)),"Democratic Republic of the Congo",
ISNUMBER(SEARCH("German DR",S1197)),"DR Germany",
ISNUMBER(SEARCH("rn""&gt;United Arab Emirates",S1197)),"United Arab Emirates",
ISNUMBER(SEARCH("rn""&gt;Republic of Ireland",S1197)),"Ireland",
ISNUMBER(SEARCH("rn""&gt;Bosnia and Herzegovina",S1197)),"Bosnia and Herzegovina",
ISNUMBER(SEARCH("rn""&gt;Trinidad and Tobago",S1197)),"Trinidad and Tobago",
ISNUMBER(SEARCH("rn""&gt;Serbia and Montenegro",S1197)),"Serbia and Montenegro",
ISNUMBER(SEARCH(_xlfn.UNICHAR(65533),S1197)),"Côte d'Ivoire",
TRUE,""
)</f>
        <v/>
      </c>
      <c r="W1197" s="12" t="str">
        <f t="shared" si="104"/>
        <v>South Africa</v>
      </c>
    </row>
    <row r="1198" spans="2:23">
      <c r="B1198" s="75">
        <v>761</v>
      </c>
      <c r="C1198" s="15" t="str">
        <v>Hassan Kadesh</v>
      </c>
      <c r="D1198" s="15">
        <v>33</v>
      </c>
      <c r="E1198" s="15" t="str">
        <v>Saudi Arabia</v>
      </c>
      <c r="F1198" s="15" t="str">
        <v>CB</v>
      </c>
      <c r="G1198" s="15" t="str">
        <v>Al-Ittihad</v>
      </c>
      <c r="H1198" s="15">
        <v>14</v>
      </c>
      <c r="I1198" s="15" t="str">
        <f t="shared" si="101"/>
        <v>761|Hassan Kadesh|33|Saudi Arabia|CB|Al-Ittihad|14</v>
      </c>
      <c r="J1198" s="15" t="str">
        <f>IF(COUNTIF(I$438:I1198,I1198)&gt;1,"DOUBLON","OK")</f>
        <v>OK</v>
      </c>
      <c r="S1198" s="12" t="str">
        <v>South Africa</v>
      </c>
      <c r="T1198" s="12" t="str">
        <f t="shared" si="102"/>
        <v>OK</v>
      </c>
      <c r="U1198" s="12" t="str">
        <f t="shared" si="103"/>
        <v>-</v>
      </c>
      <c r="V1198" s="12" t="str" cm="1">
        <f t="array" ref="V1198">_xlfn.IFS(
ISNUMBER(SEARCH("USA",S1198)),"United States",
ISNUMBER(SEARCH("Republic of Ireland",S1198)),"Ireland",
ISNUMBER(SEARCH("Republic of Korea",S1198)),"South Korea",
ISNUMBER(SEARCH("Cape Verde",S1198)),"Cabo Verde",
ISNUMBER(SEARCH("Czechia",S1198)),"Czech Republic",
ISNUMBER(SEARCH("Türkiye",S1198)),"Turkey",
ISNUMBER(SEARCH("Ivory Coast",S1198)),"Côte d'Ivoire",
ISNUMBER(SEARCH("Korea Republic",S1198)),"South Korea",
ISNUMBER(SEARCH("Germany FR",S1198)),"FR Germany",
ISNUMBER(SEARCH("West Germany",S1198)),"FR Germany",
ISNUMBER(SEARCH("Germany DR",S1198)),"DR Germany",
ISNUMBER(SEARCH("Korea DPR",S1198)),"North Korea",
ISNUMBER(SEARCH("China PR",S1198)),"China",
ISNUMBER(SEARCH("IR Iran",S1198)),"Iran",
ISNUMBER(SEARCH("Congo DR",S1198)),"Democratic Republic of the Congo",
ISNUMBER(SEARCH("DR Congo",S1198)),"Democratic Republic of the Congo",
ISNUMBER(SEARCH("German DR",S1198)),"DR Germany",
ISNUMBER(SEARCH("rn""&gt;United Arab Emirates",S1198)),"United Arab Emirates",
ISNUMBER(SEARCH("rn""&gt;Republic of Ireland",S1198)),"Ireland",
ISNUMBER(SEARCH("rn""&gt;Bosnia and Herzegovina",S1198)),"Bosnia and Herzegovina",
ISNUMBER(SEARCH("rn""&gt;Trinidad and Tobago",S1198)),"Trinidad and Tobago",
ISNUMBER(SEARCH("rn""&gt;Serbia and Montenegro",S1198)),"Serbia and Montenegro",
ISNUMBER(SEARCH(_xlfn.UNICHAR(65533),S1198)),"Côte d'Ivoire",
TRUE,""
)</f>
        <v/>
      </c>
      <c r="W1198" s="12" t="str">
        <f t="shared" si="104"/>
        <v>South Africa</v>
      </c>
    </row>
    <row r="1199" spans="2:23">
      <c r="B1199" s="75">
        <v>762</v>
      </c>
      <c r="C1199" s="15" t="str">
        <v>Jehad Thakri</v>
      </c>
      <c r="D1199" s="15">
        <v>24</v>
      </c>
      <c r="E1199" s="15" t="str">
        <v>Saudi Arabia</v>
      </c>
      <c r="F1199" s="15" t="str">
        <v>CB</v>
      </c>
      <c r="G1199" s="15" t="str">
        <v>Al-Qadsiah</v>
      </c>
      <c r="H1199" s="15">
        <v>25</v>
      </c>
      <c r="I1199" s="15" t="str">
        <f t="shared" si="101"/>
        <v>762|Jehad Thakri|24|Saudi Arabia|CB|Al-Qadsiah|25</v>
      </c>
      <c r="J1199" s="15" t="str">
        <f>IF(COUNTIF(I$438:I1199,I1199)&gt;1,"DOUBLON","OK")</f>
        <v>OK</v>
      </c>
      <c r="S1199" s="12" t="str">
        <v>Republic of Korea</v>
      </c>
      <c r="T1199" s="12" t="str">
        <f t="shared" si="102"/>
        <v>ERREUR</v>
      </c>
      <c r="U1199" s="12" t="str">
        <f t="shared" si="103"/>
        <v>RENOMMER</v>
      </c>
      <c r="V1199" s="12" t="str" cm="1">
        <f t="array" ref="V1199">_xlfn.IFS(
ISNUMBER(SEARCH("USA",S1199)),"United States",
ISNUMBER(SEARCH("Republic of Ireland",S1199)),"Ireland",
ISNUMBER(SEARCH("Republic of Korea",S1199)),"South Korea",
ISNUMBER(SEARCH("Cape Verde",S1199)),"Cabo Verde",
ISNUMBER(SEARCH("Czechia",S1199)),"Czech Republic",
ISNUMBER(SEARCH("Türkiye",S1199)),"Turkey",
ISNUMBER(SEARCH("Ivory Coast",S1199)),"Côte d'Ivoire",
ISNUMBER(SEARCH("Korea Republic",S1199)),"South Korea",
ISNUMBER(SEARCH("Germany FR",S1199)),"FR Germany",
ISNUMBER(SEARCH("West Germany",S1199)),"FR Germany",
ISNUMBER(SEARCH("Germany DR",S1199)),"DR Germany",
ISNUMBER(SEARCH("Korea DPR",S1199)),"North Korea",
ISNUMBER(SEARCH("China PR",S1199)),"China",
ISNUMBER(SEARCH("IR Iran",S1199)),"Iran",
ISNUMBER(SEARCH("Congo DR",S1199)),"Democratic Republic of the Congo",
ISNUMBER(SEARCH("DR Congo",S1199)),"Democratic Republic of the Congo",
ISNUMBER(SEARCH("German DR",S1199)),"DR Germany",
ISNUMBER(SEARCH("rn""&gt;United Arab Emirates",S1199)),"United Arab Emirates",
ISNUMBER(SEARCH("rn""&gt;Republic of Ireland",S1199)),"Ireland",
ISNUMBER(SEARCH("rn""&gt;Bosnia and Herzegovina",S1199)),"Bosnia and Herzegovina",
ISNUMBER(SEARCH("rn""&gt;Trinidad and Tobago",S1199)),"Trinidad and Tobago",
ISNUMBER(SEARCH("rn""&gt;Serbia and Montenegro",S1199)),"Serbia and Montenegro",
ISNUMBER(SEARCH(_xlfn.UNICHAR(65533),S1199)),"Côte d'Ivoire",
TRUE,""
)</f>
        <v>South Korea</v>
      </c>
      <c r="W1199" s="12" t="str">
        <f t="shared" si="104"/>
        <v>South Korea</v>
      </c>
    </row>
    <row r="1200" spans="2:23">
      <c r="B1200" s="75">
        <v>763</v>
      </c>
      <c r="C1200" s="15" t="str">
        <v>Nasser Al-Dawsari</v>
      </c>
      <c r="D1200" s="15">
        <v>27</v>
      </c>
      <c r="E1200" s="15" t="str">
        <v>Saudi Arabia</v>
      </c>
      <c r="F1200" s="15" t="str">
        <v>LB</v>
      </c>
      <c r="G1200" s="15" t="str">
        <v>Al-Hilal</v>
      </c>
      <c r="H1200" s="15">
        <v>6</v>
      </c>
      <c r="I1200" s="15" t="str">
        <f t="shared" si="101"/>
        <v>763|Nasser Al-Dawsari|27|Saudi Arabia|LB|Al-Hilal|6</v>
      </c>
      <c r="J1200" s="15" t="str">
        <f>IF(COUNTIF(I$438:I1200,I1200)&gt;1,"DOUBLON","OK")</f>
        <v>OK</v>
      </c>
      <c r="S1200" s="12" t="str">
        <v>Republic of Korea</v>
      </c>
      <c r="T1200" s="12" t="str">
        <f t="shared" si="102"/>
        <v>ERREUR</v>
      </c>
      <c r="U1200" s="12" t="str">
        <f t="shared" si="103"/>
        <v>RENOMMER</v>
      </c>
      <c r="V1200" s="12" t="str" cm="1">
        <f t="array" ref="V1200">_xlfn.IFS(
ISNUMBER(SEARCH("USA",S1200)),"United States",
ISNUMBER(SEARCH("Republic of Ireland",S1200)),"Ireland",
ISNUMBER(SEARCH("Republic of Korea",S1200)),"South Korea",
ISNUMBER(SEARCH("Cape Verde",S1200)),"Cabo Verde",
ISNUMBER(SEARCH("Czechia",S1200)),"Czech Republic",
ISNUMBER(SEARCH("Türkiye",S1200)),"Turkey",
ISNUMBER(SEARCH("Ivory Coast",S1200)),"Côte d'Ivoire",
ISNUMBER(SEARCH("Korea Republic",S1200)),"South Korea",
ISNUMBER(SEARCH("Germany FR",S1200)),"FR Germany",
ISNUMBER(SEARCH("West Germany",S1200)),"FR Germany",
ISNUMBER(SEARCH("Germany DR",S1200)),"DR Germany",
ISNUMBER(SEARCH("Korea DPR",S1200)),"North Korea",
ISNUMBER(SEARCH("China PR",S1200)),"China",
ISNUMBER(SEARCH("IR Iran",S1200)),"Iran",
ISNUMBER(SEARCH("Congo DR",S1200)),"Democratic Republic of the Congo",
ISNUMBER(SEARCH("DR Congo",S1200)),"Democratic Republic of the Congo",
ISNUMBER(SEARCH("German DR",S1200)),"DR Germany",
ISNUMBER(SEARCH("rn""&gt;United Arab Emirates",S1200)),"United Arab Emirates",
ISNUMBER(SEARCH("rn""&gt;Republic of Ireland",S1200)),"Ireland",
ISNUMBER(SEARCH("rn""&gt;Bosnia and Herzegovina",S1200)),"Bosnia and Herzegovina",
ISNUMBER(SEARCH("rn""&gt;Trinidad and Tobago",S1200)),"Trinidad and Tobago",
ISNUMBER(SEARCH("rn""&gt;Serbia and Montenegro",S1200)),"Serbia and Montenegro",
ISNUMBER(SEARCH(_xlfn.UNICHAR(65533),S1200)),"Côte d'Ivoire",
TRUE,""
)</f>
        <v>South Korea</v>
      </c>
      <c r="W1200" s="12" t="str">
        <f t="shared" si="104"/>
        <v>South Korea</v>
      </c>
    </row>
    <row r="1201" spans="2:23">
      <c r="B1201" s="75">
        <v>764</v>
      </c>
      <c r="C1201" s="15" t="str">
        <v>Moteb Al-Harbi</v>
      </c>
      <c r="D1201" s="15">
        <v>26</v>
      </c>
      <c r="E1201" s="15" t="str">
        <v>Saudi Arabia</v>
      </c>
      <c r="F1201" s="15" t="str">
        <v>LB</v>
      </c>
      <c r="G1201" s="15" t="str">
        <v>Al-Hilal</v>
      </c>
      <c r="H1201" s="15">
        <v>24</v>
      </c>
      <c r="I1201" s="15" t="str">
        <f t="shared" si="101"/>
        <v>764|Moteb Al-Harbi|26|Saudi Arabia|LB|Al-Hilal|24</v>
      </c>
      <c r="J1201" s="15" t="str">
        <f>IF(COUNTIF(I$438:I1201,I1201)&gt;1,"DOUBLON","OK")</f>
        <v>OK</v>
      </c>
      <c r="S1201" s="12" t="str">
        <v>Republic of Korea</v>
      </c>
      <c r="T1201" s="12" t="str">
        <f t="shared" si="102"/>
        <v>ERREUR</v>
      </c>
      <c r="U1201" s="12" t="str">
        <f t="shared" si="103"/>
        <v>RENOMMER</v>
      </c>
      <c r="V1201" s="12" t="str" cm="1">
        <f t="array" ref="V1201">_xlfn.IFS(
ISNUMBER(SEARCH("USA",S1201)),"United States",
ISNUMBER(SEARCH("Republic of Ireland",S1201)),"Ireland",
ISNUMBER(SEARCH("Republic of Korea",S1201)),"South Korea",
ISNUMBER(SEARCH("Cape Verde",S1201)),"Cabo Verde",
ISNUMBER(SEARCH("Czechia",S1201)),"Czech Republic",
ISNUMBER(SEARCH("Türkiye",S1201)),"Turkey",
ISNUMBER(SEARCH("Ivory Coast",S1201)),"Côte d'Ivoire",
ISNUMBER(SEARCH("Korea Republic",S1201)),"South Korea",
ISNUMBER(SEARCH("Germany FR",S1201)),"FR Germany",
ISNUMBER(SEARCH("West Germany",S1201)),"FR Germany",
ISNUMBER(SEARCH("Germany DR",S1201)),"DR Germany",
ISNUMBER(SEARCH("Korea DPR",S1201)),"North Korea",
ISNUMBER(SEARCH("China PR",S1201)),"China",
ISNUMBER(SEARCH("IR Iran",S1201)),"Iran",
ISNUMBER(SEARCH("Congo DR",S1201)),"Democratic Republic of the Congo",
ISNUMBER(SEARCH("DR Congo",S1201)),"Democratic Republic of the Congo",
ISNUMBER(SEARCH("German DR",S1201)),"DR Germany",
ISNUMBER(SEARCH("rn""&gt;United Arab Emirates",S1201)),"United Arab Emirates",
ISNUMBER(SEARCH("rn""&gt;Republic of Ireland",S1201)),"Ireland",
ISNUMBER(SEARCH("rn""&gt;Bosnia and Herzegovina",S1201)),"Bosnia and Herzegovina",
ISNUMBER(SEARCH("rn""&gt;Trinidad and Tobago",S1201)),"Trinidad and Tobago",
ISNUMBER(SEARCH("rn""&gt;Serbia and Montenegro",S1201)),"Serbia and Montenegro",
ISNUMBER(SEARCH(_xlfn.UNICHAR(65533),S1201)),"Côte d'Ivoire",
TRUE,""
)</f>
        <v>South Korea</v>
      </c>
      <c r="W1201" s="12" t="str">
        <f t="shared" si="104"/>
        <v>South Korea</v>
      </c>
    </row>
    <row r="1202" spans="2:23">
      <c r="B1202" s="75">
        <v>765</v>
      </c>
      <c r="C1202" s="15" t="str">
        <v>Ali Majrashi</v>
      </c>
      <c r="D1202" s="15">
        <v>26</v>
      </c>
      <c r="E1202" s="15" t="str">
        <v>Saudi Arabia</v>
      </c>
      <c r="F1202" s="15" t="str">
        <v>RB</v>
      </c>
      <c r="G1202" s="15" t="str">
        <v>Al-Ahli</v>
      </c>
      <c r="H1202" s="15">
        <v>2</v>
      </c>
      <c r="I1202" s="15" t="str">
        <f t="shared" si="101"/>
        <v>765|Ali Majrashi|26|Saudi Arabia|RB|Al-Ahli|2</v>
      </c>
      <c r="J1202" s="15" t="str">
        <f>IF(COUNTIF(I$438:I1202,I1202)&gt;1,"DOUBLON","OK")</f>
        <v>OK</v>
      </c>
      <c r="S1202" s="12" t="str">
        <v>Republic of Korea</v>
      </c>
      <c r="T1202" s="12" t="str">
        <f t="shared" si="102"/>
        <v>ERREUR</v>
      </c>
      <c r="U1202" s="12" t="str">
        <f t="shared" si="103"/>
        <v>RENOMMER</v>
      </c>
      <c r="V1202" s="12" t="str" cm="1">
        <f t="array" ref="V1202">_xlfn.IFS(
ISNUMBER(SEARCH("USA",S1202)),"United States",
ISNUMBER(SEARCH("Republic of Ireland",S1202)),"Ireland",
ISNUMBER(SEARCH("Republic of Korea",S1202)),"South Korea",
ISNUMBER(SEARCH("Cape Verde",S1202)),"Cabo Verde",
ISNUMBER(SEARCH("Czechia",S1202)),"Czech Republic",
ISNUMBER(SEARCH("Türkiye",S1202)),"Turkey",
ISNUMBER(SEARCH("Ivory Coast",S1202)),"Côte d'Ivoire",
ISNUMBER(SEARCH("Korea Republic",S1202)),"South Korea",
ISNUMBER(SEARCH("Germany FR",S1202)),"FR Germany",
ISNUMBER(SEARCH("West Germany",S1202)),"FR Germany",
ISNUMBER(SEARCH("Germany DR",S1202)),"DR Germany",
ISNUMBER(SEARCH("Korea DPR",S1202)),"North Korea",
ISNUMBER(SEARCH("China PR",S1202)),"China",
ISNUMBER(SEARCH("IR Iran",S1202)),"Iran",
ISNUMBER(SEARCH("Congo DR",S1202)),"Democratic Republic of the Congo",
ISNUMBER(SEARCH("DR Congo",S1202)),"Democratic Republic of the Congo",
ISNUMBER(SEARCH("German DR",S1202)),"DR Germany",
ISNUMBER(SEARCH("rn""&gt;United Arab Emirates",S1202)),"United Arab Emirates",
ISNUMBER(SEARCH("rn""&gt;Republic of Ireland",S1202)),"Ireland",
ISNUMBER(SEARCH("rn""&gt;Bosnia and Herzegovina",S1202)),"Bosnia and Herzegovina",
ISNUMBER(SEARCH("rn""&gt;Trinidad and Tobago",S1202)),"Trinidad and Tobago",
ISNUMBER(SEARCH("rn""&gt;Serbia and Montenegro",S1202)),"Serbia and Montenegro",
ISNUMBER(SEARCH(_xlfn.UNICHAR(65533),S1202)),"Côte d'Ivoire",
TRUE,""
)</f>
        <v>South Korea</v>
      </c>
      <c r="W1202" s="12" t="str">
        <f t="shared" si="104"/>
        <v>South Korea</v>
      </c>
    </row>
    <row r="1203" spans="2:23">
      <c r="B1203" s="75">
        <v>766</v>
      </c>
      <c r="C1203" s="15" t="str">
        <v>Saud Abdulhamid</v>
      </c>
      <c r="D1203" s="15">
        <v>26</v>
      </c>
      <c r="E1203" s="15" t="str">
        <v>Saudi Arabia</v>
      </c>
      <c r="F1203" s="15" t="str">
        <v>RB</v>
      </c>
      <c r="G1203" s="15" t="str">
        <v>Lens</v>
      </c>
      <c r="H1203" s="15">
        <v>12</v>
      </c>
      <c r="I1203" s="15" t="str">
        <f t="shared" si="101"/>
        <v>766|Saud Abdulhamid|26|Saudi Arabia|RB|Lens|12</v>
      </c>
      <c r="J1203" s="15" t="str">
        <f>IF(COUNTIF(I$438:I1203,I1203)&gt;1,"DOUBLON","OK")</f>
        <v>OK</v>
      </c>
      <c r="S1203" s="12" t="str">
        <v>Republic of Korea</v>
      </c>
      <c r="T1203" s="12" t="str">
        <f t="shared" si="102"/>
        <v>ERREUR</v>
      </c>
      <c r="U1203" s="12" t="str">
        <f t="shared" si="103"/>
        <v>RENOMMER</v>
      </c>
      <c r="V1203" s="12" t="str" cm="1">
        <f t="array" ref="V1203">_xlfn.IFS(
ISNUMBER(SEARCH("USA",S1203)),"United States",
ISNUMBER(SEARCH("Republic of Ireland",S1203)),"Ireland",
ISNUMBER(SEARCH("Republic of Korea",S1203)),"South Korea",
ISNUMBER(SEARCH("Cape Verde",S1203)),"Cabo Verde",
ISNUMBER(SEARCH("Czechia",S1203)),"Czech Republic",
ISNUMBER(SEARCH("Türkiye",S1203)),"Turkey",
ISNUMBER(SEARCH("Ivory Coast",S1203)),"Côte d'Ivoire",
ISNUMBER(SEARCH("Korea Republic",S1203)),"South Korea",
ISNUMBER(SEARCH("Germany FR",S1203)),"FR Germany",
ISNUMBER(SEARCH("West Germany",S1203)),"FR Germany",
ISNUMBER(SEARCH("Germany DR",S1203)),"DR Germany",
ISNUMBER(SEARCH("Korea DPR",S1203)),"North Korea",
ISNUMBER(SEARCH("China PR",S1203)),"China",
ISNUMBER(SEARCH("IR Iran",S1203)),"Iran",
ISNUMBER(SEARCH("Congo DR",S1203)),"Democratic Republic of the Congo",
ISNUMBER(SEARCH("DR Congo",S1203)),"Democratic Republic of the Congo",
ISNUMBER(SEARCH("German DR",S1203)),"DR Germany",
ISNUMBER(SEARCH("rn""&gt;United Arab Emirates",S1203)),"United Arab Emirates",
ISNUMBER(SEARCH("rn""&gt;Republic of Ireland",S1203)),"Ireland",
ISNUMBER(SEARCH("rn""&gt;Bosnia and Herzegovina",S1203)),"Bosnia and Herzegovina",
ISNUMBER(SEARCH("rn""&gt;Trinidad and Tobago",S1203)),"Trinidad and Tobago",
ISNUMBER(SEARCH("rn""&gt;Serbia and Montenegro",S1203)),"Serbia and Montenegro",
ISNUMBER(SEARCH(_xlfn.UNICHAR(65533),S1203)),"Côte d'Ivoire",
TRUE,""
)</f>
        <v>South Korea</v>
      </c>
      <c r="W1203" s="12" t="str">
        <f t="shared" si="104"/>
        <v>South Korea</v>
      </c>
    </row>
    <row r="1204" spans="2:23">
      <c r="B1204" s="75">
        <v>767</v>
      </c>
      <c r="C1204" s="15" t="str">
        <v>Nawaf Boushal</v>
      </c>
      <c r="D1204" s="15">
        <v>26</v>
      </c>
      <c r="E1204" s="15" t="str">
        <v>Saudi Arabia</v>
      </c>
      <c r="F1204" s="15" t="str">
        <v>RB</v>
      </c>
      <c r="G1204" s="15" t="str">
        <v>Al-Nassr</v>
      </c>
      <c r="H1204" s="15">
        <v>13</v>
      </c>
      <c r="I1204" s="15" t="str">
        <f t="shared" si="101"/>
        <v>767|Nawaf Boushal|26|Saudi Arabia|RB|Al-Nassr|13</v>
      </c>
      <c r="J1204" s="15" t="str">
        <f>IF(COUNTIF(I$438:I1204,I1204)&gt;1,"DOUBLON","OK")</f>
        <v>OK</v>
      </c>
      <c r="S1204" s="12" t="str">
        <v>Republic of Korea</v>
      </c>
      <c r="T1204" s="12" t="str">
        <f t="shared" si="102"/>
        <v>ERREUR</v>
      </c>
      <c r="U1204" s="12" t="str">
        <f t="shared" si="103"/>
        <v>RENOMMER</v>
      </c>
      <c r="V1204" s="12" t="str" cm="1">
        <f t="array" ref="V1204">_xlfn.IFS(
ISNUMBER(SEARCH("USA",S1204)),"United States",
ISNUMBER(SEARCH("Republic of Ireland",S1204)),"Ireland",
ISNUMBER(SEARCH("Republic of Korea",S1204)),"South Korea",
ISNUMBER(SEARCH("Cape Verde",S1204)),"Cabo Verde",
ISNUMBER(SEARCH("Czechia",S1204)),"Czech Republic",
ISNUMBER(SEARCH("Türkiye",S1204)),"Turkey",
ISNUMBER(SEARCH("Ivory Coast",S1204)),"Côte d'Ivoire",
ISNUMBER(SEARCH("Korea Republic",S1204)),"South Korea",
ISNUMBER(SEARCH("Germany FR",S1204)),"FR Germany",
ISNUMBER(SEARCH("West Germany",S1204)),"FR Germany",
ISNUMBER(SEARCH("Germany DR",S1204)),"DR Germany",
ISNUMBER(SEARCH("Korea DPR",S1204)),"North Korea",
ISNUMBER(SEARCH("China PR",S1204)),"China",
ISNUMBER(SEARCH("IR Iran",S1204)),"Iran",
ISNUMBER(SEARCH("Congo DR",S1204)),"Democratic Republic of the Congo",
ISNUMBER(SEARCH("DR Congo",S1204)),"Democratic Republic of the Congo",
ISNUMBER(SEARCH("German DR",S1204)),"DR Germany",
ISNUMBER(SEARCH("rn""&gt;United Arab Emirates",S1204)),"United Arab Emirates",
ISNUMBER(SEARCH("rn""&gt;Republic of Ireland",S1204)),"Ireland",
ISNUMBER(SEARCH("rn""&gt;Bosnia and Herzegovina",S1204)),"Bosnia and Herzegovina",
ISNUMBER(SEARCH("rn""&gt;Trinidad and Tobago",S1204)),"Trinidad and Tobago",
ISNUMBER(SEARCH("rn""&gt;Serbia and Montenegro",S1204)),"Serbia and Montenegro",
ISNUMBER(SEARCH(_xlfn.UNICHAR(65533),S1204)),"Côte d'Ivoire",
TRUE,""
)</f>
        <v>South Korea</v>
      </c>
      <c r="W1204" s="12" t="str">
        <f t="shared" si="104"/>
        <v>South Korea</v>
      </c>
    </row>
    <row r="1205" spans="2:23">
      <c r="B1205" s="75">
        <v>768</v>
      </c>
      <c r="C1205" s="15" t="str">
        <v>Mohammed Abu Al-Shamat</v>
      </c>
      <c r="D1205" s="15">
        <v>23</v>
      </c>
      <c r="E1205" s="15" t="str">
        <v>Saudi Arabia</v>
      </c>
      <c r="F1205" s="15" t="str">
        <v>RB</v>
      </c>
      <c r="G1205" s="15" t="str">
        <v>Al-Qadsiah</v>
      </c>
      <c r="H1205" s="15">
        <v>26</v>
      </c>
      <c r="I1205" s="15" t="str">
        <f t="shared" si="101"/>
        <v>768|Mohammed Abu Al-Shamat|23|Saudi Arabia|RB|Al-Qadsiah|26</v>
      </c>
      <c r="J1205" s="15" t="str">
        <f>IF(COUNTIF(I$438:I1205,I1205)&gt;1,"DOUBLON","OK")</f>
        <v>OK</v>
      </c>
      <c r="S1205" s="12" t="str">
        <v>Republic of Korea</v>
      </c>
      <c r="T1205" s="12" t="str">
        <f t="shared" si="102"/>
        <v>ERREUR</v>
      </c>
      <c r="U1205" s="12" t="str">
        <f t="shared" si="103"/>
        <v>RENOMMER</v>
      </c>
      <c r="V1205" s="12" t="str" cm="1">
        <f t="array" ref="V1205">_xlfn.IFS(
ISNUMBER(SEARCH("USA",S1205)),"United States",
ISNUMBER(SEARCH("Republic of Ireland",S1205)),"Ireland",
ISNUMBER(SEARCH("Republic of Korea",S1205)),"South Korea",
ISNUMBER(SEARCH("Cape Verde",S1205)),"Cabo Verde",
ISNUMBER(SEARCH("Czechia",S1205)),"Czech Republic",
ISNUMBER(SEARCH("Türkiye",S1205)),"Turkey",
ISNUMBER(SEARCH("Ivory Coast",S1205)),"Côte d'Ivoire",
ISNUMBER(SEARCH("Korea Republic",S1205)),"South Korea",
ISNUMBER(SEARCH("Germany FR",S1205)),"FR Germany",
ISNUMBER(SEARCH("West Germany",S1205)),"FR Germany",
ISNUMBER(SEARCH("Germany DR",S1205)),"DR Germany",
ISNUMBER(SEARCH("Korea DPR",S1205)),"North Korea",
ISNUMBER(SEARCH("China PR",S1205)),"China",
ISNUMBER(SEARCH("IR Iran",S1205)),"Iran",
ISNUMBER(SEARCH("Congo DR",S1205)),"Democratic Republic of the Congo",
ISNUMBER(SEARCH("DR Congo",S1205)),"Democratic Republic of the Congo",
ISNUMBER(SEARCH("German DR",S1205)),"DR Germany",
ISNUMBER(SEARCH("rn""&gt;United Arab Emirates",S1205)),"United Arab Emirates",
ISNUMBER(SEARCH("rn""&gt;Republic of Ireland",S1205)),"Ireland",
ISNUMBER(SEARCH("rn""&gt;Bosnia and Herzegovina",S1205)),"Bosnia and Herzegovina",
ISNUMBER(SEARCH("rn""&gt;Trinidad and Tobago",S1205)),"Trinidad and Tobago",
ISNUMBER(SEARCH("rn""&gt;Serbia and Montenegro",S1205)),"Serbia and Montenegro",
ISNUMBER(SEARCH(_xlfn.UNICHAR(65533),S1205)),"Côte d'Ivoire",
TRUE,""
)</f>
        <v>South Korea</v>
      </c>
      <c r="W1205" s="12" t="str">
        <f t="shared" si="104"/>
        <v>South Korea</v>
      </c>
    </row>
    <row r="1206" spans="2:23">
      <c r="B1206" s="75">
        <v>769</v>
      </c>
      <c r="C1206" s="15" t="str">
        <v>Abdullah Al-Khaibari</v>
      </c>
      <c r="D1206" s="15">
        <v>29</v>
      </c>
      <c r="E1206" s="15" t="str">
        <v>Saudi Arabia</v>
      </c>
      <c r="F1206" s="15" t="str">
        <v>CDM</v>
      </c>
      <c r="G1206" s="15" t="str">
        <v>Al-Nassr</v>
      </c>
      <c r="H1206" s="15">
        <v>15</v>
      </c>
      <c r="I1206" s="15" t="str">
        <f t="shared" si="101"/>
        <v>769|Abdullah Al-Khaibari|29|Saudi Arabia|CDM|Al-Nassr|15</v>
      </c>
      <c r="J1206" s="15" t="str">
        <f>IF(COUNTIF(I$438:I1206,I1206)&gt;1,"DOUBLON","OK")</f>
        <v>OK</v>
      </c>
      <c r="S1206" s="12" t="str">
        <v>Republic of Korea</v>
      </c>
      <c r="T1206" s="12" t="str">
        <f t="shared" si="102"/>
        <v>ERREUR</v>
      </c>
      <c r="U1206" s="12" t="str">
        <f t="shared" si="103"/>
        <v>RENOMMER</v>
      </c>
      <c r="V1206" s="12" t="str" cm="1">
        <f t="array" ref="V1206">_xlfn.IFS(
ISNUMBER(SEARCH("USA",S1206)),"United States",
ISNUMBER(SEARCH("Republic of Ireland",S1206)),"Ireland",
ISNUMBER(SEARCH("Republic of Korea",S1206)),"South Korea",
ISNUMBER(SEARCH("Cape Verde",S1206)),"Cabo Verde",
ISNUMBER(SEARCH("Czechia",S1206)),"Czech Republic",
ISNUMBER(SEARCH("Türkiye",S1206)),"Turkey",
ISNUMBER(SEARCH("Ivory Coast",S1206)),"Côte d'Ivoire",
ISNUMBER(SEARCH("Korea Republic",S1206)),"South Korea",
ISNUMBER(SEARCH("Germany FR",S1206)),"FR Germany",
ISNUMBER(SEARCH("West Germany",S1206)),"FR Germany",
ISNUMBER(SEARCH("Germany DR",S1206)),"DR Germany",
ISNUMBER(SEARCH("Korea DPR",S1206)),"North Korea",
ISNUMBER(SEARCH("China PR",S1206)),"China",
ISNUMBER(SEARCH("IR Iran",S1206)),"Iran",
ISNUMBER(SEARCH("Congo DR",S1206)),"Democratic Republic of the Congo",
ISNUMBER(SEARCH("DR Congo",S1206)),"Democratic Republic of the Congo",
ISNUMBER(SEARCH("German DR",S1206)),"DR Germany",
ISNUMBER(SEARCH("rn""&gt;United Arab Emirates",S1206)),"United Arab Emirates",
ISNUMBER(SEARCH("rn""&gt;Republic of Ireland",S1206)),"Ireland",
ISNUMBER(SEARCH("rn""&gt;Bosnia and Herzegovina",S1206)),"Bosnia and Herzegovina",
ISNUMBER(SEARCH("rn""&gt;Trinidad and Tobago",S1206)),"Trinidad and Tobago",
ISNUMBER(SEARCH("rn""&gt;Serbia and Montenegro",S1206)),"Serbia and Montenegro",
ISNUMBER(SEARCH(_xlfn.UNICHAR(65533),S1206)),"Côte d'Ivoire",
TRUE,""
)</f>
        <v>South Korea</v>
      </c>
      <c r="W1206" s="12" t="str">
        <f t="shared" si="104"/>
        <v>South Korea</v>
      </c>
    </row>
    <row r="1207" spans="2:23">
      <c r="B1207" s="75">
        <v>770</v>
      </c>
      <c r="C1207" s="15" t="str">
        <v>Alaa Al-Hejji</v>
      </c>
      <c r="D1207" s="15">
        <v>30</v>
      </c>
      <c r="E1207" s="15" t="str">
        <v>Saudi Arabia</v>
      </c>
      <c r="F1207" s="15" t="str">
        <v>CDM</v>
      </c>
      <c r="G1207" s="15" t="str">
        <v>Neom</v>
      </c>
      <c r="H1207" s="15">
        <v>18</v>
      </c>
      <c r="I1207" s="15" t="str">
        <f t="shared" ref="I1207:I1270" si="105">B1207&amp;"|"&amp;C1207&amp;"|"&amp;D1207&amp;"|"&amp;E1207&amp;"|"&amp;F1207&amp;"|"&amp;G1207&amp;"|"&amp;H1207</f>
        <v>770|Alaa Al-Hejji|30|Saudi Arabia|CDM|Neom|18</v>
      </c>
      <c r="J1207" s="15" t="str">
        <f>IF(COUNTIF(I$438:I1207,I1207)&gt;1,"DOUBLON","OK")</f>
        <v>OK</v>
      </c>
      <c r="S1207" s="12" t="str">
        <v>Republic of Korea</v>
      </c>
      <c r="T1207" s="12" t="str">
        <f t="shared" si="102"/>
        <v>ERREUR</v>
      </c>
      <c r="U1207" s="12" t="str">
        <f t="shared" si="103"/>
        <v>RENOMMER</v>
      </c>
      <c r="V1207" s="12" t="str" cm="1">
        <f t="array" ref="V1207">_xlfn.IFS(
ISNUMBER(SEARCH("USA",S1207)),"United States",
ISNUMBER(SEARCH("Republic of Ireland",S1207)),"Ireland",
ISNUMBER(SEARCH("Republic of Korea",S1207)),"South Korea",
ISNUMBER(SEARCH("Cape Verde",S1207)),"Cabo Verde",
ISNUMBER(SEARCH("Czechia",S1207)),"Czech Republic",
ISNUMBER(SEARCH("Türkiye",S1207)),"Turkey",
ISNUMBER(SEARCH("Ivory Coast",S1207)),"Côte d'Ivoire",
ISNUMBER(SEARCH("Korea Republic",S1207)),"South Korea",
ISNUMBER(SEARCH("Germany FR",S1207)),"FR Germany",
ISNUMBER(SEARCH("West Germany",S1207)),"FR Germany",
ISNUMBER(SEARCH("Germany DR",S1207)),"DR Germany",
ISNUMBER(SEARCH("Korea DPR",S1207)),"North Korea",
ISNUMBER(SEARCH("China PR",S1207)),"China",
ISNUMBER(SEARCH("IR Iran",S1207)),"Iran",
ISNUMBER(SEARCH("Congo DR",S1207)),"Democratic Republic of the Congo",
ISNUMBER(SEARCH("DR Congo",S1207)),"Democratic Republic of the Congo",
ISNUMBER(SEARCH("German DR",S1207)),"DR Germany",
ISNUMBER(SEARCH("rn""&gt;United Arab Emirates",S1207)),"United Arab Emirates",
ISNUMBER(SEARCH("rn""&gt;Republic of Ireland",S1207)),"Ireland",
ISNUMBER(SEARCH("rn""&gt;Bosnia and Herzegovina",S1207)),"Bosnia and Herzegovina",
ISNUMBER(SEARCH("rn""&gt;Trinidad and Tobago",S1207)),"Trinidad and Tobago",
ISNUMBER(SEARCH("rn""&gt;Serbia and Montenegro",S1207)),"Serbia and Montenegro",
ISNUMBER(SEARCH(_xlfn.UNICHAR(65533),S1207)),"Côte d'Ivoire",
TRUE,""
)</f>
        <v>South Korea</v>
      </c>
      <c r="W1207" s="12" t="str">
        <f t="shared" si="104"/>
        <v>South Korea</v>
      </c>
    </row>
    <row r="1208" spans="2:23">
      <c r="B1208" s="75">
        <v>771</v>
      </c>
      <c r="C1208" s="15" t="str">
        <v>Ziyad Al-Johani</v>
      </c>
      <c r="D1208" s="15">
        <v>24</v>
      </c>
      <c r="E1208" s="15" t="str">
        <v>Saudi Arabia</v>
      </c>
      <c r="F1208" s="15" t="str">
        <v>CM</v>
      </c>
      <c r="G1208" s="15" t="str">
        <v>Al-Ahli</v>
      </c>
      <c r="H1208" s="15">
        <v>16</v>
      </c>
      <c r="I1208" s="15" t="str">
        <f t="shared" si="105"/>
        <v>771|Ziyad Al-Johani|24|Saudi Arabia|CM|Al-Ahli|16</v>
      </c>
      <c r="J1208" s="15" t="str">
        <f>IF(COUNTIF(I$438:I1208,I1208)&gt;1,"DOUBLON","OK")</f>
        <v>OK</v>
      </c>
      <c r="S1208" s="12" t="str">
        <v>Republic of Korea</v>
      </c>
      <c r="T1208" s="12" t="str">
        <f t="shared" si="102"/>
        <v>ERREUR</v>
      </c>
      <c r="U1208" s="12" t="str">
        <f t="shared" si="103"/>
        <v>RENOMMER</v>
      </c>
      <c r="V1208" s="12" t="str" cm="1">
        <f t="array" ref="V1208">_xlfn.IFS(
ISNUMBER(SEARCH("USA",S1208)),"United States",
ISNUMBER(SEARCH("Republic of Ireland",S1208)),"Ireland",
ISNUMBER(SEARCH("Republic of Korea",S1208)),"South Korea",
ISNUMBER(SEARCH("Cape Verde",S1208)),"Cabo Verde",
ISNUMBER(SEARCH("Czechia",S1208)),"Czech Republic",
ISNUMBER(SEARCH("Türkiye",S1208)),"Turkey",
ISNUMBER(SEARCH("Ivory Coast",S1208)),"Côte d'Ivoire",
ISNUMBER(SEARCH("Korea Republic",S1208)),"South Korea",
ISNUMBER(SEARCH("Germany FR",S1208)),"FR Germany",
ISNUMBER(SEARCH("West Germany",S1208)),"FR Germany",
ISNUMBER(SEARCH("Germany DR",S1208)),"DR Germany",
ISNUMBER(SEARCH("Korea DPR",S1208)),"North Korea",
ISNUMBER(SEARCH("China PR",S1208)),"China",
ISNUMBER(SEARCH("IR Iran",S1208)),"Iran",
ISNUMBER(SEARCH("Congo DR",S1208)),"Democratic Republic of the Congo",
ISNUMBER(SEARCH("DR Congo",S1208)),"Democratic Republic of the Congo",
ISNUMBER(SEARCH("German DR",S1208)),"DR Germany",
ISNUMBER(SEARCH("rn""&gt;United Arab Emirates",S1208)),"United Arab Emirates",
ISNUMBER(SEARCH("rn""&gt;Republic of Ireland",S1208)),"Ireland",
ISNUMBER(SEARCH("rn""&gt;Bosnia and Herzegovina",S1208)),"Bosnia and Herzegovina",
ISNUMBER(SEARCH("rn""&gt;Trinidad and Tobago",S1208)),"Trinidad and Tobago",
ISNUMBER(SEARCH("rn""&gt;Serbia and Montenegro",S1208)),"Serbia and Montenegro",
ISNUMBER(SEARCH(_xlfn.UNICHAR(65533),S1208)),"Côte d'Ivoire",
TRUE,""
)</f>
        <v>South Korea</v>
      </c>
      <c r="W1208" s="12" t="str">
        <f t="shared" si="104"/>
        <v>South Korea</v>
      </c>
    </row>
    <row r="1209" spans="2:23">
      <c r="B1209" s="75">
        <v>772</v>
      </c>
      <c r="C1209" s="15" t="str">
        <v>Mohamed Kanno</v>
      </c>
      <c r="D1209" s="15">
        <v>31</v>
      </c>
      <c r="E1209" s="15" t="str">
        <v>Saudi Arabia</v>
      </c>
      <c r="F1209" s="15" t="str">
        <v>CM</v>
      </c>
      <c r="G1209" s="15" t="str">
        <v>Al-Hilal</v>
      </c>
      <c r="H1209" s="15">
        <v>23</v>
      </c>
      <c r="I1209" s="15" t="str">
        <f t="shared" si="105"/>
        <v>772|Mohamed Kanno|31|Saudi Arabia|CM|Al-Hilal|23</v>
      </c>
      <c r="J1209" s="15" t="str">
        <f>IF(COUNTIF(I$438:I1209,I1209)&gt;1,"DOUBLON","OK")</f>
        <v>OK</v>
      </c>
      <c r="S1209" s="12" t="str">
        <v>Republic of Korea</v>
      </c>
      <c r="T1209" s="12" t="str">
        <f t="shared" si="102"/>
        <v>ERREUR</v>
      </c>
      <c r="U1209" s="12" t="str">
        <f t="shared" si="103"/>
        <v>RENOMMER</v>
      </c>
      <c r="V1209" s="12" t="str" cm="1">
        <f t="array" ref="V1209">_xlfn.IFS(
ISNUMBER(SEARCH("USA",S1209)),"United States",
ISNUMBER(SEARCH("Republic of Ireland",S1209)),"Ireland",
ISNUMBER(SEARCH("Republic of Korea",S1209)),"South Korea",
ISNUMBER(SEARCH("Cape Verde",S1209)),"Cabo Verde",
ISNUMBER(SEARCH("Czechia",S1209)),"Czech Republic",
ISNUMBER(SEARCH("Türkiye",S1209)),"Turkey",
ISNUMBER(SEARCH("Ivory Coast",S1209)),"Côte d'Ivoire",
ISNUMBER(SEARCH("Korea Republic",S1209)),"South Korea",
ISNUMBER(SEARCH("Germany FR",S1209)),"FR Germany",
ISNUMBER(SEARCH("West Germany",S1209)),"FR Germany",
ISNUMBER(SEARCH("Germany DR",S1209)),"DR Germany",
ISNUMBER(SEARCH("Korea DPR",S1209)),"North Korea",
ISNUMBER(SEARCH("China PR",S1209)),"China",
ISNUMBER(SEARCH("IR Iran",S1209)),"Iran",
ISNUMBER(SEARCH("Congo DR",S1209)),"Democratic Republic of the Congo",
ISNUMBER(SEARCH("DR Congo",S1209)),"Democratic Republic of the Congo",
ISNUMBER(SEARCH("German DR",S1209)),"DR Germany",
ISNUMBER(SEARCH("rn""&gt;United Arab Emirates",S1209)),"United Arab Emirates",
ISNUMBER(SEARCH("rn""&gt;Republic of Ireland",S1209)),"Ireland",
ISNUMBER(SEARCH("rn""&gt;Bosnia and Herzegovina",S1209)),"Bosnia and Herzegovina",
ISNUMBER(SEARCH("rn""&gt;Trinidad and Tobago",S1209)),"Trinidad and Tobago",
ISNUMBER(SEARCH("rn""&gt;Serbia and Montenegro",S1209)),"Serbia and Montenegro",
ISNUMBER(SEARCH(_xlfn.UNICHAR(65533),S1209)),"Côte d'Ivoire",
TRUE,""
)</f>
        <v>South Korea</v>
      </c>
      <c r="W1209" s="12" t="str">
        <f t="shared" si="104"/>
        <v>South Korea</v>
      </c>
    </row>
    <row r="1210" spans="2:23">
      <c r="B1210" s="75">
        <v>773</v>
      </c>
      <c r="C1210" s="15" t="str">
        <v>Musab Al-Juwayr</v>
      </c>
      <c r="D1210" s="15">
        <v>22</v>
      </c>
      <c r="E1210" s="15" t="str">
        <v>Saudi Arabia</v>
      </c>
      <c r="F1210" s="15" t="str">
        <v>CAM</v>
      </c>
      <c r="G1210" s="15" t="str">
        <v>Al-Qadsiah</v>
      </c>
      <c r="H1210" s="15">
        <v>7</v>
      </c>
      <c r="I1210" s="15" t="str">
        <f t="shared" si="105"/>
        <v>773|Musab Al-Juwayr|22|Saudi Arabia|CAM|Al-Qadsiah|7</v>
      </c>
      <c r="J1210" s="15" t="str">
        <f>IF(COUNTIF(I$438:I1210,I1210)&gt;1,"DOUBLON","OK")</f>
        <v>OK</v>
      </c>
      <c r="S1210" s="12" t="str">
        <v>Republic of Korea</v>
      </c>
      <c r="T1210" s="12" t="str">
        <f t="shared" si="102"/>
        <v>ERREUR</v>
      </c>
      <c r="U1210" s="12" t="str">
        <f t="shared" si="103"/>
        <v>RENOMMER</v>
      </c>
      <c r="V1210" s="12" t="str" cm="1">
        <f t="array" ref="V1210">_xlfn.IFS(
ISNUMBER(SEARCH("USA",S1210)),"United States",
ISNUMBER(SEARCH("Republic of Ireland",S1210)),"Ireland",
ISNUMBER(SEARCH("Republic of Korea",S1210)),"South Korea",
ISNUMBER(SEARCH("Cape Verde",S1210)),"Cabo Verde",
ISNUMBER(SEARCH("Czechia",S1210)),"Czech Republic",
ISNUMBER(SEARCH("Türkiye",S1210)),"Turkey",
ISNUMBER(SEARCH("Ivory Coast",S1210)),"Côte d'Ivoire",
ISNUMBER(SEARCH("Korea Republic",S1210)),"South Korea",
ISNUMBER(SEARCH("Germany FR",S1210)),"FR Germany",
ISNUMBER(SEARCH("West Germany",S1210)),"FR Germany",
ISNUMBER(SEARCH("Germany DR",S1210)),"DR Germany",
ISNUMBER(SEARCH("Korea DPR",S1210)),"North Korea",
ISNUMBER(SEARCH("China PR",S1210)),"China",
ISNUMBER(SEARCH("IR Iran",S1210)),"Iran",
ISNUMBER(SEARCH("Congo DR",S1210)),"Democratic Republic of the Congo",
ISNUMBER(SEARCH("DR Congo",S1210)),"Democratic Republic of the Congo",
ISNUMBER(SEARCH("German DR",S1210)),"DR Germany",
ISNUMBER(SEARCH("rn""&gt;United Arab Emirates",S1210)),"United Arab Emirates",
ISNUMBER(SEARCH("rn""&gt;Republic of Ireland",S1210)),"Ireland",
ISNUMBER(SEARCH("rn""&gt;Bosnia and Herzegovina",S1210)),"Bosnia and Herzegovina",
ISNUMBER(SEARCH("rn""&gt;Trinidad and Tobago",S1210)),"Trinidad and Tobago",
ISNUMBER(SEARCH("rn""&gt;Serbia and Montenegro",S1210)),"Serbia and Montenegro",
ISNUMBER(SEARCH(_xlfn.UNICHAR(65533),S1210)),"Côte d'Ivoire",
TRUE,""
)</f>
        <v>South Korea</v>
      </c>
      <c r="W1210" s="12" t="str">
        <f t="shared" si="104"/>
        <v>South Korea</v>
      </c>
    </row>
    <row r="1211" spans="2:23">
      <c r="B1211" s="75">
        <v>774</v>
      </c>
      <c r="C1211" s="15" t="str">
        <v>Salem Al-Dawsari</v>
      </c>
      <c r="D1211" s="15">
        <v>34</v>
      </c>
      <c r="E1211" s="15" t="str">
        <v>Saudi Arabia</v>
      </c>
      <c r="F1211" s="15" t="str">
        <v>LW</v>
      </c>
      <c r="G1211" s="15" t="str">
        <v>Al-Hilal</v>
      </c>
      <c r="H1211" s="15">
        <v>10</v>
      </c>
      <c r="I1211" s="15" t="str">
        <f t="shared" si="105"/>
        <v>774|Salem Al-Dawsari|34|Saudi Arabia|LW|Al-Hilal|10</v>
      </c>
      <c r="J1211" s="15" t="str">
        <f>IF(COUNTIF(I$438:I1211,I1211)&gt;1,"DOUBLON","OK")</f>
        <v>OK</v>
      </c>
      <c r="S1211" s="12" t="str">
        <v>Republic of Korea</v>
      </c>
      <c r="T1211" s="12" t="str">
        <f t="shared" si="102"/>
        <v>ERREUR</v>
      </c>
      <c r="U1211" s="12" t="str">
        <f t="shared" si="103"/>
        <v>RENOMMER</v>
      </c>
      <c r="V1211" s="12" t="str" cm="1">
        <f t="array" ref="V1211">_xlfn.IFS(
ISNUMBER(SEARCH("USA",S1211)),"United States",
ISNUMBER(SEARCH("Republic of Ireland",S1211)),"Ireland",
ISNUMBER(SEARCH("Republic of Korea",S1211)),"South Korea",
ISNUMBER(SEARCH("Cape Verde",S1211)),"Cabo Verde",
ISNUMBER(SEARCH("Czechia",S1211)),"Czech Republic",
ISNUMBER(SEARCH("Türkiye",S1211)),"Turkey",
ISNUMBER(SEARCH("Ivory Coast",S1211)),"Côte d'Ivoire",
ISNUMBER(SEARCH("Korea Republic",S1211)),"South Korea",
ISNUMBER(SEARCH("Germany FR",S1211)),"FR Germany",
ISNUMBER(SEARCH("West Germany",S1211)),"FR Germany",
ISNUMBER(SEARCH("Germany DR",S1211)),"DR Germany",
ISNUMBER(SEARCH("Korea DPR",S1211)),"North Korea",
ISNUMBER(SEARCH("China PR",S1211)),"China",
ISNUMBER(SEARCH("IR Iran",S1211)),"Iran",
ISNUMBER(SEARCH("Congo DR",S1211)),"Democratic Republic of the Congo",
ISNUMBER(SEARCH("DR Congo",S1211)),"Democratic Republic of the Congo",
ISNUMBER(SEARCH("German DR",S1211)),"DR Germany",
ISNUMBER(SEARCH("rn""&gt;United Arab Emirates",S1211)),"United Arab Emirates",
ISNUMBER(SEARCH("rn""&gt;Republic of Ireland",S1211)),"Ireland",
ISNUMBER(SEARCH("rn""&gt;Bosnia and Herzegovina",S1211)),"Bosnia and Herzegovina",
ISNUMBER(SEARCH("rn""&gt;Trinidad and Tobago",S1211)),"Trinidad and Tobago",
ISNUMBER(SEARCH("rn""&gt;Serbia and Montenegro",S1211)),"Serbia and Montenegro",
ISNUMBER(SEARCH(_xlfn.UNICHAR(65533),S1211)),"Côte d'Ivoire",
TRUE,""
)</f>
        <v>South Korea</v>
      </c>
      <c r="W1211" s="12" t="str">
        <f t="shared" si="104"/>
        <v>South Korea</v>
      </c>
    </row>
    <row r="1212" spans="2:23">
      <c r="B1212" s="75">
        <v>775</v>
      </c>
      <c r="C1212" s="15" t="str">
        <v>Khalid Al-Ghannam</v>
      </c>
      <c r="D1212" s="15">
        <v>25</v>
      </c>
      <c r="E1212" s="15" t="str">
        <v>Saudi Arabia</v>
      </c>
      <c r="F1212" s="15" t="str">
        <v>LW</v>
      </c>
      <c r="G1212" s="15" t="str">
        <v>Al-Ettifaq</v>
      </c>
      <c r="H1212" s="15">
        <v>17</v>
      </c>
      <c r="I1212" s="15" t="str">
        <f t="shared" si="105"/>
        <v>775|Khalid Al-Ghannam|25|Saudi Arabia|LW|Al-Ettifaq|17</v>
      </c>
      <c r="J1212" s="15" t="str">
        <f>IF(COUNTIF(I$438:I1212,I1212)&gt;1,"DOUBLON","OK")</f>
        <v>OK</v>
      </c>
      <c r="S1212" s="12" t="str">
        <v>Republic of Korea</v>
      </c>
      <c r="T1212" s="12" t="str">
        <f t="shared" si="102"/>
        <v>ERREUR</v>
      </c>
      <c r="U1212" s="12" t="str">
        <f t="shared" si="103"/>
        <v>RENOMMER</v>
      </c>
      <c r="V1212" s="12" t="str" cm="1">
        <f t="array" ref="V1212">_xlfn.IFS(
ISNUMBER(SEARCH("USA",S1212)),"United States",
ISNUMBER(SEARCH("Republic of Ireland",S1212)),"Ireland",
ISNUMBER(SEARCH("Republic of Korea",S1212)),"South Korea",
ISNUMBER(SEARCH("Cape Verde",S1212)),"Cabo Verde",
ISNUMBER(SEARCH("Czechia",S1212)),"Czech Republic",
ISNUMBER(SEARCH("Türkiye",S1212)),"Turkey",
ISNUMBER(SEARCH("Ivory Coast",S1212)),"Côte d'Ivoire",
ISNUMBER(SEARCH("Korea Republic",S1212)),"South Korea",
ISNUMBER(SEARCH("Germany FR",S1212)),"FR Germany",
ISNUMBER(SEARCH("West Germany",S1212)),"FR Germany",
ISNUMBER(SEARCH("Germany DR",S1212)),"DR Germany",
ISNUMBER(SEARCH("Korea DPR",S1212)),"North Korea",
ISNUMBER(SEARCH("China PR",S1212)),"China",
ISNUMBER(SEARCH("IR Iran",S1212)),"Iran",
ISNUMBER(SEARCH("Congo DR",S1212)),"Democratic Republic of the Congo",
ISNUMBER(SEARCH("DR Congo",S1212)),"Democratic Republic of the Congo",
ISNUMBER(SEARCH("German DR",S1212)),"DR Germany",
ISNUMBER(SEARCH("rn""&gt;United Arab Emirates",S1212)),"United Arab Emirates",
ISNUMBER(SEARCH("rn""&gt;Republic of Ireland",S1212)),"Ireland",
ISNUMBER(SEARCH("rn""&gt;Bosnia and Herzegovina",S1212)),"Bosnia and Herzegovina",
ISNUMBER(SEARCH("rn""&gt;Trinidad and Tobago",S1212)),"Trinidad and Tobago",
ISNUMBER(SEARCH("rn""&gt;Serbia and Montenegro",S1212)),"Serbia and Montenegro",
ISNUMBER(SEARCH(_xlfn.UNICHAR(65533),S1212)),"Côte d'Ivoire",
TRUE,""
)</f>
        <v>South Korea</v>
      </c>
      <c r="W1212" s="12" t="str">
        <f t="shared" si="104"/>
        <v>South Korea</v>
      </c>
    </row>
    <row r="1213" spans="2:23">
      <c r="B1213" s="75">
        <v>776</v>
      </c>
      <c r="C1213" s="15" t="str">
        <v>Ayman Yahya</v>
      </c>
      <c r="D1213" s="15">
        <v>25</v>
      </c>
      <c r="E1213" s="15" t="str">
        <v>Saudi Arabia</v>
      </c>
      <c r="F1213" s="15" t="str">
        <v>RW</v>
      </c>
      <c r="G1213" s="15" t="str">
        <v>Al-Nassr</v>
      </c>
      <c r="H1213" s="15">
        <v>8</v>
      </c>
      <c r="I1213" s="15" t="str">
        <f t="shared" si="105"/>
        <v>776|Ayman Yahya|25|Saudi Arabia|RW|Al-Nassr|8</v>
      </c>
      <c r="J1213" s="15" t="str">
        <f>IF(COUNTIF(I$438:I1213,I1213)&gt;1,"DOUBLON","OK")</f>
        <v>OK</v>
      </c>
      <c r="S1213" s="12" t="str">
        <v>Republic of Korea</v>
      </c>
      <c r="T1213" s="12" t="str">
        <f t="shared" si="102"/>
        <v>ERREUR</v>
      </c>
      <c r="U1213" s="12" t="str">
        <f t="shared" si="103"/>
        <v>RENOMMER</v>
      </c>
      <c r="V1213" s="12" t="str" cm="1">
        <f t="array" ref="V1213">_xlfn.IFS(
ISNUMBER(SEARCH("USA",S1213)),"United States",
ISNUMBER(SEARCH("Republic of Ireland",S1213)),"Ireland",
ISNUMBER(SEARCH("Republic of Korea",S1213)),"South Korea",
ISNUMBER(SEARCH("Cape Verde",S1213)),"Cabo Verde",
ISNUMBER(SEARCH("Czechia",S1213)),"Czech Republic",
ISNUMBER(SEARCH("Türkiye",S1213)),"Turkey",
ISNUMBER(SEARCH("Ivory Coast",S1213)),"Côte d'Ivoire",
ISNUMBER(SEARCH("Korea Republic",S1213)),"South Korea",
ISNUMBER(SEARCH("Germany FR",S1213)),"FR Germany",
ISNUMBER(SEARCH("West Germany",S1213)),"FR Germany",
ISNUMBER(SEARCH("Germany DR",S1213)),"DR Germany",
ISNUMBER(SEARCH("Korea DPR",S1213)),"North Korea",
ISNUMBER(SEARCH("China PR",S1213)),"China",
ISNUMBER(SEARCH("IR Iran",S1213)),"Iran",
ISNUMBER(SEARCH("Congo DR",S1213)),"Democratic Republic of the Congo",
ISNUMBER(SEARCH("DR Congo",S1213)),"Democratic Republic of the Congo",
ISNUMBER(SEARCH("German DR",S1213)),"DR Germany",
ISNUMBER(SEARCH("rn""&gt;United Arab Emirates",S1213)),"United Arab Emirates",
ISNUMBER(SEARCH("rn""&gt;Republic of Ireland",S1213)),"Ireland",
ISNUMBER(SEARCH("rn""&gt;Bosnia and Herzegovina",S1213)),"Bosnia and Herzegovina",
ISNUMBER(SEARCH("rn""&gt;Trinidad and Tobago",S1213)),"Trinidad and Tobago",
ISNUMBER(SEARCH("rn""&gt;Serbia and Montenegro",S1213)),"Serbia and Montenegro",
ISNUMBER(SEARCH(_xlfn.UNICHAR(65533),S1213)),"Côte d'Ivoire",
TRUE,""
)</f>
        <v>South Korea</v>
      </c>
      <c r="W1213" s="12" t="str">
        <f t="shared" si="104"/>
        <v>South Korea</v>
      </c>
    </row>
    <row r="1214" spans="2:23">
      <c r="B1214" s="75">
        <v>777</v>
      </c>
      <c r="C1214" s="15" t="str">
        <v>Sultan Mandash</v>
      </c>
      <c r="D1214" s="15">
        <v>31</v>
      </c>
      <c r="E1214" s="15" t="str">
        <v>Saudi Arabia</v>
      </c>
      <c r="F1214" s="15" t="str">
        <v>RW</v>
      </c>
      <c r="G1214" s="15" t="str">
        <v>Al-Hilal</v>
      </c>
      <c r="H1214" s="15">
        <v>20</v>
      </c>
      <c r="I1214" s="15" t="str">
        <f t="shared" si="105"/>
        <v>777|Sultan Mandash|31|Saudi Arabia|RW|Al-Hilal|20</v>
      </c>
      <c r="J1214" s="15" t="str">
        <f>IF(COUNTIF(I$438:I1214,I1214)&gt;1,"DOUBLON","OK")</f>
        <v>OK</v>
      </c>
      <c r="S1214" s="12" t="str">
        <v>Republic of Korea</v>
      </c>
      <c r="T1214" s="12" t="str">
        <f t="shared" si="102"/>
        <v>ERREUR</v>
      </c>
      <c r="U1214" s="12" t="str">
        <f t="shared" si="103"/>
        <v>RENOMMER</v>
      </c>
      <c r="V1214" s="12" t="str" cm="1">
        <f t="array" ref="V1214">_xlfn.IFS(
ISNUMBER(SEARCH("USA",S1214)),"United States",
ISNUMBER(SEARCH("Republic of Ireland",S1214)),"Ireland",
ISNUMBER(SEARCH("Republic of Korea",S1214)),"South Korea",
ISNUMBER(SEARCH("Cape Verde",S1214)),"Cabo Verde",
ISNUMBER(SEARCH("Czechia",S1214)),"Czech Republic",
ISNUMBER(SEARCH("Türkiye",S1214)),"Turkey",
ISNUMBER(SEARCH("Ivory Coast",S1214)),"Côte d'Ivoire",
ISNUMBER(SEARCH("Korea Republic",S1214)),"South Korea",
ISNUMBER(SEARCH("Germany FR",S1214)),"FR Germany",
ISNUMBER(SEARCH("West Germany",S1214)),"FR Germany",
ISNUMBER(SEARCH("Germany DR",S1214)),"DR Germany",
ISNUMBER(SEARCH("Korea DPR",S1214)),"North Korea",
ISNUMBER(SEARCH("China PR",S1214)),"China",
ISNUMBER(SEARCH("IR Iran",S1214)),"Iran",
ISNUMBER(SEARCH("Congo DR",S1214)),"Democratic Republic of the Congo",
ISNUMBER(SEARCH("DR Congo",S1214)),"Democratic Republic of the Congo",
ISNUMBER(SEARCH("German DR",S1214)),"DR Germany",
ISNUMBER(SEARCH("rn""&gt;United Arab Emirates",S1214)),"United Arab Emirates",
ISNUMBER(SEARCH("rn""&gt;Republic of Ireland",S1214)),"Ireland",
ISNUMBER(SEARCH("rn""&gt;Bosnia and Herzegovina",S1214)),"Bosnia and Herzegovina",
ISNUMBER(SEARCH("rn""&gt;Trinidad and Tobago",S1214)),"Trinidad and Tobago",
ISNUMBER(SEARCH("rn""&gt;Serbia and Montenegro",S1214)),"Serbia and Montenegro",
ISNUMBER(SEARCH(_xlfn.UNICHAR(65533),S1214)),"Côte d'Ivoire",
TRUE,""
)</f>
        <v>South Korea</v>
      </c>
      <c r="W1214" s="12" t="str">
        <f t="shared" si="104"/>
        <v>South Korea</v>
      </c>
    </row>
    <row r="1215" spans="2:23">
      <c r="B1215" s="75">
        <v>778</v>
      </c>
      <c r="C1215" s="15" t="str">
        <v>Firas Al-Buraikan</v>
      </c>
      <c r="D1215" s="15">
        <v>26</v>
      </c>
      <c r="E1215" s="15" t="str">
        <v>Saudi Arabia</v>
      </c>
      <c r="F1215" s="15" t="str">
        <v>ST</v>
      </c>
      <c r="G1215" s="15" t="str">
        <v>Al-Ahli</v>
      </c>
      <c r="H1215" s="15">
        <v>9</v>
      </c>
      <c r="I1215" s="15" t="str">
        <f t="shared" si="105"/>
        <v>778|Firas Al-Buraikan|26|Saudi Arabia|ST|Al-Ahli|9</v>
      </c>
      <c r="J1215" s="15" t="str">
        <f>IF(COUNTIF(I$438:I1215,I1215)&gt;1,"DOUBLON","OK")</f>
        <v>OK</v>
      </c>
      <c r="S1215" s="12" t="str">
        <v>Republic of Korea</v>
      </c>
      <c r="T1215" s="12" t="str">
        <f t="shared" si="102"/>
        <v>ERREUR</v>
      </c>
      <c r="U1215" s="12" t="str">
        <f t="shared" si="103"/>
        <v>RENOMMER</v>
      </c>
      <c r="V1215" s="12" t="str" cm="1">
        <f t="array" ref="V1215">_xlfn.IFS(
ISNUMBER(SEARCH("USA",S1215)),"United States",
ISNUMBER(SEARCH("Republic of Ireland",S1215)),"Ireland",
ISNUMBER(SEARCH("Republic of Korea",S1215)),"South Korea",
ISNUMBER(SEARCH("Cape Verde",S1215)),"Cabo Verde",
ISNUMBER(SEARCH("Czechia",S1215)),"Czech Republic",
ISNUMBER(SEARCH("Türkiye",S1215)),"Turkey",
ISNUMBER(SEARCH("Ivory Coast",S1215)),"Côte d'Ivoire",
ISNUMBER(SEARCH("Korea Republic",S1215)),"South Korea",
ISNUMBER(SEARCH("Germany FR",S1215)),"FR Germany",
ISNUMBER(SEARCH("West Germany",S1215)),"FR Germany",
ISNUMBER(SEARCH("Germany DR",S1215)),"DR Germany",
ISNUMBER(SEARCH("Korea DPR",S1215)),"North Korea",
ISNUMBER(SEARCH("China PR",S1215)),"China",
ISNUMBER(SEARCH("IR Iran",S1215)),"Iran",
ISNUMBER(SEARCH("Congo DR",S1215)),"Democratic Republic of the Congo",
ISNUMBER(SEARCH("DR Congo",S1215)),"Democratic Republic of the Congo",
ISNUMBER(SEARCH("German DR",S1215)),"DR Germany",
ISNUMBER(SEARCH("rn""&gt;United Arab Emirates",S1215)),"United Arab Emirates",
ISNUMBER(SEARCH("rn""&gt;Republic of Ireland",S1215)),"Ireland",
ISNUMBER(SEARCH("rn""&gt;Bosnia and Herzegovina",S1215)),"Bosnia and Herzegovina",
ISNUMBER(SEARCH("rn""&gt;Trinidad and Tobago",S1215)),"Trinidad and Tobago",
ISNUMBER(SEARCH("rn""&gt;Serbia and Montenegro",S1215)),"Serbia and Montenegro",
ISNUMBER(SEARCH(_xlfn.UNICHAR(65533),S1215)),"Côte d'Ivoire",
TRUE,""
)</f>
        <v>South Korea</v>
      </c>
      <c r="W1215" s="12" t="str">
        <f t="shared" si="104"/>
        <v>South Korea</v>
      </c>
    </row>
    <row r="1216" spans="2:23">
      <c r="B1216" s="75">
        <v>779</v>
      </c>
      <c r="C1216" s="15" t="str">
        <v>Saleh Al-Shehri</v>
      </c>
      <c r="D1216" s="15">
        <v>32</v>
      </c>
      <c r="E1216" s="15" t="str">
        <v>Saudi Arabia</v>
      </c>
      <c r="F1216" s="15" t="str">
        <v>ST</v>
      </c>
      <c r="G1216" s="15" t="str">
        <v>Al-Ittihad</v>
      </c>
      <c r="H1216" s="15">
        <v>11</v>
      </c>
      <c r="I1216" s="15" t="str">
        <f t="shared" si="105"/>
        <v>779|Saleh Al-Shehri|32|Saudi Arabia|ST|Al-Ittihad|11</v>
      </c>
      <c r="J1216" s="15" t="str">
        <f>IF(COUNTIF(I$438:I1216,I1216)&gt;1,"DOUBLON","OK")</f>
        <v>OK</v>
      </c>
      <c r="S1216" s="12" t="str">
        <v>Republic of Korea</v>
      </c>
      <c r="T1216" s="12" t="str">
        <f t="shared" si="102"/>
        <v>ERREUR</v>
      </c>
      <c r="U1216" s="12" t="str">
        <f t="shared" si="103"/>
        <v>RENOMMER</v>
      </c>
      <c r="V1216" s="12" t="str" cm="1">
        <f t="array" ref="V1216">_xlfn.IFS(
ISNUMBER(SEARCH("USA",S1216)),"United States",
ISNUMBER(SEARCH("Republic of Ireland",S1216)),"Ireland",
ISNUMBER(SEARCH("Republic of Korea",S1216)),"South Korea",
ISNUMBER(SEARCH("Cape Verde",S1216)),"Cabo Verde",
ISNUMBER(SEARCH("Czechia",S1216)),"Czech Republic",
ISNUMBER(SEARCH("Türkiye",S1216)),"Turkey",
ISNUMBER(SEARCH("Ivory Coast",S1216)),"Côte d'Ivoire",
ISNUMBER(SEARCH("Korea Republic",S1216)),"South Korea",
ISNUMBER(SEARCH("Germany FR",S1216)),"FR Germany",
ISNUMBER(SEARCH("West Germany",S1216)),"FR Germany",
ISNUMBER(SEARCH("Germany DR",S1216)),"DR Germany",
ISNUMBER(SEARCH("Korea DPR",S1216)),"North Korea",
ISNUMBER(SEARCH("China PR",S1216)),"China",
ISNUMBER(SEARCH("IR Iran",S1216)),"Iran",
ISNUMBER(SEARCH("Congo DR",S1216)),"Democratic Republic of the Congo",
ISNUMBER(SEARCH("DR Congo",S1216)),"Democratic Republic of the Congo",
ISNUMBER(SEARCH("German DR",S1216)),"DR Germany",
ISNUMBER(SEARCH("rn""&gt;United Arab Emirates",S1216)),"United Arab Emirates",
ISNUMBER(SEARCH("rn""&gt;Republic of Ireland",S1216)),"Ireland",
ISNUMBER(SEARCH("rn""&gt;Bosnia and Herzegovina",S1216)),"Bosnia and Herzegovina",
ISNUMBER(SEARCH("rn""&gt;Trinidad and Tobago",S1216)),"Trinidad and Tobago",
ISNUMBER(SEARCH("rn""&gt;Serbia and Montenegro",S1216)),"Serbia and Montenegro",
ISNUMBER(SEARCH(_xlfn.UNICHAR(65533),S1216)),"Côte d'Ivoire",
TRUE,""
)</f>
        <v>South Korea</v>
      </c>
      <c r="W1216" s="12" t="str">
        <f t="shared" si="104"/>
        <v>South Korea</v>
      </c>
    </row>
    <row r="1217" spans="2:23">
      <c r="B1217" s="75">
        <v>780</v>
      </c>
      <c r="C1217" s="15" t="str">
        <v>Abdullah Al-Hamdan</v>
      </c>
      <c r="D1217" s="15">
        <v>26</v>
      </c>
      <c r="E1217" s="15" t="str">
        <v>Saudi Arabia</v>
      </c>
      <c r="F1217" s="15" t="str">
        <v>ST</v>
      </c>
      <c r="G1217" s="15" t="str">
        <v>Al-Nassr</v>
      </c>
      <c r="H1217" s="15">
        <v>19</v>
      </c>
      <c r="I1217" s="15" t="str">
        <f t="shared" si="105"/>
        <v>780|Abdullah Al-Hamdan|26|Saudi Arabia|ST|Al-Nassr|19</v>
      </c>
      <c r="J1217" s="15" t="str">
        <f>IF(COUNTIF(I$438:I1217,I1217)&gt;1,"DOUBLON","OK")</f>
        <v>OK</v>
      </c>
      <c r="S1217" s="12" t="str">
        <v>Republic of Korea</v>
      </c>
      <c r="T1217" s="12" t="str">
        <f t="shared" si="102"/>
        <v>ERREUR</v>
      </c>
      <c r="U1217" s="12" t="str">
        <f t="shared" si="103"/>
        <v>RENOMMER</v>
      </c>
      <c r="V1217" s="12" t="str" cm="1">
        <f t="array" ref="V1217">_xlfn.IFS(
ISNUMBER(SEARCH("USA",S1217)),"United States",
ISNUMBER(SEARCH("Republic of Ireland",S1217)),"Ireland",
ISNUMBER(SEARCH("Republic of Korea",S1217)),"South Korea",
ISNUMBER(SEARCH("Cape Verde",S1217)),"Cabo Verde",
ISNUMBER(SEARCH("Czechia",S1217)),"Czech Republic",
ISNUMBER(SEARCH("Türkiye",S1217)),"Turkey",
ISNUMBER(SEARCH("Ivory Coast",S1217)),"Côte d'Ivoire",
ISNUMBER(SEARCH("Korea Republic",S1217)),"South Korea",
ISNUMBER(SEARCH("Germany FR",S1217)),"FR Germany",
ISNUMBER(SEARCH("West Germany",S1217)),"FR Germany",
ISNUMBER(SEARCH("Germany DR",S1217)),"DR Germany",
ISNUMBER(SEARCH("Korea DPR",S1217)),"North Korea",
ISNUMBER(SEARCH("China PR",S1217)),"China",
ISNUMBER(SEARCH("IR Iran",S1217)),"Iran",
ISNUMBER(SEARCH("Congo DR",S1217)),"Democratic Republic of the Congo",
ISNUMBER(SEARCH("DR Congo",S1217)),"Democratic Republic of the Congo",
ISNUMBER(SEARCH("German DR",S1217)),"DR Germany",
ISNUMBER(SEARCH("rn""&gt;United Arab Emirates",S1217)),"United Arab Emirates",
ISNUMBER(SEARCH("rn""&gt;Republic of Ireland",S1217)),"Ireland",
ISNUMBER(SEARCH("rn""&gt;Bosnia and Herzegovina",S1217)),"Bosnia and Herzegovina",
ISNUMBER(SEARCH("rn""&gt;Trinidad and Tobago",S1217)),"Trinidad and Tobago",
ISNUMBER(SEARCH("rn""&gt;Serbia and Montenegro",S1217)),"Serbia and Montenegro",
ISNUMBER(SEARCH(_xlfn.UNICHAR(65533),S1217)),"Côte d'Ivoire",
TRUE,""
)</f>
        <v>South Korea</v>
      </c>
      <c r="W1217" s="12" t="str">
        <f t="shared" si="104"/>
        <v>South Korea</v>
      </c>
    </row>
    <row r="1218" spans="2:23">
      <c r="B1218" s="75">
        <v>781</v>
      </c>
      <c r="C1218" s="15" t="str">
        <v>David Raya</v>
      </c>
      <c r="D1218" s="15">
        <v>30</v>
      </c>
      <c r="E1218" s="15" t="str">
        <v>Spain</v>
      </c>
      <c r="F1218" s="15" t="str">
        <v>GK</v>
      </c>
      <c r="G1218" s="15" t="str">
        <v>Arsenal</v>
      </c>
      <c r="H1218" s="15">
        <v>1</v>
      </c>
      <c r="I1218" s="15" t="str">
        <f t="shared" si="105"/>
        <v>781|David Raya|30|Spain|GK|Arsenal|1</v>
      </c>
      <c r="J1218" s="15" t="str">
        <f>IF(COUNTIF(I$438:I1218,I1218)&gt;1,"DOUBLON","OK")</f>
        <v>OK</v>
      </c>
      <c r="S1218" s="12" t="str">
        <v>Republic of Korea</v>
      </c>
      <c r="T1218" s="12" t="str">
        <f t="shared" si="102"/>
        <v>ERREUR</v>
      </c>
      <c r="U1218" s="12" t="str">
        <f t="shared" si="103"/>
        <v>RENOMMER</v>
      </c>
      <c r="V1218" s="12" t="str" cm="1">
        <f t="array" ref="V1218">_xlfn.IFS(
ISNUMBER(SEARCH("USA",S1218)),"United States",
ISNUMBER(SEARCH("Republic of Ireland",S1218)),"Ireland",
ISNUMBER(SEARCH("Republic of Korea",S1218)),"South Korea",
ISNUMBER(SEARCH("Cape Verde",S1218)),"Cabo Verde",
ISNUMBER(SEARCH("Czechia",S1218)),"Czech Republic",
ISNUMBER(SEARCH("Türkiye",S1218)),"Turkey",
ISNUMBER(SEARCH("Ivory Coast",S1218)),"Côte d'Ivoire",
ISNUMBER(SEARCH("Korea Republic",S1218)),"South Korea",
ISNUMBER(SEARCH("Germany FR",S1218)),"FR Germany",
ISNUMBER(SEARCH("West Germany",S1218)),"FR Germany",
ISNUMBER(SEARCH("Germany DR",S1218)),"DR Germany",
ISNUMBER(SEARCH("Korea DPR",S1218)),"North Korea",
ISNUMBER(SEARCH("China PR",S1218)),"China",
ISNUMBER(SEARCH("IR Iran",S1218)),"Iran",
ISNUMBER(SEARCH("Congo DR",S1218)),"Democratic Republic of the Congo",
ISNUMBER(SEARCH("DR Congo",S1218)),"Democratic Republic of the Congo",
ISNUMBER(SEARCH("German DR",S1218)),"DR Germany",
ISNUMBER(SEARCH("rn""&gt;United Arab Emirates",S1218)),"United Arab Emirates",
ISNUMBER(SEARCH("rn""&gt;Republic of Ireland",S1218)),"Ireland",
ISNUMBER(SEARCH("rn""&gt;Bosnia and Herzegovina",S1218)),"Bosnia and Herzegovina",
ISNUMBER(SEARCH("rn""&gt;Trinidad and Tobago",S1218)),"Trinidad and Tobago",
ISNUMBER(SEARCH("rn""&gt;Serbia and Montenegro",S1218)),"Serbia and Montenegro",
ISNUMBER(SEARCH(_xlfn.UNICHAR(65533),S1218)),"Côte d'Ivoire",
TRUE,""
)</f>
        <v>South Korea</v>
      </c>
      <c r="W1218" s="12" t="str">
        <f t="shared" si="104"/>
        <v>South Korea</v>
      </c>
    </row>
    <row r="1219" spans="2:23">
      <c r="B1219" s="75">
        <v>782</v>
      </c>
      <c r="C1219" s="15" t="str">
        <v>Joan Garcia</v>
      </c>
      <c r="D1219" s="15">
        <v>25</v>
      </c>
      <c r="E1219" s="15" t="str">
        <v>Spain</v>
      </c>
      <c r="F1219" s="15" t="str">
        <v>GK</v>
      </c>
      <c r="G1219" s="15" t="str">
        <v>Barcelona</v>
      </c>
      <c r="H1219" s="15">
        <v>13</v>
      </c>
      <c r="I1219" s="15" t="str">
        <f t="shared" si="105"/>
        <v>782|Joan Garcia|25|Spain|GK|Barcelona|13</v>
      </c>
      <c r="J1219" s="15" t="str">
        <f>IF(COUNTIF(I$438:I1219,I1219)&gt;1,"DOUBLON","OK")</f>
        <v>OK</v>
      </c>
      <c r="S1219" s="12" t="str">
        <v>Republic of Korea</v>
      </c>
      <c r="T1219" s="12" t="str">
        <f t="shared" si="102"/>
        <v>ERREUR</v>
      </c>
      <c r="U1219" s="12" t="str">
        <f t="shared" si="103"/>
        <v>RENOMMER</v>
      </c>
      <c r="V1219" s="12" t="str" cm="1">
        <f t="array" ref="V1219">_xlfn.IFS(
ISNUMBER(SEARCH("USA",S1219)),"United States",
ISNUMBER(SEARCH("Republic of Ireland",S1219)),"Ireland",
ISNUMBER(SEARCH("Republic of Korea",S1219)),"South Korea",
ISNUMBER(SEARCH("Cape Verde",S1219)),"Cabo Verde",
ISNUMBER(SEARCH("Czechia",S1219)),"Czech Republic",
ISNUMBER(SEARCH("Türkiye",S1219)),"Turkey",
ISNUMBER(SEARCH("Ivory Coast",S1219)),"Côte d'Ivoire",
ISNUMBER(SEARCH("Korea Republic",S1219)),"South Korea",
ISNUMBER(SEARCH("Germany FR",S1219)),"FR Germany",
ISNUMBER(SEARCH("West Germany",S1219)),"FR Germany",
ISNUMBER(SEARCH("Germany DR",S1219)),"DR Germany",
ISNUMBER(SEARCH("Korea DPR",S1219)),"North Korea",
ISNUMBER(SEARCH("China PR",S1219)),"China",
ISNUMBER(SEARCH("IR Iran",S1219)),"Iran",
ISNUMBER(SEARCH("Congo DR",S1219)),"Democratic Republic of the Congo",
ISNUMBER(SEARCH("DR Congo",S1219)),"Democratic Republic of the Congo",
ISNUMBER(SEARCH("German DR",S1219)),"DR Germany",
ISNUMBER(SEARCH("rn""&gt;United Arab Emirates",S1219)),"United Arab Emirates",
ISNUMBER(SEARCH("rn""&gt;Republic of Ireland",S1219)),"Ireland",
ISNUMBER(SEARCH("rn""&gt;Bosnia and Herzegovina",S1219)),"Bosnia and Herzegovina",
ISNUMBER(SEARCH("rn""&gt;Trinidad and Tobago",S1219)),"Trinidad and Tobago",
ISNUMBER(SEARCH("rn""&gt;Serbia and Montenegro",S1219)),"Serbia and Montenegro",
ISNUMBER(SEARCH(_xlfn.UNICHAR(65533),S1219)),"Côte d'Ivoire",
TRUE,""
)</f>
        <v>South Korea</v>
      </c>
      <c r="W1219" s="12" t="str">
        <f t="shared" si="104"/>
        <v>South Korea</v>
      </c>
    </row>
    <row r="1220" spans="2:23">
      <c r="B1220" s="75">
        <v>783</v>
      </c>
      <c r="C1220" s="15" t="str">
        <v>Unai Simón</v>
      </c>
      <c r="D1220" s="15">
        <v>29</v>
      </c>
      <c r="E1220" s="15" t="str">
        <v>Spain</v>
      </c>
      <c r="F1220" s="15" t="str">
        <v>GK</v>
      </c>
      <c r="G1220" s="15" t="str">
        <v>Athletic Bilbao</v>
      </c>
      <c r="H1220" s="15">
        <v>23</v>
      </c>
      <c r="I1220" s="15" t="str">
        <f t="shared" si="105"/>
        <v>783|Unai Simón|29|Spain|GK|Athletic Bilbao|23</v>
      </c>
      <c r="J1220" s="15" t="str">
        <f>IF(COUNTIF(I$438:I1220,I1220)&gt;1,"DOUBLON","OK")</f>
        <v>OK</v>
      </c>
      <c r="S1220" s="12" t="str">
        <v>Republic of Korea</v>
      </c>
      <c r="T1220" s="12" t="str">
        <f t="shared" si="102"/>
        <v>ERREUR</v>
      </c>
      <c r="U1220" s="12" t="str">
        <f t="shared" si="103"/>
        <v>RENOMMER</v>
      </c>
      <c r="V1220" s="12" t="str" cm="1">
        <f t="array" ref="V1220">_xlfn.IFS(
ISNUMBER(SEARCH("USA",S1220)),"United States",
ISNUMBER(SEARCH("Republic of Ireland",S1220)),"Ireland",
ISNUMBER(SEARCH("Republic of Korea",S1220)),"South Korea",
ISNUMBER(SEARCH("Cape Verde",S1220)),"Cabo Verde",
ISNUMBER(SEARCH("Czechia",S1220)),"Czech Republic",
ISNUMBER(SEARCH("Türkiye",S1220)),"Turkey",
ISNUMBER(SEARCH("Ivory Coast",S1220)),"Côte d'Ivoire",
ISNUMBER(SEARCH("Korea Republic",S1220)),"South Korea",
ISNUMBER(SEARCH("Germany FR",S1220)),"FR Germany",
ISNUMBER(SEARCH("West Germany",S1220)),"FR Germany",
ISNUMBER(SEARCH("Germany DR",S1220)),"DR Germany",
ISNUMBER(SEARCH("Korea DPR",S1220)),"North Korea",
ISNUMBER(SEARCH("China PR",S1220)),"China",
ISNUMBER(SEARCH("IR Iran",S1220)),"Iran",
ISNUMBER(SEARCH("Congo DR",S1220)),"Democratic Republic of the Congo",
ISNUMBER(SEARCH("DR Congo",S1220)),"Democratic Republic of the Congo",
ISNUMBER(SEARCH("German DR",S1220)),"DR Germany",
ISNUMBER(SEARCH("rn""&gt;United Arab Emirates",S1220)),"United Arab Emirates",
ISNUMBER(SEARCH("rn""&gt;Republic of Ireland",S1220)),"Ireland",
ISNUMBER(SEARCH("rn""&gt;Bosnia and Herzegovina",S1220)),"Bosnia and Herzegovina",
ISNUMBER(SEARCH("rn""&gt;Trinidad and Tobago",S1220)),"Trinidad and Tobago",
ISNUMBER(SEARCH("rn""&gt;Serbia and Montenegro",S1220)),"Serbia and Montenegro",
ISNUMBER(SEARCH(_xlfn.UNICHAR(65533),S1220)),"Côte d'Ivoire",
TRUE,""
)</f>
        <v>South Korea</v>
      </c>
      <c r="W1220" s="12" t="str">
        <f t="shared" si="104"/>
        <v>South Korea</v>
      </c>
    </row>
    <row r="1221" spans="2:23">
      <c r="B1221" s="75">
        <v>784</v>
      </c>
      <c r="C1221" s="15" t="str">
        <v>Eric García</v>
      </c>
      <c r="D1221" s="15">
        <v>25</v>
      </c>
      <c r="E1221" s="15" t="str">
        <v>Spain</v>
      </c>
      <c r="F1221" s="15" t="str">
        <v>CB</v>
      </c>
      <c r="G1221" s="15" t="str">
        <v>Barcelona</v>
      </c>
      <c r="H1221" s="15">
        <v>4</v>
      </c>
      <c r="I1221" s="15" t="str">
        <f t="shared" si="105"/>
        <v>784|Eric García|25|Spain|CB|Barcelona|4</v>
      </c>
      <c r="J1221" s="15" t="str">
        <f>IF(COUNTIF(I$438:I1221,I1221)&gt;1,"DOUBLON","OK")</f>
        <v>OK</v>
      </c>
      <c r="S1221" s="12" t="str">
        <v>Republic of Korea</v>
      </c>
      <c r="T1221" s="12" t="str">
        <f t="shared" si="102"/>
        <v>ERREUR</v>
      </c>
      <c r="U1221" s="12" t="str">
        <f t="shared" si="103"/>
        <v>RENOMMER</v>
      </c>
      <c r="V1221" s="12" t="str" cm="1">
        <f t="array" ref="V1221">_xlfn.IFS(
ISNUMBER(SEARCH("USA",S1221)),"United States",
ISNUMBER(SEARCH("Republic of Ireland",S1221)),"Ireland",
ISNUMBER(SEARCH("Republic of Korea",S1221)),"South Korea",
ISNUMBER(SEARCH("Cape Verde",S1221)),"Cabo Verde",
ISNUMBER(SEARCH("Czechia",S1221)),"Czech Republic",
ISNUMBER(SEARCH("Türkiye",S1221)),"Turkey",
ISNUMBER(SEARCH("Ivory Coast",S1221)),"Côte d'Ivoire",
ISNUMBER(SEARCH("Korea Republic",S1221)),"South Korea",
ISNUMBER(SEARCH("Germany FR",S1221)),"FR Germany",
ISNUMBER(SEARCH("West Germany",S1221)),"FR Germany",
ISNUMBER(SEARCH("Germany DR",S1221)),"DR Germany",
ISNUMBER(SEARCH("Korea DPR",S1221)),"North Korea",
ISNUMBER(SEARCH("China PR",S1221)),"China",
ISNUMBER(SEARCH("IR Iran",S1221)),"Iran",
ISNUMBER(SEARCH("Congo DR",S1221)),"Democratic Republic of the Congo",
ISNUMBER(SEARCH("DR Congo",S1221)),"Democratic Republic of the Congo",
ISNUMBER(SEARCH("German DR",S1221)),"DR Germany",
ISNUMBER(SEARCH("rn""&gt;United Arab Emirates",S1221)),"United Arab Emirates",
ISNUMBER(SEARCH("rn""&gt;Republic of Ireland",S1221)),"Ireland",
ISNUMBER(SEARCH("rn""&gt;Bosnia and Herzegovina",S1221)),"Bosnia and Herzegovina",
ISNUMBER(SEARCH("rn""&gt;Trinidad and Tobago",S1221)),"Trinidad and Tobago",
ISNUMBER(SEARCH("rn""&gt;Serbia and Montenegro",S1221)),"Serbia and Montenegro",
ISNUMBER(SEARCH(_xlfn.UNICHAR(65533),S1221)),"Côte d'Ivoire",
TRUE,""
)</f>
        <v>South Korea</v>
      </c>
      <c r="W1221" s="12" t="str">
        <f t="shared" si="104"/>
        <v>South Korea</v>
      </c>
    </row>
    <row r="1222" spans="2:23">
      <c r="B1222" s="75">
        <v>785</v>
      </c>
      <c r="C1222" s="15" t="str">
        <v>Aymeric Laporte</v>
      </c>
      <c r="D1222" s="15">
        <v>32</v>
      </c>
      <c r="E1222" s="15" t="str">
        <v>Spain</v>
      </c>
      <c r="F1222" s="15" t="str">
        <v>CB</v>
      </c>
      <c r="G1222" s="15" t="str">
        <v>Athletic Bilbao</v>
      </c>
      <c r="H1222" s="15">
        <v>14</v>
      </c>
      <c r="I1222" s="15" t="str">
        <f t="shared" si="105"/>
        <v>785|Aymeric Laporte|32|Spain|CB|Athletic Bilbao|14</v>
      </c>
      <c r="J1222" s="15" t="str">
        <f>IF(COUNTIF(I$438:I1222,I1222)&gt;1,"DOUBLON","OK")</f>
        <v>OK</v>
      </c>
      <c r="S1222" s="12" t="str">
        <v>Republic of Korea</v>
      </c>
      <c r="T1222" s="12" t="str">
        <f t="shared" si="102"/>
        <v>ERREUR</v>
      </c>
      <c r="U1222" s="12" t="str">
        <f t="shared" si="103"/>
        <v>RENOMMER</v>
      </c>
      <c r="V1222" s="12" t="str" cm="1">
        <f t="array" ref="V1222">_xlfn.IFS(
ISNUMBER(SEARCH("USA",S1222)),"United States",
ISNUMBER(SEARCH("Republic of Ireland",S1222)),"Ireland",
ISNUMBER(SEARCH("Republic of Korea",S1222)),"South Korea",
ISNUMBER(SEARCH("Cape Verde",S1222)),"Cabo Verde",
ISNUMBER(SEARCH("Czechia",S1222)),"Czech Republic",
ISNUMBER(SEARCH("Türkiye",S1222)),"Turkey",
ISNUMBER(SEARCH("Ivory Coast",S1222)),"Côte d'Ivoire",
ISNUMBER(SEARCH("Korea Republic",S1222)),"South Korea",
ISNUMBER(SEARCH("Germany FR",S1222)),"FR Germany",
ISNUMBER(SEARCH("West Germany",S1222)),"FR Germany",
ISNUMBER(SEARCH("Germany DR",S1222)),"DR Germany",
ISNUMBER(SEARCH("Korea DPR",S1222)),"North Korea",
ISNUMBER(SEARCH("China PR",S1222)),"China",
ISNUMBER(SEARCH("IR Iran",S1222)),"Iran",
ISNUMBER(SEARCH("Congo DR",S1222)),"Democratic Republic of the Congo",
ISNUMBER(SEARCH("DR Congo",S1222)),"Democratic Republic of the Congo",
ISNUMBER(SEARCH("German DR",S1222)),"DR Germany",
ISNUMBER(SEARCH("rn""&gt;United Arab Emirates",S1222)),"United Arab Emirates",
ISNUMBER(SEARCH("rn""&gt;Republic of Ireland",S1222)),"Ireland",
ISNUMBER(SEARCH("rn""&gt;Bosnia and Herzegovina",S1222)),"Bosnia and Herzegovina",
ISNUMBER(SEARCH("rn""&gt;Trinidad and Tobago",S1222)),"Trinidad and Tobago",
ISNUMBER(SEARCH("rn""&gt;Serbia and Montenegro",S1222)),"Serbia and Montenegro",
ISNUMBER(SEARCH(_xlfn.UNICHAR(65533),S1222)),"Côte d'Ivoire",
TRUE,""
)</f>
        <v>South Korea</v>
      </c>
      <c r="W1222" s="12" t="str">
        <f t="shared" si="104"/>
        <v>South Korea</v>
      </c>
    </row>
    <row r="1223" spans="2:23">
      <c r="B1223" s="75">
        <v>786</v>
      </c>
      <c r="C1223" s="15" t="str">
        <v>Pau Cubarsí</v>
      </c>
      <c r="D1223" s="15">
        <v>19</v>
      </c>
      <c r="E1223" s="15" t="str">
        <v>Spain</v>
      </c>
      <c r="F1223" s="15" t="str">
        <v>CB</v>
      </c>
      <c r="G1223" s="15" t="str">
        <v>Barcelona</v>
      </c>
      <c r="H1223" s="15">
        <v>22</v>
      </c>
      <c r="I1223" s="15" t="str">
        <f t="shared" si="105"/>
        <v>786|Pau Cubarsí|19|Spain|CB|Barcelona|22</v>
      </c>
      <c r="J1223" s="15" t="str">
        <f>IF(COUNTIF(I$438:I1223,I1223)&gt;1,"DOUBLON","OK")</f>
        <v>OK</v>
      </c>
      <c r="S1223" s="12" t="str">
        <v>Republic of Korea</v>
      </c>
      <c r="T1223" s="12" t="str">
        <f t="shared" si="102"/>
        <v>ERREUR</v>
      </c>
      <c r="U1223" s="12" t="str">
        <f t="shared" si="103"/>
        <v>RENOMMER</v>
      </c>
      <c r="V1223" s="12" t="str" cm="1">
        <f t="array" ref="V1223">_xlfn.IFS(
ISNUMBER(SEARCH("USA",S1223)),"United States",
ISNUMBER(SEARCH("Republic of Ireland",S1223)),"Ireland",
ISNUMBER(SEARCH("Republic of Korea",S1223)),"South Korea",
ISNUMBER(SEARCH("Cape Verde",S1223)),"Cabo Verde",
ISNUMBER(SEARCH("Czechia",S1223)),"Czech Republic",
ISNUMBER(SEARCH("Türkiye",S1223)),"Turkey",
ISNUMBER(SEARCH("Ivory Coast",S1223)),"Côte d'Ivoire",
ISNUMBER(SEARCH("Korea Republic",S1223)),"South Korea",
ISNUMBER(SEARCH("Germany FR",S1223)),"FR Germany",
ISNUMBER(SEARCH("West Germany",S1223)),"FR Germany",
ISNUMBER(SEARCH("Germany DR",S1223)),"DR Germany",
ISNUMBER(SEARCH("Korea DPR",S1223)),"North Korea",
ISNUMBER(SEARCH("China PR",S1223)),"China",
ISNUMBER(SEARCH("IR Iran",S1223)),"Iran",
ISNUMBER(SEARCH("Congo DR",S1223)),"Democratic Republic of the Congo",
ISNUMBER(SEARCH("DR Congo",S1223)),"Democratic Republic of the Congo",
ISNUMBER(SEARCH("German DR",S1223)),"DR Germany",
ISNUMBER(SEARCH("rn""&gt;United Arab Emirates",S1223)),"United Arab Emirates",
ISNUMBER(SEARCH("rn""&gt;Republic of Ireland",S1223)),"Ireland",
ISNUMBER(SEARCH("rn""&gt;Bosnia and Herzegovina",S1223)),"Bosnia and Herzegovina",
ISNUMBER(SEARCH("rn""&gt;Trinidad and Tobago",S1223)),"Trinidad and Tobago",
ISNUMBER(SEARCH("rn""&gt;Serbia and Montenegro",S1223)),"Serbia and Montenegro",
ISNUMBER(SEARCH(_xlfn.UNICHAR(65533),S1223)),"Côte d'Ivoire",
TRUE,""
)</f>
        <v>South Korea</v>
      </c>
      <c r="W1223" s="12" t="str">
        <f t="shared" si="104"/>
        <v>South Korea</v>
      </c>
    </row>
    <row r="1224" spans="2:23">
      <c r="B1224" s="75">
        <v>787</v>
      </c>
      <c r="C1224" s="15" t="str">
        <v>Álex Grimaldo</v>
      </c>
      <c r="D1224" s="15">
        <v>30</v>
      </c>
      <c r="E1224" s="15" t="str">
        <v>Spain</v>
      </c>
      <c r="F1224" s="15" t="str">
        <v>LB</v>
      </c>
      <c r="G1224" s="15" t="str">
        <v>Bayer Leverkusen</v>
      </c>
      <c r="H1224" s="15">
        <v>3</v>
      </c>
      <c r="I1224" s="15" t="str">
        <f t="shared" si="105"/>
        <v>787|Álex Grimaldo|30|Spain|LB|Bayer Leverkusen|3</v>
      </c>
      <c r="J1224" s="15" t="str">
        <f>IF(COUNTIF(I$438:I1224,I1224)&gt;1,"DOUBLON","OK")</f>
        <v>OK</v>
      </c>
      <c r="S1224" s="12" t="str">
        <v>Republic of Korea</v>
      </c>
      <c r="T1224" s="12" t="str">
        <f t="shared" si="102"/>
        <v>ERREUR</v>
      </c>
      <c r="U1224" s="12" t="str">
        <f t="shared" si="103"/>
        <v>RENOMMER</v>
      </c>
      <c r="V1224" s="12" t="str" cm="1">
        <f t="array" ref="V1224">_xlfn.IFS(
ISNUMBER(SEARCH("USA",S1224)),"United States",
ISNUMBER(SEARCH("Republic of Ireland",S1224)),"Ireland",
ISNUMBER(SEARCH("Republic of Korea",S1224)),"South Korea",
ISNUMBER(SEARCH("Cape Verde",S1224)),"Cabo Verde",
ISNUMBER(SEARCH("Czechia",S1224)),"Czech Republic",
ISNUMBER(SEARCH("Türkiye",S1224)),"Turkey",
ISNUMBER(SEARCH("Ivory Coast",S1224)),"Côte d'Ivoire",
ISNUMBER(SEARCH("Korea Republic",S1224)),"South Korea",
ISNUMBER(SEARCH("Germany FR",S1224)),"FR Germany",
ISNUMBER(SEARCH("West Germany",S1224)),"FR Germany",
ISNUMBER(SEARCH("Germany DR",S1224)),"DR Germany",
ISNUMBER(SEARCH("Korea DPR",S1224)),"North Korea",
ISNUMBER(SEARCH("China PR",S1224)),"China",
ISNUMBER(SEARCH("IR Iran",S1224)),"Iran",
ISNUMBER(SEARCH("Congo DR",S1224)),"Democratic Republic of the Congo",
ISNUMBER(SEARCH("DR Congo",S1224)),"Democratic Republic of the Congo",
ISNUMBER(SEARCH("German DR",S1224)),"DR Germany",
ISNUMBER(SEARCH("rn""&gt;United Arab Emirates",S1224)),"United Arab Emirates",
ISNUMBER(SEARCH("rn""&gt;Republic of Ireland",S1224)),"Ireland",
ISNUMBER(SEARCH("rn""&gt;Bosnia and Herzegovina",S1224)),"Bosnia and Herzegovina",
ISNUMBER(SEARCH("rn""&gt;Trinidad and Tobago",S1224)),"Trinidad and Tobago",
ISNUMBER(SEARCH("rn""&gt;Serbia and Montenegro",S1224)),"Serbia and Montenegro",
ISNUMBER(SEARCH(_xlfn.UNICHAR(65533),S1224)),"Côte d'Ivoire",
TRUE,""
)</f>
        <v>South Korea</v>
      </c>
      <c r="W1224" s="12" t="str">
        <f t="shared" si="104"/>
        <v>South Korea</v>
      </c>
    </row>
    <row r="1225" spans="2:23">
      <c r="B1225" s="75">
        <v>788</v>
      </c>
      <c r="C1225" s="15" t="str">
        <v>Marc Cucurella</v>
      </c>
      <c r="D1225" s="15">
        <v>27</v>
      </c>
      <c r="E1225" s="15" t="str">
        <v>Spain</v>
      </c>
      <c r="F1225" s="15" t="str">
        <v>LB</v>
      </c>
      <c r="G1225" s="15" t="str">
        <v>Chelsea</v>
      </c>
      <c r="H1225" s="15">
        <v>24</v>
      </c>
      <c r="I1225" s="15" t="str">
        <f t="shared" si="105"/>
        <v>788|Marc Cucurella|27|Spain|LB|Chelsea|24</v>
      </c>
      <c r="J1225" s="15" t="str">
        <f>IF(COUNTIF(I$438:I1225,I1225)&gt;1,"DOUBLON","OK")</f>
        <v>OK</v>
      </c>
      <c r="S1225" s="12" t="str">
        <v>Bosnia and Herzegovina</v>
      </c>
      <c r="T1225" s="12" t="str">
        <f t="shared" si="102"/>
        <v>OK</v>
      </c>
      <c r="U1225" s="12" t="str">
        <f t="shared" si="103"/>
        <v>-</v>
      </c>
      <c r="V1225" s="12" t="str" cm="1">
        <f t="array" ref="V1225">_xlfn.IFS(
ISNUMBER(SEARCH("USA",S1225)),"United States",
ISNUMBER(SEARCH("Republic of Ireland",S1225)),"Ireland",
ISNUMBER(SEARCH("Republic of Korea",S1225)),"South Korea",
ISNUMBER(SEARCH("Cape Verde",S1225)),"Cabo Verde",
ISNUMBER(SEARCH("Czechia",S1225)),"Czech Republic",
ISNUMBER(SEARCH("Türkiye",S1225)),"Turkey",
ISNUMBER(SEARCH("Ivory Coast",S1225)),"Côte d'Ivoire",
ISNUMBER(SEARCH("Korea Republic",S1225)),"South Korea",
ISNUMBER(SEARCH("Germany FR",S1225)),"FR Germany",
ISNUMBER(SEARCH("West Germany",S1225)),"FR Germany",
ISNUMBER(SEARCH("Germany DR",S1225)),"DR Germany",
ISNUMBER(SEARCH("Korea DPR",S1225)),"North Korea",
ISNUMBER(SEARCH("China PR",S1225)),"China",
ISNUMBER(SEARCH("IR Iran",S1225)),"Iran",
ISNUMBER(SEARCH("Congo DR",S1225)),"Democratic Republic of the Congo",
ISNUMBER(SEARCH("DR Congo",S1225)),"Democratic Republic of the Congo",
ISNUMBER(SEARCH("German DR",S1225)),"DR Germany",
ISNUMBER(SEARCH("rn""&gt;United Arab Emirates",S1225)),"United Arab Emirates",
ISNUMBER(SEARCH("rn""&gt;Republic of Ireland",S1225)),"Ireland",
ISNUMBER(SEARCH("rn""&gt;Bosnia and Herzegovina",S1225)),"Bosnia and Herzegovina",
ISNUMBER(SEARCH("rn""&gt;Trinidad and Tobago",S1225)),"Trinidad and Tobago",
ISNUMBER(SEARCH("rn""&gt;Serbia and Montenegro",S1225)),"Serbia and Montenegro",
ISNUMBER(SEARCH(_xlfn.UNICHAR(65533),S1225)),"Côte d'Ivoire",
TRUE,""
)</f>
        <v/>
      </c>
      <c r="W1225" s="12" t="str">
        <f t="shared" si="104"/>
        <v>Bosnia and Herzegovina</v>
      </c>
    </row>
    <row r="1226" spans="2:23">
      <c r="B1226" s="75">
        <v>789</v>
      </c>
      <c r="C1226" s="15" t="str">
        <v>Marc Pubill</v>
      </c>
      <c r="D1226" s="15">
        <v>22</v>
      </c>
      <c r="E1226" s="15" t="str">
        <v>Spain</v>
      </c>
      <c r="F1226" s="15" t="str">
        <v>RB</v>
      </c>
      <c r="G1226" s="15" t="str">
        <v>Atlético Madrid</v>
      </c>
      <c r="H1226" s="15">
        <v>2</v>
      </c>
      <c r="I1226" s="15" t="str">
        <f t="shared" si="105"/>
        <v>789|Marc Pubill|22|Spain|RB|Atlético Madrid|2</v>
      </c>
      <c r="J1226" s="15" t="str">
        <f>IF(COUNTIF(I$438:I1226,I1226)&gt;1,"DOUBLON","OK")</f>
        <v>OK</v>
      </c>
      <c r="S1226" s="12" t="str">
        <v>Bosnia and Herzegovina</v>
      </c>
      <c r="T1226" s="12" t="str">
        <f t="shared" si="102"/>
        <v>OK</v>
      </c>
      <c r="U1226" s="12" t="str">
        <f t="shared" si="103"/>
        <v>-</v>
      </c>
      <c r="V1226" s="12" t="str" cm="1">
        <f t="array" ref="V1226">_xlfn.IFS(
ISNUMBER(SEARCH("USA",S1226)),"United States",
ISNUMBER(SEARCH("Republic of Ireland",S1226)),"Ireland",
ISNUMBER(SEARCH("Republic of Korea",S1226)),"South Korea",
ISNUMBER(SEARCH("Cape Verde",S1226)),"Cabo Verde",
ISNUMBER(SEARCH("Czechia",S1226)),"Czech Republic",
ISNUMBER(SEARCH("Türkiye",S1226)),"Turkey",
ISNUMBER(SEARCH("Ivory Coast",S1226)),"Côte d'Ivoire",
ISNUMBER(SEARCH("Korea Republic",S1226)),"South Korea",
ISNUMBER(SEARCH("Germany FR",S1226)),"FR Germany",
ISNUMBER(SEARCH("West Germany",S1226)),"FR Germany",
ISNUMBER(SEARCH("Germany DR",S1226)),"DR Germany",
ISNUMBER(SEARCH("Korea DPR",S1226)),"North Korea",
ISNUMBER(SEARCH("China PR",S1226)),"China",
ISNUMBER(SEARCH("IR Iran",S1226)),"Iran",
ISNUMBER(SEARCH("Congo DR",S1226)),"Democratic Republic of the Congo",
ISNUMBER(SEARCH("DR Congo",S1226)),"Democratic Republic of the Congo",
ISNUMBER(SEARCH("German DR",S1226)),"DR Germany",
ISNUMBER(SEARCH("rn""&gt;United Arab Emirates",S1226)),"United Arab Emirates",
ISNUMBER(SEARCH("rn""&gt;Republic of Ireland",S1226)),"Ireland",
ISNUMBER(SEARCH("rn""&gt;Bosnia and Herzegovina",S1226)),"Bosnia and Herzegovina",
ISNUMBER(SEARCH("rn""&gt;Trinidad and Tobago",S1226)),"Trinidad and Tobago",
ISNUMBER(SEARCH("rn""&gt;Serbia and Montenegro",S1226)),"Serbia and Montenegro",
ISNUMBER(SEARCH(_xlfn.UNICHAR(65533),S1226)),"Côte d'Ivoire",
TRUE,""
)</f>
        <v/>
      </c>
      <c r="W1226" s="12" t="str">
        <f t="shared" si="104"/>
        <v>Bosnia and Herzegovina</v>
      </c>
    </row>
    <row r="1227" spans="2:23">
      <c r="B1227" s="75">
        <v>790</v>
      </c>
      <c r="C1227" s="15" t="str">
        <v>Marcos Llorente</v>
      </c>
      <c r="D1227" s="15">
        <v>31</v>
      </c>
      <c r="E1227" s="15" t="str">
        <v>Spain</v>
      </c>
      <c r="F1227" s="15" t="str">
        <v>RB</v>
      </c>
      <c r="G1227" s="15" t="str">
        <v>Atlético Madrid</v>
      </c>
      <c r="H1227" s="15">
        <v>5</v>
      </c>
      <c r="I1227" s="15" t="str">
        <f t="shared" si="105"/>
        <v>790|Marcos Llorente|31|Spain|RB|Atlético Madrid|5</v>
      </c>
      <c r="J1227" s="15" t="str">
        <f>IF(COUNTIF(I$438:I1227,I1227)&gt;1,"DOUBLON","OK")</f>
        <v>OK</v>
      </c>
      <c r="S1227" s="12" t="str">
        <v>Bosnia and Herzegovina</v>
      </c>
      <c r="T1227" s="12" t="str">
        <f t="shared" si="102"/>
        <v>OK</v>
      </c>
      <c r="U1227" s="12" t="str">
        <f t="shared" si="103"/>
        <v>-</v>
      </c>
      <c r="V1227" s="12" t="str" cm="1">
        <f t="array" ref="V1227">_xlfn.IFS(
ISNUMBER(SEARCH("USA",S1227)),"United States",
ISNUMBER(SEARCH("Republic of Ireland",S1227)),"Ireland",
ISNUMBER(SEARCH("Republic of Korea",S1227)),"South Korea",
ISNUMBER(SEARCH("Cape Verde",S1227)),"Cabo Verde",
ISNUMBER(SEARCH("Czechia",S1227)),"Czech Republic",
ISNUMBER(SEARCH("Türkiye",S1227)),"Turkey",
ISNUMBER(SEARCH("Ivory Coast",S1227)),"Côte d'Ivoire",
ISNUMBER(SEARCH("Korea Republic",S1227)),"South Korea",
ISNUMBER(SEARCH("Germany FR",S1227)),"FR Germany",
ISNUMBER(SEARCH("West Germany",S1227)),"FR Germany",
ISNUMBER(SEARCH("Germany DR",S1227)),"DR Germany",
ISNUMBER(SEARCH("Korea DPR",S1227)),"North Korea",
ISNUMBER(SEARCH("China PR",S1227)),"China",
ISNUMBER(SEARCH("IR Iran",S1227)),"Iran",
ISNUMBER(SEARCH("Congo DR",S1227)),"Democratic Republic of the Congo",
ISNUMBER(SEARCH("DR Congo",S1227)),"Democratic Republic of the Congo",
ISNUMBER(SEARCH("German DR",S1227)),"DR Germany",
ISNUMBER(SEARCH("rn""&gt;United Arab Emirates",S1227)),"United Arab Emirates",
ISNUMBER(SEARCH("rn""&gt;Republic of Ireland",S1227)),"Ireland",
ISNUMBER(SEARCH("rn""&gt;Bosnia and Herzegovina",S1227)),"Bosnia and Herzegovina",
ISNUMBER(SEARCH("rn""&gt;Trinidad and Tobago",S1227)),"Trinidad and Tobago",
ISNUMBER(SEARCH("rn""&gt;Serbia and Montenegro",S1227)),"Serbia and Montenegro",
ISNUMBER(SEARCH(_xlfn.UNICHAR(65533),S1227)),"Côte d'Ivoire",
TRUE,""
)</f>
        <v/>
      </c>
      <c r="W1227" s="12" t="str">
        <f t="shared" si="104"/>
        <v>Bosnia and Herzegovina</v>
      </c>
    </row>
    <row r="1228" spans="2:23">
      <c r="B1228" s="75">
        <v>791</v>
      </c>
      <c r="C1228" s="15" t="str">
        <v>Pedro Porro</v>
      </c>
      <c r="D1228" s="15">
        <v>26</v>
      </c>
      <c r="E1228" s="15" t="str">
        <v>Spain</v>
      </c>
      <c r="F1228" s="15" t="str">
        <v>RB</v>
      </c>
      <c r="G1228" s="15" t="str">
        <v>Tottenham Hotspur</v>
      </c>
      <c r="H1228" s="15">
        <v>12</v>
      </c>
      <c r="I1228" s="15" t="str">
        <f t="shared" si="105"/>
        <v>791|Pedro Porro|26|Spain|RB|Tottenham Hotspur|12</v>
      </c>
      <c r="J1228" s="15" t="str">
        <f>IF(COUNTIF(I$438:I1228,I1228)&gt;1,"DOUBLON","OK")</f>
        <v>OK</v>
      </c>
      <c r="S1228" s="12" t="str">
        <v>Bosnia and Herzegovina</v>
      </c>
      <c r="T1228" s="12" t="str">
        <f t="shared" si="102"/>
        <v>OK</v>
      </c>
      <c r="U1228" s="12" t="str">
        <f t="shared" si="103"/>
        <v>-</v>
      </c>
      <c r="V1228" s="12" t="str" cm="1">
        <f t="array" ref="V1228">_xlfn.IFS(
ISNUMBER(SEARCH("USA",S1228)),"United States",
ISNUMBER(SEARCH("Republic of Ireland",S1228)),"Ireland",
ISNUMBER(SEARCH("Republic of Korea",S1228)),"South Korea",
ISNUMBER(SEARCH("Cape Verde",S1228)),"Cabo Verde",
ISNUMBER(SEARCH("Czechia",S1228)),"Czech Republic",
ISNUMBER(SEARCH("Türkiye",S1228)),"Turkey",
ISNUMBER(SEARCH("Ivory Coast",S1228)),"Côte d'Ivoire",
ISNUMBER(SEARCH("Korea Republic",S1228)),"South Korea",
ISNUMBER(SEARCH("Germany FR",S1228)),"FR Germany",
ISNUMBER(SEARCH("West Germany",S1228)),"FR Germany",
ISNUMBER(SEARCH("Germany DR",S1228)),"DR Germany",
ISNUMBER(SEARCH("Korea DPR",S1228)),"North Korea",
ISNUMBER(SEARCH("China PR",S1228)),"China",
ISNUMBER(SEARCH("IR Iran",S1228)),"Iran",
ISNUMBER(SEARCH("Congo DR",S1228)),"Democratic Republic of the Congo",
ISNUMBER(SEARCH("DR Congo",S1228)),"Democratic Republic of the Congo",
ISNUMBER(SEARCH("German DR",S1228)),"DR Germany",
ISNUMBER(SEARCH("rn""&gt;United Arab Emirates",S1228)),"United Arab Emirates",
ISNUMBER(SEARCH("rn""&gt;Republic of Ireland",S1228)),"Ireland",
ISNUMBER(SEARCH("rn""&gt;Bosnia and Herzegovina",S1228)),"Bosnia and Herzegovina",
ISNUMBER(SEARCH("rn""&gt;Trinidad and Tobago",S1228)),"Trinidad and Tobago",
ISNUMBER(SEARCH("rn""&gt;Serbia and Montenegro",S1228)),"Serbia and Montenegro",
ISNUMBER(SEARCH(_xlfn.UNICHAR(65533),S1228)),"Côte d'Ivoire",
TRUE,""
)</f>
        <v/>
      </c>
      <c r="W1228" s="12" t="str">
        <f t="shared" si="104"/>
        <v>Bosnia and Herzegovina</v>
      </c>
    </row>
    <row r="1229" spans="2:23">
      <c r="B1229" s="75">
        <v>792</v>
      </c>
      <c r="C1229" s="15" t="str">
        <v>Rodri</v>
      </c>
      <c r="D1229" s="15">
        <v>29</v>
      </c>
      <c r="E1229" s="15" t="str">
        <v>Spain</v>
      </c>
      <c r="F1229" s="15" t="str">
        <v>CDM</v>
      </c>
      <c r="G1229" s="15" t="str">
        <v>Manchester City</v>
      </c>
      <c r="H1229" s="15">
        <v>16</v>
      </c>
      <c r="I1229" s="15" t="str">
        <f t="shared" si="105"/>
        <v>792|Rodri|29|Spain|CDM|Manchester City|16</v>
      </c>
      <c r="J1229" s="15" t="str">
        <f>IF(COUNTIF(I$438:I1229,I1229)&gt;1,"DOUBLON","OK")</f>
        <v>OK</v>
      </c>
      <c r="S1229" s="12" t="str">
        <v>Bosnia and Herzegovina</v>
      </c>
      <c r="T1229" s="12" t="str">
        <f t="shared" si="102"/>
        <v>OK</v>
      </c>
      <c r="U1229" s="12" t="str">
        <f t="shared" si="103"/>
        <v>-</v>
      </c>
      <c r="V1229" s="12" t="str" cm="1">
        <f t="array" ref="V1229">_xlfn.IFS(
ISNUMBER(SEARCH("USA",S1229)),"United States",
ISNUMBER(SEARCH("Republic of Ireland",S1229)),"Ireland",
ISNUMBER(SEARCH("Republic of Korea",S1229)),"South Korea",
ISNUMBER(SEARCH("Cape Verde",S1229)),"Cabo Verde",
ISNUMBER(SEARCH("Czechia",S1229)),"Czech Republic",
ISNUMBER(SEARCH("Türkiye",S1229)),"Turkey",
ISNUMBER(SEARCH("Ivory Coast",S1229)),"Côte d'Ivoire",
ISNUMBER(SEARCH("Korea Republic",S1229)),"South Korea",
ISNUMBER(SEARCH("Germany FR",S1229)),"FR Germany",
ISNUMBER(SEARCH("West Germany",S1229)),"FR Germany",
ISNUMBER(SEARCH("Germany DR",S1229)),"DR Germany",
ISNUMBER(SEARCH("Korea DPR",S1229)),"North Korea",
ISNUMBER(SEARCH("China PR",S1229)),"China",
ISNUMBER(SEARCH("IR Iran",S1229)),"Iran",
ISNUMBER(SEARCH("Congo DR",S1229)),"Democratic Republic of the Congo",
ISNUMBER(SEARCH("DR Congo",S1229)),"Democratic Republic of the Congo",
ISNUMBER(SEARCH("German DR",S1229)),"DR Germany",
ISNUMBER(SEARCH("rn""&gt;United Arab Emirates",S1229)),"United Arab Emirates",
ISNUMBER(SEARCH("rn""&gt;Republic of Ireland",S1229)),"Ireland",
ISNUMBER(SEARCH("rn""&gt;Bosnia and Herzegovina",S1229)),"Bosnia and Herzegovina",
ISNUMBER(SEARCH("rn""&gt;Trinidad and Tobago",S1229)),"Trinidad and Tobago",
ISNUMBER(SEARCH("rn""&gt;Serbia and Montenegro",S1229)),"Serbia and Montenegro",
ISNUMBER(SEARCH(_xlfn.UNICHAR(65533),S1229)),"Côte d'Ivoire",
TRUE,""
)</f>
        <v/>
      </c>
      <c r="W1229" s="12" t="str">
        <f t="shared" si="104"/>
        <v>Bosnia and Herzegovina</v>
      </c>
    </row>
    <row r="1230" spans="2:23">
      <c r="B1230" s="75">
        <v>793</v>
      </c>
      <c r="C1230" s="15" t="str">
        <v>Martín Zubimendi</v>
      </c>
      <c r="D1230" s="15">
        <v>27</v>
      </c>
      <c r="E1230" s="15" t="str">
        <v>Spain</v>
      </c>
      <c r="F1230" s="15" t="str">
        <v>CDM</v>
      </c>
      <c r="G1230" s="15" t="str">
        <v>Arsenal</v>
      </c>
      <c r="H1230" s="15">
        <v>18</v>
      </c>
      <c r="I1230" s="15" t="str">
        <f t="shared" si="105"/>
        <v>793|Martín Zubimendi|27|Spain|CDM|Arsenal|18</v>
      </c>
      <c r="J1230" s="15" t="str">
        <f>IF(COUNTIF(I$438:I1230,I1230)&gt;1,"DOUBLON","OK")</f>
        <v>OK</v>
      </c>
      <c r="S1230" s="12" t="str">
        <v>Bosnia and Herzegovina</v>
      </c>
      <c r="T1230" s="12" t="str">
        <f t="shared" si="102"/>
        <v>OK</v>
      </c>
      <c r="U1230" s="12" t="str">
        <f t="shared" si="103"/>
        <v>-</v>
      </c>
      <c r="V1230" s="12" t="str" cm="1">
        <f t="array" ref="V1230">_xlfn.IFS(
ISNUMBER(SEARCH("USA",S1230)),"United States",
ISNUMBER(SEARCH("Republic of Ireland",S1230)),"Ireland",
ISNUMBER(SEARCH("Republic of Korea",S1230)),"South Korea",
ISNUMBER(SEARCH("Cape Verde",S1230)),"Cabo Verde",
ISNUMBER(SEARCH("Czechia",S1230)),"Czech Republic",
ISNUMBER(SEARCH("Türkiye",S1230)),"Turkey",
ISNUMBER(SEARCH("Ivory Coast",S1230)),"Côte d'Ivoire",
ISNUMBER(SEARCH("Korea Republic",S1230)),"South Korea",
ISNUMBER(SEARCH("Germany FR",S1230)),"FR Germany",
ISNUMBER(SEARCH("West Germany",S1230)),"FR Germany",
ISNUMBER(SEARCH("Germany DR",S1230)),"DR Germany",
ISNUMBER(SEARCH("Korea DPR",S1230)),"North Korea",
ISNUMBER(SEARCH("China PR",S1230)),"China",
ISNUMBER(SEARCH("IR Iran",S1230)),"Iran",
ISNUMBER(SEARCH("Congo DR",S1230)),"Democratic Republic of the Congo",
ISNUMBER(SEARCH("DR Congo",S1230)),"Democratic Republic of the Congo",
ISNUMBER(SEARCH("German DR",S1230)),"DR Germany",
ISNUMBER(SEARCH("rn""&gt;United Arab Emirates",S1230)),"United Arab Emirates",
ISNUMBER(SEARCH("rn""&gt;Republic of Ireland",S1230)),"Ireland",
ISNUMBER(SEARCH("rn""&gt;Bosnia and Herzegovina",S1230)),"Bosnia and Herzegovina",
ISNUMBER(SEARCH("rn""&gt;Trinidad and Tobago",S1230)),"Trinidad and Tobago",
ISNUMBER(SEARCH("rn""&gt;Serbia and Montenegro",S1230)),"Serbia and Montenegro",
ISNUMBER(SEARCH(_xlfn.UNICHAR(65533),S1230)),"Côte d'Ivoire",
TRUE,""
)</f>
        <v/>
      </c>
      <c r="W1230" s="12" t="str">
        <f t="shared" si="104"/>
        <v>Bosnia and Herzegovina</v>
      </c>
    </row>
    <row r="1231" spans="2:23">
      <c r="B1231" s="75">
        <v>794</v>
      </c>
      <c r="C1231" s="15" t="str">
        <v>Mikel Merino</v>
      </c>
      <c r="D1231" s="15">
        <v>29</v>
      </c>
      <c r="E1231" s="15" t="str">
        <v>Spain</v>
      </c>
      <c r="F1231" s="15" t="str">
        <v>CM</v>
      </c>
      <c r="G1231" s="15" t="str">
        <v>Arsenal</v>
      </c>
      <c r="H1231" s="15">
        <v>6</v>
      </c>
      <c r="I1231" s="15" t="str">
        <f t="shared" si="105"/>
        <v>794|Mikel Merino|29|Spain|CM|Arsenal|6</v>
      </c>
      <c r="J1231" s="15" t="str">
        <f>IF(COUNTIF(I$438:I1231,I1231)&gt;1,"DOUBLON","OK")</f>
        <v>OK</v>
      </c>
      <c r="S1231" s="12" t="str">
        <v>Bosnia and Herzegovina</v>
      </c>
      <c r="T1231" s="12" t="str">
        <f t="shared" si="102"/>
        <v>OK</v>
      </c>
      <c r="U1231" s="12" t="str">
        <f t="shared" si="103"/>
        <v>-</v>
      </c>
      <c r="V1231" s="12" t="str" cm="1">
        <f t="array" ref="V1231">_xlfn.IFS(
ISNUMBER(SEARCH("USA",S1231)),"United States",
ISNUMBER(SEARCH("Republic of Ireland",S1231)),"Ireland",
ISNUMBER(SEARCH("Republic of Korea",S1231)),"South Korea",
ISNUMBER(SEARCH("Cape Verde",S1231)),"Cabo Verde",
ISNUMBER(SEARCH("Czechia",S1231)),"Czech Republic",
ISNUMBER(SEARCH("Türkiye",S1231)),"Turkey",
ISNUMBER(SEARCH("Ivory Coast",S1231)),"Côte d'Ivoire",
ISNUMBER(SEARCH("Korea Republic",S1231)),"South Korea",
ISNUMBER(SEARCH("Germany FR",S1231)),"FR Germany",
ISNUMBER(SEARCH("West Germany",S1231)),"FR Germany",
ISNUMBER(SEARCH("Germany DR",S1231)),"DR Germany",
ISNUMBER(SEARCH("Korea DPR",S1231)),"North Korea",
ISNUMBER(SEARCH("China PR",S1231)),"China",
ISNUMBER(SEARCH("IR Iran",S1231)),"Iran",
ISNUMBER(SEARCH("Congo DR",S1231)),"Democratic Republic of the Congo",
ISNUMBER(SEARCH("DR Congo",S1231)),"Democratic Republic of the Congo",
ISNUMBER(SEARCH("German DR",S1231)),"DR Germany",
ISNUMBER(SEARCH("rn""&gt;United Arab Emirates",S1231)),"United Arab Emirates",
ISNUMBER(SEARCH("rn""&gt;Republic of Ireland",S1231)),"Ireland",
ISNUMBER(SEARCH("rn""&gt;Bosnia and Herzegovina",S1231)),"Bosnia and Herzegovina",
ISNUMBER(SEARCH("rn""&gt;Trinidad and Tobago",S1231)),"Trinidad and Tobago",
ISNUMBER(SEARCH("rn""&gt;Serbia and Montenegro",S1231)),"Serbia and Montenegro",
ISNUMBER(SEARCH(_xlfn.UNICHAR(65533),S1231)),"Côte d'Ivoire",
TRUE,""
)</f>
        <v/>
      </c>
      <c r="W1231" s="12" t="str">
        <f t="shared" si="104"/>
        <v>Bosnia and Herzegovina</v>
      </c>
    </row>
    <row r="1232" spans="2:23">
      <c r="B1232" s="75">
        <v>795</v>
      </c>
      <c r="C1232" s="15" t="str">
        <v>Fabián Ruiz</v>
      </c>
      <c r="D1232" s="15">
        <v>30</v>
      </c>
      <c r="E1232" s="15" t="str">
        <v>Spain</v>
      </c>
      <c r="F1232" s="15" t="str">
        <v>CM</v>
      </c>
      <c r="G1232" s="15" t="str">
        <v>Paris Saint-Germain</v>
      </c>
      <c r="H1232" s="15">
        <v>8</v>
      </c>
      <c r="I1232" s="15" t="str">
        <f t="shared" si="105"/>
        <v>795|Fabián Ruiz|30|Spain|CM|Paris Saint-Germain|8</v>
      </c>
      <c r="J1232" s="15" t="str">
        <f>IF(COUNTIF(I$438:I1232,I1232)&gt;1,"DOUBLON","OK")</f>
        <v>OK</v>
      </c>
      <c r="S1232" s="12" t="str">
        <v>Bosnia and Herzegovina</v>
      </c>
      <c r="T1232" s="12" t="str">
        <f t="shared" si="102"/>
        <v>OK</v>
      </c>
      <c r="U1232" s="12" t="str">
        <f t="shared" si="103"/>
        <v>-</v>
      </c>
      <c r="V1232" s="12" t="str" cm="1">
        <f t="array" ref="V1232">_xlfn.IFS(
ISNUMBER(SEARCH("USA",S1232)),"United States",
ISNUMBER(SEARCH("Republic of Ireland",S1232)),"Ireland",
ISNUMBER(SEARCH("Republic of Korea",S1232)),"South Korea",
ISNUMBER(SEARCH("Cape Verde",S1232)),"Cabo Verde",
ISNUMBER(SEARCH("Czechia",S1232)),"Czech Republic",
ISNUMBER(SEARCH("Türkiye",S1232)),"Turkey",
ISNUMBER(SEARCH("Ivory Coast",S1232)),"Côte d'Ivoire",
ISNUMBER(SEARCH("Korea Republic",S1232)),"South Korea",
ISNUMBER(SEARCH("Germany FR",S1232)),"FR Germany",
ISNUMBER(SEARCH("West Germany",S1232)),"FR Germany",
ISNUMBER(SEARCH("Germany DR",S1232)),"DR Germany",
ISNUMBER(SEARCH("Korea DPR",S1232)),"North Korea",
ISNUMBER(SEARCH("China PR",S1232)),"China",
ISNUMBER(SEARCH("IR Iran",S1232)),"Iran",
ISNUMBER(SEARCH("Congo DR",S1232)),"Democratic Republic of the Congo",
ISNUMBER(SEARCH("DR Congo",S1232)),"Democratic Republic of the Congo",
ISNUMBER(SEARCH("German DR",S1232)),"DR Germany",
ISNUMBER(SEARCH("rn""&gt;United Arab Emirates",S1232)),"United Arab Emirates",
ISNUMBER(SEARCH("rn""&gt;Republic of Ireland",S1232)),"Ireland",
ISNUMBER(SEARCH("rn""&gt;Bosnia and Herzegovina",S1232)),"Bosnia and Herzegovina",
ISNUMBER(SEARCH("rn""&gt;Trinidad and Tobago",S1232)),"Trinidad and Tobago",
ISNUMBER(SEARCH("rn""&gt;Serbia and Montenegro",S1232)),"Serbia and Montenegro",
ISNUMBER(SEARCH(_xlfn.UNICHAR(65533),S1232)),"Côte d'Ivoire",
TRUE,""
)</f>
        <v/>
      </c>
      <c r="W1232" s="12" t="str">
        <f t="shared" si="104"/>
        <v>Bosnia and Herzegovina</v>
      </c>
    </row>
    <row r="1233" spans="2:23">
      <c r="B1233" s="75">
        <v>796</v>
      </c>
      <c r="C1233" s="15" t="str">
        <v>Gavi</v>
      </c>
      <c r="D1233" s="15">
        <v>21</v>
      </c>
      <c r="E1233" s="15" t="str">
        <v>Spain</v>
      </c>
      <c r="F1233" s="15" t="str">
        <v>CM</v>
      </c>
      <c r="G1233" s="15" t="str">
        <v>Barcelona</v>
      </c>
      <c r="H1233" s="15">
        <v>9</v>
      </c>
      <c r="I1233" s="15" t="str">
        <f t="shared" si="105"/>
        <v>796|Gavi|21|Spain|CM|Barcelona|9</v>
      </c>
      <c r="J1233" s="15" t="str">
        <f>IF(COUNTIF(I$438:I1233,I1233)&gt;1,"DOUBLON","OK")</f>
        <v>OK</v>
      </c>
      <c r="S1233" s="12" t="str">
        <v>Bosnia and Herzegovina</v>
      </c>
      <c r="T1233" s="12" t="str">
        <f t="shared" si="102"/>
        <v>OK</v>
      </c>
      <c r="U1233" s="12" t="str">
        <f t="shared" si="103"/>
        <v>-</v>
      </c>
      <c r="V1233" s="12" t="str" cm="1">
        <f t="array" ref="V1233">_xlfn.IFS(
ISNUMBER(SEARCH("USA",S1233)),"United States",
ISNUMBER(SEARCH("Republic of Ireland",S1233)),"Ireland",
ISNUMBER(SEARCH("Republic of Korea",S1233)),"South Korea",
ISNUMBER(SEARCH("Cape Verde",S1233)),"Cabo Verde",
ISNUMBER(SEARCH("Czechia",S1233)),"Czech Republic",
ISNUMBER(SEARCH("Türkiye",S1233)),"Turkey",
ISNUMBER(SEARCH("Ivory Coast",S1233)),"Côte d'Ivoire",
ISNUMBER(SEARCH("Korea Republic",S1233)),"South Korea",
ISNUMBER(SEARCH("Germany FR",S1233)),"FR Germany",
ISNUMBER(SEARCH("West Germany",S1233)),"FR Germany",
ISNUMBER(SEARCH("Germany DR",S1233)),"DR Germany",
ISNUMBER(SEARCH("Korea DPR",S1233)),"North Korea",
ISNUMBER(SEARCH("China PR",S1233)),"China",
ISNUMBER(SEARCH("IR Iran",S1233)),"Iran",
ISNUMBER(SEARCH("Congo DR",S1233)),"Democratic Republic of the Congo",
ISNUMBER(SEARCH("DR Congo",S1233)),"Democratic Republic of the Congo",
ISNUMBER(SEARCH("German DR",S1233)),"DR Germany",
ISNUMBER(SEARCH("rn""&gt;United Arab Emirates",S1233)),"United Arab Emirates",
ISNUMBER(SEARCH("rn""&gt;Republic of Ireland",S1233)),"Ireland",
ISNUMBER(SEARCH("rn""&gt;Bosnia and Herzegovina",S1233)),"Bosnia and Herzegovina",
ISNUMBER(SEARCH("rn""&gt;Trinidad and Tobago",S1233)),"Trinidad and Tobago",
ISNUMBER(SEARCH("rn""&gt;Serbia and Montenegro",S1233)),"Serbia and Montenegro",
ISNUMBER(SEARCH(_xlfn.UNICHAR(65533),S1233)),"Côte d'Ivoire",
TRUE,""
)</f>
        <v/>
      </c>
      <c r="W1233" s="12" t="str">
        <f t="shared" si="104"/>
        <v>Bosnia and Herzegovina</v>
      </c>
    </row>
    <row r="1234" spans="2:23">
      <c r="B1234" s="75">
        <v>797</v>
      </c>
      <c r="C1234" s="15" t="str">
        <v>Álex Baena</v>
      </c>
      <c r="D1234" s="15">
        <v>24</v>
      </c>
      <c r="E1234" s="15" t="str">
        <v>Spain</v>
      </c>
      <c r="F1234" s="15" t="str">
        <v>CAM</v>
      </c>
      <c r="G1234" s="15" t="str">
        <v>Atlético Madrid</v>
      </c>
      <c r="H1234" s="15">
        <v>15</v>
      </c>
      <c r="I1234" s="15" t="str">
        <f t="shared" si="105"/>
        <v>797|Álex Baena|24|Spain|CAM|Atlético Madrid|15</v>
      </c>
      <c r="J1234" s="15" t="str">
        <f>IF(COUNTIF(I$438:I1234,I1234)&gt;1,"DOUBLON","OK")</f>
        <v>OK</v>
      </c>
      <c r="S1234" s="12" t="str">
        <v>Bosnia and Herzegovina</v>
      </c>
      <c r="T1234" s="12" t="str">
        <f t="shared" si="102"/>
        <v>OK</v>
      </c>
      <c r="U1234" s="12" t="str">
        <f t="shared" si="103"/>
        <v>-</v>
      </c>
      <c r="V1234" s="12" t="str" cm="1">
        <f t="array" ref="V1234">_xlfn.IFS(
ISNUMBER(SEARCH("USA",S1234)),"United States",
ISNUMBER(SEARCH("Republic of Ireland",S1234)),"Ireland",
ISNUMBER(SEARCH("Republic of Korea",S1234)),"South Korea",
ISNUMBER(SEARCH("Cape Verde",S1234)),"Cabo Verde",
ISNUMBER(SEARCH("Czechia",S1234)),"Czech Republic",
ISNUMBER(SEARCH("Türkiye",S1234)),"Turkey",
ISNUMBER(SEARCH("Ivory Coast",S1234)),"Côte d'Ivoire",
ISNUMBER(SEARCH("Korea Republic",S1234)),"South Korea",
ISNUMBER(SEARCH("Germany FR",S1234)),"FR Germany",
ISNUMBER(SEARCH("West Germany",S1234)),"FR Germany",
ISNUMBER(SEARCH("Germany DR",S1234)),"DR Germany",
ISNUMBER(SEARCH("Korea DPR",S1234)),"North Korea",
ISNUMBER(SEARCH("China PR",S1234)),"China",
ISNUMBER(SEARCH("IR Iran",S1234)),"Iran",
ISNUMBER(SEARCH("Congo DR",S1234)),"Democratic Republic of the Congo",
ISNUMBER(SEARCH("DR Congo",S1234)),"Democratic Republic of the Congo",
ISNUMBER(SEARCH("German DR",S1234)),"DR Germany",
ISNUMBER(SEARCH("rn""&gt;United Arab Emirates",S1234)),"United Arab Emirates",
ISNUMBER(SEARCH("rn""&gt;Republic of Ireland",S1234)),"Ireland",
ISNUMBER(SEARCH("rn""&gt;Bosnia and Herzegovina",S1234)),"Bosnia and Herzegovina",
ISNUMBER(SEARCH("rn""&gt;Trinidad and Tobago",S1234)),"Trinidad and Tobago",
ISNUMBER(SEARCH("rn""&gt;Serbia and Montenegro",S1234)),"Serbia and Montenegro",
ISNUMBER(SEARCH(_xlfn.UNICHAR(65533),S1234)),"Côte d'Ivoire",
TRUE,""
)</f>
        <v/>
      </c>
      <c r="W1234" s="12" t="str">
        <f t="shared" si="104"/>
        <v>Bosnia and Herzegovina</v>
      </c>
    </row>
    <row r="1235" spans="2:23">
      <c r="B1235" s="75">
        <v>798</v>
      </c>
      <c r="C1235" s="15" t="str">
        <v>Pedri</v>
      </c>
      <c r="D1235" s="15">
        <v>23</v>
      </c>
      <c r="E1235" s="15" t="str">
        <v>Spain</v>
      </c>
      <c r="F1235" s="15" t="str">
        <v>CAM</v>
      </c>
      <c r="G1235" s="15" t="str">
        <v>Barcelona</v>
      </c>
      <c r="H1235" s="15">
        <v>20</v>
      </c>
      <c r="I1235" s="15" t="str">
        <f t="shared" si="105"/>
        <v>798|Pedri|23|Spain|CAM|Barcelona|20</v>
      </c>
      <c r="J1235" s="15" t="str">
        <f>IF(COUNTIF(I$438:I1235,I1235)&gt;1,"DOUBLON","OK")</f>
        <v>OK</v>
      </c>
      <c r="S1235" s="12" t="str">
        <v>Bosnia and Herzegovina</v>
      </c>
      <c r="T1235" s="12" t="str">
        <f t="shared" si="102"/>
        <v>OK</v>
      </c>
      <c r="U1235" s="12" t="str">
        <f t="shared" si="103"/>
        <v>-</v>
      </c>
      <c r="V1235" s="12" t="str" cm="1">
        <f t="array" ref="V1235">_xlfn.IFS(
ISNUMBER(SEARCH("USA",S1235)),"United States",
ISNUMBER(SEARCH("Republic of Ireland",S1235)),"Ireland",
ISNUMBER(SEARCH("Republic of Korea",S1235)),"South Korea",
ISNUMBER(SEARCH("Cape Verde",S1235)),"Cabo Verde",
ISNUMBER(SEARCH("Czechia",S1235)),"Czech Republic",
ISNUMBER(SEARCH("Türkiye",S1235)),"Turkey",
ISNUMBER(SEARCH("Ivory Coast",S1235)),"Côte d'Ivoire",
ISNUMBER(SEARCH("Korea Republic",S1235)),"South Korea",
ISNUMBER(SEARCH("Germany FR",S1235)),"FR Germany",
ISNUMBER(SEARCH("West Germany",S1235)),"FR Germany",
ISNUMBER(SEARCH("Germany DR",S1235)),"DR Germany",
ISNUMBER(SEARCH("Korea DPR",S1235)),"North Korea",
ISNUMBER(SEARCH("China PR",S1235)),"China",
ISNUMBER(SEARCH("IR Iran",S1235)),"Iran",
ISNUMBER(SEARCH("Congo DR",S1235)),"Democratic Republic of the Congo",
ISNUMBER(SEARCH("DR Congo",S1235)),"Democratic Republic of the Congo",
ISNUMBER(SEARCH("German DR",S1235)),"DR Germany",
ISNUMBER(SEARCH("rn""&gt;United Arab Emirates",S1235)),"United Arab Emirates",
ISNUMBER(SEARCH("rn""&gt;Republic of Ireland",S1235)),"Ireland",
ISNUMBER(SEARCH("rn""&gt;Bosnia and Herzegovina",S1235)),"Bosnia and Herzegovina",
ISNUMBER(SEARCH("rn""&gt;Trinidad and Tobago",S1235)),"Trinidad and Tobago",
ISNUMBER(SEARCH("rn""&gt;Serbia and Montenegro",S1235)),"Serbia and Montenegro",
ISNUMBER(SEARCH(_xlfn.UNICHAR(65533),S1235)),"Côte d'Ivoire",
TRUE,""
)</f>
        <v/>
      </c>
      <c r="W1235" s="12" t="str">
        <f t="shared" si="104"/>
        <v>Bosnia and Herzegovina</v>
      </c>
    </row>
    <row r="1236" spans="2:23">
      <c r="B1236" s="75">
        <v>799</v>
      </c>
      <c r="C1236" s="15" t="str">
        <v>Ferran Torres</v>
      </c>
      <c r="D1236" s="15">
        <v>26</v>
      </c>
      <c r="E1236" s="15" t="str">
        <v>Spain</v>
      </c>
      <c r="F1236" s="15" t="str">
        <v>LW</v>
      </c>
      <c r="G1236" s="15" t="str">
        <v>Barcelona</v>
      </c>
      <c r="H1236" s="15">
        <v>7</v>
      </c>
      <c r="I1236" s="15" t="str">
        <f t="shared" si="105"/>
        <v>799|Ferran Torres|26|Spain|LW|Barcelona|7</v>
      </c>
      <c r="J1236" s="15" t="str">
        <f>IF(COUNTIF(I$438:I1236,I1236)&gt;1,"DOUBLON","OK")</f>
        <v>OK</v>
      </c>
      <c r="S1236" s="12" t="str">
        <v>Bosnia and Herzegovina</v>
      </c>
      <c r="T1236" s="12" t="str">
        <f t="shared" si="102"/>
        <v>OK</v>
      </c>
      <c r="U1236" s="12" t="str">
        <f t="shared" si="103"/>
        <v>-</v>
      </c>
      <c r="V1236" s="12" t="str" cm="1">
        <f t="array" ref="V1236">_xlfn.IFS(
ISNUMBER(SEARCH("USA",S1236)),"United States",
ISNUMBER(SEARCH("Republic of Ireland",S1236)),"Ireland",
ISNUMBER(SEARCH("Republic of Korea",S1236)),"South Korea",
ISNUMBER(SEARCH("Cape Verde",S1236)),"Cabo Verde",
ISNUMBER(SEARCH("Czechia",S1236)),"Czech Republic",
ISNUMBER(SEARCH("Türkiye",S1236)),"Turkey",
ISNUMBER(SEARCH("Ivory Coast",S1236)),"Côte d'Ivoire",
ISNUMBER(SEARCH("Korea Republic",S1236)),"South Korea",
ISNUMBER(SEARCH("Germany FR",S1236)),"FR Germany",
ISNUMBER(SEARCH("West Germany",S1236)),"FR Germany",
ISNUMBER(SEARCH("Germany DR",S1236)),"DR Germany",
ISNUMBER(SEARCH("Korea DPR",S1236)),"North Korea",
ISNUMBER(SEARCH("China PR",S1236)),"China",
ISNUMBER(SEARCH("IR Iran",S1236)),"Iran",
ISNUMBER(SEARCH("Congo DR",S1236)),"Democratic Republic of the Congo",
ISNUMBER(SEARCH("DR Congo",S1236)),"Democratic Republic of the Congo",
ISNUMBER(SEARCH("German DR",S1236)),"DR Germany",
ISNUMBER(SEARCH("rn""&gt;United Arab Emirates",S1236)),"United Arab Emirates",
ISNUMBER(SEARCH("rn""&gt;Republic of Ireland",S1236)),"Ireland",
ISNUMBER(SEARCH("rn""&gt;Bosnia and Herzegovina",S1236)),"Bosnia and Herzegovina",
ISNUMBER(SEARCH("rn""&gt;Trinidad and Tobago",S1236)),"Trinidad and Tobago",
ISNUMBER(SEARCH("rn""&gt;Serbia and Montenegro",S1236)),"Serbia and Montenegro",
ISNUMBER(SEARCH(_xlfn.UNICHAR(65533),S1236)),"Côte d'Ivoire",
TRUE,""
)</f>
        <v/>
      </c>
      <c r="W1236" s="12" t="str">
        <f t="shared" si="104"/>
        <v>Bosnia and Herzegovina</v>
      </c>
    </row>
    <row r="1237" spans="2:23">
      <c r="B1237" s="75">
        <v>800</v>
      </c>
      <c r="C1237" s="15" t="str">
        <v>Nico Williams</v>
      </c>
      <c r="D1237" s="15">
        <v>23</v>
      </c>
      <c r="E1237" s="15" t="str">
        <v>Spain</v>
      </c>
      <c r="F1237" s="15" t="str">
        <v>LW</v>
      </c>
      <c r="G1237" s="15" t="str">
        <v>Athletic Bilbao</v>
      </c>
      <c r="H1237" s="15">
        <v>17</v>
      </c>
      <c r="I1237" s="15" t="str">
        <f t="shared" si="105"/>
        <v>800|Nico Williams|23|Spain|LW|Athletic Bilbao|17</v>
      </c>
      <c r="J1237" s="15" t="str">
        <f>IF(COUNTIF(I$438:I1237,I1237)&gt;1,"DOUBLON","OK")</f>
        <v>OK</v>
      </c>
      <c r="S1237" s="12" t="str">
        <v>Bosnia and Herzegovina</v>
      </c>
      <c r="T1237" s="12" t="str">
        <f t="shared" si="102"/>
        <v>OK</v>
      </c>
      <c r="U1237" s="12" t="str">
        <f t="shared" si="103"/>
        <v>-</v>
      </c>
      <c r="V1237" s="12" t="str" cm="1">
        <f t="array" ref="V1237">_xlfn.IFS(
ISNUMBER(SEARCH("USA",S1237)),"United States",
ISNUMBER(SEARCH("Republic of Ireland",S1237)),"Ireland",
ISNUMBER(SEARCH("Republic of Korea",S1237)),"South Korea",
ISNUMBER(SEARCH("Cape Verde",S1237)),"Cabo Verde",
ISNUMBER(SEARCH("Czechia",S1237)),"Czech Republic",
ISNUMBER(SEARCH("Türkiye",S1237)),"Turkey",
ISNUMBER(SEARCH("Ivory Coast",S1237)),"Côte d'Ivoire",
ISNUMBER(SEARCH("Korea Republic",S1237)),"South Korea",
ISNUMBER(SEARCH("Germany FR",S1237)),"FR Germany",
ISNUMBER(SEARCH("West Germany",S1237)),"FR Germany",
ISNUMBER(SEARCH("Germany DR",S1237)),"DR Germany",
ISNUMBER(SEARCH("Korea DPR",S1237)),"North Korea",
ISNUMBER(SEARCH("China PR",S1237)),"China",
ISNUMBER(SEARCH("IR Iran",S1237)),"Iran",
ISNUMBER(SEARCH("Congo DR",S1237)),"Democratic Republic of the Congo",
ISNUMBER(SEARCH("DR Congo",S1237)),"Democratic Republic of the Congo",
ISNUMBER(SEARCH("German DR",S1237)),"DR Germany",
ISNUMBER(SEARCH("rn""&gt;United Arab Emirates",S1237)),"United Arab Emirates",
ISNUMBER(SEARCH("rn""&gt;Republic of Ireland",S1237)),"Ireland",
ISNUMBER(SEARCH("rn""&gt;Bosnia and Herzegovina",S1237)),"Bosnia and Herzegovina",
ISNUMBER(SEARCH("rn""&gt;Trinidad and Tobago",S1237)),"Trinidad and Tobago",
ISNUMBER(SEARCH("rn""&gt;Serbia and Montenegro",S1237)),"Serbia and Montenegro",
ISNUMBER(SEARCH(_xlfn.UNICHAR(65533),S1237)),"Côte d'Ivoire",
TRUE,""
)</f>
        <v/>
      </c>
      <c r="W1237" s="12" t="str">
        <f t="shared" si="104"/>
        <v>Bosnia and Herzegovina</v>
      </c>
    </row>
    <row r="1238" spans="2:23">
      <c r="B1238" s="75">
        <v>801</v>
      </c>
      <c r="C1238" s="15" t="str">
        <v>Yéremy Pino</v>
      </c>
      <c r="D1238" s="15">
        <v>23</v>
      </c>
      <c r="E1238" s="15" t="str">
        <v>Spain</v>
      </c>
      <c r="F1238" s="15" t="str">
        <v>RW</v>
      </c>
      <c r="G1238" s="15" t="str">
        <v>Crystal Palace</v>
      </c>
      <c r="H1238" s="15">
        <v>11</v>
      </c>
      <c r="I1238" s="15" t="str">
        <f t="shared" si="105"/>
        <v>801|Yéremy Pino|23|Spain|RW|Crystal Palace|11</v>
      </c>
      <c r="J1238" s="15" t="str">
        <f>IF(COUNTIF(I$438:I1238,I1238)&gt;1,"DOUBLON","OK")</f>
        <v>OK</v>
      </c>
      <c r="S1238" s="12" t="str">
        <v>Bosnia and Herzegovina</v>
      </c>
      <c r="T1238" s="12" t="str">
        <f t="shared" si="102"/>
        <v>OK</v>
      </c>
      <c r="U1238" s="12" t="str">
        <f t="shared" si="103"/>
        <v>-</v>
      </c>
      <c r="V1238" s="12" t="str" cm="1">
        <f t="array" ref="V1238">_xlfn.IFS(
ISNUMBER(SEARCH("USA",S1238)),"United States",
ISNUMBER(SEARCH("Republic of Ireland",S1238)),"Ireland",
ISNUMBER(SEARCH("Republic of Korea",S1238)),"South Korea",
ISNUMBER(SEARCH("Cape Verde",S1238)),"Cabo Verde",
ISNUMBER(SEARCH("Czechia",S1238)),"Czech Republic",
ISNUMBER(SEARCH("Türkiye",S1238)),"Turkey",
ISNUMBER(SEARCH("Ivory Coast",S1238)),"Côte d'Ivoire",
ISNUMBER(SEARCH("Korea Republic",S1238)),"South Korea",
ISNUMBER(SEARCH("Germany FR",S1238)),"FR Germany",
ISNUMBER(SEARCH("West Germany",S1238)),"FR Germany",
ISNUMBER(SEARCH("Germany DR",S1238)),"DR Germany",
ISNUMBER(SEARCH("Korea DPR",S1238)),"North Korea",
ISNUMBER(SEARCH("China PR",S1238)),"China",
ISNUMBER(SEARCH("IR Iran",S1238)),"Iran",
ISNUMBER(SEARCH("Congo DR",S1238)),"Democratic Republic of the Congo",
ISNUMBER(SEARCH("DR Congo",S1238)),"Democratic Republic of the Congo",
ISNUMBER(SEARCH("German DR",S1238)),"DR Germany",
ISNUMBER(SEARCH("rn""&gt;United Arab Emirates",S1238)),"United Arab Emirates",
ISNUMBER(SEARCH("rn""&gt;Republic of Ireland",S1238)),"Ireland",
ISNUMBER(SEARCH("rn""&gt;Bosnia and Herzegovina",S1238)),"Bosnia and Herzegovina",
ISNUMBER(SEARCH("rn""&gt;Trinidad and Tobago",S1238)),"Trinidad and Tobago",
ISNUMBER(SEARCH("rn""&gt;Serbia and Montenegro",S1238)),"Serbia and Montenegro",
ISNUMBER(SEARCH(_xlfn.UNICHAR(65533),S1238)),"Côte d'Ivoire",
TRUE,""
)</f>
        <v/>
      </c>
      <c r="W1238" s="12" t="str">
        <f t="shared" si="104"/>
        <v>Bosnia and Herzegovina</v>
      </c>
    </row>
    <row r="1239" spans="2:23">
      <c r="B1239" s="75">
        <v>802</v>
      </c>
      <c r="C1239" s="15" t="str">
        <v>Lamine Yamal</v>
      </c>
      <c r="D1239" s="15">
        <v>18</v>
      </c>
      <c r="E1239" s="15" t="str">
        <v>Spain</v>
      </c>
      <c r="F1239" s="15" t="str">
        <v>RW</v>
      </c>
      <c r="G1239" s="15" t="str">
        <v>Barcelona</v>
      </c>
      <c r="H1239" s="15">
        <v>19</v>
      </c>
      <c r="I1239" s="15" t="str">
        <f t="shared" si="105"/>
        <v>802|Lamine Yamal|18|Spain|RW|Barcelona|19</v>
      </c>
      <c r="J1239" s="15" t="str">
        <f>IF(COUNTIF(I$438:I1239,I1239)&gt;1,"DOUBLON","OK")</f>
        <v>OK</v>
      </c>
      <c r="S1239" s="12" t="str">
        <v>Bosnia and Herzegovina</v>
      </c>
      <c r="T1239" s="12" t="str">
        <f t="shared" si="102"/>
        <v>OK</v>
      </c>
      <c r="U1239" s="12" t="str">
        <f t="shared" si="103"/>
        <v>-</v>
      </c>
      <c r="V1239" s="12" t="str" cm="1">
        <f t="array" ref="V1239">_xlfn.IFS(
ISNUMBER(SEARCH("USA",S1239)),"United States",
ISNUMBER(SEARCH("Republic of Ireland",S1239)),"Ireland",
ISNUMBER(SEARCH("Republic of Korea",S1239)),"South Korea",
ISNUMBER(SEARCH("Cape Verde",S1239)),"Cabo Verde",
ISNUMBER(SEARCH("Czechia",S1239)),"Czech Republic",
ISNUMBER(SEARCH("Türkiye",S1239)),"Turkey",
ISNUMBER(SEARCH("Ivory Coast",S1239)),"Côte d'Ivoire",
ISNUMBER(SEARCH("Korea Republic",S1239)),"South Korea",
ISNUMBER(SEARCH("Germany FR",S1239)),"FR Germany",
ISNUMBER(SEARCH("West Germany",S1239)),"FR Germany",
ISNUMBER(SEARCH("Germany DR",S1239)),"DR Germany",
ISNUMBER(SEARCH("Korea DPR",S1239)),"North Korea",
ISNUMBER(SEARCH("China PR",S1239)),"China",
ISNUMBER(SEARCH("IR Iran",S1239)),"Iran",
ISNUMBER(SEARCH("Congo DR",S1239)),"Democratic Republic of the Congo",
ISNUMBER(SEARCH("DR Congo",S1239)),"Democratic Republic of the Congo",
ISNUMBER(SEARCH("German DR",S1239)),"DR Germany",
ISNUMBER(SEARCH("rn""&gt;United Arab Emirates",S1239)),"United Arab Emirates",
ISNUMBER(SEARCH("rn""&gt;Republic of Ireland",S1239)),"Ireland",
ISNUMBER(SEARCH("rn""&gt;Bosnia and Herzegovina",S1239)),"Bosnia and Herzegovina",
ISNUMBER(SEARCH("rn""&gt;Trinidad and Tobago",S1239)),"Trinidad and Tobago",
ISNUMBER(SEARCH("rn""&gt;Serbia and Montenegro",S1239)),"Serbia and Montenegro",
ISNUMBER(SEARCH(_xlfn.UNICHAR(65533),S1239)),"Côte d'Ivoire",
TRUE,""
)</f>
        <v/>
      </c>
      <c r="W1239" s="12" t="str">
        <f t="shared" si="104"/>
        <v>Bosnia and Herzegovina</v>
      </c>
    </row>
    <row r="1240" spans="2:23">
      <c r="B1240" s="75">
        <v>803</v>
      </c>
      <c r="C1240" s="15" t="str">
        <v>Víctor Muñoz</v>
      </c>
      <c r="D1240" s="15">
        <v>22</v>
      </c>
      <c r="E1240" s="15" t="str">
        <v>Spain</v>
      </c>
      <c r="F1240" s="15" t="str">
        <v>RW</v>
      </c>
      <c r="G1240" s="15" t="str">
        <v>Osasuna</v>
      </c>
      <c r="H1240" s="15">
        <v>25</v>
      </c>
      <c r="I1240" s="15" t="str">
        <f t="shared" si="105"/>
        <v>803|Víctor Muñoz|22|Spain|RW|Osasuna|25</v>
      </c>
      <c r="J1240" s="15" t="str">
        <f>IF(COUNTIF(I$438:I1240,I1240)&gt;1,"DOUBLON","OK")</f>
        <v>OK</v>
      </c>
      <c r="S1240" s="12" t="str">
        <v>Bosnia and Herzegovina</v>
      </c>
      <c r="T1240" s="12" t="str">
        <f t="shared" si="102"/>
        <v>OK</v>
      </c>
      <c r="U1240" s="12" t="str">
        <f t="shared" si="103"/>
        <v>-</v>
      </c>
      <c r="V1240" s="12" t="str" cm="1">
        <f t="array" ref="V1240">_xlfn.IFS(
ISNUMBER(SEARCH("USA",S1240)),"United States",
ISNUMBER(SEARCH("Republic of Ireland",S1240)),"Ireland",
ISNUMBER(SEARCH("Republic of Korea",S1240)),"South Korea",
ISNUMBER(SEARCH("Cape Verde",S1240)),"Cabo Verde",
ISNUMBER(SEARCH("Czechia",S1240)),"Czech Republic",
ISNUMBER(SEARCH("Türkiye",S1240)),"Turkey",
ISNUMBER(SEARCH("Ivory Coast",S1240)),"Côte d'Ivoire",
ISNUMBER(SEARCH("Korea Republic",S1240)),"South Korea",
ISNUMBER(SEARCH("Germany FR",S1240)),"FR Germany",
ISNUMBER(SEARCH("West Germany",S1240)),"FR Germany",
ISNUMBER(SEARCH("Germany DR",S1240)),"DR Germany",
ISNUMBER(SEARCH("Korea DPR",S1240)),"North Korea",
ISNUMBER(SEARCH("China PR",S1240)),"China",
ISNUMBER(SEARCH("IR Iran",S1240)),"Iran",
ISNUMBER(SEARCH("Congo DR",S1240)),"Democratic Republic of the Congo",
ISNUMBER(SEARCH("DR Congo",S1240)),"Democratic Republic of the Congo",
ISNUMBER(SEARCH("German DR",S1240)),"DR Germany",
ISNUMBER(SEARCH("rn""&gt;United Arab Emirates",S1240)),"United Arab Emirates",
ISNUMBER(SEARCH("rn""&gt;Republic of Ireland",S1240)),"Ireland",
ISNUMBER(SEARCH("rn""&gt;Bosnia and Herzegovina",S1240)),"Bosnia and Herzegovina",
ISNUMBER(SEARCH("rn""&gt;Trinidad and Tobago",S1240)),"Trinidad and Tobago",
ISNUMBER(SEARCH("rn""&gt;Serbia and Montenegro",S1240)),"Serbia and Montenegro",
ISNUMBER(SEARCH(_xlfn.UNICHAR(65533),S1240)),"Côte d'Ivoire",
TRUE,""
)</f>
        <v/>
      </c>
      <c r="W1240" s="12" t="str">
        <f t="shared" si="104"/>
        <v>Bosnia and Herzegovina</v>
      </c>
    </row>
    <row r="1241" spans="2:23">
      <c r="B1241" s="75">
        <v>804</v>
      </c>
      <c r="C1241" s="15" t="str">
        <v>Dani Olmo</v>
      </c>
      <c r="D1241" s="15">
        <v>28</v>
      </c>
      <c r="E1241" s="15" t="str">
        <v>Spain</v>
      </c>
      <c r="F1241" s="15" t="str">
        <v>ST</v>
      </c>
      <c r="G1241" s="15" t="str">
        <v>Barcelona</v>
      </c>
      <c r="H1241" s="15">
        <v>10</v>
      </c>
      <c r="I1241" s="15" t="str">
        <f t="shared" si="105"/>
        <v>804|Dani Olmo|28|Spain|ST|Barcelona|10</v>
      </c>
      <c r="J1241" s="15" t="str">
        <f>IF(COUNTIF(I$438:I1241,I1241)&gt;1,"DOUBLON","OK")</f>
        <v>OK</v>
      </c>
      <c r="S1241" s="12" t="str">
        <v>Bosnia and Herzegovina</v>
      </c>
      <c r="T1241" s="12" t="str">
        <f t="shared" si="102"/>
        <v>OK</v>
      </c>
      <c r="U1241" s="12" t="str">
        <f t="shared" si="103"/>
        <v>-</v>
      </c>
      <c r="V1241" s="12" t="str" cm="1">
        <f t="array" ref="V1241">_xlfn.IFS(
ISNUMBER(SEARCH("USA",S1241)),"United States",
ISNUMBER(SEARCH("Republic of Ireland",S1241)),"Ireland",
ISNUMBER(SEARCH("Republic of Korea",S1241)),"South Korea",
ISNUMBER(SEARCH("Cape Verde",S1241)),"Cabo Verde",
ISNUMBER(SEARCH("Czechia",S1241)),"Czech Republic",
ISNUMBER(SEARCH("Türkiye",S1241)),"Turkey",
ISNUMBER(SEARCH("Ivory Coast",S1241)),"Côte d'Ivoire",
ISNUMBER(SEARCH("Korea Republic",S1241)),"South Korea",
ISNUMBER(SEARCH("Germany FR",S1241)),"FR Germany",
ISNUMBER(SEARCH("West Germany",S1241)),"FR Germany",
ISNUMBER(SEARCH("Germany DR",S1241)),"DR Germany",
ISNUMBER(SEARCH("Korea DPR",S1241)),"North Korea",
ISNUMBER(SEARCH("China PR",S1241)),"China",
ISNUMBER(SEARCH("IR Iran",S1241)),"Iran",
ISNUMBER(SEARCH("Congo DR",S1241)),"Democratic Republic of the Congo",
ISNUMBER(SEARCH("DR Congo",S1241)),"Democratic Republic of the Congo",
ISNUMBER(SEARCH("German DR",S1241)),"DR Germany",
ISNUMBER(SEARCH("rn""&gt;United Arab Emirates",S1241)),"United Arab Emirates",
ISNUMBER(SEARCH("rn""&gt;Republic of Ireland",S1241)),"Ireland",
ISNUMBER(SEARCH("rn""&gt;Bosnia and Herzegovina",S1241)),"Bosnia and Herzegovina",
ISNUMBER(SEARCH("rn""&gt;Trinidad and Tobago",S1241)),"Trinidad and Tobago",
ISNUMBER(SEARCH("rn""&gt;Serbia and Montenegro",S1241)),"Serbia and Montenegro",
ISNUMBER(SEARCH(_xlfn.UNICHAR(65533),S1241)),"Côte d'Ivoire",
TRUE,""
)</f>
        <v/>
      </c>
      <c r="W1241" s="12" t="str">
        <f t="shared" si="104"/>
        <v>Bosnia and Herzegovina</v>
      </c>
    </row>
    <row r="1242" spans="2:23">
      <c r="B1242" s="75">
        <v>805</v>
      </c>
      <c r="C1242" s="15" t="str">
        <v>Mikel Oyarzabal</v>
      </c>
      <c r="D1242" s="15">
        <v>29</v>
      </c>
      <c r="E1242" s="15" t="str">
        <v>Spain</v>
      </c>
      <c r="F1242" s="15" t="str">
        <v>ST</v>
      </c>
      <c r="G1242" s="15" t="str">
        <v>Real Sociedad</v>
      </c>
      <c r="H1242" s="15">
        <v>21</v>
      </c>
      <c r="I1242" s="15" t="str">
        <f t="shared" si="105"/>
        <v>805|Mikel Oyarzabal|29|Spain|ST|Real Sociedad|21</v>
      </c>
      <c r="J1242" s="15" t="str">
        <f>IF(COUNTIF(I$438:I1242,I1242)&gt;1,"DOUBLON","OK")</f>
        <v>OK</v>
      </c>
      <c r="S1242" s="12" t="str">
        <v>Bosnia and Herzegovina</v>
      </c>
      <c r="T1242" s="12" t="str">
        <f t="shared" si="102"/>
        <v>OK</v>
      </c>
      <c r="U1242" s="12" t="str">
        <f t="shared" si="103"/>
        <v>-</v>
      </c>
      <c r="V1242" s="12" t="str" cm="1">
        <f t="array" ref="V1242">_xlfn.IFS(
ISNUMBER(SEARCH("USA",S1242)),"United States",
ISNUMBER(SEARCH("Republic of Ireland",S1242)),"Ireland",
ISNUMBER(SEARCH("Republic of Korea",S1242)),"South Korea",
ISNUMBER(SEARCH("Cape Verde",S1242)),"Cabo Verde",
ISNUMBER(SEARCH("Czechia",S1242)),"Czech Republic",
ISNUMBER(SEARCH("Türkiye",S1242)),"Turkey",
ISNUMBER(SEARCH("Ivory Coast",S1242)),"Côte d'Ivoire",
ISNUMBER(SEARCH("Korea Republic",S1242)),"South Korea",
ISNUMBER(SEARCH("Germany FR",S1242)),"FR Germany",
ISNUMBER(SEARCH("West Germany",S1242)),"FR Germany",
ISNUMBER(SEARCH("Germany DR",S1242)),"DR Germany",
ISNUMBER(SEARCH("Korea DPR",S1242)),"North Korea",
ISNUMBER(SEARCH("China PR",S1242)),"China",
ISNUMBER(SEARCH("IR Iran",S1242)),"Iran",
ISNUMBER(SEARCH("Congo DR",S1242)),"Democratic Republic of the Congo",
ISNUMBER(SEARCH("DR Congo",S1242)),"Democratic Republic of the Congo",
ISNUMBER(SEARCH("German DR",S1242)),"DR Germany",
ISNUMBER(SEARCH("rn""&gt;United Arab Emirates",S1242)),"United Arab Emirates",
ISNUMBER(SEARCH("rn""&gt;Republic of Ireland",S1242)),"Ireland",
ISNUMBER(SEARCH("rn""&gt;Bosnia and Herzegovina",S1242)),"Bosnia and Herzegovina",
ISNUMBER(SEARCH("rn""&gt;Trinidad and Tobago",S1242)),"Trinidad and Tobago",
ISNUMBER(SEARCH("rn""&gt;Serbia and Montenegro",S1242)),"Serbia and Montenegro",
ISNUMBER(SEARCH(_xlfn.UNICHAR(65533),S1242)),"Côte d'Ivoire",
TRUE,""
)</f>
        <v/>
      </c>
      <c r="W1242" s="12" t="str">
        <f t="shared" si="104"/>
        <v>Bosnia and Herzegovina</v>
      </c>
    </row>
    <row r="1243" spans="2:23">
      <c r="B1243" s="75">
        <v>806</v>
      </c>
      <c r="C1243" s="15" t="str">
        <v>Borja Iglesias</v>
      </c>
      <c r="D1243" s="15">
        <v>33</v>
      </c>
      <c r="E1243" s="15" t="str">
        <v>Spain</v>
      </c>
      <c r="F1243" s="15" t="str">
        <v>ST</v>
      </c>
      <c r="G1243" s="15" t="str">
        <v>Celta Vigo</v>
      </c>
      <c r="H1243" s="15">
        <v>26</v>
      </c>
      <c r="I1243" s="15" t="str">
        <f t="shared" si="105"/>
        <v>806|Borja Iglesias|33|Spain|ST|Celta Vigo|26</v>
      </c>
      <c r="J1243" s="15" t="str">
        <f>IF(COUNTIF(I$438:I1243,I1243)&gt;1,"DOUBLON","OK")</f>
        <v>OK</v>
      </c>
      <c r="S1243" s="12" t="str">
        <v>Bosnia and Herzegovina</v>
      </c>
      <c r="T1243" s="12" t="str">
        <f t="shared" si="102"/>
        <v>OK</v>
      </c>
      <c r="U1243" s="12" t="str">
        <f t="shared" si="103"/>
        <v>-</v>
      </c>
      <c r="V1243" s="12" t="str" cm="1">
        <f t="array" ref="V1243">_xlfn.IFS(
ISNUMBER(SEARCH("USA",S1243)),"United States",
ISNUMBER(SEARCH("Republic of Ireland",S1243)),"Ireland",
ISNUMBER(SEARCH("Republic of Korea",S1243)),"South Korea",
ISNUMBER(SEARCH("Cape Verde",S1243)),"Cabo Verde",
ISNUMBER(SEARCH("Czechia",S1243)),"Czech Republic",
ISNUMBER(SEARCH("Türkiye",S1243)),"Turkey",
ISNUMBER(SEARCH("Ivory Coast",S1243)),"Côte d'Ivoire",
ISNUMBER(SEARCH("Korea Republic",S1243)),"South Korea",
ISNUMBER(SEARCH("Germany FR",S1243)),"FR Germany",
ISNUMBER(SEARCH("West Germany",S1243)),"FR Germany",
ISNUMBER(SEARCH("Germany DR",S1243)),"DR Germany",
ISNUMBER(SEARCH("Korea DPR",S1243)),"North Korea",
ISNUMBER(SEARCH("China PR",S1243)),"China",
ISNUMBER(SEARCH("IR Iran",S1243)),"Iran",
ISNUMBER(SEARCH("Congo DR",S1243)),"Democratic Republic of the Congo",
ISNUMBER(SEARCH("DR Congo",S1243)),"Democratic Republic of the Congo",
ISNUMBER(SEARCH("German DR",S1243)),"DR Germany",
ISNUMBER(SEARCH("rn""&gt;United Arab Emirates",S1243)),"United Arab Emirates",
ISNUMBER(SEARCH("rn""&gt;Republic of Ireland",S1243)),"Ireland",
ISNUMBER(SEARCH("rn""&gt;Bosnia and Herzegovina",S1243)),"Bosnia and Herzegovina",
ISNUMBER(SEARCH("rn""&gt;Trinidad and Tobago",S1243)),"Trinidad and Tobago",
ISNUMBER(SEARCH("rn""&gt;Serbia and Montenegro",S1243)),"Serbia and Montenegro",
ISNUMBER(SEARCH(_xlfn.UNICHAR(65533),S1243)),"Côte d'Ivoire",
TRUE,""
)</f>
        <v/>
      </c>
      <c r="W1243" s="12" t="str">
        <f t="shared" si="104"/>
        <v>Bosnia and Herzegovina</v>
      </c>
    </row>
    <row r="1244" spans="2:23">
      <c r="B1244" s="75">
        <v>807</v>
      </c>
      <c r="C1244" s="15" t="str">
        <v>Sergio Rochet</v>
      </c>
      <c r="D1244" s="15">
        <v>33</v>
      </c>
      <c r="E1244" s="15" t="str">
        <v>Uruguay</v>
      </c>
      <c r="F1244" s="15" t="str">
        <v>GK</v>
      </c>
      <c r="G1244" s="15" t="str">
        <v>Internacional</v>
      </c>
      <c r="H1244" s="15">
        <v>1</v>
      </c>
      <c r="I1244" s="15" t="str">
        <f t="shared" si="105"/>
        <v>807|Sergio Rochet|33|Uruguay|GK|Internacional|1</v>
      </c>
      <c r="J1244" s="15" t="str">
        <f>IF(COUNTIF(I$438:I1244,I1244)&gt;1,"DOUBLON","OK")</f>
        <v>OK</v>
      </c>
      <c r="S1244" s="12" t="str">
        <v>Bosnia and Herzegovina</v>
      </c>
      <c r="T1244" s="12" t="str">
        <f t="shared" si="102"/>
        <v>OK</v>
      </c>
      <c r="U1244" s="12" t="str">
        <f t="shared" si="103"/>
        <v>-</v>
      </c>
      <c r="V1244" s="12" t="str" cm="1">
        <f t="array" ref="V1244">_xlfn.IFS(
ISNUMBER(SEARCH("USA",S1244)),"United States",
ISNUMBER(SEARCH("Republic of Ireland",S1244)),"Ireland",
ISNUMBER(SEARCH("Republic of Korea",S1244)),"South Korea",
ISNUMBER(SEARCH("Cape Verde",S1244)),"Cabo Verde",
ISNUMBER(SEARCH("Czechia",S1244)),"Czech Republic",
ISNUMBER(SEARCH("Türkiye",S1244)),"Turkey",
ISNUMBER(SEARCH("Ivory Coast",S1244)),"Côte d'Ivoire",
ISNUMBER(SEARCH("Korea Republic",S1244)),"South Korea",
ISNUMBER(SEARCH("Germany FR",S1244)),"FR Germany",
ISNUMBER(SEARCH("West Germany",S1244)),"FR Germany",
ISNUMBER(SEARCH("Germany DR",S1244)),"DR Germany",
ISNUMBER(SEARCH("Korea DPR",S1244)),"North Korea",
ISNUMBER(SEARCH("China PR",S1244)),"China",
ISNUMBER(SEARCH("IR Iran",S1244)),"Iran",
ISNUMBER(SEARCH("Congo DR",S1244)),"Democratic Republic of the Congo",
ISNUMBER(SEARCH("DR Congo",S1244)),"Democratic Republic of the Congo",
ISNUMBER(SEARCH("German DR",S1244)),"DR Germany",
ISNUMBER(SEARCH("rn""&gt;United Arab Emirates",S1244)),"United Arab Emirates",
ISNUMBER(SEARCH("rn""&gt;Republic of Ireland",S1244)),"Ireland",
ISNUMBER(SEARCH("rn""&gt;Bosnia and Herzegovina",S1244)),"Bosnia and Herzegovina",
ISNUMBER(SEARCH("rn""&gt;Trinidad and Tobago",S1244)),"Trinidad and Tobago",
ISNUMBER(SEARCH("rn""&gt;Serbia and Montenegro",S1244)),"Serbia and Montenegro",
ISNUMBER(SEARCH(_xlfn.UNICHAR(65533),S1244)),"Côte d'Ivoire",
TRUE,""
)</f>
        <v/>
      </c>
      <c r="W1244" s="12" t="str">
        <f t="shared" si="104"/>
        <v>Bosnia and Herzegovina</v>
      </c>
    </row>
    <row r="1245" spans="2:23">
      <c r="B1245" s="75">
        <v>808</v>
      </c>
      <c r="C1245" s="15" t="str">
        <v>Santiago Mele</v>
      </c>
      <c r="D1245" s="15">
        <v>28</v>
      </c>
      <c r="E1245" s="15" t="str">
        <v>Uruguay</v>
      </c>
      <c r="F1245" s="15" t="str">
        <v>GK</v>
      </c>
      <c r="G1245" s="15" t="str">
        <v>Monterrey</v>
      </c>
      <c r="H1245" s="15">
        <v>12</v>
      </c>
      <c r="I1245" s="15" t="str">
        <f t="shared" si="105"/>
        <v>808|Santiago Mele|28|Uruguay|GK|Monterrey|12</v>
      </c>
      <c r="J1245" s="15" t="str">
        <f>IF(COUNTIF(I$438:I1245,I1245)&gt;1,"DOUBLON","OK")</f>
        <v>OK</v>
      </c>
      <c r="S1245" s="12" t="str">
        <v>Bosnia and Herzegovina</v>
      </c>
      <c r="T1245" s="12" t="str">
        <f t="shared" si="102"/>
        <v>OK</v>
      </c>
      <c r="U1245" s="12" t="str">
        <f t="shared" si="103"/>
        <v>-</v>
      </c>
      <c r="V1245" s="12" t="str" cm="1">
        <f t="array" ref="V1245">_xlfn.IFS(
ISNUMBER(SEARCH("USA",S1245)),"United States",
ISNUMBER(SEARCH("Republic of Ireland",S1245)),"Ireland",
ISNUMBER(SEARCH("Republic of Korea",S1245)),"South Korea",
ISNUMBER(SEARCH("Cape Verde",S1245)),"Cabo Verde",
ISNUMBER(SEARCH("Czechia",S1245)),"Czech Republic",
ISNUMBER(SEARCH("Türkiye",S1245)),"Turkey",
ISNUMBER(SEARCH("Ivory Coast",S1245)),"Côte d'Ivoire",
ISNUMBER(SEARCH("Korea Republic",S1245)),"South Korea",
ISNUMBER(SEARCH("Germany FR",S1245)),"FR Germany",
ISNUMBER(SEARCH("West Germany",S1245)),"FR Germany",
ISNUMBER(SEARCH("Germany DR",S1245)),"DR Germany",
ISNUMBER(SEARCH("Korea DPR",S1245)),"North Korea",
ISNUMBER(SEARCH("China PR",S1245)),"China",
ISNUMBER(SEARCH("IR Iran",S1245)),"Iran",
ISNUMBER(SEARCH("Congo DR",S1245)),"Democratic Republic of the Congo",
ISNUMBER(SEARCH("DR Congo",S1245)),"Democratic Republic of the Congo",
ISNUMBER(SEARCH("German DR",S1245)),"DR Germany",
ISNUMBER(SEARCH("rn""&gt;United Arab Emirates",S1245)),"United Arab Emirates",
ISNUMBER(SEARCH("rn""&gt;Republic of Ireland",S1245)),"Ireland",
ISNUMBER(SEARCH("rn""&gt;Bosnia and Herzegovina",S1245)),"Bosnia and Herzegovina",
ISNUMBER(SEARCH("rn""&gt;Trinidad and Tobago",S1245)),"Trinidad and Tobago",
ISNUMBER(SEARCH("rn""&gt;Serbia and Montenegro",S1245)),"Serbia and Montenegro",
ISNUMBER(SEARCH(_xlfn.UNICHAR(65533),S1245)),"Côte d'Ivoire",
TRUE,""
)</f>
        <v/>
      </c>
      <c r="W1245" s="12" t="str">
        <f t="shared" si="104"/>
        <v>Bosnia and Herzegovina</v>
      </c>
    </row>
    <row r="1246" spans="2:23">
      <c r="B1246" s="75">
        <v>809</v>
      </c>
      <c r="C1246" s="15" t="str">
        <v>Fernando Muslera</v>
      </c>
      <c r="D1246" s="15">
        <v>39</v>
      </c>
      <c r="E1246" s="15" t="str">
        <v>Uruguay</v>
      </c>
      <c r="F1246" s="15" t="str">
        <v>GK</v>
      </c>
      <c r="G1246" s="15" t="str">
        <v>Estudiantes</v>
      </c>
      <c r="H1246" s="15">
        <v>23</v>
      </c>
      <c r="I1246" s="15" t="str">
        <f t="shared" si="105"/>
        <v>809|Fernando Muslera|39|Uruguay|GK|Estudiantes|23</v>
      </c>
      <c r="J1246" s="15" t="str">
        <f>IF(COUNTIF(I$438:I1246,I1246)&gt;1,"DOUBLON","OK")</f>
        <v>OK</v>
      </c>
      <c r="S1246" s="12" t="str">
        <v>Bosnia and Herzegovina</v>
      </c>
      <c r="T1246" s="12" t="str">
        <f t="shared" si="102"/>
        <v>OK</v>
      </c>
      <c r="U1246" s="12" t="str">
        <f t="shared" si="103"/>
        <v>-</v>
      </c>
      <c r="V1246" s="12" t="str" cm="1">
        <f t="array" ref="V1246">_xlfn.IFS(
ISNUMBER(SEARCH("USA",S1246)),"United States",
ISNUMBER(SEARCH("Republic of Ireland",S1246)),"Ireland",
ISNUMBER(SEARCH("Republic of Korea",S1246)),"South Korea",
ISNUMBER(SEARCH("Cape Verde",S1246)),"Cabo Verde",
ISNUMBER(SEARCH("Czechia",S1246)),"Czech Republic",
ISNUMBER(SEARCH("Türkiye",S1246)),"Turkey",
ISNUMBER(SEARCH("Ivory Coast",S1246)),"Côte d'Ivoire",
ISNUMBER(SEARCH("Korea Republic",S1246)),"South Korea",
ISNUMBER(SEARCH("Germany FR",S1246)),"FR Germany",
ISNUMBER(SEARCH("West Germany",S1246)),"FR Germany",
ISNUMBER(SEARCH("Germany DR",S1246)),"DR Germany",
ISNUMBER(SEARCH("Korea DPR",S1246)),"North Korea",
ISNUMBER(SEARCH("China PR",S1246)),"China",
ISNUMBER(SEARCH("IR Iran",S1246)),"Iran",
ISNUMBER(SEARCH("Congo DR",S1246)),"Democratic Republic of the Congo",
ISNUMBER(SEARCH("DR Congo",S1246)),"Democratic Republic of the Congo",
ISNUMBER(SEARCH("German DR",S1246)),"DR Germany",
ISNUMBER(SEARCH("rn""&gt;United Arab Emirates",S1246)),"United Arab Emirates",
ISNUMBER(SEARCH("rn""&gt;Republic of Ireland",S1246)),"Ireland",
ISNUMBER(SEARCH("rn""&gt;Bosnia and Herzegovina",S1246)),"Bosnia and Herzegovina",
ISNUMBER(SEARCH("rn""&gt;Trinidad and Tobago",S1246)),"Trinidad and Tobago",
ISNUMBER(SEARCH("rn""&gt;Serbia and Montenegro",S1246)),"Serbia and Montenegro",
ISNUMBER(SEARCH(_xlfn.UNICHAR(65533),S1246)),"Côte d'Ivoire",
TRUE,""
)</f>
        <v/>
      </c>
      <c r="W1246" s="12" t="str">
        <f t="shared" si="104"/>
        <v>Bosnia and Herzegovina</v>
      </c>
    </row>
    <row r="1247" spans="2:23">
      <c r="B1247" s="75">
        <v>810</v>
      </c>
      <c r="C1247" s="15" t="str">
        <v>José María Giménez</v>
      </c>
      <c r="D1247" s="15">
        <v>31</v>
      </c>
      <c r="E1247" s="15" t="str">
        <v>Uruguay</v>
      </c>
      <c r="F1247" s="15" t="str">
        <v>CB</v>
      </c>
      <c r="G1247" s="15" t="str">
        <v>Atlético Madrid</v>
      </c>
      <c r="H1247" s="15">
        <v>2</v>
      </c>
      <c r="I1247" s="15" t="str">
        <f t="shared" si="105"/>
        <v>810|José María Giménez|31|Uruguay|CB|Atlético Madrid|2</v>
      </c>
      <c r="J1247" s="15" t="str">
        <f>IF(COUNTIF(I$438:I1247,I1247)&gt;1,"DOUBLON","OK")</f>
        <v>OK</v>
      </c>
      <c r="S1247" s="12" t="str">
        <v>Bosnia and Herzegovina</v>
      </c>
      <c r="T1247" s="12" t="str">
        <f t="shared" si="102"/>
        <v>OK</v>
      </c>
      <c r="U1247" s="12" t="str">
        <f t="shared" si="103"/>
        <v>-</v>
      </c>
      <c r="V1247" s="12" t="str" cm="1">
        <f t="array" ref="V1247">_xlfn.IFS(
ISNUMBER(SEARCH("USA",S1247)),"United States",
ISNUMBER(SEARCH("Republic of Ireland",S1247)),"Ireland",
ISNUMBER(SEARCH("Republic of Korea",S1247)),"South Korea",
ISNUMBER(SEARCH("Cape Verde",S1247)),"Cabo Verde",
ISNUMBER(SEARCH("Czechia",S1247)),"Czech Republic",
ISNUMBER(SEARCH("Türkiye",S1247)),"Turkey",
ISNUMBER(SEARCH("Ivory Coast",S1247)),"Côte d'Ivoire",
ISNUMBER(SEARCH("Korea Republic",S1247)),"South Korea",
ISNUMBER(SEARCH("Germany FR",S1247)),"FR Germany",
ISNUMBER(SEARCH("West Germany",S1247)),"FR Germany",
ISNUMBER(SEARCH("Germany DR",S1247)),"DR Germany",
ISNUMBER(SEARCH("Korea DPR",S1247)),"North Korea",
ISNUMBER(SEARCH("China PR",S1247)),"China",
ISNUMBER(SEARCH("IR Iran",S1247)),"Iran",
ISNUMBER(SEARCH("Congo DR",S1247)),"Democratic Republic of the Congo",
ISNUMBER(SEARCH("DR Congo",S1247)),"Democratic Republic of the Congo",
ISNUMBER(SEARCH("German DR",S1247)),"DR Germany",
ISNUMBER(SEARCH("rn""&gt;United Arab Emirates",S1247)),"United Arab Emirates",
ISNUMBER(SEARCH("rn""&gt;Republic of Ireland",S1247)),"Ireland",
ISNUMBER(SEARCH("rn""&gt;Bosnia and Herzegovina",S1247)),"Bosnia and Herzegovina",
ISNUMBER(SEARCH("rn""&gt;Trinidad and Tobago",S1247)),"Trinidad and Tobago",
ISNUMBER(SEARCH("rn""&gt;Serbia and Montenegro",S1247)),"Serbia and Montenegro",
ISNUMBER(SEARCH(_xlfn.UNICHAR(65533),S1247)),"Côte d'Ivoire",
TRUE,""
)</f>
        <v/>
      </c>
      <c r="W1247" s="12" t="str">
        <f t="shared" si="104"/>
        <v>Bosnia and Herzegovina</v>
      </c>
    </row>
    <row r="1248" spans="2:23">
      <c r="B1248" s="75">
        <v>811</v>
      </c>
      <c r="C1248" s="15" t="str">
        <v>Sebastián Cáceres</v>
      </c>
      <c r="D1248" s="15">
        <v>26</v>
      </c>
      <c r="E1248" s="15" t="str">
        <v>Uruguay</v>
      </c>
      <c r="F1248" s="15" t="str">
        <v>CB</v>
      </c>
      <c r="G1248" s="15" t="str">
        <v>América</v>
      </c>
      <c r="H1248" s="15">
        <v>3</v>
      </c>
      <c r="I1248" s="15" t="str">
        <f t="shared" si="105"/>
        <v>811|Sebastián Cáceres|26|Uruguay|CB|América|3</v>
      </c>
      <c r="J1248" s="15" t="str">
        <f>IF(COUNTIF(I$438:I1248,I1248)&gt;1,"DOUBLON","OK")</f>
        <v>OK</v>
      </c>
      <c r="S1248" s="12" t="str">
        <v>Bosnia and Herzegovina</v>
      </c>
      <c r="T1248" s="12" t="str">
        <f t="shared" si="102"/>
        <v>OK</v>
      </c>
      <c r="U1248" s="12" t="str">
        <f t="shared" si="103"/>
        <v>-</v>
      </c>
      <c r="V1248" s="12" t="str" cm="1">
        <f t="array" ref="V1248">_xlfn.IFS(
ISNUMBER(SEARCH("USA",S1248)),"United States",
ISNUMBER(SEARCH("Republic of Ireland",S1248)),"Ireland",
ISNUMBER(SEARCH("Republic of Korea",S1248)),"South Korea",
ISNUMBER(SEARCH("Cape Verde",S1248)),"Cabo Verde",
ISNUMBER(SEARCH("Czechia",S1248)),"Czech Republic",
ISNUMBER(SEARCH("Türkiye",S1248)),"Turkey",
ISNUMBER(SEARCH("Ivory Coast",S1248)),"Côte d'Ivoire",
ISNUMBER(SEARCH("Korea Republic",S1248)),"South Korea",
ISNUMBER(SEARCH("Germany FR",S1248)),"FR Germany",
ISNUMBER(SEARCH("West Germany",S1248)),"FR Germany",
ISNUMBER(SEARCH("Germany DR",S1248)),"DR Germany",
ISNUMBER(SEARCH("Korea DPR",S1248)),"North Korea",
ISNUMBER(SEARCH("China PR",S1248)),"China",
ISNUMBER(SEARCH("IR Iran",S1248)),"Iran",
ISNUMBER(SEARCH("Congo DR",S1248)),"Democratic Republic of the Congo",
ISNUMBER(SEARCH("DR Congo",S1248)),"Democratic Republic of the Congo",
ISNUMBER(SEARCH("German DR",S1248)),"DR Germany",
ISNUMBER(SEARCH("rn""&gt;United Arab Emirates",S1248)),"United Arab Emirates",
ISNUMBER(SEARCH("rn""&gt;Republic of Ireland",S1248)),"Ireland",
ISNUMBER(SEARCH("rn""&gt;Bosnia and Herzegovina",S1248)),"Bosnia and Herzegovina",
ISNUMBER(SEARCH("rn""&gt;Trinidad and Tobago",S1248)),"Trinidad and Tobago",
ISNUMBER(SEARCH("rn""&gt;Serbia and Montenegro",S1248)),"Serbia and Montenegro",
ISNUMBER(SEARCH(_xlfn.UNICHAR(65533),S1248)),"Côte d'Ivoire",
TRUE,""
)</f>
        <v/>
      </c>
      <c r="W1248" s="12" t="str">
        <f t="shared" si="104"/>
        <v>Bosnia and Herzegovina</v>
      </c>
    </row>
    <row r="1249" spans="2:23">
      <c r="B1249" s="75">
        <v>812</v>
      </c>
      <c r="C1249" s="15" t="str">
        <v>Ronald Araújo</v>
      </c>
      <c r="D1249" s="15">
        <v>27</v>
      </c>
      <c r="E1249" s="15" t="str">
        <v>Uruguay</v>
      </c>
      <c r="F1249" s="15" t="str">
        <v>CB</v>
      </c>
      <c r="G1249" s="15" t="str">
        <v>Barcelona</v>
      </c>
      <c r="H1249" s="15">
        <v>4</v>
      </c>
      <c r="I1249" s="15" t="str">
        <f t="shared" si="105"/>
        <v>812|Ronald Araújo|27|Uruguay|CB|Barcelona|4</v>
      </c>
      <c r="J1249" s="15" t="str">
        <f>IF(COUNTIF(I$438:I1249,I1249)&gt;1,"DOUBLON","OK")</f>
        <v>OK</v>
      </c>
      <c r="S1249" s="12" t="str">
        <v>Bosnia and Herzegovina</v>
      </c>
      <c r="T1249" s="12" t="str">
        <f t="shared" ref="T1249:T1312" si="106">IF(COUNTIF(R$13:R$250,S1249)=1,"OK","ERREUR")</f>
        <v>OK</v>
      </c>
      <c r="U1249" s="12" t="str">
        <f t="shared" si="103"/>
        <v>-</v>
      </c>
      <c r="V1249" s="12" t="str" cm="1">
        <f t="array" ref="V1249">_xlfn.IFS(
ISNUMBER(SEARCH("USA",S1249)),"United States",
ISNUMBER(SEARCH("Republic of Ireland",S1249)),"Ireland",
ISNUMBER(SEARCH("Republic of Korea",S1249)),"South Korea",
ISNUMBER(SEARCH("Cape Verde",S1249)),"Cabo Verde",
ISNUMBER(SEARCH("Czechia",S1249)),"Czech Republic",
ISNUMBER(SEARCH("Türkiye",S1249)),"Turkey",
ISNUMBER(SEARCH("Ivory Coast",S1249)),"Côte d'Ivoire",
ISNUMBER(SEARCH("Korea Republic",S1249)),"South Korea",
ISNUMBER(SEARCH("Germany FR",S1249)),"FR Germany",
ISNUMBER(SEARCH("West Germany",S1249)),"FR Germany",
ISNUMBER(SEARCH("Germany DR",S1249)),"DR Germany",
ISNUMBER(SEARCH("Korea DPR",S1249)),"North Korea",
ISNUMBER(SEARCH("China PR",S1249)),"China",
ISNUMBER(SEARCH("IR Iran",S1249)),"Iran",
ISNUMBER(SEARCH("Congo DR",S1249)),"Democratic Republic of the Congo",
ISNUMBER(SEARCH("DR Congo",S1249)),"Democratic Republic of the Congo",
ISNUMBER(SEARCH("German DR",S1249)),"DR Germany",
ISNUMBER(SEARCH("rn""&gt;United Arab Emirates",S1249)),"United Arab Emirates",
ISNUMBER(SEARCH("rn""&gt;Republic of Ireland",S1249)),"Ireland",
ISNUMBER(SEARCH("rn""&gt;Bosnia and Herzegovina",S1249)),"Bosnia and Herzegovina",
ISNUMBER(SEARCH("rn""&gt;Trinidad and Tobago",S1249)),"Trinidad and Tobago",
ISNUMBER(SEARCH("rn""&gt;Serbia and Montenegro",S1249)),"Serbia and Montenegro",
ISNUMBER(SEARCH(_xlfn.UNICHAR(65533),S1249)),"Côte d'Ivoire",
TRUE,""
)</f>
        <v/>
      </c>
      <c r="W1249" s="12" t="str">
        <f t="shared" si="104"/>
        <v>Bosnia and Herzegovina</v>
      </c>
    </row>
    <row r="1250" spans="2:23">
      <c r="B1250" s="75">
        <v>813</v>
      </c>
      <c r="C1250" s="15" t="str">
        <v>Santiago Bueno</v>
      </c>
      <c r="D1250" s="15">
        <v>27</v>
      </c>
      <c r="E1250" s="15" t="str">
        <v>Uruguay</v>
      </c>
      <c r="F1250" s="15" t="str">
        <v>CB</v>
      </c>
      <c r="G1250" s="15" t="str">
        <v>Wolverhampton Wanderers</v>
      </c>
      <c r="H1250" s="15">
        <v>24</v>
      </c>
      <c r="I1250" s="15" t="str">
        <f t="shared" si="105"/>
        <v>813|Santiago Bueno|27|Uruguay|CB|Wolverhampton Wanderers|24</v>
      </c>
      <c r="J1250" s="15" t="str">
        <f>IF(COUNTIF(I$438:I1250,I1250)&gt;1,"DOUBLON","OK")</f>
        <v>OK</v>
      </c>
      <c r="S1250" s="12" t="str">
        <v>Bosnia and Herzegovina</v>
      </c>
      <c r="T1250" s="12" t="str">
        <f t="shared" si="106"/>
        <v>OK</v>
      </c>
      <c r="U1250" s="12" t="str">
        <f t="shared" ref="U1250:U1313" si="107">IF(OR(S1250="Scotland",S1250="England",S1250="Wales",S1250="Yugoslavia",S1250="Czechoslovakia",S1250="Northern Ireland",S1250="Soviet Union",S1250="Zaire",S1250="Dutch East Indies"),"AUCUNE",IF(OR(S1250="Cape Verde",S1250="USA",S1250="DR Congo",S1250="Republic of Korea",S1250="Germany FR",S1250="Germany DR",S1250="Czechia",S1250="Ivory Coast",S1250="Korea DPR",S1250="China PR",S1250="IR Iran",S1250="Türkiye",S1250="Congo DR",S1250="German DR",S1250="West Germany",S1250="Republic of Ireland",ISNUMBER(SEARCH("rn""&gt;United Arab Emirates",S1250)),ISNUMBER(SEARCH("rn""&gt;Republic of Ireland",S1250)),ISNUMBER(SEARCH("rn""&gt;Bosnia and Herzegovina",S1250)),ISNUMBER(SEARCH("rn""&gt;Trinidad and Tobago",S1250)),ISNUMBER(SEARCH("rn""&gt;Serbia and Montenegro",S1250)),ISNUMBER(SEARCH(_xlfn.UNICHAR(65533),S1250))),"RENOMMER","-"))</f>
        <v>-</v>
      </c>
      <c r="V1250" s="12" t="str" cm="1">
        <f t="array" ref="V1250">_xlfn.IFS(
ISNUMBER(SEARCH("USA",S1250)),"United States",
ISNUMBER(SEARCH("Republic of Ireland",S1250)),"Ireland",
ISNUMBER(SEARCH("Republic of Korea",S1250)),"South Korea",
ISNUMBER(SEARCH("Cape Verde",S1250)),"Cabo Verde",
ISNUMBER(SEARCH("Czechia",S1250)),"Czech Republic",
ISNUMBER(SEARCH("Türkiye",S1250)),"Turkey",
ISNUMBER(SEARCH("Ivory Coast",S1250)),"Côte d'Ivoire",
ISNUMBER(SEARCH("Korea Republic",S1250)),"South Korea",
ISNUMBER(SEARCH("Germany FR",S1250)),"FR Germany",
ISNUMBER(SEARCH("West Germany",S1250)),"FR Germany",
ISNUMBER(SEARCH("Germany DR",S1250)),"DR Germany",
ISNUMBER(SEARCH("Korea DPR",S1250)),"North Korea",
ISNUMBER(SEARCH("China PR",S1250)),"China",
ISNUMBER(SEARCH("IR Iran",S1250)),"Iran",
ISNUMBER(SEARCH("Congo DR",S1250)),"Democratic Republic of the Congo",
ISNUMBER(SEARCH("DR Congo",S1250)),"Democratic Republic of the Congo",
ISNUMBER(SEARCH("German DR",S1250)),"DR Germany",
ISNUMBER(SEARCH("rn""&gt;United Arab Emirates",S1250)),"United Arab Emirates",
ISNUMBER(SEARCH("rn""&gt;Republic of Ireland",S1250)),"Ireland",
ISNUMBER(SEARCH("rn""&gt;Bosnia and Herzegovina",S1250)),"Bosnia and Herzegovina",
ISNUMBER(SEARCH("rn""&gt;Trinidad and Tobago",S1250)),"Trinidad and Tobago",
ISNUMBER(SEARCH("rn""&gt;Serbia and Montenegro",S1250)),"Serbia and Montenegro",
ISNUMBER(SEARCH(_xlfn.UNICHAR(65533),S1250)),"Côte d'Ivoire",
TRUE,""
)</f>
        <v/>
      </c>
      <c r="W1250" s="12" t="str">
        <f t="shared" ref="W1250:W1313" si="108">IF(V1250="",S1250,V1250)</f>
        <v>Bosnia and Herzegovina</v>
      </c>
    </row>
    <row r="1251" spans="2:23">
      <c r="B1251" s="75">
        <v>814</v>
      </c>
      <c r="C1251" s="15" t="str">
        <v>Mathías Olivera</v>
      </c>
      <c r="D1251" s="15">
        <v>28</v>
      </c>
      <c r="E1251" s="15" t="str">
        <v>Uruguay</v>
      </c>
      <c r="F1251" s="15" t="str">
        <v>LB</v>
      </c>
      <c r="G1251" s="15" t="str">
        <v>Napoli</v>
      </c>
      <c r="H1251" s="15">
        <v>16</v>
      </c>
      <c r="I1251" s="15" t="str">
        <f t="shared" si="105"/>
        <v>814|Mathías Olivera|28|Uruguay|LB|Napoli|16</v>
      </c>
      <c r="J1251" s="15" t="str">
        <f>IF(COUNTIF(I$438:I1251,I1251)&gt;1,"DOUBLON","OK")</f>
        <v>OK</v>
      </c>
      <c r="S1251" s="12" t="str">
        <v>Canada</v>
      </c>
      <c r="T1251" s="12" t="str">
        <f t="shared" si="106"/>
        <v>OK</v>
      </c>
      <c r="U1251" s="12" t="str">
        <f t="shared" si="107"/>
        <v>-</v>
      </c>
      <c r="V1251" s="12" t="str" cm="1">
        <f t="array" ref="V1251">_xlfn.IFS(
ISNUMBER(SEARCH("USA",S1251)),"United States",
ISNUMBER(SEARCH("Republic of Ireland",S1251)),"Ireland",
ISNUMBER(SEARCH("Republic of Korea",S1251)),"South Korea",
ISNUMBER(SEARCH("Cape Verde",S1251)),"Cabo Verde",
ISNUMBER(SEARCH("Czechia",S1251)),"Czech Republic",
ISNUMBER(SEARCH("Türkiye",S1251)),"Turkey",
ISNUMBER(SEARCH("Ivory Coast",S1251)),"Côte d'Ivoire",
ISNUMBER(SEARCH("Korea Republic",S1251)),"South Korea",
ISNUMBER(SEARCH("Germany FR",S1251)),"FR Germany",
ISNUMBER(SEARCH("West Germany",S1251)),"FR Germany",
ISNUMBER(SEARCH("Germany DR",S1251)),"DR Germany",
ISNUMBER(SEARCH("Korea DPR",S1251)),"North Korea",
ISNUMBER(SEARCH("China PR",S1251)),"China",
ISNUMBER(SEARCH("IR Iran",S1251)),"Iran",
ISNUMBER(SEARCH("Congo DR",S1251)),"Democratic Republic of the Congo",
ISNUMBER(SEARCH("DR Congo",S1251)),"Democratic Republic of the Congo",
ISNUMBER(SEARCH("German DR",S1251)),"DR Germany",
ISNUMBER(SEARCH("rn""&gt;United Arab Emirates",S1251)),"United Arab Emirates",
ISNUMBER(SEARCH("rn""&gt;Republic of Ireland",S1251)),"Ireland",
ISNUMBER(SEARCH("rn""&gt;Bosnia and Herzegovina",S1251)),"Bosnia and Herzegovina",
ISNUMBER(SEARCH("rn""&gt;Trinidad and Tobago",S1251)),"Trinidad and Tobago",
ISNUMBER(SEARCH("rn""&gt;Serbia and Montenegro",S1251)),"Serbia and Montenegro",
ISNUMBER(SEARCH(_xlfn.UNICHAR(65533),S1251)),"Côte d'Ivoire",
TRUE,""
)</f>
        <v/>
      </c>
      <c r="W1251" s="12" t="str">
        <f t="shared" si="108"/>
        <v>Canada</v>
      </c>
    </row>
    <row r="1252" spans="2:23">
      <c r="B1252" s="75">
        <v>815</v>
      </c>
      <c r="C1252" s="15" t="str">
        <v>Matías Viña</v>
      </c>
      <c r="D1252" s="15">
        <v>28</v>
      </c>
      <c r="E1252" s="15" t="str">
        <v>Uruguay</v>
      </c>
      <c r="F1252" s="15" t="str">
        <v>LB</v>
      </c>
      <c r="G1252" s="15" t="str">
        <v>River Plate</v>
      </c>
      <c r="H1252" s="15">
        <v>17</v>
      </c>
      <c r="I1252" s="15" t="str">
        <f t="shared" si="105"/>
        <v>815|Matías Viña|28|Uruguay|LB|River Plate|17</v>
      </c>
      <c r="J1252" s="15" t="str">
        <f>IF(COUNTIF(I$438:I1252,I1252)&gt;1,"DOUBLON","OK")</f>
        <v>OK</v>
      </c>
      <c r="S1252" s="12" t="str">
        <v>Canada</v>
      </c>
      <c r="T1252" s="12" t="str">
        <f t="shared" si="106"/>
        <v>OK</v>
      </c>
      <c r="U1252" s="12" t="str">
        <f t="shared" si="107"/>
        <v>-</v>
      </c>
      <c r="V1252" s="12" t="str" cm="1">
        <f t="array" ref="V1252">_xlfn.IFS(
ISNUMBER(SEARCH("USA",S1252)),"United States",
ISNUMBER(SEARCH("Republic of Ireland",S1252)),"Ireland",
ISNUMBER(SEARCH("Republic of Korea",S1252)),"South Korea",
ISNUMBER(SEARCH("Cape Verde",S1252)),"Cabo Verde",
ISNUMBER(SEARCH("Czechia",S1252)),"Czech Republic",
ISNUMBER(SEARCH("Türkiye",S1252)),"Turkey",
ISNUMBER(SEARCH("Ivory Coast",S1252)),"Côte d'Ivoire",
ISNUMBER(SEARCH("Korea Republic",S1252)),"South Korea",
ISNUMBER(SEARCH("Germany FR",S1252)),"FR Germany",
ISNUMBER(SEARCH("West Germany",S1252)),"FR Germany",
ISNUMBER(SEARCH("Germany DR",S1252)),"DR Germany",
ISNUMBER(SEARCH("Korea DPR",S1252)),"North Korea",
ISNUMBER(SEARCH("China PR",S1252)),"China",
ISNUMBER(SEARCH("IR Iran",S1252)),"Iran",
ISNUMBER(SEARCH("Congo DR",S1252)),"Democratic Republic of the Congo",
ISNUMBER(SEARCH("DR Congo",S1252)),"Democratic Republic of the Congo",
ISNUMBER(SEARCH("German DR",S1252)),"DR Germany",
ISNUMBER(SEARCH("rn""&gt;United Arab Emirates",S1252)),"United Arab Emirates",
ISNUMBER(SEARCH("rn""&gt;Republic of Ireland",S1252)),"Ireland",
ISNUMBER(SEARCH("rn""&gt;Bosnia and Herzegovina",S1252)),"Bosnia and Herzegovina",
ISNUMBER(SEARCH("rn""&gt;Trinidad and Tobago",S1252)),"Trinidad and Tobago",
ISNUMBER(SEARCH("rn""&gt;Serbia and Montenegro",S1252)),"Serbia and Montenegro",
ISNUMBER(SEARCH(_xlfn.UNICHAR(65533),S1252)),"Côte d'Ivoire",
TRUE,""
)</f>
        <v/>
      </c>
      <c r="W1252" s="12" t="str">
        <f t="shared" si="108"/>
        <v>Canada</v>
      </c>
    </row>
    <row r="1253" spans="2:23">
      <c r="B1253" s="75">
        <v>816</v>
      </c>
      <c r="C1253" s="15" t="str">
        <v>Guillermo Varela</v>
      </c>
      <c r="D1253" s="15">
        <v>33</v>
      </c>
      <c r="E1253" s="15" t="str">
        <v>Uruguay</v>
      </c>
      <c r="F1253" s="15" t="str">
        <v>RB</v>
      </c>
      <c r="G1253" s="15" t="str">
        <v>Flamengo</v>
      </c>
      <c r="H1253" s="15">
        <v>13</v>
      </c>
      <c r="I1253" s="15" t="str">
        <f t="shared" si="105"/>
        <v>816|Guillermo Varela|33|Uruguay|RB|Flamengo|13</v>
      </c>
      <c r="J1253" s="15" t="str">
        <f>IF(COUNTIF(I$438:I1253,I1253)&gt;1,"DOUBLON","OK")</f>
        <v>OK</v>
      </c>
      <c r="S1253" s="12" t="str">
        <v>Canada</v>
      </c>
      <c r="T1253" s="12" t="str">
        <f t="shared" si="106"/>
        <v>OK</v>
      </c>
      <c r="U1253" s="12" t="str">
        <f t="shared" si="107"/>
        <v>-</v>
      </c>
      <c r="V1253" s="12" t="str" cm="1">
        <f t="array" ref="V1253">_xlfn.IFS(
ISNUMBER(SEARCH("USA",S1253)),"United States",
ISNUMBER(SEARCH("Republic of Ireland",S1253)),"Ireland",
ISNUMBER(SEARCH("Republic of Korea",S1253)),"South Korea",
ISNUMBER(SEARCH("Cape Verde",S1253)),"Cabo Verde",
ISNUMBER(SEARCH("Czechia",S1253)),"Czech Republic",
ISNUMBER(SEARCH("Türkiye",S1253)),"Turkey",
ISNUMBER(SEARCH("Ivory Coast",S1253)),"Côte d'Ivoire",
ISNUMBER(SEARCH("Korea Republic",S1253)),"South Korea",
ISNUMBER(SEARCH("Germany FR",S1253)),"FR Germany",
ISNUMBER(SEARCH("West Germany",S1253)),"FR Germany",
ISNUMBER(SEARCH("Germany DR",S1253)),"DR Germany",
ISNUMBER(SEARCH("Korea DPR",S1253)),"North Korea",
ISNUMBER(SEARCH("China PR",S1253)),"China",
ISNUMBER(SEARCH("IR Iran",S1253)),"Iran",
ISNUMBER(SEARCH("Congo DR",S1253)),"Democratic Republic of the Congo",
ISNUMBER(SEARCH("DR Congo",S1253)),"Democratic Republic of the Congo",
ISNUMBER(SEARCH("German DR",S1253)),"DR Germany",
ISNUMBER(SEARCH("rn""&gt;United Arab Emirates",S1253)),"United Arab Emirates",
ISNUMBER(SEARCH("rn""&gt;Republic of Ireland",S1253)),"Ireland",
ISNUMBER(SEARCH("rn""&gt;Bosnia and Herzegovina",S1253)),"Bosnia and Herzegovina",
ISNUMBER(SEARCH("rn""&gt;Trinidad and Tobago",S1253)),"Trinidad and Tobago",
ISNUMBER(SEARCH("rn""&gt;Serbia and Montenegro",S1253)),"Serbia and Montenegro",
ISNUMBER(SEARCH(_xlfn.UNICHAR(65533),S1253)),"Côte d'Ivoire",
TRUE,""
)</f>
        <v/>
      </c>
      <c r="W1253" s="12" t="str">
        <f t="shared" si="108"/>
        <v>Canada</v>
      </c>
    </row>
    <row r="1254" spans="2:23">
      <c r="B1254" s="75">
        <v>817</v>
      </c>
      <c r="C1254" s="15" t="str">
        <v>Manuel Ugarte</v>
      </c>
      <c r="D1254" s="15">
        <v>25</v>
      </c>
      <c r="E1254" s="15" t="str">
        <v>Uruguay</v>
      </c>
      <c r="F1254" s="15" t="str">
        <v>CDM</v>
      </c>
      <c r="G1254" s="15" t="str">
        <v>Manchester United</v>
      </c>
      <c r="H1254" s="15">
        <v>5</v>
      </c>
      <c r="I1254" s="15" t="str">
        <f t="shared" si="105"/>
        <v>817|Manuel Ugarte|25|Uruguay|CDM|Manchester United|5</v>
      </c>
      <c r="J1254" s="15" t="str">
        <f>IF(COUNTIF(I$438:I1254,I1254)&gt;1,"DOUBLON","OK")</f>
        <v>OK</v>
      </c>
      <c r="S1254" s="12" t="str">
        <v>Canada</v>
      </c>
      <c r="T1254" s="12" t="str">
        <f t="shared" si="106"/>
        <v>OK</v>
      </c>
      <c r="U1254" s="12" t="str">
        <f t="shared" si="107"/>
        <v>-</v>
      </c>
      <c r="V1254" s="12" t="str" cm="1">
        <f t="array" ref="V1254">_xlfn.IFS(
ISNUMBER(SEARCH("USA",S1254)),"United States",
ISNUMBER(SEARCH("Republic of Ireland",S1254)),"Ireland",
ISNUMBER(SEARCH("Republic of Korea",S1254)),"South Korea",
ISNUMBER(SEARCH("Cape Verde",S1254)),"Cabo Verde",
ISNUMBER(SEARCH("Czechia",S1254)),"Czech Republic",
ISNUMBER(SEARCH("Türkiye",S1254)),"Turkey",
ISNUMBER(SEARCH("Ivory Coast",S1254)),"Côte d'Ivoire",
ISNUMBER(SEARCH("Korea Republic",S1254)),"South Korea",
ISNUMBER(SEARCH("Germany FR",S1254)),"FR Germany",
ISNUMBER(SEARCH("West Germany",S1254)),"FR Germany",
ISNUMBER(SEARCH("Germany DR",S1254)),"DR Germany",
ISNUMBER(SEARCH("Korea DPR",S1254)),"North Korea",
ISNUMBER(SEARCH("China PR",S1254)),"China",
ISNUMBER(SEARCH("IR Iran",S1254)),"Iran",
ISNUMBER(SEARCH("Congo DR",S1254)),"Democratic Republic of the Congo",
ISNUMBER(SEARCH("DR Congo",S1254)),"Democratic Republic of the Congo",
ISNUMBER(SEARCH("German DR",S1254)),"DR Germany",
ISNUMBER(SEARCH("rn""&gt;United Arab Emirates",S1254)),"United Arab Emirates",
ISNUMBER(SEARCH("rn""&gt;Republic of Ireland",S1254)),"Ireland",
ISNUMBER(SEARCH("rn""&gt;Bosnia and Herzegovina",S1254)),"Bosnia and Herzegovina",
ISNUMBER(SEARCH("rn""&gt;Trinidad and Tobago",S1254)),"Trinidad and Tobago",
ISNUMBER(SEARCH("rn""&gt;Serbia and Montenegro",S1254)),"Serbia and Montenegro",
ISNUMBER(SEARCH(_xlfn.UNICHAR(65533),S1254)),"Côte d'Ivoire",
TRUE,""
)</f>
        <v/>
      </c>
      <c r="W1254" s="12" t="str">
        <f t="shared" si="108"/>
        <v>Canada</v>
      </c>
    </row>
    <row r="1255" spans="2:23">
      <c r="B1255" s="75">
        <v>818</v>
      </c>
      <c r="C1255" s="15" t="str">
        <v>Emiliano Martínez</v>
      </c>
      <c r="D1255" s="15">
        <v>26</v>
      </c>
      <c r="E1255" s="15" t="str">
        <v>Uruguay</v>
      </c>
      <c r="F1255" s="15" t="str">
        <v>CDM</v>
      </c>
      <c r="G1255" s="15" t="str">
        <v>Palmeiras</v>
      </c>
      <c r="H1255" s="15">
        <v>15</v>
      </c>
      <c r="I1255" s="15" t="str">
        <f t="shared" si="105"/>
        <v>818|Emiliano Martínez|26|Uruguay|CDM|Palmeiras|15</v>
      </c>
      <c r="J1255" s="15" t="str">
        <f>IF(COUNTIF(I$438:I1255,I1255)&gt;1,"DOUBLON","OK")</f>
        <v>OK</v>
      </c>
      <c r="S1255" s="12" t="str">
        <v>Canada</v>
      </c>
      <c r="T1255" s="12" t="str">
        <f t="shared" si="106"/>
        <v>OK</v>
      </c>
      <c r="U1255" s="12" t="str">
        <f t="shared" si="107"/>
        <v>-</v>
      </c>
      <c r="V1255" s="12" t="str" cm="1">
        <f t="array" ref="V1255">_xlfn.IFS(
ISNUMBER(SEARCH("USA",S1255)),"United States",
ISNUMBER(SEARCH("Republic of Ireland",S1255)),"Ireland",
ISNUMBER(SEARCH("Republic of Korea",S1255)),"South Korea",
ISNUMBER(SEARCH("Cape Verde",S1255)),"Cabo Verde",
ISNUMBER(SEARCH("Czechia",S1255)),"Czech Republic",
ISNUMBER(SEARCH("Türkiye",S1255)),"Turkey",
ISNUMBER(SEARCH("Ivory Coast",S1255)),"Côte d'Ivoire",
ISNUMBER(SEARCH("Korea Republic",S1255)),"South Korea",
ISNUMBER(SEARCH("Germany FR",S1255)),"FR Germany",
ISNUMBER(SEARCH("West Germany",S1255)),"FR Germany",
ISNUMBER(SEARCH("Germany DR",S1255)),"DR Germany",
ISNUMBER(SEARCH("Korea DPR",S1255)),"North Korea",
ISNUMBER(SEARCH("China PR",S1255)),"China",
ISNUMBER(SEARCH("IR Iran",S1255)),"Iran",
ISNUMBER(SEARCH("Congo DR",S1255)),"Democratic Republic of the Congo",
ISNUMBER(SEARCH("DR Congo",S1255)),"Democratic Republic of the Congo",
ISNUMBER(SEARCH("German DR",S1255)),"DR Germany",
ISNUMBER(SEARCH("rn""&gt;United Arab Emirates",S1255)),"United Arab Emirates",
ISNUMBER(SEARCH("rn""&gt;Republic of Ireland",S1255)),"Ireland",
ISNUMBER(SEARCH("rn""&gt;Bosnia and Herzegovina",S1255)),"Bosnia and Herzegovina",
ISNUMBER(SEARCH("rn""&gt;Trinidad and Tobago",S1255)),"Trinidad and Tobago",
ISNUMBER(SEARCH("rn""&gt;Serbia and Montenegro",S1255)),"Serbia and Montenegro",
ISNUMBER(SEARCH(_xlfn.UNICHAR(65533),S1255)),"Côte d'Ivoire",
TRUE,""
)</f>
        <v/>
      </c>
      <c r="W1255" s="12" t="str">
        <f t="shared" si="108"/>
        <v>Canada</v>
      </c>
    </row>
    <row r="1256" spans="2:23">
      <c r="B1256" s="75">
        <v>819</v>
      </c>
      <c r="C1256" s="15" t="str">
        <v>Rodrigo Bentancur</v>
      </c>
      <c r="D1256" s="15">
        <v>28</v>
      </c>
      <c r="E1256" s="15" t="str">
        <v>Uruguay</v>
      </c>
      <c r="F1256" s="15" t="str">
        <v>CM</v>
      </c>
      <c r="G1256" s="15" t="str">
        <v>Tottenham Hotspur</v>
      </c>
      <c r="H1256" s="15">
        <v>6</v>
      </c>
      <c r="I1256" s="15" t="str">
        <f t="shared" si="105"/>
        <v>819|Rodrigo Bentancur|28|Uruguay|CM|Tottenham Hotspur|6</v>
      </c>
      <c r="J1256" s="15" t="str">
        <f>IF(COUNTIF(I$438:I1256,I1256)&gt;1,"DOUBLON","OK")</f>
        <v>OK</v>
      </c>
      <c r="S1256" s="12" t="str">
        <v>Canada</v>
      </c>
      <c r="T1256" s="12" t="str">
        <f t="shared" si="106"/>
        <v>OK</v>
      </c>
      <c r="U1256" s="12" t="str">
        <f t="shared" si="107"/>
        <v>-</v>
      </c>
      <c r="V1256" s="12" t="str" cm="1">
        <f t="array" ref="V1256">_xlfn.IFS(
ISNUMBER(SEARCH("USA",S1256)),"United States",
ISNUMBER(SEARCH("Republic of Ireland",S1256)),"Ireland",
ISNUMBER(SEARCH("Republic of Korea",S1256)),"South Korea",
ISNUMBER(SEARCH("Cape Verde",S1256)),"Cabo Verde",
ISNUMBER(SEARCH("Czechia",S1256)),"Czech Republic",
ISNUMBER(SEARCH("Türkiye",S1256)),"Turkey",
ISNUMBER(SEARCH("Ivory Coast",S1256)),"Côte d'Ivoire",
ISNUMBER(SEARCH("Korea Republic",S1256)),"South Korea",
ISNUMBER(SEARCH("Germany FR",S1256)),"FR Germany",
ISNUMBER(SEARCH("West Germany",S1256)),"FR Germany",
ISNUMBER(SEARCH("Germany DR",S1256)),"DR Germany",
ISNUMBER(SEARCH("Korea DPR",S1256)),"North Korea",
ISNUMBER(SEARCH("China PR",S1256)),"China",
ISNUMBER(SEARCH("IR Iran",S1256)),"Iran",
ISNUMBER(SEARCH("Congo DR",S1256)),"Democratic Republic of the Congo",
ISNUMBER(SEARCH("DR Congo",S1256)),"Democratic Republic of the Congo",
ISNUMBER(SEARCH("German DR",S1256)),"DR Germany",
ISNUMBER(SEARCH("rn""&gt;United Arab Emirates",S1256)),"United Arab Emirates",
ISNUMBER(SEARCH("rn""&gt;Republic of Ireland",S1256)),"Ireland",
ISNUMBER(SEARCH("rn""&gt;Bosnia and Herzegovina",S1256)),"Bosnia and Herzegovina",
ISNUMBER(SEARCH("rn""&gt;Trinidad and Tobago",S1256)),"Trinidad and Tobago",
ISNUMBER(SEARCH("rn""&gt;Serbia and Montenegro",S1256)),"Serbia and Montenegro",
ISNUMBER(SEARCH(_xlfn.UNICHAR(65533),S1256)),"Côte d'Ivoire",
TRUE,""
)</f>
        <v/>
      </c>
      <c r="W1256" s="12" t="str">
        <f t="shared" si="108"/>
        <v>Canada</v>
      </c>
    </row>
    <row r="1257" spans="2:23">
      <c r="B1257" s="75">
        <v>820</v>
      </c>
      <c r="C1257" s="15" t="str">
        <v>Federico Valverde</v>
      </c>
      <c r="D1257" s="15">
        <v>27</v>
      </c>
      <c r="E1257" s="15" t="str">
        <v>Uruguay</v>
      </c>
      <c r="F1257" s="15" t="str">
        <v>CM</v>
      </c>
      <c r="G1257" s="15" t="str">
        <v>Real Madrid</v>
      </c>
      <c r="H1257" s="15">
        <v>8</v>
      </c>
      <c r="I1257" s="15" t="str">
        <f t="shared" si="105"/>
        <v>820|Federico Valverde|27|Uruguay|CM|Real Madrid|8</v>
      </c>
      <c r="J1257" s="15" t="str">
        <f>IF(COUNTIF(I$438:I1257,I1257)&gt;1,"DOUBLON","OK")</f>
        <v>OK</v>
      </c>
      <c r="S1257" s="12" t="str">
        <v>Canada</v>
      </c>
      <c r="T1257" s="12" t="str">
        <f t="shared" si="106"/>
        <v>OK</v>
      </c>
      <c r="U1257" s="12" t="str">
        <f t="shared" si="107"/>
        <v>-</v>
      </c>
      <c r="V1257" s="12" t="str" cm="1">
        <f t="array" ref="V1257">_xlfn.IFS(
ISNUMBER(SEARCH("USA",S1257)),"United States",
ISNUMBER(SEARCH("Republic of Ireland",S1257)),"Ireland",
ISNUMBER(SEARCH("Republic of Korea",S1257)),"South Korea",
ISNUMBER(SEARCH("Cape Verde",S1257)),"Cabo Verde",
ISNUMBER(SEARCH("Czechia",S1257)),"Czech Republic",
ISNUMBER(SEARCH("Türkiye",S1257)),"Turkey",
ISNUMBER(SEARCH("Ivory Coast",S1257)),"Côte d'Ivoire",
ISNUMBER(SEARCH("Korea Republic",S1257)),"South Korea",
ISNUMBER(SEARCH("Germany FR",S1257)),"FR Germany",
ISNUMBER(SEARCH("West Germany",S1257)),"FR Germany",
ISNUMBER(SEARCH("Germany DR",S1257)),"DR Germany",
ISNUMBER(SEARCH("Korea DPR",S1257)),"North Korea",
ISNUMBER(SEARCH("China PR",S1257)),"China",
ISNUMBER(SEARCH("IR Iran",S1257)),"Iran",
ISNUMBER(SEARCH("Congo DR",S1257)),"Democratic Republic of the Congo",
ISNUMBER(SEARCH("DR Congo",S1257)),"Democratic Republic of the Congo",
ISNUMBER(SEARCH("German DR",S1257)),"DR Germany",
ISNUMBER(SEARCH("rn""&gt;United Arab Emirates",S1257)),"United Arab Emirates",
ISNUMBER(SEARCH("rn""&gt;Republic of Ireland",S1257)),"Ireland",
ISNUMBER(SEARCH("rn""&gt;Bosnia and Herzegovina",S1257)),"Bosnia and Herzegovina",
ISNUMBER(SEARCH("rn""&gt;Trinidad and Tobago",S1257)),"Trinidad and Tobago",
ISNUMBER(SEARCH("rn""&gt;Serbia and Montenegro",S1257)),"Serbia and Montenegro",
ISNUMBER(SEARCH(_xlfn.UNICHAR(65533),S1257)),"Côte d'Ivoire",
TRUE,""
)</f>
        <v/>
      </c>
      <c r="W1257" s="12" t="str">
        <f t="shared" si="108"/>
        <v>Canada</v>
      </c>
    </row>
    <row r="1258" spans="2:23">
      <c r="B1258" s="75">
        <v>821</v>
      </c>
      <c r="C1258" s="15" t="str">
        <v>Agustín Canobbio</v>
      </c>
      <c r="D1258" s="15">
        <v>27</v>
      </c>
      <c r="E1258" s="15" t="str">
        <v>Uruguay</v>
      </c>
      <c r="F1258" s="15" t="str">
        <v>CM</v>
      </c>
      <c r="G1258" s="15" t="str">
        <v>Fluminense</v>
      </c>
      <c r="H1258" s="15">
        <v>14</v>
      </c>
      <c r="I1258" s="15" t="str">
        <f t="shared" si="105"/>
        <v>821|Agustín Canobbio|27|Uruguay|CM|Fluminense|14</v>
      </c>
      <c r="J1258" s="15" t="str">
        <f>IF(COUNTIF(I$438:I1258,I1258)&gt;1,"DOUBLON","OK")</f>
        <v>OK</v>
      </c>
      <c r="S1258" s="12" t="str">
        <v>Canada</v>
      </c>
      <c r="T1258" s="12" t="str">
        <f t="shared" si="106"/>
        <v>OK</v>
      </c>
      <c r="U1258" s="12" t="str">
        <f t="shared" si="107"/>
        <v>-</v>
      </c>
      <c r="V1258" s="12" t="str" cm="1">
        <f t="array" ref="V1258">_xlfn.IFS(
ISNUMBER(SEARCH("USA",S1258)),"United States",
ISNUMBER(SEARCH("Republic of Ireland",S1258)),"Ireland",
ISNUMBER(SEARCH("Republic of Korea",S1258)),"South Korea",
ISNUMBER(SEARCH("Cape Verde",S1258)),"Cabo Verde",
ISNUMBER(SEARCH("Czechia",S1258)),"Czech Republic",
ISNUMBER(SEARCH("Türkiye",S1258)),"Turkey",
ISNUMBER(SEARCH("Ivory Coast",S1258)),"Côte d'Ivoire",
ISNUMBER(SEARCH("Korea Republic",S1258)),"South Korea",
ISNUMBER(SEARCH("Germany FR",S1258)),"FR Germany",
ISNUMBER(SEARCH("West Germany",S1258)),"FR Germany",
ISNUMBER(SEARCH("Germany DR",S1258)),"DR Germany",
ISNUMBER(SEARCH("Korea DPR",S1258)),"North Korea",
ISNUMBER(SEARCH("China PR",S1258)),"China",
ISNUMBER(SEARCH("IR Iran",S1258)),"Iran",
ISNUMBER(SEARCH("Congo DR",S1258)),"Democratic Republic of the Congo",
ISNUMBER(SEARCH("DR Congo",S1258)),"Democratic Republic of the Congo",
ISNUMBER(SEARCH("German DR",S1258)),"DR Germany",
ISNUMBER(SEARCH("rn""&gt;United Arab Emirates",S1258)),"United Arab Emirates",
ISNUMBER(SEARCH("rn""&gt;Republic of Ireland",S1258)),"Ireland",
ISNUMBER(SEARCH("rn""&gt;Bosnia and Herzegovina",S1258)),"Bosnia and Herzegovina",
ISNUMBER(SEARCH("rn""&gt;Trinidad and Tobago",S1258)),"Trinidad and Tobago",
ISNUMBER(SEARCH("rn""&gt;Serbia and Montenegro",S1258)),"Serbia and Montenegro",
ISNUMBER(SEARCH(_xlfn.UNICHAR(65533),S1258)),"Côte d'Ivoire",
TRUE,""
)</f>
        <v/>
      </c>
      <c r="W1258" s="12" t="str">
        <f t="shared" si="108"/>
        <v>Canada</v>
      </c>
    </row>
    <row r="1259" spans="2:23">
      <c r="B1259" s="75">
        <v>822</v>
      </c>
      <c r="C1259" s="15" t="str">
        <v>Joaquín Piquerez</v>
      </c>
      <c r="D1259" s="15">
        <v>27</v>
      </c>
      <c r="E1259" s="15" t="str">
        <v>Uruguay</v>
      </c>
      <c r="F1259" s="15" t="str">
        <v>CM</v>
      </c>
      <c r="G1259" s="15" t="str">
        <v>Palmeiras</v>
      </c>
      <c r="H1259" s="15">
        <v>22</v>
      </c>
      <c r="I1259" s="15" t="str">
        <f t="shared" si="105"/>
        <v>822|Joaquín Piquerez|27|Uruguay|CM|Palmeiras|22</v>
      </c>
      <c r="J1259" s="15" t="str">
        <f>IF(COUNTIF(I$438:I1259,I1259)&gt;1,"DOUBLON","OK")</f>
        <v>OK</v>
      </c>
      <c r="S1259" s="12" t="str">
        <v>Canada</v>
      </c>
      <c r="T1259" s="12" t="str">
        <f t="shared" si="106"/>
        <v>OK</v>
      </c>
      <c r="U1259" s="12" t="str">
        <f t="shared" si="107"/>
        <v>-</v>
      </c>
      <c r="V1259" s="12" t="str" cm="1">
        <f t="array" ref="V1259">_xlfn.IFS(
ISNUMBER(SEARCH("USA",S1259)),"United States",
ISNUMBER(SEARCH("Republic of Ireland",S1259)),"Ireland",
ISNUMBER(SEARCH("Republic of Korea",S1259)),"South Korea",
ISNUMBER(SEARCH("Cape Verde",S1259)),"Cabo Verde",
ISNUMBER(SEARCH("Czechia",S1259)),"Czech Republic",
ISNUMBER(SEARCH("Türkiye",S1259)),"Turkey",
ISNUMBER(SEARCH("Ivory Coast",S1259)),"Côte d'Ivoire",
ISNUMBER(SEARCH("Korea Republic",S1259)),"South Korea",
ISNUMBER(SEARCH("Germany FR",S1259)),"FR Germany",
ISNUMBER(SEARCH("West Germany",S1259)),"FR Germany",
ISNUMBER(SEARCH("Germany DR",S1259)),"DR Germany",
ISNUMBER(SEARCH("Korea DPR",S1259)),"North Korea",
ISNUMBER(SEARCH("China PR",S1259)),"China",
ISNUMBER(SEARCH("IR Iran",S1259)),"Iran",
ISNUMBER(SEARCH("Congo DR",S1259)),"Democratic Republic of the Congo",
ISNUMBER(SEARCH("DR Congo",S1259)),"Democratic Republic of the Congo",
ISNUMBER(SEARCH("German DR",S1259)),"DR Germany",
ISNUMBER(SEARCH("rn""&gt;United Arab Emirates",S1259)),"United Arab Emirates",
ISNUMBER(SEARCH("rn""&gt;Republic of Ireland",S1259)),"Ireland",
ISNUMBER(SEARCH("rn""&gt;Bosnia and Herzegovina",S1259)),"Bosnia and Herzegovina",
ISNUMBER(SEARCH("rn""&gt;Trinidad and Tobago",S1259)),"Trinidad and Tobago",
ISNUMBER(SEARCH("rn""&gt;Serbia and Montenegro",S1259)),"Serbia and Montenegro",
ISNUMBER(SEARCH(_xlfn.UNICHAR(65533),S1259)),"Côte d'Ivoire",
TRUE,""
)</f>
        <v/>
      </c>
      <c r="W1259" s="12" t="str">
        <f t="shared" si="108"/>
        <v>Canada</v>
      </c>
    </row>
    <row r="1260" spans="2:23">
      <c r="B1260" s="75">
        <v>823</v>
      </c>
      <c r="C1260" s="15" t="str">
        <v>Juan Manuel Sanabria</v>
      </c>
      <c r="D1260" s="15">
        <v>26</v>
      </c>
      <c r="E1260" s="15" t="str">
        <v>Uruguay</v>
      </c>
      <c r="F1260" s="15" t="str">
        <v>CM</v>
      </c>
      <c r="G1260" s="15" t="str">
        <v>Real Salt Lake</v>
      </c>
      <c r="H1260" s="15">
        <v>25</v>
      </c>
      <c r="I1260" s="15" t="str">
        <f t="shared" si="105"/>
        <v>823|Juan Manuel Sanabria|26|Uruguay|CM|Real Salt Lake|25</v>
      </c>
      <c r="J1260" s="15" t="str">
        <f>IF(COUNTIF(I$438:I1260,I1260)&gt;1,"DOUBLON","OK")</f>
        <v>OK</v>
      </c>
      <c r="S1260" s="12" t="str">
        <v>Canada</v>
      </c>
      <c r="T1260" s="12" t="str">
        <f t="shared" si="106"/>
        <v>OK</v>
      </c>
      <c r="U1260" s="12" t="str">
        <f t="shared" si="107"/>
        <v>-</v>
      </c>
      <c r="V1260" s="12" t="str" cm="1">
        <f t="array" ref="V1260">_xlfn.IFS(
ISNUMBER(SEARCH("USA",S1260)),"United States",
ISNUMBER(SEARCH("Republic of Ireland",S1260)),"Ireland",
ISNUMBER(SEARCH("Republic of Korea",S1260)),"South Korea",
ISNUMBER(SEARCH("Cape Verde",S1260)),"Cabo Verde",
ISNUMBER(SEARCH("Czechia",S1260)),"Czech Republic",
ISNUMBER(SEARCH("Türkiye",S1260)),"Turkey",
ISNUMBER(SEARCH("Ivory Coast",S1260)),"Côte d'Ivoire",
ISNUMBER(SEARCH("Korea Republic",S1260)),"South Korea",
ISNUMBER(SEARCH("Germany FR",S1260)),"FR Germany",
ISNUMBER(SEARCH("West Germany",S1260)),"FR Germany",
ISNUMBER(SEARCH("Germany DR",S1260)),"DR Germany",
ISNUMBER(SEARCH("Korea DPR",S1260)),"North Korea",
ISNUMBER(SEARCH("China PR",S1260)),"China",
ISNUMBER(SEARCH("IR Iran",S1260)),"Iran",
ISNUMBER(SEARCH("Congo DR",S1260)),"Democratic Republic of the Congo",
ISNUMBER(SEARCH("DR Congo",S1260)),"Democratic Republic of the Congo",
ISNUMBER(SEARCH("German DR",S1260)),"DR Germany",
ISNUMBER(SEARCH("rn""&gt;United Arab Emirates",S1260)),"United Arab Emirates",
ISNUMBER(SEARCH("rn""&gt;Republic of Ireland",S1260)),"Ireland",
ISNUMBER(SEARCH("rn""&gt;Bosnia and Herzegovina",S1260)),"Bosnia and Herzegovina",
ISNUMBER(SEARCH("rn""&gt;Trinidad and Tobago",S1260)),"Trinidad and Tobago",
ISNUMBER(SEARCH("rn""&gt;Serbia and Montenegro",S1260)),"Serbia and Montenegro",
ISNUMBER(SEARCH(_xlfn.UNICHAR(65533),S1260)),"Côte d'Ivoire",
TRUE,""
)</f>
        <v/>
      </c>
      <c r="W1260" s="12" t="str">
        <f t="shared" si="108"/>
        <v>Canada</v>
      </c>
    </row>
    <row r="1261" spans="2:23">
      <c r="B1261" s="75">
        <v>824</v>
      </c>
      <c r="C1261" s="15" t="str">
        <v>Rodrigo Zalazar</v>
      </c>
      <c r="D1261" s="15">
        <v>26</v>
      </c>
      <c r="E1261" s="15" t="str">
        <v>Uruguay</v>
      </c>
      <c r="F1261" s="15" t="str">
        <v>CM</v>
      </c>
      <c r="G1261" s="15" t="str">
        <v>Braga</v>
      </c>
      <c r="H1261" s="15">
        <v>26</v>
      </c>
      <c r="I1261" s="15" t="str">
        <f t="shared" si="105"/>
        <v>824|Rodrigo Zalazar|26|Uruguay|CM|Braga|26</v>
      </c>
      <c r="J1261" s="15" t="str">
        <f>IF(COUNTIF(I$438:I1261,I1261)&gt;1,"DOUBLON","OK")</f>
        <v>OK</v>
      </c>
      <c r="S1261" s="12" t="str">
        <v>Canada</v>
      </c>
      <c r="T1261" s="12" t="str">
        <f t="shared" si="106"/>
        <v>OK</v>
      </c>
      <c r="U1261" s="12" t="str">
        <f t="shared" si="107"/>
        <v>-</v>
      </c>
      <c r="V1261" s="12" t="str" cm="1">
        <f t="array" ref="V1261">_xlfn.IFS(
ISNUMBER(SEARCH("USA",S1261)),"United States",
ISNUMBER(SEARCH("Republic of Ireland",S1261)),"Ireland",
ISNUMBER(SEARCH("Republic of Korea",S1261)),"South Korea",
ISNUMBER(SEARCH("Cape Verde",S1261)),"Cabo Verde",
ISNUMBER(SEARCH("Czechia",S1261)),"Czech Republic",
ISNUMBER(SEARCH("Türkiye",S1261)),"Turkey",
ISNUMBER(SEARCH("Ivory Coast",S1261)),"Côte d'Ivoire",
ISNUMBER(SEARCH("Korea Republic",S1261)),"South Korea",
ISNUMBER(SEARCH("Germany FR",S1261)),"FR Germany",
ISNUMBER(SEARCH("West Germany",S1261)),"FR Germany",
ISNUMBER(SEARCH("Germany DR",S1261)),"DR Germany",
ISNUMBER(SEARCH("Korea DPR",S1261)),"North Korea",
ISNUMBER(SEARCH("China PR",S1261)),"China",
ISNUMBER(SEARCH("IR Iran",S1261)),"Iran",
ISNUMBER(SEARCH("Congo DR",S1261)),"Democratic Republic of the Congo",
ISNUMBER(SEARCH("DR Congo",S1261)),"Democratic Republic of the Congo",
ISNUMBER(SEARCH("German DR",S1261)),"DR Germany",
ISNUMBER(SEARCH("rn""&gt;United Arab Emirates",S1261)),"United Arab Emirates",
ISNUMBER(SEARCH("rn""&gt;Republic of Ireland",S1261)),"Ireland",
ISNUMBER(SEARCH("rn""&gt;Bosnia and Herzegovina",S1261)),"Bosnia and Herzegovina",
ISNUMBER(SEARCH("rn""&gt;Trinidad and Tobago",S1261)),"Trinidad and Tobago",
ISNUMBER(SEARCH("rn""&gt;Serbia and Montenegro",S1261)),"Serbia and Montenegro",
ISNUMBER(SEARCH(_xlfn.UNICHAR(65533),S1261)),"Côte d'Ivoire",
TRUE,""
)</f>
        <v/>
      </c>
      <c r="W1261" s="12" t="str">
        <f t="shared" si="108"/>
        <v>Canada</v>
      </c>
    </row>
    <row r="1262" spans="2:23">
      <c r="B1262" s="75">
        <v>825</v>
      </c>
      <c r="C1262" s="15" t="str">
        <v>Nicolás de la Cruz</v>
      </c>
      <c r="D1262" s="15">
        <v>29</v>
      </c>
      <c r="E1262" s="15" t="str">
        <v>Uruguay</v>
      </c>
      <c r="F1262" s="15" t="str">
        <v>CAM</v>
      </c>
      <c r="G1262" s="15" t="str">
        <v>Flamengo</v>
      </c>
      <c r="H1262" s="15">
        <v>7</v>
      </c>
      <c r="I1262" s="15" t="str">
        <f t="shared" si="105"/>
        <v>825|Nicolás de la Cruz|29|Uruguay|CAM|Flamengo|7</v>
      </c>
      <c r="J1262" s="15" t="str">
        <f>IF(COUNTIF(I$438:I1262,I1262)&gt;1,"DOUBLON","OK")</f>
        <v>OK</v>
      </c>
      <c r="S1262" s="12" t="str">
        <v>Canada</v>
      </c>
      <c r="T1262" s="12" t="str">
        <f t="shared" si="106"/>
        <v>OK</v>
      </c>
      <c r="U1262" s="12" t="str">
        <f t="shared" si="107"/>
        <v>-</v>
      </c>
      <c r="V1262" s="12" t="str" cm="1">
        <f t="array" ref="V1262">_xlfn.IFS(
ISNUMBER(SEARCH("USA",S1262)),"United States",
ISNUMBER(SEARCH("Republic of Ireland",S1262)),"Ireland",
ISNUMBER(SEARCH("Republic of Korea",S1262)),"South Korea",
ISNUMBER(SEARCH("Cape Verde",S1262)),"Cabo Verde",
ISNUMBER(SEARCH("Czechia",S1262)),"Czech Republic",
ISNUMBER(SEARCH("Türkiye",S1262)),"Turkey",
ISNUMBER(SEARCH("Ivory Coast",S1262)),"Côte d'Ivoire",
ISNUMBER(SEARCH("Korea Republic",S1262)),"South Korea",
ISNUMBER(SEARCH("Germany FR",S1262)),"FR Germany",
ISNUMBER(SEARCH("West Germany",S1262)),"FR Germany",
ISNUMBER(SEARCH("Germany DR",S1262)),"DR Germany",
ISNUMBER(SEARCH("Korea DPR",S1262)),"North Korea",
ISNUMBER(SEARCH("China PR",S1262)),"China",
ISNUMBER(SEARCH("IR Iran",S1262)),"Iran",
ISNUMBER(SEARCH("Congo DR",S1262)),"Democratic Republic of the Congo",
ISNUMBER(SEARCH("DR Congo",S1262)),"Democratic Republic of the Congo",
ISNUMBER(SEARCH("German DR",S1262)),"DR Germany",
ISNUMBER(SEARCH("rn""&gt;United Arab Emirates",S1262)),"United Arab Emirates",
ISNUMBER(SEARCH("rn""&gt;Republic of Ireland",S1262)),"Ireland",
ISNUMBER(SEARCH("rn""&gt;Bosnia and Herzegovina",S1262)),"Bosnia and Herzegovina",
ISNUMBER(SEARCH("rn""&gt;Trinidad and Tobago",S1262)),"Trinidad and Tobago",
ISNUMBER(SEARCH("rn""&gt;Serbia and Montenegro",S1262)),"Serbia and Montenegro",
ISNUMBER(SEARCH(_xlfn.UNICHAR(65533),S1262)),"Côte d'Ivoire",
TRUE,""
)</f>
        <v/>
      </c>
      <c r="W1262" s="12" t="str">
        <f t="shared" si="108"/>
        <v>Canada</v>
      </c>
    </row>
    <row r="1263" spans="2:23">
      <c r="B1263" s="75">
        <v>826</v>
      </c>
      <c r="C1263" s="15" t="str">
        <v>Giorgian de Arrascaeta</v>
      </c>
      <c r="D1263" s="15">
        <v>32</v>
      </c>
      <c r="E1263" s="15" t="str">
        <v>Uruguay</v>
      </c>
      <c r="F1263" s="15" t="str">
        <v>CAM</v>
      </c>
      <c r="G1263" s="15" t="str">
        <v>Flamengo</v>
      </c>
      <c r="H1263" s="15">
        <v>10</v>
      </c>
      <c r="I1263" s="15" t="str">
        <f t="shared" si="105"/>
        <v>826|Giorgian de Arrascaeta|32|Uruguay|CAM|Flamengo|10</v>
      </c>
      <c r="J1263" s="15" t="str">
        <f>IF(COUNTIF(I$438:I1263,I1263)&gt;1,"DOUBLON","OK")</f>
        <v>OK</v>
      </c>
      <c r="S1263" s="12" t="str">
        <v>Canada</v>
      </c>
      <c r="T1263" s="12" t="str">
        <f t="shared" si="106"/>
        <v>OK</v>
      </c>
      <c r="U1263" s="12" t="str">
        <f t="shared" si="107"/>
        <v>-</v>
      </c>
      <c r="V1263" s="12" t="str" cm="1">
        <f t="array" ref="V1263">_xlfn.IFS(
ISNUMBER(SEARCH("USA",S1263)),"United States",
ISNUMBER(SEARCH("Republic of Ireland",S1263)),"Ireland",
ISNUMBER(SEARCH("Republic of Korea",S1263)),"South Korea",
ISNUMBER(SEARCH("Cape Verde",S1263)),"Cabo Verde",
ISNUMBER(SEARCH("Czechia",S1263)),"Czech Republic",
ISNUMBER(SEARCH("Türkiye",S1263)),"Turkey",
ISNUMBER(SEARCH("Ivory Coast",S1263)),"Côte d'Ivoire",
ISNUMBER(SEARCH("Korea Republic",S1263)),"South Korea",
ISNUMBER(SEARCH("Germany FR",S1263)),"FR Germany",
ISNUMBER(SEARCH("West Germany",S1263)),"FR Germany",
ISNUMBER(SEARCH("Germany DR",S1263)),"DR Germany",
ISNUMBER(SEARCH("Korea DPR",S1263)),"North Korea",
ISNUMBER(SEARCH("China PR",S1263)),"China",
ISNUMBER(SEARCH("IR Iran",S1263)),"Iran",
ISNUMBER(SEARCH("Congo DR",S1263)),"Democratic Republic of the Congo",
ISNUMBER(SEARCH("DR Congo",S1263)),"Democratic Republic of the Congo",
ISNUMBER(SEARCH("German DR",S1263)),"DR Germany",
ISNUMBER(SEARCH("rn""&gt;United Arab Emirates",S1263)),"United Arab Emirates",
ISNUMBER(SEARCH("rn""&gt;Republic of Ireland",S1263)),"Ireland",
ISNUMBER(SEARCH("rn""&gt;Bosnia and Herzegovina",S1263)),"Bosnia and Herzegovina",
ISNUMBER(SEARCH("rn""&gt;Trinidad and Tobago",S1263)),"Trinidad and Tobago",
ISNUMBER(SEARCH("rn""&gt;Serbia and Montenegro",S1263)),"Serbia and Montenegro",
ISNUMBER(SEARCH(_xlfn.UNICHAR(65533),S1263)),"Côte d'Ivoire",
TRUE,""
)</f>
        <v/>
      </c>
      <c r="W1263" s="12" t="str">
        <f t="shared" si="108"/>
        <v>Canada</v>
      </c>
    </row>
    <row r="1264" spans="2:23">
      <c r="B1264" s="75">
        <v>827</v>
      </c>
      <c r="C1264" s="15" t="str">
        <v>Brian Rodríguez</v>
      </c>
      <c r="D1264" s="15">
        <v>26</v>
      </c>
      <c r="E1264" s="15" t="str">
        <v>Uruguay</v>
      </c>
      <c r="F1264" s="15" t="str">
        <v>LW</v>
      </c>
      <c r="G1264" s="15" t="str">
        <v>América</v>
      </c>
      <c r="H1264" s="15">
        <v>18</v>
      </c>
      <c r="I1264" s="15" t="str">
        <f t="shared" si="105"/>
        <v>827|Brian Rodríguez|26|Uruguay|LW|América|18</v>
      </c>
      <c r="J1264" s="15" t="str">
        <f>IF(COUNTIF(I$438:I1264,I1264)&gt;1,"DOUBLON","OK")</f>
        <v>OK</v>
      </c>
      <c r="S1264" s="12" t="str">
        <v>Canada</v>
      </c>
      <c r="T1264" s="12" t="str">
        <f t="shared" si="106"/>
        <v>OK</v>
      </c>
      <c r="U1264" s="12" t="str">
        <f t="shared" si="107"/>
        <v>-</v>
      </c>
      <c r="V1264" s="12" t="str" cm="1">
        <f t="array" ref="V1264">_xlfn.IFS(
ISNUMBER(SEARCH("USA",S1264)),"United States",
ISNUMBER(SEARCH("Republic of Ireland",S1264)),"Ireland",
ISNUMBER(SEARCH("Republic of Korea",S1264)),"South Korea",
ISNUMBER(SEARCH("Cape Verde",S1264)),"Cabo Verde",
ISNUMBER(SEARCH("Czechia",S1264)),"Czech Republic",
ISNUMBER(SEARCH("Türkiye",S1264)),"Turkey",
ISNUMBER(SEARCH("Ivory Coast",S1264)),"Côte d'Ivoire",
ISNUMBER(SEARCH("Korea Republic",S1264)),"South Korea",
ISNUMBER(SEARCH("Germany FR",S1264)),"FR Germany",
ISNUMBER(SEARCH("West Germany",S1264)),"FR Germany",
ISNUMBER(SEARCH("Germany DR",S1264)),"DR Germany",
ISNUMBER(SEARCH("Korea DPR",S1264)),"North Korea",
ISNUMBER(SEARCH("China PR",S1264)),"China",
ISNUMBER(SEARCH("IR Iran",S1264)),"Iran",
ISNUMBER(SEARCH("Congo DR",S1264)),"Democratic Republic of the Congo",
ISNUMBER(SEARCH("DR Congo",S1264)),"Democratic Republic of the Congo",
ISNUMBER(SEARCH("German DR",S1264)),"DR Germany",
ISNUMBER(SEARCH("rn""&gt;United Arab Emirates",S1264)),"United Arab Emirates",
ISNUMBER(SEARCH("rn""&gt;Republic of Ireland",S1264)),"Ireland",
ISNUMBER(SEARCH("rn""&gt;Bosnia and Herzegovina",S1264)),"Bosnia and Herzegovina",
ISNUMBER(SEARCH("rn""&gt;Trinidad and Tobago",S1264)),"Trinidad and Tobago",
ISNUMBER(SEARCH("rn""&gt;Serbia and Montenegro",S1264)),"Serbia and Montenegro",
ISNUMBER(SEARCH(_xlfn.UNICHAR(65533),S1264)),"Côte d'Ivoire",
TRUE,""
)</f>
        <v/>
      </c>
      <c r="W1264" s="12" t="str">
        <f t="shared" si="108"/>
        <v>Canada</v>
      </c>
    </row>
    <row r="1265" spans="2:23">
      <c r="B1265" s="75">
        <v>828</v>
      </c>
      <c r="C1265" s="15" t="str">
        <v>Maximiliano Araújo</v>
      </c>
      <c r="D1265" s="15">
        <v>26</v>
      </c>
      <c r="E1265" s="15" t="str">
        <v>Uruguay</v>
      </c>
      <c r="F1265" s="15" t="str">
        <v>LW</v>
      </c>
      <c r="G1265" s="15" t="str">
        <v>Sporting CP</v>
      </c>
      <c r="H1265" s="15">
        <v>20</v>
      </c>
      <c r="I1265" s="15" t="str">
        <f t="shared" si="105"/>
        <v>828|Maximiliano Araújo|26|Uruguay|LW|Sporting CP|20</v>
      </c>
      <c r="J1265" s="15" t="str">
        <f>IF(COUNTIF(I$438:I1265,I1265)&gt;1,"DOUBLON","OK")</f>
        <v>OK</v>
      </c>
      <c r="S1265" s="12" t="str">
        <v>Canada</v>
      </c>
      <c r="T1265" s="12" t="str">
        <f t="shared" si="106"/>
        <v>OK</v>
      </c>
      <c r="U1265" s="12" t="str">
        <f t="shared" si="107"/>
        <v>-</v>
      </c>
      <c r="V1265" s="12" t="str" cm="1">
        <f t="array" ref="V1265">_xlfn.IFS(
ISNUMBER(SEARCH("USA",S1265)),"United States",
ISNUMBER(SEARCH("Republic of Ireland",S1265)),"Ireland",
ISNUMBER(SEARCH("Republic of Korea",S1265)),"South Korea",
ISNUMBER(SEARCH("Cape Verde",S1265)),"Cabo Verde",
ISNUMBER(SEARCH("Czechia",S1265)),"Czech Republic",
ISNUMBER(SEARCH("Türkiye",S1265)),"Turkey",
ISNUMBER(SEARCH("Ivory Coast",S1265)),"Côte d'Ivoire",
ISNUMBER(SEARCH("Korea Republic",S1265)),"South Korea",
ISNUMBER(SEARCH("Germany FR",S1265)),"FR Germany",
ISNUMBER(SEARCH("West Germany",S1265)),"FR Germany",
ISNUMBER(SEARCH("Germany DR",S1265)),"DR Germany",
ISNUMBER(SEARCH("Korea DPR",S1265)),"North Korea",
ISNUMBER(SEARCH("China PR",S1265)),"China",
ISNUMBER(SEARCH("IR Iran",S1265)),"Iran",
ISNUMBER(SEARCH("Congo DR",S1265)),"Democratic Republic of the Congo",
ISNUMBER(SEARCH("DR Congo",S1265)),"Democratic Republic of the Congo",
ISNUMBER(SEARCH("German DR",S1265)),"DR Germany",
ISNUMBER(SEARCH("rn""&gt;United Arab Emirates",S1265)),"United Arab Emirates",
ISNUMBER(SEARCH("rn""&gt;Republic of Ireland",S1265)),"Ireland",
ISNUMBER(SEARCH("rn""&gt;Bosnia and Herzegovina",S1265)),"Bosnia and Herzegovina",
ISNUMBER(SEARCH("rn""&gt;Trinidad and Tobago",S1265)),"Trinidad and Tobago",
ISNUMBER(SEARCH("rn""&gt;Serbia and Montenegro",S1265)),"Serbia and Montenegro",
ISNUMBER(SEARCH(_xlfn.UNICHAR(65533),S1265)),"Côte d'Ivoire",
TRUE,""
)</f>
        <v/>
      </c>
      <c r="W1265" s="12" t="str">
        <f t="shared" si="108"/>
        <v>Canada</v>
      </c>
    </row>
    <row r="1266" spans="2:23">
      <c r="B1266" s="75">
        <v>829</v>
      </c>
      <c r="C1266" s="15" t="str">
        <v>Facundo Pellistri</v>
      </c>
      <c r="D1266" s="15">
        <v>24</v>
      </c>
      <c r="E1266" s="15" t="str">
        <v>Uruguay</v>
      </c>
      <c r="F1266" s="15" t="str">
        <v>RW</v>
      </c>
      <c r="G1266" s="15" t="str">
        <v>Panathinaikos</v>
      </c>
      <c r="H1266" s="15">
        <v>11</v>
      </c>
      <c r="I1266" s="15" t="str">
        <f t="shared" si="105"/>
        <v>829|Facundo Pellistri|24|Uruguay|RW|Panathinaikos|11</v>
      </c>
      <c r="J1266" s="15" t="str">
        <f>IF(COUNTIF(I$438:I1266,I1266)&gt;1,"DOUBLON","OK")</f>
        <v>OK</v>
      </c>
      <c r="S1266" s="12" t="str">
        <v>Canada</v>
      </c>
      <c r="T1266" s="12" t="str">
        <f t="shared" si="106"/>
        <v>OK</v>
      </c>
      <c r="U1266" s="12" t="str">
        <f t="shared" si="107"/>
        <v>-</v>
      </c>
      <c r="V1266" s="12" t="str" cm="1">
        <f t="array" ref="V1266">_xlfn.IFS(
ISNUMBER(SEARCH("USA",S1266)),"United States",
ISNUMBER(SEARCH("Republic of Ireland",S1266)),"Ireland",
ISNUMBER(SEARCH("Republic of Korea",S1266)),"South Korea",
ISNUMBER(SEARCH("Cape Verde",S1266)),"Cabo Verde",
ISNUMBER(SEARCH("Czechia",S1266)),"Czech Republic",
ISNUMBER(SEARCH("Türkiye",S1266)),"Turkey",
ISNUMBER(SEARCH("Ivory Coast",S1266)),"Côte d'Ivoire",
ISNUMBER(SEARCH("Korea Republic",S1266)),"South Korea",
ISNUMBER(SEARCH("Germany FR",S1266)),"FR Germany",
ISNUMBER(SEARCH("West Germany",S1266)),"FR Germany",
ISNUMBER(SEARCH("Germany DR",S1266)),"DR Germany",
ISNUMBER(SEARCH("Korea DPR",S1266)),"North Korea",
ISNUMBER(SEARCH("China PR",S1266)),"China",
ISNUMBER(SEARCH("IR Iran",S1266)),"Iran",
ISNUMBER(SEARCH("Congo DR",S1266)),"Democratic Republic of the Congo",
ISNUMBER(SEARCH("DR Congo",S1266)),"Democratic Republic of the Congo",
ISNUMBER(SEARCH("German DR",S1266)),"DR Germany",
ISNUMBER(SEARCH("rn""&gt;United Arab Emirates",S1266)),"United Arab Emirates",
ISNUMBER(SEARCH("rn""&gt;Republic of Ireland",S1266)),"Ireland",
ISNUMBER(SEARCH("rn""&gt;Bosnia and Herzegovina",S1266)),"Bosnia and Herzegovina",
ISNUMBER(SEARCH("rn""&gt;Trinidad and Tobago",S1266)),"Trinidad and Tobago",
ISNUMBER(SEARCH("rn""&gt;Serbia and Montenegro",S1266)),"Serbia and Montenegro",
ISNUMBER(SEARCH(_xlfn.UNICHAR(65533),S1266)),"Côte d'Ivoire",
TRUE,""
)</f>
        <v/>
      </c>
      <c r="W1266" s="12" t="str">
        <f t="shared" si="108"/>
        <v>Canada</v>
      </c>
    </row>
    <row r="1267" spans="2:23">
      <c r="B1267" s="75">
        <v>830</v>
      </c>
      <c r="C1267" s="15" t="str">
        <v>Darwin Núñez</v>
      </c>
      <c r="D1267" s="15">
        <v>26</v>
      </c>
      <c r="E1267" s="15" t="str">
        <v>Uruguay</v>
      </c>
      <c r="F1267" s="15" t="str">
        <v>ST</v>
      </c>
      <c r="G1267" s="15" t="str">
        <v>Al-Hilal</v>
      </c>
      <c r="H1267" s="15">
        <v>9</v>
      </c>
      <c r="I1267" s="15" t="str">
        <f t="shared" si="105"/>
        <v>830|Darwin Núñez|26|Uruguay|ST|Al-Hilal|9</v>
      </c>
      <c r="J1267" s="15" t="str">
        <f>IF(COUNTIF(I$438:I1267,I1267)&gt;1,"DOUBLON","OK")</f>
        <v>OK</v>
      </c>
      <c r="S1267" s="12" t="str">
        <v>Canada</v>
      </c>
      <c r="T1267" s="12" t="str">
        <f t="shared" si="106"/>
        <v>OK</v>
      </c>
      <c r="U1267" s="12" t="str">
        <f t="shared" si="107"/>
        <v>-</v>
      </c>
      <c r="V1267" s="12" t="str" cm="1">
        <f t="array" ref="V1267">_xlfn.IFS(
ISNUMBER(SEARCH("USA",S1267)),"United States",
ISNUMBER(SEARCH("Republic of Ireland",S1267)),"Ireland",
ISNUMBER(SEARCH("Republic of Korea",S1267)),"South Korea",
ISNUMBER(SEARCH("Cape Verde",S1267)),"Cabo Verde",
ISNUMBER(SEARCH("Czechia",S1267)),"Czech Republic",
ISNUMBER(SEARCH("Türkiye",S1267)),"Turkey",
ISNUMBER(SEARCH("Ivory Coast",S1267)),"Côte d'Ivoire",
ISNUMBER(SEARCH("Korea Republic",S1267)),"South Korea",
ISNUMBER(SEARCH("Germany FR",S1267)),"FR Germany",
ISNUMBER(SEARCH("West Germany",S1267)),"FR Germany",
ISNUMBER(SEARCH("Germany DR",S1267)),"DR Germany",
ISNUMBER(SEARCH("Korea DPR",S1267)),"North Korea",
ISNUMBER(SEARCH("China PR",S1267)),"China",
ISNUMBER(SEARCH("IR Iran",S1267)),"Iran",
ISNUMBER(SEARCH("Congo DR",S1267)),"Democratic Republic of the Congo",
ISNUMBER(SEARCH("DR Congo",S1267)),"Democratic Republic of the Congo",
ISNUMBER(SEARCH("German DR",S1267)),"DR Germany",
ISNUMBER(SEARCH("rn""&gt;United Arab Emirates",S1267)),"United Arab Emirates",
ISNUMBER(SEARCH("rn""&gt;Republic of Ireland",S1267)),"Ireland",
ISNUMBER(SEARCH("rn""&gt;Bosnia and Herzegovina",S1267)),"Bosnia and Herzegovina",
ISNUMBER(SEARCH("rn""&gt;Trinidad and Tobago",S1267)),"Trinidad and Tobago",
ISNUMBER(SEARCH("rn""&gt;Serbia and Montenegro",S1267)),"Serbia and Montenegro",
ISNUMBER(SEARCH(_xlfn.UNICHAR(65533),S1267)),"Côte d'Ivoire",
TRUE,""
)</f>
        <v/>
      </c>
      <c r="W1267" s="12" t="str">
        <f t="shared" si="108"/>
        <v>Canada</v>
      </c>
    </row>
    <row r="1268" spans="2:23">
      <c r="B1268" s="75">
        <v>831</v>
      </c>
      <c r="C1268" s="15" t="str">
        <v>Rodrigo Aguirre</v>
      </c>
      <c r="D1268" s="15">
        <v>31</v>
      </c>
      <c r="E1268" s="15" t="str">
        <v>Uruguay</v>
      </c>
      <c r="F1268" s="15" t="str">
        <v>ST</v>
      </c>
      <c r="G1268" s="15" t="str">
        <v>Tigres UANL</v>
      </c>
      <c r="H1268" s="15">
        <v>19</v>
      </c>
      <c r="I1268" s="15" t="str">
        <f t="shared" si="105"/>
        <v>831|Rodrigo Aguirre|31|Uruguay|ST|Tigres UANL|19</v>
      </c>
      <c r="J1268" s="15" t="str">
        <f>IF(COUNTIF(I$438:I1268,I1268)&gt;1,"DOUBLON","OK")</f>
        <v>OK</v>
      </c>
      <c r="S1268" s="12" t="str">
        <v>Canada</v>
      </c>
      <c r="T1268" s="12" t="str">
        <f t="shared" si="106"/>
        <v>OK</v>
      </c>
      <c r="U1268" s="12" t="str">
        <f t="shared" si="107"/>
        <v>-</v>
      </c>
      <c r="V1268" s="12" t="str" cm="1">
        <f t="array" ref="V1268">_xlfn.IFS(
ISNUMBER(SEARCH("USA",S1268)),"United States",
ISNUMBER(SEARCH("Republic of Ireland",S1268)),"Ireland",
ISNUMBER(SEARCH("Republic of Korea",S1268)),"South Korea",
ISNUMBER(SEARCH("Cape Verde",S1268)),"Cabo Verde",
ISNUMBER(SEARCH("Czechia",S1268)),"Czech Republic",
ISNUMBER(SEARCH("Türkiye",S1268)),"Turkey",
ISNUMBER(SEARCH("Ivory Coast",S1268)),"Côte d'Ivoire",
ISNUMBER(SEARCH("Korea Republic",S1268)),"South Korea",
ISNUMBER(SEARCH("Germany FR",S1268)),"FR Germany",
ISNUMBER(SEARCH("West Germany",S1268)),"FR Germany",
ISNUMBER(SEARCH("Germany DR",S1268)),"DR Germany",
ISNUMBER(SEARCH("Korea DPR",S1268)),"North Korea",
ISNUMBER(SEARCH("China PR",S1268)),"China",
ISNUMBER(SEARCH("IR Iran",S1268)),"Iran",
ISNUMBER(SEARCH("Congo DR",S1268)),"Democratic Republic of the Congo",
ISNUMBER(SEARCH("DR Congo",S1268)),"Democratic Republic of the Congo",
ISNUMBER(SEARCH("German DR",S1268)),"DR Germany",
ISNUMBER(SEARCH("rn""&gt;United Arab Emirates",S1268)),"United Arab Emirates",
ISNUMBER(SEARCH("rn""&gt;Republic of Ireland",S1268)),"Ireland",
ISNUMBER(SEARCH("rn""&gt;Bosnia and Herzegovina",S1268)),"Bosnia and Herzegovina",
ISNUMBER(SEARCH("rn""&gt;Trinidad and Tobago",S1268)),"Trinidad and Tobago",
ISNUMBER(SEARCH("rn""&gt;Serbia and Montenegro",S1268)),"Serbia and Montenegro",
ISNUMBER(SEARCH(_xlfn.UNICHAR(65533),S1268)),"Côte d'Ivoire",
TRUE,""
)</f>
        <v/>
      </c>
      <c r="W1268" s="12" t="str">
        <f t="shared" si="108"/>
        <v>Canada</v>
      </c>
    </row>
    <row r="1269" spans="2:23">
      <c r="B1269" s="75">
        <v>832</v>
      </c>
      <c r="C1269" s="15" t="str">
        <v>Federico Viñas</v>
      </c>
      <c r="D1269" s="15">
        <v>27</v>
      </c>
      <c r="E1269" s="15" t="str">
        <v>Uruguay</v>
      </c>
      <c r="F1269" s="15" t="str">
        <v>ST</v>
      </c>
      <c r="G1269" s="15" t="str">
        <v>Oviedo</v>
      </c>
      <c r="H1269" s="15">
        <v>21</v>
      </c>
      <c r="I1269" s="15" t="str">
        <f t="shared" si="105"/>
        <v>832|Federico Viñas|27|Uruguay|ST|Oviedo|21</v>
      </c>
      <c r="J1269" s="15" t="str">
        <f>IF(COUNTIF(I$438:I1269,I1269)&gt;1,"DOUBLON","OK")</f>
        <v>OK</v>
      </c>
      <c r="S1269" s="12" t="str">
        <v>Canada</v>
      </c>
      <c r="T1269" s="12" t="str">
        <f t="shared" si="106"/>
        <v>OK</v>
      </c>
      <c r="U1269" s="12" t="str">
        <f t="shared" si="107"/>
        <v>-</v>
      </c>
      <c r="V1269" s="12" t="str" cm="1">
        <f t="array" ref="V1269">_xlfn.IFS(
ISNUMBER(SEARCH("USA",S1269)),"United States",
ISNUMBER(SEARCH("Republic of Ireland",S1269)),"Ireland",
ISNUMBER(SEARCH("Republic of Korea",S1269)),"South Korea",
ISNUMBER(SEARCH("Cape Verde",S1269)),"Cabo Verde",
ISNUMBER(SEARCH("Czechia",S1269)),"Czech Republic",
ISNUMBER(SEARCH("Türkiye",S1269)),"Turkey",
ISNUMBER(SEARCH("Ivory Coast",S1269)),"Côte d'Ivoire",
ISNUMBER(SEARCH("Korea Republic",S1269)),"South Korea",
ISNUMBER(SEARCH("Germany FR",S1269)),"FR Germany",
ISNUMBER(SEARCH("West Germany",S1269)),"FR Germany",
ISNUMBER(SEARCH("Germany DR",S1269)),"DR Germany",
ISNUMBER(SEARCH("Korea DPR",S1269)),"North Korea",
ISNUMBER(SEARCH("China PR",S1269)),"China",
ISNUMBER(SEARCH("IR Iran",S1269)),"Iran",
ISNUMBER(SEARCH("Congo DR",S1269)),"Democratic Republic of the Congo",
ISNUMBER(SEARCH("DR Congo",S1269)),"Democratic Republic of the Congo",
ISNUMBER(SEARCH("German DR",S1269)),"DR Germany",
ISNUMBER(SEARCH("rn""&gt;United Arab Emirates",S1269)),"United Arab Emirates",
ISNUMBER(SEARCH("rn""&gt;Republic of Ireland",S1269)),"Ireland",
ISNUMBER(SEARCH("rn""&gt;Bosnia and Herzegovina",S1269)),"Bosnia and Herzegovina",
ISNUMBER(SEARCH("rn""&gt;Trinidad and Tobago",S1269)),"Trinidad and Tobago",
ISNUMBER(SEARCH("rn""&gt;Serbia and Montenegro",S1269)),"Serbia and Montenegro",
ISNUMBER(SEARCH(_xlfn.UNICHAR(65533),S1269)),"Côte d'Ivoire",
TRUE,""
)</f>
        <v/>
      </c>
      <c r="W1269" s="12" t="str">
        <f t="shared" si="108"/>
        <v>Canada</v>
      </c>
    </row>
    <row r="1270" spans="2:23">
      <c r="B1270" s="75">
        <v>833</v>
      </c>
      <c r="C1270" s="15" t="str">
        <v>Brice Samba</v>
      </c>
      <c r="D1270" s="15">
        <v>32</v>
      </c>
      <c r="E1270" s="15" t="str">
        <v>France</v>
      </c>
      <c r="F1270" s="15" t="str">
        <v>GK</v>
      </c>
      <c r="G1270" s="15" t="str">
        <v>Rennes</v>
      </c>
      <c r="H1270" s="15">
        <v>1</v>
      </c>
      <c r="I1270" s="15" t="str">
        <f t="shared" si="105"/>
        <v>833|Brice Samba|32|France|GK|Rennes|1</v>
      </c>
      <c r="J1270" s="15" t="str">
        <f>IF(COUNTIF(I$438:I1270,I1270)&gt;1,"DOUBLON","OK")</f>
        <v>OK</v>
      </c>
      <c r="S1270" s="12" t="str">
        <v>Canada</v>
      </c>
      <c r="T1270" s="12" t="str">
        <f t="shared" si="106"/>
        <v>OK</v>
      </c>
      <c r="U1270" s="12" t="str">
        <f t="shared" si="107"/>
        <v>-</v>
      </c>
      <c r="V1270" s="12" t="str" cm="1">
        <f t="array" ref="V1270">_xlfn.IFS(
ISNUMBER(SEARCH("USA",S1270)),"United States",
ISNUMBER(SEARCH("Republic of Ireland",S1270)),"Ireland",
ISNUMBER(SEARCH("Republic of Korea",S1270)),"South Korea",
ISNUMBER(SEARCH("Cape Verde",S1270)),"Cabo Verde",
ISNUMBER(SEARCH("Czechia",S1270)),"Czech Republic",
ISNUMBER(SEARCH("Türkiye",S1270)),"Turkey",
ISNUMBER(SEARCH("Ivory Coast",S1270)),"Côte d'Ivoire",
ISNUMBER(SEARCH("Korea Republic",S1270)),"South Korea",
ISNUMBER(SEARCH("Germany FR",S1270)),"FR Germany",
ISNUMBER(SEARCH("West Germany",S1270)),"FR Germany",
ISNUMBER(SEARCH("Germany DR",S1270)),"DR Germany",
ISNUMBER(SEARCH("Korea DPR",S1270)),"North Korea",
ISNUMBER(SEARCH("China PR",S1270)),"China",
ISNUMBER(SEARCH("IR Iran",S1270)),"Iran",
ISNUMBER(SEARCH("Congo DR",S1270)),"Democratic Republic of the Congo",
ISNUMBER(SEARCH("DR Congo",S1270)),"Democratic Republic of the Congo",
ISNUMBER(SEARCH("German DR",S1270)),"DR Germany",
ISNUMBER(SEARCH("rn""&gt;United Arab Emirates",S1270)),"United Arab Emirates",
ISNUMBER(SEARCH("rn""&gt;Republic of Ireland",S1270)),"Ireland",
ISNUMBER(SEARCH("rn""&gt;Bosnia and Herzegovina",S1270)),"Bosnia and Herzegovina",
ISNUMBER(SEARCH("rn""&gt;Trinidad and Tobago",S1270)),"Trinidad and Tobago",
ISNUMBER(SEARCH("rn""&gt;Serbia and Montenegro",S1270)),"Serbia and Montenegro",
ISNUMBER(SEARCH(_xlfn.UNICHAR(65533),S1270)),"Côte d'Ivoire",
TRUE,""
)</f>
        <v/>
      </c>
      <c r="W1270" s="12" t="str">
        <f t="shared" si="108"/>
        <v>Canada</v>
      </c>
    </row>
    <row r="1271" spans="2:23">
      <c r="B1271" s="75">
        <v>834</v>
      </c>
      <c r="C1271" s="15" t="str">
        <v>Mike Maignan</v>
      </c>
      <c r="D1271" s="15">
        <v>30</v>
      </c>
      <c r="E1271" s="15" t="str">
        <v>France</v>
      </c>
      <c r="F1271" s="15" t="str">
        <v>GK</v>
      </c>
      <c r="G1271" s="15" t="str">
        <v>AC Milan</v>
      </c>
      <c r="H1271" s="15">
        <v>16</v>
      </c>
      <c r="I1271" s="15" t="str">
        <f t="shared" ref="I1271:I1334" si="109">B1271&amp;"|"&amp;C1271&amp;"|"&amp;D1271&amp;"|"&amp;E1271&amp;"|"&amp;F1271&amp;"|"&amp;G1271&amp;"|"&amp;H1271</f>
        <v>834|Mike Maignan|30|France|GK|AC Milan|16</v>
      </c>
      <c r="J1271" s="15" t="str">
        <f>IF(COUNTIF(I$438:I1271,I1271)&gt;1,"DOUBLON","OK")</f>
        <v>OK</v>
      </c>
      <c r="S1271" s="12" t="str">
        <v>Canada</v>
      </c>
      <c r="T1271" s="12" t="str">
        <f t="shared" si="106"/>
        <v>OK</v>
      </c>
      <c r="U1271" s="12" t="str">
        <f t="shared" si="107"/>
        <v>-</v>
      </c>
      <c r="V1271" s="12" t="str" cm="1">
        <f t="array" ref="V1271">_xlfn.IFS(
ISNUMBER(SEARCH("USA",S1271)),"United States",
ISNUMBER(SEARCH("Republic of Ireland",S1271)),"Ireland",
ISNUMBER(SEARCH("Republic of Korea",S1271)),"South Korea",
ISNUMBER(SEARCH("Cape Verde",S1271)),"Cabo Verde",
ISNUMBER(SEARCH("Czechia",S1271)),"Czech Republic",
ISNUMBER(SEARCH("Türkiye",S1271)),"Turkey",
ISNUMBER(SEARCH("Ivory Coast",S1271)),"Côte d'Ivoire",
ISNUMBER(SEARCH("Korea Republic",S1271)),"South Korea",
ISNUMBER(SEARCH("Germany FR",S1271)),"FR Germany",
ISNUMBER(SEARCH("West Germany",S1271)),"FR Germany",
ISNUMBER(SEARCH("Germany DR",S1271)),"DR Germany",
ISNUMBER(SEARCH("Korea DPR",S1271)),"North Korea",
ISNUMBER(SEARCH("China PR",S1271)),"China",
ISNUMBER(SEARCH("IR Iran",S1271)),"Iran",
ISNUMBER(SEARCH("Congo DR",S1271)),"Democratic Republic of the Congo",
ISNUMBER(SEARCH("DR Congo",S1271)),"Democratic Republic of the Congo",
ISNUMBER(SEARCH("German DR",S1271)),"DR Germany",
ISNUMBER(SEARCH("rn""&gt;United Arab Emirates",S1271)),"United Arab Emirates",
ISNUMBER(SEARCH("rn""&gt;Republic of Ireland",S1271)),"Ireland",
ISNUMBER(SEARCH("rn""&gt;Bosnia and Herzegovina",S1271)),"Bosnia and Herzegovina",
ISNUMBER(SEARCH("rn""&gt;Trinidad and Tobago",S1271)),"Trinidad and Tobago",
ISNUMBER(SEARCH("rn""&gt;Serbia and Montenegro",S1271)),"Serbia and Montenegro",
ISNUMBER(SEARCH(_xlfn.UNICHAR(65533),S1271)),"Côte d'Ivoire",
TRUE,""
)</f>
        <v/>
      </c>
      <c r="W1271" s="12" t="str">
        <f t="shared" si="108"/>
        <v>Canada</v>
      </c>
    </row>
    <row r="1272" spans="2:23">
      <c r="B1272" s="75">
        <v>835</v>
      </c>
      <c r="C1272" s="15" t="str">
        <v>Robin Risser</v>
      </c>
      <c r="D1272" s="15">
        <v>21</v>
      </c>
      <c r="E1272" s="15" t="str">
        <v>France</v>
      </c>
      <c r="F1272" s="15" t="str">
        <v>GK</v>
      </c>
      <c r="G1272" s="15" t="str">
        <v>Lens</v>
      </c>
      <c r="H1272" s="15">
        <v>23</v>
      </c>
      <c r="I1272" s="15" t="str">
        <f t="shared" si="109"/>
        <v>835|Robin Risser|21|France|GK|Lens|23</v>
      </c>
      <c r="J1272" s="15" t="str">
        <f>IF(COUNTIF(I$438:I1272,I1272)&gt;1,"DOUBLON","OK")</f>
        <v>OK</v>
      </c>
      <c r="S1272" s="12" t="str">
        <v>Canada</v>
      </c>
      <c r="T1272" s="12" t="str">
        <f t="shared" si="106"/>
        <v>OK</v>
      </c>
      <c r="U1272" s="12" t="str">
        <f t="shared" si="107"/>
        <v>-</v>
      </c>
      <c r="V1272" s="12" t="str" cm="1">
        <f t="array" ref="V1272">_xlfn.IFS(
ISNUMBER(SEARCH("USA",S1272)),"United States",
ISNUMBER(SEARCH("Republic of Ireland",S1272)),"Ireland",
ISNUMBER(SEARCH("Republic of Korea",S1272)),"South Korea",
ISNUMBER(SEARCH("Cape Verde",S1272)),"Cabo Verde",
ISNUMBER(SEARCH("Czechia",S1272)),"Czech Republic",
ISNUMBER(SEARCH("Türkiye",S1272)),"Turkey",
ISNUMBER(SEARCH("Ivory Coast",S1272)),"Côte d'Ivoire",
ISNUMBER(SEARCH("Korea Republic",S1272)),"South Korea",
ISNUMBER(SEARCH("Germany FR",S1272)),"FR Germany",
ISNUMBER(SEARCH("West Germany",S1272)),"FR Germany",
ISNUMBER(SEARCH("Germany DR",S1272)),"DR Germany",
ISNUMBER(SEARCH("Korea DPR",S1272)),"North Korea",
ISNUMBER(SEARCH("China PR",S1272)),"China",
ISNUMBER(SEARCH("IR Iran",S1272)),"Iran",
ISNUMBER(SEARCH("Congo DR",S1272)),"Democratic Republic of the Congo",
ISNUMBER(SEARCH("DR Congo",S1272)),"Democratic Republic of the Congo",
ISNUMBER(SEARCH("German DR",S1272)),"DR Germany",
ISNUMBER(SEARCH("rn""&gt;United Arab Emirates",S1272)),"United Arab Emirates",
ISNUMBER(SEARCH("rn""&gt;Republic of Ireland",S1272)),"Ireland",
ISNUMBER(SEARCH("rn""&gt;Bosnia and Herzegovina",S1272)),"Bosnia and Herzegovina",
ISNUMBER(SEARCH("rn""&gt;Trinidad and Tobago",S1272)),"Trinidad and Tobago",
ISNUMBER(SEARCH("rn""&gt;Serbia and Montenegro",S1272)),"Serbia and Montenegro",
ISNUMBER(SEARCH(_xlfn.UNICHAR(65533),S1272)),"Côte d'Ivoire",
TRUE,""
)</f>
        <v/>
      </c>
      <c r="W1272" s="12" t="str">
        <f t="shared" si="108"/>
        <v>Canada</v>
      </c>
    </row>
    <row r="1273" spans="2:23">
      <c r="B1273" s="75">
        <v>836</v>
      </c>
      <c r="C1273" s="15" t="str">
        <v>Dayot Upamecano</v>
      </c>
      <c r="D1273" s="15">
        <v>27</v>
      </c>
      <c r="E1273" s="15" t="str">
        <v>France</v>
      </c>
      <c r="F1273" s="15" t="str">
        <v>CB</v>
      </c>
      <c r="G1273" s="15" t="str">
        <v>Bayern Munich</v>
      </c>
      <c r="H1273" s="15">
        <v>4</v>
      </c>
      <c r="I1273" s="15" t="str">
        <f t="shared" si="109"/>
        <v>836|Dayot Upamecano|27|France|CB|Bayern Munich|4</v>
      </c>
      <c r="J1273" s="15" t="str">
        <f>IF(COUNTIF(I$438:I1273,I1273)&gt;1,"DOUBLON","OK")</f>
        <v>OK</v>
      </c>
      <c r="S1273" s="12" t="str">
        <v>Canada</v>
      </c>
      <c r="T1273" s="12" t="str">
        <f t="shared" si="106"/>
        <v>OK</v>
      </c>
      <c r="U1273" s="12" t="str">
        <f t="shared" si="107"/>
        <v>-</v>
      </c>
      <c r="V1273" s="12" t="str" cm="1">
        <f t="array" ref="V1273">_xlfn.IFS(
ISNUMBER(SEARCH("USA",S1273)),"United States",
ISNUMBER(SEARCH("Republic of Ireland",S1273)),"Ireland",
ISNUMBER(SEARCH("Republic of Korea",S1273)),"South Korea",
ISNUMBER(SEARCH("Cape Verde",S1273)),"Cabo Verde",
ISNUMBER(SEARCH("Czechia",S1273)),"Czech Republic",
ISNUMBER(SEARCH("Türkiye",S1273)),"Turkey",
ISNUMBER(SEARCH("Ivory Coast",S1273)),"Côte d'Ivoire",
ISNUMBER(SEARCH("Korea Republic",S1273)),"South Korea",
ISNUMBER(SEARCH("Germany FR",S1273)),"FR Germany",
ISNUMBER(SEARCH("West Germany",S1273)),"FR Germany",
ISNUMBER(SEARCH("Germany DR",S1273)),"DR Germany",
ISNUMBER(SEARCH("Korea DPR",S1273)),"North Korea",
ISNUMBER(SEARCH("China PR",S1273)),"China",
ISNUMBER(SEARCH("IR Iran",S1273)),"Iran",
ISNUMBER(SEARCH("Congo DR",S1273)),"Democratic Republic of the Congo",
ISNUMBER(SEARCH("DR Congo",S1273)),"Democratic Republic of the Congo",
ISNUMBER(SEARCH("German DR",S1273)),"DR Germany",
ISNUMBER(SEARCH("rn""&gt;United Arab Emirates",S1273)),"United Arab Emirates",
ISNUMBER(SEARCH("rn""&gt;Republic of Ireland",S1273)),"Ireland",
ISNUMBER(SEARCH("rn""&gt;Bosnia and Herzegovina",S1273)),"Bosnia and Herzegovina",
ISNUMBER(SEARCH("rn""&gt;Trinidad and Tobago",S1273)),"Trinidad and Tobago",
ISNUMBER(SEARCH("rn""&gt;Serbia and Montenegro",S1273)),"Serbia and Montenegro",
ISNUMBER(SEARCH(_xlfn.UNICHAR(65533),S1273)),"Côte d'Ivoire",
TRUE,""
)</f>
        <v/>
      </c>
      <c r="W1273" s="12" t="str">
        <f t="shared" si="108"/>
        <v>Canada</v>
      </c>
    </row>
    <row r="1274" spans="2:23">
      <c r="B1274" s="75">
        <v>837</v>
      </c>
      <c r="C1274" s="15" t="str">
        <v>Ibrahima Konaté</v>
      </c>
      <c r="D1274" s="15">
        <v>27</v>
      </c>
      <c r="E1274" s="15" t="str">
        <v>France</v>
      </c>
      <c r="F1274" s="15" t="str">
        <v>CB</v>
      </c>
      <c r="G1274" s="15" t="str">
        <v>Liverpool</v>
      </c>
      <c r="H1274" s="15">
        <v>15</v>
      </c>
      <c r="I1274" s="15" t="str">
        <f t="shared" si="109"/>
        <v>837|Ibrahima Konaté|27|France|CB|Liverpool|15</v>
      </c>
      <c r="J1274" s="15" t="str">
        <f>IF(COUNTIF(I$438:I1274,I1274)&gt;1,"DOUBLON","OK")</f>
        <v>OK</v>
      </c>
      <c r="S1274" s="12" t="str">
        <v>Canada</v>
      </c>
      <c r="T1274" s="12" t="str">
        <f t="shared" si="106"/>
        <v>OK</v>
      </c>
      <c r="U1274" s="12" t="str">
        <f t="shared" si="107"/>
        <v>-</v>
      </c>
      <c r="V1274" s="12" t="str" cm="1">
        <f t="array" ref="V1274">_xlfn.IFS(
ISNUMBER(SEARCH("USA",S1274)),"United States",
ISNUMBER(SEARCH("Republic of Ireland",S1274)),"Ireland",
ISNUMBER(SEARCH("Republic of Korea",S1274)),"South Korea",
ISNUMBER(SEARCH("Cape Verde",S1274)),"Cabo Verde",
ISNUMBER(SEARCH("Czechia",S1274)),"Czech Republic",
ISNUMBER(SEARCH("Türkiye",S1274)),"Turkey",
ISNUMBER(SEARCH("Ivory Coast",S1274)),"Côte d'Ivoire",
ISNUMBER(SEARCH("Korea Republic",S1274)),"South Korea",
ISNUMBER(SEARCH("Germany FR",S1274)),"FR Germany",
ISNUMBER(SEARCH("West Germany",S1274)),"FR Germany",
ISNUMBER(SEARCH("Germany DR",S1274)),"DR Germany",
ISNUMBER(SEARCH("Korea DPR",S1274)),"North Korea",
ISNUMBER(SEARCH("China PR",S1274)),"China",
ISNUMBER(SEARCH("IR Iran",S1274)),"Iran",
ISNUMBER(SEARCH("Congo DR",S1274)),"Democratic Republic of the Congo",
ISNUMBER(SEARCH("DR Congo",S1274)),"Democratic Republic of the Congo",
ISNUMBER(SEARCH("German DR",S1274)),"DR Germany",
ISNUMBER(SEARCH("rn""&gt;United Arab Emirates",S1274)),"United Arab Emirates",
ISNUMBER(SEARCH("rn""&gt;Republic of Ireland",S1274)),"Ireland",
ISNUMBER(SEARCH("rn""&gt;Bosnia and Herzegovina",S1274)),"Bosnia and Herzegovina",
ISNUMBER(SEARCH("rn""&gt;Trinidad and Tobago",S1274)),"Trinidad and Tobago",
ISNUMBER(SEARCH("rn""&gt;Serbia and Montenegro",S1274)),"Serbia and Montenegro",
ISNUMBER(SEARCH(_xlfn.UNICHAR(65533),S1274)),"Côte d'Ivoire",
TRUE,""
)</f>
        <v/>
      </c>
      <c r="W1274" s="12" t="str">
        <f t="shared" si="108"/>
        <v>Canada</v>
      </c>
    </row>
    <row r="1275" spans="2:23">
      <c r="B1275" s="75">
        <v>838</v>
      </c>
      <c r="C1275" s="15" t="str">
        <v>William Saliba</v>
      </c>
      <c r="D1275" s="15">
        <v>25</v>
      </c>
      <c r="E1275" s="15" t="str">
        <v>France</v>
      </c>
      <c r="F1275" s="15" t="str">
        <v>CB</v>
      </c>
      <c r="G1275" s="15" t="str">
        <v>Arsenal</v>
      </c>
      <c r="H1275" s="15">
        <v>17</v>
      </c>
      <c r="I1275" s="15" t="str">
        <f t="shared" si="109"/>
        <v>838|William Saliba|25|France|CB|Arsenal|17</v>
      </c>
      <c r="J1275" s="15" t="str">
        <f>IF(COUNTIF(I$438:I1275,I1275)&gt;1,"DOUBLON","OK")</f>
        <v>OK</v>
      </c>
      <c r="S1275" s="12" t="str">
        <v>Canada</v>
      </c>
      <c r="T1275" s="12" t="str">
        <f t="shared" si="106"/>
        <v>OK</v>
      </c>
      <c r="U1275" s="12" t="str">
        <f t="shared" si="107"/>
        <v>-</v>
      </c>
      <c r="V1275" s="12" t="str" cm="1">
        <f t="array" ref="V1275">_xlfn.IFS(
ISNUMBER(SEARCH("USA",S1275)),"United States",
ISNUMBER(SEARCH("Republic of Ireland",S1275)),"Ireland",
ISNUMBER(SEARCH("Republic of Korea",S1275)),"South Korea",
ISNUMBER(SEARCH("Cape Verde",S1275)),"Cabo Verde",
ISNUMBER(SEARCH("Czechia",S1275)),"Czech Republic",
ISNUMBER(SEARCH("Türkiye",S1275)),"Turkey",
ISNUMBER(SEARCH("Ivory Coast",S1275)),"Côte d'Ivoire",
ISNUMBER(SEARCH("Korea Republic",S1275)),"South Korea",
ISNUMBER(SEARCH("Germany FR",S1275)),"FR Germany",
ISNUMBER(SEARCH("West Germany",S1275)),"FR Germany",
ISNUMBER(SEARCH("Germany DR",S1275)),"DR Germany",
ISNUMBER(SEARCH("Korea DPR",S1275)),"North Korea",
ISNUMBER(SEARCH("China PR",S1275)),"China",
ISNUMBER(SEARCH("IR Iran",S1275)),"Iran",
ISNUMBER(SEARCH("Congo DR",S1275)),"Democratic Republic of the Congo",
ISNUMBER(SEARCH("DR Congo",S1275)),"Democratic Republic of the Congo",
ISNUMBER(SEARCH("German DR",S1275)),"DR Germany",
ISNUMBER(SEARCH("rn""&gt;United Arab Emirates",S1275)),"United Arab Emirates",
ISNUMBER(SEARCH("rn""&gt;Republic of Ireland",S1275)),"Ireland",
ISNUMBER(SEARCH("rn""&gt;Bosnia and Herzegovina",S1275)),"Bosnia and Herzegovina",
ISNUMBER(SEARCH("rn""&gt;Trinidad and Tobago",S1275)),"Trinidad and Tobago",
ISNUMBER(SEARCH("rn""&gt;Serbia and Montenegro",S1275)),"Serbia and Montenegro",
ISNUMBER(SEARCH(_xlfn.UNICHAR(65533),S1275)),"Côte d'Ivoire",
TRUE,""
)</f>
        <v/>
      </c>
      <c r="W1275" s="12" t="str">
        <f t="shared" si="108"/>
        <v>Canada</v>
      </c>
    </row>
    <row r="1276" spans="2:23">
      <c r="B1276" s="75">
        <v>839</v>
      </c>
      <c r="C1276" s="15" t="str">
        <v>Lucas Hernandez</v>
      </c>
      <c r="D1276" s="15">
        <v>30</v>
      </c>
      <c r="E1276" s="15" t="str">
        <v>France</v>
      </c>
      <c r="F1276" s="15" t="str">
        <v>CB</v>
      </c>
      <c r="G1276" s="15" t="str">
        <v>Paris Saint-Germain</v>
      </c>
      <c r="H1276" s="15">
        <v>21</v>
      </c>
      <c r="I1276" s="15" t="str">
        <f t="shared" si="109"/>
        <v>839|Lucas Hernandez|30|France|CB|Paris Saint-Germain|21</v>
      </c>
      <c r="J1276" s="15" t="str">
        <f>IF(COUNTIF(I$438:I1276,I1276)&gt;1,"DOUBLON","OK")</f>
        <v>OK</v>
      </c>
      <c r="S1276" s="12" t="str">
        <v>Canada</v>
      </c>
      <c r="T1276" s="12" t="str">
        <f t="shared" si="106"/>
        <v>OK</v>
      </c>
      <c r="U1276" s="12" t="str">
        <f t="shared" si="107"/>
        <v>-</v>
      </c>
      <c r="V1276" s="12" t="str" cm="1">
        <f t="array" ref="V1276">_xlfn.IFS(
ISNUMBER(SEARCH("USA",S1276)),"United States",
ISNUMBER(SEARCH("Republic of Ireland",S1276)),"Ireland",
ISNUMBER(SEARCH("Republic of Korea",S1276)),"South Korea",
ISNUMBER(SEARCH("Cape Verde",S1276)),"Cabo Verde",
ISNUMBER(SEARCH("Czechia",S1276)),"Czech Republic",
ISNUMBER(SEARCH("Türkiye",S1276)),"Turkey",
ISNUMBER(SEARCH("Ivory Coast",S1276)),"Côte d'Ivoire",
ISNUMBER(SEARCH("Korea Republic",S1276)),"South Korea",
ISNUMBER(SEARCH("Germany FR",S1276)),"FR Germany",
ISNUMBER(SEARCH("West Germany",S1276)),"FR Germany",
ISNUMBER(SEARCH("Germany DR",S1276)),"DR Germany",
ISNUMBER(SEARCH("Korea DPR",S1276)),"North Korea",
ISNUMBER(SEARCH("China PR",S1276)),"China",
ISNUMBER(SEARCH("IR Iran",S1276)),"Iran",
ISNUMBER(SEARCH("Congo DR",S1276)),"Democratic Republic of the Congo",
ISNUMBER(SEARCH("DR Congo",S1276)),"Democratic Republic of the Congo",
ISNUMBER(SEARCH("German DR",S1276)),"DR Germany",
ISNUMBER(SEARCH("rn""&gt;United Arab Emirates",S1276)),"United Arab Emirates",
ISNUMBER(SEARCH("rn""&gt;Republic of Ireland",S1276)),"Ireland",
ISNUMBER(SEARCH("rn""&gt;Bosnia and Herzegovina",S1276)),"Bosnia and Herzegovina",
ISNUMBER(SEARCH("rn""&gt;Trinidad and Tobago",S1276)),"Trinidad and Tobago",
ISNUMBER(SEARCH("rn""&gt;Serbia and Montenegro",S1276)),"Serbia and Montenegro",
ISNUMBER(SEARCH(_xlfn.UNICHAR(65533),S1276)),"Côte d'Ivoire",
TRUE,""
)</f>
        <v/>
      </c>
      <c r="W1276" s="12" t="str">
        <f t="shared" si="108"/>
        <v>Canada</v>
      </c>
    </row>
    <row r="1277" spans="2:23">
      <c r="B1277" s="75">
        <v>840</v>
      </c>
      <c r="C1277" s="15" t="str">
        <v>Maxence Lacroix</v>
      </c>
      <c r="D1277" s="15">
        <v>26</v>
      </c>
      <c r="E1277" s="15" t="str">
        <v>France</v>
      </c>
      <c r="F1277" s="15" t="str">
        <v>CB</v>
      </c>
      <c r="G1277" s="15" t="str">
        <v>Crystal Palace</v>
      </c>
      <c r="H1277" s="15">
        <v>26</v>
      </c>
      <c r="I1277" s="15" t="str">
        <f t="shared" si="109"/>
        <v>840|Maxence Lacroix|26|France|CB|Crystal Palace|26</v>
      </c>
      <c r="J1277" s="15" t="str">
        <f>IF(COUNTIF(I$438:I1277,I1277)&gt;1,"DOUBLON","OK")</f>
        <v>OK</v>
      </c>
      <c r="S1277" s="12" t="str">
        <v>Qatar</v>
      </c>
      <c r="T1277" s="12" t="str">
        <f t="shared" si="106"/>
        <v>OK</v>
      </c>
      <c r="U1277" s="12" t="str">
        <f t="shared" si="107"/>
        <v>-</v>
      </c>
      <c r="V1277" s="12" t="str" cm="1">
        <f t="array" ref="V1277">_xlfn.IFS(
ISNUMBER(SEARCH("USA",S1277)),"United States",
ISNUMBER(SEARCH("Republic of Ireland",S1277)),"Ireland",
ISNUMBER(SEARCH("Republic of Korea",S1277)),"South Korea",
ISNUMBER(SEARCH("Cape Verde",S1277)),"Cabo Verde",
ISNUMBER(SEARCH("Czechia",S1277)),"Czech Republic",
ISNUMBER(SEARCH("Türkiye",S1277)),"Turkey",
ISNUMBER(SEARCH("Ivory Coast",S1277)),"Côte d'Ivoire",
ISNUMBER(SEARCH("Korea Republic",S1277)),"South Korea",
ISNUMBER(SEARCH("Germany FR",S1277)),"FR Germany",
ISNUMBER(SEARCH("West Germany",S1277)),"FR Germany",
ISNUMBER(SEARCH("Germany DR",S1277)),"DR Germany",
ISNUMBER(SEARCH("Korea DPR",S1277)),"North Korea",
ISNUMBER(SEARCH("China PR",S1277)),"China",
ISNUMBER(SEARCH("IR Iran",S1277)),"Iran",
ISNUMBER(SEARCH("Congo DR",S1277)),"Democratic Republic of the Congo",
ISNUMBER(SEARCH("DR Congo",S1277)),"Democratic Republic of the Congo",
ISNUMBER(SEARCH("German DR",S1277)),"DR Germany",
ISNUMBER(SEARCH("rn""&gt;United Arab Emirates",S1277)),"United Arab Emirates",
ISNUMBER(SEARCH("rn""&gt;Republic of Ireland",S1277)),"Ireland",
ISNUMBER(SEARCH("rn""&gt;Bosnia and Herzegovina",S1277)),"Bosnia and Herzegovina",
ISNUMBER(SEARCH("rn""&gt;Trinidad and Tobago",S1277)),"Trinidad and Tobago",
ISNUMBER(SEARCH("rn""&gt;Serbia and Montenegro",S1277)),"Serbia and Montenegro",
ISNUMBER(SEARCH(_xlfn.UNICHAR(65533),S1277)),"Côte d'Ivoire",
TRUE,""
)</f>
        <v/>
      </c>
      <c r="W1277" s="12" t="str">
        <f t="shared" si="108"/>
        <v>Qatar</v>
      </c>
    </row>
    <row r="1278" spans="2:23">
      <c r="B1278" s="75">
        <v>841</v>
      </c>
      <c r="C1278" s="15" t="str">
        <v>Lucas Digne</v>
      </c>
      <c r="D1278" s="15">
        <v>32</v>
      </c>
      <c r="E1278" s="15" t="str">
        <v>France</v>
      </c>
      <c r="F1278" s="15" t="str">
        <v>LB</v>
      </c>
      <c r="G1278" s="15" t="str">
        <v>Aston Villa</v>
      </c>
      <c r="H1278" s="15">
        <v>3</v>
      </c>
      <c r="I1278" s="15" t="str">
        <f t="shared" si="109"/>
        <v>841|Lucas Digne|32|France|LB|Aston Villa|3</v>
      </c>
      <c r="J1278" s="15" t="str">
        <f>IF(COUNTIF(I$438:I1278,I1278)&gt;1,"DOUBLON","OK")</f>
        <v>OK</v>
      </c>
      <c r="S1278" s="12" t="str">
        <v>Qatar</v>
      </c>
      <c r="T1278" s="12" t="str">
        <f t="shared" si="106"/>
        <v>OK</v>
      </c>
      <c r="U1278" s="12" t="str">
        <f t="shared" si="107"/>
        <v>-</v>
      </c>
      <c r="V1278" s="12" t="str" cm="1">
        <f t="array" ref="V1278">_xlfn.IFS(
ISNUMBER(SEARCH("USA",S1278)),"United States",
ISNUMBER(SEARCH("Republic of Ireland",S1278)),"Ireland",
ISNUMBER(SEARCH("Republic of Korea",S1278)),"South Korea",
ISNUMBER(SEARCH("Cape Verde",S1278)),"Cabo Verde",
ISNUMBER(SEARCH("Czechia",S1278)),"Czech Republic",
ISNUMBER(SEARCH("Türkiye",S1278)),"Turkey",
ISNUMBER(SEARCH("Ivory Coast",S1278)),"Côte d'Ivoire",
ISNUMBER(SEARCH("Korea Republic",S1278)),"South Korea",
ISNUMBER(SEARCH("Germany FR",S1278)),"FR Germany",
ISNUMBER(SEARCH("West Germany",S1278)),"FR Germany",
ISNUMBER(SEARCH("Germany DR",S1278)),"DR Germany",
ISNUMBER(SEARCH("Korea DPR",S1278)),"North Korea",
ISNUMBER(SEARCH("China PR",S1278)),"China",
ISNUMBER(SEARCH("IR Iran",S1278)),"Iran",
ISNUMBER(SEARCH("Congo DR",S1278)),"Democratic Republic of the Congo",
ISNUMBER(SEARCH("DR Congo",S1278)),"Democratic Republic of the Congo",
ISNUMBER(SEARCH("German DR",S1278)),"DR Germany",
ISNUMBER(SEARCH("rn""&gt;United Arab Emirates",S1278)),"United Arab Emirates",
ISNUMBER(SEARCH("rn""&gt;Republic of Ireland",S1278)),"Ireland",
ISNUMBER(SEARCH("rn""&gt;Bosnia and Herzegovina",S1278)),"Bosnia and Herzegovina",
ISNUMBER(SEARCH("rn""&gt;Trinidad and Tobago",S1278)),"Trinidad and Tobago",
ISNUMBER(SEARCH("rn""&gt;Serbia and Montenegro",S1278)),"Serbia and Montenegro",
ISNUMBER(SEARCH(_xlfn.UNICHAR(65533),S1278)),"Côte d'Ivoire",
TRUE,""
)</f>
        <v/>
      </c>
      <c r="W1278" s="12" t="str">
        <f t="shared" si="108"/>
        <v>Qatar</v>
      </c>
    </row>
    <row r="1279" spans="2:23">
      <c r="B1279" s="75">
        <v>842</v>
      </c>
      <c r="C1279" s="15" t="str">
        <v>Théo Hernandez</v>
      </c>
      <c r="D1279" s="15">
        <v>28</v>
      </c>
      <c r="E1279" s="15" t="str">
        <v>France</v>
      </c>
      <c r="F1279" s="15" t="str">
        <v>LB</v>
      </c>
      <c r="G1279" s="15" t="str">
        <v>Al-Hilal</v>
      </c>
      <c r="H1279" s="15">
        <v>19</v>
      </c>
      <c r="I1279" s="15" t="str">
        <f t="shared" si="109"/>
        <v>842|Théo Hernandez|28|France|LB|Al-Hilal|19</v>
      </c>
      <c r="J1279" s="15" t="str">
        <f>IF(COUNTIF(I$438:I1279,I1279)&gt;1,"DOUBLON","OK")</f>
        <v>OK</v>
      </c>
      <c r="S1279" s="12" t="str">
        <v>Qatar</v>
      </c>
      <c r="T1279" s="12" t="str">
        <f t="shared" si="106"/>
        <v>OK</v>
      </c>
      <c r="U1279" s="12" t="str">
        <f t="shared" si="107"/>
        <v>-</v>
      </c>
      <c r="V1279" s="12" t="str" cm="1">
        <f t="array" ref="V1279">_xlfn.IFS(
ISNUMBER(SEARCH("USA",S1279)),"United States",
ISNUMBER(SEARCH("Republic of Ireland",S1279)),"Ireland",
ISNUMBER(SEARCH("Republic of Korea",S1279)),"South Korea",
ISNUMBER(SEARCH("Cape Verde",S1279)),"Cabo Verde",
ISNUMBER(SEARCH("Czechia",S1279)),"Czech Republic",
ISNUMBER(SEARCH("Türkiye",S1279)),"Turkey",
ISNUMBER(SEARCH("Ivory Coast",S1279)),"Côte d'Ivoire",
ISNUMBER(SEARCH("Korea Republic",S1279)),"South Korea",
ISNUMBER(SEARCH("Germany FR",S1279)),"FR Germany",
ISNUMBER(SEARCH("West Germany",S1279)),"FR Germany",
ISNUMBER(SEARCH("Germany DR",S1279)),"DR Germany",
ISNUMBER(SEARCH("Korea DPR",S1279)),"North Korea",
ISNUMBER(SEARCH("China PR",S1279)),"China",
ISNUMBER(SEARCH("IR Iran",S1279)),"Iran",
ISNUMBER(SEARCH("Congo DR",S1279)),"Democratic Republic of the Congo",
ISNUMBER(SEARCH("DR Congo",S1279)),"Democratic Republic of the Congo",
ISNUMBER(SEARCH("German DR",S1279)),"DR Germany",
ISNUMBER(SEARCH("rn""&gt;United Arab Emirates",S1279)),"United Arab Emirates",
ISNUMBER(SEARCH("rn""&gt;Republic of Ireland",S1279)),"Ireland",
ISNUMBER(SEARCH("rn""&gt;Bosnia and Herzegovina",S1279)),"Bosnia and Herzegovina",
ISNUMBER(SEARCH("rn""&gt;Trinidad and Tobago",S1279)),"Trinidad and Tobago",
ISNUMBER(SEARCH("rn""&gt;Serbia and Montenegro",S1279)),"Serbia and Montenegro",
ISNUMBER(SEARCH(_xlfn.UNICHAR(65533),S1279)),"Côte d'Ivoire",
TRUE,""
)</f>
        <v/>
      </c>
      <c r="W1279" s="12" t="str">
        <f t="shared" si="108"/>
        <v>Qatar</v>
      </c>
    </row>
    <row r="1280" spans="2:23">
      <c r="B1280" s="75">
        <v>843</v>
      </c>
      <c r="C1280" s="15" t="str">
        <v>Malo Gusto</v>
      </c>
      <c r="D1280" s="15">
        <v>23</v>
      </c>
      <c r="E1280" s="15" t="str">
        <v>France</v>
      </c>
      <c r="F1280" s="15" t="str">
        <v>RB</v>
      </c>
      <c r="G1280" s="15" t="str">
        <v>Chelsea</v>
      </c>
      <c r="H1280" s="15">
        <v>2</v>
      </c>
      <c r="I1280" s="15" t="str">
        <f t="shared" si="109"/>
        <v>843|Malo Gusto|23|France|RB|Chelsea|2</v>
      </c>
      <c r="J1280" s="15" t="str">
        <f>IF(COUNTIF(I$438:I1280,I1280)&gt;1,"DOUBLON","OK")</f>
        <v>OK</v>
      </c>
      <c r="S1280" s="12" t="str">
        <v>Qatar</v>
      </c>
      <c r="T1280" s="12" t="str">
        <f t="shared" si="106"/>
        <v>OK</v>
      </c>
      <c r="U1280" s="12" t="str">
        <f t="shared" si="107"/>
        <v>-</v>
      </c>
      <c r="V1280" s="12" t="str" cm="1">
        <f t="array" ref="V1280">_xlfn.IFS(
ISNUMBER(SEARCH("USA",S1280)),"United States",
ISNUMBER(SEARCH("Republic of Ireland",S1280)),"Ireland",
ISNUMBER(SEARCH("Republic of Korea",S1280)),"South Korea",
ISNUMBER(SEARCH("Cape Verde",S1280)),"Cabo Verde",
ISNUMBER(SEARCH("Czechia",S1280)),"Czech Republic",
ISNUMBER(SEARCH("Türkiye",S1280)),"Turkey",
ISNUMBER(SEARCH("Ivory Coast",S1280)),"Côte d'Ivoire",
ISNUMBER(SEARCH("Korea Republic",S1280)),"South Korea",
ISNUMBER(SEARCH("Germany FR",S1280)),"FR Germany",
ISNUMBER(SEARCH("West Germany",S1280)),"FR Germany",
ISNUMBER(SEARCH("Germany DR",S1280)),"DR Germany",
ISNUMBER(SEARCH("Korea DPR",S1280)),"North Korea",
ISNUMBER(SEARCH("China PR",S1280)),"China",
ISNUMBER(SEARCH("IR Iran",S1280)),"Iran",
ISNUMBER(SEARCH("Congo DR",S1280)),"Democratic Republic of the Congo",
ISNUMBER(SEARCH("DR Congo",S1280)),"Democratic Republic of the Congo",
ISNUMBER(SEARCH("German DR",S1280)),"DR Germany",
ISNUMBER(SEARCH("rn""&gt;United Arab Emirates",S1280)),"United Arab Emirates",
ISNUMBER(SEARCH("rn""&gt;Republic of Ireland",S1280)),"Ireland",
ISNUMBER(SEARCH("rn""&gt;Bosnia and Herzegovina",S1280)),"Bosnia and Herzegovina",
ISNUMBER(SEARCH("rn""&gt;Trinidad and Tobago",S1280)),"Trinidad and Tobago",
ISNUMBER(SEARCH("rn""&gt;Serbia and Montenegro",S1280)),"Serbia and Montenegro",
ISNUMBER(SEARCH(_xlfn.UNICHAR(65533),S1280)),"Côte d'Ivoire",
TRUE,""
)</f>
        <v/>
      </c>
      <c r="W1280" s="12" t="str">
        <f t="shared" si="108"/>
        <v>Qatar</v>
      </c>
    </row>
    <row r="1281" spans="2:23">
      <c r="B1281" s="75">
        <v>844</v>
      </c>
      <c r="C1281" s="15" t="str">
        <v>Jules Koundé</v>
      </c>
      <c r="D1281" s="15">
        <v>27</v>
      </c>
      <c r="E1281" s="15" t="str">
        <v>France</v>
      </c>
      <c r="F1281" s="15" t="str">
        <v>RB</v>
      </c>
      <c r="G1281" s="15" t="str">
        <v>Barcelona</v>
      </c>
      <c r="H1281" s="15">
        <v>5</v>
      </c>
      <c r="I1281" s="15" t="str">
        <f t="shared" si="109"/>
        <v>844|Jules Koundé|27|France|RB|Barcelona|5</v>
      </c>
      <c r="J1281" s="15" t="str">
        <f>IF(COUNTIF(I$438:I1281,I1281)&gt;1,"DOUBLON","OK")</f>
        <v>OK</v>
      </c>
      <c r="S1281" s="12" t="str">
        <v>Qatar</v>
      </c>
      <c r="T1281" s="12" t="str">
        <f t="shared" si="106"/>
        <v>OK</v>
      </c>
      <c r="U1281" s="12" t="str">
        <f t="shared" si="107"/>
        <v>-</v>
      </c>
      <c r="V1281" s="12" t="str" cm="1">
        <f t="array" ref="V1281">_xlfn.IFS(
ISNUMBER(SEARCH("USA",S1281)),"United States",
ISNUMBER(SEARCH("Republic of Ireland",S1281)),"Ireland",
ISNUMBER(SEARCH("Republic of Korea",S1281)),"South Korea",
ISNUMBER(SEARCH("Cape Verde",S1281)),"Cabo Verde",
ISNUMBER(SEARCH("Czechia",S1281)),"Czech Republic",
ISNUMBER(SEARCH("Türkiye",S1281)),"Turkey",
ISNUMBER(SEARCH("Ivory Coast",S1281)),"Côte d'Ivoire",
ISNUMBER(SEARCH("Korea Republic",S1281)),"South Korea",
ISNUMBER(SEARCH("Germany FR",S1281)),"FR Germany",
ISNUMBER(SEARCH("West Germany",S1281)),"FR Germany",
ISNUMBER(SEARCH("Germany DR",S1281)),"DR Germany",
ISNUMBER(SEARCH("Korea DPR",S1281)),"North Korea",
ISNUMBER(SEARCH("China PR",S1281)),"China",
ISNUMBER(SEARCH("IR Iran",S1281)),"Iran",
ISNUMBER(SEARCH("Congo DR",S1281)),"Democratic Republic of the Congo",
ISNUMBER(SEARCH("DR Congo",S1281)),"Democratic Republic of the Congo",
ISNUMBER(SEARCH("German DR",S1281)),"DR Germany",
ISNUMBER(SEARCH("rn""&gt;United Arab Emirates",S1281)),"United Arab Emirates",
ISNUMBER(SEARCH("rn""&gt;Republic of Ireland",S1281)),"Ireland",
ISNUMBER(SEARCH("rn""&gt;Bosnia and Herzegovina",S1281)),"Bosnia and Herzegovina",
ISNUMBER(SEARCH("rn""&gt;Trinidad and Tobago",S1281)),"Trinidad and Tobago",
ISNUMBER(SEARCH("rn""&gt;Serbia and Montenegro",S1281)),"Serbia and Montenegro",
ISNUMBER(SEARCH(_xlfn.UNICHAR(65533),S1281)),"Côte d'Ivoire",
TRUE,""
)</f>
        <v/>
      </c>
      <c r="W1281" s="12" t="str">
        <f t="shared" si="108"/>
        <v>Qatar</v>
      </c>
    </row>
    <row r="1282" spans="2:23">
      <c r="B1282" s="75">
        <v>845</v>
      </c>
      <c r="C1282" s="15" t="str">
        <v>Aurélien Tchouaméni</v>
      </c>
      <c r="D1282" s="15">
        <v>26</v>
      </c>
      <c r="E1282" s="15" t="str">
        <v>France</v>
      </c>
      <c r="F1282" s="15" t="str">
        <v>CDM</v>
      </c>
      <c r="G1282" s="15" t="str">
        <v>Real Madrid</v>
      </c>
      <c r="H1282" s="15">
        <v>8</v>
      </c>
      <c r="I1282" s="15" t="str">
        <f t="shared" si="109"/>
        <v>845|Aurélien Tchouaméni|26|France|CDM|Real Madrid|8</v>
      </c>
      <c r="J1282" s="15" t="str">
        <f>IF(COUNTIF(I$438:I1282,I1282)&gt;1,"DOUBLON","OK")</f>
        <v>OK</v>
      </c>
      <c r="S1282" s="12" t="str">
        <v>Qatar</v>
      </c>
      <c r="T1282" s="12" t="str">
        <f t="shared" si="106"/>
        <v>OK</v>
      </c>
      <c r="U1282" s="12" t="str">
        <f t="shared" si="107"/>
        <v>-</v>
      </c>
      <c r="V1282" s="12" t="str" cm="1">
        <f t="array" ref="V1282">_xlfn.IFS(
ISNUMBER(SEARCH("USA",S1282)),"United States",
ISNUMBER(SEARCH("Republic of Ireland",S1282)),"Ireland",
ISNUMBER(SEARCH("Republic of Korea",S1282)),"South Korea",
ISNUMBER(SEARCH("Cape Verde",S1282)),"Cabo Verde",
ISNUMBER(SEARCH("Czechia",S1282)),"Czech Republic",
ISNUMBER(SEARCH("Türkiye",S1282)),"Turkey",
ISNUMBER(SEARCH("Ivory Coast",S1282)),"Côte d'Ivoire",
ISNUMBER(SEARCH("Korea Republic",S1282)),"South Korea",
ISNUMBER(SEARCH("Germany FR",S1282)),"FR Germany",
ISNUMBER(SEARCH("West Germany",S1282)),"FR Germany",
ISNUMBER(SEARCH("Germany DR",S1282)),"DR Germany",
ISNUMBER(SEARCH("Korea DPR",S1282)),"North Korea",
ISNUMBER(SEARCH("China PR",S1282)),"China",
ISNUMBER(SEARCH("IR Iran",S1282)),"Iran",
ISNUMBER(SEARCH("Congo DR",S1282)),"Democratic Republic of the Congo",
ISNUMBER(SEARCH("DR Congo",S1282)),"Democratic Republic of the Congo",
ISNUMBER(SEARCH("German DR",S1282)),"DR Germany",
ISNUMBER(SEARCH("rn""&gt;United Arab Emirates",S1282)),"United Arab Emirates",
ISNUMBER(SEARCH("rn""&gt;Republic of Ireland",S1282)),"Ireland",
ISNUMBER(SEARCH("rn""&gt;Bosnia and Herzegovina",S1282)),"Bosnia and Herzegovina",
ISNUMBER(SEARCH("rn""&gt;Trinidad and Tobago",S1282)),"Trinidad and Tobago",
ISNUMBER(SEARCH("rn""&gt;Serbia and Montenegro",S1282)),"Serbia and Montenegro",
ISNUMBER(SEARCH(_xlfn.UNICHAR(65533),S1282)),"Côte d'Ivoire",
TRUE,""
)</f>
        <v/>
      </c>
      <c r="W1282" s="12" t="str">
        <f t="shared" si="108"/>
        <v>Qatar</v>
      </c>
    </row>
    <row r="1283" spans="2:23">
      <c r="B1283" s="75">
        <v>846</v>
      </c>
      <c r="C1283" s="15" t="str">
        <v>N'Golo Kanté</v>
      </c>
      <c r="D1283" s="15">
        <v>35</v>
      </c>
      <c r="E1283" s="15" t="str">
        <v>France</v>
      </c>
      <c r="F1283" s="15" t="str">
        <v>CDM</v>
      </c>
      <c r="G1283" s="15" t="str">
        <v>Fenerbahçe</v>
      </c>
      <c r="H1283" s="15">
        <v>13</v>
      </c>
      <c r="I1283" s="15" t="str">
        <f t="shared" si="109"/>
        <v>846|N'Golo Kanté|35|France|CDM|Fenerbahçe|13</v>
      </c>
      <c r="J1283" s="15" t="str">
        <f>IF(COUNTIF(I$438:I1283,I1283)&gt;1,"DOUBLON","OK")</f>
        <v>OK</v>
      </c>
      <c r="S1283" s="12" t="str">
        <v>Qatar</v>
      </c>
      <c r="T1283" s="12" t="str">
        <f t="shared" si="106"/>
        <v>OK</v>
      </c>
      <c r="U1283" s="12" t="str">
        <f t="shared" si="107"/>
        <v>-</v>
      </c>
      <c r="V1283" s="12" t="str" cm="1">
        <f t="array" ref="V1283">_xlfn.IFS(
ISNUMBER(SEARCH("USA",S1283)),"United States",
ISNUMBER(SEARCH("Republic of Ireland",S1283)),"Ireland",
ISNUMBER(SEARCH("Republic of Korea",S1283)),"South Korea",
ISNUMBER(SEARCH("Cape Verde",S1283)),"Cabo Verde",
ISNUMBER(SEARCH("Czechia",S1283)),"Czech Republic",
ISNUMBER(SEARCH("Türkiye",S1283)),"Turkey",
ISNUMBER(SEARCH("Ivory Coast",S1283)),"Côte d'Ivoire",
ISNUMBER(SEARCH("Korea Republic",S1283)),"South Korea",
ISNUMBER(SEARCH("Germany FR",S1283)),"FR Germany",
ISNUMBER(SEARCH("West Germany",S1283)),"FR Germany",
ISNUMBER(SEARCH("Germany DR",S1283)),"DR Germany",
ISNUMBER(SEARCH("Korea DPR",S1283)),"North Korea",
ISNUMBER(SEARCH("China PR",S1283)),"China",
ISNUMBER(SEARCH("IR Iran",S1283)),"Iran",
ISNUMBER(SEARCH("Congo DR",S1283)),"Democratic Republic of the Congo",
ISNUMBER(SEARCH("DR Congo",S1283)),"Democratic Republic of the Congo",
ISNUMBER(SEARCH("German DR",S1283)),"DR Germany",
ISNUMBER(SEARCH("rn""&gt;United Arab Emirates",S1283)),"United Arab Emirates",
ISNUMBER(SEARCH("rn""&gt;Republic of Ireland",S1283)),"Ireland",
ISNUMBER(SEARCH("rn""&gt;Bosnia and Herzegovina",S1283)),"Bosnia and Herzegovina",
ISNUMBER(SEARCH("rn""&gt;Trinidad and Tobago",S1283)),"Trinidad and Tobago",
ISNUMBER(SEARCH("rn""&gt;Serbia and Montenegro",S1283)),"Serbia and Montenegro",
ISNUMBER(SEARCH(_xlfn.UNICHAR(65533),S1283)),"Côte d'Ivoire",
TRUE,""
)</f>
        <v/>
      </c>
      <c r="W1283" s="12" t="str">
        <f t="shared" si="108"/>
        <v>Qatar</v>
      </c>
    </row>
    <row r="1284" spans="2:23">
      <c r="B1284" s="75">
        <v>847</v>
      </c>
      <c r="C1284" s="15" t="str">
        <v>Manu Koné</v>
      </c>
      <c r="D1284" s="15">
        <v>25</v>
      </c>
      <c r="E1284" s="15" t="str">
        <v>France</v>
      </c>
      <c r="F1284" s="15" t="str">
        <v>CM</v>
      </c>
      <c r="G1284" s="15" t="str">
        <v>Roma</v>
      </c>
      <c r="H1284" s="15">
        <v>6</v>
      </c>
      <c r="I1284" s="15" t="str">
        <f t="shared" si="109"/>
        <v>847|Manu Koné|25|France|CM|Roma|6</v>
      </c>
      <c r="J1284" s="15" t="str">
        <f>IF(COUNTIF(I$438:I1284,I1284)&gt;1,"DOUBLON","OK")</f>
        <v>OK</v>
      </c>
      <c r="S1284" s="12" t="str">
        <v>Qatar</v>
      </c>
      <c r="T1284" s="12" t="str">
        <f t="shared" si="106"/>
        <v>OK</v>
      </c>
      <c r="U1284" s="12" t="str">
        <f t="shared" si="107"/>
        <v>-</v>
      </c>
      <c r="V1284" s="12" t="str" cm="1">
        <f t="array" ref="V1284">_xlfn.IFS(
ISNUMBER(SEARCH("USA",S1284)),"United States",
ISNUMBER(SEARCH("Republic of Ireland",S1284)),"Ireland",
ISNUMBER(SEARCH("Republic of Korea",S1284)),"South Korea",
ISNUMBER(SEARCH("Cape Verde",S1284)),"Cabo Verde",
ISNUMBER(SEARCH("Czechia",S1284)),"Czech Republic",
ISNUMBER(SEARCH("Türkiye",S1284)),"Turkey",
ISNUMBER(SEARCH("Ivory Coast",S1284)),"Côte d'Ivoire",
ISNUMBER(SEARCH("Korea Republic",S1284)),"South Korea",
ISNUMBER(SEARCH("Germany FR",S1284)),"FR Germany",
ISNUMBER(SEARCH("West Germany",S1284)),"FR Germany",
ISNUMBER(SEARCH("Germany DR",S1284)),"DR Germany",
ISNUMBER(SEARCH("Korea DPR",S1284)),"North Korea",
ISNUMBER(SEARCH("China PR",S1284)),"China",
ISNUMBER(SEARCH("IR Iran",S1284)),"Iran",
ISNUMBER(SEARCH("Congo DR",S1284)),"Democratic Republic of the Congo",
ISNUMBER(SEARCH("DR Congo",S1284)),"Democratic Republic of the Congo",
ISNUMBER(SEARCH("German DR",S1284)),"DR Germany",
ISNUMBER(SEARCH("rn""&gt;United Arab Emirates",S1284)),"United Arab Emirates",
ISNUMBER(SEARCH("rn""&gt;Republic of Ireland",S1284)),"Ireland",
ISNUMBER(SEARCH("rn""&gt;Bosnia and Herzegovina",S1284)),"Bosnia and Herzegovina",
ISNUMBER(SEARCH("rn""&gt;Trinidad and Tobago",S1284)),"Trinidad and Tobago",
ISNUMBER(SEARCH("rn""&gt;Serbia and Montenegro",S1284)),"Serbia and Montenegro",
ISNUMBER(SEARCH(_xlfn.UNICHAR(65533),S1284)),"Côte d'Ivoire",
TRUE,""
)</f>
        <v/>
      </c>
      <c r="W1284" s="12" t="str">
        <f t="shared" si="108"/>
        <v>Qatar</v>
      </c>
    </row>
    <row r="1285" spans="2:23">
      <c r="B1285" s="75">
        <v>848</v>
      </c>
      <c r="C1285" s="15" t="str">
        <v>Adrien Rabiot</v>
      </c>
      <c r="D1285" s="15">
        <v>31</v>
      </c>
      <c r="E1285" s="15" t="str">
        <v>France</v>
      </c>
      <c r="F1285" s="15" t="str">
        <v>CM</v>
      </c>
      <c r="G1285" s="15" t="str">
        <v>AC Milan</v>
      </c>
      <c r="H1285" s="15">
        <v>14</v>
      </c>
      <c r="I1285" s="15" t="str">
        <f t="shared" si="109"/>
        <v>848|Adrien Rabiot|31|France|CM|AC Milan|14</v>
      </c>
      <c r="J1285" s="15" t="str">
        <f>IF(COUNTIF(I$438:I1285,I1285)&gt;1,"DOUBLON","OK")</f>
        <v>OK</v>
      </c>
      <c r="S1285" s="12" t="str">
        <v>Qatar</v>
      </c>
      <c r="T1285" s="12" t="str">
        <f t="shared" si="106"/>
        <v>OK</v>
      </c>
      <c r="U1285" s="12" t="str">
        <f t="shared" si="107"/>
        <v>-</v>
      </c>
      <c r="V1285" s="12" t="str" cm="1">
        <f t="array" ref="V1285">_xlfn.IFS(
ISNUMBER(SEARCH("USA",S1285)),"United States",
ISNUMBER(SEARCH("Republic of Ireland",S1285)),"Ireland",
ISNUMBER(SEARCH("Republic of Korea",S1285)),"South Korea",
ISNUMBER(SEARCH("Cape Verde",S1285)),"Cabo Verde",
ISNUMBER(SEARCH("Czechia",S1285)),"Czech Republic",
ISNUMBER(SEARCH("Türkiye",S1285)),"Turkey",
ISNUMBER(SEARCH("Ivory Coast",S1285)),"Côte d'Ivoire",
ISNUMBER(SEARCH("Korea Republic",S1285)),"South Korea",
ISNUMBER(SEARCH("Germany FR",S1285)),"FR Germany",
ISNUMBER(SEARCH("West Germany",S1285)),"FR Germany",
ISNUMBER(SEARCH("Germany DR",S1285)),"DR Germany",
ISNUMBER(SEARCH("Korea DPR",S1285)),"North Korea",
ISNUMBER(SEARCH("China PR",S1285)),"China",
ISNUMBER(SEARCH("IR Iran",S1285)),"Iran",
ISNUMBER(SEARCH("Congo DR",S1285)),"Democratic Republic of the Congo",
ISNUMBER(SEARCH("DR Congo",S1285)),"Democratic Republic of the Congo",
ISNUMBER(SEARCH("German DR",S1285)),"DR Germany",
ISNUMBER(SEARCH("rn""&gt;United Arab Emirates",S1285)),"United Arab Emirates",
ISNUMBER(SEARCH("rn""&gt;Republic of Ireland",S1285)),"Ireland",
ISNUMBER(SEARCH("rn""&gt;Bosnia and Herzegovina",S1285)),"Bosnia and Herzegovina",
ISNUMBER(SEARCH("rn""&gt;Trinidad and Tobago",S1285)),"Trinidad and Tobago",
ISNUMBER(SEARCH("rn""&gt;Serbia and Montenegro",S1285)),"Serbia and Montenegro",
ISNUMBER(SEARCH(_xlfn.UNICHAR(65533),S1285)),"Côte d'Ivoire",
TRUE,""
)</f>
        <v/>
      </c>
      <c r="W1285" s="12" t="str">
        <f t="shared" si="108"/>
        <v>Qatar</v>
      </c>
    </row>
    <row r="1286" spans="2:23">
      <c r="B1286" s="75">
        <v>849</v>
      </c>
      <c r="C1286" s="15" t="str">
        <v>Warren Zaïre-Emery</v>
      </c>
      <c r="D1286" s="15">
        <v>20</v>
      </c>
      <c r="E1286" s="15" t="str">
        <v>France</v>
      </c>
      <c r="F1286" s="15" t="str">
        <v>CM</v>
      </c>
      <c r="G1286" s="15" t="str">
        <v>Paris Saint-Germain</v>
      </c>
      <c r="H1286" s="15">
        <v>18</v>
      </c>
      <c r="I1286" s="15" t="str">
        <f t="shared" si="109"/>
        <v>849|Warren Zaïre-Emery|20|France|CM|Paris Saint-Germain|18</v>
      </c>
      <c r="J1286" s="15" t="str">
        <f>IF(COUNTIF(I$438:I1286,I1286)&gt;1,"DOUBLON","OK")</f>
        <v>OK</v>
      </c>
      <c r="S1286" s="12" t="str">
        <v>Qatar</v>
      </c>
      <c r="T1286" s="12" t="str">
        <f t="shared" si="106"/>
        <v>OK</v>
      </c>
      <c r="U1286" s="12" t="str">
        <f t="shared" si="107"/>
        <v>-</v>
      </c>
      <c r="V1286" s="12" t="str" cm="1">
        <f t="array" ref="V1286">_xlfn.IFS(
ISNUMBER(SEARCH("USA",S1286)),"United States",
ISNUMBER(SEARCH("Republic of Ireland",S1286)),"Ireland",
ISNUMBER(SEARCH("Republic of Korea",S1286)),"South Korea",
ISNUMBER(SEARCH("Cape Verde",S1286)),"Cabo Verde",
ISNUMBER(SEARCH("Czechia",S1286)),"Czech Republic",
ISNUMBER(SEARCH("Türkiye",S1286)),"Turkey",
ISNUMBER(SEARCH("Ivory Coast",S1286)),"Côte d'Ivoire",
ISNUMBER(SEARCH("Korea Republic",S1286)),"South Korea",
ISNUMBER(SEARCH("Germany FR",S1286)),"FR Germany",
ISNUMBER(SEARCH("West Germany",S1286)),"FR Germany",
ISNUMBER(SEARCH("Germany DR",S1286)),"DR Germany",
ISNUMBER(SEARCH("Korea DPR",S1286)),"North Korea",
ISNUMBER(SEARCH("China PR",S1286)),"China",
ISNUMBER(SEARCH("IR Iran",S1286)),"Iran",
ISNUMBER(SEARCH("Congo DR",S1286)),"Democratic Republic of the Congo",
ISNUMBER(SEARCH("DR Congo",S1286)),"Democratic Republic of the Congo",
ISNUMBER(SEARCH("German DR",S1286)),"DR Germany",
ISNUMBER(SEARCH("rn""&gt;United Arab Emirates",S1286)),"United Arab Emirates",
ISNUMBER(SEARCH("rn""&gt;Republic of Ireland",S1286)),"Ireland",
ISNUMBER(SEARCH("rn""&gt;Bosnia and Herzegovina",S1286)),"Bosnia and Herzegovina",
ISNUMBER(SEARCH("rn""&gt;Trinidad and Tobago",S1286)),"Trinidad and Tobago",
ISNUMBER(SEARCH("rn""&gt;Serbia and Montenegro",S1286)),"Serbia and Montenegro",
ISNUMBER(SEARCH(_xlfn.UNICHAR(65533),S1286)),"Côte d'Ivoire",
TRUE,""
)</f>
        <v/>
      </c>
      <c r="W1286" s="12" t="str">
        <f t="shared" si="108"/>
        <v>Qatar</v>
      </c>
    </row>
    <row r="1287" spans="2:23">
      <c r="B1287" s="75">
        <v>850</v>
      </c>
      <c r="C1287" s="15" t="str">
        <v>Rayan Cherki</v>
      </c>
      <c r="D1287" s="15">
        <v>22</v>
      </c>
      <c r="E1287" s="15" t="str">
        <v>France</v>
      </c>
      <c r="F1287" s="15" t="str">
        <v>CAM</v>
      </c>
      <c r="G1287" s="15" t="str">
        <v>Manchester City</v>
      </c>
      <c r="H1287" s="15">
        <v>24</v>
      </c>
      <c r="I1287" s="15" t="str">
        <f t="shared" si="109"/>
        <v>850|Rayan Cherki|22|France|CAM|Manchester City|24</v>
      </c>
      <c r="J1287" s="15" t="str">
        <f>IF(COUNTIF(I$438:I1287,I1287)&gt;1,"DOUBLON","OK")</f>
        <v>OK</v>
      </c>
      <c r="S1287" s="12" t="str">
        <v>Qatar</v>
      </c>
      <c r="T1287" s="12" t="str">
        <f t="shared" si="106"/>
        <v>OK</v>
      </c>
      <c r="U1287" s="12" t="str">
        <f t="shared" si="107"/>
        <v>-</v>
      </c>
      <c r="V1287" s="12" t="str" cm="1">
        <f t="array" ref="V1287">_xlfn.IFS(
ISNUMBER(SEARCH("USA",S1287)),"United States",
ISNUMBER(SEARCH("Republic of Ireland",S1287)),"Ireland",
ISNUMBER(SEARCH("Republic of Korea",S1287)),"South Korea",
ISNUMBER(SEARCH("Cape Verde",S1287)),"Cabo Verde",
ISNUMBER(SEARCH("Czechia",S1287)),"Czech Republic",
ISNUMBER(SEARCH("Türkiye",S1287)),"Turkey",
ISNUMBER(SEARCH("Ivory Coast",S1287)),"Côte d'Ivoire",
ISNUMBER(SEARCH("Korea Republic",S1287)),"South Korea",
ISNUMBER(SEARCH("Germany FR",S1287)),"FR Germany",
ISNUMBER(SEARCH("West Germany",S1287)),"FR Germany",
ISNUMBER(SEARCH("Germany DR",S1287)),"DR Germany",
ISNUMBER(SEARCH("Korea DPR",S1287)),"North Korea",
ISNUMBER(SEARCH("China PR",S1287)),"China",
ISNUMBER(SEARCH("IR Iran",S1287)),"Iran",
ISNUMBER(SEARCH("Congo DR",S1287)),"Democratic Republic of the Congo",
ISNUMBER(SEARCH("DR Congo",S1287)),"Democratic Republic of the Congo",
ISNUMBER(SEARCH("German DR",S1287)),"DR Germany",
ISNUMBER(SEARCH("rn""&gt;United Arab Emirates",S1287)),"United Arab Emirates",
ISNUMBER(SEARCH("rn""&gt;Republic of Ireland",S1287)),"Ireland",
ISNUMBER(SEARCH("rn""&gt;Bosnia and Herzegovina",S1287)),"Bosnia and Herzegovina",
ISNUMBER(SEARCH("rn""&gt;Trinidad and Tobago",S1287)),"Trinidad and Tobago",
ISNUMBER(SEARCH("rn""&gt;Serbia and Montenegro",S1287)),"Serbia and Montenegro",
ISNUMBER(SEARCH(_xlfn.UNICHAR(65533),S1287)),"Côte d'Ivoire",
TRUE,""
)</f>
        <v/>
      </c>
      <c r="W1287" s="12" t="str">
        <f t="shared" si="108"/>
        <v>Qatar</v>
      </c>
    </row>
    <row r="1288" spans="2:23">
      <c r="B1288" s="75">
        <v>851</v>
      </c>
      <c r="C1288" s="15" t="str">
        <v>Maghnes Akliouche</v>
      </c>
      <c r="D1288" s="15">
        <v>24</v>
      </c>
      <c r="E1288" s="15" t="str">
        <v>France</v>
      </c>
      <c r="F1288" s="15" t="str">
        <v>CAM</v>
      </c>
      <c r="G1288" s="15" t="str">
        <v>Monaco</v>
      </c>
      <c r="H1288" s="15">
        <v>25</v>
      </c>
      <c r="I1288" s="15" t="str">
        <f t="shared" si="109"/>
        <v>851|Maghnes Akliouche|24|France|CAM|Monaco|25</v>
      </c>
      <c r="J1288" s="15" t="str">
        <f>IF(COUNTIF(I$438:I1288,I1288)&gt;1,"DOUBLON","OK")</f>
        <v>OK</v>
      </c>
      <c r="S1288" s="12" t="str">
        <v>Qatar</v>
      </c>
      <c r="T1288" s="12" t="str">
        <f t="shared" si="106"/>
        <v>OK</v>
      </c>
      <c r="U1288" s="12" t="str">
        <f t="shared" si="107"/>
        <v>-</v>
      </c>
      <c r="V1288" s="12" t="str" cm="1">
        <f t="array" ref="V1288">_xlfn.IFS(
ISNUMBER(SEARCH("USA",S1288)),"United States",
ISNUMBER(SEARCH("Republic of Ireland",S1288)),"Ireland",
ISNUMBER(SEARCH("Republic of Korea",S1288)),"South Korea",
ISNUMBER(SEARCH("Cape Verde",S1288)),"Cabo Verde",
ISNUMBER(SEARCH("Czechia",S1288)),"Czech Republic",
ISNUMBER(SEARCH("Türkiye",S1288)),"Turkey",
ISNUMBER(SEARCH("Ivory Coast",S1288)),"Côte d'Ivoire",
ISNUMBER(SEARCH("Korea Republic",S1288)),"South Korea",
ISNUMBER(SEARCH("Germany FR",S1288)),"FR Germany",
ISNUMBER(SEARCH("West Germany",S1288)),"FR Germany",
ISNUMBER(SEARCH("Germany DR",S1288)),"DR Germany",
ISNUMBER(SEARCH("Korea DPR",S1288)),"North Korea",
ISNUMBER(SEARCH("China PR",S1288)),"China",
ISNUMBER(SEARCH("IR Iran",S1288)),"Iran",
ISNUMBER(SEARCH("Congo DR",S1288)),"Democratic Republic of the Congo",
ISNUMBER(SEARCH("DR Congo",S1288)),"Democratic Republic of the Congo",
ISNUMBER(SEARCH("German DR",S1288)),"DR Germany",
ISNUMBER(SEARCH("rn""&gt;United Arab Emirates",S1288)),"United Arab Emirates",
ISNUMBER(SEARCH("rn""&gt;Republic of Ireland",S1288)),"Ireland",
ISNUMBER(SEARCH("rn""&gt;Bosnia and Herzegovina",S1288)),"Bosnia and Herzegovina",
ISNUMBER(SEARCH("rn""&gt;Trinidad and Tobago",S1288)),"Trinidad and Tobago",
ISNUMBER(SEARCH("rn""&gt;Serbia and Montenegro",S1288)),"Serbia and Montenegro",
ISNUMBER(SEARCH(_xlfn.UNICHAR(65533),S1288)),"Côte d'Ivoire",
TRUE,""
)</f>
        <v/>
      </c>
      <c r="W1288" s="12" t="str">
        <f t="shared" si="108"/>
        <v>Qatar</v>
      </c>
    </row>
    <row r="1289" spans="2:23">
      <c r="B1289" s="75">
        <v>852</v>
      </c>
      <c r="C1289" s="15" t="str">
        <v>Bradley Barcola</v>
      </c>
      <c r="D1289" s="15">
        <v>23</v>
      </c>
      <c r="E1289" s="15" t="str">
        <v>France</v>
      </c>
      <c r="F1289" s="15" t="str">
        <v>LW</v>
      </c>
      <c r="G1289" s="15" t="str">
        <v>Paris Saint-Germain</v>
      </c>
      <c r="H1289" s="15">
        <v>12</v>
      </c>
      <c r="I1289" s="15" t="str">
        <f t="shared" si="109"/>
        <v>852|Bradley Barcola|23|France|LW|Paris Saint-Germain|12</v>
      </c>
      <c r="J1289" s="15" t="str">
        <f>IF(COUNTIF(I$438:I1289,I1289)&gt;1,"DOUBLON","OK")</f>
        <v>OK</v>
      </c>
      <c r="S1289" s="12" t="str">
        <v>Qatar</v>
      </c>
      <c r="T1289" s="12" t="str">
        <f t="shared" si="106"/>
        <v>OK</v>
      </c>
      <c r="U1289" s="12" t="str">
        <f t="shared" si="107"/>
        <v>-</v>
      </c>
      <c r="V1289" s="12" t="str" cm="1">
        <f t="array" ref="V1289">_xlfn.IFS(
ISNUMBER(SEARCH("USA",S1289)),"United States",
ISNUMBER(SEARCH("Republic of Ireland",S1289)),"Ireland",
ISNUMBER(SEARCH("Republic of Korea",S1289)),"South Korea",
ISNUMBER(SEARCH("Cape Verde",S1289)),"Cabo Verde",
ISNUMBER(SEARCH("Czechia",S1289)),"Czech Republic",
ISNUMBER(SEARCH("Türkiye",S1289)),"Turkey",
ISNUMBER(SEARCH("Ivory Coast",S1289)),"Côte d'Ivoire",
ISNUMBER(SEARCH("Korea Republic",S1289)),"South Korea",
ISNUMBER(SEARCH("Germany FR",S1289)),"FR Germany",
ISNUMBER(SEARCH("West Germany",S1289)),"FR Germany",
ISNUMBER(SEARCH("Germany DR",S1289)),"DR Germany",
ISNUMBER(SEARCH("Korea DPR",S1289)),"North Korea",
ISNUMBER(SEARCH("China PR",S1289)),"China",
ISNUMBER(SEARCH("IR Iran",S1289)),"Iran",
ISNUMBER(SEARCH("Congo DR",S1289)),"Democratic Republic of the Congo",
ISNUMBER(SEARCH("DR Congo",S1289)),"Democratic Republic of the Congo",
ISNUMBER(SEARCH("German DR",S1289)),"DR Germany",
ISNUMBER(SEARCH("rn""&gt;United Arab Emirates",S1289)),"United Arab Emirates",
ISNUMBER(SEARCH("rn""&gt;Republic of Ireland",S1289)),"Ireland",
ISNUMBER(SEARCH("rn""&gt;Bosnia and Herzegovina",S1289)),"Bosnia and Herzegovina",
ISNUMBER(SEARCH("rn""&gt;Trinidad and Tobago",S1289)),"Trinidad and Tobago",
ISNUMBER(SEARCH("rn""&gt;Serbia and Montenegro",S1289)),"Serbia and Montenegro",
ISNUMBER(SEARCH(_xlfn.UNICHAR(65533),S1289)),"Côte d'Ivoire",
TRUE,""
)</f>
        <v/>
      </c>
      <c r="W1289" s="12" t="str">
        <f t="shared" si="108"/>
        <v>Qatar</v>
      </c>
    </row>
    <row r="1290" spans="2:23">
      <c r="B1290" s="75">
        <v>853</v>
      </c>
      <c r="C1290" s="15" t="str">
        <v>Désiré Doué</v>
      </c>
      <c r="D1290" s="15">
        <v>21</v>
      </c>
      <c r="E1290" s="15" t="str">
        <v>France</v>
      </c>
      <c r="F1290" s="15" t="str">
        <v>LW</v>
      </c>
      <c r="G1290" s="15" t="str">
        <v>Paris Saint-Germain</v>
      </c>
      <c r="H1290" s="15">
        <v>20</v>
      </c>
      <c r="I1290" s="15" t="str">
        <f t="shared" si="109"/>
        <v>853|Désiré Doué|21|France|LW|Paris Saint-Germain|20</v>
      </c>
      <c r="J1290" s="15" t="str">
        <f>IF(COUNTIF(I$438:I1290,I1290)&gt;1,"DOUBLON","OK")</f>
        <v>OK</v>
      </c>
      <c r="S1290" s="12" t="str">
        <v>Qatar</v>
      </c>
      <c r="T1290" s="12" t="str">
        <f t="shared" si="106"/>
        <v>OK</v>
      </c>
      <c r="U1290" s="12" t="str">
        <f t="shared" si="107"/>
        <v>-</v>
      </c>
      <c r="V1290" s="12" t="str" cm="1">
        <f t="array" ref="V1290">_xlfn.IFS(
ISNUMBER(SEARCH("USA",S1290)),"United States",
ISNUMBER(SEARCH("Republic of Ireland",S1290)),"Ireland",
ISNUMBER(SEARCH("Republic of Korea",S1290)),"South Korea",
ISNUMBER(SEARCH("Cape Verde",S1290)),"Cabo Verde",
ISNUMBER(SEARCH("Czechia",S1290)),"Czech Republic",
ISNUMBER(SEARCH("Türkiye",S1290)),"Turkey",
ISNUMBER(SEARCH("Ivory Coast",S1290)),"Côte d'Ivoire",
ISNUMBER(SEARCH("Korea Republic",S1290)),"South Korea",
ISNUMBER(SEARCH("Germany FR",S1290)),"FR Germany",
ISNUMBER(SEARCH("West Germany",S1290)),"FR Germany",
ISNUMBER(SEARCH("Germany DR",S1290)),"DR Germany",
ISNUMBER(SEARCH("Korea DPR",S1290)),"North Korea",
ISNUMBER(SEARCH("China PR",S1290)),"China",
ISNUMBER(SEARCH("IR Iran",S1290)),"Iran",
ISNUMBER(SEARCH("Congo DR",S1290)),"Democratic Republic of the Congo",
ISNUMBER(SEARCH("DR Congo",S1290)),"Democratic Republic of the Congo",
ISNUMBER(SEARCH("German DR",S1290)),"DR Germany",
ISNUMBER(SEARCH("rn""&gt;United Arab Emirates",S1290)),"United Arab Emirates",
ISNUMBER(SEARCH("rn""&gt;Republic of Ireland",S1290)),"Ireland",
ISNUMBER(SEARCH("rn""&gt;Bosnia and Herzegovina",S1290)),"Bosnia and Herzegovina",
ISNUMBER(SEARCH("rn""&gt;Trinidad and Tobago",S1290)),"Trinidad and Tobago",
ISNUMBER(SEARCH("rn""&gt;Serbia and Montenegro",S1290)),"Serbia and Montenegro",
ISNUMBER(SEARCH(_xlfn.UNICHAR(65533),S1290)),"Côte d'Ivoire",
TRUE,""
)</f>
        <v/>
      </c>
      <c r="W1290" s="12" t="str">
        <f t="shared" si="108"/>
        <v>Qatar</v>
      </c>
    </row>
    <row r="1291" spans="2:23">
      <c r="B1291" s="75">
        <v>854</v>
      </c>
      <c r="C1291" s="15" t="str">
        <v>Ousmane Dembélé</v>
      </c>
      <c r="D1291" s="15">
        <v>29</v>
      </c>
      <c r="E1291" s="15" t="str">
        <v>France</v>
      </c>
      <c r="F1291" s="15" t="str">
        <v>RW</v>
      </c>
      <c r="G1291" s="15" t="str">
        <v>Paris Saint-Germain</v>
      </c>
      <c r="H1291" s="15">
        <v>7</v>
      </c>
      <c r="I1291" s="15" t="str">
        <f t="shared" si="109"/>
        <v>854|Ousmane Dembélé|29|France|RW|Paris Saint-Germain|7</v>
      </c>
      <c r="J1291" s="15" t="str">
        <f>IF(COUNTIF(I$438:I1291,I1291)&gt;1,"DOUBLON","OK")</f>
        <v>OK</v>
      </c>
      <c r="S1291" s="12" t="str">
        <v>Qatar</v>
      </c>
      <c r="T1291" s="12" t="str">
        <f t="shared" si="106"/>
        <v>OK</v>
      </c>
      <c r="U1291" s="12" t="str">
        <f t="shared" si="107"/>
        <v>-</v>
      </c>
      <c r="V1291" s="12" t="str" cm="1">
        <f t="array" ref="V1291">_xlfn.IFS(
ISNUMBER(SEARCH("USA",S1291)),"United States",
ISNUMBER(SEARCH("Republic of Ireland",S1291)),"Ireland",
ISNUMBER(SEARCH("Republic of Korea",S1291)),"South Korea",
ISNUMBER(SEARCH("Cape Verde",S1291)),"Cabo Verde",
ISNUMBER(SEARCH("Czechia",S1291)),"Czech Republic",
ISNUMBER(SEARCH("Türkiye",S1291)),"Turkey",
ISNUMBER(SEARCH("Ivory Coast",S1291)),"Côte d'Ivoire",
ISNUMBER(SEARCH("Korea Republic",S1291)),"South Korea",
ISNUMBER(SEARCH("Germany FR",S1291)),"FR Germany",
ISNUMBER(SEARCH("West Germany",S1291)),"FR Germany",
ISNUMBER(SEARCH("Germany DR",S1291)),"DR Germany",
ISNUMBER(SEARCH("Korea DPR",S1291)),"North Korea",
ISNUMBER(SEARCH("China PR",S1291)),"China",
ISNUMBER(SEARCH("IR Iran",S1291)),"Iran",
ISNUMBER(SEARCH("Congo DR",S1291)),"Democratic Republic of the Congo",
ISNUMBER(SEARCH("DR Congo",S1291)),"Democratic Republic of the Congo",
ISNUMBER(SEARCH("German DR",S1291)),"DR Germany",
ISNUMBER(SEARCH("rn""&gt;United Arab Emirates",S1291)),"United Arab Emirates",
ISNUMBER(SEARCH("rn""&gt;Republic of Ireland",S1291)),"Ireland",
ISNUMBER(SEARCH("rn""&gt;Bosnia and Herzegovina",S1291)),"Bosnia and Herzegovina",
ISNUMBER(SEARCH("rn""&gt;Trinidad and Tobago",S1291)),"Trinidad and Tobago",
ISNUMBER(SEARCH("rn""&gt;Serbia and Montenegro",S1291)),"Serbia and Montenegro",
ISNUMBER(SEARCH(_xlfn.UNICHAR(65533),S1291)),"Côte d'Ivoire",
TRUE,""
)</f>
        <v/>
      </c>
      <c r="W1291" s="12" t="str">
        <f t="shared" si="108"/>
        <v>Qatar</v>
      </c>
    </row>
    <row r="1292" spans="2:23">
      <c r="B1292" s="75">
        <v>855</v>
      </c>
      <c r="C1292" s="15" t="str">
        <v>Michael Olise</v>
      </c>
      <c r="D1292" s="15">
        <v>24</v>
      </c>
      <c r="E1292" s="15" t="str">
        <v>France</v>
      </c>
      <c r="F1292" s="15" t="str">
        <v>RW</v>
      </c>
      <c r="G1292" s="15" t="str">
        <v>Bayern Munich</v>
      </c>
      <c r="H1292" s="15">
        <v>11</v>
      </c>
      <c r="I1292" s="15" t="str">
        <f t="shared" si="109"/>
        <v>855|Michael Olise|24|France|RW|Bayern Munich|11</v>
      </c>
      <c r="J1292" s="15" t="str">
        <f>IF(COUNTIF(I$438:I1292,I1292)&gt;1,"DOUBLON","OK")</f>
        <v>OK</v>
      </c>
      <c r="S1292" s="12" t="str">
        <v>Qatar</v>
      </c>
      <c r="T1292" s="12" t="str">
        <f t="shared" si="106"/>
        <v>OK</v>
      </c>
      <c r="U1292" s="12" t="str">
        <f t="shared" si="107"/>
        <v>-</v>
      </c>
      <c r="V1292" s="12" t="str" cm="1">
        <f t="array" ref="V1292">_xlfn.IFS(
ISNUMBER(SEARCH("USA",S1292)),"United States",
ISNUMBER(SEARCH("Republic of Ireland",S1292)),"Ireland",
ISNUMBER(SEARCH("Republic of Korea",S1292)),"South Korea",
ISNUMBER(SEARCH("Cape Verde",S1292)),"Cabo Verde",
ISNUMBER(SEARCH("Czechia",S1292)),"Czech Republic",
ISNUMBER(SEARCH("Türkiye",S1292)),"Turkey",
ISNUMBER(SEARCH("Ivory Coast",S1292)),"Côte d'Ivoire",
ISNUMBER(SEARCH("Korea Republic",S1292)),"South Korea",
ISNUMBER(SEARCH("Germany FR",S1292)),"FR Germany",
ISNUMBER(SEARCH("West Germany",S1292)),"FR Germany",
ISNUMBER(SEARCH("Germany DR",S1292)),"DR Germany",
ISNUMBER(SEARCH("Korea DPR",S1292)),"North Korea",
ISNUMBER(SEARCH("China PR",S1292)),"China",
ISNUMBER(SEARCH("IR Iran",S1292)),"Iran",
ISNUMBER(SEARCH("Congo DR",S1292)),"Democratic Republic of the Congo",
ISNUMBER(SEARCH("DR Congo",S1292)),"Democratic Republic of the Congo",
ISNUMBER(SEARCH("German DR",S1292)),"DR Germany",
ISNUMBER(SEARCH("rn""&gt;United Arab Emirates",S1292)),"United Arab Emirates",
ISNUMBER(SEARCH("rn""&gt;Republic of Ireland",S1292)),"Ireland",
ISNUMBER(SEARCH("rn""&gt;Bosnia and Herzegovina",S1292)),"Bosnia and Herzegovina",
ISNUMBER(SEARCH("rn""&gt;Trinidad and Tobago",S1292)),"Trinidad and Tobago",
ISNUMBER(SEARCH("rn""&gt;Serbia and Montenegro",S1292)),"Serbia and Montenegro",
ISNUMBER(SEARCH(_xlfn.UNICHAR(65533),S1292)),"Côte d'Ivoire",
TRUE,""
)</f>
        <v/>
      </c>
      <c r="W1292" s="12" t="str">
        <f t="shared" si="108"/>
        <v>Qatar</v>
      </c>
    </row>
    <row r="1293" spans="2:23">
      <c r="B1293" s="75">
        <v>856</v>
      </c>
      <c r="C1293" s="15" t="str">
        <v>Marcus Thuram</v>
      </c>
      <c r="D1293" s="15">
        <v>28</v>
      </c>
      <c r="E1293" s="15" t="str">
        <v>France</v>
      </c>
      <c r="F1293" s="15" t="str">
        <v>ST</v>
      </c>
      <c r="G1293" s="15" t="str">
        <v>Inter Milan</v>
      </c>
      <c r="H1293" s="15">
        <v>9</v>
      </c>
      <c r="I1293" s="15" t="str">
        <f t="shared" si="109"/>
        <v>856|Marcus Thuram|28|France|ST|Inter Milan|9</v>
      </c>
      <c r="J1293" s="15" t="str">
        <f>IF(COUNTIF(I$438:I1293,I1293)&gt;1,"DOUBLON","OK")</f>
        <v>OK</v>
      </c>
      <c r="S1293" s="12" t="str">
        <v>Qatar</v>
      </c>
      <c r="T1293" s="12" t="str">
        <f t="shared" si="106"/>
        <v>OK</v>
      </c>
      <c r="U1293" s="12" t="str">
        <f t="shared" si="107"/>
        <v>-</v>
      </c>
      <c r="V1293" s="12" t="str" cm="1">
        <f t="array" ref="V1293">_xlfn.IFS(
ISNUMBER(SEARCH("USA",S1293)),"United States",
ISNUMBER(SEARCH("Republic of Ireland",S1293)),"Ireland",
ISNUMBER(SEARCH("Republic of Korea",S1293)),"South Korea",
ISNUMBER(SEARCH("Cape Verde",S1293)),"Cabo Verde",
ISNUMBER(SEARCH("Czechia",S1293)),"Czech Republic",
ISNUMBER(SEARCH("Türkiye",S1293)),"Turkey",
ISNUMBER(SEARCH("Ivory Coast",S1293)),"Côte d'Ivoire",
ISNUMBER(SEARCH("Korea Republic",S1293)),"South Korea",
ISNUMBER(SEARCH("Germany FR",S1293)),"FR Germany",
ISNUMBER(SEARCH("West Germany",S1293)),"FR Germany",
ISNUMBER(SEARCH("Germany DR",S1293)),"DR Germany",
ISNUMBER(SEARCH("Korea DPR",S1293)),"North Korea",
ISNUMBER(SEARCH("China PR",S1293)),"China",
ISNUMBER(SEARCH("IR Iran",S1293)),"Iran",
ISNUMBER(SEARCH("Congo DR",S1293)),"Democratic Republic of the Congo",
ISNUMBER(SEARCH("DR Congo",S1293)),"Democratic Republic of the Congo",
ISNUMBER(SEARCH("German DR",S1293)),"DR Germany",
ISNUMBER(SEARCH("rn""&gt;United Arab Emirates",S1293)),"United Arab Emirates",
ISNUMBER(SEARCH("rn""&gt;Republic of Ireland",S1293)),"Ireland",
ISNUMBER(SEARCH("rn""&gt;Bosnia and Herzegovina",S1293)),"Bosnia and Herzegovina",
ISNUMBER(SEARCH("rn""&gt;Trinidad and Tobago",S1293)),"Trinidad and Tobago",
ISNUMBER(SEARCH("rn""&gt;Serbia and Montenegro",S1293)),"Serbia and Montenegro",
ISNUMBER(SEARCH(_xlfn.UNICHAR(65533),S1293)),"Côte d'Ivoire",
TRUE,""
)</f>
        <v/>
      </c>
      <c r="W1293" s="12" t="str">
        <f t="shared" si="108"/>
        <v>Qatar</v>
      </c>
    </row>
    <row r="1294" spans="2:23">
      <c r="B1294" s="75">
        <v>857</v>
      </c>
      <c r="C1294" s="15" t="str">
        <v>Kylian Mbappé</v>
      </c>
      <c r="D1294" s="15">
        <v>27</v>
      </c>
      <c r="E1294" s="15" t="str">
        <v>France</v>
      </c>
      <c r="F1294" s="15" t="str">
        <v>ST</v>
      </c>
      <c r="G1294" s="15" t="str">
        <v>Real Madrid</v>
      </c>
      <c r="H1294" s="15">
        <v>10</v>
      </c>
      <c r="I1294" s="15" t="str">
        <f t="shared" si="109"/>
        <v>857|Kylian Mbappé|27|France|ST|Real Madrid|10</v>
      </c>
      <c r="J1294" s="15" t="str">
        <f>IF(COUNTIF(I$438:I1294,I1294)&gt;1,"DOUBLON","OK")</f>
        <v>OK</v>
      </c>
      <c r="S1294" s="12" t="str">
        <v>Qatar</v>
      </c>
      <c r="T1294" s="12" t="str">
        <f t="shared" si="106"/>
        <v>OK</v>
      </c>
      <c r="U1294" s="12" t="str">
        <f t="shared" si="107"/>
        <v>-</v>
      </c>
      <c r="V1294" s="12" t="str" cm="1">
        <f t="array" ref="V1294">_xlfn.IFS(
ISNUMBER(SEARCH("USA",S1294)),"United States",
ISNUMBER(SEARCH("Republic of Ireland",S1294)),"Ireland",
ISNUMBER(SEARCH("Republic of Korea",S1294)),"South Korea",
ISNUMBER(SEARCH("Cape Verde",S1294)),"Cabo Verde",
ISNUMBER(SEARCH("Czechia",S1294)),"Czech Republic",
ISNUMBER(SEARCH("Türkiye",S1294)),"Turkey",
ISNUMBER(SEARCH("Ivory Coast",S1294)),"Côte d'Ivoire",
ISNUMBER(SEARCH("Korea Republic",S1294)),"South Korea",
ISNUMBER(SEARCH("Germany FR",S1294)),"FR Germany",
ISNUMBER(SEARCH("West Germany",S1294)),"FR Germany",
ISNUMBER(SEARCH("Germany DR",S1294)),"DR Germany",
ISNUMBER(SEARCH("Korea DPR",S1294)),"North Korea",
ISNUMBER(SEARCH("China PR",S1294)),"China",
ISNUMBER(SEARCH("IR Iran",S1294)),"Iran",
ISNUMBER(SEARCH("Congo DR",S1294)),"Democratic Republic of the Congo",
ISNUMBER(SEARCH("DR Congo",S1294)),"Democratic Republic of the Congo",
ISNUMBER(SEARCH("German DR",S1294)),"DR Germany",
ISNUMBER(SEARCH("rn""&gt;United Arab Emirates",S1294)),"United Arab Emirates",
ISNUMBER(SEARCH("rn""&gt;Republic of Ireland",S1294)),"Ireland",
ISNUMBER(SEARCH("rn""&gt;Bosnia and Herzegovina",S1294)),"Bosnia and Herzegovina",
ISNUMBER(SEARCH("rn""&gt;Trinidad and Tobago",S1294)),"Trinidad and Tobago",
ISNUMBER(SEARCH("rn""&gt;Serbia and Montenegro",S1294)),"Serbia and Montenegro",
ISNUMBER(SEARCH(_xlfn.UNICHAR(65533),S1294)),"Côte d'Ivoire",
TRUE,""
)</f>
        <v/>
      </c>
      <c r="W1294" s="12" t="str">
        <f t="shared" si="108"/>
        <v>Qatar</v>
      </c>
    </row>
    <row r="1295" spans="2:23">
      <c r="B1295" s="75">
        <v>858</v>
      </c>
      <c r="C1295" s="15" t="str">
        <v>Jean-Philippe Mateta</v>
      </c>
      <c r="D1295" s="15">
        <v>28</v>
      </c>
      <c r="E1295" s="15" t="str">
        <v>France</v>
      </c>
      <c r="F1295" s="15" t="str">
        <v>ST</v>
      </c>
      <c r="G1295" s="15" t="str">
        <v>Crystal Palace</v>
      </c>
      <c r="H1295" s="15">
        <v>22</v>
      </c>
      <c r="I1295" s="15" t="str">
        <f t="shared" si="109"/>
        <v>858|Jean-Philippe Mateta|28|France|ST|Crystal Palace|22</v>
      </c>
      <c r="J1295" s="15" t="str">
        <f>IF(COUNTIF(I$438:I1295,I1295)&gt;1,"DOUBLON","OK")</f>
        <v>OK</v>
      </c>
      <c r="S1295" s="12" t="str">
        <v>Qatar</v>
      </c>
      <c r="T1295" s="12" t="str">
        <f t="shared" si="106"/>
        <v>OK</v>
      </c>
      <c r="U1295" s="12" t="str">
        <f t="shared" si="107"/>
        <v>-</v>
      </c>
      <c r="V1295" s="12" t="str" cm="1">
        <f t="array" ref="V1295">_xlfn.IFS(
ISNUMBER(SEARCH("USA",S1295)),"United States",
ISNUMBER(SEARCH("Republic of Ireland",S1295)),"Ireland",
ISNUMBER(SEARCH("Republic of Korea",S1295)),"South Korea",
ISNUMBER(SEARCH("Cape Verde",S1295)),"Cabo Verde",
ISNUMBER(SEARCH("Czechia",S1295)),"Czech Republic",
ISNUMBER(SEARCH("Türkiye",S1295)),"Turkey",
ISNUMBER(SEARCH("Ivory Coast",S1295)),"Côte d'Ivoire",
ISNUMBER(SEARCH("Korea Republic",S1295)),"South Korea",
ISNUMBER(SEARCH("Germany FR",S1295)),"FR Germany",
ISNUMBER(SEARCH("West Germany",S1295)),"FR Germany",
ISNUMBER(SEARCH("Germany DR",S1295)),"DR Germany",
ISNUMBER(SEARCH("Korea DPR",S1295)),"North Korea",
ISNUMBER(SEARCH("China PR",S1295)),"China",
ISNUMBER(SEARCH("IR Iran",S1295)),"Iran",
ISNUMBER(SEARCH("Congo DR",S1295)),"Democratic Republic of the Congo",
ISNUMBER(SEARCH("DR Congo",S1295)),"Democratic Republic of the Congo",
ISNUMBER(SEARCH("German DR",S1295)),"DR Germany",
ISNUMBER(SEARCH("rn""&gt;United Arab Emirates",S1295)),"United Arab Emirates",
ISNUMBER(SEARCH("rn""&gt;Republic of Ireland",S1295)),"Ireland",
ISNUMBER(SEARCH("rn""&gt;Bosnia and Herzegovina",S1295)),"Bosnia and Herzegovina",
ISNUMBER(SEARCH("rn""&gt;Trinidad and Tobago",S1295)),"Trinidad and Tobago",
ISNUMBER(SEARCH("rn""&gt;Serbia and Montenegro",S1295)),"Serbia and Montenegro",
ISNUMBER(SEARCH(_xlfn.UNICHAR(65533),S1295)),"Côte d'Ivoire",
TRUE,""
)</f>
        <v/>
      </c>
      <c r="W1295" s="12" t="str">
        <f t="shared" si="108"/>
        <v>Qatar</v>
      </c>
    </row>
    <row r="1296" spans="2:23">
      <c r="B1296" s="75">
        <v>859</v>
      </c>
      <c r="C1296" s="15" t="str">
        <v>Fahad Talib</v>
      </c>
      <c r="D1296" s="15">
        <v>31</v>
      </c>
      <c r="E1296" s="15" t="str">
        <v>Iraq</v>
      </c>
      <c r="F1296" s="15" t="str">
        <v>GK</v>
      </c>
      <c r="G1296" s="15" t="str">
        <v>Al-Talaba</v>
      </c>
      <c r="H1296" s="15">
        <v>1</v>
      </c>
      <c r="I1296" s="15" t="str">
        <f t="shared" si="109"/>
        <v>859|Fahad Talib|31|Iraq|GK|Al-Talaba|1</v>
      </c>
      <c r="J1296" s="15" t="str">
        <f>IF(COUNTIF(I$438:I1296,I1296)&gt;1,"DOUBLON","OK")</f>
        <v>OK</v>
      </c>
      <c r="S1296" s="12" t="str">
        <v>Qatar</v>
      </c>
      <c r="T1296" s="12" t="str">
        <f t="shared" si="106"/>
        <v>OK</v>
      </c>
      <c r="U1296" s="12" t="str">
        <f t="shared" si="107"/>
        <v>-</v>
      </c>
      <c r="V1296" s="12" t="str" cm="1">
        <f t="array" ref="V1296">_xlfn.IFS(
ISNUMBER(SEARCH("USA",S1296)),"United States",
ISNUMBER(SEARCH("Republic of Ireland",S1296)),"Ireland",
ISNUMBER(SEARCH("Republic of Korea",S1296)),"South Korea",
ISNUMBER(SEARCH("Cape Verde",S1296)),"Cabo Verde",
ISNUMBER(SEARCH("Czechia",S1296)),"Czech Republic",
ISNUMBER(SEARCH("Türkiye",S1296)),"Turkey",
ISNUMBER(SEARCH("Ivory Coast",S1296)),"Côte d'Ivoire",
ISNUMBER(SEARCH("Korea Republic",S1296)),"South Korea",
ISNUMBER(SEARCH("Germany FR",S1296)),"FR Germany",
ISNUMBER(SEARCH("West Germany",S1296)),"FR Germany",
ISNUMBER(SEARCH("Germany DR",S1296)),"DR Germany",
ISNUMBER(SEARCH("Korea DPR",S1296)),"North Korea",
ISNUMBER(SEARCH("China PR",S1296)),"China",
ISNUMBER(SEARCH("IR Iran",S1296)),"Iran",
ISNUMBER(SEARCH("Congo DR",S1296)),"Democratic Republic of the Congo",
ISNUMBER(SEARCH("DR Congo",S1296)),"Democratic Republic of the Congo",
ISNUMBER(SEARCH("German DR",S1296)),"DR Germany",
ISNUMBER(SEARCH("rn""&gt;United Arab Emirates",S1296)),"United Arab Emirates",
ISNUMBER(SEARCH("rn""&gt;Republic of Ireland",S1296)),"Ireland",
ISNUMBER(SEARCH("rn""&gt;Bosnia and Herzegovina",S1296)),"Bosnia and Herzegovina",
ISNUMBER(SEARCH("rn""&gt;Trinidad and Tobago",S1296)),"Trinidad and Tobago",
ISNUMBER(SEARCH("rn""&gt;Serbia and Montenegro",S1296)),"Serbia and Montenegro",
ISNUMBER(SEARCH(_xlfn.UNICHAR(65533),S1296)),"Côte d'Ivoire",
TRUE,""
)</f>
        <v/>
      </c>
      <c r="W1296" s="12" t="str">
        <f t="shared" si="108"/>
        <v>Qatar</v>
      </c>
    </row>
    <row r="1297" spans="2:23">
      <c r="B1297" s="75">
        <v>860</v>
      </c>
      <c r="C1297" s="15" t="str">
        <v>Jalal Hassan</v>
      </c>
      <c r="D1297" s="15">
        <v>35</v>
      </c>
      <c r="E1297" s="15" t="str">
        <v>Iraq</v>
      </c>
      <c r="F1297" s="15" t="str">
        <v>GK</v>
      </c>
      <c r="G1297" s="15" t="str">
        <v>Al-Zawraa</v>
      </c>
      <c r="H1297" s="15">
        <v>12</v>
      </c>
      <c r="I1297" s="15" t="str">
        <f t="shared" si="109"/>
        <v>860|Jalal Hassan|35|Iraq|GK|Al-Zawraa|12</v>
      </c>
      <c r="J1297" s="15" t="str">
        <f>IF(COUNTIF(I$438:I1297,I1297)&gt;1,"DOUBLON","OK")</f>
        <v>OK</v>
      </c>
      <c r="S1297" s="12" t="str">
        <v>Qatar</v>
      </c>
      <c r="T1297" s="12" t="str">
        <f t="shared" si="106"/>
        <v>OK</v>
      </c>
      <c r="U1297" s="12" t="str">
        <f t="shared" si="107"/>
        <v>-</v>
      </c>
      <c r="V1297" s="12" t="str" cm="1">
        <f t="array" ref="V1297">_xlfn.IFS(
ISNUMBER(SEARCH("USA",S1297)),"United States",
ISNUMBER(SEARCH("Republic of Ireland",S1297)),"Ireland",
ISNUMBER(SEARCH("Republic of Korea",S1297)),"South Korea",
ISNUMBER(SEARCH("Cape Verde",S1297)),"Cabo Verde",
ISNUMBER(SEARCH("Czechia",S1297)),"Czech Republic",
ISNUMBER(SEARCH("Türkiye",S1297)),"Turkey",
ISNUMBER(SEARCH("Ivory Coast",S1297)),"Côte d'Ivoire",
ISNUMBER(SEARCH("Korea Republic",S1297)),"South Korea",
ISNUMBER(SEARCH("Germany FR",S1297)),"FR Germany",
ISNUMBER(SEARCH("West Germany",S1297)),"FR Germany",
ISNUMBER(SEARCH("Germany DR",S1297)),"DR Germany",
ISNUMBER(SEARCH("Korea DPR",S1297)),"North Korea",
ISNUMBER(SEARCH("China PR",S1297)),"China",
ISNUMBER(SEARCH("IR Iran",S1297)),"Iran",
ISNUMBER(SEARCH("Congo DR",S1297)),"Democratic Republic of the Congo",
ISNUMBER(SEARCH("DR Congo",S1297)),"Democratic Republic of the Congo",
ISNUMBER(SEARCH("German DR",S1297)),"DR Germany",
ISNUMBER(SEARCH("rn""&gt;United Arab Emirates",S1297)),"United Arab Emirates",
ISNUMBER(SEARCH("rn""&gt;Republic of Ireland",S1297)),"Ireland",
ISNUMBER(SEARCH("rn""&gt;Bosnia and Herzegovina",S1297)),"Bosnia and Herzegovina",
ISNUMBER(SEARCH("rn""&gt;Trinidad and Tobago",S1297)),"Trinidad and Tobago",
ISNUMBER(SEARCH("rn""&gt;Serbia and Montenegro",S1297)),"Serbia and Montenegro",
ISNUMBER(SEARCH(_xlfn.UNICHAR(65533),S1297)),"Côte d'Ivoire",
TRUE,""
)</f>
        <v/>
      </c>
      <c r="W1297" s="12" t="str">
        <f t="shared" si="108"/>
        <v>Qatar</v>
      </c>
    </row>
    <row r="1298" spans="2:23">
      <c r="B1298" s="75">
        <v>861</v>
      </c>
      <c r="C1298" s="15" t="str">
        <v>Ahmed Basil</v>
      </c>
      <c r="D1298" s="15">
        <v>29</v>
      </c>
      <c r="E1298" s="15" t="str">
        <v>Iraq</v>
      </c>
      <c r="F1298" s="15" t="str">
        <v>GK</v>
      </c>
      <c r="G1298" s="15" t="str">
        <v>Al-Shorta</v>
      </c>
      <c r="H1298" s="15">
        <v>22</v>
      </c>
      <c r="I1298" s="15" t="str">
        <f t="shared" si="109"/>
        <v>861|Ahmed Basil|29|Iraq|GK|Al-Shorta|22</v>
      </c>
      <c r="J1298" s="15" t="str">
        <f>IF(COUNTIF(I$438:I1298,I1298)&gt;1,"DOUBLON","OK")</f>
        <v>OK</v>
      </c>
      <c r="S1298" s="12" t="str">
        <v>Qatar</v>
      </c>
      <c r="T1298" s="12" t="str">
        <f t="shared" si="106"/>
        <v>OK</v>
      </c>
      <c r="U1298" s="12" t="str">
        <f t="shared" si="107"/>
        <v>-</v>
      </c>
      <c r="V1298" s="12" t="str" cm="1">
        <f t="array" ref="V1298">_xlfn.IFS(
ISNUMBER(SEARCH("USA",S1298)),"United States",
ISNUMBER(SEARCH("Republic of Ireland",S1298)),"Ireland",
ISNUMBER(SEARCH("Republic of Korea",S1298)),"South Korea",
ISNUMBER(SEARCH("Cape Verde",S1298)),"Cabo Verde",
ISNUMBER(SEARCH("Czechia",S1298)),"Czech Republic",
ISNUMBER(SEARCH("Türkiye",S1298)),"Turkey",
ISNUMBER(SEARCH("Ivory Coast",S1298)),"Côte d'Ivoire",
ISNUMBER(SEARCH("Korea Republic",S1298)),"South Korea",
ISNUMBER(SEARCH("Germany FR",S1298)),"FR Germany",
ISNUMBER(SEARCH("West Germany",S1298)),"FR Germany",
ISNUMBER(SEARCH("Germany DR",S1298)),"DR Germany",
ISNUMBER(SEARCH("Korea DPR",S1298)),"North Korea",
ISNUMBER(SEARCH("China PR",S1298)),"China",
ISNUMBER(SEARCH("IR Iran",S1298)),"Iran",
ISNUMBER(SEARCH("Congo DR",S1298)),"Democratic Republic of the Congo",
ISNUMBER(SEARCH("DR Congo",S1298)),"Democratic Republic of the Congo",
ISNUMBER(SEARCH("German DR",S1298)),"DR Germany",
ISNUMBER(SEARCH("rn""&gt;United Arab Emirates",S1298)),"United Arab Emirates",
ISNUMBER(SEARCH("rn""&gt;Republic of Ireland",S1298)),"Ireland",
ISNUMBER(SEARCH("rn""&gt;Bosnia and Herzegovina",S1298)),"Bosnia and Herzegovina",
ISNUMBER(SEARCH("rn""&gt;Trinidad and Tobago",S1298)),"Trinidad and Tobago",
ISNUMBER(SEARCH("rn""&gt;Serbia and Montenegro",S1298)),"Serbia and Montenegro",
ISNUMBER(SEARCH(_xlfn.UNICHAR(65533),S1298)),"Côte d'Ivoire",
TRUE,""
)</f>
        <v/>
      </c>
      <c r="W1298" s="12" t="str">
        <f t="shared" si="108"/>
        <v>Qatar</v>
      </c>
    </row>
    <row r="1299" spans="2:23">
      <c r="B1299" s="75">
        <v>862</v>
      </c>
      <c r="C1299" s="15" t="str">
        <v>Rebin Sulaka</v>
      </c>
      <c r="D1299" s="15">
        <v>34</v>
      </c>
      <c r="E1299" s="15" t="str">
        <v>Iraq</v>
      </c>
      <c r="F1299" s="15" t="str">
        <v>CB</v>
      </c>
      <c r="G1299" s="15" t="str">
        <v>Port</v>
      </c>
      <c r="H1299" s="15">
        <v>2</v>
      </c>
      <c r="I1299" s="15" t="str">
        <f t="shared" si="109"/>
        <v>862|Rebin Sulaka|34|Iraq|CB|Port|2</v>
      </c>
      <c r="J1299" s="15" t="str">
        <f>IF(COUNTIF(I$438:I1299,I1299)&gt;1,"DOUBLON","OK")</f>
        <v>OK</v>
      </c>
      <c r="S1299" s="12" t="str">
        <v>Qatar</v>
      </c>
      <c r="T1299" s="12" t="str">
        <f t="shared" si="106"/>
        <v>OK</v>
      </c>
      <c r="U1299" s="12" t="str">
        <f t="shared" si="107"/>
        <v>-</v>
      </c>
      <c r="V1299" s="12" t="str" cm="1">
        <f t="array" ref="V1299">_xlfn.IFS(
ISNUMBER(SEARCH("USA",S1299)),"United States",
ISNUMBER(SEARCH("Republic of Ireland",S1299)),"Ireland",
ISNUMBER(SEARCH("Republic of Korea",S1299)),"South Korea",
ISNUMBER(SEARCH("Cape Verde",S1299)),"Cabo Verde",
ISNUMBER(SEARCH("Czechia",S1299)),"Czech Republic",
ISNUMBER(SEARCH("Türkiye",S1299)),"Turkey",
ISNUMBER(SEARCH("Ivory Coast",S1299)),"Côte d'Ivoire",
ISNUMBER(SEARCH("Korea Republic",S1299)),"South Korea",
ISNUMBER(SEARCH("Germany FR",S1299)),"FR Germany",
ISNUMBER(SEARCH("West Germany",S1299)),"FR Germany",
ISNUMBER(SEARCH("Germany DR",S1299)),"DR Germany",
ISNUMBER(SEARCH("Korea DPR",S1299)),"North Korea",
ISNUMBER(SEARCH("China PR",S1299)),"China",
ISNUMBER(SEARCH("IR Iran",S1299)),"Iran",
ISNUMBER(SEARCH("Congo DR",S1299)),"Democratic Republic of the Congo",
ISNUMBER(SEARCH("DR Congo",S1299)),"Democratic Republic of the Congo",
ISNUMBER(SEARCH("German DR",S1299)),"DR Germany",
ISNUMBER(SEARCH("rn""&gt;United Arab Emirates",S1299)),"United Arab Emirates",
ISNUMBER(SEARCH("rn""&gt;Republic of Ireland",S1299)),"Ireland",
ISNUMBER(SEARCH("rn""&gt;Bosnia and Herzegovina",S1299)),"Bosnia and Herzegovina",
ISNUMBER(SEARCH("rn""&gt;Trinidad and Tobago",S1299)),"Trinidad and Tobago",
ISNUMBER(SEARCH("rn""&gt;Serbia and Montenegro",S1299)),"Serbia and Montenegro",
ISNUMBER(SEARCH(_xlfn.UNICHAR(65533),S1299)),"Côte d'Ivoire",
TRUE,""
)</f>
        <v/>
      </c>
      <c r="W1299" s="12" t="str">
        <f t="shared" si="108"/>
        <v>Qatar</v>
      </c>
    </row>
    <row r="1300" spans="2:23">
      <c r="B1300" s="75">
        <v>863</v>
      </c>
      <c r="C1300" s="15" t="str">
        <v>Zaid Tahseen</v>
      </c>
      <c r="D1300" s="15">
        <v>25</v>
      </c>
      <c r="E1300" s="15" t="str">
        <v>Iraq</v>
      </c>
      <c r="F1300" s="15" t="str">
        <v>CB</v>
      </c>
      <c r="G1300" s="15" t="str">
        <v>Pakhtakor</v>
      </c>
      <c r="H1300" s="15">
        <v>4</v>
      </c>
      <c r="I1300" s="15" t="str">
        <f t="shared" si="109"/>
        <v>863|Zaid Tahseen|25|Iraq|CB|Pakhtakor|4</v>
      </c>
      <c r="J1300" s="15" t="str">
        <f>IF(COUNTIF(I$438:I1300,I1300)&gt;1,"DOUBLON","OK")</f>
        <v>OK</v>
      </c>
      <c r="S1300" s="12" t="str">
        <v>Qatar</v>
      </c>
      <c r="T1300" s="12" t="str">
        <f t="shared" si="106"/>
        <v>OK</v>
      </c>
      <c r="U1300" s="12" t="str">
        <f t="shared" si="107"/>
        <v>-</v>
      </c>
      <c r="V1300" s="12" t="str" cm="1">
        <f t="array" ref="V1300">_xlfn.IFS(
ISNUMBER(SEARCH("USA",S1300)),"United States",
ISNUMBER(SEARCH("Republic of Ireland",S1300)),"Ireland",
ISNUMBER(SEARCH("Republic of Korea",S1300)),"South Korea",
ISNUMBER(SEARCH("Cape Verde",S1300)),"Cabo Verde",
ISNUMBER(SEARCH("Czechia",S1300)),"Czech Republic",
ISNUMBER(SEARCH("Türkiye",S1300)),"Turkey",
ISNUMBER(SEARCH("Ivory Coast",S1300)),"Côte d'Ivoire",
ISNUMBER(SEARCH("Korea Republic",S1300)),"South Korea",
ISNUMBER(SEARCH("Germany FR",S1300)),"FR Germany",
ISNUMBER(SEARCH("West Germany",S1300)),"FR Germany",
ISNUMBER(SEARCH("Germany DR",S1300)),"DR Germany",
ISNUMBER(SEARCH("Korea DPR",S1300)),"North Korea",
ISNUMBER(SEARCH("China PR",S1300)),"China",
ISNUMBER(SEARCH("IR Iran",S1300)),"Iran",
ISNUMBER(SEARCH("Congo DR",S1300)),"Democratic Republic of the Congo",
ISNUMBER(SEARCH("DR Congo",S1300)),"Democratic Republic of the Congo",
ISNUMBER(SEARCH("German DR",S1300)),"DR Germany",
ISNUMBER(SEARCH("rn""&gt;United Arab Emirates",S1300)),"United Arab Emirates",
ISNUMBER(SEARCH("rn""&gt;Republic of Ireland",S1300)),"Ireland",
ISNUMBER(SEARCH("rn""&gt;Bosnia and Herzegovina",S1300)),"Bosnia and Herzegovina",
ISNUMBER(SEARCH("rn""&gt;Trinidad and Tobago",S1300)),"Trinidad and Tobago",
ISNUMBER(SEARCH("rn""&gt;Serbia and Montenegro",S1300)),"Serbia and Montenegro",
ISNUMBER(SEARCH(_xlfn.UNICHAR(65533),S1300)),"Côte d'Ivoire",
TRUE,""
)</f>
        <v/>
      </c>
      <c r="W1300" s="12" t="str">
        <f t="shared" si="108"/>
        <v>Qatar</v>
      </c>
    </row>
    <row r="1301" spans="2:23">
      <c r="B1301" s="75">
        <v>864</v>
      </c>
      <c r="C1301" s="15" t="str">
        <v>Akam Hashim</v>
      </c>
      <c r="D1301" s="15">
        <v>27</v>
      </c>
      <c r="E1301" s="15" t="str">
        <v>Iraq</v>
      </c>
      <c r="F1301" s="15" t="str">
        <v>CB</v>
      </c>
      <c r="G1301" s="15" t="str">
        <v>Al-Zawraa</v>
      </c>
      <c r="H1301" s="15">
        <v>5</v>
      </c>
      <c r="I1301" s="15" t="str">
        <f t="shared" si="109"/>
        <v>864|Akam Hashim|27|Iraq|CB|Al-Zawraa|5</v>
      </c>
      <c r="J1301" s="15" t="str">
        <f>IF(COUNTIF(I$438:I1301,I1301)&gt;1,"DOUBLON","OK")</f>
        <v>OK</v>
      </c>
      <c r="S1301" s="12" t="str">
        <v>Qatar</v>
      </c>
      <c r="T1301" s="12" t="str">
        <f t="shared" si="106"/>
        <v>OK</v>
      </c>
      <c r="U1301" s="12" t="str">
        <f t="shared" si="107"/>
        <v>-</v>
      </c>
      <c r="V1301" s="12" t="str" cm="1">
        <f t="array" ref="V1301">_xlfn.IFS(
ISNUMBER(SEARCH("USA",S1301)),"United States",
ISNUMBER(SEARCH("Republic of Ireland",S1301)),"Ireland",
ISNUMBER(SEARCH("Republic of Korea",S1301)),"South Korea",
ISNUMBER(SEARCH("Cape Verde",S1301)),"Cabo Verde",
ISNUMBER(SEARCH("Czechia",S1301)),"Czech Republic",
ISNUMBER(SEARCH("Türkiye",S1301)),"Turkey",
ISNUMBER(SEARCH("Ivory Coast",S1301)),"Côte d'Ivoire",
ISNUMBER(SEARCH("Korea Republic",S1301)),"South Korea",
ISNUMBER(SEARCH("Germany FR",S1301)),"FR Germany",
ISNUMBER(SEARCH("West Germany",S1301)),"FR Germany",
ISNUMBER(SEARCH("Germany DR",S1301)),"DR Germany",
ISNUMBER(SEARCH("Korea DPR",S1301)),"North Korea",
ISNUMBER(SEARCH("China PR",S1301)),"China",
ISNUMBER(SEARCH("IR Iran",S1301)),"Iran",
ISNUMBER(SEARCH("Congo DR",S1301)),"Democratic Republic of the Congo",
ISNUMBER(SEARCH("DR Congo",S1301)),"Democratic Republic of the Congo",
ISNUMBER(SEARCH("German DR",S1301)),"DR Germany",
ISNUMBER(SEARCH("rn""&gt;United Arab Emirates",S1301)),"United Arab Emirates",
ISNUMBER(SEARCH("rn""&gt;Republic of Ireland",S1301)),"Ireland",
ISNUMBER(SEARCH("rn""&gt;Bosnia and Herzegovina",S1301)),"Bosnia and Herzegovina",
ISNUMBER(SEARCH("rn""&gt;Trinidad and Tobago",S1301)),"Trinidad and Tobago",
ISNUMBER(SEARCH("rn""&gt;Serbia and Montenegro",S1301)),"Serbia and Montenegro",
ISNUMBER(SEARCH(_xlfn.UNICHAR(65533),S1301)),"Côte d'Ivoire",
TRUE,""
)</f>
        <v/>
      </c>
      <c r="W1301" s="12" t="str">
        <f t="shared" si="108"/>
        <v>Qatar</v>
      </c>
    </row>
    <row r="1302" spans="2:23">
      <c r="B1302" s="75">
        <v>865</v>
      </c>
      <c r="C1302" s="15" t="str">
        <v>Manaf Younis</v>
      </c>
      <c r="D1302" s="15">
        <v>29</v>
      </c>
      <c r="E1302" s="15" t="str">
        <v>Iraq</v>
      </c>
      <c r="F1302" s="15" t="str">
        <v>CB</v>
      </c>
      <c r="G1302" s="15" t="str">
        <v>Al-Shorta</v>
      </c>
      <c r="H1302" s="15">
        <v>6</v>
      </c>
      <c r="I1302" s="15" t="str">
        <f t="shared" si="109"/>
        <v>865|Manaf Younis|29|Iraq|CB|Al-Shorta|6</v>
      </c>
      <c r="J1302" s="15" t="str">
        <f>IF(COUNTIF(I$438:I1302,I1302)&gt;1,"DOUBLON","OK")</f>
        <v>OK</v>
      </c>
      <c r="S1302" s="12" t="str">
        <v>Qatar</v>
      </c>
      <c r="T1302" s="12" t="str">
        <f t="shared" si="106"/>
        <v>OK</v>
      </c>
      <c r="U1302" s="12" t="str">
        <f t="shared" si="107"/>
        <v>-</v>
      </c>
      <c r="V1302" s="12" t="str" cm="1">
        <f t="array" ref="V1302">_xlfn.IFS(
ISNUMBER(SEARCH("USA",S1302)),"United States",
ISNUMBER(SEARCH("Republic of Ireland",S1302)),"Ireland",
ISNUMBER(SEARCH("Republic of Korea",S1302)),"South Korea",
ISNUMBER(SEARCH("Cape Verde",S1302)),"Cabo Verde",
ISNUMBER(SEARCH("Czechia",S1302)),"Czech Republic",
ISNUMBER(SEARCH("Türkiye",S1302)),"Turkey",
ISNUMBER(SEARCH("Ivory Coast",S1302)),"Côte d'Ivoire",
ISNUMBER(SEARCH("Korea Republic",S1302)),"South Korea",
ISNUMBER(SEARCH("Germany FR",S1302)),"FR Germany",
ISNUMBER(SEARCH("West Germany",S1302)),"FR Germany",
ISNUMBER(SEARCH("Germany DR",S1302)),"DR Germany",
ISNUMBER(SEARCH("Korea DPR",S1302)),"North Korea",
ISNUMBER(SEARCH("China PR",S1302)),"China",
ISNUMBER(SEARCH("IR Iran",S1302)),"Iran",
ISNUMBER(SEARCH("Congo DR",S1302)),"Democratic Republic of the Congo",
ISNUMBER(SEARCH("DR Congo",S1302)),"Democratic Republic of the Congo",
ISNUMBER(SEARCH("German DR",S1302)),"DR Germany",
ISNUMBER(SEARCH("rn""&gt;United Arab Emirates",S1302)),"United Arab Emirates",
ISNUMBER(SEARCH("rn""&gt;Republic of Ireland",S1302)),"Ireland",
ISNUMBER(SEARCH("rn""&gt;Bosnia and Herzegovina",S1302)),"Bosnia and Herzegovina",
ISNUMBER(SEARCH("rn""&gt;Trinidad and Tobago",S1302)),"Trinidad and Tobago",
ISNUMBER(SEARCH("rn""&gt;Serbia and Montenegro",S1302)),"Serbia and Montenegro",
ISNUMBER(SEARCH(_xlfn.UNICHAR(65533),S1302)),"Côte d'Ivoire",
TRUE,""
)</f>
        <v/>
      </c>
      <c r="W1302" s="12" t="str">
        <f t="shared" si="108"/>
        <v>Qatar</v>
      </c>
    </row>
    <row r="1303" spans="2:23">
      <c r="B1303" s="75">
        <v>866</v>
      </c>
      <c r="C1303" s="15" t="str">
        <v>Frans Putros</v>
      </c>
      <c r="D1303" s="15">
        <v>32</v>
      </c>
      <c r="E1303" s="15" t="str">
        <v>Iraq</v>
      </c>
      <c r="F1303" s="15" t="str">
        <v>CB</v>
      </c>
      <c r="G1303" s="15" t="str">
        <v>Persib</v>
      </c>
      <c r="H1303" s="15">
        <v>26</v>
      </c>
      <c r="I1303" s="15" t="str">
        <f t="shared" si="109"/>
        <v>866|Frans Putros|32|Iraq|CB|Persib|26</v>
      </c>
      <c r="J1303" s="15" t="str">
        <f>IF(COUNTIF(I$438:I1303,I1303)&gt;1,"DOUBLON","OK")</f>
        <v>OK</v>
      </c>
      <c r="S1303" s="12" t="str">
        <v>Switzerland</v>
      </c>
      <c r="T1303" s="12" t="str">
        <f t="shared" si="106"/>
        <v>OK</v>
      </c>
      <c r="U1303" s="12" t="str">
        <f t="shared" si="107"/>
        <v>-</v>
      </c>
      <c r="V1303" s="12" t="str" cm="1">
        <f t="array" ref="V1303">_xlfn.IFS(
ISNUMBER(SEARCH("USA",S1303)),"United States",
ISNUMBER(SEARCH("Republic of Ireland",S1303)),"Ireland",
ISNUMBER(SEARCH("Republic of Korea",S1303)),"South Korea",
ISNUMBER(SEARCH("Cape Verde",S1303)),"Cabo Verde",
ISNUMBER(SEARCH("Czechia",S1303)),"Czech Republic",
ISNUMBER(SEARCH("Türkiye",S1303)),"Turkey",
ISNUMBER(SEARCH("Ivory Coast",S1303)),"Côte d'Ivoire",
ISNUMBER(SEARCH("Korea Republic",S1303)),"South Korea",
ISNUMBER(SEARCH("Germany FR",S1303)),"FR Germany",
ISNUMBER(SEARCH("West Germany",S1303)),"FR Germany",
ISNUMBER(SEARCH("Germany DR",S1303)),"DR Germany",
ISNUMBER(SEARCH("Korea DPR",S1303)),"North Korea",
ISNUMBER(SEARCH("China PR",S1303)),"China",
ISNUMBER(SEARCH("IR Iran",S1303)),"Iran",
ISNUMBER(SEARCH("Congo DR",S1303)),"Democratic Republic of the Congo",
ISNUMBER(SEARCH("DR Congo",S1303)),"Democratic Republic of the Congo",
ISNUMBER(SEARCH("German DR",S1303)),"DR Germany",
ISNUMBER(SEARCH("rn""&gt;United Arab Emirates",S1303)),"United Arab Emirates",
ISNUMBER(SEARCH("rn""&gt;Republic of Ireland",S1303)),"Ireland",
ISNUMBER(SEARCH("rn""&gt;Bosnia and Herzegovina",S1303)),"Bosnia and Herzegovina",
ISNUMBER(SEARCH("rn""&gt;Trinidad and Tobago",S1303)),"Trinidad and Tobago",
ISNUMBER(SEARCH("rn""&gt;Serbia and Montenegro",S1303)),"Serbia and Montenegro",
ISNUMBER(SEARCH(_xlfn.UNICHAR(65533),S1303)),"Côte d'Ivoire",
TRUE,""
)</f>
        <v/>
      </c>
      <c r="W1303" s="12" t="str">
        <f t="shared" si="108"/>
        <v>Switzerland</v>
      </c>
    </row>
    <row r="1304" spans="2:23">
      <c r="B1304" s="75">
        <v>867</v>
      </c>
      <c r="C1304" s="15" t="str">
        <v>Ahmed Maknzi</v>
      </c>
      <c r="D1304" s="15">
        <v>24</v>
      </c>
      <c r="E1304" s="15" t="str">
        <v>Iraq</v>
      </c>
      <c r="F1304" s="15" t="str">
        <v>LB</v>
      </c>
      <c r="G1304" s="15" t="str">
        <v>Al-Karma</v>
      </c>
      <c r="H1304" s="15">
        <v>15</v>
      </c>
      <c r="I1304" s="15" t="str">
        <f t="shared" si="109"/>
        <v>867|Ahmed Maknzi|24|Iraq|LB|Al-Karma|15</v>
      </c>
      <c r="J1304" s="15" t="str">
        <f>IF(COUNTIF(I$438:I1304,I1304)&gt;1,"DOUBLON","OK")</f>
        <v>OK</v>
      </c>
      <c r="S1304" s="12" t="str">
        <v>Switzerland</v>
      </c>
      <c r="T1304" s="12" t="str">
        <f t="shared" si="106"/>
        <v>OK</v>
      </c>
      <c r="U1304" s="12" t="str">
        <f t="shared" si="107"/>
        <v>-</v>
      </c>
      <c r="V1304" s="12" t="str" cm="1">
        <f t="array" ref="V1304">_xlfn.IFS(
ISNUMBER(SEARCH("USA",S1304)),"United States",
ISNUMBER(SEARCH("Republic of Ireland",S1304)),"Ireland",
ISNUMBER(SEARCH("Republic of Korea",S1304)),"South Korea",
ISNUMBER(SEARCH("Cape Verde",S1304)),"Cabo Verde",
ISNUMBER(SEARCH("Czechia",S1304)),"Czech Republic",
ISNUMBER(SEARCH("Türkiye",S1304)),"Turkey",
ISNUMBER(SEARCH("Ivory Coast",S1304)),"Côte d'Ivoire",
ISNUMBER(SEARCH("Korea Republic",S1304)),"South Korea",
ISNUMBER(SEARCH("Germany FR",S1304)),"FR Germany",
ISNUMBER(SEARCH("West Germany",S1304)),"FR Germany",
ISNUMBER(SEARCH("Germany DR",S1304)),"DR Germany",
ISNUMBER(SEARCH("Korea DPR",S1304)),"North Korea",
ISNUMBER(SEARCH("China PR",S1304)),"China",
ISNUMBER(SEARCH("IR Iran",S1304)),"Iran",
ISNUMBER(SEARCH("Congo DR",S1304)),"Democratic Republic of the Congo",
ISNUMBER(SEARCH("DR Congo",S1304)),"Democratic Republic of the Congo",
ISNUMBER(SEARCH("German DR",S1304)),"DR Germany",
ISNUMBER(SEARCH("rn""&gt;United Arab Emirates",S1304)),"United Arab Emirates",
ISNUMBER(SEARCH("rn""&gt;Republic of Ireland",S1304)),"Ireland",
ISNUMBER(SEARCH("rn""&gt;Bosnia and Herzegovina",S1304)),"Bosnia and Herzegovina",
ISNUMBER(SEARCH("rn""&gt;Trinidad and Tobago",S1304)),"Trinidad and Tobago",
ISNUMBER(SEARCH("rn""&gt;Serbia and Montenegro",S1304)),"Serbia and Montenegro",
ISNUMBER(SEARCH(_xlfn.UNICHAR(65533),S1304)),"Côte d'Ivoire",
TRUE,""
)</f>
        <v/>
      </c>
      <c r="W1304" s="12" t="str">
        <f t="shared" si="108"/>
        <v>Switzerland</v>
      </c>
    </row>
    <row r="1305" spans="2:23">
      <c r="B1305" s="75">
        <v>868</v>
      </c>
      <c r="C1305" s="15" t="str">
        <v>Merchas Doski</v>
      </c>
      <c r="D1305" s="15">
        <v>26</v>
      </c>
      <c r="E1305" s="15" t="str">
        <v>Iraq</v>
      </c>
      <c r="F1305" s="15" t="str">
        <v>LB</v>
      </c>
      <c r="G1305" s="15" t="str">
        <v>Viktoria Plzeň</v>
      </c>
      <c r="H1305" s="15">
        <v>23</v>
      </c>
      <c r="I1305" s="15" t="str">
        <f t="shared" si="109"/>
        <v>868|Merchas Doski|26|Iraq|LB|Viktoria Plzeň|23</v>
      </c>
      <c r="J1305" s="15" t="str">
        <f>IF(COUNTIF(I$438:I1305,I1305)&gt;1,"DOUBLON","OK")</f>
        <v>OK</v>
      </c>
      <c r="S1305" s="12" t="str">
        <v>Switzerland</v>
      </c>
      <c r="T1305" s="12" t="str">
        <f t="shared" si="106"/>
        <v>OK</v>
      </c>
      <c r="U1305" s="12" t="str">
        <f t="shared" si="107"/>
        <v>-</v>
      </c>
      <c r="V1305" s="12" t="str" cm="1">
        <f t="array" ref="V1305">_xlfn.IFS(
ISNUMBER(SEARCH("USA",S1305)),"United States",
ISNUMBER(SEARCH("Republic of Ireland",S1305)),"Ireland",
ISNUMBER(SEARCH("Republic of Korea",S1305)),"South Korea",
ISNUMBER(SEARCH("Cape Verde",S1305)),"Cabo Verde",
ISNUMBER(SEARCH("Czechia",S1305)),"Czech Republic",
ISNUMBER(SEARCH("Türkiye",S1305)),"Turkey",
ISNUMBER(SEARCH("Ivory Coast",S1305)),"Côte d'Ivoire",
ISNUMBER(SEARCH("Korea Republic",S1305)),"South Korea",
ISNUMBER(SEARCH("Germany FR",S1305)),"FR Germany",
ISNUMBER(SEARCH("West Germany",S1305)),"FR Germany",
ISNUMBER(SEARCH("Germany DR",S1305)),"DR Germany",
ISNUMBER(SEARCH("Korea DPR",S1305)),"North Korea",
ISNUMBER(SEARCH("China PR",S1305)),"China",
ISNUMBER(SEARCH("IR Iran",S1305)),"Iran",
ISNUMBER(SEARCH("Congo DR",S1305)),"Democratic Republic of the Congo",
ISNUMBER(SEARCH("DR Congo",S1305)),"Democratic Republic of the Congo",
ISNUMBER(SEARCH("German DR",S1305)),"DR Germany",
ISNUMBER(SEARCH("rn""&gt;United Arab Emirates",S1305)),"United Arab Emirates",
ISNUMBER(SEARCH("rn""&gt;Republic of Ireland",S1305)),"Ireland",
ISNUMBER(SEARCH("rn""&gt;Bosnia and Herzegovina",S1305)),"Bosnia and Herzegovina",
ISNUMBER(SEARCH("rn""&gt;Trinidad and Tobago",S1305)),"Trinidad and Tobago",
ISNUMBER(SEARCH("rn""&gt;Serbia and Montenegro",S1305)),"Serbia and Montenegro",
ISNUMBER(SEARCH(_xlfn.UNICHAR(65533),S1305)),"Côte d'Ivoire",
TRUE,""
)</f>
        <v/>
      </c>
      <c r="W1305" s="12" t="str">
        <f t="shared" si="108"/>
        <v>Switzerland</v>
      </c>
    </row>
    <row r="1306" spans="2:23">
      <c r="B1306" s="75">
        <v>869</v>
      </c>
      <c r="C1306" s="15" t="str">
        <v>Hussein Ali</v>
      </c>
      <c r="D1306" s="15">
        <v>24</v>
      </c>
      <c r="E1306" s="15" t="str">
        <v>Iraq</v>
      </c>
      <c r="F1306" s="15" t="str">
        <v>RB</v>
      </c>
      <c r="G1306" s="15" t="str">
        <v>Pogoń Szczecin</v>
      </c>
      <c r="H1306" s="15">
        <v>3</v>
      </c>
      <c r="I1306" s="15" t="str">
        <f t="shared" si="109"/>
        <v>869|Hussein Ali|24|Iraq|RB|Pogoń Szczecin|3</v>
      </c>
      <c r="J1306" s="15" t="str">
        <f>IF(COUNTIF(I$438:I1306,I1306)&gt;1,"DOUBLON","OK")</f>
        <v>OK</v>
      </c>
      <c r="S1306" s="12" t="str">
        <v>Switzerland</v>
      </c>
      <c r="T1306" s="12" t="str">
        <f t="shared" si="106"/>
        <v>OK</v>
      </c>
      <c r="U1306" s="12" t="str">
        <f t="shared" si="107"/>
        <v>-</v>
      </c>
      <c r="V1306" s="12" t="str" cm="1">
        <f t="array" ref="V1306">_xlfn.IFS(
ISNUMBER(SEARCH("USA",S1306)),"United States",
ISNUMBER(SEARCH("Republic of Ireland",S1306)),"Ireland",
ISNUMBER(SEARCH("Republic of Korea",S1306)),"South Korea",
ISNUMBER(SEARCH("Cape Verde",S1306)),"Cabo Verde",
ISNUMBER(SEARCH("Czechia",S1306)),"Czech Republic",
ISNUMBER(SEARCH("Türkiye",S1306)),"Turkey",
ISNUMBER(SEARCH("Ivory Coast",S1306)),"Côte d'Ivoire",
ISNUMBER(SEARCH("Korea Republic",S1306)),"South Korea",
ISNUMBER(SEARCH("Germany FR",S1306)),"FR Germany",
ISNUMBER(SEARCH("West Germany",S1306)),"FR Germany",
ISNUMBER(SEARCH("Germany DR",S1306)),"DR Germany",
ISNUMBER(SEARCH("Korea DPR",S1306)),"North Korea",
ISNUMBER(SEARCH("China PR",S1306)),"China",
ISNUMBER(SEARCH("IR Iran",S1306)),"Iran",
ISNUMBER(SEARCH("Congo DR",S1306)),"Democratic Republic of the Congo",
ISNUMBER(SEARCH("DR Congo",S1306)),"Democratic Republic of the Congo",
ISNUMBER(SEARCH("German DR",S1306)),"DR Germany",
ISNUMBER(SEARCH("rn""&gt;United Arab Emirates",S1306)),"United Arab Emirates",
ISNUMBER(SEARCH("rn""&gt;Republic of Ireland",S1306)),"Ireland",
ISNUMBER(SEARCH("rn""&gt;Bosnia and Herzegovina",S1306)),"Bosnia and Herzegovina",
ISNUMBER(SEARCH("rn""&gt;Trinidad and Tobago",S1306)),"Trinidad and Tobago",
ISNUMBER(SEARCH("rn""&gt;Serbia and Montenegro",S1306)),"Serbia and Montenegro",
ISNUMBER(SEARCH(_xlfn.UNICHAR(65533),S1306)),"Côte d'Ivoire",
TRUE,""
)</f>
        <v/>
      </c>
      <c r="W1306" s="12" t="str">
        <f t="shared" si="108"/>
        <v>Switzerland</v>
      </c>
    </row>
    <row r="1307" spans="2:23">
      <c r="B1307" s="75">
        <v>870</v>
      </c>
      <c r="C1307" s="15" t="str">
        <v>Mustafa Saadoon</v>
      </c>
      <c r="D1307" s="15">
        <v>25</v>
      </c>
      <c r="E1307" s="15" t="str">
        <v>Iraq</v>
      </c>
      <c r="F1307" s="15" t="str">
        <v>RB</v>
      </c>
      <c r="G1307" s="15" t="str">
        <v>Al-Shorta</v>
      </c>
      <c r="H1307" s="15">
        <v>25</v>
      </c>
      <c r="I1307" s="15" t="str">
        <f t="shared" si="109"/>
        <v>870|Mustafa Saadoon|25|Iraq|RB|Al-Shorta|25</v>
      </c>
      <c r="J1307" s="15" t="str">
        <f>IF(COUNTIF(I$438:I1307,I1307)&gt;1,"DOUBLON","OK")</f>
        <v>OK</v>
      </c>
      <c r="S1307" s="12" t="str">
        <v>Switzerland</v>
      </c>
      <c r="T1307" s="12" t="str">
        <f t="shared" si="106"/>
        <v>OK</v>
      </c>
      <c r="U1307" s="12" t="str">
        <f t="shared" si="107"/>
        <v>-</v>
      </c>
      <c r="V1307" s="12" t="str" cm="1">
        <f t="array" ref="V1307">_xlfn.IFS(
ISNUMBER(SEARCH("USA",S1307)),"United States",
ISNUMBER(SEARCH("Republic of Ireland",S1307)),"Ireland",
ISNUMBER(SEARCH("Republic of Korea",S1307)),"South Korea",
ISNUMBER(SEARCH("Cape Verde",S1307)),"Cabo Verde",
ISNUMBER(SEARCH("Czechia",S1307)),"Czech Republic",
ISNUMBER(SEARCH("Türkiye",S1307)),"Turkey",
ISNUMBER(SEARCH("Ivory Coast",S1307)),"Côte d'Ivoire",
ISNUMBER(SEARCH("Korea Republic",S1307)),"South Korea",
ISNUMBER(SEARCH("Germany FR",S1307)),"FR Germany",
ISNUMBER(SEARCH("West Germany",S1307)),"FR Germany",
ISNUMBER(SEARCH("Germany DR",S1307)),"DR Germany",
ISNUMBER(SEARCH("Korea DPR",S1307)),"North Korea",
ISNUMBER(SEARCH("China PR",S1307)),"China",
ISNUMBER(SEARCH("IR Iran",S1307)),"Iran",
ISNUMBER(SEARCH("Congo DR",S1307)),"Democratic Republic of the Congo",
ISNUMBER(SEARCH("DR Congo",S1307)),"Democratic Republic of the Congo",
ISNUMBER(SEARCH("German DR",S1307)),"DR Germany",
ISNUMBER(SEARCH("rn""&gt;United Arab Emirates",S1307)),"United Arab Emirates",
ISNUMBER(SEARCH("rn""&gt;Republic of Ireland",S1307)),"Ireland",
ISNUMBER(SEARCH("rn""&gt;Bosnia and Herzegovina",S1307)),"Bosnia and Herzegovina",
ISNUMBER(SEARCH("rn""&gt;Trinidad and Tobago",S1307)),"Trinidad and Tobago",
ISNUMBER(SEARCH("rn""&gt;Serbia and Montenegro",S1307)),"Serbia and Montenegro",
ISNUMBER(SEARCH(_xlfn.UNICHAR(65533),S1307)),"Côte d'Ivoire",
TRUE,""
)</f>
        <v/>
      </c>
      <c r="W1307" s="12" t="str">
        <f t="shared" si="108"/>
        <v>Switzerland</v>
      </c>
    </row>
    <row r="1308" spans="2:23">
      <c r="B1308" s="75">
        <v>871</v>
      </c>
      <c r="C1308" s="15" t="str">
        <v>Zaid Ismail</v>
      </c>
      <c r="D1308" s="15">
        <v>24</v>
      </c>
      <c r="E1308" s="15" t="str">
        <v>Iraq</v>
      </c>
      <c r="F1308" s="15" t="str">
        <v>CDM</v>
      </c>
      <c r="G1308" s="15" t="str">
        <v>Al-Talaba</v>
      </c>
      <c r="H1308" s="15">
        <v>24</v>
      </c>
      <c r="I1308" s="15" t="str">
        <f t="shared" si="109"/>
        <v>871|Zaid Ismail|24|Iraq|CDM|Al-Talaba|24</v>
      </c>
      <c r="J1308" s="15" t="str">
        <f>IF(COUNTIF(I$438:I1308,I1308)&gt;1,"DOUBLON","OK")</f>
        <v>OK</v>
      </c>
      <c r="S1308" s="12" t="str">
        <v>Switzerland</v>
      </c>
      <c r="T1308" s="12" t="str">
        <f t="shared" si="106"/>
        <v>OK</v>
      </c>
      <c r="U1308" s="12" t="str">
        <f t="shared" si="107"/>
        <v>-</v>
      </c>
      <c r="V1308" s="12" t="str" cm="1">
        <f t="array" ref="V1308">_xlfn.IFS(
ISNUMBER(SEARCH("USA",S1308)),"United States",
ISNUMBER(SEARCH("Republic of Ireland",S1308)),"Ireland",
ISNUMBER(SEARCH("Republic of Korea",S1308)),"South Korea",
ISNUMBER(SEARCH("Cape Verde",S1308)),"Cabo Verde",
ISNUMBER(SEARCH("Czechia",S1308)),"Czech Republic",
ISNUMBER(SEARCH("Türkiye",S1308)),"Turkey",
ISNUMBER(SEARCH("Ivory Coast",S1308)),"Côte d'Ivoire",
ISNUMBER(SEARCH("Korea Republic",S1308)),"South Korea",
ISNUMBER(SEARCH("Germany FR",S1308)),"FR Germany",
ISNUMBER(SEARCH("West Germany",S1308)),"FR Germany",
ISNUMBER(SEARCH("Germany DR",S1308)),"DR Germany",
ISNUMBER(SEARCH("Korea DPR",S1308)),"North Korea",
ISNUMBER(SEARCH("China PR",S1308)),"China",
ISNUMBER(SEARCH("IR Iran",S1308)),"Iran",
ISNUMBER(SEARCH("Congo DR",S1308)),"Democratic Republic of the Congo",
ISNUMBER(SEARCH("DR Congo",S1308)),"Democratic Republic of the Congo",
ISNUMBER(SEARCH("German DR",S1308)),"DR Germany",
ISNUMBER(SEARCH("rn""&gt;United Arab Emirates",S1308)),"United Arab Emirates",
ISNUMBER(SEARCH("rn""&gt;Republic of Ireland",S1308)),"Ireland",
ISNUMBER(SEARCH("rn""&gt;Bosnia and Herzegovina",S1308)),"Bosnia and Herzegovina",
ISNUMBER(SEARCH("rn""&gt;Trinidad and Tobago",S1308)),"Trinidad and Tobago",
ISNUMBER(SEARCH("rn""&gt;Serbia and Montenegro",S1308)),"Serbia and Montenegro",
ISNUMBER(SEARCH(_xlfn.UNICHAR(65533),S1308)),"Côte d'Ivoire",
TRUE,""
)</f>
        <v/>
      </c>
      <c r="W1308" s="12" t="str">
        <f t="shared" si="108"/>
        <v>Switzerland</v>
      </c>
    </row>
    <row r="1309" spans="2:23">
      <c r="B1309" s="75">
        <v>872</v>
      </c>
      <c r="C1309" s="15" t="str">
        <v>Amir Al-Ammari</v>
      </c>
      <c r="D1309" s="15">
        <v>28</v>
      </c>
      <c r="E1309" s="15" t="str">
        <v>Iraq</v>
      </c>
      <c r="F1309" s="15" t="str">
        <v>CM</v>
      </c>
      <c r="G1309" s="15" t="str">
        <v>Cracovia</v>
      </c>
      <c r="H1309" s="15">
        <v>16</v>
      </c>
      <c r="I1309" s="15" t="str">
        <f t="shared" si="109"/>
        <v>872|Amir Al-Ammari|28|Iraq|CM|Cracovia|16</v>
      </c>
      <c r="J1309" s="15" t="str">
        <f>IF(COUNTIF(I$438:I1309,I1309)&gt;1,"DOUBLON","OK")</f>
        <v>OK</v>
      </c>
      <c r="S1309" s="12" t="str">
        <v>Switzerland</v>
      </c>
      <c r="T1309" s="12" t="str">
        <f t="shared" si="106"/>
        <v>OK</v>
      </c>
      <c r="U1309" s="12" t="str">
        <f t="shared" si="107"/>
        <v>-</v>
      </c>
      <c r="V1309" s="12" t="str" cm="1">
        <f t="array" ref="V1309">_xlfn.IFS(
ISNUMBER(SEARCH("USA",S1309)),"United States",
ISNUMBER(SEARCH("Republic of Ireland",S1309)),"Ireland",
ISNUMBER(SEARCH("Republic of Korea",S1309)),"South Korea",
ISNUMBER(SEARCH("Cape Verde",S1309)),"Cabo Verde",
ISNUMBER(SEARCH("Czechia",S1309)),"Czech Republic",
ISNUMBER(SEARCH("Türkiye",S1309)),"Turkey",
ISNUMBER(SEARCH("Ivory Coast",S1309)),"Côte d'Ivoire",
ISNUMBER(SEARCH("Korea Republic",S1309)),"South Korea",
ISNUMBER(SEARCH("Germany FR",S1309)),"FR Germany",
ISNUMBER(SEARCH("West Germany",S1309)),"FR Germany",
ISNUMBER(SEARCH("Germany DR",S1309)),"DR Germany",
ISNUMBER(SEARCH("Korea DPR",S1309)),"North Korea",
ISNUMBER(SEARCH("China PR",S1309)),"China",
ISNUMBER(SEARCH("IR Iran",S1309)),"Iran",
ISNUMBER(SEARCH("Congo DR",S1309)),"Democratic Republic of the Congo",
ISNUMBER(SEARCH("DR Congo",S1309)),"Democratic Republic of the Congo",
ISNUMBER(SEARCH("German DR",S1309)),"DR Germany",
ISNUMBER(SEARCH("rn""&gt;United Arab Emirates",S1309)),"United Arab Emirates",
ISNUMBER(SEARCH("rn""&gt;Republic of Ireland",S1309)),"Ireland",
ISNUMBER(SEARCH("rn""&gt;Bosnia and Herzegovina",S1309)),"Bosnia and Herzegovina",
ISNUMBER(SEARCH("rn""&gt;Trinidad and Tobago",S1309)),"Trinidad and Tobago",
ISNUMBER(SEARCH("rn""&gt;Serbia and Montenegro",S1309)),"Serbia and Montenegro",
ISNUMBER(SEARCH(_xlfn.UNICHAR(65533),S1309)),"Côte d'Ivoire",
TRUE,""
)</f>
        <v/>
      </c>
      <c r="W1309" s="12" t="str">
        <f t="shared" si="108"/>
        <v>Switzerland</v>
      </c>
    </row>
    <row r="1310" spans="2:23">
      <c r="B1310" s="75">
        <v>873</v>
      </c>
      <c r="C1310" s="15" t="str">
        <v>Aimar Sher</v>
      </c>
      <c r="D1310" s="15">
        <v>23</v>
      </c>
      <c r="E1310" s="15" t="str">
        <v>Iraq</v>
      </c>
      <c r="F1310" s="15" t="str">
        <v>CM</v>
      </c>
      <c r="G1310" s="15" t="str">
        <v>Sarpsborg 08</v>
      </c>
      <c r="H1310" s="15">
        <v>20</v>
      </c>
      <c r="I1310" s="15" t="str">
        <f t="shared" si="109"/>
        <v>873|Aimar Sher|23|Iraq|CM|Sarpsborg 08|20</v>
      </c>
      <c r="J1310" s="15" t="str">
        <f>IF(COUNTIF(I$438:I1310,I1310)&gt;1,"DOUBLON","OK")</f>
        <v>OK</v>
      </c>
      <c r="S1310" s="12" t="str">
        <v>Switzerland</v>
      </c>
      <c r="T1310" s="12" t="str">
        <f t="shared" si="106"/>
        <v>OK</v>
      </c>
      <c r="U1310" s="12" t="str">
        <f t="shared" si="107"/>
        <v>-</v>
      </c>
      <c r="V1310" s="12" t="str" cm="1">
        <f t="array" ref="V1310">_xlfn.IFS(
ISNUMBER(SEARCH("USA",S1310)),"United States",
ISNUMBER(SEARCH("Republic of Ireland",S1310)),"Ireland",
ISNUMBER(SEARCH("Republic of Korea",S1310)),"South Korea",
ISNUMBER(SEARCH("Cape Verde",S1310)),"Cabo Verde",
ISNUMBER(SEARCH("Czechia",S1310)),"Czech Republic",
ISNUMBER(SEARCH("Türkiye",S1310)),"Turkey",
ISNUMBER(SEARCH("Ivory Coast",S1310)),"Côte d'Ivoire",
ISNUMBER(SEARCH("Korea Republic",S1310)),"South Korea",
ISNUMBER(SEARCH("Germany FR",S1310)),"FR Germany",
ISNUMBER(SEARCH("West Germany",S1310)),"FR Germany",
ISNUMBER(SEARCH("Germany DR",S1310)),"DR Germany",
ISNUMBER(SEARCH("Korea DPR",S1310)),"North Korea",
ISNUMBER(SEARCH("China PR",S1310)),"China",
ISNUMBER(SEARCH("IR Iran",S1310)),"Iran",
ISNUMBER(SEARCH("Congo DR",S1310)),"Democratic Republic of the Congo",
ISNUMBER(SEARCH("DR Congo",S1310)),"Democratic Republic of the Congo",
ISNUMBER(SEARCH("German DR",S1310)),"DR Germany",
ISNUMBER(SEARCH("rn""&gt;United Arab Emirates",S1310)),"United Arab Emirates",
ISNUMBER(SEARCH("rn""&gt;Republic of Ireland",S1310)),"Ireland",
ISNUMBER(SEARCH("rn""&gt;Bosnia and Herzegovina",S1310)),"Bosnia and Herzegovina",
ISNUMBER(SEARCH("rn""&gt;Trinidad and Tobago",S1310)),"Trinidad and Tobago",
ISNUMBER(SEARCH("rn""&gt;Serbia and Montenegro",S1310)),"Serbia and Montenegro",
ISNUMBER(SEARCH(_xlfn.UNICHAR(65533),S1310)),"Côte d'Ivoire",
TRUE,""
)</f>
        <v/>
      </c>
      <c r="W1310" s="12" t="str">
        <f t="shared" si="108"/>
        <v>Switzerland</v>
      </c>
    </row>
    <row r="1311" spans="2:23">
      <c r="B1311" s="75">
        <v>874</v>
      </c>
      <c r="C1311" s="15" t="str">
        <v>Ibrahim Bayesh</v>
      </c>
      <c r="D1311" s="15">
        <v>26</v>
      </c>
      <c r="E1311" s="15" t="str">
        <v>Iraq</v>
      </c>
      <c r="F1311" s="15" t="str">
        <v>CAM</v>
      </c>
      <c r="G1311" s="15" t="str">
        <v>Al Dhafra</v>
      </c>
      <c r="H1311" s="15">
        <v>8</v>
      </c>
      <c r="I1311" s="15" t="str">
        <f t="shared" si="109"/>
        <v>874|Ibrahim Bayesh|26|Iraq|CAM|Al Dhafra|8</v>
      </c>
      <c r="J1311" s="15" t="str">
        <f>IF(COUNTIF(I$438:I1311,I1311)&gt;1,"DOUBLON","OK")</f>
        <v>OK</v>
      </c>
      <c r="S1311" s="12" t="str">
        <v>Switzerland</v>
      </c>
      <c r="T1311" s="12" t="str">
        <f t="shared" si="106"/>
        <v>OK</v>
      </c>
      <c r="U1311" s="12" t="str">
        <f t="shared" si="107"/>
        <v>-</v>
      </c>
      <c r="V1311" s="12" t="str" cm="1">
        <f t="array" ref="V1311">_xlfn.IFS(
ISNUMBER(SEARCH("USA",S1311)),"United States",
ISNUMBER(SEARCH("Republic of Ireland",S1311)),"Ireland",
ISNUMBER(SEARCH("Republic of Korea",S1311)),"South Korea",
ISNUMBER(SEARCH("Cape Verde",S1311)),"Cabo Verde",
ISNUMBER(SEARCH("Czechia",S1311)),"Czech Republic",
ISNUMBER(SEARCH("Türkiye",S1311)),"Turkey",
ISNUMBER(SEARCH("Ivory Coast",S1311)),"Côte d'Ivoire",
ISNUMBER(SEARCH("Korea Republic",S1311)),"South Korea",
ISNUMBER(SEARCH("Germany FR",S1311)),"FR Germany",
ISNUMBER(SEARCH("West Germany",S1311)),"FR Germany",
ISNUMBER(SEARCH("Germany DR",S1311)),"DR Germany",
ISNUMBER(SEARCH("Korea DPR",S1311)),"North Korea",
ISNUMBER(SEARCH("China PR",S1311)),"China",
ISNUMBER(SEARCH("IR Iran",S1311)),"Iran",
ISNUMBER(SEARCH("Congo DR",S1311)),"Democratic Republic of the Congo",
ISNUMBER(SEARCH("DR Congo",S1311)),"Democratic Republic of the Congo",
ISNUMBER(SEARCH("German DR",S1311)),"DR Germany",
ISNUMBER(SEARCH("rn""&gt;United Arab Emirates",S1311)),"United Arab Emirates",
ISNUMBER(SEARCH("rn""&gt;Republic of Ireland",S1311)),"Ireland",
ISNUMBER(SEARCH("rn""&gt;Bosnia and Herzegovina",S1311)),"Bosnia and Herzegovina",
ISNUMBER(SEARCH("rn""&gt;Trinidad and Tobago",S1311)),"Trinidad and Tobago",
ISNUMBER(SEARCH("rn""&gt;Serbia and Montenegro",S1311)),"Serbia and Montenegro",
ISNUMBER(SEARCH(_xlfn.UNICHAR(65533),S1311)),"Côte d'Ivoire",
TRUE,""
)</f>
        <v/>
      </c>
      <c r="W1311" s="12" t="str">
        <f t="shared" si="108"/>
        <v>Switzerland</v>
      </c>
    </row>
    <row r="1312" spans="2:23">
      <c r="B1312" s="75">
        <v>875</v>
      </c>
      <c r="C1312" s="15" t="str">
        <v>Zidane Iqbal</v>
      </c>
      <c r="D1312" s="15">
        <v>23</v>
      </c>
      <c r="E1312" s="15" t="str">
        <v>Iraq</v>
      </c>
      <c r="F1312" s="15" t="str">
        <v>CAM</v>
      </c>
      <c r="G1312" s="15" t="str">
        <v>Utrecht</v>
      </c>
      <c r="H1312" s="15">
        <v>14</v>
      </c>
      <c r="I1312" s="15" t="str">
        <f t="shared" si="109"/>
        <v>875|Zidane Iqbal|23|Iraq|CAM|Utrecht|14</v>
      </c>
      <c r="J1312" s="15" t="str">
        <f>IF(COUNTIF(I$438:I1312,I1312)&gt;1,"DOUBLON","OK")</f>
        <v>OK</v>
      </c>
      <c r="S1312" s="12" t="str">
        <v>Switzerland</v>
      </c>
      <c r="T1312" s="12" t="str">
        <f t="shared" si="106"/>
        <v>OK</v>
      </c>
      <c r="U1312" s="12" t="str">
        <f t="shared" si="107"/>
        <v>-</v>
      </c>
      <c r="V1312" s="12" t="str" cm="1">
        <f t="array" ref="V1312">_xlfn.IFS(
ISNUMBER(SEARCH("USA",S1312)),"United States",
ISNUMBER(SEARCH("Republic of Ireland",S1312)),"Ireland",
ISNUMBER(SEARCH("Republic of Korea",S1312)),"South Korea",
ISNUMBER(SEARCH("Cape Verde",S1312)),"Cabo Verde",
ISNUMBER(SEARCH("Czechia",S1312)),"Czech Republic",
ISNUMBER(SEARCH("Türkiye",S1312)),"Turkey",
ISNUMBER(SEARCH("Ivory Coast",S1312)),"Côte d'Ivoire",
ISNUMBER(SEARCH("Korea Republic",S1312)),"South Korea",
ISNUMBER(SEARCH("Germany FR",S1312)),"FR Germany",
ISNUMBER(SEARCH("West Germany",S1312)),"FR Germany",
ISNUMBER(SEARCH("Germany DR",S1312)),"DR Germany",
ISNUMBER(SEARCH("Korea DPR",S1312)),"North Korea",
ISNUMBER(SEARCH("China PR",S1312)),"China",
ISNUMBER(SEARCH("IR Iran",S1312)),"Iran",
ISNUMBER(SEARCH("Congo DR",S1312)),"Democratic Republic of the Congo",
ISNUMBER(SEARCH("DR Congo",S1312)),"Democratic Republic of the Congo",
ISNUMBER(SEARCH("German DR",S1312)),"DR Germany",
ISNUMBER(SEARCH("rn""&gt;United Arab Emirates",S1312)),"United Arab Emirates",
ISNUMBER(SEARCH("rn""&gt;Republic of Ireland",S1312)),"Ireland",
ISNUMBER(SEARCH("rn""&gt;Bosnia and Herzegovina",S1312)),"Bosnia and Herzegovina",
ISNUMBER(SEARCH("rn""&gt;Trinidad and Tobago",S1312)),"Trinidad and Tobago",
ISNUMBER(SEARCH("rn""&gt;Serbia and Montenegro",S1312)),"Serbia and Montenegro",
ISNUMBER(SEARCH(_xlfn.UNICHAR(65533),S1312)),"Côte d'Ivoire",
TRUE,""
)</f>
        <v/>
      </c>
      <c r="W1312" s="12" t="str">
        <f t="shared" si="108"/>
        <v>Switzerland</v>
      </c>
    </row>
    <row r="1313" spans="2:23">
      <c r="B1313" s="75">
        <v>876</v>
      </c>
      <c r="C1313" s="15" t="str">
        <v>Kevin Yakob</v>
      </c>
      <c r="D1313" s="15">
        <v>25</v>
      </c>
      <c r="E1313" s="15" t="str">
        <v>Iraq</v>
      </c>
      <c r="F1313" s="15" t="str">
        <v>CAM</v>
      </c>
      <c r="G1313" s="15" t="str">
        <v>AGF</v>
      </c>
      <c r="H1313" s="15">
        <v>19</v>
      </c>
      <c r="I1313" s="15" t="str">
        <f t="shared" si="109"/>
        <v>876|Kevin Yakob|25|Iraq|CAM|AGF|19</v>
      </c>
      <c r="J1313" s="15" t="str">
        <f>IF(COUNTIF(I$438:I1313,I1313)&gt;1,"DOUBLON","OK")</f>
        <v>OK</v>
      </c>
      <c r="S1313" s="12" t="str">
        <v>Switzerland</v>
      </c>
      <c r="T1313" s="12" t="str">
        <f t="shared" ref="T1313:T1376" si="110">IF(COUNTIF(R$13:R$250,S1313)=1,"OK","ERREUR")</f>
        <v>OK</v>
      </c>
      <c r="U1313" s="12" t="str">
        <f t="shared" si="107"/>
        <v>-</v>
      </c>
      <c r="V1313" s="12" t="str" cm="1">
        <f t="array" ref="V1313">_xlfn.IFS(
ISNUMBER(SEARCH("USA",S1313)),"United States",
ISNUMBER(SEARCH("Republic of Ireland",S1313)),"Ireland",
ISNUMBER(SEARCH("Republic of Korea",S1313)),"South Korea",
ISNUMBER(SEARCH("Cape Verde",S1313)),"Cabo Verde",
ISNUMBER(SEARCH("Czechia",S1313)),"Czech Republic",
ISNUMBER(SEARCH("Türkiye",S1313)),"Turkey",
ISNUMBER(SEARCH("Ivory Coast",S1313)),"Côte d'Ivoire",
ISNUMBER(SEARCH("Korea Republic",S1313)),"South Korea",
ISNUMBER(SEARCH("Germany FR",S1313)),"FR Germany",
ISNUMBER(SEARCH("West Germany",S1313)),"FR Germany",
ISNUMBER(SEARCH("Germany DR",S1313)),"DR Germany",
ISNUMBER(SEARCH("Korea DPR",S1313)),"North Korea",
ISNUMBER(SEARCH("China PR",S1313)),"China",
ISNUMBER(SEARCH("IR Iran",S1313)),"Iran",
ISNUMBER(SEARCH("Congo DR",S1313)),"Democratic Republic of the Congo",
ISNUMBER(SEARCH("DR Congo",S1313)),"Democratic Republic of the Congo",
ISNUMBER(SEARCH("German DR",S1313)),"DR Germany",
ISNUMBER(SEARCH("rn""&gt;United Arab Emirates",S1313)),"United Arab Emirates",
ISNUMBER(SEARCH("rn""&gt;Republic of Ireland",S1313)),"Ireland",
ISNUMBER(SEARCH("rn""&gt;Bosnia and Herzegovina",S1313)),"Bosnia and Herzegovina",
ISNUMBER(SEARCH("rn""&gt;Trinidad and Tobago",S1313)),"Trinidad and Tobago",
ISNUMBER(SEARCH("rn""&gt;Serbia and Montenegro",S1313)),"Serbia and Montenegro",
ISNUMBER(SEARCH(_xlfn.UNICHAR(65533),S1313)),"Côte d'Ivoire",
TRUE,""
)</f>
        <v/>
      </c>
      <c r="W1313" s="12" t="str">
        <f t="shared" si="108"/>
        <v>Switzerland</v>
      </c>
    </row>
    <row r="1314" spans="2:23">
      <c r="B1314" s="75">
        <v>877</v>
      </c>
      <c r="C1314" s="15" t="str">
        <v>Youssef Amyn</v>
      </c>
      <c r="D1314" s="15">
        <v>22</v>
      </c>
      <c r="E1314" s="15" t="str">
        <v>Iraq</v>
      </c>
      <c r="F1314" s="15" t="str">
        <v>LW</v>
      </c>
      <c r="G1314" s="15" t="str">
        <v>AEK Larnaca</v>
      </c>
      <c r="H1314" s="15">
        <v>7</v>
      </c>
      <c r="I1314" s="15" t="str">
        <f t="shared" si="109"/>
        <v>877|Youssef Amyn|22|Iraq|LW|AEK Larnaca|7</v>
      </c>
      <c r="J1314" s="15" t="str">
        <f>IF(COUNTIF(I$438:I1314,I1314)&gt;1,"DOUBLON","OK")</f>
        <v>OK</v>
      </c>
      <c r="S1314" s="12" t="str">
        <v>Switzerland</v>
      </c>
      <c r="T1314" s="12" t="str">
        <f t="shared" si="110"/>
        <v>OK</v>
      </c>
      <c r="U1314" s="12" t="str">
        <f t="shared" ref="U1314:U1377" si="111">IF(OR(S1314="Scotland",S1314="England",S1314="Wales",S1314="Yugoslavia",S1314="Czechoslovakia",S1314="Northern Ireland",S1314="Soviet Union",S1314="Zaire",S1314="Dutch East Indies"),"AUCUNE",IF(OR(S1314="Cape Verde",S1314="USA",S1314="DR Congo",S1314="Republic of Korea",S1314="Germany FR",S1314="Germany DR",S1314="Czechia",S1314="Ivory Coast",S1314="Korea DPR",S1314="China PR",S1314="IR Iran",S1314="Türkiye",S1314="Congo DR",S1314="German DR",S1314="West Germany",S1314="Republic of Ireland",ISNUMBER(SEARCH("rn""&gt;United Arab Emirates",S1314)),ISNUMBER(SEARCH("rn""&gt;Republic of Ireland",S1314)),ISNUMBER(SEARCH("rn""&gt;Bosnia and Herzegovina",S1314)),ISNUMBER(SEARCH("rn""&gt;Trinidad and Tobago",S1314)),ISNUMBER(SEARCH("rn""&gt;Serbia and Montenegro",S1314)),ISNUMBER(SEARCH(_xlfn.UNICHAR(65533),S1314))),"RENOMMER","-"))</f>
        <v>-</v>
      </c>
      <c r="V1314" s="12" t="str" cm="1">
        <f t="array" ref="V1314">_xlfn.IFS(
ISNUMBER(SEARCH("USA",S1314)),"United States",
ISNUMBER(SEARCH("Republic of Ireland",S1314)),"Ireland",
ISNUMBER(SEARCH("Republic of Korea",S1314)),"South Korea",
ISNUMBER(SEARCH("Cape Verde",S1314)),"Cabo Verde",
ISNUMBER(SEARCH("Czechia",S1314)),"Czech Republic",
ISNUMBER(SEARCH("Türkiye",S1314)),"Turkey",
ISNUMBER(SEARCH("Ivory Coast",S1314)),"Côte d'Ivoire",
ISNUMBER(SEARCH("Korea Republic",S1314)),"South Korea",
ISNUMBER(SEARCH("Germany FR",S1314)),"FR Germany",
ISNUMBER(SEARCH("West Germany",S1314)),"FR Germany",
ISNUMBER(SEARCH("Germany DR",S1314)),"DR Germany",
ISNUMBER(SEARCH("Korea DPR",S1314)),"North Korea",
ISNUMBER(SEARCH("China PR",S1314)),"China",
ISNUMBER(SEARCH("IR Iran",S1314)),"Iran",
ISNUMBER(SEARCH("Congo DR",S1314)),"Democratic Republic of the Congo",
ISNUMBER(SEARCH("DR Congo",S1314)),"Democratic Republic of the Congo",
ISNUMBER(SEARCH("German DR",S1314)),"DR Germany",
ISNUMBER(SEARCH("rn""&gt;United Arab Emirates",S1314)),"United Arab Emirates",
ISNUMBER(SEARCH("rn""&gt;Republic of Ireland",S1314)),"Ireland",
ISNUMBER(SEARCH("rn""&gt;Bosnia and Herzegovina",S1314)),"Bosnia and Herzegovina",
ISNUMBER(SEARCH("rn""&gt;Trinidad and Tobago",S1314)),"Trinidad and Tobago",
ISNUMBER(SEARCH("rn""&gt;Serbia and Montenegro",S1314)),"Serbia and Montenegro",
ISNUMBER(SEARCH(_xlfn.UNICHAR(65533),S1314)),"Côte d'Ivoire",
TRUE,""
)</f>
        <v/>
      </c>
      <c r="W1314" s="12" t="str">
        <f t="shared" ref="W1314:W1377" si="112">IF(V1314="",S1314,V1314)</f>
        <v>Switzerland</v>
      </c>
    </row>
    <row r="1315" spans="2:23">
      <c r="B1315" s="75">
        <v>878</v>
      </c>
      <c r="C1315" s="15" t="str">
        <v>Ali Jasim</v>
      </c>
      <c r="D1315" s="15">
        <v>22</v>
      </c>
      <c r="E1315" s="15" t="str">
        <v>Iraq</v>
      </c>
      <c r="F1315" s="15" t="str">
        <v>LW</v>
      </c>
      <c r="G1315" s="15" t="str">
        <v>Al-Najma</v>
      </c>
      <c r="H1315" s="15">
        <v>17</v>
      </c>
      <c r="I1315" s="15" t="str">
        <f t="shared" si="109"/>
        <v>878|Ali Jasim|22|Iraq|LW|Al-Najma|17</v>
      </c>
      <c r="J1315" s="15" t="str">
        <f>IF(COUNTIF(I$438:I1315,I1315)&gt;1,"DOUBLON","OK")</f>
        <v>OK</v>
      </c>
      <c r="S1315" s="12" t="str">
        <v>Switzerland</v>
      </c>
      <c r="T1315" s="12" t="str">
        <f t="shared" si="110"/>
        <v>OK</v>
      </c>
      <c r="U1315" s="12" t="str">
        <f t="shared" si="111"/>
        <v>-</v>
      </c>
      <c r="V1315" s="12" t="str" cm="1">
        <f t="array" ref="V1315">_xlfn.IFS(
ISNUMBER(SEARCH("USA",S1315)),"United States",
ISNUMBER(SEARCH("Republic of Ireland",S1315)),"Ireland",
ISNUMBER(SEARCH("Republic of Korea",S1315)),"South Korea",
ISNUMBER(SEARCH("Cape Verde",S1315)),"Cabo Verde",
ISNUMBER(SEARCH("Czechia",S1315)),"Czech Republic",
ISNUMBER(SEARCH("Türkiye",S1315)),"Turkey",
ISNUMBER(SEARCH("Ivory Coast",S1315)),"Côte d'Ivoire",
ISNUMBER(SEARCH("Korea Republic",S1315)),"South Korea",
ISNUMBER(SEARCH("Germany FR",S1315)),"FR Germany",
ISNUMBER(SEARCH("West Germany",S1315)),"FR Germany",
ISNUMBER(SEARCH("Germany DR",S1315)),"DR Germany",
ISNUMBER(SEARCH("Korea DPR",S1315)),"North Korea",
ISNUMBER(SEARCH("China PR",S1315)),"China",
ISNUMBER(SEARCH("IR Iran",S1315)),"Iran",
ISNUMBER(SEARCH("Congo DR",S1315)),"Democratic Republic of the Congo",
ISNUMBER(SEARCH("DR Congo",S1315)),"Democratic Republic of the Congo",
ISNUMBER(SEARCH("German DR",S1315)),"DR Germany",
ISNUMBER(SEARCH("rn""&gt;United Arab Emirates",S1315)),"United Arab Emirates",
ISNUMBER(SEARCH("rn""&gt;Republic of Ireland",S1315)),"Ireland",
ISNUMBER(SEARCH("rn""&gt;Bosnia and Herzegovina",S1315)),"Bosnia and Herzegovina",
ISNUMBER(SEARCH("rn""&gt;Trinidad and Tobago",S1315)),"Trinidad and Tobago",
ISNUMBER(SEARCH("rn""&gt;Serbia and Montenegro",S1315)),"Serbia and Montenegro",
ISNUMBER(SEARCH(_xlfn.UNICHAR(65533),S1315)),"Côte d'Ivoire",
TRUE,""
)</f>
        <v/>
      </c>
      <c r="W1315" s="12" t="str">
        <f t="shared" si="112"/>
        <v>Switzerland</v>
      </c>
    </row>
    <row r="1316" spans="2:23">
      <c r="B1316" s="75">
        <v>879</v>
      </c>
      <c r="C1316" s="15" t="str">
        <v>Ahmed Qasem</v>
      </c>
      <c r="D1316" s="15">
        <v>22</v>
      </c>
      <c r="E1316" s="15" t="str">
        <v>Iraq</v>
      </c>
      <c r="F1316" s="15" t="str">
        <v>RW</v>
      </c>
      <c r="G1316" s="15" t="str">
        <v>Nashville SC</v>
      </c>
      <c r="H1316" s="15">
        <v>11</v>
      </c>
      <c r="I1316" s="15" t="str">
        <f t="shared" si="109"/>
        <v>879|Ahmed Qasem|22|Iraq|RW|Nashville SC|11</v>
      </c>
      <c r="J1316" s="15" t="str">
        <f>IF(COUNTIF(I$438:I1316,I1316)&gt;1,"DOUBLON","OK")</f>
        <v>OK</v>
      </c>
      <c r="S1316" s="12" t="str">
        <v>Switzerland</v>
      </c>
      <c r="T1316" s="12" t="str">
        <f t="shared" si="110"/>
        <v>OK</v>
      </c>
      <c r="U1316" s="12" t="str">
        <f t="shared" si="111"/>
        <v>-</v>
      </c>
      <c r="V1316" s="12" t="str" cm="1">
        <f t="array" ref="V1316">_xlfn.IFS(
ISNUMBER(SEARCH("USA",S1316)),"United States",
ISNUMBER(SEARCH("Republic of Ireland",S1316)),"Ireland",
ISNUMBER(SEARCH("Republic of Korea",S1316)),"South Korea",
ISNUMBER(SEARCH("Cape Verde",S1316)),"Cabo Verde",
ISNUMBER(SEARCH("Czechia",S1316)),"Czech Republic",
ISNUMBER(SEARCH("Türkiye",S1316)),"Turkey",
ISNUMBER(SEARCH("Ivory Coast",S1316)),"Côte d'Ivoire",
ISNUMBER(SEARCH("Korea Republic",S1316)),"South Korea",
ISNUMBER(SEARCH("Germany FR",S1316)),"FR Germany",
ISNUMBER(SEARCH("West Germany",S1316)),"FR Germany",
ISNUMBER(SEARCH("Germany DR",S1316)),"DR Germany",
ISNUMBER(SEARCH("Korea DPR",S1316)),"North Korea",
ISNUMBER(SEARCH("China PR",S1316)),"China",
ISNUMBER(SEARCH("IR Iran",S1316)),"Iran",
ISNUMBER(SEARCH("Congo DR",S1316)),"Democratic Republic of the Congo",
ISNUMBER(SEARCH("DR Congo",S1316)),"Democratic Republic of the Congo",
ISNUMBER(SEARCH("German DR",S1316)),"DR Germany",
ISNUMBER(SEARCH("rn""&gt;United Arab Emirates",S1316)),"United Arab Emirates",
ISNUMBER(SEARCH("rn""&gt;Republic of Ireland",S1316)),"Ireland",
ISNUMBER(SEARCH("rn""&gt;Bosnia and Herzegovina",S1316)),"Bosnia and Herzegovina",
ISNUMBER(SEARCH("rn""&gt;Trinidad and Tobago",S1316)),"Trinidad and Tobago",
ISNUMBER(SEARCH("rn""&gt;Serbia and Montenegro",S1316)),"Serbia and Montenegro",
ISNUMBER(SEARCH(_xlfn.UNICHAR(65533),S1316)),"Côte d'Ivoire",
TRUE,""
)</f>
        <v/>
      </c>
      <c r="W1316" s="12" t="str">
        <f t="shared" si="112"/>
        <v>Switzerland</v>
      </c>
    </row>
    <row r="1317" spans="2:23">
      <c r="B1317" s="75">
        <v>880</v>
      </c>
      <c r="C1317" s="15" t="str">
        <v>Marko Farji</v>
      </c>
      <c r="D1317" s="15">
        <v>22</v>
      </c>
      <c r="E1317" s="15" t="str">
        <v>Iraq</v>
      </c>
      <c r="F1317" s="15" t="str">
        <v>RW</v>
      </c>
      <c r="G1317" s="15" t="str">
        <v>Venezia</v>
      </c>
      <c r="H1317" s="15">
        <v>21</v>
      </c>
      <c r="I1317" s="15" t="str">
        <f t="shared" si="109"/>
        <v>880|Marko Farji|22|Iraq|RW|Venezia|21</v>
      </c>
      <c r="J1317" s="15" t="str">
        <f>IF(COUNTIF(I$438:I1317,I1317)&gt;1,"DOUBLON","OK")</f>
        <v>OK</v>
      </c>
      <c r="S1317" s="12" t="str">
        <v>Switzerland</v>
      </c>
      <c r="T1317" s="12" t="str">
        <f t="shared" si="110"/>
        <v>OK</v>
      </c>
      <c r="U1317" s="12" t="str">
        <f t="shared" si="111"/>
        <v>-</v>
      </c>
      <c r="V1317" s="12" t="str" cm="1">
        <f t="array" ref="V1317">_xlfn.IFS(
ISNUMBER(SEARCH("USA",S1317)),"United States",
ISNUMBER(SEARCH("Republic of Ireland",S1317)),"Ireland",
ISNUMBER(SEARCH("Republic of Korea",S1317)),"South Korea",
ISNUMBER(SEARCH("Cape Verde",S1317)),"Cabo Verde",
ISNUMBER(SEARCH("Czechia",S1317)),"Czech Republic",
ISNUMBER(SEARCH("Türkiye",S1317)),"Turkey",
ISNUMBER(SEARCH("Ivory Coast",S1317)),"Côte d'Ivoire",
ISNUMBER(SEARCH("Korea Republic",S1317)),"South Korea",
ISNUMBER(SEARCH("Germany FR",S1317)),"FR Germany",
ISNUMBER(SEARCH("West Germany",S1317)),"FR Germany",
ISNUMBER(SEARCH("Germany DR",S1317)),"DR Germany",
ISNUMBER(SEARCH("Korea DPR",S1317)),"North Korea",
ISNUMBER(SEARCH("China PR",S1317)),"China",
ISNUMBER(SEARCH("IR Iran",S1317)),"Iran",
ISNUMBER(SEARCH("Congo DR",S1317)),"Democratic Republic of the Congo",
ISNUMBER(SEARCH("DR Congo",S1317)),"Democratic Republic of the Congo",
ISNUMBER(SEARCH("German DR",S1317)),"DR Germany",
ISNUMBER(SEARCH("rn""&gt;United Arab Emirates",S1317)),"United Arab Emirates",
ISNUMBER(SEARCH("rn""&gt;Republic of Ireland",S1317)),"Ireland",
ISNUMBER(SEARCH("rn""&gt;Bosnia and Herzegovina",S1317)),"Bosnia and Herzegovina",
ISNUMBER(SEARCH("rn""&gt;Trinidad and Tobago",S1317)),"Trinidad and Tobago",
ISNUMBER(SEARCH("rn""&gt;Serbia and Montenegro",S1317)),"Serbia and Montenegro",
ISNUMBER(SEARCH(_xlfn.UNICHAR(65533),S1317)),"Côte d'Ivoire",
TRUE,""
)</f>
        <v/>
      </c>
      <c r="W1317" s="12" t="str">
        <f t="shared" si="112"/>
        <v>Switzerland</v>
      </c>
    </row>
    <row r="1318" spans="2:23">
      <c r="B1318" s="75">
        <v>881</v>
      </c>
      <c r="C1318" s="15" t="str">
        <v>Ali Al-Hamadi</v>
      </c>
      <c r="D1318" s="15">
        <v>24</v>
      </c>
      <c r="E1318" s="15" t="str">
        <v>Iraq</v>
      </c>
      <c r="F1318" s="15" t="str">
        <v>ST</v>
      </c>
      <c r="G1318" s="15" t="str">
        <v>Luton Town</v>
      </c>
      <c r="H1318" s="15">
        <v>9</v>
      </c>
      <c r="I1318" s="15" t="str">
        <f t="shared" si="109"/>
        <v>881|Ali Al-Hamadi|24|Iraq|ST|Luton Town|9</v>
      </c>
      <c r="J1318" s="15" t="str">
        <f>IF(COUNTIF(I$438:I1318,I1318)&gt;1,"DOUBLON","OK")</f>
        <v>OK</v>
      </c>
      <c r="S1318" s="12" t="str">
        <v>Switzerland</v>
      </c>
      <c r="T1318" s="12" t="str">
        <f t="shared" si="110"/>
        <v>OK</v>
      </c>
      <c r="U1318" s="12" t="str">
        <f t="shared" si="111"/>
        <v>-</v>
      </c>
      <c r="V1318" s="12" t="str" cm="1">
        <f t="array" ref="V1318">_xlfn.IFS(
ISNUMBER(SEARCH("USA",S1318)),"United States",
ISNUMBER(SEARCH("Republic of Ireland",S1318)),"Ireland",
ISNUMBER(SEARCH("Republic of Korea",S1318)),"South Korea",
ISNUMBER(SEARCH("Cape Verde",S1318)),"Cabo Verde",
ISNUMBER(SEARCH("Czechia",S1318)),"Czech Republic",
ISNUMBER(SEARCH("Türkiye",S1318)),"Turkey",
ISNUMBER(SEARCH("Ivory Coast",S1318)),"Côte d'Ivoire",
ISNUMBER(SEARCH("Korea Republic",S1318)),"South Korea",
ISNUMBER(SEARCH("Germany FR",S1318)),"FR Germany",
ISNUMBER(SEARCH("West Germany",S1318)),"FR Germany",
ISNUMBER(SEARCH("Germany DR",S1318)),"DR Germany",
ISNUMBER(SEARCH("Korea DPR",S1318)),"North Korea",
ISNUMBER(SEARCH("China PR",S1318)),"China",
ISNUMBER(SEARCH("IR Iran",S1318)),"Iran",
ISNUMBER(SEARCH("Congo DR",S1318)),"Democratic Republic of the Congo",
ISNUMBER(SEARCH("DR Congo",S1318)),"Democratic Republic of the Congo",
ISNUMBER(SEARCH("German DR",S1318)),"DR Germany",
ISNUMBER(SEARCH("rn""&gt;United Arab Emirates",S1318)),"United Arab Emirates",
ISNUMBER(SEARCH("rn""&gt;Republic of Ireland",S1318)),"Ireland",
ISNUMBER(SEARCH("rn""&gt;Bosnia and Herzegovina",S1318)),"Bosnia and Herzegovina",
ISNUMBER(SEARCH("rn""&gt;Trinidad and Tobago",S1318)),"Trinidad and Tobago",
ISNUMBER(SEARCH("rn""&gt;Serbia and Montenegro",S1318)),"Serbia and Montenegro",
ISNUMBER(SEARCH(_xlfn.UNICHAR(65533),S1318)),"Côte d'Ivoire",
TRUE,""
)</f>
        <v/>
      </c>
      <c r="W1318" s="12" t="str">
        <f t="shared" si="112"/>
        <v>Switzerland</v>
      </c>
    </row>
    <row r="1319" spans="2:23">
      <c r="B1319" s="75">
        <v>882</v>
      </c>
      <c r="C1319" s="15" t="str">
        <v>Mohanad Ali</v>
      </c>
      <c r="D1319" s="15">
        <v>25</v>
      </c>
      <c r="E1319" s="15" t="str">
        <v>Iraq</v>
      </c>
      <c r="F1319" s="15" t="str">
        <v>ST</v>
      </c>
      <c r="G1319" s="15" t="str">
        <v>Dibba</v>
      </c>
      <c r="H1319" s="15">
        <v>10</v>
      </c>
      <c r="I1319" s="15" t="str">
        <f t="shared" si="109"/>
        <v>882|Mohanad Ali|25|Iraq|ST|Dibba|10</v>
      </c>
      <c r="J1319" s="15" t="str">
        <f>IF(COUNTIF(I$438:I1319,I1319)&gt;1,"DOUBLON","OK")</f>
        <v>OK</v>
      </c>
      <c r="S1319" s="12" t="str">
        <v>Switzerland</v>
      </c>
      <c r="T1319" s="12" t="str">
        <f t="shared" si="110"/>
        <v>OK</v>
      </c>
      <c r="U1319" s="12" t="str">
        <f t="shared" si="111"/>
        <v>-</v>
      </c>
      <c r="V1319" s="12" t="str" cm="1">
        <f t="array" ref="V1319">_xlfn.IFS(
ISNUMBER(SEARCH("USA",S1319)),"United States",
ISNUMBER(SEARCH("Republic of Ireland",S1319)),"Ireland",
ISNUMBER(SEARCH("Republic of Korea",S1319)),"South Korea",
ISNUMBER(SEARCH("Cape Verde",S1319)),"Cabo Verde",
ISNUMBER(SEARCH("Czechia",S1319)),"Czech Republic",
ISNUMBER(SEARCH("Türkiye",S1319)),"Turkey",
ISNUMBER(SEARCH("Ivory Coast",S1319)),"Côte d'Ivoire",
ISNUMBER(SEARCH("Korea Republic",S1319)),"South Korea",
ISNUMBER(SEARCH("Germany FR",S1319)),"FR Germany",
ISNUMBER(SEARCH("West Germany",S1319)),"FR Germany",
ISNUMBER(SEARCH("Germany DR",S1319)),"DR Germany",
ISNUMBER(SEARCH("Korea DPR",S1319)),"North Korea",
ISNUMBER(SEARCH("China PR",S1319)),"China",
ISNUMBER(SEARCH("IR Iran",S1319)),"Iran",
ISNUMBER(SEARCH("Congo DR",S1319)),"Democratic Republic of the Congo",
ISNUMBER(SEARCH("DR Congo",S1319)),"Democratic Republic of the Congo",
ISNUMBER(SEARCH("German DR",S1319)),"DR Germany",
ISNUMBER(SEARCH("rn""&gt;United Arab Emirates",S1319)),"United Arab Emirates",
ISNUMBER(SEARCH("rn""&gt;Republic of Ireland",S1319)),"Ireland",
ISNUMBER(SEARCH("rn""&gt;Bosnia and Herzegovina",S1319)),"Bosnia and Herzegovina",
ISNUMBER(SEARCH("rn""&gt;Trinidad and Tobago",S1319)),"Trinidad and Tobago",
ISNUMBER(SEARCH("rn""&gt;Serbia and Montenegro",S1319)),"Serbia and Montenegro",
ISNUMBER(SEARCH(_xlfn.UNICHAR(65533),S1319)),"Côte d'Ivoire",
TRUE,""
)</f>
        <v/>
      </c>
      <c r="W1319" s="12" t="str">
        <f t="shared" si="112"/>
        <v>Switzerland</v>
      </c>
    </row>
    <row r="1320" spans="2:23">
      <c r="B1320" s="75">
        <v>883</v>
      </c>
      <c r="C1320" s="15" t="str">
        <v>Ali Yousif</v>
      </c>
      <c r="D1320" s="15">
        <v>30</v>
      </c>
      <c r="E1320" s="15" t="str">
        <v>Iraq</v>
      </c>
      <c r="F1320" s="15" t="str">
        <v>ST</v>
      </c>
      <c r="G1320" s="15" t="str">
        <v>Al-Talaba</v>
      </c>
      <c r="H1320" s="15">
        <v>13</v>
      </c>
      <c r="I1320" s="15" t="str">
        <f t="shared" si="109"/>
        <v>883|Ali Yousif|30|Iraq|ST|Al-Talaba|13</v>
      </c>
      <c r="J1320" s="15" t="str">
        <f>IF(COUNTIF(I$438:I1320,I1320)&gt;1,"DOUBLON","OK")</f>
        <v>OK</v>
      </c>
      <c r="S1320" s="12" t="str">
        <v>Switzerland</v>
      </c>
      <c r="T1320" s="12" t="str">
        <f t="shared" si="110"/>
        <v>OK</v>
      </c>
      <c r="U1320" s="12" t="str">
        <f t="shared" si="111"/>
        <v>-</v>
      </c>
      <c r="V1320" s="12" t="str" cm="1">
        <f t="array" ref="V1320">_xlfn.IFS(
ISNUMBER(SEARCH("USA",S1320)),"United States",
ISNUMBER(SEARCH("Republic of Ireland",S1320)),"Ireland",
ISNUMBER(SEARCH("Republic of Korea",S1320)),"South Korea",
ISNUMBER(SEARCH("Cape Verde",S1320)),"Cabo Verde",
ISNUMBER(SEARCH("Czechia",S1320)),"Czech Republic",
ISNUMBER(SEARCH("Türkiye",S1320)),"Turkey",
ISNUMBER(SEARCH("Ivory Coast",S1320)),"Côte d'Ivoire",
ISNUMBER(SEARCH("Korea Republic",S1320)),"South Korea",
ISNUMBER(SEARCH("Germany FR",S1320)),"FR Germany",
ISNUMBER(SEARCH("West Germany",S1320)),"FR Germany",
ISNUMBER(SEARCH("Germany DR",S1320)),"DR Germany",
ISNUMBER(SEARCH("Korea DPR",S1320)),"North Korea",
ISNUMBER(SEARCH("China PR",S1320)),"China",
ISNUMBER(SEARCH("IR Iran",S1320)),"Iran",
ISNUMBER(SEARCH("Congo DR",S1320)),"Democratic Republic of the Congo",
ISNUMBER(SEARCH("DR Congo",S1320)),"Democratic Republic of the Congo",
ISNUMBER(SEARCH("German DR",S1320)),"DR Germany",
ISNUMBER(SEARCH("rn""&gt;United Arab Emirates",S1320)),"United Arab Emirates",
ISNUMBER(SEARCH("rn""&gt;Republic of Ireland",S1320)),"Ireland",
ISNUMBER(SEARCH("rn""&gt;Bosnia and Herzegovina",S1320)),"Bosnia and Herzegovina",
ISNUMBER(SEARCH("rn""&gt;Trinidad and Tobago",S1320)),"Trinidad and Tobago",
ISNUMBER(SEARCH("rn""&gt;Serbia and Montenegro",S1320)),"Serbia and Montenegro",
ISNUMBER(SEARCH(_xlfn.UNICHAR(65533),S1320)),"Côte d'Ivoire",
TRUE,""
)</f>
        <v/>
      </c>
      <c r="W1320" s="12" t="str">
        <f t="shared" si="112"/>
        <v>Switzerland</v>
      </c>
    </row>
    <row r="1321" spans="2:23">
      <c r="B1321" s="75">
        <v>884</v>
      </c>
      <c r="C1321" s="15" t="str">
        <v>Aymen Hussein</v>
      </c>
      <c r="D1321" s="15">
        <v>30</v>
      </c>
      <c r="E1321" s="15" t="str">
        <v>Iraq</v>
      </c>
      <c r="F1321" s="15" t="str">
        <v>ST</v>
      </c>
      <c r="G1321" s="15" t="str">
        <v>Al-Karma</v>
      </c>
      <c r="H1321" s="15">
        <v>18</v>
      </c>
      <c r="I1321" s="15" t="str">
        <f t="shared" si="109"/>
        <v>884|Aymen Hussein|30|Iraq|ST|Al-Karma|18</v>
      </c>
      <c r="J1321" s="15" t="str">
        <f>IF(COUNTIF(I$438:I1321,I1321)&gt;1,"DOUBLON","OK")</f>
        <v>OK</v>
      </c>
      <c r="S1321" s="12" t="str">
        <v>Switzerland</v>
      </c>
      <c r="T1321" s="12" t="str">
        <f t="shared" si="110"/>
        <v>OK</v>
      </c>
      <c r="U1321" s="12" t="str">
        <f t="shared" si="111"/>
        <v>-</v>
      </c>
      <c r="V1321" s="12" t="str" cm="1">
        <f t="array" ref="V1321">_xlfn.IFS(
ISNUMBER(SEARCH("USA",S1321)),"United States",
ISNUMBER(SEARCH("Republic of Ireland",S1321)),"Ireland",
ISNUMBER(SEARCH("Republic of Korea",S1321)),"South Korea",
ISNUMBER(SEARCH("Cape Verde",S1321)),"Cabo Verde",
ISNUMBER(SEARCH("Czechia",S1321)),"Czech Republic",
ISNUMBER(SEARCH("Türkiye",S1321)),"Turkey",
ISNUMBER(SEARCH("Ivory Coast",S1321)),"Côte d'Ivoire",
ISNUMBER(SEARCH("Korea Republic",S1321)),"South Korea",
ISNUMBER(SEARCH("Germany FR",S1321)),"FR Germany",
ISNUMBER(SEARCH("West Germany",S1321)),"FR Germany",
ISNUMBER(SEARCH("Germany DR",S1321)),"DR Germany",
ISNUMBER(SEARCH("Korea DPR",S1321)),"North Korea",
ISNUMBER(SEARCH("China PR",S1321)),"China",
ISNUMBER(SEARCH("IR Iran",S1321)),"Iran",
ISNUMBER(SEARCH("Congo DR",S1321)),"Democratic Republic of the Congo",
ISNUMBER(SEARCH("DR Congo",S1321)),"Democratic Republic of the Congo",
ISNUMBER(SEARCH("German DR",S1321)),"DR Germany",
ISNUMBER(SEARCH("rn""&gt;United Arab Emirates",S1321)),"United Arab Emirates",
ISNUMBER(SEARCH("rn""&gt;Republic of Ireland",S1321)),"Ireland",
ISNUMBER(SEARCH("rn""&gt;Bosnia and Herzegovina",S1321)),"Bosnia and Herzegovina",
ISNUMBER(SEARCH("rn""&gt;Trinidad and Tobago",S1321)),"Trinidad and Tobago",
ISNUMBER(SEARCH("rn""&gt;Serbia and Montenegro",S1321)),"Serbia and Montenegro",
ISNUMBER(SEARCH(_xlfn.UNICHAR(65533),S1321)),"Côte d'Ivoire",
TRUE,""
)</f>
        <v/>
      </c>
      <c r="W1321" s="12" t="str">
        <f t="shared" si="112"/>
        <v>Switzerland</v>
      </c>
    </row>
    <row r="1322" spans="2:23">
      <c r="B1322" s="75">
        <v>885</v>
      </c>
      <c r="C1322" s="15" t="str">
        <v>Ørjan Nyland</v>
      </c>
      <c r="D1322" s="15">
        <v>35</v>
      </c>
      <c r="E1322" s="15" t="str">
        <v>Norway</v>
      </c>
      <c r="F1322" s="15" t="str">
        <v>GK</v>
      </c>
      <c r="G1322" s="15" t="str">
        <v>Sevilla</v>
      </c>
      <c r="H1322" s="15">
        <v>1</v>
      </c>
      <c r="I1322" s="15" t="str">
        <f t="shared" si="109"/>
        <v>885|Ørjan Nyland|35|Norway|GK|Sevilla|1</v>
      </c>
      <c r="J1322" s="15" t="str">
        <f>IF(COUNTIF(I$438:I1322,I1322)&gt;1,"DOUBLON","OK")</f>
        <v>OK</v>
      </c>
      <c r="S1322" s="12" t="str">
        <v>Switzerland</v>
      </c>
      <c r="T1322" s="12" t="str">
        <f t="shared" si="110"/>
        <v>OK</v>
      </c>
      <c r="U1322" s="12" t="str">
        <f t="shared" si="111"/>
        <v>-</v>
      </c>
      <c r="V1322" s="12" t="str" cm="1">
        <f t="array" ref="V1322">_xlfn.IFS(
ISNUMBER(SEARCH("USA",S1322)),"United States",
ISNUMBER(SEARCH("Republic of Ireland",S1322)),"Ireland",
ISNUMBER(SEARCH("Republic of Korea",S1322)),"South Korea",
ISNUMBER(SEARCH("Cape Verde",S1322)),"Cabo Verde",
ISNUMBER(SEARCH("Czechia",S1322)),"Czech Republic",
ISNUMBER(SEARCH("Türkiye",S1322)),"Turkey",
ISNUMBER(SEARCH("Ivory Coast",S1322)),"Côte d'Ivoire",
ISNUMBER(SEARCH("Korea Republic",S1322)),"South Korea",
ISNUMBER(SEARCH("Germany FR",S1322)),"FR Germany",
ISNUMBER(SEARCH("West Germany",S1322)),"FR Germany",
ISNUMBER(SEARCH("Germany DR",S1322)),"DR Germany",
ISNUMBER(SEARCH("Korea DPR",S1322)),"North Korea",
ISNUMBER(SEARCH("China PR",S1322)),"China",
ISNUMBER(SEARCH("IR Iran",S1322)),"Iran",
ISNUMBER(SEARCH("Congo DR",S1322)),"Democratic Republic of the Congo",
ISNUMBER(SEARCH("DR Congo",S1322)),"Democratic Republic of the Congo",
ISNUMBER(SEARCH("German DR",S1322)),"DR Germany",
ISNUMBER(SEARCH("rn""&gt;United Arab Emirates",S1322)),"United Arab Emirates",
ISNUMBER(SEARCH("rn""&gt;Republic of Ireland",S1322)),"Ireland",
ISNUMBER(SEARCH("rn""&gt;Bosnia and Herzegovina",S1322)),"Bosnia and Herzegovina",
ISNUMBER(SEARCH("rn""&gt;Trinidad and Tobago",S1322)),"Trinidad and Tobago",
ISNUMBER(SEARCH("rn""&gt;Serbia and Montenegro",S1322)),"Serbia and Montenegro",
ISNUMBER(SEARCH(_xlfn.UNICHAR(65533),S1322)),"Côte d'Ivoire",
TRUE,""
)</f>
        <v/>
      </c>
      <c r="W1322" s="12" t="str">
        <f t="shared" si="112"/>
        <v>Switzerland</v>
      </c>
    </row>
    <row r="1323" spans="2:23">
      <c r="B1323" s="75">
        <v>886</v>
      </c>
      <c r="C1323" s="15" t="str">
        <v>Sander Tangvik</v>
      </c>
      <c r="D1323" s="15">
        <v>23</v>
      </c>
      <c r="E1323" s="15" t="str">
        <v>Norway</v>
      </c>
      <c r="F1323" s="15" t="str">
        <v>GK</v>
      </c>
      <c r="G1323" s="15" t="str">
        <v>Hamburger SV</v>
      </c>
      <c r="H1323" s="15">
        <v>12</v>
      </c>
      <c r="I1323" s="15" t="str">
        <f t="shared" si="109"/>
        <v>886|Sander Tangvik|23|Norway|GK|Hamburger SV|12</v>
      </c>
      <c r="J1323" s="15" t="str">
        <f>IF(COUNTIF(I$438:I1323,I1323)&gt;1,"DOUBLON","OK")</f>
        <v>OK</v>
      </c>
      <c r="S1323" s="12" t="str">
        <v>Switzerland</v>
      </c>
      <c r="T1323" s="12" t="str">
        <f t="shared" si="110"/>
        <v>OK</v>
      </c>
      <c r="U1323" s="12" t="str">
        <f t="shared" si="111"/>
        <v>-</v>
      </c>
      <c r="V1323" s="12" t="str" cm="1">
        <f t="array" ref="V1323">_xlfn.IFS(
ISNUMBER(SEARCH("USA",S1323)),"United States",
ISNUMBER(SEARCH("Republic of Ireland",S1323)),"Ireland",
ISNUMBER(SEARCH("Republic of Korea",S1323)),"South Korea",
ISNUMBER(SEARCH("Cape Verde",S1323)),"Cabo Verde",
ISNUMBER(SEARCH("Czechia",S1323)),"Czech Republic",
ISNUMBER(SEARCH("Türkiye",S1323)),"Turkey",
ISNUMBER(SEARCH("Ivory Coast",S1323)),"Côte d'Ivoire",
ISNUMBER(SEARCH("Korea Republic",S1323)),"South Korea",
ISNUMBER(SEARCH("Germany FR",S1323)),"FR Germany",
ISNUMBER(SEARCH("West Germany",S1323)),"FR Germany",
ISNUMBER(SEARCH("Germany DR",S1323)),"DR Germany",
ISNUMBER(SEARCH("Korea DPR",S1323)),"North Korea",
ISNUMBER(SEARCH("China PR",S1323)),"China",
ISNUMBER(SEARCH("IR Iran",S1323)),"Iran",
ISNUMBER(SEARCH("Congo DR",S1323)),"Democratic Republic of the Congo",
ISNUMBER(SEARCH("DR Congo",S1323)),"Democratic Republic of the Congo",
ISNUMBER(SEARCH("German DR",S1323)),"DR Germany",
ISNUMBER(SEARCH("rn""&gt;United Arab Emirates",S1323)),"United Arab Emirates",
ISNUMBER(SEARCH("rn""&gt;Republic of Ireland",S1323)),"Ireland",
ISNUMBER(SEARCH("rn""&gt;Bosnia and Herzegovina",S1323)),"Bosnia and Herzegovina",
ISNUMBER(SEARCH("rn""&gt;Trinidad and Tobago",S1323)),"Trinidad and Tobago",
ISNUMBER(SEARCH("rn""&gt;Serbia and Montenegro",S1323)),"Serbia and Montenegro",
ISNUMBER(SEARCH(_xlfn.UNICHAR(65533),S1323)),"Côte d'Ivoire",
TRUE,""
)</f>
        <v/>
      </c>
      <c r="W1323" s="12" t="str">
        <f t="shared" si="112"/>
        <v>Switzerland</v>
      </c>
    </row>
    <row r="1324" spans="2:23">
      <c r="B1324" s="75">
        <v>887</v>
      </c>
      <c r="C1324" s="15" t="str">
        <v>Egil Selvik</v>
      </c>
      <c r="D1324" s="15">
        <v>28</v>
      </c>
      <c r="E1324" s="15" t="str">
        <v>Norway</v>
      </c>
      <c r="F1324" s="15" t="str">
        <v>GK</v>
      </c>
      <c r="G1324" s="15" t="str">
        <v>Watford</v>
      </c>
      <c r="H1324" s="15">
        <v>13</v>
      </c>
      <c r="I1324" s="15" t="str">
        <f t="shared" si="109"/>
        <v>887|Egil Selvik|28|Norway|GK|Watford|13</v>
      </c>
      <c r="J1324" s="15" t="str">
        <f>IF(COUNTIF(I$438:I1324,I1324)&gt;1,"DOUBLON","OK")</f>
        <v>OK</v>
      </c>
      <c r="S1324" s="12" t="str">
        <v>Switzerland</v>
      </c>
      <c r="T1324" s="12" t="str">
        <f t="shared" si="110"/>
        <v>OK</v>
      </c>
      <c r="U1324" s="12" t="str">
        <f t="shared" si="111"/>
        <v>-</v>
      </c>
      <c r="V1324" s="12" t="str" cm="1">
        <f t="array" ref="V1324">_xlfn.IFS(
ISNUMBER(SEARCH("USA",S1324)),"United States",
ISNUMBER(SEARCH("Republic of Ireland",S1324)),"Ireland",
ISNUMBER(SEARCH("Republic of Korea",S1324)),"South Korea",
ISNUMBER(SEARCH("Cape Verde",S1324)),"Cabo Verde",
ISNUMBER(SEARCH("Czechia",S1324)),"Czech Republic",
ISNUMBER(SEARCH("Türkiye",S1324)),"Turkey",
ISNUMBER(SEARCH("Ivory Coast",S1324)),"Côte d'Ivoire",
ISNUMBER(SEARCH("Korea Republic",S1324)),"South Korea",
ISNUMBER(SEARCH("Germany FR",S1324)),"FR Germany",
ISNUMBER(SEARCH("West Germany",S1324)),"FR Germany",
ISNUMBER(SEARCH("Germany DR",S1324)),"DR Germany",
ISNUMBER(SEARCH("Korea DPR",S1324)),"North Korea",
ISNUMBER(SEARCH("China PR",S1324)),"China",
ISNUMBER(SEARCH("IR Iran",S1324)),"Iran",
ISNUMBER(SEARCH("Congo DR",S1324)),"Democratic Republic of the Congo",
ISNUMBER(SEARCH("DR Congo",S1324)),"Democratic Republic of the Congo",
ISNUMBER(SEARCH("German DR",S1324)),"DR Germany",
ISNUMBER(SEARCH("rn""&gt;United Arab Emirates",S1324)),"United Arab Emirates",
ISNUMBER(SEARCH("rn""&gt;Republic of Ireland",S1324)),"Ireland",
ISNUMBER(SEARCH("rn""&gt;Bosnia and Herzegovina",S1324)),"Bosnia and Herzegovina",
ISNUMBER(SEARCH("rn""&gt;Trinidad and Tobago",S1324)),"Trinidad and Tobago",
ISNUMBER(SEARCH("rn""&gt;Serbia and Montenegro",S1324)),"Serbia and Montenegro",
ISNUMBER(SEARCH(_xlfn.UNICHAR(65533),S1324)),"Côte d'Ivoire",
TRUE,""
)</f>
        <v/>
      </c>
      <c r="W1324" s="12" t="str">
        <f t="shared" si="112"/>
        <v>Switzerland</v>
      </c>
    </row>
    <row r="1325" spans="2:23">
      <c r="B1325" s="75">
        <v>888</v>
      </c>
      <c r="C1325" s="15" t="str">
        <v>Kristoffer Ajer</v>
      </c>
      <c r="D1325" s="15">
        <v>28</v>
      </c>
      <c r="E1325" s="15" t="str">
        <v>Norway</v>
      </c>
      <c r="F1325" s="15" t="str">
        <v>CB</v>
      </c>
      <c r="G1325" s="15" t="str">
        <v>Brentford</v>
      </c>
      <c r="H1325" s="15">
        <v>3</v>
      </c>
      <c r="I1325" s="15" t="str">
        <f t="shared" si="109"/>
        <v>888|Kristoffer Ajer|28|Norway|CB|Brentford|3</v>
      </c>
      <c r="J1325" s="15" t="str">
        <f>IF(COUNTIF(I$438:I1325,I1325)&gt;1,"DOUBLON","OK")</f>
        <v>OK</v>
      </c>
      <c r="S1325" s="12" t="str">
        <v>Switzerland</v>
      </c>
      <c r="T1325" s="12" t="str">
        <f t="shared" si="110"/>
        <v>OK</v>
      </c>
      <c r="U1325" s="12" t="str">
        <f t="shared" si="111"/>
        <v>-</v>
      </c>
      <c r="V1325" s="12" t="str" cm="1">
        <f t="array" ref="V1325">_xlfn.IFS(
ISNUMBER(SEARCH("USA",S1325)),"United States",
ISNUMBER(SEARCH("Republic of Ireland",S1325)),"Ireland",
ISNUMBER(SEARCH("Republic of Korea",S1325)),"South Korea",
ISNUMBER(SEARCH("Cape Verde",S1325)),"Cabo Verde",
ISNUMBER(SEARCH("Czechia",S1325)),"Czech Republic",
ISNUMBER(SEARCH("Türkiye",S1325)),"Turkey",
ISNUMBER(SEARCH("Ivory Coast",S1325)),"Côte d'Ivoire",
ISNUMBER(SEARCH("Korea Republic",S1325)),"South Korea",
ISNUMBER(SEARCH("Germany FR",S1325)),"FR Germany",
ISNUMBER(SEARCH("West Germany",S1325)),"FR Germany",
ISNUMBER(SEARCH("Germany DR",S1325)),"DR Germany",
ISNUMBER(SEARCH("Korea DPR",S1325)),"North Korea",
ISNUMBER(SEARCH("China PR",S1325)),"China",
ISNUMBER(SEARCH("IR Iran",S1325)),"Iran",
ISNUMBER(SEARCH("Congo DR",S1325)),"Democratic Republic of the Congo",
ISNUMBER(SEARCH("DR Congo",S1325)),"Democratic Republic of the Congo",
ISNUMBER(SEARCH("German DR",S1325)),"DR Germany",
ISNUMBER(SEARCH("rn""&gt;United Arab Emirates",S1325)),"United Arab Emirates",
ISNUMBER(SEARCH("rn""&gt;Republic of Ireland",S1325)),"Ireland",
ISNUMBER(SEARCH("rn""&gt;Bosnia and Herzegovina",S1325)),"Bosnia and Herzegovina",
ISNUMBER(SEARCH("rn""&gt;Trinidad and Tobago",S1325)),"Trinidad and Tobago",
ISNUMBER(SEARCH("rn""&gt;Serbia and Montenegro",S1325)),"Serbia and Montenegro",
ISNUMBER(SEARCH(_xlfn.UNICHAR(65533),S1325)),"Côte d'Ivoire",
TRUE,""
)</f>
        <v/>
      </c>
      <c r="W1325" s="12" t="str">
        <f t="shared" si="112"/>
        <v>Switzerland</v>
      </c>
    </row>
    <row r="1326" spans="2:23">
      <c r="B1326" s="75">
        <v>889</v>
      </c>
      <c r="C1326" s="15" t="str">
        <v>Leo Østigård</v>
      </c>
      <c r="D1326" s="15">
        <v>26</v>
      </c>
      <c r="E1326" s="15" t="str">
        <v>Norway</v>
      </c>
      <c r="F1326" s="15" t="str">
        <v>CB</v>
      </c>
      <c r="G1326" s="15" t="str">
        <v>Genoa</v>
      </c>
      <c r="H1326" s="15">
        <v>4</v>
      </c>
      <c r="I1326" s="15" t="str">
        <f t="shared" si="109"/>
        <v>889|Leo Østigård|26|Norway|CB|Genoa|4</v>
      </c>
      <c r="J1326" s="15" t="str">
        <f>IF(COUNTIF(I$438:I1326,I1326)&gt;1,"DOUBLON","OK")</f>
        <v>OK</v>
      </c>
      <c r="S1326" s="12" t="str">
        <v>Switzerland</v>
      </c>
      <c r="T1326" s="12" t="str">
        <f t="shared" si="110"/>
        <v>OK</v>
      </c>
      <c r="U1326" s="12" t="str">
        <f t="shared" si="111"/>
        <v>-</v>
      </c>
      <c r="V1326" s="12" t="str" cm="1">
        <f t="array" ref="V1326">_xlfn.IFS(
ISNUMBER(SEARCH("USA",S1326)),"United States",
ISNUMBER(SEARCH("Republic of Ireland",S1326)),"Ireland",
ISNUMBER(SEARCH("Republic of Korea",S1326)),"South Korea",
ISNUMBER(SEARCH("Cape Verde",S1326)),"Cabo Verde",
ISNUMBER(SEARCH("Czechia",S1326)),"Czech Republic",
ISNUMBER(SEARCH("Türkiye",S1326)),"Turkey",
ISNUMBER(SEARCH("Ivory Coast",S1326)),"Côte d'Ivoire",
ISNUMBER(SEARCH("Korea Republic",S1326)),"South Korea",
ISNUMBER(SEARCH("Germany FR",S1326)),"FR Germany",
ISNUMBER(SEARCH("West Germany",S1326)),"FR Germany",
ISNUMBER(SEARCH("Germany DR",S1326)),"DR Germany",
ISNUMBER(SEARCH("Korea DPR",S1326)),"North Korea",
ISNUMBER(SEARCH("China PR",S1326)),"China",
ISNUMBER(SEARCH("IR Iran",S1326)),"Iran",
ISNUMBER(SEARCH("Congo DR",S1326)),"Democratic Republic of the Congo",
ISNUMBER(SEARCH("DR Congo",S1326)),"Democratic Republic of the Congo",
ISNUMBER(SEARCH("German DR",S1326)),"DR Germany",
ISNUMBER(SEARCH("rn""&gt;United Arab Emirates",S1326)),"United Arab Emirates",
ISNUMBER(SEARCH("rn""&gt;Republic of Ireland",S1326)),"Ireland",
ISNUMBER(SEARCH("rn""&gt;Bosnia and Herzegovina",S1326)),"Bosnia and Herzegovina",
ISNUMBER(SEARCH("rn""&gt;Trinidad and Tobago",S1326)),"Trinidad and Tobago",
ISNUMBER(SEARCH("rn""&gt;Serbia and Montenegro",S1326)),"Serbia and Montenegro",
ISNUMBER(SEARCH(_xlfn.UNICHAR(65533),S1326)),"Côte d'Ivoire",
TRUE,""
)</f>
        <v/>
      </c>
      <c r="W1326" s="12" t="str">
        <f t="shared" si="112"/>
        <v>Switzerland</v>
      </c>
    </row>
    <row r="1327" spans="2:23">
      <c r="B1327" s="75">
        <v>890</v>
      </c>
      <c r="C1327" s="15" t="str">
        <v>Torbjørn Heggem</v>
      </c>
      <c r="D1327" s="15">
        <v>27</v>
      </c>
      <c r="E1327" s="15" t="str">
        <v>Norway</v>
      </c>
      <c r="F1327" s="15" t="str">
        <v>CB</v>
      </c>
      <c r="G1327" s="15" t="str">
        <v>Bologna</v>
      </c>
      <c r="H1327" s="15">
        <v>17</v>
      </c>
      <c r="I1327" s="15" t="str">
        <f t="shared" si="109"/>
        <v>890|Torbjørn Heggem|27|Norway|CB|Bologna|17</v>
      </c>
      <c r="J1327" s="15" t="str">
        <f>IF(COUNTIF(I$438:I1327,I1327)&gt;1,"DOUBLON","OK")</f>
        <v>OK</v>
      </c>
      <c r="S1327" s="12" t="str">
        <v>Switzerland</v>
      </c>
      <c r="T1327" s="12" t="str">
        <f t="shared" si="110"/>
        <v>OK</v>
      </c>
      <c r="U1327" s="12" t="str">
        <f t="shared" si="111"/>
        <v>-</v>
      </c>
      <c r="V1327" s="12" t="str" cm="1">
        <f t="array" ref="V1327">_xlfn.IFS(
ISNUMBER(SEARCH("USA",S1327)),"United States",
ISNUMBER(SEARCH("Republic of Ireland",S1327)),"Ireland",
ISNUMBER(SEARCH("Republic of Korea",S1327)),"South Korea",
ISNUMBER(SEARCH("Cape Verde",S1327)),"Cabo Verde",
ISNUMBER(SEARCH("Czechia",S1327)),"Czech Republic",
ISNUMBER(SEARCH("Türkiye",S1327)),"Turkey",
ISNUMBER(SEARCH("Ivory Coast",S1327)),"Côte d'Ivoire",
ISNUMBER(SEARCH("Korea Republic",S1327)),"South Korea",
ISNUMBER(SEARCH("Germany FR",S1327)),"FR Germany",
ISNUMBER(SEARCH("West Germany",S1327)),"FR Germany",
ISNUMBER(SEARCH("Germany DR",S1327)),"DR Germany",
ISNUMBER(SEARCH("Korea DPR",S1327)),"North Korea",
ISNUMBER(SEARCH("China PR",S1327)),"China",
ISNUMBER(SEARCH("IR Iran",S1327)),"Iran",
ISNUMBER(SEARCH("Congo DR",S1327)),"Democratic Republic of the Congo",
ISNUMBER(SEARCH("DR Congo",S1327)),"Democratic Republic of the Congo",
ISNUMBER(SEARCH("German DR",S1327)),"DR Germany",
ISNUMBER(SEARCH("rn""&gt;United Arab Emirates",S1327)),"United Arab Emirates",
ISNUMBER(SEARCH("rn""&gt;Republic of Ireland",S1327)),"Ireland",
ISNUMBER(SEARCH("rn""&gt;Bosnia and Herzegovina",S1327)),"Bosnia and Herzegovina",
ISNUMBER(SEARCH("rn""&gt;Trinidad and Tobago",S1327)),"Trinidad and Tobago",
ISNUMBER(SEARCH("rn""&gt;Serbia and Montenegro",S1327)),"Serbia and Montenegro",
ISNUMBER(SEARCH(_xlfn.UNICHAR(65533),S1327)),"Côte d'Ivoire",
TRUE,""
)</f>
        <v/>
      </c>
      <c r="W1327" s="12" t="str">
        <f t="shared" si="112"/>
        <v>Switzerland</v>
      </c>
    </row>
    <row r="1328" spans="2:23">
      <c r="B1328" s="75">
        <v>891</v>
      </c>
      <c r="C1328" s="15" t="str">
        <v>Sondre Langås</v>
      </c>
      <c r="D1328" s="15">
        <v>25</v>
      </c>
      <c r="E1328" s="15" t="str">
        <v>Norway</v>
      </c>
      <c r="F1328" s="15" t="str">
        <v>CB</v>
      </c>
      <c r="G1328" s="15" t="str">
        <v>Derby County</v>
      </c>
      <c r="H1328" s="15">
        <v>24</v>
      </c>
      <c r="I1328" s="15" t="str">
        <f t="shared" si="109"/>
        <v>891|Sondre Langås|25|Norway|CB|Derby County|24</v>
      </c>
      <c r="J1328" s="15" t="str">
        <f>IF(COUNTIF(I$438:I1328,I1328)&gt;1,"DOUBLON","OK")</f>
        <v>OK</v>
      </c>
      <c r="S1328" s="12" t="str">
        <v>Switzerland</v>
      </c>
      <c r="T1328" s="12" t="str">
        <f t="shared" si="110"/>
        <v>OK</v>
      </c>
      <c r="U1328" s="12" t="str">
        <f t="shared" si="111"/>
        <v>-</v>
      </c>
      <c r="V1328" s="12" t="str" cm="1">
        <f t="array" ref="V1328">_xlfn.IFS(
ISNUMBER(SEARCH("USA",S1328)),"United States",
ISNUMBER(SEARCH("Republic of Ireland",S1328)),"Ireland",
ISNUMBER(SEARCH("Republic of Korea",S1328)),"South Korea",
ISNUMBER(SEARCH("Cape Verde",S1328)),"Cabo Verde",
ISNUMBER(SEARCH("Czechia",S1328)),"Czech Republic",
ISNUMBER(SEARCH("Türkiye",S1328)),"Turkey",
ISNUMBER(SEARCH("Ivory Coast",S1328)),"Côte d'Ivoire",
ISNUMBER(SEARCH("Korea Republic",S1328)),"South Korea",
ISNUMBER(SEARCH("Germany FR",S1328)),"FR Germany",
ISNUMBER(SEARCH("West Germany",S1328)),"FR Germany",
ISNUMBER(SEARCH("Germany DR",S1328)),"DR Germany",
ISNUMBER(SEARCH("Korea DPR",S1328)),"North Korea",
ISNUMBER(SEARCH("China PR",S1328)),"China",
ISNUMBER(SEARCH("IR Iran",S1328)),"Iran",
ISNUMBER(SEARCH("Congo DR",S1328)),"Democratic Republic of the Congo",
ISNUMBER(SEARCH("DR Congo",S1328)),"Democratic Republic of the Congo",
ISNUMBER(SEARCH("German DR",S1328)),"DR Germany",
ISNUMBER(SEARCH("rn""&gt;United Arab Emirates",S1328)),"United Arab Emirates",
ISNUMBER(SEARCH("rn""&gt;Republic of Ireland",S1328)),"Ireland",
ISNUMBER(SEARCH("rn""&gt;Bosnia and Herzegovina",S1328)),"Bosnia and Herzegovina",
ISNUMBER(SEARCH("rn""&gt;Trinidad and Tobago",S1328)),"Trinidad and Tobago",
ISNUMBER(SEARCH("rn""&gt;Serbia and Montenegro",S1328)),"Serbia and Montenegro",
ISNUMBER(SEARCH(_xlfn.UNICHAR(65533),S1328)),"Côte d'Ivoire",
TRUE,""
)</f>
        <v/>
      </c>
      <c r="W1328" s="12" t="str">
        <f t="shared" si="112"/>
        <v>Switzerland</v>
      </c>
    </row>
    <row r="1329" spans="2:23">
      <c r="B1329" s="75">
        <v>892</v>
      </c>
      <c r="C1329" s="15" t="str">
        <v>Henrik Falchener</v>
      </c>
      <c r="D1329" s="15">
        <v>23</v>
      </c>
      <c r="E1329" s="15" t="str">
        <v>Norway</v>
      </c>
      <c r="F1329" s="15" t="str">
        <v>CB</v>
      </c>
      <c r="G1329" s="15" t="str">
        <v>Viking</v>
      </c>
      <c r="H1329" s="15">
        <v>25</v>
      </c>
      <c r="I1329" s="15" t="str">
        <f t="shared" si="109"/>
        <v>892|Henrik Falchener|23|Norway|CB|Viking|25</v>
      </c>
      <c r="J1329" s="15" t="str">
        <f>IF(COUNTIF(I$438:I1329,I1329)&gt;1,"DOUBLON","OK")</f>
        <v>OK</v>
      </c>
      <c r="S1329" s="12" t="str">
        <v>Brazil</v>
      </c>
      <c r="T1329" s="12" t="str">
        <f t="shared" si="110"/>
        <v>OK</v>
      </c>
      <c r="U1329" s="12" t="str">
        <f t="shared" si="111"/>
        <v>-</v>
      </c>
      <c r="V1329" s="12" t="str" cm="1">
        <f t="array" ref="V1329">_xlfn.IFS(
ISNUMBER(SEARCH("USA",S1329)),"United States",
ISNUMBER(SEARCH("Republic of Ireland",S1329)),"Ireland",
ISNUMBER(SEARCH("Republic of Korea",S1329)),"South Korea",
ISNUMBER(SEARCH("Cape Verde",S1329)),"Cabo Verde",
ISNUMBER(SEARCH("Czechia",S1329)),"Czech Republic",
ISNUMBER(SEARCH("Türkiye",S1329)),"Turkey",
ISNUMBER(SEARCH("Ivory Coast",S1329)),"Côte d'Ivoire",
ISNUMBER(SEARCH("Korea Republic",S1329)),"South Korea",
ISNUMBER(SEARCH("Germany FR",S1329)),"FR Germany",
ISNUMBER(SEARCH("West Germany",S1329)),"FR Germany",
ISNUMBER(SEARCH("Germany DR",S1329)),"DR Germany",
ISNUMBER(SEARCH("Korea DPR",S1329)),"North Korea",
ISNUMBER(SEARCH("China PR",S1329)),"China",
ISNUMBER(SEARCH("IR Iran",S1329)),"Iran",
ISNUMBER(SEARCH("Congo DR",S1329)),"Democratic Republic of the Congo",
ISNUMBER(SEARCH("DR Congo",S1329)),"Democratic Republic of the Congo",
ISNUMBER(SEARCH("German DR",S1329)),"DR Germany",
ISNUMBER(SEARCH("rn""&gt;United Arab Emirates",S1329)),"United Arab Emirates",
ISNUMBER(SEARCH("rn""&gt;Republic of Ireland",S1329)),"Ireland",
ISNUMBER(SEARCH("rn""&gt;Bosnia and Herzegovina",S1329)),"Bosnia and Herzegovina",
ISNUMBER(SEARCH("rn""&gt;Trinidad and Tobago",S1329)),"Trinidad and Tobago",
ISNUMBER(SEARCH("rn""&gt;Serbia and Montenegro",S1329)),"Serbia and Montenegro",
ISNUMBER(SEARCH(_xlfn.UNICHAR(65533),S1329)),"Côte d'Ivoire",
TRUE,""
)</f>
        <v/>
      </c>
      <c r="W1329" s="12" t="str">
        <f t="shared" si="112"/>
        <v>Brazil</v>
      </c>
    </row>
    <row r="1330" spans="2:23">
      <c r="B1330" s="75">
        <v>893</v>
      </c>
      <c r="C1330" s="15" t="str">
        <v>David Møller Wolfe</v>
      </c>
      <c r="D1330" s="15">
        <v>24</v>
      </c>
      <c r="E1330" s="15" t="str">
        <v>Norway</v>
      </c>
      <c r="F1330" s="15" t="str">
        <v>LB</v>
      </c>
      <c r="G1330" s="15" t="str">
        <v>Wolverhampton Wanderers</v>
      </c>
      <c r="H1330" s="15">
        <v>5</v>
      </c>
      <c r="I1330" s="15" t="str">
        <f t="shared" si="109"/>
        <v>893|David Møller Wolfe|24|Norway|LB|Wolverhampton Wanderers|5</v>
      </c>
      <c r="J1330" s="15" t="str">
        <f>IF(COUNTIF(I$438:I1330,I1330)&gt;1,"DOUBLON","OK")</f>
        <v>OK</v>
      </c>
      <c r="S1330" s="12" t="str">
        <v>Brazil</v>
      </c>
      <c r="T1330" s="12" t="str">
        <f t="shared" si="110"/>
        <v>OK</v>
      </c>
      <c r="U1330" s="12" t="str">
        <f t="shared" si="111"/>
        <v>-</v>
      </c>
      <c r="V1330" s="12" t="str" cm="1">
        <f t="array" ref="V1330">_xlfn.IFS(
ISNUMBER(SEARCH("USA",S1330)),"United States",
ISNUMBER(SEARCH("Republic of Ireland",S1330)),"Ireland",
ISNUMBER(SEARCH("Republic of Korea",S1330)),"South Korea",
ISNUMBER(SEARCH("Cape Verde",S1330)),"Cabo Verde",
ISNUMBER(SEARCH("Czechia",S1330)),"Czech Republic",
ISNUMBER(SEARCH("Türkiye",S1330)),"Turkey",
ISNUMBER(SEARCH("Ivory Coast",S1330)),"Côte d'Ivoire",
ISNUMBER(SEARCH("Korea Republic",S1330)),"South Korea",
ISNUMBER(SEARCH("Germany FR",S1330)),"FR Germany",
ISNUMBER(SEARCH("West Germany",S1330)),"FR Germany",
ISNUMBER(SEARCH("Germany DR",S1330)),"DR Germany",
ISNUMBER(SEARCH("Korea DPR",S1330)),"North Korea",
ISNUMBER(SEARCH("China PR",S1330)),"China",
ISNUMBER(SEARCH("IR Iran",S1330)),"Iran",
ISNUMBER(SEARCH("Congo DR",S1330)),"Democratic Republic of the Congo",
ISNUMBER(SEARCH("DR Congo",S1330)),"Democratic Republic of the Congo",
ISNUMBER(SEARCH("German DR",S1330)),"DR Germany",
ISNUMBER(SEARCH("rn""&gt;United Arab Emirates",S1330)),"United Arab Emirates",
ISNUMBER(SEARCH("rn""&gt;Republic of Ireland",S1330)),"Ireland",
ISNUMBER(SEARCH("rn""&gt;Bosnia and Herzegovina",S1330)),"Bosnia and Herzegovina",
ISNUMBER(SEARCH("rn""&gt;Trinidad and Tobago",S1330)),"Trinidad and Tobago",
ISNUMBER(SEARCH("rn""&gt;Serbia and Montenegro",S1330)),"Serbia and Montenegro",
ISNUMBER(SEARCH(_xlfn.UNICHAR(65533),S1330)),"Côte d'Ivoire",
TRUE,""
)</f>
        <v/>
      </c>
      <c r="W1330" s="12" t="str">
        <f t="shared" si="112"/>
        <v>Brazil</v>
      </c>
    </row>
    <row r="1331" spans="2:23">
      <c r="B1331" s="75">
        <v>894</v>
      </c>
      <c r="C1331" s="15" t="str">
        <v>Fredrik André Bjørkan</v>
      </c>
      <c r="D1331" s="15">
        <v>27</v>
      </c>
      <c r="E1331" s="15" t="str">
        <v>Norway</v>
      </c>
      <c r="F1331" s="15" t="str">
        <v>LB</v>
      </c>
      <c r="G1331" s="15" t="str">
        <v>Bodø/Glimt</v>
      </c>
      <c r="H1331" s="15">
        <v>15</v>
      </c>
      <c r="I1331" s="15" t="str">
        <f t="shared" si="109"/>
        <v>894|Fredrik André Bjørkan|27|Norway|LB|Bodø/Glimt|15</v>
      </c>
      <c r="J1331" s="15" t="str">
        <f>IF(COUNTIF(I$438:I1331,I1331)&gt;1,"DOUBLON","OK")</f>
        <v>OK</v>
      </c>
      <c r="S1331" s="12" t="str">
        <v>Brazil</v>
      </c>
      <c r="T1331" s="12" t="str">
        <f t="shared" si="110"/>
        <v>OK</v>
      </c>
      <c r="U1331" s="12" t="str">
        <f t="shared" si="111"/>
        <v>-</v>
      </c>
      <c r="V1331" s="12" t="str" cm="1">
        <f t="array" ref="V1331">_xlfn.IFS(
ISNUMBER(SEARCH("USA",S1331)),"United States",
ISNUMBER(SEARCH("Republic of Ireland",S1331)),"Ireland",
ISNUMBER(SEARCH("Republic of Korea",S1331)),"South Korea",
ISNUMBER(SEARCH("Cape Verde",S1331)),"Cabo Verde",
ISNUMBER(SEARCH("Czechia",S1331)),"Czech Republic",
ISNUMBER(SEARCH("Türkiye",S1331)),"Turkey",
ISNUMBER(SEARCH("Ivory Coast",S1331)),"Côte d'Ivoire",
ISNUMBER(SEARCH("Korea Republic",S1331)),"South Korea",
ISNUMBER(SEARCH("Germany FR",S1331)),"FR Germany",
ISNUMBER(SEARCH("West Germany",S1331)),"FR Germany",
ISNUMBER(SEARCH("Germany DR",S1331)),"DR Germany",
ISNUMBER(SEARCH("Korea DPR",S1331)),"North Korea",
ISNUMBER(SEARCH("China PR",S1331)),"China",
ISNUMBER(SEARCH("IR Iran",S1331)),"Iran",
ISNUMBER(SEARCH("Congo DR",S1331)),"Democratic Republic of the Congo",
ISNUMBER(SEARCH("DR Congo",S1331)),"Democratic Republic of the Congo",
ISNUMBER(SEARCH("German DR",S1331)),"DR Germany",
ISNUMBER(SEARCH("rn""&gt;United Arab Emirates",S1331)),"United Arab Emirates",
ISNUMBER(SEARCH("rn""&gt;Republic of Ireland",S1331)),"Ireland",
ISNUMBER(SEARCH("rn""&gt;Bosnia and Herzegovina",S1331)),"Bosnia and Herzegovina",
ISNUMBER(SEARCH("rn""&gt;Trinidad and Tobago",S1331)),"Trinidad and Tobago",
ISNUMBER(SEARCH("rn""&gt;Serbia and Montenegro",S1331)),"Serbia and Montenegro",
ISNUMBER(SEARCH(_xlfn.UNICHAR(65533),S1331)),"Côte d'Ivoire",
TRUE,""
)</f>
        <v/>
      </c>
      <c r="W1331" s="12" t="str">
        <f t="shared" si="112"/>
        <v>Brazil</v>
      </c>
    </row>
    <row r="1332" spans="2:23">
      <c r="B1332" s="75">
        <v>895</v>
      </c>
      <c r="C1332" s="15" t="str">
        <v>Marcus Holmgren Pedersen</v>
      </c>
      <c r="D1332" s="15">
        <v>25</v>
      </c>
      <c r="E1332" s="15" t="str">
        <v>Norway</v>
      </c>
      <c r="F1332" s="15" t="str">
        <v>RB</v>
      </c>
      <c r="G1332" s="15" t="str">
        <v>Torino</v>
      </c>
      <c r="H1332" s="15">
        <v>16</v>
      </c>
      <c r="I1332" s="15" t="str">
        <f t="shared" si="109"/>
        <v>895|Marcus Holmgren Pedersen|25|Norway|RB|Torino|16</v>
      </c>
      <c r="J1332" s="15" t="str">
        <f>IF(COUNTIF(I$438:I1332,I1332)&gt;1,"DOUBLON","OK")</f>
        <v>OK</v>
      </c>
      <c r="S1332" s="12" t="str">
        <v>Brazil</v>
      </c>
      <c r="T1332" s="12" t="str">
        <f t="shared" si="110"/>
        <v>OK</v>
      </c>
      <c r="U1332" s="12" t="str">
        <f t="shared" si="111"/>
        <v>-</v>
      </c>
      <c r="V1332" s="12" t="str" cm="1">
        <f t="array" ref="V1332">_xlfn.IFS(
ISNUMBER(SEARCH("USA",S1332)),"United States",
ISNUMBER(SEARCH("Republic of Ireland",S1332)),"Ireland",
ISNUMBER(SEARCH("Republic of Korea",S1332)),"South Korea",
ISNUMBER(SEARCH("Cape Verde",S1332)),"Cabo Verde",
ISNUMBER(SEARCH("Czechia",S1332)),"Czech Republic",
ISNUMBER(SEARCH("Türkiye",S1332)),"Turkey",
ISNUMBER(SEARCH("Ivory Coast",S1332)),"Côte d'Ivoire",
ISNUMBER(SEARCH("Korea Republic",S1332)),"South Korea",
ISNUMBER(SEARCH("Germany FR",S1332)),"FR Germany",
ISNUMBER(SEARCH("West Germany",S1332)),"FR Germany",
ISNUMBER(SEARCH("Germany DR",S1332)),"DR Germany",
ISNUMBER(SEARCH("Korea DPR",S1332)),"North Korea",
ISNUMBER(SEARCH("China PR",S1332)),"China",
ISNUMBER(SEARCH("IR Iran",S1332)),"Iran",
ISNUMBER(SEARCH("Congo DR",S1332)),"Democratic Republic of the Congo",
ISNUMBER(SEARCH("DR Congo",S1332)),"Democratic Republic of the Congo",
ISNUMBER(SEARCH("German DR",S1332)),"DR Germany",
ISNUMBER(SEARCH("rn""&gt;United Arab Emirates",S1332)),"United Arab Emirates",
ISNUMBER(SEARCH("rn""&gt;Republic of Ireland",S1332)),"Ireland",
ISNUMBER(SEARCH("rn""&gt;Bosnia and Herzegovina",S1332)),"Bosnia and Herzegovina",
ISNUMBER(SEARCH("rn""&gt;Trinidad and Tobago",S1332)),"Trinidad and Tobago",
ISNUMBER(SEARCH("rn""&gt;Serbia and Montenegro",S1332)),"Serbia and Montenegro",
ISNUMBER(SEARCH(_xlfn.UNICHAR(65533),S1332)),"Côte d'Ivoire",
TRUE,""
)</f>
        <v/>
      </c>
      <c r="W1332" s="12" t="str">
        <f t="shared" si="112"/>
        <v>Brazil</v>
      </c>
    </row>
    <row r="1333" spans="2:23">
      <c r="B1333" s="75">
        <v>896</v>
      </c>
      <c r="C1333" s="15" t="str">
        <v>Julian Ryerson</v>
      </c>
      <c r="D1333" s="15">
        <v>28</v>
      </c>
      <c r="E1333" s="15" t="str">
        <v>Norway</v>
      </c>
      <c r="F1333" s="15" t="str">
        <v>RB</v>
      </c>
      <c r="G1333" s="15" t="str">
        <v>Borussia Dortmund</v>
      </c>
      <c r="H1333" s="15">
        <v>26</v>
      </c>
      <c r="I1333" s="15" t="str">
        <f t="shared" si="109"/>
        <v>896|Julian Ryerson|28|Norway|RB|Borussia Dortmund|26</v>
      </c>
      <c r="J1333" s="15" t="str">
        <f>IF(COUNTIF(I$438:I1333,I1333)&gt;1,"DOUBLON","OK")</f>
        <v>OK</v>
      </c>
      <c r="S1333" s="12" t="str">
        <v>Brazil</v>
      </c>
      <c r="T1333" s="12" t="str">
        <f t="shared" si="110"/>
        <v>OK</v>
      </c>
      <c r="U1333" s="12" t="str">
        <f t="shared" si="111"/>
        <v>-</v>
      </c>
      <c r="V1333" s="12" t="str" cm="1">
        <f t="array" ref="V1333">_xlfn.IFS(
ISNUMBER(SEARCH("USA",S1333)),"United States",
ISNUMBER(SEARCH("Republic of Ireland",S1333)),"Ireland",
ISNUMBER(SEARCH("Republic of Korea",S1333)),"South Korea",
ISNUMBER(SEARCH("Cape Verde",S1333)),"Cabo Verde",
ISNUMBER(SEARCH("Czechia",S1333)),"Czech Republic",
ISNUMBER(SEARCH("Türkiye",S1333)),"Turkey",
ISNUMBER(SEARCH("Ivory Coast",S1333)),"Côte d'Ivoire",
ISNUMBER(SEARCH("Korea Republic",S1333)),"South Korea",
ISNUMBER(SEARCH("Germany FR",S1333)),"FR Germany",
ISNUMBER(SEARCH("West Germany",S1333)),"FR Germany",
ISNUMBER(SEARCH("Germany DR",S1333)),"DR Germany",
ISNUMBER(SEARCH("Korea DPR",S1333)),"North Korea",
ISNUMBER(SEARCH("China PR",S1333)),"China",
ISNUMBER(SEARCH("IR Iran",S1333)),"Iran",
ISNUMBER(SEARCH("Congo DR",S1333)),"Democratic Republic of the Congo",
ISNUMBER(SEARCH("DR Congo",S1333)),"Democratic Republic of the Congo",
ISNUMBER(SEARCH("German DR",S1333)),"DR Germany",
ISNUMBER(SEARCH("rn""&gt;United Arab Emirates",S1333)),"United Arab Emirates",
ISNUMBER(SEARCH("rn""&gt;Republic of Ireland",S1333)),"Ireland",
ISNUMBER(SEARCH("rn""&gt;Bosnia and Herzegovina",S1333)),"Bosnia and Herzegovina",
ISNUMBER(SEARCH("rn""&gt;Trinidad and Tobago",S1333)),"Trinidad and Tobago",
ISNUMBER(SEARCH("rn""&gt;Serbia and Montenegro",S1333)),"Serbia and Montenegro",
ISNUMBER(SEARCH(_xlfn.UNICHAR(65533),S1333)),"Côte d'Ivoire",
TRUE,""
)</f>
        <v/>
      </c>
      <c r="W1333" s="12" t="str">
        <f t="shared" si="112"/>
        <v>Brazil</v>
      </c>
    </row>
    <row r="1334" spans="2:23">
      <c r="B1334" s="75">
        <v>897</v>
      </c>
      <c r="C1334" s="15" t="str">
        <v>Patrick Berg</v>
      </c>
      <c r="D1334" s="15">
        <v>28</v>
      </c>
      <c r="E1334" s="15" t="str">
        <v>Norway</v>
      </c>
      <c r="F1334" s="15" t="str">
        <v>CDM</v>
      </c>
      <c r="G1334" s="15" t="str">
        <v>Bodø/Glimt</v>
      </c>
      <c r="H1334" s="15">
        <v>6</v>
      </c>
      <c r="I1334" s="15" t="str">
        <f t="shared" si="109"/>
        <v>897|Patrick Berg|28|Norway|CDM|Bodø/Glimt|6</v>
      </c>
      <c r="J1334" s="15" t="str">
        <f>IF(COUNTIF(I$438:I1334,I1334)&gt;1,"DOUBLON","OK")</f>
        <v>OK</v>
      </c>
      <c r="S1334" s="12" t="str">
        <v>Brazil</v>
      </c>
      <c r="T1334" s="12" t="str">
        <f t="shared" si="110"/>
        <v>OK</v>
      </c>
      <c r="U1334" s="12" t="str">
        <f t="shared" si="111"/>
        <v>-</v>
      </c>
      <c r="V1334" s="12" t="str" cm="1">
        <f t="array" ref="V1334">_xlfn.IFS(
ISNUMBER(SEARCH("USA",S1334)),"United States",
ISNUMBER(SEARCH("Republic of Ireland",S1334)),"Ireland",
ISNUMBER(SEARCH("Republic of Korea",S1334)),"South Korea",
ISNUMBER(SEARCH("Cape Verde",S1334)),"Cabo Verde",
ISNUMBER(SEARCH("Czechia",S1334)),"Czech Republic",
ISNUMBER(SEARCH("Türkiye",S1334)),"Turkey",
ISNUMBER(SEARCH("Ivory Coast",S1334)),"Côte d'Ivoire",
ISNUMBER(SEARCH("Korea Republic",S1334)),"South Korea",
ISNUMBER(SEARCH("Germany FR",S1334)),"FR Germany",
ISNUMBER(SEARCH("West Germany",S1334)),"FR Germany",
ISNUMBER(SEARCH("Germany DR",S1334)),"DR Germany",
ISNUMBER(SEARCH("Korea DPR",S1334)),"North Korea",
ISNUMBER(SEARCH("China PR",S1334)),"China",
ISNUMBER(SEARCH("IR Iran",S1334)),"Iran",
ISNUMBER(SEARCH("Congo DR",S1334)),"Democratic Republic of the Congo",
ISNUMBER(SEARCH("DR Congo",S1334)),"Democratic Republic of the Congo",
ISNUMBER(SEARCH("German DR",S1334)),"DR Germany",
ISNUMBER(SEARCH("rn""&gt;United Arab Emirates",S1334)),"United Arab Emirates",
ISNUMBER(SEARCH("rn""&gt;Republic of Ireland",S1334)),"Ireland",
ISNUMBER(SEARCH("rn""&gt;Bosnia and Herzegovina",S1334)),"Bosnia and Herzegovina",
ISNUMBER(SEARCH("rn""&gt;Trinidad and Tobago",S1334)),"Trinidad and Tobago",
ISNUMBER(SEARCH("rn""&gt;Serbia and Montenegro",S1334)),"Serbia and Montenegro",
ISNUMBER(SEARCH(_xlfn.UNICHAR(65533),S1334)),"Côte d'Ivoire",
TRUE,""
)</f>
        <v/>
      </c>
      <c r="W1334" s="12" t="str">
        <f t="shared" si="112"/>
        <v>Brazil</v>
      </c>
    </row>
    <row r="1335" spans="2:23">
      <c r="B1335" s="75">
        <v>898</v>
      </c>
      <c r="C1335" s="15" t="str">
        <v>Sander Berge</v>
      </c>
      <c r="D1335" s="15">
        <v>28</v>
      </c>
      <c r="E1335" s="15" t="str">
        <v>Norway</v>
      </c>
      <c r="F1335" s="15" t="str">
        <v>CDM</v>
      </c>
      <c r="G1335" s="15" t="str">
        <v>Fulham</v>
      </c>
      <c r="H1335" s="15">
        <v>8</v>
      </c>
      <c r="I1335" s="15" t="str">
        <f t="shared" ref="I1335:I1398" si="113">B1335&amp;"|"&amp;C1335&amp;"|"&amp;D1335&amp;"|"&amp;E1335&amp;"|"&amp;F1335&amp;"|"&amp;G1335&amp;"|"&amp;H1335</f>
        <v>898|Sander Berge|28|Norway|CDM|Fulham|8</v>
      </c>
      <c r="J1335" s="15" t="str">
        <f>IF(COUNTIF(I$438:I1335,I1335)&gt;1,"DOUBLON","OK")</f>
        <v>OK</v>
      </c>
      <c r="S1335" s="12" t="str">
        <v>Brazil</v>
      </c>
      <c r="T1335" s="12" t="str">
        <f t="shared" si="110"/>
        <v>OK</v>
      </c>
      <c r="U1335" s="12" t="str">
        <f t="shared" si="111"/>
        <v>-</v>
      </c>
      <c r="V1335" s="12" t="str" cm="1">
        <f t="array" ref="V1335">_xlfn.IFS(
ISNUMBER(SEARCH("USA",S1335)),"United States",
ISNUMBER(SEARCH("Republic of Ireland",S1335)),"Ireland",
ISNUMBER(SEARCH("Republic of Korea",S1335)),"South Korea",
ISNUMBER(SEARCH("Cape Verde",S1335)),"Cabo Verde",
ISNUMBER(SEARCH("Czechia",S1335)),"Czech Republic",
ISNUMBER(SEARCH("Türkiye",S1335)),"Turkey",
ISNUMBER(SEARCH("Ivory Coast",S1335)),"Côte d'Ivoire",
ISNUMBER(SEARCH("Korea Republic",S1335)),"South Korea",
ISNUMBER(SEARCH("Germany FR",S1335)),"FR Germany",
ISNUMBER(SEARCH("West Germany",S1335)),"FR Germany",
ISNUMBER(SEARCH("Germany DR",S1335)),"DR Germany",
ISNUMBER(SEARCH("Korea DPR",S1335)),"North Korea",
ISNUMBER(SEARCH("China PR",S1335)),"China",
ISNUMBER(SEARCH("IR Iran",S1335)),"Iran",
ISNUMBER(SEARCH("Congo DR",S1335)),"Democratic Republic of the Congo",
ISNUMBER(SEARCH("DR Congo",S1335)),"Democratic Republic of the Congo",
ISNUMBER(SEARCH("German DR",S1335)),"DR Germany",
ISNUMBER(SEARCH("rn""&gt;United Arab Emirates",S1335)),"United Arab Emirates",
ISNUMBER(SEARCH("rn""&gt;Republic of Ireland",S1335)),"Ireland",
ISNUMBER(SEARCH("rn""&gt;Bosnia and Herzegovina",S1335)),"Bosnia and Herzegovina",
ISNUMBER(SEARCH("rn""&gt;Trinidad and Tobago",S1335)),"Trinidad and Tobago",
ISNUMBER(SEARCH("rn""&gt;Serbia and Montenegro",S1335)),"Serbia and Montenegro",
ISNUMBER(SEARCH(_xlfn.UNICHAR(65533),S1335)),"Côte d'Ivoire",
TRUE,""
)</f>
        <v/>
      </c>
      <c r="W1335" s="12" t="str">
        <f t="shared" si="112"/>
        <v>Brazil</v>
      </c>
    </row>
    <row r="1336" spans="2:23">
      <c r="B1336" s="75">
        <v>899</v>
      </c>
      <c r="C1336" s="15" t="str">
        <v>Morten Thorsby</v>
      </c>
      <c r="D1336" s="15">
        <v>30</v>
      </c>
      <c r="E1336" s="15" t="str">
        <v>Norway</v>
      </c>
      <c r="F1336" s="15" t="str">
        <v>CM</v>
      </c>
      <c r="G1336" s="15" t="str">
        <v>Cremonese</v>
      </c>
      <c r="H1336" s="15">
        <v>2</v>
      </c>
      <c r="I1336" s="15" t="str">
        <f t="shared" si="113"/>
        <v>899|Morten Thorsby|30|Norway|CM|Cremonese|2</v>
      </c>
      <c r="J1336" s="15" t="str">
        <f>IF(COUNTIF(I$438:I1336,I1336)&gt;1,"DOUBLON","OK")</f>
        <v>OK</v>
      </c>
      <c r="S1336" s="12" t="str">
        <v>Brazil</v>
      </c>
      <c r="T1336" s="12" t="str">
        <f t="shared" si="110"/>
        <v>OK</v>
      </c>
      <c r="U1336" s="12" t="str">
        <f t="shared" si="111"/>
        <v>-</v>
      </c>
      <c r="V1336" s="12" t="str" cm="1">
        <f t="array" ref="V1336">_xlfn.IFS(
ISNUMBER(SEARCH("USA",S1336)),"United States",
ISNUMBER(SEARCH("Republic of Ireland",S1336)),"Ireland",
ISNUMBER(SEARCH("Republic of Korea",S1336)),"South Korea",
ISNUMBER(SEARCH("Cape Verde",S1336)),"Cabo Verde",
ISNUMBER(SEARCH("Czechia",S1336)),"Czech Republic",
ISNUMBER(SEARCH("Türkiye",S1336)),"Turkey",
ISNUMBER(SEARCH("Ivory Coast",S1336)),"Côte d'Ivoire",
ISNUMBER(SEARCH("Korea Republic",S1336)),"South Korea",
ISNUMBER(SEARCH("Germany FR",S1336)),"FR Germany",
ISNUMBER(SEARCH("West Germany",S1336)),"FR Germany",
ISNUMBER(SEARCH("Germany DR",S1336)),"DR Germany",
ISNUMBER(SEARCH("Korea DPR",S1336)),"North Korea",
ISNUMBER(SEARCH("China PR",S1336)),"China",
ISNUMBER(SEARCH("IR Iran",S1336)),"Iran",
ISNUMBER(SEARCH("Congo DR",S1336)),"Democratic Republic of the Congo",
ISNUMBER(SEARCH("DR Congo",S1336)),"Democratic Republic of the Congo",
ISNUMBER(SEARCH("German DR",S1336)),"DR Germany",
ISNUMBER(SEARCH("rn""&gt;United Arab Emirates",S1336)),"United Arab Emirates",
ISNUMBER(SEARCH("rn""&gt;Republic of Ireland",S1336)),"Ireland",
ISNUMBER(SEARCH("rn""&gt;Bosnia and Herzegovina",S1336)),"Bosnia and Herzegovina",
ISNUMBER(SEARCH("rn""&gt;Trinidad and Tobago",S1336)),"Trinidad and Tobago",
ISNUMBER(SEARCH("rn""&gt;Serbia and Montenegro",S1336)),"Serbia and Montenegro",
ISNUMBER(SEARCH(_xlfn.UNICHAR(65533),S1336)),"Côte d'Ivoire",
TRUE,""
)</f>
        <v/>
      </c>
      <c r="W1336" s="12" t="str">
        <f t="shared" si="112"/>
        <v>Brazil</v>
      </c>
    </row>
    <row r="1337" spans="2:23">
      <c r="B1337" s="75">
        <v>900</v>
      </c>
      <c r="C1337" s="15" t="str">
        <v>Fredrik Aursnes</v>
      </c>
      <c r="D1337" s="15">
        <v>30</v>
      </c>
      <c r="E1337" s="15" t="str">
        <v>Norway</v>
      </c>
      <c r="F1337" s="15" t="str">
        <v>CM</v>
      </c>
      <c r="G1337" s="15" t="str">
        <v>Benfica</v>
      </c>
      <c r="H1337" s="15">
        <v>14</v>
      </c>
      <c r="I1337" s="15" t="str">
        <f t="shared" si="113"/>
        <v>900|Fredrik Aursnes|30|Norway|CM|Benfica|14</v>
      </c>
      <c r="J1337" s="15" t="str">
        <f>IF(COUNTIF(I$438:I1337,I1337)&gt;1,"DOUBLON","OK")</f>
        <v>OK</v>
      </c>
      <c r="S1337" s="12" t="str">
        <v>Brazil</v>
      </c>
      <c r="T1337" s="12" t="str">
        <f t="shared" si="110"/>
        <v>OK</v>
      </c>
      <c r="U1337" s="12" t="str">
        <f t="shared" si="111"/>
        <v>-</v>
      </c>
      <c r="V1337" s="12" t="str" cm="1">
        <f t="array" ref="V1337">_xlfn.IFS(
ISNUMBER(SEARCH("USA",S1337)),"United States",
ISNUMBER(SEARCH("Republic of Ireland",S1337)),"Ireland",
ISNUMBER(SEARCH("Republic of Korea",S1337)),"South Korea",
ISNUMBER(SEARCH("Cape Verde",S1337)),"Cabo Verde",
ISNUMBER(SEARCH("Czechia",S1337)),"Czech Republic",
ISNUMBER(SEARCH("Türkiye",S1337)),"Turkey",
ISNUMBER(SEARCH("Ivory Coast",S1337)),"Côte d'Ivoire",
ISNUMBER(SEARCH("Korea Republic",S1337)),"South Korea",
ISNUMBER(SEARCH("Germany FR",S1337)),"FR Germany",
ISNUMBER(SEARCH("West Germany",S1337)),"FR Germany",
ISNUMBER(SEARCH("Germany DR",S1337)),"DR Germany",
ISNUMBER(SEARCH("Korea DPR",S1337)),"North Korea",
ISNUMBER(SEARCH("China PR",S1337)),"China",
ISNUMBER(SEARCH("IR Iran",S1337)),"Iran",
ISNUMBER(SEARCH("Congo DR",S1337)),"Democratic Republic of the Congo",
ISNUMBER(SEARCH("DR Congo",S1337)),"Democratic Republic of the Congo",
ISNUMBER(SEARCH("German DR",S1337)),"DR Germany",
ISNUMBER(SEARCH("rn""&gt;United Arab Emirates",S1337)),"United Arab Emirates",
ISNUMBER(SEARCH("rn""&gt;Republic of Ireland",S1337)),"Ireland",
ISNUMBER(SEARCH("rn""&gt;Bosnia and Herzegovina",S1337)),"Bosnia and Herzegovina",
ISNUMBER(SEARCH("rn""&gt;Trinidad and Tobago",S1337)),"Trinidad and Tobago",
ISNUMBER(SEARCH("rn""&gt;Serbia and Montenegro",S1337)),"Serbia and Montenegro",
ISNUMBER(SEARCH(_xlfn.UNICHAR(65533),S1337)),"Côte d'Ivoire",
TRUE,""
)</f>
        <v/>
      </c>
      <c r="W1337" s="12" t="str">
        <f t="shared" si="112"/>
        <v>Brazil</v>
      </c>
    </row>
    <row r="1338" spans="2:23">
      <c r="B1338" s="75">
        <v>901</v>
      </c>
      <c r="C1338" s="15" t="str">
        <v>Kristian Thorstvedt</v>
      </c>
      <c r="D1338" s="15">
        <v>27</v>
      </c>
      <c r="E1338" s="15" t="str">
        <v>Norway</v>
      </c>
      <c r="F1338" s="15" t="str">
        <v>CM</v>
      </c>
      <c r="G1338" s="15" t="str">
        <v>Sassuolo</v>
      </c>
      <c r="H1338" s="15">
        <v>18</v>
      </c>
      <c r="I1338" s="15" t="str">
        <f t="shared" si="113"/>
        <v>901|Kristian Thorstvedt|27|Norway|CM|Sassuolo|18</v>
      </c>
      <c r="J1338" s="15" t="str">
        <f>IF(COUNTIF(I$438:I1338,I1338)&gt;1,"DOUBLON","OK")</f>
        <v>OK</v>
      </c>
      <c r="S1338" s="12" t="str">
        <v>Brazil</v>
      </c>
      <c r="T1338" s="12" t="str">
        <f t="shared" si="110"/>
        <v>OK</v>
      </c>
      <c r="U1338" s="12" t="str">
        <f t="shared" si="111"/>
        <v>-</v>
      </c>
      <c r="V1338" s="12" t="str" cm="1">
        <f t="array" ref="V1338">_xlfn.IFS(
ISNUMBER(SEARCH("USA",S1338)),"United States",
ISNUMBER(SEARCH("Republic of Ireland",S1338)),"Ireland",
ISNUMBER(SEARCH("Republic of Korea",S1338)),"South Korea",
ISNUMBER(SEARCH("Cape Verde",S1338)),"Cabo Verde",
ISNUMBER(SEARCH("Czechia",S1338)),"Czech Republic",
ISNUMBER(SEARCH("Türkiye",S1338)),"Turkey",
ISNUMBER(SEARCH("Ivory Coast",S1338)),"Côte d'Ivoire",
ISNUMBER(SEARCH("Korea Republic",S1338)),"South Korea",
ISNUMBER(SEARCH("Germany FR",S1338)),"FR Germany",
ISNUMBER(SEARCH("West Germany",S1338)),"FR Germany",
ISNUMBER(SEARCH("Germany DR",S1338)),"DR Germany",
ISNUMBER(SEARCH("Korea DPR",S1338)),"North Korea",
ISNUMBER(SEARCH("China PR",S1338)),"China",
ISNUMBER(SEARCH("IR Iran",S1338)),"Iran",
ISNUMBER(SEARCH("Congo DR",S1338)),"Democratic Republic of the Congo",
ISNUMBER(SEARCH("DR Congo",S1338)),"Democratic Republic of the Congo",
ISNUMBER(SEARCH("German DR",S1338)),"DR Germany",
ISNUMBER(SEARCH("rn""&gt;United Arab Emirates",S1338)),"United Arab Emirates",
ISNUMBER(SEARCH("rn""&gt;Republic of Ireland",S1338)),"Ireland",
ISNUMBER(SEARCH("rn""&gt;Bosnia and Herzegovina",S1338)),"Bosnia and Herzegovina",
ISNUMBER(SEARCH("rn""&gt;Trinidad and Tobago",S1338)),"Trinidad and Tobago",
ISNUMBER(SEARCH("rn""&gt;Serbia and Montenegro",S1338)),"Serbia and Montenegro",
ISNUMBER(SEARCH(_xlfn.UNICHAR(65533),S1338)),"Côte d'Ivoire",
TRUE,""
)</f>
        <v/>
      </c>
      <c r="W1338" s="12" t="str">
        <f t="shared" si="112"/>
        <v>Brazil</v>
      </c>
    </row>
    <row r="1339" spans="2:23">
      <c r="B1339" s="75">
        <v>902</v>
      </c>
      <c r="C1339" s="15" t="str">
        <v>Martin Ødegaard</v>
      </c>
      <c r="D1339" s="15">
        <v>27</v>
      </c>
      <c r="E1339" s="15" t="str">
        <v>Norway</v>
      </c>
      <c r="F1339" s="15" t="str">
        <v>CAM</v>
      </c>
      <c r="G1339" s="15" t="str">
        <v>Arsenal</v>
      </c>
      <c r="H1339" s="15">
        <v>10</v>
      </c>
      <c r="I1339" s="15" t="str">
        <f t="shared" si="113"/>
        <v>902|Martin Ødegaard|27|Norway|CAM|Arsenal|10</v>
      </c>
      <c r="J1339" s="15" t="str">
        <f>IF(COUNTIF(I$438:I1339,I1339)&gt;1,"DOUBLON","OK")</f>
        <v>OK</v>
      </c>
      <c r="S1339" s="12" t="str">
        <v>Brazil</v>
      </c>
      <c r="T1339" s="12" t="str">
        <f t="shared" si="110"/>
        <v>OK</v>
      </c>
      <c r="U1339" s="12" t="str">
        <f t="shared" si="111"/>
        <v>-</v>
      </c>
      <c r="V1339" s="12" t="str" cm="1">
        <f t="array" ref="V1339">_xlfn.IFS(
ISNUMBER(SEARCH("USA",S1339)),"United States",
ISNUMBER(SEARCH("Republic of Ireland",S1339)),"Ireland",
ISNUMBER(SEARCH("Republic of Korea",S1339)),"South Korea",
ISNUMBER(SEARCH("Cape Verde",S1339)),"Cabo Verde",
ISNUMBER(SEARCH("Czechia",S1339)),"Czech Republic",
ISNUMBER(SEARCH("Türkiye",S1339)),"Turkey",
ISNUMBER(SEARCH("Ivory Coast",S1339)),"Côte d'Ivoire",
ISNUMBER(SEARCH("Korea Republic",S1339)),"South Korea",
ISNUMBER(SEARCH("Germany FR",S1339)),"FR Germany",
ISNUMBER(SEARCH("West Germany",S1339)),"FR Germany",
ISNUMBER(SEARCH("Germany DR",S1339)),"DR Germany",
ISNUMBER(SEARCH("Korea DPR",S1339)),"North Korea",
ISNUMBER(SEARCH("China PR",S1339)),"China",
ISNUMBER(SEARCH("IR Iran",S1339)),"Iran",
ISNUMBER(SEARCH("Congo DR",S1339)),"Democratic Republic of the Congo",
ISNUMBER(SEARCH("DR Congo",S1339)),"Democratic Republic of the Congo",
ISNUMBER(SEARCH("German DR",S1339)),"DR Germany",
ISNUMBER(SEARCH("rn""&gt;United Arab Emirates",S1339)),"United Arab Emirates",
ISNUMBER(SEARCH("rn""&gt;Republic of Ireland",S1339)),"Ireland",
ISNUMBER(SEARCH("rn""&gt;Bosnia and Herzegovina",S1339)),"Bosnia and Herzegovina",
ISNUMBER(SEARCH("rn""&gt;Trinidad and Tobago",S1339)),"Trinidad and Tobago",
ISNUMBER(SEARCH("rn""&gt;Serbia and Montenegro",S1339)),"Serbia and Montenegro",
ISNUMBER(SEARCH(_xlfn.UNICHAR(65533),S1339)),"Côte d'Ivoire",
TRUE,""
)</f>
        <v/>
      </c>
      <c r="W1339" s="12" t="str">
        <f t="shared" si="112"/>
        <v>Brazil</v>
      </c>
    </row>
    <row r="1340" spans="2:23">
      <c r="B1340" s="75">
        <v>903</v>
      </c>
      <c r="C1340" s="15" t="str">
        <v>Thelo Aasgaard</v>
      </c>
      <c r="D1340" s="15">
        <v>24</v>
      </c>
      <c r="E1340" s="15" t="str">
        <v>Norway</v>
      </c>
      <c r="F1340" s="15" t="str">
        <v>CAM</v>
      </c>
      <c r="G1340" s="15" t="str">
        <v>Rangers</v>
      </c>
      <c r="H1340" s="15">
        <v>19</v>
      </c>
      <c r="I1340" s="15" t="str">
        <f t="shared" si="113"/>
        <v>903|Thelo Aasgaard|24|Norway|CAM|Rangers|19</v>
      </c>
      <c r="J1340" s="15" t="str">
        <f>IF(COUNTIF(I$438:I1340,I1340)&gt;1,"DOUBLON","OK")</f>
        <v>OK</v>
      </c>
      <c r="S1340" s="12" t="str">
        <v>Brazil</v>
      </c>
      <c r="T1340" s="12" t="str">
        <f t="shared" si="110"/>
        <v>OK</v>
      </c>
      <c r="U1340" s="12" t="str">
        <f t="shared" si="111"/>
        <v>-</v>
      </c>
      <c r="V1340" s="12" t="str" cm="1">
        <f t="array" ref="V1340">_xlfn.IFS(
ISNUMBER(SEARCH("USA",S1340)),"United States",
ISNUMBER(SEARCH("Republic of Ireland",S1340)),"Ireland",
ISNUMBER(SEARCH("Republic of Korea",S1340)),"South Korea",
ISNUMBER(SEARCH("Cape Verde",S1340)),"Cabo Verde",
ISNUMBER(SEARCH("Czechia",S1340)),"Czech Republic",
ISNUMBER(SEARCH("Türkiye",S1340)),"Turkey",
ISNUMBER(SEARCH("Ivory Coast",S1340)),"Côte d'Ivoire",
ISNUMBER(SEARCH("Korea Republic",S1340)),"South Korea",
ISNUMBER(SEARCH("Germany FR",S1340)),"FR Germany",
ISNUMBER(SEARCH("West Germany",S1340)),"FR Germany",
ISNUMBER(SEARCH("Germany DR",S1340)),"DR Germany",
ISNUMBER(SEARCH("Korea DPR",S1340)),"North Korea",
ISNUMBER(SEARCH("China PR",S1340)),"China",
ISNUMBER(SEARCH("IR Iran",S1340)),"Iran",
ISNUMBER(SEARCH("Congo DR",S1340)),"Democratic Republic of the Congo",
ISNUMBER(SEARCH("DR Congo",S1340)),"Democratic Republic of the Congo",
ISNUMBER(SEARCH("German DR",S1340)),"DR Germany",
ISNUMBER(SEARCH("rn""&gt;United Arab Emirates",S1340)),"United Arab Emirates",
ISNUMBER(SEARCH("rn""&gt;Republic of Ireland",S1340)),"Ireland",
ISNUMBER(SEARCH("rn""&gt;Bosnia and Herzegovina",S1340)),"Bosnia and Herzegovina",
ISNUMBER(SEARCH("rn""&gt;Trinidad and Tobago",S1340)),"Trinidad and Tobago",
ISNUMBER(SEARCH("rn""&gt;Serbia and Montenegro",S1340)),"Serbia and Montenegro",
ISNUMBER(SEARCH(_xlfn.UNICHAR(65533),S1340)),"Côte d'Ivoire",
TRUE,""
)</f>
        <v/>
      </c>
      <c r="W1340" s="12" t="str">
        <f t="shared" si="112"/>
        <v>Brazil</v>
      </c>
    </row>
    <row r="1341" spans="2:23">
      <c r="B1341" s="75">
        <v>904</v>
      </c>
      <c r="C1341" s="15" t="str">
        <v>Antonio Nusa</v>
      </c>
      <c r="D1341" s="15">
        <v>21</v>
      </c>
      <c r="E1341" s="15" t="str">
        <v>Norway</v>
      </c>
      <c r="F1341" s="15" t="str">
        <v>LW</v>
      </c>
      <c r="G1341" s="15" t="str">
        <v>RB Leipzig</v>
      </c>
      <c r="H1341" s="15">
        <v>20</v>
      </c>
      <c r="I1341" s="15" t="str">
        <f t="shared" si="113"/>
        <v>904|Antonio Nusa|21|Norway|LW|RB Leipzig|20</v>
      </c>
      <c r="J1341" s="15" t="str">
        <f>IF(COUNTIF(I$438:I1341,I1341)&gt;1,"DOUBLON","OK")</f>
        <v>OK</v>
      </c>
      <c r="S1341" s="12" t="str">
        <v>Brazil</v>
      </c>
      <c r="T1341" s="12" t="str">
        <f t="shared" si="110"/>
        <v>OK</v>
      </c>
      <c r="U1341" s="12" t="str">
        <f t="shared" si="111"/>
        <v>-</v>
      </c>
      <c r="V1341" s="12" t="str" cm="1">
        <f t="array" ref="V1341">_xlfn.IFS(
ISNUMBER(SEARCH("USA",S1341)),"United States",
ISNUMBER(SEARCH("Republic of Ireland",S1341)),"Ireland",
ISNUMBER(SEARCH("Republic of Korea",S1341)),"South Korea",
ISNUMBER(SEARCH("Cape Verde",S1341)),"Cabo Verde",
ISNUMBER(SEARCH("Czechia",S1341)),"Czech Republic",
ISNUMBER(SEARCH("Türkiye",S1341)),"Turkey",
ISNUMBER(SEARCH("Ivory Coast",S1341)),"Côte d'Ivoire",
ISNUMBER(SEARCH("Korea Republic",S1341)),"South Korea",
ISNUMBER(SEARCH("Germany FR",S1341)),"FR Germany",
ISNUMBER(SEARCH("West Germany",S1341)),"FR Germany",
ISNUMBER(SEARCH("Germany DR",S1341)),"DR Germany",
ISNUMBER(SEARCH("Korea DPR",S1341)),"North Korea",
ISNUMBER(SEARCH("China PR",S1341)),"China",
ISNUMBER(SEARCH("IR Iran",S1341)),"Iran",
ISNUMBER(SEARCH("Congo DR",S1341)),"Democratic Republic of the Congo",
ISNUMBER(SEARCH("DR Congo",S1341)),"Democratic Republic of the Congo",
ISNUMBER(SEARCH("German DR",S1341)),"DR Germany",
ISNUMBER(SEARCH("rn""&gt;United Arab Emirates",S1341)),"United Arab Emirates",
ISNUMBER(SEARCH("rn""&gt;Republic of Ireland",S1341)),"Ireland",
ISNUMBER(SEARCH("rn""&gt;Bosnia and Herzegovina",S1341)),"Bosnia and Herzegovina",
ISNUMBER(SEARCH("rn""&gt;Trinidad and Tobago",S1341)),"Trinidad and Tobago",
ISNUMBER(SEARCH("rn""&gt;Serbia and Montenegro",S1341)),"Serbia and Montenegro",
ISNUMBER(SEARCH(_xlfn.UNICHAR(65533),S1341)),"Côte d'Ivoire",
TRUE,""
)</f>
        <v/>
      </c>
      <c r="W1341" s="12" t="str">
        <f t="shared" si="112"/>
        <v>Brazil</v>
      </c>
    </row>
    <row r="1342" spans="2:23">
      <c r="B1342" s="75">
        <v>905</v>
      </c>
      <c r="C1342" s="15" t="str">
        <v>Jens Petter Hauge</v>
      </c>
      <c r="D1342" s="15">
        <v>26</v>
      </c>
      <c r="E1342" s="15" t="str">
        <v>Norway</v>
      </c>
      <c r="F1342" s="15" t="str">
        <v>LW</v>
      </c>
      <c r="G1342" s="15" t="str">
        <v>Bodø/Glimt</v>
      </c>
      <c r="H1342" s="15">
        <v>23</v>
      </c>
      <c r="I1342" s="15" t="str">
        <f t="shared" si="113"/>
        <v>905|Jens Petter Hauge|26|Norway|LW|Bodø/Glimt|23</v>
      </c>
      <c r="J1342" s="15" t="str">
        <f>IF(COUNTIF(I$438:I1342,I1342)&gt;1,"DOUBLON","OK")</f>
        <v>OK</v>
      </c>
      <c r="S1342" s="12" t="str">
        <v>Brazil</v>
      </c>
      <c r="T1342" s="12" t="str">
        <f t="shared" si="110"/>
        <v>OK</v>
      </c>
      <c r="U1342" s="12" t="str">
        <f t="shared" si="111"/>
        <v>-</v>
      </c>
      <c r="V1342" s="12" t="str" cm="1">
        <f t="array" ref="V1342">_xlfn.IFS(
ISNUMBER(SEARCH("USA",S1342)),"United States",
ISNUMBER(SEARCH("Republic of Ireland",S1342)),"Ireland",
ISNUMBER(SEARCH("Republic of Korea",S1342)),"South Korea",
ISNUMBER(SEARCH("Cape Verde",S1342)),"Cabo Verde",
ISNUMBER(SEARCH("Czechia",S1342)),"Czech Republic",
ISNUMBER(SEARCH("Türkiye",S1342)),"Turkey",
ISNUMBER(SEARCH("Ivory Coast",S1342)),"Côte d'Ivoire",
ISNUMBER(SEARCH("Korea Republic",S1342)),"South Korea",
ISNUMBER(SEARCH("Germany FR",S1342)),"FR Germany",
ISNUMBER(SEARCH("West Germany",S1342)),"FR Germany",
ISNUMBER(SEARCH("Germany DR",S1342)),"DR Germany",
ISNUMBER(SEARCH("Korea DPR",S1342)),"North Korea",
ISNUMBER(SEARCH("China PR",S1342)),"China",
ISNUMBER(SEARCH("IR Iran",S1342)),"Iran",
ISNUMBER(SEARCH("Congo DR",S1342)),"Democratic Republic of the Congo",
ISNUMBER(SEARCH("DR Congo",S1342)),"Democratic Republic of the Congo",
ISNUMBER(SEARCH("German DR",S1342)),"DR Germany",
ISNUMBER(SEARCH("rn""&gt;United Arab Emirates",S1342)),"United Arab Emirates",
ISNUMBER(SEARCH("rn""&gt;Republic of Ireland",S1342)),"Ireland",
ISNUMBER(SEARCH("rn""&gt;Bosnia and Herzegovina",S1342)),"Bosnia and Herzegovina",
ISNUMBER(SEARCH("rn""&gt;Trinidad and Tobago",S1342)),"Trinidad and Tobago",
ISNUMBER(SEARCH("rn""&gt;Serbia and Montenegro",S1342)),"Serbia and Montenegro",
ISNUMBER(SEARCH(_xlfn.UNICHAR(65533),S1342)),"Côte d'Ivoire",
TRUE,""
)</f>
        <v/>
      </c>
      <c r="W1342" s="12" t="str">
        <f t="shared" si="112"/>
        <v>Brazil</v>
      </c>
    </row>
    <row r="1343" spans="2:23">
      <c r="B1343" s="75">
        <v>906</v>
      </c>
      <c r="C1343" s="15" t="str">
        <v>Andreas Schjelderup</v>
      </c>
      <c r="D1343" s="15">
        <v>22</v>
      </c>
      <c r="E1343" s="15" t="str">
        <v>Norway</v>
      </c>
      <c r="F1343" s="15" t="str">
        <v>RW</v>
      </c>
      <c r="G1343" s="15" t="str">
        <v>Benfica</v>
      </c>
      <c r="H1343" s="15">
        <v>21</v>
      </c>
      <c r="I1343" s="15" t="str">
        <f t="shared" si="113"/>
        <v>906|Andreas Schjelderup|22|Norway|RW|Benfica|21</v>
      </c>
      <c r="J1343" s="15" t="str">
        <f>IF(COUNTIF(I$438:I1343,I1343)&gt;1,"DOUBLON","OK")</f>
        <v>OK</v>
      </c>
      <c r="S1343" s="12" t="str">
        <v>Brazil</v>
      </c>
      <c r="T1343" s="12" t="str">
        <f t="shared" si="110"/>
        <v>OK</v>
      </c>
      <c r="U1343" s="12" t="str">
        <f t="shared" si="111"/>
        <v>-</v>
      </c>
      <c r="V1343" s="12" t="str" cm="1">
        <f t="array" ref="V1343">_xlfn.IFS(
ISNUMBER(SEARCH("USA",S1343)),"United States",
ISNUMBER(SEARCH("Republic of Ireland",S1343)),"Ireland",
ISNUMBER(SEARCH("Republic of Korea",S1343)),"South Korea",
ISNUMBER(SEARCH("Cape Verde",S1343)),"Cabo Verde",
ISNUMBER(SEARCH("Czechia",S1343)),"Czech Republic",
ISNUMBER(SEARCH("Türkiye",S1343)),"Turkey",
ISNUMBER(SEARCH("Ivory Coast",S1343)),"Côte d'Ivoire",
ISNUMBER(SEARCH("Korea Republic",S1343)),"South Korea",
ISNUMBER(SEARCH("Germany FR",S1343)),"FR Germany",
ISNUMBER(SEARCH("West Germany",S1343)),"FR Germany",
ISNUMBER(SEARCH("Germany DR",S1343)),"DR Germany",
ISNUMBER(SEARCH("Korea DPR",S1343)),"North Korea",
ISNUMBER(SEARCH("China PR",S1343)),"China",
ISNUMBER(SEARCH("IR Iran",S1343)),"Iran",
ISNUMBER(SEARCH("Congo DR",S1343)),"Democratic Republic of the Congo",
ISNUMBER(SEARCH("DR Congo",S1343)),"Democratic Republic of the Congo",
ISNUMBER(SEARCH("German DR",S1343)),"DR Germany",
ISNUMBER(SEARCH("rn""&gt;United Arab Emirates",S1343)),"United Arab Emirates",
ISNUMBER(SEARCH("rn""&gt;Republic of Ireland",S1343)),"Ireland",
ISNUMBER(SEARCH("rn""&gt;Bosnia and Herzegovina",S1343)),"Bosnia and Herzegovina",
ISNUMBER(SEARCH("rn""&gt;Trinidad and Tobago",S1343)),"Trinidad and Tobago",
ISNUMBER(SEARCH("rn""&gt;Serbia and Montenegro",S1343)),"Serbia and Montenegro",
ISNUMBER(SEARCH(_xlfn.UNICHAR(65533),S1343)),"Côte d'Ivoire",
TRUE,""
)</f>
        <v/>
      </c>
      <c r="W1343" s="12" t="str">
        <f t="shared" si="112"/>
        <v>Brazil</v>
      </c>
    </row>
    <row r="1344" spans="2:23">
      <c r="B1344" s="75">
        <v>907</v>
      </c>
      <c r="C1344" s="15" t="str">
        <v>Oscar Bobb</v>
      </c>
      <c r="D1344" s="15">
        <v>22</v>
      </c>
      <c r="E1344" s="15" t="str">
        <v>Norway</v>
      </c>
      <c r="F1344" s="15" t="str">
        <v>RW</v>
      </c>
      <c r="G1344" s="15" t="str">
        <v>Fulham</v>
      </c>
      <c r="H1344" s="15">
        <v>22</v>
      </c>
      <c r="I1344" s="15" t="str">
        <f t="shared" si="113"/>
        <v>907|Oscar Bobb|22|Norway|RW|Fulham|22</v>
      </c>
      <c r="J1344" s="15" t="str">
        <f>IF(COUNTIF(I$438:I1344,I1344)&gt;1,"DOUBLON","OK")</f>
        <v>OK</v>
      </c>
      <c r="S1344" s="12" t="str">
        <v>Brazil</v>
      </c>
      <c r="T1344" s="12" t="str">
        <f t="shared" si="110"/>
        <v>OK</v>
      </c>
      <c r="U1344" s="12" t="str">
        <f t="shared" si="111"/>
        <v>-</v>
      </c>
      <c r="V1344" s="12" t="str" cm="1">
        <f t="array" ref="V1344">_xlfn.IFS(
ISNUMBER(SEARCH("USA",S1344)),"United States",
ISNUMBER(SEARCH("Republic of Ireland",S1344)),"Ireland",
ISNUMBER(SEARCH("Republic of Korea",S1344)),"South Korea",
ISNUMBER(SEARCH("Cape Verde",S1344)),"Cabo Verde",
ISNUMBER(SEARCH("Czechia",S1344)),"Czech Republic",
ISNUMBER(SEARCH("Türkiye",S1344)),"Turkey",
ISNUMBER(SEARCH("Ivory Coast",S1344)),"Côte d'Ivoire",
ISNUMBER(SEARCH("Korea Republic",S1344)),"South Korea",
ISNUMBER(SEARCH("Germany FR",S1344)),"FR Germany",
ISNUMBER(SEARCH("West Germany",S1344)),"FR Germany",
ISNUMBER(SEARCH("Germany DR",S1344)),"DR Germany",
ISNUMBER(SEARCH("Korea DPR",S1344)),"North Korea",
ISNUMBER(SEARCH("China PR",S1344)),"China",
ISNUMBER(SEARCH("IR Iran",S1344)),"Iran",
ISNUMBER(SEARCH("Congo DR",S1344)),"Democratic Republic of the Congo",
ISNUMBER(SEARCH("DR Congo",S1344)),"Democratic Republic of the Congo",
ISNUMBER(SEARCH("German DR",S1344)),"DR Germany",
ISNUMBER(SEARCH("rn""&gt;United Arab Emirates",S1344)),"United Arab Emirates",
ISNUMBER(SEARCH("rn""&gt;Republic of Ireland",S1344)),"Ireland",
ISNUMBER(SEARCH("rn""&gt;Bosnia and Herzegovina",S1344)),"Bosnia and Herzegovina",
ISNUMBER(SEARCH("rn""&gt;Trinidad and Tobago",S1344)),"Trinidad and Tobago",
ISNUMBER(SEARCH("rn""&gt;Serbia and Montenegro",S1344)),"Serbia and Montenegro",
ISNUMBER(SEARCH(_xlfn.UNICHAR(65533),S1344)),"Côte d'Ivoire",
TRUE,""
)</f>
        <v/>
      </c>
      <c r="W1344" s="12" t="str">
        <f t="shared" si="112"/>
        <v>Brazil</v>
      </c>
    </row>
    <row r="1345" spans="2:23">
      <c r="B1345" s="75">
        <v>908</v>
      </c>
      <c r="C1345" s="15" t="str">
        <v>Alexander Sørloth</v>
      </c>
      <c r="D1345" s="15">
        <v>30</v>
      </c>
      <c r="E1345" s="15" t="str">
        <v>Norway</v>
      </c>
      <c r="F1345" s="15" t="str">
        <v>ST</v>
      </c>
      <c r="G1345" s="15" t="str">
        <v>Atlético Madrid</v>
      </c>
      <c r="H1345" s="15">
        <v>7</v>
      </c>
      <c r="I1345" s="15" t="str">
        <f t="shared" si="113"/>
        <v>908|Alexander Sørloth|30|Norway|ST|Atlético Madrid|7</v>
      </c>
      <c r="J1345" s="15" t="str">
        <f>IF(COUNTIF(I$438:I1345,I1345)&gt;1,"DOUBLON","OK")</f>
        <v>OK</v>
      </c>
      <c r="S1345" s="12" t="str">
        <v>Brazil</v>
      </c>
      <c r="T1345" s="12" t="str">
        <f t="shared" si="110"/>
        <v>OK</v>
      </c>
      <c r="U1345" s="12" t="str">
        <f t="shared" si="111"/>
        <v>-</v>
      </c>
      <c r="V1345" s="12" t="str" cm="1">
        <f t="array" ref="V1345">_xlfn.IFS(
ISNUMBER(SEARCH("USA",S1345)),"United States",
ISNUMBER(SEARCH("Republic of Ireland",S1345)),"Ireland",
ISNUMBER(SEARCH("Republic of Korea",S1345)),"South Korea",
ISNUMBER(SEARCH("Cape Verde",S1345)),"Cabo Verde",
ISNUMBER(SEARCH("Czechia",S1345)),"Czech Republic",
ISNUMBER(SEARCH("Türkiye",S1345)),"Turkey",
ISNUMBER(SEARCH("Ivory Coast",S1345)),"Côte d'Ivoire",
ISNUMBER(SEARCH("Korea Republic",S1345)),"South Korea",
ISNUMBER(SEARCH("Germany FR",S1345)),"FR Germany",
ISNUMBER(SEARCH("West Germany",S1345)),"FR Germany",
ISNUMBER(SEARCH("Germany DR",S1345)),"DR Germany",
ISNUMBER(SEARCH("Korea DPR",S1345)),"North Korea",
ISNUMBER(SEARCH("China PR",S1345)),"China",
ISNUMBER(SEARCH("IR Iran",S1345)),"Iran",
ISNUMBER(SEARCH("Congo DR",S1345)),"Democratic Republic of the Congo",
ISNUMBER(SEARCH("DR Congo",S1345)),"Democratic Republic of the Congo",
ISNUMBER(SEARCH("German DR",S1345)),"DR Germany",
ISNUMBER(SEARCH("rn""&gt;United Arab Emirates",S1345)),"United Arab Emirates",
ISNUMBER(SEARCH("rn""&gt;Republic of Ireland",S1345)),"Ireland",
ISNUMBER(SEARCH("rn""&gt;Bosnia and Herzegovina",S1345)),"Bosnia and Herzegovina",
ISNUMBER(SEARCH("rn""&gt;Trinidad and Tobago",S1345)),"Trinidad and Tobago",
ISNUMBER(SEARCH("rn""&gt;Serbia and Montenegro",S1345)),"Serbia and Montenegro",
ISNUMBER(SEARCH(_xlfn.UNICHAR(65533),S1345)),"Côte d'Ivoire",
TRUE,""
)</f>
        <v/>
      </c>
      <c r="W1345" s="12" t="str">
        <f t="shared" si="112"/>
        <v>Brazil</v>
      </c>
    </row>
    <row r="1346" spans="2:23">
      <c r="B1346" s="75">
        <v>909</v>
      </c>
      <c r="C1346" s="15" t="str">
        <v>Erling Haaland</v>
      </c>
      <c r="D1346" s="15">
        <v>25</v>
      </c>
      <c r="E1346" s="15" t="str">
        <v>Norway</v>
      </c>
      <c r="F1346" s="15" t="str">
        <v>ST</v>
      </c>
      <c r="G1346" s="15" t="str">
        <v>Manchester City</v>
      </c>
      <c r="H1346" s="15">
        <v>9</v>
      </c>
      <c r="I1346" s="15" t="str">
        <f t="shared" si="113"/>
        <v>909|Erling Haaland|25|Norway|ST|Manchester City|9</v>
      </c>
      <c r="J1346" s="15" t="str">
        <f>IF(COUNTIF(I$438:I1346,I1346)&gt;1,"DOUBLON","OK")</f>
        <v>OK</v>
      </c>
      <c r="S1346" s="12" t="str">
        <v>Brazil</v>
      </c>
      <c r="T1346" s="12" t="str">
        <f t="shared" si="110"/>
        <v>OK</v>
      </c>
      <c r="U1346" s="12" t="str">
        <f t="shared" si="111"/>
        <v>-</v>
      </c>
      <c r="V1346" s="12" t="str" cm="1">
        <f t="array" ref="V1346">_xlfn.IFS(
ISNUMBER(SEARCH("USA",S1346)),"United States",
ISNUMBER(SEARCH("Republic of Ireland",S1346)),"Ireland",
ISNUMBER(SEARCH("Republic of Korea",S1346)),"South Korea",
ISNUMBER(SEARCH("Cape Verde",S1346)),"Cabo Verde",
ISNUMBER(SEARCH("Czechia",S1346)),"Czech Republic",
ISNUMBER(SEARCH("Türkiye",S1346)),"Turkey",
ISNUMBER(SEARCH("Ivory Coast",S1346)),"Côte d'Ivoire",
ISNUMBER(SEARCH("Korea Republic",S1346)),"South Korea",
ISNUMBER(SEARCH("Germany FR",S1346)),"FR Germany",
ISNUMBER(SEARCH("West Germany",S1346)),"FR Germany",
ISNUMBER(SEARCH("Germany DR",S1346)),"DR Germany",
ISNUMBER(SEARCH("Korea DPR",S1346)),"North Korea",
ISNUMBER(SEARCH("China PR",S1346)),"China",
ISNUMBER(SEARCH("IR Iran",S1346)),"Iran",
ISNUMBER(SEARCH("Congo DR",S1346)),"Democratic Republic of the Congo",
ISNUMBER(SEARCH("DR Congo",S1346)),"Democratic Republic of the Congo",
ISNUMBER(SEARCH("German DR",S1346)),"DR Germany",
ISNUMBER(SEARCH("rn""&gt;United Arab Emirates",S1346)),"United Arab Emirates",
ISNUMBER(SEARCH("rn""&gt;Republic of Ireland",S1346)),"Ireland",
ISNUMBER(SEARCH("rn""&gt;Bosnia and Herzegovina",S1346)),"Bosnia and Herzegovina",
ISNUMBER(SEARCH("rn""&gt;Trinidad and Tobago",S1346)),"Trinidad and Tobago",
ISNUMBER(SEARCH("rn""&gt;Serbia and Montenegro",S1346)),"Serbia and Montenegro",
ISNUMBER(SEARCH(_xlfn.UNICHAR(65533),S1346)),"Côte d'Ivoire",
TRUE,""
)</f>
        <v/>
      </c>
      <c r="W1346" s="12" t="str">
        <f t="shared" si="112"/>
        <v>Brazil</v>
      </c>
    </row>
    <row r="1347" spans="2:23">
      <c r="B1347" s="75">
        <v>910</v>
      </c>
      <c r="C1347" s="15" t="str">
        <v>Jørgen Strand Larsen</v>
      </c>
      <c r="D1347" s="15">
        <v>26</v>
      </c>
      <c r="E1347" s="15" t="str">
        <v>Norway</v>
      </c>
      <c r="F1347" s="15" t="str">
        <v>ST</v>
      </c>
      <c r="G1347" s="15" t="str">
        <v>Crystal Palace</v>
      </c>
      <c r="H1347" s="15">
        <v>11</v>
      </c>
      <c r="I1347" s="15" t="str">
        <f t="shared" si="113"/>
        <v>910|Jørgen Strand Larsen|26|Norway|ST|Crystal Palace|11</v>
      </c>
      <c r="J1347" s="15" t="str">
        <f>IF(COUNTIF(I$438:I1347,I1347)&gt;1,"DOUBLON","OK")</f>
        <v>OK</v>
      </c>
      <c r="S1347" s="12" t="str">
        <v>Brazil</v>
      </c>
      <c r="T1347" s="12" t="str">
        <f t="shared" si="110"/>
        <v>OK</v>
      </c>
      <c r="U1347" s="12" t="str">
        <f t="shared" si="111"/>
        <v>-</v>
      </c>
      <c r="V1347" s="12" t="str" cm="1">
        <f t="array" ref="V1347">_xlfn.IFS(
ISNUMBER(SEARCH("USA",S1347)),"United States",
ISNUMBER(SEARCH("Republic of Ireland",S1347)),"Ireland",
ISNUMBER(SEARCH("Republic of Korea",S1347)),"South Korea",
ISNUMBER(SEARCH("Cape Verde",S1347)),"Cabo Verde",
ISNUMBER(SEARCH("Czechia",S1347)),"Czech Republic",
ISNUMBER(SEARCH("Türkiye",S1347)),"Turkey",
ISNUMBER(SEARCH("Ivory Coast",S1347)),"Côte d'Ivoire",
ISNUMBER(SEARCH("Korea Republic",S1347)),"South Korea",
ISNUMBER(SEARCH("Germany FR",S1347)),"FR Germany",
ISNUMBER(SEARCH("West Germany",S1347)),"FR Germany",
ISNUMBER(SEARCH("Germany DR",S1347)),"DR Germany",
ISNUMBER(SEARCH("Korea DPR",S1347)),"North Korea",
ISNUMBER(SEARCH("China PR",S1347)),"China",
ISNUMBER(SEARCH("IR Iran",S1347)),"Iran",
ISNUMBER(SEARCH("Congo DR",S1347)),"Democratic Republic of the Congo",
ISNUMBER(SEARCH("DR Congo",S1347)),"Democratic Republic of the Congo",
ISNUMBER(SEARCH("German DR",S1347)),"DR Germany",
ISNUMBER(SEARCH("rn""&gt;United Arab Emirates",S1347)),"United Arab Emirates",
ISNUMBER(SEARCH("rn""&gt;Republic of Ireland",S1347)),"Ireland",
ISNUMBER(SEARCH("rn""&gt;Bosnia and Herzegovina",S1347)),"Bosnia and Herzegovina",
ISNUMBER(SEARCH("rn""&gt;Trinidad and Tobago",S1347)),"Trinidad and Tobago",
ISNUMBER(SEARCH("rn""&gt;Serbia and Montenegro",S1347)),"Serbia and Montenegro",
ISNUMBER(SEARCH(_xlfn.UNICHAR(65533),S1347)),"Côte d'Ivoire",
TRUE,""
)</f>
        <v/>
      </c>
      <c r="W1347" s="12" t="str">
        <f t="shared" si="112"/>
        <v>Brazil</v>
      </c>
    </row>
    <row r="1348" spans="2:23">
      <c r="B1348" s="75">
        <v>911</v>
      </c>
      <c r="C1348" s="15" t="str">
        <v>Yehvann Diouf</v>
      </c>
      <c r="D1348" s="15">
        <v>26</v>
      </c>
      <c r="E1348" s="15" t="str">
        <v>Senegal</v>
      </c>
      <c r="F1348" s="15" t="str">
        <v>GK</v>
      </c>
      <c r="G1348" s="15" t="str">
        <v>Nice</v>
      </c>
      <c r="H1348" s="15">
        <v>1</v>
      </c>
      <c r="I1348" s="15" t="str">
        <f t="shared" si="113"/>
        <v>911|Yehvann Diouf|26|Senegal|GK|Nice|1</v>
      </c>
      <c r="J1348" s="15" t="str">
        <f>IF(COUNTIF(I$438:I1348,I1348)&gt;1,"DOUBLON","OK")</f>
        <v>OK</v>
      </c>
      <c r="S1348" s="12" t="str">
        <v>Brazil</v>
      </c>
      <c r="T1348" s="12" t="str">
        <f t="shared" si="110"/>
        <v>OK</v>
      </c>
      <c r="U1348" s="12" t="str">
        <f t="shared" si="111"/>
        <v>-</v>
      </c>
      <c r="V1348" s="12" t="str" cm="1">
        <f t="array" ref="V1348">_xlfn.IFS(
ISNUMBER(SEARCH("USA",S1348)),"United States",
ISNUMBER(SEARCH("Republic of Ireland",S1348)),"Ireland",
ISNUMBER(SEARCH("Republic of Korea",S1348)),"South Korea",
ISNUMBER(SEARCH("Cape Verde",S1348)),"Cabo Verde",
ISNUMBER(SEARCH("Czechia",S1348)),"Czech Republic",
ISNUMBER(SEARCH("Türkiye",S1348)),"Turkey",
ISNUMBER(SEARCH("Ivory Coast",S1348)),"Côte d'Ivoire",
ISNUMBER(SEARCH("Korea Republic",S1348)),"South Korea",
ISNUMBER(SEARCH("Germany FR",S1348)),"FR Germany",
ISNUMBER(SEARCH("West Germany",S1348)),"FR Germany",
ISNUMBER(SEARCH("Germany DR",S1348)),"DR Germany",
ISNUMBER(SEARCH("Korea DPR",S1348)),"North Korea",
ISNUMBER(SEARCH("China PR",S1348)),"China",
ISNUMBER(SEARCH("IR Iran",S1348)),"Iran",
ISNUMBER(SEARCH("Congo DR",S1348)),"Democratic Republic of the Congo",
ISNUMBER(SEARCH("DR Congo",S1348)),"Democratic Republic of the Congo",
ISNUMBER(SEARCH("German DR",S1348)),"DR Germany",
ISNUMBER(SEARCH("rn""&gt;United Arab Emirates",S1348)),"United Arab Emirates",
ISNUMBER(SEARCH("rn""&gt;Republic of Ireland",S1348)),"Ireland",
ISNUMBER(SEARCH("rn""&gt;Bosnia and Herzegovina",S1348)),"Bosnia and Herzegovina",
ISNUMBER(SEARCH("rn""&gt;Trinidad and Tobago",S1348)),"Trinidad and Tobago",
ISNUMBER(SEARCH("rn""&gt;Serbia and Montenegro",S1348)),"Serbia and Montenegro",
ISNUMBER(SEARCH(_xlfn.UNICHAR(65533),S1348)),"Côte d'Ivoire",
TRUE,""
)</f>
        <v/>
      </c>
      <c r="W1348" s="12" t="str">
        <f t="shared" si="112"/>
        <v>Brazil</v>
      </c>
    </row>
    <row r="1349" spans="2:23">
      <c r="B1349" s="75">
        <v>912</v>
      </c>
      <c r="C1349" s="15" t="str">
        <v>Édouard Mendy</v>
      </c>
      <c r="D1349" s="15">
        <v>34</v>
      </c>
      <c r="E1349" s="15" t="str">
        <v>Senegal</v>
      </c>
      <c r="F1349" s="15" t="str">
        <v>GK</v>
      </c>
      <c r="G1349" s="15" t="str">
        <v>Al-Ahli</v>
      </c>
      <c r="H1349" s="15">
        <v>16</v>
      </c>
      <c r="I1349" s="15" t="str">
        <f t="shared" si="113"/>
        <v>912|Édouard Mendy|34|Senegal|GK|Al-Ahli|16</v>
      </c>
      <c r="J1349" s="15" t="str">
        <f>IF(COUNTIF(I$438:I1349,I1349)&gt;1,"DOUBLON","OK")</f>
        <v>OK</v>
      </c>
      <c r="S1349" s="12" t="str">
        <v>Brazil</v>
      </c>
      <c r="T1349" s="12" t="str">
        <f t="shared" si="110"/>
        <v>OK</v>
      </c>
      <c r="U1349" s="12" t="str">
        <f t="shared" si="111"/>
        <v>-</v>
      </c>
      <c r="V1349" s="12" t="str" cm="1">
        <f t="array" ref="V1349">_xlfn.IFS(
ISNUMBER(SEARCH("USA",S1349)),"United States",
ISNUMBER(SEARCH("Republic of Ireland",S1349)),"Ireland",
ISNUMBER(SEARCH("Republic of Korea",S1349)),"South Korea",
ISNUMBER(SEARCH("Cape Verde",S1349)),"Cabo Verde",
ISNUMBER(SEARCH("Czechia",S1349)),"Czech Republic",
ISNUMBER(SEARCH("Türkiye",S1349)),"Turkey",
ISNUMBER(SEARCH("Ivory Coast",S1349)),"Côte d'Ivoire",
ISNUMBER(SEARCH("Korea Republic",S1349)),"South Korea",
ISNUMBER(SEARCH("Germany FR",S1349)),"FR Germany",
ISNUMBER(SEARCH("West Germany",S1349)),"FR Germany",
ISNUMBER(SEARCH("Germany DR",S1349)),"DR Germany",
ISNUMBER(SEARCH("Korea DPR",S1349)),"North Korea",
ISNUMBER(SEARCH("China PR",S1349)),"China",
ISNUMBER(SEARCH("IR Iran",S1349)),"Iran",
ISNUMBER(SEARCH("Congo DR",S1349)),"Democratic Republic of the Congo",
ISNUMBER(SEARCH("DR Congo",S1349)),"Democratic Republic of the Congo",
ISNUMBER(SEARCH("German DR",S1349)),"DR Germany",
ISNUMBER(SEARCH("rn""&gt;United Arab Emirates",S1349)),"United Arab Emirates",
ISNUMBER(SEARCH("rn""&gt;Republic of Ireland",S1349)),"Ireland",
ISNUMBER(SEARCH("rn""&gt;Bosnia and Herzegovina",S1349)),"Bosnia and Herzegovina",
ISNUMBER(SEARCH("rn""&gt;Trinidad and Tobago",S1349)),"Trinidad and Tobago",
ISNUMBER(SEARCH("rn""&gt;Serbia and Montenegro",S1349)),"Serbia and Montenegro",
ISNUMBER(SEARCH(_xlfn.UNICHAR(65533),S1349)),"Côte d'Ivoire",
TRUE,""
)</f>
        <v/>
      </c>
      <c r="W1349" s="12" t="str">
        <f t="shared" si="112"/>
        <v>Brazil</v>
      </c>
    </row>
    <row r="1350" spans="2:23">
      <c r="B1350" s="75">
        <v>913</v>
      </c>
      <c r="C1350" s="15" t="str">
        <v>Mory Diaw</v>
      </c>
      <c r="D1350" s="15">
        <v>32</v>
      </c>
      <c r="E1350" s="15" t="str">
        <v>Senegal</v>
      </c>
      <c r="F1350" s="15" t="str">
        <v>GK</v>
      </c>
      <c r="G1350" s="15" t="str">
        <v>Le Havre</v>
      </c>
      <c r="H1350" s="15">
        <v>23</v>
      </c>
      <c r="I1350" s="15" t="str">
        <f t="shared" si="113"/>
        <v>913|Mory Diaw|32|Senegal|GK|Le Havre|23</v>
      </c>
      <c r="J1350" s="15" t="str">
        <f>IF(COUNTIF(I$438:I1350,I1350)&gt;1,"DOUBLON","OK")</f>
        <v>OK</v>
      </c>
      <c r="S1350" s="12" t="str">
        <v>Brazil</v>
      </c>
      <c r="T1350" s="12" t="str">
        <f t="shared" si="110"/>
        <v>OK</v>
      </c>
      <c r="U1350" s="12" t="str">
        <f t="shared" si="111"/>
        <v>-</v>
      </c>
      <c r="V1350" s="12" t="str" cm="1">
        <f t="array" ref="V1350">_xlfn.IFS(
ISNUMBER(SEARCH("USA",S1350)),"United States",
ISNUMBER(SEARCH("Republic of Ireland",S1350)),"Ireland",
ISNUMBER(SEARCH("Republic of Korea",S1350)),"South Korea",
ISNUMBER(SEARCH("Cape Verde",S1350)),"Cabo Verde",
ISNUMBER(SEARCH("Czechia",S1350)),"Czech Republic",
ISNUMBER(SEARCH("Türkiye",S1350)),"Turkey",
ISNUMBER(SEARCH("Ivory Coast",S1350)),"Côte d'Ivoire",
ISNUMBER(SEARCH("Korea Republic",S1350)),"South Korea",
ISNUMBER(SEARCH("Germany FR",S1350)),"FR Germany",
ISNUMBER(SEARCH("West Germany",S1350)),"FR Germany",
ISNUMBER(SEARCH("Germany DR",S1350)),"DR Germany",
ISNUMBER(SEARCH("Korea DPR",S1350)),"North Korea",
ISNUMBER(SEARCH("China PR",S1350)),"China",
ISNUMBER(SEARCH("IR Iran",S1350)),"Iran",
ISNUMBER(SEARCH("Congo DR",S1350)),"Democratic Republic of the Congo",
ISNUMBER(SEARCH("DR Congo",S1350)),"Democratic Republic of the Congo",
ISNUMBER(SEARCH("German DR",S1350)),"DR Germany",
ISNUMBER(SEARCH("rn""&gt;United Arab Emirates",S1350)),"United Arab Emirates",
ISNUMBER(SEARCH("rn""&gt;Republic of Ireland",S1350)),"Ireland",
ISNUMBER(SEARCH("rn""&gt;Bosnia and Herzegovina",S1350)),"Bosnia and Herzegovina",
ISNUMBER(SEARCH("rn""&gt;Trinidad and Tobago",S1350)),"Trinidad and Tobago",
ISNUMBER(SEARCH("rn""&gt;Serbia and Montenegro",S1350)),"Serbia and Montenegro",
ISNUMBER(SEARCH(_xlfn.UNICHAR(65533),S1350)),"Côte d'Ivoire",
TRUE,""
)</f>
        <v/>
      </c>
      <c r="W1350" s="12" t="str">
        <f t="shared" si="112"/>
        <v>Brazil</v>
      </c>
    </row>
    <row r="1351" spans="2:23">
      <c r="B1351" s="75">
        <v>914</v>
      </c>
      <c r="C1351" s="15" t="str">
        <v>Mamadou Sarr</v>
      </c>
      <c r="D1351" s="15">
        <v>20</v>
      </c>
      <c r="E1351" s="15" t="str">
        <v>Senegal</v>
      </c>
      <c r="F1351" s="15" t="str">
        <v>CB</v>
      </c>
      <c r="G1351" s="15" t="str">
        <v>Chelsea</v>
      </c>
      <c r="H1351" s="15">
        <v>2</v>
      </c>
      <c r="I1351" s="15" t="str">
        <f t="shared" si="113"/>
        <v>914|Mamadou Sarr|20|Senegal|CB|Chelsea|2</v>
      </c>
      <c r="J1351" s="15" t="str">
        <f>IF(COUNTIF(I$438:I1351,I1351)&gt;1,"DOUBLON","OK")</f>
        <v>OK</v>
      </c>
      <c r="S1351" s="12" t="str">
        <v>Brazil</v>
      </c>
      <c r="T1351" s="12" t="str">
        <f t="shared" si="110"/>
        <v>OK</v>
      </c>
      <c r="U1351" s="12" t="str">
        <f t="shared" si="111"/>
        <v>-</v>
      </c>
      <c r="V1351" s="12" t="str" cm="1">
        <f t="array" ref="V1351">_xlfn.IFS(
ISNUMBER(SEARCH("USA",S1351)),"United States",
ISNUMBER(SEARCH("Republic of Ireland",S1351)),"Ireland",
ISNUMBER(SEARCH("Republic of Korea",S1351)),"South Korea",
ISNUMBER(SEARCH("Cape Verde",S1351)),"Cabo Verde",
ISNUMBER(SEARCH("Czechia",S1351)),"Czech Republic",
ISNUMBER(SEARCH("Türkiye",S1351)),"Turkey",
ISNUMBER(SEARCH("Ivory Coast",S1351)),"Côte d'Ivoire",
ISNUMBER(SEARCH("Korea Republic",S1351)),"South Korea",
ISNUMBER(SEARCH("Germany FR",S1351)),"FR Germany",
ISNUMBER(SEARCH("West Germany",S1351)),"FR Germany",
ISNUMBER(SEARCH("Germany DR",S1351)),"DR Germany",
ISNUMBER(SEARCH("Korea DPR",S1351)),"North Korea",
ISNUMBER(SEARCH("China PR",S1351)),"China",
ISNUMBER(SEARCH("IR Iran",S1351)),"Iran",
ISNUMBER(SEARCH("Congo DR",S1351)),"Democratic Republic of the Congo",
ISNUMBER(SEARCH("DR Congo",S1351)),"Democratic Republic of the Congo",
ISNUMBER(SEARCH("German DR",S1351)),"DR Germany",
ISNUMBER(SEARCH("rn""&gt;United Arab Emirates",S1351)),"United Arab Emirates",
ISNUMBER(SEARCH("rn""&gt;Republic of Ireland",S1351)),"Ireland",
ISNUMBER(SEARCH("rn""&gt;Bosnia and Herzegovina",S1351)),"Bosnia and Herzegovina",
ISNUMBER(SEARCH("rn""&gt;Trinidad and Tobago",S1351)),"Trinidad and Tobago",
ISNUMBER(SEARCH("rn""&gt;Serbia and Montenegro",S1351)),"Serbia and Montenegro",
ISNUMBER(SEARCH(_xlfn.UNICHAR(65533),S1351)),"Côte d'Ivoire",
TRUE,""
)</f>
        <v/>
      </c>
      <c r="W1351" s="12" t="str">
        <f t="shared" si="112"/>
        <v>Brazil</v>
      </c>
    </row>
    <row r="1352" spans="2:23">
      <c r="B1352" s="75">
        <v>915</v>
      </c>
      <c r="C1352" s="15" t="str">
        <v>Kalidou Koulibaly</v>
      </c>
      <c r="D1352" s="15">
        <v>34</v>
      </c>
      <c r="E1352" s="15" t="str">
        <v>Senegal</v>
      </c>
      <c r="F1352" s="15" t="str">
        <v>CB</v>
      </c>
      <c r="G1352" s="15" t="str">
        <v>Al-Hilal</v>
      </c>
      <c r="H1352" s="15">
        <v>3</v>
      </c>
      <c r="I1352" s="15" t="str">
        <f t="shared" si="113"/>
        <v>915|Kalidou Koulibaly|34|Senegal|CB|Al-Hilal|3</v>
      </c>
      <c r="J1352" s="15" t="str">
        <f>IF(COUNTIF(I$438:I1352,I1352)&gt;1,"DOUBLON","OK")</f>
        <v>OK</v>
      </c>
      <c r="S1352" s="12" t="str">
        <v>Brazil</v>
      </c>
      <c r="T1352" s="12" t="str">
        <f t="shared" si="110"/>
        <v>OK</v>
      </c>
      <c r="U1352" s="12" t="str">
        <f t="shared" si="111"/>
        <v>-</v>
      </c>
      <c r="V1352" s="12" t="str" cm="1">
        <f t="array" ref="V1352">_xlfn.IFS(
ISNUMBER(SEARCH("USA",S1352)),"United States",
ISNUMBER(SEARCH("Republic of Ireland",S1352)),"Ireland",
ISNUMBER(SEARCH("Republic of Korea",S1352)),"South Korea",
ISNUMBER(SEARCH("Cape Verde",S1352)),"Cabo Verde",
ISNUMBER(SEARCH("Czechia",S1352)),"Czech Republic",
ISNUMBER(SEARCH("Türkiye",S1352)),"Turkey",
ISNUMBER(SEARCH("Ivory Coast",S1352)),"Côte d'Ivoire",
ISNUMBER(SEARCH("Korea Republic",S1352)),"South Korea",
ISNUMBER(SEARCH("Germany FR",S1352)),"FR Germany",
ISNUMBER(SEARCH("West Germany",S1352)),"FR Germany",
ISNUMBER(SEARCH("Germany DR",S1352)),"DR Germany",
ISNUMBER(SEARCH("Korea DPR",S1352)),"North Korea",
ISNUMBER(SEARCH("China PR",S1352)),"China",
ISNUMBER(SEARCH("IR Iran",S1352)),"Iran",
ISNUMBER(SEARCH("Congo DR",S1352)),"Democratic Republic of the Congo",
ISNUMBER(SEARCH("DR Congo",S1352)),"Democratic Republic of the Congo",
ISNUMBER(SEARCH("German DR",S1352)),"DR Germany",
ISNUMBER(SEARCH("rn""&gt;United Arab Emirates",S1352)),"United Arab Emirates",
ISNUMBER(SEARCH("rn""&gt;Republic of Ireland",S1352)),"Ireland",
ISNUMBER(SEARCH("rn""&gt;Bosnia and Herzegovina",S1352)),"Bosnia and Herzegovina",
ISNUMBER(SEARCH("rn""&gt;Trinidad and Tobago",S1352)),"Trinidad and Tobago",
ISNUMBER(SEARCH("rn""&gt;Serbia and Montenegro",S1352)),"Serbia and Montenegro",
ISNUMBER(SEARCH(_xlfn.UNICHAR(65533),S1352)),"Côte d'Ivoire",
TRUE,""
)</f>
        <v/>
      </c>
      <c r="W1352" s="12" t="str">
        <f t="shared" si="112"/>
        <v>Brazil</v>
      </c>
    </row>
    <row r="1353" spans="2:23">
      <c r="B1353" s="75">
        <v>916</v>
      </c>
      <c r="C1353" s="15" t="str">
        <v>Abdoulaye Seck</v>
      </c>
      <c r="D1353" s="15">
        <v>34</v>
      </c>
      <c r="E1353" s="15" t="str">
        <v>Senegal</v>
      </c>
      <c r="F1353" s="15" t="str">
        <v>CB</v>
      </c>
      <c r="G1353" s="15" t="str">
        <v>Maccabi Haifa</v>
      </c>
      <c r="H1353" s="15">
        <v>4</v>
      </c>
      <c r="I1353" s="15" t="str">
        <f t="shared" si="113"/>
        <v>916|Abdoulaye Seck|34|Senegal|CB|Maccabi Haifa|4</v>
      </c>
      <c r="J1353" s="15" t="str">
        <f>IF(COUNTIF(I$438:I1353,I1353)&gt;1,"DOUBLON","OK")</f>
        <v>OK</v>
      </c>
      <c r="S1353" s="12" t="str">
        <v>Brazil</v>
      </c>
      <c r="T1353" s="12" t="str">
        <f t="shared" si="110"/>
        <v>OK</v>
      </c>
      <c r="U1353" s="12" t="str">
        <f t="shared" si="111"/>
        <v>-</v>
      </c>
      <c r="V1353" s="12" t="str" cm="1">
        <f t="array" ref="V1353">_xlfn.IFS(
ISNUMBER(SEARCH("USA",S1353)),"United States",
ISNUMBER(SEARCH("Republic of Ireland",S1353)),"Ireland",
ISNUMBER(SEARCH("Republic of Korea",S1353)),"South Korea",
ISNUMBER(SEARCH("Cape Verde",S1353)),"Cabo Verde",
ISNUMBER(SEARCH("Czechia",S1353)),"Czech Republic",
ISNUMBER(SEARCH("Türkiye",S1353)),"Turkey",
ISNUMBER(SEARCH("Ivory Coast",S1353)),"Côte d'Ivoire",
ISNUMBER(SEARCH("Korea Republic",S1353)),"South Korea",
ISNUMBER(SEARCH("Germany FR",S1353)),"FR Germany",
ISNUMBER(SEARCH("West Germany",S1353)),"FR Germany",
ISNUMBER(SEARCH("Germany DR",S1353)),"DR Germany",
ISNUMBER(SEARCH("Korea DPR",S1353)),"North Korea",
ISNUMBER(SEARCH("China PR",S1353)),"China",
ISNUMBER(SEARCH("IR Iran",S1353)),"Iran",
ISNUMBER(SEARCH("Congo DR",S1353)),"Democratic Republic of the Congo",
ISNUMBER(SEARCH("DR Congo",S1353)),"Democratic Republic of the Congo",
ISNUMBER(SEARCH("German DR",S1353)),"DR Germany",
ISNUMBER(SEARCH("rn""&gt;United Arab Emirates",S1353)),"United Arab Emirates",
ISNUMBER(SEARCH("rn""&gt;Republic of Ireland",S1353)),"Ireland",
ISNUMBER(SEARCH("rn""&gt;Bosnia and Herzegovina",S1353)),"Bosnia and Herzegovina",
ISNUMBER(SEARCH("rn""&gt;Trinidad and Tobago",S1353)),"Trinidad and Tobago",
ISNUMBER(SEARCH("rn""&gt;Serbia and Montenegro",S1353)),"Serbia and Montenegro",
ISNUMBER(SEARCH(_xlfn.UNICHAR(65533),S1353)),"Côte d'Ivoire",
TRUE,""
)</f>
        <v/>
      </c>
      <c r="W1353" s="12" t="str">
        <f t="shared" si="112"/>
        <v>Brazil</v>
      </c>
    </row>
    <row r="1354" spans="2:23">
      <c r="B1354" s="75">
        <v>917</v>
      </c>
      <c r="C1354" s="15" t="str">
        <v>Moussa Niakhaté</v>
      </c>
      <c r="D1354" s="15">
        <v>30</v>
      </c>
      <c r="E1354" s="15" t="str">
        <v>Senegal</v>
      </c>
      <c r="F1354" s="15" t="str">
        <v>CB</v>
      </c>
      <c r="G1354" s="15" t="str">
        <v>Lyon</v>
      </c>
      <c r="H1354" s="15">
        <v>19</v>
      </c>
      <c r="I1354" s="15" t="str">
        <f t="shared" si="113"/>
        <v>917|Moussa Niakhaté|30|Senegal|CB|Lyon|19</v>
      </c>
      <c r="J1354" s="15" t="str">
        <f>IF(COUNTIF(I$438:I1354,I1354)&gt;1,"DOUBLON","OK")</f>
        <v>OK</v>
      </c>
      <c r="S1354" s="12" t="str">
        <v>Brazil</v>
      </c>
      <c r="T1354" s="12" t="str">
        <f t="shared" si="110"/>
        <v>OK</v>
      </c>
      <c r="U1354" s="12" t="str">
        <f t="shared" si="111"/>
        <v>-</v>
      </c>
      <c r="V1354" s="12" t="str" cm="1">
        <f t="array" ref="V1354">_xlfn.IFS(
ISNUMBER(SEARCH("USA",S1354)),"United States",
ISNUMBER(SEARCH("Republic of Ireland",S1354)),"Ireland",
ISNUMBER(SEARCH("Republic of Korea",S1354)),"South Korea",
ISNUMBER(SEARCH("Cape Verde",S1354)),"Cabo Verde",
ISNUMBER(SEARCH("Czechia",S1354)),"Czech Republic",
ISNUMBER(SEARCH("Türkiye",S1354)),"Turkey",
ISNUMBER(SEARCH("Ivory Coast",S1354)),"Côte d'Ivoire",
ISNUMBER(SEARCH("Korea Republic",S1354)),"South Korea",
ISNUMBER(SEARCH("Germany FR",S1354)),"FR Germany",
ISNUMBER(SEARCH("West Germany",S1354)),"FR Germany",
ISNUMBER(SEARCH("Germany DR",S1354)),"DR Germany",
ISNUMBER(SEARCH("Korea DPR",S1354)),"North Korea",
ISNUMBER(SEARCH("China PR",S1354)),"China",
ISNUMBER(SEARCH("IR Iran",S1354)),"Iran",
ISNUMBER(SEARCH("Congo DR",S1354)),"Democratic Republic of the Congo",
ISNUMBER(SEARCH("DR Congo",S1354)),"Democratic Republic of the Congo",
ISNUMBER(SEARCH("German DR",S1354)),"DR Germany",
ISNUMBER(SEARCH("rn""&gt;United Arab Emirates",S1354)),"United Arab Emirates",
ISNUMBER(SEARCH("rn""&gt;Republic of Ireland",S1354)),"Ireland",
ISNUMBER(SEARCH("rn""&gt;Bosnia and Herzegovina",S1354)),"Bosnia and Herzegovina",
ISNUMBER(SEARCH("rn""&gt;Trinidad and Tobago",S1354)),"Trinidad and Tobago",
ISNUMBER(SEARCH("rn""&gt;Serbia and Montenegro",S1354)),"Serbia and Montenegro",
ISNUMBER(SEARCH(_xlfn.UNICHAR(65533),S1354)),"Côte d'Ivoire",
TRUE,""
)</f>
        <v/>
      </c>
      <c r="W1354" s="12" t="str">
        <f t="shared" si="112"/>
        <v>Brazil</v>
      </c>
    </row>
    <row r="1355" spans="2:23">
      <c r="B1355" s="75">
        <v>918</v>
      </c>
      <c r="C1355" s="15" t="str">
        <v>Ismail Jakobs</v>
      </c>
      <c r="D1355" s="15">
        <v>26</v>
      </c>
      <c r="E1355" s="15" t="str">
        <v>Senegal</v>
      </c>
      <c r="F1355" s="15" t="str">
        <v>LB</v>
      </c>
      <c r="G1355" s="15" t="str">
        <v>Galatasaray</v>
      </c>
      <c r="H1355" s="15">
        <v>14</v>
      </c>
      <c r="I1355" s="15" t="str">
        <f t="shared" si="113"/>
        <v>918|Ismail Jakobs|26|Senegal|LB|Galatasaray|14</v>
      </c>
      <c r="J1355" s="15" t="str">
        <f>IF(COUNTIF(I$438:I1355,I1355)&gt;1,"DOUBLON","OK")</f>
        <v>OK</v>
      </c>
      <c r="S1355" s="12" t="str">
        <v>Haiti</v>
      </c>
      <c r="T1355" s="12" t="str">
        <f t="shared" si="110"/>
        <v>OK</v>
      </c>
      <c r="U1355" s="12" t="str">
        <f t="shared" si="111"/>
        <v>-</v>
      </c>
      <c r="V1355" s="12" t="str" cm="1">
        <f t="array" ref="V1355">_xlfn.IFS(
ISNUMBER(SEARCH("USA",S1355)),"United States",
ISNUMBER(SEARCH("Republic of Ireland",S1355)),"Ireland",
ISNUMBER(SEARCH("Republic of Korea",S1355)),"South Korea",
ISNUMBER(SEARCH("Cape Verde",S1355)),"Cabo Verde",
ISNUMBER(SEARCH("Czechia",S1355)),"Czech Republic",
ISNUMBER(SEARCH("Türkiye",S1355)),"Turkey",
ISNUMBER(SEARCH("Ivory Coast",S1355)),"Côte d'Ivoire",
ISNUMBER(SEARCH("Korea Republic",S1355)),"South Korea",
ISNUMBER(SEARCH("Germany FR",S1355)),"FR Germany",
ISNUMBER(SEARCH("West Germany",S1355)),"FR Germany",
ISNUMBER(SEARCH("Germany DR",S1355)),"DR Germany",
ISNUMBER(SEARCH("Korea DPR",S1355)),"North Korea",
ISNUMBER(SEARCH("China PR",S1355)),"China",
ISNUMBER(SEARCH("IR Iran",S1355)),"Iran",
ISNUMBER(SEARCH("Congo DR",S1355)),"Democratic Republic of the Congo",
ISNUMBER(SEARCH("DR Congo",S1355)),"Democratic Republic of the Congo",
ISNUMBER(SEARCH("German DR",S1355)),"DR Germany",
ISNUMBER(SEARCH("rn""&gt;United Arab Emirates",S1355)),"United Arab Emirates",
ISNUMBER(SEARCH("rn""&gt;Republic of Ireland",S1355)),"Ireland",
ISNUMBER(SEARCH("rn""&gt;Bosnia and Herzegovina",S1355)),"Bosnia and Herzegovina",
ISNUMBER(SEARCH("rn""&gt;Trinidad and Tobago",S1355)),"Trinidad and Tobago",
ISNUMBER(SEARCH("rn""&gt;Serbia and Montenegro",S1355)),"Serbia and Montenegro",
ISNUMBER(SEARCH(_xlfn.UNICHAR(65533),S1355)),"Côte d'Ivoire",
TRUE,""
)</f>
        <v/>
      </c>
      <c r="W1355" s="12" t="str">
        <f t="shared" si="112"/>
        <v>Haiti</v>
      </c>
    </row>
    <row r="1356" spans="2:23">
      <c r="B1356" s="75">
        <v>919</v>
      </c>
      <c r="C1356" s="15" t="str">
        <v>El Hadji Malick Diouf</v>
      </c>
      <c r="D1356" s="15">
        <v>21</v>
      </c>
      <c r="E1356" s="15" t="str">
        <v>Senegal</v>
      </c>
      <c r="F1356" s="15" t="str">
        <v>LB</v>
      </c>
      <c r="G1356" s="15" t="str">
        <v>West Ham United</v>
      </c>
      <c r="H1356" s="15">
        <v>25</v>
      </c>
      <c r="I1356" s="15" t="str">
        <f t="shared" si="113"/>
        <v>919|El Hadji Malick Diouf|21|Senegal|LB|West Ham United|25</v>
      </c>
      <c r="J1356" s="15" t="str">
        <f>IF(COUNTIF(I$438:I1356,I1356)&gt;1,"DOUBLON","OK")</f>
        <v>OK</v>
      </c>
      <c r="S1356" s="12" t="str">
        <v>Haiti</v>
      </c>
      <c r="T1356" s="12" t="str">
        <f t="shared" si="110"/>
        <v>OK</v>
      </c>
      <c r="U1356" s="12" t="str">
        <f t="shared" si="111"/>
        <v>-</v>
      </c>
      <c r="V1356" s="12" t="str" cm="1">
        <f t="array" ref="V1356">_xlfn.IFS(
ISNUMBER(SEARCH("USA",S1356)),"United States",
ISNUMBER(SEARCH("Republic of Ireland",S1356)),"Ireland",
ISNUMBER(SEARCH("Republic of Korea",S1356)),"South Korea",
ISNUMBER(SEARCH("Cape Verde",S1356)),"Cabo Verde",
ISNUMBER(SEARCH("Czechia",S1356)),"Czech Republic",
ISNUMBER(SEARCH("Türkiye",S1356)),"Turkey",
ISNUMBER(SEARCH("Ivory Coast",S1356)),"Côte d'Ivoire",
ISNUMBER(SEARCH("Korea Republic",S1356)),"South Korea",
ISNUMBER(SEARCH("Germany FR",S1356)),"FR Germany",
ISNUMBER(SEARCH("West Germany",S1356)),"FR Germany",
ISNUMBER(SEARCH("Germany DR",S1356)),"DR Germany",
ISNUMBER(SEARCH("Korea DPR",S1356)),"North Korea",
ISNUMBER(SEARCH("China PR",S1356)),"China",
ISNUMBER(SEARCH("IR Iran",S1356)),"Iran",
ISNUMBER(SEARCH("Congo DR",S1356)),"Democratic Republic of the Congo",
ISNUMBER(SEARCH("DR Congo",S1356)),"Democratic Republic of the Congo",
ISNUMBER(SEARCH("German DR",S1356)),"DR Germany",
ISNUMBER(SEARCH("rn""&gt;United Arab Emirates",S1356)),"United Arab Emirates",
ISNUMBER(SEARCH("rn""&gt;Republic of Ireland",S1356)),"Ireland",
ISNUMBER(SEARCH("rn""&gt;Bosnia and Herzegovina",S1356)),"Bosnia and Herzegovina",
ISNUMBER(SEARCH("rn""&gt;Trinidad and Tobago",S1356)),"Trinidad and Tobago",
ISNUMBER(SEARCH("rn""&gt;Serbia and Montenegro",S1356)),"Serbia and Montenegro",
ISNUMBER(SEARCH(_xlfn.UNICHAR(65533),S1356)),"Côte d'Ivoire",
TRUE,""
)</f>
        <v/>
      </c>
      <c r="W1356" s="12" t="str">
        <f t="shared" si="112"/>
        <v>Haiti</v>
      </c>
    </row>
    <row r="1357" spans="2:23">
      <c r="B1357" s="75">
        <v>920</v>
      </c>
      <c r="C1357" s="15" t="str">
        <v>Krépin Diatta</v>
      </c>
      <c r="D1357" s="15">
        <v>27</v>
      </c>
      <c r="E1357" s="15" t="str">
        <v>Senegal</v>
      </c>
      <c r="F1357" s="15" t="str">
        <v>RB</v>
      </c>
      <c r="G1357" s="15" t="str">
        <v>Monaco</v>
      </c>
      <c r="H1357" s="15">
        <v>15</v>
      </c>
      <c r="I1357" s="15" t="str">
        <f t="shared" si="113"/>
        <v>920|Krépin Diatta|27|Senegal|RB|Monaco|15</v>
      </c>
      <c r="J1357" s="15" t="str">
        <f>IF(COUNTIF(I$438:I1357,I1357)&gt;1,"DOUBLON","OK")</f>
        <v>OK</v>
      </c>
      <c r="S1357" s="12" t="str">
        <v>Haiti</v>
      </c>
      <c r="T1357" s="12" t="str">
        <f t="shared" si="110"/>
        <v>OK</v>
      </c>
      <c r="U1357" s="12" t="str">
        <f t="shared" si="111"/>
        <v>-</v>
      </c>
      <c r="V1357" s="12" t="str" cm="1">
        <f t="array" ref="V1357">_xlfn.IFS(
ISNUMBER(SEARCH("USA",S1357)),"United States",
ISNUMBER(SEARCH("Republic of Ireland",S1357)),"Ireland",
ISNUMBER(SEARCH("Republic of Korea",S1357)),"South Korea",
ISNUMBER(SEARCH("Cape Verde",S1357)),"Cabo Verde",
ISNUMBER(SEARCH("Czechia",S1357)),"Czech Republic",
ISNUMBER(SEARCH("Türkiye",S1357)),"Turkey",
ISNUMBER(SEARCH("Ivory Coast",S1357)),"Côte d'Ivoire",
ISNUMBER(SEARCH("Korea Republic",S1357)),"South Korea",
ISNUMBER(SEARCH("Germany FR",S1357)),"FR Germany",
ISNUMBER(SEARCH("West Germany",S1357)),"FR Germany",
ISNUMBER(SEARCH("Germany DR",S1357)),"DR Germany",
ISNUMBER(SEARCH("Korea DPR",S1357)),"North Korea",
ISNUMBER(SEARCH("China PR",S1357)),"China",
ISNUMBER(SEARCH("IR Iran",S1357)),"Iran",
ISNUMBER(SEARCH("Congo DR",S1357)),"Democratic Republic of the Congo",
ISNUMBER(SEARCH("DR Congo",S1357)),"Democratic Republic of the Congo",
ISNUMBER(SEARCH("German DR",S1357)),"DR Germany",
ISNUMBER(SEARCH("rn""&gt;United Arab Emirates",S1357)),"United Arab Emirates",
ISNUMBER(SEARCH("rn""&gt;Republic of Ireland",S1357)),"Ireland",
ISNUMBER(SEARCH("rn""&gt;Bosnia and Herzegovina",S1357)),"Bosnia and Herzegovina",
ISNUMBER(SEARCH("rn""&gt;Trinidad and Tobago",S1357)),"Trinidad and Tobago",
ISNUMBER(SEARCH("rn""&gt;Serbia and Montenegro",S1357)),"Serbia and Montenegro",
ISNUMBER(SEARCH(_xlfn.UNICHAR(65533),S1357)),"Côte d'Ivoire",
TRUE,""
)</f>
        <v/>
      </c>
      <c r="W1357" s="12" t="str">
        <f t="shared" si="112"/>
        <v>Haiti</v>
      </c>
    </row>
    <row r="1358" spans="2:23">
      <c r="B1358" s="75">
        <v>921</v>
      </c>
      <c r="C1358" s="15" t="str">
        <v>Antoine Mendy</v>
      </c>
      <c r="D1358" s="15">
        <v>22</v>
      </c>
      <c r="E1358" s="15" t="str">
        <v>Senegal</v>
      </c>
      <c r="F1358" s="15" t="str">
        <v>RB</v>
      </c>
      <c r="G1358" s="15" t="str">
        <v>Nice</v>
      </c>
      <c r="H1358" s="15">
        <v>24</v>
      </c>
      <c r="I1358" s="15" t="str">
        <f t="shared" si="113"/>
        <v>921|Antoine Mendy|22|Senegal|RB|Nice|24</v>
      </c>
      <c r="J1358" s="15" t="str">
        <f>IF(COUNTIF(I$438:I1358,I1358)&gt;1,"DOUBLON","OK")</f>
        <v>OK</v>
      </c>
      <c r="S1358" s="12" t="str">
        <v>Haiti</v>
      </c>
      <c r="T1358" s="12" t="str">
        <f t="shared" si="110"/>
        <v>OK</v>
      </c>
      <c r="U1358" s="12" t="str">
        <f t="shared" si="111"/>
        <v>-</v>
      </c>
      <c r="V1358" s="12" t="str" cm="1">
        <f t="array" ref="V1358">_xlfn.IFS(
ISNUMBER(SEARCH("USA",S1358)),"United States",
ISNUMBER(SEARCH("Republic of Ireland",S1358)),"Ireland",
ISNUMBER(SEARCH("Republic of Korea",S1358)),"South Korea",
ISNUMBER(SEARCH("Cape Verde",S1358)),"Cabo Verde",
ISNUMBER(SEARCH("Czechia",S1358)),"Czech Republic",
ISNUMBER(SEARCH("Türkiye",S1358)),"Turkey",
ISNUMBER(SEARCH("Ivory Coast",S1358)),"Côte d'Ivoire",
ISNUMBER(SEARCH("Korea Republic",S1358)),"South Korea",
ISNUMBER(SEARCH("Germany FR",S1358)),"FR Germany",
ISNUMBER(SEARCH("West Germany",S1358)),"FR Germany",
ISNUMBER(SEARCH("Germany DR",S1358)),"DR Germany",
ISNUMBER(SEARCH("Korea DPR",S1358)),"North Korea",
ISNUMBER(SEARCH("China PR",S1358)),"China",
ISNUMBER(SEARCH("IR Iran",S1358)),"Iran",
ISNUMBER(SEARCH("Congo DR",S1358)),"Democratic Republic of the Congo",
ISNUMBER(SEARCH("DR Congo",S1358)),"Democratic Republic of the Congo",
ISNUMBER(SEARCH("German DR",S1358)),"DR Germany",
ISNUMBER(SEARCH("rn""&gt;United Arab Emirates",S1358)),"United Arab Emirates",
ISNUMBER(SEARCH("rn""&gt;Republic of Ireland",S1358)),"Ireland",
ISNUMBER(SEARCH("rn""&gt;Bosnia and Herzegovina",S1358)),"Bosnia and Herzegovina",
ISNUMBER(SEARCH("rn""&gt;Trinidad and Tobago",S1358)),"Trinidad and Tobago",
ISNUMBER(SEARCH("rn""&gt;Serbia and Montenegro",S1358)),"Serbia and Montenegro",
ISNUMBER(SEARCH(_xlfn.UNICHAR(65533),S1358)),"Côte d'Ivoire",
TRUE,""
)</f>
        <v/>
      </c>
      <c r="W1358" s="12" t="str">
        <f t="shared" si="112"/>
        <v>Haiti</v>
      </c>
    </row>
    <row r="1359" spans="2:23">
      <c r="B1359" s="75">
        <v>922</v>
      </c>
      <c r="C1359" s="15" t="str">
        <v>Idrissa Gueye</v>
      </c>
      <c r="D1359" s="15">
        <v>36</v>
      </c>
      <c r="E1359" s="15" t="str">
        <v>Senegal</v>
      </c>
      <c r="F1359" s="15" t="str">
        <v>CDM</v>
      </c>
      <c r="G1359" s="15" t="str">
        <v>Everton</v>
      </c>
      <c r="H1359" s="15">
        <v>5</v>
      </c>
      <c r="I1359" s="15" t="str">
        <f t="shared" si="113"/>
        <v>922|Idrissa Gueye|36|Senegal|CDM|Everton|5</v>
      </c>
      <c r="J1359" s="15" t="str">
        <f>IF(COUNTIF(I$438:I1359,I1359)&gt;1,"DOUBLON","OK")</f>
        <v>OK</v>
      </c>
      <c r="S1359" s="12" t="str">
        <v>Haiti</v>
      </c>
      <c r="T1359" s="12" t="str">
        <f t="shared" si="110"/>
        <v>OK</v>
      </c>
      <c r="U1359" s="12" t="str">
        <f t="shared" si="111"/>
        <v>-</v>
      </c>
      <c r="V1359" s="12" t="str" cm="1">
        <f t="array" ref="V1359">_xlfn.IFS(
ISNUMBER(SEARCH("USA",S1359)),"United States",
ISNUMBER(SEARCH("Republic of Ireland",S1359)),"Ireland",
ISNUMBER(SEARCH("Republic of Korea",S1359)),"South Korea",
ISNUMBER(SEARCH("Cape Verde",S1359)),"Cabo Verde",
ISNUMBER(SEARCH("Czechia",S1359)),"Czech Republic",
ISNUMBER(SEARCH("Türkiye",S1359)),"Turkey",
ISNUMBER(SEARCH("Ivory Coast",S1359)),"Côte d'Ivoire",
ISNUMBER(SEARCH("Korea Republic",S1359)),"South Korea",
ISNUMBER(SEARCH("Germany FR",S1359)),"FR Germany",
ISNUMBER(SEARCH("West Germany",S1359)),"FR Germany",
ISNUMBER(SEARCH("Germany DR",S1359)),"DR Germany",
ISNUMBER(SEARCH("Korea DPR",S1359)),"North Korea",
ISNUMBER(SEARCH("China PR",S1359)),"China",
ISNUMBER(SEARCH("IR Iran",S1359)),"Iran",
ISNUMBER(SEARCH("Congo DR",S1359)),"Democratic Republic of the Congo",
ISNUMBER(SEARCH("DR Congo",S1359)),"Democratic Republic of the Congo",
ISNUMBER(SEARCH("German DR",S1359)),"DR Germany",
ISNUMBER(SEARCH("rn""&gt;United Arab Emirates",S1359)),"United Arab Emirates",
ISNUMBER(SEARCH("rn""&gt;Republic of Ireland",S1359)),"Ireland",
ISNUMBER(SEARCH("rn""&gt;Bosnia and Herzegovina",S1359)),"Bosnia and Herzegovina",
ISNUMBER(SEARCH("rn""&gt;Trinidad and Tobago",S1359)),"Trinidad and Tobago",
ISNUMBER(SEARCH("rn""&gt;Serbia and Montenegro",S1359)),"Serbia and Montenegro",
ISNUMBER(SEARCH(_xlfn.UNICHAR(65533),S1359)),"Côte d'Ivoire",
TRUE,""
)</f>
        <v/>
      </c>
      <c r="W1359" s="12" t="str">
        <f t="shared" si="112"/>
        <v>Haiti</v>
      </c>
    </row>
    <row r="1360" spans="2:23">
      <c r="B1360" s="75">
        <v>923</v>
      </c>
      <c r="C1360" s="15" t="str">
        <v>Pathé Ciss</v>
      </c>
      <c r="D1360" s="15">
        <v>32</v>
      </c>
      <c r="E1360" s="15" t="str">
        <v>Senegal</v>
      </c>
      <c r="F1360" s="15" t="str">
        <v>CDM</v>
      </c>
      <c r="G1360" s="15" t="str">
        <v>Rayo Vallecano</v>
      </c>
      <c r="H1360" s="15">
        <v>6</v>
      </c>
      <c r="I1360" s="15" t="str">
        <f t="shared" si="113"/>
        <v>923|Pathé Ciss|32|Senegal|CDM|Rayo Vallecano|6</v>
      </c>
      <c r="J1360" s="15" t="str">
        <f>IF(COUNTIF(I$438:I1360,I1360)&gt;1,"DOUBLON","OK")</f>
        <v>OK</v>
      </c>
      <c r="S1360" s="12" t="str">
        <v>Haiti</v>
      </c>
      <c r="T1360" s="12" t="str">
        <f t="shared" si="110"/>
        <v>OK</v>
      </c>
      <c r="U1360" s="12" t="str">
        <f t="shared" si="111"/>
        <v>-</v>
      </c>
      <c r="V1360" s="12" t="str" cm="1">
        <f t="array" ref="V1360">_xlfn.IFS(
ISNUMBER(SEARCH("USA",S1360)),"United States",
ISNUMBER(SEARCH("Republic of Ireland",S1360)),"Ireland",
ISNUMBER(SEARCH("Republic of Korea",S1360)),"South Korea",
ISNUMBER(SEARCH("Cape Verde",S1360)),"Cabo Verde",
ISNUMBER(SEARCH("Czechia",S1360)),"Czech Republic",
ISNUMBER(SEARCH("Türkiye",S1360)),"Turkey",
ISNUMBER(SEARCH("Ivory Coast",S1360)),"Côte d'Ivoire",
ISNUMBER(SEARCH("Korea Republic",S1360)),"South Korea",
ISNUMBER(SEARCH("Germany FR",S1360)),"FR Germany",
ISNUMBER(SEARCH("West Germany",S1360)),"FR Germany",
ISNUMBER(SEARCH("Germany DR",S1360)),"DR Germany",
ISNUMBER(SEARCH("Korea DPR",S1360)),"North Korea",
ISNUMBER(SEARCH("China PR",S1360)),"China",
ISNUMBER(SEARCH("IR Iran",S1360)),"Iran",
ISNUMBER(SEARCH("Congo DR",S1360)),"Democratic Republic of the Congo",
ISNUMBER(SEARCH("DR Congo",S1360)),"Democratic Republic of the Congo",
ISNUMBER(SEARCH("German DR",S1360)),"DR Germany",
ISNUMBER(SEARCH("rn""&gt;United Arab Emirates",S1360)),"United Arab Emirates",
ISNUMBER(SEARCH("rn""&gt;Republic of Ireland",S1360)),"Ireland",
ISNUMBER(SEARCH("rn""&gt;Bosnia and Herzegovina",S1360)),"Bosnia and Herzegovina",
ISNUMBER(SEARCH("rn""&gt;Trinidad and Tobago",S1360)),"Trinidad and Tobago",
ISNUMBER(SEARCH("rn""&gt;Serbia and Montenegro",S1360)),"Serbia and Montenegro",
ISNUMBER(SEARCH(_xlfn.UNICHAR(65533),S1360)),"Côte d'Ivoire",
TRUE,""
)</f>
        <v/>
      </c>
      <c r="W1360" s="12" t="str">
        <f t="shared" si="112"/>
        <v>Haiti</v>
      </c>
    </row>
    <row r="1361" spans="2:23">
      <c r="B1361" s="75">
        <v>924</v>
      </c>
      <c r="C1361" s="15" t="str">
        <v>Pape Gueye</v>
      </c>
      <c r="D1361" s="15">
        <v>27</v>
      </c>
      <c r="E1361" s="15" t="str">
        <v>Senegal</v>
      </c>
      <c r="F1361" s="15" t="str">
        <v>CDM</v>
      </c>
      <c r="G1361" s="15" t="str">
        <v>Villarreal</v>
      </c>
      <c r="H1361" s="15">
        <v>26</v>
      </c>
      <c r="I1361" s="15" t="str">
        <f t="shared" si="113"/>
        <v>924|Pape Gueye|27|Senegal|CDM|Villarreal|26</v>
      </c>
      <c r="J1361" s="15" t="str">
        <f>IF(COUNTIF(I$438:I1361,I1361)&gt;1,"DOUBLON","OK")</f>
        <v>OK</v>
      </c>
      <c r="S1361" s="12" t="str">
        <v>Haiti</v>
      </c>
      <c r="T1361" s="12" t="str">
        <f t="shared" si="110"/>
        <v>OK</v>
      </c>
      <c r="U1361" s="12" t="str">
        <f t="shared" si="111"/>
        <v>-</v>
      </c>
      <c r="V1361" s="12" t="str" cm="1">
        <f t="array" ref="V1361">_xlfn.IFS(
ISNUMBER(SEARCH("USA",S1361)),"United States",
ISNUMBER(SEARCH("Republic of Ireland",S1361)),"Ireland",
ISNUMBER(SEARCH("Republic of Korea",S1361)),"South Korea",
ISNUMBER(SEARCH("Cape Verde",S1361)),"Cabo Verde",
ISNUMBER(SEARCH("Czechia",S1361)),"Czech Republic",
ISNUMBER(SEARCH("Türkiye",S1361)),"Turkey",
ISNUMBER(SEARCH("Ivory Coast",S1361)),"Côte d'Ivoire",
ISNUMBER(SEARCH("Korea Republic",S1361)),"South Korea",
ISNUMBER(SEARCH("Germany FR",S1361)),"FR Germany",
ISNUMBER(SEARCH("West Germany",S1361)),"FR Germany",
ISNUMBER(SEARCH("Germany DR",S1361)),"DR Germany",
ISNUMBER(SEARCH("Korea DPR",S1361)),"North Korea",
ISNUMBER(SEARCH("China PR",S1361)),"China",
ISNUMBER(SEARCH("IR Iran",S1361)),"Iran",
ISNUMBER(SEARCH("Congo DR",S1361)),"Democratic Republic of the Congo",
ISNUMBER(SEARCH("DR Congo",S1361)),"Democratic Republic of the Congo",
ISNUMBER(SEARCH("German DR",S1361)),"DR Germany",
ISNUMBER(SEARCH("rn""&gt;United Arab Emirates",S1361)),"United Arab Emirates",
ISNUMBER(SEARCH("rn""&gt;Republic of Ireland",S1361)),"Ireland",
ISNUMBER(SEARCH("rn""&gt;Bosnia and Herzegovina",S1361)),"Bosnia and Herzegovina",
ISNUMBER(SEARCH("rn""&gt;Trinidad and Tobago",S1361)),"Trinidad and Tobago",
ISNUMBER(SEARCH("rn""&gt;Serbia and Montenegro",S1361)),"Serbia and Montenegro",
ISNUMBER(SEARCH(_xlfn.UNICHAR(65533),S1361)),"Côte d'Ivoire",
TRUE,""
)</f>
        <v/>
      </c>
      <c r="W1361" s="12" t="str">
        <f t="shared" si="112"/>
        <v>Haiti</v>
      </c>
    </row>
    <row r="1362" spans="2:23">
      <c r="B1362" s="75">
        <v>925</v>
      </c>
      <c r="C1362" s="15" t="str">
        <v>Lamine Camara</v>
      </c>
      <c r="D1362" s="15">
        <v>22</v>
      </c>
      <c r="E1362" s="15" t="str">
        <v>Senegal</v>
      </c>
      <c r="F1362" s="15" t="str">
        <v>CM</v>
      </c>
      <c r="G1362" s="15" t="str">
        <v>Monaco</v>
      </c>
      <c r="H1362" s="15">
        <v>8</v>
      </c>
      <c r="I1362" s="15" t="str">
        <f t="shared" si="113"/>
        <v>925|Lamine Camara|22|Senegal|CM|Monaco|8</v>
      </c>
      <c r="J1362" s="15" t="str">
        <f>IF(COUNTIF(I$438:I1362,I1362)&gt;1,"DOUBLON","OK")</f>
        <v>OK</v>
      </c>
      <c r="S1362" s="12" t="str">
        <v>Haiti</v>
      </c>
      <c r="T1362" s="12" t="str">
        <f t="shared" si="110"/>
        <v>OK</v>
      </c>
      <c r="U1362" s="12" t="str">
        <f t="shared" si="111"/>
        <v>-</v>
      </c>
      <c r="V1362" s="12" t="str" cm="1">
        <f t="array" ref="V1362">_xlfn.IFS(
ISNUMBER(SEARCH("USA",S1362)),"United States",
ISNUMBER(SEARCH("Republic of Ireland",S1362)),"Ireland",
ISNUMBER(SEARCH("Republic of Korea",S1362)),"South Korea",
ISNUMBER(SEARCH("Cape Verde",S1362)),"Cabo Verde",
ISNUMBER(SEARCH("Czechia",S1362)),"Czech Republic",
ISNUMBER(SEARCH("Türkiye",S1362)),"Turkey",
ISNUMBER(SEARCH("Ivory Coast",S1362)),"Côte d'Ivoire",
ISNUMBER(SEARCH("Korea Republic",S1362)),"South Korea",
ISNUMBER(SEARCH("Germany FR",S1362)),"FR Germany",
ISNUMBER(SEARCH("West Germany",S1362)),"FR Germany",
ISNUMBER(SEARCH("Germany DR",S1362)),"DR Germany",
ISNUMBER(SEARCH("Korea DPR",S1362)),"North Korea",
ISNUMBER(SEARCH("China PR",S1362)),"China",
ISNUMBER(SEARCH("IR Iran",S1362)),"Iran",
ISNUMBER(SEARCH("Congo DR",S1362)),"Democratic Republic of the Congo",
ISNUMBER(SEARCH("DR Congo",S1362)),"Democratic Republic of the Congo",
ISNUMBER(SEARCH("German DR",S1362)),"DR Germany",
ISNUMBER(SEARCH("rn""&gt;United Arab Emirates",S1362)),"United Arab Emirates",
ISNUMBER(SEARCH("rn""&gt;Republic of Ireland",S1362)),"Ireland",
ISNUMBER(SEARCH("rn""&gt;Bosnia and Herzegovina",S1362)),"Bosnia and Herzegovina",
ISNUMBER(SEARCH("rn""&gt;Trinidad and Tobago",S1362)),"Trinidad and Tobago",
ISNUMBER(SEARCH("rn""&gt;Serbia and Montenegro",S1362)),"Serbia and Montenegro",
ISNUMBER(SEARCH(_xlfn.UNICHAR(65533),S1362)),"Côte d'Ivoire",
TRUE,""
)</f>
        <v/>
      </c>
      <c r="W1362" s="12" t="str">
        <f t="shared" si="112"/>
        <v>Haiti</v>
      </c>
    </row>
    <row r="1363" spans="2:23">
      <c r="B1363" s="75">
        <v>926</v>
      </c>
      <c r="C1363" s="15" t="str">
        <v>Pape Matar Sarr</v>
      </c>
      <c r="D1363" s="15">
        <v>23</v>
      </c>
      <c r="E1363" s="15" t="str">
        <v>Senegal</v>
      </c>
      <c r="F1363" s="15" t="str">
        <v>CM</v>
      </c>
      <c r="G1363" s="15" t="str">
        <v>Tottenham Hotspur</v>
      </c>
      <c r="H1363" s="15">
        <v>17</v>
      </c>
      <c r="I1363" s="15" t="str">
        <f t="shared" si="113"/>
        <v>926|Pape Matar Sarr|23|Senegal|CM|Tottenham Hotspur|17</v>
      </c>
      <c r="J1363" s="15" t="str">
        <f>IF(COUNTIF(I$438:I1363,I1363)&gt;1,"DOUBLON","OK")</f>
        <v>OK</v>
      </c>
      <c r="S1363" s="12" t="str">
        <v>Haiti</v>
      </c>
      <c r="T1363" s="12" t="str">
        <f t="shared" si="110"/>
        <v>OK</v>
      </c>
      <c r="U1363" s="12" t="str">
        <f t="shared" si="111"/>
        <v>-</v>
      </c>
      <c r="V1363" s="12" t="str" cm="1">
        <f t="array" ref="V1363">_xlfn.IFS(
ISNUMBER(SEARCH("USA",S1363)),"United States",
ISNUMBER(SEARCH("Republic of Ireland",S1363)),"Ireland",
ISNUMBER(SEARCH("Republic of Korea",S1363)),"South Korea",
ISNUMBER(SEARCH("Cape Verde",S1363)),"Cabo Verde",
ISNUMBER(SEARCH("Czechia",S1363)),"Czech Republic",
ISNUMBER(SEARCH("Türkiye",S1363)),"Turkey",
ISNUMBER(SEARCH("Ivory Coast",S1363)),"Côte d'Ivoire",
ISNUMBER(SEARCH("Korea Republic",S1363)),"South Korea",
ISNUMBER(SEARCH("Germany FR",S1363)),"FR Germany",
ISNUMBER(SEARCH("West Germany",S1363)),"FR Germany",
ISNUMBER(SEARCH("Germany DR",S1363)),"DR Germany",
ISNUMBER(SEARCH("Korea DPR",S1363)),"North Korea",
ISNUMBER(SEARCH("China PR",S1363)),"China",
ISNUMBER(SEARCH("IR Iran",S1363)),"Iran",
ISNUMBER(SEARCH("Congo DR",S1363)),"Democratic Republic of the Congo",
ISNUMBER(SEARCH("DR Congo",S1363)),"Democratic Republic of the Congo",
ISNUMBER(SEARCH("German DR",S1363)),"DR Germany",
ISNUMBER(SEARCH("rn""&gt;United Arab Emirates",S1363)),"United Arab Emirates",
ISNUMBER(SEARCH("rn""&gt;Republic of Ireland",S1363)),"Ireland",
ISNUMBER(SEARCH("rn""&gt;Bosnia and Herzegovina",S1363)),"Bosnia and Herzegovina",
ISNUMBER(SEARCH("rn""&gt;Trinidad and Tobago",S1363)),"Trinidad and Tobago",
ISNUMBER(SEARCH("rn""&gt;Serbia and Montenegro",S1363)),"Serbia and Montenegro",
ISNUMBER(SEARCH(_xlfn.UNICHAR(65533),S1363)),"Côte d'Ivoire",
TRUE,""
)</f>
        <v/>
      </c>
      <c r="W1363" s="12" t="str">
        <f t="shared" si="112"/>
        <v>Haiti</v>
      </c>
    </row>
    <row r="1364" spans="2:23">
      <c r="B1364" s="75">
        <v>927</v>
      </c>
      <c r="C1364" s="15" t="str">
        <v>Habib Diarra</v>
      </c>
      <c r="D1364" s="15">
        <v>22</v>
      </c>
      <c r="E1364" s="15" t="str">
        <v>Senegal</v>
      </c>
      <c r="F1364" s="15" t="str">
        <v>CM</v>
      </c>
      <c r="G1364" s="15" t="str">
        <v>Sunderland</v>
      </c>
      <c r="H1364" s="15">
        <v>21</v>
      </c>
      <c r="I1364" s="15" t="str">
        <f t="shared" si="113"/>
        <v>927|Habib Diarra|22|Senegal|CM|Sunderland|21</v>
      </c>
      <c r="J1364" s="15" t="str">
        <f>IF(COUNTIF(I$438:I1364,I1364)&gt;1,"DOUBLON","OK")</f>
        <v>OK</v>
      </c>
      <c r="S1364" s="12" t="str">
        <v>Haiti</v>
      </c>
      <c r="T1364" s="12" t="str">
        <f t="shared" si="110"/>
        <v>OK</v>
      </c>
      <c r="U1364" s="12" t="str">
        <f t="shared" si="111"/>
        <v>-</v>
      </c>
      <c r="V1364" s="12" t="str" cm="1">
        <f t="array" ref="V1364">_xlfn.IFS(
ISNUMBER(SEARCH("USA",S1364)),"United States",
ISNUMBER(SEARCH("Republic of Ireland",S1364)),"Ireland",
ISNUMBER(SEARCH("Republic of Korea",S1364)),"South Korea",
ISNUMBER(SEARCH("Cape Verde",S1364)),"Cabo Verde",
ISNUMBER(SEARCH("Czechia",S1364)),"Czech Republic",
ISNUMBER(SEARCH("Türkiye",S1364)),"Turkey",
ISNUMBER(SEARCH("Ivory Coast",S1364)),"Côte d'Ivoire",
ISNUMBER(SEARCH("Korea Republic",S1364)),"South Korea",
ISNUMBER(SEARCH("Germany FR",S1364)),"FR Germany",
ISNUMBER(SEARCH("West Germany",S1364)),"FR Germany",
ISNUMBER(SEARCH("Germany DR",S1364)),"DR Germany",
ISNUMBER(SEARCH("Korea DPR",S1364)),"North Korea",
ISNUMBER(SEARCH("China PR",S1364)),"China",
ISNUMBER(SEARCH("IR Iran",S1364)),"Iran",
ISNUMBER(SEARCH("Congo DR",S1364)),"Democratic Republic of the Congo",
ISNUMBER(SEARCH("DR Congo",S1364)),"Democratic Republic of the Congo",
ISNUMBER(SEARCH("German DR",S1364)),"DR Germany",
ISNUMBER(SEARCH("rn""&gt;United Arab Emirates",S1364)),"United Arab Emirates",
ISNUMBER(SEARCH("rn""&gt;Republic of Ireland",S1364)),"Ireland",
ISNUMBER(SEARCH("rn""&gt;Bosnia and Herzegovina",S1364)),"Bosnia and Herzegovina",
ISNUMBER(SEARCH("rn""&gt;Trinidad and Tobago",S1364)),"Trinidad and Tobago",
ISNUMBER(SEARCH("rn""&gt;Serbia and Montenegro",S1364)),"Serbia and Montenegro",
ISNUMBER(SEARCH(_xlfn.UNICHAR(65533),S1364)),"Côte d'Ivoire",
TRUE,""
)</f>
        <v/>
      </c>
      <c r="W1364" s="12" t="str">
        <f t="shared" si="112"/>
        <v>Haiti</v>
      </c>
    </row>
    <row r="1365" spans="2:23">
      <c r="B1365" s="75">
        <v>928</v>
      </c>
      <c r="C1365" s="15" t="str">
        <v>Bara Sapoko Ndiaye</v>
      </c>
      <c r="D1365" s="15">
        <v>18</v>
      </c>
      <c r="E1365" s="15" t="str">
        <v>Senegal</v>
      </c>
      <c r="F1365" s="15" t="str">
        <v>CM</v>
      </c>
      <c r="G1365" s="15" t="str">
        <v>Bayern Munich</v>
      </c>
      <c r="H1365" s="15">
        <v>22</v>
      </c>
      <c r="I1365" s="15" t="str">
        <f t="shared" si="113"/>
        <v>928|Bara Sapoko Ndiaye|18|Senegal|CM|Bayern Munich|22</v>
      </c>
      <c r="J1365" s="15" t="str">
        <f>IF(COUNTIF(I$438:I1365,I1365)&gt;1,"DOUBLON","OK")</f>
        <v>OK</v>
      </c>
      <c r="S1365" s="12" t="str">
        <v>Haiti</v>
      </c>
      <c r="T1365" s="12" t="str">
        <f t="shared" si="110"/>
        <v>OK</v>
      </c>
      <c r="U1365" s="12" t="str">
        <f t="shared" si="111"/>
        <v>-</v>
      </c>
      <c r="V1365" s="12" t="str" cm="1">
        <f t="array" ref="V1365">_xlfn.IFS(
ISNUMBER(SEARCH("USA",S1365)),"United States",
ISNUMBER(SEARCH("Republic of Ireland",S1365)),"Ireland",
ISNUMBER(SEARCH("Republic of Korea",S1365)),"South Korea",
ISNUMBER(SEARCH("Cape Verde",S1365)),"Cabo Verde",
ISNUMBER(SEARCH("Czechia",S1365)),"Czech Republic",
ISNUMBER(SEARCH("Türkiye",S1365)),"Turkey",
ISNUMBER(SEARCH("Ivory Coast",S1365)),"Côte d'Ivoire",
ISNUMBER(SEARCH("Korea Republic",S1365)),"South Korea",
ISNUMBER(SEARCH("Germany FR",S1365)),"FR Germany",
ISNUMBER(SEARCH("West Germany",S1365)),"FR Germany",
ISNUMBER(SEARCH("Germany DR",S1365)),"DR Germany",
ISNUMBER(SEARCH("Korea DPR",S1365)),"North Korea",
ISNUMBER(SEARCH("China PR",S1365)),"China",
ISNUMBER(SEARCH("IR Iran",S1365)),"Iran",
ISNUMBER(SEARCH("Congo DR",S1365)),"Democratic Republic of the Congo",
ISNUMBER(SEARCH("DR Congo",S1365)),"Democratic Republic of the Congo",
ISNUMBER(SEARCH("German DR",S1365)),"DR Germany",
ISNUMBER(SEARCH("rn""&gt;United Arab Emirates",S1365)),"United Arab Emirates",
ISNUMBER(SEARCH("rn""&gt;Republic of Ireland",S1365)),"Ireland",
ISNUMBER(SEARCH("rn""&gt;Bosnia and Herzegovina",S1365)),"Bosnia and Herzegovina",
ISNUMBER(SEARCH("rn""&gt;Trinidad and Tobago",S1365)),"Trinidad and Tobago",
ISNUMBER(SEARCH("rn""&gt;Serbia and Montenegro",S1365)),"Serbia and Montenegro",
ISNUMBER(SEARCH(_xlfn.UNICHAR(65533),S1365)),"Côte d'Ivoire",
TRUE,""
)</f>
        <v/>
      </c>
      <c r="W1365" s="12" t="str">
        <f t="shared" si="112"/>
        <v>Haiti</v>
      </c>
    </row>
    <row r="1366" spans="2:23">
      <c r="B1366" s="75">
        <v>929</v>
      </c>
      <c r="C1366" s="15" t="str">
        <v>Iliman Ndiaye</v>
      </c>
      <c r="D1366" s="15">
        <v>26</v>
      </c>
      <c r="E1366" s="15" t="str">
        <v>Senegal</v>
      </c>
      <c r="F1366" s="15" t="str">
        <v>CAM</v>
      </c>
      <c r="G1366" s="15" t="str">
        <v>Everton</v>
      </c>
      <c r="H1366" s="15">
        <v>13</v>
      </c>
      <c r="I1366" s="15" t="str">
        <f t="shared" si="113"/>
        <v>929|Iliman Ndiaye|26|Senegal|CAM|Everton|13</v>
      </c>
      <c r="J1366" s="15" t="str">
        <f>IF(COUNTIF(I$438:I1366,I1366)&gt;1,"DOUBLON","OK")</f>
        <v>OK</v>
      </c>
      <c r="S1366" s="12" t="str">
        <v>Haiti</v>
      </c>
      <c r="T1366" s="12" t="str">
        <f t="shared" si="110"/>
        <v>OK</v>
      </c>
      <c r="U1366" s="12" t="str">
        <f t="shared" si="111"/>
        <v>-</v>
      </c>
      <c r="V1366" s="12" t="str" cm="1">
        <f t="array" ref="V1366">_xlfn.IFS(
ISNUMBER(SEARCH("USA",S1366)),"United States",
ISNUMBER(SEARCH("Republic of Ireland",S1366)),"Ireland",
ISNUMBER(SEARCH("Republic of Korea",S1366)),"South Korea",
ISNUMBER(SEARCH("Cape Verde",S1366)),"Cabo Verde",
ISNUMBER(SEARCH("Czechia",S1366)),"Czech Republic",
ISNUMBER(SEARCH("Türkiye",S1366)),"Turkey",
ISNUMBER(SEARCH("Ivory Coast",S1366)),"Côte d'Ivoire",
ISNUMBER(SEARCH("Korea Republic",S1366)),"South Korea",
ISNUMBER(SEARCH("Germany FR",S1366)),"FR Germany",
ISNUMBER(SEARCH("West Germany",S1366)),"FR Germany",
ISNUMBER(SEARCH("Germany DR",S1366)),"DR Germany",
ISNUMBER(SEARCH("Korea DPR",S1366)),"North Korea",
ISNUMBER(SEARCH("China PR",S1366)),"China",
ISNUMBER(SEARCH("IR Iran",S1366)),"Iran",
ISNUMBER(SEARCH("Congo DR",S1366)),"Democratic Republic of the Congo",
ISNUMBER(SEARCH("DR Congo",S1366)),"Democratic Republic of the Congo",
ISNUMBER(SEARCH("German DR",S1366)),"DR Germany",
ISNUMBER(SEARCH("rn""&gt;United Arab Emirates",S1366)),"United Arab Emirates",
ISNUMBER(SEARCH("rn""&gt;Republic of Ireland",S1366)),"Ireland",
ISNUMBER(SEARCH("rn""&gt;Bosnia and Herzegovina",S1366)),"Bosnia and Herzegovina",
ISNUMBER(SEARCH("rn""&gt;Trinidad and Tobago",S1366)),"Trinidad and Tobago",
ISNUMBER(SEARCH("rn""&gt;Serbia and Montenegro",S1366)),"Serbia and Montenegro",
ISNUMBER(SEARCH(_xlfn.UNICHAR(65533),S1366)),"Côte d'Ivoire",
TRUE,""
)</f>
        <v/>
      </c>
      <c r="W1366" s="12" t="str">
        <f t="shared" si="112"/>
        <v>Haiti</v>
      </c>
    </row>
    <row r="1367" spans="2:23">
      <c r="B1367" s="75">
        <v>930</v>
      </c>
      <c r="C1367" s="15" t="str">
        <v>Sadio Mané</v>
      </c>
      <c r="D1367" s="15">
        <v>34</v>
      </c>
      <c r="E1367" s="15" t="str">
        <v>Senegal</v>
      </c>
      <c r="F1367" s="15" t="str">
        <v>LW</v>
      </c>
      <c r="G1367" s="15" t="str">
        <v>Al-Nassr</v>
      </c>
      <c r="H1367" s="15">
        <v>10</v>
      </c>
      <c r="I1367" s="15" t="str">
        <f t="shared" si="113"/>
        <v>930|Sadio Mané|34|Senegal|LW|Al-Nassr|10</v>
      </c>
      <c r="J1367" s="15" t="str">
        <f>IF(COUNTIF(I$438:I1367,I1367)&gt;1,"DOUBLON","OK")</f>
        <v>OK</v>
      </c>
      <c r="S1367" s="12" t="str">
        <v>Haiti</v>
      </c>
      <c r="T1367" s="12" t="str">
        <f t="shared" si="110"/>
        <v>OK</v>
      </c>
      <c r="U1367" s="12" t="str">
        <f t="shared" si="111"/>
        <v>-</v>
      </c>
      <c r="V1367" s="12" t="str" cm="1">
        <f t="array" ref="V1367">_xlfn.IFS(
ISNUMBER(SEARCH("USA",S1367)),"United States",
ISNUMBER(SEARCH("Republic of Ireland",S1367)),"Ireland",
ISNUMBER(SEARCH("Republic of Korea",S1367)),"South Korea",
ISNUMBER(SEARCH("Cape Verde",S1367)),"Cabo Verde",
ISNUMBER(SEARCH("Czechia",S1367)),"Czech Republic",
ISNUMBER(SEARCH("Türkiye",S1367)),"Turkey",
ISNUMBER(SEARCH("Ivory Coast",S1367)),"Côte d'Ivoire",
ISNUMBER(SEARCH("Korea Republic",S1367)),"South Korea",
ISNUMBER(SEARCH("Germany FR",S1367)),"FR Germany",
ISNUMBER(SEARCH("West Germany",S1367)),"FR Germany",
ISNUMBER(SEARCH("Germany DR",S1367)),"DR Germany",
ISNUMBER(SEARCH("Korea DPR",S1367)),"North Korea",
ISNUMBER(SEARCH("China PR",S1367)),"China",
ISNUMBER(SEARCH("IR Iran",S1367)),"Iran",
ISNUMBER(SEARCH("Congo DR",S1367)),"Democratic Republic of the Congo",
ISNUMBER(SEARCH("DR Congo",S1367)),"Democratic Republic of the Congo",
ISNUMBER(SEARCH("German DR",S1367)),"DR Germany",
ISNUMBER(SEARCH("rn""&gt;United Arab Emirates",S1367)),"United Arab Emirates",
ISNUMBER(SEARCH("rn""&gt;Republic of Ireland",S1367)),"Ireland",
ISNUMBER(SEARCH("rn""&gt;Bosnia and Herzegovina",S1367)),"Bosnia and Herzegovina",
ISNUMBER(SEARCH("rn""&gt;Trinidad and Tobago",S1367)),"Trinidad and Tobago",
ISNUMBER(SEARCH("rn""&gt;Serbia and Montenegro",S1367)),"Serbia and Montenegro",
ISNUMBER(SEARCH(_xlfn.UNICHAR(65533),S1367)),"Côte d'Ivoire",
TRUE,""
)</f>
        <v/>
      </c>
      <c r="W1367" s="12" t="str">
        <f t="shared" si="112"/>
        <v>Haiti</v>
      </c>
    </row>
    <row r="1368" spans="2:23">
      <c r="B1368" s="75">
        <v>931</v>
      </c>
      <c r="C1368" s="15" t="str">
        <v>Ibrahim Mbaye</v>
      </c>
      <c r="D1368" s="15">
        <v>18</v>
      </c>
      <c r="E1368" s="15" t="str">
        <v>Senegal</v>
      </c>
      <c r="F1368" s="15" t="str">
        <v>LW</v>
      </c>
      <c r="G1368" s="15" t="str">
        <v>Paris Saint-Germain</v>
      </c>
      <c r="H1368" s="15">
        <v>20</v>
      </c>
      <c r="I1368" s="15" t="str">
        <f t="shared" si="113"/>
        <v>931|Ibrahim Mbaye|18|Senegal|LW|Paris Saint-Germain|20</v>
      </c>
      <c r="J1368" s="15" t="str">
        <f>IF(COUNTIF(I$438:I1368,I1368)&gt;1,"DOUBLON","OK")</f>
        <v>OK</v>
      </c>
      <c r="S1368" s="12" t="str">
        <v>Haiti</v>
      </c>
      <c r="T1368" s="12" t="str">
        <f t="shared" si="110"/>
        <v>OK</v>
      </c>
      <c r="U1368" s="12" t="str">
        <f t="shared" si="111"/>
        <v>-</v>
      </c>
      <c r="V1368" s="12" t="str" cm="1">
        <f t="array" ref="V1368">_xlfn.IFS(
ISNUMBER(SEARCH("USA",S1368)),"United States",
ISNUMBER(SEARCH("Republic of Ireland",S1368)),"Ireland",
ISNUMBER(SEARCH("Republic of Korea",S1368)),"South Korea",
ISNUMBER(SEARCH("Cape Verde",S1368)),"Cabo Verde",
ISNUMBER(SEARCH("Czechia",S1368)),"Czech Republic",
ISNUMBER(SEARCH("Türkiye",S1368)),"Turkey",
ISNUMBER(SEARCH("Ivory Coast",S1368)),"Côte d'Ivoire",
ISNUMBER(SEARCH("Korea Republic",S1368)),"South Korea",
ISNUMBER(SEARCH("Germany FR",S1368)),"FR Germany",
ISNUMBER(SEARCH("West Germany",S1368)),"FR Germany",
ISNUMBER(SEARCH("Germany DR",S1368)),"DR Germany",
ISNUMBER(SEARCH("Korea DPR",S1368)),"North Korea",
ISNUMBER(SEARCH("China PR",S1368)),"China",
ISNUMBER(SEARCH("IR Iran",S1368)),"Iran",
ISNUMBER(SEARCH("Congo DR",S1368)),"Democratic Republic of the Congo",
ISNUMBER(SEARCH("DR Congo",S1368)),"Democratic Republic of the Congo",
ISNUMBER(SEARCH("German DR",S1368)),"DR Germany",
ISNUMBER(SEARCH("rn""&gt;United Arab Emirates",S1368)),"United Arab Emirates",
ISNUMBER(SEARCH("rn""&gt;Republic of Ireland",S1368)),"Ireland",
ISNUMBER(SEARCH("rn""&gt;Bosnia and Herzegovina",S1368)),"Bosnia and Herzegovina",
ISNUMBER(SEARCH("rn""&gt;Trinidad and Tobago",S1368)),"Trinidad and Tobago",
ISNUMBER(SEARCH("rn""&gt;Serbia and Montenegro",S1368)),"Serbia and Montenegro",
ISNUMBER(SEARCH(_xlfn.UNICHAR(65533),S1368)),"Côte d'Ivoire",
TRUE,""
)</f>
        <v/>
      </c>
      <c r="W1368" s="12" t="str">
        <f t="shared" si="112"/>
        <v>Haiti</v>
      </c>
    </row>
    <row r="1369" spans="2:23">
      <c r="B1369" s="75">
        <v>932</v>
      </c>
      <c r="C1369" s="15" t="str">
        <v>Assane Diao</v>
      </c>
      <c r="D1369" s="15">
        <v>20</v>
      </c>
      <c r="E1369" s="15" t="str">
        <v>Senegal</v>
      </c>
      <c r="F1369" s="15" t="str">
        <v>RW</v>
      </c>
      <c r="G1369" s="15" t="str">
        <v>Como</v>
      </c>
      <c r="H1369" s="15">
        <v>7</v>
      </c>
      <c r="I1369" s="15" t="str">
        <f t="shared" si="113"/>
        <v>932|Assane Diao|20|Senegal|RW|Como|7</v>
      </c>
      <c r="J1369" s="15" t="str">
        <f>IF(COUNTIF(I$438:I1369,I1369)&gt;1,"DOUBLON","OK")</f>
        <v>OK</v>
      </c>
      <c r="S1369" s="12" t="str">
        <v>Haiti</v>
      </c>
      <c r="T1369" s="12" t="str">
        <f t="shared" si="110"/>
        <v>OK</v>
      </c>
      <c r="U1369" s="12" t="str">
        <f t="shared" si="111"/>
        <v>-</v>
      </c>
      <c r="V1369" s="12" t="str" cm="1">
        <f t="array" ref="V1369">_xlfn.IFS(
ISNUMBER(SEARCH("USA",S1369)),"United States",
ISNUMBER(SEARCH("Republic of Ireland",S1369)),"Ireland",
ISNUMBER(SEARCH("Republic of Korea",S1369)),"South Korea",
ISNUMBER(SEARCH("Cape Verde",S1369)),"Cabo Verde",
ISNUMBER(SEARCH("Czechia",S1369)),"Czech Republic",
ISNUMBER(SEARCH("Türkiye",S1369)),"Turkey",
ISNUMBER(SEARCH("Ivory Coast",S1369)),"Côte d'Ivoire",
ISNUMBER(SEARCH("Korea Republic",S1369)),"South Korea",
ISNUMBER(SEARCH("Germany FR",S1369)),"FR Germany",
ISNUMBER(SEARCH("West Germany",S1369)),"FR Germany",
ISNUMBER(SEARCH("Germany DR",S1369)),"DR Germany",
ISNUMBER(SEARCH("Korea DPR",S1369)),"North Korea",
ISNUMBER(SEARCH("China PR",S1369)),"China",
ISNUMBER(SEARCH("IR Iran",S1369)),"Iran",
ISNUMBER(SEARCH("Congo DR",S1369)),"Democratic Republic of the Congo",
ISNUMBER(SEARCH("DR Congo",S1369)),"Democratic Republic of the Congo",
ISNUMBER(SEARCH("German DR",S1369)),"DR Germany",
ISNUMBER(SEARCH("rn""&gt;United Arab Emirates",S1369)),"United Arab Emirates",
ISNUMBER(SEARCH("rn""&gt;Republic of Ireland",S1369)),"Ireland",
ISNUMBER(SEARCH("rn""&gt;Bosnia and Herzegovina",S1369)),"Bosnia and Herzegovina",
ISNUMBER(SEARCH("rn""&gt;Trinidad and Tobago",S1369)),"Trinidad and Tobago",
ISNUMBER(SEARCH("rn""&gt;Serbia and Montenegro",S1369)),"Serbia and Montenegro",
ISNUMBER(SEARCH(_xlfn.UNICHAR(65533),S1369)),"Côte d'Ivoire",
TRUE,""
)</f>
        <v/>
      </c>
      <c r="W1369" s="12" t="str">
        <f t="shared" si="112"/>
        <v>Haiti</v>
      </c>
    </row>
    <row r="1370" spans="2:23">
      <c r="B1370" s="75">
        <v>933</v>
      </c>
      <c r="C1370" s="15" t="str">
        <v>Ismaïla Sarr</v>
      </c>
      <c r="D1370" s="15">
        <v>28</v>
      </c>
      <c r="E1370" s="15" t="str">
        <v>Senegal</v>
      </c>
      <c r="F1370" s="15" t="str">
        <v>RW</v>
      </c>
      <c r="G1370" s="15" t="str">
        <v>Crystal Palace</v>
      </c>
      <c r="H1370" s="15">
        <v>18</v>
      </c>
      <c r="I1370" s="15" t="str">
        <f t="shared" si="113"/>
        <v>933|Ismaïla Sarr|28|Senegal|RW|Crystal Palace|18</v>
      </c>
      <c r="J1370" s="15" t="str">
        <f>IF(COUNTIF(I$438:I1370,I1370)&gt;1,"DOUBLON","OK")</f>
        <v>OK</v>
      </c>
      <c r="S1370" s="12" t="str">
        <v>Haiti</v>
      </c>
      <c r="T1370" s="12" t="str">
        <f t="shared" si="110"/>
        <v>OK</v>
      </c>
      <c r="U1370" s="12" t="str">
        <f t="shared" si="111"/>
        <v>-</v>
      </c>
      <c r="V1370" s="12" t="str" cm="1">
        <f t="array" ref="V1370">_xlfn.IFS(
ISNUMBER(SEARCH("USA",S1370)),"United States",
ISNUMBER(SEARCH("Republic of Ireland",S1370)),"Ireland",
ISNUMBER(SEARCH("Republic of Korea",S1370)),"South Korea",
ISNUMBER(SEARCH("Cape Verde",S1370)),"Cabo Verde",
ISNUMBER(SEARCH("Czechia",S1370)),"Czech Republic",
ISNUMBER(SEARCH("Türkiye",S1370)),"Turkey",
ISNUMBER(SEARCH("Ivory Coast",S1370)),"Côte d'Ivoire",
ISNUMBER(SEARCH("Korea Republic",S1370)),"South Korea",
ISNUMBER(SEARCH("Germany FR",S1370)),"FR Germany",
ISNUMBER(SEARCH("West Germany",S1370)),"FR Germany",
ISNUMBER(SEARCH("Germany DR",S1370)),"DR Germany",
ISNUMBER(SEARCH("Korea DPR",S1370)),"North Korea",
ISNUMBER(SEARCH("China PR",S1370)),"China",
ISNUMBER(SEARCH("IR Iran",S1370)),"Iran",
ISNUMBER(SEARCH("Congo DR",S1370)),"Democratic Republic of the Congo",
ISNUMBER(SEARCH("DR Congo",S1370)),"Democratic Republic of the Congo",
ISNUMBER(SEARCH("German DR",S1370)),"DR Germany",
ISNUMBER(SEARCH("rn""&gt;United Arab Emirates",S1370)),"United Arab Emirates",
ISNUMBER(SEARCH("rn""&gt;Republic of Ireland",S1370)),"Ireland",
ISNUMBER(SEARCH("rn""&gt;Bosnia and Herzegovina",S1370)),"Bosnia and Herzegovina",
ISNUMBER(SEARCH("rn""&gt;Trinidad and Tobago",S1370)),"Trinidad and Tobago",
ISNUMBER(SEARCH("rn""&gt;Serbia and Montenegro",S1370)),"Serbia and Montenegro",
ISNUMBER(SEARCH(_xlfn.UNICHAR(65533),S1370)),"Côte d'Ivoire",
TRUE,""
)</f>
        <v/>
      </c>
      <c r="W1370" s="12" t="str">
        <f t="shared" si="112"/>
        <v>Haiti</v>
      </c>
    </row>
    <row r="1371" spans="2:23">
      <c r="B1371" s="75">
        <v>934</v>
      </c>
      <c r="C1371" s="15" t="str">
        <v>Bamba Dieng</v>
      </c>
      <c r="D1371" s="15">
        <v>26</v>
      </c>
      <c r="E1371" s="15" t="str">
        <v>Senegal</v>
      </c>
      <c r="F1371" s="15" t="str">
        <v>ST</v>
      </c>
      <c r="G1371" s="15" t="str">
        <v>Lorient</v>
      </c>
      <c r="H1371" s="15">
        <v>9</v>
      </c>
      <c r="I1371" s="15" t="str">
        <f t="shared" si="113"/>
        <v>934|Bamba Dieng|26|Senegal|ST|Lorient|9</v>
      </c>
      <c r="J1371" s="15" t="str">
        <f>IF(COUNTIF(I$438:I1371,I1371)&gt;1,"DOUBLON","OK")</f>
        <v>OK</v>
      </c>
      <c r="S1371" s="12" t="str">
        <v>Haiti</v>
      </c>
      <c r="T1371" s="12" t="str">
        <f t="shared" si="110"/>
        <v>OK</v>
      </c>
      <c r="U1371" s="12" t="str">
        <f t="shared" si="111"/>
        <v>-</v>
      </c>
      <c r="V1371" s="12" t="str" cm="1">
        <f t="array" ref="V1371">_xlfn.IFS(
ISNUMBER(SEARCH("USA",S1371)),"United States",
ISNUMBER(SEARCH("Republic of Ireland",S1371)),"Ireland",
ISNUMBER(SEARCH("Republic of Korea",S1371)),"South Korea",
ISNUMBER(SEARCH("Cape Verde",S1371)),"Cabo Verde",
ISNUMBER(SEARCH("Czechia",S1371)),"Czech Republic",
ISNUMBER(SEARCH("Türkiye",S1371)),"Turkey",
ISNUMBER(SEARCH("Ivory Coast",S1371)),"Côte d'Ivoire",
ISNUMBER(SEARCH("Korea Republic",S1371)),"South Korea",
ISNUMBER(SEARCH("Germany FR",S1371)),"FR Germany",
ISNUMBER(SEARCH("West Germany",S1371)),"FR Germany",
ISNUMBER(SEARCH("Germany DR",S1371)),"DR Germany",
ISNUMBER(SEARCH("Korea DPR",S1371)),"North Korea",
ISNUMBER(SEARCH("China PR",S1371)),"China",
ISNUMBER(SEARCH("IR Iran",S1371)),"Iran",
ISNUMBER(SEARCH("Congo DR",S1371)),"Democratic Republic of the Congo",
ISNUMBER(SEARCH("DR Congo",S1371)),"Democratic Republic of the Congo",
ISNUMBER(SEARCH("German DR",S1371)),"DR Germany",
ISNUMBER(SEARCH("rn""&gt;United Arab Emirates",S1371)),"United Arab Emirates",
ISNUMBER(SEARCH("rn""&gt;Republic of Ireland",S1371)),"Ireland",
ISNUMBER(SEARCH("rn""&gt;Bosnia and Herzegovina",S1371)),"Bosnia and Herzegovina",
ISNUMBER(SEARCH("rn""&gt;Trinidad and Tobago",S1371)),"Trinidad and Tobago",
ISNUMBER(SEARCH("rn""&gt;Serbia and Montenegro",S1371)),"Serbia and Montenegro",
ISNUMBER(SEARCH(_xlfn.UNICHAR(65533),S1371)),"Côte d'Ivoire",
TRUE,""
)</f>
        <v/>
      </c>
      <c r="W1371" s="12" t="str">
        <f t="shared" si="112"/>
        <v>Haiti</v>
      </c>
    </row>
    <row r="1372" spans="2:23">
      <c r="B1372" s="75">
        <v>935</v>
      </c>
      <c r="C1372" s="15" t="str">
        <v>Nicolas Jackson</v>
      </c>
      <c r="D1372" s="15">
        <v>24</v>
      </c>
      <c r="E1372" s="15" t="str">
        <v>Senegal</v>
      </c>
      <c r="F1372" s="15" t="str">
        <v>ST</v>
      </c>
      <c r="G1372" s="15" t="str">
        <v>Bayern Munich</v>
      </c>
      <c r="H1372" s="15">
        <v>11</v>
      </c>
      <c r="I1372" s="15" t="str">
        <f t="shared" si="113"/>
        <v>935|Nicolas Jackson|24|Senegal|ST|Bayern Munich|11</v>
      </c>
      <c r="J1372" s="15" t="str">
        <f>IF(COUNTIF(I$438:I1372,I1372)&gt;1,"DOUBLON","OK")</f>
        <v>OK</v>
      </c>
      <c r="S1372" s="12" t="str">
        <v>Haiti</v>
      </c>
      <c r="T1372" s="12" t="str">
        <f t="shared" si="110"/>
        <v>OK</v>
      </c>
      <c r="U1372" s="12" t="str">
        <f t="shared" si="111"/>
        <v>-</v>
      </c>
      <c r="V1372" s="12" t="str" cm="1">
        <f t="array" ref="V1372">_xlfn.IFS(
ISNUMBER(SEARCH("USA",S1372)),"United States",
ISNUMBER(SEARCH("Republic of Ireland",S1372)),"Ireland",
ISNUMBER(SEARCH("Republic of Korea",S1372)),"South Korea",
ISNUMBER(SEARCH("Cape Verde",S1372)),"Cabo Verde",
ISNUMBER(SEARCH("Czechia",S1372)),"Czech Republic",
ISNUMBER(SEARCH("Türkiye",S1372)),"Turkey",
ISNUMBER(SEARCH("Ivory Coast",S1372)),"Côte d'Ivoire",
ISNUMBER(SEARCH("Korea Republic",S1372)),"South Korea",
ISNUMBER(SEARCH("Germany FR",S1372)),"FR Germany",
ISNUMBER(SEARCH("West Germany",S1372)),"FR Germany",
ISNUMBER(SEARCH("Germany DR",S1372)),"DR Germany",
ISNUMBER(SEARCH("Korea DPR",S1372)),"North Korea",
ISNUMBER(SEARCH("China PR",S1372)),"China",
ISNUMBER(SEARCH("IR Iran",S1372)),"Iran",
ISNUMBER(SEARCH("Congo DR",S1372)),"Democratic Republic of the Congo",
ISNUMBER(SEARCH("DR Congo",S1372)),"Democratic Republic of the Congo",
ISNUMBER(SEARCH("German DR",S1372)),"DR Germany",
ISNUMBER(SEARCH("rn""&gt;United Arab Emirates",S1372)),"United Arab Emirates",
ISNUMBER(SEARCH("rn""&gt;Republic of Ireland",S1372)),"Ireland",
ISNUMBER(SEARCH("rn""&gt;Bosnia and Herzegovina",S1372)),"Bosnia and Herzegovina",
ISNUMBER(SEARCH("rn""&gt;Trinidad and Tobago",S1372)),"Trinidad and Tobago",
ISNUMBER(SEARCH("rn""&gt;Serbia and Montenegro",S1372)),"Serbia and Montenegro",
ISNUMBER(SEARCH(_xlfn.UNICHAR(65533),S1372)),"Côte d'Ivoire",
TRUE,""
)</f>
        <v/>
      </c>
      <c r="W1372" s="12" t="str">
        <f t="shared" si="112"/>
        <v>Haiti</v>
      </c>
    </row>
    <row r="1373" spans="2:23">
      <c r="B1373" s="75">
        <v>936</v>
      </c>
      <c r="C1373" s="15" t="str">
        <v>Cherif Ndiaye</v>
      </c>
      <c r="D1373" s="15">
        <v>30</v>
      </c>
      <c r="E1373" s="15" t="str">
        <v>Senegal</v>
      </c>
      <c r="F1373" s="15" t="str">
        <v>ST</v>
      </c>
      <c r="G1373" s="15" t="str">
        <v>Samsunspor</v>
      </c>
      <c r="H1373" s="15">
        <v>12</v>
      </c>
      <c r="I1373" s="15" t="str">
        <f t="shared" si="113"/>
        <v>936|Cherif Ndiaye|30|Senegal|ST|Samsunspor|12</v>
      </c>
      <c r="J1373" s="15" t="str">
        <f>IF(COUNTIF(I$438:I1373,I1373)&gt;1,"DOUBLON","OK")</f>
        <v>OK</v>
      </c>
      <c r="S1373" s="12" t="str">
        <v>Haiti</v>
      </c>
      <c r="T1373" s="12" t="str">
        <f t="shared" si="110"/>
        <v>OK</v>
      </c>
      <c r="U1373" s="12" t="str">
        <f t="shared" si="111"/>
        <v>-</v>
      </c>
      <c r="V1373" s="12" t="str" cm="1">
        <f t="array" ref="V1373">_xlfn.IFS(
ISNUMBER(SEARCH("USA",S1373)),"United States",
ISNUMBER(SEARCH("Republic of Ireland",S1373)),"Ireland",
ISNUMBER(SEARCH("Republic of Korea",S1373)),"South Korea",
ISNUMBER(SEARCH("Cape Verde",S1373)),"Cabo Verde",
ISNUMBER(SEARCH("Czechia",S1373)),"Czech Republic",
ISNUMBER(SEARCH("Türkiye",S1373)),"Turkey",
ISNUMBER(SEARCH("Ivory Coast",S1373)),"Côte d'Ivoire",
ISNUMBER(SEARCH("Korea Republic",S1373)),"South Korea",
ISNUMBER(SEARCH("Germany FR",S1373)),"FR Germany",
ISNUMBER(SEARCH("West Germany",S1373)),"FR Germany",
ISNUMBER(SEARCH("Germany DR",S1373)),"DR Germany",
ISNUMBER(SEARCH("Korea DPR",S1373)),"North Korea",
ISNUMBER(SEARCH("China PR",S1373)),"China",
ISNUMBER(SEARCH("IR Iran",S1373)),"Iran",
ISNUMBER(SEARCH("Congo DR",S1373)),"Democratic Republic of the Congo",
ISNUMBER(SEARCH("DR Congo",S1373)),"Democratic Republic of the Congo",
ISNUMBER(SEARCH("German DR",S1373)),"DR Germany",
ISNUMBER(SEARCH("rn""&gt;United Arab Emirates",S1373)),"United Arab Emirates",
ISNUMBER(SEARCH("rn""&gt;Republic of Ireland",S1373)),"Ireland",
ISNUMBER(SEARCH("rn""&gt;Bosnia and Herzegovina",S1373)),"Bosnia and Herzegovina",
ISNUMBER(SEARCH("rn""&gt;Trinidad and Tobago",S1373)),"Trinidad and Tobago",
ISNUMBER(SEARCH("rn""&gt;Serbia and Montenegro",S1373)),"Serbia and Montenegro",
ISNUMBER(SEARCH(_xlfn.UNICHAR(65533),S1373)),"Côte d'Ivoire",
TRUE,""
)</f>
        <v/>
      </c>
      <c r="W1373" s="12" t="str">
        <f t="shared" si="112"/>
        <v>Haiti</v>
      </c>
    </row>
    <row r="1374" spans="2:23">
      <c r="B1374" s="75">
        <v>937</v>
      </c>
      <c r="C1374" s="15" t="str">
        <v>Melvin Mastil</v>
      </c>
      <c r="D1374" s="15">
        <v>26</v>
      </c>
      <c r="E1374" s="15" t="str">
        <v>Algeria</v>
      </c>
      <c r="F1374" s="15" t="str">
        <v>GK</v>
      </c>
      <c r="G1374" s="15" t="str">
        <v>Stade Nyonnais</v>
      </c>
      <c r="H1374" s="15">
        <v>1</v>
      </c>
      <c r="I1374" s="15" t="str">
        <f t="shared" si="113"/>
        <v>937|Melvin Mastil|26|Algeria|GK|Stade Nyonnais|1</v>
      </c>
      <c r="J1374" s="15" t="str">
        <f>IF(COUNTIF(I$438:I1374,I1374)&gt;1,"DOUBLON","OK")</f>
        <v>OK</v>
      </c>
      <c r="S1374" s="12" t="str">
        <v>Haiti</v>
      </c>
      <c r="T1374" s="12" t="str">
        <f t="shared" si="110"/>
        <v>OK</v>
      </c>
      <c r="U1374" s="12" t="str">
        <f t="shared" si="111"/>
        <v>-</v>
      </c>
      <c r="V1374" s="12" t="str" cm="1">
        <f t="array" ref="V1374">_xlfn.IFS(
ISNUMBER(SEARCH("USA",S1374)),"United States",
ISNUMBER(SEARCH("Republic of Ireland",S1374)),"Ireland",
ISNUMBER(SEARCH("Republic of Korea",S1374)),"South Korea",
ISNUMBER(SEARCH("Cape Verde",S1374)),"Cabo Verde",
ISNUMBER(SEARCH("Czechia",S1374)),"Czech Republic",
ISNUMBER(SEARCH("Türkiye",S1374)),"Turkey",
ISNUMBER(SEARCH("Ivory Coast",S1374)),"Côte d'Ivoire",
ISNUMBER(SEARCH("Korea Republic",S1374)),"South Korea",
ISNUMBER(SEARCH("Germany FR",S1374)),"FR Germany",
ISNUMBER(SEARCH("West Germany",S1374)),"FR Germany",
ISNUMBER(SEARCH("Germany DR",S1374)),"DR Germany",
ISNUMBER(SEARCH("Korea DPR",S1374)),"North Korea",
ISNUMBER(SEARCH("China PR",S1374)),"China",
ISNUMBER(SEARCH("IR Iran",S1374)),"Iran",
ISNUMBER(SEARCH("Congo DR",S1374)),"Democratic Republic of the Congo",
ISNUMBER(SEARCH("DR Congo",S1374)),"Democratic Republic of the Congo",
ISNUMBER(SEARCH("German DR",S1374)),"DR Germany",
ISNUMBER(SEARCH("rn""&gt;United Arab Emirates",S1374)),"United Arab Emirates",
ISNUMBER(SEARCH("rn""&gt;Republic of Ireland",S1374)),"Ireland",
ISNUMBER(SEARCH("rn""&gt;Bosnia and Herzegovina",S1374)),"Bosnia and Herzegovina",
ISNUMBER(SEARCH("rn""&gt;Trinidad and Tobago",S1374)),"Trinidad and Tobago",
ISNUMBER(SEARCH("rn""&gt;Serbia and Montenegro",S1374)),"Serbia and Montenegro",
ISNUMBER(SEARCH(_xlfn.UNICHAR(65533),S1374)),"Côte d'Ivoire",
TRUE,""
)</f>
        <v/>
      </c>
      <c r="W1374" s="12" t="str">
        <f t="shared" si="112"/>
        <v>Haiti</v>
      </c>
    </row>
    <row r="1375" spans="2:23">
      <c r="B1375" s="75">
        <v>938</v>
      </c>
      <c r="C1375" s="15" t="str">
        <v>Oussama Benbot</v>
      </c>
      <c r="D1375" s="15">
        <v>31</v>
      </c>
      <c r="E1375" s="15" t="str">
        <v>Algeria</v>
      </c>
      <c r="F1375" s="15" t="str">
        <v>GK</v>
      </c>
      <c r="G1375" s="15" t="str">
        <v>USM Alger</v>
      </c>
      <c r="H1375" s="15">
        <v>16</v>
      </c>
      <c r="I1375" s="15" t="str">
        <f t="shared" si="113"/>
        <v>938|Oussama Benbot|31|Algeria|GK|USM Alger|16</v>
      </c>
      <c r="J1375" s="15" t="str">
        <f>IF(COUNTIF(I$438:I1375,I1375)&gt;1,"DOUBLON","OK")</f>
        <v>OK</v>
      </c>
      <c r="S1375" s="12" t="str">
        <v>Haiti</v>
      </c>
      <c r="T1375" s="12" t="str">
        <f t="shared" si="110"/>
        <v>OK</v>
      </c>
      <c r="U1375" s="12" t="str">
        <f t="shared" si="111"/>
        <v>-</v>
      </c>
      <c r="V1375" s="12" t="str" cm="1">
        <f t="array" ref="V1375">_xlfn.IFS(
ISNUMBER(SEARCH("USA",S1375)),"United States",
ISNUMBER(SEARCH("Republic of Ireland",S1375)),"Ireland",
ISNUMBER(SEARCH("Republic of Korea",S1375)),"South Korea",
ISNUMBER(SEARCH("Cape Verde",S1375)),"Cabo Verde",
ISNUMBER(SEARCH("Czechia",S1375)),"Czech Republic",
ISNUMBER(SEARCH("Türkiye",S1375)),"Turkey",
ISNUMBER(SEARCH("Ivory Coast",S1375)),"Côte d'Ivoire",
ISNUMBER(SEARCH("Korea Republic",S1375)),"South Korea",
ISNUMBER(SEARCH("Germany FR",S1375)),"FR Germany",
ISNUMBER(SEARCH("West Germany",S1375)),"FR Germany",
ISNUMBER(SEARCH("Germany DR",S1375)),"DR Germany",
ISNUMBER(SEARCH("Korea DPR",S1375)),"North Korea",
ISNUMBER(SEARCH("China PR",S1375)),"China",
ISNUMBER(SEARCH("IR Iran",S1375)),"Iran",
ISNUMBER(SEARCH("Congo DR",S1375)),"Democratic Republic of the Congo",
ISNUMBER(SEARCH("DR Congo",S1375)),"Democratic Republic of the Congo",
ISNUMBER(SEARCH("German DR",S1375)),"DR Germany",
ISNUMBER(SEARCH("rn""&gt;United Arab Emirates",S1375)),"United Arab Emirates",
ISNUMBER(SEARCH("rn""&gt;Republic of Ireland",S1375)),"Ireland",
ISNUMBER(SEARCH("rn""&gt;Bosnia and Herzegovina",S1375)),"Bosnia and Herzegovina",
ISNUMBER(SEARCH("rn""&gt;Trinidad and Tobago",S1375)),"Trinidad and Tobago",
ISNUMBER(SEARCH("rn""&gt;Serbia and Montenegro",S1375)),"Serbia and Montenegro",
ISNUMBER(SEARCH(_xlfn.UNICHAR(65533),S1375)),"Côte d'Ivoire",
TRUE,""
)</f>
        <v/>
      </c>
      <c r="W1375" s="12" t="str">
        <f t="shared" si="112"/>
        <v>Haiti</v>
      </c>
    </row>
    <row r="1376" spans="2:23">
      <c r="B1376" s="75">
        <v>939</v>
      </c>
      <c r="C1376" s="15" t="str">
        <v>Luca Zidane</v>
      </c>
      <c r="D1376" s="15">
        <v>28</v>
      </c>
      <c r="E1376" s="15" t="str">
        <v>Algeria</v>
      </c>
      <c r="F1376" s="15" t="str">
        <v>GK</v>
      </c>
      <c r="G1376" s="15" t="str">
        <v>Granada</v>
      </c>
      <c r="H1376" s="15">
        <v>23</v>
      </c>
      <c r="I1376" s="15" t="str">
        <f t="shared" si="113"/>
        <v>939|Luca Zidane|28|Algeria|GK|Granada|23</v>
      </c>
      <c r="J1376" s="15" t="str">
        <f>IF(COUNTIF(I$438:I1376,I1376)&gt;1,"DOUBLON","OK")</f>
        <v>OK</v>
      </c>
      <c r="S1376" s="12" t="str">
        <v>Haiti</v>
      </c>
      <c r="T1376" s="12" t="str">
        <f t="shared" si="110"/>
        <v>OK</v>
      </c>
      <c r="U1376" s="12" t="str">
        <f t="shared" si="111"/>
        <v>-</v>
      </c>
      <c r="V1376" s="12" t="str" cm="1">
        <f t="array" ref="V1376">_xlfn.IFS(
ISNUMBER(SEARCH("USA",S1376)),"United States",
ISNUMBER(SEARCH("Republic of Ireland",S1376)),"Ireland",
ISNUMBER(SEARCH("Republic of Korea",S1376)),"South Korea",
ISNUMBER(SEARCH("Cape Verde",S1376)),"Cabo Verde",
ISNUMBER(SEARCH("Czechia",S1376)),"Czech Republic",
ISNUMBER(SEARCH("Türkiye",S1376)),"Turkey",
ISNUMBER(SEARCH("Ivory Coast",S1376)),"Côte d'Ivoire",
ISNUMBER(SEARCH("Korea Republic",S1376)),"South Korea",
ISNUMBER(SEARCH("Germany FR",S1376)),"FR Germany",
ISNUMBER(SEARCH("West Germany",S1376)),"FR Germany",
ISNUMBER(SEARCH("Germany DR",S1376)),"DR Germany",
ISNUMBER(SEARCH("Korea DPR",S1376)),"North Korea",
ISNUMBER(SEARCH("China PR",S1376)),"China",
ISNUMBER(SEARCH("IR Iran",S1376)),"Iran",
ISNUMBER(SEARCH("Congo DR",S1376)),"Democratic Republic of the Congo",
ISNUMBER(SEARCH("DR Congo",S1376)),"Democratic Republic of the Congo",
ISNUMBER(SEARCH("German DR",S1376)),"DR Germany",
ISNUMBER(SEARCH("rn""&gt;United Arab Emirates",S1376)),"United Arab Emirates",
ISNUMBER(SEARCH("rn""&gt;Republic of Ireland",S1376)),"Ireland",
ISNUMBER(SEARCH("rn""&gt;Bosnia and Herzegovina",S1376)),"Bosnia and Herzegovina",
ISNUMBER(SEARCH("rn""&gt;Trinidad and Tobago",S1376)),"Trinidad and Tobago",
ISNUMBER(SEARCH("rn""&gt;Serbia and Montenegro",S1376)),"Serbia and Montenegro",
ISNUMBER(SEARCH(_xlfn.UNICHAR(65533),S1376)),"Côte d'Ivoire",
TRUE,""
)</f>
        <v/>
      </c>
      <c r="W1376" s="12" t="str">
        <f t="shared" si="112"/>
        <v>Haiti</v>
      </c>
    </row>
    <row r="1377" spans="2:23">
      <c r="B1377" s="75">
        <v>940</v>
      </c>
      <c r="C1377" s="15" t="str">
        <v>Aïssa Mandi</v>
      </c>
      <c r="D1377" s="15">
        <v>34</v>
      </c>
      <c r="E1377" s="15" t="str">
        <v>Algeria</v>
      </c>
      <c r="F1377" s="15" t="str">
        <v>CB</v>
      </c>
      <c r="G1377" s="15" t="str">
        <v>Lille</v>
      </c>
      <c r="H1377" s="15">
        <v>2</v>
      </c>
      <c r="I1377" s="15" t="str">
        <f t="shared" si="113"/>
        <v>940|Aïssa Mandi|34|Algeria|CB|Lille|2</v>
      </c>
      <c r="J1377" s="15" t="str">
        <f>IF(COUNTIF(I$438:I1377,I1377)&gt;1,"DOUBLON","OK")</f>
        <v>OK</v>
      </c>
      <c r="S1377" s="12" t="str">
        <v>Haiti</v>
      </c>
      <c r="T1377" s="12" t="str">
        <f t="shared" ref="T1377:T1440" si="114">IF(COUNTIF(R$13:R$250,S1377)=1,"OK","ERREUR")</f>
        <v>OK</v>
      </c>
      <c r="U1377" s="12" t="str">
        <f t="shared" si="111"/>
        <v>-</v>
      </c>
      <c r="V1377" s="12" t="str" cm="1">
        <f t="array" ref="V1377">_xlfn.IFS(
ISNUMBER(SEARCH("USA",S1377)),"United States",
ISNUMBER(SEARCH("Republic of Ireland",S1377)),"Ireland",
ISNUMBER(SEARCH("Republic of Korea",S1377)),"South Korea",
ISNUMBER(SEARCH("Cape Verde",S1377)),"Cabo Verde",
ISNUMBER(SEARCH("Czechia",S1377)),"Czech Republic",
ISNUMBER(SEARCH("Türkiye",S1377)),"Turkey",
ISNUMBER(SEARCH("Ivory Coast",S1377)),"Côte d'Ivoire",
ISNUMBER(SEARCH("Korea Republic",S1377)),"South Korea",
ISNUMBER(SEARCH("Germany FR",S1377)),"FR Germany",
ISNUMBER(SEARCH("West Germany",S1377)),"FR Germany",
ISNUMBER(SEARCH("Germany DR",S1377)),"DR Germany",
ISNUMBER(SEARCH("Korea DPR",S1377)),"North Korea",
ISNUMBER(SEARCH("China PR",S1377)),"China",
ISNUMBER(SEARCH("IR Iran",S1377)),"Iran",
ISNUMBER(SEARCH("Congo DR",S1377)),"Democratic Republic of the Congo",
ISNUMBER(SEARCH("DR Congo",S1377)),"Democratic Republic of the Congo",
ISNUMBER(SEARCH("German DR",S1377)),"DR Germany",
ISNUMBER(SEARCH("rn""&gt;United Arab Emirates",S1377)),"United Arab Emirates",
ISNUMBER(SEARCH("rn""&gt;Republic of Ireland",S1377)),"Ireland",
ISNUMBER(SEARCH("rn""&gt;Bosnia and Herzegovina",S1377)),"Bosnia and Herzegovina",
ISNUMBER(SEARCH("rn""&gt;Trinidad and Tobago",S1377)),"Trinidad and Tobago",
ISNUMBER(SEARCH("rn""&gt;Serbia and Montenegro",S1377)),"Serbia and Montenegro",
ISNUMBER(SEARCH(_xlfn.UNICHAR(65533),S1377)),"Côte d'Ivoire",
TRUE,""
)</f>
        <v/>
      </c>
      <c r="W1377" s="12" t="str">
        <f t="shared" si="112"/>
        <v>Haiti</v>
      </c>
    </row>
    <row r="1378" spans="2:23">
      <c r="B1378" s="75">
        <v>941</v>
      </c>
      <c r="C1378" s="15" t="str">
        <v>Mohamed Amine Tougai</v>
      </c>
      <c r="D1378" s="15">
        <v>26</v>
      </c>
      <c r="E1378" s="15" t="str">
        <v>Algeria</v>
      </c>
      <c r="F1378" s="15" t="str">
        <v>CB</v>
      </c>
      <c r="G1378" s="15" t="str">
        <v>Espérance de Tunis</v>
      </c>
      <c r="H1378" s="15">
        <v>4</v>
      </c>
      <c r="I1378" s="15" t="str">
        <f t="shared" si="113"/>
        <v>941|Mohamed Amine Tougai|26|Algeria|CB|Espérance de Tunis|4</v>
      </c>
      <c r="J1378" s="15" t="str">
        <f>IF(COUNTIF(I$438:I1378,I1378)&gt;1,"DOUBLON","OK")</f>
        <v>OK</v>
      </c>
      <c r="S1378" s="12" t="str">
        <v>Haiti</v>
      </c>
      <c r="T1378" s="12" t="str">
        <f t="shared" si="114"/>
        <v>OK</v>
      </c>
      <c r="U1378" s="12" t="str">
        <f t="shared" ref="U1378:U1441" si="115">IF(OR(S1378="Scotland",S1378="England",S1378="Wales",S1378="Yugoslavia",S1378="Czechoslovakia",S1378="Northern Ireland",S1378="Soviet Union",S1378="Zaire",S1378="Dutch East Indies"),"AUCUNE",IF(OR(S1378="Cape Verde",S1378="USA",S1378="DR Congo",S1378="Republic of Korea",S1378="Germany FR",S1378="Germany DR",S1378="Czechia",S1378="Ivory Coast",S1378="Korea DPR",S1378="China PR",S1378="IR Iran",S1378="Türkiye",S1378="Congo DR",S1378="German DR",S1378="West Germany",S1378="Republic of Ireland",ISNUMBER(SEARCH("rn""&gt;United Arab Emirates",S1378)),ISNUMBER(SEARCH("rn""&gt;Republic of Ireland",S1378)),ISNUMBER(SEARCH("rn""&gt;Bosnia and Herzegovina",S1378)),ISNUMBER(SEARCH("rn""&gt;Trinidad and Tobago",S1378)),ISNUMBER(SEARCH("rn""&gt;Serbia and Montenegro",S1378)),ISNUMBER(SEARCH(_xlfn.UNICHAR(65533),S1378))),"RENOMMER","-"))</f>
        <v>-</v>
      </c>
      <c r="V1378" s="12" t="str" cm="1">
        <f t="array" ref="V1378">_xlfn.IFS(
ISNUMBER(SEARCH("USA",S1378)),"United States",
ISNUMBER(SEARCH("Republic of Ireland",S1378)),"Ireland",
ISNUMBER(SEARCH("Republic of Korea",S1378)),"South Korea",
ISNUMBER(SEARCH("Cape Verde",S1378)),"Cabo Verde",
ISNUMBER(SEARCH("Czechia",S1378)),"Czech Republic",
ISNUMBER(SEARCH("Türkiye",S1378)),"Turkey",
ISNUMBER(SEARCH("Ivory Coast",S1378)),"Côte d'Ivoire",
ISNUMBER(SEARCH("Korea Republic",S1378)),"South Korea",
ISNUMBER(SEARCH("Germany FR",S1378)),"FR Germany",
ISNUMBER(SEARCH("West Germany",S1378)),"FR Germany",
ISNUMBER(SEARCH("Germany DR",S1378)),"DR Germany",
ISNUMBER(SEARCH("Korea DPR",S1378)),"North Korea",
ISNUMBER(SEARCH("China PR",S1378)),"China",
ISNUMBER(SEARCH("IR Iran",S1378)),"Iran",
ISNUMBER(SEARCH("Congo DR",S1378)),"Democratic Republic of the Congo",
ISNUMBER(SEARCH("DR Congo",S1378)),"Democratic Republic of the Congo",
ISNUMBER(SEARCH("German DR",S1378)),"DR Germany",
ISNUMBER(SEARCH("rn""&gt;United Arab Emirates",S1378)),"United Arab Emirates",
ISNUMBER(SEARCH("rn""&gt;Republic of Ireland",S1378)),"Ireland",
ISNUMBER(SEARCH("rn""&gt;Bosnia and Herzegovina",S1378)),"Bosnia and Herzegovina",
ISNUMBER(SEARCH("rn""&gt;Trinidad and Tobago",S1378)),"Trinidad and Tobago",
ISNUMBER(SEARCH("rn""&gt;Serbia and Montenegro",S1378)),"Serbia and Montenegro",
ISNUMBER(SEARCH(_xlfn.UNICHAR(65533),S1378)),"Côte d'Ivoire",
TRUE,""
)</f>
        <v/>
      </c>
      <c r="W1378" s="12" t="str">
        <f t="shared" ref="W1378:W1441" si="116">IF(V1378="",S1378,V1378)</f>
        <v>Haiti</v>
      </c>
    </row>
    <row r="1379" spans="2:23">
      <c r="B1379" s="75">
        <v>942</v>
      </c>
      <c r="C1379" s="15" t="str">
        <v>Zineddine Belaïd</v>
      </c>
      <c r="D1379" s="15">
        <v>27</v>
      </c>
      <c r="E1379" s="15" t="str">
        <v>Algeria</v>
      </c>
      <c r="F1379" s="15" t="str">
        <v>CB</v>
      </c>
      <c r="G1379" s="15" t="str">
        <v>JS Kabylie</v>
      </c>
      <c r="H1379" s="15">
        <v>5</v>
      </c>
      <c r="I1379" s="15" t="str">
        <f t="shared" si="113"/>
        <v>942|Zineddine Belaïd|27|Algeria|CB|JS Kabylie|5</v>
      </c>
      <c r="J1379" s="15" t="str">
        <f>IF(COUNTIF(I$438:I1379,I1379)&gt;1,"DOUBLON","OK")</f>
        <v>OK</v>
      </c>
      <c r="S1379" s="12" t="str">
        <v>Haiti</v>
      </c>
      <c r="T1379" s="12" t="str">
        <f t="shared" si="114"/>
        <v>OK</v>
      </c>
      <c r="U1379" s="12" t="str">
        <f t="shared" si="115"/>
        <v>-</v>
      </c>
      <c r="V1379" s="12" t="str" cm="1">
        <f t="array" ref="V1379">_xlfn.IFS(
ISNUMBER(SEARCH("USA",S1379)),"United States",
ISNUMBER(SEARCH("Republic of Ireland",S1379)),"Ireland",
ISNUMBER(SEARCH("Republic of Korea",S1379)),"South Korea",
ISNUMBER(SEARCH("Cape Verde",S1379)),"Cabo Verde",
ISNUMBER(SEARCH("Czechia",S1379)),"Czech Republic",
ISNUMBER(SEARCH("Türkiye",S1379)),"Turkey",
ISNUMBER(SEARCH("Ivory Coast",S1379)),"Côte d'Ivoire",
ISNUMBER(SEARCH("Korea Republic",S1379)),"South Korea",
ISNUMBER(SEARCH("Germany FR",S1379)),"FR Germany",
ISNUMBER(SEARCH("West Germany",S1379)),"FR Germany",
ISNUMBER(SEARCH("Germany DR",S1379)),"DR Germany",
ISNUMBER(SEARCH("Korea DPR",S1379)),"North Korea",
ISNUMBER(SEARCH("China PR",S1379)),"China",
ISNUMBER(SEARCH("IR Iran",S1379)),"Iran",
ISNUMBER(SEARCH("Congo DR",S1379)),"Democratic Republic of the Congo",
ISNUMBER(SEARCH("DR Congo",S1379)),"Democratic Republic of the Congo",
ISNUMBER(SEARCH("German DR",S1379)),"DR Germany",
ISNUMBER(SEARCH("rn""&gt;United Arab Emirates",S1379)),"United Arab Emirates",
ISNUMBER(SEARCH("rn""&gt;Republic of Ireland",S1379)),"Ireland",
ISNUMBER(SEARCH("rn""&gt;Bosnia and Herzegovina",S1379)),"Bosnia and Herzegovina",
ISNUMBER(SEARCH("rn""&gt;Trinidad and Tobago",S1379)),"Trinidad and Tobago",
ISNUMBER(SEARCH("rn""&gt;Serbia and Montenegro",S1379)),"Serbia and Montenegro",
ISNUMBER(SEARCH(_xlfn.UNICHAR(65533),S1379)),"Côte d'Ivoire",
TRUE,""
)</f>
        <v/>
      </c>
      <c r="W1379" s="12" t="str">
        <f t="shared" si="116"/>
        <v>Haiti</v>
      </c>
    </row>
    <row r="1380" spans="2:23">
      <c r="B1380" s="75">
        <v>943</v>
      </c>
      <c r="C1380" s="15" t="str">
        <v>Ramy Bensebaini</v>
      </c>
      <c r="D1380" s="15">
        <v>31</v>
      </c>
      <c r="E1380" s="15" t="str">
        <v>Algeria</v>
      </c>
      <c r="F1380" s="15" t="str">
        <v>CB</v>
      </c>
      <c r="G1380" s="15" t="str">
        <v>Borussia Dortmund</v>
      </c>
      <c r="H1380" s="15">
        <v>21</v>
      </c>
      <c r="I1380" s="15" t="str">
        <f t="shared" si="113"/>
        <v>943|Ramy Bensebaini|31|Algeria|CB|Borussia Dortmund|21</v>
      </c>
      <c r="J1380" s="15" t="str">
        <f>IF(COUNTIF(I$438:I1380,I1380)&gt;1,"DOUBLON","OK")</f>
        <v>OK</v>
      </c>
      <c r="S1380" s="12" t="str">
        <v>Haiti</v>
      </c>
      <c r="T1380" s="12" t="str">
        <f t="shared" si="114"/>
        <v>OK</v>
      </c>
      <c r="U1380" s="12" t="str">
        <f t="shared" si="115"/>
        <v>-</v>
      </c>
      <c r="V1380" s="12" t="str" cm="1">
        <f t="array" ref="V1380">_xlfn.IFS(
ISNUMBER(SEARCH("USA",S1380)),"United States",
ISNUMBER(SEARCH("Republic of Ireland",S1380)),"Ireland",
ISNUMBER(SEARCH("Republic of Korea",S1380)),"South Korea",
ISNUMBER(SEARCH("Cape Verde",S1380)),"Cabo Verde",
ISNUMBER(SEARCH("Czechia",S1380)),"Czech Republic",
ISNUMBER(SEARCH("Türkiye",S1380)),"Turkey",
ISNUMBER(SEARCH("Ivory Coast",S1380)),"Côte d'Ivoire",
ISNUMBER(SEARCH("Korea Republic",S1380)),"South Korea",
ISNUMBER(SEARCH("Germany FR",S1380)),"FR Germany",
ISNUMBER(SEARCH("West Germany",S1380)),"FR Germany",
ISNUMBER(SEARCH("Germany DR",S1380)),"DR Germany",
ISNUMBER(SEARCH("Korea DPR",S1380)),"North Korea",
ISNUMBER(SEARCH("China PR",S1380)),"China",
ISNUMBER(SEARCH("IR Iran",S1380)),"Iran",
ISNUMBER(SEARCH("Congo DR",S1380)),"Democratic Republic of the Congo",
ISNUMBER(SEARCH("DR Congo",S1380)),"Democratic Republic of the Congo",
ISNUMBER(SEARCH("German DR",S1380)),"DR Germany",
ISNUMBER(SEARCH("rn""&gt;United Arab Emirates",S1380)),"United Arab Emirates",
ISNUMBER(SEARCH("rn""&gt;Republic of Ireland",S1380)),"Ireland",
ISNUMBER(SEARCH("rn""&gt;Bosnia and Herzegovina",S1380)),"Bosnia and Herzegovina",
ISNUMBER(SEARCH("rn""&gt;Trinidad and Tobago",S1380)),"Trinidad and Tobago",
ISNUMBER(SEARCH("rn""&gt;Serbia and Montenegro",S1380)),"Serbia and Montenegro",
ISNUMBER(SEARCH(_xlfn.UNICHAR(65533),S1380)),"Côte d'Ivoire",
TRUE,""
)</f>
        <v/>
      </c>
      <c r="W1380" s="12" t="str">
        <f t="shared" si="116"/>
        <v>Haiti</v>
      </c>
    </row>
    <row r="1381" spans="2:23">
      <c r="B1381" s="75">
        <v>944</v>
      </c>
      <c r="C1381" s="15" t="str">
        <v>Samir Chergui</v>
      </c>
      <c r="D1381" s="15">
        <v>27</v>
      </c>
      <c r="E1381" s="15" t="str">
        <v>Algeria</v>
      </c>
      <c r="F1381" s="15" t="str">
        <v>CB</v>
      </c>
      <c r="G1381" s="15" t="str">
        <v>Paris FC</v>
      </c>
      <c r="H1381" s="15">
        <v>26</v>
      </c>
      <c r="I1381" s="15" t="str">
        <f t="shared" si="113"/>
        <v>944|Samir Chergui|27|Algeria|CB|Paris FC|26</v>
      </c>
      <c r="J1381" s="15" t="str">
        <f>IF(COUNTIF(I$438:I1381,I1381)&gt;1,"DOUBLON","OK")</f>
        <v>OK</v>
      </c>
      <c r="S1381" s="12" t="str">
        <v>Morocco</v>
      </c>
      <c r="T1381" s="12" t="str">
        <f t="shared" si="114"/>
        <v>OK</v>
      </c>
      <c r="U1381" s="12" t="str">
        <f t="shared" si="115"/>
        <v>-</v>
      </c>
      <c r="V1381" s="12" t="str" cm="1">
        <f t="array" ref="V1381">_xlfn.IFS(
ISNUMBER(SEARCH("USA",S1381)),"United States",
ISNUMBER(SEARCH("Republic of Ireland",S1381)),"Ireland",
ISNUMBER(SEARCH("Republic of Korea",S1381)),"South Korea",
ISNUMBER(SEARCH("Cape Verde",S1381)),"Cabo Verde",
ISNUMBER(SEARCH("Czechia",S1381)),"Czech Republic",
ISNUMBER(SEARCH("Türkiye",S1381)),"Turkey",
ISNUMBER(SEARCH("Ivory Coast",S1381)),"Côte d'Ivoire",
ISNUMBER(SEARCH("Korea Republic",S1381)),"South Korea",
ISNUMBER(SEARCH("Germany FR",S1381)),"FR Germany",
ISNUMBER(SEARCH("West Germany",S1381)),"FR Germany",
ISNUMBER(SEARCH("Germany DR",S1381)),"DR Germany",
ISNUMBER(SEARCH("Korea DPR",S1381)),"North Korea",
ISNUMBER(SEARCH("China PR",S1381)),"China",
ISNUMBER(SEARCH("IR Iran",S1381)),"Iran",
ISNUMBER(SEARCH("Congo DR",S1381)),"Democratic Republic of the Congo",
ISNUMBER(SEARCH("DR Congo",S1381)),"Democratic Republic of the Congo",
ISNUMBER(SEARCH("German DR",S1381)),"DR Germany",
ISNUMBER(SEARCH("rn""&gt;United Arab Emirates",S1381)),"United Arab Emirates",
ISNUMBER(SEARCH("rn""&gt;Republic of Ireland",S1381)),"Ireland",
ISNUMBER(SEARCH("rn""&gt;Bosnia and Herzegovina",S1381)),"Bosnia and Herzegovina",
ISNUMBER(SEARCH("rn""&gt;Trinidad and Tobago",S1381)),"Trinidad and Tobago",
ISNUMBER(SEARCH("rn""&gt;Serbia and Montenegro",S1381)),"Serbia and Montenegro",
ISNUMBER(SEARCH(_xlfn.UNICHAR(65533),S1381)),"Côte d'Ivoire",
TRUE,""
)</f>
        <v/>
      </c>
      <c r="W1381" s="12" t="str">
        <f t="shared" si="116"/>
        <v>Morocco</v>
      </c>
    </row>
    <row r="1382" spans="2:23">
      <c r="B1382" s="75">
        <v>945</v>
      </c>
      <c r="C1382" s="15" t="str">
        <v>Achref Abada</v>
      </c>
      <c r="D1382" s="15">
        <v>26</v>
      </c>
      <c r="E1382" s="15" t="str">
        <v>Algeria</v>
      </c>
      <c r="F1382" s="15" t="str">
        <v>LB</v>
      </c>
      <c r="G1382" s="15" t="str">
        <v>USM Alger</v>
      </c>
      <c r="H1382" s="15">
        <v>3</v>
      </c>
      <c r="I1382" s="15" t="str">
        <f t="shared" si="113"/>
        <v>945|Achref Abada|26|Algeria|LB|USM Alger|3</v>
      </c>
      <c r="J1382" s="15" t="str">
        <f>IF(COUNTIF(I$438:I1382,I1382)&gt;1,"DOUBLON","OK")</f>
        <v>OK</v>
      </c>
      <c r="S1382" s="12" t="str">
        <v>Morocco</v>
      </c>
      <c r="T1382" s="12" t="str">
        <f t="shared" si="114"/>
        <v>OK</v>
      </c>
      <c r="U1382" s="12" t="str">
        <f t="shared" si="115"/>
        <v>-</v>
      </c>
      <c r="V1382" s="12" t="str" cm="1">
        <f t="array" ref="V1382">_xlfn.IFS(
ISNUMBER(SEARCH("USA",S1382)),"United States",
ISNUMBER(SEARCH("Republic of Ireland",S1382)),"Ireland",
ISNUMBER(SEARCH("Republic of Korea",S1382)),"South Korea",
ISNUMBER(SEARCH("Cape Verde",S1382)),"Cabo Verde",
ISNUMBER(SEARCH("Czechia",S1382)),"Czech Republic",
ISNUMBER(SEARCH("Türkiye",S1382)),"Turkey",
ISNUMBER(SEARCH("Ivory Coast",S1382)),"Côte d'Ivoire",
ISNUMBER(SEARCH("Korea Republic",S1382)),"South Korea",
ISNUMBER(SEARCH("Germany FR",S1382)),"FR Germany",
ISNUMBER(SEARCH("West Germany",S1382)),"FR Germany",
ISNUMBER(SEARCH("Germany DR",S1382)),"DR Germany",
ISNUMBER(SEARCH("Korea DPR",S1382)),"North Korea",
ISNUMBER(SEARCH("China PR",S1382)),"China",
ISNUMBER(SEARCH("IR Iran",S1382)),"Iran",
ISNUMBER(SEARCH("Congo DR",S1382)),"Democratic Republic of the Congo",
ISNUMBER(SEARCH("DR Congo",S1382)),"Democratic Republic of the Congo",
ISNUMBER(SEARCH("German DR",S1382)),"DR Germany",
ISNUMBER(SEARCH("rn""&gt;United Arab Emirates",S1382)),"United Arab Emirates",
ISNUMBER(SEARCH("rn""&gt;Republic of Ireland",S1382)),"Ireland",
ISNUMBER(SEARCH("rn""&gt;Bosnia and Herzegovina",S1382)),"Bosnia and Herzegovina",
ISNUMBER(SEARCH("rn""&gt;Trinidad and Tobago",S1382)),"Trinidad and Tobago",
ISNUMBER(SEARCH("rn""&gt;Serbia and Montenegro",S1382)),"Serbia and Montenegro",
ISNUMBER(SEARCH(_xlfn.UNICHAR(65533),S1382)),"Côte d'Ivoire",
TRUE,""
)</f>
        <v/>
      </c>
      <c r="W1382" s="12" t="str">
        <f t="shared" si="116"/>
        <v>Morocco</v>
      </c>
    </row>
    <row r="1383" spans="2:23">
      <c r="B1383" s="75">
        <v>946</v>
      </c>
      <c r="C1383" s="15" t="str">
        <v>Jaouen Hadjam</v>
      </c>
      <c r="D1383" s="15">
        <v>23</v>
      </c>
      <c r="E1383" s="15" t="str">
        <v>Algeria</v>
      </c>
      <c r="F1383" s="15" t="str">
        <v>LB</v>
      </c>
      <c r="G1383" s="15" t="str">
        <v>Young Boys</v>
      </c>
      <c r="H1383" s="15">
        <v>13</v>
      </c>
      <c r="I1383" s="15" t="str">
        <f t="shared" si="113"/>
        <v>946|Jaouen Hadjam|23|Algeria|LB|Young Boys|13</v>
      </c>
      <c r="J1383" s="15" t="str">
        <f>IF(COUNTIF(I$438:I1383,I1383)&gt;1,"DOUBLON","OK")</f>
        <v>OK</v>
      </c>
      <c r="S1383" s="12" t="str">
        <v>Morocco</v>
      </c>
      <c r="T1383" s="12" t="str">
        <f t="shared" si="114"/>
        <v>OK</v>
      </c>
      <c r="U1383" s="12" t="str">
        <f t="shared" si="115"/>
        <v>-</v>
      </c>
      <c r="V1383" s="12" t="str" cm="1">
        <f t="array" ref="V1383">_xlfn.IFS(
ISNUMBER(SEARCH("USA",S1383)),"United States",
ISNUMBER(SEARCH("Republic of Ireland",S1383)),"Ireland",
ISNUMBER(SEARCH("Republic of Korea",S1383)),"South Korea",
ISNUMBER(SEARCH("Cape Verde",S1383)),"Cabo Verde",
ISNUMBER(SEARCH("Czechia",S1383)),"Czech Republic",
ISNUMBER(SEARCH("Türkiye",S1383)),"Turkey",
ISNUMBER(SEARCH("Ivory Coast",S1383)),"Côte d'Ivoire",
ISNUMBER(SEARCH("Korea Republic",S1383)),"South Korea",
ISNUMBER(SEARCH("Germany FR",S1383)),"FR Germany",
ISNUMBER(SEARCH("West Germany",S1383)),"FR Germany",
ISNUMBER(SEARCH("Germany DR",S1383)),"DR Germany",
ISNUMBER(SEARCH("Korea DPR",S1383)),"North Korea",
ISNUMBER(SEARCH("China PR",S1383)),"China",
ISNUMBER(SEARCH("IR Iran",S1383)),"Iran",
ISNUMBER(SEARCH("Congo DR",S1383)),"Democratic Republic of the Congo",
ISNUMBER(SEARCH("DR Congo",S1383)),"Democratic Republic of the Congo",
ISNUMBER(SEARCH("German DR",S1383)),"DR Germany",
ISNUMBER(SEARCH("rn""&gt;United Arab Emirates",S1383)),"United Arab Emirates",
ISNUMBER(SEARCH("rn""&gt;Republic of Ireland",S1383)),"Ireland",
ISNUMBER(SEARCH("rn""&gt;Bosnia and Herzegovina",S1383)),"Bosnia and Herzegovina",
ISNUMBER(SEARCH("rn""&gt;Trinidad and Tobago",S1383)),"Trinidad and Tobago",
ISNUMBER(SEARCH("rn""&gt;Serbia and Montenegro",S1383)),"Serbia and Montenegro",
ISNUMBER(SEARCH(_xlfn.UNICHAR(65533),S1383)),"Côte d'Ivoire",
TRUE,""
)</f>
        <v/>
      </c>
      <c r="W1383" s="12" t="str">
        <f t="shared" si="116"/>
        <v>Morocco</v>
      </c>
    </row>
    <row r="1384" spans="2:23">
      <c r="B1384" s="75">
        <v>947</v>
      </c>
      <c r="C1384" s="15" t="str">
        <v>Rayan Aït-Nouri</v>
      </c>
      <c r="D1384" s="15">
        <v>25</v>
      </c>
      <c r="E1384" s="15" t="str">
        <v>Algeria</v>
      </c>
      <c r="F1384" s="15" t="str">
        <v>LB</v>
      </c>
      <c r="G1384" s="15" t="str">
        <v>Manchester City</v>
      </c>
      <c r="H1384" s="15">
        <v>15</v>
      </c>
      <c r="I1384" s="15" t="str">
        <f t="shared" si="113"/>
        <v>947|Rayan Aït-Nouri|25|Algeria|LB|Manchester City|15</v>
      </c>
      <c r="J1384" s="15" t="str">
        <f>IF(COUNTIF(I$438:I1384,I1384)&gt;1,"DOUBLON","OK")</f>
        <v>OK</v>
      </c>
      <c r="S1384" s="12" t="str">
        <v>Morocco</v>
      </c>
      <c r="T1384" s="12" t="str">
        <f t="shared" si="114"/>
        <v>OK</v>
      </c>
      <c r="U1384" s="12" t="str">
        <f t="shared" si="115"/>
        <v>-</v>
      </c>
      <c r="V1384" s="12" t="str" cm="1">
        <f t="array" ref="V1384">_xlfn.IFS(
ISNUMBER(SEARCH("USA",S1384)),"United States",
ISNUMBER(SEARCH("Republic of Ireland",S1384)),"Ireland",
ISNUMBER(SEARCH("Republic of Korea",S1384)),"South Korea",
ISNUMBER(SEARCH("Cape Verde",S1384)),"Cabo Verde",
ISNUMBER(SEARCH("Czechia",S1384)),"Czech Republic",
ISNUMBER(SEARCH("Türkiye",S1384)),"Turkey",
ISNUMBER(SEARCH("Ivory Coast",S1384)),"Côte d'Ivoire",
ISNUMBER(SEARCH("Korea Republic",S1384)),"South Korea",
ISNUMBER(SEARCH("Germany FR",S1384)),"FR Germany",
ISNUMBER(SEARCH("West Germany",S1384)),"FR Germany",
ISNUMBER(SEARCH("Germany DR",S1384)),"DR Germany",
ISNUMBER(SEARCH("Korea DPR",S1384)),"North Korea",
ISNUMBER(SEARCH("China PR",S1384)),"China",
ISNUMBER(SEARCH("IR Iran",S1384)),"Iran",
ISNUMBER(SEARCH("Congo DR",S1384)),"Democratic Republic of the Congo",
ISNUMBER(SEARCH("DR Congo",S1384)),"Democratic Republic of the Congo",
ISNUMBER(SEARCH("German DR",S1384)),"DR Germany",
ISNUMBER(SEARCH("rn""&gt;United Arab Emirates",S1384)),"United Arab Emirates",
ISNUMBER(SEARCH("rn""&gt;Republic of Ireland",S1384)),"Ireland",
ISNUMBER(SEARCH("rn""&gt;Bosnia and Herzegovina",S1384)),"Bosnia and Herzegovina",
ISNUMBER(SEARCH("rn""&gt;Trinidad and Tobago",S1384)),"Trinidad and Tobago",
ISNUMBER(SEARCH("rn""&gt;Serbia and Montenegro",S1384)),"Serbia and Montenegro",
ISNUMBER(SEARCH(_xlfn.UNICHAR(65533),S1384)),"Côte d'Ivoire",
TRUE,""
)</f>
        <v/>
      </c>
      <c r="W1384" s="12" t="str">
        <f t="shared" si="116"/>
        <v>Morocco</v>
      </c>
    </row>
    <row r="1385" spans="2:23">
      <c r="B1385" s="75">
        <v>948</v>
      </c>
      <c r="C1385" s="15" t="str">
        <v>Rafik Belghali</v>
      </c>
      <c r="D1385" s="15">
        <v>24</v>
      </c>
      <c r="E1385" s="15" t="str">
        <v>Algeria</v>
      </c>
      <c r="F1385" s="15" t="str">
        <v>RB</v>
      </c>
      <c r="G1385" s="15" t="str">
        <v>Hellas Verona</v>
      </c>
      <c r="H1385" s="15">
        <v>17</v>
      </c>
      <c r="I1385" s="15" t="str">
        <f t="shared" si="113"/>
        <v>948|Rafik Belghali|24|Algeria|RB|Hellas Verona|17</v>
      </c>
      <c r="J1385" s="15" t="str">
        <f>IF(COUNTIF(I$438:I1385,I1385)&gt;1,"DOUBLON","OK")</f>
        <v>OK</v>
      </c>
      <c r="S1385" s="12" t="str">
        <v>Morocco</v>
      </c>
      <c r="T1385" s="12" t="str">
        <f t="shared" si="114"/>
        <v>OK</v>
      </c>
      <c r="U1385" s="12" t="str">
        <f t="shared" si="115"/>
        <v>-</v>
      </c>
      <c r="V1385" s="12" t="str" cm="1">
        <f t="array" ref="V1385">_xlfn.IFS(
ISNUMBER(SEARCH("USA",S1385)),"United States",
ISNUMBER(SEARCH("Republic of Ireland",S1385)),"Ireland",
ISNUMBER(SEARCH("Republic of Korea",S1385)),"South Korea",
ISNUMBER(SEARCH("Cape Verde",S1385)),"Cabo Verde",
ISNUMBER(SEARCH("Czechia",S1385)),"Czech Republic",
ISNUMBER(SEARCH("Türkiye",S1385)),"Turkey",
ISNUMBER(SEARCH("Ivory Coast",S1385)),"Côte d'Ivoire",
ISNUMBER(SEARCH("Korea Republic",S1385)),"South Korea",
ISNUMBER(SEARCH("Germany FR",S1385)),"FR Germany",
ISNUMBER(SEARCH("West Germany",S1385)),"FR Germany",
ISNUMBER(SEARCH("Germany DR",S1385)),"DR Germany",
ISNUMBER(SEARCH("Korea DPR",S1385)),"North Korea",
ISNUMBER(SEARCH("China PR",S1385)),"China",
ISNUMBER(SEARCH("IR Iran",S1385)),"Iran",
ISNUMBER(SEARCH("Congo DR",S1385)),"Democratic Republic of the Congo",
ISNUMBER(SEARCH("DR Congo",S1385)),"Democratic Republic of the Congo",
ISNUMBER(SEARCH("German DR",S1385)),"DR Germany",
ISNUMBER(SEARCH("rn""&gt;United Arab Emirates",S1385)),"United Arab Emirates",
ISNUMBER(SEARCH("rn""&gt;Republic of Ireland",S1385)),"Ireland",
ISNUMBER(SEARCH("rn""&gt;Bosnia and Herzegovina",S1385)),"Bosnia and Herzegovina",
ISNUMBER(SEARCH("rn""&gt;Trinidad and Tobago",S1385)),"Trinidad and Tobago",
ISNUMBER(SEARCH("rn""&gt;Serbia and Montenegro",S1385)),"Serbia and Montenegro",
ISNUMBER(SEARCH(_xlfn.UNICHAR(65533),S1385)),"Côte d'Ivoire",
TRUE,""
)</f>
        <v/>
      </c>
      <c r="W1385" s="12" t="str">
        <f t="shared" si="116"/>
        <v>Morocco</v>
      </c>
    </row>
    <row r="1386" spans="2:23">
      <c r="B1386" s="75">
        <v>949</v>
      </c>
      <c r="C1386" s="15" t="str">
        <v>Ramiz Zerrouki</v>
      </c>
      <c r="D1386" s="15">
        <v>28</v>
      </c>
      <c r="E1386" s="15" t="str">
        <v>Algeria</v>
      </c>
      <c r="F1386" s="15" t="str">
        <v>CDM</v>
      </c>
      <c r="G1386" s="15" t="str">
        <v>Twente</v>
      </c>
      <c r="H1386" s="15">
        <v>6</v>
      </c>
      <c r="I1386" s="15" t="str">
        <f t="shared" si="113"/>
        <v>949|Ramiz Zerrouki|28|Algeria|CDM|Twente|6</v>
      </c>
      <c r="J1386" s="15" t="str">
        <f>IF(COUNTIF(I$438:I1386,I1386)&gt;1,"DOUBLON","OK")</f>
        <v>OK</v>
      </c>
      <c r="S1386" s="12" t="str">
        <v>Morocco</v>
      </c>
      <c r="T1386" s="12" t="str">
        <f t="shared" si="114"/>
        <v>OK</v>
      </c>
      <c r="U1386" s="12" t="str">
        <f t="shared" si="115"/>
        <v>-</v>
      </c>
      <c r="V1386" s="12" t="str" cm="1">
        <f t="array" ref="V1386">_xlfn.IFS(
ISNUMBER(SEARCH("USA",S1386)),"United States",
ISNUMBER(SEARCH("Republic of Ireland",S1386)),"Ireland",
ISNUMBER(SEARCH("Republic of Korea",S1386)),"South Korea",
ISNUMBER(SEARCH("Cape Verde",S1386)),"Cabo Verde",
ISNUMBER(SEARCH("Czechia",S1386)),"Czech Republic",
ISNUMBER(SEARCH("Türkiye",S1386)),"Turkey",
ISNUMBER(SEARCH("Ivory Coast",S1386)),"Côte d'Ivoire",
ISNUMBER(SEARCH("Korea Republic",S1386)),"South Korea",
ISNUMBER(SEARCH("Germany FR",S1386)),"FR Germany",
ISNUMBER(SEARCH("West Germany",S1386)),"FR Germany",
ISNUMBER(SEARCH("Germany DR",S1386)),"DR Germany",
ISNUMBER(SEARCH("Korea DPR",S1386)),"North Korea",
ISNUMBER(SEARCH("China PR",S1386)),"China",
ISNUMBER(SEARCH("IR Iran",S1386)),"Iran",
ISNUMBER(SEARCH("Congo DR",S1386)),"Democratic Republic of the Congo",
ISNUMBER(SEARCH("DR Congo",S1386)),"Democratic Republic of the Congo",
ISNUMBER(SEARCH("German DR",S1386)),"DR Germany",
ISNUMBER(SEARCH("rn""&gt;United Arab Emirates",S1386)),"United Arab Emirates",
ISNUMBER(SEARCH("rn""&gt;Republic of Ireland",S1386)),"Ireland",
ISNUMBER(SEARCH("rn""&gt;Bosnia and Herzegovina",S1386)),"Bosnia and Herzegovina",
ISNUMBER(SEARCH("rn""&gt;Trinidad and Tobago",S1386)),"Trinidad and Tobago",
ISNUMBER(SEARCH("rn""&gt;Serbia and Montenegro",S1386)),"Serbia and Montenegro",
ISNUMBER(SEARCH(_xlfn.UNICHAR(65533),S1386)),"Côte d'Ivoire",
TRUE,""
)</f>
        <v/>
      </c>
      <c r="W1386" s="12" t="str">
        <f t="shared" si="116"/>
        <v>Morocco</v>
      </c>
    </row>
    <row r="1387" spans="2:23">
      <c r="B1387" s="75">
        <v>950</v>
      </c>
      <c r="C1387" s="15" t="str">
        <v>Nabil Bentaleb</v>
      </c>
      <c r="D1387" s="15">
        <v>31</v>
      </c>
      <c r="E1387" s="15" t="str">
        <v>Algeria</v>
      </c>
      <c r="F1387" s="15" t="str">
        <v>CDM</v>
      </c>
      <c r="G1387" s="15" t="str">
        <v>Lille</v>
      </c>
      <c r="H1387" s="15">
        <v>19</v>
      </c>
      <c r="I1387" s="15" t="str">
        <f t="shared" si="113"/>
        <v>950|Nabil Bentaleb|31|Algeria|CDM|Lille|19</v>
      </c>
      <c r="J1387" s="15" t="str">
        <f>IF(COUNTIF(I$438:I1387,I1387)&gt;1,"DOUBLON","OK")</f>
        <v>OK</v>
      </c>
      <c r="S1387" s="12" t="str">
        <v>Morocco</v>
      </c>
      <c r="T1387" s="12" t="str">
        <f t="shared" si="114"/>
        <v>OK</v>
      </c>
      <c r="U1387" s="12" t="str">
        <f t="shared" si="115"/>
        <v>-</v>
      </c>
      <c r="V1387" s="12" t="str" cm="1">
        <f t="array" ref="V1387">_xlfn.IFS(
ISNUMBER(SEARCH("USA",S1387)),"United States",
ISNUMBER(SEARCH("Republic of Ireland",S1387)),"Ireland",
ISNUMBER(SEARCH("Republic of Korea",S1387)),"South Korea",
ISNUMBER(SEARCH("Cape Verde",S1387)),"Cabo Verde",
ISNUMBER(SEARCH("Czechia",S1387)),"Czech Republic",
ISNUMBER(SEARCH("Türkiye",S1387)),"Turkey",
ISNUMBER(SEARCH("Ivory Coast",S1387)),"Côte d'Ivoire",
ISNUMBER(SEARCH("Korea Republic",S1387)),"South Korea",
ISNUMBER(SEARCH("Germany FR",S1387)),"FR Germany",
ISNUMBER(SEARCH("West Germany",S1387)),"FR Germany",
ISNUMBER(SEARCH("Germany DR",S1387)),"DR Germany",
ISNUMBER(SEARCH("Korea DPR",S1387)),"North Korea",
ISNUMBER(SEARCH("China PR",S1387)),"China",
ISNUMBER(SEARCH("IR Iran",S1387)),"Iran",
ISNUMBER(SEARCH("Congo DR",S1387)),"Democratic Republic of the Congo",
ISNUMBER(SEARCH("DR Congo",S1387)),"Democratic Republic of the Congo",
ISNUMBER(SEARCH("German DR",S1387)),"DR Germany",
ISNUMBER(SEARCH("rn""&gt;United Arab Emirates",S1387)),"United Arab Emirates",
ISNUMBER(SEARCH("rn""&gt;Republic of Ireland",S1387)),"Ireland",
ISNUMBER(SEARCH("rn""&gt;Bosnia and Herzegovina",S1387)),"Bosnia and Herzegovina",
ISNUMBER(SEARCH("rn""&gt;Trinidad and Tobago",S1387)),"Trinidad and Tobago",
ISNUMBER(SEARCH("rn""&gt;Serbia and Montenegro",S1387)),"Serbia and Montenegro",
ISNUMBER(SEARCH(_xlfn.UNICHAR(65533),S1387)),"Côte d'Ivoire",
TRUE,""
)</f>
        <v/>
      </c>
      <c r="W1387" s="12" t="str">
        <f t="shared" si="116"/>
        <v>Morocco</v>
      </c>
    </row>
    <row r="1388" spans="2:23">
      <c r="B1388" s="75">
        <v>951</v>
      </c>
      <c r="C1388" s="15" t="str">
        <v>Houssem Aouar</v>
      </c>
      <c r="D1388" s="15">
        <v>27</v>
      </c>
      <c r="E1388" s="15" t="str">
        <v>Algeria</v>
      </c>
      <c r="F1388" s="15" t="str">
        <v>CM</v>
      </c>
      <c r="G1388" s="15" t="str">
        <v>Al-Ittihad</v>
      </c>
      <c r="H1388" s="15">
        <v>8</v>
      </c>
      <c r="I1388" s="15" t="str">
        <f t="shared" si="113"/>
        <v>951|Houssem Aouar|27|Algeria|CM|Al-Ittihad|8</v>
      </c>
      <c r="J1388" s="15" t="str">
        <f>IF(COUNTIF(I$438:I1388,I1388)&gt;1,"DOUBLON","OK")</f>
        <v>OK</v>
      </c>
      <c r="S1388" s="12" t="str">
        <v>Morocco</v>
      </c>
      <c r="T1388" s="12" t="str">
        <f t="shared" si="114"/>
        <v>OK</v>
      </c>
      <c r="U1388" s="12" t="str">
        <f t="shared" si="115"/>
        <v>-</v>
      </c>
      <c r="V1388" s="12" t="str" cm="1">
        <f t="array" ref="V1388">_xlfn.IFS(
ISNUMBER(SEARCH("USA",S1388)),"United States",
ISNUMBER(SEARCH("Republic of Ireland",S1388)),"Ireland",
ISNUMBER(SEARCH("Republic of Korea",S1388)),"South Korea",
ISNUMBER(SEARCH("Cape Verde",S1388)),"Cabo Verde",
ISNUMBER(SEARCH("Czechia",S1388)),"Czech Republic",
ISNUMBER(SEARCH("Türkiye",S1388)),"Turkey",
ISNUMBER(SEARCH("Ivory Coast",S1388)),"Côte d'Ivoire",
ISNUMBER(SEARCH("Korea Republic",S1388)),"South Korea",
ISNUMBER(SEARCH("Germany FR",S1388)),"FR Germany",
ISNUMBER(SEARCH("West Germany",S1388)),"FR Germany",
ISNUMBER(SEARCH("Germany DR",S1388)),"DR Germany",
ISNUMBER(SEARCH("Korea DPR",S1388)),"North Korea",
ISNUMBER(SEARCH("China PR",S1388)),"China",
ISNUMBER(SEARCH("IR Iran",S1388)),"Iran",
ISNUMBER(SEARCH("Congo DR",S1388)),"Democratic Republic of the Congo",
ISNUMBER(SEARCH("DR Congo",S1388)),"Democratic Republic of the Congo",
ISNUMBER(SEARCH("German DR",S1388)),"DR Germany",
ISNUMBER(SEARCH("rn""&gt;United Arab Emirates",S1388)),"United Arab Emirates",
ISNUMBER(SEARCH("rn""&gt;Republic of Ireland",S1388)),"Ireland",
ISNUMBER(SEARCH("rn""&gt;Bosnia and Herzegovina",S1388)),"Bosnia and Herzegovina",
ISNUMBER(SEARCH("rn""&gt;Trinidad and Tobago",S1388)),"Trinidad and Tobago",
ISNUMBER(SEARCH("rn""&gt;Serbia and Montenegro",S1388)),"Serbia and Montenegro",
ISNUMBER(SEARCH(_xlfn.UNICHAR(65533),S1388)),"Côte d'Ivoire",
TRUE,""
)</f>
        <v/>
      </c>
      <c r="W1388" s="12" t="str">
        <f t="shared" si="116"/>
        <v>Morocco</v>
      </c>
    </row>
    <row r="1389" spans="2:23">
      <c r="B1389" s="75">
        <v>952</v>
      </c>
      <c r="C1389" s="15" t="str">
        <v>Hicham Boudaoui</v>
      </c>
      <c r="D1389" s="15">
        <v>26</v>
      </c>
      <c r="E1389" s="15" t="str">
        <v>Algeria</v>
      </c>
      <c r="F1389" s="15" t="str">
        <v>CM</v>
      </c>
      <c r="G1389" s="15" t="str">
        <v>Nice</v>
      </c>
      <c r="H1389" s="15">
        <v>14</v>
      </c>
      <c r="I1389" s="15" t="str">
        <f t="shared" si="113"/>
        <v>952|Hicham Boudaoui|26|Algeria|CM|Nice|14</v>
      </c>
      <c r="J1389" s="15" t="str">
        <f>IF(COUNTIF(I$438:I1389,I1389)&gt;1,"DOUBLON","OK")</f>
        <v>OK</v>
      </c>
      <c r="S1389" s="12" t="str">
        <v>Morocco</v>
      </c>
      <c r="T1389" s="12" t="str">
        <f t="shared" si="114"/>
        <v>OK</v>
      </c>
      <c r="U1389" s="12" t="str">
        <f t="shared" si="115"/>
        <v>-</v>
      </c>
      <c r="V1389" s="12" t="str" cm="1">
        <f t="array" ref="V1389">_xlfn.IFS(
ISNUMBER(SEARCH("USA",S1389)),"United States",
ISNUMBER(SEARCH("Republic of Ireland",S1389)),"Ireland",
ISNUMBER(SEARCH("Republic of Korea",S1389)),"South Korea",
ISNUMBER(SEARCH("Cape Verde",S1389)),"Cabo Verde",
ISNUMBER(SEARCH("Czechia",S1389)),"Czech Republic",
ISNUMBER(SEARCH("Türkiye",S1389)),"Turkey",
ISNUMBER(SEARCH("Ivory Coast",S1389)),"Côte d'Ivoire",
ISNUMBER(SEARCH("Korea Republic",S1389)),"South Korea",
ISNUMBER(SEARCH("Germany FR",S1389)),"FR Germany",
ISNUMBER(SEARCH("West Germany",S1389)),"FR Germany",
ISNUMBER(SEARCH("Germany DR",S1389)),"DR Germany",
ISNUMBER(SEARCH("Korea DPR",S1389)),"North Korea",
ISNUMBER(SEARCH("China PR",S1389)),"China",
ISNUMBER(SEARCH("IR Iran",S1389)),"Iran",
ISNUMBER(SEARCH("Congo DR",S1389)),"Democratic Republic of the Congo",
ISNUMBER(SEARCH("DR Congo",S1389)),"Democratic Republic of the Congo",
ISNUMBER(SEARCH("German DR",S1389)),"DR Germany",
ISNUMBER(SEARCH("rn""&gt;United Arab Emirates",S1389)),"United Arab Emirates",
ISNUMBER(SEARCH("rn""&gt;Republic of Ireland",S1389)),"Ireland",
ISNUMBER(SEARCH("rn""&gt;Bosnia and Herzegovina",S1389)),"Bosnia and Herzegovina",
ISNUMBER(SEARCH("rn""&gt;Trinidad and Tobago",S1389)),"Trinidad and Tobago",
ISNUMBER(SEARCH("rn""&gt;Serbia and Montenegro",S1389)),"Serbia and Montenegro",
ISNUMBER(SEARCH(_xlfn.UNICHAR(65533),S1389)),"Côte d'Ivoire",
TRUE,""
)</f>
        <v/>
      </c>
      <c r="W1389" s="12" t="str">
        <f t="shared" si="116"/>
        <v>Morocco</v>
      </c>
    </row>
    <row r="1390" spans="2:23">
      <c r="B1390" s="75">
        <v>953</v>
      </c>
      <c r="C1390" s="15" t="str">
        <v>Yacine Titraoui</v>
      </c>
      <c r="D1390" s="15">
        <v>22</v>
      </c>
      <c r="E1390" s="15" t="str">
        <v>Algeria</v>
      </c>
      <c r="F1390" s="15" t="str">
        <v>CM</v>
      </c>
      <c r="G1390" s="15" t="str">
        <v>Charleroi</v>
      </c>
      <c r="H1390" s="15">
        <v>24</v>
      </c>
      <c r="I1390" s="15" t="str">
        <f t="shared" si="113"/>
        <v>953|Yacine Titraoui|22|Algeria|CM|Charleroi|24</v>
      </c>
      <c r="J1390" s="15" t="str">
        <f>IF(COUNTIF(I$438:I1390,I1390)&gt;1,"DOUBLON","OK")</f>
        <v>OK</v>
      </c>
      <c r="S1390" s="12" t="str">
        <v>Morocco</v>
      </c>
      <c r="T1390" s="12" t="str">
        <f t="shared" si="114"/>
        <v>OK</v>
      </c>
      <c r="U1390" s="12" t="str">
        <f t="shared" si="115"/>
        <v>-</v>
      </c>
      <c r="V1390" s="12" t="str" cm="1">
        <f t="array" ref="V1390">_xlfn.IFS(
ISNUMBER(SEARCH("USA",S1390)),"United States",
ISNUMBER(SEARCH("Republic of Ireland",S1390)),"Ireland",
ISNUMBER(SEARCH("Republic of Korea",S1390)),"South Korea",
ISNUMBER(SEARCH("Cape Verde",S1390)),"Cabo Verde",
ISNUMBER(SEARCH("Czechia",S1390)),"Czech Republic",
ISNUMBER(SEARCH("Türkiye",S1390)),"Turkey",
ISNUMBER(SEARCH("Ivory Coast",S1390)),"Côte d'Ivoire",
ISNUMBER(SEARCH("Korea Republic",S1390)),"South Korea",
ISNUMBER(SEARCH("Germany FR",S1390)),"FR Germany",
ISNUMBER(SEARCH("West Germany",S1390)),"FR Germany",
ISNUMBER(SEARCH("Germany DR",S1390)),"DR Germany",
ISNUMBER(SEARCH("Korea DPR",S1390)),"North Korea",
ISNUMBER(SEARCH("China PR",S1390)),"China",
ISNUMBER(SEARCH("IR Iran",S1390)),"Iran",
ISNUMBER(SEARCH("Congo DR",S1390)),"Democratic Republic of the Congo",
ISNUMBER(SEARCH("DR Congo",S1390)),"Democratic Republic of the Congo",
ISNUMBER(SEARCH("German DR",S1390)),"DR Germany",
ISNUMBER(SEARCH("rn""&gt;United Arab Emirates",S1390)),"United Arab Emirates",
ISNUMBER(SEARCH("rn""&gt;Republic of Ireland",S1390)),"Ireland",
ISNUMBER(SEARCH("rn""&gt;Bosnia and Herzegovina",S1390)),"Bosnia and Herzegovina",
ISNUMBER(SEARCH("rn""&gt;Trinidad and Tobago",S1390)),"Trinidad and Tobago",
ISNUMBER(SEARCH("rn""&gt;Serbia and Montenegro",S1390)),"Serbia and Montenegro",
ISNUMBER(SEARCH(_xlfn.UNICHAR(65533),S1390)),"Côte d'Ivoire",
TRUE,""
)</f>
        <v/>
      </c>
      <c r="W1390" s="12" t="str">
        <f t="shared" si="116"/>
        <v>Morocco</v>
      </c>
    </row>
    <row r="1391" spans="2:23">
      <c r="B1391" s="75">
        <v>954</v>
      </c>
      <c r="C1391" s="15" t="str">
        <v>Farès Chaïbi</v>
      </c>
      <c r="D1391" s="15">
        <v>23</v>
      </c>
      <c r="E1391" s="15" t="str">
        <v>Algeria</v>
      </c>
      <c r="F1391" s="15" t="str">
        <v>CAM</v>
      </c>
      <c r="G1391" s="15" t="str">
        <v>Eintracht Frankfurt</v>
      </c>
      <c r="H1391" s="15">
        <v>10</v>
      </c>
      <c r="I1391" s="15" t="str">
        <f t="shared" si="113"/>
        <v>954|Farès Chaïbi|23|Algeria|CAM|Eintracht Frankfurt|10</v>
      </c>
      <c r="J1391" s="15" t="str">
        <f>IF(COUNTIF(I$438:I1391,I1391)&gt;1,"DOUBLON","OK")</f>
        <v>OK</v>
      </c>
      <c r="S1391" s="12" t="str">
        <v>Morocco</v>
      </c>
      <c r="T1391" s="12" t="str">
        <f t="shared" si="114"/>
        <v>OK</v>
      </c>
      <c r="U1391" s="12" t="str">
        <f t="shared" si="115"/>
        <v>-</v>
      </c>
      <c r="V1391" s="12" t="str" cm="1">
        <f t="array" ref="V1391">_xlfn.IFS(
ISNUMBER(SEARCH("USA",S1391)),"United States",
ISNUMBER(SEARCH("Republic of Ireland",S1391)),"Ireland",
ISNUMBER(SEARCH("Republic of Korea",S1391)),"South Korea",
ISNUMBER(SEARCH("Cape Verde",S1391)),"Cabo Verde",
ISNUMBER(SEARCH("Czechia",S1391)),"Czech Republic",
ISNUMBER(SEARCH("Türkiye",S1391)),"Turkey",
ISNUMBER(SEARCH("Ivory Coast",S1391)),"Côte d'Ivoire",
ISNUMBER(SEARCH("Korea Republic",S1391)),"South Korea",
ISNUMBER(SEARCH("Germany FR",S1391)),"FR Germany",
ISNUMBER(SEARCH("West Germany",S1391)),"FR Germany",
ISNUMBER(SEARCH("Germany DR",S1391)),"DR Germany",
ISNUMBER(SEARCH("Korea DPR",S1391)),"North Korea",
ISNUMBER(SEARCH("China PR",S1391)),"China",
ISNUMBER(SEARCH("IR Iran",S1391)),"Iran",
ISNUMBER(SEARCH("Congo DR",S1391)),"Democratic Republic of the Congo",
ISNUMBER(SEARCH("DR Congo",S1391)),"Democratic Republic of the Congo",
ISNUMBER(SEARCH("German DR",S1391)),"DR Germany",
ISNUMBER(SEARCH("rn""&gt;United Arab Emirates",S1391)),"United Arab Emirates",
ISNUMBER(SEARCH("rn""&gt;Republic of Ireland",S1391)),"Ireland",
ISNUMBER(SEARCH("rn""&gt;Bosnia and Herzegovina",S1391)),"Bosnia and Herzegovina",
ISNUMBER(SEARCH("rn""&gt;Trinidad and Tobago",S1391)),"Trinidad and Tobago",
ISNUMBER(SEARCH("rn""&gt;Serbia and Montenegro",S1391)),"Serbia and Montenegro",
ISNUMBER(SEARCH(_xlfn.UNICHAR(65533),S1391)),"Côte d'Ivoire",
TRUE,""
)</f>
        <v/>
      </c>
      <c r="W1391" s="12" t="str">
        <f t="shared" si="116"/>
        <v>Morocco</v>
      </c>
    </row>
    <row r="1392" spans="2:23">
      <c r="B1392" s="75">
        <v>955</v>
      </c>
      <c r="C1392" s="15" t="str">
        <v>Ibrahim Maza</v>
      </c>
      <c r="D1392" s="15">
        <v>20</v>
      </c>
      <c r="E1392" s="15" t="str">
        <v>Algeria</v>
      </c>
      <c r="F1392" s="15" t="str">
        <v>CAM</v>
      </c>
      <c r="G1392" s="15" t="str">
        <v>Bayer Leverkusen</v>
      </c>
      <c r="H1392" s="15">
        <v>22</v>
      </c>
      <c r="I1392" s="15" t="str">
        <f t="shared" si="113"/>
        <v>955|Ibrahim Maza|20|Algeria|CAM|Bayer Leverkusen|22</v>
      </c>
      <c r="J1392" s="15" t="str">
        <f>IF(COUNTIF(I$438:I1392,I1392)&gt;1,"DOUBLON","OK")</f>
        <v>OK</v>
      </c>
      <c r="S1392" s="12" t="str">
        <v>Morocco</v>
      </c>
      <c r="T1392" s="12" t="str">
        <f t="shared" si="114"/>
        <v>OK</v>
      </c>
      <c r="U1392" s="12" t="str">
        <f t="shared" si="115"/>
        <v>-</v>
      </c>
      <c r="V1392" s="12" t="str" cm="1">
        <f t="array" ref="V1392">_xlfn.IFS(
ISNUMBER(SEARCH("USA",S1392)),"United States",
ISNUMBER(SEARCH("Republic of Ireland",S1392)),"Ireland",
ISNUMBER(SEARCH("Republic of Korea",S1392)),"South Korea",
ISNUMBER(SEARCH("Cape Verde",S1392)),"Cabo Verde",
ISNUMBER(SEARCH("Czechia",S1392)),"Czech Republic",
ISNUMBER(SEARCH("Türkiye",S1392)),"Turkey",
ISNUMBER(SEARCH("Ivory Coast",S1392)),"Côte d'Ivoire",
ISNUMBER(SEARCH("Korea Republic",S1392)),"South Korea",
ISNUMBER(SEARCH("Germany FR",S1392)),"FR Germany",
ISNUMBER(SEARCH("West Germany",S1392)),"FR Germany",
ISNUMBER(SEARCH("Germany DR",S1392)),"DR Germany",
ISNUMBER(SEARCH("Korea DPR",S1392)),"North Korea",
ISNUMBER(SEARCH("China PR",S1392)),"China",
ISNUMBER(SEARCH("IR Iran",S1392)),"Iran",
ISNUMBER(SEARCH("Congo DR",S1392)),"Democratic Republic of the Congo",
ISNUMBER(SEARCH("DR Congo",S1392)),"Democratic Republic of the Congo",
ISNUMBER(SEARCH("German DR",S1392)),"DR Germany",
ISNUMBER(SEARCH("rn""&gt;United Arab Emirates",S1392)),"United Arab Emirates",
ISNUMBER(SEARCH("rn""&gt;Republic of Ireland",S1392)),"Ireland",
ISNUMBER(SEARCH("rn""&gt;Bosnia and Herzegovina",S1392)),"Bosnia and Herzegovina",
ISNUMBER(SEARCH("rn""&gt;Trinidad and Tobago",S1392)),"Trinidad and Tobago",
ISNUMBER(SEARCH("rn""&gt;Serbia and Montenegro",S1392)),"Serbia and Montenegro",
ISNUMBER(SEARCH(_xlfn.UNICHAR(65533),S1392)),"Côte d'Ivoire",
TRUE,""
)</f>
        <v/>
      </c>
      <c r="W1392" s="12" t="str">
        <f t="shared" si="116"/>
        <v>Morocco</v>
      </c>
    </row>
    <row r="1393" spans="2:23">
      <c r="B1393" s="75">
        <v>956</v>
      </c>
      <c r="C1393" s="15" t="str">
        <v>Anis Hadj Moussa</v>
      </c>
      <c r="D1393" s="15">
        <v>24</v>
      </c>
      <c r="E1393" s="15" t="str">
        <v>Algeria</v>
      </c>
      <c r="F1393" s="15" t="str">
        <v>LW</v>
      </c>
      <c r="G1393" s="15" t="str">
        <v>Feyenoord</v>
      </c>
      <c r="H1393" s="15">
        <v>11</v>
      </c>
      <c r="I1393" s="15" t="str">
        <f t="shared" si="113"/>
        <v>956|Anis Hadj Moussa|24|Algeria|LW|Feyenoord|11</v>
      </c>
      <c r="J1393" s="15" t="str">
        <f>IF(COUNTIF(I$438:I1393,I1393)&gt;1,"DOUBLON","OK")</f>
        <v>OK</v>
      </c>
      <c r="S1393" s="12" t="str">
        <v>Morocco</v>
      </c>
      <c r="T1393" s="12" t="str">
        <f t="shared" si="114"/>
        <v>OK</v>
      </c>
      <c r="U1393" s="12" t="str">
        <f t="shared" si="115"/>
        <v>-</v>
      </c>
      <c r="V1393" s="12" t="str" cm="1">
        <f t="array" ref="V1393">_xlfn.IFS(
ISNUMBER(SEARCH("USA",S1393)),"United States",
ISNUMBER(SEARCH("Republic of Ireland",S1393)),"Ireland",
ISNUMBER(SEARCH("Republic of Korea",S1393)),"South Korea",
ISNUMBER(SEARCH("Cape Verde",S1393)),"Cabo Verde",
ISNUMBER(SEARCH("Czechia",S1393)),"Czech Republic",
ISNUMBER(SEARCH("Türkiye",S1393)),"Turkey",
ISNUMBER(SEARCH("Ivory Coast",S1393)),"Côte d'Ivoire",
ISNUMBER(SEARCH("Korea Republic",S1393)),"South Korea",
ISNUMBER(SEARCH("Germany FR",S1393)),"FR Germany",
ISNUMBER(SEARCH("West Germany",S1393)),"FR Germany",
ISNUMBER(SEARCH("Germany DR",S1393)),"DR Germany",
ISNUMBER(SEARCH("Korea DPR",S1393)),"North Korea",
ISNUMBER(SEARCH("China PR",S1393)),"China",
ISNUMBER(SEARCH("IR Iran",S1393)),"Iran",
ISNUMBER(SEARCH("Congo DR",S1393)),"Democratic Republic of the Congo",
ISNUMBER(SEARCH("DR Congo",S1393)),"Democratic Republic of the Congo",
ISNUMBER(SEARCH("German DR",S1393)),"DR Germany",
ISNUMBER(SEARCH("rn""&gt;United Arab Emirates",S1393)),"United Arab Emirates",
ISNUMBER(SEARCH("rn""&gt;Republic of Ireland",S1393)),"Ireland",
ISNUMBER(SEARCH("rn""&gt;Bosnia and Herzegovina",S1393)),"Bosnia and Herzegovina",
ISNUMBER(SEARCH("rn""&gt;Trinidad and Tobago",S1393)),"Trinidad and Tobago",
ISNUMBER(SEARCH("rn""&gt;Serbia and Montenegro",S1393)),"Serbia and Montenegro",
ISNUMBER(SEARCH(_xlfn.UNICHAR(65533),S1393)),"Côte d'Ivoire",
TRUE,""
)</f>
        <v/>
      </c>
      <c r="W1393" s="12" t="str">
        <f t="shared" si="116"/>
        <v>Morocco</v>
      </c>
    </row>
    <row r="1394" spans="2:23">
      <c r="B1394" s="75">
        <v>957</v>
      </c>
      <c r="C1394" s="15" t="str">
        <v>Adil Boulbina</v>
      </c>
      <c r="D1394" s="15">
        <v>23</v>
      </c>
      <c r="E1394" s="15" t="str">
        <v>Algeria</v>
      </c>
      <c r="F1394" s="15" t="str">
        <v>LW</v>
      </c>
      <c r="G1394" s="15" t="str">
        <v>Al-Duhail</v>
      </c>
      <c r="H1394" s="15">
        <v>20</v>
      </c>
      <c r="I1394" s="15" t="str">
        <f t="shared" si="113"/>
        <v>957|Adil Boulbina|23|Algeria|LW|Al-Duhail|20</v>
      </c>
      <c r="J1394" s="15" t="str">
        <f>IF(COUNTIF(I$438:I1394,I1394)&gt;1,"DOUBLON","OK")</f>
        <v>OK</v>
      </c>
      <c r="S1394" s="12" t="str">
        <v>Morocco</v>
      </c>
      <c r="T1394" s="12" t="str">
        <f t="shared" si="114"/>
        <v>OK</v>
      </c>
      <c r="U1394" s="12" t="str">
        <f t="shared" si="115"/>
        <v>-</v>
      </c>
      <c r="V1394" s="12" t="str" cm="1">
        <f t="array" ref="V1394">_xlfn.IFS(
ISNUMBER(SEARCH("USA",S1394)),"United States",
ISNUMBER(SEARCH("Republic of Ireland",S1394)),"Ireland",
ISNUMBER(SEARCH("Republic of Korea",S1394)),"South Korea",
ISNUMBER(SEARCH("Cape Verde",S1394)),"Cabo Verde",
ISNUMBER(SEARCH("Czechia",S1394)),"Czech Republic",
ISNUMBER(SEARCH("Türkiye",S1394)),"Turkey",
ISNUMBER(SEARCH("Ivory Coast",S1394)),"Côte d'Ivoire",
ISNUMBER(SEARCH("Korea Republic",S1394)),"South Korea",
ISNUMBER(SEARCH("Germany FR",S1394)),"FR Germany",
ISNUMBER(SEARCH("West Germany",S1394)),"FR Germany",
ISNUMBER(SEARCH("Germany DR",S1394)),"DR Germany",
ISNUMBER(SEARCH("Korea DPR",S1394)),"North Korea",
ISNUMBER(SEARCH("China PR",S1394)),"China",
ISNUMBER(SEARCH("IR Iran",S1394)),"Iran",
ISNUMBER(SEARCH("Congo DR",S1394)),"Democratic Republic of the Congo",
ISNUMBER(SEARCH("DR Congo",S1394)),"Democratic Republic of the Congo",
ISNUMBER(SEARCH("German DR",S1394)),"DR Germany",
ISNUMBER(SEARCH("rn""&gt;United Arab Emirates",S1394)),"United Arab Emirates",
ISNUMBER(SEARCH("rn""&gt;Republic of Ireland",S1394)),"Ireland",
ISNUMBER(SEARCH("rn""&gt;Bosnia and Herzegovina",S1394)),"Bosnia and Herzegovina",
ISNUMBER(SEARCH("rn""&gt;Trinidad and Tobago",S1394)),"Trinidad and Tobago",
ISNUMBER(SEARCH("rn""&gt;Serbia and Montenegro",S1394)),"Serbia and Montenegro",
ISNUMBER(SEARCH(_xlfn.UNICHAR(65533),S1394)),"Côte d'Ivoire",
TRUE,""
)</f>
        <v/>
      </c>
      <c r="W1394" s="12" t="str">
        <f t="shared" si="116"/>
        <v>Morocco</v>
      </c>
    </row>
    <row r="1395" spans="2:23">
      <c r="B1395" s="75">
        <v>958</v>
      </c>
      <c r="C1395" s="15" t="str">
        <v>Riyad Mahrez</v>
      </c>
      <c r="D1395" s="15">
        <v>35</v>
      </c>
      <c r="E1395" s="15" t="str">
        <v>Algeria</v>
      </c>
      <c r="F1395" s="15" t="str">
        <v>RW</v>
      </c>
      <c r="G1395" s="15" t="str">
        <v>Al-Ahli</v>
      </c>
      <c r="H1395" s="15">
        <v>7</v>
      </c>
      <c r="I1395" s="15" t="str">
        <f t="shared" si="113"/>
        <v>958|Riyad Mahrez|35|Algeria|RW|Al-Ahli|7</v>
      </c>
      <c r="J1395" s="15" t="str">
        <f>IF(COUNTIF(I$438:I1395,I1395)&gt;1,"DOUBLON","OK")</f>
        <v>OK</v>
      </c>
      <c r="S1395" s="12" t="str">
        <v>Morocco</v>
      </c>
      <c r="T1395" s="12" t="str">
        <f t="shared" si="114"/>
        <v>OK</v>
      </c>
      <c r="U1395" s="12" t="str">
        <f t="shared" si="115"/>
        <v>-</v>
      </c>
      <c r="V1395" s="12" t="str" cm="1">
        <f t="array" ref="V1395">_xlfn.IFS(
ISNUMBER(SEARCH("USA",S1395)),"United States",
ISNUMBER(SEARCH("Republic of Ireland",S1395)),"Ireland",
ISNUMBER(SEARCH("Republic of Korea",S1395)),"South Korea",
ISNUMBER(SEARCH("Cape Verde",S1395)),"Cabo Verde",
ISNUMBER(SEARCH("Czechia",S1395)),"Czech Republic",
ISNUMBER(SEARCH("Türkiye",S1395)),"Turkey",
ISNUMBER(SEARCH("Ivory Coast",S1395)),"Côte d'Ivoire",
ISNUMBER(SEARCH("Korea Republic",S1395)),"South Korea",
ISNUMBER(SEARCH("Germany FR",S1395)),"FR Germany",
ISNUMBER(SEARCH("West Germany",S1395)),"FR Germany",
ISNUMBER(SEARCH("Germany DR",S1395)),"DR Germany",
ISNUMBER(SEARCH("Korea DPR",S1395)),"North Korea",
ISNUMBER(SEARCH("China PR",S1395)),"China",
ISNUMBER(SEARCH("IR Iran",S1395)),"Iran",
ISNUMBER(SEARCH("Congo DR",S1395)),"Democratic Republic of the Congo",
ISNUMBER(SEARCH("DR Congo",S1395)),"Democratic Republic of the Congo",
ISNUMBER(SEARCH("German DR",S1395)),"DR Germany",
ISNUMBER(SEARCH("rn""&gt;United Arab Emirates",S1395)),"United Arab Emirates",
ISNUMBER(SEARCH("rn""&gt;Republic of Ireland",S1395)),"Ireland",
ISNUMBER(SEARCH("rn""&gt;Bosnia and Herzegovina",S1395)),"Bosnia and Herzegovina",
ISNUMBER(SEARCH("rn""&gt;Trinidad and Tobago",S1395)),"Trinidad and Tobago",
ISNUMBER(SEARCH("rn""&gt;Serbia and Montenegro",S1395)),"Serbia and Montenegro",
ISNUMBER(SEARCH(_xlfn.UNICHAR(65533),S1395)),"Côte d'Ivoire",
TRUE,""
)</f>
        <v/>
      </c>
      <c r="W1395" s="12" t="str">
        <f t="shared" si="116"/>
        <v>Morocco</v>
      </c>
    </row>
    <row r="1396" spans="2:23">
      <c r="B1396" s="75">
        <v>959</v>
      </c>
      <c r="C1396" s="15" t="str">
        <v>Farès Ghedjemis</v>
      </c>
      <c r="D1396" s="15">
        <v>23</v>
      </c>
      <c r="E1396" s="15" t="str">
        <v>Algeria</v>
      </c>
      <c r="F1396" s="15" t="str">
        <v>RW</v>
      </c>
      <c r="G1396" s="15" t="str">
        <v>Frosinone</v>
      </c>
      <c r="H1396" s="15">
        <v>25</v>
      </c>
      <c r="I1396" s="15" t="str">
        <f t="shared" si="113"/>
        <v>959|Farès Ghedjemis|23|Algeria|RW|Frosinone|25</v>
      </c>
      <c r="J1396" s="15" t="str">
        <f>IF(COUNTIF(I$438:I1396,I1396)&gt;1,"DOUBLON","OK")</f>
        <v>OK</v>
      </c>
      <c r="S1396" s="12" t="str">
        <v>Morocco</v>
      </c>
      <c r="T1396" s="12" t="str">
        <f t="shared" si="114"/>
        <v>OK</v>
      </c>
      <c r="U1396" s="12" t="str">
        <f t="shared" si="115"/>
        <v>-</v>
      </c>
      <c r="V1396" s="12" t="str" cm="1">
        <f t="array" ref="V1396">_xlfn.IFS(
ISNUMBER(SEARCH("USA",S1396)),"United States",
ISNUMBER(SEARCH("Republic of Ireland",S1396)),"Ireland",
ISNUMBER(SEARCH("Republic of Korea",S1396)),"South Korea",
ISNUMBER(SEARCH("Cape Verde",S1396)),"Cabo Verde",
ISNUMBER(SEARCH("Czechia",S1396)),"Czech Republic",
ISNUMBER(SEARCH("Türkiye",S1396)),"Turkey",
ISNUMBER(SEARCH("Ivory Coast",S1396)),"Côte d'Ivoire",
ISNUMBER(SEARCH("Korea Republic",S1396)),"South Korea",
ISNUMBER(SEARCH("Germany FR",S1396)),"FR Germany",
ISNUMBER(SEARCH("West Germany",S1396)),"FR Germany",
ISNUMBER(SEARCH("Germany DR",S1396)),"DR Germany",
ISNUMBER(SEARCH("Korea DPR",S1396)),"North Korea",
ISNUMBER(SEARCH("China PR",S1396)),"China",
ISNUMBER(SEARCH("IR Iran",S1396)),"Iran",
ISNUMBER(SEARCH("Congo DR",S1396)),"Democratic Republic of the Congo",
ISNUMBER(SEARCH("DR Congo",S1396)),"Democratic Republic of the Congo",
ISNUMBER(SEARCH("German DR",S1396)),"DR Germany",
ISNUMBER(SEARCH("rn""&gt;United Arab Emirates",S1396)),"United Arab Emirates",
ISNUMBER(SEARCH("rn""&gt;Republic of Ireland",S1396)),"Ireland",
ISNUMBER(SEARCH("rn""&gt;Bosnia and Herzegovina",S1396)),"Bosnia and Herzegovina",
ISNUMBER(SEARCH("rn""&gt;Trinidad and Tobago",S1396)),"Trinidad and Tobago",
ISNUMBER(SEARCH("rn""&gt;Serbia and Montenegro",S1396)),"Serbia and Montenegro",
ISNUMBER(SEARCH(_xlfn.UNICHAR(65533),S1396)),"Côte d'Ivoire",
TRUE,""
)</f>
        <v/>
      </c>
      <c r="W1396" s="12" t="str">
        <f t="shared" si="116"/>
        <v>Morocco</v>
      </c>
    </row>
    <row r="1397" spans="2:23">
      <c r="B1397" s="75">
        <v>960</v>
      </c>
      <c r="C1397" s="15" t="str">
        <v>Amine Gouiri</v>
      </c>
      <c r="D1397" s="15">
        <v>26</v>
      </c>
      <c r="E1397" s="15" t="str">
        <v>Algeria</v>
      </c>
      <c r="F1397" s="15" t="str">
        <v>ST</v>
      </c>
      <c r="G1397" s="15" t="str">
        <v>Marseille</v>
      </c>
      <c r="H1397" s="15">
        <v>9</v>
      </c>
      <c r="I1397" s="15" t="str">
        <f t="shared" si="113"/>
        <v>960|Amine Gouiri|26|Algeria|ST|Marseille|9</v>
      </c>
      <c r="J1397" s="15" t="str">
        <f>IF(COUNTIF(I$438:I1397,I1397)&gt;1,"DOUBLON","OK")</f>
        <v>OK</v>
      </c>
      <c r="S1397" s="12" t="str">
        <v>Morocco</v>
      </c>
      <c r="T1397" s="12" t="str">
        <f t="shared" si="114"/>
        <v>OK</v>
      </c>
      <c r="U1397" s="12" t="str">
        <f t="shared" si="115"/>
        <v>-</v>
      </c>
      <c r="V1397" s="12" t="str" cm="1">
        <f t="array" ref="V1397">_xlfn.IFS(
ISNUMBER(SEARCH("USA",S1397)),"United States",
ISNUMBER(SEARCH("Republic of Ireland",S1397)),"Ireland",
ISNUMBER(SEARCH("Republic of Korea",S1397)),"South Korea",
ISNUMBER(SEARCH("Cape Verde",S1397)),"Cabo Verde",
ISNUMBER(SEARCH("Czechia",S1397)),"Czech Republic",
ISNUMBER(SEARCH("Türkiye",S1397)),"Turkey",
ISNUMBER(SEARCH("Ivory Coast",S1397)),"Côte d'Ivoire",
ISNUMBER(SEARCH("Korea Republic",S1397)),"South Korea",
ISNUMBER(SEARCH("Germany FR",S1397)),"FR Germany",
ISNUMBER(SEARCH("West Germany",S1397)),"FR Germany",
ISNUMBER(SEARCH("Germany DR",S1397)),"DR Germany",
ISNUMBER(SEARCH("Korea DPR",S1397)),"North Korea",
ISNUMBER(SEARCH("China PR",S1397)),"China",
ISNUMBER(SEARCH("IR Iran",S1397)),"Iran",
ISNUMBER(SEARCH("Congo DR",S1397)),"Democratic Republic of the Congo",
ISNUMBER(SEARCH("DR Congo",S1397)),"Democratic Republic of the Congo",
ISNUMBER(SEARCH("German DR",S1397)),"DR Germany",
ISNUMBER(SEARCH("rn""&gt;United Arab Emirates",S1397)),"United Arab Emirates",
ISNUMBER(SEARCH("rn""&gt;Republic of Ireland",S1397)),"Ireland",
ISNUMBER(SEARCH("rn""&gt;Bosnia and Herzegovina",S1397)),"Bosnia and Herzegovina",
ISNUMBER(SEARCH("rn""&gt;Trinidad and Tobago",S1397)),"Trinidad and Tobago",
ISNUMBER(SEARCH("rn""&gt;Serbia and Montenegro",S1397)),"Serbia and Montenegro",
ISNUMBER(SEARCH(_xlfn.UNICHAR(65533),S1397)),"Côte d'Ivoire",
TRUE,""
)</f>
        <v/>
      </c>
      <c r="W1397" s="12" t="str">
        <f t="shared" si="116"/>
        <v>Morocco</v>
      </c>
    </row>
    <row r="1398" spans="2:23">
      <c r="B1398" s="75">
        <v>961</v>
      </c>
      <c r="C1398" s="15" t="str">
        <v>Nadhir Benbouali</v>
      </c>
      <c r="D1398" s="15">
        <v>26</v>
      </c>
      <c r="E1398" s="15" t="str">
        <v>Algeria</v>
      </c>
      <c r="F1398" s="15" t="str">
        <v>ST</v>
      </c>
      <c r="G1398" s="15" t="str">
        <v>Gyōri ETO</v>
      </c>
      <c r="H1398" s="15">
        <v>12</v>
      </c>
      <c r="I1398" s="15" t="str">
        <f t="shared" si="113"/>
        <v>961|Nadhir Benbouali|26|Algeria|ST|Gyōri ETO|12</v>
      </c>
      <c r="J1398" s="15" t="str">
        <f>IF(COUNTIF(I$438:I1398,I1398)&gt;1,"DOUBLON","OK")</f>
        <v>OK</v>
      </c>
      <c r="S1398" s="12" t="str">
        <v>Morocco</v>
      </c>
      <c r="T1398" s="12" t="str">
        <f t="shared" si="114"/>
        <v>OK</v>
      </c>
      <c r="U1398" s="12" t="str">
        <f t="shared" si="115"/>
        <v>-</v>
      </c>
      <c r="V1398" s="12" t="str" cm="1">
        <f t="array" ref="V1398">_xlfn.IFS(
ISNUMBER(SEARCH("USA",S1398)),"United States",
ISNUMBER(SEARCH("Republic of Ireland",S1398)),"Ireland",
ISNUMBER(SEARCH("Republic of Korea",S1398)),"South Korea",
ISNUMBER(SEARCH("Cape Verde",S1398)),"Cabo Verde",
ISNUMBER(SEARCH("Czechia",S1398)),"Czech Republic",
ISNUMBER(SEARCH("Türkiye",S1398)),"Turkey",
ISNUMBER(SEARCH("Ivory Coast",S1398)),"Côte d'Ivoire",
ISNUMBER(SEARCH("Korea Republic",S1398)),"South Korea",
ISNUMBER(SEARCH("Germany FR",S1398)),"FR Germany",
ISNUMBER(SEARCH("West Germany",S1398)),"FR Germany",
ISNUMBER(SEARCH("Germany DR",S1398)),"DR Germany",
ISNUMBER(SEARCH("Korea DPR",S1398)),"North Korea",
ISNUMBER(SEARCH("China PR",S1398)),"China",
ISNUMBER(SEARCH("IR Iran",S1398)),"Iran",
ISNUMBER(SEARCH("Congo DR",S1398)),"Democratic Republic of the Congo",
ISNUMBER(SEARCH("DR Congo",S1398)),"Democratic Republic of the Congo",
ISNUMBER(SEARCH("German DR",S1398)),"DR Germany",
ISNUMBER(SEARCH("rn""&gt;United Arab Emirates",S1398)),"United Arab Emirates",
ISNUMBER(SEARCH("rn""&gt;Republic of Ireland",S1398)),"Ireland",
ISNUMBER(SEARCH("rn""&gt;Bosnia and Herzegovina",S1398)),"Bosnia and Herzegovina",
ISNUMBER(SEARCH("rn""&gt;Trinidad and Tobago",S1398)),"Trinidad and Tobago",
ISNUMBER(SEARCH("rn""&gt;Serbia and Montenegro",S1398)),"Serbia and Montenegro",
ISNUMBER(SEARCH(_xlfn.UNICHAR(65533),S1398)),"Côte d'Ivoire",
TRUE,""
)</f>
        <v/>
      </c>
      <c r="W1398" s="12" t="str">
        <f t="shared" si="116"/>
        <v>Morocco</v>
      </c>
    </row>
    <row r="1399" spans="2:23">
      <c r="B1399" s="75">
        <v>962</v>
      </c>
      <c r="C1399" s="15" t="str">
        <v>Mohamed Amoura</v>
      </c>
      <c r="D1399" s="15">
        <v>26</v>
      </c>
      <c r="E1399" s="15" t="str">
        <v>Algeria</v>
      </c>
      <c r="F1399" s="15" t="str">
        <v>ST</v>
      </c>
      <c r="G1399" s="15" t="str">
        <v>VfL Wolfsburg</v>
      </c>
      <c r="H1399" s="15">
        <v>18</v>
      </c>
      <c r="I1399" s="15" t="str">
        <f t="shared" ref="I1399:I1462" si="117">B1399&amp;"|"&amp;C1399&amp;"|"&amp;D1399&amp;"|"&amp;E1399&amp;"|"&amp;F1399&amp;"|"&amp;G1399&amp;"|"&amp;H1399</f>
        <v>962|Mohamed Amoura|26|Algeria|ST|VfL Wolfsburg|18</v>
      </c>
      <c r="J1399" s="15" t="str">
        <f>IF(COUNTIF(I$438:I1399,I1399)&gt;1,"DOUBLON","OK")</f>
        <v>OK</v>
      </c>
      <c r="S1399" s="12" t="str">
        <v>Morocco</v>
      </c>
      <c r="T1399" s="12" t="str">
        <f t="shared" si="114"/>
        <v>OK</v>
      </c>
      <c r="U1399" s="12" t="str">
        <f t="shared" si="115"/>
        <v>-</v>
      </c>
      <c r="V1399" s="12" t="str" cm="1">
        <f t="array" ref="V1399">_xlfn.IFS(
ISNUMBER(SEARCH("USA",S1399)),"United States",
ISNUMBER(SEARCH("Republic of Ireland",S1399)),"Ireland",
ISNUMBER(SEARCH("Republic of Korea",S1399)),"South Korea",
ISNUMBER(SEARCH("Cape Verde",S1399)),"Cabo Verde",
ISNUMBER(SEARCH("Czechia",S1399)),"Czech Republic",
ISNUMBER(SEARCH("Türkiye",S1399)),"Turkey",
ISNUMBER(SEARCH("Ivory Coast",S1399)),"Côte d'Ivoire",
ISNUMBER(SEARCH("Korea Republic",S1399)),"South Korea",
ISNUMBER(SEARCH("Germany FR",S1399)),"FR Germany",
ISNUMBER(SEARCH("West Germany",S1399)),"FR Germany",
ISNUMBER(SEARCH("Germany DR",S1399)),"DR Germany",
ISNUMBER(SEARCH("Korea DPR",S1399)),"North Korea",
ISNUMBER(SEARCH("China PR",S1399)),"China",
ISNUMBER(SEARCH("IR Iran",S1399)),"Iran",
ISNUMBER(SEARCH("Congo DR",S1399)),"Democratic Republic of the Congo",
ISNUMBER(SEARCH("DR Congo",S1399)),"Democratic Republic of the Congo",
ISNUMBER(SEARCH("German DR",S1399)),"DR Germany",
ISNUMBER(SEARCH("rn""&gt;United Arab Emirates",S1399)),"United Arab Emirates",
ISNUMBER(SEARCH("rn""&gt;Republic of Ireland",S1399)),"Ireland",
ISNUMBER(SEARCH("rn""&gt;Bosnia and Herzegovina",S1399)),"Bosnia and Herzegovina",
ISNUMBER(SEARCH("rn""&gt;Trinidad and Tobago",S1399)),"Trinidad and Tobago",
ISNUMBER(SEARCH("rn""&gt;Serbia and Montenegro",S1399)),"Serbia and Montenegro",
ISNUMBER(SEARCH(_xlfn.UNICHAR(65533),S1399)),"Côte d'Ivoire",
TRUE,""
)</f>
        <v/>
      </c>
      <c r="W1399" s="12" t="str">
        <f t="shared" si="116"/>
        <v>Morocco</v>
      </c>
    </row>
    <row r="1400" spans="2:23">
      <c r="B1400" s="75">
        <v>963</v>
      </c>
      <c r="C1400" s="15" t="str">
        <v>Juan Musso</v>
      </c>
      <c r="D1400" s="15">
        <v>32</v>
      </c>
      <c r="E1400" s="15" t="str">
        <v>Argentina</v>
      </c>
      <c r="F1400" s="15" t="str">
        <v>GK</v>
      </c>
      <c r="G1400" s="15" t="str">
        <v>Atlético Madrid</v>
      </c>
      <c r="H1400" s="15">
        <v>1</v>
      </c>
      <c r="I1400" s="15" t="str">
        <f t="shared" si="117"/>
        <v>963|Juan Musso|32|Argentina|GK|Atlético Madrid|1</v>
      </c>
      <c r="J1400" s="15" t="str">
        <f>IF(COUNTIF(I$438:I1400,I1400)&gt;1,"DOUBLON","OK")</f>
        <v>OK</v>
      </c>
      <c r="S1400" s="12" t="str">
        <v>Morocco</v>
      </c>
      <c r="T1400" s="12" t="str">
        <f t="shared" si="114"/>
        <v>OK</v>
      </c>
      <c r="U1400" s="12" t="str">
        <f t="shared" si="115"/>
        <v>-</v>
      </c>
      <c r="V1400" s="12" t="str" cm="1">
        <f t="array" ref="V1400">_xlfn.IFS(
ISNUMBER(SEARCH("USA",S1400)),"United States",
ISNUMBER(SEARCH("Republic of Ireland",S1400)),"Ireland",
ISNUMBER(SEARCH("Republic of Korea",S1400)),"South Korea",
ISNUMBER(SEARCH("Cape Verde",S1400)),"Cabo Verde",
ISNUMBER(SEARCH("Czechia",S1400)),"Czech Republic",
ISNUMBER(SEARCH("Türkiye",S1400)),"Turkey",
ISNUMBER(SEARCH("Ivory Coast",S1400)),"Côte d'Ivoire",
ISNUMBER(SEARCH("Korea Republic",S1400)),"South Korea",
ISNUMBER(SEARCH("Germany FR",S1400)),"FR Germany",
ISNUMBER(SEARCH("West Germany",S1400)),"FR Germany",
ISNUMBER(SEARCH("Germany DR",S1400)),"DR Germany",
ISNUMBER(SEARCH("Korea DPR",S1400)),"North Korea",
ISNUMBER(SEARCH("China PR",S1400)),"China",
ISNUMBER(SEARCH("IR Iran",S1400)),"Iran",
ISNUMBER(SEARCH("Congo DR",S1400)),"Democratic Republic of the Congo",
ISNUMBER(SEARCH("DR Congo",S1400)),"Democratic Republic of the Congo",
ISNUMBER(SEARCH("German DR",S1400)),"DR Germany",
ISNUMBER(SEARCH("rn""&gt;United Arab Emirates",S1400)),"United Arab Emirates",
ISNUMBER(SEARCH("rn""&gt;Republic of Ireland",S1400)),"Ireland",
ISNUMBER(SEARCH("rn""&gt;Bosnia and Herzegovina",S1400)),"Bosnia and Herzegovina",
ISNUMBER(SEARCH("rn""&gt;Trinidad and Tobago",S1400)),"Trinidad and Tobago",
ISNUMBER(SEARCH("rn""&gt;Serbia and Montenegro",S1400)),"Serbia and Montenegro",
ISNUMBER(SEARCH(_xlfn.UNICHAR(65533),S1400)),"Côte d'Ivoire",
TRUE,""
)</f>
        <v/>
      </c>
      <c r="W1400" s="12" t="str">
        <f t="shared" si="116"/>
        <v>Morocco</v>
      </c>
    </row>
    <row r="1401" spans="2:23">
      <c r="B1401" s="75">
        <v>964</v>
      </c>
      <c r="C1401" s="15" t="str">
        <v>Gerónimo Rulli</v>
      </c>
      <c r="D1401" s="15">
        <v>34</v>
      </c>
      <c r="E1401" s="15" t="str">
        <v>Argentina</v>
      </c>
      <c r="F1401" s="15" t="str">
        <v>GK</v>
      </c>
      <c r="G1401" s="15" t="str">
        <v>Marseille</v>
      </c>
      <c r="H1401" s="15">
        <v>12</v>
      </c>
      <c r="I1401" s="15" t="str">
        <f t="shared" si="117"/>
        <v>964|Gerónimo Rulli|34|Argentina|GK|Marseille|12</v>
      </c>
      <c r="J1401" s="15" t="str">
        <f>IF(COUNTIF(I$438:I1401,I1401)&gt;1,"DOUBLON","OK")</f>
        <v>OK</v>
      </c>
      <c r="S1401" s="12" t="str">
        <v>Morocco</v>
      </c>
      <c r="T1401" s="12" t="str">
        <f t="shared" si="114"/>
        <v>OK</v>
      </c>
      <c r="U1401" s="12" t="str">
        <f t="shared" si="115"/>
        <v>-</v>
      </c>
      <c r="V1401" s="12" t="str" cm="1">
        <f t="array" ref="V1401">_xlfn.IFS(
ISNUMBER(SEARCH("USA",S1401)),"United States",
ISNUMBER(SEARCH("Republic of Ireland",S1401)),"Ireland",
ISNUMBER(SEARCH("Republic of Korea",S1401)),"South Korea",
ISNUMBER(SEARCH("Cape Verde",S1401)),"Cabo Verde",
ISNUMBER(SEARCH("Czechia",S1401)),"Czech Republic",
ISNUMBER(SEARCH("Türkiye",S1401)),"Turkey",
ISNUMBER(SEARCH("Ivory Coast",S1401)),"Côte d'Ivoire",
ISNUMBER(SEARCH("Korea Republic",S1401)),"South Korea",
ISNUMBER(SEARCH("Germany FR",S1401)),"FR Germany",
ISNUMBER(SEARCH("West Germany",S1401)),"FR Germany",
ISNUMBER(SEARCH("Germany DR",S1401)),"DR Germany",
ISNUMBER(SEARCH("Korea DPR",S1401)),"North Korea",
ISNUMBER(SEARCH("China PR",S1401)),"China",
ISNUMBER(SEARCH("IR Iran",S1401)),"Iran",
ISNUMBER(SEARCH("Congo DR",S1401)),"Democratic Republic of the Congo",
ISNUMBER(SEARCH("DR Congo",S1401)),"Democratic Republic of the Congo",
ISNUMBER(SEARCH("German DR",S1401)),"DR Germany",
ISNUMBER(SEARCH("rn""&gt;United Arab Emirates",S1401)),"United Arab Emirates",
ISNUMBER(SEARCH("rn""&gt;Republic of Ireland",S1401)),"Ireland",
ISNUMBER(SEARCH("rn""&gt;Bosnia and Herzegovina",S1401)),"Bosnia and Herzegovina",
ISNUMBER(SEARCH("rn""&gt;Trinidad and Tobago",S1401)),"Trinidad and Tobago",
ISNUMBER(SEARCH("rn""&gt;Serbia and Montenegro",S1401)),"Serbia and Montenegro",
ISNUMBER(SEARCH(_xlfn.UNICHAR(65533),S1401)),"Côte d'Ivoire",
TRUE,""
)</f>
        <v/>
      </c>
      <c r="W1401" s="12" t="str">
        <f t="shared" si="116"/>
        <v>Morocco</v>
      </c>
    </row>
    <row r="1402" spans="2:23">
      <c r="B1402" s="75">
        <v>965</v>
      </c>
      <c r="C1402" s="15" t="str">
        <v>Emiliano Martínez</v>
      </c>
      <c r="D1402" s="15">
        <v>33</v>
      </c>
      <c r="E1402" s="15" t="str">
        <v>Argentina</v>
      </c>
      <c r="F1402" s="15" t="str">
        <v>GK</v>
      </c>
      <c r="G1402" s="15" t="str">
        <v>Aston Villa</v>
      </c>
      <c r="H1402" s="15">
        <v>23</v>
      </c>
      <c r="I1402" s="15" t="str">
        <f t="shared" si="117"/>
        <v>965|Emiliano Martínez|33|Argentina|GK|Aston Villa|23</v>
      </c>
      <c r="J1402" s="15" t="str">
        <f>IF(COUNTIF(I$438:I1402,I1402)&gt;1,"DOUBLON","OK")</f>
        <v>OK</v>
      </c>
      <c r="S1402" s="12" t="str">
        <v>Morocco</v>
      </c>
      <c r="T1402" s="12" t="str">
        <f t="shared" si="114"/>
        <v>OK</v>
      </c>
      <c r="U1402" s="12" t="str">
        <f t="shared" si="115"/>
        <v>-</v>
      </c>
      <c r="V1402" s="12" t="str" cm="1">
        <f t="array" ref="V1402">_xlfn.IFS(
ISNUMBER(SEARCH("USA",S1402)),"United States",
ISNUMBER(SEARCH("Republic of Ireland",S1402)),"Ireland",
ISNUMBER(SEARCH("Republic of Korea",S1402)),"South Korea",
ISNUMBER(SEARCH("Cape Verde",S1402)),"Cabo Verde",
ISNUMBER(SEARCH("Czechia",S1402)),"Czech Republic",
ISNUMBER(SEARCH("Türkiye",S1402)),"Turkey",
ISNUMBER(SEARCH("Ivory Coast",S1402)),"Côte d'Ivoire",
ISNUMBER(SEARCH("Korea Republic",S1402)),"South Korea",
ISNUMBER(SEARCH("Germany FR",S1402)),"FR Germany",
ISNUMBER(SEARCH("West Germany",S1402)),"FR Germany",
ISNUMBER(SEARCH("Germany DR",S1402)),"DR Germany",
ISNUMBER(SEARCH("Korea DPR",S1402)),"North Korea",
ISNUMBER(SEARCH("China PR",S1402)),"China",
ISNUMBER(SEARCH("IR Iran",S1402)),"Iran",
ISNUMBER(SEARCH("Congo DR",S1402)),"Democratic Republic of the Congo",
ISNUMBER(SEARCH("DR Congo",S1402)),"Democratic Republic of the Congo",
ISNUMBER(SEARCH("German DR",S1402)),"DR Germany",
ISNUMBER(SEARCH("rn""&gt;United Arab Emirates",S1402)),"United Arab Emirates",
ISNUMBER(SEARCH("rn""&gt;Republic of Ireland",S1402)),"Ireland",
ISNUMBER(SEARCH("rn""&gt;Bosnia and Herzegovina",S1402)),"Bosnia and Herzegovina",
ISNUMBER(SEARCH("rn""&gt;Trinidad and Tobago",S1402)),"Trinidad and Tobago",
ISNUMBER(SEARCH("rn""&gt;Serbia and Montenegro",S1402)),"Serbia and Montenegro",
ISNUMBER(SEARCH(_xlfn.UNICHAR(65533),S1402)),"Côte d'Ivoire",
TRUE,""
)</f>
        <v/>
      </c>
      <c r="W1402" s="12" t="str">
        <f t="shared" si="116"/>
        <v>Morocco</v>
      </c>
    </row>
    <row r="1403" spans="2:23">
      <c r="B1403" s="75">
        <v>966</v>
      </c>
      <c r="C1403" s="15" t="str">
        <v>Marcos Senesi</v>
      </c>
      <c r="D1403" s="15">
        <v>29</v>
      </c>
      <c r="E1403" s="15" t="str">
        <v>Argentina</v>
      </c>
      <c r="F1403" s="15" t="str">
        <v>CB</v>
      </c>
      <c r="G1403" s="15" t="str">
        <v>Bournemouth</v>
      </c>
      <c r="H1403" s="15">
        <v>2</v>
      </c>
      <c r="I1403" s="15" t="str">
        <f t="shared" si="117"/>
        <v>966|Marcos Senesi|29|Argentina|CB|Bournemouth|2</v>
      </c>
      <c r="J1403" s="15" t="str">
        <f>IF(COUNTIF(I$438:I1403,I1403)&gt;1,"DOUBLON","OK")</f>
        <v>OK</v>
      </c>
      <c r="S1403" s="12" t="str">
        <v>Morocco</v>
      </c>
      <c r="T1403" s="12" t="str">
        <f t="shared" si="114"/>
        <v>OK</v>
      </c>
      <c r="U1403" s="12" t="str">
        <f t="shared" si="115"/>
        <v>-</v>
      </c>
      <c r="V1403" s="12" t="str" cm="1">
        <f t="array" ref="V1403">_xlfn.IFS(
ISNUMBER(SEARCH("USA",S1403)),"United States",
ISNUMBER(SEARCH("Republic of Ireland",S1403)),"Ireland",
ISNUMBER(SEARCH("Republic of Korea",S1403)),"South Korea",
ISNUMBER(SEARCH("Cape Verde",S1403)),"Cabo Verde",
ISNUMBER(SEARCH("Czechia",S1403)),"Czech Republic",
ISNUMBER(SEARCH("Türkiye",S1403)),"Turkey",
ISNUMBER(SEARCH("Ivory Coast",S1403)),"Côte d'Ivoire",
ISNUMBER(SEARCH("Korea Republic",S1403)),"South Korea",
ISNUMBER(SEARCH("Germany FR",S1403)),"FR Germany",
ISNUMBER(SEARCH("West Germany",S1403)),"FR Germany",
ISNUMBER(SEARCH("Germany DR",S1403)),"DR Germany",
ISNUMBER(SEARCH("Korea DPR",S1403)),"North Korea",
ISNUMBER(SEARCH("China PR",S1403)),"China",
ISNUMBER(SEARCH("IR Iran",S1403)),"Iran",
ISNUMBER(SEARCH("Congo DR",S1403)),"Democratic Republic of the Congo",
ISNUMBER(SEARCH("DR Congo",S1403)),"Democratic Republic of the Congo",
ISNUMBER(SEARCH("German DR",S1403)),"DR Germany",
ISNUMBER(SEARCH("rn""&gt;United Arab Emirates",S1403)),"United Arab Emirates",
ISNUMBER(SEARCH("rn""&gt;Republic of Ireland",S1403)),"Ireland",
ISNUMBER(SEARCH("rn""&gt;Bosnia and Herzegovina",S1403)),"Bosnia and Herzegovina",
ISNUMBER(SEARCH("rn""&gt;Trinidad and Tobago",S1403)),"Trinidad and Tobago",
ISNUMBER(SEARCH("rn""&gt;Serbia and Montenegro",S1403)),"Serbia and Montenegro",
ISNUMBER(SEARCH(_xlfn.UNICHAR(65533),S1403)),"Côte d'Ivoire",
TRUE,""
)</f>
        <v/>
      </c>
      <c r="W1403" s="12" t="str">
        <f t="shared" si="116"/>
        <v>Morocco</v>
      </c>
    </row>
    <row r="1404" spans="2:23">
      <c r="B1404" s="75">
        <v>967</v>
      </c>
      <c r="C1404" s="15" t="str">
        <v>Lisandro Martínez</v>
      </c>
      <c r="D1404" s="15">
        <v>28</v>
      </c>
      <c r="E1404" s="15" t="str">
        <v>Argentina</v>
      </c>
      <c r="F1404" s="15" t="str">
        <v>CB</v>
      </c>
      <c r="G1404" s="15" t="str">
        <v>Manchester United</v>
      </c>
      <c r="H1404" s="15">
        <v>6</v>
      </c>
      <c r="I1404" s="15" t="str">
        <f t="shared" si="117"/>
        <v>967|Lisandro Martínez|28|Argentina|CB|Manchester United|6</v>
      </c>
      <c r="J1404" s="15" t="str">
        <f>IF(COUNTIF(I$438:I1404,I1404)&gt;1,"DOUBLON","OK")</f>
        <v>OK</v>
      </c>
      <c r="S1404" s="12" t="str">
        <v>Morocco</v>
      </c>
      <c r="T1404" s="12" t="str">
        <f t="shared" si="114"/>
        <v>OK</v>
      </c>
      <c r="U1404" s="12" t="str">
        <f t="shared" si="115"/>
        <v>-</v>
      </c>
      <c r="V1404" s="12" t="str" cm="1">
        <f t="array" ref="V1404">_xlfn.IFS(
ISNUMBER(SEARCH("USA",S1404)),"United States",
ISNUMBER(SEARCH("Republic of Ireland",S1404)),"Ireland",
ISNUMBER(SEARCH("Republic of Korea",S1404)),"South Korea",
ISNUMBER(SEARCH("Cape Verde",S1404)),"Cabo Verde",
ISNUMBER(SEARCH("Czechia",S1404)),"Czech Republic",
ISNUMBER(SEARCH("Türkiye",S1404)),"Turkey",
ISNUMBER(SEARCH("Ivory Coast",S1404)),"Côte d'Ivoire",
ISNUMBER(SEARCH("Korea Republic",S1404)),"South Korea",
ISNUMBER(SEARCH("Germany FR",S1404)),"FR Germany",
ISNUMBER(SEARCH("West Germany",S1404)),"FR Germany",
ISNUMBER(SEARCH("Germany DR",S1404)),"DR Germany",
ISNUMBER(SEARCH("Korea DPR",S1404)),"North Korea",
ISNUMBER(SEARCH("China PR",S1404)),"China",
ISNUMBER(SEARCH("IR Iran",S1404)),"Iran",
ISNUMBER(SEARCH("Congo DR",S1404)),"Democratic Republic of the Congo",
ISNUMBER(SEARCH("DR Congo",S1404)),"Democratic Republic of the Congo",
ISNUMBER(SEARCH("German DR",S1404)),"DR Germany",
ISNUMBER(SEARCH("rn""&gt;United Arab Emirates",S1404)),"United Arab Emirates",
ISNUMBER(SEARCH("rn""&gt;Republic of Ireland",S1404)),"Ireland",
ISNUMBER(SEARCH("rn""&gt;Bosnia and Herzegovina",S1404)),"Bosnia and Herzegovina",
ISNUMBER(SEARCH("rn""&gt;Trinidad and Tobago",S1404)),"Trinidad and Tobago",
ISNUMBER(SEARCH("rn""&gt;Serbia and Montenegro",S1404)),"Serbia and Montenegro",
ISNUMBER(SEARCH(_xlfn.UNICHAR(65533),S1404)),"Côte d'Ivoire",
TRUE,""
)</f>
        <v/>
      </c>
      <c r="W1404" s="12" t="str">
        <f t="shared" si="116"/>
        <v>Morocco</v>
      </c>
    </row>
    <row r="1405" spans="2:23">
      <c r="B1405" s="75">
        <v>968</v>
      </c>
      <c r="C1405" s="15" t="str">
        <v>Cristian Romero</v>
      </c>
      <c r="D1405" s="15">
        <v>28</v>
      </c>
      <c r="E1405" s="15" t="str">
        <v>Argentina</v>
      </c>
      <c r="F1405" s="15" t="str">
        <v>CB</v>
      </c>
      <c r="G1405" s="15" t="str">
        <v>Tottenham Hotspur</v>
      </c>
      <c r="H1405" s="15">
        <v>13</v>
      </c>
      <c r="I1405" s="15" t="str">
        <f t="shared" si="117"/>
        <v>968|Cristian Romero|28|Argentina|CB|Tottenham Hotspur|13</v>
      </c>
      <c r="J1405" s="15" t="str">
        <f>IF(COUNTIF(I$438:I1405,I1405)&gt;1,"DOUBLON","OK")</f>
        <v>OK</v>
      </c>
      <c r="S1405" s="12" t="str">
        <v>Morocco</v>
      </c>
      <c r="T1405" s="12" t="str">
        <f t="shared" si="114"/>
        <v>OK</v>
      </c>
      <c r="U1405" s="12" t="str">
        <f t="shared" si="115"/>
        <v>-</v>
      </c>
      <c r="V1405" s="12" t="str" cm="1">
        <f t="array" ref="V1405">_xlfn.IFS(
ISNUMBER(SEARCH("USA",S1405)),"United States",
ISNUMBER(SEARCH("Republic of Ireland",S1405)),"Ireland",
ISNUMBER(SEARCH("Republic of Korea",S1405)),"South Korea",
ISNUMBER(SEARCH("Cape Verde",S1405)),"Cabo Verde",
ISNUMBER(SEARCH("Czechia",S1405)),"Czech Republic",
ISNUMBER(SEARCH("Türkiye",S1405)),"Turkey",
ISNUMBER(SEARCH("Ivory Coast",S1405)),"Côte d'Ivoire",
ISNUMBER(SEARCH("Korea Republic",S1405)),"South Korea",
ISNUMBER(SEARCH("Germany FR",S1405)),"FR Germany",
ISNUMBER(SEARCH("West Germany",S1405)),"FR Germany",
ISNUMBER(SEARCH("Germany DR",S1405)),"DR Germany",
ISNUMBER(SEARCH("Korea DPR",S1405)),"North Korea",
ISNUMBER(SEARCH("China PR",S1405)),"China",
ISNUMBER(SEARCH("IR Iran",S1405)),"Iran",
ISNUMBER(SEARCH("Congo DR",S1405)),"Democratic Republic of the Congo",
ISNUMBER(SEARCH("DR Congo",S1405)),"Democratic Republic of the Congo",
ISNUMBER(SEARCH("German DR",S1405)),"DR Germany",
ISNUMBER(SEARCH("rn""&gt;United Arab Emirates",S1405)),"United Arab Emirates",
ISNUMBER(SEARCH("rn""&gt;Republic of Ireland",S1405)),"Ireland",
ISNUMBER(SEARCH("rn""&gt;Bosnia and Herzegovina",S1405)),"Bosnia and Herzegovina",
ISNUMBER(SEARCH("rn""&gt;Trinidad and Tobago",S1405)),"Trinidad and Tobago",
ISNUMBER(SEARCH("rn""&gt;Serbia and Montenegro",S1405)),"Serbia and Montenegro",
ISNUMBER(SEARCH(_xlfn.UNICHAR(65533),S1405)),"Côte d'Ivoire",
TRUE,""
)</f>
        <v/>
      </c>
      <c r="W1405" s="12" t="str">
        <f t="shared" si="116"/>
        <v>Morocco</v>
      </c>
    </row>
    <row r="1406" spans="2:23">
      <c r="B1406" s="75">
        <v>969</v>
      </c>
      <c r="C1406" s="15" t="str">
        <v>Nicolás Otamendi</v>
      </c>
      <c r="D1406" s="15">
        <v>38</v>
      </c>
      <c r="E1406" s="15" t="str">
        <v>Argentina</v>
      </c>
      <c r="F1406" s="15" t="str">
        <v>CB</v>
      </c>
      <c r="G1406" s="15" t="str">
        <v>Benfica</v>
      </c>
      <c r="H1406" s="15">
        <v>19</v>
      </c>
      <c r="I1406" s="15" t="str">
        <f t="shared" si="117"/>
        <v>969|Nicolás Otamendi|38|Argentina|CB|Benfica|19</v>
      </c>
      <c r="J1406" s="15" t="str">
        <f>IF(COUNTIF(I$438:I1406,I1406)&gt;1,"DOUBLON","OK")</f>
        <v>OK</v>
      </c>
      <c r="S1406" s="12" t="str">
        <v>Morocco</v>
      </c>
      <c r="T1406" s="12" t="str">
        <f t="shared" si="114"/>
        <v>OK</v>
      </c>
      <c r="U1406" s="12" t="str">
        <f t="shared" si="115"/>
        <v>-</v>
      </c>
      <c r="V1406" s="12" t="str" cm="1">
        <f t="array" ref="V1406">_xlfn.IFS(
ISNUMBER(SEARCH("USA",S1406)),"United States",
ISNUMBER(SEARCH("Republic of Ireland",S1406)),"Ireland",
ISNUMBER(SEARCH("Republic of Korea",S1406)),"South Korea",
ISNUMBER(SEARCH("Cape Verde",S1406)),"Cabo Verde",
ISNUMBER(SEARCH("Czechia",S1406)),"Czech Republic",
ISNUMBER(SEARCH("Türkiye",S1406)),"Turkey",
ISNUMBER(SEARCH("Ivory Coast",S1406)),"Côte d'Ivoire",
ISNUMBER(SEARCH("Korea Republic",S1406)),"South Korea",
ISNUMBER(SEARCH("Germany FR",S1406)),"FR Germany",
ISNUMBER(SEARCH("West Germany",S1406)),"FR Germany",
ISNUMBER(SEARCH("Germany DR",S1406)),"DR Germany",
ISNUMBER(SEARCH("Korea DPR",S1406)),"North Korea",
ISNUMBER(SEARCH("China PR",S1406)),"China",
ISNUMBER(SEARCH("IR Iran",S1406)),"Iran",
ISNUMBER(SEARCH("Congo DR",S1406)),"Democratic Republic of the Congo",
ISNUMBER(SEARCH("DR Congo",S1406)),"Democratic Republic of the Congo",
ISNUMBER(SEARCH("German DR",S1406)),"DR Germany",
ISNUMBER(SEARCH("rn""&gt;United Arab Emirates",S1406)),"United Arab Emirates",
ISNUMBER(SEARCH("rn""&gt;Republic of Ireland",S1406)),"Ireland",
ISNUMBER(SEARCH("rn""&gt;Bosnia and Herzegovina",S1406)),"Bosnia and Herzegovina",
ISNUMBER(SEARCH("rn""&gt;Trinidad and Tobago",S1406)),"Trinidad and Tobago",
ISNUMBER(SEARCH("rn""&gt;Serbia and Montenegro",S1406)),"Serbia and Montenegro",
ISNUMBER(SEARCH(_xlfn.UNICHAR(65533),S1406)),"Côte d'Ivoire",
TRUE,""
)</f>
        <v/>
      </c>
      <c r="W1406" s="12" t="str">
        <f t="shared" si="116"/>
        <v>Morocco</v>
      </c>
    </row>
    <row r="1407" spans="2:23">
      <c r="B1407" s="75">
        <v>970</v>
      </c>
      <c r="C1407" s="15" t="str">
        <v>Facundo Medina</v>
      </c>
      <c r="D1407" s="15">
        <v>27</v>
      </c>
      <c r="E1407" s="15" t="str">
        <v>Argentina</v>
      </c>
      <c r="F1407" s="15" t="str">
        <v>CB</v>
      </c>
      <c r="G1407" s="15" t="str">
        <v>Marseille</v>
      </c>
      <c r="H1407" s="15">
        <v>25</v>
      </c>
      <c r="I1407" s="15" t="str">
        <f t="shared" si="117"/>
        <v>970|Facundo Medina|27|Argentina|CB|Marseille|25</v>
      </c>
      <c r="J1407" s="15" t="str">
        <f>IF(COUNTIF(I$438:I1407,I1407)&gt;1,"DOUBLON","OK")</f>
        <v>OK</v>
      </c>
      <c r="S1407" s="12" t="str">
        <v>Scotland</v>
      </c>
      <c r="T1407" s="12" t="str">
        <f t="shared" si="114"/>
        <v>ERREUR</v>
      </c>
      <c r="U1407" s="12" t="str">
        <f t="shared" si="115"/>
        <v>AUCUNE</v>
      </c>
      <c r="V1407" s="12" t="str" cm="1">
        <f t="array" ref="V1407">_xlfn.IFS(
ISNUMBER(SEARCH("USA",S1407)),"United States",
ISNUMBER(SEARCH("Republic of Ireland",S1407)),"Ireland",
ISNUMBER(SEARCH("Republic of Korea",S1407)),"South Korea",
ISNUMBER(SEARCH("Cape Verde",S1407)),"Cabo Verde",
ISNUMBER(SEARCH("Czechia",S1407)),"Czech Republic",
ISNUMBER(SEARCH("Türkiye",S1407)),"Turkey",
ISNUMBER(SEARCH("Ivory Coast",S1407)),"Côte d'Ivoire",
ISNUMBER(SEARCH("Korea Republic",S1407)),"South Korea",
ISNUMBER(SEARCH("Germany FR",S1407)),"FR Germany",
ISNUMBER(SEARCH("West Germany",S1407)),"FR Germany",
ISNUMBER(SEARCH("Germany DR",S1407)),"DR Germany",
ISNUMBER(SEARCH("Korea DPR",S1407)),"North Korea",
ISNUMBER(SEARCH("China PR",S1407)),"China",
ISNUMBER(SEARCH("IR Iran",S1407)),"Iran",
ISNUMBER(SEARCH("Congo DR",S1407)),"Democratic Republic of the Congo",
ISNUMBER(SEARCH("DR Congo",S1407)),"Democratic Republic of the Congo",
ISNUMBER(SEARCH("German DR",S1407)),"DR Germany",
ISNUMBER(SEARCH("rn""&gt;United Arab Emirates",S1407)),"United Arab Emirates",
ISNUMBER(SEARCH("rn""&gt;Republic of Ireland",S1407)),"Ireland",
ISNUMBER(SEARCH("rn""&gt;Bosnia and Herzegovina",S1407)),"Bosnia and Herzegovina",
ISNUMBER(SEARCH("rn""&gt;Trinidad and Tobago",S1407)),"Trinidad and Tobago",
ISNUMBER(SEARCH("rn""&gt;Serbia and Montenegro",S1407)),"Serbia and Montenegro",
ISNUMBER(SEARCH(_xlfn.UNICHAR(65533),S1407)),"Côte d'Ivoire",
TRUE,""
)</f>
        <v/>
      </c>
      <c r="W1407" s="12" t="str">
        <f t="shared" si="116"/>
        <v>Scotland</v>
      </c>
    </row>
    <row r="1408" spans="2:23">
      <c r="B1408" s="75">
        <v>971</v>
      </c>
      <c r="C1408" s="15" t="str">
        <v>Nicolás Tagliafico</v>
      </c>
      <c r="D1408" s="15">
        <v>33</v>
      </c>
      <c r="E1408" s="15" t="str">
        <v>Argentina</v>
      </c>
      <c r="F1408" s="15" t="str">
        <v>LB</v>
      </c>
      <c r="G1408" s="15" t="str">
        <v>Lyon</v>
      </c>
      <c r="H1408" s="15">
        <v>3</v>
      </c>
      <c r="I1408" s="15" t="str">
        <f t="shared" si="117"/>
        <v>971|Nicolás Tagliafico|33|Argentina|LB|Lyon|3</v>
      </c>
      <c r="J1408" s="15" t="str">
        <f>IF(COUNTIF(I$438:I1408,I1408)&gt;1,"DOUBLON","OK")</f>
        <v>OK</v>
      </c>
      <c r="S1408" s="12" t="str">
        <v>Scotland</v>
      </c>
      <c r="T1408" s="12" t="str">
        <f t="shared" si="114"/>
        <v>ERREUR</v>
      </c>
      <c r="U1408" s="12" t="str">
        <f t="shared" si="115"/>
        <v>AUCUNE</v>
      </c>
      <c r="V1408" s="12" t="str" cm="1">
        <f t="array" ref="V1408">_xlfn.IFS(
ISNUMBER(SEARCH("USA",S1408)),"United States",
ISNUMBER(SEARCH("Republic of Ireland",S1408)),"Ireland",
ISNUMBER(SEARCH("Republic of Korea",S1408)),"South Korea",
ISNUMBER(SEARCH("Cape Verde",S1408)),"Cabo Verde",
ISNUMBER(SEARCH("Czechia",S1408)),"Czech Republic",
ISNUMBER(SEARCH("Türkiye",S1408)),"Turkey",
ISNUMBER(SEARCH("Ivory Coast",S1408)),"Côte d'Ivoire",
ISNUMBER(SEARCH("Korea Republic",S1408)),"South Korea",
ISNUMBER(SEARCH("Germany FR",S1408)),"FR Germany",
ISNUMBER(SEARCH("West Germany",S1408)),"FR Germany",
ISNUMBER(SEARCH("Germany DR",S1408)),"DR Germany",
ISNUMBER(SEARCH("Korea DPR",S1408)),"North Korea",
ISNUMBER(SEARCH("China PR",S1408)),"China",
ISNUMBER(SEARCH("IR Iran",S1408)),"Iran",
ISNUMBER(SEARCH("Congo DR",S1408)),"Democratic Republic of the Congo",
ISNUMBER(SEARCH("DR Congo",S1408)),"Democratic Republic of the Congo",
ISNUMBER(SEARCH("German DR",S1408)),"DR Germany",
ISNUMBER(SEARCH("rn""&gt;United Arab Emirates",S1408)),"United Arab Emirates",
ISNUMBER(SEARCH("rn""&gt;Republic of Ireland",S1408)),"Ireland",
ISNUMBER(SEARCH("rn""&gt;Bosnia and Herzegovina",S1408)),"Bosnia and Herzegovina",
ISNUMBER(SEARCH("rn""&gt;Trinidad and Tobago",S1408)),"Trinidad and Tobago",
ISNUMBER(SEARCH("rn""&gt;Serbia and Montenegro",S1408)),"Serbia and Montenegro",
ISNUMBER(SEARCH(_xlfn.UNICHAR(65533),S1408)),"Côte d'Ivoire",
TRUE,""
)</f>
        <v/>
      </c>
      <c r="W1408" s="12" t="str">
        <f t="shared" si="116"/>
        <v>Scotland</v>
      </c>
    </row>
    <row r="1409" spans="2:23">
      <c r="B1409" s="75">
        <v>972</v>
      </c>
      <c r="C1409" s="15" t="str">
        <v>Valentín Barco</v>
      </c>
      <c r="D1409" s="15">
        <v>21</v>
      </c>
      <c r="E1409" s="15" t="str">
        <v>Argentina</v>
      </c>
      <c r="F1409" s="15" t="str">
        <v>LB</v>
      </c>
      <c r="G1409" s="15" t="str">
        <v>Strasbourg</v>
      </c>
      <c r="H1409" s="15">
        <v>8</v>
      </c>
      <c r="I1409" s="15" t="str">
        <f t="shared" si="117"/>
        <v>972|Valentín Barco|21|Argentina|LB|Strasbourg|8</v>
      </c>
      <c r="J1409" s="15" t="str">
        <f>IF(COUNTIF(I$438:I1409,I1409)&gt;1,"DOUBLON","OK")</f>
        <v>OK</v>
      </c>
      <c r="S1409" s="12" t="str">
        <v>Scotland</v>
      </c>
      <c r="T1409" s="12" t="str">
        <f t="shared" si="114"/>
        <v>ERREUR</v>
      </c>
      <c r="U1409" s="12" t="str">
        <f t="shared" si="115"/>
        <v>AUCUNE</v>
      </c>
      <c r="V1409" s="12" t="str" cm="1">
        <f t="array" ref="V1409">_xlfn.IFS(
ISNUMBER(SEARCH("USA",S1409)),"United States",
ISNUMBER(SEARCH("Republic of Ireland",S1409)),"Ireland",
ISNUMBER(SEARCH("Republic of Korea",S1409)),"South Korea",
ISNUMBER(SEARCH("Cape Verde",S1409)),"Cabo Verde",
ISNUMBER(SEARCH("Czechia",S1409)),"Czech Republic",
ISNUMBER(SEARCH("Türkiye",S1409)),"Turkey",
ISNUMBER(SEARCH("Ivory Coast",S1409)),"Côte d'Ivoire",
ISNUMBER(SEARCH("Korea Republic",S1409)),"South Korea",
ISNUMBER(SEARCH("Germany FR",S1409)),"FR Germany",
ISNUMBER(SEARCH("West Germany",S1409)),"FR Germany",
ISNUMBER(SEARCH("Germany DR",S1409)),"DR Germany",
ISNUMBER(SEARCH("Korea DPR",S1409)),"North Korea",
ISNUMBER(SEARCH("China PR",S1409)),"China",
ISNUMBER(SEARCH("IR Iran",S1409)),"Iran",
ISNUMBER(SEARCH("Congo DR",S1409)),"Democratic Republic of the Congo",
ISNUMBER(SEARCH("DR Congo",S1409)),"Democratic Republic of the Congo",
ISNUMBER(SEARCH("German DR",S1409)),"DR Germany",
ISNUMBER(SEARCH("rn""&gt;United Arab Emirates",S1409)),"United Arab Emirates",
ISNUMBER(SEARCH("rn""&gt;Republic of Ireland",S1409)),"Ireland",
ISNUMBER(SEARCH("rn""&gt;Bosnia and Herzegovina",S1409)),"Bosnia and Herzegovina",
ISNUMBER(SEARCH("rn""&gt;Trinidad and Tobago",S1409)),"Trinidad and Tobago",
ISNUMBER(SEARCH("rn""&gt;Serbia and Montenegro",S1409)),"Serbia and Montenegro",
ISNUMBER(SEARCH(_xlfn.UNICHAR(65533),S1409)),"Côte d'Ivoire",
TRUE,""
)</f>
        <v/>
      </c>
      <c r="W1409" s="12" t="str">
        <f t="shared" si="116"/>
        <v>Scotland</v>
      </c>
    </row>
    <row r="1410" spans="2:23">
      <c r="B1410" s="75">
        <v>973</v>
      </c>
      <c r="C1410" s="15" t="str">
        <v>Gonzalo Montiel</v>
      </c>
      <c r="D1410" s="15">
        <v>29</v>
      </c>
      <c r="E1410" s="15" t="str">
        <v>Argentina</v>
      </c>
      <c r="F1410" s="15" t="str">
        <v>RB</v>
      </c>
      <c r="G1410" s="15" t="str">
        <v>River Plate</v>
      </c>
      <c r="H1410" s="15">
        <v>4</v>
      </c>
      <c r="I1410" s="15" t="str">
        <f t="shared" si="117"/>
        <v>973|Gonzalo Montiel|29|Argentina|RB|River Plate|4</v>
      </c>
      <c r="J1410" s="15" t="str">
        <f>IF(COUNTIF(I$438:I1410,I1410)&gt;1,"DOUBLON","OK")</f>
        <v>OK</v>
      </c>
      <c r="S1410" s="12" t="str">
        <v>Scotland</v>
      </c>
      <c r="T1410" s="12" t="str">
        <f t="shared" si="114"/>
        <v>ERREUR</v>
      </c>
      <c r="U1410" s="12" t="str">
        <f t="shared" si="115"/>
        <v>AUCUNE</v>
      </c>
      <c r="V1410" s="12" t="str" cm="1">
        <f t="array" ref="V1410">_xlfn.IFS(
ISNUMBER(SEARCH("USA",S1410)),"United States",
ISNUMBER(SEARCH("Republic of Ireland",S1410)),"Ireland",
ISNUMBER(SEARCH("Republic of Korea",S1410)),"South Korea",
ISNUMBER(SEARCH("Cape Verde",S1410)),"Cabo Verde",
ISNUMBER(SEARCH("Czechia",S1410)),"Czech Republic",
ISNUMBER(SEARCH("Türkiye",S1410)),"Turkey",
ISNUMBER(SEARCH("Ivory Coast",S1410)),"Côte d'Ivoire",
ISNUMBER(SEARCH("Korea Republic",S1410)),"South Korea",
ISNUMBER(SEARCH("Germany FR",S1410)),"FR Germany",
ISNUMBER(SEARCH("West Germany",S1410)),"FR Germany",
ISNUMBER(SEARCH("Germany DR",S1410)),"DR Germany",
ISNUMBER(SEARCH("Korea DPR",S1410)),"North Korea",
ISNUMBER(SEARCH("China PR",S1410)),"China",
ISNUMBER(SEARCH("IR Iran",S1410)),"Iran",
ISNUMBER(SEARCH("Congo DR",S1410)),"Democratic Republic of the Congo",
ISNUMBER(SEARCH("DR Congo",S1410)),"Democratic Republic of the Congo",
ISNUMBER(SEARCH("German DR",S1410)),"DR Germany",
ISNUMBER(SEARCH("rn""&gt;United Arab Emirates",S1410)),"United Arab Emirates",
ISNUMBER(SEARCH("rn""&gt;Republic of Ireland",S1410)),"Ireland",
ISNUMBER(SEARCH("rn""&gt;Bosnia and Herzegovina",S1410)),"Bosnia and Herzegovina",
ISNUMBER(SEARCH("rn""&gt;Trinidad and Tobago",S1410)),"Trinidad and Tobago",
ISNUMBER(SEARCH("rn""&gt;Serbia and Montenegro",S1410)),"Serbia and Montenegro",
ISNUMBER(SEARCH(_xlfn.UNICHAR(65533),S1410)),"Côte d'Ivoire",
TRUE,""
)</f>
        <v/>
      </c>
      <c r="W1410" s="12" t="str">
        <f t="shared" si="116"/>
        <v>Scotland</v>
      </c>
    </row>
    <row r="1411" spans="2:23">
      <c r="B1411" s="75">
        <v>974</v>
      </c>
      <c r="C1411" s="15" t="str">
        <v>Nahuel Molina</v>
      </c>
      <c r="D1411" s="15">
        <v>28</v>
      </c>
      <c r="E1411" s="15" t="str">
        <v>Argentina</v>
      </c>
      <c r="F1411" s="15" t="str">
        <v>RB</v>
      </c>
      <c r="G1411" s="15" t="str">
        <v>Atlético Madrid</v>
      </c>
      <c r="H1411" s="15">
        <v>26</v>
      </c>
      <c r="I1411" s="15" t="str">
        <f t="shared" si="117"/>
        <v>974|Nahuel Molina|28|Argentina|RB|Atlético Madrid|26</v>
      </c>
      <c r="J1411" s="15" t="str">
        <f>IF(COUNTIF(I$438:I1411,I1411)&gt;1,"DOUBLON","OK")</f>
        <v>OK</v>
      </c>
      <c r="S1411" s="12" t="str">
        <v>Scotland</v>
      </c>
      <c r="T1411" s="12" t="str">
        <f t="shared" si="114"/>
        <v>ERREUR</v>
      </c>
      <c r="U1411" s="12" t="str">
        <f t="shared" si="115"/>
        <v>AUCUNE</v>
      </c>
      <c r="V1411" s="12" t="str" cm="1">
        <f t="array" ref="V1411">_xlfn.IFS(
ISNUMBER(SEARCH("USA",S1411)),"United States",
ISNUMBER(SEARCH("Republic of Ireland",S1411)),"Ireland",
ISNUMBER(SEARCH("Republic of Korea",S1411)),"South Korea",
ISNUMBER(SEARCH("Cape Verde",S1411)),"Cabo Verde",
ISNUMBER(SEARCH("Czechia",S1411)),"Czech Republic",
ISNUMBER(SEARCH("Türkiye",S1411)),"Turkey",
ISNUMBER(SEARCH("Ivory Coast",S1411)),"Côte d'Ivoire",
ISNUMBER(SEARCH("Korea Republic",S1411)),"South Korea",
ISNUMBER(SEARCH("Germany FR",S1411)),"FR Germany",
ISNUMBER(SEARCH("West Germany",S1411)),"FR Germany",
ISNUMBER(SEARCH("Germany DR",S1411)),"DR Germany",
ISNUMBER(SEARCH("Korea DPR",S1411)),"North Korea",
ISNUMBER(SEARCH("China PR",S1411)),"China",
ISNUMBER(SEARCH("IR Iran",S1411)),"Iran",
ISNUMBER(SEARCH("Congo DR",S1411)),"Democratic Republic of the Congo",
ISNUMBER(SEARCH("DR Congo",S1411)),"Democratic Republic of the Congo",
ISNUMBER(SEARCH("German DR",S1411)),"DR Germany",
ISNUMBER(SEARCH("rn""&gt;United Arab Emirates",S1411)),"United Arab Emirates",
ISNUMBER(SEARCH("rn""&gt;Republic of Ireland",S1411)),"Ireland",
ISNUMBER(SEARCH("rn""&gt;Bosnia and Herzegovina",S1411)),"Bosnia and Herzegovina",
ISNUMBER(SEARCH("rn""&gt;Trinidad and Tobago",S1411)),"Trinidad and Tobago",
ISNUMBER(SEARCH("rn""&gt;Serbia and Montenegro",S1411)),"Serbia and Montenegro",
ISNUMBER(SEARCH(_xlfn.UNICHAR(65533),S1411)),"Côte d'Ivoire",
TRUE,""
)</f>
        <v/>
      </c>
      <c r="W1411" s="12" t="str">
        <f t="shared" si="116"/>
        <v>Scotland</v>
      </c>
    </row>
    <row r="1412" spans="2:23">
      <c r="B1412" s="75">
        <v>975</v>
      </c>
      <c r="C1412" s="15" t="str">
        <v>Leandro Paredes</v>
      </c>
      <c r="D1412" s="15">
        <v>31</v>
      </c>
      <c r="E1412" s="15" t="str">
        <v>Argentina</v>
      </c>
      <c r="F1412" s="15" t="str">
        <v>CDM</v>
      </c>
      <c r="G1412" s="15" t="str">
        <v>Boca Juniors</v>
      </c>
      <c r="H1412" s="15">
        <v>5</v>
      </c>
      <c r="I1412" s="15" t="str">
        <f t="shared" si="117"/>
        <v>975|Leandro Paredes|31|Argentina|CDM|Boca Juniors|5</v>
      </c>
      <c r="J1412" s="15" t="str">
        <f>IF(COUNTIF(I$438:I1412,I1412)&gt;1,"DOUBLON","OK")</f>
        <v>OK</v>
      </c>
      <c r="S1412" s="12" t="str">
        <v>Scotland</v>
      </c>
      <c r="T1412" s="12" t="str">
        <f t="shared" si="114"/>
        <v>ERREUR</v>
      </c>
      <c r="U1412" s="12" t="str">
        <f t="shared" si="115"/>
        <v>AUCUNE</v>
      </c>
      <c r="V1412" s="12" t="str" cm="1">
        <f t="array" ref="V1412">_xlfn.IFS(
ISNUMBER(SEARCH("USA",S1412)),"United States",
ISNUMBER(SEARCH("Republic of Ireland",S1412)),"Ireland",
ISNUMBER(SEARCH("Republic of Korea",S1412)),"South Korea",
ISNUMBER(SEARCH("Cape Verde",S1412)),"Cabo Verde",
ISNUMBER(SEARCH("Czechia",S1412)),"Czech Republic",
ISNUMBER(SEARCH("Türkiye",S1412)),"Turkey",
ISNUMBER(SEARCH("Ivory Coast",S1412)),"Côte d'Ivoire",
ISNUMBER(SEARCH("Korea Republic",S1412)),"South Korea",
ISNUMBER(SEARCH("Germany FR",S1412)),"FR Germany",
ISNUMBER(SEARCH("West Germany",S1412)),"FR Germany",
ISNUMBER(SEARCH("Germany DR",S1412)),"DR Germany",
ISNUMBER(SEARCH("Korea DPR",S1412)),"North Korea",
ISNUMBER(SEARCH("China PR",S1412)),"China",
ISNUMBER(SEARCH("IR Iran",S1412)),"Iran",
ISNUMBER(SEARCH("Congo DR",S1412)),"Democratic Republic of the Congo",
ISNUMBER(SEARCH("DR Congo",S1412)),"Democratic Republic of the Congo",
ISNUMBER(SEARCH("German DR",S1412)),"DR Germany",
ISNUMBER(SEARCH("rn""&gt;United Arab Emirates",S1412)),"United Arab Emirates",
ISNUMBER(SEARCH("rn""&gt;Republic of Ireland",S1412)),"Ireland",
ISNUMBER(SEARCH("rn""&gt;Bosnia and Herzegovina",S1412)),"Bosnia and Herzegovina",
ISNUMBER(SEARCH("rn""&gt;Trinidad and Tobago",S1412)),"Trinidad and Tobago",
ISNUMBER(SEARCH("rn""&gt;Serbia and Montenegro",S1412)),"Serbia and Montenegro",
ISNUMBER(SEARCH(_xlfn.UNICHAR(65533),S1412)),"Côte d'Ivoire",
TRUE,""
)</f>
        <v/>
      </c>
      <c r="W1412" s="12" t="str">
        <f t="shared" si="116"/>
        <v>Scotland</v>
      </c>
    </row>
    <row r="1413" spans="2:23">
      <c r="B1413" s="75">
        <v>976</v>
      </c>
      <c r="C1413" s="15" t="str">
        <v>Enzo Fernández</v>
      </c>
      <c r="D1413" s="15">
        <v>25</v>
      </c>
      <c r="E1413" s="15" t="str">
        <v>Argentina</v>
      </c>
      <c r="F1413" s="15" t="str">
        <v>CDM</v>
      </c>
      <c r="G1413" s="15" t="str">
        <v>Chelsea</v>
      </c>
      <c r="H1413" s="15">
        <v>24</v>
      </c>
      <c r="I1413" s="15" t="str">
        <f t="shared" si="117"/>
        <v>976|Enzo Fernández|25|Argentina|CDM|Chelsea|24</v>
      </c>
      <c r="J1413" s="15" t="str">
        <f>IF(COUNTIF(I$438:I1413,I1413)&gt;1,"DOUBLON","OK")</f>
        <v>OK</v>
      </c>
      <c r="S1413" s="12" t="str">
        <v>Scotland</v>
      </c>
      <c r="T1413" s="12" t="str">
        <f t="shared" si="114"/>
        <v>ERREUR</v>
      </c>
      <c r="U1413" s="12" t="str">
        <f t="shared" si="115"/>
        <v>AUCUNE</v>
      </c>
      <c r="V1413" s="12" t="str" cm="1">
        <f t="array" ref="V1413">_xlfn.IFS(
ISNUMBER(SEARCH("USA",S1413)),"United States",
ISNUMBER(SEARCH("Republic of Ireland",S1413)),"Ireland",
ISNUMBER(SEARCH("Republic of Korea",S1413)),"South Korea",
ISNUMBER(SEARCH("Cape Verde",S1413)),"Cabo Verde",
ISNUMBER(SEARCH("Czechia",S1413)),"Czech Republic",
ISNUMBER(SEARCH("Türkiye",S1413)),"Turkey",
ISNUMBER(SEARCH("Ivory Coast",S1413)),"Côte d'Ivoire",
ISNUMBER(SEARCH("Korea Republic",S1413)),"South Korea",
ISNUMBER(SEARCH("Germany FR",S1413)),"FR Germany",
ISNUMBER(SEARCH("West Germany",S1413)),"FR Germany",
ISNUMBER(SEARCH("Germany DR",S1413)),"DR Germany",
ISNUMBER(SEARCH("Korea DPR",S1413)),"North Korea",
ISNUMBER(SEARCH("China PR",S1413)),"China",
ISNUMBER(SEARCH("IR Iran",S1413)),"Iran",
ISNUMBER(SEARCH("Congo DR",S1413)),"Democratic Republic of the Congo",
ISNUMBER(SEARCH("DR Congo",S1413)),"Democratic Republic of the Congo",
ISNUMBER(SEARCH("German DR",S1413)),"DR Germany",
ISNUMBER(SEARCH("rn""&gt;United Arab Emirates",S1413)),"United Arab Emirates",
ISNUMBER(SEARCH("rn""&gt;Republic of Ireland",S1413)),"Ireland",
ISNUMBER(SEARCH("rn""&gt;Bosnia and Herzegovina",S1413)),"Bosnia and Herzegovina",
ISNUMBER(SEARCH("rn""&gt;Trinidad and Tobago",S1413)),"Trinidad and Tobago",
ISNUMBER(SEARCH("rn""&gt;Serbia and Montenegro",S1413)),"Serbia and Montenegro",
ISNUMBER(SEARCH(_xlfn.UNICHAR(65533),S1413)),"Côte d'Ivoire",
TRUE,""
)</f>
        <v/>
      </c>
      <c r="W1413" s="12" t="str">
        <f t="shared" si="116"/>
        <v>Scotland</v>
      </c>
    </row>
    <row r="1414" spans="2:23">
      <c r="B1414" s="75">
        <v>977</v>
      </c>
      <c r="C1414" s="15" t="str">
        <v>Rodrigo De Paul</v>
      </c>
      <c r="D1414" s="15">
        <v>32</v>
      </c>
      <c r="E1414" s="15" t="str">
        <v>Argentina</v>
      </c>
      <c r="F1414" s="15" t="str">
        <v>CM</v>
      </c>
      <c r="G1414" s="15" t="str">
        <v>Inter Miami CF</v>
      </c>
      <c r="H1414" s="15">
        <v>7</v>
      </c>
      <c r="I1414" s="15" t="str">
        <f t="shared" si="117"/>
        <v>977|Rodrigo De Paul|32|Argentina|CM|Inter Miami CF|7</v>
      </c>
      <c r="J1414" s="15" t="str">
        <f>IF(COUNTIF(I$438:I1414,I1414)&gt;1,"DOUBLON","OK")</f>
        <v>OK</v>
      </c>
      <c r="S1414" s="12" t="str">
        <v>Scotland</v>
      </c>
      <c r="T1414" s="12" t="str">
        <f t="shared" si="114"/>
        <v>ERREUR</v>
      </c>
      <c r="U1414" s="12" t="str">
        <f t="shared" si="115"/>
        <v>AUCUNE</v>
      </c>
      <c r="V1414" s="12" t="str" cm="1">
        <f t="array" ref="V1414">_xlfn.IFS(
ISNUMBER(SEARCH("USA",S1414)),"United States",
ISNUMBER(SEARCH("Republic of Ireland",S1414)),"Ireland",
ISNUMBER(SEARCH("Republic of Korea",S1414)),"South Korea",
ISNUMBER(SEARCH("Cape Verde",S1414)),"Cabo Verde",
ISNUMBER(SEARCH("Czechia",S1414)),"Czech Republic",
ISNUMBER(SEARCH("Türkiye",S1414)),"Turkey",
ISNUMBER(SEARCH("Ivory Coast",S1414)),"Côte d'Ivoire",
ISNUMBER(SEARCH("Korea Republic",S1414)),"South Korea",
ISNUMBER(SEARCH("Germany FR",S1414)),"FR Germany",
ISNUMBER(SEARCH("West Germany",S1414)),"FR Germany",
ISNUMBER(SEARCH("Germany DR",S1414)),"DR Germany",
ISNUMBER(SEARCH("Korea DPR",S1414)),"North Korea",
ISNUMBER(SEARCH("China PR",S1414)),"China",
ISNUMBER(SEARCH("IR Iran",S1414)),"Iran",
ISNUMBER(SEARCH("Congo DR",S1414)),"Democratic Republic of the Congo",
ISNUMBER(SEARCH("DR Congo",S1414)),"Democratic Republic of the Congo",
ISNUMBER(SEARCH("German DR",S1414)),"DR Germany",
ISNUMBER(SEARCH("rn""&gt;United Arab Emirates",S1414)),"United Arab Emirates",
ISNUMBER(SEARCH("rn""&gt;Republic of Ireland",S1414)),"Ireland",
ISNUMBER(SEARCH("rn""&gt;Bosnia and Herzegovina",S1414)),"Bosnia and Herzegovina",
ISNUMBER(SEARCH("rn""&gt;Trinidad and Tobago",S1414)),"Trinidad and Tobago",
ISNUMBER(SEARCH("rn""&gt;Serbia and Montenegro",S1414)),"Serbia and Montenegro",
ISNUMBER(SEARCH(_xlfn.UNICHAR(65533),S1414)),"Côte d'Ivoire",
TRUE,""
)</f>
        <v/>
      </c>
      <c r="W1414" s="12" t="str">
        <f t="shared" si="116"/>
        <v>Scotland</v>
      </c>
    </row>
    <row r="1415" spans="2:23">
      <c r="B1415" s="75">
        <v>978</v>
      </c>
      <c r="C1415" s="15" t="str">
        <v>Exequiel Palacios</v>
      </c>
      <c r="D1415" s="15">
        <v>27</v>
      </c>
      <c r="E1415" s="15" t="str">
        <v>Argentina</v>
      </c>
      <c r="F1415" s="15" t="str">
        <v>CM</v>
      </c>
      <c r="G1415" s="15" t="str">
        <v>Bayer Leverkusen</v>
      </c>
      <c r="H1415" s="15">
        <v>14</v>
      </c>
      <c r="I1415" s="15" t="str">
        <f t="shared" si="117"/>
        <v>978|Exequiel Palacios|27|Argentina|CM|Bayer Leverkusen|14</v>
      </c>
      <c r="J1415" s="15" t="str">
        <f>IF(COUNTIF(I$438:I1415,I1415)&gt;1,"DOUBLON","OK")</f>
        <v>OK</v>
      </c>
      <c r="S1415" s="12" t="str">
        <v>Scotland</v>
      </c>
      <c r="T1415" s="12" t="str">
        <f t="shared" si="114"/>
        <v>ERREUR</v>
      </c>
      <c r="U1415" s="12" t="str">
        <f t="shared" si="115"/>
        <v>AUCUNE</v>
      </c>
      <c r="V1415" s="12" t="str" cm="1">
        <f t="array" ref="V1415">_xlfn.IFS(
ISNUMBER(SEARCH("USA",S1415)),"United States",
ISNUMBER(SEARCH("Republic of Ireland",S1415)),"Ireland",
ISNUMBER(SEARCH("Republic of Korea",S1415)),"South Korea",
ISNUMBER(SEARCH("Cape Verde",S1415)),"Cabo Verde",
ISNUMBER(SEARCH("Czechia",S1415)),"Czech Republic",
ISNUMBER(SEARCH("Türkiye",S1415)),"Turkey",
ISNUMBER(SEARCH("Ivory Coast",S1415)),"Côte d'Ivoire",
ISNUMBER(SEARCH("Korea Republic",S1415)),"South Korea",
ISNUMBER(SEARCH("Germany FR",S1415)),"FR Germany",
ISNUMBER(SEARCH("West Germany",S1415)),"FR Germany",
ISNUMBER(SEARCH("Germany DR",S1415)),"DR Germany",
ISNUMBER(SEARCH("Korea DPR",S1415)),"North Korea",
ISNUMBER(SEARCH("China PR",S1415)),"China",
ISNUMBER(SEARCH("IR Iran",S1415)),"Iran",
ISNUMBER(SEARCH("Congo DR",S1415)),"Democratic Republic of the Congo",
ISNUMBER(SEARCH("DR Congo",S1415)),"Democratic Republic of the Congo",
ISNUMBER(SEARCH("German DR",S1415)),"DR Germany",
ISNUMBER(SEARCH("rn""&gt;United Arab Emirates",S1415)),"United Arab Emirates",
ISNUMBER(SEARCH("rn""&gt;Republic of Ireland",S1415)),"Ireland",
ISNUMBER(SEARCH("rn""&gt;Bosnia and Herzegovina",S1415)),"Bosnia and Herzegovina",
ISNUMBER(SEARCH("rn""&gt;Trinidad and Tobago",S1415)),"Trinidad and Tobago",
ISNUMBER(SEARCH("rn""&gt;Serbia and Montenegro",S1415)),"Serbia and Montenegro",
ISNUMBER(SEARCH(_xlfn.UNICHAR(65533),S1415)),"Côte d'Ivoire",
TRUE,""
)</f>
        <v/>
      </c>
      <c r="W1415" s="12" t="str">
        <f t="shared" si="116"/>
        <v>Scotland</v>
      </c>
    </row>
    <row r="1416" spans="2:23">
      <c r="B1416" s="75">
        <v>979</v>
      </c>
      <c r="C1416" s="15" t="str">
        <v>Alexis Mac Allister</v>
      </c>
      <c r="D1416" s="15">
        <v>27</v>
      </c>
      <c r="E1416" s="15" t="str">
        <v>Argentina</v>
      </c>
      <c r="F1416" s="15" t="str">
        <v>CM</v>
      </c>
      <c r="G1416" s="15" t="str">
        <v>Liverpool</v>
      </c>
      <c r="H1416" s="15">
        <v>20</v>
      </c>
      <c r="I1416" s="15" t="str">
        <f t="shared" si="117"/>
        <v>979|Alexis Mac Allister|27|Argentina|CM|Liverpool|20</v>
      </c>
      <c r="J1416" s="15" t="str">
        <f>IF(COUNTIF(I$438:I1416,I1416)&gt;1,"DOUBLON","OK")</f>
        <v>OK</v>
      </c>
      <c r="S1416" s="12" t="str">
        <v>Scotland</v>
      </c>
      <c r="T1416" s="12" t="str">
        <f t="shared" si="114"/>
        <v>ERREUR</v>
      </c>
      <c r="U1416" s="12" t="str">
        <f t="shared" si="115"/>
        <v>AUCUNE</v>
      </c>
      <c r="V1416" s="12" t="str" cm="1">
        <f t="array" ref="V1416">_xlfn.IFS(
ISNUMBER(SEARCH("USA",S1416)),"United States",
ISNUMBER(SEARCH("Republic of Ireland",S1416)),"Ireland",
ISNUMBER(SEARCH("Republic of Korea",S1416)),"South Korea",
ISNUMBER(SEARCH("Cape Verde",S1416)),"Cabo Verde",
ISNUMBER(SEARCH("Czechia",S1416)),"Czech Republic",
ISNUMBER(SEARCH("Türkiye",S1416)),"Turkey",
ISNUMBER(SEARCH("Ivory Coast",S1416)),"Côte d'Ivoire",
ISNUMBER(SEARCH("Korea Republic",S1416)),"South Korea",
ISNUMBER(SEARCH("Germany FR",S1416)),"FR Germany",
ISNUMBER(SEARCH("West Germany",S1416)),"FR Germany",
ISNUMBER(SEARCH("Germany DR",S1416)),"DR Germany",
ISNUMBER(SEARCH("Korea DPR",S1416)),"North Korea",
ISNUMBER(SEARCH("China PR",S1416)),"China",
ISNUMBER(SEARCH("IR Iran",S1416)),"Iran",
ISNUMBER(SEARCH("Congo DR",S1416)),"Democratic Republic of the Congo",
ISNUMBER(SEARCH("DR Congo",S1416)),"Democratic Republic of the Congo",
ISNUMBER(SEARCH("German DR",S1416)),"DR Germany",
ISNUMBER(SEARCH("rn""&gt;United Arab Emirates",S1416)),"United Arab Emirates",
ISNUMBER(SEARCH("rn""&gt;Republic of Ireland",S1416)),"Ireland",
ISNUMBER(SEARCH("rn""&gt;Bosnia and Herzegovina",S1416)),"Bosnia and Herzegovina",
ISNUMBER(SEARCH("rn""&gt;Trinidad and Tobago",S1416)),"Trinidad and Tobago",
ISNUMBER(SEARCH("rn""&gt;Serbia and Montenegro",S1416)),"Serbia and Montenegro",
ISNUMBER(SEARCH(_xlfn.UNICHAR(65533),S1416)),"Côte d'Ivoire",
TRUE,""
)</f>
        <v/>
      </c>
      <c r="W1416" s="12" t="str">
        <f t="shared" si="116"/>
        <v>Scotland</v>
      </c>
    </row>
    <row r="1417" spans="2:23">
      <c r="B1417" s="75">
        <v>980</v>
      </c>
      <c r="C1417" s="15" t="str">
        <v>Giovani Lo Celso</v>
      </c>
      <c r="D1417" s="15">
        <v>30</v>
      </c>
      <c r="E1417" s="15" t="str">
        <v>Argentina</v>
      </c>
      <c r="F1417" s="15" t="str">
        <v>CAM</v>
      </c>
      <c r="G1417" s="15" t="str">
        <v>Real Betis</v>
      </c>
      <c r="H1417" s="15">
        <v>11</v>
      </c>
      <c r="I1417" s="15" t="str">
        <f t="shared" si="117"/>
        <v>980|Giovani Lo Celso|30|Argentina|CAM|Real Betis|11</v>
      </c>
      <c r="J1417" s="15" t="str">
        <f>IF(COUNTIF(I$438:I1417,I1417)&gt;1,"DOUBLON","OK")</f>
        <v>OK</v>
      </c>
      <c r="S1417" s="12" t="str">
        <v>Scotland</v>
      </c>
      <c r="T1417" s="12" t="str">
        <f t="shared" si="114"/>
        <v>ERREUR</v>
      </c>
      <c r="U1417" s="12" t="str">
        <f t="shared" si="115"/>
        <v>AUCUNE</v>
      </c>
      <c r="V1417" s="12" t="str" cm="1">
        <f t="array" ref="V1417">_xlfn.IFS(
ISNUMBER(SEARCH("USA",S1417)),"United States",
ISNUMBER(SEARCH("Republic of Ireland",S1417)),"Ireland",
ISNUMBER(SEARCH("Republic of Korea",S1417)),"South Korea",
ISNUMBER(SEARCH("Cape Verde",S1417)),"Cabo Verde",
ISNUMBER(SEARCH("Czechia",S1417)),"Czech Republic",
ISNUMBER(SEARCH("Türkiye",S1417)),"Turkey",
ISNUMBER(SEARCH("Ivory Coast",S1417)),"Côte d'Ivoire",
ISNUMBER(SEARCH("Korea Republic",S1417)),"South Korea",
ISNUMBER(SEARCH("Germany FR",S1417)),"FR Germany",
ISNUMBER(SEARCH("West Germany",S1417)),"FR Germany",
ISNUMBER(SEARCH("Germany DR",S1417)),"DR Germany",
ISNUMBER(SEARCH("Korea DPR",S1417)),"North Korea",
ISNUMBER(SEARCH("China PR",S1417)),"China",
ISNUMBER(SEARCH("IR Iran",S1417)),"Iran",
ISNUMBER(SEARCH("Congo DR",S1417)),"Democratic Republic of the Congo",
ISNUMBER(SEARCH("DR Congo",S1417)),"Democratic Republic of the Congo",
ISNUMBER(SEARCH("German DR",S1417)),"DR Germany",
ISNUMBER(SEARCH("rn""&gt;United Arab Emirates",S1417)),"United Arab Emirates",
ISNUMBER(SEARCH("rn""&gt;Republic of Ireland",S1417)),"Ireland",
ISNUMBER(SEARCH("rn""&gt;Bosnia and Herzegovina",S1417)),"Bosnia and Herzegovina",
ISNUMBER(SEARCH("rn""&gt;Trinidad and Tobago",S1417)),"Trinidad and Tobago",
ISNUMBER(SEARCH("rn""&gt;Serbia and Montenegro",S1417)),"Serbia and Montenegro",
ISNUMBER(SEARCH(_xlfn.UNICHAR(65533),S1417)),"Côte d'Ivoire",
TRUE,""
)</f>
        <v/>
      </c>
      <c r="W1417" s="12" t="str">
        <f t="shared" si="116"/>
        <v>Scotland</v>
      </c>
    </row>
    <row r="1418" spans="2:23">
      <c r="B1418" s="75">
        <v>981</v>
      </c>
      <c r="C1418" s="15" t="str">
        <v>Thiago Almada</v>
      </c>
      <c r="D1418" s="15">
        <v>25</v>
      </c>
      <c r="E1418" s="15" t="str">
        <v>Argentina</v>
      </c>
      <c r="F1418" s="15" t="str">
        <v>CAM</v>
      </c>
      <c r="G1418" s="15" t="str">
        <v>Atlético Madrid</v>
      </c>
      <c r="H1418" s="15">
        <v>16</v>
      </c>
      <c r="I1418" s="15" t="str">
        <f t="shared" si="117"/>
        <v>981|Thiago Almada|25|Argentina|CAM|Atlético Madrid|16</v>
      </c>
      <c r="J1418" s="15" t="str">
        <f>IF(COUNTIF(I$438:I1418,I1418)&gt;1,"DOUBLON","OK")</f>
        <v>OK</v>
      </c>
      <c r="S1418" s="12" t="str">
        <v>Scotland</v>
      </c>
      <c r="T1418" s="12" t="str">
        <f t="shared" si="114"/>
        <v>ERREUR</v>
      </c>
      <c r="U1418" s="12" t="str">
        <f t="shared" si="115"/>
        <v>AUCUNE</v>
      </c>
      <c r="V1418" s="12" t="str" cm="1">
        <f t="array" ref="V1418">_xlfn.IFS(
ISNUMBER(SEARCH("USA",S1418)),"United States",
ISNUMBER(SEARCH("Republic of Ireland",S1418)),"Ireland",
ISNUMBER(SEARCH("Republic of Korea",S1418)),"South Korea",
ISNUMBER(SEARCH("Cape Verde",S1418)),"Cabo Verde",
ISNUMBER(SEARCH("Czechia",S1418)),"Czech Republic",
ISNUMBER(SEARCH("Türkiye",S1418)),"Turkey",
ISNUMBER(SEARCH("Ivory Coast",S1418)),"Côte d'Ivoire",
ISNUMBER(SEARCH("Korea Republic",S1418)),"South Korea",
ISNUMBER(SEARCH("Germany FR",S1418)),"FR Germany",
ISNUMBER(SEARCH("West Germany",S1418)),"FR Germany",
ISNUMBER(SEARCH("Germany DR",S1418)),"DR Germany",
ISNUMBER(SEARCH("Korea DPR",S1418)),"North Korea",
ISNUMBER(SEARCH("China PR",S1418)),"China",
ISNUMBER(SEARCH("IR Iran",S1418)),"Iran",
ISNUMBER(SEARCH("Congo DR",S1418)),"Democratic Republic of the Congo",
ISNUMBER(SEARCH("DR Congo",S1418)),"Democratic Republic of the Congo",
ISNUMBER(SEARCH("German DR",S1418)),"DR Germany",
ISNUMBER(SEARCH("rn""&gt;United Arab Emirates",S1418)),"United Arab Emirates",
ISNUMBER(SEARCH("rn""&gt;Republic of Ireland",S1418)),"Ireland",
ISNUMBER(SEARCH("rn""&gt;Bosnia and Herzegovina",S1418)),"Bosnia and Herzegovina",
ISNUMBER(SEARCH("rn""&gt;Trinidad and Tobago",S1418)),"Trinidad and Tobago",
ISNUMBER(SEARCH("rn""&gt;Serbia and Montenegro",S1418)),"Serbia and Montenegro",
ISNUMBER(SEARCH(_xlfn.UNICHAR(65533),S1418)),"Côte d'Ivoire",
TRUE,""
)</f>
        <v/>
      </c>
      <c r="W1418" s="12" t="str">
        <f t="shared" si="116"/>
        <v>Scotland</v>
      </c>
    </row>
    <row r="1419" spans="2:23">
      <c r="B1419" s="75">
        <v>982</v>
      </c>
      <c r="C1419" s="15" t="str">
        <v>Nico Paz</v>
      </c>
      <c r="D1419" s="15">
        <v>21</v>
      </c>
      <c r="E1419" s="15" t="str">
        <v>Argentina</v>
      </c>
      <c r="F1419" s="15" t="str">
        <v>CAM</v>
      </c>
      <c r="G1419" s="15" t="str">
        <v>Como</v>
      </c>
      <c r="H1419" s="15">
        <v>18</v>
      </c>
      <c r="I1419" s="15" t="str">
        <f t="shared" si="117"/>
        <v>982|Nico Paz|21|Argentina|CAM|Como|18</v>
      </c>
      <c r="J1419" s="15" t="str">
        <f>IF(COUNTIF(I$438:I1419,I1419)&gt;1,"DOUBLON","OK")</f>
        <v>OK</v>
      </c>
      <c r="S1419" s="12" t="str">
        <v>Scotland</v>
      </c>
      <c r="T1419" s="12" t="str">
        <f t="shared" si="114"/>
        <v>ERREUR</v>
      </c>
      <c r="U1419" s="12" t="str">
        <f t="shared" si="115"/>
        <v>AUCUNE</v>
      </c>
      <c r="V1419" s="12" t="str" cm="1">
        <f t="array" ref="V1419">_xlfn.IFS(
ISNUMBER(SEARCH("USA",S1419)),"United States",
ISNUMBER(SEARCH("Republic of Ireland",S1419)),"Ireland",
ISNUMBER(SEARCH("Republic of Korea",S1419)),"South Korea",
ISNUMBER(SEARCH("Cape Verde",S1419)),"Cabo Verde",
ISNUMBER(SEARCH("Czechia",S1419)),"Czech Republic",
ISNUMBER(SEARCH("Türkiye",S1419)),"Turkey",
ISNUMBER(SEARCH("Ivory Coast",S1419)),"Côte d'Ivoire",
ISNUMBER(SEARCH("Korea Republic",S1419)),"South Korea",
ISNUMBER(SEARCH("Germany FR",S1419)),"FR Germany",
ISNUMBER(SEARCH("West Germany",S1419)),"FR Germany",
ISNUMBER(SEARCH("Germany DR",S1419)),"DR Germany",
ISNUMBER(SEARCH("Korea DPR",S1419)),"North Korea",
ISNUMBER(SEARCH("China PR",S1419)),"China",
ISNUMBER(SEARCH("IR Iran",S1419)),"Iran",
ISNUMBER(SEARCH("Congo DR",S1419)),"Democratic Republic of the Congo",
ISNUMBER(SEARCH("DR Congo",S1419)),"Democratic Republic of the Congo",
ISNUMBER(SEARCH("German DR",S1419)),"DR Germany",
ISNUMBER(SEARCH("rn""&gt;United Arab Emirates",S1419)),"United Arab Emirates",
ISNUMBER(SEARCH("rn""&gt;Republic of Ireland",S1419)),"Ireland",
ISNUMBER(SEARCH("rn""&gt;Bosnia and Herzegovina",S1419)),"Bosnia and Herzegovina",
ISNUMBER(SEARCH("rn""&gt;Trinidad and Tobago",S1419)),"Trinidad and Tobago",
ISNUMBER(SEARCH("rn""&gt;Serbia and Montenegro",S1419)),"Serbia and Montenegro",
ISNUMBER(SEARCH(_xlfn.UNICHAR(65533),S1419)),"Côte d'Ivoire",
TRUE,""
)</f>
        <v/>
      </c>
      <c r="W1419" s="12" t="str">
        <f t="shared" si="116"/>
        <v>Scotland</v>
      </c>
    </row>
    <row r="1420" spans="2:23">
      <c r="B1420" s="75">
        <v>983</v>
      </c>
      <c r="C1420" s="15" t="str">
        <v>Nicolás González</v>
      </c>
      <c r="D1420" s="15">
        <v>28</v>
      </c>
      <c r="E1420" s="15" t="str">
        <v>Argentina</v>
      </c>
      <c r="F1420" s="15" t="str">
        <v>LW</v>
      </c>
      <c r="G1420" s="15" t="str">
        <v>Atlético Madrid</v>
      </c>
      <c r="H1420" s="15">
        <v>15</v>
      </c>
      <c r="I1420" s="15" t="str">
        <f t="shared" si="117"/>
        <v>983|Nicolás González|28|Argentina|LW|Atlético Madrid|15</v>
      </c>
      <c r="J1420" s="15" t="str">
        <f>IF(COUNTIF(I$438:I1420,I1420)&gt;1,"DOUBLON","OK")</f>
        <v>OK</v>
      </c>
      <c r="S1420" s="12" t="str">
        <v>Scotland</v>
      </c>
      <c r="T1420" s="12" t="str">
        <f t="shared" si="114"/>
        <v>ERREUR</v>
      </c>
      <c r="U1420" s="12" t="str">
        <f t="shared" si="115"/>
        <v>AUCUNE</v>
      </c>
      <c r="V1420" s="12" t="str" cm="1">
        <f t="array" ref="V1420">_xlfn.IFS(
ISNUMBER(SEARCH("USA",S1420)),"United States",
ISNUMBER(SEARCH("Republic of Ireland",S1420)),"Ireland",
ISNUMBER(SEARCH("Republic of Korea",S1420)),"South Korea",
ISNUMBER(SEARCH("Cape Verde",S1420)),"Cabo Verde",
ISNUMBER(SEARCH("Czechia",S1420)),"Czech Republic",
ISNUMBER(SEARCH("Türkiye",S1420)),"Turkey",
ISNUMBER(SEARCH("Ivory Coast",S1420)),"Côte d'Ivoire",
ISNUMBER(SEARCH("Korea Republic",S1420)),"South Korea",
ISNUMBER(SEARCH("Germany FR",S1420)),"FR Germany",
ISNUMBER(SEARCH("West Germany",S1420)),"FR Germany",
ISNUMBER(SEARCH("Germany DR",S1420)),"DR Germany",
ISNUMBER(SEARCH("Korea DPR",S1420)),"North Korea",
ISNUMBER(SEARCH("China PR",S1420)),"China",
ISNUMBER(SEARCH("IR Iran",S1420)),"Iran",
ISNUMBER(SEARCH("Congo DR",S1420)),"Democratic Republic of the Congo",
ISNUMBER(SEARCH("DR Congo",S1420)),"Democratic Republic of the Congo",
ISNUMBER(SEARCH("German DR",S1420)),"DR Germany",
ISNUMBER(SEARCH("rn""&gt;United Arab Emirates",S1420)),"United Arab Emirates",
ISNUMBER(SEARCH("rn""&gt;Republic of Ireland",S1420)),"Ireland",
ISNUMBER(SEARCH("rn""&gt;Bosnia and Herzegovina",S1420)),"Bosnia and Herzegovina",
ISNUMBER(SEARCH("rn""&gt;Trinidad and Tobago",S1420)),"Trinidad and Tobago",
ISNUMBER(SEARCH("rn""&gt;Serbia and Montenegro",S1420)),"Serbia and Montenegro",
ISNUMBER(SEARCH(_xlfn.UNICHAR(65533),S1420)),"Côte d'Ivoire",
TRUE,""
)</f>
        <v/>
      </c>
      <c r="W1420" s="12" t="str">
        <f t="shared" si="116"/>
        <v>Scotland</v>
      </c>
    </row>
    <row r="1421" spans="2:23">
      <c r="B1421" s="75">
        <v>984</v>
      </c>
      <c r="C1421" s="15" t="str">
        <v>Giuliano Simeone</v>
      </c>
      <c r="D1421" s="15">
        <v>23</v>
      </c>
      <c r="E1421" s="15" t="str">
        <v>Argentina</v>
      </c>
      <c r="F1421" s="15" t="str">
        <v>LW</v>
      </c>
      <c r="G1421" s="15" t="str">
        <v>Atlético Madrid</v>
      </c>
      <c r="H1421" s="15">
        <v>17</v>
      </c>
      <c r="I1421" s="15" t="str">
        <f t="shared" si="117"/>
        <v>984|Giuliano Simeone|23|Argentina|LW|Atlético Madrid|17</v>
      </c>
      <c r="J1421" s="15" t="str">
        <f>IF(COUNTIF(I$438:I1421,I1421)&gt;1,"DOUBLON","OK")</f>
        <v>OK</v>
      </c>
      <c r="S1421" s="12" t="str">
        <v>Scotland</v>
      </c>
      <c r="T1421" s="12" t="str">
        <f t="shared" si="114"/>
        <v>ERREUR</v>
      </c>
      <c r="U1421" s="12" t="str">
        <f t="shared" si="115"/>
        <v>AUCUNE</v>
      </c>
      <c r="V1421" s="12" t="str" cm="1">
        <f t="array" ref="V1421">_xlfn.IFS(
ISNUMBER(SEARCH("USA",S1421)),"United States",
ISNUMBER(SEARCH("Republic of Ireland",S1421)),"Ireland",
ISNUMBER(SEARCH("Republic of Korea",S1421)),"South Korea",
ISNUMBER(SEARCH("Cape Verde",S1421)),"Cabo Verde",
ISNUMBER(SEARCH("Czechia",S1421)),"Czech Republic",
ISNUMBER(SEARCH("Türkiye",S1421)),"Turkey",
ISNUMBER(SEARCH("Ivory Coast",S1421)),"Côte d'Ivoire",
ISNUMBER(SEARCH("Korea Republic",S1421)),"South Korea",
ISNUMBER(SEARCH("Germany FR",S1421)),"FR Germany",
ISNUMBER(SEARCH("West Germany",S1421)),"FR Germany",
ISNUMBER(SEARCH("Germany DR",S1421)),"DR Germany",
ISNUMBER(SEARCH("Korea DPR",S1421)),"North Korea",
ISNUMBER(SEARCH("China PR",S1421)),"China",
ISNUMBER(SEARCH("IR Iran",S1421)),"Iran",
ISNUMBER(SEARCH("Congo DR",S1421)),"Democratic Republic of the Congo",
ISNUMBER(SEARCH("DR Congo",S1421)),"Democratic Republic of the Congo",
ISNUMBER(SEARCH("German DR",S1421)),"DR Germany",
ISNUMBER(SEARCH("rn""&gt;United Arab Emirates",S1421)),"United Arab Emirates",
ISNUMBER(SEARCH("rn""&gt;Republic of Ireland",S1421)),"Ireland",
ISNUMBER(SEARCH("rn""&gt;Bosnia and Herzegovina",S1421)),"Bosnia and Herzegovina",
ISNUMBER(SEARCH("rn""&gt;Trinidad and Tobago",S1421)),"Trinidad and Tobago",
ISNUMBER(SEARCH("rn""&gt;Serbia and Montenegro",S1421)),"Serbia and Montenegro",
ISNUMBER(SEARCH(_xlfn.UNICHAR(65533),S1421)),"Côte d'Ivoire",
TRUE,""
)</f>
        <v/>
      </c>
      <c r="W1421" s="12" t="str">
        <f t="shared" si="116"/>
        <v>Scotland</v>
      </c>
    </row>
    <row r="1422" spans="2:23">
      <c r="B1422" s="75">
        <v>985</v>
      </c>
      <c r="C1422" s="15" t="str">
        <v>Lionel Messi</v>
      </c>
      <c r="D1422" s="15">
        <v>38</v>
      </c>
      <c r="E1422" s="15" t="str">
        <v>Argentina</v>
      </c>
      <c r="F1422" s="15" t="str">
        <v>RW</v>
      </c>
      <c r="G1422" s="15" t="str">
        <v>Inter Miami CF</v>
      </c>
      <c r="H1422" s="15">
        <v>10</v>
      </c>
      <c r="I1422" s="15" t="str">
        <f t="shared" si="117"/>
        <v>985|Lionel Messi|38|Argentina|RW|Inter Miami CF|10</v>
      </c>
      <c r="J1422" s="15" t="str">
        <f>IF(COUNTIF(I$438:I1422,I1422)&gt;1,"DOUBLON","OK")</f>
        <v>OK</v>
      </c>
      <c r="S1422" s="12" t="str">
        <v>Scotland</v>
      </c>
      <c r="T1422" s="12" t="str">
        <f t="shared" si="114"/>
        <v>ERREUR</v>
      </c>
      <c r="U1422" s="12" t="str">
        <f t="shared" si="115"/>
        <v>AUCUNE</v>
      </c>
      <c r="V1422" s="12" t="str" cm="1">
        <f t="array" ref="V1422">_xlfn.IFS(
ISNUMBER(SEARCH("USA",S1422)),"United States",
ISNUMBER(SEARCH("Republic of Ireland",S1422)),"Ireland",
ISNUMBER(SEARCH("Republic of Korea",S1422)),"South Korea",
ISNUMBER(SEARCH("Cape Verde",S1422)),"Cabo Verde",
ISNUMBER(SEARCH("Czechia",S1422)),"Czech Republic",
ISNUMBER(SEARCH("Türkiye",S1422)),"Turkey",
ISNUMBER(SEARCH("Ivory Coast",S1422)),"Côte d'Ivoire",
ISNUMBER(SEARCH("Korea Republic",S1422)),"South Korea",
ISNUMBER(SEARCH("Germany FR",S1422)),"FR Germany",
ISNUMBER(SEARCH("West Germany",S1422)),"FR Germany",
ISNUMBER(SEARCH("Germany DR",S1422)),"DR Germany",
ISNUMBER(SEARCH("Korea DPR",S1422)),"North Korea",
ISNUMBER(SEARCH("China PR",S1422)),"China",
ISNUMBER(SEARCH("IR Iran",S1422)),"Iran",
ISNUMBER(SEARCH("Congo DR",S1422)),"Democratic Republic of the Congo",
ISNUMBER(SEARCH("DR Congo",S1422)),"Democratic Republic of the Congo",
ISNUMBER(SEARCH("German DR",S1422)),"DR Germany",
ISNUMBER(SEARCH("rn""&gt;United Arab Emirates",S1422)),"United Arab Emirates",
ISNUMBER(SEARCH("rn""&gt;Republic of Ireland",S1422)),"Ireland",
ISNUMBER(SEARCH("rn""&gt;Bosnia and Herzegovina",S1422)),"Bosnia and Herzegovina",
ISNUMBER(SEARCH("rn""&gt;Trinidad and Tobago",S1422)),"Trinidad and Tobago",
ISNUMBER(SEARCH("rn""&gt;Serbia and Montenegro",S1422)),"Serbia and Montenegro",
ISNUMBER(SEARCH(_xlfn.UNICHAR(65533),S1422)),"Côte d'Ivoire",
TRUE,""
)</f>
        <v/>
      </c>
      <c r="W1422" s="12" t="str">
        <f t="shared" si="116"/>
        <v>Scotland</v>
      </c>
    </row>
    <row r="1423" spans="2:23">
      <c r="B1423" s="75">
        <v>986</v>
      </c>
      <c r="C1423" s="15" t="str">
        <v>Julián Alvarez</v>
      </c>
      <c r="D1423" s="15">
        <v>26</v>
      </c>
      <c r="E1423" s="15" t="str">
        <v>Argentina</v>
      </c>
      <c r="F1423" s="15" t="str">
        <v>ST</v>
      </c>
      <c r="G1423" s="15" t="str">
        <v>Atlético Madrid</v>
      </c>
      <c r="H1423" s="15">
        <v>9</v>
      </c>
      <c r="I1423" s="15" t="str">
        <f t="shared" si="117"/>
        <v>986|Julián Alvarez|26|Argentina|ST|Atlético Madrid|9</v>
      </c>
      <c r="J1423" s="15" t="str">
        <f>IF(COUNTIF(I$438:I1423,I1423)&gt;1,"DOUBLON","OK")</f>
        <v>OK</v>
      </c>
      <c r="S1423" s="12" t="str">
        <v>Scotland</v>
      </c>
      <c r="T1423" s="12" t="str">
        <f t="shared" si="114"/>
        <v>ERREUR</v>
      </c>
      <c r="U1423" s="12" t="str">
        <f t="shared" si="115"/>
        <v>AUCUNE</v>
      </c>
      <c r="V1423" s="12" t="str" cm="1">
        <f t="array" ref="V1423">_xlfn.IFS(
ISNUMBER(SEARCH("USA",S1423)),"United States",
ISNUMBER(SEARCH("Republic of Ireland",S1423)),"Ireland",
ISNUMBER(SEARCH("Republic of Korea",S1423)),"South Korea",
ISNUMBER(SEARCH("Cape Verde",S1423)),"Cabo Verde",
ISNUMBER(SEARCH("Czechia",S1423)),"Czech Republic",
ISNUMBER(SEARCH("Türkiye",S1423)),"Turkey",
ISNUMBER(SEARCH("Ivory Coast",S1423)),"Côte d'Ivoire",
ISNUMBER(SEARCH("Korea Republic",S1423)),"South Korea",
ISNUMBER(SEARCH("Germany FR",S1423)),"FR Germany",
ISNUMBER(SEARCH("West Germany",S1423)),"FR Germany",
ISNUMBER(SEARCH("Germany DR",S1423)),"DR Germany",
ISNUMBER(SEARCH("Korea DPR",S1423)),"North Korea",
ISNUMBER(SEARCH("China PR",S1423)),"China",
ISNUMBER(SEARCH("IR Iran",S1423)),"Iran",
ISNUMBER(SEARCH("Congo DR",S1423)),"Democratic Republic of the Congo",
ISNUMBER(SEARCH("DR Congo",S1423)),"Democratic Republic of the Congo",
ISNUMBER(SEARCH("German DR",S1423)),"DR Germany",
ISNUMBER(SEARCH("rn""&gt;United Arab Emirates",S1423)),"United Arab Emirates",
ISNUMBER(SEARCH("rn""&gt;Republic of Ireland",S1423)),"Ireland",
ISNUMBER(SEARCH("rn""&gt;Bosnia and Herzegovina",S1423)),"Bosnia and Herzegovina",
ISNUMBER(SEARCH("rn""&gt;Trinidad and Tobago",S1423)),"Trinidad and Tobago",
ISNUMBER(SEARCH("rn""&gt;Serbia and Montenegro",S1423)),"Serbia and Montenegro",
ISNUMBER(SEARCH(_xlfn.UNICHAR(65533),S1423)),"Côte d'Ivoire",
TRUE,""
)</f>
        <v/>
      </c>
      <c r="W1423" s="12" t="str">
        <f t="shared" si="116"/>
        <v>Scotland</v>
      </c>
    </row>
    <row r="1424" spans="2:23">
      <c r="B1424" s="75">
        <v>987</v>
      </c>
      <c r="C1424" s="15" t="str">
        <v>José Manuel López</v>
      </c>
      <c r="D1424" s="15">
        <v>25</v>
      </c>
      <c r="E1424" s="15" t="str">
        <v>Argentina</v>
      </c>
      <c r="F1424" s="15" t="str">
        <v>ST</v>
      </c>
      <c r="G1424" s="15" t="str">
        <v>Palmeiras</v>
      </c>
      <c r="H1424" s="15">
        <v>21</v>
      </c>
      <c r="I1424" s="15" t="str">
        <f t="shared" si="117"/>
        <v>987|José Manuel López|25|Argentina|ST|Palmeiras|21</v>
      </c>
      <c r="J1424" s="15" t="str">
        <f>IF(COUNTIF(I$438:I1424,I1424)&gt;1,"DOUBLON","OK")</f>
        <v>OK</v>
      </c>
      <c r="S1424" s="12" t="str">
        <v>Scotland</v>
      </c>
      <c r="T1424" s="12" t="str">
        <f t="shared" si="114"/>
        <v>ERREUR</v>
      </c>
      <c r="U1424" s="12" t="str">
        <f t="shared" si="115"/>
        <v>AUCUNE</v>
      </c>
      <c r="V1424" s="12" t="str" cm="1">
        <f t="array" ref="V1424">_xlfn.IFS(
ISNUMBER(SEARCH("USA",S1424)),"United States",
ISNUMBER(SEARCH("Republic of Ireland",S1424)),"Ireland",
ISNUMBER(SEARCH("Republic of Korea",S1424)),"South Korea",
ISNUMBER(SEARCH("Cape Verde",S1424)),"Cabo Verde",
ISNUMBER(SEARCH("Czechia",S1424)),"Czech Republic",
ISNUMBER(SEARCH("Türkiye",S1424)),"Turkey",
ISNUMBER(SEARCH("Ivory Coast",S1424)),"Côte d'Ivoire",
ISNUMBER(SEARCH("Korea Republic",S1424)),"South Korea",
ISNUMBER(SEARCH("Germany FR",S1424)),"FR Germany",
ISNUMBER(SEARCH("West Germany",S1424)),"FR Germany",
ISNUMBER(SEARCH("Germany DR",S1424)),"DR Germany",
ISNUMBER(SEARCH("Korea DPR",S1424)),"North Korea",
ISNUMBER(SEARCH("China PR",S1424)),"China",
ISNUMBER(SEARCH("IR Iran",S1424)),"Iran",
ISNUMBER(SEARCH("Congo DR",S1424)),"Democratic Republic of the Congo",
ISNUMBER(SEARCH("DR Congo",S1424)),"Democratic Republic of the Congo",
ISNUMBER(SEARCH("German DR",S1424)),"DR Germany",
ISNUMBER(SEARCH("rn""&gt;United Arab Emirates",S1424)),"United Arab Emirates",
ISNUMBER(SEARCH("rn""&gt;Republic of Ireland",S1424)),"Ireland",
ISNUMBER(SEARCH("rn""&gt;Bosnia and Herzegovina",S1424)),"Bosnia and Herzegovina",
ISNUMBER(SEARCH("rn""&gt;Trinidad and Tobago",S1424)),"Trinidad and Tobago",
ISNUMBER(SEARCH("rn""&gt;Serbia and Montenegro",S1424)),"Serbia and Montenegro",
ISNUMBER(SEARCH(_xlfn.UNICHAR(65533),S1424)),"Côte d'Ivoire",
TRUE,""
)</f>
        <v/>
      </c>
      <c r="W1424" s="12" t="str">
        <f t="shared" si="116"/>
        <v>Scotland</v>
      </c>
    </row>
    <row r="1425" spans="2:23">
      <c r="B1425" s="75">
        <v>988</v>
      </c>
      <c r="C1425" s="15" t="str">
        <v>Lautaro Martínez</v>
      </c>
      <c r="D1425" s="15">
        <v>28</v>
      </c>
      <c r="E1425" s="15" t="str">
        <v>Argentina</v>
      </c>
      <c r="F1425" s="15" t="str">
        <v>ST</v>
      </c>
      <c r="G1425" s="15" t="str">
        <v>Inter Milan</v>
      </c>
      <c r="H1425" s="15">
        <v>22</v>
      </c>
      <c r="I1425" s="15" t="str">
        <f t="shared" si="117"/>
        <v>988|Lautaro Martínez|28|Argentina|ST|Inter Milan|22</v>
      </c>
      <c r="J1425" s="15" t="str">
        <f>IF(COUNTIF(I$438:I1425,I1425)&gt;1,"DOUBLON","OK")</f>
        <v>OK</v>
      </c>
      <c r="S1425" s="12" t="str">
        <v>Scotland</v>
      </c>
      <c r="T1425" s="12" t="str">
        <f t="shared" si="114"/>
        <v>ERREUR</v>
      </c>
      <c r="U1425" s="12" t="str">
        <f t="shared" si="115"/>
        <v>AUCUNE</v>
      </c>
      <c r="V1425" s="12" t="str" cm="1">
        <f t="array" ref="V1425">_xlfn.IFS(
ISNUMBER(SEARCH("USA",S1425)),"United States",
ISNUMBER(SEARCH("Republic of Ireland",S1425)),"Ireland",
ISNUMBER(SEARCH("Republic of Korea",S1425)),"South Korea",
ISNUMBER(SEARCH("Cape Verde",S1425)),"Cabo Verde",
ISNUMBER(SEARCH("Czechia",S1425)),"Czech Republic",
ISNUMBER(SEARCH("Türkiye",S1425)),"Turkey",
ISNUMBER(SEARCH("Ivory Coast",S1425)),"Côte d'Ivoire",
ISNUMBER(SEARCH("Korea Republic",S1425)),"South Korea",
ISNUMBER(SEARCH("Germany FR",S1425)),"FR Germany",
ISNUMBER(SEARCH("West Germany",S1425)),"FR Germany",
ISNUMBER(SEARCH("Germany DR",S1425)),"DR Germany",
ISNUMBER(SEARCH("Korea DPR",S1425)),"North Korea",
ISNUMBER(SEARCH("China PR",S1425)),"China",
ISNUMBER(SEARCH("IR Iran",S1425)),"Iran",
ISNUMBER(SEARCH("Congo DR",S1425)),"Democratic Republic of the Congo",
ISNUMBER(SEARCH("DR Congo",S1425)),"Democratic Republic of the Congo",
ISNUMBER(SEARCH("German DR",S1425)),"DR Germany",
ISNUMBER(SEARCH("rn""&gt;United Arab Emirates",S1425)),"United Arab Emirates",
ISNUMBER(SEARCH("rn""&gt;Republic of Ireland",S1425)),"Ireland",
ISNUMBER(SEARCH("rn""&gt;Bosnia and Herzegovina",S1425)),"Bosnia and Herzegovina",
ISNUMBER(SEARCH("rn""&gt;Trinidad and Tobago",S1425)),"Trinidad and Tobago",
ISNUMBER(SEARCH("rn""&gt;Serbia and Montenegro",S1425)),"Serbia and Montenegro",
ISNUMBER(SEARCH(_xlfn.UNICHAR(65533),S1425)),"Côte d'Ivoire",
TRUE,""
)</f>
        <v/>
      </c>
      <c r="W1425" s="12" t="str">
        <f t="shared" si="116"/>
        <v>Scotland</v>
      </c>
    </row>
    <row r="1426" spans="2:23">
      <c r="B1426" s="75">
        <v>989</v>
      </c>
      <c r="C1426" s="15" t="str">
        <v>Alexander Schlager</v>
      </c>
      <c r="D1426" s="15">
        <v>30</v>
      </c>
      <c r="E1426" s="15" t="str">
        <v>Austria</v>
      </c>
      <c r="F1426" s="15" t="str">
        <v>GK</v>
      </c>
      <c r="G1426" s="15" t="str">
        <v>Red Bull Salzburg</v>
      </c>
      <c r="H1426" s="15">
        <v>1</v>
      </c>
      <c r="I1426" s="15" t="str">
        <f t="shared" si="117"/>
        <v>989|Alexander Schlager|30|Austria|GK|Red Bull Salzburg|1</v>
      </c>
      <c r="J1426" s="15" t="str">
        <f>IF(COUNTIF(I$438:I1426,I1426)&gt;1,"DOUBLON","OK")</f>
        <v>OK</v>
      </c>
      <c r="S1426" s="12" t="str">
        <v>Scotland</v>
      </c>
      <c r="T1426" s="12" t="str">
        <f t="shared" si="114"/>
        <v>ERREUR</v>
      </c>
      <c r="U1426" s="12" t="str">
        <f t="shared" si="115"/>
        <v>AUCUNE</v>
      </c>
      <c r="V1426" s="12" t="str" cm="1">
        <f t="array" ref="V1426">_xlfn.IFS(
ISNUMBER(SEARCH("USA",S1426)),"United States",
ISNUMBER(SEARCH("Republic of Ireland",S1426)),"Ireland",
ISNUMBER(SEARCH("Republic of Korea",S1426)),"South Korea",
ISNUMBER(SEARCH("Cape Verde",S1426)),"Cabo Verde",
ISNUMBER(SEARCH("Czechia",S1426)),"Czech Republic",
ISNUMBER(SEARCH("Türkiye",S1426)),"Turkey",
ISNUMBER(SEARCH("Ivory Coast",S1426)),"Côte d'Ivoire",
ISNUMBER(SEARCH("Korea Republic",S1426)),"South Korea",
ISNUMBER(SEARCH("Germany FR",S1426)),"FR Germany",
ISNUMBER(SEARCH("West Germany",S1426)),"FR Germany",
ISNUMBER(SEARCH("Germany DR",S1426)),"DR Germany",
ISNUMBER(SEARCH("Korea DPR",S1426)),"North Korea",
ISNUMBER(SEARCH("China PR",S1426)),"China",
ISNUMBER(SEARCH("IR Iran",S1426)),"Iran",
ISNUMBER(SEARCH("Congo DR",S1426)),"Democratic Republic of the Congo",
ISNUMBER(SEARCH("DR Congo",S1426)),"Democratic Republic of the Congo",
ISNUMBER(SEARCH("German DR",S1426)),"DR Germany",
ISNUMBER(SEARCH("rn""&gt;United Arab Emirates",S1426)),"United Arab Emirates",
ISNUMBER(SEARCH("rn""&gt;Republic of Ireland",S1426)),"Ireland",
ISNUMBER(SEARCH("rn""&gt;Bosnia and Herzegovina",S1426)),"Bosnia and Herzegovina",
ISNUMBER(SEARCH("rn""&gt;Trinidad and Tobago",S1426)),"Trinidad and Tobago",
ISNUMBER(SEARCH("rn""&gt;Serbia and Montenegro",S1426)),"Serbia and Montenegro",
ISNUMBER(SEARCH(_xlfn.UNICHAR(65533),S1426)),"Côte d'Ivoire",
TRUE,""
)</f>
        <v/>
      </c>
      <c r="W1426" s="12" t="str">
        <f t="shared" si="116"/>
        <v>Scotland</v>
      </c>
    </row>
    <row r="1427" spans="2:23">
      <c r="B1427" s="75">
        <v>990</v>
      </c>
      <c r="C1427" s="15" t="str">
        <v>Florian Wiegele</v>
      </c>
      <c r="D1427" s="15">
        <v>25</v>
      </c>
      <c r="E1427" s="15" t="str">
        <v>Austria</v>
      </c>
      <c r="F1427" s="15" t="str">
        <v>GK</v>
      </c>
      <c r="G1427" s="15" t="str">
        <v>Viktoria Plzeň</v>
      </c>
      <c r="H1427" s="15">
        <v>12</v>
      </c>
      <c r="I1427" s="15" t="str">
        <f t="shared" si="117"/>
        <v>990|Florian Wiegele|25|Austria|GK|Viktoria Plzeň|12</v>
      </c>
      <c r="J1427" s="15" t="str">
        <f>IF(COUNTIF(I$438:I1427,I1427)&gt;1,"DOUBLON","OK")</f>
        <v>OK</v>
      </c>
      <c r="S1427" s="12" t="str">
        <v>Scotland</v>
      </c>
      <c r="T1427" s="12" t="str">
        <f t="shared" si="114"/>
        <v>ERREUR</v>
      </c>
      <c r="U1427" s="12" t="str">
        <f t="shared" si="115"/>
        <v>AUCUNE</v>
      </c>
      <c r="V1427" s="12" t="str" cm="1">
        <f t="array" ref="V1427">_xlfn.IFS(
ISNUMBER(SEARCH("USA",S1427)),"United States",
ISNUMBER(SEARCH("Republic of Ireland",S1427)),"Ireland",
ISNUMBER(SEARCH("Republic of Korea",S1427)),"South Korea",
ISNUMBER(SEARCH("Cape Verde",S1427)),"Cabo Verde",
ISNUMBER(SEARCH("Czechia",S1427)),"Czech Republic",
ISNUMBER(SEARCH("Türkiye",S1427)),"Turkey",
ISNUMBER(SEARCH("Ivory Coast",S1427)),"Côte d'Ivoire",
ISNUMBER(SEARCH("Korea Republic",S1427)),"South Korea",
ISNUMBER(SEARCH("Germany FR",S1427)),"FR Germany",
ISNUMBER(SEARCH("West Germany",S1427)),"FR Germany",
ISNUMBER(SEARCH("Germany DR",S1427)),"DR Germany",
ISNUMBER(SEARCH("Korea DPR",S1427)),"North Korea",
ISNUMBER(SEARCH("China PR",S1427)),"China",
ISNUMBER(SEARCH("IR Iran",S1427)),"Iran",
ISNUMBER(SEARCH("Congo DR",S1427)),"Democratic Republic of the Congo",
ISNUMBER(SEARCH("DR Congo",S1427)),"Democratic Republic of the Congo",
ISNUMBER(SEARCH("German DR",S1427)),"DR Germany",
ISNUMBER(SEARCH("rn""&gt;United Arab Emirates",S1427)),"United Arab Emirates",
ISNUMBER(SEARCH("rn""&gt;Republic of Ireland",S1427)),"Ireland",
ISNUMBER(SEARCH("rn""&gt;Bosnia and Herzegovina",S1427)),"Bosnia and Herzegovina",
ISNUMBER(SEARCH("rn""&gt;Trinidad and Tobago",S1427)),"Trinidad and Tobago",
ISNUMBER(SEARCH("rn""&gt;Serbia and Montenegro",S1427)),"Serbia and Montenegro",
ISNUMBER(SEARCH(_xlfn.UNICHAR(65533),S1427)),"Côte d'Ivoire",
TRUE,""
)</f>
        <v/>
      </c>
      <c r="W1427" s="12" t="str">
        <f t="shared" si="116"/>
        <v>Scotland</v>
      </c>
    </row>
    <row r="1428" spans="2:23">
      <c r="B1428" s="75">
        <v>991</v>
      </c>
      <c r="C1428" s="15" t="str">
        <v>Patrick Pentz</v>
      </c>
      <c r="D1428" s="15">
        <v>29</v>
      </c>
      <c r="E1428" s="15" t="str">
        <v>Austria</v>
      </c>
      <c r="F1428" s="15" t="str">
        <v>GK</v>
      </c>
      <c r="G1428" s="15" t="str">
        <v>Brøndby</v>
      </c>
      <c r="H1428" s="15">
        <v>13</v>
      </c>
      <c r="I1428" s="15" t="str">
        <f t="shared" si="117"/>
        <v>991|Patrick Pentz|29|Austria|GK|Brøndby|13</v>
      </c>
      <c r="J1428" s="15" t="str">
        <f>IF(COUNTIF(I$438:I1428,I1428)&gt;1,"DOUBLON","OK")</f>
        <v>OK</v>
      </c>
      <c r="S1428" s="12" t="str">
        <v>Scotland</v>
      </c>
      <c r="T1428" s="12" t="str">
        <f t="shared" si="114"/>
        <v>ERREUR</v>
      </c>
      <c r="U1428" s="12" t="str">
        <f t="shared" si="115"/>
        <v>AUCUNE</v>
      </c>
      <c r="V1428" s="12" t="str" cm="1">
        <f t="array" ref="V1428">_xlfn.IFS(
ISNUMBER(SEARCH("USA",S1428)),"United States",
ISNUMBER(SEARCH("Republic of Ireland",S1428)),"Ireland",
ISNUMBER(SEARCH("Republic of Korea",S1428)),"South Korea",
ISNUMBER(SEARCH("Cape Verde",S1428)),"Cabo Verde",
ISNUMBER(SEARCH("Czechia",S1428)),"Czech Republic",
ISNUMBER(SEARCH("Türkiye",S1428)),"Turkey",
ISNUMBER(SEARCH("Ivory Coast",S1428)),"Côte d'Ivoire",
ISNUMBER(SEARCH("Korea Republic",S1428)),"South Korea",
ISNUMBER(SEARCH("Germany FR",S1428)),"FR Germany",
ISNUMBER(SEARCH("West Germany",S1428)),"FR Germany",
ISNUMBER(SEARCH("Germany DR",S1428)),"DR Germany",
ISNUMBER(SEARCH("Korea DPR",S1428)),"North Korea",
ISNUMBER(SEARCH("China PR",S1428)),"China",
ISNUMBER(SEARCH("IR Iran",S1428)),"Iran",
ISNUMBER(SEARCH("Congo DR",S1428)),"Democratic Republic of the Congo",
ISNUMBER(SEARCH("DR Congo",S1428)),"Democratic Republic of the Congo",
ISNUMBER(SEARCH("German DR",S1428)),"DR Germany",
ISNUMBER(SEARCH("rn""&gt;United Arab Emirates",S1428)),"United Arab Emirates",
ISNUMBER(SEARCH("rn""&gt;Republic of Ireland",S1428)),"Ireland",
ISNUMBER(SEARCH("rn""&gt;Bosnia and Herzegovina",S1428)),"Bosnia and Herzegovina",
ISNUMBER(SEARCH("rn""&gt;Trinidad and Tobago",S1428)),"Trinidad and Tobago",
ISNUMBER(SEARCH("rn""&gt;Serbia and Montenegro",S1428)),"Serbia and Montenegro",
ISNUMBER(SEARCH(_xlfn.UNICHAR(65533),S1428)),"Côte d'Ivoire",
TRUE,""
)</f>
        <v/>
      </c>
      <c r="W1428" s="12" t="str">
        <f t="shared" si="116"/>
        <v>Scotland</v>
      </c>
    </row>
    <row r="1429" spans="2:23">
      <c r="B1429" s="75">
        <v>992</v>
      </c>
      <c r="C1429" s="15" t="str">
        <v>David Affengruber</v>
      </c>
      <c r="D1429" s="15">
        <v>25</v>
      </c>
      <c r="E1429" s="15" t="str">
        <v>Austria</v>
      </c>
      <c r="F1429" s="15" t="str">
        <v>CB</v>
      </c>
      <c r="G1429" s="15" t="str">
        <v>Elche</v>
      </c>
      <c r="H1429" s="15">
        <v>2</v>
      </c>
      <c r="I1429" s="15" t="str">
        <f t="shared" si="117"/>
        <v>992|David Affengruber|25|Austria|CB|Elche|2</v>
      </c>
      <c r="J1429" s="15" t="str">
        <f>IF(COUNTIF(I$438:I1429,I1429)&gt;1,"DOUBLON","OK")</f>
        <v>OK</v>
      </c>
      <c r="S1429" s="12" t="str">
        <v>Scotland</v>
      </c>
      <c r="T1429" s="12" t="str">
        <f t="shared" si="114"/>
        <v>ERREUR</v>
      </c>
      <c r="U1429" s="12" t="str">
        <f t="shared" si="115"/>
        <v>AUCUNE</v>
      </c>
      <c r="V1429" s="12" t="str" cm="1">
        <f t="array" ref="V1429">_xlfn.IFS(
ISNUMBER(SEARCH("USA",S1429)),"United States",
ISNUMBER(SEARCH("Republic of Ireland",S1429)),"Ireland",
ISNUMBER(SEARCH("Republic of Korea",S1429)),"South Korea",
ISNUMBER(SEARCH("Cape Verde",S1429)),"Cabo Verde",
ISNUMBER(SEARCH("Czechia",S1429)),"Czech Republic",
ISNUMBER(SEARCH("Türkiye",S1429)),"Turkey",
ISNUMBER(SEARCH("Ivory Coast",S1429)),"Côte d'Ivoire",
ISNUMBER(SEARCH("Korea Republic",S1429)),"South Korea",
ISNUMBER(SEARCH("Germany FR",S1429)),"FR Germany",
ISNUMBER(SEARCH("West Germany",S1429)),"FR Germany",
ISNUMBER(SEARCH("Germany DR",S1429)),"DR Germany",
ISNUMBER(SEARCH("Korea DPR",S1429)),"North Korea",
ISNUMBER(SEARCH("China PR",S1429)),"China",
ISNUMBER(SEARCH("IR Iran",S1429)),"Iran",
ISNUMBER(SEARCH("Congo DR",S1429)),"Democratic Republic of the Congo",
ISNUMBER(SEARCH("DR Congo",S1429)),"Democratic Republic of the Congo",
ISNUMBER(SEARCH("German DR",S1429)),"DR Germany",
ISNUMBER(SEARCH("rn""&gt;United Arab Emirates",S1429)),"United Arab Emirates",
ISNUMBER(SEARCH("rn""&gt;Republic of Ireland",S1429)),"Ireland",
ISNUMBER(SEARCH("rn""&gt;Bosnia and Herzegovina",S1429)),"Bosnia and Herzegovina",
ISNUMBER(SEARCH("rn""&gt;Trinidad and Tobago",S1429)),"Trinidad and Tobago",
ISNUMBER(SEARCH("rn""&gt;Serbia and Montenegro",S1429)),"Serbia and Montenegro",
ISNUMBER(SEARCH(_xlfn.UNICHAR(65533),S1429)),"Côte d'Ivoire",
TRUE,""
)</f>
        <v/>
      </c>
      <c r="W1429" s="12" t="str">
        <f t="shared" si="116"/>
        <v>Scotland</v>
      </c>
    </row>
    <row r="1430" spans="2:23">
      <c r="B1430" s="75">
        <v>993</v>
      </c>
      <c r="C1430" s="15" t="str">
        <v>Kevin Danso</v>
      </c>
      <c r="D1430" s="15">
        <v>27</v>
      </c>
      <c r="E1430" s="15" t="str">
        <v>Austria</v>
      </c>
      <c r="F1430" s="15" t="str">
        <v>CB</v>
      </c>
      <c r="G1430" s="15" t="str">
        <v>Tottenham Hotspur</v>
      </c>
      <c r="H1430" s="15">
        <v>3</v>
      </c>
      <c r="I1430" s="15" t="str">
        <f t="shared" si="117"/>
        <v>993|Kevin Danso|27|Austria|CB|Tottenham Hotspur|3</v>
      </c>
      <c r="J1430" s="15" t="str">
        <f>IF(COUNTIF(I$438:I1430,I1430)&gt;1,"DOUBLON","OK")</f>
        <v>OK</v>
      </c>
      <c r="S1430" s="12" t="str">
        <v>Scotland</v>
      </c>
      <c r="T1430" s="12" t="str">
        <f t="shared" si="114"/>
        <v>ERREUR</v>
      </c>
      <c r="U1430" s="12" t="str">
        <f t="shared" si="115"/>
        <v>AUCUNE</v>
      </c>
      <c r="V1430" s="12" t="str" cm="1">
        <f t="array" ref="V1430">_xlfn.IFS(
ISNUMBER(SEARCH("USA",S1430)),"United States",
ISNUMBER(SEARCH("Republic of Ireland",S1430)),"Ireland",
ISNUMBER(SEARCH("Republic of Korea",S1430)),"South Korea",
ISNUMBER(SEARCH("Cape Verde",S1430)),"Cabo Verde",
ISNUMBER(SEARCH("Czechia",S1430)),"Czech Republic",
ISNUMBER(SEARCH("Türkiye",S1430)),"Turkey",
ISNUMBER(SEARCH("Ivory Coast",S1430)),"Côte d'Ivoire",
ISNUMBER(SEARCH("Korea Republic",S1430)),"South Korea",
ISNUMBER(SEARCH("Germany FR",S1430)),"FR Germany",
ISNUMBER(SEARCH("West Germany",S1430)),"FR Germany",
ISNUMBER(SEARCH("Germany DR",S1430)),"DR Germany",
ISNUMBER(SEARCH("Korea DPR",S1430)),"North Korea",
ISNUMBER(SEARCH("China PR",S1430)),"China",
ISNUMBER(SEARCH("IR Iran",S1430)),"Iran",
ISNUMBER(SEARCH("Congo DR",S1430)),"Democratic Republic of the Congo",
ISNUMBER(SEARCH("DR Congo",S1430)),"Democratic Republic of the Congo",
ISNUMBER(SEARCH("German DR",S1430)),"DR Germany",
ISNUMBER(SEARCH("rn""&gt;United Arab Emirates",S1430)),"United Arab Emirates",
ISNUMBER(SEARCH("rn""&gt;Republic of Ireland",S1430)),"Ireland",
ISNUMBER(SEARCH("rn""&gt;Bosnia and Herzegovina",S1430)),"Bosnia and Herzegovina",
ISNUMBER(SEARCH("rn""&gt;Trinidad and Tobago",S1430)),"Trinidad and Tobago",
ISNUMBER(SEARCH("rn""&gt;Serbia and Montenegro",S1430)),"Serbia and Montenegro",
ISNUMBER(SEARCH(_xlfn.UNICHAR(65533),S1430)),"Côte d'Ivoire",
TRUE,""
)</f>
        <v/>
      </c>
      <c r="W1430" s="12" t="str">
        <f t="shared" si="116"/>
        <v>Scotland</v>
      </c>
    </row>
    <row r="1431" spans="2:23">
      <c r="B1431" s="75">
        <v>994</v>
      </c>
      <c r="C1431" s="15" t="str">
        <v>Philipp Lienhart</v>
      </c>
      <c r="D1431" s="15">
        <v>29</v>
      </c>
      <c r="E1431" s="15" t="str">
        <v>Austria</v>
      </c>
      <c r="F1431" s="15" t="str">
        <v>CB</v>
      </c>
      <c r="G1431" s="15" t="str">
        <v>SC Freiburg</v>
      </c>
      <c r="H1431" s="15">
        <v>15</v>
      </c>
      <c r="I1431" s="15" t="str">
        <f t="shared" si="117"/>
        <v>994|Philipp Lienhart|29|Austria|CB|SC Freiburg|15</v>
      </c>
      <c r="J1431" s="15" t="str">
        <f>IF(COUNTIF(I$438:I1431,I1431)&gt;1,"DOUBLON","OK")</f>
        <v>OK</v>
      </c>
      <c r="S1431" s="12" t="str">
        <v>Scotland</v>
      </c>
      <c r="T1431" s="12" t="str">
        <f t="shared" si="114"/>
        <v>ERREUR</v>
      </c>
      <c r="U1431" s="12" t="str">
        <f t="shared" si="115"/>
        <v>AUCUNE</v>
      </c>
      <c r="V1431" s="12" t="str" cm="1">
        <f t="array" ref="V1431">_xlfn.IFS(
ISNUMBER(SEARCH("USA",S1431)),"United States",
ISNUMBER(SEARCH("Republic of Ireland",S1431)),"Ireland",
ISNUMBER(SEARCH("Republic of Korea",S1431)),"South Korea",
ISNUMBER(SEARCH("Cape Verde",S1431)),"Cabo Verde",
ISNUMBER(SEARCH("Czechia",S1431)),"Czech Republic",
ISNUMBER(SEARCH("Türkiye",S1431)),"Turkey",
ISNUMBER(SEARCH("Ivory Coast",S1431)),"Côte d'Ivoire",
ISNUMBER(SEARCH("Korea Republic",S1431)),"South Korea",
ISNUMBER(SEARCH("Germany FR",S1431)),"FR Germany",
ISNUMBER(SEARCH("West Germany",S1431)),"FR Germany",
ISNUMBER(SEARCH("Germany DR",S1431)),"DR Germany",
ISNUMBER(SEARCH("Korea DPR",S1431)),"North Korea",
ISNUMBER(SEARCH("China PR",S1431)),"China",
ISNUMBER(SEARCH("IR Iran",S1431)),"Iran",
ISNUMBER(SEARCH("Congo DR",S1431)),"Democratic Republic of the Congo",
ISNUMBER(SEARCH("DR Congo",S1431)),"Democratic Republic of the Congo",
ISNUMBER(SEARCH("German DR",S1431)),"DR Germany",
ISNUMBER(SEARCH("rn""&gt;United Arab Emirates",S1431)),"United Arab Emirates",
ISNUMBER(SEARCH("rn""&gt;Republic of Ireland",S1431)),"Ireland",
ISNUMBER(SEARCH("rn""&gt;Bosnia and Herzegovina",S1431)),"Bosnia and Herzegovina",
ISNUMBER(SEARCH("rn""&gt;Trinidad and Tobago",S1431)),"Trinidad and Tobago",
ISNUMBER(SEARCH("rn""&gt;Serbia and Montenegro",S1431)),"Serbia and Montenegro",
ISNUMBER(SEARCH(_xlfn.UNICHAR(65533),S1431)),"Côte d'Ivoire",
TRUE,""
)</f>
        <v/>
      </c>
      <c r="W1431" s="12" t="str">
        <f t="shared" si="116"/>
        <v>Scotland</v>
      </c>
    </row>
    <row r="1432" spans="2:23">
      <c r="B1432" s="75">
        <v>995</v>
      </c>
      <c r="C1432" s="15" t="str">
        <v>Marco Friedl</v>
      </c>
      <c r="D1432" s="15">
        <v>28</v>
      </c>
      <c r="E1432" s="15" t="str">
        <v>Austria</v>
      </c>
      <c r="F1432" s="15" t="str">
        <v>CB</v>
      </c>
      <c r="G1432" s="15" t="str">
        <v>Werder Bremen</v>
      </c>
      <c r="H1432" s="15">
        <v>23</v>
      </c>
      <c r="I1432" s="15" t="str">
        <f t="shared" si="117"/>
        <v>995|Marco Friedl|28|Austria|CB|Werder Bremen|23</v>
      </c>
      <c r="J1432" s="15" t="str">
        <f>IF(COUNTIF(I$438:I1432,I1432)&gt;1,"DOUBLON","OK")</f>
        <v>OK</v>
      </c>
      <c r="S1432" s="12" t="str">
        <v>Scotland</v>
      </c>
      <c r="T1432" s="12" t="str">
        <f t="shared" si="114"/>
        <v>ERREUR</v>
      </c>
      <c r="U1432" s="12" t="str">
        <f t="shared" si="115"/>
        <v>AUCUNE</v>
      </c>
      <c r="V1432" s="12" t="str" cm="1">
        <f t="array" ref="V1432">_xlfn.IFS(
ISNUMBER(SEARCH("USA",S1432)),"United States",
ISNUMBER(SEARCH("Republic of Ireland",S1432)),"Ireland",
ISNUMBER(SEARCH("Republic of Korea",S1432)),"South Korea",
ISNUMBER(SEARCH("Cape Verde",S1432)),"Cabo Verde",
ISNUMBER(SEARCH("Czechia",S1432)),"Czech Republic",
ISNUMBER(SEARCH("Türkiye",S1432)),"Turkey",
ISNUMBER(SEARCH("Ivory Coast",S1432)),"Côte d'Ivoire",
ISNUMBER(SEARCH("Korea Republic",S1432)),"South Korea",
ISNUMBER(SEARCH("Germany FR",S1432)),"FR Germany",
ISNUMBER(SEARCH("West Germany",S1432)),"FR Germany",
ISNUMBER(SEARCH("Germany DR",S1432)),"DR Germany",
ISNUMBER(SEARCH("Korea DPR",S1432)),"North Korea",
ISNUMBER(SEARCH("China PR",S1432)),"China",
ISNUMBER(SEARCH("IR Iran",S1432)),"Iran",
ISNUMBER(SEARCH("Congo DR",S1432)),"Democratic Republic of the Congo",
ISNUMBER(SEARCH("DR Congo",S1432)),"Democratic Republic of the Congo",
ISNUMBER(SEARCH("German DR",S1432)),"DR Germany",
ISNUMBER(SEARCH("rn""&gt;United Arab Emirates",S1432)),"United Arab Emirates",
ISNUMBER(SEARCH("rn""&gt;Republic of Ireland",S1432)),"Ireland",
ISNUMBER(SEARCH("rn""&gt;Bosnia and Herzegovina",S1432)),"Bosnia and Herzegovina",
ISNUMBER(SEARCH("rn""&gt;Trinidad and Tobago",S1432)),"Trinidad and Tobago",
ISNUMBER(SEARCH("rn""&gt;Serbia and Montenegro",S1432)),"Serbia and Montenegro",
ISNUMBER(SEARCH(_xlfn.UNICHAR(65533),S1432)),"Côte d'Ivoire",
TRUE,""
)</f>
        <v/>
      </c>
      <c r="W1432" s="12" t="str">
        <f t="shared" si="116"/>
        <v>Scotland</v>
      </c>
    </row>
    <row r="1433" spans="2:23">
      <c r="B1433" s="75">
        <v>996</v>
      </c>
      <c r="C1433" s="15" t="str">
        <v>Michael Svoboda</v>
      </c>
      <c r="D1433" s="15">
        <v>27</v>
      </c>
      <c r="E1433" s="15" t="str">
        <v>Austria</v>
      </c>
      <c r="F1433" s="15" t="str">
        <v>CB</v>
      </c>
      <c r="G1433" s="15" t="str">
        <v>Venezia</v>
      </c>
      <c r="H1433" s="15">
        <v>25</v>
      </c>
      <c r="I1433" s="15" t="str">
        <f t="shared" si="117"/>
        <v>996|Michael Svoboda|27|Austria|CB|Venezia|25</v>
      </c>
      <c r="J1433" s="15" t="str">
        <f>IF(COUNTIF(I$438:I1433,I1433)&gt;1,"DOUBLON","OK")</f>
        <v>OK</v>
      </c>
      <c r="S1433" s="12" t="str">
        <v>Paraguay</v>
      </c>
      <c r="T1433" s="12" t="str">
        <f t="shared" si="114"/>
        <v>OK</v>
      </c>
      <c r="U1433" s="12" t="str">
        <f t="shared" si="115"/>
        <v>-</v>
      </c>
      <c r="V1433" s="12" t="str" cm="1">
        <f t="array" ref="V1433">_xlfn.IFS(
ISNUMBER(SEARCH("USA",S1433)),"United States",
ISNUMBER(SEARCH("Republic of Ireland",S1433)),"Ireland",
ISNUMBER(SEARCH("Republic of Korea",S1433)),"South Korea",
ISNUMBER(SEARCH("Cape Verde",S1433)),"Cabo Verde",
ISNUMBER(SEARCH("Czechia",S1433)),"Czech Republic",
ISNUMBER(SEARCH("Türkiye",S1433)),"Turkey",
ISNUMBER(SEARCH("Ivory Coast",S1433)),"Côte d'Ivoire",
ISNUMBER(SEARCH("Korea Republic",S1433)),"South Korea",
ISNUMBER(SEARCH("Germany FR",S1433)),"FR Germany",
ISNUMBER(SEARCH("West Germany",S1433)),"FR Germany",
ISNUMBER(SEARCH("Germany DR",S1433)),"DR Germany",
ISNUMBER(SEARCH("Korea DPR",S1433)),"North Korea",
ISNUMBER(SEARCH("China PR",S1433)),"China",
ISNUMBER(SEARCH("IR Iran",S1433)),"Iran",
ISNUMBER(SEARCH("Congo DR",S1433)),"Democratic Republic of the Congo",
ISNUMBER(SEARCH("DR Congo",S1433)),"Democratic Republic of the Congo",
ISNUMBER(SEARCH("German DR",S1433)),"DR Germany",
ISNUMBER(SEARCH("rn""&gt;United Arab Emirates",S1433)),"United Arab Emirates",
ISNUMBER(SEARCH("rn""&gt;Republic of Ireland",S1433)),"Ireland",
ISNUMBER(SEARCH("rn""&gt;Bosnia and Herzegovina",S1433)),"Bosnia and Herzegovina",
ISNUMBER(SEARCH("rn""&gt;Trinidad and Tobago",S1433)),"Trinidad and Tobago",
ISNUMBER(SEARCH("rn""&gt;Serbia and Montenegro",S1433)),"Serbia and Montenegro",
ISNUMBER(SEARCH(_xlfn.UNICHAR(65533),S1433)),"Côte d'Ivoire",
TRUE,""
)</f>
        <v/>
      </c>
      <c r="W1433" s="12" t="str">
        <f t="shared" si="116"/>
        <v>Paraguay</v>
      </c>
    </row>
    <row r="1434" spans="2:23">
      <c r="B1434" s="75">
        <v>997</v>
      </c>
      <c r="C1434" s="15" t="str">
        <v>David Alaba</v>
      </c>
      <c r="D1434" s="15">
        <v>33</v>
      </c>
      <c r="E1434" s="15" t="str">
        <v>Austria</v>
      </c>
      <c r="F1434" s="15" t="str">
        <v>LB</v>
      </c>
      <c r="G1434" s="15" t="str">
        <v>Real Madrid</v>
      </c>
      <c r="H1434" s="15">
        <v>8</v>
      </c>
      <c r="I1434" s="15" t="str">
        <f t="shared" si="117"/>
        <v>997|David Alaba|33|Austria|LB|Real Madrid|8</v>
      </c>
      <c r="J1434" s="15" t="str">
        <f>IF(COUNTIF(I$438:I1434,I1434)&gt;1,"DOUBLON","OK")</f>
        <v>OK</v>
      </c>
      <c r="S1434" s="12" t="str">
        <v>Paraguay</v>
      </c>
      <c r="T1434" s="12" t="str">
        <f t="shared" si="114"/>
        <v>OK</v>
      </c>
      <c r="U1434" s="12" t="str">
        <f t="shared" si="115"/>
        <v>-</v>
      </c>
      <c r="V1434" s="12" t="str" cm="1">
        <f t="array" ref="V1434">_xlfn.IFS(
ISNUMBER(SEARCH("USA",S1434)),"United States",
ISNUMBER(SEARCH("Republic of Ireland",S1434)),"Ireland",
ISNUMBER(SEARCH("Republic of Korea",S1434)),"South Korea",
ISNUMBER(SEARCH("Cape Verde",S1434)),"Cabo Verde",
ISNUMBER(SEARCH("Czechia",S1434)),"Czech Republic",
ISNUMBER(SEARCH("Türkiye",S1434)),"Turkey",
ISNUMBER(SEARCH("Ivory Coast",S1434)),"Côte d'Ivoire",
ISNUMBER(SEARCH("Korea Republic",S1434)),"South Korea",
ISNUMBER(SEARCH("Germany FR",S1434)),"FR Germany",
ISNUMBER(SEARCH("West Germany",S1434)),"FR Germany",
ISNUMBER(SEARCH("Germany DR",S1434)),"DR Germany",
ISNUMBER(SEARCH("Korea DPR",S1434)),"North Korea",
ISNUMBER(SEARCH("China PR",S1434)),"China",
ISNUMBER(SEARCH("IR Iran",S1434)),"Iran",
ISNUMBER(SEARCH("Congo DR",S1434)),"Democratic Republic of the Congo",
ISNUMBER(SEARCH("DR Congo",S1434)),"Democratic Republic of the Congo",
ISNUMBER(SEARCH("German DR",S1434)),"DR Germany",
ISNUMBER(SEARCH("rn""&gt;United Arab Emirates",S1434)),"United Arab Emirates",
ISNUMBER(SEARCH("rn""&gt;Republic of Ireland",S1434)),"Ireland",
ISNUMBER(SEARCH("rn""&gt;Bosnia and Herzegovina",S1434)),"Bosnia and Herzegovina",
ISNUMBER(SEARCH("rn""&gt;Trinidad and Tobago",S1434)),"Trinidad and Tobago",
ISNUMBER(SEARCH("rn""&gt;Serbia and Montenegro",S1434)),"Serbia and Montenegro",
ISNUMBER(SEARCH(_xlfn.UNICHAR(65533),S1434)),"Côte d'Ivoire",
TRUE,""
)</f>
        <v/>
      </c>
      <c r="W1434" s="12" t="str">
        <f t="shared" si="116"/>
        <v>Paraguay</v>
      </c>
    </row>
    <row r="1435" spans="2:23">
      <c r="B1435" s="75">
        <v>998</v>
      </c>
      <c r="C1435" s="15" t="str">
        <v>Phillipp Mwene</v>
      </c>
      <c r="D1435" s="15">
        <v>32</v>
      </c>
      <c r="E1435" s="15" t="str">
        <v>Austria</v>
      </c>
      <c r="F1435" s="15" t="str">
        <v>LB</v>
      </c>
      <c r="G1435" s="15" t="str">
        <v>Mainz 05</v>
      </c>
      <c r="H1435" s="15">
        <v>16</v>
      </c>
      <c r="I1435" s="15" t="str">
        <f t="shared" si="117"/>
        <v>998|Phillipp Mwene|32|Austria|LB|Mainz 05|16</v>
      </c>
      <c r="J1435" s="15" t="str">
        <f>IF(COUNTIF(I$438:I1435,I1435)&gt;1,"DOUBLON","OK")</f>
        <v>OK</v>
      </c>
      <c r="S1435" s="12" t="str">
        <v>Paraguay</v>
      </c>
      <c r="T1435" s="12" t="str">
        <f t="shared" si="114"/>
        <v>OK</v>
      </c>
      <c r="U1435" s="12" t="str">
        <f t="shared" si="115"/>
        <v>-</v>
      </c>
      <c r="V1435" s="12" t="str" cm="1">
        <f t="array" ref="V1435">_xlfn.IFS(
ISNUMBER(SEARCH("USA",S1435)),"United States",
ISNUMBER(SEARCH("Republic of Ireland",S1435)),"Ireland",
ISNUMBER(SEARCH("Republic of Korea",S1435)),"South Korea",
ISNUMBER(SEARCH("Cape Verde",S1435)),"Cabo Verde",
ISNUMBER(SEARCH("Czechia",S1435)),"Czech Republic",
ISNUMBER(SEARCH("Türkiye",S1435)),"Turkey",
ISNUMBER(SEARCH("Ivory Coast",S1435)),"Côte d'Ivoire",
ISNUMBER(SEARCH("Korea Republic",S1435)),"South Korea",
ISNUMBER(SEARCH("Germany FR",S1435)),"FR Germany",
ISNUMBER(SEARCH("West Germany",S1435)),"FR Germany",
ISNUMBER(SEARCH("Germany DR",S1435)),"DR Germany",
ISNUMBER(SEARCH("Korea DPR",S1435)),"North Korea",
ISNUMBER(SEARCH("China PR",S1435)),"China",
ISNUMBER(SEARCH("IR Iran",S1435)),"Iran",
ISNUMBER(SEARCH("Congo DR",S1435)),"Democratic Republic of the Congo",
ISNUMBER(SEARCH("DR Congo",S1435)),"Democratic Republic of the Congo",
ISNUMBER(SEARCH("German DR",S1435)),"DR Germany",
ISNUMBER(SEARCH("rn""&gt;United Arab Emirates",S1435)),"United Arab Emirates",
ISNUMBER(SEARCH("rn""&gt;Republic of Ireland",S1435)),"Ireland",
ISNUMBER(SEARCH("rn""&gt;Bosnia and Herzegovina",S1435)),"Bosnia and Herzegovina",
ISNUMBER(SEARCH("rn""&gt;Trinidad and Tobago",S1435)),"Trinidad and Tobago",
ISNUMBER(SEARCH("rn""&gt;Serbia and Montenegro",S1435)),"Serbia and Montenegro",
ISNUMBER(SEARCH(_xlfn.UNICHAR(65533),S1435)),"Côte d'Ivoire",
TRUE,""
)</f>
        <v/>
      </c>
      <c r="W1435" s="12" t="str">
        <f t="shared" si="116"/>
        <v>Paraguay</v>
      </c>
    </row>
    <row r="1436" spans="2:23">
      <c r="B1436" s="75">
        <v>999</v>
      </c>
      <c r="C1436" s="15" t="str">
        <v>Stefan Posch</v>
      </c>
      <c r="D1436" s="15">
        <v>29</v>
      </c>
      <c r="E1436" s="15" t="str">
        <v>Austria</v>
      </c>
      <c r="F1436" s="15" t="str">
        <v>RB</v>
      </c>
      <c r="G1436" s="15" t="str">
        <v>Mainz 05</v>
      </c>
      <c r="H1436" s="15">
        <v>5</v>
      </c>
      <c r="I1436" s="15" t="str">
        <f t="shared" si="117"/>
        <v>999|Stefan Posch|29|Austria|RB|Mainz 05|5</v>
      </c>
      <c r="J1436" s="15" t="str">
        <f>IF(COUNTIF(I$438:I1436,I1436)&gt;1,"DOUBLON","OK")</f>
        <v>OK</v>
      </c>
      <c r="S1436" s="12" t="str">
        <v>Paraguay</v>
      </c>
      <c r="T1436" s="12" t="str">
        <f t="shared" si="114"/>
        <v>OK</v>
      </c>
      <c r="U1436" s="12" t="str">
        <f t="shared" si="115"/>
        <v>-</v>
      </c>
      <c r="V1436" s="12" t="str" cm="1">
        <f t="array" ref="V1436">_xlfn.IFS(
ISNUMBER(SEARCH("USA",S1436)),"United States",
ISNUMBER(SEARCH("Republic of Ireland",S1436)),"Ireland",
ISNUMBER(SEARCH("Republic of Korea",S1436)),"South Korea",
ISNUMBER(SEARCH("Cape Verde",S1436)),"Cabo Verde",
ISNUMBER(SEARCH("Czechia",S1436)),"Czech Republic",
ISNUMBER(SEARCH("Türkiye",S1436)),"Turkey",
ISNUMBER(SEARCH("Ivory Coast",S1436)),"Côte d'Ivoire",
ISNUMBER(SEARCH("Korea Republic",S1436)),"South Korea",
ISNUMBER(SEARCH("Germany FR",S1436)),"FR Germany",
ISNUMBER(SEARCH("West Germany",S1436)),"FR Germany",
ISNUMBER(SEARCH("Germany DR",S1436)),"DR Germany",
ISNUMBER(SEARCH("Korea DPR",S1436)),"North Korea",
ISNUMBER(SEARCH("China PR",S1436)),"China",
ISNUMBER(SEARCH("IR Iran",S1436)),"Iran",
ISNUMBER(SEARCH("Congo DR",S1436)),"Democratic Republic of the Congo",
ISNUMBER(SEARCH("DR Congo",S1436)),"Democratic Republic of the Congo",
ISNUMBER(SEARCH("German DR",S1436)),"DR Germany",
ISNUMBER(SEARCH("rn""&gt;United Arab Emirates",S1436)),"United Arab Emirates",
ISNUMBER(SEARCH("rn""&gt;Republic of Ireland",S1436)),"Ireland",
ISNUMBER(SEARCH("rn""&gt;Bosnia and Herzegovina",S1436)),"Bosnia and Herzegovina",
ISNUMBER(SEARCH("rn""&gt;Trinidad and Tobago",S1436)),"Trinidad and Tobago",
ISNUMBER(SEARCH("rn""&gt;Serbia and Montenegro",S1436)),"Serbia and Montenegro",
ISNUMBER(SEARCH(_xlfn.UNICHAR(65533),S1436)),"Côte d'Ivoire",
TRUE,""
)</f>
        <v/>
      </c>
      <c r="W1436" s="12" t="str">
        <f t="shared" si="116"/>
        <v>Paraguay</v>
      </c>
    </row>
    <row r="1437" spans="2:23">
      <c r="B1437" s="75">
        <v>1000</v>
      </c>
      <c r="C1437" s="15" t="str">
        <v>Xaver Schlager</v>
      </c>
      <c r="D1437" s="15">
        <v>28</v>
      </c>
      <c r="E1437" s="15" t="str">
        <v>Austria</v>
      </c>
      <c r="F1437" s="15" t="str">
        <v>CDM</v>
      </c>
      <c r="G1437" s="15" t="str">
        <v>RB Leipzig</v>
      </c>
      <c r="H1437" s="15">
        <v>4</v>
      </c>
      <c r="I1437" s="15" t="str">
        <f t="shared" si="117"/>
        <v>1000|Xaver Schlager|28|Austria|CDM|RB Leipzig|4</v>
      </c>
      <c r="J1437" s="15" t="str">
        <f>IF(COUNTIF(I$438:I1437,I1437)&gt;1,"DOUBLON","OK")</f>
        <v>OK</v>
      </c>
      <c r="S1437" s="12" t="str">
        <v>Paraguay</v>
      </c>
      <c r="T1437" s="12" t="str">
        <f t="shared" si="114"/>
        <v>OK</v>
      </c>
      <c r="U1437" s="12" t="str">
        <f t="shared" si="115"/>
        <v>-</v>
      </c>
      <c r="V1437" s="12" t="str" cm="1">
        <f t="array" ref="V1437">_xlfn.IFS(
ISNUMBER(SEARCH("USA",S1437)),"United States",
ISNUMBER(SEARCH("Republic of Ireland",S1437)),"Ireland",
ISNUMBER(SEARCH("Republic of Korea",S1437)),"South Korea",
ISNUMBER(SEARCH("Cape Verde",S1437)),"Cabo Verde",
ISNUMBER(SEARCH("Czechia",S1437)),"Czech Republic",
ISNUMBER(SEARCH("Türkiye",S1437)),"Turkey",
ISNUMBER(SEARCH("Ivory Coast",S1437)),"Côte d'Ivoire",
ISNUMBER(SEARCH("Korea Republic",S1437)),"South Korea",
ISNUMBER(SEARCH("Germany FR",S1437)),"FR Germany",
ISNUMBER(SEARCH("West Germany",S1437)),"FR Germany",
ISNUMBER(SEARCH("Germany DR",S1437)),"DR Germany",
ISNUMBER(SEARCH("Korea DPR",S1437)),"North Korea",
ISNUMBER(SEARCH("China PR",S1437)),"China",
ISNUMBER(SEARCH("IR Iran",S1437)),"Iran",
ISNUMBER(SEARCH("Congo DR",S1437)),"Democratic Republic of the Congo",
ISNUMBER(SEARCH("DR Congo",S1437)),"Democratic Republic of the Congo",
ISNUMBER(SEARCH("German DR",S1437)),"DR Germany",
ISNUMBER(SEARCH("rn""&gt;United Arab Emirates",S1437)),"United Arab Emirates",
ISNUMBER(SEARCH("rn""&gt;Republic of Ireland",S1437)),"Ireland",
ISNUMBER(SEARCH("rn""&gt;Bosnia and Herzegovina",S1437)),"Bosnia and Herzegovina",
ISNUMBER(SEARCH("rn""&gt;Trinidad and Tobago",S1437)),"Trinidad and Tobago",
ISNUMBER(SEARCH("rn""&gt;Serbia and Montenegro",S1437)),"Serbia and Montenegro",
ISNUMBER(SEARCH(_xlfn.UNICHAR(65533),S1437)),"Côte d'Ivoire",
TRUE,""
)</f>
        <v/>
      </c>
      <c r="W1437" s="12" t="str">
        <f t="shared" si="116"/>
        <v>Paraguay</v>
      </c>
    </row>
    <row r="1438" spans="2:23">
      <c r="B1438" s="75">
        <v>1001</v>
      </c>
      <c r="C1438" s="15" t="str">
        <v>Nicolas Seiwald</v>
      </c>
      <c r="D1438" s="15">
        <v>25</v>
      </c>
      <c r="E1438" s="15" t="str">
        <v>Austria</v>
      </c>
      <c r="F1438" s="15" t="str">
        <v>CDM</v>
      </c>
      <c r="G1438" s="15" t="str">
        <v>RB Leipzig</v>
      </c>
      <c r="H1438" s="15">
        <v>6</v>
      </c>
      <c r="I1438" s="15" t="str">
        <f t="shared" si="117"/>
        <v>1001|Nicolas Seiwald|25|Austria|CDM|RB Leipzig|6</v>
      </c>
      <c r="J1438" s="15" t="str">
        <f>IF(COUNTIF(I$438:I1438,I1438)&gt;1,"DOUBLON","OK")</f>
        <v>OK</v>
      </c>
      <c r="S1438" s="12" t="str">
        <v>Paraguay</v>
      </c>
      <c r="T1438" s="12" t="str">
        <f t="shared" si="114"/>
        <v>OK</v>
      </c>
      <c r="U1438" s="12" t="str">
        <f t="shared" si="115"/>
        <v>-</v>
      </c>
      <c r="V1438" s="12" t="str" cm="1">
        <f t="array" ref="V1438">_xlfn.IFS(
ISNUMBER(SEARCH("USA",S1438)),"United States",
ISNUMBER(SEARCH("Republic of Ireland",S1438)),"Ireland",
ISNUMBER(SEARCH("Republic of Korea",S1438)),"South Korea",
ISNUMBER(SEARCH("Cape Verde",S1438)),"Cabo Verde",
ISNUMBER(SEARCH("Czechia",S1438)),"Czech Republic",
ISNUMBER(SEARCH("Türkiye",S1438)),"Turkey",
ISNUMBER(SEARCH("Ivory Coast",S1438)),"Côte d'Ivoire",
ISNUMBER(SEARCH("Korea Republic",S1438)),"South Korea",
ISNUMBER(SEARCH("Germany FR",S1438)),"FR Germany",
ISNUMBER(SEARCH("West Germany",S1438)),"FR Germany",
ISNUMBER(SEARCH("Germany DR",S1438)),"DR Germany",
ISNUMBER(SEARCH("Korea DPR",S1438)),"North Korea",
ISNUMBER(SEARCH("China PR",S1438)),"China",
ISNUMBER(SEARCH("IR Iran",S1438)),"Iran",
ISNUMBER(SEARCH("Congo DR",S1438)),"Democratic Republic of the Congo",
ISNUMBER(SEARCH("DR Congo",S1438)),"Democratic Republic of the Congo",
ISNUMBER(SEARCH("German DR",S1438)),"DR Germany",
ISNUMBER(SEARCH("rn""&gt;United Arab Emirates",S1438)),"United Arab Emirates",
ISNUMBER(SEARCH("rn""&gt;Republic of Ireland",S1438)),"Ireland",
ISNUMBER(SEARCH("rn""&gt;Bosnia and Herzegovina",S1438)),"Bosnia and Herzegovina",
ISNUMBER(SEARCH("rn""&gt;Trinidad and Tobago",S1438)),"Trinidad and Tobago",
ISNUMBER(SEARCH("rn""&gt;Serbia and Montenegro",S1438)),"Serbia and Montenegro",
ISNUMBER(SEARCH(_xlfn.UNICHAR(65533),S1438)),"Côte d'Ivoire",
TRUE,""
)</f>
        <v/>
      </c>
      <c r="W1438" s="12" t="str">
        <f t="shared" si="116"/>
        <v>Paraguay</v>
      </c>
    </row>
    <row r="1439" spans="2:23">
      <c r="B1439" s="75">
        <v>1002</v>
      </c>
      <c r="C1439" s="15" t="str">
        <v>Florian Grillitsch</v>
      </c>
      <c r="D1439" s="15">
        <v>30</v>
      </c>
      <c r="E1439" s="15" t="str">
        <v>Austria</v>
      </c>
      <c r="F1439" s="15" t="str">
        <v>CDM</v>
      </c>
      <c r="G1439" s="15" t="str">
        <v>Braga</v>
      </c>
      <c r="H1439" s="15">
        <v>10</v>
      </c>
      <c r="I1439" s="15" t="str">
        <f t="shared" si="117"/>
        <v>1002|Florian Grillitsch|30|Austria|CDM|Braga|10</v>
      </c>
      <c r="J1439" s="15" t="str">
        <f>IF(COUNTIF(I$438:I1439,I1439)&gt;1,"DOUBLON","OK")</f>
        <v>OK</v>
      </c>
      <c r="S1439" s="12" t="str">
        <v>Paraguay</v>
      </c>
      <c r="T1439" s="12" t="str">
        <f t="shared" si="114"/>
        <v>OK</v>
      </c>
      <c r="U1439" s="12" t="str">
        <f t="shared" si="115"/>
        <v>-</v>
      </c>
      <c r="V1439" s="12" t="str" cm="1">
        <f t="array" ref="V1439">_xlfn.IFS(
ISNUMBER(SEARCH("USA",S1439)),"United States",
ISNUMBER(SEARCH("Republic of Ireland",S1439)),"Ireland",
ISNUMBER(SEARCH("Republic of Korea",S1439)),"South Korea",
ISNUMBER(SEARCH("Cape Verde",S1439)),"Cabo Verde",
ISNUMBER(SEARCH("Czechia",S1439)),"Czech Republic",
ISNUMBER(SEARCH("Türkiye",S1439)),"Turkey",
ISNUMBER(SEARCH("Ivory Coast",S1439)),"Côte d'Ivoire",
ISNUMBER(SEARCH("Korea Republic",S1439)),"South Korea",
ISNUMBER(SEARCH("Germany FR",S1439)),"FR Germany",
ISNUMBER(SEARCH("West Germany",S1439)),"FR Germany",
ISNUMBER(SEARCH("Germany DR",S1439)),"DR Germany",
ISNUMBER(SEARCH("Korea DPR",S1439)),"North Korea",
ISNUMBER(SEARCH("China PR",S1439)),"China",
ISNUMBER(SEARCH("IR Iran",S1439)),"Iran",
ISNUMBER(SEARCH("Congo DR",S1439)),"Democratic Republic of the Congo",
ISNUMBER(SEARCH("DR Congo",S1439)),"Democratic Republic of the Congo",
ISNUMBER(SEARCH("German DR",S1439)),"DR Germany",
ISNUMBER(SEARCH("rn""&gt;United Arab Emirates",S1439)),"United Arab Emirates",
ISNUMBER(SEARCH("rn""&gt;Republic of Ireland",S1439)),"Ireland",
ISNUMBER(SEARCH("rn""&gt;Bosnia and Herzegovina",S1439)),"Bosnia and Herzegovina",
ISNUMBER(SEARCH("rn""&gt;Trinidad and Tobago",S1439)),"Trinidad and Tobago",
ISNUMBER(SEARCH("rn""&gt;Serbia and Montenegro",S1439)),"Serbia and Montenegro",
ISNUMBER(SEARCH(_xlfn.UNICHAR(65533),S1439)),"Côte d'Ivoire",
TRUE,""
)</f>
        <v/>
      </c>
      <c r="W1439" s="12" t="str">
        <f t="shared" si="116"/>
        <v>Paraguay</v>
      </c>
    </row>
    <row r="1440" spans="2:23">
      <c r="B1440" s="75">
        <v>1003</v>
      </c>
      <c r="C1440" s="15" t="str">
        <v>Marcel Sabitzer</v>
      </c>
      <c r="D1440" s="15">
        <v>32</v>
      </c>
      <c r="E1440" s="15" t="str">
        <v>Austria</v>
      </c>
      <c r="F1440" s="15" t="str">
        <v>CM</v>
      </c>
      <c r="G1440" s="15" t="str">
        <v>Borussia Dortmund</v>
      </c>
      <c r="H1440" s="15">
        <v>9</v>
      </c>
      <c r="I1440" s="15" t="str">
        <f t="shared" si="117"/>
        <v>1003|Marcel Sabitzer|32|Austria|CM|Borussia Dortmund|9</v>
      </c>
      <c r="J1440" s="15" t="str">
        <f>IF(COUNTIF(I$438:I1440,I1440)&gt;1,"DOUBLON","OK")</f>
        <v>OK</v>
      </c>
      <c r="S1440" s="12" t="str">
        <v>Paraguay</v>
      </c>
      <c r="T1440" s="12" t="str">
        <f t="shared" si="114"/>
        <v>OK</v>
      </c>
      <c r="U1440" s="12" t="str">
        <f t="shared" si="115"/>
        <v>-</v>
      </c>
      <c r="V1440" s="12" t="str" cm="1">
        <f t="array" ref="V1440">_xlfn.IFS(
ISNUMBER(SEARCH("USA",S1440)),"United States",
ISNUMBER(SEARCH("Republic of Ireland",S1440)),"Ireland",
ISNUMBER(SEARCH("Republic of Korea",S1440)),"South Korea",
ISNUMBER(SEARCH("Cape Verde",S1440)),"Cabo Verde",
ISNUMBER(SEARCH("Czechia",S1440)),"Czech Republic",
ISNUMBER(SEARCH("Türkiye",S1440)),"Turkey",
ISNUMBER(SEARCH("Ivory Coast",S1440)),"Côte d'Ivoire",
ISNUMBER(SEARCH("Korea Republic",S1440)),"South Korea",
ISNUMBER(SEARCH("Germany FR",S1440)),"FR Germany",
ISNUMBER(SEARCH("West Germany",S1440)),"FR Germany",
ISNUMBER(SEARCH("Germany DR",S1440)),"DR Germany",
ISNUMBER(SEARCH("Korea DPR",S1440)),"North Korea",
ISNUMBER(SEARCH("China PR",S1440)),"China",
ISNUMBER(SEARCH("IR Iran",S1440)),"Iran",
ISNUMBER(SEARCH("Congo DR",S1440)),"Democratic Republic of the Congo",
ISNUMBER(SEARCH("DR Congo",S1440)),"Democratic Republic of the Congo",
ISNUMBER(SEARCH("German DR",S1440)),"DR Germany",
ISNUMBER(SEARCH("rn""&gt;United Arab Emirates",S1440)),"United Arab Emirates",
ISNUMBER(SEARCH("rn""&gt;Republic of Ireland",S1440)),"Ireland",
ISNUMBER(SEARCH("rn""&gt;Bosnia and Herzegovina",S1440)),"Bosnia and Herzegovina",
ISNUMBER(SEARCH("rn""&gt;Trinidad and Tobago",S1440)),"Trinidad and Tobago",
ISNUMBER(SEARCH("rn""&gt;Serbia and Montenegro",S1440)),"Serbia and Montenegro",
ISNUMBER(SEARCH(_xlfn.UNICHAR(65533),S1440)),"Côte d'Ivoire",
TRUE,""
)</f>
        <v/>
      </c>
      <c r="W1440" s="12" t="str">
        <f t="shared" si="116"/>
        <v>Paraguay</v>
      </c>
    </row>
    <row r="1441" spans="2:23">
      <c r="B1441" s="75">
        <v>1004</v>
      </c>
      <c r="C1441" s="15" t="str">
        <v>Konrad Laimer</v>
      </c>
      <c r="D1441" s="15">
        <v>29</v>
      </c>
      <c r="E1441" s="15" t="str">
        <v>Austria</v>
      </c>
      <c r="F1441" s="15" t="str">
        <v>CM</v>
      </c>
      <c r="G1441" s="15" t="str">
        <v>Bayern Munich</v>
      </c>
      <c r="H1441" s="15">
        <v>20</v>
      </c>
      <c r="I1441" s="15" t="str">
        <f t="shared" si="117"/>
        <v>1004|Konrad Laimer|29|Austria|CM|Bayern Munich|20</v>
      </c>
      <c r="J1441" s="15" t="str">
        <f>IF(COUNTIF(I$438:I1441,I1441)&gt;1,"DOUBLON","OK")</f>
        <v>OK</v>
      </c>
      <c r="S1441" s="12" t="str">
        <v>Paraguay</v>
      </c>
      <c r="T1441" s="12" t="str">
        <f t="shared" ref="T1441:T1504" si="118">IF(COUNTIF(R$13:R$250,S1441)=1,"OK","ERREUR")</f>
        <v>OK</v>
      </c>
      <c r="U1441" s="12" t="str">
        <f t="shared" si="115"/>
        <v>-</v>
      </c>
      <c r="V1441" s="12" t="str" cm="1">
        <f t="array" ref="V1441">_xlfn.IFS(
ISNUMBER(SEARCH("USA",S1441)),"United States",
ISNUMBER(SEARCH("Republic of Ireland",S1441)),"Ireland",
ISNUMBER(SEARCH("Republic of Korea",S1441)),"South Korea",
ISNUMBER(SEARCH("Cape Verde",S1441)),"Cabo Verde",
ISNUMBER(SEARCH("Czechia",S1441)),"Czech Republic",
ISNUMBER(SEARCH("Türkiye",S1441)),"Turkey",
ISNUMBER(SEARCH("Ivory Coast",S1441)),"Côte d'Ivoire",
ISNUMBER(SEARCH("Korea Republic",S1441)),"South Korea",
ISNUMBER(SEARCH("Germany FR",S1441)),"FR Germany",
ISNUMBER(SEARCH("West Germany",S1441)),"FR Germany",
ISNUMBER(SEARCH("Germany DR",S1441)),"DR Germany",
ISNUMBER(SEARCH("Korea DPR",S1441)),"North Korea",
ISNUMBER(SEARCH("China PR",S1441)),"China",
ISNUMBER(SEARCH("IR Iran",S1441)),"Iran",
ISNUMBER(SEARCH("Congo DR",S1441)),"Democratic Republic of the Congo",
ISNUMBER(SEARCH("DR Congo",S1441)),"Democratic Republic of the Congo",
ISNUMBER(SEARCH("German DR",S1441)),"DR Germany",
ISNUMBER(SEARCH("rn""&gt;United Arab Emirates",S1441)),"United Arab Emirates",
ISNUMBER(SEARCH("rn""&gt;Republic of Ireland",S1441)),"Ireland",
ISNUMBER(SEARCH("rn""&gt;Bosnia and Herzegovina",S1441)),"Bosnia and Herzegovina",
ISNUMBER(SEARCH("rn""&gt;Trinidad and Tobago",S1441)),"Trinidad and Tobago",
ISNUMBER(SEARCH("rn""&gt;Serbia and Montenegro",S1441)),"Serbia and Montenegro",
ISNUMBER(SEARCH(_xlfn.UNICHAR(65533),S1441)),"Côte d'Ivoire",
TRUE,""
)</f>
        <v/>
      </c>
      <c r="W1441" s="12" t="str">
        <f t="shared" si="116"/>
        <v>Paraguay</v>
      </c>
    </row>
    <row r="1442" spans="2:23">
      <c r="B1442" s="75">
        <v>1005</v>
      </c>
      <c r="C1442" s="15" t="str">
        <v>Alexander Prass</v>
      </c>
      <c r="D1442" s="15">
        <v>25</v>
      </c>
      <c r="E1442" s="15" t="str">
        <v>Austria</v>
      </c>
      <c r="F1442" s="15" t="str">
        <v>CM</v>
      </c>
      <c r="G1442" s="15" t="str">
        <v>TSG Hoffenheim</v>
      </c>
      <c r="H1442" s="15">
        <v>22</v>
      </c>
      <c r="I1442" s="15" t="str">
        <f t="shared" si="117"/>
        <v>1005|Alexander Prass|25|Austria|CM|TSG Hoffenheim|22</v>
      </c>
      <c r="J1442" s="15" t="str">
        <f>IF(COUNTIF(I$438:I1442,I1442)&gt;1,"DOUBLON","OK")</f>
        <v>OK</v>
      </c>
      <c r="S1442" s="12" t="str">
        <v>Paraguay</v>
      </c>
      <c r="T1442" s="12" t="str">
        <f t="shared" si="118"/>
        <v>OK</v>
      </c>
      <c r="U1442" s="12" t="str">
        <f t="shared" ref="U1442:U1505" si="119">IF(OR(S1442="Scotland",S1442="England",S1442="Wales",S1442="Yugoslavia",S1442="Czechoslovakia",S1442="Northern Ireland",S1442="Soviet Union",S1442="Zaire",S1442="Dutch East Indies"),"AUCUNE",IF(OR(S1442="Cape Verde",S1442="USA",S1442="DR Congo",S1442="Republic of Korea",S1442="Germany FR",S1442="Germany DR",S1442="Czechia",S1442="Ivory Coast",S1442="Korea DPR",S1442="China PR",S1442="IR Iran",S1442="Türkiye",S1442="Congo DR",S1442="German DR",S1442="West Germany",S1442="Republic of Ireland",ISNUMBER(SEARCH("rn""&gt;United Arab Emirates",S1442)),ISNUMBER(SEARCH("rn""&gt;Republic of Ireland",S1442)),ISNUMBER(SEARCH("rn""&gt;Bosnia and Herzegovina",S1442)),ISNUMBER(SEARCH("rn""&gt;Trinidad and Tobago",S1442)),ISNUMBER(SEARCH("rn""&gt;Serbia and Montenegro",S1442)),ISNUMBER(SEARCH(_xlfn.UNICHAR(65533),S1442))),"RENOMMER","-"))</f>
        <v>-</v>
      </c>
      <c r="V1442" s="12" t="str" cm="1">
        <f t="array" ref="V1442">_xlfn.IFS(
ISNUMBER(SEARCH("USA",S1442)),"United States",
ISNUMBER(SEARCH("Republic of Ireland",S1442)),"Ireland",
ISNUMBER(SEARCH("Republic of Korea",S1442)),"South Korea",
ISNUMBER(SEARCH("Cape Verde",S1442)),"Cabo Verde",
ISNUMBER(SEARCH("Czechia",S1442)),"Czech Republic",
ISNUMBER(SEARCH("Türkiye",S1442)),"Turkey",
ISNUMBER(SEARCH("Ivory Coast",S1442)),"Côte d'Ivoire",
ISNUMBER(SEARCH("Korea Republic",S1442)),"South Korea",
ISNUMBER(SEARCH("Germany FR",S1442)),"FR Germany",
ISNUMBER(SEARCH("West Germany",S1442)),"FR Germany",
ISNUMBER(SEARCH("Germany DR",S1442)),"DR Germany",
ISNUMBER(SEARCH("Korea DPR",S1442)),"North Korea",
ISNUMBER(SEARCH("China PR",S1442)),"China",
ISNUMBER(SEARCH("IR Iran",S1442)),"Iran",
ISNUMBER(SEARCH("Congo DR",S1442)),"Democratic Republic of the Congo",
ISNUMBER(SEARCH("DR Congo",S1442)),"Democratic Republic of the Congo",
ISNUMBER(SEARCH("German DR",S1442)),"DR Germany",
ISNUMBER(SEARCH("rn""&gt;United Arab Emirates",S1442)),"United Arab Emirates",
ISNUMBER(SEARCH("rn""&gt;Republic of Ireland",S1442)),"Ireland",
ISNUMBER(SEARCH("rn""&gt;Bosnia and Herzegovina",S1442)),"Bosnia and Herzegovina",
ISNUMBER(SEARCH("rn""&gt;Trinidad and Tobago",S1442)),"Trinidad and Tobago",
ISNUMBER(SEARCH("rn""&gt;Serbia and Montenegro",S1442)),"Serbia and Montenegro",
ISNUMBER(SEARCH(_xlfn.UNICHAR(65533),S1442)),"Côte d'Ivoire",
TRUE,""
)</f>
        <v/>
      </c>
      <c r="W1442" s="12" t="str">
        <f t="shared" ref="W1442:W1505" si="120">IF(V1442="",S1442,V1442)</f>
        <v>Paraguay</v>
      </c>
    </row>
    <row r="1443" spans="2:23">
      <c r="B1443" s="75">
        <v>1006</v>
      </c>
      <c r="C1443" s="15" t="str">
        <v>Alessandro Schöpf</v>
      </c>
      <c r="D1443" s="15">
        <v>32</v>
      </c>
      <c r="E1443" s="15" t="str">
        <v>Austria</v>
      </c>
      <c r="F1443" s="15" t="str">
        <v>CM</v>
      </c>
      <c r="G1443" s="15" t="str">
        <v>Wolfsberger AC</v>
      </c>
      <c r="H1443" s="15">
        <v>26</v>
      </c>
      <c r="I1443" s="15" t="str">
        <f t="shared" si="117"/>
        <v>1006|Alessandro Schöpf|32|Austria|CM|Wolfsberger AC|26</v>
      </c>
      <c r="J1443" s="15" t="str">
        <f>IF(COUNTIF(I$438:I1443,I1443)&gt;1,"DOUBLON","OK")</f>
        <v>OK</v>
      </c>
      <c r="S1443" s="12" t="str">
        <v>Paraguay</v>
      </c>
      <c r="T1443" s="12" t="str">
        <f t="shared" si="118"/>
        <v>OK</v>
      </c>
      <c r="U1443" s="12" t="str">
        <f t="shared" si="119"/>
        <v>-</v>
      </c>
      <c r="V1443" s="12" t="str" cm="1">
        <f t="array" ref="V1443">_xlfn.IFS(
ISNUMBER(SEARCH("USA",S1443)),"United States",
ISNUMBER(SEARCH("Republic of Ireland",S1443)),"Ireland",
ISNUMBER(SEARCH("Republic of Korea",S1443)),"South Korea",
ISNUMBER(SEARCH("Cape Verde",S1443)),"Cabo Verde",
ISNUMBER(SEARCH("Czechia",S1443)),"Czech Republic",
ISNUMBER(SEARCH("Türkiye",S1443)),"Turkey",
ISNUMBER(SEARCH("Ivory Coast",S1443)),"Côte d'Ivoire",
ISNUMBER(SEARCH("Korea Republic",S1443)),"South Korea",
ISNUMBER(SEARCH("Germany FR",S1443)),"FR Germany",
ISNUMBER(SEARCH("West Germany",S1443)),"FR Germany",
ISNUMBER(SEARCH("Germany DR",S1443)),"DR Germany",
ISNUMBER(SEARCH("Korea DPR",S1443)),"North Korea",
ISNUMBER(SEARCH("China PR",S1443)),"China",
ISNUMBER(SEARCH("IR Iran",S1443)),"Iran",
ISNUMBER(SEARCH("Congo DR",S1443)),"Democratic Republic of the Congo",
ISNUMBER(SEARCH("DR Congo",S1443)),"Democratic Republic of the Congo",
ISNUMBER(SEARCH("German DR",S1443)),"DR Germany",
ISNUMBER(SEARCH("rn""&gt;United Arab Emirates",S1443)),"United Arab Emirates",
ISNUMBER(SEARCH("rn""&gt;Republic of Ireland",S1443)),"Ireland",
ISNUMBER(SEARCH("rn""&gt;Bosnia and Herzegovina",S1443)),"Bosnia and Herzegovina",
ISNUMBER(SEARCH("rn""&gt;Trinidad and Tobago",S1443)),"Trinidad and Tobago",
ISNUMBER(SEARCH("rn""&gt;Serbia and Montenegro",S1443)),"Serbia and Montenegro",
ISNUMBER(SEARCH(_xlfn.UNICHAR(65533),S1443)),"Côte d'Ivoire",
TRUE,""
)</f>
        <v/>
      </c>
      <c r="W1443" s="12" t="str">
        <f t="shared" si="120"/>
        <v>Paraguay</v>
      </c>
    </row>
    <row r="1444" spans="2:23">
      <c r="B1444" s="75">
        <v>1007</v>
      </c>
      <c r="C1444" s="15" t="str">
        <v>Carney Chukwuemeka</v>
      </c>
      <c r="D1444" s="15">
        <v>22</v>
      </c>
      <c r="E1444" s="15" t="str">
        <v>Austria</v>
      </c>
      <c r="F1444" s="15" t="str">
        <v>CAM</v>
      </c>
      <c r="G1444" s="15" t="str">
        <v>Borussia Dortmund</v>
      </c>
      <c r="H1444" s="15">
        <v>17</v>
      </c>
      <c r="I1444" s="15" t="str">
        <f t="shared" si="117"/>
        <v>1007|Carney Chukwuemeka|22|Austria|CAM|Borussia Dortmund|17</v>
      </c>
      <c r="J1444" s="15" t="str">
        <f>IF(COUNTIF(I$438:I1444,I1444)&gt;1,"DOUBLON","OK")</f>
        <v>OK</v>
      </c>
      <c r="S1444" s="12" t="str">
        <v>Paraguay</v>
      </c>
      <c r="T1444" s="12" t="str">
        <f t="shared" si="118"/>
        <v>OK</v>
      </c>
      <c r="U1444" s="12" t="str">
        <f t="shared" si="119"/>
        <v>-</v>
      </c>
      <c r="V1444" s="12" t="str" cm="1">
        <f t="array" ref="V1444">_xlfn.IFS(
ISNUMBER(SEARCH("USA",S1444)),"United States",
ISNUMBER(SEARCH("Republic of Ireland",S1444)),"Ireland",
ISNUMBER(SEARCH("Republic of Korea",S1444)),"South Korea",
ISNUMBER(SEARCH("Cape Verde",S1444)),"Cabo Verde",
ISNUMBER(SEARCH("Czechia",S1444)),"Czech Republic",
ISNUMBER(SEARCH("Türkiye",S1444)),"Turkey",
ISNUMBER(SEARCH("Ivory Coast",S1444)),"Côte d'Ivoire",
ISNUMBER(SEARCH("Korea Republic",S1444)),"South Korea",
ISNUMBER(SEARCH("Germany FR",S1444)),"FR Germany",
ISNUMBER(SEARCH("West Germany",S1444)),"FR Germany",
ISNUMBER(SEARCH("Germany DR",S1444)),"DR Germany",
ISNUMBER(SEARCH("Korea DPR",S1444)),"North Korea",
ISNUMBER(SEARCH("China PR",S1444)),"China",
ISNUMBER(SEARCH("IR Iran",S1444)),"Iran",
ISNUMBER(SEARCH("Congo DR",S1444)),"Democratic Republic of the Congo",
ISNUMBER(SEARCH("DR Congo",S1444)),"Democratic Republic of the Congo",
ISNUMBER(SEARCH("German DR",S1444)),"DR Germany",
ISNUMBER(SEARCH("rn""&gt;United Arab Emirates",S1444)),"United Arab Emirates",
ISNUMBER(SEARCH("rn""&gt;Republic of Ireland",S1444)),"Ireland",
ISNUMBER(SEARCH("rn""&gt;Bosnia and Herzegovina",S1444)),"Bosnia and Herzegovina",
ISNUMBER(SEARCH("rn""&gt;Trinidad and Tobago",S1444)),"Trinidad and Tobago",
ISNUMBER(SEARCH("rn""&gt;Serbia and Montenegro",S1444)),"Serbia and Montenegro",
ISNUMBER(SEARCH(_xlfn.UNICHAR(65533),S1444)),"Côte d'Ivoire",
TRUE,""
)</f>
        <v/>
      </c>
      <c r="W1444" s="12" t="str">
        <f t="shared" si="120"/>
        <v>Paraguay</v>
      </c>
    </row>
    <row r="1445" spans="2:23">
      <c r="B1445" s="75">
        <v>1008</v>
      </c>
      <c r="C1445" s="15" t="str">
        <v>Romano Schmid</v>
      </c>
      <c r="D1445" s="15">
        <v>26</v>
      </c>
      <c r="E1445" s="15" t="str">
        <v>Austria</v>
      </c>
      <c r="F1445" s="15" t="str">
        <v>CAM</v>
      </c>
      <c r="G1445" s="15" t="str">
        <v>Werder Bremen</v>
      </c>
      <c r="H1445" s="15">
        <v>18</v>
      </c>
      <c r="I1445" s="15" t="str">
        <f t="shared" si="117"/>
        <v>1008|Romano Schmid|26|Austria|CAM|Werder Bremen|18</v>
      </c>
      <c r="J1445" s="15" t="str">
        <f>IF(COUNTIF(I$438:I1445,I1445)&gt;1,"DOUBLON","OK")</f>
        <v>OK</v>
      </c>
      <c r="S1445" s="12" t="str">
        <v>Paraguay</v>
      </c>
      <c r="T1445" s="12" t="str">
        <f t="shared" si="118"/>
        <v>OK</v>
      </c>
      <c r="U1445" s="12" t="str">
        <f t="shared" si="119"/>
        <v>-</v>
      </c>
      <c r="V1445" s="12" t="str" cm="1">
        <f t="array" ref="V1445">_xlfn.IFS(
ISNUMBER(SEARCH("USA",S1445)),"United States",
ISNUMBER(SEARCH("Republic of Ireland",S1445)),"Ireland",
ISNUMBER(SEARCH("Republic of Korea",S1445)),"South Korea",
ISNUMBER(SEARCH("Cape Verde",S1445)),"Cabo Verde",
ISNUMBER(SEARCH("Czechia",S1445)),"Czech Republic",
ISNUMBER(SEARCH("Türkiye",S1445)),"Turkey",
ISNUMBER(SEARCH("Ivory Coast",S1445)),"Côte d'Ivoire",
ISNUMBER(SEARCH("Korea Republic",S1445)),"South Korea",
ISNUMBER(SEARCH("Germany FR",S1445)),"FR Germany",
ISNUMBER(SEARCH("West Germany",S1445)),"FR Germany",
ISNUMBER(SEARCH("Germany DR",S1445)),"DR Germany",
ISNUMBER(SEARCH("Korea DPR",S1445)),"North Korea",
ISNUMBER(SEARCH("China PR",S1445)),"China",
ISNUMBER(SEARCH("IR Iran",S1445)),"Iran",
ISNUMBER(SEARCH("Congo DR",S1445)),"Democratic Republic of the Congo",
ISNUMBER(SEARCH("DR Congo",S1445)),"Democratic Republic of the Congo",
ISNUMBER(SEARCH("German DR",S1445)),"DR Germany",
ISNUMBER(SEARCH("rn""&gt;United Arab Emirates",S1445)),"United Arab Emirates",
ISNUMBER(SEARCH("rn""&gt;Republic of Ireland",S1445)),"Ireland",
ISNUMBER(SEARCH("rn""&gt;Bosnia and Herzegovina",S1445)),"Bosnia and Herzegovina",
ISNUMBER(SEARCH("rn""&gt;Trinidad and Tobago",S1445)),"Trinidad and Tobago",
ISNUMBER(SEARCH("rn""&gt;Serbia and Montenegro",S1445)),"Serbia and Montenegro",
ISNUMBER(SEARCH(_xlfn.UNICHAR(65533),S1445)),"Côte d'Ivoire",
TRUE,""
)</f>
        <v/>
      </c>
      <c r="W1445" s="12" t="str">
        <f t="shared" si="120"/>
        <v>Paraguay</v>
      </c>
    </row>
    <row r="1446" spans="2:23">
      <c r="B1446" s="75">
        <v>1009</v>
      </c>
      <c r="C1446" s="15" t="str">
        <v>Dejan Ljubičić</v>
      </c>
      <c r="D1446" s="15">
        <v>28</v>
      </c>
      <c r="E1446" s="15" t="str">
        <v>Austria</v>
      </c>
      <c r="F1446" s="15" t="str">
        <v>CAM</v>
      </c>
      <c r="G1446" s="15" t="str">
        <v>Schalke 04</v>
      </c>
      <c r="H1446" s="15">
        <v>19</v>
      </c>
      <c r="I1446" s="15" t="str">
        <f t="shared" si="117"/>
        <v>1009|Dejan Ljubičić|28|Austria|CAM|Schalke 04|19</v>
      </c>
      <c r="J1446" s="15" t="str">
        <f>IF(COUNTIF(I$438:I1446,I1446)&gt;1,"DOUBLON","OK")</f>
        <v>OK</v>
      </c>
      <c r="S1446" s="12" t="str">
        <v>Paraguay</v>
      </c>
      <c r="T1446" s="12" t="str">
        <f t="shared" si="118"/>
        <v>OK</v>
      </c>
      <c r="U1446" s="12" t="str">
        <f t="shared" si="119"/>
        <v>-</v>
      </c>
      <c r="V1446" s="12" t="str" cm="1">
        <f t="array" ref="V1446">_xlfn.IFS(
ISNUMBER(SEARCH("USA",S1446)),"United States",
ISNUMBER(SEARCH("Republic of Ireland",S1446)),"Ireland",
ISNUMBER(SEARCH("Republic of Korea",S1446)),"South Korea",
ISNUMBER(SEARCH("Cape Verde",S1446)),"Cabo Verde",
ISNUMBER(SEARCH("Czechia",S1446)),"Czech Republic",
ISNUMBER(SEARCH("Türkiye",S1446)),"Turkey",
ISNUMBER(SEARCH("Ivory Coast",S1446)),"Côte d'Ivoire",
ISNUMBER(SEARCH("Korea Republic",S1446)),"South Korea",
ISNUMBER(SEARCH("Germany FR",S1446)),"FR Germany",
ISNUMBER(SEARCH("West Germany",S1446)),"FR Germany",
ISNUMBER(SEARCH("Germany DR",S1446)),"DR Germany",
ISNUMBER(SEARCH("Korea DPR",S1446)),"North Korea",
ISNUMBER(SEARCH("China PR",S1446)),"China",
ISNUMBER(SEARCH("IR Iran",S1446)),"Iran",
ISNUMBER(SEARCH("Congo DR",S1446)),"Democratic Republic of the Congo",
ISNUMBER(SEARCH("DR Congo",S1446)),"Democratic Republic of the Congo",
ISNUMBER(SEARCH("German DR",S1446)),"DR Germany",
ISNUMBER(SEARCH("rn""&gt;United Arab Emirates",S1446)),"United Arab Emirates",
ISNUMBER(SEARCH("rn""&gt;Republic of Ireland",S1446)),"Ireland",
ISNUMBER(SEARCH("rn""&gt;Bosnia and Herzegovina",S1446)),"Bosnia and Herzegovina",
ISNUMBER(SEARCH("rn""&gt;Trinidad and Tobago",S1446)),"Trinidad and Tobago",
ISNUMBER(SEARCH("rn""&gt;Serbia and Montenegro",S1446)),"Serbia and Montenegro",
ISNUMBER(SEARCH(_xlfn.UNICHAR(65533),S1446)),"Côte d'Ivoire",
TRUE,""
)</f>
        <v/>
      </c>
      <c r="W1446" s="12" t="str">
        <f t="shared" si="120"/>
        <v>Paraguay</v>
      </c>
    </row>
    <row r="1447" spans="2:23">
      <c r="B1447" s="75">
        <v>1010</v>
      </c>
      <c r="C1447" s="15" t="str">
        <v>Paul Wanner</v>
      </c>
      <c r="D1447" s="15">
        <v>20</v>
      </c>
      <c r="E1447" s="15" t="str">
        <v>Austria</v>
      </c>
      <c r="F1447" s="15" t="str">
        <v>CAM</v>
      </c>
      <c r="G1447" s="15" t="str">
        <v>PSV Eindhoven</v>
      </c>
      <c r="H1447" s="15">
        <v>24</v>
      </c>
      <c r="I1447" s="15" t="str">
        <f t="shared" si="117"/>
        <v>1010|Paul Wanner|20|Austria|CAM|PSV Eindhoven|24</v>
      </c>
      <c r="J1447" s="15" t="str">
        <f>IF(COUNTIF(I$438:I1447,I1447)&gt;1,"DOUBLON","OK")</f>
        <v>OK</v>
      </c>
      <c r="S1447" s="12" t="str">
        <v>Paraguay</v>
      </c>
      <c r="T1447" s="12" t="str">
        <f t="shared" si="118"/>
        <v>OK</v>
      </c>
      <c r="U1447" s="12" t="str">
        <f t="shared" si="119"/>
        <v>-</v>
      </c>
      <c r="V1447" s="12" t="str" cm="1">
        <f t="array" ref="V1447">_xlfn.IFS(
ISNUMBER(SEARCH("USA",S1447)),"United States",
ISNUMBER(SEARCH("Republic of Ireland",S1447)),"Ireland",
ISNUMBER(SEARCH("Republic of Korea",S1447)),"South Korea",
ISNUMBER(SEARCH("Cape Verde",S1447)),"Cabo Verde",
ISNUMBER(SEARCH("Czechia",S1447)),"Czech Republic",
ISNUMBER(SEARCH("Türkiye",S1447)),"Turkey",
ISNUMBER(SEARCH("Ivory Coast",S1447)),"Côte d'Ivoire",
ISNUMBER(SEARCH("Korea Republic",S1447)),"South Korea",
ISNUMBER(SEARCH("Germany FR",S1447)),"FR Germany",
ISNUMBER(SEARCH("West Germany",S1447)),"FR Germany",
ISNUMBER(SEARCH("Germany DR",S1447)),"DR Germany",
ISNUMBER(SEARCH("Korea DPR",S1447)),"North Korea",
ISNUMBER(SEARCH("China PR",S1447)),"China",
ISNUMBER(SEARCH("IR Iran",S1447)),"Iran",
ISNUMBER(SEARCH("Congo DR",S1447)),"Democratic Republic of the Congo",
ISNUMBER(SEARCH("DR Congo",S1447)),"Democratic Republic of the Congo",
ISNUMBER(SEARCH("German DR",S1447)),"DR Germany",
ISNUMBER(SEARCH("rn""&gt;United Arab Emirates",S1447)),"United Arab Emirates",
ISNUMBER(SEARCH("rn""&gt;Republic of Ireland",S1447)),"Ireland",
ISNUMBER(SEARCH("rn""&gt;Bosnia and Herzegovina",S1447)),"Bosnia and Herzegovina",
ISNUMBER(SEARCH("rn""&gt;Trinidad and Tobago",S1447)),"Trinidad and Tobago",
ISNUMBER(SEARCH("rn""&gt;Serbia and Montenegro",S1447)),"Serbia and Montenegro",
ISNUMBER(SEARCH(_xlfn.UNICHAR(65533),S1447)),"Côte d'Ivoire",
TRUE,""
)</f>
        <v/>
      </c>
      <c r="W1447" s="12" t="str">
        <f t="shared" si="120"/>
        <v>Paraguay</v>
      </c>
    </row>
    <row r="1448" spans="2:23">
      <c r="B1448" s="75">
        <v>1011</v>
      </c>
      <c r="C1448" s="15" t="str">
        <v>Patrick Wimmer</v>
      </c>
      <c r="D1448" s="15">
        <v>25</v>
      </c>
      <c r="E1448" s="15" t="str">
        <v>Austria</v>
      </c>
      <c r="F1448" s="15" t="str">
        <v>LW</v>
      </c>
      <c r="G1448" s="15" t="str">
        <v>VfL Wolfsburg</v>
      </c>
      <c r="H1448" s="15">
        <v>21</v>
      </c>
      <c r="I1448" s="15" t="str">
        <f t="shared" si="117"/>
        <v>1011|Patrick Wimmer|25|Austria|LW|VfL Wolfsburg|21</v>
      </c>
      <c r="J1448" s="15" t="str">
        <f>IF(COUNTIF(I$438:I1448,I1448)&gt;1,"DOUBLON","OK")</f>
        <v>OK</v>
      </c>
      <c r="S1448" s="12" t="str">
        <v>Paraguay</v>
      </c>
      <c r="T1448" s="12" t="str">
        <f t="shared" si="118"/>
        <v>OK</v>
      </c>
      <c r="U1448" s="12" t="str">
        <f t="shared" si="119"/>
        <v>-</v>
      </c>
      <c r="V1448" s="12" t="str" cm="1">
        <f t="array" ref="V1448">_xlfn.IFS(
ISNUMBER(SEARCH("USA",S1448)),"United States",
ISNUMBER(SEARCH("Republic of Ireland",S1448)),"Ireland",
ISNUMBER(SEARCH("Republic of Korea",S1448)),"South Korea",
ISNUMBER(SEARCH("Cape Verde",S1448)),"Cabo Verde",
ISNUMBER(SEARCH("Czechia",S1448)),"Czech Republic",
ISNUMBER(SEARCH("Türkiye",S1448)),"Turkey",
ISNUMBER(SEARCH("Ivory Coast",S1448)),"Côte d'Ivoire",
ISNUMBER(SEARCH("Korea Republic",S1448)),"South Korea",
ISNUMBER(SEARCH("Germany FR",S1448)),"FR Germany",
ISNUMBER(SEARCH("West Germany",S1448)),"FR Germany",
ISNUMBER(SEARCH("Germany DR",S1448)),"DR Germany",
ISNUMBER(SEARCH("Korea DPR",S1448)),"North Korea",
ISNUMBER(SEARCH("China PR",S1448)),"China",
ISNUMBER(SEARCH("IR Iran",S1448)),"Iran",
ISNUMBER(SEARCH("Congo DR",S1448)),"Democratic Republic of the Congo",
ISNUMBER(SEARCH("DR Congo",S1448)),"Democratic Republic of the Congo",
ISNUMBER(SEARCH("German DR",S1448)),"DR Germany",
ISNUMBER(SEARCH("rn""&gt;United Arab Emirates",S1448)),"United Arab Emirates",
ISNUMBER(SEARCH("rn""&gt;Republic of Ireland",S1448)),"Ireland",
ISNUMBER(SEARCH("rn""&gt;Bosnia and Herzegovina",S1448)),"Bosnia and Herzegovina",
ISNUMBER(SEARCH("rn""&gt;Trinidad and Tobago",S1448)),"Trinidad and Tobago",
ISNUMBER(SEARCH("rn""&gt;Serbia and Montenegro",S1448)),"Serbia and Montenegro",
ISNUMBER(SEARCH(_xlfn.UNICHAR(65533),S1448)),"Côte d'Ivoire",
TRUE,""
)</f>
        <v/>
      </c>
      <c r="W1448" s="12" t="str">
        <f t="shared" si="120"/>
        <v>Paraguay</v>
      </c>
    </row>
    <row r="1449" spans="2:23">
      <c r="B1449" s="75">
        <v>1012</v>
      </c>
      <c r="C1449" s="15" t="str">
        <v>Marko Arnautović</v>
      </c>
      <c r="D1449" s="15">
        <v>37</v>
      </c>
      <c r="E1449" s="15" t="str">
        <v>Austria</v>
      </c>
      <c r="F1449" s="15" t="str">
        <v>ST</v>
      </c>
      <c r="G1449" s="15" t="str">
        <v>Red Star Belgrade</v>
      </c>
      <c r="H1449" s="15">
        <v>7</v>
      </c>
      <c r="I1449" s="15" t="str">
        <f t="shared" si="117"/>
        <v>1012|Marko Arnautović|37|Austria|ST|Red Star Belgrade|7</v>
      </c>
      <c r="J1449" s="15" t="str">
        <f>IF(COUNTIF(I$438:I1449,I1449)&gt;1,"DOUBLON","OK")</f>
        <v>OK</v>
      </c>
      <c r="S1449" s="12" t="str">
        <v>Paraguay</v>
      </c>
      <c r="T1449" s="12" t="str">
        <f t="shared" si="118"/>
        <v>OK</v>
      </c>
      <c r="U1449" s="12" t="str">
        <f t="shared" si="119"/>
        <v>-</v>
      </c>
      <c r="V1449" s="12" t="str" cm="1">
        <f t="array" ref="V1449">_xlfn.IFS(
ISNUMBER(SEARCH("USA",S1449)),"United States",
ISNUMBER(SEARCH("Republic of Ireland",S1449)),"Ireland",
ISNUMBER(SEARCH("Republic of Korea",S1449)),"South Korea",
ISNUMBER(SEARCH("Cape Verde",S1449)),"Cabo Verde",
ISNUMBER(SEARCH("Czechia",S1449)),"Czech Republic",
ISNUMBER(SEARCH("Türkiye",S1449)),"Turkey",
ISNUMBER(SEARCH("Ivory Coast",S1449)),"Côte d'Ivoire",
ISNUMBER(SEARCH("Korea Republic",S1449)),"South Korea",
ISNUMBER(SEARCH("Germany FR",S1449)),"FR Germany",
ISNUMBER(SEARCH("West Germany",S1449)),"FR Germany",
ISNUMBER(SEARCH("Germany DR",S1449)),"DR Germany",
ISNUMBER(SEARCH("Korea DPR",S1449)),"North Korea",
ISNUMBER(SEARCH("China PR",S1449)),"China",
ISNUMBER(SEARCH("IR Iran",S1449)),"Iran",
ISNUMBER(SEARCH("Congo DR",S1449)),"Democratic Republic of the Congo",
ISNUMBER(SEARCH("DR Congo",S1449)),"Democratic Republic of the Congo",
ISNUMBER(SEARCH("German DR",S1449)),"DR Germany",
ISNUMBER(SEARCH("rn""&gt;United Arab Emirates",S1449)),"United Arab Emirates",
ISNUMBER(SEARCH("rn""&gt;Republic of Ireland",S1449)),"Ireland",
ISNUMBER(SEARCH("rn""&gt;Bosnia and Herzegovina",S1449)),"Bosnia and Herzegovina",
ISNUMBER(SEARCH("rn""&gt;Trinidad and Tobago",S1449)),"Trinidad and Tobago",
ISNUMBER(SEARCH("rn""&gt;Serbia and Montenegro",S1449)),"Serbia and Montenegro",
ISNUMBER(SEARCH(_xlfn.UNICHAR(65533),S1449)),"Côte d'Ivoire",
TRUE,""
)</f>
        <v/>
      </c>
      <c r="W1449" s="12" t="str">
        <f t="shared" si="120"/>
        <v>Paraguay</v>
      </c>
    </row>
    <row r="1450" spans="2:23">
      <c r="B1450" s="75">
        <v>1013</v>
      </c>
      <c r="C1450" s="15" t="str">
        <v>Michael Gregoritsch</v>
      </c>
      <c r="D1450" s="15">
        <v>32</v>
      </c>
      <c r="E1450" s="15" t="str">
        <v>Austria</v>
      </c>
      <c r="F1450" s="15" t="str">
        <v>ST</v>
      </c>
      <c r="G1450" s="15" t="str">
        <v>FC Augsburg</v>
      </c>
      <c r="H1450" s="15">
        <v>11</v>
      </c>
      <c r="I1450" s="15" t="str">
        <f t="shared" si="117"/>
        <v>1013|Michael Gregoritsch|32|Austria|ST|FC Augsburg|11</v>
      </c>
      <c r="J1450" s="15" t="str">
        <f>IF(COUNTIF(I$438:I1450,I1450)&gt;1,"DOUBLON","OK")</f>
        <v>OK</v>
      </c>
      <c r="S1450" s="12" t="str">
        <v>Paraguay</v>
      </c>
      <c r="T1450" s="12" t="str">
        <f t="shared" si="118"/>
        <v>OK</v>
      </c>
      <c r="U1450" s="12" t="str">
        <f t="shared" si="119"/>
        <v>-</v>
      </c>
      <c r="V1450" s="12" t="str" cm="1">
        <f t="array" ref="V1450">_xlfn.IFS(
ISNUMBER(SEARCH("USA",S1450)),"United States",
ISNUMBER(SEARCH("Republic of Ireland",S1450)),"Ireland",
ISNUMBER(SEARCH("Republic of Korea",S1450)),"South Korea",
ISNUMBER(SEARCH("Cape Verde",S1450)),"Cabo Verde",
ISNUMBER(SEARCH("Czechia",S1450)),"Czech Republic",
ISNUMBER(SEARCH("Türkiye",S1450)),"Turkey",
ISNUMBER(SEARCH("Ivory Coast",S1450)),"Côte d'Ivoire",
ISNUMBER(SEARCH("Korea Republic",S1450)),"South Korea",
ISNUMBER(SEARCH("Germany FR",S1450)),"FR Germany",
ISNUMBER(SEARCH("West Germany",S1450)),"FR Germany",
ISNUMBER(SEARCH("Germany DR",S1450)),"DR Germany",
ISNUMBER(SEARCH("Korea DPR",S1450)),"North Korea",
ISNUMBER(SEARCH("China PR",S1450)),"China",
ISNUMBER(SEARCH("IR Iran",S1450)),"Iran",
ISNUMBER(SEARCH("Congo DR",S1450)),"Democratic Republic of the Congo",
ISNUMBER(SEARCH("DR Congo",S1450)),"Democratic Republic of the Congo",
ISNUMBER(SEARCH("German DR",S1450)),"DR Germany",
ISNUMBER(SEARCH("rn""&gt;United Arab Emirates",S1450)),"United Arab Emirates",
ISNUMBER(SEARCH("rn""&gt;Republic of Ireland",S1450)),"Ireland",
ISNUMBER(SEARCH("rn""&gt;Bosnia and Herzegovina",S1450)),"Bosnia and Herzegovina",
ISNUMBER(SEARCH("rn""&gt;Trinidad and Tobago",S1450)),"Trinidad and Tobago",
ISNUMBER(SEARCH("rn""&gt;Serbia and Montenegro",S1450)),"Serbia and Montenegro",
ISNUMBER(SEARCH(_xlfn.UNICHAR(65533),S1450)),"Côte d'Ivoire",
TRUE,""
)</f>
        <v/>
      </c>
      <c r="W1450" s="12" t="str">
        <f t="shared" si="120"/>
        <v>Paraguay</v>
      </c>
    </row>
    <row r="1451" spans="2:23">
      <c r="B1451" s="75">
        <v>1014</v>
      </c>
      <c r="C1451" s="15" t="str">
        <v>Saša Kalajdžić</v>
      </c>
      <c r="D1451" s="15">
        <v>28</v>
      </c>
      <c r="E1451" s="15" t="str">
        <v>Austria</v>
      </c>
      <c r="F1451" s="15" t="str">
        <v>ST</v>
      </c>
      <c r="G1451" s="15" t="str">
        <v>LASK</v>
      </c>
      <c r="H1451" s="15">
        <v>14</v>
      </c>
      <c r="I1451" s="15" t="str">
        <f t="shared" si="117"/>
        <v>1014|Saša Kalajdžić|28|Austria|ST|LASK|14</v>
      </c>
      <c r="J1451" s="15" t="str">
        <f>IF(COUNTIF(I$438:I1451,I1451)&gt;1,"DOUBLON","OK")</f>
        <v>OK</v>
      </c>
      <c r="S1451" s="12" t="str">
        <v>Paraguay</v>
      </c>
      <c r="T1451" s="12" t="str">
        <f t="shared" si="118"/>
        <v>OK</v>
      </c>
      <c r="U1451" s="12" t="str">
        <f t="shared" si="119"/>
        <v>-</v>
      </c>
      <c r="V1451" s="12" t="str" cm="1">
        <f t="array" ref="V1451">_xlfn.IFS(
ISNUMBER(SEARCH("USA",S1451)),"United States",
ISNUMBER(SEARCH("Republic of Ireland",S1451)),"Ireland",
ISNUMBER(SEARCH("Republic of Korea",S1451)),"South Korea",
ISNUMBER(SEARCH("Cape Verde",S1451)),"Cabo Verde",
ISNUMBER(SEARCH("Czechia",S1451)),"Czech Republic",
ISNUMBER(SEARCH("Türkiye",S1451)),"Turkey",
ISNUMBER(SEARCH("Ivory Coast",S1451)),"Côte d'Ivoire",
ISNUMBER(SEARCH("Korea Republic",S1451)),"South Korea",
ISNUMBER(SEARCH("Germany FR",S1451)),"FR Germany",
ISNUMBER(SEARCH("West Germany",S1451)),"FR Germany",
ISNUMBER(SEARCH("Germany DR",S1451)),"DR Germany",
ISNUMBER(SEARCH("Korea DPR",S1451)),"North Korea",
ISNUMBER(SEARCH("China PR",S1451)),"China",
ISNUMBER(SEARCH("IR Iran",S1451)),"Iran",
ISNUMBER(SEARCH("Congo DR",S1451)),"Democratic Republic of the Congo",
ISNUMBER(SEARCH("DR Congo",S1451)),"Democratic Republic of the Congo",
ISNUMBER(SEARCH("German DR",S1451)),"DR Germany",
ISNUMBER(SEARCH("rn""&gt;United Arab Emirates",S1451)),"United Arab Emirates",
ISNUMBER(SEARCH("rn""&gt;Republic of Ireland",S1451)),"Ireland",
ISNUMBER(SEARCH("rn""&gt;Bosnia and Herzegovina",S1451)),"Bosnia and Herzegovina",
ISNUMBER(SEARCH("rn""&gt;Trinidad and Tobago",S1451)),"Trinidad and Tobago",
ISNUMBER(SEARCH("rn""&gt;Serbia and Montenegro",S1451)),"Serbia and Montenegro",
ISNUMBER(SEARCH(_xlfn.UNICHAR(65533),S1451)),"Côte d'Ivoire",
TRUE,""
)</f>
        <v/>
      </c>
      <c r="W1451" s="12" t="str">
        <f t="shared" si="120"/>
        <v>Paraguay</v>
      </c>
    </row>
    <row r="1452" spans="2:23">
      <c r="B1452" s="75">
        <v>1015</v>
      </c>
      <c r="C1452" s="15" t="str">
        <v>Yazeed Abulaila</v>
      </c>
      <c r="D1452" s="15">
        <v>33</v>
      </c>
      <c r="E1452" s="15" t="str">
        <v>Jordan</v>
      </c>
      <c r="F1452" s="15" t="str">
        <v>GK</v>
      </c>
      <c r="G1452" s="15" t="str">
        <v>Al-Hussein</v>
      </c>
      <c r="H1452" s="15">
        <v>1</v>
      </c>
      <c r="I1452" s="15" t="str">
        <f t="shared" si="117"/>
        <v>1015|Yazeed Abulaila|33|Jordan|GK|Al-Hussein|1</v>
      </c>
      <c r="J1452" s="15" t="str">
        <f>IF(COUNTIF(I$438:I1452,I1452)&gt;1,"DOUBLON","OK")</f>
        <v>OK</v>
      </c>
      <c r="S1452" s="12" t="str">
        <v>Paraguay</v>
      </c>
      <c r="T1452" s="12" t="str">
        <f t="shared" si="118"/>
        <v>OK</v>
      </c>
      <c r="U1452" s="12" t="str">
        <f t="shared" si="119"/>
        <v>-</v>
      </c>
      <c r="V1452" s="12" t="str" cm="1">
        <f t="array" ref="V1452">_xlfn.IFS(
ISNUMBER(SEARCH("USA",S1452)),"United States",
ISNUMBER(SEARCH("Republic of Ireland",S1452)),"Ireland",
ISNUMBER(SEARCH("Republic of Korea",S1452)),"South Korea",
ISNUMBER(SEARCH("Cape Verde",S1452)),"Cabo Verde",
ISNUMBER(SEARCH("Czechia",S1452)),"Czech Republic",
ISNUMBER(SEARCH("Türkiye",S1452)),"Turkey",
ISNUMBER(SEARCH("Ivory Coast",S1452)),"Côte d'Ivoire",
ISNUMBER(SEARCH("Korea Republic",S1452)),"South Korea",
ISNUMBER(SEARCH("Germany FR",S1452)),"FR Germany",
ISNUMBER(SEARCH("West Germany",S1452)),"FR Germany",
ISNUMBER(SEARCH("Germany DR",S1452)),"DR Germany",
ISNUMBER(SEARCH("Korea DPR",S1452)),"North Korea",
ISNUMBER(SEARCH("China PR",S1452)),"China",
ISNUMBER(SEARCH("IR Iran",S1452)),"Iran",
ISNUMBER(SEARCH("Congo DR",S1452)),"Democratic Republic of the Congo",
ISNUMBER(SEARCH("DR Congo",S1452)),"Democratic Republic of the Congo",
ISNUMBER(SEARCH("German DR",S1452)),"DR Germany",
ISNUMBER(SEARCH("rn""&gt;United Arab Emirates",S1452)),"United Arab Emirates",
ISNUMBER(SEARCH("rn""&gt;Republic of Ireland",S1452)),"Ireland",
ISNUMBER(SEARCH("rn""&gt;Bosnia and Herzegovina",S1452)),"Bosnia and Herzegovina",
ISNUMBER(SEARCH("rn""&gt;Trinidad and Tobago",S1452)),"Trinidad and Tobago",
ISNUMBER(SEARCH("rn""&gt;Serbia and Montenegro",S1452)),"Serbia and Montenegro",
ISNUMBER(SEARCH(_xlfn.UNICHAR(65533),S1452)),"Côte d'Ivoire",
TRUE,""
)</f>
        <v/>
      </c>
      <c r="W1452" s="12" t="str">
        <f t="shared" si="120"/>
        <v>Paraguay</v>
      </c>
    </row>
    <row r="1453" spans="2:23">
      <c r="B1453" s="75">
        <v>1016</v>
      </c>
      <c r="C1453" s="15" t="str">
        <v>Nour Bani Attiah</v>
      </c>
      <c r="D1453" s="15">
        <v>33</v>
      </c>
      <c r="E1453" s="15" t="str">
        <v>Jordan</v>
      </c>
      <c r="F1453" s="15" t="str">
        <v>GK</v>
      </c>
      <c r="G1453" s="15" t="str">
        <v>Al-Faisaly</v>
      </c>
      <c r="H1453" s="15">
        <v>12</v>
      </c>
      <c r="I1453" s="15" t="str">
        <f t="shared" si="117"/>
        <v>1016|Nour Bani Attiah|33|Jordan|GK|Al-Faisaly|12</v>
      </c>
      <c r="J1453" s="15" t="str">
        <f>IF(COUNTIF(I$438:I1453,I1453)&gt;1,"DOUBLON","OK")</f>
        <v>OK</v>
      </c>
      <c r="S1453" s="12" t="str">
        <v>Paraguay</v>
      </c>
      <c r="T1453" s="12" t="str">
        <f t="shared" si="118"/>
        <v>OK</v>
      </c>
      <c r="U1453" s="12" t="str">
        <f t="shared" si="119"/>
        <v>-</v>
      </c>
      <c r="V1453" s="12" t="str" cm="1">
        <f t="array" ref="V1453">_xlfn.IFS(
ISNUMBER(SEARCH("USA",S1453)),"United States",
ISNUMBER(SEARCH("Republic of Ireland",S1453)),"Ireland",
ISNUMBER(SEARCH("Republic of Korea",S1453)),"South Korea",
ISNUMBER(SEARCH("Cape Verde",S1453)),"Cabo Verde",
ISNUMBER(SEARCH("Czechia",S1453)),"Czech Republic",
ISNUMBER(SEARCH("Türkiye",S1453)),"Turkey",
ISNUMBER(SEARCH("Ivory Coast",S1453)),"Côte d'Ivoire",
ISNUMBER(SEARCH("Korea Republic",S1453)),"South Korea",
ISNUMBER(SEARCH("Germany FR",S1453)),"FR Germany",
ISNUMBER(SEARCH("West Germany",S1453)),"FR Germany",
ISNUMBER(SEARCH("Germany DR",S1453)),"DR Germany",
ISNUMBER(SEARCH("Korea DPR",S1453)),"North Korea",
ISNUMBER(SEARCH("China PR",S1453)),"China",
ISNUMBER(SEARCH("IR Iran",S1453)),"Iran",
ISNUMBER(SEARCH("Congo DR",S1453)),"Democratic Republic of the Congo",
ISNUMBER(SEARCH("DR Congo",S1453)),"Democratic Republic of the Congo",
ISNUMBER(SEARCH("German DR",S1453)),"DR Germany",
ISNUMBER(SEARCH("rn""&gt;United Arab Emirates",S1453)),"United Arab Emirates",
ISNUMBER(SEARCH("rn""&gt;Republic of Ireland",S1453)),"Ireland",
ISNUMBER(SEARCH("rn""&gt;Bosnia and Herzegovina",S1453)),"Bosnia and Herzegovina",
ISNUMBER(SEARCH("rn""&gt;Trinidad and Tobago",S1453)),"Trinidad and Tobago",
ISNUMBER(SEARCH("rn""&gt;Serbia and Montenegro",S1453)),"Serbia and Montenegro",
ISNUMBER(SEARCH(_xlfn.UNICHAR(65533),S1453)),"Côte d'Ivoire",
TRUE,""
)</f>
        <v/>
      </c>
      <c r="W1453" s="12" t="str">
        <f t="shared" si="120"/>
        <v>Paraguay</v>
      </c>
    </row>
    <row r="1454" spans="2:23">
      <c r="B1454" s="75">
        <v>1017</v>
      </c>
      <c r="C1454" s="15" t="str">
        <v>Abdallah Al-Fakhouri</v>
      </c>
      <c r="D1454" s="15">
        <v>26</v>
      </c>
      <c r="E1454" s="15" t="str">
        <v>Jordan</v>
      </c>
      <c r="F1454" s="15" t="str">
        <v>GK</v>
      </c>
      <c r="G1454" s="15" t="str">
        <v>Al-Wehdat</v>
      </c>
      <c r="H1454" s="15">
        <v>22</v>
      </c>
      <c r="I1454" s="15" t="str">
        <f t="shared" si="117"/>
        <v>1017|Abdallah Al-Fakhouri|26|Jordan|GK|Al-Wehdat|22</v>
      </c>
      <c r="J1454" s="15" t="str">
        <f>IF(COUNTIF(I$438:I1454,I1454)&gt;1,"DOUBLON","OK")</f>
        <v>OK</v>
      </c>
      <c r="S1454" s="12" t="str">
        <v>Paraguay</v>
      </c>
      <c r="T1454" s="12" t="str">
        <f t="shared" si="118"/>
        <v>OK</v>
      </c>
      <c r="U1454" s="12" t="str">
        <f t="shared" si="119"/>
        <v>-</v>
      </c>
      <c r="V1454" s="12" t="str" cm="1">
        <f t="array" ref="V1454">_xlfn.IFS(
ISNUMBER(SEARCH("USA",S1454)),"United States",
ISNUMBER(SEARCH("Republic of Ireland",S1454)),"Ireland",
ISNUMBER(SEARCH("Republic of Korea",S1454)),"South Korea",
ISNUMBER(SEARCH("Cape Verde",S1454)),"Cabo Verde",
ISNUMBER(SEARCH("Czechia",S1454)),"Czech Republic",
ISNUMBER(SEARCH("Türkiye",S1454)),"Turkey",
ISNUMBER(SEARCH("Ivory Coast",S1454)),"Côte d'Ivoire",
ISNUMBER(SEARCH("Korea Republic",S1454)),"South Korea",
ISNUMBER(SEARCH("Germany FR",S1454)),"FR Germany",
ISNUMBER(SEARCH("West Germany",S1454)),"FR Germany",
ISNUMBER(SEARCH("Germany DR",S1454)),"DR Germany",
ISNUMBER(SEARCH("Korea DPR",S1454)),"North Korea",
ISNUMBER(SEARCH("China PR",S1454)),"China",
ISNUMBER(SEARCH("IR Iran",S1454)),"Iran",
ISNUMBER(SEARCH("Congo DR",S1454)),"Democratic Republic of the Congo",
ISNUMBER(SEARCH("DR Congo",S1454)),"Democratic Republic of the Congo",
ISNUMBER(SEARCH("German DR",S1454)),"DR Germany",
ISNUMBER(SEARCH("rn""&gt;United Arab Emirates",S1454)),"United Arab Emirates",
ISNUMBER(SEARCH("rn""&gt;Republic of Ireland",S1454)),"Ireland",
ISNUMBER(SEARCH("rn""&gt;Bosnia and Herzegovina",S1454)),"Bosnia and Herzegovina",
ISNUMBER(SEARCH("rn""&gt;Trinidad and Tobago",S1454)),"Trinidad and Tobago",
ISNUMBER(SEARCH("rn""&gt;Serbia and Montenegro",S1454)),"Serbia and Montenegro",
ISNUMBER(SEARCH(_xlfn.UNICHAR(65533),S1454)),"Côte d'Ivoire",
TRUE,""
)</f>
        <v/>
      </c>
      <c r="W1454" s="12" t="str">
        <f t="shared" si="120"/>
        <v>Paraguay</v>
      </c>
    </row>
    <row r="1455" spans="2:23">
      <c r="B1455" s="75">
        <v>1018</v>
      </c>
      <c r="C1455" s="15" t="str">
        <v>Abdallah Nasib</v>
      </c>
      <c r="D1455" s="15">
        <v>32</v>
      </c>
      <c r="E1455" s="15" t="str">
        <v>Jordan</v>
      </c>
      <c r="F1455" s="15" t="str">
        <v>CB</v>
      </c>
      <c r="G1455" s="15" t="str">
        <v>Al-Zawraa</v>
      </c>
      <c r="H1455" s="15">
        <v>3</v>
      </c>
      <c r="I1455" s="15" t="str">
        <f t="shared" si="117"/>
        <v>1018|Abdallah Nasib|32|Jordan|CB|Al-Zawraa|3</v>
      </c>
      <c r="J1455" s="15" t="str">
        <f>IF(COUNTIF(I$438:I1455,I1455)&gt;1,"DOUBLON","OK")</f>
        <v>OK</v>
      </c>
      <c r="S1455" s="12" t="str">
        <v>Paraguay</v>
      </c>
      <c r="T1455" s="12" t="str">
        <f t="shared" si="118"/>
        <v>OK</v>
      </c>
      <c r="U1455" s="12" t="str">
        <f t="shared" si="119"/>
        <v>-</v>
      </c>
      <c r="V1455" s="12" t="str" cm="1">
        <f t="array" ref="V1455">_xlfn.IFS(
ISNUMBER(SEARCH("USA",S1455)),"United States",
ISNUMBER(SEARCH("Republic of Ireland",S1455)),"Ireland",
ISNUMBER(SEARCH("Republic of Korea",S1455)),"South Korea",
ISNUMBER(SEARCH("Cape Verde",S1455)),"Cabo Verde",
ISNUMBER(SEARCH("Czechia",S1455)),"Czech Republic",
ISNUMBER(SEARCH("Türkiye",S1455)),"Turkey",
ISNUMBER(SEARCH("Ivory Coast",S1455)),"Côte d'Ivoire",
ISNUMBER(SEARCH("Korea Republic",S1455)),"South Korea",
ISNUMBER(SEARCH("Germany FR",S1455)),"FR Germany",
ISNUMBER(SEARCH("West Germany",S1455)),"FR Germany",
ISNUMBER(SEARCH("Germany DR",S1455)),"DR Germany",
ISNUMBER(SEARCH("Korea DPR",S1455)),"North Korea",
ISNUMBER(SEARCH("China PR",S1455)),"China",
ISNUMBER(SEARCH("IR Iran",S1455)),"Iran",
ISNUMBER(SEARCH("Congo DR",S1455)),"Democratic Republic of the Congo",
ISNUMBER(SEARCH("DR Congo",S1455)),"Democratic Republic of the Congo",
ISNUMBER(SEARCH("German DR",S1455)),"DR Germany",
ISNUMBER(SEARCH("rn""&gt;United Arab Emirates",S1455)),"United Arab Emirates",
ISNUMBER(SEARCH("rn""&gt;Republic of Ireland",S1455)),"Ireland",
ISNUMBER(SEARCH("rn""&gt;Bosnia and Herzegovina",S1455)),"Bosnia and Herzegovina",
ISNUMBER(SEARCH("rn""&gt;Trinidad and Tobago",S1455)),"Trinidad and Tobago",
ISNUMBER(SEARCH("rn""&gt;Serbia and Montenegro",S1455)),"Serbia and Montenegro",
ISNUMBER(SEARCH(_xlfn.UNICHAR(65533),S1455)),"Côte d'Ivoire",
TRUE,""
)</f>
        <v/>
      </c>
      <c r="W1455" s="12" t="str">
        <f t="shared" si="120"/>
        <v>Paraguay</v>
      </c>
    </row>
    <row r="1456" spans="2:23">
      <c r="B1456" s="75">
        <v>1019</v>
      </c>
      <c r="C1456" s="15" t="str">
        <v>Husam Abu Dahab</v>
      </c>
      <c r="D1456" s="15">
        <v>26</v>
      </c>
      <c r="E1456" s="15" t="str">
        <v>Jordan</v>
      </c>
      <c r="F1456" s="15" t="str">
        <v>CB</v>
      </c>
      <c r="G1456" s="15" t="str">
        <v>Al-Faisaly</v>
      </c>
      <c r="H1456" s="15">
        <v>4</v>
      </c>
      <c r="I1456" s="15" t="str">
        <f t="shared" si="117"/>
        <v>1019|Husam Abu Dahab|26|Jordan|CB|Al-Faisaly|4</v>
      </c>
      <c r="J1456" s="15" t="str">
        <f>IF(COUNTIF(I$438:I1456,I1456)&gt;1,"DOUBLON","OK")</f>
        <v>OK</v>
      </c>
      <c r="S1456" s="12" t="str">
        <v>Paraguay</v>
      </c>
      <c r="T1456" s="12" t="str">
        <f t="shared" si="118"/>
        <v>OK</v>
      </c>
      <c r="U1456" s="12" t="str">
        <f t="shared" si="119"/>
        <v>-</v>
      </c>
      <c r="V1456" s="12" t="str" cm="1">
        <f t="array" ref="V1456">_xlfn.IFS(
ISNUMBER(SEARCH("USA",S1456)),"United States",
ISNUMBER(SEARCH("Republic of Ireland",S1456)),"Ireland",
ISNUMBER(SEARCH("Republic of Korea",S1456)),"South Korea",
ISNUMBER(SEARCH("Cape Verde",S1456)),"Cabo Verde",
ISNUMBER(SEARCH("Czechia",S1456)),"Czech Republic",
ISNUMBER(SEARCH("Türkiye",S1456)),"Turkey",
ISNUMBER(SEARCH("Ivory Coast",S1456)),"Côte d'Ivoire",
ISNUMBER(SEARCH("Korea Republic",S1456)),"South Korea",
ISNUMBER(SEARCH("Germany FR",S1456)),"FR Germany",
ISNUMBER(SEARCH("West Germany",S1456)),"FR Germany",
ISNUMBER(SEARCH("Germany DR",S1456)),"DR Germany",
ISNUMBER(SEARCH("Korea DPR",S1456)),"North Korea",
ISNUMBER(SEARCH("China PR",S1456)),"China",
ISNUMBER(SEARCH("IR Iran",S1456)),"Iran",
ISNUMBER(SEARCH("Congo DR",S1456)),"Democratic Republic of the Congo",
ISNUMBER(SEARCH("DR Congo",S1456)),"Democratic Republic of the Congo",
ISNUMBER(SEARCH("German DR",S1456)),"DR Germany",
ISNUMBER(SEARCH("rn""&gt;United Arab Emirates",S1456)),"United Arab Emirates",
ISNUMBER(SEARCH("rn""&gt;Republic of Ireland",S1456)),"Ireland",
ISNUMBER(SEARCH("rn""&gt;Bosnia and Herzegovina",S1456)),"Bosnia and Herzegovina",
ISNUMBER(SEARCH("rn""&gt;Trinidad and Tobago",S1456)),"Trinidad and Tobago",
ISNUMBER(SEARCH("rn""&gt;Serbia and Montenegro",S1456)),"Serbia and Montenegro",
ISNUMBER(SEARCH(_xlfn.UNICHAR(65533),S1456)),"Côte d'Ivoire",
TRUE,""
)</f>
        <v/>
      </c>
      <c r="W1456" s="12" t="str">
        <f t="shared" si="120"/>
        <v>Paraguay</v>
      </c>
    </row>
    <row r="1457" spans="2:23">
      <c r="B1457" s="75">
        <v>1020</v>
      </c>
      <c r="C1457" s="15" t="str">
        <v>Yazan Al-Arab</v>
      </c>
      <c r="D1457" s="15">
        <v>30</v>
      </c>
      <c r="E1457" s="15" t="str">
        <v>Jordan</v>
      </c>
      <c r="F1457" s="15" t="str">
        <v>CB</v>
      </c>
      <c r="G1457" s="15" t="str">
        <v>FC Seoul</v>
      </c>
      <c r="H1457" s="15">
        <v>5</v>
      </c>
      <c r="I1457" s="15" t="str">
        <f t="shared" si="117"/>
        <v>1020|Yazan Al-Arab|30|Jordan|CB|FC Seoul|5</v>
      </c>
      <c r="J1457" s="15" t="str">
        <f>IF(COUNTIF(I$438:I1457,I1457)&gt;1,"DOUBLON","OK")</f>
        <v>OK</v>
      </c>
      <c r="S1457" s="12" t="str">
        <v>Paraguay</v>
      </c>
      <c r="T1457" s="12" t="str">
        <f t="shared" si="118"/>
        <v>OK</v>
      </c>
      <c r="U1457" s="12" t="str">
        <f t="shared" si="119"/>
        <v>-</v>
      </c>
      <c r="V1457" s="12" t="str" cm="1">
        <f t="array" ref="V1457">_xlfn.IFS(
ISNUMBER(SEARCH("USA",S1457)),"United States",
ISNUMBER(SEARCH("Republic of Ireland",S1457)),"Ireland",
ISNUMBER(SEARCH("Republic of Korea",S1457)),"South Korea",
ISNUMBER(SEARCH("Cape Verde",S1457)),"Cabo Verde",
ISNUMBER(SEARCH("Czechia",S1457)),"Czech Republic",
ISNUMBER(SEARCH("Türkiye",S1457)),"Turkey",
ISNUMBER(SEARCH("Ivory Coast",S1457)),"Côte d'Ivoire",
ISNUMBER(SEARCH("Korea Republic",S1457)),"South Korea",
ISNUMBER(SEARCH("Germany FR",S1457)),"FR Germany",
ISNUMBER(SEARCH("West Germany",S1457)),"FR Germany",
ISNUMBER(SEARCH("Germany DR",S1457)),"DR Germany",
ISNUMBER(SEARCH("Korea DPR",S1457)),"North Korea",
ISNUMBER(SEARCH("China PR",S1457)),"China",
ISNUMBER(SEARCH("IR Iran",S1457)),"Iran",
ISNUMBER(SEARCH("Congo DR",S1457)),"Democratic Republic of the Congo",
ISNUMBER(SEARCH("DR Congo",S1457)),"Democratic Republic of the Congo",
ISNUMBER(SEARCH("German DR",S1457)),"DR Germany",
ISNUMBER(SEARCH("rn""&gt;United Arab Emirates",S1457)),"United Arab Emirates",
ISNUMBER(SEARCH("rn""&gt;Republic of Ireland",S1457)),"Ireland",
ISNUMBER(SEARCH("rn""&gt;Bosnia and Herzegovina",S1457)),"Bosnia and Herzegovina",
ISNUMBER(SEARCH("rn""&gt;Trinidad and Tobago",S1457)),"Trinidad and Tobago",
ISNUMBER(SEARCH("rn""&gt;Serbia and Montenegro",S1457)),"Serbia and Montenegro",
ISNUMBER(SEARCH(_xlfn.UNICHAR(65533),S1457)),"Côte d'Ivoire",
TRUE,""
)</f>
        <v/>
      </c>
      <c r="W1457" s="12" t="str">
        <f t="shared" si="120"/>
        <v>Paraguay</v>
      </c>
    </row>
    <row r="1458" spans="2:23">
      <c r="B1458" s="75">
        <v>1021</v>
      </c>
      <c r="C1458" s="15" t="str">
        <v>Salim Obaid</v>
      </c>
      <c r="D1458" s="15">
        <v>34</v>
      </c>
      <c r="E1458" s="15" t="str">
        <v>Jordan</v>
      </c>
      <c r="F1458" s="15" t="str">
        <v>CB</v>
      </c>
      <c r="G1458" s="15" t="str">
        <v>Al-Hussein</v>
      </c>
      <c r="H1458" s="15">
        <v>17</v>
      </c>
      <c r="I1458" s="15" t="str">
        <f t="shared" si="117"/>
        <v>1021|Salim Obaid|34|Jordan|CB|Al-Hussein|17</v>
      </c>
      <c r="J1458" s="15" t="str">
        <f>IF(COUNTIF(I$438:I1458,I1458)&gt;1,"DOUBLON","OK")</f>
        <v>OK</v>
      </c>
      <c r="S1458" s="12" t="str">
        <v>Paraguay</v>
      </c>
      <c r="T1458" s="12" t="str">
        <f t="shared" si="118"/>
        <v>OK</v>
      </c>
      <c r="U1458" s="12" t="str">
        <f t="shared" si="119"/>
        <v>-</v>
      </c>
      <c r="V1458" s="12" t="str" cm="1">
        <f t="array" ref="V1458">_xlfn.IFS(
ISNUMBER(SEARCH("USA",S1458)),"United States",
ISNUMBER(SEARCH("Republic of Ireland",S1458)),"Ireland",
ISNUMBER(SEARCH("Republic of Korea",S1458)),"South Korea",
ISNUMBER(SEARCH("Cape Verde",S1458)),"Cabo Verde",
ISNUMBER(SEARCH("Czechia",S1458)),"Czech Republic",
ISNUMBER(SEARCH("Türkiye",S1458)),"Turkey",
ISNUMBER(SEARCH("Ivory Coast",S1458)),"Côte d'Ivoire",
ISNUMBER(SEARCH("Korea Republic",S1458)),"South Korea",
ISNUMBER(SEARCH("Germany FR",S1458)),"FR Germany",
ISNUMBER(SEARCH("West Germany",S1458)),"FR Germany",
ISNUMBER(SEARCH("Germany DR",S1458)),"DR Germany",
ISNUMBER(SEARCH("Korea DPR",S1458)),"North Korea",
ISNUMBER(SEARCH("China PR",S1458)),"China",
ISNUMBER(SEARCH("IR Iran",S1458)),"Iran",
ISNUMBER(SEARCH("Congo DR",S1458)),"Democratic Republic of the Congo",
ISNUMBER(SEARCH("DR Congo",S1458)),"Democratic Republic of the Congo",
ISNUMBER(SEARCH("German DR",S1458)),"DR Germany",
ISNUMBER(SEARCH("rn""&gt;United Arab Emirates",S1458)),"United Arab Emirates",
ISNUMBER(SEARCH("rn""&gt;Republic of Ireland",S1458)),"Ireland",
ISNUMBER(SEARCH("rn""&gt;Bosnia and Herzegovina",S1458)),"Bosnia and Herzegovina",
ISNUMBER(SEARCH("rn""&gt;Trinidad and Tobago",S1458)),"Trinidad and Tobago",
ISNUMBER(SEARCH("rn""&gt;Serbia and Montenegro",S1458)),"Serbia and Montenegro",
ISNUMBER(SEARCH(_xlfn.UNICHAR(65533),S1458)),"Côte d'Ivoire",
TRUE,""
)</f>
        <v/>
      </c>
      <c r="W1458" s="12" t="str">
        <f t="shared" si="120"/>
        <v>Paraguay</v>
      </c>
    </row>
    <row r="1459" spans="2:23">
      <c r="B1459" s="75">
        <v>1022</v>
      </c>
      <c r="C1459" s="15" t="str">
        <v>Saed Al-Rosan</v>
      </c>
      <c r="D1459" s="15">
        <v>29</v>
      </c>
      <c r="E1459" s="15" t="str">
        <v>Jordan</v>
      </c>
      <c r="F1459" s="15" t="str">
        <v>CB</v>
      </c>
      <c r="G1459" s="15" t="str">
        <v>Al-Hussein</v>
      </c>
      <c r="H1459" s="15">
        <v>19</v>
      </c>
      <c r="I1459" s="15" t="str">
        <f t="shared" si="117"/>
        <v>1022|Saed Al-Rosan|29|Jordan|CB|Al-Hussein|19</v>
      </c>
      <c r="J1459" s="15" t="str">
        <f>IF(COUNTIF(I$438:I1459,I1459)&gt;1,"DOUBLON","OK")</f>
        <v>OK</v>
      </c>
      <c r="S1459" s="12" t="str">
        <v>Turkey</v>
      </c>
      <c r="T1459" s="12" t="str">
        <f t="shared" si="118"/>
        <v>OK</v>
      </c>
      <c r="U1459" s="12" t="str">
        <f t="shared" si="119"/>
        <v>-</v>
      </c>
      <c r="V1459" s="12" t="str" cm="1">
        <f t="array" ref="V1459">_xlfn.IFS(
ISNUMBER(SEARCH("USA",S1459)),"United States",
ISNUMBER(SEARCH("Republic of Ireland",S1459)),"Ireland",
ISNUMBER(SEARCH("Republic of Korea",S1459)),"South Korea",
ISNUMBER(SEARCH("Cape Verde",S1459)),"Cabo Verde",
ISNUMBER(SEARCH("Czechia",S1459)),"Czech Republic",
ISNUMBER(SEARCH("Türkiye",S1459)),"Turkey",
ISNUMBER(SEARCH("Ivory Coast",S1459)),"Côte d'Ivoire",
ISNUMBER(SEARCH("Korea Republic",S1459)),"South Korea",
ISNUMBER(SEARCH("Germany FR",S1459)),"FR Germany",
ISNUMBER(SEARCH("West Germany",S1459)),"FR Germany",
ISNUMBER(SEARCH("Germany DR",S1459)),"DR Germany",
ISNUMBER(SEARCH("Korea DPR",S1459)),"North Korea",
ISNUMBER(SEARCH("China PR",S1459)),"China",
ISNUMBER(SEARCH("IR Iran",S1459)),"Iran",
ISNUMBER(SEARCH("Congo DR",S1459)),"Democratic Republic of the Congo",
ISNUMBER(SEARCH("DR Congo",S1459)),"Democratic Republic of the Congo",
ISNUMBER(SEARCH("German DR",S1459)),"DR Germany",
ISNUMBER(SEARCH("rn""&gt;United Arab Emirates",S1459)),"United Arab Emirates",
ISNUMBER(SEARCH("rn""&gt;Republic of Ireland",S1459)),"Ireland",
ISNUMBER(SEARCH("rn""&gt;Bosnia and Herzegovina",S1459)),"Bosnia and Herzegovina",
ISNUMBER(SEARCH("rn""&gt;Trinidad and Tobago",S1459)),"Trinidad and Tobago",
ISNUMBER(SEARCH("rn""&gt;Serbia and Montenegro",S1459)),"Serbia and Montenegro",
ISNUMBER(SEARCH(_xlfn.UNICHAR(65533),S1459)),"Côte d'Ivoire",
TRUE,""
)</f>
        <v/>
      </c>
      <c r="W1459" s="12" t="str">
        <f t="shared" si="120"/>
        <v>Turkey</v>
      </c>
    </row>
    <row r="1460" spans="2:23">
      <c r="B1460" s="75">
        <v>1023</v>
      </c>
      <c r="C1460" s="15" t="str">
        <v>Mohammad Abu Hashish</v>
      </c>
      <c r="D1460" s="15">
        <v>31</v>
      </c>
      <c r="E1460" s="15" t="str">
        <v>Jordan</v>
      </c>
      <c r="F1460" s="15" t="str">
        <v>LB</v>
      </c>
      <c r="G1460" s="15" t="str">
        <v>Al-Karma</v>
      </c>
      <c r="H1460" s="15">
        <v>2</v>
      </c>
      <c r="I1460" s="15" t="str">
        <f t="shared" si="117"/>
        <v>1023|Mohammad Abu Hashish|31|Jordan|LB|Al-Karma|2</v>
      </c>
      <c r="J1460" s="15" t="str">
        <f>IF(COUNTIF(I$438:I1460,I1460)&gt;1,"DOUBLON","OK")</f>
        <v>OK</v>
      </c>
      <c r="S1460" s="12" t="str">
        <v>Turkey</v>
      </c>
      <c r="T1460" s="12" t="str">
        <f t="shared" si="118"/>
        <v>OK</v>
      </c>
      <c r="U1460" s="12" t="str">
        <f t="shared" si="119"/>
        <v>-</v>
      </c>
      <c r="V1460" s="12" t="str" cm="1">
        <f t="array" ref="V1460">_xlfn.IFS(
ISNUMBER(SEARCH("USA",S1460)),"United States",
ISNUMBER(SEARCH("Republic of Ireland",S1460)),"Ireland",
ISNUMBER(SEARCH("Republic of Korea",S1460)),"South Korea",
ISNUMBER(SEARCH("Cape Verde",S1460)),"Cabo Verde",
ISNUMBER(SEARCH("Czechia",S1460)),"Czech Republic",
ISNUMBER(SEARCH("Türkiye",S1460)),"Turkey",
ISNUMBER(SEARCH("Ivory Coast",S1460)),"Côte d'Ivoire",
ISNUMBER(SEARCH("Korea Republic",S1460)),"South Korea",
ISNUMBER(SEARCH("Germany FR",S1460)),"FR Germany",
ISNUMBER(SEARCH("West Germany",S1460)),"FR Germany",
ISNUMBER(SEARCH("Germany DR",S1460)),"DR Germany",
ISNUMBER(SEARCH("Korea DPR",S1460)),"North Korea",
ISNUMBER(SEARCH("China PR",S1460)),"China",
ISNUMBER(SEARCH("IR Iran",S1460)),"Iran",
ISNUMBER(SEARCH("Congo DR",S1460)),"Democratic Republic of the Congo",
ISNUMBER(SEARCH("DR Congo",S1460)),"Democratic Republic of the Congo",
ISNUMBER(SEARCH("German DR",S1460)),"DR Germany",
ISNUMBER(SEARCH("rn""&gt;United Arab Emirates",S1460)),"United Arab Emirates",
ISNUMBER(SEARCH("rn""&gt;Republic of Ireland",S1460)),"Ireland",
ISNUMBER(SEARCH("rn""&gt;Bosnia and Herzegovina",S1460)),"Bosnia and Herzegovina",
ISNUMBER(SEARCH("rn""&gt;Trinidad and Tobago",S1460)),"Trinidad and Tobago",
ISNUMBER(SEARCH("rn""&gt;Serbia and Montenegro",S1460)),"Serbia and Montenegro",
ISNUMBER(SEARCH(_xlfn.UNICHAR(65533),S1460)),"Côte d'Ivoire",
TRUE,""
)</f>
        <v/>
      </c>
      <c r="W1460" s="12" t="str">
        <f t="shared" si="120"/>
        <v>Turkey</v>
      </c>
    </row>
    <row r="1461" spans="2:23">
      <c r="B1461" s="75">
        <v>1024</v>
      </c>
      <c r="C1461" s="15" t="str">
        <v>Mo Abualnadi</v>
      </c>
      <c r="D1461" s="15">
        <v>25</v>
      </c>
      <c r="E1461" s="15" t="str">
        <v>Jordan</v>
      </c>
      <c r="F1461" s="15" t="str">
        <v>LB</v>
      </c>
      <c r="G1461" s="15" t="str">
        <v>Selangor</v>
      </c>
      <c r="H1461" s="15">
        <v>16</v>
      </c>
      <c r="I1461" s="15" t="str">
        <f t="shared" si="117"/>
        <v>1024|Mo Abualnadi|25|Jordan|LB|Selangor|16</v>
      </c>
      <c r="J1461" s="15" t="str">
        <f>IF(COUNTIF(I$438:I1461,I1461)&gt;1,"DOUBLON","OK")</f>
        <v>OK</v>
      </c>
      <c r="S1461" s="12" t="str">
        <v>Turkey</v>
      </c>
      <c r="T1461" s="12" t="str">
        <f t="shared" si="118"/>
        <v>OK</v>
      </c>
      <c r="U1461" s="12" t="str">
        <f t="shared" si="119"/>
        <v>-</v>
      </c>
      <c r="V1461" s="12" t="str" cm="1">
        <f t="array" ref="V1461">_xlfn.IFS(
ISNUMBER(SEARCH("USA",S1461)),"United States",
ISNUMBER(SEARCH("Republic of Ireland",S1461)),"Ireland",
ISNUMBER(SEARCH("Republic of Korea",S1461)),"South Korea",
ISNUMBER(SEARCH("Cape Verde",S1461)),"Cabo Verde",
ISNUMBER(SEARCH("Czechia",S1461)),"Czech Republic",
ISNUMBER(SEARCH("Türkiye",S1461)),"Turkey",
ISNUMBER(SEARCH("Ivory Coast",S1461)),"Côte d'Ivoire",
ISNUMBER(SEARCH("Korea Republic",S1461)),"South Korea",
ISNUMBER(SEARCH("Germany FR",S1461)),"FR Germany",
ISNUMBER(SEARCH("West Germany",S1461)),"FR Germany",
ISNUMBER(SEARCH("Germany DR",S1461)),"DR Germany",
ISNUMBER(SEARCH("Korea DPR",S1461)),"North Korea",
ISNUMBER(SEARCH("China PR",S1461)),"China",
ISNUMBER(SEARCH("IR Iran",S1461)),"Iran",
ISNUMBER(SEARCH("Congo DR",S1461)),"Democratic Republic of the Congo",
ISNUMBER(SEARCH("DR Congo",S1461)),"Democratic Republic of the Congo",
ISNUMBER(SEARCH("German DR",S1461)),"DR Germany",
ISNUMBER(SEARCH("rn""&gt;United Arab Emirates",S1461)),"United Arab Emirates",
ISNUMBER(SEARCH("rn""&gt;Republic of Ireland",S1461)),"Ireland",
ISNUMBER(SEARCH("rn""&gt;Bosnia and Herzegovina",S1461)),"Bosnia and Herzegovina",
ISNUMBER(SEARCH("rn""&gt;Trinidad and Tobago",S1461)),"Trinidad and Tobago",
ISNUMBER(SEARCH("rn""&gt;Serbia and Montenegro",S1461)),"Serbia and Montenegro",
ISNUMBER(SEARCH(_xlfn.UNICHAR(65533),S1461)),"Côte d'Ivoire",
TRUE,""
)</f>
        <v/>
      </c>
      <c r="W1461" s="12" t="str">
        <f t="shared" si="120"/>
        <v>Turkey</v>
      </c>
    </row>
    <row r="1462" spans="2:23">
      <c r="B1462" s="75">
        <v>1025</v>
      </c>
      <c r="C1462" s="15" t="str">
        <v>Ihsan Haddad</v>
      </c>
      <c r="D1462" s="15">
        <v>32</v>
      </c>
      <c r="E1462" s="15" t="str">
        <v>Jordan</v>
      </c>
      <c r="F1462" s="15" t="str">
        <v>RB</v>
      </c>
      <c r="G1462" s="15" t="str">
        <v>Al-Hussein</v>
      </c>
      <c r="H1462" s="15">
        <v>23</v>
      </c>
      <c r="I1462" s="15" t="str">
        <f t="shared" si="117"/>
        <v>1025|Ihsan Haddad|32|Jordan|RB|Al-Hussein|23</v>
      </c>
      <c r="J1462" s="15" t="str">
        <f>IF(COUNTIF(I$438:I1462,I1462)&gt;1,"DOUBLON","OK")</f>
        <v>OK</v>
      </c>
      <c r="S1462" s="12" t="str">
        <v>Turkey</v>
      </c>
      <c r="T1462" s="12" t="str">
        <f t="shared" si="118"/>
        <v>OK</v>
      </c>
      <c r="U1462" s="12" t="str">
        <f t="shared" si="119"/>
        <v>-</v>
      </c>
      <c r="V1462" s="12" t="str" cm="1">
        <f t="array" ref="V1462">_xlfn.IFS(
ISNUMBER(SEARCH("USA",S1462)),"United States",
ISNUMBER(SEARCH("Republic of Ireland",S1462)),"Ireland",
ISNUMBER(SEARCH("Republic of Korea",S1462)),"South Korea",
ISNUMBER(SEARCH("Cape Verde",S1462)),"Cabo Verde",
ISNUMBER(SEARCH("Czechia",S1462)),"Czech Republic",
ISNUMBER(SEARCH("Türkiye",S1462)),"Turkey",
ISNUMBER(SEARCH("Ivory Coast",S1462)),"Côte d'Ivoire",
ISNUMBER(SEARCH("Korea Republic",S1462)),"South Korea",
ISNUMBER(SEARCH("Germany FR",S1462)),"FR Germany",
ISNUMBER(SEARCH("West Germany",S1462)),"FR Germany",
ISNUMBER(SEARCH("Germany DR",S1462)),"DR Germany",
ISNUMBER(SEARCH("Korea DPR",S1462)),"North Korea",
ISNUMBER(SEARCH("China PR",S1462)),"China",
ISNUMBER(SEARCH("IR Iran",S1462)),"Iran",
ISNUMBER(SEARCH("Congo DR",S1462)),"Democratic Republic of the Congo",
ISNUMBER(SEARCH("DR Congo",S1462)),"Democratic Republic of the Congo",
ISNUMBER(SEARCH("German DR",S1462)),"DR Germany",
ISNUMBER(SEARCH("rn""&gt;United Arab Emirates",S1462)),"United Arab Emirates",
ISNUMBER(SEARCH("rn""&gt;Republic of Ireland",S1462)),"Ireland",
ISNUMBER(SEARCH("rn""&gt;Bosnia and Herzegovina",S1462)),"Bosnia and Herzegovina",
ISNUMBER(SEARCH("rn""&gt;Trinidad and Tobago",S1462)),"Trinidad and Tobago",
ISNUMBER(SEARCH("rn""&gt;Serbia and Montenegro",S1462)),"Serbia and Montenegro",
ISNUMBER(SEARCH(_xlfn.UNICHAR(65533),S1462)),"Côte d'Ivoire",
TRUE,""
)</f>
        <v/>
      </c>
      <c r="W1462" s="12" t="str">
        <f t="shared" si="120"/>
        <v>Turkey</v>
      </c>
    </row>
    <row r="1463" spans="2:23">
      <c r="B1463" s="75">
        <v>1026</v>
      </c>
      <c r="C1463" s="15" t="str">
        <v>Anas Badawi</v>
      </c>
      <c r="D1463" s="15">
        <v>28</v>
      </c>
      <c r="E1463" s="15" t="str">
        <v>Jordan</v>
      </c>
      <c r="F1463" s="15" t="str">
        <v>RB</v>
      </c>
      <c r="G1463" s="15" t="str">
        <v>Al-Faisaly</v>
      </c>
      <c r="H1463" s="15">
        <v>26</v>
      </c>
      <c r="I1463" s="15" t="str">
        <f t="shared" ref="I1463:I1526" si="121">B1463&amp;"|"&amp;C1463&amp;"|"&amp;D1463&amp;"|"&amp;E1463&amp;"|"&amp;F1463&amp;"|"&amp;G1463&amp;"|"&amp;H1463</f>
        <v>1026|Anas Badawi|28|Jordan|RB|Al-Faisaly|26</v>
      </c>
      <c r="J1463" s="15" t="str">
        <f>IF(COUNTIF(I$438:I1463,I1463)&gt;1,"DOUBLON","OK")</f>
        <v>OK</v>
      </c>
      <c r="S1463" s="12" t="str">
        <v>Turkey</v>
      </c>
      <c r="T1463" s="12" t="str">
        <f t="shared" si="118"/>
        <v>OK</v>
      </c>
      <c r="U1463" s="12" t="str">
        <f t="shared" si="119"/>
        <v>-</v>
      </c>
      <c r="V1463" s="12" t="str" cm="1">
        <f t="array" ref="V1463">_xlfn.IFS(
ISNUMBER(SEARCH("USA",S1463)),"United States",
ISNUMBER(SEARCH("Republic of Ireland",S1463)),"Ireland",
ISNUMBER(SEARCH("Republic of Korea",S1463)),"South Korea",
ISNUMBER(SEARCH("Cape Verde",S1463)),"Cabo Verde",
ISNUMBER(SEARCH("Czechia",S1463)),"Czech Republic",
ISNUMBER(SEARCH("Türkiye",S1463)),"Turkey",
ISNUMBER(SEARCH("Ivory Coast",S1463)),"Côte d'Ivoire",
ISNUMBER(SEARCH("Korea Republic",S1463)),"South Korea",
ISNUMBER(SEARCH("Germany FR",S1463)),"FR Germany",
ISNUMBER(SEARCH("West Germany",S1463)),"FR Germany",
ISNUMBER(SEARCH("Germany DR",S1463)),"DR Germany",
ISNUMBER(SEARCH("Korea DPR",S1463)),"North Korea",
ISNUMBER(SEARCH("China PR",S1463)),"China",
ISNUMBER(SEARCH("IR Iran",S1463)),"Iran",
ISNUMBER(SEARCH("Congo DR",S1463)),"Democratic Republic of the Congo",
ISNUMBER(SEARCH("DR Congo",S1463)),"Democratic Republic of the Congo",
ISNUMBER(SEARCH("German DR",S1463)),"DR Germany",
ISNUMBER(SEARCH("rn""&gt;United Arab Emirates",S1463)),"United Arab Emirates",
ISNUMBER(SEARCH("rn""&gt;Republic of Ireland",S1463)),"Ireland",
ISNUMBER(SEARCH("rn""&gt;Bosnia and Herzegovina",S1463)),"Bosnia and Herzegovina",
ISNUMBER(SEARCH("rn""&gt;Trinidad and Tobago",S1463)),"Trinidad and Tobago",
ISNUMBER(SEARCH("rn""&gt;Serbia and Montenegro",S1463)),"Serbia and Montenegro",
ISNUMBER(SEARCH(_xlfn.UNICHAR(65533),S1463)),"Côte d'Ivoire",
TRUE,""
)</f>
        <v/>
      </c>
      <c r="W1463" s="12" t="str">
        <f t="shared" si="120"/>
        <v>Turkey</v>
      </c>
    </row>
    <row r="1464" spans="2:23">
      <c r="B1464" s="75">
        <v>1027</v>
      </c>
      <c r="C1464" s="15" t="str">
        <v>Rajaei Ayed</v>
      </c>
      <c r="D1464" s="15">
        <v>32</v>
      </c>
      <c r="E1464" s="15" t="str">
        <v>Jordan</v>
      </c>
      <c r="F1464" s="15" t="str">
        <v>CDM</v>
      </c>
      <c r="G1464" s="15" t="str">
        <v>Al-Hussein</v>
      </c>
      <c r="H1464" s="15">
        <v>14</v>
      </c>
      <c r="I1464" s="15" t="str">
        <f t="shared" si="121"/>
        <v>1027|Rajaei Ayed|32|Jordan|CDM|Al-Hussein|14</v>
      </c>
      <c r="J1464" s="15" t="str">
        <f>IF(COUNTIF(I$438:I1464,I1464)&gt;1,"DOUBLON","OK")</f>
        <v>OK</v>
      </c>
      <c r="S1464" s="12" t="str">
        <v>Turkey</v>
      </c>
      <c r="T1464" s="12" t="str">
        <f t="shared" si="118"/>
        <v>OK</v>
      </c>
      <c r="U1464" s="12" t="str">
        <f t="shared" si="119"/>
        <v>-</v>
      </c>
      <c r="V1464" s="12" t="str" cm="1">
        <f t="array" ref="V1464">_xlfn.IFS(
ISNUMBER(SEARCH("USA",S1464)),"United States",
ISNUMBER(SEARCH("Republic of Ireland",S1464)),"Ireland",
ISNUMBER(SEARCH("Republic of Korea",S1464)),"South Korea",
ISNUMBER(SEARCH("Cape Verde",S1464)),"Cabo Verde",
ISNUMBER(SEARCH("Czechia",S1464)),"Czech Republic",
ISNUMBER(SEARCH("Türkiye",S1464)),"Turkey",
ISNUMBER(SEARCH("Ivory Coast",S1464)),"Côte d'Ivoire",
ISNUMBER(SEARCH("Korea Republic",S1464)),"South Korea",
ISNUMBER(SEARCH("Germany FR",S1464)),"FR Germany",
ISNUMBER(SEARCH("West Germany",S1464)),"FR Germany",
ISNUMBER(SEARCH("Germany DR",S1464)),"DR Germany",
ISNUMBER(SEARCH("Korea DPR",S1464)),"North Korea",
ISNUMBER(SEARCH("China PR",S1464)),"China",
ISNUMBER(SEARCH("IR Iran",S1464)),"Iran",
ISNUMBER(SEARCH("Congo DR",S1464)),"Democratic Republic of the Congo",
ISNUMBER(SEARCH("DR Congo",S1464)),"Democratic Republic of the Congo",
ISNUMBER(SEARCH("German DR",S1464)),"DR Germany",
ISNUMBER(SEARCH("rn""&gt;United Arab Emirates",S1464)),"United Arab Emirates",
ISNUMBER(SEARCH("rn""&gt;Republic of Ireland",S1464)),"Ireland",
ISNUMBER(SEARCH("rn""&gt;Bosnia and Herzegovina",S1464)),"Bosnia and Herzegovina",
ISNUMBER(SEARCH("rn""&gt;Trinidad and Tobago",S1464)),"Trinidad and Tobago",
ISNUMBER(SEARCH("rn""&gt;Serbia and Montenegro",S1464)),"Serbia and Montenegro",
ISNUMBER(SEARCH(_xlfn.UNICHAR(65533),S1464)),"Côte d'Ivoire",
TRUE,""
)</f>
        <v/>
      </c>
      <c r="W1464" s="12" t="str">
        <f t="shared" si="120"/>
        <v>Turkey</v>
      </c>
    </row>
    <row r="1465" spans="2:23">
      <c r="B1465" s="75">
        <v>1028</v>
      </c>
      <c r="C1465" s="15" t="str">
        <v>Nizar Al-Rashdan</v>
      </c>
      <c r="D1465" s="15">
        <v>27</v>
      </c>
      <c r="E1465" s="15" t="str">
        <v>Jordan</v>
      </c>
      <c r="F1465" s="15" t="str">
        <v>CDM</v>
      </c>
      <c r="G1465" s="15" t="str">
        <v>Qatar SC</v>
      </c>
      <c r="H1465" s="15">
        <v>21</v>
      </c>
      <c r="I1465" s="15" t="str">
        <f t="shared" si="121"/>
        <v>1028|Nizar Al-Rashdan|27|Jordan|CDM|Qatar SC|21</v>
      </c>
      <c r="J1465" s="15" t="str">
        <f>IF(COUNTIF(I$438:I1465,I1465)&gt;1,"DOUBLON","OK")</f>
        <v>OK</v>
      </c>
      <c r="S1465" s="12" t="str">
        <v>Turkey</v>
      </c>
      <c r="T1465" s="12" t="str">
        <f t="shared" si="118"/>
        <v>OK</v>
      </c>
      <c r="U1465" s="12" t="str">
        <f t="shared" si="119"/>
        <v>-</v>
      </c>
      <c r="V1465" s="12" t="str" cm="1">
        <f t="array" ref="V1465">_xlfn.IFS(
ISNUMBER(SEARCH("USA",S1465)),"United States",
ISNUMBER(SEARCH("Republic of Ireland",S1465)),"Ireland",
ISNUMBER(SEARCH("Republic of Korea",S1465)),"South Korea",
ISNUMBER(SEARCH("Cape Verde",S1465)),"Cabo Verde",
ISNUMBER(SEARCH("Czechia",S1465)),"Czech Republic",
ISNUMBER(SEARCH("Türkiye",S1465)),"Turkey",
ISNUMBER(SEARCH("Ivory Coast",S1465)),"Côte d'Ivoire",
ISNUMBER(SEARCH("Korea Republic",S1465)),"South Korea",
ISNUMBER(SEARCH("Germany FR",S1465)),"FR Germany",
ISNUMBER(SEARCH("West Germany",S1465)),"FR Germany",
ISNUMBER(SEARCH("Germany DR",S1465)),"DR Germany",
ISNUMBER(SEARCH("Korea DPR",S1465)),"North Korea",
ISNUMBER(SEARCH("China PR",S1465)),"China",
ISNUMBER(SEARCH("IR Iran",S1465)),"Iran",
ISNUMBER(SEARCH("Congo DR",S1465)),"Democratic Republic of the Congo",
ISNUMBER(SEARCH("DR Congo",S1465)),"Democratic Republic of the Congo",
ISNUMBER(SEARCH("German DR",S1465)),"DR Germany",
ISNUMBER(SEARCH("rn""&gt;United Arab Emirates",S1465)),"United Arab Emirates",
ISNUMBER(SEARCH("rn""&gt;Republic of Ireland",S1465)),"Ireland",
ISNUMBER(SEARCH("rn""&gt;Bosnia and Herzegovina",S1465)),"Bosnia and Herzegovina",
ISNUMBER(SEARCH("rn""&gt;Trinidad and Tobago",S1465)),"Trinidad and Tobago",
ISNUMBER(SEARCH("rn""&gt;Serbia and Montenegro",S1465)),"Serbia and Montenegro",
ISNUMBER(SEARCH(_xlfn.UNICHAR(65533),S1465)),"Côte d'Ivoire",
TRUE,""
)</f>
        <v/>
      </c>
      <c r="W1465" s="12" t="str">
        <f t="shared" si="120"/>
        <v>Turkey</v>
      </c>
    </row>
    <row r="1466" spans="2:23">
      <c r="B1466" s="75">
        <v>1029</v>
      </c>
      <c r="C1466" s="15" t="str">
        <v>Amer Jamous</v>
      </c>
      <c r="D1466" s="15">
        <v>23</v>
      </c>
      <c r="E1466" s="15" t="str">
        <v>Jordan</v>
      </c>
      <c r="F1466" s="15" t="str">
        <v>CM</v>
      </c>
      <c r="G1466" s="15" t="str">
        <v>Al-Zawraa</v>
      </c>
      <c r="H1466" s="15">
        <v>6</v>
      </c>
      <c r="I1466" s="15" t="str">
        <f t="shared" si="121"/>
        <v>1029|Amer Jamous|23|Jordan|CM|Al-Zawraa|6</v>
      </c>
      <c r="J1466" s="15" t="str">
        <f>IF(COUNTIF(I$438:I1466,I1466)&gt;1,"DOUBLON","OK")</f>
        <v>OK</v>
      </c>
      <c r="S1466" s="12" t="str">
        <v>Turkey</v>
      </c>
      <c r="T1466" s="12" t="str">
        <f t="shared" si="118"/>
        <v>OK</v>
      </c>
      <c r="U1466" s="12" t="str">
        <f t="shared" si="119"/>
        <v>-</v>
      </c>
      <c r="V1466" s="12" t="str" cm="1">
        <f t="array" ref="V1466">_xlfn.IFS(
ISNUMBER(SEARCH("USA",S1466)),"United States",
ISNUMBER(SEARCH("Republic of Ireland",S1466)),"Ireland",
ISNUMBER(SEARCH("Republic of Korea",S1466)),"South Korea",
ISNUMBER(SEARCH("Cape Verde",S1466)),"Cabo Verde",
ISNUMBER(SEARCH("Czechia",S1466)),"Czech Republic",
ISNUMBER(SEARCH("Türkiye",S1466)),"Turkey",
ISNUMBER(SEARCH("Ivory Coast",S1466)),"Côte d'Ivoire",
ISNUMBER(SEARCH("Korea Republic",S1466)),"South Korea",
ISNUMBER(SEARCH("Germany FR",S1466)),"FR Germany",
ISNUMBER(SEARCH("West Germany",S1466)),"FR Germany",
ISNUMBER(SEARCH("Germany DR",S1466)),"DR Germany",
ISNUMBER(SEARCH("Korea DPR",S1466)),"North Korea",
ISNUMBER(SEARCH("China PR",S1466)),"China",
ISNUMBER(SEARCH("IR Iran",S1466)),"Iran",
ISNUMBER(SEARCH("Congo DR",S1466)),"Democratic Republic of the Congo",
ISNUMBER(SEARCH("DR Congo",S1466)),"Democratic Republic of the Congo",
ISNUMBER(SEARCH("German DR",S1466)),"DR Germany",
ISNUMBER(SEARCH("rn""&gt;United Arab Emirates",S1466)),"United Arab Emirates",
ISNUMBER(SEARCH("rn""&gt;Republic of Ireland",S1466)),"Ireland",
ISNUMBER(SEARCH("rn""&gt;Bosnia and Herzegovina",S1466)),"Bosnia and Herzegovina",
ISNUMBER(SEARCH("rn""&gt;Trinidad and Tobago",S1466)),"Trinidad and Tobago",
ISNUMBER(SEARCH("rn""&gt;Serbia and Montenegro",S1466)),"Serbia and Montenegro",
ISNUMBER(SEARCH(_xlfn.UNICHAR(65533),S1466)),"Côte d'Ivoire",
TRUE,""
)</f>
        <v/>
      </c>
      <c r="W1466" s="12" t="str">
        <f t="shared" si="120"/>
        <v>Turkey</v>
      </c>
    </row>
    <row r="1467" spans="2:23">
      <c r="B1467" s="75">
        <v>1030</v>
      </c>
      <c r="C1467" s="15" t="str">
        <v>Noor Al-Rawabdeh</v>
      </c>
      <c r="D1467" s="15">
        <v>29</v>
      </c>
      <c r="E1467" s="15" t="str">
        <v>Jordan</v>
      </c>
      <c r="F1467" s="15" t="str">
        <v>CM</v>
      </c>
      <c r="G1467" s="15" t="str">
        <v>Selangor</v>
      </c>
      <c r="H1467" s="15">
        <v>8</v>
      </c>
      <c r="I1467" s="15" t="str">
        <f t="shared" si="121"/>
        <v>1030|Noor Al-Rawabdeh|29|Jordan|CM|Selangor|8</v>
      </c>
      <c r="J1467" s="15" t="str">
        <f>IF(COUNTIF(I$438:I1467,I1467)&gt;1,"DOUBLON","OK")</f>
        <v>OK</v>
      </c>
      <c r="S1467" s="12" t="str">
        <v>Turkey</v>
      </c>
      <c r="T1467" s="12" t="str">
        <f t="shared" si="118"/>
        <v>OK</v>
      </c>
      <c r="U1467" s="12" t="str">
        <f t="shared" si="119"/>
        <v>-</v>
      </c>
      <c r="V1467" s="12" t="str" cm="1">
        <f t="array" ref="V1467">_xlfn.IFS(
ISNUMBER(SEARCH("USA",S1467)),"United States",
ISNUMBER(SEARCH("Republic of Ireland",S1467)),"Ireland",
ISNUMBER(SEARCH("Republic of Korea",S1467)),"South Korea",
ISNUMBER(SEARCH("Cape Verde",S1467)),"Cabo Verde",
ISNUMBER(SEARCH("Czechia",S1467)),"Czech Republic",
ISNUMBER(SEARCH("Türkiye",S1467)),"Turkey",
ISNUMBER(SEARCH("Ivory Coast",S1467)),"Côte d'Ivoire",
ISNUMBER(SEARCH("Korea Republic",S1467)),"South Korea",
ISNUMBER(SEARCH("Germany FR",S1467)),"FR Germany",
ISNUMBER(SEARCH("West Germany",S1467)),"FR Germany",
ISNUMBER(SEARCH("Germany DR",S1467)),"DR Germany",
ISNUMBER(SEARCH("Korea DPR",S1467)),"North Korea",
ISNUMBER(SEARCH("China PR",S1467)),"China",
ISNUMBER(SEARCH("IR Iran",S1467)),"Iran",
ISNUMBER(SEARCH("Congo DR",S1467)),"Democratic Republic of the Congo",
ISNUMBER(SEARCH("DR Congo",S1467)),"Democratic Republic of the Congo",
ISNUMBER(SEARCH("German DR",S1467)),"DR Germany",
ISNUMBER(SEARCH("rn""&gt;United Arab Emirates",S1467)),"United Arab Emirates",
ISNUMBER(SEARCH("rn""&gt;Republic of Ireland",S1467)),"Ireland",
ISNUMBER(SEARCH("rn""&gt;Bosnia and Herzegovina",S1467)),"Bosnia and Herzegovina",
ISNUMBER(SEARCH("rn""&gt;Trinidad and Tobago",S1467)),"Trinidad and Tobago",
ISNUMBER(SEARCH("rn""&gt;Serbia and Montenegro",S1467)),"Serbia and Montenegro",
ISNUMBER(SEARCH(_xlfn.UNICHAR(65533),S1467)),"Côte d'Ivoire",
TRUE,""
)</f>
        <v/>
      </c>
      <c r="W1467" s="12" t="str">
        <f t="shared" si="120"/>
        <v>Turkey</v>
      </c>
    </row>
    <row r="1468" spans="2:23">
      <c r="B1468" s="75">
        <v>1031</v>
      </c>
      <c r="C1468" s="15" t="str">
        <v>Ibrahim Sadeh</v>
      </c>
      <c r="D1468" s="15">
        <v>26</v>
      </c>
      <c r="E1468" s="15" t="str">
        <v>Jordan</v>
      </c>
      <c r="F1468" s="15" t="str">
        <v>CM</v>
      </c>
      <c r="G1468" s="15" t="str">
        <v>Al-Karma</v>
      </c>
      <c r="H1468" s="15">
        <v>15</v>
      </c>
      <c r="I1468" s="15" t="str">
        <f t="shared" si="121"/>
        <v>1031|Ibrahim Sadeh|26|Jordan|CM|Al-Karma|15</v>
      </c>
      <c r="J1468" s="15" t="str">
        <f>IF(COUNTIF(I$438:I1468,I1468)&gt;1,"DOUBLON","OK")</f>
        <v>OK</v>
      </c>
      <c r="S1468" s="12" t="str">
        <v>Turkey</v>
      </c>
      <c r="T1468" s="12" t="str">
        <f t="shared" si="118"/>
        <v>OK</v>
      </c>
      <c r="U1468" s="12" t="str">
        <f t="shared" si="119"/>
        <v>-</v>
      </c>
      <c r="V1468" s="12" t="str" cm="1">
        <f t="array" ref="V1468">_xlfn.IFS(
ISNUMBER(SEARCH("USA",S1468)),"United States",
ISNUMBER(SEARCH("Republic of Ireland",S1468)),"Ireland",
ISNUMBER(SEARCH("Republic of Korea",S1468)),"South Korea",
ISNUMBER(SEARCH("Cape Verde",S1468)),"Cabo Verde",
ISNUMBER(SEARCH("Czechia",S1468)),"Czech Republic",
ISNUMBER(SEARCH("Türkiye",S1468)),"Turkey",
ISNUMBER(SEARCH("Ivory Coast",S1468)),"Côte d'Ivoire",
ISNUMBER(SEARCH("Korea Republic",S1468)),"South Korea",
ISNUMBER(SEARCH("Germany FR",S1468)),"FR Germany",
ISNUMBER(SEARCH("West Germany",S1468)),"FR Germany",
ISNUMBER(SEARCH("Germany DR",S1468)),"DR Germany",
ISNUMBER(SEARCH("Korea DPR",S1468)),"North Korea",
ISNUMBER(SEARCH("China PR",S1468)),"China",
ISNUMBER(SEARCH("IR Iran",S1468)),"Iran",
ISNUMBER(SEARCH("Congo DR",S1468)),"Democratic Republic of the Congo",
ISNUMBER(SEARCH("DR Congo",S1468)),"Democratic Republic of the Congo",
ISNUMBER(SEARCH("German DR",S1468)),"DR Germany",
ISNUMBER(SEARCH("rn""&gt;United Arab Emirates",S1468)),"United Arab Emirates",
ISNUMBER(SEARCH("rn""&gt;Republic of Ireland",S1468)),"Ireland",
ISNUMBER(SEARCH("rn""&gt;Bosnia and Herzegovina",S1468)),"Bosnia and Herzegovina",
ISNUMBER(SEARCH("rn""&gt;Trinidad and Tobago",S1468)),"Trinidad and Tobago",
ISNUMBER(SEARCH("rn""&gt;Serbia and Montenegro",S1468)),"Serbia and Montenegro",
ISNUMBER(SEARCH(_xlfn.UNICHAR(65533),S1468)),"Côte d'Ivoire",
TRUE,""
)</f>
        <v/>
      </c>
      <c r="W1468" s="12" t="str">
        <f t="shared" si="120"/>
        <v>Turkey</v>
      </c>
    </row>
    <row r="1469" spans="2:23">
      <c r="B1469" s="75">
        <v>1032</v>
      </c>
      <c r="C1469" s="15" t="str">
        <v>Mohammad Taha</v>
      </c>
      <c r="D1469" s="15">
        <v>20</v>
      </c>
      <c r="E1469" s="15" t="str">
        <v>Jordan</v>
      </c>
      <c r="F1469" s="15" t="str">
        <v>CM</v>
      </c>
      <c r="G1469" s="15" t="str">
        <v>Al-Hussein</v>
      </c>
      <c r="H1469" s="15">
        <v>18</v>
      </c>
      <c r="I1469" s="15" t="str">
        <f t="shared" si="121"/>
        <v>1032|Mohammad Taha|20|Jordan|CM|Al-Hussein|18</v>
      </c>
      <c r="J1469" s="15" t="str">
        <f>IF(COUNTIF(I$438:I1469,I1469)&gt;1,"DOUBLON","OK")</f>
        <v>OK</v>
      </c>
      <c r="S1469" s="12" t="str">
        <v>Turkey</v>
      </c>
      <c r="T1469" s="12" t="str">
        <f t="shared" si="118"/>
        <v>OK</v>
      </c>
      <c r="U1469" s="12" t="str">
        <f t="shared" si="119"/>
        <v>-</v>
      </c>
      <c r="V1469" s="12" t="str" cm="1">
        <f t="array" ref="V1469">_xlfn.IFS(
ISNUMBER(SEARCH("USA",S1469)),"United States",
ISNUMBER(SEARCH("Republic of Ireland",S1469)),"Ireland",
ISNUMBER(SEARCH("Republic of Korea",S1469)),"South Korea",
ISNUMBER(SEARCH("Cape Verde",S1469)),"Cabo Verde",
ISNUMBER(SEARCH("Czechia",S1469)),"Czech Republic",
ISNUMBER(SEARCH("Türkiye",S1469)),"Turkey",
ISNUMBER(SEARCH("Ivory Coast",S1469)),"Côte d'Ivoire",
ISNUMBER(SEARCH("Korea Republic",S1469)),"South Korea",
ISNUMBER(SEARCH("Germany FR",S1469)),"FR Germany",
ISNUMBER(SEARCH("West Germany",S1469)),"FR Germany",
ISNUMBER(SEARCH("Germany DR",S1469)),"DR Germany",
ISNUMBER(SEARCH("Korea DPR",S1469)),"North Korea",
ISNUMBER(SEARCH("China PR",S1469)),"China",
ISNUMBER(SEARCH("IR Iran",S1469)),"Iran",
ISNUMBER(SEARCH("Congo DR",S1469)),"Democratic Republic of the Congo",
ISNUMBER(SEARCH("DR Congo",S1469)),"Democratic Republic of the Congo",
ISNUMBER(SEARCH("German DR",S1469)),"DR Germany",
ISNUMBER(SEARCH("rn""&gt;United Arab Emirates",S1469)),"United Arab Emirates",
ISNUMBER(SEARCH("rn""&gt;Republic of Ireland",S1469)),"Ireland",
ISNUMBER(SEARCH("rn""&gt;Bosnia and Herzegovina",S1469)),"Bosnia and Herzegovina",
ISNUMBER(SEARCH("rn""&gt;Trinidad and Tobago",S1469)),"Trinidad and Tobago",
ISNUMBER(SEARCH("rn""&gt;Serbia and Montenegro",S1469)),"Serbia and Montenegro",
ISNUMBER(SEARCH(_xlfn.UNICHAR(65533),S1469)),"Côte d'Ivoire",
TRUE,""
)</f>
        <v/>
      </c>
      <c r="W1469" s="12" t="str">
        <f t="shared" si="120"/>
        <v>Turkey</v>
      </c>
    </row>
    <row r="1470" spans="2:23">
      <c r="B1470" s="75">
        <v>1033</v>
      </c>
      <c r="C1470" s="15" t="str">
        <v>Mohammad Al-Dawoud</v>
      </c>
      <c r="D1470" s="15">
        <v>34</v>
      </c>
      <c r="E1470" s="15" t="str">
        <v>Jordan</v>
      </c>
      <c r="F1470" s="15" t="str">
        <v>CM</v>
      </c>
      <c r="G1470" s="15" t="str">
        <v>Al-Wehdat</v>
      </c>
      <c r="H1470" s="15">
        <v>25</v>
      </c>
      <c r="I1470" s="15" t="str">
        <f t="shared" si="121"/>
        <v>1033|Mohammad Al-Dawoud|34|Jordan|CM|Al-Wehdat|25</v>
      </c>
      <c r="J1470" s="15" t="str">
        <f>IF(COUNTIF(I$438:I1470,I1470)&gt;1,"DOUBLON","OK")</f>
        <v>OK</v>
      </c>
      <c r="S1470" s="12" t="str">
        <v>Turkey</v>
      </c>
      <c r="T1470" s="12" t="str">
        <f t="shared" si="118"/>
        <v>OK</v>
      </c>
      <c r="U1470" s="12" t="str">
        <f t="shared" si="119"/>
        <v>-</v>
      </c>
      <c r="V1470" s="12" t="str" cm="1">
        <f t="array" ref="V1470">_xlfn.IFS(
ISNUMBER(SEARCH("USA",S1470)),"United States",
ISNUMBER(SEARCH("Republic of Ireland",S1470)),"Ireland",
ISNUMBER(SEARCH("Republic of Korea",S1470)),"South Korea",
ISNUMBER(SEARCH("Cape Verde",S1470)),"Cabo Verde",
ISNUMBER(SEARCH("Czechia",S1470)),"Czech Republic",
ISNUMBER(SEARCH("Türkiye",S1470)),"Turkey",
ISNUMBER(SEARCH("Ivory Coast",S1470)),"Côte d'Ivoire",
ISNUMBER(SEARCH("Korea Republic",S1470)),"South Korea",
ISNUMBER(SEARCH("Germany FR",S1470)),"FR Germany",
ISNUMBER(SEARCH("West Germany",S1470)),"FR Germany",
ISNUMBER(SEARCH("Germany DR",S1470)),"DR Germany",
ISNUMBER(SEARCH("Korea DPR",S1470)),"North Korea",
ISNUMBER(SEARCH("China PR",S1470)),"China",
ISNUMBER(SEARCH("IR Iran",S1470)),"Iran",
ISNUMBER(SEARCH("Congo DR",S1470)),"Democratic Republic of the Congo",
ISNUMBER(SEARCH("DR Congo",S1470)),"Democratic Republic of the Congo",
ISNUMBER(SEARCH("German DR",S1470)),"DR Germany",
ISNUMBER(SEARCH("rn""&gt;United Arab Emirates",S1470)),"United Arab Emirates",
ISNUMBER(SEARCH("rn""&gt;Republic of Ireland",S1470)),"Ireland",
ISNUMBER(SEARCH("rn""&gt;Bosnia and Herzegovina",S1470)),"Bosnia and Herzegovina",
ISNUMBER(SEARCH("rn""&gt;Trinidad and Tobago",S1470)),"Trinidad and Tobago",
ISNUMBER(SEARCH("rn""&gt;Serbia and Montenegro",S1470)),"Serbia and Montenegro",
ISNUMBER(SEARCH(_xlfn.UNICHAR(65533),S1470)),"Côte d'Ivoire",
TRUE,""
)</f>
        <v/>
      </c>
      <c r="W1470" s="12" t="str">
        <f t="shared" si="120"/>
        <v>Turkey</v>
      </c>
    </row>
    <row r="1471" spans="2:23">
      <c r="B1471" s="75">
        <v>1034</v>
      </c>
      <c r="C1471" s="15" t="str">
        <v>Mohannad Abu Taha</v>
      </c>
      <c r="D1471" s="15">
        <v>23</v>
      </c>
      <c r="E1471" s="15" t="str">
        <v>Jordan</v>
      </c>
      <c r="F1471" s="15" t="str">
        <v>CAM</v>
      </c>
      <c r="G1471" s="15" t="str">
        <v>Al-Quwa Al-Jawiya</v>
      </c>
      <c r="H1471" s="15">
        <v>20</v>
      </c>
      <c r="I1471" s="15" t="str">
        <f t="shared" si="121"/>
        <v>1034|Mohannad Abu Taha|23|Jordan|CAM|Al-Quwa Al-Jawiya|20</v>
      </c>
      <c r="J1471" s="15" t="str">
        <f>IF(COUNTIF(I$438:I1471,I1471)&gt;1,"DOUBLON","OK")</f>
        <v>OK</v>
      </c>
      <c r="S1471" s="12" t="str">
        <v>Turkey</v>
      </c>
      <c r="T1471" s="12" t="str">
        <f t="shared" si="118"/>
        <v>OK</v>
      </c>
      <c r="U1471" s="12" t="str">
        <f t="shared" si="119"/>
        <v>-</v>
      </c>
      <c r="V1471" s="12" t="str" cm="1">
        <f t="array" ref="V1471">_xlfn.IFS(
ISNUMBER(SEARCH("USA",S1471)),"United States",
ISNUMBER(SEARCH("Republic of Ireland",S1471)),"Ireland",
ISNUMBER(SEARCH("Republic of Korea",S1471)),"South Korea",
ISNUMBER(SEARCH("Cape Verde",S1471)),"Cabo Verde",
ISNUMBER(SEARCH("Czechia",S1471)),"Czech Republic",
ISNUMBER(SEARCH("Türkiye",S1471)),"Turkey",
ISNUMBER(SEARCH("Ivory Coast",S1471)),"Côte d'Ivoire",
ISNUMBER(SEARCH("Korea Republic",S1471)),"South Korea",
ISNUMBER(SEARCH("Germany FR",S1471)),"FR Germany",
ISNUMBER(SEARCH("West Germany",S1471)),"FR Germany",
ISNUMBER(SEARCH("Germany DR",S1471)),"DR Germany",
ISNUMBER(SEARCH("Korea DPR",S1471)),"North Korea",
ISNUMBER(SEARCH("China PR",S1471)),"China",
ISNUMBER(SEARCH("IR Iran",S1471)),"Iran",
ISNUMBER(SEARCH("Congo DR",S1471)),"Democratic Republic of the Congo",
ISNUMBER(SEARCH("DR Congo",S1471)),"Democratic Republic of the Congo",
ISNUMBER(SEARCH("German DR",S1471)),"DR Germany",
ISNUMBER(SEARCH("rn""&gt;United Arab Emirates",S1471)),"United Arab Emirates",
ISNUMBER(SEARCH("rn""&gt;Republic of Ireland",S1471)),"Ireland",
ISNUMBER(SEARCH("rn""&gt;Bosnia and Herzegovina",S1471)),"Bosnia and Herzegovina",
ISNUMBER(SEARCH("rn""&gt;Trinidad and Tobago",S1471)),"Trinidad and Tobago",
ISNUMBER(SEARCH("rn""&gt;Serbia and Montenegro",S1471)),"Serbia and Montenegro",
ISNUMBER(SEARCH(_xlfn.UNICHAR(65533),S1471)),"Côte d'Ivoire",
TRUE,""
)</f>
        <v/>
      </c>
      <c r="W1471" s="12" t="str">
        <f t="shared" si="120"/>
        <v>Turkey</v>
      </c>
    </row>
    <row r="1472" spans="2:23">
      <c r="B1472" s="75">
        <v>1035</v>
      </c>
      <c r="C1472" s="15" t="str">
        <v>Mohammad Abu Zrayq</v>
      </c>
      <c r="D1472" s="15">
        <v>28</v>
      </c>
      <c r="E1472" s="15" t="str">
        <v>Jordan</v>
      </c>
      <c r="F1472" s="15" t="str">
        <v>LW</v>
      </c>
      <c r="G1472" s="15" t="str">
        <v>Raja Casablanca</v>
      </c>
      <c r="H1472" s="15">
        <v>7</v>
      </c>
      <c r="I1472" s="15" t="str">
        <f t="shared" si="121"/>
        <v>1035|Mohammad Abu Zrayq|28|Jordan|LW|Raja Casablanca|7</v>
      </c>
      <c r="J1472" s="15" t="str">
        <f>IF(COUNTIF(I$438:I1472,I1472)&gt;1,"DOUBLON","OK")</f>
        <v>OK</v>
      </c>
      <c r="S1472" s="12" t="str">
        <v>Turkey</v>
      </c>
      <c r="T1472" s="12" t="str">
        <f t="shared" si="118"/>
        <v>OK</v>
      </c>
      <c r="U1472" s="12" t="str">
        <f t="shared" si="119"/>
        <v>-</v>
      </c>
      <c r="V1472" s="12" t="str" cm="1">
        <f t="array" ref="V1472">_xlfn.IFS(
ISNUMBER(SEARCH("USA",S1472)),"United States",
ISNUMBER(SEARCH("Republic of Ireland",S1472)),"Ireland",
ISNUMBER(SEARCH("Republic of Korea",S1472)),"South Korea",
ISNUMBER(SEARCH("Cape Verde",S1472)),"Cabo Verde",
ISNUMBER(SEARCH("Czechia",S1472)),"Czech Republic",
ISNUMBER(SEARCH("Türkiye",S1472)),"Turkey",
ISNUMBER(SEARCH("Ivory Coast",S1472)),"Côte d'Ivoire",
ISNUMBER(SEARCH("Korea Republic",S1472)),"South Korea",
ISNUMBER(SEARCH("Germany FR",S1472)),"FR Germany",
ISNUMBER(SEARCH("West Germany",S1472)),"FR Germany",
ISNUMBER(SEARCH("Germany DR",S1472)),"DR Germany",
ISNUMBER(SEARCH("Korea DPR",S1472)),"North Korea",
ISNUMBER(SEARCH("China PR",S1472)),"China",
ISNUMBER(SEARCH("IR Iran",S1472)),"Iran",
ISNUMBER(SEARCH("Congo DR",S1472)),"Democratic Republic of the Congo",
ISNUMBER(SEARCH("DR Congo",S1472)),"Democratic Republic of the Congo",
ISNUMBER(SEARCH("German DR",S1472)),"DR Germany",
ISNUMBER(SEARCH("rn""&gt;United Arab Emirates",S1472)),"United Arab Emirates",
ISNUMBER(SEARCH("rn""&gt;Republic of Ireland",S1472)),"Ireland",
ISNUMBER(SEARCH("rn""&gt;Bosnia and Herzegovina",S1472)),"Bosnia and Herzegovina",
ISNUMBER(SEARCH("rn""&gt;Trinidad and Tobago",S1472)),"Trinidad and Tobago",
ISNUMBER(SEARCH("rn""&gt;Serbia and Montenegro",S1472)),"Serbia and Montenegro",
ISNUMBER(SEARCH(_xlfn.UNICHAR(65533),S1472)),"Côte d'Ivoire",
TRUE,""
)</f>
        <v/>
      </c>
      <c r="W1472" s="12" t="str">
        <f t="shared" si="120"/>
        <v>Turkey</v>
      </c>
    </row>
    <row r="1473" spans="2:23">
      <c r="B1473" s="75">
        <v>1036</v>
      </c>
      <c r="C1473" s="15" t="str">
        <v>Mahmoud Al-Mardi</v>
      </c>
      <c r="D1473" s="15">
        <v>32</v>
      </c>
      <c r="E1473" s="15" t="str">
        <v>Jordan</v>
      </c>
      <c r="F1473" s="15" t="str">
        <v>LW</v>
      </c>
      <c r="G1473" s="15" t="str">
        <v>Al-Hussein</v>
      </c>
      <c r="H1473" s="15">
        <v>13</v>
      </c>
      <c r="I1473" s="15" t="str">
        <f t="shared" si="121"/>
        <v>1036|Mahmoud Al-Mardi|32|Jordan|LW|Al-Hussein|13</v>
      </c>
      <c r="J1473" s="15" t="str">
        <f>IF(COUNTIF(I$438:I1473,I1473)&gt;1,"DOUBLON","OK")</f>
        <v>OK</v>
      </c>
      <c r="S1473" s="12" t="str">
        <v>Turkey</v>
      </c>
      <c r="T1473" s="12" t="str">
        <f t="shared" si="118"/>
        <v>OK</v>
      </c>
      <c r="U1473" s="12" t="str">
        <f t="shared" si="119"/>
        <v>-</v>
      </c>
      <c r="V1473" s="12" t="str" cm="1">
        <f t="array" ref="V1473">_xlfn.IFS(
ISNUMBER(SEARCH("USA",S1473)),"United States",
ISNUMBER(SEARCH("Republic of Ireland",S1473)),"Ireland",
ISNUMBER(SEARCH("Republic of Korea",S1473)),"South Korea",
ISNUMBER(SEARCH("Cape Verde",S1473)),"Cabo Verde",
ISNUMBER(SEARCH("Czechia",S1473)),"Czech Republic",
ISNUMBER(SEARCH("Türkiye",S1473)),"Turkey",
ISNUMBER(SEARCH("Ivory Coast",S1473)),"Côte d'Ivoire",
ISNUMBER(SEARCH("Korea Republic",S1473)),"South Korea",
ISNUMBER(SEARCH("Germany FR",S1473)),"FR Germany",
ISNUMBER(SEARCH("West Germany",S1473)),"FR Germany",
ISNUMBER(SEARCH("Germany DR",S1473)),"DR Germany",
ISNUMBER(SEARCH("Korea DPR",S1473)),"North Korea",
ISNUMBER(SEARCH("China PR",S1473)),"China",
ISNUMBER(SEARCH("IR Iran",S1473)),"Iran",
ISNUMBER(SEARCH("Congo DR",S1473)),"Democratic Republic of the Congo",
ISNUMBER(SEARCH("DR Congo",S1473)),"Democratic Republic of the Congo",
ISNUMBER(SEARCH("German DR",S1473)),"DR Germany",
ISNUMBER(SEARCH("rn""&gt;United Arab Emirates",S1473)),"United Arab Emirates",
ISNUMBER(SEARCH("rn""&gt;Republic of Ireland",S1473)),"Ireland",
ISNUMBER(SEARCH("rn""&gt;Bosnia and Herzegovina",S1473)),"Bosnia and Herzegovina",
ISNUMBER(SEARCH("rn""&gt;Trinidad and Tobago",S1473)),"Trinidad and Tobago",
ISNUMBER(SEARCH("rn""&gt;Serbia and Montenegro",S1473)),"Serbia and Montenegro",
ISNUMBER(SEARCH(_xlfn.UNICHAR(65533),S1473)),"Côte d'Ivoire",
TRUE,""
)</f>
        <v/>
      </c>
      <c r="W1473" s="12" t="str">
        <f t="shared" si="120"/>
        <v>Turkey</v>
      </c>
    </row>
    <row r="1474" spans="2:23">
      <c r="B1474" s="75">
        <v>1037</v>
      </c>
      <c r="C1474" s="15" t="str">
        <v>Musa Al-Taamari</v>
      </c>
      <c r="D1474" s="15">
        <v>29</v>
      </c>
      <c r="E1474" s="15" t="str">
        <v>Jordan</v>
      </c>
      <c r="F1474" s="15" t="str">
        <v>RW</v>
      </c>
      <c r="G1474" s="15" t="str">
        <v>Rennes</v>
      </c>
      <c r="H1474" s="15">
        <v>10</v>
      </c>
      <c r="I1474" s="15" t="str">
        <f t="shared" si="121"/>
        <v>1037|Musa Al-Taamari|29|Jordan|RW|Rennes|10</v>
      </c>
      <c r="J1474" s="15" t="str">
        <f>IF(COUNTIF(I$438:I1474,I1474)&gt;1,"DOUBLON","OK")</f>
        <v>OK</v>
      </c>
      <c r="S1474" s="12" t="str">
        <v>Turkey</v>
      </c>
      <c r="T1474" s="12" t="str">
        <f t="shared" si="118"/>
        <v>OK</v>
      </c>
      <c r="U1474" s="12" t="str">
        <f t="shared" si="119"/>
        <v>-</v>
      </c>
      <c r="V1474" s="12" t="str" cm="1">
        <f t="array" ref="V1474">_xlfn.IFS(
ISNUMBER(SEARCH("USA",S1474)),"United States",
ISNUMBER(SEARCH("Republic of Ireland",S1474)),"Ireland",
ISNUMBER(SEARCH("Republic of Korea",S1474)),"South Korea",
ISNUMBER(SEARCH("Cape Verde",S1474)),"Cabo Verde",
ISNUMBER(SEARCH("Czechia",S1474)),"Czech Republic",
ISNUMBER(SEARCH("Türkiye",S1474)),"Turkey",
ISNUMBER(SEARCH("Ivory Coast",S1474)),"Côte d'Ivoire",
ISNUMBER(SEARCH("Korea Republic",S1474)),"South Korea",
ISNUMBER(SEARCH("Germany FR",S1474)),"FR Germany",
ISNUMBER(SEARCH("West Germany",S1474)),"FR Germany",
ISNUMBER(SEARCH("Germany DR",S1474)),"DR Germany",
ISNUMBER(SEARCH("Korea DPR",S1474)),"North Korea",
ISNUMBER(SEARCH("China PR",S1474)),"China",
ISNUMBER(SEARCH("IR Iran",S1474)),"Iran",
ISNUMBER(SEARCH("Congo DR",S1474)),"Democratic Republic of the Congo",
ISNUMBER(SEARCH("DR Congo",S1474)),"Democratic Republic of the Congo",
ISNUMBER(SEARCH("German DR",S1474)),"DR Germany",
ISNUMBER(SEARCH("rn""&gt;United Arab Emirates",S1474)),"United Arab Emirates",
ISNUMBER(SEARCH("rn""&gt;Republic of Ireland",S1474)),"Ireland",
ISNUMBER(SEARCH("rn""&gt;Bosnia and Herzegovina",S1474)),"Bosnia and Herzegovina",
ISNUMBER(SEARCH("rn""&gt;Trinidad and Tobago",S1474)),"Trinidad and Tobago",
ISNUMBER(SEARCH("rn""&gt;Serbia and Montenegro",S1474)),"Serbia and Montenegro",
ISNUMBER(SEARCH(_xlfn.UNICHAR(65533),S1474)),"Côte d'Ivoire",
TRUE,""
)</f>
        <v/>
      </c>
      <c r="W1474" s="12" t="str">
        <f t="shared" si="120"/>
        <v>Turkey</v>
      </c>
    </row>
    <row r="1475" spans="2:23">
      <c r="B1475" s="75">
        <v>1038</v>
      </c>
      <c r="C1475" s="15" t="str">
        <v>Odeh Al-Fakhouri</v>
      </c>
      <c r="D1475" s="15">
        <v>20</v>
      </c>
      <c r="E1475" s="15" t="str">
        <v>Jordan</v>
      </c>
      <c r="F1475" s="15" t="str">
        <v>RW</v>
      </c>
      <c r="G1475" s="15" t="str">
        <v>Pyramids</v>
      </c>
      <c r="H1475" s="15">
        <v>11</v>
      </c>
      <c r="I1475" s="15" t="str">
        <f t="shared" si="121"/>
        <v>1038|Odeh Al-Fakhouri|20|Jordan|RW|Pyramids|11</v>
      </c>
      <c r="J1475" s="15" t="str">
        <f>IF(COUNTIF(I$438:I1475,I1475)&gt;1,"DOUBLON","OK")</f>
        <v>OK</v>
      </c>
      <c r="S1475" s="12" t="str">
        <v>Turkey</v>
      </c>
      <c r="T1475" s="12" t="str">
        <f t="shared" si="118"/>
        <v>OK</v>
      </c>
      <c r="U1475" s="12" t="str">
        <f t="shared" si="119"/>
        <v>-</v>
      </c>
      <c r="V1475" s="12" t="str" cm="1">
        <f t="array" ref="V1475">_xlfn.IFS(
ISNUMBER(SEARCH("USA",S1475)),"United States",
ISNUMBER(SEARCH("Republic of Ireland",S1475)),"Ireland",
ISNUMBER(SEARCH("Republic of Korea",S1475)),"South Korea",
ISNUMBER(SEARCH("Cape Verde",S1475)),"Cabo Verde",
ISNUMBER(SEARCH("Czechia",S1475)),"Czech Republic",
ISNUMBER(SEARCH("Türkiye",S1475)),"Turkey",
ISNUMBER(SEARCH("Ivory Coast",S1475)),"Côte d'Ivoire",
ISNUMBER(SEARCH("Korea Republic",S1475)),"South Korea",
ISNUMBER(SEARCH("Germany FR",S1475)),"FR Germany",
ISNUMBER(SEARCH("West Germany",S1475)),"FR Germany",
ISNUMBER(SEARCH("Germany DR",S1475)),"DR Germany",
ISNUMBER(SEARCH("Korea DPR",S1475)),"North Korea",
ISNUMBER(SEARCH("China PR",S1475)),"China",
ISNUMBER(SEARCH("IR Iran",S1475)),"Iran",
ISNUMBER(SEARCH("Congo DR",S1475)),"Democratic Republic of the Congo",
ISNUMBER(SEARCH("DR Congo",S1475)),"Democratic Republic of the Congo",
ISNUMBER(SEARCH("German DR",S1475)),"DR Germany",
ISNUMBER(SEARCH("rn""&gt;United Arab Emirates",S1475)),"United Arab Emirates",
ISNUMBER(SEARCH("rn""&gt;Republic of Ireland",S1475)),"Ireland",
ISNUMBER(SEARCH("rn""&gt;Bosnia and Herzegovina",S1475)),"Bosnia and Herzegovina",
ISNUMBER(SEARCH("rn""&gt;Trinidad and Tobago",S1475)),"Trinidad and Tobago",
ISNUMBER(SEARCH("rn""&gt;Serbia and Montenegro",S1475)),"Serbia and Montenegro",
ISNUMBER(SEARCH(_xlfn.UNICHAR(65533),S1475)),"Côte d'Ivoire",
TRUE,""
)</f>
        <v/>
      </c>
      <c r="W1475" s="12" t="str">
        <f t="shared" si="120"/>
        <v>Turkey</v>
      </c>
    </row>
    <row r="1476" spans="2:23">
      <c r="B1476" s="75">
        <v>1039</v>
      </c>
      <c r="C1476" s="15" t="str">
        <v>Ali Azaizeh</v>
      </c>
      <c r="D1476" s="15">
        <v>22</v>
      </c>
      <c r="E1476" s="15" t="str">
        <v>Jordan</v>
      </c>
      <c r="F1476" s="15" t="str">
        <v>RW</v>
      </c>
      <c r="G1476" s="15" t="str">
        <v>Al-Shabab</v>
      </c>
      <c r="H1476" s="15">
        <v>24</v>
      </c>
      <c r="I1476" s="15" t="str">
        <f t="shared" si="121"/>
        <v>1039|Ali Azaizeh|22|Jordan|RW|Al-Shabab|24</v>
      </c>
      <c r="J1476" s="15" t="str">
        <f>IF(COUNTIF(I$438:I1476,I1476)&gt;1,"DOUBLON","OK")</f>
        <v>OK</v>
      </c>
      <c r="S1476" s="12" t="str">
        <v>Turkey</v>
      </c>
      <c r="T1476" s="12" t="str">
        <f t="shared" si="118"/>
        <v>OK</v>
      </c>
      <c r="U1476" s="12" t="str">
        <f t="shared" si="119"/>
        <v>-</v>
      </c>
      <c r="V1476" s="12" t="str" cm="1">
        <f t="array" ref="V1476">_xlfn.IFS(
ISNUMBER(SEARCH("USA",S1476)),"United States",
ISNUMBER(SEARCH("Republic of Ireland",S1476)),"Ireland",
ISNUMBER(SEARCH("Republic of Korea",S1476)),"South Korea",
ISNUMBER(SEARCH("Cape Verde",S1476)),"Cabo Verde",
ISNUMBER(SEARCH("Czechia",S1476)),"Czech Republic",
ISNUMBER(SEARCH("Türkiye",S1476)),"Turkey",
ISNUMBER(SEARCH("Ivory Coast",S1476)),"Côte d'Ivoire",
ISNUMBER(SEARCH("Korea Republic",S1476)),"South Korea",
ISNUMBER(SEARCH("Germany FR",S1476)),"FR Germany",
ISNUMBER(SEARCH("West Germany",S1476)),"FR Germany",
ISNUMBER(SEARCH("Germany DR",S1476)),"DR Germany",
ISNUMBER(SEARCH("Korea DPR",S1476)),"North Korea",
ISNUMBER(SEARCH("China PR",S1476)),"China",
ISNUMBER(SEARCH("IR Iran",S1476)),"Iran",
ISNUMBER(SEARCH("Congo DR",S1476)),"Democratic Republic of the Congo",
ISNUMBER(SEARCH("DR Congo",S1476)),"Democratic Republic of the Congo",
ISNUMBER(SEARCH("German DR",S1476)),"DR Germany",
ISNUMBER(SEARCH("rn""&gt;United Arab Emirates",S1476)),"United Arab Emirates",
ISNUMBER(SEARCH("rn""&gt;Republic of Ireland",S1476)),"Ireland",
ISNUMBER(SEARCH("rn""&gt;Bosnia and Herzegovina",S1476)),"Bosnia and Herzegovina",
ISNUMBER(SEARCH("rn""&gt;Trinidad and Tobago",S1476)),"Trinidad and Tobago",
ISNUMBER(SEARCH("rn""&gt;Serbia and Montenegro",S1476)),"Serbia and Montenegro",
ISNUMBER(SEARCH(_xlfn.UNICHAR(65533),S1476)),"Côte d'Ivoire",
TRUE,""
)</f>
        <v/>
      </c>
      <c r="W1476" s="12" t="str">
        <f t="shared" si="120"/>
        <v>Turkey</v>
      </c>
    </row>
    <row r="1477" spans="2:23">
      <c r="B1477" s="75">
        <v>1040</v>
      </c>
      <c r="C1477" s="15" t="str">
        <v>Ali Olwan</v>
      </c>
      <c r="D1477" s="15">
        <v>26</v>
      </c>
      <c r="E1477" s="15" t="str">
        <v>Jordan</v>
      </c>
      <c r="F1477" s="15" t="str">
        <v>ST</v>
      </c>
      <c r="G1477" s="15" t="str">
        <v>Al-Sailiya</v>
      </c>
      <c r="H1477" s="15">
        <v>9</v>
      </c>
      <c r="I1477" s="15" t="str">
        <f t="shared" si="121"/>
        <v>1040|Ali Olwan|26|Jordan|ST|Al-Sailiya|9</v>
      </c>
      <c r="J1477" s="15" t="str">
        <f>IF(COUNTIF(I$438:I1477,I1477)&gt;1,"DOUBLON","OK")</f>
        <v>OK</v>
      </c>
      <c r="S1477" s="12" t="str">
        <v>Turkey</v>
      </c>
      <c r="T1477" s="12" t="str">
        <f t="shared" si="118"/>
        <v>OK</v>
      </c>
      <c r="U1477" s="12" t="str">
        <f t="shared" si="119"/>
        <v>-</v>
      </c>
      <c r="V1477" s="12" t="str" cm="1">
        <f t="array" ref="V1477">_xlfn.IFS(
ISNUMBER(SEARCH("USA",S1477)),"United States",
ISNUMBER(SEARCH("Republic of Ireland",S1477)),"Ireland",
ISNUMBER(SEARCH("Republic of Korea",S1477)),"South Korea",
ISNUMBER(SEARCH("Cape Verde",S1477)),"Cabo Verde",
ISNUMBER(SEARCH("Czechia",S1477)),"Czech Republic",
ISNUMBER(SEARCH("Türkiye",S1477)),"Turkey",
ISNUMBER(SEARCH("Ivory Coast",S1477)),"Côte d'Ivoire",
ISNUMBER(SEARCH("Korea Republic",S1477)),"South Korea",
ISNUMBER(SEARCH("Germany FR",S1477)),"FR Germany",
ISNUMBER(SEARCH("West Germany",S1477)),"FR Germany",
ISNUMBER(SEARCH("Germany DR",S1477)),"DR Germany",
ISNUMBER(SEARCH("Korea DPR",S1477)),"North Korea",
ISNUMBER(SEARCH("China PR",S1477)),"China",
ISNUMBER(SEARCH("IR Iran",S1477)),"Iran",
ISNUMBER(SEARCH("Congo DR",S1477)),"Democratic Republic of the Congo",
ISNUMBER(SEARCH("DR Congo",S1477)),"Democratic Republic of the Congo",
ISNUMBER(SEARCH("German DR",S1477)),"DR Germany",
ISNUMBER(SEARCH("rn""&gt;United Arab Emirates",S1477)),"United Arab Emirates",
ISNUMBER(SEARCH("rn""&gt;Republic of Ireland",S1477)),"Ireland",
ISNUMBER(SEARCH("rn""&gt;Bosnia and Herzegovina",S1477)),"Bosnia and Herzegovina",
ISNUMBER(SEARCH("rn""&gt;Trinidad and Tobago",S1477)),"Trinidad and Tobago",
ISNUMBER(SEARCH("rn""&gt;Serbia and Montenegro",S1477)),"Serbia and Montenegro",
ISNUMBER(SEARCH(_xlfn.UNICHAR(65533),S1477)),"Côte d'Ivoire",
TRUE,""
)</f>
        <v/>
      </c>
      <c r="W1477" s="12" t="str">
        <f t="shared" si="120"/>
        <v>Turkey</v>
      </c>
    </row>
    <row r="1478" spans="2:23">
      <c r="B1478" s="75">
        <v>1041</v>
      </c>
      <c r="C1478" s="15" t="str">
        <v>David Ospina</v>
      </c>
      <c r="D1478" s="15">
        <v>37</v>
      </c>
      <c r="E1478" s="15" t="str">
        <v>Colombia</v>
      </c>
      <c r="F1478" s="15" t="str">
        <v>GK</v>
      </c>
      <c r="G1478" s="15" t="str">
        <v>Atlético Nacional</v>
      </c>
      <c r="H1478" s="15">
        <v>1</v>
      </c>
      <c r="I1478" s="15" t="str">
        <f t="shared" si="121"/>
        <v>1041|David Ospina|37|Colombia|GK|Atlético Nacional|1</v>
      </c>
      <c r="J1478" s="15" t="str">
        <f>IF(COUNTIF(I$438:I1478,I1478)&gt;1,"DOUBLON","OK")</f>
        <v>OK</v>
      </c>
      <c r="S1478" s="12" t="str">
        <v>Turkey</v>
      </c>
      <c r="T1478" s="12" t="str">
        <f t="shared" si="118"/>
        <v>OK</v>
      </c>
      <c r="U1478" s="12" t="str">
        <f t="shared" si="119"/>
        <v>-</v>
      </c>
      <c r="V1478" s="12" t="str" cm="1">
        <f t="array" ref="V1478">_xlfn.IFS(
ISNUMBER(SEARCH("USA",S1478)),"United States",
ISNUMBER(SEARCH("Republic of Ireland",S1478)),"Ireland",
ISNUMBER(SEARCH("Republic of Korea",S1478)),"South Korea",
ISNUMBER(SEARCH("Cape Verde",S1478)),"Cabo Verde",
ISNUMBER(SEARCH("Czechia",S1478)),"Czech Republic",
ISNUMBER(SEARCH("Türkiye",S1478)),"Turkey",
ISNUMBER(SEARCH("Ivory Coast",S1478)),"Côte d'Ivoire",
ISNUMBER(SEARCH("Korea Republic",S1478)),"South Korea",
ISNUMBER(SEARCH("Germany FR",S1478)),"FR Germany",
ISNUMBER(SEARCH("West Germany",S1478)),"FR Germany",
ISNUMBER(SEARCH("Germany DR",S1478)),"DR Germany",
ISNUMBER(SEARCH("Korea DPR",S1478)),"North Korea",
ISNUMBER(SEARCH("China PR",S1478)),"China",
ISNUMBER(SEARCH("IR Iran",S1478)),"Iran",
ISNUMBER(SEARCH("Congo DR",S1478)),"Democratic Republic of the Congo",
ISNUMBER(SEARCH("DR Congo",S1478)),"Democratic Republic of the Congo",
ISNUMBER(SEARCH("German DR",S1478)),"DR Germany",
ISNUMBER(SEARCH("rn""&gt;United Arab Emirates",S1478)),"United Arab Emirates",
ISNUMBER(SEARCH("rn""&gt;Republic of Ireland",S1478)),"Ireland",
ISNUMBER(SEARCH("rn""&gt;Bosnia and Herzegovina",S1478)),"Bosnia and Herzegovina",
ISNUMBER(SEARCH("rn""&gt;Trinidad and Tobago",S1478)),"Trinidad and Tobago",
ISNUMBER(SEARCH("rn""&gt;Serbia and Montenegro",S1478)),"Serbia and Montenegro",
ISNUMBER(SEARCH(_xlfn.UNICHAR(65533),S1478)),"Côte d'Ivoire",
TRUE,""
)</f>
        <v/>
      </c>
      <c r="W1478" s="12" t="str">
        <f t="shared" si="120"/>
        <v>Turkey</v>
      </c>
    </row>
    <row r="1479" spans="2:23">
      <c r="B1479" s="75">
        <v>1042</v>
      </c>
      <c r="C1479" s="15" t="str">
        <v>Camilo Vargas</v>
      </c>
      <c r="D1479" s="15">
        <v>37</v>
      </c>
      <c r="E1479" s="15" t="str">
        <v>Colombia</v>
      </c>
      <c r="F1479" s="15" t="str">
        <v>GK</v>
      </c>
      <c r="G1479" s="15" t="str">
        <v>Atlas</v>
      </c>
      <c r="H1479" s="15">
        <v>12</v>
      </c>
      <c r="I1479" s="15" t="str">
        <f t="shared" si="121"/>
        <v>1042|Camilo Vargas|37|Colombia|GK|Atlas|12</v>
      </c>
      <c r="J1479" s="15" t="str">
        <f>IF(COUNTIF(I$438:I1479,I1479)&gt;1,"DOUBLON","OK")</f>
        <v>OK</v>
      </c>
      <c r="S1479" s="12" t="str">
        <v>Turkey</v>
      </c>
      <c r="T1479" s="12" t="str">
        <f t="shared" si="118"/>
        <v>OK</v>
      </c>
      <c r="U1479" s="12" t="str">
        <f t="shared" si="119"/>
        <v>-</v>
      </c>
      <c r="V1479" s="12" t="str" cm="1">
        <f t="array" ref="V1479">_xlfn.IFS(
ISNUMBER(SEARCH("USA",S1479)),"United States",
ISNUMBER(SEARCH("Republic of Ireland",S1479)),"Ireland",
ISNUMBER(SEARCH("Republic of Korea",S1479)),"South Korea",
ISNUMBER(SEARCH("Cape Verde",S1479)),"Cabo Verde",
ISNUMBER(SEARCH("Czechia",S1479)),"Czech Republic",
ISNUMBER(SEARCH("Türkiye",S1479)),"Turkey",
ISNUMBER(SEARCH("Ivory Coast",S1479)),"Côte d'Ivoire",
ISNUMBER(SEARCH("Korea Republic",S1479)),"South Korea",
ISNUMBER(SEARCH("Germany FR",S1479)),"FR Germany",
ISNUMBER(SEARCH("West Germany",S1479)),"FR Germany",
ISNUMBER(SEARCH("Germany DR",S1479)),"DR Germany",
ISNUMBER(SEARCH("Korea DPR",S1479)),"North Korea",
ISNUMBER(SEARCH("China PR",S1479)),"China",
ISNUMBER(SEARCH("IR Iran",S1479)),"Iran",
ISNUMBER(SEARCH("Congo DR",S1479)),"Democratic Republic of the Congo",
ISNUMBER(SEARCH("DR Congo",S1479)),"Democratic Republic of the Congo",
ISNUMBER(SEARCH("German DR",S1479)),"DR Germany",
ISNUMBER(SEARCH("rn""&gt;United Arab Emirates",S1479)),"United Arab Emirates",
ISNUMBER(SEARCH("rn""&gt;Republic of Ireland",S1479)),"Ireland",
ISNUMBER(SEARCH("rn""&gt;Bosnia and Herzegovina",S1479)),"Bosnia and Herzegovina",
ISNUMBER(SEARCH("rn""&gt;Trinidad and Tobago",S1479)),"Trinidad and Tobago",
ISNUMBER(SEARCH("rn""&gt;Serbia and Montenegro",S1479)),"Serbia and Montenegro",
ISNUMBER(SEARCH(_xlfn.UNICHAR(65533),S1479)),"Côte d'Ivoire",
TRUE,""
)</f>
        <v/>
      </c>
      <c r="W1479" s="12" t="str">
        <f t="shared" si="120"/>
        <v>Turkey</v>
      </c>
    </row>
    <row r="1480" spans="2:23">
      <c r="B1480" s="75">
        <v>1043</v>
      </c>
      <c r="C1480" s="15" t="str">
        <v>Álvaro Montero</v>
      </c>
      <c r="D1480" s="15">
        <v>31</v>
      </c>
      <c r="E1480" s="15" t="str">
        <v>Colombia</v>
      </c>
      <c r="F1480" s="15" t="str">
        <v>GK</v>
      </c>
      <c r="G1480" s="15" t="str">
        <v>Vélez Sarsfield</v>
      </c>
      <c r="H1480" s="15">
        <v>24</v>
      </c>
      <c r="I1480" s="15" t="str">
        <f t="shared" si="121"/>
        <v>1043|Álvaro Montero|31|Colombia|GK|Vélez Sarsfield|24</v>
      </c>
      <c r="J1480" s="15" t="str">
        <f>IF(COUNTIF(I$438:I1480,I1480)&gt;1,"DOUBLON","OK")</f>
        <v>OK</v>
      </c>
      <c r="S1480" s="12" t="str">
        <v>Turkey</v>
      </c>
      <c r="T1480" s="12" t="str">
        <f t="shared" si="118"/>
        <v>OK</v>
      </c>
      <c r="U1480" s="12" t="str">
        <f t="shared" si="119"/>
        <v>-</v>
      </c>
      <c r="V1480" s="12" t="str" cm="1">
        <f t="array" ref="V1480">_xlfn.IFS(
ISNUMBER(SEARCH("USA",S1480)),"United States",
ISNUMBER(SEARCH("Republic of Ireland",S1480)),"Ireland",
ISNUMBER(SEARCH("Republic of Korea",S1480)),"South Korea",
ISNUMBER(SEARCH("Cape Verde",S1480)),"Cabo Verde",
ISNUMBER(SEARCH("Czechia",S1480)),"Czech Republic",
ISNUMBER(SEARCH("Türkiye",S1480)),"Turkey",
ISNUMBER(SEARCH("Ivory Coast",S1480)),"Côte d'Ivoire",
ISNUMBER(SEARCH("Korea Republic",S1480)),"South Korea",
ISNUMBER(SEARCH("Germany FR",S1480)),"FR Germany",
ISNUMBER(SEARCH("West Germany",S1480)),"FR Germany",
ISNUMBER(SEARCH("Germany DR",S1480)),"DR Germany",
ISNUMBER(SEARCH("Korea DPR",S1480)),"North Korea",
ISNUMBER(SEARCH("China PR",S1480)),"China",
ISNUMBER(SEARCH("IR Iran",S1480)),"Iran",
ISNUMBER(SEARCH("Congo DR",S1480)),"Democratic Republic of the Congo",
ISNUMBER(SEARCH("DR Congo",S1480)),"Democratic Republic of the Congo",
ISNUMBER(SEARCH("German DR",S1480)),"DR Germany",
ISNUMBER(SEARCH("rn""&gt;United Arab Emirates",S1480)),"United Arab Emirates",
ISNUMBER(SEARCH("rn""&gt;Republic of Ireland",S1480)),"Ireland",
ISNUMBER(SEARCH("rn""&gt;Bosnia and Herzegovina",S1480)),"Bosnia and Herzegovina",
ISNUMBER(SEARCH("rn""&gt;Trinidad and Tobago",S1480)),"Trinidad and Tobago",
ISNUMBER(SEARCH("rn""&gt;Serbia and Montenegro",S1480)),"Serbia and Montenegro",
ISNUMBER(SEARCH(_xlfn.UNICHAR(65533),S1480)),"Côte d'Ivoire",
TRUE,""
)</f>
        <v/>
      </c>
      <c r="W1480" s="12" t="str">
        <f t="shared" si="120"/>
        <v>Turkey</v>
      </c>
    </row>
    <row r="1481" spans="2:23">
      <c r="B1481" s="75">
        <v>1044</v>
      </c>
      <c r="C1481" s="15" t="str">
        <v>Jhon Lucumí</v>
      </c>
      <c r="D1481" s="15">
        <v>27</v>
      </c>
      <c r="E1481" s="15" t="str">
        <v>Colombia</v>
      </c>
      <c r="F1481" s="15" t="str">
        <v>CB</v>
      </c>
      <c r="G1481" s="15" t="str">
        <v>Bologna</v>
      </c>
      <c r="H1481" s="15">
        <v>3</v>
      </c>
      <c r="I1481" s="15" t="str">
        <f t="shared" si="121"/>
        <v>1044|Jhon Lucumí|27|Colombia|CB|Bologna|3</v>
      </c>
      <c r="J1481" s="15" t="str">
        <f>IF(COUNTIF(I$438:I1481,I1481)&gt;1,"DOUBLON","OK")</f>
        <v>OK</v>
      </c>
      <c r="S1481" s="12" t="str">
        <v>Turkey</v>
      </c>
      <c r="T1481" s="12" t="str">
        <f t="shared" si="118"/>
        <v>OK</v>
      </c>
      <c r="U1481" s="12" t="str">
        <f t="shared" si="119"/>
        <v>-</v>
      </c>
      <c r="V1481" s="12" t="str" cm="1">
        <f t="array" ref="V1481">_xlfn.IFS(
ISNUMBER(SEARCH("USA",S1481)),"United States",
ISNUMBER(SEARCH("Republic of Ireland",S1481)),"Ireland",
ISNUMBER(SEARCH("Republic of Korea",S1481)),"South Korea",
ISNUMBER(SEARCH("Cape Verde",S1481)),"Cabo Verde",
ISNUMBER(SEARCH("Czechia",S1481)),"Czech Republic",
ISNUMBER(SEARCH("Türkiye",S1481)),"Turkey",
ISNUMBER(SEARCH("Ivory Coast",S1481)),"Côte d'Ivoire",
ISNUMBER(SEARCH("Korea Republic",S1481)),"South Korea",
ISNUMBER(SEARCH("Germany FR",S1481)),"FR Germany",
ISNUMBER(SEARCH("West Germany",S1481)),"FR Germany",
ISNUMBER(SEARCH("Germany DR",S1481)),"DR Germany",
ISNUMBER(SEARCH("Korea DPR",S1481)),"North Korea",
ISNUMBER(SEARCH("China PR",S1481)),"China",
ISNUMBER(SEARCH("IR Iran",S1481)),"Iran",
ISNUMBER(SEARCH("Congo DR",S1481)),"Democratic Republic of the Congo",
ISNUMBER(SEARCH("DR Congo",S1481)),"Democratic Republic of the Congo",
ISNUMBER(SEARCH("German DR",S1481)),"DR Germany",
ISNUMBER(SEARCH("rn""&gt;United Arab Emirates",S1481)),"United Arab Emirates",
ISNUMBER(SEARCH("rn""&gt;Republic of Ireland",S1481)),"Ireland",
ISNUMBER(SEARCH("rn""&gt;Bosnia and Herzegovina",S1481)),"Bosnia and Herzegovina",
ISNUMBER(SEARCH("rn""&gt;Trinidad and Tobago",S1481)),"Trinidad and Tobago",
ISNUMBER(SEARCH("rn""&gt;Serbia and Montenegro",S1481)),"Serbia and Montenegro",
ISNUMBER(SEARCH(_xlfn.UNICHAR(65533),S1481)),"Côte d'Ivoire",
TRUE,""
)</f>
        <v/>
      </c>
      <c r="W1481" s="12" t="str">
        <f t="shared" si="120"/>
        <v>Turkey</v>
      </c>
    </row>
    <row r="1482" spans="2:23">
      <c r="B1482" s="75">
        <v>1045</v>
      </c>
      <c r="C1482" s="15" t="str">
        <v>Yerry Mina</v>
      </c>
      <c r="D1482" s="15">
        <v>31</v>
      </c>
      <c r="E1482" s="15" t="str">
        <v>Colombia</v>
      </c>
      <c r="F1482" s="15" t="str">
        <v>CB</v>
      </c>
      <c r="G1482" s="15" t="str">
        <v>Cagliari</v>
      </c>
      <c r="H1482" s="15">
        <v>13</v>
      </c>
      <c r="I1482" s="15" t="str">
        <f t="shared" si="121"/>
        <v>1045|Yerry Mina|31|Colombia|CB|Cagliari|13</v>
      </c>
      <c r="J1482" s="15" t="str">
        <f>IF(COUNTIF(I$438:I1482,I1482)&gt;1,"DOUBLON","OK")</f>
        <v>OK</v>
      </c>
      <c r="S1482" s="12" t="str">
        <v>Turkey</v>
      </c>
      <c r="T1482" s="12" t="str">
        <f t="shared" si="118"/>
        <v>OK</v>
      </c>
      <c r="U1482" s="12" t="str">
        <f t="shared" si="119"/>
        <v>-</v>
      </c>
      <c r="V1482" s="12" t="str" cm="1">
        <f t="array" ref="V1482">_xlfn.IFS(
ISNUMBER(SEARCH("USA",S1482)),"United States",
ISNUMBER(SEARCH("Republic of Ireland",S1482)),"Ireland",
ISNUMBER(SEARCH("Republic of Korea",S1482)),"South Korea",
ISNUMBER(SEARCH("Cape Verde",S1482)),"Cabo Verde",
ISNUMBER(SEARCH("Czechia",S1482)),"Czech Republic",
ISNUMBER(SEARCH("Türkiye",S1482)),"Turkey",
ISNUMBER(SEARCH("Ivory Coast",S1482)),"Côte d'Ivoire",
ISNUMBER(SEARCH("Korea Republic",S1482)),"South Korea",
ISNUMBER(SEARCH("Germany FR",S1482)),"FR Germany",
ISNUMBER(SEARCH("West Germany",S1482)),"FR Germany",
ISNUMBER(SEARCH("Germany DR",S1482)),"DR Germany",
ISNUMBER(SEARCH("Korea DPR",S1482)),"North Korea",
ISNUMBER(SEARCH("China PR",S1482)),"China",
ISNUMBER(SEARCH("IR Iran",S1482)),"Iran",
ISNUMBER(SEARCH("Congo DR",S1482)),"Democratic Republic of the Congo",
ISNUMBER(SEARCH("DR Congo",S1482)),"Democratic Republic of the Congo",
ISNUMBER(SEARCH("German DR",S1482)),"DR Germany",
ISNUMBER(SEARCH("rn""&gt;United Arab Emirates",S1482)),"United Arab Emirates",
ISNUMBER(SEARCH("rn""&gt;Republic of Ireland",S1482)),"Ireland",
ISNUMBER(SEARCH("rn""&gt;Bosnia and Herzegovina",S1482)),"Bosnia and Herzegovina",
ISNUMBER(SEARCH("rn""&gt;Trinidad and Tobago",S1482)),"Trinidad and Tobago",
ISNUMBER(SEARCH("rn""&gt;Serbia and Montenegro",S1482)),"Serbia and Montenegro",
ISNUMBER(SEARCH(_xlfn.UNICHAR(65533),S1482)),"Côte d'Ivoire",
TRUE,""
)</f>
        <v/>
      </c>
      <c r="W1482" s="12" t="str">
        <f t="shared" si="120"/>
        <v>Turkey</v>
      </c>
    </row>
    <row r="1483" spans="2:23">
      <c r="B1483" s="75">
        <v>1046</v>
      </c>
      <c r="C1483" s="15" t="str">
        <v>Willer Ditta</v>
      </c>
      <c r="D1483" s="15">
        <v>28</v>
      </c>
      <c r="E1483" s="15" t="str">
        <v>Colombia</v>
      </c>
      <c r="F1483" s="15" t="str">
        <v>CB</v>
      </c>
      <c r="G1483" s="15" t="str">
        <v>Cruz Azul</v>
      </c>
      <c r="H1483" s="15">
        <v>18</v>
      </c>
      <c r="I1483" s="15" t="str">
        <f t="shared" si="121"/>
        <v>1046|Willer Ditta|28|Colombia|CB|Cruz Azul|18</v>
      </c>
      <c r="J1483" s="15" t="str">
        <f>IF(COUNTIF(I$438:I1483,I1483)&gt;1,"DOUBLON","OK")</f>
        <v>OK</v>
      </c>
      <c r="S1483" s="12" t="str">
        <v>Turkey</v>
      </c>
      <c r="T1483" s="12" t="str">
        <f t="shared" si="118"/>
        <v>OK</v>
      </c>
      <c r="U1483" s="12" t="str">
        <f t="shared" si="119"/>
        <v>-</v>
      </c>
      <c r="V1483" s="12" t="str" cm="1">
        <f t="array" ref="V1483">_xlfn.IFS(
ISNUMBER(SEARCH("USA",S1483)),"United States",
ISNUMBER(SEARCH("Republic of Ireland",S1483)),"Ireland",
ISNUMBER(SEARCH("Republic of Korea",S1483)),"South Korea",
ISNUMBER(SEARCH("Cape Verde",S1483)),"Cabo Verde",
ISNUMBER(SEARCH("Czechia",S1483)),"Czech Republic",
ISNUMBER(SEARCH("Türkiye",S1483)),"Turkey",
ISNUMBER(SEARCH("Ivory Coast",S1483)),"Côte d'Ivoire",
ISNUMBER(SEARCH("Korea Republic",S1483)),"South Korea",
ISNUMBER(SEARCH("Germany FR",S1483)),"FR Germany",
ISNUMBER(SEARCH("West Germany",S1483)),"FR Germany",
ISNUMBER(SEARCH("Germany DR",S1483)),"DR Germany",
ISNUMBER(SEARCH("Korea DPR",S1483)),"North Korea",
ISNUMBER(SEARCH("China PR",S1483)),"China",
ISNUMBER(SEARCH("IR Iran",S1483)),"Iran",
ISNUMBER(SEARCH("Congo DR",S1483)),"Democratic Republic of the Congo",
ISNUMBER(SEARCH("DR Congo",S1483)),"Democratic Republic of the Congo",
ISNUMBER(SEARCH("German DR",S1483)),"DR Germany",
ISNUMBER(SEARCH("rn""&gt;United Arab Emirates",S1483)),"United Arab Emirates",
ISNUMBER(SEARCH("rn""&gt;Republic of Ireland",S1483)),"Ireland",
ISNUMBER(SEARCH("rn""&gt;Bosnia and Herzegovina",S1483)),"Bosnia and Herzegovina",
ISNUMBER(SEARCH("rn""&gt;Trinidad and Tobago",S1483)),"Trinidad and Tobago",
ISNUMBER(SEARCH("rn""&gt;Serbia and Montenegro",S1483)),"Serbia and Montenegro",
ISNUMBER(SEARCH(_xlfn.UNICHAR(65533),S1483)),"Côte d'Ivoire",
TRUE,""
)</f>
        <v/>
      </c>
      <c r="W1483" s="12" t="str">
        <f t="shared" si="120"/>
        <v>Turkey</v>
      </c>
    </row>
    <row r="1484" spans="2:23">
      <c r="B1484" s="75">
        <v>1047</v>
      </c>
      <c r="C1484" s="15" t="str">
        <v>Davinson Sánchez</v>
      </c>
      <c r="D1484" s="15">
        <v>29</v>
      </c>
      <c r="E1484" s="15" t="str">
        <v>Colombia</v>
      </c>
      <c r="F1484" s="15" t="str">
        <v>CB</v>
      </c>
      <c r="G1484" s="15" t="str">
        <v>Galatasaray</v>
      </c>
      <c r="H1484" s="15">
        <v>23</v>
      </c>
      <c r="I1484" s="15" t="str">
        <f t="shared" si="121"/>
        <v>1047|Davinson Sánchez|29|Colombia|CB|Galatasaray|23</v>
      </c>
      <c r="J1484" s="15" t="str">
        <f>IF(COUNTIF(I$438:I1484,I1484)&gt;1,"DOUBLON","OK")</f>
        <v>OK</v>
      </c>
      <c r="S1484" s="12" t="str">
        <v>Turkey</v>
      </c>
      <c r="T1484" s="12" t="str">
        <f t="shared" si="118"/>
        <v>OK</v>
      </c>
      <c r="U1484" s="12" t="str">
        <f t="shared" si="119"/>
        <v>-</v>
      </c>
      <c r="V1484" s="12" t="str" cm="1">
        <f t="array" ref="V1484">_xlfn.IFS(
ISNUMBER(SEARCH("USA",S1484)),"United States",
ISNUMBER(SEARCH("Republic of Ireland",S1484)),"Ireland",
ISNUMBER(SEARCH("Republic of Korea",S1484)),"South Korea",
ISNUMBER(SEARCH("Cape Verde",S1484)),"Cabo Verde",
ISNUMBER(SEARCH("Czechia",S1484)),"Czech Republic",
ISNUMBER(SEARCH("Türkiye",S1484)),"Turkey",
ISNUMBER(SEARCH("Ivory Coast",S1484)),"Côte d'Ivoire",
ISNUMBER(SEARCH("Korea Republic",S1484)),"South Korea",
ISNUMBER(SEARCH("Germany FR",S1484)),"FR Germany",
ISNUMBER(SEARCH("West Germany",S1484)),"FR Germany",
ISNUMBER(SEARCH("Germany DR",S1484)),"DR Germany",
ISNUMBER(SEARCH("Korea DPR",S1484)),"North Korea",
ISNUMBER(SEARCH("China PR",S1484)),"China",
ISNUMBER(SEARCH("IR Iran",S1484)),"Iran",
ISNUMBER(SEARCH("Congo DR",S1484)),"Democratic Republic of the Congo",
ISNUMBER(SEARCH("DR Congo",S1484)),"Democratic Republic of the Congo",
ISNUMBER(SEARCH("German DR",S1484)),"DR Germany",
ISNUMBER(SEARCH("rn""&gt;United Arab Emirates",S1484)),"United Arab Emirates",
ISNUMBER(SEARCH("rn""&gt;Republic of Ireland",S1484)),"Ireland",
ISNUMBER(SEARCH("rn""&gt;Bosnia and Herzegovina",S1484)),"Bosnia and Herzegovina",
ISNUMBER(SEARCH("rn""&gt;Trinidad and Tobago",S1484)),"Trinidad and Tobago",
ISNUMBER(SEARCH("rn""&gt;Serbia and Montenegro",S1484)),"Serbia and Montenegro",
ISNUMBER(SEARCH(_xlfn.UNICHAR(65533),S1484)),"Côte d'Ivoire",
TRUE,""
)</f>
        <v/>
      </c>
      <c r="W1484" s="12" t="str">
        <f t="shared" si="120"/>
        <v>Turkey</v>
      </c>
    </row>
    <row r="1485" spans="2:23">
      <c r="B1485" s="75">
        <v>1048</v>
      </c>
      <c r="C1485" s="15" t="str">
        <v>Johan Mojica</v>
      </c>
      <c r="D1485" s="15">
        <v>33</v>
      </c>
      <c r="E1485" s="15" t="str">
        <v>Colombia</v>
      </c>
      <c r="F1485" s="15" t="str">
        <v>LB</v>
      </c>
      <c r="G1485" s="15" t="str">
        <v>Mallorca</v>
      </c>
      <c r="H1485" s="15">
        <v>17</v>
      </c>
      <c r="I1485" s="15" t="str">
        <f t="shared" si="121"/>
        <v>1048|Johan Mojica|33|Colombia|LB|Mallorca|17</v>
      </c>
      <c r="J1485" s="15" t="str">
        <f>IF(COUNTIF(I$438:I1485,I1485)&gt;1,"DOUBLON","OK")</f>
        <v>OK</v>
      </c>
      <c r="S1485" s="12" t="str">
        <v>Australia</v>
      </c>
      <c r="T1485" s="12" t="str">
        <f t="shared" si="118"/>
        <v>OK</v>
      </c>
      <c r="U1485" s="12" t="str">
        <f t="shared" si="119"/>
        <v>-</v>
      </c>
      <c r="V1485" s="12" t="str" cm="1">
        <f t="array" ref="V1485">_xlfn.IFS(
ISNUMBER(SEARCH("USA",S1485)),"United States",
ISNUMBER(SEARCH("Republic of Ireland",S1485)),"Ireland",
ISNUMBER(SEARCH("Republic of Korea",S1485)),"South Korea",
ISNUMBER(SEARCH("Cape Verde",S1485)),"Cabo Verde",
ISNUMBER(SEARCH("Czechia",S1485)),"Czech Republic",
ISNUMBER(SEARCH("Türkiye",S1485)),"Turkey",
ISNUMBER(SEARCH("Ivory Coast",S1485)),"Côte d'Ivoire",
ISNUMBER(SEARCH("Korea Republic",S1485)),"South Korea",
ISNUMBER(SEARCH("Germany FR",S1485)),"FR Germany",
ISNUMBER(SEARCH("West Germany",S1485)),"FR Germany",
ISNUMBER(SEARCH("Germany DR",S1485)),"DR Germany",
ISNUMBER(SEARCH("Korea DPR",S1485)),"North Korea",
ISNUMBER(SEARCH("China PR",S1485)),"China",
ISNUMBER(SEARCH("IR Iran",S1485)),"Iran",
ISNUMBER(SEARCH("Congo DR",S1485)),"Democratic Republic of the Congo",
ISNUMBER(SEARCH("DR Congo",S1485)),"Democratic Republic of the Congo",
ISNUMBER(SEARCH("German DR",S1485)),"DR Germany",
ISNUMBER(SEARCH("rn""&gt;United Arab Emirates",S1485)),"United Arab Emirates",
ISNUMBER(SEARCH("rn""&gt;Republic of Ireland",S1485)),"Ireland",
ISNUMBER(SEARCH("rn""&gt;Bosnia and Herzegovina",S1485)),"Bosnia and Herzegovina",
ISNUMBER(SEARCH("rn""&gt;Trinidad and Tobago",S1485)),"Trinidad and Tobago",
ISNUMBER(SEARCH("rn""&gt;Serbia and Montenegro",S1485)),"Serbia and Montenegro",
ISNUMBER(SEARCH(_xlfn.UNICHAR(65533),S1485)),"Côte d'Ivoire",
TRUE,""
)</f>
        <v/>
      </c>
      <c r="W1485" s="12" t="str">
        <f t="shared" si="120"/>
        <v>Australia</v>
      </c>
    </row>
    <row r="1486" spans="2:23">
      <c r="B1486" s="75">
        <v>1049</v>
      </c>
      <c r="C1486" s="15" t="str">
        <v>Deiver Machado</v>
      </c>
      <c r="D1486" s="15">
        <v>32</v>
      </c>
      <c r="E1486" s="15" t="str">
        <v>Colombia</v>
      </c>
      <c r="F1486" s="15" t="str">
        <v>LB</v>
      </c>
      <c r="G1486" s="15" t="str">
        <v>Nantes</v>
      </c>
      <c r="H1486" s="15">
        <v>22</v>
      </c>
      <c r="I1486" s="15" t="str">
        <f t="shared" si="121"/>
        <v>1049|Deiver Machado|32|Colombia|LB|Nantes|22</v>
      </c>
      <c r="J1486" s="15" t="str">
        <f>IF(COUNTIF(I$438:I1486,I1486)&gt;1,"DOUBLON","OK")</f>
        <v>OK</v>
      </c>
      <c r="S1486" s="12" t="str">
        <v>Australia</v>
      </c>
      <c r="T1486" s="12" t="str">
        <f t="shared" si="118"/>
        <v>OK</v>
      </c>
      <c r="U1486" s="12" t="str">
        <f t="shared" si="119"/>
        <v>-</v>
      </c>
      <c r="V1486" s="12" t="str" cm="1">
        <f t="array" ref="V1486">_xlfn.IFS(
ISNUMBER(SEARCH("USA",S1486)),"United States",
ISNUMBER(SEARCH("Republic of Ireland",S1486)),"Ireland",
ISNUMBER(SEARCH("Republic of Korea",S1486)),"South Korea",
ISNUMBER(SEARCH("Cape Verde",S1486)),"Cabo Verde",
ISNUMBER(SEARCH("Czechia",S1486)),"Czech Republic",
ISNUMBER(SEARCH("Türkiye",S1486)),"Turkey",
ISNUMBER(SEARCH("Ivory Coast",S1486)),"Côte d'Ivoire",
ISNUMBER(SEARCH("Korea Republic",S1486)),"South Korea",
ISNUMBER(SEARCH("Germany FR",S1486)),"FR Germany",
ISNUMBER(SEARCH("West Germany",S1486)),"FR Germany",
ISNUMBER(SEARCH("Germany DR",S1486)),"DR Germany",
ISNUMBER(SEARCH("Korea DPR",S1486)),"North Korea",
ISNUMBER(SEARCH("China PR",S1486)),"China",
ISNUMBER(SEARCH("IR Iran",S1486)),"Iran",
ISNUMBER(SEARCH("Congo DR",S1486)),"Democratic Republic of the Congo",
ISNUMBER(SEARCH("DR Congo",S1486)),"Democratic Republic of the Congo",
ISNUMBER(SEARCH("German DR",S1486)),"DR Germany",
ISNUMBER(SEARCH("rn""&gt;United Arab Emirates",S1486)),"United Arab Emirates",
ISNUMBER(SEARCH("rn""&gt;Republic of Ireland",S1486)),"Ireland",
ISNUMBER(SEARCH("rn""&gt;Bosnia and Herzegovina",S1486)),"Bosnia and Herzegovina",
ISNUMBER(SEARCH("rn""&gt;Trinidad and Tobago",S1486)),"Trinidad and Tobago",
ISNUMBER(SEARCH("rn""&gt;Serbia and Montenegro",S1486)),"Serbia and Montenegro",
ISNUMBER(SEARCH(_xlfn.UNICHAR(65533),S1486)),"Côte d'Ivoire",
TRUE,""
)</f>
        <v/>
      </c>
      <c r="W1486" s="12" t="str">
        <f t="shared" si="120"/>
        <v>Australia</v>
      </c>
    </row>
    <row r="1487" spans="2:23">
      <c r="B1487" s="75">
        <v>1050</v>
      </c>
      <c r="C1487" s="15" t="str">
        <v>Daniel Muñoz</v>
      </c>
      <c r="D1487" s="15">
        <v>30</v>
      </c>
      <c r="E1487" s="15" t="str">
        <v>Colombia</v>
      </c>
      <c r="F1487" s="15" t="str">
        <v>RB</v>
      </c>
      <c r="G1487" s="15" t="str">
        <v>Crystal Palace</v>
      </c>
      <c r="H1487" s="15">
        <v>2</v>
      </c>
      <c r="I1487" s="15" t="str">
        <f t="shared" si="121"/>
        <v>1050|Daniel Muñoz|30|Colombia|RB|Crystal Palace|2</v>
      </c>
      <c r="J1487" s="15" t="str">
        <f>IF(COUNTIF(I$438:I1487,I1487)&gt;1,"DOUBLON","OK")</f>
        <v>OK</v>
      </c>
      <c r="S1487" s="12" t="str">
        <v>Australia</v>
      </c>
      <c r="T1487" s="12" t="str">
        <f t="shared" si="118"/>
        <v>OK</v>
      </c>
      <c r="U1487" s="12" t="str">
        <f t="shared" si="119"/>
        <v>-</v>
      </c>
      <c r="V1487" s="12" t="str" cm="1">
        <f t="array" ref="V1487">_xlfn.IFS(
ISNUMBER(SEARCH("USA",S1487)),"United States",
ISNUMBER(SEARCH("Republic of Ireland",S1487)),"Ireland",
ISNUMBER(SEARCH("Republic of Korea",S1487)),"South Korea",
ISNUMBER(SEARCH("Cape Verde",S1487)),"Cabo Verde",
ISNUMBER(SEARCH("Czechia",S1487)),"Czech Republic",
ISNUMBER(SEARCH("Türkiye",S1487)),"Turkey",
ISNUMBER(SEARCH("Ivory Coast",S1487)),"Côte d'Ivoire",
ISNUMBER(SEARCH("Korea Republic",S1487)),"South Korea",
ISNUMBER(SEARCH("Germany FR",S1487)),"FR Germany",
ISNUMBER(SEARCH("West Germany",S1487)),"FR Germany",
ISNUMBER(SEARCH("Germany DR",S1487)),"DR Germany",
ISNUMBER(SEARCH("Korea DPR",S1487)),"North Korea",
ISNUMBER(SEARCH("China PR",S1487)),"China",
ISNUMBER(SEARCH("IR Iran",S1487)),"Iran",
ISNUMBER(SEARCH("Congo DR",S1487)),"Democratic Republic of the Congo",
ISNUMBER(SEARCH("DR Congo",S1487)),"Democratic Republic of the Congo",
ISNUMBER(SEARCH("German DR",S1487)),"DR Germany",
ISNUMBER(SEARCH("rn""&gt;United Arab Emirates",S1487)),"United Arab Emirates",
ISNUMBER(SEARCH("rn""&gt;Republic of Ireland",S1487)),"Ireland",
ISNUMBER(SEARCH("rn""&gt;Bosnia and Herzegovina",S1487)),"Bosnia and Herzegovina",
ISNUMBER(SEARCH("rn""&gt;Trinidad and Tobago",S1487)),"Trinidad and Tobago",
ISNUMBER(SEARCH("rn""&gt;Serbia and Montenegro",S1487)),"Serbia and Montenegro",
ISNUMBER(SEARCH(_xlfn.UNICHAR(65533),S1487)),"Côte d'Ivoire",
TRUE,""
)</f>
        <v/>
      </c>
      <c r="W1487" s="12" t="str">
        <f t="shared" si="120"/>
        <v>Australia</v>
      </c>
    </row>
    <row r="1488" spans="2:23">
      <c r="B1488" s="75">
        <v>1051</v>
      </c>
      <c r="C1488" s="15" t="str">
        <v>Santiago Arias</v>
      </c>
      <c r="D1488" s="15">
        <v>34</v>
      </c>
      <c r="E1488" s="15" t="str">
        <v>Colombia</v>
      </c>
      <c r="F1488" s="15" t="str">
        <v>RB</v>
      </c>
      <c r="G1488" s="15" t="str">
        <v>Independiente</v>
      </c>
      <c r="H1488" s="15">
        <v>4</v>
      </c>
      <c r="I1488" s="15" t="str">
        <f t="shared" si="121"/>
        <v>1051|Santiago Arias|34|Colombia|RB|Independiente|4</v>
      </c>
      <c r="J1488" s="15" t="str">
        <f>IF(COUNTIF(I$438:I1488,I1488)&gt;1,"DOUBLON","OK")</f>
        <v>OK</v>
      </c>
      <c r="S1488" s="12" t="str">
        <v>Australia</v>
      </c>
      <c r="T1488" s="12" t="str">
        <f t="shared" si="118"/>
        <v>OK</v>
      </c>
      <c r="U1488" s="12" t="str">
        <f t="shared" si="119"/>
        <v>-</v>
      </c>
      <c r="V1488" s="12" t="str" cm="1">
        <f t="array" ref="V1488">_xlfn.IFS(
ISNUMBER(SEARCH("USA",S1488)),"United States",
ISNUMBER(SEARCH("Republic of Ireland",S1488)),"Ireland",
ISNUMBER(SEARCH("Republic of Korea",S1488)),"South Korea",
ISNUMBER(SEARCH("Cape Verde",S1488)),"Cabo Verde",
ISNUMBER(SEARCH("Czechia",S1488)),"Czech Republic",
ISNUMBER(SEARCH("Türkiye",S1488)),"Turkey",
ISNUMBER(SEARCH("Ivory Coast",S1488)),"Côte d'Ivoire",
ISNUMBER(SEARCH("Korea Republic",S1488)),"South Korea",
ISNUMBER(SEARCH("Germany FR",S1488)),"FR Germany",
ISNUMBER(SEARCH("West Germany",S1488)),"FR Germany",
ISNUMBER(SEARCH("Germany DR",S1488)),"DR Germany",
ISNUMBER(SEARCH("Korea DPR",S1488)),"North Korea",
ISNUMBER(SEARCH("China PR",S1488)),"China",
ISNUMBER(SEARCH("IR Iran",S1488)),"Iran",
ISNUMBER(SEARCH("Congo DR",S1488)),"Democratic Republic of the Congo",
ISNUMBER(SEARCH("DR Congo",S1488)),"Democratic Republic of the Congo",
ISNUMBER(SEARCH("German DR",S1488)),"DR Germany",
ISNUMBER(SEARCH("rn""&gt;United Arab Emirates",S1488)),"United Arab Emirates",
ISNUMBER(SEARCH("rn""&gt;Republic of Ireland",S1488)),"Ireland",
ISNUMBER(SEARCH("rn""&gt;Bosnia and Herzegovina",S1488)),"Bosnia and Herzegovina",
ISNUMBER(SEARCH("rn""&gt;Trinidad and Tobago",S1488)),"Trinidad and Tobago",
ISNUMBER(SEARCH("rn""&gt;Serbia and Montenegro",S1488)),"Serbia and Montenegro",
ISNUMBER(SEARCH(_xlfn.UNICHAR(65533),S1488)),"Côte d'Ivoire",
TRUE,""
)</f>
        <v/>
      </c>
      <c r="W1488" s="12" t="str">
        <f t="shared" si="120"/>
        <v>Australia</v>
      </c>
    </row>
    <row r="1489" spans="2:23">
      <c r="B1489" s="75">
        <v>1052</v>
      </c>
      <c r="C1489" s="15" t="str">
        <v>Gustavo Puerta</v>
      </c>
      <c r="D1489" s="15">
        <v>22</v>
      </c>
      <c r="E1489" s="15" t="str">
        <v>Colombia</v>
      </c>
      <c r="F1489" s="15" t="str">
        <v>RB</v>
      </c>
      <c r="G1489" s="15" t="str">
        <v>Racing Santander</v>
      </c>
      <c r="H1489" s="15">
        <v>14</v>
      </c>
      <c r="I1489" s="15" t="str">
        <f t="shared" si="121"/>
        <v>1052|Gustavo Puerta|22|Colombia|RB|Racing Santander|14</v>
      </c>
      <c r="J1489" s="15" t="str">
        <f>IF(COUNTIF(I$438:I1489,I1489)&gt;1,"DOUBLON","OK")</f>
        <v>OK</v>
      </c>
      <c r="S1489" s="12" t="str">
        <v>Australia</v>
      </c>
      <c r="T1489" s="12" t="str">
        <f t="shared" si="118"/>
        <v>OK</v>
      </c>
      <c r="U1489" s="12" t="str">
        <f t="shared" si="119"/>
        <v>-</v>
      </c>
      <c r="V1489" s="12" t="str" cm="1">
        <f t="array" ref="V1489">_xlfn.IFS(
ISNUMBER(SEARCH("USA",S1489)),"United States",
ISNUMBER(SEARCH("Republic of Ireland",S1489)),"Ireland",
ISNUMBER(SEARCH("Republic of Korea",S1489)),"South Korea",
ISNUMBER(SEARCH("Cape Verde",S1489)),"Cabo Verde",
ISNUMBER(SEARCH("Czechia",S1489)),"Czech Republic",
ISNUMBER(SEARCH("Türkiye",S1489)),"Turkey",
ISNUMBER(SEARCH("Ivory Coast",S1489)),"Côte d'Ivoire",
ISNUMBER(SEARCH("Korea Republic",S1489)),"South Korea",
ISNUMBER(SEARCH("Germany FR",S1489)),"FR Germany",
ISNUMBER(SEARCH("West Germany",S1489)),"FR Germany",
ISNUMBER(SEARCH("Germany DR",S1489)),"DR Germany",
ISNUMBER(SEARCH("Korea DPR",S1489)),"North Korea",
ISNUMBER(SEARCH("China PR",S1489)),"China",
ISNUMBER(SEARCH("IR Iran",S1489)),"Iran",
ISNUMBER(SEARCH("Congo DR",S1489)),"Democratic Republic of the Congo",
ISNUMBER(SEARCH("DR Congo",S1489)),"Democratic Republic of the Congo",
ISNUMBER(SEARCH("German DR",S1489)),"DR Germany",
ISNUMBER(SEARCH("rn""&gt;United Arab Emirates",S1489)),"United Arab Emirates",
ISNUMBER(SEARCH("rn""&gt;Republic of Ireland",S1489)),"Ireland",
ISNUMBER(SEARCH("rn""&gt;Bosnia and Herzegovina",S1489)),"Bosnia and Herzegovina",
ISNUMBER(SEARCH("rn""&gt;Trinidad and Tobago",S1489)),"Trinidad and Tobago",
ISNUMBER(SEARCH("rn""&gt;Serbia and Montenegro",S1489)),"Serbia and Montenegro",
ISNUMBER(SEARCH(_xlfn.UNICHAR(65533),S1489)),"Côte d'Ivoire",
TRUE,""
)</f>
        <v/>
      </c>
      <c r="W1489" s="12" t="str">
        <f t="shared" si="120"/>
        <v>Australia</v>
      </c>
    </row>
    <row r="1490" spans="2:23">
      <c r="B1490" s="75">
        <v>1053</v>
      </c>
      <c r="C1490" s="15" t="str">
        <v>Kevin Castaño</v>
      </c>
      <c r="D1490" s="15">
        <v>25</v>
      </c>
      <c r="E1490" s="15" t="str">
        <v>Colombia</v>
      </c>
      <c r="F1490" s="15" t="str">
        <v>CDM</v>
      </c>
      <c r="G1490" s="15" t="str">
        <v>River Plate</v>
      </c>
      <c r="H1490" s="15">
        <v>5</v>
      </c>
      <c r="I1490" s="15" t="str">
        <f t="shared" si="121"/>
        <v>1053|Kevin Castaño|25|Colombia|CDM|River Plate|5</v>
      </c>
      <c r="J1490" s="15" t="str">
        <f>IF(COUNTIF(I$438:I1490,I1490)&gt;1,"DOUBLON","OK")</f>
        <v>OK</v>
      </c>
      <c r="S1490" s="12" t="str">
        <v>Australia</v>
      </c>
      <c r="T1490" s="12" t="str">
        <f t="shared" si="118"/>
        <v>OK</v>
      </c>
      <c r="U1490" s="12" t="str">
        <f t="shared" si="119"/>
        <v>-</v>
      </c>
      <c r="V1490" s="12" t="str" cm="1">
        <f t="array" ref="V1490">_xlfn.IFS(
ISNUMBER(SEARCH("USA",S1490)),"United States",
ISNUMBER(SEARCH("Republic of Ireland",S1490)),"Ireland",
ISNUMBER(SEARCH("Republic of Korea",S1490)),"South Korea",
ISNUMBER(SEARCH("Cape Verde",S1490)),"Cabo Verde",
ISNUMBER(SEARCH("Czechia",S1490)),"Czech Republic",
ISNUMBER(SEARCH("Türkiye",S1490)),"Turkey",
ISNUMBER(SEARCH("Ivory Coast",S1490)),"Côte d'Ivoire",
ISNUMBER(SEARCH("Korea Republic",S1490)),"South Korea",
ISNUMBER(SEARCH("Germany FR",S1490)),"FR Germany",
ISNUMBER(SEARCH("West Germany",S1490)),"FR Germany",
ISNUMBER(SEARCH("Germany DR",S1490)),"DR Germany",
ISNUMBER(SEARCH("Korea DPR",S1490)),"North Korea",
ISNUMBER(SEARCH("China PR",S1490)),"China",
ISNUMBER(SEARCH("IR Iran",S1490)),"Iran",
ISNUMBER(SEARCH("Congo DR",S1490)),"Democratic Republic of the Congo",
ISNUMBER(SEARCH("DR Congo",S1490)),"Democratic Republic of the Congo",
ISNUMBER(SEARCH("German DR",S1490)),"DR Germany",
ISNUMBER(SEARCH("rn""&gt;United Arab Emirates",S1490)),"United Arab Emirates",
ISNUMBER(SEARCH("rn""&gt;Republic of Ireland",S1490)),"Ireland",
ISNUMBER(SEARCH("rn""&gt;Bosnia and Herzegovina",S1490)),"Bosnia and Herzegovina",
ISNUMBER(SEARCH("rn""&gt;Trinidad and Tobago",S1490)),"Trinidad and Tobago",
ISNUMBER(SEARCH("rn""&gt;Serbia and Montenegro",S1490)),"Serbia and Montenegro",
ISNUMBER(SEARCH(_xlfn.UNICHAR(65533),S1490)),"Côte d'Ivoire",
TRUE,""
)</f>
        <v/>
      </c>
      <c r="W1490" s="12" t="str">
        <f t="shared" si="120"/>
        <v>Australia</v>
      </c>
    </row>
    <row r="1491" spans="2:23">
      <c r="B1491" s="75">
        <v>1054</v>
      </c>
      <c r="C1491" s="15" t="str">
        <v>Jefferson Lerma</v>
      </c>
      <c r="D1491" s="15">
        <v>31</v>
      </c>
      <c r="E1491" s="15" t="str">
        <v>Colombia</v>
      </c>
      <c r="F1491" s="15" t="str">
        <v>CDM</v>
      </c>
      <c r="G1491" s="15" t="str">
        <v>Crystal Palace</v>
      </c>
      <c r="H1491" s="15">
        <v>16</v>
      </c>
      <c r="I1491" s="15" t="str">
        <f t="shared" si="121"/>
        <v>1054|Jefferson Lerma|31|Colombia|CDM|Crystal Palace|16</v>
      </c>
      <c r="J1491" s="15" t="str">
        <f>IF(COUNTIF(I$438:I1491,I1491)&gt;1,"DOUBLON","OK")</f>
        <v>OK</v>
      </c>
      <c r="S1491" s="12" t="str">
        <v>Australia</v>
      </c>
      <c r="T1491" s="12" t="str">
        <f t="shared" si="118"/>
        <v>OK</v>
      </c>
      <c r="U1491" s="12" t="str">
        <f t="shared" si="119"/>
        <v>-</v>
      </c>
      <c r="V1491" s="12" t="str" cm="1">
        <f t="array" ref="V1491">_xlfn.IFS(
ISNUMBER(SEARCH("USA",S1491)),"United States",
ISNUMBER(SEARCH("Republic of Ireland",S1491)),"Ireland",
ISNUMBER(SEARCH("Republic of Korea",S1491)),"South Korea",
ISNUMBER(SEARCH("Cape Verde",S1491)),"Cabo Verde",
ISNUMBER(SEARCH("Czechia",S1491)),"Czech Republic",
ISNUMBER(SEARCH("Türkiye",S1491)),"Turkey",
ISNUMBER(SEARCH("Ivory Coast",S1491)),"Côte d'Ivoire",
ISNUMBER(SEARCH("Korea Republic",S1491)),"South Korea",
ISNUMBER(SEARCH("Germany FR",S1491)),"FR Germany",
ISNUMBER(SEARCH("West Germany",S1491)),"FR Germany",
ISNUMBER(SEARCH("Germany DR",S1491)),"DR Germany",
ISNUMBER(SEARCH("Korea DPR",S1491)),"North Korea",
ISNUMBER(SEARCH("China PR",S1491)),"China",
ISNUMBER(SEARCH("IR Iran",S1491)),"Iran",
ISNUMBER(SEARCH("Congo DR",S1491)),"Democratic Republic of the Congo",
ISNUMBER(SEARCH("DR Congo",S1491)),"Democratic Republic of the Congo",
ISNUMBER(SEARCH("German DR",S1491)),"DR Germany",
ISNUMBER(SEARCH("rn""&gt;United Arab Emirates",S1491)),"United Arab Emirates",
ISNUMBER(SEARCH("rn""&gt;Republic of Ireland",S1491)),"Ireland",
ISNUMBER(SEARCH("rn""&gt;Bosnia and Herzegovina",S1491)),"Bosnia and Herzegovina",
ISNUMBER(SEARCH("rn""&gt;Trinidad and Tobago",S1491)),"Trinidad and Tobago",
ISNUMBER(SEARCH("rn""&gt;Serbia and Montenegro",S1491)),"Serbia and Montenegro",
ISNUMBER(SEARCH(_xlfn.UNICHAR(65533),S1491)),"Côte d'Ivoire",
TRUE,""
)</f>
        <v/>
      </c>
      <c r="W1491" s="12" t="str">
        <f t="shared" si="120"/>
        <v>Australia</v>
      </c>
    </row>
    <row r="1492" spans="2:23">
      <c r="B1492" s="75">
        <v>1055</v>
      </c>
      <c r="C1492" s="15" t="str">
        <v>Richard Ríos</v>
      </c>
      <c r="D1492" s="15">
        <v>26</v>
      </c>
      <c r="E1492" s="15" t="str">
        <v>Colombia</v>
      </c>
      <c r="F1492" s="15" t="str">
        <v>CM</v>
      </c>
      <c r="G1492" s="15" t="str">
        <v>Benfica</v>
      </c>
      <c r="H1492" s="15">
        <v>6</v>
      </c>
      <c r="I1492" s="15" t="str">
        <f t="shared" si="121"/>
        <v>1055|Richard Ríos|26|Colombia|CM|Benfica|6</v>
      </c>
      <c r="J1492" s="15" t="str">
        <f>IF(COUNTIF(I$438:I1492,I1492)&gt;1,"DOUBLON","OK")</f>
        <v>OK</v>
      </c>
      <c r="S1492" s="12" t="str">
        <v>Australia</v>
      </c>
      <c r="T1492" s="12" t="str">
        <f t="shared" si="118"/>
        <v>OK</v>
      </c>
      <c r="U1492" s="12" t="str">
        <f t="shared" si="119"/>
        <v>-</v>
      </c>
      <c r="V1492" s="12" t="str" cm="1">
        <f t="array" ref="V1492">_xlfn.IFS(
ISNUMBER(SEARCH("USA",S1492)),"United States",
ISNUMBER(SEARCH("Republic of Ireland",S1492)),"Ireland",
ISNUMBER(SEARCH("Republic of Korea",S1492)),"South Korea",
ISNUMBER(SEARCH("Cape Verde",S1492)),"Cabo Verde",
ISNUMBER(SEARCH("Czechia",S1492)),"Czech Republic",
ISNUMBER(SEARCH("Türkiye",S1492)),"Turkey",
ISNUMBER(SEARCH("Ivory Coast",S1492)),"Côte d'Ivoire",
ISNUMBER(SEARCH("Korea Republic",S1492)),"South Korea",
ISNUMBER(SEARCH("Germany FR",S1492)),"FR Germany",
ISNUMBER(SEARCH("West Germany",S1492)),"FR Germany",
ISNUMBER(SEARCH("Germany DR",S1492)),"DR Germany",
ISNUMBER(SEARCH("Korea DPR",S1492)),"North Korea",
ISNUMBER(SEARCH("China PR",S1492)),"China",
ISNUMBER(SEARCH("IR Iran",S1492)),"Iran",
ISNUMBER(SEARCH("Congo DR",S1492)),"Democratic Republic of the Congo",
ISNUMBER(SEARCH("DR Congo",S1492)),"Democratic Republic of the Congo",
ISNUMBER(SEARCH("German DR",S1492)),"DR Germany",
ISNUMBER(SEARCH("rn""&gt;United Arab Emirates",S1492)),"United Arab Emirates",
ISNUMBER(SEARCH("rn""&gt;Republic of Ireland",S1492)),"Ireland",
ISNUMBER(SEARCH("rn""&gt;Bosnia and Herzegovina",S1492)),"Bosnia and Herzegovina",
ISNUMBER(SEARCH("rn""&gt;Trinidad and Tobago",S1492)),"Trinidad and Tobago",
ISNUMBER(SEARCH("rn""&gt;Serbia and Montenegro",S1492)),"Serbia and Montenegro",
ISNUMBER(SEARCH(_xlfn.UNICHAR(65533),S1492)),"Côte d'Ivoire",
TRUE,""
)</f>
        <v/>
      </c>
      <c r="W1492" s="12" t="str">
        <f t="shared" si="120"/>
        <v>Australia</v>
      </c>
    </row>
    <row r="1493" spans="2:23">
      <c r="B1493" s="75">
        <v>1056</v>
      </c>
      <c r="C1493" s="15" t="str">
        <v>Juan Portilla</v>
      </c>
      <c r="D1493" s="15">
        <v>27</v>
      </c>
      <c r="E1493" s="15" t="str">
        <v>Colombia</v>
      </c>
      <c r="F1493" s="15" t="str">
        <v>CM</v>
      </c>
      <c r="G1493" s="15" t="str">
        <v>Athletico Paranaense</v>
      </c>
      <c r="H1493" s="15">
        <v>15</v>
      </c>
      <c r="I1493" s="15" t="str">
        <f t="shared" si="121"/>
        <v>1056|Juan Portilla|27|Colombia|CM|Athletico Paranaense|15</v>
      </c>
      <c r="J1493" s="15" t="str">
        <f>IF(COUNTIF(I$438:I1493,I1493)&gt;1,"DOUBLON","OK")</f>
        <v>OK</v>
      </c>
      <c r="S1493" s="12" t="str">
        <v>Australia</v>
      </c>
      <c r="T1493" s="12" t="str">
        <f t="shared" si="118"/>
        <v>OK</v>
      </c>
      <c r="U1493" s="12" t="str">
        <f t="shared" si="119"/>
        <v>-</v>
      </c>
      <c r="V1493" s="12" t="str" cm="1">
        <f t="array" ref="V1493">_xlfn.IFS(
ISNUMBER(SEARCH("USA",S1493)),"United States",
ISNUMBER(SEARCH("Republic of Ireland",S1493)),"Ireland",
ISNUMBER(SEARCH("Republic of Korea",S1493)),"South Korea",
ISNUMBER(SEARCH("Cape Verde",S1493)),"Cabo Verde",
ISNUMBER(SEARCH("Czechia",S1493)),"Czech Republic",
ISNUMBER(SEARCH("Türkiye",S1493)),"Turkey",
ISNUMBER(SEARCH("Ivory Coast",S1493)),"Côte d'Ivoire",
ISNUMBER(SEARCH("Korea Republic",S1493)),"South Korea",
ISNUMBER(SEARCH("Germany FR",S1493)),"FR Germany",
ISNUMBER(SEARCH("West Germany",S1493)),"FR Germany",
ISNUMBER(SEARCH("Germany DR",S1493)),"DR Germany",
ISNUMBER(SEARCH("Korea DPR",S1493)),"North Korea",
ISNUMBER(SEARCH("China PR",S1493)),"China",
ISNUMBER(SEARCH("IR Iran",S1493)),"Iran",
ISNUMBER(SEARCH("Congo DR",S1493)),"Democratic Republic of the Congo",
ISNUMBER(SEARCH("DR Congo",S1493)),"Democratic Republic of the Congo",
ISNUMBER(SEARCH("German DR",S1493)),"DR Germany",
ISNUMBER(SEARCH("rn""&gt;United Arab Emirates",S1493)),"United Arab Emirates",
ISNUMBER(SEARCH("rn""&gt;Republic of Ireland",S1493)),"Ireland",
ISNUMBER(SEARCH("rn""&gt;Bosnia and Herzegovina",S1493)),"Bosnia and Herzegovina",
ISNUMBER(SEARCH("rn""&gt;Trinidad and Tobago",S1493)),"Trinidad and Tobago",
ISNUMBER(SEARCH("rn""&gt;Serbia and Montenegro",S1493)),"Serbia and Montenegro",
ISNUMBER(SEARCH(_xlfn.UNICHAR(65533),S1493)),"Côte d'Ivoire",
TRUE,""
)</f>
        <v/>
      </c>
      <c r="W1493" s="12" t="str">
        <f t="shared" si="120"/>
        <v>Australia</v>
      </c>
    </row>
    <row r="1494" spans="2:23">
      <c r="B1494" s="75">
        <v>1057</v>
      </c>
      <c r="C1494" s="15" t="str">
        <v>Jorge Carrascal</v>
      </c>
      <c r="D1494" s="15">
        <v>28</v>
      </c>
      <c r="E1494" s="15" t="str">
        <v>Colombia</v>
      </c>
      <c r="F1494" s="15" t="str">
        <v>CAM</v>
      </c>
      <c r="G1494" s="15" t="str">
        <v>Flamengo</v>
      </c>
      <c r="H1494" s="15">
        <v>8</v>
      </c>
      <c r="I1494" s="15" t="str">
        <f t="shared" si="121"/>
        <v>1057|Jorge Carrascal|28|Colombia|CAM|Flamengo|8</v>
      </c>
      <c r="J1494" s="15" t="str">
        <f>IF(COUNTIF(I$438:I1494,I1494)&gt;1,"DOUBLON","OK")</f>
        <v>OK</v>
      </c>
      <c r="S1494" s="12" t="str">
        <v>Australia</v>
      </c>
      <c r="T1494" s="12" t="str">
        <f t="shared" si="118"/>
        <v>OK</v>
      </c>
      <c r="U1494" s="12" t="str">
        <f t="shared" si="119"/>
        <v>-</v>
      </c>
      <c r="V1494" s="12" t="str" cm="1">
        <f t="array" ref="V1494">_xlfn.IFS(
ISNUMBER(SEARCH("USA",S1494)),"United States",
ISNUMBER(SEARCH("Republic of Ireland",S1494)),"Ireland",
ISNUMBER(SEARCH("Republic of Korea",S1494)),"South Korea",
ISNUMBER(SEARCH("Cape Verde",S1494)),"Cabo Verde",
ISNUMBER(SEARCH("Czechia",S1494)),"Czech Republic",
ISNUMBER(SEARCH("Türkiye",S1494)),"Turkey",
ISNUMBER(SEARCH("Ivory Coast",S1494)),"Côte d'Ivoire",
ISNUMBER(SEARCH("Korea Republic",S1494)),"South Korea",
ISNUMBER(SEARCH("Germany FR",S1494)),"FR Germany",
ISNUMBER(SEARCH("West Germany",S1494)),"FR Germany",
ISNUMBER(SEARCH("Germany DR",S1494)),"DR Germany",
ISNUMBER(SEARCH("Korea DPR",S1494)),"North Korea",
ISNUMBER(SEARCH("China PR",S1494)),"China",
ISNUMBER(SEARCH("IR Iran",S1494)),"Iran",
ISNUMBER(SEARCH("Congo DR",S1494)),"Democratic Republic of the Congo",
ISNUMBER(SEARCH("DR Congo",S1494)),"Democratic Republic of the Congo",
ISNUMBER(SEARCH("German DR",S1494)),"DR Germany",
ISNUMBER(SEARCH("rn""&gt;United Arab Emirates",S1494)),"United Arab Emirates",
ISNUMBER(SEARCH("rn""&gt;Republic of Ireland",S1494)),"Ireland",
ISNUMBER(SEARCH("rn""&gt;Bosnia and Herzegovina",S1494)),"Bosnia and Herzegovina",
ISNUMBER(SEARCH("rn""&gt;Trinidad and Tobago",S1494)),"Trinidad and Tobago",
ISNUMBER(SEARCH("rn""&gt;Serbia and Montenegro",S1494)),"Serbia and Montenegro",
ISNUMBER(SEARCH(_xlfn.UNICHAR(65533),S1494)),"Côte d'Ivoire",
TRUE,""
)</f>
        <v/>
      </c>
      <c r="W1494" s="12" t="str">
        <f t="shared" si="120"/>
        <v>Australia</v>
      </c>
    </row>
    <row r="1495" spans="2:23">
      <c r="B1495" s="75">
        <v>1058</v>
      </c>
      <c r="C1495" s="15" t="str">
        <v>James Rodríguez</v>
      </c>
      <c r="D1495" s="15">
        <v>34</v>
      </c>
      <c r="E1495" s="15" t="str">
        <v>Colombia</v>
      </c>
      <c r="F1495" s="15" t="str">
        <v>CAM</v>
      </c>
      <c r="G1495" s="15" t="str">
        <v>Minnesota United FC</v>
      </c>
      <c r="H1495" s="15">
        <v>10</v>
      </c>
      <c r="I1495" s="15" t="str">
        <f t="shared" si="121"/>
        <v>1058|James Rodríguez|34|Colombia|CAM|Minnesota United FC|10</v>
      </c>
      <c r="J1495" s="15" t="str">
        <f>IF(COUNTIF(I$438:I1495,I1495)&gt;1,"DOUBLON","OK")</f>
        <v>OK</v>
      </c>
      <c r="S1495" s="12" t="str">
        <v>Australia</v>
      </c>
      <c r="T1495" s="12" t="str">
        <f t="shared" si="118"/>
        <v>OK</v>
      </c>
      <c r="U1495" s="12" t="str">
        <f t="shared" si="119"/>
        <v>-</v>
      </c>
      <c r="V1495" s="12" t="str" cm="1">
        <f t="array" ref="V1495">_xlfn.IFS(
ISNUMBER(SEARCH("USA",S1495)),"United States",
ISNUMBER(SEARCH("Republic of Ireland",S1495)),"Ireland",
ISNUMBER(SEARCH("Republic of Korea",S1495)),"South Korea",
ISNUMBER(SEARCH("Cape Verde",S1495)),"Cabo Verde",
ISNUMBER(SEARCH("Czechia",S1495)),"Czech Republic",
ISNUMBER(SEARCH("Türkiye",S1495)),"Turkey",
ISNUMBER(SEARCH("Ivory Coast",S1495)),"Côte d'Ivoire",
ISNUMBER(SEARCH("Korea Republic",S1495)),"South Korea",
ISNUMBER(SEARCH("Germany FR",S1495)),"FR Germany",
ISNUMBER(SEARCH("West Germany",S1495)),"FR Germany",
ISNUMBER(SEARCH("Germany DR",S1495)),"DR Germany",
ISNUMBER(SEARCH("Korea DPR",S1495)),"North Korea",
ISNUMBER(SEARCH("China PR",S1495)),"China",
ISNUMBER(SEARCH("IR Iran",S1495)),"Iran",
ISNUMBER(SEARCH("Congo DR",S1495)),"Democratic Republic of the Congo",
ISNUMBER(SEARCH("DR Congo",S1495)),"Democratic Republic of the Congo",
ISNUMBER(SEARCH("German DR",S1495)),"DR Germany",
ISNUMBER(SEARCH("rn""&gt;United Arab Emirates",S1495)),"United Arab Emirates",
ISNUMBER(SEARCH("rn""&gt;Republic of Ireland",S1495)),"Ireland",
ISNUMBER(SEARCH("rn""&gt;Bosnia and Herzegovina",S1495)),"Bosnia and Herzegovina",
ISNUMBER(SEARCH("rn""&gt;Trinidad and Tobago",S1495)),"Trinidad and Tobago",
ISNUMBER(SEARCH("rn""&gt;Serbia and Montenegro",S1495)),"Serbia and Montenegro",
ISNUMBER(SEARCH(_xlfn.UNICHAR(65533),S1495)),"Côte d'Ivoire",
TRUE,""
)</f>
        <v/>
      </c>
      <c r="W1495" s="12" t="str">
        <f t="shared" si="120"/>
        <v>Australia</v>
      </c>
    </row>
    <row r="1496" spans="2:23">
      <c r="B1496" s="75">
        <v>1059</v>
      </c>
      <c r="C1496" s="15" t="str">
        <v>Juan Fernando Quintero</v>
      </c>
      <c r="D1496" s="15">
        <v>33</v>
      </c>
      <c r="E1496" s="15" t="str">
        <v>Colombia</v>
      </c>
      <c r="F1496" s="15" t="str">
        <v>CAM</v>
      </c>
      <c r="G1496" s="15" t="str">
        <v>River Plate</v>
      </c>
      <c r="H1496" s="15">
        <v>20</v>
      </c>
      <c r="I1496" s="15" t="str">
        <f t="shared" si="121"/>
        <v>1059|Juan Fernando Quintero|33|Colombia|CAM|River Plate|20</v>
      </c>
      <c r="J1496" s="15" t="str">
        <f>IF(COUNTIF(I$438:I1496,I1496)&gt;1,"DOUBLON","OK")</f>
        <v>OK</v>
      </c>
      <c r="S1496" s="12" t="str">
        <v>Australia</v>
      </c>
      <c r="T1496" s="12" t="str">
        <f t="shared" si="118"/>
        <v>OK</v>
      </c>
      <c r="U1496" s="12" t="str">
        <f t="shared" si="119"/>
        <v>-</v>
      </c>
      <c r="V1496" s="12" t="str" cm="1">
        <f t="array" ref="V1496">_xlfn.IFS(
ISNUMBER(SEARCH("USA",S1496)),"United States",
ISNUMBER(SEARCH("Republic of Ireland",S1496)),"Ireland",
ISNUMBER(SEARCH("Republic of Korea",S1496)),"South Korea",
ISNUMBER(SEARCH("Cape Verde",S1496)),"Cabo Verde",
ISNUMBER(SEARCH("Czechia",S1496)),"Czech Republic",
ISNUMBER(SEARCH("Türkiye",S1496)),"Turkey",
ISNUMBER(SEARCH("Ivory Coast",S1496)),"Côte d'Ivoire",
ISNUMBER(SEARCH("Korea Republic",S1496)),"South Korea",
ISNUMBER(SEARCH("Germany FR",S1496)),"FR Germany",
ISNUMBER(SEARCH("West Germany",S1496)),"FR Germany",
ISNUMBER(SEARCH("Germany DR",S1496)),"DR Germany",
ISNUMBER(SEARCH("Korea DPR",S1496)),"North Korea",
ISNUMBER(SEARCH("China PR",S1496)),"China",
ISNUMBER(SEARCH("IR Iran",S1496)),"Iran",
ISNUMBER(SEARCH("Congo DR",S1496)),"Democratic Republic of the Congo",
ISNUMBER(SEARCH("DR Congo",S1496)),"Democratic Republic of the Congo",
ISNUMBER(SEARCH("German DR",S1496)),"DR Germany",
ISNUMBER(SEARCH("rn""&gt;United Arab Emirates",S1496)),"United Arab Emirates",
ISNUMBER(SEARCH("rn""&gt;Republic of Ireland",S1496)),"Ireland",
ISNUMBER(SEARCH("rn""&gt;Bosnia and Herzegovina",S1496)),"Bosnia and Herzegovina",
ISNUMBER(SEARCH("rn""&gt;Trinidad and Tobago",S1496)),"Trinidad and Tobago",
ISNUMBER(SEARCH("rn""&gt;Serbia and Montenegro",S1496)),"Serbia and Montenegro",
ISNUMBER(SEARCH(_xlfn.UNICHAR(65533),S1496)),"Côte d'Ivoire",
TRUE,""
)</f>
        <v/>
      </c>
      <c r="W1496" s="12" t="str">
        <f t="shared" si="120"/>
        <v>Australia</v>
      </c>
    </row>
    <row r="1497" spans="2:23">
      <c r="B1497" s="75">
        <v>1060</v>
      </c>
      <c r="C1497" s="15" t="str">
        <v>Luis Díaz</v>
      </c>
      <c r="D1497" s="15">
        <v>29</v>
      </c>
      <c r="E1497" s="15" t="str">
        <v>Colombia</v>
      </c>
      <c r="F1497" s="15" t="str">
        <v>LW</v>
      </c>
      <c r="G1497" s="15" t="str">
        <v>Bayern Munich</v>
      </c>
      <c r="H1497" s="15">
        <v>7</v>
      </c>
      <c r="I1497" s="15" t="str">
        <f t="shared" si="121"/>
        <v>1060|Luis Díaz|29|Colombia|LW|Bayern Munich|7</v>
      </c>
      <c r="J1497" s="15" t="str">
        <f>IF(COUNTIF(I$438:I1497,I1497)&gt;1,"DOUBLON","OK")</f>
        <v>OK</v>
      </c>
      <c r="S1497" s="12" t="str">
        <v>Australia</v>
      </c>
      <c r="T1497" s="12" t="str">
        <f t="shared" si="118"/>
        <v>OK</v>
      </c>
      <c r="U1497" s="12" t="str">
        <f t="shared" si="119"/>
        <v>-</v>
      </c>
      <c r="V1497" s="12" t="str" cm="1">
        <f t="array" ref="V1497">_xlfn.IFS(
ISNUMBER(SEARCH("USA",S1497)),"United States",
ISNUMBER(SEARCH("Republic of Ireland",S1497)),"Ireland",
ISNUMBER(SEARCH("Republic of Korea",S1497)),"South Korea",
ISNUMBER(SEARCH("Cape Verde",S1497)),"Cabo Verde",
ISNUMBER(SEARCH("Czechia",S1497)),"Czech Republic",
ISNUMBER(SEARCH("Türkiye",S1497)),"Turkey",
ISNUMBER(SEARCH("Ivory Coast",S1497)),"Côte d'Ivoire",
ISNUMBER(SEARCH("Korea Republic",S1497)),"South Korea",
ISNUMBER(SEARCH("Germany FR",S1497)),"FR Germany",
ISNUMBER(SEARCH("West Germany",S1497)),"FR Germany",
ISNUMBER(SEARCH("Germany DR",S1497)),"DR Germany",
ISNUMBER(SEARCH("Korea DPR",S1497)),"North Korea",
ISNUMBER(SEARCH("China PR",S1497)),"China",
ISNUMBER(SEARCH("IR Iran",S1497)),"Iran",
ISNUMBER(SEARCH("Congo DR",S1497)),"Democratic Republic of the Congo",
ISNUMBER(SEARCH("DR Congo",S1497)),"Democratic Republic of the Congo",
ISNUMBER(SEARCH("German DR",S1497)),"DR Germany",
ISNUMBER(SEARCH("rn""&gt;United Arab Emirates",S1497)),"United Arab Emirates",
ISNUMBER(SEARCH("rn""&gt;Republic of Ireland",S1497)),"Ireland",
ISNUMBER(SEARCH("rn""&gt;Bosnia and Herzegovina",S1497)),"Bosnia and Herzegovina",
ISNUMBER(SEARCH("rn""&gt;Trinidad and Tobago",S1497)),"Trinidad and Tobago",
ISNUMBER(SEARCH("rn""&gt;Serbia and Montenegro",S1497)),"Serbia and Montenegro",
ISNUMBER(SEARCH(_xlfn.UNICHAR(65533),S1497)),"Côte d'Ivoire",
TRUE,""
)</f>
        <v/>
      </c>
      <c r="W1497" s="12" t="str">
        <f t="shared" si="120"/>
        <v>Australia</v>
      </c>
    </row>
    <row r="1498" spans="2:23">
      <c r="B1498" s="75">
        <v>1061</v>
      </c>
      <c r="C1498" s="15" t="str">
        <v>Jaminton Campaz</v>
      </c>
      <c r="D1498" s="15">
        <v>26</v>
      </c>
      <c r="E1498" s="15" t="str">
        <v>Colombia</v>
      </c>
      <c r="F1498" s="15" t="str">
        <v>LW</v>
      </c>
      <c r="G1498" s="15" t="str">
        <v>Rosario Central</v>
      </c>
      <c r="H1498" s="15">
        <v>21</v>
      </c>
      <c r="I1498" s="15" t="str">
        <f t="shared" si="121"/>
        <v>1061|Jaminton Campaz|26|Colombia|LW|Rosario Central|21</v>
      </c>
      <c r="J1498" s="15" t="str">
        <f>IF(COUNTIF(I$438:I1498,I1498)&gt;1,"DOUBLON","OK")</f>
        <v>OK</v>
      </c>
      <c r="S1498" s="12" t="str">
        <v>Australia</v>
      </c>
      <c r="T1498" s="12" t="str">
        <f t="shared" si="118"/>
        <v>OK</v>
      </c>
      <c r="U1498" s="12" t="str">
        <f t="shared" si="119"/>
        <v>-</v>
      </c>
      <c r="V1498" s="12" t="str" cm="1">
        <f t="array" ref="V1498">_xlfn.IFS(
ISNUMBER(SEARCH("USA",S1498)),"United States",
ISNUMBER(SEARCH("Republic of Ireland",S1498)),"Ireland",
ISNUMBER(SEARCH("Republic of Korea",S1498)),"South Korea",
ISNUMBER(SEARCH("Cape Verde",S1498)),"Cabo Verde",
ISNUMBER(SEARCH("Czechia",S1498)),"Czech Republic",
ISNUMBER(SEARCH("Türkiye",S1498)),"Turkey",
ISNUMBER(SEARCH("Ivory Coast",S1498)),"Côte d'Ivoire",
ISNUMBER(SEARCH("Korea Republic",S1498)),"South Korea",
ISNUMBER(SEARCH("Germany FR",S1498)),"FR Germany",
ISNUMBER(SEARCH("West Germany",S1498)),"FR Germany",
ISNUMBER(SEARCH("Germany DR",S1498)),"DR Germany",
ISNUMBER(SEARCH("Korea DPR",S1498)),"North Korea",
ISNUMBER(SEARCH("China PR",S1498)),"China",
ISNUMBER(SEARCH("IR Iran",S1498)),"Iran",
ISNUMBER(SEARCH("Congo DR",S1498)),"Democratic Republic of the Congo",
ISNUMBER(SEARCH("DR Congo",S1498)),"Democratic Republic of the Congo",
ISNUMBER(SEARCH("German DR",S1498)),"DR Germany",
ISNUMBER(SEARCH("rn""&gt;United Arab Emirates",S1498)),"United Arab Emirates",
ISNUMBER(SEARCH("rn""&gt;Republic of Ireland",S1498)),"Ireland",
ISNUMBER(SEARCH("rn""&gt;Bosnia and Herzegovina",S1498)),"Bosnia and Herzegovina",
ISNUMBER(SEARCH("rn""&gt;Trinidad and Tobago",S1498)),"Trinidad and Tobago",
ISNUMBER(SEARCH("rn""&gt;Serbia and Montenegro",S1498)),"Serbia and Montenegro",
ISNUMBER(SEARCH(_xlfn.UNICHAR(65533),S1498)),"Côte d'Ivoire",
TRUE,""
)</f>
        <v/>
      </c>
      <c r="W1498" s="12" t="str">
        <f t="shared" si="120"/>
        <v>Australia</v>
      </c>
    </row>
    <row r="1499" spans="2:23">
      <c r="B1499" s="75">
        <v>1062</v>
      </c>
      <c r="C1499" s="15" t="str">
        <v>Jhon Arias</v>
      </c>
      <c r="D1499" s="15">
        <v>28</v>
      </c>
      <c r="E1499" s="15" t="str">
        <v>Colombia</v>
      </c>
      <c r="F1499" s="15" t="str">
        <v>RW</v>
      </c>
      <c r="G1499" s="15" t="str">
        <v>Palmeiras</v>
      </c>
      <c r="H1499" s="15">
        <v>11</v>
      </c>
      <c r="I1499" s="15" t="str">
        <f t="shared" si="121"/>
        <v>1062|Jhon Arias|28|Colombia|RW|Palmeiras|11</v>
      </c>
      <c r="J1499" s="15" t="str">
        <f>IF(COUNTIF(I$438:I1499,I1499)&gt;1,"DOUBLON","OK")</f>
        <v>OK</v>
      </c>
      <c r="S1499" s="12" t="str">
        <v>Australia</v>
      </c>
      <c r="T1499" s="12" t="str">
        <f t="shared" si="118"/>
        <v>OK</v>
      </c>
      <c r="U1499" s="12" t="str">
        <f t="shared" si="119"/>
        <v>-</v>
      </c>
      <c r="V1499" s="12" t="str" cm="1">
        <f t="array" ref="V1499">_xlfn.IFS(
ISNUMBER(SEARCH("USA",S1499)),"United States",
ISNUMBER(SEARCH("Republic of Ireland",S1499)),"Ireland",
ISNUMBER(SEARCH("Republic of Korea",S1499)),"South Korea",
ISNUMBER(SEARCH("Cape Verde",S1499)),"Cabo Verde",
ISNUMBER(SEARCH("Czechia",S1499)),"Czech Republic",
ISNUMBER(SEARCH("Türkiye",S1499)),"Turkey",
ISNUMBER(SEARCH("Ivory Coast",S1499)),"Côte d'Ivoire",
ISNUMBER(SEARCH("Korea Republic",S1499)),"South Korea",
ISNUMBER(SEARCH("Germany FR",S1499)),"FR Germany",
ISNUMBER(SEARCH("West Germany",S1499)),"FR Germany",
ISNUMBER(SEARCH("Germany DR",S1499)),"DR Germany",
ISNUMBER(SEARCH("Korea DPR",S1499)),"North Korea",
ISNUMBER(SEARCH("China PR",S1499)),"China",
ISNUMBER(SEARCH("IR Iran",S1499)),"Iran",
ISNUMBER(SEARCH("Congo DR",S1499)),"Democratic Republic of the Congo",
ISNUMBER(SEARCH("DR Congo",S1499)),"Democratic Republic of the Congo",
ISNUMBER(SEARCH("German DR",S1499)),"DR Germany",
ISNUMBER(SEARCH("rn""&gt;United Arab Emirates",S1499)),"United Arab Emirates",
ISNUMBER(SEARCH("rn""&gt;Republic of Ireland",S1499)),"Ireland",
ISNUMBER(SEARCH("rn""&gt;Bosnia and Herzegovina",S1499)),"Bosnia and Herzegovina",
ISNUMBER(SEARCH("rn""&gt;Trinidad and Tobago",S1499)),"Trinidad and Tobago",
ISNUMBER(SEARCH("rn""&gt;Serbia and Montenegro",S1499)),"Serbia and Montenegro",
ISNUMBER(SEARCH(_xlfn.UNICHAR(65533),S1499)),"Côte d'Ivoire",
TRUE,""
)</f>
        <v/>
      </c>
      <c r="W1499" s="12" t="str">
        <f t="shared" si="120"/>
        <v>Australia</v>
      </c>
    </row>
    <row r="1500" spans="2:23">
      <c r="B1500" s="75">
        <v>1063</v>
      </c>
      <c r="C1500" s="15" t="str">
        <v>Andrés Gómez</v>
      </c>
      <c r="D1500" s="15">
        <v>23</v>
      </c>
      <c r="E1500" s="15" t="str">
        <v>Colombia</v>
      </c>
      <c r="F1500" s="15" t="str">
        <v>RW</v>
      </c>
      <c r="G1500" s="15" t="str">
        <v>Vasco da Gama</v>
      </c>
      <c r="H1500" s="15">
        <v>26</v>
      </c>
      <c r="I1500" s="15" t="str">
        <f t="shared" si="121"/>
        <v>1063|Andrés Gómez|23|Colombia|RW|Vasco da Gama|26</v>
      </c>
      <c r="J1500" s="15" t="str">
        <f>IF(COUNTIF(I$438:I1500,I1500)&gt;1,"DOUBLON","OK")</f>
        <v>OK</v>
      </c>
      <c r="S1500" s="12" t="str">
        <v>Australia</v>
      </c>
      <c r="T1500" s="12" t="str">
        <f t="shared" si="118"/>
        <v>OK</v>
      </c>
      <c r="U1500" s="12" t="str">
        <f t="shared" si="119"/>
        <v>-</v>
      </c>
      <c r="V1500" s="12" t="str" cm="1">
        <f t="array" ref="V1500">_xlfn.IFS(
ISNUMBER(SEARCH("USA",S1500)),"United States",
ISNUMBER(SEARCH("Republic of Ireland",S1500)),"Ireland",
ISNUMBER(SEARCH("Republic of Korea",S1500)),"South Korea",
ISNUMBER(SEARCH("Cape Verde",S1500)),"Cabo Verde",
ISNUMBER(SEARCH("Czechia",S1500)),"Czech Republic",
ISNUMBER(SEARCH("Türkiye",S1500)),"Turkey",
ISNUMBER(SEARCH("Ivory Coast",S1500)),"Côte d'Ivoire",
ISNUMBER(SEARCH("Korea Republic",S1500)),"South Korea",
ISNUMBER(SEARCH("Germany FR",S1500)),"FR Germany",
ISNUMBER(SEARCH("West Germany",S1500)),"FR Germany",
ISNUMBER(SEARCH("Germany DR",S1500)),"DR Germany",
ISNUMBER(SEARCH("Korea DPR",S1500)),"North Korea",
ISNUMBER(SEARCH("China PR",S1500)),"China",
ISNUMBER(SEARCH("IR Iran",S1500)),"Iran",
ISNUMBER(SEARCH("Congo DR",S1500)),"Democratic Republic of the Congo",
ISNUMBER(SEARCH("DR Congo",S1500)),"Democratic Republic of the Congo",
ISNUMBER(SEARCH("German DR",S1500)),"DR Germany",
ISNUMBER(SEARCH("rn""&gt;United Arab Emirates",S1500)),"United Arab Emirates",
ISNUMBER(SEARCH("rn""&gt;Republic of Ireland",S1500)),"Ireland",
ISNUMBER(SEARCH("rn""&gt;Bosnia and Herzegovina",S1500)),"Bosnia and Herzegovina",
ISNUMBER(SEARCH("rn""&gt;Trinidad and Tobago",S1500)),"Trinidad and Tobago",
ISNUMBER(SEARCH("rn""&gt;Serbia and Montenegro",S1500)),"Serbia and Montenegro",
ISNUMBER(SEARCH(_xlfn.UNICHAR(65533),S1500)),"Côte d'Ivoire",
TRUE,""
)</f>
        <v/>
      </c>
      <c r="W1500" s="12" t="str">
        <f t="shared" si="120"/>
        <v>Australia</v>
      </c>
    </row>
    <row r="1501" spans="2:23">
      <c r="B1501" s="75">
        <v>1064</v>
      </c>
      <c r="C1501" s="15" t="str">
        <v>Jhon Córdoba</v>
      </c>
      <c r="D1501" s="15">
        <v>33</v>
      </c>
      <c r="E1501" s="15" t="str">
        <v>Colombia</v>
      </c>
      <c r="F1501" s="15" t="str">
        <v>ST</v>
      </c>
      <c r="G1501" s="15" t="str">
        <v>Krasnodar</v>
      </c>
      <c r="H1501" s="15">
        <v>9</v>
      </c>
      <c r="I1501" s="15" t="str">
        <f t="shared" si="121"/>
        <v>1064|Jhon Córdoba|33|Colombia|ST|Krasnodar|9</v>
      </c>
      <c r="J1501" s="15" t="str">
        <f>IF(COUNTIF(I$438:I1501,I1501)&gt;1,"DOUBLON","OK")</f>
        <v>OK</v>
      </c>
      <c r="S1501" s="12" t="str">
        <v>Australia</v>
      </c>
      <c r="T1501" s="12" t="str">
        <f t="shared" si="118"/>
        <v>OK</v>
      </c>
      <c r="U1501" s="12" t="str">
        <f t="shared" si="119"/>
        <v>-</v>
      </c>
      <c r="V1501" s="12" t="str" cm="1">
        <f t="array" ref="V1501">_xlfn.IFS(
ISNUMBER(SEARCH("USA",S1501)),"United States",
ISNUMBER(SEARCH("Republic of Ireland",S1501)),"Ireland",
ISNUMBER(SEARCH("Republic of Korea",S1501)),"South Korea",
ISNUMBER(SEARCH("Cape Verde",S1501)),"Cabo Verde",
ISNUMBER(SEARCH("Czechia",S1501)),"Czech Republic",
ISNUMBER(SEARCH("Türkiye",S1501)),"Turkey",
ISNUMBER(SEARCH("Ivory Coast",S1501)),"Côte d'Ivoire",
ISNUMBER(SEARCH("Korea Republic",S1501)),"South Korea",
ISNUMBER(SEARCH("Germany FR",S1501)),"FR Germany",
ISNUMBER(SEARCH("West Germany",S1501)),"FR Germany",
ISNUMBER(SEARCH("Germany DR",S1501)),"DR Germany",
ISNUMBER(SEARCH("Korea DPR",S1501)),"North Korea",
ISNUMBER(SEARCH("China PR",S1501)),"China",
ISNUMBER(SEARCH("IR Iran",S1501)),"Iran",
ISNUMBER(SEARCH("Congo DR",S1501)),"Democratic Republic of the Congo",
ISNUMBER(SEARCH("DR Congo",S1501)),"Democratic Republic of the Congo",
ISNUMBER(SEARCH("German DR",S1501)),"DR Germany",
ISNUMBER(SEARCH("rn""&gt;United Arab Emirates",S1501)),"United Arab Emirates",
ISNUMBER(SEARCH("rn""&gt;Republic of Ireland",S1501)),"Ireland",
ISNUMBER(SEARCH("rn""&gt;Bosnia and Herzegovina",S1501)),"Bosnia and Herzegovina",
ISNUMBER(SEARCH("rn""&gt;Trinidad and Tobago",S1501)),"Trinidad and Tobago",
ISNUMBER(SEARCH("rn""&gt;Serbia and Montenegro",S1501)),"Serbia and Montenegro",
ISNUMBER(SEARCH(_xlfn.UNICHAR(65533),S1501)),"Côte d'Ivoire",
TRUE,""
)</f>
        <v/>
      </c>
      <c r="W1501" s="12" t="str">
        <f t="shared" si="120"/>
        <v>Australia</v>
      </c>
    </row>
    <row r="1502" spans="2:23">
      <c r="B1502" s="75">
        <v>1065</v>
      </c>
      <c r="C1502" s="15" t="str">
        <v>Cucho Hernández</v>
      </c>
      <c r="D1502" s="15">
        <v>27</v>
      </c>
      <c r="E1502" s="15" t="str">
        <v>Colombia</v>
      </c>
      <c r="F1502" s="15" t="str">
        <v>ST</v>
      </c>
      <c r="G1502" s="15" t="str">
        <v>Real Betis</v>
      </c>
      <c r="H1502" s="15">
        <v>19</v>
      </c>
      <c r="I1502" s="15" t="str">
        <f t="shared" si="121"/>
        <v>1065|Cucho Hernández|27|Colombia|ST|Real Betis|19</v>
      </c>
      <c r="J1502" s="15" t="str">
        <f>IF(COUNTIF(I$438:I1502,I1502)&gt;1,"DOUBLON","OK")</f>
        <v>OK</v>
      </c>
      <c r="S1502" s="12" t="str">
        <v>Australia</v>
      </c>
      <c r="T1502" s="12" t="str">
        <f t="shared" si="118"/>
        <v>OK</v>
      </c>
      <c r="U1502" s="12" t="str">
        <f t="shared" si="119"/>
        <v>-</v>
      </c>
      <c r="V1502" s="12" t="str" cm="1">
        <f t="array" ref="V1502">_xlfn.IFS(
ISNUMBER(SEARCH("USA",S1502)),"United States",
ISNUMBER(SEARCH("Republic of Ireland",S1502)),"Ireland",
ISNUMBER(SEARCH("Republic of Korea",S1502)),"South Korea",
ISNUMBER(SEARCH("Cape Verde",S1502)),"Cabo Verde",
ISNUMBER(SEARCH("Czechia",S1502)),"Czech Republic",
ISNUMBER(SEARCH("Türkiye",S1502)),"Turkey",
ISNUMBER(SEARCH("Ivory Coast",S1502)),"Côte d'Ivoire",
ISNUMBER(SEARCH("Korea Republic",S1502)),"South Korea",
ISNUMBER(SEARCH("Germany FR",S1502)),"FR Germany",
ISNUMBER(SEARCH("West Germany",S1502)),"FR Germany",
ISNUMBER(SEARCH("Germany DR",S1502)),"DR Germany",
ISNUMBER(SEARCH("Korea DPR",S1502)),"North Korea",
ISNUMBER(SEARCH("China PR",S1502)),"China",
ISNUMBER(SEARCH("IR Iran",S1502)),"Iran",
ISNUMBER(SEARCH("Congo DR",S1502)),"Democratic Republic of the Congo",
ISNUMBER(SEARCH("DR Congo",S1502)),"Democratic Republic of the Congo",
ISNUMBER(SEARCH("German DR",S1502)),"DR Germany",
ISNUMBER(SEARCH("rn""&gt;United Arab Emirates",S1502)),"United Arab Emirates",
ISNUMBER(SEARCH("rn""&gt;Republic of Ireland",S1502)),"Ireland",
ISNUMBER(SEARCH("rn""&gt;Bosnia and Herzegovina",S1502)),"Bosnia and Herzegovina",
ISNUMBER(SEARCH("rn""&gt;Trinidad and Tobago",S1502)),"Trinidad and Tobago",
ISNUMBER(SEARCH("rn""&gt;Serbia and Montenegro",S1502)),"Serbia and Montenegro",
ISNUMBER(SEARCH(_xlfn.UNICHAR(65533),S1502)),"Côte d'Ivoire",
TRUE,""
)</f>
        <v/>
      </c>
      <c r="W1502" s="12" t="str">
        <f t="shared" si="120"/>
        <v>Australia</v>
      </c>
    </row>
    <row r="1503" spans="2:23">
      <c r="B1503" s="75">
        <v>1066</v>
      </c>
      <c r="C1503" s="15" t="str">
        <v>Luis Suárez</v>
      </c>
      <c r="D1503" s="15">
        <v>28</v>
      </c>
      <c r="E1503" s="15" t="str">
        <v>Colombia</v>
      </c>
      <c r="F1503" s="15" t="str">
        <v>ST</v>
      </c>
      <c r="G1503" s="15" t="str">
        <v>Sporting CP</v>
      </c>
      <c r="H1503" s="15">
        <v>25</v>
      </c>
      <c r="I1503" s="15" t="str">
        <f t="shared" si="121"/>
        <v>1066|Luis Suárez|28|Colombia|ST|Sporting CP|25</v>
      </c>
      <c r="J1503" s="15" t="str">
        <f>IF(COUNTIF(I$438:I1503,I1503)&gt;1,"DOUBLON","OK")</f>
        <v>OK</v>
      </c>
      <c r="S1503" s="12" t="str">
        <v>Australia</v>
      </c>
      <c r="T1503" s="12" t="str">
        <f t="shared" si="118"/>
        <v>OK</v>
      </c>
      <c r="U1503" s="12" t="str">
        <f t="shared" si="119"/>
        <v>-</v>
      </c>
      <c r="V1503" s="12" t="str" cm="1">
        <f t="array" ref="V1503">_xlfn.IFS(
ISNUMBER(SEARCH("USA",S1503)),"United States",
ISNUMBER(SEARCH("Republic of Ireland",S1503)),"Ireland",
ISNUMBER(SEARCH("Republic of Korea",S1503)),"South Korea",
ISNUMBER(SEARCH("Cape Verde",S1503)),"Cabo Verde",
ISNUMBER(SEARCH("Czechia",S1503)),"Czech Republic",
ISNUMBER(SEARCH("Türkiye",S1503)),"Turkey",
ISNUMBER(SEARCH("Ivory Coast",S1503)),"Côte d'Ivoire",
ISNUMBER(SEARCH("Korea Republic",S1503)),"South Korea",
ISNUMBER(SEARCH("Germany FR",S1503)),"FR Germany",
ISNUMBER(SEARCH("West Germany",S1503)),"FR Germany",
ISNUMBER(SEARCH("Germany DR",S1503)),"DR Germany",
ISNUMBER(SEARCH("Korea DPR",S1503)),"North Korea",
ISNUMBER(SEARCH("China PR",S1503)),"China",
ISNUMBER(SEARCH("IR Iran",S1503)),"Iran",
ISNUMBER(SEARCH("Congo DR",S1503)),"Democratic Republic of the Congo",
ISNUMBER(SEARCH("DR Congo",S1503)),"Democratic Republic of the Congo",
ISNUMBER(SEARCH("German DR",S1503)),"DR Germany",
ISNUMBER(SEARCH("rn""&gt;United Arab Emirates",S1503)),"United Arab Emirates",
ISNUMBER(SEARCH("rn""&gt;Republic of Ireland",S1503)),"Ireland",
ISNUMBER(SEARCH("rn""&gt;Bosnia and Herzegovina",S1503)),"Bosnia and Herzegovina",
ISNUMBER(SEARCH("rn""&gt;Trinidad and Tobago",S1503)),"Trinidad and Tobago",
ISNUMBER(SEARCH("rn""&gt;Serbia and Montenegro",S1503)),"Serbia and Montenegro",
ISNUMBER(SEARCH(_xlfn.UNICHAR(65533),S1503)),"Côte d'Ivoire",
TRUE,""
)</f>
        <v/>
      </c>
      <c r="W1503" s="12" t="str">
        <f t="shared" si="120"/>
        <v>Australia</v>
      </c>
    </row>
    <row r="1504" spans="2:23">
      <c r="B1504" s="75">
        <v>1067</v>
      </c>
      <c r="C1504" s="15" t="str">
        <v>Lionel Mpasi</v>
      </c>
      <c r="D1504" s="15">
        <v>31</v>
      </c>
      <c r="E1504" s="15" t="str">
        <v>DR Congo</v>
      </c>
      <c r="F1504" s="15" t="str">
        <v>GK</v>
      </c>
      <c r="G1504" s="15" t="str">
        <v>Le Havre</v>
      </c>
      <c r="H1504" s="15">
        <v>1</v>
      </c>
      <c r="I1504" s="15" t="str">
        <f t="shared" si="121"/>
        <v>1067|Lionel Mpasi|31|DR Congo|GK|Le Havre|1</v>
      </c>
      <c r="J1504" s="15" t="str">
        <f>IF(COUNTIF(I$438:I1504,I1504)&gt;1,"DOUBLON","OK")</f>
        <v>OK</v>
      </c>
      <c r="S1504" s="12" t="str">
        <v>Australia</v>
      </c>
      <c r="T1504" s="12" t="str">
        <f t="shared" si="118"/>
        <v>OK</v>
      </c>
      <c r="U1504" s="12" t="str">
        <f t="shared" si="119"/>
        <v>-</v>
      </c>
      <c r="V1504" s="12" t="str" cm="1">
        <f t="array" ref="V1504">_xlfn.IFS(
ISNUMBER(SEARCH("USA",S1504)),"United States",
ISNUMBER(SEARCH("Republic of Ireland",S1504)),"Ireland",
ISNUMBER(SEARCH("Republic of Korea",S1504)),"South Korea",
ISNUMBER(SEARCH("Cape Verde",S1504)),"Cabo Verde",
ISNUMBER(SEARCH("Czechia",S1504)),"Czech Republic",
ISNUMBER(SEARCH("Türkiye",S1504)),"Turkey",
ISNUMBER(SEARCH("Ivory Coast",S1504)),"Côte d'Ivoire",
ISNUMBER(SEARCH("Korea Republic",S1504)),"South Korea",
ISNUMBER(SEARCH("Germany FR",S1504)),"FR Germany",
ISNUMBER(SEARCH("West Germany",S1504)),"FR Germany",
ISNUMBER(SEARCH("Germany DR",S1504)),"DR Germany",
ISNUMBER(SEARCH("Korea DPR",S1504)),"North Korea",
ISNUMBER(SEARCH("China PR",S1504)),"China",
ISNUMBER(SEARCH("IR Iran",S1504)),"Iran",
ISNUMBER(SEARCH("Congo DR",S1504)),"Democratic Republic of the Congo",
ISNUMBER(SEARCH("DR Congo",S1504)),"Democratic Republic of the Congo",
ISNUMBER(SEARCH("German DR",S1504)),"DR Germany",
ISNUMBER(SEARCH("rn""&gt;United Arab Emirates",S1504)),"United Arab Emirates",
ISNUMBER(SEARCH("rn""&gt;Republic of Ireland",S1504)),"Ireland",
ISNUMBER(SEARCH("rn""&gt;Bosnia and Herzegovina",S1504)),"Bosnia and Herzegovina",
ISNUMBER(SEARCH("rn""&gt;Trinidad and Tobago",S1504)),"Trinidad and Tobago",
ISNUMBER(SEARCH("rn""&gt;Serbia and Montenegro",S1504)),"Serbia and Montenegro",
ISNUMBER(SEARCH(_xlfn.UNICHAR(65533),S1504)),"Côte d'Ivoire",
TRUE,""
)</f>
        <v/>
      </c>
      <c r="W1504" s="12" t="str">
        <f t="shared" si="120"/>
        <v>Australia</v>
      </c>
    </row>
    <row r="1505" spans="2:23">
      <c r="B1505" s="75">
        <v>1068</v>
      </c>
      <c r="C1505" s="15" t="str">
        <v>Timothy Fayulu</v>
      </c>
      <c r="D1505" s="15">
        <v>26</v>
      </c>
      <c r="E1505" s="15" t="str">
        <v>DR Congo</v>
      </c>
      <c r="F1505" s="15" t="str">
        <v>GK</v>
      </c>
      <c r="G1505" s="15" t="str">
        <v>Noah</v>
      </c>
      <c r="H1505" s="15">
        <v>16</v>
      </c>
      <c r="I1505" s="15" t="str">
        <f t="shared" si="121"/>
        <v>1068|Timothy Fayulu|26|DR Congo|GK|Noah|16</v>
      </c>
      <c r="J1505" s="15" t="str">
        <f>IF(COUNTIF(I$438:I1505,I1505)&gt;1,"DOUBLON","OK")</f>
        <v>OK</v>
      </c>
      <c r="S1505" s="12" t="str">
        <v>Australia</v>
      </c>
      <c r="T1505" s="12" t="str">
        <f t="shared" ref="T1505:T1568" si="122">IF(COUNTIF(R$13:R$250,S1505)=1,"OK","ERREUR")</f>
        <v>OK</v>
      </c>
      <c r="U1505" s="12" t="str">
        <f t="shared" si="119"/>
        <v>-</v>
      </c>
      <c r="V1505" s="12" t="str" cm="1">
        <f t="array" ref="V1505">_xlfn.IFS(
ISNUMBER(SEARCH("USA",S1505)),"United States",
ISNUMBER(SEARCH("Republic of Ireland",S1505)),"Ireland",
ISNUMBER(SEARCH("Republic of Korea",S1505)),"South Korea",
ISNUMBER(SEARCH("Cape Verde",S1505)),"Cabo Verde",
ISNUMBER(SEARCH("Czechia",S1505)),"Czech Republic",
ISNUMBER(SEARCH("Türkiye",S1505)),"Turkey",
ISNUMBER(SEARCH("Ivory Coast",S1505)),"Côte d'Ivoire",
ISNUMBER(SEARCH("Korea Republic",S1505)),"South Korea",
ISNUMBER(SEARCH("Germany FR",S1505)),"FR Germany",
ISNUMBER(SEARCH("West Germany",S1505)),"FR Germany",
ISNUMBER(SEARCH("Germany DR",S1505)),"DR Germany",
ISNUMBER(SEARCH("Korea DPR",S1505)),"North Korea",
ISNUMBER(SEARCH("China PR",S1505)),"China",
ISNUMBER(SEARCH("IR Iran",S1505)),"Iran",
ISNUMBER(SEARCH("Congo DR",S1505)),"Democratic Republic of the Congo",
ISNUMBER(SEARCH("DR Congo",S1505)),"Democratic Republic of the Congo",
ISNUMBER(SEARCH("German DR",S1505)),"DR Germany",
ISNUMBER(SEARCH("rn""&gt;United Arab Emirates",S1505)),"United Arab Emirates",
ISNUMBER(SEARCH("rn""&gt;Republic of Ireland",S1505)),"Ireland",
ISNUMBER(SEARCH("rn""&gt;Bosnia and Herzegovina",S1505)),"Bosnia and Herzegovina",
ISNUMBER(SEARCH("rn""&gt;Trinidad and Tobago",S1505)),"Trinidad and Tobago",
ISNUMBER(SEARCH("rn""&gt;Serbia and Montenegro",S1505)),"Serbia and Montenegro",
ISNUMBER(SEARCH(_xlfn.UNICHAR(65533),S1505)),"Côte d'Ivoire",
TRUE,""
)</f>
        <v/>
      </c>
      <c r="W1505" s="12" t="str">
        <f t="shared" si="120"/>
        <v>Australia</v>
      </c>
    </row>
    <row r="1506" spans="2:23">
      <c r="B1506" s="75">
        <v>1069</v>
      </c>
      <c r="C1506" s="15" t="str">
        <v>Matthieu Epolo</v>
      </c>
      <c r="D1506" s="15">
        <v>21</v>
      </c>
      <c r="E1506" s="15" t="str">
        <v>DR Congo</v>
      </c>
      <c r="F1506" s="15" t="str">
        <v>GK</v>
      </c>
      <c r="G1506" s="15" t="str">
        <v>Standard Liège</v>
      </c>
      <c r="H1506" s="15">
        <v>21</v>
      </c>
      <c r="I1506" s="15" t="str">
        <f t="shared" si="121"/>
        <v>1069|Matthieu Epolo|21|DR Congo|GK|Standard Liège|21</v>
      </c>
      <c r="J1506" s="15" t="str">
        <f>IF(COUNTIF(I$438:I1506,I1506)&gt;1,"DOUBLON","OK")</f>
        <v>OK</v>
      </c>
      <c r="S1506" s="12" t="str">
        <v>Australia</v>
      </c>
      <c r="T1506" s="12" t="str">
        <f t="shared" si="122"/>
        <v>OK</v>
      </c>
      <c r="U1506" s="12" t="str">
        <f t="shared" ref="U1506:U1569" si="123">IF(OR(S1506="Scotland",S1506="England",S1506="Wales",S1506="Yugoslavia",S1506="Czechoslovakia",S1506="Northern Ireland",S1506="Soviet Union",S1506="Zaire",S1506="Dutch East Indies"),"AUCUNE",IF(OR(S1506="Cape Verde",S1506="USA",S1506="DR Congo",S1506="Republic of Korea",S1506="Germany FR",S1506="Germany DR",S1506="Czechia",S1506="Ivory Coast",S1506="Korea DPR",S1506="China PR",S1506="IR Iran",S1506="Türkiye",S1506="Congo DR",S1506="German DR",S1506="West Germany",S1506="Republic of Ireland",ISNUMBER(SEARCH("rn""&gt;United Arab Emirates",S1506)),ISNUMBER(SEARCH("rn""&gt;Republic of Ireland",S1506)),ISNUMBER(SEARCH("rn""&gt;Bosnia and Herzegovina",S1506)),ISNUMBER(SEARCH("rn""&gt;Trinidad and Tobago",S1506)),ISNUMBER(SEARCH("rn""&gt;Serbia and Montenegro",S1506)),ISNUMBER(SEARCH(_xlfn.UNICHAR(65533),S1506))),"RENOMMER","-"))</f>
        <v>-</v>
      </c>
      <c r="V1506" s="12" t="str" cm="1">
        <f t="array" ref="V1506">_xlfn.IFS(
ISNUMBER(SEARCH("USA",S1506)),"United States",
ISNUMBER(SEARCH("Republic of Ireland",S1506)),"Ireland",
ISNUMBER(SEARCH("Republic of Korea",S1506)),"South Korea",
ISNUMBER(SEARCH("Cape Verde",S1506)),"Cabo Verde",
ISNUMBER(SEARCH("Czechia",S1506)),"Czech Republic",
ISNUMBER(SEARCH("Türkiye",S1506)),"Turkey",
ISNUMBER(SEARCH("Ivory Coast",S1506)),"Côte d'Ivoire",
ISNUMBER(SEARCH("Korea Republic",S1506)),"South Korea",
ISNUMBER(SEARCH("Germany FR",S1506)),"FR Germany",
ISNUMBER(SEARCH("West Germany",S1506)),"FR Germany",
ISNUMBER(SEARCH("Germany DR",S1506)),"DR Germany",
ISNUMBER(SEARCH("Korea DPR",S1506)),"North Korea",
ISNUMBER(SEARCH("China PR",S1506)),"China",
ISNUMBER(SEARCH("IR Iran",S1506)),"Iran",
ISNUMBER(SEARCH("Congo DR",S1506)),"Democratic Republic of the Congo",
ISNUMBER(SEARCH("DR Congo",S1506)),"Democratic Republic of the Congo",
ISNUMBER(SEARCH("German DR",S1506)),"DR Germany",
ISNUMBER(SEARCH("rn""&gt;United Arab Emirates",S1506)),"United Arab Emirates",
ISNUMBER(SEARCH("rn""&gt;Republic of Ireland",S1506)),"Ireland",
ISNUMBER(SEARCH("rn""&gt;Bosnia and Herzegovina",S1506)),"Bosnia and Herzegovina",
ISNUMBER(SEARCH("rn""&gt;Trinidad and Tobago",S1506)),"Trinidad and Tobago",
ISNUMBER(SEARCH("rn""&gt;Serbia and Montenegro",S1506)),"Serbia and Montenegro",
ISNUMBER(SEARCH(_xlfn.UNICHAR(65533),S1506)),"Côte d'Ivoire",
TRUE,""
)</f>
        <v/>
      </c>
      <c r="W1506" s="12" t="str">
        <f t="shared" ref="W1506:W1569" si="124">IF(V1506="",S1506,V1506)</f>
        <v>Australia</v>
      </c>
    </row>
    <row r="1507" spans="2:23">
      <c r="B1507" s="75">
        <v>1070</v>
      </c>
      <c r="C1507" s="15" t="str">
        <v>Steve Kapuadi</v>
      </c>
      <c r="D1507" s="15">
        <v>28</v>
      </c>
      <c r="E1507" s="15" t="str">
        <v>DR Congo</v>
      </c>
      <c r="F1507" s="15" t="str">
        <v>CB</v>
      </c>
      <c r="G1507" s="15" t="str">
        <v>Widzew Łódź</v>
      </c>
      <c r="H1507" s="15">
        <v>3</v>
      </c>
      <c r="I1507" s="15" t="str">
        <f t="shared" si="121"/>
        <v>1070|Steve Kapuadi|28|DR Congo|CB|Widzew Łódź|3</v>
      </c>
      <c r="J1507" s="15" t="str">
        <f>IF(COUNTIF(I$438:I1507,I1507)&gt;1,"DOUBLON","OK")</f>
        <v>OK</v>
      </c>
      <c r="S1507" s="12" t="str">
        <v>Australia</v>
      </c>
      <c r="T1507" s="12" t="str">
        <f t="shared" si="122"/>
        <v>OK</v>
      </c>
      <c r="U1507" s="12" t="str">
        <f t="shared" si="123"/>
        <v>-</v>
      </c>
      <c r="V1507" s="12" t="str" cm="1">
        <f t="array" ref="V1507">_xlfn.IFS(
ISNUMBER(SEARCH("USA",S1507)),"United States",
ISNUMBER(SEARCH("Republic of Ireland",S1507)),"Ireland",
ISNUMBER(SEARCH("Republic of Korea",S1507)),"South Korea",
ISNUMBER(SEARCH("Cape Verde",S1507)),"Cabo Verde",
ISNUMBER(SEARCH("Czechia",S1507)),"Czech Republic",
ISNUMBER(SEARCH("Türkiye",S1507)),"Turkey",
ISNUMBER(SEARCH("Ivory Coast",S1507)),"Côte d'Ivoire",
ISNUMBER(SEARCH("Korea Republic",S1507)),"South Korea",
ISNUMBER(SEARCH("Germany FR",S1507)),"FR Germany",
ISNUMBER(SEARCH("West Germany",S1507)),"FR Germany",
ISNUMBER(SEARCH("Germany DR",S1507)),"DR Germany",
ISNUMBER(SEARCH("Korea DPR",S1507)),"North Korea",
ISNUMBER(SEARCH("China PR",S1507)),"China",
ISNUMBER(SEARCH("IR Iran",S1507)),"Iran",
ISNUMBER(SEARCH("Congo DR",S1507)),"Democratic Republic of the Congo",
ISNUMBER(SEARCH("DR Congo",S1507)),"Democratic Republic of the Congo",
ISNUMBER(SEARCH("German DR",S1507)),"DR Germany",
ISNUMBER(SEARCH("rn""&gt;United Arab Emirates",S1507)),"United Arab Emirates",
ISNUMBER(SEARCH("rn""&gt;Republic of Ireland",S1507)),"Ireland",
ISNUMBER(SEARCH("rn""&gt;Bosnia and Herzegovina",S1507)),"Bosnia and Herzegovina",
ISNUMBER(SEARCH("rn""&gt;Trinidad and Tobago",S1507)),"Trinidad and Tobago",
ISNUMBER(SEARCH("rn""&gt;Serbia and Montenegro",S1507)),"Serbia and Montenegro",
ISNUMBER(SEARCH(_xlfn.UNICHAR(65533),S1507)),"Côte d'Ivoire",
TRUE,""
)</f>
        <v/>
      </c>
      <c r="W1507" s="12" t="str">
        <f t="shared" si="124"/>
        <v>Australia</v>
      </c>
    </row>
    <row r="1508" spans="2:23">
      <c r="B1508" s="75">
        <v>1071</v>
      </c>
      <c r="C1508" s="15" t="str">
        <v>Axel Tuanzebe</v>
      </c>
      <c r="D1508" s="15">
        <v>28</v>
      </c>
      <c r="E1508" s="15" t="str">
        <v>DR Congo</v>
      </c>
      <c r="F1508" s="15" t="str">
        <v>CB</v>
      </c>
      <c r="G1508" s="15" t="str">
        <v>Burnley</v>
      </c>
      <c r="H1508" s="15">
        <v>4</v>
      </c>
      <c r="I1508" s="15" t="str">
        <f t="shared" si="121"/>
        <v>1071|Axel Tuanzebe|28|DR Congo|CB|Burnley|4</v>
      </c>
      <c r="J1508" s="15" t="str">
        <f>IF(COUNTIF(I$438:I1508,I1508)&gt;1,"DOUBLON","OK")</f>
        <v>OK</v>
      </c>
      <c r="S1508" s="12" t="str">
        <v>Australia</v>
      </c>
      <c r="T1508" s="12" t="str">
        <f t="shared" si="122"/>
        <v>OK</v>
      </c>
      <c r="U1508" s="12" t="str">
        <f t="shared" si="123"/>
        <v>-</v>
      </c>
      <c r="V1508" s="12" t="str" cm="1">
        <f t="array" ref="V1508">_xlfn.IFS(
ISNUMBER(SEARCH("USA",S1508)),"United States",
ISNUMBER(SEARCH("Republic of Ireland",S1508)),"Ireland",
ISNUMBER(SEARCH("Republic of Korea",S1508)),"South Korea",
ISNUMBER(SEARCH("Cape Verde",S1508)),"Cabo Verde",
ISNUMBER(SEARCH("Czechia",S1508)),"Czech Republic",
ISNUMBER(SEARCH("Türkiye",S1508)),"Turkey",
ISNUMBER(SEARCH("Ivory Coast",S1508)),"Côte d'Ivoire",
ISNUMBER(SEARCH("Korea Republic",S1508)),"South Korea",
ISNUMBER(SEARCH("Germany FR",S1508)),"FR Germany",
ISNUMBER(SEARCH("West Germany",S1508)),"FR Germany",
ISNUMBER(SEARCH("Germany DR",S1508)),"DR Germany",
ISNUMBER(SEARCH("Korea DPR",S1508)),"North Korea",
ISNUMBER(SEARCH("China PR",S1508)),"China",
ISNUMBER(SEARCH("IR Iran",S1508)),"Iran",
ISNUMBER(SEARCH("Congo DR",S1508)),"Democratic Republic of the Congo",
ISNUMBER(SEARCH("DR Congo",S1508)),"Democratic Republic of the Congo",
ISNUMBER(SEARCH("German DR",S1508)),"DR Germany",
ISNUMBER(SEARCH("rn""&gt;United Arab Emirates",S1508)),"United Arab Emirates",
ISNUMBER(SEARCH("rn""&gt;Republic of Ireland",S1508)),"Ireland",
ISNUMBER(SEARCH("rn""&gt;Bosnia and Herzegovina",S1508)),"Bosnia and Herzegovina",
ISNUMBER(SEARCH("rn""&gt;Trinidad and Tobago",S1508)),"Trinidad and Tobago",
ISNUMBER(SEARCH("rn""&gt;Serbia and Montenegro",S1508)),"Serbia and Montenegro",
ISNUMBER(SEARCH(_xlfn.UNICHAR(65533),S1508)),"Côte d'Ivoire",
TRUE,""
)</f>
        <v/>
      </c>
      <c r="W1508" s="12" t="str">
        <f t="shared" si="124"/>
        <v>Australia</v>
      </c>
    </row>
    <row r="1509" spans="2:23">
      <c r="B1509" s="75">
        <v>1072</v>
      </c>
      <c r="C1509" s="15" t="str">
        <v>Dylan Batubinsika</v>
      </c>
      <c r="D1509" s="15">
        <v>30</v>
      </c>
      <c r="E1509" s="15" t="str">
        <v>DR Congo</v>
      </c>
      <c r="F1509" s="15" t="str">
        <v>CB</v>
      </c>
      <c r="G1509" s="15" t="str">
        <v>AEL</v>
      </c>
      <c r="H1509" s="15">
        <v>5</v>
      </c>
      <c r="I1509" s="15" t="str">
        <f t="shared" si="121"/>
        <v>1072|Dylan Batubinsika|30|DR Congo|CB|AEL|5</v>
      </c>
      <c r="J1509" s="15" t="str">
        <f>IF(COUNTIF(I$438:I1509,I1509)&gt;1,"DOUBLON","OK")</f>
        <v>OK</v>
      </c>
      <c r="S1509" s="12" t="str">
        <v>Australia</v>
      </c>
      <c r="T1509" s="12" t="str">
        <f t="shared" si="122"/>
        <v>OK</v>
      </c>
      <c r="U1509" s="12" t="str">
        <f t="shared" si="123"/>
        <v>-</v>
      </c>
      <c r="V1509" s="12" t="str" cm="1">
        <f t="array" ref="V1509">_xlfn.IFS(
ISNUMBER(SEARCH("USA",S1509)),"United States",
ISNUMBER(SEARCH("Republic of Ireland",S1509)),"Ireland",
ISNUMBER(SEARCH("Republic of Korea",S1509)),"South Korea",
ISNUMBER(SEARCH("Cape Verde",S1509)),"Cabo Verde",
ISNUMBER(SEARCH("Czechia",S1509)),"Czech Republic",
ISNUMBER(SEARCH("Türkiye",S1509)),"Turkey",
ISNUMBER(SEARCH("Ivory Coast",S1509)),"Côte d'Ivoire",
ISNUMBER(SEARCH("Korea Republic",S1509)),"South Korea",
ISNUMBER(SEARCH("Germany FR",S1509)),"FR Germany",
ISNUMBER(SEARCH("West Germany",S1509)),"FR Germany",
ISNUMBER(SEARCH("Germany DR",S1509)),"DR Germany",
ISNUMBER(SEARCH("Korea DPR",S1509)),"North Korea",
ISNUMBER(SEARCH("China PR",S1509)),"China",
ISNUMBER(SEARCH("IR Iran",S1509)),"Iran",
ISNUMBER(SEARCH("Congo DR",S1509)),"Democratic Republic of the Congo",
ISNUMBER(SEARCH("DR Congo",S1509)),"Democratic Republic of the Congo",
ISNUMBER(SEARCH("German DR",S1509)),"DR Germany",
ISNUMBER(SEARCH("rn""&gt;United Arab Emirates",S1509)),"United Arab Emirates",
ISNUMBER(SEARCH("rn""&gt;Republic of Ireland",S1509)),"Ireland",
ISNUMBER(SEARCH("rn""&gt;Bosnia and Herzegovina",S1509)),"Bosnia and Herzegovina",
ISNUMBER(SEARCH("rn""&gt;Trinidad and Tobago",S1509)),"Trinidad and Tobago",
ISNUMBER(SEARCH("rn""&gt;Serbia and Montenegro",S1509)),"Serbia and Montenegro",
ISNUMBER(SEARCH(_xlfn.UNICHAR(65533),S1509)),"Côte d'Ivoire",
TRUE,""
)</f>
        <v/>
      </c>
      <c r="W1509" s="12" t="str">
        <f t="shared" si="124"/>
        <v>Australia</v>
      </c>
    </row>
    <row r="1510" spans="2:23">
      <c r="B1510" s="75">
        <v>1073</v>
      </c>
      <c r="C1510" s="15" t="str">
        <v>Chancel Mbemba</v>
      </c>
      <c r="D1510" s="15">
        <v>31</v>
      </c>
      <c r="E1510" s="15" t="str">
        <v>DR Congo</v>
      </c>
      <c r="F1510" s="15" t="str">
        <v>CB</v>
      </c>
      <c r="G1510" s="15" t="str">
        <v>Lille</v>
      </c>
      <c r="H1510" s="15">
        <v>22</v>
      </c>
      <c r="I1510" s="15" t="str">
        <f t="shared" si="121"/>
        <v>1073|Chancel Mbemba|31|DR Congo|CB|Lille|22</v>
      </c>
      <c r="J1510" s="15" t="str">
        <f>IF(COUNTIF(I$438:I1510,I1510)&gt;1,"DOUBLON","OK")</f>
        <v>OK</v>
      </c>
      <c r="S1510" s="12" t="str">
        <v>Australia</v>
      </c>
      <c r="T1510" s="12" t="str">
        <f t="shared" si="122"/>
        <v>OK</v>
      </c>
      <c r="U1510" s="12" t="str">
        <f t="shared" si="123"/>
        <v>-</v>
      </c>
      <c r="V1510" s="12" t="str" cm="1">
        <f t="array" ref="V1510">_xlfn.IFS(
ISNUMBER(SEARCH("USA",S1510)),"United States",
ISNUMBER(SEARCH("Republic of Ireland",S1510)),"Ireland",
ISNUMBER(SEARCH("Republic of Korea",S1510)),"South Korea",
ISNUMBER(SEARCH("Cape Verde",S1510)),"Cabo Verde",
ISNUMBER(SEARCH("Czechia",S1510)),"Czech Republic",
ISNUMBER(SEARCH("Türkiye",S1510)),"Turkey",
ISNUMBER(SEARCH("Ivory Coast",S1510)),"Côte d'Ivoire",
ISNUMBER(SEARCH("Korea Republic",S1510)),"South Korea",
ISNUMBER(SEARCH("Germany FR",S1510)),"FR Germany",
ISNUMBER(SEARCH("West Germany",S1510)),"FR Germany",
ISNUMBER(SEARCH("Germany DR",S1510)),"DR Germany",
ISNUMBER(SEARCH("Korea DPR",S1510)),"North Korea",
ISNUMBER(SEARCH("China PR",S1510)),"China",
ISNUMBER(SEARCH("IR Iran",S1510)),"Iran",
ISNUMBER(SEARCH("Congo DR",S1510)),"Democratic Republic of the Congo",
ISNUMBER(SEARCH("DR Congo",S1510)),"Democratic Republic of the Congo",
ISNUMBER(SEARCH("German DR",S1510)),"DR Germany",
ISNUMBER(SEARCH("rn""&gt;United Arab Emirates",S1510)),"United Arab Emirates",
ISNUMBER(SEARCH("rn""&gt;Republic of Ireland",S1510)),"Ireland",
ISNUMBER(SEARCH("rn""&gt;Bosnia and Herzegovina",S1510)),"Bosnia and Herzegovina",
ISNUMBER(SEARCH("rn""&gt;Trinidad and Tobago",S1510)),"Trinidad and Tobago",
ISNUMBER(SEARCH("rn""&gt;Serbia and Montenegro",S1510)),"Serbia and Montenegro",
ISNUMBER(SEARCH(_xlfn.UNICHAR(65533),S1510)),"Côte d'Ivoire",
TRUE,""
)</f>
        <v/>
      </c>
      <c r="W1510" s="12" t="str">
        <f t="shared" si="124"/>
        <v>Australia</v>
      </c>
    </row>
    <row r="1511" spans="2:23">
      <c r="B1511" s="75">
        <v>1074</v>
      </c>
      <c r="C1511" s="15" t="str">
        <v>Joris Kayembe</v>
      </c>
      <c r="D1511" s="15">
        <v>31</v>
      </c>
      <c r="E1511" s="15" t="str">
        <v>DR Congo</v>
      </c>
      <c r="F1511" s="15" t="str">
        <v>LB</v>
      </c>
      <c r="G1511" s="15" t="str">
        <v>Genk</v>
      </c>
      <c r="H1511" s="15">
        <v>12</v>
      </c>
      <c r="I1511" s="15" t="str">
        <f t="shared" si="121"/>
        <v>1074|Joris Kayembe|31|DR Congo|LB|Genk|12</v>
      </c>
      <c r="J1511" s="15" t="str">
        <f>IF(COUNTIF(I$438:I1511,I1511)&gt;1,"DOUBLON","OK")</f>
        <v>OK</v>
      </c>
      <c r="S1511" s="12" t="str">
        <v>USA</v>
      </c>
      <c r="T1511" s="12" t="str">
        <f t="shared" si="122"/>
        <v>ERREUR</v>
      </c>
      <c r="U1511" s="12" t="str">
        <f t="shared" si="123"/>
        <v>RENOMMER</v>
      </c>
      <c r="V1511" s="12" t="str" cm="1">
        <f t="array" ref="V1511">_xlfn.IFS(
ISNUMBER(SEARCH("USA",S1511)),"United States",
ISNUMBER(SEARCH("Republic of Ireland",S1511)),"Ireland",
ISNUMBER(SEARCH("Republic of Korea",S1511)),"South Korea",
ISNUMBER(SEARCH("Cape Verde",S1511)),"Cabo Verde",
ISNUMBER(SEARCH("Czechia",S1511)),"Czech Republic",
ISNUMBER(SEARCH("Türkiye",S1511)),"Turkey",
ISNUMBER(SEARCH("Ivory Coast",S1511)),"Côte d'Ivoire",
ISNUMBER(SEARCH("Korea Republic",S1511)),"South Korea",
ISNUMBER(SEARCH("Germany FR",S1511)),"FR Germany",
ISNUMBER(SEARCH("West Germany",S1511)),"FR Germany",
ISNUMBER(SEARCH("Germany DR",S1511)),"DR Germany",
ISNUMBER(SEARCH("Korea DPR",S1511)),"North Korea",
ISNUMBER(SEARCH("China PR",S1511)),"China",
ISNUMBER(SEARCH("IR Iran",S1511)),"Iran",
ISNUMBER(SEARCH("Congo DR",S1511)),"Democratic Republic of the Congo",
ISNUMBER(SEARCH("DR Congo",S1511)),"Democratic Republic of the Congo",
ISNUMBER(SEARCH("German DR",S1511)),"DR Germany",
ISNUMBER(SEARCH("rn""&gt;United Arab Emirates",S1511)),"United Arab Emirates",
ISNUMBER(SEARCH("rn""&gt;Republic of Ireland",S1511)),"Ireland",
ISNUMBER(SEARCH("rn""&gt;Bosnia and Herzegovina",S1511)),"Bosnia and Herzegovina",
ISNUMBER(SEARCH("rn""&gt;Trinidad and Tobago",S1511)),"Trinidad and Tobago",
ISNUMBER(SEARCH("rn""&gt;Serbia and Montenegro",S1511)),"Serbia and Montenegro",
ISNUMBER(SEARCH(_xlfn.UNICHAR(65533),S1511)),"Côte d'Ivoire",
TRUE,""
)</f>
        <v>United States</v>
      </c>
      <c r="W1511" s="12" t="str">
        <f t="shared" si="124"/>
        <v>United States</v>
      </c>
    </row>
    <row r="1512" spans="2:23">
      <c r="B1512" s="75">
        <v>1075</v>
      </c>
      <c r="C1512" s="15" t="str">
        <v>Arthur Masuaku</v>
      </c>
      <c r="D1512" s="15">
        <v>32</v>
      </c>
      <c r="E1512" s="15" t="str">
        <v>DR Congo</v>
      </c>
      <c r="F1512" s="15" t="str">
        <v>LB</v>
      </c>
      <c r="G1512" s="15" t="str">
        <v>Lens</v>
      </c>
      <c r="H1512" s="15">
        <v>26</v>
      </c>
      <c r="I1512" s="15" t="str">
        <f t="shared" si="121"/>
        <v>1075|Arthur Masuaku|32|DR Congo|LB|Lens|26</v>
      </c>
      <c r="J1512" s="15" t="str">
        <f>IF(COUNTIF(I$438:I1512,I1512)&gt;1,"DOUBLON","OK")</f>
        <v>OK</v>
      </c>
      <c r="S1512" s="12" t="str">
        <v>USA</v>
      </c>
      <c r="T1512" s="12" t="str">
        <f t="shared" si="122"/>
        <v>ERREUR</v>
      </c>
      <c r="U1512" s="12" t="str">
        <f t="shared" si="123"/>
        <v>RENOMMER</v>
      </c>
      <c r="V1512" s="12" t="str" cm="1">
        <f t="array" ref="V1512">_xlfn.IFS(
ISNUMBER(SEARCH("USA",S1512)),"United States",
ISNUMBER(SEARCH("Republic of Ireland",S1512)),"Ireland",
ISNUMBER(SEARCH("Republic of Korea",S1512)),"South Korea",
ISNUMBER(SEARCH("Cape Verde",S1512)),"Cabo Verde",
ISNUMBER(SEARCH("Czechia",S1512)),"Czech Republic",
ISNUMBER(SEARCH("Türkiye",S1512)),"Turkey",
ISNUMBER(SEARCH("Ivory Coast",S1512)),"Côte d'Ivoire",
ISNUMBER(SEARCH("Korea Republic",S1512)),"South Korea",
ISNUMBER(SEARCH("Germany FR",S1512)),"FR Germany",
ISNUMBER(SEARCH("West Germany",S1512)),"FR Germany",
ISNUMBER(SEARCH("Germany DR",S1512)),"DR Germany",
ISNUMBER(SEARCH("Korea DPR",S1512)),"North Korea",
ISNUMBER(SEARCH("China PR",S1512)),"China",
ISNUMBER(SEARCH("IR Iran",S1512)),"Iran",
ISNUMBER(SEARCH("Congo DR",S1512)),"Democratic Republic of the Congo",
ISNUMBER(SEARCH("DR Congo",S1512)),"Democratic Republic of the Congo",
ISNUMBER(SEARCH("German DR",S1512)),"DR Germany",
ISNUMBER(SEARCH("rn""&gt;United Arab Emirates",S1512)),"United Arab Emirates",
ISNUMBER(SEARCH("rn""&gt;Republic of Ireland",S1512)),"Ireland",
ISNUMBER(SEARCH("rn""&gt;Bosnia and Herzegovina",S1512)),"Bosnia and Herzegovina",
ISNUMBER(SEARCH("rn""&gt;Trinidad and Tobago",S1512)),"Trinidad and Tobago",
ISNUMBER(SEARCH("rn""&gt;Serbia and Montenegro",S1512)),"Serbia and Montenegro",
ISNUMBER(SEARCH(_xlfn.UNICHAR(65533),S1512)),"Côte d'Ivoire",
TRUE,""
)</f>
        <v>United States</v>
      </c>
      <c r="W1512" s="12" t="str">
        <f t="shared" si="124"/>
        <v>United States</v>
      </c>
    </row>
    <row r="1513" spans="2:23">
      <c r="B1513" s="75">
        <v>1076</v>
      </c>
      <c r="C1513" s="15" t="str">
        <v>Aaron Wan-Bissaka</v>
      </c>
      <c r="D1513" s="15">
        <v>28</v>
      </c>
      <c r="E1513" s="15" t="str">
        <v>DR Congo</v>
      </c>
      <c r="F1513" s="15" t="str">
        <v>RB</v>
      </c>
      <c r="G1513" s="15" t="str">
        <v>West Ham United</v>
      </c>
      <c r="H1513" s="15">
        <v>2</v>
      </c>
      <c r="I1513" s="15" t="str">
        <f t="shared" si="121"/>
        <v>1076|Aaron Wan-Bissaka|28|DR Congo|RB|West Ham United|2</v>
      </c>
      <c r="J1513" s="15" t="str">
        <f>IF(COUNTIF(I$438:I1513,I1513)&gt;1,"DOUBLON","OK")</f>
        <v>OK</v>
      </c>
      <c r="S1513" s="12" t="str">
        <v>USA</v>
      </c>
      <c r="T1513" s="12" t="str">
        <f t="shared" si="122"/>
        <v>ERREUR</v>
      </c>
      <c r="U1513" s="12" t="str">
        <f t="shared" si="123"/>
        <v>RENOMMER</v>
      </c>
      <c r="V1513" s="12" t="str" cm="1">
        <f t="array" ref="V1513">_xlfn.IFS(
ISNUMBER(SEARCH("USA",S1513)),"United States",
ISNUMBER(SEARCH("Republic of Ireland",S1513)),"Ireland",
ISNUMBER(SEARCH("Republic of Korea",S1513)),"South Korea",
ISNUMBER(SEARCH("Cape Verde",S1513)),"Cabo Verde",
ISNUMBER(SEARCH("Czechia",S1513)),"Czech Republic",
ISNUMBER(SEARCH("Türkiye",S1513)),"Turkey",
ISNUMBER(SEARCH("Ivory Coast",S1513)),"Côte d'Ivoire",
ISNUMBER(SEARCH("Korea Republic",S1513)),"South Korea",
ISNUMBER(SEARCH("Germany FR",S1513)),"FR Germany",
ISNUMBER(SEARCH("West Germany",S1513)),"FR Germany",
ISNUMBER(SEARCH("Germany DR",S1513)),"DR Germany",
ISNUMBER(SEARCH("Korea DPR",S1513)),"North Korea",
ISNUMBER(SEARCH("China PR",S1513)),"China",
ISNUMBER(SEARCH("IR Iran",S1513)),"Iran",
ISNUMBER(SEARCH("Congo DR",S1513)),"Democratic Republic of the Congo",
ISNUMBER(SEARCH("DR Congo",S1513)),"Democratic Republic of the Congo",
ISNUMBER(SEARCH("German DR",S1513)),"DR Germany",
ISNUMBER(SEARCH("rn""&gt;United Arab Emirates",S1513)),"United Arab Emirates",
ISNUMBER(SEARCH("rn""&gt;Republic of Ireland",S1513)),"Ireland",
ISNUMBER(SEARCH("rn""&gt;Bosnia and Herzegovina",S1513)),"Bosnia and Herzegovina",
ISNUMBER(SEARCH("rn""&gt;Trinidad and Tobago",S1513)),"Trinidad and Tobago",
ISNUMBER(SEARCH("rn""&gt;Serbia and Montenegro",S1513)),"Serbia and Montenegro",
ISNUMBER(SEARCH(_xlfn.UNICHAR(65533),S1513)),"Côte d'Ivoire",
TRUE,""
)</f>
        <v>United States</v>
      </c>
      <c r="W1513" s="12" t="str">
        <f t="shared" si="124"/>
        <v>United States</v>
      </c>
    </row>
    <row r="1514" spans="2:23">
      <c r="B1514" s="75">
        <v>1077</v>
      </c>
      <c r="C1514" s="15" t="str">
        <v>Gédéon Kalulu</v>
      </c>
      <c r="D1514" s="15">
        <v>28</v>
      </c>
      <c r="E1514" s="15" t="str">
        <v>DR Congo</v>
      </c>
      <c r="F1514" s="15" t="str">
        <v>RB</v>
      </c>
      <c r="G1514" s="15" t="str">
        <v>Aris Limassol</v>
      </c>
      <c r="H1514" s="15">
        <v>24</v>
      </c>
      <c r="I1514" s="15" t="str">
        <f t="shared" si="121"/>
        <v>1077|Gédéon Kalulu|28|DR Congo|RB|Aris Limassol|24</v>
      </c>
      <c r="J1514" s="15" t="str">
        <f>IF(COUNTIF(I$438:I1514,I1514)&gt;1,"DOUBLON","OK")</f>
        <v>OK</v>
      </c>
      <c r="S1514" s="12" t="str">
        <v>USA</v>
      </c>
      <c r="T1514" s="12" t="str">
        <f t="shared" si="122"/>
        <v>ERREUR</v>
      </c>
      <c r="U1514" s="12" t="str">
        <f t="shared" si="123"/>
        <v>RENOMMER</v>
      </c>
      <c r="V1514" s="12" t="str" cm="1">
        <f t="array" ref="V1514">_xlfn.IFS(
ISNUMBER(SEARCH("USA",S1514)),"United States",
ISNUMBER(SEARCH("Republic of Ireland",S1514)),"Ireland",
ISNUMBER(SEARCH("Republic of Korea",S1514)),"South Korea",
ISNUMBER(SEARCH("Cape Verde",S1514)),"Cabo Verde",
ISNUMBER(SEARCH("Czechia",S1514)),"Czech Republic",
ISNUMBER(SEARCH("Türkiye",S1514)),"Turkey",
ISNUMBER(SEARCH("Ivory Coast",S1514)),"Côte d'Ivoire",
ISNUMBER(SEARCH("Korea Republic",S1514)),"South Korea",
ISNUMBER(SEARCH("Germany FR",S1514)),"FR Germany",
ISNUMBER(SEARCH("West Germany",S1514)),"FR Germany",
ISNUMBER(SEARCH("Germany DR",S1514)),"DR Germany",
ISNUMBER(SEARCH("Korea DPR",S1514)),"North Korea",
ISNUMBER(SEARCH("China PR",S1514)),"China",
ISNUMBER(SEARCH("IR Iran",S1514)),"Iran",
ISNUMBER(SEARCH("Congo DR",S1514)),"Democratic Republic of the Congo",
ISNUMBER(SEARCH("DR Congo",S1514)),"Democratic Republic of the Congo",
ISNUMBER(SEARCH("German DR",S1514)),"DR Germany",
ISNUMBER(SEARCH("rn""&gt;United Arab Emirates",S1514)),"United Arab Emirates",
ISNUMBER(SEARCH("rn""&gt;Republic of Ireland",S1514)),"Ireland",
ISNUMBER(SEARCH("rn""&gt;Bosnia and Herzegovina",S1514)),"Bosnia and Herzegovina",
ISNUMBER(SEARCH("rn""&gt;Trinidad and Tobago",S1514)),"Trinidad and Tobago",
ISNUMBER(SEARCH("rn""&gt;Serbia and Montenegro",S1514)),"Serbia and Montenegro",
ISNUMBER(SEARCH(_xlfn.UNICHAR(65533),S1514)),"Côte d'Ivoire",
TRUE,""
)</f>
        <v>United States</v>
      </c>
      <c r="W1514" s="12" t="str">
        <f t="shared" si="124"/>
        <v>United States</v>
      </c>
    </row>
    <row r="1515" spans="2:23">
      <c r="B1515" s="75">
        <v>1078</v>
      </c>
      <c r="C1515" s="15" t="str">
        <v>Ngal'ayel Mukau</v>
      </c>
      <c r="D1515" s="15">
        <v>21</v>
      </c>
      <c r="E1515" s="15" t="str">
        <v>DR Congo</v>
      </c>
      <c r="F1515" s="15" t="str">
        <v>CDM</v>
      </c>
      <c r="G1515" s="15" t="str">
        <v>Lille</v>
      </c>
      <c r="H1515" s="15">
        <v>6</v>
      </c>
      <c r="I1515" s="15" t="str">
        <f t="shared" si="121"/>
        <v>1078|Ngal'ayel Mukau|21|DR Congo|CDM|Lille|6</v>
      </c>
      <c r="J1515" s="15" t="str">
        <f>IF(COUNTIF(I$438:I1515,I1515)&gt;1,"DOUBLON","OK")</f>
        <v>OK</v>
      </c>
      <c r="S1515" s="12" t="str">
        <v>USA</v>
      </c>
      <c r="T1515" s="12" t="str">
        <f t="shared" si="122"/>
        <v>ERREUR</v>
      </c>
      <c r="U1515" s="12" t="str">
        <f t="shared" si="123"/>
        <v>RENOMMER</v>
      </c>
      <c r="V1515" s="12" t="str" cm="1">
        <f t="array" ref="V1515">_xlfn.IFS(
ISNUMBER(SEARCH("USA",S1515)),"United States",
ISNUMBER(SEARCH("Republic of Ireland",S1515)),"Ireland",
ISNUMBER(SEARCH("Republic of Korea",S1515)),"South Korea",
ISNUMBER(SEARCH("Cape Verde",S1515)),"Cabo Verde",
ISNUMBER(SEARCH("Czechia",S1515)),"Czech Republic",
ISNUMBER(SEARCH("Türkiye",S1515)),"Turkey",
ISNUMBER(SEARCH("Ivory Coast",S1515)),"Côte d'Ivoire",
ISNUMBER(SEARCH("Korea Republic",S1515)),"South Korea",
ISNUMBER(SEARCH("Germany FR",S1515)),"FR Germany",
ISNUMBER(SEARCH("West Germany",S1515)),"FR Germany",
ISNUMBER(SEARCH("Germany DR",S1515)),"DR Germany",
ISNUMBER(SEARCH("Korea DPR",S1515)),"North Korea",
ISNUMBER(SEARCH("China PR",S1515)),"China",
ISNUMBER(SEARCH("IR Iran",S1515)),"Iran",
ISNUMBER(SEARCH("Congo DR",S1515)),"Democratic Republic of the Congo",
ISNUMBER(SEARCH("DR Congo",S1515)),"Democratic Republic of the Congo",
ISNUMBER(SEARCH("German DR",S1515)),"DR Germany",
ISNUMBER(SEARCH("rn""&gt;United Arab Emirates",S1515)),"United Arab Emirates",
ISNUMBER(SEARCH("rn""&gt;Republic of Ireland",S1515)),"Ireland",
ISNUMBER(SEARCH("rn""&gt;Bosnia and Herzegovina",S1515)),"Bosnia and Herzegovina",
ISNUMBER(SEARCH("rn""&gt;Trinidad and Tobago",S1515)),"Trinidad and Tobago",
ISNUMBER(SEARCH("rn""&gt;Serbia and Montenegro",S1515)),"Serbia and Montenegro",
ISNUMBER(SEARCH(_xlfn.UNICHAR(65533),S1515)),"Côte d'Ivoire",
TRUE,""
)</f>
        <v>United States</v>
      </c>
      <c r="W1515" s="12" t="str">
        <f t="shared" si="124"/>
        <v>United States</v>
      </c>
    </row>
    <row r="1516" spans="2:23">
      <c r="B1516" s="75">
        <v>1079</v>
      </c>
      <c r="C1516" s="15" t="str">
        <v>Charles Pickel</v>
      </c>
      <c r="D1516" s="15">
        <v>29</v>
      </c>
      <c r="E1516" s="15" t="str">
        <v>DR Congo</v>
      </c>
      <c r="F1516" s="15" t="str">
        <v>CDM</v>
      </c>
      <c r="G1516" s="15" t="str">
        <v>Espanyol</v>
      </c>
      <c r="H1516" s="15">
        <v>18</v>
      </c>
      <c r="I1516" s="15" t="str">
        <f t="shared" si="121"/>
        <v>1079|Charles Pickel|29|DR Congo|CDM|Espanyol|18</v>
      </c>
      <c r="J1516" s="15" t="str">
        <f>IF(COUNTIF(I$438:I1516,I1516)&gt;1,"DOUBLON","OK")</f>
        <v>OK</v>
      </c>
      <c r="S1516" s="12" t="str">
        <v>USA</v>
      </c>
      <c r="T1516" s="12" t="str">
        <f t="shared" si="122"/>
        <v>ERREUR</v>
      </c>
      <c r="U1516" s="12" t="str">
        <f t="shared" si="123"/>
        <v>RENOMMER</v>
      </c>
      <c r="V1516" s="12" t="str" cm="1">
        <f t="array" ref="V1516">_xlfn.IFS(
ISNUMBER(SEARCH("USA",S1516)),"United States",
ISNUMBER(SEARCH("Republic of Ireland",S1516)),"Ireland",
ISNUMBER(SEARCH("Republic of Korea",S1516)),"South Korea",
ISNUMBER(SEARCH("Cape Verde",S1516)),"Cabo Verde",
ISNUMBER(SEARCH("Czechia",S1516)),"Czech Republic",
ISNUMBER(SEARCH("Türkiye",S1516)),"Turkey",
ISNUMBER(SEARCH("Ivory Coast",S1516)),"Côte d'Ivoire",
ISNUMBER(SEARCH("Korea Republic",S1516)),"South Korea",
ISNUMBER(SEARCH("Germany FR",S1516)),"FR Germany",
ISNUMBER(SEARCH("West Germany",S1516)),"FR Germany",
ISNUMBER(SEARCH("Germany DR",S1516)),"DR Germany",
ISNUMBER(SEARCH("Korea DPR",S1516)),"North Korea",
ISNUMBER(SEARCH("China PR",S1516)),"China",
ISNUMBER(SEARCH("IR Iran",S1516)),"Iran",
ISNUMBER(SEARCH("Congo DR",S1516)),"Democratic Republic of the Congo",
ISNUMBER(SEARCH("DR Congo",S1516)),"Democratic Republic of the Congo",
ISNUMBER(SEARCH("German DR",S1516)),"DR Germany",
ISNUMBER(SEARCH("rn""&gt;United Arab Emirates",S1516)),"United Arab Emirates",
ISNUMBER(SEARCH("rn""&gt;Republic of Ireland",S1516)),"Ireland",
ISNUMBER(SEARCH("rn""&gt;Bosnia and Herzegovina",S1516)),"Bosnia and Herzegovina",
ISNUMBER(SEARCH("rn""&gt;Trinidad and Tobago",S1516)),"Trinidad and Tobago",
ISNUMBER(SEARCH("rn""&gt;Serbia and Montenegro",S1516)),"Serbia and Montenegro",
ISNUMBER(SEARCH(_xlfn.UNICHAR(65533),S1516)),"Côte d'Ivoire",
TRUE,""
)</f>
        <v>United States</v>
      </c>
      <c r="W1516" s="12" t="str">
        <f t="shared" si="124"/>
        <v>United States</v>
      </c>
    </row>
    <row r="1517" spans="2:23">
      <c r="B1517" s="75">
        <v>1080</v>
      </c>
      <c r="C1517" s="15" t="str">
        <v>Samuel Moutoussamy</v>
      </c>
      <c r="D1517" s="15">
        <v>29</v>
      </c>
      <c r="E1517" s="15" t="str">
        <v>DR Congo</v>
      </c>
      <c r="F1517" s="15" t="str">
        <v>CM</v>
      </c>
      <c r="G1517" s="15" t="str">
        <v>Atromitos</v>
      </c>
      <c r="H1517" s="15">
        <v>8</v>
      </c>
      <c r="I1517" s="15" t="str">
        <f t="shared" si="121"/>
        <v>1080|Samuel Moutoussamy|29|DR Congo|CM|Atromitos|8</v>
      </c>
      <c r="J1517" s="15" t="str">
        <f>IF(COUNTIF(I$438:I1517,I1517)&gt;1,"DOUBLON","OK")</f>
        <v>OK</v>
      </c>
      <c r="S1517" s="12" t="str">
        <v>USA</v>
      </c>
      <c r="T1517" s="12" t="str">
        <f t="shared" si="122"/>
        <v>ERREUR</v>
      </c>
      <c r="U1517" s="12" t="str">
        <f t="shared" si="123"/>
        <v>RENOMMER</v>
      </c>
      <c r="V1517" s="12" t="str" cm="1">
        <f t="array" ref="V1517">_xlfn.IFS(
ISNUMBER(SEARCH("USA",S1517)),"United States",
ISNUMBER(SEARCH("Republic of Ireland",S1517)),"Ireland",
ISNUMBER(SEARCH("Republic of Korea",S1517)),"South Korea",
ISNUMBER(SEARCH("Cape Verde",S1517)),"Cabo Verde",
ISNUMBER(SEARCH("Czechia",S1517)),"Czech Republic",
ISNUMBER(SEARCH("Türkiye",S1517)),"Turkey",
ISNUMBER(SEARCH("Ivory Coast",S1517)),"Côte d'Ivoire",
ISNUMBER(SEARCH("Korea Republic",S1517)),"South Korea",
ISNUMBER(SEARCH("Germany FR",S1517)),"FR Germany",
ISNUMBER(SEARCH("West Germany",S1517)),"FR Germany",
ISNUMBER(SEARCH("Germany DR",S1517)),"DR Germany",
ISNUMBER(SEARCH("Korea DPR",S1517)),"North Korea",
ISNUMBER(SEARCH("China PR",S1517)),"China",
ISNUMBER(SEARCH("IR Iran",S1517)),"Iran",
ISNUMBER(SEARCH("Congo DR",S1517)),"Democratic Republic of the Congo",
ISNUMBER(SEARCH("DR Congo",S1517)),"Democratic Republic of the Congo",
ISNUMBER(SEARCH("German DR",S1517)),"DR Germany",
ISNUMBER(SEARCH("rn""&gt;United Arab Emirates",S1517)),"United Arab Emirates",
ISNUMBER(SEARCH("rn""&gt;Republic of Ireland",S1517)),"Ireland",
ISNUMBER(SEARCH("rn""&gt;Bosnia and Herzegovina",S1517)),"Bosnia and Herzegovina",
ISNUMBER(SEARCH("rn""&gt;Trinidad and Tobago",S1517)),"Trinidad and Tobago",
ISNUMBER(SEARCH("rn""&gt;Serbia and Montenegro",S1517)),"Serbia and Montenegro",
ISNUMBER(SEARCH(_xlfn.UNICHAR(65533),S1517)),"Côte d'Ivoire",
TRUE,""
)</f>
        <v>United States</v>
      </c>
      <c r="W1517" s="12" t="str">
        <f t="shared" si="124"/>
        <v>United States</v>
      </c>
    </row>
    <row r="1518" spans="2:23">
      <c r="B1518" s="75">
        <v>1081</v>
      </c>
      <c r="C1518" s="15" t="str">
        <v>Noah Sadiki</v>
      </c>
      <c r="D1518" s="15">
        <v>21</v>
      </c>
      <c r="E1518" s="15" t="str">
        <v>DR Congo</v>
      </c>
      <c r="F1518" s="15" t="str">
        <v>CM</v>
      </c>
      <c r="G1518" s="15" t="str">
        <v>Sunderland</v>
      </c>
      <c r="H1518" s="15">
        <v>14</v>
      </c>
      <c r="I1518" s="15" t="str">
        <f t="shared" si="121"/>
        <v>1081|Noah Sadiki|21|DR Congo|CM|Sunderland|14</v>
      </c>
      <c r="J1518" s="15" t="str">
        <f>IF(COUNTIF(I$438:I1518,I1518)&gt;1,"DOUBLON","OK")</f>
        <v>OK</v>
      </c>
      <c r="S1518" s="12" t="str">
        <v>USA</v>
      </c>
      <c r="T1518" s="12" t="str">
        <f t="shared" si="122"/>
        <v>ERREUR</v>
      </c>
      <c r="U1518" s="12" t="str">
        <f t="shared" si="123"/>
        <v>RENOMMER</v>
      </c>
      <c r="V1518" s="12" t="str" cm="1">
        <f t="array" ref="V1518">_xlfn.IFS(
ISNUMBER(SEARCH("USA",S1518)),"United States",
ISNUMBER(SEARCH("Republic of Ireland",S1518)),"Ireland",
ISNUMBER(SEARCH("Republic of Korea",S1518)),"South Korea",
ISNUMBER(SEARCH("Cape Verde",S1518)),"Cabo Verde",
ISNUMBER(SEARCH("Czechia",S1518)),"Czech Republic",
ISNUMBER(SEARCH("Türkiye",S1518)),"Turkey",
ISNUMBER(SEARCH("Ivory Coast",S1518)),"Côte d'Ivoire",
ISNUMBER(SEARCH("Korea Republic",S1518)),"South Korea",
ISNUMBER(SEARCH("Germany FR",S1518)),"FR Germany",
ISNUMBER(SEARCH("West Germany",S1518)),"FR Germany",
ISNUMBER(SEARCH("Germany DR",S1518)),"DR Germany",
ISNUMBER(SEARCH("Korea DPR",S1518)),"North Korea",
ISNUMBER(SEARCH("China PR",S1518)),"China",
ISNUMBER(SEARCH("IR Iran",S1518)),"Iran",
ISNUMBER(SEARCH("Congo DR",S1518)),"Democratic Republic of the Congo",
ISNUMBER(SEARCH("DR Congo",S1518)),"Democratic Republic of the Congo",
ISNUMBER(SEARCH("German DR",S1518)),"DR Germany",
ISNUMBER(SEARCH("rn""&gt;United Arab Emirates",S1518)),"United Arab Emirates",
ISNUMBER(SEARCH("rn""&gt;Republic of Ireland",S1518)),"Ireland",
ISNUMBER(SEARCH("rn""&gt;Bosnia and Herzegovina",S1518)),"Bosnia and Herzegovina",
ISNUMBER(SEARCH("rn""&gt;Trinidad and Tobago",S1518)),"Trinidad and Tobago",
ISNUMBER(SEARCH("rn""&gt;Serbia and Montenegro",S1518)),"Serbia and Montenegro",
ISNUMBER(SEARCH(_xlfn.UNICHAR(65533),S1518)),"Côte d'Ivoire",
TRUE,""
)</f>
        <v>United States</v>
      </c>
      <c r="W1518" s="12" t="str">
        <f t="shared" si="124"/>
        <v>United States</v>
      </c>
    </row>
    <row r="1519" spans="2:23">
      <c r="B1519" s="75">
        <v>1082</v>
      </c>
      <c r="C1519" s="15" t="str">
        <v>Aaron Tshibola</v>
      </c>
      <c r="D1519" s="15">
        <v>31</v>
      </c>
      <c r="E1519" s="15" t="str">
        <v>DR Congo</v>
      </c>
      <c r="F1519" s="15" t="str">
        <v>CM</v>
      </c>
      <c r="G1519" s="15" t="str">
        <v>Kilmarnock</v>
      </c>
      <c r="H1519" s="15">
        <v>15</v>
      </c>
      <c r="I1519" s="15" t="str">
        <f t="shared" si="121"/>
        <v>1082|Aaron Tshibola|31|DR Congo|CM|Kilmarnock|15</v>
      </c>
      <c r="J1519" s="15" t="str">
        <f>IF(COUNTIF(I$438:I1519,I1519)&gt;1,"DOUBLON","OK")</f>
        <v>OK</v>
      </c>
      <c r="S1519" s="12" t="str">
        <v>USA</v>
      </c>
      <c r="T1519" s="12" t="str">
        <f t="shared" si="122"/>
        <v>ERREUR</v>
      </c>
      <c r="U1519" s="12" t="str">
        <f t="shared" si="123"/>
        <v>RENOMMER</v>
      </c>
      <c r="V1519" s="12" t="str" cm="1">
        <f t="array" ref="V1519">_xlfn.IFS(
ISNUMBER(SEARCH("USA",S1519)),"United States",
ISNUMBER(SEARCH("Republic of Ireland",S1519)),"Ireland",
ISNUMBER(SEARCH("Republic of Korea",S1519)),"South Korea",
ISNUMBER(SEARCH("Cape Verde",S1519)),"Cabo Verde",
ISNUMBER(SEARCH("Czechia",S1519)),"Czech Republic",
ISNUMBER(SEARCH("Türkiye",S1519)),"Turkey",
ISNUMBER(SEARCH("Ivory Coast",S1519)),"Côte d'Ivoire",
ISNUMBER(SEARCH("Korea Republic",S1519)),"South Korea",
ISNUMBER(SEARCH("Germany FR",S1519)),"FR Germany",
ISNUMBER(SEARCH("West Germany",S1519)),"FR Germany",
ISNUMBER(SEARCH("Germany DR",S1519)),"DR Germany",
ISNUMBER(SEARCH("Korea DPR",S1519)),"North Korea",
ISNUMBER(SEARCH("China PR",S1519)),"China",
ISNUMBER(SEARCH("IR Iran",S1519)),"Iran",
ISNUMBER(SEARCH("Congo DR",S1519)),"Democratic Republic of the Congo",
ISNUMBER(SEARCH("DR Congo",S1519)),"Democratic Republic of the Congo",
ISNUMBER(SEARCH("German DR",S1519)),"DR Germany",
ISNUMBER(SEARCH("rn""&gt;United Arab Emirates",S1519)),"United Arab Emirates",
ISNUMBER(SEARCH("rn""&gt;Republic of Ireland",S1519)),"Ireland",
ISNUMBER(SEARCH("rn""&gt;Bosnia and Herzegovina",S1519)),"Bosnia and Herzegovina",
ISNUMBER(SEARCH("rn""&gt;Trinidad and Tobago",S1519)),"Trinidad and Tobago",
ISNUMBER(SEARCH("rn""&gt;Serbia and Montenegro",S1519)),"Serbia and Montenegro",
ISNUMBER(SEARCH(_xlfn.UNICHAR(65533),S1519)),"Côte d'Ivoire",
TRUE,""
)</f>
        <v>United States</v>
      </c>
      <c r="W1519" s="12" t="str">
        <f t="shared" si="124"/>
        <v>United States</v>
      </c>
    </row>
    <row r="1520" spans="2:23">
      <c r="B1520" s="75">
        <v>1083</v>
      </c>
      <c r="C1520" s="15" t="str">
        <v>Edo Kayembe</v>
      </c>
      <c r="D1520" s="15">
        <v>28</v>
      </c>
      <c r="E1520" s="15" t="str">
        <v>DR Congo</v>
      </c>
      <c r="F1520" s="15" t="str">
        <v>CM</v>
      </c>
      <c r="G1520" s="15" t="str">
        <v>Watford</v>
      </c>
      <c r="H1520" s="15">
        <v>25</v>
      </c>
      <c r="I1520" s="15" t="str">
        <f t="shared" si="121"/>
        <v>1083|Edo Kayembe|28|DR Congo|CM|Watford|25</v>
      </c>
      <c r="J1520" s="15" t="str">
        <f>IF(COUNTIF(I$438:I1520,I1520)&gt;1,"DOUBLON","OK")</f>
        <v>OK</v>
      </c>
      <c r="S1520" s="12" t="str">
        <v>USA</v>
      </c>
      <c r="T1520" s="12" t="str">
        <f t="shared" si="122"/>
        <v>ERREUR</v>
      </c>
      <c r="U1520" s="12" t="str">
        <f t="shared" si="123"/>
        <v>RENOMMER</v>
      </c>
      <c r="V1520" s="12" t="str" cm="1">
        <f t="array" ref="V1520">_xlfn.IFS(
ISNUMBER(SEARCH("USA",S1520)),"United States",
ISNUMBER(SEARCH("Republic of Ireland",S1520)),"Ireland",
ISNUMBER(SEARCH("Republic of Korea",S1520)),"South Korea",
ISNUMBER(SEARCH("Cape Verde",S1520)),"Cabo Verde",
ISNUMBER(SEARCH("Czechia",S1520)),"Czech Republic",
ISNUMBER(SEARCH("Türkiye",S1520)),"Turkey",
ISNUMBER(SEARCH("Ivory Coast",S1520)),"Côte d'Ivoire",
ISNUMBER(SEARCH("Korea Republic",S1520)),"South Korea",
ISNUMBER(SEARCH("Germany FR",S1520)),"FR Germany",
ISNUMBER(SEARCH("West Germany",S1520)),"FR Germany",
ISNUMBER(SEARCH("Germany DR",S1520)),"DR Germany",
ISNUMBER(SEARCH("Korea DPR",S1520)),"North Korea",
ISNUMBER(SEARCH("China PR",S1520)),"China",
ISNUMBER(SEARCH("IR Iran",S1520)),"Iran",
ISNUMBER(SEARCH("Congo DR",S1520)),"Democratic Republic of the Congo",
ISNUMBER(SEARCH("DR Congo",S1520)),"Democratic Republic of the Congo",
ISNUMBER(SEARCH("German DR",S1520)),"DR Germany",
ISNUMBER(SEARCH("rn""&gt;United Arab Emirates",S1520)),"United Arab Emirates",
ISNUMBER(SEARCH("rn""&gt;Republic of Ireland",S1520)),"Ireland",
ISNUMBER(SEARCH("rn""&gt;Bosnia and Herzegovina",S1520)),"Bosnia and Herzegovina",
ISNUMBER(SEARCH("rn""&gt;Trinidad and Tobago",S1520)),"Trinidad and Tobago",
ISNUMBER(SEARCH("rn""&gt;Serbia and Montenegro",S1520)),"Serbia and Montenegro",
ISNUMBER(SEARCH(_xlfn.UNICHAR(65533),S1520)),"Côte d'Ivoire",
TRUE,""
)</f>
        <v>United States</v>
      </c>
      <c r="W1520" s="12" t="str">
        <f t="shared" si="124"/>
        <v>United States</v>
      </c>
    </row>
    <row r="1521" spans="2:23">
      <c r="B1521" s="75">
        <v>1084</v>
      </c>
      <c r="C1521" s="15" t="str">
        <v>Théo Bongonda</v>
      </c>
      <c r="D1521" s="15">
        <v>30</v>
      </c>
      <c r="E1521" s="15" t="str">
        <v>DR Congo</v>
      </c>
      <c r="F1521" s="15" t="str">
        <v>CAM</v>
      </c>
      <c r="G1521" s="15" t="str">
        <v>Spartak Moscow</v>
      </c>
      <c r="H1521" s="15">
        <v>10</v>
      </c>
      <c r="I1521" s="15" t="str">
        <f t="shared" si="121"/>
        <v>1084|Théo Bongonda|30|DR Congo|CAM|Spartak Moscow|10</v>
      </c>
      <c r="J1521" s="15" t="str">
        <f>IF(COUNTIF(I$438:I1521,I1521)&gt;1,"DOUBLON","OK")</f>
        <v>OK</v>
      </c>
      <c r="S1521" s="12" t="str">
        <v>USA</v>
      </c>
      <c r="T1521" s="12" t="str">
        <f t="shared" si="122"/>
        <v>ERREUR</v>
      </c>
      <c r="U1521" s="12" t="str">
        <f t="shared" si="123"/>
        <v>RENOMMER</v>
      </c>
      <c r="V1521" s="12" t="str" cm="1">
        <f t="array" ref="V1521">_xlfn.IFS(
ISNUMBER(SEARCH("USA",S1521)),"United States",
ISNUMBER(SEARCH("Republic of Ireland",S1521)),"Ireland",
ISNUMBER(SEARCH("Republic of Korea",S1521)),"South Korea",
ISNUMBER(SEARCH("Cape Verde",S1521)),"Cabo Verde",
ISNUMBER(SEARCH("Czechia",S1521)),"Czech Republic",
ISNUMBER(SEARCH("Türkiye",S1521)),"Turkey",
ISNUMBER(SEARCH("Ivory Coast",S1521)),"Côte d'Ivoire",
ISNUMBER(SEARCH("Korea Republic",S1521)),"South Korea",
ISNUMBER(SEARCH("Germany FR",S1521)),"FR Germany",
ISNUMBER(SEARCH("West Germany",S1521)),"FR Germany",
ISNUMBER(SEARCH("Germany DR",S1521)),"DR Germany",
ISNUMBER(SEARCH("Korea DPR",S1521)),"North Korea",
ISNUMBER(SEARCH("China PR",S1521)),"China",
ISNUMBER(SEARCH("IR Iran",S1521)),"Iran",
ISNUMBER(SEARCH("Congo DR",S1521)),"Democratic Republic of the Congo",
ISNUMBER(SEARCH("DR Congo",S1521)),"Democratic Republic of the Congo",
ISNUMBER(SEARCH("German DR",S1521)),"DR Germany",
ISNUMBER(SEARCH("rn""&gt;United Arab Emirates",S1521)),"United Arab Emirates",
ISNUMBER(SEARCH("rn""&gt;Republic of Ireland",S1521)),"Ireland",
ISNUMBER(SEARCH("rn""&gt;Bosnia and Herzegovina",S1521)),"Bosnia and Herzegovina",
ISNUMBER(SEARCH("rn""&gt;Trinidad and Tobago",S1521)),"Trinidad and Tobago",
ISNUMBER(SEARCH("rn""&gt;Serbia and Montenegro",S1521)),"Serbia and Montenegro",
ISNUMBER(SEARCH(_xlfn.UNICHAR(65533),S1521)),"Côte d'Ivoire",
TRUE,""
)</f>
        <v>United States</v>
      </c>
      <c r="W1521" s="12" t="str">
        <f t="shared" si="124"/>
        <v>United States</v>
      </c>
    </row>
    <row r="1522" spans="2:23">
      <c r="B1522" s="75">
        <v>1085</v>
      </c>
      <c r="C1522" s="15" t="str">
        <v>Nathanaël Mbuku</v>
      </c>
      <c r="D1522" s="15">
        <v>24</v>
      </c>
      <c r="E1522" s="15" t="str">
        <v>DR Congo</v>
      </c>
      <c r="F1522" s="15" t="str">
        <v>LW</v>
      </c>
      <c r="G1522" s="15" t="str">
        <v>Montpellier</v>
      </c>
      <c r="H1522" s="15">
        <v>7</v>
      </c>
      <c r="I1522" s="15" t="str">
        <f t="shared" si="121"/>
        <v>1085|Nathanaël Mbuku|24|DR Congo|LW|Montpellier|7</v>
      </c>
      <c r="J1522" s="15" t="str">
        <f>IF(COUNTIF(I$438:I1522,I1522)&gt;1,"DOUBLON","OK")</f>
        <v>OK</v>
      </c>
      <c r="S1522" s="12" t="str">
        <v>USA</v>
      </c>
      <c r="T1522" s="12" t="str">
        <f t="shared" si="122"/>
        <v>ERREUR</v>
      </c>
      <c r="U1522" s="12" t="str">
        <f t="shared" si="123"/>
        <v>RENOMMER</v>
      </c>
      <c r="V1522" s="12" t="str" cm="1">
        <f t="array" ref="V1522">_xlfn.IFS(
ISNUMBER(SEARCH("USA",S1522)),"United States",
ISNUMBER(SEARCH("Republic of Ireland",S1522)),"Ireland",
ISNUMBER(SEARCH("Republic of Korea",S1522)),"South Korea",
ISNUMBER(SEARCH("Cape Verde",S1522)),"Cabo Verde",
ISNUMBER(SEARCH("Czechia",S1522)),"Czech Republic",
ISNUMBER(SEARCH("Türkiye",S1522)),"Turkey",
ISNUMBER(SEARCH("Ivory Coast",S1522)),"Côte d'Ivoire",
ISNUMBER(SEARCH("Korea Republic",S1522)),"South Korea",
ISNUMBER(SEARCH("Germany FR",S1522)),"FR Germany",
ISNUMBER(SEARCH("West Germany",S1522)),"FR Germany",
ISNUMBER(SEARCH("Germany DR",S1522)),"DR Germany",
ISNUMBER(SEARCH("Korea DPR",S1522)),"North Korea",
ISNUMBER(SEARCH("China PR",S1522)),"China",
ISNUMBER(SEARCH("IR Iran",S1522)),"Iran",
ISNUMBER(SEARCH("Congo DR",S1522)),"Democratic Republic of the Congo",
ISNUMBER(SEARCH("DR Congo",S1522)),"Democratic Republic of the Congo",
ISNUMBER(SEARCH("German DR",S1522)),"DR Germany",
ISNUMBER(SEARCH("rn""&gt;United Arab Emirates",S1522)),"United Arab Emirates",
ISNUMBER(SEARCH("rn""&gt;Republic of Ireland",S1522)),"Ireland",
ISNUMBER(SEARCH("rn""&gt;Bosnia and Herzegovina",S1522)),"Bosnia and Herzegovina",
ISNUMBER(SEARCH("rn""&gt;Trinidad and Tobago",S1522)),"Trinidad and Tobago",
ISNUMBER(SEARCH("rn""&gt;Serbia and Montenegro",S1522)),"Serbia and Montenegro",
ISNUMBER(SEARCH(_xlfn.UNICHAR(65533),S1522)),"Côte d'Ivoire",
TRUE,""
)</f>
        <v>United States</v>
      </c>
      <c r="W1522" s="12" t="str">
        <f t="shared" si="124"/>
        <v>United States</v>
      </c>
    </row>
    <row r="1523" spans="2:23">
      <c r="B1523" s="75">
        <v>1086</v>
      </c>
      <c r="C1523" s="15" t="str">
        <v>Meschak Elia</v>
      </c>
      <c r="D1523" s="15">
        <v>28</v>
      </c>
      <c r="E1523" s="15" t="str">
        <v>DR Congo</v>
      </c>
      <c r="F1523" s="15" t="str">
        <v>LW</v>
      </c>
      <c r="G1523" s="15" t="str">
        <v>Alanyaspor</v>
      </c>
      <c r="H1523" s="15">
        <v>13</v>
      </c>
      <c r="I1523" s="15" t="str">
        <f t="shared" si="121"/>
        <v>1086|Meschak Elia|28|DR Congo|LW|Alanyaspor|13</v>
      </c>
      <c r="J1523" s="15" t="str">
        <f>IF(COUNTIF(I$438:I1523,I1523)&gt;1,"DOUBLON","OK")</f>
        <v>OK</v>
      </c>
      <c r="S1523" s="12" t="str">
        <v>USA</v>
      </c>
      <c r="T1523" s="12" t="str">
        <f t="shared" si="122"/>
        <v>ERREUR</v>
      </c>
      <c r="U1523" s="12" t="str">
        <f t="shared" si="123"/>
        <v>RENOMMER</v>
      </c>
      <c r="V1523" s="12" t="str" cm="1">
        <f t="array" ref="V1523">_xlfn.IFS(
ISNUMBER(SEARCH("USA",S1523)),"United States",
ISNUMBER(SEARCH("Republic of Ireland",S1523)),"Ireland",
ISNUMBER(SEARCH("Republic of Korea",S1523)),"South Korea",
ISNUMBER(SEARCH("Cape Verde",S1523)),"Cabo Verde",
ISNUMBER(SEARCH("Czechia",S1523)),"Czech Republic",
ISNUMBER(SEARCH("Türkiye",S1523)),"Turkey",
ISNUMBER(SEARCH("Ivory Coast",S1523)),"Côte d'Ivoire",
ISNUMBER(SEARCH("Korea Republic",S1523)),"South Korea",
ISNUMBER(SEARCH("Germany FR",S1523)),"FR Germany",
ISNUMBER(SEARCH("West Germany",S1523)),"FR Germany",
ISNUMBER(SEARCH("Germany DR",S1523)),"DR Germany",
ISNUMBER(SEARCH("Korea DPR",S1523)),"North Korea",
ISNUMBER(SEARCH("China PR",S1523)),"China",
ISNUMBER(SEARCH("IR Iran",S1523)),"Iran",
ISNUMBER(SEARCH("Congo DR",S1523)),"Democratic Republic of the Congo",
ISNUMBER(SEARCH("DR Congo",S1523)),"Democratic Republic of the Congo",
ISNUMBER(SEARCH("German DR",S1523)),"DR Germany",
ISNUMBER(SEARCH("rn""&gt;United Arab Emirates",S1523)),"United Arab Emirates",
ISNUMBER(SEARCH("rn""&gt;Republic of Ireland",S1523)),"Ireland",
ISNUMBER(SEARCH("rn""&gt;Bosnia and Herzegovina",S1523)),"Bosnia and Herzegovina",
ISNUMBER(SEARCH("rn""&gt;Trinidad and Tobago",S1523)),"Trinidad and Tobago",
ISNUMBER(SEARCH("rn""&gt;Serbia and Montenegro",S1523)),"Serbia and Montenegro",
ISNUMBER(SEARCH(_xlfn.UNICHAR(65533),S1523)),"Côte d'Ivoire",
TRUE,""
)</f>
        <v>United States</v>
      </c>
      <c r="W1523" s="12" t="str">
        <f t="shared" si="124"/>
        <v>United States</v>
      </c>
    </row>
    <row r="1524" spans="2:23">
      <c r="B1524" s="75">
        <v>1087</v>
      </c>
      <c r="C1524" s="15" t="str">
        <v>Yoane Wissa</v>
      </c>
      <c r="D1524" s="15">
        <v>29</v>
      </c>
      <c r="E1524" s="15" t="str">
        <v>DR Congo</v>
      </c>
      <c r="F1524" s="15" t="str">
        <v>LW</v>
      </c>
      <c r="G1524" s="15" t="str">
        <v>Newcastle United</v>
      </c>
      <c r="H1524" s="15">
        <v>20</v>
      </c>
      <c r="I1524" s="15" t="str">
        <f t="shared" si="121"/>
        <v>1087|Yoane Wissa|29|DR Congo|LW|Newcastle United|20</v>
      </c>
      <c r="J1524" s="15" t="str">
        <f>IF(COUNTIF(I$438:I1524,I1524)&gt;1,"DOUBLON","OK")</f>
        <v>OK</v>
      </c>
      <c r="S1524" s="12" t="str">
        <v>USA</v>
      </c>
      <c r="T1524" s="12" t="str">
        <f t="shared" si="122"/>
        <v>ERREUR</v>
      </c>
      <c r="U1524" s="12" t="str">
        <f t="shared" si="123"/>
        <v>RENOMMER</v>
      </c>
      <c r="V1524" s="12" t="str" cm="1">
        <f t="array" ref="V1524">_xlfn.IFS(
ISNUMBER(SEARCH("USA",S1524)),"United States",
ISNUMBER(SEARCH("Republic of Ireland",S1524)),"Ireland",
ISNUMBER(SEARCH("Republic of Korea",S1524)),"South Korea",
ISNUMBER(SEARCH("Cape Verde",S1524)),"Cabo Verde",
ISNUMBER(SEARCH("Czechia",S1524)),"Czech Republic",
ISNUMBER(SEARCH("Türkiye",S1524)),"Turkey",
ISNUMBER(SEARCH("Ivory Coast",S1524)),"Côte d'Ivoire",
ISNUMBER(SEARCH("Korea Republic",S1524)),"South Korea",
ISNUMBER(SEARCH("Germany FR",S1524)),"FR Germany",
ISNUMBER(SEARCH("West Germany",S1524)),"FR Germany",
ISNUMBER(SEARCH("Germany DR",S1524)),"DR Germany",
ISNUMBER(SEARCH("Korea DPR",S1524)),"North Korea",
ISNUMBER(SEARCH("China PR",S1524)),"China",
ISNUMBER(SEARCH("IR Iran",S1524)),"Iran",
ISNUMBER(SEARCH("Congo DR",S1524)),"Democratic Republic of the Congo",
ISNUMBER(SEARCH("DR Congo",S1524)),"Democratic Republic of the Congo",
ISNUMBER(SEARCH("German DR",S1524)),"DR Germany",
ISNUMBER(SEARCH("rn""&gt;United Arab Emirates",S1524)),"United Arab Emirates",
ISNUMBER(SEARCH("rn""&gt;Republic of Ireland",S1524)),"Ireland",
ISNUMBER(SEARCH("rn""&gt;Bosnia and Herzegovina",S1524)),"Bosnia and Herzegovina",
ISNUMBER(SEARCH("rn""&gt;Trinidad and Tobago",S1524)),"Trinidad and Tobago",
ISNUMBER(SEARCH("rn""&gt;Serbia and Montenegro",S1524)),"Serbia and Montenegro",
ISNUMBER(SEARCH(_xlfn.UNICHAR(65533),S1524)),"Côte d'Ivoire",
TRUE,""
)</f>
        <v>United States</v>
      </c>
      <c r="W1524" s="12" t="str">
        <f t="shared" si="124"/>
        <v>United States</v>
      </c>
    </row>
    <row r="1525" spans="2:23">
      <c r="B1525" s="75">
        <v>1088</v>
      </c>
      <c r="C1525" s="15" t="str">
        <v>Brian Cipenga</v>
      </c>
      <c r="D1525" s="15">
        <v>28</v>
      </c>
      <c r="E1525" s="15" t="str">
        <v>DR Congo</v>
      </c>
      <c r="F1525" s="15" t="str">
        <v>RW</v>
      </c>
      <c r="G1525" s="15" t="str">
        <v>Castellón</v>
      </c>
      <c r="H1525" s="15">
        <v>9</v>
      </c>
      <c r="I1525" s="15" t="str">
        <f t="shared" si="121"/>
        <v>1088|Brian Cipenga|28|DR Congo|RW|Castellón|9</v>
      </c>
      <c r="J1525" s="15" t="str">
        <f>IF(COUNTIF(I$438:I1525,I1525)&gt;1,"DOUBLON","OK")</f>
        <v>OK</v>
      </c>
      <c r="S1525" s="12" t="str">
        <v>USA</v>
      </c>
      <c r="T1525" s="12" t="str">
        <f t="shared" si="122"/>
        <v>ERREUR</v>
      </c>
      <c r="U1525" s="12" t="str">
        <f t="shared" si="123"/>
        <v>RENOMMER</v>
      </c>
      <c r="V1525" s="12" t="str" cm="1">
        <f t="array" ref="V1525">_xlfn.IFS(
ISNUMBER(SEARCH("USA",S1525)),"United States",
ISNUMBER(SEARCH("Republic of Ireland",S1525)),"Ireland",
ISNUMBER(SEARCH("Republic of Korea",S1525)),"South Korea",
ISNUMBER(SEARCH("Cape Verde",S1525)),"Cabo Verde",
ISNUMBER(SEARCH("Czechia",S1525)),"Czech Republic",
ISNUMBER(SEARCH("Türkiye",S1525)),"Turkey",
ISNUMBER(SEARCH("Ivory Coast",S1525)),"Côte d'Ivoire",
ISNUMBER(SEARCH("Korea Republic",S1525)),"South Korea",
ISNUMBER(SEARCH("Germany FR",S1525)),"FR Germany",
ISNUMBER(SEARCH("West Germany",S1525)),"FR Germany",
ISNUMBER(SEARCH("Germany DR",S1525)),"DR Germany",
ISNUMBER(SEARCH("Korea DPR",S1525)),"North Korea",
ISNUMBER(SEARCH("China PR",S1525)),"China",
ISNUMBER(SEARCH("IR Iran",S1525)),"Iran",
ISNUMBER(SEARCH("Congo DR",S1525)),"Democratic Republic of the Congo",
ISNUMBER(SEARCH("DR Congo",S1525)),"Democratic Republic of the Congo",
ISNUMBER(SEARCH("German DR",S1525)),"DR Germany",
ISNUMBER(SEARCH("rn""&gt;United Arab Emirates",S1525)),"United Arab Emirates",
ISNUMBER(SEARCH("rn""&gt;Republic of Ireland",S1525)),"Ireland",
ISNUMBER(SEARCH("rn""&gt;Bosnia and Herzegovina",S1525)),"Bosnia and Herzegovina",
ISNUMBER(SEARCH("rn""&gt;Trinidad and Tobago",S1525)),"Trinidad and Tobago",
ISNUMBER(SEARCH("rn""&gt;Serbia and Montenegro",S1525)),"Serbia and Montenegro",
ISNUMBER(SEARCH(_xlfn.UNICHAR(65533),S1525)),"Côte d'Ivoire",
TRUE,""
)</f>
        <v>United States</v>
      </c>
      <c r="W1525" s="12" t="str">
        <f t="shared" si="124"/>
        <v>United States</v>
      </c>
    </row>
    <row r="1526" spans="2:23">
      <c r="B1526" s="75">
        <v>1089</v>
      </c>
      <c r="C1526" s="15" t="str">
        <v>Gaël Kakuta</v>
      </c>
      <c r="D1526" s="15">
        <v>34</v>
      </c>
      <c r="E1526" s="15" t="str">
        <v>DR Congo</v>
      </c>
      <c r="F1526" s="15" t="str">
        <v>RW</v>
      </c>
      <c r="G1526" s="15" t="str">
        <v>AEL</v>
      </c>
      <c r="H1526" s="15">
        <v>11</v>
      </c>
      <c r="I1526" s="15" t="str">
        <f t="shared" si="121"/>
        <v>1089|Gaël Kakuta|34|DR Congo|RW|AEL|11</v>
      </c>
      <c r="J1526" s="15" t="str">
        <f>IF(COUNTIF(I$438:I1526,I1526)&gt;1,"DOUBLON","OK")</f>
        <v>OK</v>
      </c>
      <c r="S1526" s="12" t="str">
        <v>USA</v>
      </c>
      <c r="T1526" s="12" t="str">
        <f t="shared" si="122"/>
        <v>ERREUR</v>
      </c>
      <c r="U1526" s="12" t="str">
        <f t="shared" si="123"/>
        <v>RENOMMER</v>
      </c>
      <c r="V1526" s="12" t="str" cm="1">
        <f t="array" ref="V1526">_xlfn.IFS(
ISNUMBER(SEARCH("USA",S1526)),"United States",
ISNUMBER(SEARCH("Republic of Ireland",S1526)),"Ireland",
ISNUMBER(SEARCH("Republic of Korea",S1526)),"South Korea",
ISNUMBER(SEARCH("Cape Verde",S1526)),"Cabo Verde",
ISNUMBER(SEARCH("Czechia",S1526)),"Czech Republic",
ISNUMBER(SEARCH("Türkiye",S1526)),"Turkey",
ISNUMBER(SEARCH("Ivory Coast",S1526)),"Côte d'Ivoire",
ISNUMBER(SEARCH("Korea Republic",S1526)),"South Korea",
ISNUMBER(SEARCH("Germany FR",S1526)),"FR Germany",
ISNUMBER(SEARCH("West Germany",S1526)),"FR Germany",
ISNUMBER(SEARCH("Germany DR",S1526)),"DR Germany",
ISNUMBER(SEARCH("Korea DPR",S1526)),"North Korea",
ISNUMBER(SEARCH("China PR",S1526)),"China",
ISNUMBER(SEARCH("IR Iran",S1526)),"Iran",
ISNUMBER(SEARCH("Congo DR",S1526)),"Democratic Republic of the Congo",
ISNUMBER(SEARCH("DR Congo",S1526)),"Democratic Republic of the Congo",
ISNUMBER(SEARCH("German DR",S1526)),"DR Germany",
ISNUMBER(SEARCH("rn""&gt;United Arab Emirates",S1526)),"United Arab Emirates",
ISNUMBER(SEARCH("rn""&gt;Republic of Ireland",S1526)),"Ireland",
ISNUMBER(SEARCH("rn""&gt;Bosnia and Herzegovina",S1526)),"Bosnia and Herzegovina",
ISNUMBER(SEARCH("rn""&gt;Trinidad and Tobago",S1526)),"Trinidad and Tobago",
ISNUMBER(SEARCH("rn""&gt;Serbia and Montenegro",S1526)),"Serbia and Montenegro",
ISNUMBER(SEARCH(_xlfn.UNICHAR(65533),S1526)),"Côte d'Ivoire",
TRUE,""
)</f>
        <v>United States</v>
      </c>
      <c r="W1526" s="12" t="str">
        <f t="shared" si="124"/>
        <v>United States</v>
      </c>
    </row>
    <row r="1527" spans="2:23">
      <c r="B1527" s="75">
        <v>1090</v>
      </c>
      <c r="C1527" s="15" t="str">
        <v>Cédric Bakambu</v>
      </c>
      <c r="D1527" s="15">
        <v>35</v>
      </c>
      <c r="E1527" s="15" t="str">
        <v>DR Congo</v>
      </c>
      <c r="F1527" s="15" t="str">
        <v>ST</v>
      </c>
      <c r="G1527" s="15" t="str">
        <v>Real Betis</v>
      </c>
      <c r="H1527" s="15">
        <v>17</v>
      </c>
      <c r="I1527" s="15" t="str">
        <f t="shared" ref="I1527:I1590" si="125">B1527&amp;"|"&amp;C1527&amp;"|"&amp;D1527&amp;"|"&amp;E1527&amp;"|"&amp;F1527&amp;"|"&amp;G1527&amp;"|"&amp;H1527</f>
        <v>1090|Cédric Bakambu|35|DR Congo|ST|Real Betis|17</v>
      </c>
      <c r="J1527" s="15" t="str">
        <f>IF(COUNTIF(I$438:I1527,I1527)&gt;1,"DOUBLON","OK")</f>
        <v>OK</v>
      </c>
      <c r="S1527" s="12" t="str">
        <v>USA</v>
      </c>
      <c r="T1527" s="12" t="str">
        <f t="shared" si="122"/>
        <v>ERREUR</v>
      </c>
      <c r="U1527" s="12" t="str">
        <f t="shared" si="123"/>
        <v>RENOMMER</v>
      </c>
      <c r="V1527" s="12" t="str" cm="1">
        <f t="array" ref="V1527">_xlfn.IFS(
ISNUMBER(SEARCH("USA",S1527)),"United States",
ISNUMBER(SEARCH("Republic of Ireland",S1527)),"Ireland",
ISNUMBER(SEARCH("Republic of Korea",S1527)),"South Korea",
ISNUMBER(SEARCH("Cape Verde",S1527)),"Cabo Verde",
ISNUMBER(SEARCH("Czechia",S1527)),"Czech Republic",
ISNUMBER(SEARCH("Türkiye",S1527)),"Turkey",
ISNUMBER(SEARCH("Ivory Coast",S1527)),"Côte d'Ivoire",
ISNUMBER(SEARCH("Korea Republic",S1527)),"South Korea",
ISNUMBER(SEARCH("Germany FR",S1527)),"FR Germany",
ISNUMBER(SEARCH("West Germany",S1527)),"FR Germany",
ISNUMBER(SEARCH("Germany DR",S1527)),"DR Germany",
ISNUMBER(SEARCH("Korea DPR",S1527)),"North Korea",
ISNUMBER(SEARCH("China PR",S1527)),"China",
ISNUMBER(SEARCH("IR Iran",S1527)),"Iran",
ISNUMBER(SEARCH("Congo DR",S1527)),"Democratic Republic of the Congo",
ISNUMBER(SEARCH("DR Congo",S1527)),"Democratic Republic of the Congo",
ISNUMBER(SEARCH("German DR",S1527)),"DR Germany",
ISNUMBER(SEARCH("rn""&gt;United Arab Emirates",S1527)),"United Arab Emirates",
ISNUMBER(SEARCH("rn""&gt;Republic of Ireland",S1527)),"Ireland",
ISNUMBER(SEARCH("rn""&gt;Bosnia and Herzegovina",S1527)),"Bosnia and Herzegovina",
ISNUMBER(SEARCH("rn""&gt;Trinidad and Tobago",S1527)),"Trinidad and Tobago",
ISNUMBER(SEARCH("rn""&gt;Serbia and Montenegro",S1527)),"Serbia and Montenegro",
ISNUMBER(SEARCH(_xlfn.UNICHAR(65533),S1527)),"Côte d'Ivoire",
TRUE,""
)</f>
        <v>United States</v>
      </c>
      <c r="W1527" s="12" t="str">
        <f t="shared" si="124"/>
        <v>United States</v>
      </c>
    </row>
    <row r="1528" spans="2:23">
      <c r="B1528" s="75">
        <v>1091</v>
      </c>
      <c r="C1528" s="15" t="str">
        <v>Fiston Mayele</v>
      </c>
      <c r="D1528" s="15">
        <v>31</v>
      </c>
      <c r="E1528" s="15" t="str">
        <v>DR Congo</v>
      </c>
      <c r="F1528" s="15" t="str">
        <v>ST</v>
      </c>
      <c r="G1528" s="15" t="str">
        <v>Pyramids</v>
      </c>
      <c r="H1528" s="15">
        <v>19</v>
      </c>
      <c r="I1528" s="15" t="str">
        <f t="shared" si="125"/>
        <v>1091|Fiston Mayele|31|DR Congo|ST|Pyramids|19</v>
      </c>
      <c r="J1528" s="15" t="str">
        <f>IF(COUNTIF(I$438:I1528,I1528)&gt;1,"DOUBLON","OK")</f>
        <v>OK</v>
      </c>
      <c r="S1528" s="12" t="str">
        <v>USA</v>
      </c>
      <c r="T1528" s="12" t="str">
        <f t="shared" si="122"/>
        <v>ERREUR</v>
      </c>
      <c r="U1528" s="12" t="str">
        <f t="shared" si="123"/>
        <v>RENOMMER</v>
      </c>
      <c r="V1528" s="12" t="str" cm="1">
        <f t="array" ref="V1528">_xlfn.IFS(
ISNUMBER(SEARCH("USA",S1528)),"United States",
ISNUMBER(SEARCH("Republic of Ireland",S1528)),"Ireland",
ISNUMBER(SEARCH("Republic of Korea",S1528)),"South Korea",
ISNUMBER(SEARCH("Cape Verde",S1528)),"Cabo Verde",
ISNUMBER(SEARCH("Czechia",S1528)),"Czech Republic",
ISNUMBER(SEARCH("Türkiye",S1528)),"Turkey",
ISNUMBER(SEARCH("Ivory Coast",S1528)),"Côte d'Ivoire",
ISNUMBER(SEARCH("Korea Republic",S1528)),"South Korea",
ISNUMBER(SEARCH("Germany FR",S1528)),"FR Germany",
ISNUMBER(SEARCH("West Germany",S1528)),"FR Germany",
ISNUMBER(SEARCH("Germany DR",S1528)),"DR Germany",
ISNUMBER(SEARCH("Korea DPR",S1528)),"North Korea",
ISNUMBER(SEARCH("China PR",S1528)),"China",
ISNUMBER(SEARCH("IR Iran",S1528)),"Iran",
ISNUMBER(SEARCH("Congo DR",S1528)),"Democratic Republic of the Congo",
ISNUMBER(SEARCH("DR Congo",S1528)),"Democratic Republic of the Congo",
ISNUMBER(SEARCH("German DR",S1528)),"DR Germany",
ISNUMBER(SEARCH("rn""&gt;United Arab Emirates",S1528)),"United Arab Emirates",
ISNUMBER(SEARCH("rn""&gt;Republic of Ireland",S1528)),"Ireland",
ISNUMBER(SEARCH("rn""&gt;Bosnia and Herzegovina",S1528)),"Bosnia and Herzegovina",
ISNUMBER(SEARCH("rn""&gt;Trinidad and Tobago",S1528)),"Trinidad and Tobago",
ISNUMBER(SEARCH("rn""&gt;Serbia and Montenegro",S1528)),"Serbia and Montenegro",
ISNUMBER(SEARCH(_xlfn.UNICHAR(65533),S1528)),"Côte d'Ivoire",
TRUE,""
)</f>
        <v>United States</v>
      </c>
      <c r="W1528" s="12" t="str">
        <f t="shared" si="124"/>
        <v>United States</v>
      </c>
    </row>
    <row r="1529" spans="2:23">
      <c r="B1529" s="75">
        <v>1092</v>
      </c>
      <c r="C1529" s="15" t="str">
        <v>Simon Banza</v>
      </c>
      <c r="D1529" s="15">
        <v>29</v>
      </c>
      <c r="E1529" s="15" t="str">
        <v>DR Congo</v>
      </c>
      <c r="F1529" s="15" t="str">
        <v>ST</v>
      </c>
      <c r="G1529" s="15" t="str">
        <v>Al Jazira</v>
      </c>
      <c r="H1529" s="15">
        <v>23</v>
      </c>
      <c r="I1529" s="15" t="str">
        <f t="shared" si="125"/>
        <v>1092|Simon Banza|29|DR Congo|ST|Al Jazira|23</v>
      </c>
      <c r="J1529" s="15" t="str">
        <f>IF(COUNTIF(I$438:I1529,I1529)&gt;1,"DOUBLON","OK")</f>
        <v>OK</v>
      </c>
      <c r="S1529" s="12" t="str">
        <v>USA</v>
      </c>
      <c r="T1529" s="12" t="str">
        <f t="shared" si="122"/>
        <v>ERREUR</v>
      </c>
      <c r="U1529" s="12" t="str">
        <f t="shared" si="123"/>
        <v>RENOMMER</v>
      </c>
      <c r="V1529" s="12" t="str" cm="1">
        <f t="array" ref="V1529">_xlfn.IFS(
ISNUMBER(SEARCH("USA",S1529)),"United States",
ISNUMBER(SEARCH("Republic of Ireland",S1529)),"Ireland",
ISNUMBER(SEARCH("Republic of Korea",S1529)),"South Korea",
ISNUMBER(SEARCH("Cape Verde",S1529)),"Cabo Verde",
ISNUMBER(SEARCH("Czechia",S1529)),"Czech Republic",
ISNUMBER(SEARCH("Türkiye",S1529)),"Turkey",
ISNUMBER(SEARCH("Ivory Coast",S1529)),"Côte d'Ivoire",
ISNUMBER(SEARCH("Korea Republic",S1529)),"South Korea",
ISNUMBER(SEARCH("Germany FR",S1529)),"FR Germany",
ISNUMBER(SEARCH("West Germany",S1529)),"FR Germany",
ISNUMBER(SEARCH("Germany DR",S1529)),"DR Germany",
ISNUMBER(SEARCH("Korea DPR",S1529)),"North Korea",
ISNUMBER(SEARCH("China PR",S1529)),"China",
ISNUMBER(SEARCH("IR Iran",S1529)),"Iran",
ISNUMBER(SEARCH("Congo DR",S1529)),"Democratic Republic of the Congo",
ISNUMBER(SEARCH("DR Congo",S1529)),"Democratic Republic of the Congo",
ISNUMBER(SEARCH("German DR",S1529)),"DR Germany",
ISNUMBER(SEARCH("rn""&gt;United Arab Emirates",S1529)),"United Arab Emirates",
ISNUMBER(SEARCH("rn""&gt;Republic of Ireland",S1529)),"Ireland",
ISNUMBER(SEARCH("rn""&gt;Bosnia and Herzegovina",S1529)),"Bosnia and Herzegovina",
ISNUMBER(SEARCH("rn""&gt;Trinidad and Tobago",S1529)),"Trinidad and Tobago",
ISNUMBER(SEARCH("rn""&gt;Serbia and Montenegro",S1529)),"Serbia and Montenegro",
ISNUMBER(SEARCH(_xlfn.UNICHAR(65533),S1529)),"Côte d'Ivoire",
TRUE,""
)</f>
        <v>United States</v>
      </c>
      <c r="W1529" s="12" t="str">
        <f t="shared" si="124"/>
        <v>United States</v>
      </c>
    </row>
    <row r="1530" spans="2:23">
      <c r="B1530" s="75">
        <v>1093</v>
      </c>
      <c r="C1530" s="15" t="str">
        <v>Diogo Costa</v>
      </c>
      <c r="D1530" s="15">
        <v>26</v>
      </c>
      <c r="E1530" s="15" t="str">
        <v>Portugal</v>
      </c>
      <c r="F1530" s="15" t="str">
        <v>GK</v>
      </c>
      <c r="G1530" s="15" t="str">
        <v>Porto</v>
      </c>
      <c r="H1530" s="15">
        <v>1</v>
      </c>
      <c r="I1530" s="15" t="str">
        <f t="shared" si="125"/>
        <v>1093|Diogo Costa|26|Portugal|GK|Porto|1</v>
      </c>
      <c r="J1530" s="15" t="str">
        <f>IF(COUNTIF(I$438:I1530,I1530)&gt;1,"DOUBLON","OK")</f>
        <v>OK</v>
      </c>
      <c r="S1530" s="12" t="str">
        <v>USA</v>
      </c>
      <c r="T1530" s="12" t="str">
        <f t="shared" si="122"/>
        <v>ERREUR</v>
      </c>
      <c r="U1530" s="12" t="str">
        <f t="shared" si="123"/>
        <v>RENOMMER</v>
      </c>
      <c r="V1530" s="12" t="str" cm="1">
        <f t="array" ref="V1530">_xlfn.IFS(
ISNUMBER(SEARCH("USA",S1530)),"United States",
ISNUMBER(SEARCH("Republic of Ireland",S1530)),"Ireland",
ISNUMBER(SEARCH("Republic of Korea",S1530)),"South Korea",
ISNUMBER(SEARCH("Cape Verde",S1530)),"Cabo Verde",
ISNUMBER(SEARCH("Czechia",S1530)),"Czech Republic",
ISNUMBER(SEARCH("Türkiye",S1530)),"Turkey",
ISNUMBER(SEARCH("Ivory Coast",S1530)),"Côte d'Ivoire",
ISNUMBER(SEARCH("Korea Republic",S1530)),"South Korea",
ISNUMBER(SEARCH("Germany FR",S1530)),"FR Germany",
ISNUMBER(SEARCH("West Germany",S1530)),"FR Germany",
ISNUMBER(SEARCH("Germany DR",S1530)),"DR Germany",
ISNUMBER(SEARCH("Korea DPR",S1530)),"North Korea",
ISNUMBER(SEARCH("China PR",S1530)),"China",
ISNUMBER(SEARCH("IR Iran",S1530)),"Iran",
ISNUMBER(SEARCH("Congo DR",S1530)),"Democratic Republic of the Congo",
ISNUMBER(SEARCH("DR Congo",S1530)),"Democratic Republic of the Congo",
ISNUMBER(SEARCH("German DR",S1530)),"DR Germany",
ISNUMBER(SEARCH("rn""&gt;United Arab Emirates",S1530)),"United Arab Emirates",
ISNUMBER(SEARCH("rn""&gt;Republic of Ireland",S1530)),"Ireland",
ISNUMBER(SEARCH("rn""&gt;Bosnia and Herzegovina",S1530)),"Bosnia and Herzegovina",
ISNUMBER(SEARCH("rn""&gt;Trinidad and Tobago",S1530)),"Trinidad and Tobago",
ISNUMBER(SEARCH("rn""&gt;Serbia and Montenegro",S1530)),"Serbia and Montenegro",
ISNUMBER(SEARCH(_xlfn.UNICHAR(65533),S1530)),"Côte d'Ivoire",
TRUE,""
)</f>
        <v>United States</v>
      </c>
      <c r="W1530" s="12" t="str">
        <f t="shared" si="124"/>
        <v>United States</v>
      </c>
    </row>
    <row r="1531" spans="2:23">
      <c r="B1531" s="75">
        <v>1094</v>
      </c>
      <c r="C1531" s="15" t="str">
        <v>José Sá</v>
      </c>
      <c r="D1531" s="15">
        <v>33</v>
      </c>
      <c r="E1531" s="15" t="str">
        <v>Portugal</v>
      </c>
      <c r="F1531" s="15" t="str">
        <v>GK</v>
      </c>
      <c r="G1531" s="15" t="str">
        <v>Wolverhampton Wanderers</v>
      </c>
      <c r="H1531" s="15">
        <v>12</v>
      </c>
      <c r="I1531" s="15" t="str">
        <f t="shared" si="125"/>
        <v>1094|José Sá|33|Portugal|GK|Wolverhampton Wanderers|12</v>
      </c>
      <c r="J1531" s="15" t="str">
        <f>IF(COUNTIF(I$438:I1531,I1531)&gt;1,"DOUBLON","OK")</f>
        <v>OK</v>
      </c>
      <c r="S1531" s="12" t="str">
        <v>USA</v>
      </c>
      <c r="T1531" s="12" t="str">
        <f t="shared" si="122"/>
        <v>ERREUR</v>
      </c>
      <c r="U1531" s="12" t="str">
        <f t="shared" si="123"/>
        <v>RENOMMER</v>
      </c>
      <c r="V1531" s="12" t="str" cm="1">
        <f t="array" ref="V1531">_xlfn.IFS(
ISNUMBER(SEARCH("USA",S1531)),"United States",
ISNUMBER(SEARCH("Republic of Ireland",S1531)),"Ireland",
ISNUMBER(SEARCH("Republic of Korea",S1531)),"South Korea",
ISNUMBER(SEARCH("Cape Verde",S1531)),"Cabo Verde",
ISNUMBER(SEARCH("Czechia",S1531)),"Czech Republic",
ISNUMBER(SEARCH("Türkiye",S1531)),"Turkey",
ISNUMBER(SEARCH("Ivory Coast",S1531)),"Côte d'Ivoire",
ISNUMBER(SEARCH("Korea Republic",S1531)),"South Korea",
ISNUMBER(SEARCH("Germany FR",S1531)),"FR Germany",
ISNUMBER(SEARCH("West Germany",S1531)),"FR Germany",
ISNUMBER(SEARCH("Germany DR",S1531)),"DR Germany",
ISNUMBER(SEARCH("Korea DPR",S1531)),"North Korea",
ISNUMBER(SEARCH("China PR",S1531)),"China",
ISNUMBER(SEARCH("IR Iran",S1531)),"Iran",
ISNUMBER(SEARCH("Congo DR",S1531)),"Democratic Republic of the Congo",
ISNUMBER(SEARCH("DR Congo",S1531)),"Democratic Republic of the Congo",
ISNUMBER(SEARCH("German DR",S1531)),"DR Germany",
ISNUMBER(SEARCH("rn""&gt;United Arab Emirates",S1531)),"United Arab Emirates",
ISNUMBER(SEARCH("rn""&gt;Republic of Ireland",S1531)),"Ireland",
ISNUMBER(SEARCH("rn""&gt;Bosnia and Herzegovina",S1531)),"Bosnia and Herzegovina",
ISNUMBER(SEARCH("rn""&gt;Trinidad and Tobago",S1531)),"Trinidad and Tobago",
ISNUMBER(SEARCH("rn""&gt;Serbia and Montenegro",S1531)),"Serbia and Montenegro",
ISNUMBER(SEARCH(_xlfn.UNICHAR(65533),S1531)),"Côte d'Ivoire",
TRUE,""
)</f>
        <v>United States</v>
      </c>
      <c r="W1531" s="12" t="str">
        <f t="shared" si="124"/>
        <v>United States</v>
      </c>
    </row>
    <row r="1532" spans="2:23">
      <c r="B1532" s="75">
        <v>1095</v>
      </c>
      <c r="C1532" s="15" t="str">
        <v>Rui Silva</v>
      </c>
      <c r="D1532" s="15">
        <v>32</v>
      </c>
      <c r="E1532" s="15" t="str">
        <v>Portugal</v>
      </c>
      <c r="F1532" s="15" t="str">
        <v>GK</v>
      </c>
      <c r="G1532" s="15" t="str">
        <v>Sporting CP</v>
      </c>
      <c r="H1532" s="15">
        <v>22</v>
      </c>
      <c r="I1532" s="15" t="str">
        <f t="shared" si="125"/>
        <v>1095|Rui Silva|32|Portugal|GK|Sporting CP|22</v>
      </c>
      <c r="J1532" s="15" t="str">
        <f>IF(COUNTIF(I$438:I1532,I1532)&gt;1,"DOUBLON","OK")</f>
        <v>OK</v>
      </c>
      <c r="S1532" s="12" t="str">
        <v>USA</v>
      </c>
      <c r="T1532" s="12" t="str">
        <f t="shared" si="122"/>
        <v>ERREUR</v>
      </c>
      <c r="U1532" s="12" t="str">
        <f t="shared" si="123"/>
        <v>RENOMMER</v>
      </c>
      <c r="V1532" s="12" t="str" cm="1">
        <f t="array" ref="V1532">_xlfn.IFS(
ISNUMBER(SEARCH("USA",S1532)),"United States",
ISNUMBER(SEARCH("Republic of Ireland",S1532)),"Ireland",
ISNUMBER(SEARCH("Republic of Korea",S1532)),"South Korea",
ISNUMBER(SEARCH("Cape Verde",S1532)),"Cabo Verde",
ISNUMBER(SEARCH("Czechia",S1532)),"Czech Republic",
ISNUMBER(SEARCH("Türkiye",S1532)),"Turkey",
ISNUMBER(SEARCH("Ivory Coast",S1532)),"Côte d'Ivoire",
ISNUMBER(SEARCH("Korea Republic",S1532)),"South Korea",
ISNUMBER(SEARCH("Germany FR",S1532)),"FR Germany",
ISNUMBER(SEARCH("West Germany",S1532)),"FR Germany",
ISNUMBER(SEARCH("Germany DR",S1532)),"DR Germany",
ISNUMBER(SEARCH("Korea DPR",S1532)),"North Korea",
ISNUMBER(SEARCH("China PR",S1532)),"China",
ISNUMBER(SEARCH("IR Iran",S1532)),"Iran",
ISNUMBER(SEARCH("Congo DR",S1532)),"Democratic Republic of the Congo",
ISNUMBER(SEARCH("DR Congo",S1532)),"Democratic Republic of the Congo",
ISNUMBER(SEARCH("German DR",S1532)),"DR Germany",
ISNUMBER(SEARCH("rn""&gt;United Arab Emirates",S1532)),"United Arab Emirates",
ISNUMBER(SEARCH("rn""&gt;Republic of Ireland",S1532)),"Ireland",
ISNUMBER(SEARCH("rn""&gt;Bosnia and Herzegovina",S1532)),"Bosnia and Herzegovina",
ISNUMBER(SEARCH("rn""&gt;Trinidad and Tobago",S1532)),"Trinidad and Tobago",
ISNUMBER(SEARCH("rn""&gt;Serbia and Montenegro",S1532)),"Serbia and Montenegro",
ISNUMBER(SEARCH(_xlfn.UNICHAR(65533),S1532)),"Côte d'Ivoire",
TRUE,""
)</f>
        <v>United States</v>
      </c>
      <c r="W1532" s="12" t="str">
        <f t="shared" si="124"/>
        <v>United States</v>
      </c>
    </row>
    <row r="1533" spans="2:23">
      <c r="B1533" s="75">
        <v>1096</v>
      </c>
      <c r="C1533" s="15" t="str">
        <v>Rúben Dias</v>
      </c>
      <c r="D1533" s="15">
        <v>29</v>
      </c>
      <c r="E1533" s="15" t="str">
        <v>Portugal</v>
      </c>
      <c r="F1533" s="15" t="str">
        <v>CB</v>
      </c>
      <c r="G1533" s="15" t="str">
        <v>Manchester City</v>
      </c>
      <c r="H1533" s="15">
        <v>3</v>
      </c>
      <c r="I1533" s="15" t="str">
        <f t="shared" si="125"/>
        <v>1096|Rúben Dias|29|Portugal|CB|Manchester City|3</v>
      </c>
      <c r="J1533" s="15" t="str">
        <f>IF(COUNTIF(I$438:I1533,I1533)&gt;1,"DOUBLON","OK")</f>
        <v>OK</v>
      </c>
      <c r="S1533" s="12" t="str">
        <v>USA</v>
      </c>
      <c r="T1533" s="12" t="str">
        <f t="shared" si="122"/>
        <v>ERREUR</v>
      </c>
      <c r="U1533" s="12" t="str">
        <f t="shared" si="123"/>
        <v>RENOMMER</v>
      </c>
      <c r="V1533" s="12" t="str" cm="1">
        <f t="array" ref="V1533">_xlfn.IFS(
ISNUMBER(SEARCH("USA",S1533)),"United States",
ISNUMBER(SEARCH("Republic of Ireland",S1533)),"Ireland",
ISNUMBER(SEARCH("Republic of Korea",S1533)),"South Korea",
ISNUMBER(SEARCH("Cape Verde",S1533)),"Cabo Verde",
ISNUMBER(SEARCH("Czechia",S1533)),"Czech Republic",
ISNUMBER(SEARCH("Türkiye",S1533)),"Turkey",
ISNUMBER(SEARCH("Ivory Coast",S1533)),"Côte d'Ivoire",
ISNUMBER(SEARCH("Korea Republic",S1533)),"South Korea",
ISNUMBER(SEARCH("Germany FR",S1533)),"FR Germany",
ISNUMBER(SEARCH("West Germany",S1533)),"FR Germany",
ISNUMBER(SEARCH("Germany DR",S1533)),"DR Germany",
ISNUMBER(SEARCH("Korea DPR",S1533)),"North Korea",
ISNUMBER(SEARCH("China PR",S1533)),"China",
ISNUMBER(SEARCH("IR Iran",S1533)),"Iran",
ISNUMBER(SEARCH("Congo DR",S1533)),"Democratic Republic of the Congo",
ISNUMBER(SEARCH("DR Congo",S1533)),"Democratic Republic of the Congo",
ISNUMBER(SEARCH("German DR",S1533)),"DR Germany",
ISNUMBER(SEARCH("rn""&gt;United Arab Emirates",S1533)),"United Arab Emirates",
ISNUMBER(SEARCH("rn""&gt;Republic of Ireland",S1533)),"Ireland",
ISNUMBER(SEARCH("rn""&gt;Bosnia and Herzegovina",S1533)),"Bosnia and Herzegovina",
ISNUMBER(SEARCH("rn""&gt;Trinidad and Tobago",S1533)),"Trinidad and Tobago",
ISNUMBER(SEARCH("rn""&gt;Serbia and Montenegro",S1533)),"Serbia and Montenegro",
ISNUMBER(SEARCH(_xlfn.UNICHAR(65533),S1533)),"Côte d'Ivoire",
TRUE,""
)</f>
        <v>United States</v>
      </c>
      <c r="W1533" s="12" t="str">
        <f t="shared" si="124"/>
        <v>United States</v>
      </c>
    </row>
    <row r="1534" spans="2:23">
      <c r="B1534" s="75">
        <v>1097</v>
      </c>
      <c r="C1534" s="15" t="str">
        <v>Tomás Araújo</v>
      </c>
      <c r="D1534" s="15">
        <v>24</v>
      </c>
      <c r="E1534" s="15" t="str">
        <v>Portugal</v>
      </c>
      <c r="F1534" s="15" t="str">
        <v>CB</v>
      </c>
      <c r="G1534" s="15" t="str">
        <v>Benfica</v>
      </c>
      <c r="H1534" s="15">
        <v>4</v>
      </c>
      <c r="I1534" s="15" t="str">
        <f t="shared" si="125"/>
        <v>1097|Tomás Araújo|24|Portugal|CB|Benfica|4</v>
      </c>
      <c r="J1534" s="15" t="str">
        <f>IF(COUNTIF(I$438:I1534,I1534)&gt;1,"DOUBLON","OK")</f>
        <v>OK</v>
      </c>
      <c r="S1534" s="12" t="str">
        <v>USA</v>
      </c>
      <c r="T1534" s="12" t="str">
        <f t="shared" si="122"/>
        <v>ERREUR</v>
      </c>
      <c r="U1534" s="12" t="str">
        <f t="shared" si="123"/>
        <v>RENOMMER</v>
      </c>
      <c r="V1534" s="12" t="str" cm="1">
        <f t="array" ref="V1534">_xlfn.IFS(
ISNUMBER(SEARCH("USA",S1534)),"United States",
ISNUMBER(SEARCH("Republic of Ireland",S1534)),"Ireland",
ISNUMBER(SEARCH("Republic of Korea",S1534)),"South Korea",
ISNUMBER(SEARCH("Cape Verde",S1534)),"Cabo Verde",
ISNUMBER(SEARCH("Czechia",S1534)),"Czech Republic",
ISNUMBER(SEARCH("Türkiye",S1534)),"Turkey",
ISNUMBER(SEARCH("Ivory Coast",S1534)),"Côte d'Ivoire",
ISNUMBER(SEARCH("Korea Republic",S1534)),"South Korea",
ISNUMBER(SEARCH("Germany FR",S1534)),"FR Germany",
ISNUMBER(SEARCH("West Germany",S1534)),"FR Germany",
ISNUMBER(SEARCH("Germany DR",S1534)),"DR Germany",
ISNUMBER(SEARCH("Korea DPR",S1534)),"North Korea",
ISNUMBER(SEARCH("China PR",S1534)),"China",
ISNUMBER(SEARCH("IR Iran",S1534)),"Iran",
ISNUMBER(SEARCH("Congo DR",S1534)),"Democratic Republic of the Congo",
ISNUMBER(SEARCH("DR Congo",S1534)),"Democratic Republic of the Congo",
ISNUMBER(SEARCH("German DR",S1534)),"DR Germany",
ISNUMBER(SEARCH("rn""&gt;United Arab Emirates",S1534)),"United Arab Emirates",
ISNUMBER(SEARCH("rn""&gt;Republic of Ireland",S1534)),"Ireland",
ISNUMBER(SEARCH("rn""&gt;Bosnia and Herzegovina",S1534)),"Bosnia and Herzegovina",
ISNUMBER(SEARCH("rn""&gt;Trinidad and Tobago",S1534)),"Trinidad and Tobago",
ISNUMBER(SEARCH("rn""&gt;Serbia and Montenegro",S1534)),"Serbia and Montenegro",
ISNUMBER(SEARCH(_xlfn.UNICHAR(65533),S1534)),"Côte d'Ivoire",
TRUE,""
)</f>
        <v>United States</v>
      </c>
      <c r="W1534" s="12" t="str">
        <f t="shared" si="124"/>
        <v>United States</v>
      </c>
    </row>
    <row r="1535" spans="2:23">
      <c r="B1535" s="75">
        <v>1098</v>
      </c>
      <c r="C1535" s="15" t="str">
        <v>Renato Veiga</v>
      </c>
      <c r="D1535" s="15">
        <v>22</v>
      </c>
      <c r="E1535" s="15" t="str">
        <v>Portugal</v>
      </c>
      <c r="F1535" s="15" t="str">
        <v>CB</v>
      </c>
      <c r="G1535" s="15" t="str">
        <v>Villarreal</v>
      </c>
      <c r="H1535" s="15">
        <v>13</v>
      </c>
      <c r="I1535" s="15" t="str">
        <f t="shared" si="125"/>
        <v>1098|Renato Veiga|22|Portugal|CB|Villarreal|13</v>
      </c>
      <c r="J1535" s="15" t="str">
        <f>IF(COUNTIF(I$438:I1535,I1535)&gt;1,"DOUBLON","OK")</f>
        <v>OK</v>
      </c>
      <c r="S1535" s="12" t="str">
        <v>USA</v>
      </c>
      <c r="T1535" s="12" t="str">
        <f t="shared" si="122"/>
        <v>ERREUR</v>
      </c>
      <c r="U1535" s="12" t="str">
        <f t="shared" si="123"/>
        <v>RENOMMER</v>
      </c>
      <c r="V1535" s="12" t="str" cm="1">
        <f t="array" ref="V1535">_xlfn.IFS(
ISNUMBER(SEARCH("USA",S1535)),"United States",
ISNUMBER(SEARCH("Republic of Ireland",S1535)),"Ireland",
ISNUMBER(SEARCH("Republic of Korea",S1535)),"South Korea",
ISNUMBER(SEARCH("Cape Verde",S1535)),"Cabo Verde",
ISNUMBER(SEARCH("Czechia",S1535)),"Czech Republic",
ISNUMBER(SEARCH("Türkiye",S1535)),"Turkey",
ISNUMBER(SEARCH("Ivory Coast",S1535)),"Côte d'Ivoire",
ISNUMBER(SEARCH("Korea Republic",S1535)),"South Korea",
ISNUMBER(SEARCH("Germany FR",S1535)),"FR Germany",
ISNUMBER(SEARCH("West Germany",S1535)),"FR Germany",
ISNUMBER(SEARCH("Germany DR",S1535)),"DR Germany",
ISNUMBER(SEARCH("Korea DPR",S1535)),"North Korea",
ISNUMBER(SEARCH("China PR",S1535)),"China",
ISNUMBER(SEARCH("IR Iran",S1535)),"Iran",
ISNUMBER(SEARCH("Congo DR",S1535)),"Democratic Republic of the Congo",
ISNUMBER(SEARCH("DR Congo",S1535)),"Democratic Republic of the Congo",
ISNUMBER(SEARCH("German DR",S1535)),"DR Germany",
ISNUMBER(SEARCH("rn""&gt;United Arab Emirates",S1535)),"United Arab Emirates",
ISNUMBER(SEARCH("rn""&gt;Republic of Ireland",S1535)),"Ireland",
ISNUMBER(SEARCH("rn""&gt;Bosnia and Herzegovina",S1535)),"Bosnia and Herzegovina",
ISNUMBER(SEARCH("rn""&gt;Trinidad and Tobago",S1535)),"Trinidad and Tobago",
ISNUMBER(SEARCH("rn""&gt;Serbia and Montenegro",S1535)),"Serbia and Montenegro",
ISNUMBER(SEARCH(_xlfn.UNICHAR(65533),S1535)),"Côte d'Ivoire",
TRUE,""
)</f>
        <v>United States</v>
      </c>
      <c r="W1535" s="12" t="str">
        <f t="shared" si="124"/>
        <v>United States</v>
      </c>
    </row>
    <row r="1536" spans="2:23">
      <c r="B1536" s="75">
        <v>1099</v>
      </c>
      <c r="C1536" s="15" t="str">
        <v>Gonçalo Inácio</v>
      </c>
      <c r="D1536" s="15">
        <v>24</v>
      </c>
      <c r="E1536" s="15" t="str">
        <v>Portugal</v>
      </c>
      <c r="F1536" s="15" t="str">
        <v>CB</v>
      </c>
      <c r="G1536" s="15" t="str">
        <v>Sporting CP</v>
      </c>
      <c r="H1536" s="15">
        <v>14</v>
      </c>
      <c r="I1536" s="15" t="str">
        <f t="shared" si="125"/>
        <v>1099|Gonçalo Inácio|24|Portugal|CB|Sporting CP|14</v>
      </c>
      <c r="J1536" s="15" t="str">
        <f>IF(COUNTIF(I$438:I1536,I1536)&gt;1,"DOUBLON","OK")</f>
        <v>OK</v>
      </c>
      <c r="S1536" s="12" t="str">
        <v>USA</v>
      </c>
      <c r="T1536" s="12" t="str">
        <f t="shared" si="122"/>
        <v>ERREUR</v>
      </c>
      <c r="U1536" s="12" t="str">
        <f t="shared" si="123"/>
        <v>RENOMMER</v>
      </c>
      <c r="V1536" s="12" t="str" cm="1">
        <f t="array" ref="V1536">_xlfn.IFS(
ISNUMBER(SEARCH("USA",S1536)),"United States",
ISNUMBER(SEARCH("Republic of Ireland",S1536)),"Ireland",
ISNUMBER(SEARCH("Republic of Korea",S1536)),"South Korea",
ISNUMBER(SEARCH("Cape Verde",S1536)),"Cabo Verde",
ISNUMBER(SEARCH("Czechia",S1536)),"Czech Republic",
ISNUMBER(SEARCH("Türkiye",S1536)),"Turkey",
ISNUMBER(SEARCH("Ivory Coast",S1536)),"Côte d'Ivoire",
ISNUMBER(SEARCH("Korea Republic",S1536)),"South Korea",
ISNUMBER(SEARCH("Germany FR",S1536)),"FR Germany",
ISNUMBER(SEARCH("West Germany",S1536)),"FR Germany",
ISNUMBER(SEARCH("Germany DR",S1536)),"DR Germany",
ISNUMBER(SEARCH("Korea DPR",S1536)),"North Korea",
ISNUMBER(SEARCH("China PR",S1536)),"China",
ISNUMBER(SEARCH("IR Iran",S1536)),"Iran",
ISNUMBER(SEARCH("Congo DR",S1536)),"Democratic Republic of the Congo",
ISNUMBER(SEARCH("DR Congo",S1536)),"Democratic Republic of the Congo",
ISNUMBER(SEARCH("German DR",S1536)),"DR Germany",
ISNUMBER(SEARCH("rn""&gt;United Arab Emirates",S1536)),"United Arab Emirates",
ISNUMBER(SEARCH("rn""&gt;Republic of Ireland",S1536)),"Ireland",
ISNUMBER(SEARCH("rn""&gt;Bosnia and Herzegovina",S1536)),"Bosnia and Herzegovina",
ISNUMBER(SEARCH("rn""&gt;Trinidad and Tobago",S1536)),"Trinidad and Tobago",
ISNUMBER(SEARCH("rn""&gt;Serbia and Montenegro",S1536)),"Serbia and Montenegro",
ISNUMBER(SEARCH(_xlfn.UNICHAR(65533),S1536)),"Côte d'Ivoire",
TRUE,""
)</f>
        <v>United States</v>
      </c>
      <c r="W1536" s="12" t="str">
        <f t="shared" si="124"/>
        <v>United States</v>
      </c>
    </row>
    <row r="1537" spans="2:23">
      <c r="B1537" s="75">
        <v>1100</v>
      </c>
      <c r="C1537" s="15" t="str">
        <v>Nuno Mendes</v>
      </c>
      <c r="D1537" s="15">
        <v>23</v>
      </c>
      <c r="E1537" s="15" t="str">
        <v>Portugal</v>
      </c>
      <c r="F1537" s="15" t="str">
        <v>LB</v>
      </c>
      <c r="G1537" s="15" t="str">
        <v>Paris Saint-Germain</v>
      </c>
      <c r="H1537" s="15">
        <v>25</v>
      </c>
      <c r="I1537" s="15" t="str">
        <f t="shared" si="125"/>
        <v>1100|Nuno Mendes|23|Portugal|LB|Paris Saint-Germain|25</v>
      </c>
      <c r="J1537" s="15" t="str">
        <f>IF(COUNTIF(I$438:I1537,I1537)&gt;1,"DOUBLON","OK")</f>
        <v>OK</v>
      </c>
      <c r="S1537" s="12" t="str">
        <v>Curaçao</v>
      </c>
      <c r="T1537" s="12" t="str">
        <f t="shared" si="122"/>
        <v>OK</v>
      </c>
      <c r="U1537" s="12" t="str">
        <f t="shared" si="123"/>
        <v>-</v>
      </c>
      <c r="V1537" s="12" t="str" cm="1">
        <f t="array" ref="V1537">_xlfn.IFS(
ISNUMBER(SEARCH("USA",S1537)),"United States",
ISNUMBER(SEARCH("Republic of Ireland",S1537)),"Ireland",
ISNUMBER(SEARCH("Republic of Korea",S1537)),"South Korea",
ISNUMBER(SEARCH("Cape Verde",S1537)),"Cabo Verde",
ISNUMBER(SEARCH("Czechia",S1537)),"Czech Republic",
ISNUMBER(SEARCH("Türkiye",S1537)),"Turkey",
ISNUMBER(SEARCH("Ivory Coast",S1537)),"Côte d'Ivoire",
ISNUMBER(SEARCH("Korea Republic",S1537)),"South Korea",
ISNUMBER(SEARCH("Germany FR",S1537)),"FR Germany",
ISNUMBER(SEARCH("West Germany",S1537)),"FR Germany",
ISNUMBER(SEARCH("Germany DR",S1537)),"DR Germany",
ISNUMBER(SEARCH("Korea DPR",S1537)),"North Korea",
ISNUMBER(SEARCH("China PR",S1537)),"China",
ISNUMBER(SEARCH("IR Iran",S1537)),"Iran",
ISNUMBER(SEARCH("Congo DR",S1537)),"Democratic Republic of the Congo",
ISNUMBER(SEARCH("DR Congo",S1537)),"Democratic Republic of the Congo",
ISNUMBER(SEARCH("German DR",S1537)),"DR Germany",
ISNUMBER(SEARCH("rn""&gt;United Arab Emirates",S1537)),"United Arab Emirates",
ISNUMBER(SEARCH("rn""&gt;Republic of Ireland",S1537)),"Ireland",
ISNUMBER(SEARCH("rn""&gt;Bosnia and Herzegovina",S1537)),"Bosnia and Herzegovina",
ISNUMBER(SEARCH("rn""&gt;Trinidad and Tobago",S1537)),"Trinidad and Tobago",
ISNUMBER(SEARCH("rn""&gt;Serbia and Montenegro",S1537)),"Serbia and Montenegro",
ISNUMBER(SEARCH(_xlfn.UNICHAR(65533),S1537)),"Côte d'Ivoire",
TRUE,""
)</f>
        <v/>
      </c>
      <c r="W1537" s="12" t="str">
        <f t="shared" si="124"/>
        <v>Curaçao</v>
      </c>
    </row>
    <row r="1538" spans="2:23">
      <c r="B1538" s="75">
        <v>1101</v>
      </c>
      <c r="C1538" s="15" t="str">
        <v>Nélson Semedo</v>
      </c>
      <c r="D1538" s="15">
        <v>32</v>
      </c>
      <c r="E1538" s="15" t="str">
        <v>Portugal</v>
      </c>
      <c r="F1538" s="15" t="str">
        <v>RB</v>
      </c>
      <c r="G1538" s="15" t="str">
        <v>Fenerbahçe</v>
      </c>
      <c r="H1538" s="15">
        <v>2</v>
      </c>
      <c r="I1538" s="15" t="str">
        <f t="shared" si="125"/>
        <v>1101|Nélson Semedo|32|Portugal|RB|Fenerbahçe|2</v>
      </c>
      <c r="J1538" s="15" t="str">
        <f>IF(COUNTIF(I$438:I1538,I1538)&gt;1,"DOUBLON","OK")</f>
        <v>OK</v>
      </c>
      <c r="S1538" s="12" t="str">
        <v>Curaçao</v>
      </c>
      <c r="T1538" s="12" t="str">
        <f t="shared" si="122"/>
        <v>OK</v>
      </c>
      <c r="U1538" s="12" t="str">
        <f t="shared" si="123"/>
        <v>-</v>
      </c>
      <c r="V1538" s="12" t="str" cm="1">
        <f t="array" ref="V1538">_xlfn.IFS(
ISNUMBER(SEARCH("USA",S1538)),"United States",
ISNUMBER(SEARCH("Republic of Ireland",S1538)),"Ireland",
ISNUMBER(SEARCH("Republic of Korea",S1538)),"South Korea",
ISNUMBER(SEARCH("Cape Verde",S1538)),"Cabo Verde",
ISNUMBER(SEARCH("Czechia",S1538)),"Czech Republic",
ISNUMBER(SEARCH("Türkiye",S1538)),"Turkey",
ISNUMBER(SEARCH("Ivory Coast",S1538)),"Côte d'Ivoire",
ISNUMBER(SEARCH("Korea Republic",S1538)),"South Korea",
ISNUMBER(SEARCH("Germany FR",S1538)),"FR Germany",
ISNUMBER(SEARCH("West Germany",S1538)),"FR Germany",
ISNUMBER(SEARCH("Germany DR",S1538)),"DR Germany",
ISNUMBER(SEARCH("Korea DPR",S1538)),"North Korea",
ISNUMBER(SEARCH("China PR",S1538)),"China",
ISNUMBER(SEARCH("IR Iran",S1538)),"Iran",
ISNUMBER(SEARCH("Congo DR",S1538)),"Democratic Republic of the Congo",
ISNUMBER(SEARCH("DR Congo",S1538)),"Democratic Republic of the Congo",
ISNUMBER(SEARCH("German DR",S1538)),"DR Germany",
ISNUMBER(SEARCH("rn""&gt;United Arab Emirates",S1538)),"United Arab Emirates",
ISNUMBER(SEARCH("rn""&gt;Republic of Ireland",S1538)),"Ireland",
ISNUMBER(SEARCH("rn""&gt;Bosnia and Herzegovina",S1538)),"Bosnia and Herzegovina",
ISNUMBER(SEARCH("rn""&gt;Trinidad and Tobago",S1538)),"Trinidad and Tobago",
ISNUMBER(SEARCH("rn""&gt;Serbia and Montenegro",S1538)),"Serbia and Montenegro",
ISNUMBER(SEARCH(_xlfn.UNICHAR(65533),S1538)),"Côte d'Ivoire",
TRUE,""
)</f>
        <v/>
      </c>
      <c r="W1538" s="12" t="str">
        <f t="shared" si="124"/>
        <v>Curaçao</v>
      </c>
    </row>
    <row r="1539" spans="2:23">
      <c r="B1539" s="75">
        <v>1102</v>
      </c>
      <c r="C1539" s="15" t="str">
        <v>Diogo Dalot</v>
      </c>
      <c r="D1539" s="15">
        <v>27</v>
      </c>
      <c r="E1539" s="15" t="str">
        <v>Portugal</v>
      </c>
      <c r="F1539" s="15" t="str">
        <v>RB</v>
      </c>
      <c r="G1539" s="15" t="str">
        <v>Manchester United</v>
      </c>
      <c r="H1539" s="15">
        <v>5</v>
      </c>
      <c r="I1539" s="15" t="str">
        <f t="shared" si="125"/>
        <v>1102|Diogo Dalot|27|Portugal|RB|Manchester United|5</v>
      </c>
      <c r="J1539" s="15" t="str">
        <f>IF(COUNTIF(I$438:I1539,I1539)&gt;1,"DOUBLON","OK")</f>
        <v>OK</v>
      </c>
      <c r="S1539" s="12" t="str">
        <v>Curaçao</v>
      </c>
      <c r="T1539" s="12" t="str">
        <f t="shared" si="122"/>
        <v>OK</v>
      </c>
      <c r="U1539" s="12" t="str">
        <f t="shared" si="123"/>
        <v>-</v>
      </c>
      <c r="V1539" s="12" t="str" cm="1">
        <f t="array" ref="V1539">_xlfn.IFS(
ISNUMBER(SEARCH("USA",S1539)),"United States",
ISNUMBER(SEARCH("Republic of Ireland",S1539)),"Ireland",
ISNUMBER(SEARCH("Republic of Korea",S1539)),"South Korea",
ISNUMBER(SEARCH("Cape Verde",S1539)),"Cabo Verde",
ISNUMBER(SEARCH("Czechia",S1539)),"Czech Republic",
ISNUMBER(SEARCH("Türkiye",S1539)),"Turkey",
ISNUMBER(SEARCH("Ivory Coast",S1539)),"Côte d'Ivoire",
ISNUMBER(SEARCH("Korea Republic",S1539)),"South Korea",
ISNUMBER(SEARCH("Germany FR",S1539)),"FR Germany",
ISNUMBER(SEARCH("West Germany",S1539)),"FR Germany",
ISNUMBER(SEARCH("Germany DR",S1539)),"DR Germany",
ISNUMBER(SEARCH("Korea DPR",S1539)),"North Korea",
ISNUMBER(SEARCH("China PR",S1539)),"China",
ISNUMBER(SEARCH("IR Iran",S1539)),"Iran",
ISNUMBER(SEARCH("Congo DR",S1539)),"Democratic Republic of the Congo",
ISNUMBER(SEARCH("DR Congo",S1539)),"Democratic Republic of the Congo",
ISNUMBER(SEARCH("German DR",S1539)),"DR Germany",
ISNUMBER(SEARCH("rn""&gt;United Arab Emirates",S1539)),"United Arab Emirates",
ISNUMBER(SEARCH("rn""&gt;Republic of Ireland",S1539)),"Ireland",
ISNUMBER(SEARCH("rn""&gt;Bosnia and Herzegovina",S1539)),"Bosnia and Herzegovina",
ISNUMBER(SEARCH("rn""&gt;Trinidad and Tobago",S1539)),"Trinidad and Tobago",
ISNUMBER(SEARCH("rn""&gt;Serbia and Montenegro",S1539)),"Serbia and Montenegro",
ISNUMBER(SEARCH(_xlfn.UNICHAR(65533),S1539)),"Côte d'Ivoire",
TRUE,""
)</f>
        <v/>
      </c>
      <c r="W1539" s="12" t="str">
        <f t="shared" si="124"/>
        <v>Curaçao</v>
      </c>
    </row>
    <row r="1540" spans="2:23">
      <c r="B1540" s="75">
        <v>1103</v>
      </c>
      <c r="C1540" s="15" t="str">
        <v>João Cancelo</v>
      </c>
      <c r="D1540" s="15">
        <v>32</v>
      </c>
      <c r="E1540" s="15" t="str">
        <v>Portugal</v>
      </c>
      <c r="F1540" s="15" t="str">
        <v>RB</v>
      </c>
      <c r="G1540" s="15" t="str">
        <v>Barcelona</v>
      </c>
      <c r="H1540" s="15">
        <v>20</v>
      </c>
      <c r="I1540" s="15" t="str">
        <f t="shared" si="125"/>
        <v>1103|João Cancelo|32|Portugal|RB|Barcelona|20</v>
      </c>
      <c r="J1540" s="15" t="str">
        <f>IF(COUNTIF(I$438:I1540,I1540)&gt;1,"DOUBLON","OK")</f>
        <v>OK</v>
      </c>
      <c r="S1540" s="12" t="str">
        <v>Curaçao</v>
      </c>
      <c r="T1540" s="12" t="str">
        <f t="shared" si="122"/>
        <v>OK</v>
      </c>
      <c r="U1540" s="12" t="str">
        <f t="shared" si="123"/>
        <v>-</v>
      </c>
      <c r="V1540" s="12" t="str" cm="1">
        <f t="array" ref="V1540">_xlfn.IFS(
ISNUMBER(SEARCH("USA",S1540)),"United States",
ISNUMBER(SEARCH("Republic of Ireland",S1540)),"Ireland",
ISNUMBER(SEARCH("Republic of Korea",S1540)),"South Korea",
ISNUMBER(SEARCH("Cape Verde",S1540)),"Cabo Verde",
ISNUMBER(SEARCH("Czechia",S1540)),"Czech Republic",
ISNUMBER(SEARCH("Türkiye",S1540)),"Turkey",
ISNUMBER(SEARCH("Ivory Coast",S1540)),"Côte d'Ivoire",
ISNUMBER(SEARCH("Korea Republic",S1540)),"South Korea",
ISNUMBER(SEARCH("Germany FR",S1540)),"FR Germany",
ISNUMBER(SEARCH("West Germany",S1540)),"FR Germany",
ISNUMBER(SEARCH("Germany DR",S1540)),"DR Germany",
ISNUMBER(SEARCH("Korea DPR",S1540)),"North Korea",
ISNUMBER(SEARCH("China PR",S1540)),"China",
ISNUMBER(SEARCH("IR Iran",S1540)),"Iran",
ISNUMBER(SEARCH("Congo DR",S1540)),"Democratic Republic of the Congo",
ISNUMBER(SEARCH("DR Congo",S1540)),"Democratic Republic of the Congo",
ISNUMBER(SEARCH("German DR",S1540)),"DR Germany",
ISNUMBER(SEARCH("rn""&gt;United Arab Emirates",S1540)),"United Arab Emirates",
ISNUMBER(SEARCH("rn""&gt;Republic of Ireland",S1540)),"Ireland",
ISNUMBER(SEARCH("rn""&gt;Bosnia and Herzegovina",S1540)),"Bosnia and Herzegovina",
ISNUMBER(SEARCH("rn""&gt;Trinidad and Tobago",S1540)),"Trinidad and Tobago",
ISNUMBER(SEARCH("rn""&gt;Serbia and Montenegro",S1540)),"Serbia and Montenegro",
ISNUMBER(SEARCH(_xlfn.UNICHAR(65533),S1540)),"Côte d'Ivoire",
TRUE,""
)</f>
        <v/>
      </c>
      <c r="W1540" s="12" t="str">
        <f t="shared" si="124"/>
        <v>Curaçao</v>
      </c>
    </row>
    <row r="1541" spans="2:23">
      <c r="B1541" s="75">
        <v>1104</v>
      </c>
      <c r="C1541" s="15" t="str">
        <v>Rúben Neves</v>
      </c>
      <c r="D1541" s="15">
        <v>29</v>
      </c>
      <c r="E1541" s="15" t="str">
        <v>Portugal</v>
      </c>
      <c r="F1541" s="15" t="str">
        <v>CDM</v>
      </c>
      <c r="G1541" s="15" t="str">
        <v>Al-Hilal</v>
      </c>
      <c r="H1541" s="15">
        <v>21</v>
      </c>
      <c r="I1541" s="15" t="str">
        <f t="shared" si="125"/>
        <v>1104|Rúben Neves|29|Portugal|CDM|Al-Hilal|21</v>
      </c>
      <c r="J1541" s="15" t="str">
        <f>IF(COUNTIF(I$438:I1541,I1541)&gt;1,"DOUBLON","OK")</f>
        <v>OK</v>
      </c>
      <c r="S1541" s="12" t="str">
        <v>Curaçao</v>
      </c>
      <c r="T1541" s="12" t="str">
        <f t="shared" si="122"/>
        <v>OK</v>
      </c>
      <c r="U1541" s="12" t="str">
        <f t="shared" si="123"/>
        <v>-</v>
      </c>
      <c r="V1541" s="12" t="str" cm="1">
        <f t="array" ref="V1541">_xlfn.IFS(
ISNUMBER(SEARCH("USA",S1541)),"United States",
ISNUMBER(SEARCH("Republic of Ireland",S1541)),"Ireland",
ISNUMBER(SEARCH("Republic of Korea",S1541)),"South Korea",
ISNUMBER(SEARCH("Cape Verde",S1541)),"Cabo Verde",
ISNUMBER(SEARCH("Czechia",S1541)),"Czech Republic",
ISNUMBER(SEARCH("Türkiye",S1541)),"Turkey",
ISNUMBER(SEARCH("Ivory Coast",S1541)),"Côte d'Ivoire",
ISNUMBER(SEARCH("Korea Republic",S1541)),"South Korea",
ISNUMBER(SEARCH("Germany FR",S1541)),"FR Germany",
ISNUMBER(SEARCH("West Germany",S1541)),"FR Germany",
ISNUMBER(SEARCH("Germany DR",S1541)),"DR Germany",
ISNUMBER(SEARCH("Korea DPR",S1541)),"North Korea",
ISNUMBER(SEARCH("China PR",S1541)),"China",
ISNUMBER(SEARCH("IR Iran",S1541)),"Iran",
ISNUMBER(SEARCH("Congo DR",S1541)),"Democratic Republic of the Congo",
ISNUMBER(SEARCH("DR Congo",S1541)),"Democratic Republic of the Congo",
ISNUMBER(SEARCH("German DR",S1541)),"DR Germany",
ISNUMBER(SEARCH("rn""&gt;United Arab Emirates",S1541)),"United Arab Emirates",
ISNUMBER(SEARCH("rn""&gt;Republic of Ireland",S1541)),"Ireland",
ISNUMBER(SEARCH("rn""&gt;Bosnia and Herzegovina",S1541)),"Bosnia and Herzegovina",
ISNUMBER(SEARCH("rn""&gt;Trinidad and Tobago",S1541)),"Trinidad and Tobago",
ISNUMBER(SEARCH("rn""&gt;Serbia and Montenegro",S1541)),"Serbia and Montenegro",
ISNUMBER(SEARCH(_xlfn.UNICHAR(65533),S1541)),"Côte d'Ivoire",
TRUE,""
)</f>
        <v/>
      </c>
      <c r="W1541" s="12" t="str">
        <f t="shared" si="124"/>
        <v>Curaçao</v>
      </c>
    </row>
    <row r="1542" spans="2:23">
      <c r="B1542" s="75">
        <v>1105</v>
      </c>
      <c r="C1542" s="15" t="str">
        <v>Samú Costa</v>
      </c>
      <c r="D1542" s="15">
        <v>25</v>
      </c>
      <c r="E1542" s="15" t="str">
        <v>Portugal</v>
      </c>
      <c r="F1542" s="15" t="str">
        <v>CDM</v>
      </c>
      <c r="G1542" s="15" t="str">
        <v>Mallorca</v>
      </c>
      <c r="H1542" s="15">
        <v>24</v>
      </c>
      <c r="I1542" s="15" t="str">
        <f t="shared" si="125"/>
        <v>1105|Samú Costa|25|Portugal|CDM|Mallorca|24</v>
      </c>
      <c r="J1542" s="15" t="str">
        <f>IF(COUNTIF(I$438:I1542,I1542)&gt;1,"DOUBLON","OK")</f>
        <v>OK</v>
      </c>
      <c r="S1542" s="12" t="str">
        <v>Curaçao</v>
      </c>
      <c r="T1542" s="12" t="str">
        <f t="shared" si="122"/>
        <v>OK</v>
      </c>
      <c r="U1542" s="12" t="str">
        <f t="shared" si="123"/>
        <v>-</v>
      </c>
      <c r="V1542" s="12" t="str" cm="1">
        <f t="array" ref="V1542">_xlfn.IFS(
ISNUMBER(SEARCH("USA",S1542)),"United States",
ISNUMBER(SEARCH("Republic of Ireland",S1542)),"Ireland",
ISNUMBER(SEARCH("Republic of Korea",S1542)),"South Korea",
ISNUMBER(SEARCH("Cape Verde",S1542)),"Cabo Verde",
ISNUMBER(SEARCH("Czechia",S1542)),"Czech Republic",
ISNUMBER(SEARCH("Türkiye",S1542)),"Turkey",
ISNUMBER(SEARCH("Ivory Coast",S1542)),"Côte d'Ivoire",
ISNUMBER(SEARCH("Korea Republic",S1542)),"South Korea",
ISNUMBER(SEARCH("Germany FR",S1542)),"FR Germany",
ISNUMBER(SEARCH("West Germany",S1542)),"FR Germany",
ISNUMBER(SEARCH("Germany DR",S1542)),"DR Germany",
ISNUMBER(SEARCH("Korea DPR",S1542)),"North Korea",
ISNUMBER(SEARCH("China PR",S1542)),"China",
ISNUMBER(SEARCH("IR Iran",S1542)),"Iran",
ISNUMBER(SEARCH("Congo DR",S1542)),"Democratic Republic of the Congo",
ISNUMBER(SEARCH("DR Congo",S1542)),"Democratic Republic of the Congo",
ISNUMBER(SEARCH("German DR",S1542)),"DR Germany",
ISNUMBER(SEARCH("rn""&gt;United Arab Emirates",S1542)),"United Arab Emirates",
ISNUMBER(SEARCH("rn""&gt;Republic of Ireland",S1542)),"Ireland",
ISNUMBER(SEARCH("rn""&gt;Bosnia and Herzegovina",S1542)),"Bosnia and Herzegovina",
ISNUMBER(SEARCH("rn""&gt;Trinidad and Tobago",S1542)),"Trinidad and Tobago",
ISNUMBER(SEARCH("rn""&gt;Serbia and Montenegro",S1542)),"Serbia and Montenegro",
ISNUMBER(SEARCH(_xlfn.UNICHAR(65533),S1542)),"Côte d'Ivoire",
TRUE,""
)</f>
        <v/>
      </c>
      <c r="W1542" s="12" t="str">
        <f t="shared" si="124"/>
        <v>Curaçao</v>
      </c>
    </row>
    <row r="1543" spans="2:23">
      <c r="B1543" s="75">
        <v>1106</v>
      </c>
      <c r="C1543" s="15" t="str">
        <v>Matheus Nunes</v>
      </c>
      <c r="D1543" s="15">
        <v>27</v>
      </c>
      <c r="E1543" s="15" t="str">
        <v>Portugal</v>
      </c>
      <c r="F1543" s="15" t="str">
        <v>CM</v>
      </c>
      <c r="G1543" s="15" t="str">
        <v>Manchester City</v>
      </c>
      <c r="H1543" s="15">
        <v>6</v>
      </c>
      <c r="I1543" s="15" t="str">
        <f t="shared" si="125"/>
        <v>1106|Matheus Nunes|27|Portugal|CM|Manchester City|6</v>
      </c>
      <c r="J1543" s="15" t="str">
        <f>IF(COUNTIF(I$438:I1543,I1543)&gt;1,"DOUBLON","OK")</f>
        <v>OK</v>
      </c>
      <c r="S1543" s="12" t="str">
        <v>Curaçao</v>
      </c>
      <c r="T1543" s="12" t="str">
        <f t="shared" si="122"/>
        <v>OK</v>
      </c>
      <c r="U1543" s="12" t="str">
        <f t="shared" si="123"/>
        <v>-</v>
      </c>
      <c r="V1543" s="12" t="str" cm="1">
        <f t="array" ref="V1543">_xlfn.IFS(
ISNUMBER(SEARCH("USA",S1543)),"United States",
ISNUMBER(SEARCH("Republic of Ireland",S1543)),"Ireland",
ISNUMBER(SEARCH("Republic of Korea",S1543)),"South Korea",
ISNUMBER(SEARCH("Cape Verde",S1543)),"Cabo Verde",
ISNUMBER(SEARCH("Czechia",S1543)),"Czech Republic",
ISNUMBER(SEARCH("Türkiye",S1543)),"Turkey",
ISNUMBER(SEARCH("Ivory Coast",S1543)),"Côte d'Ivoire",
ISNUMBER(SEARCH("Korea Republic",S1543)),"South Korea",
ISNUMBER(SEARCH("Germany FR",S1543)),"FR Germany",
ISNUMBER(SEARCH("West Germany",S1543)),"FR Germany",
ISNUMBER(SEARCH("Germany DR",S1543)),"DR Germany",
ISNUMBER(SEARCH("Korea DPR",S1543)),"North Korea",
ISNUMBER(SEARCH("China PR",S1543)),"China",
ISNUMBER(SEARCH("IR Iran",S1543)),"Iran",
ISNUMBER(SEARCH("Congo DR",S1543)),"Democratic Republic of the Congo",
ISNUMBER(SEARCH("DR Congo",S1543)),"Democratic Republic of the Congo",
ISNUMBER(SEARCH("German DR",S1543)),"DR Germany",
ISNUMBER(SEARCH("rn""&gt;United Arab Emirates",S1543)),"United Arab Emirates",
ISNUMBER(SEARCH("rn""&gt;Republic of Ireland",S1543)),"Ireland",
ISNUMBER(SEARCH("rn""&gt;Bosnia and Herzegovina",S1543)),"Bosnia and Herzegovina",
ISNUMBER(SEARCH("rn""&gt;Trinidad and Tobago",S1543)),"Trinidad and Tobago",
ISNUMBER(SEARCH("rn""&gt;Serbia and Montenegro",S1543)),"Serbia and Montenegro",
ISNUMBER(SEARCH(_xlfn.UNICHAR(65533),S1543)),"Côte d'Ivoire",
TRUE,""
)</f>
        <v/>
      </c>
      <c r="W1543" s="12" t="str">
        <f t="shared" si="124"/>
        <v>Curaçao</v>
      </c>
    </row>
    <row r="1544" spans="2:23">
      <c r="B1544" s="75">
        <v>1107</v>
      </c>
      <c r="C1544" s="15" t="str">
        <v>João Neves</v>
      </c>
      <c r="D1544" s="15">
        <v>21</v>
      </c>
      <c r="E1544" s="15" t="str">
        <v>Portugal</v>
      </c>
      <c r="F1544" s="15" t="str">
        <v>CM</v>
      </c>
      <c r="G1544" s="15" t="str">
        <v>Paris Saint-Germain</v>
      </c>
      <c r="H1544" s="15">
        <v>15</v>
      </c>
      <c r="I1544" s="15" t="str">
        <f t="shared" si="125"/>
        <v>1107|João Neves|21|Portugal|CM|Paris Saint-Germain|15</v>
      </c>
      <c r="J1544" s="15" t="str">
        <f>IF(COUNTIF(I$438:I1544,I1544)&gt;1,"DOUBLON","OK")</f>
        <v>OK</v>
      </c>
      <c r="S1544" s="12" t="str">
        <v>Curaçao</v>
      </c>
      <c r="T1544" s="12" t="str">
        <f t="shared" si="122"/>
        <v>OK</v>
      </c>
      <c r="U1544" s="12" t="str">
        <f t="shared" si="123"/>
        <v>-</v>
      </c>
      <c r="V1544" s="12" t="str" cm="1">
        <f t="array" ref="V1544">_xlfn.IFS(
ISNUMBER(SEARCH("USA",S1544)),"United States",
ISNUMBER(SEARCH("Republic of Ireland",S1544)),"Ireland",
ISNUMBER(SEARCH("Republic of Korea",S1544)),"South Korea",
ISNUMBER(SEARCH("Cape Verde",S1544)),"Cabo Verde",
ISNUMBER(SEARCH("Czechia",S1544)),"Czech Republic",
ISNUMBER(SEARCH("Türkiye",S1544)),"Turkey",
ISNUMBER(SEARCH("Ivory Coast",S1544)),"Côte d'Ivoire",
ISNUMBER(SEARCH("Korea Republic",S1544)),"South Korea",
ISNUMBER(SEARCH("Germany FR",S1544)),"FR Germany",
ISNUMBER(SEARCH("West Germany",S1544)),"FR Germany",
ISNUMBER(SEARCH("Germany DR",S1544)),"DR Germany",
ISNUMBER(SEARCH("Korea DPR",S1544)),"North Korea",
ISNUMBER(SEARCH("China PR",S1544)),"China",
ISNUMBER(SEARCH("IR Iran",S1544)),"Iran",
ISNUMBER(SEARCH("Congo DR",S1544)),"Democratic Republic of the Congo",
ISNUMBER(SEARCH("DR Congo",S1544)),"Democratic Republic of the Congo",
ISNUMBER(SEARCH("German DR",S1544)),"DR Germany",
ISNUMBER(SEARCH("rn""&gt;United Arab Emirates",S1544)),"United Arab Emirates",
ISNUMBER(SEARCH("rn""&gt;Republic of Ireland",S1544)),"Ireland",
ISNUMBER(SEARCH("rn""&gt;Bosnia and Herzegovina",S1544)),"Bosnia and Herzegovina",
ISNUMBER(SEARCH("rn""&gt;Trinidad and Tobago",S1544)),"Trinidad and Tobago",
ISNUMBER(SEARCH("rn""&gt;Serbia and Montenegro",S1544)),"Serbia and Montenegro",
ISNUMBER(SEARCH(_xlfn.UNICHAR(65533),S1544)),"Côte d'Ivoire",
TRUE,""
)</f>
        <v/>
      </c>
      <c r="W1544" s="12" t="str">
        <f t="shared" si="124"/>
        <v>Curaçao</v>
      </c>
    </row>
    <row r="1545" spans="2:23">
      <c r="B1545" s="75">
        <v>1108</v>
      </c>
      <c r="C1545" s="15" t="str">
        <v>Vitinha</v>
      </c>
      <c r="D1545" s="15">
        <v>26</v>
      </c>
      <c r="E1545" s="15" t="str">
        <v>Portugal</v>
      </c>
      <c r="F1545" s="15" t="str">
        <v>CM</v>
      </c>
      <c r="G1545" s="15" t="str">
        <v>Paris Saint-Germain</v>
      </c>
      <c r="H1545" s="15">
        <v>23</v>
      </c>
      <c r="I1545" s="15" t="str">
        <f t="shared" si="125"/>
        <v>1108|Vitinha|26|Portugal|CM|Paris Saint-Germain|23</v>
      </c>
      <c r="J1545" s="15" t="str">
        <f>IF(COUNTIF(I$438:I1545,I1545)&gt;1,"DOUBLON","OK")</f>
        <v>OK</v>
      </c>
      <c r="S1545" s="12" t="str">
        <v>Curaçao</v>
      </c>
      <c r="T1545" s="12" t="str">
        <f t="shared" si="122"/>
        <v>OK</v>
      </c>
      <c r="U1545" s="12" t="str">
        <f t="shared" si="123"/>
        <v>-</v>
      </c>
      <c r="V1545" s="12" t="str" cm="1">
        <f t="array" ref="V1545">_xlfn.IFS(
ISNUMBER(SEARCH("USA",S1545)),"United States",
ISNUMBER(SEARCH("Republic of Ireland",S1545)),"Ireland",
ISNUMBER(SEARCH("Republic of Korea",S1545)),"South Korea",
ISNUMBER(SEARCH("Cape Verde",S1545)),"Cabo Verde",
ISNUMBER(SEARCH("Czechia",S1545)),"Czech Republic",
ISNUMBER(SEARCH("Türkiye",S1545)),"Turkey",
ISNUMBER(SEARCH("Ivory Coast",S1545)),"Côte d'Ivoire",
ISNUMBER(SEARCH("Korea Republic",S1545)),"South Korea",
ISNUMBER(SEARCH("Germany FR",S1545)),"FR Germany",
ISNUMBER(SEARCH("West Germany",S1545)),"FR Germany",
ISNUMBER(SEARCH("Germany DR",S1545)),"DR Germany",
ISNUMBER(SEARCH("Korea DPR",S1545)),"North Korea",
ISNUMBER(SEARCH("China PR",S1545)),"China",
ISNUMBER(SEARCH("IR Iran",S1545)),"Iran",
ISNUMBER(SEARCH("Congo DR",S1545)),"Democratic Republic of the Congo",
ISNUMBER(SEARCH("DR Congo",S1545)),"Democratic Republic of the Congo",
ISNUMBER(SEARCH("German DR",S1545)),"DR Germany",
ISNUMBER(SEARCH("rn""&gt;United Arab Emirates",S1545)),"United Arab Emirates",
ISNUMBER(SEARCH("rn""&gt;Republic of Ireland",S1545)),"Ireland",
ISNUMBER(SEARCH("rn""&gt;Bosnia and Herzegovina",S1545)),"Bosnia and Herzegovina",
ISNUMBER(SEARCH("rn""&gt;Trinidad and Tobago",S1545)),"Trinidad and Tobago",
ISNUMBER(SEARCH("rn""&gt;Serbia and Montenegro",S1545)),"Serbia and Montenegro",
ISNUMBER(SEARCH(_xlfn.UNICHAR(65533),S1545)),"Côte d'Ivoire",
TRUE,""
)</f>
        <v/>
      </c>
      <c r="W1545" s="12" t="str">
        <f t="shared" si="124"/>
        <v>Curaçao</v>
      </c>
    </row>
    <row r="1546" spans="2:23">
      <c r="B1546" s="75">
        <v>1109</v>
      </c>
      <c r="C1546" s="15" t="str">
        <v>Bruno Fernandes</v>
      </c>
      <c r="D1546" s="15">
        <v>31</v>
      </c>
      <c r="E1546" s="15" t="str">
        <v>Portugal</v>
      </c>
      <c r="F1546" s="15" t="str">
        <v>CAM</v>
      </c>
      <c r="G1546" s="15" t="str">
        <v>Manchester United</v>
      </c>
      <c r="H1546" s="15">
        <v>8</v>
      </c>
      <c r="I1546" s="15" t="str">
        <f t="shared" si="125"/>
        <v>1109|Bruno Fernandes|31|Portugal|CAM|Manchester United|8</v>
      </c>
      <c r="J1546" s="15" t="str">
        <f>IF(COUNTIF(I$438:I1546,I1546)&gt;1,"DOUBLON","OK")</f>
        <v>OK</v>
      </c>
      <c r="S1546" s="12" t="str">
        <v>Curaçao</v>
      </c>
      <c r="T1546" s="12" t="str">
        <f t="shared" si="122"/>
        <v>OK</v>
      </c>
      <c r="U1546" s="12" t="str">
        <f t="shared" si="123"/>
        <v>-</v>
      </c>
      <c r="V1546" s="12" t="str" cm="1">
        <f t="array" ref="V1546">_xlfn.IFS(
ISNUMBER(SEARCH("USA",S1546)),"United States",
ISNUMBER(SEARCH("Republic of Ireland",S1546)),"Ireland",
ISNUMBER(SEARCH("Republic of Korea",S1546)),"South Korea",
ISNUMBER(SEARCH("Cape Verde",S1546)),"Cabo Verde",
ISNUMBER(SEARCH("Czechia",S1546)),"Czech Republic",
ISNUMBER(SEARCH("Türkiye",S1546)),"Turkey",
ISNUMBER(SEARCH("Ivory Coast",S1546)),"Côte d'Ivoire",
ISNUMBER(SEARCH("Korea Republic",S1546)),"South Korea",
ISNUMBER(SEARCH("Germany FR",S1546)),"FR Germany",
ISNUMBER(SEARCH("West Germany",S1546)),"FR Germany",
ISNUMBER(SEARCH("Germany DR",S1546)),"DR Germany",
ISNUMBER(SEARCH("Korea DPR",S1546)),"North Korea",
ISNUMBER(SEARCH("China PR",S1546)),"China",
ISNUMBER(SEARCH("IR Iran",S1546)),"Iran",
ISNUMBER(SEARCH("Congo DR",S1546)),"Democratic Republic of the Congo",
ISNUMBER(SEARCH("DR Congo",S1546)),"Democratic Republic of the Congo",
ISNUMBER(SEARCH("German DR",S1546)),"DR Germany",
ISNUMBER(SEARCH("rn""&gt;United Arab Emirates",S1546)),"United Arab Emirates",
ISNUMBER(SEARCH("rn""&gt;Republic of Ireland",S1546)),"Ireland",
ISNUMBER(SEARCH("rn""&gt;Bosnia and Herzegovina",S1546)),"Bosnia and Herzegovina",
ISNUMBER(SEARCH("rn""&gt;Trinidad and Tobago",S1546)),"Trinidad and Tobago",
ISNUMBER(SEARCH("rn""&gt;Serbia and Montenegro",S1546)),"Serbia and Montenegro",
ISNUMBER(SEARCH(_xlfn.UNICHAR(65533),S1546)),"Côte d'Ivoire",
TRUE,""
)</f>
        <v/>
      </c>
      <c r="W1546" s="12" t="str">
        <f t="shared" si="124"/>
        <v>Curaçao</v>
      </c>
    </row>
    <row r="1547" spans="2:23">
      <c r="B1547" s="75">
        <v>1110</v>
      </c>
      <c r="C1547" s="15" t="str">
        <v>Bernardo Silva</v>
      </c>
      <c r="D1547" s="15">
        <v>31</v>
      </c>
      <c r="E1547" s="15" t="str">
        <v>Portugal</v>
      </c>
      <c r="F1547" s="15" t="str">
        <v>CAM</v>
      </c>
      <c r="G1547" s="15" t="str">
        <v>Manchester City</v>
      </c>
      <c r="H1547" s="15">
        <v>10</v>
      </c>
      <c r="I1547" s="15" t="str">
        <f t="shared" si="125"/>
        <v>1110|Bernardo Silva|31|Portugal|CAM|Manchester City|10</v>
      </c>
      <c r="J1547" s="15" t="str">
        <f>IF(COUNTIF(I$438:I1547,I1547)&gt;1,"DOUBLON","OK")</f>
        <v>OK</v>
      </c>
      <c r="S1547" s="12" t="str">
        <v>Curaçao</v>
      </c>
      <c r="T1547" s="12" t="str">
        <f t="shared" si="122"/>
        <v>OK</v>
      </c>
      <c r="U1547" s="12" t="str">
        <f t="shared" si="123"/>
        <v>-</v>
      </c>
      <c r="V1547" s="12" t="str" cm="1">
        <f t="array" ref="V1547">_xlfn.IFS(
ISNUMBER(SEARCH("USA",S1547)),"United States",
ISNUMBER(SEARCH("Republic of Ireland",S1547)),"Ireland",
ISNUMBER(SEARCH("Republic of Korea",S1547)),"South Korea",
ISNUMBER(SEARCH("Cape Verde",S1547)),"Cabo Verde",
ISNUMBER(SEARCH("Czechia",S1547)),"Czech Republic",
ISNUMBER(SEARCH("Türkiye",S1547)),"Turkey",
ISNUMBER(SEARCH("Ivory Coast",S1547)),"Côte d'Ivoire",
ISNUMBER(SEARCH("Korea Republic",S1547)),"South Korea",
ISNUMBER(SEARCH("Germany FR",S1547)),"FR Germany",
ISNUMBER(SEARCH("West Germany",S1547)),"FR Germany",
ISNUMBER(SEARCH("Germany DR",S1547)),"DR Germany",
ISNUMBER(SEARCH("Korea DPR",S1547)),"North Korea",
ISNUMBER(SEARCH("China PR",S1547)),"China",
ISNUMBER(SEARCH("IR Iran",S1547)),"Iran",
ISNUMBER(SEARCH("Congo DR",S1547)),"Democratic Republic of the Congo",
ISNUMBER(SEARCH("DR Congo",S1547)),"Democratic Republic of the Congo",
ISNUMBER(SEARCH("German DR",S1547)),"DR Germany",
ISNUMBER(SEARCH("rn""&gt;United Arab Emirates",S1547)),"United Arab Emirates",
ISNUMBER(SEARCH("rn""&gt;Republic of Ireland",S1547)),"Ireland",
ISNUMBER(SEARCH("rn""&gt;Bosnia and Herzegovina",S1547)),"Bosnia and Herzegovina",
ISNUMBER(SEARCH("rn""&gt;Trinidad and Tobago",S1547)),"Trinidad and Tobago",
ISNUMBER(SEARCH("rn""&gt;Serbia and Montenegro",S1547)),"Serbia and Montenegro",
ISNUMBER(SEARCH(_xlfn.UNICHAR(65533),S1547)),"Côte d'Ivoire",
TRUE,""
)</f>
        <v/>
      </c>
      <c r="W1547" s="12" t="str">
        <f t="shared" si="124"/>
        <v>Curaçao</v>
      </c>
    </row>
    <row r="1548" spans="2:23">
      <c r="B1548" s="75">
        <v>1111</v>
      </c>
      <c r="C1548" s="15" t="str">
        <v>Rafael Leão</v>
      </c>
      <c r="D1548" s="15">
        <v>27</v>
      </c>
      <c r="E1548" s="15" t="str">
        <v>Portugal</v>
      </c>
      <c r="F1548" s="15" t="str">
        <v>LW</v>
      </c>
      <c r="G1548" s="15" t="str">
        <v>AC Milan</v>
      </c>
      <c r="H1548" s="15">
        <v>17</v>
      </c>
      <c r="I1548" s="15" t="str">
        <f t="shared" si="125"/>
        <v>1111|Rafael Leão|27|Portugal|LW|AC Milan|17</v>
      </c>
      <c r="J1548" s="15" t="str">
        <f>IF(COUNTIF(I$438:I1548,I1548)&gt;1,"DOUBLON","OK")</f>
        <v>OK</v>
      </c>
      <c r="S1548" s="12" t="str">
        <v>Curaçao</v>
      </c>
      <c r="T1548" s="12" t="str">
        <f t="shared" si="122"/>
        <v>OK</v>
      </c>
      <c r="U1548" s="12" t="str">
        <f t="shared" si="123"/>
        <v>-</v>
      </c>
      <c r="V1548" s="12" t="str" cm="1">
        <f t="array" ref="V1548">_xlfn.IFS(
ISNUMBER(SEARCH("USA",S1548)),"United States",
ISNUMBER(SEARCH("Republic of Ireland",S1548)),"Ireland",
ISNUMBER(SEARCH("Republic of Korea",S1548)),"South Korea",
ISNUMBER(SEARCH("Cape Verde",S1548)),"Cabo Verde",
ISNUMBER(SEARCH("Czechia",S1548)),"Czech Republic",
ISNUMBER(SEARCH("Türkiye",S1548)),"Turkey",
ISNUMBER(SEARCH("Ivory Coast",S1548)),"Côte d'Ivoire",
ISNUMBER(SEARCH("Korea Republic",S1548)),"South Korea",
ISNUMBER(SEARCH("Germany FR",S1548)),"FR Germany",
ISNUMBER(SEARCH("West Germany",S1548)),"FR Germany",
ISNUMBER(SEARCH("Germany DR",S1548)),"DR Germany",
ISNUMBER(SEARCH("Korea DPR",S1548)),"North Korea",
ISNUMBER(SEARCH("China PR",S1548)),"China",
ISNUMBER(SEARCH("IR Iran",S1548)),"Iran",
ISNUMBER(SEARCH("Congo DR",S1548)),"Democratic Republic of the Congo",
ISNUMBER(SEARCH("DR Congo",S1548)),"Democratic Republic of the Congo",
ISNUMBER(SEARCH("German DR",S1548)),"DR Germany",
ISNUMBER(SEARCH("rn""&gt;United Arab Emirates",S1548)),"United Arab Emirates",
ISNUMBER(SEARCH("rn""&gt;Republic of Ireland",S1548)),"Ireland",
ISNUMBER(SEARCH("rn""&gt;Bosnia and Herzegovina",S1548)),"Bosnia and Herzegovina",
ISNUMBER(SEARCH("rn""&gt;Trinidad and Tobago",S1548)),"Trinidad and Tobago",
ISNUMBER(SEARCH("rn""&gt;Serbia and Montenegro",S1548)),"Serbia and Montenegro",
ISNUMBER(SEARCH(_xlfn.UNICHAR(65533),S1548)),"Côte d'Ivoire",
TRUE,""
)</f>
        <v/>
      </c>
      <c r="W1548" s="12" t="str">
        <f t="shared" si="124"/>
        <v>Curaçao</v>
      </c>
    </row>
    <row r="1549" spans="2:23">
      <c r="B1549" s="75">
        <v>1112</v>
      </c>
      <c r="C1549" s="15" t="str">
        <v>Gonçalo Guedes</v>
      </c>
      <c r="D1549" s="15">
        <v>29</v>
      </c>
      <c r="E1549" s="15" t="str">
        <v>Portugal</v>
      </c>
      <c r="F1549" s="15" t="str">
        <v>LW</v>
      </c>
      <c r="G1549" s="15" t="str">
        <v>Real Sociedad</v>
      </c>
      <c r="H1549" s="15">
        <v>19</v>
      </c>
      <c r="I1549" s="15" t="str">
        <f t="shared" si="125"/>
        <v>1112|Gonçalo Guedes|29|Portugal|LW|Real Sociedad|19</v>
      </c>
      <c r="J1549" s="15" t="str">
        <f>IF(COUNTIF(I$438:I1549,I1549)&gt;1,"DOUBLON","OK")</f>
        <v>OK</v>
      </c>
      <c r="S1549" s="12" t="str">
        <v>Curaçao</v>
      </c>
      <c r="T1549" s="12" t="str">
        <f t="shared" si="122"/>
        <v>OK</v>
      </c>
      <c r="U1549" s="12" t="str">
        <f t="shared" si="123"/>
        <v>-</v>
      </c>
      <c r="V1549" s="12" t="str" cm="1">
        <f t="array" ref="V1549">_xlfn.IFS(
ISNUMBER(SEARCH("USA",S1549)),"United States",
ISNUMBER(SEARCH("Republic of Ireland",S1549)),"Ireland",
ISNUMBER(SEARCH("Republic of Korea",S1549)),"South Korea",
ISNUMBER(SEARCH("Cape Verde",S1549)),"Cabo Verde",
ISNUMBER(SEARCH("Czechia",S1549)),"Czech Republic",
ISNUMBER(SEARCH("Türkiye",S1549)),"Turkey",
ISNUMBER(SEARCH("Ivory Coast",S1549)),"Côte d'Ivoire",
ISNUMBER(SEARCH("Korea Republic",S1549)),"South Korea",
ISNUMBER(SEARCH("Germany FR",S1549)),"FR Germany",
ISNUMBER(SEARCH("West Germany",S1549)),"FR Germany",
ISNUMBER(SEARCH("Germany DR",S1549)),"DR Germany",
ISNUMBER(SEARCH("Korea DPR",S1549)),"North Korea",
ISNUMBER(SEARCH("China PR",S1549)),"China",
ISNUMBER(SEARCH("IR Iran",S1549)),"Iran",
ISNUMBER(SEARCH("Congo DR",S1549)),"Democratic Republic of the Congo",
ISNUMBER(SEARCH("DR Congo",S1549)),"Democratic Republic of the Congo",
ISNUMBER(SEARCH("German DR",S1549)),"DR Germany",
ISNUMBER(SEARCH("rn""&gt;United Arab Emirates",S1549)),"United Arab Emirates",
ISNUMBER(SEARCH("rn""&gt;Republic of Ireland",S1549)),"Ireland",
ISNUMBER(SEARCH("rn""&gt;Bosnia and Herzegovina",S1549)),"Bosnia and Herzegovina",
ISNUMBER(SEARCH("rn""&gt;Trinidad and Tobago",S1549)),"Trinidad and Tobago",
ISNUMBER(SEARCH("rn""&gt;Serbia and Montenegro",S1549)),"Serbia and Montenegro",
ISNUMBER(SEARCH(_xlfn.UNICHAR(65533),S1549)),"Côte d'Ivoire",
TRUE,""
)</f>
        <v/>
      </c>
      <c r="W1549" s="12" t="str">
        <f t="shared" si="124"/>
        <v>Curaçao</v>
      </c>
    </row>
    <row r="1550" spans="2:23">
      <c r="B1550" s="75">
        <v>1113</v>
      </c>
      <c r="C1550" s="15" t="str">
        <v>Francisco Trincão</v>
      </c>
      <c r="D1550" s="15">
        <v>26</v>
      </c>
      <c r="E1550" s="15" t="str">
        <v>Portugal</v>
      </c>
      <c r="F1550" s="15" t="str">
        <v>RW</v>
      </c>
      <c r="G1550" s="15" t="str">
        <v>Sporting CP</v>
      </c>
      <c r="H1550" s="15">
        <v>16</v>
      </c>
      <c r="I1550" s="15" t="str">
        <f t="shared" si="125"/>
        <v>1113|Francisco Trincão|26|Portugal|RW|Sporting CP|16</v>
      </c>
      <c r="J1550" s="15" t="str">
        <f>IF(COUNTIF(I$438:I1550,I1550)&gt;1,"DOUBLON","OK")</f>
        <v>OK</v>
      </c>
      <c r="S1550" s="12" t="str">
        <v>Curaçao</v>
      </c>
      <c r="T1550" s="12" t="str">
        <f t="shared" si="122"/>
        <v>OK</v>
      </c>
      <c r="U1550" s="12" t="str">
        <f t="shared" si="123"/>
        <v>-</v>
      </c>
      <c r="V1550" s="12" t="str" cm="1">
        <f t="array" ref="V1550">_xlfn.IFS(
ISNUMBER(SEARCH("USA",S1550)),"United States",
ISNUMBER(SEARCH("Republic of Ireland",S1550)),"Ireland",
ISNUMBER(SEARCH("Republic of Korea",S1550)),"South Korea",
ISNUMBER(SEARCH("Cape Verde",S1550)),"Cabo Verde",
ISNUMBER(SEARCH("Czechia",S1550)),"Czech Republic",
ISNUMBER(SEARCH("Türkiye",S1550)),"Turkey",
ISNUMBER(SEARCH("Ivory Coast",S1550)),"Côte d'Ivoire",
ISNUMBER(SEARCH("Korea Republic",S1550)),"South Korea",
ISNUMBER(SEARCH("Germany FR",S1550)),"FR Germany",
ISNUMBER(SEARCH("West Germany",S1550)),"FR Germany",
ISNUMBER(SEARCH("Germany DR",S1550)),"DR Germany",
ISNUMBER(SEARCH("Korea DPR",S1550)),"North Korea",
ISNUMBER(SEARCH("China PR",S1550)),"China",
ISNUMBER(SEARCH("IR Iran",S1550)),"Iran",
ISNUMBER(SEARCH("Congo DR",S1550)),"Democratic Republic of the Congo",
ISNUMBER(SEARCH("DR Congo",S1550)),"Democratic Republic of the Congo",
ISNUMBER(SEARCH("German DR",S1550)),"DR Germany",
ISNUMBER(SEARCH("rn""&gt;United Arab Emirates",S1550)),"United Arab Emirates",
ISNUMBER(SEARCH("rn""&gt;Republic of Ireland",S1550)),"Ireland",
ISNUMBER(SEARCH("rn""&gt;Bosnia and Herzegovina",S1550)),"Bosnia and Herzegovina",
ISNUMBER(SEARCH("rn""&gt;Trinidad and Tobago",S1550)),"Trinidad and Tobago",
ISNUMBER(SEARCH("rn""&gt;Serbia and Montenegro",S1550)),"Serbia and Montenegro",
ISNUMBER(SEARCH(_xlfn.UNICHAR(65533),S1550)),"Côte d'Ivoire",
TRUE,""
)</f>
        <v/>
      </c>
      <c r="W1550" s="12" t="str">
        <f t="shared" si="124"/>
        <v>Curaçao</v>
      </c>
    </row>
    <row r="1551" spans="2:23">
      <c r="B1551" s="75">
        <v>1114</v>
      </c>
      <c r="C1551" s="15" t="str">
        <v>Pedro Neto</v>
      </c>
      <c r="D1551" s="15">
        <v>26</v>
      </c>
      <c r="E1551" s="15" t="str">
        <v>Portugal</v>
      </c>
      <c r="F1551" s="15" t="str">
        <v>RW</v>
      </c>
      <c r="G1551" s="15" t="str">
        <v>Chelsea</v>
      </c>
      <c r="H1551" s="15">
        <v>18</v>
      </c>
      <c r="I1551" s="15" t="str">
        <f t="shared" si="125"/>
        <v>1114|Pedro Neto|26|Portugal|RW|Chelsea|18</v>
      </c>
      <c r="J1551" s="15" t="str">
        <f>IF(COUNTIF(I$438:I1551,I1551)&gt;1,"DOUBLON","OK")</f>
        <v>OK</v>
      </c>
      <c r="S1551" s="12" t="str">
        <v>Curaçao</v>
      </c>
      <c r="T1551" s="12" t="str">
        <f t="shared" si="122"/>
        <v>OK</v>
      </c>
      <c r="U1551" s="12" t="str">
        <f t="shared" si="123"/>
        <v>-</v>
      </c>
      <c r="V1551" s="12" t="str" cm="1">
        <f t="array" ref="V1551">_xlfn.IFS(
ISNUMBER(SEARCH("USA",S1551)),"United States",
ISNUMBER(SEARCH("Republic of Ireland",S1551)),"Ireland",
ISNUMBER(SEARCH("Republic of Korea",S1551)),"South Korea",
ISNUMBER(SEARCH("Cape Verde",S1551)),"Cabo Verde",
ISNUMBER(SEARCH("Czechia",S1551)),"Czech Republic",
ISNUMBER(SEARCH("Türkiye",S1551)),"Turkey",
ISNUMBER(SEARCH("Ivory Coast",S1551)),"Côte d'Ivoire",
ISNUMBER(SEARCH("Korea Republic",S1551)),"South Korea",
ISNUMBER(SEARCH("Germany FR",S1551)),"FR Germany",
ISNUMBER(SEARCH("West Germany",S1551)),"FR Germany",
ISNUMBER(SEARCH("Germany DR",S1551)),"DR Germany",
ISNUMBER(SEARCH("Korea DPR",S1551)),"North Korea",
ISNUMBER(SEARCH("China PR",S1551)),"China",
ISNUMBER(SEARCH("IR Iran",S1551)),"Iran",
ISNUMBER(SEARCH("Congo DR",S1551)),"Democratic Republic of the Congo",
ISNUMBER(SEARCH("DR Congo",S1551)),"Democratic Republic of the Congo",
ISNUMBER(SEARCH("German DR",S1551)),"DR Germany",
ISNUMBER(SEARCH("rn""&gt;United Arab Emirates",S1551)),"United Arab Emirates",
ISNUMBER(SEARCH("rn""&gt;Republic of Ireland",S1551)),"Ireland",
ISNUMBER(SEARCH("rn""&gt;Bosnia and Herzegovina",S1551)),"Bosnia and Herzegovina",
ISNUMBER(SEARCH("rn""&gt;Trinidad and Tobago",S1551)),"Trinidad and Tobago",
ISNUMBER(SEARCH("rn""&gt;Serbia and Montenegro",S1551)),"Serbia and Montenegro",
ISNUMBER(SEARCH(_xlfn.UNICHAR(65533),S1551)),"Côte d'Ivoire",
TRUE,""
)</f>
        <v/>
      </c>
      <c r="W1551" s="12" t="str">
        <f t="shared" si="124"/>
        <v>Curaçao</v>
      </c>
    </row>
    <row r="1552" spans="2:23">
      <c r="B1552" s="75">
        <v>1115</v>
      </c>
      <c r="C1552" s="15" t="str">
        <v>Francisco Conceição</v>
      </c>
      <c r="D1552" s="15">
        <v>23</v>
      </c>
      <c r="E1552" s="15" t="str">
        <v>Portugal</v>
      </c>
      <c r="F1552" s="15" t="str">
        <v>RW</v>
      </c>
      <c r="G1552" s="15" t="str">
        <v>Juventus</v>
      </c>
      <c r="H1552" s="15">
        <v>26</v>
      </c>
      <c r="I1552" s="15" t="str">
        <f t="shared" si="125"/>
        <v>1115|Francisco Conceição|23|Portugal|RW|Juventus|26</v>
      </c>
      <c r="J1552" s="15" t="str">
        <f>IF(COUNTIF(I$438:I1552,I1552)&gt;1,"DOUBLON","OK")</f>
        <v>OK</v>
      </c>
      <c r="S1552" s="12" t="str">
        <v>Curaçao</v>
      </c>
      <c r="T1552" s="12" t="str">
        <f t="shared" si="122"/>
        <v>OK</v>
      </c>
      <c r="U1552" s="12" t="str">
        <f t="shared" si="123"/>
        <v>-</v>
      </c>
      <c r="V1552" s="12" t="str" cm="1">
        <f t="array" ref="V1552">_xlfn.IFS(
ISNUMBER(SEARCH("USA",S1552)),"United States",
ISNUMBER(SEARCH("Republic of Ireland",S1552)),"Ireland",
ISNUMBER(SEARCH("Republic of Korea",S1552)),"South Korea",
ISNUMBER(SEARCH("Cape Verde",S1552)),"Cabo Verde",
ISNUMBER(SEARCH("Czechia",S1552)),"Czech Republic",
ISNUMBER(SEARCH("Türkiye",S1552)),"Turkey",
ISNUMBER(SEARCH("Ivory Coast",S1552)),"Côte d'Ivoire",
ISNUMBER(SEARCH("Korea Republic",S1552)),"South Korea",
ISNUMBER(SEARCH("Germany FR",S1552)),"FR Germany",
ISNUMBER(SEARCH("West Germany",S1552)),"FR Germany",
ISNUMBER(SEARCH("Germany DR",S1552)),"DR Germany",
ISNUMBER(SEARCH("Korea DPR",S1552)),"North Korea",
ISNUMBER(SEARCH("China PR",S1552)),"China",
ISNUMBER(SEARCH("IR Iran",S1552)),"Iran",
ISNUMBER(SEARCH("Congo DR",S1552)),"Democratic Republic of the Congo",
ISNUMBER(SEARCH("DR Congo",S1552)),"Democratic Republic of the Congo",
ISNUMBER(SEARCH("German DR",S1552)),"DR Germany",
ISNUMBER(SEARCH("rn""&gt;United Arab Emirates",S1552)),"United Arab Emirates",
ISNUMBER(SEARCH("rn""&gt;Republic of Ireland",S1552)),"Ireland",
ISNUMBER(SEARCH("rn""&gt;Bosnia and Herzegovina",S1552)),"Bosnia and Herzegovina",
ISNUMBER(SEARCH("rn""&gt;Trinidad and Tobago",S1552)),"Trinidad and Tobago",
ISNUMBER(SEARCH("rn""&gt;Serbia and Montenegro",S1552)),"Serbia and Montenegro",
ISNUMBER(SEARCH(_xlfn.UNICHAR(65533),S1552)),"Côte d'Ivoire",
TRUE,""
)</f>
        <v/>
      </c>
      <c r="W1552" s="12" t="str">
        <f t="shared" si="124"/>
        <v>Curaçao</v>
      </c>
    </row>
    <row r="1553" spans="2:23">
      <c r="B1553" s="75">
        <v>1116</v>
      </c>
      <c r="C1553" s="15" t="str">
        <v>Cristiano Ronaldo</v>
      </c>
      <c r="D1553" s="15">
        <v>41</v>
      </c>
      <c r="E1553" s="15" t="str">
        <v>Portugal</v>
      </c>
      <c r="F1553" s="15" t="str">
        <v>ST</v>
      </c>
      <c r="G1553" s="15" t="str">
        <v>Al-Nassr</v>
      </c>
      <c r="H1553" s="15">
        <v>7</v>
      </c>
      <c r="I1553" s="15" t="str">
        <f t="shared" si="125"/>
        <v>1116|Cristiano Ronaldo|41|Portugal|ST|Al-Nassr|7</v>
      </c>
      <c r="J1553" s="15" t="str">
        <f>IF(COUNTIF(I$438:I1553,I1553)&gt;1,"DOUBLON","OK")</f>
        <v>OK</v>
      </c>
      <c r="S1553" s="12" t="str">
        <v>Curaçao</v>
      </c>
      <c r="T1553" s="12" t="str">
        <f t="shared" si="122"/>
        <v>OK</v>
      </c>
      <c r="U1553" s="12" t="str">
        <f t="shared" si="123"/>
        <v>-</v>
      </c>
      <c r="V1553" s="12" t="str" cm="1">
        <f t="array" ref="V1553">_xlfn.IFS(
ISNUMBER(SEARCH("USA",S1553)),"United States",
ISNUMBER(SEARCH("Republic of Ireland",S1553)),"Ireland",
ISNUMBER(SEARCH("Republic of Korea",S1553)),"South Korea",
ISNUMBER(SEARCH("Cape Verde",S1553)),"Cabo Verde",
ISNUMBER(SEARCH("Czechia",S1553)),"Czech Republic",
ISNUMBER(SEARCH("Türkiye",S1553)),"Turkey",
ISNUMBER(SEARCH("Ivory Coast",S1553)),"Côte d'Ivoire",
ISNUMBER(SEARCH("Korea Republic",S1553)),"South Korea",
ISNUMBER(SEARCH("Germany FR",S1553)),"FR Germany",
ISNUMBER(SEARCH("West Germany",S1553)),"FR Germany",
ISNUMBER(SEARCH("Germany DR",S1553)),"DR Germany",
ISNUMBER(SEARCH("Korea DPR",S1553)),"North Korea",
ISNUMBER(SEARCH("China PR",S1553)),"China",
ISNUMBER(SEARCH("IR Iran",S1553)),"Iran",
ISNUMBER(SEARCH("Congo DR",S1553)),"Democratic Republic of the Congo",
ISNUMBER(SEARCH("DR Congo",S1553)),"Democratic Republic of the Congo",
ISNUMBER(SEARCH("German DR",S1553)),"DR Germany",
ISNUMBER(SEARCH("rn""&gt;United Arab Emirates",S1553)),"United Arab Emirates",
ISNUMBER(SEARCH("rn""&gt;Republic of Ireland",S1553)),"Ireland",
ISNUMBER(SEARCH("rn""&gt;Bosnia and Herzegovina",S1553)),"Bosnia and Herzegovina",
ISNUMBER(SEARCH("rn""&gt;Trinidad and Tobago",S1553)),"Trinidad and Tobago",
ISNUMBER(SEARCH("rn""&gt;Serbia and Montenegro",S1553)),"Serbia and Montenegro",
ISNUMBER(SEARCH(_xlfn.UNICHAR(65533),S1553)),"Côte d'Ivoire",
TRUE,""
)</f>
        <v/>
      </c>
      <c r="W1553" s="12" t="str">
        <f t="shared" si="124"/>
        <v>Curaçao</v>
      </c>
    </row>
    <row r="1554" spans="2:23">
      <c r="B1554" s="75">
        <v>1117</v>
      </c>
      <c r="C1554" s="15" t="str">
        <v>Gonçalo Ramos</v>
      </c>
      <c r="D1554" s="15">
        <v>24</v>
      </c>
      <c r="E1554" s="15" t="str">
        <v>Portugal</v>
      </c>
      <c r="F1554" s="15" t="str">
        <v>ST</v>
      </c>
      <c r="G1554" s="15" t="str">
        <v>Paris Saint-Germain</v>
      </c>
      <c r="H1554" s="15">
        <v>9</v>
      </c>
      <c r="I1554" s="15" t="str">
        <f t="shared" si="125"/>
        <v>1117|Gonçalo Ramos|24|Portugal|ST|Paris Saint-Germain|9</v>
      </c>
      <c r="J1554" s="15" t="str">
        <f>IF(COUNTIF(I$438:I1554,I1554)&gt;1,"DOUBLON","OK")</f>
        <v>OK</v>
      </c>
      <c r="S1554" s="12" t="str">
        <v>Curaçao</v>
      </c>
      <c r="T1554" s="12" t="str">
        <f t="shared" si="122"/>
        <v>OK</v>
      </c>
      <c r="U1554" s="12" t="str">
        <f t="shared" si="123"/>
        <v>-</v>
      </c>
      <c r="V1554" s="12" t="str" cm="1">
        <f t="array" ref="V1554">_xlfn.IFS(
ISNUMBER(SEARCH("USA",S1554)),"United States",
ISNUMBER(SEARCH("Republic of Ireland",S1554)),"Ireland",
ISNUMBER(SEARCH("Republic of Korea",S1554)),"South Korea",
ISNUMBER(SEARCH("Cape Verde",S1554)),"Cabo Verde",
ISNUMBER(SEARCH("Czechia",S1554)),"Czech Republic",
ISNUMBER(SEARCH("Türkiye",S1554)),"Turkey",
ISNUMBER(SEARCH("Ivory Coast",S1554)),"Côte d'Ivoire",
ISNUMBER(SEARCH("Korea Republic",S1554)),"South Korea",
ISNUMBER(SEARCH("Germany FR",S1554)),"FR Germany",
ISNUMBER(SEARCH("West Germany",S1554)),"FR Germany",
ISNUMBER(SEARCH("Germany DR",S1554)),"DR Germany",
ISNUMBER(SEARCH("Korea DPR",S1554)),"North Korea",
ISNUMBER(SEARCH("China PR",S1554)),"China",
ISNUMBER(SEARCH("IR Iran",S1554)),"Iran",
ISNUMBER(SEARCH("Congo DR",S1554)),"Democratic Republic of the Congo",
ISNUMBER(SEARCH("DR Congo",S1554)),"Democratic Republic of the Congo",
ISNUMBER(SEARCH("German DR",S1554)),"DR Germany",
ISNUMBER(SEARCH("rn""&gt;United Arab Emirates",S1554)),"United Arab Emirates",
ISNUMBER(SEARCH("rn""&gt;Republic of Ireland",S1554)),"Ireland",
ISNUMBER(SEARCH("rn""&gt;Bosnia and Herzegovina",S1554)),"Bosnia and Herzegovina",
ISNUMBER(SEARCH("rn""&gt;Trinidad and Tobago",S1554)),"Trinidad and Tobago",
ISNUMBER(SEARCH("rn""&gt;Serbia and Montenegro",S1554)),"Serbia and Montenegro",
ISNUMBER(SEARCH(_xlfn.UNICHAR(65533),S1554)),"Côte d'Ivoire",
TRUE,""
)</f>
        <v/>
      </c>
      <c r="W1554" s="12" t="str">
        <f t="shared" si="124"/>
        <v>Curaçao</v>
      </c>
    </row>
    <row r="1555" spans="2:23">
      <c r="B1555" s="75">
        <v>1118</v>
      </c>
      <c r="C1555" s="15" t="str">
        <v>João Félix</v>
      </c>
      <c r="D1555" s="15">
        <v>26</v>
      </c>
      <c r="E1555" s="15" t="str">
        <v>Portugal</v>
      </c>
      <c r="F1555" s="15" t="str">
        <v>ST</v>
      </c>
      <c r="G1555" s="15" t="str">
        <v>Al-Nassr</v>
      </c>
      <c r="H1555" s="15">
        <v>11</v>
      </c>
      <c r="I1555" s="15" t="str">
        <f t="shared" si="125"/>
        <v>1118|João Félix|26|Portugal|ST|Al-Nassr|11</v>
      </c>
      <c r="J1555" s="15" t="str">
        <f>IF(COUNTIF(I$438:I1555,I1555)&gt;1,"DOUBLON","OK")</f>
        <v>OK</v>
      </c>
      <c r="S1555" s="12" t="str">
        <v>Curaçao</v>
      </c>
      <c r="T1555" s="12" t="str">
        <f t="shared" si="122"/>
        <v>OK</v>
      </c>
      <c r="U1555" s="12" t="str">
        <f t="shared" si="123"/>
        <v>-</v>
      </c>
      <c r="V1555" s="12" t="str" cm="1">
        <f t="array" ref="V1555">_xlfn.IFS(
ISNUMBER(SEARCH("USA",S1555)),"United States",
ISNUMBER(SEARCH("Republic of Ireland",S1555)),"Ireland",
ISNUMBER(SEARCH("Republic of Korea",S1555)),"South Korea",
ISNUMBER(SEARCH("Cape Verde",S1555)),"Cabo Verde",
ISNUMBER(SEARCH("Czechia",S1555)),"Czech Republic",
ISNUMBER(SEARCH("Türkiye",S1555)),"Turkey",
ISNUMBER(SEARCH("Ivory Coast",S1555)),"Côte d'Ivoire",
ISNUMBER(SEARCH("Korea Republic",S1555)),"South Korea",
ISNUMBER(SEARCH("Germany FR",S1555)),"FR Germany",
ISNUMBER(SEARCH("West Germany",S1555)),"FR Germany",
ISNUMBER(SEARCH("Germany DR",S1555)),"DR Germany",
ISNUMBER(SEARCH("Korea DPR",S1555)),"North Korea",
ISNUMBER(SEARCH("China PR",S1555)),"China",
ISNUMBER(SEARCH("IR Iran",S1555)),"Iran",
ISNUMBER(SEARCH("Congo DR",S1555)),"Democratic Republic of the Congo",
ISNUMBER(SEARCH("DR Congo",S1555)),"Democratic Republic of the Congo",
ISNUMBER(SEARCH("German DR",S1555)),"DR Germany",
ISNUMBER(SEARCH("rn""&gt;United Arab Emirates",S1555)),"United Arab Emirates",
ISNUMBER(SEARCH("rn""&gt;Republic of Ireland",S1555)),"Ireland",
ISNUMBER(SEARCH("rn""&gt;Bosnia and Herzegovina",S1555)),"Bosnia and Herzegovina",
ISNUMBER(SEARCH("rn""&gt;Trinidad and Tobago",S1555)),"Trinidad and Tobago",
ISNUMBER(SEARCH("rn""&gt;Serbia and Montenegro",S1555)),"Serbia and Montenegro",
ISNUMBER(SEARCH(_xlfn.UNICHAR(65533),S1555)),"Côte d'Ivoire",
TRUE,""
)</f>
        <v/>
      </c>
      <c r="W1555" s="12" t="str">
        <f t="shared" si="124"/>
        <v>Curaçao</v>
      </c>
    </row>
    <row r="1556" spans="2:23">
      <c r="B1556" s="75">
        <v>1119</v>
      </c>
      <c r="C1556" s="15" t="str">
        <v>Utkir Yusupov</v>
      </c>
      <c r="D1556" s="15">
        <v>35</v>
      </c>
      <c r="E1556" s="15" t="str">
        <v>Uzbekistan</v>
      </c>
      <c r="F1556" s="15" t="str">
        <v>GK</v>
      </c>
      <c r="G1556" s="15" t="str">
        <v>Navbahor Namangan</v>
      </c>
      <c r="H1556" s="15">
        <v>1</v>
      </c>
      <c r="I1556" s="15" t="str">
        <f t="shared" si="125"/>
        <v>1119|Utkir Yusupov|35|Uzbekistan|GK|Navbahor Namangan|1</v>
      </c>
      <c r="J1556" s="15" t="str">
        <f>IF(COUNTIF(I$438:I1556,I1556)&gt;1,"DOUBLON","OK")</f>
        <v>OK</v>
      </c>
      <c r="S1556" s="12" t="str">
        <v>Curaçao</v>
      </c>
      <c r="T1556" s="12" t="str">
        <f t="shared" si="122"/>
        <v>OK</v>
      </c>
      <c r="U1556" s="12" t="str">
        <f t="shared" si="123"/>
        <v>-</v>
      </c>
      <c r="V1556" s="12" t="str" cm="1">
        <f t="array" ref="V1556">_xlfn.IFS(
ISNUMBER(SEARCH("USA",S1556)),"United States",
ISNUMBER(SEARCH("Republic of Ireland",S1556)),"Ireland",
ISNUMBER(SEARCH("Republic of Korea",S1556)),"South Korea",
ISNUMBER(SEARCH("Cape Verde",S1556)),"Cabo Verde",
ISNUMBER(SEARCH("Czechia",S1556)),"Czech Republic",
ISNUMBER(SEARCH("Türkiye",S1556)),"Turkey",
ISNUMBER(SEARCH("Ivory Coast",S1556)),"Côte d'Ivoire",
ISNUMBER(SEARCH("Korea Republic",S1556)),"South Korea",
ISNUMBER(SEARCH("Germany FR",S1556)),"FR Germany",
ISNUMBER(SEARCH("West Germany",S1556)),"FR Germany",
ISNUMBER(SEARCH("Germany DR",S1556)),"DR Germany",
ISNUMBER(SEARCH("Korea DPR",S1556)),"North Korea",
ISNUMBER(SEARCH("China PR",S1556)),"China",
ISNUMBER(SEARCH("IR Iran",S1556)),"Iran",
ISNUMBER(SEARCH("Congo DR",S1556)),"Democratic Republic of the Congo",
ISNUMBER(SEARCH("DR Congo",S1556)),"Democratic Republic of the Congo",
ISNUMBER(SEARCH("German DR",S1556)),"DR Germany",
ISNUMBER(SEARCH("rn""&gt;United Arab Emirates",S1556)),"United Arab Emirates",
ISNUMBER(SEARCH("rn""&gt;Republic of Ireland",S1556)),"Ireland",
ISNUMBER(SEARCH("rn""&gt;Bosnia and Herzegovina",S1556)),"Bosnia and Herzegovina",
ISNUMBER(SEARCH("rn""&gt;Trinidad and Tobago",S1556)),"Trinidad and Tobago",
ISNUMBER(SEARCH("rn""&gt;Serbia and Montenegro",S1556)),"Serbia and Montenegro",
ISNUMBER(SEARCH(_xlfn.UNICHAR(65533),S1556)),"Côte d'Ivoire",
TRUE,""
)</f>
        <v/>
      </c>
      <c r="W1556" s="12" t="str">
        <f t="shared" si="124"/>
        <v>Curaçao</v>
      </c>
    </row>
    <row r="1557" spans="2:23">
      <c r="B1557" s="75">
        <v>1120</v>
      </c>
      <c r="C1557" s="15" t="str">
        <v>Abduvohid Nematov</v>
      </c>
      <c r="D1557" s="15">
        <v>25</v>
      </c>
      <c r="E1557" s="15" t="str">
        <v>Uzbekistan</v>
      </c>
      <c r="F1557" s="15" t="str">
        <v>GK</v>
      </c>
      <c r="G1557" s="15" t="str">
        <v>Nasaf</v>
      </c>
      <c r="H1557" s="15">
        <v>12</v>
      </c>
      <c r="I1557" s="15" t="str">
        <f t="shared" si="125"/>
        <v>1120|Abduvohid Nematov|25|Uzbekistan|GK|Nasaf|12</v>
      </c>
      <c r="J1557" s="15" t="str">
        <f>IF(COUNTIF(I$438:I1557,I1557)&gt;1,"DOUBLON","OK")</f>
        <v>OK</v>
      </c>
      <c r="S1557" s="12" t="str">
        <v>Curaçao</v>
      </c>
      <c r="T1557" s="12" t="str">
        <f t="shared" si="122"/>
        <v>OK</v>
      </c>
      <c r="U1557" s="12" t="str">
        <f t="shared" si="123"/>
        <v>-</v>
      </c>
      <c r="V1557" s="12" t="str" cm="1">
        <f t="array" ref="V1557">_xlfn.IFS(
ISNUMBER(SEARCH("USA",S1557)),"United States",
ISNUMBER(SEARCH("Republic of Ireland",S1557)),"Ireland",
ISNUMBER(SEARCH("Republic of Korea",S1557)),"South Korea",
ISNUMBER(SEARCH("Cape Verde",S1557)),"Cabo Verde",
ISNUMBER(SEARCH("Czechia",S1557)),"Czech Republic",
ISNUMBER(SEARCH("Türkiye",S1557)),"Turkey",
ISNUMBER(SEARCH("Ivory Coast",S1557)),"Côte d'Ivoire",
ISNUMBER(SEARCH("Korea Republic",S1557)),"South Korea",
ISNUMBER(SEARCH("Germany FR",S1557)),"FR Germany",
ISNUMBER(SEARCH("West Germany",S1557)),"FR Germany",
ISNUMBER(SEARCH("Germany DR",S1557)),"DR Germany",
ISNUMBER(SEARCH("Korea DPR",S1557)),"North Korea",
ISNUMBER(SEARCH("China PR",S1557)),"China",
ISNUMBER(SEARCH("IR Iran",S1557)),"Iran",
ISNUMBER(SEARCH("Congo DR",S1557)),"Democratic Republic of the Congo",
ISNUMBER(SEARCH("DR Congo",S1557)),"Democratic Republic of the Congo",
ISNUMBER(SEARCH("German DR",S1557)),"DR Germany",
ISNUMBER(SEARCH("rn""&gt;United Arab Emirates",S1557)),"United Arab Emirates",
ISNUMBER(SEARCH("rn""&gt;Republic of Ireland",S1557)),"Ireland",
ISNUMBER(SEARCH("rn""&gt;Bosnia and Herzegovina",S1557)),"Bosnia and Herzegovina",
ISNUMBER(SEARCH("rn""&gt;Trinidad and Tobago",S1557)),"Trinidad and Tobago",
ISNUMBER(SEARCH("rn""&gt;Serbia and Montenegro",S1557)),"Serbia and Montenegro",
ISNUMBER(SEARCH(_xlfn.UNICHAR(65533),S1557)),"Côte d'Ivoire",
TRUE,""
)</f>
        <v/>
      </c>
      <c r="W1557" s="12" t="str">
        <f t="shared" si="124"/>
        <v>Curaçao</v>
      </c>
    </row>
    <row r="1558" spans="2:23">
      <c r="B1558" s="75">
        <v>1121</v>
      </c>
      <c r="C1558" s="15" t="str">
        <v>Botirali Ergashev</v>
      </c>
      <c r="D1558" s="15">
        <v>30</v>
      </c>
      <c r="E1558" s="15" t="str">
        <v>Uzbekistan</v>
      </c>
      <c r="F1558" s="15" t="str">
        <v>GK</v>
      </c>
      <c r="G1558" s="15" t="str">
        <v>Neftchi Fergana</v>
      </c>
      <c r="H1558" s="15">
        <v>16</v>
      </c>
      <c r="I1558" s="15" t="str">
        <f t="shared" si="125"/>
        <v>1121|Botirali Ergashev|30|Uzbekistan|GK|Neftchi Fergana|16</v>
      </c>
      <c r="J1558" s="15" t="str">
        <f>IF(COUNTIF(I$438:I1558,I1558)&gt;1,"DOUBLON","OK")</f>
        <v>OK</v>
      </c>
      <c r="S1558" s="12" t="str">
        <v>Curaçao</v>
      </c>
      <c r="T1558" s="12" t="str">
        <f t="shared" si="122"/>
        <v>OK</v>
      </c>
      <c r="U1558" s="12" t="str">
        <f t="shared" si="123"/>
        <v>-</v>
      </c>
      <c r="V1558" s="12" t="str" cm="1">
        <f t="array" ref="V1558">_xlfn.IFS(
ISNUMBER(SEARCH("USA",S1558)),"United States",
ISNUMBER(SEARCH("Republic of Ireland",S1558)),"Ireland",
ISNUMBER(SEARCH("Republic of Korea",S1558)),"South Korea",
ISNUMBER(SEARCH("Cape Verde",S1558)),"Cabo Verde",
ISNUMBER(SEARCH("Czechia",S1558)),"Czech Republic",
ISNUMBER(SEARCH("Türkiye",S1558)),"Turkey",
ISNUMBER(SEARCH("Ivory Coast",S1558)),"Côte d'Ivoire",
ISNUMBER(SEARCH("Korea Republic",S1558)),"South Korea",
ISNUMBER(SEARCH("Germany FR",S1558)),"FR Germany",
ISNUMBER(SEARCH("West Germany",S1558)),"FR Germany",
ISNUMBER(SEARCH("Germany DR",S1558)),"DR Germany",
ISNUMBER(SEARCH("Korea DPR",S1558)),"North Korea",
ISNUMBER(SEARCH("China PR",S1558)),"China",
ISNUMBER(SEARCH("IR Iran",S1558)),"Iran",
ISNUMBER(SEARCH("Congo DR",S1558)),"Democratic Republic of the Congo",
ISNUMBER(SEARCH("DR Congo",S1558)),"Democratic Republic of the Congo",
ISNUMBER(SEARCH("German DR",S1558)),"DR Germany",
ISNUMBER(SEARCH("rn""&gt;United Arab Emirates",S1558)),"United Arab Emirates",
ISNUMBER(SEARCH("rn""&gt;Republic of Ireland",S1558)),"Ireland",
ISNUMBER(SEARCH("rn""&gt;Bosnia and Herzegovina",S1558)),"Bosnia and Herzegovina",
ISNUMBER(SEARCH("rn""&gt;Trinidad and Tobago",S1558)),"Trinidad and Tobago",
ISNUMBER(SEARCH("rn""&gt;Serbia and Montenegro",S1558)),"Serbia and Montenegro",
ISNUMBER(SEARCH(_xlfn.UNICHAR(65533),S1558)),"Côte d'Ivoire",
TRUE,""
)</f>
        <v/>
      </c>
      <c r="W1558" s="12" t="str">
        <f t="shared" si="124"/>
        <v>Curaçao</v>
      </c>
    </row>
    <row r="1559" spans="2:23">
      <c r="B1559" s="75">
        <v>1122</v>
      </c>
      <c r="C1559" s="15" t="str">
        <v>Abdukodir Khusanov</v>
      </c>
      <c r="D1559" s="15">
        <v>22</v>
      </c>
      <c r="E1559" s="15" t="str">
        <v>Uzbekistan</v>
      </c>
      <c r="F1559" s="15" t="str">
        <v>CB</v>
      </c>
      <c r="G1559" s="15" t="str">
        <v>Manchester City</v>
      </c>
      <c r="H1559" s="15">
        <v>2</v>
      </c>
      <c r="I1559" s="15" t="str">
        <f t="shared" si="125"/>
        <v>1122|Abdukodir Khusanov|22|Uzbekistan|CB|Manchester City|2</v>
      </c>
      <c r="J1559" s="15" t="str">
        <f>IF(COUNTIF(I$438:I1559,I1559)&gt;1,"DOUBLON","OK")</f>
        <v>OK</v>
      </c>
      <c r="S1559" s="12" t="str">
        <v>Curaçao</v>
      </c>
      <c r="T1559" s="12" t="str">
        <f t="shared" si="122"/>
        <v>OK</v>
      </c>
      <c r="U1559" s="12" t="str">
        <f t="shared" si="123"/>
        <v>-</v>
      </c>
      <c r="V1559" s="12" t="str" cm="1">
        <f t="array" ref="V1559">_xlfn.IFS(
ISNUMBER(SEARCH("USA",S1559)),"United States",
ISNUMBER(SEARCH("Republic of Ireland",S1559)),"Ireland",
ISNUMBER(SEARCH("Republic of Korea",S1559)),"South Korea",
ISNUMBER(SEARCH("Cape Verde",S1559)),"Cabo Verde",
ISNUMBER(SEARCH("Czechia",S1559)),"Czech Republic",
ISNUMBER(SEARCH("Türkiye",S1559)),"Turkey",
ISNUMBER(SEARCH("Ivory Coast",S1559)),"Côte d'Ivoire",
ISNUMBER(SEARCH("Korea Republic",S1559)),"South Korea",
ISNUMBER(SEARCH("Germany FR",S1559)),"FR Germany",
ISNUMBER(SEARCH("West Germany",S1559)),"FR Germany",
ISNUMBER(SEARCH("Germany DR",S1559)),"DR Germany",
ISNUMBER(SEARCH("Korea DPR",S1559)),"North Korea",
ISNUMBER(SEARCH("China PR",S1559)),"China",
ISNUMBER(SEARCH("IR Iran",S1559)),"Iran",
ISNUMBER(SEARCH("Congo DR",S1559)),"Democratic Republic of the Congo",
ISNUMBER(SEARCH("DR Congo",S1559)),"Democratic Republic of the Congo",
ISNUMBER(SEARCH("German DR",S1559)),"DR Germany",
ISNUMBER(SEARCH("rn""&gt;United Arab Emirates",S1559)),"United Arab Emirates",
ISNUMBER(SEARCH("rn""&gt;Republic of Ireland",S1559)),"Ireland",
ISNUMBER(SEARCH("rn""&gt;Bosnia and Herzegovina",S1559)),"Bosnia and Herzegovina",
ISNUMBER(SEARCH("rn""&gt;Trinidad and Tobago",S1559)),"Trinidad and Tobago",
ISNUMBER(SEARCH("rn""&gt;Serbia and Montenegro",S1559)),"Serbia and Montenegro",
ISNUMBER(SEARCH(_xlfn.UNICHAR(65533),S1559)),"Côte d'Ivoire",
TRUE,""
)</f>
        <v/>
      </c>
      <c r="W1559" s="12" t="str">
        <f t="shared" si="124"/>
        <v>Curaçao</v>
      </c>
    </row>
    <row r="1560" spans="2:23">
      <c r="B1560" s="75">
        <v>1123</v>
      </c>
      <c r="C1560" s="15" t="str">
        <v>Rustam Ashurmatov</v>
      </c>
      <c r="D1560" s="15">
        <v>29</v>
      </c>
      <c r="E1560" s="15" t="str">
        <v>Uzbekistan</v>
      </c>
      <c r="F1560" s="15" t="str">
        <v>CB</v>
      </c>
      <c r="G1560" s="15" t="str">
        <v>Esteghlal</v>
      </c>
      <c r="H1560" s="15">
        <v>5</v>
      </c>
      <c r="I1560" s="15" t="str">
        <f t="shared" si="125"/>
        <v>1123|Rustam Ashurmatov|29|Uzbekistan|CB|Esteghlal|5</v>
      </c>
      <c r="J1560" s="15" t="str">
        <f>IF(COUNTIF(I$438:I1560,I1560)&gt;1,"DOUBLON","OK")</f>
        <v>OK</v>
      </c>
      <c r="S1560" s="12" t="str">
        <v>Curaçao</v>
      </c>
      <c r="T1560" s="12" t="str">
        <f t="shared" si="122"/>
        <v>OK</v>
      </c>
      <c r="U1560" s="12" t="str">
        <f t="shared" si="123"/>
        <v>-</v>
      </c>
      <c r="V1560" s="12" t="str" cm="1">
        <f t="array" ref="V1560">_xlfn.IFS(
ISNUMBER(SEARCH("USA",S1560)),"United States",
ISNUMBER(SEARCH("Republic of Ireland",S1560)),"Ireland",
ISNUMBER(SEARCH("Republic of Korea",S1560)),"South Korea",
ISNUMBER(SEARCH("Cape Verde",S1560)),"Cabo Verde",
ISNUMBER(SEARCH("Czechia",S1560)),"Czech Republic",
ISNUMBER(SEARCH("Türkiye",S1560)),"Turkey",
ISNUMBER(SEARCH("Ivory Coast",S1560)),"Côte d'Ivoire",
ISNUMBER(SEARCH("Korea Republic",S1560)),"South Korea",
ISNUMBER(SEARCH("Germany FR",S1560)),"FR Germany",
ISNUMBER(SEARCH("West Germany",S1560)),"FR Germany",
ISNUMBER(SEARCH("Germany DR",S1560)),"DR Germany",
ISNUMBER(SEARCH("Korea DPR",S1560)),"North Korea",
ISNUMBER(SEARCH("China PR",S1560)),"China",
ISNUMBER(SEARCH("IR Iran",S1560)),"Iran",
ISNUMBER(SEARCH("Congo DR",S1560)),"Democratic Republic of the Congo",
ISNUMBER(SEARCH("DR Congo",S1560)),"Democratic Republic of the Congo",
ISNUMBER(SEARCH("German DR",S1560)),"DR Germany",
ISNUMBER(SEARCH("rn""&gt;United Arab Emirates",S1560)),"United Arab Emirates",
ISNUMBER(SEARCH("rn""&gt;Republic of Ireland",S1560)),"Ireland",
ISNUMBER(SEARCH("rn""&gt;Bosnia and Herzegovina",S1560)),"Bosnia and Herzegovina",
ISNUMBER(SEARCH("rn""&gt;Trinidad and Tobago",S1560)),"Trinidad and Tobago",
ISNUMBER(SEARCH("rn""&gt;Serbia and Montenegro",S1560)),"Serbia and Montenegro",
ISNUMBER(SEARCH(_xlfn.UNICHAR(65533),S1560)),"Côte d'Ivoire",
TRUE,""
)</f>
        <v/>
      </c>
      <c r="W1560" s="12" t="str">
        <f t="shared" si="124"/>
        <v>Curaçao</v>
      </c>
    </row>
    <row r="1561" spans="2:23">
      <c r="B1561" s="75">
        <v>1124</v>
      </c>
      <c r="C1561" s="15" t="str">
        <v>Umar Eshmurodov</v>
      </c>
      <c r="D1561" s="15">
        <v>33</v>
      </c>
      <c r="E1561" s="15" t="str">
        <v>Uzbekistan</v>
      </c>
      <c r="F1561" s="15" t="str">
        <v>CB</v>
      </c>
      <c r="G1561" s="15" t="str">
        <v>Nasaf</v>
      </c>
      <c r="H1561" s="15">
        <v>15</v>
      </c>
      <c r="I1561" s="15" t="str">
        <f t="shared" si="125"/>
        <v>1124|Umar Eshmurodov|33|Uzbekistan|CB|Nasaf|15</v>
      </c>
      <c r="J1561" s="15" t="str">
        <f>IF(COUNTIF(I$438:I1561,I1561)&gt;1,"DOUBLON","OK")</f>
        <v>OK</v>
      </c>
      <c r="S1561" s="12" t="str">
        <v>Curaçao</v>
      </c>
      <c r="T1561" s="12" t="str">
        <f t="shared" si="122"/>
        <v>OK</v>
      </c>
      <c r="U1561" s="12" t="str">
        <f t="shared" si="123"/>
        <v>-</v>
      </c>
      <c r="V1561" s="12" t="str" cm="1">
        <f t="array" ref="V1561">_xlfn.IFS(
ISNUMBER(SEARCH("USA",S1561)),"United States",
ISNUMBER(SEARCH("Republic of Ireland",S1561)),"Ireland",
ISNUMBER(SEARCH("Republic of Korea",S1561)),"South Korea",
ISNUMBER(SEARCH("Cape Verde",S1561)),"Cabo Verde",
ISNUMBER(SEARCH("Czechia",S1561)),"Czech Republic",
ISNUMBER(SEARCH("Türkiye",S1561)),"Turkey",
ISNUMBER(SEARCH("Ivory Coast",S1561)),"Côte d'Ivoire",
ISNUMBER(SEARCH("Korea Republic",S1561)),"South Korea",
ISNUMBER(SEARCH("Germany FR",S1561)),"FR Germany",
ISNUMBER(SEARCH("West Germany",S1561)),"FR Germany",
ISNUMBER(SEARCH("Germany DR",S1561)),"DR Germany",
ISNUMBER(SEARCH("Korea DPR",S1561)),"North Korea",
ISNUMBER(SEARCH("China PR",S1561)),"China",
ISNUMBER(SEARCH("IR Iran",S1561)),"Iran",
ISNUMBER(SEARCH("Congo DR",S1561)),"Democratic Republic of the Congo",
ISNUMBER(SEARCH("DR Congo",S1561)),"Democratic Republic of the Congo",
ISNUMBER(SEARCH("German DR",S1561)),"DR Germany",
ISNUMBER(SEARCH("rn""&gt;United Arab Emirates",S1561)),"United Arab Emirates",
ISNUMBER(SEARCH("rn""&gt;Republic of Ireland",S1561)),"Ireland",
ISNUMBER(SEARCH("rn""&gt;Bosnia and Herzegovina",S1561)),"Bosnia and Herzegovina",
ISNUMBER(SEARCH("rn""&gt;Trinidad and Tobago",S1561)),"Trinidad and Tobago",
ISNUMBER(SEARCH("rn""&gt;Serbia and Montenegro",S1561)),"Serbia and Montenegro",
ISNUMBER(SEARCH(_xlfn.UNICHAR(65533),S1561)),"Côte d'Ivoire",
TRUE,""
)</f>
        <v/>
      </c>
      <c r="W1561" s="12" t="str">
        <f t="shared" si="124"/>
        <v>Curaçao</v>
      </c>
    </row>
    <row r="1562" spans="2:23">
      <c r="B1562" s="75">
        <v>1125</v>
      </c>
      <c r="C1562" s="15" t="str">
        <v>Abdulla Abdullaev</v>
      </c>
      <c r="D1562" s="15">
        <v>28</v>
      </c>
      <c r="E1562" s="15" t="str">
        <v>Uzbekistan</v>
      </c>
      <c r="F1562" s="15" t="str">
        <v>CB</v>
      </c>
      <c r="G1562" s="15" t="str">
        <v>Dibba</v>
      </c>
      <c r="H1562" s="15">
        <v>18</v>
      </c>
      <c r="I1562" s="15" t="str">
        <f t="shared" si="125"/>
        <v>1125|Abdulla Abdullaev|28|Uzbekistan|CB|Dibba|18</v>
      </c>
      <c r="J1562" s="15" t="str">
        <f>IF(COUNTIF(I$438:I1562,I1562)&gt;1,"DOUBLON","OK")</f>
        <v>OK</v>
      </c>
      <c r="S1562" s="12" t="str">
        <v>Curaçao</v>
      </c>
      <c r="T1562" s="12" t="str">
        <f t="shared" si="122"/>
        <v>OK</v>
      </c>
      <c r="U1562" s="12" t="str">
        <f t="shared" si="123"/>
        <v>-</v>
      </c>
      <c r="V1562" s="12" t="str" cm="1">
        <f t="array" ref="V1562">_xlfn.IFS(
ISNUMBER(SEARCH("USA",S1562)),"United States",
ISNUMBER(SEARCH("Republic of Ireland",S1562)),"Ireland",
ISNUMBER(SEARCH("Republic of Korea",S1562)),"South Korea",
ISNUMBER(SEARCH("Cape Verde",S1562)),"Cabo Verde",
ISNUMBER(SEARCH("Czechia",S1562)),"Czech Republic",
ISNUMBER(SEARCH("Türkiye",S1562)),"Turkey",
ISNUMBER(SEARCH("Ivory Coast",S1562)),"Côte d'Ivoire",
ISNUMBER(SEARCH("Korea Republic",S1562)),"South Korea",
ISNUMBER(SEARCH("Germany FR",S1562)),"FR Germany",
ISNUMBER(SEARCH("West Germany",S1562)),"FR Germany",
ISNUMBER(SEARCH("Germany DR",S1562)),"DR Germany",
ISNUMBER(SEARCH("Korea DPR",S1562)),"North Korea",
ISNUMBER(SEARCH("China PR",S1562)),"China",
ISNUMBER(SEARCH("IR Iran",S1562)),"Iran",
ISNUMBER(SEARCH("Congo DR",S1562)),"Democratic Republic of the Congo",
ISNUMBER(SEARCH("DR Congo",S1562)),"Democratic Republic of the Congo",
ISNUMBER(SEARCH("German DR",S1562)),"DR Germany",
ISNUMBER(SEARCH("rn""&gt;United Arab Emirates",S1562)),"United Arab Emirates",
ISNUMBER(SEARCH("rn""&gt;Republic of Ireland",S1562)),"Ireland",
ISNUMBER(SEARCH("rn""&gt;Bosnia and Herzegovina",S1562)),"Bosnia and Herzegovina",
ISNUMBER(SEARCH("rn""&gt;Trinidad and Tobago",S1562)),"Trinidad and Tobago",
ISNUMBER(SEARCH("rn""&gt;Serbia and Montenegro",S1562)),"Serbia and Montenegro",
ISNUMBER(SEARCH(_xlfn.UNICHAR(65533),S1562)),"Côte d'Ivoire",
TRUE,""
)</f>
        <v/>
      </c>
      <c r="W1562" s="12" t="str">
        <f t="shared" si="124"/>
        <v>Curaçao</v>
      </c>
    </row>
    <row r="1563" spans="2:23">
      <c r="B1563" s="75">
        <v>1126</v>
      </c>
      <c r="C1563" s="15" t="str">
        <v>Avazbek Ulmasaliev</v>
      </c>
      <c r="D1563" s="15">
        <v>26</v>
      </c>
      <c r="E1563" s="15" t="str">
        <v>Uzbekistan</v>
      </c>
      <c r="F1563" s="15" t="str">
        <v>CB</v>
      </c>
      <c r="G1563" s="15" t="str">
        <v>AGMK</v>
      </c>
      <c r="H1563" s="15">
        <v>25</v>
      </c>
      <c r="I1563" s="15" t="str">
        <f t="shared" si="125"/>
        <v>1126|Avazbek Ulmasaliev|26|Uzbekistan|CB|AGMK|25</v>
      </c>
      <c r="J1563" s="15" t="str">
        <f>IF(COUNTIF(I$438:I1563,I1563)&gt;1,"DOUBLON","OK")</f>
        <v>OK</v>
      </c>
      <c r="S1563" s="12" t="str">
        <v>Ecuador</v>
      </c>
      <c r="T1563" s="12" t="str">
        <f t="shared" si="122"/>
        <v>OK</v>
      </c>
      <c r="U1563" s="12" t="str">
        <f t="shared" si="123"/>
        <v>-</v>
      </c>
      <c r="V1563" s="12" t="str" cm="1">
        <f t="array" ref="V1563">_xlfn.IFS(
ISNUMBER(SEARCH("USA",S1563)),"United States",
ISNUMBER(SEARCH("Republic of Ireland",S1563)),"Ireland",
ISNUMBER(SEARCH("Republic of Korea",S1563)),"South Korea",
ISNUMBER(SEARCH("Cape Verde",S1563)),"Cabo Verde",
ISNUMBER(SEARCH("Czechia",S1563)),"Czech Republic",
ISNUMBER(SEARCH("Türkiye",S1563)),"Turkey",
ISNUMBER(SEARCH("Ivory Coast",S1563)),"Côte d'Ivoire",
ISNUMBER(SEARCH("Korea Republic",S1563)),"South Korea",
ISNUMBER(SEARCH("Germany FR",S1563)),"FR Germany",
ISNUMBER(SEARCH("West Germany",S1563)),"FR Germany",
ISNUMBER(SEARCH("Germany DR",S1563)),"DR Germany",
ISNUMBER(SEARCH("Korea DPR",S1563)),"North Korea",
ISNUMBER(SEARCH("China PR",S1563)),"China",
ISNUMBER(SEARCH("IR Iran",S1563)),"Iran",
ISNUMBER(SEARCH("Congo DR",S1563)),"Democratic Republic of the Congo",
ISNUMBER(SEARCH("DR Congo",S1563)),"Democratic Republic of the Congo",
ISNUMBER(SEARCH("German DR",S1563)),"DR Germany",
ISNUMBER(SEARCH("rn""&gt;United Arab Emirates",S1563)),"United Arab Emirates",
ISNUMBER(SEARCH("rn""&gt;Republic of Ireland",S1563)),"Ireland",
ISNUMBER(SEARCH("rn""&gt;Bosnia and Herzegovina",S1563)),"Bosnia and Herzegovina",
ISNUMBER(SEARCH("rn""&gt;Trinidad and Tobago",S1563)),"Trinidad and Tobago",
ISNUMBER(SEARCH("rn""&gt;Serbia and Montenegro",S1563)),"Serbia and Montenegro",
ISNUMBER(SEARCH(_xlfn.UNICHAR(65533),S1563)),"Côte d'Ivoire",
TRUE,""
)</f>
        <v/>
      </c>
      <c r="W1563" s="12" t="str">
        <f t="shared" si="124"/>
        <v>Ecuador</v>
      </c>
    </row>
    <row r="1564" spans="2:23">
      <c r="B1564" s="75">
        <v>1127</v>
      </c>
      <c r="C1564" s="15" t="str">
        <v>Jakhongir Urozov</v>
      </c>
      <c r="D1564" s="15">
        <v>22</v>
      </c>
      <c r="E1564" s="15" t="str">
        <v>Uzbekistan</v>
      </c>
      <c r="F1564" s="15" t="str">
        <v>CB</v>
      </c>
      <c r="G1564" s="15" t="str">
        <v>Dinamo Samarqand</v>
      </c>
      <c r="H1564" s="15">
        <v>26</v>
      </c>
      <c r="I1564" s="15" t="str">
        <f t="shared" si="125"/>
        <v>1127|Jakhongir Urozov|22|Uzbekistan|CB|Dinamo Samarqand|26</v>
      </c>
      <c r="J1564" s="15" t="str">
        <f>IF(COUNTIF(I$438:I1564,I1564)&gt;1,"DOUBLON","OK")</f>
        <v>OK</v>
      </c>
      <c r="S1564" s="12" t="str">
        <v>Ecuador</v>
      </c>
      <c r="T1564" s="12" t="str">
        <f t="shared" si="122"/>
        <v>OK</v>
      </c>
      <c r="U1564" s="12" t="str">
        <f t="shared" si="123"/>
        <v>-</v>
      </c>
      <c r="V1564" s="12" t="str" cm="1">
        <f t="array" ref="V1564">_xlfn.IFS(
ISNUMBER(SEARCH("USA",S1564)),"United States",
ISNUMBER(SEARCH("Republic of Ireland",S1564)),"Ireland",
ISNUMBER(SEARCH("Republic of Korea",S1564)),"South Korea",
ISNUMBER(SEARCH("Cape Verde",S1564)),"Cabo Verde",
ISNUMBER(SEARCH("Czechia",S1564)),"Czech Republic",
ISNUMBER(SEARCH("Türkiye",S1564)),"Turkey",
ISNUMBER(SEARCH("Ivory Coast",S1564)),"Côte d'Ivoire",
ISNUMBER(SEARCH("Korea Republic",S1564)),"South Korea",
ISNUMBER(SEARCH("Germany FR",S1564)),"FR Germany",
ISNUMBER(SEARCH("West Germany",S1564)),"FR Germany",
ISNUMBER(SEARCH("Germany DR",S1564)),"DR Germany",
ISNUMBER(SEARCH("Korea DPR",S1564)),"North Korea",
ISNUMBER(SEARCH("China PR",S1564)),"China",
ISNUMBER(SEARCH("IR Iran",S1564)),"Iran",
ISNUMBER(SEARCH("Congo DR",S1564)),"Democratic Republic of the Congo",
ISNUMBER(SEARCH("DR Congo",S1564)),"Democratic Republic of the Congo",
ISNUMBER(SEARCH("German DR",S1564)),"DR Germany",
ISNUMBER(SEARCH("rn""&gt;United Arab Emirates",S1564)),"United Arab Emirates",
ISNUMBER(SEARCH("rn""&gt;Republic of Ireland",S1564)),"Ireland",
ISNUMBER(SEARCH("rn""&gt;Bosnia and Herzegovina",S1564)),"Bosnia and Herzegovina",
ISNUMBER(SEARCH("rn""&gt;Trinidad and Tobago",S1564)),"Trinidad and Tobago",
ISNUMBER(SEARCH("rn""&gt;Serbia and Montenegro",S1564)),"Serbia and Montenegro",
ISNUMBER(SEARCH(_xlfn.UNICHAR(65533),S1564)),"Côte d'Ivoire",
TRUE,""
)</f>
        <v/>
      </c>
      <c r="W1564" s="12" t="str">
        <f t="shared" si="124"/>
        <v>Ecuador</v>
      </c>
    </row>
    <row r="1565" spans="2:23">
      <c r="B1565" s="75">
        <v>1128</v>
      </c>
      <c r="C1565" s="15" t="str">
        <v>Farrukh Sayfiev</v>
      </c>
      <c r="D1565" s="15">
        <v>35</v>
      </c>
      <c r="E1565" s="15" t="str">
        <v>Uzbekistan</v>
      </c>
      <c r="F1565" s="15" t="str">
        <v>LB</v>
      </c>
      <c r="G1565" s="15" t="str">
        <v>Neftchi Fergana</v>
      </c>
      <c r="H1565" s="15">
        <v>4</v>
      </c>
      <c r="I1565" s="15" t="str">
        <f t="shared" si="125"/>
        <v>1128|Farrukh Sayfiev|35|Uzbekistan|LB|Neftchi Fergana|4</v>
      </c>
      <c r="J1565" s="15" t="str">
        <f>IF(COUNTIF(I$438:I1565,I1565)&gt;1,"DOUBLON","OK")</f>
        <v>OK</v>
      </c>
      <c r="S1565" s="12" t="str">
        <v>Ecuador</v>
      </c>
      <c r="T1565" s="12" t="str">
        <f t="shared" si="122"/>
        <v>OK</v>
      </c>
      <c r="U1565" s="12" t="str">
        <f t="shared" si="123"/>
        <v>-</v>
      </c>
      <c r="V1565" s="12" t="str" cm="1">
        <f t="array" ref="V1565">_xlfn.IFS(
ISNUMBER(SEARCH("USA",S1565)),"United States",
ISNUMBER(SEARCH("Republic of Ireland",S1565)),"Ireland",
ISNUMBER(SEARCH("Republic of Korea",S1565)),"South Korea",
ISNUMBER(SEARCH("Cape Verde",S1565)),"Cabo Verde",
ISNUMBER(SEARCH("Czechia",S1565)),"Czech Republic",
ISNUMBER(SEARCH("Türkiye",S1565)),"Turkey",
ISNUMBER(SEARCH("Ivory Coast",S1565)),"Côte d'Ivoire",
ISNUMBER(SEARCH("Korea Republic",S1565)),"South Korea",
ISNUMBER(SEARCH("Germany FR",S1565)),"FR Germany",
ISNUMBER(SEARCH("West Germany",S1565)),"FR Germany",
ISNUMBER(SEARCH("Germany DR",S1565)),"DR Germany",
ISNUMBER(SEARCH("Korea DPR",S1565)),"North Korea",
ISNUMBER(SEARCH("China PR",S1565)),"China",
ISNUMBER(SEARCH("IR Iran",S1565)),"Iran",
ISNUMBER(SEARCH("Congo DR",S1565)),"Democratic Republic of the Congo",
ISNUMBER(SEARCH("DR Congo",S1565)),"Democratic Republic of the Congo",
ISNUMBER(SEARCH("German DR",S1565)),"DR Germany",
ISNUMBER(SEARCH("rn""&gt;United Arab Emirates",S1565)),"United Arab Emirates",
ISNUMBER(SEARCH("rn""&gt;Republic of Ireland",S1565)),"Ireland",
ISNUMBER(SEARCH("rn""&gt;Bosnia and Herzegovina",S1565)),"Bosnia and Herzegovina",
ISNUMBER(SEARCH("rn""&gt;Trinidad and Tobago",S1565)),"Trinidad and Tobago",
ISNUMBER(SEARCH("rn""&gt;Serbia and Montenegro",S1565)),"Serbia and Montenegro",
ISNUMBER(SEARCH(_xlfn.UNICHAR(65533),S1565)),"Côte d'Ivoire",
TRUE,""
)</f>
        <v/>
      </c>
      <c r="W1565" s="12" t="str">
        <f t="shared" si="124"/>
        <v>Ecuador</v>
      </c>
    </row>
    <row r="1566" spans="2:23">
      <c r="B1566" s="75">
        <v>1129</v>
      </c>
      <c r="C1566" s="15" t="str">
        <v>Sherzod Nasrullaev</v>
      </c>
      <c r="D1566" s="15">
        <v>27</v>
      </c>
      <c r="E1566" s="15" t="str">
        <v>Uzbekistan</v>
      </c>
      <c r="F1566" s="15" t="str">
        <v>LB</v>
      </c>
      <c r="G1566" s="15" t="str">
        <v>Nasaf</v>
      </c>
      <c r="H1566" s="15">
        <v>13</v>
      </c>
      <c r="I1566" s="15" t="str">
        <f t="shared" si="125"/>
        <v>1129|Sherzod Nasrullaev|27|Uzbekistan|LB|Nasaf|13</v>
      </c>
      <c r="J1566" s="15" t="str">
        <f>IF(COUNTIF(I$438:I1566,I1566)&gt;1,"DOUBLON","OK")</f>
        <v>OK</v>
      </c>
      <c r="S1566" s="12" t="str">
        <v>Ecuador</v>
      </c>
      <c r="T1566" s="12" t="str">
        <f t="shared" si="122"/>
        <v>OK</v>
      </c>
      <c r="U1566" s="12" t="str">
        <f t="shared" si="123"/>
        <v>-</v>
      </c>
      <c r="V1566" s="12" t="str" cm="1">
        <f t="array" ref="V1566">_xlfn.IFS(
ISNUMBER(SEARCH("USA",S1566)),"United States",
ISNUMBER(SEARCH("Republic of Ireland",S1566)),"Ireland",
ISNUMBER(SEARCH("Republic of Korea",S1566)),"South Korea",
ISNUMBER(SEARCH("Cape Verde",S1566)),"Cabo Verde",
ISNUMBER(SEARCH("Czechia",S1566)),"Czech Republic",
ISNUMBER(SEARCH("Türkiye",S1566)),"Turkey",
ISNUMBER(SEARCH("Ivory Coast",S1566)),"Côte d'Ivoire",
ISNUMBER(SEARCH("Korea Republic",S1566)),"South Korea",
ISNUMBER(SEARCH("Germany FR",S1566)),"FR Germany",
ISNUMBER(SEARCH("West Germany",S1566)),"FR Germany",
ISNUMBER(SEARCH("Germany DR",S1566)),"DR Germany",
ISNUMBER(SEARCH("Korea DPR",S1566)),"North Korea",
ISNUMBER(SEARCH("China PR",S1566)),"China",
ISNUMBER(SEARCH("IR Iran",S1566)),"Iran",
ISNUMBER(SEARCH("Congo DR",S1566)),"Democratic Republic of the Congo",
ISNUMBER(SEARCH("DR Congo",S1566)),"Democratic Republic of the Congo",
ISNUMBER(SEARCH("German DR",S1566)),"DR Germany",
ISNUMBER(SEARCH("rn""&gt;United Arab Emirates",S1566)),"United Arab Emirates",
ISNUMBER(SEARCH("rn""&gt;Republic of Ireland",S1566)),"Ireland",
ISNUMBER(SEARCH("rn""&gt;Bosnia and Herzegovina",S1566)),"Bosnia and Herzegovina",
ISNUMBER(SEARCH("rn""&gt;Trinidad and Tobago",S1566)),"Trinidad and Tobago",
ISNUMBER(SEARCH("rn""&gt;Serbia and Montenegro",S1566)),"Serbia and Montenegro",
ISNUMBER(SEARCH(_xlfn.UNICHAR(65533),S1566)),"Côte d'Ivoire",
TRUE,""
)</f>
        <v/>
      </c>
      <c r="W1566" s="12" t="str">
        <f t="shared" si="124"/>
        <v>Ecuador</v>
      </c>
    </row>
    <row r="1567" spans="2:23">
      <c r="B1567" s="75">
        <v>1130</v>
      </c>
      <c r="C1567" s="15" t="str">
        <v>Bekhruz Karimov</v>
      </c>
      <c r="D1567" s="15">
        <v>18</v>
      </c>
      <c r="E1567" s="15" t="str">
        <v>Uzbekistan</v>
      </c>
      <c r="F1567" s="15" t="str">
        <v>LB</v>
      </c>
      <c r="G1567" s="15" t="str">
        <v>Surkhon Termiz</v>
      </c>
      <c r="H1567" s="15">
        <v>24</v>
      </c>
      <c r="I1567" s="15" t="str">
        <f t="shared" si="125"/>
        <v>1130|Bekhruz Karimov|18|Uzbekistan|LB|Surkhon Termiz|24</v>
      </c>
      <c r="J1567" s="15" t="str">
        <f>IF(COUNTIF(I$438:I1567,I1567)&gt;1,"DOUBLON","OK")</f>
        <v>OK</v>
      </c>
      <c r="S1567" s="12" t="str">
        <v>Ecuador</v>
      </c>
      <c r="T1567" s="12" t="str">
        <f t="shared" si="122"/>
        <v>OK</v>
      </c>
      <c r="U1567" s="12" t="str">
        <f t="shared" si="123"/>
        <v>-</v>
      </c>
      <c r="V1567" s="12" t="str" cm="1">
        <f t="array" ref="V1567">_xlfn.IFS(
ISNUMBER(SEARCH("USA",S1567)),"United States",
ISNUMBER(SEARCH("Republic of Ireland",S1567)),"Ireland",
ISNUMBER(SEARCH("Republic of Korea",S1567)),"South Korea",
ISNUMBER(SEARCH("Cape Verde",S1567)),"Cabo Verde",
ISNUMBER(SEARCH("Czechia",S1567)),"Czech Republic",
ISNUMBER(SEARCH("Türkiye",S1567)),"Turkey",
ISNUMBER(SEARCH("Ivory Coast",S1567)),"Côte d'Ivoire",
ISNUMBER(SEARCH("Korea Republic",S1567)),"South Korea",
ISNUMBER(SEARCH("Germany FR",S1567)),"FR Germany",
ISNUMBER(SEARCH("West Germany",S1567)),"FR Germany",
ISNUMBER(SEARCH("Germany DR",S1567)),"DR Germany",
ISNUMBER(SEARCH("Korea DPR",S1567)),"North Korea",
ISNUMBER(SEARCH("China PR",S1567)),"China",
ISNUMBER(SEARCH("IR Iran",S1567)),"Iran",
ISNUMBER(SEARCH("Congo DR",S1567)),"Democratic Republic of the Congo",
ISNUMBER(SEARCH("DR Congo",S1567)),"Democratic Republic of the Congo",
ISNUMBER(SEARCH("German DR",S1567)),"DR Germany",
ISNUMBER(SEARCH("rn""&gt;United Arab Emirates",S1567)),"United Arab Emirates",
ISNUMBER(SEARCH("rn""&gt;Republic of Ireland",S1567)),"Ireland",
ISNUMBER(SEARCH("rn""&gt;Bosnia and Herzegovina",S1567)),"Bosnia and Herzegovina",
ISNUMBER(SEARCH("rn""&gt;Trinidad and Tobago",S1567)),"Trinidad and Tobago",
ISNUMBER(SEARCH("rn""&gt;Serbia and Montenegro",S1567)),"Serbia and Montenegro",
ISNUMBER(SEARCH(_xlfn.UNICHAR(65533),S1567)),"Côte d'Ivoire",
TRUE,""
)</f>
        <v/>
      </c>
      <c r="W1567" s="12" t="str">
        <f t="shared" si="124"/>
        <v>Ecuador</v>
      </c>
    </row>
    <row r="1568" spans="2:23">
      <c r="B1568" s="75">
        <v>1131</v>
      </c>
      <c r="C1568" s="15" t="str">
        <v>Khojiakbar Alijonov</v>
      </c>
      <c r="D1568" s="15">
        <v>29</v>
      </c>
      <c r="E1568" s="15" t="str">
        <v>Uzbekistan</v>
      </c>
      <c r="F1568" s="15" t="str">
        <v>RB</v>
      </c>
      <c r="G1568" s="15" t="str">
        <v>Pakhtakor</v>
      </c>
      <c r="H1568" s="15">
        <v>3</v>
      </c>
      <c r="I1568" s="15" t="str">
        <f t="shared" si="125"/>
        <v>1131|Khojiakbar Alijonov|29|Uzbekistan|RB|Pakhtakor|3</v>
      </c>
      <c r="J1568" s="15" t="str">
        <f>IF(COUNTIF(I$438:I1568,I1568)&gt;1,"DOUBLON","OK")</f>
        <v>OK</v>
      </c>
      <c r="S1568" s="12" t="str">
        <v>Ecuador</v>
      </c>
      <c r="T1568" s="12" t="str">
        <f t="shared" si="122"/>
        <v>OK</v>
      </c>
      <c r="U1568" s="12" t="str">
        <f t="shared" si="123"/>
        <v>-</v>
      </c>
      <c r="V1568" s="12" t="str" cm="1">
        <f t="array" ref="V1568">_xlfn.IFS(
ISNUMBER(SEARCH("USA",S1568)),"United States",
ISNUMBER(SEARCH("Republic of Ireland",S1568)),"Ireland",
ISNUMBER(SEARCH("Republic of Korea",S1568)),"South Korea",
ISNUMBER(SEARCH("Cape Verde",S1568)),"Cabo Verde",
ISNUMBER(SEARCH("Czechia",S1568)),"Czech Republic",
ISNUMBER(SEARCH("Türkiye",S1568)),"Turkey",
ISNUMBER(SEARCH("Ivory Coast",S1568)),"Côte d'Ivoire",
ISNUMBER(SEARCH("Korea Republic",S1568)),"South Korea",
ISNUMBER(SEARCH("Germany FR",S1568)),"FR Germany",
ISNUMBER(SEARCH("West Germany",S1568)),"FR Germany",
ISNUMBER(SEARCH("Germany DR",S1568)),"DR Germany",
ISNUMBER(SEARCH("Korea DPR",S1568)),"North Korea",
ISNUMBER(SEARCH("China PR",S1568)),"China",
ISNUMBER(SEARCH("IR Iran",S1568)),"Iran",
ISNUMBER(SEARCH("Congo DR",S1568)),"Democratic Republic of the Congo",
ISNUMBER(SEARCH("DR Congo",S1568)),"Democratic Republic of the Congo",
ISNUMBER(SEARCH("German DR",S1568)),"DR Germany",
ISNUMBER(SEARCH("rn""&gt;United Arab Emirates",S1568)),"United Arab Emirates",
ISNUMBER(SEARCH("rn""&gt;Republic of Ireland",S1568)),"Ireland",
ISNUMBER(SEARCH("rn""&gt;Bosnia and Herzegovina",S1568)),"Bosnia and Herzegovina",
ISNUMBER(SEARCH("rn""&gt;Trinidad and Tobago",S1568)),"Trinidad and Tobago",
ISNUMBER(SEARCH("rn""&gt;Serbia and Montenegro",S1568)),"Serbia and Montenegro",
ISNUMBER(SEARCH(_xlfn.UNICHAR(65533),S1568)),"Côte d'Ivoire",
TRUE,""
)</f>
        <v/>
      </c>
      <c r="W1568" s="12" t="str">
        <f t="shared" si="124"/>
        <v>Ecuador</v>
      </c>
    </row>
    <row r="1569" spans="2:23">
      <c r="B1569" s="75">
        <v>1132</v>
      </c>
      <c r="C1569" s="15" t="str">
        <v>Akmal Mozgovoy</v>
      </c>
      <c r="D1569" s="15">
        <v>27</v>
      </c>
      <c r="E1569" s="15" t="str">
        <v>Uzbekistan</v>
      </c>
      <c r="F1569" s="15" t="str">
        <v>CDM</v>
      </c>
      <c r="G1569" s="15" t="str">
        <v>Pakhtakor</v>
      </c>
      <c r="H1569" s="15">
        <v>6</v>
      </c>
      <c r="I1569" s="15" t="str">
        <f t="shared" si="125"/>
        <v>1132|Akmal Mozgovoy|27|Uzbekistan|CDM|Pakhtakor|6</v>
      </c>
      <c r="J1569" s="15" t="str">
        <f>IF(COUNTIF(I$438:I1569,I1569)&gt;1,"DOUBLON","OK")</f>
        <v>OK</v>
      </c>
      <c r="S1569" s="12" t="str">
        <v>Ecuador</v>
      </c>
      <c r="T1569" s="12" t="str">
        <f t="shared" ref="T1569:T1632" si="126">IF(COUNTIF(R$13:R$250,S1569)=1,"OK","ERREUR")</f>
        <v>OK</v>
      </c>
      <c r="U1569" s="12" t="str">
        <f t="shared" si="123"/>
        <v>-</v>
      </c>
      <c r="V1569" s="12" t="str" cm="1">
        <f t="array" ref="V1569">_xlfn.IFS(
ISNUMBER(SEARCH("USA",S1569)),"United States",
ISNUMBER(SEARCH("Republic of Ireland",S1569)),"Ireland",
ISNUMBER(SEARCH("Republic of Korea",S1569)),"South Korea",
ISNUMBER(SEARCH("Cape Verde",S1569)),"Cabo Verde",
ISNUMBER(SEARCH("Czechia",S1569)),"Czech Republic",
ISNUMBER(SEARCH("Türkiye",S1569)),"Turkey",
ISNUMBER(SEARCH("Ivory Coast",S1569)),"Côte d'Ivoire",
ISNUMBER(SEARCH("Korea Republic",S1569)),"South Korea",
ISNUMBER(SEARCH("Germany FR",S1569)),"FR Germany",
ISNUMBER(SEARCH("West Germany",S1569)),"FR Germany",
ISNUMBER(SEARCH("Germany DR",S1569)),"DR Germany",
ISNUMBER(SEARCH("Korea DPR",S1569)),"North Korea",
ISNUMBER(SEARCH("China PR",S1569)),"China",
ISNUMBER(SEARCH("IR Iran",S1569)),"Iran",
ISNUMBER(SEARCH("Congo DR",S1569)),"Democratic Republic of the Congo",
ISNUMBER(SEARCH("DR Congo",S1569)),"Democratic Republic of the Congo",
ISNUMBER(SEARCH("German DR",S1569)),"DR Germany",
ISNUMBER(SEARCH("rn""&gt;United Arab Emirates",S1569)),"United Arab Emirates",
ISNUMBER(SEARCH("rn""&gt;Republic of Ireland",S1569)),"Ireland",
ISNUMBER(SEARCH("rn""&gt;Bosnia and Herzegovina",S1569)),"Bosnia and Herzegovina",
ISNUMBER(SEARCH("rn""&gt;Trinidad and Tobago",S1569)),"Trinidad and Tobago",
ISNUMBER(SEARCH("rn""&gt;Serbia and Montenegro",S1569)),"Serbia and Montenegro",
ISNUMBER(SEARCH(_xlfn.UNICHAR(65533),S1569)),"Côte d'Ivoire",
TRUE,""
)</f>
        <v/>
      </c>
      <c r="W1569" s="12" t="str">
        <f t="shared" si="124"/>
        <v>Ecuador</v>
      </c>
    </row>
    <row r="1570" spans="2:23">
      <c r="B1570" s="75">
        <v>1133</v>
      </c>
      <c r="C1570" s="15" t="str">
        <v>Odiljon Hamrobekov</v>
      </c>
      <c r="D1570" s="15">
        <v>30</v>
      </c>
      <c r="E1570" s="15" t="str">
        <v>Uzbekistan</v>
      </c>
      <c r="F1570" s="15" t="str">
        <v>CDM</v>
      </c>
      <c r="G1570" s="15" t="str">
        <v>Tractor</v>
      </c>
      <c r="H1570" s="15">
        <v>9</v>
      </c>
      <c r="I1570" s="15" t="str">
        <f t="shared" si="125"/>
        <v>1133|Odiljon Hamrobekov|30|Uzbekistan|CDM|Tractor|9</v>
      </c>
      <c r="J1570" s="15" t="str">
        <f>IF(COUNTIF(I$438:I1570,I1570)&gt;1,"DOUBLON","OK")</f>
        <v>OK</v>
      </c>
      <c r="S1570" s="12" t="str">
        <v>Ecuador</v>
      </c>
      <c r="T1570" s="12" t="str">
        <f t="shared" si="126"/>
        <v>OK</v>
      </c>
      <c r="U1570" s="12" t="str">
        <f t="shared" ref="U1570:U1633" si="127">IF(OR(S1570="Scotland",S1570="England",S1570="Wales",S1570="Yugoslavia",S1570="Czechoslovakia",S1570="Northern Ireland",S1570="Soviet Union",S1570="Zaire",S1570="Dutch East Indies"),"AUCUNE",IF(OR(S1570="Cape Verde",S1570="USA",S1570="DR Congo",S1570="Republic of Korea",S1570="Germany FR",S1570="Germany DR",S1570="Czechia",S1570="Ivory Coast",S1570="Korea DPR",S1570="China PR",S1570="IR Iran",S1570="Türkiye",S1570="Congo DR",S1570="German DR",S1570="West Germany",S1570="Republic of Ireland",ISNUMBER(SEARCH("rn""&gt;United Arab Emirates",S1570)),ISNUMBER(SEARCH("rn""&gt;Republic of Ireland",S1570)),ISNUMBER(SEARCH("rn""&gt;Bosnia and Herzegovina",S1570)),ISNUMBER(SEARCH("rn""&gt;Trinidad and Tobago",S1570)),ISNUMBER(SEARCH("rn""&gt;Serbia and Montenegro",S1570)),ISNUMBER(SEARCH(_xlfn.UNICHAR(65533),S1570))),"RENOMMER","-"))</f>
        <v>-</v>
      </c>
      <c r="V1570" s="12" t="str" cm="1">
        <f t="array" ref="V1570">_xlfn.IFS(
ISNUMBER(SEARCH("USA",S1570)),"United States",
ISNUMBER(SEARCH("Republic of Ireland",S1570)),"Ireland",
ISNUMBER(SEARCH("Republic of Korea",S1570)),"South Korea",
ISNUMBER(SEARCH("Cape Verde",S1570)),"Cabo Verde",
ISNUMBER(SEARCH("Czechia",S1570)),"Czech Republic",
ISNUMBER(SEARCH("Türkiye",S1570)),"Turkey",
ISNUMBER(SEARCH("Ivory Coast",S1570)),"Côte d'Ivoire",
ISNUMBER(SEARCH("Korea Republic",S1570)),"South Korea",
ISNUMBER(SEARCH("Germany FR",S1570)),"FR Germany",
ISNUMBER(SEARCH("West Germany",S1570)),"FR Germany",
ISNUMBER(SEARCH("Germany DR",S1570)),"DR Germany",
ISNUMBER(SEARCH("Korea DPR",S1570)),"North Korea",
ISNUMBER(SEARCH("China PR",S1570)),"China",
ISNUMBER(SEARCH("IR Iran",S1570)),"Iran",
ISNUMBER(SEARCH("Congo DR",S1570)),"Democratic Republic of the Congo",
ISNUMBER(SEARCH("DR Congo",S1570)),"Democratic Republic of the Congo",
ISNUMBER(SEARCH("German DR",S1570)),"DR Germany",
ISNUMBER(SEARCH("rn""&gt;United Arab Emirates",S1570)),"United Arab Emirates",
ISNUMBER(SEARCH("rn""&gt;Republic of Ireland",S1570)),"Ireland",
ISNUMBER(SEARCH("rn""&gt;Bosnia and Herzegovina",S1570)),"Bosnia and Herzegovina",
ISNUMBER(SEARCH("rn""&gt;Trinidad and Tobago",S1570)),"Trinidad and Tobago",
ISNUMBER(SEARCH("rn""&gt;Serbia and Montenegro",S1570)),"Serbia and Montenegro",
ISNUMBER(SEARCH(_xlfn.UNICHAR(65533),S1570)),"Côte d'Ivoire",
TRUE,""
)</f>
        <v/>
      </c>
      <c r="W1570" s="12" t="str">
        <f t="shared" ref="W1570:W1633" si="128">IF(V1570="",S1570,V1570)</f>
        <v>Ecuador</v>
      </c>
    </row>
    <row r="1571" spans="2:23">
      <c r="B1571" s="75">
        <v>1134</v>
      </c>
      <c r="C1571" s="15" t="str">
        <v>Otabek Shukurov</v>
      </c>
      <c r="D1571" s="15">
        <v>29</v>
      </c>
      <c r="E1571" s="15" t="str">
        <v>Uzbekistan</v>
      </c>
      <c r="F1571" s="15" t="str">
        <v>CM</v>
      </c>
      <c r="G1571" s="15" t="str">
        <v>Baniyas</v>
      </c>
      <c r="H1571" s="15">
        <v>7</v>
      </c>
      <c r="I1571" s="15" t="str">
        <f t="shared" si="125"/>
        <v>1134|Otabek Shukurov|29|Uzbekistan|CM|Baniyas|7</v>
      </c>
      <c r="J1571" s="15" t="str">
        <f>IF(COUNTIF(I$438:I1571,I1571)&gt;1,"DOUBLON","OK")</f>
        <v>OK</v>
      </c>
      <c r="S1571" s="12" t="str">
        <v>Ecuador</v>
      </c>
      <c r="T1571" s="12" t="str">
        <f t="shared" si="126"/>
        <v>OK</v>
      </c>
      <c r="U1571" s="12" t="str">
        <f t="shared" si="127"/>
        <v>-</v>
      </c>
      <c r="V1571" s="12" t="str" cm="1">
        <f t="array" ref="V1571">_xlfn.IFS(
ISNUMBER(SEARCH("USA",S1571)),"United States",
ISNUMBER(SEARCH("Republic of Ireland",S1571)),"Ireland",
ISNUMBER(SEARCH("Republic of Korea",S1571)),"South Korea",
ISNUMBER(SEARCH("Cape Verde",S1571)),"Cabo Verde",
ISNUMBER(SEARCH("Czechia",S1571)),"Czech Republic",
ISNUMBER(SEARCH("Türkiye",S1571)),"Turkey",
ISNUMBER(SEARCH("Ivory Coast",S1571)),"Côte d'Ivoire",
ISNUMBER(SEARCH("Korea Republic",S1571)),"South Korea",
ISNUMBER(SEARCH("Germany FR",S1571)),"FR Germany",
ISNUMBER(SEARCH("West Germany",S1571)),"FR Germany",
ISNUMBER(SEARCH("Germany DR",S1571)),"DR Germany",
ISNUMBER(SEARCH("Korea DPR",S1571)),"North Korea",
ISNUMBER(SEARCH("China PR",S1571)),"China",
ISNUMBER(SEARCH("IR Iran",S1571)),"Iran",
ISNUMBER(SEARCH("Congo DR",S1571)),"Democratic Republic of the Congo",
ISNUMBER(SEARCH("DR Congo",S1571)),"Democratic Republic of the Congo",
ISNUMBER(SEARCH("German DR",S1571)),"DR Germany",
ISNUMBER(SEARCH("rn""&gt;United Arab Emirates",S1571)),"United Arab Emirates",
ISNUMBER(SEARCH("rn""&gt;Republic of Ireland",S1571)),"Ireland",
ISNUMBER(SEARCH("rn""&gt;Bosnia and Herzegovina",S1571)),"Bosnia and Herzegovina",
ISNUMBER(SEARCH("rn""&gt;Trinidad and Tobago",S1571)),"Trinidad and Tobago",
ISNUMBER(SEARCH("rn""&gt;Serbia and Montenegro",S1571)),"Serbia and Montenegro",
ISNUMBER(SEARCH(_xlfn.UNICHAR(65533),S1571)),"Côte d'Ivoire",
TRUE,""
)</f>
        <v/>
      </c>
      <c r="W1571" s="12" t="str">
        <f t="shared" si="128"/>
        <v>Ecuador</v>
      </c>
    </row>
    <row r="1572" spans="2:23">
      <c r="B1572" s="75">
        <v>1135</v>
      </c>
      <c r="C1572" s="15" t="str">
        <v>Jamshid Iskanderov</v>
      </c>
      <c r="D1572" s="15">
        <v>32</v>
      </c>
      <c r="E1572" s="15" t="str">
        <v>Uzbekistan</v>
      </c>
      <c r="F1572" s="15" t="str">
        <v>CM</v>
      </c>
      <c r="G1572" s="15" t="str">
        <v>Neftchi Fergana</v>
      </c>
      <c r="H1572" s="15">
        <v>8</v>
      </c>
      <c r="I1572" s="15" t="str">
        <f t="shared" si="125"/>
        <v>1135|Jamshid Iskanderov|32|Uzbekistan|CM|Neftchi Fergana|8</v>
      </c>
      <c r="J1572" s="15" t="str">
        <f>IF(COUNTIF(I$438:I1572,I1572)&gt;1,"DOUBLON","OK")</f>
        <v>OK</v>
      </c>
      <c r="S1572" s="12" t="str">
        <v>Ecuador</v>
      </c>
      <c r="T1572" s="12" t="str">
        <f t="shared" si="126"/>
        <v>OK</v>
      </c>
      <c r="U1572" s="12" t="str">
        <f t="shared" si="127"/>
        <v>-</v>
      </c>
      <c r="V1572" s="12" t="str" cm="1">
        <f t="array" ref="V1572">_xlfn.IFS(
ISNUMBER(SEARCH("USA",S1572)),"United States",
ISNUMBER(SEARCH("Republic of Ireland",S1572)),"Ireland",
ISNUMBER(SEARCH("Republic of Korea",S1572)),"South Korea",
ISNUMBER(SEARCH("Cape Verde",S1572)),"Cabo Verde",
ISNUMBER(SEARCH("Czechia",S1572)),"Czech Republic",
ISNUMBER(SEARCH("Türkiye",S1572)),"Turkey",
ISNUMBER(SEARCH("Ivory Coast",S1572)),"Côte d'Ivoire",
ISNUMBER(SEARCH("Korea Republic",S1572)),"South Korea",
ISNUMBER(SEARCH("Germany FR",S1572)),"FR Germany",
ISNUMBER(SEARCH("West Germany",S1572)),"FR Germany",
ISNUMBER(SEARCH("Germany DR",S1572)),"DR Germany",
ISNUMBER(SEARCH("Korea DPR",S1572)),"North Korea",
ISNUMBER(SEARCH("China PR",S1572)),"China",
ISNUMBER(SEARCH("IR Iran",S1572)),"Iran",
ISNUMBER(SEARCH("Congo DR",S1572)),"Democratic Republic of the Congo",
ISNUMBER(SEARCH("DR Congo",S1572)),"Democratic Republic of the Congo",
ISNUMBER(SEARCH("German DR",S1572)),"DR Germany",
ISNUMBER(SEARCH("rn""&gt;United Arab Emirates",S1572)),"United Arab Emirates",
ISNUMBER(SEARCH("rn""&gt;Republic of Ireland",S1572)),"Ireland",
ISNUMBER(SEARCH("rn""&gt;Bosnia and Herzegovina",S1572)),"Bosnia and Herzegovina",
ISNUMBER(SEARCH("rn""&gt;Trinidad and Tobago",S1572)),"Trinidad and Tobago",
ISNUMBER(SEARCH("rn""&gt;Serbia and Montenegro",S1572)),"Serbia and Montenegro",
ISNUMBER(SEARCH(_xlfn.UNICHAR(65533),S1572)),"Côte d'Ivoire",
TRUE,""
)</f>
        <v/>
      </c>
      <c r="W1572" s="12" t="str">
        <f t="shared" si="128"/>
        <v>Ecuador</v>
      </c>
    </row>
    <row r="1573" spans="2:23">
      <c r="B1573" s="75">
        <v>1136</v>
      </c>
      <c r="C1573" s="15" t="str">
        <v>Azizjon Ganiev</v>
      </c>
      <c r="D1573" s="15">
        <v>28</v>
      </c>
      <c r="E1573" s="15" t="str">
        <v>Uzbekistan</v>
      </c>
      <c r="F1573" s="15" t="str">
        <v>CM</v>
      </c>
      <c r="G1573" s="15" t="str">
        <v>Al Bataeh</v>
      </c>
      <c r="H1573" s="15">
        <v>19</v>
      </c>
      <c r="I1573" s="15" t="str">
        <f t="shared" si="125"/>
        <v>1136|Azizjon Ganiev|28|Uzbekistan|CM|Al Bataeh|19</v>
      </c>
      <c r="J1573" s="15" t="str">
        <f>IF(COUNTIF(I$438:I1573,I1573)&gt;1,"DOUBLON","OK")</f>
        <v>OK</v>
      </c>
      <c r="S1573" s="12" t="str">
        <v>Ecuador</v>
      </c>
      <c r="T1573" s="12" t="str">
        <f t="shared" si="126"/>
        <v>OK</v>
      </c>
      <c r="U1573" s="12" t="str">
        <f t="shared" si="127"/>
        <v>-</v>
      </c>
      <c r="V1573" s="12" t="str" cm="1">
        <f t="array" ref="V1573">_xlfn.IFS(
ISNUMBER(SEARCH("USA",S1573)),"United States",
ISNUMBER(SEARCH("Republic of Ireland",S1573)),"Ireland",
ISNUMBER(SEARCH("Republic of Korea",S1573)),"South Korea",
ISNUMBER(SEARCH("Cape Verde",S1573)),"Cabo Verde",
ISNUMBER(SEARCH("Czechia",S1573)),"Czech Republic",
ISNUMBER(SEARCH("Türkiye",S1573)),"Turkey",
ISNUMBER(SEARCH("Ivory Coast",S1573)),"Côte d'Ivoire",
ISNUMBER(SEARCH("Korea Republic",S1573)),"South Korea",
ISNUMBER(SEARCH("Germany FR",S1573)),"FR Germany",
ISNUMBER(SEARCH("West Germany",S1573)),"FR Germany",
ISNUMBER(SEARCH("Germany DR",S1573)),"DR Germany",
ISNUMBER(SEARCH("Korea DPR",S1573)),"North Korea",
ISNUMBER(SEARCH("China PR",S1573)),"China",
ISNUMBER(SEARCH("IR Iran",S1573)),"Iran",
ISNUMBER(SEARCH("Congo DR",S1573)),"Democratic Republic of the Congo",
ISNUMBER(SEARCH("DR Congo",S1573)),"Democratic Republic of the Congo",
ISNUMBER(SEARCH("German DR",S1573)),"DR Germany",
ISNUMBER(SEARCH("rn""&gt;United Arab Emirates",S1573)),"United Arab Emirates",
ISNUMBER(SEARCH("rn""&gt;Republic of Ireland",S1573)),"Ireland",
ISNUMBER(SEARCH("rn""&gt;Bosnia and Herzegovina",S1573)),"Bosnia and Herzegovina",
ISNUMBER(SEARCH("rn""&gt;Trinidad and Tobago",S1573)),"Trinidad and Tobago",
ISNUMBER(SEARCH("rn""&gt;Serbia and Montenegro",S1573)),"Serbia and Montenegro",
ISNUMBER(SEARCH(_xlfn.UNICHAR(65533),S1573)),"Côte d'Ivoire",
TRUE,""
)</f>
        <v/>
      </c>
      <c r="W1573" s="12" t="str">
        <f t="shared" si="128"/>
        <v>Ecuador</v>
      </c>
    </row>
    <row r="1574" spans="2:23">
      <c r="B1574" s="75">
        <v>1137</v>
      </c>
      <c r="C1574" s="15" t="str">
        <v>Sherzod Esanov</v>
      </c>
      <c r="D1574" s="15">
        <v>23</v>
      </c>
      <c r="E1574" s="15" t="str">
        <v>Uzbekistan</v>
      </c>
      <c r="F1574" s="15" t="str">
        <v>CM</v>
      </c>
      <c r="G1574" s="15" t="str">
        <v>Bukhara</v>
      </c>
      <c r="H1574" s="15">
        <v>23</v>
      </c>
      <c r="I1574" s="15" t="str">
        <f t="shared" si="125"/>
        <v>1137|Sherzod Esanov|23|Uzbekistan|CM|Bukhara|23</v>
      </c>
      <c r="J1574" s="15" t="str">
        <f>IF(COUNTIF(I$438:I1574,I1574)&gt;1,"DOUBLON","OK")</f>
        <v>OK</v>
      </c>
      <c r="S1574" s="12" t="str">
        <v>Ecuador</v>
      </c>
      <c r="T1574" s="12" t="str">
        <f t="shared" si="126"/>
        <v>OK</v>
      </c>
      <c r="U1574" s="12" t="str">
        <f t="shared" si="127"/>
        <v>-</v>
      </c>
      <c r="V1574" s="12" t="str" cm="1">
        <f t="array" ref="V1574">_xlfn.IFS(
ISNUMBER(SEARCH("USA",S1574)),"United States",
ISNUMBER(SEARCH("Republic of Ireland",S1574)),"Ireland",
ISNUMBER(SEARCH("Republic of Korea",S1574)),"South Korea",
ISNUMBER(SEARCH("Cape Verde",S1574)),"Cabo Verde",
ISNUMBER(SEARCH("Czechia",S1574)),"Czech Republic",
ISNUMBER(SEARCH("Türkiye",S1574)),"Turkey",
ISNUMBER(SEARCH("Ivory Coast",S1574)),"Côte d'Ivoire",
ISNUMBER(SEARCH("Korea Republic",S1574)),"South Korea",
ISNUMBER(SEARCH("Germany FR",S1574)),"FR Germany",
ISNUMBER(SEARCH("West Germany",S1574)),"FR Germany",
ISNUMBER(SEARCH("Germany DR",S1574)),"DR Germany",
ISNUMBER(SEARCH("Korea DPR",S1574)),"North Korea",
ISNUMBER(SEARCH("China PR",S1574)),"China",
ISNUMBER(SEARCH("IR Iran",S1574)),"Iran",
ISNUMBER(SEARCH("Congo DR",S1574)),"Democratic Republic of the Congo",
ISNUMBER(SEARCH("DR Congo",S1574)),"Democratic Republic of the Congo",
ISNUMBER(SEARCH("German DR",S1574)),"DR Germany",
ISNUMBER(SEARCH("rn""&gt;United Arab Emirates",S1574)),"United Arab Emirates",
ISNUMBER(SEARCH("rn""&gt;Republic of Ireland",S1574)),"Ireland",
ISNUMBER(SEARCH("rn""&gt;Bosnia and Herzegovina",S1574)),"Bosnia and Herzegovina",
ISNUMBER(SEARCH("rn""&gt;Trinidad and Tobago",S1574)),"Trinidad and Tobago",
ISNUMBER(SEARCH("rn""&gt;Serbia and Montenegro",S1574)),"Serbia and Montenegro",
ISNUMBER(SEARCH(_xlfn.UNICHAR(65533),S1574)),"Côte d'Ivoire",
TRUE,""
)</f>
        <v/>
      </c>
      <c r="W1574" s="12" t="str">
        <f t="shared" si="128"/>
        <v>Ecuador</v>
      </c>
    </row>
    <row r="1575" spans="2:23">
      <c r="B1575" s="75">
        <v>1138</v>
      </c>
      <c r="C1575" s="15" t="str">
        <v>Ruslanbek Jiyanov</v>
      </c>
      <c r="D1575" s="15">
        <v>25</v>
      </c>
      <c r="E1575" s="15" t="str">
        <v>Uzbekistan</v>
      </c>
      <c r="F1575" s="15" t="str">
        <v>CAM</v>
      </c>
      <c r="G1575" s="15" t="str">
        <v>Navbahor Namangan</v>
      </c>
      <c r="H1575" s="15">
        <v>10</v>
      </c>
      <c r="I1575" s="15" t="str">
        <f t="shared" si="125"/>
        <v>1138|Ruslanbek Jiyanov|25|Uzbekistan|CAM|Navbahor Namangan|10</v>
      </c>
      <c r="J1575" s="15" t="str">
        <f>IF(COUNTIF(I$438:I1575,I1575)&gt;1,"DOUBLON","OK")</f>
        <v>OK</v>
      </c>
      <c r="S1575" s="12" t="str">
        <v>Ecuador</v>
      </c>
      <c r="T1575" s="12" t="str">
        <f t="shared" si="126"/>
        <v>OK</v>
      </c>
      <c r="U1575" s="12" t="str">
        <f t="shared" si="127"/>
        <v>-</v>
      </c>
      <c r="V1575" s="12" t="str" cm="1">
        <f t="array" ref="V1575">_xlfn.IFS(
ISNUMBER(SEARCH("USA",S1575)),"United States",
ISNUMBER(SEARCH("Republic of Ireland",S1575)),"Ireland",
ISNUMBER(SEARCH("Republic of Korea",S1575)),"South Korea",
ISNUMBER(SEARCH("Cape Verde",S1575)),"Cabo Verde",
ISNUMBER(SEARCH("Czechia",S1575)),"Czech Republic",
ISNUMBER(SEARCH("Türkiye",S1575)),"Turkey",
ISNUMBER(SEARCH("Ivory Coast",S1575)),"Côte d'Ivoire",
ISNUMBER(SEARCH("Korea Republic",S1575)),"South Korea",
ISNUMBER(SEARCH("Germany FR",S1575)),"FR Germany",
ISNUMBER(SEARCH("West Germany",S1575)),"FR Germany",
ISNUMBER(SEARCH("Germany DR",S1575)),"DR Germany",
ISNUMBER(SEARCH("Korea DPR",S1575)),"North Korea",
ISNUMBER(SEARCH("China PR",S1575)),"China",
ISNUMBER(SEARCH("IR Iran",S1575)),"Iran",
ISNUMBER(SEARCH("Congo DR",S1575)),"Democratic Republic of the Congo",
ISNUMBER(SEARCH("DR Congo",S1575)),"Democratic Republic of the Congo",
ISNUMBER(SEARCH("German DR",S1575)),"DR Germany",
ISNUMBER(SEARCH("rn""&gt;United Arab Emirates",S1575)),"United Arab Emirates",
ISNUMBER(SEARCH("rn""&gt;Republic of Ireland",S1575)),"Ireland",
ISNUMBER(SEARCH("rn""&gt;Bosnia and Herzegovina",S1575)),"Bosnia and Herzegovina",
ISNUMBER(SEARCH("rn""&gt;Trinidad and Tobago",S1575)),"Trinidad and Tobago",
ISNUMBER(SEARCH("rn""&gt;Serbia and Montenegro",S1575)),"Serbia and Montenegro",
ISNUMBER(SEARCH(_xlfn.UNICHAR(65533),S1575)),"Côte d'Ivoire",
TRUE,""
)</f>
        <v/>
      </c>
      <c r="W1575" s="12" t="str">
        <f t="shared" si="128"/>
        <v>Ecuador</v>
      </c>
    </row>
    <row r="1576" spans="2:23">
      <c r="B1576" s="75">
        <v>1139</v>
      </c>
      <c r="C1576" s="15" t="str">
        <v>Dostonbek Khamdamov</v>
      </c>
      <c r="D1576" s="15">
        <v>29</v>
      </c>
      <c r="E1576" s="15" t="str">
        <v>Uzbekistan</v>
      </c>
      <c r="F1576" s="15" t="str">
        <v>CAM</v>
      </c>
      <c r="G1576" s="15" t="str">
        <v>Pakhtakor</v>
      </c>
      <c r="H1576" s="15">
        <v>17</v>
      </c>
      <c r="I1576" s="15" t="str">
        <f t="shared" si="125"/>
        <v>1139|Dostonbek Khamdamov|29|Uzbekistan|CAM|Pakhtakor|17</v>
      </c>
      <c r="J1576" s="15" t="str">
        <f>IF(COUNTIF(I$438:I1576,I1576)&gt;1,"DOUBLON","OK")</f>
        <v>OK</v>
      </c>
      <c r="S1576" s="12" t="str">
        <v>Ecuador</v>
      </c>
      <c r="T1576" s="12" t="str">
        <f t="shared" si="126"/>
        <v>OK</v>
      </c>
      <c r="U1576" s="12" t="str">
        <f t="shared" si="127"/>
        <v>-</v>
      </c>
      <c r="V1576" s="12" t="str" cm="1">
        <f t="array" ref="V1576">_xlfn.IFS(
ISNUMBER(SEARCH("USA",S1576)),"United States",
ISNUMBER(SEARCH("Republic of Ireland",S1576)),"Ireland",
ISNUMBER(SEARCH("Republic of Korea",S1576)),"South Korea",
ISNUMBER(SEARCH("Cape Verde",S1576)),"Cabo Verde",
ISNUMBER(SEARCH("Czechia",S1576)),"Czech Republic",
ISNUMBER(SEARCH("Türkiye",S1576)),"Turkey",
ISNUMBER(SEARCH("Ivory Coast",S1576)),"Côte d'Ivoire",
ISNUMBER(SEARCH("Korea Republic",S1576)),"South Korea",
ISNUMBER(SEARCH("Germany FR",S1576)),"FR Germany",
ISNUMBER(SEARCH("West Germany",S1576)),"FR Germany",
ISNUMBER(SEARCH("Germany DR",S1576)),"DR Germany",
ISNUMBER(SEARCH("Korea DPR",S1576)),"North Korea",
ISNUMBER(SEARCH("China PR",S1576)),"China",
ISNUMBER(SEARCH("IR Iran",S1576)),"Iran",
ISNUMBER(SEARCH("Congo DR",S1576)),"Democratic Republic of the Congo",
ISNUMBER(SEARCH("DR Congo",S1576)),"Democratic Republic of the Congo",
ISNUMBER(SEARCH("German DR",S1576)),"DR Germany",
ISNUMBER(SEARCH("rn""&gt;United Arab Emirates",S1576)),"United Arab Emirates",
ISNUMBER(SEARCH("rn""&gt;Republic of Ireland",S1576)),"Ireland",
ISNUMBER(SEARCH("rn""&gt;Bosnia and Herzegovina",S1576)),"Bosnia and Herzegovina",
ISNUMBER(SEARCH("rn""&gt;Trinidad and Tobago",S1576)),"Trinidad and Tobago",
ISNUMBER(SEARCH("rn""&gt;Serbia and Montenegro",S1576)),"Serbia and Montenegro",
ISNUMBER(SEARCH(_xlfn.UNICHAR(65533),S1576)),"Côte d'Ivoire",
TRUE,""
)</f>
        <v/>
      </c>
      <c r="W1576" s="12" t="str">
        <f t="shared" si="128"/>
        <v>Ecuador</v>
      </c>
    </row>
    <row r="1577" spans="2:23">
      <c r="B1577" s="75">
        <v>1140</v>
      </c>
      <c r="C1577" s="15" t="str">
        <v>Abbosbek Fayzullaev</v>
      </c>
      <c r="D1577" s="15">
        <v>22</v>
      </c>
      <c r="E1577" s="15" t="str">
        <v>Uzbekistan</v>
      </c>
      <c r="F1577" s="15" t="str">
        <v>CAM</v>
      </c>
      <c r="G1577" s="15" t="str">
        <v>İstanbul Başakşehir</v>
      </c>
      <c r="H1577" s="15">
        <v>22</v>
      </c>
      <c r="I1577" s="15" t="str">
        <f t="shared" si="125"/>
        <v>1140|Abbosbek Fayzullaev|22|Uzbekistan|CAM|İstanbul Başakşehir|22</v>
      </c>
      <c r="J1577" s="15" t="str">
        <f>IF(COUNTIF(I$438:I1577,I1577)&gt;1,"DOUBLON","OK")</f>
        <v>OK</v>
      </c>
      <c r="S1577" s="12" t="str">
        <v>Ecuador</v>
      </c>
      <c r="T1577" s="12" t="str">
        <f t="shared" si="126"/>
        <v>OK</v>
      </c>
      <c r="U1577" s="12" t="str">
        <f t="shared" si="127"/>
        <v>-</v>
      </c>
      <c r="V1577" s="12" t="str" cm="1">
        <f t="array" ref="V1577">_xlfn.IFS(
ISNUMBER(SEARCH("USA",S1577)),"United States",
ISNUMBER(SEARCH("Republic of Ireland",S1577)),"Ireland",
ISNUMBER(SEARCH("Republic of Korea",S1577)),"South Korea",
ISNUMBER(SEARCH("Cape Verde",S1577)),"Cabo Verde",
ISNUMBER(SEARCH("Czechia",S1577)),"Czech Republic",
ISNUMBER(SEARCH("Türkiye",S1577)),"Turkey",
ISNUMBER(SEARCH("Ivory Coast",S1577)),"Côte d'Ivoire",
ISNUMBER(SEARCH("Korea Republic",S1577)),"South Korea",
ISNUMBER(SEARCH("Germany FR",S1577)),"FR Germany",
ISNUMBER(SEARCH("West Germany",S1577)),"FR Germany",
ISNUMBER(SEARCH("Germany DR",S1577)),"DR Germany",
ISNUMBER(SEARCH("Korea DPR",S1577)),"North Korea",
ISNUMBER(SEARCH("China PR",S1577)),"China",
ISNUMBER(SEARCH("IR Iran",S1577)),"Iran",
ISNUMBER(SEARCH("Congo DR",S1577)),"Democratic Republic of the Congo",
ISNUMBER(SEARCH("DR Congo",S1577)),"Democratic Republic of the Congo",
ISNUMBER(SEARCH("German DR",S1577)),"DR Germany",
ISNUMBER(SEARCH("rn""&gt;United Arab Emirates",S1577)),"United Arab Emirates",
ISNUMBER(SEARCH("rn""&gt;Republic of Ireland",S1577)),"Ireland",
ISNUMBER(SEARCH("rn""&gt;Bosnia and Herzegovina",S1577)),"Bosnia and Herzegovina",
ISNUMBER(SEARCH("rn""&gt;Trinidad and Tobago",S1577)),"Trinidad and Tobago",
ISNUMBER(SEARCH("rn""&gt;Serbia and Montenegro",S1577)),"Serbia and Montenegro",
ISNUMBER(SEARCH(_xlfn.UNICHAR(65533),S1577)),"Côte d'Ivoire",
TRUE,""
)</f>
        <v/>
      </c>
      <c r="W1577" s="12" t="str">
        <f t="shared" si="128"/>
        <v>Ecuador</v>
      </c>
    </row>
    <row r="1578" spans="2:23">
      <c r="B1578" s="75">
        <v>1141</v>
      </c>
      <c r="C1578" s="15" t="str">
        <v>Oston Urunov</v>
      </c>
      <c r="D1578" s="15">
        <v>25</v>
      </c>
      <c r="E1578" s="15" t="str">
        <v>Uzbekistan</v>
      </c>
      <c r="F1578" s="15" t="str">
        <v>LW</v>
      </c>
      <c r="G1578" s="15" t="str">
        <v>Persepolis</v>
      </c>
      <c r="H1578" s="15">
        <v>11</v>
      </c>
      <c r="I1578" s="15" t="str">
        <f t="shared" si="125"/>
        <v>1141|Oston Urunov|25|Uzbekistan|LW|Persepolis|11</v>
      </c>
      <c r="J1578" s="15" t="str">
        <f>IF(COUNTIF(I$438:I1578,I1578)&gt;1,"DOUBLON","OK")</f>
        <v>OK</v>
      </c>
      <c r="S1578" s="12" t="str">
        <v>Ecuador</v>
      </c>
      <c r="T1578" s="12" t="str">
        <f t="shared" si="126"/>
        <v>OK</v>
      </c>
      <c r="U1578" s="12" t="str">
        <f t="shared" si="127"/>
        <v>-</v>
      </c>
      <c r="V1578" s="12" t="str" cm="1">
        <f t="array" ref="V1578">_xlfn.IFS(
ISNUMBER(SEARCH("USA",S1578)),"United States",
ISNUMBER(SEARCH("Republic of Ireland",S1578)),"Ireland",
ISNUMBER(SEARCH("Republic of Korea",S1578)),"South Korea",
ISNUMBER(SEARCH("Cape Verde",S1578)),"Cabo Verde",
ISNUMBER(SEARCH("Czechia",S1578)),"Czech Republic",
ISNUMBER(SEARCH("Türkiye",S1578)),"Turkey",
ISNUMBER(SEARCH("Ivory Coast",S1578)),"Côte d'Ivoire",
ISNUMBER(SEARCH("Korea Republic",S1578)),"South Korea",
ISNUMBER(SEARCH("Germany FR",S1578)),"FR Germany",
ISNUMBER(SEARCH("West Germany",S1578)),"FR Germany",
ISNUMBER(SEARCH("Germany DR",S1578)),"DR Germany",
ISNUMBER(SEARCH("Korea DPR",S1578)),"North Korea",
ISNUMBER(SEARCH("China PR",S1578)),"China",
ISNUMBER(SEARCH("IR Iran",S1578)),"Iran",
ISNUMBER(SEARCH("Congo DR",S1578)),"Democratic Republic of the Congo",
ISNUMBER(SEARCH("DR Congo",S1578)),"Democratic Republic of the Congo",
ISNUMBER(SEARCH("German DR",S1578)),"DR Germany",
ISNUMBER(SEARCH("rn""&gt;United Arab Emirates",S1578)),"United Arab Emirates",
ISNUMBER(SEARCH("rn""&gt;Republic of Ireland",S1578)),"Ireland",
ISNUMBER(SEARCH("rn""&gt;Bosnia and Herzegovina",S1578)),"Bosnia and Herzegovina",
ISNUMBER(SEARCH("rn""&gt;Trinidad and Tobago",S1578)),"Trinidad and Tobago",
ISNUMBER(SEARCH("rn""&gt;Serbia and Montenegro",S1578)),"Serbia and Montenegro",
ISNUMBER(SEARCH(_xlfn.UNICHAR(65533),S1578)),"Côte d'Ivoire",
TRUE,""
)</f>
        <v/>
      </c>
      <c r="W1578" s="12" t="str">
        <f t="shared" si="128"/>
        <v>Ecuador</v>
      </c>
    </row>
    <row r="1579" spans="2:23">
      <c r="B1579" s="75">
        <v>1142</v>
      </c>
      <c r="C1579" s="15" t="str">
        <v>Azizbek Amonov</v>
      </c>
      <c r="D1579" s="15">
        <v>28</v>
      </c>
      <c r="E1579" s="15" t="str">
        <v>Uzbekistan</v>
      </c>
      <c r="F1579" s="15" t="str">
        <v>RW</v>
      </c>
      <c r="G1579" s="15" t="str">
        <v>Dinamo Samarqand</v>
      </c>
      <c r="H1579" s="15">
        <v>20</v>
      </c>
      <c r="I1579" s="15" t="str">
        <f t="shared" si="125"/>
        <v>1142|Azizbek Amonov|28|Uzbekistan|RW|Dinamo Samarqand|20</v>
      </c>
      <c r="J1579" s="15" t="str">
        <f>IF(COUNTIF(I$438:I1579,I1579)&gt;1,"DOUBLON","OK")</f>
        <v>OK</v>
      </c>
      <c r="S1579" s="12" t="str">
        <v>Ecuador</v>
      </c>
      <c r="T1579" s="12" t="str">
        <f t="shared" si="126"/>
        <v>OK</v>
      </c>
      <c r="U1579" s="12" t="str">
        <f t="shared" si="127"/>
        <v>-</v>
      </c>
      <c r="V1579" s="12" t="str" cm="1">
        <f t="array" ref="V1579">_xlfn.IFS(
ISNUMBER(SEARCH("USA",S1579)),"United States",
ISNUMBER(SEARCH("Republic of Ireland",S1579)),"Ireland",
ISNUMBER(SEARCH("Republic of Korea",S1579)),"South Korea",
ISNUMBER(SEARCH("Cape Verde",S1579)),"Cabo Verde",
ISNUMBER(SEARCH("Czechia",S1579)),"Czech Republic",
ISNUMBER(SEARCH("Türkiye",S1579)),"Turkey",
ISNUMBER(SEARCH("Ivory Coast",S1579)),"Côte d'Ivoire",
ISNUMBER(SEARCH("Korea Republic",S1579)),"South Korea",
ISNUMBER(SEARCH("Germany FR",S1579)),"FR Germany",
ISNUMBER(SEARCH("West Germany",S1579)),"FR Germany",
ISNUMBER(SEARCH("Germany DR",S1579)),"DR Germany",
ISNUMBER(SEARCH("Korea DPR",S1579)),"North Korea",
ISNUMBER(SEARCH("China PR",S1579)),"China",
ISNUMBER(SEARCH("IR Iran",S1579)),"Iran",
ISNUMBER(SEARCH("Congo DR",S1579)),"Democratic Republic of the Congo",
ISNUMBER(SEARCH("DR Congo",S1579)),"Democratic Republic of the Congo",
ISNUMBER(SEARCH("German DR",S1579)),"DR Germany",
ISNUMBER(SEARCH("rn""&gt;United Arab Emirates",S1579)),"United Arab Emirates",
ISNUMBER(SEARCH("rn""&gt;Republic of Ireland",S1579)),"Ireland",
ISNUMBER(SEARCH("rn""&gt;Bosnia and Herzegovina",S1579)),"Bosnia and Herzegovina",
ISNUMBER(SEARCH("rn""&gt;Trinidad and Tobago",S1579)),"Trinidad and Tobago",
ISNUMBER(SEARCH("rn""&gt;Serbia and Montenegro",S1579)),"Serbia and Montenegro",
ISNUMBER(SEARCH(_xlfn.UNICHAR(65533),S1579)),"Côte d'Ivoire",
TRUE,""
)</f>
        <v/>
      </c>
      <c r="W1579" s="12" t="str">
        <f t="shared" si="128"/>
        <v>Ecuador</v>
      </c>
    </row>
    <row r="1580" spans="2:23">
      <c r="B1580" s="75">
        <v>1143</v>
      </c>
      <c r="C1580" s="15" t="str">
        <v>Eldor Shomurodov</v>
      </c>
      <c r="D1580" s="15">
        <v>30</v>
      </c>
      <c r="E1580" s="15" t="str">
        <v>Uzbekistan</v>
      </c>
      <c r="F1580" s="15" t="str">
        <v>ST</v>
      </c>
      <c r="G1580" s="15" t="str">
        <v>İstanbul Başakşehir</v>
      </c>
      <c r="H1580" s="15">
        <v>14</v>
      </c>
      <c r="I1580" s="15" t="str">
        <f t="shared" si="125"/>
        <v>1143|Eldor Shomurodov|30|Uzbekistan|ST|İstanbul Başakşehir|14</v>
      </c>
      <c r="J1580" s="15" t="str">
        <f>IF(COUNTIF(I$438:I1580,I1580)&gt;1,"DOUBLON","OK")</f>
        <v>OK</v>
      </c>
      <c r="S1580" s="12" t="str">
        <v>Ecuador</v>
      </c>
      <c r="T1580" s="12" t="str">
        <f t="shared" si="126"/>
        <v>OK</v>
      </c>
      <c r="U1580" s="12" t="str">
        <f t="shared" si="127"/>
        <v>-</v>
      </c>
      <c r="V1580" s="12" t="str" cm="1">
        <f t="array" ref="V1580">_xlfn.IFS(
ISNUMBER(SEARCH("USA",S1580)),"United States",
ISNUMBER(SEARCH("Republic of Ireland",S1580)),"Ireland",
ISNUMBER(SEARCH("Republic of Korea",S1580)),"South Korea",
ISNUMBER(SEARCH("Cape Verde",S1580)),"Cabo Verde",
ISNUMBER(SEARCH("Czechia",S1580)),"Czech Republic",
ISNUMBER(SEARCH("Türkiye",S1580)),"Turkey",
ISNUMBER(SEARCH("Ivory Coast",S1580)),"Côte d'Ivoire",
ISNUMBER(SEARCH("Korea Republic",S1580)),"South Korea",
ISNUMBER(SEARCH("Germany FR",S1580)),"FR Germany",
ISNUMBER(SEARCH("West Germany",S1580)),"FR Germany",
ISNUMBER(SEARCH("Germany DR",S1580)),"DR Germany",
ISNUMBER(SEARCH("Korea DPR",S1580)),"North Korea",
ISNUMBER(SEARCH("China PR",S1580)),"China",
ISNUMBER(SEARCH("IR Iran",S1580)),"Iran",
ISNUMBER(SEARCH("Congo DR",S1580)),"Democratic Republic of the Congo",
ISNUMBER(SEARCH("DR Congo",S1580)),"Democratic Republic of the Congo",
ISNUMBER(SEARCH("German DR",S1580)),"DR Germany",
ISNUMBER(SEARCH("rn""&gt;United Arab Emirates",S1580)),"United Arab Emirates",
ISNUMBER(SEARCH("rn""&gt;Republic of Ireland",S1580)),"Ireland",
ISNUMBER(SEARCH("rn""&gt;Bosnia and Herzegovina",S1580)),"Bosnia and Herzegovina",
ISNUMBER(SEARCH("rn""&gt;Trinidad and Tobago",S1580)),"Trinidad and Tobago",
ISNUMBER(SEARCH("rn""&gt;Serbia and Montenegro",S1580)),"Serbia and Montenegro",
ISNUMBER(SEARCH(_xlfn.UNICHAR(65533),S1580)),"Côte d'Ivoire",
TRUE,""
)</f>
        <v/>
      </c>
      <c r="W1580" s="12" t="str">
        <f t="shared" si="128"/>
        <v>Ecuador</v>
      </c>
    </row>
    <row r="1581" spans="2:23">
      <c r="B1581" s="75">
        <v>1144</v>
      </c>
      <c r="C1581" s="15" t="str">
        <v>Igor Sergeev</v>
      </c>
      <c r="D1581" s="15">
        <v>33</v>
      </c>
      <c r="E1581" s="15" t="str">
        <v>Uzbekistan</v>
      </c>
      <c r="F1581" s="15" t="str">
        <v>ST</v>
      </c>
      <c r="G1581" s="15" t="str">
        <v>Persepolis</v>
      </c>
      <c r="H1581" s="15">
        <v>21</v>
      </c>
      <c r="I1581" s="15" t="str">
        <f t="shared" si="125"/>
        <v>1144|Igor Sergeev|33|Uzbekistan|ST|Persepolis|21</v>
      </c>
      <c r="J1581" s="15" t="str">
        <f>IF(COUNTIF(I$438:I1581,I1581)&gt;1,"DOUBLON","OK")</f>
        <v>OK</v>
      </c>
      <c r="S1581" s="12" t="str">
        <v>Ecuador</v>
      </c>
      <c r="T1581" s="12" t="str">
        <f t="shared" si="126"/>
        <v>OK</v>
      </c>
      <c r="U1581" s="12" t="str">
        <f t="shared" si="127"/>
        <v>-</v>
      </c>
      <c r="V1581" s="12" t="str" cm="1">
        <f t="array" ref="V1581">_xlfn.IFS(
ISNUMBER(SEARCH("USA",S1581)),"United States",
ISNUMBER(SEARCH("Republic of Ireland",S1581)),"Ireland",
ISNUMBER(SEARCH("Republic of Korea",S1581)),"South Korea",
ISNUMBER(SEARCH("Cape Verde",S1581)),"Cabo Verde",
ISNUMBER(SEARCH("Czechia",S1581)),"Czech Republic",
ISNUMBER(SEARCH("Türkiye",S1581)),"Turkey",
ISNUMBER(SEARCH("Ivory Coast",S1581)),"Côte d'Ivoire",
ISNUMBER(SEARCH("Korea Republic",S1581)),"South Korea",
ISNUMBER(SEARCH("Germany FR",S1581)),"FR Germany",
ISNUMBER(SEARCH("West Germany",S1581)),"FR Germany",
ISNUMBER(SEARCH("Germany DR",S1581)),"DR Germany",
ISNUMBER(SEARCH("Korea DPR",S1581)),"North Korea",
ISNUMBER(SEARCH("China PR",S1581)),"China",
ISNUMBER(SEARCH("IR Iran",S1581)),"Iran",
ISNUMBER(SEARCH("Congo DR",S1581)),"Democratic Republic of the Congo",
ISNUMBER(SEARCH("DR Congo",S1581)),"Democratic Republic of the Congo",
ISNUMBER(SEARCH("German DR",S1581)),"DR Germany",
ISNUMBER(SEARCH("rn""&gt;United Arab Emirates",S1581)),"United Arab Emirates",
ISNUMBER(SEARCH("rn""&gt;Republic of Ireland",S1581)),"Ireland",
ISNUMBER(SEARCH("rn""&gt;Bosnia and Herzegovina",S1581)),"Bosnia and Herzegovina",
ISNUMBER(SEARCH("rn""&gt;Trinidad and Tobago",S1581)),"Trinidad and Tobago",
ISNUMBER(SEARCH("rn""&gt;Serbia and Montenegro",S1581)),"Serbia and Montenegro",
ISNUMBER(SEARCH(_xlfn.UNICHAR(65533),S1581)),"Côte d'Ivoire",
TRUE,""
)</f>
        <v/>
      </c>
      <c r="W1581" s="12" t="str">
        <f t="shared" si="128"/>
        <v>Ecuador</v>
      </c>
    </row>
    <row r="1582" spans="2:23">
      <c r="B1582" s="75">
        <v>1145</v>
      </c>
      <c r="C1582" s="15" t="str">
        <v>Dominik Livaković</v>
      </c>
      <c r="D1582" s="15">
        <v>31</v>
      </c>
      <c r="E1582" s="15" t="str">
        <v>Croatia</v>
      </c>
      <c r="F1582" s="15" t="str">
        <v>GK</v>
      </c>
      <c r="G1582" s="15" t="str">
        <v>Dinamo Zagreb</v>
      </c>
      <c r="H1582" s="15">
        <v>1</v>
      </c>
      <c r="I1582" s="15" t="str">
        <f t="shared" si="125"/>
        <v>1145|Dominik Livaković|31|Croatia|GK|Dinamo Zagreb|1</v>
      </c>
      <c r="J1582" s="15" t="str">
        <f>IF(COUNTIF(I$438:I1582,I1582)&gt;1,"DOUBLON","OK")</f>
        <v>OK</v>
      </c>
      <c r="S1582" s="12" t="str">
        <v>Ecuador</v>
      </c>
      <c r="T1582" s="12" t="str">
        <f t="shared" si="126"/>
        <v>OK</v>
      </c>
      <c r="U1582" s="12" t="str">
        <f t="shared" si="127"/>
        <v>-</v>
      </c>
      <c r="V1582" s="12" t="str" cm="1">
        <f t="array" ref="V1582">_xlfn.IFS(
ISNUMBER(SEARCH("USA",S1582)),"United States",
ISNUMBER(SEARCH("Republic of Ireland",S1582)),"Ireland",
ISNUMBER(SEARCH("Republic of Korea",S1582)),"South Korea",
ISNUMBER(SEARCH("Cape Verde",S1582)),"Cabo Verde",
ISNUMBER(SEARCH("Czechia",S1582)),"Czech Republic",
ISNUMBER(SEARCH("Türkiye",S1582)),"Turkey",
ISNUMBER(SEARCH("Ivory Coast",S1582)),"Côte d'Ivoire",
ISNUMBER(SEARCH("Korea Republic",S1582)),"South Korea",
ISNUMBER(SEARCH("Germany FR",S1582)),"FR Germany",
ISNUMBER(SEARCH("West Germany",S1582)),"FR Germany",
ISNUMBER(SEARCH("Germany DR",S1582)),"DR Germany",
ISNUMBER(SEARCH("Korea DPR",S1582)),"North Korea",
ISNUMBER(SEARCH("China PR",S1582)),"China",
ISNUMBER(SEARCH("IR Iran",S1582)),"Iran",
ISNUMBER(SEARCH("Congo DR",S1582)),"Democratic Republic of the Congo",
ISNUMBER(SEARCH("DR Congo",S1582)),"Democratic Republic of the Congo",
ISNUMBER(SEARCH("German DR",S1582)),"DR Germany",
ISNUMBER(SEARCH("rn""&gt;United Arab Emirates",S1582)),"United Arab Emirates",
ISNUMBER(SEARCH("rn""&gt;Republic of Ireland",S1582)),"Ireland",
ISNUMBER(SEARCH("rn""&gt;Bosnia and Herzegovina",S1582)),"Bosnia and Herzegovina",
ISNUMBER(SEARCH("rn""&gt;Trinidad and Tobago",S1582)),"Trinidad and Tobago",
ISNUMBER(SEARCH("rn""&gt;Serbia and Montenegro",S1582)),"Serbia and Montenegro",
ISNUMBER(SEARCH(_xlfn.UNICHAR(65533),S1582)),"Côte d'Ivoire",
TRUE,""
)</f>
        <v/>
      </c>
      <c r="W1582" s="12" t="str">
        <f t="shared" si="128"/>
        <v>Ecuador</v>
      </c>
    </row>
    <row r="1583" spans="2:23">
      <c r="B1583" s="75">
        <v>1146</v>
      </c>
      <c r="C1583" s="15" t="str">
        <v>Ivor Pandur</v>
      </c>
      <c r="D1583" s="15">
        <v>26</v>
      </c>
      <c r="E1583" s="15" t="str">
        <v>Croatia</v>
      </c>
      <c r="F1583" s="15" t="str">
        <v>GK</v>
      </c>
      <c r="G1583" s="15" t="str">
        <v>Hull City</v>
      </c>
      <c r="H1583" s="15">
        <v>12</v>
      </c>
      <c r="I1583" s="15" t="str">
        <f t="shared" si="125"/>
        <v>1146|Ivor Pandur|26|Croatia|GK|Hull City|12</v>
      </c>
      <c r="J1583" s="15" t="str">
        <f>IF(COUNTIF(I$438:I1583,I1583)&gt;1,"DOUBLON","OK")</f>
        <v>OK</v>
      </c>
      <c r="S1583" s="12" t="str">
        <v>Ecuador</v>
      </c>
      <c r="T1583" s="12" t="str">
        <f t="shared" si="126"/>
        <v>OK</v>
      </c>
      <c r="U1583" s="12" t="str">
        <f t="shared" si="127"/>
        <v>-</v>
      </c>
      <c r="V1583" s="12" t="str" cm="1">
        <f t="array" ref="V1583">_xlfn.IFS(
ISNUMBER(SEARCH("USA",S1583)),"United States",
ISNUMBER(SEARCH("Republic of Ireland",S1583)),"Ireland",
ISNUMBER(SEARCH("Republic of Korea",S1583)),"South Korea",
ISNUMBER(SEARCH("Cape Verde",S1583)),"Cabo Verde",
ISNUMBER(SEARCH("Czechia",S1583)),"Czech Republic",
ISNUMBER(SEARCH("Türkiye",S1583)),"Turkey",
ISNUMBER(SEARCH("Ivory Coast",S1583)),"Côte d'Ivoire",
ISNUMBER(SEARCH("Korea Republic",S1583)),"South Korea",
ISNUMBER(SEARCH("Germany FR",S1583)),"FR Germany",
ISNUMBER(SEARCH("West Germany",S1583)),"FR Germany",
ISNUMBER(SEARCH("Germany DR",S1583)),"DR Germany",
ISNUMBER(SEARCH("Korea DPR",S1583)),"North Korea",
ISNUMBER(SEARCH("China PR",S1583)),"China",
ISNUMBER(SEARCH("IR Iran",S1583)),"Iran",
ISNUMBER(SEARCH("Congo DR",S1583)),"Democratic Republic of the Congo",
ISNUMBER(SEARCH("DR Congo",S1583)),"Democratic Republic of the Congo",
ISNUMBER(SEARCH("German DR",S1583)),"DR Germany",
ISNUMBER(SEARCH("rn""&gt;United Arab Emirates",S1583)),"United Arab Emirates",
ISNUMBER(SEARCH("rn""&gt;Republic of Ireland",S1583)),"Ireland",
ISNUMBER(SEARCH("rn""&gt;Bosnia and Herzegovina",S1583)),"Bosnia and Herzegovina",
ISNUMBER(SEARCH("rn""&gt;Trinidad and Tobago",S1583)),"Trinidad and Tobago",
ISNUMBER(SEARCH("rn""&gt;Serbia and Montenegro",S1583)),"Serbia and Montenegro",
ISNUMBER(SEARCH(_xlfn.UNICHAR(65533),S1583)),"Côte d'Ivoire",
TRUE,""
)</f>
        <v/>
      </c>
      <c r="W1583" s="12" t="str">
        <f t="shared" si="128"/>
        <v>Ecuador</v>
      </c>
    </row>
    <row r="1584" spans="2:23">
      <c r="B1584" s="75">
        <v>1147</v>
      </c>
      <c r="C1584" s="15" t="str">
        <v>Dominik Kotarski</v>
      </c>
      <c r="D1584" s="15">
        <v>26</v>
      </c>
      <c r="E1584" s="15" t="str">
        <v>Croatia</v>
      </c>
      <c r="F1584" s="15" t="str">
        <v>GK</v>
      </c>
      <c r="G1584" s="15" t="str">
        <v>Copenhagen</v>
      </c>
      <c r="H1584" s="15">
        <v>23</v>
      </c>
      <c r="I1584" s="15" t="str">
        <f t="shared" si="125"/>
        <v>1147|Dominik Kotarski|26|Croatia|GK|Copenhagen|23</v>
      </c>
      <c r="J1584" s="15" t="str">
        <f>IF(COUNTIF(I$438:I1584,I1584)&gt;1,"DOUBLON","OK")</f>
        <v>OK</v>
      </c>
      <c r="S1584" s="12" t="str">
        <v>Ecuador</v>
      </c>
      <c r="T1584" s="12" t="str">
        <f t="shared" si="126"/>
        <v>OK</v>
      </c>
      <c r="U1584" s="12" t="str">
        <f t="shared" si="127"/>
        <v>-</v>
      </c>
      <c r="V1584" s="12" t="str" cm="1">
        <f t="array" ref="V1584">_xlfn.IFS(
ISNUMBER(SEARCH("USA",S1584)),"United States",
ISNUMBER(SEARCH("Republic of Ireland",S1584)),"Ireland",
ISNUMBER(SEARCH("Republic of Korea",S1584)),"South Korea",
ISNUMBER(SEARCH("Cape Verde",S1584)),"Cabo Verde",
ISNUMBER(SEARCH("Czechia",S1584)),"Czech Republic",
ISNUMBER(SEARCH("Türkiye",S1584)),"Turkey",
ISNUMBER(SEARCH("Ivory Coast",S1584)),"Côte d'Ivoire",
ISNUMBER(SEARCH("Korea Republic",S1584)),"South Korea",
ISNUMBER(SEARCH("Germany FR",S1584)),"FR Germany",
ISNUMBER(SEARCH("West Germany",S1584)),"FR Germany",
ISNUMBER(SEARCH("Germany DR",S1584)),"DR Germany",
ISNUMBER(SEARCH("Korea DPR",S1584)),"North Korea",
ISNUMBER(SEARCH("China PR",S1584)),"China",
ISNUMBER(SEARCH("IR Iran",S1584)),"Iran",
ISNUMBER(SEARCH("Congo DR",S1584)),"Democratic Republic of the Congo",
ISNUMBER(SEARCH("DR Congo",S1584)),"Democratic Republic of the Congo",
ISNUMBER(SEARCH("German DR",S1584)),"DR Germany",
ISNUMBER(SEARCH("rn""&gt;United Arab Emirates",S1584)),"United Arab Emirates",
ISNUMBER(SEARCH("rn""&gt;Republic of Ireland",S1584)),"Ireland",
ISNUMBER(SEARCH("rn""&gt;Bosnia and Herzegovina",S1584)),"Bosnia and Herzegovina",
ISNUMBER(SEARCH("rn""&gt;Trinidad and Tobago",S1584)),"Trinidad and Tobago",
ISNUMBER(SEARCH("rn""&gt;Serbia and Montenegro",S1584)),"Serbia and Montenegro",
ISNUMBER(SEARCH(_xlfn.UNICHAR(65533),S1584)),"Côte d'Ivoire",
TRUE,""
)</f>
        <v/>
      </c>
      <c r="W1584" s="12" t="str">
        <f t="shared" si="128"/>
        <v>Ecuador</v>
      </c>
    </row>
    <row r="1585" spans="2:23">
      <c r="B1585" s="75">
        <v>1148</v>
      </c>
      <c r="C1585" s="15" t="str">
        <v>Marin Pongračić</v>
      </c>
      <c r="D1585" s="15">
        <v>28</v>
      </c>
      <c r="E1585" s="15" t="str">
        <v>Croatia</v>
      </c>
      <c r="F1585" s="15" t="str">
        <v>CB</v>
      </c>
      <c r="G1585" s="15" t="str">
        <v>Fiorentina</v>
      </c>
      <c r="H1585" s="15">
        <v>3</v>
      </c>
      <c r="I1585" s="15" t="str">
        <f t="shared" si="125"/>
        <v>1148|Marin Pongračić|28|Croatia|CB|Fiorentina|3</v>
      </c>
      <c r="J1585" s="15" t="str">
        <f>IF(COUNTIF(I$438:I1585,I1585)&gt;1,"DOUBLON","OK")</f>
        <v>OK</v>
      </c>
      <c r="S1585" s="12" t="str">
        <v>Ecuador</v>
      </c>
      <c r="T1585" s="12" t="str">
        <f t="shared" si="126"/>
        <v>OK</v>
      </c>
      <c r="U1585" s="12" t="str">
        <f t="shared" si="127"/>
        <v>-</v>
      </c>
      <c r="V1585" s="12" t="str" cm="1">
        <f t="array" ref="V1585">_xlfn.IFS(
ISNUMBER(SEARCH("USA",S1585)),"United States",
ISNUMBER(SEARCH("Republic of Ireland",S1585)),"Ireland",
ISNUMBER(SEARCH("Republic of Korea",S1585)),"South Korea",
ISNUMBER(SEARCH("Cape Verde",S1585)),"Cabo Verde",
ISNUMBER(SEARCH("Czechia",S1585)),"Czech Republic",
ISNUMBER(SEARCH("Türkiye",S1585)),"Turkey",
ISNUMBER(SEARCH("Ivory Coast",S1585)),"Côte d'Ivoire",
ISNUMBER(SEARCH("Korea Republic",S1585)),"South Korea",
ISNUMBER(SEARCH("Germany FR",S1585)),"FR Germany",
ISNUMBER(SEARCH("West Germany",S1585)),"FR Germany",
ISNUMBER(SEARCH("Germany DR",S1585)),"DR Germany",
ISNUMBER(SEARCH("Korea DPR",S1585)),"North Korea",
ISNUMBER(SEARCH("China PR",S1585)),"China",
ISNUMBER(SEARCH("IR Iran",S1585)),"Iran",
ISNUMBER(SEARCH("Congo DR",S1585)),"Democratic Republic of the Congo",
ISNUMBER(SEARCH("DR Congo",S1585)),"Democratic Republic of the Congo",
ISNUMBER(SEARCH("German DR",S1585)),"DR Germany",
ISNUMBER(SEARCH("rn""&gt;United Arab Emirates",S1585)),"United Arab Emirates",
ISNUMBER(SEARCH("rn""&gt;Republic of Ireland",S1585)),"Ireland",
ISNUMBER(SEARCH("rn""&gt;Bosnia and Herzegovina",S1585)),"Bosnia and Herzegovina",
ISNUMBER(SEARCH("rn""&gt;Trinidad and Tobago",S1585)),"Trinidad and Tobago",
ISNUMBER(SEARCH("rn""&gt;Serbia and Montenegro",S1585)),"Serbia and Montenegro",
ISNUMBER(SEARCH(_xlfn.UNICHAR(65533),S1585)),"Côte d'Ivoire",
TRUE,""
)</f>
        <v/>
      </c>
      <c r="W1585" s="12" t="str">
        <f t="shared" si="128"/>
        <v>Ecuador</v>
      </c>
    </row>
    <row r="1586" spans="2:23">
      <c r="B1586" s="75">
        <v>1149</v>
      </c>
      <c r="C1586" s="15" t="str">
        <v>Duje Ćaleta-Car</v>
      </c>
      <c r="D1586" s="15">
        <v>29</v>
      </c>
      <c r="E1586" s="15" t="str">
        <v>Croatia</v>
      </c>
      <c r="F1586" s="15" t="str">
        <v>CB</v>
      </c>
      <c r="G1586" s="15" t="str">
        <v>Real Sociedad</v>
      </c>
      <c r="H1586" s="15">
        <v>5</v>
      </c>
      <c r="I1586" s="15" t="str">
        <f t="shared" si="125"/>
        <v>1149|Duje Ćaleta-Car|29|Croatia|CB|Real Sociedad|5</v>
      </c>
      <c r="J1586" s="15" t="str">
        <f>IF(COUNTIF(I$438:I1586,I1586)&gt;1,"DOUBLON","OK")</f>
        <v>OK</v>
      </c>
      <c r="S1586" s="12" t="str">
        <v>Ecuador</v>
      </c>
      <c r="T1586" s="12" t="str">
        <f t="shared" si="126"/>
        <v>OK</v>
      </c>
      <c r="U1586" s="12" t="str">
        <f t="shared" si="127"/>
        <v>-</v>
      </c>
      <c r="V1586" s="12" t="str" cm="1">
        <f t="array" ref="V1586">_xlfn.IFS(
ISNUMBER(SEARCH("USA",S1586)),"United States",
ISNUMBER(SEARCH("Republic of Ireland",S1586)),"Ireland",
ISNUMBER(SEARCH("Republic of Korea",S1586)),"South Korea",
ISNUMBER(SEARCH("Cape Verde",S1586)),"Cabo Verde",
ISNUMBER(SEARCH("Czechia",S1586)),"Czech Republic",
ISNUMBER(SEARCH("Türkiye",S1586)),"Turkey",
ISNUMBER(SEARCH("Ivory Coast",S1586)),"Côte d'Ivoire",
ISNUMBER(SEARCH("Korea Republic",S1586)),"South Korea",
ISNUMBER(SEARCH("Germany FR",S1586)),"FR Germany",
ISNUMBER(SEARCH("West Germany",S1586)),"FR Germany",
ISNUMBER(SEARCH("Germany DR",S1586)),"DR Germany",
ISNUMBER(SEARCH("Korea DPR",S1586)),"North Korea",
ISNUMBER(SEARCH("China PR",S1586)),"China",
ISNUMBER(SEARCH("IR Iran",S1586)),"Iran",
ISNUMBER(SEARCH("Congo DR",S1586)),"Democratic Republic of the Congo",
ISNUMBER(SEARCH("DR Congo",S1586)),"Democratic Republic of the Congo",
ISNUMBER(SEARCH("German DR",S1586)),"DR Germany",
ISNUMBER(SEARCH("rn""&gt;United Arab Emirates",S1586)),"United Arab Emirates",
ISNUMBER(SEARCH("rn""&gt;Republic of Ireland",S1586)),"Ireland",
ISNUMBER(SEARCH("rn""&gt;Bosnia and Herzegovina",S1586)),"Bosnia and Herzegovina",
ISNUMBER(SEARCH("rn""&gt;Trinidad and Tobago",S1586)),"Trinidad and Tobago",
ISNUMBER(SEARCH("rn""&gt;Serbia and Montenegro",S1586)),"Serbia and Montenegro",
ISNUMBER(SEARCH(_xlfn.UNICHAR(65533),S1586)),"Côte d'Ivoire",
TRUE,""
)</f>
        <v/>
      </c>
      <c r="W1586" s="12" t="str">
        <f t="shared" si="128"/>
        <v>Ecuador</v>
      </c>
    </row>
    <row r="1587" spans="2:23">
      <c r="B1587" s="75">
        <v>1150</v>
      </c>
      <c r="C1587" s="15" t="str">
        <v>Josip Šutalo</v>
      </c>
      <c r="D1587" s="15">
        <v>26</v>
      </c>
      <c r="E1587" s="15" t="str">
        <v>Croatia</v>
      </c>
      <c r="F1587" s="15" t="str">
        <v>CB</v>
      </c>
      <c r="G1587" s="15" t="str">
        <v>Ajax</v>
      </c>
      <c r="H1587" s="15">
        <v>6</v>
      </c>
      <c r="I1587" s="15" t="str">
        <f t="shared" si="125"/>
        <v>1150|Josip Šutalo|26|Croatia|CB|Ajax|6</v>
      </c>
      <c r="J1587" s="15" t="str">
        <f>IF(COUNTIF(I$438:I1587,I1587)&gt;1,"DOUBLON","OK")</f>
        <v>OK</v>
      </c>
      <c r="S1587" s="12" t="str">
        <v>Ecuador</v>
      </c>
      <c r="T1587" s="12" t="str">
        <f t="shared" si="126"/>
        <v>OK</v>
      </c>
      <c r="U1587" s="12" t="str">
        <f t="shared" si="127"/>
        <v>-</v>
      </c>
      <c r="V1587" s="12" t="str" cm="1">
        <f t="array" ref="V1587">_xlfn.IFS(
ISNUMBER(SEARCH("USA",S1587)),"United States",
ISNUMBER(SEARCH("Republic of Ireland",S1587)),"Ireland",
ISNUMBER(SEARCH("Republic of Korea",S1587)),"South Korea",
ISNUMBER(SEARCH("Cape Verde",S1587)),"Cabo Verde",
ISNUMBER(SEARCH("Czechia",S1587)),"Czech Republic",
ISNUMBER(SEARCH("Türkiye",S1587)),"Turkey",
ISNUMBER(SEARCH("Ivory Coast",S1587)),"Côte d'Ivoire",
ISNUMBER(SEARCH("Korea Republic",S1587)),"South Korea",
ISNUMBER(SEARCH("Germany FR",S1587)),"FR Germany",
ISNUMBER(SEARCH("West Germany",S1587)),"FR Germany",
ISNUMBER(SEARCH("Germany DR",S1587)),"DR Germany",
ISNUMBER(SEARCH("Korea DPR",S1587)),"North Korea",
ISNUMBER(SEARCH("China PR",S1587)),"China",
ISNUMBER(SEARCH("IR Iran",S1587)),"Iran",
ISNUMBER(SEARCH("Congo DR",S1587)),"Democratic Republic of the Congo",
ISNUMBER(SEARCH("DR Congo",S1587)),"Democratic Republic of the Congo",
ISNUMBER(SEARCH("German DR",S1587)),"DR Germany",
ISNUMBER(SEARCH("rn""&gt;United Arab Emirates",S1587)),"United Arab Emirates",
ISNUMBER(SEARCH("rn""&gt;Republic of Ireland",S1587)),"Ireland",
ISNUMBER(SEARCH("rn""&gt;Bosnia and Herzegovina",S1587)),"Bosnia and Herzegovina",
ISNUMBER(SEARCH("rn""&gt;Trinidad and Tobago",S1587)),"Trinidad and Tobago",
ISNUMBER(SEARCH("rn""&gt;Serbia and Montenegro",S1587)),"Serbia and Montenegro",
ISNUMBER(SEARCH(_xlfn.UNICHAR(65533),S1587)),"Côte d'Ivoire",
TRUE,""
)</f>
        <v/>
      </c>
      <c r="W1587" s="12" t="str">
        <f t="shared" si="128"/>
        <v>Ecuador</v>
      </c>
    </row>
    <row r="1588" spans="2:23">
      <c r="B1588" s="75">
        <v>1151</v>
      </c>
      <c r="C1588" s="15" t="str">
        <v>Luka Vušković</v>
      </c>
      <c r="D1588" s="15">
        <v>19</v>
      </c>
      <c r="E1588" s="15" t="str">
        <v>Croatia</v>
      </c>
      <c r="F1588" s="15" t="str">
        <v>CB</v>
      </c>
      <c r="G1588" s="15" t="str">
        <v>Hamburger SV</v>
      </c>
      <c r="H1588" s="15">
        <v>22</v>
      </c>
      <c r="I1588" s="15" t="str">
        <f t="shared" si="125"/>
        <v>1151|Luka Vušković|19|Croatia|CB|Hamburger SV|22</v>
      </c>
      <c r="J1588" s="15" t="str">
        <f>IF(COUNTIF(I$438:I1588,I1588)&gt;1,"DOUBLON","OK")</f>
        <v>OK</v>
      </c>
      <c r="S1588" s="12" t="str">
        <v>Ecuador</v>
      </c>
      <c r="T1588" s="12" t="str">
        <f t="shared" si="126"/>
        <v>OK</v>
      </c>
      <c r="U1588" s="12" t="str">
        <f t="shared" si="127"/>
        <v>-</v>
      </c>
      <c r="V1588" s="12" t="str" cm="1">
        <f t="array" ref="V1588">_xlfn.IFS(
ISNUMBER(SEARCH("USA",S1588)),"United States",
ISNUMBER(SEARCH("Republic of Ireland",S1588)),"Ireland",
ISNUMBER(SEARCH("Republic of Korea",S1588)),"South Korea",
ISNUMBER(SEARCH("Cape Verde",S1588)),"Cabo Verde",
ISNUMBER(SEARCH("Czechia",S1588)),"Czech Republic",
ISNUMBER(SEARCH("Türkiye",S1588)),"Turkey",
ISNUMBER(SEARCH("Ivory Coast",S1588)),"Côte d'Ivoire",
ISNUMBER(SEARCH("Korea Republic",S1588)),"South Korea",
ISNUMBER(SEARCH("Germany FR",S1588)),"FR Germany",
ISNUMBER(SEARCH("West Germany",S1588)),"FR Germany",
ISNUMBER(SEARCH("Germany DR",S1588)),"DR Germany",
ISNUMBER(SEARCH("Korea DPR",S1588)),"North Korea",
ISNUMBER(SEARCH("China PR",S1588)),"China",
ISNUMBER(SEARCH("IR Iran",S1588)),"Iran",
ISNUMBER(SEARCH("Congo DR",S1588)),"Democratic Republic of the Congo",
ISNUMBER(SEARCH("DR Congo",S1588)),"Democratic Republic of the Congo",
ISNUMBER(SEARCH("German DR",S1588)),"DR Germany",
ISNUMBER(SEARCH("rn""&gt;United Arab Emirates",S1588)),"United Arab Emirates",
ISNUMBER(SEARCH("rn""&gt;Republic of Ireland",S1588)),"Ireland",
ISNUMBER(SEARCH("rn""&gt;Bosnia and Herzegovina",S1588)),"Bosnia and Herzegovina",
ISNUMBER(SEARCH("rn""&gt;Trinidad and Tobago",S1588)),"Trinidad and Tobago",
ISNUMBER(SEARCH("rn""&gt;Serbia and Montenegro",S1588)),"Serbia and Montenegro",
ISNUMBER(SEARCH(_xlfn.UNICHAR(65533),S1588)),"Côte d'Ivoire",
TRUE,""
)</f>
        <v/>
      </c>
      <c r="W1588" s="12" t="str">
        <f t="shared" si="128"/>
        <v>Ecuador</v>
      </c>
    </row>
    <row r="1589" spans="2:23">
      <c r="B1589" s="75">
        <v>1152</v>
      </c>
      <c r="C1589" s="15" t="str">
        <v>Martin Erlić</v>
      </c>
      <c r="D1589" s="15">
        <v>28</v>
      </c>
      <c r="E1589" s="15" t="str">
        <v>Croatia</v>
      </c>
      <c r="F1589" s="15" t="str">
        <v>CB</v>
      </c>
      <c r="G1589" s="15" t="str">
        <v>Midtjylland</v>
      </c>
      <c r="H1589" s="15">
        <v>25</v>
      </c>
      <c r="I1589" s="15" t="str">
        <f t="shared" si="125"/>
        <v>1152|Martin Erlić|28|Croatia|CB|Midtjylland|25</v>
      </c>
      <c r="J1589" s="15" t="str">
        <f>IF(COUNTIF(I$438:I1589,I1589)&gt;1,"DOUBLON","OK")</f>
        <v>OK</v>
      </c>
      <c r="S1589" s="12" t="str">
        <v>Germany</v>
      </c>
      <c r="T1589" s="12" t="str">
        <f t="shared" si="126"/>
        <v>OK</v>
      </c>
      <c r="U1589" s="12" t="str">
        <f t="shared" si="127"/>
        <v>-</v>
      </c>
      <c r="V1589" s="12" t="str" cm="1">
        <f t="array" ref="V1589">_xlfn.IFS(
ISNUMBER(SEARCH("USA",S1589)),"United States",
ISNUMBER(SEARCH("Republic of Ireland",S1589)),"Ireland",
ISNUMBER(SEARCH("Republic of Korea",S1589)),"South Korea",
ISNUMBER(SEARCH("Cape Verde",S1589)),"Cabo Verde",
ISNUMBER(SEARCH("Czechia",S1589)),"Czech Republic",
ISNUMBER(SEARCH("Türkiye",S1589)),"Turkey",
ISNUMBER(SEARCH("Ivory Coast",S1589)),"Côte d'Ivoire",
ISNUMBER(SEARCH("Korea Republic",S1589)),"South Korea",
ISNUMBER(SEARCH("Germany FR",S1589)),"FR Germany",
ISNUMBER(SEARCH("West Germany",S1589)),"FR Germany",
ISNUMBER(SEARCH("Germany DR",S1589)),"DR Germany",
ISNUMBER(SEARCH("Korea DPR",S1589)),"North Korea",
ISNUMBER(SEARCH("China PR",S1589)),"China",
ISNUMBER(SEARCH("IR Iran",S1589)),"Iran",
ISNUMBER(SEARCH("Congo DR",S1589)),"Democratic Republic of the Congo",
ISNUMBER(SEARCH("DR Congo",S1589)),"Democratic Republic of the Congo",
ISNUMBER(SEARCH("German DR",S1589)),"DR Germany",
ISNUMBER(SEARCH("rn""&gt;United Arab Emirates",S1589)),"United Arab Emirates",
ISNUMBER(SEARCH("rn""&gt;Republic of Ireland",S1589)),"Ireland",
ISNUMBER(SEARCH("rn""&gt;Bosnia and Herzegovina",S1589)),"Bosnia and Herzegovina",
ISNUMBER(SEARCH("rn""&gt;Trinidad and Tobago",S1589)),"Trinidad and Tobago",
ISNUMBER(SEARCH("rn""&gt;Serbia and Montenegro",S1589)),"Serbia and Montenegro",
ISNUMBER(SEARCH(_xlfn.UNICHAR(65533),S1589)),"Côte d'Ivoire",
TRUE,""
)</f>
        <v/>
      </c>
      <c r="W1589" s="12" t="str">
        <f t="shared" si="128"/>
        <v>Germany</v>
      </c>
    </row>
    <row r="1590" spans="2:23">
      <c r="B1590" s="75">
        <v>1153</v>
      </c>
      <c r="C1590" s="15" t="str">
        <v>Joško Gvardiol</v>
      </c>
      <c r="D1590" s="15">
        <v>24</v>
      </c>
      <c r="E1590" s="15" t="str">
        <v>Croatia</v>
      </c>
      <c r="F1590" s="15" t="str">
        <v>LB</v>
      </c>
      <c r="G1590" s="15" t="str">
        <v>Manchester City</v>
      </c>
      <c r="H1590" s="15">
        <v>4</v>
      </c>
      <c r="I1590" s="15" t="str">
        <f t="shared" si="125"/>
        <v>1153|Joško Gvardiol|24|Croatia|LB|Manchester City|4</v>
      </c>
      <c r="J1590" s="15" t="str">
        <f>IF(COUNTIF(I$438:I1590,I1590)&gt;1,"DOUBLON","OK")</f>
        <v>OK</v>
      </c>
      <c r="S1590" s="12" t="str">
        <v>Germany</v>
      </c>
      <c r="T1590" s="12" t="str">
        <f t="shared" si="126"/>
        <v>OK</v>
      </c>
      <c r="U1590" s="12" t="str">
        <f t="shared" si="127"/>
        <v>-</v>
      </c>
      <c r="V1590" s="12" t="str" cm="1">
        <f t="array" ref="V1590">_xlfn.IFS(
ISNUMBER(SEARCH("USA",S1590)),"United States",
ISNUMBER(SEARCH("Republic of Ireland",S1590)),"Ireland",
ISNUMBER(SEARCH("Republic of Korea",S1590)),"South Korea",
ISNUMBER(SEARCH("Cape Verde",S1590)),"Cabo Verde",
ISNUMBER(SEARCH("Czechia",S1590)),"Czech Republic",
ISNUMBER(SEARCH("Türkiye",S1590)),"Turkey",
ISNUMBER(SEARCH("Ivory Coast",S1590)),"Côte d'Ivoire",
ISNUMBER(SEARCH("Korea Republic",S1590)),"South Korea",
ISNUMBER(SEARCH("Germany FR",S1590)),"FR Germany",
ISNUMBER(SEARCH("West Germany",S1590)),"FR Germany",
ISNUMBER(SEARCH("Germany DR",S1590)),"DR Germany",
ISNUMBER(SEARCH("Korea DPR",S1590)),"North Korea",
ISNUMBER(SEARCH("China PR",S1590)),"China",
ISNUMBER(SEARCH("IR Iran",S1590)),"Iran",
ISNUMBER(SEARCH("Congo DR",S1590)),"Democratic Republic of the Congo",
ISNUMBER(SEARCH("DR Congo",S1590)),"Democratic Republic of the Congo",
ISNUMBER(SEARCH("German DR",S1590)),"DR Germany",
ISNUMBER(SEARCH("rn""&gt;United Arab Emirates",S1590)),"United Arab Emirates",
ISNUMBER(SEARCH("rn""&gt;Republic of Ireland",S1590)),"Ireland",
ISNUMBER(SEARCH("rn""&gt;Bosnia and Herzegovina",S1590)),"Bosnia and Herzegovina",
ISNUMBER(SEARCH("rn""&gt;Trinidad and Tobago",S1590)),"Trinidad and Tobago",
ISNUMBER(SEARCH("rn""&gt;Serbia and Montenegro",S1590)),"Serbia and Montenegro",
ISNUMBER(SEARCH(_xlfn.UNICHAR(65533),S1590)),"Côte d'Ivoire",
TRUE,""
)</f>
        <v/>
      </c>
      <c r="W1590" s="12" t="str">
        <f t="shared" si="128"/>
        <v>Germany</v>
      </c>
    </row>
    <row r="1591" spans="2:23">
      <c r="B1591" s="75">
        <v>1154</v>
      </c>
      <c r="C1591" s="15" t="str">
        <v>Josip Stanišić</v>
      </c>
      <c r="D1591" s="15">
        <v>26</v>
      </c>
      <c r="E1591" s="15" t="str">
        <v>Croatia</v>
      </c>
      <c r="F1591" s="15" t="str">
        <v>RB</v>
      </c>
      <c r="G1591" s="15" t="str">
        <v>Bayern Munich</v>
      </c>
      <c r="H1591" s="15">
        <v>2</v>
      </c>
      <c r="I1591" s="15" t="str">
        <f t="shared" ref="I1591:I1654" si="129">B1591&amp;"|"&amp;C1591&amp;"|"&amp;D1591&amp;"|"&amp;E1591&amp;"|"&amp;F1591&amp;"|"&amp;G1591&amp;"|"&amp;H1591</f>
        <v>1154|Josip Stanišić|26|Croatia|RB|Bayern Munich|2</v>
      </c>
      <c r="J1591" s="15" t="str">
        <f>IF(COUNTIF(I$438:I1591,I1591)&gt;1,"DOUBLON","OK")</f>
        <v>OK</v>
      </c>
      <c r="S1591" s="12" t="str">
        <v>Germany</v>
      </c>
      <c r="T1591" s="12" t="str">
        <f t="shared" si="126"/>
        <v>OK</v>
      </c>
      <c r="U1591" s="12" t="str">
        <f t="shared" si="127"/>
        <v>-</v>
      </c>
      <c r="V1591" s="12" t="str" cm="1">
        <f t="array" ref="V1591">_xlfn.IFS(
ISNUMBER(SEARCH("USA",S1591)),"United States",
ISNUMBER(SEARCH("Republic of Ireland",S1591)),"Ireland",
ISNUMBER(SEARCH("Republic of Korea",S1591)),"South Korea",
ISNUMBER(SEARCH("Cape Verde",S1591)),"Cabo Verde",
ISNUMBER(SEARCH("Czechia",S1591)),"Czech Republic",
ISNUMBER(SEARCH("Türkiye",S1591)),"Turkey",
ISNUMBER(SEARCH("Ivory Coast",S1591)),"Côte d'Ivoire",
ISNUMBER(SEARCH("Korea Republic",S1591)),"South Korea",
ISNUMBER(SEARCH("Germany FR",S1591)),"FR Germany",
ISNUMBER(SEARCH("West Germany",S1591)),"FR Germany",
ISNUMBER(SEARCH("Germany DR",S1591)),"DR Germany",
ISNUMBER(SEARCH("Korea DPR",S1591)),"North Korea",
ISNUMBER(SEARCH("China PR",S1591)),"China",
ISNUMBER(SEARCH("IR Iran",S1591)),"Iran",
ISNUMBER(SEARCH("Congo DR",S1591)),"Democratic Republic of the Congo",
ISNUMBER(SEARCH("DR Congo",S1591)),"Democratic Republic of the Congo",
ISNUMBER(SEARCH("German DR",S1591)),"DR Germany",
ISNUMBER(SEARCH("rn""&gt;United Arab Emirates",S1591)),"United Arab Emirates",
ISNUMBER(SEARCH("rn""&gt;Republic of Ireland",S1591)),"Ireland",
ISNUMBER(SEARCH("rn""&gt;Bosnia and Herzegovina",S1591)),"Bosnia and Herzegovina",
ISNUMBER(SEARCH("rn""&gt;Trinidad and Tobago",S1591)),"Trinidad and Tobago",
ISNUMBER(SEARCH("rn""&gt;Serbia and Montenegro",S1591)),"Serbia and Montenegro",
ISNUMBER(SEARCH(_xlfn.UNICHAR(65533),S1591)),"Côte d'Ivoire",
TRUE,""
)</f>
        <v/>
      </c>
      <c r="W1591" s="12" t="str">
        <f t="shared" si="128"/>
        <v>Germany</v>
      </c>
    </row>
    <row r="1592" spans="2:23">
      <c r="B1592" s="75">
        <v>1155</v>
      </c>
      <c r="C1592" s="15" t="str">
        <v>Kristijan Jakić</v>
      </c>
      <c r="D1592" s="15">
        <v>29</v>
      </c>
      <c r="E1592" s="15" t="str">
        <v>Croatia</v>
      </c>
      <c r="F1592" s="15" t="str">
        <v>RB</v>
      </c>
      <c r="G1592" s="15" t="str">
        <v>FC Augsburg</v>
      </c>
      <c r="H1592" s="15">
        <v>18</v>
      </c>
      <c r="I1592" s="15" t="str">
        <f t="shared" si="129"/>
        <v>1155|Kristijan Jakić|29|Croatia|RB|FC Augsburg|18</v>
      </c>
      <c r="J1592" s="15" t="str">
        <f>IF(COUNTIF(I$438:I1592,I1592)&gt;1,"DOUBLON","OK")</f>
        <v>OK</v>
      </c>
      <c r="S1592" s="12" t="str">
        <v>Germany</v>
      </c>
      <c r="T1592" s="12" t="str">
        <f t="shared" si="126"/>
        <v>OK</v>
      </c>
      <c r="U1592" s="12" t="str">
        <f t="shared" si="127"/>
        <v>-</v>
      </c>
      <c r="V1592" s="12" t="str" cm="1">
        <f t="array" ref="V1592">_xlfn.IFS(
ISNUMBER(SEARCH("USA",S1592)),"United States",
ISNUMBER(SEARCH("Republic of Ireland",S1592)),"Ireland",
ISNUMBER(SEARCH("Republic of Korea",S1592)),"South Korea",
ISNUMBER(SEARCH("Cape Verde",S1592)),"Cabo Verde",
ISNUMBER(SEARCH("Czechia",S1592)),"Czech Republic",
ISNUMBER(SEARCH("Türkiye",S1592)),"Turkey",
ISNUMBER(SEARCH("Ivory Coast",S1592)),"Côte d'Ivoire",
ISNUMBER(SEARCH("Korea Republic",S1592)),"South Korea",
ISNUMBER(SEARCH("Germany FR",S1592)),"FR Germany",
ISNUMBER(SEARCH("West Germany",S1592)),"FR Germany",
ISNUMBER(SEARCH("Germany DR",S1592)),"DR Germany",
ISNUMBER(SEARCH("Korea DPR",S1592)),"North Korea",
ISNUMBER(SEARCH("China PR",S1592)),"China",
ISNUMBER(SEARCH("IR Iran",S1592)),"Iran",
ISNUMBER(SEARCH("Congo DR",S1592)),"Democratic Republic of the Congo",
ISNUMBER(SEARCH("DR Congo",S1592)),"Democratic Republic of the Congo",
ISNUMBER(SEARCH("German DR",S1592)),"DR Germany",
ISNUMBER(SEARCH("rn""&gt;United Arab Emirates",S1592)),"United Arab Emirates",
ISNUMBER(SEARCH("rn""&gt;Republic of Ireland",S1592)),"Ireland",
ISNUMBER(SEARCH("rn""&gt;Bosnia and Herzegovina",S1592)),"Bosnia and Herzegovina",
ISNUMBER(SEARCH("rn""&gt;Trinidad and Tobago",S1592)),"Trinidad and Tobago",
ISNUMBER(SEARCH("rn""&gt;Serbia and Montenegro",S1592)),"Serbia and Montenegro",
ISNUMBER(SEARCH(_xlfn.UNICHAR(65533),S1592)),"Côte d'Ivoire",
TRUE,""
)</f>
        <v/>
      </c>
      <c r="W1592" s="12" t="str">
        <f t="shared" si="128"/>
        <v>Germany</v>
      </c>
    </row>
    <row r="1593" spans="2:23">
      <c r="B1593" s="75">
        <v>1156</v>
      </c>
      <c r="C1593" s="15" t="str">
        <v>Nikola Moro</v>
      </c>
      <c r="D1593" s="15">
        <v>28</v>
      </c>
      <c r="E1593" s="15" t="str">
        <v>Croatia</v>
      </c>
      <c r="F1593" s="15" t="str">
        <v>CDM</v>
      </c>
      <c r="G1593" s="15" t="str">
        <v>Bologna</v>
      </c>
      <c r="H1593" s="15">
        <v>7</v>
      </c>
      <c r="I1593" s="15" t="str">
        <f t="shared" si="129"/>
        <v>1156|Nikola Moro|28|Croatia|CDM|Bologna|7</v>
      </c>
      <c r="J1593" s="15" t="str">
        <f>IF(COUNTIF(I$438:I1593,I1593)&gt;1,"DOUBLON","OK")</f>
        <v>OK</v>
      </c>
      <c r="S1593" s="12" t="str">
        <v>Germany</v>
      </c>
      <c r="T1593" s="12" t="str">
        <f t="shared" si="126"/>
        <v>OK</v>
      </c>
      <c r="U1593" s="12" t="str">
        <f t="shared" si="127"/>
        <v>-</v>
      </c>
      <c r="V1593" s="12" t="str" cm="1">
        <f t="array" ref="V1593">_xlfn.IFS(
ISNUMBER(SEARCH("USA",S1593)),"United States",
ISNUMBER(SEARCH("Republic of Ireland",S1593)),"Ireland",
ISNUMBER(SEARCH("Republic of Korea",S1593)),"South Korea",
ISNUMBER(SEARCH("Cape Verde",S1593)),"Cabo Verde",
ISNUMBER(SEARCH("Czechia",S1593)),"Czech Republic",
ISNUMBER(SEARCH("Türkiye",S1593)),"Turkey",
ISNUMBER(SEARCH("Ivory Coast",S1593)),"Côte d'Ivoire",
ISNUMBER(SEARCH("Korea Republic",S1593)),"South Korea",
ISNUMBER(SEARCH("Germany FR",S1593)),"FR Germany",
ISNUMBER(SEARCH("West Germany",S1593)),"FR Germany",
ISNUMBER(SEARCH("Germany DR",S1593)),"DR Germany",
ISNUMBER(SEARCH("Korea DPR",S1593)),"North Korea",
ISNUMBER(SEARCH("China PR",S1593)),"China",
ISNUMBER(SEARCH("IR Iran",S1593)),"Iran",
ISNUMBER(SEARCH("Congo DR",S1593)),"Democratic Republic of the Congo",
ISNUMBER(SEARCH("DR Congo",S1593)),"Democratic Republic of the Congo",
ISNUMBER(SEARCH("German DR",S1593)),"DR Germany",
ISNUMBER(SEARCH("rn""&gt;United Arab Emirates",S1593)),"United Arab Emirates",
ISNUMBER(SEARCH("rn""&gt;Republic of Ireland",S1593)),"Ireland",
ISNUMBER(SEARCH("rn""&gt;Bosnia and Herzegovina",S1593)),"Bosnia and Herzegovina",
ISNUMBER(SEARCH("rn""&gt;Trinidad and Tobago",S1593)),"Trinidad and Tobago",
ISNUMBER(SEARCH("rn""&gt;Serbia and Montenegro",S1593)),"Serbia and Montenegro",
ISNUMBER(SEARCH(_xlfn.UNICHAR(65533),S1593)),"Côte d'Ivoire",
TRUE,""
)</f>
        <v/>
      </c>
      <c r="W1593" s="12" t="str">
        <f t="shared" si="128"/>
        <v>Germany</v>
      </c>
    </row>
    <row r="1594" spans="2:23">
      <c r="B1594" s="75">
        <v>1157</v>
      </c>
      <c r="C1594" s="15" t="str">
        <v>Petar Sučić</v>
      </c>
      <c r="D1594" s="15">
        <v>22</v>
      </c>
      <c r="E1594" s="15" t="str">
        <v>Croatia</v>
      </c>
      <c r="F1594" s="15" t="str">
        <v>CDM</v>
      </c>
      <c r="G1594" s="15" t="str">
        <v>Inter Milan</v>
      </c>
      <c r="H1594" s="15">
        <v>17</v>
      </c>
      <c r="I1594" s="15" t="str">
        <f t="shared" si="129"/>
        <v>1157|Petar Sučić|22|Croatia|CDM|Inter Milan|17</v>
      </c>
      <c r="J1594" s="15" t="str">
        <f>IF(COUNTIF(I$438:I1594,I1594)&gt;1,"DOUBLON","OK")</f>
        <v>OK</v>
      </c>
      <c r="S1594" s="12" t="str">
        <v>Germany</v>
      </c>
      <c r="T1594" s="12" t="str">
        <f t="shared" si="126"/>
        <v>OK</v>
      </c>
      <c r="U1594" s="12" t="str">
        <f t="shared" si="127"/>
        <v>-</v>
      </c>
      <c r="V1594" s="12" t="str" cm="1">
        <f t="array" ref="V1594">_xlfn.IFS(
ISNUMBER(SEARCH("USA",S1594)),"United States",
ISNUMBER(SEARCH("Republic of Ireland",S1594)),"Ireland",
ISNUMBER(SEARCH("Republic of Korea",S1594)),"South Korea",
ISNUMBER(SEARCH("Cape Verde",S1594)),"Cabo Verde",
ISNUMBER(SEARCH("Czechia",S1594)),"Czech Republic",
ISNUMBER(SEARCH("Türkiye",S1594)),"Turkey",
ISNUMBER(SEARCH("Ivory Coast",S1594)),"Côte d'Ivoire",
ISNUMBER(SEARCH("Korea Republic",S1594)),"South Korea",
ISNUMBER(SEARCH("Germany FR",S1594)),"FR Germany",
ISNUMBER(SEARCH("West Germany",S1594)),"FR Germany",
ISNUMBER(SEARCH("Germany DR",S1594)),"DR Germany",
ISNUMBER(SEARCH("Korea DPR",S1594)),"North Korea",
ISNUMBER(SEARCH("China PR",S1594)),"China",
ISNUMBER(SEARCH("IR Iran",S1594)),"Iran",
ISNUMBER(SEARCH("Congo DR",S1594)),"Democratic Republic of the Congo",
ISNUMBER(SEARCH("DR Congo",S1594)),"Democratic Republic of the Congo",
ISNUMBER(SEARCH("German DR",S1594)),"DR Germany",
ISNUMBER(SEARCH("rn""&gt;United Arab Emirates",S1594)),"United Arab Emirates",
ISNUMBER(SEARCH("rn""&gt;Republic of Ireland",S1594)),"Ireland",
ISNUMBER(SEARCH("rn""&gt;Bosnia and Herzegovina",S1594)),"Bosnia and Herzegovina",
ISNUMBER(SEARCH("rn""&gt;Trinidad and Tobago",S1594)),"Trinidad and Tobago",
ISNUMBER(SEARCH("rn""&gt;Serbia and Montenegro",S1594)),"Serbia and Montenegro",
ISNUMBER(SEARCH(_xlfn.UNICHAR(65533),S1594)),"Côte d'Ivoire",
TRUE,""
)</f>
        <v/>
      </c>
      <c r="W1594" s="12" t="str">
        <f t="shared" si="128"/>
        <v>Germany</v>
      </c>
    </row>
    <row r="1595" spans="2:23">
      <c r="B1595" s="75">
        <v>1158</v>
      </c>
      <c r="C1595" s="15" t="str">
        <v>Mateo Kovačić</v>
      </c>
      <c r="D1595" s="15">
        <v>32</v>
      </c>
      <c r="E1595" s="15" t="str">
        <v>Croatia</v>
      </c>
      <c r="F1595" s="15" t="str">
        <v>CM</v>
      </c>
      <c r="G1595" s="15" t="str">
        <v>Manchester City</v>
      </c>
      <c r="H1595" s="15">
        <v>8</v>
      </c>
      <c r="I1595" s="15" t="str">
        <f t="shared" si="129"/>
        <v>1158|Mateo Kovačić|32|Croatia|CM|Manchester City|8</v>
      </c>
      <c r="J1595" s="15" t="str">
        <f>IF(COUNTIF(I$438:I1595,I1595)&gt;1,"DOUBLON","OK")</f>
        <v>OK</v>
      </c>
      <c r="S1595" s="12" t="str">
        <v>Germany</v>
      </c>
      <c r="T1595" s="12" t="str">
        <f t="shared" si="126"/>
        <v>OK</v>
      </c>
      <c r="U1595" s="12" t="str">
        <f t="shared" si="127"/>
        <v>-</v>
      </c>
      <c r="V1595" s="12" t="str" cm="1">
        <f t="array" ref="V1595">_xlfn.IFS(
ISNUMBER(SEARCH("USA",S1595)),"United States",
ISNUMBER(SEARCH("Republic of Ireland",S1595)),"Ireland",
ISNUMBER(SEARCH("Republic of Korea",S1595)),"South Korea",
ISNUMBER(SEARCH("Cape Verde",S1595)),"Cabo Verde",
ISNUMBER(SEARCH("Czechia",S1595)),"Czech Republic",
ISNUMBER(SEARCH("Türkiye",S1595)),"Turkey",
ISNUMBER(SEARCH("Ivory Coast",S1595)),"Côte d'Ivoire",
ISNUMBER(SEARCH("Korea Republic",S1595)),"South Korea",
ISNUMBER(SEARCH("Germany FR",S1595)),"FR Germany",
ISNUMBER(SEARCH("West Germany",S1595)),"FR Germany",
ISNUMBER(SEARCH("Germany DR",S1595)),"DR Germany",
ISNUMBER(SEARCH("Korea DPR",S1595)),"North Korea",
ISNUMBER(SEARCH("China PR",S1595)),"China",
ISNUMBER(SEARCH("IR Iran",S1595)),"Iran",
ISNUMBER(SEARCH("Congo DR",S1595)),"Democratic Republic of the Congo",
ISNUMBER(SEARCH("DR Congo",S1595)),"Democratic Republic of the Congo",
ISNUMBER(SEARCH("German DR",S1595)),"DR Germany",
ISNUMBER(SEARCH("rn""&gt;United Arab Emirates",S1595)),"United Arab Emirates",
ISNUMBER(SEARCH("rn""&gt;Republic of Ireland",S1595)),"Ireland",
ISNUMBER(SEARCH("rn""&gt;Bosnia and Herzegovina",S1595)),"Bosnia and Herzegovina",
ISNUMBER(SEARCH("rn""&gt;Trinidad and Tobago",S1595)),"Trinidad and Tobago",
ISNUMBER(SEARCH("rn""&gt;Serbia and Montenegro",S1595)),"Serbia and Montenegro",
ISNUMBER(SEARCH(_xlfn.UNICHAR(65533),S1595)),"Côte d'Ivoire",
TRUE,""
)</f>
        <v/>
      </c>
      <c r="W1595" s="12" t="str">
        <f t="shared" si="128"/>
        <v>Germany</v>
      </c>
    </row>
    <row r="1596" spans="2:23">
      <c r="B1596" s="75">
        <v>1159</v>
      </c>
      <c r="C1596" s="15" t="str">
        <v>Luka Modrić</v>
      </c>
      <c r="D1596" s="15">
        <v>40</v>
      </c>
      <c r="E1596" s="15" t="str">
        <v>Croatia</v>
      </c>
      <c r="F1596" s="15" t="str">
        <v>CM</v>
      </c>
      <c r="G1596" s="15" t="str">
        <v>AC Milan</v>
      </c>
      <c r="H1596" s="15">
        <v>10</v>
      </c>
      <c r="I1596" s="15" t="str">
        <f t="shared" si="129"/>
        <v>1159|Luka Modrić|40|Croatia|CM|AC Milan|10</v>
      </c>
      <c r="J1596" s="15" t="str">
        <f>IF(COUNTIF(I$438:I1596,I1596)&gt;1,"DOUBLON","OK")</f>
        <v>OK</v>
      </c>
      <c r="S1596" s="12" t="str">
        <v>Germany</v>
      </c>
      <c r="T1596" s="12" t="str">
        <f t="shared" si="126"/>
        <v>OK</v>
      </c>
      <c r="U1596" s="12" t="str">
        <f t="shared" si="127"/>
        <v>-</v>
      </c>
      <c r="V1596" s="12" t="str" cm="1">
        <f t="array" ref="V1596">_xlfn.IFS(
ISNUMBER(SEARCH("USA",S1596)),"United States",
ISNUMBER(SEARCH("Republic of Ireland",S1596)),"Ireland",
ISNUMBER(SEARCH("Republic of Korea",S1596)),"South Korea",
ISNUMBER(SEARCH("Cape Verde",S1596)),"Cabo Verde",
ISNUMBER(SEARCH("Czechia",S1596)),"Czech Republic",
ISNUMBER(SEARCH("Türkiye",S1596)),"Turkey",
ISNUMBER(SEARCH("Ivory Coast",S1596)),"Côte d'Ivoire",
ISNUMBER(SEARCH("Korea Republic",S1596)),"South Korea",
ISNUMBER(SEARCH("Germany FR",S1596)),"FR Germany",
ISNUMBER(SEARCH("West Germany",S1596)),"FR Germany",
ISNUMBER(SEARCH("Germany DR",S1596)),"DR Germany",
ISNUMBER(SEARCH("Korea DPR",S1596)),"North Korea",
ISNUMBER(SEARCH("China PR",S1596)),"China",
ISNUMBER(SEARCH("IR Iran",S1596)),"Iran",
ISNUMBER(SEARCH("Congo DR",S1596)),"Democratic Republic of the Congo",
ISNUMBER(SEARCH("DR Congo",S1596)),"Democratic Republic of the Congo",
ISNUMBER(SEARCH("German DR",S1596)),"DR Germany",
ISNUMBER(SEARCH("rn""&gt;United Arab Emirates",S1596)),"United Arab Emirates",
ISNUMBER(SEARCH("rn""&gt;Republic of Ireland",S1596)),"Ireland",
ISNUMBER(SEARCH("rn""&gt;Bosnia and Herzegovina",S1596)),"Bosnia and Herzegovina",
ISNUMBER(SEARCH("rn""&gt;Trinidad and Tobago",S1596)),"Trinidad and Tobago",
ISNUMBER(SEARCH("rn""&gt;Serbia and Montenegro",S1596)),"Serbia and Montenegro",
ISNUMBER(SEARCH(_xlfn.UNICHAR(65533),S1596)),"Côte d'Ivoire",
TRUE,""
)</f>
        <v/>
      </c>
      <c r="W1596" s="12" t="str">
        <f t="shared" si="128"/>
        <v>Germany</v>
      </c>
    </row>
    <row r="1597" spans="2:23">
      <c r="B1597" s="75">
        <v>1160</v>
      </c>
      <c r="C1597" s="15" t="str">
        <v>Mario Pašalić</v>
      </c>
      <c r="D1597" s="15">
        <v>31</v>
      </c>
      <c r="E1597" s="15" t="str">
        <v>Croatia</v>
      </c>
      <c r="F1597" s="15" t="str">
        <v>CM</v>
      </c>
      <c r="G1597" s="15" t="str">
        <v>Atalanta</v>
      </c>
      <c r="H1597" s="15">
        <v>15</v>
      </c>
      <c r="I1597" s="15" t="str">
        <f t="shared" si="129"/>
        <v>1160|Mario Pašalić|31|Croatia|CM|Atalanta|15</v>
      </c>
      <c r="J1597" s="15" t="str">
        <f>IF(COUNTIF(I$438:I1597,I1597)&gt;1,"DOUBLON","OK")</f>
        <v>OK</v>
      </c>
      <c r="S1597" s="12" t="str">
        <v>Germany</v>
      </c>
      <c r="T1597" s="12" t="str">
        <f t="shared" si="126"/>
        <v>OK</v>
      </c>
      <c r="U1597" s="12" t="str">
        <f t="shared" si="127"/>
        <v>-</v>
      </c>
      <c r="V1597" s="12" t="str" cm="1">
        <f t="array" ref="V1597">_xlfn.IFS(
ISNUMBER(SEARCH("USA",S1597)),"United States",
ISNUMBER(SEARCH("Republic of Ireland",S1597)),"Ireland",
ISNUMBER(SEARCH("Republic of Korea",S1597)),"South Korea",
ISNUMBER(SEARCH("Cape Verde",S1597)),"Cabo Verde",
ISNUMBER(SEARCH("Czechia",S1597)),"Czech Republic",
ISNUMBER(SEARCH("Türkiye",S1597)),"Turkey",
ISNUMBER(SEARCH("Ivory Coast",S1597)),"Côte d'Ivoire",
ISNUMBER(SEARCH("Korea Republic",S1597)),"South Korea",
ISNUMBER(SEARCH("Germany FR",S1597)),"FR Germany",
ISNUMBER(SEARCH("West Germany",S1597)),"FR Germany",
ISNUMBER(SEARCH("Germany DR",S1597)),"DR Germany",
ISNUMBER(SEARCH("Korea DPR",S1597)),"North Korea",
ISNUMBER(SEARCH("China PR",S1597)),"China",
ISNUMBER(SEARCH("IR Iran",S1597)),"Iran",
ISNUMBER(SEARCH("Congo DR",S1597)),"Democratic Republic of the Congo",
ISNUMBER(SEARCH("DR Congo",S1597)),"Democratic Republic of the Congo",
ISNUMBER(SEARCH("German DR",S1597)),"DR Germany",
ISNUMBER(SEARCH("rn""&gt;United Arab Emirates",S1597)),"United Arab Emirates",
ISNUMBER(SEARCH("rn""&gt;Republic of Ireland",S1597)),"Ireland",
ISNUMBER(SEARCH("rn""&gt;Bosnia and Herzegovina",S1597)),"Bosnia and Herzegovina",
ISNUMBER(SEARCH("rn""&gt;Trinidad and Tobago",S1597)),"Trinidad and Tobago",
ISNUMBER(SEARCH("rn""&gt;Serbia and Montenegro",S1597)),"Serbia and Montenegro",
ISNUMBER(SEARCH(_xlfn.UNICHAR(65533),S1597)),"Côte d'Ivoire",
TRUE,""
)</f>
        <v/>
      </c>
      <c r="W1597" s="12" t="str">
        <f t="shared" si="128"/>
        <v>Germany</v>
      </c>
    </row>
    <row r="1598" spans="2:23">
      <c r="B1598" s="75">
        <v>1161</v>
      </c>
      <c r="C1598" s="15" t="str">
        <v>Nikola Vlašić</v>
      </c>
      <c r="D1598" s="15">
        <v>28</v>
      </c>
      <c r="E1598" s="15" t="str">
        <v>Croatia</v>
      </c>
      <c r="F1598" s="15" t="str">
        <v>CAM</v>
      </c>
      <c r="G1598" s="15" t="str">
        <v>Torino</v>
      </c>
      <c r="H1598" s="15">
        <v>13</v>
      </c>
      <c r="I1598" s="15" t="str">
        <f t="shared" si="129"/>
        <v>1161|Nikola Vlašić|28|Croatia|CAM|Torino|13</v>
      </c>
      <c r="J1598" s="15" t="str">
        <f>IF(COUNTIF(I$438:I1598,I1598)&gt;1,"DOUBLON","OK")</f>
        <v>OK</v>
      </c>
      <c r="S1598" s="12" t="str">
        <v>Germany</v>
      </c>
      <c r="T1598" s="12" t="str">
        <f t="shared" si="126"/>
        <v>OK</v>
      </c>
      <c r="U1598" s="12" t="str">
        <f t="shared" si="127"/>
        <v>-</v>
      </c>
      <c r="V1598" s="12" t="str" cm="1">
        <f t="array" ref="V1598">_xlfn.IFS(
ISNUMBER(SEARCH("USA",S1598)),"United States",
ISNUMBER(SEARCH("Republic of Ireland",S1598)),"Ireland",
ISNUMBER(SEARCH("Republic of Korea",S1598)),"South Korea",
ISNUMBER(SEARCH("Cape Verde",S1598)),"Cabo Verde",
ISNUMBER(SEARCH("Czechia",S1598)),"Czech Republic",
ISNUMBER(SEARCH("Türkiye",S1598)),"Turkey",
ISNUMBER(SEARCH("Ivory Coast",S1598)),"Côte d'Ivoire",
ISNUMBER(SEARCH("Korea Republic",S1598)),"South Korea",
ISNUMBER(SEARCH("Germany FR",S1598)),"FR Germany",
ISNUMBER(SEARCH("West Germany",S1598)),"FR Germany",
ISNUMBER(SEARCH("Germany DR",S1598)),"DR Germany",
ISNUMBER(SEARCH("Korea DPR",S1598)),"North Korea",
ISNUMBER(SEARCH("China PR",S1598)),"China",
ISNUMBER(SEARCH("IR Iran",S1598)),"Iran",
ISNUMBER(SEARCH("Congo DR",S1598)),"Democratic Republic of the Congo",
ISNUMBER(SEARCH("DR Congo",S1598)),"Democratic Republic of the Congo",
ISNUMBER(SEARCH("German DR",S1598)),"DR Germany",
ISNUMBER(SEARCH("rn""&gt;United Arab Emirates",S1598)),"United Arab Emirates",
ISNUMBER(SEARCH("rn""&gt;Republic of Ireland",S1598)),"Ireland",
ISNUMBER(SEARCH("rn""&gt;Bosnia and Herzegovina",S1598)),"Bosnia and Herzegovina",
ISNUMBER(SEARCH("rn""&gt;Trinidad and Tobago",S1598)),"Trinidad and Tobago",
ISNUMBER(SEARCH("rn""&gt;Serbia and Montenegro",S1598)),"Serbia and Montenegro",
ISNUMBER(SEARCH(_xlfn.UNICHAR(65533),S1598)),"Côte d'Ivoire",
TRUE,""
)</f>
        <v/>
      </c>
      <c r="W1598" s="12" t="str">
        <f t="shared" si="128"/>
        <v>Germany</v>
      </c>
    </row>
    <row r="1599" spans="2:23">
      <c r="B1599" s="75">
        <v>1162</v>
      </c>
      <c r="C1599" s="15" t="str">
        <v>Martin Baturina</v>
      </c>
      <c r="D1599" s="15">
        <v>23</v>
      </c>
      <c r="E1599" s="15" t="str">
        <v>Croatia</v>
      </c>
      <c r="F1599" s="15" t="str">
        <v>CAM</v>
      </c>
      <c r="G1599" s="15" t="str">
        <v>Como</v>
      </c>
      <c r="H1599" s="15">
        <v>16</v>
      </c>
      <c r="I1599" s="15" t="str">
        <f t="shared" si="129"/>
        <v>1162|Martin Baturina|23|Croatia|CAM|Como|16</v>
      </c>
      <c r="J1599" s="15" t="str">
        <f>IF(COUNTIF(I$438:I1599,I1599)&gt;1,"DOUBLON","OK")</f>
        <v>OK</v>
      </c>
      <c r="S1599" s="12" t="str">
        <v>Germany</v>
      </c>
      <c r="T1599" s="12" t="str">
        <f t="shared" si="126"/>
        <v>OK</v>
      </c>
      <c r="U1599" s="12" t="str">
        <f t="shared" si="127"/>
        <v>-</v>
      </c>
      <c r="V1599" s="12" t="str" cm="1">
        <f t="array" ref="V1599">_xlfn.IFS(
ISNUMBER(SEARCH("USA",S1599)),"United States",
ISNUMBER(SEARCH("Republic of Ireland",S1599)),"Ireland",
ISNUMBER(SEARCH("Republic of Korea",S1599)),"South Korea",
ISNUMBER(SEARCH("Cape Verde",S1599)),"Cabo Verde",
ISNUMBER(SEARCH("Czechia",S1599)),"Czech Republic",
ISNUMBER(SEARCH("Türkiye",S1599)),"Turkey",
ISNUMBER(SEARCH("Ivory Coast",S1599)),"Côte d'Ivoire",
ISNUMBER(SEARCH("Korea Republic",S1599)),"South Korea",
ISNUMBER(SEARCH("Germany FR",S1599)),"FR Germany",
ISNUMBER(SEARCH("West Germany",S1599)),"FR Germany",
ISNUMBER(SEARCH("Germany DR",S1599)),"DR Germany",
ISNUMBER(SEARCH("Korea DPR",S1599)),"North Korea",
ISNUMBER(SEARCH("China PR",S1599)),"China",
ISNUMBER(SEARCH("IR Iran",S1599)),"Iran",
ISNUMBER(SEARCH("Congo DR",S1599)),"Democratic Republic of the Congo",
ISNUMBER(SEARCH("DR Congo",S1599)),"Democratic Republic of the Congo",
ISNUMBER(SEARCH("German DR",S1599)),"DR Germany",
ISNUMBER(SEARCH("rn""&gt;United Arab Emirates",S1599)),"United Arab Emirates",
ISNUMBER(SEARCH("rn""&gt;Republic of Ireland",S1599)),"Ireland",
ISNUMBER(SEARCH("rn""&gt;Bosnia and Herzegovina",S1599)),"Bosnia and Herzegovina",
ISNUMBER(SEARCH("rn""&gt;Trinidad and Tobago",S1599)),"Trinidad and Tobago",
ISNUMBER(SEARCH("rn""&gt;Serbia and Montenegro",S1599)),"Serbia and Montenegro",
ISNUMBER(SEARCH(_xlfn.UNICHAR(65533),S1599)),"Côte d'Ivoire",
TRUE,""
)</f>
        <v/>
      </c>
      <c r="W1599" s="12" t="str">
        <f t="shared" si="128"/>
        <v>Germany</v>
      </c>
    </row>
    <row r="1600" spans="2:23">
      <c r="B1600" s="75">
        <v>1163</v>
      </c>
      <c r="C1600" s="15" t="str">
        <v>Toni Fruk</v>
      </c>
      <c r="D1600" s="15">
        <v>25</v>
      </c>
      <c r="E1600" s="15" t="str">
        <v>Croatia</v>
      </c>
      <c r="F1600" s="15" t="str">
        <v>CAM</v>
      </c>
      <c r="G1600" s="15" t="str">
        <v>Rijeka</v>
      </c>
      <c r="H1600" s="15">
        <v>19</v>
      </c>
      <c r="I1600" s="15" t="str">
        <f t="shared" si="129"/>
        <v>1163|Toni Fruk|25|Croatia|CAM|Rijeka|19</v>
      </c>
      <c r="J1600" s="15" t="str">
        <f>IF(COUNTIF(I$438:I1600,I1600)&gt;1,"DOUBLON","OK")</f>
        <v>OK</v>
      </c>
      <c r="S1600" s="12" t="str">
        <v>Germany</v>
      </c>
      <c r="T1600" s="12" t="str">
        <f t="shared" si="126"/>
        <v>OK</v>
      </c>
      <c r="U1600" s="12" t="str">
        <f t="shared" si="127"/>
        <v>-</v>
      </c>
      <c r="V1600" s="12" t="str" cm="1">
        <f t="array" ref="V1600">_xlfn.IFS(
ISNUMBER(SEARCH("USA",S1600)),"United States",
ISNUMBER(SEARCH("Republic of Ireland",S1600)),"Ireland",
ISNUMBER(SEARCH("Republic of Korea",S1600)),"South Korea",
ISNUMBER(SEARCH("Cape Verde",S1600)),"Cabo Verde",
ISNUMBER(SEARCH("Czechia",S1600)),"Czech Republic",
ISNUMBER(SEARCH("Türkiye",S1600)),"Turkey",
ISNUMBER(SEARCH("Ivory Coast",S1600)),"Côte d'Ivoire",
ISNUMBER(SEARCH("Korea Republic",S1600)),"South Korea",
ISNUMBER(SEARCH("Germany FR",S1600)),"FR Germany",
ISNUMBER(SEARCH("West Germany",S1600)),"FR Germany",
ISNUMBER(SEARCH("Germany DR",S1600)),"DR Germany",
ISNUMBER(SEARCH("Korea DPR",S1600)),"North Korea",
ISNUMBER(SEARCH("China PR",S1600)),"China",
ISNUMBER(SEARCH("IR Iran",S1600)),"Iran",
ISNUMBER(SEARCH("Congo DR",S1600)),"Democratic Republic of the Congo",
ISNUMBER(SEARCH("DR Congo",S1600)),"Democratic Republic of the Congo",
ISNUMBER(SEARCH("German DR",S1600)),"DR Germany",
ISNUMBER(SEARCH("rn""&gt;United Arab Emirates",S1600)),"United Arab Emirates",
ISNUMBER(SEARCH("rn""&gt;Republic of Ireland",S1600)),"Ireland",
ISNUMBER(SEARCH("rn""&gt;Bosnia and Herzegovina",S1600)),"Bosnia and Herzegovina",
ISNUMBER(SEARCH("rn""&gt;Trinidad and Tobago",S1600)),"Trinidad and Tobago",
ISNUMBER(SEARCH("rn""&gt;Serbia and Montenegro",S1600)),"Serbia and Montenegro",
ISNUMBER(SEARCH(_xlfn.UNICHAR(65533),S1600)),"Côte d'Ivoire",
TRUE,""
)</f>
        <v/>
      </c>
      <c r="W1600" s="12" t="str">
        <f t="shared" si="128"/>
        <v>Germany</v>
      </c>
    </row>
    <row r="1601" spans="2:23">
      <c r="B1601" s="75">
        <v>1164</v>
      </c>
      <c r="C1601" s="15" t="str">
        <v>Luka Sučić</v>
      </c>
      <c r="D1601" s="15">
        <v>23</v>
      </c>
      <c r="E1601" s="15" t="str">
        <v>Croatia</v>
      </c>
      <c r="F1601" s="15" t="str">
        <v>CAM</v>
      </c>
      <c r="G1601" s="15" t="str">
        <v>Real Sociedad</v>
      </c>
      <c r="H1601" s="15">
        <v>21</v>
      </c>
      <c r="I1601" s="15" t="str">
        <f t="shared" si="129"/>
        <v>1164|Luka Sučić|23|Croatia|CAM|Real Sociedad|21</v>
      </c>
      <c r="J1601" s="15" t="str">
        <f>IF(COUNTIF(I$438:I1601,I1601)&gt;1,"DOUBLON","OK")</f>
        <v>OK</v>
      </c>
      <c r="S1601" s="12" t="str">
        <v>Germany</v>
      </c>
      <c r="T1601" s="12" t="str">
        <f t="shared" si="126"/>
        <v>OK</v>
      </c>
      <c r="U1601" s="12" t="str">
        <f t="shared" si="127"/>
        <v>-</v>
      </c>
      <c r="V1601" s="12" t="str" cm="1">
        <f t="array" ref="V1601">_xlfn.IFS(
ISNUMBER(SEARCH("USA",S1601)),"United States",
ISNUMBER(SEARCH("Republic of Ireland",S1601)),"Ireland",
ISNUMBER(SEARCH("Republic of Korea",S1601)),"South Korea",
ISNUMBER(SEARCH("Cape Verde",S1601)),"Cabo Verde",
ISNUMBER(SEARCH("Czechia",S1601)),"Czech Republic",
ISNUMBER(SEARCH("Türkiye",S1601)),"Turkey",
ISNUMBER(SEARCH("Ivory Coast",S1601)),"Côte d'Ivoire",
ISNUMBER(SEARCH("Korea Republic",S1601)),"South Korea",
ISNUMBER(SEARCH("Germany FR",S1601)),"FR Germany",
ISNUMBER(SEARCH("West Germany",S1601)),"FR Germany",
ISNUMBER(SEARCH("Germany DR",S1601)),"DR Germany",
ISNUMBER(SEARCH("Korea DPR",S1601)),"North Korea",
ISNUMBER(SEARCH("China PR",S1601)),"China",
ISNUMBER(SEARCH("IR Iran",S1601)),"Iran",
ISNUMBER(SEARCH("Congo DR",S1601)),"Democratic Republic of the Congo",
ISNUMBER(SEARCH("DR Congo",S1601)),"Democratic Republic of the Congo",
ISNUMBER(SEARCH("German DR",S1601)),"DR Germany",
ISNUMBER(SEARCH("rn""&gt;United Arab Emirates",S1601)),"United Arab Emirates",
ISNUMBER(SEARCH("rn""&gt;Republic of Ireland",S1601)),"Ireland",
ISNUMBER(SEARCH("rn""&gt;Bosnia and Herzegovina",S1601)),"Bosnia and Herzegovina",
ISNUMBER(SEARCH("rn""&gt;Trinidad and Tobago",S1601)),"Trinidad and Tobago",
ISNUMBER(SEARCH("rn""&gt;Serbia and Montenegro",S1601)),"Serbia and Montenegro",
ISNUMBER(SEARCH(_xlfn.UNICHAR(65533),S1601)),"Côte d'Ivoire",
TRUE,""
)</f>
        <v/>
      </c>
      <c r="W1601" s="12" t="str">
        <f t="shared" si="128"/>
        <v>Germany</v>
      </c>
    </row>
    <row r="1602" spans="2:23">
      <c r="B1602" s="75">
        <v>1165</v>
      </c>
      <c r="C1602" s="15" t="str">
        <v>Ivan Perišić</v>
      </c>
      <c r="D1602" s="15">
        <v>37</v>
      </c>
      <c r="E1602" s="15" t="str">
        <v>Croatia</v>
      </c>
      <c r="F1602" s="15" t="str">
        <v>LW</v>
      </c>
      <c r="G1602" s="15" t="str">
        <v>PSV Eindhoven</v>
      </c>
      <c r="H1602" s="15">
        <v>14</v>
      </c>
      <c r="I1602" s="15" t="str">
        <f t="shared" si="129"/>
        <v>1165|Ivan Perišić|37|Croatia|LW|PSV Eindhoven|14</v>
      </c>
      <c r="J1602" s="15" t="str">
        <f>IF(COUNTIF(I$438:I1602,I1602)&gt;1,"DOUBLON","OK")</f>
        <v>OK</v>
      </c>
      <c r="S1602" s="12" t="str">
        <v>Germany</v>
      </c>
      <c r="T1602" s="12" t="str">
        <f t="shared" si="126"/>
        <v>OK</v>
      </c>
      <c r="U1602" s="12" t="str">
        <f t="shared" si="127"/>
        <v>-</v>
      </c>
      <c r="V1602" s="12" t="str" cm="1">
        <f t="array" ref="V1602">_xlfn.IFS(
ISNUMBER(SEARCH("USA",S1602)),"United States",
ISNUMBER(SEARCH("Republic of Ireland",S1602)),"Ireland",
ISNUMBER(SEARCH("Republic of Korea",S1602)),"South Korea",
ISNUMBER(SEARCH("Cape Verde",S1602)),"Cabo Verde",
ISNUMBER(SEARCH("Czechia",S1602)),"Czech Republic",
ISNUMBER(SEARCH("Türkiye",S1602)),"Turkey",
ISNUMBER(SEARCH("Ivory Coast",S1602)),"Côte d'Ivoire",
ISNUMBER(SEARCH("Korea Republic",S1602)),"South Korea",
ISNUMBER(SEARCH("Germany FR",S1602)),"FR Germany",
ISNUMBER(SEARCH("West Germany",S1602)),"FR Germany",
ISNUMBER(SEARCH("Germany DR",S1602)),"DR Germany",
ISNUMBER(SEARCH("Korea DPR",S1602)),"North Korea",
ISNUMBER(SEARCH("China PR",S1602)),"China",
ISNUMBER(SEARCH("IR Iran",S1602)),"Iran",
ISNUMBER(SEARCH("Congo DR",S1602)),"Democratic Republic of the Congo",
ISNUMBER(SEARCH("DR Congo",S1602)),"Democratic Republic of the Congo",
ISNUMBER(SEARCH("German DR",S1602)),"DR Germany",
ISNUMBER(SEARCH("rn""&gt;United Arab Emirates",S1602)),"United Arab Emirates",
ISNUMBER(SEARCH("rn""&gt;Republic of Ireland",S1602)),"Ireland",
ISNUMBER(SEARCH("rn""&gt;Bosnia and Herzegovina",S1602)),"Bosnia and Herzegovina",
ISNUMBER(SEARCH("rn""&gt;Trinidad and Tobago",S1602)),"Trinidad and Tobago",
ISNUMBER(SEARCH("rn""&gt;Serbia and Montenegro",S1602)),"Serbia and Montenegro",
ISNUMBER(SEARCH(_xlfn.UNICHAR(65533),S1602)),"Côte d'Ivoire",
TRUE,""
)</f>
        <v/>
      </c>
      <c r="W1602" s="12" t="str">
        <f t="shared" si="128"/>
        <v>Germany</v>
      </c>
    </row>
    <row r="1603" spans="2:23">
      <c r="B1603" s="75">
        <v>1166</v>
      </c>
      <c r="C1603" s="15" t="str">
        <v>Marco Pašalić</v>
      </c>
      <c r="D1603" s="15">
        <v>25</v>
      </c>
      <c r="E1603" s="15" t="str">
        <v>Croatia</v>
      </c>
      <c r="F1603" s="15" t="str">
        <v>RW</v>
      </c>
      <c r="G1603" s="15" t="str">
        <v>Orlando City SC</v>
      </c>
      <c r="H1603" s="15">
        <v>24</v>
      </c>
      <c r="I1603" s="15" t="str">
        <f t="shared" si="129"/>
        <v>1166|Marco Pašalić|25|Croatia|RW|Orlando City SC|24</v>
      </c>
      <c r="J1603" s="15" t="str">
        <f>IF(COUNTIF(I$438:I1603,I1603)&gt;1,"DOUBLON","OK")</f>
        <v>OK</v>
      </c>
      <c r="S1603" s="12" t="str">
        <v>Germany</v>
      </c>
      <c r="T1603" s="12" t="str">
        <f t="shared" si="126"/>
        <v>OK</v>
      </c>
      <c r="U1603" s="12" t="str">
        <f t="shared" si="127"/>
        <v>-</v>
      </c>
      <c r="V1603" s="12" t="str" cm="1">
        <f t="array" ref="V1603">_xlfn.IFS(
ISNUMBER(SEARCH("USA",S1603)),"United States",
ISNUMBER(SEARCH("Republic of Ireland",S1603)),"Ireland",
ISNUMBER(SEARCH("Republic of Korea",S1603)),"South Korea",
ISNUMBER(SEARCH("Cape Verde",S1603)),"Cabo Verde",
ISNUMBER(SEARCH("Czechia",S1603)),"Czech Republic",
ISNUMBER(SEARCH("Türkiye",S1603)),"Turkey",
ISNUMBER(SEARCH("Ivory Coast",S1603)),"Côte d'Ivoire",
ISNUMBER(SEARCH("Korea Republic",S1603)),"South Korea",
ISNUMBER(SEARCH("Germany FR",S1603)),"FR Germany",
ISNUMBER(SEARCH("West Germany",S1603)),"FR Germany",
ISNUMBER(SEARCH("Germany DR",S1603)),"DR Germany",
ISNUMBER(SEARCH("Korea DPR",S1603)),"North Korea",
ISNUMBER(SEARCH("China PR",S1603)),"China",
ISNUMBER(SEARCH("IR Iran",S1603)),"Iran",
ISNUMBER(SEARCH("Congo DR",S1603)),"Democratic Republic of the Congo",
ISNUMBER(SEARCH("DR Congo",S1603)),"Democratic Republic of the Congo",
ISNUMBER(SEARCH("German DR",S1603)),"DR Germany",
ISNUMBER(SEARCH("rn""&gt;United Arab Emirates",S1603)),"United Arab Emirates",
ISNUMBER(SEARCH("rn""&gt;Republic of Ireland",S1603)),"Ireland",
ISNUMBER(SEARCH("rn""&gt;Bosnia and Herzegovina",S1603)),"Bosnia and Herzegovina",
ISNUMBER(SEARCH("rn""&gt;Trinidad and Tobago",S1603)),"Trinidad and Tobago",
ISNUMBER(SEARCH("rn""&gt;Serbia and Montenegro",S1603)),"Serbia and Montenegro",
ISNUMBER(SEARCH(_xlfn.UNICHAR(65533),S1603)),"Côte d'Ivoire",
TRUE,""
)</f>
        <v/>
      </c>
      <c r="W1603" s="12" t="str">
        <f t="shared" si="128"/>
        <v>Germany</v>
      </c>
    </row>
    <row r="1604" spans="2:23">
      <c r="B1604" s="75">
        <v>1167</v>
      </c>
      <c r="C1604" s="15" t="str">
        <v>Andrej Kramarić</v>
      </c>
      <c r="D1604" s="15">
        <v>34</v>
      </c>
      <c r="E1604" s="15" t="str">
        <v>Croatia</v>
      </c>
      <c r="F1604" s="15" t="str">
        <v>ST</v>
      </c>
      <c r="G1604" s="15" t="str">
        <v>TSG Hoffenheim</v>
      </c>
      <c r="H1604" s="15">
        <v>9</v>
      </c>
      <c r="I1604" s="15" t="str">
        <f t="shared" si="129"/>
        <v>1167|Andrej Kramarić|34|Croatia|ST|TSG Hoffenheim|9</v>
      </c>
      <c r="J1604" s="15" t="str">
        <f>IF(COUNTIF(I$438:I1604,I1604)&gt;1,"DOUBLON","OK")</f>
        <v>OK</v>
      </c>
      <c r="S1604" s="12" t="str">
        <v>Germany</v>
      </c>
      <c r="T1604" s="12" t="str">
        <f t="shared" si="126"/>
        <v>OK</v>
      </c>
      <c r="U1604" s="12" t="str">
        <f t="shared" si="127"/>
        <v>-</v>
      </c>
      <c r="V1604" s="12" t="str" cm="1">
        <f t="array" ref="V1604">_xlfn.IFS(
ISNUMBER(SEARCH("USA",S1604)),"United States",
ISNUMBER(SEARCH("Republic of Ireland",S1604)),"Ireland",
ISNUMBER(SEARCH("Republic of Korea",S1604)),"South Korea",
ISNUMBER(SEARCH("Cape Verde",S1604)),"Cabo Verde",
ISNUMBER(SEARCH("Czechia",S1604)),"Czech Republic",
ISNUMBER(SEARCH("Türkiye",S1604)),"Turkey",
ISNUMBER(SEARCH("Ivory Coast",S1604)),"Côte d'Ivoire",
ISNUMBER(SEARCH("Korea Republic",S1604)),"South Korea",
ISNUMBER(SEARCH("Germany FR",S1604)),"FR Germany",
ISNUMBER(SEARCH("West Germany",S1604)),"FR Germany",
ISNUMBER(SEARCH("Germany DR",S1604)),"DR Germany",
ISNUMBER(SEARCH("Korea DPR",S1604)),"North Korea",
ISNUMBER(SEARCH("China PR",S1604)),"China",
ISNUMBER(SEARCH("IR Iran",S1604)),"Iran",
ISNUMBER(SEARCH("Congo DR",S1604)),"Democratic Republic of the Congo",
ISNUMBER(SEARCH("DR Congo",S1604)),"Democratic Republic of the Congo",
ISNUMBER(SEARCH("German DR",S1604)),"DR Germany",
ISNUMBER(SEARCH("rn""&gt;United Arab Emirates",S1604)),"United Arab Emirates",
ISNUMBER(SEARCH("rn""&gt;Republic of Ireland",S1604)),"Ireland",
ISNUMBER(SEARCH("rn""&gt;Bosnia and Herzegovina",S1604)),"Bosnia and Herzegovina",
ISNUMBER(SEARCH("rn""&gt;Trinidad and Tobago",S1604)),"Trinidad and Tobago",
ISNUMBER(SEARCH("rn""&gt;Serbia and Montenegro",S1604)),"Serbia and Montenegro",
ISNUMBER(SEARCH(_xlfn.UNICHAR(65533),S1604)),"Côte d'Ivoire",
TRUE,""
)</f>
        <v/>
      </c>
      <c r="W1604" s="12" t="str">
        <f t="shared" si="128"/>
        <v>Germany</v>
      </c>
    </row>
    <row r="1605" spans="2:23">
      <c r="B1605" s="75">
        <v>1168</v>
      </c>
      <c r="C1605" s="15" t="str">
        <v>Ante Budimir</v>
      </c>
      <c r="D1605" s="15">
        <v>34</v>
      </c>
      <c r="E1605" s="15" t="str">
        <v>Croatia</v>
      </c>
      <c r="F1605" s="15" t="str">
        <v>ST</v>
      </c>
      <c r="G1605" s="15" t="str">
        <v>Osasuna</v>
      </c>
      <c r="H1605" s="15">
        <v>11</v>
      </c>
      <c r="I1605" s="15" t="str">
        <f t="shared" si="129"/>
        <v>1168|Ante Budimir|34|Croatia|ST|Osasuna|11</v>
      </c>
      <c r="J1605" s="15" t="str">
        <f>IF(COUNTIF(I$438:I1605,I1605)&gt;1,"DOUBLON","OK")</f>
        <v>OK</v>
      </c>
      <c r="S1605" s="12" t="str">
        <v>Germany</v>
      </c>
      <c r="T1605" s="12" t="str">
        <f t="shared" si="126"/>
        <v>OK</v>
      </c>
      <c r="U1605" s="12" t="str">
        <f t="shared" si="127"/>
        <v>-</v>
      </c>
      <c r="V1605" s="12" t="str" cm="1">
        <f t="array" ref="V1605">_xlfn.IFS(
ISNUMBER(SEARCH("USA",S1605)),"United States",
ISNUMBER(SEARCH("Republic of Ireland",S1605)),"Ireland",
ISNUMBER(SEARCH("Republic of Korea",S1605)),"South Korea",
ISNUMBER(SEARCH("Cape Verde",S1605)),"Cabo Verde",
ISNUMBER(SEARCH("Czechia",S1605)),"Czech Republic",
ISNUMBER(SEARCH("Türkiye",S1605)),"Turkey",
ISNUMBER(SEARCH("Ivory Coast",S1605)),"Côte d'Ivoire",
ISNUMBER(SEARCH("Korea Republic",S1605)),"South Korea",
ISNUMBER(SEARCH("Germany FR",S1605)),"FR Germany",
ISNUMBER(SEARCH("West Germany",S1605)),"FR Germany",
ISNUMBER(SEARCH("Germany DR",S1605)),"DR Germany",
ISNUMBER(SEARCH("Korea DPR",S1605)),"North Korea",
ISNUMBER(SEARCH("China PR",S1605)),"China",
ISNUMBER(SEARCH("IR Iran",S1605)),"Iran",
ISNUMBER(SEARCH("Congo DR",S1605)),"Democratic Republic of the Congo",
ISNUMBER(SEARCH("DR Congo",S1605)),"Democratic Republic of the Congo",
ISNUMBER(SEARCH("German DR",S1605)),"DR Germany",
ISNUMBER(SEARCH("rn""&gt;United Arab Emirates",S1605)),"United Arab Emirates",
ISNUMBER(SEARCH("rn""&gt;Republic of Ireland",S1605)),"Ireland",
ISNUMBER(SEARCH("rn""&gt;Bosnia and Herzegovina",S1605)),"Bosnia and Herzegovina",
ISNUMBER(SEARCH("rn""&gt;Trinidad and Tobago",S1605)),"Trinidad and Tobago",
ISNUMBER(SEARCH("rn""&gt;Serbia and Montenegro",S1605)),"Serbia and Montenegro",
ISNUMBER(SEARCH(_xlfn.UNICHAR(65533),S1605)),"Côte d'Ivoire",
TRUE,""
)</f>
        <v/>
      </c>
      <c r="W1605" s="12" t="str">
        <f t="shared" si="128"/>
        <v>Germany</v>
      </c>
    </row>
    <row r="1606" spans="2:23">
      <c r="B1606" s="75">
        <v>1169</v>
      </c>
      <c r="C1606" s="15" t="str">
        <v>Igor Matanović</v>
      </c>
      <c r="D1606" s="15">
        <v>23</v>
      </c>
      <c r="E1606" s="15" t="str">
        <v>Croatia</v>
      </c>
      <c r="F1606" s="15" t="str">
        <v>ST</v>
      </c>
      <c r="G1606" s="15" t="str">
        <v>SC Freiburg</v>
      </c>
      <c r="H1606" s="15">
        <v>20</v>
      </c>
      <c r="I1606" s="15" t="str">
        <f t="shared" si="129"/>
        <v>1169|Igor Matanović|23|Croatia|ST|SC Freiburg|20</v>
      </c>
      <c r="J1606" s="15" t="str">
        <f>IF(COUNTIF(I$438:I1606,I1606)&gt;1,"DOUBLON","OK")</f>
        <v>OK</v>
      </c>
      <c r="S1606" s="12" t="str">
        <v>Germany</v>
      </c>
      <c r="T1606" s="12" t="str">
        <f t="shared" si="126"/>
        <v>OK</v>
      </c>
      <c r="U1606" s="12" t="str">
        <f t="shared" si="127"/>
        <v>-</v>
      </c>
      <c r="V1606" s="12" t="str" cm="1">
        <f t="array" ref="V1606">_xlfn.IFS(
ISNUMBER(SEARCH("USA",S1606)),"United States",
ISNUMBER(SEARCH("Republic of Ireland",S1606)),"Ireland",
ISNUMBER(SEARCH("Republic of Korea",S1606)),"South Korea",
ISNUMBER(SEARCH("Cape Verde",S1606)),"Cabo Verde",
ISNUMBER(SEARCH("Czechia",S1606)),"Czech Republic",
ISNUMBER(SEARCH("Türkiye",S1606)),"Turkey",
ISNUMBER(SEARCH("Ivory Coast",S1606)),"Côte d'Ivoire",
ISNUMBER(SEARCH("Korea Republic",S1606)),"South Korea",
ISNUMBER(SEARCH("Germany FR",S1606)),"FR Germany",
ISNUMBER(SEARCH("West Germany",S1606)),"FR Germany",
ISNUMBER(SEARCH("Germany DR",S1606)),"DR Germany",
ISNUMBER(SEARCH("Korea DPR",S1606)),"North Korea",
ISNUMBER(SEARCH("China PR",S1606)),"China",
ISNUMBER(SEARCH("IR Iran",S1606)),"Iran",
ISNUMBER(SEARCH("Congo DR",S1606)),"Democratic Republic of the Congo",
ISNUMBER(SEARCH("DR Congo",S1606)),"Democratic Republic of the Congo",
ISNUMBER(SEARCH("German DR",S1606)),"DR Germany",
ISNUMBER(SEARCH("rn""&gt;United Arab Emirates",S1606)),"United Arab Emirates",
ISNUMBER(SEARCH("rn""&gt;Republic of Ireland",S1606)),"Ireland",
ISNUMBER(SEARCH("rn""&gt;Bosnia and Herzegovina",S1606)),"Bosnia and Herzegovina",
ISNUMBER(SEARCH("rn""&gt;Trinidad and Tobago",S1606)),"Trinidad and Tobago",
ISNUMBER(SEARCH("rn""&gt;Serbia and Montenegro",S1606)),"Serbia and Montenegro",
ISNUMBER(SEARCH(_xlfn.UNICHAR(65533),S1606)),"Côte d'Ivoire",
TRUE,""
)</f>
        <v/>
      </c>
      <c r="W1606" s="12" t="str">
        <f t="shared" si="128"/>
        <v>Germany</v>
      </c>
    </row>
    <row r="1607" spans="2:23">
      <c r="B1607" s="75">
        <v>1170</v>
      </c>
      <c r="C1607" s="15" t="str">
        <v>Petar Musa</v>
      </c>
      <c r="D1607" s="15">
        <v>28</v>
      </c>
      <c r="E1607" s="15" t="str">
        <v>Croatia</v>
      </c>
      <c r="F1607" s="15" t="str">
        <v>ST</v>
      </c>
      <c r="G1607" s="15" t="str">
        <v>FC Dallas</v>
      </c>
      <c r="H1607" s="15">
        <v>26</v>
      </c>
      <c r="I1607" s="15" t="str">
        <f t="shared" si="129"/>
        <v>1170|Petar Musa|28|Croatia|ST|FC Dallas|26</v>
      </c>
      <c r="J1607" s="15" t="str">
        <f>IF(COUNTIF(I$438:I1607,I1607)&gt;1,"DOUBLON","OK")</f>
        <v>OK</v>
      </c>
      <c r="S1607" s="12" t="str">
        <v>Germany</v>
      </c>
      <c r="T1607" s="12" t="str">
        <f t="shared" si="126"/>
        <v>OK</v>
      </c>
      <c r="U1607" s="12" t="str">
        <f t="shared" si="127"/>
        <v>-</v>
      </c>
      <c r="V1607" s="12" t="str" cm="1">
        <f t="array" ref="V1607">_xlfn.IFS(
ISNUMBER(SEARCH("USA",S1607)),"United States",
ISNUMBER(SEARCH("Republic of Ireland",S1607)),"Ireland",
ISNUMBER(SEARCH("Republic of Korea",S1607)),"South Korea",
ISNUMBER(SEARCH("Cape Verde",S1607)),"Cabo Verde",
ISNUMBER(SEARCH("Czechia",S1607)),"Czech Republic",
ISNUMBER(SEARCH("Türkiye",S1607)),"Turkey",
ISNUMBER(SEARCH("Ivory Coast",S1607)),"Côte d'Ivoire",
ISNUMBER(SEARCH("Korea Republic",S1607)),"South Korea",
ISNUMBER(SEARCH("Germany FR",S1607)),"FR Germany",
ISNUMBER(SEARCH("West Germany",S1607)),"FR Germany",
ISNUMBER(SEARCH("Germany DR",S1607)),"DR Germany",
ISNUMBER(SEARCH("Korea DPR",S1607)),"North Korea",
ISNUMBER(SEARCH("China PR",S1607)),"China",
ISNUMBER(SEARCH("IR Iran",S1607)),"Iran",
ISNUMBER(SEARCH("Congo DR",S1607)),"Democratic Republic of the Congo",
ISNUMBER(SEARCH("DR Congo",S1607)),"Democratic Republic of the Congo",
ISNUMBER(SEARCH("German DR",S1607)),"DR Germany",
ISNUMBER(SEARCH("rn""&gt;United Arab Emirates",S1607)),"United Arab Emirates",
ISNUMBER(SEARCH("rn""&gt;Republic of Ireland",S1607)),"Ireland",
ISNUMBER(SEARCH("rn""&gt;Bosnia and Herzegovina",S1607)),"Bosnia and Herzegovina",
ISNUMBER(SEARCH("rn""&gt;Trinidad and Tobago",S1607)),"Trinidad and Tobago",
ISNUMBER(SEARCH("rn""&gt;Serbia and Montenegro",S1607)),"Serbia and Montenegro",
ISNUMBER(SEARCH(_xlfn.UNICHAR(65533),S1607)),"Côte d'Ivoire",
TRUE,""
)</f>
        <v/>
      </c>
      <c r="W1607" s="12" t="str">
        <f t="shared" si="128"/>
        <v>Germany</v>
      </c>
    </row>
    <row r="1608" spans="2:23">
      <c r="B1608" s="75">
        <v>1171</v>
      </c>
      <c r="C1608" s="15" t="str">
        <v>Jordan Pickford</v>
      </c>
      <c r="D1608" s="15">
        <v>32</v>
      </c>
      <c r="E1608" s="15" t="str">
        <v>England</v>
      </c>
      <c r="F1608" s="15" t="str">
        <v>GK</v>
      </c>
      <c r="G1608" s="15" t="str">
        <v>Everton</v>
      </c>
      <c r="H1608" s="15">
        <v>1</v>
      </c>
      <c r="I1608" s="15" t="str">
        <f t="shared" si="129"/>
        <v>1171|Jordan Pickford|32|England|GK|Everton|1</v>
      </c>
      <c r="J1608" s="15" t="str">
        <f>IF(COUNTIF(I$438:I1608,I1608)&gt;1,"DOUBLON","OK")</f>
        <v>OK</v>
      </c>
      <c r="S1608" s="12" t="str">
        <v>Germany</v>
      </c>
      <c r="T1608" s="12" t="str">
        <f t="shared" si="126"/>
        <v>OK</v>
      </c>
      <c r="U1608" s="12" t="str">
        <f t="shared" si="127"/>
        <v>-</v>
      </c>
      <c r="V1608" s="12" t="str" cm="1">
        <f t="array" ref="V1608">_xlfn.IFS(
ISNUMBER(SEARCH("USA",S1608)),"United States",
ISNUMBER(SEARCH("Republic of Ireland",S1608)),"Ireland",
ISNUMBER(SEARCH("Republic of Korea",S1608)),"South Korea",
ISNUMBER(SEARCH("Cape Verde",S1608)),"Cabo Verde",
ISNUMBER(SEARCH("Czechia",S1608)),"Czech Republic",
ISNUMBER(SEARCH("Türkiye",S1608)),"Turkey",
ISNUMBER(SEARCH("Ivory Coast",S1608)),"Côte d'Ivoire",
ISNUMBER(SEARCH("Korea Republic",S1608)),"South Korea",
ISNUMBER(SEARCH("Germany FR",S1608)),"FR Germany",
ISNUMBER(SEARCH("West Germany",S1608)),"FR Germany",
ISNUMBER(SEARCH("Germany DR",S1608)),"DR Germany",
ISNUMBER(SEARCH("Korea DPR",S1608)),"North Korea",
ISNUMBER(SEARCH("China PR",S1608)),"China",
ISNUMBER(SEARCH("IR Iran",S1608)),"Iran",
ISNUMBER(SEARCH("Congo DR",S1608)),"Democratic Republic of the Congo",
ISNUMBER(SEARCH("DR Congo",S1608)),"Democratic Republic of the Congo",
ISNUMBER(SEARCH("German DR",S1608)),"DR Germany",
ISNUMBER(SEARCH("rn""&gt;United Arab Emirates",S1608)),"United Arab Emirates",
ISNUMBER(SEARCH("rn""&gt;Republic of Ireland",S1608)),"Ireland",
ISNUMBER(SEARCH("rn""&gt;Bosnia and Herzegovina",S1608)),"Bosnia and Herzegovina",
ISNUMBER(SEARCH("rn""&gt;Trinidad and Tobago",S1608)),"Trinidad and Tobago",
ISNUMBER(SEARCH("rn""&gt;Serbia and Montenegro",S1608)),"Serbia and Montenegro",
ISNUMBER(SEARCH(_xlfn.UNICHAR(65533),S1608)),"Côte d'Ivoire",
TRUE,""
)</f>
        <v/>
      </c>
      <c r="W1608" s="12" t="str">
        <f t="shared" si="128"/>
        <v>Germany</v>
      </c>
    </row>
    <row r="1609" spans="2:23">
      <c r="B1609" s="75">
        <v>1172</v>
      </c>
      <c r="C1609" s="15" t="str">
        <v>Dean Henderson</v>
      </c>
      <c r="D1609" s="15">
        <v>29</v>
      </c>
      <c r="E1609" s="15" t="str">
        <v>England</v>
      </c>
      <c r="F1609" s="15" t="str">
        <v>GK</v>
      </c>
      <c r="G1609" s="15" t="str">
        <v>Crystal Palace</v>
      </c>
      <c r="H1609" s="15">
        <v>13</v>
      </c>
      <c r="I1609" s="15" t="str">
        <f t="shared" si="129"/>
        <v>1172|Dean Henderson|29|England|GK|Crystal Palace|13</v>
      </c>
      <c r="J1609" s="15" t="str">
        <f>IF(COUNTIF(I$438:I1609,I1609)&gt;1,"DOUBLON","OK")</f>
        <v>OK</v>
      </c>
      <c r="S1609" s="12" t="str">
        <v>Germany</v>
      </c>
      <c r="T1609" s="12" t="str">
        <f t="shared" si="126"/>
        <v>OK</v>
      </c>
      <c r="U1609" s="12" t="str">
        <f t="shared" si="127"/>
        <v>-</v>
      </c>
      <c r="V1609" s="12" t="str" cm="1">
        <f t="array" ref="V1609">_xlfn.IFS(
ISNUMBER(SEARCH("USA",S1609)),"United States",
ISNUMBER(SEARCH("Republic of Ireland",S1609)),"Ireland",
ISNUMBER(SEARCH("Republic of Korea",S1609)),"South Korea",
ISNUMBER(SEARCH("Cape Verde",S1609)),"Cabo Verde",
ISNUMBER(SEARCH("Czechia",S1609)),"Czech Republic",
ISNUMBER(SEARCH("Türkiye",S1609)),"Turkey",
ISNUMBER(SEARCH("Ivory Coast",S1609)),"Côte d'Ivoire",
ISNUMBER(SEARCH("Korea Republic",S1609)),"South Korea",
ISNUMBER(SEARCH("Germany FR",S1609)),"FR Germany",
ISNUMBER(SEARCH("West Germany",S1609)),"FR Germany",
ISNUMBER(SEARCH("Germany DR",S1609)),"DR Germany",
ISNUMBER(SEARCH("Korea DPR",S1609)),"North Korea",
ISNUMBER(SEARCH("China PR",S1609)),"China",
ISNUMBER(SEARCH("IR Iran",S1609)),"Iran",
ISNUMBER(SEARCH("Congo DR",S1609)),"Democratic Republic of the Congo",
ISNUMBER(SEARCH("DR Congo",S1609)),"Democratic Republic of the Congo",
ISNUMBER(SEARCH("German DR",S1609)),"DR Germany",
ISNUMBER(SEARCH("rn""&gt;United Arab Emirates",S1609)),"United Arab Emirates",
ISNUMBER(SEARCH("rn""&gt;Republic of Ireland",S1609)),"Ireland",
ISNUMBER(SEARCH("rn""&gt;Bosnia and Herzegovina",S1609)),"Bosnia and Herzegovina",
ISNUMBER(SEARCH("rn""&gt;Trinidad and Tobago",S1609)),"Trinidad and Tobago",
ISNUMBER(SEARCH("rn""&gt;Serbia and Montenegro",S1609)),"Serbia and Montenegro",
ISNUMBER(SEARCH(_xlfn.UNICHAR(65533),S1609)),"Côte d'Ivoire",
TRUE,""
)</f>
        <v/>
      </c>
      <c r="W1609" s="12" t="str">
        <f t="shared" si="128"/>
        <v>Germany</v>
      </c>
    </row>
    <row r="1610" spans="2:23">
      <c r="B1610" s="75">
        <v>1173</v>
      </c>
      <c r="C1610" s="15" t="str">
        <v>James Trafford</v>
      </c>
      <c r="D1610" s="15">
        <v>23</v>
      </c>
      <c r="E1610" s="15" t="str">
        <v>England</v>
      </c>
      <c r="F1610" s="15" t="str">
        <v>GK</v>
      </c>
      <c r="G1610" s="15" t="str">
        <v>Manchester City</v>
      </c>
      <c r="H1610" s="15">
        <v>23</v>
      </c>
      <c r="I1610" s="15" t="str">
        <f t="shared" si="129"/>
        <v>1173|James Trafford|23|England|GK|Manchester City|23</v>
      </c>
      <c r="J1610" s="15" t="str">
        <f>IF(COUNTIF(I$438:I1610,I1610)&gt;1,"DOUBLON","OK")</f>
        <v>OK</v>
      </c>
      <c r="S1610" s="12" t="str">
        <v>Germany</v>
      </c>
      <c r="T1610" s="12" t="str">
        <f t="shared" si="126"/>
        <v>OK</v>
      </c>
      <c r="U1610" s="12" t="str">
        <f t="shared" si="127"/>
        <v>-</v>
      </c>
      <c r="V1610" s="12" t="str" cm="1">
        <f t="array" ref="V1610">_xlfn.IFS(
ISNUMBER(SEARCH("USA",S1610)),"United States",
ISNUMBER(SEARCH("Republic of Ireland",S1610)),"Ireland",
ISNUMBER(SEARCH("Republic of Korea",S1610)),"South Korea",
ISNUMBER(SEARCH("Cape Verde",S1610)),"Cabo Verde",
ISNUMBER(SEARCH("Czechia",S1610)),"Czech Republic",
ISNUMBER(SEARCH("Türkiye",S1610)),"Turkey",
ISNUMBER(SEARCH("Ivory Coast",S1610)),"Côte d'Ivoire",
ISNUMBER(SEARCH("Korea Republic",S1610)),"South Korea",
ISNUMBER(SEARCH("Germany FR",S1610)),"FR Germany",
ISNUMBER(SEARCH("West Germany",S1610)),"FR Germany",
ISNUMBER(SEARCH("Germany DR",S1610)),"DR Germany",
ISNUMBER(SEARCH("Korea DPR",S1610)),"North Korea",
ISNUMBER(SEARCH("China PR",S1610)),"China",
ISNUMBER(SEARCH("IR Iran",S1610)),"Iran",
ISNUMBER(SEARCH("Congo DR",S1610)),"Democratic Republic of the Congo",
ISNUMBER(SEARCH("DR Congo",S1610)),"Democratic Republic of the Congo",
ISNUMBER(SEARCH("German DR",S1610)),"DR Germany",
ISNUMBER(SEARCH("rn""&gt;United Arab Emirates",S1610)),"United Arab Emirates",
ISNUMBER(SEARCH("rn""&gt;Republic of Ireland",S1610)),"Ireland",
ISNUMBER(SEARCH("rn""&gt;Bosnia and Herzegovina",S1610)),"Bosnia and Herzegovina",
ISNUMBER(SEARCH("rn""&gt;Trinidad and Tobago",S1610)),"Trinidad and Tobago",
ISNUMBER(SEARCH("rn""&gt;Serbia and Montenegro",S1610)),"Serbia and Montenegro",
ISNUMBER(SEARCH(_xlfn.UNICHAR(65533),S1610)),"Côte d'Ivoire",
TRUE,""
)</f>
        <v/>
      </c>
      <c r="W1610" s="12" t="str">
        <f t="shared" si="128"/>
        <v>Germany</v>
      </c>
    </row>
    <row r="1611" spans="2:23">
      <c r="B1611" s="75">
        <v>1174</v>
      </c>
      <c r="C1611" s="15" t="str">
        <v>Ezri Konsa</v>
      </c>
      <c r="D1611" s="15">
        <v>28</v>
      </c>
      <c r="E1611" s="15" t="str">
        <v>England</v>
      </c>
      <c r="F1611" s="15" t="str">
        <v>CB</v>
      </c>
      <c r="G1611" s="15" t="str">
        <v>Aston Villa</v>
      </c>
      <c r="H1611" s="15">
        <v>2</v>
      </c>
      <c r="I1611" s="15" t="str">
        <f t="shared" si="129"/>
        <v>1174|Ezri Konsa|28|England|CB|Aston Villa|2</v>
      </c>
      <c r="J1611" s="15" t="str">
        <f>IF(COUNTIF(I$438:I1611,I1611)&gt;1,"DOUBLON","OK")</f>
        <v>OK</v>
      </c>
      <c r="S1611" s="12" t="str">
        <v>Germany</v>
      </c>
      <c r="T1611" s="12" t="str">
        <f t="shared" si="126"/>
        <v>OK</v>
      </c>
      <c r="U1611" s="12" t="str">
        <f t="shared" si="127"/>
        <v>-</v>
      </c>
      <c r="V1611" s="12" t="str" cm="1">
        <f t="array" ref="V1611">_xlfn.IFS(
ISNUMBER(SEARCH("USA",S1611)),"United States",
ISNUMBER(SEARCH("Republic of Ireland",S1611)),"Ireland",
ISNUMBER(SEARCH("Republic of Korea",S1611)),"South Korea",
ISNUMBER(SEARCH("Cape Verde",S1611)),"Cabo Verde",
ISNUMBER(SEARCH("Czechia",S1611)),"Czech Republic",
ISNUMBER(SEARCH("Türkiye",S1611)),"Turkey",
ISNUMBER(SEARCH("Ivory Coast",S1611)),"Côte d'Ivoire",
ISNUMBER(SEARCH("Korea Republic",S1611)),"South Korea",
ISNUMBER(SEARCH("Germany FR",S1611)),"FR Germany",
ISNUMBER(SEARCH("West Germany",S1611)),"FR Germany",
ISNUMBER(SEARCH("Germany DR",S1611)),"DR Germany",
ISNUMBER(SEARCH("Korea DPR",S1611)),"North Korea",
ISNUMBER(SEARCH("China PR",S1611)),"China",
ISNUMBER(SEARCH("IR Iran",S1611)),"Iran",
ISNUMBER(SEARCH("Congo DR",S1611)),"Democratic Republic of the Congo",
ISNUMBER(SEARCH("DR Congo",S1611)),"Democratic Republic of the Congo",
ISNUMBER(SEARCH("German DR",S1611)),"DR Germany",
ISNUMBER(SEARCH("rn""&gt;United Arab Emirates",S1611)),"United Arab Emirates",
ISNUMBER(SEARCH("rn""&gt;Republic of Ireland",S1611)),"Ireland",
ISNUMBER(SEARCH("rn""&gt;Bosnia and Herzegovina",S1611)),"Bosnia and Herzegovina",
ISNUMBER(SEARCH("rn""&gt;Trinidad and Tobago",S1611)),"Trinidad and Tobago",
ISNUMBER(SEARCH("rn""&gt;Serbia and Montenegro",S1611)),"Serbia and Montenegro",
ISNUMBER(SEARCH(_xlfn.UNICHAR(65533),S1611)),"Côte d'Ivoire",
TRUE,""
)</f>
        <v/>
      </c>
      <c r="W1611" s="12" t="str">
        <f t="shared" si="128"/>
        <v>Germany</v>
      </c>
    </row>
    <row r="1612" spans="2:23">
      <c r="B1612" s="75">
        <v>1175</v>
      </c>
      <c r="C1612" s="15" t="str">
        <v>John Stones</v>
      </c>
      <c r="D1612" s="15">
        <v>32</v>
      </c>
      <c r="E1612" s="15" t="str">
        <v>England</v>
      </c>
      <c r="F1612" s="15" t="str">
        <v>CB</v>
      </c>
      <c r="G1612" s="15" t="str">
        <v>Manchester City</v>
      </c>
      <c r="H1612" s="15">
        <v>5</v>
      </c>
      <c r="I1612" s="15" t="str">
        <f t="shared" si="129"/>
        <v>1175|John Stones|32|England|CB|Manchester City|5</v>
      </c>
      <c r="J1612" s="15" t="str">
        <f>IF(COUNTIF(I$438:I1612,I1612)&gt;1,"DOUBLON","OK")</f>
        <v>OK</v>
      </c>
      <c r="S1612" s="12" t="str">
        <v>Germany</v>
      </c>
      <c r="T1612" s="12" t="str">
        <f t="shared" si="126"/>
        <v>OK</v>
      </c>
      <c r="U1612" s="12" t="str">
        <f t="shared" si="127"/>
        <v>-</v>
      </c>
      <c r="V1612" s="12" t="str" cm="1">
        <f t="array" ref="V1612">_xlfn.IFS(
ISNUMBER(SEARCH("USA",S1612)),"United States",
ISNUMBER(SEARCH("Republic of Ireland",S1612)),"Ireland",
ISNUMBER(SEARCH("Republic of Korea",S1612)),"South Korea",
ISNUMBER(SEARCH("Cape Verde",S1612)),"Cabo Verde",
ISNUMBER(SEARCH("Czechia",S1612)),"Czech Republic",
ISNUMBER(SEARCH("Türkiye",S1612)),"Turkey",
ISNUMBER(SEARCH("Ivory Coast",S1612)),"Côte d'Ivoire",
ISNUMBER(SEARCH("Korea Republic",S1612)),"South Korea",
ISNUMBER(SEARCH("Germany FR",S1612)),"FR Germany",
ISNUMBER(SEARCH("West Germany",S1612)),"FR Germany",
ISNUMBER(SEARCH("Germany DR",S1612)),"DR Germany",
ISNUMBER(SEARCH("Korea DPR",S1612)),"North Korea",
ISNUMBER(SEARCH("China PR",S1612)),"China",
ISNUMBER(SEARCH("IR Iran",S1612)),"Iran",
ISNUMBER(SEARCH("Congo DR",S1612)),"Democratic Republic of the Congo",
ISNUMBER(SEARCH("DR Congo",S1612)),"Democratic Republic of the Congo",
ISNUMBER(SEARCH("German DR",S1612)),"DR Germany",
ISNUMBER(SEARCH("rn""&gt;United Arab Emirates",S1612)),"United Arab Emirates",
ISNUMBER(SEARCH("rn""&gt;Republic of Ireland",S1612)),"Ireland",
ISNUMBER(SEARCH("rn""&gt;Bosnia and Herzegovina",S1612)),"Bosnia and Herzegovina",
ISNUMBER(SEARCH("rn""&gt;Trinidad and Tobago",S1612)),"Trinidad and Tobago",
ISNUMBER(SEARCH("rn""&gt;Serbia and Montenegro",S1612)),"Serbia and Montenegro",
ISNUMBER(SEARCH(_xlfn.UNICHAR(65533),S1612)),"Côte d'Ivoire",
TRUE,""
)</f>
        <v/>
      </c>
      <c r="W1612" s="12" t="str">
        <f t="shared" si="128"/>
        <v>Germany</v>
      </c>
    </row>
    <row r="1613" spans="2:23">
      <c r="B1613" s="75">
        <v>1176</v>
      </c>
      <c r="C1613" s="15" t="str">
        <v>Marc Guéhi</v>
      </c>
      <c r="D1613" s="15">
        <v>25</v>
      </c>
      <c r="E1613" s="15" t="str">
        <v>England</v>
      </c>
      <c r="F1613" s="15" t="str">
        <v>CB</v>
      </c>
      <c r="G1613" s="15" t="str">
        <v>Manchester City</v>
      </c>
      <c r="H1613" s="15">
        <v>6</v>
      </c>
      <c r="I1613" s="15" t="str">
        <f t="shared" si="129"/>
        <v>1176|Marc Guéhi|25|England|CB|Manchester City|6</v>
      </c>
      <c r="J1613" s="15" t="str">
        <f>IF(COUNTIF(I$438:I1613,I1613)&gt;1,"DOUBLON","OK")</f>
        <v>OK</v>
      </c>
      <c r="S1613" s="12" t="str">
        <v>Germany</v>
      </c>
      <c r="T1613" s="12" t="str">
        <f t="shared" si="126"/>
        <v>OK</v>
      </c>
      <c r="U1613" s="12" t="str">
        <f t="shared" si="127"/>
        <v>-</v>
      </c>
      <c r="V1613" s="12" t="str" cm="1">
        <f t="array" ref="V1613">_xlfn.IFS(
ISNUMBER(SEARCH("USA",S1613)),"United States",
ISNUMBER(SEARCH("Republic of Ireland",S1613)),"Ireland",
ISNUMBER(SEARCH("Republic of Korea",S1613)),"South Korea",
ISNUMBER(SEARCH("Cape Verde",S1613)),"Cabo Verde",
ISNUMBER(SEARCH("Czechia",S1613)),"Czech Republic",
ISNUMBER(SEARCH("Türkiye",S1613)),"Turkey",
ISNUMBER(SEARCH("Ivory Coast",S1613)),"Côte d'Ivoire",
ISNUMBER(SEARCH("Korea Republic",S1613)),"South Korea",
ISNUMBER(SEARCH("Germany FR",S1613)),"FR Germany",
ISNUMBER(SEARCH("West Germany",S1613)),"FR Germany",
ISNUMBER(SEARCH("Germany DR",S1613)),"DR Germany",
ISNUMBER(SEARCH("Korea DPR",S1613)),"North Korea",
ISNUMBER(SEARCH("China PR",S1613)),"China",
ISNUMBER(SEARCH("IR Iran",S1613)),"Iran",
ISNUMBER(SEARCH("Congo DR",S1613)),"Democratic Republic of the Congo",
ISNUMBER(SEARCH("DR Congo",S1613)),"Democratic Republic of the Congo",
ISNUMBER(SEARCH("German DR",S1613)),"DR Germany",
ISNUMBER(SEARCH("rn""&gt;United Arab Emirates",S1613)),"United Arab Emirates",
ISNUMBER(SEARCH("rn""&gt;Republic of Ireland",S1613)),"Ireland",
ISNUMBER(SEARCH("rn""&gt;Bosnia and Herzegovina",S1613)),"Bosnia and Herzegovina",
ISNUMBER(SEARCH("rn""&gt;Trinidad and Tobago",S1613)),"Trinidad and Tobago",
ISNUMBER(SEARCH("rn""&gt;Serbia and Montenegro",S1613)),"Serbia and Montenegro",
ISNUMBER(SEARCH(_xlfn.UNICHAR(65533),S1613)),"Côte d'Ivoire",
TRUE,""
)</f>
        <v/>
      </c>
      <c r="W1613" s="12" t="str">
        <f t="shared" si="128"/>
        <v>Germany</v>
      </c>
    </row>
    <row r="1614" spans="2:23">
      <c r="B1614" s="75">
        <v>1177</v>
      </c>
      <c r="C1614" s="15" t="str">
        <v>Trevoh Chalobah</v>
      </c>
      <c r="D1614" s="15">
        <v>26</v>
      </c>
      <c r="E1614" s="15" t="str">
        <v>England</v>
      </c>
      <c r="F1614" s="15" t="str">
        <v>CB</v>
      </c>
      <c r="G1614" s="15" t="str">
        <v>Chelsea</v>
      </c>
      <c r="H1614" s="15">
        <v>12</v>
      </c>
      <c r="I1614" s="15" t="str">
        <f t="shared" si="129"/>
        <v>1177|Trevoh Chalobah|26|England|CB|Chelsea|12</v>
      </c>
      <c r="J1614" s="15" t="str">
        <f>IF(COUNTIF(I$438:I1614,I1614)&gt;1,"DOUBLON","OK")</f>
        <v>OK</v>
      </c>
      <c r="S1614" s="12" t="str">
        <v>Germany</v>
      </c>
      <c r="T1614" s="12" t="str">
        <f t="shared" si="126"/>
        <v>OK</v>
      </c>
      <c r="U1614" s="12" t="str">
        <f t="shared" si="127"/>
        <v>-</v>
      </c>
      <c r="V1614" s="12" t="str" cm="1">
        <f t="array" ref="V1614">_xlfn.IFS(
ISNUMBER(SEARCH("USA",S1614)),"United States",
ISNUMBER(SEARCH("Republic of Ireland",S1614)),"Ireland",
ISNUMBER(SEARCH("Republic of Korea",S1614)),"South Korea",
ISNUMBER(SEARCH("Cape Verde",S1614)),"Cabo Verde",
ISNUMBER(SEARCH("Czechia",S1614)),"Czech Republic",
ISNUMBER(SEARCH("Türkiye",S1614)),"Turkey",
ISNUMBER(SEARCH("Ivory Coast",S1614)),"Côte d'Ivoire",
ISNUMBER(SEARCH("Korea Republic",S1614)),"South Korea",
ISNUMBER(SEARCH("Germany FR",S1614)),"FR Germany",
ISNUMBER(SEARCH("West Germany",S1614)),"FR Germany",
ISNUMBER(SEARCH("Germany DR",S1614)),"DR Germany",
ISNUMBER(SEARCH("Korea DPR",S1614)),"North Korea",
ISNUMBER(SEARCH("China PR",S1614)),"China",
ISNUMBER(SEARCH("IR Iran",S1614)),"Iran",
ISNUMBER(SEARCH("Congo DR",S1614)),"Democratic Republic of the Congo",
ISNUMBER(SEARCH("DR Congo",S1614)),"Democratic Republic of the Congo",
ISNUMBER(SEARCH("German DR",S1614)),"DR Germany",
ISNUMBER(SEARCH("rn""&gt;United Arab Emirates",S1614)),"United Arab Emirates",
ISNUMBER(SEARCH("rn""&gt;Republic of Ireland",S1614)),"Ireland",
ISNUMBER(SEARCH("rn""&gt;Bosnia and Herzegovina",S1614)),"Bosnia and Herzegovina",
ISNUMBER(SEARCH("rn""&gt;Trinidad and Tobago",S1614)),"Trinidad and Tobago",
ISNUMBER(SEARCH("rn""&gt;Serbia and Montenegro",S1614)),"Serbia and Montenegro",
ISNUMBER(SEARCH(_xlfn.UNICHAR(65533),S1614)),"Côte d'Ivoire",
TRUE,""
)</f>
        <v/>
      </c>
      <c r="W1614" s="12" t="str">
        <f t="shared" si="128"/>
        <v>Germany</v>
      </c>
    </row>
    <row r="1615" spans="2:23">
      <c r="B1615" s="75">
        <v>1178</v>
      </c>
      <c r="C1615" s="15" t="str">
        <v>Jarell Quansah</v>
      </c>
      <c r="D1615" s="15">
        <v>23</v>
      </c>
      <c r="E1615" s="15" t="str">
        <v>England</v>
      </c>
      <c r="F1615" s="15" t="str">
        <v>CB</v>
      </c>
      <c r="G1615" s="15" t="str">
        <v>Bayer Leverkusen</v>
      </c>
      <c r="H1615" s="15">
        <v>26</v>
      </c>
      <c r="I1615" s="15" t="str">
        <f t="shared" si="129"/>
        <v>1178|Jarell Quansah|23|England|CB|Bayer Leverkusen|26</v>
      </c>
      <c r="J1615" s="15" t="str">
        <f>IF(COUNTIF(I$438:I1615,I1615)&gt;1,"DOUBLON","OK")</f>
        <v>OK</v>
      </c>
      <c r="S1615" s="12" t="str">
        <v>Côte d'Ivoire</v>
      </c>
      <c r="T1615" s="12" t="str">
        <f t="shared" si="126"/>
        <v>OK</v>
      </c>
      <c r="U1615" s="12" t="str">
        <f t="shared" si="127"/>
        <v>-</v>
      </c>
      <c r="V1615" s="12" t="str" cm="1">
        <f t="array" ref="V1615">_xlfn.IFS(
ISNUMBER(SEARCH("USA",S1615)),"United States",
ISNUMBER(SEARCH("Republic of Ireland",S1615)),"Ireland",
ISNUMBER(SEARCH("Republic of Korea",S1615)),"South Korea",
ISNUMBER(SEARCH("Cape Verde",S1615)),"Cabo Verde",
ISNUMBER(SEARCH("Czechia",S1615)),"Czech Republic",
ISNUMBER(SEARCH("Türkiye",S1615)),"Turkey",
ISNUMBER(SEARCH("Ivory Coast",S1615)),"Côte d'Ivoire",
ISNUMBER(SEARCH("Korea Republic",S1615)),"South Korea",
ISNUMBER(SEARCH("Germany FR",S1615)),"FR Germany",
ISNUMBER(SEARCH("West Germany",S1615)),"FR Germany",
ISNUMBER(SEARCH("Germany DR",S1615)),"DR Germany",
ISNUMBER(SEARCH("Korea DPR",S1615)),"North Korea",
ISNUMBER(SEARCH("China PR",S1615)),"China",
ISNUMBER(SEARCH("IR Iran",S1615)),"Iran",
ISNUMBER(SEARCH("Congo DR",S1615)),"Democratic Republic of the Congo",
ISNUMBER(SEARCH("DR Congo",S1615)),"Democratic Republic of the Congo",
ISNUMBER(SEARCH("German DR",S1615)),"DR Germany",
ISNUMBER(SEARCH("rn""&gt;United Arab Emirates",S1615)),"United Arab Emirates",
ISNUMBER(SEARCH("rn""&gt;Republic of Ireland",S1615)),"Ireland",
ISNUMBER(SEARCH("rn""&gt;Bosnia and Herzegovina",S1615)),"Bosnia and Herzegovina",
ISNUMBER(SEARCH("rn""&gt;Trinidad and Tobago",S1615)),"Trinidad and Tobago",
ISNUMBER(SEARCH("rn""&gt;Serbia and Montenegro",S1615)),"Serbia and Montenegro",
ISNUMBER(SEARCH(_xlfn.UNICHAR(65533),S1615)),"Côte d'Ivoire",
TRUE,""
)</f>
        <v/>
      </c>
      <c r="W1615" s="12" t="str">
        <f t="shared" si="128"/>
        <v>Côte d'Ivoire</v>
      </c>
    </row>
    <row r="1616" spans="2:23">
      <c r="B1616" s="75">
        <v>1179</v>
      </c>
      <c r="C1616" s="15" t="str">
        <v>Nico O'Reilly</v>
      </c>
      <c r="D1616" s="15">
        <v>21</v>
      </c>
      <c r="E1616" s="15" t="str">
        <v>England</v>
      </c>
      <c r="F1616" s="15" t="str">
        <v>LB</v>
      </c>
      <c r="G1616" s="15" t="str">
        <v>Manchester City</v>
      </c>
      <c r="H1616" s="15">
        <v>3</v>
      </c>
      <c r="I1616" s="15" t="str">
        <f t="shared" si="129"/>
        <v>1179|Nico O'Reilly|21|England|LB|Manchester City|3</v>
      </c>
      <c r="J1616" s="15" t="str">
        <f>IF(COUNTIF(I$438:I1616,I1616)&gt;1,"DOUBLON","OK")</f>
        <v>OK</v>
      </c>
      <c r="S1616" s="12" t="str">
        <v>Côte d'Ivoire</v>
      </c>
      <c r="T1616" s="12" t="str">
        <f t="shared" si="126"/>
        <v>OK</v>
      </c>
      <c r="U1616" s="12" t="str">
        <f t="shared" si="127"/>
        <v>-</v>
      </c>
      <c r="V1616" s="12" t="str" cm="1">
        <f t="array" ref="V1616">_xlfn.IFS(
ISNUMBER(SEARCH("USA",S1616)),"United States",
ISNUMBER(SEARCH("Republic of Ireland",S1616)),"Ireland",
ISNUMBER(SEARCH("Republic of Korea",S1616)),"South Korea",
ISNUMBER(SEARCH("Cape Verde",S1616)),"Cabo Verde",
ISNUMBER(SEARCH("Czechia",S1616)),"Czech Republic",
ISNUMBER(SEARCH("Türkiye",S1616)),"Turkey",
ISNUMBER(SEARCH("Ivory Coast",S1616)),"Côte d'Ivoire",
ISNUMBER(SEARCH("Korea Republic",S1616)),"South Korea",
ISNUMBER(SEARCH("Germany FR",S1616)),"FR Germany",
ISNUMBER(SEARCH("West Germany",S1616)),"FR Germany",
ISNUMBER(SEARCH("Germany DR",S1616)),"DR Germany",
ISNUMBER(SEARCH("Korea DPR",S1616)),"North Korea",
ISNUMBER(SEARCH("China PR",S1616)),"China",
ISNUMBER(SEARCH("IR Iran",S1616)),"Iran",
ISNUMBER(SEARCH("Congo DR",S1616)),"Democratic Republic of the Congo",
ISNUMBER(SEARCH("DR Congo",S1616)),"Democratic Republic of the Congo",
ISNUMBER(SEARCH("German DR",S1616)),"DR Germany",
ISNUMBER(SEARCH("rn""&gt;United Arab Emirates",S1616)),"United Arab Emirates",
ISNUMBER(SEARCH("rn""&gt;Republic of Ireland",S1616)),"Ireland",
ISNUMBER(SEARCH("rn""&gt;Bosnia and Herzegovina",S1616)),"Bosnia and Herzegovina",
ISNUMBER(SEARCH("rn""&gt;Trinidad and Tobago",S1616)),"Trinidad and Tobago",
ISNUMBER(SEARCH("rn""&gt;Serbia and Montenegro",S1616)),"Serbia and Montenegro",
ISNUMBER(SEARCH(_xlfn.UNICHAR(65533),S1616)),"Côte d'Ivoire",
TRUE,""
)</f>
        <v/>
      </c>
      <c r="W1616" s="12" t="str">
        <f t="shared" si="128"/>
        <v>Côte d'Ivoire</v>
      </c>
    </row>
    <row r="1617" spans="2:23">
      <c r="B1617" s="75">
        <v>1180</v>
      </c>
      <c r="C1617" s="15" t="str">
        <v>Dan Burn</v>
      </c>
      <c r="D1617" s="15">
        <v>34</v>
      </c>
      <c r="E1617" s="15" t="str">
        <v>England</v>
      </c>
      <c r="F1617" s="15" t="str">
        <v>LB</v>
      </c>
      <c r="G1617" s="15" t="str">
        <v>Newcastle United</v>
      </c>
      <c r="H1617" s="15">
        <v>15</v>
      </c>
      <c r="I1617" s="15" t="str">
        <f t="shared" si="129"/>
        <v>1180|Dan Burn|34|England|LB|Newcastle United|15</v>
      </c>
      <c r="J1617" s="15" t="str">
        <f>IF(COUNTIF(I$438:I1617,I1617)&gt;1,"DOUBLON","OK")</f>
        <v>OK</v>
      </c>
      <c r="S1617" s="12" t="str">
        <v>Côte d'Ivoire</v>
      </c>
      <c r="T1617" s="12" t="str">
        <f t="shared" si="126"/>
        <v>OK</v>
      </c>
      <c r="U1617" s="12" t="str">
        <f t="shared" si="127"/>
        <v>-</v>
      </c>
      <c r="V1617" s="12" t="str" cm="1">
        <f t="array" ref="V1617">_xlfn.IFS(
ISNUMBER(SEARCH("USA",S1617)),"United States",
ISNUMBER(SEARCH("Republic of Ireland",S1617)),"Ireland",
ISNUMBER(SEARCH("Republic of Korea",S1617)),"South Korea",
ISNUMBER(SEARCH("Cape Verde",S1617)),"Cabo Verde",
ISNUMBER(SEARCH("Czechia",S1617)),"Czech Republic",
ISNUMBER(SEARCH("Türkiye",S1617)),"Turkey",
ISNUMBER(SEARCH("Ivory Coast",S1617)),"Côte d'Ivoire",
ISNUMBER(SEARCH("Korea Republic",S1617)),"South Korea",
ISNUMBER(SEARCH("Germany FR",S1617)),"FR Germany",
ISNUMBER(SEARCH("West Germany",S1617)),"FR Germany",
ISNUMBER(SEARCH("Germany DR",S1617)),"DR Germany",
ISNUMBER(SEARCH("Korea DPR",S1617)),"North Korea",
ISNUMBER(SEARCH("China PR",S1617)),"China",
ISNUMBER(SEARCH("IR Iran",S1617)),"Iran",
ISNUMBER(SEARCH("Congo DR",S1617)),"Democratic Republic of the Congo",
ISNUMBER(SEARCH("DR Congo",S1617)),"Democratic Republic of the Congo",
ISNUMBER(SEARCH("German DR",S1617)),"DR Germany",
ISNUMBER(SEARCH("rn""&gt;United Arab Emirates",S1617)),"United Arab Emirates",
ISNUMBER(SEARCH("rn""&gt;Republic of Ireland",S1617)),"Ireland",
ISNUMBER(SEARCH("rn""&gt;Bosnia and Herzegovina",S1617)),"Bosnia and Herzegovina",
ISNUMBER(SEARCH("rn""&gt;Trinidad and Tobago",S1617)),"Trinidad and Tobago",
ISNUMBER(SEARCH("rn""&gt;Serbia and Montenegro",S1617)),"Serbia and Montenegro",
ISNUMBER(SEARCH(_xlfn.UNICHAR(65533),S1617)),"Côte d'Ivoire",
TRUE,""
)</f>
        <v/>
      </c>
      <c r="W1617" s="12" t="str">
        <f t="shared" si="128"/>
        <v>Côte d'Ivoire</v>
      </c>
    </row>
    <row r="1618" spans="2:23">
      <c r="B1618" s="75">
        <v>1181</v>
      </c>
      <c r="C1618" s="15" t="str">
        <v>Reece James</v>
      </c>
      <c r="D1618" s="15">
        <v>26</v>
      </c>
      <c r="E1618" s="15" t="str">
        <v>England</v>
      </c>
      <c r="F1618" s="15" t="str">
        <v>RB</v>
      </c>
      <c r="G1618" s="15" t="str">
        <v>Chelsea</v>
      </c>
      <c r="H1618" s="15">
        <v>24</v>
      </c>
      <c r="I1618" s="15" t="str">
        <f t="shared" si="129"/>
        <v>1181|Reece James|26|England|RB|Chelsea|24</v>
      </c>
      <c r="J1618" s="15" t="str">
        <f>IF(COUNTIF(I$438:I1618,I1618)&gt;1,"DOUBLON","OK")</f>
        <v>OK</v>
      </c>
      <c r="S1618" s="12" t="str">
        <v>Côte d'Ivoire</v>
      </c>
      <c r="T1618" s="12" t="str">
        <f t="shared" si="126"/>
        <v>OK</v>
      </c>
      <c r="U1618" s="12" t="str">
        <f t="shared" si="127"/>
        <v>-</v>
      </c>
      <c r="V1618" s="12" t="str" cm="1">
        <f t="array" ref="V1618">_xlfn.IFS(
ISNUMBER(SEARCH("USA",S1618)),"United States",
ISNUMBER(SEARCH("Republic of Ireland",S1618)),"Ireland",
ISNUMBER(SEARCH("Republic of Korea",S1618)),"South Korea",
ISNUMBER(SEARCH("Cape Verde",S1618)),"Cabo Verde",
ISNUMBER(SEARCH("Czechia",S1618)),"Czech Republic",
ISNUMBER(SEARCH("Türkiye",S1618)),"Turkey",
ISNUMBER(SEARCH("Ivory Coast",S1618)),"Côte d'Ivoire",
ISNUMBER(SEARCH("Korea Republic",S1618)),"South Korea",
ISNUMBER(SEARCH("Germany FR",S1618)),"FR Germany",
ISNUMBER(SEARCH("West Germany",S1618)),"FR Germany",
ISNUMBER(SEARCH("Germany DR",S1618)),"DR Germany",
ISNUMBER(SEARCH("Korea DPR",S1618)),"North Korea",
ISNUMBER(SEARCH("China PR",S1618)),"China",
ISNUMBER(SEARCH("IR Iran",S1618)),"Iran",
ISNUMBER(SEARCH("Congo DR",S1618)),"Democratic Republic of the Congo",
ISNUMBER(SEARCH("DR Congo",S1618)),"Democratic Republic of the Congo",
ISNUMBER(SEARCH("German DR",S1618)),"DR Germany",
ISNUMBER(SEARCH("rn""&gt;United Arab Emirates",S1618)),"United Arab Emirates",
ISNUMBER(SEARCH("rn""&gt;Republic of Ireland",S1618)),"Ireland",
ISNUMBER(SEARCH("rn""&gt;Bosnia and Herzegovina",S1618)),"Bosnia and Herzegovina",
ISNUMBER(SEARCH("rn""&gt;Trinidad and Tobago",S1618)),"Trinidad and Tobago",
ISNUMBER(SEARCH("rn""&gt;Serbia and Montenegro",S1618)),"Serbia and Montenegro",
ISNUMBER(SEARCH(_xlfn.UNICHAR(65533),S1618)),"Côte d'Ivoire",
TRUE,""
)</f>
        <v/>
      </c>
      <c r="W1618" s="12" t="str">
        <f t="shared" si="128"/>
        <v>Côte d'Ivoire</v>
      </c>
    </row>
    <row r="1619" spans="2:23">
      <c r="B1619" s="75">
        <v>1182</v>
      </c>
      <c r="C1619" s="15" t="str">
        <v>Djed Spence</v>
      </c>
      <c r="D1619" s="15">
        <v>25</v>
      </c>
      <c r="E1619" s="15" t="str">
        <v>England</v>
      </c>
      <c r="F1619" s="15" t="str">
        <v>RB</v>
      </c>
      <c r="G1619" s="15" t="str">
        <v>Tottenham Hotspur</v>
      </c>
      <c r="H1619" s="15">
        <v>25</v>
      </c>
      <c r="I1619" s="15" t="str">
        <f t="shared" si="129"/>
        <v>1182|Djed Spence|25|England|RB|Tottenham Hotspur|25</v>
      </c>
      <c r="J1619" s="15" t="str">
        <f>IF(COUNTIF(I$438:I1619,I1619)&gt;1,"DOUBLON","OK")</f>
        <v>OK</v>
      </c>
      <c r="S1619" s="12" t="str">
        <v>Côte d'Ivoire</v>
      </c>
      <c r="T1619" s="12" t="str">
        <f t="shared" si="126"/>
        <v>OK</v>
      </c>
      <c r="U1619" s="12" t="str">
        <f t="shared" si="127"/>
        <v>-</v>
      </c>
      <c r="V1619" s="12" t="str" cm="1">
        <f t="array" ref="V1619">_xlfn.IFS(
ISNUMBER(SEARCH("USA",S1619)),"United States",
ISNUMBER(SEARCH("Republic of Ireland",S1619)),"Ireland",
ISNUMBER(SEARCH("Republic of Korea",S1619)),"South Korea",
ISNUMBER(SEARCH("Cape Verde",S1619)),"Cabo Verde",
ISNUMBER(SEARCH("Czechia",S1619)),"Czech Republic",
ISNUMBER(SEARCH("Türkiye",S1619)),"Turkey",
ISNUMBER(SEARCH("Ivory Coast",S1619)),"Côte d'Ivoire",
ISNUMBER(SEARCH("Korea Republic",S1619)),"South Korea",
ISNUMBER(SEARCH("Germany FR",S1619)),"FR Germany",
ISNUMBER(SEARCH("West Germany",S1619)),"FR Germany",
ISNUMBER(SEARCH("Germany DR",S1619)),"DR Germany",
ISNUMBER(SEARCH("Korea DPR",S1619)),"North Korea",
ISNUMBER(SEARCH("China PR",S1619)),"China",
ISNUMBER(SEARCH("IR Iran",S1619)),"Iran",
ISNUMBER(SEARCH("Congo DR",S1619)),"Democratic Republic of the Congo",
ISNUMBER(SEARCH("DR Congo",S1619)),"Democratic Republic of the Congo",
ISNUMBER(SEARCH("German DR",S1619)),"DR Germany",
ISNUMBER(SEARCH("rn""&gt;United Arab Emirates",S1619)),"United Arab Emirates",
ISNUMBER(SEARCH("rn""&gt;Republic of Ireland",S1619)),"Ireland",
ISNUMBER(SEARCH("rn""&gt;Bosnia and Herzegovina",S1619)),"Bosnia and Herzegovina",
ISNUMBER(SEARCH("rn""&gt;Trinidad and Tobago",S1619)),"Trinidad and Tobago",
ISNUMBER(SEARCH("rn""&gt;Serbia and Montenegro",S1619)),"Serbia and Montenegro",
ISNUMBER(SEARCH(_xlfn.UNICHAR(65533),S1619)),"Côte d'Ivoire",
TRUE,""
)</f>
        <v/>
      </c>
      <c r="W1619" s="12" t="str">
        <f t="shared" si="128"/>
        <v>Côte d'Ivoire</v>
      </c>
    </row>
    <row r="1620" spans="2:23">
      <c r="B1620" s="75">
        <v>1183</v>
      </c>
      <c r="C1620" s="15" t="str">
        <v>Declan Rice</v>
      </c>
      <c r="D1620" s="15">
        <v>27</v>
      </c>
      <c r="E1620" s="15" t="str">
        <v>England</v>
      </c>
      <c r="F1620" s="15" t="str">
        <v>CDM</v>
      </c>
      <c r="G1620" s="15" t="str">
        <v>Arsenal</v>
      </c>
      <c r="H1620" s="15">
        <v>4</v>
      </c>
      <c r="I1620" s="15" t="str">
        <f t="shared" si="129"/>
        <v>1183|Declan Rice|27|England|CDM|Arsenal|4</v>
      </c>
      <c r="J1620" s="15" t="str">
        <f>IF(COUNTIF(I$438:I1620,I1620)&gt;1,"DOUBLON","OK")</f>
        <v>OK</v>
      </c>
      <c r="S1620" s="12" t="str">
        <v>Côte d'Ivoire</v>
      </c>
      <c r="T1620" s="12" t="str">
        <f t="shared" si="126"/>
        <v>OK</v>
      </c>
      <c r="U1620" s="12" t="str">
        <f t="shared" si="127"/>
        <v>-</v>
      </c>
      <c r="V1620" s="12" t="str" cm="1">
        <f t="array" ref="V1620">_xlfn.IFS(
ISNUMBER(SEARCH("USA",S1620)),"United States",
ISNUMBER(SEARCH("Republic of Ireland",S1620)),"Ireland",
ISNUMBER(SEARCH("Republic of Korea",S1620)),"South Korea",
ISNUMBER(SEARCH("Cape Verde",S1620)),"Cabo Verde",
ISNUMBER(SEARCH("Czechia",S1620)),"Czech Republic",
ISNUMBER(SEARCH("Türkiye",S1620)),"Turkey",
ISNUMBER(SEARCH("Ivory Coast",S1620)),"Côte d'Ivoire",
ISNUMBER(SEARCH("Korea Republic",S1620)),"South Korea",
ISNUMBER(SEARCH("Germany FR",S1620)),"FR Germany",
ISNUMBER(SEARCH("West Germany",S1620)),"FR Germany",
ISNUMBER(SEARCH("Germany DR",S1620)),"DR Germany",
ISNUMBER(SEARCH("Korea DPR",S1620)),"North Korea",
ISNUMBER(SEARCH("China PR",S1620)),"China",
ISNUMBER(SEARCH("IR Iran",S1620)),"Iran",
ISNUMBER(SEARCH("Congo DR",S1620)),"Democratic Republic of the Congo",
ISNUMBER(SEARCH("DR Congo",S1620)),"Democratic Republic of the Congo",
ISNUMBER(SEARCH("German DR",S1620)),"DR Germany",
ISNUMBER(SEARCH("rn""&gt;United Arab Emirates",S1620)),"United Arab Emirates",
ISNUMBER(SEARCH("rn""&gt;Republic of Ireland",S1620)),"Ireland",
ISNUMBER(SEARCH("rn""&gt;Bosnia and Herzegovina",S1620)),"Bosnia and Herzegovina",
ISNUMBER(SEARCH("rn""&gt;Trinidad and Tobago",S1620)),"Trinidad and Tobago",
ISNUMBER(SEARCH("rn""&gt;Serbia and Montenegro",S1620)),"Serbia and Montenegro",
ISNUMBER(SEARCH(_xlfn.UNICHAR(65533),S1620)),"Côte d'Ivoire",
TRUE,""
)</f>
        <v/>
      </c>
      <c r="W1620" s="12" t="str">
        <f t="shared" si="128"/>
        <v>Côte d'Ivoire</v>
      </c>
    </row>
    <row r="1621" spans="2:23">
      <c r="B1621" s="75">
        <v>1184</v>
      </c>
      <c r="C1621" s="15" t="str">
        <v>Kobbie Mainoo</v>
      </c>
      <c r="D1621" s="15">
        <v>21</v>
      </c>
      <c r="E1621" s="15" t="str">
        <v>England</v>
      </c>
      <c r="F1621" s="15" t="str">
        <v>CDM</v>
      </c>
      <c r="G1621" s="15" t="str">
        <v>Manchester United</v>
      </c>
      <c r="H1621" s="15">
        <v>16</v>
      </c>
      <c r="I1621" s="15" t="str">
        <f t="shared" si="129"/>
        <v>1184|Kobbie Mainoo|21|England|CDM|Manchester United|16</v>
      </c>
      <c r="J1621" s="15" t="str">
        <f>IF(COUNTIF(I$438:I1621,I1621)&gt;1,"DOUBLON","OK")</f>
        <v>OK</v>
      </c>
      <c r="S1621" s="12" t="str">
        <v>Côte d'Ivoire</v>
      </c>
      <c r="T1621" s="12" t="str">
        <f t="shared" si="126"/>
        <v>OK</v>
      </c>
      <c r="U1621" s="12" t="str">
        <f t="shared" si="127"/>
        <v>-</v>
      </c>
      <c r="V1621" s="12" t="str" cm="1">
        <f t="array" ref="V1621">_xlfn.IFS(
ISNUMBER(SEARCH("USA",S1621)),"United States",
ISNUMBER(SEARCH("Republic of Ireland",S1621)),"Ireland",
ISNUMBER(SEARCH("Republic of Korea",S1621)),"South Korea",
ISNUMBER(SEARCH("Cape Verde",S1621)),"Cabo Verde",
ISNUMBER(SEARCH("Czechia",S1621)),"Czech Republic",
ISNUMBER(SEARCH("Türkiye",S1621)),"Turkey",
ISNUMBER(SEARCH("Ivory Coast",S1621)),"Côte d'Ivoire",
ISNUMBER(SEARCH("Korea Republic",S1621)),"South Korea",
ISNUMBER(SEARCH("Germany FR",S1621)),"FR Germany",
ISNUMBER(SEARCH("West Germany",S1621)),"FR Germany",
ISNUMBER(SEARCH("Germany DR",S1621)),"DR Germany",
ISNUMBER(SEARCH("Korea DPR",S1621)),"North Korea",
ISNUMBER(SEARCH("China PR",S1621)),"China",
ISNUMBER(SEARCH("IR Iran",S1621)),"Iran",
ISNUMBER(SEARCH("Congo DR",S1621)),"Democratic Republic of the Congo",
ISNUMBER(SEARCH("DR Congo",S1621)),"Democratic Republic of the Congo",
ISNUMBER(SEARCH("German DR",S1621)),"DR Germany",
ISNUMBER(SEARCH("rn""&gt;United Arab Emirates",S1621)),"United Arab Emirates",
ISNUMBER(SEARCH("rn""&gt;Republic of Ireland",S1621)),"Ireland",
ISNUMBER(SEARCH("rn""&gt;Bosnia and Herzegovina",S1621)),"Bosnia and Herzegovina",
ISNUMBER(SEARCH("rn""&gt;Trinidad and Tobago",S1621)),"Trinidad and Tobago",
ISNUMBER(SEARCH("rn""&gt;Serbia and Montenegro",S1621)),"Serbia and Montenegro",
ISNUMBER(SEARCH(_xlfn.UNICHAR(65533),S1621)),"Côte d'Ivoire",
TRUE,""
)</f>
        <v/>
      </c>
      <c r="W1621" s="12" t="str">
        <f t="shared" si="128"/>
        <v>Côte d'Ivoire</v>
      </c>
    </row>
    <row r="1622" spans="2:23">
      <c r="B1622" s="75">
        <v>1185</v>
      </c>
      <c r="C1622" s="15" t="str">
        <v>Elliot Anderson</v>
      </c>
      <c r="D1622" s="15">
        <v>23</v>
      </c>
      <c r="E1622" s="15" t="str">
        <v>England</v>
      </c>
      <c r="F1622" s="15" t="str">
        <v>CM</v>
      </c>
      <c r="G1622" s="15" t="str">
        <v>Nottingham Forest</v>
      </c>
      <c r="H1622" s="15">
        <v>8</v>
      </c>
      <c r="I1622" s="15" t="str">
        <f t="shared" si="129"/>
        <v>1185|Elliot Anderson|23|England|CM|Nottingham Forest|8</v>
      </c>
      <c r="J1622" s="15" t="str">
        <f>IF(COUNTIF(I$438:I1622,I1622)&gt;1,"DOUBLON","OK")</f>
        <v>OK</v>
      </c>
      <c r="S1622" s="12" t="str">
        <v>Côte d'Ivoire</v>
      </c>
      <c r="T1622" s="12" t="str">
        <f t="shared" si="126"/>
        <v>OK</v>
      </c>
      <c r="U1622" s="12" t="str">
        <f t="shared" si="127"/>
        <v>-</v>
      </c>
      <c r="V1622" s="12" t="str" cm="1">
        <f t="array" ref="V1622">_xlfn.IFS(
ISNUMBER(SEARCH("USA",S1622)),"United States",
ISNUMBER(SEARCH("Republic of Ireland",S1622)),"Ireland",
ISNUMBER(SEARCH("Republic of Korea",S1622)),"South Korea",
ISNUMBER(SEARCH("Cape Verde",S1622)),"Cabo Verde",
ISNUMBER(SEARCH("Czechia",S1622)),"Czech Republic",
ISNUMBER(SEARCH("Türkiye",S1622)),"Turkey",
ISNUMBER(SEARCH("Ivory Coast",S1622)),"Côte d'Ivoire",
ISNUMBER(SEARCH("Korea Republic",S1622)),"South Korea",
ISNUMBER(SEARCH("Germany FR",S1622)),"FR Germany",
ISNUMBER(SEARCH("West Germany",S1622)),"FR Germany",
ISNUMBER(SEARCH("Germany DR",S1622)),"DR Germany",
ISNUMBER(SEARCH("Korea DPR",S1622)),"North Korea",
ISNUMBER(SEARCH("China PR",S1622)),"China",
ISNUMBER(SEARCH("IR Iran",S1622)),"Iran",
ISNUMBER(SEARCH("Congo DR",S1622)),"Democratic Republic of the Congo",
ISNUMBER(SEARCH("DR Congo",S1622)),"Democratic Republic of the Congo",
ISNUMBER(SEARCH("German DR",S1622)),"DR Germany",
ISNUMBER(SEARCH("rn""&gt;United Arab Emirates",S1622)),"United Arab Emirates",
ISNUMBER(SEARCH("rn""&gt;Republic of Ireland",S1622)),"Ireland",
ISNUMBER(SEARCH("rn""&gt;Bosnia and Herzegovina",S1622)),"Bosnia and Herzegovina",
ISNUMBER(SEARCH("rn""&gt;Trinidad and Tobago",S1622)),"Trinidad and Tobago",
ISNUMBER(SEARCH("rn""&gt;Serbia and Montenegro",S1622)),"Serbia and Montenegro",
ISNUMBER(SEARCH(_xlfn.UNICHAR(65533),S1622)),"Côte d'Ivoire",
TRUE,""
)</f>
        <v/>
      </c>
      <c r="W1622" s="12" t="str">
        <f t="shared" si="128"/>
        <v>Côte d'Ivoire</v>
      </c>
    </row>
    <row r="1623" spans="2:23">
      <c r="B1623" s="75">
        <v>1186</v>
      </c>
      <c r="C1623" s="15" t="str">
        <v>Jordan Henderson</v>
      </c>
      <c r="D1623" s="15">
        <v>35</v>
      </c>
      <c r="E1623" s="15" t="str">
        <v>England</v>
      </c>
      <c r="F1623" s="15" t="str">
        <v>CM</v>
      </c>
      <c r="G1623" s="15" t="str">
        <v>Brentford</v>
      </c>
      <c r="H1623" s="15">
        <v>14</v>
      </c>
      <c r="I1623" s="15" t="str">
        <f t="shared" si="129"/>
        <v>1186|Jordan Henderson|35|England|CM|Brentford|14</v>
      </c>
      <c r="J1623" s="15" t="str">
        <f>IF(COUNTIF(I$438:I1623,I1623)&gt;1,"DOUBLON","OK")</f>
        <v>OK</v>
      </c>
      <c r="S1623" s="12" t="str">
        <v>Côte d'Ivoire</v>
      </c>
      <c r="T1623" s="12" t="str">
        <f t="shared" si="126"/>
        <v>OK</v>
      </c>
      <c r="U1623" s="12" t="str">
        <f t="shared" si="127"/>
        <v>-</v>
      </c>
      <c r="V1623" s="12" t="str" cm="1">
        <f t="array" ref="V1623">_xlfn.IFS(
ISNUMBER(SEARCH("USA",S1623)),"United States",
ISNUMBER(SEARCH("Republic of Ireland",S1623)),"Ireland",
ISNUMBER(SEARCH("Republic of Korea",S1623)),"South Korea",
ISNUMBER(SEARCH("Cape Verde",S1623)),"Cabo Verde",
ISNUMBER(SEARCH("Czechia",S1623)),"Czech Republic",
ISNUMBER(SEARCH("Türkiye",S1623)),"Turkey",
ISNUMBER(SEARCH("Ivory Coast",S1623)),"Côte d'Ivoire",
ISNUMBER(SEARCH("Korea Republic",S1623)),"South Korea",
ISNUMBER(SEARCH("Germany FR",S1623)),"FR Germany",
ISNUMBER(SEARCH("West Germany",S1623)),"FR Germany",
ISNUMBER(SEARCH("Germany DR",S1623)),"DR Germany",
ISNUMBER(SEARCH("Korea DPR",S1623)),"North Korea",
ISNUMBER(SEARCH("China PR",S1623)),"China",
ISNUMBER(SEARCH("IR Iran",S1623)),"Iran",
ISNUMBER(SEARCH("Congo DR",S1623)),"Democratic Republic of the Congo",
ISNUMBER(SEARCH("DR Congo",S1623)),"Democratic Republic of the Congo",
ISNUMBER(SEARCH("German DR",S1623)),"DR Germany",
ISNUMBER(SEARCH("rn""&gt;United Arab Emirates",S1623)),"United Arab Emirates",
ISNUMBER(SEARCH("rn""&gt;Republic of Ireland",S1623)),"Ireland",
ISNUMBER(SEARCH("rn""&gt;Bosnia and Herzegovina",S1623)),"Bosnia and Herzegovina",
ISNUMBER(SEARCH("rn""&gt;Trinidad and Tobago",S1623)),"Trinidad and Tobago",
ISNUMBER(SEARCH("rn""&gt;Serbia and Montenegro",S1623)),"Serbia and Montenegro",
ISNUMBER(SEARCH(_xlfn.UNICHAR(65533),S1623)),"Côte d'Ivoire",
TRUE,""
)</f>
        <v/>
      </c>
      <c r="W1623" s="12" t="str">
        <f t="shared" si="128"/>
        <v>Côte d'Ivoire</v>
      </c>
    </row>
    <row r="1624" spans="2:23">
      <c r="B1624" s="75">
        <v>1187</v>
      </c>
      <c r="C1624" s="15" t="str">
        <v>Jude Bellingham</v>
      </c>
      <c r="D1624" s="15">
        <v>22</v>
      </c>
      <c r="E1624" s="15" t="str">
        <v>England</v>
      </c>
      <c r="F1624" s="15" t="str">
        <v>CAM</v>
      </c>
      <c r="G1624" s="15" t="str">
        <v>Real Madrid</v>
      </c>
      <c r="H1624" s="15">
        <v>10</v>
      </c>
      <c r="I1624" s="15" t="str">
        <f t="shared" si="129"/>
        <v>1187|Jude Bellingham|22|England|CAM|Real Madrid|10</v>
      </c>
      <c r="J1624" s="15" t="str">
        <f>IF(COUNTIF(I$438:I1624,I1624)&gt;1,"DOUBLON","OK")</f>
        <v>OK</v>
      </c>
      <c r="S1624" s="12" t="str">
        <v>Côte d'Ivoire</v>
      </c>
      <c r="T1624" s="12" t="str">
        <f t="shared" si="126"/>
        <v>OK</v>
      </c>
      <c r="U1624" s="12" t="str">
        <f t="shared" si="127"/>
        <v>-</v>
      </c>
      <c r="V1624" s="12" t="str" cm="1">
        <f t="array" ref="V1624">_xlfn.IFS(
ISNUMBER(SEARCH("USA",S1624)),"United States",
ISNUMBER(SEARCH("Republic of Ireland",S1624)),"Ireland",
ISNUMBER(SEARCH("Republic of Korea",S1624)),"South Korea",
ISNUMBER(SEARCH("Cape Verde",S1624)),"Cabo Verde",
ISNUMBER(SEARCH("Czechia",S1624)),"Czech Republic",
ISNUMBER(SEARCH("Türkiye",S1624)),"Turkey",
ISNUMBER(SEARCH("Ivory Coast",S1624)),"Côte d'Ivoire",
ISNUMBER(SEARCH("Korea Republic",S1624)),"South Korea",
ISNUMBER(SEARCH("Germany FR",S1624)),"FR Germany",
ISNUMBER(SEARCH("West Germany",S1624)),"FR Germany",
ISNUMBER(SEARCH("Germany DR",S1624)),"DR Germany",
ISNUMBER(SEARCH("Korea DPR",S1624)),"North Korea",
ISNUMBER(SEARCH("China PR",S1624)),"China",
ISNUMBER(SEARCH("IR Iran",S1624)),"Iran",
ISNUMBER(SEARCH("Congo DR",S1624)),"Democratic Republic of the Congo",
ISNUMBER(SEARCH("DR Congo",S1624)),"Democratic Republic of the Congo",
ISNUMBER(SEARCH("German DR",S1624)),"DR Germany",
ISNUMBER(SEARCH("rn""&gt;United Arab Emirates",S1624)),"United Arab Emirates",
ISNUMBER(SEARCH("rn""&gt;Republic of Ireland",S1624)),"Ireland",
ISNUMBER(SEARCH("rn""&gt;Bosnia and Herzegovina",S1624)),"Bosnia and Herzegovina",
ISNUMBER(SEARCH("rn""&gt;Trinidad and Tobago",S1624)),"Trinidad and Tobago",
ISNUMBER(SEARCH("rn""&gt;Serbia and Montenegro",S1624)),"Serbia and Montenegro",
ISNUMBER(SEARCH(_xlfn.UNICHAR(65533),S1624)),"Côte d'Ivoire",
TRUE,""
)</f>
        <v/>
      </c>
      <c r="W1624" s="12" t="str">
        <f t="shared" si="128"/>
        <v>Côte d'Ivoire</v>
      </c>
    </row>
    <row r="1625" spans="2:23">
      <c r="B1625" s="75">
        <v>1188</v>
      </c>
      <c r="C1625" s="15" t="str">
        <v>Morgan Rogers</v>
      </c>
      <c r="D1625" s="15">
        <v>23</v>
      </c>
      <c r="E1625" s="15" t="str">
        <v>England</v>
      </c>
      <c r="F1625" s="15" t="str">
        <v>CAM</v>
      </c>
      <c r="G1625" s="15" t="str">
        <v>Aston Villa</v>
      </c>
      <c r="H1625" s="15">
        <v>17</v>
      </c>
      <c r="I1625" s="15" t="str">
        <f t="shared" si="129"/>
        <v>1188|Morgan Rogers|23|England|CAM|Aston Villa|17</v>
      </c>
      <c r="J1625" s="15" t="str">
        <f>IF(COUNTIF(I$438:I1625,I1625)&gt;1,"DOUBLON","OK")</f>
        <v>OK</v>
      </c>
      <c r="S1625" s="12" t="str">
        <v>Côte d'Ivoire</v>
      </c>
      <c r="T1625" s="12" t="str">
        <f t="shared" si="126"/>
        <v>OK</v>
      </c>
      <c r="U1625" s="12" t="str">
        <f t="shared" si="127"/>
        <v>-</v>
      </c>
      <c r="V1625" s="12" t="str" cm="1">
        <f t="array" ref="V1625">_xlfn.IFS(
ISNUMBER(SEARCH("USA",S1625)),"United States",
ISNUMBER(SEARCH("Republic of Ireland",S1625)),"Ireland",
ISNUMBER(SEARCH("Republic of Korea",S1625)),"South Korea",
ISNUMBER(SEARCH("Cape Verde",S1625)),"Cabo Verde",
ISNUMBER(SEARCH("Czechia",S1625)),"Czech Republic",
ISNUMBER(SEARCH("Türkiye",S1625)),"Turkey",
ISNUMBER(SEARCH("Ivory Coast",S1625)),"Côte d'Ivoire",
ISNUMBER(SEARCH("Korea Republic",S1625)),"South Korea",
ISNUMBER(SEARCH("Germany FR",S1625)),"FR Germany",
ISNUMBER(SEARCH("West Germany",S1625)),"FR Germany",
ISNUMBER(SEARCH("Germany DR",S1625)),"DR Germany",
ISNUMBER(SEARCH("Korea DPR",S1625)),"North Korea",
ISNUMBER(SEARCH("China PR",S1625)),"China",
ISNUMBER(SEARCH("IR Iran",S1625)),"Iran",
ISNUMBER(SEARCH("Congo DR",S1625)),"Democratic Republic of the Congo",
ISNUMBER(SEARCH("DR Congo",S1625)),"Democratic Republic of the Congo",
ISNUMBER(SEARCH("German DR",S1625)),"DR Germany",
ISNUMBER(SEARCH("rn""&gt;United Arab Emirates",S1625)),"United Arab Emirates",
ISNUMBER(SEARCH("rn""&gt;Republic of Ireland",S1625)),"Ireland",
ISNUMBER(SEARCH("rn""&gt;Bosnia and Herzegovina",S1625)),"Bosnia and Herzegovina",
ISNUMBER(SEARCH("rn""&gt;Trinidad and Tobago",S1625)),"Trinidad and Tobago",
ISNUMBER(SEARCH("rn""&gt;Serbia and Montenegro",S1625)),"Serbia and Montenegro",
ISNUMBER(SEARCH(_xlfn.UNICHAR(65533),S1625)),"Côte d'Ivoire",
TRUE,""
)</f>
        <v/>
      </c>
      <c r="W1625" s="12" t="str">
        <f t="shared" si="128"/>
        <v>Côte d'Ivoire</v>
      </c>
    </row>
    <row r="1626" spans="2:23">
      <c r="B1626" s="75">
        <v>1189</v>
      </c>
      <c r="C1626" s="15" t="str">
        <v>Eberechi Eze</v>
      </c>
      <c r="D1626" s="15">
        <v>27</v>
      </c>
      <c r="E1626" s="15" t="str">
        <v>England</v>
      </c>
      <c r="F1626" s="15" t="str">
        <v>CAM</v>
      </c>
      <c r="G1626" s="15" t="str">
        <v>Arsenal</v>
      </c>
      <c r="H1626" s="15">
        <v>21</v>
      </c>
      <c r="I1626" s="15" t="str">
        <f t="shared" si="129"/>
        <v>1189|Eberechi Eze|27|England|CAM|Arsenal|21</v>
      </c>
      <c r="J1626" s="15" t="str">
        <f>IF(COUNTIF(I$438:I1626,I1626)&gt;1,"DOUBLON","OK")</f>
        <v>OK</v>
      </c>
      <c r="S1626" s="12" t="str">
        <v>Côte d'Ivoire</v>
      </c>
      <c r="T1626" s="12" t="str">
        <f t="shared" si="126"/>
        <v>OK</v>
      </c>
      <c r="U1626" s="12" t="str">
        <f t="shared" si="127"/>
        <v>-</v>
      </c>
      <c r="V1626" s="12" t="str" cm="1">
        <f t="array" ref="V1626">_xlfn.IFS(
ISNUMBER(SEARCH("USA",S1626)),"United States",
ISNUMBER(SEARCH("Republic of Ireland",S1626)),"Ireland",
ISNUMBER(SEARCH("Republic of Korea",S1626)),"South Korea",
ISNUMBER(SEARCH("Cape Verde",S1626)),"Cabo Verde",
ISNUMBER(SEARCH("Czechia",S1626)),"Czech Republic",
ISNUMBER(SEARCH("Türkiye",S1626)),"Turkey",
ISNUMBER(SEARCH("Ivory Coast",S1626)),"Côte d'Ivoire",
ISNUMBER(SEARCH("Korea Republic",S1626)),"South Korea",
ISNUMBER(SEARCH("Germany FR",S1626)),"FR Germany",
ISNUMBER(SEARCH("West Germany",S1626)),"FR Germany",
ISNUMBER(SEARCH("Germany DR",S1626)),"DR Germany",
ISNUMBER(SEARCH("Korea DPR",S1626)),"North Korea",
ISNUMBER(SEARCH("China PR",S1626)),"China",
ISNUMBER(SEARCH("IR Iran",S1626)),"Iran",
ISNUMBER(SEARCH("Congo DR",S1626)),"Democratic Republic of the Congo",
ISNUMBER(SEARCH("DR Congo",S1626)),"Democratic Republic of the Congo",
ISNUMBER(SEARCH("German DR",S1626)),"DR Germany",
ISNUMBER(SEARCH("rn""&gt;United Arab Emirates",S1626)),"United Arab Emirates",
ISNUMBER(SEARCH("rn""&gt;Republic of Ireland",S1626)),"Ireland",
ISNUMBER(SEARCH("rn""&gt;Bosnia and Herzegovina",S1626)),"Bosnia and Herzegovina",
ISNUMBER(SEARCH("rn""&gt;Trinidad and Tobago",S1626)),"Trinidad and Tobago",
ISNUMBER(SEARCH("rn""&gt;Serbia and Montenegro",S1626)),"Serbia and Montenegro",
ISNUMBER(SEARCH(_xlfn.UNICHAR(65533),S1626)),"Côte d'Ivoire",
TRUE,""
)</f>
        <v/>
      </c>
      <c r="W1626" s="12" t="str">
        <f t="shared" si="128"/>
        <v>Côte d'Ivoire</v>
      </c>
    </row>
    <row r="1627" spans="2:23">
      <c r="B1627" s="75">
        <v>1190</v>
      </c>
      <c r="C1627" s="15" t="str">
        <v>Marcus Rashford</v>
      </c>
      <c r="D1627" s="15">
        <v>28</v>
      </c>
      <c r="E1627" s="15" t="str">
        <v>England</v>
      </c>
      <c r="F1627" s="15" t="str">
        <v>LW</v>
      </c>
      <c r="G1627" s="15" t="str">
        <v>Barcelona</v>
      </c>
      <c r="H1627" s="15">
        <v>11</v>
      </c>
      <c r="I1627" s="15" t="str">
        <f t="shared" si="129"/>
        <v>1190|Marcus Rashford|28|England|LW|Barcelona|11</v>
      </c>
      <c r="J1627" s="15" t="str">
        <f>IF(COUNTIF(I$438:I1627,I1627)&gt;1,"DOUBLON","OK")</f>
        <v>OK</v>
      </c>
      <c r="S1627" s="12" t="str">
        <v>Côte d'Ivoire</v>
      </c>
      <c r="T1627" s="12" t="str">
        <f t="shared" si="126"/>
        <v>OK</v>
      </c>
      <c r="U1627" s="12" t="str">
        <f t="shared" si="127"/>
        <v>-</v>
      </c>
      <c r="V1627" s="12" t="str" cm="1">
        <f t="array" ref="V1627">_xlfn.IFS(
ISNUMBER(SEARCH("USA",S1627)),"United States",
ISNUMBER(SEARCH("Republic of Ireland",S1627)),"Ireland",
ISNUMBER(SEARCH("Republic of Korea",S1627)),"South Korea",
ISNUMBER(SEARCH("Cape Verde",S1627)),"Cabo Verde",
ISNUMBER(SEARCH("Czechia",S1627)),"Czech Republic",
ISNUMBER(SEARCH("Türkiye",S1627)),"Turkey",
ISNUMBER(SEARCH("Ivory Coast",S1627)),"Côte d'Ivoire",
ISNUMBER(SEARCH("Korea Republic",S1627)),"South Korea",
ISNUMBER(SEARCH("Germany FR",S1627)),"FR Germany",
ISNUMBER(SEARCH("West Germany",S1627)),"FR Germany",
ISNUMBER(SEARCH("Germany DR",S1627)),"DR Germany",
ISNUMBER(SEARCH("Korea DPR",S1627)),"North Korea",
ISNUMBER(SEARCH("China PR",S1627)),"China",
ISNUMBER(SEARCH("IR Iran",S1627)),"Iran",
ISNUMBER(SEARCH("Congo DR",S1627)),"Democratic Republic of the Congo",
ISNUMBER(SEARCH("DR Congo",S1627)),"Democratic Republic of the Congo",
ISNUMBER(SEARCH("German DR",S1627)),"DR Germany",
ISNUMBER(SEARCH("rn""&gt;United Arab Emirates",S1627)),"United Arab Emirates",
ISNUMBER(SEARCH("rn""&gt;Republic of Ireland",S1627)),"Ireland",
ISNUMBER(SEARCH("rn""&gt;Bosnia and Herzegovina",S1627)),"Bosnia and Herzegovina",
ISNUMBER(SEARCH("rn""&gt;Trinidad and Tobago",S1627)),"Trinidad and Tobago",
ISNUMBER(SEARCH("rn""&gt;Serbia and Montenegro",S1627)),"Serbia and Montenegro",
ISNUMBER(SEARCH(_xlfn.UNICHAR(65533),S1627)),"Côte d'Ivoire",
TRUE,""
)</f>
        <v/>
      </c>
      <c r="W1627" s="12" t="str">
        <f t="shared" si="128"/>
        <v>Côte d'Ivoire</v>
      </c>
    </row>
    <row r="1628" spans="2:23">
      <c r="B1628" s="75">
        <v>1191</v>
      </c>
      <c r="C1628" s="15" t="str">
        <v>Anthony Gordon</v>
      </c>
      <c r="D1628" s="15">
        <v>25</v>
      </c>
      <c r="E1628" s="15" t="str">
        <v>England</v>
      </c>
      <c r="F1628" s="15" t="str">
        <v>LW</v>
      </c>
      <c r="G1628" s="15" t="str">
        <v>Newcastle United</v>
      </c>
      <c r="H1628" s="15">
        <v>18</v>
      </c>
      <c r="I1628" s="15" t="str">
        <f t="shared" si="129"/>
        <v>1191|Anthony Gordon|25|England|LW|Newcastle United|18</v>
      </c>
      <c r="J1628" s="15" t="str">
        <f>IF(COUNTIF(I$438:I1628,I1628)&gt;1,"DOUBLON","OK")</f>
        <v>OK</v>
      </c>
      <c r="S1628" s="12" t="str">
        <v>Côte d'Ivoire</v>
      </c>
      <c r="T1628" s="12" t="str">
        <f t="shared" si="126"/>
        <v>OK</v>
      </c>
      <c r="U1628" s="12" t="str">
        <f t="shared" si="127"/>
        <v>-</v>
      </c>
      <c r="V1628" s="12" t="str" cm="1">
        <f t="array" ref="V1628">_xlfn.IFS(
ISNUMBER(SEARCH("USA",S1628)),"United States",
ISNUMBER(SEARCH("Republic of Ireland",S1628)),"Ireland",
ISNUMBER(SEARCH("Republic of Korea",S1628)),"South Korea",
ISNUMBER(SEARCH("Cape Verde",S1628)),"Cabo Verde",
ISNUMBER(SEARCH("Czechia",S1628)),"Czech Republic",
ISNUMBER(SEARCH("Türkiye",S1628)),"Turkey",
ISNUMBER(SEARCH("Ivory Coast",S1628)),"Côte d'Ivoire",
ISNUMBER(SEARCH("Korea Republic",S1628)),"South Korea",
ISNUMBER(SEARCH("Germany FR",S1628)),"FR Germany",
ISNUMBER(SEARCH("West Germany",S1628)),"FR Germany",
ISNUMBER(SEARCH("Germany DR",S1628)),"DR Germany",
ISNUMBER(SEARCH("Korea DPR",S1628)),"North Korea",
ISNUMBER(SEARCH("China PR",S1628)),"China",
ISNUMBER(SEARCH("IR Iran",S1628)),"Iran",
ISNUMBER(SEARCH("Congo DR",S1628)),"Democratic Republic of the Congo",
ISNUMBER(SEARCH("DR Congo",S1628)),"Democratic Republic of the Congo",
ISNUMBER(SEARCH("German DR",S1628)),"DR Germany",
ISNUMBER(SEARCH("rn""&gt;United Arab Emirates",S1628)),"United Arab Emirates",
ISNUMBER(SEARCH("rn""&gt;Republic of Ireland",S1628)),"Ireland",
ISNUMBER(SEARCH("rn""&gt;Bosnia and Herzegovina",S1628)),"Bosnia and Herzegovina",
ISNUMBER(SEARCH("rn""&gt;Trinidad and Tobago",S1628)),"Trinidad and Tobago",
ISNUMBER(SEARCH("rn""&gt;Serbia and Montenegro",S1628)),"Serbia and Montenegro",
ISNUMBER(SEARCH(_xlfn.UNICHAR(65533),S1628)),"Côte d'Ivoire",
TRUE,""
)</f>
        <v/>
      </c>
      <c r="W1628" s="12" t="str">
        <f t="shared" si="128"/>
        <v>Côte d'Ivoire</v>
      </c>
    </row>
    <row r="1629" spans="2:23">
      <c r="B1629" s="75">
        <v>1192</v>
      </c>
      <c r="C1629" s="15" t="str">
        <v>Bukayo Saka</v>
      </c>
      <c r="D1629" s="15">
        <v>24</v>
      </c>
      <c r="E1629" s="15" t="str">
        <v>England</v>
      </c>
      <c r="F1629" s="15" t="str">
        <v>RW</v>
      </c>
      <c r="G1629" s="15" t="str">
        <v>Arsenal</v>
      </c>
      <c r="H1629" s="15">
        <v>7</v>
      </c>
      <c r="I1629" s="15" t="str">
        <f t="shared" si="129"/>
        <v>1192|Bukayo Saka|24|England|RW|Arsenal|7</v>
      </c>
      <c r="J1629" s="15" t="str">
        <f>IF(COUNTIF(I$438:I1629,I1629)&gt;1,"DOUBLON","OK")</f>
        <v>OK</v>
      </c>
      <c r="S1629" s="12" t="str">
        <v>Côte d'Ivoire</v>
      </c>
      <c r="T1629" s="12" t="str">
        <f t="shared" si="126"/>
        <v>OK</v>
      </c>
      <c r="U1629" s="12" t="str">
        <f t="shared" si="127"/>
        <v>-</v>
      </c>
      <c r="V1629" s="12" t="str" cm="1">
        <f t="array" ref="V1629">_xlfn.IFS(
ISNUMBER(SEARCH("USA",S1629)),"United States",
ISNUMBER(SEARCH("Republic of Ireland",S1629)),"Ireland",
ISNUMBER(SEARCH("Republic of Korea",S1629)),"South Korea",
ISNUMBER(SEARCH("Cape Verde",S1629)),"Cabo Verde",
ISNUMBER(SEARCH("Czechia",S1629)),"Czech Republic",
ISNUMBER(SEARCH("Türkiye",S1629)),"Turkey",
ISNUMBER(SEARCH("Ivory Coast",S1629)),"Côte d'Ivoire",
ISNUMBER(SEARCH("Korea Republic",S1629)),"South Korea",
ISNUMBER(SEARCH("Germany FR",S1629)),"FR Germany",
ISNUMBER(SEARCH("West Germany",S1629)),"FR Germany",
ISNUMBER(SEARCH("Germany DR",S1629)),"DR Germany",
ISNUMBER(SEARCH("Korea DPR",S1629)),"North Korea",
ISNUMBER(SEARCH("China PR",S1629)),"China",
ISNUMBER(SEARCH("IR Iran",S1629)),"Iran",
ISNUMBER(SEARCH("Congo DR",S1629)),"Democratic Republic of the Congo",
ISNUMBER(SEARCH("DR Congo",S1629)),"Democratic Republic of the Congo",
ISNUMBER(SEARCH("German DR",S1629)),"DR Germany",
ISNUMBER(SEARCH("rn""&gt;United Arab Emirates",S1629)),"United Arab Emirates",
ISNUMBER(SEARCH("rn""&gt;Republic of Ireland",S1629)),"Ireland",
ISNUMBER(SEARCH("rn""&gt;Bosnia and Herzegovina",S1629)),"Bosnia and Herzegovina",
ISNUMBER(SEARCH("rn""&gt;Trinidad and Tobago",S1629)),"Trinidad and Tobago",
ISNUMBER(SEARCH("rn""&gt;Serbia and Montenegro",S1629)),"Serbia and Montenegro",
ISNUMBER(SEARCH(_xlfn.UNICHAR(65533),S1629)),"Côte d'Ivoire",
TRUE,""
)</f>
        <v/>
      </c>
      <c r="W1629" s="12" t="str">
        <f t="shared" si="128"/>
        <v>Côte d'Ivoire</v>
      </c>
    </row>
    <row r="1630" spans="2:23">
      <c r="B1630" s="75">
        <v>1193</v>
      </c>
      <c r="C1630" s="15" t="str">
        <v>Noni Madueke</v>
      </c>
      <c r="D1630" s="15">
        <v>24</v>
      </c>
      <c r="E1630" s="15" t="str">
        <v>England</v>
      </c>
      <c r="F1630" s="15" t="str">
        <v>RW</v>
      </c>
      <c r="G1630" s="15" t="str">
        <v>Arsenal</v>
      </c>
      <c r="H1630" s="15">
        <v>20</v>
      </c>
      <c r="I1630" s="15" t="str">
        <f t="shared" si="129"/>
        <v>1193|Noni Madueke|24|England|RW|Arsenal|20</v>
      </c>
      <c r="J1630" s="15" t="str">
        <f>IF(COUNTIF(I$438:I1630,I1630)&gt;1,"DOUBLON","OK")</f>
        <v>OK</v>
      </c>
      <c r="S1630" s="12" t="str">
        <v>Côte d'Ivoire</v>
      </c>
      <c r="T1630" s="12" t="str">
        <f t="shared" si="126"/>
        <v>OK</v>
      </c>
      <c r="U1630" s="12" t="str">
        <f t="shared" si="127"/>
        <v>-</v>
      </c>
      <c r="V1630" s="12" t="str" cm="1">
        <f t="array" ref="V1630">_xlfn.IFS(
ISNUMBER(SEARCH("USA",S1630)),"United States",
ISNUMBER(SEARCH("Republic of Ireland",S1630)),"Ireland",
ISNUMBER(SEARCH("Republic of Korea",S1630)),"South Korea",
ISNUMBER(SEARCH("Cape Verde",S1630)),"Cabo Verde",
ISNUMBER(SEARCH("Czechia",S1630)),"Czech Republic",
ISNUMBER(SEARCH("Türkiye",S1630)),"Turkey",
ISNUMBER(SEARCH("Ivory Coast",S1630)),"Côte d'Ivoire",
ISNUMBER(SEARCH("Korea Republic",S1630)),"South Korea",
ISNUMBER(SEARCH("Germany FR",S1630)),"FR Germany",
ISNUMBER(SEARCH("West Germany",S1630)),"FR Germany",
ISNUMBER(SEARCH("Germany DR",S1630)),"DR Germany",
ISNUMBER(SEARCH("Korea DPR",S1630)),"North Korea",
ISNUMBER(SEARCH("China PR",S1630)),"China",
ISNUMBER(SEARCH("IR Iran",S1630)),"Iran",
ISNUMBER(SEARCH("Congo DR",S1630)),"Democratic Republic of the Congo",
ISNUMBER(SEARCH("DR Congo",S1630)),"Democratic Republic of the Congo",
ISNUMBER(SEARCH("German DR",S1630)),"DR Germany",
ISNUMBER(SEARCH("rn""&gt;United Arab Emirates",S1630)),"United Arab Emirates",
ISNUMBER(SEARCH("rn""&gt;Republic of Ireland",S1630)),"Ireland",
ISNUMBER(SEARCH("rn""&gt;Bosnia and Herzegovina",S1630)),"Bosnia and Herzegovina",
ISNUMBER(SEARCH("rn""&gt;Trinidad and Tobago",S1630)),"Trinidad and Tobago",
ISNUMBER(SEARCH("rn""&gt;Serbia and Montenegro",S1630)),"Serbia and Montenegro",
ISNUMBER(SEARCH(_xlfn.UNICHAR(65533),S1630)),"Côte d'Ivoire",
TRUE,""
)</f>
        <v/>
      </c>
      <c r="W1630" s="12" t="str">
        <f t="shared" si="128"/>
        <v>Côte d'Ivoire</v>
      </c>
    </row>
    <row r="1631" spans="2:23">
      <c r="B1631" s="75">
        <v>1194</v>
      </c>
      <c r="C1631" s="15" t="str">
        <v>Harry Kane</v>
      </c>
      <c r="D1631" s="15">
        <v>32</v>
      </c>
      <c r="E1631" s="15" t="str">
        <v>England</v>
      </c>
      <c r="F1631" s="15" t="str">
        <v>ST</v>
      </c>
      <c r="G1631" s="15" t="str">
        <v>Bayern Munich</v>
      </c>
      <c r="H1631" s="15">
        <v>9</v>
      </c>
      <c r="I1631" s="15" t="str">
        <f t="shared" si="129"/>
        <v>1194|Harry Kane|32|England|ST|Bayern Munich|9</v>
      </c>
      <c r="J1631" s="15" t="str">
        <f>IF(COUNTIF(I$438:I1631,I1631)&gt;1,"DOUBLON","OK")</f>
        <v>OK</v>
      </c>
      <c r="S1631" s="12" t="str">
        <v>Côte d'Ivoire</v>
      </c>
      <c r="T1631" s="12" t="str">
        <f t="shared" si="126"/>
        <v>OK</v>
      </c>
      <c r="U1631" s="12" t="str">
        <f t="shared" si="127"/>
        <v>-</v>
      </c>
      <c r="V1631" s="12" t="str" cm="1">
        <f t="array" ref="V1631">_xlfn.IFS(
ISNUMBER(SEARCH("USA",S1631)),"United States",
ISNUMBER(SEARCH("Republic of Ireland",S1631)),"Ireland",
ISNUMBER(SEARCH("Republic of Korea",S1631)),"South Korea",
ISNUMBER(SEARCH("Cape Verde",S1631)),"Cabo Verde",
ISNUMBER(SEARCH("Czechia",S1631)),"Czech Republic",
ISNUMBER(SEARCH("Türkiye",S1631)),"Turkey",
ISNUMBER(SEARCH("Ivory Coast",S1631)),"Côte d'Ivoire",
ISNUMBER(SEARCH("Korea Republic",S1631)),"South Korea",
ISNUMBER(SEARCH("Germany FR",S1631)),"FR Germany",
ISNUMBER(SEARCH("West Germany",S1631)),"FR Germany",
ISNUMBER(SEARCH("Germany DR",S1631)),"DR Germany",
ISNUMBER(SEARCH("Korea DPR",S1631)),"North Korea",
ISNUMBER(SEARCH("China PR",S1631)),"China",
ISNUMBER(SEARCH("IR Iran",S1631)),"Iran",
ISNUMBER(SEARCH("Congo DR",S1631)),"Democratic Republic of the Congo",
ISNUMBER(SEARCH("DR Congo",S1631)),"Democratic Republic of the Congo",
ISNUMBER(SEARCH("German DR",S1631)),"DR Germany",
ISNUMBER(SEARCH("rn""&gt;United Arab Emirates",S1631)),"United Arab Emirates",
ISNUMBER(SEARCH("rn""&gt;Republic of Ireland",S1631)),"Ireland",
ISNUMBER(SEARCH("rn""&gt;Bosnia and Herzegovina",S1631)),"Bosnia and Herzegovina",
ISNUMBER(SEARCH("rn""&gt;Trinidad and Tobago",S1631)),"Trinidad and Tobago",
ISNUMBER(SEARCH("rn""&gt;Serbia and Montenegro",S1631)),"Serbia and Montenegro",
ISNUMBER(SEARCH(_xlfn.UNICHAR(65533),S1631)),"Côte d'Ivoire",
TRUE,""
)</f>
        <v/>
      </c>
      <c r="W1631" s="12" t="str">
        <f t="shared" si="128"/>
        <v>Côte d'Ivoire</v>
      </c>
    </row>
    <row r="1632" spans="2:23">
      <c r="B1632" s="75">
        <v>1195</v>
      </c>
      <c r="C1632" s="15" t="str">
        <v>Ollie Watkins</v>
      </c>
      <c r="D1632" s="15">
        <v>30</v>
      </c>
      <c r="E1632" s="15" t="str">
        <v>England</v>
      </c>
      <c r="F1632" s="15" t="str">
        <v>ST</v>
      </c>
      <c r="G1632" s="15" t="str">
        <v>Aston Villa</v>
      </c>
      <c r="H1632" s="15">
        <v>19</v>
      </c>
      <c r="I1632" s="15" t="str">
        <f t="shared" si="129"/>
        <v>1195|Ollie Watkins|30|England|ST|Aston Villa|19</v>
      </c>
      <c r="J1632" s="15" t="str">
        <f>IF(COUNTIF(I$438:I1632,I1632)&gt;1,"DOUBLON","OK")</f>
        <v>OK</v>
      </c>
      <c r="S1632" s="12" t="str">
        <v>Côte d'Ivoire</v>
      </c>
      <c r="T1632" s="12" t="str">
        <f t="shared" si="126"/>
        <v>OK</v>
      </c>
      <c r="U1632" s="12" t="str">
        <f t="shared" si="127"/>
        <v>-</v>
      </c>
      <c r="V1632" s="12" t="str" cm="1">
        <f t="array" ref="V1632">_xlfn.IFS(
ISNUMBER(SEARCH("USA",S1632)),"United States",
ISNUMBER(SEARCH("Republic of Ireland",S1632)),"Ireland",
ISNUMBER(SEARCH("Republic of Korea",S1632)),"South Korea",
ISNUMBER(SEARCH("Cape Verde",S1632)),"Cabo Verde",
ISNUMBER(SEARCH("Czechia",S1632)),"Czech Republic",
ISNUMBER(SEARCH("Türkiye",S1632)),"Turkey",
ISNUMBER(SEARCH("Ivory Coast",S1632)),"Côte d'Ivoire",
ISNUMBER(SEARCH("Korea Republic",S1632)),"South Korea",
ISNUMBER(SEARCH("Germany FR",S1632)),"FR Germany",
ISNUMBER(SEARCH("West Germany",S1632)),"FR Germany",
ISNUMBER(SEARCH("Germany DR",S1632)),"DR Germany",
ISNUMBER(SEARCH("Korea DPR",S1632)),"North Korea",
ISNUMBER(SEARCH("China PR",S1632)),"China",
ISNUMBER(SEARCH("IR Iran",S1632)),"Iran",
ISNUMBER(SEARCH("Congo DR",S1632)),"Democratic Republic of the Congo",
ISNUMBER(SEARCH("DR Congo",S1632)),"Democratic Republic of the Congo",
ISNUMBER(SEARCH("German DR",S1632)),"DR Germany",
ISNUMBER(SEARCH("rn""&gt;United Arab Emirates",S1632)),"United Arab Emirates",
ISNUMBER(SEARCH("rn""&gt;Republic of Ireland",S1632)),"Ireland",
ISNUMBER(SEARCH("rn""&gt;Bosnia and Herzegovina",S1632)),"Bosnia and Herzegovina",
ISNUMBER(SEARCH("rn""&gt;Trinidad and Tobago",S1632)),"Trinidad and Tobago",
ISNUMBER(SEARCH("rn""&gt;Serbia and Montenegro",S1632)),"Serbia and Montenegro",
ISNUMBER(SEARCH(_xlfn.UNICHAR(65533),S1632)),"Côte d'Ivoire",
TRUE,""
)</f>
        <v/>
      </c>
      <c r="W1632" s="12" t="str">
        <f t="shared" si="128"/>
        <v>Côte d'Ivoire</v>
      </c>
    </row>
    <row r="1633" spans="2:23">
      <c r="B1633" s="75">
        <v>1196</v>
      </c>
      <c r="C1633" s="15" t="str">
        <v>Ivan Toney</v>
      </c>
      <c r="D1633" s="15">
        <v>30</v>
      </c>
      <c r="E1633" s="15" t="str">
        <v>England</v>
      </c>
      <c r="F1633" s="15" t="str">
        <v>ST</v>
      </c>
      <c r="G1633" s="15" t="str">
        <v>Al-Ahli</v>
      </c>
      <c r="H1633" s="15">
        <v>22</v>
      </c>
      <c r="I1633" s="15" t="str">
        <f t="shared" si="129"/>
        <v>1196|Ivan Toney|30|England|ST|Al-Ahli|22</v>
      </c>
      <c r="J1633" s="15" t="str">
        <f>IF(COUNTIF(I$438:I1633,I1633)&gt;1,"DOUBLON","OK")</f>
        <v>OK</v>
      </c>
      <c r="S1633" s="12" t="str">
        <v>Côte d'Ivoire</v>
      </c>
      <c r="T1633" s="12" t="str">
        <f t="shared" ref="T1633:T1696" si="130">IF(COUNTIF(R$13:R$250,S1633)=1,"OK","ERREUR")</f>
        <v>OK</v>
      </c>
      <c r="U1633" s="12" t="str">
        <f t="shared" si="127"/>
        <v>-</v>
      </c>
      <c r="V1633" s="12" t="str" cm="1">
        <f t="array" ref="V1633">_xlfn.IFS(
ISNUMBER(SEARCH("USA",S1633)),"United States",
ISNUMBER(SEARCH("Republic of Ireland",S1633)),"Ireland",
ISNUMBER(SEARCH("Republic of Korea",S1633)),"South Korea",
ISNUMBER(SEARCH("Cape Verde",S1633)),"Cabo Verde",
ISNUMBER(SEARCH("Czechia",S1633)),"Czech Republic",
ISNUMBER(SEARCH("Türkiye",S1633)),"Turkey",
ISNUMBER(SEARCH("Ivory Coast",S1633)),"Côte d'Ivoire",
ISNUMBER(SEARCH("Korea Republic",S1633)),"South Korea",
ISNUMBER(SEARCH("Germany FR",S1633)),"FR Germany",
ISNUMBER(SEARCH("West Germany",S1633)),"FR Germany",
ISNUMBER(SEARCH("Germany DR",S1633)),"DR Germany",
ISNUMBER(SEARCH("Korea DPR",S1633)),"North Korea",
ISNUMBER(SEARCH("China PR",S1633)),"China",
ISNUMBER(SEARCH("IR Iran",S1633)),"Iran",
ISNUMBER(SEARCH("Congo DR",S1633)),"Democratic Republic of the Congo",
ISNUMBER(SEARCH("DR Congo",S1633)),"Democratic Republic of the Congo",
ISNUMBER(SEARCH("German DR",S1633)),"DR Germany",
ISNUMBER(SEARCH("rn""&gt;United Arab Emirates",S1633)),"United Arab Emirates",
ISNUMBER(SEARCH("rn""&gt;Republic of Ireland",S1633)),"Ireland",
ISNUMBER(SEARCH("rn""&gt;Bosnia and Herzegovina",S1633)),"Bosnia and Herzegovina",
ISNUMBER(SEARCH("rn""&gt;Trinidad and Tobago",S1633)),"Trinidad and Tobago",
ISNUMBER(SEARCH("rn""&gt;Serbia and Montenegro",S1633)),"Serbia and Montenegro",
ISNUMBER(SEARCH(_xlfn.UNICHAR(65533),S1633)),"Côte d'Ivoire",
TRUE,""
)</f>
        <v/>
      </c>
      <c r="W1633" s="12" t="str">
        <f t="shared" si="128"/>
        <v>Côte d'Ivoire</v>
      </c>
    </row>
    <row r="1634" spans="2:23">
      <c r="B1634" s="75">
        <v>1197</v>
      </c>
      <c r="C1634" s="15" t="str">
        <v>Lawrence Ati-Zigi</v>
      </c>
      <c r="D1634" s="15">
        <v>29</v>
      </c>
      <c r="E1634" s="15" t="str">
        <v>Ghana</v>
      </c>
      <c r="F1634" s="15" t="str">
        <v>GK</v>
      </c>
      <c r="G1634" s="15" t="str">
        <v>St. Gallen</v>
      </c>
      <c r="H1634" s="15">
        <v>1</v>
      </c>
      <c r="I1634" s="15" t="str">
        <f t="shared" si="129"/>
        <v>1197|Lawrence Ati-Zigi|29|Ghana|GK|St. Gallen|1</v>
      </c>
      <c r="J1634" s="15" t="str">
        <f>IF(COUNTIF(I$438:I1634,I1634)&gt;1,"DOUBLON","OK")</f>
        <v>OK</v>
      </c>
      <c r="S1634" s="12" t="str">
        <v>Côte d'Ivoire</v>
      </c>
      <c r="T1634" s="12" t="str">
        <f t="shared" si="130"/>
        <v>OK</v>
      </c>
      <c r="U1634" s="12" t="str">
        <f t="shared" ref="U1634:U1697" si="131">IF(OR(S1634="Scotland",S1634="England",S1634="Wales",S1634="Yugoslavia",S1634="Czechoslovakia",S1634="Northern Ireland",S1634="Soviet Union",S1634="Zaire",S1634="Dutch East Indies"),"AUCUNE",IF(OR(S1634="Cape Verde",S1634="USA",S1634="DR Congo",S1634="Republic of Korea",S1634="Germany FR",S1634="Germany DR",S1634="Czechia",S1634="Ivory Coast",S1634="Korea DPR",S1634="China PR",S1634="IR Iran",S1634="Türkiye",S1634="Congo DR",S1634="German DR",S1634="West Germany",S1634="Republic of Ireland",ISNUMBER(SEARCH("rn""&gt;United Arab Emirates",S1634)),ISNUMBER(SEARCH("rn""&gt;Republic of Ireland",S1634)),ISNUMBER(SEARCH("rn""&gt;Bosnia and Herzegovina",S1634)),ISNUMBER(SEARCH("rn""&gt;Trinidad and Tobago",S1634)),ISNUMBER(SEARCH("rn""&gt;Serbia and Montenegro",S1634)),ISNUMBER(SEARCH(_xlfn.UNICHAR(65533),S1634))),"RENOMMER","-"))</f>
        <v>-</v>
      </c>
      <c r="V1634" s="12" t="str" cm="1">
        <f t="array" ref="V1634">_xlfn.IFS(
ISNUMBER(SEARCH("USA",S1634)),"United States",
ISNUMBER(SEARCH("Republic of Ireland",S1634)),"Ireland",
ISNUMBER(SEARCH("Republic of Korea",S1634)),"South Korea",
ISNUMBER(SEARCH("Cape Verde",S1634)),"Cabo Verde",
ISNUMBER(SEARCH("Czechia",S1634)),"Czech Republic",
ISNUMBER(SEARCH("Türkiye",S1634)),"Turkey",
ISNUMBER(SEARCH("Ivory Coast",S1634)),"Côte d'Ivoire",
ISNUMBER(SEARCH("Korea Republic",S1634)),"South Korea",
ISNUMBER(SEARCH("Germany FR",S1634)),"FR Germany",
ISNUMBER(SEARCH("West Germany",S1634)),"FR Germany",
ISNUMBER(SEARCH("Germany DR",S1634)),"DR Germany",
ISNUMBER(SEARCH("Korea DPR",S1634)),"North Korea",
ISNUMBER(SEARCH("China PR",S1634)),"China",
ISNUMBER(SEARCH("IR Iran",S1634)),"Iran",
ISNUMBER(SEARCH("Congo DR",S1634)),"Democratic Republic of the Congo",
ISNUMBER(SEARCH("DR Congo",S1634)),"Democratic Republic of the Congo",
ISNUMBER(SEARCH("German DR",S1634)),"DR Germany",
ISNUMBER(SEARCH("rn""&gt;United Arab Emirates",S1634)),"United Arab Emirates",
ISNUMBER(SEARCH("rn""&gt;Republic of Ireland",S1634)),"Ireland",
ISNUMBER(SEARCH("rn""&gt;Bosnia and Herzegovina",S1634)),"Bosnia and Herzegovina",
ISNUMBER(SEARCH("rn""&gt;Trinidad and Tobago",S1634)),"Trinidad and Tobago",
ISNUMBER(SEARCH("rn""&gt;Serbia and Montenegro",S1634)),"Serbia and Montenegro",
ISNUMBER(SEARCH(_xlfn.UNICHAR(65533),S1634)),"Côte d'Ivoire",
TRUE,""
)</f>
        <v/>
      </c>
      <c r="W1634" s="12" t="str">
        <f t="shared" ref="W1634:W1697" si="132">IF(V1634="",S1634,V1634)</f>
        <v>Côte d'Ivoire</v>
      </c>
    </row>
    <row r="1635" spans="2:23">
      <c r="B1635" s="75">
        <v>1198</v>
      </c>
      <c r="C1635" s="15" t="str">
        <v>Joseph Anang</v>
      </c>
      <c r="D1635" s="15">
        <v>26</v>
      </c>
      <c r="E1635" s="15" t="str">
        <v>Ghana</v>
      </c>
      <c r="F1635" s="15" t="str">
        <v>GK</v>
      </c>
      <c r="G1635" s="15" t="str">
        <v>St Patrick's Athletic</v>
      </c>
      <c r="H1635" s="15">
        <v>12</v>
      </c>
      <c r="I1635" s="15" t="str">
        <f t="shared" si="129"/>
        <v>1198|Joseph Anang|26|Ghana|GK|St Patrick's Athletic|12</v>
      </c>
      <c r="J1635" s="15" t="str">
        <f>IF(COUNTIF(I$438:I1635,I1635)&gt;1,"DOUBLON","OK")</f>
        <v>OK</v>
      </c>
      <c r="S1635" s="12" t="str">
        <v>Côte d'Ivoire</v>
      </c>
      <c r="T1635" s="12" t="str">
        <f t="shared" si="130"/>
        <v>OK</v>
      </c>
      <c r="U1635" s="12" t="str">
        <f t="shared" si="131"/>
        <v>-</v>
      </c>
      <c r="V1635" s="12" t="str" cm="1">
        <f t="array" ref="V1635">_xlfn.IFS(
ISNUMBER(SEARCH("USA",S1635)),"United States",
ISNUMBER(SEARCH("Republic of Ireland",S1635)),"Ireland",
ISNUMBER(SEARCH("Republic of Korea",S1635)),"South Korea",
ISNUMBER(SEARCH("Cape Verde",S1635)),"Cabo Verde",
ISNUMBER(SEARCH("Czechia",S1635)),"Czech Republic",
ISNUMBER(SEARCH("Türkiye",S1635)),"Turkey",
ISNUMBER(SEARCH("Ivory Coast",S1635)),"Côte d'Ivoire",
ISNUMBER(SEARCH("Korea Republic",S1635)),"South Korea",
ISNUMBER(SEARCH("Germany FR",S1635)),"FR Germany",
ISNUMBER(SEARCH("West Germany",S1635)),"FR Germany",
ISNUMBER(SEARCH("Germany DR",S1635)),"DR Germany",
ISNUMBER(SEARCH("Korea DPR",S1635)),"North Korea",
ISNUMBER(SEARCH("China PR",S1635)),"China",
ISNUMBER(SEARCH("IR Iran",S1635)),"Iran",
ISNUMBER(SEARCH("Congo DR",S1635)),"Democratic Republic of the Congo",
ISNUMBER(SEARCH("DR Congo",S1635)),"Democratic Republic of the Congo",
ISNUMBER(SEARCH("German DR",S1635)),"DR Germany",
ISNUMBER(SEARCH("rn""&gt;United Arab Emirates",S1635)),"United Arab Emirates",
ISNUMBER(SEARCH("rn""&gt;Republic of Ireland",S1635)),"Ireland",
ISNUMBER(SEARCH("rn""&gt;Bosnia and Herzegovina",S1635)),"Bosnia and Herzegovina",
ISNUMBER(SEARCH("rn""&gt;Trinidad and Tobago",S1635)),"Trinidad and Tobago",
ISNUMBER(SEARCH("rn""&gt;Serbia and Montenegro",S1635)),"Serbia and Montenegro",
ISNUMBER(SEARCH(_xlfn.UNICHAR(65533),S1635)),"Côte d'Ivoire",
TRUE,""
)</f>
        <v/>
      </c>
      <c r="W1635" s="12" t="str">
        <f t="shared" si="132"/>
        <v>Côte d'Ivoire</v>
      </c>
    </row>
    <row r="1636" spans="2:23">
      <c r="B1636" s="75">
        <v>1199</v>
      </c>
      <c r="C1636" s="15" t="str">
        <v>Benjamin Asare</v>
      </c>
      <c r="D1636" s="15">
        <v>33</v>
      </c>
      <c r="E1636" s="15" t="str">
        <v>Ghana</v>
      </c>
      <c r="F1636" s="15" t="str">
        <v>GK</v>
      </c>
      <c r="G1636" s="15" t="str">
        <v>Hearts of Oak</v>
      </c>
      <c r="H1636" s="15">
        <v>16</v>
      </c>
      <c r="I1636" s="15" t="str">
        <f t="shared" si="129"/>
        <v>1199|Benjamin Asare|33|Ghana|GK|Hearts of Oak|16</v>
      </c>
      <c r="J1636" s="15" t="str">
        <f>IF(COUNTIF(I$438:I1636,I1636)&gt;1,"DOUBLON","OK")</f>
        <v>OK</v>
      </c>
      <c r="S1636" s="12" t="str">
        <v>Côte d'Ivoire</v>
      </c>
      <c r="T1636" s="12" t="str">
        <f t="shared" si="130"/>
        <v>OK</v>
      </c>
      <c r="U1636" s="12" t="str">
        <f t="shared" si="131"/>
        <v>-</v>
      </c>
      <c r="V1636" s="12" t="str" cm="1">
        <f t="array" ref="V1636">_xlfn.IFS(
ISNUMBER(SEARCH("USA",S1636)),"United States",
ISNUMBER(SEARCH("Republic of Ireland",S1636)),"Ireland",
ISNUMBER(SEARCH("Republic of Korea",S1636)),"South Korea",
ISNUMBER(SEARCH("Cape Verde",S1636)),"Cabo Verde",
ISNUMBER(SEARCH("Czechia",S1636)),"Czech Republic",
ISNUMBER(SEARCH("Türkiye",S1636)),"Turkey",
ISNUMBER(SEARCH("Ivory Coast",S1636)),"Côte d'Ivoire",
ISNUMBER(SEARCH("Korea Republic",S1636)),"South Korea",
ISNUMBER(SEARCH("Germany FR",S1636)),"FR Germany",
ISNUMBER(SEARCH("West Germany",S1636)),"FR Germany",
ISNUMBER(SEARCH("Germany DR",S1636)),"DR Germany",
ISNUMBER(SEARCH("Korea DPR",S1636)),"North Korea",
ISNUMBER(SEARCH("China PR",S1636)),"China",
ISNUMBER(SEARCH("IR Iran",S1636)),"Iran",
ISNUMBER(SEARCH("Congo DR",S1636)),"Democratic Republic of the Congo",
ISNUMBER(SEARCH("DR Congo",S1636)),"Democratic Republic of the Congo",
ISNUMBER(SEARCH("German DR",S1636)),"DR Germany",
ISNUMBER(SEARCH("rn""&gt;United Arab Emirates",S1636)),"United Arab Emirates",
ISNUMBER(SEARCH("rn""&gt;Republic of Ireland",S1636)),"Ireland",
ISNUMBER(SEARCH("rn""&gt;Bosnia and Herzegovina",S1636)),"Bosnia and Herzegovina",
ISNUMBER(SEARCH("rn""&gt;Trinidad and Tobago",S1636)),"Trinidad and Tobago",
ISNUMBER(SEARCH("rn""&gt;Serbia and Montenegro",S1636)),"Serbia and Montenegro",
ISNUMBER(SEARCH(_xlfn.UNICHAR(65533),S1636)),"Côte d'Ivoire",
TRUE,""
)</f>
        <v/>
      </c>
      <c r="W1636" s="12" t="str">
        <f t="shared" si="132"/>
        <v>Côte d'Ivoire</v>
      </c>
    </row>
    <row r="1637" spans="2:23">
      <c r="B1637" s="75">
        <v>1200</v>
      </c>
      <c r="C1637" s="15" t="str">
        <v>Jonas Adjetey</v>
      </c>
      <c r="D1637" s="15">
        <v>22</v>
      </c>
      <c r="E1637" s="15" t="str">
        <v>Ghana</v>
      </c>
      <c r="F1637" s="15" t="str">
        <v>CB</v>
      </c>
      <c r="G1637" s="15" t="str">
        <v>VfL Wolfsburg</v>
      </c>
      <c r="H1637" s="15">
        <v>4</v>
      </c>
      <c r="I1637" s="15" t="str">
        <f t="shared" si="129"/>
        <v>1200|Jonas Adjetey|22|Ghana|CB|VfL Wolfsburg|4</v>
      </c>
      <c r="J1637" s="15" t="str">
        <f>IF(COUNTIF(I$438:I1637,I1637)&gt;1,"DOUBLON","OK")</f>
        <v>OK</v>
      </c>
      <c r="S1637" s="12" t="str">
        <v>Côte d'Ivoire</v>
      </c>
      <c r="T1637" s="12" t="str">
        <f t="shared" si="130"/>
        <v>OK</v>
      </c>
      <c r="U1637" s="12" t="str">
        <f t="shared" si="131"/>
        <v>-</v>
      </c>
      <c r="V1637" s="12" t="str" cm="1">
        <f t="array" ref="V1637">_xlfn.IFS(
ISNUMBER(SEARCH("USA",S1637)),"United States",
ISNUMBER(SEARCH("Republic of Ireland",S1637)),"Ireland",
ISNUMBER(SEARCH("Republic of Korea",S1637)),"South Korea",
ISNUMBER(SEARCH("Cape Verde",S1637)),"Cabo Verde",
ISNUMBER(SEARCH("Czechia",S1637)),"Czech Republic",
ISNUMBER(SEARCH("Türkiye",S1637)),"Turkey",
ISNUMBER(SEARCH("Ivory Coast",S1637)),"Côte d'Ivoire",
ISNUMBER(SEARCH("Korea Republic",S1637)),"South Korea",
ISNUMBER(SEARCH("Germany FR",S1637)),"FR Germany",
ISNUMBER(SEARCH("West Germany",S1637)),"FR Germany",
ISNUMBER(SEARCH("Germany DR",S1637)),"DR Germany",
ISNUMBER(SEARCH("Korea DPR",S1637)),"North Korea",
ISNUMBER(SEARCH("China PR",S1637)),"China",
ISNUMBER(SEARCH("IR Iran",S1637)),"Iran",
ISNUMBER(SEARCH("Congo DR",S1637)),"Democratic Republic of the Congo",
ISNUMBER(SEARCH("DR Congo",S1637)),"Democratic Republic of the Congo",
ISNUMBER(SEARCH("German DR",S1637)),"DR Germany",
ISNUMBER(SEARCH("rn""&gt;United Arab Emirates",S1637)),"United Arab Emirates",
ISNUMBER(SEARCH("rn""&gt;Republic of Ireland",S1637)),"Ireland",
ISNUMBER(SEARCH("rn""&gt;Bosnia and Herzegovina",S1637)),"Bosnia and Herzegovina",
ISNUMBER(SEARCH("rn""&gt;Trinidad and Tobago",S1637)),"Trinidad and Tobago",
ISNUMBER(SEARCH("rn""&gt;Serbia and Montenegro",S1637)),"Serbia and Montenegro",
ISNUMBER(SEARCH(_xlfn.UNICHAR(65533),S1637)),"Côte d'Ivoire",
TRUE,""
)</f>
        <v/>
      </c>
      <c r="W1637" s="12" t="str">
        <f t="shared" si="132"/>
        <v>Côte d'Ivoire</v>
      </c>
    </row>
    <row r="1638" spans="2:23">
      <c r="B1638" s="75">
        <v>1201</v>
      </c>
      <c r="C1638" s="15" t="str">
        <v>Abdul Mumin</v>
      </c>
      <c r="D1638" s="15">
        <v>28</v>
      </c>
      <c r="E1638" s="15" t="str">
        <v>Ghana</v>
      </c>
      <c r="F1638" s="15" t="str">
        <v>CB</v>
      </c>
      <c r="G1638" s="15" t="str">
        <v>Rayo Vallecano</v>
      </c>
      <c r="H1638" s="15">
        <v>6</v>
      </c>
      <c r="I1638" s="15" t="str">
        <f t="shared" si="129"/>
        <v>1201|Abdul Mumin|28|Ghana|CB|Rayo Vallecano|6</v>
      </c>
      <c r="J1638" s="15" t="str">
        <f>IF(COUNTIF(I$438:I1638,I1638)&gt;1,"DOUBLON","OK")</f>
        <v>OK</v>
      </c>
      <c r="S1638" s="12" t="str">
        <v>Côte d'Ivoire</v>
      </c>
      <c r="T1638" s="12" t="str">
        <f t="shared" si="130"/>
        <v>OK</v>
      </c>
      <c r="U1638" s="12" t="str">
        <f t="shared" si="131"/>
        <v>-</v>
      </c>
      <c r="V1638" s="12" t="str" cm="1">
        <f t="array" ref="V1638">_xlfn.IFS(
ISNUMBER(SEARCH("USA",S1638)),"United States",
ISNUMBER(SEARCH("Republic of Ireland",S1638)),"Ireland",
ISNUMBER(SEARCH("Republic of Korea",S1638)),"South Korea",
ISNUMBER(SEARCH("Cape Verde",S1638)),"Cabo Verde",
ISNUMBER(SEARCH("Czechia",S1638)),"Czech Republic",
ISNUMBER(SEARCH("Türkiye",S1638)),"Turkey",
ISNUMBER(SEARCH("Ivory Coast",S1638)),"Côte d'Ivoire",
ISNUMBER(SEARCH("Korea Republic",S1638)),"South Korea",
ISNUMBER(SEARCH("Germany FR",S1638)),"FR Germany",
ISNUMBER(SEARCH("West Germany",S1638)),"FR Germany",
ISNUMBER(SEARCH("Germany DR",S1638)),"DR Germany",
ISNUMBER(SEARCH("Korea DPR",S1638)),"North Korea",
ISNUMBER(SEARCH("China PR",S1638)),"China",
ISNUMBER(SEARCH("IR Iran",S1638)),"Iran",
ISNUMBER(SEARCH("Congo DR",S1638)),"Democratic Republic of the Congo",
ISNUMBER(SEARCH("DR Congo",S1638)),"Democratic Republic of the Congo",
ISNUMBER(SEARCH("German DR",S1638)),"DR Germany",
ISNUMBER(SEARCH("rn""&gt;United Arab Emirates",S1638)),"United Arab Emirates",
ISNUMBER(SEARCH("rn""&gt;Republic of Ireland",S1638)),"Ireland",
ISNUMBER(SEARCH("rn""&gt;Bosnia and Herzegovina",S1638)),"Bosnia and Herzegovina",
ISNUMBER(SEARCH("rn""&gt;Trinidad and Tobago",S1638)),"Trinidad and Tobago",
ISNUMBER(SEARCH("rn""&gt;Serbia and Montenegro",S1638)),"Serbia and Montenegro",
ISNUMBER(SEARCH(_xlfn.UNICHAR(65533),S1638)),"Côte d'Ivoire",
TRUE,""
)</f>
        <v/>
      </c>
      <c r="W1638" s="12" t="str">
        <f t="shared" si="132"/>
        <v>Côte d'Ivoire</v>
      </c>
    </row>
    <row r="1639" spans="2:23">
      <c r="B1639" s="75">
        <v>1202</v>
      </c>
      <c r="C1639" s="15" t="str">
        <v>Jerome Opoku</v>
      </c>
      <c r="D1639" s="15">
        <v>27</v>
      </c>
      <c r="E1639" s="15" t="str">
        <v>Ghana</v>
      </c>
      <c r="F1639" s="15" t="str">
        <v>CB</v>
      </c>
      <c r="G1639" s="15" t="str">
        <v>İstanbul Başakşehir</v>
      </c>
      <c r="H1639" s="15">
        <v>18</v>
      </c>
      <c r="I1639" s="15" t="str">
        <f t="shared" si="129"/>
        <v>1202|Jerome Opoku|27|Ghana|CB|İstanbul Başakşehir|18</v>
      </c>
      <c r="J1639" s="15" t="str">
        <f>IF(COUNTIF(I$438:I1639,I1639)&gt;1,"DOUBLON","OK")</f>
        <v>OK</v>
      </c>
      <c r="S1639" s="12" t="str">
        <v>Côte d'Ivoire</v>
      </c>
      <c r="T1639" s="12" t="str">
        <f t="shared" si="130"/>
        <v>OK</v>
      </c>
      <c r="U1639" s="12" t="str">
        <f t="shared" si="131"/>
        <v>-</v>
      </c>
      <c r="V1639" s="12" t="str" cm="1">
        <f t="array" ref="V1639">_xlfn.IFS(
ISNUMBER(SEARCH("USA",S1639)),"United States",
ISNUMBER(SEARCH("Republic of Ireland",S1639)),"Ireland",
ISNUMBER(SEARCH("Republic of Korea",S1639)),"South Korea",
ISNUMBER(SEARCH("Cape Verde",S1639)),"Cabo Verde",
ISNUMBER(SEARCH("Czechia",S1639)),"Czech Republic",
ISNUMBER(SEARCH("Türkiye",S1639)),"Turkey",
ISNUMBER(SEARCH("Ivory Coast",S1639)),"Côte d'Ivoire",
ISNUMBER(SEARCH("Korea Republic",S1639)),"South Korea",
ISNUMBER(SEARCH("Germany FR",S1639)),"FR Germany",
ISNUMBER(SEARCH("West Germany",S1639)),"FR Germany",
ISNUMBER(SEARCH("Germany DR",S1639)),"DR Germany",
ISNUMBER(SEARCH("Korea DPR",S1639)),"North Korea",
ISNUMBER(SEARCH("China PR",S1639)),"China",
ISNUMBER(SEARCH("IR Iran",S1639)),"Iran",
ISNUMBER(SEARCH("Congo DR",S1639)),"Democratic Republic of the Congo",
ISNUMBER(SEARCH("DR Congo",S1639)),"Democratic Republic of the Congo",
ISNUMBER(SEARCH("German DR",S1639)),"DR Germany",
ISNUMBER(SEARCH("rn""&gt;United Arab Emirates",S1639)),"United Arab Emirates",
ISNUMBER(SEARCH("rn""&gt;Republic of Ireland",S1639)),"Ireland",
ISNUMBER(SEARCH("rn""&gt;Bosnia and Herzegovina",S1639)),"Bosnia and Herzegovina",
ISNUMBER(SEARCH("rn""&gt;Trinidad and Tobago",S1639)),"Trinidad and Tobago",
ISNUMBER(SEARCH("rn""&gt;Serbia and Montenegro",S1639)),"Serbia and Montenegro",
ISNUMBER(SEARCH(_xlfn.UNICHAR(65533),S1639)),"Côte d'Ivoire",
TRUE,""
)</f>
        <v/>
      </c>
      <c r="W1639" s="12" t="str">
        <f t="shared" si="132"/>
        <v>Côte d'Ivoire</v>
      </c>
    </row>
    <row r="1640" spans="2:23">
      <c r="B1640" s="75">
        <v>1203</v>
      </c>
      <c r="C1640" s="15" t="str">
        <v>Kojo Peprah Oppong</v>
      </c>
      <c r="D1640" s="15">
        <v>22</v>
      </c>
      <c r="E1640" s="15" t="str">
        <v>Ghana</v>
      </c>
      <c r="F1640" s="15" t="str">
        <v>CB</v>
      </c>
      <c r="G1640" s="15" t="str">
        <v>Nice</v>
      </c>
      <c r="H1640" s="15">
        <v>21</v>
      </c>
      <c r="I1640" s="15" t="str">
        <f t="shared" si="129"/>
        <v>1203|Kojo Peprah Oppong|22|Ghana|CB|Nice|21</v>
      </c>
      <c r="J1640" s="15" t="str">
        <f>IF(COUNTIF(I$438:I1640,I1640)&gt;1,"DOUBLON","OK")</f>
        <v>OK</v>
      </c>
      <c r="S1640" s="12" t="str">
        <v>Côte d'Ivoire</v>
      </c>
      <c r="T1640" s="12" t="str">
        <f t="shared" si="130"/>
        <v>OK</v>
      </c>
      <c r="U1640" s="12" t="str">
        <f t="shared" si="131"/>
        <v>-</v>
      </c>
      <c r="V1640" s="12" t="str" cm="1">
        <f t="array" ref="V1640">_xlfn.IFS(
ISNUMBER(SEARCH("USA",S1640)),"United States",
ISNUMBER(SEARCH("Republic of Ireland",S1640)),"Ireland",
ISNUMBER(SEARCH("Republic of Korea",S1640)),"South Korea",
ISNUMBER(SEARCH("Cape Verde",S1640)),"Cabo Verde",
ISNUMBER(SEARCH("Czechia",S1640)),"Czech Republic",
ISNUMBER(SEARCH("Türkiye",S1640)),"Turkey",
ISNUMBER(SEARCH("Ivory Coast",S1640)),"Côte d'Ivoire",
ISNUMBER(SEARCH("Korea Republic",S1640)),"South Korea",
ISNUMBER(SEARCH("Germany FR",S1640)),"FR Germany",
ISNUMBER(SEARCH("West Germany",S1640)),"FR Germany",
ISNUMBER(SEARCH("Germany DR",S1640)),"DR Germany",
ISNUMBER(SEARCH("Korea DPR",S1640)),"North Korea",
ISNUMBER(SEARCH("China PR",S1640)),"China",
ISNUMBER(SEARCH("IR Iran",S1640)),"Iran",
ISNUMBER(SEARCH("Congo DR",S1640)),"Democratic Republic of the Congo",
ISNUMBER(SEARCH("DR Congo",S1640)),"Democratic Republic of the Congo",
ISNUMBER(SEARCH("German DR",S1640)),"DR Germany",
ISNUMBER(SEARCH("rn""&gt;United Arab Emirates",S1640)),"United Arab Emirates",
ISNUMBER(SEARCH("rn""&gt;Republic of Ireland",S1640)),"Ireland",
ISNUMBER(SEARCH("rn""&gt;Bosnia and Herzegovina",S1640)),"Bosnia and Herzegovina",
ISNUMBER(SEARCH("rn""&gt;Trinidad and Tobago",S1640)),"Trinidad and Tobago",
ISNUMBER(SEARCH("rn""&gt;Serbia and Montenegro",S1640)),"Serbia and Montenegro",
ISNUMBER(SEARCH(_xlfn.UNICHAR(65533),S1640)),"Côte d'Ivoire",
TRUE,""
)</f>
        <v/>
      </c>
      <c r="W1640" s="12" t="str">
        <f t="shared" si="132"/>
        <v>Côte d'Ivoire</v>
      </c>
    </row>
    <row r="1641" spans="2:23">
      <c r="B1641" s="75">
        <v>1204</v>
      </c>
      <c r="C1641" s="15" t="str">
        <v>Derrick Luckassen</v>
      </c>
      <c r="D1641" s="15">
        <v>30</v>
      </c>
      <c r="E1641" s="15" t="str">
        <v>Ghana</v>
      </c>
      <c r="F1641" s="15" t="str">
        <v>CB</v>
      </c>
      <c r="G1641" s="15" t="str">
        <v>Pafos</v>
      </c>
      <c r="H1641" s="15">
        <v>23</v>
      </c>
      <c r="I1641" s="15" t="str">
        <f t="shared" si="129"/>
        <v>1204|Derrick Luckassen|30|Ghana|CB|Pafos|23</v>
      </c>
      <c r="J1641" s="15" t="str">
        <f>IF(COUNTIF(I$438:I1641,I1641)&gt;1,"DOUBLON","OK")</f>
        <v>OK</v>
      </c>
      <c r="S1641" s="12" t="str">
        <v>Japan</v>
      </c>
      <c r="T1641" s="12" t="str">
        <f t="shared" si="130"/>
        <v>OK</v>
      </c>
      <c r="U1641" s="12" t="str">
        <f t="shared" si="131"/>
        <v>-</v>
      </c>
      <c r="V1641" s="12" t="str" cm="1">
        <f t="array" ref="V1641">_xlfn.IFS(
ISNUMBER(SEARCH("USA",S1641)),"United States",
ISNUMBER(SEARCH("Republic of Ireland",S1641)),"Ireland",
ISNUMBER(SEARCH("Republic of Korea",S1641)),"South Korea",
ISNUMBER(SEARCH("Cape Verde",S1641)),"Cabo Verde",
ISNUMBER(SEARCH("Czechia",S1641)),"Czech Republic",
ISNUMBER(SEARCH("Türkiye",S1641)),"Turkey",
ISNUMBER(SEARCH("Ivory Coast",S1641)),"Côte d'Ivoire",
ISNUMBER(SEARCH("Korea Republic",S1641)),"South Korea",
ISNUMBER(SEARCH("Germany FR",S1641)),"FR Germany",
ISNUMBER(SEARCH("West Germany",S1641)),"FR Germany",
ISNUMBER(SEARCH("Germany DR",S1641)),"DR Germany",
ISNUMBER(SEARCH("Korea DPR",S1641)),"North Korea",
ISNUMBER(SEARCH("China PR",S1641)),"China",
ISNUMBER(SEARCH("IR Iran",S1641)),"Iran",
ISNUMBER(SEARCH("Congo DR",S1641)),"Democratic Republic of the Congo",
ISNUMBER(SEARCH("DR Congo",S1641)),"Democratic Republic of the Congo",
ISNUMBER(SEARCH("German DR",S1641)),"DR Germany",
ISNUMBER(SEARCH("rn""&gt;United Arab Emirates",S1641)),"United Arab Emirates",
ISNUMBER(SEARCH("rn""&gt;Republic of Ireland",S1641)),"Ireland",
ISNUMBER(SEARCH("rn""&gt;Bosnia and Herzegovina",S1641)),"Bosnia and Herzegovina",
ISNUMBER(SEARCH("rn""&gt;Trinidad and Tobago",S1641)),"Trinidad and Tobago",
ISNUMBER(SEARCH("rn""&gt;Serbia and Montenegro",S1641)),"Serbia and Montenegro",
ISNUMBER(SEARCH(_xlfn.UNICHAR(65533),S1641)),"Côte d'Ivoire",
TRUE,""
)</f>
        <v/>
      </c>
      <c r="W1641" s="12" t="str">
        <f t="shared" si="132"/>
        <v>Japan</v>
      </c>
    </row>
    <row r="1642" spans="2:23">
      <c r="B1642" s="75">
        <v>1205</v>
      </c>
      <c r="C1642" s="15" t="str">
        <v>Gideon Mensah</v>
      </c>
      <c r="D1642" s="15">
        <v>27</v>
      </c>
      <c r="E1642" s="15" t="str">
        <v>Ghana</v>
      </c>
      <c r="F1642" s="15" t="str">
        <v>LB</v>
      </c>
      <c r="G1642" s="15" t="str">
        <v>Auxerre</v>
      </c>
      <c r="H1642" s="15">
        <v>14</v>
      </c>
      <c r="I1642" s="15" t="str">
        <f t="shared" si="129"/>
        <v>1205|Gideon Mensah|27|Ghana|LB|Auxerre|14</v>
      </c>
      <c r="J1642" s="15" t="str">
        <f>IF(COUNTIF(I$438:I1642,I1642)&gt;1,"DOUBLON","OK")</f>
        <v>OK</v>
      </c>
      <c r="S1642" s="12" t="str">
        <v>Japan</v>
      </c>
      <c r="T1642" s="12" t="str">
        <f t="shared" si="130"/>
        <v>OK</v>
      </c>
      <c r="U1642" s="12" t="str">
        <f t="shared" si="131"/>
        <v>-</v>
      </c>
      <c r="V1642" s="12" t="str" cm="1">
        <f t="array" ref="V1642">_xlfn.IFS(
ISNUMBER(SEARCH("USA",S1642)),"United States",
ISNUMBER(SEARCH("Republic of Ireland",S1642)),"Ireland",
ISNUMBER(SEARCH("Republic of Korea",S1642)),"South Korea",
ISNUMBER(SEARCH("Cape Verde",S1642)),"Cabo Verde",
ISNUMBER(SEARCH("Czechia",S1642)),"Czech Republic",
ISNUMBER(SEARCH("Türkiye",S1642)),"Turkey",
ISNUMBER(SEARCH("Ivory Coast",S1642)),"Côte d'Ivoire",
ISNUMBER(SEARCH("Korea Republic",S1642)),"South Korea",
ISNUMBER(SEARCH("Germany FR",S1642)),"FR Germany",
ISNUMBER(SEARCH("West Germany",S1642)),"FR Germany",
ISNUMBER(SEARCH("Germany DR",S1642)),"DR Germany",
ISNUMBER(SEARCH("Korea DPR",S1642)),"North Korea",
ISNUMBER(SEARCH("China PR",S1642)),"China",
ISNUMBER(SEARCH("IR Iran",S1642)),"Iran",
ISNUMBER(SEARCH("Congo DR",S1642)),"Democratic Republic of the Congo",
ISNUMBER(SEARCH("DR Congo",S1642)),"Democratic Republic of the Congo",
ISNUMBER(SEARCH("German DR",S1642)),"DR Germany",
ISNUMBER(SEARCH("rn""&gt;United Arab Emirates",S1642)),"United Arab Emirates",
ISNUMBER(SEARCH("rn""&gt;Republic of Ireland",S1642)),"Ireland",
ISNUMBER(SEARCH("rn""&gt;Bosnia and Herzegovina",S1642)),"Bosnia and Herzegovina",
ISNUMBER(SEARCH("rn""&gt;Trinidad and Tobago",S1642)),"Trinidad and Tobago",
ISNUMBER(SEARCH("rn""&gt;Serbia and Montenegro",S1642)),"Serbia and Montenegro",
ISNUMBER(SEARCH(_xlfn.UNICHAR(65533),S1642)),"Côte d'Ivoire",
TRUE,""
)</f>
        <v/>
      </c>
      <c r="W1642" s="12" t="str">
        <f t="shared" si="132"/>
        <v>Japan</v>
      </c>
    </row>
    <row r="1643" spans="2:23">
      <c r="B1643" s="75">
        <v>1206</v>
      </c>
      <c r="C1643" s="15" t="str">
        <v>Abdul Rahman Baba</v>
      </c>
      <c r="D1643" s="15">
        <v>31</v>
      </c>
      <c r="E1643" s="15" t="str">
        <v>Ghana</v>
      </c>
      <c r="F1643" s="15" t="str">
        <v>LB</v>
      </c>
      <c r="G1643" s="15" t="str">
        <v>PAOK</v>
      </c>
      <c r="H1643" s="15">
        <v>17</v>
      </c>
      <c r="I1643" s="15" t="str">
        <f t="shared" si="129"/>
        <v>1206|Abdul Rahman Baba|31|Ghana|LB|PAOK|17</v>
      </c>
      <c r="J1643" s="15" t="str">
        <f>IF(COUNTIF(I$438:I1643,I1643)&gt;1,"DOUBLON","OK")</f>
        <v>OK</v>
      </c>
      <c r="S1643" s="12" t="str">
        <v>Japan</v>
      </c>
      <c r="T1643" s="12" t="str">
        <f t="shared" si="130"/>
        <v>OK</v>
      </c>
      <c r="U1643" s="12" t="str">
        <f t="shared" si="131"/>
        <v>-</v>
      </c>
      <c r="V1643" s="12" t="str" cm="1">
        <f t="array" ref="V1643">_xlfn.IFS(
ISNUMBER(SEARCH("USA",S1643)),"United States",
ISNUMBER(SEARCH("Republic of Ireland",S1643)),"Ireland",
ISNUMBER(SEARCH("Republic of Korea",S1643)),"South Korea",
ISNUMBER(SEARCH("Cape Verde",S1643)),"Cabo Verde",
ISNUMBER(SEARCH("Czechia",S1643)),"Czech Republic",
ISNUMBER(SEARCH("Türkiye",S1643)),"Turkey",
ISNUMBER(SEARCH("Ivory Coast",S1643)),"Côte d'Ivoire",
ISNUMBER(SEARCH("Korea Republic",S1643)),"South Korea",
ISNUMBER(SEARCH("Germany FR",S1643)),"FR Germany",
ISNUMBER(SEARCH("West Germany",S1643)),"FR Germany",
ISNUMBER(SEARCH("Germany DR",S1643)),"DR Germany",
ISNUMBER(SEARCH("Korea DPR",S1643)),"North Korea",
ISNUMBER(SEARCH("China PR",S1643)),"China",
ISNUMBER(SEARCH("IR Iran",S1643)),"Iran",
ISNUMBER(SEARCH("Congo DR",S1643)),"Democratic Republic of the Congo",
ISNUMBER(SEARCH("DR Congo",S1643)),"Democratic Republic of the Congo",
ISNUMBER(SEARCH("German DR",S1643)),"DR Germany",
ISNUMBER(SEARCH("rn""&gt;United Arab Emirates",S1643)),"United Arab Emirates",
ISNUMBER(SEARCH("rn""&gt;Republic of Ireland",S1643)),"Ireland",
ISNUMBER(SEARCH("rn""&gt;Bosnia and Herzegovina",S1643)),"Bosnia and Herzegovina",
ISNUMBER(SEARCH("rn""&gt;Trinidad and Tobago",S1643)),"Trinidad and Tobago",
ISNUMBER(SEARCH("rn""&gt;Serbia and Montenegro",S1643)),"Serbia and Montenegro",
ISNUMBER(SEARCH(_xlfn.UNICHAR(65533),S1643)),"Côte d'Ivoire",
TRUE,""
)</f>
        <v/>
      </c>
      <c r="W1643" s="12" t="str">
        <f t="shared" si="132"/>
        <v>Japan</v>
      </c>
    </row>
    <row r="1644" spans="2:23">
      <c r="B1644" s="75">
        <v>1207</v>
      </c>
      <c r="C1644" s="15" t="str">
        <v>Alidu Seidu</v>
      </c>
      <c r="D1644" s="15">
        <v>26</v>
      </c>
      <c r="E1644" s="15" t="str">
        <v>Ghana</v>
      </c>
      <c r="F1644" s="15" t="str">
        <v>RB</v>
      </c>
      <c r="G1644" s="15" t="str">
        <v>Rennes</v>
      </c>
      <c r="H1644" s="15">
        <v>2</v>
      </c>
      <c r="I1644" s="15" t="str">
        <f t="shared" si="129"/>
        <v>1207|Alidu Seidu|26|Ghana|RB|Rennes|2</v>
      </c>
      <c r="J1644" s="15" t="str">
        <f>IF(COUNTIF(I$438:I1644,I1644)&gt;1,"DOUBLON","OK")</f>
        <v>OK</v>
      </c>
      <c r="S1644" s="12" t="str">
        <v>Japan</v>
      </c>
      <c r="T1644" s="12" t="str">
        <f t="shared" si="130"/>
        <v>OK</v>
      </c>
      <c r="U1644" s="12" t="str">
        <f t="shared" si="131"/>
        <v>-</v>
      </c>
      <c r="V1644" s="12" t="str" cm="1">
        <f t="array" ref="V1644">_xlfn.IFS(
ISNUMBER(SEARCH("USA",S1644)),"United States",
ISNUMBER(SEARCH("Republic of Ireland",S1644)),"Ireland",
ISNUMBER(SEARCH("Republic of Korea",S1644)),"South Korea",
ISNUMBER(SEARCH("Cape Verde",S1644)),"Cabo Verde",
ISNUMBER(SEARCH("Czechia",S1644)),"Czech Republic",
ISNUMBER(SEARCH("Türkiye",S1644)),"Turkey",
ISNUMBER(SEARCH("Ivory Coast",S1644)),"Côte d'Ivoire",
ISNUMBER(SEARCH("Korea Republic",S1644)),"South Korea",
ISNUMBER(SEARCH("Germany FR",S1644)),"FR Germany",
ISNUMBER(SEARCH("West Germany",S1644)),"FR Germany",
ISNUMBER(SEARCH("Germany DR",S1644)),"DR Germany",
ISNUMBER(SEARCH("Korea DPR",S1644)),"North Korea",
ISNUMBER(SEARCH("China PR",S1644)),"China",
ISNUMBER(SEARCH("IR Iran",S1644)),"Iran",
ISNUMBER(SEARCH("Congo DR",S1644)),"Democratic Republic of the Congo",
ISNUMBER(SEARCH("DR Congo",S1644)),"Democratic Republic of the Congo",
ISNUMBER(SEARCH("German DR",S1644)),"DR Germany",
ISNUMBER(SEARCH("rn""&gt;United Arab Emirates",S1644)),"United Arab Emirates",
ISNUMBER(SEARCH("rn""&gt;Republic of Ireland",S1644)),"Ireland",
ISNUMBER(SEARCH("rn""&gt;Bosnia and Herzegovina",S1644)),"Bosnia and Herzegovina",
ISNUMBER(SEARCH("rn""&gt;Trinidad and Tobago",S1644)),"Trinidad and Tobago",
ISNUMBER(SEARCH("rn""&gt;Serbia and Montenegro",S1644)),"Serbia and Montenegro",
ISNUMBER(SEARCH(_xlfn.UNICHAR(65533),S1644)),"Côte d'Ivoire",
TRUE,""
)</f>
        <v/>
      </c>
      <c r="W1644" s="12" t="str">
        <f t="shared" si="132"/>
        <v>Japan</v>
      </c>
    </row>
    <row r="1645" spans="2:23">
      <c r="B1645" s="75">
        <v>1208</v>
      </c>
      <c r="C1645" s="15" t="str">
        <v>Marvin Senaya</v>
      </c>
      <c r="D1645" s="15">
        <v>25</v>
      </c>
      <c r="E1645" s="15" t="str">
        <v>Ghana</v>
      </c>
      <c r="F1645" s="15" t="str">
        <v>RB</v>
      </c>
      <c r="G1645" s="15" t="str">
        <v>Auxerre</v>
      </c>
      <c r="H1645" s="15">
        <v>26</v>
      </c>
      <c r="I1645" s="15" t="str">
        <f t="shared" si="129"/>
        <v>1208|Marvin Senaya|25|Ghana|RB|Auxerre|26</v>
      </c>
      <c r="J1645" s="15" t="str">
        <f>IF(COUNTIF(I$438:I1645,I1645)&gt;1,"DOUBLON","OK")</f>
        <v>OK</v>
      </c>
      <c r="S1645" s="12" t="str">
        <v>Japan</v>
      </c>
      <c r="T1645" s="12" t="str">
        <f t="shared" si="130"/>
        <v>OK</v>
      </c>
      <c r="U1645" s="12" t="str">
        <f t="shared" si="131"/>
        <v>-</v>
      </c>
      <c r="V1645" s="12" t="str" cm="1">
        <f t="array" ref="V1645">_xlfn.IFS(
ISNUMBER(SEARCH("USA",S1645)),"United States",
ISNUMBER(SEARCH("Republic of Ireland",S1645)),"Ireland",
ISNUMBER(SEARCH("Republic of Korea",S1645)),"South Korea",
ISNUMBER(SEARCH("Cape Verde",S1645)),"Cabo Verde",
ISNUMBER(SEARCH("Czechia",S1645)),"Czech Republic",
ISNUMBER(SEARCH("Türkiye",S1645)),"Turkey",
ISNUMBER(SEARCH("Ivory Coast",S1645)),"Côte d'Ivoire",
ISNUMBER(SEARCH("Korea Republic",S1645)),"South Korea",
ISNUMBER(SEARCH("Germany FR",S1645)),"FR Germany",
ISNUMBER(SEARCH("West Germany",S1645)),"FR Germany",
ISNUMBER(SEARCH("Germany DR",S1645)),"DR Germany",
ISNUMBER(SEARCH("Korea DPR",S1645)),"North Korea",
ISNUMBER(SEARCH("China PR",S1645)),"China",
ISNUMBER(SEARCH("IR Iran",S1645)),"Iran",
ISNUMBER(SEARCH("Congo DR",S1645)),"Democratic Republic of the Congo",
ISNUMBER(SEARCH("DR Congo",S1645)),"Democratic Republic of the Congo",
ISNUMBER(SEARCH("German DR",S1645)),"DR Germany",
ISNUMBER(SEARCH("rn""&gt;United Arab Emirates",S1645)),"United Arab Emirates",
ISNUMBER(SEARCH("rn""&gt;Republic of Ireland",S1645)),"Ireland",
ISNUMBER(SEARCH("rn""&gt;Bosnia and Herzegovina",S1645)),"Bosnia and Herzegovina",
ISNUMBER(SEARCH("rn""&gt;Trinidad and Tobago",S1645)),"Trinidad and Tobago",
ISNUMBER(SEARCH("rn""&gt;Serbia and Montenegro",S1645)),"Serbia and Montenegro",
ISNUMBER(SEARCH(_xlfn.UNICHAR(65533),S1645)),"Côte d'Ivoire",
TRUE,""
)</f>
        <v/>
      </c>
      <c r="W1645" s="12" t="str">
        <f t="shared" si="132"/>
        <v>Japan</v>
      </c>
    </row>
    <row r="1646" spans="2:23">
      <c r="B1646" s="75">
        <v>1209</v>
      </c>
      <c r="C1646" s="15" t="str">
        <v>Thomas Partey</v>
      </c>
      <c r="D1646" s="15">
        <v>32</v>
      </c>
      <c r="E1646" s="15" t="str">
        <v>Ghana</v>
      </c>
      <c r="F1646" s="15" t="str">
        <v>CDM</v>
      </c>
      <c r="G1646" s="15" t="str">
        <v>Villarreal</v>
      </c>
      <c r="H1646" s="15">
        <v>5</v>
      </c>
      <c r="I1646" s="15" t="str">
        <f t="shared" si="129"/>
        <v>1209|Thomas Partey|32|Ghana|CDM|Villarreal|5</v>
      </c>
      <c r="J1646" s="15" t="str">
        <f>IF(COUNTIF(I$438:I1646,I1646)&gt;1,"DOUBLON","OK")</f>
        <v>OK</v>
      </c>
      <c r="S1646" s="12" t="str">
        <v>Japan</v>
      </c>
      <c r="T1646" s="12" t="str">
        <f t="shared" si="130"/>
        <v>OK</v>
      </c>
      <c r="U1646" s="12" t="str">
        <f t="shared" si="131"/>
        <v>-</v>
      </c>
      <c r="V1646" s="12" t="str" cm="1">
        <f t="array" ref="V1646">_xlfn.IFS(
ISNUMBER(SEARCH("USA",S1646)),"United States",
ISNUMBER(SEARCH("Republic of Ireland",S1646)),"Ireland",
ISNUMBER(SEARCH("Republic of Korea",S1646)),"South Korea",
ISNUMBER(SEARCH("Cape Verde",S1646)),"Cabo Verde",
ISNUMBER(SEARCH("Czechia",S1646)),"Czech Republic",
ISNUMBER(SEARCH("Türkiye",S1646)),"Turkey",
ISNUMBER(SEARCH("Ivory Coast",S1646)),"Côte d'Ivoire",
ISNUMBER(SEARCH("Korea Republic",S1646)),"South Korea",
ISNUMBER(SEARCH("Germany FR",S1646)),"FR Germany",
ISNUMBER(SEARCH("West Germany",S1646)),"FR Germany",
ISNUMBER(SEARCH("Germany DR",S1646)),"DR Germany",
ISNUMBER(SEARCH("Korea DPR",S1646)),"North Korea",
ISNUMBER(SEARCH("China PR",S1646)),"China",
ISNUMBER(SEARCH("IR Iran",S1646)),"Iran",
ISNUMBER(SEARCH("Congo DR",S1646)),"Democratic Republic of the Congo",
ISNUMBER(SEARCH("DR Congo",S1646)),"Democratic Republic of the Congo",
ISNUMBER(SEARCH("German DR",S1646)),"DR Germany",
ISNUMBER(SEARCH("rn""&gt;United Arab Emirates",S1646)),"United Arab Emirates",
ISNUMBER(SEARCH("rn""&gt;Republic of Ireland",S1646)),"Ireland",
ISNUMBER(SEARCH("rn""&gt;Bosnia and Herzegovina",S1646)),"Bosnia and Herzegovina",
ISNUMBER(SEARCH("rn""&gt;Trinidad and Tobago",S1646)),"Trinidad and Tobago",
ISNUMBER(SEARCH("rn""&gt;Serbia and Montenegro",S1646)),"Serbia and Montenegro",
ISNUMBER(SEARCH(_xlfn.UNICHAR(65533),S1646)),"Côte d'Ivoire",
TRUE,""
)</f>
        <v/>
      </c>
      <c r="W1646" s="12" t="str">
        <f t="shared" si="132"/>
        <v>Japan</v>
      </c>
    </row>
    <row r="1647" spans="2:23">
      <c r="B1647" s="75">
        <v>1210</v>
      </c>
      <c r="C1647" s="15" t="str">
        <v>Elisha Owusu</v>
      </c>
      <c r="D1647" s="15">
        <v>28</v>
      </c>
      <c r="E1647" s="15" t="str">
        <v>Ghana</v>
      </c>
      <c r="F1647" s="15" t="str">
        <v>CDM</v>
      </c>
      <c r="G1647" s="15" t="str">
        <v>Auxerre</v>
      </c>
      <c r="H1647" s="15">
        <v>15</v>
      </c>
      <c r="I1647" s="15" t="str">
        <f t="shared" si="129"/>
        <v>1210|Elisha Owusu|28|Ghana|CDM|Auxerre|15</v>
      </c>
      <c r="J1647" s="15" t="str">
        <f>IF(COUNTIF(I$438:I1647,I1647)&gt;1,"DOUBLON","OK")</f>
        <v>OK</v>
      </c>
      <c r="S1647" s="12" t="str">
        <v>Japan</v>
      </c>
      <c r="T1647" s="12" t="str">
        <f t="shared" si="130"/>
        <v>OK</v>
      </c>
      <c r="U1647" s="12" t="str">
        <f t="shared" si="131"/>
        <v>-</v>
      </c>
      <c r="V1647" s="12" t="str" cm="1">
        <f t="array" ref="V1647">_xlfn.IFS(
ISNUMBER(SEARCH("USA",S1647)),"United States",
ISNUMBER(SEARCH("Republic of Ireland",S1647)),"Ireland",
ISNUMBER(SEARCH("Republic of Korea",S1647)),"South Korea",
ISNUMBER(SEARCH("Cape Verde",S1647)),"Cabo Verde",
ISNUMBER(SEARCH("Czechia",S1647)),"Czech Republic",
ISNUMBER(SEARCH("Türkiye",S1647)),"Turkey",
ISNUMBER(SEARCH("Ivory Coast",S1647)),"Côte d'Ivoire",
ISNUMBER(SEARCH("Korea Republic",S1647)),"South Korea",
ISNUMBER(SEARCH("Germany FR",S1647)),"FR Germany",
ISNUMBER(SEARCH("West Germany",S1647)),"FR Germany",
ISNUMBER(SEARCH("Germany DR",S1647)),"DR Germany",
ISNUMBER(SEARCH("Korea DPR",S1647)),"North Korea",
ISNUMBER(SEARCH("China PR",S1647)),"China",
ISNUMBER(SEARCH("IR Iran",S1647)),"Iran",
ISNUMBER(SEARCH("Congo DR",S1647)),"Democratic Republic of the Congo",
ISNUMBER(SEARCH("DR Congo",S1647)),"Democratic Republic of the Congo",
ISNUMBER(SEARCH("German DR",S1647)),"DR Germany",
ISNUMBER(SEARCH("rn""&gt;United Arab Emirates",S1647)),"United Arab Emirates",
ISNUMBER(SEARCH("rn""&gt;Republic of Ireland",S1647)),"Ireland",
ISNUMBER(SEARCH("rn""&gt;Bosnia and Herzegovina",S1647)),"Bosnia and Herzegovina",
ISNUMBER(SEARCH("rn""&gt;Trinidad and Tobago",S1647)),"Trinidad and Tobago",
ISNUMBER(SEARCH("rn""&gt;Serbia and Montenegro",S1647)),"Serbia and Montenegro",
ISNUMBER(SEARCH(_xlfn.UNICHAR(65533),S1647)),"Côte d'Ivoire",
TRUE,""
)</f>
        <v/>
      </c>
      <c r="W1647" s="12" t="str">
        <f t="shared" si="132"/>
        <v>Japan</v>
      </c>
    </row>
    <row r="1648" spans="2:23">
      <c r="B1648" s="75">
        <v>1211</v>
      </c>
      <c r="C1648" s="15" t="str">
        <v>Caleb Yirenkyi</v>
      </c>
      <c r="D1648" s="15">
        <v>20</v>
      </c>
      <c r="E1648" s="15" t="str">
        <v>Ghana</v>
      </c>
      <c r="F1648" s="15" t="str">
        <v>CM</v>
      </c>
      <c r="G1648" s="15" t="str">
        <v>Nordsjælland</v>
      </c>
      <c r="H1648" s="15">
        <v>3</v>
      </c>
      <c r="I1648" s="15" t="str">
        <f t="shared" si="129"/>
        <v>1211|Caleb Yirenkyi|20|Ghana|CM|Nordsjælland|3</v>
      </c>
      <c r="J1648" s="15" t="str">
        <f>IF(COUNTIF(I$438:I1648,I1648)&gt;1,"DOUBLON","OK")</f>
        <v>OK</v>
      </c>
      <c r="S1648" s="12" t="str">
        <v>Japan</v>
      </c>
      <c r="T1648" s="12" t="str">
        <f t="shared" si="130"/>
        <v>OK</v>
      </c>
      <c r="U1648" s="12" t="str">
        <f t="shared" si="131"/>
        <v>-</v>
      </c>
      <c r="V1648" s="12" t="str" cm="1">
        <f t="array" ref="V1648">_xlfn.IFS(
ISNUMBER(SEARCH("USA",S1648)),"United States",
ISNUMBER(SEARCH("Republic of Ireland",S1648)),"Ireland",
ISNUMBER(SEARCH("Republic of Korea",S1648)),"South Korea",
ISNUMBER(SEARCH("Cape Verde",S1648)),"Cabo Verde",
ISNUMBER(SEARCH("Czechia",S1648)),"Czech Republic",
ISNUMBER(SEARCH("Türkiye",S1648)),"Turkey",
ISNUMBER(SEARCH("Ivory Coast",S1648)),"Côte d'Ivoire",
ISNUMBER(SEARCH("Korea Republic",S1648)),"South Korea",
ISNUMBER(SEARCH("Germany FR",S1648)),"FR Germany",
ISNUMBER(SEARCH("West Germany",S1648)),"FR Germany",
ISNUMBER(SEARCH("Germany DR",S1648)),"DR Germany",
ISNUMBER(SEARCH("Korea DPR",S1648)),"North Korea",
ISNUMBER(SEARCH("China PR",S1648)),"China",
ISNUMBER(SEARCH("IR Iran",S1648)),"Iran",
ISNUMBER(SEARCH("Congo DR",S1648)),"Democratic Republic of the Congo",
ISNUMBER(SEARCH("DR Congo",S1648)),"Democratic Republic of the Congo",
ISNUMBER(SEARCH("German DR",S1648)),"DR Germany",
ISNUMBER(SEARCH("rn""&gt;United Arab Emirates",S1648)),"United Arab Emirates",
ISNUMBER(SEARCH("rn""&gt;Republic of Ireland",S1648)),"Ireland",
ISNUMBER(SEARCH("rn""&gt;Bosnia and Herzegovina",S1648)),"Bosnia and Herzegovina",
ISNUMBER(SEARCH("rn""&gt;Trinidad and Tobago",S1648)),"Trinidad and Tobago",
ISNUMBER(SEARCH("rn""&gt;Serbia and Montenegro",S1648)),"Serbia and Montenegro",
ISNUMBER(SEARCH(_xlfn.UNICHAR(65533),S1648)),"Côte d'Ivoire",
TRUE,""
)</f>
        <v/>
      </c>
      <c r="W1648" s="12" t="str">
        <f t="shared" si="132"/>
        <v>Japan</v>
      </c>
    </row>
    <row r="1649" spans="2:23">
      <c r="B1649" s="75">
        <v>1212</v>
      </c>
      <c r="C1649" s="15" t="str">
        <v>Kwasi Sibo</v>
      </c>
      <c r="D1649" s="15">
        <v>27</v>
      </c>
      <c r="E1649" s="15" t="str">
        <v>Ghana</v>
      </c>
      <c r="F1649" s="15" t="str">
        <v>CM</v>
      </c>
      <c r="G1649" s="15" t="str">
        <v>Oviedo</v>
      </c>
      <c r="H1649" s="15">
        <v>8</v>
      </c>
      <c r="I1649" s="15" t="str">
        <f t="shared" si="129"/>
        <v>1212|Kwasi Sibo|27|Ghana|CM|Oviedo|8</v>
      </c>
      <c r="J1649" s="15" t="str">
        <f>IF(COUNTIF(I$438:I1649,I1649)&gt;1,"DOUBLON","OK")</f>
        <v>OK</v>
      </c>
      <c r="S1649" s="12" t="str">
        <v>Japan</v>
      </c>
      <c r="T1649" s="12" t="str">
        <f t="shared" si="130"/>
        <v>OK</v>
      </c>
      <c r="U1649" s="12" t="str">
        <f t="shared" si="131"/>
        <v>-</v>
      </c>
      <c r="V1649" s="12" t="str" cm="1">
        <f t="array" ref="V1649">_xlfn.IFS(
ISNUMBER(SEARCH("USA",S1649)),"United States",
ISNUMBER(SEARCH("Republic of Ireland",S1649)),"Ireland",
ISNUMBER(SEARCH("Republic of Korea",S1649)),"South Korea",
ISNUMBER(SEARCH("Cape Verde",S1649)),"Cabo Verde",
ISNUMBER(SEARCH("Czechia",S1649)),"Czech Republic",
ISNUMBER(SEARCH("Türkiye",S1649)),"Turkey",
ISNUMBER(SEARCH("Ivory Coast",S1649)),"Côte d'Ivoire",
ISNUMBER(SEARCH("Korea Republic",S1649)),"South Korea",
ISNUMBER(SEARCH("Germany FR",S1649)),"FR Germany",
ISNUMBER(SEARCH("West Germany",S1649)),"FR Germany",
ISNUMBER(SEARCH("Germany DR",S1649)),"DR Germany",
ISNUMBER(SEARCH("Korea DPR",S1649)),"North Korea",
ISNUMBER(SEARCH("China PR",S1649)),"China",
ISNUMBER(SEARCH("IR Iran",S1649)),"Iran",
ISNUMBER(SEARCH("Congo DR",S1649)),"Democratic Republic of the Congo",
ISNUMBER(SEARCH("DR Congo",S1649)),"Democratic Republic of the Congo",
ISNUMBER(SEARCH("German DR",S1649)),"DR Germany",
ISNUMBER(SEARCH("rn""&gt;United Arab Emirates",S1649)),"United Arab Emirates",
ISNUMBER(SEARCH("rn""&gt;Republic of Ireland",S1649)),"Ireland",
ISNUMBER(SEARCH("rn""&gt;Bosnia and Herzegovina",S1649)),"Bosnia and Herzegovina",
ISNUMBER(SEARCH("rn""&gt;Trinidad and Tobago",S1649)),"Trinidad and Tobago",
ISNUMBER(SEARCH("rn""&gt;Serbia and Montenegro",S1649)),"Serbia and Montenegro",
ISNUMBER(SEARCH(_xlfn.UNICHAR(65533),S1649)),"Côte d'Ivoire",
TRUE,""
)</f>
        <v/>
      </c>
      <c r="W1649" s="12" t="str">
        <f t="shared" si="132"/>
        <v>Japan</v>
      </c>
    </row>
    <row r="1650" spans="2:23">
      <c r="B1650" s="75">
        <v>1213</v>
      </c>
      <c r="C1650" s="15" t="str">
        <v>Augustine Boakye</v>
      </c>
      <c r="D1650" s="15">
        <v>25</v>
      </c>
      <c r="E1650" s="15" t="str">
        <v>Ghana</v>
      </c>
      <c r="F1650" s="15" t="str">
        <v>CM</v>
      </c>
      <c r="G1650" s="15" t="str">
        <v>Saint-Étienne</v>
      </c>
      <c r="H1650" s="15">
        <v>20</v>
      </c>
      <c r="I1650" s="15" t="str">
        <f t="shared" si="129"/>
        <v>1213|Augustine Boakye|25|Ghana|CM|Saint-Étienne|20</v>
      </c>
      <c r="J1650" s="15" t="str">
        <f>IF(COUNTIF(I$438:I1650,I1650)&gt;1,"DOUBLON","OK")</f>
        <v>OK</v>
      </c>
      <c r="S1650" s="12" t="str">
        <v>Japan</v>
      </c>
      <c r="T1650" s="12" t="str">
        <f t="shared" si="130"/>
        <v>OK</v>
      </c>
      <c r="U1650" s="12" t="str">
        <f t="shared" si="131"/>
        <v>-</v>
      </c>
      <c r="V1650" s="12" t="str" cm="1">
        <f t="array" ref="V1650">_xlfn.IFS(
ISNUMBER(SEARCH("USA",S1650)),"United States",
ISNUMBER(SEARCH("Republic of Ireland",S1650)),"Ireland",
ISNUMBER(SEARCH("Republic of Korea",S1650)),"South Korea",
ISNUMBER(SEARCH("Cape Verde",S1650)),"Cabo Verde",
ISNUMBER(SEARCH("Czechia",S1650)),"Czech Republic",
ISNUMBER(SEARCH("Türkiye",S1650)),"Turkey",
ISNUMBER(SEARCH("Ivory Coast",S1650)),"Côte d'Ivoire",
ISNUMBER(SEARCH("Korea Republic",S1650)),"South Korea",
ISNUMBER(SEARCH("Germany FR",S1650)),"FR Germany",
ISNUMBER(SEARCH("West Germany",S1650)),"FR Germany",
ISNUMBER(SEARCH("Germany DR",S1650)),"DR Germany",
ISNUMBER(SEARCH("Korea DPR",S1650)),"North Korea",
ISNUMBER(SEARCH("China PR",S1650)),"China",
ISNUMBER(SEARCH("IR Iran",S1650)),"Iran",
ISNUMBER(SEARCH("Congo DR",S1650)),"Democratic Republic of the Congo",
ISNUMBER(SEARCH("DR Congo",S1650)),"Democratic Republic of the Congo",
ISNUMBER(SEARCH("German DR",S1650)),"DR Germany",
ISNUMBER(SEARCH("rn""&gt;United Arab Emirates",S1650)),"United Arab Emirates",
ISNUMBER(SEARCH("rn""&gt;Republic of Ireland",S1650)),"Ireland",
ISNUMBER(SEARCH("rn""&gt;Bosnia and Herzegovina",S1650)),"Bosnia and Herzegovina",
ISNUMBER(SEARCH("rn""&gt;Trinidad and Tobago",S1650)),"Trinidad and Tobago",
ISNUMBER(SEARCH("rn""&gt;Serbia and Montenegro",S1650)),"Serbia and Montenegro",
ISNUMBER(SEARCH(_xlfn.UNICHAR(65533),S1650)),"Côte d'Ivoire",
TRUE,""
)</f>
        <v/>
      </c>
      <c r="W1650" s="12" t="str">
        <f t="shared" si="132"/>
        <v>Japan</v>
      </c>
    </row>
    <row r="1651" spans="2:23">
      <c r="B1651" s="75">
        <v>1214</v>
      </c>
      <c r="C1651" s="15" t="str">
        <v>Antoine Semenyo</v>
      </c>
      <c r="D1651" s="15">
        <v>26</v>
      </c>
      <c r="E1651" s="15" t="str">
        <v>Ghana</v>
      </c>
      <c r="F1651" s="15" t="str">
        <v>CAM</v>
      </c>
      <c r="G1651" s="15" t="str">
        <v>Manchester City</v>
      </c>
      <c r="H1651" s="15">
        <v>11</v>
      </c>
      <c r="I1651" s="15" t="str">
        <f t="shared" si="129"/>
        <v>1214|Antoine Semenyo|26|Ghana|CAM|Manchester City|11</v>
      </c>
      <c r="J1651" s="15" t="str">
        <f>IF(COUNTIF(I$438:I1651,I1651)&gt;1,"DOUBLON","OK")</f>
        <v>OK</v>
      </c>
      <c r="S1651" s="12" t="str">
        <v>Japan</v>
      </c>
      <c r="T1651" s="12" t="str">
        <f t="shared" si="130"/>
        <v>OK</v>
      </c>
      <c r="U1651" s="12" t="str">
        <f t="shared" si="131"/>
        <v>-</v>
      </c>
      <c r="V1651" s="12" t="str" cm="1">
        <f t="array" ref="V1651">_xlfn.IFS(
ISNUMBER(SEARCH("USA",S1651)),"United States",
ISNUMBER(SEARCH("Republic of Ireland",S1651)),"Ireland",
ISNUMBER(SEARCH("Republic of Korea",S1651)),"South Korea",
ISNUMBER(SEARCH("Cape Verde",S1651)),"Cabo Verde",
ISNUMBER(SEARCH("Czechia",S1651)),"Czech Republic",
ISNUMBER(SEARCH("Türkiye",S1651)),"Turkey",
ISNUMBER(SEARCH("Ivory Coast",S1651)),"Côte d'Ivoire",
ISNUMBER(SEARCH("Korea Republic",S1651)),"South Korea",
ISNUMBER(SEARCH("Germany FR",S1651)),"FR Germany",
ISNUMBER(SEARCH("West Germany",S1651)),"FR Germany",
ISNUMBER(SEARCH("Germany DR",S1651)),"DR Germany",
ISNUMBER(SEARCH("Korea DPR",S1651)),"North Korea",
ISNUMBER(SEARCH("China PR",S1651)),"China",
ISNUMBER(SEARCH("IR Iran",S1651)),"Iran",
ISNUMBER(SEARCH("Congo DR",S1651)),"Democratic Republic of the Congo",
ISNUMBER(SEARCH("DR Congo",S1651)),"Democratic Republic of the Congo",
ISNUMBER(SEARCH("German DR",S1651)),"DR Germany",
ISNUMBER(SEARCH("rn""&gt;United Arab Emirates",S1651)),"United Arab Emirates",
ISNUMBER(SEARCH("rn""&gt;Republic of Ireland",S1651)),"Ireland",
ISNUMBER(SEARCH("rn""&gt;Bosnia and Herzegovina",S1651)),"Bosnia and Herzegovina",
ISNUMBER(SEARCH("rn""&gt;Trinidad and Tobago",S1651)),"Trinidad and Tobago",
ISNUMBER(SEARCH("rn""&gt;Serbia and Montenegro",S1651)),"Serbia and Montenegro",
ISNUMBER(SEARCH(_xlfn.UNICHAR(65533),S1651)),"Côte d'Ivoire",
TRUE,""
)</f>
        <v/>
      </c>
      <c r="W1651" s="12" t="str">
        <f t="shared" si="132"/>
        <v>Japan</v>
      </c>
    </row>
    <row r="1652" spans="2:23">
      <c r="B1652" s="75">
        <v>1215</v>
      </c>
      <c r="C1652" s="15" t="str">
        <v>Iñaki Williams</v>
      </c>
      <c r="D1652" s="15">
        <v>31</v>
      </c>
      <c r="E1652" s="15" t="str">
        <v>Ghana</v>
      </c>
      <c r="F1652" s="15" t="str">
        <v>LW</v>
      </c>
      <c r="G1652" s="15" t="str">
        <v>Athletic Bilbao</v>
      </c>
      <c r="H1652" s="15">
        <v>19</v>
      </c>
      <c r="I1652" s="15" t="str">
        <f t="shared" si="129"/>
        <v>1215|Iñaki Williams|31|Ghana|LW|Athletic Bilbao|19</v>
      </c>
      <c r="J1652" s="15" t="str">
        <f>IF(COUNTIF(I$438:I1652,I1652)&gt;1,"DOUBLON","OK")</f>
        <v>OK</v>
      </c>
      <c r="S1652" s="12" t="str">
        <v>Japan</v>
      </c>
      <c r="T1652" s="12" t="str">
        <f t="shared" si="130"/>
        <v>OK</v>
      </c>
      <c r="U1652" s="12" t="str">
        <f t="shared" si="131"/>
        <v>-</v>
      </c>
      <c r="V1652" s="12" t="str" cm="1">
        <f t="array" ref="V1652">_xlfn.IFS(
ISNUMBER(SEARCH("USA",S1652)),"United States",
ISNUMBER(SEARCH("Republic of Ireland",S1652)),"Ireland",
ISNUMBER(SEARCH("Republic of Korea",S1652)),"South Korea",
ISNUMBER(SEARCH("Cape Verde",S1652)),"Cabo Verde",
ISNUMBER(SEARCH("Czechia",S1652)),"Czech Republic",
ISNUMBER(SEARCH("Türkiye",S1652)),"Turkey",
ISNUMBER(SEARCH("Ivory Coast",S1652)),"Côte d'Ivoire",
ISNUMBER(SEARCH("Korea Republic",S1652)),"South Korea",
ISNUMBER(SEARCH("Germany FR",S1652)),"FR Germany",
ISNUMBER(SEARCH("West Germany",S1652)),"FR Germany",
ISNUMBER(SEARCH("Germany DR",S1652)),"DR Germany",
ISNUMBER(SEARCH("Korea DPR",S1652)),"North Korea",
ISNUMBER(SEARCH("China PR",S1652)),"China",
ISNUMBER(SEARCH("IR Iran",S1652)),"Iran",
ISNUMBER(SEARCH("Congo DR",S1652)),"Democratic Republic of the Congo",
ISNUMBER(SEARCH("DR Congo",S1652)),"Democratic Republic of the Congo",
ISNUMBER(SEARCH("German DR",S1652)),"DR Germany",
ISNUMBER(SEARCH("rn""&gt;United Arab Emirates",S1652)),"United Arab Emirates",
ISNUMBER(SEARCH("rn""&gt;Republic of Ireland",S1652)),"Ireland",
ISNUMBER(SEARCH("rn""&gt;Bosnia and Herzegovina",S1652)),"Bosnia and Herzegovina",
ISNUMBER(SEARCH("rn""&gt;Trinidad and Tobago",S1652)),"Trinidad and Tobago",
ISNUMBER(SEARCH("rn""&gt;Serbia and Montenegro",S1652)),"Serbia and Montenegro",
ISNUMBER(SEARCH(_xlfn.UNICHAR(65533),S1652)),"Côte d'Ivoire",
TRUE,""
)</f>
        <v/>
      </c>
      <c r="W1652" s="12" t="str">
        <f t="shared" si="132"/>
        <v>Japan</v>
      </c>
    </row>
    <row r="1653" spans="2:23">
      <c r="B1653" s="75">
        <v>1216</v>
      </c>
      <c r="C1653" s="15" t="str">
        <v>Kamaldeen Sulemana</v>
      </c>
      <c r="D1653" s="15">
        <v>24</v>
      </c>
      <c r="E1653" s="15" t="str">
        <v>Ghana</v>
      </c>
      <c r="F1653" s="15" t="str">
        <v>LW</v>
      </c>
      <c r="G1653" s="15" t="str">
        <v>Atalanta</v>
      </c>
      <c r="H1653" s="15">
        <v>22</v>
      </c>
      <c r="I1653" s="15" t="str">
        <f t="shared" si="129"/>
        <v>1216|Kamaldeen Sulemana|24|Ghana|LW|Atalanta|22</v>
      </c>
      <c r="J1653" s="15" t="str">
        <f>IF(COUNTIF(I$438:I1653,I1653)&gt;1,"DOUBLON","OK")</f>
        <v>OK</v>
      </c>
      <c r="S1653" s="12" t="str">
        <v>Japan</v>
      </c>
      <c r="T1653" s="12" t="str">
        <f t="shared" si="130"/>
        <v>OK</v>
      </c>
      <c r="U1653" s="12" t="str">
        <f t="shared" si="131"/>
        <v>-</v>
      </c>
      <c r="V1653" s="12" t="str" cm="1">
        <f t="array" ref="V1653">_xlfn.IFS(
ISNUMBER(SEARCH("USA",S1653)),"United States",
ISNUMBER(SEARCH("Republic of Ireland",S1653)),"Ireland",
ISNUMBER(SEARCH("Republic of Korea",S1653)),"South Korea",
ISNUMBER(SEARCH("Cape Verde",S1653)),"Cabo Verde",
ISNUMBER(SEARCH("Czechia",S1653)),"Czech Republic",
ISNUMBER(SEARCH("Türkiye",S1653)),"Turkey",
ISNUMBER(SEARCH("Ivory Coast",S1653)),"Côte d'Ivoire",
ISNUMBER(SEARCH("Korea Republic",S1653)),"South Korea",
ISNUMBER(SEARCH("Germany FR",S1653)),"FR Germany",
ISNUMBER(SEARCH("West Germany",S1653)),"FR Germany",
ISNUMBER(SEARCH("Germany DR",S1653)),"DR Germany",
ISNUMBER(SEARCH("Korea DPR",S1653)),"North Korea",
ISNUMBER(SEARCH("China PR",S1653)),"China",
ISNUMBER(SEARCH("IR Iran",S1653)),"Iran",
ISNUMBER(SEARCH("Congo DR",S1653)),"Democratic Republic of the Congo",
ISNUMBER(SEARCH("DR Congo",S1653)),"Democratic Republic of the Congo",
ISNUMBER(SEARCH("German DR",S1653)),"DR Germany",
ISNUMBER(SEARCH("rn""&gt;United Arab Emirates",S1653)),"United Arab Emirates",
ISNUMBER(SEARCH("rn""&gt;Republic of Ireland",S1653)),"Ireland",
ISNUMBER(SEARCH("rn""&gt;Bosnia and Herzegovina",S1653)),"Bosnia and Herzegovina",
ISNUMBER(SEARCH("rn""&gt;Trinidad and Tobago",S1653)),"Trinidad and Tobago",
ISNUMBER(SEARCH("rn""&gt;Serbia and Montenegro",S1653)),"Serbia and Montenegro",
ISNUMBER(SEARCH(_xlfn.UNICHAR(65533),S1653)),"Côte d'Ivoire",
TRUE,""
)</f>
        <v/>
      </c>
      <c r="W1653" s="12" t="str">
        <f t="shared" si="132"/>
        <v>Japan</v>
      </c>
    </row>
    <row r="1654" spans="2:23">
      <c r="B1654" s="75">
        <v>1217</v>
      </c>
      <c r="C1654" s="15" t="str">
        <v>Abdul Fatawu</v>
      </c>
      <c r="D1654" s="15">
        <v>22</v>
      </c>
      <c r="E1654" s="15" t="str">
        <v>Ghana</v>
      </c>
      <c r="F1654" s="15" t="str">
        <v>RW</v>
      </c>
      <c r="G1654" s="15" t="str">
        <v>Leicester City</v>
      </c>
      <c r="H1654" s="15">
        <v>7</v>
      </c>
      <c r="I1654" s="15" t="str">
        <f t="shared" si="129"/>
        <v>1217|Abdul Fatawu|22|Ghana|RW|Leicester City|7</v>
      </c>
      <c r="J1654" s="15" t="str">
        <f>IF(COUNTIF(I$438:I1654,I1654)&gt;1,"DOUBLON","OK")</f>
        <v>OK</v>
      </c>
      <c r="S1654" s="12" t="str">
        <v>Japan</v>
      </c>
      <c r="T1654" s="12" t="str">
        <f t="shared" si="130"/>
        <v>OK</v>
      </c>
      <c r="U1654" s="12" t="str">
        <f t="shared" si="131"/>
        <v>-</v>
      </c>
      <c r="V1654" s="12" t="str" cm="1">
        <f t="array" ref="V1654">_xlfn.IFS(
ISNUMBER(SEARCH("USA",S1654)),"United States",
ISNUMBER(SEARCH("Republic of Ireland",S1654)),"Ireland",
ISNUMBER(SEARCH("Republic of Korea",S1654)),"South Korea",
ISNUMBER(SEARCH("Cape Verde",S1654)),"Cabo Verde",
ISNUMBER(SEARCH("Czechia",S1654)),"Czech Republic",
ISNUMBER(SEARCH("Türkiye",S1654)),"Turkey",
ISNUMBER(SEARCH("Ivory Coast",S1654)),"Côte d'Ivoire",
ISNUMBER(SEARCH("Korea Republic",S1654)),"South Korea",
ISNUMBER(SEARCH("Germany FR",S1654)),"FR Germany",
ISNUMBER(SEARCH("West Germany",S1654)),"FR Germany",
ISNUMBER(SEARCH("Germany DR",S1654)),"DR Germany",
ISNUMBER(SEARCH("Korea DPR",S1654)),"North Korea",
ISNUMBER(SEARCH("China PR",S1654)),"China",
ISNUMBER(SEARCH("IR Iran",S1654)),"Iran",
ISNUMBER(SEARCH("Congo DR",S1654)),"Democratic Republic of the Congo",
ISNUMBER(SEARCH("DR Congo",S1654)),"Democratic Republic of the Congo",
ISNUMBER(SEARCH("German DR",S1654)),"DR Germany",
ISNUMBER(SEARCH("rn""&gt;United Arab Emirates",S1654)),"United Arab Emirates",
ISNUMBER(SEARCH("rn""&gt;Republic of Ireland",S1654)),"Ireland",
ISNUMBER(SEARCH("rn""&gt;Bosnia and Herzegovina",S1654)),"Bosnia and Herzegovina",
ISNUMBER(SEARCH("rn""&gt;Trinidad and Tobago",S1654)),"Trinidad and Tobago",
ISNUMBER(SEARCH("rn""&gt;Serbia and Montenegro",S1654)),"Serbia and Montenegro",
ISNUMBER(SEARCH(_xlfn.UNICHAR(65533),S1654)),"Côte d'Ivoire",
TRUE,""
)</f>
        <v/>
      </c>
      <c r="W1654" s="12" t="str">
        <f t="shared" si="132"/>
        <v>Japan</v>
      </c>
    </row>
    <row r="1655" spans="2:23">
      <c r="B1655" s="75">
        <v>1218</v>
      </c>
      <c r="C1655" s="15" t="str">
        <v>Christopher Bonsu Baah</v>
      </c>
      <c r="D1655" s="15">
        <v>21</v>
      </c>
      <c r="E1655" s="15" t="str">
        <v>Ghana</v>
      </c>
      <c r="F1655" s="15" t="str">
        <v>RW</v>
      </c>
      <c r="G1655" s="15" t="str">
        <v>Al-Qadsiah</v>
      </c>
      <c r="H1655" s="15">
        <v>13</v>
      </c>
      <c r="I1655" s="15" t="str">
        <f t="shared" ref="I1655:I1685" si="133">B1655&amp;"|"&amp;C1655&amp;"|"&amp;D1655&amp;"|"&amp;E1655&amp;"|"&amp;F1655&amp;"|"&amp;G1655&amp;"|"&amp;H1655</f>
        <v>1218|Christopher Bonsu Baah|21|Ghana|RW|Al-Qadsiah|13</v>
      </c>
      <c r="J1655" s="15" t="str">
        <f>IF(COUNTIF(I$438:I1655,I1655)&gt;1,"DOUBLON","OK")</f>
        <v>OK</v>
      </c>
      <c r="S1655" s="12" t="str">
        <v>Japan</v>
      </c>
      <c r="T1655" s="12" t="str">
        <f t="shared" si="130"/>
        <v>OK</v>
      </c>
      <c r="U1655" s="12" t="str">
        <f t="shared" si="131"/>
        <v>-</v>
      </c>
      <c r="V1655" s="12" t="str" cm="1">
        <f t="array" ref="V1655">_xlfn.IFS(
ISNUMBER(SEARCH("USA",S1655)),"United States",
ISNUMBER(SEARCH("Republic of Ireland",S1655)),"Ireland",
ISNUMBER(SEARCH("Republic of Korea",S1655)),"South Korea",
ISNUMBER(SEARCH("Cape Verde",S1655)),"Cabo Verde",
ISNUMBER(SEARCH("Czechia",S1655)),"Czech Republic",
ISNUMBER(SEARCH("Türkiye",S1655)),"Turkey",
ISNUMBER(SEARCH("Ivory Coast",S1655)),"Côte d'Ivoire",
ISNUMBER(SEARCH("Korea Republic",S1655)),"South Korea",
ISNUMBER(SEARCH("Germany FR",S1655)),"FR Germany",
ISNUMBER(SEARCH("West Germany",S1655)),"FR Germany",
ISNUMBER(SEARCH("Germany DR",S1655)),"DR Germany",
ISNUMBER(SEARCH("Korea DPR",S1655)),"North Korea",
ISNUMBER(SEARCH("China PR",S1655)),"China",
ISNUMBER(SEARCH("IR Iran",S1655)),"Iran",
ISNUMBER(SEARCH("Congo DR",S1655)),"Democratic Republic of the Congo",
ISNUMBER(SEARCH("DR Congo",S1655)),"Democratic Republic of the Congo",
ISNUMBER(SEARCH("German DR",S1655)),"DR Germany",
ISNUMBER(SEARCH("rn""&gt;United Arab Emirates",S1655)),"United Arab Emirates",
ISNUMBER(SEARCH("rn""&gt;Republic of Ireland",S1655)),"Ireland",
ISNUMBER(SEARCH("rn""&gt;Bosnia and Herzegovina",S1655)),"Bosnia and Herzegovina",
ISNUMBER(SEARCH("rn""&gt;Trinidad and Tobago",S1655)),"Trinidad and Tobago",
ISNUMBER(SEARCH("rn""&gt;Serbia and Montenegro",S1655)),"Serbia and Montenegro",
ISNUMBER(SEARCH(_xlfn.UNICHAR(65533),S1655)),"Côte d'Ivoire",
TRUE,""
)</f>
        <v/>
      </c>
      <c r="W1655" s="12" t="str">
        <f t="shared" si="132"/>
        <v>Japan</v>
      </c>
    </row>
    <row r="1656" spans="2:23">
      <c r="B1656" s="75">
        <v>1219</v>
      </c>
      <c r="C1656" s="15" t="str">
        <v>Ernest Nuamah</v>
      </c>
      <c r="D1656" s="15">
        <v>22</v>
      </c>
      <c r="E1656" s="15" t="str">
        <v>Ghana</v>
      </c>
      <c r="F1656" s="15" t="str">
        <v>RW</v>
      </c>
      <c r="G1656" s="15" t="str">
        <v>Lyon</v>
      </c>
      <c r="H1656" s="15">
        <v>24</v>
      </c>
      <c r="I1656" s="15" t="str">
        <f t="shared" si="133"/>
        <v>1219|Ernest Nuamah|22|Ghana|RW|Lyon|24</v>
      </c>
      <c r="J1656" s="15" t="str">
        <f>IF(COUNTIF(I$438:I1656,I1656)&gt;1,"DOUBLON","OK")</f>
        <v>OK</v>
      </c>
      <c r="S1656" s="12" t="str">
        <v>Japan</v>
      </c>
      <c r="T1656" s="12" t="str">
        <f t="shared" si="130"/>
        <v>OK</v>
      </c>
      <c r="U1656" s="12" t="str">
        <f t="shared" si="131"/>
        <v>-</v>
      </c>
      <c r="V1656" s="12" t="str" cm="1">
        <f t="array" ref="V1656">_xlfn.IFS(
ISNUMBER(SEARCH("USA",S1656)),"United States",
ISNUMBER(SEARCH("Republic of Ireland",S1656)),"Ireland",
ISNUMBER(SEARCH("Republic of Korea",S1656)),"South Korea",
ISNUMBER(SEARCH("Cape Verde",S1656)),"Cabo Verde",
ISNUMBER(SEARCH("Czechia",S1656)),"Czech Republic",
ISNUMBER(SEARCH("Türkiye",S1656)),"Turkey",
ISNUMBER(SEARCH("Ivory Coast",S1656)),"Côte d'Ivoire",
ISNUMBER(SEARCH("Korea Republic",S1656)),"South Korea",
ISNUMBER(SEARCH("Germany FR",S1656)),"FR Germany",
ISNUMBER(SEARCH("West Germany",S1656)),"FR Germany",
ISNUMBER(SEARCH("Germany DR",S1656)),"DR Germany",
ISNUMBER(SEARCH("Korea DPR",S1656)),"North Korea",
ISNUMBER(SEARCH("China PR",S1656)),"China",
ISNUMBER(SEARCH("IR Iran",S1656)),"Iran",
ISNUMBER(SEARCH("Congo DR",S1656)),"Democratic Republic of the Congo",
ISNUMBER(SEARCH("DR Congo",S1656)),"Democratic Republic of the Congo",
ISNUMBER(SEARCH("German DR",S1656)),"DR Germany",
ISNUMBER(SEARCH("rn""&gt;United Arab Emirates",S1656)),"United Arab Emirates",
ISNUMBER(SEARCH("rn""&gt;Republic of Ireland",S1656)),"Ireland",
ISNUMBER(SEARCH("rn""&gt;Bosnia and Herzegovina",S1656)),"Bosnia and Herzegovina",
ISNUMBER(SEARCH("rn""&gt;Trinidad and Tobago",S1656)),"Trinidad and Tobago",
ISNUMBER(SEARCH("rn""&gt;Serbia and Montenegro",S1656)),"Serbia and Montenegro",
ISNUMBER(SEARCH(_xlfn.UNICHAR(65533),S1656)),"Côte d'Ivoire",
TRUE,""
)</f>
        <v/>
      </c>
      <c r="W1656" s="12" t="str">
        <f t="shared" si="132"/>
        <v>Japan</v>
      </c>
    </row>
    <row r="1657" spans="2:23">
      <c r="B1657" s="75">
        <v>1220</v>
      </c>
      <c r="C1657" s="15" t="str">
        <v>Jordan Ayew</v>
      </c>
      <c r="D1657" s="15">
        <v>34</v>
      </c>
      <c r="E1657" s="15" t="str">
        <v>Ghana</v>
      </c>
      <c r="F1657" s="15" t="str">
        <v>ST</v>
      </c>
      <c r="G1657" s="15" t="str">
        <v>Leicester City</v>
      </c>
      <c r="H1657" s="15">
        <v>9</v>
      </c>
      <c r="I1657" s="15" t="str">
        <f t="shared" si="133"/>
        <v>1220|Jordan Ayew|34|Ghana|ST|Leicester City|9</v>
      </c>
      <c r="J1657" s="15" t="str">
        <f>IF(COUNTIF(I$438:I1657,I1657)&gt;1,"DOUBLON","OK")</f>
        <v>OK</v>
      </c>
      <c r="S1657" s="12" t="str">
        <v>Japan</v>
      </c>
      <c r="T1657" s="12" t="str">
        <f t="shared" si="130"/>
        <v>OK</v>
      </c>
      <c r="U1657" s="12" t="str">
        <f t="shared" si="131"/>
        <v>-</v>
      </c>
      <c r="V1657" s="12" t="str" cm="1">
        <f t="array" ref="V1657">_xlfn.IFS(
ISNUMBER(SEARCH("USA",S1657)),"United States",
ISNUMBER(SEARCH("Republic of Ireland",S1657)),"Ireland",
ISNUMBER(SEARCH("Republic of Korea",S1657)),"South Korea",
ISNUMBER(SEARCH("Cape Verde",S1657)),"Cabo Verde",
ISNUMBER(SEARCH("Czechia",S1657)),"Czech Republic",
ISNUMBER(SEARCH("Türkiye",S1657)),"Turkey",
ISNUMBER(SEARCH("Ivory Coast",S1657)),"Côte d'Ivoire",
ISNUMBER(SEARCH("Korea Republic",S1657)),"South Korea",
ISNUMBER(SEARCH("Germany FR",S1657)),"FR Germany",
ISNUMBER(SEARCH("West Germany",S1657)),"FR Germany",
ISNUMBER(SEARCH("Germany DR",S1657)),"DR Germany",
ISNUMBER(SEARCH("Korea DPR",S1657)),"North Korea",
ISNUMBER(SEARCH("China PR",S1657)),"China",
ISNUMBER(SEARCH("IR Iran",S1657)),"Iran",
ISNUMBER(SEARCH("Congo DR",S1657)),"Democratic Republic of the Congo",
ISNUMBER(SEARCH("DR Congo",S1657)),"Democratic Republic of the Congo",
ISNUMBER(SEARCH("German DR",S1657)),"DR Germany",
ISNUMBER(SEARCH("rn""&gt;United Arab Emirates",S1657)),"United Arab Emirates",
ISNUMBER(SEARCH("rn""&gt;Republic of Ireland",S1657)),"Ireland",
ISNUMBER(SEARCH("rn""&gt;Bosnia and Herzegovina",S1657)),"Bosnia and Herzegovina",
ISNUMBER(SEARCH("rn""&gt;Trinidad and Tobago",S1657)),"Trinidad and Tobago",
ISNUMBER(SEARCH("rn""&gt;Serbia and Montenegro",S1657)),"Serbia and Montenegro",
ISNUMBER(SEARCH(_xlfn.UNICHAR(65533),S1657)),"Côte d'Ivoire",
TRUE,""
)</f>
        <v/>
      </c>
      <c r="W1657" s="12" t="str">
        <f t="shared" si="132"/>
        <v>Japan</v>
      </c>
    </row>
    <row r="1658" spans="2:23">
      <c r="B1658" s="75">
        <v>1221</v>
      </c>
      <c r="C1658" s="15" t="str">
        <v>Brandon Thomas-Asante</v>
      </c>
      <c r="D1658" s="15">
        <v>27</v>
      </c>
      <c r="E1658" s="15" t="str">
        <v>Ghana</v>
      </c>
      <c r="F1658" s="15" t="str">
        <v>ST</v>
      </c>
      <c r="G1658" s="15" t="str">
        <v>Coventry City</v>
      </c>
      <c r="H1658" s="15">
        <v>10</v>
      </c>
      <c r="I1658" s="15" t="str">
        <f t="shared" si="133"/>
        <v>1221|Brandon Thomas-Asante|27|Ghana|ST|Coventry City|10</v>
      </c>
      <c r="J1658" s="15" t="str">
        <f>IF(COUNTIF(I$438:I1658,I1658)&gt;1,"DOUBLON","OK")</f>
        <v>OK</v>
      </c>
      <c r="S1658" s="12" t="str">
        <v>Japan</v>
      </c>
      <c r="T1658" s="12" t="str">
        <f t="shared" si="130"/>
        <v>OK</v>
      </c>
      <c r="U1658" s="12" t="str">
        <f t="shared" si="131"/>
        <v>-</v>
      </c>
      <c r="V1658" s="12" t="str" cm="1">
        <f t="array" ref="V1658">_xlfn.IFS(
ISNUMBER(SEARCH("USA",S1658)),"United States",
ISNUMBER(SEARCH("Republic of Ireland",S1658)),"Ireland",
ISNUMBER(SEARCH("Republic of Korea",S1658)),"South Korea",
ISNUMBER(SEARCH("Cape Verde",S1658)),"Cabo Verde",
ISNUMBER(SEARCH("Czechia",S1658)),"Czech Republic",
ISNUMBER(SEARCH("Türkiye",S1658)),"Turkey",
ISNUMBER(SEARCH("Ivory Coast",S1658)),"Côte d'Ivoire",
ISNUMBER(SEARCH("Korea Republic",S1658)),"South Korea",
ISNUMBER(SEARCH("Germany FR",S1658)),"FR Germany",
ISNUMBER(SEARCH("West Germany",S1658)),"FR Germany",
ISNUMBER(SEARCH("Germany DR",S1658)),"DR Germany",
ISNUMBER(SEARCH("Korea DPR",S1658)),"North Korea",
ISNUMBER(SEARCH("China PR",S1658)),"China",
ISNUMBER(SEARCH("IR Iran",S1658)),"Iran",
ISNUMBER(SEARCH("Congo DR",S1658)),"Democratic Republic of the Congo",
ISNUMBER(SEARCH("DR Congo",S1658)),"Democratic Republic of the Congo",
ISNUMBER(SEARCH("German DR",S1658)),"DR Germany",
ISNUMBER(SEARCH("rn""&gt;United Arab Emirates",S1658)),"United Arab Emirates",
ISNUMBER(SEARCH("rn""&gt;Republic of Ireland",S1658)),"Ireland",
ISNUMBER(SEARCH("rn""&gt;Bosnia and Herzegovina",S1658)),"Bosnia and Herzegovina",
ISNUMBER(SEARCH("rn""&gt;Trinidad and Tobago",S1658)),"Trinidad and Tobago",
ISNUMBER(SEARCH("rn""&gt;Serbia and Montenegro",S1658)),"Serbia and Montenegro",
ISNUMBER(SEARCH(_xlfn.UNICHAR(65533),S1658)),"Côte d'Ivoire",
TRUE,""
)</f>
        <v/>
      </c>
      <c r="W1658" s="12" t="str">
        <f t="shared" si="132"/>
        <v>Japan</v>
      </c>
    </row>
    <row r="1659" spans="2:23">
      <c r="B1659" s="75">
        <v>1222</v>
      </c>
      <c r="C1659" s="15" t="str">
        <v>Prince Kwabena Adu</v>
      </c>
      <c r="D1659" s="15">
        <v>22</v>
      </c>
      <c r="E1659" s="15" t="str">
        <v>Ghana</v>
      </c>
      <c r="F1659" s="15" t="str">
        <v>ST</v>
      </c>
      <c r="G1659" s="15" t="str">
        <v>Viktoria Plzeň</v>
      </c>
      <c r="H1659" s="15">
        <v>25</v>
      </c>
      <c r="I1659" s="15" t="str">
        <f t="shared" si="133"/>
        <v>1222|Prince Kwabena Adu|22|Ghana|ST|Viktoria Plzeň|25</v>
      </c>
      <c r="J1659" s="15" t="str">
        <f>IF(COUNTIF(I$438:I1659,I1659)&gt;1,"DOUBLON","OK")</f>
        <v>OK</v>
      </c>
      <c r="S1659" s="12" t="str">
        <v>Japan</v>
      </c>
      <c r="T1659" s="12" t="str">
        <f t="shared" si="130"/>
        <v>OK</v>
      </c>
      <c r="U1659" s="12" t="str">
        <f t="shared" si="131"/>
        <v>-</v>
      </c>
      <c r="V1659" s="12" t="str" cm="1">
        <f t="array" ref="V1659">_xlfn.IFS(
ISNUMBER(SEARCH("USA",S1659)),"United States",
ISNUMBER(SEARCH("Republic of Ireland",S1659)),"Ireland",
ISNUMBER(SEARCH("Republic of Korea",S1659)),"South Korea",
ISNUMBER(SEARCH("Cape Verde",S1659)),"Cabo Verde",
ISNUMBER(SEARCH("Czechia",S1659)),"Czech Republic",
ISNUMBER(SEARCH("Türkiye",S1659)),"Turkey",
ISNUMBER(SEARCH("Ivory Coast",S1659)),"Côte d'Ivoire",
ISNUMBER(SEARCH("Korea Republic",S1659)),"South Korea",
ISNUMBER(SEARCH("Germany FR",S1659)),"FR Germany",
ISNUMBER(SEARCH("West Germany",S1659)),"FR Germany",
ISNUMBER(SEARCH("Germany DR",S1659)),"DR Germany",
ISNUMBER(SEARCH("Korea DPR",S1659)),"North Korea",
ISNUMBER(SEARCH("China PR",S1659)),"China",
ISNUMBER(SEARCH("IR Iran",S1659)),"Iran",
ISNUMBER(SEARCH("Congo DR",S1659)),"Democratic Republic of the Congo",
ISNUMBER(SEARCH("DR Congo",S1659)),"Democratic Republic of the Congo",
ISNUMBER(SEARCH("German DR",S1659)),"DR Germany",
ISNUMBER(SEARCH("rn""&gt;United Arab Emirates",S1659)),"United Arab Emirates",
ISNUMBER(SEARCH("rn""&gt;Republic of Ireland",S1659)),"Ireland",
ISNUMBER(SEARCH("rn""&gt;Bosnia and Herzegovina",S1659)),"Bosnia and Herzegovina",
ISNUMBER(SEARCH("rn""&gt;Trinidad and Tobago",S1659)),"Trinidad and Tobago",
ISNUMBER(SEARCH("rn""&gt;Serbia and Montenegro",S1659)),"Serbia and Montenegro",
ISNUMBER(SEARCH(_xlfn.UNICHAR(65533),S1659)),"Côte d'Ivoire",
TRUE,""
)</f>
        <v/>
      </c>
      <c r="W1659" s="12" t="str">
        <f t="shared" si="132"/>
        <v>Japan</v>
      </c>
    </row>
    <row r="1660" spans="2:23">
      <c r="B1660" s="75">
        <v>1223</v>
      </c>
      <c r="C1660" s="15" t="str">
        <v>Luis Mejía</v>
      </c>
      <c r="D1660" s="15">
        <v>35</v>
      </c>
      <c r="E1660" s="15" t="str">
        <v>Panama</v>
      </c>
      <c r="F1660" s="15" t="str">
        <v>GK</v>
      </c>
      <c r="G1660" s="15" t="str">
        <v>Nacional</v>
      </c>
      <c r="H1660" s="15">
        <v>1</v>
      </c>
      <c r="I1660" s="15" t="str">
        <f t="shared" si="133"/>
        <v>1223|Luis Mejía|35|Panama|GK|Nacional|1</v>
      </c>
      <c r="J1660" s="15" t="str">
        <f>IF(COUNTIF(I$438:I1660,I1660)&gt;1,"DOUBLON","OK")</f>
        <v>OK</v>
      </c>
      <c r="S1660" s="12" t="str">
        <v>Japan</v>
      </c>
      <c r="T1660" s="12" t="str">
        <f t="shared" si="130"/>
        <v>OK</v>
      </c>
      <c r="U1660" s="12" t="str">
        <f t="shared" si="131"/>
        <v>-</v>
      </c>
      <c r="V1660" s="12" t="str" cm="1">
        <f t="array" ref="V1660">_xlfn.IFS(
ISNUMBER(SEARCH("USA",S1660)),"United States",
ISNUMBER(SEARCH("Republic of Ireland",S1660)),"Ireland",
ISNUMBER(SEARCH("Republic of Korea",S1660)),"South Korea",
ISNUMBER(SEARCH("Cape Verde",S1660)),"Cabo Verde",
ISNUMBER(SEARCH("Czechia",S1660)),"Czech Republic",
ISNUMBER(SEARCH("Türkiye",S1660)),"Turkey",
ISNUMBER(SEARCH("Ivory Coast",S1660)),"Côte d'Ivoire",
ISNUMBER(SEARCH("Korea Republic",S1660)),"South Korea",
ISNUMBER(SEARCH("Germany FR",S1660)),"FR Germany",
ISNUMBER(SEARCH("West Germany",S1660)),"FR Germany",
ISNUMBER(SEARCH("Germany DR",S1660)),"DR Germany",
ISNUMBER(SEARCH("Korea DPR",S1660)),"North Korea",
ISNUMBER(SEARCH("China PR",S1660)),"China",
ISNUMBER(SEARCH("IR Iran",S1660)),"Iran",
ISNUMBER(SEARCH("Congo DR",S1660)),"Democratic Republic of the Congo",
ISNUMBER(SEARCH("DR Congo",S1660)),"Democratic Republic of the Congo",
ISNUMBER(SEARCH("German DR",S1660)),"DR Germany",
ISNUMBER(SEARCH("rn""&gt;United Arab Emirates",S1660)),"United Arab Emirates",
ISNUMBER(SEARCH("rn""&gt;Republic of Ireland",S1660)),"Ireland",
ISNUMBER(SEARCH("rn""&gt;Bosnia and Herzegovina",S1660)),"Bosnia and Herzegovina",
ISNUMBER(SEARCH("rn""&gt;Trinidad and Tobago",S1660)),"Trinidad and Tobago",
ISNUMBER(SEARCH("rn""&gt;Serbia and Montenegro",S1660)),"Serbia and Montenegro",
ISNUMBER(SEARCH(_xlfn.UNICHAR(65533),S1660)),"Côte d'Ivoire",
TRUE,""
)</f>
        <v/>
      </c>
      <c r="W1660" s="12" t="str">
        <f t="shared" si="132"/>
        <v>Japan</v>
      </c>
    </row>
    <row r="1661" spans="2:23">
      <c r="B1661" s="75">
        <v>1224</v>
      </c>
      <c r="C1661" s="15" t="str">
        <v>César Samudio</v>
      </c>
      <c r="D1661" s="15">
        <v>32</v>
      </c>
      <c r="E1661" s="15" t="str">
        <v>Panama</v>
      </c>
      <c r="F1661" s="15" t="str">
        <v>GK</v>
      </c>
      <c r="G1661" s="15" t="str">
        <v>Marathón</v>
      </c>
      <c r="H1661" s="15">
        <v>12</v>
      </c>
      <c r="I1661" s="15" t="str">
        <f t="shared" si="133"/>
        <v>1224|César Samudio|32|Panama|GK|Marathón|12</v>
      </c>
      <c r="J1661" s="15" t="str">
        <f>IF(COUNTIF(I$438:I1661,I1661)&gt;1,"DOUBLON","OK")</f>
        <v>OK</v>
      </c>
      <c r="S1661" s="12" t="str">
        <v>Japan</v>
      </c>
      <c r="T1661" s="12" t="str">
        <f t="shared" si="130"/>
        <v>OK</v>
      </c>
      <c r="U1661" s="12" t="str">
        <f t="shared" si="131"/>
        <v>-</v>
      </c>
      <c r="V1661" s="12" t="str" cm="1">
        <f t="array" ref="V1661">_xlfn.IFS(
ISNUMBER(SEARCH("USA",S1661)),"United States",
ISNUMBER(SEARCH("Republic of Ireland",S1661)),"Ireland",
ISNUMBER(SEARCH("Republic of Korea",S1661)),"South Korea",
ISNUMBER(SEARCH("Cape Verde",S1661)),"Cabo Verde",
ISNUMBER(SEARCH("Czechia",S1661)),"Czech Republic",
ISNUMBER(SEARCH("Türkiye",S1661)),"Turkey",
ISNUMBER(SEARCH("Ivory Coast",S1661)),"Côte d'Ivoire",
ISNUMBER(SEARCH("Korea Republic",S1661)),"South Korea",
ISNUMBER(SEARCH("Germany FR",S1661)),"FR Germany",
ISNUMBER(SEARCH("West Germany",S1661)),"FR Germany",
ISNUMBER(SEARCH("Germany DR",S1661)),"DR Germany",
ISNUMBER(SEARCH("Korea DPR",S1661)),"North Korea",
ISNUMBER(SEARCH("China PR",S1661)),"China",
ISNUMBER(SEARCH("IR Iran",S1661)),"Iran",
ISNUMBER(SEARCH("Congo DR",S1661)),"Democratic Republic of the Congo",
ISNUMBER(SEARCH("DR Congo",S1661)),"Democratic Republic of the Congo",
ISNUMBER(SEARCH("German DR",S1661)),"DR Germany",
ISNUMBER(SEARCH("rn""&gt;United Arab Emirates",S1661)),"United Arab Emirates",
ISNUMBER(SEARCH("rn""&gt;Republic of Ireland",S1661)),"Ireland",
ISNUMBER(SEARCH("rn""&gt;Bosnia and Herzegovina",S1661)),"Bosnia and Herzegovina",
ISNUMBER(SEARCH("rn""&gt;Trinidad and Tobago",S1661)),"Trinidad and Tobago",
ISNUMBER(SEARCH("rn""&gt;Serbia and Montenegro",S1661)),"Serbia and Montenegro",
ISNUMBER(SEARCH(_xlfn.UNICHAR(65533),S1661)),"Côte d'Ivoire",
TRUE,""
)</f>
        <v/>
      </c>
      <c r="W1661" s="12" t="str">
        <f t="shared" si="132"/>
        <v>Japan</v>
      </c>
    </row>
    <row r="1662" spans="2:23">
      <c r="B1662" s="75">
        <v>1225</v>
      </c>
      <c r="C1662" s="15" t="str">
        <v>Orlando Mosquera</v>
      </c>
      <c r="D1662" s="15">
        <v>31</v>
      </c>
      <c r="E1662" s="15" t="str">
        <v>Panama</v>
      </c>
      <c r="F1662" s="15" t="str">
        <v>GK</v>
      </c>
      <c r="G1662" s="15" t="str">
        <v>Al-Fayha</v>
      </c>
      <c r="H1662" s="15">
        <v>22</v>
      </c>
      <c r="I1662" s="15" t="str">
        <f t="shared" si="133"/>
        <v>1225|Orlando Mosquera|31|Panama|GK|Al-Fayha|22</v>
      </c>
      <c r="J1662" s="15" t="str">
        <f>IF(COUNTIF(I$438:I1662,I1662)&gt;1,"DOUBLON","OK")</f>
        <v>OK</v>
      </c>
      <c r="S1662" s="12" t="str">
        <v>Japan</v>
      </c>
      <c r="T1662" s="12" t="str">
        <f t="shared" si="130"/>
        <v>OK</v>
      </c>
      <c r="U1662" s="12" t="str">
        <f t="shared" si="131"/>
        <v>-</v>
      </c>
      <c r="V1662" s="12" t="str" cm="1">
        <f t="array" ref="V1662">_xlfn.IFS(
ISNUMBER(SEARCH("USA",S1662)),"United States",
ISNUMBER(SEARCH("Republic of Ireland",S1662)),"Ireland",
ISNUMBER(SEARCH("Republic of Korea",S1662)),"South Korea",
ISNUMBER(SEARCH("Cape Verde",S1662)),"Cabo Verde",
ISNUMBER(SEARCH("Czechia",S1662)),"Czech Republic",
ISNUMBER(SEARCH("Türkiye",S1662)),"Turkey",
ISNUMBER(SEARCH("Ivory Coast",S1662)),"Côte d'Ivoire",
ISNUMBER(SEARCH("Korea Republic",S1662)),"South Korea",
ISNUMBER(SEARCH("Germany FR",S1662)),"FR Germany",
ISNUMBER(SEARCH("West Germany",S1662)),"FR Germany",
ISNUMBER(SEARCH("Germany DR",S1662)),"DR Germany",
ISNUMBER(SEARCH("Korea DPR",S1662)),"North Korea",
ISNUMBER(SEARCH("China PR",S1662)),"China",
ISNUMBER(SEARCH("IR Iran",S1662)),"Iran",
ISNUMBER(SEARCH("Congo DR",S1662)),"Democratic Republic of the Congo",
ISNUMBER(SEARCH("DR Congo",S1662)),"Democratic Republic of the Congo",
ISNUMBER(SEARCH("German DR",S1662)),"DR Germany",
ISNUMBER(SEARCH("rn""&gt;United Arab Emirates",S1662)),"United Arab Emirates",
ISNUMBER(SEARCH("rn""&gt;Republic of Ireland",S1662)),"Ireland",
ISNUMBER(SEARCH("rn""&gt;Bosnia and Herzegovina",S1662)),"Bosnia and Herzegovina",
ISNUMBER(SEARCH("rn""&gt;Trinidad and Tobago",S1662)),"Trinidad and Tobago",
ISNUMBER(SEARCH("rn""&gt;Serbia and Montenegro",S1662)),"Serbia and Montenegro",
ISNUMBER(SEARCH(_xlfn.UNICHAR(65533),S1662)),"Côte d'Ivoire",
TRUE,""
)</f>
        <v/>
      </c>
      <c r="W1662" s="12" t="str">
        <f t="shared" si="132"/>
        <v>Japan</v>
      </c>
    </row>
    <row r="1663" spans="2:23">
      <c r="B1663" s="75">
        <v>1226</v>
      </c>
      <c r="C1663" s="15" t="str">
        <v>José Córdoba</v>
      </c>
      <c r="D1663" s="15">
        <v>25</v>
      </c>
      <c r="E1663" s="15" t="str">
        <v>Panama</v>
      </c>
      <c r="F1663" s="15" t="str">
        <v>CB</v>
      </c>
      <c r="G1663" s="15" t="str">
        <v>Norwich City</v>
      </c>
      <c r="H1663" s="15">
        <v>3</v>
      </c>
      <c r="I1663" s="15" t="str">
        <f t="shared" si="133"/>
        <v>1226|José Córdoba|25|Panama|CB|Norwich City|3</v>
      </c>
      <c r="J1663" s="15" t="str">
        <f>IF(COUNTIF(I$438:I1663,I1663)&gt;1,"DOUBLON","OK")</f>
        <v>OK</v>
      </c>
      <c r="S1663" s="12" t="str">
        <v>Japan</v>
      </c>
      <c r="T1663" s="12" t="str">
        <f t="shared" si="130"/>
        <v>OK</v>
      </c>
      <c r="U1663" s="12" t="str">
        <f t="shared" si="131"/>
        <v>-</v>
      </c>
      <c r="V1663" s="12" t="str" cm="1">
        <f t="array" ref="V1663">_xlfn.IFS(
ISNUMBER(SEARCH("USA",S1663)),"United States",
ISNUMBER(SEARCH("Republic of Ireland",S1663)),"Ireland",
ISNUMBER(SEARCH("Republic of Korea",S1663)),"South Korea",
ISNUMBER(SEARCH("Cape Verde",S1663)),"Cabo Verde",
ISNUMBER(SEARCH("Czechia",S1663)),"Czech Republic",
ISNUMBER(SEARCH("Türkiye",S1663)),"Turkey",
ISNUMBER(SEARCH("Ivory Coast",S1663)),"Côte d'Ivoire",
ISNUMBER(SEARCH("Korea Republic",S1663)),"South Korea",
ISNUMBER(SEARCH("Germany FR",S1663)),"FR Germany",
ISNUMBER(SEARCH("West Germany",S1663)),"FR Germany",
ISNUMBER(SEARCH("Germany DR",S1663)),"DR Germany",
ISNUMBER(SEARCH("Korea DPR",S1663)),"North Korea",
ISNUMBER(SEARCH("China PR",S1663)),"China",
ISNUMBER(SEARCH("IR Iran",S1663)),"Iran",
ISNUMBER(SEARCH("Congo DR",S1663)),"Democratic Republic of the Congo",
ISNUMBER(SEARCH("DR Congo",S1663)),"Democratic Republic of the Congo",
ISNUMBER(SEARCH("German DR",S1663)),"DR Germany",
ISNUMBER(SEARCH("rn""&gt;United Arab Emirates",S1663)),"United Arab Emirates",
ISNUMBER(SEARCH("rn""&gt;Republic of Ireland",S1663)),"Ireland",
ISNUMBER(SEARCH("rn""&gt;Bosnia and Herzegovina",S1663)),"Bosnia and Herzegovina",
ISNUMBER(SEARCH("rn""&gt;Trinidad and Tobago",S1663)),"Trinidad and Tobago",
ISNUMBER(SEARCH("rn""&gt;Serbia and Montenegro",S1663)),"Serbia and Montenegro",
ISNUMBER(SEARCH(_xlfn.UNICHAR(65533),S1663)),"Côte d'Ivoire",
TRUE,""
)</f>
        <v/>
      </c>
      <c r="W1663" s="12" t="str">
        <f t="shared" si="132"/>
        <v>Japan</v>
      </c>
    </row>
    <row r="1664" spans="2:23">
      <c r="B1664" s="75">
        <v>1227</v>
      </c>
      <c r="C1664" s="15" t="str">
        <v>Fidel Escobar</v>
      </c>
      <c r="D1664" s="15">
        <v>31</v>
      </c>
      <c r="E1664" s="15" t="str">
        <v>Panama</v>
      </c>
      <c r="F1664" s="15" t="str">
        <v>CB</v>
      </c>
      <c r="G1664" s="15" t="str">
        <v>Saprissa</v>
      </c>
      <c r="H1664" s="15">
        <v>4</v>
      </c>
      <c r="I1664" s="15" t="str">
        <f t="shared" si="133"/>
        <v>1227|Fidel Escobar|31|Panama|CB|Saprissa|4</v>
      </c>
      <c r="J1664" s="15" t="str">
        <f>IF(COUNTIF(I$438:I1664,I1664)&gt;1,"DOUBLON","OK")</f>
        <v>OK</v>
      </c>
      <c r="S1664" s="12" t="str">
        <v>Japan</v>
      </c>
      <c r="T1664" s="12" t="str">
        <f t="shared" si="130"/>
        <v>OK</v>
      </c>
      <c r="U1664" s="12" t="str">
        <f t="shared" si="131"/>
        <v>-</v>
      </c>
      <c r="V1664" s="12" t="str" cm="1">
        <f t="array" ref="V1664">_xlfn.IFS(
ISNUMBER(SEARCH("USA",S1664)),"United States",
ISNUMBER(SEARCH("Republic of Ireland",S1664)),"Ireland",
ISNUMBER(SEARCH("Republic of Korea",S1664)),"South Korea",
ISNUMBER(SEARCH("Cape Verde",S1664)),"Cabo Verde",
ISNUMBER(SEARCH("Czechia",S1664)),"Czech Republic",
ISNUMBER(SEARCH("Türkiye",S1664)),"Turkey",
ISNUMBER(SEARCH("Ivory Coast",S1664)),"Côte d'Ivoire",
ISNUMBER(SEARCH("Korea Republic",S1664)),"South Korea",
ISNUMBER(SEARCH("Germany FR",S1664)),"FR Germany",
ISNUMBER(SEARCH("West Germany",S1664)),"FR Germany",
ISNUMBER(SEARCH("Germany DR",S1664)),"DR Germany",
ISNUMBER(SEARCH("Korea DPR",S1664)),"North Korea",
ISNUMBER(SEARCH("China PR",S1664)),"China",
ISNUMBER(SEARCH("IR Iran",S1664)),"Iran",
ISNUMBER(SEARCH("Congo DR",S1664)),"Democratic Republic of the Congo",
ISNUMBER(SEARCH("DR Congo",S1664)),"Democratic Republic of the Congo",
ISNUMBER(SEARCH("German DR",S1664)),"DR Germany",
ISNUMBER(SEARCH("rn""&gt;United Arab Emirates",S1664)),"United Arab Emirates",
ISNUMBER(SEARCH("rn""&gt;Republic of Ireland",S1664)),"Ireland",
ISNUMBER(SEARCH("rn""&gt;Bosnia and Herzegovina",S1664)),"Bosnia and Herzegovina",
ISNUMBER(SEARCH("rn""&gt;Trinidad and Tobago",S1664)),"Trinidad and Tobago",
ISNUMBER(SEARCH("rn""&gt;Serbia and Montenegro",S1664)),"Serbia and Montenegro",
ISNUMBER(SEARCH(_xlfn.UNICHAR(65533),S1664)),"Côte d'Ivoire",
TRUE,""
)</f>
        <v/>
      </c>
      <c r="W1664" s="12" t="str">
        <f t="shared" si="132"/>
        <v>Japan</v>
      </c>
    </row>
    <row r="1665" spans="2:23">
      <c r="B1665" s="75">
        <v>1228</v>
      </c>
      <c r="C1665" s="15" t="str">
        <v>Edgardo Fariña</v>
      </c>
      <c r="D1665" s="15">
        <v>24</v>
      </c>
      <c r="E1665" s="15" t="str">
        <v>Panama</v>
      </c>
      <c r="F1665" s="15" t="str">
        <v>CB</v>
      </c>
      <c r="G1665" s="15" t="str">
        <v>Pari Nizhny Novgorod</v>
      </c>
      <c r="H1665" s="15">
        <v>5</v>
      </c>
      <c r="I1665" s="15" t="str">
        <f t="shared" si="133"/>
        <v>1228|Edgardo Fariña|24|Panama|CB|Pari Nizhny Novgorod|5</v>
      </c>
      <c r="J1665" s="15" t="str">
        <f>IF(COUNTIF(I$438:I1665,I1665)&gt;1,"DOUBLON","OK")</f>
        <v>OK</v>
      </c>
      <c r="S1665" s="12" t="str">
        <v>Japan</v>
      </c>
      <c r="T1665" s="12" t="str">
        <f t="shared" si="130"/>
        <v>OK</v>
      </c>
      <c r="U1665" s="12" t="str">
        <f t="shared" si="131"/>
        <v>-</v>
      </c>
      <c r="V1665" s="12" t="str" cm="1">
        <f t="array" ref="V1665">_xlfn.IFS(
ISNUMBER(SEARCH("USA",S1665)),"United States",
ISNUMBER(SEARCH("Republic of Ireland",S1665)),"Ireland",
ISNUMBER(SEARCH("Republic of Korea",S1665)),"South Korea",
ISNUMBER(SEARCH("Cape Verde",S1665)),"Cabo Verde",
ISNUMBER(SEARCH("Czechia",S1665)),"Czech Republic",
ISNUMBER(SEARCH("Türkiye",S1665)),"Turkey",
ISNUMBER(SEARCH("Ivory Coast",S1665)),"Côte d'Ivoire",
ISNUMBER(SEARCH("Korea Republic",S1665)),"South Korea",
ISNUMBER(SEARCH("Germany FR",S1665)),"FR Germany",
ISNUMBER(SEARCH("West Germany",S1665)),"FR Germany",
ISNUMBER(SEARCH("Germany DR",S1665)),"DR Germany",
ISNUMBER(SEARCH("Korea DPR",S1665)),"North Korea",
ISNUMBER(SEARCH("China PR",S1665)),"China",
ISNUMBER(SEARCH("IR Iran",S1665)),"Iran",
ISNUMBER(SEARCH("Congo DR",S1665)),"Democratic Republic of the Congo",
ISNUMBER(SEARCH("DR Congo",S1665)),"Democratic Republic of the Congo",
ISNUMBER(SEARCH("German DR",S1665)),"DR Germany",
ISNUMBER(SEARCH("rn""&gt;United Arab Emirates",S1665)),"United Arab Emirates",
ISNUMBER(SEARCH("rn""&gt;Republic of Ireland",S1665)),"Ireland",
ISNUMBER(SEARCH("rn""&gt;Bosnia and Herzegovina",S1665)),"Bosnia and Herzegovina",
ISNUMBER(SEARCH("rn""&gt;Trinidad and Tobago",S1665)),"Trinidad and Tobago",
ISNUMBER(SEARCH("rn""&gt;Serbia and Montenegro",S1665)),"Serbia and Montenegro",
ISNUMBER(SEARCH(_xlfn.UNICHAR(65533),S1665)),"Côte d'Ivoire",
TRUE,""
)</f>
        <v/>
      </c>
      <c r="W1665" s="12" t="str">
        <f t="shared" si="132"/>
        <v>Japan</v>
      </c>
    </row>
    <row r="1666" spans="2:23">
      <c r="B1666" s="75">
        <v>1229</v>
      </c>
      <c r="C1666" s="15" t="str">
        <v>Jiovany Ramos</v>
      </c>
      <c r="D1666" s="15">
        <v>29</v>
      </c>
      <c r="E1666" s="15" t="str">
        <v>Panama</v>
      </c>
      <c r="F1666" s="15" t="str">
        <v>CB</v>
      </c>
      <c r="G1666" s="15" t="str">
        <v>Puerto Cabello</v>
      </c>
      <c r="H1666" s="15">
        <v>13</v>
      </c>
      <c r="I1666" s="15" t="str">
        <f t="shared" si="133"/>
        <v>1229|Jiovany Ramos|29|Panama|CB|Puerto Cabello|13</v>
      </c>
      <c r="J1666" s="15" t="str">
        <f>IF(COUNTIF(I$438:I1666,I1666)&gt;1,"DOUBLON","OK")</f>
        <v>OK</v>
      </c>
      <c r="S1666" s="12" t="str">
        <v>Japan</v>
      </c>
      <c r="T1666" s="12" t="str">
        <f t="shared" si="130"/>
        <v>OK</v>
      </c>
      <c r="U1666" s="12" t="str">
        <f t="shared" si="131"/>
        <v>-</v>
      </c>
      <c r="V1666" s="12" t="str" cm="1">
        <f t="array" ref="V1666">_xlfn.IFS(
ISNUMBER(SEARCH("USA",S1666)),"United States",
ISNUMBER(SEARCH("Republic of Ireland",S1666)),"Ireland",
ISNUMBER(SEARCH("Republic of Korea",S1666)),"South Korea",
ISNUMBER(SEARCH("Cape Verde",S1666)),"Cabo Verde",
ISNUMBER(SEARCH("Czechia",S1666)),"Czech Republic",
ISNUMBER(SEARCH("Türkiye",S1666)),"Turkey",
ISNUMBER(SEARCH("Ivory Coast",S1666)),"Côte d'Ivoire",
ISNUMBER(SEARCH("Korea Republic",S1666)),"South Korea",
ISNUMBER(SEARCH("Germany FR",S1666)),"FR Germany",
ISNUMBER(SEARCH("West Germany",S1666)),"FR Germany",
ISNUMBER(SEARCH("Germany DR",S1666)),"DR Germany",
ISNUMBER(SEARCH("Korea DPR",S1666)),"North Korea",
ISNUMBER(SEARCH("China PR",S1666)),"China",
ISNUMBER(SEARCH("IR Iran",S1666)),"Iran",
ISNUMBER(SEARCH("Congo DR",S1666)),"Democratic Republic of the Congo",
ISNUMBER(SEARCH("DR Congo",S1666)),"Democratic Republic of the Congo",
ISNUMBER(SEARCH("German DR",S1666)),"DR Germany",
ISNUMBER(SEARCH("rn""&gt;United Arab Emirates",S1666)),"United Arab Emirates",
ISNUMBER(SEARCH("rn""&gt;Republic of Ireland",S1666)),"Ireland",
ISNUMBER(SEARCH("rn""&gt;Bosnia and Herzegovina",S1666)),"Bosnia and Herzegovina",
ISNUMBER(SEARCH("rn""&gt;Trinidad and Tobago",S1666)),"Trinidad and Tobago",
ISNUMBER(SEARCH("rn""&gt;Serbia and Montenegro",S1666)),"Serbia and Montenegro",
ISNUMBER(SEARCH(_xlfn.UNICHAR(65533),S1666)),"Côte d'Ivoire",
TRUE,""
)</f>
        <v/>
      </c>
      <c r="W1666" s="12" t="str">
        <f t="shared" si="132"/>
        <v>Japan</v>
      </c>
    </row>
    <row r="1667" spans="2:23">
      <c r="B1667" s="75">
        <v>1230</v>
      </c>
      <c r="C1667" s="15" t="str">
        <v>Carlos Harvey</v>
      </c>
      <c r="D1667" s="15">
        <v>26</v>
      </c>
      <c r="E1667" s="15" t="str">
        <v>Panama</v>
      </c>
      <c r="F1667" s="15" t="str">
        <v>CB</v>
      </c>
      <c r="G1667" s="15" t="str">
        <v>Minnesota United FC</v>
      </c>
      <c r="H1667" s="15">
        <v>14</v>
      </c>
      <c r="I1667" s="15" t="str">
        <f t="shared" si="133"/>
        <v>1230|Carlos Harvey|26|Panama|CB|Minnesota United FC|14</v>
      </c>
      <c r="J1667" s="15" t="str">
        <f>IF(COUNTIF(I$438:I1667,I1667)&gt;1,"DOUBLON","OK")</f>
        <v>OK</v>
      </c>
      <c r="S1667" s="12" t="str">
        <v>Netherlands</v>
      </c>
      <c r="T1667" s="12" t="str">
        <f t="shared" si="130"/>
        <v>OK</v>
      </c>
      <c r="U1667" s="12" t="str">
        <f t="shared" si="131"/>
        <v>-</v>
      </c>
      <c r="V1667" s="12" t="str" cm="1">
        <f t="array" ref="V1667">_xlfn.IFS(
ISNUMBER(SEARCH("USA",S1667)),"United States",
ISNUMBER(SEARCH("Republic of Ireland",S1667)),"Ireland",
ISNUMBER(SEARCH("Republic of Korea",S1667)),"South Korea",
ISNUMBER(SEARCH("Cape Verde",S1667)),"Cabo Verde",
ISNUMBER(SEARCH("Czechia",S1667)),"Czech Republic",
ISNUMBER(SEARCH("Türkiye",S1667)),"Turkey",
ISNUMBER(SEARCH("Ivory Coast",S1667)),"Côte d'Ivoire",
ISNUMBER(SEARCH("Korea Republic",S1667)),"South Korea",
ISNUMBER(SEARCH("Germany FR",S1667)),"FR Germany",
ISNUMBER(SEARCH("West Germany",S1667)),"FR Germany",
ISNUMBER(SEARCH("Germany DR",S1667)),"DR Germany",
ISNUMBER(SEARCH("Korea DPR",S1667)),"North Korea",
ISNUMBER(SEARCH("China PR",S1667)),"China",
ISNUMBER(SEARCH("IR Iran",S1667)),"Iran",
ISNUMBER(SEARCH("Congo DR",S1667)),"Democratic Republic of the Congo",
ISNUMBER(SEARCH("DR Congo",S1667)),"Democratic Republic of the Congo",
ISNUMBER(SEARCH("German DR",S1667)),"DR Germany",
ISNUMBER(SEARCH("rn""&gt;United Arab Emirates",S1667)),"United Arab Emirates",
ISNUMBER(SEARCH("rn""&gt;Republic of Ireland",S1667)),"Ireland",
ISNUMBER(SEARCH("rn""&gt;Bosnia and Herzegovina",S1667)),"Bosnia and Herzegovina",
ISNUMBER(SEARCH("rn""&gt;Trinidad and Tobago",S1667)),"Trinidad and Tobago",
ISNUMBER(SEARCH("rn""&gt;Serbia and Montenegro",S1667)),"Serbia and Montenegro",
ISNUMBER(SEARCH(_xlfn.UNICHAR(65533),S1667)),"Côte d'Ivoire",
TRUE,""
)</f>
        <v/>
      </c>
      <c r="W1667" s="12" t="str">
        <f t="shared" si="132"/>
        <v>Netherlands</v>
      </c>
    </row>
    <row r="1668" spans="2:23">
      <c r="B1668" s="75">
        <v>1231</v>
      </c>
      <c r="C1668" s="15" t="str">
        <v>Roderick Miller</v>
      </c>
      <c r="D1668" s="15">
        <v>34</v>
      </c>
      <c r="E1668" s="15" t="str">
        <v>Panama</v>
      </c>
      <c r="F1668" s="15" t="str">
        <v>CB</v>
      </c>
      <c r="G1668" s="15" t="str">
        <v>Turan Tovuz</v>
      </c>
      <c r="H1668" s="15">
        <v>25</v>
      </c>
      <c r="I1668" s="15" t="str">
        <f t="shared" si="133"/>
        <v>1231|Roderick Miller|34|Panama|CB|Turan Tovuz|25</v>
      </c>
      <c r="J1668" s="15" t="str">
        <f>IF(COUNTIF(I$438:I1668,I1668)&gt;1,"DOUBLON","OK")</f>
        <v>OK</v>
      </c>
      <c r="S1668" s="12" t="str">
        <v>Netherlands</v>
      </c>
      <c r="T1668" s="12" t="str">
        <f t="shared" si="130"/>
        <v>OK</v>
      </c>
      <c r="U1668" s="12" t="str">
        <f t="shared" si="131"/>
        <v>-</v>
      </c>
      <c r="V1668" s="12" t="str" cm="1">
        <f t="array" ref="V1668">_xlfn.IFS(
ISNUMBER(SEARCH("USA",S1668)),"United States",
ISNUMBER(SEARCH("Republic of Ireland",S1668)),"Ireland",
ISNUMBER(SEARCH("Republic of Korea",S1668)),"South Korea",
ISNUMBER(SEARCH("Cape Verde",S1668)),"Cabo Verde",
ISNUMBER(SEARCH("Czechia",S1668)),"Czech Republic",
ISNUMBER(SEARCH("Türkiye",S1668)),"Turkey",
ISNUMBER(SEARCH("Ivory Coast",S1668)),"Côte d'Ivoire",
ISNUMBER(SEARCH("Korea Republic",S1668)),"South Korea",
ISNUMBER(SEARCH("Germany FR",S1668)),"FR Germany",
ISNUMBER(SEARCH("West Germany",S1668)),"FR Germany",
ISNUMBER(SEARCH("Germany DR",S1668)),"DR Germany",
ISNUMBER(SEARCH("Korea DPR",S1668)),"North Korea",
ISNUMBER(SEARCH("China PR",S1668)),"China",
ISNUMBER(SEARCH("IR Iran",S1668)),"Iran",
ISNUMBER(SEARCH("Congo DR",S1668)),"Democratic Republic of the Congo",
ISNUMBER(SEARCH("DR Congo",S1668)),"Democratic Republic of the Congo",
ISNUMBER(SEARCH("German DR",S1668)),"DR Germany",
ISNUMBER(SEARCH("rn""&gt;United Arab Emirates",S1668)),"United Arab Emirates",
ISNUMBER(SEARCH("rn""&gt;Republic of Ireland",S1668)),"Ireland",
ISNUMBER(SEARCH("rn""&gt;Bosnia and Herzegovina",S1668)),"Bosnia and Herzegovina",
ISNUMBER(SEARCH("rn""&gt;Trinidad and Tobago",S1668)),"Trinidad and Tobago",
ISNUMBER(SEARCH("rn""&gt;Serbia and Montenegro",S1668)),"Serbia and Montenegro",
ISNUMBER(SEARCH(_xlfn.UNICHAR(65533),S1668)),"Côte d'Ivoire",
TRUE,""
)</f>
        <v/>
      </c>
      <c r="W1668" s="12" t="str">
        <f t="shared" si="132"/>
        <v>Netherlands</v>
      </c>
    </row>
    <row r="1669" spans="2:23">
      <c r="B1669" s="75">
        <v>1232</v>
      </c>
      <c r="C1669" s="15" t="str">
        <v>Eric Davis</v>
      </c>
      <c r="D1669" s="15">
        <v>35</v>
      </c>
      <c r="E1669" s="15" t="str">
        <v>Panama</v>
      </c>
      <c r="F1669" s="15" t="str">
        <v>LB</v>
      </c>
      <c r="G1669" s="15" t="str">
        <v>Plaza Amador</v>
      </c>
      <c r="H1669" s="15">
        <v>15</v>
      </c>
      <c r="I1669" s="15" t="str">
        <f t="shared" si="133"/>
        <v>1232|Eric Davis|35|Panama|LB|Plaza Amador|15</v>
      </c>
      <c r="J1669" s="15" t="str">
        <f>IF(COUNTIF(I$438:I1669,I1669)&gt;1,"DOUBLON","OK")</f>
        <v>OK</v>
      </c>
      <c r="S1669" s="12" t="str">
        <v>Netherlands</v>
      </c>
      <c r="T1669" s="12" t="str">
        <f t="shared" si="130"/>
        <v>OK</v>
      </c>
      <c r="U1669" s="12" t="str">
        <f t="shared" si="131"/>
        <v>-</v>
      </c>
      <c r="V1669" s="12" t="str" cm="1">
        <f t="array" ref="V1669">_xlfn.IFS(
ISNUMBER(SEARCH("USA",S1669)),"United States",
ISNUMBER(SEARCH("Republic of Ireland",S1669)),"Ireland",
ISNUMBER(SEARCH("Republic of Korea",S1669)),"South Korea",
ISNUMBER(SEARCH("Cape Verde",S1669)),"Cabo Verde",
ISNUMBER(SEARCH("Czechia",S1669)),"Czech Republic",
ISNUMBER(SEARCH("Türkiye",S1669)),"Turkey",
ISNUMBER(SEARCH("Ivory Coast",S1669)),"Côte d'Ivoire",
ISNUMBER(SEARCH("Korea Republic",S1669)),"South Korea",
ISNUMBER(SEARCH("Germany FR",S1669)),"FR Germany",
ISNUMBER(SEARCH("West Germany",S1669)),"FR Germany",
ISNUMBER(SEARCH("Germany DR",S1669)),"DR Germany",
ISNUMBER(SEARCH("Korea DPR",S1669)),"North Korea",
ISNUMBER(SEARCH("China PR",S1669)),"China",
ISNUMBER(SEARCH("IR Iran",S1669)),"Iran",
ISNUMBER(SEARCH("Congo DR",S1669)),"Democratic Republic of the Congo",
ISNUMBER(SEARCH("DR Congo",S1669)),"Democratic Republic of the Congo",
ISNUMBER(SEARCH("German DR",S1669)),"DR Germany",
ISNUMBER(SEARCH("rn""&gt;United Arab Emirates",S1669)),"United Arab Emirates",
ISNUMBER(SEARCH("rn""&gt;Republic of Ireland",S1669)),"Ireland",
ISNUMBER(SEARCH("rn""&gt;Bosnia and Herzegovina",S1669)),"Bosnia and Herzegovina",
ISNUMBER(SEARCH("rn""&gt;Trinidad and Tobago",S1669)),"Trinidad and Tobago",
ISNUMBER(SEARCH("rn""&gt;Serbia and Montenegro",S1669)),"Serbia and Montenegro",
ISNUMBER(SEARCH(_xlfn.UNICHAR(65533),S1669)),"Côte d'Ivoire",
TRUE,""
)</f>
        <v/>
      </c>
      <c r="W1669" s="12" t="str">
        <f t="shared" si="132"/>
        <v>Netherlands</v>
      </c>
    </row>
    <row r="1670" spans="2:23">
      <c r="B1670" s="75">
        <v>1233</v>
      </c>
      <c r="C1670" s="15" t="str">
        <v>Andrés Andrade</v>
      </c>
      <c r="D1670" s="15">
        <v>27</v>
      </c>
      <c r="E1670" s="15" t="str">
        <v>Panama</v>
      </c>
      <c r="F1670" s="15" t="str">
        <v>LB</v>
      </c>
      <c r="G1670" s="15" t="str">
        <v>LASK</v>
      </c>
      <c r="H1670" s="15">
        <v>16</v>
      </c>
      <c r="I1670" s="15" t="str">
        <f t="shared" si="133"/>
        <v>1233|Andrés Andrade|27|Panama|LB|LASK|16</v>
      </c>
      <c r="J1670" s="15" t="str">
        <f>IF(COUNTIF(I$438:I1670,I1670)&gt;1,"DOUBLON","OK")</f>
        <v>OK</v>
      </c>
      <c r="S1670" s="12" t="str">
        <v>Netherlands</v>
      </c>
      <c r="T1670" s="12" t="str">
        <f t="shared" si="130"/>
        <v>OK</v>
      </c>
      <c r="U1670" s="12" t="str">
        <f t="shared" si="131"/>
        <v>-</v>
      </c>
      <c r="V1670" s="12" t="str" cm="1">
        <f t="array" ref="V1670">_xlfn.IFS(
ISNUMBER(SEARCH("USA",S1670)),"United States",
ISNUMBER(SEARCH("Republic of Ireland",S1670)),"Ireland",
ISNUMBER(SEARCH("Republic of Korea",S1670)),"South Korea",
ISNUMBER(SEARCH("Cape Verde",S1670)),"Cabo Verde",
ISNUMBER(SEARCH("Czechia",S1670)),"Czech Republic",
ISNUMBER(SEARCH("Türkiye",S1670)),"Turkey",
ISNUMBER(SEARCH("Ivory Coast",S1670)),"Côte d'Ivoire",
ISNUMBER(SEARCH("Korea Republic",S1670)),"South Korea",
ISNUMBER(SEARCH("Germany FR",S1670)),"FR Germany",
ISNUMBER(SEARCH("West Germany",S1670)),"FR Germany",
ISNUMBER(SEARCH("Germany DR",S1670)),"DR Germany",
ISNUMBER(SEARCH("Korea DPR",S1670)),"North Korea",
ISNUMBER(SEARCH("China PR",S1670)),"China",
ISNUMBER(SEARCH("IR Iran",S1670)),"Iran",
ISNUMBER(SEARCH("Congo DR",S1670)),"Democratic Republic of the Congo",
ISNUMBER(SEARCH("DR Congo",S1670)),"Democratic Republic of the Congo",
ISNUMBER(SEARCH("German DR",S1670)),"DR Germany",
ISNUMBER(SEARCH("rn""&gt;United Arab Emirates",S1670)),"United Arab Emirates",
ISNUMBER(SEARCH("rn""&gt;Republic of Ireland",S1670)),"Ireland",
ISNUMBER(SEARCH("rn""&gt;Bosnia and Herzegovina",S1670)),"Bosnia and Herzegovina",
ISNUMBER(SEARCH("rn""&gt;Trinidad and Tobago",S1670)),"Trinidad and Tobago",
ISNUMBER(SEARCH("rn""&gt;Serbia and Montenegro",S1670)),"Serbia and Montenegro",
ISNUMBER(SEARCH(_xlfn.UNICHAR(65533),S1670)),"Côte d'Ivoire",
TRUE,""
)</f>
        <v/>
      </c>
      <c r="W1670" s="12" t="str">
        <f t="shared" si="132"/>
        <v>Netherlands</v>
      </c>
    </row>
    <row r="1671" spans="2:23">
      <c r="B1671" s="75">
        <v>1234</v>
      </c>
      <c r="C1671" s="15" t="str">
        <v>Jorge Gutiérrez</v>
      </c>
      <c r="D1671" s="15">
        <v>27</v>
      </c>
      <c r="E1671" s="15" t="str">
        <v>Panama</v>
      </c>
      <c r="F1671" s="15" t="str">
        <v>LB</v>
      </c>
      <c r="G1671" s="15" t="str">
        <v>Deportivo La Guaira</v>
      </c>
      <c r="H1671" s="15">
        <v>26</v>
      </c>
      <c r="I1671" s="15" t="str">
        <f t="shared" si="133"/>
        <v>1234|Jorge Gutiérrez|27|Panama|LB|Deportivo La Guaira|26</v>
      </c>
      <c r="J1671" s="15" t="str">
        <f>IF(COUNTIF(I$438:I1671,I1671)&gt;1,"DOUBLON","OK")</f>
        <v>OK</v>
      </c>
      <c r="S1671" s="12" t="str">
        <v>Netherlands</v>
      </c>
      <c r="T1671" s="12" t="str">
        <f t="shared" si="130"/>
        <v>OK</v>
      </c>
      <c r="U1671" s="12" t="str">
        <f t="shared" si="131"/>
        <v>-</v>
      </c>
      <c r="V1671" s="12" t="str" cm="1">
        <f t="array" ref="V1671">_xlfn.IFS(
ISNUMBER(SEARCH("USA",S1671)),"United States",
ISNUMBER(SEARCH("Republic of Ireland",S1671)),"Ireland",
ISNUMBER(SEARCH("Republic of Korea",S1671)),"South Korea",
ISNUMBER(SEARCH("Cape Verde",S1671)),"Cabo Verde",
ISNUMBER(SEARCH("Czechia",S1671)),"Czech Republic",
ISNUMBER(SEARCH("Türkiye",S1671)),"Turkey",
ISNUMBER(SEARCH("Ivory Coast",S1671)),"Côte d'Ivoire",
ISNUMBER(SEARCH("Korea Republic",S1671)),"South Korea",
ISNUMBER(SEARCH("Germany FR",S1671)),"FR Germany",
ISNUMBER(SEARCH("West Germany",S1671)),"FR Germany",
ISNUMBER(SEARCH("Germany DR",S1671)),"DR Germany",
ISNUMBER(SEARCH("Korea DPR",S1671)),"North Korea",
ISNUMBER(SEARCH("China PR",S1671)),"China",
ISNUMBER(SEARCH("IR Iran",S1671)),"Iran",
ISNUMBER(SEARCH("Congo DR",S1671)),"Democratic Republic of the Congo",
ISNUMBER(SEARCH("DR Congo",S1671)),"Democratic Republic of the Congo",
ISNUMBER(SEARCH("German DR",S1671)),"DR Germany",
ISNUMBER(SEARCH("rn""&gt;United Arab Emirates",S1671)),"United Arab Emirates",
ISNUMBER(SEARCH("rn""&gt;Republic of Ireland",S1671)),"Ireland",
ISNUMBER(SEARCH("rn""&gt;Bosnia and Herzegovina",S1671)),"Bosnia and Herzegovina",
ISNUMBER(SEARCH("rn""&gt;Trinidad and Tobago",S1671)),"Trinidad and Tobago",
ISNUMBER(SEARCH("rn""&gt;Serbia and Montenegro",S1671)),"Serbia and Montenegro",
ISNUMBER(SEARCH(_xlfn.UNICHAR(65533),S1671)),"Côte d'Ivoire",
TRUE,""
)</f>
        <v/>
      </c>
      <c r="W1671" s="12" t="str">
        <f t="shared" si="132"/>
        <v>Netherlands</v>
      </c>
    </row>
    <row r="1672" spans="2:23">
      <c r="B1672" s="75">
        <v>1235</v>
      </c>
      <c r="C1672" s="15" t="str">
        <v>César Blackman</v>
      </c>
      <c r="D1672" s="15">
        <v>28</v>
      </c>
      <c r="E1672" s="15" t="str">
        <v>Panama</v>
      </c>
      <c r="F1672" s="15" t="str">
        <v>RB</v>
      </c>
      <c r="G1672" s="15" t="str">
        <v>Slovan Bratislava</v>
      </c>
      <c r="H1672" s="15">
        <v>2</v>
      </c>
      <c r="I1672" s="15" t="str">
        <f t="shared" si="133"/>
        <v>1235|César Blackman|28|Panama|RB|Slovan Bratislava|2</v>
      </c>
      <c r="J1672" s="15" t="str">
        <f>IF(COUNTIF(I$438:I1672,I1672)&gt;1,"DOUBLON","OK")</f>
        <v>OK</v>
      </c>
      <c r="S1672" s="12" t="str">
        <v>Netherlands</v>
      </c>
      <c r="T1672" s="12" t="str">
        <f t="shared" si="130"/>
        <v>OK</v>
      </c>
      <c r="U1672" s="12" t="str">
        <f t="shared" si="131"/>
        <v>-</v>
      </c>
      <c r="V1672" s="12" t="str" cm="1">
        <f t="array" ref="V1672">_xlfn.IFS(
ISNUMBER(SEARCH("USA",S1672)),"United States",
ISNUMBER(SEARCH("Republic of Ireland",S1672)),"Ireland",
ISNUMBER(SEARCH("Republic of Korea",S1672)),"South Korea",
ISNUMBER(SEARCH("Cape Verde",S1672)),"Cabo Verde",
ISNUMBER(SEARCH("Czechia",S1672)),"Czech Republic",
ISNUMBER(SEARCH("Türkiye",S1672)),"Turkey",
ISNUMBER(SEARCH("Ivory Coast",S1672)),"Côte d'Ivoire",
ISNUMBER(SEARCH("Korea Republic",S1672)),"South Korea",
ISNUMBER(SEARCH("Germany FR",S1672)),"FR Germany",
ISNUMBER(SEARCH("West Germany",S1672)),"FR Germany",
ISNUMBER(SEARCH("Germany DR",S1672)),"DR Germany",
ISNUMBER(SEARCH("Korea DPR",S1672)),"North Korea",
ISNUMBER(SEARCH("China PR",S1672)),"China",
ISNUMBER(SEARCH("IR Iran",S1672)),"Iran",
ISNUMBER(SEARCH("Congo DR",S1672)),"Democratic Republic of the Congo",
ISNUMBER(SEARCH("DR Congo",S1672)),"Democratic Republic of the Congo",
ISNUMBER(SEARCH("German DR",S1672)),"DR Germany",
ISNUMBER(SEARCH("rn""&gt;United Arab Emirates",S1672)),"United Arab Emirates",
ISNUMBER(SEARCH("rn""&gt;Republic of Ireland",S1672)),"Ireland",
ISNUMBER(SEARCH("rn""&gt;Bosnia and Herzegovina",S1672)),"Bosnia and Herzegovina",
ISNUMBER(SEARCH("rn""&gt;Trinidad and Tobago",S1672)),"Trinidad and Tobago",
ISNUMBER(SEARCH("rn""&gt;Serbia and Montenegro",S1672)),"Serbia and Montenegro",
ISNUMBER(SEARCH(_xlfn.UNICHAR(65533),S1672)),"Côte d'Ivoire",
TRUE,""
)</f>
        <v/>
      </c>
      <c r="W1672" s="12" t="str">
        <f t="shared" si="132"/>
        <v>Netherlands</v>
      </c>
    </row>
    <row r="1673" spans="2:23">
      <c r="B1673" s="75">
        <v>1236</v>
      </c>
      <c r="C1673" s="15" t="str">
        <v>Michael Amir Murillo</v>
      </c>
      <c r="D1673" s="15">
        <v>30</v>
      </c>
      <c r="E1673" s="15" t="str">
        <v>Panama</v>
      </c>
      <c r="F1673" s="15" t="str">
        <v>RB</v>
      </c>
      <c r="G1673" s="15" t="str">
        <v>Beşiktaş</v>
      </c>
      <c r="H1673" s="15">
        <v>23</v>
      </c>
      <c r="I1673" s="15" t="str">
        <f t="shared" si="133"/>
        <v>1236|Michael Amir Murillo|30|Panama|RB|Beşiktaş|23</v>
      </c>
      <c r="J1673" s="15" t="str">
        <f>IF(COUNTIF(I$438:I1673,I1673)&gt;1,"DOUBLON","OK")</f>
        <v>OK</v>
      </c>
      <c r="S1673" s="12" t="str">
        <v>Netherlands</v>
      </c>
      <c r="T1673" s="12" t="str">
        <f t="shared" si="130"/>
        <v>OK</v>
      </c>
      <c r="U1673" s="12" t="str">
        <f t="shared" si="131"/>
        <v>-</v>
      </c>
      <c r="V1673" s="12" t="str" cm="1">
        <f t="array" ref="V1673">_xlfn.IFS(
ISNUMBER(SEARCH("USA",S1673)),"United States",
ISNUMBER(SEARCH("Republic of Ireland",S1673)),"Ireland",
ISNUMBER(SEARCH("Republic of Korea",S1673)),"South Korea",
ISNUMBER(SEARCH("Cape Verde",S1673)),"Cabo Verde",
ISNUMBER(SEARCH("Czechia",S1673)),"Czech Republic",
ISNUMBER(SEARCH("Türkiye",S1673)),"Turkey",
ISNUMBER(SEARCH("Ivory Coast",S1673)),"Côte d'Ivoire",
ISNUMBER(SEARCH("Korea Republic",S1673)),"South Korea",
ISNUMBER(SEARCH("Germany FR",S1673)),"FR Germany",
ISNUMBER(SEARCH("West Germany",S1673)),"FR Germany",
ISNUMBER(SEARCH("Germany DR",S1673)),"DR Germany",
ISNUMBER(SEARCH("Korea DPR",S1673)),"North Korea",
ISNUMBER(SEARCH("China PR",S1673)),"China",
ISNUMBER(SEARCH("IR Iran",S1673)),"Iran",
ISNUMBER(SEARCH("Congo DR",S1673)),"Democratic Republic of the Congo",
ISNUMBER(SEARCH("DR Congo",S1673)),"Democratic Republic of the Congo",
ISNUMBER(SEARCH("German DR",S1673)),"DR Germany",
ISNUMBER(SEARCH("rn""&gt;United Arab Emirates",S1673)),"United Arab Emirates",
ISNUMBER(SEARCH("rn""&gt;Republic of Ireland",S1673)),"Ireland",
ISNUMBER(SEARCH("rn""&gt;Bosnia and Herzegovina",S1673)),"Bosnia and Herzegovina",
ISNUMBER(SEARCH("rn""&gt;Trinidad and Tobago",S1673)),"Trinidad and Tobago",
ISNUMBER(SEARCH("rn""&gt;Serbia and Montenegro",S1673)),"Serbia and Montenegro",
ISNUMBER(SEARCH(_xlfn.UNICHAR(65533),S1673)),"Côte d'Ivoire",
TRUE,""
)</f>
        <v/>
      </c>
      <c r="W1673" s="12" t="str">
        <f t="shared" si="132"/>
        <v>Netherlands</v>
      </c>
    </row>
    <row r="1674" spans="2:23">
      <c r="B1674" s="75">
        <v>1237</v>
      </c>
      <c r="C1674" s="15" t="str">
        <v>Cristian Martínez</v>
      </c>
      <c r="D1674" s="15">
        <v>29</v>
      </c>
      <c r="E1674" s="15" t="str">
        <v>Panama</v>
      </c>
      <c r="F1674" s="15" t="str">
        <v>CDM</v>
      </c>
      <c r="G1674" s="15" t="str">
        <v>Ironi Kiryat Shmona</v>
      </c>
      <c r="H1674" s="15">
        <v>6</v>
      </c>
      <c r="I1674" s="15" t="str">
        <f t="shared" si="133"/>
        <v>1237|Cristian Martínez|29|Panama|CDM|Ironi Kiryat Shmona|6</v>
      </c>
      <c r="J1674" s="15" t="str">
        <f>IF(COUNTIF(I$438:I1674,I1674)&gt;1,"DOUBLON","OK")</f>
        <v>OK</v>
      </c>
      <c r="S1674" s="12" t="str">
        <v>Netherlands</v>
      </c>
      <c r="T1674" s="12" t="str">
        <f t="shared" si="130"/>
        <v>OK</v>
      </c>
      <c r="U1674" s="12" t="str">
        <f t="shared" si="131"/>
        <v>-</v>
      </c>
      <c r="V1674" s="12" t="str" cm="1">
        <f t="array" ref="V1674">_xlfn.IFS(
ISNUMBER(SEARCH("USA",S1674)),"United States",
ISNUMBER(SEARCH("Republic of Ireland",S1674)),"Ireland",
ISNUMBER(SEARCH("Republic of Korea",S1674)),"South Korea",
ISNUMBER(SEARCH("Cape Verde",S1674)),"Cabo Verde",
ISNUMBER(SEARCH("Czechia",S1674)),"Czech Republic",
ISNUMBER(SEARCH("Türkiye",S1674)),"Turkey",
ISNUMBER(SEARCH("Ivory Coast",S1674)),"Côte d'Ivoire",
ISNUMBER(SEARCH("Korea Republic",S1674)),"South Korea",
ISNUMBER(SEARCH("Germany FR",S1674)),"FR Germany",
ISNUMBER(SEARCH("West Germany",S1674)),"FR Germany",
ISNUMBER(SEARCH("Germany DR",S1674)),"DR Germany",
ISNUMBER(SEARCH("Korea DPR",S1674)),"North Korea",
ISNUMBER(SEARCH("China PR",S1674)),"China",
ISNUMBER(SEARCH("IR Iran",S1674)),"Iran",
ISNUMBER(SEARCH("Congo DR",S1674)),"Democratic Republic of the Congo",
ISNUMBER(SEARCH("DR Congo",S1674)),"Democratic Republic of the Congo",
ISNUMBER(SEARCH("German DR",S1674)),"DR Germany",
ISNUMBER(SEARCH("rn""&gt;United Arab Emirates",S1674)),"United Arab Emirates",
ISNUMBER(SEARCH("rn""&gt;Republic of Ireland",S1674)),"Ireland",
ISNUMBER(SEARCH("rn""&gt;Bosnia and Herzegovina",S1674)),"Bosnia and Herzegovina",
ISNUMBER(SEARCH("rn""&gt;Trinidad and Tobago",S1674)),"Trinidad and Tobago",
ISNUMBER(SEARCH("rn""&gt;Serbia and Montenegro",S1674)),"Serbia and Montenegro",
ISNUMBER(SEARCH(_xlfn.UNICHAR(65533),S1674)),"Côte d'Ivoire",
TRUE,""
)</f>
        <v/>
      </c>
      <c r="W1674" s="12" t="str">
        <f t="shared" si="132"/>
        <v>Netherlands</v>
      </c>
    </row>
    <row r="1675" spans="2:23">
      <c r="B1675" s="75">
        <v>1238</v>
      </c>
      <c r="C1675" s="15" t="str">
        <v>Aníbal Godoy</v>
      </c>
      <c r="D1675" s="15">
        <v>36</v>
      </c>
      <c r="E1675" s="15" t="str">
        <v>Panama</v>
      </c>
      <c r="F1675" s="15" t="str">
        <v>CDM</v>
      </c>
      <c r="G1675" s="15" t="str">
        <v>San Diego FC</v>
      </c>
      <c r="H1675" s="15">
        <v>20</v>
      </c>
      <c r="I1675" s="15" t="str">
        <f t="shared" si="133"/>
        <v>1238|Aníbal Godoy|36|Panama|CDM|San Diego FC|20</v>
      </c>
      <c r="J1675" s="15" t="str">
        <f>IF(COUNTIF(I$438:I1675,I1675)&gt;1,"DOUBLON","OK")</f>
        <v>OK</v>
      </c>
      <c r="S1675" s="12" t="str">
        <v>Netherlands</v>
      </c>
      <c r="T1675" s="12" t="str">
        <f t="shared" si="130"/>
        <v>OK</v>
      </c>
      <c r="U1675" s="12" t="str">
        <f t="shared" si="131"/>
        <v>-</v>
      </c>
      <c r="V1675" s="12" t="str" cm="1">
        <f t="array" ref="V1675">_xlfn.IFS(
ISNUMBER(SEARCH("USA",S1675)),"United States",
ISNUMBER(SEARCH("Republic of Ireland",S1675)),"Ireland",
ISNUMBER(SEARCH("Republic of Korea",S1675)),"South Korea",
ISNUMBER(SEARCH("Cape Verde",S1675)),"Cabo Verde",
ISNUMBER(SEARCH("Czechia",S1675)),"Czech Republic",
ISNUMBER(SEARCH("Türkiye",S1675)),"Turkey",
ISNUMBER(SEARCH("Ivory Coast",S1675)),"Côte d'Ivoire",
ISNUMBER(SEARCH("Korea Republic",S1675)),"South Korea",
ISNUMBER(SEARCH("Germany FR",S1675)),"FR Germany",
ISNUMBER(SEARCH("West Germany",S1675)),"FR Germany",
ISNUMBER(SEARCH("Germany DR",S1675)),"DR Germany",
ISNUMBER(SEARCH("Korea DPR",S1675)),"North Korea",
ISNUMBER(SEARCH("China PR",S1675)),"China",
ISNUMBER(SEARCH("IR Iran",S1675)),"Iran",
ISNUMBER(SEARCH("Congo DR",S1675)),"Democratic Republic of the Congo",
ISNUMBER(SEARCH("DR Congo",S1675)),"Democratic Republic of the Congo",
ISNUMBER(SEARCH("German DR",S1675)),"DR Germany",
ISNUMBER(SEARCH("rn""&gt;United Arab Emirates",S1675)),"United Arab Emirates",
ISNUMBER(SEARCH("rn""&gt;Republic of Ireland",S1675)),"Ireland",
ISNUMBER(SEARCH("rn""&gt;Bosnia and Herzegovina",S1675)),"Bosnia and Herzegovina",
ISNUMBER(SEARCH("rn""&gt;Trinidad and Tobago",S1675)),"Trinidad and Tobago",
ISNUMBER(SEARCH("rn""&gt;Serbia and Montenegro",S1675)),"Serbia and Montenegro",
ISNUMBER(SEARCH(_xlfn.UNICHAR(65533),S1675)),"Côte d'Ivoire",
TRUE,""
)</f>
        <v/>
      </c>
      <c r="W1675" s="12" t="str">
        <f t="shared" si="132"/>
        <v>Netherlands</v>
      </c>
    </row>
    <row r="1676" spans="2:23">
      <c r="B1676" s="75">
        <v>1239</v>
      </c>
      <c r="C1676" s="15" t="str">
        <v>Adalberto Carrasquilla</v>
      </c>
      <c r="D1676" s="15">
        <v>27</v>
      </c>
      <c r="E1676" s="15" t="str">
        <v>Panama</v>
      </c>
      <c r="F1676" s="15" t="str">
        <v>CM</v>
      </c>
      <c r="G1676" s="15" t="str">
        <v>Pumas UNAM</v>
      </c>
      <c r="H1676" s="15">
        <v>8</v>
      </c>
      <c r="I1676" s="15" t="str">
        <f t="shared" si="133"/>
        <v>1239|Adalberto Carrasquilla|27|Panama|CM|Pumas UNAM|8</v>
      </c>
      <c r="J1676" s="15" t="str">
        <f>IF(COUNTIF(I$438:I1676,I1676)&gt;1,"DOUBLON","OK")</f>
        <v>OK</v>
      </c>
      <c r="S1676" s="12" t="str">
        <v>Netherlands</v>
      </c>
      <c r="T1676" s="12" t="str">
        <f t="shared" si="130"/>
        <v>OK</v>
      </c>
      <c r="U1676" s="12" t="str">
        <f t="shared" si="131"/>
        <v>-</v>
      </c>
      <c r="V1676" s="12" t="str" cm="1">
        <f t="array" ref="V1676">_xlfn.IFS(
ISNUMBER(SEARCH("USA",S1676)),"United States",
ISNUMBER(SEARCH("Republic of Ireland",S1676)),"Ireland",
ISNUMBER(SEARCH("Republic of Korea",S1676)),"South Korea",
ISNUMBER(SEARCH("Cape Verde",S1676)),"Cabo Verde",
ISNUMBER(SEARCH("Czechia",S1676)),"Czech Republic",
ISNUMBER(SEARCH("Türkiye",S1676)),"Turkey",
ISNUMBER(SEARCH("Ivory Coast",S1676)),"Côte d'Ivoire",
ISNUMBER(SEARCH("Korea Republic",S1676)),"South Korea",
ISNUMBER(SEARCH("Germany FR",S1676)),"FR Germany",
ISNUMBER(SEARCH("West Germany",S1676)),"FR Germany",
ISNUMBER(SEARCH("Germany DR",S1676)),"DR Germany",
ISNUMBER(SEARCH("Korea DPR",S1676)),"North Korea",
ISNUMBER(SEARCH("China PR",S1676)),"China",
ISNUMBER(SEARCH("IR Iran",S1676)),"Iran",
ISNUMBER(SEARCH("Congo DR",S1676)),"Democratic Republic of the Congo",
ISNUMBER(SEARCH("DR Congo",S1676)),"Democratic Republic of the Congo",
ISNUMBER(SEARCH("German DR",S1676)),"DR Germany",
ISNUMBER(SEARCH("rn""&gt;United Arab Emirates",S1676)),"United Arab Emirates",
ISNUMBER(SEARCH("rn""&gt;Republic of Ireland",S1676)),"Ireland",
ISNUMBER(SEARCH("rn""&gt;Bosnia and Herzegovina",S1676)),"Bosnia and Herzegovina",
ISNUMBER(SEARCH("rn""&gt;Trinidad and Tobago",S1676)),"Trinidad and Tobago",
ISNUMBER(SEARCH("rn""&gt;Serbia and Montenegro",S1676)),"Serbia and Montenegro",
ISNUMBER(SEARCH(_xlfn.UNICHAR(65533),S1676)),"Côte d'Ivoire",
TRUE,""
)</f>
        <v/>
      </c>
      <c r="W1676" s="12" t="str">
        <f t="shared" si="132"/>
        <v>Netherlands</v>
      </c>
    </row>
    <row r="1677" spans="2:23">
      <c r="B1677" s="75">
        <v>1240</v>
      </c>
      <c r="C1677" s="15" t="str">
        <v>Alberto Quintero</v>
      </c>
      <c r="D1677" s="15">
        <v>38</v>
      </c>
      <c r="E1677" s="15" t="str">
        <v>Panama</v>
      </c>
      <c r="F1677" s="15" t="str">
        <v>CM</v>
      </c>
      <c r="G1677" s="15" t="str">
        <v>Plaza Amador</v>
      </c>
      <c r="H1677" s="15">
        <v>19</v>
      </c>
      <c r="I1677" s="15" t="str">
        <f t="shared" si="133"/>
        <v>1240|Alberto Quintero|38|Panama|CM|Plaza Amador|19</v>
      </c>
      <c r="J1677" s="15" t="str">
        <f>IF(COUNTIF(I$438:I1677,I1677)&gt;1,"DOUBLON","OK")</f>
        <v>OK</v>
      </c>
      <c r="S1677" s="12" t="str">
        <v>Netherlands</v>
      </c>
      <c r="T1677" s="12" t="str">
        <f t="shared" si="130"/>
        <v>OK</v>
      </c>
      <c r="U1677" s="12" t="str">
        <f t="shared" si="131"/>
        <v>-</v>
      </c>
      <c r="V1677" s="12" t="str" cm="1">
        <f t="array" ref="V1677">_xlfn.IFS(
ISNUMBER(SEARCH("USA",S1677)),"United States",
ISNUMBER(SEARCH("Republic of Ireland",S1677)),"Ireland",
ISNUMBER(SEARCH("Republic of Korea",S1677)),"South Korea",
ISNUMBER(SEARCH("Cape Verde",S1677)),"Cabo Verde",
ISNUMBER(SEARCH("Czechia",S1677)),"Czech Republic",
ISNUMBER(SEARCH("Türkiye",S1677)),"Turkey",
ISNUMBER(SEARCH("Ivory Coast",S1677)),"Côte d'Ivoire",
ISNUMBER(SEARCH("Korea Republic",S1677)),"South Korea",
ISNUMBER(SEARCH("Germany FR",S1677)),"FR Germany",
ISNUMBER(SEARCH("West Germany",S1677)),"FR Germany",
ISNUMBER(SEARCH("Germany DR",S1677)),"DR Germany",
ISNUMBER(SEARCH("Korea DPR",S1677)),"North Korea",
ISNUMBER(SEARCH("China PR",S1677)),"China",
ISNUMBER(SEARCH("IR Iran",S1677)),"Iran",
ISNUMBER(SEARCH("Congo DR",S1677)),"Democratic Republic of the Congo",
ISNUMBER(SEARCH("DR Congo",S1677)),"Democratic Republic of the Congo",
ISNUMBER(SEARCH("German DR",S1677)),"DR Germany",
ISNUMBER(SEARCH("rn""&gt;United Arab Emirates",S1677)),"United Arab Emirates",
ISNUMBER(SEARCH("rn""&gt;Republic of Ireland",S1677)),"Ireland",
ISNUMBER(SEARCH("rn""&gt;Bosnia and Herzegovina",S1677)),"Bosnia and Herzegovina",
ISNUMBER(SEARCH("rn""&gt;Trinidad and Tobago",S1677)),"Trinidad and Tobago",
ISNUMBER(SEARCH("rn""&gt;Serbia and Montenegro",S1677)),"Serbia and Montenegro",
ISNUMBER(SEARCH(_xlfn.UNICHAR(65533),S1677)),"Côte d'Ivoire",
TRUE,""
)</f>
        <v/>
      </c>
      <c r="W1677" s="12" t="str">
        <f t="shared" si="132"/>
        <v>Netherlands</v>
      </c>
    </row>
    <row r="1678" spans="2:23">
      <c r="B1678" s="75">
        <v>1241</v>
      </c>
      <c r="C1678" s="15" t="str">
        <v>José Luis Rodríguez</v>
      </c>
      <c r="D1678" s="15">
        <v>27</v>
      </c>
      <c r="E1678" s="15" t="str">
        <v>Panama</v>
      </c>
      <c r="F1678" s="15" t="str">
        <v>CAM</v>
      </c>
      <c r="G1678" s="15" t="str">
        <v>Juárez</v>
      </c>
      <c r="H1678" s="15">
        <v>7</v>
      </c>
      <c r="I1678" s="15" t="str">
        <f t="shared" si="133"/>
        <v>1241|José Luis Rodríguez|27|Panama|CAM|Juárez|7</v>
      </c>
      <c r="J1678" s="15" t="str">
        <f>IF(COUNTIF(I$438:I1678,I1678)&gt;1,"DOUBLON","OK")</f>
        <v>OK</v>
      </c>
      <c r="S1678" s="12" t="str">
        <v>Netherlands</v>
      </c>
      <c r="T1678" s="12" t="str">
        <f t="shared" si="130"/>
        <v>OK</v>
      </c>
      <c r="U1678" s="12" t="str">
        <f t="shared" si="131"/>
        <v>-</v>
      </c>
      <c r="V1678" s="12" t="str" cm="1">
        <f t="array" ref="V1678">_xlfn.IFS(
ISNUMBER(SEARCH("USA",S1678)),"United States",
ISNUMBER(SEARCH("Republic of Ireland",S1678)),"Ireland",
ISNUMBER(SEARCH("Republic of Korea",S1678)),"South Korea",
ISNUMBER(SEARCH("Cape Verde",S1678)),"Cabo Verde",
ISNUMBER(SEARCH("Czechia",S1678)),"Czech Republic",
ISNUMBER(SEARCH("Türkiye",S1678)),"Turkey",
ISNUMBER(SEARCH("Ivory Coast",S1678)),"Côte d'Ivoire",
ISNUMBER(SEARCH("Korea Republic",S1678)),"South Korea",
ISNUMBER(SEARCH("Germany FR",S1678)),"FR Germany",
ISNUMBER(SEARCH("West Germany",S1678)),"FR Germany",
ISNUMBER(SEARCH("Germany DR",S1678)),"DR Germany",
ISNUMBER(SEARCH("Korea DPR",S1678)),"North Korea",
ISNUMBER(SEARCH("China PR",S1678)),"China",
ISNUMBER(SEARCH("IR Iran",S1678)),"Iran",
ISNUMBER(SEARCH("Congo DR",S1678)),"Democratic Republic of the Congo",
ISNUMBER(SEARCH("DR Congo",S1678)),"Democratic Republic of the Congo",
ISNUMBER(SEARCH("German DR",S1678)),"DR Germany",
ISNUMBER(SEARCH("rn""&gt;United Arab Emirates",S1678)),"United Arab Emirates",
ISNUMBER(SEARCH("rn""&gt;Republic of Ireland",S1678)),"Ireland",
ISNUMBER(SEARCH("rn""&gt;Bosnia and Herzegovina",S1678)),"Bosnia and Herzegovina",
ISNUMBER(SEARCH("rn""&gt;Trinidad and Tobago",S1678)),"Trinidad and Tobago",
ISNUMBER(SEARCH("rn""&gt;Serbia and Montenegro",S1678)),"Serbia and Montenegro",
ISNUMBER(SEARCH(_xlfn.UNICHAR(65533),S1678)),"Côte d'Ivoire",
TRUE,""
)</f>
        <v/>
      </c>
      <c r="W1678" s="12" t="str">
        <f t="shared" si="132"/>
        <v>Netherlands</v>
      </c>
    </row>
    <row r="1679" spans="2:23">
      <c r="B1679" s="75">
        <v>1242</v>
      </c>
      <c r="C1679" s="15" t="str">
        <v>Yoel Bárcenas</v>
      </c>
      <c r="D1679" s="15">
        <v>32</v>
      </c>
      <c r="E1679" s="15" t="str">
        <v>Panama</v>
      </c>
      <c r="F1679" s="15" t="str">
        <v>CAM</v>
      </c>
      <c r="G1679" s="15" t="str">
        <v>Mazatlán</v>
      </c>
      <c r="H1679" s="15">
        <v>11</v>
      </c>
      <c r="I1679" s="15" t="str">
        <f t="shared" si="133"/>
        <v>1242|Yoel Bárcenas|32|Panama|CAM|Mazatlán|11</v>
      </c>
      <c r="J1679" s="15" t="str">
        <f>IF(COUNTIF(I$438:I1679,I1679)&gt;1,"DOUBLON","OK")</f>
        <v>OK</v>
      </c>
      <c r="S1679" s="12" t="str">
        <v>Netherlands</v>
      </c>
      <c r="T1679" s="12" t="str">
        <f t="shared" si="130"/>
        <v>OK</v>
      </c>
      <c r="U1679" s="12" t="str">
        <f t="shared" si="131"/>
        <v>-</v>
      </c>
      <c r="V1679" s="12" t="str" cm="1">
        <f t="array" ref="V1679">_xlfn.IFS(
ISNUMBER(SEARCH("USA",S1679)),"United States",
ISNUMBER(SEARCH("Republic of Ireland",S1679)),"Ireland",
ISNUMBER(SEARCH("Republic of Korea",S1679)),"South Korea",
ISNUMBER(SEARCH("Cape Verde",S1679)),"Cabo Verde",
ISNUMBER(SEARCH("Czechia",S1679)),"Czech Republic",
ISNUMBER(SEARCH("Türkiye",S1679)),"Turkey",
ISNUMBER(SEARCH("Ivory Coast",S1679)),"Côte d'Ivoire",
ISNUMBER(SEARCH("Korea Republic",S1679)),"South Korea",
ISNUMBER(SEARCH("Germany FR",S1679)),"FR Germany",
ISNUMBER(SEARCH("West Germany",S1679)),"FR Germany",
ISNUMBER(SEARCH("Germany DR",S1679)),"DR Germany",
ISNUMBER(SEARCH("Korea DPR",S1679)),"North Korea",
ISNUMBER(SEARCH("China PR",S1679)),"China",
ISNUMBER(SEARCH("IR Iran",S1679)),"Iran",
ISNUMBER(SEARCH("Congo DR",S1679)),"Democratic Republic of the Congo",
ISNUMBER(SEARCH("DR Congo",S1679)),"Democratic Republic of the Congo",
ISNUMBER(SEARCH("German DR",S1679)),"DR Germany",
ISNUMBER(SEARCH("rn""&gt;United Arab Emirates",S1679)),"United Arab Emirates",
ISNUMBER(SEARCH("rn""&gt;Republic of Ireland",S1679)),"Ireland",
ISNUMBER(SEARCH("rn""&gt;Bosnia and Herzegovina",S1679)),"Bosnia and Herzegovina",
ISNUMBER(SEARCH("rn""&gt;Trinidad and Tobago",S1679)),"Trinidad and Tobago",
ISNUMBER(SEARCH("rn""&gt;Serbia and Montenegro",S1679)),"Serbia and Montenegro",
ISNUMBER(SEARCH(_xlfn.UNICHAR(65533),S1679)),"Côte d'Ivoire",
TRUE,""
)</f>
        <v/>
      </c>
      <c r="W1679" s="12" t="str">
        <f t="shared" si="132"/>
        <v>Netherlands</v>
      </c>
    </row>
    <row r="1680" spans="2:23">
      <c r="B1680" s="75">
        <v>1243</v>
      </c>
      <c r="C1680" s="15" t="str">
        <v>César Yanis</v>
      </c>
      <c r="D1680" s="15">
        <v>30</v>
      </c>
      <c r="E1680" s="15" t="str">
        <v>Panama</v>
      </c>
      <c r="F1680" s="15" t="str">
        <v>CAM</v>
      </c>
      <c r="G1680" s="15" t="str">
        <v>Cobresal</v>
      </c>
      <c r="H1680" s="15">
        <v>21</v>
      </c>
      <c r="I1680" s="15" t="str">
        <f t="shared" si="133"/>
        <v>1243|César Yanis|30|Panama|CAM|Cobresal|21</v>
      </c>
      <c r="J1680" s="15" t="str">
        <f>IF(COUNTIF(I$438:I1680,I1680)&gt;1,"DOUBLON","OK")</f>
        <v>OK</v>
      </c>
      <c r="S1680" s="12" t="str">
        <v>Netherlands</v>
      </c>
      <c r="T1680" s="12" t="str">
        <f t="shared" si="130"/>
        <v>OK</v>
      </c>
      <c r="U1680" s="12" t="str">
        <f t="shared" si="131"/>
        <v>-</v>
      </c>
      <c r="V1680" s="12" t="str" cm="1">
        <f t="array" ref="V1680">_xlfn.IFS(
ISNUMBER(SEARCH("USA",S1680)),"United States",
ISNUMBER(SEARCH("Republic of Ireland",S1680)),"Ireland",
ISNUMBER(SEARCH("Republic of Korea",S1680)),"South Korea",
ISNUMBER(SEARCH("Cape Verde",S1680)),"Cabo Verde",
ISNUMBER(SEARCH("Czechia",S1680)),"Czech Republic",
ISNUMBER(SEARCH("Türkiye",S1680)),"Turkey",
ISNUMBER(SEARCH("Ivory Coast",S1680)),"Côte d'Ivoire",
ISNUMBER(SEARCH("Korea Republic",S1680)),"South Korea",
ISNUMBER(SEARCH("Germany FR",S1680)),"FR Germany",
ISNUMBER(SEARCH("West Germany",S1680)),"FR Germany",
ISNUMBER(SEARCH("Germany DR",S1680)),"DR Germany",
ISNUMBER(SEARCH("Korea DPR",S1680)),"North Korea",
ISNUMBER(SEARCH("China PR",S1680)),"China",
ISNUMBER(SEARCH("IR Iran",S1680)),"Iran",
ISNUMBER(SEARCH("Congo DR",S1680)),"Democratic Republic of the Congo",
ISNUMBER(SEARCH("DR Congo",S1680)),"Democratic Republic of the Congo",
ISNUMBER(SEARCH("German DR",S1680)),"DR Germany",
ISNUMBER(SEARCH("rn""&gt;United Arab Emirates",S1680)),"United Arab Emirates",
ISNUMBER(SEARCH("rn""&gt;Republic of Ireland",S1680)),"Ireland",
ISNUMBER(SEARCH("rn""&gt;Bosnia and Herzegovina",S1680)),"Bosnia and Herzegovina",
ISNUMBER(SEARCH("rn""&gt;Trinidad and Tobago",S1680)),"Trinidad and Tobago",
ISNUMBER(SEARCH("rn""&gt;Serbia and Montenegro",S1680)),"Serbia and Montenegro",
ISNUMBER(SEARCH(_xlfn.UNICHAR(65533),S1680)),"Côte d'Ivoire",
TRUE,""
)</f>
        <v/>
      </c>
      <c r="W1680" s="12" t="str">
        <f t="shared" si="132"/>
        <v>Netherlands</v>
      </c>
    </row>
    <row r="1681" spans="2:23">
      <c r="B1681" s="75">
        <v>1244</v>
      </c>
      <c r="C1681" s="15" t="str">
        <v>Ismael Díaz</v>
      </c>
      <c r="D1681" s="15">
        <v>29</v>
      </c>
      <c r="E1681" s="15" t="str">
        <v>Panama</v>
      </c>
      <c r="F1681" s="15" t="str">
        <v>LW</v>
      </c>
      <c r="G1681" s="15" t="str">
        <v>León</v>
      </c>
      <c r="H1681" s="15">
        <v>10</v>
      </c>
      <c r="I1681" s="15" t="str">
        <f t="shared" si="133"/>
        <v>1244|Ismael Díaz|29|Panama|LW|León|10</v>
      </c>
      <c r="J1681" s="15" t="str">
        <f>IF(COUNTIF(I$438:I1681,I1681)&gt;1,"DOUBLON","OK")</f>
        <v>OK</v>
      </c>
      <c r="S1681" s="12" t="str">
        <v>Netherlands</v>
      </c>
      <c r="T1681" s="12" t="str">
        <f t="shared" si="130"/>
        <v>OK</v>
      </c>
      <c r="U1681" s="12" t="str">
        <f t="shared" si="131"/>
        <v>-</v>
      </c>
      <c r="V1681" s="12" t="str" cm="1">
        <f t="array" ref="V1681">_xlfn.IFS(
ISNUMBER(SEARCH("USA",S1681)),"United States",
ISNUMBER(SEARCH("Republic of Ireland",S1681)),"Ireland",
ISNUMBER(SEARCH("Republic of Korea",S1681)),"South Korea",
ISNUMBER(SEARCH("Cape Verde",S1681)),"Cabo Verde",
ISNUMBER(SEARCH("Czechia",S1681)),"Czech Republic",
ISNUMBER(SEARCH("Türkiye",S1681)),"Turkey",
ISNUMBER(SEARCH("Ivory Coast",S1681)),"Côte d'Ivoire",
ISNUMBER(SEARCH("Korea Republic",S1681)),"South Korea",
ISNUMBER(SEARCH("Germany FR",S1681)),"FR Germany",
ISNUMBER(SEARCH("West Germany",S1681)),"FR Germany",
ISNUMBER(SEARCH("Germany DR",S1681)),"DR Germany",
ISNUMBER(SEARCH("Korea DPR",S1681)),"North Korea",
ISNUMBER(SEARCH("China PR",S1681)),"China",
ISNUMBER(SEARCH("IR Iran",S1681)),"Iran",
ISNUMBER(SEARCH("Congo DR",S1681)),"Democratic Republic of the Congo",
ISNUMBER(SEARCH("DR Congo",S1681)),"Democratic Republic of the Congo",
ISNUMBER(SEARCH("German DR",S1681)),"DR Germany",
ISNUMBER(SEARCH("rn""&gt;United Arab Emirates",S1681)),"United Arab Emirates",
ISNUMBER(SEARCH("rn""&gt;Republic of Ireland",S1681)),"Ireland",
ISNUMBER(SEARCH("rn""&gt;Bosnia and Herzegovina",S1681)),"Bosnia and Herzegovina",
ISNUMBER(SEARCH("rn""&gt;Trinidad and Tobago",S1681)),"Trinidad and Tobago",
ISNUMBER(SEARCH("rn""&gt;Serbia and Montenegro",S1681)),"Serbia and Montenegro",
ISNUMBER(SEARCH(_xlfn.UNICHAR(65533),S1681)),"Côte d'Ivoire",
TRUE,""
)</f>
        <v/>
      </c>
      <c r="W1681" s="12" t="str">
        <f t="shared" si="132"/>
        <v>Netherlands</v>
      </c>
    </row>
    <row r="1682" spans="2:23">
      <c r="B1682" s="75">
        <v>1245</v>
      </c>
      <c r="C1682" s="15" t="str">
        <v>Tomás Rodríguez</v>
      </c>
      <c r="D1682" s="15">
        <v>27</v>
      </c>
      <c r="E1682" s="15" t="str">
        <v>Panama</v>
      </c>
      <c r="F1682" s="15" t="str">
        <v>ST</v>
      </c>
      <c r="G1682" s="15" t="str">
        <v>Saprissa</v>
      </c>
      <c r="H1682" s="15">
        <v>9</v>
      </c>
      <c r="I1682" s="15" t="str">
        <f t="shared" si="133"/>
        <v>1245|Tomás Rodríguez|27|Panama|ST|Saprissa|9</v>
      </c>
      <c r="J1682" s="15" t="str">
        <f>IF(COUNTIF(I$438:I1682,I1682)&gt;1,"DOUBLON","OK")</f>
        <v>OK</v>
      </c>
      <c r="S1682" s="12" t="str">
        <v>Netherlands</v>
      </c>
      <c r="T1682" s="12" t="str">
        <f t="shared" si="130"/>
        <v>OK</v>
      </c>
      <c r="U1682" s="12" t="str">
        <f t="shared" si="131"/>
        <v>-</v>
      </c>
      <c r="V1682" s="12" t="str" cm="1">
        <f t="array" ref="V1682">_xlfn.IFS(
ISNUMBER(SEARCH("USA",S1682)),"United States",
ISNUMBER(SEARCH("Republic of Ireland",S1682)),"Ireland",
ISNUMBER(SEARCH("Republic of Korea",S1682)),"South Korea",
ISNUMBER(SEARCH("Cape Verde",S1682)),"Cabo Verde",
ISNUMBER(SEARCH("Czechia",S1682)),"Czech Republic",
ISNUMBER(SEARCH("Türkiye",S1682)),"Turkey",
ISNUMBER(SEARCH("Ivory Coast",S1682)),"Côte d'Ivoire",
ISNUMBER(SEARCH("Korea Republic",S1682)),"South Korea",
ISNUMBER(SEARCH("Germany FR",S1682)),"FR Germany",
ISNUMBER(SEARCH("West Germany",S1682)),"FR Germany",
ISNUMBER(SEARCH("Germany DR",S1682)),"DR Germany",
ISNUMBER(SEARCH("Korea DPR",S1682)),"North Korea",
ISNUMBER(SEARCH("China PR",S1682)),"China",
ISNUMBER(SEARCH("IR Iran",S1682)),"Iran",
ISNUMBER(SEARCH("Congo DR",S1682)),"Democratic Republic of the Congo",
ISNUMBER(SEARCH("DR Congo",S1682)),"Democratic Republic of the Congo",
ISNUMBER(SEARCH("German DR",S1682)),"DR Germany",
ISNUMBER(SEARCH("rn""&gt;United Arab Emirates",S1682)),"United Arab Emirates",
ISNUMBER(SEARCH("rn""&gt;Republic of Ireland",S1682)),"Ireland",
ISNUMBER(SEARCH("rn""&gt;Bosnia and Herzegovina",S1682)),"Bosnia and Herzegovina",
ISNUMBER(SEARCH("rn""&gt;Trinidad and Tobago",S1682)),"Trinidad and Tobago",
ISNUMBER(SEARCH("rn""&gt;Serbia and Montenegro",S1682)),"Serbia and Montenegro",
ISNUMBER(SEARCH(_xlfn.UNICHAR(65533),S1682)),"Côte d'Ivoire",
TRUE,""
)</f>
        <v/>
      </c>
      <c r="W1682" s="12" t="str">
        <f t="shared" si="132"/>
        <v>Netherlands</v>
      </c>
    </row>
    <row r="1683" spans="2:23">
      <c r="B1683" s="75">
        <v>1246</v>
      </c>
      <c r="C1683" s="15" t="str">
        <v>José Fajardo</v>
      </c>
      <c r="D1683" s="15">
        <v>32</v>
      </c>
      <c r="E1683" s="15" t="str">
        <v>Panama</v>
      </c>
      <c r="F1683" s="15" t="str">
        <v>ST</v>
      </c>
      <c r="G1683" s="15" t="str">
        <v>Universidad Católica</v>
      </c>
      <c r="H1683" s="15">
        <v>17</v>
      </c>
      <c r="I1683" s="15" t="str">
        <f t="shared" si="133"/>
        <v>1246|José Fajardo|32|Panama|ST|Universidad Católica|17</v>
      </c>
      <c r="J1683" s="15" t="str">
        <f>IF(COUNTIF(I$438:I1683,I1683)&gt;1,"DOUBLON","OK")</f>
        <v>OK</v>
      </c>
      <c r="S1683" s="12" t="str">
        <v>Netherlands</v>
      </c>
      <c r="T1683" s="12" t="str">
        <f t="shared" si="130"/>
        <v>OK</v>
      </c>
      <c r="U1683" s="12" t="str">
        <f t="shared" si="131"/>
        <v>-</v>
      </c>
      <c r="V1683" s="12" t="str" cm="1">
        <f t="array" ref="V1683">_xlfn.IFS(
ISNUMBER(SEARCH("USA",S1683)),"United States",
ISNUMBER(SEARCH("Republic of Ireland",S1683)),"Ireland",
ISNUMBER(SEARCH("Republic of Korea",S1683)),"South Korea",
ISNUMBER(SEARCH("Cape Verde",S1683)),"Cabo Verde",
ISNUMBER(SEARCH("Czechia",S1683)),"Czech Republic",
ISNUMBER(SEARCH("Türkiye",S1683)),"Turkey",
ISNUMBER(SEARCH("Ivory Coast",S1683)),"Côte d'Ivoire",
ISNUMBER(SEARCH("Korea Republic",S1683)),"South Korea",
ISNUMBER(SEARCH("Germany FR",S1683)),"FR Germany",
ISNUMBER(SEARCH("West Germany",S1683)),"FR Germany",
ISNUMBER(SEARCH("Germany DR",S1683)),"DR Germany",
ISNUMBER(SEARCH("Korea DPR",S1683)),"North Korea",
ISNUMBER(SEARCH("China PR",S1683)),"China",
ISNUMBER(SEARCH("IR Iran",S1683)),"Iran",
ISNUMBER(SEARCH("Congo DR",S1683)),"Democratic Republic of the Congo",
ISNUMBER(SEARCH("DR Congo",S1683)),"Democratic Republic of the Congo",
ISNUMBER(SEARCH("German DR",S1683)),"DR Germany",
ISNUMBER(SEARCH("rn""&gt;United Arab Emirates",S1683)),"United Arab Emirates",
ISNUMBER(SEARCH("rn""&gt;Republic of Ireland",S1683)),"Ireland",
ISNUMBER(SEARCH("rn""&gt;Bosnia and Herzegovina",S1683)),"Bosnia and Herzegovina",
ISNUMBER(SEARCH("rn""&gt;Trinidad and Tobago",S1683)),"Trinidad and Tobago",
ISNUMBER(SEARCH("rn""&gt;Serbia and Montenegro",S1683)),"Serbia and Montenegro",
ISNUMBER(SEARCH(_xlfn.UNICHAR(65533),S1683)),"Côte d'Ivoire",
TRUE,""
)</f>
        <v/>
      </c>
      <c r="W1683" s="12" t="str">
        <f t="shared" si="132"/>
        <v>Netherlands</v>
      </c>
    </row>
    <row r="1684" spans="2:23">
      <c r="B1684" s="75">
        <v>1247</v>
      </c>
      <c r="C1684" s="15" t="str">
        <v>Cecilio Waterman</v>
      </c>
      <c r="D1684" s="15">
        <v>35</v>
      </c>
      <c r="E1684" s="15" t="str">
        <v>Panama</v>
      </c>
      <c r="F1684" s="15" t="str">
        <v>ST</v>
      </c>
      <c r="G1684" s="15" t="str">
        <v>Universidad de Concepción</v>
      </c>
      <c r="H1684" s="15">
        <v>18</v>
      </c>
      <c r="I1684" s="15" t="str">
        <f t="shared" si="133"/>
        <v>1247|Cecilio Waterman|35|Panama|ST|Universidad de Concepción|18</v>
      </c>
      <c r="J1684" s="15" t="str">
        <f>IF(COUNTIF(I$438:I1684,I1684)&gt;1,"DOUBLON","OK")</f>
        <v>OK</v>
      </c>
      <c r="S1684" s="12" t="str">
        <v>Netherlands</v>
      </c>
      <c r="T1684" s="12" t="str">
        <f t="shared" si="130"/>
        <v>OK</v>
      </c>
      <c r="U1684" s="12" t="str">
        <f t="shared" si="131"/>
        <v>-</v>
      </c>
      <c r="V1684" s="12" t="str" cm="1">
        <f t="array" ref="V1684">_xlfn.IFS(
ISNUMBER(SEARCH("USA",S1684)),"United States",
ISNUMBER(SEARCH("Republic of Ireland",S1684)),"Ireland",
ISNUMBER(SEARCH("Republic of Korea",S1684)),"South Korea",
ISNUMBER(SEARCH("Cape Verde",S1684)),"Cabo Verde",
ISNUMBER(SEARCH("Czechia",S1684)),"Czech Republic",
ISNUMBER(SEARCH("Türkiye",S1684)),"Turkey",
ISNUMBER(SEARCH("Ivory Coast",S1684)),"Côte d'Ivoire",
ISNUMBER(SEARCH("Korea Republic",S1684)),"South Korea",
ISNUMBER(SEARCH("Germany FR",S1684)),"FR Germany",
ISNUMBER(SEARCH("West Germany",S1684)),"FR Germany",
ISNUMBER(SEARCH("Germany DR",S1684)),"DR Germany",
ISNUMBER(SEARCH("Korea DPR",S1684)),"North Korea",
ISNUMBER(SEARCH("China PR",S1684)),"China",
ISNUMBER(SEARCH("IR Iran",S1684)),"Iran",
ISNUMBER(SEARCH("Congo DR",S1684)),"Democratic Republic of the Congo",
ISNUMBER(SEARCH("DR Congo",S1684)),"Democratic Republic of the Congo",
ISNUMBER(SEARCH("German DR",S1684)),"DR Germany",
ISNUMBER(SEARCH("rn""&gt;United Arab Emirates",S1684)),"United Arab Emirates",
ISNUMBER(SEARCH("rn""&gt;Republic of Ireland",S1684)),"Ireland",
ISNUMBER(SEARCH("rn""&gt;Bosnia and Herzegovina",S1684)),"Bosnia and Herzegovina",
ISNUMBER(SEARCH("rn""&gt;Trinidad and Tobago",S1684)),"Trinidad and Tobago",
ISNUMBER(SEARCH("rn""&gt;Serbia and Montenegro",S1684)),"Serbia and Montenegro",
ISNUMBER(SEARCH(_xlfn.UNICHAR(65533),S1684)),"Côte d'Ivoire",
TRUE,""
)</f>
        <v/>
      </c>
      <c r="W1684" s="12" t="str">
        <f t="shared" si="132"/>
        <v>Netherlands</v>
      </c>
    </row>
    <row r="1685" spans="2:23">
      <c r="B1685" s="75">
        <v>1248</v>
      </c>
      <c r="C1685" s="15" t="str">
        <v>Azarias Londoño</v>
      </c>
      <c r="D1685" s="15">
        <v>24</v>
      </c>
      <c r="E1685" s="15" t="str">
        <v>Panama</v>
      </c>
      <c r="F1685" s="15" t="str">
        <v>ST</v>
      </c>
      <c r="G1685" s="15" t="str">
        <v>Universidad Católica</v>
      </c>
      <c r="H1685" s="15">
        <v>24</v>
      </c>
      <c r="I1685" s="15" t="str">
        <f t="shared" si="133"/>
        <v>1248|Azarias Londoño|24|Panama|ST|Universidad Católica|24</v>
      </c>
      <c r="J1685" s="15" t="str">
        <f>IF(COUNTIF(I$438:I1685,I1685)&gt;1,"DOUBLON","OK")</f>
        <v>OK</v>
      </c>
      <c r="S1685" s="12" t="str">
        <v>Netherlands</v>
      </c>
      <c r="T1685" s="12" t="str">
        <f t="shared" si="130"/>
        <v>OK</v>
      </c>
      <c r="U1685" s="12" t="str">
        <f t="shared" si="131"/>
        <v>-</v>
      </c>
      <c r="V1685" s="12" t="str" cm="1">
        <f t="array" ref="V1685">_xlfn.IFS(
ISNUMBER(SEARCH("USA",S1685)),"United States",
ISNUMBER(SEARCH("Republic of Ireland",S1685)),"Ireland",
ISNUMBER(SEARCH("Republic of Korea",S1685)),"South Korea",
ISNUMBER(SEARCH("Cape Verde",S1685)),"Cabo Verde",
ISNUMBER(SEARCH("Czechia",S1685)),"Czech Republic",
ISNUMBER(SEARCH("Türkiye",S1685)),"Turkey",
ISNUMBER(SEARCH("Ivory Coast",S1685)),"Côte d'Ivoire",
ISNUMBER(SEARCH("Korea Republic",S1685)),"South Korea",
ISNUMBER(SEARCH("Germany FR",S1685)),"FR Germany",
ISNUMBER(SEARCH("West Germany",S1685)),"FR Germany",
ISNUMBER(SEARCH("Germany DR",S1685)),"DR Germany",
ISNUMBER(SEARCH("Korea DPR",S1685)),"North Korea",
ISNUMBER(SEARCH("China PR",S1685)),"China",
ISNUMBER(SEARCH("IR Iran",S1685)),"Iran",
ISNUMBER(SEARCH("Congo DR",S1685)),"Democratic Republic of the Congo",
ISNUMBER(SEARCH("DR Congo",S1685)),"Democratic Republic of the Congo",
ISNUMBER(SEARCH("German DR",S1685)),"DR Germany",
ISNUMBER(SEARCH("rn""&gt;United Arab Emirates",S1685)),"United Arab Emirates",
ISNUMBER(SEARCH("rn""&gt;Republic of Ireland",S1685)),"Ireland",
ISNUMBER(SEARCH("rn""&gt;Bosnia and Herzegovina",S1685)),"Bosnia and Herzegovina",
ISNUMBER(SEARCH("rn""&gt;Trinidad and Tobago",S1685)),"Trinidad and Tobago",
ISNUMBER(SEARCH("rn""&gt;Serbia and Montenegro",S1685)),"Serbia and Montenegro",
ISNUMBER(SEARCH(_xlfn.UNICHAR(65533),S1685)),"Côte d'Ivoire",
TRUE,""
)</f>
        <v/>
      </c>
      <c r="W1685" s="12" t="str">
        <f t="shared" si="132"/>
        <v>Netherlands</v>
      </c>
    </row>
    <row r="1686" spans="2:23">
      <c r="S1686" s="12" t="str">
        <v>Netherlands</v>
      </c>
      <c r="T1686" s="12" t="str">
        <f t="shared" si="130"/>
        <v>OK</v>
      </c>
      <c r="U1686" s="12" t="str">
        <f t="shared" si="131"/>
        <v>-</v>
      </c>
      <c r="V1686" s="12" t="str" cm="1">
        <f t="array" ref="V1686">_xlfn.IFS(
ISNUMBER(SEARCH("USA",S1686)),"United States",
ISNUMBER(SEARCH("Republic of Ireland",S1686)),"Ireland",
ISNUMBER(SEARCH("Republic of Korea",S1686)),"South Korea",
ISNUMBER(SEARCH("Cape Verde",S1686)),"Cabo Verde",
ISNUMBER(SEARCH("Czechia",S1686)),"Czech Republic",
ISNUMBER(SEARCH("Türkiye",S1686)),"Turkey",
ISNUMBER(SEARCH("Ivory Coast",S1686)),"Côte d'Ivoire",
ISNUMBER(SEARCH("Korea Republic",S1686)),"South Korea",
ISNUMBER(SEARCH("Germany FR",S1686)),"FR Germany",
ISNUMBER(SEARCH("West Germany",S1686)),"FR Germany",
ISNUMBER(SEARCH("Germany DR",S1686)),"DR Germany",
ISNUMBER(SEARCH("Korea DPR",S1686)),"North Korea",
ISNUMBER(SEARCH("China PR",S1686)),"China",
ISNUMBER(SEARCH("IR Iran",S1686)),"Iran",
ISNUMBER(SEARCH("Congo DR",S1686)),"Democratic Republic of the Congo",
ISNUMBER(SEARCH("DR Congo",S1686)),"Democratic Republic of the Congo",
ISNUMBER(SEARCH("German DR",S1686)),"DR Germany",
ISNUMBER(SEARCH("rn""&gt;United Arab Emirates",S1686)),"United Arab Emirates",
ISNUMBER(SEARCH("rn""&gt;Republic of Ireland",S1686)),"Ireland",
ISNUMBER(SEARCH("rn""&gt;Bosnia and Herzegovina",S1686)),"Bosnia and Herzegovina",
ISNUMBER(SEARCH("rn""&gt;Trinidad and Tobago",S1686)),"Trinidad and Tobago",
ISNUMBER(SEARCH("rn""&gt;Serbia and Montenegro",S1686)),"Serbia and Montenegro",
ISNUMBER(SEARCH(_xlfn.UNICHAR(65533),S1686)),"Côte d'Ivoire",
TRUE,""
)</f>
        <v/>
      </c>
      <c r="W1686" s="12" t="str">
        <f t="shared" si="132"/>
        <v>Netherlands</v>
      </c>
    </row>
    <row r="1687" spans="2:23" ht="21">
      <c r="B1687" s="238" t="s">
        <v>3579</v>
      </c>
      <c r="C1687" s="238"/>
      <c r="D1687" s="238"/>
      <c r="E1687" s="238"/>
      <c r="F1687" s="238"/>
      <c r="G1687" s="238"/>
      <c r="H1687" s="238"/>
      <c r="I1687" s="238"/>
      <c r="J1687" s="238"/>
      <c r="K1687" s="238"/>
      <c r="L1687" s="61"/>
      <c r="M1687" s="61"/>
      <c r="S1687" s="12" t="str">
        <v>Netherlands</v>
      </c>
      <c r="T1687" s="12" t="str">
        <f t="shared" si="130"/>
        <v>OK</v>
      </c>
      <c r="U1687" s="12" t="str">
        <f t="shared" si="131"/>
        <v>-</v>
      </c>
      <c r="V1687" s="12" t="str" cm="1">
        <f t="array" ref="V1687">_xlfn.IFS(
ISNUMBER(SEARCH("USA",S1687)),"United States",
ISNUMBER(SEARCH("Republic of Ireland",S1687)),"Ireland",
ISNUMBER(SEARCH("Republic of Korea",S1687)),"South Korea",
ISNUMBER(SEARCH("Cape Verde",S1687)),"Cabo Verde",
ISNUMBER(SEARCH("Czechia",S1687)),"Czech Republic",
ISNUMBER(SEARCH("Türkiye",S1687)),"Turkey",
ISNUMBER(SEARCH("Ivory Coast",S1687)),"Côte d'Ivoire",
ISNUMBER(SEARCH("Korea Republic",S1687)),"South Korea",
ISNUMBER(SEARCH("Germany FR",S1687)),"FR Germany",
ISNUMBER(SEARCH("West Germany",S1687)),"FR Germany",
ISNUMBER(SEARCH("Germany DR",S1687)),"DR Germany",
ISNUMBER(SEARCH("Korea DPR",S1687)),"North Korea",
ISNUMBER(SEARCH("China PR",S1687)),"China",
ISNUMBER(SEARCH("IR Iran",S1687)),"Iran",
ISNUMBER(SEARCH("Congo DR",S1687)),"Democratic Republic of the Congo",
ISNUMBER(SEARCH("DR Congo",S1687)),"Democratic Republic of the Congo",
ISNUMBER(SEARCH("German DR",S1687)),"DR Germany",
ISNUMBER(SEARCH("rn""&gt;United Arab Emirates",S1687)),"United Arab Emirates",
ISNUMBER(SEARCH("rn""&gt;Republic of Ireland",S1687)),"Ireland",
ISNUMBER(SEARCH("rn""&gt;Bosnia and Herzegovina",S1687)),"Bosnia and Herzegovina",
ISNUMBER(SEARCH("rn""&gt;Trinidad and Tobago",S1687)),"Trinidad and Tobago",
ISNUMBER(SEARCH("rn""&gt;Serbia and Montenegro",S1687)),"Serbia and Montenegro",
ISNUMBER(SEARCH(_xlfn.UNICHAR(65533),S1687)),"Côte d'Ivoire",
TRUE,""
)</f>
        <v/>
      </c>
      <c r="W1687" s="12" t="str">
        <f t="shared" si="132"/>
        <v>Netherlands</v>
      </c>
    </row>
    <row r="1688" spans="2:23">
      <c r="B1688" s="76" t="str" cm="1">
        <f t="array" ref="B1688:K2762">DATA_BRUT!AC2:AL1076</f>
        <v>Year</v>
      </c>
      <c r="C1688" s="42" t="str">
        <v>Datetime</v>
      </c>
      <c r="D1688" s="42" t="str">
        <v>Stage</v>
      </c>
      <c r="E1688" s="42" t="str">
        <v>Stadium</v>
      </c>
      <c r="F1688" s="42" t="str">
        <v>City</v>
      </c>
      <c r="G1688" s="42" t="str">
        <v>Home Team Name</v>
      </c>
      <c r="H1688" s="42" t="str">
        <v>Home Team Goals</v>
      </c>
      <c r="I1688" s="42" t="str">
        <v>Away Team Goals</v>
      </c>
      <c r="J1688" s="42" t="str">
        <v>Away Team Name</v>
      </c>
      <c r="K1688" s="42" t="str">
        <v>Win conditions</v>
      </c>
      <c r="L1688" s="42" t="s">
        <v>3793</v>
      </c>
      <c r="M1688" s="42" t="s">
        <v>3794</v>
      </c>
      <c r="S1688" s="12" t="str">
        <v>Netherlands</v>
      </c>
      <c r="T1688" s="12" t="str">
        <f t="shared" si="130"/>
        <v>OK</v>
      </c>
      <c r="U1688" s="12" t="str">
        <f t="shared" si="131"/>
        <v>-</v>
      </c>
      <c r="V1688" s="12" t="str" cm="1">
        <f t="array" ref="V1688">_xlfn.IFS(
ISNUMBER(SEARCH("USA",S1688)),"United States",
ISNUMBER(SEARCH("Republic of Ireland",S1688)),"Ireland",
ISNUMBER(SEARCH("Republic of Korea",S1688)),"South Korea",
ISNUMBER(SEARCH("Cape Verde",S1688)),"Cabo Verde",
ISNUMBER(SEARCH("Czechia",S1688)),"Czech Republic",
ISNUMBER(SEARCH("Türkiye",S1688)),"Turkey",
ISNUMBER(SEARCH("Ivory Coast",S1688)),"Côte d'Ivoire",
ISNUMBER(SEARCH("Korea Republic",S1688)),"South Korea",
ISNUMBER(SEARCH("Germany FR",S1688)),"FR Germany",
ISNUMBER(SEARCH("West Germany",S1688)),"FR Germany",
ISNUMBER(SEARCH("Germany DR",S1688)),"DR Germany",
ISNUMBER(SEARCH("Korea DPR",S1688)),"North Korea",
ISNUMBER(SEARCH("China PR",S1688)),"China",
ISNUMBER(SEARCH("IR Iran",S1688)),"Iran",
ISNUMBER(SEARCH("Congo DR",S1688)),"Democratic Republic of the Congo",
ISNUMBER(SEARCH("DR Congo",S1688)),"Democratic Republic of the Congo",
ISNUMBER(SEARCH("German DR",S1688)),"DR Germany",
ISNUMBER(SEARCH("rn""&gt;United Arab Emirates",S1688)),"United Arab Emirates",
ISNUMBER(SEARCH("rn""&gt;Republic of Ireland",S1688)),"Ireland",
ISNUMBER(SEARCH("rn""&gt;Bosnia and Herzegovina",S1688)),"Bosnia and Herzegovina",
ISNUMBER(SEARCH("rn""&gt;Trinidad and Tobago",S1688)),"Trinidad and Tobago",
ISNUMBER(SEARCH("rn""&gt;Serbia and Montenegro",S1688)),"Serbia and Montenegro",
ISNUMBER(SEARCH(_xlfn.UNICHAR(65533),S1688)),"Côte d'Ivoire",
TRUE,""
)</f>
        <v/>
      </c>
      <c r="W1688" s="12" t="str">
        <f t="shared" si="132"/>
        <v>Netherlands</v>
      </c>
    </row>
    <row r="1689" spans="2:23">
      <c r="B1689" s="76" t="str">
        <v>1930.0</v>
      </c>
      <c r="C1689" s="42" t="str">
        <v xml:space="preserve">13 Jul 1930 - 15:00 </v>
      </c>
      <c r="D1689" s="42" t="str">
        <v>Group 1</v>
      </c>
      <c r="E1689" s="42" t="str">
        <v>Pocitos</v>
      </c>
      <c r="F1689" s="42" t="str">
        <v xml:space="preserve">Montevideo </v>
      </c>
      <c r="G1689" s="42" t="str">
        <v>France</v>
      </c>
      <c r="H1689" s="42" t="str">
        <v>4.0</v>
      </c>
      <c r="I1689" s="42" t="str">
        <v>1.0</v>
      </c>
      <c r="J1689" s="42" t="str">
        <v>Mexico</v>
      </c>
      <c r="K1689" s="42" t="str">
        <v xml:space="preserve"> </v>
      </c>
      <c r="L1689" s="42" t="str">
        <f t="shared" ref="L1689:L1752" si="134">B1689&amp;"|"&amp;C1689&amp;"|"&amp;D1689&amp;"|"&amp;E1689&amp;"|"&amp;F1689&amp;"|"&amp;G1689&amp;"|"&amp;H1689&amp;"|"&amp;I1689&amp;"|"&amp;J1689&amp;"|"&amp;K1689</f>
        <v xml:space="preserve">1930.0|13 Jul 1930 - 15:00 |Group 1|Pocitos|Montevideo |France|4.0|1.0|Mexico| </v>
      </c>
      <c r="M1689" s="42" t="str">
        <f>IF(COUNTIF($L$1689:L1689,L1689)&gt;1,"DOUBLON","OK")</f>
        <v>OK</v>
      </c>
      <c r="S1689" s="12" t="str">
        <v>Netherlands</v>
      </c>
      <c r="T1689" s="12" t="str">
        <f t="shared" si="130"/>
        <v>OK</v>
      </c>
      <c r="U1689" s="12" t="str">
        <f t="shared" si="131"/>
        <v>-</v>
      </c>
      <c r="V1689" s="12" t="str" cm="1">
        <f t="array" ref="V1689">_xlfn.IFS(
ISNUMBER(SEARCH("USA",S1689)),"United States",
ISNUMBER(SEARCH("Republic of Ireland",S1689)),"Ireland",
ISNUMBER(SEARCH("Republic of Korea",S1689)),"South Korea",
ISNUMBER(SEARCH("Cape Verde",S1689)),"Cabo Verde",
ISNUMBER(SEARCH("Czechia",S1689)),"Czech Republic",
ISNUMBER(SEARCH("Türkiye",S1689)),"Turkey",
ISNUMBER(SEARCH("Ivory Coast",S1689)),"Côte d'Ivoire",
ISNUMBER(SEARCH("Korea Republic",S1689)),"South Korea",
ISNUMBER(SEARCH("Germany FR",S1689)),"FR Germany",
ISNUMBER(SEARCH("West Germany",S1689)),"FR Germany",
ISNUMBER(SEARCH("Germany DR",S1689)),"DR Germany",
ISNUMBER(SEARCH("Korea DPR",S1689)),"North Korea",
ISNUMBER(SEARCH("China PR",S1689)),"China",
ISNUMBER(SEARCH("IR Iran",S1689)),"Iran",
ISNUMBER(SEARCH("Congo DR",S1689)),"Democratic Republic of the Congo",
ISNUMBER(SEARCH("DR Congo",S1689)),"Democratic Republic of the Congo",
ISNUMBER(SEARCH("German DR",S1689)),"DR Germany",
ISNUMBER(SEARCH("rn""&gt;United Arab Emirates",S1689)),"United Arab Emirates",
ISNUMBER(SEARCH("rn""&gt;Republic of Ireland",S1689)),"Ireland",
ISNUMBER(SEARCH("rn""&gt;Bosnia and Herzegovina",S1689)),"Bosnia and Herzegovina",
ISNUMBER(SEARCH("rn""&gt;Trinidad and Tobago",S1689)),"Trinidad and Tobago",
ISNUMBER(SEARCH("rn""&gt;Serbia and Montenegro",S1689)),"Serbia and Montenegro",
ISNUMBER(SEARCH(_xlfn.UNICHAR(65533),S1689)),"Côte d'Ivoire",
TRUE,""
)</f>
        <v/>
      </c>
      <c r="W1689" s="12" t="str">
        <f t="shared" si="132"/>
        <v>Netherlands</v>
      </c>
    </row>
    <row r="1690" spans="2:23">
      <c r="B1690" s="76" t="str">
        <v>1930.0</v>
      </c>
      <c r="C1690" s="42" t="str">
        <v xml:space="preserve">13 Jul 1930 - 15:00 </v>
      </c>
      <c r="D1690" s="42" t="str">
        <v>Group 4</v>
      </c>
      <c r="E1690" s="42" t="str">
        <v>Parque Central</v>
      </c>
      <c r="F1690" s="42" t="str">
        <v xml:space="preserve">Montevideo </v>
      </c>
      <c r="G1690" s="42" t="str">
        <v>USA</v>
      </c>
      <c r="H1690" s="42" t="str">
        <v>3.0</v>
      </c>
      <c r="I1690" s="42" t="str">
        <v>0.0</v>
      </c>
      <c r="J1690" s="42" t="str">
        <v>Belgium</v>
      </c>
      <c r="K1690" s="42" t="str">
        <v xml:space="preserve"> </v>
      </c>
      <c r="L1690" s="42" t="str">
        <f t="shared" si="134"/>
        <v xml:space="preserve">1930.0|13 Jul 1930 - 15:00 |Group 4|Parque Central|Montevideo |USA|3.0|0.0|Belgium| </v>
      </c>
      <c r="M1690" s="42" t="str">
        <f>IF(COUNTIF($L$1689:L1690,L1690)&gt;1,"DOUBLON","OK")</f>
        <v>OK</v>
      </c>
      <c r="S1690" s="12" t="str">
        <v>Netherlands</v>
      </c>
      <c r="T1690" s="12" t="str">
        <f t="shared" si="130"/>
        <v>OK</v>
      </c>
      <c r="U1690" s="12" t="str">
        <f t="shared" si="131"/>
        <v>-</v>
      </c>
      <c r="V1690" s="12" t="str" cm="1">
        <f t="array" ref="V1690">_xlfn.IFS(
ISNUMBER(SEARCH("USA",S1690)),"United States",
ISNUMBER(SEARCH("Republic of Ireland",S1690)),"Ireland",
ISNUMBER(SEARCH("Republic of Korea",S1690)),"South Korea",
ISNUMBER(SEARCH("Cape Verde",S1690)),"Cabo Verde",
ISNUMBER(SEARCH("Czechia",S1690)),"Czech Republic",
ISNUMBER(SEARCH("Türkiye",S1690)),"Turkey",
ISNUMBER(SEARCH("Ivory Coast",S1690)),"Côte d'Ivoire",
ISNUMBER(SEARCH("Korea Republic",S1690)),"South Korea",
ISNUMBER(SEARCH("Germany FR",S1690)),"FR Germany",
ISNUMBER(SEARCH("West Germany",S1690)),"FR Germany",
ISNUMBER(SEARCH("Germany DR",S1690)),"DR Germany",
ISNUMBER(SEARCH("Korea DPR",S1690)),"North Korea",
ISNUMBER(SEARCH("China PR",S1690)),"China",
ISNUMBER(SEARCH("IR Iran",S1690)),"Iran",
ISNUMBER(SEARCH("Congo DR",S1690)),"Democratic Republic of the Congo",
ISNUMBER(SEARCH("DR Congo",S1690)),"Democratic Republic of the Congo",
ISNUMBER(SEARCH("German DR",S1690)),"DR Germany",
ISNUMBER(SEARCH("rn""&gt;United Arab Emirates",S1690)),"United Arab Emirates",
ISNUMBER(SEARCH("rn""&gt;Republic of Ireland",S1690)),"Ireland",
ISNUMBER(SEARCH("rn""&gt;Bosnia and Herzegovina",S1690)),"Bosnia and Herzegovina",
ISNUMBER(SEARCH("rn""&gt;Trinidad and Tobago",S1690)),"Trinidad and Tobago",
ISNUMBER(SEARCH("rn""&gt;Serbia and Montenegro",S1690)),"Serbia and Montenegro",
ISNUMBER(SEARCH(_xlfn.UNICHAR(65533),S1690)),"Côte d'Ivoire",
TRUE,""
)</f>
        <v/>
      </c>
      <c r="W1690" s="12" t="str">
        <f t="shared" si="132"/>
        <v>Netherlands</v>
      </c>
    </row>
    <row r="1691" spans="2:23">
      <c r="B1691" s="76" t="str">
        <v>1930.0</v>
      </c>
      <c r="C1691" s="42" t="str">
        <v xml:space="preserve">14 Jul 1930 - 12:45 </v>
      </c>
      <c r="D1691" s="42" t="str">
        <v>Group 2</v>
      </c>
      <c r="E1691" s="42" t="str">
        <v>Parque Central</v>
      </c>
      <c r="F1691" s="42" t="str">
        <v xml:space="preserve">Montevideo </v>
      </c>
      <c r="G1691" s="42" t="str">
        <v>Yugoslavia</v>
      </c>
      <c r="H1691" s="42" t="str">
        <v>2.0</v>
      </c>
      <c r="I1691" s="42" t="str">
        <v>1.0</v>
      </c>
      <c r="J1691" s="42" t="str">
        <v>Brazil</v>
      </c>
      <c r="K1691" s="42" t="str">
        <v xml:space="preserve"> </v>
      </c>
      <c r="L1691" s="42" t="str">
        <f t="shared" si="134"/>
        <v xml:space="preserve">1930.0|14 Jul 1930 - 12:45 |Group 2|Parque Central|Montevideo |Yugoslavia|2.0|1.0|Brazil| </v>
      </c>
      <c r="M1691" s="42" t="str">
        <f>IF(COUNTIF($L$1689:L1691,L1691)&gt;1,"DOUBLON","OK")</f>
        <v>OK</v>
      </c>
      <c r="S1691" s="12" t="str">
        <v>Netherlands</v>
      </c>
      <c r="T1691" s="12" t="str">
        <f t="shared" si="130"/>
        <v>OK</v>
      </c>
      <c r="U1691" s="12" t="str">
        <f t="shared" si="131"/>
        <v>-</v>
      </c>
      <c r="V1691" s="12" t="str" cm="1">
        <f t="array" ref="V1691">_xlfn.IFS(
ISNUMBER(SEARCH("USA",S1691)),"United States",
ISNUMBER(SEARCH("Republic of Ireland",S1691)),"Ireland",
ISNUMBER(SEARCH("Republic of Korea",S1691)),"South Korea",
ISNUMBER(SEARCH("Cape Verde",S1691)),"Cabo Verde",
ISNUMBER(SEARCH("Czechia",S1691)),"Czech Republic",
ISNUMBER(SEARCH("Türkiye",S1691)),"Turkey",
ISNUMBER(SEARCH("Ivory Coast",S1691)),"Côte d'Ivoire",
ISNUMBER(SEARCH("Korea Republic",S1691)),"South Korea",
ISNUMBER(SEARCH("Germany FR",S1691)),"FR Germany",
ISNUMBER(SEARCH("West Germany",S1691)),"FR Germany",
ISNUMBER(SEARCH("Germany DR",S1691)),"DR Germany",
ISNUMBER(SEARCH("Korea DPR",S1691)),"North Korea",
ISNUMBER(SEARCH("China PR",S1691)),"China",
ISNUMBER(SEARCH("IR Iran",S1691)),"Iran",
ISNUMBER(SEARCH("Congo DR",S1691)),"Democratic Republic of the Congo",
ISNUMBER(SEARCH("DR Congo",S1691)),"Democratic Republic of the Congo",
ISNUMBER(SEARCH("German DR",S1691)),"DR Germany",
ISNUMBER(SEARCH("rn""&gt;United Arab Emirates",S1691)),"United Arab Emirates",
ISNUMBER(SEARCH("rn""&gt;Republic of Ireland",S1691)),"Ireland",
ISNUMBER(SEARCH("rn""&gt;Bosnia and Herzegovina",S1691)),"Bosnia and Herzegovina",
ISNUMBER(SEARCH("rn""&gt;Trinidad and Tobago",S1691)),"Trinidad and Tobago",
ISNUMBER(SEARCH("rn""&gt;Serbia and Montenegro",S1691)),"Serbia and Montenegro",
ISNUMBER(SEARCH(_xlfn.UNICHAR(65533),S1691)),"Côte d'Ivoire",
TRUE,""
)</f>
        <v/>
      </c>
      <c r="W1691" s="12" t="str">
        <f t="shared" si="132"/>
        <v>Netherlands</v>
      </c>
    </row>
    <row r="1692" spans="2:23">
      <c r="B1692" s="76" t="str">
        <v>1930.0</v>
      </c>
      <c r="C1692" s="42" t="str">
        <v xml:space="preserve">14 Jul 1930 - 14:50 </v>
      </c>
      <c r="D1692" s="42" t="str">
        <v>Group 3</v>
      </c>
      <c r="E1692" s="42" t="str">
        <v>Pocitos</v>
      </c>
      <c r="F1692" s="42" t="str">
        <v xml:space="preserve">Montevideo </v>
      </c>
      <c r="G1692" s="42" t="str">
        <v>Romania</v>
      </c>
      <c r="H1692" s="42" t="str">
        <v>3.0</v>
      </c>
      <c r="I1692" s="42" t="str">
        <v>1.0</v>
      </c>
      <c r="J1692" s="42" t="str">
        <v>Peru</v>
      </c>
      <c r="K1692" s="42" t="str">
        <v xml:space="preserve"> </v>
      </c>
      <c r="L1692" s="42" t="str">
        <f t="shared" si="134"/>
        <v xml:space="preserve">1930.0|14 Jul 1930 - 14:50 |Group 3|Pocitos|Montevideo |Romania|3.0|1.0|Peru| </v>
      </c>
      <c r="M1692" s="42" t="str">
        <f>IF(COUNTIF($L$1689:L1692,L1692)&gt;1,"DOUBLON","OK")</f>
        <v>OK</v>
      </c>
      <c r="S1692" s="12" t="str">
        <v>Netherlands</v>
      </c>
      <c r="T1692" s="12" t="str">
        <f t="shared" si="130"/>
        <v>OK</v>
      </c>
      <c r="U1692" s="12" t="str">
        <f t="shared" si="131"/>
        <v>-</v>
      </c>
      <c r="V1692" s="12" t="str" cm="1">
        <f t="array" ref="V1692">_xlfn.IFS(
ISNUMBER(SEARCH("USA",S1692)),"United States",
ISNUMBER(SEARCH("Republic of Ireland",S1692)),"Ireland",
ISNUMBER(SEARCH("Republic of Korea",S1692)),"South Korea",
ISNUMBER(SEARCH("Cape Verde",S1692)),"Cabo Verde",
ISNUMBER(SEARCH("Czechia",S1692)),"Czech Republic",
ISNUMBER(SEARCH("Türkiye",S1692)),"Turkey",
ISNUMBER(SEARCH("Ivory Coast",S1692)),"Côte d'Ivoire",
ISNUMBER(SEARCH("Korea Republic",S1692)),"South Korea",
ISNUMBER(SEARCH("Germany FR",S1692)),"FR Germany",
ISNUMBER(SEARCH("West Germany",S1692)),"FR Germany",
ISNUMBER(SEARCH("Germany DR",S1692)),"DR Germany",
ISNUMBER(SEARCH("Korea DPR",S1692)),"North Korea",
ISNUMBER(SEARCH("China PR",S1692)),"China",
ISNUMBER(SEARCH("IR Iran",S1692)),"Iran",
ISNUMBER(SEARCH("Congo DR",S1692)),"Democratic Republic of the Congo",
ISNUMBER(SEARCH("DR Congo",S1692)),"Democratic Republic of the Congo",
ISNUMBER(SEARCH("German DR",S1692)),"DR Germany",
ISNUMBER(SEARCH("rn""&gt;United Arab Emirates",S1692)),"United Arab Emirates",
ISNUMBER(SEARCH("rn""&gt;Republic of Ireland",S1692)),"Ireland",
ISNUMBER(SEARCH("rn""&gt;Bosnia and Herzegovina",S1692)),"Bosnia and Herzegovina",
ISNUMBER(SEARCH("rn""&gt;Trinidad and Tobago",S1692)),"Trinidad and Tobago",
ISNUMBER(SEARCH("rn""&gt;Serbia and Montenegro",S1692)),"Serbia and Montenegro",
ISNUMBER(SEARCH(_xlfn.UNICHAR(65533),S1692)),"Côte d'Ivoire",
TRUE,""
)</f>
        <v/>
      </c>
      <c r="W1692" s="12" t="str">
        <f t="shared" si="132"/>
        <v>Netherlands</v>
      </c>
    </row>
    <row r="1693" spans="2:23">
      <c r="B1693" s="76" t="str">
        <v>1930.0</v>
      </c>
      <c r="C1693" s="42" t="str">
        <v xml:space="preserve">15 Jul 1930 - 16:00 </v>
      </c>
      <c r="D1693" s="42" t="str">
        <v>Group 1</v>
      </c>
      <c r="E1693" s="42" t="str">
        <v>Parque Central</v>
      </c>
      <c r="F1693" s="42" t="str">
        <v xml:space="preserve">Montevideo </v>
      </c>
      <c r="G1693" s="42" t="str">
        <v>Argentina</v>
      </c>
      <c r="H1693" s="42" t="str">
        <v>1.0</v>
      </c>
      <c r="I1693" s="42" t="str">
        <v>0.0</v>
      </c>
      <c r="J1693" s="42" t="str">
        <v>France</v>
      </c>
      <c r="K1693" s="42" t="str">
        <v xml:space="preserve"> </v>
      </c>
      <c r="L1693" s="42" t="str">
        <f t="shared" si="134"/>
        <v xml:space="preserve">1930.0|15 Jul 1930 - 16:00 |Group 1|Parque Central|Montevideo |Argentina|1.0|0.0|France| </v>
      </c>
      <c r="M1693" s="42" t="str">
        <f>IF(COUNTIF($L$1689:L1693,L1693)&gt;1,"DOUBLON","OK")</f>
        <v>OK</v>
      </c>
      <c r="S1693" s="12" t="str">
        <v>Tunisia</v>
      </c>
      <c r="T1693" s="12" t="str">
        <f t="shared" si="130"/>
        <v>OK</v>
      </c>
      <c r="U1693" s="12" t="str">
        <f t="shared" si="131"/>
        <v>-</v>
      </c>
      <c r="V1693" s="12" t="str" cm="1">
        <f t="array" ref="V1693">_xlfn.IFS(
ISNUMBER(SEARCH("USA",S1693)),"United States",
ISNUMBER(SEARCH("Republic of Ireland",S1693)),"Ireland",
ISNUMBER(SEARCH("Republic of Korea",S1693)),"South Korea",
ISNUMBER(SEARCH("Cape Verde",S1693)),"Cabo Verde",
ISNUMBER(SEARCH("Czechia",S1693)),"Czech Republic",
ISNUMBER(SEARCH("Türkiye",S1693)),"Turkey",
ISNUMBER(SEARCH("Ivory Coast",S1693)),"Côte d'Ivoire",
ISNUMBER(SEARCH("Korea Republic",S1693)),"South Korea",
ISNUMBER(SEARCH("Germany FR",S1693)),"FR Germany",
ISNUMBER(SEARCH("West Germany",S1693)),"FR Germany",
ISNUMBER(SEARCH("Germany DR",S1693)),"DR Germany",
ISNUMBER(SEARCH("Korea DPR",S1693)),"North Korea",
ISNUMBER(SEARCH("China PR",S1693)),"China",
ISNUMBER(SEARCH("IR Iran",S1693)),"Iran",
ISNUMBER(SEARCH("Congo DR",S1693)),"Democratic Republic of the Congo",
ISNUMBER(SEARCH("DR Congo",S1693)),"Democratic Republic of the Congo",
ISNUMBER(SEARCH("German DR",S1693)),"DR Germany",
ISNUMBER(SEARCH("rn""&gt;United Arab Emirates",S1693)),"United Arab Emirates",
ISNUMBER(SEARCH("rn""&gt;Republic of Ireland",S1693)),"Ireland",
ISNUMBER(SEARCH("rn""&gt;Bosnia and Herzegovina",S1693)),"Bosnia and Herzegovina",
ISNUMBER(SEARCH("rn""&gt;Trinidad and Tobago",S1693)),"Trinidad and Tobago",
ISNUMBER(SEARCH("rn""&gt;Serbia and Montenegro",S1693)),"Serbia and Montenegro",
ISNUMBER(SEARCH(_xlfn.UNICHAR(65533),S1693)),"Côte d'Ivoire",
TRUE,""
)</f>
        <v/>
      </c>
      <c r="W1693" s="12" t="str">
        <f t="shared" si="132"/>
        <v>Tunisia</v>
      </c>
    </row>
    <row r="1694" spans="2:23">
      <c r="B1694" s="76" t="str">
        <v>1930.0</v>
      </c>
      <c r="C1694" s="42" t="str">
        <v xml:space="preserve">16 Jul 1930 - 14:45 </v>
      </c>
      <c r="D1694" s="42" t="str">
        <v>Group 1</v>
      </c>
      <c r="E1694" s="42" t="str">
        <v>Parque Central</v>
      </c>
      <c r="F1694" s="42" t="str">
        <v xml:space="preserve">Montevideo </v>
      </c>
      <c r="G1694" s="42" t="str">
        <v>Chile</v>
      </c>
      <c r="H1694" s="42" t="str">
        <v>3.0</v>
      </c>
      <c r="I1694" s="42" t="str">
        <v>0.0</v>
      </c>
      <c r="J1694" s="42" t="str">
        <v>Mexico</v>
      </c>
      <c r="K1694" s="42" t="str">
        <v xml:space="preserve"> </v>
      </c>
      <c r="L1694" s="42" t="str">
        <f t="shared" si="134"/>
        <v xml:space="preserve">1930.0|16 Jul 1930 - 14:45 |Group 1|Parque Central|Montevideo |Chile|3.0|0.0|Mexico| </v>
      </c>
      <c r="M1694" s="42" t="str">
        <f>IF(COUNTIF($L$1689:L1694,L1694)&gt;1,"DOUBLON","OK")</f>
        <v>OK</v>
      </c>
      <c r="S1694" s="12" t="str">
        <v>Tunisia</v>
      </c>
      <c r="T1694" s="12" t="str">
        <f t="shared" si="130"/>
        <v>OK</v>
      </c>
      <c r="U1694" s="12" t="str">
        <f t="shared" si="131"/>
        <v>-</v>
      </c>
      <c r="V1694" s="12" t="str" cm="1">
        <f t="array" ref="V1694">_xlfn.IFS(
ISNUMBER(SEARCH("USA",S1694)),"United States",
ISNUMBER(SEARCH("Republic of Ireland",S1694)),"Ireland",
ISNUMBER(SEARCH("Republic of Korea",S1694)),"South Korea",
ISNUMBER(SEARCH("Cape Verde",S1694)),"Cabo Verde",
ISNUMBER(SEARCH("Czechia",S1694)),"Czech Republic",
ISNUMBER(SEARCH("Türkiye",S1694)),"Turkey",
ISNUMBER(SEARCH("Ivory Coast",S1694)),"Côte d'Ivoire",
ISNUMBER(SEARCH("Korea Republic",S1694)),"South Korea",
ISNUMBER(SEARCH("Germany FR",S1694)),"FR Germany",
ISNUMBER(SEARCH("West Germany",S1694)),"FR Germany",
ISNUMBER(SEARCH("Germany DR",S1694)),"DR Germany",
ISNUMBER(SEARCH("Korea DPR",S1694)),"North Korea",
ISNUMBER(SEARCH("China PR",S1694)),"China",
ISNUMBER(SEARCH("IR Iran",S1694)),"Iran",
ISNUMBER(SEARCH("Congo DR",S1694)),"Democratic Republic of the Congo",
ISNUMBER(SEARCH("DR Congo",S1694)),"Democratic Republic of the Congo",
ISNUMBER(SEARCH("German DR",S1694)),"DR Germany",
ISNUMBER(SEARCH("rn""&gt;United Arab Emirates",S1694)),"United Arab Emirates",
ISNUMBER(SEARCH("rn""&gt;Republic of Ireland",S1694)),"Ireland",
ISNUMBER(SEARCH("rn""&gt;Bosnia and Herzegovina",S1694)),"Bosnia and Herzegovina",
ISNUMBER(SEARCH("rn""&gt;Trinidad and Tobago",S1694)),"Trinidad and Tobago",
ISNUMBER(SEARCH("rn""&gt;Serbia and Montenegro",S1694)),"Serbia and Montenegro",
ISNUMBER(SEARCH(_xlfn.UNICHAR(65533),S1694)),"Côte d'Ivoire",
TRUE,""
)</f>
        <v/>
      </c>
      <c r="W1694" s="12" t="str">
        <f t="shared" si="132"/>
        <v>Tunisia</v>
      </c>
    </row>
    <row r="1695" spans="2:23">
      <c r="B1695" s="76" t="str">
        <v>1930.0</v>
      </c>
      <c r="C1695" s="42" t="str">
        <v xml:space="preserve">17 Jul 1930 - 12:45 </v>
      </c>
      <c r="D1695" s="42" t="str">
        <v>Group 2</v>
      </c>
      <c r="E1695" s="42" t="str">
        <v>Parque Central</v>
      </c>
      <c r="F1695" s="42" t="str">
        <v xml:space="preserve">Montevideo </v>
      </c>
      <c r="G1695" s="42" t="str">
        <v>Yugoslavia</v>
      </c>
      <c r="H1695" s="42" t="str">
        <v>4.0</v>
      </c>
      <c r="I1695" s="42" t="str">
        <v>0.0</v>
      </c>
      <c r="J1695" s="42" t="str">
        <v>Bolivia</v>
      </c>
      <c r="K1695" s="42" t="str">
        <v xml:space="preserve"> </v>
      </c>
      <c r="L1695" s="42" t="str">
        <f t="shared" si="134"/>
        <v xml:space="preserve">1930.0|17 Jul 1930 - 12:45 |Group 2|Parque Central|Montevideo |Yugoslavia|4.0|0.0|Bolivia| </v>
      </c>
      <c r="M1695" s="42" t="str">
        <f>IF(COUNTIF($L$1689:L1695,L1695)&gt;1,"DOUBLON","OK")</f>
        <v>OK</v>
      </c>
      <c r="S1695" s="12" t="str">
        <v>Tunisia</v>
      </c>
      <c r="T1695" s="12" t="str">
        <f t="shared" si="130"/>
        <v>OK</v>
      </c>
      <c r="U1695" s="12" t="str">
        <f t="shared" si="131"/>
        <v>-</v>
      </c>
      <c r="V1695" s="12" t="str" cm="1">
        <f t="array" ref="V1695">_xlfn.IFS(
ISNUMBER(SEARCH("USA",S1695)),"United States",
ISNUMBER(SEARCH("Republic of Ireland",S1695)),"Ireland",
ISNUMBER(SEARCH("Republic of Korea",S1695)),"South Korea",
ISNUMBER(SEARCH("Cape Verde",S1695)),"Cabo Verde",
ISNUMBER(SEARCH("Czechia",S1695)),"Czech Republic",
ISNUMBER(SEARCH("Türkiye",S1695)),"Turkey",
ISNUMBER(SEARCH("Ivory Coast",S1695)),"Côte d'Ivoire",
ISNUMBER(SEARCH("Korea Republic",S1695)),"South Korea",
ISNUMBER(SEARCH("Germany FR",S1695)),"FR Germany",
ISNUMBER(SEARCH("West Germany",S1695)),"FR Germany",
ISNUMBER(SEARCH("Germany DR",S1695)),"DR Germany",
ISNUMBER(SEARCH("Korea DPR",S1695)),"North Korea",
ISNUMBER(SEARCH("China PR",S1695)),"China",
ISNUMBER(SEARCH("IR Iran",S1695)),"Iran",
ISNUMBER(SEARCH("Congo DR",S1695)),"Democratic Republic of the Congo",
ISNUMBER(SEARCH("DR Congo",S1695)),"Democratic Republic of the Congo",
ISNUMBER(SEARCH("German DR",S1695)),"DR Germany",
ISNUMBER(SEARCH("rn""&gt;United Arab Emirates",S1695)),"United Arab Emirates",
ISNUMBER(SEARCH("rn""&gt;Republic of Ireland",S1695)),"Ireland",
ISNUMBER(SEARCH("rn""&gt;Bosnia and Herzegovina",S1695)),"Bosnia and Herzegovina",
ISNUMBER(SEARCH("rn""&gt;Trinidad and Tobago",S1695)),"Trinidad and Tobago",
ISNUMBER(SEARCH("rn""&gt;Serbia and Montenegro",S1695)),"Serbia and Montenegro",
ISNUMBER(SEARCH(_xlfn.UNICHAR(65533),S1695)),"Côte d'Ivoire",
TRUE,""
)</f>
        <v/>
      </c>
      <c r="W1695" s="12" t="str">
        <f t="shared" si="132"/>
        <v>Tunisia</v>
      </c>
    </row>
    <row r="1696" spans="2:23">
      <c r="B1696" s="76" t="str">
        <v>1930.0</v>
      </c>
      <c r="C1696" s="42" t="str">
        <v xml:space="preserve">17 Jul 1930 - 14:45 </v>
      </c>
      <c r="D1696" s="42" t="str">
        <v>Group 4</v>
      </c>
      <c r="E1696" s="42" t="str">
        <v>Parque Central</v>
      </c>
      <c r="F1696" s="42" t="str">
        <v xml:space="preserve">Montevideo </v>
      </c>
      <c r="G1696" s="42" t="str">
        <v>USA</v>
      </c>
      <c r="H1696" s="42" t="str">
        <v>3.0</v>
      </c>
      <c r="I1696" s="42" t="str">
        <v>0.0</v>
      </c>
      <c r="J1696" s="42" t="str">
        <v>Paraguay</v>
      </c>
      <c r="K1696" s="42" t="str">
        <v xml:space="preserve"> </v>
      </c>
      <c r="L1696" s="42" t="str">
        <f t="shared" si="134"/>
        <v xml:space="preserve">1930.0|17 Jul 1930 - 14:45 |Group 4|Parque Central|Montevideo |USA|3.0|0.0|Paraguay| </v>
      </c>
      <c r="M1696" s="42" t="str">
        <f>IF(COUNTIF($L$1689:L1696,L1696)&gt;1,"DOUBLON","OK")</f>
        <v>OK</v>
      </c>
      <c r="S1696" s="12" t="str">
        <v>Tunisia</v>
      </c>
      <c r="T1696" s="12" t="str">
        <f t="shared" si="130"/>
        <v>OK</v>
      </c>
      <c r="U1696" s="12" t="str">
        <f t="shared" si="131"/>
        <v>-</v>
      </c>
      <c r="V1696" s="12" t="str" cm="1">
        <f t="array" ref="V1696">_xlfn.IFS(
ISNUMBER(SEARCH("USA",S1696)),"United States",
ISNUMBER(SEARCH("Republic of Ireland",S1696)),"Ireland",
ISNUMBER(SEARCH("Republic of Korea",S1696)),"South Korea",
ISNUMBER(SEARCH("Cape Verde",S1696)),"Cabo Verde",
ISNUMBER(SEARCH("Czechia",S1696)),"Czech Republic",
ISNUMBER(SEARCH("Türkiye",S1696)),"Turkey",
ISNUMBER(SEARCH("Ivory Coast",S1696)),"Côte d'Ivoire",
ISNUMBER(SEARCH("Korea Republic",S1696)),"South Korea",
ISNUMBER(SEARCH("Germany FR",S1696)),"FR Germany",
ISNUMBER(SEARCH("West Germany",S1696)),"FR Germany",
ISNUMBER(SEARCH("Germany DR",S1696)),"DR Germany",
ISNUMBER(SEARCH("Korea DPR",S1696)),"North Korea",
ISNUMBER(SEARCH("China PR",S1696)),"China",
ISNUMBER(SEARCH("IR Iran",S1696)),"Iran",
ISNUMBER(SEARCH("Congo DR",S1696)),"Democratic Republic of the Congo",
ISNUMBER(SEARCH("DR Congo",S1696)),"Democratic Republic of the Congo",
ISNUMBER(SEARCH("German DR",S1696)),"DR Germany",
ISNUMBER(SEARCH("rn""&gt;United Arab Emirates",S1696)),"United Arab Emirates",
ISNUMBER(SEARCH("rn""&gt;Republic of Ireland",S1696)),"Ireland",
ISNUMBER(SEARCH("rn""&gt;Bosnia and Herzegovina",S1696)),"Bosnia and Herzegovina",
ISNUMBER(SEARCH("rn""&gt;Trinidad and Tobago",S1696)),"Trinidad and Tobago",
ISNUMBER(SEARCH("rn""&gt;Serbia and Montenegro",S1696)),"Serbia and Montenegro",
ISNUMBER(SEARCH(_xlfn.UNICHAR(65533),S1696)),"Côte d'Ivoire",
TRUE,""
)</f>
        <v/>
      </c>
      <c r="W1696" s="12" t="str">
        <f t="shared" si="132"/>
        <v>Tunisia</v>
      </c>
    </row>
    <row r="1697" spans="2:23">
      <c r="B1697" s="76" t="str">
        <v>1930.0</v>
      </c>
      <c r="C1697" s="42" t="str">
        <v xml:space="preserve">18 Jul 1930 - 14:30 </v>
      </c>
      <c r="D1697" s="42" t="str">
        <v>Group 3</v>
      </c>
      <c r="E1697" s="42" t="str">
        <v>Estadio Centenario</v>
      </c>
      <c r="F1697" s="42" t="str">
        <v xml:space="preserve">Montevideo </v>
      </c>
      <c r="G1697" s="42" t="str">
        <v>Uruguay</v>
      </c>
      <c r="H1697" s="42" t="str">
        <v>1.0</v>
      </c>
      <c r="I1697" s="42" t="str">
        <v>0.0</v>
      </c>
      <c r="J1697" s="42" t="str">
        <v>Peru</v>
      </c>
      <c r="K1697" s="42" t="str">
        <v xml:space="preserve"> </v>
      </c>
      <c r="L1697" s="42" t="str">
        <f t="shared" si="134"/>
        <v xml:space="preserve">1930.0|18 Jul 1930 - 14:30 |Group 3|Estadio Centenario|Montevideo |Uruguay|1.0|0.0|Peru| </v>
      </c>
      <c r="M1697" s="42" t="str">
        <f>IF(COUNTIF($L$1689:L1697,L1697)&gt;1,"DOUBLON","OK")</f>
        <v>OK</v>
      </c>
      <c r="S1697" s="12" t="str">
        <v>Tunisia</v>
      </c>
      <c r="T1697" s="12" t="str">
        <f t="shared" ref="T1697:T1760" si="135">IF(COUNTIF(R$13:R$250,S1697)=1,"OK","ERREUR")</f>
        <v>OK</v>
      </c>
      <c r="U1697" s="12" t="str">
        <f t="shared" si="131"/>
        <v>-</v>
      </c>
      <c r="V1697" s="12" t="str" cm="1">
        <f t="array" ref="V1697">_xlfn.IFS(
ISNUMBER(SEARCH("USA",S1697)),"United States",
ISNUMBER(SEARCH("Republic of Ireland",S1697)),"Ireland",
ISNUMBER(SEARCH("Republic of Korea",S1697)),"South Korea",
ISNUMBER(SEARCH("Cape Verde",S1697)),"Cabo Verde",
ISNUMBER(SEARCH("Czechia",S1697)),"Czech Republic",
ISNUMBER(SEARCH("Türkiye",S1697)),"Turkey",
ISNUMBER(SEARCH("Ivory Coast",S1697)),"Côte d'Ivoire",
ISNUMBER(SEARCH("Korea Republic",S1697)),"South Korea",
ISNUMBER(SEARCH("Germany FR",S1697)),"FR Germany",
ISNUMBER(SEARCH("West Germany",S1697)),"FR Germany",
ISNUMBER(SEARCH("Germany DR",S1697)),"DR Germany",
ISNUMBER(SEARCH("Korea DPR",S1697)),"North Korea",
ISNUMBER(SEARCH("China PR",S1697)),"China",
ISNUMBER(SEARCH("IR Iran",S1697)),"Iran",
ISNUMBER(SEARCH("Congo DR",S1697)),"Democratic Republic of the Congo",
ISNUMBER(SEARCH("DR Congo",S1697)),"Democratic Republic of the Congo",
ISNUMBER(SEARCH("German DR",S1697)),"DR Germany",
ISNUMBER(SEARCH("rn""&gt;United Arab Emirates",S1697)),"United Arab Emirates",
ISNUMBER(SEARCH("rn""&gt;Republic of Ireland",S1697)),"Ireland",
ISNUMBER(SEARCH("rn""&gt;Bosnia and Herzegovina",S1697)),"Bosnia and Herzegovina",
ISNUMBER(SEARCH("rn""&gt;Trinidad and Tobago",S1697)),"Trinidad and Tobago",
ISNUMBER(SEARCH("rn""&gt;Serbia and Montenegro",S1697)),"Serbia and Montenegro",
ISNUMBER(SEARCH(_xlfn.UNICHAR(65533),S1697)),"Côte d'Ivoire",
TRUE,""
)</f>
        <v/>
      </c>
      <c r="W1697" s="12" t="str">
        <f t="shared" si="132"/>
        <v>Tunisia</v>
      </c>
    </row>
    <row r="1698" spans="2:23">
      <c r="B1698" s="76" t="str">
        <v>1930.0</v>
      </c>
      <c r="C1698" s="42" t="str">
        <v xml:space="preserve">19 Jul 1930 - 12:50 </v>
      </c>
      <c r="D1698" s="42" t="str">
        <v>Group 1</v>
      </c>
      <c r="E1698" s="42" t="str">
        <v>Estadio Centenario</v>
      </c>
      <c r="F1698" s="42" t="str">
        <v xml:space="preserve">Montevideo </v>
      </c>
      <c r="G1698" s="42" t="str">
        <v>Chile</v>
      </c>
      <c r="H1698" s="42" t="str">
        <v>1.0</v>
      </c>
      <c r="I1698" s="42" t="str">
        <v>0.0</v>
      </c>
      <c r="J1698" s="42" t="str">
        <v>France</v>
      </c>
      <c r="K1698" s="42" t="str">
        <v xml:space="preserve"> </v>
      </c>
      <c r="L1698" s="42" t="str">
        <f t="shared" si="134"/>
        <v xml:space="preserve">1930.0|19 Jul 1930 - 12:50 |Group 1|Estadio Centenario|Montevideo |Chile|1.0|0.0|France| </v>
      </c>
      <c r="M1698" s="42" t="str">
        <f>IF(COUNTIF($L$1689:L1698,L1698)&gt;1,"DOUBLON","OK")</f>
        <v>OK</v>
      </c>
      <c r="S1698" s="12" t="str">
        <v>Tunisia</v>
      </c>
      <c r="T1698" s="12" t="str">
        <f t="shared" si="135"/>
        <v>OK</v>
      </c>
      <c r="U1698" s="12" t="str">
        <f t="shared" ref="U1698:U1761" si="136">IF(OR(S1698="Scotland",S1698="England",S1698="Wales",S1698="Yugoslavia",S1698="Czechoslovakia",S1698="Northern Ireland",S1698="Soviet Union",S1698="Zaire",S1698="Dutch East Indies"),"AUCUNE",IF(OR(S1698="Cape Verde",S1698="USA",S1698="DR Congo",S1698="Republic of Korea",S1698="Germany FR",S1698="Germany DR",S1698="Czechia",S1698="Ivory Coast",S1698="Korea DPR",S1698="China PR",S1698="IR Iran",S1698="Türkiye",S1698="Congo DR",S1698="German DR",S1698="West Germany",S1698="Republic of Ireland",ISNUMBER(SEARCH("rn""&gt;United Arab Emirates",S1698)),ISNUMBER(SEARCH("rn""&gt;Republic of Ireland",S1698)),ISNUMBER(SEARCH("rn""&gt;Bosnia and Herzegovina",S1698)),ISNUMBER(SEARCH("rn""&gt;Trinidad and Tobago",S1698)),ISNUMBER(SEARCH("rn""&gt;Serbia and Montenegro",S1698)),ISNUMBER(SEARCH(_xlfn.UNICHAR(65533),S1698))),"RENOMMER","-"))</f>
        <v>-</v>
      </c>
      <c r="V1698" s="12" t="str" cm="1">
        <f t="array" ref="V1698">_xlfn.IFS(
ISNUMBER(SEARCH("USA",S1698)),"United States",
ISNUMBER(SEARCH("Republic of Ireland",S1698)),"Ireland",
ISNUMBER(SEARCH("Republic of Korea",S1698)),"South Korea",
ISNUMBER(SEARCH("Cape Verde",S1698)),"Cabo Verde",
ISNUMBER(SEARCH("Czechia",S1698)),"Czech Republic",
ISNUMBER(SEARCH("Türkiye",S1698)),"Turkey",
ISNUMBER(SEARCH("Ivory Coast",S1698)),"Côte d'Ivoire",
ISNUMBER(SEARCH("Korea Republic",S1698)),"South Korea",
ISNUMBER(SEARCH("Germany FR",S1698)),"FR Germany",
ISNUMBER(SEARCH("West Germany",S1698)),"FR Germany",
ISNUMBER(SEARCH("Germany DR",S1698)),"DR Germany",
ISNUMBER(SEARCH("Korea DPR",S1698)),"North Korea",
ISNUMBER(SEARCH("China PR",S1698)),"China",
ISNUMBER(SEARCH("IR Iran",S1698)),"Iran",
ISNUMBER(SEARCH("Congo DR",S1698)),"Democratic Republic of the Congo",
ISNUMBER(SEARCH("DR Congo",S1698)),"Democratic Republic of the Congo",
ISNUMBER(SEARCH("German DR",S1698)),"DR Germany",
ISNUMBER(SEARCH("rn""&gt;United Arab Emirates",S1698)),"United Arab Emirates",
ISNUMBER(SEARCH("rn""&gt;Republic of Ireland",S1698)),"Ireland",
ISNUMBER(SEARCH("rn""&gt;Bosnia and Herzegovina",S1698)),"Bosnia and Herzegovina",
ISNUMBER(SEARCH("rn""&gt;Trinidad and Tobago",S1698)),"Trinidad and Tobago",
ISNUMBER(SEARCH("rn""&gt;Serbia and Montenegro",S1698)),"Serbia and Montenegro",
ISNUMBER(SEARCH(_xlfn.UNICHAR(65533),S1698)),"Côte d'Ivoire",
TRUE,""
)</f>
        <v/>
      </c>
      <c r="W1698" s="12" t="str">
        <f t="shared" ref="W1698:W1761" si="137">IF(V1698="",S1698,V1698)</f>
        <v>Tunisia</v>
      </c>
    </row>
    <row r="1699" spans="2:23">
      <c r="B1699" s="76" t="str">
        <v>1930.0</v>
      </c>
      <c r="C1699" s="42" t="str">
        <v xml:space="preserve">19 Jul 1930 - 15:00 </v>
      </c>
      <c r="D1699" s="42" t="str">
        <v>Group 1</v>
      </c>
      <c r="E1699" s="42" t="str">
        <v>Estadio Centenario</v>
      </c>
      <c r="F1699" s="42" t="str">
        <v xml:space="preserve">Montevideo </v>
      </c>
      <c r="G1699" s="42" t="str">
        <v>Argentina</v>
      </c>
      <c r="H1699" s="42" t="str">
        <v>6.0</v>
      </c>
      <c r="I1699" s="42" t="str">
        <v>3.0</v>
      </c>
      <c r="J1699" s="42" t="str">
        <v>Mexico</v>
      </c>
      <c r="K1699" s="42" t="str">
        <v xml:space="preserve"> </v>
      </c>
      <c r="L1699" s="42" t="str">
        <f t="shared" si="134"/>
        <v xml:space="preserve">1930.0|19 Jul 1930 - 15:00 |Group 1|Estadio Centenario|Montevideo |Argentina|6.0|3.0|Mexico| </v>
      </c>
      <c r="M1699" s="42" t="str">
        <f>IF(COUNTIF($L$1689:L1699,L1699)&gt;1,"DOUBLON","OK")</f>
        <v>OK</v>
      </c>
      <c r="S1699" s="12" t="str">
        <v>Tunisia</v>
      </c>
      <c r="T1699" s="12" t="str">
        <f t="shared" si="135"/>
        <v>OK</v>
      </c>
      <c r="U1699" s="12" t="str">
        <f t="shared" si="136"/>
        <v>-</v>
      </c>
      <c r="V1699" s="12" t="str" cm="1">
        <f t="array" ref="V1699">_xlfn.IFS(
ISNUMBER(SEARCH("USA",S1699)),"United States",
ISNUMBER(SEARCH("Republic of Ireland",S1699)),"Ireland",
ISNUMBER(SEARCH("Republic of Korea",S1699)),"South Korea",
ISNUMBER(SEARCH("Cape Verde",S1699)),"Cabo Verde",
ISNUMBER(SEARCH("Czechia",S1699)),"Czech Republic",
ISNUMBER(SEARCH("Türkiye",S1699)),"Turkey",
ISNUMBER(SEARCH("Ivory Coast",S1699)),"Côte d'Ivoire",
ISNUMBER(SEARCH("Korea Republic",S1699)),"South Korea",
ISNUMBER(SEARCH("Germany FR",S1699)),"FR Germany",
ISNUMBER(SEARCH("West Germany",S1699)),"FR Germany",
ISNUMBER(SEARCH("Germany DR",S1699)),"DR Germany",
ISNUMBER(SEARCH("Korea DPR",S1699)),"North Korea",
ISNUMBER(SEARCH("China PR",S1699)),"China",
ISNUMBER(SEARCH("IR Iran",S1699)),"Iran",
ISNUMBER(SEARCH("Congo DR",S1699)),"Democratic Republic of the Congo",
ISNUMBER(SEARCH("DR Congo",S1699)),"Democratic Republic of the Congo",
ISNUMBER(SEARCH("German DR",S1699)),"DR Germany",
ISNUMBER(SEARCH("rn""&gt;United Arab Emirates",S1699)),"United Arab Emirates",
ISNUMBER(SEARCH("rn""&gt;Republic of Ireland",S1699)),"Ireland",
ISNUMBER(SEARCH("rn""&gt;Bosnia and Herzegovina",S1699)),"Bosnia and Herzegovina",
ISNUMBER(SEARCH("rn""&gt;Trinidad and Tobago",S1699)),"Trinidad and Tobago",
ISNUMBER(SEARCH("rn""&gt;Serbia and Montenegro",S1699)),"Serbia and Montenegro",
ISNUMBER(SEARCH(_xlfn.UNICHAR(65533),S1699)),"Côte d'Ivoire",
TRUE,""
)</f>
        <v/>
      </c>
      <c r="W1699" s="12" t="str">
        <f t="shared" si="137"/>
        <v>Tunisia</v>
      </c>
    </row>
    <row r="1700" spans="2:23">
      <c r="B1700" s="76" t="str">
        <v>1930.0</v>
      </c>
      <c r="C1700" s="42" t="str">
        <v xml:space="preserve">20 Jul 1930 - 13:00 </v>
      </c>
      <c r="D1700" s="42" t="str">
        <v>Group 2</v>
      </c>
      <c r="E1700" s="42" t="str">
        <v>Estadio Centenario</v>
      </c>
      <c r="F1700" s="42" t="str">
        <v xml:space="preserve">Montevideo </v>
      </c>
      <c r="G1700" s="42" t="str">
        <v>Brazil</v>
      </c>
      <c r="H1700" s="42" t="str">
        <v>4.0</v>
      </c>
      <c r="I1700" s="42" t="str">
        <v>0.0</v>
      </c>
      <c r="J1700" s="42" t="str">
        <v>Bolivia</v>
      </c>
      <c r="K1700" s="42" t="str">
        <v xml:space="preserve"> </v>
      </c>
      <c r="L1700" s="42" t="str">
        <f t="shared" si="134"/>
        <v xml:space="preserve">1930.0|20 Jul 1930 - 13:00 |Group 2|Estadio Centenario|Montevideo |Brazil|4.0|0.0|Bolivia| </v>
      </c>
      <c r="M1700" s="42" t="str">
        <f>IF(COUNTIF($L$1689:L1700,L1700)&gt;1,"DOUBLON","OK")</f>
        <v>OK</v>
      </c>
      <c r="S1700" s="12" t="str">
        <v>Tunisia</v>
      </c>
      <c r="T1700" s="12" t="str">
        <f t="shared" si="135"/>
        <v>OK</v>
      </c>
      <c r="U1700" s="12" t="str">
        <f t="shared" si="136"/>
        <v>-</v>
      </c>
      <c r="V1700" s="12" t="str" cm="1">
        <f t="array" ref="V1700">_xlfn.IFS(
ISNUMBER(SEARCH("USA",S1700)),"United States",
ISNUMBER(SEARCH("Republic of Ireland",S1700)),"Ireland",
ISNUMBER(SEARCH("Republic of Korea",S1700)),"South Korea",
ISNUMBER(SEARCH("Cape Verde",S1700)),"Cabo Verde",
ISNUMBER(SEARCH("Czechia",S1700)),"Czech Republic",
ISNUMBER(SEARCH("Türkiye",S1700)),"Turkey",
ISNUMBER(SEARCH("Ivory Coast",S1700)),"Côte d'Ivoire",
ISNUMBER(SEARCH("Korea Republic",S1700)),"South Korea",
ISNUMBER(SEARCH("Germany FR",S1700)),"FR Germany",
ISNUMBER(SEARCH("West Germany",S1700)),"FR Germany",
ISNUMBER(SEARCH("Germany DR",S1700)),"DR Germany",
ISNUMBER(SEARCH("Korea DPR",S1700)),"North Korea",
ISNUMBER(SEARCH("China PR",S1700)),"China",
ISNUMBER(SEARCH("IR Iran",S1700)),"Iran",
ISNUMBER(SEARCH("Congo DR",S1700)),"Democratic Republic of the Congo",
ISNUMBER(SEARCH("DR Congo",S1700)),"Democratic Republic of the Congo",
ISNUMBER(SEARCH("German DR",S1700)),"DR Germany",
ISNUMBER(SEARCH("rn""&gt;United Arab Emirates",S1700)),"United Arab Emirates",
ISNUMBER(SEARCH("rn""&gt;Republic of Ireland",S1700)),"Ireland",
ISNUMBER(SEARCH("rn""&gt;Bosnia and Herzegovina",S1700)),"Bosnia and Herzegovina",
ISNUMBER(SEARCH("rn""&gt;Trinidad and Tobago",S1700)),"Trinidad and Tobago",
ISNUMBER(SEARCH("rn""&gt;Serbia and Montenegro",S1700)),"Serbia and Montenegro",
ISNUMBER(SEARCH(_xlfn.UNICHAR(65533),S1700)),"Côte d'Ivoire",
TRUE,""
)</f>
        <v/>
      </c>
      <c r="W1700" s="12" t="str">
        <f t="shared" si="137"/>
        <v>Tunisia</v>
      </c>
    </row>
    <row r="1701" spans="2:23">
      <c r="B1701" s="76" t="str">
        <v>1930.0</v>
      </c>
      <c r="C1701" s="42" t="str">
        <v xml:space="preserve">20 Jul 1930 - 15:00 </v>
      </c>
      <c r="D1701" s="42" t="str">
        <v>Group 4</v>
      </c>
      <c r="E1701" s="42" t="str">
        <v>Estadio Centenario</v>
      </c>
      <c r="F1701" s="42" t="str">
        <v xml:space="preserve">Montevideo </v>
      </c>
      <c r="G1701" s="42" t="str">
        <v>Paraguay</v>
      </c>
      <c r="H1701" s="42" t="str">
        <v>1.0</v>
      </c>
      <c r="I1701" s="42" t="str">
        <v>0.0</v>
      </c>
      <c r="J1701" s="42" t="str">
        <v>Belgium</v>
      </c>
      <c r="K1701" s="42" t="str">
        <v xml:space="preserve"> </v>
      </c>
      <c r="L1701" s="42" t="str">
        <f t="shared" si="134"/>
        <v xml:space="preserve">1930.0|20 Jul 1930 - 15:00 |Group 4|Estadio Centenario|Montevideo |Paraguay|1.0|0.0|Belgium| </v>
      </c>
      <c r="M1701" s="42" t="str">
        <f>IF(COUNTIF($L$1689:L1701,L1701)&gt;1,"DOUBLON","OK")</f>
        <v>OK</v>
      </c>
      <c r="S1701" s="12" t="str">
        <v>Tunisia</v>
      </c>
      <c r="T1701" s="12" t="str">
        <f t="shared" si="135"/>
        <v>OK</v>
      </c>
      <c r="U1701" s="12" t="str">
        <f t="shared" si="136"/>
        <v>-</v>
      </c>
      <c r="V1701" s="12" t="str" cm="1">
        <f t="array" ref="V1701">_xlfn.IFS(
ISNUMBER(SEARCH("USA",S1701)),"United States",
ISNUMBER(SEARCH("Republic of Ireland",S1701)),"Ireland",
ISNUMBER(SEARCH("Republic of Korea",S1701)),"South Korea",
ISNUMBER(SEARCH("Cape Verde",S1701)),"Cabo Verde",
ISNUMBER(SEARCH("Czechia",S1701)),"Czech Republic",
ISNUMBER(SEARCH("Türkiye",S1701)),"Turkey",
ISNUMBER(SEARCH("Ivory Coast",S1701)),"Côte d'Ivoire",
ISNUMBER(SEARCH("Korea Republic",S1701)),"South Korea",
ISNUMBER(SEARCH("Germany FR",S1701)),"FR Germany",
ISNUMBER(SEARCH("West Germany",S1701)),"FR Germany",
ISNUMBER(SEARCH("Germany DR",S1701)),"DR Germany",
ISNUMBER(SEARCH("Korea DPR",S1701)),"North Korea",
ISNUMBER(SEARCH("China PR",S1701)),"China",
ISNUMBER(SEARCH("IR Iran",S1701)),"Iran",
ISNUMBER(SEARCH("Congo DR",S1701)),"Democratic Republic of the Congo",
ISNUMBER(SEARCH("DR Congo",S1701)),"Democratic Republic of the Congo",
ISNUMBER(SEARCH("German DR",S1701)),"DR Germany",
ISNUMBER(SEARCH("rn""&gt;United Arab Emirates",S1701)),"United Arab Emirates",
ISNUMBER(SEARCH("rn""&gt;Republic of Ireland",S1701)),"Ireland",
ISNUMBER(SEARCH("rn""&gt;Bosnia and Herzegovina",S1701)),"Bosnia and Herzegovina",
ISNUMBER(SEARCH("rn""&gt;Trinidad and Tobago",S1701)),"Trinidad and Tobago",
ISNUMBER(SEARCH("rn""&gt;Serbia and Montenegro",S1701)),"Serbia and Montenegro",
ISNUMBER(SEARCH(_xlfn.UNICHAR(65533),S1701)),"Côte d'Ivoire",
TRUE,""
)</f>
        <v/>
      </c>
      <c r="W1701" s="12" t="str">
        <f t="shared" si="137"/>
        <v>Tunisia</v>
      </c>
    </row>
    <row r="1702" spans="2:23">
      <c r="B1702" s="76" t="str">
        <v>1930.0</v>
      </c>
      <c r="C1702" s="42" t="str">
        <v xml:space="preserve">21 Jul 1930 - 14:50 </v>
      </c>
      <c r="D1702" s="42" t="str">
        <v>Group 3</v>
      </c>
      <c r="E1702" s="42" t="str">
        <v>Estadio Centenario</v>
      </c>
      <c r="F1702" s="42" t="str">
        <v xml:space="preserve">Montevideo </v>
      </c>
      <c r="G1702" s="42" t="str">
        <v>Uruguay</v>
      </c>
      <c r="H1702" s="42" t="str">
        <v>4.0</v>
      </c>
      <c r="I1702" s="42" t="str">
        <v>0.0</v>
      </c>
      <c r="J1702" s="42" t="str">
        <v>Romania</v>
      </c>
      <c r="K1702" s="42" t="str">
        <v xml:space="preserve"> </v>
      </c>
      <c r="L1702" s="42" t="str">
        <f t="shared" si="134"/>
        <v xml:space="preserve">1930.0|21 Jul 1930 - 14:50 |Group 3|Estadio Centenario|Montevideo |Uruguay|4.0|0.0|Romania| </v>
      </c>
      <c r="M1702" s="42" t="str">
        <f>IF(COUNTIF($L$1689:L1702,L1702)&gt;1,"DOUBLON","OK")</f>
        <v>OK</v>
      </c>
      <c r="S1702" s="12" t="str">
        <v>Tunisia</v>
      </c>
      <c r="T1702" s="12" t="str">
        <f t="shared" si="135"/>
        <v>OK</v>
      </c>
      <c r="U1702" s="12" t="str">
        <f t="shared" si="136"/>
        <v>-</v>
      </c>
      <c r="V1702" s="12" t="str" cm="1">
        <f t="array" ref="V1702">_xlfn.IFS(
ISNUMBER(SEARCH("USA",S1702)),"United States",
ISNUMBER(SEARCH("Republic of Ireland",S1702)),"Ireland",
ISNUMBER(SEARCH("Republic of Korea",S1702)),"South Korea",
ISNUMBER(SEARCH("Cape Verde",S1702)),"Cabo Verde",
ISNUMBER(SEARCH("Czechia",S1702)),"Czech Republic",
ISNUMBER(SEARCH("Türkiye",S1702)),"Turkey",
ISNUMBER(SEARCH("Ivory Coast",S1702)),"Côte d'Ivoire",
ISNUMBER(SEARCH("Korea Republic",S1702)),"South Korea",
ISNUMBER(SEARCH("Germany FR",S1702)),"FR Germany",
ISNUMBER(SEARCH("West Germany",S1702)),"FR Germany",
ISNUMBER(SEARCH("Germany DR",S1702)),"DR Germany",
ISNUMBER(SEARCH("Korea DPR",S1702)),"North Korea",
ISNUMBER(SEARCH("China PR",S1702)),"China",
ISNUMBER(SEARCH("IR Iran",S1702)),"Iran",
ISNUMBER(SEARCH("Congo DR",S1702)),"Democratic Republic of the Congo",
ISNUMBER(SEARCH("DR Congo",S1702)),"Democratic Republic of the Congo",
ISNUMBER(SEARCH("German DR",S1702)),"DR Germany",
ISNUMBER(SEARCH("rn""&gt;United Arab Emirates",S1702)),"United Arab Emirates",
ISNUMBER(SEARCH("rn""&gt;Republic of Ireland",S1702)),"Ireland",
ISNUMBER(SEARCH("rn""&gt;Bosnia and Herzegovina",S1702)),"Bosnia and Herzegovina",
ISNUMBER(SEARCH("rn""&gt;Trinidad and Tobago",S1702)),"Trinidad and Tobago",
ISNUMBER(SEARCH("rn""&gt;Serbia and Montenegro",S1702)),"Serbia and Montenegro",
ISNUMBER(SEARCH(_xlfn.UNICHAR(65533),S1702)),"Côte d'Ivoire",
TRUE,""
)</f>
        <v/>
      </c>
      <c r="W1702" s="12" t="str">
        <f t="shared" si="137"/>
        <v>Tunisia</v>
      </c>
    </row>
    <row r="1703" spans="2:23">
      <c r="B1703" s="76" t="str">
        <v>1930.0</v>
      </c>
      <c r="C1703" s="42" t="str">
        <v xml:space="preserve">22 Jul 1930 - 14:45 </v>
      </c>
      <c r="D1703" s="42" t="str">
        <v>Group 1</v>
      </c>
      <c r="E1703" s="42" t="str">
        <v>Estadio Centenario</v>
      </c>
      <c r="F1703" s="42" t="str">
        <v xml:space="preserve">Montevideo </v>
      </c>
      <c r="G1703" s="42" t="str">
        <v>Argentina</v>
      </c>
      <c r="H1703" s="42" t="str">
        <v>3.0</v>
      </c>
      <c r="I1703" s="42" t="str">
        <v>1.0</v>
      </c>
      <c r="J1703" s="42" t="str">
        <v>Chile</v>
      </c>
      <c r="K1703" s="42" t="str">
        <v xml:space="preserve"> </v>
      </c>
      <c r="L1703" s="42" t="str">
        <f t="shared" si="134"/>
        <v xml:space="preserve">1930.0|22 Jul 1930 - 14:45 |Group 1|Estadio Centenario|Montevideo |Argentina|3.0|1.0|Chile| </v>
      </c>
      <c r="M1703" s="42" t="str">
        <f>IF(COUNTIF($L$1689:L1703,L1703)&gt;1,"DOUBLON","OK")</f>
        <v>OK</v>
      </c>
      <c r="S1703" s="12" t="str">
        <v>Tunisia</v>
      </c>
      <c r="T1703" s="12" t="str">
        <f t="shared" si="135"/>
        <v>OK</v>
      </c>
      <c r="U1703" s="12" t="str">
        <f t="shared" si="136"/>
        <v>-</v>
      </c>
      <c r="V1703" s="12" t="str" cm="1">
        <f t="array" ref="V1703">_xlfn.IFS(
ISNUMBER(SEARCH("USA",S1703)),"United States",
ISNUMBER(SEARCH("Republic of Ireland",S1703)),"Ireland",
ISNUMBER(SEARCH("Republic of Korea",S1703)),"South Korea",
ISNUMBER(SEARCH("Cape Verde",S1703)),"Cabo Verde",
ISNUMBER(SEARCH("Czechia",S1703)),"Czech Republic",
ISNUMBER(SEARCH("Türkiye",S1703)),"Turkey",
ISNUMBER(SEARCH("Ivory Coast",S1703)),"Côte d'Ivoire",
ISNUMBER(SEARCH("Korea Republic",S1703)),"South Korea",
ISNUMBER(SEARCH("Germany FR",S1703)),"FR Germany",
ISNUMBER(SEARCH("West Germany",S1703)),"FR Germany",
ISNUMBER(SEARCH("Germany DR",S1703)),"DR Germany",
ISNUMBER(SEARCH("Korea DPR",S1703)),"North Korea",
ISNUMBER(SEARCH("China PR",S1703)),"China",
ISNUMBER(SEARCH("IR Iran",S1703)),"Iran",
ISNUMBER(SEARCH("Congo DR",S1703)),"Democratic Republic of the Congo",
ISNUMBER(SEARCH("DR Congo",S1703)),"Democratic Republic of the Congo",
ISNUMBER(SEARCH("German DR",S1703)),"DR Germany",
ISNUMBER(SEARCH("rn""&gt;United Arab Emirates",S1703)),"United Arab Emirates",
ISNUMBER(SEARCH("rn""&gt;Republic of Ireland",S1703)),"Ireland",
ISNUMBER(SEARCH("rn""&gt;Bosnia and Herzegovina",S1703)),"Bosnia and Herzegovina",
ISNUMBER(SEARCH("rn""&gt;Trinidad and Tobago",S1703)),"Trinidad and Tobago",
ISNUMBER(SEARCH("rn""&gt;Serbia and Montenegro",S1703)),"Serbia and Montenegro",
ISNUMBER(SEARCH(_xlfn.UNICHAR(65533),S1703)),"Côte d'Ivoire",
TRUE,""
)</f>
        <v/>
      </c>
      <c r="W1703" s="12" t="str">
        <f t="shared" si="137"/>
        <v>Tunisia</v>
      </c>
    </row>
    <row r="1704" spans="2:23">
      <c r="B1704" s="76" t="str">
        <v>1930.0</v>
      </c>
      <c r="C1704" s="42" t="str">
        <v xml:space="preserve">26 Jul 1930 - 14:45 </v>
      </c>
      <c r="D1704" s="42" t="str">
        <v>Semi-finals</v>
      </c>
      <c r="E1704" s="42" t="str">
        <v>Estadio Centenario</v>
      </c>
      <c r="F1704" s="42" t="str">
        <v xml:space="preserve">Montevideo </v>
      </c>
      <c r="G1704" s="42" t="str">
        <v>Argentina</v>
      </c>
      <c r="H1704" s="42" t="str">
        <v>6.0</v>
      </c>
      <c r="I1704" s="42" t="str">
        <v>1.0</v>
      </c>
      <c r="J1704" s="42" t="str">
        <v>USA</v>
      </c>
      <c r="K1704" s="42" t="str">
        <v xml:space="preserve"> </v>
      </c>
      <c r="L1704" s="42" t="str">
        <f t="shared" si="134"/>
        <v xml:space="preserve">1930.0|26 Jul 1930 - 14:45 |Semi-finals|Estadio Centenario|Montevideo |Argentina|6.0|1.0|USA| </v>
      </c>
      <c r="M1704" s="42" t="str">
        <f>IF(COUNTIF($L$1689:L1704,L1704)&gt;1,"DOUBLON","OK")</f>
        <v>OK</v>
      </c>
      <c r="S1704" s="12" t="str">
        <v>Tunisia</v>
      </c>
      <c r="T1704" s="12" t="str">
        <f t="shared" si="135"/>
        <v>OK</v>
      </c>
      <c r="U1704" s="12" t="str">
        <f t="shared" si="136"/>
        <v>-</v>
      </c>
      <c r="V1704" s="12" t="str" cm="1">
        <f t="array" ref="V1704">_xlfn.IFS(
ISNUMBER(SEARCH("USA",S1704)),"United States",
ISNUMBER(SEARCH("Republic of Ireland",S1704)),"Ireland",
ISNUMBER(SEARCH("Republic of Korea",S1704)),"South Korea",
ISNUMBER(SEARCH("Cape Verde",S1704)),"Cabo Verde",
ISNUMBER(SEARCH("Czechia",S1704)),"Czech Republic",
ISNUMBER(SEARCH("Türkiye",S1704)),"Turkey",
ISNUMBER(SEARCH("Ivory Coast",S1704)),"Côte d'Ivoire",
ISNUMBER(SEARCH("Korea Republic",S1704)),"South Korea",
ISNUMBER(SEARCH("Germany FR",S1704)),"FR Germany",
ISNUMBER(SEARCH("West Germany",S1704)),"FR Germany",
ISNUMBER(SEARCH("Germany DR",S1704)),"DR Germany",
ISNUMBER(SEARCH("Korea DPR",S1704)),"North Korea",
ISNUMBER(SEARCH("China PR",S1704)),"China",
ISNUMBER(SEARCH("IR Iran",S1704)),"Iran",
ISNUMBER(SEARCH("Congo DR",S1704)),"Democratic Republic of the Congo",
ISNUMBER(SEARCH("DR Congo",S1704)),"Democratic Republic of the Congo",
ISNUMBER(SEARCH("German DR",S1704)),"DR Germany",
ISNUMBER(SEARCH("rn""&gt;United Arab Emirates",S1704)),"United Arab Emirates",
ISNUMBER(SEARCH("rn""&gt;Republic of Ireland",S1704)),"Ireland",
ISNUMBER(SEARCH("rn""&gt;Bosnia and Herzegovina",S1704)),"Bosnia and Herzegovina",
ISNUMBER(SEARCH("rn""&gt;Trinidad and Tobago",S1704)),"Trinidad and Tobago",
ISNUMBER(SEARCH("rn""&gt;Serbia and Montenegro",S1704)),"Serbia and Montenegro",
ISNUMBER(SEARCH(_xlfn.UNICHAR(65533),S1704)),"Côte d'Ivoire",
TRUE,""
)</f>
        <v/>
      </c>
      <c r="W1704" s="12" t="str">
        <f t="shared" si="137"/>
        <v>Tunisia</v>
      </c>
    </row>
    <row r="1705" spans="2:23">
      <c r="B1705" s="76" t="str">
        <v>1930.0</v>
      </c>
      <c r="C1705" s="42" t="str">
        <v xml:space="preserve">27 Jul 1930 - 14:45 </v>
      </c>
      <c r="D1705" s="42" t="str">
        <v>Semi-finals</v>
      </c>
      <c r="E1705" s="42" t="str">
        <v>Estadio Centenario</v>
      </c>
      <c r="F1705" s="42" t="str">
        <v xml:space="preserve">Montevideo </v>
      </c>
      <c r="G1705" s="42" t="str">
        <v>Uruguay</v>
      </c>
      <c r="H1705" s="42" t="str">
        <v>6.0</v>
      </c>
      <c r="I1705" s="42" t="str">
        <v>1.0</v>
      </c>
      <c r="J1705" s="42" t="str">
        <v>Yugoslavia</v>
      </c>
      <c r="K1705" s="42" t="str">
        <v xml:space="preserve"> </v>
      </c>
      <c r="L1705" s="42" t="str">
        <f t="shared" si="134"/>
        <v xml:space="preserve">1930.0|27 Jul 1930 - 14:45 |Semi-finals|Estadio Centenario|Montevideo |Uruguay|6.0|1.0|Yugoslavia| </v>
      </c>
      <c r="M1705" s="42" t="str">
        <f>IF(COUNTIF($L$1689:L1705,L1705)&gt;1,"DOUBLON","OK")</f>
        <v>OK</v>
      </c>
      <c r="S1705" s="12" t="str">
        <v>Tunisia</v>
      </c>
      <c r="T1705" s="12" t="str">
        <f t="shared" si="135"/>
        <v>OK</v>
      </c>
      <c r="U1705" s="12" t="str">
        <f t="shared" si="136"/>
        <v>-</v>
      </c>
      <c r="V1705" s="12" t="str" cm="1">
        <f t="array" ref="V1705">_xlfn.IFS(
ISNUMBER(SEARCH("USA",S1705)),"United States",
ISNUMBER(SEARCH("Republic of Ireland",S1705)),"Ireland",
ISNUMBER(SEARCH("Republic of Korea",S1705)),"South Korea",
ISNUMBER(SEARCH("Cape Verde",S1705)),"Cabo Verde",
ISNUMBER(SEARCH("Czechia",S1705)),"Czech Republic",
ISNUMBER(SEARCH("Türkiye",S1705)),"Turkey",
ISNUMBER(SEARCH("Ivory Coast",S1705)),"Côte d'Ivoire",
ISNUMBER(SEARCH("Korea Republic",S1705)),"South Korea",
ISNUMBER(SEARCH("Germany FR",S1705)),"FR Germany",
ISNUMBER(SEARCH("West Germany",S1705)),"FR Germany",
ISNUMBER(SEARCH("Germany DR",S1705)),"DR Germany",
ISNUMBER(SEARCH("Korea DPR",S1705)),"North Korea",
ISNUMBER(SEARCH("China PR",S1705)),"China",
ISNUMBER(SEARCH("IR Iran",S1705)),"Iran",
ISNUMBER(SEARCH("Congo DR",S1705)),"Democratic Republic of the Congo",
ISNUMBER(SEARCH("DR Congo",S1705)),"Democratic Republic of the Congo",
ISNUMBER(SEARCH("German DR",S1705)),"DR Germany",
ISNUMBER(SEARCH("rn""&gt;United Arab Emirates",S1705)),"United Arab Emirates",
ISNUMBER(SEARCH("rn""&gt;Republic of Ireland",S1705)),"Ireland",
ISNUMBER(SEARCH("rn""&gt;Bosnia and Herzegovina",S1705)),"Bosnia and Herzegovina",
ISNUMBER(SEARCH("rn""&gt;Trinidad and Tobago",S1705)),"Trinidad and Tobago",
ISNUMBER(SEARCH("rn""&gt;Serbia and Montenegro",S1705)),"Serbia and Montenegro",
ISNUMBER(SEARCH(_xlfn.UNICHAR(65533),S1705)),"Côte d'Ivoire",
TRUE,""
)</f>
        <v/>
      </c>
      <c r="W1705" s="12" t="str">
        <f t="shared" si="137"/>
        <v>Tunisia</v>
      </c>
    </row>
    <row r="1706" spans="2:23">
      <c r="B1706" s="76" t="str">
        <v>1930.0</v>
      </c>
      <c r="C1706" s="42" t="str">
        <v xml:space="preserve">30 Jul 1930 - 14:15 </v>
      </c>
      <c r="D1706" s="42" t="str">
        <v>Final</v>
      </c>
      <c r="E1706" s="42" t="str">
        <v>Estadio Centenario</v>
      </c>
      <c r="F1706" s="42" t="str">
        <v xml:space="preserve">Montevideo </v>
      </c>
      <c r="G1706" s="42" t="str">
        <v>Uruguay</v>
      </c>
      <c r="H1706" s="42" t="str">
        <v>4.0</v>
      </c>
      <c r="I1706" s="42" t="str">
        <v>2.0</v>
      </c>
      <c r="J1706" s="42" t="str">
        <v>Argentina</v>
      </c>
      <c r="K1706" s="42" t="str">
        <v xml:space="preserve"> </v>
      </c>
      <c r="L1706" s="42" t="str">
        <f t="shared" si="134"/>
        <v xml:space="preserve">1930.0|30 Jul 1930 - 14:15 |Final|Estadio Centenario|Montevideo |Uruguay|4.0|2.0|Argentina| </v>
      </c>
      <c r="M1706" s="42" t="str">
        <f>IF(COUNTIF($L$1689:L1706,L1706)&gt;1,"DOUBLON","OK")</f>
        <v>OK</v>
      </c>
      <c r="S1706" s="12" t="str">
        <v>Tunisia</v>
      </c>
      <c r="T1706" s="12" t="str">
        <f t="shared" si="135"/>
        <v>OK</v>
      </c>
      <c r="U1706" s="12" t="str">
        <f t="shared" si="136"/>
        <v>-</v>
      </c>
      <c r="V1706" s="12" t="str" cm="1">
        <f t="array" ref="V1706">_xlfn.IFS(
ISNUMBER(SEARCH("USA",S1706)),"United States",
ISNUMBER(SEARCH("Republic of Ireland",S1706)),"Ireland",
ISNUMBER(SEARCH("Republic of Korea",S1706)),"South Korea",
ISNUMBER(SEARCH("Cape Verde",S1706)),"Cabo Verde",
ISNUMBER(SEARCH("Czechia",S1706)),"Czech Republic",
ISNUMBER(SEARCH("Türkiye",S1706)),"Turkey",
ISNUMBER(SEARCH("Ivory Coast",S1706)),"Côte d'Ivoire",
ISNUMBER(SEARCH("Korea Republic",S1706)),"South Korea",
ISNUMBER(SEARCH("Germany FR",S1706)),"FR Germany",
ISNUMBER(SEARCH("West Germany",S1706)),"FR Germany",
ISNUMBER(SEARCH("Germany DR",S1706)),"DR Germany",
ISNUMBER(SEARCH("Korea DPR",S1706)),"North Korea",
ISNUMBER(SEARCH("China PR",S1706)),"China",
ISNUMBER(SEARCH("IR Iran",S1706)),"Iran",
ISNUMBER(SEARCH("Congo DR",S1706)),"Democratic Republic of the Congo",
ISNUMBER(SEARCH("DR Congo",S1706)),"Democratic Republic of the Congo",
ISNUMBER(SEARCH("German DR",S1706)),"DR Germany",
ISNUMBER(SEARCH("rn""&gt;United Arab Emirates",S1706)),"United Arab Emirates",
ISNUMBER(SEARCH("rn""&gt;Republic of Ireland",S1706)),"Ireland",
ISNUMBER(SEARCH("rn""&gt;Bosnia and Herzegovina",S1706)),"Bosnia and Herzegovina",
ISNUMBER(SEARCH("rn""&gt;Trinidad and Tobago",S1706)),"Trinidad and Tobago",
ISNUMBER(SEARCH("rn""&gt;Serbia and Montenegro",S1706)),"Serbia and Montenegro",
ISNUMBER(SEARCH(_xlfn.UNICHAR(65533),S1706)),"Côte d'Ivoire",
TRUE,""
)</f>
        <v/>
      </c>
      <c r="W1706" s="12" t="str">
        <f t="shared" si="137"/>
        <v>Tunisia</v>
      </c>
    </row>
    <row r="1707" spans="2:23">
      <c r="B1707" s="76" t="str">
        <v>1934.0</v>
      </c>
      <c r="C1707" s="42" t="str">
        <v xml:space="preserve">27 May 1934 - 16:30 </v>
      </c>
      <c r="D1707" s="42" t="str">
        <v>Preliminary round</v>
      </c>
      <c r="E1707" s="42" t="str">
        <v>Stadio Benito Mussolini</v>
      </c>
      <c r="F1707" s="42" t="str">
        <v xml:space="preserve">Turin </v>
      </c>
      <c r="G1707" s="42" t="str">
        <v>Austria</v>
      </c>
      <c r="H1707" s="42" t="str">
        <v>3.0</v>
      </c>
      <c r="I1707" s="42" t="str">
        <v>2.0</v>
      </c>
      <c r="J1707" s="42" t="str">
        <v>France</v>
      </c>
      <c r="K1707" s="42" t="str">
        <v xml:space="preserve">Austria win after extra time </v>
      </c>
      <c r="L1707" s="42" t="str">
        <f t="shared" si="134"/>
        <v xml:space="preserve">1934.0|27 May 1934 - 16:30 |Preliminary round|Stadio Benito Mussolini|Turin |Austria|3.0|2.0|France|Austria win after extra time </v>
      </c>
      <c r="M1707" s="42" t="str">
        <f>IF(COUNTIF($L$1689:L1707,L1707)&gt;1,"DOUBLON","OK")</f>
        <v>OK</v>
      </c>
      <c r="S1707" s="12" t="str">
        <v>Tunisia</v>
      </c>
      <c r="T1707" s="12" t="str">
        <f t="shared" si="135"/>
        <v>OK</v>
      </c>
      <c r="U1707" s="12" t="str">
        <f t="shared" si="136"/>
        <v>-</v>
      </c>
      <c r="V1707" s="12" t="str" cm="1">
        <f t="array" ref="V1707">_xlfn.IFS(
ISNUMBER(SEARCH("USA",S1707)),"United States",
ISNUMBER(SEARCH("Republic of Ireland",S1707)),"Ireland",
ISNUMBER(SEARCH("Republic of Korea",S1707)),"South Korea",
ISNUMBER(SEARCH("Cape Verde",S1707)),"Cabo Verde",
ISNUMBER(SEARCH("Czechia",S1707)),"Czech Republic",
ISNUMBER(SEARCH("Türkiye",S1707)),"Turkey",
ISNUMBER(SEARCH("Ivory Coast",S1707)),"Côte d'Ivoire",
ISNUMBER(SEARCH("Korea Republic",S1707)),"South Korea",
ISNUMBER(SEARCH("Germany FR",S1707)),"FR Germany",
ISNUMBER(SEARCH("West Germany",S1707)),"FR Germany",
ISNUMBER(SEARCH("Germany DR",S1707)),"DR Germany",
ISNUMBER(SEARCH("Korea DPR",S1707)),"North Korea",
ISNUMBER(SEARCH("China PR",S1707)),"China",
ISNUMBER(SEARCH("IR Iran",S1707)),"Iran",
ISNUMBER(SEARCH("Congo DR",S1707)),"Democratic Republic of the Congo",
ISNUMBER(SEARCH("DR Congo",S1707)),"Democratic Republic of the Congo",
ISNUMBER(SEARCH("German DR",S1707)),"DR Germany",
ISNUMBER(SEARCH("rn""&gt;United Arab Emirates",S1707)),"United Arab Emirates",
ISNUMBER(SEARCH("rn""&gt;Republic of Ireland",S1707)),"Ireland",
ISNUMBER(SEARCH("rn""&gt;Bosnia and Herzegovina",S1707)),"Bosnia and Herzegovina",
ISNUMBER(SEARCH("rn""&gt;Trinidad and Tobago",S1707)),"Trinidad and Tobago",
ISNUMBER(SEARCH("rn""&gt;Serbia and Montenegro",S1707)),"Serbia and Montenegro",
ISNUMBER(SEARCH(_xlfn.UNICHAR(65533),S1707)),"Côte d'Ivoire",
TRUE,""
)</f>
        <v/>
      </c>
      <c r="W1707" s="12" t="str">
        <f t="shared" si="137"/>
        <v>Tunisia</v>
      </c>
    </row>
    <row r="1708" spans="2:23">
      <c r="B1708" s="76" t="str">
        <v>1934.0</v>
      </c>
      <c r="C1708" s="42" t="str">
        <v xml:space="preserve">27 May 1934 - 16:30 </v>
      </c>
      <c r="D1708" s="42" t="str">
        <v>Preliminary round</v>
      </c>
      <c r="E1708" s="42" t="str">
        <v>Giorgio Ascarelli</v>
      </c>
      <c r="F1708" s="42" t="str">
        <v xml:space="preserve">Naples </v>
      </c>
      <c r="G1708" s="42" t="str">
        <v>Hungary</v>
      </c>
      <c r="H1708" s="42" t="str">
        <v>4.0</v>
      </c>
      <c r="I1708" s="42" t="str">
        <v>2.0</v>
      </c>
      <c r="J1708" s="42" t="str">
        <v>Egypt</v>
      </c>
      <c r="K1708" s="42" t="str">
        <v xml:space="preserve"> </v>
      </c>
      <c r="L1708" s="42" t="str">
        <f t="shared" si="134"/>
        <v xml:space="preserve">1934.0|27 May 1934 - 16:30 |Preliminary round|Giorgio Ascarelli|Naples |Hungary|4.0|2.0|Egypt| </v>
      </c>
      <c r="M1708" s="42" t="str">
        <f>IF(COUNTIF($L$1689:L1708,L1708)&gt;1,"DOUBLON","OK")</f>
        <v>OK</v>
      </c>
      <c r="S1708" s="12" t="str">
        <v>Tunisia</v>
      </c>
      <c r="T1708" s="12" t="str">
        <f t="shared" si="135"/>
        <v>OK</v>
      </c>
      <c r="U1708" s="12" t="str">
        <f t="shared" si="136"/>
        <v>-</v>
      </c>
      <c r="V1708" s="12" t="str" cm="1">
        <f t="array" ref="V1708">_xlfn.IFS(
ISNUMBER(SEARCH("USA",S1708)),"United States",
ISNUMBER(SEARCH("Republic of Ireland",S1708)),"Ireland",
ISNUMBER(SEARCH("Republic of Korea",S1708)),"South Korea",
ISNUMBER(SEARCH("Cape Verde",S1708)),"Cabo Verde",
ISNUMBER(SEARCH("Czechia",S1708)),"Czech Republic",
ISNUMBER(SEARCH("Türkiye",S1708)),"Turkey",
ISNUMBER(SEARCH("Ivory Coast",S1708)),"Côte d'Ivoire",
ISNUMBER(SEARCH("Korea Republic",S1708)),"South Korea",
ISNUMBER(SEARCH("Germany FR",S1708)),"FR Germany",
ISNUMBER(SEARCH("West Germany",S1708)),"FR Germany",
ISNUMBER(SEARCH("Germany DR",S1708)),"DR Germany",
ISNUMBER(SEARCH("Korea DPR",S1708)),"North Korea",
ISNUMBER(SEARCH("China PR",S1708)),"China",
ISNUMBER(SEARCH("IR Iran",S1708)),"Iran",
ISNUMBER(SEARCH("Congo DR",S1708)),"Democratic Republic of the Congo",
ISNUMBER(SEARCH("DR Congo",S1708)),"Democratic Republic of the Congo",
ISNUMBER(SEARCH("German DR",S1708)),"DR Germany",
ISNUMBER(SEARCH("rn""&gt;United Arab Emirates",S1708)),"United Arab Emirates",
ISNUMBER(SEARCH("rn""&gt;Republic of Ireland",S1708)),"Ireland",
ISNUMBER(SEARCH("rn""&gt;Bosnia and Herzegovina",S1708)),"Bosnia and Herzegovina",
ISNUMBER(SEARCH("rn""&gt;Trinidad and Tobago",S1708)),"Trinidad and Tobago",
ISNUMBER(SEARCH("rn""&gt;Serbia and Montenegro",S1708)),"Serbia and Montenegro",
ISNUMBER(SEARCH(_xlfn.UNICHAR(65533),S1708)),"Côte d'Ivoire",
TRUE,""
)</f>
        <v/>
      </c>
      <c r="W1708" s="12" t="str">
        <f t="shared" si="137"/>
        <v>Tunisia</v>
      </c>
    </row>
    <row r="1709" spans="2:23">
      <c r="B1709" s="76" t="str">
        <v>1934.0</v>
      </c>
      <c r="C1709" s="42" t="str">
        <v xml:space="preserve">27 May 1934 - 16:30 </v>
      </c>
      <c r="D1709" s="42" t="str">
        <v>Preliminary round</v>
      </c>
      <c r="E1709" s="42" t="str">
        <v>San Siro</v>
      </c>
      <c r="F1709" s="42" t="str">
        <v xml:space="preserve">Milan </v>
      </c>
      <c r="G1709" s="42" t="str">
        <v>Switzerland</v>
      </c>
      <c r="H1709" s="42" t="str">
        <v>3.0</v>
      </c>
      <c r="I1709" s="42" t="str">
        <v>2.0</v>
      </c>
      <c r="J1709" s="42" t="str">
        <v>Netherlands</v>
      </c>
      <c r="K1709" s="42" t="str">
        <v xml:space="preserve"> </v>
      </c>
      <c r="L1709" s="42" t="str">
        <f t="shared" si="134"/>
        <v xml:space="preserve">1934.0|27 May 1934 - 16:30 |Preliminary round|San Siro|Milan |Switzerland|3.0|2.0|Netherlands| </v>
      </c>
      <c r="M1709" s="42" t="str">
        <f>IF(COUNTIF($L$1689:L1709,L1709)&gt;1,"DOUBLON","OK")</f>
        <v>OK</v>
      </c>
      <c r="S1709" s="12" t="str">
        <v>Tunisia</v>
      </c>
      <c r="T1709" s="12" t="str">
        <f t="shared" si="135"/>
        <v>OK</v>
      </c>
      <c r="U1709" s="12" t="str">
        <f t="shared" si="136"/>
        <v>-</v>
      </c>
      <c r="V1709" s="12" t="str" cm="1">
        <f t="array" ref="V1709">_xlfn.IFS(
ISNUMBER(SEARCH("USA",S1709)),"United States",
ISNUMBER(SEARCH("Republic of Ireland",S1709)),"Ireland",
ISNUMBER(SEARCH("Republic of Korea",S1709)),"South Korea",
ISNUMBER(SEARCH("Cape Verde",S1709)),"Cabo Verde",
ISNUMBER(SEARCH("Czechia",S1709)),"Czech Republic",
ISNUMBER(SEARCH("Türkiye",S1709)),"Turkey",
ISNUMBER(SEARCH("Ivory Coast",S1709)),"Côte d'Ivoire",
ISNUMBER(SEARCH("Korea Republic",S1709)),"South Korea",
ISNUMBER(SEARCH("Germany FR",S1709)),"FR Germany",
ISNUMBER(SEARCH("West Germany",S1709)),"FR Germany",
ISNUMBER(SEARCH("Germany DR",S1709)),"DR Germany",
ISNUMBER(SEARCH("Korea DPR",S1709)),"North Korea",
ISNUMBER(SEARCH("China PR",S1709)),"China",
ISNUMBER(SEARCH("IR Iran",S1709)),"Iran",
ISNUMBER(SEARCH("Congo DR",S1709)),"Democratic Republic of the Congo",
ISNUMBER(SEARCH("DR Congo",S1709)),"Democratic Republic of the Congo",
ISNUMBER(SEARCH("German DR",S1709)),"DR Germany",
ISNUMBER(SEARCH("rn""&gt;United Arab Emirates",S1709)),"United Arab Emirates",
ISNUMBER(SEARCH("rn""&gt;Republic of Ireland",S1709)),"Ireland",
ISNUMBER(SEARCH("rn""&gt;Bosnia and Herzegovina",S1709)),"Bosnia and Herzegovina",
ISNUMBER(SEARCH("rn""&gt;Trinidad and Tobago",S1709)),"Trinidad and Tobago",
ISNUMBER(SEARCH("rn""&gt;Serbia and Montenegro",S1709)),"Serbia and Montenegro",
ISNUMBER(SEARCH(_xlfn.UNICHAR(65533),S1709)),"Côte d'Ivoire",
TRUE,""
)</f>
        <v/>
      </c>
      <c r="W1709" s="12" t="str">
        <f t="shared" si="137"/>
        <v>Tunisia</v>
      </c>
    </row>
    <row r="1710" spans="2:23">
      <c r="B1710" s="76" t="str">
        <v>1934.0</v>
      </c>
      <c r="C1710" s="42" t="str">
        <v xml:space="preserve">27 May 1934 - 16:30 </v>
      </c>
      <c r="D1710" s="42" t="str">
        <v>Preliminary round</v>
      </c>
      <c r="E1710" s="42" t="str">
        <v>Littorale</v>
      </c>
      <c r="F1710" s="42" t="str">
        <v xml:space="preserve">Bologna </v>
      </c>
      <c r="G1710" s="42" t="str">
        <v>Sweden</v>
      </c>
      <c r="H1710" s="42" t="str">
        <v>3.0</v>
      </c>
      <c r="I1710" s="42" t="str">
        <v>2.0</v>
      </c>
      <c r="J1710" s="42" t="str">
        <v>Argentina</v>
      </c>
      <c r="K1710" s="42" t="str">
        <v xml:space="preserve"> </v>
      </c>
      <c r="L1710" s="42" t="str">
        <f t="shared" si="134"/>
        <v xml:space="preserve">1934.0|27 May 1934 - 16:30 |Preliminary round|Littorale|Bologna |Sweden|3.0|2.0|Argentina| </v>
      </c>
      <c r="M1710" s="42" t="str">
        <f>IF(COUNTIF($L$1689:L1710,L1710)&gt;1,"DOUBLON","OK")</f>
        <v>OK</v>
      </c>
      <c r="S1710" s="12" t="str">
        <v>Tunisia</v>
      </c>
      <c r="T1710" s="12" t="str">
        <f t="shared" si="135"/>
        <v>OK</v>
      </c>
      <c r="U1710" s="12" t="str">
        <f t="shared" si="136"/>
        <v>-</v>
      </c>
      <c r="V1710" s="12" t="str" cm="1">
        <f t="array" ref="V1710">_xlfn.IFS(
ISNUMBER(SEARCH("USA",S1710)),"United States",
ISNUMBER(SEARCH("Republic of Ireland",S1710)),"Ireland",
ISNUMBER(SEARCH("Republic of Korea",S1710)),"South Korea",
ISNUMBER(SEARCH("Cape Verde",S1710)),"Cabo Verde",
ISNUMBER(SEARCH("Czechia",S1710)),"Czech Republic",
ISNUMBER(SEARCH("Türkiye",S1710)),"Turkey",
ISNUMBER(SEARCH("Ivory Coast",S1710)),"Côte d'Ivoire",
ISNUMBER(SEARCH("Korea Republic",S1710)),"South Korea",
ISNUMBER(SEARCH("Germany FR",S1710)),"FR Germany",
ISNUMBER(SEARCH("West Germany",S1710)),"FR Germany",
ISNUMBER(SEARCH("Germany DR",S1710)),"DR Germany",
ISNUMBER(SEARCH("Korea DPR",S1710)),"North Korea",
ISNUMBER(SEARCH("China PR",S1710)),"China",
ISNUMBER(SEARCH("IR Iran",S1710)),"Iran",
ISNUMBER(SEARCH("Congo DR",S1710)),"Democratic Republic of the Congo",
ISNUMBER(SEARCH("DR Congo",S1710)),"Democratic Republic of the Congo",
ISNUMBER(SEARCH("German DR",S1710)),"DR Germany",
ISNUMBER(SEARCH("rn""&gt;United Arab Emirates",S1710)),"United Arab Emirates",
ISNUMBER(SEARCH("rn""&gt;Republic of Ireland",S1710)),"Ireland",
ISNUMBER(SEARCH("rn""&gt;Bosnia and Herzegovina",S1710)),"Bosnia and Herzegovina",
ISNUMBER(SEARCH("rn""&gt;Trinidad and Tobago",S1710)),"Trinidad and Tobago",
ISNUMBER(SEARCH("rn""&gt;Serbia and Montenegro",S1710)),"Serbia and Montenegro",
ISNUMBER(SEARCH(_xlfn.UNICHAR(65533),S1710)),"Côte d'Ivoire",
TRUE,""
)</f>
        <v/>
      </c>
      <c r="W1710" s="12" t="str">
        <f t="shared" si="137"/>
        <v>Tunisia</v>
      </c>
    </row>
    <row r="1711" spans="2:23">
      <c r="B1711" s="76" t="str">
        <v>1934.0</v>
      </c>
      <c r="C1711" s="42" t="str">
        <v xml:space="preserve">27 May 1934 - 16:30 </v>
      </c>
      <c r="D1711" s="42" t="str">
        <v>Preliminary round</v>
      </c>
      <c r="E1711" s="42" t="str">
        <v>Giovanni Berta</v>
      </c>
      <c r="F1711" s="42" t="str">
        <v xml:space="preserve">Florence </v>
      </c>
      <c r="G1711" s="42" t="str">
        <v>Germany</v>
      </c>
      <c r="H1711" s="42" t="str">
        <v>5.0</v>
      </c>
      <c r="I1711" s="42" t="str">
        <v>2.0</v>
      </c>
      <c r="J1711" s="42" t="str">
        <v>Belgium</v>
      </c>
      <c r="K1711" s="42" t="str">
        <v xml:space="preserve"> </v>
      </c>
      <c r="L1711" s="42" t="str">
        <f t="shared" si="134"/>
        <v xml:space="preserve">1934.0|27 May 1934 - 16:30 |Preliminary round|Giovanni Berta|Florence |Germany|5.0|2.0|Belgium| </v>
      </c>
      <c r="M1711" s="42" t="str">
        <f>IF(COUNTIF($L$1689:L1711,L1711)&gt;1,"DOUBLON","OK")</f>
        <v>OK</v>
      </c>
      <c r="S1711" s="12" t="str">
        <v>Tunisia</v>
      </c>
      <c r="T1711" s="12" t="str">
        <f t="shared" si="135"/>
        <v>OK</v>
      </c>
      <c r="U1711" s="12" t="str">
        <f t="shared" si="136"/>
        <v>-</v>
      </c>
      <c r="V1711" s="12" t="str" cm="1">
        <f t="array" ref="V1711">_xlfn.IFS(
ISNUMBER(SEARCH("USA",S1711)),"United States",
ISNUMBER(SEARCH("Republic of Ireland",S1711)),"Ireland",
ISNUMBER(SEARCH("Republic of Korea",S1711)),"South Korea",
ISNUMBER(SEARCH("Cape Verde",S1711)),"Cabo Verde",
ISNUMBER(SEARCH("Czechia",S1711)),"Czech Republic",
ISNUMBER(SEARCH("Türkiye",S1711)),"Turkey",
ISNUMBER(SEARCH("Ivory Coast",S1711)),"Côte d'Ivoire",
ISNUMBER(SEARCH("Korea Republic",S1711)),"South Korea",
ISNUMBER(SEARCH("Germany FR",S1711)),"FR Germany",
ISNUMBER(SEARCH("West Germany",S1711)),"FR Germany",
ISNUMBER(SEARCH("Germany DR",S1711)),"DR Germany",
ISNUMBER(SEARCH("Korea DPR",S1711)),"North Korea",
ISNUMBER(SEARCH("China PR",S1711)),"China",
ISNUMBER(SEARCH("IR Iran",S1711)),"Iran",
ISNUMBER(SEARCH("Congo DR",S1711)),"Democratic Republic of the Congo",
ISNUMBER(SEARCH("DR Congo",S1711)),"Democratic Republic of the Congo",
ISNUMBER(SEARCH("German DR",S1711)),"DR Germany",
ISNUMBER(SEARCH("rn""&gt;United Arab Emirates",S1711)),"United Arab Emirates",
ISNUMBER(SEARCH("rn""&gt;Republic of Ireland",S1711)),"Ireland",
ISNUMBER(SEARCH("rn""&gt;Bosnia and Herzegovina",S1711)),"Bosnia and Herzegovina",
ISNUMBER(SEARCH("rn""&gt;Trinidad and Tobago",S1711)),"Trinidad and Tobago",
ISNUMBER(SEARCH("rn""&gt;Serbia and Montenegro",S1711)),"Serbia and Montenegro",
ISNUMBER(SEARCH(_xlfn.UNICHAR(65533),S1711)),"Côte d'Ivoire",
TRUE,""
)</f>
        <v/>
      </c>
      <c r="W1711" s="12" t="str">
        <f t="shared" si="137"/>
        <v>Tunisia</v>
      </c>
    </row>
    <row r="1712" spans="2:23">
      <c r="B1712" s="76" t="str">
        <v>1934.0</v>
      </c>
      <c r="C1712" s="42" t="str">
        <v xml:space="preserve">27 May 1934 - 16:30 </v>
      </c>
      <c r="D1712" s="42" t="str">
        <v>Preliminary round</v>
      </c>
      <c r="E1712" s="42" t="str">
        <v>Luigi Ferraris</v>
      </c>
      <c r="F1712" s="42" t="str">
        <v xml:space="preserve">Genoa </v>
      </c>
      <c r="G1712" s="42" t="str">
        <v>Spain</v>
      </c>
      <c r="H1712" s="42" t="str">
        <v>3.0</v>
      </c>
      <c r="I1712" s="42" t="str">
        <v>1.0</v>
      </c>
      <c r="J1712" s="42" t="str">
        <v>Brazil</v>
      </c>
      <c r="K1712" s="42" t="str">
        <v xml:space="preserve"> </v>
      </c>
      <c r="L1712" s="42" t="str">
        <f t="shared" si="134"/>
        <v xml:space="preserve">1934.0|27 May 1934 - 16:30 |Preliminary round|Luigi Ferraris|Genoa |Spain|3.0|1.0|Brazil| </v>
      </c>
      <c r="M1712" s="42" t="str">
        <f>IF(COUNTIF($L$1689:L1712,L1712)&gt;1,"DOUBLON","OK")</f>
        <v>OK</v>
      </c>
      <c r="S1712" s="12" t="str">
        <v>Tunisia</v>
      </c>
      <c r="T1712" s="12" t="str">
        <f t="shared" si="135"/>
        <v>OK</v>
      </c>
      <c r="U1712" s="12" t="str">
        <f t="shared" si="136"/>
        <v>-</v>
      </c>
      <c r="V1712" s="12" t="str" cm="1">
        <f t="array" ref="V1712">_xlfn.IFS(
ISNUMBER(SEARCH("USA",S1712)),"United States",
ISNUMBER(SEARCH("Republic of Ireland",S1712)),"Ireland",
ISNUMBER(SEARCH("Republic of Korea",S1712)),"South Korea",
ISNUMBER(SEARCH("Cape Verde",S1712)),"Cabo Verde",
ISNUMBER(SEARCH("Czechia",S1712)),"Czech Republic",
ISNUMBER(SEARCH("Türkiye",S1712)),"Turkey",
ISNUMBER(SEARCH("Ivory Coast",S1712)),"Côte d'Ivoire",
ISNUMBER(SEARCH("Korea Republic",S1712)),"South Korea",
ISNUMBER(SEARCH("Germany FR",S1712)),"FR Germany",
ISNUMBER(SEARCH("West Germany",S1712)),"FR Germany",
ISNUMBER(SEARCH("Germany DR",S1712)),"DR Germany",
ISNUMBER(SEARCH("Korea DPR",S1712)),"North Korea",
ISNUMBER(SEARCH("China PR",S1712)),"China",
ISNUMBER(SEARCH("IR Iran",S1712)),"Iran",
ISNUMBER(SEARCH("Congo DR",S1712)),"Democratic Republic of the Congo",
ISNUMBER(SEARCH("DR Congo",S1712)),"Democratic Republic of the Congo",
ISNUMBER(SEARCH("German DR",S1712)),"DR Germany",
ISNUMBER(SEARCH("rn""&gt;United Arab Emirates",S1712)),"United Arab Emirates",
ISNUMBER(SEARCH("rn""&gt;Republic of Ireland",S1712)),"Ireland",
ISNUMBER(SEARCH("rn""&gt;Bosnia and Herzegovina",S1712)),"Bosnia and Herzegovina",
ISNUMBER(SEARCH("rn""&gt;Trinidad and Tobago",S1712)),"Trinidad and Tobago",
ISNUMBER(SEARCH("rn""&gt;Serbia and Montenegro",S1712)),"Serbia and Montenegro",
ISNUMBER(SEARCH(_xlfn.UNICHAR(65533),S1712)),"Côte d'Ivoire",
TRUE,""
)</f>
        <v/>
      </c>
      <c r="W1712" s="12" t="str">
        <f t="shared" si="137"/>
        <v>Tunisia</v>
      </c>
    </row>
    <row r="1713" spans="2:23">
      <c r="B1713" s="76" t="str">
        <v>1934.0</v>
      </c>
      <c r="C1713" s="42" t="str">
        <v xml:space="preserve">27 May 1934 - 16:30 </v>
      </c>
      <c r="D1713" s="42" t="str">
        <v>Preliminary round</v>
      </c>
      <c r="E1713" s="42" t="str">
        <v>Nazionale PNF</v>
      </c>
      <c r="F1713" s="42" t="str">
        <v xml:space="preserve">Rome </v>
      </c>
      <c r="G1713" s="42" t="str">
        <v>Italy</v>
      </c>
      <c r="H1713" s="42" t="str">
        <v>7.0</v>
      </c>
      <c r="I1713" s="42" t="str">
        <v>1.0</v>
      </c>
      <c r="J1713" s="42" t="str">
        <v>USA</v>
      </c>
      <c r="K1713" s="42" t="str">
        <v xml:space="preserve"> </v>
      </c>
      <c r="L1713" s="42" t="str">
        <f t="shared" si="134"/>
        <v xml:space="preserve">1934.0|27 May 1934 - 16:30 |Preliminary round|Nazionale PNF|Rome |Italy|7.0|1.0|USA| </v>
      </c>
      <c r="M1713" s="42" t="str">
        <f>IF(COUNTIF($L$1689:L1713,L1713)&gt;1,"DOUBLON","OK")</f>
        <v>OK</v>
      </c>
      <c r="S1713" s="12" t="str">
        <v>Tunisia</v>
      </c>
      <c r="T1713" s="12" t="str">
        <f t="shared" si="135"/>
        <v>OK</v>
      </c>
      <c r="U1713" s="12" t="str">
        <f t="shared" si="136"/>
        <v>-</v>
      </c>
      <c r="V1713" s="12" t="str" cm="1">
        <f t="array" ref="V1713">_xlfn.IFS(
ISNUMBER(SEARCH("USA",S1713)),"United States",
ISNUMBER(SEARCH("Republic of Ireland",S1713)),"Ireland",
ISNUMBER(SEARCH("Republic of Korea",S1713)),"South Korea",
ISNUMBER(SEARCH("Cape Verde",S1713)),"Cabo Verde",
ISNUMBER(SEARCH("Czechia",S1713)),"Czech Republic",
ISNUMBER(SEARCH("Türkiye",S1713)),"Turkey",
ISNUMBER(SEARCH("Ivory Coast",S1713)),"Côte d'Ivoire",
ISNUMBER(SEARCH("Korea Republic",S1713)),"South Korea",
ISNUMBER(SEARCH("Germany FR",S1713)),"FR Germany",
ISNUMBER(SEARCH("West Germany",S1713)),"FR Germany",
ISNUMBER(SEARCH("Germany DR",S1713)),"DR Germany",
ISNUMBER(SEARCH("Korea DPR",S1713)),"North Korea",
ISNUMBER(SEARCH("China PR",S1713)),"China",
ISNUMBER(SEARCH("IR Iran",S1713)),"Iran",
ISNUMBER(SEARCH("Congo DR",S1713)),"Democratic Republic of the Congo",
ISNUMBER(SEARCH("DR Congo",S1713)),"Democratic Republic of the Congo",
ISNUMBER(SEARCH("German DR",S1713)),"DR Germany",
ISNUMBER(SEARCH("rn""&gt;United Arab Emirates",S1713)),"United Arab Emirates",
ISNUMBER(SEARCH("rn""&gt;Republic of Ireland",S1713)),"Ireland",
ISNUMBER(SEARCH("rn""&gt;Bosnia and Herzegovina",S1713)),"Bosnia and Herzegovina",
ISNUMBER(SEARCH("rn""&gt;Trinidad and Tobago",S1713)),"Trinidad and Tobago",
ISNUMBER(SEARCH("rn""&gt;Serbia and Montenegro",S1713)),"Serbia and Montenegro",
ISNUMBER(SEARCH(_xlfn.UNICHAR(65533),S1713)),"Côte d'Ivoire",
TRUE,""
)</f>
        <v/>
      </c>
      <c r="W1713" s="12" t="str">
        <f t="shared" si="137"/>
        <v>Tunisia</v>
      </c>
    </row>
    <row r="1714" spans="2:23">
      <c r="B1714" s="76" t="str">
        <v>1934.0</v>
      </c>
      <c r="C1714" s="42" t="str">
        <v xml:space="preserve">27 May 1934 - 16:30 </v>
      </c>
      <c r="D1714" s="42" t="str">
        <v>Preliminary round</v>
      </c>
      <c r="E1714" s="42" t="str">
        <v>Littorio</v>
      </c>
      <c r="F1714" s="42" t="str">
        <v xml:space="preserve">Trieste </v>
      </c>
      <c r="G1714" s="42" t="str">
        <v>Czechoslovakia</v>
      </c>
      <c r="H1714" s="42" t="str">
        <v>2.0</v>
      </c>
      <c r="I1714" s="42" t="str">
        <v>1.0</v>
      </c>
      <c r="J1714" s="42" t="str">
        <v>Romania</v>
      </c>
      <c r="K1714" s="42" t="str">
        <v xml:space="preserve"> </v>
      </c>
      <c r="L1714" s="42" t="str">
        <f t="shared" si="134"/>
        <v xml:space="preserve">1934.0|27 May 1934 - 16:30 |Preliminary round|Littorio|Trieste |Czechoslovakia|2.0|1.0|Romania| </v>
      </c>
      <c r="M1714" s="42" t="str">
        <f>IF(COUNTIF($L$1689:L1714,L1714)&gt;1,"DOUBLON","OK")</f>
        <v>OK</v>
      </c>
      <c r="S1714" s="12" t="str">
        <v>Tunisia</v>
      </c>
      <c r="T1714" s="12" t="str">
        <f t="shared" si="135"/>
        <v>OK</v>
      </c>
      <c r="U1714" s="12" t="str">
        <f t="shared" si="136"/>
        <v>-</v>
      </c>
      <c r="V1714" s="12" t="str" cm="1">
        <f t="array" ref="V1714">_xlfn.IFS(
ISNUMBER(SEARCH("USA",S1714)),"United States",
ISNUMBER(SEARCH("Republic of Ireland",S1714)),"Ireland",
ISNUMBER(SEARCH("Republic of Korea",S1714)),"South Korea",
ISNUMBER(SEARCH("Cape Verde",S1714)),"Cabo Verde",
ISNUMBER(SEARCH("Czechia",S1714)),"Czech Republic",
ISNUMBER(SEARCH("Türkiye",S1714)),"Turkey",
ISNUMBER(SEARCH("Ivory Coast",S1714)),"Côte d'Ivoire",
ISNUMBER(SEARCH("Korea Republic",S1714)),"South Korea",
ISNUMBER(SEARCH("Germany FR",S1714)),"FR Germany",
ISNUMBER(SEARCH("West Germany",S1714)),"FR Germany",
ISNUMBER(SEARCH("Germany DR",S1714)),"DR Germany",
ISNUMBER(SEARCH("Korea DPR",S1714)),"North Korea",
ISNUMBER(SEARCH("China PR",S1714)),"China",
ISNUMBER(SEARCH("IR Iran",S1714)),"Iran",
ISNUMBER(SEARCH("Congo DR",S1714)),"Democratic Republic of the Congo",
ISNUMBER(SEARCH("DR Congo",S1714)),"Democratic Republic of the Congo",
ISNUMBER(SEARCH("German DR",S1714)),"DR Germany",
ISNUMBER(SEARCH("rn""&gt;United Arab Emirates",S1714)),"United Arab Emirates",
ISNUMBER(SEARCH("rn""&gt;Republic of Ireland",S1714)),"Ireland",
ISNUMBER(SEARCH("rn""&gt;Bosnia and Herzegovina",S1714)),"Bosnia and Herzegovina",
ISNUMBER(SEARCH("rn""&gt;Trinidad and Tobago",S1714)),"Trinidad and Tobago",
ISNUMBER(SEARCH("rn""&gt;Serbia and Montenegro",S1714)),"Serbia and Montenegro",
ISNUMBER(SEARCH(_xlfn.UNICHAR(65533),S1714)),"Côte d'Ivoire",
TRUE,""
)</f>
        <v/>
      </c>
      <c r="W1714" s="12" t="str">
        <f t="shared" si="137"/>
        <v>Tunisia</v>
      </c>
    </row>
    <row r="1715" spans="2:23">
      <c r="B1715" s="76" t="str">
        <v>1934.0</v>
      </c>
      <c r="C1715" s="42" t="str">
        <v xml:space="preserve">31 May 1934 - 16:30 </v>
      </c>
      <c r="D1715" s="42" t="str">
        <v>Quarter-finals</v>
      </c>
      <c r="E1715" s="42" t="str">
        <v>Stadio Benito Mussolini</v>
      </c>
      <c r="F1715" s="42" t="str">
        <v xml:space="preserve">Turin </v>
      </c>
      <c r="G1715" s="42" t="str">
        <v>Czechoslovakia</v>
      </c>
      <c r="H1715" s="42" t="str">
        <v>3.0</v>
      </c>
      <c r="I1715" s="42" t="str">
        <v>2.0</v>
      </c>
      <c r="J1715" s="42" t="str">
        <v>Switzerland</v>
      </c>
      <c r="K1715" s="42" t="str">
        <v xml:space="preserve"> </v>
      </c>
      <c r="L1715" s="42" t="str">
        <f t="shared" si="134"/>
        <v xml:space="preserve">1934.0|31 May 1934 - 16:30 |Quarter-finals|Stadio Benito Mussolini|Turin |Czechoslovakia|3.0|2.0|Switzerland| </v>
      </c>
      <c r="M1715" s="42" t="str">
        <f>IF(COUNTIF($L$1689:L1715,L1715)&gt;1,"DOUBLON","OK")</f>
        <v>OK</v>
      </c>
      <c r="S1715" s="12" t="str">
        <v>Tunisia</v>
      </c>
      <c r="T1715" s="12" t="str">
        <f t="shared" si="135"/>
        <v>OK</v>
      </c>
      <c r="U1715" s="12" t="str">
        <f t="shared" si="136"/>
        <v>-</v>
      </c>
      <c r="V1715" s="12" t="str" cm="1">
        <f t="array" ref="V1715">_xlfn.IFS(
ISNUMBER(SEARCH("USA",S1715)),"United States",
ISNUMBER(SEARCH("Republic of Ireland",S1715)),"Ireland",
ISNUMBER(SEARCH("Republic of Korea",S1715)),"South Korea",
ISNUMBER(SEARCH("Cape Verde",S1715)),"Cabo Verde",
ISNUMBER(SEARCH("Czechia",S1715)),"Czech Republic",
ISNUMBER(SEARCH("Türkiye",S1715)),"Turkey",
ISNUMBER(SEARCH("Ivory Coast",S1715)),"Côte d'Ivoire",
ISNUMBER(SEARCH("Korea Republic",S1715)),"South Korea",
ISNUMBER(SEARCH("Germany FR",S1715)),"FR Germany",
ISNUMBER(SEARCH("West Germany",S1715)),"FR Germany",
ISNUMBER(SEARCH("Germany DR",S1715)),"DR Germany",
ISNUMBER(SEARCH("Korea DPR",S1715)),"North Korea",
ISNUMBER(SEARCH("China PR",S1715)),"China",
ISNUMBER(SEARCH("IR Iran",S1715)),"Iran",
ISNUMBER(SEARCH("Congo DR",S1715)),"Democratic Republic of the Congo",
ISNUMBER(SEARCH("DR Congo",S1715)),"Democratic Republic of the Congo",
ISNUMBER(SEARCH("German DR",S1715)),"DR Germany",
ISNUMBER(SEARCH("rn""&gt;United Arab Emirates",S1715)),"United Arab Emirates",
ISNUMBER(SEARCH("rn""&gt;Republic of Ireland",S1715)),"Ireland",
ISNUMBER(SEARCH("rn""&gt;Bosnia and Herzegovina",S1715)),"Bosnia and Herzegovina",
ISNUMBER(SEARCH("rn""&gt;Trinidad and Tobago",S1715)),"Trinidad and Tobago",
ISNUMBER(SEARCH("rn""&gt;Serbia and Montenegro",S1715)),"Serbia and Montenegro",
ISNUMBER(SEARCH(_xlfn.UNICHAR(65533),S1715)),"Côte d'Ivoire",
TRUE,""
)</f>
        <v/>
      </c>
      <c r="W1715" s="12" t="str">
        <f t="shared" si="137"/>
        <v>Tunisia</v>
      </c>
    </row>
    <row r="1716" spans="2:23">
      <c r="B1716" s="76" t="str">
        <v>1934.0</v>
      </c>
      <c r="C1716" s="42" t="str">
        <v xml:space="preserve">31 May 1934 - 16:30 </v>
      </c>
      <c r="D1716" s="42" t="str">
        <v>Quarter-finals</v>
      </c>
      <c r="E1716" s="42" t="str">
        <v>San Siro</v>
      </c>
      <c r="F1716" s="42" t="str">
        <v xml:space="preserve">Milan </v>
      </c>
      <c r="G1716" s="42" t="str">
        <v>Germany</v>
      </c>
      <c r="H1716" s="42" t="str">
        <v>2.0</v>
      </c>
      <c r="I1716" s="42" t="str">
        <v>1.0</v>
      </c>
      <c r="J1716" s="42" t="str">
        <v>Sweden</v>
      </c>
      <c r="K1716" s="42" t="str">
        <v xml:space="preserve"> </v>
      </c>
      <c r="L1716" s="42" t="str">
        <f t="shared" si="134"/>
        <v xml:space="preserve">1934.0|31 May 1934 - 16:30 |Quarter-finals|San Siro|Milan |Germany|2.0|1.0|Sweden| </v>
      </c>
      <c r="M1716" s="42" t="str">
        <f>IF(COUNTIF($L$1689:L1716,L1716)&gt;1,"DOUBLON","OK")</f>
        <v>OK</v>
      </c>
      <c r="S1716" s="12" t="str">
        <v>Tunisia</v>
      </c>
      <c r="T1716" s="12" t="str">
        <f t="shared" si="135"/>
        <v>OK</v>
      </c>
      <c r="U1716" s="12" t="str">
        <f t="shared" si="136"/>
        <v>-</v>
      </c>
      <c r="V1716" s="12" t="str" cm="1">
        <f t="array" ref="V1716">_xlfn.IFS(
ISNUMBER(SEARCH("USA",S1716)),"United States",
ISNUMBER(SEARCH("Republic of Ireland",S1716)),"Ireland",
ISNUMBER(SEARCH("Republic of Korea",S1716)),"South Korea",
ISNUMBER(SEARCH("Cape Verde",S1716)),"Cabo Verde",
ISNUMBER(SEARCH("Czechia",S1716)),"Czech Republic",
ISNUMBER(SEARCH("Türkiye",S1716)),"Turkey",
ISNUMBER(SEARCH("Ivory Coast",S1716)),"Côte d'Ivoire",
ISNUMBER(SEARCH("Korea Republic",S1716)),"South Korea",
ISNUMBER(SEARCH("Germany FR",S1716)),"FR Germany",
ISNUMBER(SEARCH("West Germany",S1716)),"FR Germany",
ISNUMBER(SEARCH("Germany DR",S1716)),"DR Germany",
ISNUMBER(SEARCH("Korea DPR",S1716)),"North Korea",
ISNUMBER(SEARCH("China PR",S1716)),"China",
ISNUMBER(SEARCH("IR Iran",S1716)),"Iran",
ISNUMBER(SEARCH("Congo DR",S1716)),"Democratic Republic of the Congo",
ISNUMBER(SEARCH("DR Congo",S1716)),"Democratic Republic of the Congo",
ISNUMBER(SEARCH("German DR",S1716)),"DR Germany",
ISNUMBER(SEARCH("rn""&gt;United Arab Emirates",S1716)),"United Arab Emirates",
ISNUMBER(SEARCH("rn""&gt;Republic of Ireland",S1716)),"Ireland",
ISNUMBER(SEARCH("rn""&gt;Bosnia and Herzegovina",S1716)),"Bosnia and Herzegovina",
ISNUMBER(SEARCH("rn""&gt;Trinidad and Tobago",S1716)),"Trinidad and Tobago",
ISNUMBER(SEARCH("rn""&gt;Serbia and Montenegro",S1716)),"Serbia and Montenegro",
ISNUMBER(SEARCH(_xlfn.UNICHAR(65533),S1716)),"Côte d'Ivoire",
TRUE,""
)</f>
        <v/>
      </c>
      <c r="W1716" s="12" t="str">
        <f t="shared" si="137"/>
        <v>Tunisia</v>
      </c>
    </row>
    <row r="1717" spans="2:23">
      <c r="B1717" s="76" t="str">
        <v>1934.0</v>
      </c>
      <c r="C1717" s="42" t="str">
        <v xml:space="preserve">31 May 1934 - 16:30 </v>
      </c>
      <c r="D1717" s="42" t="str">
        <v>Quarter-finals</v>
      </c>
      <c r="E1717" s="42" t="str">
        <v>Giovanni Berta</v>
      </c>
      <c r="F1717" s="42" t="str">
        <v xml:space="preserve">Florence </v>
      </c>
      <c r="G1717" s="42" t="str">
        <v>Italy</v>
      </c>
      <c r="H1717" s="42" t="str">
        <v>1.0</v>
      </c>
      <c r="I1717" s="42" t="str">
        <v>1.0</v>
      </c>
      <c r="J1717" s="42" t="str">
        <v>Spain</v>
      </c>
      <c r="K1717" s="42" t="str">
        <v xml:space="preserve"> </v>
      </c>
      <c r="L1717" s="42" t="str">
        <f t="shared" si="134"/>
        <v xml:space="preserve">1934.0|31 May 1934 - 16:30 |Quarter-finals|Giovanni Berta|Florence |Italy|1.0|1.0|Spain| </v>
      </c>
      <c r="M1717" s="42" t="str">
        <f>IF(COUNTIF($L$1689:L1717,L1717)&gt;1,"DOUBLON","OK")</f>
        <v>OK</v>
      </c>
      <c r="S1717" s="12" t="str">
        <v>Tunisia</v>
      </c>
      <c r="T1717" s="12" t="str">
        <f t="shared" si="135"/>
        <v>OK</v>
      </c>
      <c r="U1717" s="12" t="str">
        <f t="shared" si="136"/>
        <v>-</v>
      </c>
      <c r="V1717" s="12" t="str" cm="1">
        <f t="array" ref="V1717">_xlfn.IFS(
ISNUMBER(SEARCH("USA",S1717)),"United States",
ISNUMBER(SEARCH("Republic of Ireland",S1717)),"Ireland",
ISNUMBER(SEARCH("Republic of Korea",S1717)),"South Korea",
ISNUMBER(SEARCH("Cape Verde",S1717)),"Cabo Verde",
ISNUMBER(SEARCH("Czechia",S1717)),"Czech Republic",
ISNUMBER(SEARCH("Türkiye",S1717)),"Turkey",
ISNUMBER(SEARCH("Ivory Coast",S1717)),"Côte d'Ivoire",
ISNUMBER(SEARCH("Korea Republic",S1717)),"South Korea",
ISNUMBER(SEARCH("Germany FR",S1717)),"FR Germany",
ISNUMBER(SEARCH("West Germany",S1717)),"FR Germany",
ISNUMBER(SEARCH("Germany DR",S1717)),"DR Germany",
ISNUMBER(SEARCH("Korea DPR",S1717)),"North Korea",
ISNUMBER(SEARCH("China PR",S1717)),"China",
ISNUMBER(SEARCH("IR Iran",S1717)),"Iran",
ISNUMBER(SEARCH("Congo DR",S1717)),"Democratic Republic of the Congo",
ISNUMBER(SEARCH("DR Congo",S1717)),"Democratic Republic of the Congo",
ISNUMBER(SEARCH("German DR",S1717)),"DR Germany",
ISNUMBER(SEARCH("rn""&gt;United Arab Emirates",S1717)),"United Arab Emirates",
ISNUMBER(SEARCH("rn""&gt;Republic of Ireland",S1717)),"Ireland",
ISNUMBER(SEARCH("rn""&gt;Bosnia and Herzegovina",S1717)),"Bosnia and Herzegovina",
ISNUMBER(SEARCH("rn""&gt;Trinidad and Tobago",S1717)),"Trinidad and Tobago",
ISNUMBER(SEARCH("rn""&gt;Serbia and Montenegro",S1717)),"Serbia and Montenegro",
ISNUMBER(SEARCH(_xlfn.UNICHAR(65533),S1717)),"Côte d'Ivoire",
TRUE,""
)</f>
        <v/>
      </c>
      <c r="W1717" s="12" t="str">
        <f t="shared" si="137"/>
        <v>Tunisia</v>
      </c>
    </row>
    <row r="1718" spans="2:23">
      <c r="B1718" s="76" t="str">
        <v>1934.0</v>
      </c>
      <c r="C1718" s="42" t="str">
        <v xml:space="preserve">31 May 1934 - 16:30 </v>
      </c>
      <c r="D1718" s="42" t="str">
        <v>Quarter-finals</v>
      </c>
      <c r="E1718" s="42" t="str">
        <v>Littorale</v>
      </c>
      <c r="F1718" s="42" t="str">
        <v xml:space="preserve">Bologna </v>
      </c>
      <c r="G1718" s="42" t="str">
        <v>Austria</v>
      </c>
      <c r="H1718" s="42" t="str">
        <v>2.0</v>
      </c>
      <c r="I1718" s="42" t="str">
        <v>1.0</v>
      </c>
      <c r="J1718" s="42" t="str">
        <v>Hungary</v>
      </c>
      <c r="K1718" s="42" t="str">
        <v xml:space="preserve"> </v>
      </c>
      <c r="L1718" s="42" t="str">
        <f t="shared" si="134"/>
        <v xml:space="preserve">1934.0|31 May 1934 - 16:30 |Quarter-finals|Littorale|Bologna |Austria|2.0|1.0|Hungary| </v>
      </c>
      <c r="M1718" s="42" t="str">
        <f>IF(COUNTIF($L$1689:L1718,L1718)&gt;1,"DOUBLON","OK")</f>
        <v>OK</v>
      </c>
      <c r="S1718" s="12" t="str">
        <v>Tunisia</v>
      </c>
      <c r="T1718" s="12" t="str">
        <f t="shared" si="135"/>
        <v>OK</v>
      </c>
      <c r="U1718" s="12" t="str">
        <f t="shared" si="136"/>
        <v>-</v>
      </c>
      <c r="V1718" s="12" t="str" cm="1">
        <f t="array" ref="V1718">_xlfn.IFS(
ISNUMBER(SEARCH("USA",S1718)),"United States",
ISNUMBER(SEARCH("Republic of Ireland",S1718)),"Ireland",
ISNUMBER(SEARCH("Republic of Korea",S1718)),"South Korea",
ISNUMBER(SEARCH("Cape Verde",S1718)),"Cabo Verde",
ISNUMBER(SEARCH("Czechia",S1718)),"Czech Republic",
ISNUMBER(SEARCH("Türkiye",S1718)),"Turkey",
ISNUMBER(SEARCH("Ivory Coast",S1718)),"Côte d'Ivoire",
ISNUMBER(SEARCH("Korea Republic",S1718)),"South Korea",
ISNUMBER(SEARCH("Germany FR",S1718)),"FR Germany",
ISNUMBER(SEARCH("West Germany",S1718)),"FR Germany",
ISNUMBER(SEARCH("Germany DR",S1718)),"DR Germany",
ISNUMBER(SEARCH("Korea DPR",S1718)),"North Korea",
ISNUMBER(SEARCH("China PR",S1718)),"China",
ISNUMBER(SEARCH("IR Iran",S1718)),"Iran",
ISNUMBER(SEARCH("Congo DR",S1718)),"Democratic Republic of the Congo",
ISNUMBER(SEARCH("DR Congo",S1718)),"Democratic Republic of the Congo",
ISNUMBER(SEARCH("German DR",S1718)),"DR Germany",
ISNUMBER(SEARCH("rn""&gt;United Arab Emirates",S1718)),"United Arab Emirates",
ISNUMBER(SEARCH("rn""&gt;Republic of Ireland",S1718)),"Ireland",
ISNUMBER(SEARCH("rn""&gt;Bosnia and Herzegovina",S1718)),"Bosnia and Herzegovina",
ISNUMBER(SEARCH("rn""&gt;Trinidad and Tobago",S1718)),"Trinidad and Tobago",
ISNUMBER(SEARCH("rn""&gt;Serbia and Montenegro",S1718)),"Serbia and Montenegro",
ISNUMBER(SEARCH(_xlfn.UNICHAR(65533),S1718)),"Côte d'Ivoire",
TRUE,""
)</f>
        <v/>
      </c>
      <c r="W1718" s="12" t="str">
        <f t="shared" si="137"/>
        <v>Tunisia</v>
      </c>
    </row>
    <row r="1719" spans="2:23">
      <c r="B1719" s="76" t="str">
        <v>1934.0</v>
      </c>
      <c r="C1719" s="42" t="str">
        <v xml:space="preserve">01 Jun 1934 - 16:30 </v>
      </c>
      <c r="D1719" s="42" t="str">
        <v>Quarter-finals</v>
      </c>
      <c r="E1719" s="42" t="str">
        <v>Giovanni Berta</v>
      </c>
      <c r="F1719" s="42" t="str">
        <v xml:space="preserve">Florence </v>
      </c>
      <c r="G1719" s="42" t="str">
        <v>Italy</v>
      </c>
      <c r="H1719" s="42" t="str">
        <v>1.0</v>
      </c>
      <c r="I1719" s="42" t="str">
        <v>0.0</v>
      </c>
      <c r="J1719" s="42" t="str">
        <v>Spain</v>
      </c>
      <c r="K1719" s="42" t="str">
        <v xml:space="preserve"> </v>
      </c>
      <c r="L1719" s="42" t="str">
        <f t="shared" si="134"/>
        <v xml:space="preserve">1934.0|01 Jun 1934 - 16:30 |Quarter-finals|Giovanni Berta|Florence |Italy|1.0|0.0|Spain| </v>
      </c>
      <c r="M1719" s="42" t="str">
        <f>IF(COUNTIF($L$1689:L1719,L1719)&gt;1,"DOUBLON","OK")</f>
        <v>OK</v>
      </c>
      <c r="S1719" s="12" t="str">
        <v>Sweden</v>
      </c>
      <c r="T1719" s="12" t="str">
        <f t="shared" si="135"/>
        <v>OK</v>
      </c>
      <c r="U1719" s="12" t="str">
        <f t="shared" si="136"/>
        <v>-</v>
      </c>
      <c r="V1719" s="12" t="str" cm="1">
        <f t="array" ref="V1719">_xlfn.IFS(
ISNUMBER(SEARCH("USA",S1719)),"United States",
ISNUMBER(SEARCH("Republic of Ireland",S1719)),"Ireland",
ISNUMBER(SEARCH("Republic of Korea",S1719)),"South Korea",
ISNUMBER(SEARCH("Cape Verde",S1719)),"Cabo Verde",
ISNUMBER(SEARCH("Czechia",S1719)),"Czech Republic",
ISNUMBER(SEARCH("Türkiye",S1719)),"Turkey",
ISNUMBER(SEARCH("Ivory Coast",S1719)),"Côte d'Ivoire",
ISNUMBER(SEARCH("Korea Republic",S1719)),"South Korea",
ISNUMBER(SEARCH("Germany FR",S1719)),"FR Germany",
ISNUMBER(SEARCH("West Germany",S1719)),"FR Germany",
ISNUMBER(SEARCH("Germany DR",S1719)),"DR Germany",
ISNUMBER(SEARCH("Korea DPR",S1719)),"North Korea",
ISNUMBER(SEARCH("China PR",S1719)),"China",
ISNUMBER(SEARCH("IR Iran",S1719)),"Iran",
ISNUMBER(SEARCH("Congo DR",S1719)),"Democratic Republic of the Congo",
ISNUMBER(SEARCH("DR Congo",S1719)),"Democratic Republic of the Congo",
ISNUMBER(SEARCH("German DR",S1719)),"DR Germany",
ISNUMBER(SEARCH("rn""&gt;United Arab Emirates",S1719)),"United Arab Emirates",
ISNUMBER(SEARCH("rn""&gt;Republic of Ireland",S1719)),"Ireland",
ISNUMBER(SEARCH("rn""&gt;Bosnia and Herzegovina",S1719)),"Bosnia and Herzegovina",
ISNUMBER(SEARCH("rn""&gt;Trinidad and Tobago",S1719)),"Trinidad and Tobago",
ISNUMBER(SEARCH("rn""&gt;Serbia and Montenegro",S1719)),"Serbia and Montenegro",
ISNUMBER(SEARCH(_xlfn.UNICHAR(65533),S1719)),"Côte d'Ivoire",
TRUE,""
)</f>
        <v/>
      </c>
      <c r="W1719" s="12" t="str">
        <f t="shared" si="137"/>
        <v>Sweden</v>
      </c>
    </row>
    <row r="1720" spans="2:23">
      <c r="B1720" s="76" t="str">
        <v>1934.0</v>
      </c>
      <c r="C1720" s="42" t="str">
        <v xml:space="preserve">03 Jun 1934 - 16:30 </v>
      </c>
      <c r="D1720" s="42" t="str">
        <v>Semi-finals</v>
      </c>
      <c r="E1720" s="42" t="str">
        <v>San Siro</v>
      </c>
      <c r="F1720" s="42" t="str">
        <v xml:space="preserve">Milan </v>
      </c>
      <c r="G1720" s="42" t="str">
        <v>Italy</v>
      </c>
      <c r="H1720" s="42" t="str">
        <v>1.0</v>
      </c>
      <c r="I1720" s="42" t="str">
        <v>0.0</v>
      </c>
      <c r="J1720" s="42" t="str">
        <v>Austria</v>
      </c>
      <c r="K1720" s="42" t="str">
        <v xml:space="preserve"> </v>
      </c>
      <c r="L1720" s="42" t="str">
        <f t="shared" si="134"/>
        <v xml:space="preserve">1934.0|03 Jun 1934 - 16:30 |Semi-finals|San Siro|Milan |Italy|1.0|0.0|Austria| </v>
      </c>
      <c r="M1720" s="42" t="str">
        <f>IF(COUNTIF($L$1689:L1720,L1720)&gt;1,"DOUBLON","OK")</f>
        <v>OK</v>
      </c>
      <c r="S1720" s="12" t="str">
        <v>Sweden</v>
      </c>
      <c r="T1720" s="12" t="str">
        <f t="shared" si="135"/>
        <v>OK</v>
      </c>
      <c r="U1720" s="12" t="str">
        <f t="shared" si="136"/>
        <v>-</v>
      </c>
      <c r="V1720" s="12" t="str" cm="1">
        <f t="array" ref="V1720">_xlfn.IFS(
ISNUMBER(SEARCH("USA",S1720)),"United States",
ISNUMBER(SEARCH("Republic of Ireland",S1720)),"Ireland",
ISNUMBER(SEARCH("Republic of Korea",S1720)),"South Korea",
ISNUMBER(SEARCH("Cape Verde",S1720)),"Cabo Verde",
ISNUMBER(SEARCH("Czechia",S1720)),"Czech Republic",
ISNUMBER(SEARCH("Türkiye",S1720)),"Turkey",
ISNUMBER(SEARCH("Ivory Coast",S1720)),"Côte d'Ivoire",
ISNUMBER(SEARCH("Korea Republic",S1720)),"South Korea",
ISNUMBER(SEARCH("Germany FR",S1720)),"FR Germany",
ISNUMBER(SEARCH("West Germany",S1720)),"FR Germany",
ISNUMBER(SEARCH("Germany DR",S1720)),"DR Germany",
ISNUMBER(SEARCH("Korea DPR",S1720)),"North Korea",
ISNUMBER(SEARCH("China PR",S1720)),"China",
ISNUMBER(SEARCH("IR Iran",S1720)),"Iran",
ISNUMBER(SEARCH("Congo DR",S1720)),"Democratic Republic of the Congo",
ISNUMBER(SEARCH("DR Congo",S1720)),"Democratic Republic of the Congo",
ISNUMBER(SEARCH("German DR",S1720)),"DR Germany",
ISNUMBER(SEARCH("rn""&gt;United Arab Emirates",S1720)),"United Arab Emirates",
ISNUMBER(SEARCH("rn""&gt;Republic of Ireland",S1720)),"Ireland",
ISNUMBER(SEARCH("rn""&gt;Bosnia and Herzegovina",S1720)),"Bosnia and Herzegovina",
ISNUMBER(SEARCH("rn""&gt;Trinidad and Tobago",S1720)),"Trinidad and Tobago",
ISNUMBER(SEARCH("rn""&gt;Serbia and Montenegro",S1720)),"Serbia and Montenegro",
ISNUMBER(SEARCH(_xlfn.UNICHAR(65533),S1720)),"Côte d'Ivoire",
TRUE,""
)</f>
        <v/>
      </c>
      <c r="W1720" s="12" t="str">
        <f t="shared" si="137"/>
        <v>Sweden</v>
      </c>
    </row>
    <row r="1721" spans="2:23">
      <c r="B1721" s="76" t="str">
        <v>1934.0</v>
      </c>
      <c r="C1721" s="42" t="str">
        <v xml:space="preserve">03 Jun 1934 - 16:30 </v>
      </c>
      <c r="D1721" s="42" t="str">
        <v>Semi-finals</v>
      </c>
      <c r="E1721" s="42" t="str">
        <v>Nazionale PNF</v>
      </c>
      <c r="F1721" s="42" t="str">
        <v xml:space="preserve">Rome </v>
      </c>
      <c r="G1721" s="42" t="str">
        <v>Czechoslovakia</v>
      </c>
      <c r="H1721" s="42" t="str">
        <v>3.0</v>
      </c>
      <c r="I1721" s="42" t="str">
        <v>1.0</v>
      </c>
      <c r="J1721" s="42" t="str">
        <v>Germany</v>
      </c>
      <c r="K1721" s="42" t="str">
        <v xml:space="preserve"> </v>
      </c>
      <c r="L1721" s="42" t="str">
        <f t="shared" si="134"/>
        <v xml:space="preserve">1934.0|03 Jun 1934 - 16:30 |Semi-finals|Nazionale PNF|Rome |Czechoslovakia|3.0|1.0|Germany| </v>
      </c>
      <c r="M1721" s="42" t="str">
        <f>IF(COUNTIF($L$1689:L1721,L1721)&gt;1,"DOUBLON","OK")</f>
        <v>OK</v>
      </c>
      <c r="S1721" s="12" t="str">
        <v>Sweden</v>
      </c>
      <c r="T1721" s="12" t="str">
        <f t="shared" si="135"/>
        <v>OK</v>
      </c>
      <c r="U1721" s="12" t="str">
        <f t="shared" si="136"/>
        <v>-</v>
      </c>
      <c r="V1721" s="12" t="str" cm="1">
        <f t="array" ref="V1721">_xlfn.IFS(
ISNUMBER(SEARCH("USA",S1721)),"United States",
ISNUMBER(SEARCH("Republic of Ireland",S1721)),"Ireland",
ISNUMBER(SEARCH("Republic of Korea",S1721)),"South Korea",
ISNUMBER(SEARCH("Cape Verde",S1721)),"Cabo Verde",
ISNUMBER(SEARCH("Czechia",S1721)),"Czech Republic",
ISNUMBER(SEARCH("Türkiye",S1721)),"Turkey",
ISNUMBER(SEARCH("Ivory Coast",S1721)),"Côte d'Ivoire",
ISNUMBER(SEARCH("Korea Republic",S1721)),"South Korea",
ISNUMBER(SEARCH("Germany FR",S1721)),"FR Germany",
ISNUMBER(SEARCH("West Germany",S1721)),"FR Germany",
ISNUMBER(SEARCH("Germany DR",S1721)),"DR Germany",
ISNUMBER(SEARCH("Korea DPR",S1721)),"North Korea",
ISNUMBER(SEARCH("China PR",S1721)),"China",
ISNUMBER(SEARCH("IR Iran",S1721)),"Iran",
ISNUMBER(SEARCH("Congo DR",S1721)),"Democratic Republic of the Congo",
ISNUMBER(SEARCH("DR Congo",S1721)),"Democratic Republic of the Congo",
ISNUMBER(SEARCH("German DR",S1721)),"DR Germany",
ISNUMBER(SEARCH("rn""&gt;United Arab Emirates",S1721)),"United Arab Emirates",
ISNUMBER(SEARCH("rn""&gt;Republic of Ireland",S1721)),"Ireland",
ISNUMBER(SEARCH("rn""&gt;Bosnia and Herzegovina",S1721)),"Bosnia and Herzegovina",
ISNUMBER(SEARCH("rn""&gt;Trinidad and Tobago",S1721)),"Trinidad and Tobago",
ISNUMBER(SEARCH("rn""&gt;Serbia and Montenegro",S1721)),"Serbia and Montenegro",
ISNUMBER(SEARCH(_xlfn.UNICHAR(65533),S1721)),"Côte d'Ivoire",
TRUE,""
)</f>
        <v/>
      </c>
      <c r="W1721" s="12" t="str">
        <f t="shared" si="137"/>
        <v>Sweden</v>
      </c>
    </row>
    <row r="1722" spans="2:23">
      <c r="B1722" s="76" t="str">
        <v>1934.0</v>
      </c>
      <c r="C1722" s="42" t="str">
        <v xml:space="preserve">07 Jun 1934 - 18:00 </v>
      </c>
      <c r="D1722" s="42" t="str">
        <v>Match for third place</v>
      </c>
      <c r="E1722" s="42" t="str">
        <v>Giorgio Ascarelli</v>
      </c>
      <c r="F1722" s="42" t="str">
        <v xml:space="preserve">Naples </v>
      </c>
      <c r="G1722" s="42" t="str">
        <v>Germany</v>
      </c>
      <c r="H1722" s="42" t="str">
        <v>3.0</v>
      </c>
      <c r="I1722" s="42" t="str">
        <v>2.0</v>
      </c>
      <c r="J1722" s="42" t="str">
        <v>Austria</v>
      </c>
      <c r="K1722" s="42" t="str">
        <v xml:space="preserve"> </v>
      </c>
      <c r="L1722" s="42" t="str">
        <f t="shared" si="134"/>
        <v xml:space="preserve">1934.0|07 Jun 1934 - 18:00 |Match for third place|Giorgio Ascarelli|Naples |Germany|3.0|2.0|Austria| </v>
      </c>
      <c r="M1722" s="42" t="str">
        <f>IF(COUNTIF($L$1689:L1722,L1722)&gt;1,"DOUBLON","OK")</f>
        <v>OK</v>
      </c>
      <c r="S1722" s="12" t="str">
        <v>Sweden</v>
      </c>
      <c r="T1722" s="12" t="str">
        <f t="shared" si="135"/>
        <v>OK</v>
      </c>
      <c r="U1722" s="12" t="str">
        <f t="shared" si="136"/>
        <v>-</v>
      </c>
      <c r="V1722" s="12" t="str" cm="1">
        <f t="array" ref="V1722">_xlfn.IFS(
ISNUMBER(SEARCH("USA",S1722)),"United States",
ISNUMBER(SEARCH("Republic of Ireland",S1722)),"Ireland",
ISNUMBER(SEARCH("Republic of Korea",S1722)),"South Korea",
ISNUMBER(SEARCH("Cape Verde",S1722)),"Cabo Verde",
ISNUMBER(SEARCH("Czechia",S1722)),"Czech Republic",
ISNUMBER(SEARCH("Türkiye",S1722)),"Turkey",
ISNUMBER(SEARCH("Ivory Coast",S1722)),"Côte d'Ivoire",
ISNUMBER(SEARCH("Korea Republic",S1722)),"South Korea",
ISNUMBER(SEARCH("Germany FR",S1722)),"FR Germany",
ISNUMBER(SEARCH("West Germany",S1722)),"FR Germany",
ISNUMBER(SEARCH("Germany DR",S1722)),"DR Germany",
ISNUMBER(SEARCH("Korea DPR",S1722)),"North Korea",
ISNUMBER(SEARCH("China PR",S1722)),"China",
ISNUMBER(SEARCH("IR Iran",S1722)),"Iran",
ISNUMBER(SEARCH("Congo DR",S1722)),"Democratic Republic of the Congo",
ISNUMBER(SEARCH("DR Congo",S1722)),"Democratic Republic of the Congo",
ISNUMBER(SEARCH("German DR",S1722)),"DR Germany",
ISNUMBER(SEARCH("rn""&gt;United Arab Emirates",S1722)),"United Arab Emirates",
ISNUMBER(SEARCH("rn""&gt;Republic of Ireland",S1722)),"Ireland",
ISNUMBER(SEARCH("rn""&gt;Bosnia and Herzegovina",S1722)),"Bosnia and Herzegovina",
ISNUMBER(SEARCH("rn""&gt;Trinidad and Tobago",S1722)),"Trinidad and Tobago",
ISNUMBER(SEARCH("rn""&gt;Serbia and Montenegro",S1722)),"Serbia and Montenegro",
ISNUMBER(SEARCH(_xlfn.UNICHAR(65533),S1722)),"Côte d'Ivoire",
TRUE,""
)</f>
        <v/>
      </c>
      <c r="W1722" s="12" t="str">
        <f t="shared" si="137"/>
        <v>Sweden</v>
      </c>
    </row>
    <row r="1723" spans="2:23">
      <c r="B1723" s="76" t="str">
        <v>1934.0</v>
      </c>
      <c r="C1723" s="42" t="str">
        <v xml:space="preserve">10 Jun 1934 - 17:30 </v>
      </c>
      <c r="D1723" s="42" t="str">
        <v>Final</v>
      </c>
      <c r="E1723" s="42" t="str">
        <v>Nazionale PNF</v>
      </c>
      <c r="F1723" s="42" t="str">
        <v xml:space="preserve">Rome </v>
      </c>
      <c r="G1723" s="42" t="str">
        <v>Italy</v>
      </c>
      <c r="H1723" s="42" t="str">
        <v>2.0</v>
      </c>
      <c r="I1723" s="42" t="str">
        <v>1.0</v>
      </c>
      <c r="J1723" s="42" t="str">
        <v>Czechoslovakia</v>
      </c>
      <c r="K1723" s="42" t="str">
        <v xml:space="preserve">Italy win after extra time </v>
      </c>
      <c r="L1723" s="42" t="str">
        <f t="shared" si="134"/>
        <v xml:space="preserve">1934.0|10 Jun 1934 - 17:30 |Final|Nazionale PNF|Rome |Italy|2.0|1.0|Czechoslovakia|Italy win after extra time </v>
      </c>
      <c r="M1723" s="42" t="str">
        <f>IF(COUNTIF($L$1689:L1723,L1723)&gt;1,"DOUBLON","OK")</f>
        <v>OK</v>
      </c>
      <c r="S1723" s="12" t="str">
        <v>Sweden</v>
      </c>
      <c r="T1723" s="12" t="str">
        <f t="shared" si="135"/>
        <v>OK</v>
      </c>
      <c r="U1723" s="12" t="str">
        <f t="shared" si="136"/>
        <v>-</v>
      </c>
      <c r="V1723" s="12" t="str" cm="1">
        <f t="array" ref="V1723">_xlfn.IFS(
ISNUMBER(SEARCH("USA",S1723)),"United States",
ISNUMBER(SEARCH("Republic of Ireland",S1723)),"Ireland",
ISNUMBER(SEARCH("Republic of Korea",S1723)),"South Korea",
ISNUMBER(SEARCH("Cape Verde",S1723)),"Cabo Verde",
ISNUMBER(SEARCH("Czechia",S1723)),"Czech Republic",
ISNUMBER(SEARCH("Türkiye",S1723)),"Turkey",
ISNUMBER(SEARCH("Ivory Coast",S1723)),"Côte d'Ivoire",
ISNUMBER(SEARCH("Korea Republic",S1723)),"South Korea",
ISNUMBER(SEARCH("Germany FR",S1723)),"FR Germany",
ISNUMBER(SEARCH("West Germany",S1723)),"FR Germany",
ISNUMBER(SEARCH("Germany DR",S1723)),"DR Germany",
ISNUMBER(SEARCH("Korea DPR",S1723)),"North Korea",
ISNUMBER(SEARCH("China PR",S1723)),"China",
ISNUMBER(SEARCH("IR Iran",S1723)),"Iran",
ISNUMBER(SEARCH("Congo DR",S1723)),"Democratic Republic of the Congo",
ISNUMBER(SEARCH("DR Congo",S1723)),"Democratic Republic of the Congo",
ISNUMBER(SEARCH("German DR",S1723)),"DR Germany",
ISNUMBER(SEARCH("rn""&gt;United Arab Emirates",S1723)),"United Arab Emirates",
ISNUMBER(SEARCH("rn""&gt;Republic of Ireland",S1723)),"Ireland",
ISNUMBER(SEARCH("rn""&gt;Bosnia and Herzegovina",S1723)),"Bosnia and Herzegovina",
ISNUMBER(SEARCH("rn""&gt;Trinidad and Tobago",S1723)),"Trinidad and Tobago",
ISNUMBER(SEARCH("rn""&gt;Serbia and Montenegro",S1723)),"Serbia and Montenegro",
ISNUMBER(SEARCH(_xlfn.UNICHAR(65533),S1723)),"Côte d'Ivoire",
TRUE,""
)</f>
        <v/>
      </c>
      <c r="W1723" s="12" t="str">
        <f t="shared" si="137"/>
        <v>Sweden</v>
      </c>
    </row>
    <row r="1724" spans="2:23">
      <c r="B1724" s="76" t="str">
        <v>1938.0</v>
      </c>
      <c r="C1724" s="42" t="str">
        <v xml:space="preserve">04 Jun 1938 - 17:00 </v>
      </c>
      <c r="D1724" s="42" t="str">
        <v>First round</v>
      </c>
      <c r="E1724" s="42" t="str">
        <v>Parc des Princes</v>
      </c>
      <c r="F1724" s="42" t="str">
        <v xml:space="preserve">Paris </v>
      </c>
      <c r="G1724" s="42" t="str">
        <v>Switzerland</v>
      </c>
      <c r="H1724" s="42" t="str">
        <v>1.0</v>
      </c>
      <c r="I1724" s="42" t="str">
        <v>1.0</v>
      </c>
      <c r="J1724" s="42" t="str">
        <v>Germany</v>
      </c>
      <c r="K1724" s="42" t="str">
        <v xml:space="preserve"> </v>
      </c>
      <c r="L1724" s="42" t="str">
        <f t="shared" si="134"/>
        <v xml:space="preserve">1938.0|04 Jun 1938 - 17:00 |First round|Parc des Princes|Paris |Switzerland|1.0|1.0|Germany| </v>
      </c>
      <c r="M1724" s="42" t="str">
        <f>IF(COUNTIF($L$1689:L1724,L1724)&gt;1,"DOUBLON","OK")</f>
        <v>OK</v>
      </c>
      <c r="S1724" s="12" t="str">
        <v>Sweden</v>
      </c>
      <c r="T1724" s="12" t="str">
        <f t="shared" si="135"/>
        <v>OK</v>
      </c>
      <c r="U1724" s="12" t="str">
        <f t="shared" si="136"/>
        <v>-</v>
      </c>
      <c r="V1724" s="12" t="str" cm="1">
        <f t="array" ref="V1724">_xlfn.IFS(
ISNUMBER(SEARCH("USA",S1724)),"United States",
ISNUMBER(SEARCH("Republic of Ireland",S1724)),"Ireland",
ISNUMBER(SEARCH("Republic of Korea",S1724)),"South Korea",
ISNUMBER(SEARCH("Cape Verde",S1724)),"Cabo Verde",
ISNUMBER(SEARCH("Czechia",S1724)),"Czech Republic",
ISNUMBER(SEARCH("Türkiye",S1724)),"Turkey",
ISNUMBER(SEARCH("Ivory Coast",S1724)),"Côte d'Ivoire",
ISNUMBER(SEARCH("Korea Republic",S1724)),"South Korea",
ISNUMBER(SEARCH("Germany FR",S1724)),"FR Germany",
ISNUMBER(SEARCH("West Germany",S1724)),"FR Germany",
ISNUMBER(SEARCH("Germany DR",S1724)),"DR Germany",
ISNUMBER(SEARCH("Korea DPR",S1724)),"North Korea",
ISNUMBER(SEARCH("China PR",S1724)),"China",
ISNUMBER(SEARCH("IR Iran",S1724)),"Iran",
ISNUMBER(SEARCH("Congo DR",S1724)),"Democratic Republic of the Congo",
ISNUMBER(SEARCH("DR Congo",S1724)),"Democratic Republic of the Congo",
ISNUMBER(SEARCH("German DR",S1724)),"DR Germany",
ISNUMBER(SEARCH("rn""&gt;United Arab Emirates",S1724)),"United Arab Emirates",
ISNUMBER(SEARCH("rn""&gt;Republic of Ireland",S1724)),"Ireland",
ISNUMBER(SEARCH("rn""&gt;Bosnia and Herzegovina",S1724)),"Bosnia and Herzegovina",
ISNUMBER(SEARCH("rn""&gt;Trinidad and Tobago",S1724)),"Trinidad and Tobago",
ISNUMBER(SEARCH("rn""&gt;Serbia and Montenegro",S1724)),"Serbia and Montenegro",
ISNUMBER(SEARCH(_xlfn.UNICHAR(65533),S1724)),"Côte d'Ivoire",
TRUE,""
)</f>
        <v/>
      </c>
      <c r="W1724" s="12" t="str">
        <f t="shared" si="137"/>
        <v>Sweden</v>
      </c>
    </row>
    <row r="1725" spans="2:23">
      <c r="B1725" s="76" t="str">
        <v>1938.0</v>
      </c>
      <c r="C1725" s="42" t="str">
        <v xml:space="preserve">05 Jun 1938 - 17:00 </v>
      </c>
      <c r="D1725" s="42" t="str">
        <v>First round</v>
      </c>
      <c r="E1725" s="42" t="str">
        <v>Velodrome Municipale</v>
      </c>
      <c r="F1725" s="42" t="str">
        <v xml:space="preserve">Reims </v>
      </c>
      <c r="G1725" s="42" t="str">
        <v>Hungary</v>
      </c>
      <c r="H1725" s="42" t="str">
        <v>6.0</v>
      </c>
      <c r="I1725" s="42" t="str">
        <v>0.0</v>
      </c>
      <c r="J1725" s="42" t="str">
        <v>Dutch East Indies</v>
      </c>
      <c r="K1725" s="42" t="str">
        <v xml:space="preserve"> </v>
      </c>
      <c r="L1725" s="42" t="str">
        <f t="shared" si="134"/>
        <v xml:space="preserve">1938.0|05 Jun 1938 - 17:00 |First round|Velodrome Municipale|Reims |Hungary|6.0|0.0|Dutch East Indies| </v>
      </c>
      <c r="M1725" s="42" t="str">
        <f>IF(COUNTIF($L$1689:L1725,L1725)&gt;1,"DOUBLON","OK")</f>
        <v>OK</v>
      </c>
      <c r="S1725" s="12" t="str">
        <v>Sweden</v>
      </c>
      <c r="T1725" s="12" t="str">
        <f t="shared" si="135"/>
        <v>OK</v>
      </c>
      <c r="U1725" s="12" t="str">
        <f t="shared" si="136"/>
        <v>-</v>
      </c>
      <c r="V1725" s="12" t="str" cm="1">
        <f t="array" ref="V1725">_xlfn.IFS(
ISNUMBER(SEARCH("USA",S1725)),"United States",
ISNUMBER(SEARCH("Republic of Ireland",S1725)),"Ireland",
ISNUMBER(SEARCH("Republic of Korea",S1725)),"South Korea",
ISNUMBER(SEARCH("Cape Verde",S1725)),"Cabo Verde",
ISNUMBER(SEARCH("Czechia",S1725)),"Czech Republic",
ISNUMBER(SEARCH("Türkiye",S1725)),"Turkey",
ISNUMBER(SEARCH("Ivory Coast",S1725)),"Côte d'Ivoire",
ISNUMBER(SEARCH("Korea Republic",S1725)),"South Korea",
ISNUMBER(SEARCH("Germany FR",S1725)),"FR Germany",
ISNUMBER(SEARCH("West Germany",S1725)),"FR Germany",
ISNUMBER(SEARCH("Germany DR",S1725)),"DR Germany",
ISNUMBER(SEARCH("Korea DPR",S1725)),"North Korea",
ISNUMBER(SEARCH("China PR",S1725)),"China",
ISNUMBER(SEARCH("IR Iran",S1725)),"Iran",
ISNUMBER(SEARCH("Congo DR",S1725)),"Democratic Republic of the Congo",
ISNUMBER(SEARCH("DR Congo",S1725)),"Democratic Republic of the Congo",
ISNUMBER(SEARCH("German DR",S1725)),"DR Germany",
ISNUMBER(SEARCH("rn""&gt;United Arab Emirates",S1725)),"United Arab Emirates",
ISNUMBER(SEARCH("rn""&gt;Republic of Ireland",S1725)),"Ireland",
ISNUMBER(SEARCH("rn""&gt;Bosnia and Herzegovina",S1725)),"Bosnia and Herzegovina",
ISNUMBER(SEARCH("rn""&gt;Trinidad and Tobago",S1725)),"Trinidad and Tobago",
ISNUMBER(SEARCH("rn""&gt;Serbia and Montenegro",S1725)),"Serbia and Montenegro",
ISNUMBER(SEARCH(_xlfn.UNICHAR(65533),S1725)),"Côte d'Ivoire",
TRUE,""
)</f>
        <v/>
      </c>
      <c r="W1725" s="12" t="str">
        <f t="shared" si="137"/>
        <v>Sweden</v>
      </c>
    </row>
    <row r="1726" spans="2:23">
      <c r="B1726" s="76" t="str">
        <v>1938.0</v>
      </c>
      <c r="C1726" s="42" t="str">
        <v xml:space="preserve">05 Jun 1938 - 17:00 </v>
      </c>
      <c r="D1726" s="42" t="str">
        <v>First round</v>
      </c>
      <c r="E1726" s="42" t="str">
        <v>Stade Olympique</v>
      </c>
      <c r="F1726" s="42" t="str">
        <v xml:space="preserve">Colombes </v>
      </c>
      <c r="G1726" s="42" t="str">
        <v>France</v>
      </c>
      <c r="H1726" s="42" t="str">
        <v>3.0</v>
      </c>
      <c r="I1726" s="42" t="str">
        <v>1.0</v>
      </c>
      <c r="J1726" s="42" t="str">
        <v>Belgium</v>
      </c>
      <c r="K1726" s="42" t="str">
        <v xml:space="preserve"> </v>
      </c>
      <c r="L1726" s="42" t="str">
        <f t="shared" si="134"/>
        <v xml:space="preserve">1938.0|05 Jun 1938 - 17:00 |First round|Stade Olympique|Colombes |France|3.0|1.0|Belgium| </v>
      </c>
      <c r="M1726" s="42" t="str">
        <f>IF(COUNTIF($L$1689:L1726,L1726)&gt;1,"DOUBLON","OK")</f>
        <v>OK</v>
      </c>
      <c r="S1726" s="12" t="str">
        <v>Sweden</v>
      </c>
      <c r="T1726" s="12" t="str">
        <f t="shared" si="135"/>
        <v>OK</v>
      </c>
      <c r="U1726" s="12" t="str">
        <f t="shared" si="136"/>
        <v>-</v>
      </c>
      <c r="V1726" s="12" t="str" cm="1">
        <f t="array" ref="V1726">_xlfn.IFS(
ISNUMBER(SEARCH("USA",S1726)),"United States",
ISNUMBER(SEARCH("Republic of Ireland",S1726)),"Ireland",
ISNUMBER(SEARCH("Republic of Korea",S1726)),"South Korea",
ISNUMBER(SEARCH("Cape Verde",S1726)),"Cabo Verde",
ISNUMBER(SEARCH("Czechia",S1726)),"Czech Republic",
ISNUMBER(SEARCH("Türkiye",S1726)),"Turkey",
ISNUMBER(SEARCH("Ivory Coast",S1726)),"Côte d'Ivoire",
ISNUMBER(SEARCH("Korea Republic",S1726)),"South Korea",
ISNUMBER(SEARCH("Germany FR",S1726)),"FR Germany",
ISNUMBER(SEARCH("West Germany",S1726)),"FR Germany",
ISNUMBER(SEARCH("Germany DR",S1726)),"DR Germany",
ISNUMBER(SEARCH("Korea DPR",S1726)),"North Korea",
ISNUMBER(SEARCH("China PR",S1726)),"China",
ISNUMBER(SEARCH("IR Iran",S1726)),"Iran",
ISNUMBER(SEARCH("Congo DR",S1726)),"Democratic Republic of the Congo",
ISNUMBER(SEARCH("DR Congo",S1726)),"Democratic Republic of the Congo",
ISNUMBER(SEARCH("German DR",S1726)),"DR Germany",
ISNUMBER(SEARCH("rn""&gt;United Arab Emirates",S1726)),"United Arab Emirates",
ISNUMBER(SEARCH("rn""&gt;Republic of Ireland",S1726)),"Ireland",
ISNUMBER(SEARCH("rn""&gt;Bosnia and Herzegovina",S1726)),"Bosnia and Herzegovina",
ISNUMBER(SEARCH("rn""&gt;Trinidad and Tobago",S1726)),"Trinidad and Tobago",
ISNUMBER(SEARCH("rn""&gt;Serbia and Montenegro",S1726)),"Serbia and Montenegro",
ISNUMBER(SEARCH(_xlfn.UNICHAR(65533),S1726)),"Côte d'Ivoire",
TRUE,""
)</f>
        <v/>
      </c>
      <c r="W1726" s="12" t="str">
        <f t="shared" si="137"/>
        <v>Sweden</v>
      </c>
    </row>
    <row r="1727" spans="2:23">
      <c r="B1727" s="76" t="str">
        <v>1938.0</v>
      </c>
      <c r="C1727" s="42" t="str">
        <v xml:space="preserve">05 Jun 1938 - 17:00 </v>
      </c>
      <c r="D1727" s="42" t="str">
        <v>First round</v>
      </c>
      <c r="E1727" s="42" t="str">
        <v>Stade Municipal</v>
      </c>
      <c r="F1727" s="42" t="str">
        <v xml:space="preserve">Toulouse </v>
      </c>
      <c r="G1727" s="42" t="str">
        <v>Cuba</v>
      </c>
      <c r="H1727" s="42" t="str">
        <v>3.0</v>
      </c>
      <c r="I1727" s="42" t="str">
        <v>3.0</v>
      </c>
      <c r="J1727" s="42" t="str">
        <v>Romania</v>
      </c>
      <c r="K1727" s="42" t="str">
        <v xml:space="preserve"> </v>
      </c>
      <c r="L1727" s="42" t="str">
        <f t="shared" si="134"/>
        <v xml:space="preserve">1938.0|05 Jun 1938 - 17:00 |First round|Stade Municipal|Toulouse |Cuba|3.0|3.0|Romania| </v>
      </c>
      <c r="M1727" s="42" t="str">
        <f>IF(COUNTIF($L$1689:L1727,L1727)&gt;1,"DOUBLON","OK")</f>
        <v>OK</v>
      </c>
      <c r="S1727" s="12" t="str">
        <v>Sweden</v>
      </c>
      <c r="T1727" s="12" t="str">
        <f t="shared" si="135"/>
        <v>OK</v>
      </c>
      <c r="U1727" s="12" t="str">
        <f t="shared" si="136"/>
        <v>-</v>
      </c>
      <c r="V1727" s="12" t="str" cm="1">
        <f t="array" ref="V1727">_xlfn.IFS(
ISNUMBER(SEARCH("USA",S1727)),"United States",
ISNUMBER(SEARCH("Republic of Ireland",S1727)),"Ireland",
ISNUMBER(SEARCH("Republic of Korea",S1727)),"South Korea",
ISNUMBER(SEARCH("Cape Verde",S1727)),"Cabo Verde",
ISNUMBER(SEARCH("Czechia",S1727)),"Czech Republic",
ISNUMBER(SEARCH("Türkiye",S1727)),"Turkey",
ISNUMBER(SEARCH("Ivory Coast",S1727)),"Côte d'Ivoire",
ISNUMBER(SEARCH("Korea Republic",S1727)),"South Korea",
ISNUMBER(SEARCH("Germany FR",S1727)),"FR Germany",
ISNUMBER(SEARCH("West Germany",S1727)),"FR Germany",
ISNUMBER(SEARCH("Germany DR",S1727)),"DR Germany",
ISNUMBER(SEARCH("Korea DPR",S1727)),"North Korea",
ISNUMBER(SEARCH("China PR",S1727)),"China",
ISNUMBER(SEARCH("IR Iran",S1727)),"Iran",
ISNUMBER(SEARCH("Congo DR",S1727)),"Democratic Republic of the Congo",
ISNUMBER(SEARCH("DR Congo",S1727)),"Democratic Republic of the Congo",
ISNUMBER(SEARCH("German DR",S1727)),"DR Germany",
ISNUMBER(SEARCH("rn""&gt;United Arab Emirates",S1727)),"United Arab Emirates",
ISNUMBER(SEARCH("rn""&gt;Republic of Ireland",S1727)),"Ireland",
ISNUMBER(SEARCH("rn""&gt;Bosnia and Herzegovina",S1727)),"Bosnia and Herzegovina",
ISNUMBER(SEARCH("rn""&gt;Trinidad and Tobago",S1727)),"Trinidad and Tobago",
ISNUMBER(SEARCH("rn""&gt;Serbia and Montenegro",S1727)),"Serbia and Montenegro",
ISNUMBER(SEARCH(_xlfn.UNICHAR(65533),S1727)),"Côte d'Ivoire",
TRUE,""
)</f>
        <v/>
      </c>
      <c r="W1727" s="12" t="str">
        <f t="shared" si="137"/>
        <v>Sweden</v>
      </c>
    </row>
    <row r="1728" spans="2:23">
      <c r="B1728" s="76" t="str">
        <v>1938.0</v>
      </c>
      <c r="C1728" s="42" t="str">
        <v xml:space="preserve">05 Jun 1938 - 17:00 </v>
      </c>
      <c r="D1728" s="42" t="str">
        <v>First round</v>
      </c>
      <c r="E1728" s="42" t="str">
        <v>Stade V�lodrome</v>
      </c>
      <c r="F1728" s="42" t="str">
        <v xml:space="preserve">Marseilles </v>
      </c>
      <c r="G1728" s="42" t="str">
        <v>Italy</v>
      </c>
      <c r="H1728" s="42" t="str">
        <v>2.0</v>
      </c>
      <c r="I1728" s="42" t="str">
        <v>1.0</v>
      </c>
      <c r="J1728" s="42" t="str">
        <v>Norway</v>
      </c>
      <c r="K1728" s="42" t="str">
        <v xml:space="preserve">Italy win after extra time </v>
      </c>
      <c r="L1728" s="42" t="str">
        <f t="shared" si="134"/>
        <v xml:space="preserve">1938.0|05 Jun 1938 - 17:00 |First round|Stade V�lodrome|Marseilles |Italy|2.0|1.0|Norway|Italy win after extra time </v>
      </c>
      <c r="M1728" s="42" t="str">
        <f>IF(COUNTIF($L$1689:L1728,L1728)&gt;1,"DOUBLON","OK")</f>
        <v>OK</v>
      </c>
      <c r="S1728" s="12" t="str">
        <v>Sweden</v>
      </c>
      <c r="T1728" s="12" t="str">
        <f t="shared" si="135"/>
        <v>OK</v>
      </c>
      <c r="U1728" s="12" t="str">
        <f t="shared" si="136"/>
        <v>-</v>
      </c>
      <c r="V1728" s="12" t="str" cm="1">
        <f t="array" ref="V1728">_xlfn.IFS(
ISNUMBER(SEARCH("USA",S1728)),"United States",
ISNUMBER(SEARCH("Republic of Ireland",S1728)),"Ireland",
ISNUMBER(SEARCH("Republic of Korea",S1728)),"South Korea",
ISNUMBER(SEARCH("Cape Verde",S1728)),"Cabo Verde",
ISNUMBER(SEARCH("Czechia",S1728)),"Czech Republic",
ISNUMBER(SEARCH("Türkiye",S1728)),"Turkey",
ISNUMBER(SEARCH("Ivory Coast",S1728)),"Côte d'Ivoire",
ISNUMBER(SEARCH("Korea Republic",S1728)),"South Korea",
ISNUMBER(SEARCH("Germany FR",S1728)),"FR Germany",
ISNUMBER(SEARCH("West Germany",S1728)),"FR Germany",
ISNUMBER(SEARCH("Germany DR",S1728)),"DR Germany",
ISNUMBER(SEARCH("Korea DPR",S1728)),"North Korea",
ISNUMBER(SEARCH("China PR",S1728)),"China",
ISNUMBER(SEARCH("IR Iran",S1728)),"Iran",
ISNUMBER(SEARCH("Congo DR",S1728)),"Democratic Republic of the Congo",
ISNUMBER(SEARCH("DR Congo",S1728)),"Democratic Republic of the Congo",
ISNUMBER(SEARCH("German DR",S1728)),"DR Germany",
ISNUMBER(SEARCH("rn""&gt;United Arab Emirates",S1728)),"United Arab Emirates",
ISNUMBER(SEARCH("rn""&gt;Republic of Ireland",S1728)),"Ireland",
ISNUMBER(SEARCH("rn""&gt;Bosnia and Herzegovina",S1728)),"Bosnia and Herzegovina",
ISNUMBER(SEARCH("rn""&gt;Trinidad and Tobago",S1728)),"Trinidad and Tobago",
ISNUMBER(SEARCH("rn""&gt;Serbia and Montenegro",S1728)),"Serbia and Montenegro",
ISNUMBER(SEARCH(_xlfn.UNICHAR(65533),S1728)),"Côte d'Ivoire",
TRUE,""
)</f>
        <v/>
      </c>
      <c r="W1728" s="12" t="str">
        <f t="shared" si="137"/>
        <v>Sweden</v>
      </c>
    </row>
    <row r="1729" spans="2:23">
      <c r="B1729" s="76" t="str">
        <v>1938.0</v>
      </c>
      <c r="C1729" s="42" t="str">
        <v xml:space="preserve">05 Jun 1938 - 17:30 </v>
      </c>
      <c r="D1729" s="42" t="str">
        <v>First round</v>
      </c>
      <c r="E1729" s="42" t="str">
        <v>Stade de la Meinau</v>
      </c>
      <c r="F1729" s="42" t="str">
        <v xml:space="preserve">Strasbourg </v>
      </c>
      <c r="G1729" s="42" t="str">
        <v>Brazil</v>
      </c>
      <c r="H1729" s="42" t="str">
        <v>6.0</v>
      </c>
      <c r="I1729" s="42" t="str">
        <v>5.0</v>
      </c>
      <c r="J1729" s="42" t="str">
        <v>Poland</v>
      </c>
      <c r="K1729" s="42" t="str">
        <v xml:space="preserve">Brazil win after extra time </v>
      </c>
      <c r="L1729" s="42" t="str">
        <f t="shared" si="134"/>
        <v xml:space="preserve">1938.0|05 Jun 1938 - 17:30 |First round|Stade de la Meinau|Strasbourg |Brazil|6.0|5.0|Poland|Brazil win after extra time </v>
      </c>
      <c r="M1729" s="42" t="str">
        <f>IF(COUNTIF($L$1689:L1729,L1729)&gt;1,"DOUBLON","OK")</f>
        <v>OK</v>
      </c>
      <c r="S1729" s="12" t="str">
        <v>Sweden</v>
      </c>
      <c r="T1729" s="12" t="str">
        <f t="shared" si="135"/>
        <v>OK</v>
      </c>
      <c r="U1729" s="12" t="str">
        <f t="shared" si="136"/>
        <v>-</v>
      </c>
      <c r="V1729" s="12" t="str" cm="1">
        <f t="array" ref="V1729">_xlfn.IFS(
ISNUMBER(SEARCH("USA",S1729)),"United States",
ISNUMBER(SEARCH("Republic of Ireland",S1729)),"Ireland",
ISNUMBER(SEARCH("Republic of Korea",S1729)),"South Korea",
ISNUMBER(SEARCH("Cape Verde",S1729)),"Cabo Verde",
ISNUMBER(SEARCH("Czechia",S1729)),"Czech Republic",
ISNUMBER(SEARCH("Türkiye",S1729)),"Turkey",
ISNUMBER(SEARCH("Ivory Coast",S1729)),"Côte d'Ivoire",
ISNUMBER(SEARCH("Korea Republic",S1729)),"South Korea",
ISNUMBER(SEARCH("Germany FR",S1729)),"FR Germany",
ISNUMBER(SEARCH("West Germany",S1729)),"FR Germany",
ISNUMBER(SEARCH("Germany DR",S1729)),"DR Germany",
ISNUMBER(SEARCH("Korea DPR",S1729)),"North Korea",
ISNUMBER(SEARCH("China PR",S1729)),"China",
ISNUMBER(SEARCH("IR Iran",S1729)),"Iran",
ISNUMBER(SEARCH("Congo DR",S1729)),"Democratic Republic of the Congo",
ISNUMBER(SEARCH("DR Congo",S1729)),"Democratic Republic of the Congo",
ISNUMBER(SEARCH("German DR",S1729)),"DR Germany",
ISNUMBER(SEARCH("rn""&gt;United Arab Emirates",S1729)),"United Arab Emirates",
ISNUMBER(SEARCH("rn""&gt;Republic of Ireland",S1729)),"Ireland",
ISNUMBER(SEARCH("rn""&gt;Bosnia and Herzegovina",S1729)),"Bosnia and Herzegovina",
ISNUMBER(SEARCH("rn""&gt;Trinidad and Tobago",S1729)),"Trinidad and Tobago",
ISNUMBER(SEARCH("rn""&gt;Serbia and Montenegro",S1729)),"Serbia and Montenegro",
ISNUMBER(SEARCH(_xlfn.UNICHAR(65533),S1729)),"Côte d'Ivoire",
TRUE,""
)</f>
        <v/>
      </c>
      <c r="W1729" s="12" t="str">
        <f t="shared" si="137"/>
        <v>Sweden</v>
      </c>
    </row>
    <row r="1730" spans="2:23">
      <c r="B1730" s="76" t="str">
        <v>1938.0</v>
      </c>
      <c r="C1730" s="42" t="str">
        <v xml:space="preserve">05 Jun 1938 - 18:30 </v>
      </c>
      <c r="D1730" s="42" t="str">
        <v>First round</v>
      </c>
      <c r="E1730" s="42" t="str">
        <v>Cavee Verte</v>
      </c>
      <c r="F1730" s="42" t="str">
        <v xml:space="preserve">Le Havre </v>
      </c>
      <c r="G1730" s="42" t="str">
        <v>Czechoslovakia</v>
      </c>
      <c r="H1730" s="42" t="str">
        <v>3.0</v>
      </c>
      <c r="I1730" s="42" t="str">
        <v>0.0</v>
      </c>
      <c r="J1730" s="42" t="str">
        <v>Netherlands</v>
      </c>
      <c r="K1730" s="42" t="str">
        <v xml:space="preserve">Czechoslovakia win after extra time </v>
      </c>
      <c r="L1730" s="42" t="str">
        <f t="shared" si="134"/>
        <v xml:space="preserve">1938.0|05 Jun 1938 - 18:30 |First round|Cavee Verte|Le Havre |Czechoslovakia|3.0|0.0|Netherlands|Czechoslovakia win after extra time </v>
      </c>
      <c r="M1730" s="42" t="str">
        <f>IF(COUNTIF($L$1689:L1730,L1730)&gt;1,"DOUBLON","OK")</f>
        <v>OK</v>
      </c>
      <c r="S1730" s="12" t="str">
        <v>Sweden</v>
      </c>
      <c r="T1730" s="12" t="str">
        <f t="shared" si="135"/>
        <v>OK</v>
      </c>
      <c r="U1730" s="12" t="str">
        <f t="shared" si="136"/>
        <v>-</v>
      </c>
      <c r="V1730" s="12" t="str" cm="1">
        <f t="array" ref="V1730">_xlfn.IFS(
ISNUMBER(SEARCH("USA",S1730)),"United States",
ISNUMBER(SEARCH("Republic of Ireland",S1730)),"Ireland",
ISNUMBER(SEARCH("Republic of Korea",S1730)),"South Korea",
ISNUMBER(SEARCH("Cape Verde",S1730)),"Cabo Verde",
ISNUMBER(SEARCH("Czechia",S1730)),"Czech Republic",
ISNUMBER(SEARCH("Türkiye",S1730)),"Turkey",
ISNUMBER(SEARCH("Ivory Coast",S1730)),"Côte d'Ivoire",
ISNUMBER(SEARCH("Korea Republic",S1730)),"South Korea",
ISNUMBER(SEARCH("Germany FR",S1730)),"FR Germany",
ISNUMBER(SEARCH("West Germany",S1730)),"FR Germany",
ISNUMBER(SEARCH("Germany DR",S1730)),"DR Germany",
ISNUMBER(SEARCH("Korea DPR",S1730)),"North Korea",
ISNUMBER(SEARCH("China PR",S1730)),"China",
ISNUMBER(SEARCH("IR Iran",S1730)),"Iran",
ISNUMBER(SEARCH("Congo DR",S1730)),"Democratic Republic of the Congo",
ISNUMBER(SEARCH("DR Congo",S1730)),"Democratic Republic of the Congo",
ISNUMBER(SEARCH("German DR",S1730)),"DR Germany",
ISNUMBER(SEARCH("rn""&gt;United Arab Emirates",S1730)),"United Arab Emirates",
ISNUMBER(SEARCH("rn""&gt;Republic of Ireland",S1730)),"Ireland",
ISNUMBER(SEARCH("rn""&gt;Bosnia and Herzegovina",S1730)),"Bosnia and Herzegovina",
ISNUMBER(SEARCH("rn""&gt;Trinidad and Tobago",S1730)),"Trinidad and Tobago",
ISNUMBER(SEARCH("rn""&gt;Serbia and Montenegro",S1730)),"Serbia and Montenegro",
ISNUMBER(SEARCH(_xlfn.UNICHAR(65533),S1730)),"Côte d'Ivoire",
TRUE,""
)</f>
        <v/>
      </c>
      <c r="W1730" s="12" t="str">
        <f t="shared" si="137"/>
        <v>Sweden</v>
      </c>
    </row>
    <row r="1731" spans="2:23">
      <c r="B1731" s="76" t="str">
        <v>1938.0</v>
      </c>
      <c r="C1731" s="42" t="str">
        <v xml:space="preserve">09 Jun 1938 - 18:00 </v>
      </c>
      <c r="D1731" s="42" t="str">
        <v>First round</v>
      </c>
      <c r="E1731" s="42" t="str">
        <v>Stade Municipal</v>
      </c>
      <c r="F1731" s="42" t="str">
        <v xml:space="preserve">Toulouse </v>
      </c>
      <c r="G1731" s="42" t="str">
        <v>Cuba</v>
      </c>
      <c r="H1731" s="42" t="str">
        <v>2.0</v>
      </c>
      <c r="I1731" s="42" t="str">
        <v>1.0</v>
      </c>
      <c r="J1731" s="42" t="str">
        <v>Romania</v>
      </c>
      <c r="K1731" s="42" t="str">
        <v xml:space="preserve"> </v>
      </c>
      <c r="L1731" s="42" t="str">
        <f t="shared" si="134"/>
        <v xml:space="preserve">1938.0|09 Jun 1938 - 18:00 |First round|Stade Municipal|Toulouse |Cuba|2.0|1.0|Romania| </v>
      </c>
      <c r="M1731" s="42" t="str">
        <f>IF(COUNTIF($L$1689:L1731,L1731)&gt;1,"DOUBLON","OK")</f>
        <v>OK</v>
      </c>
      <c r="S1731" s="12" t="str">
        <v>Sweden</v>
      </c>
      <c r="T1731" s="12" t="str">
        <f t="shared" si="135"/>
        <v>OK</v>
      </c>
      <c r="U1731" s="12" t="str">
        <f t="shared" si="136"/>
        <v>-</v>
      </c>
      <c r="V1731" s="12" t="str" cm="1">
        <f t="array" ref="V1731">_xlfn.IFS(
ISNUMBER(SEARCH("USA",S1731)),"United States",
ISNUMBER(SEARCH("Republic of Ireland",S1731)),"Ireland",
ISNUMBER(SEARCH("Republic of Korea",S1731)),"South Korea",
ISNUMBER(SEARCH("Cape Verde",S1731)),"Cabo Verde",
ISNUMBER(SEARCH("Czechia",S1731)),"Czech Republic",
ISNUMBER(SEARCH("Türkiye",S1731)),"Turkey",
ISNUMBER(SEARCH("Ivory Coast",S1731)),"Côte d'Ivoire",
ISNUMBER(SEARCH("Korea Republic",S1731)),"South Korea",
ISNUMBER(SEARCH("Germany FR",S1731)),"FR Germany",
ISNUMBER(SEARCH("West Germany",S1731)),"FR Germany",
ISNUMBER(SEARCH("Germany DR",S1731)),"DR Germany",
ISNUMBER(SEARCH("Korea DPR",S1731)),"North Korea",
ISNUMBER(SEARCH("China PR",S1731)),"China",
ISNUMBER(SEARCH("IR Iran",S1731)),"Iran",
ISNUMBER(SEARCH("Congo DR",S1731)),"Democratic Republic of the Congo",
ISNUMBER(SEARCH("DR Congo",S1731)),"Democratic Republic of the Congo",
ISNUMBER(SEARCH("German DR",S1731)),"DR Germany",
ISNUMBER(SEARCH("rn""&gt;United Arab Emirates",S1731)),"United Arab Emirates",
ISNUMBER(SEARCH("rn""&gt;Republic of Ireland",S1731)),"Ireland",
ISNUMBER(SEARCH("rn""&gt;Bosnia and Herzegovina",S1731)),"Bosnia and Herzegovina",
ISNUMBER(SEARCH("rn""&gt;Trinidad and Tobago",S1731)),"Trinidad and Tobago",
ISNUMBER(SEARCH("rn""&gt;Serbia and Montenegro",S1731)),"Serbia and Montenegro",
ISNUMBER(SEARCH(_xlfn.UNICHAR(65533),S1731)),"Côte d'Ivoire",
TRUE,""
)</f>
        <v/>
      </c>
      <c r="W1731" s="12" t="str">
        <f t="shared" si="137"/>
        <v>Sweden</v>
      </c>
    </row>
    <row r="1732" spans="2:23">
      <c r="B1732" s="76" t="str">
        <v>1938.0</v>
      </c>
      <c r="C1732" s="42" t="str">
        <v xml:space="preserve">09 Jun 1938 - 18:00 </v>
      </c>
      <c r="D1732" s="42" t="str">
        <v>First round</v>
      </c>
      <c r="E1732" s="42" t="str">
        <v>Parc des Princes</v>
      </c>
      <c r="F1732" s="42" t="str">
        <v xml:space="preserve">Paris </v>
      </c>
      <c r="G1732" s="42" t="str">
        <v>Switzerland</v>
      </c>
      <c r="H1732" s="42" t="str">
        <v>4.0</v>
      </c>
      <c r="I1732" s="42" t="str">
        <v>2.0</v>
      </c>
      <c r="J1732" s="42" t="str">
        <v>Germany</v>
      </c>
      <c r="K1732" s="42" t="str">
        <v xml:space="preserve"> </v>
      </c>
      <c r="L1732" s="42" t="str">
        <f t="shared" si="134"/>
        <v xml:space="preserve">1938.0|09 Jun 1938 - 18:00 |First round|Parc des Princes|Paris |Switzerland|4.0|2.0|Germany| </v>
      </c>
      <c r="M1732" s="42" t="str">
        <f>IF(COUNTIF($L$1689:L1732,L1732)&gt;1,"DOUBLON","OK")</f>
        <v>OK</v>
      </c>
      <c r="S1732" s="12" t="str">
        <v>Sweden</v>
      </c>
      <c r="T1732" s="12" t="str">
        <f t="shared" si="135"/>
        <v>OK</v>
      </c>
      <c r="U1732" s="12" t="str">
        <f t="shared" si="136"/>
        <v>-</v>
      </c>
      <c r="V1732" s="12" t="str" cm="1">
        <f t="array" ref="V1732">_xlfn.IFS(
ISNUMBER(SEARCH("USA",S1732)),"United States",
ISNUMBER(SEARCH("Republic of Ireland",S1732)),"Ireland",
ISNUMBER(SEARCH("Republic of Korea",S1732)),"South Korea",
ISNUMBER(SEARCH("Cape Verde",S1732)),"Cabo Verde",
ISNUMBER(SEARCH("Czechia",S1732)),"Czech Republic",
ISNUMBER(SEARCH("Türkiye",S1732)),"Turkey",
ISNUMBER(SEARCH("Ivory Coast",S1732)),"Côte d'Ivoire",
ISNUMBER(SEARCH("Korea Republic",S1732)),"South Korea",
ISNUMBER(SEARCH("Germany FR",S1732)),"FR Germany",
ISNUMBER(SEARCH("West Germany",S1732)),"FR Germany",
ISNUMBER(SEARCH("Germany DR",S1732)),"DR Germany",
ISNUMBER(SEARCH("Korea DPR",S1732)),"North Korea",
ISNUMBER(SEARCH("China PR",S1732)),"China",
ISNUMBER(SEARCH("IR Iran",S1732)),"Iran",
ISNUMBER(SEARCH("Congo DR",S1732)),"Democratic Republic of the Congo",
ISNUMBER(SEARCH("DR Congo",S1732)),"Democratic Republic of the Congo",
ISNUMBER(SEARCH("German DR",S1732)),"DR Germany",
ISNUMBER(SEARCH("rn""&gt;United Arab Emirates",S1732)),"United Arab Emirates",
ISNUMBER(SEARCH("rn""&gt;Republic of Ireland",S1732)),"Ireland",
ISNUMBER(SEARCH("rn""&gt;Bosnia and Herzegovina",S1732)),"Bosnia and Herzegovina",
ISNUMBER(SEARCH("rn""&gt;Trinidad and Tobago",S1732)),"Trinidad and Tobago",
ISNUMBER(SEARCH("rn""&gt;Serbia and Montenegro",S1732)),"Serbia and Montenegro",
ISNUMBER(SEARCH(_xlfn.UNICHAR(65533),S1732)),"Côte d'Ivoire",
TRUE,""
)</f>
        <v/>
      </c>
      <c r="W1732" s="12" t="str">
        <f t="shared" si="137"/>
        <v>Sweden</v>
      </c>
    </row>
    <row r="1733" spans="2:23">
      <c r="B1733" s="76" t="str">
        <v>1938.0</v>
      </c>
      <c r="C1733" s="42" t="str">
        <v xml:space="preserve">12 Jun 1938 - 17:00 </v>
      </c>
      <c r="D1733" s="42" t="str">
        <v>Quarter-finals</v>
      </c>
      <c r="E1733" s="42" t="str">
        <v>Stade du Parc Lescure</v>
      </c>
      <c r="F1733" s="42" t="str">
        <v xml:space="preserve">Bordeaux </v>
      </c>
      <c r="G1733" s="42" t="str">
        <v>Brazil</v>
      </c>
      <c r="H1733" s="42" t="str">
        <v>1.0</v>
      </c>
      <c r="I1733" s="42" t="str">
        <v>1.0</v>
      </c>
      <c r="J1733" s="42" t="str">
        <v>Czechoslovakia</v>
      </c>
      <c r="K1733" s="42" t="str">
        <v xml:space="preserve"> </v>
      </c>
      <c r="L1733" s="42" t="str">
        <f t="shared" si="134"/>
        <v xml:space="preserve">1938.0|12 Jun 1938 - 17:00 |Quarter-finals|Stade du Parc Lescure|Bordeaux |Brazil|1.0|1.0|Czechoslovakia| </v>
      </c>
      <c r="M1733" s="42" t="str">
        <f>IF(COUNTIF($L$1689:L1733,L1733)&gt;1,"DOUBLON","OK")</f>
        <v>OK</v>
      </c>
      <c r="S1733" s="12" t="str">
        <v>Sweden</v>
      </c>
      <c r="T1733" s="12" t="str">
        <f t="shared" si="135"/>
        <v>OK</v>
      </c>
      <c r="U1733" s="12" t="str">
        <f t="shared" si="136"/>
        <v>-</v>
      </c>
      <c r="V1733" s="12" t="str" cm="1">
        <f t="array" ref="V1733">_xlfn.IFS(
ISNUMBER(SEARCH("USA",S1733)),"United States",
ISNUMBER(SEARCH("Republic of Ireland",S1733)),"Ireland",
ISNUMBER(SEARCH("Republic of Korea",S1733)),"South Korea",
ISNUMBER(SEARCH("Cape Verde",S1733)),"Cabo Verde",
ISNUMBER(SEARCH("Czechia",S1733)),"Czech Republic",
ISNUMBER(SEARCH("Türkiye",S1733)),"Turkey",
ISNUMBER(SEARCH("Ivory Coast",S1733)),"Côte d'Ivoire",
ISNUMBER(SEARCH("Korea Republic",S1733)),"South Korea",
ISNUMBER(SEARCH("Germany FR",S1733)),"FR Germany",
ISNUMBER(SEARCH("West Germany",S1733)),"FR Germany",
ISNUMBER(SEARCH("Germany DR",S1733)),"DR Germany",
ISNUMBER(SEARCH("Korea DPR",S1733)),"North Korea",
ISNUMBER(SEARCH("China PR",S1733)),"China",
ISNUMBER(SEARCH("IR Iran",S1733)),"Iran",
ISNUMBER(SEARCH("Congo DR",S1733)),"Democratic Republic of the Congo",
ISNUMBER(SEARCH("DR Congo",S1733)),"Democratic Republic of the Congo",
ISNUMBER(SEARCH("German DR",S1733)),"DR Germany",
ISNUMBER(SEARCH("rn""&gt;United Arab Emirates",S1733)),"United Arab Emirates",
ISNUMBER(SEARCH("rn""&gt;Republic of Ireland",S1733)),"Ireland",
ISNUMBER(SEARCH("rn""&gt;Bosnia and Herzegovina",S1733)),"Bosnia and Herzegovina",
ISNUMBER(SEARCH("rn""&gt;Trinidad and Tobago",S1733)),"Trinidad and Tobago",
ISNUMBER(SEARCH("rn""&gt;Serbia and Montenegro",S1733)),"Serbia and Montenegro",
ISNUMBER(SEARCH(_xlfn.UNICHAR(65533),S1733)),"Côte d'Ivoire",
TRUE,""
)</f>
        <v/>
      </c>
      <c r="W1733" s="12" t="str">
        <f t="shared" si="137"/>
        <v>Sweden</v>
      </c>
    </row>
    <row r="1734" spans="2:23">
      <c r="B1734" s="76" t="str">
        <v>1938.0</v>
      </c>
      <c r="C1734" s="42" t="str">
        <v xml:space="preserve">12 Jun 1938 - 17:00 </v>
      </c>
      <c r="D1734" s="42" t="str">
        <v>Quarter-finals</v>
      </c>
      <c r="E1734" s="42" t="str">
        <v>Victor Boucquey</v>
      </c>
      <c r="F1734" s="42" t="str">
        <v xml:space="preserve">Lille </v>
      </c>
      <c r="G1734" s="42" t="str">
        <v>Hungary</v>
      </c>
      <c r="H1734" s="42" t="str">
        <v>2.0</v>
      </c>
      <c r="I1734" s="42" t="str">
        <v>0.0</v>
      </c>
      <c r="J1734" s="42" t="str">
        <v>Switzerland</v>
      </c>
      <c r="K1734" s="42" t="str">
        <v xml:space="preserve"> </v>
      </c>
      <c r="L1734" s="42" t="str">
        <f t="shared" si="134"/>
        <v xml:space="preserve">1938.0|12 Jun 1938 - 17:00 |Quarter-finals|Victor Boucquey|Lille |Hungary|2.0|0.0|Switzerland| </v>
      </c>
      <c r="M1734" s="42" t="str">
        <f>IF(COUNTIF($L$1689:L1734,L1734)&gt;1,"DOUBLON","OK")</f>
        <v>OK</v>
      </c>
      <c r="S1734" s="12" t="str">
        <v>Sweden</v>
      </c>
      <c r="T1734" s="12" t="str">
        <f t="shared" si="135"/>
        <v>OK</v>
      </c>
      <c r="U1734" s="12" t="str">
        <f t="shared" si="136"/>
        <v>-</v>
      </c>
      <c r="V1734" s="12" t="str" cm="1">
        <f t="array" ref="V1734">_xlfn.IFS(
ISNUMBER(SEARCH("USA",S1734)),"United States",
ISNUMBER(SEARCH("Republic of Ireland",S1734)),"Ireland",
ISNUMBER(SEARCH("Republic of Korea",S1734)),"South Korea",
ISNUMBER(SEARCH("Cape Verde",S1734)),"Cabo Verde",
ISNUMBER(SEARCH("Czechia",S1734)),"Czech Republic",
ISNUMBER(SEARCH("Türkiye",S1734)),"Turkey",
ISNUMBER(SEARCH("Ivory Coast",S1734)),"Côte d'Ivoire",
ISNUMBER(SEARCH("Korea Republic",S1734)),"South Korea",
ISNUMBER(SEARCH("Germany FR",S1734)),"FR Germany",
ISNUMBER(SEARCH("West Germany",S1734)),"FR Germany",
ISNUMBER(SEARCH("Germany DR",S1734)),"DR Germany",
ISNUMBER(SEARCH("Korea DPR",S1734)),"North Korea",
ISNUMBER(SEARCH("China PR",S1734)),"China",
ISNUMBER(SEARCH("IR Iran",S1734)),"Iran",
ISNUMBER(SEARCH("Congo DR",S1734)),"Democratic Republic of the Congo",
ISNUMBER(SEARCH("DR Congo",S1734)),"Democratic Republic of the Congo",
ISNUMBER(SEARCH("German DR",S1734)),"DR Germany",
ISNUMBER(SEARCH("rn""&gt;United Arab Emirates",S1734)),"United Arab Emirates",
ISNUMBER(SEARCH("rn""&gt;Republic of Ireland",S1734)),"Ireland",
ISNUMBER(SEARCH("rn""&gt;Bosnia and Herzegovina",S1734)),"Bosnia and Herzegovina",
ISNUMBER(SEARCH("rn""&gt;Trinidad and Tobago",S1734)),"Trinidad and Tobago",
ISNUMBER(SEARCH("rn""&gt;Serbia and Montenegro",S1734)),"Serbia and Montenegro",
ISNUMBER(SEARCH(_xlfn.UNICHAR(65533),S1734)),"Côte d'Ivoire",
TRUE,""
)</f>
        <v/>
      </c>
      <c r="W1734" s="12" t="str">
        <f t="shared" si="137"/>
        <v>Sweden</v>
      </c>
    </row>
    <row r="1735" spans="2:23">
      <c r="B1735" s="76" t="str">
        <v>1938.0</v>
      </c>
      <c r="C1735" s="42" t="str">
        <v xml:space="preserve">12 Jun 1938 - 17:00 </v>
      </c>
      <c r="D1735" s="42" t="str">
        <v>Quarter-finals</v>
      </c>
      <c r="E1735" s="42" t="str">
        <v>Fort Carree</v>
      </c>
      <c r="F1735" s="42" t="str">
        <v xml:space="preserve">Antibes </v>
      </c>
      <c r="G1735" s="42" t="str">
        <v>Sweden</v>
      </c>
      <c r="H1735" s="42" t="str">
        <v>8.0</v>
      </c>
      <c r="I1735" s="42" t="str">
        <v>0.0</v>
      </c>
      <c r="J1735" s="42" t="str">
        <v>Cuba</v>
      </c>
      <c r="K1735" s="42" t="str">
        <v xml:space="preserve"> </v>
      </c>
      <c r="L1735" s="42" t="str">
        <f t="shared" si="134"/>
        <v xml:space="preserve">1938.0|12 Jun 1938 - 17:00 |Quarter-finals|Fort Carree|Antibes |Sweden|8.0|0.0|Cuba| </v>
      </c>
      <c r="M1735" s="42" t="str">
        <f>IF(COUNTIF($L$1689:L1735,L1735)&gt;1,"DOUBLON","OK")</f>
        <v>OK</v>
      </c>
      <c r="S1735" s="12" t="str">
        <v>Sweden</v>
      </c>
      <c r="T1735" s="12" t="str">
        <f t="shared" si="135"/>
        <v>OK</v>
      </c>
      <c r="U1735" s="12" t="str">
        <f t="shared" si="136"/>
        <v>-</v>
      </c>
      <c r="V1735" s="12" t="str" cm="1">
        <f t="array" ref="V1735">_xlfn.IFS(
ISNUMBER(SEARCH("USA",S1735)),"United States",
ISNUMBER(SEARCH("Republic of Ireland",S1735)),"Ireland",
ISNUMBER(SEARCH("Republic of Korea",S1735)),"South Korea",
ISNUMBER(SEARCH("Cape Verde",S1735)),"Cabo Verde",
ISNUMBER(SEARCH("Czechia",S1735)),"Czech Republic",
ISNUMBER(SEARCH("Türkiye",S1735)),"Turkey",
ISNUMBER(SEARCH("Ivory Coast",S1735)),"Côte d'Ivoire",
ISNUMBER(SEARCH("Korea Republic",S1735)),"South Korea",
ISNUMBER(SEARCH("Germany FR",S1735)),"FR Germany",
ISNUMBER(SEARCH("West Germany",S1735)),"FR Germany",
ISNUMBER(SEARCH("Germany DR",S1735)),"DR Germany",
ISNUMBER(SEARCH("Korea DPR",S1735)),"North Korea",
ISNUMBER(SEARCH("China PR",S1735)),"China",
ISNUMBER(SEARCH("IR Iran",S1735)),"Iran",
ISNUMBER(SEARCH("Congo DR",S1735)),"Democratic Republic of the Congo",
ISNUMBER(SEARCH("DR Congo",S1735)),"Democratic Republic of the Congo",
ISNUMBER(SEARCH("German DR",S1735)),"DR Germany",
ISNUMBER(SEARCH("rn""&gt;United Arab Emirates",S1735)),"United Arab Emirates",
ISNUMBER(SEARCH("rn""&gt;Republic of Ireland",S1735)),"Ireland",
ISNUMBER(SEARCH("rn""&gt;Bosnia and Herzegovina",S1735)),"Bosnia and Herzegovina",
ISNUMBER(SEARCH("rn""&gt;Trinidad and Tobago",S1735)),"Trinidad and Tobago",
ISNUMBER(SEARCH("rn""&gt;Serbia and Montenegro",S1735)),"Serbia and Montenegro",
ISNUMBER(SEARCH(_xlfn.UNICHAR(65533),S1735)),"Côte d'Ivoire",
TRUE,""
)</f>
        <v/>
      </c>
      <c r="W1735" s="12" t="str">
        <f t="shared" si="137"/>
        <v>Sweden</v>
      </c>
    </row>
    <row r="1736" spans="2:23">
      <c r="B1736" s="76" t="str">
        <v>1938.0</v>
      </c>
      <c r="C1736" s="42" t="str">
        <v xml:space="preserve">12 Jun 1938 - 17:00 </v>
      </c>
      <c r="D1736" s="42" t="str">
        <v>Quarter-finals</v>
      </c>
      <c r="E1736" s="42" t="str">
        <v>Stade Olympique</v>
      </c>
      <c r="F1736" s="42" t="str">
        <v xml:space="preserve">Colombes </v>
      </c>
      <c r="G1736" s="42" t="str">
        <v>Italy</v>
      </c>
      <c r="H1736" s="42" t="str">
        <v>3.0</v>
      </c>
      <c r="I1736" s="42" t="str">
        <v>1.0</v>
      </c>
      <c r="J1736" s="42" t="str">
        <v>France</v>
      </c>
      <c r="K1736" s="42" t="str">
        <v xml:space="preserve"> </v>
      </c>
      <c r="L1736" s="42" t="str">
        <f t="shared" si="134"/>
        <v xml:space="preserve">1938.0|12 Jun 1938 - 17:00 |Quarter-finals|Stade Olympique|Colombes |Italy|3.0|1.0|France| </v>
      </c>
      <c r="M1736" s="42" t="str">
        <f>IF(COUNTIF($L$1689:L1736,L1736)&gt;1,"DOUBLON","OK")</f>
        <v>OK</v>
      </c>
      <c r="S1736" s="12" t="str">
        <v>Sweden</v>
      </c>
      <c r="T1736" s="12" t="str">
        <f t="shared" si="135"/>
        <v>OK</v>
      </c>
      <c r="U1736" s="12" t="str">
        <f t="shared" si="136"/>
        <v>-</v>
      </c>
      <c r="V1736" s="12" t="str" cm="1">
        <f t="array" ref="V1736">_xlfn.IFS(
ISNUMBER(SEARCH("USA",S1736)),"United States",
ISNUMBER(SEARCH("Republic of Ireland",S1736)),"Ireland",
ISNUMBER(SEARCH("Republic of Korea",S1736)),"South Korea",
ISNUMBER(SEARCH("Cape Verde",S1736)),"Cabo Verde",
ISNUMBER(SEARCH("Czechia",S1736)),"Czech Republic",
ISNUMBER(SEARCH("Türkiye",S1736)),"Turkey",
ISNUMBER(SEARCH("Ivory Coast",S1736)),"Côte d'Ivoire",
ISNUMBER(SEARCH("Korea Republic",S1736)),"South Korea",
ISNUMBER(SEARCH("Germany FR",S1736)),"FR Germany",
ISNUMBER(SEARCH("West Germany",S1736)),"FR Germany",
ISNUMBER(SEARCH("Germany DR",S1736)),"DR Germany",
ISNUMBER(SEARCH("Korea DPR",S1736)),"North Korea",
ISNUMBER(SEARCH("China PR",S1736)),"China",
ISNUMBER(SEARCH("IR Iran",S1736)),"Iran",
ISNUMBER(SEARCH("Congo DR",S1736)),"Democratic Republic of the Congo",
ISNUMBER(SEARCH("DR Congo",S1736)),"Democratic Republic of the Congo",
ISNUMBER(SEARCH("German DR",S1736)),"DR Germany",
ISNUMBER(SEARCH("rn""&gt;United Arab Emirates",S1736)),"United Arab Emirates",
ISNUMBER(SEARCH("rn""&gt;Republic of Ireland",S1736)),"Ireland",
ISNUMBER(SEARCH("rn""&gt;Bosnia and Herzegovina",S1736)),"Bosnia and Herzegovina",
ISNUMBER(SEARCH("rn""&gt;Trinidad and Tobago",S1736)),"Trinidad and Tobago",
ISNUMBER(SEARCH("rn""&gt;Serbia and Montenegro",S1736)),"Serbia and Montenegro",
ISNUMBER(SEARCH(_xlfn.UNICHAR(65533),S1736)),"Côte d'Ivoire",
TRUE,""
)</f>
        <v/>
      </c>
      <c r="W1736" s="12" t="str">
        <f t="shared" si="137"/>
        <v>Sweden</v>
      </c>
    </row>
    <row r="1737" spans="2:23">
      <c r="B1737" s="76" t="str">
        <v>1938.0</v>
      </c>
      <c r="C1737" s="42" t="str">
        <v xml:space="preserve">14 Jun 1938 - 18:00 </v>
      </c>
      <c r="D1737" s="42" t="str">
        <v>Quarter-finals</v>
      </c>
      <c r="E1737" s="42" t="str">
        <v>Stade du Parc Lescure</v>
      </c>
      <c r="F1737" s="42" t="str">
        <v xml:space="preserve">Bordeaux </v>
      </c>
      <c r="G1737" s="42" t="str">
        <v>Brazil</v>
      </c>
      <c r="H1737" s="42" t="str">
        <v>2.0</v>
      </c>
      <c r="I1737" s="42" t="str">
        <v>1.0</v>
      </c>
      <c r="J1737" s="42" t="str">
        <v>Czechoslovakia</v>
      </c>
      <c r="K1737" s="42" t="str">
        <v xml:space="preserve"> </v>
      </c>
      <c r="L1737" s="42" t="str">
        <f t="shared" si="134"/>
        <v xml:space="preserve">1938.0|14 Jun 1938 - 18:00 |Quarter-finals|Stade du Parc Lescure|Bordeaux |Brazil|2.0|1.0|Czechoslovakia| </v>
      </c>
      <c r="M1737" s="42" t="str">
        <f>IF(COUNTIF($L$1689:L1737,L1737)&gt;1,"DOUBLON","OK")</f>
        <v>OK</v>
      </c>
      <c r="S1737" s="12" t="str">
        <v>Sweden</v>
      </c>
      <c r="T1737" s="12" t="str">
        <f t="shared" si="135"/>
        <v>OK</v>
      </c>
      <c r="U1737" s="12" t="str">
        <f t="shared" si="136"/>
        <v>-</v>
      </c>
      <c r="V1737" s="12" t="str" cm="1">
        <f t="array" ref="V1737">_xlfn.IFS(
ISNUMBER(SEARCH("USA",S1737)),"United States",
ISNUMBER(SEARCH("Republic of Ireland",S1737)),"Ireland",
ISNUMBER(SEARCH("Republic of Korea",S1737)),"South Korea",
ISNUMBER(SEARCH("Cape Verde",S1737)),"Cabo Verde",
ISNUMBER(SEARCH("Czechia",S1737)),"Czech Republic",
ISNUMBER(SEARCH("Türkiye",S1737)),"Turkey",
ISNUMBER(SEARCH("Ivory Coast",S1737)),"Côte d'Ivoire",
ISNUMBER(SEARCH("Korea Republic",S1737)),"South Korea",
ISNUMBER(SEARCH("Germany FR",S1737)),"FR Germany",
ISNUMBER(SEARCH("West Germany",S1737)),"FR Germany",
ISNUMBER(SEARCH("Germany DR",S1737)),"DR Germany",
ISNUMBER(SEARCH("Korea DPR",S1737)),"North Korea",
ISNUMBER(SEARCH("China PR",S1737)),"China",
ISNUMBER(SEARCH("IR Iran",S1737)),"Iran",
ISNUMBER(SEARCH("Congo DR",S1737)),"Democratic Republic of the Congo",
ISNUMBER(SEARCH("DR Congo",S1737)),"Democratic Republic of the Congo",
ISNUMBER(SEARCH("German DR",S1737)),"DR Germany",
ISNUMBER(SEARCH("rn""&gt;United Arab Emirates",S1737)),"United Arab Emirates",
ISNUMBER(SEARCH("rn""&gt;Republic of Ireland",S1737)),"Ireland",
ISNUMBER(SEARCH("rn""&gt;Bosnia and Herzegovina",S1737)),"Bosnia and Herzegovina",
ISNUMBER(SEARCH("rn""&gt;Trinidad and Tobago",S1737)),"Trinidad and Tobago",
ISNUMBER(SEARCH("rn""&gt;Serbia and Montenegro",S1737)),"Serbia and Montenegro",
ISNUMBER(SEARCH(_xlfn.UNICHAR(65533),S1737)),"Côte d'Ivoire",
TRUE,""
)</f>
        <v/>
      </c>
      <c r="W1737" s="12" t="str">
        <f t="shared" si="137"/>
        <v>Sweden</v>
      </c>
    </row>
    <row r="1738" spans="2:23">
      <c r="B1738" s="76" t="str">
        <v>1938.0</v>
      </c>
      <c r="C1738" s="42" t="str">
        <v xml:space="preserve">16 Jun 1938 - 18:00 </v>
      </c>
      <c r="D1738" s="42" t="str">
        <v>Semi-finals</v>
      </c>
      <c r="E1738" s="42" t="str">
        <v>Parc des Princes</v>
      </c>
      <c r="F1738" s="42" t="str">
        <v xml:space="preserve">Paris </v>
      </c>
      <c r="G1738" s="42" t="str">
        <v>Hungary</v>
      </c>
      <c r="H1738" s="42" t="str">
        <v>5.0</v>
      </c>
      <c r="I1738" s="42" t="str">
        <v>1.0</v>
      </c>
      <c r="J1738" s="42" t="str">
        <v>Sweden</v>
      </c>
      <c r="K1738" s="42" t="str">
        <v xml:space="preserve"> </v>
      </c>
      <c r="L1738" s="42" t="str">
        <f t="shared" si="134"/>
        <v xml:space="preserve">1938.0|16 Jun 1938 - 18:00 |Semi-finals|Parc des Princes|Paris |Hungary|5.0|1.0|Sweden| </v>
      </c>
      <c r="M1738" s="42" t="str">
        <f>IF(COUNTIF($L$1689:L1738,L1738)&gt;1,"DOUBLON","OK")</f>
        <v>OK</v>
      </c>
      <c r="S1738" s="12" t="str">
        <v>Sweden</v>
      </c>
      <c r="T1738" s="12" t="str">
        <f t="shared" si="135"/>
        <v>OK</v>
      </c>
      <c r="U1738" s="12" t="str">
        <f t="shared" si="136"/>
        <v>-</v>
      </c>
      <c r="V1738" s="12" t="str" cm="1">
        <f t="array" ref="V1738">_xlfn.IFS(
ISNUMBER(SEARCH("USA",S1738)),"United States",
ISNUMBER(SEARCH("Republic of Ireland",S1738)),"Ireland",
ISNUMBER(SEARCH("Republic of Korea",S1738)),"South Korea",
ISNUMBER(SEARCH("Cape Verde",S1738)),"Cabo Verde",
ISNUMBER(SEARCH("Czechia",S1738)),"Czech Republic",
ISNUMBER(SEARCH("Türkiye",S1738)),"Turkey",
ISNUMBER(SEARCH("Ivory Coast",S1738)),"Côte d'Ivoire",
ISNUMBER(SEARCH("Korea Republic",S1738)),"South Korea",
ISNUMBER(SEARCH("Germany FR",S1738)),"FR Germany",
ISNUMBER(SEARCH("West Germany",S1738)),"FR Germany",
ISNUMBER(SEARCH("Germany DR",S1738)),"DR Germany",
ISNUMBER(SEARCH("Korea DPR",S1738)),"North Korea",
ISNUMBER(SEARCH("China PR",S1738)),"China",
ISNUMBER(SEARCH("IR Iran",S1738)),"Iran",
ISNUMBER(SEARCH("Congo DR",S1738)),"Democratic Republic of the Congo",
ISNUMBER(SEARCH("DR Congo",S1738)),"Democratic Republic of the Congo",
ISNUMBER(SEARCH("German DR",S1738)),"DR Germany",
ISNUMBER(SEARCH("rn""&gt;United Arab Emirates",S1738)),"United Arab Emirates",
ISNUMBER(SEARCH("rn""&gt;Republic of Ireland",S1738)),"Ireland",
ISNUMBER(SEARCH("rn""&gt;Bosnia and Herzegovina",S1738)),"Bosnia and Herzegovina",
ISNUMBER(SEARCH("rn""&gt;Trinidad and Tobago",S1738)),"Trinidad and Tobago",
ISNUMBER(SEARCH("rn""&gt;Serbia and Montenegro",S1738)),"Serbia and Montenegro",
ISNUMBER(SEARCH(_xlfn.UNICHAR(65533),S1738)),"Côte d'Ivoire",
TRUE,""
)</f>
        <v/>
      </c>
      <c r="W1738" s="12" t="str">
        <f t="shared" si="137"/>
        <v>Sweden</v>
      </c>
    </row>
    <row r="1739" spans="2:23">
      <c r="B1739" s="76" t="str">
        <v>1938.0</v>
      </c>
      <c r="C1739" s="42" t="str">
        <v xml:space="preserve">16 Jun 1938 - 18:00 </v>
      </c>
      <c r="D1739" s="42" t="str">
        <v>Semi-finals</v>
      </c>
      <c r="E1739" s="42" t="str">
        <v>Stade V�lodrome</v>
      </c>
      <c r="F1739" s="42" t="str">
        <v xml:space="preserve">Marseilles </v>
      </c>
      <c r="G1739" s="42" t="str">
        <v>Italy</v>
      </c>
      <c r="H1739" s="42" t="str">
        <v>2.0</v>
      </c>
      <c r="I1739" s="42" t="str">
        <v>1.0</v>
      </c>
      <c r="J1739" s="42" t="str">
        <v>Brazil</v>
      </c>
      <c r="K1739" s="42" t="str">
        <v xml:space="preserve"> </v>
      </c>
      <c r="L1739" s="42" t="str">
        <f t="shared" si="134"/>
        <v xml:space="preserve">1938.0|16 Jun 1938 - 18:00 |Semi-finals|Stade V�lodrome|Marseilles |Italy|2.0|1.0|Brazil| </v>
      </c>
      <c r="M1739" s="42" t="str">
        <f>IF(COUNTIF($L$1689:L1739,L1739)&gt;1,"DOUBLON","OK")</f>
        <v>OK</v>
      </c>
      <c r="S1739" s="12" t="str">
        <v>Sweden</v>
      </c>
      <c r="T1739" s="12" t="str">
        <f t="shared" si="135"/>
        <v>OK</v>
      </c>
      <c r="U1739" s="12" t="str">
        <f t="shared" si="136"/>
        <v>-</v>
      </c>
      <c r="V1739" s="12" t="str" cm="1">
        <f t="array" ref="V1739">_xlfn.IFS(
ISNUMBER(SEARCH("USA",S1739)),"United States",
ISNUMBER(SEARCH("Republic of Ireland",S1739)),"Ireland",
ISNUMBER(SEARCH("Republic of Korea",S1739)),"South Korea",
ISNUMBER(SEARCH("Cape Verde",S1739)),"Cabo Verde",
ISNUMBER(SEARCH("Czechia",S1739)),"Czech Republic",
ISNUMBER(SEARCH("Türkiye",S1739)),"Turkey",
ISNUMBER(SEARCH("Ivory Coast",S1739)),"Côte d'Ivoire",
ISNUMBER(SEARCH("Korea Republic",S1739)),"South Korea",
ISNUMBER(SEARCH("Germany FR",S1739)),"FR Germany",
ISNUMBER(SEARCH("West Germany",S1739)),"FR Germany",
ISNUMBER(SEARCH("Germany DR",S1739)),"DR Germany",
ISNUMBER(SEARCH("Korea DPR",S1739)),"North Korea",
ISNUMBER(SEARCH("China PR",S1739)),"China",
ISNUMBER(SEARCH("IR Iran",S1739)),"Iran",
ISNUMBER(SEARCH("Congo DR",S1739)),"Democratic Republic of the Congo",
ISNUMBER(SEARCH("DR Congo",S1739)),"Democratic Republic of the Congo",
ISNUMBER(SEARCH("German DR",S1739)),"DR Germany",
ISNUMBER(SEARCH("rn""&gt;United Arab Emirates",S1739)),"United Arab Emirates",
ISNUMBER(SEARCH("rn""&gt;Republic of Ireland",S1739)),"Ireland",
ISNUMBER(SEARCH("rn""&gt;Bosnia and Herzegovina",S1739)),"Bosnia and Herzegovina",
ISNUMBER(SEARCH("rn""&gt;Trinidad and Tobago",S1739)),"Trinidad and Tobago",
ISNUMBER(SEARCH("rn""&gt;Serbia and Montenegro",S1739)),"Serbia and Montenegro",
ISNUMBER(SEARCH(_xlfn.UNICHAR(65533),S1739)),"Côte d'Ivoire",
TRUE,""
)</f>
        <v/>
      </c>
      <c r="W1739" s="12" t="str">
        <f t="shared" si="137"/>
        <v>Sweden</v>
      </c>
    </row>
    <row r="1740" spans="2:23">
      <c r="B1740" s="76" t="str">
        <v>1938.0</v>
      </c>
      <c r="C1740" s="42" t="str">
        <v xml:space="preserve">19 Jun 1938 - 17:00 </v>
      </c>
      <c r="D1740" s="42" t="str">
        <v>Match for third place</v>
      </c>
      <c r="E1740" s="42" t="str">
        <v>Stade du Parc Lescure</v>
      </c>
      <c r="F1740" s="42" t="str">
        <v xml:space="preserve">Bordeaux </v>
      </c>
      <c r="G1740" s="42" t="str">
        <v>Brazil</v>
      </c>
      <c r="H1740" s="42" t="str">
        <v>4.0</v>
      </c>
      <c r="I1740" s="42" t="str">
        <v>2.0</v>
      </c>
      <c r="J1740" s="42" t="str">
        <v>Sweden</v>
      </c>
      <c r="K1740" s="42" t="str">
        <v xml:space="preserve"> </v>
      </c>
      <c r="L1740" s="42" t="str">
        <f t="shared" si="134"/>
        <v xml:space="preserve">1938.0|19 Jun 1938 - 17:00 |Match for third place|Stade du Parc Lescure|Bordeaux |Brazil|4.0|2.0|Sweden| </v>
      </c>
      <c r="M1740" s="42" t="str">
        <f>IF(COUNTIF($L$1689:L1740,L1740)&gt;1,"DOUBLON","OK")</f>
        <v>OK</v>
      </c>
      <c r="S1740" s="12" t="str">
        <v>Sweden</v>
      </c>
      <c r="T1740" s="12" t="str">
        <f t="shared" si="135"/>
        <v>OK</v>
      </c>
      <c r="U1740" s="12" t="str">
        <f t="shared" si="136"/>
        <v>-</v>
      </c>
      <c r="V1740" s="12" t="str" cm="1">
        <f t="array" ref="V1740">_xlfn.IFS(
ISNUMBER(SEARCH("USA",S1740)),"United States",
ISNUMBER(SEARCH("Republic of Ireland",S1740)),"Ireland",
ISNUMBER(SEARCH("Republic of Korea",S1740)),"South Korea",
ISNUMBER(SEARCH("Cape Verde",S1740)),"Cabo Verde",
ISNUMBER(SEARCH("Czechia",S1740)),"Czech Republic",
ISNUMBER(SEARCH("Türkiye",S1740)),"Turkey",
ISNUMBER(SEARCH("Ivory Coast",S1740)),"Côte d'Ivoire",
ISNUMBER(SEARCH("Korea Republic",S1740)),"South Korea",
ISNUMBER(SEARCH("Germany FR",S1740)),"FR Germany",
ISNUMBER(SEARCH("West Germany",S1740)),"FR Germany",
ISNUMBER(SEARCH("Germany DR",S1740)),"DR Germany",
ISNUMBER(SEARCH("Korea DPR",S1740)),"North Korea",
ISNUMBER(SEARCH("China PR",S1740)),"China",
ISNUMBER(SEARCH("IR Iran",S1740)),"Iran",
ISNUMBER(SEARCH("Congo DR",S1740)),"Democratic Republic of the Congo",
ISNUMBER(SEARCH("DR Congo",S1740)),"Democratic Republic of the Congo",
ISNUMBER(SEARCH("German DR",S1740)),"DR Germany",
ISNUMBER(SEARCH("rn""&gt;United Arab Emirates",S1740)),"United Arab Emirates",
ISNUMBER(SEARCH("rn""&gt;Republic of Ireland",S1740)),"Ireland",
ISNUMBER(SEARCH("rn""&gt;Bosnia and Herzegovina",S1740)),"Bosnia and Herzegovina",
ISNUMBER(SEARCH("rn""&gt;Trinidad and Tobago",S1740)),"Trinidad and Tobago",
ISNUMBER(SEARCH("rn""&gt;Serbia and Montenegro",S1740)),"Serbia and Montenegro",
ISNUMBER(SEARCH(_xlfn.UNICHAR(65533),S1740)),"Côte d'Ivoire",
TRUE,""
)</f>
        <v/>
      </c>
      <c r="W1740" s="12" t="str">
        <f t="shared" si="137"/>
        <v>Sweden</v>
      </c>
    </row>
    <row r="1741" spans="2:23">
      <c r="B1741" s="76" t="str">
        <v>1938.0</v>
      </c>
      <c r="C1741" s="42" t="str">
        <v xml:space="preserve">19 Jun 1938 - 17:00 </v>
      </c>
      <c r="D1741" s="42" t="str">
        <v>Final</v>
      </c>
      <c r="E1741" s="42" t="str">
        <v>Stade Olympique</v>
      </c>
      <c r="F1741" s="42" t="str">
        <v xml:space="preserve">Colombes </v>
      </c>
      <c r="G1741" s="42" t="str">
        <v>Italy</v>
      </c>
      <c r="H1741" s="42" t="str">
        <v>4.0</v>
      </c>
      <c r="I1741" s="42" t="str">
        <v>2.0</v>
      </c>
      <c r="J1741" s="42" t="str">
        <v>Hungary</v>
      </c>
      <c r="K1741" s="42" t="str">
        <v xml:space="preserve"> </v>
      </c>
      <c r="L1741" s="42" t="str">
        <f t="shared" si="134"/>
        <v xml:space="preserve">1938.0|19 Jun 1938 - 17:00 |Final|Stade Olympique|Colombes |Italy|4.0|2.0|Hungary| </v>
      </c>
      <c r="M1741" s="42" t="str">
        <f>IF(COUNTIF($L$1689:L1741,L1741)&gt;1,"DOUBLON","OK")</f>
        <v>OK</v>
      </c>
      <c r="S1741" s="12" t="str">
        <v>Sweden</v>
      </c>
      <c r="T1741" s="12" t="str">
        <f t="shared" si="135"/>
        <v>OK</v>
      </c>
      <c r="U1741" s="12" t="str">
        <f t="shared" si="136"/>
        <v>-</v>
      </c>
      <c r="V1741" s="12" t="str" cm="1">
        <f t="array" ref="V1741">_xlfn.IFS(
ISNUMBER(SEARCH("USA",S1741)),"United States",
ISNUMBER(SEARCH("Republic of Ireland",S1741)),"Ireland",
ISNUMBER(SEARCH("Republic of Korea",S1741)),"South Korea",
ISNUMBER(SEARCH("Cape Verde",S1741)),"Cabo Verde",
ISNUMBER(SEARCH("Czechia",S1741)),"Czech Republic",
ISNUMBER(SEARCH("Türkiye",S1741)),"Turkey",
ISNUMBER(SEARCH("Ivory Coast",S1741)),"Côte d'Ivoire",
ISNUMBER(SEARCH("Korea Republic",S1741)),"South Korea",
ISNUMBER(SEARCH("Germany FR",S1741)),"FR Germany",
ISNUMBER(SEARCH("West Germany",S1741)),"FR Germany",
ISNUMBER(SEARCH("Germany DR",S1741)),"DR Germany",
ISNUMBER(SEARCH("Korea DPR",S1741)),"North Korea",
ISNUMBER(SEARCH("China PR",S1741)),"China",
ISNUMBER(SEARCH("IR Iran",S1741)),"Iran",
ISNUMBER(SEARCH("Congo DR",S1741)),"Democratic Republic of the Congo",
ISNUMBER(SEARCH("DR Congo",S1741)),"Democratic Republic of the Congo",
ISNUMBER(SEARCH("German DR",S1741)),"DR Germany",
ISNUMBER(SEARCH("rn""&gt;United Arab Emirates",S1741)),"United Arab Emirates",
ISNUMBER(SEARCH("rn""&gt;Republic of Ireland",S1741)),"Ireland",
ISNUMBER(SEARCH("rn""&gt;Bosnia and Herzegovina",S1741)),"Bosnia and Herzegovina",
ISNUMBER(SEARCH("rn""&gt;Trinidad and Tobago",S1741)),"Trinidad and Tobago",
ISNUMBER(SEARCH("rn""&gt;Serbia and Montenegro",S1741)),"Serbia and Montenegro",
ISNUMBER(SEARCH(_xlfn.UNICHAR(65533),S1741)),"Côte d'Ivoire",
TRUE,""
)</f>
        <v/>
      </c>
      <c r="W1741" s="12" t="str">
        <f t="shared" si="137"/>
        <v>Sweden</v>
      </c>
    </row>
    <row r="1742" spans="2:23">
      <c r="B1742" s="76" t="str">
        <v>1950.0</v>
      </c>
      <c r="C1742" s="42" t="str">
        <v xml:space="preserve">24 Jun 1950 - 15:00 </v>
      </c>
      <c r="D1742" s="42" t="str">
        <v>Group 1</v>
      </c>
      <c r="E1742" s="42" t="str">
        <v>Maracan� - Est�dio Jornalista M�rio Filho</v>
      </c>
      <c r="F1742" s="42" t="str">
        <v xml:space="preserve">Rio De Janeiro </v>
      </c>
      <c r="G1742" s="42" t="str">
        <v>Brazil</v>
      </c>
      <c r="H1742" s="42" t="str">
        <v>4.0</v>
      </c>
      <c r="I1742" s="42" t="str">
        <v>0.0</v>
      </c>
      <c r="J1742" s="42" t="str">
        <v>Mexico</v>
      </c>
      <c r="K1742" s="42" t="str">
        <v xml:space="preserve"> </v>
      </c>
      <c r="L1742" s="42" t="str">
        <f t="shared" si="134"/>
        <v xml:space="preserve">1950.0|24 Jun 1950 - 15:00 |Group 1|Maracan� - Est�dio Jornalista M�rio Filho|Rio De Janeiro |Brazil|4.0|0.0|Mexico| </v>
      </c>
      <c r="M1742" s="42" t="str">
        <f>IF(COUNTIF($L$1689:L1742,L1742)&gt;1,"DOUBLON","OK")</f>
        <v>OK</v>
      </c>
      <c r="S1742" s="12" t="str">
        <v>Sweden</v>
      </c>
      <c r="T1742" s="12" t="str">
        <f t="shared" si="135"/>
        <v>OK</v>
      </c>
      <c r="U1742" s="12" t="str">
        <f t="shared" si="136"/>
        <v>-</v>
      </c>
      <c r="V1742" s="12" t="str" cm="1">
        <f t="array" ref="V1742">_xlfn.IFS(
ISNUMBER(SEARCH("USA",S1742)),"United States",
ISNUMBER(SEARCH("Republic of Ireland",S1742)),"Ireland",
ISNUMBER(SEARCH("Republic of Korea",S1742)),"South Korea",
ISNUMBER(SEARCH("Cape Verde",S1742)),"Cabo Verde",
ISNUMBER(SEARCH("Czechia",S1742)),"Czech Republic",
ISNUMBER(SEARCH("Türkiye",S1742)),"Turkey",
ISNUMBER(SEARCH("Ivory Coast",S1742)),"Côte d'Ivoire",
ISNUMBER(SEARCH("Korea Republic",S1742)),"South Korea",
ISNUMBER(SEARCH("Germany FR",S1742)),"FR Germany",
ISNUMBER(SEARCH("West Germany",S1742)),"FR Germany",
ISNUMBER(SEARCH("Germany DR",S1742)),"DR Germany",
ISNUMBER(SEARCH("Korea DPR",S1742)),"North Korea",
ISNUMBER(SEARCH("China PR",S1742)),"China",
ISNUMBER(SEARCH("IR Iran",S1742)),"Iran",
ISNUMBER(SEARCH("Congo DR",S1742)),"Democratic Republic of the Congo",
ISNUMBER(SEARCH("DR Congo",S1742)),"Democratic Republic of the Congo",
ISNUMBER(SEARCH("German DR",S1742)),"DR Germany",
ISNUMBER(SEARCH("rn""&gt;United Arab Emirates",S1742)),"United Arab Emirates",
ISNUMBER(SEARCH("rn""&gt;Republic of Ireland",S1742)),"Ireland",
ISNUMBER(SEARCH("rn""&gt;Bosnia and Herzegovina",S1742)),"Bosnia and Herzegovina",
ISNUMBER(SEARCH("rn""&gt;Trinidad and Tobago",S1742)),"Trinidad and Tobago",
ISNUMBER(SEARCH("rn""&gt;Serbia and Montenegro",S1742)),"Serbia and Montenegro",
ISNUMBER(SEARCH(_xlfn.UNICHAR(65533),S1742)),"Côte d'Ivoire",
TRUE,""
)</f>
        <v/>
      </c>
      <c r="W1742" s="12" t="str">
        <f t="shared" si="137"/>
        <v>Sweden</v>
      </c>
    </row>
    <row r="1743" spans="2:23">
      <c r="B1743" s="76" t="str">
        <v>1950.0</v>
      </c>
      <c r="C1743" s="42" t="str">
        <v xml:space="preserve">25 Jun 1950 - 15:00 </v>
      </c>
      <c r="D1743" s="42" t="str">
        <v>Group 2</v>
      </c>
      <c r="E1743" s="42" t="str">
        <v>Maracan� - Est�dio Jornalista M�rio Filho</v>
      </c>
      <c r="F1743" s="42" t="str">
        <v xml:space="preserve">Rio De Janeiro </v>
      </c>
      <c r="G1743" s="42" t="str">
        <v>England</v>
      </c>
      <c r="H1743" s="42" t="str">
        <v>2.0</v>
      </c>
      <c r="I1743" s="42" t="str">
        <v>0.0</v>
      </c>
      <c r="J1743" s="42" t="str">
        <v>Chile</v>
      </c>
      <c r="K1743" s="42" t="str">
        <v xml:space="preserve"> </v>
      </c>
      <c r="L1743" s="42" t="str">
        <f t="shared" si="134"/>
        <v xml:space="preserve">1950.0|25 Jun 1950 - 15:00 |Group 2|Maracan� - Est�dio Jornalista M�rio Filho|Rio De Janeiro |England|2.0|0.0|Chile| </v>
      </c>
      <c r="M1743" s="42" t="str">
        <f>IF(COUNTIF($L$1689:L1743,L1743)&gt;1,"DOUBLON","OK")</f>
        <v>OK</v>
      </c>
      <c r="S1743" s="12" t="str">
        <v>Sweden</v>
      </c>
      <c r="T1743" s="12" t="str">
        <f t="shared" si="135"/>
        <v>OK</v>
      </c>
      <c r="U1743" s="12" t="str">
        <f t="shared" si="136"/>
        <v>-</v>
      </c>
      <c r="V1743" s="12" t="str" cm="1">
        <f t="array" ref="V1743">_xlfn.IFS(
ISNUMBER(SEARCH("USA",S1743)),"United States",
ISNUMBER(SEARCH("Republic of Ireland",S1743)),"Ireland",
ISNUMBER(SEARCH("Republic of Korea",S1743)),"South Korea",
ISNUMBER(SEARCH("Cape Verde",S1743)),"Cabo Verde",
ISNUMBER(SEARCH("Czechia",S1743)),"Czech Republic",
ISNUMBER(SEARCH("Türkiye",S1743)),"Turkey",
ISNUMBER(SEARCH("Ivory Coast",S1743)),"Côte d'Ivoire",
ISNUMBER(SEARCH("Korea Republic",S1743)),"South Korea",
ISNUMBER(SEARCH("Germany FR",S1743)),"FR Germany",
ISNUMBER(SEARCH("West Germany",S1743)),"FR Germany",
ISNUMBER(SEARCH("Germany DR",S1743)),"DR Germany",
ISNUMBER(SEARCH("Korea DPR",S1743)),"North Korea",
ISNUMBER(SEARCH("China PR",S1743)),"China",
ISNUMBER(SEARCH("IR Iran",S1743)),"Iran",
ISNUMBER(SEARCH("Congo DR",S1743)),"Democratic Republic of the Congo",
ISNUMBER(SEARCH("DR Congo",S1743)),"Democratic Republic of the Congo",
ISNUMBER(SEARCH("German DR",S1743)),"DR Germany",
ISNUMBER(SEARCH("rn""&gt;United Arab Emirates",S1743)),"United Arab Emirates",
ISNUMBER(SEARCH("rn""&gt;Republic of Ireland",S1743)),"Ireland",
ISNUMBER(SEARCH("rn""&gt;Bosnia and Herzegovina",S1743)),"Bosnia and Herzegovina",
ISNUMBER(SEARCH("rn""&gt;Trinidad and Tobago",S1743)),"Trinidad and Tobago",
ISNUMBER(SEARCH("rn""&gt;Serbia and Montenegro",S1743)),"Serbia and Montenegro",
ISNUMBER(SEARCH(_xlfn.UNICHAR(65533),S1743)),"Côte d'Ivoire",
TRUE,""
)</f>
        <v/>
      </c>
      <c r="W1743" s="12" t="str">
        <f t="shared" si="137"/>
        <v>Sweden</v>
      </c>
    </row>
    <row r="1744" spans="2:23">
      <c r="B1744" s="76" t="str">
        <v>1950.0</v>
      </c>
      <c r="C1744" s="42" t="str">
        <v xml:space="preserve">25 Jun 1950 - 15:00 </v>
      </c>
      <c r="D1744" s="42" t="str">
        <v>Group 2</v>
      </c>
      <c r="E1744" s="42" t="str">
        <v>Durival de Brito</v>
      </c>
      <c r="F1744" s="42" t="str">
        <v xml:space="preserve">Curitiba </v>
      </c>
      <c r="G1744" s="42" t="str">
        <v>Spain</v>
      </c>
      <c r="H1744" s="42" t="str">
        <v>3.0</v>
      </c>
      <c r="I1744" s="42" t="str">
        <v>1.0</v>
      </c>
      <c r="J1744" s="42" t="str">
        <v>USA</v>
      </c>
      <c r="K1744" s="42" t="str">
        <v xml:space="preserve"> </v>
      </c>
      <c r="L1744" s="42" t="str">
        <f t="shared" si="134"/>
        <v xml:space="preserve">1950.0|25 Jun 1950 - 15:00 |Group 2|Durival de Brito|Curitiba |Spain|3.0|1.0|USA| </v>
      </c>
      <c r="M1744" s="42" t="str">
        <f>IF(COUNTIF($L$1689:L1744,L1744)&gt;1,"DOUBLON","OK")</f>
        <v>OK</v>
      </c>
      <c r="S1744" s="12" t="str">
        <v>Sweden</v>
      </c>
      <c r="T1744" s="12" t="str">
        <f t="shared" si="135"/>
        <v>OK</v>
      </c>
      <c r="U1744" s="12" t="str">
        <f t="shared" si="136"/>
        <v>-</v>
      </c>
      <c r="V1744" s="12" t="str" cm="1">
        <f t="array" ref="V1744">_xlfn.IFS(
ISNUMBER(SEARCH("USA",S1744)),"United States",
ISNUMBER(SEARCH("Republic of Ireland",S1744)),"Ireland",
ISNUMBER(SEARCH("Republic of Korea",S1744)),"South Korea",
ISNUMBER(SEARCH("Cape Verde",S1744)),"Cabo Verde",
ISNUMBER(SEARCH("Czechia",S1744)),"Czech Republic",
ISNUMBER(SEARCH("Türkiye",S1744)),"Turkey",
ISNUMBER(SEARCH("Ivory Coast",S1744)),"Côte d'Ivoire",
ISNUMBER(SEARCH("Korea Republic",S1744)),"South Korea",
ISNUMBER(SEARCH("Germany FR",S1744)),"FR Germany",
ISNUMBER(SEARCH("West Germany",S1744)),"FR Germany",
ISNUMBER(SEARCH("Germany DR",S1744)),"DR Germany",
ISNUMBER(SEARCH("Korea DPR",S1744)),"North Korea",
ISNUMBER(SEARCH("China PR",S1744)),"China",
ISNUMBER(SEARCH("IR Iran",S1744)),"Iran",
ISNUMBER(SEARCH("Congo DR",S1744)),"Democratic Republic of the Congo",
ISNUMBER(SEARCH("DR Congo",S1744)),"Democratic Republic of the Congo",
ISNUMBER(SEARCH("German DR",S1744)),"DR Germany",
ISNUMBER(SEARCH("rn""&gt;United Arab Emirates",S1744)),"United Arab Emirates",
ISNUMBER(SEARCH("rn""&gt;Republic of Ireland",S1744)),"Ireland",
ISNUMBER(SEARCH("rn""&gt;Bosnia and Herzegovina",S1744)),"Bosnia and Herzegovina",
ISNUMBER(SEARCH("rn""&gt;Trinidad and Tobago",S1744)),"Trinidad and Tobago",
ISNUMBER(SEARCH("rn""&gt;Serbia and Montenegro",S1744)),"Serbia and Montenegro",
ISNUMBER(SEARCH(_xlfn.UNICHAR(65533),S1744)),"Côte d'Ivoire",
TRUE,""
)</f>
        <v/>
      </c>
      <c r="W1744" s="12" t="str">
        <f t="shared" si="137"/>
        <v>Sweden</v>
      </c>
    </row>
    <row r="1745" spans="2:23">
      <c r="B1745" s="76" t="str">
        <v>1950.0</v>
      </c>
      <c r="C1745" s="42" t="str">
        <v xml:space="preserve">25 Jun 1950 - 15:00 </v>
      </c>
      <c r="D1745" s="42" t="str">
        <v>Group 3</v>
      </c>
      <c r="E1745" s="42" t="str">
        <v>Pacaembu</v>
      </c>
      <c r="F1745" s="42" t="str">
        <v xml:space="preserve">Sao Paulo </v>
      </c>
      <c r="G1745" s="42" t="str">
        <v>Sweden</v>
      </c>
      <c r="H1745" s="42" t="str">
        <v>3.0</v>
      </c>
      <c r="I1745" s="42" t="str">
        <v>2.0</v>
      </c>
      <c r="J1745" s="42" t="str">
        <v>Italy</v>
      </c>
      <c r="K1745" s="42" t="str">
        <v xml:space="preserve"> </v>
      </c>
      <c r="L1745" s="42" t="str">
        <f t="shared" si="134"/>
        <v xml:space="preserve">1950.0|25 Jun 1950 - 15:00 |Group 3|Pacaembu|Sao Paulo |Sweden|3.0|2.0|Italy| </v>
      </c>
      <c r="M1745" s="42" t="str">
        <f>IF(COUNTIF($L$1689:L1745,L1745)&gt;1,"DOUBLON","OK")</f>
        <v>OK</v>
      </c>
      <c r="S1745" s="12" t="str">
        <v>Belgium</v>
      </c>
      <c r="T1745" s="12" t="str">
        <f t="shared" si="135"/>
        <v>OK</v>
      </c>
      <c r="U1745" s="12" t="str">
        <f t="shared" si="136"/>
        <v>-</v>
      </c>
      <c r="V1745" s="12" t="str" cm="1">
        <f t="array" ref="V1745">_xlfn.IFS(
ISNUMBER(SEARCH("USA",S1745)),"United States",
ISNUMBER(SEARCH("Republic of Ireland",S1745)),"Ireland",
ISNUMBER(SEARCH("Republic of Korea",S1745)),"South Korea",
ISNUMBER(SEARCH("Cape Verde",S1745)),"Cabo Verde",
ISNUMBER(SEARCH("Czechia",S1745)),"Czech Republic",
ISNUMBER(SEARCH("Türkiye",S1745)),"Turkey",
ISNUMBER(SEARCH("Ivory Coast",S1745)),"Côte d'Ivoire",
ISNUMBER(SEARCH("Korea Republic",S1745)),"South Korea",
ISNUMBER(SEARCH("Germany FR",S1745)),"FR Germany",
ISNUMBER(SEARCH("West Germany",S1745)),"FR Germany",
ISNUMBER(SEARCH("Germany DR",S1745)),"DR Germany",
ISNUMBER(SEARCH("Korea DPR",S1745)),"North Korea",
ISNUMBER(SEARCH("China PR",S1745)),"China",
ISNUMBER(SEARCH("IR Iran",S1745)),"Iran",
ISNUMBER(SEARCH("Congo DR",S1745)),"Democratic Republic of the Congo",
ISNUMBER(SEARCH("DR Congo",S1745)),"Democratic Republic of the Congo",
ISNUMBER(SEARCH("German DR",S1745)),"DR Germany",
ISNUMBER(SEARCH("rn""&gt;United Arab Emirates",S1745)),"United Arab Emirates",
ISNUMBER(SEARCH("rn""&gt;Republic of Ireland",S1745)),"Ireland",
ISNUMBER(SEARCH("rn""&gt;Bosnia and Herzegovina",S1745)),"Bosnia and Herzegovina",
ISNUMBER(SEARCH("rn""&gt;Trinidad and Tobago",S1745)),"Trinidad and Tobago",
ISNUMBER(SEARCH("rn""&gt;Serbia and Montenegro",S1745)),"Serbia and Montenegro",
ISNUMBER(SEARCH(_xlfn.UNICHAR(65533),S1745)),"Côte d'Ivoire",
TRUE,""
)</f>
        <v/>
      </c>
      <c r="W1745" s="12" t="str">
        <f t="shared" si="137"/>
        <v>Belgium</v>
      </c>
    </row>
    <row r="1746" spans="2:23">
      <c r="B1746" s="76" t="str">
        <v>1950.0</v>
      </c>
      <c r="C1746" s="42" t="str">
        <v xml:space="preserve">25 Jun 1950 - 15:00 </v>
      </c>
      <c r="D1746" s="42" t="str">
        <v>Group 1</v>
      </c>
      <c r="E1746" s="42" t="str">
        <v>Independencia</v>
      </c>
      <c r="F1746" s="42" t="str">
        <v xml:space="preserve">Belo Horizonte </v>
      </c>
      <c r="G1746" s="42" t="str">
        <v>Yugoslavia</v>
      </c>
      <c r="H1746" s="42" t="str">
        <v>3.0</v>
      </c>
      <c r="I1746" s="42" t="str">
        <v>0.0</v>
      </c>
      <c r="J1746" s="42" t="str">
        <v>Switzerland</v>
      </c>
      <c r="K1746" s="42" t="str">
        <v xml:space="preserve"> </v>
      </c>
      <c r="L1746" s="42" t="str">
        <f t="shared" si="134"/>
        <v xml:space="preserve">1950.0|25 Jun 1950 - 15:00 |Group 1|Independencia|Belo Horizonte |Yugoslavia|3.0|0.0|Switzerland| </v>
      </c>
      <c r="M1746" s="42" t="str">
        <f>IF(COUNTIF($L$1689:L1746,L1746)&gt;1,"DOUBLON","OK")</f>
        <v>OK</v>
      </c>
      <c r="S1746" s="12" t="str">
        <v>Belgium</v>
      </c>
      <c r="T1746" s="12" t="str">
        <f t="shared" si="135"/>
        <v>OK</v>
      </c>
      <c r="U1746" s="12" t="str">
        <f t="shared" si="136"/>
        <v>-</v>
      </c>
      <c r="V1746" s="12" t="str" cm="1">
        <f t="array" ref="V1746">_xlfn.IFS(
ISNUMBER(SEARCH("USA",S1746)),"United States",
ISNUMBER(SEARCH("Republic of Ireland",S1746)),"Ireland",
ISNUMBER(SEARCH("Republic of Korea",S1746)),"South Korea",
ISNUMBER(SEARCH("Cape Verde",S1746)),"Cabo Verde",
ISNUMBER(SEARCH("Czechia",S1746)),"Czech Republic",
ISNUMBER(SEARCH("Türkiye",S1746)),"Turkey",
ISNUMBER(SEARCH("Ivory Coast",S1746)),"Côte d'Ivoire",
ISNUMBER(SEARCH("Korea Republic",S1746)),"South Korea",
ISNUMBER(SEARCH("Germany FR",S1746)),"FR Germany",
ISNUMBER(SEARCH("West Germany",S1746)),"FR Germany",
ISNUMBER(SEARCH("Germany DR",S1746)),"DR Germany",
ISNUMBER(SEARCH("Korea DPR",S1746)),"North Korea",
ISNUMBER(SEARCH("China PR",S1746)),"China",
ISNUMBER(SEARCH("IR Iran",S1746)),"Iran",
ISNUMBER(SEARCH("Congo DR",S1746)),"Democratic Republic of the Congo",
ISNUMBER(SEARCH("DR Congo",S1746)),"Democratic Republic of the Congo",
ISNUMBER(SEARCH("German DR",S1746)),"DR Germany",
ISNUMBER(SEARCH("rn""&gt;United Arab Emirates",S1746)),"United Arab Emirates",
ISNUMBER(SEARCH("rn""&gt;Republic of Ireland",S1746)),"Ireland",
ISNUMBER(SEARCH("rn""&gt;Bosnia and Herzegovina",S1746)),"Bosnia and Herzegovina",
ISNUMBER(SEARCH("rn""&gt;Trinidad and Tobago",S1746)),"Trinidad and Tobago",
ISNUMBER(SEARCH("rn""&gt;Serbia and Montenegro",S1746)),"Serbia and Montenegro",
ISNUMBER(SEARCH(_xlfn.UNICHAR(65533),S1746)),"Côte d'Ivoire",
TRUE,""
)</f>
        <v/>
      </c>
      <c r="W1746" s="12" t="str">
        <f t="shared" si="137"/>
        <v>Belgium</v>
      </c>
    </row>
    <row r="1747" spans="2:23">
      <c r="B1747" s="76" t="str">
        <v>1950.0</v>
      </c>
      <c r="C1747" s="42" t="str">
        <v xml:space="preserve">28 Jun 1950 - 15:00 </v>
      </c>
      <c r="D1747" s="42" t="str">
        <v>Group 1</v>
      </c>
      <c r="E1747" s="42" t="str">
        <v>Pacaembu</v>
      </c>
      <c r="F1747" s="42" t="str">
        <v xml:space="preserve">Sao Paulo </v>
      </c>
      <c r="G1747" s="42" t="str">
        <v>Brazil</v>
      </c>
      <c r="H1747" s="42" t="str">
        <v>2.0</v>
      </c>
      <c r="I1747" s="42" t="str">
        <v>2.0</v>
      </c>
      <c r="J1747" s="42" t="str">
        <v>Switzerland</v>
      </c>
      <c r="K1747" s="42" t="str">
        <v xml:space="preserve"> </v>
      </c>
      <c r="L1747" s="42" t="str">
        <f t="shared" si="134"/>
        <v xml:space="preserve">1950.0|28 Jun 1950 - 15:00 |Group 1|Pacaembu|Sao Paulo |Brazil|2.0|2.0|Switzerland| </v>
      </c>
      <c r="M1747" s="42" t="str">
        <f>IF(COUNTIF($L$1689:L1747,L1747)&gt;1,"DOUBLON","OK")</f>
        <v>OK</v>
      </c>
      <c r="S1747" s="12" t="str">
        <v>Belgium</v>
      </c>
      <c r="T1747" s="12" t="str">
        <f t="shared" si="135"/>
        <v>OK</v>
      </c>
      <c r="U1747" s="12" t="str">
        <f t="shared" si="136"/>
        <v>-</v>
      </c>
      <c r="V1747" s="12" t="str" cm="1">
        <f t="array" ref="V1747">_xlfn.IFS(
ISNUMBER(SEARCH("USA",S1747)),"United States",
ISNUMBER(SEARCH("Republic of Ireland",S1747)),"Ireland",
ISNUMBER(SEARCH("Republic of Korea",S1747)),"South Korea",
ISNUMBER(SEARCH("Cape Verde",S1747)),"Cabo Verde",
ISNUMBER(SEARCH("Czechia",S1747)),"Czech Republic",
ISNUMBER(SEARCH("Türkiye",S1747)),"Turkey",
ISNUMBER(SEARCH("Ivory Coast",S1747)),"Côte d'Ivoire",
ISNUMBER(SEARCH("Korea Republic",S1747)),"South Korea",
ISNUMBER(SEARCH("Germany FR",S1747)),"FR Germany",
ISNUMBER(SEARCH("West Germany",S1747)),"FR Germany",
ISNUMBER(SEARCH("Germany DR",S1747)),"DR Germany",
ISNUMBER(SEARCH("Korea DPR",S1747)),"North Korea",
ISNUMBER(SEARCH("China PR",S1747)),"China",
ISNUMBER(SEARCH("IR Iran",S1747)),"Iran",
ISNUMBER(SEARCH("Congo DR",S1747)),"Democratic Republic of the Congo",
ISNUMBER(SEARCH("DR Congo",S1747)),"Democratic Republic of the Congo",
ISNUMBER(SEARCH("German DR",S1747)),"DR Germany",
ISNUMBER(SEARCH("rn""&gt;United Arab Emirates",S1747)),"United Arab Emirates",
ISNUMBER(SEARCH("rn""&gt;Republic of Ireland",S1747)),"Ireland",
ISNUMBER(SEARCH("rn""&gt;Bosnia and Herzegovina",S1747)),"Bosnia and Herzegovina",
ISNUMBER(SEARCH("rn""&gt;Trinidad and Tobago",S1747)),"Trinidad and Tobago",
ISNUMBER(SEARCH("rn""&gt;Serbia and Montenegro",S1747)),"Serbia and Montenegro",
ISNUMBER(SEARCH(_xlfn.UNICHAR(65533),S1747)),"Côte d'Ivoire",
TRUE,""
)</f>
        <v/>
      </c>
      <c r="W1747" s="12" t="str">
        <f t="shared" si="137"/>
        <v>Belgium</v>
      </c>
    </row>
    <row r="1748" spans="2:23">
      <c r="B1748" s="76" t="str">
        <v>1950.0</v>
      </c>
      <c r="C1748" s="42" t="str">
        <v xml:space="preserve">28 Jun 1950 - 15:00 </v>
      </c>
      <c r="D1748" s="42" t="str">
        <v>Group 1</v>
      </c>
      <c r="E1748" s="42" t="str">
        <v>Eucaliptos</v>
      </c>
      <c r="F1748" s="42" t="str">
        <v xml:space="preserve">Porto Alegre </v>
      </c>
      <c r="G1748" s="42" t="str">
        <v>Yugoslavia</v>
      </c>
      <c r="H1748" s="42" t="str">
        <v>4.0</v>
      </c>
      <c r="I1748" s="42" t="str">
        <v>1.0</v>
      </c>
      <c r="J1748" s="42" t="str">
        <v>Mexico</v>
      </c>
      <c r="K1748" s="42" t="str">
        <v xml:space="preserve"> </v>
      </c>
      <c r="L1748" s="42" t="str">
        <f t="shared" si="134"/>
        <v xml:space="preserve">1950.0|28 Jun 1950 - 15:00 |Group 1|Eucaliptos|Porto Alegre |Yugoslavia|4.0|1.0|Mexico| </v>
      </c>
      <c r="M1748" s="42" t="str">
        <f>IF(COUNTIF($L$1689:L1748,L1748)&gt;1,"DOUBLON","OK")</f>
        <v>OK</v>
      </c>
      <c r="S1748" s="12" t="str">
        <v>Belgium</v>
      </c>
      <c r="T1748" s="12" t="str">
        <f t="shared" si="135"/>
        <v>OK</v>
      </c>
      <c r="U1748" s="12" t="str">
        <f t="shared" si="136"/>
        <v>-</v>
      </c>
      <c r="V1748" s="12" t="str" cm="1">
        <f t="array" ref="V1748">_xlfn.IFS(
ISNUMBER(SEARCH("USA",S1748)),"United States",
ISNUMBER(SEARCH("Republic of Ireland",S1748)),"Ireland",
ISNUMBER(SEARCH("Republic of Korea",S1748)),"South Korea",
ISNUMBER(SEARCH("Cape Verde",S1748)),"Cabo Verde",
ISNUMBER(SEARCH("Czechia",S1748)),"Czech Republic",
ISNUMBER(SEARCH("Türkiye",S1748)),"Turkey",
ISNUMBER(SEARCH("Ivory Coast",S1748)),"Côte d'Ivoire",
ISNUMBER(SEARCH("Korea Republic",S1748)),"South Korea",
ISNUMBER(SEARCH("Germany FR",S1748)),"FR Germany",
ISNUMBER(SEARCH("West Germany",S1748)),"FR Germany",
ISNUMBER(SEARCH("Germany DR",S1748)),"DR Germany",
ISNUMBER(SEARCH("Korea DPR",S1748)),"North Korea",
ISNUMBER(SEARCH("China PR",S1748)),"China",
ISNUMBER(SEARCH("IR Iran",S1748)),"Iran",
ISNUMBER(SEARCH("Congo DR",S1748)),"Democratic Republic of the Congo",
ISNUMBER(SEARCH("DR Congo",S1748)),"Democratic Republic of the Congo",
ISNUMBER(SEARCH("German DR",S1748)),"DR Germany",
ISNUMBER(SEARCH("rn""&gt;United Arab Emirates",S1748)),"United Arab Emirates",
ISNUMBER(SEARCH("rn""&gt;Republic of Ireland",S1748)),"Ireland",
ISNUMBER(SEARCH("rn""&gt;Bosnia and Herzegovina",S1748)),"Bosnia and Herzegovina",
ISNUMBER(SEARCH("rn""&gt;Trinidad and Tobago",S1748)),"Trinidad and Tobago",
ISNUMBER(SEARCH("rn""&gt;Serbia and Montenegro",S1748)),"Serbia and Montenegro",
ISNUMBER(SEARCH(_xlfn.UNICHAR(65533),S1748)),"Côte d'Ivoire",
TRUE,""
)</f>
        <v/>
      </c>
      <c r="W1748" s="12" t="str">
        <f t="shared" si="137"/>
        <v>Belgium</v>
      </c>
    </row>
    <row r="1749" spans="2:23">
      <c r="B1749" s="76" t="str">
        <v>1950.0</v>
      </c>
      <c r="C1749" s="42" t="str">
        <v xml:space="preserve">29 Jun 1950 - 15:00 </v>
      </c>
      <c r="D1749" s="42" t="str">
        <v>Group 2</v>
      </c>
      <c r="E1749" s="42" t="str">
        <v>Maracan� - Est�dio Jornalista M�rio Filho</v>
      </c>
      <c r="F1749" s="42" t="str">
        <v xml:space="preserve">Rio De Janeiro </v>
      </c>
      <c r="G1749" s="42" t="str">
        <v>Spain</v>
      </c>
      <c r="H1749" s="42" t="str">
        <v>2.0</v>
      </c>
      <c r="I1749" s="42" t="str">
        <v>0.0</v>
      </c>
      <c r="J1749" s="42" t="str">
        <v>Chile</v>
      </c>
      <c r="K1749" s="42" t="str">
        <v xml:space="preserve"> </v>
      </c>
      <c r="L1749" s="42" t="str">
        <f t="shared" si="134"/>
        <v xml:space="preserve">1950.0|29 Jun 1950 - 15:00 |Group 2|Maracan� - Est�dio Jornalista M�rio Filho|Rio De Janeiro |Spain|2.0|0.0|Chile| </v>
      </c>
      <c r="M1749" s="42" t="str">
        <f>IF(COUNTIF($L$1689:L1749,L1749)&gt;1,"DOUBLON","OK")</f>
        <v>OK</v>
      </c>
      <c r="S1749" s="12" t="str">
        <v>Belgium</v>
      </c>
      <c r="T1749" s="12" t="str">
        <f t="shared" si="135"/>
        <v>OK</v>
      </c>
      <c r="U1749" s="12" t="str">
        <f t="shared" si="136"/>
        <v>-</v>
      </c>
      <c r="V1749" s="12" t="str" cm="1">
        <f t="array" ref="V1749">_xlfn.IFS(
ISNUMBER(SEARCH("USA",S1749)),"United States",
ISNUMBER(SEARCH("Republic of Ireland",S1749)),"Ireland",
ISNUMBER(SEARCH("Republic of Korea",S1749)),"South Korea",
ISNUMBER(SEARCH("Cape Verde",S1749)),"Cabo Verde",
ISNUMBER(SEARCH("Czechia",S1749)),"Czech Republic",
ISNUMBER(SEARCH("Türkiye",S1749)),"Turkey",
ISNUMBER(SEARCH("Ivory Coast",S1749)),"Côte d'Ivoire",
ISNUMBER(SEARCH("Korea Republic",S1749)),"South Korea",
ISNUMBER(SEARCH("Germany FR",S1749)),"FR Germany",
ISNUMBER(SEARCH("West Germany",S1749)),"FR Germany",
ISNUMBER(SEARCH("Germany DR",S1749)),"DR Germany",
ISNUMBER(SEARCH("Korea DPR",S1749)),"North Korea",
ISNUMBER(SEARCH("China PR",S1749)),"China",
ISNUMBER(SEARCH("IR Iran",S1749)),"Iran",
ISNUMBER(SEARCH("Congo DR",S1749)),"Democratic Republic of the Congo",
ISNUMBER(SEARCH("DR Congo",S1749)),"Democratic Republic of the Congo",
ISNUMBER(SEARCH("German DR",S1749)),"DR Germany",
ISNUMBER(SEARCH("rn""&gt;United Arab Emirates",S1749)),"United Arab Emirates",
ISNUMBER(SEARCH("rn""&gt;Republic of Ireland",S1749)),"Ireland",
ISNUMBER(SEARCH("rn""&gt;Bosnia and Herzegovina",S1749)),"Bosnia and Herzegovina",
ISNUMBER(SEARCH("rn""&gt;Trinidad and Tobago",S1749)),"Trinidad and Tobago",
ISNUMBER(SEARCH("rn""&gt;Serbia and Montenegro",S1749)),"Serbia and Montenegro",
ISNUMBER(SEARCH(_xlfn.UNICHAR(65533),S1749)),"Côte d'Ivoire",
TRUE,""
)</f>
        <v/>
      </c>
      <c r="W1749" s="12" t="str">
        <f t="shared" si="137"/>
        <v>Belgium</v>
      </c>
    </row>
    <row r="1750" spans="2:23">
      <c r="B1750" s="76" t="str">
        <v>1950.0</v>
      </c>
      <c r="C1750" s="42" t="str">
        <v xml:space="preserve">29 Jun 1950 - 15:30 </v>
      </c>
      <c r="D1750" s="42" t="str">
        <v>Group 3</v>
      </c>
      <c r="E1750" s="42" t="str">
        <v>Durival de Brito</v>
      </c>
      <c r="F1750" s="42" t="str">
        <v xml:space="preserve">Curitiba </v>
      </c>
      <c r="G1750" s="42" t="str">
        <v>Sweden</v>
      </c>
      <c r="H1750" s="42" t="str">
        <v>2.0</v>
      </c>
      <c r="I1750" s="42" t="str">
        <v>2.0</v>
      </c>
      <c r="J1750" s="42" t="str">
        <v>Paraguay</v>
      </c>
      <c r="K1750" s="42" t="str">
        <v xml:space="preserve"> </v>
      </c>
      <c r="L1750" s="42" t="str">
        <f t="shared" si="134"/>
        <v xml:space="preserve">1950.0|29 Jun 1950 - 15:30 |Group 3|Durival de Brito|Curitiba |Sweden|2.0|2.0|Paraguay| </v>
      </c>
      <c r="M1750" s="42" t="str">
        <f>IF(COUNTIF($L$1689:L1750,L1750)&gt;1,"DOUBLON","OK")</f>
        <v>OK</v>
      </c>
      <c r="S1750" s="12" t="str">
        <v>Belgium</v>
      </c>
      <c r="T1750" s="12" t="str">
        <f t="shared" si="135"/>
        <v>OK</v>
      </c>
      <c r="U1750" s="12" t="str">
        <f t="shared" si="136"/>
        <v>-</v>
      </c>
      <c r="V1750" s="12" t="str" cm="1">
        <f t="array" ref="V1750">_xlfn.IFS(
ISNUMBER(SEARCH("USA",S1750)),"United States",
ISNUMBER(SEARCH("Republic of Ireland",S1750)),"Ireland",
ISNUMBER(SEARCH("Republic of Korea",S1750)),"South Korea",
ISNUMBER(SEARCH("Cape Verde",S1750)),"Cabo Verde",
ISNUMBER(SEARCH("Czechia",S1750)),"Czech Republic",
ISNUMBER(SEARCH("Türkiye",S1750)),"Turkey",
ISNUMBER(SEARCH("Ivory Coast",S1750)),"Côte d'Ivoire",
ISNUMBER(SEARCH("Korea Republic",S1750)),"South Korea",
ISNUMBER(SEARCH("Germany FR",S1750)),"FR Germany",
ISNUMBER(SEARCH("West Germany",S1750)),"FR Germany",
ISNUMBER(SEARCH("Germany DR",S1750)),"DR Germany",
ISNUMBER(SEARCH("Korea DPR",S1750)),"North Korea",
ISNUMBER(SEARCH("China PR",S1750)),"China",
ISNUMBER(SEARCH("IR Iran",S1750)),"Iran",
ISNUMBER(SEARCH("Congo DR",S1750)),"Democratic Republic of the Congo",
ISNUMBER(SEARCH("DR Congo",S1750)),"Democratic Republic of the Congo",
ISNUMBER(SEARCH("German DR",S1750)),"DR Germany",
ISNUMBER(SEARCH("rn""&gt;United Arab Emirates",S1750)),"United Arab Emirates",
ISNUMBER(SEARCH("rn""&gt;Republic of Ireland",S1750)),"Ireland",
ISNUMBER(SEARCH("rn""&gt;Bosnia and Herzegovina",S1750)),"Bosnia and Herzegovina",
ISNUMBER(SEARCH("rn""&gt;Trinidad and Tobago",S1750)),"Trinidad and Tobago",
ISNUMBER(SEARCH("rn""&gt;Serbia and Montenegro",S1750)),"Serbia and Montenegro",
ISNUMBER(SEARCH(_xlfn.UNICHAR(65533),S1750)),"Côte d'Ivoire",
TRUE,""
)</f>
        <v/>
      </c>
      <c r="W1750" s="12" t="str">
        <f t="shared" si="137"/>
        <v>Belgium</v>
      </c>
    </row>
    <row r="1751" spans="2:23">
      <c r="B1751" s="76" t="str">
        <v>1950.0</v>
      </c>
      <c r="C1751" s="42" t="str">
        <v xml:space="preserve">29 Jun 1950 - 15:00 </v>
      </c>
      <c r="D1751" s="42" t="str">
        <v>Group 2</v>
      </c>
      <c r="E1751" s="42" t="str">
        <v>Independencia</v>
      </c>
      <c r="F1751" s="42" t="str">
        <v xml:space="preserve">Belo Horizonte </v>
      </c>
      <c r="G1751" s="42" t="str">
        <v>USA</v>
      </c>
      <c r="H1751" s="42" t="str">
        <v>1.0</v>
      </c>
      <c r="I1751" s="42" t="str">
        <v>0.0</v>
      </c>
      <c r="J1751" s="42" t="str">
        <v>England</v>
      </c>
      <c r="K1751" s="42" t="str">
        <v xml:space="preserve"> </v>
      </c>
      <c r="L1751" s="42" t="str">
        <f t="shared" si="134"/>
        <v xml:space="preserve">1950.0|29 Jun 1950 - 15:00 |Group 2|Independencia|Belo Horizonte |USA|1.0|0.0|England| </v>
      </c>
      <c r="M1751" s="42" t="str">
        <f>IF(COUNTIF($L$1689:L1751,L1751)&gt;1,"DOUBLON","OK")</f>
        <v>OK</v>
      </c>
      <c r="S1751" s="12" t="str">
        <v>Belgium</v>
      </c>
      <c r="T1751" s="12" t="str">
        <f t="shared" si="135"/>
        <v>OK</v>
      </c>
      <c r="U1751" s="12" t="str">
        <f t="shared" si="136"/>
        <v>-</v>
      </c>
      <c r="V1751" s="12" t="str" cm="1">
        <f t="array" ref="V1751">_xlfn.IFS(
ISNUMBER(SEARCH("USA",S1751)),"United States",
ISNUMBER(SEARCH("Republic of Ireland",S1751)),"Ireland",
ISNUMBER(SEARCH("Republic of Korea",S1751)),"South Korea",
ISNUMBER(SEARCH("Cape Verde",S1751)),"Cabo Verde",
ISNUMBER(SEARCH("Czechia",S1751)),"Czech Republic",
ISNUMBER(SEARCH("Türkiye",S1751)),"Turkey",
ISNUMBER(SEARCH("Ivory Coast",S1751)),"Côte d'Ivoire",
ISNUMBER(SEARCH("Korea Republic",S1751)),"South Korea",
ISNUMBER(SEARCH("Germany FR",S1751)),"FR Germany",
ISNUMBER(SEARCH("West Germany",S1751)),"FR Germany",
ISNUMBER(SEARCH("Germany DR",S1751)),"DR Germany",
ISNUMBER(SEARCH("Korea DPR",S1751)),"North Korea",
ISNUMBER(SEARCH("China PR",S1751)),"China",
ISNUMBER(SEARCH("IR Iran",S1751)),"Iran",
ISNUMBER(SEARCH("Congo DR",S1751)),"Democratic Republic of the Congo",
ISNUMBER(SEARCH("DR Congo",S1751)),"Democratic Republic of the Congo",
ISNUMBER(SEARCH("German DR",S1751)),"DR Germany",
ISNUMBER(SEARCH("rn""&gt;United Arab Emirates",S1751)),"United Arab Emirates",
ISNUMBER(SEARCH("rn""&gt;Republic of Ireland",S1751)),"Ireland",
ISNUMBER(SEARCH("rn""&gt;Bosnia and Herzegovina",S1751)),"Bosnia and Herzegovina",
ISNUMBER(SEARCH("rn""&gt;Trinidad and Tobago",S1751)),"Trinidad and Tobago",
ISNUMBER(SEARCH("rn""&gt;Serbia and Montenegro",S1751)),"Serbia and Montenegro",
ISNUMBER(SEARCH(_xlfn.UNICHAR(65533),S1751)),"Côte d'Ivoire",
TRUE,""
)</f>
        <v/>
      </c>
      <c r="W1751" s="12" t="str">
        <f t="shared" si="137"/>
        <v>Belgium</v>
      </c>
    </row>
    <row r="1752" spans="2:23">
      <c r="B1752" s="76" t="str">
        <v>1950.0</v>
      </c>
      <c r="C1752" s="42" t="str">
        <v xml:space="preserve">01 Jul 1950 - 15:00 </v>
      </c>
      <c r="D1752" s="42" t="str">
        <v>Group 1</v>
      </c>
      <c r="E1752" s="42" t="str">
        <v>Maracan� - Est�dio Jornalista M�rio Filho</v>
      </c>
      <c r="F1752" s="42" t="str">
        <v xml:space="preserve">Rio De Janeiro </v>
      </c>
      <c r="G1752" s="42" t="str">
        <v>Brazil</v>
      </c>
      <c r="H1752" s="42" t="str">
        <v>2.0</v>
      </c>
      <c r="I1752" s="42" t="str">
        <v>0.0</v>
      </c>
      <c r="J1752" s="42" t="str">
        <v>Yugoslavia</v>
      </c>
      <c r="K1752" s="42" t="str">
        <v xml:space="preserve"> </v>
      </c>
      <c r="L1752" s="42" t="str">
        <f t="shared" si="134"/>
        <v xml:space="preserve">1950.0|01 Jul 1950 - 15:00 |Group 1|Maracan� - Est�dio Jornalista M�rio Filho|Rio De Janeiro |Brazil|2.0|0.0|Yugoslavia| </v>
      </c>
      <c r="M1752" s="42" t="str">
        <f>IF(COUNTIF($L$1689:L1752,L1752)&gt;1,"DOUBLON","OK")</f>
        <v>OK</v>
      </c>
      <c r="S1752" s="12" t="str">
        <v>Belgium</v>
      </c>
      <c r="T1752" s="12" t="str">
        <f t="shared" si="135"/>
        <v>OK</v>
      </c>
      <c r="U1752" s="12" t="str">
        <f t="shared" si="136"/>
        <v>-</v>
      </c>
      <c r="V1752" s="12" t="str" cm="1">
        <f t="array" ref="V1752">_xlfn.IFS(
ISNUMBER(SEARCH("USA",S1752)),"United States",
ISNUMBER(SEARCH("Republic of Ireland",S1752)),"Ireland",
ISNUMBER(SEARCH("Republic of Korea",S1752)),"South Korea",
ISNUMBER(SEARCH("Cape Verde",S1752)),"Cabo Verde",
ISNUMBER(SEARCH("Czechia",S1752)),"Czech Republic",
ISNUMBER(SEARCH("Türkiye",S1752)),"Turkey",
ISNUMBER(SEARCH("Ivory Coast",S1752)),"Côte d'Ivoire",
ISNUMBER(SEARCH("Korea Republic",S1752)),"South Korea",
ISNUMBER(SEARCH("Germany FR",S1752)),"FR Germany",
ISNUMBER(SEARCH("West Germany",S1752)),"FR Germany",
ISNUMBER(SEARCH("Germany DR",S1752)),"DR Germany",
ISNUMBER(SEARCH("Korea DPR",S1752)),"North Korea",
ISNUMBER(SEARCH("China PR",S1752)),"China",
ISNUMBER(SEARCH("IR Iran",S1752)),"Iran",
ISNUMBER(SEARCH("Congo DR",S1752)),"Democratic Republic of the Congo",
ISNUMBER(SEARCH("DR Congo",S1752)),"Democratic Republic of the Congo",
ISNUMBER(SEARCH("German DR",S1752)),"DR Germany",
ISNUMBER(SEARCH("rn""&gt;United Arab Emirates",S1752)),"United Arab Emirates",
ISNUMBER(SEARCH("rn""&gt;Republic of Ireland",S1752)),"Ireland",
ISNUMBER(SEARCH("rn""&gt;Bosnia and Herzegovina",S1752)),"Bosnia and Herzegovina",
ISNUMBER(SEARCH("rn""&gt;Trinidad and Tobago",S1752)),"Trinidad and Tobago",
ISNUMBER(SEARCH("rn""&gt;Serbia and Montenegro",S1752)),"Serbia and Montenegro",
ISNUMBER(SEARCH(_xlfn.UNICHAR(65533),S1752)),"Côte d'Ivoire",
TRUE,""
)</f>
        <v/>
      </c>
      <c r="W1752" s="12" t="str">
        <f t="shared" si="137"/>
        <v>Belgium</v>
      </c>
    </row>
    <row r="1753" spans="2:23">
      <c r="B1753" s="76" t="str">
        <v>1950.0</v>
      </c>
      <c r="C1753" s="42" t="str">
        <v xml:space="preserve">02 Jul 1950 - 15:00 </v>
      </c>
      <c r="D1753" s="42" t="str">
        <v>Group 2</v>
      </c>
      <c r="E1753" s="42" t="str">
        <v>Maracan� - Est�dio Jornalista M�rio Filho</v>
      </c>
      <c r="F1753" s="42" t="str">
        <v xml:space="preserve">Rio De Janeiro </v>
      </c>
      <c r="G1753" s="42" t="str">
        <v>Spain</v>
      </c>
      <c r="H1753" s="42" t="str">
        <v>1.0</v>
      </c>
      <c r="I1753" s="42" t="str">
        <v>0.0</v>
      </c>
      <c r="J1753" s="42" t="str">
        <v>England</v>
      </c>
      <c r="K1753" s="42" t="str">
        <v xml:space="preserve"> </v>
      </c>
      <c r="L1753" s="42" t="str">
        <f t="shared" ref="L1753:L1816" si="138">B1753&amp;"|"&amp;C1753&amp;"|"&amp;D1753&amp;"|"&amp;E1753&amp;"|"&amp;F1753&amp;"|"&amp;G1753&amp;"|"&amp;H1753&amp;"|"&amp;I1753&amp;"|"&amp;J1753&amp;"|"&amp;K1753</f>
        <v xml:space="preserve">1950.0|02 Jul 1950 - 15:00 |Group 2|Maracan� - Est�dio Jornalista M�rio Filho|Rio De Janeiro |Spain|1.0|0.0|England| </v>
      </c>
      <c r="M1753" s="42" t="str">
        <f>IF(COUNTIF($L$1689:L1753,L1753)&gt;1,"DOUBLON","OK")</f>
        <v>OK</v>
      </c>
      <c r="S1753" s="12" t="str">
        <v>Belgium</v>
      </c>
      <c r="T1753" s="12" t="str">
        <f t="shared" si="135"/>
        <v>OK</v>
      </c>
      <c r="U1753" s="12" t="str">
        <f t="shared" si="136"/>
        <v>-</v>
      </c>
      <c r="V1753" s="12" t="str" cm="1">
        <f t="array" ref="V1753">_xlfn.IFS(
ISNUMBER(SEARCH("USA",S1753)),"United States",
ISNUMBER(SEARCH("Republic of Ireland",S1753)),"Ireland",
ISNUMBER(SEARCH("Republic of Korea",S1753)),"South Korea",
ISNUMBER(SEARCH("Cape Verde",S1753)),"Cabo Verde",
ISNUMBER(SEARCH("Czechia",S1753)),"Czech Republic",
ISNUMBER(SEARCH("Türkiye",S1753)),"Turkey",
ISNUMBER(SEARCH("Ivory Coast",S1753)),"Côte d'Ivoire",
ISNUMBER(SEARCH("Korea Republic",S1753)),"South Korea",
ISNUMBER(SEARCH("Germany FR",S1753)),"FR Germany",
ISNUMBER(SEARCH("West Germany",S1753)),"FR Germany",
ISNUMBER(SEARCH("Germany DR",S1753)),"DR Germany",
ISNUMBER(SEARCH("Korea DPR",S1753)),"North Korea",
ISNUMBER(SEARCH("China PR",S1753)),"China",
ISNUMBER(SEARCH("IR Iran",S1753)),"Iran",
ISNUMBER(SEARCH("Congo DR",S1753)),"Democratic Republic of the Congo",
ISNUMBER(SEARCH("DR Congo",S1753)),"Democratic Republic of the Congo",
ISNUMBER(SEARCH("German DR",S1753)),"DR Germany",
ISNUMBER(SEARCH("rn""&gt;United Arab Emirates",S1753)),"United Arab Emirates",
ISNUMBER(SEARCH("rn""&gt;Republic of Ireland",S1753)),"Ireland",
ISNUMBER(SEARCH("rn""&gt;Bosnia and Herzegovina",S1753)),"Bosnia and Herzegovina",
ISNUMBER(SEARCH("rn""&gt;Trinidad and Tobago",S1753)),"Trinidad and Tobago",
ISNUMBER(SEARCH("rn""&gt;Serbia and Montenegro",S1753)),"Serbia and Montenegro",
ISNUMBER(SEARCH(_xlfn.UNICHAR(65533),S1753)),"Côte d'Ivoire",
TRUE,""
)</f>
        <v/>
      </c>
      <c r="W1753" s="12" t="str">
        <f t="shared" si="137"/>
        <v>Belgium</v>
      </c>
    </row>
    <row r="1754" spans="2:23">
      <c r="B1754" s="76" t="str">
        <v>1950.0</v>
      </c>
      <c r="C1754" s="42" t="str">
        <v xml:space="preserve">02 Jul 1950 - 15:00 </v>
      </c>
      <c r="D1754" s="42" t="str">
        <v>Group 3</v>
      </c>
      <c r="E1754" s="42" t="str">
        <v>Pacaembu</v>
      </c>
      <c r="F1754" s="42" t="str">
        <v xml:space="preserve">Sao Paulo </v>
      </c>
      <c r="G1754" s="42" t="str">
        <v>Italy</v>
      </c>
      <c r="H1754" s="42" t="str">
        <v>2.0</v>
      </c>
      <c r="I1754" s="42" t="str">
        <v>0.0</v>
      </c>
      <c r="J1754" s="42" t="str">
        <v>Paraguay</v>
      </c>
      <c r="K1754" s="42" t="str">
        <v xml:space="preserve"> </v>
      </c>
      <c r="L1754" s="42" t="str">
        <f t="shared" si="138"/>
        <v xml:space="preserve">1950.0|02 Jul 1950 - 15:00 |Group 3|Pacaembu|Sao Paulo |Italy|2.0|0.0|Paraguay| </v>
      </c>
      <c r="M1754" s="42" t="str">
        <f>IF(COUNTIF($L$1689:L1754,L1754)&gt;1,"DOUBLON","OK")</f>
        <v>OK</v>
      </c>
      <c r="S1754" s="12" t="str">
        <v>Belgium</v>
      </c>
      <c r="T1754" s="12" t="str">
        <f t="shared" si="135"/>
        <v>OK</v>
      </c>
      <c r="U1754" s="12" t="str">
        <f t="shared" si="136"/>
        <v>-</v>
      </c>
      <c r="V1754" s="12" t="str" cm="1">
        <f t="array" ref="V1754">_xlfn.IFS(
ISNUMBER(SEARCH("USA",S1754)),"United States",
ISNUMBER(SEARCH("Republic of Ireland",S1754)),"Ireland",
ISNUMBER(SEARCH("Republic of Korea",S1754)),"South Korea",
ISNUMBER(SEARCH("Cape Verde",S1754)),"Cabo Verde",
ISNUMBER(SEARCH("Czechia",S1754)),"Czech Republic",
ISNUMBER(SEARCH("Türkiye",S1754)),"Turkey",
ISNUMBER(SEARCH("Ivory Coast",S1754)),"Côte d'Ivoire",
ISNUMBER(SEARCH("Korea Republic",S1754)),"South Korea",
ISNUMBER(SEARCH("Germany FR",S1754)),"FR Germany",
ISNUMBER(SEARCH("West Germany",S1754)),"FR Germany",
ISNUMBER(SEARCH("Germany DR",S1754)),"DR Germany",
ISNUMBER(SEARCH("Korea DPR",S1754)),"North Korea",
ISNUMBER(SEARCH("China PR",S1754)),"China",
ISNUMBER(SEARCH("IR Iran",S1754)),"Iran",
ISNUMBER(SEARCH("Congo DR",S1754)),"Democratic Republic of the Congo",
ISNUMBER(SEARCH("DR Congo",S1754)),"Democratic Republic of the Congo",
ISNUMBER(SEARCH("German DR",S1754)),"DR Germany",
ISNUMBER(SEARCH("rn""&gt;United Arab Emirates",S1754)),"United Arab Emirates",
ISNUMBER(SEARCH("rn""&gt;Republic of Ireland",S1754)),"Ireland",
ISNUMBER(SEARCH("rn""&gt;Bosnia and Herzegovina",S1754)),"Bosnia and Herzegovina",
ISNUMBER(SEARCH("rn""&gt;Trinidad and Tobago",S1754)),"Trinidad and Tobago",
ISNUMBER(SEARCH("rn""&gt;Serbia and Montenegro",S1754)),"Serbia and Montenegro",
ISNUMBER(SEARCH(_xlfn.UNICHAR(65533),S1754)),"Côte d'Ivoire",
TRUE,""
)</f>
        <v/>
      </c>
      <c r="W1754" s="12" t="str">
        <f t="shared" si="137"/>
        <v>Belgium</v>
      </c>
    </row>
    <row r="1755" spans="2:23">
      <c r="B1755" s="76" t="str">
        <v>1950.0</v>
      </c>
      <c r="C1755" s="42" t="str">
        <v xml:space="preserve">02 Jul 1950 - 15:00 </v>
      </c>
      <c r="D1755" s="42" t="str">
        <v>Group 4</v>
      </c>
      <c r="E1755" s="42" t="str">
        <v>Independencia</v>
      </c>
      <c r="F1755" s="42" t="str">
        <v xml:space="preserve">Belo Horizonte </v>
      </c>
      <c r="G1755" s="42" t="str">
        <v>Uruguay</v>
      </c>
      <c r="H1755" s="42" t="str">
        <v>8.0</v>
      </c>
      <c r="I1755" s="42" t="str">
        <v>0.0</v>
      </c>
      <c r="J1755" s="42" t="str">
        <v>Bolivia</v>
      </c>
      <c r="K1755" s="42" t="str">
        <v xml:space="preserve"> </v>
      </c>
      <c r="L1755" s="42" t="str">
        <f t="shared" si="138"/>
        <v xml:space="preserve">1950.0|02 Jul 1950 - 15:00 |Group 4|Independencia|Belo Horizonte |Uruguay|8.0|0.0|Bolivia| </v>
      </c>
      <c r="M1755" s="42" t="str">
        <f>IF(COUNTIF($L$1689:L1755,L1755)&gt;1,"DOUBLON","OK")</f>
        <v>OK</v>
      </c>
      <c r="S1755" s="12" t="str">
        <v>Belgium</v>
      </c>
      <c r="T1755" s="12" t="str">
        <f t="shared" si="135"/>
        <v>OK</v>
      </c>
      <c r="U1755" s="12" t="str">
        <f t="shared" si="136"/>
        <v>-</v>
      </c>
      <c r="V1755" s="12" t="str" cm="1">
        <f t="array" ref="V1755">_xlfn.IFS(
ISNUMBER(SEARCH("USA",S1755)),"United States",
ISNUMBER(SEARCH("Republic of Ireland",S1755)),"Ireland",
ISNUMBER(SEARCH("Republic of Korea",S1755)),"South Korea",
ISNUMBER(SEARCH("Cape Verde",S1755)),"Cabo Verde",
ISNUMBER(SEARCH("Czechia",S1755)),"Czech Republic",
ISNUMBER(SEARCH("Türkiye",S1755)),"Turkey",
ISNUMBER(SEARCH("Ivory Coast",S1755)),"Côte d'Ivoire",
ISNUMBER(SEARCH("Korea Republic",S1755)),"South Korea",
ISNUMBER(SEARCH("Germany FR",S1755)),"FR Germany",
ISNUMBER(SEARCH("West Germany",S1755)),"FR Germany",
ISNUMBER(SEARCH("Germany DR",S1755)),"DR Germany",
ISNUMBER(SEARCH("Korea DPR",S1755)),"North Korea",
ISNUMBER(SEARCH("China PR",S1755)),"China",
ISNUMBER(SEARCH("IR Iran",S1755)),"Iran",
ISNUMBER(SEARCH("Congo DR",S1755)),"Democratic Republic of the Congo",
ISNUMBER(SEARCH("DR Congo",S1755)),"Democratic Republic of the Congo",
ISNUMBER(SEARCH("German DR",S1755)),"DR Germany",
ISNUMBER(SEARCH("rn""&gt;United Arab Emirates",S1755)),"United Arab Emirates",
ISNUMBER(SEARCH("rn""&gt;Republic of Ireland",S1755)),"Ireland",
ISNUMBER(SEARCH("rn""&gt;Bosnia and Herzegovina",S1755)),"Bosnia and Herzegovina",
ISNUMBER(SEARCH("rn""&gt;Trinidad and Tobago",S1755)),"Trinidad and Tobago",
ISNUMBER(SEARCH("rn""&gt;Serbia and Montenegro",S1755)),"Serbia and Montenegro",
ISNUMBER(SEARCH(_xlfn.UNICHAR(65533),S1755)),"Côte d'Ivoire",
TRUE,""
)</f>
        <v/>
      </c>
      <c r="W1755" s="12" t="str">
        <f t="shared" si="137"/>
        <v>Belgium</v>
      </c>
    </row>
    <row r="1756" spans="2:23">
      <c r="B1756" s="76" t="str">
        <v>1950.0</v>
      </c>
      <c r="C1756" s="42" t="str">
        <v xml:space="preserve">02 Jul 1950 - 15:40 </v>
      </c>
      <c r="D1756" s="42" t="str">
        <v>Group 1</v>
      </c>
      <c r="E1756" s="42" t="str">
        <v>Eucaliptos</v>
      </c>
      <c r="F1756" s="42" t="str">
        <v xml:space="preserve">Porto Alegre </v>
      </c>
      <c r="G1756" s="42" t="str">
        <v>Switzerland</v>
      </c>
      <c r="H1756" s="42" t="str">
        <v>2.0</v>
      </c>
      <c r="I1756" s="42" t="str">
        <v>1.0</v>
      </c>
      <c r="J1756" s="42" t="str">
        <v>Mexico</v>
      </c>
      <c r="K1756" s="42" t="str">
        <v xml:space="preserve"> </v>
      </c>
      <c r="L1756" s="42" t="str">
        <f t="shared" si="138"/>
        <v xml:space="preserve">1950.0|02 Jul 1950 - 15:40 |Group 1|Eucaliptos|Porto Alegre |Switzerland|2.0|1.0|Mexico| </v>
      </c>
      <c r="M1756" s="42" t="str">
        <f>IF(COUNTIF($L$1689:L1756,L1756)&gt;1,"DOUBLON","OK")</f>
        <v>OK</v>
      </c>
      <c r="S1756" s="12" t="str">
        <v>Belgium</v>
      </c>
      <c r="T1756" s="12" t="str">
        <f t="shared" si="135"/>
        <v>OK</v>
      </c>
      <c r="U1756" s="12" t="str">
        <f t="shared" si="136"/>
        <v>-</v>
      </c>
      <c r="V1756" s="12" t="str" cm="1">
        <f t="array" ref="V1756">_xlfn.IFS(
ISNUMBER(SEARCH("USA",S1756)),"United States",
ISNUMBER(SEARCH("Republic of Ireland",S1756)),"Ireland",
ISNUMBER(SEARCH("Republic of Korea",S1756)),"South Korea",
ISNUMBER(SEARCH("Cape Verde",S1756)),"Cabo Verde",
ISNUMBER(SEARCH("Czechia",S1756)),"Czech Republic",
ISNUMBER(SEARCH("Türkiye",S1756)),"Turkey",
ISNUMBER(SEARCH("Ivory Coast",S1756)),"Côte d'Ivoire",
ISNUMBER(SEARCH("Korea Republic",S1756)),"South Korea",
ISNUMBER(SEARCH("Germany FR",S1756)),"FR Germany",
ISNUMBER(SEARCH("West Germany",S1756)),"FR Germany",
ISNUMBER(SEARCH("Germany DR",S1756)),"DR Germany",
ISNUMBER(SEARCH("Korea DPR",S1756)),"North Korea",
ISNUMBER(SEARCH("China PR",S1756)),"China",
ISNUMBER(SEARCH("IR Iran",S1756)),"Iran",
ISNUMBER(SEARCH("Congo DR",S1756)),"Democratic Republic of the Congo",
ISNUMBER(SEARCH("DR Congo",S1756)),"Democratic Republic of the Congo",
ISNUMBER(SEARCH("German DR",S1756)),"DR Germany",
ISNUMBER(SEARCH("rn""&gt;United Arab Emirates",S1756)),"United Arab Emirates",
ISNUMBER(SEARCH("rn""&gt;Republic of Ireland",S1756)),"Ireland",
ISNUMBER(SEARCH("rn""&gt;Bosnia and Herzegovina",S1756)),"Bosnia and Herzegovina",
ISNUMBER(SEARCH("rn""&gt;Trinidad and Tobago",S1756)),"Trinidad and Tobago",
ISNUMBER(SEARCH("rn""&gt;Serbia and Montenegro",S1756)),"Serbia and Montenegro",
ISNUMBER(SEARCH(_xlfn.UNICHAR(65533),S1756)),"Côte d'Ivoire",
TRUE,""
)</f>
        <v/>
      </c>
      <c r="W1756" s="12" t="str">
        <f t="shared" si="137"/>
        <v>Belgium</v>
      </c>
    </row>
    <row r="1757" spans="2:23">
      <c r="B1757" s="76" t="str">
        <v>1950.0</v>
      </c>
      <c r="C1757" s="42" t="str">
        <v xml:space="preserve">02 Jul 1950 - 15:00 </v>
      </c>
      <c r="D1757" s="42" t="str">
        <v>Group 2</v>
      </c>
      <c r="E1757" s="42" t="str">
        <v>Ilha do Retiro</v>
      </c>
      <c r="F1757" s="42" t="str">
        <v xml:space="preserve">Recife </v>
      </c>
      <c r="G1757" s="42" t="str">
        <v>Chile</v>
      </c>
      <c r="H1757" s="42" t="str">
        <v>5.0</v>
      </c>
      <c r="I1757" s="42" t="str">
        <v>2.0</v>
      </c>
      <c r="J1757" s="42" t="str">
        <v>USA</v>
      </c>
      <c r="K1757" s="42" t="str">
        <v xml:space="preserve"> </v>
      </c>
      <c r="L1757" s="42" t="str">
        <f t="shared" si="138"/>
        <v xml:space="preserve">1950.0|02 Jul 1950 - 15:00 |Group 2|Ilha do Retiro|Recife |Chile|5.0|2.0|USA| </v>
      </c>
      <c r="M1757" s="42" t="str">
        <f>IF(COUNTIF($L$1689:L1757,L1757)&gt;1,"DOUBLON","OK")</f>
        <v>OK</v>
      </c>
      <c r="S1757" s="12" t="str">
        <v>Belgium</v>
      </c>
      <c r="T1757" s="12" t="str">
        <f t="shared" si="135"/>
        <v>OK</v>
      </c>
      <c r="U1757" s="12" t="str">
        <f t="shared" si="136"/>
        <v>-</v>
      </c>
      <c r="V1757" s="12" t="str" cm="1">
        <f t="array" ref="V1757">_xlfn.IFS(
ISNUMBER(SEARCH("USA",S1757)),"United States",
ISNUMBER(SEARCH("Republic of Ireland",S1757)),"Ireland",
ISNUMBER(SEARCH("Republic of Korea",S1757)),"South Korea",
ISNUMBER(SEARCH("Cape Verde",S1757)),"Cabo Verde",
ISNUMBER(SEARCH("Czechia",S1757)),"Czech Republic",
ISNUMBER(SEARCH("Türkiye",S1757)),"Turkey",
ISNUMBER(SEARCH("Ivory Coast",S1757)),"Côte d'Ivoire",
ISNUMBER(SEARCH("Korea Republic",S1757)),"South Korea",
ISNUMBER(SEARCH("Germany FR",S1757)),"FR Germany",
ISNUMBER(SEARCH("West Germany",S1757)),"FR Germany",
ISNUMBER(SEARCH("Germany DR",S1757)),"DR Germany",
ISNUMBER(SEARCH("Korea DPR",S1757)),"North Korea",
ISNUMBER(SEARCH("China PR",S1757)),"China",
ISNUMBER(SEARCH("IR Iran",S1757)),"Iran",
ISNUMBER(SEARCH("Congo DR",S1757)),"Democratic Republic of the Congo",
ISNUMBER(SEARCH("DR Congo",S1757)),"Democratic Republic of the Congo",
ISNUMBER(SEARCH("German DR",S1757)),"DR Germany",
ISNUMBER(SEARCH("rn""&gt;United Arab Emirates",S1757)),"United Arab Emirates",
ISNUMBER(SEARCH("rn""&gt;Republic of Ireland",S1757)),"Ireland",
ISNUMBER(SEARCH("rn""&gt;Bosnia and Herzegovina",S1757)),"Bosnia and Herzegovina",
ISNUMBER(SEARCH("rn""&gt;Trinidad and Tobago",S1757)),"Trinidad and Tobago",
ISNUMBER(SEARCH("rn""&gt;Serbia and Montenegro",S1757)),"Serbia and Montenegro",
ISNUMBER(SEARCH(_xlfn.UNICHAR(65533),S1757)),"Côte d'Ivoire",
TRUE,""
)</f>
        <v/>
      </c>
      <c r="W1757" s="12" t="str">
        <f t="shared" si="137"/>
        <v>Belgium</v>
      </c>
    </row>
    <row r="1758" spans="2:23">
      <c r="B1758" s="76" t="str">
        <v>1950.0</v>
      </c>
      <c r="C1758" s="42" t="str">
        <v xml:space="preserve">09 Jul 1950 - 15:00 </v>
      </c>
      <c r="D1758" s="42" t="str">
        <v>Group 6</v>
      </c>
      <c r="E1758" s="42" t="str">
        <v>Pacaembu</v>
      </c>
      <c r="F1758" s="42" t="str">
        <v xml:space="preserve">Sao Paulo </v>
      </c>
      <c r="G1758" s="42" t="str">
        <v>Uruguay</v>
      </c>
      <c r="H1758" s="42" t="str">
        <v>2.0</v>
      </c>
      <c r="I1758" s="42" t="str">
        <v>2.0</v>
      </c>
      <c r="J1758" s="42" t="str">
        <v>Spain</v>
      </c>
      <c r="K1758" s="42" t="str">
        <v xml:space="preserve"> </v>
      </c>
      <c r="L1758" s="42" t="str">
        <f t="shared" si="138"/>
        <v xml:space="preserve">1950.0|09 Jul 1950 - 15:00 |Group 6|Pacaembu|Sao Paulo |Uruguay|2.0|2.0|Spain| </v>
      </c>
      <c r="M1758" s="42" t="str">
        <f>IF(COUNTIF($L$1689:L1758,L1758)&gt;1,"DOUBLON","OK")</f>
        <v>OK</v>
      </c>
      <c r="S1758" s="12" t="str">
        <v>Belgium</v>
      </c>
      <c r="T1758" s="12" t="str">
        <f t="shared" si="135"/>
        <v>OK</v>
      </c>
      <c r="U1758" s="12" t="str">
        <f t="shared" si="136"/>
        <v>-</v>
      </c>
      <c r="V1758" s="12" t="str" cm="1">
        <f t="array" ref="V1758">_xlfn.IFS(
ISNUMBER(SEARCH("USA",S1758)),"United States",
ISNUMBER(SEARCH("Republic of Ireland",S1758)),"Ireland",
ISNUMBER(SEARCH("Republic of Korea",S1758)),"South Korea",
ISNUMBER(SEARCH("Cape Verde",S1758)),"Cabo Verde",
ISNUMBER(SEARCH("Czechia",S1758)),"Czech Republic",
ISNUMBER(SEARCH("Türkiye",S1758)),"Turkey",
ISNUMBER(SEARCH("Ivory Coast",S1758)),"Côte d'Ivoire",
ISNUMBER(SEARCH("Korea Republic",S1758)),"South Korea",
ISNUMBER(SEARCH("Germany FR",S1758)),"FR Germany",
ISNUMBER(SEARCH("West Germany",S1758)),"FR Germany",
ISNUMBER(SEARCH("Germany DR",S1758)),"DR Germany",
ISNUMBER(SEARCH("Korea DPR",S1758)),"North Korea",
ISNUMBER(SEARCH("China PR",S1758)),"China",
ISNUMBER(SEARCH("IR Iran",S1758)),"Iran",
ISNUMBER(SEARCH("Congo DR",S1758)),"Democratic Republic of the Congo",
ISNUMBER(SEARCH("DR Congo",S1758)),"Democratic Republic of the Congo",
ISNUMBER(SEARCH("German DR",S1758)),"DR Germany",
ISNUMBER(SEARCH("rn""&gt;United Arab Emirates",S1758)),"United Arab Emirates",
ISNUMBER(SEARCH("rn""&gt;Republic of Ireland",S1758)),"Ireland",
ISNUMBER(SEARCH("rn""&gt;Bosnia and Herzegovina",S1758)),"Bosnia and Herzegovina",
ISNUMBER(SEARCH("rn""&gt;Trinidad and Tobago",S1758)),"Trinidad and Tobago",
ISNUMBER(SEARCH("rn""&gt;Serbia and Montenegro",S1758)),"Serbia and Montenegro",
ISNUMBER(SEARCH(_xlfn.UNICHAR(65533),S1758)),"Côte d'Ivoire",
TRUE,""
)</f>
        <v/>
      </c>
      <c r="W1758" s="12" t="str">
        <f t="shared" si="137"/>
        <v>Belgium</v>
      </c>
    </row>
    <row r="1759" spans="2:23">
      <c r="B1759" s="76" t="str">
        <v>1950.0</v>
      </c>
      <c r="C1759" s="42" t="str">
        <v xml:space="preserve">09 Jul 1950 - 15:00 </v>
      </c>
      <c r="D1759" s="42" t="str">
        <v>Group 6</v>
      </c>
      <c r="E1759" s="42" t="str">
        <v>Maracan� - Est�dio Jornalista M�rio Filho</v>
      </c>
      <c r="F1759" s="42" t="str">
        <v xml:space="preserve">Rio De Janeiro </v>
      </c>
      <c r="G1759" s="42" t="str">
        <v>Brazil</v>
      </c>
      <c r="H1759" s="42" t="str">
        <v>7.0</v>
      </c>
      <c r="I1759" s="42" t="str">
        <v>1.0</v>
      </c>
      <c r="J1759" s="42" t="str">
        <v>Sweden</v>
      </c>
      <c r="K1759" s="42" t="str">
        <v xml:space="preserve"> </v>
      </c>
      <c r="L1759" s="42" t="str">
        <f t="shared" si="138"/>
        <v xml:space="preserve">1950.0|09 Jul 1950 - 15:00 |Group 6|Maracan� - Est�dio Jornalista M�rio Filho|Rio De Janeiro |Brazil|7.0|1.0|Sweden| </v>
      </c>
      <c r="M1759" s="42" t="str">
        <f>IF(COUNTIF($L$1689:L1759,L1759)&gt;1,"DOUBLON","OK")</f>
        <v>OK</v>
      </c>
      <c r="S1759" s="12" t="str">
        <v>Belgium</v>
      </c>
      <c r="T1759" s="12" t="str">
        <f t="shared" si="135"/>
        <v>OK</v>
      </c>
      <c r="U1759" s="12" t="str">
        <f t="shared" si="136"/>
        <v>-</v>
      </c>
      <c r="V1759" s="12" t="str" cm="1">
        <f t="array" ref="V1759">_xlfn.IFS(
ISNUMBER(SEARCH("USA",S1759)),"United States",
ISNUMBER(SEARCH("Republic of Ireland",S1759)),"Ireland",
ISNUMBER(SEARCH("Republic of Korea",S1759)),"South Korea",
ISNUMBER(SEARCH("Cape Verde",S1759)),"Cabo Verde",
ISNUMBER(SEARCH("Czechia",S1759)),"Czech Republic",
ISNUMBER(SEARCH("Türkiye",S1759)),"Turkey",
ISNUMBER(SEARCH("Ivory Coast",S1759)),"Côte d'Ivoire",
ISNUMBER(SEARCH("Korea Republic",S1759)),"South Korea",
ISNUMBER(SEARCH("Germany FR",S1759)),"FR Germany",
ISNUMBER(SEARCH("West Germany",S1759)),"FR Germany",
ISNUMBER(SEARCH("Germany DR",S1759)),"DR Germany",
ISNUMBER(SEARCH("Korea DPR",S1759)),"North Korea",
ISNUMBER(SEARCH("China PR",S1759)),"China",
ISNUMBER(SEARCH("IR Iran",S1759)),"Iran",
ISNUMBER(SEARCH("Congo DR",S1759)),"Democratic Republic of the Congo",
ISNUMBER(SEARCH("DR Congo",S1759)),"Democratic Republic of the Congo",
ISNUMBER(SEARCH("German DR",S1759)),"DR Germany",
ISNUMBER(SEARCH("rn""&gt;United Arab Emirates",S1759)),"United Arab Emirates",
ISNUMBER(SEARCH("rn""&gt;Republic of Ireland",S1759)),"Ireland",
ISNUMBER(SEARCH("rn""&gt;Bosnia and Herzegovina",S1759)),"Bosnia and Herzegovina",
ISNUMBER(SEARCH("rn""&gt;Trinidad and Tobago",S1759)),"Trinidad and Tobago",
ISNUMBER(SEARCH("rn""&gt;Serbia and Montenegro",S1759)),"Serbia and Montenegro",
ISNUMBER(SEARCH(_xlfn.UNICHAR(65533),S1759)),"Côte d'Ivoire",
TRUE,""
)</f>
        <v/>
      </c>
      <c r="W1759" s="12" t="str">
        <f t="shared" si="137"/>
        <v>Belgium</v>
      </c>
    </row>
    <row r="1760" spans="2:23">
      <c r="B1760" s="76" t="str">
        <v>1950.0</v>
      </c>
      <c r="C1760" s="42" t="str">
        <v xml:space="preserve">13 Jul 1950 - 15:00 </v>
      </c>
      <c r="D1760" s="42" t="str">
        <v>Group 6</v>
      </c>
      <c r="E1760" s="42" t="str">
        <v>Maracan� - Est�dio Jornalista M�rio Filho</v>
      </c>
      <c r="F1760" s="42" t="str">
        <v xml:space="preserve">Rio De Janeiro </v>
      </c>
      <c r="G1760" s="42" t="str">
        <v>Brazil</v>
      </c>
      <c r="H1760" s="42" t="str">
        <v>6.0</v>
      </c>
      <c r="I1760" s="42" t="str">
        <v>1.0</v>
      </c>
      <c r="J1760" s="42" t="str">
        <v>Spain</v>
      </c>
      <c r="K1760" s="42" t="str">
        <v xml:space="preserve"> </v>
      </c>
      <c r="L1760" s="42" t="str">
        <f t="shared" si="138"/>
        <v xml:space="preserve">1950.0|13 Jul 1950 - 15:00 |Group 6|Maracan� - Est�dio Jornalista M�rio Filho|Rio De Janeiro |Brazil|6.0|1.0|Spain| </v>
      </c>
      <c r="M1760" s="42" t="str">
        <f>IF(COUNTIF($L$1689:L1760,L1760)&gt;1,"DOUBLON","OK")</f>
        <v>OK</v>
      </c>
      <c r="S1760" s="12" t="str">
        <v>Belgium</v>
      </c>
      <c r="T1760" s="12" t="str">
        <f t="shared" si="135"/>
        <v>OK</v>
      </c>
      <c r="U1760" s="12" t="str">
        <f t="shared" si="136"/>
        <v>-</v>
      </c>
      <c r="V1760" s="12" t="str" cm="1">
        <f t="array" ref="V1760">_xlfn.IFS(
ISNUMBER(SEARCH("USA",S1760)),"United States",
ISNUMBER(SEARCH("Republic of Ireland",S1760)),"Ireland",
ISNUMBER(SEARCH("Republic of Korea",S1760)),"South Korea",
ISNUMBER(SEARCH("Cape Verde",S1760)),"Cabo Verde",
ISNUMBER(SEARCH("Czechia",S1760)),"Czech Republic",
ISNUMBER(SEARCH("Türkiye",S1760)),"Turkey",
ISNUMBER(SEARCH("Ivory Coast",S1760)),"Côte d'Ivoire",
ISNUMBER(SEARCH("Korea Republic",S1760)),"South Korea",
ISNUMBER(SEARCH("Germany FR",S1760)),"FR Germany",
ISNUMBER(SEARCH("West Germany",S1760)),"FR Germany",
ISNUMBER(SEARCH("Germany DR",S1760)),"DR Germany",
ISNUMBER(SEARCH("Korea DPR",S1760)),"North Korea",
ISNUMBER(SEARCH("China PR",S1760)),"China",
ISNUMBER(SEARCH("IR Iran",S1760)),"Iran",
ISNUMBER(SEARCH("Congo DR",S1760)),"Democratic Republic of the Congo",
ISNUMBER(SEARCH("DR Congo",S1760)),"Democratic Republic of the Congo",
ISNUMBER(SEARCH("German DR",S1760)),"DR Germany",
ISNUMBER(SEARCH("rn""&gt;United Arab Emirates",S1760)),"United Arab Emirates",
ISNUMBER(SEARCH("rn""&gt;Republic of Ireland",S1760)),"Ireland",
ISNUMBER(SEARCH("rn""&gt;Bosnia and Herzegovina",S1760)),"Bosnia and Herzegovina",
ISNUMBER(SEARCH("rn""&gt;Trinidad and Tobago",S1760)),"Trinidad and Tobago",
ISNUMBER(SEARCH("rn""&gt;Serbia and Montenegro",S1760)),"Serbia and Montenegro",
ISNUMBER(SEARCH(_xlfn.UNICHAR(65533),S1760)),"Côte d'Ivoire",
TRUE,""
)</f>
        <v/>
      </c>
      <c r="W1760" s="12" t="str">
        <f t="shared" si="137"/>
        <v>Belgium</v>
      </c>
    </row>
    <row r="1761" spans="2:23">
      <c r="B1761" s="76" t="str">
        <v>1950.0</v>
      </c>
      <c r="C1761" s="42" t="str">
        <v xml:space="preserve">13 Jul 1950 - 15:00 </v>
      </c>
      <c r="D1761" s="42" t="str">
        <v>Group 6</v>
      </c>
      <c r="E1761" s="42" t="str">
        <v>Pacaembu</v>
      </c>
      <c r="F1761" s="42" t="str">
        <v xml:space="preserve">Sao Paulo </v>
      </c>
      <c r="G1761" s="42" t="str">
        <v>Uruguay</v>
      </c>
      <c r="H1761" s="42" t="str">
        <v>3.0</v>
      </c>
      <c r="I1761" s="42" t="str">
        <v>2.0</v>
      </c>
      <c r="J1761" s="42" t="str">
        <v>Sweden</v>
      </c>
      <c r="K1761" s="42" t="str">
        <v xml:space="preserve"> </v>
      </c>
      <c r="L1761" s="42" t="str">
        <f t="shared" si="138"/>
        <v xml:space="preserve">1950.0|13 Jul 1950 - 15:00 |Group 6|Pacaembu|Sao Paulo |Uruguay|3.0|2.0|Sweden| </v>
      </c>
      <c r="M1761" s="42" t="str">
        <f>IF(COUNTIF($L$1689:L1761,L1761)&gt;1,"DOUBLON","OK")</f>
        <v>OK</v>
      </c>
      <c r="S1761" s="12" t="str">
        <v>Belgium</v>
      </c>
      <c r="T1761" s="12" t="str">
        <f t="shared" ref="T1761:T1824" si="139">IF(COUNTIF(R$13:R$250,S1761)=1,"OK","ERREUR")</f>
        <v>OK</v>
      </c>
      <c r="U1761" s="12" t="str">
        <f t="shared" si="136"/>
        <v>-</v>
      </c>
      <c r="V1761" s="12" t="str" cm="1">
        <f t="array" ref="V1761">_xlfn.IFS(
ISNUMBER(SEARCH("USA",S1761)),"United States",
ISNUMBER(SEARCH("Republic of Ireland",S1761)),"Ireland",
ISNUMBER(SEARCH("Republic of Korea",S1761)),"South Korea",
ISNUMBER(SEARCH("Cape Verde",S1761)),"Cabo Verde",
ISNUMBER(SEARCH("Czechia",S1761)),"Czech Republic",
ISNUMBER(SEARCH("Türkiye",S1761)),"Turkey",
ISNUMBER(SEARCH("Ivory Coast",S1761)),"Côte d'Ivoire",
ISNUMBER(SEARCH("Korea Republic",S1761)),"South Korea",
ISNUMBER(SEARCH("Germany FR",S1761)),"FR Germany",
ISNUMBER(SEARCH("West Germany",S1761)),"FR Germany",
ISNUMBER(SEARCH("Germany DR",S1761)),"DR Germany",
ISNUMBER(SEARCH("Korea DPR",S1761)),"North Korea",
ISNUMBER(SEARCH("China PR",S1761)),"China",
ISNUMBER(SEARCH("IR Iran",S1761)),"Iran",
ISNUMBER(SEARCH("Congo DR",S1761)),"Democratic Republic of the Congo",
ISNUMBER(SEARCH("DR Congo",S1761)),"Democratic Republic of the Congo",
ISNUMBER(SEARCH("German DR",S1761)),"DR Germany",
ISNUMBER(SEARCH("rn""&gt;United Arab Emirates",S1761)),"United Arab Emirates",
ISNUMBER(SEARCH("rn""&gt;Republic of Ireland",S1761)),"Ireland",
ISNUMBER(SEARCH("rn""&gt;Bosnia and Herzegovina",S1761)),"Bosnia and Herzegovina",
ISNUMBER(SEARCH("rn""&gt;Trinidad and Tobago",S1761)),"Trinidad and Tobago",
ISNUMBER(SEARCH("rn""&gt;Serbia and Montenegro",S1761)),"Serbia and Montenegro",
ISNUMBER(SEARCH(_xlfn.UNICHAR(65533),S1761)),"Côte d'Ivoire",
TRUE,""
)</f>
        <v/>
      </c>
      <c r="W1761" s="12" t="str">
        <f t="shared" si="137"/>
        <v>Belgium</v>
      </c>
    </row>
    <row r="1762" spans="2:23">
      <c r="B1762" s="76" t="str">
        <v>1950.0</v>
      </c>
      <c r="C1762" s="42" t="str">
        <v xml:space="preserve">16 Jul 1950 - 15:00 </v>
      </c>
      <c r="D1762" s="42" t="str">
        <v>Group 6</v>
      </c>
      <c r="E1762" s="42" t="str">
        <v>Pacaembu</v>
      </c>
      <c r="F1762" s="42" t="str">
        <v xml:space="preserve">Sao Paulo </v>
      </c>
      <c r="G1762" s="42" t="str">
        <v>Sweden</v>
      </c>
      <c r="H1762" s="42" t="str">
        <v>3.0</v>
      </c>
      <c r="I1762" s="42" t="str">
        <v>1.0</v>
      </c>
      <c r="J1762" s="42" t="str">
        <v>Spain</v>
      </c>
      <c r="K1762" s="42" t="str">
        <v xml:space="preserve"> </v>
      </c>
      <c r="L1762" s="42" t="str">
        <f t="shared" si="138"/>
        <v xml:space="preserve">1950.0|16 Jul 1950 - 15:00 |Group 6|Pacaembu|Sao Paulo |Sweden|3.0|1.0|Spain| </v>
      </c>
      <c r="M1762" s="42" t="str">
        <f>IF(COUNTIF($L$1689:L1762,L1762)&gt;1,"DOUBLON","OK")</f>
        <v>OK</v>
      </c>
      <c r="S1762" s="12" t="str">
        <v>Belgium</v>
      </c>
      <c r="T1762" s="12" t="str">
        <f t="shared" si="139"/>
        <v>OK</v>
      </c>
      <c r="U1762" s="12" t="str">
        <f t="shared" ref="U1762:U1825" si="140">IF(OR(S1762="Scotland",S1762="England",S1762="Wales",S1762="Yugoslavia",S1762="Czechoslovakia",S1762="Northern Ireland",S1762="Soviet Union",S1762="Zaire",S1762="Dutch East Indies"),"AUCUNE",IF(OR(S1762="Cape Verde",S1762="USA",S1762="DR Congo",S1762="Republic of Korea",S1762="Germany FR",S1762="Germany DR",S1762="Czechia",S1762="Ivory Coast",S1762="Korea DPR",S1762="China PR",S1762="IR Iran",S1762="Türkiye",S1762="Congo DR",S1762="German DR",S1762="West Germany",S1762="Republic of Ireland",ISNUMBER(SEARCH("rn""&gt;United Arab Emirates",S1762)),ISNUMBER(SEARCH("rn""&gt;Republic of Ireland",S1762)),ISNUMBER(SEARCH("rn""&gt;Bosnia and Herzegovina",S1762)),ISNUMBER(SEARCH("rn""&gt;Trinidad and Tobago",S1762)),ISNUMBER(SEARCH("rn""&gt;Serbia and Montenegro",S1762)),ISNUMBER(SEARCH(_xlfn.UNICHAR(65533),S1762))),"RENOMMER","-"))</f>
        <v>-</v>
      </c>
      <c r="V1762" s="12" t="str" cm="1">
        <f t="array" ref="V1762">_xlfn.IFS(
ISNUMBER(SEARCH("USA",S1762)),"United States",
ISNUMBER(SEARCH("Republic of Ireland",S1762)),"Ireland",
ISNUMBER(SEARCH("Republic of Korea",S1762)),"South Korea",
ISNUMBER(SEARCH("Cape Verde",S1762)),"Cabo Verde",
ISNUMBER(SEARCH("Czechia",S1762)),"Czech Republic",
ISNUMBER(SEARCH("Türkiye",S1762)),"Turkey",
ISNUMBER(SEARCH("Ivory Coast",S1762)),"Côte d'Ivoire",
ISNUMBER(SEARCH("Korea Republic",S1762)),"South Korea",
ISNUMBER(SEARCH("Germany FR",S1762)),"FR Germany",
ISNUMBER(SEARCH("West Germany",S1762)),"FR Germany",
ISNUMBER(SEARCH("Germany DR",S1762)),"DR Germany",
ISNUMBER(SEARCH("Korea DPR",S1762)),"North Korea",
ISNUMBER(SEARCH("China PR",S1762)),"China",
ISNUMBER(SEARCH("IR Iran",S1762)),"Iran",
ISNUMBER(SEARCH("Congo DR",S1762)),"Democratic Republic of the Congo",
ISNUMBER(SEARCH("DR Congo",S1762)),"Democratic Republic of the Congo",
ISNUMBER(SEARCH("German DR",S1762)),"DR Germany",
ISNUMBER(SEARCH("rn""&gt;United Arab Emirates",S1762)),"United Arab Emirates",
ISNUMBER(SEARCH("rn""&gt;Republic of Ireland",S1762)),"Ireland",
ISNUMBER(SEARCH("rn""&gt;Bosnia and Herzegovina",S1762)),"Bosnia and Herzegovina",
ISNUMBER(SEARCH("rn""&gt;Trinidad and Tobago",S1762)),"Trinidad and Tobago",
ISNUMBER(SEARCH("rn""&gt;Serbia and Montenegro",S1762)),"Serbia and Montenegro",
ISNUMBER(SEARCH(_xlfn.UNICHAR(65533),S1762)),"Côte d'Ivoire",
TRUE,""
)</f>
        <v/>
      </c>
      <c r="W1762" s="12" t="str">
        <f t="shared" ref="W1762:W1825" si="141">IF(V1762="",S1762,V1762)</f>
        <v>Belgium</v>
      </c>
    </row>
    <row r="1763" spans="2:23">
      <c r="B1763" s="76" t="str">
        <v>1950.0</v>
      </c>
      <c r="C1763" s="42" t="str">
        <v xml:space="preserve">16 Jul 1950 - 15:00 </v>
      </c>
      <c r="D1763" s="42" t="str">
        <v>Group 6</v>
      </c>
      <c r="E1763" s="42" t="str">
        <v>Maracan� - Est�dio Jornalista M�rio Filho</v>
      </c>
      <c r="F1763" s="42" t="str">
        <v xml:space="preserve">Rio De Janeiro </v>
      </c>
      <c r="G1763" s="42" t="str">
        <v>Uruguay</v>
      </c>
      <c r="H1763" s="42" t="str">
        <v>2.0</v>
      </c>
      <c r="I1763" s="42" t="str">
        <v>1.0</v>
      </c>
      <c r="J1763" s="42" t="str">
        <v>Brazil</v>
      </c>
      <c r="K1763" s="42" t="str">
        <v xml:space="preserve"> </v>
      </c>
      <c r="L1763" s="42" t="str">
        <f t="shared" si="138"/>
        <v xml:space="preserve">1950.0|16 Jul 1950 - 15:00 |Group 6|Maracan� - Est�dio Jornalista M�rio Filho|Rio De Janeiro |Uruguay|2.0|1.0|Brazil| </v>
      </c>
      <c r="M1763" s="42" t="str">
        <f>IF(COUNTIF($L$1689:L1763,L1763)&gt;1,"DOUBLON","OK")</f>
        <v>OK</v>
      </c>
      <c r="S1763" s="12" t="str">
        <v>Belgium</v>
      </c>
      <c r="T1763" s="12" t="str">
        <f t="shared" si="139"/>
        <v>OK</v>
      </c>
      <c r="U1763" s="12" t="str">
        <f t="shared" si="140"/>
        <v>-</v>
      </c>
      <c r="V1763" s="12" t="str" cm="1">
        <f t="array" ref="V1763">_xlfn.IFS(
ISNUMBER(SEARCH("USA",S1763)),"United States",
ISNUMBER(SEARCH("Republic of Ireland",S1763)),"Ireland",
ISNUMBER(SEARCH("Republic of Korea",S1763)),"South Korea",
ISNUMBER(SEARCH("Cape Verde",S1763)),"Cabo Verde",
ISNUMBER(SEARCH("Czechia",S1763)),"Czech Republic",
ISNUMBER(SEARCH("Türkiye",S1763)),"Turkey",
ISNUMBER(SEARCH("Ivory Coast",S1763)),"Côte d'Ivoire",
ISNUMBER(SEARCH("Korea Republic",S1763)),"South Korea",
ISNUMBER(SEARCH("Germany FR",S1763)),"FR Germany",
ISNUMBER(SEARCH("West Germany",S1763)),"FR Germany",
ISNUMBER(SEARCH("Germany DR",S1763)),"DR Germany",
ISNUMBER(SEARCH("Korea DPR",S1763)),"North Korea",
ISNUMBER(SEARCH("China PR",S1763)),"China",
ISNUMBER(SEARCH("IR Iran",S1763)),"Iran",
ISNUMBER(SEARCH("Congo DR",S1763)),"Democratic Republic of the Congo",
ISNUMBER(SEARCH("DR Congo",S1763)),"Democratic Republic of the Congo",
ISNUMBER(SEARCH("German DR",S1763)),"DR Germany",
ISNUMBER(SEARCH("rn""&gt;United Arab Emirates",S1763)),"United Arab Emirates",
ISNUMBER(SEARCH("rn""&gt;Republic of Ireland",S1763)),"Ireland",
ISNUMBER(SEARCH("rn""&gt;Bosnia and Herzegovina",S1763)),"Bosnia and Herzegovina",
ISNUMBER(SEARCH("rn""&gt;Trinidad and Tobago",S1763)),"Trinidad and Tobago",
ISNUMBER(SEARCH("rn""&gt;Serbia and Montenegro",S1763)),"Serbia and Montenegro",
ISNUMBER(SEARCH(_xlfn.UNICHAR(65533),S1763)),"Côte d'Ivoire",
TRUE,""
)</f>
        <v/>
      </c>
      <c r="W1763" s="12" t="str">
        <f t="shared" si="141"/>
        <v>Belgium</v>
      </c>
    </row>
    <row r="1764" spans="2:23">
      <c r="B1764" s="76" t="str">
        <v>1954.0</v>
      </c>
      <c r="C1764" s="42" t="str">
        <v xml:space="preserve">16 Jun 1954 - 18:00 </v>
      </c>
      <c r="D1764" s="42" t="str">
        <v>Group 3</v>
      </c>
      <c r="E1764" s="42" t="str">
        <v>Wankdorf Stadium</v>
      </c>
      <c r="F1764" s="42" t="str">
        <v xml:space="preserve">Berne </v>
      </c>
      <c r="G1764" s="42" t="str">
        <v>Uruguay</v>
      </c>
      <c r="H1764" s="42" t="str">
        <v>2.0</v>
      </c>
      <c r="I1764" s="42" t="str">
        <v>0.0</v>
      </c>
      <c r="J1764" s="42" t="str">
        <v>Czechoslovakia</v>
      </c>
      <c r="K1764" s="42" t="str">
        <v xml:space="preserve"> </v>
      </c>
      <c r="L1764" s="42" t="str">
        <f t="shared" si="138"/>
        <v xml:space="preserve">1954.0|16 Jun 1954 - 18:00 |Group 3|Wankdorf Stadium|Berne |Uruguay|2.0|0.0|Czechoslovakia| </v>
      </c>
      <c r="M1764" s="42" t="str">
        <f>IF(COUNTIF($L$1689:L1764,L1764)&gt;1,"DOUBLON","OK")</f>
        <v>OK</v>
      </c>
      <c r="S1764" s="12" t="str">
        <v>Belgium</v>
      </c>
      <c r="T1764" s="12" t="str">
        <f t="shared" si="139"/>
        <v>OK</v>
      </c>
      <c r="U1764" s="12" t="str">
        <f t="shared" si="140"/>
        <v>-</v>
      </c>
      <c r="V1764" s="12" t="str" cm="1">
        <f t="array" ref="V1764">_xlfn.IFS(
ISNUMBER(SEARCH("USA",S1764)),"United States",
ISNUMBER(SEARCH("Republic of Ireland",S1764)),"Ireland",
ISNUMBER(SEARCH("Republic of Korea",S1764)),"South Korea",
ISNUMBER(SEARCH("Cape Verde",S1764)),"Cabo Verde",
ISNUMBER(SEARCH("Czechia",S1764)),"Czech Republic",
ISNUMBER(SEARCH("Türkiye",S1764)),"Turkey",
ISNUMBER(SEARCH("Ivory Coast",S1764)),"Côte d'Ivoire",
ISNUMBER(SEARCH("Korea Republic",S1764)),"South Korea",
ISNUMBER(SEARCH("Germany FR",S1764)),"FR Germany",
ISNUMBER(SEARCH("West Germany",S1764)),"FR Germany",
ISNUMBER(SEARCH("Germany DR",S1764)),"DR Germany",
ISNUMBER(SEARCH("Korea DPR",S1764)),"North Korea",
ISNUMBER(SEARCH("China PR",S1764)),"China",
ISNUMBER(SEARCH("IR Iran",S1764)),"Iran",
ISNUMBER(SEARCH("Congo DR",S1764)),"Democratic Republic of the Congo",
ISNUMBER(SEARCH("DR Congo",S1764)),"Democratic Republic of the Congo",
ISNUMBER(SEARCH("German DR",S1764)),"DR Germany",
ISNUMBER(SEARCH("rn""&gt;United Arab Emirates",S1764)),"United Arab Emirates",
ISNUMBER(SEARCH("rn""&gt;Republic of Ireland",S1764)),"Ireland",
ISNUMBER(SEARCH("rn""&gt;Bosnia and Herzegovina",S1764)),"Bosnia and Herzegovina",
ISNUMBER(SEARCH("rn""&gt;Trinidad and Tobago",S1764)),"Trinidad and Tobago",
ISNUMBER(SEARCH("rn""&gt;Serbia and Montenegro",S1764)),"Serbia and Montenegro",
ISNUMBER(SEARCH(_xlfn.UNICHAR(65533),S1764)),"Côte d'Ivoire",
TRUE,""
)</f>
        <v/>
      </c>
      <c r="W1764" s="12" t="str">
        <f t="shared" si="141"/>
        <v>Belgium</v>
      </c>
    </row>
    <row r="1765" spans="2:23">
      <c r="B1765" s="76" t="str">
        <v>1954.0</v>
      </c>
      <c r="C1765" s="42" t="str">
        <v xml:space="preserve">16 Jun 1954 - 18:00 </v>
      </c>
      <c r="D1765" s="42" t="str">
        <v>Group 3</v>
      </c>
      <c r="E1765" s="42" t="str">
        <v>Hardturm</v>
      </c>
      <c r="F1765" s="42" t="str">
        <v xml:space="preserve">Zurich </v>
      </c>
      <c r="G1765" s="42" t="str">
        <v>Austria</v>
      </c>
      <c r="H1765" s="42" t="str">
        <v>1.0</v>
      </c>
      <c r="I1765" s="42" t="str">
        <v>0.0</v>
      </c>
      <c r="J1765" s="42" t="str">
        <v>Scotland</v>
      </c>
      <c r="K1765" s="42" t="str">
        <v xml:space="preserve"> </v>
      </c>
      <c r="L1765" s="42" t="str">
        <f t="shared" si="138"/>
        <v xml:space="preserve">1954.0|16 Jun 1954 - 18:00 |Group 3|Hardturm|Zurich |Austria|1.0|0.0|Scotland| </v>
      </c>
      <c r="M1765" s="42" t="str">
        <f>IF(COUNTIF($L$1689:L1765,L1765)&gt;1,"DOUBLON","OK")</f>
        <v>OK</v>
      </c>
      <c r="S1765" s="12" t="str">
        <v>Belgium</v>
      </c>
      <c r="T1765" s="12" t="str">
        <f t="shared" si="139"/>
        <v>OK</v>
      </c>
      <c r="U1765" s="12" t="str">
        <f t="shared" si="140"/>
        <v>-</v>
      </c>
      <c r="V1765" s="12" t="str" cm="1">
        <f t="array" ref="V1765">_xlfn.IFS(
ISNUMBER(SEARCH("USA",S1765)),"United States",
ISNUMBER(SEARCH("Republic of Ireland",S1765)),"Ireland",
ISNUMBER(SEARCH("Republic of Korea",S1765)),"South Korea",
ISNUMBER(SEARCH("Cape Verde",S1765)),"Cabo Verde",
ISNUMBER(SEARCH("Czechia",S1765)),"Czech Republic",
ISNUMBER(SEARCH("Türkiye",S1765)),"Turkey",
ISNUMBER(SEARCH("Ivory Coast",S1765)),"Côte d'Ivoire",
ISNUMBER(SEARCH("Korea Republic",S1765)),"South Korea",
ISNUMBER(SEARCH("Germany FR",S1765)),"FR Germany",
ISNUMBER(SEARCH("West Germany",S1765)),"FR Germany",
ISNUMBER(SEARCH("Germany DR",S1765)),"DR Germany",
ISNUMBER(SEARCH("Korea DPR",S1765)),"North Korea",
ISNUMBER(SEARCH("China PR",S1765)),"China",
ISNUMBER(SEARCH("IR Iran",S1765)),"Iran",
ISNUMBER(SEARCH("Congo DR",S1765)),"Democratic Republic of the Congo",
ISNUMBER(SEARCH("DR Congo",S1765)),"Democratic Republic of the Congo",
ISNUMBER(SEARCH("German DR",S1765)),"DR Germany",
ISNUMBER(SEARCH("rn""&gt;United Arab Emirates",S1765)),"United Arab Emirates",
ISNUMBER(SEARCH("rn""&gt;Republic of Ireland",S1765)),"Ireland",
ISNUMBER(SEARCH("rn""&gt;Bosnia and Herzegovina",S1765)),"Bosnia and Herzegovina",
ISNUMBER(SEARCH("rn""&gt;Trinidad and Tobago",S1765)),"Trinidad and Tobago",
ISNUMBER(SEARCH("rn""&gt;Serbia and Montenegro",S1765)),"Serbia and Montenegro",
ISNUMBER(SEARCH(_xlfn.UNICHAR(65533),S1765)),"Côte d'Ivoire",
TRUE,""
)</f>
        <v/>
      </c>
      <c r="W1765" s="12" t="str">
        <f t="shared" si="141"/>
        <v>Belgium</v>
      </c>
    </row>
    <row r="1766" spans="2:23">
      <c r="B1766" s="76" t="str">
        <v>1954.0</v>
      </c>
      <c r="C1766" s="42" t="str">
        <v xml:space="preserve">16 Jun 1954 - 18:00 </v>
      </c>
      <c r="D1766" s="42" t="str">
        <v>Group 1</v>
      </c>
      <c r="E1766" s="42" t="str">
        <v>Charmilles</v>
      </c>
      <c r="F1766" s="42" t="str">
        <v xml:space="preserve">Geneva </v>
      </c>
      <c r="G1766" s="42" t="str">
        <v>Brazil</v>
      </c>
      <c r="H1766" s="42" t="str">
        <v>5.0</v>
      </c>
      <c r="I1766" s="42" t="str">
        <v>0.0</v>
      </c>
      <c r="J1766" s="42" t="str">
        <v>Mexico</v>
      </c>
      <c r="K1766" s="42" t="str">
        <v xml:space="preserve"> </v>
      </c>
      <c r="L1766" s="42" t="str">
        <f t="shared" si="138"/>
        <v xml:space="preserve">1954.0|16 Jun 1954 - 18:00 |Group 1|Charmilles|Geneva |Brazil|5.0|0.0|Mexico| </v>
      </c>
      <c r="M1766" s="42" t="str">
        <f>IF(COUNTIF($L$1689:L1766,L1766)&gt;1,"DOUBLON","OK")</f>
        <v>OK</v>
      </c>
      <c r="S1766" s="12" t="str">
        <v>Belgium</v>
      </c>
      <c r="T1766" s="12" t="str">
        <f t="shared" si="139"/>
        <v>OK</v>
      </c>
      <c r="U1766" s="12" t="str">
        <f t="shared" si="140"/>
        <v>-</v>
      </c>
      <c r="V1766" s="12" t="str" cm="1">
        <f t="array" ref="V1766">_xlfn.IFS(
ISNUMBER(SEARCH("USA",S1766)),"United States",
ISNUMBER(SEARCH("Republic of Ireland",S1766)),"Ireland",
ISNUMBER(SEARCH("Republic of Korea",S1766)),"South Korea",
ISNUMBER(SEARCH("Cape Verde",S1766)),"Cabo Verde",
ISNUMBER(SEARCH("Czechia",S1766)),"Czech Republic",
ISNUMBER(SEARCH("Türkiye",S1766)),"Turkey",
ISNUMBER(SEARCH("Ivory Coast",S1766)),"Côte d'Ivoire",
ISNUMBER(SEARCH("Korea Republic",S1766)),"South Korea",
ISNUMBER(SEARCH("Germany FR",S1766)),"FR Germany",
ISNUMBER(SEARCH("West Germany",S1766)),"FR Germany",
ISNUMBER(SEARCH("Germany DR",S1766)),"DR Germany",
ISNUMBER(SEARCH("Korea DPR",S1766)),"North Korea",
ISNUMBER(SEARCH("China PR",S1766)),"China",
ISNUMBER(SEARCH("IR Iran",S1766)),"Iran",
ISNUMBER(SEARCH("Congo DR",S1766)),"Democratic Republic of the Congo",
ISNUMBER(SEARCH("DR Congo",S1766)),"Democratic Republic of the Congo",
ISNUMBER(SEARCH("German DR",S1766)),"DR Germany",
ISNUMBER(SEARCH("rn""&gt;United Arab Emirates",S1766)),"United Arab Emirates",
ISNUMBER(SEARCH("rn""&gt;Republic of Ireland",S1766)),"Ireland",
ISNUMBER(SEARCH("rn""&gt;Bosnia and Herzegovina",S1766)),"Bosnia and Herzegovina",
ISNUMBER(SEARCH("rn""&gt;Trinidad and Tobago",S1766)),"Trinidad and Tobago",
ISNUMBER(SEARCH("rn""&gt;Serbia and Montenegro",S1766)),"Serbia and Montenegro",
ISNUMBER(SEARCH(_xlfn.UNICHAR(65533),S1766)),"Côte d'Ivoire",
TRUE,""
)</f>
        <v/>
      </c>
      <c r="W1766" s="12" t="str">
        <f t="shared" si="141"/>
        <v>Belgium</v>
      </c>
    </row>
    <row r="1767" spans="2:23">
      <c r="B1767" s="76" t="str">
        <v>1954.0</v>
      </c>
      <c r="C1767" s="42" t="str">
        <v xml:space="preserve">16 Jun 1954 - 18:00 </v>
      </c>
      <c r="D1767" s="42" t="str">
        <v>Group 1</v>
      </c>
      <c r="E1767" s="42" t="str">
        <v>La Pontaise</v>
      </c>
      <c r="F1767" s="42" t="str">
        <v xml:space="preserve">Lausanne </v>
      </c>
      <c r="G1767" s="42" t="str">
        <v>Yugoslavia</v>
      </c>
      <c r="H1767" s="42" t="str">
        <v>1.0</v>
      </c>
      <c r="I1767" s="42" t="str">
        <v>0.0</v>
      </c>
      <c r="J1767" s="42" t="str">
        <v>France</v>
      </c>
      <c r="K1767" s="42" t="str">
        <v xml:space="preserve"> </v>
      </c>
      <c r="L1767" s="42" t="str">
        <f t="shared" si="138"/>
        <v xml:space="preserve">1954.0|16 Jun 1954 - 18:00 |Group 1|La Pontaise|Lausanne |Yugoslavia|1.0|0.0|France| </v>
      </c>
      <c r="M1767" s="42" t="str">
        <f>IF(COUNTIF($L$1689:L1767,L1767)&gt;1,"DOUBLON","OK")</f>
        <v>OK</v>
      </c>
      <c r="S1767" s="12" t="str">
        <v>Belgium</v>
      </c>
      <c r="T1767" s="12" t="str">
        <f t="shared" si="139"/>
        <v>OK</v>
      </c>
      <c r="U1767" s="12" t="str">
        <f t="shared" si="140"/>
        <v>-</v>
      </c>
      <c r="V1767" s="12" t="str" cm="1">
        <f t="array" ref="V1767">_xlfn.IFS(
ISNUMBER(SEARCH("USA",S1767)),"United States",
ISNUMBER(SEARCH("Republic of Ireland",S1767)),"Ireland",
ISNUMBER(SEARCH("Republic of Korea",S1767)),"South Korea",
ISNUMBER(SEARCH("Cape Verde",S1767)),"Cabo Verde",
ISNUMBER(SEARCH("Czechia",S1767)),"Czech Republic",
ISNUMBER(SEARCH("Türkiye",S1767)),"Turkey",
ISNUMBER(SEARCH("Ivory Coast",S1767)),"Côte d'Ivoire",
ISNUMBER(SEARCH("Korea Republic",S1767)),"South Korea",
ISNUMBER(SEARCH("Germany FR",S1767)),"FR Germany",
ISNUMBER(SEARCH("West Germany",S1767)),"FR Germany",
ISNUMBER(SEARCH("Germany DR",S1767)),"DR Germany",
ISNUMBER(SEARCH("Korea DPR",S1767)),"North Korea",
ISNUMBER(SEARCH("China PR",S1767)),"China",
ISNUMBER(SEARCH("IR Iran",S1767)),"Iran",
ISNUMBER(SEARCH("Congo DR",S1767)),"Democratic Republic of the Congo",
ISNUMBER(SEARCH("DR Congo",S1767)),"Democratic Republic of the Congo",
ISNUMBER(SEARCH("German DR",S1767)),"DR Germany",
ISNUMBER(SEARCH("rn""&gt;United Arab Emirates",S1767)),"United Arab Emirates",
ISNUMBER(SEARCH("rn""&gt;Republic of Ireland",S1767)),"Ireland",
ISNUMBER(SEARCH("rn""&gt;Bosnia and Herzegovina",S1767)),"Bosnia and Herzegovina",
ISNUMBER(SEARCH("rn""&gt;Trinidad and Tobago",S1767)),"Trinidad and Tobago",
ISNUMBER(SEARCH("rn""&gt;Serbia and Montenegro",S1767)),"Serbia and Montenegro",
ISNUMBER(SEARCH(_xlfn.UNICHAR(65533),S1767)),"Côte d'Ivoire",
TRUE,""
)</f>
        <v/>
      </c>
      <c r="W1767" s="12" t="str">
        <f t="shared" si="141"/>
        <v>Belgium</v>
      </c>
    </row>
    <row r="1768" spans="2:23">
      <c r="B1768" s="76" t="str">
        <v>1954.0</v>
      </c>
      <c r="C1768" s="42" t="str">
        <v xml:space="preserve">17 Jun 1954 - 18:00 </v>
      </c>
      <c r="D1768" s="42" t="str">
        <v>Group 2</v>
      </c>
      <c r="E1768" s="42" t="str">
        <v>Wankdorf Stadium</v>
      </c>
      <c r="F1768" s="42" t="str">
        <v xml:space="preserve">Berne </v>
      </c>
      <c r="G1768" s="42" t="str">
        <v>Germany FR</v>
      </c>
      <c r="H1768" s="42" t="str">
        <v>4.0</v>
      </c>
      <c r="I1768" s="42" t="str">
        <v>1.0</v>
      </c>
      <c r="J1768" s="42" t="str">
        <v>Turkey</v>
      </c>
      <c r="K1768" s="42" t="str">
        <v xml:space="preserve"> </v>
      </c>
      <c r="L1768" s="42" t="str">
        <f t="shared" si="138"/>
        <v xml:space="preserve">1954.0|17 Jun 1954 - 18:00 |Group 2|Wankdorf Stadium|Berne |Germany FR|4.0|1.0|Turkey| </v>
      </c>
      <c r="M1768" s="42" t="str">
        <f>IF(COUNTIF($L$1689:L1768,L1768)&gt;1,"DOUBLON","OK")</f>
        <v>OK</v>
      </c>
      <c r="S1768" s="12" t="str">
        <v>Belgium</v>
      </c>
      <c r="T1768" s="12" t="str">
        <f t="shared" si="139"/>
        <v>OK</v>
      </c>
      <c r="U1768" s="12" t="str">
        <f t="shared" si="140"/>
        <v>-</v>
      </c>
      <c r="V1768" s="12" t="str" cm="1">
        <f t="array" ref="V1768">_xlfn.IFS(
ISNUMBER(SEARCH("USA",S1768)),"United States",
ISNUMBER(SEARCH("Republic of Ireland",S1768)),"Ireland",
ISNUMBER(SEARCH("Republic of Korea",S1768)),"South Korea",
ISNUMBER(SEARCH("Cape Verde",S1768)),"Cabo Verde",
ISNUMBER(SEARCH("Czechia",S1768)),"Czech Republic",
ISNUMBER(SEARCH("Türkiye",S1768)),"Turkey",
ISNUMBER(SEARCH("Ivory Coast",S1768)),"Côte d'Ivoire",
ISNUMBER(SEARCH("Korea Republic",S1768)),"South Korea",
ISNUMBER(SEARCH("Germany FR",S1768)),"FR Germany",
ISNUMBER(SEARCH("West Germany",S1768)),"FR Germany",
ISNUMBER(SEARCH("Germany DR",S1768)),"DR Germany",
ISNUMBER(SEARCH("Korea DPR",S1768)),"North Korea",
ISNUMBER(SEARCH("China PR",S1768)),"China",
ISNUMBER(SEARCH("IR Iran",S1768)),"Iran",
ISNUMBER(SEARCH("Congo DR",S1768)),"Democratic Republic of the Congo",
ISNUMBER(SEARCH("DR Congo",S1768)),"Democratic Republic of the Congo",
ISNUMBER(SEARCH("German DR",S1768)),"DR Germany",
ISNUMBER(SEARCH("rn""&gt;United Arab Emirates",S1768)),"United Arab Emirates",
ISNUMBER(SEARCH("rn""&gt;Republic of Ireland",S1768)),"Ireland",
ISNUMBER(SEARCH("rn""&gt;Bosnia and Herzegovina",S1768)),"Bosnia and Herzegovina",
ISNUMBER(SEARCH("rn""&gt;Trinidad and Tobago",S1768)),"Trinidad and Tobago",
ISNUMBER(SEARCH("rn""&gt;Serbia and Montenegro",S1768)),"Serbia and Montenegro",
ISNUMBER(SEARCH(_xlfn.UNICHAR(65533),S1768)),"Côte d'Ivoire",
TRUE,""
)</f>
        <v/>
      </c>
      <c r="W1768" s="12" t="str">
        <f t="shared" si="141"/>
        <v>Belgium</v>
      </c>
    </row>
    <row r="1769" spans="2:23">
      <c r="B1769" s="76" t="str">
        <v>1954.0</v>
      </c>
      <c r="C1769" s="42" t="str">
        <v xml:space="preserve">17 Jun 1954 - 18:00 </v>
      </c>
      <c r="D1769" s="42" t="str">
        <v>Group 2</v>
      </c>
      <c r="E1769" s="42" t="str">
        <v>Hardturm</v>
      </c>
      <c r="F1769" s="42" t="str">
        <v xml:space="preserve">Zurich </v>
      </c>
      <c r="G1769" s="42" t="str">
        <v>Hungary</v>
      </c>
      <c r="H1769" s="42" t="str">
        <v>9.0</v>
      </c>
      <c r="I1769" s="42" t="str">
        <v>0.0</v>
      </c>
      <c r="J1769" s="42" t="str">
        <v>Korea Republic</v>
      </c>
      <c r="K1769" s="42" t="str">
        <v xml:space="preserve"> </v>
      </c>
      <c r="L1769" s="42" t="str">
        <f t="shared" si="138"/>
        <v xml:space="preserve">1954.0|17 Jun 1954 - 18:00 |Group 2|Hardturm|Zurich |Hungary|9.0|0.0|Korea Republic| </v>
      </c>
      <c r="M1769" s="42" t="str">
        <f>IF(COUNTIF($L$1689:L1769,L1769)&gt;1,"DOUBLON","OK")</f>
        <v>OK</v>
      </c>
      <c r="S1769" s="12" t="str">
        <v>Belgium</v>
      </c>
      <c r="T1769" s="12" t="str">
        <f t="shared" si="139"/>
        <v>OK</v>
      </c>
      <c r="U1769" s="12" t="str">
        <f t="shared" si="140"/>
        <v>-</v>
      </c>
      <c r="V1769" s="12" t="str" cm="1">
        <f t="array" ref="V1769">_xlfn.IFS(
ISNUMBER(SEARCH("USA",S1769)),"United States",
ISNUMBER(SEARCH("Republic of Ireland",S1769)),"Ireland",
ISNUMBER(SEARCH("Republic of Korea",S1769)),"South Korea",
ISNUMBER(SEARCH("Cape Verde",S1769)),"Cabo Verde",
ISNUMBER(SEARCH("Czechia",S1769)),"Czech Republic",
ISNUMBER(SEARCH("Türkiye",S1769)),"Turkey",
ISNUMBER(SEARCH("Ivory Coast",S1769)),"Côte d'Ivoire",
ISNUMBER(SEARCH("Korea Republic",S1769)),"South Korea",
ISNUMBER(SEARCH("Germany FR",S1769)),"FR Germany",
ISNUMBER(SEARCH("West Germany",S1769)),"FR Germany",
ISNUMBER(SEARCH("Germany DR",S1769)),"DR Germany",
ISNUMBER(SEARCH("Korea DPR",S1769)),"North Korea",
ISNUMBER(SEARCH("China PR",S1769)),"China",
ISNUMBER(SEARCH("IR Iran",S1769)),"Iran",
ISNUMBER(SEARCH("Congo DR",S1769)),"Democratic Republic of the Congo",
ISNUMBER(SEARCH("DR Congo",S1769)),"Democratic Republic of the Congo",
ISNUMBER(SEARCH("German DR",S1769)),"DR Germany",
ISNUMBER(SEARCH("rn""&gt;United Arab Emirates",S1769)),"United Arab Emirates",
ISNUMBER(SEARCH("rn""&gt;Republic of Ireland",S1769)),"Ireland",
ISNUMBER(SEARCH("rn""&gt;Bosnia and Herzegovina",S1769)),"Bosnia and Herzegovina",
ISNUMBER(SEARCH("rn""&gt;Trinidad and Tobago",S1769)),"Trinidad and Tobago",
ISNUMBER(SEARCH("rn""&gt;Serbia and Montenegro",S1769)),"Serbia and Montenegro",
ISNUMBER(SEARCH(_xlfn.UNICHAR(65533),S1769)),"Côte d'Ivoire",
TRUE,""
)</f>
        <v/>
      </c>
      <c r="W1769" s="12" t="str">
        <f t="shared" si="141"/>
        <v>Belgium</v>
      </c>
    </row>
    <row r="1770" spans="2:23">
      <c r="B1770" s="76" t="str">
        <v>1954.0</v>
      </c>
      <c r="C1770" s="42" t="str">
        <v xml:space="preserve">17 Jun 1954 - 18:10 </v>
      </c>
      <c r="D1770" s="42" t="str">
        <v>Group 4</v>
      </c>
      <c r="E1770" s="42" t="str">
        <v>St. Jakob</v>
      </c>
      <c r="F1770" s="42" t="str">
        <v xml:space="preserve">Basel </v>
      </c>
      <c r="G1770" s="42" t="str">
        <v>England</v>
      </c>
      <c r="H1770" s="42" t="str">
        <v>4.0</v>
      </c>
      <c r="I1770" s="42" t="str">
        <v>4.0</v>
      </c>
      <c r="J1770" s="42" t="str">
        <v>Belgium</v>
      </c>
      <c r="K1770" s="42" t="str">
        <v xml:space="preserve"> </v>
      </c>
      <c r="L1770" s="42" t="str">
        <f t="shared" si="138"/>
        <v xml:space="preserve">1954.0|17 Jun 1954 - 18:10 |Group 4|St. Jakob|Basel |England|4.0|4.0|Belgium| </v>
      </c>
      <c r="M1770" s="42" t="str">
        <f>IF(COUNTIF($L$1689:L1770,L1770)&gt;1,"DOUBLON","OK")</f>
        <v>OK</v>
      </c>
      <c r="S1770" s="12" t="str">
        <v>Belgium</v>
      </c>
      <c r="T1770" s="12" t="str">
        <f t="shared" si="139"/>
        <v>OK</v>
      </c>
      <c r="U1770" s="12" t="str">
        <f t="shared" si="140"/>
        <v>-</v>
      </c>
      <c r="V1770" s="12" t="str" cm="1">
        <f t="array" ref="V1770">_xlfn.IFS(
ISNUMBER(SEARCH("USA",S1770)),"United States",
ISNUMBER(SEARCH("Republic of Ireland",S1770)),"Ireland",
ISNUMBER(SEARCH("Republic of Korea",S1770)),"South Korea",
ISNUMBER(SEARCH("Cape Verde",S1770)),"Cabo Verde",
ISNUMBER(SEARCH("Czechia",S1770)),"Czech Republic",
ISNUMBER(SEARCH("Türkiye",S1770)),"Turkey",
ISNUMBER(SEARCH("Ivory Coast",S1770)),"Côte d'Ivoire",
ISNUMBER(SEARCH("Korea Republic",S1770)),"South Korea",
ISNUMBER(SEARCH("Germany FR",S1770)),"FR Germany",
ISNUMBER(SEARCH("West Germany",S1770)),"FR Germany",
ISNUMBER(SEARCH("Germany DR",S1770)),"DR Germany",
ISNUMBER(SEARCH("Korea DPR",S1770)),"North Korea",
ISNUMBER(SEARCH("China PR",S1770)),"China",
ISNUMBER(SEARCH("IR Iran",S1770)),"Iran",
ISNUMBER(SEARCH("Congo DR",S1770)),"Democratic Republic of the Congo",
ISNUMBER(SEARCH("DR Congo",S1770)),"Democratic Republic of the Congo",
ISNUMBER(SEARCH("German DR",S1770)),"DR Germany",
ISNUMBER(SEARCH("rn""&gt;United Arab Emirates",S1770)),"United Arab Emirates",
ISNUMBER(SEARCH("rn""&gt;Republic of Ireland",S1770)),"Ireland",
ISNUMBER(SEARCH("rn""&gt;Bosnia and Herzegovina",S1770)),"Bosnia and Herzegovina",
ISNUMBER(SEARCH("rn""&gt;Trinidad and Tobago",S1770)),"Trinidad and Tobago",
ISNUMBER(SEARCH("rn""&gt;Serbia and Montenegro",S1770)),"Serbia and Montenegro",
ISNUMBER(SEARCH(_xlfn.UNICHAR(65533),S1770)),"Côte d'Ivoire",
TRUE,""
)</f>
        <v/>
      </c>
      <c r="W1770" s="12" t="str">
        <f t="shared" si="141"/>
        <v>Belgium</v>
      </c>
    </row>
    <row r="1771" spans="2:23">
      <c r="B1771" s="76" t="str">
        <v>1954.0</v>
      </c>
      <c r="C1771" s="42" t="str">
        <v xml:space="preserve">17 Jun 1954 - 17:50 </v>
      </c>
      <c r="D1771" s="42" t="str">
        <v>Group 4</v>
      </c>
      <c r="E1771" s="42" t="str">
        <v>La Pontaise</v>
      </c>
      <c r="F1771" s="42" t="str">
        <v xml:space="preserve">Lausanne </v>
      </c>
      <c r="G1771" s="42" t="str">
        <v>Switzerland</v>
      </c>
      <c r="H1771" s="42" t="str">
        <v>2.0</v>
      </c>
      <c r="I1771" s="42" t="str">
        <v>1.0</v>
      </c>
      <c r="J1771" s="42" t="str">
        <v>Italy</v>
      </c>
      <c r="K1771" s="42" t="str">
        <v xml:space="preserve"> </v>
      </c>
      <c r="L1771" s="42" t="str">
        <f t="shared" si="138"/>
        <v xml:space="preserve">1954.0|17 Jun 1954 - 17:50 |Group 4|La Pontaise|Lausanne |Switzerland|2.0|1.0|Italy| </v>
      </c>
      <c r="M1771" s="42" t="str">
        <f>IF(COUNTIF($L$1689:L1771,L1771)&gt;1,"DOUBLON","OK")</f>
        <v>OK</v>
      </c>
      <c r="S1771" s="12" t="str">
        <v>Egypt</v>
      </c>
      <c r="T1771" s="12" t="str">
        <f t="shared" si="139"/>
        <v>OK</v>
      </c>
      <c r="U1771" s="12" t="str">
        <f t="shared" si="140"/>
        <v>-</v>
      </c>
      <c r="V1771" s="12" t="str" cm="1">
        <f t="array" ref="V1771">_xlfn.IFS(
ISNUMBER(SEARCH("USA",S1771)),"United States",
ISNUMBER(SEARCH("Republic of Ireland",S1771)),"Ireland",
ISNUMBER(SEARCH("Republic of Korea",S1771)),"South Korea",
ISNUMBER(SEARCH("Cape Verde",S1771)),"Cabo Verde",
ISNUMBER(SEARCH("Czechia",S1771)),"Czech Republic",
ISNUMBER(SEARCH("Türkiye",S1771)),"Turkey",
ISNUMBER(SEARCH("Ivory Coast",S1771)),"Côte d'Ivoire",
ISNUMBER(SEARCH("Korea Republic",S1771)),"South Korea",
ISNUMBER(SEARCH("Germany FR",S1771)),"FR Germany",
ISNUMBER(SEARCH("West Germany",S1771)),"FR Germany",
ISNUMBER(SEARCH("Germany DR",S1771)),"DR Germany",
ISNUMBER(SEARCH("Korea DPR",S1771)),"North Korea",
ISNUMBER(SEARCH("China PR",S1771)),"China",
ISNUMBER(SEARCH("IR Iran",S1771)),"Iran",
ISNUMBER(SEARCH("Congo DR",S1771)),"Democratic Republic of the Congo",
ISNUMBER(SEARCH("DR Congo",S1771)),"Democratic Republic of the Congo",
ISNUMBER(SEARCH("German DR",S1771)),"DR Germany",
ISNUMBER(SEARCH("rn""&gt;United Arab Emirates",S1771)),"United Arab Emirates",
ISNUMBER(SEARCH("rn""&gt;Republic of Ireland",S1771)),"Ireland",
ISNUMBER(SEARCH("rn""&gt;Bosnia and Herzegovina",S1771)),"Bosnia and Herzegovina",
ISNUMBER(SEARCH("rn""&gt;Trinidad and Tobago",S1771)),"Trinidad and Tobago",
ISNUMBER(SEARCH("rn""&gt;Serbia and Montenegro",S1771)),"Serbia and Montenegro",
ISNUMBER(SEARCH(_xlfn.UNICHAR(65533),S1771)),"Côte d'Ivoire",
TRUE,""
)</f>
        <v/>
      </c>
      <c r="W1771" s="12" t="str">
        <f t="shared" si="141"/>
        <v>Egypt</v>
      </c>
    </row>
    <row r="1772" spans="2:23">
      <c r="B1772" s="76" t="str">
        <v>1954.0</v>
      </c>
      <c r="C1772" s="42" t="str">
        <v xml:space="preserve">19 Jun 1954 - 16:50 </v>
      </c>
      <c r="D1772" s="42" t="str">
        <v>Group 3</v>
      </c>
      <c r="E1772" s="42" t="str">
        <v>St. Jakob</v>
      </c>
      <c r="F1772" s="42" t="str">
        <v xml:space="preserve">Basel </v>
      </c>
      <c r="G1772" s="42" t="str">
        <v>Uruguay</v>
      </c>
      <c r="H1772" s="42" t="str">
        <v>7.0</v>
      </c>
      <c r="I1772" s="42" t="str">
        <v>0.0</v>
      </c>
      <c r="J1772" s="42" t="str">
        <v>Scotland</v>
      </c>
      <c r="K1772" s="42" t="str">
        <v xml:space="preserve"> </v>
      </c>
      <c r="L1772" s="42" t="str">
        <f t="shared" si="138"/>
        <v xml:space="preserve">1954.0|19 Jun 1954 - 16:50 |Group 3|St. Jakob|Basel |Uruguay|7.0|0.0|Scotland| </v>
      </c>
      <c r="M1772" s="42" t="str">
        <f>IF(COUNTIF($L$1689:L1772,L1772)&gt;1,"DOUBLON","OK")</f>
        <v>OK</v>
      </c>
      <c r="S1772" s="12" t="str">
        <v>Egypt</v>
      </c>
      <c r="T1772" s="12" t="str">
        <f t="shared" si="139"/>
        <v>OK</v>
      </c>
      <c r="U1772" s="12" t="str">
        <f t="shared" si="140"/>
        <v>-</v>
      </c>
      <c r="V1772" s="12" t="str" cm="1">
        <f t="array" ref="V1772">_xlfn.IFS(
ISNUMBER(SEARCH("USA",S1772)),"United States",
ISNUMBER(SEARCH("Republic of Ireland",S1772)),"Ireland",
ISNUMBER(SEARCH("Republic of Korea",S1772)),"South Korea",
ISNUMBER(SEARCH("Cape Verde",S1772)),"Cabo Verde",
ISNUMBER(SEARCH("Czechia",S1772)),"Czech Republic",
ISNUMBER(SEARCH("Türkiye",S1772)),"Turkey",
ISNUMBER(SEARCH("Ivory Coast",S1772)),"Côte d'Ivoire",
ISNUMBER(SEARCH("Korea Republic",S1772)),"South Korea",
ISNUMBER(SEARCH("Germany FR",S1772)),"FR Germany",
ISNUMBER(SEARCH("West Germany",S1772)),"FR Germany",
ISNUMBER(SEARCH("Germany DR",S1772)),"DR Germany",
ISNUMBER(SEARCH("Korea DPR",S1772)),"North Korea",
ISNUMBER(SEARCH("China PR",S1772)),"China",
ISNUMBER(SEARCH("IR Iran",S1772)),"Iran",
ISNUMBER(SEARCH("Congo DR",S1772)),"Democratic Republic of the Congo",
ISNUMBER(SEARCH("DR Congo",S1772)),"Democratic Republic of the Congo",
ISNUMBER(SEARCH("German DR",S1772)),"DR Germany",
ISNUMBER(SEARCH("rn""&gt;United Arab Emirates",S1772)),"United Arab Emirates",
ISNUMBER(SEARCH("rn""&gt;Republic of Ireland",S1772)),"Ireland",
ISNUMBER(SEARCH("rn""&gt;Bosnia and Herzegovina",S1772)),"Bosnia and Herzegovina",
ISNUMBER(SEARCH("rn""&gt;Trinidad and Tobago",S1772)),"Trinidad and Tobago",
ISNUMBER(SEARCH("rn""&gt;Serbia and Montenegro",S1772)),"Serbia and Montenegro",
ISNUMBER(SEARCH(_xlfn.UNICHAR(65533),S1772)),"Côte d'Ivoire",
TRUE,""
)</f>
        <v/>
      </c>
      <c r="W1772" s="12" t="str">
        <f t="shared" si="141"/>
        <v>Egypt</v>
      </c>
    </row>
    <row r="1773" spans="2:23">
      <c r="B1773" s="76" t="str">
        <v>1954.0</v>
      </c>
      <c r="C1773" s="42" t="str">
        <v xml:space="preserve">19 Jun 1954 - 17:00 </v>
      </c>
      <c r="D1773" s="42" t="str">
        <v>Group 3</v>
      </c>
      <c r="E1773" s="42" t="str">
        <v>Hardturm</v>
      </c>
      <c r="F1773" s="42" t="str">
        <v xml:space="preserve">Zurich </v>
      </c>
      <c r="G1773" s="42" t="str">
        <v>Austria</v>
      </c>
      <c r="H1773" s="42" t="str">
        <v>5.0</v>
      </c>
      <c r="I1773" s="42" t="str">
        <v>0.0</v>
      </c>
      <c r="J1773" s="42" t="str">
        <v>Czechoslovakia</v>
      </c>
      <c r="K1773" s="42" t="str">
        <v xml:space="preserve"> </v>
      </c>
      <c r="L1773" s="42" t="str">
        <f t="shared" si="138"/>
        <v xml:space="preserve">1954.0|19 Jun 1954 - 17:00 |Group 3|Hardturm|Zurich |Austria|5.0|0.0|Czechoslovakia| </v>
      </c>
      <c r="M1773" s="42" t="str">
        <f>IF(COUNTIF($L$1689:L1773,L1773)&gt;1,"DOUBLON","OK")</f>
        <v>OK</v>
      </c>
      <c r="S1773" s="12" t="str">
        <v>Egypt</v>
      </c>
      <c r="T1773" s="12" t="str">
        <f t="shared" si="139"/>
        <v>OK</v>
      </c>
      <c r="U1773" s="12" t="str">
        <f t="shared" si="140"/>
        <v>-</v>
      </c>
      <c r="V1773" s="12" t="str" cm="1">
        <f t="array" ref="V1773">_xlfn.IFS(
ISNUMBER(SEARCH("USA",S1773)),"United States",
ISNUMBER(SEARCH("Republic of Ireland",S1773)),"Ireland",
ISNUMBER(SEARCH("Republic of Korea",S1773)),"South Korea",
ISNUMBER(SEARCH("Cape Verde",S1773)),"Cabo Verde",
ISNUMBER(SEARCH("Czechia",S1773)),"Czech Republic",
ISNUMBER(SEARCH("Türkiye",S1773)),"Turkey",
ISNUMBER(SEARCH("Ivory Coast",S1773)),"Côte d'Ivoire",
ISNUMBER(SEARCH("Korea Republic",S1773)),"South Korea",
ISNUMBER(SEARCH("Germany FR",S1773)),"FR Germany",
ISNUMBER(SEARCH("West Germany",S1773)),"FR Germany",
ISNUMBER(SEARCH("Germany DR",S1773)),"DR Germany",
ISNUMBER(SEARCH("Korea DPR",S1773)),"North Korea",
ISNUMBER(SEARCH("China PR",S1773)),"China",
ISNUMBER(SEARCH("IR Iran",S1773)),"Iran",
ISNUMBER(SEARCH("Congo DR",S1773)),"Democratic Republic of the Congo",
ISNUMBER(SEARCH("DR Congo",S1773)),"Democratic Republic of the Congo",
ISNUMBER(SEARCH("German DR",S1773)),"DR Germany",
ISNUMBER(SEARCH("rn""&gt;United Arab Emirates",S1773)),"United Arab Emirates",
ISNUMBER(SEARCH("rn""&gt;Republic of Ireland",S1773)),"Ireland",
ISNUMBER(SEARCH("rn""&gt;Bosnia and Herzegovina",S1773)),"Bosnia and Herzegovina",
ISNUMBER(SEARCH("rn""&gt;Trinidad and Tobago",S1773)),"Trinidad and Tobago",
ISNUMBER(SEARCH("rn""&gt;Serbia and Montenegro",S1773)),"Serbia and Montenegro",
ISNUMBER(SEARCH(_xlfn.UNICHAR(65533),S1773)),"Côte d'Ivoire",
TRUE,""
)</f>
        <v/>
      </c>
      <c r="W1773" s="12" t="str">
        <f t="shared" si="141"/>
        <v>Egypt</v>
      </c>
    </row>
    <row r="1774" spans="2:23">
      <c r="B1774" s="76" t="str">
        <v>1954.0</v>
      </c>
      <c r="C1774" s="42" t="str">
        <v xml:space="preserve">19 Jun 1954 - 17:10 </v>
      </c>
      <c r="D1774" s="42" t="str">
        <v>Group 1</v>
      </c>
      <c r="E1774" s="42" t="str">
        <v>Charmilles</v>
      </c>
      <c r="F1774" s="42" t="str">
        <v xml:space="preserve">Geneva </v>
      </c>
      <c r="G1774" s="42" t="str">
        <v>France</v>
      </c>
      <c r="H1774" s="42" t="str">
        <v>3.0</v>
      </c>
      <c r="I1774" s="42" t="str">
        <v>2.0</v>
      </c>
      <c r="J1774" s="42" t="str">
        <v>Mexico</v>
      </c>
      <c r="K1774" s="42" t="str">
        <v xml:space="preserve"> </v>
      </c>
      <c r="L1774" s="42" t="str">
        <f t="shared" si="138"/>
        <v xml:space="preserve">1954.0|19 Jun 1954 - 17:10 |Group 1|Charmilles|Geneva |France|3.0|2.0|Mexico| </v>
      </c>
      <c r="M1774" s="42" t="str">
        <f>IF(COUNTIF($L$1689:L1774,L1774)&gt;1,"DOUBLON","OK")</f>
        <v>OK</v>
      </c>
      <c r="S1774" s="12" t="str">
        <v>Egypt</v>
      </c>
      <c r="T1774" s="12" t="str">
        <f t="shared" si="139"/>
        <v>OK</v>
      </c>
      <c r="U1774" s="12" t="str">
        <f t="shared" si="140"/>
        <v>-</v>
      </c>
      <c r="V1774" s="12" t="str" cm="1">
        <f t="array" ref="V1774">_xlfn.IFS(
ISNUMBER(SEARCH("USA",S1774)),"United States",
ISNUMBER(SEARCH("Republic of Ireland",S1774)),"Ireland",
ISNUMBER(SEARCH("Republic of Korea",S1774)),"South Korea",
ISNUMBER(SEARCH("Cape Verde",S1774)),"Cabo Verde",
ISNUMBER(SEARCH("Czechia",S1774)),"Czech Republic",
ISNUMBER(SEARCH("Türkiye",S1774)),"Turkey",
ISNUMBER(SEARCH("Ivory Coast",S1774)),"Côte d'Ivoire",
ISNUMBER(SEARCH("Korea Republic",S1774)),"South Korea",
ISNUMBER(SEARCH("Germany FR",S1774)),"FR Germany",
ISNUMBER(SEARCH("West Germany",S1774)),"FR Germany",
ISNUMBER(SEARCH("Germany DR",S1774)),"DR Germany",
ISNUMBER(SEARCH("Korea DPR",S1774)),"North Korea",
ISNUMBER(SEARCH("China PR",S1774)),"China",
ISNUMBER(SEARCH("IR Iran",S1774)),"Iran",
ISNUMBER(SEARCH("Congo DR",S1774)),"Democratic Republic of the Congo",
ISNUMBER(SEARCH("DR Congo",S1774)),"Democratic Republic of the Congo",
ISNUMBER(SEARCH("German DR",S1774)),"DR Germany",
ISNUMBER(SEARCH("rn""&gt;United Arab Emirates",S1774)),"United Arab Emirates",
ISNUMBER(SEARCH("rn""&gt;Republic of Ireland",S1774)),"Ireland",
ISNUMBER(SEARCH("rn""&gt;Bosnia and Herzegovina",S1774)),"Bosnia and Herzegovina",
ISNUMBER(SEARCH("rn""&gt;Trinidad and Tobago",S1774)),"Trinidad and Tobago",
ISNUMBER(SEARCH("rn""&gt;Serbia and Montenegro",S1774)),"Serbia and Montenegro",
ISNUMBER(SEARCH(_xlfn.UNICHAR(65533),S1774)),"Côte d'Ivoire",
TRUE,""
)</f>
        <v/>
      </c>
      <c r="W1774" s="12" t="str">
        <f t="shared" si="141"/>
        <v>Egypt</v>
      </c>
    </row>
    <row r="1775" spans="2:23">
      <c r="B1775" s="76" t="str">
        <v>1954.0</v>
      </c>
      <c r="C1775" s="42" t="str">
        <v xml:space="preserve">19 Jun 1954 - 17:00 </v>
      </c>
      <c r="D1775" s="42" t="str">
        <v>Group 1</v>
      </c>
      <c r="E1775" s="42" t="str">
        <v>La Pontaise</v>
      </c>
      <c r="F1775" s="42" t="str">
        <v xml:space="preserve">Lausanne </v>
      </c>
      <c r="G1775" s="42" t="str">
        <v>Brazil</v>
      </c>
      <c r="H1775" s="42" t="str">
        <v>1.0</v>
      </c>
      <c r="I1775" s="42" t="str">
        <v>1.0</v>
      </c>
      <c r="J1775" s="42" t="str">
        <v>Yugoslavia</v>
      </c>
      <c r="K1775" s="42" t="str">
        <v xml:space="preserve"> </v>
      </c>
      <c r="L1775" s="42" t="str">
        <f t="shared" si="138"/>
        <v xml:space="preserve">1954.0|19 Jun 1954 - 17:00 |Group 1|La Pontaise|Lausanne |Brazil|1.0|1.0|Yugoslavia| </v>
      </c>
      <c r="M1775" s="42" t="str">
        <f>IF(COUNTIF($L$1689:L1775,L1775)&gt;1,"DOUBLON","OK")</f>
        <v>OK</v>
      </c>
      <c r="S1775" s="12" t="str">
        <v>Egypt</v>
      </c>
      <c r="T1775" s="12" t="str">
        <f t="shared" si="139"/>
        <v>OK</v>
      </c>
      <c r="U1775" s="12" t="str">
        <f t="shared" si="140"/>
        <v>-</v>
      </c>
      <c r="V1775" s="12" t="str" cm="1">
        <f t="array" ref="V1775">_xlfn.IFS(
ISNUMBER(SEARCH("USA",S1775)),"United States",
ISNUMBER(SEARCH("Republic of Ireland",S1775)),"Ireland",
ISNUMBER(SEARCH("Republic of Korea",S1775)),"South Korea",
ISNUMBER(SEARCH("Cape Verde",S1775)),"Cabo Verde",
ISNUMBER(SEARCH("Czechia",S1775)),"Czech Republic",
ISNUMBER(SEARCH("Türkiye",S1775)),"Turkey",
ISNUMBER(SEARCH("Ivory Coast",S1775)),"Côte d'Ivoire",
ISNUMBER(SEARCH("Korea Republic",S1775)),"South Korea",
ISNUMBER(SEARCH("Germany FR",S1775)),"FR Germany",
ISNUMBER(SEARCH("West Germany",S1775)),"FR Germany",
ISNUMBER(SEARCH("Germany DR",S1775)),"DR Germany",
ISNUMBER(SEARCH("Korea DPR",S1775)),"North Korea",
ISNUMBER(SEARCH("China PR",S1775)),"China",
ISNUMBER(SEARCH("IR Iran",S1775)),"Iran",
ISNUMBER(SEARCH("Congo DR",S1775)),"Democratic Republic of the Congo",
ISNUMBER(SEARCH("DR Congo",S1775)),"Democratic Republic of the Congo",
ISNUMBER(SEARCH("German DR",S1775)),"DR Germany",
ISNUMBER(SEARCH("rn""&gt;United Arab Emirates",S1775)),"United Arab Emirates",
ISNUMBER(SEARCH("rn""&gt;Republic of Ireland",S1775)),"Ireland",
ISNUMBER(SEARCH("rn""&gt;Bosnia and Herzegovina",S1775)),"Bosnia and Herzegovina",
ISNUMBER(SEARCH("rn""&gt;Trinidad and Tobago",S1775)),"Trinidad and Tobago",
ISNUMBER(SEARCH("rn""&gt;Serbia and Montenegro",S1775)),"Serbia and Montenegro",
ISNUMBER(SEARCH(_xlfn.UNICHAR(65533),S1775)),"Côte d'Ivoire",
TRUE,""
)</f>
        <v/>
      </c>
      <c r="W1775" s="12" t="str">
        <f t="shared" si="141"/>
        <v>Egypt</v>
      </c>
    </row>
    <row r="1776" spans="2:23">
      <c r="B1776" s="76" t="str">
        <v>1954.0</v>
      </c>
      <c r="C1776" s="42" t="str">
        <v xml:space="preserve">20 Jun 1954 - 16:50 </v>
      </c>
      <c r="D1776" s="42" t="str">
        <v>Group 2</v>
      </c>
      <c r="E1776" s="42" t="str">
        <v>St. Jakob</v>
      </c>
      <c r="F1776" s="42" t="str">
        <v xml:space="preserve">Basel </v>
      </c>
      <c r="G1776" s="42" t="str">
        <v>Hungary</v>
      </c>
      <c r="H1776" s="42" t="str">
        <v>8.0</v>
      </c>
      <c r="I1776" s="42" t="str">
        <v>3.0</v>
      </c>
      <c r="J1776" s="42" t="str">
        <v>Germany FR</v>
      </c>
      <c r="K1776" s="42" t="str">
        <v xml:space="preserve"> </v>
      </c>
      <c r="L1776" s="42" t="str">
        <f t="shared" si="138"/>
        <v xml:space="preserve">1954.0|20 Jun 1954 - 16:50 |Group 2|St. Jakob|Basel |Hungary|8.0|3.0|Germany FR| </v>
      </c>
      <c r="M1776" s="42" t="str">
        <f>IF(COUNTIF($L$1689:L1776,L1776)&gt;1,"DOUBLON","OK")</f>
        <v>OK</v>
      </c>
      <c r="S1776" s="12" t="str">
        <v>Egypt</v>
      </c>
      <c r="T1776" s="12" t="str">
        <f t="shared" si="139"/>
        <v>OK</v>
      </c>
      <c r="U1776" s="12" t="str">
        <f t="shared" si="140"/>
        <v>-</v>
      </c>
      <c r="V1776" s="12" t="str" cm="1">
        <f t="array" ref="V1776">_xlfn.IFS(
ISNUMBER(SEARCH("USA",S1776)),"United States",
ISNUMBER(SEARCH("Republic of Ireland",S1776)),"Ireland",
ISNUMBER(SEARCH("Republic of Korea",S1776)),"South Korea",
ISNUMBER(SEARCH("Cape Verde",S1776)),"Cabo Verde",
ISNUMBER(SEARCH("Czechia",S1776)),"Czech Republic",
ISNUMBER(SEARCH("Türkiye",S1776)),"Turkey",
ISNUMBER(SEARCH("Ivory Coast",S1776)),"Côte d'Ivoire",
ISNUMBER(SEARCH("Korea Republic",S1776)),"South Korea",
ISNUMBER(SEARCH("Germany FR",S1776)),"FR Germany",
ISNUMBER(SEARCH("West Germany",S1776)),"FR Germany",
ISNUMBER(SEARCH("Germany DR",S1776)),"DR Germany",
ISNUMBER(SEARCH("Korea DPR",S1776)),"North Korea",
ISNUMBER(SEARCH("China PR",S1776)),"China",
ISNUMBER(SEARCH("IR Iran",S1776)),"Iran",
ISNUMBER(SEARCH("Congo DR",S1776)),"Democratic Republic of the Congo",
ISNUMBER(SEARCH("DR Congo",S1776)),"Democratic Republic of the Congo",
ISNUMBER(SEARCH("German DR",S1776)),"DR Germany",
ISNUMBER(SEARCH("rn""&gt;United Arab Emirates",S1776)),"United Arab Emirates",
ISNUMBER(SEARCH("rn""&gt;Republic of Ireland",S1776)),"Ireland",
ISNUMBER(SEARCH("rn""&gt;Bosnia and Herzegovina",S1776)),"Bosnia and Herzegovina",
ISNUMBER(SEARCH("rn""&gt;Trinidad and Tobago",S1776)),"Trinidad and Tobago",
ISNUMBER(SEARCH("rn""&gt;Serbia and Montenegro",S1776)),"Serbia and Montenegro",
ISNUMBER(SEARCH(_xlfn.UNICHAR(65533),S1776)),"Côte d'Ivoire",
TRUE,""
)</f>
        <v/>
      </c>
      <c r="W1776" s="12" t="str">
        <f t="shared" si="141"/>
        <v>Egypt</v>
      </c>
    </row>
    <row r="1777" spans="2:23">
      <c r="B1777" s="76" t="str">
        <v>1954.0</v>
      </c>
      <c r="C1777" s="42" t="str">
        <v xml:space="preserve">20 Jun 1954 - 17:00 </v>
      </c>
      <c r="D1777" s="42" t="str">
        <v>Group 2</v>
      </c>
      <c r="E1777" s="42" t="str">
        <v>Charmilles</v>
      </c>
      <c r="F1777" s="42" t="str">
        <v xml:space="preserve">Geneva </v>
      </c>
      <c r="G1777" s="42" t="str">
        <v>Turkey</v>
      </c>
      <c r="H1777" s="42" t="str">
        <v>7.0</v>
      </c>
      <c r="I1777" s="42" t="str">
        <v>0.0</v>
      </c>
      <c r="J1777" s="42" t="str">
        <v>Korea Republic</v>
      </c>
      <c r="K1777" s="42" t="str">
        <v xml:space="preserve"> </v>
      </c>
      <c r="L1777" s="42" t="str">
        <f t="shared" si="138"/>
        <v xml:space="preserve">1954.0|20 Jun 1954 - 17:00 |Group 2|Charmilles|Geneva |Turkey|7.0|0.0|Korea Republic| </v>
      </c>
      <c r="M1777" s="42" t="str">
        <f>IF(COUNTIF($L$1689:L1777,L1777)&gt;1,"DOUBLON","OK")</f>
        <v>OK</v>
      </c>
      <c r="S1777" s="12" t="str">
        <v>Egypt</v>
      </c>
      <c r="T1777" s="12" t="str">
        <f t="shared" si="139"/>
        <v>OK</v>
      </c>
      <c r="U1777" s="12" t="str">
        <f t="shared" si="140"/>
        <v>-</v>
      </c>
      <c r="V1777" s="12" t="str" cm="1">
        <f t="array" ref="V1777">_xlfn.IFS(
ISNUMBER(SEARCH("USA",S1777)),"United States",
ISNUMBER(SEARCH("Republic of Ireland",S1777)),"Ireland",
ISNUMBER(SEARCH("Republic of Korea",S1777)),"South Korea",
ISNUMBER(SEARCH("Cape Verde",S1777)),"Cabo Verde",
ISNUMBER(SEARCH("Czechia",S1777)),"Czech Republic",
ISNUMBER(SEARCH("Türkiye",S1777)),"Turkey",
ISNUMBER(SEARCH("Ivory Coast",S1777)),"Côte d'Ivoire",
ISNUMBER(SEARCH("Korea Republic",S1777)),"South Korea",
ISNUMBER(SEARCH("Germany FR",S1777)),"FR Germany",
ISNUMBER(SEARCH("West Germany",S1777)),"FR Germany",
ISNUMBER(SEARCH("Germany DR",S1777)),"DR Germany",
ISNUMBER(SEARCH("Korea DPR",S1777)),"North Korea",
ISNUMBER(SEARCH("China PR",S1777)),"China",
ISNUMBER(SEARCH("IR Iran",S1777)),"Iran",
ISNUMBER(SEARCH("Congo DR",S1777)),"Democratic Republic of the Congo",
ISNUMBER(SEARCH("DR Congo",S1777)),"Democratic Republic of the Congo",
ISNUMBER(SEARCH("German DR",S1777)),"DR Germany",
ISNUMBER(SEARCH("rn""&gt;United Arab Emirates",S1777)),"United Arab Emirates",
ISNUMBER(SEARCH("rn""&gt;Republic of Ireland",S1777)),"Ireland",
ISNUMBER(SEARCH("rn""&gt;Bosnia and Herzegovina",S1777)),"Bosnia and Herzegovina",
ISNUMBER(SEARCH("rn""&gt;Trinidad and Tobago",S1777)),"Trinidad and Tobago",
ISNUMBER(SEARCH("rn""&gt;Serbia and Montenegro",S1777)),"Serbia and Montenegro",
ISNUMBER(SEARCH(_xlfn.UNICHAR(65533),S1777)),"Côte d'Ivoire",
TRUE,""
)</f>
        <v/>
      </c>
      <c r="W1777" s="12" t="str">
        <f t="shared" si="141"/>
        <v>Egypt</v>
      </c>
    </row>
    <row r="1778" spans="2:23">
      <c r="B1778" s="76" t="str">
        <v>1954.0</v>
      </c>
      <c r="C1778" s="42" t="str">
        <v xml:space="preserve">20 Jun 1954 - 17:10 </v>
      </c>
      <c r="D1778" s="42" t="str">
        <v>Group 4</v>
      </c>
      <c r="E1778" s="42" t="str">
        <v>Wankdorf Stadium</v>
      </c>
      <c r="F1778" s="42" t="str">
        <v xml:space="preserve">Berne </v>
      </c>
      <c r="G1778" s="42" t="str">
        <v>England</v>
      </c>
      <c r="H1778" s="42" t="str">
        <v>2.0</v>
      </c>
      <c r="I1778" s="42" t="str">
        <v>0.0</v>
      </c>
      <c r="J1778" s="42" t="str">
        <v>Switzerland</v>
      </c>
      <c r="K1778" s="42" t="str">
        <v xml:space="preserve"> </v>
      </c>
      <c r="L1778" s="42" t="str">
        <f t="shared" si="138"/>
        <v xml:space="preserve">1954.0|20 Jun 1954 - 17:10 |Group 4|Wankdorf Stadium|Berne |England|2.0|0.0|Switzerland| </v>
      </c>
      <c r="M1778" s="42" t="str">
        <f>IF(COUNTIF($L$1689:L1778,L1778)&gt;1,"DOUBLON","OK")</f>
        <v>OK</v>
      </c>
      <c r="S1778" s="12" t="str">
        <v>Egypt</v>
      </c>
      <c r="T1778" s="12" t="str">
        <f t="shared" si="139"/>
        <v>OK</v>
      </c>
      <c r="U1778" s="12" t="str">
        <f t="shared" si="140"/>
        <v>-</v>
      </c>
      <c r="V1778" s="12" t="str" cm="1">
        <f t="array" ref="V1778">_xlfn.IFS(
ISNUMBER(SEARCH("USA",S1778)),"United States",
ISNUMBER(SEARCH("Republic of Ireland",S1778)),"Ireland",
ISNUMBER(SEARCH("Republic of Korea",S1778)),"South Korea",
ISNUMBER(SEARCH("Cape Verde",S1778)),"Cabo Verde",
ISNUMBER(SEARCH("Czechia",S1778)),"Czech Republic",
ISNUMBER(SEARCH("Türkiye",S1778)),"Turkey",
ISNUMBER(SEARCH("Ivory Coast",S1778)),"Côte d'Ivoire",
ISNUMBER(SEARCH("Korea Republic",S1778)),"South Korea",
ISNUMBER(SEARCH("Germany FR",S1778)),"FR Germany",
ISNUMBER(SEARCH("West Germany",S1778)),"FR Germany",
ISNUMBER(SEARCH("Germany DR",S1778)),"DR Germany",
ISNUMBER(SEARCH("Korea DPR",S1778)),"North Korea",
ISNUMBER(SEARCH("China PR",S1778)),"China",
ISNUMBER(SEARCH("IR Iran",S1778)),"Iran",
ISNUMBER(SEARCH("Congo DR",S1778)),"Democratic Republic of the Congo",
ISNUMBER(SEARCH("DR Congo",S1778)),"Democratic Republic of the Congo",
ISNUMBER(SEARCH("German DR",S1778)),"DR Germany",
ISNUMBER(SEARCH("rn""&gt;United Arab Emirates",S1778)),"United Arab Emirates",
ISNUMBER(SEARCH("rn""&gt;Republic of Ireland",S1778)),"Ireland",
ISNUMBER(SEARCH("rn""&gt;Bosnia and Herzegovina",S1778)),"Bosnia and Herzegovina",
ISNUMBER(SEARCH("rn""&gt;Trinidad and Tobago",S1778)),"Trinidad and Tobago",
ISNUMBER(SEARCH("rn""&gt;Serbia and Montenegro",S1778)),"Serbia and Montenegro",
ISNUMBER(SEARCH(_xlfn.UNICHAR(65533),S1778)),"Côte d'Ivoire",
TRUE,""
)</f>
        <v/>
      </c>
      <c r="W1778" s="12" t="str">
        <f t="shared" si="141"/>
        <v>Egypt</v>
      </c>
    </row>
    <row r="1779" spans="2:23">
      <c r="B1779" s="76" t="str">
        <v>1954.0</v>
      </c>
      <c r="C1779" s="42" t="str">
        <v xml:space="preserve">20 Jun 1954 - 17:00 </v>
      </c>
      <c r="D1779" s="42" t="str">
        <v>Group 4</v>
      </c>
      <c r="E1779" s="42" t="str">
        <v>Comunale di Cornaredo</v>
      </c>
      <c r="F1779" s="42" t="str">
        <v xml:space="preserve">Lugano </v>
      </c>
      <c r="G1779" s="42" t="str">
        <v>Italy</v>
      </c>
      <c r="H1779" s="42" t="str">
        <v>4.0</v>
      </c>
      <c r="I1779" s="42" t="str">
        <v>1.0</v>
      </c>
      <c r="J1779" s="42" t="str">
        <v>Belgium</v>
      </c>
      <c r="K1779" s="42" t="str">
        <v xml:space="preserve"> </v>
      </c>
      <c r="L1779" s="42" t="str">
        <f t="shared" si="138"/>
        <v xml:space="preserve">1954.0|20 Jun 1954 - 17:00 |Group 4|Comunale di Cornaredo|Lugano |Italy|4.0|1.0|Belgium| </v>
      </c>
      <c r="M1779" s="42" t="str">
        <f>IF(COUNTIF($L$1689:L1779,L1779)&gt;1,"DOUBLON","OK")</f>
        <v>OK</v>
      </c>
      <c r="S1779" s="12" t="str">
        <v>Egypt</v>
      </c>
      <c r="T1779" s="12" t="str">
        <f t="shared" si="139"/>
        <v>OK</v>
      </c>
      <c r="U1779" s="12" t="str">
        <f t="shared" si="140"/>
        <v>-</v>
      </c>
      <c r="V1779" s="12" t="str" cm="1">
        <f t="array" ref="V1779">_xlfn.IFS(
ISNUMBER(SEARCH("USA",S1779)),"United States",
ISNUMBER(SEARCH("Republic of Ireland",S1779)),"Ireland",
ISNUMBER(SEARCH("Republic of Korea",S1779)),"South Korea",
ISNUMBER(SEARCH("Cape Verde",S1779)),"Cabo Verde",
ISNUMBER(SEARCH("Czechia",S1779)),"Czech Republic",
ISNUMBER(SEARCH("Türkiye",S1779)),"Turkey",
ISNUMBER(SEARCH("Ivory Coast",S1779)),"Côte d'Ivoire",
ISNUMBER(SEARCH("Korea Republic",S1779)),"South Korea",
ISNUMBER(SEARCH("Germany FR",S1779)),"FR Germany",
ISNUMBER(SEARCH("West Germany",S1779)),"FR Germany",
ISNUMBER(SEARCH("Germany DR",S1779)),"DR Germany",
ISNUMBER(SEARCH("Korea DPR",S1779)),"North Korea",
ISNUMBER(SEARCH("China PR",S1779)),"China",
ISNUMBER(SEARCH("IR Iran",S1779)),"Iran",
ISNUMBER(SEARCH("Congo DR",S1779)),"Democratic Republic of the Congo",
ISNUMBER(SEARCH("DR Congo",S1779)),"Democratic Republic of the Congo",
ISNUMBER(SEARCH("German DR",S1779)),"DR Germany",
ISNUMBER(SEARCH("rn""&gt;United Arab Emirates",S1779)),"United Arab Emirates",
ISNUMBER(SEARCH("rn""&gt;Republic of Ireland",S1779)),"Ireland",
ISNUMBER(SEARCH("rn""&gt;Bosnia and Herzegovina",S1779)),"Bosnia and Herzegovina",
ISNUMBER(SEARCH("rn""&gt;Trinidad and Tobago",S1779)),"Trinidad and Tobago",
ISNUMBER(SEARCH("rn""&gt;Serbia and Montenegro",S1779)),"Serbia and Montenegro",
ISNUMBER(SEARCH(_xlfn.UNICHAR(65533),S1779)),"Côte d'Ivoire",
TRUE,""
)</f>
        <v/>
      </c>
      <c r="W1779" s="12" t="str">
        <f t="shared" si="141"/>
        <v>Egypt</v>
      </c>
    </row>
    <row r="1780" spans="2:23">
      <c r="B1780" s="76" t="str">
        <v>1954.0</v>
      </c>
      <c r="C1780" s="42" t="str">
        <v xml:space="preserve">23 Jun 1954 - 18:00 </v>
      </c>
      <c r="D1780" s="42" t="str">
        <v>Group 2</v>
      </c>
      <c r="E1780" s="42" t="str">
        <v>Hardturm</v>
      </c>
      <c r="F1780" s="42" t="str">
        <v xml:space="preserve">Zurich </v>
      </c>
      <c r="G1780" s="42" t="str">
        <v>Germany FR</v>
      </c>
      <c r="H1780" s="42" t="str">
        <v>7.0</v>
      </c>
      <c r="I1780" s="42" t="str">
        <v>2.0</v>
      </c>
      <c r="J1780" s="42" t="str">
        <v>Turkey</v>
      </c>
      <c r="K1780" s="42" t="str">
        <v xml:space="preserve"> </v>
      </c>
      <c r="L1780" s="42" t="str">
        <f t="shared" si="138"/>
        <v xml:space="preserve">1954.0|23 Jun 1954 - 18:00 |Group 2|Hardturm|Zurich |Germany FR|7.0|2.0|Turkey| </v>
      </c>
      <c r="M1780" s="42" t="str">
        <f>IF(COUNTIF($L$1689:L1780,L1780)&gt;1,"DOUBLON","OK")</f>
        <v>OK</v>
      </c>
      <c r="S1780" s="12" t="str">
        <v>Egypt</v>
      </c>
      <c r="T1780" s="12" t="str">
        <f t="shared" si="139"/>
        <v>OK</v>
      </c>
      <c r="U1780" s="12" t="str">
        <f t="shared" si="140"/>
        <v>-</v>
      </c>
      <c r="V1780" s="12" t="str" cm="1">
        <f t="array" ref="V1780">_xlfn.IFS(
ISNUMBER(SEARCH("USA",S1780)),"United States",
ISNUMBER(SEARCH("Republic of Ireland",S1780)),"Ireland",
ISNUMBER(SEARCH("Republic of Korea",S1780)),"South Korea",
ISNUMBER(SEARCH("Cape Verde",S1780)),"Cabo Verde",
ISNUMBER(SEARCH("Czechia",S1780)),"Czech Republic",
ISNUMBER(SEARCH("Türkiye",S1780)),"Turkey",
ISNUMBER(SEARCH("Ivory Coast",S1780)),"Côte d'Ivoire",
ISNUMBER(SEARCH("Korea Republic",S1780)),"South Korea",
ISNUMBER(SEARCH("Germany FR",S1780)),"FR Germany",
ISNUMBER(SEARCH("West Germany",S1780)),"FR Germany",
ISNUMBER(SEARCH("Germany DR",S1780)),"DR Germany",
ISNUMBER(SEARCH("Korea DPR",S1780)),"North Korea",
ISNUMBER(SEARCH("China PR",S1780)),"China",
ISNUMBER(SEARCH("IR Iran",S1780)),"Iran",
ISNUMBER(SEARCH("Congo DR",S1780)),"Democratic Republic of the Congo",
ISNUMBER(SEARCH("DR Congo",S1780)),"Democratic Republic of the Congo",
ISNUMBER(SEARCH("German DR",S1780)),"DR Germany",
ISNUMBER(SEARCH("rn""&gt;United Arab Emirates",S1780)),"United Arab Emirates",
ISNUMBER(SEARCH("rn""&gt;Republic of Ireland",S1780)),"Ireland",
ISNUMBER(SEARCH("rn""&gt;Bosnia and Herzegovina",S1780)),"Bosnia and Herzegovina",
ISNUMBER(SEARCH("rn""&gt;Trinidad and Tobago",S1780)),"Trinidad and Tobago",
ISNUMBER(SEARCH("rn""&gt;Serbia and Montenegro",S1780)),"Serbia and Montenegro",
ISNUMBER(SEARCH(_xlfn.UNICHAR(65533),S1780)),"Côte d'Ivoire",
TRUE,""
)</f>
        <v/>
      </c>
      <c r="W1780" s="12" t="str">
        <f t="shared" si="141"/>
        <v>Egypt</v>
      </c>
    </row>
    <row r="1781" spans="2:23">
      <c r="B1781" s="76" t="str">
        <v>1954.0</v>
      </c>
      <c r="C1781" s="42" t="str">
        <v xml:space="preserve">23 Jun 1954 - 18:00 </v>
      </c>
      <c r="D1781" s="42" t="str">
        <v>Group 4</v>
      </c>
      <c r="E1781" s="42" t="str">
        <v>St. Jakob</v>
      </c>
      <c r="F1781" s="42" t="str">
        <v xml:space="preserve">Basel </v>
      </c>
      <c r="G1781" s="42" t="str">
        <v>Switzerland</v>
      </c>
      <c r="H1781" s="42" t="str">
        <v>4.0</v>
      </c>
      <c r="I1781" s="42" t="str">
        <v>1.0</v>
      </c>
      <c r="J1781" s="42" t="str">
        <v>Italy</v>
      </c>
      <c r="K1781" s="42" t="str">
        <v xml:space="preserve"> </v>
      </c>
      <c r="L1781" s="42" t="str">
        <f t="shared" si="138"/>
        <v xml:space="preserve">1954.0|23 Jun 1954 - 18:00 |Group 4|St. Jakob|Basel |Switzerland|4.0|1.0|Italy| </v>
      </c>
      <c r="M1781" s="42" t="str">
        <f>IF(COUNTIF($L$1689:L1781,L1781)&gt;1,"DOUBLON","OK")</f>
        <v>OK</v>
      </c>
      <c r="S1781" s="12" t="str">
        <v>Egypt</v>
      </c>
      <c r="T1781" s="12" t="str">
        <f t="shared" si="139"/>
        <v>OK</v>
      </c>
      <c r="U1781" s="12" t="str">
        <f t="shared" si="140"/>
        <v>-</v>
      </c>
      <c r="V1781" s="12" t="str" cm="1">
        <f t="array" ref="V1781">_xlfn.IFS(
ISNUMBER(SEARCH("USA",S1781)),"United States",
ISNUMBER(SEARCH("Republic of Ireland",S1781)),"Ireland",
ISNUMBER(SEARCH("Republic of Korea",S1781)),"South Korea",
ISNUMBER(SEARCH("Cape Verde",S1781)),"Cabo Verde",
ISNUMBER(SEARCH("Czechia",S1781)),"Czech Republic",
ISNUMBER(SEARCH("Türkiye",S1781)),"Turkey",
ISNUMBER(SEARCH("Ivory Coast",S1781)),"Côte d'Ivoire",
ISNUMBER(SEARCH("Korea Republic",S1781)),"South Korea",
ISNUMBER(SEARCH("Germany FR",S1781)),"FR Germany",
ISNUMBER(SEARCH("West Germany",S1781)),"FR Germany",
ISNUMBER(SEARCH("Germany DR",S1781)),"DR Germany",
ISNUMBER(SEARCH("Korea DPR",S1781)),"North Korea",
ISNUMBER(SEARCH("China PR",S1781)),"China",
ISNUMBER(SEARCH("IR Iran",S1781)),"Iran",
ISNUMBER(SEARCH("Congo DR",S1781)),"Democratic Republic of the Congo",
ISNUMBER(SEARCH("DR Congo",S1781)),"Democratic Republic of the Congo",
ISNUMBER(SEARCH("German DR",S1781)),"DR Germany",
ISNUMBER(SEARCH("rn""&gt;United Arab Emirates",S1781)),"United Arab Emirates",
ISNUMBER(SEARCH("rn""&gt;Republic of Ireland",S1781)),"Ireland",
ISNUMBER(SEARCH("rn""&gt;Bosnia and Herzegovina",S1781)),"Bosnia and Herzegovina",
ISNUMBER(SEARCH("rn""&gt;Trinidad and Tobago",S1781)),"Trinidad and Tobago",
ISNUMBER(SEARCH("rn""&gt;Serbia and Montenegro",S1781)),"Serbia and Montenegro",
ISNUMBER(SEARCH(_xlfn.UNICHAR(65533),S1781)),"Côte d'Ivoire",
TRUE,""
)</f>
        <v/>
      </c>
      <c r="W1781" s="12" t="str">
        <f t="shared" si="141"/>
        <v>Egypt</v>
      </c>
    </row>
    <row r="1782" spans="2:23">
      <c r="B1782" s="76" t="str">
        <v>1954.0</v>
      </c>
      <c r="C1782" s="42" t="str">
        <v xml:space="preserve">26 Jun 1954 - 17:00 </v>
      </c>
      <c r="D1782" s="42" t="str">
        <v>Quarter-finals</v>
      </c>
      <c r="E1782" s="42" t="str">
        <v>St. Jakob</v>
      </c>
      <c r="F1782" s="42" t="str">
        <v xml:space="preserve">Basel </v>
      </c>
      <c r="G1782" s="42" t="str">
        <v>Uruguay</v>
      </c>
      <c r="H1782" s="42" t="str">
        <v>4.0</v>
      </c>
      <c r="I1782" s="42" t="str">
        <v>2.0</v>
      </c>
      <c r="J1782" s="42" t="str">
        <v>England</v>
      </c>
      <c r="K1782" s="42" t="str">
        <v xml:space="preserve"> </v>
      </c>
      <c r="L1782" s="42" t="str">
        <f t="shared" si="138"/>
        <v xml:space="preserve">1954.0|26 Jun 1954 - 17:00 |Quarter-finals|St. Jakob|Basel |Uruguay|4.0|2.0|England| </v>
      </c>
      <c r="M1782" s="42" t="str">
        <f>IF(COUNTIF($L$1689:L1782,L1782)&gt;1,"DOUBLON","OK")</f>
        <v>OK</v>
      </c>
      <c r="S1782" s="12" t="str">
        <v>Egypt</v>
      </c>
      <c r="T1782" s="12" t="str">
        <f t="shared" si="139"/>
        <v>OK</v>
      </c>
      <c r="U1782" s="12" t="str">
        <f t="shared" si="140"/>
        <v>-</v>
      </c>
      <c r="V1782" s="12" t="str" cm="1">
        <f t="array" ref="V1782">_xlfn.IFS(
ISNUMBER(SEARCH("USA",S1782)),"United States",
ISNUMBER(SEARCH("Republic of Ireland",S1782)),"Ireland",
ISNUMBER(SEARCH("Republic of Korea",S1782)),"South Korea",
ISNUMBER(SEARCH("Cape Verde",S1782)),"Cabo Verde",
ISNUMBER(SEARCH("Czechia",S1782)),"Czech Republic",
ISNUMBER(SEARCH("Türkiye",S1782)),"Turkey",
ISNUMBER(SEARCH("Ivory Coast",S1782)),"Côte d'Ivoire",
ISNUMBER(SEARCH("Korea Republic",S1782)),"South Korea",
ISNUMBER(SEARCH("Germany FR",S1782)),"FR Germany",
ISNUMBER(SEARCH("West Germany",S1782)),"FR Germany",
ISNUMBER(SEARCH("Germany DR",S1782)),"DR Germany",
ISNUMBER(SEARCH("Korea DPR",S1782)),"North Korea",
ISNUMBER(SEARCH("China PR",S1782)),"China",
ISNUMBER(SEARCH("IR Iran",S1782)),"Iran",
ISNUMBER(SEARCH("Congo DR",S1782)),"Democratic Republic of the Congo",
ISNUMBER(SEARCH("DR Congo",S1782)),"Democratic Republic of the Congo",
ISNUMBER(SEARCH("German DR",S1782)),"DR Germany",
ISNUMBER(SEARCH("rn""&gt;United Arab Emirates",S1782)),"United Arab Emirates",
ISNUMBER(SEARCH("rn""&gt;Republic of Ireland",S1782)),"Ireland",
ISNUMBER(SEARCH("rn""&gt;Bosnia and Herzegovina",S1782)),"Bosnia and Herzegovina",
ISNUMBER(SEARCH("rn""&gt;Trinidad and Tobago",S1782)),"Trinidad and Tobago",
ISNUMBER(SEARCH("rn""&gt;Serbia and Montenegro",S1782)),"Serbia and Montenegro",
ISNUMBER(SEARCH(_xlfn.UNICHAR(65533),S1782)),"Côte d'Ivoire",
TRUE,""
)</f>
        <v/>
      </c>
      <c r="W1782" s="12" t="str">
        <f t="shared" si="141"/>
        <v>Egypt</v>
      </c>
    </row>
    <row r="1783" spans="2:23">
      <c r="B1783" s="76" t="str">
        <v>1954.0</v>
      </c>
      <c r="C1783" s="42" t="str">
        <v xml:space="preserve">26 Jun 1954 - 17:00 </v>
      </c>
      <c r="D1783" s="42" t="str">
        <v>Quarter-finals</v>
      </c>
      <c r="E1783" s="42" t="str">
        <v>La Pontaise</v>
      </c>
      <c r="F1783" s="42" t="str">
        <v xml:space="preserve">Lausanne </v>
      </c>
      <c r="G1783" s="42" t="str">
        <v>Austria</v>
      </c>
      <c r="H1783" s="42" t="str">
        <v>7.0</v>
      </c>
      <c r="I1783" s="42" t="str">
        <v>5.0</v>
      </c>
      <c r="J1783" s="42" t="str">
        <v>Switzerland</v>
      </c>
      <c r="K1783" s="42" t="str">
        <v xml:space="preserve"> </v>
      </c>
      <c r="L1783" s="42" t="str">
        <f t="shared" si="138"/>
        <v xml:space="preserve">1954.0|26 Jun 1954 - 17:00 |Quarter-finals|La Pontaise|Lausanne |Austria|7.0|5.0|Switzerland| </v>
      </c>
      <c r="M1783" s="42" t="str">
        <f>IF(COUNTIF($L$1689:L1783,L1783)&gt;1,"DOUBLON","OK")</f>
        <v>OK</v>
      </c>
      <c r="S1783" s="12" t="str">
        <v>Egypt</v>
      </c>
      <c r="T1783" s="12" t="str">
        <f t="shared" si="139"/>
        <v>OK</v>
      </c>
      <c r="U1783" s="12" t="str">
        <f t="shared" si="140"/>
        <v>-</v>
      </c>
      <c r="V1783" s="12" t="str" cm="1">
        <f t="array" ref="V1783">_xlfn.IFS(
ISNUMBER(SEARCH("USA",S1783)),"United States",
ISNUMBER(SEARCH("Republic of Ireland",S1783)),"Ireland",
ISNUMBER(SEARCH("Republic of Korea",S1783)),"South Korea",
ISNUMBER(SEARCH("Cape Verde",S1783)),"Cabo Verde",
ISNUMBER(SEARCH("Czechia",S1783)),"Czech Republic",
ISNUMBER(SEARCH("Türkiye",S1783)),"Turkey",
ISNUMBER(SEARCH("Ivory Coast",S1783)),"Côte d'Ivoire",
ISNUMBER(SEARCH("Korea Republic",S1783)),"South Korea",
ISNUMBER(SEARCH("Germany FR",S1783)),"FR Germany",
ISNUMBER(SEARCH("West Germany",S1783)),"FR Germany",
ISNUMBER(SEARCH("Germany DR",S1783)),"DR Germany",
ISNUMBER(SEARCH("Korea DPR",S1783)),"North Korea",
ISNUMBER(SEARCH("China PR",S1783)),"China",
ISNUMBER(SEARCH("IR Iran",S1783)),"Iran",
ISNUMBER(SEARCH("Congo DR",S1783)),"Democratic Republic of the Congo",
ISNUMBER(SEARCH("DR Congo",S1783)),"Democratic Republic of the Congo",
ISNUMBER(SEARCH("German DR",S1783)),"DR Germany",
ISNUMBER(SEARCH("rn""&gt;United Arab Emirates",S1783)),"United Arab Emirates",
ISNUMBER(SEARCH("rn""&gt;Republic of Ireland",S1783)),"Ireland",
ISNUMBER(SEARCH("rn""&gt;Bosnia and Herzegovina",S1783)),"Bosnia and Herzegovina",
ISNUMBER(SEARCH("rn""&gt;Trinidad and Tobago",S1783)),"Trinidad and Tobago",
ISNUMBER(SEARCH("rn""&gt;Serbia and Montenegro",S1783)),"Serbia and Montenegro",
ISNUMBER(SEARCH(_xlfn.UNICHAR(65533),S1783)),"Côte d'Ivoire",
TRUE,""
)</f>
        <v/>
      </c>
      <c r="W1783" s="12" t="str">
        <f t="shared" si="141"/>
        <v>Egypt</v>
      </c>
    </row>
    <row r="1784" spans="2:23">
      <c r="B1784" s="76" t="str">
        <v>1954.0</v>
      </c>
      <c r="C1784" s="42" t="str">
        <v xml:space="preserve">27 Jun 1954 - 17:00 </v>
      </c>
      <c r="D1784" s="42" t="str">
        <v>Quarter-finals</v>
      </c>
      <c r="E1784" s="42" t="str">
        <v>Charmilles</v>
      </c>
      <c r="F1784" s="42" t="str">
        <v xml:space="preserve">Geneva </v>
      </c>
      <c r="G1784" s="42" t="str">
        <v>Germany FR</v>
      </c>
      <c r="H1784" s="42" t="str">
        <v>2.0</v>
      </c>
      <c r="I1784" s="42" t="str">
        <v>0.0</v>
      </c>
      <c r="J1784" s="42" t="str">
        <v>Yugoslavia</v>
      </c>
      <c r="K1784" s="42" t="str">
        <v xml:space="preserve"> </v>
      </c>
      <c r="L1784" s="42" t="str">
        <f t="shared" si="138"/>
        <v xml:space="preserve">1954.0|27 Jun 1954 - 17:00 |Quarter-finals|Charmilles|Geneva |Germany FR|2.0|0.0|Yugoslavia| </v>
      </c>
      <c r="M1784" s="42" t="str">
        <f>IF(COUNTIF($L$1689:L1784,L1784)&gt;1,"DOUBLON","OK")</f>
        <v>OK</v>
      </c>
      <c r="S1784" s="12" t="str">
        <v>Egypt</v>
      </c>
      <c r="T1784" s="12" t="str">
        <f t="shared" si="139"/>
        <v>OK</v>
      </c>
      <c r="U1784" s="12" t="str">
        <f t="shared" si="140"/>
        <v>-</v>
      </c>
      <c r="V1784" s="12" t="str" cm="1">
        <f t="array" ref="V1784">_xlfn.IFS(
ISNUMBER(SEARCH("USA",S1784)),"United States",
ISNUMBER(SEARCH("Republic of Ireland",S1784)),"Ireland",
ISNUMBER(SEARCH("Republic of Korea",S1784)),"South Korea",
ISNUMBER(SEARCH("Cape Verde",S1784)),"Cabo Verde",
ISNUMBER(SEARCH("Czechia",S1784)),"Czech Republic",
ISNUMBER(SEARCH("Türkiye",S1784)),"Turkey",
ISNUMBER(SEARCH("Ivory Coast",S1784)),"Côte d'Ivoire",
ISNUMBER(SEARCH("Korea Republic",S1784)),"South Korea",
ISNUMBER(SEARCH("Germany FR",S1784)),"FR Germany",
ISNUMBER(SEARCH("West Germany",S1784)),"FR Germany",
ISNUMBER(SEARCH("Germany DR",S1784)),"DR Germany",
ISNUMBER(SEARCH("Korea DPR",S1784)),"North Korea",
ISNUMBER(SEARCH("China PR",S1784)),"China",
ISNUMBER(SEARCH("IR Iran",S1784)),"Iran",
ISNUMBER(SEARCH("Congo DR",S1784)),"Democratic Republic of the Congo",
ISNUMBER(SEARCH("DR Congo",S1784)),"Democratic Republic of the Congo",
ISNUMBER(SEARCH("German DR",S1784)),"DR Germany",
ISNUMBER(SEARCH("rn""&gt;United Arab Emirates",S1784)),"United Arab Emirates",
ISNUMBER(SEARCH("rn""&gt;Republic of Ireland",S1784)),"Ireland",
ISNUMBER(SEARCH("rn""&gt;Bosnia and Herzegovina",S1784)),"Bosnia and Herzegovina",
ISNUMBER(SEARCH("rn""&gt;Trinidad and Tobago",S1784)),"Trinidad and Tobago",
ISNUMBER(SEARCH("rn""&gt;Serbia and Montenegro",S1784)),"Serbia and Montenegro",
ISNUMBER(SEARCH(_xlfn.UNICHAR(65533),S1784)),"Côte d'Ivoire",
TRUE,""
)</f>
        <v/>
      </c>
      <c r="W1784" s="12" t="str">
        <f t="shared" si="141"/>
        <v>Egypt</v>
      </c>
    </row>
    <row r="1785" spans="2:23">
      <c r="B1785" s="76" t="str">
        <v>1954.0</v>
      </c>
      <c r="C1785" s="42" t="str">
        <v xml:space="preserve">27 Jun 1954 - 17:00 </v>
      </c>
      <c r="D1785" s="42" t="str">
        <v>Quarter-finals</v>
      </c>
      <c r="E1785" s="42" t="str">
        <v>Wankdorf Stadium</v>
      </c>
      <c r="F1785" s="42" t="str">
        <v xml:space="preserve">Berne </v>
      </c>
      <c r="G1785" s="42" t="str">
        <v>Hungary</v>
      </c>
      <c r="H1785" s="42" t="str">
        <v>4.0</v>
      </c>
      <c r="I1785" s="42" t="str">
        <v>2.0</v>
      </c>
      <c r="J1785" s="42" t="str">
        <v>Brazil</v>
      </c>
      <c r="K1785" s="42" t="str">
        <v xml:space="preserve"> </v>
      </c>
      <c r="L1785" s="42" t="str">
        <f t="shared" si="138"/>
        <v xml:space="preserve">1954.0|27 Jun 1954 - 17:00 |Quarter-finals|Wankdorf Stadium|Berne |Hungary|4.0|2.0|Brazil| </v>
      </c>
      <c r="M1785" s="42" t="str">
        <f>IF(COUNTIF($L$1689:L1785,L1785)&gt;1,"DOUBLON","OK")</f>
        <v>OK</v>
      </c>
      <c r="S1785" s="12" t="str">
        <v>Egypt</v>
      </c>
      <c r="T1785" s="12" t="str">
        <f t="shared" si="139"/>
        <v>OK</v>
      </c>
      <c r="U1785" s="12" t="str">
        <f t="shared" si="140"/>
        <v>-</v>
      </c>
      <c r="V1785" s="12" t="str" cm="1">
        <f t="array" ref="V1785">_xlfn.IFS(
ISNUMBER(SEARCH("USA",S1785)),"United States",
ISNUMBER(SEARCH("Republic of Ireland",S1785)),"Ireland",
ISNUMBER(SEARCH("Republic of Korea",S1785)),"South Korea",
ISNUMBER(SEARCH("Cape Verde",S1785)),"Cabo Verde",
ISNUMBER(SEARCH("Czechia",S1785)),"Czech Republic",
ISNUMBER(SEARCH("Türkiye",S1785)),"Turkey",
ISNUMBER(SEARCH("Ivory Coast",S1785)),"Côte d'Ivoire",
ISNUMBER(SEARCH("Korea Republic",S1785)),"South Korea",
ISNUMBER(SEARCH("Germany FR",S1785)),"FR Germany",
ISNUMBER(SEARCH("West Germany",S1785)),"FR Germany",
ISNUMBER(SEARCH("Germany DR",S1785)),"DR Germany",
ISNUMBER(SEARCH("Korea DPR",S1785)),"North Korea",
ISNUMBER(SEARCH("China PR",S1785)),"China",
ISNUMBER(SEARCH("IR Iran",S1785)),"Iran",
ISNUMBER(SEARCH("Congo DR",S1785)),"Democratic Republic of the Congo",
ISNUMBER(SEARCH("DR Congo",S1785)),"Democratic Republic of the Congo",
ISNUMBER(SEARCH("German DR",S1785)),"DR Germany",
ISNUMBER(SEARCH("rn""&gt;United Arab Emirates",S1785)),"United Arab Emirates",
ISNUMBER(SEARCH("rn""&gt;Republic of Ireland",S1785)),"Ireland",
ISNUMBER(SEARCH("rn""&gt;Bosnia and Herzegovina",S1785)),"Bosnia and Herzegovina",
ISNUMBER(SEARCH("rn""&gt;Trinidad and Tobago",S1785)),"Trinidad and Tobago",
ISNUMBER(SEARCH("rn""&gt;Serbia and Montenegro",S1785)),"Serbia and Montenegro",
ISNUMBER(SEARCH(_xlfn.UNICHAR(65533),S1785)),"Côte d'Ivoire",
TRUE,""
)</f>
        <v/>
      </c>
      <c r="W1785" s="12" t="str">
        <f t="shared" si="141"/>
        <v>Egypt</v>
      </c>
    </row>
    <row r="1786" spans="2:23">
      <c r="B1786" s="76" t="str">
        <v>1954.0</v>
      </c>
      <c r="C1786" s="42" t="str">
        <v xml:space="preserve">30 Jun 1954 - 18:00 </v>
      </c>
      <c r="D1786" s="42" t="str">
        <v>Semi-finals</v>
      </c>
      <c r="E1786" s="42" t="str">
        <v>St. Jakob</v>
      </c>
      <c r="F1786" s="42" t="str">
        <v xml:space="preserve">Basel </v>
      </c>
      <c r="G1786" s="42" t="str">
        <v>Germany FR</v>
      </c>
      <c r="H1786" s="42" t="str">
        <v>6.0</v>
      </c>
      <c r="I1786" s="42" t="str">
        <v>1.0</v>
      </c>
      <c r="J1786" s="42" t="str">
        <v>Austria</v>
      </c>
      <c r="K1786" s="42" t="str">
        <v xml:space="preserve"> </v>
      </c>
      <c r="L1786" s="42" t="str">
        <f t="shared" si="138"/>
        <v xml:space="preserve">1954.0|30 Jun 1954 - 18:00 |Semi-finals|St. Jakob|Basel |Germany FR|6.0|1.0|Austria| </v>
      </c>
      <c r="M1786" s="42" t="str">
        <f>IF(COUNTIF($L$1689:L1786,L1786)&gt;1,"DOUBLON","OK")</f>
        <v>OK</v>
      </c>
      <c r="S1786" s="12" t="str">
        <v>Egypt</v>
      </c>
      <c r="T1786" s="12" t="str">
        <f t="shared" si="139"/>
        <v>OK</v>
      </c>
      <c r="U1786" s="12" t="str">
        <f t="shared" si="140"/>
        <v>-</v>
      </c>
      <c r="V1786" s="12" t="str" cm="1">
        <f t="array" ref="V1786">_xlfn.IFS(
ISNUMBER(SEARCH("USA",S1786)),"United States",
ISNUMBER(SEARCH("Republic of Ireland",S1786)),"Ireland",
ISNUMBER(SEARCH("Republic of Korea",S1786)),"South Korea",
ISNUMBER(SEARCH("Cape Verde",S1786)),"Cabo Verde",
ISNUMBER(SEARCH("Czechia",S1786)),"Czech Republic",
ISNUMBER(SEARCH("Türkiye",S1786)),"Turkey",
ISNUMBER(SEARCH("Ivory Coast",S1786)),"Côte d'Ivoire",
ISNUMBER(SEARCH("Korea Republic",S1786)),"South Korea",
ISNUMBER(SEARCH("Germany FR",S1786)),"FR Germany",
ISNUMBER(SEARCH("West Germany",S1786)),"FR Germany",
ISNUMBER(SEARCH("Germany DR",S1786)),"DR Germany",
ISNUMBER(SEARCH("Korea DPR",S1786)),"North Korea",
ISNUMBER(SEARCH("China PR",S1786)),"China",
ISNUMBER(SEARCH("IR Iran",S1786)),"Iran",
ISNUMBER(SEARCH("Congo DR",S1786)),"Democratic Republic of the Congo",
ISNUMBER(SEARCH("DR Congo",S1786)),"Democratic Republic of the Congo",
ISNUMBER(SEARCH("German DR",S1786)),"DR Germany",
ISNUMBER(SEARCH("rn""&gt;United Arab Emirates",S1786)),"United Arab Emirates",
ISNUMBER(SEARCH("rn""&gt;Republic of Ireland",S1786)),"Ireland",
ISNUMBER(SEARCH("rn""&gt;Bosnia and Herzegovina",S1786)),"Bosnia and Herzegovina",
ISNUMBER(SEARCH("rn""&gt;Trinidad and Tobago",S1786)),"Trinidad and Tobago",
ISNUMBER(SEARCH("rn""&gt;Serbia and Montenegro",S1786)),"Serbia and Montenegro",
ISNUMBER(SEARCH(_xlfn.UNICHAR(65533),S1786)),"Côte d'Ivoire",
TRUE,""
)</f>
        <v/>
      </c>
      <c r="W1786" s="12" t="str">
        <f t="shared" si="141"/>
        <v>Egypt</v>
      </c>
    </row>
    <row r="1787" spans="2:23">
      <c r="B1787" s="76" t="str">
        <v>1954.0</v>
      </c>
      <c r="C1787" s="42" t="str">
        <v xml:space="preserve">30 Jun 1954 - 18:00 </v>
      </c>
      <c r="D1787" s="42" t="str">
        <v>Semi-finals</v>
      </c>
      <c r="E1787" s="42" t="str">
        <v>La Pontaise</v>
      </c>
      <c r="F1787" s="42" t="str">
        <v xml:space="preserve">Lausanne </v>
      </c>
      <c r="G1787" s="42" t="str">
        <v>Hungary</v>
      </c>
      <c r="H1787" s="42" t="str">
        <v>4.0</v>
      </c>
      <c r="I1787" s="42" t="str">
        <v>2.0</v>
      </c>
      <c r="J1787" s="42" t="str">
        <v>Uruguay</v>
      </c>
      <c r="K1787" s="42" t="str">
        <v xml:space="preserve">Hungary win after extra time </v>
      </c>
      <c r="L1787" s="42" t="str">
        <f t="shared" si="138"/>
        <v xml:space="preserve">1954.0|30 Jun 1954 - 18:00 |Semi-finals|La Pontaise|Lausanne |Hungary|4.0|2.0|Uruguay|Hungary win after extra time </v>
      </c>
      <c r="M1787" s="42" t="str">
        <f>IF(COUNTIF($L$1689:L1787,L1787)&gt;1,"DOUBLON","OK")</f>
        <v>OK</v>
      </c>
      <c r="S1787" s="12" t="str">
        <v>Egypt</v>
      </c>
      <c r="T1787" s="12" t="str">
        <f t="shared" si="139"/>
        <v>OK</v>
      </c>
      <c r="U1787" s="12" t="str">
        <f t="shared" si="140"/>
        <v>-</v>
      </c>
      <c r="V1787" s="12" t="str" cm="1">
        <f t="array" ref="V1787">_xlfn.IFS(
ISNUMBER(SEARCH("USA",S1787)),"United States",
ISNUMBER(SEARCH("Republic of Ireland",S1787)),"Ireland",
ISNUMBER(SEARCH("Republic of Korea",S1787)),"South Korea",
ISNUMBER(SEARCH("Cape Verde",S1787)),"Cabo Verde",
ISNUMBER(SEARCH("Czechia",S1787)),"Czech Republic",
ISNUMBER(SEARCH("Türkiye",S1787)),"Turkey",
ISNUMBER(SEARCH("Ivory Coast",S1787)),"Côte d'Ivoire",
ISNUMBER(SEARCH("Korea Republic",S1787)),"South Korea",
ISNUMBER(SEARCH("Germany FR",S1787)),"FR Germany",
ISNUMBER(SEARCH("West Germany",S1787)),"FR Germany",
ISNUMBER(SEARCH("Germany DR",S1787)),"DR Germany",
ISNUMBER(SEARCH("Korea DPR",S1787)),"North Korea",
ISNUMBER(SEARCH("China PR",S1787)),"China",
ISNUMBER(SEARCH("IR Iran",S1787)),"Iran",
ISNUMBER(SEARCH("Congo DR",S1787)),"Democratic Republic of the Congo",
ISNUMBER(SEARCH("DR Congo",S1787)),"Democratic Republic of the Congo",
ISNUMBER(SEARCH("German DR",S1787)),"DR Germany",
ISNUMBER(SEARCH("rn""&gt;United Arab Emirates",S1787)),"United Arab Emirates",
ISNUMBER(SEARCH("rn""&gt;Republic of Ireland",S1787)),"Ireland",
ISNUMBER(SEARCH("rn""&gt;Bosnia and Herzegovina",S1787)),"Bosnia and Herzegovina",
ISNUMBER(SEARCH("rn""&gt;Trinidad and Tobago",S1787)),"Trinidad and Tobago",
ISNUMBER(SEARCH("rn""&gt;Serbia and Montenegro",S1787)),"Serbia and Montenegro",
ISNUMBER(SEARCH(_xlfn.UNICHAR(65533),S1787)),"Côte d'Ivoire",
TRUE,""
)</f>
        <v/>
      </c>
      <c r="W1787" s="12" t="str">
        <f t="shared" si="141"/>
        <v>Egypt</v>
      </c>
    </row>
    <row r="1788" spans="2:23">
      <c r="B1788" s="76" t="str">
        <v>1954.0</v>
      </c>
      <c r="C1788" s="42" t="str">
        <v xml:space="preserve">03 Jul 1954 - 17:00 </v>
      </c>
      <c r="D1788" s="42" t="str">
        <v>Match for third place</v>
      </c>
      <c r="E1788" s="42" t="str">
        <v>Hardturm</v>
      </c>
      <c r="F1788" s="42" t="str">
        <v xml:space="preserve">Zurich </v>
      </c>
      <c r="G1788" s="42" t="str">
        <v>Austria</v>
      </c>
      <c r="H1788" s="42" t="str">
        <v>3.0</v>
      </c>
      <c r="I1788" s="42" t="str">
        <v>1.0</v>
      </c>
      <c r="J1788" s="42" t="str">
        <v>Uruguay</v>
      </c>
      <c r="K1788" s="42" t="str">
        <v xml:space="preserve"> </v>
      </c>
      <c r="L1788" s="42" t="str">
        <f t="shared" si="138"/>
        <v xml:space="preserve">1954.0|03 Jul 1954 - 17:00 |Match for third place|Hardturm|Zurich |Austria|3.0|1.0|Uruguay| </v>
      </c>
      <c r="M1788" s="42" t="str">
        <f>IF(COUNTIF($L$1689:L1788,L1788)&gt;1,"DOUBLON","OK")</f>
        <v>OK</v>
      </c>
      <c r="S1788" s="12" t="str">
        <v>Egypt</v>
      </c>
      <c r="T1788" s="12" t="str">
        <f t="shared" si="139"/>
        <v>OK</v>
      </c>
      <c r="U1788" s="12" t="str">
        <f t="shared" si="140"/>
        <v>-</v>
      </c>
      <c r="V1788" s="12" t="str" cm="1">
        <f t="array" ref="V1788">_xlfn.IFS(
ISNUMBER(SEARCH("USA",S1788)),"United States",
ISNUMBER(SEARCH("Republic of Ireland",S1788)),"Ireland",
ISNUMBER(SEARCH("Republic of Korea",S1788)),"South Korea",
ISNUMBER(SEARCH("Cape Verde",S1788)),"Cabo Verde",
ISNUMBER(SEARCH("Czechia",S1788)),"Czech Republic",
ISNUMBER(SEARCH("Türkiye",S1788)),"Turkey",
ISNUMBER(SEARCH("Ivory Coast",S1788)),"Côte d'Ivoire",
ISNUMBER(SEARCH("Korea Republic",S1788)),"South Korea",
ISNUMBER(SEARCH("Germany FR",S1788)),"FR Germany",
ISNUMBER(SEARCH("West Germany",S1788)),"FR Germany",
ISNUMBER(SEARCH("Germany DR",S1788)),"DR Germany",
ISNUMBER(SEARCH("Korea DPR",S1788)),"North Korea",
ISNUMBER(SEARCH("China PR",S1788)),"China",
ISNUMBER(SEARCH("IR Iran",S1788)),"Iran",
ISNUMBER(SEARCH("Congo DR",S1788)),"Democratic Republic of the Congo",
ISNUMBER(SEARCH("DR Congo",S1788)),"Democratic Republic of the Congo",
ISNUMBER(SEARCH("German DR",S1788)),"DR Germany",
ISNUMBER(SEARCH("rn""&gt;United Arab Emirates",S1788)),"United Arab Emirates",
ISNUMBER(SEARCH("rn""&gt;Republic of Ireland",S1788)),"Ireland",
ISNUMBER(SEARCH("rn""&gt;Bosnia and Herzegovina",S1788)),"Bosnia and Herzegovina",
ISNUMBER(SEARCH("rn""&gt;Trinidad and Tobago",S1788)),"Trinidad and Tobago",
ISNUMBER(SEARCH("rn""&gt;Serbia and Montenegro",S1788)),"Serbia and Montenegro",
ISNUMBER(SEARCH(_xlfn.UNICHAR(65533),S1788)),"Côte d'Ivoire",
TRUE,""
)</f>
        <v/>
      </c>
      <c r="W1788" s="12" t="str">
        <f t="shared" si="141"/>
        <v>Egypt</v>
      </c>
    </row>
    <row r="1789" spans="2:23">
      <c r="B1789" s="76" t="str">
        <v>1954.0</v>
      </c>
      <c r="C1789" s="42" t="str">
        <v xml:space="preserve">04 Jul 1954 - 17:00 </v>
      </c>
      <c r="D1789" s="42" t="str">
        <v>Final</v>
      </c>
      <c r="E1789" s="42" t="str">
        <v>Wankdorf Stadium</v>
      </c>
      <c r="F1789" s="42" t="str">
        <v xml:space="preserve">Berne </v>
      </c>
      <c r="G1789" s="42" t="str">
        <v>Germany FR</v>
      </c>
      <c r="H1789" s="42" t="str">
        <v>3.0</v>
      </c>
      <c r="I1789" s="42" t="str">
        <v>2.0</v>
      </c>
      <c r="J1789" s="42" t="str">
        <v>Hungary</v>
      </c>
      <c r="K1789" s="42" t="str">
        <v xml:space="preserve"> </v>
      </c>
      <c r="L1789" s="42" t="str">
        <f t="shared" si="138"/>
        <v xml:space="preserve">1954.0|04 Jul 1954 - 17:00 |Final|Wankdorf Stadium|Berne |Germany FR|3.0|2.0|Hungary| </v>
      </c>
      <c r="M1789" s="42" t="str">
        <f>IF(COUNTIF($L$1689:L1789,L1789)&gt;1,"DOUBLON","OK")</f>
        <v>OK</v>
      </c>
      <c r="S1789" s="12" t="str">
        <v>Egypt</v>
      </c>
      <c r="T1789" s="12" t="str">
        <f t="shared" si="139"/>
        <v>OK</v>
      </c>
      <c r="U1789" s="12" t="str">
        <f t="shared" si="140"/>
        <v>-</v>
      </c>
      <c r="V1789" s="12" t="str" cm="1">
        <f t="array" ref="V1789">_xlfn.IFS(
ISNUMBER(SEARCH("USA",S1789)),"United States",
ISNUMBER(SEARCH("Republic of Ireland",S1789)),"Ireland",
ISNUMBER(SEARCH("Republic of Korea",S1789)),"South Korea",
ISNUMBER(SEARCH("Cape Verde",S1789)),"Cabo Verde",
ISNUMBER(SEARCH("Czechia",S1789)),"Czech Republic",
ISNUMBER(SEARCH("Türkiye",S1789)),"Turkey",
ISNUMBER(SEARCH("Ivory Coast",S1789)),"Côte d'Ivoire",
ISNUMBER(SEARCH("Korea Republic",S1789)),"South Korea",
ISNUMBER(SEARCH("Germany FR",S1789)),"FR Germany",
ISNUMBER(SEARCH("West Germany",S1789)),"FR Germany",
ISNUMBER(SEARCH("Germany DR",S1789)),"DR Germany",
ISNUMBER(SEARCH("Korea DPR",S1789)),"North Korea",
ISNUMBER(SEARCH("China PR",S1789)),"China",
ISNUMBER(SEARCH("IR Iran",S1789)),"Iran",
ISNUMBER(SEARCH("Congo DR",S1789)),"Democratic Republic of the Congo",
ISNUMBER(SEARCH("DR Congo",S1789)),"Democratic Republic of the Congo",
ISNUMBER(SEARCH("German DR",S1789)),"DR Germany",
ISNUMBER(SEARCH("rn""&gt;United Arab Emirates",S1789)),"United Arab Emirates",
ISNUMBER(SEARCH("rn""&gt;Republic of Ireland",S1789)),"Ireland",
ISNUMBER(SEARCH("rn""&gt;Bosnia and Herzegovina",S1789)),"Bosnia and Herzegovina",
ISNUMBER(SEARCH("rn""&gt;Trinidad and Tobago",S1789)),"Trinidad and Tobago",
ISNUMBER(SEARCH("rn""&gt;Serbia and Montenegro",S1789)),"Serbia and Montenegro",
ISNUMBER(SEARCH(_xlfn.UNICHAR(65533),S1789)),"Côte d'Ivoire",
TRUE,""
)</f>
        <v/>
      </c>
      <c r="W1789" s="12" t="str">
        <f t="shared" si="141"/>
        <v>Egypt</v>
      </c>
    </row>
    <row r="1790" spans="2:23">
      <c r="B1790" s="76" t="str">
        <v>1958.0</v>
      </c>
      <c r="C1790" s="42" t="str">
        <v xml:space="preserve">08 Jun 1958 - 14:00 </v>
      </c>
      <c r="D1790" s="42" t="str">
        <v>Group 3</v>
      </c>
      <c r="E1790" s="42" t="str">
        <v>Rasunda Stadium</v>
      </c>
      <c r="F1790" s="42" t="str">
        <v xml:space="preserve">Solna </v>
      </c>
      <c r="G1790" s="42" t="str">
        <v>Sweden</v>
      </c>
      <c r="H1790" s="42" t="str">
        <v>3.0</v>
      </c>
      <c r="I1790" s="42" t="str">
        <v>0.0</v>
      </c>
      <c r="J1790" s="42" t="str">
        <v>Mexico</v>
      </c>
      <c r="K1790" s="42" t="str">
        <v xml:space="preserve"> </v>
      </c>
      <c r="L1790" s="42" t="str">
        <f t="shared" si="138"/>
        <v xml:space="preserve">1958.0|08 Jun 1958 - 14:00 |Group 3|Rasunda Stadium|Solna |Sweden|3.0|0.0|Mexico| </v>
      </c>
      <c r="M1790" s="42" t="str">
        <f>IF(COUNTIF($L$1689:L1790,L1790)&gt;1,"DOUBLON","OK")</f>
        <v>OK</v>
      </c>
      <c r="S1790" s="12" t="str">
        <v>Egypt</v>
      </c>
      <c r="T1790" s="12" t="str">
        <f t="shared" si="139"/>
        <v>OK</v>
      </c>
      <c r="U1790" s="12" t="str">
        <f t="shared" si="140"/>
        <v>-</v>
      </c>
      <c r="V1790" s="12" t="str" cm="1">
        <f t="array" ref="V1790">_xlfn.IFS(
ISNUMBER(SEARCH("USA",S1790)),"United States",
ISNUMBER(SEARCH("Republic of Ireland",S1790)),"Ireland",
ISNUMBER(SEARCH("Republic of Korea",S1790)),"South Korea",
ISNUMBER(SEARCH("Cape Verde",S1790)),"Cabo Verde",
ISNUMBER(SEARCH("Czechia",S1790)),"Czech Republic",
ISNUMBER(SEARCH("Türkiye",S1790)),"Turkey",
ISNUMBER(SEARCH("Ivory Coast",S1790)),"Côte d'Ivoire",
ISNUMBER(SEARCH("Korea Republic",S1790)),"South Korea",
ISNUMBER(SEARCH("Germany FR",S1790)),"FR Germany",
ISNUMBER(SEARCH("West Germany",S1790)),"FR Germany",
ISNUMBER(SEARCH("Germany DR",S1790)),"DR Germany",
ISNUMBER(SEARCH("Korea DPR",S1790)),"North Korea",
ISNUMBER(SEARCH("China PR",S1790)),"China",
ISNUMBER(SEARCH("IR Iran",S1790)),"Iran",
ISNUMBER(SEARCH("Congo DR",S1790)),"Democratic Republic of the Congo",
ISNUMBER(SEARCH("DR Congo",S1790)),"Democratic Republic of the Congo",
ISNUMBER(SEARCH("German DR",S1790)),"DR Germany",
ISNUMBER(SEARCH("rn""&gt;United Arab Emirates",S1790)),"United Arab Emirates",
ISNUMBER(SEARCH("rn""&gt;Republic of Ireland",S1790)),"Ireland",
ISNUMBER(SEARCH("rn""&gt;Bosnia and Herzegovina",S1790)),"Bosnia and Herzegovina",
ISNUMBER(SEARCH("rn""&gt;Trinidad and Tobago",S1790)),"Trinidad and Tobago",
ISNUMBER(SEARCH("rn""&gt;Serbia and Montenegro",S1790)),"Serbia and Montenegro",
ISNUMBER(SEARCH(_xlfn.UNICHAR(65533),S1790)),"Côte d'Ivoire",
TRUE,""
)</f>
        <v/>
      </c>
      <c r="W1790" s="12" t="str">
        <f t="shared" si="141"/>
        <v>Egypt</v>
      </c>
    </row>
    <row r="1791" spans="2:23">
      <c r="B1791" s="76" t="str">
        <v>1958.0</v>
      </c>
      <c r="C1791" s="42" t="str">
        <v xml:space="preserve">08 Jun 1958 - 19:00 </v>
      </c>
      <c r="D1791" s="42" t="str">
        <v>Group 4</v>
      </c>
      <c r="E1791" s="42" t="str">
        <v>Nya Ullevi</v>
      </c>
      <c r="F1791" s="42" t="str">
        <v xml:space="preserve">Gothenburg </v>
      </c>
      <c r="G1791" s="42" t="str">
        <v>Soviet Union</v>
      </c>
      <c r="H1791" s="42" t="str">
        <v>2.0</v>
      </c>
      <c r="I1791" s="42" t="str">
        <v>2.0</v>
      </c>
      <c r="J1791" s="42" t="str">
        <v>England</v>
      </c>
      <c r="K1791" s="42" t="str">
        <v xml:space="preserve"> </v>
      </c>
      <c r="L1791" s="42" t="str">
        <f t="shared" si="138"/>
        <v xml:space="preserve">1958.0|08 Jun 1958 - 19:00 |Group 4|Nya Ullevi|Gothenburg |Soviet Union|2.0|2.0|England| </v>
      </c>
      <c r="M1791" s="42" t="str">
        <f>IF(COUNTIF($L$1689:L1791,L1791)&gt;1,"DOUBLON","OK")</f>
        <v>OK</v>
      </c>
      <c r="S1791" s="12" t="str">
        <v>Egypt</v>
      </c>
      <c r="T1791" s="12" t="str">
        <f t="shared" si="139"/>
        <v>OK</v>
      </c>
      <c r="U1791" s="12" t="str">
        <f t="shared" si="140"/>
        <v>-</v>
      </c>
      <c r="V1791" s="12" t="str" cm="1">
        <f t="array" ref="V1791">_xlfn.IFS(
ISNUMBER(SEARCH("USA",S1791)),"United States",
ISNUMBER(SEARCH("Republic of Ireland",S1791)),"Ireland",
ISNUMBER(SEARCH("Republic of Korea",S1791)),"South Korea",
ISNUMBER(SEARCH("Cape Verde",S1791)),"Cabo Verde",
ISNUMBER(SEARCH("Czechia",S1791)),"Czech Republic",
ISNUMBER(SEARCH("Türkiye",S1791)),"Turkey",
ISNUMBER(SEARCH("Ivory Coast",S1791)),"Côte d'Ivoire",
ISNUMBER(SEARCH("Korea Republic",S1791)),"South Korea",
ISNUMBER(SEARCH("Germany FR",S1791)),"FR Germany",
ISNUMBER(SEARCH("West Germany",S1791)),"FR Germany",
ISNUMBER(SEARCH("Germany DR",S1791)),"DR Germany",
ISNUMBER(SEARCH("Korea DPR",S1791)),"North Korea",
ISNUMBER(SEARCH("China PR",S1791)),"China",
ISNUMBER(SEARCH("IR Iran",S1791)),"Iran",
ISNUMBER(SEARCH("Congo DR",S1791)),"Democratic Republic of the Congo",
ISNUMBER(SEARCH("DR Congo",S1791)),"Democratic Republic of the Congo",
ISNUMBER(SEARCH("German DR",S1791)),"DR Germany",
ISNUMBER(SEARCH("rn""&gt;United Arab Emirates",S1791)),"United Arab Emirates",
ISNUMBER(SEARCH("rn""&gt;Republic of Ireland",S1791)),"Ireland",
ISNUMBER(SEARCH("rn""&gt;Bosnia and Herzegovina",S1791)),"Bosnia and Herzegovina",
ISNUMBER(SEARCH("rn""&gt;Trinidad and Tobago",S1791)),"Trinidad and Tobago",
ISNUMBER(SEARCH("rn""&gt;Serbia and Montenegro",S1791)),"Serbia and Montenegro",
ISNUMBER(SEARCH(_xlfn.UNICHAR(65533),S1791)),"Côte d'Ivoire",
TRUE,""
)</f>
        <v/>
      </c>
      <c r="W1791" s="12" t="str">
        <f t="shared" si="141"/>
        <v>Egypt</v>
      </c>
    </row>
    <row r="1792" spans="2:23">
      <c r="B1792" s="76" t="str">
        <v>1958.0</v>
      </c>
      <c r="C1792" s="42" t="str">
        <v xml:space="preserve">08 Jun 1958 - 19:00 </v>
      </c>
      <c r="D1792" s="42" t="str">
        <v>Group 1</v>
      </c>
      <c r="E1792" s="42" t="str">
        <v>Malmo Stadion</v>
      </c>
      <c r="F1792" s="42" t="str">
        <v xml:space="preserve">Malm� </v>
      </c>
      <c r="G1792" s="42" t="str">
        <v>Argentina</v>
      </c>
      <c r="H1792" s="42" t="str">
        <v>1.0</v>
      </c>
      <c r="I1792" s="42" t="str">
        <v>3.0</v>
      </c>
      <c r="J1792" s="42" t="str">
        <v>Germany FR</v>
      </c>
      <c r="K1792" s="42" t="str">
        <v xml:space="preserve"> </v>
      </c>
      <c r="L1792" s="42" t="str">
        <f t="shared" si="138"/>
        <v xml:space="preserve">1958.0|08 Jun 1958 - 19:00 |Group 1|Malmo Stadion|Malm� |Argentina|1.0|3.0|Germany FR| </v>
      </c>
      <c r="M1792" s="42" t="str">
        <f>IF(COUNTIF($L$1689:L1792,L1792)&gt;1,"DOUBLON","OK")</f>
        <v>OK</v>
      </c>
      <c r="S1792" s="12" t="str">
        <v>Egypt</v>
      </c>
      <c r="T1792" s="12" t="str">
        <f t="shared" si="139"/>
        <v>OK</v>
      </c>
      <c r="U1792" s="12" t="str">
        <f t="shared" si="140"/>
        <v>-</v>
      </c>
      <c r="V1792" s="12" t="str" cm="1">
        <f t="array" ref="V1792">_xlfn.IFS(
ISNUMBER(SEARCH("USA",S1792)),"United States",
ISNUMBER(SEARCH("Republic of Ireland",S1792)),"Ireland",
ISNUMBER(SEARCH("Republic of Korea",S1792)),"South Korea",
ISNUMBER(SEARCH("Cape Verde",S1792)),"Cabo Verde",
ISNUMBER(SEARCH("Czechia",S1792)),"Czech Republic",
ISNUMBER(SEARCH("Türkiye",S1792)),"Turkey",
ISNUMBER(SEARCH("Ivory Coast",S1792)),"Côte d'Ivoire",
ISNUMBER(SEARCH("Korea Republic",S1792)),"South Korea",
ISNUMBER(SEARCH("Germany FR",S1792)),"FR Germany",
ISNUMBER(SEARCH("West Germany",S1792)),"FR Germany",
ISNUMBER(SEARCH("Germany DR",S1792)),"DR Germany",
ISNUMBER(SEARCH("Korea DPR",S1792)),"North Korea",
ISNUMBER(SEARCH("China PR",S1792)),"China",
ISNUMBER(SEARCH("IR Iran",S1792)),"Iran",
ISNUMBER(SEARCH("Congo DR",S1792)),"Democratic Republic of the Congo",
ISNUMBER(SEARCH("DR Congo",S1792)),"Democratic Republic of the Congo",
ISNUMBER(SEARCH("German DR",S1792)),"DR Germany",
ISNUMBER(SEARCH("rn""&gt;United Arab Emirates",S1792)),"United Arab Emirates",
ISNUMBER(SEARCH("rn""&gt;Republic of Ireland",S1792)),"Ireland",
ISNUMBER(SEARCH("rn""&gt;Bosnia and Herzegovina",S1792)),"Bosnia and Herzegovina",
ISNUMBER(SEARCH("rn""&gt;Trinidad and Tobago",S1792)),"Trinidad and Tobago",
ISNUMBER(SEARCH("rn""&gt;Serbia and Montenegro",S1792)),"Serbia and Montenegro",
ISNUMBER(SEARCH(_xlfn.UNICHAR(65533),S1792)),"Côte d'Ivoire",
TRUE,""
)</f>
        <v/>
      </c>
      <c r="W1792" s="12" t="str">
        <f t="shared" si="141"/>
        <v>Egypt</v>
      </c>
    </row>
    <row r="1793" spans="2:23">
      <c r="B1793" s="76" t="str">
        <v>1958.0</v>
      </c>
      <c r="C1793" s="42" t="str">
        <v xml:space="preserve">08 Jun 1958 - 19:00 </v>
      </c>
      <c r="D1793" s="42" t="str">
        <v>Group 3</v>
      </c>
      <c r="E1793" s="42" t="str">
        <v>Jarnvallen</v>
      </c>
      <c r="F1793" s="42" t="str">
        <v xml:space="preserve">Sandviken </v>
      </c>
      <c r="G1793" s="42" t="str">
        <v>Hungary</v>
      </c>
      <c r="H1793" s="42" t="str">
        <v>1.0</v>
      </c>
      <c r="I1793" s="42" t="str">
        <v>1.0</v>
      </c>
      <c r="J1793" s="42" t="str">
        <v>Wales</v>
      </c>
      <c r="K1793" s="42" t="str">
        <v xml:space="preserve"> </v>
      </c>
      <c r="L1793" s="42" t="str">
        <f t="shared" si="138"/>
        <v xml:space="preserve">1958.0|08 Jun 1958 - 19:00 |Group 3|Jarnvallen|Sandviken |Hungary|1.0|1.0|Wales| </v>
      </c>
      <c r="M1793" s="42" t="str">
        <f>IF(COUNTIF($L$1689:L1793,L1793)&gt;1,"DOUBLON","OK")</f>
        <v>OK</v>
      </c>
      <c r="S1793" s="12" t="str">
        <v>Egypt</v>
      </c>
      <c r="T1793" s="12" t="str">
        <f t="shared" si="139"/>
        <v>OK</v>
      </c>
      <c r="U1793" s="12" t="str">
        <f t="shared" si="140"/>
        <v>-</v>
      </c>
      <c r="V1793" s="12" t="str" cm="1">
        <f t="array" ref="V1793">_xlfn.IFS(
ISNUMBER(SEARCH("USA",S1793)),"United States",
ISNUMBER(SEARCH("Republic of Ireland",S1793)),"Ireland",
ISNUMBER(SEARCH("Republic of Korea",S1793)),"South Korea",
ISNUMBER(SEARCH("Cape Verde",S1793)),"Cabo Verde",
ISNUMBER(SEARCH("Czechia",S1793)),"Czech Republic",
ISNUMBER(SEARCH("Türkiye",S1793)),"Turkey",
ISNUMBER(SEARCH("Ivory Coast",S1793)),"Côte d'Ivoire",
ISNUMBER(SEARCH("Korea Republic",S1793)),"South Korea",
ISNUMBER(SEARCH("Germany FR",S1793)),"FR Germany",
ISNUMBER(SEARCH("West Germany",S1793)),"FR Germany",
ISNUMBER(SEARCH("Germany DR",S1793)),"DR Germany",
ISNUMBER(SEARCH("Korea DPR",S1793)),"North Korea",
ISNUMBER(SEARCH("China PR",S1793)),"China",
ISNUMBER(SEARCH("IR Iran",S1793)),"Iran",
ISNUMBER(SEARCH("Congo DR",S1793)),"Democratic Republic of the Congo",
ISNUMBER(SEARCH("DR Congo",S1793)),"Democratic Republic of the Congo",
ISNUMBER(SEARCH("German DR",S1793)),"DR Germany",
ISNUMBER(SEARCH("rn""&gt;United Arab Emirates",S1793)),"United Arab Emirates",
ISNUMBER(SEARCH("rn""&gt;Republic of Ireland",S1793)),"Ireland",
ISNUMBER(SEARCH("rn""&gt;Bosnia and Herzegovina",S1793)),"Bosnia and Herzegovina",
ISNUMBER(SEARCH("rn""&gt;Trinidad and Tobago",S1793)),"Trinidad and Tobago",
ISNUMBER(SEARCH("rn""&gt;Serbia and Montenegro",S1793)),"Serbia and Montenegro",
ISNUMBER(SEARCH(_xlfn.UNICHAR(65533),S1793)),"Côte d'Ivoire",
TRUE,""
)</f>
        <v/>
      </c>
      <c r="W1793" s="12" t="str">
        <f t="shared" si="141"/>
        <v>Egypt</v>
      </c>
    </row>
    <row r="1794" spans="2:23">
      <c r="B1794" s="76" t="str">
        <v>1958.0</v>
      </c>
      <c r="C1794" s="42" t="str">
        <v xml:space="preserve">08 Jun 1958 - 19:00 </v>
      </c>
      <c r="D1794" s="42" t="str">
        <v>Group 2</v>
      </c>
      <c r="E1794" s="42" t="str">
        <v>Idrottsparken</v>
      </c>
      <c r="F1794" s="42" t="str">
        <v xml:space="preserve">Norrk�Ping </v>
      </c>
      <c r="G1794" s="42" t="str">
        <v>France</v>
      </c>
      <c r="H1794" s="42" t="str">
        <v>7.0</v>
      </c>
      <c r="I1794" s="42" t="str">
        <v>3.0</v>
      </c>
      <c r="J1794" s="42" t="str">
        <v>Paraguay</v>
      </c>
      <c r="K1794" s="42" t="str">
        <v xml:space="preserve"> </v>
      </c>
      <c r="L1794" s="42" t="str">
        <f t="shared" si="138"/>
        <v xml:space="preserve">1958.0|08 Jun 1958 - 19:00 |Group 2|Idrottsparken|Norrk�Ping |France|7.0|3.0|Paraguay| </v>
      </c>
      <c r="M1794" s="42" t="str">
        <f>IF(COUNTIF($L$1689:L1794,L1794)&gt;1,"DOUBLON","OK")</f>
        <v>OK</v>
      </c>
      <c r="S1794" s="12" t="str">
        <v>Egypt</v>
      </c>
      <c r="T1794" s="12" t="str">
        <f t="shared" si="139"/>
        <v>OK</v>
      </c>
      <c r="U1794" s="12" t="str">
        <f t="shared" si="140"/>
        <v>-</v>
      </c>
      <c r="V1794" s="12" t="str" cm="1">
        <f t="array" ref="V1794">_xlfn.IFS(
ISNUMBER(SEARCH("USA",S1794)),"United States",
ISNUMBER(SEARCH("Republic of Ireland",S1794)),"Ireland",
ISNUMBER(SEARCH("Republic of Korea",S1794)),"South Korea",
ISNUMBER(SEARCH("Cape Verde",S1794)),"Cabo Verde",
ISNUMBER(SEARCH("Czechia",S1794)),"Czech Republic",
ISNUMBER(SEARCH("Türkiye",S1794)),"Turkey",
ISNUMBER(SEARCH("Ivory Coast",S1794)),"Côte d'Ivoire",
ISNUMBER(SEARCH("Korea Republic",S1794)),"South Korea",
ISNUMBER(SEARCH("Germany FR",S1794)),"FR Germany",
ISNUMBER(SEARCH("West Germany",S1794)),"FR Germany",
ISNUMBER(SEARCH("Germany DR",S1794)),"DR Germany",
ISNUMBER(SEARCH("Korea DPR",S1794)),"North Korea",
ISNUMBER(SEARCH("China PR",S1794)),"China",
ISNUMBER(SEARCH("IR Iran",S1794)),"Iran",
ISNUMBER(SEARCH("Congo DR",S1794)),"Democratic Republic of the Congo",
ISNUMBER(SEARCH("DR Congo",S1794)),"Democratic Republic of the Congo",
ISNUMBER(SEARCH("German DR",S1794)),"DR Germany",
ISNUMBER(SEARCH("rn""&gt;United Arab Emirates",S1794)),"United Arab Emirates",
ISNUMBER(SEARCH("rn""&gt;Republic of Ireland",S1794)),"Ireland",
ISNUMBER(SEARCH("rn""&gt;Bosnia and Herzegovina",S1794)),"Bosnia and Herzegovina",
ISNUMBER(SEARCH("rn""&gt;Trinidad and Tobago",S1794)),"Trinidad and Tobago",
ISNUMBER(SEARCH("rn""&gt;Serbia and Montenegro",S1794)),"Serbia and Montenegro",
ISNUMBER(SEARCH(_xlfn.UNICHAR(65533),S1794)),"Côte d'Ivoire",
TRUE,""
)</f>
        <v/>
      </c>
      <c r="W1794" s="12" t="str">
        <f t="shared" si="141"/>
        <v>Egypt</v>
      </c>
    </row>
    <row r="1795" spans="2:23">
      <c r="B1795" s="76" t="str">
        <v>1958.0</v>
      </c>
      <c r="C1795" s="42" t="str">
        <v xml:space="preserve">08 Jun 1958 - 19:00 </v>
      </c>
      <c r="D1795" s="42" t="str">
        <v>Group 2</v>
      </c>
      <c r="E1795" s="42" t="str">
        <v>Arosvallen</v>
      </c>
      <c r="F1795" s="42" t="str">
        <v xml:space="preserve">Vasteras </v>
      </c>
      <c r="G1795" s="42" t="str">
        <v>Yugoslavia</v>
      </c>
      <c r="H1795" s="42" t="str">
        <v>1.0</v>
      </c>
      <c r="I1795" s="42" t="str">
        <v>1.0</v>
      </c>
      <c r="J1795" s="42" t="str">
        <v>Scotland</v>
      </c>
      <c r="K1795" s="42" t="str">
        <v xml:space="preserve"> </v>
      </c>
      <c r="L1795" s="42" t="str">
        <f t="shared" si="138"/>
        <v xml:space="preserve">1958.0|08 Jun 1958 - 19:00 |Group 2|Arosvallen|Vasteras |Yugoslavia|1.0|1.0|Scotland| </v>
      </c>
      <c r="M1795" s="42" t="str">
        <f>IF(COUNTIF($L$1689:L1795,L1795)&gt;1,"DOUBLON","OK")</f>
        <v>OK</v>
      </c>
      <c r="S1795" s="12" t="str">
        <v>Egypt</v>
      </c>
      <c r="T1795" s="12" t="str">
        <f t="shared" si="139"/>
        <v>OK</v>
      </c>
      <c r="U1795" s="12" t="str">
        <f t="shared" si="140"/>
        <v>-</v>
      </c>
      <c r="V1795" s="12" t="str" cm="1">
        <f t="array" ref="V1795">_xlfn.IFS(
ISNUMBER(SEARCH("USA",S1795)),"United States",
ISNUMBER(SEARCH("Republic of Ireland",S1795)),"Ireland",
ISNUMBER(SEARCH("Republic of Korea",S1795)),"South Korea",
ISNUMBER(SEARCH("Cape Verde",S1795)),"Cabo Verde",
ISNUMBER(SEARCH("Czechia",S1795)),"Czech Republic",
ISNUMBER(SEARCH("Türkiye",S1795)),"Turkey",
ISNUMBER(SEARCH("Ivory Coast",S1795)),"Côte d'Ivoire",
ISNUMBER(SEARCH("Korea Republic",S1795)),"South Korea",
ISNUMBER(SEARCH("Germany FR",S1795)),"FR Germany",
ISNUMBER(SEARCH("West Germany",S1795)),"FR Germany",
ISNUMBER(SEARCH("Germany DR",S1795)),"DR Germany",
ISNUMBER(SEARCH("Korea DPR",S1795)),"North Korea",
ISNUMBER(SEARCH("China PR",S1795)),"China",
ISNUMBER(SEARCH("IR Iran",S1795)),"Iran",
ISNUMBER(SEARCH("Congo DR",S1795)),"Democratic Republic of the Congo",
ISNUMBER(SEARCH("DR Congo",S1795)),"Democratic Republic of the Congo",
ISNUMBER(SEARCH("German DR",S1795)),"DR Germany",
ISNUMBER(SEARCH("rn""&gt;United Arab Emirates",S1795)),"United Arab Emirates",
ISNUMBER(SEARCH("rn""&gt;Republic of Ireland",S1795)),"Ireland",
ISNUMBER(SEARCH("rn""&gt;Bosnia and Herzegovina",S1795)),"Bosnia and Herzegovina",
ISNUMBER(SEARCH("rn""&gt;Trinidad and Tobago",S1795)),"Trinidad and Tobago",
ISNUMBER(SEARCH("rn""&gt;Serbia and Montenegro",S1795)),"Serbia and Montenegro",
ISNUMBER(SEARCH(_xlfn.UNICHAR(65533),S1795)),"Côte d'Ivoire",
TRUE,""
)</f>
        <v/>
      </c>
      <c r="W1795" s="12" t="str">
        <f t="shared" si="141"/>
        <v>Egypt</v>
      </c>
    </row>
    <row r="1796" spans="2:23">
      <c r="B1796" s="76" t="str">
        <v>1958.0</v>
      </c>
      <c r="C1796" s="42" t="str">
        <v xml:space="preserve">08 Jun 1958 - 19:00 </v>
      </c>
      <c r="D1796" s="42" t="str">
        <v>Group 4</v>
      </c>
      <c r="E1796" s="42" t="str">
        <v>Rimnersvallen</v>
      </c>
      <c r="F1796" s="42" t="str">
        <v xml:space="preserve">Udevalla </v>
      </c>
      <c r="G1796" s="42" t="str">
        <v>Brazil</v>
      </c>
      <c r="H1796" s="42" t="str">
        <v>3.0</v>
      </c>
      <c r="I1796" s="42" t="str">
        <v>0.0</v>
      </c>
      <c r="J1796" s="42" t="str">
        <v>Austria</v>
      </c>
      <c r="K1796" s="42" t="str">
        <v xml:space="preserve"> </v>
      </c>
      <c r="L1796" s="42" t="str">
        <f t="shared" si="138"/>
        <v xml:space="preserve">1958.0|08 Jun 1958 - 19:00 |Group 4|Rimnersvallen|Udevalla |Brazil|3.0|0.0|Austria| </v>
      </c>
      <c r="M1796" s="42" t="str">
        <f>IF(COUNTIF($L$1689:L1796,L1796)&gt;1,"DOUBLON","OK")</f>
        <v>OK</v>
      </c>
      <c r="S1796" s="12" t="str">
        <v>Egypt</v>
      </c>
      <c r="T1796" s="12" t="str">
        <f t="shared" si="139"/>
        <v>OK</v>
      </c>
      <c r="U1796" s="12" t="str">
        <f t="shared" si="140"/>
        <v>-</v>
      </c>
      <c r="V1796" s="12" t="str" cm="1">
        <f t="array" ref="V1796">_xlfn.IFS(
ISNUMBER(SEARCH("USA",S1796)),"United States",
ISNUMBER(SEARCH("Republic of Ireland",S1796)),"Ireland",
ISNUMBER(SEARCH("Republic of Korea",S1796)),"South Korea",
ISNUMBER(SEARCH("Cape Verde",S1796)),"Cabo Verde",
ISNUMBER(SEARCH("Czechia",S1796)),"Czech Republic",
ISNUMBER(SEARCH("Türkiye",S1796)),"Turkey",
ISNUMBER(SEARCH("Ivory Coast",S1796)),"Côte d'Ivoire",
ISNUMBER(SEARCH("Korea Republic",S1796)),"South Korea",
ISNUMBER(SEARCH("Germany FR",S1796)),"FR Germany",
ISNUMBER(SEARCH("West Germany",S1796)),"FR Germany",
ISNUMBER(SEARCH("Germany DR",S1796)),"DR Germany",
ISNUMBER(SEARCH("Korea DPR",S1796)),"North Korea",
ISNUMBER(SEARCH("China PR",S1796)),"China",
ISNUMBER(SEARCH("IR Iran",S1796)),"Iran",
ISNUMBER(SEARCH("Congo DR",S1796)),"Democratic Republic of the Congo",
ISNUMBER(SEARCH("DR Congo",S1796)),"Democratic Republic of the Congo",
ISNUMBER(SEARCH("German DR",S1796)),"DR Germany",
ISNUMBER(SEARCH("rn""&gt;United Arab Emirates",S1796)),"United Arab Emirates",
ISNUMBER(SEARCH("rn""&gt;Republic of Ireland",S1796)),"Ireland",
ISNUMBER(SEARCH("rn""&gt;Bosnia and Herzegovina",S1796)),"Bosnia and Herzegovina",
ISNUMBER(SEARCH("rn""&gt;Trinidad and Tobago",S1796)),"Trinidad and Tobago",
ISNUMBER(SEARCH("rn""&gt;Serbia and Montenegro",S1796)),"Serbia and Montenegro",
ISNUMBER(SEARCH(_xlfn.UNICHAR(65533),S1796)),"Côte d'Ivoire",
TRUE,""
)</f>
        <v/>
      </c>
      <c r="W1796" s="12" t="str">
        <f t="shared" si="141"/>
        <v>Egypt</v>
      </c>
    </row>
    <row r="1797" spans="2:23">
      <c r="B1797" s="76" t="str">
        <v>1958.0</v>
      </c>
      <c r="C1797" s="42" t="str">
        <v xml:space="preserve">08 Jun 1958 - 19:00 </v>
      </c>
      <c r="D1797" s="42" t="str">
        <v>Group 1</v>
      </c>
      <c r="E1797" s="42" t="str">
        <v>Orjans Vall</v>
      </c>
      <c r="F1797" s="42" t="str">
        <v xml:space="preserve">Halmstad </v>
      </c>
      <c r="G1797" s="42" t="str">
        <v>Northern Ireland</v>
      </c>
      <c r="H1797" s="42" t="str">
        <v>1.0</v>
      </c>
      <c r="I1797" s="42" t="str">
        <v>0.0</v>
      </c>
      <c r="J1797" s="42" t="str">
        <v>Czechoslovakia</v>
      </c>
      <c r="K1797" s="42" t="str">
        <v xml:space="preserve"> </v>
      </c>
      <c r="L1797" s="42" t="str">
        <f t="shared" si="138"/>
        <v xml:space="preserve">1958.0|08 Jun 1958 - 19:00 |Group 1|Orjans Vall|Halmstad |Northern Ireland|1.0|0.0|Czechoslovakia| </v>
      </c>
      <c r="M1797" s="42" t="str">
        <f>IF(COUNTIF($L$1689:L1797,L1797)&gt;1,"DOUBLON","OK")</f>
        <v>OK</v>
      </c>
      <c r="S1797" s="12" t="str">
        <v>Iran</v>
      </c>
      <c r="T1797" s="12" t="str">
        <f t="shared" si="139"/>
        <v>OK</v>
      </c>
      <c r="U1797" s="12" t="str">
        <f t="shared" si="140"/>
        <v>-</v>
      </c>
      <c r="V1797" s="12" t="str" cm="1">
        <f t="array" ref="V1797">_xlfn.IFS(
ISNUMBER(SEARCH("USA",S1797)),"United States",
ISNUMBER(SEARCH("Republic of Ireland",S1797)),"Ireland",
ISNUMBER(SEARCH("Republic of Korea",S1797)),"South Korea",
ISNUMBER(SEARCH("Cape Verde",S1797)),"Cabo Verde",
ISNUMBER(SEARCH("Czechia",S1797)),"Czech Republic",
ISNUMBER(SEARCH("Türkiye",S1797)),"Turkey",
ISNUMBER(SEARCH("Ivory Coast",S1797)),"Côte d'Ivoire",
ISNUMBER(SEARCH("Korea Republic",S1797)),"South Korea",
ISNUMBER(SEARCH("Germany FR",S1797)),"FR Germany",
ISNUMBER(SEARCH("West Germany",S1797)),"FR Germany",
ISNUMBER(SEARCH("Germany DR",S1797)),"DR Germany",
ISNUMBER(SEARCH("Korea DPR",S1797)),"North Korea",
ISNUMBER(SEARCH("China PR",S1797)),"China",
ISNUMBER(SEARCH("IR Iran",S1797)),"Iran",
ISNUMBER(SEARCH("Congo DR",S1797)),"Democratic Republic of the Congo",
ISNUMBER(SEARCH("DR Congo",S1797)),"Democratic Republic of the Congo",
ISNUMBER(SEARCH("German DR",S1797)),"DR Germany",
ISNUMBER(SEARCH("rn""&gt;United Arab Emirates",S1797)),"United Arab Emirates",
ISNUMBER(SEARCH("rn""&gt;Republic of Ireland",S1797)),"Ireland",
ISNUMBER(SEARCH("rn""&gt;Bosnia and Herzegovina",S1797)),"Bosnia and Herzegovina",
ISNUMBER(SEARCH("rn""&gt;Trinidad and Tobago",S1797)),"Trinidad and Tobago",
ISNUMBER(SEARCH("rn""&gt;Serbia and Montenegro",S1797)),"Serbia and Montenegro",
ISNUMBER(SEARCH(_xlfn.UNICHAR(65533),S1797)),"Côte d'Ivoire",
TRUE,""
)</f>
        <v/>
      </c>
      <c r="W1797" s="12" t="str">
        <f t="shared" si="141"/>
        <v>Iran</v>
      </c>
    </row>
    <row r="1798" spans="2:23">
      <c r="B1798" s="76" t="str">
        <v>1958.0</v>
      </c>
      <c r="C1798" s="42" t="str">
        <v xml:space="preserve">11 Jun 1958 - 19:00 </v>
      </c>
      <c r="D1798" s="42" t="str">
        <v>Group 4</v>
      </c>
      <c r="E1798" s="42" t="str">
        <v>Nya Ullevi</v>
      </c>
      <c r="F1798" s="42" t="str">
        <v xml:space="preserve">Gothenburg </v>
      </c>
      <c r="G1798" s="42" t="str">
        <v>Brazil</v>
      </c>
      <c r="H1798" s="42" t="str">
        <v>0.0</v>
      </c>
      <c r="I1798" s="42" t="str">
        <v>0.0</v>
      </c>
      <c r="J1798" s="42" t="str">
        <v>England</v>
      </c>
      <c r="K1798" s="42" t="str">
        <v xml:space="preserve"> </v>
      </c>
      <c r="L1798" s="42" t="str">
        <f t="shared" si="138"/>
        <v xml:space="preserve">1958.0|11 Jun 1958 - 19:00 |Group 4|Nya Ullevi|Gothenburg |Brazil|0.0|0.0|England| </v>
      </c>
      <c r="M1798" s="42" t="str">
        <f>IF(COUNTIF($L$1689:L1798,L1798)&gt;1,"DOUBLON","OK")</f>
        <v>OK</v>
      </c>
      <c r="S1798" s="12" t="str">
        <v>Iran</v>
      </c>
      <c r="T1798" s="12" t="str">
        <f t="shared" si="139"/>
        <v>OK</v>
      </c>
      <c r="U1798" s="12" t="str">
        <f t="shared" si="140"/>
        <v>-</v>
      </c>
      <c r="V1798" s="12" t="str" cm="1">
        <f t="array" ref="V1798">_xlfn.IFS(
ISNUMBER(SEARCH("USA",S1798)),"United States",
ISNUMBER(SEARCH("Republic of Ireland",S1798)),"Ireland",
ISNUMBER(SEARCH("Republic of Korea",S1798)),"South Korea",
ISNUMBER(SEARCH("Cape Verde",S1798)),"Cabo Verde",
ISNUMBER(SEARCH("Czechia",S1798)),"Czech Republic",
ISNUMBER(SEARCH("Türkiye",S1798)),"Turkey",
ISNUMBER(SEARCH("Ivory Coast",S1798)),"Côte d'Ivoire",
ISNUMBER(SEARCH("Korea Republic",S1798)),"South Korea",
ISNUMBER(SEARCH("Germany FR",S1798)),"FR Germany",
ISNUMBER(SEARCH("West Germany",S1798)),"FR Germany",
ISNUMBER(SEARCH("Germany DR",S1798)),"DR Germany",
ISNUMBER(SEARCH("Korea DPR",S1798)),"North Korea",
ISNUMBER(SEARCH("China PR",S1798)),"China",
ISNUMBER(SEARCH("IR Iran",S1798)),"Iran",
ISNUMBER(SEARCH("Congo DR",S1798)),"Democratic Republic of the Congo",
ISNUMBER(SEARCH("DR Congo",S1798)),"Democratic Republic of the Congo",
ISNUMBER(SEARCH("German DR",S1798)),"DR Germany",
ISNUMBER(SEARCH("rn""&gt;United Arab Emirates",S1798)),"United Arab Emirates",
ISNUMBER(SEARCH("rn""&gt;Republic of Ireland",S1798)),"Ireland",
ISNUMBER(SEARCH("rn""&gt;Bosnia and Herzegovina",S1798)),"Bosnia and Herzegovina",
ISNUMBER(SEARCH("rn""&gt;Trinidad and Tobago",S1798)),"Trinidad and Tobago",
ISNUMBER(SEARCH("rn""&gt;Serbia and Montenegro",S1798)),"Serbia and Montenegro",
ISNUMBER(SEARCH(_xlfn.UNICHAR(65533),S1798)),"Côte d'Ivoire",
TRUE,""
)</f>
        <v/>
      </c>
      <c r="W1798" s="12" t="str">
        <f t="shared" si="141"/>
        <v>Iran</v>
      </c>
    </row>
    <row r="1799" spans="2:23">
      <c r="B1799" s="76" t="str">
        <v>1958.0</v>
      </c>
      <c r="C1799" s="42" t="str">
        <v xml:space="preserve">11 Jun 1958 - 19:00 </v>
      </c>
      <c r="D1799" s="42" t="str">
        <v>Group 3</v>
      </c>
      <c r="E1799" s="42" t="str">
        <v>Rasunda Stadium</v>
      </c>
      <c r="F1799" s="42" t="str">
        <v xml:space="preserve">Solna </v>
      </c>
      <c r="G1799" s="42" t="str">
        <v>Mexico</v>
      </c>
      <c r="H1799" s="42" t="str">
        <v>1.0</v>
      </c>
      <c r="I1799" s="42" t="str">
        <v>1.0</v>
      </c>
      <c r="J1799" s="42" t="str">
        <v>Wales</v>
      </c>
      <c r="K1799" s="42" t="str">
        <v xml:space="preserve"> </v>
      </c>
      <c r="L1799" s="42" t="str">
        <f t="shared" si="138"/>
        <v xml:space="preserve">1958.0|11 Jun 1958 - 19:00 |Group 3|Rasunda Stadium|Solna |Mexico|1.0|1.0|Wales| </v>
      </c>
      <c r="M1799" s="42" t="str">
        <f>IF(COUNTIF($L$1689:L1799,L1799)&gt;1,"DOUBLON","OK")</f>
        <v>OK</v>
      </c>
      <c r="S1799" s="12" t="str">
        <v>Iran</v>
      </c>
      <c r="T1799" s="12" t="str">
        <f t="shared" si="139"/>
        <v>OK</v>
      </c>
      <c r="U1799" s="12" t="str">
        <f t="shared" si="140"/>
        <v>-</v>
      </c>
      <c r="V1799" s="12" t="str" cm="1">
        <f t="array" ref="V1799">_xlfn.IFS(
ISNUMBER(SEARCH("USA",S1799)),"United States",
ISNUMBER(SEARCH("Republic of Ireland",S1799)),"Ireland",
ISNUMBER(SEARCH("Republic of Korea",S1799)),"South Korea",
ISNUMBER(SEARCH("Cape Verde",S1799)),"Cabo Verde",
ISNUMBER(SEARCH("Czechia",S1799)),"Czech Republic",
ISNUMBER(SEARCH("Türkiye",S1799)),"Turkey",
ISNUMBER(SEARCH("Ivory Coast",S1799)),"Côte d'Ivoire",
ISNUMBER(SEARCH("Korea Republic",S1799)),"South Korea",
ISNUMBER(SEARCH("Germany FR",S1799)),"FR Germany",
ISNUMBER(SEARCH("West Germany",S1799)),"FR Germany",
ISNUMBER(SEARCH("Germany DR",S1799)),"DR Germany",
ISNUMBER(SEARCH("Korea DPR",S1799)),"North Korea",
ISNUMBER(SEARCH("China PR",S1799)),"China",
ISNUMBER(SEARCH("IR Iran",S1799)),"Iran",
ISNUMBER(SEARCH("Congo DR",S1799)),"Democratic Republic of the Congo",
ISNUMBER(SEARCH("DR Congo",S1799)),"Democratic Republic of the Congo",
ISNUMBER(SEARCH("German DR",S1799)),"DR Germany",
ISNUMBER(SEARCH("rn""&gt;United Arab Emirates",S1799)),"United Arab Emirates",
ISNUMBER(SEARCH("rn""&gt;Republic of Ireland",S1799)),"Ireland",
ISNUMBER(SEARCH("rn""&gt;Bosnia and Herzegovina",S1799)),"Bosnia and Herzegovina",
ISNUMBER(SEARCH("rn""&gt;Trinidad and Tobago",S1799)),"Trinidad and Tobago",
ISNUMBER(SEARCH("rn""&gt;Serbia and Montenegro",S1799)),"Serbia and Montenegro",
ISNUMBER(SEARCH(_xlfn.UNICHAR(65533),S1799)),"Côte d'Ivoire",
TRUE,""
)</f>
        <v/>
      </c>
      <c r="W1799" s="12" t="str">
        <f t="shared" si="141"/>
        <v>Iran</v>
      </c>
    </row>
    <row r="1800" spans="2:23">
      <c r="B1800" s="76" t="str">
        <v>1958.0</v>
      </c>
      <c r="C1800" s="42" t="str">
        <v xml:space="preserve">11 Jun 1958 - 19:00 </v>
      </c>
      <c r="D1800" s="42" t="str">
        <v>Group 2</v>
      </c>
      <c r="E1800" s="42" t="str">
        <v>Idrottsparken</v>
      </c>
      <c r="F1800" s="42" t="str">
        <v xml:space="preserve">Norrk�Ping </v>
      </c>
      <c r="G1800" s="42" t="str">
        <v>Paraguay</v>
      </c>
      <c r="H1800" s="42" t="str">
        <v>3.0</v>
      </c>
      <c r="I1800" s="42" t="str">
        <v>2.0</v>
      </c>
      <c r="J1800" s="42" t="str">
        <v>Scotland</v>
      </c>
      <c r="K1800" s="42" t="str">
        <v xml:space="preserve"> </v>
      </c>
      <c r="L1800" s="42" t="str">
        <f t="shared" si="138"/>
        <v xml:space="preserve">1958.0|11 Jun 1958 - 19:00 |Group 2|Idrottsparken|Norrk�Ping |Paraguay|3.0|2.0|Scotland| </v>
      </c>
      <c r="M1800" s="42" t="str">
        <f>IF(COUNTIF($L$1689:L1800,L1800)&gt;1,"DOUBLON","OK")</f>
        <v>OK</v>
      </c>
      <c r="S1800" s="12" t="str">
        <v>Iran</v>
      </c>
      <c r="T1800" s="12" t="str">
        <f t="shared" si="139"/>
        <v>OK</v>
      </c>
      <c r="U1800" s="12" t="str">
        <f t="shared" si="140"/>
        <v>-</v>
      </c>
      <c r="V1800" s="12" t="str" cm="1">
        <f t="array" ref="V1800">_xlfn.IFS(
ISNUMBER(SEARCH("USA",S1800)),"United States",
ISNUMBER(SEARCH("Republic of Ireland",S1800)),"Ireland",
ISNUMBER(SEARCH("Republic of Korea",S1800)),"South Korea",
ISNUMBER(SEARCH("Cape Verde",S1800)),"Cabo Verde",
ISNUMBER(SEARCH("Czechia",S1800)),"Czech Republic",
ISNUMBER(SEARCH("Türkiye",S1800)),"Turkey",
ISNUMBER(SEARCH("Ivory Coast",S1800)),"Côte d'Ivoire",
ISNUMBER(SEARCH("Korea Republic",S1800)),"South Korea",
ISNUMBER(SEARCH("Germany FR",S1800)),"FR Germany",
ISNUMBER(SEARCH("West Germany",S1800)),"FR Germany",
ISNUMBER(SEARCH("Germany DR",S1800)),"DR Germany",
ISNUMBER(SEARCH("Korea DPR",S1800)),"North Korea",
ISNUMBER(SEARCH("China PR",S1800)),"China",
ISNUMBER(SEARCH("IR Iran",S1800)),"Iran",
ISNUMBER(SEARCH("Congo DR",S1800)),"Democratic Republic of the Congo",
ISNUMBER(SEARCH("DR Congo",S1800)),"Democratic Republic of the Congo",
ISNUMBER(SEARCH("German DR",S1800)),"DR Germany",
ISNUMBER(SEARCH("rn""&gt;United Arab Emirates",S1800)),"United Arab Emirates",
ISNUMBER(SEARCH("rn""&gt;Republic of Ireland",S1800)),"Ireland",
ISNUMBER(SEARCH("rn""&gt;Bosnia and Herzegovina",S1800)),"Bosnia and Herzegovina",
ISNUMBER(SEARCH("rn""&gt;Trinidad and Tobago",S1800)),"Trinidad and Tobago",
ISNUMBER(SEARCH("rn""&gt;Serbia and Montenegro",S1800)),"Serbia and Montenegro",
ISNUMBER(SEARCH(_xlfn.UNICHAR(65533),S1800)),"Côte d'Ivoire",
TRUE,""
)</f>
        <v/>
      </c>
      <c r="W1800" s="12" t="str">
        <f t="shared" si="141"/>
        <v>Iran</v>
      </c>
    </row>
    <row r="1801" spans="2:23">
      <c r="B1801" s="76" t="str">
        <v>1958.0</v>
      </c>
      <c r="C1801" s="42" t="str">
        <v xml:space="preserve">11 Jun 1958 - 19:00 </v>
      </c>
      <c r="D1801" s="42" t="str">
        <v>Group 2</v>
      </c>
      <c r="E1801" s="42" t="str">
        <v>Arosvallen</v>
      </c>
      <c r="F1801" s="42" t="str">
        <v xml:space="preserve">Vasteras </v>
      </c>
      <c r="G1801" s="42" t="str">
        <v>Yugoslavia</v>
      </c>
      <c r="H1801" s="42" t="str">
        <v>3.0</v>
      </c>
      <c r="I1801" s="42" t="str">
        <v>2.0</v>
      </c>
      <c r="J1801" s="42" t="str">
        <v>France</v>
      </c>
      <c r="K1801" s="42" t="str">
        <v xml:space="preserve"> </v>
      </c>
      <c r="L1801" s="42" t="str">
        <f t="shared" si="138"/>
        <v xml:space="preserve">1958.0|11 Jun 1958 - 19:00 |Group 2|Arosvallen|Vasteras |Yugoslavia|3.0|2.0|France| </v>
      </c>
      <c r="M1801" s="42" t="str">
        <f>IF(COUNTIF($L$1689:L1801,L1801)&gt;1,"DOUBLON","OK")</f>
        <v>OK</v>
      </c>
      <c r="S1801" s="12" t="str">
        <v>Iran</v>
      </c>
      <c r="T1801" s="12" t="str">
        <f t="shared" si="139"/>
        <v>OK</v>
      </c>
      <c r="U1801" s="12" t="str">
        <f t="shared" si="140"/>
        <v>-</v>
      </c>
      <c r="V1801" s="12" t="str" cm="1">
        <f t="array" ref="V1801">_xlfn.IFS(
ISNUMBER(SEARCH("USA",S1801)),"United States",
ISNUMBER(SEARCH("Republic of Ireland",S1801)),"Ireland",
ISNUMBER(SEARCH("Republic of Korea",S1801)),"South Korea",
ISNUMBER(SEARCH("Cape Verde",S1801)),"Cabo Verde",
ISNUMBER(SEARCH("Czechia",S1801)),"Czech Republic",
ISNUMBER(SEARCH("Türkiye",S1801)),"Turkey",
ISNUMBER(SEARCH("Ivory Coast",S1801)),"Côte d'Ivoire",
ISNUMBER(SEARCH("Korea Republic",S1801)),"South Korea",
ISNUMBER(SEARCH("Germany FR",S1801)),"FR Germany",
ISNUMBER(SEARCH("West Germany",S1801)),"FR Germany",
ISNUMBER(SEARCH("Germany DR",S1801)),"DR Germany",
ISNUMBER(SEARCH("Korea DPR",S1801)),"North Korea",
ISNUMBER(SEARCH("China PR",S1801)),"China",
ISNUMBER(SEARCH("IR Iran",S1801)),"Iran",
ISNUMBER(SEARCH("Congo DR",S1801)),"Democratic Republic of the Congo",
ISNUMBER(SEARCH("DR Congo",S1801)),"Democratic Republic of the Congo",
ISNUMBER(SEARCH("German DR",S1801)),"DR Germany",
ISNUMBER(SEARCH("rn""&gt;United Arab Emirates",S1801)),"United Arab Emirates",
ISNUMBER(SEARCH("rn""&gt;Republic of Ireland",S1801)),"Ireland",
ISNUMBER(SEARCH("rn""&gt;Bosnia and Herzegovina",S1801)),"Bosnia and Herzegovina",
ISNUMBER(SEARCH("rn""&gt;Trinidad and Tobago",S1801)),"Trinidad and Tobago",
ISNUMBER(SEARCH("rn""&gt;Serbia and Montenegro",S1801)),"Serbia and Montenegro",
ISNUMBER(SEARCH(_xlfn.UNICHAR(65533),S1801)),"Côte d'Ivoire",
TRUE,""
)</f>
        <v/>
      </c>
      <c r="W1801" s="12" t="str">
        <f t="shared" si="141"/>
        <v>Iran</v>
      </c>
    </row>
    <row r="1802" spans="2:23">
      <c r="B1802" s="76" t="str">
        <v>1958.0</v>
      </c>
      <c r="C1802" s="42" t="str">
        <v xml:space="preserve">11 Jun 1958 - 19:00 </v>
      </c>
      <c r="D1802" s="42" t="str">
        <v>Group 4</v>
      </c>
      <c r="E1802" s="42" t="str">
        <v>Ryavallen</v>
      </c>
      <c r="F1802" s="42" t="str">
        <v xml:space="preserve">Boras </v>
      </c>
      <c r="G1802" s="42" t="str">
        <v>Soviet Union</v>
      </c>
      <c r="H1802" s="42" t="str">
        <v>2.0</v>
      </c>
      <c r="I1802" s="42" t="str">
        <v>0.0</v>
      </c>
      <c r="J1802" s="42" t="str">
        <v>Austria</v>
      </c>
      <c r="K1802" s="42" t="str">
        <v xml:space="preserve"> </v>
      </c>
      <c r="L1802" s="42" t="str">
        <f t="shared" si="138"/>
        <v xml:space="preserve">1958.0|11 Jun 1958 - 19:00 |Group 4|Ryavallen|Boras |Soviet Union|2.0|0.0|Austria| </v>
      </c>
      <c r="M1802" s="42" t="str">
        <f>IF(COUNTIF($L$1689:L1802,L1802)&gt;1,"DOUBLON","OK")</f>
        <v>OK</v>
      </c>
      <c r="S1802" s="12" t="str">
        <v>Iran</v>
      </c>
      <c r="T1802" s="12" t="str">
        <f t="shared" si="139"/>
        <v>OK</v>
      </c>
      <c r="U1802" s="12" t="str">
        <f t="shared" si="140"/>
        <v>-</v>
      </c>
      <c r="V1802" s="12" t="str" cm="1">
        <f t="array" ref="V1802">_xlfn.IFS(
ISNUMBER(SEARCH("USA",S1802)),"United States",
ISNUMBER(SEARCH("Republic of Ireland",S1802)),"Ireland",
ISNUMBER(SEARCH("Republic of Korea",S1802)),"South Korea",
ISNUMBER(SEARCH("Cape Verde",S1802)),"Cabo Verde",
ISNUMBER(SEARCH("Czechia",S1802)),"Czech Republic",
ISNUMBER(SEARCH("Türkiye",S1802)),"Turkey",
ISNUMBER(SEARCH("Ivory Coast",S1802)),"Côte d'Ivoire",
ISNUMBER(SEARCH("Korea Republic",S1802)),"South Korea",
ISNUMBER(SEARCH("Germany FR",S1802)),"FR Germany",
ISNUMBER(SEARCH("West Germany",S1802)),"FR Germany",
ISNUMBER(SEARCH("Germany DR",S1802)),"DR Germany",
ISNUMBER(SEARCH("Korea DPR",S1802)),"North Korea",
ISNUMBER(SEARCH("China PR",S1802)),"China",
ISNUMBER(SEARCH("IR Iran",S1802)),"Iran",
ISNUMBER(SEARCH("Congo DR",S1802)),"Democratic Republic of the Congo",
ISNUMBER(SEARCH("DR Congo",S1802)),"Democratic Republic of the Congo",
ISNUMBER(SEARCH("German DR",S1802)),"DR Germany",
ISNUMBER(SEARCH("rn""&gt;United Arab Emirates",S1802)),"United Arab Emirates",
ISNUMBER(SEARCH("rn""&gt;Republic of Ireland",S1802)),"Ireland",
ISNUMBER(SEARCH("rn""&gt;Bosnia and Herzegovina",S1802)),"Bosnia and Herzegovina",
ISNUMBER(SEARCH("rn""&gt;Trinidad and Tobago",S1802)),"Trinidad and Tobago",
ISNUMBER(SEARCH("rn""&gt;Serbia and Montenegro",S1802)),"Serbia and Montenegro",
ISNUMBER(SEARCH(_xlfn.UNICHAR(65533),S1802)),"Côte d'Ivoire",
TRUE,""
)</f>
        <v/>
      </c>
      <c r="W1802" s="12" t="str">
        <f t="shared" si="141"/>
        <v>Iran</v>
      </c>
    </row>
    <row r="1803" spans="2:23">
      <c r="B1803" s="76" t="str">
        <v>1958.0</v>
      </c>
      <c r="C1803" s="42" t="str">
        <v xml:space="preserve">11 Jun 1958 - 19:00 </v>
      </c>
      <c r="D1803" s="42" t="str">
        <v>Group 1</v>
      </c>
      <c r="E1803" s="42" t="str">
        <v>Olympia Stadium</v>
      </c>
      <c r="F1803" s="42" t="str">
        <v xml:space="preserve">Helsingborg </v>
      </c>
      <c r="G1803" s="42" t="str">
        <v>Germany FR</v>
      </c>
      <c r="H1803" s="42" t="str">
        <v>2.0</v>
      </c>
      <c r="I1803" s="42" t="str">
        <v>2.0</v>
      </c>
      <c r="J1803" s="42" t="str">
        <v>Czechoslovakia</v>
      </c>
      <c r="K1803" s="42" t="str">
        <v xml:space="preserve"> </v>
      </c>
      <c r="L1803" s="42" t="str">
        <f t="shared" si="138"/>
        <v xml:space="preserve">1958.0|11 Jun 1958 - 19:00 |Group 1|Olympia Stadium|Helsingborg |Germany FR|2.0|2.0|Czechoslovakia| </v>
      </c>
      <c r="M1803" s="42" t="str">
        <f>IF(COUNTIF($L$1689:L1803,L1803)&gt;1,"DOUBLON","OK")</f>
        <v>OK</v>
      </c>
      <c r="S1803" s="12" t="str">
        <v>Iran</v>
      </c>
      <c r="T1803" s="12" t="str">
        <f t="shared" si="139"/>
        <v>OK</v>
      </c>
      <c r="U1803" s="12" t="str">
        <f t="shared" si="140"/>
        <v>-</v>
      </c>
      <c r="V1803" s="12" t="str" cm="1">
        <f t="array" ref="V1803">_xlfn.IFS(
ISNUMBER(SEARCH("USA",S1803)),"United States",
ISNUMBER(SEARCH("Republic of Ireland",S1803)),"Ireland",
ISNUMBER(SEARCH("Republic of Korea",S1803)),"South Korea",
ISNUMBER(SEARCH("Cape Verde",S1803)),"Cabo Verde",
ISNUMBER(SEARCH("Czechia",S1803)),"Czech Republic",
ISNUMBER(SEARCH("Türkiye",S1803)),"Turkey",
ISNUMBER(SEARCH("Ivory Coast",S1803)),"Côte d'Ivoire",
ISNUMBER(SEARCH("Korea Republic",S1803)),"South Korea",
ISNUMBER(SEARCH("Germany FR",S1803)),"FR Germany",
ISNUMBER(SEARCH("West Germany",S1803)),"FR Germany",
ISNUMBER(SEARCH("Germany DR",S1803)),"DR Germany",
ISNUMBER(SEARCH("Korea DPR",S1803)),"North Korea",
ISNUMBER(SEARCH("China PR",S1803)),"China",
ISNUMBER(SEARCH("IR Iran",S1803)),"Iran",
ISNUMBER(SEARCH("Congo DR",S1803)),"Democratic Republic of the Congo",
ISNUMBER(SEARCH("DR Congo",S1803)),"Democratic Republic of the Congo",
ISNUMBER(SEARCH("German DR",S1803)),"DR Germany",
ISNUMBER(SEARCH("rn""&gt;United Arab Emirates",S1803)),"United Arab Emirates",
ISNUMBER(SEARCH("rn""&gt;Republic of Ireland",S1803)),"Ireland",
ISNUMBER(SEARCH("rn""&gt;Bosnia and Herzegovina",S1803)),"Bosnia and Herzegovina",
ISNUMBER(SEARCH("rn""&gt;Trinidad and Tobago",S1803)),"Trinidad and Tobago",
ISNUMBER(SEARCH("rn""&gt;Serbia and Montenegro",S1803)),"Serbia and Montenegro",
ISNUMBER(SEARCH(_xlfn.UNICHAR(65533),S1803)),"Côte d'Ivoire",
TRUE,""
)</f>
        <v/>
      </c>
      <c r="W1803" s="12" t="str">
        <f t="shared" si="141"/>
        <v>Iran</v>
      </c>
    </row>
    <row r="1804" spans="2:23">
      <c r="B1804" s="76" t="str">
        <v>1958.0</v>
      </c>
      <c r="C1804" s="42" t="str">
        <v xml:space="preserve">11 Jun 1958 - 19:00 </v>
      </c>
      <c r="D1804" s="42" t="str">
        <v>Group 1</v>
      </c>
      <c r="E1804" s="42" t="str">
        <v>Orjans Vall</v>
      </c>
      <c r="F1804" s="42" t="str">
        <v xml:space="preserve">Halmstad </v>
      </c>
      <c r="G1804" s="42" t="str">
        <v>Argentina</v>
      </c>
      <c r="H1804" s="42" t="str">
        <v>3.0</v>
      </c>
      <c r="I1804" s="42" t="str">
        <v>1.0</v>
      </c>
      <c r="J1804" s="42" t="str">
        <v>Northern Ireland</v>
      </c>
      <c r="K1804" s="42" t="str">
        <v xml:space="preserve"> </v>
      </c>
      <c r="L1804" s="42" t="str">
        <f t="shared" si="138"/>
        <v xml:space="preserve">1958.0|11 Jun 1958 - 19:00 |Group 1|Orjans Vall|Halmstad |Argentina|3.0|1.0|Northern Ireland| </v>
      </c>
      <c r="M1804" s="42" t="str">
        <f>IF(COUNTIF($L$1689:L1804,L1804)&gt;1,"DOUBLON","OK")</f>
        <v>OK</v>
      </c>
      <c r="S1804" s="12" t="str">
        <v>Iran</v>
      </c>
      <c r="T1804" s="12" t="str">
        <f t="shared" si="139"/>
        <v>OK</v>
      </c>
      <c r="U1804" s="12" t="str">
        <f t="shared" si="140"/>
        <v>-</v>
      </c>
      <c r="V1804" s="12" t="str" cm="1">
        <f t="array" ref="V1804">_xlfn.IFS(
ISNUMBER(SEARCH("USA",S1804)),"United States",
ISNUMBER(SEARCH("Republic of Ireland",S1804)),"Ireland",
ISNUMBER(SEARCH("Republic of Korea",S1804)),"South Korea",
ISNUMBER(SEARCH("Cape Verde",S1804)),"Cabo Verde",
ISNUMBER(SEARCH("Czechia",S1804)),"Czech Republic",
ISNUMBER(SEARCH("Türkiye",S1804)),"Turkey",
ISNUMBER(SEARCH("Ivory Coast",S1804)),"Côte d'Ivoire",
ISNUMBER(SEARCH("Korea Republic",S1804)),"South Korea",
ISNUMBER(SEARCH("Germany FR",S1804)),"FR Germany",
ISNUMBER(SEARCH("West Germany",S1804)),"FR Germany",
ISNUMBER(SEARCH("Germany DR",S1804)),"DR Germany",
ISNUMBER(SEARCH("Korea DPR",S1804)),"North Korea",
ISNUMBER(SEARCH("China PR",S1804)),"China",
ISNUMBER(SEARCH("IR Iran",S1804)),"Iran",
ISNUMBER(SEARCH("Congo DR",S1804)),"Democratic Republic of the Congo",
ISNUMBER(SEARCH("DR Congo",S1804)),"Democratic Republic of the Congo",
ISNUMBER(SEARCH("German DR",S1804)),"DR Germany",
ISNUMBER(SEARCH("rn""&gt;United Arab Emirates",S1804)),"United Arab Emirates",
ISNUMBER(SEARCH("rn""&gt;Republic of Ireland",S1804)),"Ireland",
ISNUMBER(SEARCH("rn""&gt;Bosnia and Herzegovina",S1804)),"Bosnia and Herzegovina",
ISNUMBER(SEARCH("rn""&gt;Trinidad and Tobago",S1804)),"Trinidad and Tobago",
ISNUMBER(SEARCH("rn""&gt;Serbia and Montenegro",S1804)),"Serbia and Montenegro",
ISNUMBER(SEARCH(_xlfn.UNICHAR(65533),S1804)),"Côte d'Ivoire",
TRUE,""
)</f>
        <v/>
      </c>
      <c r="W1804" s="12" t="str">
        <f t="shared" si="141"/>
        <v>Iran</v>
      </c>
    </row>
    <row r="1805" spans="2:23">
      <c r="B1805" s="76" t="str">
        <v>1958.0</v>
      </c>
      <c r="C1805" s="42" t="str">
        <v xml:space="preserve">12 Jun 1958 - 19:00 </v>
      </c>
      <c r="D1805" s="42" t="str">
        <v>Group 3</v>
      </c>
      <c r="E1805" s="42" t="str">
        <v>Rasunda Stadium</v>
      </c>
      <c r="F1805" s="42" t="str">
        <v xml:space="preserve">Solna </v>
      </c>
      <c r="G1805" s="42" t="str">
        <v>Sweden</v>
      </c>
      <c r="H1805" s="42" t="str">
        <v>2.0</v>
      </c>
      <c r="I1805" s="42" t="str">
        <v>1.0</v>
      </c>
      <c r="J1805" s="42" t="str">
        <v>Hungary</v>
      </c>
      <c r="K1805" s="42" t="str">
        <v xml:space="preserve"> </v>
      </c>
      <c r="L1805" s="42" t="str">
        <f t="shared" si="138"/>
        <v xml:space="preserve">1958.0|12 Jun 1958 - 19:00 |Group 3|Rasunda Stadium|Solna |Sweden|2.0|1.0|Hungary| </v>
      </c>
      <c r="M1805" s="42" t="str">
        <f>IF(COUNTIF($L$1689:L1805,L1805)&gt;1,"DOUBLON","OK")</f>
        <v>OK</v>
      </c>
      <c r="S1805" s="12" t="str">
        <v>Iran</v>
      </c>
      <c r="T1805" s="12" t="str">
        <f t="shared" si="139"/>
        <v>OK</v>
      </c>
      <c r="U1805" s="12" t="str">
        <f t="shared" si="140"/>
        <v>-</v>
      </c>
      <c r="V1805" s="12" t="str" cm="1">
        <f t="array" ref="V1805">_xlfn.IFS(
ISNUMBER(SEARCH("USA",S1805)),"United States",
ISNUMBER(SEARCH("Republic of Ireland",S1805)),"Ireland",
ISNUMBER(SEARCH("Republic of Korea",S1805)),"South Korea",
ISNUMBER(SEARCH("Cape Verde",S1805)),"Cabo Verde",
ISNUMBER(SEARCH("Czechia",S1805)),"Czech Republic",
ISNUMBER(SEARCH("Türkiye",S1805)),"Turkey",
ISNUMBER(SEARCH("Ivory Coast",S1805)),"Côte d'Ivoire",
ISNUMBER(SEARCH("Korea Republic",S1805)),"South Korea",
ISNUMBER(SEARCH("Germany FR",S1805)),"FR Germany",
ISNUMBER(SEARCH("West Germany",S1805)),"FR Germany",
ISNUMBER(SEARCH("Germany DR",S1805)),"DR Germany",
ISNUMBER(SEARCH("Korea DPR",S1805)),"North Korea",
ISNUMBER(SEARCH("China PR",S1805)),"China",
ISNUMBER(SEARCH("IR Iran",S1805)),"Iran",
ISNUMBER(SEARCH("Congo DR",S1805)),"Democratic Republic of the Congo",
ISNUMBER(SEARCH("DR Congo",S1805)),"Democratic Republic of the Congo",
ISNUMBER(SEARCH("German DR",S1805)),"DR Germany",
ISNUMBER(SEARCH("rn""&gt;United Arab Emirates",S1805)),"United Arab Emirates",
ISNUMBER(SEARCH("rn""&gt;Republic of Ireland",S1805)),"Ireland",
ISNUMBER(SEARCH("rn""&gt;Bosnia and Herzegovina",S1805)),"Bosnia and Herzegovina",
ISNUMBER(SEARCH("rn""&gt;Trinidad and Tobago",S1805)),"Trinidad and Tobago",
ISNUMBER(SEARCH("rn""&gt;Serbia and Montenegro",S1805)),"Serbia and Montenegro",
ISNUMBER(SEARCH(_xlfn.UNICHAR(65533),S1805)),"Côte d'Ivoire",
TRUE,""
)</f>
        <v/>
      </c>
      <c r="W1805" s="12" t="str">
        <f t="shared" si="141"/>
        <v>Iran</v>
      </c>
    </row>
    <row r="1806" spans="2:23">
      <c r="B1806" s="76" t="str">
        <v>1958.0</v>
      </c>
      <c r="C1806" s="42" t="str">
        <v xml:space="preserve">15 Jun 1958 - 14:00 </v>
      </c>
      <c r="D1806" s="42" t="str">
        <v>Group 3</v>
      </c>
      <c r="E1806" s="42" t="str">
        <v>Rasunda Stadium</v>
      </c>
      <c r="F1806" s="42" t="str">
        <v xml:space="preserve">Solna </v>
      </c>
      <c r="G1806" s="42" t="str">
        <v>Sweden</v>
      </c>
      <c r="H1806" s="42" t="str">
        <v>0.0</v>
      </c>
      <c r="I1806" s="42" t="str">
        <v>0.0</v>
      </c>
      <c r="J1806" s="42" t="str">
        <v>Wales</v>
      </c>
      <c r="K1806" s="42" t="str">
        <v xml:space="preserve"> </v>
      </c>
      <c r="L1806" s="42" t="str">
        <f t="shared" si="138"/>
        <v xml:space="preserve">1958.0|15 Jun 1958 - 14:00 |Group 3|Rasunda Stadium|Solna |Sweden|0.0|0.0|Wales| </v>
      </c>
      <c r="M1806" s="42" t="str">
        <f>IF(COUNTIF($L$1689:L1806,L1806)&gt;1,"DOUBLON","OK")</f>
        <v>OK</v>
      </c>
      <c r="S1806" s="12" t="str">
        <v>Iran</v>
      </c>
      <c r="T1806" s="12" t="str">
        <f t="shared" si="139"/>
        <v>OK</v>
      </c>
      <c r="U1806" s="12" t="str">
        <f t="shared" si="140"/>
        <v>-</v>
      </c>
      <c r="V1806" s="12" t="str" cm="1">
        <f t="array" ref="V1806">_xlfn.IFS(
ISNUMBER(SEARCH("USA",S1806)),"United States",
ISNUMBER(SEARCH("Republic of Ireland",S1806)),"Ireland",
ISNUMBER(SEARCH("Republic of Korea",S1806)),"South Korea",
ISNUMBER(SEARCH("Cape Verde",S1806)),"Cabo Verde",
ISNUMBER(SEARCH("Czechia",S1806)),"Czech Republic",
ISNUMBER(SEARCH("Türkiye",S1806)),"Turkey",
ISNUMBER(SEARCH("Ivory Coast",S1806)),"Côte d'Ivoire",
ISNUMBER(SEARCH("Korea Republic",S1806)),"South Korea",
ISNUMBER(SEARCH("Germany FR",S1806)),"FR Germany",
ISNUMBER(SEARCH("West Germany",S1806)),"FR Germany",
ISNUMBER(SEARCH("Germany DR",S1806)),"DR Germany",
ISNUMBER(SEARCH("Korea DPR",S1806)),"North Korea",
ISNUMBER(SEARCH("China PR",S1806)),"China",
ISNUMBER(SEARCH("IR Iran",S1806)),"Iran",
ISNUMBER(SEARCH("Congo DR",S1806)),"Democratic Republic of the Congo",
ISNUMBER(SEARCH("DR Congo",S1806)),"Democratic Republic of the Congo",
ISNUMBER(SEARCH("German DR",S1806)),"DR Germany",
ISNUMBER(SEARCH("rn""&gt;United Arab Emirates",S1806)),"United Arab Emirates",
ISNUMBER(SEARCH("rn""&gt;Republic of Ireland",S1806)),"Ireland",
ISNUMBER(SEARCH("rn""&gt;Bosnia and Herzegovina",S1806)),"Bosnia and Herzegovina",
ISNUMBER(SEARCH("rn""&gt;Trinidad and Tobago",S1806)),"Trinidad and Tobago",
ISNUMBER(SEARCH("rn""&gt;Serbia and Montenegro",S1806)),"Serbia and Montenegro",
ISNUMBER(SEARCH(_xlfn.UNICHAR(65533),S1806)),"Côte d'Ivoire",
TRUE,""
)</f>
        <v/>
      </c>
      <c r="W1806" s="12" t="str">
        <f t="shared" si="141"/>
        <v>Iran</v>
      </c>
    </row>
    <row r="1807" spans="2:23">
      <c r="B1807" s="76" t="str">
        <v>1958.0</v>
      </c>
      <c r="C1807" s="42" t="str">
        <v xml:space="preserve">15 Jun 1958 - 19:00 </v>
      </c>
      <c r="D1807" s="42" t="str">
        <v>Group 4</v>
      </c>
      <c r="E1807" s="42" t="str">
        <v>Nya Ullevi</v>
      </c>
      <c r="F1807" s="42" t="str">
        <v xml:space="preserve">Gothenburg </v>
      </c>
      <c r="G1807" s="42" t="str">
        <v>Brazil</v>
      </c>
      <c r="H1807" s="42" t="str">
        <v>2.0</v>
      </c>
      <c r="I1807" s="42" t="str">
        <v>0.0</v>
      </c>
      <c r="J1807" s="42" t="str">
        <v>Soviet Union</v>
      </c>
      <c r="K1807" s="42" t="str">
        <v xml:space="preserve"> </v>
      </c>
      <c r="L1807" s="42" t="str">
        <f t="shared" si="138"/>
        <v xml:space="preserve">1958.0|15 Jun 1958 - 19:00 |Group 4|Nya Ullevi|Gothenburg |Brazil|2.0|0.0|Soviet Union| </v>
      </c>
      <c r="M1807" s="42" t="str">
        <f>IF(COUNTIF($L$1689:L1807,L1807)&gt;1,"DOUBLON","OK")</f>
        <v>OK</v>
      </c>
      <c r="S1807" s="12" t="str">
        <v>Iran</v>
      </c>
      <c r="T1807" s="12" t="str">
        <f t="shared" si="139"/>
        <v>OK</v>
      </c>
      <c r="U1807" s="12" t="str">
        <f t="shared" si="140"/>
        <v>-</v>
      </c>
      <c r="V1807" s="12" t="str" cm="1">
        <f t="array" ref="V1807">_xlfn.IFS(
ISNUMBER(SEARCH("USA",S1807)),"United States",
ISNUMBER(SEARCH("Republic of Ireland",S1807)),"Ireland",
ISNUMBER(SEARCH("Republic of Korea",S1807)),"South Korea",
ISNUMBER(SEARCH("Cape Verde",S1807)),"Cabo Verde",
ISNUMBER(SEARCH("Czechia",S1807)),"Czech Republic",
ISNUMBER(SEARCH("Türkiye",S1807)),"Turkey",
ISNUMBER(SEARCH("Ivory Coast",S1807)),"Côte d'Ivoire",
ISNUMBER(SEARCH("Korea Republic",S1807)),"South Korea",
ISNUMBER(SEARCH("Germany FR",S1807)),"FR Germany",
ISNUMBER(SEARCH("West Germany",S1807)),"FR Germany",
ISNUMBER(SEARCH("Germany DR",S1807)),"DR Germany",
ISNUMBER(SEARCH("Korea DPR",S1807)),"North Korea",
ISNUMBER(SEARCH("China PR",S1807)),"China",
ISNUMBER(SEARCH("IR Iran",S1807)),"Iran",
ISNUMBER(SEARCH("Congo DR",S1807)),"Democratic Republic of the Congo",
ISNUMBER(SEARCH("DR Congo",S1807)),"Democratic Republic of the Congo",
ISNUMBER(SEARCH("German DR",S1807)),"DR Germany",
ISNUMBER(SEARCH("rn""&gt;United Arab Emirates",S1807)),"United Arab Emirates",
ISNUMBER(SEARCH("rn""&gt;Republic of Ireland",S1807)),"Ireland",
ISNUMBER(SEARCH("rn""&gt;Bosnia and Herzegovina",S1807)),"Bosnia and Herzegovina",
ISNUMBER(SEARCH("rn""&gt;Trinidad and Tobago",S1807)),"Trinidad and Tobago",
ISNUMBER(SEARCH("rn""&gt;Serbia and Montenegro",S1807)),"Serbia and Montenegro",
ISNUMBER(SEARCH(_xlfn.UNICHAR(65533),S1807)),"Côte d'Ivoire",
TRUE,""
)</f>
        <v/>
      </c>
      <c r="W1807" s="12" t="str">
        <f t="shared" si="141"/>
        <v>Iran</v>
      </c>
    </row>
    <row r="1808" spans="2:23">
      <c r="B1808" s="76" t="str">
        <v>1958.0</v>
      </c>
      <c r="C1808" s="42" t="str">
        <v xml:space="preserve">15 Jun 1958 - 19:00 </v>
      </c>
      <c r="D1808" s="42" t="str">
        <v>Group 1</v>
      </c>
      <c r="E1808" s="42" t="str">
        <v>Malmo Stadion</v>
      </c>
      <c r="F1808" s="42" t="str">
        <v xml:space="preserve">Malm� </v>
      </c>
      <c r="G1808" s="42" t="str">
        <v>Germany FR</v>
      </c>
      <c r="H1808" s="42" t="str">
        <v>2.0</v>
      </c>
      <c r="I1808" s="42" t="str">
        <v>2.0</v>
      </c>
      <c r="J1808" s="42" t="str">
        <v>Northern Ireland</v>
      </c>
      <c r="K1808" s="42" t="str">
        <v xml:space="preserve"> </v>
      </c>
      <c r="L1808" s="42" t="str">
        <f t="shared" si="138"/>
        <v xml:space="preserve">1958.0|15 Jun 1958 - 19:00 |Group 1|Malmo Stadion|Malm� |Germany FR|2.0|2.0|Northern Ireland| </v>
      </c>
      <c r="M1808" s="42" t="str">
        <f>IF(COUNTIF($L$1689:L1808,L1808)&gt;1,"DOUBLON","OK")</f>
        <v>OK</v>
      </c>
      <c r="S1808" s="12" t="str">
        <v>Iran</v>
      </c>
      <c r="T1808" s="12" t="str">
        <f t="shared" si="139"/>
        <v>OK</v>
      </c>
      <c r="U1808" s="12" t="str">
        <f t="shared" si="140"/>
        <v>-</v>
      </c>
      <c r="V1808" s="12" t="str" cm="1">
        <f t="array" ref="V1808">_xlfn.IFS(
ISNUMBER(SEARCH("USA",S1808)),"United States",
ISNUMBER(SEARCH("Republic of Ireland",S1808)),"Ireland",
ISNUMBER(SEARCH("Republic of Korea",S1808)),"South Korea",
ISNUMBER(SEARCH("Cape Verde",S1808)),"Cabo Verde",
ISNUMBER(SEARCH("Czechia",S1808)),"Czech Republic",
ISNUMBER(SEARCH("Türkiye",S1808)),"Turkey",
ISNUMBER(SEARCH("Ivory Coast",S1808)),"Côte d'Ivoire",
ISNUMBER(SEARCH("Korea Republic",S1808)),"South Korea",
ISNUMBER(SEARCH("Germany FR",S1808)),"FR Germany",
ISNUMBER(SEARCH("West Germany",S1808)),"FR Germany",
ISNUMBER(SEARCH("Germany DR",S1808)),"DR Germany",
ISNUMBER(SEARCH("Korea DPR",S1808)),"North Korea",
ISNUMBER(SEARCH("China PR",S1808)),"China",
ISNUMBER(SEARCH("IR Iran",S1808)),"Iran",
ISNUMBER(SEARCH("Congo DR",S1808)),"Democratic Republic of the Congo",
ISNUMBER(SEARCH("DR Congo",S1808)),"Democratic Republic of the Congo",
ISNUMBER(SEARCH("German DR",S1808)),"DR Germany",
ISNUMBER(SEARCH("rn""&gt;United Arab Emirates",S1808)),"United Arab Emirates",
ISNUMBER(SEARCH("rn""&gt;Republic of Ireland",S1808)),"Ireland",
ISNUMBER(SEARCH("rn""&gt;Bosnia and Herzegovina",S1808)),"Bosnia and Herzegovina",
ISNUMBER(SEARCH("rn""&gt;Trinidad and Tobago",S1808)),"Trinidad and Tobago",
ISNUMBER(SEARCH("rn""&gt;Serbia and Montenegro",S1808)),"Serbia and Montenegro",
ISNUMBER(SEARCH(_xlfn.UNICHAR(65533),S1808)),"Côte d'Ivoire",
TRUE,""
)</f>
        <v/>
      </c>
      <c r="W1808" s="12" t="str">
        <f t="shared" si="141"/>
        <v>Iran</v>
      </c>
    </row>
    <row r="1809" spans="2:23">
      <c r="B1809" s="76" t="str">
        <v>1958.0</v>
      </c>
      <c r="C1809" s="42" t="str">
        <v xml:space="preserve">15 Jun 1958 - 19:00 </v>
      </c>
      <c r="D1809" s="42" t="str">
        <v>Group 3</v>
      </c>
      <c r="E1809" s="42" t="str">
        <v>Jarnvallen</v>
      </c>
      <c r="F1809" s="42" t="str">
        <v xml:space="preserve">Sandviken </v>
      </c>
      <c r="G1809" s="42" t="str">
        <v>Hungary</v>
      </c>
      <c r="H1809" s="42" t="str">
        <v>4.0</v>
      </c>
      <c r="I1809" s="42" t="str">
        <v>0.0</v>
      </c>
      <c r="J1809" s="42" t="str">
        <v>Mexico</v>
      </c>
      <c r="K1809" s="42" t="str">
        <v xml:space="preserve"> </v>
      </c>
      <c r="L1809" s="42" t="str">
        <f t="shared" si="138"/>
        <v xml:space="preserve">1958.0|15 Jun 1958 - 19:00 |Group 3|Jarnvallen|Sandviken |Hungary|4.0|0.0|Mexico| </v>
      </c>
      <c r="M1809" s="42" t="str">
        <f>IF(COUNTIF($L$1689:L1809,L1809)&gt;1,"DOUBLON","OK")</f>
        <v>OK</v>
      </c>
      <c r="S1809" s="12" t="str">
        <v>Iran</v>
      </c>
      <c r="T1809" s="12" t="str">
        <f t="shared" si="139"/>
        <v>OK</v>
      </c>
      <c r="U1809" s="12" t="str">
        <f t="shared" si="140"/>
        <v>-</v>
      </c>
      <c r="V1809" s="12" t="str" cm="1">
        <f t="array" ref="V1809">_xlfn.IFS(
ISNUMBER(SEARCH("USA",S1809)),"United States",
ISNUMBER(SEARCH("Republic of Ireland",S1809)),"Ireland",
ISNUMBER(SEARCH("Republic of Korea",S1809)),"South Korea",
ISNUMBER(SEARCH("Cape Verde",S1809)),"Cabo Verde",
ISNUMBER(SEARCH("Czechia",S1809)),"Czech Republic",
ISNUMBER(SEARCH("Türkiye",S1809)),"Turkey",
ISNUMBER(SEARCH("Ivory Coast",S1809)),"Côte d'Ivoire",
ISNUMBER(SEARCH("Korea Republic",S1809)),"South Korea",
ISNUMBER(SEARCH("Germany FR",S1809)),"FR Germany",
ISNUMBER(SEARCH("West Germany",S1809)),"FR Germany",
ISNUMBER(SEARCH("Germany DR",S1809)),"DR Germany",
ISNUMBER(SEARCH("Korea DPR",S1809)),"North Korea",
ISNUMBER(SEARCH("China PR",S1809)),"China",
ISNUMBER(SEARCH("IR Iran",S1809)),"Iran",
ISNUMBER(SEARCH("Congo DR",S1809)),"Democratic Republic of the Congo",
ISNUMBER(SEARCH("DR Congo",S1809)),"Democratic Republic of the Congo",
ISNUMBER(SEARCH("German DR",S1809)),"DR Germany",
ISNUMBER(SEARCH("rn""&gt;United Arab Emirates",S1809)),"United Arab Emirates",
ISNUMBER(SEARCH("rn""&gt;Republic of Ireland",S1809)),"Ireland",
ISNUMBER(SEARCH("rn""&gt;Bosnia and Herzegovina",S1809)),"Bosnia and Herzegovina",
ISNUMBER(SEARCH("rn""&gt;Trinidad and Tobago",S1809)),"Trinidad and Tobago",
ISNUMBER(SEARCH("rn""&gt;Serbia and Montenegro",S1809)),"Serbia and Montenegro",
ISNUMBER(SEARCH(_xlfn.UNICHAR(65533),S1809)),"Côte d'Ivoire",
TRUE,""
)</f>
        <v/>
      </c>
      <c r="W1809" s="12" t="str">
        <f t="shared" si="141"/>
        <v>Iran</v>
      </c>
    </row>
    <row r="1810" spans="2:23">
      <c r="B1810" s="76" t="str">
        <v>1958.0</v>
      </c>
      <c r="C1810" s="42" t="str">
        <v xml:space="preserve">15 Jun 1958 - 19:00 </v>
      </c>
      <c r="D1810" s="42" t="str">
        <v>Group 2</v>
      </c>
      <c r="E1810" s="42" t="str">
        <v>Tunavallen</v>
      </c>
      <c r="F1810" s="42" t="str">
        <v xml:space="preserve">Eskilstuna </v>
      </c>
      <c r="G1810" s="42" t="str">
        <v>Paraguay</v>
      </c>
      <c r="H1810" s="42" t="str">
        <v>3.0</v>
      </c>
      <c r="I1810" s="42" t="str">
        <v>3.0</v>
      </c>
      <c r="J1810" s="42" t="str">
        <v>Yugoslavia</v>
      </c>
      <c r="K1810" s="42" t="str">
        <v xml:space="preserve"> </v>
      </c>
      <c r="L1810" s="42" t="str">
        <f t="shared" si="138"/>
        <v xml:space="preserve">1958.0|15 Jun 1958 - 19:00 |Group 2|Tunavallen|Eskilstuna |Paraguay|3.0|3.0|Yugoslavia| </v>
      </c>
      <c r="M1810" s="42" t="str">
        <f>IF(COUNTIF($L$1689:L1810,L1810)&gt;1,"DOUBLON","OK")</f>
        <v>OK</v>
      </c>
      <c r="S1810" s="12" t="str">
        <v>Iran</v>
      </c>
      <c r="T1810" s="12" t="str">
        <f t="shared" si="139"/>
        <v>OK</v>
      </c>
      <c r="U1810" s="12" t="str">
        <f t="shared" si="140"/>
        <v>-</v>
      </c>
      <c r="V1810" s="12" t="str" cm="1">
        <f t="array" ref="V1810">_xlfn.IFS(
ISNUMBER(SEARCH("USA",S1810)),"United States",
ISNUMBER(SEARCH("Republic of Ireland",S1810)),"Ireland",
ISNUMBER(SEARCH("Republic of Korea",S1810)),"South Korea",
ISNUMBER(SEARCH("Cape Verde",S1810)),"Cabo Verde",
ISNUMBER(SEARCH("Czechia",S1810)),"Czech Republic",
ISNUMBER(SEARCH("Türkiye",S1810)),"Turkey",
ISNUMBER(SEARCH("Ivory Coast",S1810)),"Côte d'Ivoire",
ISNUMBER(SEARCH("Korea Republic",S1810)),"South Korea",
ISNUMBER(SEARCH("Germany FR",S1810)),"FR Germany",
ISNUMBER(SEARCH("West Germany",S1810)),"FR Germany",
ISNUMBER(SEARCH("Germany DR",S1810)),"DR Germany",
ISNUMBER(SEARCH("Korea DPR",S1810)),"North Korea",
ISNUMBER(SEARCH("China PR",S1810)),"China",
ISNUMBER(SEARCH("IR Iran",S1810)),"Iran",
ISNUMBER(SEARCH("Congo DR",S1810)),"Democratic Republic of the Congo",
ISNUMBER(SEARCH("DR Congo",S1810)),"Democratic Republic of the Congo",
ISNUMBER(SEARCH("German DR",S1810)),"DR Germany",
ISNUMBER(SEARCH("rn""&gt;United Arab Emirates",S1810)),"United Arab Emirates",
ISNUMBER(SEARCH("rn""&gt;Republic of Ireland",S1810)),"Ireland",
ISNUMBER(SEARCH("rn""&gt;Bosnia and Herzegovina",S1810)),"Bosnia and Herzegovina",
ISNUMBER(SEARCH("rn""&gt;Trinidad and Tobago",S1810)),"Trinidad and Tobago",
ISNUMBER(SEARCH("rn""&gt;Serbia and Montenegro",S1810)),"Serbia and Montenegro",
ISNUMBER(SEARCH(_xlfn.UNICHAR(65533),S1810)),"Côte d'Ivoire",
TRUE,""
)</f>
        <v/>
      </c>
      <c r="W1810" s="12" t="str">
        <f t="shared" si="141"/>
        <v>Iran</v>
      </c>
    </row>
    <row r="1811" spans="2:23">
      <c r="B1811" s="76" t="str">
        <v>1958.0</v>
      </c>
      <c r="C1811" s="42" t="str">
        <v xml:space="preserve">15 Jun 1958 - 19:00 </v>
      </c>
      <c r="D1811" s="42" t="str">
        <v>Group 2</v>
      </c>
      <c r="E1811" s="42" t="str">
        <v>Eyravallen</v>
      </c>
      <c r="F1811" s="42" t="str">
        <v xml:space="preserve">Orebro </v>
      </c>
      <c r="G1811" s="42" t="str">
        <v>France</v>
      </c>
      <c r="H1811" s="42" t="str">
        <v>2.0</v>
      </c>
      <c r="I1811" s="42" t="str">
        <v>1.0</v>
      </c>
      <c r="J1811" s="42" t="str">
        <v>Scotland</v>
      </c>
      <c r="K1811" s="42" t="str">
        <v xml:space="preserve"> </v>
      </c>
      <c r="L1811" s="42" t="str">
        <f t="shared" si="138"/>
        <v xml:space="preserve">1958.0|15 Jun 1958 - 19:00 |Group 2|Eyravallen|Orebro |France|2.0|1.0|Scotland| </v>
      </c>
      <c r="M1811" s="42" t="str">
        <f>IF(COUNTIF($L$1689:L1811,L1811)&gt;1,"DOUBLON","OK")</f>
        <v>OK</v>
      </c>
      <c r="S1811" s="12" t="str">
        <v>Iran</v>
      </c>
      <c r="T1811" s="12" t="str">
        <f t="shared" si="139"/>
        <v>OK</v>
      </c>
      <c r="U1811" s="12" t="str">
        <f t="shared" si="140"/>
        <v>-</v>
      </c>
      <c r="V1811" s="12" t="str" cm="1">
        <f t="array" ref="V1811">_xlfn.IFS(
ISNUMBER(SEARCH("USA",S1811)),"United States",
ISNUMBER(SEARCH("Republic of Ireland",S1811)),"Ireland",
ISNUMBER(SEARCH("Republic of Korea",S1811)),"South Korea",
ISNUMBER(SEARCH("Cape Verde",S1811)),"Cabo Verde",
ISNUMBER(SEARCH("Czechia",S1811)),"Czech Republic",
ISNUMBER(SEARCH("Türkiye",S1811)),"Turkey",
ISNUMBER(SEARCH("Ivory Coast",S1811)),"Côte d'Ivoire",
ISNUMBER(SEARCH("Korea Republic",S1811)),"South Korea",
ISNUMBER(SEARCH("Germany FR",S1811)),"FR Germany",
ISNUMBER(SEARCH("West Germany",S1811)),"FR Germany",
ISNUMBER(SEARCH("Germany DR",S1811)),"DR Germany",
ISNUMBER(SEARCH("Korea DPR",S1811)),"North Korea",
ISNUMBER(SEARCH("China PR",S1811)),"China",
ISNUMBER(SEARCH("IR Iran",S1811)),"Iran",
ISNUMBER(SEARCH("Congo DR",S1811)),"Democratic Republic of the Congo",
ISNUMBER(SEARCH("DR Congo",S1811)),"Democratic Republic of the Congo",
ISNUMBER(SEARCH("German DR",S1811)),"DR Germany",
ISNUMBER(SEARCH("rn""&gt;United Arab Emirates",S1811)),"United Arab Emirates",
ISNUMBER(SEARCH("rn""&gt;Republic of Ireland",S1811)),"Ireland",
ISNUMBER(SEARCH("rn""&gt;Bosnia and Herzegovina",S1811)),"Bosnia and Herzegovina",
ISNUMBER(SEARCH("rn""&gt;Trinidad and Tobago",S1811)),"Trinidad and Tobago",
ISNUMBER(SEARCH("rn""&gt;Serbia and Montenegro",S1811)),"Serbia and Montenegro",
ISNUMBER(SEARCH(_xlfn.UNICHAR(65533),S1811)),"Côte d'Ivoire",
TRUE,""
)</f>
        <v/>
      </c>
      <c r="W1811" s="12" t="str">
        <f t="shared" si="141"/>
        <v>Iran</v>
      </c>
    </row>
    <row r="1812" spans="2:23">
      <c r="B1812" s="76" t="str">
        <v>1958.0</v>
      </c>
      <c r="C1812" s="42" t="str">
        <v xml:space="preserve">15 Jun 1958 - 19:00 </v>
      </c>
      <c r="D1812" s="42" t="str">
        <v>Group 4</v>
      </c>
      <c r="E1812" s="42" t="str">
        <v>Ryavallen</v>
      </c>
      <c r="F1812" s="42" t="str">
        <v xml:space="preserve">Boras </v>
      </c>
      <c r="G1812" s="42" t="str">
        <v>England</v>
      </c>
      <c r="H1812" s="42" t="str">
        <v>2.0</v>
      </c>
      <c r="I1812" s="42" t="str">
        <v>2.0</v>
      </c>
      <c r="J1812" s="42" t="str">
        <v>Austria</v>
      </c>
      <c r="K1812" s="42" t="str">
        <v xml:space="preserve"> </v>
      </c>
      <c r="L1812" s="42" t="str">
        <f t="shared" si="138"/>
        <v xml:space="preserve">1958.0|15 Jun 1958 - 19:00 |Group 4|Ryavallen|Boras |England|2.0|2.0|Austria| </v>
      </c>
      <c r="M1812" s="42" t="str">
        <f>IF(COUNTIF($L$1689:L1812,L1812)&gt;1,"DOUBLON","OK")</f>
        <v>OK</v>
      </c>
      <c r="S1812" s="12" t="str">
        <v>Iran</v>
      </c>
      <c r="T1812" s="12" t="str">
        <f t="shared" si="139"/>
        <v>OK</v>
      </c>
      <c r="U1812" s="12" t="str">
        <f t="shared" si="140"/>
        <v>-</v>
      </c>
      <c r="V1812" s="12" t="str" cm="1">
        <f t="array" ref="V1812">_xlfn.IFS(
ISNUMBER(SEARCH("USA",S1812)),"United States",
ISNUMBER(SEARCH("Republic of Ireland",S1812)),"Ireland",
ISNUMBER(SEARCH("Republic of Korea",S1812)),"South Korea",
ISNUMBER(SEARCH("Cape Verde",S1812)),"Cabo Verde",
ISNUMBER(SEARCH("Czechia",S1812)),"Czech Republic",
ISNUMBER(SEARCH("Türkiye",S1812)),"Turkey",
ISNUMBER(SEARCH("Ivory Coast",S1812)),"Côte d'Ivoire",
ISNUMBER(SEARCH("Korea Republic",S1812)),"South Korea",
ISNUMBER(SEARCH("Germany FR",S1812)),"FR Germany",
ISNUMBER(SEARCH("West Germany",S1812)),"FR Germany",
ISNUMBER(SEARCH("Germany DR",S1812)),"DR Germany",
ISNUMBER(SEARCH("Korea DPR",S1812)),"North Korea",
ISNUMBER(SEARCH("China PR",S1812)),"China",
ISNUMBER(SEARCH("IR Iran",S1812)),"Iran",
ISNUMBER(SEARCH("Congo DR",S1812)),"Democratic Republic of the Congo",
ISNUMBER(SEARCH("DR Congo",S1812)),"Democratic Republic of the Congo",
ISNUMBER(SEARCH("German DR",S1812)),"DR Germany",
ISNUMBER(SEARCH("rn""&gt;United Arab Emirates",S1812)),"United Arab Emirates",
ISNUMBER(SEARCH("rn""&gt;Republic of Ireland",S1812)),"Ireland",
ISNUMBER(SEARCH("rn""&gt;Bosnia and Herzegovina",S1812)),"Bosnia and Herzegovina",
ISNUMBER(SEARCH("rn""&gt;Trinidad and Tobago",S1812)),"Trinidad and Tobago",
ISNUMBER(SEARCH("rn""&gt;Serbia and Montenegro",S1812)),"Serbia and Montenegro",
ISNUMBER(SEARCH(_xlfn.UNICHAR(65533),S1812)),"Côte d'Ivoire",
TRUE,""
)</f>
        <v/>
      </c>
      <c r="W1812" s="12" t="str">
        <f t="shared" si="141"/>
        <v>Iran</v>
      </c>
    </row>
    <row r="1813" spans="2:23">
      <c r="B1813" s="76" t="str">
        <v>1958.0</v>
      </c>
      <c r="C1813" s="42" t="str">
        <v xml:space="preserve">15 Jun 1958 - 19:00 </v>
      </c>
      <c r="D1813" s="42" t="str">
        <v>Group 1</v>
      </c>
      <c r="E1813" s="42" t="str">
        <v>Olympia Stadium</v>
      </c>
      <c r="F1813" s="42" t="str">
        <v xml:space="preserve">Helsingborg </v>
      </c>
      <c r="G1813" s="42" t="str">
        <v>Czechoslovakia</v>
      </c>
      <c r="H1813" s="42" t="str">
        <v>6.0</v>
      </c>
      <c r="I1813" s="42" t="str">
        <v>1.0</v>
      </c>
      <c r="J1813" s="42" t="str">
        <v>Argentina</v>
      </c>
      <c r="K1813" s="42" t="str">
        <v xml:space="preserve"> </v>
      </c>
      <c r="L1813" s="42" t="str">
        <f t="shared" si="138"/>
        <v xml:space="preserve">1958.0|15 Jun 1958 - 19:00 |Group 1|Olympia Stadium|Helsingborg |Czechoslovakia|6.0|1.0|Argentina| </v>
      </c>
      <c r="M1813" s="42" t="str">
        <f>IF(COUNTIF($L$1689:L1813,L1813)&gt;1,"DOUBLON","OK")</f>
        <v>OK</v>
      </c>
      <c r="S1813" s="12" t="str">
        <v>Iran</v>
      </c>
      <c r="T1813" s="12" t="str">
        <f t="shared" si="139"/>
        <v>OK</v>
      </c>
      <c r="U1813" s="12" t="str">
        <f t="shared" si="140"/>
        <v>-</v>
      </c>
      <c r="V1813" s="12" t="str" cm="1">
        <f t="array" ref="V1813">_xlfn.IFS(
ISNUMBER(SEARCH("USA",S1813)),"United States",
ISNUMBER(SEARCH("Republic of Ireland",S1813)),"Ireland",
ISNUMBER(SEARCH("Republic of Korea",S1813)),"South Korea",
ISNUMBER(SEARCH("Cape Verde",S1813)),"Cabo Verde",
ISNUMBER(SEARCH("Czechia",S1813)),"Czech Republic",
ISNUMBER(SEARCH("Türkiye",S1813)),"Turkey",
ISNUMBER(SEARCH("Ivory Coast",S1813)),"Côte d'Ivoire",
ISNUMBER(SEARCH("Korea Republic",S1813)),"South Korea",
ISNUMBER(SEARCH("Germany FR",S1813)),"FR Germany",
ISNUMBER(SEARCH("West Germany",S1813)),"FR Germany",
ISNUMBER(SEARCH("Germany DR",S1813)),"DR Germany",
ISNUMBER(SEARCH("Korea DPR",S1813)),"North Korea",
ISNUMBER(SEARCH("China PR",S1813)),"China",
ISNUMBER(SEARCH("IR Iran",S1813)),"Iran",
ISNUMBER(SEARCH("Congo DR",S1813)),"Democratic Republic of the Congo",
ISNUMBER(SEARCH("DR Congo",S1813)),"Democratic Republic of the Congo",
ISNUMBER(SEARCH("German DR",S1813)),"DR Germany",
ISNUMBER(SEARCH("rn""&gt;United Arab Emirates",S1813)),"United Arab Emirates",
ISNUMBER(SEARCH("rn""&gt;Republic of Ireland",S1813)),"Ireland",
ISNUMBER(SEARCH("rn""&gt;Bosnia and Herzegovina",S1813)),"Bosnia and Herzegovina",
ISNUMBER(SEARCH("rn""&gt;Trinidad and Tobago",S1813)),"Trinidad and Tobago",
ISNUMBER(SEARCH("rn""&gt;Serbia and Montenegro",S1813)),"Serbia and Montenegro",
ISNUMBER(SEARCH(_xlfn.UNICHAR(65533),S1813)),"Côte d'Ivoire",
TRUE,""
)</f>
        <v/>
      </c>
      <c r="W1813" s="12" t="str">
        <f t="shared" si="141"/>
        <v>Iran</v>
      </c>
    </row>
    <row r="1814" spans="2:23">
      <c r="B1814" s="76" t="str">
        <v>1958.0</v>
      </c>
      <c r="C1814" s="42" t="str">
        <v xml:space="preserve">17 Jun 1958 - 19:00 </v>
      </c>
      <c r="D1814" s="42" t="str">
        <v>Group 4</v>
      </c>
      <c r="E1814" s="42" t="str">
        <v>Nya Ullevi</v>
      </c>
      <c r="F1814" s="42" t="str">
        <v xml:space="preserve">Gothenburg </v>
      </c>
      <c r="G1814" s="42" t="str">
        <v>Soviet Union</v>
      </c>
      <c r="H1814" s="42" t="str">
        <v>1.0</v>
      </c>
      <c r="I1814" s="42" t="str">
        <v>0.0</v>
      </c>
      <c r="J1814" s="42" t="str">
        <v>England</v>
      </c>
      <c r="K1814" s="42" t="str">
        <v xml:space="preserve"> </v>
      </c>
      <c r="L1814" s="42" t="str">
        <f t="shared" si="138"/>
        <v xml:space="preserve">1958.0|17 Jun 1958 - 19:00 |Group 4|Nya Ullevi|Gothenburg |Soviet Union|1.0|0.0|England| </v>
      </c>
      <c r="M1814" s="42" t="str">
        <f>IF(COUNTIF($L$1689:L1814,L1814)&gt;1,"DOUBLON","OK")</f>
        <v>OK</v>
      </c>
      <c r="S1814" s="12" t="str">
        <v>Iran</v>
      </c>
      <c r="T1814" s="12" t="str">
        <f t="shared" si="139"/>
        <v>OK</v>
      </c>
      <c r="U1814" s="12" t="str">
        <f t="shared" si="140"/>
        <v>-</v>
      </c>
      <c r="V1814" s="12" t="str" cm="1">
        <f t="array" ref="V1814">_xlfn.IFS(
ISNUMBER(SEARCH("USA",S1814)),"United States",
ISNUMBER(SEARCH("Republic of Ireland",S1814)),"Ireland",
ISNUMBER(SEARCH("Republic of Korea",S1814)),"South Korea",
ISNUMBER(SEARCH("Cape Verde",S1814)),"Cabo Verde",
ISNUMBER(SEARCH("Czechia",S1814)),"Czech Republic",
ISNUMBER(SEARCH("Türkiye",S1814)),"Turkey",
ISNUMBER(SEARCH("Ivory Coast",S1814)),"Côte d'Ivoire",
ISNUMBER(SEARCH("Korea Republic",S1814)),"South Korea",
ISNUMBER(SEARCH("Germany FR",S1814)),"FR Germany",
ISNUMBER(SEARCH("West Germany",S1814)),"FR Germany",
ISNUMBER(SEARCH("Germany DR",S1814)),"DR Germany",
ISNUMBER(SEARCH("Korea DPR",S1814)),"North Korea",
ISNUMBER(SEARCH("China PR",S1814)),"China",
ISNUMBER(SEARCH("IR Iran",S1814)),"Iran",
ISNUMBER(SEARCH("Congo DR",S1814)),"Democratic Republic of the Congo",
ISNUMBER(SEARCH("DR Congo",S1814)),"Democratic Republic of the Congo",
ISNUMBER(SEARCH("German DR",S1814)),"DR Germany",
ISNUMBER(SEARCH("rn""&gt;United Arab Emirates",S1814)),"United Arab Emirates",
ISNUMBER(SEARCH("rn""&gt;Republic of Ireland",S1814)),"Ireland",
ISNUMBER(SEARCH("rn""&gt;Bosnia and Herzegovina",S1814)),"Bosnia and Herzegovina",
ISNUMBER(SEARCH("rn""&gt;Trinidad and Tobago",S1814)),"Trinidad and Tobago",
ISNUMBER(SEARCH("rn""&gt;Serbia and Montenegro",S1814)),"Serbia and Montenegro",
ISNUMBER(SEARCH(_xlfn.UNICHAR(65533),S1814)),"Côte d'Ivoire",
TRUE,""
)</f>
        <v/>
      </c>
      <c r="W1814" s="12" t="str">
        <f t="shared" si="141"/>
        <v>Iran</v>
      </c>
    </row>
    <row r="1815" spans="2:23">
      <c r="B1815" s="76" t="str">
        <v>1958.0</v>
      </c>
      <c r="C1815" s="42" t="str">
        <v xml:space="preserve">17 Jun 1958 - 19:00 </v>
      </c>
      <c r="D1815" s="42" t="str">
        <v>Group 1</v>
      </c>
      <c r="E1815" s="42" t="str">
        <v>Malmo Stadion</v>
      </c>
      <c r="F1815" s="42" t="str">
        <v xml:space="preserve">Malm� </v>
      </c>
      <c r="G1815" s="42" t="str">
        <v>Northern Ireland</v>
      </c>
      <c r="H1815" s="42" t="str">
        <v>2.0</v>
      </c>
      <c r="I1815" s="42" t="str">
        <v>1.0</v>
      </c>
      <c r="J1815" s="42" t="str">
        <v>Czechoslovakia</v>
      </c>
      <c r="K1815" s="42" t="str">
        <v xml:space="preserve">Northern Ireland win after extra time </v>
      </c>
      <c r="L1815" s="42" t="str">
        <f t="shared" si="138"/>
        <v xml:space="preserve">1958.0|17 Jun 1958 - 19:00 |Group 1|Malmo Stadion|Malm� |Northern Ireland|2.0|1.0|Czechoslovakia|Northern Ireland win after extra time </v>
      </c>
      <c r="M1815" s="42" t="str">
        <f>IF(COUNTIF($L$1689:L1815,L1815)&gt;1,"DOUBLON","OK")</f>
        <v>OK</v>
      </c>
      <c r="S1815" s="12" t="str">
        <v>Iran</v>
      </c>
      <c r="T1815" s="12" t="str">
        <f t="shared" si="139"/>
        <v>OK</v>
      </c>
      <c r="U1815" s="12" t="str">
        <f t="shared" si="140"/>
        <v>-</v>
      </c>
      <c r="V1815" s="12" t="str" cm="1">
        <f t="array" ref="V1815">_xlfn.IFS(
ISNUMBER(SEARCH("USA",S1815)),"United States",
ISNUMBER(SEARCH("Republic of Ireland",S1815)),"Ireland",
ISNUMBER(SEARCH("Republic of Korea",S1815)),"South Korea",
ISNUMBER(SEARCH("Cape Verde",S1815)),"Cabo Verde",
ISNUMBER(SEARCH("Czechia",S1815)),"Czech Republic",
ISNUMBER(SEARCH("Türkiye",S1815)),"Turkey",
ISNUMBER(SEARCH("Ivory Coast",S1815)),"Côte d'Ivoire",
ISNUMBER(SEARCH("Korea Republic",S1815)),"South Korea",
ISNUMBER(SEARCH("Germany FR",S1815)),"FR Germany",
ISNUMBER(SEARCH("West Germany",S1815)),"FR Germany",
ISNUMBER(SEARCH("Germany DR",S1815)),"DR Germany",
ISNUMBER(SEARCH("Korea DPR",S1815)),"North Korea",
ISNUMBER(SEARCH("China PR",S1815)),"China",
ISNUMBER(SEARCH("IR Iran",S1815)),"Iran",
ISNUMBER(SEARCH("Congo DR",S1815)),"Democratic Republic of the Congo",
ISNUMBER(SEARCH("DR Congo",S1815)),"Democratic Republic of the Congo",
ISNUMBER(SEARCH("German DR",S1815)),"DR Germany",
ISNUMBER(SEARCH("rn""&gt;United Arab Emirates",S1815)),"United Arab Emirates",
ISNUMBER(SEARCH("rn""&gt;Republic of Ireland",S1815)),"Ireland",
ISNUMBER(SEARCH("rn""&gt;Bosnia and Herzegovina",S1815)),"Bosnia and Herzegovina",
ISNUMBER(SEARCH("rn""&gt;Trinidad and Tobago",S1815)),"Trinidad and Tobago",
ISNUMBER(SEARCH("rn""&gt;Serbia and Montenegro",S1815)),"Serbia and Montenegro",
ISNUMBER(SEARCH(_xlfn.UNICHAR(65533),S1815)),"Côte d'Ivoire",
TRUE,""
)</f>
        <v/>
      </c>
      <c r="W1815" s="12" t="str">
        <f t="shared" si="141"/>
        <v>Iran</v>
      </c>
    </row>
    <row r="1816" spans="2:23">
      <c r="B1816" s="76" t="str">
        <v>1958.0</v>
      </c>
      <c r="C1816" s="42" t="str">
        <v xml:space="preserve">17 Jun 1958 - 19:00 </v>
      </c>
      <c r="D1816" s="42" t="str">
        <v>Group 3</v>
      </c>
      <c r="E1816" s="42" t="str">
        <v>Rasunda Stadium</v>
      </c>
      <c r="F1816" s="42" t="str">
        <v xml:space="preserve">Solna </v>
      </c>
      <c r="G1816" s="42" t="str">
        <v>Wales</v>
      </c>
      <c r="H1816" s="42" t="str">
        <v>2.0</v>
      </c>
      <c r="I1816" s="42" t="str">
        <v>1.0</v>
      </c>
      <c r="J1816" s="42" t="str">
        <v>Hungary</v>
      </c>
      <c r="K1816" s="42" t="str">
        <v xml:space="preserve"> </v>
      </c>
      <c r="L1816" s="42" t="str">
        <f t="shared" si="138"/>
        <v xml:space="preserve">1958.0|17 Jun 1958 - 19:00 |Group 3|Rasunda Stadium|Solna |Wales|2.0|1.0|Hungary| </v>
      </c>
      <c r="M1816" s="42" t="str">
        <f>IF(COUNTIF($L$1689:L1816,L1816)&gt;1,"DOUBLON","OK")</f>
        <v>OK</v>
      </c>
      <c r="S1816" s="12" t="str">
        <v>Iran</v>
      </c>
      <c r="T1816" s="12" t="str">
        <f t="shared" si="139"/>
        <v>OK</v>
      </c>
      <c r="U1816" s="12" t="str">
        <f t="shared" si="140"/>
        <v>-</v>
      </c>
      <c r="V1816" s="12" t="str" cm="1">
        <f t="array" ref="V1816">_xlfn.IFS(
ISNUMBER(SEARCH("USA",S1816)),"United States",
ISNUMBER(SEARCH("Republic of Ireland",S1816)),"Ireland",
ISNUMBER(SEARCH("Republic of Korea",S1816)),"South Korea",
ISNUMBER(SEARCH("Cape Verde",S1816)),"Cabo Verde",
ISNUMBER(SEARCH("Czechia",S1816)),"Czech Republic",
ISNUMBER(SEARCH("Türkiye",S1816)),"Turkey",
ISNUMBER(SEARCH("Ivory Coast",S1816)),"Côte d'Ivoire",
ISNUMBER(SEARCH("Korea Republic",S1816)),"South Korea",
ISNUMBER(SEARCH("Germany FR",S1816)),"FR Germany",
ISNUMBER(SEARCH("West Germany",S1816)),"FR Germany",
ISNUMBER(SEARCH("Germany DR",S1816)),"DR Germany",
ISNUMBER(SEARCH("Korea DPR",S1816)),"North Korea",
ISNUMBER(SEARCH("China PR",S1816)),"China",
ISNUMBER(SEARCH("IR Iran",S1816)),"Iran",
ISNUMBER(SEARCH("Congo DR",S1816)),"Democratic Republic of the Congo",
ISNUMBER(SEARCH("DR Congo",S1816)),"Democratic Republic of the Congo",
ISNUMBER(SEARCH("German DR",S1816)),"DR Germany",
ISNUMBER(SEARCH("rn""&gt;United Arab Emirates",S1816)),"United Arab Emirates",
ISNUMBER(SEARCH("rn""&gt;Republic of Ireland",S1816)),"Ireland",
ISNUMBER(SEARCH("rn""&gt;Bosnia and Herzegovina",S1816)),"Bosnia and Herzegovina",
ISNUMBER(SEARCH("rn""&gt;Trinidad and Tobago",S1816)),"Trinidad and Tobago",
ISNUMBER(SEARCH("rn""&gt;Serbia and Montenegro",S1816)),"Serbia and Montenegro",
ISNUMBER(SEARCH(_xlfn.UNICHAR(65533),S1816)),"Côte d'Ivoire",
TRUE,""
)</f>
        <v/>
      </c>
      <c r="W1816" s="12" t="str">
        <f t="shared" si="141"/>
        <v>Iran</v>
      </c>
    </row>
    <row r="1817" spans="2:23">
      <c r="B1817" s="76" t="str">
        <v>1958.0</v>
      </c>
      <c r="C1817" s="42" t="str">
        <v xml:space="preserve">19 Jun 1958 - 19:00 </v>
      </c>
      <c r="D1817" s="42" t="str">
        <v>Quarter-finals</v>
      </c>
      <c r="E1817" s="42" t="str">
        <v>Nya Ullevi</v>
      </c>
      <c r="F1817" s="42" t="str">
        <v xml:space="preserve">Gothenburg </v>
      </c>
      <c r="G1817" s="42" t="str">
        <v>Brazil</v>
      </c>
      <c r="H1817" s="42" t="str">
        <v>1.0</v>
      </c>
      <c r="I1817" s="42" t="str">
        <v>0.0</v>
      </c>
      <c r="J1817" s="42" t="str">
        <v>Wales</v>
      </c>
      <c r="K1817" s="42" t="str">
        <v xml:space="preserve"> </v>
      </c>
      <c r="L1817" s="42" t="str">
        <f t="shared" ref="L1817:L1880" si="142">B1817&amp;"|"&amp;C1817&amp;"|"&amp;D1817&amp;"|"&amp;E1817&amp;"|"&amp;F1817&amp;"|"&amp;G1817&amp;"|"&amp;H1817&amp;"|"&amp;I1817&amp;"|"&amp;J1817&amp;"|"&amp;K1817</f>
        <v xml:space="preserve">1958.0|19 Jun 1958 - 19:00 |Quarter-finals|Nya Ullevi|Gothenburg |Brazil|1.0|0.0|Wales| </v>
      </c>
      <c r="M1817" s="42" t="str">
        <f>IF(COUNTIF($L$1689:L1817,L1817)&gt;1,"DOUBLON","OK")</f>
        <v>OK</v>
      </c>
      <c r="S1817" s="12" t="str">
        <v>Iran</v>
      </c>
      <c r="T1817" s="12" t="str">
        <f t="shared" si="139"/>
        <v>OK</v>
      </c>
      <c r="U1817" s="12" t="str">
        <f t="shared" si="140"/>
        <v>-</v>
      </c>
      <c r="V1817" s="12" t="str" cm="1">
        <f t="array" ref="V1817">_xlfn.IFS(
ISNUMBER(SEARCH("USA",S1817)),"United States",
ISNUMBER(SEARCH("Republic of Ireland",S1817)),"Ireland",
ISNUMBER(SEARCH("Republic of Korea",S1817)),"South Korea",
ISNUMBER(SEARCH("Cape Verde",S1817)),"Cabo Verde",
ISNUMBER(SEARCH("Czechia",S1817)),"Czech Republic",
ISNUMBER(SEARCH("Türkiye",S1817)),"Turkey",
ISNUMBER(SEARCH("Ivory Coast",S1817)),"Côte d'Ivoire",
ISNUMBER(SEARCH("Korea Republic",S1817)),"South Korea",
ISNUMBER(SEARCH("Germany FR",S1817)),"FR Germany",
ISNUMBER(SEARCH("West Germany",S1817)),"FR Germany",
ISNUMBER(SEARCH("Germany DR",S1817)),"DR Germany",
ISNUMBER(SEARCH("Korea DPR",S1817)),"North Korea",
ISNUMBER(SEARCH("China PR",S1817)),"China",
ISNUMBER(SEARCH("IR Iran",S1817)),"Iran",
ISNUMBER(SEARCH("Congo DR",S1817)),"Democratic Republic of the Congo",
ISNUMBER(SEARCH("DR Congo",S1817)),"Democratic Republic of the Congo",
ISNUMBER(SEARCH("German DR",S1817)),"DR Germany",
ISNUMBER(SEARCH("rn""&gt;United Arab Emirates",S1817)),"United Arab Emirates",
ISNUMBER(SEARCH("rn""&gt;Republic of Ireland",S1817)),"Ireland",
ISNUMBER(SEARCH("rn""&gt;Bosnia and Herzegovina",S1817)),"Bosnia and Herzegovina",
ISNUMBER(SEARCH("rn""&gt;Trinidad and Tobago",S1817)),"Trinidad and Tobago",
ISNUMBER(SEARCH("rn""&gt;Serbia and Montenegro",S1817)),"Serbia and Montenegro",
ISNUMBER(SEARCH(_xlfn.UNICHAR(65533),S1817)),"Côte d'Ivoire",
TRUE,""
)</f>
        <v/>
      </c>
      <c r="W1817" s="12" t="str">
        <f t="shared" si="141"/>
        <v>Iran</v>
      </c>
    </row>
    <row r="1818" spans="2:23">
      <c r="B1818" s="76" t="str">
        <v>1958.0</v>
      </c>
      <c r="C1818" s="42" t="str">
        <v xml:space="preserve">19 Jun 1958 - 19:00 </v>
      </c>
      <c r="D1818" s="42" t="str">
        <v>Quarter-finals</v>
      </c>
      <c r="E1818" s="42" t="str">
        <v>Malmo Stadion</v>
      </c>
      <c r="F1818" s="42" t="str">
        <v xml:space="preserve">Malm� </v>
      </c>
      <c r="G1818" s="42" t="str">
        <v>Germany FR</v>
      </c>
      <c r="H1818" s="42" t="str">
        <v>1.0</v>
      </c>
      <c r="I1818" s="42" t="str">
        <v>0.0</v>
      </c>
      <c r="J1818" s="42" t="str">
        <v>Yugoslavia</v>
      </c>
      <c r="K1818" s="42" t="str">
        <v xml:space="preserve"> </v>
      </c>
      <c r="L1818" s="42" t="str">
        <f t="shared" si="142"/>
        <v xml:space="preserve">1958.0|19 Jun 1958 - 19:00 |Quarter-finals|Malmo Stadion|Malm� |Germany FR|1.0|0.0|Yugoslavia| </v>
      </c>
      <c r="M1818" s="42" t="str">
        <f>IF(COUNTIF($L$1689:L1818,L1818)&gt;1,"DOUBLON","OK")</f>
        <v>OK</v>
      </c>
      <c r="S1818" s="12" t="str">
        <v>Iran</v>
      </c>
      <c r="T1818" s="12" t="str">
        <f t="shared" si="139"/>
        <v>OK</v>
      </c>
      <c r="U1818" s="12" t="str">
        <f t="shared" si="140"/>
        <v>-</v>
      </c>
      <c r="V1818" s="12" t="str" cm="1">
        <f t="array" ref="V1818">_xlfn.IFS(
ISNUMBER(SEARCH("USA",S1818)),"United States",
ISNUMBER(SEARCH("Republic of Ireland",S1818)),"Ireland",
ISNUMBER(SEARCH("Republic of Korea",S1818)),"South Korea",
ISNUMBER(SEARCH("Cape Verde",S1818)),"Cabo Verde",
ISNUMBER(SEARCH("Czechia",S1818)),"Czech Republic",
ISNUMBER(SEARCH("Türkiye",S1818)),"Turkey",
ISNUMBER(SEARCH("Ivory Coast",S1818)),"Côte d'Ivoire",
ISNUMBER(SEARCH("Korea Republic",S1818)),"South Korea",
ISNUMBER(SEARCH("Germany FR",S1818)),"FR Germany",
ISNUMBER(SEARCH("West Germany",S1818)),"FR Germany",
ISNUMBER(SEARCH("Germany DR",S1818)),"DR Germany",
ISNUMBER(SEARCH("Korea DPR",S1818)),"North Korea",
ISNUMBER(SEARCH("China PR",S1818)),"China",
ISNUMBER(SEARCH("IR Iran",S1818)),"Iran",
ISNUMBER(SEARCH("Congo DR",S1818)),"Democratic Republic of the Congo",
ISNUMBER(SEARCH("DR Congo",S1818)),"Democratic Republic of the Congo",
ISNUMBER(SEARCH("German DR",S1818)),"DR Germany",
ISNUMBER(SEARCH("rn""&gt;United Arab Emirates",S1818)),"United Arab Emirates",
ISNUMBER(SEARCH("rn""&gt;Republic of Ireland",S1818)),"Ireland",
ISNUMBER(SEARCH("rn""&gt;Bosnia and Herzegovina",S1818)),"Bosnia and Herzegovina",
ISNUMBER(SEARCH("rn""&gt;Trinidad and Tobago",S1818)),"Trinidad and Tobago",
ISNUMBER(SEARCH("rn""&gt;Serbia and Montenegro",S1818)),"Serbia and Montenegro",
ISNUMBER(SEARCH(_xlfn.UNICHAR(65533),S1818)),"Côte d'Ivoire",
TRUE,""
)</f>
        <v/>
      </c>
      <c r="W1818" s="12" t="str">
        <f t="shared" si="141"/>
        <v>Iran</v>
      </c>
    </row>
    <row r="1819" spans="2:23">
      <c r="B1819" s="76" t="str">
        <v>1958.0</v>
      </c>
      <c r="C1819" s="42" t="str">
        <v xml:space="preserve">19 Jun 1958 - 19:00 </v>
      </c>
      <c r="D1819" s="42" t="str">
        <v>Quarter-finals</v>
      </c>
      <c r="E1819" s="42" t="str">
        <v>Rasunda Stadium</v>
      </c>
      <c r="F1819" s="42" t="str">
        <v xml:space="preserve">Solna </v>
      </c>
      <c r="G1819" s="42" t="str">
        <v>Sweden</v>
      </c>
      <c r="H1819" s="42" t="str">
        <v>2.0</v>
      </c>
      <c r="I1819" s="42" t="str">
        <v>0.0</v>
      </c>
      <c r="J1819" s="42" t="str">
        <v>Soviet Union</v>
      </c>
      <c r="K1819" s="42" t="str">
        <v xml:space="preserve"> </v>
      </c>
      <c r="L1819" s="42" t="str">
        <f t="shared" si="142"/>
        <v xml:space="preserve">1958.0|19 Jun 1958 - 19:00 |Quarter-finals|Rasunda Stadium|Solna |Sweden|2.0|0.0|Soviet Union| </v>
      </c>
      <c r="M1819" s="42" t="str">
        <f>IF(COUNTIF($L$1689:L1819,L1819)&gt;1,"DOUBLON","OK")</f>
        <v>OK</v>
      </c>
      <c r="S1819" s="12" t="str">
        <v>Iran</v>
      </c>
      <c r="T1819" s="12" t="str">
        <f t="shared" si="139"/>
        <v>OK</v>
      </c>
      <c r="U1819" s="12" t="str">
        <f t="shared" si="140"/>
        <v>-</v>
      </c>
      <c r="V1819" s="12" t="str" cm="1">
        <f t="array" ref="V1819">_xlfn.IFS(
ISNUMBER(SEARCH("USA",S1819)),"United States",
ISNUMBER(SEARCH("Republic of Ireland",S1819)),"Ireland",
ISNUMBER(SEARCH("Republic of Korea",S1819)),"South Korea",
ISNUMBER(SEARCH("Cape Verde",S1819)),"Cabo Verde",
ISNUMBER(SEARCH("Czechia",S1819)),"Czech Republic",
ISNUMBER(SEARCH("Türkiye",S1819)),"Turkey",
ISNUMBER(SEARCH("Ivory Coast",S1819)),"Côte d'Ivoire",
ISNUMBER(SEARCH("Korea Republic",S1819)),"South Korea",
ISNUMBER(SEARCH("Germany FR",S1819)),"FR Germany",
ISNUMBER(SEARCH("West Germany",S1819)),"FR Germany",
ISNUMBER(SEARCH("Germany DR",S1819)),"DR Germany",
ISNUMBER(SEARCH("Korea DPR",S1819)),"North Korea",
ISNUMBER(SEARCH("China PR",S1819)),"China",
ISNUMBER(SEARCH("IR Iran",S1819)),"Iran",
ISNUMBER(SEARCH("Congo DR",S1819)),"Democratic Republic of the Congo",
ISNUMBER(SEARCH("DR Congo",S1819)),"Democratic Republic of the Congo",
ISNUMBER(SEARCH("German DR",S1819)),"DR Germany",
ISNUMBER(SEARCH("rn""&gt;United Arab Emirates",S1819)),"United Arab Emirates",
ISNUMBER(SEARCH("rn""&gt;Republic of Ireland",S1819)),"Ireland",
ISNUMBER(SEARCH("rn""&gt;Bosnia and Herzegovina",S1819)),"Bosnia and Herzegovina",
ISNUMBER(SEARCH("rn""&gt;Trinidad and Tobago",S1819)),"Trinidad and Tobago",
ISNUMBER(SEARCH("rn""&gt;Serbia and Montenegro",S1819)),"Serbia and Montenegro",
ISNUMBER(SEARCH(_xlfn.UNICHAR(65533),S1819)),"Côte d'Ivoire",
TRUE,""
)</f>
        <v/>
      </c>
      <c r="W1819" s="12" t="str">
        <f t="shared" si="141"/>
        <v>Iran</v>
      </c>
    </row>
    <row r="1820" spans="2:23">
      <c r="B1820" s="76" t="str">
        <v>1958.0</v>
      </c>
      <c r="C1820" s="42" t="str">
        <v xml:space="preserve">19 Jun 1958 - 19:00 </v>
      </c>
      <c r="D1820" s="42" t="str">
        <v>Quarter-finals</v>
      </c>
      <c r="E1820" s="42" t="str">
        <v>Idrottsparken</v>
      </c>
      <c r="F1820" s="42" t="str">
        <v xml:space="preserve">Norrk�Ping </v>
      </c>
      <c r="G1820" s="42" t="str">
        <v>France</v>
      </c>
      <c r="H1820" s="42" t="str">
        <v>4.0</v>
      </c>
      <c r="I1820" s="42" t="str">
        <v>0.0</v>
      </c>
      <c r="J1820" s="42" t="str">
        <v>Northern Ireland</v>
      </c>
      <c r="K1820" s="42" t="str">
        <v xml:space="preserve"> </v>
      </c>
      <c r="L1820" s="42" t="str">
        <f t="shared" si="142"/>
        <v xml:space="preserve">1958.0|19 Jun 1958 - 19:00 |Quarter-finals|Idrottsparken|Norrk�Ping |France|4.0|0.0|Northern Ireland| </v>
      </c>
      <c r="M1820" s="42" t="str">
        <f>IF(COUNTIF($L$1689:L1820,L1820)&gt;1,"DOUBLON","OK")</f>
        <v>OK</v>
      </c>
      <c r="S1820" s="12" t="str">
        <v>Iran</v>
      </c>
      <c r="T1820" s="12" t="str">
        <f t="shared" si="139"/>
        <v>OK</v>
      </c>
      <c r="U1820" s="12" t="str">
        <f t="shared" si="140"/>
        <v>-</v>
      </c>
      <c r="V1820" s="12" t="str" cm="1">
        <f t="array" ref="V1820">_xlfn.IFS(
ISNUMBER(SEARCH("USA",S1820)),"United States",
ISNUMBER(SEARCH("Republic of Ireland",S1820)),"Ireland",
ISNUMBER(SEARCH("Republic of Korea",S1820)),"South Korea",
ISNUMBER(SEARCH("Cape Verde",S1820)),"Cabo Verde",
ISNUMBER(SEARCH("Czechia",S1820)),"Czech Republic",
ISNUMBER(SEARCH("Türkiye",S1820)),"Turkey",
ISNUMBER(SEARCH("Ivory Coast",S1820)),"Côte d'Ivoire",
ISNUMBER(SEARCH("Korea Republic",S1820)),"South Korea",
ISNUMBER(SEARCH("Germany FR",S1820)),"FR Germany",
ISNUMBER(SEARCH("West Germany",S1820)),"FR Germany",
ISNUMBER(SEARCH("Germany DR",S1820)),"DR Germany",
ISNUMBER(SEARCH("Korea DPR",S1820)),"North Korea",
ISNUMBER(SEARCH("China PR",S1820)),"China",
ISNUMBER(SEARCH("IR Iran",S1820)),"Iran",
ISNUMBER(SEARCH("Congo DR",S1820)),"Democratic Republic of the Congo",
ISNUMBER(SEARCH("DR Congo",S1820)),"Democratic Republic of the Congo",
ISNUMBER(SEARCH("German DR",S1820)),"DR Germany",
ISNUMBER(SEARCH("rn""&gt;United Arab Emirates",S1820)),"United Arab Emirates",
ISNUMBER(SEARCH("rn""&gt;Republic of Ireland",S1820)),"Ireland",
ISNUMBER(SEARCH("rn""&gt;Bosnia and Herzegovina",S1820)),"Bosnia and Herzegovina",
ISNUMBER(SEARCH("rn""&gt;Trinidad and Tobago",S1820)),"Trinidad and Tobago",
ISNUMBER(SEARCH("rn""&gt;Serbia and Montenegro",S1820)),"Serbia and Montenegro",
ISNUMBER(SEARCH(_xlfn.UNICHAR(65533),S1820)),"Côte d'Ivoire",
TRUE,""
)</f>
        <v/>
      </c>
      <c r="W1820" s="12" t="str">
        <f t="shared" si="141"/>
        <v>Iran</v>
      </c>
    </row>
    <row r="1821" spans="2:23">
      <c r="B1821" s="76" t="str">
        <v>1958.0</v>
      </c>
      <c r="C1821" s="42" t="str">
        <v xml:space="preserve">24 Jun 1958 - 19:00 </v>
      </c>
      <c r="D1821" s="42" t="str">
        <v>Semi-finals</v>
      </c>
      <c r="E1821" s="42" t="str">
        <v>Nya Ullevi</v>
      </c>
      <c r="F1821" s="42" t="str">
        <v xml:space="preserve">Gothenburg </v>
      </c>
      <c r="G1821" s="42" t="str">
        <v>Sweden</v>
      </c>
      <c r="H1821" s="42" t="str">
        <v>3.0</v>
      </c>
      <c r="I1821" s="42" t="str">
        <v>1.0</v>
      </c>
      <c r="J1821" s="42" t="str">
        <v>Germany FR</v>
      </c>
      <c r="K1821" s="42" t="str">
        <v xml:space="preserve"> </v>
      </c>
      <c r="L1821" s="42" t="str">
        <f t="shared" si="142"/>
        <v xml:space="preserve">1958.0|24 Jun 1958 - 19:00 |Semi-finals|Nya Ullevi|Gothenburg |Sweden|3.0|1.0|Germany FR| </v>
      </c>
      <c r="M1821" s="42" t="str">
        <f>IF(COUNTIF($L$1689:L1821,L1821)&gt;1,"DOUBLON","OK")</f>
        <v>OK</v>
      </c>
      <c r="S1821" s="12" t="str">
        <v>Iran</v>
      </c>
      <c r="T1821" s="12" t="str">
        <f t="shared" si="139"/>
        <v>OK</v>
      </c>
      <c r="U1821" s="12" t="str">
        <f t="shared" si="140"/>
        <v>-</v>
      </c>
      <c r="V1821" s="12" t="str" cm="1">
        <f t="array" ref="V1821">_xlfn.IFS(
ISNUMBER(SEARCH("USA",S1821)),"United States",
ISNUMBER(SEARCH("Republic of Ireland",S1821)),"Ireland",
ISNUMBER(SEARCH("Republic of Korea",S1821)),"South Korea",
ISNUMBER(SEARCH("Cape Verde",S1821)),"Cabo Verde",
ISNUMBER(SEARCH("Czechia",S1821)),"Czech Republic",
ISNUMBER(SEARCH("Türkiye",S1821)),"Turkey",
ISNUMBER(SEARCH("Ivory Coast",S1821)),"Côte d'Ivoire",
ISNUMBER(SEARCH("Korea Republic",S1821)),"South Korea",
ISNUMBER(SEARCH("Germany FR",S1821)),"FR Germany",
ISNUMBER(SEARCH("West Germany",S1821)),"FR Germany",
ISNUMBER(SEARCH("Germany DR",S1821)),"DR Germany",
ISNUMBER(SEARCH("Korea DPR",S1821)),"North Korea",
ISNUMBER(SEARCH("China PR",S1821)),"China",
ISNUMBER(SEARCH("IR Iran",S1821)),"Iran",
ISNUMBER(SEARCH("Congo DR",S1821)),"Democratic Republic of the Congo",
ISNUMBER(SEARCH("DR Congo",S1821)),"Democratic Republic of the Congo",
ISNUMBER(SEARCH("German DR",S1821)),"DR Germany",
ISNUMBER(SEARCH("rn""&gt;United Arab Emirates",S1821)),"United Arab Emirates",
ISNUMBER(SEARCH("rn""&gt;Republic of Ireland",S1821)),"Ireland",
ISNUMBER(SEARCH("rn""&gt;Bosnia and Herzegovina",S1821)),"Bosnia and Herzegovina",
ISNUMBER(SEARCH("rn""&gt;Trinidad and Tobago",S1821)),"Trinidad and Tobago",
ISNUMBER(SEARCH("rn""&gt;Serbia and Montenegro",S1821)),"Serbia and Montenegro",
ISNUMBER(SEARCH(_xlfn.UNICHAR(65533),S1821)),"Côte d'Ivoire",
TRUE,""
)</f>
        <v/>
      </c>
      <c r="W1821" s="12" t="str">
        <f t="shared" si="141"/>
        <v>Iran</v>
      </c>
    </row>
    <row r="1822" spans="2:23">
      <c r="B1822" s="76" t="str">
        <v>1958.0</v>
      </c>
      <c r="C1822" s="42" t="str">
        <v xml:space="preserve">24 Jun 1958 - 19:00 </v>
      </c>
      <c r="D1822" s="42" t="str">
        <v>Semi-finals</v>
      </c>
      <c r="E1822" s="42" t="str">
        <v>Rasunda Stadium</v>
      </c>
      <c r="F1822" s="42" t="str">
        <v xml:space="preserve">Solna </v>
      </c>
      <c r="G1822" s="42" t="str">
        <v>Brazil</v>
      </c>
      <c r="H1822" s="42" t="str">
        <v>5.0</v>
      </c>
      <c r="I1822" s="42" t="str">
        <v>2.0</v>
      </c>
      <c r="J1822" s="42" t="str">
        <v>France</v>
      </c>
      <c r="K1822" s="42" t="str">
        <v xml:space="preserve"> </v>
      </c>
      <c r="L1822" s="42" t="str">
        <f t="shared" si="142"/>
        <v xml:space="preserve">1958.0|24 Jun 1958 - 19:00 |Semi-finals|Rasunda Stadium|Solna |Brazil|5.0|2.0|France| </v>
      </c>
      <c r="M1822" s="42" t="str">
        <f>IF(COUNTIF($L$1689:L1822,L1822)&gt;1,"DOUBLON","OK")</f>
        <v>OK</v>
      </c>
      <c r="S1822" s="12" t="str">
        <v>Iran</v>
      </c>
      <c r="T1822" s="12" t="str">
        <f t="shared" si="139"/>
        <v>OK</v>
      </c>
      <c r="U1822" s="12" t="str">
        <f t="shared" si="140"/>
        <v>-</v>
      </c>
      <c r="V1822" s="12" t="str" cm="1">
        <f t="array" ref="V1822">_xlfn.IFS(
ISNUMBER(SEARCH("USA",S1822)),"United States",
ISNUMBER(SEARCH("Republic of Ireland",S1822)),"Ireland",
ISNUMBER(SEARCH("Republic of Korea",S1822)),"South Korea",
ISNUMBER(SEARCH("Cape Verde",S1822)),"Cabo Verde",
ISNUMBER(SEARCH("Czechia",S1822)),"Czech Republic",
ISNUMBER(SEARCH("Türkiye",S1822)),"Turkey",
ISNUMBER(SEARCH("Ivory Coast",S1822)),"Côte d'Ivoire",
ISNUMBER(SEARCH("Korea Republic",S1822)),"South Korea",
ISNUMBER(SEARCH("Germany FR",S1822)),"FR Germany",
ISNUMBER(SEARCH("West Germany",S1822)),"FR Germany",
ISNUMBER(SEARCH("Germany DR",S1822)),"DR Germany",
ISNUMBER(SEARCH("Korea DPR",S1822)),"North Korea",
ISNUMBER(SEARCH("China PR",S1822)),"China",
ISNUMBER(SEARCH("IR Iran",S1822)),"Iran",
ISNUMBER(SEARCH("Congo DR",S1822)),"Democratic Republic of the Congo",
ISNUMBER(SEARCH("DR Congo",S1822)),"Democratic Republic of the Congo",
ISNUMBER(SEARCH("German DR",S1822)),"DR Germany",
ISNUMBER(SEARCH("rn""&gt;United Arab Emirates",S1822)),"United Arab Emirates",
ISNUMBER(SEARCH("rn""&gt;Republic of Ireland",S1822)),"Ireland",
ISNUMBER(SEARCH("rn""&gt;Bosnia and Herzegovina",S1822)),"Bosnia and Herzegovina",
ISNUMBER(SEARCH("rn""&gt;Trinidad and Tobago",S1822)),"Trinidad and Tobago",
ISNUMBER(SEARCH("rn""&gt;Serbia and Montenegro",S1822)),"Serbia and Montenegro",
ISNUMBER(SEARCH(_xlfn.UNICHAR(65533),S1822)),"Côte d'Ivoire",
TRUE,""
)</f>
        <v/>
      </c>
      <c r="W1822" s="12" t="str">
        <f t="shared" si="141"/>
        <v>Iran</v>
      </c>
    </row>
    <row r="1823" spans="2:23">
      <c r="B1823" s="76" t="str">
        <v>1958.0</v>
      </c>
      <c r="C1823" s="42" t="str">
        <v xml:space="preserve">28 Jun 1958 - 17:00 </v>
      </c>
      <c r="D1823" s="42" t="str">
        <v>Match for third place</v>
      </c>
      <c r="E1823" s="42" t="str">
        <v>Nya Ullevi</v>
      </c>
      <c r="F1823" s="42" t="str">
        <v xml:space="preserve">Gothenburg </v>
      </c>
      <c r="G1823" s="42" t="str">
        <v>France</v>
      </c>
      <c r="H1823" s="42" t="str">
        <v>6.0</v>
      </c>
      <c r="I1823" s="42" t="str">
        <v>3.0</v>
      </c>
      <c r="J1823" s="42" t="str">
        <v>Germany FR</v>
      </c>
      <c r="K1823" s="42" t="str">
        <v xml:space="preserve"> </v>
      </c>
      <c r="L1823" s="42" t="str">
        <f t="shared" si="142"/>
        <v xml:space="preserve">1958.0|28 Jun 1958 - 17:00 |Match for third place|Nya Ullevi|Gothenburg |France|6.0|3.0|Germany FR| </v>
      </c>
      <c r="M1823" s="42" t="str">
        <f>IF(COUNTIF($L$1689:L1823,L1823)&gt;1,"DOUBLON","OK")</f>
        <v>OK</v>
      </c>
      <c r="S1823" s="12" t="str">
        <v>New Zealand</v>
      </c>
      <c r="T1823" s="12" t="str">
        <f t="shared" si="139"/>
        <v>OK</v>
      </c>
      <c r="U1823" s="12" t="str">
        <f t="shared" si="140"/>
        <v>-</v>
      </c>
      <c r="V1823" s="12" t="str" cm="1">
        <f t="array" ref="V1823">_xlfn.IFS(
ISNUMBER(SEARCH("USA",S1823)),"United States",
ISNUMBER(SEARCH("Republic of Ireland",S1823)),"Ireland",
ISNUMBER(SEARCH("Republic of Korea",S1823)),"South Korea",
ISNUMBER(SEARCH("Cape Verde",S1823)),"Cabo Verde",
ISNUMBER(SEARCH("Czechia",S1823)),"Czech Republic",
ISNUMBER(SEARCH("Türkiye",S1823)),"Turkey",
ISNUMBER(SEARCH("Ivory Coast",S1823)),"Côte d'Ivoire",
ISNUMBER(SEARCH("Korea Republic",S1823)),"South Korea",
ISNUMBER(SEARCH("Germany FR",S1823)),"FR Germany",
ISNUMBER(SEARCH("West Germany",S1823)),"FR Germany",
ISNUMBER(SEARCH("Germany DR",S1823)),"DR Germany",
ISNUMBER(SEARCH("Korea DPR",S1823)),"North Korea",
ISNUMBER(SEARCH("China PR",S1823)),"China",
ISNUMBER(SEARCH("IR Iran",S1823)),"Iran",
ISNUMBER(SEARCH("Congo DR",S1823)),"Democratic Republic of the Congo",
ISNUMBER(SEARCH("DR Congo",S1823)),"Democratic Republic of the Congo",
ISNUMBER(SEARCH("German DR",S1823)),"DR Germany",
ISNUMBER(SEARCH("rn""&gt;United Arab Emirates",S1823)),"United Arab Emirates",
ISNUMBER(SEARCH("rn""&gt;Republic of Ireland",S1823)),"Ireland",
ISNUMBER(SEARCH("rn""&gt;Bosnia and Herzegovina",S1823)),"Bosnia and Herzegovina",
ISNUMBER(SEARCH("rn""&gt;Trinidad and Tobago",S1823)),"Trinidad and Tobago",
ISNUMBER(SEARCH("rn""&gt;Serbia and Montenegro",S1823)),"Serbia and Montenegro",
ISNUMBER(SEARCH(_xlfn.UNICHAR(65533),S1823)),"Côte d'Ivoire",
TRUE,""
)</f>
        <v/>
      </c>
      <c r="W1823" s="12" t="str">
        <f t="shared" si="141"/>
        <v>New Zealand</v>
      </c>
    </row>
    <row r="1824" spans="2:23">
      <c r="B1824" s="76" t="str">
        <v>1958.0</v>
      </c>
      <c r="C1824" s="42" t="str">
        <v xml:space="preserve">29 Jun 1958 - 15:00 </v>
      </c>
      <c r="D1824" s="42" t="str">
        <v>Final</v>
      </c>
      <c r="E1824" s="42" t="str">
        <v>Rasunda Stadium</v>
      </c>
      <c r="F1824" s="42" t="str">
        <v xml:space="preserve">Solna </v>
      </c>
      <c r="G1824" s="42" t="str">
        <v>Brazil</v>
      </c>
      <c r="H1824" s="42" t="str">
        <v>5.0</v>
      </c>
      <c r="I1824" s="42" t="str">
        <v>2.0</v>
      </c>
      <c r="J1824" s="42" t="str">
        <v>Sweden</v>
      </c>
      <c r="K1824" s="42" t="str">
        <v xml:space="preserve"> </v>
      </c>
      <c r="L1824" s="42" t="str">
        <f t="shared" si="142"/>
        <v xml:space="preserve">1958.0|29 Jun 1958 - 15:00 |Final|Rasunda Stadium|Solna |Brazil|5.0|2.0|Sweden| </v>
      </c>
      <c r="M1824" s="42" t="str">
        <f>IF(COUNTIF($L$1689:L1824,L1824)&gt;1,"DOUBLON","OK")</f>
        <v>OK</v>
      </c>
      <c r="S1824" s="12" t="str">
        <v>New Zealand</v>
      </c>
      <c r="T1824" s="12" t="str">
        <f t="shared" si="139"/>
        <v>OK</v>
      </c>
      <c r="U1824" s="12" t="str">
        <f t="shared" si="140"/>
        <v>-</v>
      </c>
      <c r="V1824" s="12" t="str" cm="1">
        <f t="array" ref="V1824">_xlfn.IFS(
ISNUMBER(SEARCH("USA",S1824)),"United States",
ISNUMBER(SEARCH("Republic of Ireland",S1824)),"Ireland",
ISNUMBER(SEARCH("Republic of Korea",S1824)),"South Korea",
ISNUMBER(SEARCH("Cape Verde",S1824)),"Cabo Verde",
ISNUMBER(SEARCH("Czechia",S1824)),"Czech Republic",
ISNUMBER(SEARCH("Türkiye",S1824)),"Turkey",
ISNUMBER(SEARCH("Ivory Coast",S1824)),"Côte d'Ivoire",
ISNUMBER(SEARCH("Korea Republic",S1824)),"South Korea",
ISNUMBER(SEARCH("Germany FR",S1824)),"FR Germany",
ISNUMBER(SEARCH("West Germany",S1824)),"FR Germany",
ISNUMBER(SEARCH("Germany DR",S1824)),"DR Germany",
ISNUMBER(SEARCH("Korea DPR",S1824)),"North Korea",
ISNUMBER(SEARCH("China PR",S1824)),"China",
ISNUMBER(SEARCH("IR Iran",S1824)),"Iran",
ISNUMBER(SEARCH("Congo DR",S1824)),"Democratic Republic of the Congo",
ISNUMBER(SEARCH("DR Congo",S1824)),"Democratic Republic of the Congo",
ISNUMBER(SEARCH("German DR",S1824)),"DR Germany",
ISNUMBER(SEARCH("rn""&gt;United Arab Emirates",S1824)),"United Arab Emirates",
ISNUMBER(SEARCH("rn""&gt;Republic of Ireland",S1824)),"Ireland",
ISNUMBER(SEARCH("rn""&gt;Bosnia and Herzegovina",S1824)),"Bosnia and Herzegovina",
ISNUMBER(SEARCH("rn""&gt;Trinidad and Tobago",S1824)),"Trinidad and Tobago",
ISNUMBER(SEARCH("rn""&gt;Serbia and Montenegro",S1824)),"Serbia and Montenegro",
ISNUMBER(SEARCH(_xlfn.UNICHAR(65533),S1824)),"Côte d'Ivoire",
TRUE,""
)</f>
        <v/>
      </c>
      <c r="W1824" s="12" t="str">
        <f t="shared" si="141"/>
        <v>New Zealand</v>
      </c>
    </row>
    <row r="1825" spans="2:23">
      <c r="B1825" s="76" t="str">
        <v>1962.0</v>
      </c>
      <c r="C1825" s="42" t="str">
        <v xml:space="preserve">30 May 1962 - 15:00 </v>
      </c>
      <c r="D1825" s="42" t="str">
        <v>Group 1</v>
      </c>
      <c r="E1825" s="42" t="str">
        <v>Carlos Dittborn</v>
      </c>
      <c r="F1825" s="42" t="str">
        <v xml:space="preserve">Arica </v>
      </c>
      <c r="G1825" s="42" t="str">
        <v>Uruguay</v>
      </c>
      <c r="H1825" s="42" t="str">
        <v>2.0</v>
      </c>
      <c r="I1825" s="42" t="str">
        <v>1.0</v>
      </c>
      <c r="J1825" s="42" t="str">
        <v>Colombia</v>
      </c>
      <c r="K1825" s="42" t="str">
        <v xml:space="preserve"> </v>
      </c>
      <c r="L1825" s="42" t="str">
        <f t="shared" si="142"/>
        <v xml:space="preserve">1962.0|30 May 1962 - 15:00 |Group 1|Carlos Dittborn|Arica |Uruguay|2.0|1.0|Colombia| </v>
      </c>
      <c r="M1825" s="42" t="str">
        <f>IF(COUNTIF($L$1689:L1825,L1825)&gt;1,"DOUBLON","OK")</f>
        <v>OK</v>
      </c>
      <c r="S1825" s="12" t="str">
        <v>New Zealand</v>
      </c>
      <c r="T1825" s="12" t="str">
        <f t="shared" ref="T1825:T1888" si="143">IF(COUNTIF(R$13:R$250,S1825)=1,"OK","ERREUR")</f>
        <v>OK</v>
      </c>
      <c r="U1825" s="12" t="str">
        <f t="shared" si="140"/>
        <v>-</v>
      </c>
      <c r="V1825" s="12" t="str" cm="1">
        <f t="array" ref="V1825">_xlfn.IFS(
ISNUMBER(SEARCH("USA",S1825)),"United States",
ISNUMBER(SEARCH("Republic of Ireland",S1825)),"Ireland",
ISNUMBER(SEARCH("Republic of Korea",S1825)),"South Korea",
ISNUMBER(SEARCH("Cape Verde",S1825)),"Cabo Verde",
ISNUMBER(SEARCH("Czechia",S1825)),"Czech Republic",
ISNUMBER(SEARCH("Türkiye",S1825)),"Turkey",
ISNUMBER(SEARCH("Ivory Coast",S1825)),"Côte d'Ivoire",
ISNUMBER(SEARCH("Korea Republic",S1825)),"South Korea",
ISNUMBER(SEARCH("Germany FR",S1825)),"FR Germany",
ISNUMBER(SEARCH("West Germany",S1825)),"FR Germany",
ISNUMBER(SEARCH("Germany DR",S1825)),"DR Germany",
ISNUMBER(SEARCH("Korea DPR",S1825)),"North Korea",
ISNUMBER(SEARCH("China PR",S1825)),"China",
ISNUMBER(SEARCH("IR Iran",S1825)),"Iran",
ISNUMBER(SEARCH("Congo DR",S1825)),"Democratic Republic of the Congo",
ISNUMBER(SEARCH("DR Congo",S1825)),"Democratic Republic of the Congo",
ISNUMBER(SEARCH("German DR",S1825)),"DR Germany",
ISNUMBER(SEARCH("rn""&gt;United Arab Emirates",S1825)),"United Arab Emirates",
ISNUMBER(SEARCH("rn""&gt;Republic of Ireland",S1825)),"Ireland",
ISNUMBER(SEARCH("rn""&gt;Bosnia and Herzegovina",S1825)),"Bosnia and Herzegovina",
ISNUMBER(SEARCH("rn""&gt;Trinidad and Tobago",S1825)),"Trinidad and Tobago",
ISNUMBER(SEARCH("rn""&gt;Serbia and Montenegro",S1825)),"Serbia and Montenegro",
ISNUMBER(SEARCH(_xlfn.UNICHAR(65533),S1825)),"Côte d'Ivoire",
TRUE,""
)</f>
        <v/>
      </c>
      <c r="W1825" s="12" t="str">
        <f t="shared" si="141"/>
        <v>New Zealand</v>
      </c>
    </row>
    <row r="1826" spans="2:23">
      <c r="B1826" s="76" t="str">
        <v>1962.0</v>
      </c>
      <c r="C1826" s="42" t="str">
        <v xml:space="preserve">30 May 1962 - 15:00 </v>
      </c>
      <c r="D1826" s="42" t="str">
        <v>Group 3</v>
      </c>
      <c r="E1826" s="42" t="str">
        <v>Estadio Sausalito</v>
      </c>
      <c r="F1826" s="42" t="str">
        <v xml:space="preserve">Vina Del Mar </v>
      </c>
      <c r="G1826" s="42" t="str">
        <v>Brazil</v>
      </c>
      <c r="H1826" s="42" t="str">
        <v>2.0</v>
      </c>
      <c r="I1826" s="42" t="str">
        <v>0.0</v>
      </c>
      <c r="J1826" s="42" t="str">
        <v>Mexico</v>
      </c>
      <c r="K1826" s="42" t="str">
        <v xml:space="preserve"> </v>
      </c>
      <c r="L1826" s="42" t="str">
        <f t="shared" si="142"/>
        <v xml:space="preserve">1962.0|30 May 1962 - 15:00 |Group 3|Estadio Sausalito|Vina Del Mar |Brazil|2.0|0.0|Mexico| </v>
      </c>
      <c r="M1826" s="42" t="str">
        <f>IF(COUNTIF($L$1689:L1826,L1826)&gt;1,"DOUBLON","OK")</f>
        <v>OK</v>
      </c>
      <c r="S1826" s="12" t="str">
        <v>New Zealand</v>
      </c>
      <c r="T1826" s="12" t="str">
        <f t="shared" si="143"/>
        <v>OK</v>
      </c>
      <c r="U1826" s="12" t="str">
        <f t="shared" ref="U1826:U1889" si="144">IF(OR(S1826="Scotland",S1826="England",S1826="Wales",S1826="Yugoslavia",S1826="Czechoslovakia",S1826="Northern Ireland",S1826="Soviet Union",S1826="Zaire",S1826="Dutch East Indies"),"AUCUNE",IF(OR(S1826="Cape Verde",S1826="USA",S1826="DR Congo",S1826="Republic of Korea",S1826="Germany FR",S1826="Germany DR",S1826="Czechia",S1826="Ivory Coast",S1826="Korea DPR",S1826="China PR",S1826="IR Iran",S1826="Türkiye",S1826="Congo DR",S1826="German DR",S1826="West Germany",S1826="Republic of Ireland",ISNUMBER(SEARCH("rn""&gt;United Arab Emirates",S1826)),ISNUMBER(SEARCH("rn""&gt;Republic of Ireland",S1826)),ISNUMBER(SEARCH("rn""&gt;Bosnia and Herzegovina",S1826)),ISNUMBER(SEARCH("rn""&gt;Trinidad and Tobago",S1826)),ISNUMBER(SEARCH("rn""&gt;Serbia and Montenegro",S1826)),ISNUMBER(SEARCH(_xlfn.UNICHAR(65533),S1826))),"RENOMMER","-"))</f>
        <v>-</v>
      </c>
      <c r="V1826" s="12" t="str" cm="1">
        <f t="array" ref="V1826">_xlfn.IFS(
ISNUMBER(SEARCH("USA",S1826)),"United States",
ISNUMBER(SEARCH("Republic of Ireland",S1826)),"Ireland",
ISNUMBER(SEARCH("Republic of Korea",S1826)),"South Korea",
ISNUMBER(SEARCH("Cape Verde",S1826)),"Cabo Verde",
ISNUMBER(SEARCH("Czechia",S1826)),"Czech Republic",
ISNUMBER(SEARCH("Türkiye",S1826)),"Turkey",
ISNUMBER(SEARCH("Ivory Coast",S1826)),"Côte d'Ivoire",
ISNUMBER(SEARCH("Korea Republic",S1826)),"South Korea",
ISNUMBER(SEARCH("Germany FR",S1826)),"FR Germany",
ISNUMBER(SEARCH("West Germany",S1826)),"FR Germany",
ISNUMBER(SEARCH("Germany DR",S1826)),"DR Germany",
ISNUMBER(SEARCH("Korea DPR",S1826)),"North Korea",
ISNUMBER(SEARCH("China PR",S1826)),"China",
ISNUMBER(SEARCH("IR Iran",S1826)),"Iran",
ISNUMBER(SEARCH("Congo DR",S1826)),"Democratic Republic of the Congo",
ISNUMBER(SEARCH("DR Congo",S1826)),"Democratic Republic of the Congo",
ISNUMBER(SEARCH("German DR",S1826)),"DR Germany",
ISNUMBER(SEARCH("rn""&gt;United Arab Emirates",S1826)),"United Arab Emirates",
ISNUMBER(SEARCH("rn""&gt;Republic of Ireland",S1826)),"Ireland",
ISNUMBER(SEARCH("rn""&gt;Bosnia and Herzegovina",S1826)),"Bosnia and Herzegovina",
ISNUMBER(SEARCH("rn""&gt;Trinidad and Tobago",S1826)),"Trinidad and Tobago",
ISNUMBER(SEARCH("rn""&gt;Serbia and Montenegro",S1826)),"Serbia and Montenegro",
ISNUMBER(SEARCH(_xlfn.UNICHAR(65533),S1826)),"Côte d'Ivoire",
TRUE,""
)</f>
        <v/>
      </c>
      <c r="W1826" s="12" t="str">
        <f t="shared" ref="W1826:W1889" si="145">IF(V1826="",S1826,V1826)</f>
        <v>New Zealand</v>
      </c>
    </row>
    <row r="1827" spans="2:23">
      <c r="B1827" s="76" t="str">
        <v>1962.0</v>
      </c>
      <c r="C1827" s="42" t="str">
        <v xml:space="preserve">30 May 1962 - 15:00 </v>
      </c>
      <c r="D1827" s="42" t="str">
        <v>Group 4</v>
      </c>
      <c r="E1827" s="42" t="str">
        <v>Estadio El Teniente-Codelco</v>
      </c>
      <c r="F1827" s="42" t="str">
        <v xml:space="preserve">Rancagua </v>
      </c>
      <c r="G1827" s="42" t="str">
        <v>Argentina</v>
      </c>
      <c r="H1827" s="42" t="str">
        <v>1.0</v>
      </c>
      <c r="I1827" s="42" t="str">
        <v>0.0</v>
      </c>
      <c r="J1827" s="42" t="str">
        <v>Bulgaria</v>
      </c>
      <c r="K1827" s="42" t="str">
        <v xml:space="preserve"> </v>
      </c>
      <c r="L1827" s="42" t="str">
        <f t="shared" si="142"/>
        <v xml:space="preserve">1962.0|30 May 1962 - 15:00 |Group 4|Estadio El Teniente-Codelco|Rancagua |Argentina|1.0|0.0|Bulgaria| </v>
      </c>
      <c r="M1827" s="42" t="str">
        <f>IF(COUNTIF($L$1689:L1827,L1827)&gt;1,"DOUBLON","OK")</f>
        <v>OK</v>
      </c>
      <c r="S1827" s="12" t="str">
        <v>New Zealand</v>
      </c>
      <c r="T1827" s="12" t="str">
        <f t="shared" si="143"/>
        <v>OK</v>
      </c>
      <c r="U1827" s="12" t="str">
        <f t="shared" si="144"/>
        <v>-</v>
      </c>
      <c r="V1827" s="12" t="str" cm="1">
        <f t="array" ref="V1827">_xlfn.IFS(
ISNUMBER(SEARCH("USA",S1827)),"United States",
ISNUMBER(SEARCH("Republic of Ireland",S1827)),"Ireland",
ISNUMBER(SEARCH("Republic of Korea",S1827)),"South Korea",
ISNUMBER(SEARCH("Cape Verde",S1827)),"Cabo Verde",
ISNUMBER(SEARCH("Czechia",S1827)),"Czech Republic",
ISNUMBER(SEARCH("Türkiye",S1827)),"Turkey",
ISNUMBER(SEARCH("Ivory Coast",S1827)),"Côte d'Ivoire",
ISNUMBER(SEARCH("Korea Republic",S1827)),"South Korea",
ISNUMBER(SEARCH("Germany FR",S1827)),"FR Germany",
ISNUMBER(SEARCH("West Germany",S1827)),"FR Germany",
ISNUMBER(SEARCH("Germany DR",S1827)),"DR Germany",
ISNUMBER(SEARCH("Korea DPR",S1827)),"North Korea",
ISNUMBER(SEARCH("China PR",S1827)),"China",
ISNUMBER(SEARCH("IR Iran",S1827)),"Iran",
ISNUMBER(SEARCH("Congo DR",S1827)),"Democratic Republic of the Congo",
ISNUMBER(SEARCH("DR Congo",S1827)),"Democratic Republic of the Congo",
ISNUMBER(SEARCH("German DR",S1827)),"DR Germany",
ISNUMBER(SEARCH("rn""&gt;United Arab Emirates",S1827)),"United Arab Emirates",
ISNUMBER(SEARCH("rn""&gt;Republic of Ireland",S1827)),"Ireland",
ISNUMBER(SEARCH("rn""&gt;Bosnia and Herzegovina",S1827)),"Bosnia and Herzegovina",
ISNUMBER(SEARCH("rn""&gt;Trinidad and Tobago",S1827)),"Trinidad and Tobago",
ISNUMBER(SEARCH("rn""&gt;Serbia and Montenegro",S1827)),"Serbia and Montenegro",
ISNUMBER(SEARCH(_xlfn.UNICHAR(65533),S1827)),"Côte d'Ivoire",
TRUE,""
)</f>
        <v/>
      </c>
      <c r="W1827" s="12" t="str">
        <f t="shared" si="145"/>
        <v>New Zealand</v>
      </c>
    </row>
    <row r="1828" spans="2:23">
      <c r="B1828" s="76" t="str">
        <v>1962.0</v>
      </c>
      <c r="C1828" s="42" t="str">
        <v xml:space="preserve">30 May 1962 - 15:00 </v>
      </c>
      <c r="D1828" s="42" t="str">
        <v>Group 2</v>
      </c>
      <c r="E1828" s="42" t="str">
        <v>Nacional</v>
      </c>
      <c r="F1828" s="42" t="str">
        <v xml:space="preserve">Santiago De Chile </v>
      </c>
      <c r="G1828" s="42" t="str">
        <v>Chile</v>
      </c>
      <c r="H1828" s="42" t="str">
        <v>3.0</v>
      </c>
      <c r="I1828" s="42" t="str">
        <v>1.0</v>
      </c>
      <c r="J1828" s="42" t="str">
        <v>Switzerland</v>
      </c>
      <c r="K1828" s="42" t="str">
        <v xml:space="preserve"> </v>
      </c>
      <c r="L1828" s="42" t="str">
        <f t="shared" si="142"/>
        <v xml:space="preserve">1962.0|30 May 1962 - 15:00 |Group 2|Nacional|Santiago De Chile |Chile|3.0|1.0|Switzerland| </v>
      </c>
      <c r="M1828" s="42" t="str">
        <f>IF(COUNTIF($L$1689:L1828,L1828)&gt;1,"DOUBLON","OK")</f>
        <v>OK</v>
      </c>
      <c r="S1828" s="12" t="str">
        <v>New Zealand</v>
      </c>
      <c r="T1828" s="12" t="str">
        <f t="shared" si="143"/>
        <v>OK</v>
      </c>
      <c r="U1828" s="12" t="str">
        <f t="shared" si="144"/>
        <v>-</v>
      </c>
      <c r="V1828" s="12" t="str" cm="1">
        <f t="array" ref="V1828">_xlfn.IFS(
ISNUMBER(SEARCH("USA",S1828)),"United States",
ISNUMBER(SEARCH("Republic of Ireland",S1828)),"Ireland",
ISNUMBER(SEARCH("Republic of Korea",S1828)),"South Korea",
ISNUMBER(SEARCH("Cape Verde",S1828)),"Cabo Verde",
ISNUMBER(SEARCH("Czechia",S1828)),"Czech Republic",
ISNUMBER(SEARCH("Türkiye",S1828)),"Turkey",
ISNUMBER(SEARCH("Ivory Coast",S1828)),"Côte d'Ivoire",
ISNUMBER(SEARCH("Korea Republic",S1828)),"South Korea",
ISNUMBER(SEARCH("Germany FR",S1828)),"FR Germany",
ISNUMBER(SEARCH("West Germany",S1828)),"FR Germany",
ISNUMBER(SEARCH("Germany DR",S1828)),"DR Germany",
ISNUMBER(SEARCH("Korea DPR",S1828)),"North Korea",
ISNUMBER(SEARCH("China PR",S1828)),"China",
ISNUMBER(SEARCH("IR Iran",S1828)),"Iran",
ISNUMBER(SEARCH("Congo DR",S1828)),"Democratic Republic of the Congo",
ISNUMBER(SEARCH("DR Congo",S1828)),"Democratic Republic of the Congo",
ISNUMBER(SEARCH("German DR",S1828)),"DR Germany",
ISNUMBER(SEARCH("rn""&gt;United Arab Emirates",S1828)),"United Arab Emirates",
ISNUMBER(SEARCH("rn""&gt;Republic of Ireland",S1828)),"Ireland",
ISNUMBER(SEARCH("rn""&gt;Bosnia and Herzegovina",S1828)),"Bosnia and Herzegovina",
ISNUMBER(SEARCH("rn""&gt;Trinidad and Tobago",S1828)),"Trinidad and Tobago",
ISNUMBER(SEARCH("rn""&gt;Serbia and Montenegro",S1828)),"Serbia and Montenegro",
ISNUMBER(SEARCH(_xlfn.UNICHAR(65533),S1828)),"Côte d'Ivoire",
TRUE,""
)</f>
        <v/>
      </c>
      <c r="W1828" s="12" t="str">
        <f t="shared" si="145"/>
        <v>New Zealand</v>
      </c>
    </row>
    <row r="1829" spans="2:23">
      <c r="B1829" s="76" t="str">
        <v>1962.0</v>
      </c>
      <c r="C1829" s="42" t="str">
        <v xml:space="preserve">31 May 1962 - 15:00 </v>
      </c>
      <c r="D1829" s="42" t="str">
        <v>Group 1</v>
      </c>
      <c r="E1829" s="42" t="str">
        <v>Carlos Dittborn</v>
      </c>
      <c r="F1829" s="42" t="str">
        <v xml:space="preserve">Arica </v>
      </c>
      <c r="G1829" s="42" t="str">
        <v>Soviet Union</v>
      </c>
      <c r="H1829" s="42" t="str">
        <v>2.0</v>
      </c>
      <c r="I1829" s="42" t="str">
        <v>0.0</v>
      </c>
      <c r="J1829" s="42" t="str">
        <v>Yugoslavia</v>
      </c>
      <c r="K1829" s="42" t="str">
        <v xml:space="preserve"> </v>
      </c>
      <c r="L1829" s="42" t="str">
        <f t="shared" si="142"/>
        <v xml:space="preserve">1962.0|31 May 1962 - 15:00 |Group 1|Carlos Dittborn|Arica |Soviet Union|2.0|0.0|Yugoslavia| </v>
      </c>
      <c r="M1829" s="42" t="str">
        <f>IF(COUNTIF($L$1689:L1829,L1829)&gt;1,"DOUBLON","OK")</f>
        <v>OK</v>
      </c>
      <c r="S1829" s="12" t="str">
        <v>New Zealand</v>
      </c>
      <c r="T1829" s="12" t="str">
        <f t="shared" si="143"/>
        <v>OK</v>
      </c>
      <c r="U1829" s="12" t="str">
        <f t="shared" si="144"/>
        <v>-</v>
      </c>
      <c r="V1829" s="12" t="str" cm="1">
        <f t="array" ref="V1829">_xlfn.IFS(
ISNUMBER(SEARCH("USA",S1829)),"United States",
ISNUMBER(SEARCH("Republic of Ireland",S1829)),"Ireland",
ISNUMBER(SEARCH("Republic of Korea",S1829)),"South Korea",
ISNUMBER(SEARCH("Cape Verde",S1829)),"Cabo Verde",
ISNUMBER(SEARCH("Czechia",S1829)),"Czech Republic",
ISNUMBER(SEARCH("Türkiye",S1829)),"Turkey",
ISNUMBER(SEARCH("Ivory Coast",S1829)),"Côte d'Ivoire",
ISNUMBER(SEARCH("Korea Republic",S1829)),"South Korea",
ISNUMBER(SEARCH("Germany FR",S1829)),"FR Germany",
ISNUMBER(SEARCH("West Germany",S1829)),"FR Germany",
ISNUMBER(SEARCH("Germany DR",S1829)),"DR Germany",
ISNUMBER(SEARCH("Korea DPR",S1829)),"North Korea",
ISNUMBER(SEARCH("China PR",S1829)),"China",
ISNUMBER(SEARCH("IR Iran",S1829)),"Iran",
ISNUMBER(SEARCH("Congo DR",S1829)),"Democratic Republic of the Congo",
ISNUMBER(SEARCH("DR Congo",S1829)),"Democratic Republic of the Congo",
ISNUMBER(SEARCH("German DR",S1829)),"DR Germany",
ISNUMBER(SEARCH("rn""&gt;United Arab Emirates",S1829)),"United Arab Emirates",
ISNUMBER(SEARCH("rn""&gt;Republic of Ireland",S1829)),"Ireland",
ISNUMBER(SEARCH("rn""&gt;Bosnia and Herzegovina",S1829)),"Bosnia and Herzegovina",
ISNUMBER(SEARCH("rn""&gt;Trinidad and Tobago",S1829)),"Trinidad and Tobago",
ISNUMBER(SEARCH("rn""&gt;Serbia and Montenegro",S1829)),"Serbia and Montenegro",
ISNUMBER(SEARCH(_xlfn.UNICHAR(65533),S1829)),"Côte d'Ivoire",
TRUE,""
)</f>
        <v/>
      </c>
      <c r="W1829" s="12" t="str">
        <f t="shared" si="145"/>
        <v>New Zealand</v>
      </c>
    </row>
    <row r="1830" spans="2:23">
      <c r="B1830" s="76" t="str">
        <v>1962.0</v>
      </c>
      <c r="C1830" s="42" t="str">
        <v xml:space="preserve">31 May 1962 - 15:00 </v>
      </c>
      <c r="D1830" s="42" t="str">
        <v>Group 3</v>
      </c>
      <c r="E1830" s="42" t="str">
        <v>Estadio Sausalito</v>
      </c>
      <c r="F1830" s="42" t="str">
        <v xml:space="preserve">Vina Del Mar </v>
      </c>
      <c r="G1830" s="42" t="str">
        <v>Czechoslovakia</v>
      </c>
      <c r="H1830" s="42" t="str">
        <v>1.0</v>
      </c>
      <c r="I1830" s="42" t="str">
        <v>0.0</v>
      </c>
      <c r="J1830" s="42" t="str">
        <v>Spain</v>
      </c>
      <c r="K1830" s="42" t="str">
        <v xml:space="preserve"> </v>
      </c>
      <c r="L1830" s="42" t="str">
        <f t="shared" si="142"/>
        <v xml:space="preserve">1962.0|31 May 1962 - 15:00 |Group 3|Estadio Sausalito|Vina Del Mar |Czechoslovakia|1.0|0.0|Spain| </v>
      </c>
      <c r="M1830" s="42" t="str">
        <f>IF(COUNTIF($L$1689:L1830,L1830)&gt;1,"DOUBLON","OK")</f>
        <v>OK</v>
      </c>
      <c r="S1830" s="12" t="str">
        <v>New Zealand</v>
      </c>
      <c r="T1830" s="12" t="str">
        <f t="shared" si="143"/>
        <v>OK</v>
      </c>
      <c r="U1830" s="12" t="str">
        <f t="shared" si="144"/>
        <v>-</v>
      </c>
      <c r="V1830" s="12" t="str" cm="1">
        <f t="array" ref="V1830">_xlfn.IFS(
ISNUMBER(SEARCH("USA",S1830)),"United States",
ISNUMBER(SEARCH("Republic of Ireland",S1830)),"Ireland",
ISNUMBER(SEARCH("Republic of Korea",S1830)),"South Korea",
ISNUMBER(SEARCH("Cape Verde",S1830)),"Cabo Verde",
ISNUMBER(SEARCH("Czechia",S1830)),"Czech Republic",
ISNUMBER(SEARCH("Türkiye",S1830)),"Turkey",
ISNUMBER(SEARCH("Ivory Coast",S1830)),"Côte d'Ivoire",
ISNUMBER(SEARCH("Korea Republic",S1830)),"South Korea",
ISNUMBER(SEARCH("Germany FR",S1830)),"FR Germany",
ISNUMBER(SEARCH("West Germany",S1830)),"FR Germany",
ISNUMBER(SEARCH("Germany DR",S1830)),"DR Germany",
ISNUMBER(SEARCH("Korea DPR",S1830)),"North Korea",
ISNUMBER(SEARCH("China PR",S1830)),"China",
ISNUMBER(SEARCH("IR Iran",S1830)),"Iran",
ISNUMBER(SEARCH("Congo DR",S1830)),"Democratic Republic of the Congo",
ISNUMBER(SEARCH("DR Congo",S1830)),"Democratic Republic of the Congo",
ISNUMBER(SEARCH("German DR",S1830)),"DR Germany",
ISNUMBER(SEARCH("rn""&gt;United Arab Emirates",S1830)),"United Arab Emirates",
ISNUMBER(SEARCH("rn""&gt;Republic of Ireland",S1830)),"Ireland",
ISNUMBER(SEARCH("rn""&gt;Bosnia and Herzegovina",S1830)),"Bosnia and Herzegovina",
ISNUMBER(SEARCH("rn""&gt;Trinidad and Tobago",S1830)),"Trinidad and Tobago",
ISNUMBER(SEARCH("rn""&gt;Serbia and Montenegro",S1830)),"Serbia and Montenegro",
ISNUMBER(SEARCH(_xlfn.UNICHAR(65533),S1830)),"Côte d'Ivoire",
TRUE,""
)</f>
        <v/>
      </c>
      <c r="W1830" s="12" t="str">
        <f t="shared" si="145"/>
        <v>New Zealand</v>
      </c>
    </row>
    <row r="1831" spans="2:23">
      <c r="B1831" s="76" t="str">
        <v>1962.0</v>
      </c>
      <c r="C1831" s="42" t="str">
        <v xml:space="preserve">31 May 1962 - 15:00 </v>
      </c>
      <c r="D1831" s="42" t="str">
        <v>Group 4</v>
      </c>
      <c r="E1831" s="42" t="str">
        <v>Estadio El Teniente-Codelco</v>
      </c>
      <c r="F1831" s="42" t="str">
        <v xml:space="preserve">Rancagua </v>
      </c>
      <c r="G1831" s="42" t="str">
        <v>Hungary</v>
      </c>
      <c r="H1831" s="42" t="str">
        <v>2.0</v>
      </c>
      <c r="I1831" s="42" t="str">
        <v>1.0</v>
      </c>
      <c r="J1831" s="42" t="str">
        <v>England</v>
      </c>
      <c r="K1831" s="42" t="str">
        <v xml:space="preserve"> </v>
      </c>
      <c r="L1831" s="42" t="str">
        <f t="shared" si="142"/>
        <v xml:space="preserve">1962.0|31 May 1962 - 15:00 |Group 4|Estadio El Teniente-Codelco|Rancagua |Hungary|2.0|1.0|England| </v>
      </c>
      <c r="M1831" s="42" t="str">
        <f>IF(COUNTIF($L$1689:L1831,L1831)&gt;1,"DOUBLON","OK")</f>
        <v>OK</v>
      </c>
      <c r="S1831" s="12" t="str">
        <v>New Zealand</v>
      </c>
      <c r="T1831" s="12" t="str">
        <f t="shared" si="143"/>
        <v>OK</v>
      </c>
      <c r="U1831" s="12" t="str">
        <f t="shared" si="144"/>
        <v>-</v>
      </c>
      <c r="V1831" s="12" t="str" cm="1">
        <f t="array" ref="V1831">_xlfn.IFS(
ISNUMBER(SEARCH("USA",S1831)),"United States",
ISNUMBER(SEARCH("Republic of Ireland",S1831)),"Ireland",
ISNUMBER(SEARCH("Republic of Korea",S1831)),"South Korea",
ISNUMBER(SEARCH("Cape Verde",S1831)),"Cabo Verde",
ISNUMBER(SEARCH("Czechia",S1831)),"Czech Republic",
ISNUMBER(SEARCH("Türkiye",S1831)),"Turkey",
ISNUMBER(SEARCH("Ivory Coast",S1831)),"Côte d'Ivoire",
ISNUMBER(SEARCH("Korea Republic",S1831)),"South Korea",
ISNUMBER(SEARCH("Germany FR",S1831)),"FR Germany",
ISNUMBER(SEARCH("West Germany",S1831)),"FR Germany",
ISNUMBER(SEARCH("Germany DR",S1831)),"DR Germany",
ISNUMBER(SEARCH("Korea DPR",S1831)),"North Korea",
ISNUMBER(SEARCH("China PR",S1831)),"China",
ISNUMBER(SEARCH("IR Iran",S1831)),"Iran",
ISNUMBER(SEARCH("Congo DR",S1831)),"Democratic Republic of the Congo",
ISNUMBER(SEARCH("DR Congo",S1831)),"Democratic Republic of the Congo",
ISNUMBER(SEARCH("German DR",S1831)),"DR Germany",
ISNUMBER(SEARCH("rn""&gt;United Arab Emirates",S1831)),"United Arab Emirates",
ISNUMBER(SEARCH("rn""&gt;Republic of Ireland",S1831)),"Ireland",
ISNUMBER(SEARCH("rn""&gt;Bosnia and Herzegovina",S1831)),"Bosnia and Herzegovina",
ISNUMBER(SEARCH("rn""&gt;Trinidad and Tobago",S1831)),"Trinidad and Tobago",
ISNUMBER(SEARCH("rn""&gt;Serbia and Montenegro",S1831)),"Serbia and Montenegro",
ISNUMBER(SEARCH(_xlfn.UNICHAR(65533),S1831)),"Côte d'Ivoire",
TRUE,""
)</f>
        <v/>
      </c>
      <c r="W1831" s="12" t="str">
        <f t="shared" si="145"/>
        <v>New Zealand</v>
      </c>
    </row>
    <row r="1832" spans="2:23">
      <c r="B1832" s="76" t="str">
        <v>1962.0</v>
      </c>
      <c r="C1832" s="42" t="str">
        <v xml:space="preserve">31 May 1962 - 15:00 </v>
      </c>
      <c r="D1832" s="42" t="str">
        <v>Group 2</v>
      </c>
      <c r="E1832" s="42" t="str">
        <v>Nacional</v>
      </c>
      <c r="F1832" s="42" t="str">
        <v xml:space="preserve">Santiago De Chile </v>
      </c>
      <c r="G1832" s="42" t="str">
        <v>Germany FR</v>
      </c>
      <c r="H1832" s="42" t="str">
        <v>0.0</v>
      </c>
      <c r="I1832" s="42" t="str">
        <v>0.0</v>
      </c>
      <c r="J1832" s="42" t="str">
        <v>Italy</v>
      </c>
      <c r="K1832" s="42" t="str">
        <v xml:space="preserve"> </v>
      </c>
      <c r="L1832" s="42" t="str">
        <f t="shared" si="142"/>
        <v xml:space="preserve">1962.0|31 May 1962 - 15:00 |Group 2|Nacional|Santiago De Chile |Germany FR|0.0|0.0|Italy| </v>
      </c>
      <c r="M1832" s="42" t="str">
        <f>IF(COUNTIF($L$1689:L1832,L1832)&gt;1,"DOUBLON","OK")</f>
        <v>OK</v>
      </c>
      <c r="S1832" s="12" t="str">
        <v>New Zealand</v>
      </c>
      <c r="T1832" s="12" t="str">
        <f t="shared" si="143"/>
        <v>OK</v>
      </c>
      <c r="U1832" s="12" t="str">
        <f t="shared" si="144"/>
        <v>-</v>
      </c>
      <c r="V1832" s="12" t="str" cm="1">
        <f t="array" ref="V1832">_xlfn.IFS(
ISNUMBER(SEARCH("USA",S1832)),"United States",
ISNUMBER(SEARCH("Republic of Ireland",S1832)),"Ireland",
ISNUMBER(SEARCH("Republic of Korea",S1832)),"South Korea",
ISNUMBER(SEARCH("Cape Verde",S1832)),"Cabo Verde",
ISNUMBER(SEARCH("Czechia",S1832)),"Czech Republic",
ISNUMBER(SEARCH("Türkiye",S1832)),"Turkey",
ISNUMBER(SEARCH("Ivory Coast",S1832)),"Côte d'Ivoire",
ISNUMBER(SEARCH("Korea Republic",S1832)),"South Korea",
ISNUMBER(SEARCH("Germany FR",S1832)),"FR Germany",
ISNUMBER(SEARCH("West Germany",S1832)),"FR Germany",
ISNUMBER(SEARCH("Germany DR",S1832)),"DR Germany",
ISNUMBER(SEARCH("Korea DPR",S1832)),"North Korea",
ISNUMBER(SEARCH("China PR",S1832)),"China",
ISNUMBER(SEARCH("IR Iran",S1832)),"Iran",
ISNUMBER(SEARCH("Congo DR",S1832)),"Democratic Republic of the Congo",
ISNUMBER(SEARCH("DR Congo",S1832)),"Democratic Republic of the Congo",
ISNUMBER(SEARCH("German DR",S1832)),"DR Germany",
ISNUMBER(SEARCH("rn""&gt;United Arab Emirates",S1832)),"United Arab Emirates",
ISNUMBER(SEARCH("rn""&gt;Republic of Ireland",S1832)),"Ireland",
ISNUMBER(SEARCH("rn""&gt;Bosnia and Herzegovina",S1832)),"Bosnia and Herzegovina",
ISNUMBER(SEARCH("rn""&gt;Trinidad and Tobago",S1832)),"Trinidad and Tobago",
ISNUMBER(SEARCH("rn""&gt;Serbia and Montenegro",S1832)),"Serbia and Montenegro",
ISNUMBER(SEARCH(_xlfn.UNICHAR(65533),S1832)),"Côte d'Ivoire",
TRUE,""
)</f>
        <v/>
      </c>
      <c r="W1832" s="12" t="str">
        <f t="shared" si="145"/>
        <v>New Zealand</v>
      </c>
    </row>
    <row r="1833" spans="2:23">
      <c r="B1833" s="76" t="str">
        <v>1962.0</v>
      </c>
      <c r="C1833" s="42" t="str">
        <v xml:space="preserve">02 Jun 1962 - 15:00 </v>
      </c>
      <c r="D1833" s="42" t="str">
        <v>Group 1</v>
      </c>
      <c r="E1833" s="42" t="str">
        <v>Carlos Dittborn</v>
      </c>
      <c r="F1833" s="42" t="str">
        <v xml:space="preserve">Arica </v>
      </c>
      <c r="G1833" s="42" t="str">
        <v>Yugoslavia</v>
      </c>
      <c r="H1833" s="42" t="str">
        <v>3.0</v>
      </c>
      <c r="I1833" s="42" t="str">
        <v>1.0</v>
      </c>
      <c r="J1833" s="42" t="str">
        <v>Uruguay</v>
      </c>
      <c r="K1833" s="42" t="str">
        <v xml:space="preserve"> </v>
      </c>
      <c r="L1833" s="42" t="str">
        <f t="shared" si="142"/>
        <v xml:space="preserve">1962.0|02 Jun 1962 - 15:00 |Group 1|Carlos Dittborn|Arica |Yugoslavia|3.0|1.0|Uruguay| </v>
      </c>
      <c r="M1833" s="42" t="str">
        <f>IF(COUNTIF($L$1689:L1833,L1833)&gt;1,"DOUBLON","OK")</f>
        <v>OK</v>
      </c>
      <c r="S1833" s="12" t="str">
        <v>New Zealand</v>
      </c>
      <c r="T1833" s="12" t="str">
        <f t="shared" si="143"/>
        <v>OK</v>
      </c>
      <c r="U1833" s="12" t="str">
        <f t="shared" si="144"/>
        <v>-</v>
      </c>
      <c r="V1833" s="12" t="str" cm="1">
        <f t="array" ref="V1833">_xlfn.IFS(
ISNUMBER(SEARCH("USA",S1833)),"United States",
ISNUMBER(SEARCH("Republic of Ireland",S1833)),"Ireland",
ISNUMBER(SEARCH("Republic of Korea",S1833)),"South Korea",
ISNUMBER(SEARCH("Cape Verde",S1833)),"Cabo Verde",
ISNUMBER(SEARCH("Czechia",S1833)),"Czech Republic",
ISNUMBER(SEARCH("Türkiye",S1833)),"Turkey",
ISNUMBER(SEARCH("Ivory Coast",S1833)),"Côte d'Ivoire",
ISNUMBER(SEARCH("Korea Republic",S1833)),"South Korea",
ISNUMBER(SEARCH("Germany FR",S1833)),"FR Germany",
ISNUMBER(SEARCH("West Germany",S1833)),"FR Germany",
ISNUMBER(SEARCH("Germany DR",S1833)),"DR Germany",
ISNUMBER(SEARCH("Korea DPR",S1833)),"North Korea",
ISNUMBER(SEARCH("China PR",S1833)),"China",
ISNUMBER(SEARCH("IR Iran",S1833)),"Iran",
ISNUMBER(SEARCH("Congo DR",S1833)),"Democratic Republic of the Congo",
ISNUMBER(SEARCH("DR Congo",S1833)),"Democratic Republic of the Congo",
ISNUMBER(SEARCH("German DR",S1833)),"DR Germany",
ISNUMBER(SEARCH("rn""&gt;United Arab Emirates",S1833)),"United Arab Emirates",
ISNUMBER(SEARCH("rn""&gt;Republic of Ireland",S1833)),"Ireland",
ISNUMBER(SEARCH("rn""&gt;Bosnia and Herzegovina",S1833)),"Bosnia and Herzegovina",
ISNUMBER(SEARCH("rn""&gt;Trinidad and Tobago",S1833)),"Trinidad and Tobago",
ISNUMBER(SEARCH("rn""&gt;Serbia and Montenegro",S1833)),"Serbia and Montenegro",
ISNUMBER(SEARCH(_xlfn.UNICHAR(65533),S1833)),"Côte d'Ivoire",
TRUE,""
)</f>
        <v/>
      </c>
      <c r="W1833" s="12" t="str">
        <f t="shared" si="145"/>
        <v>New Zealand</v>
      </c>
    </row>
    <row r="1834" spans="2:23">
      <c r="B1834" s="76" t="str">
        <v>1962.0</v>
      </c>
      <c r="C1834" s="42" t="str">
        <v xml:space="preserve">02 Jun 1962 - 15:00 </v>
      </c>
      <c r="D1834" s="42" t="str">
        <v>Group 3</v>
      </c>
      <c r="E1834" s="42" t="str">
        <v>Estadio Sausalito</v>
      </c>
      <c r="F1834" s="42" t="str">
        <v xml:space="preserve">Vina Del Mar </v>
      </c>
      <c r="G1834" s="42" t="str">
        <v>Brazil</v>
      </c>
      <c r="H1834" s="42" t="str">
        <v>0.0</v>
      </c>
      <c r="I1834" s="42" t="str">
        <v>0.0</v>
      </c>
      <c r="J1834" s="42" t="str">
        <v>Czechoslovakia</v>
      </c>
      <c r="K1834" s="42" t="str">
        <v xml:space="preserve"> </v>
      </c>
      <c r="L1834" s="42" t="str">
        <f t="shared" si="142"/>
        <v xml:space="preserve">1962.0|02 Jun 1962 - 15:00 |Group 3|Estadio Sausalito|Vina Del Mar |Brazil|0.0|0.0|Czechoslovakia| </v>
      </c>
      <c r="M1834" s="42" t="str">
        <f>IF(COUNTIF($L$1689:L1834,L1834)&gt;1,"DOUBLON","OK")</f>
        <v>OK</v>
      </c>
      <c r="S1834" s="12" t="str">
        <v>New Zealand</v>
      </c>
      <c r="T1834" s="12" t="str">
        <f t="shared" si="143"/>
        <v>OK</v>
      </c>
      <c r="U1834" s="12" t="str">
        <f t="shared" si="144"/>
        <v>-</v>
      </c>
      <c r="V1834" s="12" t="str" cm="1">
        <f t="array" ref="V1834">_xlfn.IFS(
ISNUMBER(SEARCH("USA",S1834)),"United States",
ISNUMBER(SEARCH("Republic of Ireland",S1834)),"Ireland",
ISNUMBER(SEARCH("Republic of Korea",S1834)),"South Korea",
ISNUMBER(SEARCH("Cape Verde",S1834)),"Cabo Verde",
ISNUMBER(SEARCH("Czechia",S1834)),"Czech Republic",
ISNUMBER(SEARCH("Türkiye",S1834)),"Turkey",
ISNUMBER(SEARCH("Ivory Coast",S1834)),"Côte d'Ivoire",
ISNUMBER(SEARCH("Korea Republic",S1834)),"South Korea",
ISNUMBER(SEARCH("Germany FR",S1834)),"FR Germany",
ISNUMBER(SEARCH("West Germany",S1834)),"FR Germany",
ISNUMBER(SEARCH("Germany DR",S1834)),"DR Germany",
ISNUMBER(SEARCH("Korea DPR",S1834)),"North Korea",
ISNUMBER(SEARCH("China PR",S1834)),"China",
ISNUMBER(SEARCH("IR Iran",S1834)),"Iran",
ISNUMBER(SEARCH("Congo DR",S1834)),"Democratic Republic of the Congo",
ISNUMBER(SEARCH("DR Congo",S1834)),"Democratic Republic of the Congo",
ISNUMBER(SEARCH("German DR",S1834)),"DR Germany",
ISNUMBER(SEARCH("rn""&gt;United Arab Emirates",S1834)),"United Arab Emirates",
ISNUMBER(SEARCH("rn""&gt;Republic of Ireland",S1834)),"Ireland",
ISNUMBER(SEARCH("rn""&gt;Bosnia and Herzegovina",S1834)),"Bosnia and Herzegovina",
ISNUMBER(SEARCH("rn""&gt;Trinidad and Tobago",S1834)),"Trinidad and Tobago",
ISNUMBER(SEARCH("rn""&gt;Serbia and Montenegro",S1834)),"Serbia and Montenegro",
ISNUMBER(SEARCH(_xlfn.UNICHAR(65533),S1834)),"Côte d'Ivoire",
TRUE,""
)</f>
        <v/>
      </c>
      <c r="W1834" s="12" t="str">
        <f t="shared" si="145"/>
        <v>New Zealand</v>
      </c>
    </row>
    <row r="1835" spans="2:23">
      <c r="B1835" s="76" t="str">
        <v>1962.0</v>
      </c>
      <c r="C1835" s="42" t="str">
        <v xml:space="preserve">02 Jun 1962 - 15:00 </v>
      </c>
      <c r="D1835" s="42" t="str">
        <v>Group 4</v>
      </c>
      <c r="E1835" s="42" t="str">
        <v>Estadio El Teniente-Codelco</v>
      </c>
      <c r="F1835" s="42" t="str">
        <v xml:space="preserve">Rancagua </v>
      </c>
      <c r="G1835" s="42" t="str">
        <v>England</v>
      </c>
      <c r="H1835" s="42" t="str">
        <v>3.0</v>
      </c>
      <c r="I1835" s="42" t="str">
        <v>1.0</v>
      </c>
      <c r="J1835" s="42" t="str">
        <v>Argentina</v>
      </c>
      <c r="K1835" s="42" t="str">
        <v xml:space="preserve"> </v>
      </c>
      <c r="L1835" s="42" t="str">
        <f t="shared" si="142"/>
        <v xml:space="preserve">1962.0|02 Jun 1962 - 15:00 |Group 4|Estadio El Teniente-Codelco|Rancagua |England|3.0|1.0|Argentina| </v>
      </c>
      <c r="M1835" s="42" t="str">
        <f>IF(COUNTIF($L$1689:L1835,L1835)&gt;1,"DOUBLON","OK")</f>
        <v>OK</v>
      </c>
      <c r="S1835" s="12" t="str">
        <v>New Zealand</v>
      </c>
      <c r="T1835" s="12" t="str">
        <f t="shared" si="143"/>
        <v>OK</v>
      </c>
      <c r="U1835" s="12" t="str">
        <f t="shared" si="144"/>
        <v>-</v>
      </c>
      <c r="V1835" s="12" t="str" cm="1">
        <f t="array" ref="V1835">_xlfn.IFS(
ISNUMBER(SEARCH("USA",S1835)),"United States",
ISNUMBER(SEARCH("Republic of Ireland",S1835)),"Ireland",
ISNUMBER(SEARCH("Republic of Korea",S1835)),"South Korea",
ISNUMBER(SEARCH("Cape Verde",S1835)),"Cabo Verde",
ISNUMBER(SEARCH("Czechia",S1835)),"Czech Republic",
ISNUMBER(SEARCH("Türkiye",S1835)),"Turkey",
ISNUMBER(SEARCH("Ivory Coast",S1835)),"Côte d'Ivoire",
ISNUMBER(SEARCH("Korea Republic",S1835)),"South Korea",
ISNUMBER(SEARCH("Germany FR",S1835)),"FR Germany",
ISNUMBER(SEARCH("West Germany",S1835)),"FR Germany",
ISNUMBER(SEARCH("Germany DR",S1835)),"DR Germany",
ISNUMBER(SEARCH("Korea DPR",S1835)),"North Korea",
ISNUMBER(SEARCH("China PR",S1835)),"China",
ISNUMBER(SEARCH("IR Iran",S1835)),"Iran",
ISNUMBER(SEARCH("Congo DR",S1835)),"Democratic Republic of the Congo",
ISNUMBER(SEARCH("DR Congo",S1835)),"Democratic Republic of the Congo",
ISNUMBER(SEARCH("German DR",S1835)),"DR Germany",
ISNUMBER(SEARCH("rn""&gt;United Arab Emirates",S1835)),"United Arab Emirates",
ISNUMBER(SEARCH("rn""&gt;Republic of Ireland",S1835)),"Ireland",
ISNUMBER(SEARCH("rn""&gt;Bosnia and Herzegovina",S1835)),"Bosnia and Herzegovina",
ISNUMBER(SEARCH("rn""&gt;Trinidad and Tobago",S1835)),"Trinidad and Tobago",
ISNUMBER(SEARCH("rn""&gt;Serbia and Montenegro",S1835)),"Serbia and Montenegro",
ISNUMBER(SEARCH(_xlfn.UNICHAR(65533),S1835)),"Côte d'Ivoire",
TRUE,""
)</f>
        <v/>
      </c>
      <c r="W1835" s="12" t="str">
        <f t="shared" si="145"/>
        <v>New Zealand</v>
      </c>
    </row>
    <row r="1836" spans="2:23">
      <c r="B1836" s="76" t="str">
        <v>1962.0</v>
      </c>
      <c r="C1836" s="42" t="str">
        <v xml:space="preserve">02 Jun 1962 - 15:00 </v>
      </c>
      <c r="D1836" s="42" t="str">
        <v>Group 2</v>
      </c>
      <c r="E1836" s="42" t="str">
        <v>Nacional</v>
      </c>
      <c r="F1836" s="42" t="str">
        <v xml:space="preserve">Santiago De Chile </v>
      </c>
      <c r="G1836" s="42" t="str">
        <v>Chile</v>
      </c>
      <c r="H1836" s="42" t="str">
        <v>2.0</v>
      </c>
      <c r="I1836" s="42" t="str">
        <v>0.0</v>
      </c>
      <c r="J1836" s="42" t="str">
        <v>Italy</v>
      </c>
      <c r="K1836" s="42" t="str">
        <v xml:space="preserve"> </v>
      </c>
      <c r="L1836" s="42" t="str">
        <f t="shared" si="142"/>
        <v xml:space="preserve">1962.0|02 Jun 1962 - 15:00 |Group 2|Nacional|Santiago De Chile |Chile|2.0|0.0|Italy| </v>
      </c>
      <c r="M1836" s="42" t="str">
        <f>IF(COUNTIF($L$1689:L1836,L1836)&gt;1,"DOUBLON","OK")</f>
        <v>OK</v>
      </c>
      <c r="S1836" s="12" t="str">
        <v>New Zealand</v>
      </c>
      <c r="T1836" s="12" t="str">
        <f t="shared" si="143"/>
        <v>OK</v>
      </c>
      <c r="U1836" s="12" t="str">
        <f t="shared" si="144"/>
        <v>-</v>
      </c>
      <c r="V1836" s="12" t="str" cm="1">
        <f t="array" ref="V1836">_xlfn.IFS(
ISNUMBER(SEARCH("USA",S1836)),"United States",
ISNUMBER(SEARCH("Republic of Ireland",S1836)),"Ireland",
ISNUMBER(SEARCH("Republic of Korea",S1836)),"South Korea",
ISNUMBER(SEARCH("Cape Verde",S1836)),"Cabo Verde",
ISNUMBER(SEARCH("Czechia",S1836)),"Czech Republic",
ISNUMBER(SEARCH("Türkiye",S1836)),"Turkey",
ISNUMBER(SEARCH("Ivory Coast",S1836)),"Côte d'Ivoire",
ISNUMBER(SEARCH("Korea Republic",S1836)),"South Korea",
ISNUMBER(SEARCH("Germany FR",S1836)),"FR Germany",
ISNUMBER(SEARCH("West Germany",S1836)),"FR Germany",
ISNUMBER(SEARCH("Germany DR",S1836)),"DR Germany",
ISNUMBER(SEARCH("Korea DPR",S1836)),"North Korea",
ISNUMBER(SEARCH("China PR",S1836)),"China",
ISNUMBER(SEARCH("IR Iran",S1836)),"Iran",
ISNUMBER(SEARCH("Congo DR",S1836)),"Democratic Republic of the Congo",
ISNUMBER(SEARCH("DR Congo",S1836)),"Democratic Republic of the Congo",
ISNUMBER(SEARCH("German DR",S1836)),"DR Germany",
ISNUMBER(SEARCH("rn""&gt;United Arab Emirates",S1836)),"United Arab Emirates",
ISNUMBER(SEARCH("rn""&gt;Republic of Ireland",S1836)),"Ireland",
ISNUMBER(SEARCH("rn""&gt;Bosnia and Herzegovina",S1836)),"Bosnia and Herzegovina",
ISNUMBER(SEARCH("rn""&gt;Trinidad and Tobago",S1836)),"Trinidad and Tobago",
ISNUMBER(SEARCH("rn""&gt;Serbia and Montenegro",S1836)),"Serbia and Montenegro",
ISNUMBER(SEARCH(_xlfn.UNICHAR(65533),S1836)),"Côte d'Ivoire",
TRUE,""
)</f>
        <v/>
      </c>
      <c r="W1836" s="12" t="str">
        <f t="shared" si="145"/>
        <v>New Zealand</v>
      </c>
    </row>
    <row r="1837" spans="2:23">
      <c r="B1837" s="76" t="str">
        <v>1962.0</v>
      </c>
      <c r="C1837" s="42" t="str">
        <v xml:space="preserve">03 Jun 1962 - 15:00 </v>
      </c>
      <c r="D1837" s="42" t="str">
        <v>Group 1</v>
      </c>
      <c r="E1837" s="42" t="str">
        <v>Carlos Dittborn</v>
      </c>
      <c r="F1837" s="42" t="str">
        <v xml:space="preserve">Arica </v>
      </c>
      <c r="G1837" s="42" t="str">
        <v>Soviet Union</v>
      </c>
      <c r="H1837" s="42" t="str">
        <v>4.0</v>
      </c>
      <c r="I1837" s="42" t="str">
        <v>4.0</v>
      </c>
      <c r="J1837" s="42" t="str">
        <v>Colombia</v>
      </c>
      <c r="K1837" s="42" t="str">
        <v xml:space="preserve"> </v>
      </c>
      <c r="L1837" s="42" t="str">
        <f t="shared" si="142"/>
        <v xml:space="preserve">1962.0|03 Jun 1962 - 15:00 |Group 1|Carlos Dittborn|Arica |Soviet Union|4.0|4.0|Colombia| </v>
      </c>
      <c r="M1837" s="42" t="str">
        <f>IF(COUNTIF($L$1689:L1837,L1837)&gt;1,"DOUBLON","OK")</f>
        <v>OK</v>
      </c>
      <c r="S1837" s="12" t="str">
        <v>New Zealand</v>
      </c>
      <c r="T1837" s="12" t="str">
        <f t="shared" si="143"/>
        <v>OK</v>
      </c>
      <c r="U1837" s="12" t="str">
        <f t="shared" si="144"/>
        <v>-</v>
      </c>
      <c r="V1837" s="12" t="str" cm="1">
        <f t="array" ref="V1837">_xlfn.IFS(
ISNUMBER(SEARCH("USA",S1837)),"United States",
ISNUMBER(SEARCH("Republic of Ireland",S1837)),"Ireland",
ISNUMBER(SEARCH("Republic of Korea",S1837)),"South Korea",
ISNUMBER(SEARCH("Cape Verde",S1837)),"Cabo Verde",
ISNUMBER(SEARCH("Czechia",S1837)),"Czech Republic",
ISNUMBER(SEARCH("Türkiye",S1837)),"Turkey",
ISNUMBER(SEARCH("Ivory Coast",S1837)),"Côte d'Ivoire",
ISNUMBER(SEARCH("Korea Republic",S1837)),"South Korea",
ISNUMBER(SEARCH("Germany FR",S1837)),"FR Germany",
ISNUMBER(SEARCH("West Germany",S1837)),"FR Germany",
ISNUMBER(SEARCH("Germany DR",S1837)),"DR Germany",
ISNUMBER(SEARCH("Korea DPR",S1837)),"North Korea",
ISNUMBER(SEARCH("China PR",S1837)),"China",
ISNUMBER(SEARCH("IR Iran",S1837)),"Iran",
ISNUMBER(SEARCH("Congo DR",S1837)),"Democratic Republic of the Congo",
ISNUMBER(SEARCH("DR Congo",S1837)),"Democratic Republic of the Congo",
ISNUMBER(SEARCH("German DR",S1837)),"DR Germany",
ISNUMBER(SEARCH("rn""&gt;United Arab Emirates",S1837)),"United Arab Emirates",
ISNUMBER(SEARCH("rn""&gt;Republic of Ireland",S1837)),"Ireland",
ISNUMBER(SEARCH("rn""&gt;Bosnia and Herzegovina",S1837)),"Bosnia and Herzegovina",
ISNUMBER(SEARCH("rn""&gt;Trinidad and Tobago",S1837)),"Trinidad and Tobago",
ISNUMBER(SEARCH("rn""&gt;Serbia and Montenegro",S1837)),"Serbia and Montenegro",
ISNUMBER(SEARCH(_xlfn.UNICHAR(65533),S1837)),"Côte d'Ivoire",
TRUE,""
)</f>
        <v/>
      </c>
      <c r="W1837" s="12" t="str">
        <f t="shared" si="145"/>
        <v>New Zealand</v>
      </c>
    </row>
    <row r="1838" spans="2:23">
      <c r="B1838" s="76" t="str">
        <v>1962.0</v>
      </c>
      <c r="C1838" s="42" t="str">
        <v xml:space="preserve">03 Jun 1962 - 15:00 </v>
      </c>
      <c r="D1838" s="42" t="str">
        <v>Group 3</v>
      </c>
      <c r="E1838" s="42" t="str">
        <v>Estadio Sausalito</v>
      </c>
      <c r="F1838" s="42" t="str">
        <v xml:space="preserve">Vina Del Mar </v>
      </c>
      <c r="G1838" s="42" t="str">
        <v>Spain</v>
      </c>
      <c r="H1838" s="42" t="str">
        <v>1.0</v>
      </c>
      <c r="I1838" s="42" t="str">
        <v>0.0</v>
      </c>
      <c r="J1838" s="42" t="str">
        <v>Mexico</v>
      </c>
      <c r="K1838" s="42" t="str">
        <v xml:space="preserve"> </v>
      </c>
      <c r="L1838" s="42" t="str">
        <f t="shared" si="142"/>
        <v xml:space="preserve">1962.0|03 Jun 1962 - 15:00 |Group 3|Estadio Sausalito|Vina Del Mar |Spain|1.0|0.0|Mexico| </v>
      </c>
      <c r="M1838" s="42" t="str">
        <f>IF(COUNTIF($L$1689:L1838,L1838)&gt;1,"DOUBLON","OK")</f>
        <v>OK</v>
      </c>
      <c r="S1838" s="12" t="str">
        <v>New Zealand</v>
      </c>
      <c r="T1838" s="12" t="str">
        <f t="shared" si="143"/>
        <v>OK</v>
      </c>
      <c r="U1838" s="12" t="str">
        <f t="shared" si="144"/>
        <v>-</v>
      </c>
      <c r="V1838" s="12" t="str" cm="1">
        <f t="array" ref="V1838">_xlfn.IFS(
ISNUMBER(SEARCH("USA",S1838)),"United States",
ISNUMBER(SEARCH("Republic of Ireland",S1838)),"Ireland",
ISNUMBER(SEARCH("Republic of Korea",S1838)),"South Korea",
ISNUMBER(SEARCH("Cape Verde",S1838)),"Cabo Verde",
ISNUMBER(SEARCH("Czechia",S1838)),"Czech Republic",
ISNUMBER(SEARCH("Türkiye",S1838)),"Turkey",
ISNUMBER(SEARCH("Ivory Coast",S1838)),"Côte d'Ivoire",
ISNUMBER(SEARCH("Korea Republic",S1838)),"South Korea",
ISNUMBER(SEARCH("Germany FR",S1838)),"FR Germany",
ISNUMBER(SEARCH("West Germany",S1838)),"FR Germany",
ISNUMBER(SEARCH("Germany DR",S1838)),"DR Germany",
ISNUMBER(SEARCH("Korea DPR",S1838)),"North Korea",
ISNUMBER(SEARCH("China PR",S1838)),"China",
ISNUMBER(SEARCH("IR Iran",S1838)),"Iran",
ISNUMBER(SEARCH("Congo DR",S1838)),"Democratic Republic of the Congo",
ISNUMBER(SEARCH("DR Congo",S1838)),"Democratic Republic of the Congo",
ISNUMBER(SEARCH("German DR",S1838)),"DR Germany",
ISNUMBER(SEARCH("rn""&gt;United Arab Emirates",S1838)),"United Arab Emirates",
ISNUMBER(SEARCH("rn""&gt;Republic of Ireland",S1838)),"Ireland",
ISNUMBER(SEARCH("rn""&gt;Bosnia and Herzegovina",S1838)),"Bosnia and Herzegovina",
ISNUMBER(SEARCH("rn""&gt;Trinidad and Tobago",S1838)),"Trinidad and Tobago",
ISNUMBER(SEARCH("rn""&gt;Serbia and Montenegro",S1838)),"Serbia and Montenegro",
ISNUMBER(SEARCH(_xlfn.UNICHAR(65533),S1838)),"Côte d'Ivoire",
TRUE,""
)</f>
        <v/>
      </c>
      <c r="W1838" s="12" t="str">
        <f t="shared" si="145"/>
        <v>New Zealand</v>
      </c>
    </row>
    <row r="1839" spans="2:23">
      <c r="B1839" s="76" t="str">
        <v>1962.0</v>
      </c>
      <c r="C1839" s="42" t="str">
        <v xml:space="preserve">03 Jun 1962 - 15:00 </v>
      </c>
      <c r="D1839" s="42" t="str">
        <v>Group 4</v>
      </c>
      <c r="E1839" s="42" t="str">
        <v>Estadio El Teniente-Codelco</v>
      </c>
      <c r="F1839" s="42" t="str">
        <v xml:space="preserve">Rancagua </v>
      </c>
      <c r="G1839" s="42" t="str">
        <v>Hungary</v>
      </c>
      <c r="H1839" s="42" t="str">
        <v>6.0</v>
      </c>
      <c r="I1839" s="42" t="str">
        <v>1.0</v>
      </c>
      <c r="J1839" s="42" t="str">
        <v>Bulgaria</v>
      </c>
      <c r="K1839" s="42" t="str">
        <v xml:space="preserve"> </v>
      </c>
      <c r="L1839" s="42" t="str">
        <f t="shared" si="142"/>
        <v xml:space="preserve">1962.0|03 Jun 1962 - 15:00 |Group 4|Estadio El Teniente-Codelco|Rancagua |Hungary|6.0|1.0|Bulgaria| </v>
      </c>
      <c r="M1839" s="42" t="str">
        <f>IF(COUNTIF($L$1689:L1839,L1839)&gt;1,"DOUBLON","OK")</f>
        <v>OK</v>
      </c>
      <c r="S1839" s="12" t="str">
        <v>New Zealand</v>
      </c>
      <c r="T1839" s="12" t="str">
        <f t="shared" si="143"/>
        <v>OK</v>
      </c>
      <c r="U1839" s="12" t="str">
        <f t="shared" si="144"/>
        <v>-</v>
      </c>
      <c r="V1839" s="12" t="str" cm="1">
        <f t="array" ref="V1839">_xlfn.IFS(
ISNUMBER(SEARCH("USA",S1839)),"United States",
ISNUMBER(SEARCH("Republic of Ireland",S1839)),"Ireland",
ISNUMBER(SEARCH("Republic of Korea",S1839)),"South Korea",
ISNUMBER(SEARCH("Cape Verde",S1839)),"Cabo Verde",
ISNUMBER(SEARCH("Czechia",S1839)),"Czech Republic",
ISNUMBER(SEARCH("Türkiye",S1839)),"Turkey",
ISNUMBER(SEARCH("Ivory Coast",S1839)),"Côte d'Ivoire",
ISNUMBER(SEARCH("Korea Republic",S1839)),"South Korea",
ISNUMBER(SEARCH("Germany FR",S1839)),"FR Germany",
ISNUMBER(SEARCH("West Germany",S1839)),"FR Germany",
ISNUMBER(SEARCH("Germany DR",S1839)),"DR Germany",
ISNUMBER(SEARCH("Korea DPR",S1839)),"North Korea",
ISNUMBER(SEARCH("China PR",S1839)),"China",
ISNUMBER(SEARCH("IR Iran",S1839)),"Iran",
ISNUMBER(SEARCH("Congo DR",S1839)),"Democratic Republic of the Congo",
ISNUMBER(SEARCH("DR Congo",S1839)),"Democratic Republic of the Congo",
ISNUMBER(SEARCH("German DR",S1839)),"DR Germany",
ISNUMBER(SEARCH("rn""&gt;United Arab Emirates",S1839)),"United Arab Emirates",
ISNUMBER(SEARCH("rn""&gt;Republic of Ireland",S1839)),"Ireland",
ISNUMBER(SEARCH("rn""&gt;Bosnia and Herzegovina",S1839)),"Bosnia and Herzegovina",
ISNUMBER(SEARCH("rn""&gt;Trinidad and Tobago",S1839)),"Trinidad and Tobago",
ISNUMBER(SEARCH("rn""&gt;Serbia and Montenegro",S1839)),"Serbia and Montenegro",
ISNUMBER(SEARCH(_xlfn.UNICHAR(65533),S1839)),"Côte d'Ivoire",
TRUE,""
)</f>
        <v/>
      </c>
      <c r="W1839" s="12" t="str">
        <f t="shared" si="145"/>
        <v>New Zealand</v>
      </c>
    </row>
    <row r="1840" spans="2:23">
      <c r="B1840" s="76" t="str">
        <v>1962.0</v>
      </c>
      <c r="C1840" s="42" t="str">
        <v xml:space="preserve">03 Jun 1962 - 15:00 </v>
      </c>
      <c r="D1840" s="42" t="str">
        <v>Group 2</v>
      </c>
      <c r="E1840" s="42" t="str">
        <v>Nacional</v>
      </c>
      <c r="F1840" s="42" t="str">
        <v xml:space="preserve">Santiago De Chile </v>
      </c>
      <c r="G1840" s="42" t="str">
        <v>Germany FR</v>
      </c>
      <c r="H1840" s="42" t="str">
        <v>2.0</v>
      </c>
      <c r="I1840" s="42" t="str">
        <v>1.0</v>
      </c>
      <c r="J1840" s="42" t="str">
        <v>Switzerland</v>
      </c>
      <c r="K1840" s="42" t="str">
        <v xml:space="preserve"> </v>
      </c>
      <c r="L1840" s="42" t="str">
        <f t="shared" si="142"/>
        <v xml:space="preserve">1962.0|03 Jun 1962 - 15:00 |Group 2|Nacional|Santiago De Chile |Germany FR|2.0|1.0|Switzerland| </v>
      </c>
      <c r="M1840" s="42" t="str">
        <f>IF(COUNTIF($L$1689:L1840,L1840)&gt;1,"DOUBLON","OK")</f>
        <v>OK</v>
      </c>
      <c r="S1840" s="12" t="str">
        <v>New Zealand</v>
      </c>
      <c r="T1840" s="12" t="str">
        <f t="shared" si="143"/>
        <v>OK</v>
      </c>
      <c r="U1840" s="12" t="str">
        <f t="shared" si="144"/>
        <v>-</v>
      </c>
      <c r="V1840" s="12" t="str" cm="1">
        <f t="array" ref="V1840">_xlfn.IFS(
ISNUMBER(SEARCH("USA",S1840)),"United States",
ISNUMBER(SEARCH("Republic of Ireland",S1840)),"Ireland",
ISNUMBER(SEARCH("Republic of Korea",S1840)),"South Korea",
ISNUMBER(SEARCH("Cape Verde",S1840)),"Cabo Verde",
ISNUMBER(SEARCH("Czechia",S1840)),"Czech Republic",
ISNUMBER(SEARCH("Türkiye",S1840)),"Turkey",
ISNUMBER(SEARCH("Ivory Coast",S1840)),"Côte d'Ivoire",
ISNUMBER(SEARCH("Korea Republic",S1840)),"South Korea",
ISNUMBER(SEARCH("Germany FR",S1840)),"FR Germany",
ISNUMBER(SEARCH("West Germany",S1840)),"FR Germany",
ISNUMBER(SEARCH("Germany DR",S1840)),"DR Germany",
ISNUMBER(SEARCH("Korea DPR",S1840)),"North Korea",
ISNUMBER(SEARCH("China PR",S1840)),"China",
ISNUMBER(SEARCH("IR Iran",S1840)),"Iran",
ISNUMBER(SEARCH("Congo DR",S1840)),"Democratic Republic of the Congo",
ISNUMBER(SEARCH("DR Congo",S1840)),"Democratic Republic of the Congo",
ISNUMBER(SEARCH("German DR",S1840)),"DR Germany",
ISNUMBER(SEARCH("rn""&gt;United Arab Emirates",S1840)),"United Arab Emirates",
ISNUMBER(SEARCH("rn""&gt;Republic of Ireland",S1840)),"Ireland",
ISNUMBER(SEARCH("rn""&gt;Bosnia and Herzegovina",S1840)),"Bosnia and Herzegovina",
ISNUMBER(SEARCH("rn""&gt;Trinidad and Tobago",S1840)),"Trinidad and Tobago",
ISNUMBER(SEARCH("rn""&gt;Serbia and Montenegro",S1840)),"Serbia and Montenegro",
ISNUMBER(SEARCH(_xlfn.UNICHAR(65533),S1840)),"Côte d'Ivoire",
TRUE,""
)</f>
        <v/>
      </c>
      <c r="W1840" s="12" t="str">
        <f t="shared" si="145"/>
        <v>New Zealand</v>
      </c>
    </row>
    <row r="1841" spans="2:23">
      <c r="B1841" s="76" t="str">
        <v>1962.0</v>
      </c>
      <c r="C1841" s="42" t="str">
        <v xml:space="preserve">06 Jun 1962 - 15:00 </v>
      </c>
      <c r="D1841" s="42" t="str">
        <v>Group 1</v>
      </c>
      <c r="E1841" s="42" t="str">
        <v>Carlos Dittborn</v>
      </c>
      <c r="F1841" s="42" t="str">
        <v xml:space="preserve">Arica </v>
      </c>
      <c r="G1841" s="42" t="str">
        <v>Soviet Union</v>
      </c>
      <c r="H1841" s="42" t="str">
        <v>2.0</v>
      </c>
      <c r="I1841" s="42" t="str">
        <v>1.0</v>
      </c>
      <c r="J1841" s="42" t="str">
        <v>Uruguay</v>
      </c>
      <c r="K1841" s="42" t="str">
        <v xml:space="preserve"> </v>
      </c>
      <c r="L1841" s="42" t="str">
        <f t="shared" si="142"/>
        <v xml:space="preserve">1962.0|06 Jun 1962 - 15:00 |Group 1|Carlos Dittborn|Arica |Soviet Union|2.0|1.0|Uruguay| </v>
      </c>
      <c r="M1841" s="42" t="str">
        <f>IF(COUNTIF($L$1689:L1841,L1841)&gt;1,"DOUBLON","OK")</f>
        <v>OK</v>
      </c>
      <c r="S1841" s="12" t="str">
        <v>New Zealand</v>
      </c>
      <c r="T1841" s="12" t="str">
        <f t="shared" si="143"/>
        <v>OK</v>
      </c>
      <c r="U1841" s="12" t="str">
        <f t="shared" si="144"/>
        <v>-</v>
      </c>
      <c r="V1841" s="12" t="str" cm="1">
        <f t="array" ref="V1841">_xlfn.IFS(
ISNUMBER(SEARCH("USA",S1841)),"United States",
ISNUMBER(SEARCH("Republic of Ireland",S1841)),"Ireland",
ISNUMBER(SEARCH("Republic of Korea",S1841)),"South Korea",
ISNUMBER(SEARCH("Cape Verde",S1841)),"Cabo Verde",
ISNUMBER(SEARCH("Czechia",S1841)),"Czech Republic",
ISNUMBER(SEARCH("Türkiye",S1841)),"Turkey",
ISNUMBER(SEARCH("Ivory Coast",S1841)),"Côte d'Ivoire",
ISNUMBER(SEARCH("Korea Republic",S1841)),"South Korea",
ISNUMBER(SEARCH("Germany FR",S1841)),"FR Germany",
ISNUMBER(SEARCH("West Germany",S1841)),"FR Germany",
ISNUMBER(SEARCH("Germany DR",S1841)),"DR Germany",
ISNUMBER(SEARCH("Korea DPR",S1841)),"North Korea",
ISNUMBER(SEARCH("China PR",S1841)),"China",
ISNUMBER(SEARCH("IR Iran",S1841)),"Iran",
ISNUMBER(SEARCH("Congo DR",S1841)),"Democratic Republic of the Congo",
ISNUMBER(SEARCH("DR Congo",S1841)),"Democratic Republic of the Congo",
ISNUMBER(SEARCH("German DR",S1841)),"DR Germany",
ISNUMBER(SEARCH("rn""&gt;United Arab Emirates",S1841)),"United Arab Emirates",
ISNUMBER(SEARCH("rn""&gt;Republic of Ireland",S1841)),"Ireland",
ISNUMBER(SEARCH("rn""&gt;Bosnia and Herzegovina",S1841)),"Bosnia and Herzegovina",
ISNUMBER(SEARCH("rn""&gt;Trinidad and Tobago",S1841)),"Trinidad and Tobago",
ISNUMBER(SEARCH("rn""&gt;Serbia and Montenegro",S1841)),"Serbia and Montenegro",
ISNUMBER(SEARCH(_xlfn.UNICHAR(65533),S1841)),"Côte d'Ivoire",
TRUE,""
)</f>
        <v/>
      </c>
      <c r="W1841" s="12" t="str">
        <f t="shared" si="145"/>
        <v>New Zealand</v>
      </c>
    </row>
    <row r="1842" spans="2:23">
      <c r="B1842" s="76" t="str">
        <v>1962.0</v>
      </c>
      <c r="C1842" s="42" t="str">
        <v xml:space="preserve">06 Jun 1962 - 15:00 </v>
      </c>
      <c r="D1842" s="42" t="str">
        <v>Group 3</v>
      </c>
      <c r="E1842" s="42" t="str">
        <v>Estadio Sausalito</v>
      </c>
      <c r="F1842" s="42" t="str">
        <v xml:space="preserve">Vina Del Mar </v>
      </c>
      <c r="G1842" s="42" t="str">
        <v>Brazil</v>
      </c>
      <c r="H1842" s="42" t="str">
        <v>2.0</v>
      </c>
      <c r="I1842" s="42" t="str">
        <v>1.0</v>
      </c>
      <c r="J1842" s="42" t="str">
        <v>Spain</v>
      </c>
      <c r="K1842" s="42" t="str">
        <v xml:space="preserve"> </v>
      </c>
      <c r="L1842" s="42" t="str">
        <f t="shared" si="142"/>
        <v xml:space="preserve">1962.0|06 Jun 1962 - 15:00 |Group 3|Estadio Sausalito|Vina Del Mar |Brazil|2.0|1.0|Spain| </v>
      </c>
      <c r="M1842" s="42" t="str">
        <f>IF(COUNTIF($L$1689:L1842,L1842)&gt;1,"DOUBLON","OK")</f>
        <v>OK</v>
      </c>
      <c r="S1842" s="12" t="str">
        <v>New Zealand</v>
      </c>
      <c r="T1842" s="12" t="str">
        <f t="shared" si="143"/>
        <v>OK</v>
      </c>
      <c r="U1842" s="12" t="str">
        <f t="shared" si="144"/>
        <v>-</v>
      </c>
      <c r="V1842" s="12" t="str" cm="1">
        <f t="array" ref="V1842">_xlfn.IFS(
ISNUMBER(SEARCH("USA",S1842)),"United States",
ISNUMBER(SEARCH("Republic of Ireland",S1842)),"Ireland",
ISNUMBER(SEARCH("Republic of Korea",S1842)),"South Korea",
ISNUMBER(SEARCH("Cape Verde",S1842)),"Cabo Verde",
ISNUMBER(SEARCH("Czechia",S1842)),"Czech Republic",
ISNUMBER(SEARCH("Türkiye",S1842)),"Turkey",
ISNUMBER(SEARCH("Ivory Coast",S1842)),"Côte d'Ivoire",
ISNUMBER(SEARCH("Korea Republic",S1842)),"South Korea",
ISNUMBER(SEARCH("Germany FR",S1842)),"FR Germany",
ISNUMBER(SEARCH("West Germany",S1842)),"FR Germany",
ISNUMBER(SEARCH("Germany DR",S1842)),"DR Germany",
ISNUMBER(SEARCH("Korea DPR",S1842)),"North Korea",
ISNUMBER(SEARCH("China PR",S1842)),"China",
ISNUMBER(SEARCH("IR Iran",S1842)),"Iran",
ISNUMBER(SEARCH("Congo DR",S1842)),"Democratic Republic of the Congo",
ISNUMBER(SEARCH("DR Congo",S1842)),"Democratic Republic of the Congo",
ISNUMBER(SEARCH("German DR",S1842)),"DR Germany",
ISNUMBER(SEARCH("rn""&gt;United Arab Emirates",S1842)),"United Arab Emirates",
ISNUMBER(SEARCH("rn""&gt;Republic of Ireland",S1842)),"Ireland",
ISNUMBER(SEARCH("rn""&gt;Bosnia and Herzegovina",S1842)),"Bosnia and Herzegovina",
ISNUMBER(SEARCH("rn""&gt;Trinidad and Tobago",S1842)),"Trinidad and Tobago",
ISNUMBER(SEARCH("rn""&gt;Serbia and Montenegro",S1842)),"Serbia and Montenegro",
ISNUMBER(SEARCH(_xlfn.UNICHAR(65533),S1842)),"Côte d'Ivoire",
TRUE,""
)</f>
        <v/>
      </c>
      <c r="W1842" s="12" t="str">
        <f t="shared" si="145"/>
        <v>New Zealand</v>
      </c>
    </row>
    <row r="1843" spans="2:23">
      <c r="B1843" s="76" t="str">
        <v>1962.0</v>
      </c>
      <c r="C1843" s="42" t="str">
        <v xml:space="preserve">06 Jun 1962 - 15:00 </v>
      </c>
      <c r="D1843" s="42" t="str">
        <v>Group 4</v>
      </c>
      <c r="E1843" s="42" t="str">
        <v>Estadio El Teniente-Codelco</v>
      </c>
      <c r="F1843" s="42" t="str">
        <v xml:space="preserve">Rancagua </v>
      </c>
      <c r="G1843" s="42" t="str">
        <v>Hungary</v>
      </c>
      <c r="H1843" s="42" t="str">
        <v>0.0</v>
      </c>
      <c r="I1843" s="42" t="str">
        <v>0.0</v>
      </c>
      <c r="J1843" s="42" t="str">
        <v>Argentina</v>
      </c>
      <c r="K1843" s="42" t="str">
        <v xml:space="preserve"> </v>
      </c>
      <c r="L1843" s="42" t="str">
        <f t="shared" si="142"/>
        <v xml:space="preserve">1962.0|06 Jun 1962 - 15:00 |Group 4|Estadio El Teniente-Codelco|Rancagua |Hungary|0.0|0.0|Argentina| </v>
      </c>
      <c r="M1843" s="42" t="str">
        <f>IF(COUNTIF($L$1689:L1843,L1843)&gt;1,"DOUBLON","OK")</f>
        <v>OK</v>
      </c>
      <c r="S1843" s="12" t="str">
        <v>New Zealand</v>
      </c>
      <c r="T1843" s="12" t="str">
        <f t="shared" si="143"/>
        <v>OK</v>
      </c>
      <c r="U1843" s="12" t="str">
        <f t="shared" si="144"/>
        <v>-</v>
      </c>
      <c r="V1843" s="12" t="str" cm="1">
        <f t="array" ref="V1843">_xlfn.IFS(
ISNUMBER(SEARCH("USA",S1843)),"United States",
ISNUMBER(SEARCH("Republic of Ireland",S1843)),"Ireland",
ISNUMBER(SEARCH("Republic of Korea",S1843)),"South Korea",
ISNUMBER(SEARCH("Cape Verde",S1843)),"Cabo Verde",
ISNUMBER(SEARCH("Czechia",S1843)),"Czech Republic",
ISNUMBER(SEARCH("Türkiye",S1843)),"Turkey",
ISNUMBER(SEARCH("Ivory Coast",S1843)),"Côte d'Ivoire",
ISNUMBER(SEARCH("Korea Republic",S1843)),"South Korea",
ISNUMBER(SEARCH("Germany FR",S1843)),"FR Germany",
ISNUMBER(SEARCH("West Germany",S1843)),"FR Germany",
ISNUMBER(SEARCH("Germany DR",S1843)),"DR Germany",
ISNUMBER(SEARCH("Korea DPR",S1843)),"North Korea",
ISNUMBER(SEARCH("China PR",S1843)),"China",
ISNUMBER(SEARCH("IR Iran",S1843)),"Iran",
ISNUMBER(SEARCH("Congo DR",S1843)),"Democratic Republic of the Congo",
ISNUMBER(SEARCH("DR Congo",S1843)),"Democratic Republic of the Congo",
ISNUMBER(SEARCH("German DR",S1843)),"DR Germany",
ISNUMBER(SEARCH("rn""&gt;United Arab Emirates",S1843)),"United Arab Emirates",
ISNUMBER(SEARCH("rn""&gt;Republic of Ireland",S1843)),"Ireland",
ISNUMBER(SEARCH("rn""&gt;Bosnia and Herzegovina",S1843)),"Bosnia and Herzegovina",
ISNUMBER(SEARCH("rn""&gt;Trinidad and Tobago",S1843)),"Trinidad and Tobago",
ISNUMBER(SEARCH("rn""&gt;Serbia and Montenegro",S1843)),"Serbia and Montenegro",
ISNUMBER(SEARCH(_xlfn.UNICHAR(65533),S1843)),"Côte d'Ivoire",
TRUE,""
)</f>
        <v/>
      </c>
      <c r="W1843" s="12" t="str">
        <f t="shared" si="145"/>
        <v>New Zealand</v>
      </c>
    </row>
    <row r="1844" spans="2:23">
      <c r="B1844" s="76" t="str">
        <v>1962.0</v>
      </c>
      <c r="C1844" s="42" t="str">
        <v xml:space="preserve">06 Jun 1962 - 15:00 </v>
      </c>
      <c r="D1844" s="42" t="str">
        <v>Group 2</v>
      </c>
      <c r="E1844" s="42" t="str">
        <v>Nacional</v>
      </c>
      <c r="F1844" s="42" t="str">
        <v xml:space="preserve">Santiago De Chile </v>
      </c>
      <c r="G1844" s="42" t="str">
        <v>Germany FR</v>
      </c>
      <c r="H1844" s="42" t="str">
        <v>2.0</v>
      </c>
      <c r="I1844" s="42" t="str">
        <v>0.0</v>
      </c>
      <c r="J1844" s="42" t="str">
        <v>Chile</v>
      </c>
      <c r="K1844" s="42" t="str">
        <v xml:space="preserve"> </v>
      </c>
      <c r="L1844" s="42" t="str">
        <f t="shared" si="142"/>
        <v xml:space="preserve">1962.0|06 Jun 1962 - 15:00 |Group 2|Nacional|Santiago De Chile |Germany FR|2.0|0.0|Chile| </v>
      </c>
      <c r="M1844" s="42" t="str">
        <f>IF(COUNTIF($L$1689:L1844,L1844)&gt;1,"DOUBLON","OK")</f>
        <v>OK</v>
      </c>
      <c r="S1844" s="12" t="str">
        <v>New Zealand</v>
      </c>
      <c r="T1844" s="12" t="str">
        <f t="shared" si="143"/>
        <v>OK</v>
      </c>
      <c r="U1844" s="12" t="str">
        <f t="shared" si="144"/>
        <v>-</v>
      </c>
      <c r="V1844" s="12" t="str" cm="1">
        <f t="array" ref="V1844">_xlfn.IFS(
ISNUMBER(SEARCH("USA",S1844)),"United States",
ISNUMBER(SEARCH("Republic of Ireland",S1844)),"Ireland",
ISNUMBER(SEARCH("Republic of Korea",S1844)),"South Korea",
ISNUMBER(SEARCH("Cape Verde",S1844)),"Cabo Verde",
ISNUMBER(SEARCH("Czechia",S1844)),"Czech Republic",
ISNUMBER(SEARCH("Türkiye",S1844)),"Turkey",
ISNUMBER(SEARCH("Ivory Coast",S1844)),"Côte d'Ivoire",
ISNUMBER(SEARCH("Korea Republic",S1844)),"South Korea",
ISNUMBER(SEARCH("Germany FR",S1844)),"FR Germany",
ISNUMBER(SEARCH("West Germany",S1844)),"FR Germany",
ISNUMBER(SEARCH("Germany DR",S1844)),"DR Germany",
ISNUMBER(SEARCH("Korea DPR",S1844)),"North Korea",
ISNUMBER(SEARCH("China PR",S1844)),"China",
ISNUMBER(SEARCH("IR Iran",S1844)),"Iran",
ISNUMBER(SEARCH("Congo DR",S1844)),"Democratic Republic of the Congo",
ISNUMBER(SEARCH("DR Congo",S1844)),"Democratic Republic of the Congo",
ISNUMBER(SEARCH("German DR",S1844)),"DR Germany",
ISNUMBER(SEARCH("rn""&gt;United Arab Emirates",S1844)),"United Arab Emirates",
ISNUMBER(SEARCH("rn""&gt;Republic of Ireland",S1844)),"Ireland",
ISNUMBER(SEARCH("rn""&gt;Bosnia and Herzegovina",S1844)),"Bosnia and Herzegovina",
ISNUMBER(SEARCH("rn""&gt;Trinidad and Tobago",S1844)),"Trinidad and Tobago",
ISNUMBER(SEARCH("rn""&gt;Serbia and Montenegro",S1844)),"Serbia and Montenegro",
ISNUMBER(SEARCH(_xlfn.UNICHAR(65533),S1844)),"Côte d'Ivoire",
TRUE,""
)</f>
        <v/>
      </c>
      <c r="W1844" s="12" t="str">
        <f t="shared" si="145"/>
        <v>New Zealand</v>
      </c>
    </row>
    <row r="1845" spans="2:23">
      <c r="B1845" s="76" t="str">
        <v>1962.0</v>
      </c>
      <c r="C1845" s="42" t="str">
        <v xml:space="preserve">07 Jun 1962 - 15:00 </v>
      </c>
      <c r="D1845" s="42" t="str">
        <v>Group 1</v>
      </c>
      <c r="E1845" s="42" t="str">
        <v>Carlos Dittborn</v>
      </c>
      <c r="F1845" s="42" t="str">
        <v xml:space="preserve">Arica </v>
      </c>
      <c r="G1845" s="42" t="str">
        <v>Yugoslavia</v>
      </c>
      <c r="H1845" s="42" t="str">
        <v>5.0</v>
      </c>
      <c r="I1845" s="42" t="str">
        <v>0.0</v>
      </c>
      <c r="J1845" s="42" t="str">
        <v>Colombia</v>
      </c>
      <c r="K1845" s="42" t="str">
        <v xml:space="preserve"> </v>
      </c>
      <c r="L1845" s="42" t="str">
        <f t="shared" si="142"/>
        <v xml:space="preserve">1962.0|07 Jun 1962 - 15:00 |Group 1|Carlos Dittborn|Arica |Yugoslavia|5.0|0.0|Colombia| </v>
      </c>
      <c r="M1845" s="42" t="str">
        <f>IF(COUNTIF($L$1689:L1845,L1845)&gt;1,"DOUBLON","OK")</f>
        <v>OK</v>
      </c>
      <c r="S1845" s="12" t="str">
        <v>New Zealand</v>
      </c>
      <c r="T1845" s="12" t="str">
        <f t="shared" si="143"/>
        <v>OK</v>
      </c>
      <c r="U1845" s="12" t="str">
        <f t="shared" si="144"/>
        <v>-</v>
      </c>
      <c r="V1845" s="12" t="str" cm="1">
        <f t="array" ref="V1845">_xlfn.IFS(
ISNUMBER(SEARCH("USA",S1845)),"United States",
ISNUMBER(SEARCH("Republic of Ireland",S1845)),"Ireland",
ISNUMBER(SEARCH("Republic of Korea",S1845)),"South Korea",
ISNUMBER(SEARCH("Cape Verde",S1845)),"Cabo Verde",
ISNUMBER(SEARCH("Czechia",S1845)),"Czech Republic",
ISNUMBER(SEARCH("Türkiye",S1845)),"Turkey",
ISNUMBER(SEARCH("Ivory Coast",S1845)),"Côte d'Ivoire",
ISNUMBER(SEARCH("Korea Republic",S1845)),"South Korea",
ISNUMBER(SEARCH("Germany FR",S1845)),"FR Germany",
ISNUMBER(SEARCH("West Germany",S1845)),"FR Germany",
ISNUMBER(SEARCH("Germany DR",S1845)),"DR Germany",
ISNUMBER(SEARCH("Korea DPR",S1845)),"North Korea",
ISNUMBER(SEARCH("China PR",S1845)),"China",
ISNUMBER(SEARCH("IR Iran",S1845)),"Iran",
ISNUMBER(SEARCH("Congo DR",S1845)),"Democratic Republic of the Congo",
ISNUMBER(SEARCH("DR Congo",S1845)),"Democratic Republic of the Congo",
ISNUMBER(SEARCH("German DR",S1845)),"DR Germany",
ISNUMBER(SEARCH("rn""&gt;United Arab Emirates",S1845)),"United Arab Emirates",
ISNUMBER(SEARCH("rn""&gt;Republic of Ireland",S1845)),"Ireland",
ISNUMBER(SEARCH("rn""&gt;Bosnia and Herzegovina",S1845)),"Bosnia and Herzegovina",
ISNUMBER(SEARCH("rn""&gt;Trinidad and Tobago",S1845)),"Trinidad and Tobago",
ISNUMBER(SEARCH("rn""&gt;Serbia and Montenegro",S1845)),"Serbia and Montenegro",
ISNUMBER(SEARCH(_xlfn.UNICHAR(65533),S1845)),"Côte d'Ivoire",
TRUE,""
)</f>
        <v/>
      </c>
      <c r="W1845" s="12" t="str">
        <f t="shared" si="145"/>
        <v>New Zealand</v>
      </c>
    </row>
    <row r="1846" spans="2:23">
      <c r="B1846" s="76" t="str">
        <v>1962.0</v>
      </c>
      <c r="C1846" s="42" t="str">
        <v xml:space="preserve">07 Jun 1962 - 15:00 </v>
      </c>
      <c r="D1846" s="42" t="str">
        <v>Group 3</v>
      </c>
      <c r="E1846" s="42" t="str">
        <v>Estadio Sausalito</v>
      </c>
      <c r="F1846" s="42" t="str">
        <v xml:space="preserve">Vina Del Mar </v>
      </c>
      <c r="G1846" s="42" t="str">
        <v>Mexico</v>
      </c>
      <c r="H1846" s="42" t="str">
        <v>3.0</v>
      </c>
      <c r="I1846" s="42" t="str">
        <v>1.0</v>
      </c>
      <c r="J1846" s="42" t="str">
        <v>Czechoslovakia</v>
      </c>
      <c r="K1846" s="42" t="str">
        <v xml:space="preserve"> </v>
      </c>
      <c r="L1846" s="42" t="str">
        <f t="shared" si="142"/>
        <v xml:space="preserve">1962.0|07 Jun 1962 - 15:00 |Group 3|Estadio Sausalito|Vina Del Mar |Mexico|3.0|1.0|Czechoslovakia| </v>
      </c>
      <c r="M1846" s="42" t="str">
        <f>IF(COUNTIF($L$1689:L1846,L1846)&gt;1,"DOUBLON","OK")</f>
        <v>OK</v>
      </c>
      <c r="S1846" s="12" t="str">
        <v>New Zealand</v>
      </c>
      <c r="T1846" s="12" t="str">
        <f t="shared" si="143"/>
        <v>OK</v>
      </c>
      <c r="U1846" s="12" t="str">
        <f t="shared" si="144"/>
        <v>-</v>
      </c>
      <c r="V1846" s="12" t="str" cm="1">
        <f t="array" ref="V1846">_xlfn.IFS(
ISNUMBER(SEARCH("USA",S1846)),"United States",
ISNUMBER(SEARCH("Republic of Ireland",S1846)),"Ireland",
ISNUMBER(SEARCH("Republic of Korea",S1846)),"South Korea",
ISNUMBER(SEARCH("Cape Verde",S1846)),"Cabo Verde",
ISNUMBER(SEARCH("Czechia",S1846)),"Czech Republic",
ISNUMBER(SEARCH("Türkiye",S1846)),"Turkey",
ISNUMBER(SEARCH("Ivory Coast",S1846)),"Côte d'Ivoire",
ISNUMBER(SEARCH("Korea Republic",S1846)),"South Korea",
ISNUMBER(SEARCH("Germany FR",S1846)),"FR Germany",
ISNUMBER(SEARCH("West Germany",S1846)),"FR Germany",
ISNUMBER(SEARCH("Germany DR",S1846)),"DR Germany",
ISNUMBER(SEARCH("Korea DPR",S1846)),"North Korea",
ISNUMBER(SEARCH("China PR",S1846)),"China",
ISNUMBER(SEARCH("IR Iran",S1846)),"Iran",
ISNUMBER(SEARCH("Congo DR",S1846)),"Democratic Republic of the Congo",
ISNUMBER(SEARCH("DR Congo",S1846)),"Democratic Republic of the Congo",
ISNUMBER(SEARCH("German DR",S1846)),"DR Germany",
ISNUMBER(SEARCH("rn""&gt;United Arab Emirates",S1846)),"United Arab Emirates",
ISNUMBER(SEARCH("rn""&gt;Republic of Ireland",S1846)),"Ireland",
ISNUMBER(SEARCH("rn""&gt;Bosnia and Herzegovina",S1846)),"Bosnia and Herzegovina",
ISNUMBER(SEARCH("rn""&gt;Trinidad and Tobago",S1846)),"Trinidad and Tobago",
ISNUMBER(SEARCH("rn""&gt;Serbia and Montenegro",S1846)),"Serbia and Montenegro",
ISNUMBER(SEARCH(_xlfn.UNICHAR(65533),S1846)),"Côte d'Ivoire",
TRUE,""
)</f>
        <v/>
      </c>
      <c r="W1846" s="12" t="str">
        <f t="shared" si="145"/>
        <v>New Zealand</v>
      </c>
    </row>
    <row r="1847" spans="2:23">
      <c r="B1847" s="76" t="str">
        <v>1962.0</v>
      </c>
      <c r="C1847" s="42" t="str">
        <v xml:space="preserve">07 Jun 1962 - 15:00 </v>
      </c>
      <c r="D1847" s="42" t="str">
        <v>Group 4</v>
      </c>
      <c r="E1847" s="42" t="str">
        <v>Estadio El Teniente-Codelco</v>
      </c>
      <c r="F1847" s="42" t="str">
        <v xml:space="preserve">Rancagua </v>
      </c>
      <c r="G1847" s="42" t="str">
        <v>England</v>
      </c>
      <c r="H1847" s="42" t="str">
        <v>0.0</v>
      </c>
      <c r="I1847" s="42" t="str">
        <v>0.0</v>
      </c>
      <c r="J1847" s="42" t="str">
        <v>Bulgaria</v>
      </c>
      <c r="K1847" s="42" t="str">
        <v xml:space="preserve"> </v>
      </c>
      <c r="L1847" s="42" t="str">
        <f t="shared" si="142"/>
        <v xml:space="preserve">1962.0|07 Jun 1962 - 15:00 |Group 4|Estadio El Teniente-Codelco|Rancagua |England|0.0|0.0|Bulgaria| </v>
      </c>
      <c r="M1847" s="42" t="str">
        <f>IF(COUNTIF($L$1689:L1847,L1847)&gt;1,"DOUBLON","OK")</f>
        <v>OK</v>
      </c>
      <c r="S1847" s="12" t="str">
        <v>New Zealand</v>
      </c>
      <c r="T1847" s="12" t="str">
        <f t="shared" si="143"/>
        <v>OK</v>
      </c>
      <c r="U1847" s="12" t="str">
        <f t="shared" si="144"/>
        <v>-</v>
      </c>
      <c r="V1847" s="12" t="str" cm="1">
        <f t="array" ref="V1847">_xlfn.IFS(
ISNUMBER(SEARCH("USA",S1847)),"United States",
ISNUMBER(SEARCH("Republic of Ireland",S1847)),"Ireland",
ISNUMBER(SEARCH("Republic of Korea",S1847)),"South Korea",
ISNUMBER(SEARCH("Cape Verde",S1847)),"Cabo Verde",
ISNUMBER(SEARCH("Czechia",S1847)),"Czech Republic",
ISNUMBER(SEARCH("Türkiye",S1847)),"Turkey",
ISNUMBER(SEARCH("Ivory Coast",S1847)),"Côte d'Ivoire",
ISNUMBER(SEARCH("Korea Republic",S1847)),"South Korea",
ISNUMBER(SEARCH("Germany FR",S1847)),"FR Germany",
ISNUMBER(SEARCH("West Germany",S1847)),"FR Germany",
ISNUMBER(SEARCH("Germany DR",S1847)),"DR Germany",
ISNUMBER(SEARCH("Korea DPR",S1847)),"North Korea",
ISNUMBER(SEARCH("China PR",S1847)),"China",
ISNUMBER(SEARCH("IR Iran",S1847)),"Iran",
ISNUMBER(SEARCH("Congo DR",S1847)),"Democratic Republic of the Congo",
ISNUMBER(SEARCH("DR Congo",S1847)),"Democratic Republic of the Congo",
ISNUMBER(SEARCH("German DR",S1847)),"DR Germany",
ISNUMBER(SEARCH("rn""&gt;United Arab Emirates",S1847)),"United Arab Emirates",
ISNUMBER(SEARCH("rn""&gt;Republic of Ireland",S1847)),"Ireland",
ISNUMBER(SEARCH("rn""&gt;Bosnia and Herzegovina",S1847)),"Bosnia and Herzegovina",
ISNUMBER(SEARCH("rn""&gt;Trinidad and Tobago",S1847)),"Trinidad and Tobago",
ISNUMBER(SEARCH("rn""&gt;Serbia and Montenegro",S1847)),"Serbia and Montenegro",
ISNUMBER(SEARCH(_xlfn.UNICHAR(65533),S1847)),"Côte d'Ivoire",
TRUE,""
)</f>
        <v/>
      </c>
      <c r="W1847" s="12" t="str">
        <f t="shared" si="145"/>
        <v>New Zealand</v>
      </c>
    </row>
    <row r="1848" spans="2:23">
      <c r="B1848" s="76" t="str">
        <v>1962.0</v>
      </c>
      <c r="C1848" s="42" t="str">
        <v xml:space="preserve">07 Jun 1962 - 15:00 </v>
      </c>
      <c r="D1848" s="42" t="str">
        <v>Group 2</v>
      </c>
      <c r="E1848" s="42" t="str">
        <v>Nacional</v>
      </c>
      <c r="F1848" s="42" t="str">
        <v xml:space="preserve">Santiago De Chile </v>
      </c>
      <c r="G1848" s="42" t="str">
        <v>Italy</v>
      </c>
      <c r="H1848" s="42" t="str">
        <v>3.0</v>
      </c>
      <c r="I1848" s="42" t="str">
        <v>0.0</v>
      </c>
      <c r="J1848" s="42" t="str">
        <v>Switzerland</v>
      </c>
      <c r="K1848" s="42" t="str">
        <v xml:space="preserve"> </v>
      </c>
      <c r="L1848" s="42" t="str">
        <f t="shared" si="142"/>
        <v xml:space="preserve">1962.0|07 Jun 1962 - 15:00 |Group 2|Nacional|Santiago De Chile |Italy|3.0|0.0|Switzerland| </v>
      </c>
      <c r="M1848" s="42" t="str">
        <f>IF(COUNTIF($L$1689:L1848,L1848)&gt;1,"DOUBLON","OK")</f>
        <v>OK</v>
      </c>
      <c r="S1848" s="12" t="str">
        <v>New Zealand</v>
      </c>
      <c r="T1848" s="12" t="str">
        <f t="shared" si="143"/>
        <v>OK</v>
      </c>
      <c r="U1848" s="12" t="str">
        <f t="shared" si="144"/>
        <v>-</v>
      </c>
      <c r="V1848" s="12" t="str" cm="1">
        <f t="array" ref="V1848">_xlfn.IFS(
ISNUMBER(SEARCH("USA",S1848)),"United States",
ISNUMBER(SEARCH("Republic of Ireland",S1848)),"Ireland",
ISNUMBER(SEARCH("Republic of Korea",S1848)),"South Korea",
ISNUMBER(SEARCH("Cape Verde",S1848)),"Cabo Verde",
ISNUMBER(SEARCH("Czechia",S1848)),"Czech Republic",
ISNUMBER(SEARCH("Türkiye",S1848)),"Turkey",
ISNUMBER(SEARCH("Ivory Coast",S1848)),"Côte d'Ivoire",
ISNUMBER(SEARCH("Korea Republic",S1848)),"South Korea",
ISNUMBER(SEARCH("Germany FR",S1848)),"FR Germany",
ISNUMBER(SEARCH("West Germany",S1848)),"FR Germany",
ISNUMBER(SEARCH("Germany DR",S1848)),"DR Germany",
ISNUMBER(SEARCH("Korea DPR",S1848)),"North Korea",
ISNUMBER(SEARCH("China PR",S1848)),"China",
ISNUMBER(SEARCH("IR Iran",S1848)),"Iran",
ISNUMBER(SEARCH("Congo DR",S1848)),"Democratic Republic of the Congo",
ISNUMBER(SEARCH("DR Congo",S1848)),"Democratic Republic of the Congo",
ISNUMBER(SEARCH("German DR",S1848)),"DR Germany",
ISNUMBER(SEARCH("rn""&gt;United Arab Emirates",S1848)),"United Arab Emirates",
ISNUMBER(SEARCH("rn""&gt;Republic of Ireland",S1848)),"Ireland",
ISNUMBER(SEARCH("rn""&gt;Bosnia and Herzegovina",S1848)),"Bosnia and Herzegovina",
ISNUMBER(SEARCH("rn""&gt;Trinidad and Tobago",S1848)),"Trinidad and Tobago",
ISNUMBER(SEARCH("rn""&gt;Serbia and Montenegro",S1848)),"Serbia and Montenegro",
ISNUMBER(SEARCH(_xlfn.UNICHAR(65533),S1848)),"Côte d'Ivoire",
TRUE,""
)</f>
        <v/>
      </c>
      <c r="W1848" s="12" t="str">
        <f t="shared" si="145"/>
        <v>New Zealand</v>
      </c>
    </row>
    <row r="1849" spans="2:23">
      <c r="B1849" s="76" t="str">
        <v>1962.0</v>
      </c>
      <c r="C1849" s="42" t="str">
        <v xml:space="preserve">10 Jun 1962 - 14:30 </v>
      </c>
      <c r="D1849" s="42" t="str">
        <v>Quarter-finals</v>
      </c>
      <c r="E1849" s="42" t="str">
        <v>Carlos Dittborn</v>
      </c>
      <c r="F1849" s="42" t="str">
        <v xml:space="preserve">Arica </v>
      </c>
      <c r="G1849" s="42" t="str">
        <v>Chile</v>
      </c>
      <c r="H1849" s="42" t="str">
        <v>2.0</v>
      </c>
      <c r="I1849" s="42" t="str">
        <v>1.0</v>
      </c>
      <c r="J1849" s="42" t="str">
        <v>Soviet Union</v>
      </c>
      <c r="K1849" s="42" t="str">
        <v xml:space="preserve"> </v>
      </c>
      <c r="L1849" s="42" t="str">
        <f t="shared" si="142"/>
        <v xml:space="preserve">1962.0|10 Jun 1962 - 14:30 |Quarter-finals|Carlos Dittborn|Arica |Chile|2.0|1.0|Soviet Union| </v>
      </c>
      <c r="M1849" s="42" t="str">
        <f>IF(COUNTIF($L$1689:L1849,L1849)&gt;1,"DOUBLON","OK")</f>
        <v>OK</v>
      </c>
      <c r="S1849" s="12" t="str">
        <v>Cape Verde</v>
      </c>
      <c r="T1849" s="12" t="str">
        <f t="shared" si="143"/>
        <v>ERREUR</v>
      </c>
      <c r="U1849" s="12" t="str">
        <f t="shared" si="144"/>
        <v>RENOMMER</v>
      </c>
      <c r="V1849" s="12" t="str" cm="1">
        <f t="array" ref="V1849">_xlfn.IFS(
ISNUMBER(SEARCH("USA",S1849)),"United States",
ISNUMBER(SEARCH("Republic of Ireland",S1849)),"Ireland",
ISNUMBER(SEARCH("Republic of Korea",S1849)),"South Korea",
ISNUMBER(SEARCH("Cape Verde",S1849)),"Cabo Verde",
ISNUMBER(SEARCH("Czechia",S1849)),"Czech Republic",
ISNUMBER(SEARCH("Türkiye",S1849)),"Turkey",
ISNUMBER(SEARCH("Ivory Coast",S1849)),"Côte d'Ivoire",
ISNUMBER(SEARCH("Korea Republic",S1849)),"South Korea",
ISNUMBER(SEARCH("Germany FR",S1849)),"FR Germany",
ISNUMBER(SEARCH("West Germany",S1849)),"FR Germany",
ISNUMBER(SEARCH("Germany DR",S1849)),"DR Germany",
ISNUMBER(SEARCH("Korea DPR",S1849)),"North Korea",
ISNUMBER(SEARCH("China PR",S1849)),"China",
ISNUMBER(SEARCH("IR Iran",S1849)),"Iran",
ISNUMBER(SEARCH("Congo DR",S1849)),"Democratic Republic of the Congo",
ISNUMBER(SEARCH("DR Congo",S1849)),"Democratic Republic of the Congo",
ISNUMBER(SEARCH("German DR",S1849)),"DR Germany",
ISNUMBER(SEARCH("rn""&gt;United Arab Emirates",S1849)),"United Arab Emirates",
ISNUMBER(SEARCH("rn""&gt;Republic of Ireland",S1849)),"Ireland",
ISNUMBER(SEARCH("rn""&gt;Bosnia and Herzegovina",S1849)),"Bosnia and Herzegovina",
ISNUMBER(SEARCH("rn""&gt;Trinidad and Tobago",S1849)),"Trinidad and Tobago",
ISNUMBER(SEARCH("rn""&gt;Serbia and Montenegro",S1849)),"Serbia and Montenegro",
ISNUMBER(SEARCH(_xlfn.UNICHAR(65533),S1849)),"Côte d'Ivoire",
TRUE,""
)</f>
        <v>Cabo Verde</v>
      </c>
      <c r="W1849" s="12" t="str">
        <f t="shared" si="145"/>
        <v>Cabo Verde</v>
      </c>
    </row>
    <row r="1850" spans="2:23">
      <c r="B1850" s="76" t="str">
        <v>1962.0</v>
      </c>
      <c r="C1850" s="42" t="str">
        <v xml:space="preserve">10 Jun 1962 - 14:30 </v>
      </c>
      <c r="D1850" s="42" t="str">
        <v>Quarter-finals</v>
      </c>
      <c r="E1850" s="42" t="str">
        <v>Estadio Sausalito</v>
      </c>
      <c r="F1850" s="42" t="str">
        <v xml:space="preserve">Vina Del Mar </v>
      </c>
      <c r="G1850" s="42" t="str">
        <v>Brazil</v>
      </c>
      <c r="H1850" s="42" t="str">
        <v>3.0</v>
      </c>
      <c r="I1850" s="42" t="str">
        <v>1.0</v>
      </c>
      <c r="J1850" s="42" t="str">
        <v>England</v>
      </c>
      <c r="K1850" s="42" t="str">
        <v xml:space="preserve"> </v>
      </c>
      <c r="L1850" s="42" t="str">
        <f t="shared" si="142"/>
        <v xml:space="preserve">1962.0|10 Jun 1962 - 14:30 |Quarter-finals|Estadio Sausalito|Vina Del Mar |Brazil|3.0|1.0|England| </v>
      </c>
      <c r="M1850" s="42" t="str">
        <f>IF(COUNTIF($L$1689:L1850,L1850)&gt;1,"DOUBLON","OK")</f>
        <v>OK</v>
      </c>
      <c r="S1850" s="12" t="str">
        <v>Cape Verde</v>
      </c>
      <c r="T1850" s="12" t="str">
        <f t="shared" si="143"/>
        <v>ERREUR</v>
      </c>
      <c r="U1850" s="12" t="str">
        <f t="shared" si="144"/>
        <v>RENOMMER</v>
      </c>
      <c r="V1850" s="12" t="str" cm="1">
        <f t="array" ref="V1850">_xlfn.IFS(
ISNUMBER(SEARCH("USA",S1850)),"United States",
ISNUMBER(SEARCH("Republic of Ireland",S1850)),"Ireland",
ISNUMBER(SEARCH("Republic of Korea",S1850)),"South Korea",
ISNUMBER(SEARCH("Cape Verde",S1850)),"Cabo Verde",
ISNUMBER(SEARCH("Czechia",S1850)),"Czech Republic",
ISNUMBER(SEARCH("Türkiye",S1850)),"Turkey",
ISNUMBER(SEARCH("Ivory Coast",S1850)),"Côte d'Ivoire",
ISNUMBER(SEARCH("Korea Republic",S1850)),"South Korea",
ISNUMBER(SEARCH("Germany FR",S1850)),"FR Germany",
ISNUMBER(SEARCH("West Germany",S1850)),"FR Germany",
ISNUMBER(SEARCH("Germany DR",S1850)),"DR Germany",
ISNUMBER(SEARCH("Korea DPR",S1850)),"North Korea",
ISNUMBER(SEARCH("China PR",S1850)),"China",
ISNUMBER(SEARCH("IR Iran",S1850)),"Iran",
ISNUMBER(SEARCH("Congo DR",S1850)),"Democratic Republic of the Congo",
ISNUMBER(SEARCH("DR Congo",S1850)),"Democratic Republic of the Congo",
ISNUMBER(SEARCH("German DR",S1850)),"DR Germany",
ISNUMBER(SEARCH("rn""&gt;United Arab Emirates",S1850)),"United Arab Emirates",
ISNUMBER(SEARCH("rn""&gt;Republic of Ireland",S1850)),"Ireland",
ISNUMBER(SEARCH("rn""&gt;Bosnia and Herzegovina",S1850)),"Bosnia and Herzegovina",
ISNUMBER(SEARCH("rn""&gt;Trinidad and Tobago",S1850)),"Trinidad and Tobago",
ISNUMBER(SEARCH("rn""&gt;Serbia and Montenegro",S1850)),"Serbia and Montenegro",
ISNUMBER(SEARCH(_xlfn.UNICHAR(65533),S1850)),"Côte d'Ivoire",
TRUE,""
)</f>
        <v>Cabo Verde</v>
      </c>
      <c r="W1850" s="12" t="str">
        <f t="shared" si="145"/>
        <v>Cabo Verde</v>
      </c>
    </row>
    <row r="1851" spans="2:23">
      <c r="B1851" s="76" t="str">
        <v>1962.0</v>
      </c>
      <c r="C1851" s="42" t="str">
        <v xml:space="preserve">10 Jun 1962 - 14:30 </v>
      </c>
      <c r="D1851" s="42" t="str">
        <v>Quarter-finals</v>
      </c>
      <c r="E1851" s="42" t="str">
        <v>Estadio El Teniente-Codelco</v>
      </c>
      <c r="F1851" s="42" t="str">
        <v xml:space="preserve">Rancagua </v>
      </c>
      <c r="G1851" s="42" t="str">
        <v>Czechoslovakia</v>
      </c>
      <c r="H1851" s="42" t="str">
        <v>1.0</v>
      </c>
      <c r="I1851" s="42" t="str">
        <v>0.0</v>
      </c>
      <c r="J1851" s="42" t="str">
        <v>Hungary</v>
      </c>
      <c r="K1851" s="42" t="str">
        <v xml:space="preserve"> </v>
      </c>
      <c r="L1851" s="42" t="str">
        <f t="shared" si="142"/>
        <v xml:space="preserve">1962.0|10 Jun 1962 - 14:30 |Quarter-finals|Estadio El Teniente-Codelco|Rancagua |Czechoslovakia|1.0|0.0|Hungary| </v>
      </c>
      <c r="M1851" s="42" t="str">
        <f>IF(COUNTIF($L$1689:L1851,L1851)&gt;1,"DOUBLON","OK")</f>
        <v>OK</v>
      </c>
      <c r="S1851" s="12" t="str">
        <v>Cape Verde</v>
      </c>
      <c r="T1851" s="12" t="str">
        <f t="shared" si="143"/>
        <v>ERREUR</v>
      </c>
      <c r="U1851" s="12" t="str">
        <f t="shared" si="144"/>
        <v>RENOMMER</v>
      </c>
      <c r="V1851" s="12" t="str" cm="1">
        <f t="array" ref="V1851">_xlfn.IFS(
ISNUMBER(SEARCH("USA",S1851)),"United States",
ISNUMBER(SEARCH("Republic of Ireland",S1851)),"Ireland",
ISNUMBER(SEARCH("Republic of Korea",S1851)),"South Korea",
ISNUMBER(SEARCH("Cape Verde",S1851)),"Cabo Verde",
ISNUMBER(SEARCH("Czechia",S1851)),"Czech Republic",
ISNUMBER(SEARCH("Türkiye",S1851)),"Turkey",
ISNUMBER(SEARCH("Ivory Coast",S1851)),"Côte d'Ivoire",
ISNUMBER(SEARCH("Korea Republic",S1851)),"South Korea",
ISNUMBER(SEARCH("Germany FR",S1851)),"FR Germany",
ISNUMBER(SEARCH("West Germany",S1851)),"FR Germany",
ISNUMBER(SEARCH("Germany DR",S1851)),"DR Germany",
ISNUMBER(SEARCH("Korea DPR",S1851)),"North Korea",
ISNUMBER(SEARCH("China PR",S1851)),"China",
ISNUMBER(SEARCH("IR Iran",S1851)),"Iran",
ISNUMBER(SEARCH("Congo DR",S1851)),"Democratic Republic of the Congo",
ISNUMBER(SEARCH("DR Congo",S1851)),"Democratic Republic of the Congo",
ISNUMBER(SEARCH("German DR",S1851)),"DR Germany",
ISNUMBER(SEARCH("rn""&gt;United Arab Emirates",S1851)),"United Arab Emirates",
ISNUMBER(SEARCH("rn""&gt;Republic of Ireland",S1851)),"Ireland",
ISNUMBER(SEARCH("rn""&gt;Bosnia and Herzegovina",S1851)),"Bosnia and Herzegovina",
ISNUMBER(SEARCH("rn""&gt;Trinidad and Tobago",S1851)),"Trinidad and Tobago",
ISNUMBER(SEARCH("rn""&gt;Serbia and Montenegro",S1851)),"Serbia and Montenegro",
ISNUMBER(SEARCH(_xlfn.UNICHAR(65533),S1851)),"Côte d'Ivoire",
TRUE,""
)</f>
        <v>Cabo Verde</v>
      </c>
      <c r="W1851" s="12" t="str">
        <f t="shared" si="145"/>
        <v>Cabo Verde</v>
      </c>
    </row>
    <row r="1852" spans="2:23">
      <c r="B1852" s="76" t="str">
        <v>1962.0</v>
      </c>
      <c r="C1852" s="42" t="str">
        <v xml:space="preserve">10 Jun 1962 - 14:30 </v>
      </c>
      <c r="D1852" s="42" t="str">
        <v>Quarter-finals</v>
      </c>
      <c r="E1852" s="42" t="str">
        <v>Nacional</v>
      </c>
      <c r="F1852" s="42" t="str">
        <v xml:space="preserve">Santiago De Chile </v>
      </c>
      <c r="G1852" s="42" t="str">
        <v>Yugoslavia</v>
      </c>
      <c r="H1852" s="42" t="str">
        <v>1.0</v>
      </c>
      <c r="I1852" s="42" t="str">
        <v>0.0</v>
      </c>
      <c r="J1852" s="42" t="str">
        <v>Germany FR</v>
      </c>
      <c r="K1852" s="42" t="str">
        <v xml:space="preserve"> </v>
      </c>
      <c r="L1852" s="42" t="str">
        <f t="shared" si="142"/>
        <v xml:space="preserve">1962.0|10 Jun 1962 - 14:30 |Quarter-finals|Nacional|Santiago De Chile |Yugoslavia|1.0|0.0|Germany FR| </v>
      </c>
      <c r="M1852" s="42" t="str">
        <f>IF(COUNTIF($L$1689:L1852,L1852)&gt;1,"DOUBLON","OK")</f>
        <v>OK</v>
      </c>
      <c r="S1852" s="12" t="str">
        <v>Cape Verde</v>
      </c>
      <c r="T1852" s="12" t="str">
        <f t="shared" si="143"/>
        <v>ERREUR</v>
      </c>
      <c r="U1852" s="12" t="str">
        <f t="shared" si="144"/>
        <v>RENOMMER</v>
      </c>
      <c r="V1852" s="12" t="str" cm="1">
        <f t="array" ref="V1852">_xlfn.IFS(
ISNUMBER(SEARCH("USA",S1852)),"United States",
ISNUMBER(SEARCH("Republic of Ireland",S1852)),"Ireland",
ISNUMBER(SEARCH("Republic of Korea",S1852)),"South Korea",
ISNUMBER(SEARCH("Cape Verde",S1852)),"Cabo Verde",
ISNUMBER(SEARCH("Czechia",S1852)),"Czech Republic",
ISNUMBER(SEARCH("Türkiye",S1852)),"Turkey",
ISNUMBER(SEARCH("Ivory Coast",S1852)),"Côte d'Ivoire",
ISNUMBER(SEARCH("Korea Republic",S1852)),"South Korea",
ISNUMBER(SEARCH("Germany FR",S1852)),"FR Germany",
ISNUMBER(SEARCH("West Germany",S1852)),"FR Germany",
ISNUMBER(SEARCH("Germany DR",S1852)),"DR Germany",
ISNUMBER(SEARCH("Korea DPR",S1852)),"North Korea",
ISNUMBER(SEARCH("China PR",S1852)),"China",
ISNUMBER(SEARCH("IR Iran",S1852)),"Iran",
ISNUMBER(SEARCH("Congo DR",S1852)),"Democratic Republic of the Congo",
ISNUMBER(SEARCH("DR Congo",S1852)),"Democratic Republic of the Congo",
ISNUMBER(SEARCH("German DR",S1852)),"DR Germany",
ISNUMBER(SEARCH("rn""&gt;United Arab Emirates",S1852)),"United Arab Emirates",
ISNUMBER(SEARCH("rn""&gt;Republic of Ireland",S1852)),"Ireland",
ISNUMBER(SEARCH("rn""&gt;Bosnia and Herzegovina",S1852)),"Bosnia and Herzegovina",
ISNUMBER(SEARCH("rn""&gt;Trinidad and Tobago",S1852)),"Trinidad and Tobago",
ISNUMBER(SEARCH("rn""&gt;Serbia and Montenegro",S1852)),"Serbia and Montenegro",
ISNUMBER(SEARCH(_xlfn.UNICHAR(65533),S1852)),"Côte d'Ivoire",
TRUE,""
)</f>
        <v>Cabo Verde</v>
      </c>
      <c r="W1852" s="12" t="str">
        <f t="shared" si="145"/>
        <v>Cabo Verde</v>
      </c>
    </row>
    <row r="1853" spans="2:23">
      <c r="B1853" s="76" t="str">
        <v>1962.0</v>
      </c>
      <c r="C1853" s="42" t="str">
        <v xml:space="preserve">13 Jun 1962 - 14:30 </v>
      </c>
      <c r="D1853" s="42" t="str">
        <v>Semi-finals</v>
      </c>
      <c r="E1853" s="42" t="str">
        <v>Estadio Sausalito</v>
      </c>
      <c r="F1853" s="42" t="str">
        <v xml:space="preserve">Vina Del Mar </v>
      </c>
      <c r="G1853" s="42" t="str">
        <v>Czechoslovakia</v>
      </c>
      <c r="H1853" s="42" t="str">
        <v>3.0</v>
      </c>
      <c r="I1853" s="42" t="str">
        <v>1.0</v>
      </c>
      <c r="J1853" s="42" t="str">
        <v>Yugoslavia</v>
      </c>
      <c r="K1853" s="42" t="str">
        <v xml:space="preserve"> </v>
      </c>
      <c r="L1853" s="42" t="str">
        <f t="shared" si="142"/>
        <v xml:space="preserve">1962.0|13 Jun 1962 - 14:30 |Semi-finals|Estadio Sausalito|Vina Del Mar |Czechoslovakia|3.0|1.0|Yugoslavia| </v>
      </c>
      <c r="M1853" s="42" t="str">
        <f>IF(COUNTIF($L$1689:L1853,L1853)&gt;1,"DOUBLON","OK")</f>
        <v>OK</v>
      </c>
      <c r="S1853" s="12" t="str">
        <v>Cape Verde</v>
      </c>
      <c r="T1853" s="12" t="str">
        <f t="shared" si="143"/>
        <v>ERREUR</v>
      </c>
      <c r="U1853" s="12" t="str">
        <f t="shared" si="144"/>
        <v>RENOMMER</v>
      </c>
      <c r="V1853" s="12" t="str" cm="1">
        <f t="array" ref="V1853">_xlfn.IFS(
ISNUMBER(SEARCH("USA",S1853)),"United States",
ISNUMBER(SEARCH("Republic of Ireland",S1853)),"Ireland",
ISNUMBER(SEARCH("Republic of Korea",S1853)),"South Korea",
ISNUMBER(SEARCH("Cape Verde",S1853)),"Cabo Verde",
ISNUMBER(SEARCH("Czechia",S1853)),"Czech Republic",
ISNUMBER(SEARCH("Türkiye",S1853)),"Turkey",
ISNUMBER(SEARCH("Ivory Coast",S1853)),"Côte d'Ivoire",
ISNUMBER(SEARCH("Korea Republic",S1853)),"South Korea",
ISNUMBER(SEARCH("Germany FR",S1853)),"FR Germany",
ISNUMBER(SEARCH("West Germany",S1853)),"FR Germany",
ISNUMBER(SEARCH("Germany DR",S1853)),"DR Germany",
ISNUMBER(SEARCH("Korea DPR",S1853)),"North Korea",
ISNUMBER(SEARCH("China PR",S1853)),"China",
ISNUMBER(SEARCH("IR Iran",S1853)),"Iran",
ISNUMBER(SEARCH("Congo DR",S1853)),"Democratic Republic of the Congo",
ISNUMBER(SEARCH("DR Congo",S1853)),"Democratic Republic of the Congo",
ISNUMBER(SEARCH("German DR",S1853)),"DR Germany",
ISNUMBER(SEARCH("rn""&gt;United Arab Emirates",S1853)),"United Arab Emirates",
ISNUMBER(SEARCH("rn""&gt;Republic of Ireland",S1853)),"Ireland",
ISNUMBER(SEARCH("rn""&gt;Bosnia and Herzegovina",S1853)),"Bosnia and Herzegovina",
ISNUMBER(SEARCH("rn""&gt;Trinidad and Tobago",S1853)),"Trinidad and Tobago",
ISNUMBER(SEARCH("rn""&gt;Serbia and Montenegro",S1853)),"Serbia and Montenegro",
ISNUMBER(SEARCH(_xlfn.UNICHAR(65533),S1853)),"Côte d'Ivoire",
TRUE,""
)</f>
        <v>Cabo Verde</v>
      </c>
      <c r="W1853" s="12" t="str">
        <f t="shared" si="145"/>
        <v>Cabo Verde</v>
      </c>
    </row>
    <row r="1854" spans="2:23">
      <c r="B1854" s="76" t="str">
        <v>1962.0</v>
      </c>
      <c r="C1854" s="42" t="str">
        <v xml:space="preserve">13 Jun 1962 - 14:30 </v>
      </c>
      <c r="D1854" s="42" t="str">
        <v>Semi-finals</v>
      </c>
      <c r="E1854" s="42" t="str">
        <v>Nacional</v>
      </c>
      <c r="F1854" s="42" t="str">
        <v xml:space="preserve">Santiago De Chile </v>
      </c>
      <c r="G1854" s="42" t="str">
        <v>Brazil</v>
      </c>
      <c r="H1854" s="42" t="str">
        <v>4.0</v>
      </c>
      <c r="I1854" s="42" t="str">
        <v>2.0</v>
      </c>
      <c r="J1854" s="42" t="str">
        <v>Chile</v>
      </c>
      <c r="K1854" s="42" t="str">
        <v xml:space="preserve"> </v>
      </c>
      <c r="L1854" s="42" t="str">
        <f t="shared" si="142"/>
        <v xml:space="preserve">1962.0|13 Jun 1962 - 14:30 |Semi-finals|Nacional|Santiago De Chile |Brazil|4.0|2.0|Chile| </v>
      </c>
      <c r="M1854" s="42" t="str">
        <f>IF(COUNTIF($L$1689:L1854,L1854)&gt;1,"DOUBLON","OK")</f>
        <v>OK</v>
      </c>
      <c r="S1854" s="12" t="str">
        <v>Cape Verde</v>
      </c>
      <c r="T1854" s="12" t="str">
        <f t="shared" si="143"/>
        <v>ERREUR</v>
      </c>
      <c r="U1854" s="12" t="str">
        <f t="shared" si="144"/>
        <v>RENOMMER</v>
      </c>
      <c r="V1854" s="12" t="str" cm="1">
        <f t="array" ref="V1854">_xlfn.IFS(
ISNUMBER(SEARCH("USA",S1854)),"United States",
ISNUMBER(SEARCH("Republic of Ireland",S1854)),"Ireland",
ISNUMBER(SEARCH("Republic of Korea",S1854)),"South Korea",
ISNUMBER(SEARCH("Cape Verde",S1854)),"Cabo Verde",
ISNUMBER(SEARCH("Czechia",S1854)),"Czech Republic",
ISNUMBER(SEARCH("Türkiye",S1854)),"Turkey",
ISNUMBER(SEARCH("Ivory Coast",S1854)),"Côte d'Ivoire",
ISNUMBER(SEARCH("Korea Republic",S1854)),"South Korea",
ISNUMBER(SEARCH("Germany FR",S1854)),"FR Germany",
ISNUMBER(SEARCH("West Germany",S1854)),"FR Germany",
ISNUMBER(SEARCH("Germany DR",S1854)),"DR Germany",
ISNUMBER(SEARCH("Korea DPR",S1854)),"North Korea",
ISNUMBER(SEARCH("China PR",S1854)),"China",
ISNUMBER(SEARCH("IR Iran",S1854)),"Iran",
ISNUMBER(SEARCH("Congo DR",S1854)),"Democratic Republic of the Congo",
ISNUMBER(SEARCH("DR Congo",S1854)),"Democratic Republic of the Congo",
ISNUMBER(SEARCH("German DR",S1854)),"DR Germany",
ISNUMBER(SEARCH("rn""&gt;United Arab Emirates",S1854)),"United Arab Emirates",
ISNUMBER(SEARCH("rn""&gt;Republic of Ireland",S1854)),"Ireland",
ISNUMBER(SEARCH("rn""&gt;Bosnia and Herzegovina",S1854)),"Bosnia and Herzegovina",
ISNUMBER(SEARCH("rn""&gt;Trinidad and Tobago",S1854)),"Trinidad and Tobago",
ISNUMBER(SEARCH("rn""&gt;Serbia and Montenegro",S1854)),"Serbia and Montenegro",
ISNUMBER(SEARCH(_xlfn.UNICHAR(65533),S1854)),"Côte d'Ivoire",
TRUE,""
)</f>
        <v>Cabo Verde</v>
      </c>
      <c r="W1854" s="12" t="str">
        <f t="shared" si="145"/>
        <v>Cabo Verde</v>
      </c>
    </row>
    <row r="1855" spans="2:23">
      <c r="B1855" s="76" t="str">
        <v>1962.0</v>
      </c>
      <c r="C1855" s="42" t="str">
        <v xml:space="preserve">16 Jun 1962 - 14:30 </v>
      </c>
      <c r="D1855" s="42" t="str">
        <v>Match for third place</v>
      </c>
      <c r="E1855" s="42" t="str">
        <v>Nacional</v>
      </c>
      <c r="F1855" s="42" t="str">
        <v xml:space="preserve">Santiago De Chile </v>
      </c>
      <c r="G1855" s="42" t="str">
        <v>Chile</v>
      </c>
      <c r="H1855" s="42" t="str">
        <v>1.0</v>
      </c>
      <c r="I1855" s="42" t="str">
        <v>0.0</v>
      </c>
      <c r="J1855" s="42" t="str">
        <v>Yugoslavia</v>
      </c>
      <c r="K1855" s="42" t="str">
        <v xml:space="preserve"> </v>
      </c>
      <c r="L1855" s="42" t="str">
        <f t="shared" si="142"/>
        <v xml:space="preserve">1962.0|16 Jun 1962 - 14:30 |Match for third place|Nacional|Santiago De Chile |Chile|1.0|0.0|Yugoslavia| </v>
      </c>
      <c r="M1855" s="42" t="str">
        <f>IF(COUNTIF($L$1689:L1855,L1855)&gt;1,"DOUBLON","OK")</f>
        <v>OK</v>
      </c>
      <c r="S1855" s="12" t="str">
        <v>Cape Verde</v>
      </c>
      <c r="T1855" s="12" t="str">
        <f t="shared" si="143"/>
        <v>ERREUR</v>
      </c>
      <c r="U1855" s="12" t="str">
        <f t="shared" si="144"/>
        <v>RENOMMER</v>
      </c>
      <c r="V1855" s="12" t="str" cm="1">
        <f t="array" ref="V1855">_xlfn.IFS(
ISNUMBER(SEARCH("USA",S1855)),"United States",
ISNUMBER(SEARCH("Republic of Ireland",S1855)),"Ireland",
ISNUMBER(SEARCH("Republic of Korea",S1855)),"South Korea",
ISNUMBER(SEARCH("Cape Verde",S1855)),"Cabo Verde",
ISNUMBER(SEARCH("Czechia",S1855)),"Czech Republic",
ISNUMBER(SEARCH("Türkiye",S1855)),"Turkey",
ISNUMBER(SEARCH("Ivory Coast",S1855)),"Côte d'Ivoire",
ISNUMBER(SEARCH("Korea Republic",S1855)),"South Korea",
ISNUMBER(SEARCH("Germany FR",S1855)),"FR Germany",
ISNUMBER(SEARCH("West Germany",S1855)),"FR Germany",
ISNUMBER(SEARCH("Germany DR",S1855)),"DR Germany",
ISNUMBER(SEARCH("Korea DPR",S1855)),"North Korea",
ISNUMBER(SEARCH("China PR",S1855)),"China",
ISNUMBER(SEARCH("IR Iran",S1855)),"Iran",
ISNUMBER(SEARCH("Congo DR",S1855)),"Democratic Republic of the Congo",
ISNUMBER(SEARCH("DR Congo",S1855)),"Democratic Republic of the Congo",
ISNUMBER(SEARCH("German DR",S1855)),"DR Germany",
ISNUMBER(SEARCH("rn""&gt;United Arab Emirates",S1855)),"United Arab Emirates",
ISNUMBER(SEARCH("rn""&gt;Republic of Ireland",S1855)),"Ireland",
ISNUMBER(SEARCH("rn""&gt;Bosnia and Herzegovina",S1855)),"Bosnia and Herzegovina",
ISNUMBER(SEARCH("rn""&gt;Trinidad and Tobago",S1855)),"Trinidad and Tobago",
ISNUMBER(SEARCH("rn""&gt;Serbia and Montenegro",S1855)),"Serbia and Montenegro",
ISNUMBER(SEARCH(_xlfn.UNICHAR(65533),S1855)),"Côte d'Ivoire",
TRUE,""
)</f>
        <v>Cabo Verde</v>
      </c>
      <c r="W1855" s="12" t="str">
        <f t="shared" si="145"/>
        <v>Cabo Verde</v>
      </c>
    </row>
    <row r="1856" spans="2:23">
      <c r="B1856" s="76" t="str">
        <v>1962.0</v>
      </c>
      <c r="C1856" s="42" t="str">
        <v xml:space="preserve">17 Jun 1962 - 14:30 </v>
      </c>
      <c r="D1856" s="42" t="str">
        <v>Final</v>
      </c>
      <c r="E1856" s="42" t="str">
        <v>Nacional</v>
      </c>
      <c r="F1856" s="42" t="str">
        <v xml:space="preserve">Santiago De Chile </v>
      </c>
      <c r="G1856" s="42" t="str">
        <v>Brazil</v>
      </c>
      <c r="H1856" s="42" t="str">
        <v>3.0</v>
      </c>
      <c r="I1856" s="42" t="str">
        <v>1.0</v>
      </c>
      <c r="J1856" s="42" t="str">
        <v>Czechoslovakia</v>
      </c>
      <c r="K1856" s="42" t="str">
        <v xml:space="preserve"> </v>
      </c>
      <c r="L1856" s="42" t="str">
        <f t="shared" si="142"/>
        <v xml:space="preserve">1962.0|17 Jun 1962 - 14:30 |Final|Nacional|Santiago De Chile |Brazil|3.0|1.0|Czechoslovakia| </v>
      </c>
      <c r="M1856" s="42" t="str">
        <f>IF(COUNTIF($L$1689:L1856,L1856)&gt;1,"DOUBLON","OK")</f>
        <v>OK</v>
      </c>
      <c r="S1856" s="12" t="str">
        <v>Cape Verde</v>
      </c>
      <c r="T1856" s="12" t="str">
        <f t="shared" si="143"/>
        <v>ERREUR</v>
      </c>
      <c r="U1856" s="12" t="str">
        <f t="shared" si="144"/>
        <v>RENOMMER</v>
      </c>
      <c r="V1856" s="12" t="str" cm="1">
        <f t="array" ref="V1856">_xlfn.IFS(
ISNUMBER(SEARCH("USA",S1856)),"United States",
ISNUMBER(SEARCH("Republic of Ireland",S1856)),"Ireland",
ISNUMBER(SEARCH("Republic of Korea",S1856)),"South Korea",
ISNUMBER(SEARCH("Cape Verde",S1856)),"Cabo Verde",
ISNUMBER(SEARCH("Czechia",S1856)),"Czech Republic",
ISNUMBER(SEARCH("Türkiye",S1856)),"Turkey",
ISNUMBER(SEARCH("Ivory Coast",S1856)),"Côte d'Ivoire",
ISNUMBER(SEARCH("Korea Republic",S1856)),"South Korea",
ISNUMBER(SEARCH("Germany FR",S1856)),"FR Germany",
ISNUMBER(SEARCH("West Germany",S1856)),"FR Germany",
ISNUMBER(SEARCH("Germany DR",S1856)),"DR Germany",
ISNUMBER(SEARCH("Korea DPR",S1856)),"North Korea",
ISNUMBER(SEARCH("China PR",S1856)),"China",
ISNUMBER(SEARCH("IR Iran",S1856)),"Iran",
ISNUMBER(SEARCH("Congo DR",S1856)),"Democratic Republic of the Congo",
ISNUMBER(SEARCH("DR Congo",S1856)),"Democratic Republic of the Congo",
ISNUMBER(SEARCH("German DR",S1856)),"DR Germany",
ISNUMBER(SEARCH("rn""&gt;United Arab Emirates",S1856)),"United Arab Emirates",
ISNUMBER(SEARCH("rn""&gt;Republic of Ireland",S1856)),"Ireland",
ISNUMBER(SEARCH("rn""&gt;Bosnia and Herzegovina",S1856)),"Bosnia and Herzegovina",
ISNUMBER(SEARCH("rn""&gt;Trinidad and Tobago",S1856)),"Trinidad and Tobago",
ISNUMBER(SEARCH("rn""&gt;Serbia and Montenegro",S1856)),"Serbia and Montenegro",
ISNUMBER(SEARCH(_xlfn.UNICHAR(65533),S1856)),"Côte d'Ivoire",
TRUE,""
)</f>
        <v>Cabo Verde</v>
      </c>
      <c r="W1856" s="12" t="str">
        <f t="shared" si="145"/>
        <v>Cabo Verde</v>
      </c>
    </row>
    <row r="1857" spans="2:23">
      <c r="B1857" s="76" t="str">
        <v>1966.0</v>
      </c>
      <c r="C1857" s="42" t="str">
        <v xml:space="preserve">11 Jul 1966 - 19:30 </v>
      </c>
      <c r="D1857" s="42" t="str">
        <v>Group 1</v>
      </c>
      <c r="E1857" s="42" t="str">
        <v>Wembley Stadium</v>
      </c>
      <c r="F1857" s="42" t="str">
        <v xml:space="preserve">London </v>
      </c>
      <c r="G1857" s="42" t="str">
        <v>England</v>
      </c>
      <c r="H1857" s="42" t="str">
        <v>0.0</v>
      </c>
      <c r="I1857" s="42" t="str">
        <v>0.0</v>
      </c>
      <c r="J1857" s="42" t="str">
        <v>Uruguay</v>
      </c>
      <c r="K1857" s="42" t="str">
        <v xml:space="preserve"> </v>
      </c>
      <c r="L1857" s="42" t="str">
        <f t="shared" si="142"/>
        <v xml:space="preserve">1966.0|11 Jul 1966 - 19:30 |Group 1|Wembley Stadium|London |England|0.0|0.0|Uruguay| </v>
      </c>
      <c r="M1857" s="42" t="str">
        <f>IF(COUNTIF($L$1689:L1857,L1857)&gt;1,"DOUBLON","OK")</f>
        <v>OK</v>
      </c>
      <c r="S1857" s="12" t="str">
        <v>Cape Verde</v>
      </c>
      <c r="T1857" s="12" t="str">
        <f t="shared" si="143"/>
        <v>ERREUR</v>
      </c>
      <c r="U1857" s="12" t="str">
        <f t="shared" si="144"/>
        <v>RENOMMER</v>
      </c>
      <c r="V1857" s="12" t="str" cm="1">
        <f t="array" ref="V1857">_xlfn.IFS(
ISNUMBER(SEARCH("USA",S1857)),"United States",
ISNUMBER(SEARCH("Republic of Ireland",S1857)),"Ireland",
ISNUMBER(SEARCH("Republic of Korea",S1857)),"South Korea",
ISNUMBER(SEARCH("Cape Verde",S1857)),"Cabo Verde",
ISNUMBER(SEARCH("Czechia",S1857)),"Czech Republic",
ISNUMBER(SEARCH("Türkiye",S1857)),"Turkey",
ISNUMBER(SEARCH("Ivory Coast",S1857)),"Côte d'Ivoire",
ISNUMBER(SEARCH("Korea Republic",S1857)),"South Korea",
ISNUMBER(SEARCH("Germany FR",S1857)),"FR Germany",
ISNUMBER(SEARCH("West Germany",S1857)),"FR Germany",
ISNUMBER(SEARCH("Germany DR",S1857)),"DR Germany",
ISNUMBER(SEARCH("Korea DPR",S1857)),"North Korea",
ISNUMBER(SEARCH("China PR",S1857)),"China",
ISNUMBER(SEARCH("IR Iran",S1857)),"Iran",
ISNUMBER(SEARCH("Congo DR",S1857)),"Democratic Republic of the Congo",
ISNUMBER(SEARCH("DR Congo",S1857)),"Democratic Republic of the Congo",
ISNUMBER(SEARCH("German DR",S1857)),"DR Germany",
ISNUMBER(SEARCH("rn""&gt;United Arab Emirates",S1857)),"United Arab Emirates",
ISNUMBER(SEARCH("rn""&gt;Republic of Ireland",S1857)),"Ireland",
ISNUMBER(SEARCH("rn""&gt;Bosnia and Herzegovina",S1857)),"Bosnia and Herzegovina",
ISNUMBER(SEARCH("rn""&gt;Trinidad and Tobago",S1857)),"Trinidad and Tobago",
ISNUMBER(SEARCH("rn""&gt;Serbia and Montenegro",S1857)),"Serbia and Montenegro",
ISNUMBER(SEARCH(_xlfn.UNICHAR(65533),S1857)),"Côte d'Ivoire",
TRUE,""
)</f>
        <v>Cabo Verde</v>
      </c>
      <c r="W1857" s="12" t="str">
        <f t="shared" si="145"/>
        <v>Cabo Verde</v>
      </c>
    </row>
    <row r="1858" spans="2:23">
      <c r="B1858" s="76" t="str">
        <v>1966.0</v>
      </c>
      <c r="C1858" s="42" t="str">
        <v xml:space="preserve">12 Jul 1966 - 19:30 </v>
      </c>
      <c r="D1858" s="42" t="str">
        <v>Group 2</v>
      </c>
      <c r="E1858" s="42" t="str">
        <v>Hillsborough</v>
      </c>
      <c r="F1858" s="42" t="str">
        <v xml:space="preserve">Sheffield </v>
      </c>
      <c r="G1858" s="42" t="str">
        <v>Germany FR</v>
      </c>
      <c r="H1858" s="42" t="str">
        <v>5.0</v>
      </c>
      <c r="I1858" s="42" t="str">
        <v>0.0</v>
      </c>
      <c r="J1858" s="42" t="str">
        <v>Switzerland</v>
      </c>
      <c r="K1858" s="42" t="str">
        <v xml:space="preserve"> </v>
      </c>
      <c r="L1858" s="42" t="str">
        <f t="shared" si="142"/>
        <v xml:space="preserve">1966.0|12 Jul 1966 - 19:30 |Group 2|Hillsborough|Sheffield |Germany FR|5.0|0.0|Switzerland| </v>
      </c>
      <c r="M1858" s="42" t="str">
        <f>IF(COUNTIF($L$1689:L1858,L1858)&gt;1,"DOUBLON","OK")</f>
        <v>OK</v>
      </c>
      <c r="S1858" s="12" t="str">
        <v>Cape Verde</v>
      </c>
      <c r="T1858" s="12" t="str">
        <f t="shared" si="143"/>
        <v>ERREUR</v>
      </c>
      <c r="U1858" s="12" t="str">
        <f t="shared" si="144"/>
        <v>RENOMMER</v>
      </c>
      <c r="V1858" s="12" t="str" cm="1">
        <f t="array" ref="V1858">_xlfn.IFS(
ISNUMBER(SEARCH("USA",S1858)),"United States",
ISNUMBER(SEARCH("Republic of Ireland",S1858)),"Ireland",
ISNUMBER(SEARCH("Republic of Korea",S1858)),"South Korea",
ISNUMBER(SEARCH("Cape Verde",S1858)),"Cabo Verde",
ISNUMBER(SEARCH("Czechia",S1858)),"Czech Republic",
ISNUMBER(SEARCH("Türkiye",S1858)),"Turkey",
ISNUMBER(SEARCH("Ivory Coast",S1858)),"Côte d'Ivoire",
ISNUMBER(SEARCH("Korea Republic",S1858)),"South Korea",
ISNUMBER(SEARCH("Germany FR",S1858)),"FR Germany",
ISNUMBER(SEARCH("West Germany",S1858)),"FR Germany",
ISNUMBER(SEARCH("Germany DR",S1858)),"DR Germany",
ISNUMBER(SEARCH("Korea DPR",S1858)),"North Korea",
ISNUMBER(SEARCH("China PR",S1858)),"China",
ISNUMBER(SEARCH("IR Iran",S1858)),"Iran",
ISNUMBER(SEARCH("Congo DR",S1858)),"Democratic Republic of the Congo",
ISNUMBER(SEARCH("DR Congo",S1858)),"Democratic Republic of the Congo",
ISNUMBER(SEARCH("German DR",S1858)),"DR Germany",
ISNUMBER(SEARCH("rn""&gt;United Arab Emirates",S1858)),"United Arab Emirates",
ISNUMBER(SEARCH("rn""&gt;Republic of Ireland",S1858)),"Ireland",
ISNUMBER(SEARCH("rn""&gt;Bosnia and Herzegovina",S1858)),"Bosnia and Herzegovina",
ISNUMBER(SEARCH("rn""&gt;Trinidad and Tobago",S1858)),"Trinidad and Tobago",
ISNUMBER(SEARCH("rn""&gt;Serbia and Montenegro",S1858)),"Serbia and Montenegro",
ISNUMBER(SEARCH(_xlfn.UNICHAR(65533),S1858)),"Côte d'Ivoire",
TRUE,""
)</f>
        <v>Cabo Verde</v>
      </c>
      <c r="W1858" s="12" t="str">
        <f t="shared" si="145"/>
        <v>Cabo Verde</v>
      </c>
    </row>
    <row r="1859" spans="2:23">
      <c r="B1859" s="76" t="str">
        <v>1966.0</v>
      </c>
      <c r="C1859" s="42" t="str">
        <v xml:space="preserve">12 Jul 1966 - 19:30 </v>
      </c>
      <c r="D1859" s="42" t="str">
        <v>Group 3</v>
      </c>
      <c r="E1859" s="42" t="str">
        <v>Goodison Park</v>
      </c>
      <c r="F1859" s="42" t="str">
        <v xml:space="preserve">Liverpool </v>
      </c>
      <c r="G1859" s="42" t="str">
        <v>Brazil</v>
      </c>
      <c r="H1859" s="42" t="str">
        <v>2.0</v>
      </c>
      <c r="I1859" s="42" t="str">
        <v>0.0</v>
      </c>
      <c r="J1859" s="42" t="str">
        <v>Bulgaria</v>
      </c>
      <c r="K1859" s="42" t="str">
        <v xml:space="preserve"> </v>
      </c>
      <c r="L1859" s="42" t="str">
        <f t="shared" si="142"/>
        <v xml:space="preserve">1966.0|12 Jul 1966 - 19:30 |Group 3|Goodison Park|Liverpool |Brazil|2.0|0.0|Bulgaria| </v>
      </c>
      <c r="M1859" s="42" t="str">
        <f>IF(COUNTIF($L$1689:L1859,L1859)&gt;1,"DOUBLON","OK")</f>
        <v>OK</v>
      </c>
      <c r="S1859" s="12" t="str">
        <v>Cape Verde</v>
      </c>
      <c r="T1859" s="12" t="str">
        <f t="shared" si="143"/>
        <v>ERREUR</v>
      </c>
      <c r="U1859" s="12" t="str">
        <f t="shared" si="144"/>
        <v>RENOMMER</v>
      </c>
      <c r="V1859" s="12" t="str" cm="1">
        <f t="array" ref="V1859">_xlfn.IFS(
ISNUMBER(SEARCH("USA",S1859)),"United States",
ISNUMBER(SEARCH("Republic of Ireland",S1859)),"Ireland",
ISNUMBER(SEARCH("Republic of Korea",S1859)),"South Korea",
ISNUMBER(SEARCH("Cape Verde",S1859)),"Cabo Verde",
ISNUMBER(SEARCH("Czechia",S1859)),"Czech Republic",
ISNUMBER(SEARCH("Türkiye",S1859)),"Turkey",
ISNUMBER(SEARCH("Ivory Coast",S1859)),"Côte d'Ivoire",
ISNUMBER(SEARCH("Korea Republic",S1859)),"South Korea",
ISNUMBER(SEARCH("Germany FR",S1859)),"FR Germany",
ISNUMBER(SEARCH("West Germany",S1859)),"FR Germany",
ISNUMBER(SEARCH("Germany DR",S1859)),"DR Germany",
ISNUMBER(SEARCH("Korea DPR",S1859)),"North Korea",
ISNUMBER(SEARCH("China PR",S1859)),"China",
ISNUMBER(SEARCH("IR Iran",S1859)),"Iran",
ISNUMBER(SEARCH("Congo DR",S1859)),"Democratic Republic of the Congo",
ISNUMBER(SEARCH("DR Congo",S1859)),"Democratic Republic of the Congo",
ISNUMBER(SEARCH("German DR",S1859)),"DR Germany",
ISNUMBER(SEARCH("rn""&gt;United Arab Emirates",S1859)),"United Arab Emirates",
ISNUMBER(SEARCH("rn""&gt;Republic of Ireland",S1859)),"Ireland",
ISNUMBER(SEARCH("rn""&gt;Bosnia and Herzegovina",S1859)),"Bosnia and Herzegovina",
ISNUMBER(SEARCH("rn""&gt;Trinidad and Tobago",S1859)),"Trinidad and Tobago",
ISNUMBER(SEARCH("rn""&gt;Serbia and Montenegro",S1859)),"Serbia and Montenegro",
ISNUMBER(SEARCH(_xlfn.UNICHAR(65533),S1859)),"Côte d'Ivoire",
TRUE,""
)</f>
        <v>Cabo Verde</v>
      </c>
      <c r="W1859" s="12" t="str">
        <f t="shared" si="145"/>
        <v>Cabo Verde</v>
      </c>
    </row>
    <row r="1860" spans="2:23">
      <c r="B1860" s="76" t="str">
        <v>1966.0</v>
      </c>
      <c r="C1860" s="42" t="str">
        <v xml:space="preserve">12 Jul 1966 - 19:30 </v>
      </c>
      <c r="D1860" s="42" t="str">
        <v>Group 4</v>
      </c>
      <c r="E1860" s="42" t="str">
        <v>Ayresome Park</v>
      </c>
      <c r="F1860" s="42" t="str">
        <v xml:space="preserve">Middlesbrough </v>
      </c>
      <c r="G1860" s="42" t="str">
        <v>Soviet Union</v>
      </c>
      <c r="H1860" s="42" t="str">
        <v>3.0</v>
      </c>
      <c r="I1860" s="42" t="str">
        <v>0.0</v>
      </c>
      <c r="J1860" s="42" t="str">
        <v>Korea DPR</v>
      </c>
      <c r="K1860" s="42" t="str">
        <v xml:space="preserve"> </v>
      </c>
      <c r="L1860" s="42" t="str">
        <f t="shared" si="142"/>
        <v xml:space="preserve">1966.0|12 Jul 1966 - 19:30 |Group 4|Ayresome Park|Middlesbrough |Soviet Union|3.0|0.0|Korea DPR| </v>
      </c>
      <c r="M1860" s="42" t="str">
        <f>IF(COUNTIF($L$1689:L1860,L1860)&gt;1,"DOUBLON","OK")</f>
        <v>OK</v>
      </c>
      <c r="S1860" s="12" t="str">
        <v>Cape Verde</v>
      </c>
      <c r="T1860" s="12" t="str">
        <f t="shared" si="143"/>
        <v>ERREUR</v>
      </c>
      <c r="U1860" s="12" t="str">
        <f t="shared" si="144"/>
        <v>RENOMMER</v>
      </c>
      <c r="V1860" s="12" t="str" cm="1">
        <f t="array" ref="V1860">_xlfn.IFS(
ISNUMBER(SEARCH("USA",S1860)),"United States",
ISNUMBER(SEARCH("Republic of Ireland",S1860)),"Ireland",
ISNUMBER(SEARCH("Republic of Korea",S1860)),"South Korea",
ISNUMBER(SEARCH("Cape Verde",S1860)),"Cabo Verde",
ISNUMBER(SEARCH("Czechia",S1860)),"Czech Republic",
ISNUMBER(SEARCH("Türkiye",S1860)),"Turkey",
ISNUMBER(SEARCH("Ivory Coast",S1860)),"Côte d'Ivoire",
ISNUMBER(SEARCH("Korea Republic",S1860)),"South Korea",
ISNUMBER(SEARCH("Germany FR",S1860)),"FR Germany",
ISNUMBER(SEARCH("West Germany",S1860)),"FR Germany",
ISNUMBER(SEARCH("Germany DR",S1860)),"DR Germany",
ISNUMBER(SEARCH("Korea DPR",S1860)),"North Korea",
ISNUMBER(SEARCH("China PR",S1860)),"China",
ISNUMBER(SEARCH("IR Iran",S1860)),"Iran",
ISNUMBER(SEARCH("Congo DR",S1860)),"Democratic Republic of the Congo",
ISNUMBER(SEARCH("DR Congo",S1860)),"Democratic Republic of the Congo",
ISNUMBER(SEARCH("German DR",S1860)),"DR Germany",
ISNUMBER(SEARCH("rn""&gt;United Arab Emirates",S1860)),"United Arab Emirates",
ISNUMBER(SEARCH("rn""&gt;Republic of Ireland",S1860)),"Ireland",
ISNUMBER(SEARCH("rn""&gt;Bosnia and Herzegovina",S1860)),"Bosnia and Herzegovina",
ISNUMBER(SEARCH("rn""&gt;Trinidad and Tobago",S1860)),"Trinidad and Tobago",
ISNUMBER(SEARCH("rn""&gt;Serbia and Montenegro",S1860)),"Serbia and Montenegro",
ISNUMBER(SEARCH(_xlfn.UNICHAR(65533),S1860)),"Côte d'Ivoire",
TRUE,""
)</f>
        <v>Cabo Verde</v>
      </c>
      <c r="W1860" s="12" t="str">
        <f t="shared" si="145"/>
        <v>Cabo Verde</v>
      </c>
    </row>
    <row r="1861" spans="2:23">
      <c r="B1861" s="76" t="str">
        <v>1966.0</v>
      </c>
      <c r="C1861" s="42" t="str">
        <v xml:space="preserve">13 Jul 1966 - 19:30 </v>
      </c>
      <c r="D1861" s="42" t="str">
        <v>Group 1</v>
      </c>
      <c r="E1861" s="42" t="str">
        <v>Wembley Stadium</v>
      </c>
      <c r="F1861" s="42" t="str">
        <v xml:space="preserve">London </v>
      </c>
      <c r="G1861" s="42" t="str">
        <v>France</v>
      </c>
      <c r="H1861" s="42" t="str">
        <v>1.0</v>
      </c>
      <c r="I1861" s="42" t="str">
        <v>1.0</v>
      </c>
      <c r="J1861" s="42" t="str">
        <v>Mexico</v>
      </c>
      <c r="K1861" s="42" t="str">
        <v xml:space="preserve"> </v>
      </c>
      <c r="L1861" s="42" t="str">
        <f t="shared" si="142"/>
        <v xml:space="preserve">1966.0|13 Jul 1966 - 19:30 |Group 1|Wembley Stadium|London |France|1.0|1.0|Mexico| </v>
      </c>
      <c r="M1861" s="42" t="str">
        <f>IF(COUNTIF($L$1689:L1861,L1861)&gt;1,"DOUBLON","OK")</f>
        <v>OK</v>
      </c>
      <c r="S1861" s="12" t="str">
        <v>Cape Verde</v>
      </c>
      <c r="T1861" s="12" t="str">
        <f t="shared" si="143"/>
        <v>ERREUR</v>
      </c>
      <c r="U1861" s="12" t="str">
        <f t="shared" si="144"/>
        <v>RENOMMER</v>
      </c>
      <c r="V1861" s="12" t="str" cm="1">
        <f t="array" ref="V1861">_xlfn.IFS(
ISNUMBER(SEARCH("USA",S1861)),"United States",
ISNUMBER(SEARCH("Republic of Ireland",S1861)),"Ireland",
ISNUMBER(SEARCH("Republic of Korea",S1861)),"South Korea",
ISNUMBER(SEARCH("Cape Verde",S1861)),"Cabo Verde",
ISNUMBER(SEARCH("Czechia",S1861)),"Czech Republic",
ISNUMBER(SEARCH("Türkiye",S1861)),"Turkey",
ISNUMBER(SEARCH("Ivory Coast",S1861)),"Côte d'Ivoire",
ISNUMBER(SEARCH("Korea Republic",S1861)),"South Korea",
ISNUMBER(SEARCH("Germany FR",S1861)),"FR Germany",
ISNUMBER(SEARCH("West Germany",S1861)),"FR Germany",
ISNUMBER(SEARCH("Germany DR",S1861)),"DR Germany",
ISNUMBER(SEARCH("Korea DPR",S1861)),"North Korea",
ISNUMBER(SEARCH("China PR",S1861)),"China",
ISNUMBER(SEARCH("IR Iran",S1861)),"Iran",
ISNUMBER(SEARCH("Congo DR",S1861)),"Democratic Republic of the Congo",
ISNUMBER(SEARCH("DR Congo",S1861)),"Democratic Republic of the Congo",
ISNUMBER(SEARCH("German DR",S1861)),"DR Germany",
ISNUMBER(SEARCH("rn""&gt;United Arab Emirates",S1861)),"United Arab Emirates",
ISNUMBER(SEARCH("rn""&gt;Republic of Ireland",S1861)),"Ireland",
ISNUMBER(SEARCH("rn""&gt;Bosnia and Herzegovina",S1861)),"Bosnia and Herzegovina",
ISNUMBER(SEARCH("rn""&gt;Trinidad and Tobago",S1861)),"Trinidad and Tobago",
ISNUMBER(SEARCH("rn""&gt;Serbia and Montenegro",S1861)),"Serbia and Montenegro",
ISNUMBER(SEARCH(_xlfn.UNICHAR(65533),S1861)),"Côte d'Ivoire",
TRUE,""
)</f>
        <v>Cabo Verde</v>
      </c>
      <c r="W1861" s="12" t="str">
        <f t="shared" si="145"/>
        <v>Cabo Verde</v>
      </c>
    </row>
    <row r="1862" spans="2:23">
      <c r="B1862" s="76" t="str">
        <v>1966.0</v>
      </c>
      <c r="C1862" s="42" t="str">
        <v xml:space="preserve">13 Jul 1966 - 19:30 </v>
      </c>
      <c r="D1862" s="42" t="str">
        <v>Group 3</v>
      </c>
      <c r="E1862" s="42" t="str">
        <v>Old Trafford Stadium</v>
      </c>
      <c r="F1862" s="42" t="str">
        <v xml:space="preserve">Manchester </v>
      </c>
      <c r="G1862" s="42" t="str">
        <v>Portugal</v>
      </c>
      <c r="H1862" s="42" t="str">
        <v>3.0</v>
      </c>
      <c r="I1862" s="42" t="str">
        <v>1.0</v>
      </c>
      <c r="J1862" s="42" t="str">
        <v>Hungary</v>
      </c>
      <c r="K1862" s="42" t="str">
        <v xml:space="preserve"> </v>
      </c>
      <c r="L1862" s="42" t="str">
        <f t="shared" si="142"/>
        <v xml:space="preserve">1966.0|13 Jul 1966 - 19:30 |Group 3|Old Trafford Stadium|Manchester |Portugal|3.0|1.0|Hungary| </v>
      </c>
      <c r="M1862" s="42" t="str">
        <f>IF(COUNTIF($L$1689:L1862,L1862)&gt;1,"DOUBLON","OK")</f>
        <v>OK</v>
      </c>
      <c r="S1862" s="12" t="str">
        <v>Cape Verde</v>
      </c>
      <c r="T1862" s="12" t="str">
        <f t="shared" si="143"/>
        <v>ERREUR</v>
      </c>
      <c r="U1862" s="12" t="str">
        <f t="shared" si="144"/>
        <v>RENOMMER</v>
      </c>
      <c r="V1862" s="12" t="str" cm="1">
        <f t="array" ref="V1862">_xlfn.IFS(
ISNUMBER(SEARCH("USA",S1862)),"United States",
ISNUMBER(SEARCH("Republic of Ireland",S1862)),"Ireland",
ISNUMBER(SEARCH("Republic of Korea",S1862)),"South Korea",
ISNUMBER(SEARCH("Cape Verde",S1862)),"Cabo Verde",
ISNUMBER(SEARCH("Czechia",S1862)),"Czech Republic",
ISNUMBER(SEARCH("Türkiye",S1862)),"Turkey",
ISNUMBER(SEARCH("Ivory Coast",S1862)),"Côte d'Ivoire",
ISNUMBER(SEARCH("Korea Republic",S1862)),"South Korea",
ISNUMBER(SEARCH("Germany FR",S1862)),"FR Germany",
ISNUMBER(SEARCH("West Germany",S1862)),"FR Germany",
ISNUMBER(SEARCH("Germany DR",S1862)),"DR Germany",
ISNUMBER(SEARCH("Korea DPR",S1862)),"North Korea",
ISNUMBER(SEARCH("China PR",S1862)),"China",
ISNUMBER(SEARCH("IR Iran",S1862)),"Iran",
ISNUMBER(SEARCH("Congo DR",S1862)),"Democratic Republic of the Congo",
ISNUMBER(SEARCH("DR Congo",S1862)),"Democratic Republic of the Congo",
ISNUMBER(SEARCH("German DR",S1862)),"DR Germany",
ISNUMBER(SEARCH("rn""&gt;United Arab Emirates",S1862)),"United Arab Emirates",
ISNUMBER(SEARCH("rn""&gt;Republic of Ireland",S1862)),"Ireland",
ISNUMBER(SEARCH("rn""&gt;Bosnia and Herzegovina",S1862)),"Bosnia and Herzegovina",
ISNUMBER(SEARCH("rn""&gt;Trinidad and Tobago",S1862)),"Trinidad and Tobago",
ISNUMBER(SEARCH("rn""&gt;Serbia and Montenegro",S1862)),"Serbia and Montenegro",
ISNUMBER(SEARCH(_xlfn.UNICHAR(65533),S1862)),"Côte d'Ivoire",
TRUE,""
)</f>
        <v>Cabo Verde</v>
      </c>
      <c r="W1862" s="12" t="str">
        <f t="shared" si="145"/>
        <v>Cabo Verde</v>
      </c>
    </row>
    <row r="1863" spans="2:23">
      <c r="B1863" s="76" t="str">
        <v>1966.0</v>
      </c>
      <c r="C1863" s="42" t="str">
        <v xml:space="preserve">13 Jul 1966 - 19:30 </v>
      </c>
      <c r="D1863" s="42" t="str">
        <v>Group 2</v>
      </c>
      <c r="E1863" s="42" t="str">
        <v>Villa Park</v>
      </c>
      <c r="F1863" s="42" t="str">
        <v xml:space="preserve">Birmingham </v>
      </c>
      <c r="G1863" s="42" t="str">
        <v>Argentina</v>
      </c>
      <c r="H1863" s="42" t="str">
        <v>2.0</v>
      </c>
      <c r="I1863" s="42" t="str">
        <v>1.0</v>
      </c>
      <c r="J1863" s="42" t="str">
        <v>Spain</v>
      </c>
      <c r="K1863" s="42" t="str">
        <v xml:space="preserve"> </v>
      </c>
      <c r="L1863" s="42" t="str">
        <f t="shared" si="142"/>
        <v xml:space="preserve">1966.0|13 Jul 1966 - 19:30 |Group 2|Villa Park|Birmingham |Argentina|2.0|1.0|Spain| </v>
      </c>
      <c r="M1863" s="42" t="str">
        <f>IF(COUNTIF($L$1689:L1863,L1863)&gt;1,"DOUBLON","OK")</f>
        <v>OK</v>
      </c>
      <c r="S1863" s="12" t="str">
        <v>Cape Verde</v>
      </c>
      <c r="T1863" s="12" t="str">
        <f t="shared" si="143"/>
        <v>ERREUR</v>
      </c>
      <c r="U1863" s="12" t="str">
        <f t="shared" si="144"/>
        <v>RENOMMER</v>
      </c>
      <c r="V1863" s="12" t="str" cm="1">
        <f t="array" ref="V1863">_xlfn.IFS(
ISNUMBER(SEARCH("USA",S1863)),"United States",
ISNUMBER(SEARCH("Republic of Ireland",S1863)),"Ireland",
ISNUMBER(SEARCH("Republic of Korea",S1863)),"South Korea",
ISNUMBER(SEARCH("Cape Verde",S1863)),"Cabo Verde",
ISNUMBER(SEARCH("Czechia",S1863)),"Czech Republic",
ISNUMBER(SEARCH("Türkiye",S1863)),"Turkey",
ISNUMBER(SEARCH("Ivory Coast",S1863)),"Côte d'Ivoire",
ISNUMBER(SEARCH("Korea Republic",S1863)),"South Korea",
ISNUMBER(SEARCH("Germany FR",S1863)),"FR Germany",
ISNUMBER(SEARCH("West Germany",S1863)),"FR Germany",
ISNUMBER(SEARCH("Germany DR",S1863)),"DR Germany",
ISNUMBER(SEARCH("Korea DPR",S1863)),"North Korea",
ISNUMBER(SEARCH("China PR",S1863)),"China",
ISNUMBER(SEARCH("IR Iran",S1863)),"Iran",
ISNUMBER(SEARCH("Congo DR",S1863)),"Democratic Republic of the Congo",
ISNUMBER(SEARCH("DR Congo",S1863)),"Democratic Republic of the Congo",
ISNUMBER(SEARCH("German DR",S1863)),"DR Germany",
ISNUMBER(SEARCH("rn""&gt;United Arab Emirates",S1863)),"United Arab Emirates",
ISNUMBER(SEARCH("rn""&gt;Republic of Ireland",S1863)),"Ireland",
ISNUMBER(SEARCH("rn""&gt;Bosnia and Herzegovina",S1863)),"Bosnia and Herzegovina",
ISNUMBER(SEARCH("rn""&gt;Trinidad and Tobago",S1863)),"Trinidad and Tobago",
ISNUMBER(SEARCH("rn""&gt;Serbia and Montenegro",S1863)),"Serbia and Montenegro",
ISNUMBER(SEARCH(_xlfn.UNICHAR(65533),S1863)),"Côte d'Ivoire",
TRUE,""
)</f>
        <v>Cabo Verde</v>
      </c>
      <c r="W1863" s="12" t="str">
        <f t="shared" si="145"/>
        <v>Cabo Verde</v>
      </c>
    </row>
    <row r="1864" spans="2:23">
      <c r="B1864" s="76" t="str">
        <v>1966.0</v>
      </c>
      <c r="C1864" s="42" t="str">
        <v xml:space="preserve">13 Jul 1966 - 19:30 </v>
      </c>
      <c r="D1864" s="42" t="str">
        <v>Group 4</v>
      </c>
      <c r="E1864" s="42" t="str">
        <v>Roker Park Ground</v>
      </c>
      <c r="F1864" s="42" t="str">
        <v xml:space="preserve">Sunderland </v>
      </c>
      <c r="G1864" s="42" t="str">
        <v>Italy</v>
      </c>
      <c r="H1864" s="42" t="str">
        <v>2.0</v>
      </c>
      <c r="I1864" s="42" t="str">
        <v>0.0</v>
      </c>
      <c r="J1864" s="42" t="str">
        <v>Chile</v>
      </c>
      <c r="K1864" s="42" t="str">
        <v xml:space="preserve"> </v>
      </c>
      <c r="L1864" s="42" t="str">
        <f t="shared" si="142"/>
        <v xml:space="preserve">1966.0|13 Jul 1966 - 19:30 |Group 4|Roker Park Ground|Sunderland |Italy|2.0|0.0|Chile| </v>
      </c>
      <c r="M1864" s="42" t="str">
        <f>IF(COUNTIF($L$1689:L1864,L1864)&gt;1,"DOUBLON","OK")</f>
        <v>OK</v>
      </c>
      <c r="S1864" s="12" t="str">
        <v>Cape Verde</v>
      </c>
      <c r="T1864" s="12" t="str">
        <f t="shared" si="143"/>
        <v>ERREUR</v>
      </c>
      <c r="U1864" s="12" t="str">
        <f t="shared" si="144"/>
        <v>RENOMMER</v>
      </c>
      <c r="V1864" s="12" t="str" cm="1">
        <f t="array" ref="V1864">_xlfn.IFS(
ISNUMBER(SEARCH("USA",S1864)),"United States",
ISNUMBER(SEARCH("Republic of Ireland",S1864)),"Ireland",
ISNUMBER(SEARCH("Republic of Korea",S1864)),"South Korea",
ISNUMBER(SEARCH("Cape Verde",S1864)),"Cabo Verde",
ISNUMBER(SEARCH("Czechia",S1864)),"Czech Republic",
ISNUMBER(SEARCH("Türkiye",S1864)),"Turkey",
ISNUMBER(SEARCH("Ivory Coast",S1864)),"Côte d'Ivoire",
ISNUMBER(SEARCH("Korea Republic",S1864)),"South Korea",
ISNUMBER(SEARCH("Germany FR",S1864)),"FR Germany",
ISNUMBER(SEARCH("West Germany",S1864)),"FR Germany",
ISNUMBER(SEARCH("Germany DR",S1864)),"DR Germany",
ISNUMBER(SEARCH("Korea DPR",S1864)),"North Korea",
ISNUMBER(SEARCH("China PR",S1864)),"China",
ISNUMBER(SEARCH("IR Iran",S1864)),"Iran",
ISNUMBER(SEARCH("Congo DR",S1864)),"Democratic Republic of the Congo",
ISNUMBER(SEARCH("DR Congo",S1864)),"Democratic Republic of the Congo",
ISNUMBER(SEARCH("German DR",S1864)),"DR Germany",
ISNUMBER(SEARCH("rn""&gt;United Arab Emirates",S1864)),"United Arab Emirates",
ISNUMBER(SEARCH("rn""&gt;Republic of Ireland",S1864)),"Ireland",
ISNUMBER(SEARCH("rn""&gt;Bosnia and Herzegovina",S1864)),"Bosnia and Herzegovina",
ISNUMBER(SEARCH("rn""&gt;Trinidad and Tobago",S1864)),"Trinidad and Tobago",
ISNUMBER(SEARCH("rn""&gt;Serbia and Montenegro",S1864)),"Serbia and Montenegro",
ISNUMBER(SEARCH(_xlfn.UNICHAR(65533),S1864)),"Côte d'Ivoire",
TRUE,""
)</f>
        <v>Cabo Verde</v>
      </c>
      <c r="W1864" s="12" t="str">
        <f t="shared" si="145"/>
        <v>Cabo Verde</v>
      </c>
    </row>
    <row r="1865" spans="2:23">
      <c r="B1865" s="76" t="str">
        <v>1966.0</v>
      </c>
      <c r="C1865" s="42" t="str">
        <v xml:space="preserve">15 Jul 1966 - 19:30 </v>
      </c>
      <c r="D1865" s="42" t="str">
        <v>Group 1</v>
      </c>
      <c r="E1865" s="42" t="str">
        <v>White City</v>
      </c>
      <c r="F1865" s="42" t="str">
        <v xml:space="preserve">London </v>
      </c>
      <c r="G1865" s="42" t="str">
        <v>Uruguay</v>
      </c>
      <c r="H1865" s="42" t="str">
        <v>2.0</v>
      </c>
      <c r="I1865" s="42" t="str">
        <v>1.0</v>
      </c>
      <c r="J1865" s="42" t="str">
        <v>France</v>
      </c>
      <c r="K1865" s="42" t="str">
        <v xml:space="preserve"> </v>
      </c>
      <c r="L1865" s="42" t="str">
        <f t="shared" si="142"/>
        <v xml:space="preserve">1966.0|15 Jul 1966 - 19:30 |Group 1|White City|London |Uruguay|2.0|1.0|France| </v>
      </c>
      <c r="M1865" s="42" t="str">
        <f>IF(COUNTIF($L$1689:L1865,L1865)&gt;1,"DOUBLON","OK")</f>
        <v>OK</v>
      </c>
      <c r="S1865" s="12" t="str">
        <v>Cape Verde</v>
      </c>
      <c r="T1865" s="12" t="str">
        <f t="shared" si="143"/>
        <v>ERREUR</v>
      </c>
      <c r="U1865" s="12" t="str">
        <f t="shared" si="144"/>
        <v>RENOMMER</v>
      </c>
      <c r="V1865" s="12" t="str" cm="1">
        <f t="array" ref="V1865">_xlfn.IFS(
ISNUMBER(SEARCH("USA",S1865)),"United States",
ISNUMBER(SEARCH("Republic of Ireland",S1865)),"Ireland",
ISNUMBER(SEARCH("Republic of Korea",S1865)),"South Korea",
ISNUMBER(SEARCH("Cape Verde",S1865)),"Cabo Verde",
ISNUMBER(SEARCH("Czechia",S1865)),"Czech Republic",
ISNUMBER(SEARCH("Türkiye",S1865)),"Turkey",
ISNUMBER(SEARCH("Ivory Coast",S1865)),"Côte d'Ivoire",
ISNUMBER(SEARCH("Korea Republic",S1865)),"South Korea",
ISNUMBER(SEARCH("Germany FR",S1865)),"FR Germany",
ISNUMBER(SEARCH("West Germany",S1865)),"FR Germany",
ISNUMBER(SEARCH("Germany DR",S1865)),"DR Germany",
ISNUMBER(SEARCH("Korea DPR",S1865)),"North Korea",
ISNUMBER(SEARCH("China PR",S1865)),"China",
ISNUMBER(SEARCH("IR Iran",S1865)),"Iran",
ISNUMBER(SEARCH("Congo DR",S1865)),"Democratic Republic of the Congo",
ISNUMBER(SEARCH("DR Congo",S1865)),"Democratic Republic of the Congo",
ISNUMBER(SEARCH("German DR",S1865)),"DR Germany",
ISNUMBER(SEARCH("rn""&gt;United Arab Emirates",S1865)),"United Arab Emirates",
ISNUMBER(SEARCH("rn""&gt;Republic of Ireland",S1865)),"Ireland",
ISNUMBER(SEARCH("rn""&gt;Bosnia and Herzegovina",S1865)),"Bosnia and Herzegovina",
ISNUMBER(SEARCH("rn""&gt;Trinidad and Tobago",S1865)),"Trinidad and Tobago",
ISNUMBER(SEARCH("rn""&gt;Serbia and Montenegro",S1865)),"Serbia and Montenegro",
ISNUMBER(SEARCH(_xlfn.UNICHAR(65533),S1865)),"Côte d'Ivoire",
TRUE,""
)</f>
        <v>Cabo Verde</v>
      </c>
      <c r="W1865" s="12" t="str">
        <f t="shared" si="145"/>
        <v>Cabo Verde</v>
      </c>
    </row>
    <row r="1866" spans="2:23">
      <c r="B1866" s="76" t="str">
        <v>1966.0</v>
      </c>
      <c r="C1866" s="42" t="str">
        <v xml:space="preserve">15 Jul 1966 - 19:30 </v>
      </c>
      <c r="D1866" s="42" t="str">
        <v>Group 2</v>
      </c>
      <c r="E1866" s="42" t="str">
        <v>Hillsborough</v>
      </c>
      <c r="F1866" s="42" t="str">
        <v xml:space="preserve">Sheffield </v>
      </c>
      <c r="G1866" s="42" t="str">
        <v>Spain</v>
      </c>
      <c r="H1866" s="42" t="str">
        <v>2.0</v>
      </c>
      <c r="I1866" s="42" t="str">
        <v>1.0</v>
      </c>
      <c r="J1866" s="42" t="str">
        <v>Switzerland</v>
      </c>
      <c r="K1866" s="42" t="str">
        <v xml:space="preserve"> </v>
      </c>
      <c r="L1866" s="42" t="str">
        <f t="shared" si="142"/>
        <v xml:space="preserve">1966.0|15 Jul 1966 - 19:30 |Group 2|Hillsborough|Sheffield |Spain|2.0|1.0|Switzerland| </v>
      </c>
      <c r="M1866" s="42" t="str">
        <f>IF(COUNTIF($L$1689:L1866,L1866)&gt;1,"DOUBLON","OK")</f>
        <v>OK</v>
      </c>
      <c r="S1866" s="12" t="str">
        <v>Cape Verde</v>
      </c>
      <c r="T1866" s="12" t="str">
        <f t="shared" si="143"/>
        <v>ERREUR</v>
      </c>
      <c r="U1866" s="12" t="str">
        <f t="shared" si="144"/>
        <v>RENOMMER</v>
      </c>
      <c r="V1866" s="12" t="str" cm="1">
        <f t="array" ref="V1866">_xlfn.IFS(
ISNUMBER(SEARCH("USA",S1866)),"United States",
ISNUMBER(SEARCH("Republic of Ireland",S1866)),"Ireland",
ISNUMBER(SEARCH("Republic of Korea",S1866)),"South Korea",
ISNUMBER(SEARCH("Cape Verde",S1866)),"Cabo Verde",
ISNUMBER(SEARCH("Czechia",S1866)),"Czech Republic",
ISNUMBER(SEARCH("Türkiye",S1866)),"Turkey",
ISNUMBER(SEARCH("Ivory Coast",S1866)),"Côte d'Ivoire",
ISNUMBER(SEARCH("Korea Republic",S1866)),"South Korea",
ISNUMBER(SEARCH("Germany FR",S1866)),"FR Germany",
ISNUMBER(SEARCH("West Germany",S1866)),"FR Germany",
ISNUMBER(SEARCH("Germany DR",S1866)),"DR Germany",
ISNUMBER(SEARCH("Korea DPR",S1866)),"North Korea",
ISNUMBER(SEARCH("China PR",S1866)),"China",
ISNUMBER(SEARCH("IR Iran",S1866)),"Iran",
ISNUMBER(SEARCH("Congo DR",S1866)),"Democratic Republic of the Congo",
ISNUMBER(SEARCH("DR Congo",S1866)),"Democratic Republic of the Congo",
ISNUMBER(SEARCH("German DR",S1866)),"DR Germany",
ISNUMBER(SEARCH("rn""&gt;United Arab Emirates",S1866)),"United Arab Emirates",
ISNUMBER(SEARCH("rn""&gt;Republic of Ireland",S1866)),"Ireland",
ISNUMBER(SEARCH("rn""&gt;Bosnia and Herzegovina",S1866)),"Bosnia and Herzegovina",
ISNUMBER(SEARCH("rn""&gt;Trinidad and Tobago",S1866)),"Trinidad and Tobago",
ISNUMBER(SEARCH("rn""&gt;Serbia and Montenegro",S1866)),"Serbia and Montenegro",
ISNUMBER(SEARCH(_xlfn.UNICHAR(65533),S1866)),"Côte d'Ivoire",
TRUE,""
)</f>
        <v>Cabo Verde</v>
      </c>
      <c r="W1866" s="12" t="str">
        <f t="shared" si="145"/>
        <v>Cabo Verde</v>
      </c>
    </row>
    <row r="1867" spans="2:23">
      <c r="B1867" s="76" t="str">
        <v>1966.0</v>
      </c>
      <c r="C1867" s="42" t="str">
        <v xml:space="preserve">15 Jul 1966 - 19:30 </v>
      </c>
      <c r="D1867" s="42" t="str">
        <v>Group 3</v>
      </c>
      <c r="E1867" s="42" t="str">
        <v>Goodison Park</v>
      </c>
      <c r="F1867" s="42" t="str">
        <v xml:space="preserve">Liverpool </v>
      </c>
      <c r="G1867" s="42" t="str">
        <v>Hungary</v>
      </c>
      <c r="H1867" s="42" t="str">
        <v>3.0</v>
      </c>
      <c r="I1867" s="42" t="str">
        <v>1.0</v>
      </c>
      <c r="J1867" s="42" t="str">
        <v>Brazil</v>
      </c>
      <c r="K1867" s="42" t="str">
        <v xml:space="preserve"> </v>
      </c>
      <c r="L1867" s="42" t="str">
        <f t="shared" si="142"/>
        <v xml:space="preserve">1966.0|15 Jul 1966 - 19:30 |Group 3|Goodison Park|Liverpool |Hungary|3.0|1.0|Brazil| </v>
      </c>
      <c r="M1867" s="42" t="str">
        <f>IF(COUNTIF($L$1689:L1867,L1867)&gt;1,"DOUBLON","OK")</f>
        <v>OK</v>
      </c>
      <c r="S1867" s="12" t="str">
        <v>Cape Verde</v>
      </c>
      <c r="T1867" s="12" t="str">
        <f t="shared" si="143"/>
        <v>ERREUR</v>
      </c>
      <c r="U1867" s="12" t="str">
        <f t="shared" si="144"/>
        <v>RENOMMER</v>
      </c>
      <c r="V1867" s="12" t="str" cm="1">
        <f t="array" ref="V1867">_xlfn.IFS(
ISNUMBER(SEARCH("USA",S1867)),"United States",
ISNUMBER(SEARCH("Republic of Ireland",S1867)),"Ireland",
ISNUMBER(SEARCH("Republic of Korea",S1867)),"South Korea",
ISNUMBER(SEARCH("Cape Verde",S1867)),"Cabo Verde",
ISNUMBER(SEARCH("Czechia",S1867)),"Czech Republic",
ISNUMBER(SEARCH("Türkiye",S1867)),"Turkey",
ISNUMBER(SEARCH("Ivory Coast",S1867)),"Côte d'Ivoire",
ISNUMBER(SEARCH("Korea Republic",S1867)),"South Korea",
ISNUMBER(SEARCH("Germany FR",S1867)),"FR Germany",
ISNUMBER(SEARCH("West Germany",S1867)),"FR Germany",
ISNUMBER(SEARCH("Germany DR",S1867)),"DR Germany",
ISNUMBER(SEARCH("Korea DPR",S1867)),"North Korea",
ISNUMBER(SEARCH("China PR",S1867)),"China",
ISNUMBER(SEARCH("IR Iran",S1867)),"Iran",
ISNUMBER(SEARCH("Congo DR",S1867)),"Democratic Republic of the Congo",
ISNUMBER(SEARCH("DR Congo",S1867)),"Democratic Republic of the Congo",
ISNUMBER(SEARCH("German DR",S1867)),"DR Germany",
ISNUMBER(SEARCH("rn""&gt;United Arab Emirates",S1867)),"United Arab Emirates",
ISNUMBER(SEARCH("rn""&gt;Republic of Ireland",S1867)),"Ireland",
ISNUMBER(SEARCH("rn""&gt;Bosnia and Herzegovina",S1867)),"Bosnia and Herzegovina",
ISNUMBER(SEARCH("rn""&gt;Trinidad and Tobago",S1867)),"Trinidad and Tobago",
ISNUMBER(SEARCH("rn""&gt;Serbia and Montenegro",S1867)),"Serbia and Montenegro",
ISNUMBER(SEARCH(_xlfn.UNICHAR(65533),S1867)),"Côte d'Ivoire",
TRUE,""
)</f>
        <v>Cabo Verde</v>
      </c>
      <c r="W1867" s="12" t="str">
        <f t="shared" si="145"/>
        <v>Cabo Verde</v>
      </c>
    </row>
    <row r="1868" spans="2:23">
      <c r="B1868" s="76" t="str">
        <v>1966.0</v>
      </c>
      <c r="C1868" s="42" t="str">
        <v xml:space="preserve">15 Jul 1966 - 19:30 </v>
      </c>
      <c r="D1868" s="42" t="str">
        <v>Group 4</v>
      </c>
      <c r="E1868" s="42" t="str">
        <v>Ayresome Park</v>
      </c>
      <c r="F1868" s="42" t="str">
        <v xml:space="preserve">Middlesbrough </v>
      </c>
      <c r="G1868" s="42" t="str">
        <v>Korea DPR</v>
      </c>
      <c r="H1868" s="42" t="str">
        <v>1.0</v>
      </c>
      <c r="I1868" s="42" t="str">
        <v>1.0</v>
      </c>
      <c r="J1868" s="42" t="str">
        <v>Chile</v>
      </c>
      <c r="K1868" s="42" t="str">
        <v xml:space="preserve"> </v>
      </c>
      <c r="L1868" s="42" t="str">
        <f t="shared" si="142"/>
        <v xml:space="preserve">1966.0|15 Jul 1966 - 19:30 |Group 4|Ayresome Park|Middlesbrough |Korea DPR|1.0|1.0|Chile| </v>
      </c>
      <c r="M1868" s="42" t="str">
        <f>IF(COUNTIF($L$1689:L1868,L1868)&gt;1,"DOUBLON","OK")</f>
        <v>OK</v>
      </c>
      <c r="S1868" s="12" t="str">
        <v>Cape Verde</v>
      </c>
      <c r="T1868" s="12" t="str">
        <f t="shared" si="143"/>
        <v>ERREUR</v>
      </c>
      <c r="U1868" s="12" t="str">
        <f t="shared" si="144"/>
        <v>RENOMMER</v>
      </c>
      <c r="V1868" s="12" t="str" cm="1">
        <f t="array" ref="V1868">_xlfn.IFS(
ISNUMBER(SEARCH("USA",S1868)),"United States",
ISNUMBER(SEARCH("Republic of Ireland",S1868)),"Ireland",
ISNUMBER(SEARCH("Republic of Korea",S1868)),"South Korea",
ISNUMBER(SEARCH("Cape Verde",S1868)),"Cabo Verde",
ISNUMBER(SEARCH("Czechia",S1868)),"Czech Republic",
ISNUMBER(SEARCH("Türkiye",S1868)),"Turkey",
ISNUMBER(SEARCH("Ivory Coast",S1868)),"Côte d'Ivoire",
ISNUMBER(SEARCH("Korea Republic",S1868)),"South Korea",
ISNUMBER(SEARCH("Germany FR",S1868)),"FR Germany",
ISNUMBER(SEARCH("West Germany",S1868)),"FR Germany",
ISNUMBER(SEARCH("Germany DR",S1868)),"DR Germany",
ISNUMBER(SEARCH("Korea DPR",S1868)),"North Korea",
ISNUMBER(SEARCH("China PR",S1868)),"China",
ISNUMBER(SEARCH("IR Iran",S1868)),"Iran",
ISNUMBER(SEARCH("Congo DR",S1868)),"Democratic Republic of the Congo",
ISNUMBER(SEARCH("DR Congo",S1868)),"Democratic Republic of the Congo",
ISNUMBER(SEARCH("German DR",S1868)),"DR Germany",
ISNUMBER(SEARCH("rn""&gt;United Arab Emirates",S1868)),"United Arab Emirates",
ISNUMBER(SEARCH("rn""&gt;Republic of Ireland",S1868)),"Ireland",
ISNUMBER(SEARCH("rn""&gt;Bosnia and Herzegovina",S1868)),"Bosnia and Herzegovina",
ISNUMBER(SEARCH("rn""&gt;Trinidad and Tobago",S1868)),"Trinidad and Tobago",
ISNUMBER(SEARCH("rn""&gt;Serbia and Montenegro",S1868)),"Serbia and Montenegro",
ISNUMBER(SEARCH(_xlfn.UNICHAR(65533),S1868)),"Côte d'Ivoire",
TRUE,""
)</f>
        <v>Cabo Verde</v>
      </c>
      <c r="W1868" s="12" t="str">
        <f t="shared" si="145"/>
        <v>Cabo Verde</v>
      </c>
    </row>
    <row r="1869" spans="2:23">
      <c r="B1869" s="76" t="str">
        <v>1966.0</v>
      </c>
      <c r="C1869" s="42" t="str">
        <v xml:space="preserve">16 Jul 1966 - 15:00 </v>
      </c>
      <c r="D1869" s="42" t="str">
        <v>Group 3</v>
      </c>
      <c r="E1869" s="42" t="str">
        <v>Old Trafford Stadium</v>
      </c>
      <c r="F1869" s="42" t="str">
        <v xml:space="preserve">Manchester </v>
      </c>
      <c r="G1869" s="42" t="str">
        <v>Portugal</v>
      </c>
      <c r="H1869" s="42" t="str">
        <v>3.0</v>
      </c>
      <c r="I1869" s="42" t="str">
        <v>0.0</v>
      </c>
      <c r="J1869" s="42" t="str">
        <v>Bulgaria</v>
      </c>
      <c r="K1869" s="42" t="str">
        <v xml:space="preserve"> </v>
      </c>
      <c r="L1869" s="42" t="str">
        <f t="shared" si="142"/>
        <v xml:space="preserve">1966.0|16 Jul 1966 - 15:00 |Group 3|Old Trafford Stadium|Manchester |Portugal|3.0|0.0|Bulgaria| </v>
      </c>
      <c r="M1869" s="42" t="str">
        <f>IF(COUNTIF($L$1689:L1869,L1869)&gt;1,"DOUBLON","OK")</f>
        <v>OK</v>
      </c>
      <c r="S1869" s="12" t="str">
        <v>Cape Verde</v>
      </c>
      <c r="T1869" s="12" t="str">
        <f t="shared" si="143"/>
        <v>ERREUR</v>
      </c>
      <c r="U1869" s="12" t="str">
        <f t="shared" si="144"/>
        <v>RENOMMER</v>
      </c>
      <c r="V1869" s="12" t="str" cm="1">
        <f t="array" ref="V1869">_xlfn.IFS(
ISNUMBER(SEARCH("USA",S1869)),"United States",
ISNUMBER(SEARCH("Republic of Ireland",S1869)),"Ireland",
ISNUMBER(SEARCH("Republic of Korea",S1869)),"South Korea",
ISNUMBER(SEARCH("Cape Verde",S1869)),"Cabo Verde",
ISNUMBER(SEARCH("Czechia",S1869)),"Czech Republic",
ISNUMBER(SEARCH("Türkiye",S1869)),"Turkey",
ISNUMBER(SEARCH("Ivory Coast",S1869)),"Côte d'Ivoire",
ISNUMBER(SEARCH("Korea Republic",S1869)),"South Korea",
ISNUMBER(SEARCH("Germany FR",S1869)),"FR Germany",
ISNUMBER(SEARCH("West Germany",S1869)),"FR Germany",
ISNUMBER(SEARCH("Germany DR",S1869)),"DR Germany",
ISNUMBER(SEARCH("Korea DPR",S1869)),"North Korea",
ISNUMBER(SEARCH("China PR",S1869)),"China",
ISNUMBER(SEARCH("IR Iran",S1869)),"Iran",
ISNUMBER(SEARCH("Congo DR",S1869)),"Democratic Republic of the Congo",
ISNUMBER(SEARCH("DR Congo",S1869)),"Democratic Republic of the Congo",
ISNUMBER(SEARCH("German DR",S1869)),"DR Germany",
ISNUMBER(SEARCH("rn""&gt;United Arab Emirates",S1869)),"United Arab Emirates",
ISNUMBER(SEARCH("rn""&gt;Republic of Ireland",S1869)),"Ireland",
ISNUMBER(SEARCH("rn""&gt;Bosnia and Herzegovina",S1869)),"Bosnia and Herzegovina",
ISNUMBER(SEARCH("rn""&gt;Trinidad and Tobago",S1869)),"Trinidad and Tobago",
ISNUMBER(SEARCH("rn""&gt;Serbia and Montenegro",S1869)),"Serbia and Montenegro",
ISNUMBER(SEARCH(_xlfn.UNICHAR(65533),S1869)),"Côte d'Ivoire",
TRUE,""
)</f>
        <v>Cabo Verde</v>
      </c>
      <c r="W1869" s="12" t="str">
        <f t="shared" si="145"/>
        <v>Cabo Verde</v>
      </c>
    </row>
    <row r="1870" spans="2:23">
      <c r="B1870" s="76" t="str">
        <v>1966.0</v>
      </c>
      <c r="C1870" s="42" t="str">
        <v xml:space="preserve">16 Jul 1966 - 15:00 </v>
      </c>
      <c r="D1870" s="42" t="str">
        <v>Group 2</v>
      </c>
      <c r="E1870" s="42" t="str">
        <v>Villa Park</v>
      </c>
      <c r="F1870" s="42" t="str">
        <v xml:space="preserve">Birmingham </v>
      </c>
      <c r="G1870" s="42" t="str">
        <v>Germany FR</v>
      </c>
      <c r="H1870" s="42" t="str">
        <v>0.0</v>
      </c>
      <c r="I1870" s="42" t="str">
        <v>0.0</v>
      </c>
      <c r="J1870" s="42" t="str">
        <v>Argentina</v>
      </c>
      <c r="K1870" s="42" t="str">
        <v xml:space="preserve"> </v>
      </c>
      <c r="L1870" s="42" t="str">
        <f t="shared" si="142"/>
        <v xml:space="preserve">1966.0|16 Jul 1966 - 15:00 |Group 2|Villa Park|Birmingham |Germany FR|0.0|0.0|Argentina| </v>
      </c>
      <c r="M1870" s="42" t="str">
        <f>IF(COUNTIF($L$1689:L1870,L1870)&gt;1,"DOUBLON","OK")</f>
        <v>OK</v>
      </c>
      <c r="S1870" s="12" t="str">
        <v>Cape Verde</v>
      </c>
      <c r="T1870" s="12" t="str">
        <f t="shared" si="143"/>
        <v>ERREUR</v>
      </c>
      <c r="U1870" s="12" t="str">
        <f t="shared" si="144"/>
        <v>RENOMMER</v>
      </c>
      <c r="V1870" s="12" t="str" cm="1">
        <f t="array" ref="V1870">_xlfn.IFS(
ISNUMBER(SEARCH("USA",S1870)),"United States",
ISNUMBER(SEARCH("Republic of Ireland",S1870)),"Ireland",
ISNUMBER(SEARCH("Republic of Korea",S1870)),"South Korea",
ISNUMBER(SEARCH("Cape Verde",S1870)),"Cabo Verde",
ISNUMBER(SEARCH("Czechia",S1870)),"Czech Republic",
ISNUMBER(SEARCH("Türkiye",S1870)),"Turkey",
ISNUMBER(SEARCH("Ivory Coast",S1870)),"Côte d'Ivoire",
ISNUMBER(SEARCH("Korea Republic",S1870)),"South Korea",
ISNUMBER(SEARCH("Germany FR",S1870)),"FR Germany",
ISNUMBER(SEARCH("West Germany",S1870)),"FR Germany",
ISNUMBER(SEARCH("Germany DR",S1870)),"DR Germany",
ISNUMBER(SEARCH("Korea DPR",S1870)),"North Korea",
ISNUMBER(SEARCH("China PR",S1870)),"China",
ISNUMBER(SEARCH("IR Iran",S1870)),"Iran",
ISNUMBER(SEARCH("Congo DR",S1870)),"Democratic Republic of the Congo",
ISNUMBER(SEARCH("DR Congo",S1870)),"Democratic Republic of the Congo",
ISNUMBER(SEARCH("German DR",S1870)),"DR Germany",
ISNUMBER(SEARCH("rn""&gt;United Arab Emirates",S1870)),"United Arab Emirates",
ISNUMBER(SEARCH("rn""&gt;Republic of Ireland",S1870)),"Ireland",
ISNUMBER(SEARCH("rn""&gt;Bosnia and Herzegovina",S1870)),"Bosnia and Herzegovina",
ISNUMBER(SEARCH("rn""&gt;Trinidad and Tobago",S1870)),"Trinidad and Tobago",
ISNUMBER(SEARCH("rn""&gt;Serbia and Montenegro",S1870)),"Serbia and Montenegro",
ISNUMBER(SEARCH(_xlfn.UNICHAR(65533),S1870)),"Côte d'Ivoire",
TRUE,""
)</f>
        <v>Cabo Verde</v>
      </c>
      <c r="W1870" s="12" t="str">
        <f t="shared" si="145"/>
        <v>Cabo Verde</v>
      </c>
    </row>
    <row r="1871" spans="2:23">
      <c r="B1871" s="76" t="str">
        <v>1966.0</v>
      </c>
      <c r="C1871" s="42" t="str">
        <v xml:space="preserve">16 Jul 1966 - 15:00 </v>
      </c>
      <c r="D1871" s="42" t="str">
        <v>Group 4</v>
      </c>
      <c r="E1871" s="42" t="str">
        <v>Roker Park Ground</v>
      </c>
      <c r="F1871" s="42" t="str">
        <v xml:space="preserve">Sunderland </v>
      </c>
      <c r="G1871" s="42" t="str">
        <v>Soviet Union</v>
      </c>
      <c r="H1871" s="42" t="str">
        <v>1.0</v>
      </c>
      <c r="I1871" s="42" t="str">
        <v>0.0</v>
      </c>
      <c r="J1871" s="42" t="str">
        <v>Italy</v>
      </c>
      <c r="K1871" s="42" t="str">
        <v xml:space="preserve"> </v>
      </c>
      <c r="L1871" s="42" t="str">
        <f t="shared" si="142"/>
        <v xml:space="preserve">1966.0|16 Jul 1966 - 15:00 |Group 4|Roker Park Ground|Sunderland |Soviet Union|1.0|0.0|Italy| </v>
      </c>
      <c r="M1871" s="42" t="str">
        <f>IF(COUNTIF($L$1689:L1871,L1871)&gt;1,"DOUBLON","OK")</f>
        <v>OK</v>
      </c>
      <c r="S1871" s="12" t="str">
        <v>Cape Verde</v>
      </c>
      <c r="T1871" s="12" t="str">
        <f t="shared" si="143"/>
        <v>ERREUR</v>
      </c>
      <c r="U1871" s="12" t="str">
        <f t="shared" si="144"/>
        <v>RENOMMER</v>
      </c>
      <c r="V1871" s="12" t="str" cm="1">
        <f t="array" ref="V1871">_xlfn.IFS(
ISNUMBER(SEARCH("USA",S1871)),"United States",
ISNUMBER(SEARCH("Republic of Ireland",S1871)),"Ireland",
ISNUMBER(SEARCH("Republic of Korea",S1871)),"South Korea",
ISNUMBER(SEARCH("Cape Verde",S1871)),"Cabo Verde",
ISNUMBER(SEARCH("Czechia",S1871)),"Czech Republic",
ISNUMBER(SEARCH("Türkiye",S1871)),"Turkey",
ISNUMBER(SEARCH("Ivory Coast",S1871)),"Côte d'Ivoire",
ISNUMBER(SEARCH("Korea Republic",S1871)),"South Korea",
ISNUMBER(SEARCH("Germany FR",S1871)),"FR Germany",
ISNUMBER(SEARCH("West Germany",S1871)),"FR Germany",
ISNUMBER(SEARCH("Germany DR",S1871)),"DR Germany",
ISNUMBER(SEARCH("Korea DPR",S1871)),"North Korea",
ISNUMBER(SEARCH("China PR",S1871)),"China",
ISNUMBER(SEARCH("IR Iran",S1871)),"Iran",
ISNUMBER(SEARCH("Congo DR",S1871)),"Democratic Republic of the Congo",
ISNUMBER(SEARCH("DR Congo",S1871)),"Democratic Republic of the Congo",
ISNUMBER(SEARCH("German DR",S1871)),"DR Germany",
ISNUMBER(SEARCH("rn""&gt;United Arab Emirates",S1871)),"United Arab Emirates",
ISNUMBER(SEARCH("rn""&gt;Republic of Ireland",S1871)),"Ireland",
ISNUMBER(SEARCH("rn""&gt;Bosnia and Herzegovina",S1871)),"Bosnia and Herzegovina",
ISNUMBER(SEARCH("rn""&gt;Trinidad and Tobago",S1871)),"Trinidad and Tobago",
ISNUMBER(SEARCH("rn""&gt;Serbia and Montenegro",S1871)),"Serbia and Montenegro",
ISNUMBER(SEARCH(_xlfn.UNICHAR(65533),S1871)),"Côte d'Ivoire",
TRUE,""
)</f>
        <v>Cabo Verde</v>
      </c>
      <c r="W1871" s="12" t="str">
        <f t="shared" si="145"/>
        <v>Cabo Verde</v>
      </c>
    </row>
    <row r="1872" spans="2:23">
      <c r="B1872" s="76" t="str">
        <v>1966.0</v>
      </c>
      <c r="C1872" s="42" t="str">
        <v xml:space="preserve">16 Jul 1966 - 19:30 </v>
      </c>
      <c r="D1872" s="42" t="str">
        <v>Group 1</v>
      </c>
      <c r="E1872" s="42" t="str">
        <v>Wembley Stadium</v>
      </c>
      <c r="F1872" s="42" t="str">
        <v xml:space="preserve">London </v>
      </c>
      <c r="G1872" s="42" t="str">
        <v>England</v>
      </c>
      <c r="H1872" s="42" t="str">
        <v>2.0</v>
      </c>
      <c r="I1872" s="42" t="str">
        <v>0.0</v>
      </c>
      <c r="J1872" s="42" t="str">
        <v>Mexico</v>
      </c>
      <c r="K1872" s="42" t="str">
        <v xml:space="preserve"> </v>
      </c>
      <c r="L1872" s="42" t="str">
        <f t="shared" si="142"/>
        <v xml:space="preserve">1966.0|16 Jul 1966 - 19:30 |Group 1|Wembley Stadium|London |England|2.0|0.0|Mexico| </v>
      </c>
      <c r="M1872" s="42" t="str">
        <f>IF(COUNTIF($L$1689:L1872,L1872)&gt;1,"DOUBLON","OK")</f>
        <v>OK</v>
      </c>
      <c r="S1872" s="12" t="str">
        <v>Cape Verde</v>
      </c>
      <c r="T1872" s="12" t="str">
        <f t="shared" si="143"/>
        <v>ERREUR</v>
      </c>
      <c r="U1872" s="12" t="str">
        <f t="shared" si="144"/>
        <v>RENOMMER</v>
      </c>
      <c r="V1872" s="12" t="str" cm="1">
        <f t="array" ref="V1872">_xlfn.IFS(
ISNUMBER(SEARCH("USA",S1872)),"United States",
ISNUMBER(SEARCH("Republic of Ireland",S1872)),"Ireland",
ISNUMBER(SEARCH("Republic of Korea",S1872)),"South Korea",
ISNUMBER(SEARCH("Cape Verde",S1872)),"Cabo Verde",
ISNUMBER(SEARCH("Czechia",S1872)),"Czech Republic",
ISNUMBER(SEARCH("Türkiye",S1872)),"Turkey",
ISNUMBER(SEARCH("Ivory Coast",S1872)),"Côte d'Ivoire",
ISNUMBER(SEARCH("Korea Republic",S1872)),"South Korea",
ISNUMBER(SEARCH("Germany FR",S1872)),"FR Germany",
ISNUMBER(SEARCH("West Germany",S1872)),"FR Germany",
ISNUMBER(SEARCH("Germany DR",S1872)),"DR Germany",
ISNUMBER(SEARCH("Korea DPR",S1872)),"North Korea",
ISNUMBER(SEARCH("China PR",S1872)),"China",
ISNUMBER(SEARCH("IR Iran",S1872)),"Iran",
ISNUMBER(SEARCH("Congo DR",S1872)),"Democratic Republic of the Congo",
ISNUMBER(SEARCH("DR Congo",S1872)),"Democratic Republic of the Congo",
ISNUMBER(SEARCH("German DR",S1872)),"DR Germany",
ISNUMBER(SEARCH("rn""&gt;United Arab Emirates",S1872)),"United Arab Emirates",
ISNUMBER(SEARCH("rn""&gt;Republic of Ireland",S1872)),"Ireland",
ISNUMBER(SEARCH("rn""&gt;Bosnia and Herzegovina",S1872)),"Bosnia and Herzegovina",
ISNUMBER(SEARCH("rn""&gt;Trinidad and Tobago",S1872)),"Trinidad and Tobago",
ISNUMBER(SEARCH("rn""&gt;Serbia and Montenegro",S1872)),"Serbia and Montenegro",
ISNUMBER(SEARCH(_xlfn.UNICHAR(65533),S1872)),"Côte d'Ivoire",
TRUE,""
)</f>
        <v>Cabo Verde</v>
      </c>
      <c r="W1872" s="12" t="str">
        <f t="shared" si="145"/>
        <v>Cabo Verde</v>
      </c>
    </row>
    <row r="1873" spans="2:23">
      <c r="B1873" s="76" t="str">
        <v>1966.0</v>
      </c>
      <c r="C1873" s="42" t="str">
        <v xml:space="preserve">19 Jul 1966 - 16:30 </v>
      </c>
      <c r="D1873" s="42" t="str">
        <v>Group 1</v>
      </c>
      <c r="E1873" s="42" t="str">
        <v>Wembley Stadium</v>
      </c>
      <c r="F1873" s="42" t="str">
        <v xml:space="preserve">London </v>
      </c>
      <c r="G1873" s="42" t="str">
        <v>Uruguay</v>
      </c>
      <c r="H1873" s="42" t="str">
        <v>0.0</v>
      </c>
      <c r="I1873" s="42" t="str">
        <v>0.0</v>
      </c>
      <c r="J1873" s="42" t="str">
        <v>Mexico</v>
      </c>
      <c r="K1873" s="42" t="str">
        <v xml:space="preserve"> </v>
      </c>
      <c r="L1873" s="42" t="str">
        <f t="shared" si="142"/>
        <v xml:space="preserve">1966.0|19 Jul 1966 - 16:30 |Group 1|Wembley Stadium|London |Uruguay|0.0|0.0|Mexico| </v>
      </c>
      <c r="M1873" s="42" t="str">
        <f>IF(COUNTIF($L$1689:L1873,L1873)&gt;1,"DOUBLON","OK")</f>
        <v>OK</v>
      </c>
      <c r="S1873" s="12" t="str">
        <v>Cape Verde</v>
      </c>
      <c r="T1873" s="12" t="str">
        <f t="shared" si="143"/>
        <v>ERREUR</v>
      </c>
      <c r="U1873" s="12" t="str">
        <f t="shared" si="144"/>
        <v>RENOMMER</v>
      </c>
      <c r="V1873" s="12" t="str" cm="1">
        <f t="array" ref="V1873">_xlfn.IFS(
ISNUMBER(SEARCH("USA",S1873)),"United States",
ISNUMBER(SEARCH("Republic of Ireland",S1873)),"Ireland",
ISNUMBER(SEARCH("Republic of Korea",S1873)),"South Korea",
ISNUMBER(SEARCH("Cape Verde",S1873)),"Cabo Verde",
ISNUMBER(SEARCH("Czechia",S1873)),"Czech Republic",
ISNUMBER(SEARCH("Türkiye",S1873)),"Turkey",
ISNUMBER(SEARCH("Ivory Coast",S1873)),"Côte d'Ivoire",
ISNUMBER(SEARCH("Korea Republic",S1873)),"South Korea",
ISNUMBER(SEARCH("Germany FR",S1873)),"FR Germany",
ISNUMBER(SEARCH("West Germany",S1873)),"FR Germany",
ISNUMBER(SEARCH("Germany DR",S1873)),"DR Germany",
ISNUMBER(SEARCH("Korea DPR",S1873)),"North Korea",
ISNUMBER(SEARCH("China PR",S1873)),"China",
ISNUMBER(SEARCH("IR Iran",S1873)),"Iran",
ISNUMBER(SEARCH("Congo DR",S1873)),"Democratic Republic of the Congo",
ISNUMBER(SEARCH("DR Congo",S1873)),"Democratic Republic of the Congo",
ISNUMBER(SEARCH("German DR",S1873)),"DR Germany",
ISNUMBER(SEARCH("rn""&gt;United Arab Emirates",S1873)),"United Arab Emirates",
ISNUMBER(SEARCH("rn""&gt;Republic of Ireland",S1873)),"Ireland",
ISNUMBER(SEARCH("rn""&gt;Bosnia and Herzegovina",S1873)),"Bosnia and Herzegovina",
ISNUMBER(SEARCH("rn""&gt;Trinidad and Tobago",S1873)),"Trinidad and Tobago",
ISNUMBER(SEARCH("rn""&gt;Serbia and Montenegro",S1873)),"Serbia and Montenegro",
ISNUMBER(SEARCH(_xlfn.UNICHAR(65533),S1873)),"Côte d'Ivoire",
TRUE,""
)</f>
        <v>Cabo Verde</v>
      </c>
      <c r="W1873" s="12" t="str">
        <f t="shared" si="145"/>
        <v>Cabo Verde</v>
      </c>
    </row>
    <row r="1874" spans="2:23">
      <c r="B1874" s="76" t="str">
        <v>1966.0</v>
      </c>
      <c r="C1874" s="42" t="str">
        <v xml:space="preserve">19 Jul 1966 - 19:30 </v>
      </c>
      <c r="D1874" s="42" t="str">
        <v>Group 2</v>
      </c>
      <c r="E1874" s="42" t="str">
        <v>Hillsborough</v>
      </c>
      <c r="F1874" s="42" t="str">
        <v xml:space="preserve">Sheffield </v>
      </c>
      <c r="G1874" s="42" t="str">
        <v>Argentina</v>
      </c>
      <c r="H1874" s="42" t="str">
        <v>2.0</v>
      </c>
      <c r="I1874" s="42" t="str">
        <v>0.0</v>
      </c>
      <c r="J1874" s="42" t="str">
        <v>Switzerland</v>
      </c>
      <c r="K1874" s="42" t="str">
        <v xml:space="preserve"> </v>
      </c>
      <c r="L1874" s="42" t="str">
        <f t="shared" si="142"/>
        <v xml:space="preserve">1966.0|19 Jul 1966 - 19:30 |Group 2|Hillsborough|Sheffield |Argentina|2.0|0.0|Switzerland| </v>
      </c>
      <c r="M1874" s="42" t="str">
        <f>IF(COUNTIF($L$1689:L1874,L1874)&gt;1,"DOUBLON","OK")</f>
        <v>OK</v>
      </c>
      <c r="S1874" s="12" t="str">
        <v>Cape Verde</v>
      </c>
      <c r="T1874" s="12" t="str">
        <f t="shared" si="143"/>
        <v>ERREUR</v>
      </c>
      <c r="U1874" s="12" t="str">
        <f t="shared" si="144"/>
        <v>RENOMMER</v>
      </c>
      <c r="V1874" s="12" t="str" cm="1">
        <f t="array" ref="V1874">_xlfn.IFS(
ISNUMBER(SEARCH("USA",S1874)),"United States",
ISNUMBER(SEARCH("Republic of Ireland",S1874)),"Ireland",
ISNUMBER(SEARCH("Republic of Korea",S1874)),"South Korea",
ISNUMBER(SEARCH("Cape Verde",S1874)),"Cabo Verde",
ISNUMBER(SEARCH("Czechia",S1874)),"Czech Republic",
ISNUMBER(SEARCH("Türkiye",S1874)),"Turkey",
ISNUMBER(SEARCH("Ivory Coast",S1874)),"Côte d'Ivoire",
ISNUMBER(SEARCH("Korea Republic",S1874)),"South Korea",
ISNUMBER(SEARCH("Germany FR",S1874)),"FR Germany",
ISNUMBER(SEARCH("West Germany",S1874)),"FR Germany",
ISNUMBER(SEARCH("Germany DR",S1874)),"DR Germany",
ISNUMBER(SEARCH("Korea DPR",S1874)),"North Korea",
ISNUMBER(SEARCH("China PR",S1874)),"China",
ISNUMBER(SEARCH("IR Iran",S1874)),"Iran",
ISNUMBER(SEARCH("Congo DR",S1874)),"Democratic Republic of the Congo",
ISNUMBER(SEARCH("DR Congo",S1874)),"Democratic Republic of the Congo",
ISNUMBER(SEARCH("German DR",S1874)),"DR Germany",
ISNUMBER(SEARCH("rn""&gt;United Arab Emirates",S1874)),"United Arab Emirates",
ISNUMBER(SEARCH("rn""&gt;Republic of Ireland",S1874)),"Ireland",
ISNUMBER(SEARCH("rn""&gt;Bosnia and Herzegovina",S1874)),"Bosnia and Herzegovina",
ISNUMBER(SEARCH("rn""&gt;Trinidad and Tobago",S1874)),"Trinidad and Tobago",
ISNUMBER(SEARCH("rn""&gt;Serbia and Montenegro",S1874)),"Serbia and Montenegro",
ISNUMBER(SEARCH(_xlfn.UNICHAR(65533),S1874)),"Côte d'Ivoire",
TRUE,""
)</f>
        <v>Cabo Verde</v>
      </c>
      <c r="W1874" s="12" t="str">
        <f t="shared" si="145"/>
        <v>Cabo Verde</v>
      </c>
    </row>
    <row r="1875" spans="2:23">
      <c r="B1875" s="76" t="str">
        <v>1966.0</v>
      </c>
      <c r="C1875" s="42" t="str">
        <v xml:space="preserve">19 Jul 1966 - 19:30 </v>
      </c>
      <c r="D1875" s="42" t="str">
        <v>Group 3</v>
      </c>
      <c r="E1875" s="42" t="str">
        <v>Goodison Park</v>
      </c>
      <c r="F1875" s="42" t="str">
        <v xml:space="preserve">Liverpool </v>
      </c>
      <c r="G1875" s="42" t="str">
        <v>Portugal</v>
      </c>
      <c r="H1875" s="42" t="str">
        <v>3.0</v>
      </c>
      <c r="I1875" s="42" t="str">
        <v>1.0</v>
      </c>
      <c r="J1875" s="42" t="str">
        <v>Brazil</v>
      </c>
      <c r="K1875" s="42" t="str">
        <v xml:space="preserve"> </v>
      </c>
      <c r="L1875" s="42" t="str">
        <f t="shared" si="142"/>
        <v xml:space="preserve">1966.0|19 Jul 1966 - 19:30 |Group 3|Goodison Park|Liverpool |Portugal|3.0|1.0|Brazil| </v>
      </c>
      <c r="M1875" s="42" t="str">
        <f>IF(COUNTIF($L$1689:L1875,L1875)&gt;1,"DOUBLON","OK")</f>
        <v>OK</v>
      </c>
      <c r="S1875" s="12" t="str">
        <v>Saudi Arabia</v>
      </c>
      <c r="T1875" s="12" t="str">
        <f t="shared" si="143"/>
        <v>OK</v>
      </c>
      <c r="U1875" s="12" t="str">
        <f t="shared" si="144"/>
        <v>-</v>
      </c>
      <c r="V1875" s="12" t="str" cm="1">
        <f t="array" ref="V1875">_xlfn.IFS(
ISNUMBER(SEARCH("USA",S1875)),"United States",
ISNUMBER(SEARCH("Republic of Ireland",S1875)),"Ireland",
ISNUMBER(SEARCH("Republic of Korea",S1875)),"South Korea",
ISNUMBER(SEARCH("Cape Verde",S1875)),"Cabo Verde",
ISNUMBER(SEARCH("Czechia",S1875)),"Czech Republic",
ISNUMBER(SEARCH("Türkiye",S1875)),"Turkey",
ISNUMBER(SEARCH("Ivory Coast",S1875)),"Côte d'Ivoire",
ISNUMBER(SEARCH("Korea Republic",S1875)),"South Korea",
ISNUMBER(SEARCH("Germany FR",S1875)),"FR Germany",
ISNUMBER(SEARCH("West Germany",S1875)),"FR Germany",
ISNUMBER(SEARCH("Germany DR",S1875)),"DR Germany",
ISNUMBER(SEARCH("Korea DPR",S1875)),"North Korea",
ISNUMBER(SEARCH("China PR",S1875)),"China",
ISNUMBER(SEARCH("IR Iran",S1875)),"Iran",
ISNUMBER(SEARCH("Congo DR",S1875)),"Democratic Republic of the Congo",
ISNUMBER(SEARCH("DR Congo",S1875)),"Democratic Republic of the Congo",
ISNUMBER(SEARCH("German DR",S1875)),"DR Germany",
ISNUMBER(SEARCH("rn""&gt;United Arab Emirates",S1875)),"United Arab Emirates",
ISNUMBER(SEARCH("rn""&gt;Republic of Ireland",S1875)),"Ireland",
ISNUMBER(SEARCH("rn""&gt;Bosnia and Herzegovina",S1875)),"Bosnia and Herzegovina",
ISNUMBER(SEARCH("rn""&gt;Trinidad and Tobago",S1875)),"Trinidad and Tobago",
ISNUMBER(SEARCH("rn""&gt;Serbia and Montenegro",S1875)),"Serbia and Montenegro",
ISNUMBER(SEARCH(_xlfn.UNICHAR(65533),S1875)),"Côte d'Ivoire",
TRUE,""
)</f>
        <v/>
      </c>
      <c r="W1875" s="12" t="str">
        <f t="shared" si="145"/>
        <v>Saudi Arabia</v>
      </c>
    </row>
    <row r="1876" spans="2:23">
      <c r="B1876" s="76" t="str">
        <v>1966.0</v>
      </c>
      <c r="C1876" s="42" t="str">
        <v xml:space="preserve">19 Jul 1966 - 19:30 </v>
      </c>
      <c r="D1876" s="42" t="str">
        <v>Group 4</v>
      </c>
      <c r="E1876" s="42" t="str">
        <v>Ayresome Park</v>
      </c>
      <c r="F1876" s="42" t="str">
        <v xml:space="preserve">Middlesbrough </v>
      </c>
      <c r="G1876" s="42" t="str">
        <v>Korea DPR</v>
      </c>
      <c r="H1876" s="42" t="str">
        <v>1.0</v>
      </c>
      <c r="I1876" s="42" t="str">
        <v>0.0</v>
      </c>
      <c r="J1876" s="42" t="str">
        <v>Italy</v>
      </c>
      <c r="K1876" s="42" t="str">
        <v xml:space="preserve"> </v>
      </c>
      <c r="L1876" s="42" t="str">
        <f t="shared" si="142"/>
        <v xml:space="preserve">1966.0|19 Jul 1966 - 19:30 |Group 4|Ayresome Park|Middlesbrough |Korea DPR|1.0|0.0|Italy| </v>
      </c>
      <c r="M1876" s="42" t="str">
        <f>IF(COUNTIF($L$1689:L1876,L1876)&gt;1,"DOUBLON","OK")</f>
        <v>OK</v>
      </c>
      <c r="S1876" s="12" t="str">
        <v>Saudi Arabia</v>
      </c>
      <c r="T1876" s="12" t="str">
        <f t="shared" si="143"/>
        <v>OK</v>
      </c>
      <c r="U1876" s="12" t="str">
        <f t="shared" si="144"/>
        <v>-</v>
      </c>
      <c r="V1876" s="12" t="str" cm="1">
        <f t="array" ref="V1876">_xlfn.IFS(
ISNUMBER(SEARCH("USA",S1876)),"United States",
ISNUMBER(SEARCH("Republic of Ireland",S1876)),"Ireland",
ISNUMBER(SEARCH("Republic of Korea",S1876)),"South Korea",
ISNUMBER(SEARCH("Cape Verde",S1876)),"Cabo Verde",
ISNUMBER(SEARCH("Czechia",S1876)),"Czech Republic",
ISNUMBER(SEARCH("Türkiye",S1876)),"Turkey",
ISNUMBER(SEARCH("Ivory Coast",S1876)),"Côte d'Ivoire",
ISNUMBER(SEARCH("Korea Republic",S1876)),"South Korea",
ISNUMBER(SEARCH("Germany FR",S1876)),"FR Germany",
ISNUMBER(SEARCH("West Germany",S1876)),"FR Germany",
ISNUMBER(SEARCH("Germany DR",S1876)),"DR Germany",
ISNUMBER(SEARCH("Korea DPR",S1876)),"North Korea",
ISNUMBER(SEARCH("China PR",S1876)),"China",
ISNUMBER(SEARCH("IR Iran",S1876)),"Iran",
ISNUMBER(SEARCH("Congo DR",S1876)),"Democratic Republic of the Congo",
ISNUMBER(SEARCH("DR Congo",S1876)),"Democratic Republic of the Congo",
ISNUMBER(SEARCH("German DR",S1876)),"DR Germany",
ISNUMBER(SEARCH("rn""&gt;United Arab Emirates",S1876)),"United Arab Emirates",
ISNUMBER(SEARCH("rn""&gt;Republic of Ireland",S1876)),"Ireland",
ISNUMBER(SEARCH("rn""&gt;Bosnia and Herzegovina",S1876)),"Bosnia and Herzegovina",
ISNUMBER(SEARCH("rn""&gt;Trinidad and Tobago",S1876)),"Trinidad and Tobago",
ISNUMBER(SEARCH("rn""&gt;Serbia and Montenegro",S1876)),"Serbia and Montenegro",
ISNUMBER(SEARCH(_xlfn.UNICHAR(65533),S1876)),"Côte d'Ivoire",
TRUE,""
)</f>
        <v/>
      </c>
      <c r="W1876" s="12" t="str">
        <f t="shared" si="145"/>
        <v>Saudi Arabia</v>
      </c>
    </row>
    <row r="1877" spans="2:23">
      <c r="B1877" s="76" t="str">
        <v>1966.0</v>
      </c>
      <c r="C1877" s="42" t="str">
        <v xml:space="preserve">20 Jul 1966 - 19:30 </v>
      </c>
      <c r="D1877" s="42" t="str">
        <v>Group 1</v>
      </c>
      <c r="E1877" s="42" t="str">
        <v>Wembley Stadium</v>
      </c>
      <c r="F1877" s="42" t="str">
        <v xml:space="preserve">London </v>
      </c>
      <c r="G1877" s="42" t="str">
        <v>England</v>
      </c>
      <c r="H1877" s="42" t="str">
        <v>2.0</v>
      </c>
      <c r="I1877" s="42" t="str">
        <v>0.0</v>
      </c>
      <c r="J1877" s="42" t="str">
        <v>France</v>
      </c>
      <c r="K1877" s="42" t="str">
        <v xml:space="preserve"> </v>
      </c>
      <c r="L1877" s="42" t="str">
        <f t="shared" si="142"/>
        <v xml:space="preserve">1966.0|20 Jul 1966 - 19:30 |Group 1|Wembley Stadium|London |England|2.0|0.0|France| </v>
      </c>
      <c r="M1877" s="42" t="str">
        <f>IF(COUNTIF($L$1689:L1877,L1877)&gt;1,"DOUBLON","OK")</f>
        <v>OK</v>
      </c>
      <c r="S1877" s="12" t="str">
        <v>Saudi Arabia</v>
      </c>
      <c r="T1877" s="12" t="str">
        <f t="shared" si="143"/>
        <v>OK</v>
      </c>
      <c r="U1877" s="12" t="str">
        <f t="shared" si="144"/>
        <v>-</v>
      </c>
      <c r="V1877" s="12" t="str" cm="1">
        <f t="array" ref="V1877">_xlfn.IFS(
ISNUMBER(SEARCH("USA",S1877)),"United States",
ISNUMBER(SEARCH("Republic of Ireland",S1877)),"Ireland",
ISNUMBER(SEARCH("Republic of Korea",S1877)),"South Korea",
ISNUMBER(SEARCH("Cape Verde",S1877)),"Cabo Verde",
ISNUMBER(SEARCH("Czechia",S1877)),"Czech Republic",
ISNUMBER(SEARCH("Türkiye",S1877)),"Turkey",
ISNUMBER(SEARCH("Ivory Coast",S1877)),"Côte d'Ivoire",
ISNUMBER(SEARCH("Korea Republic",S1877)),"South Korea",
ISNUMBER(SEARCH("Germany FR",S1877)),"FR Germany",
ISNUMBER(SEARCH("West Germany",S1877)),"FR Germany",
ISNUMBER(SEARCH("Germany DR",S1877)),"DR Germany",
ISNUMBER(SEARCH("Korea DPR",S1877)),"North Korea",
ISNUMBER(SEARCH("China PR",S1877)),"China",
ISNUMBER(SEARCH("IR Iran",S1877)),"Iran",
ISNUMBER(SEARCH("Congo DR",S1877)),"Democratic Republic of the Congo",
ISNUMBER(SEARCH("DR Congo",S1877)),"Democratic Republic of the Congo",
ISNUMBER(SEARCH("German DR",S1877)),"DR Germany",
ISNUMBER(SEARCH("rn""&gt;United Arab Emirates",S1877)),"United Arab Emirates",
ISNUMBER(SEARCH("rn""&gt;Republic of Ireland",S1877)),"Ireland",
ISNUMBER(SEARCH("rn""&gt;Bosnia and Herzegovina",S1877)),"Bosnia and Herzegovina",
ISNUMBER(SEARCH("rn""&gt;Trinidad and Tobago",S1877)),"Trinidad and Tobago",
ISNUMBER(SEARCH("rn""&gt;Serbia and Montenegro",S1877)),"Serbia and Montenegro",
ISNUMBER(SEARCH(_xlfn.UNICHAR(65533),S1877)),"Côte d'Ivoire",
TRUE,""
)</f>
        <v/>
      </c>
      <c r="W1877" s="12" t="str">
        <f t="shared" si="145"/>
        <v>Saudi Arabia</v>
      </c>
    </row>
    <row r="1878" spans="2:23">
      <c r="B1878" s="76" t="str">
        <v>1966.0</v>
      </c>
      <c r="C1878" s="42" t="str">
        <v xml:space="preserve">20 Jul 1966 - 19:30 </v>
      </c>
      <c r="D1878" s="42" t="str">
        <v>Group 3</v>
      </c>
      <c r="E1878" s="42" t="str">
        <v>Old Trafford Stadium</v>
      </c>
      <c r="F1878" s="42" t="str">
        <v xml:space="preserve">Manchester </v>
      </c>
      <c r="G1878" s="42" t="str">
        <v>Hungary</v>
      </c>
      <c r="H1878" s="42" t="str">
        <v>3.0</v>
      </c>
      <c r="I1878" s="42" t="str">
        <v>1.0</v>
      </c>
      <c r="J1878" s="42" t="str">
        <v>Bulgaria</v>
      </c>
      <c r="K1878" s="42" t="str">
        <v xml:space="preserve"> </v>
      </c>
      <c r="L1878" s="42" t="str">
        <f t="shared" si="142"/>
        <v xml:space="preserve">1966.0|20 Jul 1966 - 19:30 |Group 3|Old Trafford Stadium|Manchester |Hungary|3.0|1.0|Bulgaria| </v>
      </c>
      <c r="M1878" s="42" t="str">
        <f>IF(COUNTIF($L$1689:L1878,L1878)&gt;1,"DOUBLON","OK")</f>
        <v>OK</v>
      </c>
      <c r="S1878" s="12" t="str">
        <v>Saudi Arabia</v>
      </c>
      <c r="T1878" s="12" t="str">
        <f t="shared" si="143"/>
        <v>OK</v>
      </c>
      <c r="U1878" s="12" t="str">
        <f t="shared" si="144"/>
        <v>-</v>
      </c>
      <c r="V1878" s="12" t="str" cm="1">
        <f t="array" ref="V1878">_xlfn.IFS(
ISNUMBER(SEARCH("USA",S1878)),"United States",
ISNUMBER(SEARCH("Republic of Ireland",S1878)),"Ireland",
ISNUMBER(SEARCH("Republic of Korea",S1878)),"South Korea",
ISNUMBER(SEARCH("Cape Verde",S1878)),"Cabo Verde",
ISNUMBER(SEARCH("Czechia",S1878)),"Czech Republic",
ISNUMBER(SEARCH("Türkiye",S1878)),"Turkey",
ISNUMBER(SEARCH("Ivory Coast",S1878)),"Côte d'Ivoire",
ISNUMBER(SEARCH("Korea Republic",S1878)),"South Korea",
ISNUMBER(SEARCH("Germany FR",S1878)),"FR Germany",
ISNUMBER(SEARCH("West Germany",S1878)),"FR Germany",
ISNUMBER(SEARCH("Germany DR",S1878)),"DR Germany",
ISNUMBER(SEARCH("Korea DPR",S1878)),"North Korea",
ISNUMBER(SEARCH("China PR",S1878)),"China",
ISNUMBER(SEARCH("IR Iran",S1878)),"Iran",
ISNUMBER(SEARCH("Congo DR",S1878)),"Democratic Republic of the Congo",
ISNUMBER(SEARCH("DR Congo",S1878)),"Democratic Republic of the Congo",
ISNUMBER(SEARCH("German DR",S1878)),"DR Germany",
ISNUMBER(SEARCH("rn""&gt;United Arab Emirates",S1878)),"United Arab Emirates",
ISNUMBER(SEARCH("rn""&gt;Republic of Ireland",S1878)),"Ireland",
ISNUMBER(SEARCH("rn""&gt;Bosnia and Herzegovina",S1878)),"Bosnia and Herzegovina",
ISNUMBER(SEARCH("rn""&gt;Trinidad and Tobago",S1878)),"Trinidad and Tobago",
ISNUMBER(SEARCH("rn""&gt;Serbia and Montenegro",S1878)),"Serbia and Montenegro",
ISNUMBER(SEARCH(_xlfn.UNICHAR(65533),S1878)),"Côte d'Ivoire",
TRUE,""
)</f>
        <v/>
      </c>
      <c r="W1878" s="12" t="str">
        <f t="shared" si="145"/>
        <v>Saudi Arabia</v>
      </c>
    </row>
    <row r="1879" spans="2:23">
      <c r="B1879" s="76" t="str">
        <v>1966.0</v>
      </c>
      <c r="C1879" s="42" t="str">
        <v xml:space="preserve">20 Jul 1966 - 19:30 </v>
      </c>
      <c r="D1879" s="42" t="str">
        <v>Group 2</v>
      </c>
      <c r="E1879" s="42" t="str">
        <v>Villa Park</v>
      </c>
      <c r="F1879" s="42" t="str">
        <v xml:space="preserve">Birmingham </v>
      </c>
      <c r="G1879" s="42" t="str">
        <v>Germany FR</v>
      </c>
      <c r="H1879" s="42" t="str">
        <v>2.0</v>
      </c>
      <c r="I1879" s="42" t="str">
        <v>1.0</v>
      </c>
      <c r="J1879" s="42" t="str">
        <v>Spain</v>
      </c>
      <c r="K1879" s="42" t="str">
        <v xml:space="preserve"> </v>
      </c>
      <c r="L1879" s="42" t="str">
        <f t="shared" si="142"/>
        <v xml:space="preserve">1966.0|20 Jul 1966 - 19:30 |Group 2|Villa Park|Birmingham |Germany FR|2.0|1.0|Spain| </v>
      </c>
      <c r="M1879" s="42" t="str">
        <f>IF(COUNTIF($L$1689:L1879,L1879)&gt;1,"DOUBLON","OK")</f>
        <v>OK</v>
      </c>
      <c r="S1879" s="12" t="str">
        <v>Saudi Arabia</v>
      </c>
      <c r="T1879" s="12" t="str">
        <f t="shared" si="143"/>
        <v>OK</v>
      </c>
      <c r="U1879" s="12" t="str">
        <f t="shared" si="144"/>
        <v>-</v>
      </c>
      <c r="V1879" s="12" t="str" cm="1">
        <f t="array" ref="V1879">_xlfn.IFS(
ISNUMBER(SEARCH("USA",S1879)),"United States",
ISNUMBER(SEARCH("Republic of Ireland",S1879)),"Ireland",
ISNUMBER(SEARCH("Republic of Korea",S1879)),"South Korea",
ISNUMBER(SEARCH("Cape Verde",S1879)),"Cabo Verde",
ISNUMBER(SEARCH("Czechia",S1879)),"Czech Republic",
ISNUMBER(SEARCH("Türkiye",S1879)),"Turkey",
ISNUMBER(SEARCH("Ivory Coast",S1879)),"Côte d'Ivoire",
ISNUMBER(SEARCH("Korea Republic",S1879)),"South Korea",
ISNUMBER(SEARCH("Germany FR",S1879)),"FR Germany",
ISNUMBER(SEARCH("West Germany",S1879)),"FR Germany",
ISNUMBER(SEARCH("Germany DR",S1879)),"DR Germany",
ISNUMBER(SEARCH("Korea DPR",S1879)),"North Korea",
ISNUMBER(SEARCH("China PR",S1879)),"China",
ISNUMBER(SEARCH("IR Iran",S1879)),"Iran",
ISNUMBER(SEARCH("Congo DR",S1879)),"Democratic Republic of the Congo",
ISNUMBER(SEARCH("DR Congo",S1879)),"Democratic Republic of the Congo",
ISNUMBER(SEARCH("German DR",S1879)),"DR Germany",
ISNUMBER(SEARCH("rn""&gt;United Arab Emirates",S1879)),"United Arab Emirates",
ISNUMBER(SEARCH("rn""&gt;Republic of Ireland",S1879)),"Ireland",
ISNUMBER(SEARCH("rn""&gt;Bosnia and Herzegovina",S1879)),"Bosnia and Herzegovina",
ISNUMBER(SEARCH("rn""&gt;Trinidad and Tobago",S1879)),"Trinidad and Tobago",
ISNUMBER(SEARCH("rn""&gt;Serbia and Montenegro",S1879)),"Serbia and Montenegro",
ISNUMBER(SEARCH(_xlfn.UNICHAR(65533),S1879)),"Côte d'Ivoire",
TRUE,""
)</f>
        <v/>
      </c>
      <c r="W1879" s="12" t="str">
        <f t="shared" si="145"/>
        <v>Saudi Arabia</v>
      </c>
    </row>
    <row r="1880" spans="2:23">
      <c r="B1880" s="76" t="str">
        <v>1966.0</v>
      </c>
      <c r="C1880" s="42" t="str">
        <v xml:space="preserve">20 Jul 1966 - 19:30 </v>
      </c>
      <c r="D1880" s="42" t="str">
        <v>Group 4</v>
      </c>
      <c r="E1880" s="42" t="str">
        <v>Roker Park Ground</v>
      </c>
      <c r="F1880" s="42" t="str">
        <v xml:space="preserve">Sunderland </v>
      </c>
      <c r="G1880" s="42" t="str">
        <v>Soviet Union</v>
      </c>
      <c r="H1880" s="42" t="str">
        <v>2.0</v>
      </c>
      <c r="I1880" s="42" t="str">
        <v>1.0</v>
      </c>
      <c r="J1880" s="42" t="str">
        <v>Chile</v>
      </c>
      <c r="K1880" s="42" t="str">
        <v xml:space="preserve"> </v>
      </c>
      <c r="L1880" s="42" t="str">
        <f t="shared" si="142"/>
        <v xml:space="preserve">1966.0|20 Jul 1966 - 19:30 |Group 4|Roker Park Ground|Sunderland |Soviet Union|2.0|1.0|Chile| </v>
      </c>
      <c r="M1880" s="42" t="str">
        <f>IF(COUNTIF($L$1689:L1880,L1880)&gt;1,"DOUBLON","OK")</f>
        <v>OK</v>
      </c>
      <c r="S1880" s="12" t="str">
        <v>Saudi Arabia</v>
      </c>
      <c r="T1880" s="12" t="str">
        <f t="shared" si="143"/>
        <v>OK</v>
      </c>
      <c r="U1880" s="12" t="str">
        <f t="shared" si="144"/>
        <v>-</v>
      </c>
      <c r="V1880" s="12" t="str" cm="1">
        <f t="array" ref="V1880">_xlfn.IFS(
ISNUMBER(SEARCH("USA",S1880)),"United States",
ISNUMBER(SEARCH("Republic of Ireland",S1880)),"Ireland",
ISNUMBER(SEARCH("Republic of Korea",S1880)),"South Korea",
ISNUMBER(SEARCH("Cape Verde",S1880)),"Cabo Verde",
ISNUMBER(SEARCH("Czechia",S1880)),"Czech Republic",
ISNUMBER(SEARCH("Türkiye",S1880)),"Turkey",
ISNUMBER(SEARCH("Ivory Coast",S1880)),"Côte d'Ivoire",
ISNUMBER(SEARCH("Korea Republic",S1880)),"South Korea",
ISNUMBER(SEARCH("Germany FR",S1880)),"FR Germany",
ISNUMBER(SEARCH("West Germany",S1880)),"FR Germany",
ISNUMBER(SEARCH("Germany DR",S1880)),"DR Germany",
ISNUMBER(SEARCH("Korea DPR",S1880)),"North Korea",
ISNUMBER(SEARCH("China PR",S1880)),"China",
ISNUMBER(SEARCH("IR Iran",S1880)),"Iran",
ISNUMBER(SEARCH("Congo DR",S1880)),"Democratic Republic of the Congo",
ISNUMBER(SEARCH("DR Congo",S1880)),"Democratic Republic of the Congo",
ISNUMBER(SEARCH("German DR",S1880)),"DR Germany",
ISNUMBER(SEARCH("rn""&gt;United Arab Emirates",S1880)),"United Arab Emirates",
ISNUMBER(SEARCH("rn""&gt;Republic of Ireland",S1880)),"Ireland",
ISNUMBER(SEARCH("rn""&gt;Bosnia and Herzegovina",S1880)),"Bosnia and Herzegovina",
ISNUMBER(SEARCH("rn""&gt;Trinidad and Tobago",S1880)),"Trinidad and Tobago",
ISNUMBER(SEARCH("rn""&gt;Serbia and Montenegro",S1880)),"Serbia and Montenegro",
ISNUMBER(SEARCH(_xlfn.UNICHAR(65533),S1880)),"Côte d'Ivoire",
TRUE,""
)</f>
        <v/>
      </c>
      <c r="W1880" s="12" t="str">
        <f t="shared" si="145"/>
        <v>Saudi Arabia</v>
      </c>
    </row>
    <row r="1881" spans="2:23">
      <c r="B1881" s="76" t="str">
        <v>1966.0</v>
      </c>
      <c r="C1881" s="42" t="str">
        <v xml:space="preserve">23 Jul 1966 - 15:00 </v>
      </c>
      <c r="D1881" s="42" t="str">
        <v>Quarter-finals</v>
      </c>
      <c r="E1881" s="42" t="str">
        <v>Wembley Stadium</v>
      </c>
      <c r="F1881" s="42" t="str">
        <v xml:space="preserve">London </v>
      </c>
      <c r="G1881" s="42" t="str">
        <v>England</v>
      </c>
      <c r="H1881" s="42" t="str">
        <v>1.0</v>
      </c>
      <c r="I1881" s="42" t="str">
        <v>0.0</v>
      </c>
      <c r="J1881" s="42" t="str">
        <v>Argentina</v>
      </c>
      <c r="K1881" s="42" t="str">
        <v xml:space="preserve"> </v>
      </c>
      <c r="L1881" s="42" t="str">
        <f t="shared" ref="L1881:L1944" si="146">B1881&amp;"|"&amp;C1881&amp;"|"&amp;D1881&amp;"|"&amp;E1881&amp;"|"&amp;F1881&amp;"|"&amp;G1881&amp;"|"&amp;H1881&amp;"|"&amp;I1881&amp;"|"&amp;J1881&amp;"|"&amp;K1881</f>
        <v xml:space="preserve">1966.0|23 Jul 1966 - 15:00 |Quarter-finals|Wembley Stadium|London |England|1.0|0.0|Argentina| </v>
      </c>
      <c r="M1881" s="42" t="str">
        <f>IF(COUNTIF($L$1689:L1881,L1881)&gt;1,"DOUBLON","OK")</f>
        <v>OK</v>
      </c>
      <c r="S1881" s="12" t="str">
        <v>Saudi Arabia</v>
      </c>
      <c r="T1881" s="12" t="str">
        <f t="shared" si="143"/>
        <v>OK</v>
      </c>
      <c r="U1881" s="12" t="str">
        <f t="shared" si="144"/>
        <v>-</v>
      </c>
      <c r="V1881" s="12" t="str" cm="1">
        <f t="array" ref="V1881">_xlfn.IFS(
ISNUMBER(SEARCH("USA",S1881)),"United States",
ISNUMBER(SEARCH("Republic of Ireland",S1881)),"Ireland",
ISNUMBER(SEARCH("Republic of Korea",S1881)),"South Korea",
ISNUMBER(SEARCH("Cape Verde",S1881)),"Cabo Verde",
ISNUMBER(SEARCH("Czechia",S1881)),"Czech Republic",
ISNUMBER(SEARCH("Türkiye",S1881)),"Turkey",
ISNUMBER(SEARCH("Ivory Coast",S1881)),"Côte d'Ivoire",
ISNUMBER(SEARCH("Korea Republic",S1881)),"South Korea",
ISNUMBER(SEARCH("Germany FR",S1881)),"FR Germany",
ISNUMBER(SEARCH("West Germany",S1881)),"FR Germany",
ISNUMBER(SEARCH("Germany DR",S1881)),"DR Germany",
ISNUMBER(SEARCH("Korea DPR",S1881)),"North Korea",
ISNUMBER(SEARCH("China PR",S1881)),"China",
ISNUMBER(SEARCH("IR Iran",S1881)),"Iran",
ISNUMBER(SEARCH("Congo DR",S1881)),"Democratic Republic of the Congo",
ISNUMBER(SEARCH("DR Congo",S1881)),"Democratic Republic of the Congo",
ISNUMBER(SEARCH("German DR",S1881)),"DR Germany",
ISNUMBER(SEARCH("rn""&gt;United Arab Emirates",S1881)),"United Arab Emirates",
ISNUMBER(SEARCH("rn""&gt;Republic of Ireland",S1881)),"Ireland",
ISNUMBER(SEARCH("rn""&gt;Bosnia and Herzegovina",S1881)),"Bosnia and Herzegovina",
ISNUMBER(SEARCH("rn""&gt;Trinidad and Tobago",S1881)),"Trinidad and Tobago",
ISNUMBER(SEARCH("rn""&gt;Serbia and Montenegro",S1881)),"Serbia and Montenegro",
ISNUMBER(SEARCH(_xlfn.UNICHAR(65533),S1881)),"Côte d'Ivoire",
TRUE,""
)</f>
        <v/>
      </c>
      <c r="W1881" s="12" t="str">
        <f t="shared" si="145"/>
        <v>Saudi Arabia</v>
      </c>
    </row>
    <row r="1882" spans="2:23">
      <c r="B1882" s="76" t="str">
        <v>1966.0</v>
      </c>
      <c r="C1882" s="42" t="str">
        <v xml:space="preserve">23 Jul 1966 - 15:00 </v>
      </c>
      <c r="D1882" s="42" t="str">
        <v>Quarter-finals</v>
      </c>
      <c r="E1882" s="42" t="str">
        <v>Hillsborough</v>
      </c>
      <c r="F1882" s="42" t="str">
        <v xml:space="preserve">Sheffield </v>
      </c>
      <c r="G1882" s="42" t="str">
        <v>Germany FR</v>
      </c>
      <c r="H1882" s="42" t="str">
        <v>4.0</v>
      </c>
      <c r="I1882" s="42" t="str">
        <v>0.0</v>
      </c>
      <c r="J1882" s="42" t="str">
        <v>Uruguay</v>
      </c>
      <c r="K1882" s="42" t="str">
        <v xml:space="preserve"> </v>
      </c>
      <c r="L1882" s="42" t="str">
        <f t="shared" si="146"/>
        <v xml:space="preserve">1966.0|23 Jul 1966 - 15:00 |Quarter-finals|Hillsborough|Sheffield |Germany FR|4.0|0.0|Uruguay| </v>
      </c>
      <c r="M1882" s="42" t="str">
        <f>IF(COUNTIF($L$1689:L1882,L1882)&gt;1,"DOUBLON","OK")</f>
        <v>OK</v>
      </c>
      <c r="S1882" s="12" t="str">
        <v>Saudi Arabia</v>
      </c>
      <c r="T1882" s="12" t="str">
        <f t="shared" si="143"/>
        <v>OK</v>
      </c>
      <c r="U1882" s="12" t="str">
        <f t="shared" si="144"/>
        <v>-</v>
      </c>
      <c r="V1882" s="12" t="str" cm="1">
        <f t="array" ref="V1882">_xlfn.IFS(
ISNUMBER(SEARCH("USA",S1882)),"United States",
ISNUMBER(SEARCH("Republic of Ireland",S1882)),"Ireland",
ISNUMBER(SEARCH("Republic of Korea",S1882)),"South Korea",
ISNUMBER(SEARCH("Cape Verde",S1882)),"Cabo Verde",
ISNUMBER(SEARCH("Czechia",S1882)),"Czech Republic",
ISNUMBER(SEARCH("Türkiye",S1882)),"Turkey",
ISNUMBER(SEARCH("Ivory Coast",S1882)),"Côte d'Ivoire",
ISNUMBER(SEARCH("Korea Republic",S1882)),"South Korea",
ISNUMBER(SEARCH("Germany FR",S1882)),"FR Germany",
ISNUMBER(SEARCH("West Germany",S1882)),"FR Germany",
ISNUMBER(SEARCH("Germany DR",S1882)),"DR Germany",
ISNUMBER(SEARCH("Korea DPR",S1882)),"North Korea",
ISNUMBER(SEARCH("China PR",S1882)),"China",
ISNUMBER(SEARCH("IR Iran",S1882)),"Iran",
ISNUMBER(SEARCH("Congo DR",S1882)),"Democratic Republic of the Congo",
ISNUMBER(SEARCH("DR Congo",S1882)),"Democratic Republic of the Congo",
ISNUMBER(SEARCH("German DR",S1882)),"DR Germany",
ISNUMBER(SEARCH("rn""&gt;United Arab Emirates",S1882)),"United Arab Emirates",
ISNUMBER(SEARCH("rn""&gt;Republic of Ireland",S1882)),"Ireland",
ISNUMBER(SEARCH("rn""&gt;Bosnia and Herzegovina",S1882)),"Bosnia and Herzegovina",
ISNUMBER(SEARCH("rn""&gt;Trinidad and Tobago",S1882)),"Trinidad and Tobago",
ISNUMBER(SEARCH("rn""&gt;Serbia and Montenegro",S1882)),"Serbia and Montenegro",
ISNUMBER(SEARCH(_xlfn.UNICHAR(65533),S1882)),"Côte d'Ivoire",
TRUE,""
)</f>
        <v/>
      </c>
      <c r="W1882" s="12" t="str">
        <f t="shared" si="145"/>
        <v>Saudi Arabia</v>
      </c>
    </row>
    <row r="1883" spans="2:23">
      <c r="B1883" s="76" t="str">
        <v>1966.0</v>
      </c>
      <c r="C1883" s="42" t="str">
        <v xml:space="preserve">23 Jul 1966 - 15:00 </v>
      </c>
      <c r="D1883" s="42" t="str">
        <v>Quarter-finals</v>
      </c>
      <c r="E1883" s="42" t="str">
        <v>Roker Park Ground</v>
      </c>
      <c r="F1883" s="42" t="str">
        <v xml:space="preserve">Sunderland </v>
      </c>
      <c r="G1883" s="42" t="str">
        <v>Soviet Union</v>
      </c>
      <c r="H1883" s="42" t="str">
        <v>2.0</v>
      </c>
      <c r="I1883" s="42" t="str">
        <v>1.0</v>
      </c>
      <c r="J1883" s="42" t="str">
        <v>Hungary</v>
      </c>
      <c r="K1883" s="42" t="str">
        <v xml:space="preserve"> </v>
      </c>
      <c r="L1883" s="42" t="str">
        <f t="shared" si="146"/>
        <v xml:space="preserve">1966.0|23 Jul 1966 - 15:00 |Quarter-finals|Roker Park Ground|Sunderland |Soviet Union|2.0|1.0|Hungary| </v>
      </c>
      <c r="M1883" s="42" t="str">
        <f>IF(COUNTIF($L$1689:L1883,L1883)&gt;1,"DOUBLON","OK")</f>
        <v>OK</v>
      </c>
      <c r="S1883" s="12" t="str">
        <v>Saudi Arabia</v>
      </c>
      <c r="T1883" s="12" t="str">
        <f t="shared" si="143"/>
        <v>OK</v>
      </c>
      <c r="U1883" s="12" t="str">
        <f t="shared" si="144"/>
        <v>-</v>
      </c>
      <c r="V1883" s="12" t="str" cm="1">
        <f t="array" ref="V1883">_xlfn.IFS(
ISNUMBER(SEARCH("USA",S1883)),"United States",
ISNUMBER(SEARCH("Republic of Ireland",S1883)),"Ireland",
ISNUMBER(SEARCH("Republic of Korea",S1883)),"South Korea",
ISNUMBER(SEARCH("Cape Verde",S1883)),"Cabo Verde",
ISNUMBER(SEARCH("Czechia",S1883)),"Czech Republic",
ISNUMBER(SEARCH("Türkiye",S1883)),"Turkey",
ISNUMBER(SEARCH("Ivory Coast",S1883)),"Côte d'Ivoire",
ISNUMBER(SEARCH("Korea Republic",S1883)),"South Korea",
ISNUMBER(SEARCH("Germany FR",S1883)),"FR Germany",
ISNUMBER(SEARCH("West Germany",S1883)),"FR Germany",
ISNUMBER(SEARCH("Germany DR",S1883)),"DR Germany",
ISNUMBER(SEARCH("Korea DPR",S1883)),"North Korea",
ISNUMBER(SEARCH("China PR",S1883)),"China",
ISNUMBER(SEARCH("IR Iran",S1883)),"Iran",
ISNUMBER(SEARCH("Congo DR",S1883)),"Democratic Republic of the Congo",
ISNUMBER(SEARCH("DR Congo",S1883)),"Democratic Republic of the Congo",
ISNUMBER(SEARCH("German DR",S1883)),"DR Germany",
ISNUMBER(SEARCH("rn""&gt;United Arab Emirates",S1883)),"United Arab Emirates",
ISNUMBER(SEARCH("rn""&gt;Republic of Ireland",S1883)),"Ireland",
ISNUMBER(SEARCH("rn""&gt;Bosnia and Herzegovina",S1883)),"Bosnia and Herzegovina",
ISNUMBER(SEARCH("rn""&gt;Trinidad and Tobago",S1883)),"Trinidad and Tobago",
ISNUMBER(SEARCH("rn""&gt;Serbia and Montenegro",S1883)),"Serbia and Montenegro",
ISNUMBER(SEARCH(_xlfn.UNICHAR(65533),S1883)),"Côte d'Ivoire",
TRUE,""
)</f>
        <v/>
      </c>
      <c r="W1883" s="12" t="str">
        <f t="shared" si="145"/>
        <v>Saudi Arabia</v>
      </c>
    </row>
    <row r="1884" spans="2:23">
      <c r="B1884" s="76" t="str">
        <v>1966.0</v>
      </c>
      <c r="C1884" s="42" t="str">
        <v xml:space="preserve">23 Jul 1966 - 15:00 </v>
      </c>
      <c r="D1884" s="42" t="str">
        <v>Quarter-finals</v>
      </c>
      <c r="E1884" s="42" t="str">
        <v>Goodison Park</v>
      </c>
      <c r="F1884" s="42" t="str">
        <v xml:space="preserve">Liverpool </v>
      </c>
      <c r="G1884" s="42" t="str">
        <v>Portugal</v>
      </c>
      <c r="H1884" s="42" t="str">
        <v>5.0</v>
      </c>
      <c r="I1884" s="42" t="str">
        <v>3.0</v>
      </c>
      <c r="J1884" s="42" t="str">
        <v>Korea DPR</v>
      </c>
      <c r="K1884" s="42" t="str">
        <v xml:space="preserve"> </v>
      </c>
      <c r="L1884" s="42" t="str">
        <f t="shared" si="146"/>
        <v xml:space="preserve">1966.0|23 Jul 1966 - 15:00 |Quarter-finals|Goodison Park|Liverpool |Portugal|5.0|3.0|Korea DPR| </v>
      </c>
      <c r="M1884" s="42" t="str">
        <f>IF(COUNTIF($L$1689:L1884,L1884)&gt;1,"DOUBLON","OK")</f>
        <v>OK</v>
      </c>
      <c r="S1884" s="12" t="str">
        <v>Saudi Arabia</v>
      </c>
      <c r="T1884" s="12" t="str">
        <f t="shared" si="143"/>
        <v>OK</v>
      </c>
      <c r="U1884" s="12" t="str">
        <f t="shared" si="144"/>
        <v>-</v>
      </c>
      <c r="V1884" s="12" t="str" cm="1">
        <f t="array" ref="V1884">_xlfn.IFS(
ISNUMBER(SEARCH("USA",S1884)),"United States",
ISNUMBER(SEARCH("Republic of Ireland",S1884)),"Ireland",
ISNUMBER(SEARCH("Republic of Korea",S1884)),"South Korea",
ISNUMBER(SEARCH("Cape Verde",S1884)),"Cabo Verde",
ISNUMBER(SEARCH("Czechia",S1884)),"Czech Republic",
ISNUMBER(SEARCH("Türkiye",S1884)),"Turkey",
ISNUMBER(SEARCH("Ivory Coast",S1884)),"Côte d'Ivoire",
ISNUMBER(SEARCH("Korea Republic",S1884)),"South Korea",
ISNUMBER(SEARCH("Germany FR",S1884)),"FR Germany",
ISNUMBER(SEARCH("West Germany",S1884)),"FR Germany",
ISNUMBER(SEARCH("Germany DR",S1884)),"DR Germany",
ISNUMBER(SEARCH("Korea DPR",S1884)),"North Korea",
ISNUMBER(SEARCH("China PR",S1884)),"China",
ISNUMBER(SEARCH("IR Iran",S1884)),"Iran",
ISNUMBER(SEARCH("Congo DR",S1884)),"Democratic Republic of the Congo",
ISNUMBER(SEARCH("DR Congo",S1884)),"Democratic Republic of the Congo",
ISNUMBER(SEARCH("German DR",S1884)),"DR Germany",
ISNUMBER(SEARCH("rn""&gt;United Arab Emirates",S1884)),"United Arab Emirates",
ISNUMBER(SEARCH("rn""&gt;Republic of Ireland",S1884)),"Ireland",
ISNUMBER(SEARCH("rn""&gt;Bosnia and Herzegovina",S1884)),"Bosnia and Herzegovina",
ISNUMBER(SEARCH("rn""&gt;Trinidad and Tobago",S1884)),"Trinidad and Tobago",
ISNUMBER(SEARCH("rn""&gt;Serbia and Montenegro",S1884)),"Serbia and Montenegro",
ISNUMBER(SEARCH(_xlfn.UNICHAR(65533),S1884)),"Côte d'Ivoire",
TRUE,""
)</f>
        <v/>
      </c>
      <c r="W1884" s="12" t="str">
        <f t="shared" si="145"/>
        <v>Saudi Arabia</v>
      </c>
    </row>
    <row r="1885" spans="2:23">
      <c r="B1885" s="76" t="str">
        <v>1966.0</v>
      </c>
      <c r="C1885" s="42" t="str">
        <v xml:space="preserve">25 Jul 1966 - 19:30 </v>
      </c>
      <c r="D1885" s="42" t="str">
        <v>Semi-finals</v>
      </c>
      <c r="E1885" s="42" t="str">
        <v>Goodison Park</v>
      </c>
      <c r="F1885" s="42" t="str">
        <v xml:space="preserve">Liverpool </v>
      </c>
      <c r="G1885" s="42" t="str">
        <v>Germany FR</v>
      </c>
      <c r="H1885" s="42" t="str">
        <v>2.0</v>
      </c>
      <c r="I1885" s="42" t="str">
        <v>1.0</v>
      </c>
      <c r="J1885" s="42" t="str">
        <v>Soviet Union</v>
      </c>
      <c r="K1885" s="42" t="str">
        <v xml:space="preserve"> </v>
      </c>
      <c r="L1885" s="42" t="str">
        <f t="shared" si="146"/>
        <v xml:space="preserve">1966.0|25 Jul 1966 - 19:30 |Semi-finals|Goodison Park|Liverpool |Germany FR|2.0|1.0|Soviet Union| </v>
      </c>
      <c r="M1885" s="42" t="str">
        <f>IF(COUNTIF($L$1689:L1885,L1885)&gt;1,"DOUBLON","OK")</f>
        <v>OK</v>
      </c>
      <c r="S1885" s="12" t="str">
        <v>Saudi Arabia</v>
      </c>
      <c r="T1885" s="12" t="str">
        <f t="shared" si="143"/>
        <v>OK</v>
      </c>
      <c r="U1885" s="12" t="str">
        <f t="shared" si="144"/>
        <v>-</v>
      </c>
      <c r="V1885" s="12" t="str" cm="1">
        <f t="array" ref="V1885">_xlfn.IFS(
ISNUMBER(SEARCH("USA",S1885)),"United States",
ISNUMBER(SEARCH("Republic of Ireland",S1885)),"Ireland",
ISNUMBER(SEARCH("Republic of Korea",S1885)),"South Korea",
ISNUMBER(SEARCH("Cape Verde",S1885)),"Cabo Verde",
ISNUMBER(SEARCH("Czechia",S1885)),"Czech Republic",
ISNUMBER(SEARCH("Türkiye",S1885)),"Turkey",
ISNUMBER(SEARCH("Ivory Coast",S1885)),"Côte d'Ivoire",
ISNUMBER(SEARCH("Korea Republic",S1885)),"South Korea",
ISNUMBER(SEARCH("Germany FR",S1885)),"FR Germany",
ISNUMBER(SEARCH("West Germany",S1885)),"FR Germany",
ISNUMBER(SEARCH("Germany DR",S1885)),"DR Germany",
ISNUMBER(SEARCH("Korea DPR",S1885)),"North Korea",
ISNUMBER(SEARCH("China PR",S1885)),"China",
ISNUMBER(SEARCH("IR Iran",S1885)),"Iran",
ISNUMBER(SEARCH("Congo DR",S1885)),"Democratic Republic of the Congo",
ISNUMBER(SEARCH("DR Congo",S1885)),"Democratic Republic of the Congo",
ISNUMBER(SEARCH("German DR",S1885)),"DR Germany",
ISNUMBER(SEARCH("rn""&gt;United Arab Emirates",S1885)),"United Arab Emirates",
ISNUMBER(SEARCH("rn""&gt;Republic of Ireland",S1885)),"Ireland",
ISNUMBER(SEARCH("rn""&gt;Bosnia and Herzegovina",S1885)),"Bosnia and Herzegovina",
ISNUMBER(SEARCH("rn""&gt;Trinidad and Tobago",S1885)),"Trinidad and Tobago",
ISNUMBER(SEARCH("rn""&gt;Serbia and Montenegro",S1885)),"Serbia and Montenegro",
ISNUMBER(SEARCH(_xlfn.UNICHAR(65533),S1885)),"Côte d'Ivoire",
TRUE,""
)</f>
        <v/>
      </c>
      <c r="W1885" s="12" t="str">
        <f t="shared" si="145"/>
        <v>Saudi Arabia</v>
      </c>
    </row>
    <row r="1886" spans="2:23">
      <c r="B1886" s="76" t="str">
        <v>1966.0</v>
      </c>
      <c r="C1886" s="42" t="str">
        <v xml:space="preserve">26 Jul 1966 - 19:30 </v>
      </c>
      <c r="D1886" s="42" t="str">
        <v>Semi-finals</v>
      </c>
      <c r="E1886" s="42" t="str">
        <v>Wembley Stadium</v>
      </c>
      <c r="F1886" s="42" t="str">
        <v xml:space="preserve">London </v>
      </c>
      <c r="G1886" s="42" t="str">
        <v>England</v>
      </c>
      <c r="H1886" s="42" t="str">
        <v>2.0</v>
      </c>
      <c r="I1886" s="42" t="str">
        <v>1.0</v>
      </c>
      <c r="J1886" s="42" t="str">
        <v>Portugal</v>
      </c>
      <c r="K1886" s="42" t="str">
        <v xml:space="preserve"> </v>
      </c>
      <c r="L1886" s="42" t="str">
        <f t="shared" si="146"/>
        <v xml:space="preserve">1966.0|26 Jul 1966 - 19:30 |Semi-finals|Wembley Stadium|London |England|2.0|1.0|Portugal| </v>
      </c>
      <c r="M1886" s="42" t="str">
        <f>IF(COUNTIF($L$1689:L1886,L1886)&gt;1,"DOUBLON","OK")</f>
        <v>OK</v>
      </c>
      <c r="S1886" s="12" t="str">
        <v>Saudi Arabia</v>
      </c>
      <c r="T1886" s="12" t="str">
        <f t="shared" si="143"/>
        <v>OK</v>
      </c>
      <c r="U1886" s="12" t="str">
        <f t="shared" si="144"/>
        <v>-</v>
      </c>
      <c r="V1886" s="12" t="str" cm="1">
        <f t="array" ref="V1886">_xlfn.IFS(
ISNUMBER(SEARCH("USA",S1886)),"United States",
ISNUMBER(SEARCH("Republic of Ireland",S1886)),"Ireland",
ISNUMBER(SEARCH("Republic of Korea",S1886)),"South Korea",
ISNUMBER(SEARCH("Cape Verde",S1886)),"Cabo Verde",
ISNUMBER(SEARCH("Czechia",S1886)),"Czech Republic",
ISNUMBER(SEARCH("Türkiye",S1886)),"Turkey",
ISNUMBER(SEARCH("Ivory Coast",S1886)),"Côte d'Ivoire",
ISNUMBER(SEARCH("Korea Republic",S1886)),"South Korea",
ISNUMBER(SEARCH("Germany FR",S1886)),"FR Germany",
ISNUMBER(SEARCH("West Germany",S1886)),"FR Germany",
ISNUMBER(SEARCH("Germany DR",S1886)),"DR Germany",
ISNUMBER(SEARCH("Korea DPR",S1886)),"North Korea",
ISNUMBER(SEARCH("China PR",S1886)),"China",
ISNUMBER(SEARCH("IR Iran",S1886)),"Iran",
ISNUMBER(SEARCH("Congo DR",S1886)),"Democratic Republic of the Congo",
ISNUMBER(SEARCH("DR Congo",S1886)),"Democratic Republic of the Congo",
ISNUMBER(SEARCH("German DR",S1886)),"DR Germany",
ISNUMBER(SEARCH("rn""&gt;United Arab Emirates",S1886)),"United Arab Emirates",
ISNUMBER(SEARCH("rn""&gt;Republic of Ireland",S1886)),"Ireland",
ISNUMBER(SEARCH("rn""&gt;Bosnia and Herzegovina",S1886)),"Bosnia and Herzegovina",
ISNUMBER(SEARCH("rn""&gt;Trinidad and Tobago",S1886)),"Trinidad and Tobago",
ISNUMBER(SEARCH("rn""&gt;Serbia and Montenegro",S1886)),"Serbia and Montenegro",
ISNUMBER(SEARCH(_xlfn.UNICHAR(65533),S1886)),"Côte d'Ivoire",
TRUE,""
)</f>
        <v/>
      </c>
      <c r="W1886" s="12" t="str">
        <f t="shared" si="145"/>
        <v>Saudi Arabia</v>
      </c>
    </row>
    <row r="1887" spans="2:23">
      <c r="B1887" s="76" t="str">
        <v>1966.0</v>
      </c>
      <c r="C1887" s="42" t="str">
        <v xml:space="preserve">28 Jul 1966 - 19:30 </v>
      </c>
      <c r="D1887" s="42" t="str">
        <v>Match for third place</v>
      </c>
      <c r="E1887" s="42" t="str">
        <v>Wembley Stadium</v>
      </c>
      <c r="F1887" s="42" t="str">
        <v xml:space="preserve">London </v>
      </c>
      <c r="G1887" s="42" t="str">
        <v>Portugal</v>
      </c>
      <c r="H1887" s="42" t="str">
        <v>2.0</v>
      </c>
      <c r="I1887" s="42" t="str">
        <v>1.0</v>
      </c>
      <c r="J1887" s="42" t="str">
        <v>Soviet Union</v>
      </c>
      <c r="K1887" s="42" t="str">
        <v xml:space="preserve"> </v>
      </c>
      <c r="L1887" s="42" t="str">
        <f t="shared" si="146"/>
        <v xml:space="preserve">1966.0|28 Jul 1966 - 19:30 |Match for third place|Wembley Stadium|London |Portugal|2.0|1.0|Soviet Union| </v>
      </c>
      <c r="M1887" s="42" t="str">
        <f>IF(COUNTIF($L$1689:L1887,L1887)&gt;1,"DOUBLON","OK")</f>
        <v>OK</v>
      </c>
      <c r="S1887" s="12" t="str">
        <v>Saudi Arabia</v>
      </c>
      <c r="T1887" s="12" t="str">
        <f t="shared" si="143"/>
        <v>OK</v>
      </c>
      <c r="U1887" s="12" t="str">
        <f t="shared" si="144"/>
        <v>-</v>
      </c>
      <c r="V1887" s="12" t="str" cm="1">
        <f t="array" ref="V1887">_xlfn.IFS(
ISNUMBER(SEARCH("USA",S1887)),"United States",
ISNUMBER(SEARCH("Republic of Ireland",S1887)),"Ireland",
ISNUMBER(SEARCH("Republic of Korea",S1887)),"South Korea",
ISNUMBER(SEARCH("Cape Verde",S1887)),"Cabo Verde",
ISNUMBER(SEARCH("Czechia",S1887)),"Czech Republic",
ISNUMBER(SEARCH("Türkiye",S1887)),"Turkey",
ISNUMBER(SEARCH("Ivory Coast",S1887)),"Côte d'Ivoire",
ISNUMBER(SEARCH("Korea Republic",S1887)),"South Korea",
ISNUMBER(SEARCH("Germany FR",S1887)),"FR Germany",
ISNUMBER(SEARCH("West Germany",S1887)),"FR Germany",
ISNUMBER(SEARCH("Germany DR",S1887)),"DR Germany",
ISNUMBER(SEARCH("Korea DPR",S1887)),"North Korea",
ISNUMBER(SEARCH("China PR",S1887)),"China",
ISNUMBER(SEARCH("IR Iran",S1887)),"Iran",
ISNUMBER(SEARCH("Congo DR",S1887)),"Democratic Republic of the Congo",
ISNUMBER(SEARCH("DR Congo",S1887)),"Democratic Republic of the Congo",
ISNUMBER(SEARCH("German DR",S1887)),"DR Germany",
ISNUMBER(SEARCH("rn""&gt;United Arab Emirates",S1887)),"United Arab Emirates",
ISNUMBER(SEARCH("rn""&gt;Republic of Ireland",S1887)),"Ireland",
ISNUMBER(SEARCH("rn""&gt;Bosnia and Herzegovina",S1887)),"Bosnia and Herzegovina",
ISNUMBER(SEARCH("rn""&gt;Trinidad and Tobago",S1887)),"Trinidad and Tobago",
ISNUMBER(SEARCH("rn""&gt;Serbia and Montenegro",S1887)),"Serbia and Montenegro",
ISNUMBER(SEARCH(_xlfn.UNICHAR(65533),S1887)),"Côte d'Ivoire",
TRUE,""
)</f>
        <v/>
      </c>
      <c r="W1887" s="12" t="str">
        <f t="shared" si="145"/>
        <v>Saudi Arabia</v>
      </c>
    </row>
    <row r="1888" spans="2:23">
      <c r="B1888" s="76" t="str">
        <v>1966.0</v>
      </c>
      <c r="C1888" s="42" t="str">
        <v xml:space="preserve">30 Jul 1966 - 15:00 </v>
      </c>
      <c r="D1888" s="42" t="str">
        <v>Final</v>
      </c>
      <c r="E1888" s="42" t="str">
        <v>Wembley Stadium</v>
      </c>
      <c r="F1888" s="42" t="str">
        <v xml:space="preserve">London </v>
      </c>
      <c r="G1888" s="42" t="str">
        <v>England</v>
      </c>
      <c r="H1888" s="42" t="str">
        <v>4.0</v>
      </c>
      <c r="I1888" s="42" t="str">
        <v>2.0</v>
      </c>
      <c r="J1888" s="42" t="str">
        <v>Germany FR</v>
      </c>
      <c r="K1888" s="42" t="str">
        <v xml:space="preserve">England win after extra time </v>
      </c>
      <c r="L1888" s="42" t="str">
        <f t="shared" si="146"/>
        <v xml:space="preserve">1966.0|30 Jul 1966 - 15:00 |Final|Wembley Stadium|London |England|4.0|2.0|Germany FR|England win after extra time </v>
      </c>
      <c r="M1888" s="42" t="str">
        <f>IF(COUNTIF($L$1689:L1888,L1888)&gt;1,"DOUBLON","OK")</f>
        <v>OK</v>
      </c>
      <c r="S1888" s="12" t="str">
        <v>Saudi Arabia</v>
      </c>
      <c r="T1888" s="12" t="str">
        <f t="shared" si="143"/>
        <v>OK</v>
      </c>
      <c r="U1888" s="12" t="str">
        <f t="shared" si="144"/>
        <v>-</v>
      </c>
      <c r="V1888" s="12" t="str" cm="1">
        <f t="array" ref="V1888">_xlfn.IFS(
ISNUMBER(SEARCH("USA",S1888)),"United States",
ISNUMBER(SEARCH("Republic of Ireland",S1888)),"Ireland",
ISNUMBER(SEARCH("Republic of Korea",S1888)),"South Korea",
ISNUMBER(SEARCH("Cape Verde",S1888)),"Cabo Verde",
ISNUMBER(SEARCH("Czechia",S1888)),"Czech Republic",
ISNUMBER(SEARCH("Türkiye",S1888)),"Turkey",
ISNUMBER(SEARCH("Ivory Coast",S1888)),"Côte d'Ivoire",
ISNUMBER(SEARCH("Korea Republic",S1888)),"South Korea",
ISNUMBER(SEARCH("Germany FR",S1888)),"FR Germany",
ISNUMBER(SEARCH("West Germany",S1888)),"FR Germany",
ISNUMBER(SEARCH("Germany DR",S1888)),"DR Germany",
ISNUMBER(SEARCH("Korea DPR",S1888)),"North Korea",
ISNUMBER(SEARCH("China PR",S1888)),"China",
ISNUMBER(SEARCH("IR Iran",S1888)),"Iran",
ISNUMBER(SEARCH("Congo DR",S1888)),"Democratic Republic of the Congo",
ISNUMBER(SEARCH("DR Congo",S1888)),"Democratic Republic of the Congo",
ISNUMBER(SEARCH("German DR",S1888)),"DR Germany",
ISNUMBER(SEARCH("rn""&gt;United Arab Emirates",S1888)),"United Arab Emirates",
ISNUMBER(SEARCH("rn""&gt;Republic of Ireland",S1888)),"Ireland",
ISNUMBER(SEARCH("rn""&gt;Bosnia and Herzegovina",S1888)),"Bosnia and Herzegovina",
ISNUMBER(SEARCH("rn""&gt;Trinidad and Tobago",S1888)),"Trinidad and Tobago",
ISNUMBER(SEARCH("rn""&gt;Serbia and Montenegro",S1888)),"Serbia and Montenegro",
ISNUMBER(SEARCH(_xlfn.UNICHAR(65533),S1888)),"Côte d'Ivoire",
TRUE,""
)</f>
        <v/>
      </c>
      <c r="W1888" s="12" t="str">
        <f t="shared" si="145"/>
        <v>Saudi Arabia</v>
      </c>
    </row>
    <row r="1889" spans="2:23">
      <c r="B1889" s="76" t="str">
        <v>1970.0</v>
      </c>
      <c r="C1889" s="42" t="str">
        <v xml:space="preserve">31 May 1970 - 12:00 </v>
      </c>
      <c r="D1889" s="42" t="str">
        <v>Group 1</v>
      </c>
      <c r="E1889" s="42" t="str">
        <v>Estadio Azteca</v>
      </c>
      <c r="F1889" s="42" t="str">
        <v xml:space="preserve">Mexico City </v>
      </c>
      <c r="G1889" s="42" t="str">
        <v>Mexico</v>
      </c>
      <c r="H1889" s="42" t="str">
        <v>0.0</v>
      </c>
      <c r="I1889" s="42" t="str">
        <v>0.0</v>
      </c>
      <c r="J1889" s="42" t="str">
        <v>Soviet Union</v>
      </c>
      <c r="K1889" s="42" t="str">
        <v xml:space="preserve"> </v>
      </c>
      <c r="L1889" s="42" t="str">
        <f t="shared" si="146"/>
        <v xml:space="preserve">1970.0|31 May 1970 - 12:00 |Group 1|Estadio Azteca|Mexico City |Mexico|0.0|0.0|Soviet Union| </v>
      </c>
      <c r="M1889" s="42" t="str">
        <f>IF(COUNTIF($L$1689:L1889,L1889)&gt;1,"DOUBLON","OK")</f>
        <v>OK</v>
      </c>
      <c r="S1889" s="12" t="str">
        <v>Saudi Arabia</v>
      </c>
      <c r="T1889" s="12" t="str">
        <f t="shared" ref="T1889:T1952" si="147">IF(COUNTIF(R$13:R$250,S1889)=1,"OK","ERREUR")</f>
        <v>OK</v>
      </c>
      <c r="U1889" s="12" t="str">
        <f t="shared" si="144"/>
        <v>-</v>
      </c>
      <c r="V1889" s="12" t="str" cm="1">
        <f t="array" ref="V1889">_xlfn.IFS(
ISNUMBER(SEARCH("USA",S1889)),"United States",
ISNUMBER(SEARCH("Republic of Ireland",S1889)),"Ireland",
ISNUMBER(SEARCH("Republic of Korea",S1889)),"South Korea",
ISNUMBER(SEARCH("Cape Verde",S1889)),"Cabo Verde",
ISNUMBER(SEARCH("Czechia",S1889)),"Czech Republic",
ISNUMBER(SEARCH("Türkiye",S1889)),"Turkey",
ISNUMBER(SEARCH("Ivory Coast",S1889)),"Côte d'Ivoire",
ISNUMBER(SEARCH("Korea Republic",S1889)),"South Korea",
ISNUMBER(SEARCH("Germany FR",S1889)),"FR Germany",
ISNUMBER(SEARCH("West Germany",S1889)),"FR Germany",
ISNUMBER(SEARCH("Germany DR",S1889)),"DR Germany",
ISNUMBER(SEARCH("Korea DPR",S1889)),"North Korea",
ISNUMBER(SEARCH("China PR",S1889)),"China",
ISNUMBER(SEARCH("IR Iran",S1889)),"Iran",
ISNUMBER(SEARCH("Congo DR",S1889)),"Democratic Republic of the Congo",
ISNUMBER(SEARCH("DR Congo",S1889)),"Democratic Republic of the Congo",
ISNUMBER(SEARCH("German DR",S1889)),"DR Germany",
ISNUMBER(SEARCH("rn""&gt;United Arab Emirates",S1889)),"United Arab Emirates",
ISNUMBER(SEARCH("rn""&gt;Republic of Ireland",S1889)),"Ireland",
ISNUMBER(SEARCH("rn""&gt;Bosnia and Herzegovina",S1889)),"Bosnia and Herzegovina",
ISNUMBER(SEARCH("rn""&gt;Trinidad and Tobago",S1889)),"Trinidad and Tobago",
ISNUMBER(SEARCH("rn""&gt;Serbia and Montenegro",S1889)),"Serbia and Montenegro",
ISNUMBER(SEARCH(_xlfn.UNICHAR(65533),S1889)),"Côte d'Ivoire",
TRUE,""
)</f>
        <v/>
      </c>
      <c r="W1889" s="12" t="str">
        <f t="shared" si="145"/>
        <v>Saudi Arabia</v>
      </c>
    </row>
    <row r="1890" spans="2:23">
      <c r="B1890" s="76" t="str">
        <v>1970.0</v>
      </c>
      <c r="C1890" s="42" t="str">
        <v xml:space="preserve">02 Jun 1970 - 16:00 </v>
      </c>
      <c r="D1890" s="42" t="str">
        <v>Group 2</v>
      </c>
      <c r="E1890" s="42" t="str">
        <v>Cuauhtemoc</v>
      </c>
      <c r="F1890" s="42" t="str">
        <v xml:space="preserve">Puebla </v>
      </c>
      <c r="G1890" s="42" t="str">
        <v>Uruguay</v>
      </c>
      <c r="H1890" s="42" t="str">
        <v>2.0</v>
      </c>
      <c r="I1890" s="42" t="str">
        <v>0.0</v>
      </c>
      <c r="J1890" s="42" t="str">
        <v>Israel</v>
      </c>
      <c r="K1890" s="42" t="str">
        <v xml:space="preserve"> </v>
      </c>
      <c r="L1890" s="42" t="str">
        <f t="shared" si="146"/>
        <v xml:space="preserve">1970.0|02 Jun 1970 - 16:00 |Group 2|Cuauhtemoc|Puebla |Uruguay|2.0|0.0|Israel| </v>
      </c>
      <c r="M1890" s="42" t="str">
        <f>IF(COUNTIF($L$1689:L1890,L1890)&gt;1,"DOUBLON","OK")</f>
        <v>OK</v>
      </c>
      <c r="S1890" s="12" t="str">
        <v>Saudi Arabia</v>
      </c>
      <c r="T1890" s="12" t="str">
        <f t="shared" si="147"/>
        <v>OK</v>
      </c>
      <c r="U1890" s="12" t="str">
        <f t="shared" ref="U1890:U1953" si="148">IF(OR(S1890="Scotland",S1890="England",S1890="Wales",S1890="Yugoslavia",S1890="Czechoslovakia",S1890="Northern Ireland",S1890="Soviet Union",S1890="Zaire",S1890="Dutch East Indies"),"AUCUNE",IF(OR(S1890="Cape Verde",S1890="USA",S1890="DR Congo",S1890="Republic of Korea",S1890="Germany FR",S1890="Germany DR",S1890="Czechia",S1890="Ivory Coast",S1890="Korea DPR",S1890="China PR",S1890="IR Iran",S1890="Türkiye",S1890="Congo DR",S1890="German DR",S1890="West Germany",S1890="Republic of Ireland",ISNUMBER(SEARCH("rn""&gt;United Arab Emirates",S1890)),ISNUMBER(SEARCH("rn""&gt;Republic of Ireland",S1890)),ISNUMBER(SEARCH("rn""&gt;Bosnia and Herzegovina",S1890)),ISNUMBER(SEARCH("rn""&gt;Trinidad and Tobago",S1890)),ISNUMBER(SEARCH("rn""&gt;Serbia and Montenegro",S1890)),ISNUMBER(SEARCH(_xlfn.UNICHAR(65533),S1890))),"RENOMMER","-"))</f>
        <v>-</v>
      </c>
      <c r="V1890" s="12" t="str" cm="1">
        <f t="array" ref="V1890">_xlfn.IFS(
ISNUMBER(SEARCH("USA",S1890)),"United States",
ISNUMBER(SEARCH("Republic of Ireland",S1890)),"Ireland",
ISNUMBER(SEARCH("Republic of Korea",S1890)),"South Korea",
ISNUMBER(SEARCH("Cape Verde",S1890)),"Cabo Verde",
ISNUMBER(SEARCH("Czechia",S1890)),"Czech Republic",
ISNUMBER(SEARCH("Türkiye",S1890)),"Turkey",
ISNUMBER(SEARCH("Ivory Coast",S1890)),"Côte d'Ivoire",
ISNUMBER(SEARCH("Korea Republic",S1890)),"South Korea",
ISNUMBER(SEARCH("Germany FR",S1890)),"FR Germany",
ISNUMBER(SEARCH("West Germany",S1890)),"FR Germany",
ISNUMBER(SEARCH("Germany DR",S1890)),"DR Germany",
ISNUMBER(SEARCH("Korea DPR",S1890)),"North Korea",
ISNUMBER(SEARCH("China PR",S1890)),"China",
ISNUMBER(SEARCH("IR Iran",S1890)),"Iran",
ISNUMBER(SEARCH("Congo DR",S1890)),"Democratic Republic of the Congo",
ISNUMBER(SEARCH("DR Congo",S1890)),"Democratic Republic of the Congo",
ISNUMBER(SEARCH("German DR",S1890)),"DR Germany",
ISNUMBER(SEARCH("rn""&gt;United Arab Emirates",S1890)),"United Arab Emirates",
ISNUMBER(SEARCH("rn""&gt;Republic of Ireland",S1890)),"Ireland",
ISNUMBER(SEARCH("rn""&gt;Bosnia and Herzegovina",S1890)),"Bosnia and Herzegovina",
ISNUMBER(SEARCH("rn""&gt;Trinidad and Tobago",S1890)),"Trinidad and Tobago",
ISNUMBER(SEARCH("rn""&gt;Serbia and Montenegro",S1890)),"Serbia and Montenegro",
ISNUMBER(SEARCH(_xlfn.UNICHAR(65533),S1890)),"Côte d'Ivoire",
TRUE,""
)</f>
        <v/>
      </c>
      <c r="W1890" s="12" t="str">
        <f t="shared" ref="W1890:W1953" si="149">IF(V1890="",S1890,V1890)</f>
        <v>Saudi Arabia</v>
      </c>
    </row>
    <row r="1891" spans="2:23">
      <c r="B1891" s="76" t="str">
        <v>1970.0</v>
      </c>
      <c r="C1891" s="42" t="str">
        <v xml:space="preserve">02 Jun 1970 - 16:00 </v>
      </c>
      <c r="D1891" s="42" t="str">
        <v>Group 4</v>
      </c>
      <c r="E1891" s="42" t="str">
        <v>Nou Camp - Estadio Le�n</v>
      </c>
      <c r="F1891" s="42" t="str">
        <v xml:space="preserve">Leon </v>
      </c>
      <c r="G1891" s="42" t="str">
        <v>Peru</v>
      </c>
      <c r="H1891" s="42" t="str">
        <v>3.0</v>
      </c>
      <c r="I1891" s="42" t="str">
        <v>2.0</v>
      </c>
      <c r="J1891" s="42" t="str">
        <v>Bulgaria</v>
      </c>
      <c r="K1891" s="42" t="str">
        <v xml:space="preserve"> </v>
      </c>
      <c r="L1891" s="42" t="str">
        <f t="shared" si="146"/>
        <v xml:space="preserve">1970.0|02 Jun 1970 - 16:00 |Group 4|Nou Camp - Estadio Le�n|Leon |Peru|3.0|2.0|Bulgaria| </v>
      </c>
      <c r="M1891" s="42" t="str">
        <f>IF(COUNTIF($L$1689:L1891,L1891)&gt;1,"DOUBLON","OK")</f>
        <v>OK</v>
      </c>
      <c r="S1891" s="12" t="str">
        <v>Saudi Arabia</v>
      </c>
      <c r="T1891" s="12" t="str">
        <f t="shared" si="147"/>
        <v>OK</v>
      </c>
      <c r="U1891" s="12" t="str">
        <f t="shared" si="148"/>
        <v>-</v>
      </c>
      <c r="V1891" s="12" t="str" cm="1">
        <f t="array" ref="V1891">_xlfn.IFS(
ISNUMBER(SEARCH("USA",S1891)),"United States",
ISNUMBER(SEARCH("Republic of Ireland",S1891)),"Ireland",
ISNUMBER(SEARCH("Republic of Korea",S1891)),"South Korea",
ISNUMBER(SEARCH("Cape Verde",S1891)),"Cabo Verde",
ISNUMBER(SEARCH("Czechia",S1891)),"Czech Republic",
ISNUMBER(SEARCH("Türkiye",S1891)),"Turkey",
ISNUMBER(SEARCH("Ivory Coast",S1891)),"Côte d'Ivoire",
ISNUMBER(SEARCH("Korea Republic",S1891)),"South Korea",
ISNUMBER(SEARCH("Germany FR",S1891)),"FR Germany",
ISNUMBER(SEARCH("West Germany",S1891)),"FR Germany",
ISNUMBER(SEARCH("Germany DR",S1891)),"DR Germany",
ISNUMBER(SEARCH("Korea DPR",S1891)),"North Korea",
ISNUMBER(SEARCH("China PR",S1891)),"China",
ISNUMBER(SEARCH("IR Iran",S1891)),"Iran",
ISNUMBER(SEARCH("Congo DR",S1891)),"Democratic Republic of the Congo",
ISNUMBER(SEARCH("DR Congo",S1891)),"Democratic Republic of the Congo",
ISNUMBER(SEARCH("German DR",S1891)),"DR Germany",
ISNUMBER(SEARCH("rn""&gt;United Arab Emirates",S1891)),"United Arab Emirates",
ISNUMBER(SEARCH("rn""&gt;Republic of Ireland",S1891)),"Ireland",
ISNUMBER(SEARCH("rn""&gt;Bosnia and Herzegovina",S1891)),"Bosnia and Herzegovina",
ISNUMBER(SEARCH("rn""&gt;Trinidad and Tobago",S1891)),"Trinidad and Tobago",
ISNUMBER(SEARCH("rn""&gt;Serbia and Montenegro",S1891)),"Serbia and Montenegro",
ISNUMBER(SEARCH(_xlfn.UNICHAR(65533),S1891)),"Côte d'Ivoire",
TRUE,""
)</f>
        <v/>
      </c>
      <c r="W1891" s="12" t="str">
        <f t="shared" si="149"/>
        <v>Saudi Arabia</v>
      </c>
    </row>
    <row r="1892" spans="2:23">
      <c r="B1892" s="76" t="str">
        <v>1970.0</v>
      </c>
      <c r="C1892" s="42" t="str">
        <v xml:space="preserve">02 Jun 1970 - 16:00 </v>
      </c>
      <c r="D1892" s="42" t="str">
        <v>Group 3</v>
      </c>
      <c r="E1892" s="42" t="str">
        <v>Jalisco</v>
      </c>
      <c r="F1892" s="42" t="str">
        <v xml:space="preserve">Guadalajara </v>
      </c>
      <c r="G1892" s="42" t="str">
        <v>England</v>
      </c>
      <c r="H1892" s="42" t="str">
        <v>1.0</v>
      </c>
      <c r="I1892" s="42" t="str">
        <v>0.0</v>
      </c>
      <c r="J1892" s="42" t="str">
        <v>Romania</v>
      </c>
      <c r="K1892" s="42" t="str">
        <v xml:space="preserve"> </v>
      </c>
      <c r="L1892" s="42" t="str">
        <f t="shared" si="146"/>
        <v xml:space="preserve">1970.0|02 Jun 1970 - 16:00 |Group 3|Jalisco|Guadalajara |England|1.0|0.0|Romania| </v>
      </c>
      <c r="M1892" s="42" t="str">
        <f>IF(COUNTIF($L$1689:L1892,L1892)&gt;1,"DOUBLON","OK")</f>
        <v>OK</v>
      </c>
      <c r="S1892" s="12" t="str">
        <v>Saudi Arabia</v>
      </c>
      <c r="T1892" s="12" t="str">
        <f t="shared" si="147"/>
        <v>OK</v>
      </c>
      <c r="U1892" s="12" t="str">
        <f t="shared" si="148"/>
        <v>-</v>
      </c>
      <c r="V1892" s="12" t="str" cm="1">
        <f t="array" ref="V1892">_xlfn.IFS(
ISNUMBER(SEARCH("USA",S1892)),"United States",
ISNUMBER(SEARCH("Republic of Ireland",S1892)),"Ireland",
ISNUMBER(SEARCH("Republic of Korea",S1892)),"South Korea",
ISNUMBER(SEARCH("Cape Verde",S1892)),"Cabo Verde",
ISNUMBER(SEARCH("Czechia",S1892)),"Czech Republic",
ISNUMBER(SEARCH("Türkiye",S1892)),"Turkey",
ISNUMBER(SEARCH("Ivory Coast",S1892)),"Côte d'Ivoire",
ISNUMBER(SEARCH("Korea Republic",S1892)),"South Korea",
ISNUMBER(SEARCH("Germany FR",S1892)),"FR Germany",
ISNUMBER(SEARCH("West Germany",S1892)),"FR Germany",
ISNUMBER(SEARCH("Germany DR",S1892)),"DR Germany",
ISNUMBER(SEARCH("Korea DPR",S1892)),"North Korea",
ISNUMBER(SEARCH("China PR",S1892)),"China",
ISNUMBER(SEARCH("IR Iran",S1892)),"Iran",
ISNUMBER(SEARCH("Congo DR",S1892)),"Democratic Republic of the Congo",
ISNUMBER(SEARCH("DR Congo",S1892)),"Democratic Republic of the Congo",
ISNUMBER(SEARCH("German DR",S1892)),"DR Germany",
ISNUMBER(SEARCH("rn""&gt;United Arab Emirates",S1892)),"United Arab Emirates",
ISNUMBER(SEARCH("rn""&gt;Republic of Ireland",S1892)),"Ireland",
ISNUMBER(SEARCH("rn""&gt;Bosnia and Herzegovina",S1892)),"Bosnia and Herzegovina",
ISNUMBER(SEARCH("rn""&gt;Trinidad and Tobago",S1892)),"Trinidad and Tobago",
ISNUMBER(SEARCH("rn""&gt;Serbia and Montenegro",S1892)),"Serbia and Montenegro",
ISNUMBER(SEARCH(_xlfn.UNICHAR(65533),S1892)),"Côte d'Ivoire",
TRUE,""
)</f>
        <v/>
      </c>
      <c r="W1892" s="12" t="str">
        <f t="shared" si="149"/>
        <v>Saudi Arabia</v>
      </c>
    </row>
    <row r="1893" spans="2:23">
      <c r="B1893" s="76" t="str">
        <v>1970.0</v>
      </c>
      <c r="C1893" s="42" t="str">
        <v xml:space="preserve">03 Jun 1970 - 16:00 </v>
      </c>
      <c r="D1893" s="42" t="str">
        <v>Group 2</v>
      </c>
      <c r="E1893" s="42" t="str">
        <v>Luis Dosal</v>
      </c>
      <c r="F1893" s="42" t="str">
        <v xml:space="preserve">Toluca </v>
      </c>
      <c r="G1893" s="42" t="str">
        <v>Italy</v>
      </c>
      <c r="H1893" s="42" t="str">
        <v>1.0</v>
      </c>
      <c r="I1893" s="42" t="str">
        <v>0.0</v>
      </c>
      <c r="J1893" s="42" t="str">
        <v>Sweden</v>
      </c>
      <c r="K1893" s="42" t="str">
        <v xml:space="preserve"> </v>
      </c>
      <c r="L1893" s="42" t="str">
        <f t="shared" si="146"/>
        <v xml:space="preserve">1970.0|03 Jun 1970 - 16:00 |Group 2|Luis Dosal|Toluca |Italy|1.0|0.0|Sweden| </v>
      </c>
      <c r="M1893" s="42" t="str">
        <f>IF(COUNTIF($L$1689:L1893,L1893)&gt;1,"DOUBLON","OK")</f>
        <v>OK</v>
      </c>
      <c r="S1893" s="12" t="str">
        <v>Saudi Arabia</v>
      </c>
      <c r="T1893" s="12" t="str">
        <f t="shared" si="147"/>
        <v>OK</v>
      </c>
      <c r="U1893" s="12" t="str">
        <f t="shared" si="148"/>
        <v>-</v>
      </c>
      <c r="V1893" s="12" t="str" cm="1">
        <f t="array" ref="V1893">_xlfn.IFS(
ISNUMBER(SEARCH("USA",S1893)),"United States",
ISNUMBER(SEARCH("Republic of Ireland",S1893)),"Ireland",
ISNUMBER(SEARCH("Republic of Korea",S1893)),"South Korea",
ISNUMBER(SEARCH("Cape Verde",S1893)),"Cabo Verde",
ISNUMBER(SEARCH("Czechia",S1893)),"Czech Republic",
ISNUMBER(SEARCH("Türkiye",S1893)),"Turkey",
ISNUMBER(SEARCH("Ivory Coast",S1893)),"Côte d'Ivoire",
ISNUMBER(SEARCH("Korea Republic",S1893)),"South Korea",
ISNUMBER(SEARCH("Germany FR",S1893)),"FR Germany",
ISNUMBER(SEARCH("West Germany",S1893)),"FR Germany",
ISNUMBER(SEARCH("Germany DR",S1893)),"DR Germany",
ISNUMBER(SEARCH("Korea DPR",S1893)),"North Korea",
ISNUMBER(SEARCH("China PR",S1893)),"China",
ISNUMBER(SEARCH("IR Iran",S1893)),"Iran",
ISNUMBER(SEARCH("Congo DR",S1893)),"Democratic Republic of the Congo",
ISNUMBER(SEARCH("DR Congo",S1893)),"Democratic Republic of the Congo",
ISNUMBER(SEARCH("German DR",S1893)),"DR Germany",
ISNUMBER(SEARCH("rn""&gt;United Arab Emirates",S1893)),"United Arab Emirates",
ISNUMBER(SEARCH("rn""&gt;Republic of Ireland",S1893)),"Ireland",
ISNUMBER(SEARCH("rn""&gt;Bosnia and Herzegovina",S1893)),"Bosnia and Herzegovina",
ISNUMBER(SEARCH("rn""&gt;Trinidad and Tobago",S1893)),"Trinidad and Tobago",
ISNUMBER(SEARCH("rn""&gt;Serbia and Montenegro",S1893)),"Serbia and Montenegro",
ISNUMBER(SEARCH(_xlfn.UNICHAR(65533),S1893)),"Côte d'Ivoire",
TRUE,""
)</f>
        <v/>
      </c>
      <c r="W1893" s="12" t="str">
        <f t="shared" si="149"/>
        <v>Saudi Arabia</v>
      </c>
    </row>
    <row r="1894" spans="2:23">
      <c r="B1894" s="76" t="str">
        <v>1970.0</v>
      </c>
      <c r="C1894" s="42" t="str">
        <v xml:space="preserve">03 Jun 1970 - 16:00 </v>
      </c>
      <c r="D1894" s="42" t="str">
        <v>Group 4</v>
      </c>
      <c r="E1894" s="42" t="str">
        <v>Nou Camp - Estadio Le�n</v>
      </c>
      <c r="F1894" s="42" t="str">
        <v xml:space="preserve">Leon </v>
      </c>
      <c r="G1894" s="42" t="str">
        <v>Germany FR</v>
      </c>
      <c r="H1894" s="42" t="str">
        <v>2.0</v>
      </c>
      <c r="I1894" s="42" t="str">
        <v>1.0</v>
      </c>
      <c r="J1894" s="42" t="str">
        <v>Morocco</v>
      </c>
      <c r="K1894" s="42" t="str">
        <v xml:space="preserve"> </v>
      </c>
      <c r="L1894" s="42" t="str">
        <f t="shared" si="146"/>
        <v xml:space="preserve">1970.0|03 Jun 1970 - 16:00 |Group 4|Nou Camp - Estadio Le�n|Leon |Germany FR|2.0|1.0|Morocco| </v>
      </c>
      <c r="M1894" s="42" t="str">
        <f>IF(COUNTIF($L$1689:L1894,L1894)&gt;1,"DOUBLON","OK")</f>
        <v>OK</v>
      </c>
      <c r="S1894" s="12" t="str">
        <v>Saudi Arabia</v>
      </c>
      <c r="T1894" s="12" t="str">
        <f t="shared" si="147"/>
        <v>OK</v>
      </c>
      <c r="U1894" s="12" t="str">
        <f t="shared" si="148"/>
        <v>-</v>
      </c>
      <c r="V1894" s="12" t="str" cm="1">
        <f t="array" ref="V1894">_xlfn.IFS(
ISNUMBER(SEARCH("USA",S1894)),"United States",
ISNUMBER(SEARCH("Republic of Ireland",S1894)),"Ireland",
ISNUMBER(SEARCH("Republic of Korea",S1894)),"South Korea",
ISNUMBER(SEARCH("Cape Verde",S1894)),"Cabo Verde",
ISNUMBER(SEARCH("Czechia",S1894)),"Czech Republic",
ISNUMBER(SEARCH("Türkiye",S1894)),"Turkey",
ISNUMBER(SEARCH("Ivory Coast",S1894)),"Côte d'Ivoire",
ISNUMBER(SEARCH("Korea Republic",S1894)),"South Korea",
ISNUMBER(SEARCH("Germany FR",S1894)),"FR Germany",
ISNUMBER(SEARCH("West Germany",S1894)),"FR Germany",
ISNUMBER(SEARCH("Germany DR",S1894)),"DR Germany",
ISNUMBER(SEARCH("Korea DPR",S1894)),"North Korea",
ISNUMBER(SEARCH("China PR",S1894)),"China",
ISNUMBER(SEARCH("IR Iran",S1894)),"Iran",
ISNUMBER(SEARCH("Congo DR",S1894)),"Democratic Republic of the Congo",
ISNUMBER(SEARCH("DR Congo",S1894)),"Democratic Republic of the Congo",
ISNUMBER(SEARCH("German DR",S1894)),"DR Germany",
ISNUMBER(SEARCH("rn""&gt;United Arab Emirates",S1894)),"United Arab Emirates",
ISNUMBER(SEARCH("rn""&gt;Republic of Ireland",S1894)),"Ireland",
ISNUMBER(SEARCH("rn""&gt;Bosnia and Herzegovina",S1894)),"Bosnia and Herzegovina",
ISNUMBER(SEARCH("rn""&gt;Trinidad and Tobago",S1894)),"Trinidad and Tobago",
ISNUMBER(SEARCH("rn""&gt;Serbia and Montenegro",S1894)),"Serbia and Montenegro",
ISNUMBER(SEARCH(_xlfn.UNICHAR(65533),S1894)),"Côte d'Ivoire",
TRUE,""
)</f>
        <v/>
      </c>
      <c r="W1894" s="12" t="str">
        <f t="shared" si="149"/>
        <v>Saudi Arabia</v>
      </c>
    </row>
    <row r="1895" spans="2:23">
      <c r="B1895" s="76" t="str">
        <v>1970.0</v>
      </c>
      <c r="C1895" s="42" t="str">
        <v xml:space="preserve">03 Jun 1970 - 16:00 </v>
      </c>
      <c r="D1895" s="42" t="str">
        <v>Group 3</v>
      </c>
      <c r="E1895" s="42" t="str">
        <v>Jalisco</v>
      </c>
      <c r="F1895" s="42" t="str">
        <v xml:space="preserve">Guadalajara </v>
      </c>
      <c r="G1895" s="42" t="str">
        <v>Brazil</v>
      </c>
      <c r="H1895" s="42" t="str">
        <v>4.0</v>
      </c>
      <c r="I1895" s="42" t="str">
        <v>1.0</v>
      </c>
      <c r="J1895" s="42" t="str">
        <v>Czechoslovakia</v>
      </c>
      <c r="K1895" s="42" t="str">
        <v xml:space="preserve"> </v>
      </c>
      <c r="L1895" s="42" t="str">
        <f t="shared" si="146"/>
        <v xml:space="preserve">1970.0|03 Jun 1970 - 16:00 |Group 3|Jalisco|Guadalajara |Brazil|4.0|1.0|Czechoslovakia| </v>
      </c>
      <c r="M1895" s="42" t="str">
        <f>IF(COUNTIF($L$1689:L1895,L1895)&gt;1,"DOUBLON","OK")</f>
        <v>OK</v>
      </c>
      <c r="S1895" s="12" t="str">
        <v>Saudi Arabia</v>
      </c>
      <c r="T1895" s="12" t="str">
        <f t="shared" si="147"/>
        <v>OK</v>
      </c>
      <c r="U1895" s="12" t="str">
        <f t="shared" si="148"/>
        <v>-</v>
      </c>
      <c r="V1895" s="12" t="str" cm="1">
        <f t="array" ref="V1895">_xlfn.IFS(
ISNUMBER(SEARCH("USA",S1895)),"United States",
ISNUMBER(SEARCH("Republic of Ireland",S1895)),"Ireland",
ISNUMBER(SEARCH("Republic of Korea",S1895)),"South Korea",
ISNUMBER(SEARCH("Cape Verde",S1895)),"Cabo Verde",
ISNUMBER(SEARCH("Czechia",S1895)),"Czech Republic",
ISNUMBER(SEARCH("Türkiye",S1895)),"Turkey",
ISNUMBER(SEARCH("Ivory Coast",S1895)),"Côte d'Ivoire",
ISNUMBER(SEARCH("Korea Republic",S1895)),"South Korea",
ISNUMBER(SEARCH("Germany FR",S1895)),"FR Germany",
ISNUMBER(SEARCH("West Germany",S1895)),"FR Germany",
ISNUMBER(SEARCH("Germany DR",S1895)),"DR Germany",
ISNUMBER(SEARCH("Korea DPR",S1895)),"North Korea",
ISNUMBER(SEARCH("China PR",S1895)),"China",
ISNUMBER(SEARCH("IR Iran",S1895)),"Iran",
ISNUMBER(SEARCH("Congo DR",S1895)),"Democratic Republic of the Congo",
ISNUMBER(SEARCH("DR Congo",S1895)),"Democratic Republic of the Congo",
ISNUMBER(SEARCH("German DR",S1895)),"DR Germany",
ISNUMBER(SEARCH("rn""&gt;United Arab Emirates",S1895)),"United Arab Emirates",
ISNUMBER(SEARCH("rn""&gt;Republic of Ireland",S1895)),"Ireland",
ISNUMBER(SEARCH("rn""&gt;Bosnia and Herzegovina",S1895)),"Bosnia and Herzegovina",
ISNUMBER(SEARCH("rn""&gt;Trinidad and Tobago",S1895)),"Trinidad and Tobago",
ISNUMBER(SEARCH("rn""&gt;Serbia and Montenegro",S1895)),"Serbia and Montenegro",
ISNUMBER(SEARCH(_xlfn.UNICHAR(65533),S1895)),"Côte d'Ivoire",
TRUE,""
)</f>
        <v/>
      </c>
      <c r="W1895" s="12" t="str">
        <f t="shared" si="149"/>
        <v>Saudi Arabia</v>
      </c>
    </row>
    <row r="1896" spans="2:23">
      <c r="B1896" s="76" t="str">
        <v>1970.0</v>
      </c>
      <c r="C1896" s="42" t="str">
        <v xml:space="preserve">03 Jun 1970 - 16:00 </v>
      </c>
      <c r="D1896" s="42" t="str">
        <v>Group 1</v>
      </c>
      <c r="E1896" s="42" t="str">
        <v>Estadio Azteca</v>
      </c>
      <c r="F1896" s="42" t="str">
        <v xml:space="preserve">Mexico City </v>
      </c>
      <c r="G1896" s="42" t="str">
        <v>Belgium</v>
      </c>
      <c r="H1896" s="42" t="str">
        <v>3.0</v>
      </c>
      <c r="I1896" s="42" t="str">
        <v>0.0</v>
      </c>
      <c r="J1896" s="42" t="str">
        <v>El Salvador</v>
      </c>
      <c r="K1896" s="42" t="str">
        <v xml:space="preserve"> </v>
      </c>
      <c r="L1896" s="42" t="str">
        <f t="shared" si="146"/>
        <v xml:space="preserve">1970.0|03 Jun 1970 - 16:00 |Group 1|Estadio Azteca|Mexico City |Belgium|3.0|0.0|El Salvador| </v>
      </c>
      <c r="M1896" s="42" t="str">
        <f>IF(COUNTIF($L$1689:L1896,L1896)&gt;1,"DOUBLON","OK")</f>
        <v>OK</v>
      </c>
      <c r="S1896" s="12" t="str">
        <v>Saudi Arabia</v>
      </c>
      <c r="T1896" s="12" t="str">
        <f t="shared" si="147"/>
        <v>OK</v>
      </c>
      <c r="U1896" s="12" t="str">
        <f t="shared" si="148"/>
        <v>-</v>
      </c>
      <c r="V1896" s="12" t="str" cm="1">
        <f t="array" ref="V1896">_xlfn.IFS(
ISNUMBER(SEARCH("USA",S1896)),"United States",
ISNUMBER(SEARCH("Republic of Ireland",S1896)),"Ireland",
ISNUMBER(SEARCH("Republic of Korea",S1896)),"South Korea",
ISNUMBER(SEARCH("Cape Verde",S1896)),"Cabo Verde",
ISNUMBER(SEARCH("Czechia",S1896)),"Czech Republic",
ISNUMBER(SEARCH("Türkiye",S1896)),"Turkey",
ISNUMBER(SEARCH("Ivory Coast",S1896)),"Côte d'Ivoire",
ISNUMBER(SEARCH("Korea Republic",S1896)),"South Korea",
ISNUMBER(SEARCH("Germany FR",S1896)),"FR Germany",
ISNUMBER(SEARCH("West Germany",S1896)),"FR Germany",
ISNUMBER(SEARCH("Germany DR",S1896)),"DR Germany",
ISNUMBER(SEARCH("Korea DPR",S1896)),"North Korea",
ISNUMBER(SEARCH("China PR",S1896)),"China",
ISNUMBER(SEARCH("IR Iran",S1896)),"Iran",
ISNUMBER(SEARCH("Congo DR",S1896)),"Democratic Republic of the Congo",
ISNUMBER(SEARCH("DR Congo",S1896)),"Democratic Republic of the Congo",
ISNUMBER(SEARCH("German DR",S1896)),"DR Germany",
ISNUMBER(SEARCH("rn""&gt;United Arab Emirates",S1896)),"United Arab Emirates",
ISNUMBER(SEARCH("rn""&gt;Republic of Ireland",S1896)),"Ireland",
ISNUMBER(SEARCH("rn""&gt;Bosnia and Herzegovina",S1896)),"Bosnia and Herzegovina",
ISNUMBER(SEARCH("rn""&gt;Trinidad and Tobago",S1896)),"Trinidad and Tobago",
ISNUMBER(SEARCH("rn""&gt;Serbia and Montenegro",S1896)),"Serbia and Montenegro",
ISNUMBER(SEARCH(_xlfn.UNICHAR(65533),S1896)),"Côte d'Ivoire",
TRUE,""
)</f>
        <v/>
      </c>
      <c r="W1896" s="12" t="str">
        <f t="shared" si="149"/>
        <v>Saudi Arabia</v>
      </c>
    </row>
    <row r="1897" spans="2:23">
      <c r="B1897" s="76" t="str">
        <v>1970.0</v>
      </c>
      <c r="C1897" s="42" t="str">
        <v xml:space="preserve">06 Jun 1970 - 16:00 </v>
      </c>
      <c r="D1897" s="42" t="str">
        <v>Group 2</v>
      </c>
      <c r="E1897" s="42" t="str">
        <v>Cuauhtemoc</v>
      </c>
      <c r="F1897" s="42" t="str">
        <v xml:space="preserve">Puebla </v>
      </c>
      <c r="G1897" s="42" t="str">
        <v>Uruguay</v>
      </c>
      <c r="H1897" s="42" t="str">
        <v>0.0</v>
      </c>
      <c r="I1897" s="42" t="str">
        <v>0.0</v>
      </c>
      <c r="J1897" s="42" t="str">
        <v>Italy</v>
      </c>
      <c r="K1897" s="42" t="str">
        <v xml:space="preserve"> </v>
      </c>
      <c r="L1897" s="42" t="str">
        <f t="shared" si="146"/>
        <v xml:space="preserve">1970.0|06 Jun 1970 - 16:00 |Group 2|Cuauhtemoc|Puebla |Uruguay|0.0|0.0|Italy| </v>
      </c>
      <c r="M1897" s="42" t="str">
        <f>IF(COUNTIF($L$1689:L1897,L1897)&gt;1,"DOUBLON","OK")</f>
        <v>OK</v>
      </c>
      <c r="S1897" s="12" t="str">
        <v>Saudi Arabia</v>
      </c>
      <c r="T1897" s="12" t="str">
        <f t="shared" si="147"/>
        <v>OK</v>
      </c>
      <c r="U1897" s="12" t="str">
        <f t="shared" si="148"/>
        <v>-</v>
      </c>
      <c r="V1897" s="12" t="str" cm="1">
        <f t="array" ref="V1897">_xlfn.IFS(
ISNUMBER(SEARCH("USA",S1897)),"United States",
ISNUMBER(SEARCH("Republic of Ireland",S1897)),"Ireland",
ISNUMBER(SEARCH("Republic of Korea",S1897)),"South Korea",
ISNUMBER(SEARCH("Cape Verde",S1897)),"Cabo Verde",
ISNUMBER(SEARCH("Czechia",S1897)),"Czech Republic",
ISNUMBER(SEARCH("Türkiye",S1897)),"Turkey",
ISNUMBER(SEARCH("Ivory Coast",S1897)),"Côte d'Ivoire",
ISNUMBER(SEARCH("Korea Republic",S1897)),"South Korea",
ISNUMBER(SEARCH("Germany FR",S1897)),"FR Germany",
ISNUMBER(SEARCH("West Germany",S1897)),"FR Germany",
ISNUMBER(SEARCH("Germany DR",S1897)),"DR Germany",
ISNUMBER(SEARCH("Korea DPR",S1897)),"North Korea",
ISNUMBER(SEARCH("China PR",S1897)),"China",
ISNUMBER(SEARCH("IR Iran",S1897)),"Iran",
ISNUMBER(SEARCH("Congo DR",S1897)),"Democratic Republic of the Congo",
ISNUMBER(SEARCH("DR Congo",S1897)),"Democratic Republic of the Congo",
ISNUMBER(SEARCH("German DR",S1897)),"DR Germany",
ISNUMBER(SEARCH("rn""&gt;United Arab Emirates",S1897)),"United Arab Emirates",
ISNUMBER(SEARCH("rn""&gt;Republic of Ireland",S1897)),"Ireland",
ISNUMBER(SEARCH("rn""&gt;Bosnia and Herzegovina",S1897)),"Bosnia and Herzegovina",
ISNUMBER(SEARCH("rn""&gt;Trinidad and Tobago",S1897)),"Trinidad and Tobago",
ISNUMBER(SEARCH("rn""&gt;Serbia and Montenegro",S1897)),"Serbia and Montenegro",
ISNUMBER(SEARCH(_xlfn.UNICHAR(65533),S1897)),"Côte d'Ivoire",
TRUE,""
)</f>
        <v/>
      </c>
      <c r="W1897" s="12" t="str">
        <f t="shared" si="149"/>
        <v>Saudi Arabia</v>
      </c>
    </row>
    <row r="1898" spans="2:23">
      <c r="B1898" s="76" t="str">
        <v>1970.0</v>
      </c>
      <c r="C1898" s="42" t="str">
        <v xml:space="preserve">06 Jun 1970 - 16:00 </v>
      </c>
      <c r="D1898" s="42" t="str">
        <v>Group 4</v>
      </c>
      <c r="E1898" s="42" t="str">
        <v>Nou Camp - Estadio Le�n</v>
      </c>
      <c r="F1898" s="42" t="str">
        <v xml:space="preserve">Leon </v>
      </c>
      <c r="G1898" s="42" t="str">
        <v>Peru</v>
      </c>
      <c r="H1898" s="42" t="str">
        <v>3.0</v>
      </c>
      <c r="I1898" s="42" t="str">
        <v>0.0</v>
      </c>
      <c r="J1898" s="42" t="str">
        <v>Morocco</v>
      </c>
      <c r="K1898" s="42" t="str">
        <v xml:space="preserve"> </v>
      </c>
      <c r="L1898" s="42" t="str">
        <f t="shared" si="146"/>
        <v xml:space="preserve">1970.0|06 Jun 1970 - 16:00 |Group 4|Nou Camp - Estadio Le�n|Leon |Peru|3.0|0.0|Morocco| </v>
      </c>
      <c r="M1898" s="42" t="str">
        <f>IF(COUNTIF($L$1689:L1898,L1898)&gt;1,"DOUBLON","OK")</f>
        <v>OK</v>
      </c>
      <c r="S1898" s="12" t="str">
        <v>Saudi Arabia</v>
      </c>
      <c r="T1898" s="12" t="str">
        <f t="shared" si="147"/>
        <v>OK</v>
      </c>
      <c r="U1898" s="12" t="str">
        <f t="shared" si="148"/>
        <v>-</v>
      </c>
      <c r="V1898" s="12" t="str" cm="1">
        <f t="array" ref="V1898">_xlfn.IFS(
ISNUMBER(SEARCH("USA",S1898)),"United States",
ISNUMBER(SEARCH("Republic of Ireland",S1898)),"Ireland",
ISNUMBER(SEARCH("Republic of Korea",S1898)),"South Korea",
ISNUMBER(SEARCH("Cape Verde",S1898)),"Cabo Verde",
ISNUMBER(SEARCH("Czechia",S1898)),"Czech Republic",
ISNUMBER(SEARCH("Türkiye",S1898)),"Turkey",
ISNUMBER(SEARCH("Ivory Coast",S1898)),"Côte d'Ivoire",
ISNUMBER(SEARCH("Korea Republic",S1898)),"South Korea",
ISNUMBER(SEARCH("Germany FR",S1898)),"FR Germany",
ISNUMBER(SEARCH("West Germany",S1898)),"FR Germany",
ISNUMBER(SEARCH("Germany DR",S1898)),"DR Germany",
ISNUMBER(SEARCH("Korea DPR",S1898)),"North Korea",
ISNUMBER(SEARCH("China PR",S1898)),"China",
ISNUMBER(SEARCH("IR Iran",S1898)),"Iran",
ISNUMBER(SEARCH("Congo DR",S1898)),"Democratic Republic of the Congo",
ISNUMBER(SEARCH("DR Congo",S1898)),"Democratic Republic of the Congo",
ISNUMBER(SEARCH("German DR",S1898)),"DR Germany",
ISNUMBER(SEARCH("rn""&gt;United Arab Emirates",S1898)),"United Arab Emirates",
ISNUMBER(SEARCH("rn""&gt;Republic of Ireland",S1898)),"Ireland",
ISNUMBER(SEARCH("rn""&gt;Bosnia and Herzegovina",S1898)),"Bosnia and Herzegovina",
ISNUMBER(SEARCH("rn""&gt;Trinidad and Tobago",S1898)),"Trinidad and Tobago",
ISNUMBER(SEARCH("rn""&gt;Serbia and Montenegro",S1898)),"Serbia and Montenegro",
ISNUMBER(SEARCH(_xlfn.UNICHAR(65533),S1898)),"Côte d'Ivoire",
TRUE,""
)</f>
        <v/>
      </c>
      <c r="W1898" s="12" t="str">
        <f t="shared" si="149"/>
        <v>Saudi Arabia</v>
      </c>
    </row>
    <row r="1899" spans="2:23">
      <c r="B1899" s="76" t="str">
        <v>1970.0</v>
      </c>
      <c r="C1899" s="42" t="str">
        <v xml:space="preserve">06 Jun 1970 - 16:00 </v>
      </c>
      <c r="D1899" s="42" t="str">
        <v>Group 3</v>
      </c>
      <c r="E1899" s="42" t="str">
        <v>Jalisco</v>
      </c>
      <c r="F1899" s="42" t="str">
        <v xml:space="preserve">Guadalajara </v>
      </c>
      <c r="G1899" s="42" t="str">
        <v>Romania</v>
      </c>
      <c r="H1899" s="42" t="str">
        <v>2.0</v>
      </c>
      <c r="I1899" s="42" t="str">
        <v>1.0</v>
      </c>
      <c r="J1899" s="42" t="str">
        <v>Czechoslovakia</v>
      </c>
      <c r="K1899" s="42" t="str">
        <v xml:space="preserve"> </v>
      </c>
      <c r="L1899" s="42" t="str">
        <f t="shared" si="146"/>
        <v xml:space="preserve">1970.0|06 Jun 1970 - 16:00 |Group 3|Jalisco|Guadalajara |Romania|2.0|1.0|Czechoslovakia| </v>
      </c>
      <c r="M1899" s="42" t="str">
        <f>IF(COUNTIF($L$1689:L1899,L1899)&gt;1,"DOUBLON","OK")</f>
        <v>OK</v>
      </c>
      <c r="S1899" s="12" t="str">
        <v>Saudi Arabia</v>
      </c>
      <c r="T1899" s="12" t="str">
        <f t="shared" si="147"/>
        <v>OK</v>
      </c>
      <c r="U1899" s="12" t="str">
        <f t="shared" si="148"/>
        <v>-</v>
      </c>
      <c r="V1899" s="12" t="str" cm="1">
        <f t="array" ref="V1899">_xlfn.IFS(
ISNUMBER(SEARCH("USA",S1899)),"United States",
ISNUMBER(SEARCH("Republic of Ireland",S1899)),"Ireland",
ISNUMBER(SEARCH("Republic of Korea",S1899)),"South Korea",
ISNUMBER(SEARCH("Cape Verde",S1899)),"Cabo Verde",
ISNUMBER(SEARCH("Czechia",S1899)),"Czech Republic",
ISNUMBER(SEARCH("Türkiye",S1899)),"Turkey",
ISNUMBER(SEARCH("Ivory Coast",S1899)),"Côte d'Ivoire",
ISNUMBER(SEARCH("Korea Republic",S1899)),"South Korea",
ISNUMBER(SEARCH("Germany FR",S1899)),"FR Germany",
ISNUMBER(SEARCH("West Germany",S1899)),"FR Germany",
ISNUMBER(SEARCH("Germany DR",S1899)),"DR Germany",
ISNUMBER(SEARCH("Korea DPR",S1899)),"North Korea",
ISNUMBER(SEARCH("China PR",S1899)),"China",
ISNUMBER(SEARCH("IR Iran",S1899)),"Iran",
ISNUMBER(SEARCH("Congo DR",S1899)),"Democratic Republic of the Congo",
ISNUMBER(SEARCH("DR Congo",S1899)),"Democratic Republic of the Congo",
ISNUMBER(SEARCH("German DR",S1899)),"DR Germany",
ISNUMBER(SEARCH("rn""&gt;United Arab Emirates",S1899)),"United Arab Emirates",
ISNUMBER(SEARCH("rn""&gt;Republic of Ireland",S1899)),"Ireland",
ISNUMBER(SEARCH("rn""&gt;Bosnia and Herzegovina",S1899)),"Bosnia and Herzegovina",
ISNUMBER(SEARCH("rn""&gt;Trinidad and Tobago",S1899)),"Trinidad and Tobago",
ISNUMBER(SEARCH("rn""&gt;Serbia and Montenegro",S1899)),"Serbia and Montenegro",
ISNUMBER(SEARCH(_xlfn.UNICHAR(65533),S1899)),"Côte d'Ivoire",
TRUE,""
)</f>
        <v/>
      </c>
      <c r="W1899" s="12" t="str">
        <f t="shared" si="149"/>
        <v>Saudi Arabia</v>
      </c>
    </row>
    <row r="1900" spans="2:23">
      <c r="B1900" s="76" t="str">
        <v>1970.0</v>
      </c>
      <c r="C1900" s="42" t="str">
        <v xml:space="preserve">06 Jun 1970 - 16:00 </v>
      </c>
      <c r="D1900" s="42" t="str">
        <v>Group 1</v>
      </c>
      <c r="E1900" s="42" t="str">
        <v>Estadio Azteca</v>
      </c>
      <c r="F1900" s="42" t="str">
        <v xml:space="preserve">Mexico City </v>
      </c>
      <c r="G1900" s="42" t="str">
        <v>Soviet Union</v>
      </c>
      <c r="H1900" s="42" t="str">
        <v>4.0</v>
      </c>
      <c r="I1900" s="42" t="str">
        <v>1.0</v>
      </c>
      <c r="J1900" s="42" t="str">
        <v>Belgium</v>
      </c>
      <c r="K1900" s="42" t="str">
        <v xml:space="preserve"> </v>
      </c>
      <c r="L1900" s="42" t="str">
        <f t="shared" si="146"/>
        <v xml:space="preserve">1970.0|06 Jun 1970 - 16:00 |Group 1|Estadio Azteca|Mexico City |Soviet Union|4.0|1.0|Belgium| </v>
      </c>
      <c r="M1900" s="42" t="str">
        <f>IF(COUNTIF($L$1689:L1900,L1900)&gt;1,"DOUBLON","OK")</f>
        <v>OK</v>
      </c>
      <c r="S1900" s="12" t="str">
        <v>Saudi Arabia</v>
      </c>
      <c r="T1900" s="12" t="str">
        <f t="shared" si="147"/>
        <v>OK</v>
      </c>
      <c r="U1900" s="12" t="str">
        <f t="shared" si="148"/>
        <v>-</v>
      </c>
      <c r="V1900" s="12" t="str" cm="1">
        <f t="array" ref="V1900">_xlfn.IFS(
ISNUMBER(SEARCH("USA",S1900)),"United States",
ISNUMBER(SEARCH("Republic of Ireland",S1900)),"Ireland",
ISNUMBER(SEARCH("Republic of Korea",S1900)),"South Korea",
ISNUMBER(SEARCH("Cape Verde",S1900)),"Cabo Verde",
ISNUMBER(SEARCH("Czechia",S1900)),"Czech Republic",
ISNUMBER(SEARCH("Türkiye",S1900)),"Turkey",
ISNUMBER(SEARCH("Ivory Coast",S1900)),"Côte d'Ivoire",
ISNUMBER(SEARCH("Korea Republic",S1900)),"South Korea",
ISNUMBER(SEARCH("Germany FR",S1900)),"FR Germany",
ISNUMBER(SEARCH("West Germany",S1900)),"FR Germany",
ISNUMBER(SEARCH("Germany DR",S1900)),"DR Germany",
ISNUMBER(SEARCH("Korea DPR",S1900)),"North Korea",
ISNUMBER(SEARCH("China PR",S1900)),"China",
ISNUMBER(SEARCH("IR Iran",S1900)),"Iran",
ISNUMBER(SEARCH("Congo DR",S1900)),"Democratic Republic of the Congo",
ISNUMBER(SEARCH("DR Congo",S1900)),"Democratic Republic of the Congo",
ISNUMBER(SEARCH("German DR",S1900)),"DR Germany",
ISNUMBER(SEARCH("rn""&gt;United Arab Emirates",S1900)),"United Arab Emirates",
ISNUMBER(SEARCH("rn""&gt;Republic of Ireland",S1900)),"Ireland",
ISNUMBER(SEARCH("rn""&gt;Bosnia and Herzegovina",S1900)),"Bosnia and Herzegovina",
ISNUMBER(SEARCH("rn""&gt;Trinidad and Tobago",S1900)),"Trinidad and Tobago",
ISNUMBER(SEARCH("rn""&gt;Serbia and Montenegro",S1900)),"Serbia and Montenegro",
ISNUMBER(SEARCH(_xlfn.UNICHAR(65533),S1900)),"Côte d'Ivoire",
TRUE,""
)</f>
        <v/>
      </c>
      <c r="W1900" s="12" t="str">
        <f t="shared" si="149"/>
        <v>Saudi Arabia</v>
      </c>
    </row>
    <row r="1901" spans="2:23">
      <c r="B1901" s="76" t="str">
        <v>1970.0</v>
      </c>
      <c r="C1901" s="42" t="str">
        <v xml:space="preserve">07 Jun 1970 - 12:00 </v>
      </c>
      <c r="D1901" s="42" t="str">
        <v>Group 2</v>
      </c>
      <c r="E1901" s="42" t="str">
        <v>Luis Dosal</v>
      </c>
      <c r="F1901" s="42" t="str">
        <v xml:space="preserve">Toluca </v>
      </c>
      <c r="G1901" s="42" t="str">
        <v>Sweden</v>
      </c>
      <c r="H1901" s="42" t="str">
        <v>1.0</v>
      </c>
      <c r="I1901" s="42" t="str">
        <v>1.0</v>
      </c>
      <c r="J1901" s="42" t="str">
        <v>Israel</v>
      </c>
      <c r="K1901" s="42" t="str">
        <v xml:space="preserve"> </v>
      </c>
      <c r="L1901" s="42" t="str">
        <f t="shared" si="146"/>
        <v xml:space="preserve">1970.0|07 Jun 1970 - 12:00 |Group 2|Luis Dosal|Toluca |Sweden|1.0|1.0|Israel| </v>
      </c>
      <c r="M1901" s="42" t="str">
        <f>IF(COUNTIF($L$1689:L1901,L1901)&gt;1,"DOUBLON","OK")</f>
        <v>OK</v>
      </c>
      <c r="S1901" s="12" t="str">
        <v>Spain</v>
      </c>
      <c r="T1901" s="12" t="str">
        <f t="shared" si="147"/>
        <v>OK</v>
      </c>
      <c r="U1901" s="12" t="str">
        <f t="shared" si="148"/>
        <v>-</v>
      </c>
      <c r="V1901" s="12" t="str" cm="1">
        <f t="array" ref="V1901">_xlfn.IFS(
ISNUMBER(SEARCH("USA",S1901)),"United States",
ISNUMBER(SEARCH("Republic of Ireland",S1901)),"Ireland",
ISNUMBER(SEARCH("Republic of Korea",S1901)),"South Korea",
ISNUMBER(SEARCH("Cape Verde",S1901)),"Cabo Verde",
ISNUMBER(SEARCH("Czechia",S1901)),"Czech Republic",
ISNUMBER(SEARCH("Türkiye",S1901)),"Turkey",
ISNUMBER(SEARCH("Ivory Coast",S1901)),"Côte d'Ivoire",
ISNUMBER(SEARCH("Korea Republic",S1901)),"South Korea",
ISNUMBER(SEARCH("Germany FR",S1901)),"FR Germany",
ISNUMBER(SEARCH("West Germany",S1901)),"FR Germany",
ISNUMBER(SEARCH("Germany DR",S1901)),"DR Germany",
ISNUMBER(SEARCH("Korea DPR",S1901)),"North Korea",
ISNUMBER(SEARCH("China PR",S1901)),"China",
ISNUMBER(SEARCH("IR Iran",S1901)),"Iran",
ISNUMBER(SEARCH("Congo DR",S1901)),"Democratic Republic of the Congo",
ISNUMBER(SEARCH("DR Congo",S1901)),"Democratic Republic of the Congo",
ISNUMBER(SEARCH("German DR",S1901)),"DR Germany",
ISNUMBER(SEARCH("rn""&gt;United Arab Emirates",S1901)),"United Arab Emirates",
ISNUMBER(SEARCH("rn""&gt;Republic of Ireland",S1901)),"Ireland",
ISNUMBER(SEARCH("rn""&gt;Bosnia and Herzegovina",S1901)),"Bosnia and Herzegovina",
ISNUMBER(SEARCH("rn""&gt;Trinidad and Tobago",S1901)),"Trinidad and Tobago",
ISNUMBER(SEARCH("rn""&gt;Serbia and Montenegro",S1901)),"Serbia and Montenegro",
ISNUMBER(SEARCH(_xlfn.UNICHAR(65533),S1901)),"Côte d'Ivoire",
TRUE,""
)</f>
        <v/>
      </c>
      <c r="W1901" s="12" t="str">
        <f t="shared" si="149"/>
        <v>Spain</v>
      </c>
    </row>
    <row r="1902" spans="2:23">
      <c r="B1902" s="76" t="str">
        <v>1970.0</v>
      </c>
      <c r="C1902" s="42" t="str">
        <v xml:space="preserve">07 Jun 1970 - 12:00 </v>
      </c>
      <c r="D1902" s="42" t="str">
        <v>Group 4</v>
      </c>
      <c r="E1902" s="42" t="str">
        <v>Nou Camp - Estadio Le�n</v>
      </c>
      <c r="F1902" s="42" t="str">
        <v xml:space="preserve">Leon </v>
      </c>
      <c r="G1902" s="42" t="str">
        <v>Germany FR</v>
      </c>
      <c r="H1902" s="42" t="str">
        <v>5.0</v>
      </c>
      <c r="I1902" s="42" t="str">
        <v>2.0</v>
      </c>
      <c r="J1902" s="42" t="str">
        <v>Bulgaria</v>
      </c>
      <c r="K1902" s="42" t="str">
        <v xml:space="preserve"> </v>
      </c>
      <c r="L1902" s="42" t="str">
        <f t="shared" si="146"/>
        <v xml:space="preserve">1970.0|07 Jun 1970 - 12:00 |Group 4|Nou Camp - Estadio Le�n|Leon |Germany FR|5.0|2.0|Bulgaria| </v>
      </c>
      <c r="M1902" s="42" t="str">
        <f>IF(COUNTIF($L$1689:L1902,L1902)&gt;1,"DOUBLON","OK")</f>
        <v>OK</v>
      </c>
      <c r="S1902" s="12" t="str">
        <v>Spain</v>
      </c>
      <c r="T1902" s="12" t="str">
        <f t="shared" si="147"/>
        <v>OK</v>
      </c>
      <c r="U1902" s="12" t="str">
        <f t="shared" si="148"/>
        <v>-</v>
      </c>
      <c r="V1902" s="12" t="str" cm="1">
        <f t="array" ref="V1902">_xlfn.IFS(
ISNUMBER(SEARCH("USA",S1902)),"United States",
ISNUMBER(SEARCH("Republic of Ireland",S1902)),"Ireland",
ISNUMBER(SEARCH("Republic of Korea",S1902)),"South Korea",
ISNUMBER(SEARCH("Cape Verde",S1902)),"Cabo Verde",
ISNUMBER(SEARCH("Czechia",S1902)),"Czech Republic",
ISNUMBER(SEARCH("Türkiye",S1902)),"Turkey",
ISNUMBER(SEARCH("Ivory Coast",S1902)),"Côte d'Ivoire",
ISNUMBER(SEARCH("Korea Republic",S1902)),"South Korea",
ISNUMBER(SEARCH("Germany FR",S1902)),"FR Germany",
ISNUMBER(SEARCH("West Germany",S1902)),"FR Germany",
ISNUMBER(SEARCH("Germany DR",S1902)),"DR Germany",
ISNUMBER(SEARCH("Korea DPR",S1902)),"North Korea",
ISNUMBER(SEARCH("China PR",S1902)),"China",
ISNUMBER(SEARCH("IR Iran",S1902)),"Iran",
ISNUMBER(SEARCH("Congo DR",S1902)),"Democratic Republic of the Congo",
ISNUMBER(SEARCH("DR Congo",S1902)),"Democratic Republic of the Congo",
ISNUMBER(SEARCH("German DR",S1902)),"DR Germany",
ISNUMBER(SEARCH("rn""&gt;United Arab Emirates",S1902)),"United Arab Emirates",
ISNUMBER(SEARCH("rn""&gt;Republic of Ireland",S1902)),"Ireland",
ISNUMBER(SEARCH("rn""&gt;Bosnia and Herzegovina",S1902)),"Bosnia and Herzegovina",
ISNUMBER(SEARCH("rn""&gt;Trinidad and Tobago",S1902)),"Trinidad and Tobago",
ISNUMBER(SEARCH("rn""&gt;Serbia and Montenegro",S1902)),"Serbia and Montenegro",
ISNUMBER(SEARCH(_xlfn.UNICHAR(65533),S1902)),"Côte d'Ivoire",
TRUE,""
)</f>
        <v/>
      </c>
      <c r="W1902" s="12" t="str">
        <f t="shared" si="149"/>
        <v>Spain</v>
      </c>
    </row>
    <row r="1903" spans="2:23">
      <c r="B1903" s="76" t="str">
        <v>1970.0</v>
      </c>
      <c r="C1903" s="42" t="str">
        <v xml:space="preserve">07 Jun 1970 - 12:00 </v>
      </c>
      <c r="D1903" s="42" t="str">
        <v>Group 3</v>
      </c>
      <c r="E1903" s="42" t="str">
        <v>Jalisco</v>
      </c>
      <c r="F1903" s="42" t="str">
        <v xml:space="preserve">Guadalajara </v>
      </c>
      <c r="G1903" s="42" t="str">
        <v>Brazil</v>
      </c>
      <c r="H1903" s="42" t="str">
        <v>1.0</v>
      </c>
      <c r="I1903" s="42" t="str">
        <v>0.0</v>
      </c>
      <c r="J1903" s="42" t="str">
        <v>England</v>
      </c>
      <c r="K1903" s="42" t="str">
        <v xml:space="preserve"> </v>
      </c>
      <c r="L1903" s="42" t="str">
        <f t="shared" si="146"/>
        <v xml:space="preserve">1970.0|07 Jun 1970 - 12:00 |Group 3|Jalisco|Guadalajara |Brazil|1.0|0.0|England| </v>
      </c>
      <c r="M1903" s="42" t="str">
        <f>IF(COUNTIF($L$1689:L1903,L1903)&gt;1,"DOUBLON","OK")</f>
        <v>OK</v>
      </c>
      <c r="S1903" s="12" t="str">
        <v>Spain</v>
      </c>
      <c r="T1903" s="12" t="str">
        <f t="shared" si="147"/>
        <v>OK</v>
      </c>
      <c r="U1903" s="12" t="str">
        <f t="shared" si="148"/>
        <v>-</v>
      </c>
      <c r="V1903" s="12" t="str" cm="1">
        <f t="array" ref="V1903">_xlfn.IFS(
ISNUMBER(SEARCH("USA",S1903)),"United States",
ISNUMBER(SEARCH("Republic of Ireland",S1903)),"Ireland",
ISNUMBER(SEARCH("Republic of Korea",S1903)),"South Korea",
ISNUMBER(SEARCH("Cape Verde",S1903)),"Cabo Verde",
ISNUMBER(SEARCH("Czechia",S1903)),"Czech Republic",
ISNUMBER(SEARCH("Türkiye",S1903)),"Turkey",
ISNUMBER(SEARCH("Ivory Coast",S1903)),"Côte d'Ivoire",
ISNUMBER(SEARCH("Korea Republic",S1903)),"South Korea",
ISNUMBER(SEARCH("Germany FR",S1903)),"FR Germany",
ISNUMBER(SEARCH("West Germany",S1903)),"FR Germany",
ISNUMBER(SEARCH("Germany DR",S1903)),"DR Germany",
ISNUMBER(SEARCH("Korea DPR",S1903)),"North Korea",
ISNUMBER(SEARCH("China PR",S1903)),"China",
ISNUMBER(SEARCH("IR Iran",S1903)),"Iran",
ISNUMBER(SEARCH("Congo DR",S1903)),"Democratic Republic of the Congo",
ISNUMBER(SEARCH("DR Congo",S1903)),"Democratic Republic of the Congo",
ISNUMBER(SEARCH("German DR",S1903)),"DR Germany",
ISNUMBER(SEARCH("rn""&gt;United Arab Emirates",S1903)),"United Arab Emirates",
ISNUMBER(SEARCH("rn""&gt;Republic of Ireland",S1903)),"Ireland",
ISNUMBER(SEARCH("rn""&gt;Bosnia and Herzegovina",S1903)),"Bosnia and Herzegovina",
ISNUMBER(SEARCH("rn""&gt;Trinidad and Tobago",S1903)),"Trinidad and Tobago",
ISNUMBER(SEARCH("rn""&gt;Serbia and Montenegro",S1903)),"Serbia and Montenegro",
ISNUMBER(SEARCH(_xlfn.UNICHAR(65533),S1903)),"Côte d'Ivoire",
TRUE,""
)</f>
        <v/>
      </c>
      <c r="W1903" s="12" t="str">
        <f t="shared" si="149"/>
        <v>Spain</v>
      </c>
    </row>
    <row r="1904" spans="2:23">
      <c r="B1904" s="76" t="str">
        <v>1970.0</v>
      </c>
      <c r="C1904" s="42" t="str">
        <v xml:space="preserve">07 Jun 1970 - 12:00 </v>
      </c>
      <c r="D1904" s="42" t="str">
        <v>Group 1</v>
      </c>
      <c r="E1904" s="42" t="str">
        <v>Estadio Azteca</v>
      </c>
      <c r="F1904" s="42" t="str">
        <v xml:space="preserve">Mexico City </v>
      </c>
      <c r="G1904" s="42" t="str">
        <v>Mexico</v>
      </c>
      <c r="H1904" s="42" t="str">
        <v>4.0</v>
      </c>
      <c r="I1904" s="42" t="str">
        <v>0.0</v>
      </c>
      <c r="J1904" s="42" t="str">
        <v>El Salvador</v>
      </c>
      <c r="K1904" s="42" t="str">
        <v xml:space="preserve"> </v>
      </c>
      <c r="L1904" s="42" t="str">
        <f t="shared" si="146"/>
        <v xml:space="preserve">1970.0|07 Jun 1970 - 12:00 |Group 1|Estadio Azteca|Mexico City |Mexico|4.0|0.0|El Salvador| </v>
      </c>
      <c r="M1904" s="42" t="str">
        <f>IF(COUNTIF($L$1689:L1904,L1904)&gt;1,"DOUBLON","OK")</f>
        <v>OK</v>
      </c>
      <c r="S1904" s="12" t="str">
        <v>Spain</v>
      </c>
      <c r="T1904" s="12" t="str">
        <f t="shared" si="147"/>
        <v>OK</v>
      </c>
      <c r="U1904" s="12" t="str">
        <f t="shared" si="148"/>
        <v>-</v>
      </c>
      <c r="V1904" s="12" t="str" cm="1">
        <f t="array" ref="V1904">_xlfn.IFS(
ISNUMBER(SEARCH("USA",S1904)),"United States",
ISNUMBER(SEARCH("Republic of Ireland",S1904)),"Ireland",
ISNUMBER(SEARCH("Republic of Korea",S1904)),"South Korea",
ISNUMBER(SEARCH("Cape Verde",S1904)),"Cabo Verde",
ISNUMBER(SEARCH("Czechia",S1904)),"Czech Republic",
ISNUMBER(SEARCH("Türkiye",S1904)),"Turkey",
ISNUMBER(SEARCH("Ivory Coast",S1904)),"Côte d'Ivoire",
ISNUMBER(SEARCH("Korea Republic",S1904)),"South Korea",
ISNUMBER(SEARCH("Germany FR",S1904)),"FR Germany",
ISNUMBER(SEARCH("West Germany",S1904)),"FR Germany",
ISNUMBER(SEARCH("Germany DR",S1904)),"DR Germany",
ISNUMBER(SEARCH("Korea DPR",S1904)),"North Korea",
ISNUMBER(SEARCH("China PR",S1904)),"China",
ISNUMBER(SEARCH("IR Iran",S1904)),"Iran",
ISNUMBER(SEARCH("Congo DR",S1904)),"Democratic Republic of the Congo",
ISNUMBER(SEARCH("DR Congo",S1904)),"Democratic Republic of the Congo",
ISNUMBER(SEARCH("German DR",S1904)),"DR Germany",
ISNUMBER(SEARCH("rn""&gt;United Arab Emirates",S1904)),"United Arab Emirates",
ISNUMBER(SEARCH("rn""&gt;Republic of Ireland",S1904)),"Ireland",
ISNUMBER(SEARCH("rn""&gt;Bosnia and Herzegovina",S1904)),"Bosnia and Herzegovina",
ISNUMBER(SEARCH("rn""&gt;Trinidad and Tobago",S1904)),"Trinidad and Tobago",
ISNUMBER(SEARCH("rn""&gt;Serbia and Montenegro",S1904)),"Serbia and Montenegro",
ISNUMBER(SEARCH(_xlfn.UNICHAR(65533),S1904)),"Côte d'Ivoire",
TRUE,""
)</f>
        <v/>
      </c>
      <c r="W1904" s="12" t="str">
        <f t="shared" si="149"/>
        <v>Spain</v>
      </c>
    </row>
    <row r="1905" spans="2:23">
      <c r="B1905" s="76" t="str">
        <v>1970.0</v>
      </c>
      <c r="C1905" s="42" t="str">
        <v xml:space="preserve">10 Jun 1970 - 16:00 </v>
      </c>
      <c r="D1905" s="42" t="str">
        <v>Group 2</v>
      </c>
      <c r="E1905" s="42" t="str">
        <v>Cuauhtemoc</v>
      </c>
      <c r="F1905" s="42" t="str">
        <v xml:space="preserve">Puebla </v>
      </c>
      <c r="G1905" s="42" t="str">
        <v>Sweden</v>
      </c>
      <c r="H1905" s="42" t="str">
        <v>1.0</v>
      </c>
      <c r="I1905" s="42" t="str">
        <v>0.0</v>
      </c>
      <c r="J1905" s="42" t="str">
        <v>Uruguay</v>
      </c>
      <c r="K1905" s="42" t="str">
        <v xml:space="preserve"> </v>
      </c>
      <c r="L1905" s="42" t="str">
        <f t="shared" si="146"/>
        <v xml:space="preserve">1970.0|10 Jun 1970 - 16:00 |Group 2|Cuauhtemoc|Puebla |Sweden|1.0|0.0|Uruguay| </v>
      </c>
      <c r="M1905" s="42" t="str">
        <f>IF(COUNTIF($L$1689:L1905,L1905)&gt;1,"DOUBLON","OK")</f>
        <v>OK</v>
      </c>
      <c r="S1905" s="12" t="str">
        <v>Spain</v>
      </c>
      <c r="T1905" s="12" t="str">
        <f t="shared" si="147"/>
        <v>OK</v>
      </c>
      <c r="U1905" s="12" t="str">
        <f t="shared" si="148"/>
        <v>-</v>
      </c>
      <c r="V1905" s="12" t="str" cm="1">
        <f t="array" ref="V1905">_xlfn.IFS(
ISNUMBER(SEARCH("USA",S1905)),"United States",
ISNUMBER(SEARCH("Republic of Ireland",S1905)),"Ireland",
ISNUMBER(SEARCH("Republic of Korea",S1905)),"South Korea",
ISNUMBER(SEARCH("Cape Verde",S1905)),"Cabo Verde",
ISNUMBER(SEARCH("Czechia",S1905)),"Czech Republic",
ISNUMBER(SEARCH("Türkiye",S1905)),"Turkey",
ISNUMBER(SEARCH("Ivory Coast",S1905)),"Côte d'Ivoire",
ISNUMBER(SEARCH("Korea Republic",S1905)),"South Korea",
ISNUMBER(SEARCH("Germany FR",S1905)),"FR Germany",
ISNUMBER(SEARCH("West Germany",S1905)),"FR Germany",
ISNUMBER(SEARCH("Germany DR",S1905)),"DR Germany",
ISNUMBER(SEARCH("Korea DPR",S1905)),"North Korea",
ISNUMBER(SEARCH("China PR",S1905)),"China",
ISNUMBER(SEARCH("IR Iran",S1905)),"Iran",
ISNUMBER(SEARCH("Congo DR",S1905)),"Democratic Republic of the Congo",
ISNUMBER(SEARCH("DR Congo",S1905)),"Democratic Republic of the Congo",
ISNUMBER(SEARCH("German DR",S1905)),"DR Germany",
ISNUMBER(SEARCH("rn""&gt;United Arab Emirates",S1905)),"United Arab Emirates",
ISNUMBER(SEARCH("rn""&gt;Republic of Ireland",S1905)),"Ireland",
ISNUMBER(SEARCH("rn""&gt;Bosnia and Herzegovina",S1905)),"Bosnia and Herzegovina",
ISNUMBER(SEARCH("rn""&gt;Trinidad and Tobago",S1905)),"Trinidad and Tobago",
ISNUMBER(SEARCH("rn""&gt;Serbia and Montenegro",S1905)),"Serbia and Montenegro",
ISNUMBER(SEARCH(_xlfn.UNICHAR(65533),S1905)),"Côte d'Ivoire",
TRUE,""
)</f>
        <v/>
      </c>
      <c r="W1905" s="12" t="str">
        <f t="shared" si="149"/>
        <v>Spain</v>
      </c>
    </row>
    <row r="1906" spans="2:23">
      <c r="B1906" s="76" t="str">
        <v>1970.0</v>
      </c>
      <c r="C1906" s="42" t="str">
        <v xml:space="preserve">10 Jun 1970 - 16:00 </v>
      </c>
      <c r="D1906" s="42" t="str">
        <v>Group 4</v>
      </c>
      <c r="E1906" s="42" t="str">
        <v>Nou Camp - Estadio Le�n</v>
      </c>
      <c r="F1906" s="42" t="str">
        <v xml:space="preserve">Leon </v>
      </c>
      <c r="G1906" s="42" t="str">
        <v>Germany FR</v>
      </c>
      <c r="H1906" s="42" t="str">
        <v>3.0</v>
      </c>
      <c r="I1906" s="42" t="str">
        <v>1.0</v>
      </c>
      <c r="J1906" s="42" t="str">
        <v>Peru</v>
      </c>
      <c r="K1906" s="42" t="str">
        <v xml:space="preserve"> </v>
      </c>
      <c r="L1906" s="42" t="str">
        <f t="shared" si="146"/>
        <v xml:space="preserve">1970.0|10 Jun 1970 - 16:00 |Group 4|Nou Camp - Estadio Le�n|Leon |Germany FR|3.0|1.0|Peru| </v>
      </c>
      <c r="M1906" s="42" t="str">
        <f>IF(COUNTIF($L$1689:L1906,L1906)&gt;1,"DOUBLON","OK")</f>
        <v>OK</v>
      </c>
      <c r="S1906" s="12" t="str">
        <v>Spain</v>
      </c>
      <c r="T1906" s="12" t="str">
        <f t="shared" si="147"/>
        <v>OK</v>
      </c>
      <c r="U1906" s="12" t="str">
        <f t="shared" si="148"/>
        <v>-</v>
      </c>
      <c r="V1906" s="12" t="str" cm="1">
        <f t="array" ref="V1906">_xlfn.IFS(
ISNUMBER(SEARCH("USA",S1906)),"United States",
ISNUMBER(SEARCH("Republic of Ireland",S1906)),"Ireland",
ISNUMBER(SEARCH("Republic of Korea",S1906)),"South Korea",
ISNUMBER(SEARCH("Cape Verde",S1906)),"Cabo Verde",
ISNUMBER(SEARCH("Czechia",S1906)),"Czech Republic",
ISNUMBER(SEARCH("Türkiye",S1906)),"Turkey",
ISNUMBER(SEARCH("Ivory Coast",S1906)),"Côte d'Ivoire",
ISNUMBER(SEARCH("Korea Republic",S1906)),"South Korea",
ISNUMBER(SEARCH("Germany FR",S1906)),"FR Germany",
ISNUMBER(SEARCH("West Germany",S1906)),"FR Germany",
ISNUMBER(SEARCH("Germany DR",S1906)),"DR Germany",
ISNUMBER(SEARCH("Korea DPR",S1906)),"North Korea",
ISNUMBER(SEARCH("China PR",S1906)),"China",
ISNUMBER(SEARCH("IR Iran",S1906)),"Iran",
ISNUMBER(SEARCH("Congo DR",S1906)),"Democratic Republic of the Congo",
ISNUMBER(SEARCH("DR Congo",S1906)),"Democratic Republic of the Congo",
ISNUMBER(SEARCH("German DR",S1906)),"DR Germany",
ISNUMBER(SEARCH("rn""&gt;United Arab Emirates",S1906)),"United Arab Emirates",
ISNUMBER(SEARCH("rn""&gt;Republic of Ireland",S1906)),"Ireland",
ISNUMBER(SEARCH("rn""&gt;Bosnia and Herzegovina",S1906)),"Bosnia and Herzegovina",
ISNUMBER(SEARCH("rn""&gt;Trinidad and Tobago",S1906)),"Trinidad and Tobago",
ISNUMBER(SEARCH("rn""&gt;Serbia and Montenegro",S1906)),"Serbia and Montenegro",
ISNUMBER(SEARCH(_xlfn.UNICHAR(65533),S1906)),"Côte d'Ivoire",
TRUE,""
)</f>
        <v/>
      </c>
      <c r="W1906" s="12" t="str">
        <f t="shared" si="149"/>
        <v>Spain</v>
      </c>
    </row>
    <row r="1907" spans="2:23">
      <c r="B1907" s="76" t="str">
        <v>1970.0</v>
      </c>
      <c r="C1907" s="42" t="str">
        <v xml:space="preserve">10 Jun 1970 - 16:00 </v>
      </c>
      <c r="D1907" s="42" t="str">
        <v>Group 3</v>
      </c>
      <c r="E1907" s="42" t="str">
        <v>Jalisco</v>
      </c>
      <c r="F1907" s="42" t="str">
        <v xml:space="preserve">Guadalajara </v>
      </c>
      <c r="G1907" s="42" t="str">
        <v>Brazil</v>
      </c>
      <c r="H1907" s="42" t="str">
        <v>3.0</v>
      </c>
      <c r="I1907" s="42" t="str">
        <v>2.0</v>
      </c>
      <c r="J1907" s="42" t="str">
        <v>Romania</v>
      </c>
      <c r="K1907" s="42" t="str">
        <v xml:space="preserve"> </v>
      </c>
      <c r="L1907" s="42" t="str">
        <f t="shared" si="146"/>
        <v xml:space="preserve">1970.0|10 Jun 1970 - 16:00 |Group 3|Jalisco|Guadalajara |Brazil|3.0|2.0|Romania| </v>
      </c>
      <c r="M1907" s="42" t="str">
        <f>IF(COUNTIF($L$1689:L1907,L1907)&gt;1,"DOUBLON","OK")</f>
        <v>OK</v>
      </c>
      <c r="S1907" s="12" t="str">
        <v>Spain</v>
      </c>
      <c r="T1907" s="12" t="str">
        <f t="shared" si="147"/>
        <v>OK</v>
      </c>
      <c r="U1907" s="12" t="str">
        <f t="shared" si="148"/>
        <v>-</v>
      </c>
      <c r="V1907" s="12" t="str" cm="1">
        <f t="array" ref="V1907">_xlfn.IFS(
ISNUMBER(SEARCH("USA",S1907)),"United States",
ISNUMBER(SEARCH("Republic of Ireland",S1907)),"Ireland",
ISNUMBER(SEARCH("Republic of Korea",S1907)),"South Korea",
ISNUMBER(SEARCH("Cape Verde",S1907)),"Cabo Verde",
ISNUMBER(SEARCH("Czechia",S1907)),"Czech Republic",
ISNUMBER(SEARCH("Türkiye",S1907)),"Turkey",
ISNUMBER(SEARCH("Ivory Coast",S1907)),"Côte d'Ivoire",
ISNUMBER(SEARCH("Korea Republic",S1907)),"South Korea",
ISNUMBER(SEARCH("Germany FR",S1907)),"FR Germany",
ISNUMBER(SEARCH("West Germany",S1907)),"FR Germany",
ISNUMBER(SEARCH("Germany DR",S1907)),"DR Germany",
ISNUMBER(SEARCH("Korea DPR",S1907)),"North Korea",
ISNUMBER(SEARCH("China PR",S1907)),"China",
ISNUMBER(SEARCH("IR Iran",S1907)),"Iran",
ISNUMBER(SEARCH("Congo DR",S1907)),"Democratic Republic of the Congo",
ISNUMBER(SEARCH("DR Congo",S1907)),"Democratic Republic of the Congo",
ISNUMBER(SEARCH("German DR",S1907)),"DR Germany",
ISNUMBER(SEARCH("rn""&gt;United Arab Emirates",S1907)),"United Arab Emirates",
ISNUMBER(SEARCH("rn""&gt;Republic of Ireland",S1907)),"Ireland",
ISNUMBER(SEARCH("rn""&gt;Bosnia and Herzegovina",S1907)),"Bosnia and Herzegovina",
ISNUMBER(SEARCH("rn""&gt;Trinidad and Tobago",S1907)),"Trinidad and Tobago",
ISNUMBER(SEARCH("rn""&gt;Serbia and Montenegro",S1907)),"Serbia and Montenegro",
ISNUMBER(SEARCH(_xlfn.UNICHAR(65533),S1907)),"Côte d'Ivoire",
TRUE,""
)</f>
        <v/>
      </c>
      <c r="W1907" s="12" t="str">
        <f t="shared" si="149"/>
        <v>Spain</v>
      </c>
    </row>
    <row r="1908" spans="2:23">
      <c r="B1908" s="76" t="str">
        <v>1970.0</v>
      </c>
      <c r="C1908" s="42" t="str">
        <v xml:space="preserve">10 Jun 1970 - 16:00 </v>
      </c>
      <c r="D1908" s="42" t="str">
        <v>Group 1</v>
      </c>
      <c r="E1908" s="42" t="str">
        <v>Estadio Azteca</v>
      </c>
      <c r="F1908" s="42" t="str">
        <v xml:space="preserve">Mexico City </v>
      </c>
      <c r="G1908" s="42" t="str">
        <v>Soviet Union</v>
      </c>
      <c r="H1908" s="42" t="str">
        <v>2.0</v>
      </c>
      <c r="I1908" s="42" t="str">
        <v>0.0</v>
      </c>
      <c r="J1908" s="42" t="str">
        <v>El Salvador</v>
      </c>
      <c r="K1908" s="42" t="str">
        <v xml:space="preserve"> </v>
      </c>
      <c r="L1908" s="42" t="str">
        <f t="shared" si="146"/>
        <v xml:space="preserve">1970.0|10 Jun 1970 - 16:00 |Group 1|Estadio Azteca|Mexico City |Soviet Union|2.0|0.0|El Salvador| </v>
      </c>
      <c r="M1908" s="42" t="str">
        <f>IF(COUNTIF($L$1689:L1908,L1908)&gt;1,"DOUBLON","OK")</f>
        <v>OK</v>
      </c>
      <c r="S1908" s="12" t="str">
        <v>Spain</v>
      </c>
      <c r="T1908" s="12" t="str">
        <f t="shared" si="147"/>
        <v>OK</v>
      </c>
      <c r="U1908" s="12" t="str">
        <f t="shared" si="148"/>
        <v>-</v>
      </c>
      <c r="V1908" s="12" t="str" cm="1">
        <f t="array" ref="V1908">_xlfn.IFS(
ISNUMBER(SEARCH("USA",S1908)),"United States",
ISNUMBER(SEARCH("Republic of Ireland",S1908)),"Ireland",
ISNUMBER(SEARCH("Republic of Korea",S1908)),"South Korea",
ISNUMBER(SEARCH("Cape Verde",S1908)),"Cabo Verde",
ISNUMBER(SEARCH("Czechia",S1908)),"Czech Republic",
ISNUMBER(SEARCH("Türkiye",S1908)),"Turkey",
ISNUMBER(SEARCH("Ivory Coast",S1908)),"Côte d'Ivoire",
ISNUMBER(SEARCH("Korea Republic",S1908)),"South Korea",
ISNUMBER(SEARCH("Germany FR",S1908)),"FR Germany",
ISNUMBER(SEARCH("West Germany",S1908)),"FR Germany",
ISNUMBER(SEARCH("Germany DR",S1908)),"DR Germany",
ISNUMBER(SEARCH("Korea DPR",S1908)),"North Korea",
ISNUMBER(SEARCH("China PR",S1908)),"China",
ISNUMBER(SEARCH("IR Iran",S1908)),"Iran",
ISNUMBER(SEARCH("Congo DR",S1908)),"Democratic Republic of the Congo",
ISNUMBER(SEARCH("DR Congo",S1908)),"Democratic Republic of the Congo",
ISNUMBER(SEARCH("German DR",S1908)),"DR Germany",
ISNUMBER(SEARCH("rn""&gt;United Arab Emirates",S1908)),"United Arab Emirates",
ISNUMBER(SEARCH("rn""&gt;Republic of Ireland",S1908)),"Ireland",
ISNUMBER(SEARCH("rn""&gt;Bosnia and Herzegovina",S1908)),"Bosnia and Herzegovina",
ISNUMBER(SEARCH("rn""&gt;Trinidad and Tobago",S1908)),"Trinidad and Tobago",
ISNUMBER(SEARCH("rn""&gt;Serbia and Montenegro",S1908)),"Serbia and Montenegro",
ISNUMBER(SEARCH(_xlfn.UNICHAR(65533),S1908)),"Côte d'Ivoire",
TRUE,""
)</f>
        <v/>
      </c>
      <c r="W1908" s="12" t="str">
        <f t="shared" si="149"/>
        <v>Spain</v>
      </c>
    </row>
    <row r="1909" spans="2:23">
      <c r="B1909" s="76" t="str">
        <v>1970.0</v>
      </c>
      <c r="C1909" s="42" t="str">
        <v xml:space="preserve">11 Jun 1970 - 16:00 </v>
      </c>
      <c r="D1909" s="42" t="str">
        <v>Group 2</v>
      </c>
      <c r="E1909" s="42" t="str">
        <v>Luis Dosal</v>
      </c>
      <c r="F1909" s="42" t="str">
        <v xml:space="preserve">Toluca </v>
      </c>
      <c r="G1909" s="42" t="str">
        <v>Italy</v>
      </c>
      <c r="H1909" s="42" t="str">
        <v>0.0</v>
      </c>
      <c r="I1909" s="42" t="str">
        <v>0.0</v>
      </c>
      <c r="J1909" s="42" t="str">
        <v>Israel</v>
      </c>
      <c r="K1909" s="42" t="str">
        <v xml:space="preserve"> </v>
      </c>
      <c r="L1909" s="42" t="str">
        <f t="shared" si="146"/>
        <v xml:space="preserve">1970.0|11 Jun 1970 - 16:00 |Group 2|Luis Dosal|Toluca |Italy|0.0|0.0|Israel| </v>
      </c>
      <c r="M1909" s="42" t="str">
        <f>IF(COUNTIF($L$1689:L1909,L1909)&gt;1,"DOUBLON","OK")</f>
        <v>OK</v>
      </c>
      <c r="S1909" s="12" t="str">
        <v>Spain</v>
      </c>
      <c r="T1909" s="12" t="str">
        <f t="shared" si="147"/>
        <v>OK</v>
      </c>
      <c r="U1909" s="12" t="str">
        <f t="shared" si="148"/>
        <v>-</v>
      </c>
      <c r="V1909" s="12" t="str" cm="1">
        <f t="array" ref="V1909">_xlfn.IFS(
ISNUMBER(SEARCH("USA",S1909)),"United States",
ISNUMBER(SEARCH("Republic of Ireland",S1909)),"Ireland",
ISNUMBER(SEARCH("Republic of Korea",S1909)),"South Korea",
ISNUMBER(SEARCH("Cape Verde",S1909)),"Cabo Verde",
ISNUMBER(SEARCH("Czechia",S1909)),"Czech Republic",
ISNUMBER(SEARCH("Türkiye",S1909)),"Turkey",
ISNUMBER(SEARCH("Ivory Coast",S1909)),"Côte d'Ivoire",
ISNUMBER(SEARCH("Korea Republic",S1909)),"South Korea",
ISNUMBER(SEARCH("Germany FR",S1909)),"FR Germany",
ISNUMBER(SEARCH("West Germany",S1909)),"FR Germany",
ISNUMBER(SEARCH("Germany DR",S1909)),"DR Germany",
ISNUMBER(SEARCH("Korea DPR",S1909)),"North Korea",
ISNUMBER(SEARCH("China PR",S1909)),"China",
ISNUMBER(SEARCH("IR Iran",S1909)),"Iran",
ISNUMBER(SEARCH("Congo DR",S1909)),"Democratic Republic of the Congo",
ISNUMBER(SEARCH("DR Congo",S1909)),"Democratic Republic of the Congo",
ISNUMBER(SEARCH("German DR",S1909)),"DR Germany",
ISNUMBER(SEARCH("rn""&gt;United Arab Emirates",S1909)),"United Arab Emirates",
ISNUMBER(SEARCH("rn""&gt;Republic of Ireland",S1909)),"Ireland",
ISNUMBER(SEARCH("rn""&gt;Bosnia and Herzegovina",S1909)),"Bosnia and Herzegovina",
ISNUMBER(SEARCH("rn""&gt;Trinidad and Tobago",S1909)),"Trinidad and Tobago",
ISNUMBER(SEARCH("rn""&gt;Serbia and Montenegro",S1909)),"Serbia and Montenegro",
ISNUMBER(SEARCH(_xlfn.UNICHAR(65533),S1909)),"Côte d'Ivoire",
TRUE,""
)</f>
        <v/>
      </c>
      <c r="W1909" s="12" t="str">
        <f t="shared" si="149"/>
        <v>Spain</v>
      </c>
    </row>
    <row r="1910" spans="2:23">
      <c r="B1910" s="76" t="str">
        <v>1970.0</v>
      </c>
      <c r="C1910" s="42" t="str">
        <v xml:space="preserve">11 Jun 1970 - 16:00 </v>
      </c>
      <c r="D1910" s="42" t="str">
        <v>Group 4</v>
      </c>
      <c r="E1910" s="42" t="str">
        <v>Nou Camp - Estadio Le�n</v>
      </c>
      <c r="F1910" s="42" t="str">
        <v xml:space="preserve">Leon </v>
      </c>
      <c r="G1910" s="42" t="str">
        <v>Bulgaria</v>
      </c>
      <c r="H1910" s="42" t="str">
        <v>1.0</v>
      </c>
      <c r="I1910" s="42" t="str">
        <v>1.0</v>
      </c>
      <c r="J1910" s="42" t="str">
        <v>Morocco</v>
      </c>
      <c r="K1910" s="42" t="str">
        <v xml:space="preserve"> </v>
      </c>
      <c r="L1910" s="42" t="str">
        <f t="shared" si="146"/>
        <v xml:space="preserve">1970.0|11 Jun 1970 - 16:00 |Group 4|Nou Camp - Estadio Le�n|Leon |Bulgaria|1.0|1.0|Morocco| </v>
      </c>
      <c r="M1910" s="42" t="str">
        <f>IF(COUNTIF($L$1689:L1910,L1910)&gt;1,"DOUBLON","OK")</f>
        <v>OK</v>
      </c>
      <c r="S1910" s="12" t="str">
        <v>Spain</v>
      </c>
      <c r="T1910" s="12" t="str">
        <f t="shared" si="147"/>
        <v>OK</v>
      </c>
      <c r="U1910" s="12" t="str">
        <f t="shared" si="148"/>
        <v>-</v>
      </c>
      <c r="V1910" s="12" t="str" cm="1">
        <f t="array" ref="V1910">_xlfn.IFS(
ISNUMBER(SEARCH("USA",S1910)),"United States",
ISNUMBER(SEARCH("Republic of Ireland",S1910)),"Ireland",
ISNUMBER(SEARCH("Republic of Korea",S1910)),"South Korea",
ISNUMBER(SEARCH("Cape Verde",S1910)),"Cabo Verde",
ISNUMBER(SEARCH("Czechia",S1910)),"Czech Republic",
ISNUMBER(SEARCH("Türkiye",S1910)),"Turkey",
ISNUMBER(SEARCH("Ivory Coast",S1910)),"Côte d'Ivoire",
ISNUMBER(SEARCH("Korea Republic",S1910)),"South Korea",
ISNUMBER(SEARCH("Germany FR",S1910)),"FR Germany",
ISNUMBER(SEARCH("West Germany",S1910)),"FR Germany",
ISNUMBER(SEARCH("Germany DR",S1910)),"DR Germany",
ISNUMBER(SEARCH("Korea DPR",S1910)),"North Korea",
ISNUMBER(SEARCH("China PR",S1910)),"China",
ISNUMBER(SEARCH("IR Iran",S1910)),"Iran",
ISNUMBER(SEARCH("Congo DR",S1910)),"Democratic Republic of the Congo",
ISNUMBER(SEARCH("DR Congo",S1910)),"Democratic Republic of the Congo",
ISNUMBER(SEARCH("German DR",S1910)),"DR Germany",
ISNUMBER(SEARCH("rn""&gt;United Arab Emirates",S1910)),"United Arab Emirates",
ISNUMBER(SEARCH("rn""&gt;Republic of Ireland",S1910)),"Ireland",
ISNUMBER(SEARCH("rn""&gt;Bosnia and Herzegovina",S1910)),"Bosnia and Herzegovina",
ISNUMBER(SEARCH("rn""&gt;Trinidad and Tobago",S1910)),"Trinidad and Tobago",
ISNUMBER(SEARCH("rn""&gt;Serbia and Montenegro",S1910)),"Serbia and Montenegro",
ISNUMBER(SEARCH(_xlfn.UNICHAR(65533),S1910)),"Côte d'Ivoire",
TRUE,""
)</f>
        <v/>
      </c>
      <c r="W1910" s="12" t="str">
        <f t="shared" si="149"/>
        <v>Spain</v>
      </c>
    </row>
    <row r="1911" spans="2:23">
      <c r="B1911" s="76" t="str">
        <v>1970.0</v>
      </c>
      <c r="C1911" s="42" t="str">
        <v xml:space="preserve">11 Jun 1970 - 16:00 </v>
      </c>
      <c r="D1911" s="42" t="str">
        <v>Group 3</v>
      </c>
      <c r="E1911" s="42" t="str">
        <v>Jalisco</v>
      </c>
      <c r="F1911" s="42" t="str">
        <v xml:space="preserve">Guadalajara </v>
      </c>
      <c r="G1911" s="42" t="str">
        <v>England</v>
      </c>
      <c r="H1911" s="42" t="str">
        <v>1.0</v>
      </c>
      <c r="I1911" s="42" t="str">
        <v>0.0</v>
      </c>
      <c r="J1911" s="42" t="str">
        <v>Czechoslovakia</v>
      </c>
      <c r="K1911" s="42" t="str">
        <v xml:space="preserve"> </v>
      </c>
      <c r="L1911" s="42" t="str">
        <f t="shared" si="146"/>
        <v xml:space="preserve">1970.0|11 Jun 1970 - 16:00 |Group 3|Jalisco|Guadalajara |England|1.0|0.0|Czechoslovakia| </v>
      </c>
      <c r="M1911" s="42" t="str">
        <f>IF(COUNTIF($L$1689:L1911,L1911)&gt;1,"DOUBLON","OK")</f>
        <v>OK</v>
      </c>
      <c r="S1911" s="12" t="str">
        <v>Spain</v>
      </c>
      <c r="T1911" s="12" t="str">
        <f t="shared" si="147"/>
        <v>OK</v>
      </c>
      <c r="U1911" s="12" t="str">
        <f t="shared" si="148"/>
        <v>-</v>
      </c>
      <c r="V1911" s="12" t="str" cm="1">
        <f t="array" ref="V1911">_xlfn.IFS(
ISNUMBER(SEARCH("USA",S1911)),"United States",
ISNUMBER(SEARCH("Republic of Ireland",S1911)),"Ireland",
ISNUMBER(SEARCH("Republic of Korea",S1911)),"South Korea",
ISNUMBER(SEARCH("Cape Verde",S1911)),"Cabo Verde",
ISNUMBER(SEARCH("Czechia",S1911)),"Czech Republic",
ISNUMBER(SEARCH("Türkiye",S1911)),"Turkey",
ISNUMBER(SEARCH("Ivory Coast",S1911)),"Côte d'Ivoire",
ISNUMBER(SEARCH("Korea Republic",S1911)),"South Korea",
ISNUMBER(SEARCH("Germany FR",S1911)),"FR Germany",
ISNUMBER(SEARCH("West Germany",S1911)),"FR Germany",
ISNUMBER(SEARCH("Germany DR",S1911)),"DR Germany",
ISNUMBER(SEARCH("Korea DPR",S1911)),"North Korea",
ISNUMBER(SEARCH("China PR",S1911)),"China",
ISNUMBER(SEARCH("IR Iran",S1911)),"Iran",
ISNUMBER(SEARCH("Congo DR",S1911)),"Democratic Republic of the Congo",
ISNUMBER(SEARCH("DR Congo",S1911)),"Democratic Republic of the Congo",
ISNUMBER(SEARCH("German DR",S1911)),"DR Germany",
ISNUMBER(SEARCH("rn""&gt;United Arab Emirates",S1911)),"United Arab Emirates",
ISNUMBER(SEARCH("rn""&gt;Republic of Ireland",S1911)),"Ireland",
ISNUMBER(SEARCH("rn""&gt;Bosnia and Herzegovina",S1911)),"Bosnia and Herzegovina",
ISNUMBER(SEARCH("rn""&gt;Trinidad and Tobago",S1911)),"Trinidad and Tobago",
ISNUMBER(SEARCH("rn""&gt;Serbia and Montenegro",S1911)),"Serbia and Montenegro",
ISNUMBER(SEARCH(_xlfn.UNICHAR(65533),S1911)),"Côte d'Ivoire",
TRUE,""
)</f>
        <v/>
      </c>
      <c r="W1911" s="12" t="str">
        <f t="shared" si="149"/>
        <v>Spain</v>
      </c>
    </row>
    <row r="1912" spans="2:23">
      <c r="B1912" s="76" t="str">
        <v>1970.0</v>
      </c>
      <c r="C1912" s="42" t="str">
        <v xml:space="preserve">11 Jun 1970 - 16:00 </v>
      </c>
      <c r="D1912" s="42" t="str">
        <v>Group 1</v>
      </c>
      <c r="E1912" s="42" t="str">
        <v>Estadio Azteca</v>
      </c>
      <c r="F1912" s="42" t="str">
        <v xml:space="preserve">Mexico City </v>
      </c>
      <c r="G1912" s="42" t="str">
        <v>Mexico</v>
      </c>
      <c r="H1912" s="42" t="str">
        <v>1.0</v>
      </c>
      <c r="I1912" s="42" t="str">
        <v>0.0</v>
      </c>
      <c r="J1912" s="42" t="str">
        <v>Belgium</v>
      </c>
      <c r="K1912" s="42" t="str">
        <v xml:space="preserve"> </v>
      </c>
      <c r="L1912" s="42" t="str">
        <f t="shared" si="146"/>
        <v xml:space="preserve">1970.0|11 Jun 1970 - 16:00 |Group 1|Estadio Azteca|Mexico City |Mexico|1.0|0.0|Belgium| </v>
      </c>
      <c r="M1912" s="42" t="str">
        <f>IF(COUNTIF($L$1689:L1912,L1912)&gt;1,"DOUBLON","OK")</f>
        <v>OK</v>
      </c>
      <c r="S1912" s="12" t="str">
        <v>Spain</v>
      </c>
      <c r="T1912" s="12" t="str">
        <f t="shared" si="147"/>
        <v>OK</v>
      </c>
      <c r="U1912" s="12" t="str">
        <f t="shared" si="148"/>
        <v>-</v>
      </c>
      <c r="V1912" s="12" t="str" cm="1">
        <f t="array" ref="V1912">_xlfn.IFS(
ISNUMBER(SEARCH("USA",S1912)),"United States",
ISNUMBER(SEARCH("Republic of Ireland",S1912)),"Ireland",
ISNUMBER(SEARCH("Republic of Korea",S1912)),"South Korea",
ISNUMBER(SEARCH("Cape Verde",S1912)),"Cabo Verde",
ISNUMBER(SEARCH("Czechia",S1912)),"Czech Republic",
ISNUMBER(SEARCH("Türkiye",S1912)),"Turkey",
ISNUMBER(SEARCH("Ivory Coast",S1912)),"Côte d'Ivoire",
ISNUMBER(SEARCH("Korea Republic",S1912)),"South Korea",
ISNUMBER(SEARCH("Germany FR",S1912)),"FR Germany",
ISNUMBER(SEARCH("West Germany",S1912)),"FR Germany",
ISNUMBER(SEARCH("Germany DR",S1912)),"DR Germany",
ISNUMBER(SEARCH("Korea DPR",S1912)),"North Korea",
ISNUMBER(SEARCH("China PR",S1912)),"China",
ISNUMBER(SEARCH("IR Iran",S1912)),"Iran",
ISNUMBER(SEARCH("Congo DR",S1912)),"Democratic Republic of the Congo",
ISNUMBER(SEARCH("DR Congo",S1912)),"Democratic Republic of the Congo",
ISNUMBER(SEARCH("German DR",S1912)),"DR Germany",
ISNUMBER(SEARCH("rn""&gt;United Arab Emirates",S1912)),"United Arab Emirates",
ISNUMBER(SEARCH("rn""&gt;Republic of Ireland",S1912)),"Ireland",
ISNUMBER(SEARCH("rn""&gt;Bosnia and Herzegovina",S1912)),"Bosnia and Herzegovina",
ISNUMBER(SEARCH("rn""&gt;Trinidad and Tobago",S1912)),"Trinidad and Tobago",
ISNUMBER(SEARCH("rn""&gt;Serbia and Montenegro",S1912)),"Serbia and Montenegro",
ISNUMBER(SEARCH(_xlfn.UNICHAR(65533),S1912)),"Côte d'Ivoire",
TRUE,""
)</f>
        <v/>
      </c>
      <c r="W1912" s="12" t="str">
        <f t="shared" si="149"/>
        <v>Spain</v>
      </c>
    </row>
    <row r="1913" spans="2:23">
      <c r="B1913" s="76" t="str">
        <v>1970.0</v>
      </c>
      <c r="C1913" s="42" t="str">
        <v xml:space="preserve">14 Jun 1970 - 12:00 </v>
      </c>
      <c r="D1913" s="42" t="str">
        <v>Quarter-finals</v>
      </c>
      <c r="E1913" s="42" t="str">
        <v>Luis Dosal</v>
      </c>
      <c r="F1913" s="42" t="str">
        <v xml:space="preserve">Toluca </v>
      </c>
      <c r="G1913" s="42" t="str">
        <v>Italy</v>
      </c>
      <c r="H1913" s="42" t="str">
        <v>4.0</v>
      </c>
      <c r="I1913" s="42" t="str">
        <v>1.0</v>
      </c>
      <c r="J1913" s="42" t="str">
        <v>Mexico</v>
      </c>
      <c r="K1913" s="42" t="str">
        <v xml:space="preserve"> </v>
      </c>
      <c r="L1913" s="42" t="str">
        <f t="shared" si="146"/>
        <v xml:space="preserve">1970.0|14 Jun 1970 - 12:00 |Quarter-finals|Luis Dosal|Toluca |Italy|4.0|1.0|Mexico| </v>
      </c>
      <c r="M1913" s="42" t="str">
        <f>IF(COUNTIF($L$1689:L1913,L1913)&gt;1,"DOUBLON","OK")</f>
        <v>OK</v>
      </c>
      <c r="S1913" s="12" t="str">
        <v>Spain</v>
      </c>
      <c r="T1913" s="12" t="str">
        <f t="shared" si="147"/>
        <v>OK</v>
      </c>
      <c r="U1913" s="12" t="str">
        <f t="shared" si="148"/>
        <v>-</v>
      </c>
      <c r="V1913" s="12" t="str" cm="1">
        <f t="array" ref="V1913">_xlfn.IFS(
ISNUMBER(SEARCH("USA",S1913)),"United States",
ISNUMBER(SEARCH("Republic of Ireland",S1913)),"Ireland",
ISNUMBER(SEARCH("Republic of Korea",S1913)),"South Korea",
ISNUMBER(SEARCH("Cape Verde",S1913)),"Cabo Verde",
ISNUMBER(SEARCH("Czechia",S1913)),"Czech Republic",
ISNUMBER(SEARCH("Türkiye",S1913)),"Turkey",
ISNUMBER(SEARCH("Ivory Coast",S1913)),"Côte d'Ivoire",
ISNUMBER(SEARCH("Korea Republic",S1913)),"South Korea",
ISNUMBER(SEARCH("Germany FR",S1913)),"FR Germany",
ISNUMBER(SEARCH("West Germany",S1913)),"FR Germany",
ISNUMBER(SEARCH("Germany DR",S1913)),"DR Germany",
ISNUMBER(SEARCH("Korea DPR",S1913)),"North Korea",
ISNUMBER(SEARCH("China PR",S1913)),"China",
ISNUMBER(SEARCH("IR Iran",S1913)),"Iran",
ISNUMBER(SEARCH("Congo DR",S1913)),"Democratic Republic of the Congo",
ISNUMBER(SEARCH("DR Congo",S1913)),"Democratic Republic of the Congo",
ISNUMBER(SEARCH("German DR",S1913)),"DR Germany",
ISNUMBER(SEARCH("rn""&gt;United Arab Emirates",S1913)),"United Arab Emirates",
ISNUMBER(SEARCH("rn""&gt;Republic of Ireland",S1913)),"Ireland",
ISNUMBER(SEARCH("rn""&gt;Bosnia and Herzegovina",S1913)),"Bosnia and Herzegovina",
ISNUMBER(SEARCH("rn""&gt;Trinidad and Tobago",S1913)),"Trinidad and Tobago",
ISNUMBER(SEARCH("rn""&gt;Serbia and Montenegro",S1913)),"Serbia and Montenegro",
ISNUMBER(SEARCH(_xlfn.UNICHAR(65533),S1913)),"Côte d'Ivoire",
TRUE,""
)</f>
        <v/>
      </c>
      <c r="W1913" s="12" t="str">
        <f t="shared" si="149"/>
        <v>Spain</v>
      </c>
    </row>
    <row r="1914" spans="2:23">
      <c r="B1914" s="76" t="str">
        <v>1970.0</v>
      </c>
      <c r="C1914" s="42" t="str">
        <v xml:space="preserve">14 Jun 1970 - 12:00 </v>
      </c>
      <c r="D1914" s="42" t="str">
        <v>Quarter-finals</v>
      </c>
      <c r="E1914" s="42" t="str">
        <v>Nou Camp - Estadio Le�n</v>
      </c>
      <c r="F1914" s="42" t="str">
        <v xml:space="preserve">Leon </v>
      </c>
      <c r="G1914" s="42" t="str">
        <v>Germany FR</v>
      </c>
      <c r="H1914" s="42" t="str">
        <v>3.0</v>
      </c>
      <c r="I1914" s="42" t="str">
        <v>2.0</v>
      </c>
      <c r="J1914" s="42" t="str">
        <v>England</v>
      </c>
      <c r="K1914" s="42" t="str">
        <v xml:space="preserve">Germany FR win after extra time </v>
      </c>
      <c r="L1914" s="42" t="str">
        <f t="shared" si="146"/>
        <v xml:space="preserve">1970.0|14 Jun 1970 - 12:00 |Quarter-finals|Nou Camp - Estadio Le�n|Leon |Germany FR|3.0|2.0|England|Germany FR win after extra time </v>
      </c>
      <c r="M1914" s="42" t="str">
        <f>IF(COUNTIF($L$1689:L1914,L1914)&gt;1,"DOUBLON","OK")</f>
        <v>OK</v>
      </c>
      <c r="S1914" s="12" t="str">
        <v>Spain</v>
      </c>
      <c r="T1914" s="12" t="str">
        <f t="shared" si="147"/>
        <v>OK</v>
      </c>
      <c r="U1914" s="12" t="str">
        <f t="shared" si="148"/>
        <v>-</v>
      </c>
      <c r="V1914" s="12" t="str" cm="1">
        <f t="array" ref="V1914">_xlfn.IFS(
ISNUMBER(SEARCH("USA",S1914)),"United States",
ISNUMBER(SEARCH("Republic of Ireland",S1914)),"Ireland",
ISNUMBER(SEARCH("Republic of Korea",S1914)),"South Korea",
ISNUMBER(SEARCH("Cape Verde",S1914)),"Cabo Verde",
ISNUMBER(SEARCH("Czechia",S1914)),"Czech Republic",
ISNUMBER(SEARCH("Türkiye",S1914)),"Turkey",
ISNUMBER(SEARCH("Ivory Coast",S1914)),"Côte d'Ivoire",
ISNUMBER(SEARCH("Korea Republic",S1914)),"South Korea",
ISNUMBER(SEARCH("Germany FR",S1914)),"FR Germany",
ISNUMBER(SEARCH("West Germany",S1914)),"FR Germany",
ISNUMBER(SEARCH("Germany DR",S1914)),"DR Germany",
ISNUMBER(SEARCH("Korea DPR",S1914)),"North Korea",
ISNUMBER(SEARCH("China PR",S1914)),"China",
ISNUMBER(SEARCH("IR Iran",S1914)),"Iran",
ISNUMBER(SEARCH("Congo DR",S1914)),"Democratic Republic of the Congo",
ISNUMBER(SEARCH("DR Congo",S1914)),"Democratic Republic of the Congo",
ISNUMBER(SEARCH("German DR",S1914)),"DR Germany",
ISNUMBER(SEARCH("rn""&gt;United Arab Emirates",S1914)),"United Arab Emirates",
ISNUMBER(SEARCH("rn""&gt;Republic of Ireland",S1914)),"Ireland",
ISNUMBER(SEARCH("rn""&gt;Bosnia and Herzegovina",S1914)),"Bosnia and Herzegovina",
ISNUMBER(SEARCH("rn""&gt;Trinidad and Tobago",S1914)),"Trinidad and Tobago",
ISNUMBER(SEARCH("rn""&gt;Serbia and Montenegro",S1914)),"Serbia and Montenegro",
ISNUMBER(SEARCH(_xlfn.UNICHAR(65533),S1914)),"Côte d'Ivoire",
TRUE,""
)</f>
        <v/>
      </c>
      <c r="W1914" s="12" t="str">
        <f t="shared" si="149"/>
        <v>Spain</v>
      </c>
    </row>
    <row r="1915" spans="2:23">
      <c r="B1915" s="76" t="str">
        <v>1970.0</v>
      </c>
      <c r="C1915" s="42" t="str">
        <v xml:space="preserve">14 Jun 1970 - 12:00 </v>
      </c>
      <c r="D1915" s="42" t="str">
        <v>Quarter-finals</v>
      </c>
      <c r="E1915" s="42" t="str">
        <v>Jalisco</v>
      </c>
      <c r="F1915" s="42" t="str">
        <v xml:space="preserve">Guadalajara </v>
      </c>
      <c r="G1915" s="42" t="str">
        <v>Brazil</v>
      </c>
      <c r="H1915" s="42" t="str">
        <v>4.0</v>
      </c>
      <c r="I1915" s="42" t="str">
        <v>2.0</v>
      </c>
      <c r="J1915" s="42" t="str">
        <v>Peru</v>
      </c>
      <c r="K1915" s="42" t="str">
        <v xml:space="preserve"> </v>
      </c>
      <c r="L1915" s="42" t="str">
        <f t="shared" si="146"/>
        <v xml:space="preserve">1970.0|14 Jun 1970 - 12:00 |Quarter-finals|Jalisco|Guadalajara |Brazil|4.0|2.0|Peru| </v>
      </c>
      <c r="M1915" s="42" t="str">
        <f>IF(COUNTIF($L$1689:L1915,L1915)&gt;1,"DOUBLON","OK")</f>
        <v>OK</v>
      </c>
      <c r="S1915" s="12" t="str">
        <v>Spain</v>
      </c>
      <c r="T1915" s="12" t="str">
        <f t="shared" si="147"/>
        <v>OK</v>
      </c>
      <c r="U1915" s="12" t="str">
        <f t="shared" si="148"/>
        <v>-</v>
      </c>
      <c r="V1915" s="12" t="str" cm="1">
        <f t="array" ref="V1915">_xlfn.IFS(
ISNUMBER(SEARCH("USA",S1915)),"United States",
ISNUMBER(SEARCH("Republic of Ireland",S1915)),"Ireland",
ISNUMBER(SEARCH("Republic of Korea",S1915)),"South Korea",
ISNUMBER(SEARCH("Cape Verde",S1915)),"Cabo Verde",
ISNUMBER(SEARCH("Czechia",S1915)),"Czech Republic",
ISNUMBER(SEARCH("Türkiye",S1915)),"Turkey",
ISNUMBER(SEARCH("Ivory Coast",S1915)),"Côte d'Ivoire",
ISNUMBER(SEARCH("Korea Republic",S1915)),"South Korea",
ISNUMBER(SEARCH("Germany FR",S1915)),"FR Germany",
ISNUMBER(SEARCH("West Germany",S1915)),"FR Germany",
ISNUMBER(SEARCH("Germany DR",S1915)),"DR Germany",
ISNUMBER(SEARCH("Korea DPR",S1915)),"North Korea",
ISNUMBER(SEARCH("China PR",S1915)),"China",
ISNUMBER(SEARCH("IR Iran",S1915)),"Iran",
ISNUMBER(SEARCH("Congo DR",S1915)),"Democratic Republic of the Congo",
ISNUMBER(SEARCH("DR Congo",S1915)),"Democratic Republic of the Congo",
ISNUMBER(SEARCH("German DR",S1915)),"DR Germany",
ISNUMBER(SEARCH("rn""&gt;United Arab Emirates",S1915)),"United Arab Emirates",
ISNUMBER(SEARCH("rn""&gt;Republic of Ireland",S1915)),"Ireland",
ISNUMBER(SEARCH("rn""&gt;Bosnia and Herzegovina",S1915)),"Bosnia and Herzegovina",
ISNUMBER(SEARCH("rn""&gt;Trinidad and Tobago",S1915)),"Trinidad and Tobago",
ISNUMBER(SEARCH("rn""&gt;Serbia and Montenegro",S1915)),"Serbia and Montenegro",
ISNUMBER(SEARCH(_xlfn.UNICHAR(65533),S1915)),"Côte d'Ivoire",
TRUE,""
)</f>
        <v/>
      </c>
      <c r="W1915" s="12" t="str">
        <f t="shared" si="149"/>
        <v>Spain</v>
      </c>
    </row>
    <row r="1916" spans="2:23">
      <c r="B1916" s="76" t="str">
        <v>1970.0</v>
      </c>
      <c r="C1916" s="42" t="str">
        <v xml:space="preserve">14 Jun 1970 - 12:00 </v>
      </c>
      <c r="D1916" s="42" t="str">
        <v>Quarter-finals</v>
      </c>
      <c r="E1916" s="42" t="str">
        <v>Estadio Azteca</v>
      </c>
      <c r="F1916" s="42" t="str">
        <v xml:space="preserve">Mexico City </v>
      </c>
      <c r="G1916" s="42" t="str">
        <v>Uruguay</v>
      </c>
      <c r="H1916" s="42" t="str">
        <v>1.0</v>
      </c>
      <c r="I1916" s="42" t="str">
        <v>0.0</v>
      </c>
      <c r="J1916" s="42" t="str">
        <v>Soviet Union</v>
      </c>
      <c r="K1916" s="42" t="str">
        <v xml:space="preserve">Uruguay win after extra time </v>
      </c>
      <c r="L1916" s="42" t="str">
        <f t="shared" si="146"/>
        <v xml:space="preserve">1970.0|14 Jun 1970 - 12:00 |Quarter-finals|Estadio Azteca|Mexico City |Uruguay|1.0|0.0|Soviet Union|Uruguay win after extra time </v>
      </c>
      <c r="M1916" s="42" t="str">
        <f>IF(COUNTIF($L$1689:L1916,L1916)&gt;1,"DOUBLON","OK")</f>
        <v>OK</v>
      </c>
      <c r="S1916" s="12" t="str">
        <v>Spain</v>
      </c>
      <c r="T1916" s="12" t="str">
        <f t="shared" si="147"/>
        <v>OK</v>
      </c>
      <c r="U1916" s="12" t="str">
        <f t="shared" si="148"/>
        <v>-</v>
      </c>
      <c r="V1916" s="12" t="str" cm="1">
        <f t="array" ref="V1916">_xlfn.IFS(
ISNUMBER(SEARCH("USA",S1916)),"United States",
ISNUMBER(SEARCH("Republic of Ireland",S1916)),"Ireland",
ISNUMBER(SEARCH("Republic of Korea",S1916)),"South Korea",
ISNUMBER(SEARCH("Cape Verde",S1916)),"Cabo Verde",
ISNUMBER(SEARCH("Czechia",S1916)),"Czech Republic",
ISNUMBER(SEARCH("Türkiye",S1916)),"Turkey",
ISNUMBER(SEARCH("Ivory Coast",S1916)),"Côte d'Ivoire",
ISNUMBER(SEARCH("Korea Republic",S1916)),"South Korea",
ISNUMBER(SEARCH("Germany FR",S1916)),"FR Germany",
ISNUMBER(SEARCH("West Germany",S1916)),"FR Germany",
ISNUMBER(SEARCH("Germany DR",S1916)),"DR Germany",
ISNUMBER(SEARCH("Korea DPR",S1916)),"North Korea",
ISNUMBER(SEARCH("China PR",S1916)),"China",
ISNUMBER(SEARCH("IR Iran",S1916)),"Iran",
ISNUMBER(SEARCH("Congo DR",S1916)),"Democratic Republic of the Congo",
ISNUMBER(SEARCH("DR Congo",S1916)),"Democratic Republic of the Congo",
ISNUMBER(SEARCH("German DR",S1916)),"DR Germany",
ISNUMBER(SEARCH("rn""&gt;United Arab Emirates",S1916)),"United Arab Emirates",
ISNUMBER(SEARCH("rn""&gt;Republic of Ireland",S1916)),"Ireland",
ISNUMBER(SEARCH("rn""&gt;Bosnia and Herzegovina",S1916)),"Bosnia and Herzegovina",
ISNUMBER(SEARCH("rn""&gt;Trinidad and Tobago",S1916)),"Trinidad and Tobago",
ISNUMBER(SEARCH("rn""&gt;Serbia and Montenegro",S1916)),"Serbia and Montenegro",
ISNUMBER(SEARCH(_xlfn.UNICHAR(65533),S1916)),"Côte d'Ivoire",
TRUE,""
)</f>
        <v/>
      </c>
      <c r="W1916" s="12" t="str">
        <f t="shared" si="149"/>
        <v>Spain</v>
      </c>
    </row>
    <row r="1917" spans="2:23">
      <c r="B1917" s="76" t="str">
        <v>1970.0</v>
      </c>
      <c r="C1917" s="42" t="str">
        <v xml:space="preserve">17 Jun 1970 - 16:00 </v>
      </c>
      <c r="D1917" s="42" t="str">
        <v>Semi-finals</v>
      </c>
      <c r="E1917" s="42" t="str">
        <v>Jalisco</v>
      </c>
      <c r="F1917" s="42" t="str">
        <v xml:space="preserve">Guadalajara </v>
      </c>
      <c r="G1917" s="42" t="str">
        <v>Brazil</v>
      </c>
      <c r="H1917" s="42" t="str">
        <v>3.0</v>
      </c>
      <c r="I1917" s="42" t="str">
        <v>1.0</v>
      </c>
      <c r="J1917" s="42" t="str">
        <v>Uruguay</v>
      </c>
      <c r="K1917" s="42" t="str">
        <v xml:space="preserve"> </v>
      </c>
      <c r="L1917" s="42" t="str">
        <f t="shared" si="146"/>
        <v xml:space="preserve">1970.0|17 Jun 1970 - 16:00 |Semi-finals|Jalisco|Guadalajara |Brazil|3.0|1.0|Uruguay| </v>
      </c>
      <c r="M1917" s="42" t="str">
        <f>IF(COUNTIF($L$1689:L1917,L1917)&gt;1,"DOUBLON","OK")</f>
        <v>OK</v>
      </c>
      <c r="S1917" s="12" t="str">
        <v>Spain</v>
      </c>
      <c r="T1917" s="12" t="str">
        <f t="shared" si="147"/>
        <v>OK</v>
      </c>
      <c r="U1917" s="12" t="str">
        <f t="shared" si="148"/>
        <v>-</v>
      </c>
      <c r="V1917" s="12" t="str" cm="1">
        <f t="array" ref="V1917">_xlfn.IFS(
ISNUMBER(SEARCH("USA",S1917)),"United States",
ISNUMBER(SEARCH("Republic of Ireland",S1917)),"Ireland",
ISNUMBER(SEARCH("Republic of Korea",S1917)),"South Korea",
ISNUMBER(SEARCH("Cape Verde",S1917)),"Cabo Verde",
ISNUMBER(SEARCH("Czechia",S1917)),"Czech Republic",
ISNUMBER(SEARCH("Türkiye",S1917)),"Turkey",
ISNUMBER(SEARCH("Ivory Coast",S1917)),"Côte d'Ivoire",
ISNUMBER(SEARCH("Korea Republic",S1917)),"South Korea",
ISNUMBER(SEARCH("Germany FR",S1917)),"FR Germany",
ISNUMBER(SEARCH("West Germany",S1917)),"FR Germany",
ISNUMBER(SEARCH("Germany DR",S1917)),"DR Germany",
ISNUMBER(SEARCH("Korea DPR",S1917)),"North Korea",
ISNUMBER(SEARCH("China PR",S1917)),"China",
ISNUMBER(SEARCH("IR Iran",S1917)),"Iran",
ISNUMBER(SEARCH("Congo DR",S1917)),"Democratic Republic of the Congo",
ISNUMBER(SEARCH("DR Congo",S1917)),"Democratic Republic of the Congo",
ISNUMBER(SEARCH("German DR",S1917)),"DR Germany",
ISNUMBER(SEARCH("rn""&gt;United Arab Emirates",S1917)),"United Arab Emirates",
ISNUMBER(SEARCH("rn""&gt;Republic of Ireland",S1917)),"Ireland",
ISNUMBER(SEARCH("rn""&gt;Bosnia and Herzegovina",S1917)),"Bosnia and Herzegovina",
ISNUMBER(SEARCH("rn""&gt;Trinidad and Tobago",S1917)),"Trinidad and Tobago",
ISNUMBER(SEARCH("rn""&gt;Serbia and Montenegro",S1917)),"Serbia and Montenegro",
ISNUMBER(SEARCH(_xlfn.UNICHAR(65533),S1917)),"Côte d'Ivoire",
TRUE,""
)</f>
        <v/>
      </c>
      <c r="W1917" s="12" t="str">
        <f t="shared" si="149"/>
        <v>Spain</v>
      </c>
    </row>
    <row r="1918" spans="2:23">
      <c r="B1918" s="76" t="str">
        <v>1970.0</v>
      </c>
      <c r="C1918" s="42" t="str">
        <v xml:space="preserve">17 June 1970 - 16:00 </v>
      </c>
      <c r="D1918" s="42" t="str">
        <v>Semi-finals</v>
      </c>
      <c r="E1918" s="42" t="str">
        <v>Estadio Azteca</v>
      </c>
      <c r="F1918" s="42" t="str">
        <v xml:space="preserve">Mexico City </v>
      </c>
      <c r="G1918" s="42" t="str">
        <v>Italy</v>
      </c>
      <c r="H1918" s="42" t="str">
        <v>4.0</v>
      </c>
      <c r="I1918" s="42" t="str">
        <v>3.0</v>
      </c>
      <c r="J1918" s="42" t="str">
        <v>Germany FR</v>
      </c>
      <c r="K1918" s="42" t="str">
        <v xml:space="preserve">Italy win after extra time </v>
      </c>
      <c r="L1918" s="42" t="str">
        <f t="shared" si="146"/>
        <v xml:space="preserve">1970.0|17 June 1970 - 16:00 |Semi-finals|Estadio Azteca|Mexico City |Italy|4.0|3.0|Germany FR|Italy win after extra time </v>
      </c>
      <c r="M1918" s="42" t="str">
        <f>IF(COUNTIF($L$1689:L1918,L1918)&gt;1,"DOUBLON","OK")</f>
        <v>OK</v>
      </c>
      <c r="S1918" s="12" t="str">
        <v>Spain</v>
      </c>
      <c r="T1918" s="12" t="str">
        <f t="shared" si="147"/>
        <v>OK</v>
      </c>
      <c r="U1918" s="12" t="str">
        <f t="shared" si="148"/>
        <v>-</v>
      </c>
      <c r="V1918" s="12" t="str" cm="1">
        <f t="array" ref="V1918">_xlfn.IFS(
ISNUMBER(SEARCH("USA",S1918)),"United States",
ISNUMBER(SEARCH("Republic of Ireland",S1918)),"Ireland",
ISNUMBER(SEARCH("Republic of Korea",S1918)),"South Korea",
ISNUMBER(SEARCH("Cape Verde",S1918)),"Cabo Verde",
ISNUMBER(SEARCH("Czechia",S1918)),"Czech Republic",
ISNUMBER(SEARCH("Türkiye",S1918)),"Turkey",
ISNUMBER(SEARCH("Ivory Coast",S1918)),"Côte d'Ivoire",
ISNUMBER(SEARCH("Korea Republic",S1918)),"South Korea",
ISNUMBER(SEARCH("Germany FR",S1918)),"FR Germany",
ISNUMBER(SEARCH("West Germany",S1918)),"FR Germany",
ISNUMBER(SEARCH("Germany DR",S1918)),"DR Germany",
ISNUMBER(SEARCH("Korea DPR",S1918)),"North Korea",
ISNUMBER(SEARCH("China PR",S1918)),"China",
ISNUMBER(SEARCH("IR Iran",S1918)),"Iran",
ISNUMBER(SEARCH("Congo DR",S1918)),"Democratic Republic of the Congo",
ISNUMBER(SEARCH("DR Congo",S1918)),"Democratic Republic of the Congo",
ISNUMBER(SEARCH("German DR",S1918)),"DR Germany",
ISNUMBER(SEARCH("rn""&gt;United Arab Emirates",S1918)),"United Arab Emirates",
ISNUMBER(SEARCH("rn""&gt;Republic of Ireland",S1918)),"Ireland",
ISNUMBER(SEARCH("rn""&gt;Bosnia and Herzegovina",S1918)),"Bosnia and Herzegovina",
ISNUMBER(SEARCH("rn""&gt;Trinidad and Tobago",S1918)),"Trinidad and Tobago",
ISNUMBER(SEARCH("rn""&gt;Serbia and Montenegro",S1918)),"Serbia and Montenegro",
ISNUMBER(SEARCH(_xlfn.UNICHAR(65533),S1918)),"Côte d'Ivoire",
TRUE,""
)</f>
        <v/>
      </c>
      <c r="W1918" s="12" t="str">
        <f t="shared" si="149"/>
        <v>Spain</v>
      </c>
    </row>
    <row r="1919" spans="2:23">
      <c r="B1919" s="76" t="str">
        <v>1970.0</v>
      </c>
      <c r="C1919" s="42" t="str">
        <v xml:space="preserve">20 Jun 1970 - 16:00 </v>
      </c>
      <c r="D1919" s="42" t="str">
        <v>Match for third place</v>
      </c>
      <c r="E1919" s="42" t="str">
        <v>Estadio Azteca</v>
      </c>
      <c r="F1919" s="42" t="str">
        <v xml:space="preserve">Mexico City </v>
      </c>
      <c r="G1919" s="42" t="str">
        <v>Germany FR</v>
      </c>
      <c r="H1919" s="42" t="str">
        <v>1.0</v>
      </c>
      <c r="I1919" s="42" t="str">
        <v>0.0</v>
      </c>
      <c r="J1919" s="42" t="str">
        <v>Uruguay</v>
      </c>
      <c r="K1919" s="42" t="str">
        <v xml:space="preserve"> </v>
      </c>
      <c r="L1919" s="42" t="str">
        <f t="shared" si="146"/>
        <v xml:space="preserve">1970.0|20 Jun 1970 - 16:00 |Match for third place|Estadio Azteca|Mexico City |Germany FR|1.0|0.0|Uruguay| </v>
      </c>
      <c r="M1919" s="42" t="str">
        <f>IF(COUNTIF($L$1689:L1919,L1919)&gt;1,"DOUBLON","OK")</f>
        <v>OK</v>
      </c>
      <c r="S1919" s="12" t="str">
        <v>Spain</v>
      </c>
      <c r="T1919" s="12" t="str">
        <f t="shared" si="147"/>
        <v>OK</v>
      </c>
      <c r="U1919" s="12" t="str">
        <f t="shared" si="148"/>
        <v>-</v>
      </c>
      <c r="V1919" s="12" t="str" cm="1">
        <f t="array" ref="V1919">_xlfn.IFS(
ISNUMBER(SEARCH("USA",S1919)),"United States",
ISNUMBER(SEARCH("Republic of Ireland",S1919)),"Ireland",
ISNUMBER(SEARCH("Republic of Korea",S1919)),"South Korea",
ISNUMBER(SEARCH("Cape Verde",S1919)),"Cabo Verde",
ISNUMBER(SEARCH("Czechia",S1919)),"Czech Republic",
ISNUMBER(SEARCH("Türkiye",S1919)),"Turkey",
ISNUMBER(SEARCH("Ivory Coast",S1919)),"Côte d'Ivoire",
ISNUMBER(SEARCH("Korea Republic",S1919)),"South Korea",
ISNUMBER(SEARCH("Germany FR",S1919)),"FR Germany",
ISNUMBER(SEARCH("West Germany",S1919)),"FR Germany",
ISNUMBER(SEARCH("Germany DR",S1919)),"DR Germany",
ISNUMBER(SEARCH("Korea DPR",S1919)),"North Korea",
ISNUMBER(SEARCH("China PR",S1919)),"China",
ISNUMBER(SEARCH("IR Iran",S1919)),"Iran",
ISNUMBER(SEARCH("Congo DR",S1919)),"Democratic Republic of the Congo",
ISNUMBER(SEARCH("DR Congo",S1919)),"Democratic Republic of the Congo",
ISNUMBER(SEARCH("German DR",S1919)),"DR Germany",
ISNUMBER(SEARCH("rn""&gt;United Arab Emirates",S1919)),"United Arab Emirates",
ISNUMBER(SEARCH("rn""&gt;Republic of Ireland",S1919)),"Ireland",
ISNUMBER(SEARCH("rn""&gt;Bosnia and Herzegovina",S1919)),"Bosnia and Herzegovina",
ISNUMBER(SEARCH("rn""&gt;Trinidad and Tobago",S1919)),"Trinidad and Tobago",
ISNUMBER(SEARCH("rn""&gt;Serbia and Montenegro",S1919)),"Serbia and Montenegro",
ISNUMBER(SEARCH(_xlfn.UNICHAR(65533),S1919)),"Côte d'Ivoire",
TRUE,""
)</f>
        <v/>
      </c>
      <c r="W1919" s="12" t="str">
        <f t="shared" si="149"/>
        <v>Spain</v>
      </c>
    </row>
    <row r="1920" spans="2:23">
      <c r="B1920" s="76" t="str">
        <v>1970.0</v>
      </c>
      <c r="C1920" s="42" t="str">
        <v xml:space="preserve">21 Jun 1970 - 12:00 </v>
      </c>
      <c r="D1920" s="42" t="str">
        <v>Final</v>
      </c>
      <c r="E1920" s="42" t="str">
        <v>Estadio Azteca</v>
      </c>
      <c r="F1920" s="42" t="str">
        <v xml:space="preserve">Mexico City </v>
      </c>
      <c r="G1920" s="42" t="str">
        <v>Brazil</v>
      </c>
      <c r="H1920" s="42" t="str">
        <v>4.0</v>
      </c>
      <c r="I1920" s="42" t="str">
        <v>1.0</v>
      </c>
      <c r="J1920" s="42" t="str">
        <v>Italy</v>
      </c>
      <c r="K1920" s="42" t="str">
        <v xml:space="preserve"> </v>
      </c>
      <c r="L1920" s="42" t="str">
        <f t="shared" si="146"/>
        <v xml:space="preserve">1970.0|21 Jun 1970 - 12:00 |Final|Estadio Azteca|Mexico City |Brazil|4.0|1.0|Italy| </v>
      </c>
      <c r="M1920" s="42" t="str">
        <f>IF(COUNTIF($L$1689:L1920,L1920)&gt;1,"DOUBLON","OK")</f>
        <v>OK</v>
      </c>
      <c r="S1920" s="12" t="str">
        <v>Spain</v>
      </c>
      <c r="T1920" s="12" t="str">
        <f t="shared" si="147"/>
        <v>OK</v>
      </c>
      <c r="U1920" s="12" t="str">
        <f t="shared" si="148"/>
        <v>-</v>
      </c>
      <c r="V1920" s="12" t="str" cm="1">
        <f t="array" ref="V1920">_xlfn.IFS(
ISNUMBER(SEARCH("USA",S1920)),"United States",
ISNUMBER(SEARCH("Republic of Ireland",S1920)),"Ireland",
ISNUMBER(SEARCH("Republic of Korea",S1920)),"South Korea",
ISNUMBER(SEARCH("Cape Verde",S1920)),"Cabo Verde",
ISNUMBER(SEARCH("Czechia",S1920)),"Czech Republic",
ISNUMBER(SEARCH("Türkiye",S1920)),"Turkey",
ISNUMBER(SEARCH("Ivory Coast",S1920)),"Côte d'Ivoire",
ISNUMBER(SEARCH("Korea Republic",S1920)),"South Korea",
ISNUMBER(SEARCH("Germany FR",S1920)),"FR Germany",
ISNUMBER(SEARCH("West Germany",S1920)),"FR Germany",
ISNUMBER(SEARCH("Germany DR",S1920)),"DR Germany",
ISNUMBER(SEARCH("Korea DPR",S1920)),"North Korea",
ISNUMBER(SEARCH("China PR",S1920)),"China",
ISNUMBER(SEARCH("IR Iran",S1920)),"Iran",
ISNUMBER(SEARCH("Congo DR",S1920)),"Democratic Republic of the Congo",
ISNUMBER(SEARCH("DR Congo",S1920)),"Democratic Republic of the Congo",
ISNUMBER(SEARCH("German DR",S1920)),"DR Germany",
ISNUMBER(SEARCH("rn""&gt;United Arab Emirates",S1920)),"United Arab Emirates",
ISNUMBER(SEARCH("rn""&gt;Republic of Ireland",S1920)),"Ireland",
ISNUMBER(SEARCH("rn""&gt;Bosnia and Herzegovina",S1920)),"Bosnia and Herzegovina",
ISNUMBER(SEARCH("rn""&gt;Trinidad and Tobago",S1920)),"Trinidad and Tobago",
ISNUMBER(SEARCH("rn""&gt;Serbia and Montenegro",S1920)),"Serbia and Montenegro",
ISNUMBER(SEARCH(_xlfn.UNICHAR(65533),S1920)),"Côte d'Ivoire",
TRUE,""
)</f>
        <v/>
      </c>
      <c r="W1920" s="12" t="str">
        <f t="shared" si="149"/>
        <v>Spain</v>
      </c>
    </row>
    <row r="1921" spans="2:23">
      <c r="B1921" s="76" t="str">
        <v>1974.0</v>
      </c>
      <c r="C1921" s="42" t="str">
        <v xml:space="preserve">13 Jun 1974 - 17:00 </v>
      </c>
      <c r="D1921" s="42" t="str">
        <v>Group 2</v>
      </c>
      <c r="E1921" s="42" t="str">
        <v>Waldstadion</v>
      </c>
      <c r="F1921" s="42" t="str">
        <v xml:space="preserve">Frankfurt/Main </v>
      </c>
      <c r="G1921" s="42" t="str">
        <v>Brazil</v>
      </c>
      <c r="H1921" s="42" t="str">
        <v>0.0</v>
      </c>
      <c r="I1921" s="42" t="str">
        <v>0.0</v>
      </c>
      <c r="J1921" s="42" t="str">
        <v>Yugoslavia</v>
      </c>
      <c r="K1921" s="42" t="str">
        <v xml:space="preserve"> </v>
      </c>
      <c r="L1921" s="42" t="str">
        <f t="shared" si="146"/>
        <v xml:space="preserve">1974.0|13 Jun 1974 - 17:00 |Group 2|Waldstadion|Frankfurt/Main |Brazil|0.0|0.0|Yugoslavia| </v>
      </c>
      <c r="M1921" s="42" t="str">
        <f>IF(COUNTIF($L$1689:L1921,L1921)&gt;1,"DOUBLON","OK")</f>
        <v>OK</v>
      </c>
      <c r="S1921" s="12" t="str">
        <v>Spain</v>
      </c>
      <c r="T1921" s="12" t="str">
        <f t="shared" si="147"/>
        <v>OK</v>
      </c>
      <c r="U1921" s="12" t="str">
        <f t="shared" si="148"/>
        <v>-</v>
      </c>
      <c r="V1921" s="12" t="str" cm="1">
        <f t="array" ref="V1921">_xlfn.IFS(
ISNUMBER(SEARCH("USA",S1921)),"United States",
ISNUMBER(SEARCH("Republic of Ireland",S1921)),"Ireland",
ISNUMBER(SEARCH("Republic of Korea",S1921)),"South Korea",
ISNUMBER(SEARCH("Cape Verde",S1921)),"Cabo Verde",
ISNUMBER(SEARCH("Czechia",S1921)),"Czech Republic",
ISNUMBER(SEARCH("Türkiye",S1921)),"Turkey",
ISNUMBER(SEARCH("Ivory Coast",S1921)),"Côte d'Ivoire",
ISNUMBER(SEARCH("Korea Republic",S1921)),"South Korea",
ISNUMBER(SEARCH("Germany FR",S1921)),"FR Germany",
ISNUMBER(SEARCH("West Germany",S1921)),"FR Germany",
ISNUMBER(SEARCH("Germany DR",S1921)),"DR Germany",
ISNUMBER(SEARCH("Korea DPR",S1921)),"North Korea",
ISNUMBER(SEARCH("China PR",S1921)),"China",
ISNUMBER(SEARCH("IR Iran",S1921)),"Iran",
ISNUMBER(SEARCH("Congo DR",S1921)),"Democratic Republic of the Congo",
ISNUMBER(SEARCH("DR Congo",S1921)),"Democratic Republic of the Congo",
ISNUMBER(SEARCH("German DR",S1921)),"DR Germany",
ISNUMBER(SEARCH("rn""&gt;United Arab Emirates",S1921)),"United Arab Emirates",
ISNUMBER(SEARCH("rn""&gt;Republic of Ireland",S1921)),"Ireland",
ISNUMBER(SEARCH("rn""&gt;Bosnia and Herzegovina",S1921)),"Bosnia and Herzegovina",
ISNUMBER(SEARCH("rn""&gt;Trinidad and Tobago",S1921)),"Trinidad and Tobago",
ISNUMBER(SEARCH("rn""&gt;Serbia and Montenegro",S1921)),"Serbia and Montenegro",
ISNUMBER(SEARCH(_xlfn.UNICHAR(65533),S1921)),"Côte d'Ivoire",
TRUE,""
)</f>
        <v/>
      </c>
      <c r="W1921" s="12" t="str">
        <f t="shared" si="149"/>
        <v>Spain</v>
      </c>
    </row>
    <row r="1922" spans="2:23">
      <c r="B1922" s="76" t="str">
        <v>1974.0</v>
      </c>
      <c r="C1922" s="42" t="str">
        <v xml:space="preserve">14 Jun 1974 - 16:00 </v>
      </c>
      <c r="D1922" s="42" t="str">
        <v>Group 1</v>
      </c>
      <c r="E1922" s="42" t="str">
        <v>Olympiastadion</v>
      </c>
      <c r="F1922" s="42" t="str">
        <v xml:space="preserve">Berlin West </v>
      </c>
      <c r="G1922" s="42" t="str">
        <v>Germany FR</v>
      </c>
      <c r="H1922" s="42" t="str">
        <v>1.0</v>
      </c>
      <c r="I1922" s="42" t="str">
        <v>0.0</v>
      </c>
      <c r="J1922" s="42" t="str">
        <v>Chile</v>
      </c>
      <c r="K1922" s="42" t="str">
        <v xml:space="preserve"> </v>
      </c>
      <c r="L1922" s="42" t="str">
        <f t="shared" si="146"/>
        <v xml:space="preserve">1974.0|14 Jun 1974 - 16:00 |Group 1|Olympiastadion|Berlin West |Germany FR|1.0|0.0|Chile| </v>
      </c>
      <c r="M1922" s="42" t="str">
        <f>IF(COUNTIF($L$1689:L1922,L1922)&gt;1,"DOUBLON","OK")</f>
        <v>OK</v>
      </c>
      <c r="S1922" s="12" t="str">
        <v>Spain</v>
      </c>
      <c r="T1922" s="12" t="str">
        <f t="shared" si="147"/>
        <v>OK</v>
      </c>
      <c r="U1922" s="12" t="str">
        <f t="shared" si="148"/>
        <v>-</v>
      </c>
      <c r="V1922" s="12" t="str" cm="1">
        <f t="array" ref="V1922">_xlfn.IFS(
ISNUMBER(SEARCH("USA",S1922)),"United States",
ISNUMBER(SEARCH("Republic of Ireland",S1922)),"Ireland",
ISNUMBER(SEARCH("Republic of Korea",S1922)),"South Korea",
ISNUMBER(SEARCH("Cape Verde",S1922)),"Cabo Verde",
ISNUMBER(SEARCH("Czechia",S1922)),"Czech Republic",
ISNUMBER(SEARCH("Türkiye",S1922)),"Turkey",
ISNUMBER(SEARCH("Ivory Coast",S1922)),"Côte d'Ivoire",
ISNUMBER(SEARCH("Korea Republic",S1922)),"South Korea",
ISNUMBER(SEARCH("Germany FR",S1922)),"FR Germany",
ISNUMBER(SEARCH("West Germany",S1922)),"FR Germany",
ISNUMBER(SEARCH("Germany DR",S1922)),"DR Germany",
ISNUMBER(SEARCH("Korea DPR",S1922)),"North Korea",
ISNUMBER(SEARCH("China PR",S1922)),"China",
ISNUMBER(SEARCH("IR Iran",S1922)),"Iran",
ISNUMBER(SEARCH("Congo DR",S1922)),"Democratic Republic of the Congo",
ISNUMBER(SEARCH("DR Congo",S1922)),"Democratic Republic of the Congo",
ISNUMBER(SEARCH("German DR",S1922)),"DR Germany",
ISNUMBER(SEARCH("rn""&gt;United Arab Emirates",S1922)),"United Arab Emirates",
ISNUMBER(SEARCH("rn""&gt;Republic of Ireland",S1922)),"Ireland",
ISNUMBER(SEARCH("rn""&gt;Bosnia and Herzegovina",S1922)),"Bosnia and Herzegovina",
ISNUMBER(SEARCH("rn""&gt;Trinidad and Tobago",S1922)),"Trinidad and Tobago",
ISNUMBER(SEARCH("rn""&gt;Serbia and Montenegro",S1922)),"Serbia and Montenegro",
ISNUMBER(SEARCH(_xlfn.UNICHAR(65533),S1922)),"Côte d'Ivoire",
TRUE,""
)</f>
        <v/>
      </c>
      <c r="W1922" s="12" t="str">
        <f t="shared" si="149"/>
        <v>Spain</v>
      </c>
    </row>
    <row r="1923" spans="2:23">
      <c r="B1923" s="76" t="str">
        <v>1974.0</v>
      </c>
      <c r="C1923" s="42" t="str">
        <v xml:space="preserve">14 Jun 1974 - 19:30 </v>
      </c>
      <c r="D1923" s="42" t="str">
        <v>Group 1</v>
      </c>
      <c r="E1923" s="42" t="str">
        <v>Volksparkstadion</v>
      </c>
      <c r="F1923" s="42" t="str">
        <v xml:space="preserve">Hamburg </v>
      </c>
      <c r="G1923" s="42" t="str">
        <v>German DR</v>
      </c>
      <c r="H1923" s="42" t="str">
        <v>2.0</v>
      </c>
      <c r="I1923" s="42" t="str">
        <v>0.0</v>
      </c>
      <c r="J1923" s="42" t="str">
        <v>Australia</v>
      </c>
      <c r="K1923" s="42" t="str">
        <v xml:space="preserve"> </v>
      </c>
      <c r="L1923" s="42" t="str">
        <f t="shared" si="146"/>
        <v xml:space="preserve">1974.0|14 Jun 1974 - 19:30 |Group 1|Volksparkstadion|Hamburg |German DR|2.0|0.0|Australia| </v>
      </c>
      <c r="M1923" s="42" t="str">
        <f>IF(COUNTIF($L$1689:L1923,L1923)&gt;1,"DOUBLON","OK")</f>
        <v>OK</v>
      </c>
      <c r="S1923" s="12" t="str">
        <v>Spain</v>
      </c>
      <c r="T1923" s="12" t="str">
        <f t="shared" si="147"/>
        <v>OK</v>
      </c>
      <c r="U1923" s="12" t="str">
        <f t="shared" si="148"/>
        <v>-</v>
      </c>
      <c r="V1923" s="12" t="str" cm="1">
        <f t="array" ref="V1923">_xlfn.IFS(
ISNUMBER(SEARCH("USA",S1923)),"United States",
ISNUMBER(SEARCH("Republic of Ireland",S1923)),"Ireland",
ISNUMBER(SEARCH("Republic of Korea",S1923)),"South Korea",
ISNUMBER(SEARCH("Cape Verde",S1923)),"Cabo Verde",
ISNUMBER(SEARCH("Czechia",S1923)),"Czech Republic",
ISNUMBER(SEARCH("Türkiye",S1923)),"Turkey",
ISNUMBER(SEARCH("Ivory Coast",S1923)),"Côte d'Ivoire",
ISNUMBER(SEARCH("Korea Republic",S1923)),"South Korea",
ISNUMBER(SEARCH("Germany FR",S1923)),"FR Germany",
ISNUMBER(SEARCH("West Germany",S1923)),"FR Germany",
ISNUMBER(SEARCH("Germany DR",S1923)),"DR Germany",
ISNUMBER(SEARCH("Korea DPR",S1923)),"North Korea",
ISNUMBER(SEARCH("China PR",S1923)),"China",
ISNUMBER(SEARCH("IR Iran",S1923)),"Iran",
ISNUMBER(SEARCH("Congo DR",S1923)),"Democratic Republic of the Congo",
ISNUMBER(SEARCH("DR Congo",S1923)),"Democratic Republic of the Congo",
ISNUMBER(SEARCH("German DR",S1923)),"DR Germany",
ISNUMBER(SEARCH("rn""&gt;United Arab Emirates",S1923)),"United Arab Emirates",
ISNUMBER(SEARCH("rn""&gt;Republic of Ireland",S1923)),"Ireland",
ISNUMBER(SEARCH("rn""&gt;Bosnia and Herzegovina",S1923)),"Bosnia and Herzegovina",
ISNUMBER(SEARCH("rn""&gt;Trinidad and Tobago",S1923)),"Trinidad and Tobago",
ISNUMBER(SEARCH("rn""&gt;Serbia and Montenegro",S1923)),"Serbia and Montenegro",
ISNUMBER(SEARCH(_xlfn.UNICHAR(65533),S1923)),"Côte d'Ivoire",
TRUE,""
)</f>
        <v/>
      </c>
      <c r="W1923" s="12" t="str">
        <f t="shared" si="149"/>
        <v>Spain</v>
      </c>
    </row>
    <row r="1924" spans="2:23">
      <c r="B1924" s="76" t="str">
        <v>1974.0</v>
      </c>
      <c r="C1924" s="42" t="str">
        <v xml:space="preserve">14 Jun 1974 - 19:30 </v>
      </c>
      <c r="D1924" s="42" t="str">
        <v>Group 2</v>
      </c>
      <c r="E1924" s="42" t="str">
        <v>Westfalenstadion</v>
      </c>
      <c r="F1924" s="42" t="str">
        <v xml:space="preserve">Dortmund </v>
      </c>
      <c r="G1924" s="42" t="str">
        <v>Zaire</v>
      </c>
      <c r="H1924" s="42" t="str">
        <v>0.0</v>
      </c>
      <c r="I1924" s="42" t="str">
        <v>2.0</v>
      </c>
      <c r="J1924" s="42" t="str">
        <v>Scotland</v>
      </c>
      <c r="K1924" s="42" t="str">
        <v xml:space="preserve"> </v>
      </c>
      <c r="L1924" s="42" t="str">
        <f t="shared" si="146"/>
        <v xml:space="preserve">1974.0|14 Jun 1974 - 19:30 |Group 2|Westfalenstadion|Dortmund |Zaire|0.0|2.0|Scotland| </v>
      </c>
      <c r="M1924" s="42" t="str">
        <f>IF(COUNTIF($L$1689:L1924,L1924)&gt;1,"DOUBLON","OK")</f>
        <v>OK</v>
      </c>
      <c r="S1924" s="12" t="str">
        <v>Spain</v>
      </c>
      <c r="T1924" s="12" t="str">
        <f t="shared" si="147"/>
        <v>OK</v>
      </c>
      <c r="U1924" s="12" t="str">
        <f t="shared" si="148"/>
        <v>-</v>
      </c>
      <c r="V1924" s="12" t="str" cm="1">
        <f t="array" ref="V1924">_xlfn.IFS(
ISNUMBER(SEARCH("USA",S1924)),"United States",
ISNUMBER(SEARCH("Republic of Ireland",S1924)),"Ireland",
ISNUMBER(SEARCH("Republic of Korea",S1924)),"South Korea",
ISNUMBER(SEARCH("Cape Verde",S1924)),"Cabo Verde",
ISNUMBER(SEARCH("Czechia",S1924)),"Czech Republic",
ISNUMBER(SEARCH("Türkiye",S1924)),"Turkey",
ISNUMBER(SEARCH("Ivory Coast",S1924)),"Côte d'Ivoire",
ISNUMBER(SEARCH("Korea Republic",S1924)),"South Korea",
ISNUMBER(SEARCH("Germany FR",S1924)),"FR Germany",
ISNUMBER(SEARCH("West Germany",S1924)),"FR Germany",
ISNUMBER(SEARCH("Germany DR",S1924)),"DR Germany",
ISNUMBER(SEARCH("Korea DPR",S1924)),"North Korea",
ISNUMBER(SEARCH("China PR",S1924)),"China",
ISNUMBER(SEARCH("IR Iran",S1924)),"Iran",
ISNUMBER(SEARCH("Congo DR",S1924)),"Democratic Republic of the Congo",
ISNUMBER(SEARCH("DR Congo",S1924)),"Democratic Republic of the Congo",
ISNUMBER(SEARCH("German DR",S1924)),"DR Germany",
ISNUMBER(SEARCH("rn""&gt;United Arab Emirates",S1924)),"United Arab Emirates",
ISNUMBER(SEARCH("rn""&gt;Republic of Ireland",S1924)),"Ireland",
ISNUMBER(SEARCH("rn""&gt;Bosnia and Herzegovina",S1924)),"Bosnia and Herzegovina",
ISNUMBER(SEARCH("rn""&gt;Trinidad and Tobago",S1924)),"Trinidad and Tobago",
ISNUMBER(SEARCH("rn""&gt;Serbia and Montenegro",S1924)),"Serbia and Montenegro",
ISNUMBER(SEARCH(_xlfn.UNICHAR(65533),S1924)),"Côte d'Ivoire",
TRUE,""
)</f>
        <v/>
      </c>
      <c r="W1924" s="12" t="str">
        <f t="shared" si="149"/>
        <v>Spain</v>
      </c>
    </row>
    <row r="1925" spans="2:23">
      <c r="B1925" s="76" t="str">
        <v>1974.0</v>
      </c>
      <c r="C1925" s="42" t="str">
        <v xml:space="preserve">15 Jun 1974 - 16:00 </v>
      </c>
      <c r="D1925" s="42" t="str">
        <v>Group 3</v>
      </c>
      <c r="E1925" s="42" t="str">
        <v>Niedersachsenstadion</v>
      </c>
      <c r="F1925" s="42" t="str">
        <v xml:space="preserve">Hanover </v>
      </c>
      <c r="G1925" s="42" t="str">
        <v>Uruguay</v>
      </c>
      <c r="H1925" s="42" t="str">
        <v>0.0</v>
      </c>
      <c r="I1925" s="42" t="str">
        <v>2.0</v>
      </c>
      <c r="J1925" s="42" t="str">
        <v>Netherlands</v>
      </c>
      <c r="K1925" s="42" t="str">
        <v xml:space="preserve"> </v>
      </c>
      <c r="L1925" s="42" t="str">
        <f t="shared" si="146"/>
        <v xml:space="preserve">1974.0|15 Jun 1974 - 16:00 |Group 3|Niedersachsenstadion|Hanover |Uruguay|0.0|2.0|Netherlands| </v>
      </c>
      <c r="M1925" s="42" t="str">
        <f>IF(COUNTIF($L$1689:L1925,L1925)&gt;1,"DOUBLON","OK")</f>
        <v>OK</v>
      </c>
      <c r="S1925" s="12" t="str">
        <v>Spain</v>
      </c>
      <c r="T1925" s="12" t="str">
        <f t="shared" si="147"/>
        <v>OK</v>
      </c>
      <c r="U1925" s="12" t="str">
        <f t="shared" si="148"/>
        <v>-</v>
      </c>
      <c r="V1925" s="12" t="str" cm="1">
        <f t="array" ref="V1925">_xlfn.IFS(
ISNUMBER(SEARCH("USA",S1925)),"United States",
ISNUMBER(SEARCH("Republic of Ireland",S1925)),"Ireland",
ISNUMBER(SEARCH("Republic of Korea",S1925)),"South Korea",
ISNUMBER(SEARCH("Cape Verde",S1925)),"Cabo Verde",
ISNUMBER(SEARCH("Czechia",S1925)),"Czech Republic",
ISNUMBER(SEARCH("Türkiye",S1925)),"Turkey",
ISNUMBER(SEARCH("Ivory Coast",S1925)),"Côte d'Ivoire",
ISNUMBER(SEARCH("Korea Republic",S1925)),"South Korea",
ISNUMBER(SEARCH("Germany FR",S1925)),"FR Germany",
ISNUMBER(SEARCH("West Germany",S1925)),"FR Germany",
ISNUMBER(SEARCH("Germany DR",S1925)),"DR Germany",
ISNUMBER(SEARCH("Korea DPR",S1925)),"North Korea",
ISNUMBER(SEARCH("China PR",S1925)),"China",
ISNUMBER(SEARCH("IR Iran",S1925)),"Iran",
ISNUMBER(SEARCH("Congo DR",S1925)),"Democratic Republic of the Congo",
ISNUMBER(SEARCH("DR Congo",S1925)),"Democratic Republic of the Congo",
ISNUMBER(SEARCH("German DR",S1925)),"DR Germany",
ISNUMBER(SEARCH("rn""&gt;United Arab Emirates",S1925)),"United Arab Emirates",
ISNUMBER(SEARCH("rn""&gt;Republic of Ireland",S1925)),"Ireland",
ISNUMBER(SEARCH("rn""&gt;Bosnia and Herzegovina",S1925)),"Bosnia and Herzegovina",
ISNUMBER(SEARCH("rn""&gt;Trinidad and Tobago",S1925)),"Trinidad and Tobago",
ISNUMBER(SEARCH("rn""&gt;Serbia and Montenegro",S1925)),"Serbia and Montenegro",
ISNUMBER(SEARCH(_xlfn.UNICHAR(65533),S1925)),"Côte d'Ivoire",
TRUE,""
)</f>
        <v/>
      </c>
      <c r="W1925" s="12" t="str">
        <f t="shared" si="149"/>
        <v>Spain</v>
      </c>
    </row>
    <row r="1926" spans="2:23">
      <c r="B1926" s="76" t="str">
        <v>1974.0</v>
      </c>
      <c r="C1926" s="42" t="str">
        <v xml:space="preserve">15 Jun 1974 - 16:00 </v>
      </c>
      <c r="D1926" s="42" t="str">
        <v>Group 3</v>
      </c>
      <c r="E1926" s="42" t="str">
        <v>Rheinstadion</v>
      </c>
      <c r="F1926" s="42" t="str">
        <v xml:space="preserve">D�Sseldorf </v>
      </c>
      <c r="G1926" s="42" t="str">
        <v>Sweden</v>
      </c>
      <c r="H1926" s="42" t="str">
        <v>0.0</v>
      </c>
      <c r="I1926" s="42" t="str">
        <v>0.0</v>
      </c>
      <c r="J1926" s="42" t="str">
        <v>Bulgaria</v>
      </c>
      <c r="K1926" s="42" t="str">
        <v xml:space="preserve"> </v>
      </c>
      <c r="L1926" s="42" t="str">
        <f t="shared" si="146"/>
        <v xml:space="preserve">1974.0|15 Jun 1974 - 16:00 |Group 3|Rheinstadion|D�Sseldorf |Sweden|0.0|0.0|Bulgaria| </v>
      </c>
      <c r="M1926" s="42" t="str">
        <f>IF(COUNTIF($L$1689:L1926,L1926)&gt;1,"DOUBLON","OK")</f>
        <v>OK</v>
      </c>
      <c r="S1926" s="12" t="str">
        <v>Spain</v>
      </c>
      <c r="T1926" s="12" t="str">
        <f t="shared" si="147"/>
        <v>OK</v>
      </c>
      <c r="U1926" s="12" t="str">
        <f t="shared" si="148"/>
        <v>-</v>
      </c>
      <c r="V1926" s="12" t="str" cm="1">
        <f t="array" ref="V1926">_xlfn.IFS(
ISNUMBER(SEARCH("USA",S1926)),"United States",
ISNUMBER(SEARCH("Republic of Ireland",S1926)),"Ireland",
ISNUMBER(SEARCH("Republic of Korea",S1926)),"South Korea",
ISNUMBER(SEARCH("Cape Verde",S1926)),"Cabo Verde",
ISNUMBER(SEARCH("Czechia",S1926)),"Czech Republic",
ISNUMBER(SEARCH("Türkiye",S1926)),"Turkey",
ISNUMBER(SEARCH("Ivory Coast",S1926)),"Côte d'Ivoire",
ISNUMBER(SEARCH("Korea Republic",S1926)),"South Korea",
ISNUMBER(SEARCH("Germany FR",S1926)),"FR Germany",
ISNUMBER(SEARCH("West Germany",S1926)),"FR Germany",
ISNUMBER(SEARCH("Germany DR",S1926)),"DR Germany",
ISNUMBER(SEARCH("Korea DPR",S1926)),"North Korea",
ISNUMBER(SEARCH("China PR",S1926)),"China",
ISNUMBER(SEARCH("IR Iran",S1926)),"Iran",
ISNUMBER(SEARCH("Congo DR",S1926)),"Democratic Republic of the Congo",
ISNUMBER(SEARCH("DR Congo",S1926)),"Democratic Republic of the Congo",
ISNUMBER(SEARCH("German DR",S1926)),"DR Germany",
ISNUMBER(SEARCH("rn""&gt;United Arab Emirates",S1926)),"United Arab Emirates",
ISNUMBER(SEARCH("rn""&gt;Republic of Ireland",S1926)),"Ireland",
ISNUMBER(SEARCH("rn""&gt;Bosnia and Herzegovina",S1926)),"Bosnia and Herzegovina",
ISNUMBER(SEARCH("rn""&gt;Trinidad and Tobago",S1926)),"Trinidad and Tobago",
ISNUMBER(SEARCH("rn""&gt;Serbia and Montenegro",S1926)),"Serbia and Montenegro",
ISNUMBER(SEARCH(_xlfn.UNICHAR(65533),S1926)),"Côte d'Ivoire",
TRUE,""
)</f>
        <v/>
      </c>
      <c r="W1926" s="12" t="str">
        <f t="shared" si="149"/>
        <v>Spain</v>
      </c>
    </row>
    <row r="1927" spans="2:23">
      <c r="B1927" s="76" t="str">
        <v>1974.0</v>
      </c>
      <c r="C1927" s="42" t="str">
        <v xml:space="preserve">15 Jun 1974 - 18:00 </v>
      </c>
      <c r="D1927" s="42" t="str">
        <v>Group 4</v>
      </c>
      <c r="E1927" s="42" t="str">
        <v>Olympiastadion</v>
      </c>
      <c r="F1927" s="42" t="str">
        <v xml:space="preserve">Munich </v>
      </c>
      <c r="G1927" s="42" t="str">
        <v>Italy</v>
      </c>
      <c r="H1927" s="42" t="str">
        <v>3.0</v>
      </c>
      <c r="I1927" s="42" t="str">
        <v>1.0</v>
      </c>
      <c r="J1927" s="42" t="str">
        <v>Haiti</v>
      </c>
      <c r="K1927" s="42" t="str">
        <v xml:space="preserve"> </v>
      </c>
      <c r="L1927" s="42" t="str">
        <f t="shared" si="146"/>
        <v xml:space="preserve">1974.0|15 Jun 1974 - 18:00 |Group 4|Olympiastadion|Munich |Italy|3.0|1.0|Haiti| </v>
      </c>
      <c r="M1927" s="42" t="str">
        <f>IF(COUNTIF($L$1689:L1927,L1927)&gt;1,"DOUBLON","OK")</f>
        <v>OK</v>
      </c>
      <c r="S1927" s="12" t="str">
        <v>Uruguay</v>
      </c>
      <c r="T1927" s="12" t="str">
        <f t="shared" si="147"/>
        <v>OK</v>
      </c>
      <c r="U1927" s="12" t="str">
        <f t="shared" si="148"/>
        <v>-</v>
      </c>
      <c r="V1927" s="12" t="str" cm="1">
        <f t="array" ref="V1927">_xlfn.IFS(
ISNUMBER(SEARCH("USA",S1927)),"United States",
ISNUMBER(SEARCH("Republic of Ireland",S1927)),"Ireland",
ISNUMBER(SEARCH("Republic of Korea",S1927)),"South Korea",
ISNUMBER(SEARCH("Cape Verde",S1927)),"Cabo Verde",
ISNUMBER(SEARCH("Czechia",S1927)),"Czech Republic",
ISNUMBER(SEARCH("Türkiye",S1927)),"Turkey",
ISNUMBER(SEARCH("Ivory Coast",S1927)),"Côte d'Ivoire",
ISNUMBER(SEARCH("Korea Republic",S1927)),"South Korea",
ISNUMBER(SEARCH("Germany FR",S1927)),"FR Germany",
ISNUMBER(SEARCH("West Germany",S1927)),"FR Germany",
ISNUMBER(SEARCH("Germany DR",S1927)),"DR Germany",
ISNUMBER(SEARCH("Korea DPR",S1927)),"North Korea",
ISNUMBER(SEARCH("China PR",S1927)),"China",
ISNUMBER(SEARCH("IR Iran",S1927)),"Iran",
ISNUMBER(SEARCH("Congo DR",S1927)),"Democratic Republic of the Congo",
ISNUMBER(SEARCH("DR Congo",S1927)),"Democratic Republic of the Congo",
ISNUMBER(SEARCH("German DR",S1927)),"DR Germany",
ISNUMBER(SEARCH("rn""&gt;United Arab Emirates",S1927)),"United Arab Emirates",
ISNUMBER(SEARCH("rn""&gt;Republic of Ireland",S1927)),"Ireland",
ISNUMBER(SEARCH("rn""&gt;Bosnia and Herzegovina",S1927)),"Bosnia and Herzegovina",
ISNUMBER(SEARCH("rn""&gt;Trinidad and Tobago",S1927)),"Trinidad and Tobago",
ISNUMBER(SEARCH("rn""&gt;Serbia and Montenegro",S1927)),"Serbia and Montenegro",
ISNUMBER(SEARCH(_xlfn.UNICHAR(65533),S1927)),"Côte d'Ivoire",
TRUE,""
)</f>
        <v/>
      </c>
      <c r="W1927" s="12" t="str">
        <f t="shared" si="149"/>
        <v>Uruguay</v>
      </c>
    </row>
    <row r="1928" spans="2:23">
      <c r="B1928" s="76" t="str">
        <v>1974.0</v>
      </c>
      <c r="C1928" s="42" t="str">
        <v xml:space="preserve">15 Jun 1974 - 18:00 </v>
      </c>
      <c r="D1928" s="42" t="str">
        <v>Group 4</v>
      </c>
      <c r="E1928" s="42" t="str">
        <v>Neckarstadion</v>
      </c>
      <c r="F1928" s="42" t="str">
        <v xml:space="preserve">Stuttgart </v>
      </c>
      <c r="G1928" s="42" t="str">
        <v>Poland</v>
      </c>
      <c r="H1928" s="42" t="str">
        <v>3.0</v>
      </c>
      <c r="I1928" s="42" t="str">
        <v>2.0</v>
      </c>
      <c r="J1928" s="42" t="str">
        <v>Argentina</v>
      </c>
      <c r="K1928" s="42" t="str">
        <v xml:space="preserve"> </v>
      </c>
      <c r="L1928" s="42" t="str">
        <f t="shared" si="146"/>
        <v xml:space="preserve">1974.0|15 Jun 1974 - 18:00 |Group 4|Neckarstadion|Stuttgart |Poland|3.0|2.0|Argentina| </v>
      </c>
      <c r="M1928" s="42" t="str">
        <f>IF(COUNTIF($L$1689:L1928,L1928)&gt;1,"DOUBLON","OK")</f>
        <v>OK</v>
      </c>
      <c r="S1928" s="12" t="str">
        <v>Uruguay</v>
      </c>
      <c r="T1928" s="12" t="str">
        <f t="shared" si="147"/>
        <v>OK</v>
      </c>
      <c r="U1928" s="12" t="str">
        <f t="shared" si="148"/>
        <v>-</v>
      </c>
      <c r="V1928" s="12" t="str" cm="1">
        <f t="array" ref="V1928">_xlfn.IFS(
ISNUMBER(SEARCH("USA",S1928)),"United States",
ISNUMBER(SEARCH("Republic of Ireland",S1928)),"Ireland",
ISNUMBER(SEARCH("Republic of Korea",S1928)),"South Korea",
ISNUMBER(SEARCH("Cape Verde",S1928)),"Cabo Verde",
ISNUMBER(SEARCH("Czechia",S1928)),"Czech Republic",
ISNUMBER(SEARCH("Türkiye",S1928)),"Turkey",
ISNUMBER(SEARCH("Ivory Coast",S1928)),"Côte d'Ivoire",
ISNUMBER(SEARCH("Korea Republic",S1928)),"South Korea",
ISNUMBER(SEARCH("Germany FR",S1928)),"FR Germany",
ISNUMBER(SEARCH("West Germany",S1928)),"FR Germany",
ISNUMBER(SEARCH("Germany DR",S1928)),"DR Germany",
ISNUMBER(SEARCH("Korea DPR",S1928)),"North Korea",
ISNUMBER(SEARCH("China PR",S1928)),"China",
ISNUMBER(SEARCH("IR Iran",S1928)),"Iran",
ISNUMBER(SEARCH("Congo DR",S1928)),"Democratic Republic of the Congo",
ISNUMBER(SEARCH("DR Congo",S1928)),"Democratic Republic of the Congo",
ISNUMBER(SEARCH("German DR",S1928)),"DR Germany",
ISNUMBER(SEARCH("rn""&gt;United Arab Emirates",S1928)),"United Arab Emirates",
ISNUMBER(SEARCH("rn""&gt;Republic of Ireland",S1928)),"Ireland",
ISNUMBER(SEARCH("rn""&gt;Bosnia and Herzegovina",S1928)),"Bosnia and Herzegovina",
ISNUMBER(SEARCH("rn""&gt;Trinidad and Tobago",S1928)),"Trinidad and Tobago",
ISNUMBER(SEARCH("rn""&gt;Serbia and Montenegro",S1928)),"Serbia and Montenegro",
ISNUMBER(SEARCH(_xlfn.UNICHAR(65533),S1928)),"Côte d'Ivoire",
TRUE,""
)</f>
        <v/>
      </c>
      <c r="W1928" s="12" t="str">
        <f t="shared" si="149"/>
        <v>Uruguay</v>
      </c>
    </row>
    <row r="1929" spans="2:23">
      <c r="B1929" s="76" t="str">
        <v>1974.0</v>
      </c>
      <c r="C1929" s="42" t="str">
        <v xml:space="preserve">18 Jun 1974 - 16:00 </v>
      </c>
      <c r="D1929" s="42" t="str">
        <v>Group 1</v>
      </c>
      <c r="E1929" s="42" t="str">
        <v>Volksparkstadion</v>
      </c>
      <c r="F1929" s="42" t="str">
        <v xml:space="preserve">Hamburg </v>
      </c>
      <c r="G1929" s="42" t="str">
        <v>Australia</v>
      </c>
      <c r="H1929" s="42" t="str">
        <v>0.0</v>
      </c>
      <c r="I1929" s="42" t="str">
        <v>3.0</v>
      </c>
      <c r="J1929" s="42" t="str">
        <v>Germany FR</v>
      </c>
      <c r="K1929" s="42" t="str">
        <v xml:space="preserve"> </v>
      </c>
      <c r="L1929" s="42" t="str">
        <f t="shared" si="146"/>
        <v xml:space="preserve">1974.0|18 Jun 1974 - 16:00 |Group 1|Volksparkstadion|Hamburg |Australia|0.0|3.0|Germany FR| </v>
      </c>
      <c r="M1929" s="42" t="str">
        <f>IF(COUNTIF($L$1689:L1929,L1929)&gt;1,"DOUBLON","OK")</f>
        <v>OK</v>
      </c>
      <c r="S1929" s="12" t="str">
        <v>Uruguay</v>
      </c>
      <c r="T1929" s="12" t="str">
        <f t="shared" si="147"/>
        <v>OK</v>
      </c>
      <c r="U1929" s="12" t="str">
        <f t="shared" si="148"/>
        <v>-</v>
      </c>
      <c r="V1929" s="12" t="str" cm="1">
        <f t="array" ref="V1929">_xlfn.IFS(
ISNUMBER(SEARCH("USA",S1929)),"United States",
ISNUMBER(SEARCH("Republic of Ireland",S1929)),"Ireland",
ISNUMBER(SEARCH("Republic of Korea",S1929)),"South Korea",
ISNUMBER(SEARCH("Cape Verde",S1929)),"Cabo Verde",
ISNUMBER(SEARCH("Czechia",S1929)),"Czech Republic",
ISNUMBER(SEARCH("Türkiye",S1929)),"Turkey",
ISNUMBER(SEARCH("Ivory Coast",S1929)),"Côte d'Ivoire",
ISNUMBER(SEARCH("Korea Republic",S1929)),"South Korea",
ISNUMBER(SEARCH("Germany FR",S1929)),"FR Germany",
ISNUMBER(SEARCH("West Germany",S1929)),"FR Germany",
ISNUMBER(SEARCH("Germany DR",S1929)),"DR Germany",
ISNUMBER(SEARCH("Korea DPR",S1929)),"North Korea",
ISNUMBER(SEARCH("China PR",S1929)),"China",
ISNUMBER(SEARCH("IR Iran",S1929)),"Iran",
ISNUMBER(SEARCH("Congo DR",S1929)),"Democratic Republic of the Congo",
ISNUMBER(SEARCH("DR Congo",S1929)),"Democratic Republic of the Congo",
ISNUMBER(SEARCH("German DR",S1929)),"DR Germany",
ISNUMBER(SEARCH("rn""&gt;United Arab Emirates",S1929)),"United Arab Emirates",
ISNUMBER(SEARCH("rn""&gt;Republic of Ireland",S1929)),"Ireland",
ISNUMBER(SEARCH("rn""&gt;Bosnia and Herzegovina",S1929)),"Bosnia and Herzegovina",
ISNUMBER(SEARCH("rn""&gt;Trinidad and Tobago",S1929)),"Trinidad and Tobago",
ISNUMBER(SEARCH("rn""&gt;Serbia and Montenegro",S1929)),"Serbia and Montenegro",
ISNUMBER(SEARCH(_xlfn.UNICHAR(65533),S1929)),"Côte d'Ivoire",
TRUE,""
)</f>
        <v/>
      </c>
      <c r="W1929" s="12" t="str">
        <f t="shared" si="149"/>
        <v>Uruguay</v>
      </c>
    </row>
    <row r="1930" spans="2:23">
      <c r="B1930" s="76" t="str">
        <v>1974.0</v>
      </c>
      <c r="C1930" s="42" t="str">
        <v xml:space="preserve">18 Jun 1974 - 19:30 </v>
      </c>
      <c r="D1930" s="42" t="str">
        <v>Group 2</v>
      </c>
      <c r="E1930" s="42" t="str">
        <v>Waldstadion</v>
      </c>
      <c r="F1930" s="42" t="str">
        <v xml:space="preserve">Frankfurt/Main </v>
      </c>
      <c r="G1930" s="42" t="str">
        <v>Scotland</v>
      </c>
      <c r="H1930" s="42" t="str">
        <v>0.0</v>
      </c>
      <c r="I1930" s="42" t="str">
        <v>0.0</v>
      </c>
      <c r="J1930" s="42" t="str">
        <v>Brazil</v>
      </c>
      <c r="K1930" s="42" t="str">
        <v xml:space="preserve"> </v>
      </c>
      <c r="L1930" s="42" t="str">
        <f t="shared" si="146"/>
        <v xml:space="preserve">1974.0|18 Jun 1974 - 19:30 |Group 2|Waldstadion|Frankfurt/Main |Scotland|0.0|0.0|Brazil| </v>
      </c>
      <c r="M1930" s="42" t="str">
        <f>IF(COUNTIF($L$1689:L1930,L1930)&gt;1,"DOUBLON","OK")</f>
        <v>OK</v>
      </c>
      <c r="S1930" s="12" t="str">
        <v>Uruguay</v>
      </c>
      <c r="T1930" s="12" t="str">
        <f t="shared" si="147"/>
        <v>OK</v>
      </c>
      <c r="U1930" s="12" t="str">
        <f t="shared" si="148"/>
        <v>-</v>
      </c>
      <c r="V1930" s="12" t="str" cm="1">
        <f t="array" ref="V1930">_xlfn.IFS(
ISNUMBER(SEARCH("USA",S1930)),"United States",
ISNUMBER(SEARCH("Republic of Ireland",S1930)),"Ireland",
ISNUMBER(SEARCH("Republic of Korea",S1930)),"South Korea",
ISNUMBER(SEARCH("Cape Verde",S1930)),"Cabo Verde",
ISNUMBER(SEARCH("Czechia",S1930)),"Czech Republic",
ISNUMBER(SEARCH("Türkiye",S1930)),"Turkey",
ISNUMBER(SEARCH("Ivory Coast",S1930)),"Côte d'Ivoire",
ISNUMBER(SEARCH("Korea Republic",S1930)),"South Korea",
ISNUMBER(SEARCH("Germany FR",S1930)),"FR Germany",
ISNUMBER(SEARCH("West Germany",S1930)),"FR Germany",
ISNUMBER(SEARCH("Germany DR",S1930)),"DR Germany",
ISNUMBER(SEARCH("Korea DPR",S1930)),"North Korea",
ISNUMBER(SEARCH("China PR",S1930)),"China",
ISNUMBER(SEARCH("IR Iran",S1930)),"Iran",
ISNUMBER(SEARCH("Congo DR",S1930)),"Democratic Republic of the Congo",
ISNUMBER(SEARCH("DR Congo",S1930)),"Democratic Republic of the Congo",
ISNUMBER(SEARCH("German DR",S1930)),"DR Germany",
ISNUMBER(SEARCH("rn""&gt;United Arab Emirates",S1930)),"United Arab Emirates",
ISNUMBER(SEARCH("rn""&gt;Republic of Ireland",S1930)),"Ireland",
ISNUMBER(SEARCH("rn""&gt;Bosnia and Herzegovina",S1930)),"Bosnia and Herzegovina",
ISNUMBER(SEARCH("rn""&gt;Trinidad and Tobago",S1930)),"Trinidad and Tobago",
ISNUMBER(SEARCH("rn""&gt;Serbia and Montenegro",S1930)),"Serbia and Montenegro",
ISNUMBER(SEARCH(_xlfn.UNICHAR(65533),S1930)),"Côte d'Ivoire",
TRUE,""
)</f>
        <v/>
      </c>
      <c r="W1930" s="12" t="str">
        <f t="shared" si="149"/>
        <v>Uruguay</v>
      </c>
    </row>
    <row r="1931" spans="2:23">
      <c r="B1931" s="76" t="str">
        <v>1974.0</v>
      </c>
      <c r="C1931" s="42" t="str">
        <v xml:space="preserve">18 Jun 1974 - 19:30 </v>
      </c>
      <c r="D1931" s="42" t="str">
        <v>Group 1</v>
      </c>
      <c r="E1931" s="42" t="str">
        <v>Olympiastadion</v>
      </c>
      <c r="F1931" s="42" t="str">
        <v xml:space="preserve">Berlin West </v>
      </c>
      <c r="G1931" s="42" t="str">
        <v>Chile</v>
      </c>
      <c r="H1931" s="42" t="str">
        <v>1.0</v>
      </c>
      <c r="I1931" s="42" t="str">
        <v>1.0</v>
      </c>
      <c r="J1931" s="42" t="str">
        <v>German DR</v>
      </c>
      <c r="K1931" s="42" t="str">
        <v xml:space="preserve"> </v>
      </c>
      <c r="L1931" s="42" t="str">
        <f t="shared" si="146"/>
        <v xml:space="preserve">1974.0|18 Jun 1974 - 19:30 |Group 1|Olympiastadion|Berlin West |Chile|1.0|1.0|German DR| </v>
      </c>
      <c r="M1931" s="42" t="str">
        <f>IF(COUNTIF($L$1689:L1931,L1931)&gt;1,"DOUBLON","OK")</f>
        <v>OK</v>
      </c>
      <c r="S1931" s="12" t="str">
        <v>Uruguay</v>
      </c>
      <c r="T1931" s="12" t="str">
        <f t="shared" si="147"/>
        <v>OK</v>
      </c>
      <c r="U1931" s="12" t="str">
        <f t="shared" si="148"/>
        <v>-</v>
      </c>
      <c r="V1931" s="12" t="str" cm="1">
        <f t="array" ref="V1931">_xlfn.IFS(
ISNUMBER(SEARCH("USA",S1931)),"United States",
ISNUMBER(SEARCH("Republic of Ireland",S1931)),"Ireland",
ISNUMBER(SEARCH("Republic of Korea",S1931)),"South Korea",
ISNUMBER(SEARCH("Cape Verde",S1931)),"Cabo Verde",
ISNUMBER(SEARCH("Czechia",S1931)),"Czech Republic",
ISNUMBER(SEARCH("Türkiye",S1931)),"Turkey",
ISNUMBER(SEARCH("Ivory Coast",S1931)),"Côte d'Ivoire",
ISNUMBER(SEARCH("Korea Republic",S1931)),"South Korea",
ISNUMBER(SEARCH("Germany FR",S1931)),"FR Germany",
ISNUMBER(SEARCH("West Germany",S1931)),"FR Germany",
ISNUMBER(SEARCH("Germany DR",S1931)),"DR Germany",
ISNUMBER(SEARCH("Korea DPR",S1931)),"North Korea",
ISNUMBER(SEARCH("China PR",S1931)),"China",
ISNUMBER(SEARCH("IR Iran",S1931)),"Iran",
ISNUMBER(SEARCH("Congo DR",S1931)),"Democratic Republic of the Congo",
ISNUMBER(SEARCH("DR Congo",S1931)),"Democratic Republic of the Congo",
ISNUMBER(SEARCH("German DR",S1931)),"DR Germany",
ISNUMBER(SEARCH("rn""&gt;United Arab Emirates",S1931)),"United Arab Emirates",
ISNUMBER(SEARCH("rn""&gt;Republic of Ireland",S1931)),"Ireland",
ISNUMBER(SEARCH("rn""&gt;Bosnia and Herzegovina",S1931)),"Bosnia and Herzegovina",
ISNUMBER(SEARCH("rn""&gt;Trinidad and Tobago",S1931)),"Trinidad and Tobago",
ISNUMBER(SEARCH("rn""&gt;Serbia and Montenegro",S1931)),"Serbia and Montenegro",
ISNUMBER(SEARCH(_xlfn.UNICHAR(65533),S1931)),"Côte d'Ivoire",
TRUE,""
)</f>
        <v/>
      </c>
      <c r="W1931" s="12" t="str">
        <f t="shared" si="149"/>
        <v>Uruguay</v>
      </c>
    </row>
    <row r="1932" spans="2:23">
      <c r="B1932" s="76" t="str">
        <v>1974.0</v>
      </c>
      <c r="C1932" s="42" t="str">
        <v xml:space="preserve">18 Jun 1974 - 19:30 </v>
      </c>
      <c r="D1932" s="42" t="str">
        <v>Group 2</v>
      </c>
      <c r="E1932" s="42" t="str">
        <v>Parkstadion</v>
      </c>
      <c r="F1932" s="42" t="str">
        <v xml:space="preserve">Gelsenkirchen </v>
      </c>
      <c r="G1932" s="42" t="str">
        <v>Yugoslavia</v>
      </c>
      <c r="H1932" s="42" t="str">
        <v>9.0</v>
      </c>
      <c r="I1932" s="42" t="str">
        <v>0.0</v>
      </c>
      <c r="J1932" s="42" t="str">
        <v>Zaire</v>
      </c>
      <c r="K1932" s="42" t="str">
        <v xml:space="preserve"> </v>
      </c>
      <c r="L1932" s="42" t="str">
        <f t="shared" si="146"/>
        <v xml:space="preserve">1974.0|18 Jun 1974 - 19:30 |Group 2|Parkstadion|Gelsenkirchen |Yugoslavia|9.0|0.0|Zaire| </v>
      </c>
      <c r="M1932" s="42" t="str">
        <f>IF(COUNTIF($L$1689:L1932,L1932)&gt;1,"DOUBLON","OK")</f>
        <v>OK</v>
      </c>
      <c r="S1932" s="12" t="str">
        <v>Uruguay</v>
      </c>
      <c r="T1932" s="12" t="str">
        <f t="shared" si="147"/>
        <v>OK</v>
      </c>
      <c r="U1932" s="12" t="str">
        <f t="shared" si="148"/>
        <v>-</v>
      </c>
      <c r="V1932" s="12" t="str" cm="1">
        <f t="array" ref="V1932">_xlfn.IFS(
ISNUMBER(SEARCH("USA",S1932)),"United States",
ISNUMBER(SEARCH("Republic of Ireland",S1932)),"Ireland",
ISNUMBER(SEARCH("Republic of Korea",S1932)),"South Korea",
ISNUMBER(SEARCH("Cape Verde",S1932)),"Cabo Verde",
ISNUMBER(SEARCH("Czechia",S1932)),"Czech Republic",
ISNUMBER(SEARCH("Türkiye",S1932)),"Turkey",
ISNUMBER(SEARCH("Ivory Coast",S1932)),"Côte d'Ivoire",
ISNUMBER(SEARCH("Korea Republic",S1932)),"South Korea",
ISNUMBER(SEARCH("Germany FR",S1932)),"FR Germany",
ISNUMBER(SEARCH("West Germany",S1932)),"FR Germany",
ISNUMBER(SEARCH("Germany DR",S1932)),"DR Germany",
ISNUMBER(SEARCH("Korea DPR",S1932)),"North Korea",
ISNUMBER(SEARCH("China PR",S1932)),"China",
ISNUMBER(SEARCH("IR Iran",S1932)),"Iran",
ISNUMBER(SEARCH("Congo DR",S1932)),"Democratic Republic of the Congo",
ISNUMBER(SEARCH("DR Congo",S1932)),"Democratic Republic of the Congo",
ISNUMBER(SEARCH("German DR",S1932)),"DR Germany",
ISNUMBER(SEARCH("rn""&gt;United Arab Emirates",S1932)),"United Arab Emirates",
ISNUMBER(SEARCH("rn""&gt;Republic of Ireland",S1932)),"Ireland",
ISNUMBER(SEARCH("rn""&gt;Bosnia and Herzegovina",S1932)),"Bosnia and Herzegovina",
ISNUMBER(SEARCH("rn""&gt;Trinidad and Tobago",S1932)),"Trinidad and Tobago",
ISNUMBER(SEARCH("rn""&gt;Serbia and Montenegro",S1932)),"Serbia and Montenegro",
ISNUMBER(SEARCH(_xlfn.UNICHAR(65533),S1932)),"Côte d'Ivoire",
TRUE,""
)</f>
        <v/>
      </c>
      <c r="W1932" s="12" t="str">
        <f t="shared" si="149"/>
        <v>Uruguay</v>
      </c>
    </row>
    <row r="1933" spans="2:23">
      <c r="B1933" s="76" t="str">
        <v>1974.0</v>
      </c>
      <c r="C1933" s="42" t="str">
        <v xml:space="preserve">19 Jun 1974 - 19:30 </v>
      </c>
      <c r="D1933" s="42" t="str">
        <v>Group 3</v>
      </c>
      <c r="E1933" s="42" t="str">
        <v>Westfalenstadion</v>
      </c>
      <c r="F1933" s="42" t="str">
        <v xml:space="preserve">Dortmund </v>
      </c>
      <c r="G1933" s="42" t="str">
        <v>Netherlands</v>
      </c>
      <c r="H1933" s="42" t="str">
        <v>0.0</v>
      </c>
      <c r="I1933" s="42" t="str">
        <v>0.0</v>
      </c>
      <c r="J1933" s="42" t="str">
        <v>Sweden</v>
      </c>
      <c r="K1933" s="42" t="str">
        <v xml:space="preserve"> </v>
      </c>
      <c r="L1933" s="42" t="str">
        <f t="shared" si="146"/>
        <v xml:space="preserve">1974.0|19 Jun 1974 - 19:30 |Group 3|Westfalenstadion|Dortmund |Netherlands|0.0|0.0|Sweden| </v>
      </c>
      <c r="M1933" s="42" t="str">
        <f>IF(COUNTIF($L$1689:L1933,L1933)&gt;1,"DOUBLON","OK")</f>
        <v>OK</v>
      </c>
      <c r="S1933" s="12" t="str">
        <v>Uruguay</v>
      </c>
      <c r="T1933" s="12" t="str">
        <f t="shared" si="147"/>
        <v>OK</v>
      </c>
      <c r="U1933" s="12" t="str">
        <f t="shared" si="148"/>
        <v>-</v>
      </c>
      <c r="V1933" s="12" t="str" cm="1">
        <f t="array" ref="V1933">_xlfn.IFS(
ISNUMBER(SEARCH("USA",S1933)),"United States",
ISNUMBER(SEARCH("Republic of Ireland",S1933)),"Ireland",
ISNUMBER(SEARCH("Republic of Korea",S1933)),"South Korea",
ISNUMBER(SEARCH("Cape Verde",S1933)),"Cabo Verde",
ISNUMBER(SEARCH("Czechia",S1933)),"Czech Republic",
ISNUMBER(SEARCH("Türkiye",S1933)),"Turkey",
ISNUMBER(SEARCH("Ivory Coast",S1933)),"Côte d'Ivoire",
ISNUMBER(SEARCH("Korea Republic",S1933)),"South Korea",
ISNUMBER(SEARCH("Germany FR",S1933)),"FR Germany",
ISNUMBER(SEARCH("West Germany",S1933)),"FR Germany",
ISNUMBER(SEARCH("Germany DR",S1933)),"DR Germany",
ISNUMBER(SEARCH("Korea DPR",S1933)),"North Korea",
ISNUMBER(SEARCH("China PR",S1933)),"China",
ISNUMBER(SEARCH("IR Iran",S1933)),"Iran",
ISNUMBER(SEARCH("Congo DR",S1933)),"Democratic Republic of the Congo",
ISNUMBER(SEARCH("DR Congo",S1933)),"Democratic Republic of the Congo",
ISNUMBER(SEARCH("German DR",S1933)),"DR Germany",
ISNUMBER(SEARCH("rn""&gt;United Arab Emirates",S1933)),"United Arab Emirates",
ISNUMBER(SEARCH("rn""&gt;Republic of Ireland",S1933)),"Ireland",
ISNUMBER(SEARCH("rn""&gt;Bosnia and Herzegovina",S1933)),"Bosnia and Herzegovina",
ISNUMBER(SEARCH("rn""&gt;Trinidad and Tobago",S1933)),"Trinidad and Tobago",
ISNUMBER(SEARCH("rn""&gt;Serbia and Montenegro",S1933)),"Serbia and Montenegro",
ISNUMBER(SEARCH(_xlfn.UNICHAR(65533),S1933)),"Côte d'Ivoire",
TRUE,""
)</f>
        <v/>
      </c>
      <c r="W1933" s="12" t="str">
        <f t="shared" si="149"/>
        <v>Uruguay</v>
      </c>
    </row>
    <row r="1934" spans="2:23">
      <c r="B1934" s="76" t="str">
        <v>1974.0</v>
      </c>
      <c r="C1934" s="42" t="str">
        <v xml:space="preserve">19 Jun 1974 - 19:30 </v>
      </c>
      <c r="D1934" s="42" t="str">
        <v>Group 3</v>
      </c>
      <c r="E1934" s="42" t="str">
        <v>Niedersachsenstadion</v>
      </c>
      <c r="F1934" s="42" t="str">
        <v xml:space="preserve">Hanover </v>
      </c>
      <c r="G1934" s="42" t="str">
        <v>Bulgaria</v>
      </c>
      <c r="H1934" s="42" t="str">
        <v>1.0</v>
      </c>
      <c r="I1934" s="42" t="str">
        <v>1.0</v>
      </c>
      <c r="J1934" s="42" t="str">
        <v>Uruguay</v>
      </c>
      <c r="K1934" s="42" t="str">
        <v xml:space="preserve"> </v>
      </c>
      <c r="L1934" s="42" t="str">
        <f t="shared" si="146"/>
        <v xml:space="preserve">1974.0|19 Jun 1974 - 19:30 |Group 3|Niedersachsenstadion|Hanover |Bulgaria|1.0|1.0|Uruguay| </v>
      </c>
      <c r="M1934" s="42" t="str">
        <f>IF(COUNTIF($L$1689:L1934,L1934)&gt;1,"DOUBLON","OK")</f>
        <v>OK</v>
      </c>
      <c r="S1934" s="12" t="str">
        <v>Uruguay</v>
      </c>
      <c r="T1934" s="12" t="str">
        <f t="shared" si="147"/>
        <v>OK</v>
      </c>
      <c r="U1934" s="12" t="str">
        <f t="shared" si="148"/>
        <v>-</v>
      </c>
      <c r="V1934" s="12" t="str" cm="1">
        <f t="array" ref="V1934">_xlfn.IFS(
ISNUMBER(SEARCH("USA",S1934)),"United States",
ISNUMBER(SEARCH("Republic of Ireland",S1934)),"Ireland",
ISNUMBER(SEARCH("Republic of Korea",S1934)),"South Korea",
ISNUMBER(SEARCH("Cape Verde",S1934)),"Cabo Verde",
ISNUMBER(SEARCH("Czechia",S1934)),"Czech Republic",
ISNUMBER(SEARCH("Türkiye",S1934)),"Turkey",
ISNUMBER(SEARCH("Ivory Coast",S1934)),"Côte d'Ivoire",
ISNUMBER(SEARCH("Korea Republic",S1934)),"South Korea",
ISNUMBER(SEARCH("Germany FR",S1934)),"FR Germany",
ISNUMBER(SEARCH("West Germany",S1934)),"FR Germany",
ISNUMBER(SEARCH("Germany DR",S1934)),"DR Germany",
ISNUMBER(SEARCH("Korea DPR",S1934)),"North Korea",
ISNUMBER(SEARCH("China PR",S1934)),"China",
ISNUMBER(SEARCH("IR Iran",S1934)),"Iran",
ISNUMBER(SEARCH("Congo DR",S1934)),"Democratic Republic of the Congo",
ISNUMBER(SEARCH("DR Congo",S1934)),"Democratic Republic of the Congo",
ISNUMBER(SEARCH("German DR",S1934)),"DR Germany",
ISNUMBER(SEARCH("rn""&gt;United Arab Emirates",S1934)),"United Arab Emirates",
ISNUMBER(SEARCH("rn""&gt;Republic of Ireland",S1934)),"Ireland",
ISNUMBER(SEARCH("rn""&gt;Bosnia and Herzegovina",S1934)),"Bosnia and Herzegovina",
ISNUMBER(SEARCH("rn""&gt;Trinidad and Tobago",S1934)),"Trinidad and Tobago",
ISNUMBER(SEARCH("rn""&gt;Serbia and Montenegro",S1934)),"Serbia and Montenegro",
ISNUMBER(SEARCH(_xlfn.UNICHAR(65533),S1934)),"Côte d'Ivoire",
TRUE,""
)</f>
        <v/>
      </c>
      <c r="W1934" s="12" t="str">
        <f t="shared" si="149"/>
        <v>Uruguay</v>
      </c>
    </row>
    <row r="1935" spans="2:23">
      <c r="B1935" s="76" t="str">
        <v>1974.0</v>
      </c>
      <c r="C1935" s="42" t="str">
        <v xml:space="preserve">19 Jun 1974 - 19:30 </v>
      </c>
      <c r="D1935" s="42" t="str">
        <v>Group 4</v>
      </c>
      <c r="E1935" s="42" t="str">
        <v>Olympiastadion</v>
      </c>
      <c r="F1935" s="42" t="str">
        <v xml:space="preserve">Munich </v>
      </c>
      <c r="G1935" s="42" t="str">
        <v>Haiti</v>
      </c>
      <c r="H1935" s="42" t="str">
        <v>0.0</v>
      </c>
      <c r="I1935" s="42" t="str">
        <v>7.0</v>
      </c>
      <c r="J1935" s="42" t="str">
        <v>Poland</v>
      </c>
      <c r="K1935" s="42" t="str">
        <v xml:space="preserve"> </v>
      </c>
      <c r="L1935" s="42" t="str">
        <f t="shared" si="146"/>
        <v xml:space="preserve">1974.0|19 Jun 1974 - 19:30 |Group 4|Olympiastadion|Munich |Haiti|0.0|7.0|Poland| </v>
      </c>
      <c r="M1935" s="42" t="str">
        <f>IF(COUNTIF($L$1689:L1935,L1935)&gt;1,"DOUBLON","OK")</f>
        <v>OK</v>
      </c>
      <c r="S1935" s="12" t="str">
        <v>Uruguay</v>
      </c>
      <c r="T1935" s="12" t="str">
        <f t="shared" si="147"/>
        <v>OK</v>
      </c>
      <c r="U1935" s="12" t="str">
        <f t="shared" si="148"/>
        <v>-</v>
      </c>
      <c r="V1935" s="12" t="str" cm="1">
        <f t="array" ref="V1935">_xlfn.IFS(
ISNUMBER(SEARCH("USA",S1935)),"United States",
ISNUMBER(SEARCH("Republic of Ireland",S1935)),"Ireland",
ISNUMBER(SEARCH("Republic of Korea",S1935)),"South Korea",
ISNUMBER(SEARCH("Cape Verde",S1935)),"Cabo Verde",
ISNUMBER(SEARCH("Czechia",S1935)),"Czech Republic",
ISNUMBER(SEARCH("Türkiye",S1935)),"Turkey",
ISNUMBER(SEARCH("Ivory Coast",S1935)),"Côte d'Ivoire",
ISNUMBER(SEARCH("Korea Republic",S1935)),"South Korea",
ISNUMBER(SEARCH("Germany FR",S1935)),"FR Germany",
ISNUMBER(SEARCH("West Germany",S1935)),"FR Germany",
ISNUMBER(SEARCH("Germany DR",S1935)),"DR Germany",
ISNUMBER(SEARCH("Korea DPR",S1935)),"North Korea",
ISNUMBER(SEARCH("China PR",S1935)),"China",
ISNUMBER(SEARCH("IR Iran",S1935)),"Iran",
ISNUMBER(SEARCH("Congo DR",S1935)),"Democratic Republic of the Congo",
ISNUMBER(SEARCH("DR Congo",S1935)),"Democratic Republic of the Congo",
ISNUMBER(SEARCH("German DR",S1935)),"DR Germany",
ISNUMBER(SEARCH("rn""&gt;United Arab Emirates",S1935)),"United Arab Emirates",
ISNUMBER(SEARCH("rn""&gt;Republic of Ireland",S1935)),"Ireland",
ISNUMBER(SEARCH("rn""&gt;Bosnia and Herzegovina",S1935)),"Bosnia and Herzegovina",
ISNUMBER(SEARCH("rn""&gt;Trinidad and Tobago",S1935)),"Trinidad and Tobago",
ISNUMBER(SEARCH("rn""&gt;Serbia and Montenegro",S1935)),"Serbia and Montenegro",
ISNUMBER(SEARCH(_xlfn.UNICHAR(65533),S1935)),"Côte d'Ivoire",
TRUE,""
)</f>
        <v/>
      </c>
      <c r="W1935" s="12" t="str">
        <f t="shared" si="149"/>
        <v>Uruguay</v>
      </c>
    </row>
    <row r="1936" spans="2:23">
      <c r="B1936" s="76" t="str">
        <v>1974.0</v>
      </c>
      <c r="C1936" s="42" t="str">
        <v xml:space="preserve">19 Jun 1974 - 19:30 </v>
      </c>
      <c r="D1936" s="42" t="str">
        <v>Group 4</v>
      </c>
      <c r="E1936" s="42" t="str">
        <v>Neckarstadion</v>
      </c>
      <c r="F1936" s="42" t="str">
        <v xml:space="preserve">Stuttgart </v>
      </c>
      <c r="G1936" s="42" t="str">
        <v>Argentina</v>
      </c>
      <c r="H1936" s="42" t="str">
        <v>1.0</v>
      </c>
      <c r="I1936" s="42" t="str">
        <v>1.0</v>
      </c>
      <c r="J1936" s="42" t="str">
        <v>Italy</v>
      </c>
      <c r="K1936" s="42" t="str">
        <v xml:space="preserve"> </v>
      </c>
      <c r="L1936" s="42" t="str">
        <f t="shared" si="146"/>
        <v xml:space="preserve">1974.0|19 Jun 1974 - 19:30 |Group 4|Neckarstadion|Stuttgart |Argentina|1.0|1.0|Italy| </v>
      </c>
      <c r="M1936" s="42" t="str">
        <f>IF(COUNTIF($L$1689:L1936,L1936)&gt;1,"DOUBLON","OK")</f>
        <v>OK</v>
      </c>
      <c r="S1936" s="12" t="str">
        <v>Uruguay</v>
      </c>
      <c r="T1936" s="12" t="str">
        <f t="shared" si="147"/>
        <v>OK</v>
      </c>
      <c r="U1936" s="12" t="str">
        <f t="shared" si="148"/>
        <v>-</v>
      </c>
      <c r="V1936" s="12" t="str" cm="1">
        <f t="array" ref="V1936">_xlfn.IFS(
ISNUMBER(SEARCH("USA",S1936)),"United States",
ISNUMBER(SEARCH("Republic of Ireland",S1936)),"Ireland",
ISNUMBER(SEARCH("Republic of Korea",S1936)),"South Korea",
ISNUMBER(SEARCH("Cape Verde",S1936)),"Cabo Verde",
ISNUMBER(SEARCH("Czechia",S1936)),"Czech Republic",
ISNUMBER(SEARCH("Türkiye",S1936)),"Turkey",
ISNUMBER(SEARCH("Ivory Coast",S1936)),"Côte d'Ivoire",
ISNUMBER(SEARCH("Korea Republic",S1936)),"South Korea",
ISNUMBER(SEARCH("Germany FR",S1936)),"FR Germany",
ISNUMBER(SEARCH("West Germany",S1936)),"FR Germany",
ISNUMBER(SEARCH("Germany DR",S1936)),"DR Germany",
ISNUMBER(SEARCH("Korea DPR",S1936)),"North Korea",
ISNUMBER(SEARCH("China PR",S1936)),"China",
ISNUMBER(SEARCH("IR Iran",S1936)),"Iran",
ISNUMBER(SEARCH("Congo DR",S1936)),"Democratic Republic of the Congo",
ISNUMBER(SEARCH("DR Congo",S1936)),"Democratic Republic of the Congo",
ISNUMBER(SEARCH("German DR",S1936)),"DR Germany",
ISNUMBER(SEARCH("rn""&gt;United Arab Emirates",S1936)),"United Arab Emirates",
ISNUMBER(SEARCH("rn""&gt;Republic of Ireland",S1936)),"Ireland",
ISNUMBER(SEARCH("rn""&gt;Bosnia and Herzegovina",S1936)),"Bosnia and Herzegovina",
ISNUMBER(SEARCH("rn""&gt;Trinidad and Tobago",S1936)),"Trinidad and Tobago",
ISNUMBER(SEARCH("rn""&gt;Serbia and Montenegro",S1936)),"Serbia and Montenegro",
ISNUMBER(SEARCH(_xlfn.UNICHAR(65533),S1936)),"Côte d'Ivoire",
TRUE,""
)</f>
        <v/>
      </c>
      <c r="W1936" s="12" t="str">
        <f t="shared" si="149"/>
        <v>Uruguay</v>
      </c>
    </row>
    <row r="1937" spans="2:23">
      <c r="B1937" s="76" t="str">
        <v>1974.0</v>
      </c>
      <c r="C1937" s="42" t="str">
        <v xml:space="preserve">22 Jun 1974 - 16:00 </v>
      </c>
      <c r="D1937" s="42" t="str">
        <v>Group 2</v>
      </c>
      <c r="E1937" s="42" t="str">
        <v>Waldstadion</v>
      </c>
      <c r="F1937" s="42" t="str">
        <v xml:space="preserve">Frankfurt/Main </v>
      </c>
      <c r="G1937" s="42" t="str">
        <v>Scotland</v>
      </c>
      <c r="H1937" s="42" t="str">
        <v>1.0</v>
      </c>
      <c r="I1937" s="42" t="str">
        <v>1.0</v>
      </c>
      <c r="J1937" s="42" t="str">
        <v>Yugoslavia</v>
      </c>
      <c r="K1937" s="42" t="str">
        <v xml:space="preserve"> </v>
      </c>
      <c r="L1937" s="42" t="str">
        <f t="shared" si="146"/>
        <v xml:space="preserve">1974.0|22 Jun 1974 - 16:00 |Group 2|Waldstadion|Frankfurt/Main |Scotland|1.0|1.0|Yugoslavia| </v>
      </c>
      <c r="M1937" s="42" t="str">
        <f>IF(COUNTIF($L$1689:L1937,L1937)&gt;1,"DOUBLON","OK")</f>
        <v>OK</v>
      </c>
      <c r="S1937" s="12" t="str">
        <v>Uruguay</v>
      </c>
      <c r="T1937" s="12" t="str">
        <f t="shared" si="147"/>
        <v>OK</v>
      </c>
      <c r="U1937" s="12" t="str">
        <f t="shared" si="148"/>
        <v>-</v>
      </c>
      <c r="V1937" s="12" t="str" cm="1">
        <f t="array" ref="V1937">_xlfn.IFS(
ISNUMBER(SEARCH("USA",S1937)),"United States",
ISNUMBER(SEARCH("Republic of Ireland",S1937)),"Ireland",
ISNUMBER(SEARCH("Republic of Korea",S1937)),"South Korea",
ISNUMBER(SEARCH("Cape Verde",S1937)),"Cabo Verde",
ISNUMBER(SEARCH("Czechia",S1937)),"Czech Republic",
ISNUMBER(SEARCH("Türkiye",S1937)),"Turkey",
ISNUMBER(SEARCH("Ivory Coast",S1937)),"Côte d'Ivoire",
ISNUMBER(SEARCH("Korea Republic",S1937)),"South Korea",
ISNUMBER(SEARCH("Germany FR",S1937)),"FR Germany",
ISNUMBER(SEARCH("West Germany",S1937)),"FR Germany",
ISNUMBER(SEARCH("Germany DR",S1937)),"DR Germany",
ISNUMBER(SEARCH("Korea DPR",S1937)),"North Korea",
ISNUMBER(SEARCH("China PR",S1937)),"China",
ISNUMBER(SEARCH("IR Iran",S1937)),"Iran",
ISNUMBER(SEARCH("Congo DR",S1937)),"Democratic Republic of the Congo",
ISNUMBER(SEARCH("DR Congo",S1937)),"Democratic Republic of the Congo",
ISNUMBER(SEARCH("German DR",S1937)),"DR Germany",
ISNUMBER(SEARCH("rn""&gt;United Arab Emirates",S1937)),"United Arab Emirates",
ISNUMBER(SEARCH("rn""&gt;Republic of Ireland",S1937)),"Ireland",
ISNUMBER(SEARCH("rn""&gt;Bosnia and Herzegovina",S1937)),"Bosnia and Herzegovina",
ISNUMBER(SEARCH("rn""&gt;Trinidad and Tobago",S1937)),"Trinidad and Tobago",
ISNUMBER(SEARCH("rn""&gt;Serbia and Montenegro",S1937)),"Serbia and Montenegro",
ISNUMBER(SEARCH(_xlfn.UNICHAR(65533),S1937)),"Côte d'Ivoire",
TRUE,""
)</f>
        <v/>
      </c>
      <c r="W1937" s="12" t="str">
        <f t="shared" si="149"/>
        <v>Uruguay</v>
      </c>
    </row>
    <row r="1938" spans="2:23">
      <c r="B1938" s="76" t="str">
        <v>1974.0</v>
      </c>
      <c r="C1938" s="42" t="str">
        <v xml:space="preserve">22 Jun 1974 - 16:00 </v>
      </c>
      <c r="D1938" s="42" t="str">
        <v>Group 1</v>
      </c>
      <c r="E1938" s="42" t="str">
        <v>Olympiastadion</v>
      </c>
      <c r="F1938" s="42" t="str">
        <v xml:space="preserve">Berlin West </v>
      </c>
      <c r="G1938" s="42" t="str">
        <v>Australia</v>
      </c>
      <c r="H1938" s="42" t="str">
        <v>0.0</v>
      </c>
      <c r="I1938" s="42" t="str">
        <v>0.0</v>
      </c>
      <c r="J1938" s="42" t="str">
        <v>Chile</v>
      </c>
      <c r="K1938" s="42" t="str">
        <v xml:space="preserve"> </v>
      </c>
      <c r="L1938" s="42" t="str">
        <f t="shared" si="146"/>
        <v xml:space="preserve">1974.0|22 Jun 1974 - 16:00 |Group 1|Olympiastadion|Berlin West |Australia|0.0|0.0|Chile| </v>
      </c>
      <c r="M1938" s="42" t="str">
        <f>IF(COUNTIF($L$1689:L1938,L1938)&gt;1,"DOUBLON","OK")</f>
        <v>OK</v>
      </c>
      <c r="S1938" s="12" t="str">
        <v>Uruguay</v>
      </c>
      <c r="T1938" s="12" t="str">
        <f t="shared" si="147"/>
        <v>OK</v>
      </c>
      <c r="U1938" s="12" t="str">
        <f t="shared" si="148"/>
        <v>-</v>
      </c>
      <c r="V1938" s="12" t="str" cm="1">
        <f t="array" ref="V1938">_xlfn.IFS(
ISNUMBER(SEARCH("USA",S1938)),"United States",
ISNUMBER(SEARCH("Republic of Ireland",S1938)),"Ireland",
ISNUMBER(SEARCH("Republic of Korea",S1938)),"South Korea",
ISNUMBER(SEARCH("Cape Verde",S1938)),"Cabo Verde",
ISNUMBER(SEARCH("Czechia",S1938)),"Czech Republic",
ISNUMBER(SEARCH("Türkiye",S1938)),"Turkey",
ISNUMBER(SEARCH("Ivory Coast",S1938)),"Côte d'Ivoire",
ISNUMBER(SEARCH("Korea Republic",S1938)),"South Korea",
ISNUMBER(SEARCH("Germany FR",S1938)),"FR Germany",
ISNUMBER(SEARCH("West Germany",S1938)),"FR Germany",
ISNUMBER(SEARCH("Germany DR",S1938)),"DR Germany",
ISNUMBER(SEARCH("Korea DPR",S1938)),"North Korea",
ISNUMBER(SEARCH("China PR",S1938)),"China",
ISNUMBER(SEARCH("IR Iran",S1938)),"Iran",
ISNUMBER(SEARCH("Congo DR",S1938)),"Democratic Republic of the Congo",
ISNUMBER(SEARCH("DR Congo",S1938)),"Democratic Republic of the Congo",
ISNUMBER(SEARCH("German DR",S1938)),"DR Germany",
ISNUMBER(SEARCH("rn""&gt;United Arab Emirates",S1938)),"United Arab Emirates",
ISNUMBER(SEARCH("rn""&gt;Republic of Ireland",S1938)),"Ireland",
ISNUMBER(SEARCH("rn""&gt;Bosnia and Herzegovina",S1938)),"Bosnia and Herzegovina",
ISNUMBER(SEARCH("rn""&gt;Trinidad and Tobago",S1938)),"Trinidad and Tobago",
ISNUMBER(SEARCH("rn""&gt;Serbia and Montenegro",S1938)),"Serbia and Montenegro",
ISNUMBER(SEARCH(_xlfn.UNICHAR(65533),S1938)),"Côte d'Ivoire",
TRUE,""
)</f>
        <v/>
      </c>
      <c r="W1938" s="12" t="str">
        <f t="shared" si="149"/>
        <v>Uruguay</v>
      </c>
    </row>
    <row r="1939" spans="2:23">
      <c r="B1939" s="76" t="str">
        <v>1974.0</v>
      </c>
      <c r="C1939" s="42" t="str">
        <v xml:space="preserve">22 Jun 1974 - 16:00 </v>
      </c>
      <c r="D1939" s="42" t="str">
        <v>Group 2</v>
      </c>
      <c r="E1939" s="42" t="str">
        <v>Parkstadion</v>
      </c>
      <c r="F1939" s="42" t="str">
        <v xml:space="preserve">Gelsenkirchen </v>
      </c>
      <c r="G1939" s="42" t="str">
        <v>Zaire</v>
      </c>
      <c r="H1939" s="42" t="str">
        <v>0.0</v>
      </c>
      <c r="I1939" s="42" t="str">
        <v>3.0</v>
      </c>
      <c r="J1939" s="42" t="str">
        <v>Brazil</v>
      </c>
      <c r="K1939" s="42" t="str">
        <v xml:space="preserve"> </v>
      </c>
      <c r="L1939" s="42" t="str">
        <f t="shared" si="146"/>
        <v xml:space="preserve">1974.0|22 Jun 1974 - 16:00 |Group 2|Parkstadion|Gelsenkirchen |Zaire|0.0|3.0|Brazil| </v>
      </c>
      <c r="M1939" s="42" t="str">
        <f>IF(COUNTIF($L$1689:L1939,L1939)&gt;1,"DOUBLON","OK")</f>
        <v>OK</v>
      </c>
      <c r="S1939" s="12" t="str">
        <v>Uruguay</v>
      </c>
      <c r="T1939" s="12" t="str">
        <f t="shared" si="147"/>
        <v>OK</v>
      </c>
      <c r="U1939" s="12" t="str">
        <f t="shared" si="148"/>
        <v>-</v>
      </c>
      <c r="V1939" s="12" t="str" cm="1">
        <f t="array" ref="V1939">_xlfn.IFS(
ISNUMBER(SEARCH("USA",S1939)),"United States",
ISNUMBER(SEARCH("Republic of Ireland",S1939)),"Ireland",
ISNUMBER(SEARCH("Republic of Korea",S1939)),"South Korea",
ISNUMBER(SEARCH("Cape Verde",S1939)),"Cabo Verde",
ISNUMBER(SEARCH("Czechia",S1939)),"Czech Republic",
ISNUMBER(SEARCH("Türkiye",S1939)),"Turkey",
ISNUMBER(SEARCH("Ivory Coast",S1939)),"Côte d'Ivoire",
ISNUMBER(SEARCH("Korea Republic",S1939)),"South Korea",
ISNUMBER(SEARCH("Germany FR",S1939)),"FR Germany",
ISNUMBER(SEARCH("West Germany",S1939)),"FR Germany",
ISNUMBER(SEARCH("Germany DR",S1939)),"DR Germany",
ISNUMBER(SEARCH("Korea DPR",S1939)),"North Korea",
ISNUMBER(SEARCH("China PR",S1939)),"China",
ISNUMBER(SEARCH("IR Iran",S1939)),"Iran",
ISNUMBER(SEARCH("Congo DR",S1939)),"Democratic Republic of the Congo",
ISNUMBER(SEARCH("DR Congo",S1939)),"Democratic Republic of the Congo",
ISNUMBER(SEARCH("German DR",S1939)),"DR Germany",
ISNUMBER(SEARCH("rn""&gt;United Arab Emirates",S1939)),"United Arab Emirates",
ISNUMBER(SEARCH("rn""&gt;Republic of Ireland",S1939)),"Ireland",
ISNUMBER(SEARCH("rn""&gt;Bosnia and Herzegovina",S1939)),"Bosnia and Herzegovina",
ISNUMBER(SEARCH("rn""&gt;Trinidad and Tobago",S1939)),"Trinidad and Tobago",
ISNUMBER(SEARCH("rn""&gt;Serbia and Montenegro",S1939)),"Serbia and Montenegro",
ISNUMBER(SEARCH(_xlfn.UNICHAR(65533),S1939)),"Côte d'Ivoire",
TRUE,""
)</f>
        <v/>
      </c>
      <c r="W1939" s="12" t="str">
        <f t="shared" si="149"/>
        <v>Uruguay</v>
      </c>
    </row>
    <row r="1940" spans="2:23">
      <c r="B1940" s="76" t="str">
        <v>1974.0</v>
      </c>
      <c r="C1940" s="42" t="str">
        <v xml:space="preserve">22 June 1974 - 19:30 </v>
      </c>
      <c r="D1940" s="42" t="str">
        <v>Group 1</v>
      </c>
      <c r="E1940" s="42" t="str">
        <v>Volksparkstadion</v>
      </c>
      <c r="F1940" s="42" t="str">
        <v xml:space="preserve">Hamburg </v>
      </c>
      <c r="G1940" s="42" t="str">
        <v>German DR</v>
      </c>
      <c r="H1940" s="42" t="str">
        <v>1.0</v>
      </c>
      <c r="I1940" s="42" t="str">
        <v>0.0</v>
      </c>
      <c r="J1940" s="42" t="str">
        <v>Germany FR</v>
      </c>
      <c r="K1940" s="42" t="str">
        <v xml:space="preserve"> </v>
      </c>
      <c r="L1940" s="42" t="str">
        <f t="shared" si="146"/>
        <v xml:space="preserve">1974.0|22 June 1974 - 19:30 |Group 1|Volksparkstadion|Hamburg |German DR|1.0|0.0|Germany FR| </v>
      </c>
      <c r="M1940" s="42" t="str">
        <f>IF(COUNTIF($L$1689:L1940,L1940)&gt;1,"DOUBLON","OK")</f>
        <v>OK</v>
      </c>
      <c r="S1940" s="12" t="str">
        <v>Uruguay</v>
      </c>
      <c r="T1940" s="12" t="str">
        <f t="shared" si="147"/>
        <v>OK</v>
      </c>
      <c r="U1940" s="12" t="str">
        <f t="shared" si="148"/>
        <v>-</v>
      </c>
      <c r="V1940" s="12" t="str" cm="1">
        <f t="array" ref="V1940">_xlfn.IFS(
ISNUMBER(SEARCH("USA",S1940)),"United States",
ISNUMBER(SEARCH("Republic of Ireland",S1940)),"Ireland",
ISNUMBER(SEARCH("Republic of Korea",S1940)),"South Korea",
ISNUMBER(SEARCH("Cape Verde",S1940)),"Cabo Verde",
ISNUMBER(SEARCH("Czechia",S1940)),"Czech Republic",
ISNUMBER(SEARCH("Türkiye",S1940)),"Turkey",
ISNUMBER(SEARCH("Ivory Coast",S1940)),"Côte d'Ivoire",
ISNUMBER(SEARCH("Korea Republic",S1940)),"South Korea",
ISNUMBER(SEARCH("Germany FR",S1940)),"FR Germany",
ISNUMBER(SEARCH("West Germany",S1940)),"FR Germany",
ISNUMBER(SEARCH("Germany DR",S1940)),"DR Germany",
ISNUMBER(SEARCH("Korea DPR",S1940)),"North Korea",
ISNUMBER(SEARCH("China PR",S1940)),"China",
ISNUMBER(SEARCH("IR Iran",S1940)),"Iran",
ISNUMBER(SEARCH("Congo DR",S1940)),"Democratic Republic of the Congo",
ISNUMBER(SEARCH("DR Congo",S1940)),"Democratic Republic of the Congo",
ISNUMBER(SEARCH("German DR",S1940)),"DR Germany",
ISNUMBER(SEARCH("rn""&gt;United Arab Emirates",S1940)),"United Arab Emirates",
ISNUMBER(SEARCH("rn""&gt;Republic of Ireland",S1940)),"Ireland",
ISNUMBER(SEARCH("rn""&gt;Bosnia and Herzegovina",S1940)),"Bosnia and Herzegovina",
ISNUMBER(SEARCH("rn""&gt;Trinidad and Tobago",S1940)),"Trinidad and Tobago",
ISNUMBER(SEARCH("rn""&gt;Serbia and Montenegro",S1940)),"Serbia and Montenegro",
ISNUMBER(SEARCH(_xlfn.UNICHAR(65533),S1940)),"Côte d'Ivoire",
TRUE,""
)</f>
        <v/>
      </c>
      <c r="W1940" s="12" t="str">
        <f t="shared" si="149"/>
        <v>Uruguay</v>
      </c>
    </row>
    <row r="1941" spans="2:23">
      <c r="B1941" s="76" t="str">
        <v>1974.0</v>
      </c>
      <c r="C1941" s="42" t="str">
        <v xml:space="preserve">23 Jun 1974 - 16:00 </v>
      </c>
      <c r="D1941" s="42" t="str">
        <v>Group 3</v>
      </c>
      <c r="E1941" s="42" t="str">
        <v>Westfalenstadion</v>
      </c>
      <c r="F1941" s="42" t="str">
        <v xml:space="preserve">Dortmund </v>
      </c>
      <c r="G1941" s="42" t="str">
        <v>Bulgaria</v>
      </c>
      <c r="H1941" s="42" t="str">
        <v>1.0</v>
      </c>
      <c r="I1941" s="42" t="str">
        <v>4.0</v>
      </c>
      <c r="J1941" s="42" t="str">
        <v>Netherlands</v>
      </c>
      <c r="K1941" s="42" t="str">
        <v xml:space="preserve"> </v>
      </c>
      <c r="L1941" s="42" t="str">
        <f t="shared" si="146"/>
        <v xml:space="preserve">1974.0|23 Jun 1974 - 16:00 |Group 3|Westfalenstadion|Dortmund |Bulgaria|1.0|4.0|Netherlands| </v>
      </c>
      <c r="M1941" s="42" t="str">
        <f>IF(COUNTIF($L$1689:L1941,L1941)&gt;1,"DOUBLON","OK")</f>
        <v>OK</v>
      </c>
      <c r="S1941" s="12" t="str">
        <v>Uruguay</v>
      </c>
      <c r="T1941" s="12" t="str">
        <f t="shared" si="147"/>
        <v>OK</v>
      </c>
      <c r="U1941" s="12" t="str">
        <f t="shared" si="148"/>
        <v>-</v>
      </c>
      <c r="V1941" s="12" t="str" cm="1">
        <f t="array" ref="V1941">_xlfn.IFS(
ISNUMBER(SEARCH("USA",S1941)),"United States",
ISNUMBER(SEARCH("Republic of Ireland",S1941)),"Ireland",
ISNUMBER(SEARCH("Republic of Korea",S1941)),"South Korea",
ISNUMBER(SEARCH("Cape Verde",S1941)),"Cabo Verde",
ISNUMBER(SEARCH("Czechia",S1941)),"Czech Republic",
ISNUMBER(SEARCH("Türkiye",S1941)),"Turkey",
ISNUMBER(SEARCH("Ivory Coast",S1941)),"Côte d'Ivoire",
ISNUMBER(SEARCH("Korea Republic",S1941)),"South Korea",
ISNUMBER(SEARCH("Germany FR",S1941)),"FR Germany",
ISNUMBER(SEARCH("West Germany",S1941)),"FR Germany",
ISNUMBER(SEARCH("Germany DR",S1941)),"DR Germany",
ISNUMBER(SEARCH("Korea DPR",S1941)),"North Korea",
ISNUMBER(SEARCH("China PR",S1941)),"China",
ISNUMBER(SEARCH("IR Iran",S1941)),"Iran",
ISNUMBER(SEARCH("Congo DR",S1941)),"Democratic Republic of the Congo",
ISNUMBER(SEARCH("DR Congo",S1941)),"Democratic Republic of the Congo",
ISNUMBER(SEARCH("German DR",S1941)),"DR Germany",
ISNUMBER(SEARCH("rn""&gt;United Arab Emirates",S1941)),"United Arab Emirates",
ISNUMBER(SEARCH("rn""&gt;Republic of Ireland",S1941)),"Ireland",
ISNUMBER(SEARCH("rn""&gt;Bosnia and Herzegovina",S1941)),"Bosnia and Herzegovina",
ISNUMBER(SEARCH("rn""&gt;Trinidad and Tobago",S1941)),"Trinidad and Tobago",
ISNUMBER(SEARCH("rn""&gt;Serbia and Montenegro",S1941)),"Serbia and Montenegro",
ISNUMBER(SEARCH(_xlfn.UNICHAR(65533),S1941)),"Côte d'Ivoire",
TRUE,""
)</f>
        <v/>
      </c>
      <c r="W1941" s="12" t="str">
        <f t="shared" si="149"/>
        <v>Uruguay</v>
      </c>
    </row>
    <row r="1942" spans="2:23">
      <c r="B1942" s="76" t="str">
        <v>1974.0</v>
      </c>
      <c r="C1942" s="42" t="str">
        <v xml:space="preserve">23 Jun 1974 - 16:00 </v>
      </c>
      <c r="D1942" s="42" t="str">
        <v>Group 4</v>
      </c>
      <c r="E1942" s="42" t="str">
        <v>Olympiastadion</v>
      </c>
      <c r="F1942" s="42" t="str">
        <v xml:space="preserve">Munich </v>
      </c>
      <c r="G1942" s="42" t="str">
        <v>Argentina</v>
      </c>
      <c r="H1942" s="42" t="str">
        <v>4.0</v>
      </c>
      <c r="I1942" s="42" t="str">
        <v>1.0</v>
      </c>
      <c r="J1942" s="42" t="str">
        <v>Haiti</v>
      </c>
      <c r="K1942" s="42" t="str">
        <v xml:space="preserve"> </v>
      </c>
      <c r="L1942" s="42" t="str">
        <f t="shared" si="146"/>
        <v xml:space="preserve">1974.0|23 Jun 1974 - 16:00 |Group 4|Olympiastadion|Munich |Argentina|4.0|1.0|Haiti| </v>
      </c>
      <c r="M1942" s="42" t="str">
        <f>IF(COUNTIF($L$1689:L1942,L1942)&gt;1,"DOUBLON","OK")</f>
        <v>OK</v>
      </c>
      <c r="S1942" s="12" t="str">
        <v>Uruguay</v>
      </c>
      <c r="T1942" s="12" t="str">
        <f t="shared" si="147"/>
        <v>OK</v>
      </c>
      <c r="U1942" s="12" t="str">
        <f t="shared" si="148"/>
        <v>-</v>
      </c>
      <c r="V1942" s="12" t="str" cm="1">
        <f t="array" ref="V1942">_xlfn.IFS(
ISNUMBER(SEARCH("USA",S1942)),"United States",
ISNUMBER(SEARCH("Republic of Ireland",S1942)),"Ireland",
ISNUMBER(SEARCH("Republic of Korea",S1942)),"South Korea",
ISNUMBER(SEARCH("Cape Verde",S1942)),"Cabo Verde",
ISNUMBER(SEARCH("Czechia",S1942)),"Czech Republic",
ISNUMBER(SEARCH("Türkiye",S1942)),"Turkey",
ISNUMBER(SEARCH("Ivory Coast",S1942)),"Côte d'Ivoire",
ISNUMBER(SEARCH("Korea Republic",S1942)),"South Korea",
ISNUMBER(SEARCH("Germany FR",S1942)),"FR Germany",
ISNUMBER(SEARCH("West Germany",S1942)),"FR Germany",
ISNUMBER(SEARCH("Germany DR",S1942)),"DR Germany",
ISNUMBER(SEARCH("Korea DPR",S1942)),"North Korea",
ISNUMBER(SEARCH("China PR",S1942)),"China",
ISNUMBER(SEARCH("IR Iran",S1942)),"Iran",
ISNUMBER(SEARCH("Congo DR",S1942)),"Democratic Republic of the Congo",
ISNUMBER(SEARCH("DR Congo",S1942)),"Democratic Republic of the Congo",
ISNUMBER(SEARCH("German DR",S1942)),"DR Germany",
ISNUMBER(SEARCH("rn""&gt;United Arab Emirates",S1942)),"United Arab Emirates",
ISNUMBER(SEARCH("rn""&gt;Republic of Ireland",S1942)),"Ireland",
ISNUMBER(SEARCH("rn""&gt;Bosnia and Herzegovina",S1942)),"Bosnia and Herzegovina",
ISNUMBER(SEARCH("rn""&gt;Trinidad and Tobago",S1942)),"Trinidad and Tobago",
ISNUMBER(SEARCH("rn""&gt;Serbia and Montenegro",S1942)),"Serbia and Montenegro",
ISNUMBER(SEARCH(_xlfn.UNICHAR(65533),S1942)),"Côte d'Ivoire",
TRUE,""
)</f>
        <v/>
      </c>
      <c r="W1942" s="12" t="str">
        <f t="shared" si="149"/>
        <v>Uruguay</v>
      </c>
    </row>
    <row r="1943" spans="2:23">
      <c r="B1943" s="76" t="str">
        <v>1974.0</v>
      </c>
      <c r="C1943" s="42" t="str">
        <v xml:space="preserve">23 Jun 1974 - 16:00 </v>
      </c>
      <c r="D1943" s="42" t="str">
        <v>Group 3</v>
      </c>
      <c r="E1943" s="42" t="str">
        <v>Rheinstadion</v>
      </c>
      <c r="F1943" s="42" t="str">
        <v xml:space="preserve">D�Sseldorf </v>
      </c>
      <c r="G1943" s="42" t="str">
        <v>Sweden</v>
      </c>
      <c r="H1943" s="42" t="str">
        <v>3.0</v>
      </c>
      <c r="I1943" s="42" t="str">
        <v>0.0</v>
      </c>
      <c r="J1943" s="42" t="str">
        <v>Uruguay</v>
      </c>
      <c r="K1943" s="42" t="str">
        <v xml:space="preserve"> </v>
      </c>
      <c r="L1943" s="42" t="str">
        <f t="shared" si="146"/>
        <v xml:space="preserve">1974.0|23 Jun 1974 - 16:00 |Group 3|Rheinstadion|D�Sseldorf |Sweden|3.0|0.0|Uruguay| </v>
      </c>
      <c r="M1943" s="42" t="str">
        <f>IF(COUNTIF($L$1689:L1943,L1943)&gt;1,"DOUBLON","OK")</f>
        <v>OK</v>
      </c>
      <c r="S1943" s="12" t="str">
        <v>Uruguay</v>
      </c>
      <c r="T1943" s="12" t="str">
        <f t="shared" si="147"/>
        <v>OK</v>
      </c>
      <c r="U1943" s="12" t="str">
        <f t="shared" si="148"/>
        <v>-</v>
      </c>
      <c r="V1943" s="12" t="str" cm="1">
        <f t="array" ref="V1943">_xlfn.IFS(
ISNUMBER(SEARCH("USA",S1943)),"United States",
ISNUMBER(SEARCH("Republic of Ireland",S1943)),"Ireland",
ISNUMBER(SEARCH("Republic of Korea",S1943)),"South Korea",
ISNUMBER(SEARCH("Cape Verde",S1943)),"Cabo Verde",
ISNUMBER(SEARCH("Czechia",S1943)),"Czech Republic",
ISNUMBER(SEARCH("Türkiye",S1943)),"Turkey",
ISNUMBER(SEARCH("Ivory Coast",S1943)),"Côte d'Ivoire",
ISNUMBER(SEARCH("Korea Republic",S1943)),"South Korea",
ISNUMBER(SEARCH("Germany FR",S1943)),"FR Germany",
ISNUMBER(SEARCH("West Germany",S1943)),"FR Germany",
ISNUMBER(SEARCH("Germany DR",S1943)),"DR Germany",
ISNUMBER(SEARCH("Korea DPR",S1943)),"North Korea",
ISNUMBER(SEARCH("China PR",S1943)),"China",
ISNUMBER(SEARCH("IR Iran",S1943)),"Iran",
ISNUMBER(SEARCH("Congo DR",S1943)),"Democratic Republic of the Congo",
ISNUMBER(SEARCH("DR Congo",S1943)),"Democratic Republic of the Congo",
ISNUMBER(SEARCH("German DR",S1943)),"DR Germany",
ISNUMBER(SEARCH("rn""&gt;United Arab Emirates",S1943)),"United Arab Emirates",
ISNUMBER(SEARCH("rn""&gt;Republic of Ireland",S1943)),"Ireland",
ISNUMBER(SEARCH("rn""&gt;Bosnia and Herzegovina",S1943)),"Bosnia and Herzegovina",
ISNUMBER(SEARCH("rn""&gt;Trinidad and Tobago",S1943)),"Trinidad and Tobago",
ISNUMBER(SEARCH("rn""&gt;Serbia and Montenegro",S1943)),"Serbia and Montenegro",
ISNUMBER(SEARCH(_xlfn.UNICHAR(65533),S1943)),"Côte d'Ivoire",
TRUE,""
)</f>
        <v/>
      </c>
      <c r="W1943" s="12" t="str">
        <f t="shared" si="149"/>
        <v>Uruguay</v>
      </c>
    </row>
    <row r="1944" spans="2:23">
      <c r="B1944" s="76" t="str">
        <v>1974.0</v>
      </c>
      <c r="C1944" s="42" t="str">
        <v xml:space="preserve">23 Jun 1974 - 16:00 </v>
      </c>
      <c r="D1944" s="42" t="str">
        <v>Group 4</v>
      </c>
      <c r="E1944" s="42" t="str">
        <v>Neckarstadion</v>
      </c>
      <c r="F1944" s="42" t="str">
        <v xml:space="preserve">Stuttgart </v>
      </c>
      <c r="G1944" s="42" t="str">
        <v>Poland</v>
      </c>
      <c r="H1944" s="42" t="str">
        <v>2.0</v>
      </c>
      <c r="I1944" s="42" t="str">
        <v>1.0</v>
      </c>
      <c r="J1944" s="42" t="str">
        <v>Italy</v>
      </c>
      <c r="K1944" s="42" t="str">
        <v xml:space="preserve"> </v>
      </c>
      <c r="L1944" s="42" t="str">
        <f t="shared" si="146"/>
        <v xml:space="preserve">1974.0|23 Jun 1974 - 16:00 |Group 4|Neckarstadion|Stuttgart |Poland|2.0|1.0|Italy| </v>
      </c>
      <c r="M1944" s="42" t="str">
        <f>IF(COUNTIF($L$1689:L1944,L1944)&gt;1,"DOUBLON","OK")</f>
        <v>OK</v>
      </c>
      <c r="S1944" s="12" t="str">
        <v>Uruguay</v>
      </c>
      <c r="T1944" s="12" t="str">
        <f t="shared" si="147"/>
        <v>OK</v>
      </c>
      <c r="U1944" s="12" t="str">
        <f t="shared" si="148"/>
        <v>-</v>
      </c>
      <c r="V1944" s="12" t="str" cm="1">
        <f t="array" ref="V1944">_xlfn.IFS(
ISNUMBER(SEARCH("USA",S1944)),"United States",
ISNUMBER(SEARCH("Republic of Ireland",S1944)),"Ireland",
ISNUMBER(SEARCH("Republic of Korea",S1944)),"South Korea",
ISNUMBER(SEARCH("Cape Verde",S1944)),"Cabo Verde",
ISNUMBER(SEARCH("Czechia",S1944)),"Czech Republic",
ISNUMBER(SEARCH("Türkiye",S1944)),"Turkey",
ISNUMBER(SEARCH("Ivory Coast",S1944)),"Côte d'Ivoire",
ISNUMBER(SEARCH("Korea Republic",S1944)),"South Korea",
ISNUMBER(SEARCH("Germany FR",S1944)),"FR Germany",
ISNUMBER(SEARCH("West Germany",S1944)),"FR Germany",
ISNUMBER(SEARCH("Germany DR",S1944)),"DR Germany",
ISNUMBER(SEARCH("Korea DPR",S1944)),"North Korea",
ISNUMBER(SEARCH("China PR",S1944)),"China",
ISNUMBER(SEARCH("IR Iran",S1944)),"Iran",
ISNUMBER(SEARCH("Congo DR",S1944)),"Democratic Republic of the Congo",
ISNUMBER(SEARCH("DR Congo",S1944)),"Democratic Republic of the Congo",
ISNUMBER(SEARCH("German DR",S1944)),"DR Germany",
ISNUMBER(SEARCH("rn""&gt;United Arab Emirates",S1944)),"United Arab Emirates",
ISNUMBER(SEARCH("rn""&gt;Republic of Ireland",S1944)),"Ireland",
ISNUMBER(SEARCH("rn""&gt;Bosnia and Herzegovina",S1944)),"Bosnia and Herzegovina",
ISNUMBER(SEARCH("rn""&gt;Trinidad and Tobago",S1944)),"Trinidad and Tobago",
ISNUMBER(SEARCH("rn""&gt;Serbia and Montenegro",S1944)),"Serbia and Montenegro",
ISNUMBER(SEARCH(_xlfn.UNICHAR(65533),S1944)),"Côte d'Ivoire",
TRUE,""
)</f>
        <v/>
      </c>
      <c r="W1944" s="12" t="str">
        <f t="shared" si="149"/>
        <v>Uruguay</v>
      </c>
    </row>
    <row r="1945" spans="2:23">
      <c r="B1945" s="76" t="str">
        <v>1974.0</v>
      </c>
      <c r="C1945" s="42" t="str">
        <v xml:space="preserve">26 Jun 1974 - 16:00 </v>
      </c>
      <c r="D1945" s="42" t="str">
        <v>Group B</v>
      </c>
      <c r="E1945" s="42" t="str">
        <v>Rheinstadion</v>
      </c>
      <c r="F1945" s="42" t="str">
        <v xml:space="preserve">D�Sseldorf </v>
      </c>
      <c r="G1945" s="42" t="str">
        <v>Yugoslavia</v>
      </c>
      <c r="H1945" s="42" t="str">
        <v>0.0</v>
      </c>
      <c r="I1945" s="42" t="str">
        <v>2.0</v>
      </c>
      <c r="J1945" s="42" t="str">
        <v>Germany FR</v>
      </c>
      <c r="K1945" s="42" t="str">
        <v xml:space="preserve"> </v>
      </c>
      <c r="L1945" s="42" t="str">
        <f t="shared" ref="L1945:L2008" si="150">B1945&amp;"|"&amp;C1945&amp;"|"&amp;D1945&amp;"|"&amp;E1945&amp;"|"&amp;F1945&amp;"|"&amp;G1945&amp;"|"&amp;H1945&amp;"|"&amp;I1945&amp;"|"&amp;J1945&amp;"|"&amp;K1945</f>
        <v xml:space="preserve">1974.0|26 Jun 1974 - 16:00 |Group B|Rheinstadion|D�Sseldorf |Yugoslavia|0.0|2.0|Germany FR| </v>
      </c>
      <c r="M1945" s="42" t="str">
        <f>IF(COUNTIF($L$1689:L1945,L1945)&gt;1,"DOUBLON","OK")</f>
        <v>OK</v>
      </c>
      <c r="S1945" s="12" t="str">
        <v>Uruguay</v>
      </c>
      <c r="T1945" s="12" t="str">
        <f t="shared" si="147"/>
        <v>OK</v>
      </c>
      <c r="U1945" s="12" t="str">
        <f t="shared" si="148"/>
        <v>-</v>
      </c>
      <c r="V1945" s="12" t="str" cm="1">
        <f t="array" ref="V1945">_xlfn.IFS(
ISNUMBER(SEARCH("USA",S1945)),"United States",
ISNUMBER(SEARCH("Republic of Ireland",S1945)),"Ireland",
ISNUMBER(SEARCH("Republic of Korea",S1945)),"South Korea",
ISNUMBER(SEARCH("Cape Verde",S1945)),"Cabo Verde",
ISNUMBER(SEARCH("Czechia",S1945)),"Czech Republic",
ISNUMBER(SEARCH("Türkiye",S1945)),"Turkey",
ISNUMBER(SEARCH("Ivory Coast",S1945)),"Côte d'Ivoire",
ISNUMBER(SEARCH("Korea Republic",S1945)),"South Korea",
ISNUMBER(SEARCH("Germany FR",S1945)),"FR Germany",
ISNUMBER(SEARCH("West Germany",S1945)),"FR Germany",
ISNUMBER(SEARCH("Germany DR",S1945)),"DR Germany",
ISNUMBER(SEARCH("Korea DPR",S1945)),"North Korea",
ISNUMBER(SEARCH("China PR",S1945)),"China",
ISNUMBER(SEARCH("IR Iran",S1945)),"Iran",
ISNUMBER(SEARCH("Congo DR",S1945)),"Democratic Republic of the Congo",
ISNUMBER(SEARCH("DR Congo",S1945)),"Democratic Republic of the Congo",
ISNUMBER(SEARCH("German DR",S1945)),"DR Germany",
ISNUMBER(SEARCH("rn""&gt;United Arab Emirates",S1945)),"United Arab Emirates",
ISNUMBER(SEARCH("rn""&gt;Republic of Ireland",S1945)),"Ireland",
ISNUMBER(SEARCH("rn""&gt;Bosnia and Herzegovina",S1945)),"Bosnia and Herzegovina",
ISNUMBER(SEARCH("rn""&gt;Trinidad and Tobago",S1945)),"Trinidad and Tobago",
ISNUMBER(SEARCH("rn""&gt;Serbia and Montenegro",S1945)),"Serbia and Montenegro",
ISNUMBER(SEARCH(_xlfn.UNICHAR(65533),S1945)),"Côte d'Ivoire",
TRUE,""
)</f>
        <v/>
      </c>
      <c r="W1945" s="12" t="str">
        <f t="shared" si="149"/>
        <v>Uruguay</v>
      </c>
    </row>
    <row r="1946" spans="2:23">
      <c r="B1946" s="76" t="str">
        <v>1974.0</v>
      </c>
      <c r="C1946" s="42" t="str">
        <v xml:space="preserve">26 Jun 1974 - 19:30 </v>
      </c>
      <c r="D1946" s="42" t="str">
        <v>Group A</v>
      </c>
      <c r="E1946" s="42" t="str">
        <v>Niedersachsenstadion</v>
      </c>
      <c r="F1946" s="42" t="str">
        <v xml:space="preserve">Hanover </v>
      </c>
      <c r="G1946" s="42" t="str">
        <v>Brazil</v>
      </c>
      <c r="H1946" s="42" t="str">
        <v>1.0</v>
      </c>
      <c r="I1946" s="42" t="str">
        <v>0.0</v>
      </c>
      <c r="J1946" s="42" t="str">
        <v>German DR</v>
      </c>
      <c r="K1946" s="42" t="str">
        <v xml:space="preserve"> </v>
      </c>
      <c r="L1946" s="42" t="str">
        <f t="shared" si="150"/>
        <v xml:space="preserve">1974.0|26 Jun 1974 - 19:30 |Group A|Niedersachsenstadion|Hanover |Brazil|1.0|0.0|German DR| </v>
      </c>
      <c r="M1946" s="42" t="str">
        <f>IF(COUNTIF($L$1689:L1946,L1946)&gt;1,"DOUBLON","OK")</f>
        <v>OK</v>
      </c>
      <c r="S1946" s="12" t="str">
        <v>Uruguay</v>
      </c>
      <c r="T1946" s="12" t="str">
        <f t="shared" si="147"/>
        <v>OK</v>
      </c>
      <c r="U1946" s="12" t="str">
        <f t="shared" si="148"/>
        <v>-</v>
      </c>
      <c r="V1946" s="12" t="str" cm="1">
        <f t="array" ref="V1946">_xlfn.IFS(
ISNUMBER(SEARCH("USA",S1946)),"United States",
ISNUMBER(SEARCH("Republic of Ireland",S1946)),"Ireland",
ISNUMBER(SEARCH("Republic of Korea",S1946)),"South Korea",
ISNUMBER(SEARCH("Cape Verde",S1946)),"Cabo Verde",
ISNUMBER(SEARCH("Czechia",S1946)),"Czech Republic",
ISNUMBER(SEARCH("Türkiye",S1946)),"Turkey",
ISNUMBER(SEARCH("Ivory Coast",S1946)),"Côte d'Ivoire",
ISNUMBER(SEARCH("Korea Republic",S1946)),"South Korea",
ISNUMBER(SEARCH("Germany FR",S1946)),"FR Germany",
ISNUMBER(SEARCH("West Germany",S1946)),"FR Germany",
ISNUMBER(SEARCH("Germany DR",S1946)),"DR Germany",
ISNUMBER(SEARCH("Korea DPR",S1946)),"North Korea",
ISNUMBER(SEARCH("China PR",S1946)),"China",
ISNUMBER(SEARCH("IR Iran",S1946)),"Iran",
ISNUMBER(SEARCH("Congo DR",S1946)),"Democratic Republic of the Congo",
ISNUMBER(SEARCH("DR Congo",S1946)),"Democratic Republic of the Congo",
ISNUMBER(SEARCH("German DR",S1946)),"DR Germany",
ISNUMBER(SEARCH("rn""&gt;United Arab Emirates",S1946)),"United Arab Emirates",
ISNUMBER(SEARCH("rn""&gt;Republic of Ireland",S1946)),"Ireland",
ISNUMBER(SEARCH("rn""&gt;Bosnia and Herzegovina",S1946)),"Bosnia and Herzegovina",
ISNUMBER(SEARCH("rn""&gt;Trinidad and Tobago",S1946)),"Trinidad and Tobago",
ISNUMBER(SEARCH("rn""&gt;Serbia and Montenegro",S1946)),"Serbia and Montenegro",
ISNUMBER(SEARCH(_xlfn.UNICHAR(65533),S1946)),"Côte d'Ivoire",
TRUE,""
)</f>
        <v/>
      </c>
      <c r="W1946" s="12" t="str">
        <f t="shared" si="149"/>
        <v>Uruguay</v>
      </c>
    </row>
    <row r="1947" spans="2:23">
      <c r="B1947" s="76" t="str">
        <v>1974.0</v>
      </c>
      <c r="C1947" s="42" t="str">
        <v xml:space="preserve">26 Jun 1974 - 19:30 </v>
      </c>
      <c r="D1947" s="42" t="str">
        <v>Group A</v>
      </c>
      <c r="E1947" s="42" t="str">
        <v>Parkstadion</v>
      </c>
      <c r="F1947" s="42" t="str">
        <v xml:space="preserve">Gelsenkirchen </v>
      </c>
      <c r="G1947" s="42" t="str">
        <v>Netherlands</v>
      </c>
      <c r="H1947" s="42" t="str">
        <v>4.0</v>
      </c>
      <c r="I1947" s="42" t="str">
        <v>0.0</v>
      </c>
      <c r="J1947" s="42" t="str">
        <v>Argentina</v>
      </c>
      <c r="K1947" s="42" t="str">
        <v xml:space="preserve"> </v>
      </c>
      <c r="L1947" s="42" t="str">
        <f t="shared" si="150"/>
        <v xml:space="preserve">1974.0|26 Jun 1974 - 19:30 |Group A|Parkstadion|Gelsenkirchen |Netherlands|4.0|0.0|Argentina| </v>
      </c>
      <c r="M1947" s="42" t="str">
        <f>IF(COUNTIF($L$1689:L1947,L1947)&gt;1,"DOUBLON","OK")</f>
        <v>OK</v>
      </c>
      <c r="S1947" s="12" t="str">
        <v>Uruguay</v>
      </c>
      <c r="T1947" s="12" t="str">
        <f t="shared" si="147"/>
        <v>OK</v>
      </c>
      <c r="U1947" s="12" t="str">
        <f t="shared" si="148"/>
        <v>-</v>
      </c>
      <c r="V1947" s="12" t="str" cm="1">
        <f t="array" ref="V1947">_xlfn.IFS(
ISNUMBER(SEARCH("USA",S1947)),"United States",
ISNUMBER(SEARCH("Republic of Ireland",S1947)),"Ireland",
ISNUMBER(SEARCH("Republic of Korea",S1947)),"South Korea",
ISNUMBER(SEARCH("Cape Verde",S1947)),"Cabo Verde",
ISNUMBER(SEARCH("Czechia",S1947)),"Czech Republic",
ISNUMBER(SEARCH("Türkiye",S1947)),"Turkey",
ISNUMBER(SEARCH("Ivory Coast",S1947)),"Côte d'Ivoire",
ISNUMBER(SEARCH("Korea Republic",S1947)),"South Korea",
ISNUMBER(SEARCH("Germany FR",S1947)),"FR Germany",
ISNUMBER(SEARCH("West Germany",S1947)),"FR Germany",
ISNUMBER(SEARCH("Germany DR",S1947)),"DR Germany",
ISNUMBER(SEARCH("Korea DPR",S1947)),"North Korea",
ISNUMBER(SEARCH("China PR",S1947)),"China",
ISNUMBER(SEARCH("IR Iran",S1947)),"Iran",
ISNUMBER(SEARCH("Congo DR",S1947)),"Democratic Republic of the Congo",
ISNUMBER(SEARCH("DR Congo",S1947)),"Democratic Republic of the Congo",
ISNUMBER(SEARCH("German DR",S1947)),"DR Germany",
ISNUMBER(SEARCH("rn""&gt;United Arab Emirates",S1947)),"United Arab Emirates",
ISNUMBER(SEARCH("rn""&gt;Republic of Ireland",S1947)),"Ireland",
ISNUMBER(SEARCH("rn""&gt;Bosnia and Herzegovina",S1947)),"Bosnia and Herzegovina",
ISNUMBER(SEARCH("rn""&gt;Trinidad and Tobago",S1947)),"Trinidad and Tobago",
ISNUMBER(SEARCH("rn""&gt;Serbia and Montenegro",S1947)),"Serbia and Montenegro",
ISNUMBER(SEARCH(_xlfn.UNICHAR(65533),S1947)),"Côte d'Ivoire",
TRUE,""
)</f>
        <v/>
      </c>
      <c r="W1947" s="12" t="str">
        <f t="shared" si="149"/>
        <v>Uruguay</v>
      </c>
    </row>
    <row r="1948" spans="2:23">
      <c r="B1948" s="76" t="str">
        <v>1974.0</v>
      </c>
      <c r="C1948" s="42" t="str">
        <v xml:space="preserve">26 Jun 1974 - 19:30 </v>
      </c>
      <c r="D1948" s="42" t="str">
        <v>Group B</v>
      </c>
      <c r="E1948" s="42" t="str">
        <v>Neckarstadion</v>
      </c>
      <c r="F1948" s="42" t="str">
        <v xml:space="preserve">Stuttgart </v>
      </c>
      <c r="G1948" s="42" t="str">
        <v>Sweden</v>
      </c>
      <c r="H1948" s="42" t="str">
        <v>0.0</v>
      </c>
      <c r="I1948" s="42" t="str">
        <v>1.0</v>
      </c>
      <c r="J1948" s="42" t="str">
        <v>Poland</v>
      </c>
      <c r="K1948" s="42" t="str">
        <v xml:space="preserve"> </v>
      </c>
      <c r="L1948" s="42" t="str">
        <f t="shared" si="150"/>
        <v xml:space="preserve">1974.0|26 Jun 1974 - 19:30 |Group B|Neckarstadion|Stuttgart |Sweden|0.0|1.0|Poland| </v>
      </c>
      <c r="M1948" s="42" t="str">
        <f>IF(COUNTIF($L$1689:L1948,L1948)&gt;1,"DOUBLON","OK")</f>
        <v>OK</v>
      </c>
      <c r="S1948" s="12" t="str">
        <v>Uruguay</v>
      </c>
      <c r="T1948" s="12" t="str">
        <f t="shared" si="147"/>
        <v>OK</v>
      </c>
      <c r="U1948" s="12" t="str">
        <f t="shared" si="148"/>
        <v>-</v>
      </c>
      <c r="V1948" s="12" t="str" cm="1">
        <f t="array" ref="V1948">_xlfn.IFS(
ISNUMBER(SEARCH("USA",S1948)),"United States",
ISNUMBER(SEARCH("Republic of Ireland",S1948)),"Ireland",
ISNUMBER(SEARCH("Republic of Korea",S1948)),"South Korea",
ISNUMBER(SEARCH("Cape Verde",S1948)),"Cabo Verde",
ISNUMBER(SEARCH("Czechia",S1948)),"Czech Republic",
ISNUMBER(SEARCH("Türkiye",S1948)),"Turkey",
ISNUMBER(SEARCH("Ivory Coast",S1948)),"Côte d'Ivoire",
ISNUMBER(SEARCH("Korea Republic",S1948)),"South Korea",
ISNUMBER(SEARCH("Germany FR",S1948)),"FR Germany",
ISNUMBER(SEARCH("West Germany",S1948)),"FR Germany",
ISNUMBER(SEARCH("Germany DR",S1948)),"DR Germany",
ISNUMBER(SEARCH("Korea DPR",S1948)),"North Korea",
ISNUMBER(SEARCH("China PR",S1948)),"China",
ISNUMBER(SEARCH("IR Iran",S1948)),"Iran",
ISNUMBER(SEARCH("Congo DR",S1948)),"Democratic Republic of the Congo",
ISNUMBER(SEARCH("DR Congo",S1948)),"Democratic Republic of the Congo",
ISNUMBER(SEARCH("German DR",S1948)),"DR Germany",
ISNUMBER(SEARCH("rn""&gt;United Arab Emirates",S1948)),"United Arab Emirates",
ISNUMBER(SEARCH("rn""&gt;Republic of Ireland",S1948)),"Ireland",
ISNUMBER(SEARCH("rn""&gt;Bosnia and Herzegovina",S1948)),"Bosnia and Herzegovina",
ISNUMBER(SEARCH("rn""&gt;Trinidad and Tobago",S1948)),"Trinidad and Tobago",
ISNUMBER(SEARCH("rn""&gt;Serbia and Montenegro",S1948)),"Serbia and Montenegro",
ISNUMBER(SEARCH(_xlfn.UNICHAR(65533),S1948)),"Côte d'Ivoire",
TRUE,""
)</f>
        <v/>
      </c>
      <c r="W1948" s="12" t="str">
        <f t="shared" si="149"/>
        <v>Uruguay</v>
      </c>
    </row>
    <row r="1949" spans="2:23">
      <c r="B1949" s="76" t="str">
        <v>1974.0</v>
      </c>
      <c r="C1949" s="42" t="str">
        <v xml:space="preserve">30 Jun 1974 - 16:00 </v>
      </c>
      <c r="D1949" s="42" t="str">
        <v>Group A</v>
      </c>
      <c r="E1949" s="42" t="str">
        <v>Niedersachsenstadion</v>
      </c>
      <c r="F1949" s="42" t="str">
        <v xml:space="preserve">Hanover </v>
      </c>
      <c r="G1949" s="42" t="str">
        <v>Argentina</v>
      </c>
      <c r="H1949" s="42" t="str">
        <v>1.0</v>
      </c>
      <c r="I1949" s="42" t="str">
        <v>2.0</v>
      </c>
      <c r="J1949" s="42" t="str">
        <v>Brazil</v>
      </c>
      <c r="K1949" s="42" t="str">
        <v xml:space="preserve"> </v>
      </c>
      <c r="L1949" s="42" t="str">
        <f t="shared" si="150"/>
        <v xml:space="preserve">1974.0|30 Jun 1974 - 16:00 |Group A|Niedersachsenstadion|Hanover |Argentina|1.0|2.0|Brazil| </v>
      </c>
      <c r="M1949" s="42" t="str">
        <f>IF(COUNTIF($L$1689:L1949,L1949)&gt;1,"DOUBLON","OK")</f>
        <v>OK</v>
      </c>
      <c r="S1949" s="12" t="str">
        <v>Uruguay</v>
      </c>
      <c r="T1949" s="12" t="str">
        <f t="shared" si="147"/>
        <v>OK</v>
      </c>
      <c r="U1949" s="12" t="str">
        <f t="shared" si="148"/>
        <v>-</v>
      </c>
      <c r="V1949" s="12" t="str" cm="1">
        <f t="array" ref="V1949">_xlfn.IFS(
ISNUMBER(SEARCH("USA",S1949)),"United States",
ISNUMBER(SEARCH("Republic of Ireland",S1949)),"Ireland",
ISNUMBER(SEARCH("Republic of Korea",S1949)),"South Korea",
ISNUMBER(SEARCH("Cape Verde",S1949)),"Cabo Verde",
ISNUMBER(SEARCH("Czechia",S1949)),"Czech Republic",
ISNUMBER(SEARCH("Türkiye",S1949)),"Turkey",
ISNUMBER(SEARCH("Ivory Coast",S1949)),"Côte d'Ivoire",
ISNUMBER(SEARCH("Korea Republic",S1949)),"South Korea",
ISNUMBER(SEARCH("Germany FR",S1949)),"FR Germany",
ISNUMBER(SEARCH("West Germany",S1949)),"FR Germany",
ISNUMBER(SEARCH("Germany DR",S1949)),"DR Germany",
ISNUMBER(SEARCH("Korea DPR",S1949)),"North Korea",
ISNUMBER(SEARCH("China PR",S1949)),"China",
ISNUMBER(SEARCH("IR Iran",S1949)),"Iran",
ISNUMBER(SEARCH("Congo DR",S1949)),"Democratic Republic of the Congo",
ISNUMBER(SEARCH("DR Congo",S1949)),"Democratic Republic of the Congo",
ISNUMBER(SEARCH("German DR",S1949)),"DR Germany",
ISNUMBER(SEARCH("rn""&gt;United Arab Emirates",S1949)),"United Arab Emirates",
ISNUMBER(SEARCH("rn""&gt;Republic of Ireland",S1949)),"Ireland",
ISNUMBER(SEARCH("rn""&gt;Bosnia and Herzegovina",S1949)),"Bosnia and Herzegovina",
ISNUMBER(SEARCH("rn""&gt;Trinidad and Tobago",S1949)),"Trinidad and Tobago",
ISNUMBER(SEARCH("rn""&gt;Serbia and Montenegro",S1949)),"Serbia and Montenegro",
ISNUMBER(SEARCH(_xlfn.UNICHAR(65533),S1949)),"Côte d'Ivoire",
TRUE,""
)</f>
        <v/>
      </c>
      <c r="W1949" s="12" t="str">
        <f t="shared" si="149"/>
        <v>Uruguay</v>
      </c>
    </row>
    <row r="1950" spans="2:23">
      <c r="B1950" s="76" t="str">
        <v>1974.0</v>
      </c>
      <c r="C1950" s="42" t="str">
        <v xml:space="preserve">30 Jun 1974 - 16:00 </v>
      </c>
      <c r="D1950" s="42" t="str">
        <v>Group B</v>
      </c>
      <c r="E1950" s="42" t="str">
        <v>Waldstadion</v>
      </c>
      <c r="F1950" s="42" t="str">
        <v xml:space="preserve">Frankfurt/Main </v>
      </c>
      <c r="G1950" s="42" t="str">
        <v>Poland</v>
      </c>
      <c r="H1950" s="42" t="str">
        <v>2.0</v>
      </c>
      <c r="I1950" s="42" t="str">
        <v>1.0</v>
      </c>
      <c r="J1950" s="42" t="str">
        <v>Yugoslavia</v>
      </c>
      <c r="K1950" s="42" t="str">
        <v xml:space="preserve"> </v>
      </c>
      <c r="L1950" s="42" t="str">
        <f t="shared" si="150"/>
        <v xml:space="preserve">1974.0|30 Jun 1974 - 16:00 |Group B|Waldstadion|Frankfurt/Main |Poland|2.0|1.0|Yugoslavia| </v>
      </c>
      <c r="M1950" s="42" t="str">
        <f>IF(COUNTIF($L$1689:L1950,L1950)&gt;1,"DOUBLON","OK")</f>
        <v>OK</v>
      </c>
      <c r="S1950" s="12" t="str">
        <v>Uruguay</v>
      </c>
      <c r="T1950" s="12" t="str">
        <f t="shared" si="147"/>
        <v>OK</v>
      </c>
      <c r="U1950" s="12" t="str">
        <f t="shared" si="148"/>
        <v>-</v>
      </c>
      <c r="V1950" s="12" t="str" cm="1">
        <f t="array" ref="V1950">_xlfn.IFS(
ISNUMBER(SEARCH("USA",S1950)),"United States",
ISNUMBER(SEARCH("Republic of Ireland",S1950)),"Ireland",
ISNUMBER(SEARCH("Republic of Korea",S1950)),"South Korea",
ISNUMBER(SEARCH("Cape Verde",S1950)),"Cabo Verde",
ISNUMBER(SEARCH("Czechia",S1950)),"Czech Republic",
ISNUMBER(SEARCH("Türkiye",S1950)),"Turkey",
ISNUMBER(SEARCH("Ivory Coast",S1950)),"Côte d'Ivoire",
ISNUMBER(SEARCH("Korea Republic",S1950)),"South Korea",
ISNUMBER(SEARCH("Germany FR",S1950)),"FR Germany",
ISNUMBER(SEARCH("West Germany",S1950)),"FR Germany",
ISNUMBER(SEARCH("Germany DR",S1950)),"DR Germany",
ISNUMBER(SEARCH("Korea DPR",S1950)),"North Korea",
ISNUMBER(SEARCH("China PR",S1950)),"China",
ISNUMBER(SEARCH("IR Iran",S1950)),"Iran",
ISNUMBER(SEARCH("Congo DR",S1950)),"Democratic Republic of the Congo",
ISNUMBER(SEARCH("DR Congo",S1950)),"Democratic Republic of the Congo",
ISNUMBER(SEARCH("German DR",S1950)),"DR Germany",
ISNUMBER(SEARCH("rn""&gt;United Arab Emirates",S1950)),"United Arab Emirates",
ISNUMBER(SEARCH("rn""&gt;Republic of Ireland",S1950)),"Ireland",
ISNUMBER(SEARCH("rn""&gt;Bosnia and Herzegovina",S1950)),"Bosnia and Herzegovina",
ISNUMBER(SEARCH("rn""&gt;Trinidad and Tobago",S1950)),"Trinidad and Tobago",
ISNUMBER(SEARCH("rn""&gt;Serbia and Montenegro",S1950)),"Serbia and Montenegro",
ISNUMBER(SEARCH(_xlfn.UNICHAR(65533),S1950)),"Côte d'Ivoire",
TRUE,""
)</f>
        <v/>
      </c>
      <c r="W1950" s="12" t="str">
        <f t="shared" si="149"/>
        <v>Uruguay</v>
      </c>
    </row>
    <row r="1951" spans="2:23">
      <c r="B1951" s="76" t="str">
        <v>1974.0</v>
      </c>
      <c r="C1951" s="42" t="str">
        <v xml:space="preserve">30 Jun 1974 - 16:00 </v>
      </c>
      <c r="D1951" s="42" t="str">
        <v>Group A</v>
      </c>
      <c r="E1951" s="42" t="str">
        <v>Parkstadion</v>
      </c>
      <c r="F1951" s="42" t="str">
        <v xml:space="preserve">Gelsenkirchen </v>
      </c>
      <c r="G1951" s="42" t="str">
        <v>German DR</v>
      </c>
      <c r="H1951" s="42" t="str">
        <v>0.0</v>
      </c>
      <c r="I1951" s="42" t="str">
        <v>2.0</v>
      </c>
      <c r="J1951" s="42" t="str">
        <v>Netherlands</v>
      </c>
      <c r="K1951" s="42" t="str">
        <v xml:space="preserve"> </v>
      </c>
      <c r="L1951" s="42" t="str">
        <f t="shared" si="150"/>
        <v xml:space="preserve">1974.0|30 Jun 1974 - 16:00 |Group A|Parkstadion|Gelsenkirchen |German DR|0.0|2.0|Netherlands| </v>
      </c>
      <c r="M1951" s="42" t="str">
        <f>IF(COUNTIF($L$1689:L1951,L1951)&gt;1,"DOUBLON","OK")</f>
        <v>OK</v>
      </c>
      <c r="S1951" s="12" t="str">
        <v>Uruguay</v>
      </c>
      <c r="T1951" s="12" t="str">
        <f t="shared" si="147"/>
        <v>OK</v>
      </c>
      <c r="U1951" s="12" t="str">
        <f t="shared" si="148"/>
        <v>-</v>
      </c>
      <c r="V1951" s="12" t="str" cm="1">
        <f t="array" ref="V1951">_xlfn.IFS(
ISNUMBER(SEARCH("USA",S1951)),"United States",
ISNUMBER(SEARCH("Republic of Ireland",S1951)),"Ireland",
ISNUMBER(SEARCH("Republic of Korea",S1951)),"South Korea",
ISNUMBER(SEARCH("Cape Verde",S1951)),"Cabo Verde",
ISNUMBER(SEARCH("Czechia",S1951)),"Czech Republic",
ISNUMBER(SEARCH("Türkiye",S1951)),"Turkey",
ISNUMBER(SEARCH("Ivory Coast",S1951)),"Côte d'Ivoire",
ISNUMBER(SEARCH("Korea Republic",S1951)),"South Korea",
ISNUMBER(SEARCH("Germany FR",S1951)),"FR Germany",
ISNUMBER(SEARCH("West Germany",S1951)),"FR Germany",
ISNUMBER(SEARCH("Germany DR",S1951)),"DR Germany",
ISNUMBER(SEARCH("Korea DPR",S1951)),"North Korea",
ISNUMBER(SEARCH("China PR",S1951)),"China",
ISNUMBER(SEARCH("IR Iran",S1951)),"Iran",
ISNUMBER(SEARCH("Congo DR",S1951)),"Democratic Republic of the Congo",
ISNUMBER(SEARCH("DR Congo",S1951)),"Democratic Republic of the Congo",
ISNUMBER(SEARCH("German DR",S1951)),"DR Germany",
ISNUMBER(SEARCH("rn""&gt;United Arab Emirates",S1951)),"United Arab Emirates",
ISNUMBER(SEARCH("rn""&gt;Republic of Ireland",S1951)),"Ireland",
ISNUMBER(SEARCH("rn""&gt;Bosnia and Herzegovina",S1951)),"Bosnia and Herzegovina",
ISNUMBER(SEARCH("rn""&gt;Trinidad and Tobago",S1951)),"Trinidad and Tobago",
ISNUMBER(SEARCH("rn""&gt;Serbia and Montenegro",S1951)),"Serbia and Montenegro",
ISNUMBER(SEARCH(_xlfn.UNICHAR(65533),S1951)),"Côte d'Ivoire",
TRUE,""
)</f>
        <v/>
      </c>
      <c r="W1951" s="12" t="str">
        <f t="shared" si="149"/>
        <v>Uruguay</v>
      </c>
    </row>
    <row r="1952" spans="2:23">
      <c r="B1952" s="76" t="str">
        <v>1974.0</v>
      </c>
      <c r="C1952" s="42" t="str">
        <v xml:space="preserve">30 Jun 1974 - 19:30 </v>
      </c>
      <c r="D1952" s="42" t="str">
        <v>Group B</v>
      </c>
      <c r="E1952" s="42" t="str">
        <v>Rheinstadion</v>
      </c>
      <c r="F1952" s="42" t="str">
        <v xml:space="preserve">D�Sseldorf </v>
      </c>
      <c r="G1952" s="42" t="str">
        <v>Germany FR</v>
      </c>
      <c r="H1952" s="42" t="str">
        <v>4.0</v>
      </c>
      <c r="I1952" s="42" t="str">
        <v>2.0</v>
      </c>
      <c r="J1952" s="42" t="str">
        <v>Sweden</v>
      </c>
      <c r="K1952" s="42" t="str">
        <v xml:space="preserve"> </v>
      </c>
      <c r="L1952" s="42" t="str">
        <f t="shared" si="150"/>
        <v xml:space="preserve">1974.0|30 Jun 1974 - 19:30 |Group B|Rheinstadion|D�Sseldorf |Germany FR|4.0|2.0|Sweden| </v>
      </c>
      <c r="M1952" s="42" t="str">
        <f>IF(COUNTIF($L$1689:L1952,L1952)&gt;1,"DOUBLON","OK")</f>
        <v>OK</v>
      </c>
      <c r="S1952" s="12" t="str">
        <v>Uruguay</v>
      </c>
      <c r="T1952" s="12" t="str">
        <f t="shared" si="147"/>
        <v>OK</v>
      </c>
      <c r="U1952" s="12" t="str">
        <f t="shared" si="148"/>
        <v>-</v>
      </c>
      <c r="V1952" s="12" t="str" cm="1">
        <f t="array" ref="V1952">_xlfn.IFS(
ISNUMBER(SEARCH("USA",S1952)),"United States",
ISNUMBER(SEARCH("Republic of Ireland",S1952)),"Ireland",
ISNUMBER(SEARCH("Republic of Korea",S1952)),"South Korea",
ISNUMBER(SEARCH("Cape Verde",S1952)),"Cabo Verde",
ISNUMBER(SEARCH("Czechia",S1952)),"Czech Republic",
ISNUMBER(SEARCH("Türkiye",S1952)),"Turkey",
ISNUMBER(SEARCH("Ivory Coast",S1952)),"Côte d'Ivoire",
ISNUMBER(SEARCH("Korea Republic",S1952)),"South Korea",
ISNUMBER(SEARCH("Germany FR",S1952)),"FR Germany",
ISNUMBER(SEARCH("West Germany",S1952)),"FR Germany",
ISNUMBER(SEARCH("Germany DR",S1952)),"DR Germany",
ISNUMBER(SEARCH("Korea DPR",S1952)),"North Korea",
ISNUMBER(SEARCH("China PR",S1952)),"China",
ISNUMBER(SEARCH("IR Iran",S1952)),"Iran",
ISNUMBER(SEARCH("Congo DR",S1952)),"Democratic Republic of the Congo",
ISNUMBER(SEARCH("DR Congo",S1952)),"Democratic Republic of the Congo",
ISNUMBER(SEARCH("German DR",S1952)),"DR Germany",
ISNUMBER(SEARCH("rn""&gt;United Arab Emirates",S1952)),"United Arab Emirates",
ISNUMBER(SEARCH("rn""&gt;Republic of Ireland",S1952)),"Ireland",
ISNUMBER(SEARCH("rn""&gt;Bosnia and Herzegovina",S1952)),"Bosnia and Herzegovina",
ISNUMBER(SEARCH("rn""&gt;Trinidad and Tobago",S1952)),"Trinidad and Tobago",
ISNUMBER(SEARCH("rn""&gt;Serbia and Montenegro",S1952)),"Serbia and Montenegro",
ISNUMBER(SEARCH(_xlfn.UNICHAR(65533),S1952)),"Côte d'Ivoire",
TRUE,""
)</f>
        <v/>
      </c>
      <c r="W1952" s="12" t="str">
        <f t="shared" si="149"/>
        <v>Uruguay</v>
      </c>
    </row>
    <row r="1953" spans="2:23">
      <c r="B1953" s="76" t="str">
        <v>1974.0</v>
      </c>
      <c r="C1953" s="42" t="str">
        <v xml:space="preserve">03 Jul 1974 - 17:00 </v>
      </c>
      <c r="D1953" s="42" t="str">
        <v>Group B</v>
      </c>
      <c r="E1953" s="42" t="str">
        <v>Waldstadion</v>
      </c>
      <c r="F1953" s="42" t="str">
        <v xml:space="preserve">Frankfurt/Main </v>
      </c>
      <c r="G1953" s="42" t="str">
        <v>Poland</v>
      </c>
      <c r="H1953" s="42" t="str">
        <v>0.0</v>
      </c>
      <c r="I1953" s="42" t="str">
        <v>1.0</v>
      </c>
      <c r="J1953" s="42" t="str">
        <v>Germany FR</v>
      </c>
      <c r="K1953" s="42" t="str">
        <v xml:space="preserve"> </v>
      </c>
      <c r="L1953" s="42" t="str">
        <f t="shared" si="150"/>
        <v xml:space="preserve">1974.0|03 Jul 1974 - 17:00 |Group B|Waldstadion|Frankfurt/Main |Poland|0.0|1.0|Germany FR| </v>
      </c>
      <c r="M1953" s="42" t="str">
        <f>IF(COUNTIF($L$1689:L1953,L1953)&gt;1,"DOUBLON","OK")</f>
        <v>OK</v>
      </c>
      <c r="S1953" s="12" t="str">
        <v>France</v>
      </c>
      <c r="T1953" s="12" t="str">
        <f t="shared" ref="T1953:T2016" si="151">IF(COUNTIF(R$13:R$250,S1953)=1,"OK","ERREUR")</f>
        <v>OK</v>
      </c>
      <c r="U1953" s="12" t="str">
        <f t="shared" si="148"/>
        <v>-</v>
      </c>
      <c r="V1953" s="12" t="str" cm="1">
        <f t="array" ref="V1953">_xlfn.IFS(
ISNUMBER(SEARCH("USA",S1953)),"United States",
ISNUMBER(SEARCH("Republic of Ireland",S1953)),"Ireland",
ISNUMBER(SEARCH("Republic of Korea",S1953)),"South Korea",
ISNUMBER(SEARCH("Cape Verde",S1953)),"Cabo Verde",
ISNUMBER(SEARCH("Czechia",S1953)),"Czech Republic",
ISNUMBER(SEARCH("Türkiye",S1953)),"Turkey",
ISNUMBER(SEARCH("Ivory Coast",S1953)),"Côte d'Ivoire",
ISNUMBER(SEARCH("Korea Republic",S1953)),"South Korea",
ISNUMBER(SEARCH("Germany FR",S1953)),"FR Germany",
ISNUMBER(SEARCH("West Germany",S1953)),"FR Germany",
ISNUMBER(SEARCH("Germany DR",S1953)),"DR Germany",
ISNUMBER(SEARCH("Korea DPR",S1953)),"North Korea",
ISNUMBER(SEARCH("China PR",S1953)),"China",
ISNUMBER(SEARCH("IR Iran",S1953)),"Iran",
ISNUMBER(SEARCH("Congo DR",S1953)),"Democratic Republic of the Congo",
ISNUMBER(SEARCH("DR Congo",S1953)),"Democratic Republic of the Congo",
ISNUMBER(SEARCH("German DR",S1953)),"DR Germany",
ISNUMBER(SEARCH("rn""&gt;United Arab Emirates",S1953)),"United Arab Emirates",
ISNUMBER(SEARCH("rn""&gt;Republic of Ireland",S1953)),"Ireland",
ISNUMBER(SEARCH("rn""&gt;Bosnia and Herzegovina",S1953)),"Bosnia and Herzegovina",
ISNUMBER(SEARCH("rn""&gt;Trinidad and Tobago",S1953)),"Trinidad and Tobago",
ISNUMBER(SEARCH("rn""&gt;Serbia and Montenegro",S1953)),"Serbia and Montenegro",
ISNUMBER(SEARCH(_xlfn.UNICHAR(65533),S1953)),"Côte d'Ivoire",
TRUE,""
)</f>
        <v/>
      </c>
      <c r="W1953" s="12" t="str">
        <f t="shared" si="149"/>
        <v>France</v>
      </c>
    </row>
    <row r="1954" spans="2:23">
      <c r="B1954" s="76" t="str">
        <v>1974.0</v>
      </c>
      <c r="C1954" s="42" t="str">
        <v xml:space="preserve">03 Jul 1974 - 19:30 </v>
      </c>
      <c r="D1954" s="42" t="str">
        <v>Group A</v>
      </c>
      <c r="E1954" s="42" t="str">
        <v>Westfalenstadion</v>
      </c>
      <c r="F1954" s="42" t="str">
        <v xml:space="preserve">Dortmund </v>
      </c>
      <c r="G1954" s="42" t="str">
        <v>Netherlands</v>
      </c>
      <c r="H1954" s="42" t="str">
        <v>2.0</v>
      </c>
      <c r="I1954" s="42" t="str">
        <v>0.0</v>
      </c>
      <c r="J1954" s="42" t="str">
        <v>Brazil</v>
      </c>
      <c r="K1954" s="42" t="str">
        <v xml:space="preserve"> </v>
      </c>
      <c r="L1954" s="42" t="str">
        <f t="shared" si="150"/>
        <v xml:space="preserve">1974.0|03 Jul 1974 - 19:30 |Group A|Westfalenstadion|Dortmund |Netherlands|2.0|0.0|Brazil| </v>
      </c>
      <c r="M1954" s="42" t="str">
        <f>IF(COUNTIF($L$1689:L1954,L1954)&gt;1,"DOUBLON","OK")</f>
        <v>OK</v>
      </c>
      <c r="S1954" s="12" t="str">
        <v>France</v>
      </c>
      <c r="T1954" s="12" t="str">
        <f t="shared" si="151"/>
        <v>OK</v>
      </c>
      <c r="U1954" s="12" t="str">
        <f t="shared" ref="U1954:U2017" si="152">IF(OR(S1954="Scotland",S1954="England",S1954="Wales",S1954="Yugoslavia",S1954="Czechoslovakia",S1954="Northern Ireland",S1954="Soviet Union",S1954="Zaire",S1954="Dutch East Indies"),"AUCUNE",IF(OR(S1954="Cape Verde",S1954="USA",S1954="DR Congo",S1954="Republic of Korea",S1954="Germany FR",S1954="Germany DR",S1954="Czechia",S1954="Ivory Coast",S1954="Korea DPR",S1954="China PR",S1954="IR Iran",S1954="Türkiye",S1954="Congo DR",S1954="German DR",S1954="West Germany",S1954="Republic of Ireland",ISNUMBER(SEARCH("rn""&gt;United Arab Emirates",S1954)),ISNUMBER(SEARCH("rn""&gt;Republic of Ireland",S1954)),ISNUMBER(SEARCH("rn""&gt;Bosnia and Herzegovina",S1954)),ISNUMBER(SEARCH("rn""&gt;Trinidad and Tobago",S1954)),ISNUMBER(SEARCH("rn""&gt;Serbia and Montenegro",S1954)),ISNUMBER(SEARCH(_xlfn.UNICHAR(65533),S1954))),"RENOMMER","-"))</f>
        <v>-</v>
      </c>
      <c r="V1954" s="12" t="str" cm="1">
        <f t="array" ref="V1954">_xlfn.IFS(
ISNUMBER(SEARCH("USA",S1954)),"United States",
ISNUMBER(SEARCH("Republic of Ireland",S1954)),"Ireland",
ISNUMBER(SEARCH("Republic of Korea",S1954)),"South Korea",
ISNUMBER(SEARCH("Cape Verde",S1954)),"Cabo Verde",
ISNUMBER(SEARCH("Czechia",S1954)),"Czech Republic",
ISNUMBER(SEARCH("Türkiye",S1954)),"Turkey",
ISNUMBER(SEARCH("Ivory Coast",S1954)),"Côte d'Ivoire",
ISNUMBER(SEARCH("Korea Republic",S1954)),"South Korea",
ISNUMBER(SEARCH("Germany FR",S1954)),"FR Germany",
ISNUMBER(SEARCH("West Germany",S1954)),"FR Germany",
ISNUMBER(SEARCH("Germany DR",S1954)),"DR Germany",
ISNUMBER(SEARCH("Korea DPR",S1954)),"North Korea",
ISNUMBER(SEARCH("China PR",S1954)),"China",
ISNUMBER(SEARCH("IR Iran",S1954)),"Iran",
ISNUMBER(SEARCH("Congo DR",S1954)),"Democratic Republic of the Congo",
ISNUMBER(SEARCH("DR Congo",S1954)),"Democratic Republic of the Congo",
ISNUMBER(SEARCH("German DR",S1954)),"DR Germany",
ISNUMBER(SEARCH("rn""&gt;United Arab Emirates",S1954)),"United Arab Emirates",
ISNUMBER(SEARCH("rn""&gt;Republic of Ireland",S1954)),"Ireland",
ISNUMBER(SEARCH("rn""&gt;Bosnia and Herzegovina",S1954)),"Bosnia and Herzegovina",
ISNUMBER(SEARCH("rn""&gt;Trinidad and Tobago",S1954)),"Trinidad and Tobago",
ISNUMBER(SEARCH("rn""&gt;Serbia and Montenegro",S1954)),"Serbia and Montenegro",
ISNUMBER(SEARCH(_xlfn.UNICHAR(65533),S1954)),"Côte d'Ivoire",
TRUE,""
)</f>
        <v/>
      </c>
      <c r="W1954" s="12" t="str">
        <f t="shared" ref="W1954:W2017" si="153">IF(V1954="",S1954,V1954)</f>
        <v>France</v>
      </c>
    </row>
    <row r="1955" spans="2:23">
      <c r="B1955" s="76" t="str">
        <v>1974.0</v>
      </c>
      <c r="C1955" s="42" t="str">
        <v xml:space="preserve">03 Jul 1974 - 19:30 </v>
      </c>
      <c r="D1955" s="42" t="str">
        <v>Group A</v>
      </c>
      <c r="E1955" s="42" t="str">
        <v>Parkstadion</v>
      </c>
      <c r="F1955" s="42" t="str">
        <v xml:space="preserve">Gelsenkirchen </v>
      </c>
      <c r="G1955" s="42" t="str">
        <v>Argentina</v>
      </c>
      <c r="H1955" s="42" t="str">
        <v>1.0</v>
      </c>
      <c r="I1955" s="42" t="str">
        <v>1.0</v>
      </c>
      <c r="J1955" s="42" t="str">
        <v>German DR</v>
      </c>
      <c r="K1955" s="42" t="str">
        <v xml:space="preserve"> </v>
      </c>
      <c r="L1955" s="42" t="str">
        <f t="shared" si="150"/>
        <v xml:space="preserve">1974.0|03 Jul 1974 - 19:30 |Group A|Parkstadion|Gelsenkirchen |Argentina|1.0|1.0|German DR| </v>
      </c>
      <c r="M1955" s="42" t="str">
        <f>IF(COUNTIF($L$1689:L1955,L1955)&gt;1,"DOUBLON","OK")</f>
        <v>OK</v>
      </c>
      <c r="S1955" s="12" t="str">
        <v>France</v>
      </c>
      <c r="T1955" s="12" t="str">
        <f t="shared" si="151"/>
        <v>OK</v>
      </c>
      <c r="U1955" s="12" t="str">
        <f t="shared" si="152"/>
        <v>-</v>
      </c>
      <c r="V1955" s="12" t="str" cm="1">
        <f t="array" ref="V1955">_xlfn.IFS(
ISNUMBER(SEARCH("USA",S1955)),"United States",
ISNUMBER(SEARCH("Republic of Ireland",S1955)),"Ireland",
ISNUMBER(SEARCH("Republic of Korea",S1955)),"South Korea",
ISNUMBER(SEARCH("Cape Verde",S1955)),"Cabo Verde",
ISNUMBER(SEARCH("Czechia",S1955)),"Czech Republic",
ISNUMBER(SEARCH("Türkiye",S1955)),"Turkey",
ISNUMBER(SEARCH("Ivory Coast",S1955)),"Côte d'Ivoire",
ISNUMBER(SEARCH("Korea Republic",S1955)),"South Korea",
ISNUMBER(SEARCH("Germany FR",S1955)),"FR Germany",
ISNUMBER(SEARCH("West Germany",S1955)),"FR Germany",
ISNUMBER(SEARCH("Germany DR",S1955)),"DR Germany",
ISNUMBER(SEARCH("Korea DPR",S1955)),"North Korea",
ISNUMBER(SEARCH("China PR",S1955)),"China",
ISNUMBER(SEARCH("IR Iran",S1955)),"Iran",
ISNUMBER(SEARCH("Congo DR",S1955)),"Democratic Republic of the Congo",
ISNUMBER(SEARCH("DR Congo",S1955)),"Democratic Republic of the Congo",
ISNUMBER(SEARCH("German DR",S1955)),"DR Germany",
ISNUMBER(SEARCH("rn""&gt;United Arab Emirates",S1955)),"United Arab Emirates",
ISNUMBER(SEARCH("rn""&gt;Republic of Ireland",S1955)),"Ireland",
ISNUMBER(SEARCH("rn""&gt;Bosnia and Herzegovina",S1955)),"Bosnia and Herzegovina",
ISNUMBER(SEARCH("rn""&gt;Trinidad and Tobago",S1955)),"Trinidad and Tobago",
ISNUMBER(SEARCH("rn""&gt;Serbia and Montenegro",S1955)),"Serbia and Montenegro",
ISNUMBER(SEARCH(_xlfn.UNICHAR(65533),S1955)),"Côte d'Ivoire",
TRUE,""
)</f>
        <v/>
      </c>
      <c r="W1955" s="12" t="str">
        <f t="shared" si="153"/>
        <v>France</v>
      </c>
    </row>
    <row r="1956" spans="2:23">
      <c r="B1956" s="76" t="str">
        <v>1974.0</v>
      </c>
      <c r="C1956" s="42" t="str">
        <v xml:space="preserve">03 Jul 1974 - 19:30 </v>
      </c>
      <c r="D1956" s="42" t="str">
        <v>Group B</v>
      </c>
      <c r="E1956" s="42" t="str">
        <v>Rheinstadion</v>
      </c>
      <c r="F1956" s="42" t="str">
        <v xml:space="preserve">D�Sseldorf </v>
      </c>
      <c r="G1956" s="42" t="str">
        <v>Sweden</v>
      </c>
      <c r="H1956" s="42" t="str">
        <v>2.0</v>
      </c>
      <c r="I1956" s="42" t="str">
        <v>1.0</v>
      </c>
      <c r="J1956" s="42" t="str">
        <v>Yugoslavia</v>
      </c>
      <c r="K1956" s="42" t="str">
        <v xml:space="preserve"> </v>
      </c>
      <c r="L1956" s="42" t="str">
        <f t="shared" si="150"/>
        <v xml:space="preserve">1974.0|03 Jul 1974 - 19:30 |Group B|Rheinstadion|D�Sseldorf |Sweden|2.0|1.0|Yugoslavia| </v>
      </c>
      <c r="M1956" s="42" t="str">
        <f>IF(COUNTIF($L$1689:L1956,L1956)&gt;1,"DOUBLON","OK")</f>
        <v>OK</v>
      </c>
      <c r="S1956" s="12" t="str">
        <v>France</v>
      </c>
      <c r="T1956" s="12" t="str">
        <f t="shared" si="151"/>
        <v>OK</v>
      </c>
      <c r="U1956" s="12" t="str">
        <f t="shared" si="152"/>
        <v>-</v>
      </c>
      <c r="V1956" s="12" t="str" cm="1">
        <f t="array" ref="V1956">_xlfn.IFS(
ISNUMBER(SEARCH("USA",S1956)),"United States",
ISNUMBER(SEARCH("Republic of Ireland",S1956)),"Ireland",
ISNUMBER(SEARCH("Republic of Korea",S1956)),"South Korea",
ISNUMBER(SEARCH("Cape Verde",S1956)),"Cabo Verde",
ISNUMBER(SEARCH("Czechia",S1956)),"Czech Republic",
ISNUMBER(SEARCH("Türkiye",S1956)),"Turkey",
ISNUMBER(SEARCH("Ivory Coast",S1956)),"Côte d'Ivoire",
ISNUMBER(SEARCH("Korea Republic",S1956)),"South Korea",
ISNUMBER(SEARCH("Germany FR",S1956)),"FR Germany",
ISNUMBER(SEARCH("West Germany",S1956)),"FR Germany",
ISNUMBER(SEARCH("Germany DR",S1956)),"DR Germany",
ISNUMBER(SEARCH("Korea DPR",S1956)),"North Korea",
ISNUMBER(SEARCH("China PR",S1956)),"China",
ISNUMBER(SEARCH("IR Iran",S1956)),"Iran",
ISNUMBER(SEARCH("Congo DR",S1956)),"Democratic Republic of the Congo",
ISNUMBER(SEARCH("DR Congo",S1956)),"Democratic Republic of the Congo",
ISNUMBER(SEARCH("German DR",S1956)),"DR Germany",
ISNUMBER(SEARCH("rn""&gt;United Arab Emirates",S1956)),"United Arab Emirates",
ISNUMBER(SEARCH("rn""&gt;Republic of Ireland",S1956)),"Ireland",
ISNUMBER(SEARCH("rn""&gt;Bosnia and Herzegovina",S1956)),"Bosnia and Herzegovina",
ISNUMBER(SEARCH("rn""&gt;Trinidad and Tobago",S1956)),"Trinidad and Tobago",
ISNUMBER(SEARCH("rn""&gt;Serbia and Montenegro",S1956)),"Serbia and Montenegro",
ISNUMBER(SEARCH(_xlfn.UNICHAR(65533),S1956)),"Côte d'Ivoire",
TRUE,""
)</f>
        <v/>
      </c>
      <c r="W1956" s="12" t="str">
        <f t="shared" si="153"/>
        <v>France</v>
      </c>
    </row>
    <row r="1957" spans="2:23">
      <c r="B1957" s="76" t="str">
        <v>1974.0</v>
      </c>
      <c r="C1957" s="42" t="str">
        <v xml:space="preserve">06 Jul 1974 - 16:00 </v>
      </c>
      <c r="D1957" s="42" t="str">
        <v>Match for third place</v>
      </c>
      <c r="E1957" s="42" t="str">
        <v>Olympiastadion</v>
      </c>
      <c r="F1957" s="42" t="str">
        <v xml:space="preserve">Munich </v>
      </c>
      <c r="G1957" s="42" t="str">
        <v>Brazil</v>
      </c>
      <c r="H1957" s="42" t="str">
        <v>0.0</v>
      </c>
      <c r="I1957" s="42" t="str">
        <v>1.0</v>
      </c>
      <c r="J1957" s="42" t="str">
        <v>Poland</v>
      </c>
      <c r="K1957" s="42" t="str">
        <v xml:space="preserve"> </v>
      </c>
      <c r="L1957" s="42" t="str">
        <f t="shared" si="150"/>
        <v xml:space="preserve">1974.0|06 Jul 1974 - 16:00 |Match for third place|Olympiastadion|Munich |Brazil|0.0|1.0|Poland| </v>
      </c>
      <c r="M1957" s="42" t="str">
        <f>IF(COUNTIF($L$1689:L1957,L1957)&gt;1,"DOUBLON","OK")</f>
        <v>OK</v>
      </c>
      <c r="S1957" s="12" t="str">
        <v>France</v>
      </c>
      <c r="T1957" s="12" t="str">
        <f t="shared" si="151"/>
        <v>OK</v>
      </c>
      <c r="U1957" s="12" t="str">
        <f t="shared" si="152"/>
        <v>-</v>
      </c>
      <c r="V1957" s="12" t="str" cm="1">
        <f t="array" ref="V1957">_xlfn.IFS(
ISNUMBER(SEARCH("USA",S1957)),"United States",
ISNUMBER(SEARCH("Republic of Ireland",S1957)),"Ireland",
ISNUMBER(SEARCH("Republic of Korea",S1957)),"South Korea",
ISNUMBER(SEARCH("Cape Verde",S1957)),"Cabo Verde",
ISNUMBER(SEARCH("Czechia",S1957)),"Czech Republic",
ISNUMBER(SEARCH("Türkiye",S1957)),"Turkey",
ISNUMBER(SEARCH("Ivory Coast",S1957)),"Côte d'Ivoire",
ISNUMBER(SEARCH("Korea Republic",S1957)),"South Korea",
ISNUMBER(SEARCH("Germany FR",S1957)),"FR Germany",
ISNUMBER(SEARCH("West Germany",S1957)),"FR Germany",
ISNUMBER(SEARCH("Germany DR",S1957)),"DR Germany",
ISNUMBER(SEARCH("Korea DPR",S1957)),"North Korea",
ISNUMBER(SEARCH("China PR",S1957)),"China",
ISNUMBER(SEARCH("IR Iran",S1957)),"Iran",
ISNUMBER(SEARCH("Congo DR",S1957)),"Democratic Republic of the Congo",
ISNUMBER(SEARCH("DR Congo",S1957)),"Democratic Republic of the Congo",
ISNUMBER(SEARCH("German DR",S1957)),"DR Germany",
ISNUMBER(SEARCH("rn""&gt;United Arab Emirates",S1957)),"United Arab Emirates",
ISNUMBER(SEARCH("rn""&gt;Republic of Ireland",S1957)),"Ireland",
ISNUMBER(SEARCH("rn""&gt;Bosnia and Herzegovina",S1957)),"Bosnia and Herzegovina",
ISNUMBER(SEARCH("rn""&gt;Trinidad and Tobago",S1957)),"Trinidad and Tobago",
ISNUMBER(SEARCH("rn""&gt;Serbia and Montenegro",S1957)),"Serbia and Montenegro",
ISNUMBER(SEARCH(_xlfn.UNICHAR(65533),S1957)),"Côte d'Ivoire",
TRUE,""
)</f>
        <v/>
      </c>
      <c r="W1957" s="12" t="str">
        <f t="shared" si="153"/>
        <v>France</v>
      </c>
    </row>
    <row r="1958" spans="2:23">
      <c r="B1958" s="76" t="str">
        <v>1974.0</v>
      </c>
      <c r="C1958" s="42" t="str">
        <v xml:space="preserve">07 July 1974 - 16:00 </v>
      </c>
      <c r="D1958" s="42" t="str">
        <v>Final</v>
      </c>
      <c r="E1958" s="42" t="str">
        <v>Olympiastadion</v>
      </c>
      <c r="F1958" s="42" t="str">
        <v xml:space="preserve">Munich </v>
      </c>
      <c r="G1958" s="42" t="str">
        <v>Netherlands</v>
      </c>
      <c r="H1958" s="42" t="str">
        <v>1.0</v>
      </c>
      <c r="I1958" s="42" t="str">
        <v>2.0</v>
      </c>
      <c r="J1958" s="42" t="str">
        <v>Germany FR</v>
      </c>
      <c r="K1958" s="42" t="str">
        <v xml:space="preserve"> </v>
      </c>
      <c r="L1958" s="42" t="str">
        <f t="shared" si="150"/>
        <v xml:space="preserve">1974.0|07 July 1974 - 16:00 |Final|Olympiastadion|Munich |Netherlands|1.0|2.0|Germany FR| </v>
      </c>
      <c r="M1958" s="42" t="str">
        <f>IF(COUNTIF($L$1689:L1958,L1958)&gt;1,"DOUBLON","OK")</f>
        <v>OK</v>
      </c>
      <c r="S1958" s="12" t="str">
        <v>France</v>
      </c>
      <c r="T1958" s="12" t="str">
        <f t="shared" si="151"/>
        <v>OK</v>
      </c>
      <c r="U1958" s="12" t="str">
        <f t="shared" si="152"/>
        <v>-</v>
      </c>
      <c r="V1958" s="12" t="str" cm="1">
        <f t="array" ref="V1958">_xlfn.IFS(
ISNUMBER(SEARCH("USA",S1958)),"United States",
ISNUMBER(SEARCH("Republic of Ireland",S1958)),"Ireland",
ISNUMBER(SEARCH("Republic of Korea",S1958)),"South Korea",
ISNUMBER(SEARCH("Cape Verde",S1958)),"Cabo Verde",
ISNUMBER(SEARCH("Czechia",S1958)),"Czech Republic",
ISNUMBER(SEARCH("Türkiye",S1958)),"Turkey",
ISNUMBER(SEARCH("Ivory Coast",S1958)),"Côte d'Ivoire",
ISNUMBER(SEARCH("Korea Republic",S1958)),"South Korea",
ISNUMBER(SEARCH("Germany FR",S1958)),"FR Germany",
ISNUMBER(SEARCH("West Germany",S1958)),"FR Germany",
ISNUMBER(SEARCH("Germany DR",S1958)),"DR Germany",
ISNUMBER(SEARCH("Korea DPR",S1958)),"North Korea",
ISNUMBER(SEARCH("China PR",S1958)),"China",
ISNUMBER(SEARCH("IR Iran",S1958)),"Iran",
ISNUMBER(SEARCH("Congo DR",S1958)),"Democratic Republic of the Congo",
ISNUMBER(SEARCH("DR Congo",S1958)),"Democratic Republic of the Congo",
ISNUMBER(SEARCH("German DR",S1958)),"DR Germany",
ISNUMBER(SEARCH("rn""&gt;United Arab Emirates",S1958)),"United Arab Emirates",
ISNUMBER(SEARCH("rn""&gt;Republic of Ireland",S1958)),"Ireland",
ISNUMBER(SEARCH("rn""&gt;Bosnia and Herzegovina",S1958)),"Bosnia and Herzegovina",
ISNUMBER(SEARCH("rn""&gt;Trinidad and Tobago",S1958)),"Trinidad and Tobago",
ISNUMBER(SEARCH("rn""&gt;Serbia and Montenegro",S1958)),"Serbia and Montenegro",
ISNUMBER(SEARCH(_xlfn.UNICHAR(65533),S1958)),"Côte d'Ivoire",
TRUE,""
)</f>
        <v/>
      </c>
      <c r="W1958" s="12" t="str">
        <f t="shared" si="153"/>
        <v>France</v>
      </c>
    </row>
    <row r="1959" spans="2:23">
      <c r="B1959" s="76" t="str">
        <v>1978.0</v>
      </c>
      <c r="C1959" s="42" t="str">
        <v xml:space="preserve">01 Jun 1978 - 15:00 </v>
      </c>
      <c r="D1959" s="42" t="str">
        <v>Group 2</v>
      </c>
      <c r="E1959" s="42" t="str">
        <v>El Monumental - Estadio Monumental Antonio Vespuci</v>
      </c>
      <c r="F1959" s="42" t="str">
        <v xml:space="preserve">Buenos Aires </v>
      </c>
      <c r="G1959" s="42" t="str">
        <v>Germany FR</v>
      </c>
      <c r="H1959" s="42" t="str">
        <v>0.0</v>
      </c>
      <c r="I1959" s="42" t="str">
        <v>0.0</v>
      </c>
      <c r="J1959" s="42" t="str">
        <v>Poland</v>
      </c>
      <c r="K1959" s="42" t="str">
        <v xml:space="preserve"> </v>
      </c>
      <c r="L1959" s="42" t="str">
        <f t="shared" si="150"/>
        <v xml:space="preserve">1978.0|01 Jun 1978 - 15:00 |Group 2|El Monumental - Estadio Monumental Antonio Vespuci|Buenos Aires |Germany FR|0.0|0.0|Poland| </v>
      </c>
      <c r="M1959" s="42" t="str">
        <f>IF(COUNTIF($L$1689:L1959,L1959)&gt;1,"DOUBLON","OK")</f>
        <v>OK</v>
      </c>
      <c r="S1959" s="12" t="str">
        <v>France</v>
      </c>
      <c r="T1959" s="12" t="str">
        <f t="shared" si="151"/>
        <v>OK</v>
      </c>
      <c r="U1959" s="12" t="str">
        <f t="shared" si="152"/>
        <v>-</v>
      </c>
      <c r="V1959" s="12" t="str" cm="1">
        <f t="array" ref="V1959">_xlfn.IFS(
ISNUMBER(SEARCH("USA",S1959)),"United States",
ISNUMBER(SEARCH("Republic of Ireland",S1959)),"Ireland",
ISNUMBER(SEARCH("Republic of Korea",S1959)),"South Korea",
ISNUMBER(SEARCH("Cape Verde",S1959)),"Cabo Verde",
ISNUMBER(SEARCH("Czechia",S1959)),"Czech Republic",
ISNUMBER(SEARCH("Türkiye",S1959)),"Turkey",
ISNUMBER(SEARCH("Ivory Coast",S1959)),"Côte d'Ivoire",
ISNUMBER(SEARCH("Korea Republic",S1959)),"South Korea",
ISNUMBER(SEARCH("Germany FR",S1959)),"FR Germany",
ISNUMBER(SEARCH("West Germany",S1959)),"FR Germany",
ISNUMBER(SEARCH("Germany DR",S1959)),"DR Germany",
ISNUMBER(SEARCH("Korea DPR",S1959)),"North Korea",
ISNUMBER(SEARCH("China PR",S1959)),"China",
ISNUMBER(SEARCH("IR Iran",S1959)),"Iran",
ISNUMBER(SEARCH("Congo DR",S1959)),"Democratic Republic of the Congo",
ISNUMBER(SEARCH("DR Congo",S1959)),"Democratic Republic of the Congo",
ISNUMBER(SEARCH("German DR",S1959)),"DR Germany",
ISNUMBER(SEARCH("rn""&gt;United Arab Emirates",S1959)),"United Arab Emirates",
ISNUMBER(SEARCH("rn""&gt;Republic of Ireland",S1959)),"Ireland",
ISNUMBER(SEARCH("rn""&gt;Bosnia and Herzegovina",S1959)),"Bosnia and Herzegovina",
ISNUMBER(SEARCH("rn""&gt;Trinidad and Tobago",S1959)),"Trinidad and Tobago",
ISNUMBER(SEARCH("rn""&gt;Serbia and Montenegro",S1959)),"Serbia and Montenegro",
ISNUMBER(SEARCH(_xlfn.UNICHAR(65533),S1959)),"Côte d'Ivoire",
TRUE,""
)</f>
        <v/>
      </c>
      <c r="W1959" s="12" t="str">
        <f t="shared" si="153"/>
        <v>France</v>
      </c>
    </row>
    <row r="1960" spans="2:23">
      <c r="B1960" s="76" t="str">
        <v>1978.0</v>
      </c>
      <c r="C1960" s="42" t="str">
        <v xml:space="preserve">02 Jun 1978 - 13:45 </v>
      </c>
      <c r="D1960" s="42" t="str">
        <v>Group 1</v>
      </c>
      <c r="E1960" s="42" t="str">
        <v>Estadio Jos� Mar�a Minella</v>
      </c>
      <c r="F1960" s="42" t="str">
        <v xml:space="preserve">Mar Del Plata </v>
      </c>
      <c r="G1960" s="42" t="str">
        <v>Italy</v>
      </c>
      <c r="H1960" s="42" t="str">
        <v>2.0</v>
      </c>
      <c r="I1960" s="42" t="str">
        <v>1.0</v>
      </c>
      <c r="J1960" s="42" t="str">
        <v>France</v>
      </c>
      <c r="K1960" s="42" t="str">
        <v xml:space="preserve"> </v>
      </c>
      <c r="L1960" s="42" t="str">
        <f t="shared" si="150"/>
        <v xml:space="preserve">1978.0|02 Jun 1978 - 13:45 |Group 1|Estadio Jos� Mar�a Minella|Mar Del Plata |Italy|2.0|1.0|France| </v>
      </c>
      <c r="M1960" s="42" t="str">
        <f>IF(COUNTIF($L$1689:L1960,L1960)&gt;1,"DOUBLON","OK")</f>
        <v>OK</v>
      </c>
      <c r="S1960" s="12" t="str">
        <v>France</v>
      </c>
      <c r="T1960" s="12" t="str">
        <f t="shared" si="151"/>
        <v>OK</v>
      </c>
      <c r="U1960" s="12" t="str">
        <f t="shared" si="152"/>
        <v>-</v>
      </c>
      <c r="V1960" s="12" t="str" cm="1">
        <f t="array" ref="V1960">_xlfn.IFS(
ISNUMBER(SEARCH("USA",S1960)),"United States",
ISNUMBER(SEARCH("Republic of Ireland",S1960)),"Ireland",
ISNUMBER(SEARCH("Republic of Korea",S1960)),"South Korea",
ISNUMBER(SEARCH("Cape Verde",S1960)),"Cabo Verde",
ISNUMBER(SEARCH("Czechia",S1960)),"Czech Republic",
ISNUMBER(SEARCH("Türkiye",S1960)),"Turkey",
ISNUMBER(SEARCH("Ivory Coast",S1960)),"Côte d'Ivoire",
ISNUMBER(SEARCH("Korea Republic",S1960)),"South Korea",
ISNUMBER(SEARCH("Germany FR",S1960)),"FR Germany",
ISNUMBER(SEARCH("West Germany",S1960)),"FR Germany",
ISNUMBER(SEARCH("Germany DR",S1960)),"DR Germany",
ISNUMBER(SEARCH("Korea DPR",S1960)),"North Korea",
ISNUMBER(SEARCH("China PR",S1960)),"China",
ISNUMBER(SEARCH("IR Iran",S1960)),"Iran",
ISNUMBER(SEARCH("Congo DR",S1960)),"Democratic Republic of the Congo",
ISNUMBER(SEARCH("DR Congo",S1960)),"Democratic Republic of the Congo",
ISNUMBER(SEARCH("German DR",S1960)),"DR Germany",
ISNUMBER(SEARCH("rn""&gt;United Arab Emirates",S1960)),"United Arab Emirates",
ISNUMBER(SEARCH("rn""&gt;Republic of Ireland",S1960)),"Ireland",
ISNUMBER(SEARCH("rn""&gt;Bosnia and Herzegovina",S1960)),"Bosnia and Herzegovina",
ISNUMBER(SEARCH("rn""&gt;Trinidad and Tobago",S1960)),"Trinidad and Tobago",
ISNUMBER(SEARCH("rn""&gt;Serbia and Montenegro",S1960)),"Serbia and Montenegro",
ISNUMBER(SEARCH(_xlfn.UNICHAR(65533),S1960)),"Côte d'Ivoire",
TRUE,""
)</f>
        <v/>
      </c>
      <c r="W1960" s="12" t="str">
        <f t="shared" si="153"/>
        <v>France</v>
      </c>
    </row>
    <row r="1961" spans="2:23">
      <c r="B1961" s="76" t="str">
        <v>1978.0</v>
      </c>
      <c r="C1961" s="42" t="str">
        <v xml:space="preserve">02 Jun 1978 - 16:45 </v>
      </c>
      <c r="D1961" s="42" t="str">
        <v>Group 2</v>
      </c>
      <c r="E1961" s="42" t="str">
        <v>Arroyito - Estadio Dr. Lisandro de la Torre</v>
      </c>
      <c r="F1961" s="42" t="str">
        <v xml:space="preserve">Rosario </v>
      </c>
      <c r="G1961" s="42" t="str">
        <v>Tunisia</v>
      </c>
      <c r="H1961" s="42" t="str">
        <v>3.0</v>
      </c>
      <c r="I1961" s="42" t="str">
        <v>1.0</v>
      </c>
      <c r="J1961" s="42" t="str">
        <v>Mexico</v>
      </c>
      <c r="K1961" s="42" t="str">
        <v xml:space="preserve"> </v>
      </c>
      <c r="L1961" s="42" t="str">
        <f t="shared" si="150"/>
        <v xml:space="preserve">1978.0|02 Jun 1978 - 16:45 |Group 2|Arroyito - Estadio Dr. Lisandro de la Torre|Rosario |Tunisia|3.0|1.0|Mexico| </v>
      </c>
      <c r="M1961" s="42" t="str">
        <f>IF(COUNTIF($L$1689:L1961,L1961)&gt;1,"DOUBLON","OK")</f>
        <v>OK</v>
      </c>
      <c r="S1961" s="12" t="str">
        <v>France</v>
      </c>
      <c r="T1961" s="12" t="str">
        <f t="shared" si="151"/>
        <v>OK</v>
      </c>
      <c r="U1961" s="12" t="str">
        <f t="shared" si="152"/>
        <v>-</v>
      </c>
      <c r="V1961" s="12" t="str" cm="1">
        <f t="array" ref="V1961">_xlfn.IFS(
ISNUMBER(SEARCH("USA",S1961)),"United States",
ISNUMBER(SEARCH("Republic of Ireland",S1961)),"Ireland",
ISNUMBER(SEARCH("Republic of Korea",S1961)),"South Korea",
ISNUMBER(SEARCH("Cape Verde",S1961)),"Cabo Verde",
ISNUMBER(SEARCH("Czechia",S1961)),"Czech Republic",
ISNUMBER(SEARCH("Türkiye",S1961)),"Turkey",
ISNUMBER(SEARCH("Ivory Coast",S1961)),"Côte d'Ivoire",
ISNUMBER(SEARCH("Korea Republic",S1961)),"South Korea",
ISNUMBER(SEARCH("Germany FR",S1961)),"FR Germany",
ISNUMBER(SEARCH("West Germany",S1961)),"FR Germany",
ISNUMBER(SEARCH("Germany DR",S1961)),"DR Germany",
ISNUMBER(SEARCH("Korea DPR",S1961)),"North Korea",
ISNUMBER(SEARCH("China PR",S1961)),"China",
ISNUMBER(SEARCH("IR Iran",S1961)),"Iran",
ISNUMBER(SEARCH("Congo DR",S1961)),"Democratic Republic of the Congo",
ISNUMBER(SEARCH("DR Congo",S1961)),"Democratic Republic of the Congo",
ISNUMBER(SEARCH("German DR",S1961)),"DR Germany",
ISNUMBER(SEARCH("rn""&gt;United Arab Emirates",S1961)),"United Arab Emirates",
ISNUMBER(SEARCH("rn""&gt;Republic of Ireland",S1961)),"Ireland",
ISNUMBER(SEARCH("rn""&gt;Bosnia and Herzegovina",S1961)),"Bosnia and Herzegovina",
ISNUMBER(SEARCH("rn""&gt;Trinidad and Tobago",S1961)),"Trinidad and Tobago",
ISNUMBER(SEARCH("rn""&gt;Serbia and Montenegro",S1961)),"Serbia and Montenegro",
ISNUMBER(SEARCH(_xlfn.UNICHAR(65533),S1961)),"Côte d'Ivoire",
TRUE,""
)</f>
        <v/>
      </c>
      <c r="W1961" s="12" t="str">
        <f t="shared" si="153"/>
        <v>France</v>
      </c>
    </row>
    <row r="1962" spans="2:23">
      <c r="B1962" s="76" t="str">
        <v>1978.0</v>
      </c>
      <c r="C1962" s="42" t="str">
        <v xml:space="preserve">02 Jun 1978 - 19:15 </v>
      </c>
      <c r="D1962" s="42" t="str">
        <v>Group 1</v>
      </c>
      <c r="E1962" s="42" t="str">
        <v>El Monumental - Estadio Monumental Antonio Vespuci</v>
      </c>
      <c r="F1962" s="42" t="str">
        <v xml:space="preserve">Buenos Aires </v>
      </c>
      <c r="G1962" s="42" t="str">
        <v>Argentina</v>
      </c>
      <c r="H1962" s="42" t="str">
        <v>2.0</v>
      </c>
      <c r="I1962" s="42" t="str">
        <v>1.0</v>
      </c>
      <c r="J1962" s="42" t="str">
        <v>Hungary</v>
      </c>
      <c r="K1962" s="42" t="str">
        <v xml:space="preserve"> </v>
      </c>
      <c r="L1962" s="42" t="str">
        <f t="shared" si="150"/>
        <v xml:space="preserve">1978.0|02 Jun 1978 - 19:15 |Group 1|El Monumental - Estadio Monumental Antonio Vespuci|Buenos Aires |Argentina|2.0|1.0|Hungary| </v>
      </c>
      <c r="M1962" s="42" t="str">
        <f>IF(COUNTIF($L$1689:L1962,L1962)&gt;1,"DOUBLON","OK")</f>
        <v>OK</v>
      </c>
      <c r="S1962" s="12" t="str">
        <v>France</v>
      </c>
      <c r="T1962" s="12" t="str">
        <f t="shared" si="151"/>
        <v>OK</v>
      </c>
      <c r="U1962" s="12" t="str">
        <f t="shared" si="152"/>
        <v>-</v>
      </c>
      <c r="V1962" s="12" t="str" cm="1">
        <f t="array" ref="V1962">_xlfn.IFS(
ISNUMBER(SEARCH("USA",S1962)),"United States",
ISNUMBER(SEARCH("Republic of Ireland",S1962)),"Ireland",
ISNUMBER(SEARCH("Republic of Korea",S1962)),"South Korea",
ISNUMBER(SEARCH("Cape Verde",S1962)),"Cabo Verde",
ISNUMBER(SEARCH("Czechia",S1962)),"Czech Republic",
ISNUMBER(SEARCH("Türkiye",S1962)),"Turkey",
ISNUMBER(SEARCH("Ivory Coast",S1962)),"Côte d'Ivoire",
ISNUMBER(SEARCH("Korea Republic",S1962)),"South Korea",
ISNUMBER(SEARCH("Germany FR",S1962)),"FR Germany",
ISNUMBER(SEARCH("West Germany",S1962)),"FR Germany",
ISNUMBER(SEARCH("Germany DR",S1962)),"DR Germany",
ISNUMBER(SEARCH("Korea DPR",S1962)),"North Korea",
ISNUMBER(SEARCH("China PR",S1962)),"China",
ISNUMBER(SEARCH("IR Iran",S1962)),"Iran",
ISNUMBER(SEARCH("Congo DR",S1962)),"Democratic Republic of the Congo",
ISNUMBER(SEARCH("DR Congo",S1962)),"Democratic Republic of the Congo",
ISNUMBER(SEARCH("German DR",S1962)),"DR Germany",
ISNUMBER(SEARCH("rn""&gt;United Arab Emirates",S1962)),"United Arab Emirates",
ISNUMBER(SEARCH("rn""&gt;Republic of Ireland",S1962)),"Ireland",
ISNUMBER(SEARCH("rn""&gt;Bosnia and Herzegovina",S1962)),"Bosnia and Herzegovina",
ISNUMBER(SEARCH("rn""&gt;Trinidad and Tobago",S1962)),"Trinidad and Tobago",
ISNUMBER(SEARCH("rn""&gt;Serbia and Montenegro",S1962)),"Serbia and Montenegro",
ISNUMBER(SEARCH(_xlfn.UNICHAR(65533),S1962)),"Côte d'Ivoire",
TRUE,""
)</f>
        <v/>
      </c>
      <c r="W1962" s="12" t="str">
        <f t="shared" si="153"/>
        <v>France</v>
      </c>
    </row>
    <row r="1963" spans="2:23">
      <c r="B1963" s="76" t="str">
        <v>1978.0</v>
      </c>
      <c r="C1963" s="42" t="str">
        <v xml:space="preserve">03 Jun 1978 - 13:45 </v>
      </c>
      <c r="D1963" s="42" t="str">
        <v>Group 3</v>
      </c>
      <c r="E1963" s="42" t="str">
        <v>Estadio Jos� Mar�a Minella</v>
      </c>
      <c r="F1963" s="42" t="str">
        <v xml:space="preserve">Mar Del Plata </v>
      </c>
      <c r="G1963" s="42" t="str">
        <v>Sweden</v>
      </c>
      <c r="H1963" s="42" t="str">
        <v>1.0</v>
      </c>
      <c r="I1963" s="42" t="str">
        <v>1.0</v>
      </c>
      <c r="J1963" s="42" t="str">
        <v>Brazil</v>
      </c>
      <c r="K1963" s="42" t="str">
        <v xml:space="preserve"> </v>
      </c>
      <c r="L1963" s="42" t="str">
        <f t="shared" si="150"/>
        <v xml:space="preserve">1978.0|03 Jun 1978 - 13:45 |Group 3|Estadio Jos� Mar�a Minella|Mar Del Plata |Sweden|1.0|1.0|Brazil| </v>
      </c>
      <c r="M1963" s="42" t="str">
        <f>IF(COUNTIF($L$1689:L1963,L1963)&gt;1,"DOUBLON","OK")</f>
        <v>OK</v>
      </c>
      <c r="S1963" s="12" t="str">
        <v>France</v>
      </c>
      <c r="T1963" s="12" t="str">
        <f t="shared" si="151"/>
        <v>OK</v>
      </c>
      <c r="U1963" s="12" t="str">
        <f t="shared" si="152"/>
        <v>-</v>
      </c>
      <c r="V1963" s="12" t="str" cm="1">
        <f t="array" ref="V1963">_xlfn.IFS(
ISNUMBER(SEARCH("USA",S1963)),"United States",
ISNUMBER(SEARCH("Republic of Ireland",S1963)),"Ireland",
ISNUMBER(SEARCH("Republic of Korea",S1963)),"South Korea",
ISNUMBER(SEARCH("Cape Verde",S1963)),"Cabo Verde",
ISNUMBER(SEARCH("Czechia",S1963)),"Czech Republic",
ISNUMBER(SEARCH("Türkiye",S1963)),"Turkey",
ISNUMBER(SEARCH("Ivory Coast",S1963)),"Côte d'Ivoire",
ISNUMBER(SEARCH("Korea Republic",S1963)),"South Korea",
ISNUMBER(SEARCH("Germany FR",S1963)),"FR Germany",
ISNUMBER(SEARCH("West Germany",S1963)),"FR Germany",
ISNUMBER(SEARCH("Germany DR",S1963)),"DR Germany",
ISNUMBER(SEARCH("Korea DPR",S1963)),"North Korea",
ISNUMBER(SEARCH("China PR",S1963)),"China",
ISNUMBER(SEARCH("IR Iran",S1963)),"Iran",
ISNUMBER(SEARCH("Congo DR",S1963)),"Democratic Republic of the Congo",
ISNUMBER(SEARCH("DR Congo",S1963)),"Democratic Republic of the Congo",
ISNUMBER(SEARCH("German DR",S1963)),"DR Germany",
ISNUMBER(SEARCH("rn""&gt;United Arab Emirates",S1963)),"United Arab Emirates",
ISNUMBER(SEARCH("rn""&gt;Republic of Ireland",S1963)),"Ireland",
ISNUMBER(SEARCH("rn""&gt;Bosnia and Herzegovina",S1963)),"Bosnia and Herzegovina",
ISNUMBER(SEARCH("rn""&gt;Trinidad and Tobago",S1963)),"Trinidad and Tobago",
ISNUMBER(SEARCH("rn""&gt;Serbia and Montenegro",S1963)),"Serbia and Montenegro",
ISNUMBER(SEARCH(_xlfn.UNICHAR(65533),S1963)),"Côte d'Ivoire",
TRUE,""
)</f>
        <v/>
      </c>
      <c r="W1963" s="12" t="str">
        <f t="shared" si="153"/>
        <v>France</v>
      </c>
    </row>
    <row r="1964" spans="2:23">
      <c r="B1964" s="76" t="str">
        <v>1978.0</v>
      </c>
      <c r="C1964" s="42" t="str">
        <v xml:space="preserve">03 Jun 1978 - 13:45 </v>
      </c>
      <c r="D1964" s="42" t="str">
        <v>Group 3</v>
      </c>
      <c r="E1964" s="42" t="str">
        <v>Jose Amalfitani</v>
      </c>
      <c r="F1964" s="42" t="str">
        <v xml:space="preserve">Buenos Aires </v>
      </c>
      <c r="G1964" s="42" t="str">
        <v>Austria</v>
      </c>
      <c r="H1964" s="42" t="str">
        <v>2.0</v>
      </c>
      <c r="I1964" s="42" t="str">
        <v>1.0</v>
      </c>
      <c r="J1964" s="42" t="str">
        <v>Spain</v>
      </c>
      <c r="K1964" s="42" t="str">
        <v xml:space="preserve"> </v>
      </c>
      <c r="L1964" s="42" t="str">
        <f t="shared" si="150"/>
        <v xml:space="preserve">1978.0|03 Jun 1978 - 13:45 |Group 3|Jose Amalfitani|Buenos Aires |Austria|2.0|1.0|Spain| </v>
      </c>
      <c r="M1964" s="42" t="str">
        <f>IF(COUNTIF($L$1689:L1964,L1964)&gt;1,"DOUBLON","OK")</f>
        <v>OK</v>
      </c>
      <c r="S1964" s="12" t="str">
        <v>France</v>
      </c>
      <c r="T1964" s="12" t="str">
        <f t="shared" si="151"/>
        <v>OK</v>
      </c>
      <c r="U1964" s="12" t="str">
        <f t="shared" si="152"/>
        <v>-</v>
      </c>
      <c r="V1964" s="12" t="str" cm="1">
        <f t="array" ref="V1964">_xlfn.IFS(
ISNUMBER(SEARCH("USA",S1964)),"United States",
ISNUMBER(SEARCH("Republic of Ireland",S1964)),"Ireland",
ISNUMBER(SEARCH("Republic of Korea",S1964)),"South Korea",
ISNUMBER(SEARCH("Cape Verde",S1964)),"Cabo Verde",
ISNUMBER(SEARCH("Czechia",S1964)),"Czech Republic",
ISNUMBER(SEARCH("Türkiye",S1964)),"Turkey",
ISNUMBER(SEARCH("Ivory Coast",S1964)),"Côte d'Ivoire",
ISNUMBER(SEARCH("Korea Republic",S1964)),"South Korea",
ISNUMBER(SEARCH("Germany FR",S1964)),"FR Germany",
ISNUMBER(SEARCH("West Germany",S1964)),"FR Germany",
ISNUMBER(SEARCH("Germany DR",S1964)),"DR Germany",
ISNUMBER(SEARCH("Korea DPR",S1964)),"North Korea",
ISNUMBER(SEARCH("China PR",S1964)),"China",
ISNUMBER(SEARCH("IR Iran",S1964)),"Iran",
ISNUMBER(SEARCH("Congo DR",S1964)),"Democratic Republic of the Congo",
ISNUMBER(SEARCH("DR Congo",S1964)),"Democratic Republic of the Congo",
ISNUMBER(SEARCH("German DR",S1964)),"DR Germany",
ISNUMBER(SEARCH("rn""&gt;United Arab Emirates",S1964)),"United Arab Emirates",
ISNUMBER(SEARCH("rn""&gt;Republic of Ireland",S1964)),"Ireland",
ISNUMBER(SEARCH("rn""&gt;Bosnia and Herzegovina",S1964)),"Bosnia and Herzegovina",
ISNUMBER(SEARCH("rn""&gt;Trinidad and Tobago",S1964)),"Trinidad and Tobago",
ISNUMBER(SEARCH("rn""&gt;Serbia and Montenegro",S1964)),"Serbia and Montenegro",
ISNUMBER(SEARCH(_xlfn.UNICHAR(65533),S1964)),"Côte d'Ivoire",
TRUE,""
)</f>
        <v/>
      </c>
      <c r="W1964" s="12" t="str">
        <f t="shared" si="153"/>
        <v>France</v>
      </c>
    </row>
    <row r="1965" spans="2:23">
      <c r="B1965" s="76" t="str">
        <v>1978.0</v>
      </c>
      <c r="C1965" s="42" t="str">
        <v xml:space="preserve">03 Jun 1978 - 16:45 </v>
      </c>
      <c r="D1965" s="42" t="str">
        <v>Group 4</v>
      </c>
      <c r="E1965" s="42" t="str">
        <v>Estadio Ol�mpico Chateau Carreras</v>
      </c>
      <c r="F1965" s="42" t="str">
        <v xml:space="preserve">Cordoba </v>
      </c>
      <c r="G1965" s="42" t="str">
        <v>Peru</v>
      </c>
      <c r="H1965" s="42" t="str">
        <v>3.0</v>
      </c>
      <c r="I1965" s="42" t="str">
        <v>1.0</v>
      </c>
      <c r="J1965" s="42" t="str">
        <v>Scotland</v>
      </c>
      <c r="K1965" s="42" t="str">
        <v xml:space="preserve"> </v>
      </c>
      <c r="L1965" s="42" t="str">
        <f t="shared" si="150"/>
        <v xml:space="preserve">1978.0|03 Jun 1978 - 16:45 |Group 4|Estadio Ol�mpico Chateau Carreras|Cordoba |Peru|3.0|1.0|Scotland| </v>
      </c>
      <c r="M1965" s="42" t="str">
        <f>IF(COUNTIF($L$1689:L1965,L1965)&gt;1,"DOUBLON","OK")</f>
        <v>OK</v>
      </c>
      <c r="S1965" s="12" t="str">
        <v>France</v>
      </c>
      <c r="T1965" s="12" t="str">
        <f t="shared" si="151"/>
        <v>OK</v>
      </c>
      <c r="U1965" s="12" t="str">
        <f t="shared" si="152"/>
        <v>-</v>
      </c>
      <c r="V1965" s="12" t="str" cm="1">
        <f t="array" ref="V1965">_xlfn.IFS(
ISNUMBER(SEARCH("USA",S1965)),"United States",
ISNUMBER(SEARCH("Republic of Ireland",S1965)),"Ireland",
ISNUMBER(SEARCH("Republic of Korea",S1965)),"South Korea",
ISNUMBER(SEARCH("Cape Verde",S1965)),"Cabo Verde",
ISNUMBER(SEARCH("Czechia",S1965)),"Czech Republic",
ISNUMBER(SEARCH("Türkiye",S1965)),"Turkey",
ISNUMBER(SEARCH("Ivory Coast",S1965)),"Côte d'Ivoire",
ISNUMBER(SEARCH("Korea Republic",S1965)),"South Korea",
ISNUMBER(SEARCH("Germany FR",S1965)),"FR Germany",
ISNUMBER(SEARCH("West Germany",S1965)),"FR Germany",
ISNUMBER(SEARCH("Germany DR",S1965)),"DR Germany",
ISNUMBER(SEARCH("Korea DPR",S1965)),"North Korea",
ISNUMBER(SEARCH("China PR",S1965)),"China",
ISNUMBER(SEARCH("IR Iran",S1965)),"Iran",
ISNUMBER(SEARCH("Congo DR",S1965)),"Democratic Republic of the Congo",
ISNUMBER(SEARCH("DR Congo",S1965)),"Democratic Republic of the Congo",
ISNUMBER(SEARCH("German DR",S1965)),"DR Germany",
ISNUMBER(SEARCH("rn""&gt;United Arab Emirates",S1965)),"United Arab Emirates",
ISNUMBER(SEARCH("rn""&gt;Republic of Ireland",S1965)),"Ireland",
ISNUMBER(SEARCH("rn""&gt;Bosnia and Herzegovina",S1965)),"Bosnia and Herzegovina",
ISNUMBER(SEARCH("rn""&gt;Trinidad and Tobago",S1965)),"Trinidad and Tobago",
ISNUMBER(SEARCH("rn""&gt;Serbia and Montenegro",S1965)),"Serbia and Montenegro",
ISNUMBER(SEARCH(_xlfn.UNICHAR(65533),S1965)),"Côte d'Ivoire",
TRUE,""
)</f>
        <v/>
      </c>
      <c r="W1965" s="12" t="str">
        <f t="shared" si="153"/>
        <v>France</v>
      </c>
    </row>
    <row r="1966" spans="2:23">
      <c r="B1966" s="76" t="str">
        <v>1978.0</v>
      </c>
      <c r="C1966" s="42" t="str">
        <v xml:space="preserve">03 Jun 1978 - 16:45 </v>
      </c>
      <c r="D1966" s="42" t="str">
        <v>Group 4</v>
      </c>
      <c r="E1966" s="42" t="str">
        <v>San Martin</v>
      </c>
      <c r="F1966" s="42" t="str">
        <v xml:space="preserve">Mendoza </v>
      </c>
      <c r="G1966" s="42" t="str">
        <v>Netherlands</v>
      </c>
      <c r="H1966" s="42" t="str">
        <v>3.0</v>
      </c>
      <c r="I1966" s="42" t="str">
        <v>0.0</v>
      </c>
      <c r="J1966" s="42" t="str">
        <v>IR Iran</v>
      </c>
      <c r="K1966" s="42" t="str">
        <v xml:space="preserve"> </v>
      </c>
      <c r="L1966" s="42" t="str">
        <f t="shared" si="150"/>
        <v xml:space="preserve">1978.0|03 Jun 1978 - 16:45 |Group 4|San Martin|Mendoza |Netherlands|3.0|0.0|IR Iran| </v>
      </c>
      <c r="M1966" s="42" t="str">
        <f>IF(COUNTIF($L$1689:L1966,L1966)&gt;1,"DOUBLON","OK")</f>
        <v>OK</v>
      </c>
      <c r="S1966" s="12" t="str">
        <v>France</v>
      </c>
      <c r="T1966" s="12" t="str">
        <f t="shared" si="151"/>
        <v>OK</v>
      </c>
      <c r="U1966" s="12" t="str">
        <f t="shared" si="152"/>
        <v>-</v>
      </c>
      <c r="V1966" s="12" t="str" cm="1">
        <f t="array" ref="V1966">_xlfn.IFS(
ISNUMBER(SEARCH("USA",S1966)),"United States",
ISNUMBER(SEARCH("Republic of Ireland",S1966)),"Ireland",
ISNUMBER(SEARCH("Republic of Korea",S1966)),"South Korea",
ISNUMBER(SEARCH("Cape Verde",S1966)),"Cabo Verde",
ISNUMBER(SEARCH("Czechia",S1966)),"Czech Republic",
ISNUMBER(SEARCH("Türkiye",S1966)),"Turkey",
ISNUMBER(SEARCH("Ivory Coast",S1966)),"Côte d'Ivoire",
ISNUMBER(SEARCH("Korea Republic",S1966)),"South Korea",
ISNUMBER(SEARCH("Germany FR",S1966)),"FR Germany",
ISNUMBER(SEARCH("West Germany",S1966)),"FR Germany",
ISNUMBER(SEARCH("Germany DR",S1966)),"DR Germany",
ISNUMBER(SEARCH("Korea DPR",S1966)),"North Korea",
ISNUMBER(SEARCH("China PR",S1966)),"China",
ISNUMBER(SEARCH("IR Iran",S1966)),"Iran",
ISNUMBER(SEARCH("Congo DR",S1966)),"Democratic Republic of the Congo",
ISNUMBER(SEARCH("DR Congo",S1966)),"Democratic Republic of the Congo",
ISNUMBER(SEARCH("German DR",S1966)),"DR Germany",
ISNUMBER(SEARCH("rn""&gt;United Arab Emirates",S1966)),"United Arab Emirates",
ISNUMBER(SEARCH("rn""&gt;Republic of Ireland",S1966)),"Ireland",
ISNUMBER(SEARCH("rn""&gt;Bosnia and Herzegovina",S1966)),"Bosnia and Herzegovina",
ISNUMBER(SEARCH("rn""&gt;Trinidad and Tobago",S1966)),"Trinidad and Tobago",
ISNUMBER(SEARCH("rn""&gt;Serbia and Montenegro",S1966)),"Serbia and Montenegro",
ISNUMBER(SEARCH(_xlfn.UNICHAR(65533),S1966)),"Côte d'Ivoire",
TRUE,""
)</f>
        <v/>
      </c>
      <c r="W1966" s="12" t="str">
        <f t="shared" si="153"/>
        <v>France</v>
      </c>
    </row>
    <row r="1967" spans="2:23">
      <c r="B1967" s="76" t="str">
        <v>1978.0</v>
      </c>
      <c r="C1967" s="42" t="str">
        <v xml:space="preserve">06 Jun 1978 - 13:45 </v>
      </c>
      <c r="D1967" s="42" t="str">
        <v>Group 1</v>
      </c>
      <c r="E1967" s="42" t="str">
        <v>Estadio Jos� Mar�a Minella</v>
      </c>
      <c r="F1967" s="42" t="str">
        <v xml:space="preserve">Mar Del Plata </v>
      </c>
      <c r="G1967" s="42" t="str">
        <v>Italy</v>
      </c>
      <c r="H1967" s="42" t="str">
        <v>3.0</v>
      </c>
      <c r="I1967" s="42" t="str">
        <v>1.0</v>
      </c>
      <c r="J1967" s="42" t="str">
        <v>Hungary</v>
      </c>
      <c r="K1967" s="42" t="str">
        <v xml:space="preserve"> </v>
      </c>
      <c r="L1967" s="42" t="str">
        <f t="shared" si="150"/>
        <v xml:space="preserve">1978.0|06 Jun 1978 - 13:45 |Group 1|Estadio Jos� Mar�a Minella|Mar Del Plata |Italy|3.0|1.0|Hungary| </v>
      </c>
      <c r="M1967" s="42" t="str">
        <f>IF(COUNTIF($L$1689:L1967,L1967)&gt;1,"DOUBLON","OK")</f>
        <v>OK</v>
      </c>
      <c r="S1967" s="12" t="str">
        <v>France</v>
      </c>
      <c r="T1967" s="12" t="str">
        <f t="shared" si="151"/>
        <v>OK</v>
      </c>
      <c r="U1967" s="12" t="str">
        <f t="shared" si="152"/>
        <v>-</v>
      </c>
      <c r="V1967" s="12" t="str" cm="1">
        <f t="array" ref="V1967">_xlfn.IFS(
ISNUMBER(SEARCH("USA",S1967)),"United States",
ISNUMBER(SEARCH("Republic of Ireland",S1967)),"Ireland",
ISNUMBER(SEARCH("Republic of Korea",S1967)),"South Korea",
ISNUMBER(SEARCH("Cape Verde",S1967)),"Cabo Verde",
ISNUMBER(SEARCH("Czechia",S1967)),"Czech Republic",
ISNUMBER(SEARCH("Türkiye",S1967)),"Turkey",
ISNUMBER(SEARCH("Ivory Coast",S1967)),"Côte d'Ivoire",
ISNUMBER(SEARCH("Korea Republic",S1967)),"South Korea",
ISNUMBER(SEARCH("Germany FR",S1967)),"FR Germany",
ISNUMBER(SEARCH("West Germany",S1967)),"FR Germany",
ISNUMBER(SEARCH("Germany DR",S1967)),"DR Germany",
ISNUMBER(SEARCH("Korea DPR",S1967)),"North Korea",
ISNUMBER(SEARCH("China PR",S1967)),"China",
ISNUMBER(SEARCH("IR Iran",S1967)),"Iran",
ISNUMBER(SEARCH("Congo DR",S1967)),"Democratic Republic of the Congo",
ISNUMBER(SEARCH("DR Congo",S1967)),"Democratic Republic of the Congo",
ISNUMBER(SEARCH("German DR",S1967)),"DR Germany",
ISNUMBER(SEARCH("rn""&gt;United Arab Emirates",S1967)),"United Arab Emirates",
ISNUMBER(SEARCH("rn""&gt;Republic of Ireland",S1967)),"Ireland",
ISNUMBER(SEARCH("rn""&gt;Bosnia and Herzegovina",S1967)),"Bosnia and Herzegovina",
ISNUMBER(SEARCH("rn""&gt;Trinidad and Tobago",S1967)),"Trinidad and Tobago",
ISNUMBER(SEARCH("rn""&gt;Serbia and Montenegro",S1967)),"Serbia and Montenegro",
ISNUMBER(SEARCH(_xlfn.UNICHAR(65533),S1967)),"Côte d'Ivoire",
TRUE,""
)</f>
        <v/>
      </c>
      <c r="W1967" s="12" t="str">
        <f t="shared" si="153"/>
        <v>France</v>
      </c>
    </row>
    <row r="1968" spans="2:23">
      <c r="B1968" s="76" t="str">
        <v>1978.0</v>
      </c>
      <c r="C1968" s="42" t="str">
        <v xml:space="preserve">06 Jun 1978 - 16:45 </v>
      </c>
      <c r="D1968" s="42" t="str">
        <v>Group 2</v>
      </c>
      <c r="E1968" s="42" t="str">
        <v>Arroyito - Estadio Dr. Lisandro de la Torre</v>
      </c>
      <c r="F1968" s="42" t="str">
        <v xml:space="preserve">Rosario </v>
      </c>
      <c r="G1968" s="42" t="str">
        <v>Poland</v>
      </c>
      <c r="H1968" s="42" t="str">
        <v>1.0</v>
      </c>
      <c r="I1968" s="42" t="str">
        <v>0.0</v>
      </c>
      <c r="J1968" s="42" t="str">
        <v>Tunisia</v>
      </c>
      <c r="K1968" s="42" t="str">
        <v xml:space="preserve"> </v>
      </c>
      <c r="L1968" s="42" t="str">
        <f t="shared" si="150"/>
        <v xml:space="preserve">1978.0|06 Jun 1978 - 16:45 |Group 2|Arroyito - Estadio Dr. Lisandro de la Torre|Rosario |Poland|1.0|0.0|Tunisia| </v>
      </c>
      <c r="M1968" s="42" t="str">
        <f>IF(COUNTIF($L$1689:L1968,L1968)&gt;1,"DOUBLON","OK")</f>
        <v>OK</v>
      </c>
      <c r="S1968" s="12" t="str">
        <v>France</v>
      </c>
      <c r="T1968" s="12" t="str">
        <f t="shared" si="151"/>
        <v>OK</v>
      </c>
      <c r="U1968" s="12" t="str">
        <f t="shared" si="152"/>
        <v>-</v>
      </c>
      <c r="V1968" s="12" t="str" cm="1">
        <f t="array" ref="V1968">_xlfn.IFS(
ISNUMBER(SEARCH("USA",S1968)),"United States",
ISNUMBER(SEARCH("Republic of Ireland",S1968)),"Ireland",
ISNUMBER(SEARCH("Republic of Korea",S1968)),"South Korea",
ISNUMBER(SEARCH("Cape Verde",S1968)),"Cabo Verde",
ISNUMBER(SEARCH("Czechia",S1968)),"Czech Republic",
ISNUMBER(SEARCH("Türkiye",S1968)),"Turkey",
ISNUMBER(SEARCH("Ivory Coast",S1968)),"Côte d'Ivoire",
ISNUMBER(SEARCH("Korea Republic",S1968)),"South Korea",
ISNUMBER(SEARCH("Germany FR",S1968)),"FR Germany",
ISNUMBER(SEARCH("West Germany",S1968)),"FR Germany",
ISNUMBER(SEARCH("Germany DR",S1968)),"DR Germany",
ISNUMBER(SEARCH("Korea DPR",S1968)),"North Korea",
ISNUMBER(SEARCH("China PR",S1968)),"China",
ISNUMBER(SEARCH("IR Iran",S1968)),"Iran",
ISNUMBER(SEARCH("Congo DR",S1968)),"Democratic Republic of the Congo",
ISNUMBER(SEARCH("DR Congo",S1968)),"Democratic Republic of the Congo",
ISNUMBER(SEARCH("German DR",S1968)),"DR Germany",
ISNUMBER(SEARCH("rn""&gt;United Arab Emirates",S1968)),"United Arab Emirates",
ISNUMBER(SEARCH("rn""&gt;Republic of Ireland",S1968)),"Ireland",
ISNUMBER(SEARCH("rn""&gt;Bosnia and Herzegovina",S1968)),"Bosnia and Herzegovina",
ISNUMBER(SEARCH("rn""&gt;Trinidad and Tobago",S1968)),"Trinidad and Tobago",
ISNUMBER(SEARCH("rn""&gt;Serbia and Montenegro",S1968)),"Serbia and Montenegro",
ISNUMBER(SEARCH(_xlfn.UNICHAR(65533),S1968)),"Côte d'Ivoire",
TRUE,""
)</f>
        <v/>
      </c>
      <c r="W1968" s="12" t="str">
        <f t="shared" si="153"/>
        <v>France</v>
      </c>
    </row>
    <row r="1969" spans="2:23">
      <c r="B1969" s="76" t="str">
        <v>1978.0</v>
      </c>
      <c r="C1969" s="42" t="str">
        <v xml:space="preserve">06 Jun 1978 - 16:45 </v>
      </c>
      <c r="D1969" s="42" t="str">
        <v>Group 2</v>
      </c>
      <c r="E1969" s="42" t="str">
        <v>Estadio Ol�mpico Chateau Carreras</v>
      </c>
      <c r="F1969" s="42" t="str">
        <v xml:space="preserve">Cordoba </v>
      </c>
      <c r="G1969" s="42" t="str">
        <v>Germany FR</v>
      </c>
      <c r="H1969" s="42" t="str">
        <v>6.0</v>
      </c>
      <c r="I1969" s="42" t="str">
        <v>0.0</v>
      </c>
      <c r="J1969" s="42" t="str">
        <v>Mexico</v>
      </c>
      <c r="K1969" s="42" t="str">
        <v xml:space="preserve"> </v>
      </c>
      <c r="L1969" s="42" t="str">
        <f t="shared" si="150"/>
        <v xml:space="preserve">1978.0|06 Jun 1978 - 16:45 |Group 2|Estadio Ol�mpico Chateau Carreras|Cordoba |Germany FR|6.0|0.0|Mexico| </v>
      </c>
      <c r="M1969" s="42" t="str">
        <f>IF(COUNTIF($L$1689:L1969,L1969)&gt;1,"DOUBLON","OK")</f>
        <v>OK</v>
      </c>
      <c r="S1969" s="12" t="str">
        <v>France</v>
      </c>
      <c r="T1969" s="12" t="str">
        <f t="shared" si="151"/>
        <v>OK</v>
      </c>
      <c r="U1969" s="12" t="str">
        <f t="shared" si="152"/>
        <v>-</v>
      </c>
      <c r="V1969" s="12" t="str" cm="1">
        <f t="array" ref="V1969">_xlfn.IFS(
ISNUMBER(SEARCH("USA",S1969)),"United States",
ISNUMBER(SEARCH("Republic of Ireland",S1969)),"Ireland",
ISNUMBER(SEARCH("Republic of Korea",S1969)),"South Korea",
ISNUMBER(SEARCH("Cape Verde",S1969)),"Cabo Verde",
ISNUMBER(SEARCH("Czechia",S1969)),"Czech Republic",
ISNUMBER(SEARCH("Türkiye",S1969)),"Turkey",
ISNUMBER(SEARCH("Ivory Coast",S1969)),"Côte d'Ivoire",
ISNUMBER(SEARCH("Korea Republic",S1969)),"South Korea",
ISNUMBER(SEARCH("Germany FR",S1969)),"FR Germany",
ISNUMBER(SEARCH("West Germany",S1969)),"FR Germany",
ISNUMBER(SEARCH("Germany DR",S1969)),"DR Germany",
ISNUMBER(SEARCH("Korea DPR",S1969)),"North Korea",
ISNUMBER(SEARCH("China PR",S1969)),"China",
ISNUMBER(SEARCH("IR Iran",S1969)),"Iran",
ISNUMBER(SEARCH("Congo DR",S1969)),"Democratic Republic of the Congo",
ISNUMBER(SEARCH("DR Congo",S1969)),"Democratic Republic of the Congo",
ISNUMBER(SEARCH("German DR",S1969)),"DR Germany",
ISNUMBER(SEARCH("rn""&gt;United Arab Emirates",S1969)),"United Arab Emirates",
ISNUMBER(SEARCH("rn""&gt;Republic of Ireland",S1969)),"Ireland",
ISNUMBER(SEARCH("rn""&gt;Bosnia and Herzegovina",S1969)),"Bosnia and Herzegovina",
ISNUMBER(SEARCH("rn""&gt;Trinidad and Tobago",S1969)),"Trinidad and Tobago",
ISNUMBER(SEARCH("rn""&gt;Serbia and Montenegro",S1969)),"Serbia and Montenegro",
ISNUMBER(SEARCH(_xlfn.UNICHAR(65533),S1969)),"Côte d'Ivoire",
TRUE,""
)</f>
        <v/>
      </c>
      <c r="W1969" s="12" t="str">
        <f t="shared" si="153"/>
        <v>France</v>
      </c>
    </row>
    <row r="1970" spans="2:23">
      <c r="B1970" s="76" t="str">
        <v>1978.0</v>
      </c>
      <c r="C1970" s="42" t="str">
        <v xml:space="preserve">06 Jun 1978 - 19:15 </v>
      </c>
      <c r="D1970" s="42" t="str">
        <v>Group 1</v>
      </c>
      <c r="E1970" s="42" t="str">
        <v>El Monumental - Estadio Monumental Antonio Vespuci</v>
      </c>
      <c r="F1970" s="42" t="str">
        <v xml:space="preserve">Buenos Aires </v>
      </c>
      <c r="G1970" s="42" t="str">
        <v>Argentina</v>
      </c>
      <c r="H1970" s="42" t="str">
        <v>2.0</v>
      </c>
      <c r="I1970" s="42" t="str">
        <v>1.0</v>
      </c>
      <c r="J1970" s="42" t="str">
        <v>France</v>
      </c>
      <c r="K1970" s="42" t="str">
        <v xml:space="preserve"> </v>
      </c>
      <c r="L1970" s="42" t="str">
        <f t="shared" si="150"/>
        <v xml:space="preserve">1978.0|06 Jun 1978 - 19:15 |Group 1|El Monumental - Estadio Monumental Antonio Vespuci|Buenos Aires |Argentina|2.0|1.0|France| </v>
      </c>
      <c r="M1970" s="42" t="str">
        <f>IF(COUNTIF($L$1689:L1970,L1970)&gt;1,"DOUBLON","OK")</f>
        <v>OK</v>
      </c>
      <c r="S1970" s="12" t="str">
        <v>France</v>
      </c>
      <c r="T1970" s="12" t="str">
        <f t="shared" si="151"/>
        <v>OK</v>
      </c>
      <c r="U1970" s="12" t="str">
        <f t="shared" si="152"/>
        <v>-</v>
      </c>
      <c r="V1970" s="12" t="str" cm="1">
        <f t="array" ref="V1970">_xlfn.IFS(
ISNUMBER(SEARCH("USA",S1970)),"United States",
ISNUMBER(SEARCH("Republic of Ireland",S1970)),"Ireland",
ISNUMBER(SEARCH("Republic of Korea",S1970)),"South Korea",
ISNUMBER(SEARCH("Cape Verde",S1970)),"Cabo Verde",
ISNUMBER(SEARCH("Czechia",S1970)),"Czech Republic",
ISNUMBER(SEARCH("Türkiye",S1970)),"Turkey",
ISNUMBER(SEARCH("Ivory Coast",S1970)),"Côte d'Ivoire",
ISNUMBER(SEARCH("Korea Republic",S1970)),"South Korea",
ISNUMBER(SEARCH("Germany FR",S1970)),"FR Germany",
ISNUMBER(SEARCH("West Germany",S1970)),"FR Germany",
ISNUMBER(SEARCH("Germany DR",S1970)),"DR Germany",
ISNUMBER(SEARCH("Korea DPR",S1970)),"North Korea",
ISNUMBER(SEARCH("China PR",S1970)),"China",
ISNUMBER(SEARCH("IR Iran",S1970)),"Iran",
ISNUMBER(SEARCH("Congo DR",S1970)),"Democratic Republic of the Congo",
ISNUMBER(SEARCH("DR Congo",S1970)),"Democratic Republic of the Congo",
ISNUMBER(SEARCH("German DR",S1970)),"DR Germany",
ISNUMBER(SEARCH("rn""&gt;United Arab Emirates",S1970)),"United Arab Emirates",
ISNUMBER(SEARCH("rn""&gt;Republic of Ireland",S1970)),"Ireland",
ISNUMBER(SEARCH("rn""&gt;Bosnia and Herzegovina",S1970)),"Bosnia and Herzegovina",
ISNUMBER(SEARCH("rn""&gt;Trinidad and Tobago",S1970)),"Trinidad and Tobago",
ISNUMBER(SEARCH("rn""&gt;Serbia and Montenegro",S1970)),"Serbia and Montenegro",
ISNUMBER(SEARCH(_xlfn.UNICHAR(65533),S1970)),"Côte d'Ivoire",
TRUE,""
)</f>
        <v/>
      </c>
      <c r="W1970" s="12" t="str">
        <f t="shared" si="153"/>
        <v>France</v>
      </c>
    </row>
    <row r="1971" spans="2:23">
      <c r="B1971" s="76" t="str">
        <v>1978.0</v>
      </c>
      <c r="C1971" s="42" t="str">
        <v xml:space="preserve">07 Jun 1978 - 13:45 </v>
      </c>
      <c r="D1971" s="42" t="str">
        <v>Group 3</v>
      </c>
      <c r="E1971" s="42" t="str">
        <v>Estadio Jos� Mar�a Minella</v>
      </c>
      <c r="F1971" s="42" t="str">
        <v xml:space="preserve">Mar Del Plata </v>
      </c>
      <c r="G1971" s="42" t="str">
        <v>Brazil</v>
      </c>
      <c r="H1971" s="42" t="str">
        <v>0.0</v>
      </c>
      <c r="I1971" s="42" t="str">
        <v>0.0</v>
      </c>
      <c r="J1971" s="42" t="str">
        <v>Spain</v>
      </c>
      <c r="K1971" s="42" t="str">
        <v xml:space="preserve"> </v>
      </c>
      <c r="L1971" s="42" t="str">
        <f t="shared" si="150"/>
        <v xml:space="preserve">1978.0|07 Jun 1978 - 13:45 |Group 3|Estadio Jos� Mar�a Minella|Mar Del Plata |Brazil|0.0|0.0|Spain| </v>
      </c>
      <c r="M1971" s="42" t="str">
        <f>IF(COUNTIF($L$1689:L1971,L1971)&gt;1,"DOUBLON","OK")</f>
        <v>OK</v>
      </c>
      <c r="S1971" s="12" t="str">
        <v>France</v>
      </c>
      <c r="T1971" s="12" t="str">
        <f t="shared" si="151"/>
        <v>OK</v>
      </c>
      <c r="U1971" s="12" t="str">
        <f t="shared" si="152"/>
        <v>-</v>
      </c>
      <c r="V1971" s="12" t="str" cm="1">
        <f t="array" ref="V1971">_xlfn.IFS(
ISNUMBER(SEARCH("USA",S1971)),"United States",
ISNUMBER(SEARCH("Republic of Ireland",S1971)),"Ireland",
ISNUMBER(SEARCH("Republic of Korea",S1971)),"South Korea",
ISNUMBER(SEARCH("Cape Verde",S1971)),"Cabo Verde",
ISNUMBER(SEARCH("Czechia",S1971)),"Czech Republic",
ISNUMBER(SEARCH("Türkiye",S1971)),"Turkey",
ISNUMBER(SEARCH("Ivory Coast",S1971)),"Côte d'Ivoire",
ISNUMBER(SEARCH("Korea Republic",S1971)),"South Korea",
ISNUMBER(SEARCH("Germany FR",S1971)),"FR Germany",
ISNUMBER(SEARCH("West Germany",S1971)),"FR Germany",
ISNUMBER(SEARCH("Germany DR",S1971)),"DR Germany",
ISNUMBER(SEARCH("Korea DPR",S1971)),"North Korea",
ISNUMBER(SEARCH("China PR",S1971)),"China",
ISNUMBER(SEARCH("IR Iran",S1971)),"Iran",
ISNUMBER(SEARCH("Congo DR",S1971)),"Democratic Republic of the Congo",
ISNUMBER(SEARCH("DR Congo",S1971)),"Democratic Republic of the Congo",
ISNUMBER(SEARCH("German DR",S1971)),"DR Germany",
ISNUMBER(SEARCH("rn""&gt;United Arab Emirates",S1971)),"United Arab Emirates",
ISNUMBER(SEARCH("rn""&gt;Republic of Ireland",S1971)),"Ireland",
ISNUMBER(SEARCH("rn""&gt;Bosnia and Herzegovina",S1971)),"Bosnia and Herzegovina",
ISNUMBER(SEARCH("rn""&gt;Trinidad and Tobago",S1971)),"Trinidad and Tobago",
ISNUMBER(SEARCH("rn""&gt;Serbia and Montenegro",S1971)),"Serbia and Montenegro",
ISNUMBER(SEARCH(_xlfn.UNICHAR(65533),S1971)),"Côte d'Ivoire",
TRUE,""
)</f>
        <v/>
      </c>
      <c r="W1971" s="12" t="str">
        <f t="shared" si="153"/>
        <v>France</v>
      </c>
    </row>
    <row r="1972" spans="2:23">
      <c r="B1972" s="76" t="str">
        <v>1978.0</v>
      </c>
      <c r="C1972" s="42" t="str">
        <v xml:space="preserve">07 Jun 1978 - 13:45 </v>
      </c>
      <c r="D1972" s="42" t="str">
        <v>Group 3</v>
      </c>
      <c r="E1972" s="42" t="str">
        <v>Jose Amalfitani</v>
      </c>
      <c r="F1972" s="42" t="str">
        <v xml:space="preserve">Buenos Aires </v>
      </c>
      <c r="G1972" s="42" t="str">
        <v>Austria</v>
      </c>
      <c r="H1972" s="42" t="str">
        <v>1.0</v>
      </c>
      <c r="I1972" s="42" t="str">
        <v>0.0</v>
      </c>
      <c r="J1972" s="42" t="str">
        <v>Sweden</v>
      </c>
      <c r="K1972" s="42" t="str">
        <v xml:space="preserve"> </v>
      </c>
      <c r="L1972" s="42" t="str">
        <f t="shared" si="150"/>
        <v xml:space="preserve">1978.0|07 Jun 1978 - 13:45 |Group 3|Jose Amalfitani|Buenos Aires |Austria|1.0|0.0|Sweden| </v>
      </c>
      <c r="M1972" s="42" t="str">
        <f>IF(COUNTIF($L$1689:L1972,L1972)&gt;1,"DOUBLON","OK")</f>
        <v>OK</v>
      </c>
      <c r="S1972" s="12" t="str">
        <v>France</v>
      </c>
      <c r="T1972" s="12" t="str">
        <f t="shared" si="151"/>
        <v>OK</v>
      </c>
      <c r="U1972" s="12" t="str">
        <f t="shared" si="152"/>
        <v>-</v>
      </c>
      <c r="V1972" s="12" t="str" cm="1">
        <f t="array" ref="V1972">_xlfn.IFS(
ISNUMBER(SEARCH("USA",S1972)),"United States",
ISNUMBER(SEARCH("Republic of Ireland",S1972)),"Ireland",
ISNUMBER(SEARCH("Republic of Korea",S1972)),"South Korea",
ISNUMBER(SEARCH("Cape Verde",S1972)),"Cabo Verde",
ISNUMBER(SEARCH("Czechia",S1972)),"Czech Republic",
ISNUMBER(SEARCH("Türkiye",S1972)),"Turkey",
ISNUMBER(SEARCH("Ivory Coast",S1972)),"Côte d'Ivoire",
ISNUMBER(SEARCH("Korea Republic",S1972)),"South Korea",
ISNUMBER(SEARCH("Germany FR",S1972)),"FR Germany",
ISNUMBER(SEARCH("West Germany",S1972)),"FR Germany",
ISNUMBER(SEARCH("Germany DR",S1972)),"DR Germany",
ISNUMBER(SEARCH("Korea DPR",S1972)),"North Korea",
ISNUMBER(SEARCH("China PR",S1972)),"China",
ISNUMBER(SEARCH("IR Iran",S1972)),"Iran",
ISNUMBER(SEARCH("Congo DR",S1972)),"Democratic Republic of the Congo",
ISNUMBER(SEARCH("DR Congo",S1972)),"Democratic Republic of the Congo",
ISNUMBER(SEARCH("German DR",S1972)),"DR Germany",
ISNUMBER(SEARCH("rn""&gt;United Arab Emirates",S1972)),"United Arab Emirates",
ISNUMBER(SEARCH("rn""&gt;Republic of Ireland",S1972)),"Ireland",
ISNUMBER(SEARCH("rn""&gt;Bosnia and Herzegovina",S1972)),"Bosnia and Herzegovina",
ISNUMBER(SEARCH("rn""&gt;Trinidad and Tobago",S1972)),"Trinidad and Tobago",
ISNUMBER(SEARCH("rn""&gt;Serbia and Montenegro",S1972)),"Serbia and Montenegro",
ISNUMBER(SEARCH(_xlfn.UNICHAR(65533),S1972)),"Côte d'Ivoire",
TRUE,""
)</f>
        <v/>
      </c>
      <c r="W1972" s="12" t="str">
        <f t="shared" si="153"/>
        <v>France</v>
      </c>
    </row>
    <row r="1973" spans="2:23">
      <c r="B1973" s="76" t="str">
        <v>1978.0</v>
      </c>
      <c r="C1973" s="42" t="str">
        <v xml:space="preserve">07 Jun 1978 - 16:45 </v>
      </c>
      <c r="D1973" s="42" t="str">
        <v>Group 4</v>
      </c>
      <c r="E1973" s="42" t="str">
        <v>Estadio Ol�mpico Chateau Carreras</v>
      </c>
      <c r="F1973" s="42" t="str">
        <v xml:space="preserve">Cordoba </v>
      </c>
      <c r="G1973" s="42" t="str">
        <v>Scotland</v>
      </c>
      <c r="H1973" s="42" t="str">
        <v>1.0</v>
      </c>
      <c r="I1973" s="42" t="str">
        <v>1.0</v>
      </c>
      <c r="J1973" s="42" t="str">
        <v>IR Iran</v>
      </c>
      <c r="K1973" s="42" t="str">
        <v xml:space="preserve"> </v>
      </c>
      <c r="L1973" s="42" t="str">
        <f t="shared" si="150"/>
        <v xml:space="preserve">1978.0|07 Jun 1978 - 16:45 |Group 4|Estadio Ol�mpico Chateau Carreras|Cordoba |Scotland|1.0|1.0|IR Iran| </v>
      </c>
      <c r="M1973" s="42" t="str">
        <f>IF(COUNTIF($L$1689:L1973,L1973)&gt;1,"DOUBLON","OK")</f>
        <v>OK</v>
      </c>
      <c r="S1973" s="12" t="str">
        <v>France</v>
      </c>
      <c r="T1973" s="12" t="str">
        <f t="shared" si="151"/>
        <v>OK</v>
      </c>
      <c r="U1973" s="12" t="str">
        <f t="shared" si="152"/>
        <v>-</v>
      </c>
      <c r="V1973" s="12" t="str" cm="1">
        <f t="array" ref="V1973">_xlfn.IFS(
ISNUMBER(SEARCH("USA",S1973)),"United States",
ISNUMBER(SEARCH("Republic of Ireland",S1973)),"Ireland",
ISNUMBER(SEARCH("Republic of Korea",S1973)),"South Korea",
ISNUMBER(SEARCH("Cape Verde",S1973)),"Cabo Verde",
ISNUMBER(SEARCH("Czechia",S1973)),"Czech Republic",
ISNUMBER(SEARCH("Türkiye",S1973)),"Turkey",
ISNUMBER(SEARCH("Ivory Coast",S1973)),"Côte d'Ivoire",
ISNUMBER(SEARCH("Korea Republic",S1973)),"South Korea",
ISNUMBER(SEARCH("Germany FR",S1973)),"FR Germany",
ISNUMBER(SEARCH("West Germany",S1973)),"FR Germany",
ISNUMBER(SEARCH("Germany DR",S1973)),"DR Germany",
ISNUMBER(SEARCH("Korea DPR",S1973)),"North Korea",
ISNUMBER(SEARCH("China PR",S1973)),"China",
ISNUMBER(SEARCH("IR Iran",S1973)),"Iran",
ISNUMBER(SEARCH("Congo DR",S1973)),"Democratic Republic of the Congo",
ISNUMBER(SEARCH("DR Congo",S1973)),"Democratic Republic of the Congo",
ISNUMBER(SEARCH("German DR",S1973)),"DR Germany",
ISNUMBER(SEARCH("rn""&gt;United Arab Emirates",S1973)),"United Arab Emirates",
ISNUMBER(SEARCH("rn""&gt;Republic of Ireland",S1973)),"Ireland",
ISNUMBER(SEARCH("rn""&gt;Bosnia and Herzegovina",S1973)),"Bosnia and Herzegovina",
ISNUMBER(SEARCH("rn""&gt;Trinidad and Tobago",S1973)),"Trinidad and Tobago",
ISNUMBER(SEARCH("rn""&gt;Serbia and Montenegro",S1973)),"Serbia and Montenegro",
ISNUMBER(SEARCH(_xlfn.UNICHAR(65533),S1973)),"Côte d'Ivoire",
TRUE,""
)</f>
        <v/>
      </c>
      <c r="W1973" s="12" t="str">
        <f t="shared" si="153"/>
        <v>France</v>
      </c>
    </row>
    <row r="1974" spans="2:23">
      <c r="B1974" s="76" t="str">
        <v>1978.0</v>
      </c>
      <c r="C1974" s="42" t="str">
        <v xml:space="preserve">07 Jun 1978 - 16:45 </v>
      </c>
      <c r="D1974" s="42" t="str">
        <v>Group 4</v>
      </c>
      <c r="E1974" s="42" t="str">
        <v>San Martin</v>
      </c>
      <c r="F1974" s="42" t="str">
        <v xml:space="preserve">Mendoza </v>
      </c>
      <c r="G1974" s="42" t="str">
        <v>Netherlands</v>
      </c>
      <c r="H1974" s="42" t="str">
        <v>0.0</v>
      </c>
      <c r="I1974" s="42" t="str">
        <v>0.0</v>
      </c>
      <c r="J1974" s="42" t="str">
        <v>Peru</v>
      </c>
      <c r="K1974" s="42" t="str">
        <v xml:space="preserve"> </v>
      </c>
      <c r="L1974" s="42" t="str">
        <f t="shared" si="150"/>
        <v xml:space="preserve">1978.0|07 Jun 1978 - 16:45 |Group 4|San Martin|Mendoza |Netherlands|0.0|0.0|Peru| </v>
      </c>
      <c r="M1974" s="42" t="str">
        <f>IF(COUNTIF($L$1689:L1974,L1974)&gt;1,"DOUBLON","OK")</f>
        <v>OK</v>
      </c>
      <c r="S1974" s="12" t="str">
        <v>France</v>
      </c>
      <c r="T1974" s="12" t="str">
        <f t="shared" si="151"/>
        <v>OK</v>
      </c>
      <c r="U1974" s="12" t="str">
        <f t="shared" si="152"/>
        <v>-</v>
      </c>
      <c r="V1974" s="12" t="str" cm="1">
        <f t="array" ref="V1974">_xlfn.IFS(
ISNUMBER(SEARCH("USA",S1974)),"United States",
ISNUMBER(SEARCH("Republic of Ireland",S1974)),"Ireland",
ISNUMBER(SEARCH("Republic of Korea",S1974)),"South Korea",
ISNUMBER(SEARCH("Cape Verde",S1974)),"Cabo Verde",
ISNUMBER(SEARCH("Czechia",S1974)),"Czech Republic",
ISNUMBER(SEARCH("Türkiye",S1974)),"Turkey",
ISNUMBER(SEARCH("Ivory Coast",S1974)),"Côte d'Ivoire",
ISNUMBER(SEARCH("Korea Republic",S1974)),"South Korea",
ISNUMBER(SEARCH("Germany FR",S1974)),"FR Germany",
ISNUMBER(SEARCH("West Germany",S1974)),"FR Germany",
ISNUMBER(SEARCH("Germany DR",S1974)),"DR Germany",
ISNUMBER(SEARCH("Korea DPR",S1974)),"North Korea",
ISNUMBER(SEARCH("China PR",S1974)),"China",
ISNUMBER(SEARCH("IR Iran",S1974)),"Iran",
ISNUMBER(SEARCH("Congo DR",S1974)),"Democratic Republic of the Congo",
ISNUMBER(SEARCH("DR Congo",S1974)),"Democratic Republic of the Congo",
ISNUMBER(SEARCH("German DR",S1974)),"DR Germany",
ISNUMBER(SEARCH("rn""&gt;United Arab Emirates",S1974)),"United Arab Emirates",
ISNUMBER(SEARCH("rn""&gt;Republic of Ireland",S1974)),"Ireland",
ISNUMBER(SEARCH("rn""&gt;Bosnia and Herzegovina",S1974)),"Bosnia and Herzegovina",
ISNUMBER(SEARCH("rn""&gt;Trinidad and Tobago",S1974)),"Trinidad and Tobago",
ISNUMBER(SEARCH("rn""&gt;Serbia and Montenegro",S1974)),"Serbia and Montenegro",
ISNUMBER(SEARCH(_xlfn.UNICHAR(65533),S1974)),"Côte d'Ivoire",
TRUE,""
)</f>
        <v/>
      </c>
      <c r="W1974" s="12" t="str">
        <f t="shared" si="153"/>
        <v>France</v>
      </c>
    </row>
    <row r="1975" spans="2:23">
      <c r="B1975" s="76" t="str">
        <v>1978.0</v>
      </c>
      <c r="C1975" s="42" t="str">
        <v xml:space="preserve">10 Jun 1978 - 15:10 </v>
      </c>
      <c r="D1975" s="42" t="str">
        <v>Group 1</v>
      </c>
      <c r="E1975" s="42" t="str">
        <v>Estadio Jos� Mar�a Minella</v>
      </c>
      <c r="F1975" s="42" t="str">
        <v xml:space="preserve">Mar Del Plata </v>
      </c>
      <c r="G1975" s="42" t="str">
        <v>France</v>
      </c>
      <c r="H1975" s="42" t="str">
        <v>3.0</v>
      </c>
      <c r="I1975" s="42" t="str">
        <v>1.0</v>
      </c>
      <c r="J1975" s="42" t="str">
        <v>Hungary</v>
      </c>
      <c r="K1975" s="42" t="str">
        <v xml:space="preserve"> </v>
      </c>
      <c r="L1975" s="42" t="str">
        <f t="shared" si="150"/>
        <v xml:space="preserve">1978.0|10 Jun 1978 - 15:10 |Group 1|Estadio Jos� Mar�a Minella|Mar Del Plata |France|3.0|1.0|Hungary| </v>
      </c>
      <c r="M1975" s="42" t="str">
        <f>IF(COUNTIF($L$1689:L1975,L1975)&gt;1,"DOUBLON","OK")</f>
        <v>OK</v>
      </c>
      <c r="S1975" s="12" t="str">
        <v>France</v>
      </c>
      <c r="T1975" s="12" t="str">
        <f t="shared" si="151"/>
        <v>OK</v>
      </c>
      <c r="U1975" s="12" t="str">
        <f t="shared" si="152"/>
        <v>-</v>
      </c>
      <c r="V1975" s="12" t="str" cm="1">
        <f t="array" ref="V1975">_xlfn.IFS(
ISNUMBER(SEARCH("USA",S1975)),"United States",
ISNUMBER(SEARCH("Republic of Ireland",S1975)),"Ireland",
ISNUMBER(SEARCH("Republic of Korea",S1975)),"South Korea",
ISNUMBER(SEARCH("Cape Verde",S1975)),"Cabo Verde",
ISNUMBER(SEARCH("Czechia",S1975)),"Czech Republic",
ISNUMBER(SEARCH("Türkiye",S1975)),"Turkey",
ISNUMBER(SEARCH("Ivory Coast",S1975)),"Côte d'Ivoire",
ISNUMBER(SEARCH("Korea Republic",S1975)),"South Korea",
ISNUMBER(SEARCH("Germany FR",S1975)),"FR Germany",
ISNUMBER(SEARCH("West Germany",S1975)),"FR Germany",
ISNUMBER(SEARCH("Germany DR",S1975)),"DR Germany",
ISNUMBER(SEARCH("Korea DPR",S1975)),"North Korea",
ISNUMBER(SEARCH("China PR",S1975)),"China",
ISNUMBER(SEARCH("IR Iran",S1975)),"Iran",
ISNUMBER(SEARCH("Congo DR",S1975)),"Democratic Republic of the Congo",
ISNUMBER(SEARCH("DR Congo",S1975)),"Democratic Republic of the Congo",
ISNUMBER(SEARCH("German DR",S1975)),"DR Germany",
ISNUMBER(SEARCH("rn""&gt;United Arab Emirates",S1975)),"United Arab Emirates",
ISNUMBER(SEARCH("rn""&gt;Republic of Ireland",S1975)),"Ireland",
ISNUMBER(SEARCH("rn""&gt;Bosnia and Herzegovina",S1975)),"Bosnia and Herzegovina",
ISNUMBER(SEARCH("rn""&gt;Trinidad and Tobago",S1975)),"Trinidad and Tobago",
ISNUMBER(SEARCH("rn""&gt;Serbia and Montenegro",S1975)),"Serbia and Montenegro",
ISNUMBER(SEARCH(_xlfn.UNICHAR(65533),S1975)),"Côte d'Ivoire",
TRUE,""
)</f>
        <v/>
      </c>
      <c r="W1975" s="12" t="str">
        <f t="shared" si="153"/>
        <v>France</v>
      </c>
    </row>
    <row r="1976" spans="2:23">
      <c r="B1976" s="76" t="str">
        <v>1978.0</v>
      </c>
      <c r="C1976" s="42" t="str">
        <v xml:space="preserve">10 Jun 1978 - 16:45 </v>
      </c>
      <c r="D1976" s="42" t="str">
        <v>Group 2</v>
      </c>
      <c r="E1976" s="42" t="str">
        <v>Arroyito - Estadio Dr. Lisandro de la Torre</v>
      </c>
      <c r="F1976" s="42" t="str">
        <v xml:space="preserve">Rosario </v>
      </c>
      <c r="G1976" s="42" t="str">
        <v>Poland</v>
      </c>
      <c r="H1976" s="42" t="str">
        <v>3.0</v>
      </c>
      <c r="I1976" s="42" t="str">
        <v>1.0</v>
      </c>
      <c r="J1976" s="42" t="str">
        <v>Mexico</v>
      </c>
      <c r="K1976" s="42" t="str">
        <v xml:space="preserve"> </v>
      </c>
      <c r="L1976" s="42" t="str">
        <f t="shared" si="150"/>
        <v xml:space="preserve">1978.0|10 Jun 1978 - 16:45 |Group 2|Arroyito - Estadio Dr. Lisandro de la Torre|Rosario |Poland|3.0|1.0|Mexico| </v>
      </c>
      <c r="M1976" s="42" t="str">
        <f>IF(COUNTIF($L$1689:L1976,L1976)&gt;1,"DOUBLON","OK")</f>
        <v>OK</v>
      </c>
      <c r="S1976" s="12" t="str">
        <v>France</v>
      </c>
      <c r="T1976" s="12" t="str">
        <f t="shared" si="151"/>
        <v>OK</v>
      </c>
      <c r="U1976" s="12" t="str">
        <f t="shared" si="152"/>
        <v>-</v>
      </c>
      <c r="V1976" s="12" t="str" cm="1">
        <f t="array" ref="V1976">_xlfn.IFS(
ISNUMBER(SEARCH("USA",S1976)),"United States",
ISNUMBER(SEARCH("Republic of Ireland",S1976)),"Ireland",
ISNUMBER(SEARCH("Republic of Korea",S1976)),"South Korea",
ISNUMBER(SEARCH("Cape Verde",S1976)),"Cabo Verde",
ISNUMBER(SEARCH("Czechia",S1976)),"Czech Republic",
ISNUMBER(SEARCH("Türkiye",S1976)),"Turkey",
ISNUMBER(SEARCH("Ivory Coast",S1976)),"Côte d'Ivoire",
ISNUMBER(SEARCH("Korea Republic",S1976)),"South Korea",
ISNUMBER(SEARCH("Germany FR",S1976)),"FR Germany",
ISNUMBER(SEARCH("West Germany",S1976)),"FR Germany",
ISNUMBER(SEARCH("Germany DR",S1976)),"DR Germany",
ISNUMBER(SEARCH("Korea DPR",S1976)),"North Korea",
ISNUMBER(SEARCH("China PR",S1976)),"China",
ISNUMBER(SEARCH("IR Iran",S1976)),"Iran",
ISNUMBER(SEARCH("Congo DR",S1976)),"Democratic Republic of the Congo",
ISNUMBER(SEARCH("DR Congo",S1976)),"Democratic Republic of the Congo",
ISNUMBER(SEARCH("German DR",S1976)),"DR Germany",
ISNUMBER(SEARCH("rn""&gt;United Arab Emirates",S1976)),"United Arab Emirates",
ISNUMBER(SEARCH("rn""&gt;Republic of Ireland",S1976)),"Ireland",
ISNUMBER(SEARCH("rn""&gt;Bosnia and Herzegovina",S1976)),"Bosnia and Herzegovina",
ISNUMBER(SEARCH("rn""&gt;Trinidad and Tobago",S1976)),"Trinidad and Tobago",
ISNUMBER(SEARCH("rn""&gt;Serbia and Montenegro",S1976)),"Serbia and Montenegro",
ISNUMBER(SEARCH(_xlfn.UNICHAR(65533),S1976)),"Côte d'Ivoire",
TRUE,""
)</f>
        <v/>
      </c>
      <c r="W1976" s="12" t="str">
        <f t="shared" si="153"/>
        <v>France</v>
      </c>
    </row>
    <row r="1977" spans="2:23">
      <c r="B1977" s="76" t="str">
        <v>1978.0</v>
      </c>
      <c r="C1977" s="42" t="str">
        <v xml:space="preserve">10 Jun 1978 - 16:45 </v>
      </c>
      <c r="D1977" s="42" t="str">
        <v>Group 2</v>
      </c>
      <c r="E1977" s="42" t="str">
        <v>Estadio Ol�mpico Chateau Carreras</v>
      </c>
      <c r="F1977" s="42" t="str">
        <v xml:space="preserve">Cordoba </v>
      </c>
      <c r="G1977" s="42" t="str">
        <v>Germany FR</v>
      </c>
      <c r="H1977" s="42" t="str">
        <v>0.0</v>
      </c>
      <c r="I1977" s="42" t="str">
        <v>0.0</v>
      </c>
      <c r="J1977" s="42" t="str">
        <v>Tunisia</v>
      </c>
      <c r="K1977" s="42" t="str">
        <v xml:space="preserve"> </v>
      </c>
      <c r="L1977" s="42" t="str">
        <f t="shared" si="150"/>
        <v xml:space="preserve">1978.0|10 Jun 1978 - 16:45 |Group 2|Estadio Ol�mpico Chateau Carreras|Cordoba |Germany FR|0.0|0.0|Tunisia| </v>
      </c>
      <c r="M1977" s="42" t="str">
        <f>IF(COUNTIF($L$1689:L1977,L1977)&gt;1,"DOUBLON","OK")</f>
        <v>OK</v>
      </c>
      <c r="S1977" s="12" t="str">
        <v>France</v>
      </c>
      <c r="T1977" s="12" t="str">
        <f t="shared" si="151"/>
        <v>OK</v>
      </c>
      <c r="U1977" s="12" t="str">
        <f t="shared" si="152"/>
        <v>-</v>
      </c>
      <c r="V1977" s="12" t="str" cm="1">
        <f t="array" ref="V1977">_xlfn.IFS(
ISNUMBER(SEARCH("USA",S1977)),"United States",
ISNUMBER(SEARCH("Republic of Ireland",S1977)),"Ireland",
ISNUMBER(SEARCH("Republic of Korea",S1977)),"South Korea",
ISNUMBER(SEARCH("Cape Verde",S1977)),"Cabo Verde",
ISNUMBER(SEARCH("Czechia",S1977)),"Czech Republic",
ISNUMBER(SEARCH("Türkiye",S1977)),"Turkey",
ISNUMBER(SEARCH("Ivory Coast",S1977)),"Côte d'Ivoire",
ISNUMBER(SEARCH("Korea Republic",S1977)),"South Korea",
ISNUMBER(SEARCH("Germany FR",S1977)),"FR Germany",
ISNUMBER(SEARCH("West Germany",S1977)),"FR Germany",
ISNUMBER(SEARCH("Germany DR",S1977)),"DR Germany",
ISNUMBER(SEARCH("Korea DPR",S1977)),"North Korea",
ISNUMBER(SEARCH("China PR",S1977)),"China",
ISNUMBER(SEARCH("IR Iran",S1977)),"Iran",
ISNUMBER(SEARCH("Congo DR",S1977)),"Democratic Republic of the Congo",
ISNUMBER(SEARCH("DR Congo",S1977)),"Democratic Republic of the Congo",
ISNUMBER(SEARCH("German DR",S1977)),"DR Germany",
ISNUMBER(SEARCH("rn""&gt;United Arab Emirates",S1977)),"United Arab Emirates",
ISNUMBER(SEARCH("rn""&gt;Republic of Ireland",S1977)),"Ireland",
ISNUMBER(SEARCH("rn""&gt;Bosnia and Herzegovina",S1977)),"Bosnia and Herzegovina",
ISNUMBER(SEARCH("rn""&gt;Trinidad and Tobago",S1977)),"Trinidad and Tobago",
ISNUMBER(SEARCH("rn""&gt;Serbia and Montenegro",S1977)),"Serbia and Montenegro",
ISNUMBER(SEARCH(_xlfn.UNICHAR(65533),S1977)),"Côte d'Ivoire",
TRUE,""
)</f>
        <v/>
      </c>
      <c r="W1977" s="12" t="str">
        <f t="shared" si="153"/>
        <v>France</v>
      </c>
    </row>
    <row r="1978" spans="2:23">
      <c r="B1978" s="76" t="str">
        <v>1978.0</v>
      </c>
      <c r="C1978" s="42" t="str">
        <v xml:space="preserve">10 Jun 1978 - 19:15 </v>
      </c>
      <c r="D1978" s="42" t="str">
        <v>Group 1</v>
      </c>
      <c r="E1978" s="42" t="str">
        <v>El Monumental - Estadio Monumental Antonio Vespuci</v>
      </c>
      <c r="F1978" s="42" t="str">
        <v xml:space="preserve">Buenos Aires </v>
      </c>
      <c r="G1978" s="42" t="str">
        <v>Italy</v>
      </c>
      <c r="H1978" s="42" t="str">
        <v>1.0</v>
      </c>
      <c r="I1978" s="42" t="str">
        <v>0.0</v>
      </c>
      <c r="J1978" s="42" t="str">
        <v>Argentina</v>
      </c>
      <c r="K1978" s="42" t="str">
        <v xml:space="preserve"> </v>
      </c>
      <c r="L1978" s="42" t="str">
        <f t="shared" si="150"/>
        <v xml:space="preserve">1978.0|10 Jun 1978 - 19:15 |Group 1|El Monumental - Estadio Monumental Antonio Vespuci|Buenos Aires |Italy|1.0|0.0|Argentina| </v>
      </c>
      <c r="M1978" s="42" t="str">
        <f>IF(COUNTIF($L$1689:L1978,L1978)&gt;1,"DOUBLON","OK")</f>
        <v>OK</v>
      </c>
      <c r="S1978" s="12" t="str">
        <v>France</v>
      </c>
      <c r="T1978" s="12" t="str">
        <f t="shared" si="151"/>
        <v>OK</v>
      </c>
      <c r="U1978" s="12" t="str">
        <f t="shared" si="152"/>
        <v>-</v>
      </c>
      <c r="V1978" s="12" t="str" cm="1">
        <f t="array" ref="V1978">_xlfn.IFS(
ISNUMBER(SEARCH("USA",S1978)),"United States",
ISNUMBER(SEARCH("Republic of Ireland",S1978)),"Ireland",
ISNUMBER(SEARCH("Republic of Korea",S1978)),"South Korea",
ISNUMBER(SEARCH("Cape Verde",S1978)),"Cabo Verde",
ISNUMBER(SEARCH("Czechia",S1978)),"Czech Republic",
ISNUMBER(SEARCH("Türkiye",S1978)),"Turkey",
ISNUMBER(SEARCH("Ivory Coast",S1978)),"Côte d'Ivoire",
ISNUMBER(SEARCH("Korea Republic",S1978)),"South Korea",
ISNUMBER(SEARCH("Germany FR",S1978)),"FR Germany",
ISNUMBER(SEARCH("West Germany",S1978)),"FR Germany",
ISNUMBER(SEARCH("Germany DR",S1978)),"DR Germany",
ISNUMBER(SEARCH("Korea DPR",S1978)),"North Korea",
ISNUMBER(SEARCH("China PR",S1978)),"China",
ISNUMBER(SEARCH("IR Iran",S1978)),"Iran",
ISNUMBER(SEARCH("Congo DR",S1978)),"Democratic Republic of the Congo",
ISNUMBER(SEARCH("DR Congo",S1978)),"Democratic Republic of the Congo",
ISNUMBER(SEARCH("German DR",S1978)),"DR Germany",
ISNUMBER(SEARCH("rn""&gt;United Arab Emirates",S1978)),"United Arab Emirates",
ISNUMBER(SEARCH("rn""&gt;Republic of Ireland",S1978)),"Ireland",
ISNUMBER(SEARCH("rn""&gt;Bosnia and Herzegovina",S1978)),"Bosnia and Herzegovina",
ISNUMBER(SEARCH("rn""&gt;Trinidad and Tobago",S1978)),"Trinidad and Tobago",
ISNUMBER(SEARCH("rn""&gt;Serbia and Montenegro",S1978)),"Serbia and Montenegro",
ISNUMBER(SEARCH(_xlfn.UNICHAR(65533),S1978)),"Côte d'Ivoire",
TRUE,""
)</f>
        <v/>
      </c>
      <c r="W1978" s="12" t="str">
        <f t="shared" si="153"/>
        <v>France</v>
      </c>
    </row>
    <row r="1979" spans="2:23">
      <c r="B1979" s="76" t="str">
        <v>1978.0</v>
      </c>
      <c r="C1979" s="42" t="str">
        <v xml:space="preserve">11 Jun 1978 - 13:45 </v>
      </c>
      <c r="D1979" s="42" t="str">
        <v>Group 3</v>
      </c>
      <c r="E1979" s="42" t="str">
        <v>Estadio Jos� Mar�a Minella</v>
      </c>
      <c r="F1979" s="42" t="str">
        <v xml:space="preserve">Mar Del Plata </v>
      </c>
      <c r="G1979" s="42" t="str">
        <v>Brazil</v>
      </c>
      <c r="H1979" s="42" t="str">
        <v>1.0</v>
      </c>
      <c r="I1979" s="42" t="str">
        <v>0.0</v>
      </c>
      <c r="J1979" s="42" t="str">
        <v>Austria</v>
      </c>
      <c r="K1979" s="42" t="str">
        <v xml:space="preserve"> </v>
      </c>
      <c r="L1979" s="42" t="str">
        <f t="shared" si="150"/>
        <v xml:space="preserve">1978.0|11 Jun 1978 - 13:45 |Group 3|Estadio Jos� Mar�a Minella|Mar Del Plata |Brazil|1.0|0.0|Austria| </v>
      </c>
      <c r="M1979" s="42" t="str">
        <f>IF(COUNTIF($L$1689:L1979,L1979)&gt;1,"DOUBLON","OK")</f>
        <v>OK</v>
      </c>
      <c r="S1979" s="12" t="str">
        <v>Iraq</v>
      </c>
      <c r="T1979" s="12" t="str">
        <f t="shared" si="151"/>
        <v>OK</v>
      </c>
      <c r="U1979" s="12" t="str">
        <f t="shared" si="152"/>
        <v>-</v>
      </c>
      <c r="V1979" s="12" t="str" cm="1">
        <f t="array" ref="V1979">_xlfn.IFS(
ISNUMBER(SEARCH("USA",S1979)),"United States",
ISNUMBER(SEARCH("Republic of Ireland",S1979)),"Ireland",
ISNUMBER(SEARCH("Republic of Korea",S1979)),"South Korea",
ISNUMBER(SEARCH("Cape Verde",S1979)),"Cabo Verde",
ISNUMBER(SEARCH("Czechia",S1979)),"Czech Republic",
ISNUMBER(SEARCH("Türkiye",S1979)),"Turkey",
ISNUMBER(SEARCH("Ivory Coast",S1979)),"Côte d'Ivoire",
ISNUMBER(SEARCH("Korea Republic",S1979)),"South Korea",
ISNUMBER(SEARCH("Germany FR",S1979)),"FR Germany",
ISNUMBER(SEARCH("West Germany",S1979)),"FR Germany",
ISNUMBER(SEARCH("Germany DR",S1979)),"DR Germany",
ISNUMBER(SEARCH("Korea DPR",S1979)),"North Korea",
ISNUMBER(SEARCH("China PR",S1979)),"China",
ISNUMBER(SEARCH("IR Iran",S1979)),"Iran",
ISNUMBER(SEARCH("Congo DR",S1979)),"Democratic Republic of the Congo",
ISNUMBER(SEARCH("DR Congo",S1979)),"Democratic Republic of the Congo",
ISNUMBER(SEARCH("German DR",S1979)),"DR Germany",
ISNUMBER(SEARCH("rn""&gt;United Arab Emirates",S1979)),"United Arab Emirates",
ISNUMBER(SEARCH("rn""&gt;Republic of Ireland",S1979)),"Ireland",
ISNUMBER(SEARCH("rn""&gt;Bosnia and Herzegovina",S1979)),"Bosnia and Herzegovina",
ISNUMBER(SEARCH("rn""&gt;Trinidad and Tobago",S1979)),"Trinidad and Tobago",
ISNUMBER(SEARCH("rn""&gt;Serbia and Montenegro",S1979)),"Serbia and Montenegro",
ISNUMBER(SEARCH(_xlfn.UNICHAR(65533),S1979)),"Côte d'Ivoire",
TRUE,""
)</f>
        <v/>
      </c>
      <c r="W1979" s="12" t="str">
        <f t="shared" si="153"/>
        <v>Iraq</v>
      </c>
    </row>
    <row r="1980" spans="2:23">
      <c r="B1980" s="76" t="str">
        <v>1978.0</v>
      </c>
      <c r="C1980" s="42" t="str">
        <v xml:space="preserve">11 Jun 1978 - 13:45 </v>
      </c>
      <c r="D1980" s="42" t="str">
        <v>Group 3</v>
      </c>
      <c r="E1980" s="42" t="str">
        <v>Jose Amalfitani</v>
      </c>
      <c r="F1980" s="42" t="str">
        <v xml:space="preserve">Buenos Aires </v>
      </c>
      <c r="G1980" s="42" t="str">
        <v>Spain</v>
      </c>
      <c r="H1980" s="42" t="str">
        <v>1.0</v>
      </c>
      <c r="I1980" s="42" t="str">
        <v>0.0</v>
      </c>
      <c r="J1980" s="42" t="str">
        <v>Sweden</v>
      </c>
      <c r="K1980" s="42" t="str">
        <v xml:space="preserve"> </v>
      </c>
      <c r="L1980" s="42" t="str">
        <f t="shared" si="150"/>
        <v xml:space="preserve">1978.0|11 Jun 1978 - 13:45 |Group 3|Jose Amalfitani|Buenos Aires |Spain|1.0|0.0|Sweden| </v>
      </c>
      <c r="M1980" s="42" t="str">
        <f>IF(COUNTIF($L$1689:L1980,L1980)&gt;1,"DOUBLON","OK")</f>
        <v>OK</v>
      </c>
      <c r="S1980" s="12" t="str">
        <v>Iraq</v>
      </c>
      <c r="T1980" s="12" t="str">
        <f t="shared" si="151"/>
        <v>OK</v>
      </c>
      <c r="U1980" s="12" t="str">
        <f t="shared" si="152"/>
        <v>-</v>
      </c>
      <c r="V1980" s="12" t="str" cm="1">
        <f t="array" ref="V1980">_xlfn.IFS(
ISNUMBER(SEARCH("USA",S1980)),"United States",
ISNUMBER(SEARCH("Republic of Ireland",S1980)),"Ireland",
ISNUMBER(SEARCH("Republic of Korea",S1980)),"South Korea",
ISNUMBER(SEARCH("Cape Verde",S1980)),"Cabo Verde",
ISNUMBER(SEARCH("Czechia",S1980)),"Czech Republic",
ISNUMBER(SEARCH("Türkiye",S1980)),"Turkey",
ISNUMBER(SEARCH("Ivory Coast",S1980)),"Côte d'Ivoire",
ISNUMBER(SEARCH("Korea Republic",S1980)),"South Korea",
ISNUMBER(SEARCH("Germany FR",S1980)),"FR Germany",
ISNUMBER(SEARCH("West Germany",S1980)),"FR Germany",
ISNUMBER(SEARCH("Germany DR",S1980)),"DR Germany",
ISNUMBER(SEARCH("Korea DPR",S1980)),"North Korea",
ISNUMBER(SEARCH("China PR",S1980)),"China",
ISNUMBER(SEARCH("IR Iran",S1980)),"Iran",
ISNUMBER(SEARCH("Congo DR",S1980)),"Democratic Republic of the Congo",
ISNUMBER(SEARCH("DR Congo",S1980)),"Democratic Republic of the Congo",
ISNUMBER(SEARCH("German DR",S1980)),"DR Germany",
ISNUMBER(SEARCH("rn""&gt;United Arab Emirates",S1980)),"United Arab Emirates",
ISNUMBER(SEARCH("rn""&gt;Republic of Ireland",S1980)),"Ireland",
ISNUMBER(SEARCH("rn""&gt;Bosnia and Herzegovina",S1980)),"Bosnia and Herzegovina",
ISNUMBER(SEARCH("rn""&gt;Trinidad and Tobago",S1980)),"Trinidad and Tobago",
ISNUMBER(SEARCH("rn""&gt;Serbia and Montenegro",S1980)),"Serbia and Montenegro",
ISNUMBER(SEARCH(_xlfn.UNICHAR(65533),S1980)),"Côte d'Ivoire",
TRUE,""
)</f>
        <v/>
      </c>
      <c r="W1980" s="12" t="str">
        <f t="shared" si="153"/>
        <v>Iraq</v>
      </c>
    </row>
    <row r="1981" spans="2:23">
      <c r="B1981" s="76" t="str">
        <v>1978.0</v>
      </c>
      <c r="C1981" s="42" t="str">
        <v xml:space="preserve">11 Jun 1978 - 16:45 </v>
      </c>
      <c r="D1981" s="42" t="str">
        <v>Group 4</v>
      </c>
      <c r="E1981" s="42" t="str">
        <v>Estadio Ol�mpico Chateau Carreras</v>
      </c>
      <c r="F1981" s="42" t="str">
        <v xml:space="preserve">Cordoba </v>
      </c>
      <c r="G1981" s="42" t="str">
        <v>Peru</v>
      </c>
      <c r="H1981" s="42" t="str">
        <v>4.0</v>
      </c>
      <c r="I1981" s="42" t="str">
        <v>1.0</v>
      </c>
      <c r="J1981" s="42" t="str">
        <v>Iran</v>
      </c>
      <c r="K1981" s="42" t="str">
        <v xml:space="preserve"> </v>
      </c>
      <c r="L1981" s="42" t="str">
        <f t="shared" si="150"/>
        <v xml:space="preserve">1978.0|11 Jun 1978 - 16:45 |Group 4|Estadio Ol�mpico Chateau Carreras|Cordoba |Peru|4.0|1.0|Iran| </v>
      </c>
      <c r="M1981" s="42" t="str">
        <f>IF(COUNTIF($L$1689:L1981,L1981)&gt;1,"DOUBLON","OK")</f>
        <v>OK</v>
      </c>
      <c r="S1981" s="12" t="str">
        <v>Iraq</v>
      </c>
      <c r="T1981" s="12" t="str">
        <f t="shared" si="151"/>
        <v>OK</v>
      </c>
      <c r="U1981" s="12" t="str">
        <f t="shared" si="152"/>
        <v>-</v>
      </c>
      <c r="V1981" s="12" t="str" cm="1">
        <f t="array" ref="V1981">_xlfn.IFS(
ISNUMBER(SEARCH("USA",S1981)),"United States",
ISNUMBER(SEARCH("Republic of Ireland",S1981)),"Ireland",
ISNUMBER(SEARCH("Republic of Korea",S1981)),"South Korea",
ISNUMBER(SEARCH("Cape Verde",S1981)),"Cabo Verde",
ISNUMBER(SEARCH("Czechia",S1981)),"Czech Republic",
ISNUMBER(SEARCH("Türkiye",S1981)),"Turkey",
ISNUMBER(SEARCH("Ivory Coast",S1981)),"Côte d'Ivoire",
ISNUMBER(SEARCH("Korea Republic",S1981)),"South Korea",
ISNUMBER(SEARCH("Germany FR",S1981)),"FR Germany",
ISNUMBER(SEARCH("West Germany",S1981)),"FR Germany",
ISNUMBER(SEARCH("Germany DR",S1981)),"DR Germany",
ISNUMBER(SEARCH("Korea DPR",S1981)),"North Korea",
ISNUMBER(SEARCH("China PR",S1981)),"China",
ISNUMBER(SEARCH("IR Iran",S1981)),"Iran",
ISNUMBER(SEARCH("Congo DR",S1981)),"Democratic Republic of the Congo",
ISNUMBER(SEARCH("DR Congo",S1981)),"Democratic Republic of the Congo",
ISNUMBER(SEARCH("German DR",S1981)),"DR Germany",
ISNUMBER(SEARCH("rn""&gt;United Arab Emirates",S1981)),"United Arab Emirates",
ISNUMBER(SEARCH("rn""&gt;Republic of Ireland",S1981)),"Ireland",
ISNUMBER(SEARCH("rn""&gt;Bosnia and Herzegovina",S1981)),"Bosnia and Herzegovina",
ISNUMBER(SEARCH("rn""&gt;Trinidad and Tobago",S1981)),"Trinidad and Tobago",
ISNUMBER(SEARCH("rn""&gt;Serbia and Montenegro",S1981)),"Serbia and Montenegro",
ISNUMBER(SEARCH(_xlfn.UNICHAR(65533),S1981)),"Côte d'Ivoire",
TRUE,""
)</f>
        <v/>
      </c>
      <c r="W1981" s="12" t="str">
        <f t="shared" si="153"/>
        <v>Iraq</v>
      </c>
    </row>
    <row r="1982" spans="2:23">
      <c r="B1982" s="76" t="str">
        <v>1978.0</v>
      </c>
      <c r="C1982" s="42" t="str">
        <v xml:space="preserve">11 Jun 1978 - 16:45 </v>
      </c>
      <c r="D1982" s="42" t="str">
        <v>Group 4</v>
      </c>
      <c r="E1982" s="42" t="str">
        <v>San Martin</v>
      </c>
      <c r="F1982" s="42" t="str">
        <v xml:space="preserve">Mendoza </v>
      </c>
      <c r="G1982" s="42" t="str">
        <v>Scotland</v>
      </c>
      <c r="H1982" s="42" t="str">
        <v>3.0</v>
      </c>
      <c r="I1982" s="42" t="str">
        <v>2.0</v>
      </c>
      <c r="J1982" s="42" t="str">
        <v>Netherlands</v>
      </c>
      <c r="K1982" s="42" t="str">
        <v xml:space="preserve"> </v>
      </c>
      <c r="L1982" s="42" t="str">
        <f t="shared" si="150"/>
        <v xml:space="preserve">1978.0|11 Jun 1978 - 16:45 |Group 4|San Martin|Mendoza |Scotland|3.0|2.0|Netherlands| </v>
      </c>
      <c r="M1982" s="42" t="str">
        <f>IF(COUNTIF($L$1689:L1982,L1982)&gt;1,"DOUBLON","OK")</f>
        <v>OK</v>
      </c>
      <c r="S1982" s="12" t="str">
        <v>Iraq</v>
      </c>
      <c r="T1982" s="12" t="str">
        <f t="shared" si="151"/>
        <v>OK</v>
      </c>
      <c r="U1982" s="12" t="str">
        <f t="shared" si="152"/>
        <v>-</v>
      </c>
      <c r="V1982" s="12" t="str" cm="1">
        <f t="array" ref="V1982">_xlfn.IFS(
ISNUMBER(SEARCH("USA",S1982)),"United States",
ISNUMBER(SEARCH("Republic of Ireland",S1982)),"Ireland",
ISNUMBER(SEARCH("Republic of Korea",S1982)),"South Korea",
ISNUMBER(SEARCH("Cape Verde",S1982)),"Cabo Verde",
ISNUMBER(SEARCH("Czechia",S1982)),"Czech Republic",
ISNUMBER(SEARCH("Türkiye",S1982)),"Turkey",
ISNUMBER(SEARCH("Ivory Coast",S1982)),"Côte d'Ivoire",
ISNUMBER(SEARCH("Korea Republic",S1982)),"South Korea",
ISNUMBER(SEARCH("Germany FR",S1982)),"FR Germany",
ISNUMBER(SEARCH("West Germany",S1982)),"FR Germany",
ISNUMBER(SEARCH("Germany DR",S1982)),"DR Germany",
ISNUMBER(SEARCH("Korea DPR",S1982)),"North Korea",
ISNUMBER(SEARCH("China PR",S1982)),"China",
ISNUMBER(SEARCH("IR Iran",S1982)),"Iran",
ISNUMBER(SEARCH("Congo DR",S1982)),"Democratic Republic of the Congo",
ISNUMBER(SEARCH("DR Congo",S1982)),"Democratic Republic of the Congo",
ISNUMBER(SEARCH("German DR",S1982)),"DR Germany",
ISNUMBER(SEARCH("rn""&gt;United Arab Emirates",S1982)),"United Arab Emirates",
ISNUMBER(SEARCH("rn""&gt;Republic of Ireland",S1982)),"Ireland",
ISNUMBER(SEARCH("rn""&gt;Bosnia and Herzegovina",S1982)),"Bosnia and Herzegovina",
ISNUMBER(SEARCH("rn""&gt;Trinidad and Tobago",S1982)),"Trinidad and Tobago",
ISNUMBER(SEARCH("rn""&gt;Serbia and Montenegro",S1982)),"Serbia and Montenegro",
ISNUMBER(SEARCH(_xlfn.UNICHAR(65533),S1982)),"Côte d'Ivoire",
TRUE,""
)</f>
        <v/>
      </c>
      <c r="W1982" s="12" t="str">
        <f t="shared" si="153"/>
        <v>Iraq</v>
      </c>
    </row>
    <row r="1983" spans="2:23">
      <c r="B1983" s="76" t="str">
        <v>1978.0</v>
      </c>
      <c r="C1983" s="42" t="str">
        <v xml:space="preserve">14 Jun 1978 - 13:45 </v>
      </c>
      <c r="D1983" s="42" t="str">
        <v>Group A</v>
      </c>
      <c r="E1983" s="42" t="str">
        <v>El Monumental - Estadio Monumental Antonio Vespuci</v>
      </c>
      <c r="F1983" s="42" t="str">
        <v xml:space="preserve">Buenos Aires </v>
      </c>
      <c r="G1983" s="42" t="str">
        <v>Germany FR</v>
      </c>
      <c r="H1983" s="42" t="str">
        <v>0.0</v>
      </c>
      <c r="I1983" s="42" t="str">
        <v>0.0</v>
      </c>
      <c r="J1983" s="42" t="str">
        <v>Italy</v>
      </c>
      <c r="K1983" s="42" t="str">
        <v xml:space="preserve"> </v>
      </c>
      <c r="L1983" s="42" t="str">
        <f t="shared" si="150"/>
        <v xml:space="preserve">1978.0|14 Jun 1978 - 13:45 |Group A|El Monumental - Estadio Monumental Antonio Vespuci|Buenos Aires |Germany FR|0.0|0.0|Italy| </v>
      </c>
      <c r="M1983" s="42" t="str">
        <f>IF(COUNTIF($L$1689:L1983,L1983)&gt;1,"DOUBLON","OK")</f>
        <v>OK</v>
      </c>
      <c r="S1983" s="12" t="str">
        <v>Iraq</v>
      </c>
      <c r="T1983" s="12" t="str">
        <f t="shared" si="151"/>
        <v>OK</v>
      </c>
      <c r="U1983" s="12" t="str">
        <f t="shared" si="152"/>
        <v>-</v>
      </c>
      <c r="V1983" s="12" t="str" cm="1">
        <f t="array" ref="V1983">_xlfn.IFS(
ISNUMBER(SEARCH("USA",S1983)),"United States",
ISNUMBER(SEARCH("Republic of Ireland",S1983)),"Ireland",
ISNUMBER(SEARCH("Republic of Korea",S1983)),"South Korea",
ISNUMBER(SEARCH("Cape Verde",S1983)),"Cabo Verde",
ISNUMBER(SEARCH("Czechia",S1983)),"Czech Republic",
ISNUMBER(SEARCH("Türkiye",S1983)),"Turkey",
ISNUMBER(SEARCH("Ivory Coast",S1983)),"Côte d'Ivoire",
ISNUMBER(SEARCH("Korea Republic",S1983)),"South Korea",
ISNUMBER(SEARCH("Germany FR",S1983)),"FR Germany",
ISNUMBER(SEARCH("West Germany",S1983)),"FR Germany",
ISNUMBER(SEARCH("Germany DR",S1983)),"DR Germany",
ISNUMBER(SEARCH("Korea DPR",S1983)),"North Korea",
ISNUMBER(SEARCH("China PR",S1983)),"China",
ISNUMBER(SEARCH("IR Iran",S1983)),"Iran",
ISNUMBER(SEARCH("Congo DR",S1983)),"Democratic Republic of the Congo",
ISNUMBER(SEARCH("DR Congo",S1983)),"Democratic Republic of the Congo",
ISNUMBER(SEARCH("German DR",S1983)),"DR Germany",
ISNUMBER(SEARCH("rn""&gt;United Arab Emirates",S1983)),"United Arab Emirates",
ISNUMBER(SEARCH("rn""&gt;Republic of Ireland",S1983)),"Ireland",
ISNUMBER(SEARCH("rn""&gt;Bosnia and Herzegovina",S1983)),"Bosnia and Herzegovina",
ISNUMBER(SEARCH("rn""&gt;Trinidad and Tobago",S1983)),"Trinidad and Tobago",
ISNUMBER(SEARCH("rn""&gt;Serbia and Montenegro",S1983)),"Serbia and Montenegro",
ISNUMBER(SEARCH(_xlfn.UNICHAR(65533),S1983)),"Côte d'Ivoire",
TRUE,""
)</f>
        <v/>
      </c>
      <c r="W1983" s="12" t="str">
        <f t="shared" si="153"/>
        <v>Iraq</v>
      </c>
    </row>
    <row r="1984" spans="2:23">
      <c r="B1984" s="76" t="str">
        <v>1978.0</v>
      </c>
      <c r="C1984" s="42" t="str">
        <v xml:space="preserve">14 Jun 1978 - 13:45 </v>
      </c>
      <c r="D1984" s="42" t="str">
        <v>Group A</v>
      </c>
      <c r="E1984" s="42" t="str">
        <v>Estadio Ol�mpico Chateau Carreras</v>
      </c>
      <c r="F1984" s="42" t="str">
        <v xml:space="preserve">Cordoba </v>
      </c>
      <c r="G1984" s="42" t="str">
        <v>Netherlands</v>
      </c>
      <c r="H1984" s="42" t="str">
        <v>5.0</v>
      </c>
      <c r="I1984" s="42" t="str">
        <v>1.0</v>
      </c>
      <c r="J1984" s="42" t="str">
        <v>Austria</v>
      </c>
      <c r="K1984" s="42" t="str">
        <v xml:space="preserve"> </v>
      </c>
      <c r="L1984" s="42" t="str">
        <f t="shared" si="150"/>
        <v xml:space="preserve">1978.0|14 Jun 1978 - 13:45 |Group A|Estadio Ol�mpico Chateau Carreras|Cordoba |Netherlands|5.0|1.0|Austria| </v>
      </c>
      <c r="M1984" s="42" t="str">
        <f>IF(COUNTIF($L$1689:L1984,L1984)&gt;1,"DOUBLON","OK")</f>
        <v>OK</v>
      </c>
      <c r="S1984" s="12" t="str">
        <v>Iraq</v>
      </c>
      <c r="T1984" s="12" t="str">
        <f t="shared" si="151"/>
        <v>OK</v>
      </c>
      <c r="U1984" s="12" t="str">
        <f t="shared" si="152"/>
        <v>-</v>
      </c>
      <c r="V1984" s="12" t="str" cm="1">
        <f t="array" ref="V1984">_xlfn.IFS(
ISNUMBER(SEARCH("USA",S1984)),"United States",
ISNUMBER(SEARCH("Republic of Ireland",S1984)),"Ireland",
ISNUMBER(SEARCH("Republic of Korea",S1984)),"South Korea",
ISNUMBER(SEARCH("Cape Verde",S1984)),"Cabo Verde",
ISNUMBER(SEARCH("Czechia",S1984)),"Czech Republic",
ISNUMBER(SEARCH("Türkiye",S1984)),"Turkey",
ISNUMBER(SEARCH("Ivory Coast",S1984)),"Côte d'Ivoire",
ISNUMBER(SEARCH("Korea Republic",S1984)),"South Korea",
ISNUMBER(SEARCH("Germany FR",S1984)),"FR Germany",
ISNUMBER(SEARCH("West Germany",S1984)),"FR Germany",
ISNUMBER(SEARCH("Germany DR",S1984)),"DR Germany",
ISNUMBER(SEARCH("Korea DPR",S1984)),"North Korea",
ISNUMBER(SEARCH("China PR",S1984)),"China",
ISNUMBER(SEARCH("IR Iran",S1984)),"Iran",
ISNUMBER(SEARCH("Congo DR",S1984)),"Democratic Republic of the Congo",
ISNUMBER(SEARCH("DR Congo",S1984)),"Democratic Republic of the Congo",
ISNUMBER(SEARCH("German DR",S1984)),"DR Germany",
ISNUMBER(SEARCH("rn""&gt;United Arab Emirates",S1984)),"United Arab Emirates",
ISNUMBER(SEARCH("rn""&gt;Republic of Ireland",S1984)),"Ireland",
ISNUMBER(SEARCH("rn""&gt;Bosnia and Herzegovina",S1984)),"Bosnia and Herzegovina",
ISNUMBER(SEARCH("rn""&gt;Trinidad and Tobago",S1984)),"Trinidad and Tobago",
ISNUMBER(SEARCH("rn""&gt;Serbia and Montenegro",S1984)),"Serbia and Montenegro",
ISNUMBER(SEARCH(_xlfn.UNICHAR(65533),S1984)),"Côte d'Ivoire",
TRUE,""
)</f>
        <v/>
      </c>
      <c r="W1984" s="12" t="str">
        <f t="shared" si="153"/>
        <v>Iraq</v>
      </c>
    </row>
    <row r="1985" spans="2:23">
      <c r="B1985" s="76" t="str">
        <v>1978.0</v>
      </c>
      <c r="C1985" s="42" t="str">
        <v xml:space="preserve">14 Jun 1978 - 16:45 </v>
      </c>
      <c r="D1985" s="42" t="str">
        <v>Group B</v>
      </c>
      <c r="E1985" s="42" t="str">
        <v>San Martin</v>
      </c>
      <c r="F1985" s="42" t="str">
        <v xml:space="preserve">Mendoza </v>
      </c>
      <c r="G1985" s="42" t="str">
        <v>Brazil</v>
      </c>
      <c r="H1985" s="42" t="str">
        <v>3.0</v>
      </c>
      <c r="I1985" s="42" t="str">
        <v>0.0</v>
      </c>
      <c r="J1985" s="42" t="str">
        <v>Peru</v>
      </c>
      <c r="K1985" s="42" t="str">
        <v xml:space="preserve"> </v>
      </c>
      <c r="L1985" s="42" t="str">
        <f t="shared" si="150"/>
        <v xml:space="preserve">1978.0|14 Jun 1978 - 16:45 |Group B|San Martin|Mendoza |Brazil|3.0|0.0|Peru| </v>
      </c>
      <c r="M1985" s="42" t="str">
        <f>IF(COUNTIF($L$1689:L1985,L1985)&gt;1,"DOUBLON","OK")</f>
        <v>OK</v>
      </c>
      <c r="S1985" s="12" t="str">
        <v>Iraq</v>
      </c>
      <c r="T1985" s="12" t="str">
        <f t="shared" si="151"/>
        <v>OK</v>
      </c>
      <c r="U1985" s="12" t="str">
        <f t="shared" si="152"/>
        <v>-</v>
      </c>
      <c r="V1985" s="12" t="str" cm="1">
        <f t="array" ref="V1985">_xlfn.IFS(
ISNUMBER(SEARCH("USA",S1985)),"United States",
ISNUMBER(SEARCH("Republic of Ireland",S1985)),"Ireland",
ISNUMBER(SEARCH("Republic of Korea",S1985)),"South Korea",
ISNUMBER(SEARCH("Cape Verde",S1985)),"Cabo Verde",
ISNUMBER(SEARCH("Czechia",S1985)),"Czech Republic",
ISNUMBER(SEARCH("Türkiye",S1985)),"Turkey",
ISNUMBER(SEARCH("Ivory Coast",S1985)),"Côte d'Ivoire",
ISNUMBER(SEARCH("Korea Republic",S1985)),"South Korea",
ISNUMBER(SEARCH("Germany FR",S1985)),"FR Germany",
ISNUMBER(SEARCH("West Germany",S1985)),"FR Germany",
ISNUMBER(SEARCH("Germany DR",S1985)),"DR Germany",
ISNUMBER(SEARCH("Korea DPR",S1985)),"North Korea",
ISNUMBER(SEARCH("China PR",S1985)),"China",
ISNUMBER(SEARCH("IR Iran",S1985)),"Iran",
ISNUMBER(SEARCH("Congo DR",S1985)),"Democratic Republic of the Congo",
ISNUMBER(SEARCH("DR Congo",S1985)),"Democratic Republic of the Congo",
ISNUMBER(SEARCH("German DR",S1985)),"DR Germany",
ISNUMBER(SEARCH("rn""&gt;United Arab Emirates",S1985)),"United Arab Emirates",
ISNUMBER(SEARCH("rn""&gt;Republic of Ireland",S1985)),"Ireland",
ISNUMBER(SEARCH("rn""&gt;Bosnia and Herzegovina",S1985)),"Bosnia and Herzegovina",
ISNUMBER(SEARCH("rn""&gt;Trinidad and Tobago",S1985)),"Trinidad and Tobago",
ISNUMBER(SEARCH("rn""&gt;Serbia and Montenegro",S1985)),"Serbia and Montenegro",
ISNUMBER(SEARCH(_xlfn.UNICHAR(65533),S1985)),"Côte d'Ivoire",
TRUE,""
)</f>
        <v/>
      </c>
      <c r="W1985" s="12" t="str">
        <f t="shared" si="153"/>
        <v>Iraq</v>
      </c>
    </row>
    <row r="1986" spans="2:23">
      <c r="B1986" s="76" t="str">
        <v>1978.0</v>
      </c>
      <c r="C1986" s="42" t="str">
        <v xml:space="preserve">14 Jun 1978 - 19:15 </v>
      </c>
      <c r="D1986" s="42" t="str">
        <v>Group B</v>
      </c>
      <c r="E1986" s="42" t="str">
        <v>Arroyito - Estadio Dr. Lisandro de la Torre</v>
      </c>
      <c r="F1986" s="42" t="str">
        <v xml:space="preserve">Rosario </v>
      </c>
      <c r="G1986" s="42" t="str">
        <v>Argentina</v>
      </c>
      <c r="H1986" s="42" t="str">
        <v>2.0</v>
      </c>
      <c r="I1986" s="42" t="str">
        <v>0.0</v>
      </c>
      <c r="J1986" s="42" t="str">
        <v>Poland</v>
      </c>
      <c r="K1986" s="42" t="str">
        <v xml:space="preserve"> </v>
      </c>
      <c r="L1986" s="42" t="str">
        <f t="shared" si="150"/>
        <v xml:space="preserve">1978.0|14 Jun 1978 - 19:15 |Group B|Arroyito - Estadio Dr. Lisandro de la Torre|Rosario |Argentina|2.0|0.0|Poland| </v>
      </c>
      <c r="M1986" s="42" t="str">
        <f>IF(COUNTIF($L$1689:L1986,L1986)&gt;1,"DOUBLON","OK")</f>
        <v>OK</v>
      </c>
      <c r="S1986" s="12" t="str">
        <v>Iraq</v>
      </c>
      <c r="T1986" s="12" t="str">
        <f t="shared" si="151"/>
        <v>OK</v>
      </c>
      <c r="U1986" s="12" t="str">
        <f t="shared" si="152"/>
        <v>-</v>
      </c>
      <c r="V1986" s="12" t="str" cm="1">
        <f t="array" ref="V1986">_xlfn.IFS(
ISNUMBER(SEARCH("USA",S1986)),"United States",
ISNUMBER(SEARCH("Republic of Ireland",S1986)),"Ireland",
ISNUMBER(SEARCH("Republic of Korea",S1986)),"South Korea",
ISNUMBER(SEARCH("Cape Verde",S1986)),"Cabo Verde",
ISNUMBER(SEARCH("Czechia",S1986)),"Czech Republic",
ISNUMBER(SEARCH("Türkiye",S1986)),"Turkey",
ISNUMBER(SEARCH("Ivory Coast",S1986)),"Côte d'Ivoire",
ISNUMBER(SEARCH("Korea Republic",S1986)),"South Korea",
ISNUMBER(SEARCH("Germany FR",S1986)),"FR Germany",
ISNUMBER(SEARCH("West Germany",S1986)),"FR Germany",
ISNUMBER(SEARCH("Germany DR",S1986)),"DR Germany",
ISNUMBER(SEARCH("Korea DPR",S1986)),"North Korea",
ISNUMBER(SEARCH("China PR",S1986)),"China",
ISNUMBER(SEARCH("IR Iran",S1986)),"Iran",
ISNUMBER(SEARCH("Congo DR",S1986)),"Democratic Republic of the Congo",
ISNUMBER(SEARCH("DR Congo",S1986)),"Democratic Republic of the Congo",
ISNUMBER(SEARCH("German DR",S1986)),"DR Germany",
ISNUMBER(SEARCH("rn""&gt;United Arab Emirates",S1986)),"United Arab Emirates",
ISNUMBER(SEARCH("rn""&gt;Republic of Ireland",S1986)),"Ireland",
ISNUMBER(SEARCH("rn""&gt;Bosnia and Herzegovina",S1986)),"Bosnia and Herzegovina",
ISNUMBER(SEARCH("rn""&gt;Trinidad and Tobago",S1986)),"Trinidad and Tobago",
ISNUMBER(SEARCH("rn""&gt;Serbia and Montenegro",S1986)),"Serbia and Montenegro",
ISNUMBER(SEARCH(_xlfn.UNICHAR(65533),S1986)),"Côte d'Ivoire",
TRUE,""
)</f>
        <v/>
      </c>
      <c r="W1986" s="12" t="str">
        <f t="shared" si="153"/>
        <v>Iraq</v>
      </c>
    </row>
    <row r="1987" spans="2:23">
      <c r="B1987" s="76" t="str">
        <v>1978.0</v>
      </c>
      <c r="C1987" s="42" t="str">
        <v xml:space="preserve">18 Jun 1978 - 13:45 </v>
      </c>
      <c r="D1987" s="42" t="str">
        <v>Group B</v>
      </c>
      <c r="E1987" s="42" t="str">
        <v>San Martin</v>
      </c>
      <c r="F1987" s="42" t="str">
        <v xml:space="preserve">Mendoza </v>
      </c>
      <c r="G1987" s="42" t="str">
        <v>Poland</v>
      </c>
      <c r="H1987" s="42" t="str">
        <v>1.0</v>
      </c>
      <c r="I1987" s="42" t="str">
        <v>0.0</v>
      </c>
      <c r="J1987" s="42" t="str">
        <v>Peru</v>
      </c>
      <c r="K1987" s="42" t="str">
        <v xml:space="preserve"> </v>
      </c>
      <c r="L1987" s="42" t="str">
        <f t="shared" si="150"/>
        <v xml:space="preserve">1978.0|18 Jun 1978 - 13:45 |Group B|San Martin|Mendoza |Poland|1.0|0.0|Peru| </v>
      </c>
      <c r="M1987" s="42" t="str">
        <f>IF(COUNTIF($L$1689:L1987,L1987)&gt;1,"DOUBLON","OK")</f>
        <v>OK</v>
      </c>
      <c r="S1987" s="12" t="str">
        <v>Iraq</v>
      </c>
      <c r="T1987" s="12" t="str">
        <f t="shared" si="151"/>
        <v>OK</v>
      </c>
      <c r="U1987" s="12" t="str">
        <f t="shared" si="152"/>
        <v>-</v>
      </c>
      <c r="V1987" s="12" t="str" cm="1">
        <f t="array" ref="V1987">_xlfn.IFS(
ISNUMBER(SEARCH("USA",S1987)),"United States",
ISNUMBER(SEARCH("Republic of Ireland",S1987)),"Ireland",
ISNUMBER(SEARCH("Republic of Korea",S1987)),"South Korea",
ISNUMBER(SEARCH("Cape Verde",S1987)),"Cabo Verde",
ISNUMBER(SEARCH("Czechia",S1987)),"Czech Republic",
ISNUMBER(SEARCH("Türkiye",S1987)),"Turkey",
ISNUMBER(SEARCH("Ivory Coast",S1987)),"Côte d'Ivoire",
ISNUMBER(SEARCH("Korea Republic",S1987)),"South Korea",
ISNUMBER(SEARCH("Germany FR",S1987)),"FR Germany",
ISNUMBER(SEARCH("West Germany",S1987)),"FR Germany",
ISNUMBER(SEARCH("Germany DR",S1987)),"DR Germany",
ISNUMBER(SEARCH("Korea DPR",S1987)),"North Korea",
ISNUMBER(SEARCH("China PR",S1987)),"China",
ISNUMBER(SEARCH("IR Iran",S1987)),"Iran",
ISNUMBER(SEARCH("Congo DR",S1987)),"Democratic Republic of the Congo",
ISNUMBER(SEARCH("DR Congo",S1987)),"Democratic Republic of the Congo",
ISNUMBER(SEARCH("German DR",S1987)),"DR Germany",
ISNUMBER(SEARCH("rn""&gt;United Arab Emirates",S1987)),"United Arab Emirates",
ISNUMBER(SEARCH("rn""&gt;Republic of Ireland",S1987)),"Ireland",
ISNUMBER(SEARCH("rn""&gt;Bosnia and Herzegovina",S1987)),"Bosnia and Herzegovina",
ISNUMBER(SEARCH("rn""&gt;Trinidad and Tobago",S1987)),"Trinidad and Tobago",
ISNUMBER(SEARCH("rn""&gt;Serbia and Montenegro",S1987)),"Serbia and Montenegro",
ISNUMBER(SEARCH(_xlfn.UNICHAR(65533),S1987)),"Côte d'Ivoire",
TRUE,""
)</f>
        <v/>
      </c>
      <c r="W1987" s="12" t="str">
        <f t="shared" si="153"/>
        <v>Iraq</v>
      </c>
    </row>
    <row r="1988" spans="2:23">
      <c r="B1988" s="76" t="str">
        <v>1978.0</v>
      </c>
      <c r="C1988" s="42" t="str">
        <v xml:space="preserve">18 Jun 1978 - 16:45 </v>
      </c>
      <c r="D1988" s="42" t="str">
        <v>Group A</v>
      </c>
      <c r="E1988" s="42" t="str">
        <v>El Monumental - Estadio Monumental Antonio Vespuci</v>
      </c>
      <c r="F1988" s="42" t="str">
        <v xml:space="preserve">Buenos Aires </v>
      </c>
      <c r="G1988" s="42" t="str">
        <v>Italy</v>
      </c>
      <c r="H1988" s="42" t="str">
        <v>1.0</v>
      </c>
      <c r="I1988" s="42" t="str">
        <v>0.0</v>
      </c>
      <c r="J1988" s="42" t="str">
        <v>Austria</v>
      </c>
      <c r="K1988" s="42" t="str">
        <v xml:space="preserve"> </v>
      </c>
      <c r="L1988" s="42" t="str">
        <f t="shared" si="150"/>
        <v xml:space="preserve">1978.0|18 Jun 1978 - 16:45 |Group A|El Monumental - Estadio Monumental Antonio Vespuci|Buenos Aires |Italy|1.0|0.0|Austria| </v>
      </c>
      <c r="M1988" s="42" t="str">
        <f>IF(COUNTIF($L$1689:L1988,L1988)&gt;1,"DOUBLON","OK")</f>
        <v>OK</v>
      </c>
      <c r="S1988" s="12" t="str">
        <v>Iraq</v>
      </c>
      <c r="T1988" s="12" t="str">
        <f t="shared" si="151"/>
        <v>OK</v>
      </c>
      <c r="U1988" s="12" t="str">
        <f t="shared" si="152"/>
        <v>-</v>
      </c>
      <c r="V1988" s="12" t="str" cm="1">
        <f t="array" ref="V1988">_xlfn.IFS(
ISNUMBER(SEARCH("USA",S1988)),"United States",
ISNUMBER(SEARCH("Republic of Ireland",S1988)),"Ireland",
ISNUMBER(SEARCH("Republic of Korea",S1988)),"South Korea",
ISNUMBER(SEARCH("Cape Verde",S1988)),"Cabo Verde",
ISNUMBER(SEARCH("Czechia",S1988)),"Czech Republic",
ISNUMBER(SEARCH("Türkiye",S1988)),"Turkey",
ISNUMBER(SEARCH("Ivory Coast",S1988)),"Côte d'Ivoire",
ISNUMBER(SEARCH("Korea Republic",S1988)),"South Korea",
ISNUMBER(SEARCH("Germany FR",S1988)),"FR Germany",
ISNUMBER(SEARCH("West Germany",S1988)),"FR Germany",
ISNUMBER(SEARCH("Germany DR",S1988)),"DR Germany",
ISNUMBER(SEARCH("Korea DPR",S1988)),"North Korea",
ISNUMBER(SEARCH("China PR",S1988)),"China",
ISNUMBER(SEARCH("IR Iran",S1988)),"Iran",
ISNUMBER(SEARCH("Congo DR",S1988)),"Democratic Republic of the Congo",
ISNUMBER(SEARCH("DR Congo",S1988)),"Democratic Republic of the Congo",
ISNUMBER(SEARCH("German DR",S1988)),"DR Germany",
ISNUMBER(SEARCH("rn""&gt;United Arab Emirates",S1988)),"United Arab Emirates",
ISNUMBER(SEARCH("rn""&gt;Republic of Ireland",S1988)),"Ireland",
ISNUMBER(SEARCH("rn""&gt;Bosnia and Herzegovina",S1988)),"Bosnia and Herzegovina",
ISNUMBER(SEARCH("rn""&gt;Trinidad and Tobago",S1988)),"Trinidad and Tobago",
ISNUMBER(SEARCH("rn""&gt;Serbia and Montenegro",S1988)),"Serbia and Montenegro",
ISNUMBER(SEARCH(_xlfn.UNICHAR(65533),S1988)),"Côte d'Ivoire",
TRUE,""
)</f>
        <v/>
      </c>
      <c r="W1988" s="12" t="str">
        <f t="shared" si="153"/>
        <v>Iraq</v>
      </c>
    </row>
    <row r="1989" spans="2:23">
      <c r="B1989" s="76" t="str">
        <v>1978.0</v>
      </c>
      <c r="C1989" s="42" t="str">
        <v xml:space="preserve">18 Jun 1978 - 16:45 </v>
      </c>
      <c r="D1989" s="42" t="str">
        <v>Group A</v>
      </c>
      <c r="E1989" s="42" t="str">
        <v>Estadio Ol�mpico Chateau Carreras</v>
      </c>
      <c r="F1989" s="42" t="str">
        <v xml:space="preserve">Cordoba </v>
      </c>
      <c r="G1989" s="42" t="str">
        <v>Germany FR</v>
      </c>
      <c r="H1989" s="42" t="str">
        <v>2.0</v>
      </c>
      <c r="I1989" s="42" t="str">
        <v>2.0</v>
      </c>
      <c r="J1989" s="42" t="str">
        <v>Netherlands</v>
      </c>
      <c r="K1989" s="42" t="str">
        <v xml:space="preserve"> </v>
      </c>
      <c r="L1989" s="42" t="str">
        <f t="shared" si="150"/>
        <v xml:space="preserve">1978.0|18 Jun 1978 - 16:45 |Group A|Estadio Ol�mpico Chateau Carreras|Cordoba |Germany FR|2.0|2.0|Netherlands| </v>
      </c>
      <c r="M1989" s="42" t="str">
        <f>IF(COUNTIF($L$1689:L1989,L1989)&gt;1,"DOUBLON","OK")</f>
        <v>OK</v>
      </c>
      <c r="S1989" s="12" t="str">
        <v>Iraq</v>
      </c>
      <c r="T1989" s="12" t="str">
        <f t="shared" si="151"/>
        <v>OK</v>
      </c>
      <c r="U1989" s="12" t="str">
        <f t="shared" si="152"/>
        <v>-</v>
      </c>
      <c r="V1989" s="12" t="str" cm="1">
        <f t="array" ref="V1989">_xlfn.IFS(
ISNUMBER(SEARCH("USA",S1989)),"United States",
ISNUMBER(SEARCH("Republic of Ireland",S1989)),"Ireland",
ISNUMBER(SEARCH("Republic of Korea",S1989)),"South Korea",
ISNUMBER(SEARCH("Cape Verde",S1989)),"Cabo Verde",
ISNUMBER(SEARCH("Czechia",S1989)),"Czech Republic",
ISNUMBER(SEARCH("Türkiye",S1989)),"Turkey",
ISNUMBER(SEARCH("Ivory Coast",S1989)),"Côte d'Ivoire",
ISNUMBER(SEARCH("Korea Republic",S1989)),"South Korea",
ISNUMBER(SEARCH("Germany FR",S1989)),"FR Germany",
ISNUMBER(SEARCH("West Germany",S1989)),"FR Germany",
ISNUMBER(SEARCH("Germany DR",S1989)),"DR Germany",
ISNUMBER(SEARCH("Korea DPR",S1989)),"North Korea",
ISNUMBER(SEARCH("China PR",S1989)),"China",
ISNUMBER(SEARCH("IR Iran",S1989)),"Iran",
ISNUMBER(SEARCH("Congo DR",S1989)),"Democratic Republic of the Congo",
ISNUMBER(SEARCH("DR Congo",S1989)),"Democratic Republic of the Congo",
ISNUMBER(SEARCH("German DR",S1989)),"DR Germany",
ISNUMBER(SEARCH("rn""&gt;United Arab Emirates",S1989)),"United Arab Emirates",
ISNUMBER(SEARCH("rn""&gt;Republic of Ireland",S1989)),"Ireland",
ISNUMBER(SEARCH("rn""&gt;Bosnia and Herzegovina",S1989)),"Bosnia and Herzegovina",
ISNUMBER(SEARCH("rn""&gt;Trinidad and Tobago",S1989)),"Trinidad and Tobago",
ISNUMBER(SEARCH("rn""&gt;Serbia and Montenegro",S1989)),"Serbia and Montenegro",
ISNUMBER(SEARCH(_xlfn.UNICHAR(65533),S1989)),"Côte d'Ivoire",
TRUE,""
)</f>
        <v/>
      </c>
      <c r="W1989" s="12" t="str">
        <f t="shared" si="153"/>
        <v>Iraq</v>
      </c>
    </row>
    <row r="1990" spans="2:23">
      <c r="B1990" s="76" t="str">
        <v>1978.0</v>
      </c>
      <c r="C1990" s="42" t="str">
        <v xml:space="preserve">18 Jun 1978 - 19:15 </v>
      </c>
      <c r="D1990" s="42" t="str">
        <v>Group B</v>
      </c>
      <c r="E1990" s="42" t="str">
        <v>Arroyito - Estadio Dr. Lisandro de la Torre</v>
      </c>
      <c r="F1990" s="42" t="str">
        <v xml:space="preserve">Rosario </v>
      </c>
      <c r="G1990" s="42" t="str">
        <v>Argentina</v>
      </c>
      <c r="H1990" s="42" t="str">
        <v>0.0</v>
      </c>
      <c r="I1990" s="42" t="str">
        <v>0.0</v>
      </c>
      <c r="J1990" s="42" t="str">
        <v>Brazil</v>
      </c>
      <c r="K1990" s="42" t="str">
        <v xml:space="preserve"> </v>
      </c>
      <c r="L1990" s="42" t="str">
        <f t="shared" si="150"/>
        <v xml:space="preserve">1978.0|18 Jun 1978 - 19:15 |Group B|Arroyito - Estadio Dr. Lisandro de la Torre|Rosario |Argentina|0.0|0.0|Brazil| </v>
      </c>
      <c r="M1990" s="42" t="str">
        <f>IF(COUNTIF($L$1689:L1990,L1990)&gt;1,"DOUBLON","OK")</f>
        <v>OK</v>
      </c>
      <c r="S1990" s="12" t="str">
        <v>Iraq</v>
      </c>
      <c r="T1990" s="12" t="str">
        <f t="shared" si="151"/>
        <v>OK</v>
      </c>
      <c r="U1990" s="12" t="str">
        <f t="shared" si="152"/>
        <v>-</v>
      </c>
      <c r="V1990" s="12" t="str" cm="1">
        <f t="array" ref="V1990">_xlfn.IFS(
ISNUMBER(SEARCH("USA",S1990)),"United States",
ISNUMBER(SEARCH("Republic of Ireland",S1990)),"Ireland",
ISNUMBER(SEARCH("Republic of Korea",S1990)),"South Korea",
ISNUMBER(SEARCH("Cape Verde",S1990)),"Cabo Verde",
ISNUMBER(SEARCH("Czechia",S1990)),"Czech Republic",
ISNUMBER(SEARCH("Türkiye",S1990)),"Turkey",
ISNUMBER(SEARCH("Ivory Coast",S1990)),"Côte d'Ivoire",
ISNUMBER(SEARCH("Korea Republic",S1990)),"South Korea",
ISNUMBER(SEARCH("Germany FR",S1990)),"FR Germany",
ISNUMBER(SEARCH("West Germany",S1990)),"FR Germany",
ISNUMBER(SEARCH("Germany DR",S1990)),"DR Germany",
ISNUMBER(SEARCH("Korea DPR",S1990)),"North Korea",
ISNUMBER(SEARCH("China PR",S1990)),"China",
ISNUMBER(SEARCH("IR Iran",S1990)),"Iran",
ISNUMBER(SEARCH("Congo DR",S1990)),"Democratic Republic of the Congo",
ISNUMBER(SEARCH("DR Congo",S1990)),"Democratic Republic of the Congo",
ISNUMBER(SEARCH("German DR",S1990)),"DR Germany",
ISNUMBER(SEARCH("rn""&gt;United Arab Emirates",S1990)),"United Arab Emirates",
ISNUMBER(SEARCH("rn""&gt;Republic of Ireland",S1990)),"Ireland",
ISNUMBER(SEARCH("rn""&gt;Bosnia and Herzegovina",S1990)),"Bosnia and Herzegovina",
ISNUMBER(SEARCH("rn""&gt;Trinidad and Tobago",S1990)),"Trinidad and Tobago",
ISNUMBER(SEARCH("rn""&gt;Serbia and Montenegro",S1990)),"Serbia and Montenegro",
ISNUMBER(SEARCH(_xlfn.UNICHAR(65533),S1990)),"Côte d'Ivoire",
TRUE,""
)</f>
        <v/>
      </c>
      <c r="W1990" s="12" t="str">
        <f t="shared" si="153"/>
        <v>Iraq</v>
      </c>
    </row>
    <row r="1991" spans="2:23">
      <c r="B1991" s="76" t="str">
        <v>1978.0</v>
      </c>
      <c r="C1991" s="42" t="str">
        <v xml:space="preserve">21 Jun 1978 - 13:45 </v>
      </c>
      <c r="D1991" s="42" t="str">
        <v>Group A</v>
      </c>
      <c r="E1991" s="42" t="str">
        <v>El Monumental - Estadio Monumental Antonio Vespuci</v>
      </c>
      <c r="F1991" s="42" t="str">
        <v xml:space="preserve">Buenos Aires </v>
      </c>
      <c r="G1991" s="42" t="str">
        <v>Netherlands</v>
      </c>
      <c r="H1991" s="42" t="str">
        <v>2.0</v>
      </c>
      <c r="I1991" s="42" t="str">
        <v>1.0</v>
      </c>
      <c r="J1991" s="42" t="str">
        <v>Italy</v>
      </c>
      <c r="K1991" s="42" t="str">
        <v xml:space="preserve"> </v>
      </c>
      <c r="L1991" s="42" t="str">
        <f t="shared" si="150"/>
        <v xml:space="preserve">1978.0|21 Jun 1978 - 13:45 |Group A|El Monumental - Estadio Monumental Antonio Vespuci|Buenos Aires |Netherlands|2.0|1.0|Italy| </v>
      </c>
      <c r="M1991" s="42" t="str">
        <f>IF(COUNTIF($L$1689:L1991,L1991)&gt;1,"DOUBLON","OK")</f>
        <v>OK</v>
      </c>
      <c r="S1991" s="12" t="str">
        <v>Iraq</v>
      </c>
      <c r="T1991" s="12" t="str">
        <f t="shared" si="151"/>
        <v>OK</v>
      </c>
      <c r="U1991" s="12" t="str">
        <f t="shared" si="152"/>
        <v>-</v>
      </c>
      <c r="V1991" s="12" t="str" cm="1">
        <f t="array" ref="V1991">_xlfn.IFS(
ISNUMBER(SEARCH("USA",S1991)),"United States",
ISNUMBER(SEARCH("Republic of Ireland",S1991)),"Ireland",
ISNUMBER(SEARCH("Republic of Korea",S1991)),"South Korea",
ISNUMBER(SEARCH("Cape Verde",S1991)),"Cabo Verde",
ISNUMBER(SEARCH("Czechia",S1991)),"Czech Republic",
ISNUMBER(SEARCH("Türkiye",S1991)),"Turkey",
ISNUMBER(SEARCH("Ivory Coast",S1991)),"Côte d'Ivoire",
ISNUMBER(SEARCH("Korea Republic",S1991)),"South Korea",
ISNUMBER(SEARCH("Germany FR",S1991)),"FR Germany",
ISNUMBER(SEARCH("West Germany",S1991)),"FR Germany",
ISNUMBER(SEARCH("Germany DR",S1991)),"DR Germany",
ISNUMBER(SEARCH("Korea DPR",S1991)),"North Korea",
ISNUMBER(SEARCH("China PR",S1991)),"China",
ISNUMBER(SEARCH("IR Iran",S1991)),"Iran",
ISNUMBER(SEARCH("Congo DR",S1991)),"Democratic Republic of the Congo",
ISNUMBER(SEARCH("DR Congo",S1991)),"Democratic Republic of the Congo",
ISNUMBER(SEARCH("German DR",S1991)),"DR Germany",
ISNUMBER(SEARCH("rn""&gt;United Arab Emirates",S1991)),"United Arab Emirates",
ISNUMBER(SEARCH("rn""&gt;Republic of Ireland",S1991)),"Ireland",
ISNUMBER(SEARCH("rn""&gt;Bosnia and Herzegovina",S1991)),"Bosnia and Herzegovina",
ISNUMBER(SEARCH("rn""&gt;Trinidad and Tobago",S1991)),"Trinidad and Tobago",
ISNUMBER(SEARCH("rn""&gt;Serbia and Montenegro",S1991)),"Serbia and Montenegro",
ISNUMBER(SEARCH(_xlfn.UNICHAR(65533),S1991)),"Côte d'Ivoire",
TRUE,""
)</f>
        <v/>
      </c>
      <c r="W1991" s="12" t="str">
        <f t="shared" si="153"/>
        <v>Iraq</v>
      </c>
    </row>
    <row r="1992" spans="2:23">
      <c r="B1992" s="76" t="str">
        <v>1978.0</v>
      </c>
      <c r="C1992" s="42" t="str">
        <v xml:space="preserve">21 Jun 1978 - 13:45 </v>
      </c>
      <c r="D1992" s="42" t="str">
        <v>Group A</v>
      </c>
      <c r="E1992" s="42" t="str">
        <v>Estadio Ol�mpico Chateau Carreras</v>
      </c>
      <c r="F1992" s="42" t="str">
        <v xml:space="preserve">Cordoba </v>
      </c>
      <c r="G1992" s="42" t="str">
        <v>Austria</v>
      </c>
      <c r="H1992" s="42" t="str">
        <v>3.0</v>
      </c>
      <c r="I1992" s="42" t="str">
        <v>2.0</v>
      </c>
      <c r="J1992" s="42" t="str">
        <v>Germany FR</v>
      </c>
      <c r="K1992" s="42" t="str">
        <v xml:space="preserve"> </v>
      </c>
      <c r="L1992" s="42" t="str">
        <f t="shared" si="150"/>
        <v xml:space="preserve">1978.0|21 Jun 1978 - 13:45 |Group A|Estadio Ol�mpico Chateau Carreras|Cordoba |Austria|3.0|2.0|Germany FR| </v>
      </c>
      <c r="M1992" s="42" t="str">
        <f>IF(COUNTIF($L$1689:L1992,L1992)&gt;1,"DOUBLON","OK")</f>
        <v>OK</v>
      </c>
      <c r="S1992" s="12" t="str">
        <v>Iraq</v>
      </c>
      <c r="T1992" s="12" t="str">
        <f t="shared" si="151"/>
        <v>OK</v>
      </c>
      <c r="U1992" s="12" t="str">
        <f t="shared" si="152"/>
        <v>-</v>
      </c>
      <c r="V1992" s="12" t="str" cm="1">
        <f t="array" ref="V1992">_xlfn.IFS(
ISNUMBER(SEARCH("USA",S1992)),"United States",
ISNUMBER(SEARCH("Republic of Ireland",S1992)),"Ireland",
ISNUMBER(SEARCH("Republic of Korea",S1992)),"South Korea",
ISNUMBER(SEARCH("Cape Verde",S1992)),"Cabo Verde",
ISNUMBER(SEARCH("Czechia",S1992)),"Czech Republic",
ISNUMBER(SEARCH("Türkiye",S1992)),"Turkey",
ISNUMBER(SEARCH("Ivory Coast",S1992)),"Côte d'Ivoire",
ISNUMBER(SEARCH("Korea Republic",S1992)),"South Korea",
ISNUMBER(SEARCH("Germany FR",S1992)),"FR Germany",
ISNUMBER(SEARCH("West Germany",S1992)),"FR Germany",
ISNUMBER(SEARCH("Germany DR",S1992)),"DR Germany",
ISNUMBER(SEARCH("Korea DPR",S1992)),"North Korea",
ISNUMBER(SEARCH("China PR",S1992)),"China",
ISNUMBER(SEARCH("IR Iran",S1992)),"Iran",
ISNUMBER(SEARCH("Congo DR",S1992)),"Democratic Republic of the Congo",
ISNUMBER(SEARCH("DR Congo",S1992)),"Democratic Republic of the Congo",
ISNUMBER(SEARCH("German DR",S1992)),"DR Germany",
ISNUMBER(SEARCH("rn""&gt;United Arab Emirates",S1992)),"United Arab Emirates",
ISNUMBER(SEARCH("rn""&gt;Republic of Ireland",S1992)),"Ireland",
ISNUMBER(SEARCH("rn""&gt;Bosnia and Herzegovina",S1992)),"Bosnia and Herzegovina",
ISNUMBER(SEARCH("rn""&gt;Trinidad and Tobago",S1992)),"Trinidad and Tobago",
ISNUMBER(SEARCH("rn""&gt;Serbia and Montenegro",S1992)),"Serbia and Montenegro",
ISNUMBER(SEARCH(_xlfn.UNICHAR(65533),S1992)),"Côte d'Ivoire",
TRUE,""
)</f>
        <v/>
      </c>
      <c r="W1992" s="12" t="str">
        <f t="shared" si="153"/>
        <v>Iraq</v>
      </c>
    </row>
    <row r="1993" spans="2:23">
      <c r="B1993" s="76" t="str">
        <v>1978.0</v>
      </c>
      <c r="C1993" s="42" t="str">
        <v xml:space="preserve">21 Jun 1978 - 16:45 </v>
      </c>
      <c r="D1993" s="42" t="str">
        <v>Group B</v>
      </c>
      <c r="E1993" s="42" t="str">
        <v>San Martin</v>
      </c>
      <c r="F1993" s="42" t="str">
        <v xml:space="preserve">Mendoza </v>
      </c>
      <c r="G1993" s="42" t="str">
        <v>Brazil</v>
      </c>
      <c r="H1993" s="42" t="str">
        <v>3.0</v>
      </c>
      <c r="I1993" s="42" t="str">
        <v>1.0</v>
      </c>
      <c r="J1993" s="42" t="str">
        <v>Poland</v>
      </c>
      <c r="K1993" s="42" t="str">
        <v xml:space="preserve"> </v>
      </c>
      <c r="L1993" s="42" t="str">
        <f t="shared" si="150"/>
        <v xml:space="preserve">1978.0|21 Jun 1978 - 16:45 |Group B|San Martin|Mendoza |Brazil|3.0|1.0|Poland| </v>
      </c>
      <c r="M1993" s="42" t="str">
        <f>IF(COUNTIF($L$1689:L1993,L1993)&gt;1,"DOUBLON","OK")</f>
        <v>OK</v>
      </c>
      <c r="S1993" s="12" t="str">
        <v>Iraq</v>
      </c>
      <c r="T1993" s="12" t="str">
        <f t="shared" si="151"/>
        <v>OK</v>
      </c>
      <c r="U1993" s="12" t="str">
        <f t="shared" si="152"/>
        <v>-</v>
      </c>
      <c r="V1993" s="12" t="str" cm="1">
        <f t="array" ref="V1993">_xlfn.IFS(
ISNUMBER(SEARCH("USA",S1993)),"United States",
ISNUMBER(SEARCH("Republic of Ireland",S1993)),"Ireland",
ISNUMBER(SEARCH("Republic of Korea",S1993)),"South Korea",
ISNUMBER(SEARCH("Cape Verde",S1993)),"Cabo Verde",
ISNUMBER(SEARCH("Czechia",S1993)),"Czech Republic",
ISNUMBER(SEARCH("Türkiye",S1993)),"Turkey",
ISNUMBER(SEARCH("Ivory Coast",S1993)),"Côte d'Ivoire",
ISNUMBER(SEARCH("Korea Republic",S1993)),"South Korea",
ISNUMBER(SEARCH("Germany FR",S1993)),"FR Germany",
ISNUMBER(SEARCH("West Germany",S1993)),"FR Germany",
ISNUMBER(SEARCH("Germany DR",S1993)),"DR Germany",
ISNUMBER(SEARCH("Korea DPR",S1993)),"North Korea",
ISNUMBER(SEARCH("China PR",S1993)),"China",
ISNUMBER(SEARCH("IR Iran",S1993)),"Iran",
ISNUMBER(SEARCH("Congo DR",S1993)),"Democratic Republic of the Congo",
ISNUMBER(SEARCH("DR Congo",S1993)),"Democratic Republic of the Congo",
ISNUMBER(SEARCH("German DR",S1993)),"DR Germany",
ISNUMBER(SEARCH("rn""&gt;United Arab Emirates",S1993)),"United Arab Emirates",
ISNUMBER(SEARCH("rn""&gt;Republic of Ireland",S1993)),"Ireland",
ISNUMBER(SEARCH("rn""&gt;Bosnia and Herzegovina",S1993)),"Bosnia and Herzegovina",
ISNUMBER(SEARCH("rn""&gt;Trinidad and Tobago",S1993)),"Trinidad and Tobago",
ISNUMBER(SEARCH("rn""&gt;Serbia and Montenegro",S1993)),"Serbia and Montenegro",
ISNUMBER(SEARCH(_xlfn.UNICHAR(65533),S1993)),"Côte d'Ivoire",
TRUE,""
)</f>
        <v/>
      </c>
      <c r="W1993" s="12" t="str">
        <f t="shared" si="153"/>
        <v>Iraq</v>
      </c>
    </row>
    <row r="1994" spans="2:23">
      <c r="B1994" s="76" t="str">
        <v>1978.0</v>
      </c>
      <c r="C1994" s="42" t="str">
        <v xml:space="preserve">21 Jun 1978 - 19:15 </v>
      </c>
      <c r="D1994" s="42" t="str">
        <v>Group B</v>
      </c>
      <c r="E1994" s="42" t="str">
        <v>Arroyito - Estadio Dr. Lisandro de la Torre</v>
      </c>
      <c r="F1994" s="42" t="str">
        <v xml:space="preserve">Rosario </v>
      </c>
      <c r="G1994" s="42" t="str">
        <v>Argentina</v>
      </c>
      <c r="H1994" s="42" t="str">
        <v>6.0</v>
      </c>
      <c r="I1994" s="42" t="str">
        <v>0.0</v>
      </c>
      <c r="J1994" s="42" t="str">
        <v>Peru</v>
      </c>
      <c r="K1994" s="42" t="str">
        <v xml:space="preserve"> </v>
      </c>
      <c r="L1994" s="42" t="str">
        <f t="shared" si="150"/>
        <v xml:space="preserve">1978.0|21 Jun 1978 - 19:15 |Group B|Arroyito - Estadio Dr. Lisandro de la Torre|Rosario |Argentina|6.0|0.0|Peru| </v>
      </c>
      <c r="M1994" s="42" t="str">
        <f>IF(COUNTIF($L$1689:L1994,L1994)&gt;1,"DOUBLON","OK")</f>
        <v>OK</v>
      </c>
      <c r="S1994" s="12" t="str">
        <v>Iraq</v>
      </c>
      <c r="T1994" s="12" t="str">
        <f t="shared" si="151"/>
        <v>OK</v>
      </c>
      <c r="U1994" s="12" t="str">
        <f t="shared" si="152"/>
        <v>-</v>
      </c>
      <c r="V1994" s="12" t="str" cm="1">
        <f t="array" ref="V1994">_xlfn.IFS(
ISNUMBER(SEARCH("USA",S1994)),"United States",
ISNUMBER(SEARCH("Republic of Ireland",S1994)),"Ireland",
ISNUMBER(SEARCH("Republic of Korea",S1994)),"South Korea",
ISNUMBER(SEARCH("Cape Verde",S1994)),"Cabo Verde",
ISNUMBER(SEARCH("Czechia",S1994)),"Czech Republic",
ISNUMBER(SEARCH("Türkiye",S1994)),"Turkey",
ISNUMBER(SEARCH("Ivory Coast",S1994)),"Côte d'Ivoire",
ISNUMBER(SEARCH("Korea Republic",S1994)),"South Korea",
ISNUMBER(SEARCH("Germany FR",S1994)),"FR Germany",
ISNUMBER(SEARCH("West Germany",S1994)),"FR Germany",
ISNUMBER(SEARCH("Germany DR",S1994)),"DR Germany",
ISNUMBER(SEARCH("Korea DPR",S1994)),"North Korea",
ISNUMBER(SEARCH("China PR",S1994)),"China",
ISNUMBER(SEARCH("IR Iran",S1994)),"Iran",
ISNUMBER(SEARCH("Congo DR",S1994)),"Democratic Republic of the Congo",
ISNUMBER(SEARCH("DR Congo",S1994)),"Democratic Republic of the Congo",
ISNUMBER(SEARCH("German DR",S1994)),"DR Germany",
ISNUMBER(SEARCH("rn""&gt;United Arab Emirates",S1994)),"United Arab Emirates",
ISNUMBER(SEARCH("rn""&gt;Republic of Ireland",S1994)),"Ireland",
ISNUMBER(SEARCH("rn""&gt;Bosnia and Herzegovina",S1994)),"Bosnia and Herzegovina",
ISNUMBER(SEARCH("rn""&gt;Trinidad and Tobago",S1994)),"Trinidad and Tobago",
ISNUMBER(SEARCH("rn""&gt;Serbia and Montenegro",S1994)),"Serbia and Montenegro",
ISNUMBER(SEARCH(_xlfn.UNICHAR(65533),S1994)),"Côte d'Ivoire",
TRUE,""
)</f>
        <v/>
      </c>
      <c r="W1994" s="12" t="str">
        <f t="shared" si="153"/>
        <v>Iraq</v>
      </c>
    </row>
    <row r="1995" spans="2:23">
      <c r="B1995" s="76" t="str">
        <v>1978.0</v>
      </c>
      <c r="C1995" s="42" t="str">
        <v xml:space="preserve">24 Jun 1978 - 15:00 </v>
      </c>
      <c r="D1995" s="42" t="str">
        <v>Match for third place</v>
      </c>
      <c r="E1995" s="42" t="str">
        <v>El Monumental - Estadio Monumental Antonio Vespuci</v>
      </c>
      <c r="F1995" s="42" t="str">
        <v xml:space="preserve">Buenos Aires </v>
      </c>
      <c r="G1995" s="42" t="str">
        <v>Brazil</v>
      </c>
      <c r="H1995" s="42" t="str">
        <v>2.0</v>
      </c>
      <c r="I1995" s="42" t="str">
        <v>1.0</v>
      </c>
      <c r="J1995" s="42" t="str">
        <v>Italy</v>
      </c>
      <c r="K1995" s="42" t="str">
        <v xml:space="preserve"> </v>
      </c>
      <c r="L1995" s="42" t="str">
        <f t="shared" si="150"/>
        <v xml:space="preserve">1978.0|24 Jun 1978 - 15:00 |Match for third place|El Monumental - Estadio Monumental Antonio Vespuci|Buenos Aires |Brazil|2.0|1.0|Italy| </v>
      </c>
      <c r="M1995" s="42" t="str">
        <f>IF(COUNTIF($L$1689:L1995,L1995)&gt;1,"DOUBLON","OK")</f>
        <v>OK</v>
      </c>
      <c r="S1995" s="12" t="str">
        <v>Iraq</v>
      </c>
      <c r="T1995" s="12" t="str">
        <f t="shared" si="151"/>
        <v>OK</v>
      </c>
      <c r="U1995" s="12" t="str">
        <f t="shared" si="152"/>
        <v>-</v>
      </c>
      <c r="V1995" s="12" t="str" cm="1">
        <f t="array" ref="V1995">_xlfn.IFS(
ISNUMBER(SEARCH("USA",S1995)),"United States",
ISNUMBER(SEARCH("Republic of Ireland",S1995)),"Ireland",
ISNUMBER(SEARCH("Republic of Korea",S1995)),"South Korea",
ISNUMBER(SEARCH("Cape Verde",S1995)),"Cabo Verde",
ISNUMBER(SEARCH("Czechia",S1995)),"Czech Republic",
ISNUMBER(SEARCH("Türkiye",S1995)),"Turkey",
ISNUMBER(SEARCH("Ivory Coast",S1995)),"Côte d'Ivoire",
ISNUMBER(SEARCH("Korea Republic",S1995)),"South Korea",
ISNUMBER(SEARCH("Germany FR",S1995)),"FR Germany",
ISNUMBER(SEARCH("West Germany",S1995)),"FR Germany",
ISNUMBER(SEARCH("Germany DR",S1995)),"DR Germany",
ISNUMBER(SEARCH("Korea DPR",S1995)),"North Korea",
ISNUMBER(SEARCH("China PR",S1995)),"China",
ISNUMBER(SEARCH("IR Iran",S1995)),"Iran",
ISNUMBER(SEARCH("Congo DR",S1995)),"Democratic Republic of the Congo",
ISNUMBER(SEARCH("DR Congo",S1995)),"Democratic Republic of the Congo",
ISNUMBER(SEARCH("German DR",S1995)),"DR Germany",
ISNUMBER(SEARCH("rn""&gt;United Arab Emirates",S1995)),"United Arab Emirates",
ISNUMBER(SEARCH("rn""&gt;Republic of Ireland",S1995)),"Ireland",
ISNUMBER(SEARCH("rn""&gt;Bosnia and Herzegovina",S1995)),"Bosnia and Herzegovina",
ISNUMBER(SEARCH("rn""&gt;Trinidad and Tobago",S1995)),"Trinidad and Tobago",
ISNUMBER(SEARCH("rn""&gt;Serbia and Montenegro",S1995)),"Serbia and Montenegro",
ISNUMBER(SEARCH(_xlfn.UNICHAR(65533),S1995)),"Côte d'Ivoire",
TRUE,""
)</f>
        <v/>
      </c>
      <c r="W1995" s="12" t="str">
        <f t="shared" si="153"/>
        <v>Iraq</v>
      </c>
    </row>
    <row r="1996" spans="2:23">
      <c r="B1996" s="76" t="str">
        <v>1978.0</v>
      </c>
      <c r="C1996" s="42" t="str">
        <v xml:space="preserve">25 Jun 1978 - 15:00 </v>
      </c>
      <c r="D1996" s="42" t="str">
        <v>Final</v>
      </c>
      <c r="E1996" s="42" t="str">
        <v>El Monumental - Estadio Monumental Antonio Vespuci</v>
      </c>
      <c r="F1996" s="42" t="str">
        <v xml:space="preserve">Buenos Aires </v>
      </c>
      <c r="G1996" s="42" t="str">
        <v>Argentina</v>
      </c>
      <c r="H1996" s="42" t="str">
        <v>3.0</v>
      </c>
      <c r="I1996" s="42" t="str">
        <v>1.0</v>
      </c>
      <c r="J1996" s="42" t="str">
        <v>Netherlands</v>
      </c>
      <c r="K1996" s="42" t="str">
        <v xml:space="preserve">Argentina win after extra time </v>
      </c>
      <c r="L1996" s="42" t="str">
        <f t="shared" si="150"/>
        <v xml:space="preserve">1978.0|25 Jun 1978 - 15:00 |Final|El Monumental - Estadio Monumental Antonio Vespuci|Buenos Aires |Argentina|3.0|1.0|Netherlands|Argentina win after extra time </v>
      </c>
      <c r="M1996" s="42" t="str">
        <f>IF(COUNTIF($L$1689:L1996,L1996)&gt;1,"DOUBLON","OK")</f>
        <v>OK</v>
      </c>
      <c r="S1996" s="12" t="str">
        <v>Iraq</v>
      </c>
      <c r="T1996" s="12" t="str">
        <f t="shared" si="151"/>
        <v>OK</v>
      </c>
      <c r="U1996" s="12" t="str">
        <f t="shared" si="152"/>
        <v>-</v>
      </c>
      <c r="V1996" s="12" t="str" cm="1">
        <f t="array" ref="V1996">_xlfn.IFS(
ISNUMBER(SEARCH("USA",S1996)),"United States",
ISNUMBER(SEARCH("Republic of Ireland",S1996)),"Ireland",
ISNUMBER(SEARCH("Republic of Korea",S1996)),"South Korea",
ISNUMBER(SEARCH("Cape Verde",S1996)),"Cabo Verde",
ISNUMBER(SEARCH("Czechia",S1996)),"Czech Republic",
ISNUMBER(SEARCH("Türkiye",S1996)),"Turkey",
ISNUMBER(SEARCH("Ivory Coast",S1996)),"Côte d'Ivoire",
ISNUMBER(SEARCH("Korea Republic",S1996)),"South Korea",
ISNUMBER(SEARCH("Germany FR",S1996)),"FR Germany",
ISNUMBER(SEARCH("West Germany",S1996)),"FR Germany",
ISNUMBER(SEARCH("Germany DR",S1996)),"DR Germany",
ISNUMBER(SEARCH("Korea DPR",S1996)),"North Korea",
ISNUMBER(SEARCH("China PR",S1996)),"China",
ISNUMBER(SEARCH("IR Iran",S1996)),"Iran",
ISNUMBER(SEARCH("Congo DR",S1996)),"Democratic Republic of the Congo",
ISNUMBER(SEARCH("DR Congo",S1996)),"Democratic Republic of the Congo",
ISNUMBER(SEARCH("German DR",S1996)),"DR Germany",
ISNUMBER(SEARCH("rn""&gt;United Arab Emirates",S1996)),"United Arab Emirates",
ISNUMBER(SEARCH("rn""&gt;Republic of Ireland",S1996)),"Ireland",
ISNUMBER(SEARCH("rn""&gt;Bosnia and Herzegovina",S1996)),"Bosnia and Herzegovina",
ISNUMBER(SEARCH("rn""&gt;Trinidad and Tobago",S1996)),"Trinidad and Tobago",
ISNUMBER(SEARCH("rn""&gt;Serbia and Montenegro",S1996)),"Serbia and Montenegro",
ISNUMBER(SEARCH(_xlfn.UNICHAR(65533),S1996)),"Côte d'Ivoire",
TRUE,""
)</f>
        <v/>
      </c>
      <c r="W1996" s="12" t="str">
        <f t="shared" si="153"/>
        <v>Iraq</v>
      </c>
    </row>
    <row r="1997" spans="2:23">
      <c r="B1997" s="76" t="str">
        <v>1982.0</v>
      </c>
      <c r="C1997" s="42" t="str">
        <v xml:space="preserve">13 Jun 1982 - 20:00 </v>
      </c>
      <c r="D1997" s="42" t="str">
        <v>Group 3</v>
      </c>
      <c r="E1997" s="42" t="str">
        <v>Camp Nou</v>
      </c>
      <c r="F1997" s="42" t="str">
        <v xml:space="preserve">Barcelona </v>
      </c>
      <c r="G1997" s="42" t="str">
        <v>Argentina</v>
      </c>
      <c r="H1997" s="42" t="str">
        <v>0.0</v>
      </c>
      <c r="I1997" s="42" t="str">
        <v>1.0</v>
      </c>
      <c r="J1997" s="42" t="str">
        <v>Belgium</v>
      </c>
      <c r="K1997" s="42" t="str">
        <v xml:space="preserve"> </v>
      </c>
      <c r="L1997" s="42" t="str">
        <f t="shared" si="150"/>
        <v xml:space="preserve">1982.0|13 Jun 1982 - 20:00 |Group 3|Camp Nou|Barcelona |Argentina|0.0|1.0|Belgium| </v>
      </c>
      <c r="M1997" s="42" t="str">
        <f>IF(COUNTIF($L$1689:L1997,L1997)&gt;1,"DOUBLON","OK")</f>
        <v>OK</v>
      </c>
      <c r="S1997" s="12" t="str">
        <v>Iraq</v>
      </c>
      <c r="T1997" s="12" t="str">
        <f t="shared" si="151"/>
        <v>OK</v>
      </c>
      <c r="U1997" s="12" t="str">
        <f t="shared" si="152"/>
        <v>-</v>
      </c>
      <c r="V1997" s="12" t="str" cm="1">
        <f t="array" ref="V1997">_xlfn.IFS(
ISNUMBER(SEARCH("USA",S1997)),"United States",
ISNUMBER(SEARCH("Republic of Ireland",S1997)),"Ireland",
ISNUMBER(SEARCH("Republic of Korea",S1997)),"South Korea",
ISNUMBER(SEARCH("Cape Verde",S1997)),"Cabo Verde",
ISNUMBER(SEARCH("Czechia",S1997)),"Czech Republic",
ISNUMBER(SEARCH("Türkiye",S1997)),"Turkey",
ISNUMBER(SEARCH("Ivory Coast",S1997)),"Côte d'Ivoire",
ISNUMBER(SEARCH("Korea Republic",S1997)),"South Korea",
ISNUMBER(SEARCH("Germany FR",S1997)),"FR Germany",
ISNUMBER(SEARCH("West Germany",S1997)),"FR Germany",
ISNUMBER(SEARCH("Germany DR",S1997)),"DR Germany",
ISNUMBER(SEARCH("Korea DPR",S1997)),"North Korea",
ISNUMBER(SEARCH("China PR",S1997)),"China",
ISNUMBER(SEARCH("IR Iran",S1997)),"Iran",
ISNUMBER(SEARCH("Congo DR",S1997)),"Democratic Republic of the Congo",
ISNUMBER(SEARCH("DR Congo",S1997)),"Democratic Republic of the Congo",
ISNUMBER(SEARCH("German DR",S1997)),"DR Germany",
ISNUMBER(SEARCH("rn""&gt;United Arab Emirates",S1997)),"United Arab Emirates",
ISNUMBER(SEARCH("rn""&gt;Republic of Ireland",S1997)),"Ireland",
ISNUMBER(SEARCH("rn""&gt;Bosnia and Herzegovina",S1997)),"Bosnia and Herzegovina",
ISNUMBER(SEARCH("rn""&gt;Trinidad and Tobago",S1997)),"Trinidad and Tobago",
ISNUMBER(SEARCH("rn""&gt;Serbia and Montenegro",S1997)),"Serbia and Montenegro",
ISNUMBER(SEARCH(_xlfn.UNICHAR(65533),S1997)),"Côte d'Ivoire",
TRUE,""
)</f>
        <v/>
      </c>
      <c r="W1997" s="12" t="str">
        <f t="shared" si="153"/>
        <v>Iraq</v>
      </c>
    </row>
    <row r="1998" spans="2:23">
      <c r="B1998" s="76" t="str">
        <v>1982.0</v>
      </c>
      <c r="C1998" s="42" t="str">
        <v xml:space="preserve">14 Jun 1982 - 17:15 </v>
      </c>
      <c r="D1998" s="42" t="str">
        <v>Group 1</v>
      </c>
      <c r="E1998" s="42" t="str">
        <v>Estadio Municipal de Bala�dos</v>
      </c>
      <c r="F1998" s="42" t="str">
        <v xml:space="preserve">Vigo </v>
      </c>
      <c r="G1998" s="42" t="str">
        <v>Italy</v>
      </c>
      <c r="H1998" s="42" t="str">
        <v>0.0</v>
      </c>
      <c r="I1998" s="42" t="str">
        <v>0.0</v>
      </c>
      <c r="J1998" s="42" t="str">
        <v>Poland</v>
      </c>
      <c r="K1998" s="42" t="str">
        <v xml:space="preserve"> </v>
      </c>
      <c r="L1998" s="42" t="str">
        <f t="shared" si="150"/>
        <v xml:space="preserve">1982.0|14 Jun 1982 - 17:15 |Group 1|Estadio Municipal de Bala�dos|Vigo |Italy|0.0|0.0|Poland| </v>
      </c>
      <c r="M1998" s="42" t="str">
        <f>IF(COUNTIF($L$1689:L1998,L1998)&gt;1,"DOUBLON","OK")</f>
        <v>OK</v>
      </c>
      <c r="S1998" s="12" t="str">
        <v>Iraq</v>
      </c>
      <c r="T1998" s="12" t="str">
        <f t="shared" si="151"/>
        <v>OK</v>
      </c>
      <c r="U1998" s="12" t="str">
        <f t="shared" si="152"/>
        <v>-</v>
      </c>
      <c r="V1998" s="12" t="str" cm="1">
        <f t="array" ref="V1998">_xlfn.IFS(
ISNUMBER(SEARCH("USA",S1998)),"United States",
ISNUMBER(SEARCH("Republic of Ireland",S1998)),"Ireland",
ISNUMBER(SEARCH("Republic of Korea",S1998)),"South Korea",
ISNUMBER(SEARCH("Cape Verde",S1998)),"Cabo Verde",
ISNUMBER(SEARCH("Czechia",S1998)),"Czech Republic",
ISNUMBER(SEARCH("Türkiye",S1998)),"Turkey",
ISNUMBER(SEARCH("Ivory Coast",S1998)),"Côte d'Ivoire",
ISNUMBER(SEARCH("Korea Republic",S1998)),"South Korea",
ISNUMBER(SEARCH("Germany FR",S1998)),"FR Germany",
ISNUMBER(SEARCH("West Germany",S1998)),"FR Germany",
ISNUMBER(SEARCH("Germany DR",S1998)),"DR Germany",
ISNUMBER(SEARCH("Korea DPR",S1998)),"North Korea",
ISNUMBER(SEARCH("China PR",S1998)),"China",
ISNUMBER(SEARCH("IR Iran",S1998)),"Iran",
ISNUMBER(SEARCH("Congo DR",S1998)),"Democratic Republic of the Congo",
ISNUMBER(SEARCH("DR Congo",S1998)),"Democratic Republic of the Congo",
ISNUMBER(SEARCH("German DR",S1998)),"DR Germany",
ISNUMBER(SEARCH("rn""&gt;United Arab Emirates",S1998)),"United Arab Emirates",
ISNUMBER(SEARCH("rn""&gt;Republic of Ireland",S1998)),"Ireland",
ISNUMBER(SEARCH("rn""&gt;Bosnia and Herzegovina",S1998)),"Bosnia and Herzegovina",
ISNUMBER(SEARCH("rn""&gt;Trinidad and Tobago",S1998)),"Trinidad and Tobago",
ISNUMBER(SEARCH("rn""&gt;Serbia and Montenegro",S1998)),"Serbia and Montenegro",
ISNUMBER(SEARCH(_xlfn.UNICHAR(65533),S1998)),"Côte d'Ivoire",
TRUE,""
)</f>
        <v/>
      </c>
      <c r="W1998" s="12" t="str">
        <f t="shared" si="153"/>
        <v>Iraq</v>
      </c>
    </row>
    <row r="1999" spans="2:23">
      <c r="B1999" s="76" t="str">
        <v>1982.0</v>
      </c>
      <c r="C1999" s="42" t="str">
        <v xml:space="preserve">14 Jun 1982 - 21:00 </v>
      </c>
      <c r="D1999" s="42" t="str">
        <v>Group 6</v>
      </c>
      <c r="E1999" s="42" t="str">
        <v>Ramon Sanchez Pizjuan</v>
      </c>
      <c r="F1999" s="42" t="str">
        <v xml:space="preserve">Seville </v>
      </c>
      <c r="G1999" s="42" t="str">
        <v>Brazil</v>
      </c>
      <c r="H1999" s="42" t="str">
        <v>2.0</v>
      </c>
      <c r="I1999" s="42" t="str">
        <v>1.0</v>
      </c>
      <c r="J1999" s="42" t="str">
        <v>Soviet Union</v>
      </c>
      <c r="K1999" s="42" t="str">
        <v xml:space="preserve"> </v>
      </c>
      <c r="L1999" s="42" t="str">
        <f t="shared" si="150"/>
        <v xml:space="preserve">1982.0|14 Jun 1982 - 21:00 |Group 6|Ramon Sanchez Pizjuan|Seville |Brazil|2.0|1.0|Soviet Union| </v>
      </c>
      <c r="M1999" s="42" t="str">
        <f>IF(COUNTIF($L$1689:L1999,L1999)&gt;1,"DOUBLON","OK")</f>
        <v>OK</v>
      </c>
      <c r="S1999" s="12" t="str">
        <v>Iraq</v>
      </c>
      <c r="T1999" s="12" t="str">
        <f t="shared" si="151"/>
        <v>OK</v>
      </c>
      <c r="U1999" s="12" t="str">
        <f t="shared" si="152"/>
        <v>-</v>
      </c>
      <c r="V1999" s="12" t="str" cm="1">
        <f t="array" ref="V1999">_xlfn.IFS(
ISNUMBER(SEARCH("USA",S1999)),"United States",
ISNUMBER(SEARCH("Republic of Ireland",S1999)),"Ireland",
ISNUMBER(SEARCH("Republic of Korea",S1999)),"South Korea",
ISNUMBER(SEARCH("Cape Verde",S1999)),"Cabo Verde",
ISNUMBER(SEARCH("Czechia",S1999)),"Czech Republic",
ISNUMBER(SEARCH("Türkiye",S1999)),"Turkey",
ISNUMBER(SEARCH("Ivory Coast",S1999)),"Côte d'Ivoire",
ISNUMBER(SEARCH("Korea Republic",S1999)),"South Korea",
ISNUMBER(SEARCH("Germany FR",S1999)),"FR Germany",
ISNUMBER(SEARCH("West Germany",S1999)),"FR Germany",
ISNUMBER(SEARCH("Germany DR",S1999)),"DR Germany",
ISNUMBER(SEARCH("Korea DPR",S1999)),"North Korea",
ISNUMBER(SEARCH("China PR",S1999)),"China",
ISNUMBER(SEARCH("IR Iran",S1999)),"Iran",
ISNUMBER(SEARCH("Congo DR",S1999)),"Democratic Republic of the Congo",
ISNUMBER(SEARCH("DR Congo",S1999)),"Democratic Republic of the Congo",
ISNUMBER(SEARCH("German DR",S1999)),"DR Germany",
ISNUMBER(SEARCH("rn""&gt;United Arab Emirates",S1999)),"United Arab Emirates",
ISNUMBER(SEARCH("rn""&gt;Republic of Ireland",S1999)),"Ireland",
ISNUMBER(SEARCH("rn""&gt;Bosnia and Herzegovina",S1999)),"Bosnia and Herzegovina",
ISNUMBER(SEARCH("rn""&gt;Trinidad and Tobago",S1999)),"Trinidad and Tobago",
ISNUMBER(SEARCH("rn""&gt;Serbia and Montenegro",S1999)),"Serbia and Montenegro",
ISNUMBER(SEARCH(_xlfn.UNICHAR(65533),S1999)),"Côte d'Ivoire",
TRUE,""
)</f>
        <v/>
      </c>
      <c r="W1999" s="12" t="str">
        <f t="shared" si="153"/>
        <v>Iraq</v>
      </c>
    </row>
    <row r="2000" spans="2:23">
      <c r="B2000" s="76" t="str">
        <v>1982.0</v>
      </c>
      <c r="C2000" s="42" t="str">
        <v xml:space="preserve">15 Jun 1982 - 17:15 </v>
      </c>
      <c r="D2000" s="42" t="str">
        <v>Group 1</v>
      </c>
      <c r="E2000" s="42" t="str">
        <v>Riazor</v>
      </c>
      <c r="F2000" s="42" t="str">
        <v xml:space="preserve">La Coru�A </v>
      </c>
      <c r="G2000" s="42" t="str">
        <v>Peru</v>
      </c>
      <c r="H2000" s="42" t="str">
        <v>0.0</v>
      </c>
      <c r="I2000" s="42" t="str">
        <v>0.0</v>
      </c>
      <c r="J2000" s="42" t="str">
        <v>Cameroon</v>
      </c>
      <c r="K2000" s="42" t="str">
        <v xml:space="preserve"> </v>
      </c>
      <c r="L2000" s="42" t="str">
        <f t="shared" si="150"/>
        <v xml:space="preserve">1982.0|15 Jun 1982 - 17:15 |Group 1|Riazor|La Coru�A |Peru|0.0|0.0|Cameroon| </v>
      </c>
      <c r="M2000" s="42" t="str">
        <f>IF(COUNTIF($L$1689:L2000,L2000)&gt;1,"DOUBLON","OK")</f>
        <v>OK</v>
      </c>
      <c r="S2000" s="12" t="str">
        <v>Iraq</v>
      </c>
      <c r="T2000" s="12" t="str">
        <f t="shared" si="151"/>
        <v>OK</v>
      </c>
      <c r="U2000" s="12" t="str">
        <f t="shared" si="152"/>
        <v>-</v>
      </c>
      <c r="V2000" s="12" t="str" cm="1">
        <f t="array" ref="V2000">_xlfn.IFS(
ISNUMBER(SEARCH("USA",S2000)),"United States",
ISNUMBER(SEARCH("Republic of Ireland",S2000)),"Ireland",
ISNUMBER(SEARCH("Republic of Korea",S2000)),"South Korea",
ISNUMBER(SEARCH("Cape Verde",S2000)),"Cabo Verde",
ISNUMBER(SEARCH("Czechia",S2000)),"Czech Republic",
ISNUMBER(SEARCH("Türkiye",S2000)),"Turkey",
ISNUMBER(SEARCH("Ivory Coast",S2000)),"Côte d'Ivoire",
ISNUMBER(SEARCH("Korea Republic",S2000)),"South Korea",
ISNUMBER(SEARCH("Germany FR",S2000)),"FR Germany",
ISNUMBER(SEARCH("West Germany",S2000)),"FR Germany",
ISNUMBER(SEARCH("Germany DR",S2000)),"DR Germany",
ISNUMBER(SEARCH("Korea DPR",S2000)),"North Korea",
ISNUMBER(SEARCH("China PR",S2000)),"China",
ISNUMBER(SEARCH("IR Iran",S2000)),"Iran",
ISNUMBER(SEARCH("Congo DR",S2000)),"Democratic Republic of the Congo",
ISNUMBER(SEARCH("DR Congo",S2000)),"Democratic Republic of the Congo",
ISNUMBER(SEARCH("German DR",S2000)),"DR Germany",
ISNUMBER(SEARCH("rn""&gt;United Arab Emirates",S2000)),"United Arab Emirates",
ISNUMBER(SEARCH("rn""&gt;Republic of Ireland",S2000)),"Ireland",
ISNUMBER(SEARCH("rn""&gt;Bosnia and Herzegovina",S2000)),"Bosnia and Herzegovina",
ISNUMBER(SEARCH("rn""&gt;Trinidad and Tobago",S2000)),"Trinidad and Tobago",
ISNUMBER(SEARCH("rn""&gt;Serbia and Montenegro",S2000)),"Serbia and Montenegro",
ISNUMBER(SEARCH(_xlfn.UNICHAR(65533),S2000)),"Côte d'Ivoire",
TRUE,""
)</f>
        <v/>
      </c>
      <c r="W2000" s="12" t="str">
        <f t="shared" si="153"/>
        <v>Iraq</v>
      </c>
    </row>
    <row r="2001" spans="2:23">
      <c r="B2001" s="76" t="str">
        <v>1982.0</v>
      </c>
      <c r="C2001" s="42" t="str">
        <v xml:space="preserve">15 Jun 1982 - 21:00 </v>
      </c>
      <c r="D2001" s="42" t="str">
        <v>Group 3</v>
      </c>
      <c r="E2001" s="42" t="str">
        <v>Nuevo Estadio</v>
      </c>
      <c r="F2001" s="42" t="str">
        <v xml:space="preserve">Elche </v>
      </c>
      <c r="G2001" s="42" t="str">
        <v>Hungary</v>
      </c>
      <c r="H2001" s="42" t="str">
        <v>10.0</v>
      </c>
      <c r="I2001" s="42" t="str">
        <v>1.0</v>
      </c>
      <c r="J2001" s="42" t="str">
        <v>El Salvador</v>
      </c>
      <c r="K2001" s="42" t="str">
        <v xml:space="preserve"> </v>
      </c>
      <c r="L2001" s="42" t="str">
        <f t="shared" si="150"/>
        <v xml:space="preserve">1982.0|15 Jun 1982 - 21:00 |Group 3|Nuevo Estadio|Elche |Hungary|10.0|1.0|El Salvador| </v>
      </c>
      <c r="M2001" s="42" t="str">
        <f>IF(COUNTIF($L$1689:L2001,L2001)&gt;1,"DOUBLON","OK")</f>
        <v>OK</v>
      </c>
      <c r="S2001" s="12" t="str">
        <v>Iraq</v>
      </c>
      <c r="T2001" s="12" t="str">
        <f t="shared" si="151"/>
        <v>OK</v>
      </c>
      <c r="U2001" s="12" t="str">
        <f t="shared" si="152"/>
        <v>-</v>
      </c>
      <c r="V2001" s="12" t="str" cm="1">
        <f t="array" ref="V2001">_xlfn.IFS(
ISNUMBER(SEARCH("USA",S2001)),"United States",
ISNUMBER(SEARCH("Republic of Ireland",S2001)),"Ireland",
ISNUMBER(SEARCH("Republic of Korea",S2001)),"South Korea",
ISNUMBER(SEARCH("Cape Verde",S2001)),"Cabo Verde",
ISNUMBER(SEARCH("Czechia",S2001)),"Czech Republic",
ISNUMBER(SEARCH("Türkiye",S2001)),"Turkey",
ISNUMBER(SEARCH("Ivory Coast",S2001)),"Côte d'Ivoire",
ISNUMBER(SEARCH("Korea Republic",S2001)),"South Korea",
ISNUMBER(SEARCH("Germany FR",S2001)),"FR Germany",
ISNUMBER(SEARCH("West Germany",S2001)),"FR Germany",
ISNUMBER(SEARCH("Germany DR",S2001)),"DR Germany",
ISNUMBER(SEARCH("Korea DPR",S2001)),"North Korea",
ISNUMBER(SEARCH("China PR",S2001)),"China",
ISNUMBER(SEARCH("IR Iran",S2001)),"Iran",
ISNUMBER(SEARCH("Congo DR",S2001)),"Democratic Republic of the Congo",
ISNUMBER(SEARCH("DR Congo",S2001)),"Democratic Republic of the Congo",
ISNUMBER(SEARCH("German DR",S2001)),"DR Germany",
ISNUMBER(SEARCH("rn""&gt;United Arab Emirates",S2001)),"United Arab Emirates",
ISNUMBER(SEARCH("rn""&gt;Republic of Ireland",S2001)),"Ireland",
ISNUMBER(SEARCH("rn""&gt;Bosnia and Herzegovina",S2001)),"Bosnia and Herzegovina",
ISNUMBER(SEARCH("rn""&gt;Trinidad and Tobago",S2001)),"Trinidad and Tobago",
ISNUMBER(SEARCH("rn""&gt;Serbia and Montenegro",S2001)),"Serbia and Montenegro",
ISNUMBER(SEARCH(_xlfn.UNICHAR(65533),S2001)),"Côte d'Ivoire",
TRUE,""
)</f>
        <v/>
      </c>
      <c r="W2001" s="12" t="str">
        <f t="shared" si="153"/>
        <v>Iraq</v>
      </c>
    </row>
    <row r="2002" spans="2:23">
      <c r="B2002" s="76" t="str">
        <v>1982.0</v>
      </c>
      <c r="C2002" s="42" t="str">
        <v xml:space="preserve">15 Jun 1982 - 21:00 </v>
      </c>
      <c r="D2002" s="42" t="str">
        <v>Group 6</v>
      </c>
      <c r="E2002" s="42" t="str">
        <v>La Rosaleda</v>
      </c>
      <c r="F2002" s="42" t="str">
        <v xml:space="preserve">Malaga </v>
      </c>
      <c r="G2002" s="42" t="str">
        <v>Scotland</v>
      </c>
      <c r="H2002" s="42" t="str">
        <v>5.0</v>
      </c>
      <c r="I2002" s="42" t="str">
        <v>2.0</v>
      </c>
      <c r="J2002" s="42" t="str">
        <v>New Zealand</v>
      </c>
      <c r="K2002" s="42" t="str">
        <v xml:space="preserve"> </v>
      </c>
      <c r="L2002" s="42" t="str">
        <f t="shared" si="150"/>
        <v xml:space="preserve">1982.0|15 Jun 1982 - 21:00 |Group 6|La Rosaleda|Malaga |Scotland|5.0|2.0|New Zealand| </v>
      </c>
      <c r="M2002" s="42" t="str">
        <f>IF(COUNTIF($L$1689:L2002,L2002)&gt;1,"DOUBLON","OK")</f>
        <v>OK</v>
      </c>
      <c r="S2002" s="12" t="str">
        <v>Iraq</v>
      </c>
      <c r="T2002" s="12" t="str">
        <f t="shared" si="151"/>
        <v>OK</v>
      </c>
      <c r="U2002" s="12" t="str">
        <f t="shared" si="152"/>
        <v>-</v>
      </c>
      <c r="V2002" s="12" t="str" cm="1">
        <f t="array" ref="V2002">_xlfn.IFS(
ISNUMBER(SEARCH("USA",S2002)),"United States",
ISNUMBER(SEARCH("Republic of Ireland",S2002)),"Ireland",
ISNUMBER(SEARCH("Republic of Korea",S2002)),"South Korea",
ISNUMBER(SEARCH("Cape Verde",S2002)),"Cabo Verde",
ISNUMBER(SEARCH("Czechia",S2002)),"Czech Republic",
ISNUMBER(SEARCH("Türkiye",S2002)),"Turkey",
ISNUMBER(SEARCH("Ivory Coast",S2002)),"Côte d'Ivoire",
ISNUMBER(SEARCH("Korea Republic",S2002)),"South Korea",
ISNUMBER(SEARCH("Germany FR",S2002)),"FR Germany",
ISNUMBER(SEARCH("West Germany",S2002)),"FR Germany",
ISNUMBER(SEARCH("Germany DR",S2002)),"DR Germany",
ISNUMBER(SEARCH("Korea DPR",S2002)),"North Korea",
ISNUMBER(SEARCH("China PR",S2002)),"China",
ISNUMBER(SEARCH("IR Iran",S2002)),"Iran",
ISNUMBER(SEARCH("Congo DR",S2002)),"Democratic Republic of the Congo",
ISNUMBER(SEARCH("DR Congo",S2002)),"Democratic Republic of the Congo",
ISNUMBER(SEARCH("German DR",S2002)),"DR Germany",
ISNUMBER(SEARCH("rn""&gt;United Arab Emirates",S2002)),"United Arab Emirates",
ISNUMBER(SEARCH("rn""&gt;Republic of Ireland",S2002)),"Ireland",
ISNUMBER(SEARCH("rn""&gt;Bosnia and Herzegovina",S2002)),"Bosnia and Herzegovina",
ISNUMBER(SEARCH("rn""&gt;Trinidad and Tobago",S2002)),"Trinidad and Tobago",
ISNUMBER(SEARCH("rn""&gt;Serbia and Montenegro",S2002)),"Serbia and Montenegro",
ISNUMBER(SEARCH(_xlfn.UNICHAR(65533),S2002)),"Côte d'Ivoire",
TRUE,""
)</f>
        <v/>
      </c>
      <c r="W2002" s="12" t="str">
        <f t="shared" si="153"/>
        <v>Iraq</v>
      </c>
    </row>
    <row r="2003" spans="2:23">
      <c r="B2003" s="76" t="str">
        <v>1982.0</v>
      </c>
      <c r="C2003" s="42" t="str">
        <v xml:space="preserve">16 Jun 1982 - 17:15 </v>
      </c>
      <c r="D2003" s="42" t="str">
        <v>Group 2</v>
      </c>
      <c r="E2003" s="42" t="str">
        <v>El Molinon</v>
      </c>
      <c r="F2003" s="42" t="str">
        <v xml:space="preserve">Gijon </v>
      </c>
      <c r="G2003" s="42" t="str">
        <v>Germany FR</v>
      </c>
      <c r="H2003" s="42" t="str">
        <v>1.0</v>
      </c>
      <c r="I2003" s="42" t="str">
        <v>2.0</v>
      </c>
      <c r="J2003" s="42" t="str">
        <v>Algeria</v>
      </c>
      <c r="K2003" s="42" t="str">
        <v xml:space="preserve"> </v>
      </c>
      <c r="L2003" s="42" t="str">
        <f t="shared" si="150"/>
        <v xml:space="preserve">1982.0|16 Jun 1982 - 17:15 |Group 2|El Molinon|Gijon |Germany FR|1.0|2.0|Algeria| </v>
      </c>
      <c r="M2003" s="42" t="str">
        <f>IF(COUNTIF($L$1689:L2003,L2003)&gt;1,"DOUBLON","OK")</f>
        <v>OK</v>
      </c>
      <c r="S2003" s="12" t="str">
        <v>Iraq</v>
      </c>
      <c r="T2003" s="12" t="str">
        <f t="shared" si="151"/>
        <v>OK</v>
      </c>
      <c r="U2003" s="12" t="str">
        <f t="shared" si="152"/>
        <v>-</v>
      </c>
      <c r="V2003" s="12" t="str" cm="1">
        <f t="array" ref="V2003">_xlfn.IFS(
ISNUMBER(SEARCH("USA",S2003)),"United States",
ISNUMBER(SEARCH("Republic of Ireland",S2003)),"Ireland",
ISNUMBER(SEARCH("Republic of Korea",S2003)),"South Korea",
ISNUMBER(SEARCH("Cape Verde",S2003)),"Cabo Verde",
ISNUMBER(SEARCH("Czechia",S2003)),"Czech Republic",
ISNUMBER(SEARCH("Türkiye",S2003)),"Turkey",
ISNUMBER(SEARCH("Ivory Coast",S2003)),"Côte d'Ivoire",
ISNUMBER(SEARCH("Korea Republic",S2003)),"South Korea",
ISNUMBER(SEARCH("Germany FR",S2003)),"FR Germany",
ISNUMBER(SEARCH("West Germany",S2003)),"FR Germany",
ISNUMBER(SEARCH("Germany DR",S2003)),"DR Germany",
ISNUMBER(SEARCH("Korea DPR",S2003)),"North Korea",
ISNUMBER(SEARCH("China PR",S2003)),"China",
ISNUMBER(SEARCH("IR Iran",S2003)),"Iran",
ISNUMBER(SEARCH("Congo DR",S2003)),"Democratic Republic of the Congo",
ISNUMBER(SEARCH("DR Congo",S2003)),"Democratic Republic of the Congo",
ISNUMBER(SEARCH("German DR",S2003)),"DR Germany",
ISNUMBER(SEARCH("rn""&gt;United Arab Emirates",S2003)),"United Arab Emirates",
ISNUMBER(SEARCH("rn""&gt;Republic of Ireland",S2003)),"Ireland",
ISNUMBER(SEARCH("rn""&gt;Bosnia and Herzegovina",S2003)),"Bosnia and Herzegovina",
ISNUMBER(SEARCH("rn""&gt;Trinidad and Tobago",S2003)),"Trinidad and Tobago",
ISNUMBER(SEARCH("rn""&gt;Serbia and Montenegro",S2003)),"Serbia and Montenegro",
ISNUMBER(SEARCH(_xlfn.UNICHAR(65533),S2003)),"Côte d'Ivoire",
TRUE,""
)</f>
        <v/>
      </c>
      <c r="W2003" s="12" t="str">
        <f t="shared" si="153"/>
        <v>Iraq</v>
      </c>
    </row>
    <row r="2004" spans="2:23">
      <c r="B2004" s="76" t="str">
        <v>1982.0</v>
      </c>
      <c r="C2004" s="42" t="str">
        <v xml:space="preserve">16 Jun 1982 - 17:15 </v>
      </c>
      <c r="D2004" s="42" t="str">
        <v>Group 4</v>
      </c>
      <c r="E2004" s="42" t="str">
        <v>San Mames</v>
      </c>
      <c r="F2004" s="42" t="str">
        <v xml:space="preserve">Bilbao </v>
      </c>
      <c r="G2004" s="42" t="str">
        <v>England</v>
      </c>
      <c r="H2004" s="42" t="str">
        <v>3.0</v>
      </c>
      <c r="I2004" s="42" t="str">
        <v>1.0</v>
      </c>
      <c r="J2004" s="42" t="str">
        <v>France</v>
      </c>
      <c r="K2004" s="42" t="str">
        <v xml:space="preserve"> </v>
      </c>
      <c r="L2004" s="42" t="str">
        <f t="shared" si="150"/>
        <v xml:space="preserve">1982.0|16 Jun 1982 - 17:15 |Group 4|San Mames|Bilbao |England|3.0|1.0|France| </v>
      </c>
      <c r="M2004" s="42" t="str">
        <f>IF(COUNTIF($L$1689:L2004,L2004)&gt;1,"DOUBLON","OK")</f>
        <v>OK</v>
      </c>
      <c r="S2004" s="12" t="str">
        <v>Iraq</v>
      </c>
      <c r="T2004" s="12" t="str">
        <f t="shared" si="151"/>
        <v>OK</v>
      </c>
      <c r="U2004" s="12" t="str">
        <f t="shared" si="152"/>
        <v>-</v>
      </c>
      <c r="V2004" s="12" t="str" cm="1">
        <f t="array" ref="V2004">_xlfn.IFS(
ISNUMBER(SEARCH("USA",S2004)),"United States",
ISNUMBER(SEARCH("Republic of Ireland",S2004)),"Ireland",
ISNUMBER(SEARCH("Republic of Korea",S2004)),"South Korea",
ISNUMBER(SEARCH("Cape Verde",S2004)),"Cabo Verde",
ISNUMBER(SEARCH("Czechia",S2004)),"Czech Republic",
ISNUMBER(SEARCH("Türkiye",S2004)),"Turkey",
ISNUMBER(SEARCH("Ivory Coast",S2004)),"Côte d'Ivoire",
ISNUMBER(SEARCH("Korea Republic",S2004)),"South Korea",
ISNUMBER(SEARCH("Germany FR",S2004)),"FR Germany",
ISNUMBER(SEARCH("West Germany",S2004)),"FR Germany",
ISNUMBER(SEARCH("Germany DR",S2004)),"DR Germany",
ISNUMBER(SEARCH("Korea DPR",S2004)),"North Korea",
ISNUMBER(SEARCH("China PR",S2004)),"China",
ISNUMBER(SEARCH("IR Iran",S2004)),"Iran",
ISNUMBER(SEARCH("Congo DR",S2004)),"Democratic Republic of the Congo",
ISNUMBER(SEARCH("DR Congo",S2004)),"Democratic Republic of the Congo",
ISNUMBER(SEARCH("German DR",S2004)),"DR Germany",
ISNUMBER(SEARCH("rn""&gt;United Arab Emirates",S2004)),"United Arab Emirates",
ISNUMBER(SEARCH("rn""&gt;Republic of Ireland",S2004)),"Ireland",
ISNUMBER(SEARCH("rn""&gt;Bosnia and Herzegovina",S2004)),"Bosnia and Herzegovina",
ISNUMBER(SEARCH("rn""&gt;Trinidad and Tobago",S2004)),"Trinidad and Tobago",
ISNUMBER(SEARCH("rn""&gt;Serbia and Montenegro",S2004)),"Serbia and Montenegro",
ISNUMBER(SEARCH(_xlfn.UNICHAR(65533),S2004)),"Côte d'Ivoire",
TRUE,""
)</f>
        <v/>
      </c>
      <c r="W2004" s="12" t="str">
        <f t="shared" si="153"/>
        <v>Iraq</v>
      </c>
    </row>
    <row r="2005" spans="2:23">
      <c r="B2005" s="76" t="str">
        <v>1982.0</v>
      </c>
      <c r="C2005" s="42" t="str">
        <v xml:space="preserve">16 Jun 1982 - 21:00 </v>
      </c>
      <c r="D2005" s="42" t="str">
        <v>Group 5</v>
      </c>
      <c r="E2005" s="42" t="str">
        <v>Luis Casanova</v>
      </c>
      <c r="F2005" s="42" t="str">
        <v xml:space="preserve">Valencia </v>
      </c>
      <c r="G2005" s="42" t="str">
        <v>Spain</v>
      </c>
      <c r="H2005" s="42" t="str">
        <v>1.0</v>
      </c>
      <c r="I2005" s="42" t="str">
        <v>1.0</v>
      </c>
      <c r="J2005" s="42" t="str">
        <v>Honduras</v>
      </c>
      <c r="K2005" s="42" t="str">
        <v xml:space="preserve"> </v>
      </c>
      <c r="L2005" s="42" t="str">
        <f t="shared" si="150"/>
        <v xml:space="preserve">1982.0|16 Jun 1982 - 21:00 |Group 5|Luis Casanova|Valencia |Spain|1.0|1.0|Honduras| </v>
      </c>
      <c r="M2005" s="42" t="str">
        <f>IF(COUNTIF($L$1689:L2005,L2005)&gt;1,"DOUBLON","OK")</f>
        <v>OK</v>
      </c>
      <c r="S2005" s="12" t="str">
        <v>Norway</v>
      </c>
      <c r="T2005" s="12" t="str">
        <f t="shared" si="151"/>
        <v>OK</v>
      </c>
      <c r="U2005" s="12" t="str">
        <f t="shared" si="152"/>
        <v>-</v>
      </c>
      <c r="V2005" s="12" t="str" cm="1">
        <f t="array" ref="V2005">_xlfn.IFS(
ISNUMBER(SEARCH("USA",S2005)),"United States",
ISNUMBER(SEARCH("Republic of Ireland",S2005)),"Ireland",
ISNUMBER(SEARCH("Republic of Korea",S2005)),"South Korea",
ISNUMBER(SEARCH("Cape Verde",S2005)),"Cabo Verde",
ISNUMBER(SEARCH("Czechia",S2005)),"Czech Republic",
ISNUMBER(SEARCH("Türkiye",S2005)),"Turkey",
ISNUMBER(SEARCH("Ivory Coast",S2005)),"Côte d'Ivoire",
ISNUMBER(SEARCH("Korea Republic",S2005)),"South Korea",
ISNUMBER(SEARCH("Germany FR",S2005)),"FR Germany",
ISNUMBER(SEARCH("West Germany",S2005)),"FR Germany",
ISNUMBER(SEARCH("Germany DR",S2005)),"DR Germany",
ISNUMBER(SEARCH("Korea DPR",S2005)),"North Korea",
ISNUMBER(SEARCH("China PR",S2005)),"China",
ISNUMBER(SEARCH("IR Iran",S2005)),"Iran",
ISNUMBER(SEARCH("Congo DR",S2005)),"Democratic Republic of the Congo",
ISNUMBER(SEARCH("DR Congo",S2005)),"Democratic Republic of the Congo",
ISNUMBER(SEARCH("German DR",S2005)),"DR Germany",
ISNUMBER(SEARCH("rn""&gt;United Arab Emirates",S2005)),"United Arab Emirates",
ISNUMBER(SEARCH("rn""&gt;Republic of Ireland",S2005)),"Ireland",
ISNUMBER(SEARCH("rn""&gt;Bosnia and Herzegovina",S2005)),"Bosnia and Herzegovina",
ISNUMBER(SEARCH("rn""&gt;Trinidad and Tobago",S2005)),"Trinidad and Tobago",
ISNUMBER(SEARCH("rn""&gt;Serbia and Montenegro",S2005)),"Serbia and Montenegro",
ISNUMBER(SEARCH(_xlfn.UNICHAR(65533),S2005)),"Côte d'Ivoire",
TRUE,""
)</f>
        <v/>
      </c>
      <c r="W2005" s="12" t="str">
        <f t="shared" si="153"/>
        <v>Norway</v>
      </c>
    </row>
    <row r="2006" spans="2:23">
      <c r="B2006" s="76" t="str">
        <v>1982.0</v>
      </c>
      <c r="C2006" s="42" t="str">
        <v xml:space="preserve">17 Jun 1982 - 17:15 </v>
      </c>
      <c r="D2006" s="42" t="str">
        <v>Group 2</v>
      </c>
      <c r="E2006" s="42" t="str">
        <v>Carlos Tartiere</v>
      </c>
      <c r="F2006" s="42" t="str">
        <v xml:space="preserve">Oviedo </v>
      </c>
      <c r="G2006" s="42" t="str">
        <v>Chile</v>
      </c>
      <c r="H2006" s="42" t="str">
        <v>0.0</v>
      </c>
      <c r="I2006" s="42" t="str">
        <v>1.0</v>
      </c>
      <c r="J2006" s="42" t="str">
        <v>Austria</v>
      </c>
      <c r="K2006" s="42" t="str">
        <v xml:space="preserve"> </v>
      </c>
      <c r="L2006" s="42" t="str">
        <f t="shared" si="150"/>
        <v xml:space="preserve">1982.0|17 Jun 1982 - 17:15 |Group 2|Carlos Tartiere|Oviedo |Chile|0.0|1.0|Austria| </v>
      </c>
      <c r="M2006" s="42" t="str">
        <f>IF(COUNTIF($L$1689:L2006,L2006)&gt;1,"DOUBLON","OK")</f>
        <v>OK</v>
      </c>
      <c r="S2006" s="12" t="str">
        <v>Norway</v>
      </c>
      <c r="T2006" s="12" t="str">
        <f t="shared" si="151"/>
        <v>OK</v>
      </c>
      <c r="U2006" s="12" t="str">
        <f t="shared" si="152"/>
        <v>-</v>
      </c>
      <c r="V2006" s="12" t="str" cm="1">
        <f t="array" ref="V2006">_xlfn.IFS(
ISNUMBER(SEARCH("USA",S2006)),"United States",
ISNUMBER(SEARCH("Republic of Ireland",S2006)),"Ireland",
ISNUMBER(SEARCH("Republic of Korea",S2006)),"South Korea",
ISNUMBER(SEARCH("Cape Verde",S2006)),"Cabo Verde",
ISNUMBER(SEARCH("Czechia",S2006)),"Czech Republic",
ISNUMBER(SEARCH("Türkiye",S2006)),"Turkey",
ISNUMBER(SEARCH("Ivory Coast",S2006)),"Côte d'Ivoire",
ISNUMBER(SEARCH("Korea Republic",S2006)),"South Korea",
ISNUMBER(SEARCH("Germany FR",S2006)),"FR Germany",
ISNUMBER(SEARCH("West Germany",S2006)),"FR Germany",
ISNUMBER(SEARCH("Germany DR",S2006)),"DR Germany",
ISNUMBER(SEARCH("Korea DPR",S2006)),"North Korea",
ISNUMBER(SEARCH("China PR",S2006)),"China",
ISNUMBER(SEARCH("IR Iran",S2006)),"Iran",
ISNUMBER(SEARCH("Congo DR",S2006)),"Democratic Republic of the Congo",
ISNUMBER(SEARCH("DR Congo",S2006)),"Democratic Republic of the Congo",
ISNUMBER(SEARCH("German DR",S2006)),"DR Germany",
ISNUMBER(SEARCH("rn""&gt;United Arab Emirates",S2006)),"United Arab Emirates",
ISNUMBER(SEARCH("rn""&gt;Republic of Ireland",S2006)),"Ireland",
ISNUMBER(SEARCH("rn""&gt;Bosnia and Herzegovina",S2006)),"Bosnia and Herzegovina",
ISNUMBER(SEARCH("rn""&gt;Trinidad and Tobago",S2006)),"Trinidad and Tobago",
ISNUMBER(SEARCH("rn""&gt;Serbia and Montenegro",S2006)),"Serbia and Montenegro",
ISNUMBER(SEARCH(_xlfn.UNICHAR(65533),S2006)),"Côte d'Ivoire",
TRUE,""
)</f>
        <v/>
      </c>
      <c r="W2006" s="12" t="str">
        <f t="shared" si="153"/>
        <v>Norway</v>
      </c>
    </row>
    <row r="2007" spans="2:23">
      <c r="B2007" s="76" t="str">
        <v>1982.0</v>
      </c>
      <c r="C2007" s="42" t="str">
        <v xml:space="preserve">17 Jun 1982 - 17:45 </v>
      </c>
      <c r="D2007" s="42" t="str">
        <v>Group 4</v>
      </c>
      <c r="E2007" s="42" t="str">
        <v>Jose Zorrilla</v>
      </c>
      <c r="F2007" s="42" t="str">
        <v xml:space="preserve">Valladolid </v>
      </c>
      <c r="G2007" s="42" t="str">
        <v>Czechoslovakia</v>
      </c>
      <c r="H2007" s="42" t="str">
        <v>1.0</v>
      </c>
      <c r="I2007" s="42" t="str">
        <v>1.0</v>
      </c>
      <c r="J2007" s="42" t="str">
        <v>Kuwait</v>
      </c>
      <c r="K2007" s="42" t="str">
        <v xml:space="preserve"> </v>
      </c>
      <c r="L2007" s="42" t="str">
        <f t="shared" si="150"/>
        <v xml:space="preserve">1982.0|17 Jun 1982 - 17:45 |Group 4|Jose Zorrilla|Valladolid |Czechoslovakia|1.0|1.0|Kuwait| </v>
      </c>
      <c r="M2007" s="42" t="str">
        <f>IF(COUNTIF($L$1689:L2007,L2007)&gt;1,"DOUBLON","OK")</f>
        <v>OK</v>
      </c>
      <c r="S2007" s="12" t="str">
        <v>Norway</v>
      </c>
      <c r="T2007" s="12" t="str">
        <f t="shared" si="151"/>
        <v>OK</v>
      </c>
      <c r="U2007" s="12" t="str">
        <f t="shared" si="152"/>
        <v>-</v>
      </c>
      <c r="V2007" s="12" t="str" cm="1">
        <f t="array" ref="V2007">_xlfn.IFS(
ISNUMBER(SEARCH("USA",S2007)),"United States",
ISNUMBER(SEARCH("Republic of Ireland",S2007)),"Ireland",
ISNUMBER(SEARCH("Republic of Korea",S2007)),"South Korea",
ISNUMBER(SEARCH("Cape Verde",S2007)),"Cabo Verde",
ISNUMBER(SEARCH("Czechia",S2007)),"Czech Republic",
ISNUMBER(SEARCH("Türkiye",S2007)),"Turkey",
ISNUMBER(SEARCH("Ivory Coast",S2007)),"Côte d'Ivoire",
ISNUMBER(SEARCH("Korea Republic",S2007)),"South Korea",
ISNUMBER(SEARCH("Germany FR",S2007)),"FR Germany",
ISNUMBER(SEARCH("West Germany",S2007)),"FR Germany",
ISNUMBER(SEARCH("Germany DR",S2007)),"DR Germany",
ISNUMBER(SEARCH("Korea DPR",S2007)),"North Korea",
ISNUMBER(SEARCH("China PR",S2007)),"China",
ISNUMBER(SEARCH("IR Iran",S2007)),"Iran",
ISNUMBER(SEARCH("Congo DR",S2007)),"Democratic Republic of the Congo",
ISNUMBER(SEARCH("DR Congo",S2007)),"Democratic Republic of the Congo",
ISNUMBER(SEARCH("German DR",S2007)),"DR Germany",
ISNUMBER(SEARCH("rn""&gt;United Arab Emirates",S2007)),"United Arab Emirates",
ISNUMBER(SEARCH("rn""&gt;Republic of Ireland",S2007)),"Ireland",
ISNUMBER(SEARCH("rn""&gt;Bosnia and Herzegovina",S2007)),"Bosnia and Herzegovina",
ISNUMBER(SEARCH("rn""&gt;Trinidad and Tobago",S2007)),"Trinidad and Tobago",
ISNUMBER(SEARCH("rn""&gt;Serbia and Montenegro",S2007)),"Serbia and Montenegro",
ISNUMBER(SEARCH(_xlfn.UNICHAR(65533),S2007)),"Côte d'Ivoire",
TRUE,""
)</f>
        <v/>
      </c>
      <c r="W2007" s="12" t="str">
        <f t="shared" si="153"/>
        <v>Norway</v>
      </c>
    </row>
    <row r="2008" spans="2:23">
      <c r="B2008" s="76" t="str">
        <v>1982.0</v>
      </c>
      <c r="C2008" s="42" t="str">
        <v xml:space="preserve">17 Jun 1982 - 21:00 </v>
      </c>
      <c r="D2008" s="42" t="str">
        <v>Group 5</v>
      </c>
      <c r="E2008" s="42" t="str">
        <v>La Romareda</v>
      </c>
      <c r="F2008" s="42" t="str">
        <v xml:space="preserve">Zaragoza </v>
      </c>
      <c r="G2008" s="42" t="str">
        <v>Yugoslavia</v>
      </c>
      <c r="H2008" s="42" t="str">
        <v>0.0</v>
      </c>
      <c r="I2008" s="42" t="str">
        <v>0.0</v>
      </c>
      <c r="J2008" s="42" t="str">
        <v>Northern Ireland</v>
      </c>
      <c r="K2008" s="42" t="str">
        <v xml:space="preserve"> </v>
      </c>
      <c r="L2008" s="42" t="str">
        <f t="shared" si="150"/>
        <v xml:space="preserve">1982.0|17 Jun 1982 - 21:00 |Group 5|La Romareda|Zaragoza |Yugoslavia|0.0|0.0|Northern Ireland| </v>
      </c>
      <c r="M2008" s="42" t="str">
        <f>IF(COUNTIF($L$1689:L2008,L2008)&gt;1,"DOUBLON","OK")</f>
        <v>OK</v>
      </c>
      <c r="S2008" s="12" t="str">
        <v>Norway</v>
      </c>
      <c r="T2008" s="12" t="str">
        <f t="shared" si="151"/>
        <v>OK</v>
      </c>
      <c r="U2008" s="12" t="str">
        <f t="shared" si="152"/>
        <v>-</v>
      </c>
      <c r="V2008" s="12" t="str" cm="1">
        <f t="array" ref="V2008">_xlfn.IFS(
ISNUMBER(SEARCH("USA",S2008)),"United States",
ISNUMBER(SEARCH("Republic of Ireland",S2008)),"Ireland",
ISNUMBER(SEARCH("Republic of Korea",S2008)),"South Korea",
ISNUMBER(SEARCH("Cape Verde",S2008)),"Cabo Verde",
ISNUMBER(SEARCH("Czechia",S2008)),"Czech Republic",
ISNUMBER(SEARCH("Türkiye",S2008)),"Turkey",
ISNUMBER(SEARCH("Ivory Coast",S2008)),"Côte d'Ivoire",
ISNUMBER(SEARCH("Korea Republic",S2008)),"South Korea",
ISNUMBER(SEARCH("Germany FR",S2008)),"FR Germany",
ISNUMBER(SEARCH("West Germany",S2008)),"FR Germany",
ISNUMBER(SEARCH("Germany DR",S2008)),"DR Germany",
ISNUMBER(SEARCH("Korea DPR",S2008)),"North Korea",
ISNUMBER(SEARCH("China PR",S2008)),"China",
ISNUMBER(SEARCH("IR Iran",S2008)),"Iran",
ISNUMBER(SEARCH("Congo DR",S2008)),"Democratic Republic of the Congo",
ISNUMBER(SEARCH("DR Congo",S2008)),"Democratic Republic of the Congo",
ISNUMBER(SEARCH("German DR",S2008)),"DR Germany",
ISNUMBER(SEARCH("rn""&gt;United Arab Emirates",S2008)),"United Arab Emirates",
ISNUMBER(SEARCH("rn""&gt;Republic of Ireland",S2008)),"Ireland",
ISNUMBER(SEARCH("rn""&gt;Bosnia and Herzegovina",S2008)),"Bosnia and Herzegovina",
ISNUMBER(SEARCH("rn""&gt;Trinidad and Tobago",S2008)),"Trinidad and Tobago",
ISNUMBER(SEARCH("rn""&gt;Serbia and Montenegro",S2008)),"Serbia and Montenegro",
ISNUMBER(SEARCH(_xlfn.UNICHAR(65533),S2008)),"Côte d'Ivoire",
TRUE,""
)</f>
        <v/>
      </c>
      <c r="W2008" s="12" t="str">
        <f t="shared" si="153"/>
        <v>Norway</v>
      </c>
    </row>
    <row r="2009" spans="2:23">
      <c r="B2009" s="76" t="str">
        <v>1982.0</v>
      </c>
      <c r="C2009" s="42" t="str">
        <v xml:space="preserve">18 Jun 1982 - 17:15 </v>
      </c>
      <c r="D2009" s="42" t="str">
        <v>Group 1</v>
      </c>
      <c r="E2009" s="42" t="str">
        <v>Estadio Municipal de Bala�dos</v>
      </c>
      <c r="F2009" s="42" t="str">
        <v xml:space="preserve">Vigo </v>
      </c>
      <c r="G2009" s="42" t="str">
        <v>Italy</v>
      </c>
      <c r="H2009" s="42" t="str">
        <v>1.0</v>
      </c>
      <c r="I2009" s="42" t="str">
        <v>1.0</v>
      </c>
      <c r="J2009" s="42" t="str">
        <v>Peru</v>
      </c>
      <c r="K2009" s="42" t="str">
        <v xml:space="preserve"> </v>
      </c>
      <c r="L2009" s="42" t="str">
        <f t="shared" ref="L2009:L2072" si="154">B2009&amp;"|"&amp;C2009&amp;"|"&amp;D2009&amp;"|"&amp;E2009&amp;"|"&amp;F2009&amp;"|"&amp;G2009&amp;"|"&amp;H2009&amp;"|"&amp;I2009&amp;"|"&amp;J2009&amp;"|"&amp;K2009</f>
        <v xml:space="preserve">1982.0|18 Jun 1982 - 17:15 |Group 1|Estadio Municipal de Bala�dos|Vigo |Italy|1.0|1.0|Peru| </v>
      </c>
      <c r="M2009" s="42" t="str">
        <f>IF(COUNTIF($L$1689:L2009,L2009)&gt;1,"DOUBLON","OK")</f>
        <v>OK</v>
      </c>
      <c r="S2009" s="12" t="str">
        <v>Norway</v>
      </c>
      <c r="T2009" s="12" t="str">
        <f t="shared" si="151"/>
        <v>OK</v>
      </c>
      <c r="U2009" s="12" t="str">
        <f t="shared" si="152"/>
        <v>-</v>
      </c>
      <c r="V2009" s="12" t="str" cm="1">
        <f t="array" ref="V2009">_xlfn.IFS(
ISNUMBER(SEARCH("USA",S2009)),"United States",
ISNUMBER(SEARCH("Republic of Ireland",S2009)),"Ireland",
ISNUMBER(SEARCH("Republic of Korea",S2009)),"South Korea",
ISNUMBER(SEARCH("Cape Verde",S2009)),"Cabo Verde",
ISNUMBER(SEARCH("Czechia",S2009)),"Czech Republic",
ISNUMBER(SEARCH("Türkiye",S2009)),"Turkey",
ISNUMBER(SEARCH("Ivory Coast",S2009)),"Côte d'Ivoire",
ISNUMBER(SEARCH("Korea Republic",S2009)),"South Korea",
ISNUMBER(SEARCH("Germany FR",S2009)),"FR Germany",
ISNUMBER(SEARCH("West Germany",S2009)),"FR Germany",
ISNUMBER(SEARCH("Germany DR",S2009)),"DR Germany",
ISNUMBER(SEARCH("Korea DPR",S2009)),"North Korea",
ISNUMBER(SEARCH("China PR",S2009)),"China",
ISNUMBER(SEARCH("IR Iran",S2009)),"Iran",
ISNUMBER(SEARCH("Congo DR",S2009)),"Democratic Republic of the Congo",
ISNUMBER(SEARCH("DR Congo",S2009)),"Democratic Republic of the Congo",
ISNUMBER(SEARCH("German DR",S2009)),"DR Germany",
ISNUMBER(SEARCH("rn""&gt;United Arab Emirates",S2009)),"United Arab Emirates",
ISNUMBER(SEARCH("rn""&gt;Republic of Ireland",S2009)),"Ireland",
ISNUMBER(SEARCH("rn""&gt;Bosnia and Herzegovina",S2009)),"Bosnia and Herzegovina",
ISNUMBER(SEARCH("rn""&gt;Trinidad and Tobago",S2009)),"Trinidad and Tobago",
ISNUMBER(SEARCH("rn""&gt;Serbia and Montenegro",S2009)),"Serbia and Montenegro",
ISNUMBER(SEARCH(_xlfn.UNICHAR(65533),S2009)),"Côte d'Ivoire",
TRUE,""
)</f>
        <v/>
      </c>
      <c r="W2009" s="12" t="str">
        <f t="shared" si="153"/>
        <v>Norway</v>
      </c>
    </row>
    <row r="2010" spans="2:23">
      <c r="B2010" s="76" t="str">
        <v>1982.0</v>
      </c>
      <c r="C2010" s="42" t="str">
        <v xml:space="preserve">18 Jun 1982 - 21:00 </v>
      </c>
      <c r="D2010" s="42" t="str">
        <v>Group 3</v>
      </c>
      <c r="E2010" s="42" t="str">
        <v>Jose Rico Perez</v>
      </c>
      <c r="F2010" s="42" t="str">
        <v xml:space="preserve">Alicante </v>
      </c>
      <c r="G2010" s="42" t="str">
        <v>Argentina</v>
      </c>
      <c r="H2010" s="42" t="str">
        <v>4.0</v>
      </c>
      <c r="I2010" s="42" t="str">
        <v>1.0</v>
      </c>
      <c r="J2010" s="42" t="str">
        <v>Hungary</v>
      </c>
      <c r="K2010" s="42" t="str">
        <v xml:space="preserve"> </v>
      </c>
      <c r="L2010" s="42" t="str">
        <f t="shared" si="154"/>
        <v xml:space="preserve">1982.0|18 Jun 1982 - 21:00 |Group 3|Jose Rico Perez|Alicante |Argentina|4.0|1.0|Hungary| </v>
      </c>
      <c r="M2010" s="42" t="str">
        <f>IF(COUNTIF($L$1689:L2010,L2010)&gt;1,"DOUBLON","OK")</f>
        <v>OK</v>
      </c>
      <c r="S2010" s="12" t="str">
        <v>Norway</v>
      </c>
      <c r="T2010" s="12" t="str">
        <f t="shared" si="151"/>
        <v>OK</v>
      </c>
      <c r="U2010" s="12" t="str">
        <f t="shared" si="152"/>
        <v>-</v>
      </c>
      <c r="V2010" s="12" t="str" cm="1">
        <f t="array" ref="V2010">_xlfn.IFS(
ISNUMBER(SEARCH("USA",S2010)),"United States",
ISNUMBER(SEARCH("Republic of Ireland",S2010)),"Ireland",
ISNUMBER(SEARCH("Republic of Korea",S2010)),"South Korea",
ISNUMBER(SEARCH("Cape Verde",S2010)),"Cabo Verde",
ISNUMBER(SEARCH("Czechia",S2010)),"Czech Republic",
ISNUMBER(SEARCH("Türkiye",S2010)),"Turkey",
ISNUMBER(SEARCH("Ivory Coast",S2010)),"Côte d'Ivoire",
ISNUMBER(SEARCH("Korea Republic",S2010)),"South Korea",
ISNUMBER(SEARCH("Germany FR",S2010)),"FR Germany",
ISNUMBER(SEARCH("West Germany",S2010)),"FR Germany",
ISNUMBER(SEARCH("Germany DR",S2010)),"DR Germany",
ISNUMBER(SEARCH("Korea DPR",S2010)),"North Korea",
ISNUMBER(SEARCH("China PR",S2010)),"China",
ISNUMBER(SEARCH("IR Iran",S2010)),"Iran",
ISNUMBER(SEARCH("Congo DR",S2010)),"Democratic Republic of the Congo",
ISNUMBER(SEARCH("DR Congo",S2010)),"Democratic Republic of the Congo",
ISNUMBER(SEARCH("German DR",S2010)),"DR Germany",
ISNUMBER(SEARCH("rn""&gt;United Arab Emirates",S2010)),"United Arab Emirates",
ISNUMBER(SEARCH("rn""&gt;Republic of Ireland",S2010)),"Ireland",
ISNUMBER(SEARCH("rn""&gt;Bosnia and Herzegovina",S2010)),"Bosnia and Herzegovina",
ISNUMBER(SEARCH("rn""&gt;Trinidad and Tobago",S2010)),"Trinidad and Tobago",
ISNUMBER(SEARCH("rn""&gt;Serbia and Montenegro",S2010)),"Serbia and Montenegro",
ISNUMBER(SEARCH(_xlfn.UNICHAR(65533),S2010)),"Côte d'Ivoire",
TRUE,""
)</f>
        <v/>
      </c>
      <c r="W2010" s="12" t="str">
        <f t="shared" si="153"/>
        <v>Norway</v>
      </c>
    </row>
    <row r="2011" spans="2:23">
      <c r="B2011" s="76" t="str">
        <v>1982.0</v>
      </c>
      <c r="C2011" s="42" t="str">
        <v xml:space="preserve">18 Jun 1982 - 21:00 </v>
      </c>
      <c r="D2011" s="42" t="str">
        <v>Group 6</v>
      </c>
      <c r="E2011" s="42" t="str">
        <v>Benito Villamarin</v>
      </c>
      <c r="F2011" s="42" t="str">
        <v xml:space="preserve">Seville </v>
      </c>
      <c r="G2011" s="42" t="str">
        <v>Brazil</v>
      </c>
      <c r="H2011" s="42" t="str">
        <v>4.0</v>
      </c>
      <c r="I2011" s="42" t="str">
        <v>1.0</v>
      </c>
      <c r="J2011" s="42" t="str">
        <v>Scotland</v>
      </c>
      <c r="K2011" s="42" t="str">
        <v xml:space="preserve"> </v>
      </c>
      <c r="L2011" s="42" t="str">
        <f t="shared" si="154"/>
        <v xml:space="preserve">1982.0|18 Jun 1982 - 21:00 |Group 6|Benito Villamarin|Seville |Brazil|4.0|1.0|Scotland| </v>
      </c>
      <c r="M2011" s="42" t="str">
        <f>IF(COUNTIF($L$1689:L2011,L2011)&gt;1,"DOUBLON","OK")</f>
        <v>OK</v>
      </c>
      <c r="S2011" s="12" t="str">
        <v>Norway</v>
      </c>
      <c r="T2011" s="12" t="str">
        <f t="shared" si="151"/>
        <v>OK</v>
      </c>
      <c r="U2011" s="12" t="str">
        <f t="shared" si="152"/>
        <v>-</v>
      </c>
      <c r="V2011" s="12" t="str" cm="1">
        <f t="array" ref="V2011">_xlfn.IFS(
ISNUMBER(SEARCH("USA",S2011)),"United States",
ISNUMBER(SEARCH("Republic of Ireland",S2011)),"Ireland",
ISNUMBER(SEARCH("Republic of Korea",S2011)),"South Korea",
ISNUMBER(SEARCH("Cape Verde",S2011)),"Cabo Verde",
ISNUMBER(SEARCH("Czechia",S2011)),"Czech Republic",
ISNUMBER(SEARCH("Türkiye",S2011)),"Turkey",
ISNUMBER(SEARCH("Ivory Coast",S2011)),"Côte d'Ivoire",
ISNUMBER(SEARCH("Korea Republic",S2011)),"South Korea",
ISNUMBER(SEARCH("Germany FR",S2011)),"FR Germany",
ISNUMBER(SEARCH("West Germany",S2011)),"FR Germany",
ISNUMBER(SEARCH("Germany DR",S2011)),"DR Germany",
ISNUMBER(SEARCH("Korea DPR",S2011)),"North Korea",
ISNUMBER(SEARCH("China PR",S2011)),"China",
ISNUMBER(SEARCH("IR Iran",S2011)),"Iran",
ISNUMBER(SEARCH("Congo DR",S2011)),"Democratic Republic of the Congo",
ISNUMBER(SEARCH("DR Congo",S2011)),"Democratic Republic of the Congo",
ISNUMBER(SEARCH("German DR",S2011)),"DR Germany",
ISNUMBER(SEARCH("rn""&gt;United Arab Emirates",S2011)),"United Arab Emirates",
ISNUMBER(SEARCH("rn""&gt;Republic of Ireland",S2011)),"Ireland",
ISNUMBER(SEARCH("rn""&gt;Bosnia and Herzegovina",S2011)),"Bosnia and Herzegovina",
ISNUMBER(SEARCH("rn""&gt;Trinidad and Tobago",S2011)),"Trinidad and Tobago",
ISNUMBER(SEARCH("rn""&gt;Serbia and Montenegro",S2011)),"Serbia and Montenegro",
ISNUMBER(SEARCH(_xlfn.UNICHAR(65533),S2011)),"Côte d'Ivoire",
TRUE,""
)</f>
        <v/>
      </c>
      <c r="W2011" s="12" t="str">
        <f t="shared" si="153"/>
        <v>Norway</v>
      </c>
    </row>
    <row r="2012" spans="2:23">
      <c r="B2012" s="76" t="str">
        <v>1982.0</v>
      </c>
      <c r="C2012" s="42" t="str">
        <v xml:space="preserve">19 Jun 1982 - 19:15 </v>
      </c>
      <c r="D2012" s="42" t="str">
        <v>Group 1</v>
      </c>
      <c r="E2012" s="42" t="str">
        <v>Riazor</v>
      </c>
      <c r="F2012" s="42" t="str">
        <v xml:space="preserve">La Coru�A </v>
      </c>
      <c r="G2012" s="42" t="str">
        <v>Poland</v>
      </c>
      <c r="H2012" s="42" t="str">
        <v>0.0</v>
      </c>
      <c r="I2012" s="42" t="str">
        <v>0.0</v>
      </c>
      <c r="J2012" s="42" t="str">
        <v>Cameroon</v>
      </c>
      <c r="K2012" s="42" t="str">
        <v xml:space="preserve"> </v>
      </c>
      <c r="L2012" s="42" t="str">
        <f t="shared" si="154"/>
        <v xml:space="preserve">1982.0|19 Jun 1982 - 19:15 |Group 1|Riazor|La Coru�A |Poland|0.0|0.0|Cameroon| </v>
      </c>
      <c r="M2012" s="42" t="str">
        <f>IF(COUNTIF($L$1689:L2012,L2012)&gt;1,"DOUBLON","OK")</f>
        <v>OK</v>
      </c>
      <c r="S2012" s="12" t="str">
        <v>Norway</v>
      </c>
      <c r="T2012" s="12" t="str">
        <f t="shared" si="151"/>
        <v>OK</v>
      </c>
      <c r="U2012" s="12" t="str">
        <f t="shared" si="152"/>
        <v>-</v>
      </c>
      <c r="V2012" s="12" t="str" cm="1">
        <f t="array" ref="V2012">_xlfn.IFS(
ISNUMBER(SEARCH("USA",S2012)),"United States",
ISNUMBER(SEARCH("Republic of Ireland",S2012)),"Ireland",
ISNUMBER(SEARCH("Republic of Korea",S2012)),"South Korea",
ISNUMBER(SEARCH("Cape Verde",S2012)),"Cabo Verde",
ISNUMBER(SEARCH("Czechia",S2012)),"Czech Republic",
ISNUMBER(SEARCH("Türkiye",S2012)),"Turkey",
ISNUMBER(SEARCH("Ivory Coast",S2012)),"Côte d'Ivoire",
ISNUMBER(SEARCH("Korea Republic",S2012)),"South Korea",
ISNUMBER(SEARCH("Germany FR",S2012)),"FR Germany",
ISNUMBER(SEARCH("West Germany",S2012)),"FR Germany",
ISNUMBER(SEARCH("Germany DR",S2012)),"DR Germany",
ISNUMBER(SEARCH("Korea DPR",S2012)),"North Korea",
ISNUMBER(SEARCH("China PR",S2012)),"China",
ISNUMBER(SEARCH("IR Iran",S2012)),"Iran",
ISNUMBER(SEARCH("Congo DR",S2012)),"Democratic Republic of the Congo",
ISNUMBER(SEARCH("DR Congo",S2012)),"Democratic Republic of the Congo",
ISNUMBER(SEARCH("German DR",S2012)),"DR Germany",
ISNUMBER(SEARCH("rn""&gt;United Arab Emirates",S2012)),"United Arab Emirates",
ISNUMBER(SEARCH("rn""&gt;Republic of Ireland",S2012)),"Ireland",
ISNUMBER(SEARCH("rn""&gt;Bosnia and Herzegovina",S2012)),"Bosnia and Herzegovina",
ISNUMBER(SEARCH("rn""&gt;Trinidad and Tobago",S2012)),"Trinidad and Tobago",
ISNUMBER(SEARCH("rn""&gt;Serbia and Montenegro",S2012)),"Serbia and Montenegro",
ISNUMBER(SEARCH(_xlfn.UNICHAR(65533),S2012)),"Côte d'Ivoire",
TRUE,""
)</f>
        <v/>
      </c>
      <c r="W2012" s="12" t="str">
        <f t="shared" si="153"/>
        <v>Norway</v>
      </c>
    </row>
    <row r="2013" spans="2:23">
      <c r="B2013" s="76" t="str">
        <v>1982.0</v>
      </c>
      <c r="C2013" s="42" t="str">
        <v xml:space="preserve">19 Jun 1982 - 21:00 </v>
      </c>
      <c r="D2013" s="42" t="str">
        <v>Group 3</v>
      </c>
      <c r="E2013" s="42" t="str">
        <v>Nuevo Estadio</v>
      </c>
      <c r="F2013" s="42" t="str">
        <v xml:space="preserve">Elche </v>
      </c>
      <c r="G2013" s="42" t="str">
        <v>Belgium</v>
      </c>
      <c r="H2013" s="42" t="str">
        <v>1.0</v>
      </c>
      <c r="I2013" s="42" t="str">
        <v>0.0</v>
      </c>
      <c r="J2013" s="42" t="str">
        <v>El Salvador</v>
      </c>
      <c r="K2013" s="42" t="str">
        <v xml:space="preserve"> </v>
      </c>
      <c r="L2013" s="42" t="str">
        <f t="shared" si="154"/>
        <v xml:space="preserve">1982.0|19 Jun 1982 - 21:00 |Group 3|Nuevo Estadio|Elche |Belgium|1.0|0.0|El Salvador| </v>
      </c>
      <c r="M2013" s="42" t="str">
        <f>IF(COUNTIF($L$1689:L2013,L2013)&gt;1,"DOUBLON","OK")</f>
        <v>OK</v>
      </c>
      <c r="S2013" s="12" t="str">
        <v>Norway</v>
      </c>
      <c r="T2013" s="12" t="str">
        <f t="shared" si="151"/>
        <v>OK</v>
      </c>
      <c r="U2013" s="12" t="str">
        <f t="shared" si="152"/>
        <v>-</v>
      </c>
      <c r="V2013" s="12" t="str" cm="1">
        <f t="array" ref="V2013">_xlfn.IFS(
ISNUMBER(SEARCH("USA",S2013)),"United States",
ISNUMBER(SEARCH("Republic of Ireland",S2013)),"Ireland",
ISNUMBER(SEARCH("Republic of Korea",S2013)),"South Korea",
ISNUMBER(SEARCH("Cape Verde",S2013)),"Cabo Verde",
ISNUMBER(SEARCH("Czechia",S2013)),"Czech Republic",
ISNUMBER(SEARCH("Türkiye",S2013)),"Turkey",
ISNUMBER(SEARCH("Ivory Coast",S2013)),"Côte d'Ivoire",
ISNUMBER(SEARCH("Korea Republic",S2013)),"South Korea",
ISNUMBER(SEARCH("Germany FR",S2013)),"FR Germany",
ISNUMBER(SEARCH("West Germany",S2013)),"FR Germany",
ISNUMBER(SEARCH("Germany DR",S2013)),"DR Germany",
ISNUMBER(SEARCH("Korea DPR",S2013)),"North Korea",
ISNUMBER(SEARCH("China PR",S2013)),"China",
ISNUMBER(SEARCH("IR Iran",S2013)),"Iran",
ISNUMBER(SEARCH("Congo DR",S2013)),"Democratic Republic of the Congo",
ISNUMBER(SEARCH("DR Congo",S2013)),"Democratic Republic of the Congo",
ISNUMBER(SEARCH("German DR",S2013)),"DR Germany",
ISNUMBER(SEARCH("rn""&gt;United Arab Emirates",S2013)),"United Arab Emirates",
ISNUMBER(SEARCH("rn""&gt;Republic of Ireland",S2013)),"Ireland",
ISNUMBER(SEARCH("rn""&gt;Bosnia and Herzegovina",S2013)),"Bosnia and Herzegovina",
ISNUMBER(SEARCH("rn""&gt;Trinidad and Tobago",S2013)),"Trinidad and Tobago",
ISNUMBER(SEARCH("rn""&gt;Serbia and Montenegro",S2013)),"Serbia and Montenegro",
ISNUMBER(SEARCH(_xlfn.UNICHAR(65533),S2013)),"Côte d'Ivoire",
TRUE,""
)</f>
        <v/>
      </c>
      <c r="W2013" s="12" t="str">
        <f t="shared" si="153"/>
        <v>Norway</v>
      </c>
    </row>
    <row r="2014" spans="2:23">
      <c r="B2014" s="76" t="str">
        <v>1982.0</v>
      </c>
      <c r="C2014" s="42" t="str">
        <v xml:space="preserve">19 Jun 1982 - 21:00 </v>
      </c>
      <c r="D2014" s="42" t="str">
        <v>Group 6</v>
      </c>
      <c r="E2014" s="42" t="str">
        <v>La Rosaleda</v>
      </c>
      <c r="F2014" s="42" t="str">
        <v xml:space="preserve">Malaga </v>
      </c>
      <c r="G2014" s="42" t="str">
        <v>Soviet Union</v>
      </c>
      <c r="H2014" s="42" t="str">
        <v>3.0</v>
      </c>
      <c r="I2014" s="42" t="str">
        <v>0.0</v>
      </c>
      <c r="J2014" s="42" t="str">
        <v>New Zealand</v>
      </c>
      <c r="K2014" s="42" t="str">
        <v xml:space="preserve"> </v>
      </c>
      <c r="L2014" s="42" t="str">
        <f t="shared" si="154"/>
        <v xml:space="preserve">1982.0|19 Jun 1982 - 21:00 |Group 6|La Rosaleda|Malaga |Soviet Union|3.0|0.0|New Zealand| </v>
      </c>
      <c r="M2014" s="42" t="str">
        <f>IF(COUNTIF($L$1689:L2014,L2014)&gt;1,"DOUBLON","OK")</f>
        <v>OK</v>
      </c>
      <c r="S2014" s="12" t="str">
        <v>Norway</v>
      </c>
      <c r="T2014" s="12" t="str">
        <f t="shared" si="151"/>
        <v>OK</v>
      </c>
      <c r="U2014" s="12" t="str">
        <f t="shared" si="152"/>
        <v>-</v>
      </c>
      <c r="V2014" s="12" t="str" cm="1">
        <f t="array" ref="V2014">_xlfn.IFS(
ISNUMBER(SEARCH("USA",S2014)),"United States",
ISNUMBER(SEARCH("Republic of Ireland",S2014)),"Ireland",
ISNUMBER(SEARCH("Republic of Korea",S2014)),"South Korea",
ISNUMBER(SEARCH("Cape Verde",S2014)),"Cabo Verde",
ISNUMBER(SEARCH("Czechia",S2014)),"Czech Republic",
ISNUMBER(SEARCH("Türkiye",S2014)),"Turkey",
ISNUMBER(SEARCH("Ivory Coast",S2014)),"Côte d'Ivoire",
ISNUMBER(SEARCH("Korea Republic",S2014)),"South Korea",
ISNUMBER(SEARCH("Germany FR",S2014)),"FR Germany",
ISNUMBER(SEARCH("West Germany",S2014)),"FR Germany",
ISNUMBER(SEARCH("Germany DR",S2014)),"DR Germany",
ISNUMBER(SEARCH("Korea DPR",S2014)),"North Korea",
ISNUMBER(SEARCH("China PR",S2014)),"China",
ISNUMBER(SEARCH("IR Iran",S2014)),"Iran",
ISNUMBER(SEARCH("Congo DR",S2014)),"Democratic Republic of the Congo",
ISNUMBER(SEARCH("DR Congo",S2014)),"Democratic Republic of the Congo",
ISNUMBER(SEARCH("German DR",S2014)),"DR Germany",
ISNUMBER(SEARCH("rn""&gt;United Arab Emirates",S2014)),"United Arab Emirates",
ISNUMBER(SEARCH("rn""&gt;Republic of Ireland",S2014)),"Ireland",
ISNUMBER(SEARCH("rn""&gt;Bosnia and Herzegovina",S2014)),"Bosnia and Herzegovina",
ISNUMBER(SEARCH("rn""&gt;Trinidad and Tobago",S2014)),"Trinidad and Tobago",
ISNUMBER(SEARCH("rn""&gt;Serbia and Montenegro",S2014)),"Serbia and Montenegro",
ISNUMBER(SEARCH(_xlfn.UNICHAR(65533),S2014)),"Côte d'Ivoire",
TRUE,""
)</f>
        <v/>
      </c>
      <c r="W2014" s="12" t="str">
        <f t="shared" si="153"/>
        <v>Norway</v>
      </c>
    </row>
    <row r="2015" spans="2:23">
      <c r="B2015" s="76" t="str">
        <v>1982.0</v>
      </c>
      <c r="C2015" s="42" t="str">
        <v xml:space="preserve">20 Jun 1982 - 17:15 </v>
      </c>
      <c r="D2015" s="42" t="str">
        <v>Group 2</v>
      </c>
      <c r="E2015" s="42" t="str">
        <v>El Molinon</v>
      </c>
      <c r="F2015" s="42" t="str">
        <v xml:space="preserve">Gijon </v>
      </c>
      <c r="G2015" s="42" t="str">
        <v>Germany FR</v>
      </c>
      <c r="H2015" s="42" t="str">
        <v>4.0</v>
      </c>
      <c r="I2015" s="42" t="str">
        <v>1.0</v>
      </c>
      <c r="J2015" s="42" t="str">
        <v>Chile</v>
      </c>
      <c r="K2015" s="42" t="str">
        <v xml:space="preserve"> </v>
      </c>
      <c r="L2015" s="42" t="str">
        <f t="shared" si="154"/>
        <v xml:space="preserve">1982.0|20 Jun 1982 - 17:15 |Group 2|El Molinon|Gijon |Germany FR|4.0|1.0|Chile| </v>
      </c>
      <c r="M2015" s="42" t="str">
        <f>IF(COUNTIF($L$1689:L2015,L2015)&gt;1,"DOUBLON","OK")</f>
        <v>OK</v>
      </c>
      <c r="S2015" s="12" t="str">
        <v>Norway</v>
      </c>
      <c r="T2015" s="12" t="str">
        <f t="shared" si="151"/>
        <v>OK</v>
      </c>
      <c r="U2015" s="12" t="str">
        <f t="shared" si="152"/>
        <v>-</v>
      </c>
      <c r="V2015" s="12" t="str" cm="1">
        <f t="array" ref="V2015">_xlfn.IFS(
ISNUMBER(SEARCH("USA",S2015)),"United States",
ISNUMBER(SEARCH("Republic of Ireland",S2015)),"Ireland",
ISNUMBER(SEARCH("Republic of Korea",S2015)),"South Korea",
ISNUMBER(SEARCH("Cape Verde",S2015)),"Cabo Verde",
ISNUMBER(SEARCH("Czechia",S2015)),"Czech Republic",
ISNUMBER(SEARCH("Türkiye",S2015)),"Turkey",
ISNUMBER(SEARCH("Ivory Coast",S2015)),"Côte d'Ivoire",
ISNUMBER(SEARCH("Korea Republic",S2015)),"South Korea",
ISNUMBER(SEARCH("Germany FR",S2015)),"FR Germany",
ISNUMBER(SEARCH("West Germany",S2015)),"FR Germany",
ISNUMBER(SEARCH("Germany DR",S2015)),"DR Germany",
ISNUMBER(SEARCH("Korea DPR",S2015)),"North Korea",
ISNUMBER(SEARCH("China PR",S2015)),"China",
ISNUMBER(SEARCH("IR Iran",S2015)),"Iran",
ISNUMBER(SEARCH("Congo DR",S2015)),"Democratic Republic of the Congo",
ISNUMBER(SEARCH("DR Congo",S2015)),"Democratic Republic of the Congo",
ISNUMBER(SEARCH("German DR",S2015)),"DR Germany",
ISNUMBER(SEARCH("rn""&gt;United Arab Emirates",S2015)),"United Arab Emirates",
ISNUMBER(SEARCH("rn""&gt;Republic of Ireland",S2015)),"Ireland",
ISNUMBER(SEARCH("rn""&gt;Bosnia and Herzegovina",S2015)),"Bosnia and Herzegovina",
ISNUMBER(SEARCH("rn""&gt;Trinidad and Tobago",S2015)),"Trinidad and Tobago",
ISNUMBER(SEARCH("rn""&gt;Serbia and Montenegro",S2015)),"Serbia and Montenegro",
ISNUMBER(SEARCH(_xlfn.UNICHAR(65533),S2015)),"Côte d'Ivoire",
TRUE,""
)</f>
        <v/>
      </c>
      <c r="W2015" s="12" t="str">
        <f t="shared" si="153"/>
        <v>Norway</v>
      </c>
    </row>
    <row r="2016" spans="2:23">
      <c r="B2016" s="76" t="str">
        <v>1982.0</v>
      </c>
      <c r="C2016" s="42" t="str">
        <v xml:space="preserve">20 Jun 1982 - 17:15 </v>
      </c>
      <c r="D2016" s="42" t="str">
        <v>Group 4</v>
      </c>
      <c r="E2016" s="42" t="str">
        <v>San Mames</v>
      </c>
      <c r="F2016" s="42" t="str">
        <v xml:space="preserve">Bilbao </v>
      </c>
      <c r="G2016" s="42" t="str">
        <v>England</v>
      </c>
      <c r="H2016" s="42" t="str">
        <v>2.0</v>
      </c>
      <c r="I2016" s="42" t="str">
        <v>0.0</v>
      </c>
      <c r="J2016" s="42" t="str">
        <v>Czechoslovakia</v>
      </c>
      <c r="K2016" s="42" t="str">
        <v xml:space="preserve"> </v>
      </c>
      <c r="L2016" s="42" t="str">
        <f t="shared" si="154"/>
        <v xml:space="preserve">1982.0|20 Jun 1982 - 17:15 |Group 4|San Mames|Bilbao |England|2.0|0.0|Czechoslovakia| </v>
      </c>
      <c r="M2016" s="42" t="str">
        <f>IF(COUNTIF($L$1689:L2016,L2016)&gt;1,"DOUBLON","OK")</f>
        <v>OK</v>
      </c>
      <c r="S2016" s="12" t="str">
        <v>Norway</v>
      </c>
      <c r="T2016" s="12" t="str">
        <f t="shared" si="151"/>
        <v>OK</v>
      </c>
      <c r="U2016" s="12" t="str">
        <f t="shared" si="152"/>
        <v>-</v>
      </c>
      <c r="V2016" s="12" t="str" cm="1">
        <f t="array" ref="V2016">_xlfn.IFS(
ISNUMBER(SEARCH("USA",S2016)),"United States",
ISNUMBER(SEARCH("Republic of Ireland",S2016)),"Ireland",
ISNUMBER(SEARCH("Republic of Korea",S2016)),"South Korea",
ISNUMBER(SEARCH("Cape Verde",S2016)),"Cabo Verde",
ISNUMBER(SEARCH("Czechia",S2016)),"Czech Republic",
ISNUMBER(SEARCH("Türkiye",S2016)),"Turkey",
ISNUMBER(SEARCH("Ivory Coast",S2016)),"Côte d'Ivoire",
ISNUMBER(SEARCH("Korea Republic",S2016)),"South Korea",
ISNUMBER(SEARCH("Germany FR",S2016)),"FR Germany",
ISNUMBER(SEARCH("West Germany",S2016)),"FR Germany",
ISNUMBER(SEARCH("Germany DR",S2016)),"DR Germany",
ISNUMBER(SEARCH("Korea DPR",S2016)),"North Korea",
ISNUMBER(SEARCH("China PR",S2016)),"China",
ISNUMBER(SEARCH("IR Iran",S2016)),"Iran",
ISNUMBER(SEARCH("Congo DR",S2016)),"Democratic Republic of the Congo",
ISNUMBER(SEARCH("DR Congo",S2016)),"Democratic Republic of the Congo",
ISNUMBER(SEARCH("German DR",S2016)),"DR Germany",
ISNUMBER(SEARCH("rn""&gt;United Arab Emirates",S2016)),"United Arab Emirates",
ISNUMBER(SEARCH("rn""&gt;Republic of Ireland",S2016)),"Ireland",
ISNUMBER(SEARCH("rn""&gt;Bosnia and Herzegovina",S2016)),"Bosnia and Herzegovina",
ISNUMBER(SEARCH("rn""&gt;Trinidad and Tobago",S2016)),"Trinidad and Tobago",
ISNUMBER(SEARCH("rn""&gt;Serbia and Montenegro",S2016)),"Serbia and Montenegro",
ISNUMBER(SEARCH(_xlfn.UNICHAR(65533),S2016)),"Côte d'Ivoire",
TRUE,""
)</f>
        <v/>
      </c>
      <c r="W2016" s="12" t="str">
        <f t="shared" si="153"/>
        <v>Norway</v>
      </c>
    </row>
    <row r="2017" spans="2:23">
      <c r="B2017" s="76" t="str">
        <v>1982.0</v>
      </c>
      <c r="C2017" s="42" t="str">
        <v xml:space="preserve">20 Jun 1982 - 21:00 </v>
      </c>
      <c r="D2017" s="42" t="str">
        <v>Group 5</v>
      </c>
      <c r="E2017" s="42" t="str">
        <v>Luis Casanova</v>
      </c>
      <c r="F2017" s="42" t="str">
        <v xml:space="preserve">Valencia </v>
      </c>
      <c r="G2017" s="42" t="str">
        <v>Spain</v>
      </c>
      <c r="H2017" s="42" t="str">
        <v>2.0</v>
      </c>
      <c r="I2017" s="42" t="str">
        <v>1.0</v>
      </c>
      <c r="J2017" s="42" t="str">
        <v>Yugoslavia</v>
      </c>
      <c r="K2017" s="42" t="str">
        <v xml:space="preserve"> </v>
      </c>
      <c r="L2017" s="42" t="str">
        <f t="shared" si="154"/>
        <v xml:space="preserve">1982.0|20 Jun 1982 - 21:00 |Group 5|Luis Casanova|Valencia |Spain|2.0|1.0|Yugoslavia| </v>
      </c>
      <c r="M2017" s="42" t="str">
        <f>IF(COUNTIF($L$1689:L2017,L2017)&gt;1,"DOUBLON","OK")</f>
        <v>OK</v>
      </c>
      <c r="S2017" s="12" t="str">
        <v>Norway</v>
      </c>
      <c r="T2017" s="12" t="str">
        <f t="shared" ref="T2017:T2080" si="155">IF(COUNTIF(R$13:R$250,S2017)=1,"OK","ERREUR")</f>
        <v>OK</v>
      </c>
      <c r="U2017" s="12" t="str">
        <f t="shared" si="152"/>
        <v>-</v>
      </c>
      <c r="V2017" s="12" t="str" cm="1">
        <f t="array" ref="V2017">_xlfn.IFS(
ISNUMBER(SEARCH("USA",S2017)),"United States",
ISNUMBER(SEARCH("Republic of Ireland",S2017)),"Ireland",
ISNUMBER(SEARCH("Republic of Korea",S2017)),"South Korea",
ISNUMBER(SEARCH("Cape Verde",S2017)),"Cabo Verde",
ISNUMBER(SEARCH("Czechia",S2017)),"Czech Republic",
ISNUMBER(SEARCH("Türkiye",S2017)),"Turkey",
ISNUMBER(SEARCH("Ivory Coast",S2017)),"Côte d'Ivoire",
ISNUMBER(SEARCH("Korea Republic",S2017)),"South Korea",
ISNUMBER(SEARCH("Germany FR",S2017)),"FR Germany",
ISNUMBER(SEARCH("West Germany",S2017)),"FR Germany",
ISNUMBER(SEARCH("Germany DR",S2017)),"DR Germany",
ISNUMBER(SEARCH("Korea DPR",S2017)),"North Korea",
ISNUMBER(SEARCH("China PR",S2017)),"China",
ISNUMBER(SEARCH("IR Iran",S2017)),"Iran",
ISNUMBER(SEARCH("Congo DR",S2017)),"Democratic Republic of the Congo",
ISNUMBER(SEARCH("DR Congo",S2017)),"Democratic Republic of the Congo",
ISNUMBER(SEARCH("German DR",S2017)),"DR Germany",
ISNUMBER(SEARCH("rn""&gt;United Arab Emirates",S2017)),"United Arab Emirates",
ISNUMBER(SEARCH("rn""&gt;Republic of Ireland",S2017)),"Ireland",
ISNUMBER(SEARCH("rn""&gt;Bosnia and Herzegovina",S2017)),"Bosnia and Herzegovina",
ISNUMBER(SEARCH("rn""&gt;Trinidad and Tobago",S2017)),"Trinidad and Tobago",
ISNUMBER(SEARCH("rn""&gt;Serbia and Montenegro",S2017)),"Serbia and Montenegro",
ISNUMBER(SEARCH(_xlfn.UNICHAR(65533),S2017)),"Côte d'Ivoire",
TRUE,""
)</f>
        <v/>
      </c>
      <c r="W2017" s="12" t="str">
        <f t="shared" si="153"/>
        <v>Norway</v>
      </c>
    </row>
    <row r="2018" spans="2:23">
      <c r="B2018" s="76" t="str">
        <v>1982.0</v>
      </c>
      <c r="C2018" s="42" t="str">
        <v xml:space="preserve">21 Jun 1982 - 17:15 </v>
      </c>
      <c r="D2018" s="42" t="str">
        <v>Group 2</v>
      </c>
      <c r="E2018" s="42" t="str">
        <v>Carlos Tartiere</v>
      </c>
      <c r="F2018" s="42" t="str">
        <v xml:space="preserve">Oviedo </v>
      </c>
      <c r="G2018" s="42" t="str">
        <v>Algeria</v>
      </c>
      <c r="H2018" s="42" t="str">
        <v>0.0</v>
      </c>
      <c r="I2018" s="42" t="str">
        <v>2.0</v>
      </c>
      <c r="J2018" s="42" t="str">
        <v>Austria</v>
      </c>
      <c r="K2018" s="42" t="str">
        <v xml:space="preserve"> </v>
      </c>
      <c r="L2018" s="42" t="str">
        <f t="shared" si="154"/>
        <v xml:space="preserve">1982.0|21 Jun 1982 - 17:15 |Group 2|Carlos Tartiere|Oviedo |Algeria|0.0|2.0|Austria| </v>
      </c>
      <c r="M2018" s="42" t="str">
        <f>IF(COUNTIF($L$1689:L2018,L2018)&gt;1,"DOUBLON","OK")</f>
        <v>OK</v>
      </c>
      <c r="S2018" s="12" t="str">
        <v>Norway</v>
      </c>
      <c r="T2018" s="12" t="str">
        <f t="shared" si="155"/>
        <v>OK</v>
      </c>
      <c r="U2018" s="12" t="str">
        <f t="shared" ref="U2018:U2081" si="156">IF(OR(S2018="Scotland",S2018="England",S2018="Wales",S2018="Yugoslavia",S2018="Czechoslovakia",S2018="Northern Ireland",S2018="Soviet Union",S2018="Zaire",S2018="Dutch East Indies"),"AUCUNE",IF(OR(S2018="Cape Verde",S2018="USA",S2018="DR Congo",S2018="Republic of Korea",S2018="Germany FR",S2018="Germany DR",S2018="Czechia",S2018="Ivory Coast",S2018="Korea DPR",S2018="China PR",S2018="IR Iran",S2018="Türkiye",S2018="Congo DR",S2018="German DR",S2018="West Germany",S2018="Republic of Ireland",ISNUMBER(SEARCH("rn""&gt;United Arab Emirates",S2018)),ISNUMBER(SEARCH("rn""&gt;Republic of Ireland",S2018)),ISNUMBER(SEARCH("rn""&gt;Bosnia and Herzegovina",S2018)),ISNUMBER(SEARCH("rn""&gt;Trinidad and Tobago",S2018)),ISNUMBER(SEARCH("rn""&gt;Serbia and Montenegro",S2018)),ISNUMBER(SEARCH(_xlfn.UNICHAR(65533),S2018))),"RENOMMER","-"))</f>
        <v>-</v>
      </c>
      <c r="V2018" s="12" t="str" cm="1">
        <f t="array" ref="V2018">_xlfn.IFS(
ISNUMBER(SEARCH("USA",S2018)),"United States",
ISNUMBER(SEARCH("Republic of Ireland",S2018)),"Ireland",
ISNUMBER(SEARCH("Republic of Korea",S2018)),"South Korea",
ISNUMBER(SEARCH("Cape Verde",S2018)),"Cabo Verde",
ISNUMBER(SEARCH("Czechia",S2018)),"Czech Republic",
ISNUMBER(SEARCH("Türkiye",S2018)),"Turkey",
ISNUMBER(SEARCH("Ivory Coast",S2018)),"Côte d'Ivoire",
ISNUMBER(SEARCH("Korea Republic",S2018)),"South Korea",
ISNUMBER(SEARCH("Germany FR",S2018)),"FR Germany",
ISNUMBER(SEARCH("West Germany",S2018)),"FR Germany",
ISNUMBER(SEARCH("Germany DR",S2018)),"DR Germany",
ISNUMBER(SEARCH("Korea DPR",S2018)),"North Korea",
ISNUMBER(SEARCH("China PR",S2018)),"China",
ISNUMBER(SEARCH("IR Iran",S2018)),"Iran",
ISNUMBER(SEARCH("Congo DR",S2018)),"Democratic Republic of the Congo",
ISNUMBER(SEARCH("DR Congo",S2018)),"Democratic Republic of the Congo",
ISNUMBER(SEARCH("German DR",S2018)),"DR Germany",
ISNUMBER(SEARCH("rn""&gt;United Arab Emirates",S2018)),"United Arab Emirates",
ISNUMBER(SEARCH("rn""&gt;Republic of Ireland",S2018)),"Ireland",
ISNUMBER(SEARCH("rn""&gt;Bosnia and Herzegovina",S2018)),"Bosnia and Herzegovina",
ISNUMBER(SEARCH("rn""&gt;Trinidad and Tobago",S2018)),"Trinidad and Tobago",
ISNUMBER(SEARCH("rn""&gt;Serbia and Montenegro",S2018)),"Serbia and Montenegro",
ISNUMBER(SEARCH(_xlfn.UNICHAR(65533),S2018)),"Côte d'Ivoire",
TRUE,""
)</f>
        <v/>
      </c>
      <c r="W2018" s="12" t="str">
        <f t="shared" ref="W2018:W2081" si="157">IF(V2018="",S2018,V2018)</f>
        <v>Norway</v>
      </c>
    </row>
    <row r="2019" spans="2:23">
      <c r="B2019" s="76" t="str">
        <v>1982.0</v>
      </c>
      <c r="C2019" s="42" t="str">
        <v xml:space="preserve">21 Jun 1982 - 17:15 </v>
      </c>
      <c r="D2019" s="42" t="str">
        <v>Group 4</v>
      </c>
      <c r="E2019" s="42" t="str">
        <v>Jose Zorrilla</v>
      </c>
      <c r="F2019" s="42" t="str">
        <v xml:space="preserve">Valladolid </v>
      </c>
      <c r="G2019" s="42" t="str">
        <v>France</v>
      </c>
      <c r="H2019" s="42" t="str">
        <v>4.0</v>
      </c>
      <c r="I2019" s="42" t="str">
        <v>1.0</v>
      </c>
      <c r="J2019" s="42" t="str">
        <v>Kuwait</v>
      </c>
      <c r="K2019" s="42" t="str">
        <v xml:space="preserve"> </v>
      </c>
      <c r="L2019" s="42" t="str">
        <f t="shared" si="154"/>
        <v xml:space="preserve">1982.0|21 Jun 1982 - 17:15 |Group 4|Jose Zorrilla|Valladolid |France|4.0|1.0|Kuwait| </v>
      </c>
      <c r="M2019" s="42" t="str">
        <f>IF(COUNTIF($L$1689:L2019,L2019)&gt;1,"DOUBLON","OK")</f>
        <v>OK</v>
      </c>
      <c r="S2019" s="12" t="str">
        <v>Norway</v>
      </c>
      <c r="T2019" s="12" t="str">
        <f t="shared" si="155"/>
        <v>OK</v>
      </c>
      <c r="U2019" s="12" t="str">
        <f t="shared" si="156"/>
        <v>-</v>
      </c>
      <c r="V2019" s="12" t="str" cm="1">
        <f t="array" ref="V2019">_xlfn.IFS(
ISNUMBER(SEARCH("USA",S2019)),"United States",
ISNUMBER(SEARCH("Republic of Ireland",S2019)),"Ireland",
ISNUMBER(SEARCH("Republic of Korea",S2019)),"South Korea",
ISNUMBER(SEARCH("Cape Verde",S2019)),"Cabo Verde",
ISNUMBER(SEARCH("Czechia",S2019)),"Czech Republic",
ISNUMBER(SEARCH("Türkiye",S2019)),"Turkey",
ISNUMBER(SEARCH("Ivory Coast",S2019)),"Côte d'Ivoire",
ISNUMBER(SEARCH("Korea Republic",S2019)),"South Korea",
ISNUMBER(SEARCH("Germany FR",S2019)),"FR Germany",
ISNUMBER(SEARCH("West Germany",S2019)),"FR Germany",
ISNUMBER(SEARCH("Germany DR",S2019)),"DR Germany",
ISNUMBER(SEARCH("Korea DPR",S2019)),"North Korea",
ISNUMBER(SEARCH("China PR",S2019)),"China",
ISNUMBER(SEARCH("IR Iran",S2019)),"Iran",
ISNUMBER(SEARCH("Congo DR",S2019)),"Democratic Republic of the Congo",
ISNUMBER(SEARCH("DR Congo",S2019)),"Democratic Republic of the Congo",
ISNUMBER(SEARCH("German DR",S2019)),"DR Germany",
ISNUMBER(SEARCH("rn""&gt;United Arab Emirates",S2019)),"United Arab Emirates",
ISNUMBER(SEARCH("rn""&gt;Republic of Ireland",S2019)),"Ireland",
ISNUMBER(SEARCH("rn""&gt;Bosnia and Herzegovina",S2019)),"Bosnia and Herzegovina",
ISNUMBER(SEARCH("rn""&gt;Trinidad and Tobago",S2019)),"Trinidad and Tobago",
ISNUMBER(SEARCH("rn""&gt;Serbia and Montenegro",S2019)),"Serbia and Montenegro",
ISNUMBER(SEARCH(_xlfn.UNICHAR(65533),S2019)),"Côte d'Ivoire",
TRUE,""
)</f>
        <v/>
      </c>
      <c r="W2019" s="12" t="str">
        <f t="shared" si="157"/>
        <v>Norway</v>
      </c>
    </row>
    <row r="2020" spans="2:23">
      <c r="B2020" s="76" t="str">
        <v>1982.0</v>
      </c>
      <c r="C2020" s="42" t="str">
        <v xml:space="preserve">21 Jun 1982 - 21:00 </v>
      </c>
      <c r="D2020" s="42" t="str">
        <v>Group 5</v>
      </c>
      <c r="E2020" s="42" t="str">
        <v>La Romareda</v>
      </c>
      <c r="F2020" s="42" t="str">
        <v xml:space="preserve">Zaragoza </v>
      </c>
      <c r="G2020" s="42" t="str">
        <v>Honduras</v>
      </c>
      <c r="H2020" s="42" t="str">
        <v>1.0</v>
      </c>
      <c r="I2020" s="42" t="str">
        <v>1.0</v>
      </c>
      <c r="J2020" s="42" t="str">
        <v>Northern Ireland</v>
      </c>
      <c r="K2020" s="42" t="str">
        <v xml:space="preserve"> </v>
      </c>
      <c r="L2020" s="42" t="str">
        <f t="shared" si="154"/>
        <v xml:space="preserve">1982.0|21 Jun 1982 - 21:00 |Group 5|La Romareda|Zaragoza |Honduras|1.0|1.0|Northern Ireland| </v>
      </c>
      <c r="M2020" s="42" t="str">
        <f>IF(COUNTIF($L$1689:L2020,L2020)&gt;1,"DOUBLON","OK")</f>
        <v>OK</v>
      </c>
      <c r="S2020" s="12" t="str">
        <v>Norway</v>
      </c>
      <c r="T2020" s="12" t="str">
        <f t="shared" si="155"/>
        <v>OK</v>
      </c>
      <c r="U2020" s="12" t="str">
        <f t="shared" si="156"/>
        <v>-</v>
      </c>
      <c r="V2020" s="12" t="str" cm="1">
        <f t="array" ref="V2020">_xlfn.IFS(
ISNUMBER(SEARCH("USA",S2020)),"United States",
ISNUMBER(SEARCH("Republic of Ireland",S2020)),"Ireland",
ISNUMBER(SEARCH("Republic of Korea",S2020)),"South Korea",
ISNUMBER(SEARCH("Cape Verde",S2020)),"Cabo Verde",
ISNUMBER(SEARCH("Czechia",S2020)),"Czech Republic",
ISNUMBER(SEARCH("Türkiye",S2020)),"Turkey",
ISNUMBER(SEARCH("Ivory Coast",S2020)),"Côte d'Ivoire",
ISNUMBER(SEARCH("Korea Republic",S2020)),"South Korea",
ISNUMBER(SEARCH("Germany FR",S2020)),"FR Germany",
ISNUMBER(SEARCH("West Germany",S2020)),"FR Germany",
ISNUMBER(SEARCH("Germany DR",S2020)),"DR Germany",
ISNUMBER(SEARCH("Korea DPR",S2020)),"North Korea",
ISNUMBER(SEARCH("China PR",S2020)),"China",
ISNUMBER(SEARCH("IR Iran",S2020)),"Iran",
ISNUMBER(SEARCH("Congo DR",S2020)),"Democratic Republic of the Congo",
ISNUMBER(SEARCH("DR Congo",S2020)),"Democratic Republic of the Congo",
ISNUMBER(SEARCH("German DR",S2020)),"DR Germany",
ISNUMBER(SEARCH("rn""&gt;United Arab Emirates",S2020)),"United Arab Emirates",
ISNUMBER(SEARCH("rn""&gt;Republic of Ireland",S2020)),"Ireland",
ISNUMBER(SEARCH("rn""&gt;Bosnia and Herzegovina",S2020)),"Bosnia and Herzegovina",
ISNUMBER(SEARCH("rn""&gt;Trinidad and Tobago",S2020)),"Trinidad and Tobago",
ISNUMBER(SEARCH("rn""&gt;Serbia and Montenegro",S2020)),"Serbia and Montenegro",
ISNUMBER(SEARCH(_xlfn.UNICHAR(65533),S2020)),"Côte d'Ivoire",
TRUE,""
)</f>
        <v/>
      </c>
      <c r="W2020" s="12" t="str">
        <f t="shared" si="157"/>
        <v>Norway</v>
      </c>
    </row>
    <row r="2021" spans="2:23">
      <c r="B2021" s="76" t="str">
        <v>1982.0</v>
      </c>
      <c r="C2021" s="42" t="str">
        <v xml:space="preserve">22 Jun 1982 - 17:15 </v>
      </c>
      <c r="D2021" s="42" t="str">
        <v>Group 1</v>
      </c>
      <c r="E2021" s="42" t="str">
        <v>Riazor</v>
      </c>
      <c r="F2021" s="42" t="str">
        <v xml:space="preserve">La Coru�A </v>
      </c>
      <c r="G2021" s="42" t="str">
        <v>Poland</v>
      </c>
      <c r="H2021" s="42" t="str">
        <v>5.0</v>
      </c>
      <c r="I2021" s="42" t="str">
        <v>1.0</v>
      </c>
      <c r="J2021" s="42" t="str">
        <v>Peru</v>
      </c>
      <c r="K2021" s="42" t="str">
        <v xml:space="preserve"> </v>
      </c>
      <c r="L2021" s="42" t="str">
        <f t="shared" si="154"/>
        <v xml:space="preserve">1982.0|22 Jun 1982 - 17:15 |Group 1|Riazor|La Coru�A |Poland|5.0|1.0|Peru| </v>
      </c>
      <c r="M2021" s="42" t="str">
        <f>IF(COUNTIF($L$1689:L2021,L2021)&gt;1,"DOUBLON","OK")</f>
        <v>OK</v>
      </c>
      <c r="S2021" s="12" t="str">
        <v>Norway</v>
      </c>
      <c r="T2021" s="12" t="str">
        <f t="shared" si="155"/>
        <v>OK</v>
      </c>
      <c r="U2021" s="12" t="str">
        <f t="shared" si="156"/>
        <v>-</v>
      </c>
      <c r="V2021" s="12" t="str" cm="1">
        <f t="array" ref="V2021">_xlfn.IFS(
ISNUMBER(SEARCH("USA",S2021)),"United States",
ISNUMBER(SEARCH("Republic of Ireland",S2021)),"Ireland",
ISNUMBER(SEARCH("Republic of Korea",S2021)),"South Korea",
ISNUMBER(SEARCH("Cape Verde",S2021)),"Cabo Verde",
ISNUMBER(SEARCH("Czechia",S2021)),"Czech Republic",
ISNUMBER(SEARCH("Türkiye",S2021)),"Turkey",
ISNUMBER(SEARCH("Ivory Coast",S2021)),"Côte d'Ivoire",
ISNUMBER(SEARCH("Korea Republic",S2021)),"South Korea",
ISNUMBER(SEARCH("Germany FR",S2021)),"FR Germany",
ISNUMBER(SEARCH("West Germany",S2021)),"FR Germany",
ISNUMBER(SEARCH("Germany DR",S2021)),"DR Germany",
ISNUMBER(SEARCH("Korea DPR",S2021)),"North Korea",
ISNUMBER(SEARCH("China PR",S2021)),"China",
ISNUMBER(SEARCH("IR Iran",S2021)),"Iran",
ISNUMBER(SEARCH("Congo DR",S2021)),"Democratic Republic of the Congo",
ISNUMBER(SEARCH("DR Congo",S2021)),"Democratic Republic of the Congo",
ISNUMBER(SEARCH("German DR",S2021)),"DR Germany",
ISNUMBER(SEARCH("rn""&gt;United Arab Emirates",S2021)),"United Arab Emirates",
ISNUMBER(SEARCH("rn""&gt;Republic of Ireland",S2021)),"Ireland",
ISNUMBER(SEARCH("rn""&gt;Bosnia and Herzegovina",S2021)),"Bosnia and Herzegovina",
ISNUMBER(SEARCH("rn""&gt;Trinidad and Tobago",S2021)),"Trinidad and Tobago",
ISNUMBER(SEARCH("rn""&gt;Serbia and Montenegro",S2021)),"Serbia and Montenegro",
ISNUMBER(SEARCH(_xlfn.UNICHAR(65533),S2021)),"Côte d'Ivoire",
TRUE,""
)</f>
        <v/>
      </c>
      <c r="W2021" s="12" t="str">
        <f t="shared" si="157"/>
        <v>Norway</v>
      </c>
    </row>
    <row r="2022" spans="2:23">
      <c r="B2022" s="76" t="str">
        <v>1982.0</v>
      </c>
      <c r="C2022" s="42" t="str">
        <v xml:space="preserve">22 Jun 1982 - 21:00 </v>
      </c>
      <c r="D2022" s="42" t="str">
        <v>Group 3</v>
      </c>
      <c r="E2022" s="42" t="str">
        <v>Nuevo Estadio</v>
      </c>
      <c r="F2022" s="42" t="str">
        <v xml:space="preserve">Elche </v>
      </c>
      <c r="G2022" s="42" t="str">
        <v>Belgium</v>
      </c>
      <c r="H2022" s="42" t="str">
        <v>1.0</v>
      </c>
      <c r="I2022" s="42" t="str">
        <v>1.0</v>
      </c>
      <c r="J2022" s="42" t="str">
        <v>Hungary</v>
      </c>
      <c r="K2022" s="42" t="str">
        <v xml:space="preserve"> </v>
      </c>
      <c r="L2022" s="42" t="str">
        <f t="shared" si="154"/>
        <v xml:space="preserve">1982.0|22 Jun 1982 - 21:00 |Group 3|Nuevo Estadio|Elche |Belgium|1.0|1.0|Hungary| </v>
      </c>
      <c r="M2022" s="42" t="str">
        <f>IF(COUNTIF($L$1689:L2022,L2022)&gt;1,"DOUBLON","OK")</f>
        <v>OK</v>
      </c>
      <c r="S2022" s="12" t="str">
        <v>Norway</v>
      </c>
      <c r="T2022" s="12" t="str">
        <f t="shared" si="155"/>
        <v>OK</v>
      </c>
      <c r="U2022" s="12" t="str">
        <f t="shared" si="156"/>
        <v>-</v>
      </c>
      <c r="V2022" s="12" t="str" cm="1">
        <f t="array" ref="V2022">_xlfn.IFS(
ISNUMBER(SEARCH("USA",S2022)),"United States",
ISNUMBER(SEARCH("Republic of Ireland",S2022)),"Ireland",
ISNUMBER(SEARCH("Republic of Korea",S2022)),"South Korea",
ISNUMBER(SEARCH("Cape Verde",S2022)),"Cabo Verde",
ISNUMBER(SEARCH("Czechia",S2022)),"Czech Republic",
ISNUMBER(SEARCH("Türkiye",S2022)),"Turkey",
ISNUMBER(SEARCH("Ivory Coast",S2022)),"Côte d'Ivoire",
ISNUMBER(SEARCH("Korea Republic",S2022)),"South Korea",
ISNUMBER(SEARCH("Germany FR",S2022)),"FR Germany",
ISNUMBER(SEARCH("West Germany",S2022)),"FR Germany",
ISNUMBER(SEARCH("Germany DR",S2022)),"DR Germany",
ISNUMBER(SEARCH("Korea DPR",S2022)),"North Korea",
ISNUMBER(SEARCH("China PR",S2022)),"China",
ISNUMBER(SEARCH("IR Iran",S2022)),"Iran",
ISNUMBER(SEARCH("Congo DR",S2022)),"Democratic Republic of the Congo",
ISNUMBER(SEARCH("DR Congo",S2022)),"Democratic Republic of the Congo",
ISNUMBER(SEARCH("German DR",S2022)),"DR Germany",
ISNUMBER(SEARCH("rn""&gt;United Arab Emirates",S2022)),"United Arab Emirates",
ISNUMBER(SEARCH("rn""&gt;Republic of Ireland",S2022)),"Ireland",
ISNUMBER(SEARCH("rn""&gt;Bosnia and Herzegovina",S2022)),"Bosnia and Herzegovina",
ISNUMBER(SEARCH("rn""&gt;Trinidad and Tobago",S2022)),"Trinidad and Tobago",
ISNUMBER(SEARCH("rn""&gt;Serbia and Montenegro",S2022)),"Serbia and Montenegro",
ISNUMBER(SEARCH(_xlfn.UNICHAR(65533),S2022)),"Côte d'Ivoire",
TRUE,""
)</f>
        <v/>
      </c>
      <c r="W2022" s="12" t="str">
        <f t="shared" si="157"/>
        <v>Norway</v>
      </c>
    </row>
    <row r="2023" spans="2:23">
      <c r="B2023" s="76" t="str">
        <v>1982.0</v>
      </c>
      <c r="C2023" s="42" t="str">
        <v xml:space="preserve">22 Jun 1982 - 21:00 </v>
      </c>
      <c r="D2023" s="42" t="str">
        <v>Group 6</v>
      </c>
      <c r="E2023" s="42" t="str">
        <v>La Rosaleda</v>
      </c>
      <c r="F2023" s="42" t="str">
        <v xml:space="preserve">Malaga </v>
      </c>
      <c r="G2023" s="42" t="str">
        <v>Soviet Union</v>
      </c>
      <c r="H2023" s="42" t="str">
        <v>2.0</v>
      </c>
      <c r="I2023" s="42" t="str">
        <v>2.0</v>
      </c>
      <c r="J2023" s="42" t="str">
        <v>Scotland</v>
      </c>
      <c r="K2023" s="42" t="str">
        <v xml:space="preserve"> </v>
      </c>
      <c r="L2023" s="42" t="str">
        <f t="shared" si="154"/>
        <v xml:space="preserve">1982.0|22 Jun 1982 - 21:00 |Group 6|La Rosaleda|Malaga |Soviet Union|2.0|2.0|Scotland| </v>
      </c>
      <c r="M2023" s="42" t="str">
        <f>IF(COUNTIF($L$1689:L2023,L2023)&gt;1,"DOUBLON","OK")</f>
        <v>OK</v>
      </c>
      <c r="S2023" s="12" t="str">
        <v>Norway</v>
      </c>
      <c r="T2023" s="12" t="str">
        <f t="shared" si="155"/>
        <v>OK</v>
      </c>
      <c r="U2023" s="12" t="str">
        <f t="shared" si="156"/>
        <v>-</v>
      </c>
      <c r="V2023" s="12" t="str" cm="1">
        <f t="array" ref="V2023">_xlfn.IFS(
ISNUMBER(SEARCH("USA",S2023)),"United States",
ISNUMBER(SEARCH("Republic of Ireland",S2023)),"Ireland",
ISNUMBER(SEARCH("Republic of Korea",S2023)),"South Korea",
ISNUMBER(SEARCH("Cape Verde",S2023)),"Cabo Verde",
ISNUMBER(SEARCH("Czechia",S2023)),"Czech Republic",
ISNUMBER(SEARCH("Türkiye",S2023)),"Turkey",
ISNUMBER(SEARCH("Ivory Coast",S2023)),"Côte d'Ivoire",
ISNUMBER(SEARCH("Korea Republic",S2023)),"South Korea",
ISNUMBER(SEARCH("Germany FR",S2023)),"FR Germany",
ISNUMBER(SEARCH("West Germany",S2023)),"FR Germany",
ISNUMBER(SEARCH("Germany DR",S2023)),"DR Germany",
ISNUMBER(SEARCH("Korea DPR",S2023)),"North Korea",
ISNUMBER(SEARCH("China PR",S2023)),"China",
ISNUMBER(SEARCH("IR Iran",S2023)),"Iran",
ISNUMBER(SEARCH("Congo DR",S2023)),"Democratic Republic of the Congo",
ISNUMBER(SEARCH("DR Congo",S2023)),"Democratic Republic of the Congo",
ISNUMBER(SEARCH("German DR",S2023)),"DR Germany",
ISNUMBER(SEARCH("rn""&gt;United Arab Emirates",S2023)),"United Arab Emirates",
ISNUMBER(SEARCH("rn""&gt;Republic of Ireland",S2023)),"Ireland",
ISNUMBER(SEARCH("rn""&gt;Bosnia and Herzegovina",S2023)),"Bosnia and Herzegovina",
ISNUMBER(SEARCH("rn""&gt;Trinidad and Tobago",S2023)),"Trinidad and Tobago",
ISNUMBER(SEARCH("rn""&gt;Serbia and Montenegro",S2023)),"Serbia and Montenegro",
ISNUMBER(SEARCH(_xlfn.UNICHAR(65533),S2023)),"Côte d'Ivoire",
TRUE,""
)</f>
        <v/>
      </c>
      <c r="W2023" s="12" t="str">
        <f t="shared" si="157"/>
        <v>Norway</v>
      </c>
    </row>
    <row r="2024" spans="2:23">
      <c r="B2024" s="76" t="str">
        <v>1982.0</v>
      </c>
      <c r="C2024" s="42" t="str">
        <v xml:space="preserve">23 Jun 1982 - 17:15 </v>
      </c>
      <c r="D2024" s="42" t="str">
        <v>Group 1</v>
      </c>
      <c r="E2024" s="42" t="str">
        <v>Estadio Municipal de Bala�dos</v>
      </c>
      <c r="F2024" s="42" t="str">
        <v xml:space="preserve">Vigo </v>
      </c>
      <c r="G2024" s="42" t="str">
        <v>Italy</v>
      </c>
      <c r="H2024" s="42" t="str">
        <v>1.0</v>
      </c>
      <c r="I2024" s="42" t="str">
        <v>1.0</v>
      </c>
      <c r="J2024" s="42" t="str">
        <v>Cameroon</v>
      </c>
      <c r="K2024" s="42" t="str">
        <v xml:space="preserve"> </v>
      </c>
      <c r="L2024" s="42" t="str">
        <f t="shared" si="154"/>
        <v xml:space="preserve">1982.0|23 Jun 1982 - 17:15 |Group 1|Estadio Municipal de Bala�dos|Vigo |Italy|1.0|1.0|Cameroon| </v>
      </c>
      <c r="M2024" s="42" t="str">
        <f>IF(COUNTIF($L$1689:L2024,L2024)&gt;1,"DOUBLON","OK")</f>
        <v>OK</v>
      </c>
      <c r="S2024" s="12" t="str">
        <v>Norway</v>
      </c>
      <c r="T2024" s="12" t="str">
        <f t="shared" si="155"/>
        <v>OK</v>
      </c>
      <c r="U2024" s="12" t="str">
        <f t="shared" si="156"/>
        <v>-</v>
      </c>
      <c r="V2024" s="12" t="str" cm="1">
        <f t="array" ref="V2024">_xlfn.IFS(
ISNUMBER(SEARCH("USA",S2024)),"United States",
ISNUMBER(SEARCH("Republic of Ireland",S2024)),"Ireland",
ISNUMBER(SEARCH("Republic of Korea",S2024)),"South Korea",
ISNUMBER(SEARCH("Cape Verde",S2024)),"Cabo Verde",
ISNUMBER(SEARCH("Czechia",S2024)),"Czech Republic",
ISNUMBER(SEARCH("Türkiye",S2024)),"Turkey",
ISNUMBER(SEARCH("Ivory Coast",S2024)),"Côte d'Ivoire",
ISNUMBER(SEARCH("Korea Republic",S2024)),"South Korea",
ISNUMBER(SEARCH("Germany FR",S2024)),"FR Germany",
ISNUMBER(SEARCH("West Germany",S2024)),"FR Germany",
ISNUMBER(SEARCH("Germany DR",S2024)),"DR Germany",
ISNUMBER(SEARCH("Korea DPR",S2024)),"North Korea",
ISNUMBER(SEARCH("China PR",S2024)),"China",
ISNUMBER(SEARCH("IR Iran",S2024)),"Iran",
ISNUMBER(SEARCH("Congo DR",S2024)),"Democratic Republic of the Congo",
ISNUMBER(SEARCH("DR Congo",S2024)),"Democratic Republic of the Congo",
ISNUMBER(SEARCH("German DR",S2024)),"DR Germany",
ISNUMBER(SEARCH("rn""&gt;United Arab Emirates",S2024)),"United Arab Emirates",
ISNUMBER(SEARCH("rn""&gt;Republic of Ireland",S2024)),"Ireland",
ISNUMBER(SEARCH("rn""&gt;Bosnia and Herzegovina",S2024)),"Bosnia and Herzegovina",
ISNUMBER(SEARCH("rn""&gt;Trinidad and Tobago",S2024)),"Trinidad and Tobago",
ISNUMBER(SEARCH("rn""&gt;Serbia and Montenegro",S2024)),"Serbia and Montenegro",
ISNUMBER(SEARCH(_xlfn.UNICHAR(65533),S2024)),"Côte d'Ivoire",
TRUE,""
)</f>
        <v/>
      </c>
      <c r="W2024" s="12" t="str">
        <f t="shared" si="157"/>
        <v>Norway</v>
      </c>
    </row>
    <row r="2025" spans="2:23">
      <c r="B2025" s="76" t="str">
        <v>1982.0</v>
      </c>
      <c r="C2025" s="42" t="str">
        <v xml:space="preserve">23 Jun 1982 - 21:00 </v>
      </c>
      <c r="D2025" s="42" t="str">
        <v>Group 3</v>
      </c>
      <c r="E2025" s="42" t="str">
        <v>Jose Rico Perez</v>
      </c>
      <c r="F2025" s="42" t="str">
        <v xml:space="preserve">Alicante </v>
      </c>
      <c r="G2025" s="42" t="str">
        <v>Argentina</v>
      </c>
      <c r="H2025" s="42" t="str">
        <v>2.0</v>
      </c>
      <c r="I2025" s="42" t="str">
        <v>0.0</v>
      </c>
      <c r="J2025" s="42" t="str">
        <v>El Salvador</v>
      </c>
      <c r="K2025" s="42" t="str">
        <v xml:space="preserve"> </v>
      </c>
      <c r="L2025" s="42" t="str">
        <f t="shared" si="154"/>
        <v xml:space="preserve">1982.0|23 Jun 1982 - 21:00 |Group 3|Jose Rico Perez|Alicante |Argentina|2.0|0.0|El Salvador| </v>
      </c>
      <c r="M2025" s="42" t="str">
        <f>IF(COUNTIF($L$1689:L2025,L2025)&gt;1,"DOUBLON","OK")</f>
        <v>OK</v>
      </c>
      <c r="S2025" s="12" t="str">
        <v>Norway</v>
      </c>
      <c r="T2025" s="12" t="str">
        <f t="shared" si="155"/>
        <v>OK</v>
      </c>
      <c r="U2025" s="12" t="str">
        <f t="shared" si="156"/>
        <v>-</v>
      </c>
      <c r="V2025" s="12" t="str" cm="1">
        <f t="array" ref="V2025">_xlfn.IFS(
ISNUMBER(SEARCH("USA",S2025)),"United States",
ISNUMBER(SEARCH("Republic of Ireland",S2025)),"Ireland",
ISNUMBER(SEARCH("Republic of Korea",S2025)),"South Korea",
ISNUMBER(SEARCH("Cape Verde",S2025)),"Cabo Verde",
ISNUMBER(SEARCH("Czechia",S2025)),"Czech Republic",
ISNUMBER(SEARCH("Türkiye",S2025)),"Turkey",
ISNUMBER(SEARCH("Ivory Coast",S2025)),"Côte d'Ivoire",
ISNUMBER(SEARCH("Korea Republic",S2025)),"South Korea",
ISNUMBER(SEARCH("Germany FR",S2025)),"FR Germany",
ISNUMBER(SEARCH("West Germany",S2025)),"FR Germany",
ISNUMBER(SEARCH("Germany DR",S2025)),"DR Germany",
ISNUMBER(SEARCH("Korea DPR",S2025)),"North Korea",
ISNUMBER(SEARCH("China PR",S2025)),"China",
ISNUMBER(SEARCH("IR Iran",S2025)),"Iran",
ISNUMBER(SEARCH("Congo DR",S2025)),"Democratic Republic of the Congo",
ISNUMBER(SEARCH("DR Congo",S2025)),"Democratic Republic of the Congo",
ISNUMBER(SEARCH("German DR",S2025)),"DR Germany",
ISNUMBER(SEARCH("rn""&gt;United Arab Emirates",S2025)),"United Arab Emirates",
ISNUMBER(SEARCH("rn""&gt;Republic of Ireland",S2025)),"Ireland",
ISNUMBER(SEARCH("rn""&gt;Bosnia and Herzegovina",S2025)),"Bosnia and Herzegovina",
ISNUMBER(SEARCH("rn""&gt;Trinidad and Tobago",S2025)),"Trinidad and Tobago",
ISNUMBER(SEARCH("rn""&gt;Serbia and Montenegro",S2025)),"Serbia and Montenegro",
ISNUMBER(SEARCH(_xlfn.UNICHAR(65533),S2025)),"Côte d'Ivoire",
TRUE,""
)</f>
        <v/>
      </c>
      <c r="W2025" s="12" t="str">
        <f t="shared" si="157"/>
        <v>Norway</v>
      </c>
    </row>
    <row r="2026" spans="2:23">
      <c r="B2026" s="76" t="str">
        <v>1982.0</v>
      </c>
      <c r="C2026" s="42" t="str">
        <v xml:space="preserve">23 Jun 1982 - 21:00 </v>
      </c>
      <c r="D2026" s="42" t="str">
        <v>Group 6</v>
      </c>
      <c r="E2026" s="42" t="str">
        <v>Benito Villamarin</v>
      </c>
      <c r="F2026" s="42" t="str">
        <v xml:space="preserve">Seville </v>
      </c>
      <c r="G2026" s="42" t="str">
        <v>Brazil</v>
      </c>
      <c r="H2026" s="42" t="str">
        <v>4.0</v>
      </c>
      <c r="I2026" s="42" t="str">
        <v>0.0</v>
      </c>
      <c r="J2026" s="42" t="str">
        <v>New Zealand</v>
      </c>
      <c r="K2026" s="42" t="str">
        <v xml:space="preserve"> </v>
      </c>
      <c r="L2026" s="42" t="str">
        <f t="shared" si="154"/>
        <v xml:space="preserve">1982.0|23 Jun 1982 - 21:00 |Group 6|Benito Villamarin|Seville |Brazil|4.0|0.0|New Zealand| </v>
      </c>
      <c r="M2026" s="42" t="str">
        <f>IF(COUNTIF($L$1689:L2026,L2026)&gt;1,"DOUBLON","OK")</f>
        <v>OK</v>
      </c>
      <c r="S2026" s="12" t="str">
        <v>Norway</v>
      </c>
      <c r="T2026" s="12" t="str">
        <f t="shared" si="155"/>
        <v>OK</v>
      </c>
      <c r="U2026" s="12" t="str">
        <f t="shared" si="156"/>
        <v>-</v>
      </c>
      <c r="V2026" s="12" t="str" cm="1">
        <f t="array" ref="V2026">_xlfn.IFS(
ISNUMBER(SEARCH("USA",S2026)),"United States",
ISNUMBER(SEARCH("Republic of Ireland",S2026)),"Ireland",
ISNUMBER(SEARCH("Republic of Korea",S2026)),"South Korea",
ISNUMBER(SEARCH("Cape Verde",S2026)),"Cabo Verde",
ISNUMBER(SEARCH("Czechia",S2026)),"Czech Republic",
ISNUMBER(SEARCH("Türkiye",S2026)),"Turkey",
ISNUMBER(SEARCH("Ivory Coast",S2026)),"Côte d'Ivoire",
ISNUMBER(SEARCH("Korea Republic",S2026)),"South Korea",
ISNUMBER(SEARCH("Germany FR",S2026)),"FR Germany",
ISNUMBER(SEARCH("West Germany",S2026)),"FR Germany",
ISNUMBER(SEARCH("Germany DR",S2026)),"DR Germany",
ISNUMBER(SEARCH("Korea DPR",S2026)),"North Korea",
ISNUMBER(SEARCH("China PR",S2026)),"China",
ISNUMBER(SEARCH("IR Iran",S2026)),"Iran",
ISNUMBER(SEARCH("Congo DR",S2026)),"Democratic Republic of the Congo",
ISNUMBER(SEARCH("DR Congo",S2026)),"Democratic Republic of the Congo",
ISNUMBER(SEARCH("German DR",S2026)),"DR Germany",
ISNUMBER(SEARCH("rn""&gt;United Arab Emirates",S2026)),"United Arab Emirates",
ISNUMBER(SEARCH("rn""&gt;Republic of Ireland",S2026)),"Ireland",
ISNUMBER(SEARCH("rn""&gt;Bosnia and Herzegovina",S2026)),"Bosnia and Herzegovina",
ISNUMBER(SEARCH("rn""&gt;Trinidad and Tobago",S2026)),"Trinidad and Tobago",
ISNUMBER(SEARCH("rn""&gt;Serbia and Montenegro",S2026)),"Serbia and Montenegro",
ISNUMBER(SEARCH(_xlfn.UNICHAR(65533),S2026)),"Côte d'Ivoire",
TRUE,""
)</f>
        <v/>
      </c>
      <c r="W2026" s="12" t="str">
        <f t="shared" si="157"/>
        <v>Norway</v>
      </c>
    </row>
    <row r="2027" spans="2:23">
      <c r="B2027" s="76" t="str">
        <v>1982.0</v>
      </c>
      <c r="C2027" s="42" t="str">
        <v xml:space="preserve">24 Jun 1982 - 17:15 </v>
      </c>
      <c r="D2027" s="42" t="str">
        <v>Group 2</v>
      </c>
      <c r="E2027" s="42" t="str">
        <v>Carlos Tartiere</v>
      </c>
      <c r="F2027" s="42" t="str">
        <v xml:space="preserve">Oviedo </v>
      </c>
      <c r="G2027" s="42" t="str">
        <v>Algeria</v>
      </c>
      <c r="H2027" s="42" t="str">
        <v>3.0</v>
      </c>
      <c r="I2027" s="42" t="str">
        <v>2.0</v>
      </c>
      <c r="J2027" s="42" t="str">
        <v>Chile</v>
      </c>
      <c r="K2027" s="42" t="str">
        <v xml:space="preserve"> </v>
      </c>
      <c r="L2027" s="42" t="str">
        <f t="shared" si="154"/>
        <v xml:space="preserve">1982.0|24 Jun 1982 - 17:15 |Group 2|Carlos Tartiere|Oviedo |Algeria|3.0|2.0|Chile| </v>
      </c>
      <c r="M2027" s="42" t="str">
        <f>IF(COUNTIF($L$1689:L2027,L2027)&gt;1,"DOUBLON","OK")</f>
        <v>OK</v>
      </c>
      <c r="S2027" s="12" t="str">
        <v>Norway</v>
      </c>
      <c r="T2027" s="12" t="str">
        <f t="shared" si="155"/>
        <v>OK</v>
      </c>
      <c r="U2027" s="12" t="str">
        <f t="shared" si="156"/>
        <v>-</v>
      </c>
      <c r="V2027" s="12" t="str" cm="1">
        <f t="array" ref="V2027">_xlfn.IFS(
ISNUMBER(SEARCH("USA",S2027)),"United States",
ISNUMBER(SEARCH("Republic of Ireland",S2027)),"Ireland",
ISNUMBER(SEARCH("Republic of Korea",S2027)),"South Korea",
ISNUMBER(SEARCH("Cape Verde",S2027)),"Cabo Verde",
ISNUMBER(SEARCH("Czechia",S2027)),"Czech Republic",
ISNUMBER(SEARCH("Türkiye",S2027)),"Turkey",
ISNUMBER(SEARCH("Ivory Coast",S2027)),"Côte d'Ivoire",
ISNUMBER(SEARCH("Korea Republic",S2027)),"South Korea",
ISNUMBER(SEARCH("Germany FR",S2027)),"FR Germany",
ISNUMBER(SEARCH("West Germany",S2027)),"FR Germany",
ISNUMBER(SEARCH("Germany DR",S2027)),"DR Germany",
ISNUMBER(SEARCH("Korea DPR",S2027)),"North Korea",
ISNUMBER(SEARCH("China PR",S2027)),"China",
ISNUMBER(SEARCH("IR Iran",S2027)),"Iran",
ISNUMBER(SEARCH("Congo DR",S2027)),"Democratic Republic of the Congo",
ISNUMBER(SEARCH("DR Congo",S2027)),"Democratic Republic of the Congo",
ISNUMBER(SEARCH("German DR",S2027)),"DR Germany",
ISNUMBER(SEARCH("rn""&gt;United Arab Emirates",S2027)),"United Arab Emirates",
ISNUMBER(SEARCH("rn""&gt;Republic of Ireland",S2027)),"Ireland",
ISNUMBER(SEARCH("rn""&gt;Bosnia and Herzegovina",S2027)),"Bosnia and Herzegovina",
ISNUMBER(SEARCH("rn""&gt;Trinidad and Tobago",S2027)),"Trinidad and Tobago",
ISNUMBER(SEARCH("rn""&gt;Serbia and Montenegro",S2027)),"Serbia and Montenegro",
ISNUMBER(SEARCH(_xlfn.UNICHAR(65533),S2027)),"Côte d'Ivoire",
TRUE,""
)</f>
        <v/>
      </c>
      <c r="W2027" s="12" t="str">
        <f t="shared" si="157"/>
        <v>Norway</v>
      </c>
    </row>
    <row r="2028" spans="2:23">
      <c r="B2028" s="76" t="str">
        <v>1982.0</v>
      </c>
      <c r="C2028" s="42" t="str">
        <v xml:space="preserve">24 Jun 1982 - 17:15 </v>
      </c>
      <c r="D2028" s="42" t="str">
        <v>Group 4</v>
      </c>
      <c r="E2028" s="42" t="str">
        <v>Jose Zorrilla</v>
      </c>
      <c r="F2028" s="42" t="str">
        <v xml:space="preserve">Valladolid </v>
      </c>
      <c r="G2028" s="42" t="str">
        <v>France</v>
      </c>
      <c r="H2028" s="42" t="str">
        <v>1.0</v>
      </c>
      <c r="I2028" s="42" t="str">
        <v>1.0</v>
      </c>
      <c r="J2028" s="42" t="str">
        <v>Czechoslovakia</v>
      </c>
      <c r="K2028" s="42" t="str">
        <v xml:space="preserve"> </v>
      </c>
      <c r="L2028" s="42" t="str">
        <f t="shared" si="154"/>
        <v xml:space="preserve">1982.0|24 Jun 1982 - 17:15 |Group 4|Jose Zorrilla|Valladolid |France|1.0|1.0|Czechoslovakia| </v>
      </c>
      <c r="M2028" s="42" t="str">
        <f>IF(COUNTIF($L$1689:L2028,L2028)&gt;1,"DOUBLON","OK")</f>
        <v>OK</v>
      </c>
      <c r="S2028" s="12" t="str">
        <v>Norway</v>
      </c>
      <c r="T2028" s="12" t="str">
        <f t="shared" si="155"/>
        <v>OK</v>
      </c>
      <c r="U2028" s="12" t="str">
        <f t="shared" si="156"/>
        <v>-</v>
      </c>
      <c r="V2028" s="12" t="str" cm="1">
        <f t="array" ref="V2028">_xlfn.IFS(
ISNUMBER(SEARCH("USA",S2028)),"United States",
ISNUMBER(SEARCH("Republic of Ireland",S2028)),"Ireland",
ISNUMBER(SEARCH("Republic of Korea",S2028)),"South Korea",
ISNUMBER(SEARCH("Cape Verde",S2028)),"Cabo Verde",
ISNUMBER(SEARCH("Czechia",S2028)),"Czech Republic",
ISNUMBER(SEARCH("Türkiye",S2028)),"Turkey",
ISNUMBER(SEARCH("Ivory Coast",S2028)),"Côte d'Ivoire",
ISNUMBER(SEARCH("Korea Republic",S2028)),"South Korea",
ISNUMBER(SEARCH("Germany FR",S2028)),"FR Germany",
ISNUMBER(SEARCH("West Germany",S2028)),"FR Germany",
ISNUMBER(SEARCH("Germany DR",S2028)),"DR Germany",
ISNUMBER(SEARCH("Korea DPR",S2028)),"North Korea",
ISNUMBER(SEARCH("China PR",S2028)),"China",
ISNUMBER(SEARCH("IR Iran",S2028)),"Iran",
ISNUMBER(SEARCH("Congo DR",S2028)),"Democratic Republic of the Congo",
ISNUMBER(SEARCH("DR Congo",S2028)),"Democratic Republic of the Congo",
ISNUMBER(SEARCH("German DR",S2028)),"DR Germany",
ISNUMBER(SEARCH("rn""&gt;United Arab Emirates",S2028)),"United Arab Emirates",
ISNUMBER(SEARCH("rn""&gt;Republic of Ireland",S2028)),"Ireland",
ISNUMBER(SEARCH("rn""&gt;Bosnia and Herzegovina",S2028)),"Bosnia and Herzegovina",
ISNUMBER(SEARCH("rn""&gt;Trinidad and Tobago",S2028)),"Trinidad and Tobago",
ISNUMBER(SEARCH("rn""&gt;Serbia and Montenegro",S2028)),"Serbia and Montenegro",
ISNUMBER(SEARCH(_xlfn.UNICHAR(65533),S2028)),"Côte d'Ivoire",
TRUE,""
)</f>
        <v/>
      </c>
      <c r="W2028" s="12" t="str">
        <f t="shared" si="157"/>
        <v>Norway</v>
      </c>
    </row>
    <row r="2029" spans="2:23">
      <c r="B2029" s="76" t="str">
        <v>1982.0</v>
      </c>
      <c r="C2029" s="42" t="str">
        <v xml:space="preserve">24 Jun 1982 - 21:00 </v>
      </c>
      <c r="D2029" s="42" t="str">
        <v>Group 5</v>
      </c>
      <c r="E2029" s="42" t="str">
        <v>La Romareda</v>
      </c>
      <c r="F2029" s="42" t="str">
        <v xml:space="preserve">Zaragoza </v>
      </c>
      <c r="G2029" s="42" t="str">
        <v>Honduras</v>
      </c>
      <c r="H2029" s="42" t="str">
        <v>0.0</v>
      </c>
      <c r="I2029" s="42" t="str">
        <v>1.0</v>
      </c>
      <c r="J2029" s="42" t="str">
        <v>Yugoslavia</v>
      </c>
      <c r="K2029" s="42" t="str">
        <v xml:space="preserve"> </v>
      </c>
      <c r="L2029" s="42" t="str">
        <f t="shared" si="154"/>
        <v xml:space="preserve">1982.0|24 Jun 1982 - 21:00 |Group 5|La Romareda|Zaragoza |Honduras|0.0|1.0|Yugoslavia| </v>
      </c>
      <c r="M2029" s="42" t="str">
        <f>IF(COUNTIF($L$1689:L2029,L2029)&gt;1,"DOUBLON","OK")</f>
        <v>OK</v>
      </c>
      <c r="S2029" s="12" t="str">
        <v>Norway</v>
      </c>
      <c r="T2029" s="12" t="str">
        <f t="shared" si="155"/>
        <v>OK</v>
      </c>
      <c r="U2029" s="12" t="str">
        <f t="shared" si="156"/>
        <v>-</v>
      </c>
      <c r="V2029" s="12" t="str" cm="1">
        <f t="array" ref="V2029">_xlfn.IFS(
ISNUMBER(SEARCH("USA",S2029)),"United States",
ISNUMBER(SEARCH("Republic of Ireland",S2029)),"Ireland",
ISNUMBER(SEARCH("Republic of Korea",S2029)),"South Korea",
ISNUMBER(SEARCH("Cape Verde",S2029)),"Cabo Verde",
ISNUMBER(SEARCH("Czechia",S2029)),"Czech Republic",
ISNUMBER(SEARCH("Türkiye",S2029)),"Turkey",
ISNUMBER(SEARCH("Ivory Coast",S2029)),"Côte d'Ivoire",
ISNUMBER(SEARCH("Korea Republic",S2029)),"South Korea",
ISNUMBER(SEARCH("Germany FR",S2029)),"FR Germany",
ISNUMBER(SEARCH("West Germany",S2029)),"FR Germany",
ISNUMBER(SEARCH("Germany DR",S2029)),"DR Germany",
ISNUMBER(SEARCH("Korea DPR",S2029)),"North Korea",
ISNUMBER(SEARCH("China PR",S2029)),"China",
ISNUMBER(SEARCH("IR Iran",S2029)),"Iran",
ISNUMBER(SEARCH("Congo DR",S2029)),"Democratic Republic of the Congo",
ISNUMBER(SEARCH("DR Congo",S2029)),"Democratic Republic of the Congo",
ISNUMBER(SEARCH("German DR",S2029)),"DR Germany",
ISNUMBER(SEARCH("rn""&gt;United Arab Emirates",S2029)),"United Arab Emirates",
ISNUMBER(SEARCH("rn""&gt;Republic of Ireland",S2029)),"Ireland",
ISNUMBER(SEARCH("rn""&gt;Bosnia and Herzegovina",S2029)),"Bosnia and Herzegovina",
ISNUMBER(SEARCH("rn""&gt;Trinidad and Tobago",S2029)),"Trinidad and Tobago",
ISNUMBER(SEARCH("rn""&gt;Serbia and Montenegro",S2029)),"Serbia and Montenegro",
ISNUMBER(SEARCH(_xlfn.UNICHAR(65533),S2029)),"Côte d'Ivoire",
TRUE,""
)</f>
        <v/>
      </c>
      <c r="W2029" s="12" t="str">
        <f t="shared" si="157"/>
        <v>Norway</v>
      </c>
    </row>
    <row r="2030" spans="2:23">
      <c r="B2030" s="76" t="str">
        <v>1982.0</v>
      </c>
      <c r="C2030" s="42" t="str">
        <v xml:space="preserve">25 Jun 1982 - 17:15 </v>
      </c>
      <c r="D2030" s="42" t="str">
        <v>Group 2</v>
      </c>
      <c r="E2030" s="42" t="str">
        <v>El Molinon</v>
      </c>
      <c r="F2030" s="42" t="str">
        <v xml:space="preserve">Gijon </v>
      </c>
      <c r="G2030" s="42" t="str">
        <v>Germany FR</v>
      </c>
      <c r="H2030" s="42" t="str">
        <v>1.0</v>
      </c>
      <c r="I2030" s="42" t="str">
        <v>0.0</v>
      </c>
      <c r="J2030" s="42" t="str">
        <v>Austria</v>
      </c>
      <c r="K2030" s="42" t="str">
        <v xml:space="preserve"> </v>
      </c>
      <c r="L2030" s="42" t="str">
        <f t="shared" si="154"/>
        <v xml:space="preserve">1982.0|25 Jun 1982 - 17:15 |Group 2|El Molinon|Gijon |Germany FR|1.0|0.0|Austria| </v>
      </c>
      <c r="M2030" s="42" t="str">
        <f>IF(COUNTIF($L$1689:L2030,L2030)&gt;1,"DOUBLON","OK")</f>
        <v>OK</v>
      </c>
      <c r="S2030" s="12" t="str">
        <v>Norway</v>
      </c>
      <c r="T2030" s="12" t="str">
        <f t="shared" si="155"/>
        <v>OK</v>
      </c>
      <c r="U2030" s="12" t="str">
        <f t="shared" si="156"/>
        <v>-</v>
      </c>
      <c r="V2030" s="12" t="str" cm="1">
        <f t="array" ref="V2030">_xlfn.IFS(
ISNUMBER(SEARCH("USA",S2030)),"United States",
ISNUMBER(SEARCH("Republic of Ireland",S2030)),"Ireland",
ISNUMBER(SEARCH("Republic of Korea",S2030)),"South Korea",
ISNUMBER(SEARCH("Cape Verde",S2030)),"Cabo Verde",
ISNUMBER(SEARCH("Czechia",S2030)),"Czech Republic",
ISNUMBER(SEARCH("Türkiye",S2030)),"Turkey",
ISNUMBER(SEARCH("Ivory Coast",S2030)),"Côte d'Ivoire",
ISNUMBER(SEARCH("Korea Republic",S2030)),"South Korea",
ISNUMBER(SEARCH("Germany FR",S2030)),"FR Germany",
ISNUMBER(SEARCH("West Germany",S2030)),"FR Germany",
ISNUMBER(SEARCH("Germany DR",S2030)),"DR Germany",
ISNUMBER(SEARCH("Korea DPR",S2030)),"North Korea",
ISNUMBER(SEARCH("China PR",S2030)),"China",
ISNUMBER(SEARCH("IR Iran",S2030)),"Iran",
ISNUMBER(SEARCH("Congo DR",S2030)),"Democratic Republic of the Congo",
ISNUMBER(SEARCH("DR Congo",S2030)),"Democratic Republic of the Congo",
ISNUMBER(SEARCH("German DR",S2030)),"DR Germany",
ISNUMBER(SEARCH("rn""&gt;United Arab Emirates",S2030)),"United Arab Emirates",
ISNUMBER(SEARCH("rn""&gt;Republic of Ireland",S2030)),"Ireland",
ISNUMBER(SEARCH("rn""&gt;Bosnia and Herzegovina",S2030)),"Bosnia and Herzegovina",
ISNUMBER(SEARCH("rn""&gt;Trinidad and Tobago",S2030)),"Trinidad and Tobago",
ISNUMBER(SEARCH("rn""&gt;Serbia and Montenegro",S2030)),"Serbia and Montenegro",
ISNUMBER(SEARCH(_xlfn.UNICHAR(65533),S2030)),"Côte d'Ivoire",
TRUE,""
)</f>
        <v/>
      </c>
      <c r="W2030" s="12" t="str">
        <f t="shared" si="157"/>
        <v>Norway</v>
      </c>
    </row>
    <row r="2031" spans="2:23">
      <c r="B2031" s="76" t="str">
        <v>1982.0</v>
      </c>
      <c r="C2031" s="42" t="str">
        <v xml:space="preserve">25 Jun 1982 - 17:15 </v>
      </c>
      <c r="D2031" s="42" t="str">
        <v>Group 4</v>
      </c>
      <c r="E2031" s="42" t="str">
        <v>San Mames</v>
      </c>
      <c r="F2031" s="42" t="str">
        <v xml:space="preserve">Bilbao </v>
      </c>
      <c r="G2031" s="42" t="str">
        <v>England</v>
      </c>
      <c r="H2031" s="42" t="str">
        <v>1.0</v>
      </c>
      <c r="I2031" s="42" t="str">
        <v>0.0</v>
      </c>
      <c r="J2031" s="42" t="str">
        <v>Kuwait</v>
      </c>
      <c r="K2031" s="42" t="str">
        <v xml:space="preserve"> </v>
      </c>
      <c r="L2031" s="42" t="str">
        <f t="shared" si="154"/>
        <v xml:space="preserve">1982.0|25 Jun 1982 - 17:15 |Group 4|San Mames|Bilbao |England|1.0|0.0|Kuwait| </v>
      </c>
      <c r="M2031" s="42" t="str">
        <f>IF(COUNTIF($L$1689:L2031,L2031)&gt;1,"DOUBLON","OK")</f>
        <v>OK</v>
      </c>
      <c r="S2031" s="12" t="str">
        <v>Senegal</v>
      </c>
      <c r="T2031" s="12" t="str">
        <f t="shared" si="155"/>
        <v>OK</v>
      </c>
      <c r="U2031" s="12" t="str">
        <f t="shared" si="156"/>
        <v>-</v>
      </c>
      <c r="V2031" s="12" t="str" cm="1">
        <f t="array" ref="V2031">_xlfn.IFS(
ISNUMBER(SEARCH("USA",S2031)),"United States",
ISNUMBER(SEARCH("Republic of Ireland",S2031)),"Ireland",
ISNUMBER(SEARCH("Republic of Korea",S2031)),"South Korea",
ISNUMBER(SEARCH("Cape Verde",S2031)),"Cabo Verde",
ISNUMBER(SEARCH("Czechia",S2031)),"Czech Republic",
ISNUMBER(SEARCH("Türkiye",S2031)),"Turkey",
ISNUMBER(SEARCH("Ivory Coast",S2031)),"Côte d'Ivoire",
ISNUMBER(SEARCH("Korea Republic",S2031)),"South Korea",
ISNUMBER(SEARCH("Germany FR",S2031)),"FR Germany",
ISNUMBER(SEARCH("West Germany",S2031)),"FR Germany",
ISNUMBER(SEARCH("Germany DR",S2031)),"DR Germany",
ISNUMBER(SEARCH("Korea DPR",S2031)),"North Korea",
ISNUMBER(SEARCH("China PR",S2031)),"China",
ISNUMBER(SEARCH("IR Iran",S2031)),"Iran",
ISNUMBER(SEARCH("Congo DR",S2031)),"Democratic Republic of the Congo",
ISNUMBER(SEARCH("DR Congo",S2031)),"Democratic Republic of the Congo",
ISNUMBER(SEARCH("German DR",S2031)),"DR Germany",
ISNUMBER(SEARCH("rn""&gt;United Arab Emirates",S2031)),"United Arab Emirates",
ISNUMBER(SEARCH("rn""&gt;Republic of Ireland",S2031)),"Ireland",
ISNUMBER(SEARCH("rn""&gt;Bosnia and Herzegovina",S2031)),"Bosnia and Herzegovina",
ISNUMBER(SEARCH("rn""&gt;Trinidad and Tobago",S2031)),"Trinidad and Tobago",
ISNUMBER(SEARCH("rn""&gt;Serbia and Montenegro",S2031)),"Serbia and Montenegro",
ISNUMBER(SEARCH(_xlfn.UNICHAR(65533),S2031)),"Côte d'Ivoire",
TRUE,""
)</f>
        <v/>
      </c>
      <c r="W2031" s="12" t="str">
        <f t="shared" si="157"/>
        <v>Senegal</v>
      </c>
    </row>
    <row r="2032" spans="2:23">
      <c r="B2032" s="76" t="str">
        <v>1982.0</v>
      </c>
      <c r="C2032" s="42" t="str">
        <v xml:space="preserve">25 Jun 1982 - 21:00 </v>
      </c>
      <c r="D2032" s="42" t="str">
        <v>Group 5</v>
      </c>
      <c r="E2032" s="42" t="str">
        <v>Luis Casanova</v>
      </c>
      <c r="F2032" s="42" t="str">
        <v xml:space="preserve">Valencia </v>
      </c>
      <c r="G2032" s="42" t="str">
        <v>Northern Ireland</v>
      </c>
      <c r="H2032" s="42" t="str">
        <v>1.0</v>
      </c>
      <c r="I2032" s="42" t="str">
        <v>0.0</v>
      </c>
      <c r="J2032" s="42" t="str">
        <v>Spain</v>
      </c>
      <c r="K2032" s="42" t="str">
        <v xml:space="preserve"> </v>
      </c>
      <c r="L2032" s="42" t="str">
        <f t="shared" si="154"/>
        <v xml:space="preserve">1982.0|25 Jun 1982 - 21:00 |Group 5|Luis Casanova|Valencia |Northern Ireland|1.0|0.0|Spain| </v>
      </c>
      <c r="M2032" s="42" t="str">
        <f>IF(COUNTIF($L$1689:L2032,L2032)&gt;1,"DOUBLON","OK")</f>
        <v>OK</v>
      </c>
      <c r="S2032" s="12" t="str">
        <v>Senegal</v>
      </c>
      <c r="T2032" s="12" t="str">
        <f t="shared" si="155"/>
        <v>OK</v>
      </c>
      <c r="U2032" s="12" t="str">
        <f t="shared" si="156"/>
        <v>-</v>
      </c>
      <c r="V2032" s="12" t="str" cm="1">
        <f t="array" ref="V2032">_xlfn.IFS(
ISNUMBER(SEARCH("USA",S2032)),"United States",
ISNUMBER(SEARCH("Republic of Ireland",S2032)),"Ireland",
ISNUMBER(SEARCH("Republic of Korea",S2032)),"South Korea",
ISNUMBER(SEARCH("Cape Verde",S2032)),"Cabo Verde",
ISNUMBER(SEARCH("Czechia",S2032)),"Czech Republic",
ISNUMBER(SEARCH("Türkiye",S2032)),"Turkey",
ISNUMBER(SEARCH("Ivory Coast",S2032)),"Côte d'Ivoire",
ISNUMBER(SEARCH("Korea Republic",S2032)),"South Korea",
ISNUMBER(SEARCH("Germany FR",S2032)),"FR Germany",
ISNUMBER(SEARCH("West Germany",S2032)),"FR Germany",
ISNUMBER(SEARCH("Germany DR",S2032)),"DR Germany",
ISNUMBER(SEARCH("Korea DPR",S2032)),"North Korea",
ISNUMBER(SEARCH("China PR",S2032)),"China",
ISNUMBER(SEARCH("IR Iran",S2032)),"Iran",
ISNUMBER(SEARCH("Congo DR",S2032)),"Democratic Republic of the Congo",
ISNUMBER(SEARCH("DR Congo",S2032)),"Democratic Republic of the Congo",
ISNUMBER(SEARCH("German DR",S2032)),"DR Germany",
ISNUMBER(SEARCH("rn""&gt;United Arab Emirates",S2032)),"United Arab Emirates",
ISNUMBER(SEARCH("rn""&gt;Republic of Ireland",S2032)),"Ireland",
ISNUMBER(SEARCH("rn""&gt;Bosnia and Herzegovina",S2032)),"Bosnia and Herzegovina",
ISNUMBER(SEARCH("rn""&gt;Trinidad and Tobago",S2032)),"Trinidad and Tobago",
ISNUMBER(SEARCH("rn""&gt;Serbia and Montenegro",S2032)),"Serbia and Montenegro",
ISNUMBER(SEARCH(_xlfn.UNICHAR(65533),S2032)),"Côte d'Ivoire",
TRUE,""
)</f>
        <v/>
      </c>
      <c r="W2032" s="12" t="str">
        <f t="shared" si="157"/>
        <v>Senegal</v>
      </c>
    </row>
    <row r="2033" spans="2:23">
      <c r="B2033" s="76" t="str">
        <v>1982.0</v>
      </c>
      <c r="C2033" s="42" t="str">
        <v xml:space="preserve">28 Jun 1982 - 17:15 </v>
      </c>
      <c r="D2033" s="42" t="str">
        <v>Group 4</v>
      </c>
      <c r="E2033" s="42" t="str">
        <v>Vicente Calderon</v>
      </c>
      <c r="F2033" s="42" t="str">
        <v xml:space="preserve">Madrid </v>
      </c>
      <c r="G2033" s="42" t="str">
        <v>Austria</v>
      </c>
      <c r="H2033" s="42" t="str">
        <v>0.0</v>
      </c>
      <c r="I2033" s="42" t="str">
        <v>1.0</v>
      </c>
      <c r="J2033" s="42" t="str">
        <v>France</v>
      </c>
      <c r="K2033" s="42" t="str">
        <v xml:space="preserve"> </v>
      </c>
      <c r="L2033" s="42" t="str">
        <f t="shared" si="154"/>
        <v xml:space="preserve">1982.0|28 Jun 1982 - 17:15 |Group 4|Vicente Calderon|Madrid |Austria|0.0|1.0|France| </v>
      </c>
      <c r="M2033" s="42" t="str">
        <f>IF(COUNTIF($L$1689:L2033,L2033)&gt;1,"DOUBLON","OK")</f>
        <v>OK</v>
      </c>
      <c r="S2033" s="12" t="str">
        <v>Senegal</v>
      </c>
      <c r="T2033" s="12" t="str">
        <f t="shared" si="155"/>
        <v>OK</v>
      </c>
      <c r="U2033" s="12" t="str">
        <f t="shared" si="156"/>
        <v>-</v>
      </c>
      <c r="V2033" s="12" t="str" cm="1">
        <f t="array" ref="V2033">_xlfn.IFS(
ISNUMBER(SEARCH("USA",S2033)),"United States",
ISNUMBER(SEARCH("Republic of Ireland",S2033)),"Ireland",
ISNUMBER(SEARCH("Republic of Korea",S2033)),"South Korea",
ISNUMBER(SEARCH("Cape Verde",S2033)),"Cabo Verde",
ISNUMBER(SEARCH("Czechia",S2033)),"Czech Republic",
ISNUMBER(SEARCH("Türkiye",S2033)),"Turkey",
ISNUMBER(SEARCH("Ivory Coast",S2033)),"Côte d'Ivoire",
ISNUMBER(SEARCH("Korea Republic",S2033)),"South Korea",
ISNUMBER(SEARCH("Germany FR",S2033)),"FR Germany",
ISNUMBER(SEARCH("West Germany",S2033)),"FR Germany",
ISNUMBER(SEARCH("Germany DR",S2033)),"DR Germany",
ISNUMBER(SEARCH("Korea DPR",S2033)),"North Korea",
ISNUMBER(SEARCH("China PR",S2033)),"China",
ISNUMBER(SEARCH("IR Iran",S2033)),"Iran",
ISNUMBER(SEARCH("Congo DR",S2033)),"Democratic Republic of the Congo",
ISNUMBER(SEARCH("DR Congo",S2033)),"Democratic Republic of the Congo",
ISNUMBER(SEARCH("German DR",S2033)),"DR Germany",
ISNUMBER(SEARCH("rn""&gt;United Arab Emirates",S2033)),"United Arab Emirates",
ISNUMBER(SEARCH("rn""&gt;Republic of Ireland",S2033)),"Ireland",
ISNUMBER(SEARCH("rn""&gt;Bosnia and Herzegovina",S2033)),"Bosnia and Herzegovina",
ISNUMBER(SEARCH("rn""&gt;Trinidad and Tobago",S2033)),"Trinidad and Tobago",
ISNUMBER(SEARCH("rn""&gt;Serbia and Montenegro",S2033)),"Serbia and Montenegro",
ISNUMBER(SEARCH(_xlfn.UNICHAR(65533),S2033)),"Côte d'Ivoire",
TRUE,""
)</f>
        <v/>
      </c>
      <c r="W2033" s="12" t="str">
        <f t="shared" si="157"/>
        <v>Senegal</v>
      </c>
    </row>
    <row r="2034" spans="2:23">
      <c r="B2034" s="76" t="str">
        <v>1982.0</v>
      </c>
      <c r="C2034" s="42" t="str">
        <v xml:space="preserve">28 Jun 1982 - 21:00 </v>
      </c>
      <c r="D2034" s="42" t="str">
        <v>Group 1</v>
      </c>
      <c r="E2034" s="42" t="str">
        <v>Camp Nou</v>
      </c>
      <c r="F2034" s="42" t="str">
        <v xml:space="preserve">Barcelona </v>
      </c>
      <c r="G2034" s="42" t="str">
        <v>Poland</v>
      </c>
      <c r="H2034" s="42" t="str">
        <v>3.0</v>
      </c>
      <c r="I2034" s="42" t="str">
        <v>0.0</v>
      </c>
      <c r="J2034" s="42" t="str">
        <v>Belgium</v>
      </c>
      <c r="K2034" s="42" t="str">
        <v xml:space="preserve"> </v>
      </c>
      <c r="L2034" s="42" t="str">
        <f t="shared" si="154"/>
        <v xml:space="preserve">1982.0|28 Jun 1982 - 21:00 |Group 1|Camp Nou|Barcelona |Poland|3.0|0.0|Belgium| </v>
      </c>
      <c r="M2034" s="42" t="str">
        <f>IF(COUNTIF($L$1689:L2034,L2034)&gt;1,"DOUBLON","OK")</f>
        <v>OK</v>
      </c>
      <c r="S2034" s="12" t="str">
        <v>Senegal</v>
      </c>
      <c r="T2034" s="12" t="str">
        <f t="shared" si="155"/>
        <v>OK</v>
      </c>
      <c r="U2034" s="12" t="str">
        <f t="shared" si="156"/>
        <v>-</v>
      </c>
      <c r="V2034" s="12" t="str" cm="1">
        <f t="array" ref="V2034">_xlfn.IFS(
ISNUMBER(SEARCH("USA",S2034)),"United States",
ISNUMBER(SEARCH("Republic of Ireland",S2034)),"Ireland",
ISNUMBER(SEARCH("Republic of Korea",S2034)),"South Korea",
ISNUMBER(SEARCH("Cape Verde",S2034)),"Cabo Verde",
ISNUMBER(SEARCH("Czechia",S2034)),"Czech Republic",
ISNUMBER(SEARCH("Türkiye",S2034)),"Turkey",
ISNUMBER(SEARCH("Ivory Coast",S2034)),"Côte d'Ivoire",
ISNUMBER(SEARCH("Korea Republic",S2034)),"South Korea",
ISNUMBER(SEARCH("Germany FR",S2034)),"FR Germany",
ISNUMBER(SEARCH("West Germany",S2034)),"FR Germany",
ISNUMBER(SEARCH("Germany DR",S2034)),"DR Germany",
ISNUMBER(SEARCH("Korea DPR",S2034)),"North Korea",
ISNUMBER(SEARCH("China PR",S2034)),"China",
ISNUMBER(SEARCH("IR Iran",S2034)),"Iran",
ISNUMBER(SEARCH("Congo DR",S2034)),"Democratic Republic of the Congo",
ISNUMBER(SEARCH("DR Congo",S2034)),"Democratic Republic of the Congo",
ISNUMBER(SEARCH("German DR",S2034)),"DR Germany",
ISNUMBER(SEARCH("rn""&gt;United Arab Emirates",S2034)),"United Arab Emirates",
ISNUMBER(SEARCH("rn""&gt;Republic of Ireland",S2034)),"Ireland",
ISNUMBER(SEARCH("rn""&gt;Bosnia and Herzegovina",S2034)),"Bosnia and Herzegovina",
ISNUMBER(SEARCH("rn""&gt;Trinidad and Tobago",S2034)),"Trinidad and Tobago",
ISNUMBER(SEARCH("rn""&gt;Serbia and Montenegro",S2034)),"Serbia and Montenegro",
ISNUMBER(SEARCH(_xlfn.UNICHAR(65533),S2034)),"Côte d'Ivoire",
TRUE,""
)</f>
        <v/>
      </c>
      <c r="W2034" s="12" t="str">
        <f t="shared" si="157"/>
        <v>Senegal</v>
      </c>
    </row>
    <row r="2035" spans="2:23">
      <c r="B2035" s="76" t="str">
        <v>1982.0</v>
      </c>
      <c r="C2035" s="42" t="str">
        <v xml:space="preserve">29 Jun 1982 - 17:15 </v>
      </c>
      <c r="D2035" s="42" t="str">
        <v>Group 3</v>
      </c>
      <c r="E2035" s="42" t="str">
        <v>Sarria</v>
      </c>
      <c r="F2035" s="42" t="str">
        <v xml:space="preserve">Barcelona </v>
      </c>
      <c r="G2035" s="42" t="str">
        <v>Italy</v>
      </c>
      <c r="H2035" s="42" t="str">
        <v>2.0</v>
      </c>
      <c r="I2035" s="42" t="str">
        <v>1.0</v>
      </c>
      <c r="J2035" s="42" t="str">
        <v>Argentina</v>
      </c>
      <c r="K2035" s="42" t="str">
        <v xml:space="preserve"> </v>
      </c>
      <c r="L2035" s="42" t="str">
        <f t="shared" si="154"/>
        <v xml:space="preserve">1982.0|29 Jun 1982 - 17:15 |Group 3|Sarria|Barcelona |Italy|2.0|1.0|Argentina| </v>
      </c>
      <c r="M2035" s="42" t="str">
        <f>IF(COUNTIF($L$1689:L2035,L2035)&gt;1,"DOUBLON","OK")</f>
        <v>OK</v>
      </c>
      <c r="S2035" s="12" t="str">
        <v>Senegal</v>
      </c>
      <c r="T2035" s="12" t="str">
        <f t="shared" si="155"/>
        <v>OK</v>
      </c>
      <c r="U2035" s="12" t="str">
        <f t="shared" si="156"/>
        <v>-</v>
      </c>
      <c r="V2035" s="12" t="str" cm="1">
        <f t="array" ref="V2035">_xlfn.IFS(
ISNUMBER(SEARCH("USA",S2035)),"United States",
ISNUMBER(SEARCH("Republic of Ireland",S2035)),"Ireland",
ISNUMBER(SEARCH("Republic of Korea",S2035)),"South Korea",
ISNUMBER(SEARCH("Cape Verde",S2035)),"Cabo Verde",
ISNUMBER(SEARCH("Czechia",S2035)),"Czech Republic",
ISNUMBER(SEARCH("Türkiye",S2035)),"Turkey",
ISNUMBER(SEARCH("Ivory Coast",S2035)),"Côte d'Ivoire",
ISNUMBER(SEARCH("Korea Republic",S2035)),"South Korea",
ISNUMBER(SEARCH("Germany FR",S2035)),"FR Germany",
ISNUMBER(SEARCH("West Germany",S2035)),"FR Germany",
ISNUMBER(SEARCH("Germany DR",S2035)),"DR Germany",
ISNUMBER(SEARCH("Korea DPR",S2035)),"North Korea",
ISNUMBER(SEARCH("China PR",S2035)),"China",
ISNUMBER(SEARCH("IR Iran",S2035)),"Iran",
ISNUMBER(SEARCH("Congo DR",S2035)),"Democratic Republic of the Congo",
ISNUMBER(SEARCH("DR Congo",S2035)),"Democratic Republic of the Congo",
ISNUMBER(SEARCH("German DR",S2035)),"DR Germany",
ISNUMBER(SEARCH("rn""&gt;United Arab Emirates",S2035)),"United Arab Emirates",
ISNUMBER(SEARCH("rn""&gt;Republic of Ireland",S2035)),"Ireland",
ISNUMBER(SEARCH("rn""&gt;Bosnia and Herzegovina",S2035)),"Bosnia and Herzegovina",
ISNUMBER(SEARCH("rn""&gt;Trinidad and Tobago",S2035)),"Trinidad and Tobago",
ISNUMBER(SEARCH("rn""&gt;Serbia and Montenegro",S2035)),"Serbia and Montenegro",
ISNUMBER(SEARCH(_xlfn.UNICHAR(65533),S2035)),"Côte d'Ivoire",
TRUE,""
)</f>
        <v/>
      </c>
      <c r="W2035" s="12" t="str">
        <f t="shared" si="157"/>
        <v>Senegal</v>
      </c>
    </row>
    <row r="2036" spans="2:23">
      <c r="B2036" s="76" t="str">
        <v>1982.0</v>
      </c>
      <c r="C2036" s="42" t="str">
        <v xml:space="preserve">29 Jun 1982 - 21:00 </v>
      </c>
      <c r="D2036" s="42" t="str">
        <v>Group 2</v>
      </c>
      <c r="E2036" s="42" t="str">
        <v>Santiago Bernabeu</v>
      </c>
      <c r="F2036" s="42" t="str">
        <v xml:space="preserve">Madrid </v>
      </c>
      <c r="G2036" s="42" t="str">
        <v>Germany FR</v>
      </c>
      <c r="H2036" s="42" t="str">
        <v>0.0</v>
      </c>
      <c r="I2036" s="42" t="str">
        <v>0.0</v>
      </c>
      <c r="J2036" s="42" t="str">
        <v>England</v>
      </c>
      <c r="K2036" s="42" t="str">
        <v xml:space="preserve"> </v>
      </c>
      <c r="L2036" s="42" t="str">
        <f t="shared" si="154"/>
        <v xml:space="preserve">1982.0|29 Jun 1982 - 21:00 |Group 2|Santiago Bernabeu|Madrid |Germany FR|0.0|0.0|England| </v>
      </c>
      <c r="M2036" s="42" t="str">
        <f>IF(COUNTIF($L$1689:L2036,L2036)&gt;1,"DOUBLON","OK")</f>
        <v>OK</v>
      </c>
      <c r="S2036" s="12" t="str">
        <v>Senegal</v>
      </c>
      <c r="T2036" s="12" t="str">
        <f t="shared" si="155"/>
        <v>OK</v>
      </c>
      <c r="U2036" s="12" t="str">
        <f t="shared" si="156"/>
        <v>-</v>
      </c>
      <c r="V2036" s="12" t="str" cm="1">
        <f t="array" ref="V2036">_xlfn.IFS(
ISNUMBER(SEARCH("USA",S2036)),"United States",
ISNUMBER(SEARCH("Republic of Ireland",S2036)),"Ireland",
ISNUMBER(SEARCH("Republic of Korea",S2036)),"South Korea",
ISNUMBER(SEARCH("Cape Verde",S2036)),"Cabo Verde",
ISNUMBER(SEARCH("Czechia",S2036)),"Czech Republic",
ISNUMBER(SEARCH("Türkiye",S2036)),"Turkey",
ISNUMBER(SEARCH("Ivory Coast",S2036)),"Côte d'Ivoire",
ISNUMBER(SEARCH("Korea Republic",S2036)),"South Korea",
ISNUMBER(SEARCH("Germany FR",S2036)),"FR Germany",
ISNUMBER(SEARCH("West Germany",S2036)),"FR Germany",
ISNUMBER(SEARCH("Germany DR",S2036)),"DR Germany",
ISNUMBER(SEARCH("Korea DPR",S2036)),"North Korea",
ISNUMBER(SEARCH("China PR",S2036)),"China",
ISNUMBER(SEARCH("IR Iran",S2036)),"Iran",
ISNUMBER(SEARCH("Congo DR",S2036)),"Democratic Republic of the Congo",
ISNUMBER(SEARCH("DR Congo",S2036)),"Democratic Republic of the Congo",
ISNUMBER(SEARCH("German DR",S2036)),"DR Germany",
ISNUMBER(SEARCH("rn""&gt;United Arab Emirates",S2036)),"United Arab Emirates",
ISNUMBER(SEARCH("rn""&gt;Republic of Ireland",S2036)),"Ireland",
ISNUMBER(SEARCH("rn""&gt;Bosnia and Herzegovina",S2036)),"Bosnia and Herzegovina",
ISNUMBER(SEARCH("rn""&gt;Trinidad and Tobago",S2036)),"Trinidad and Tobago",
ISNUMBER(SEARCH("rn""&gt;Serbia and Montenegro",S2036)),"Serbia and Montenegro",
ISNUMBER(SEARCH(_xlfn.UNICHAR(65533),S2036)),"Côte d'Ivoire",
TRUE,""
)</f>
        <v/>
      </c>
      <c r="W2036" s="12" t="str">
        <f t="shared" si="157"/>
        <v>Senegal</v>
      </c>
    </row>
    <row r="2037" spans="2:23">
      <c r="B2037" s="76" t="str">
        <v>1982.0</v>
      </c>
      <c r="C2037" s="42" t="str">
        <v xml:space="preserve">01 Jul 1982 - 17:15 </v>
      </c>
      <c r="D2037" s="42" t="str">
        <v>Group 4</v>
      </c>
      <c r="E2037" s="42" t="str">
        <v>Vicente Calderon</v>
      </c>
      <c r="F2037" s="42" t="str">
        <v xml:space="preserve">Madrid </v>
      </c>
      <c r="G2037" s="42" t="str">
        <v>Austria</v>
      </c>
      <c r="H2037" s="42" t="str">
        <v>2.0</v>
      </c>
      <c r="I2037" s="42" t="str">
        <v>2.0</v>
      </c>
      <c r="J2037" s="42" t="str">
        <v>Northern Ireland</v>
      </c>
      <c r="K2037" s="42" t="str">
        <v xml:space="preserve"> </v>
      </c>
      <c r="L2037" s="42" t="str">
        <f t="shared" si="154"/>
        <v xml:space="preserve">1982.0|01 Jul 1982 - 17:15 |Group 4|Vicente Calderon|Madrid |Austria|2.0|2.0|Northern Ireland| </v>
      </c>
      <c r="M2037" s="42" t="str">
        <f>IF(COUNTIF($L$1689:L2037,L2037)&gt;1,"DOUBLON","OK")</f>
        <v>OK</v>
      </c>
      <c r="S2037" s="12" t="str">
        <v>Senegal</v>
      </c>
      <c r="T2037" s="12" t="str">
        <f t="shared" si="155"/>
        <v>OK</v>
      </c>
      <c r="U2037" s="12" t="str">
        <f t="shared" si="156"/>
        <v>-</v>
      </c>
      <c r="V2037" s="12" t="str" cm="1">
        <f t="array" ref="V2037">_xlfn.IFS(
ISNUMBER(SEARCH("USA",S2037)),"United States",
ISNUMBER(SEARCH("Republic of Ireland",S2037)),"Ireland",
ISNUMBER(SEARCH("Republic of Korea",S2037)),"South Korea",
ISNUMBER(SEARCH("Cape Verde",S2037)),"Cabo Verde",
ISNUMBER(SEARCH("Czechia",S2037)),"Czech Republic",
ISNUMBER(SEARCH("Türkiye",S2037)),"Turkey",
ISNUMBER(SEARCH("Ivory Coast",S2037)),"Côte d'Ivoire",
ISNUMBER(SEARCH("Korea Republic",S2037)),"South Korea",
ISNUMBER(SEARCH("Germany FR",S2037)),"FR Germany",
ISNUMBER(SEARCH("West Germany",S2037)),"FR Germany",
ISNUMBER(SEARCH("Germany DR",S2037)),"DR Germany",
ISNUMBER(SEARCH("Korea DPR",S2037)),"North Korea",
ISNUMBER(SEARCH("China PR",S2037)),"China",
ISNUMBER(SEARCH("IR Iran",S2037)),"Iran",
ISNUMBER(SEARCH("Congo DR",S2037)),"Democratic Republic of the Congo",
ISNUMBER(SEARCH("DR Congo",S2037)),"Democratic Republic of the Congo",
ISNUMBER(SEARCH("German DR",S2037)),"DR Germany",
ISNUMBER(SEARCH("rn""&gt;United Arab Emirates",S2037)),"United Arab Emirates",
ISNUMBER(SEARCH("rn""&gt;Republic of Ireland",S2037)),"Ireland",
ISNUMBER(SEARCH("rn""&gt;Bosnia and Herzegovina",S2037)),"Bosnia and Herzegovina",
ISNUMBER(SEARCH("rn""&gt;Trinidad and Tobago",S2037)),"Trinidad and Tobago",
ISNUMBER(SEARCH("rn""&gt;Serbia and Montenegro",S2037)),"Serbia and Montenegro",
ISNUMBER(SEARCH(_xlfn.UNICHAR(65533),S2037)),"Côte d'Ivoire",
TRUE,""
)</f>
        <v/>
      </c>
      <c r="W2037" s="12" t="str">
        <f t="shared" si="157"/>
        <v>Senegal</v>
      </c>
    </row>
    <row r="2038" spans="2:23">
      <c r="B2038" s="76" t="str">
        <v>1982.0</v>
      </c>
      <c r="C2038" s="42" t="str">
        <v xml:space="preserve">01 Jul 1982 - 21:00 </v>
      </c>
      <c r="D2038" s="42" t="str">
        <v>Group 1</v>
      </c>
      <c r="E2038" s="42" t="str">
        <v>Camp Nou</v>
      </c>
      <c r="F2038" s="42" t="str">
        <v xml:space="preserve">Barcelona </v>
      </c>
      <c r="G2038" s="42" t="str">
        <v>Belgium</v>
      </c>
      <c r="H2038" s="42" t="str">
        <v>0.0</v>
      </c>
      <c r="I2038" s="42" t="str">
        <v>1.0</v>
      </c>
      <c r="J2038" s="42" t="str">
        <v>Soviet Union</v>
      </c>
      <c r="K2038" s="42" t="str">
        <v xml:space="preserve"> </v>
      </c>
      <c r="L2038" s="42" t="str">
        <f t="shared" si="154"/>
        <v xml:space="preserve">1982.0|01 Jul 1982 - 21:00 |Group 1|Camp Nou|Barcelona |Belgium|0.0|1.0|Soviet Union| </v>
      </c>
      <c r="M2038" s="42" t="str">
        <f>IF(COUNTIF($L$1689:L2038,L2038)&gt;1,"DOUBLON","OK")</f>
        <v>OK</v>
      </c>
      <c r="S2038" s="12" t="str">
        <v>Senegal</v>
      </c>
      <c r="T2038" s="12" t="str">
        <f t="shared" si="155"/>
        <v>OK</v>
      </c>
      <c r="U2038" s="12" t="str">
        <f t="shared" si="156"/>
        <v>-</v>
      </c>
      <c r="V2038" s="12" t="str" cm="1">
        <f t="array" ref="V2038">_xlfn.IFS(
ISNUMBER(SEARCH("USA",S2038)),"United States",
ISNUMBER(SEARCH("Republic of Ireland",S2038)),"Ireland",
ISNUMBER(SEARCH("Republic of Korea",S2038)),"South Korea",
ISNUMBER(SEARCH("Cape Verde",S2038)),"Cabo Verde",
ISNUMBER(SEARCH("Czechia",S2038)),"Czech Republic",
ISNUMBER(SEARCH("Türkiye",S2038)),"Turkey",
ISNUMBER(SEARCH("Ivory Coast",S2038)),"Côte d'Ivoire",
ISNUMBER(SEARCH("Korea Republic",S2038)),"South Korea",
ISNUMBER(SEARCH("Germany FR",S2038)),"FR Germany",
ISNUMBER(SEARCH("West Germany",S2038)),"FR Germany",
ISNUMBER(SEARCH("Germany DR",S2038)),"DR Germany",
ISNUMBER(SEARCH("Korea DPR",S2038)),"North Korea",
ISNUMBER(SEARCH("China PR",S2038)),"China",
ISNUMBER(SEARCH("IR Iran",S2038)),"Iran",
ISNUMBER(SEARCH("Congo DR",S2038)),"Democratic Republic of the Congo",
ISNUMBER(SEARCH("DR Congo",S2038)),"Democratic Republic of the Congo",
ISNUMBER(SEARCH("German DR",S2038)),"DR Germany",
ISNUMBER(SEARCH("rn""&gt;United Arab Emirates",S2038)),"United Arab Emirates",
ISNUMBER(SEARCH("rn""&gt;Republic of Ireland",S2038)),"Ireland",
ISNUMBER(SEARCH("rn""&gt;Bosnia and Herzegovina",S2038)),"Bosnia and Herzegovina",
ISNUMBER(SEARCH("rn""&gt;Trinidad and Tobago",S2038)),"Trinidad and Tobago",
ISNUMBER(SEARCH("rn""&gt;Serbia and Montenegro",S2038)),"Serbia and Montenegro",
ISNUMBER(SEARCH(_xlfn.UNICHAR(65533),S2038)),"Côte d'Ivoire",
TRUE,""
)</f>
        <v/>
      </c>
      <c r="W2038" s="12" t="str">
        <f t="shared" si="157"/>
        <v>Senegal</v>
      </c>
    </row>
    <row r="2039" spans="2:23">
      <c r="B2039" s="76" t="str">
        <v>1982.0</v>
      </c>
      <c r="C2039" s="42" t="str">
        <v xml:space="preserve">02 Jul 1982 - 17:15 </v>
      </c>
      <c r="D2039" s="42" t="str">
        <v>Group 3</v>
      </c>
      <c r="E2039" s="42" t="str">
        <v>Sarria</v>
      </c>
      <c r="F2039" s="42" t="str">
        <v xml:space="preserve">Barcelona </v>
      </c>
      <c r="G2039" s="42" t="str">
        <v>Argentina</v>
      </c>
      <c r="H2039" s="42" t="str">
        <v>1.0</v>
      </c>
      <c r="I2039" s="42" t="str">
        <v>3.0</v>
      </c>
      <c r="J2039" s="42" t="str">
        <v>Brazil</v>
      </c>
      <c r="K2039" s="42" t="str">
        <v xml:space="preserve"> </v>
      </c>
      <c r="L2039" s="42" t="str">
        <f t="shared" si="154"/>
        <v xml:space="preserve">1982.0|02 Jul 1982 - 17:15 |Group 3|Sarria|Barcelona |Argentina|1.0|3.0|Brazil| </v>
      </c>
      <c r="M2039" s="42" t="str">
        <f>IF(COUNTIF($L$1689:L2039,L2039)&gt;1,"DOUBLON","OK")</f>
        <v>OK</v>
      </c>
      <c r="S2039" s="12" t="str">
        <v>Senegal</v>
      </c>
      <c r="T2039" s="12" t="str">
        <f t="shared" si="155"/>
        <v>OK</v>
      </c>
      <c r="U2039" s="12" t="str">
        <f t="shared" si="156"/>
        <v>-</v>
      </c>
      <c r="V2039" s="12" t="str" cm="1">
        <f t="array" ref="V2039">_xlfn.IFS(
ISNUMBER(SEARCH("USA",S2039)),"United States",
ISNUMBER(SEARCH("Republic of Ireland",S2039)),"Ireland",
ISNUMBER(SEARCH("Republic of Korea",S2039)),"South Korea",
ISNUMBER(SEARCH("Cape Verde",S2039)),"Cabo Verde",
ISNUMBER(SEARCH("Czechia",S2039)),"Czech Republic",
ISNUMBER(SEARCH("Türkiye",S2039)),"Turkey",
ISNUMBER(SEARCH("Ivory Coast",S2039)),"Côte d'Ivoire",
ISNUMBER(SEARCH("Korea Republic",S2039)),"South Korea",
ISNUMBER(SEARCH("Germany FR",S2039)),"FR Germany",
ISNUMBER(SEARCH("West Germany",S2039)),"FR Germany",
ISNUMBER(SEARCH("Germany DR",S2039)),"DR Germany",
ISNUMBER(SEARCH("Korea DPR",S2039)),"North Korea",
ISNUMBER(SEARCH("China PR",S2039)),"China",
ISNUMBER(SEARCH("IR Iran",S2039)),"Iran",
ISNUMBER(SEARCH("Congo DR",S2039)),"Democratic Republic of the Congo",
ISNUMBER(SEARCH("DR Congo",S2039)),"Democratic Republic of the Congo",
ISNUMBER(SEARCH("German DR",S2039)),"DR Germany",
ISNUMBER(SEARCH("rn""&gt;United Arab Emirates",S2039)),"United Arab Emirates",
ISNUMBER(SEARCH("rn""&gt;Republic of Ireland",S2039)),"Ireland",
ISNUMBER(SEARCH("rn""&gt;Bosnia and Herzegovina",S2039)),"Bosnia and Herzegovina",
ISNUMBER(SEARCH("rn""&gt;Trinidad and Tobago",S2039)),"Trinidad and Tobago",
ISNUMBER(SEARCH("rn""&gt;Serbia and Montenegro",S2039)),"Serbia and Montenegro",
ISNUMBER(SEARCH(_xlfn.UNICHAR(65533),S2039)),"Côte d'Ivoire",
TRUE,""
)</f>
        <v/>
      </c>
      <c r="W2039" s="12" t="str">
        <f t="shared" si="157"/>
        <v>Senegal</v>
      </c>
    </row>
    <row r="2040" spans="2:23">
      <c r="B2040" s="76" t="str">
        <v>1982.0</v>
      </c>
      <c r="C2040" s="42" t="str">
        <v xml:space="preserve">02 Jul 1982 - 21:00 </v>
      </c>
      <c r="D2040" s="42" t="str">
        <v>Group 2</v>
      </c>
      <c r="E2040" s="42" t="str">
        <v>Santiago Bernabeu</v>
      </c>
      <c r="F2040" s="42" t="str">
        <v xml:space="preserve">Madrid </v>
      </c>
      <c r="G2040" s="42" t="str">
        <v>Germany FR</v>
      </c>
      <c r="H2040" s="42" t="str">
        <v>2.0</v>
      </c>
      <c r="I2040" s="42" t="str">
        <v>1.0</v>
      </c>
      <c r="J2040" s="42" t="str">
        <v>Spain</v>
      </c>
      <c r="K2040" s="42" t="str">
        <v xml:space="preserve"> </v>
      </c>
      <c r="L2040" s="42" t="str">
        <f t="shared" si="154"/>
        <v xml:space="preserve">1982.0|02 Jul 1982 - 21:00 |Group 2|Santiago Bernabeu|Madrid |Germany FR|2.0|1.0|Spain| </v>
      </c>
      <c r="M2040" s="42" t="str">
        <f>IF(COUNTIF($L$1689:L2040,L2040)&gt;1,"DOUBLON","OK")</f>
        <v>OK</v>
      </c>
      <c r="S2040" s="12" t="str">
        <v>Senegal</v>
      </c>
      <c r="T2040" s="12" t="str">
        <f t="shared" si="155"/>
        <v>OK</v>
      </c>
      <c r="U2040" s="12" t="str">
        <f t="shared" si="156"/>
        <v>-</v>
      </c>
      <c r="V2040" s="12" t="str" cm="1">
        <f t="array" ref="V2040">_xlfn.IFS(
ISNUMBER(SEARCH("USA",S2040)),"United States",
ISNUMBER(SEARCH("Republic of Ireland",S2040)),"Ireland",
ISNUMBER(SEARCH("Republic of Korea",S2040)),"South Korea",
ISNUMBER(SEARCH("Cape Verde",S2040)),"Cabo Verde",
ISNUMBER(SEARCH("Czechia",S2040)),"Czech Republic",
ISNUMBER(SEARCH("Türkiye",S2040)),"Turkey",
ISNUMBER(SEARCH("Ivory Coast",S2040)),"Côte d'Ivoire",
ISNUMBER(SEARCH("Korea Republic",S2040)),"South Korea",
ISNUMBER(SEARCH("Germany FR",S2040)),"FR Germany",
ISNUMBER(SEARCH("West Germany",S2040)),"FR Germany",
ISNUMBER(SEARCH("Germany DR",S2040)),"DR Germany",
ISNUMBER(SEARCH("Korea DPR",S2040)),"North Korea",
ISNUMBER(SEARCH("China PR",S2040)),"China",
ISNUMBER(SEARCH("IR Iran",S2040)),"Iran",
ISNUMBER(SEARCH("Congo DR",S2040)),"Democratic Republic of the Congo",
ISNUMBER(SEARCH("DR Congo",S2040)),"Democratic Republic of the Congo",
ISNUMBER(SEARCH("German DR",S2040)),"DR Germany",
ISNUMBER(SEARCH("rn""&gt;United Arab Emirates",S2040)),"United Arab Emirates",
ISNUMBER(SEARCH("rn""&gt;Republic of Ireland",S2040)),"Ireland",
ISNUMBER(SEARCH("rn""&gt;Bosnia and Herzegovina",S2040)),"Bosnia and Herzegovina",
ISNUMBER(SEARCH("rn""&gt;Trinidad and Tobago",S2040)),"Trinidad and Tobago",
ISNUMBER(SEARCH("rn""&gt;Serbia and Montenegro",S2040)),"Serbia and Montenegro",
ISNUMBER(SEARCH(_xlfn.UNICHAR(65533),S2040)),"Côte d'Ivoire",
TRUE,""
)</f>
        <v/>
      </c>
      <c r="W2040" s="12" t="str">
        <f t="shared" si="157"/>
        <v>Senegal</v>
      </c>
    </row>
    <row r="2041" spans="2:23">
      <c r="B2041" s="76" t="str">
        <v>1982.0</v>
      </c>
      <c r="C2041" s="42" t="str">
        <v xml:space="preserve">04 Jul 1982 - 17:15 </v>
      </c>
      <c r="D2041" s="42" t="str">
        <v>Group 4</v>
      </c>
      <c r="E2041" s="42" t="str">
        <v>Vicente Calderon</v>
      </c>
      <c r="F2041" s="42" t="str">
        <v xml:space="preserve">Madrid </v>
      </c>
      <c r="G2041" s="42" t="str">
        <v>France</v>
      </c>
      <c r="H2041" s="42" t="str">
        <v>4.0</v>
      </c>
      <c r="I2041" s="42" t="str">
        <v>1.0</v>
      </c>
      <c r="J2041" s="42" t="str">
        <v>Northern Ireland</v>
      </c>
      <c r="K2041" s="42" t="str">
        <v xml:space="preserve"> </v>
      </c>
      <c r="L2041" s="42" t="str">
        <f t="shared" si="154"/>
        <v xml:space="preserve">1982.0|04 Jul 1982 - 17:15 |Group 4|Vicente Calderon|Madrid |France|4.0|1.0|Northern Ireland| </v>
      </c>
      <c r="M2041" s="42" t="str">
        <f>IF(COUNTIF($L$1689:L2041,L2041)&gt;1,"DOUBLON","OK")</f>
        <v>OK</v>
      </c>
      <c r="S2041" s="12" t="str">
        <v>Senegal</v>
      </c>
      <c r="T2041" s="12" t="str">
        <f t="shared" si="155"/>
        <v>OK</v>
      </c>
      <c r="U2041" s="12" t="str">
        <f t="shared" si="156"/>
        <v>-</v>
      </c>
      <c r="V2041" s="12" t="str" cm="1">
        <f t="array" ref="V2041">_xlfn.IFS(
ISNUMBER(SEARCH("USA",S2041)),"United States",
ISNUMBER(SEARCH("Republic of Ireland",S2041)),"Ireland",
ISNUMBER(SEARCH("Republic of Korea",S2041)),"South Korea",
ISNUMBER(SEARCH("Cape Verde",S2041)),"Cabo Verde",
ISNUMBER(SEARCH("Czechia",S2041)),"Czech Republic",
ISNUMBER(SEARCH("Türkiye",S2041)),"Turkey",
ISNUMBER(SEARCH("Ivory Coast",S2041)),"Côte d'Ivoire",
ISNUMBER(SEARCH("Korea Republic",S2041)),"South Korea",
ISNUMBER(SEARCH("Germany FR",S2041)),"FR Germany",
ISNUMBER(SEARCH("West Germany",S2041)),"FR Germany",
ISNUMBER(SEARCH("Germany DR",S2041)),"DR Germany",
ISNUMBER(SEARCH("Korea DPR",S2041)),"North Korea",
ISNUMBER(SEARCH("China PR",S2041)),"China",
ISNUMBER(SEARCH("IR Iran",S2041)),"Iran",
ISNUMBER(SEARCH("Congo DR",S2041)),"Democratic Republic of the Congo",
ISNUMBER(SEARCH("DR Congo",S2041)),"Democratic Republic of the Congo",
ISNUMBER(SEARCH("German DR",S2041)),"DR Germany",
ISNUMBER(SEARCH("rn""&gt;United Arab Emirates",S2041)),"United Arab Emirates",
ISNUMBER(SEARCH("rn""&gt;Republic of Ireland",S2041)),"Ireland",
ISNUMBER(SEARCH("rn""&gt;Bosnia and Herzegovina",S2041)),"Bosnia and Herzegovina",
ISNUMBER(SEARCH("rn""&gt;Trinidad and Tobago",S2041)),"Trinidad and Tobago",
ISNUMBER(SEARCH("rn""&gt;Serbia and Montenegro",S2041)),"Serbia and Montenegro",
ISNUMBER(SEARCH(_xlfn.UNICHAR(65533),S2041)),"Côte d'Ivoire",
TRUE,""
)</f>
        <v/>
      </c>
      <c r="W2041" s="12" t="str">
        <f t="shared" si="157"/>
        <v>Senegal</v>
      </c>
    </row>
    <row r="2042" spans="2:23">
      <c r="B2042" s="76" t="str">
        <v>1982.0</v>
      </c>
      <c r="C2042" s="42" t="str">
        <v xml:space="preserve">04 Jul 1982 - 21:00 </v>
      </c>
      <c r="D2042" s="42" t="str">
        <v>Group 1</v>
      </c>
      <c r="E2042" s="42" t="str">
        <v>Camp Nou</v>
      </c>
      <c r="F2042" s="42" t="str">
        <v xml:space="preserve">Barcelona </v>
      </c>
      <c r="G2042" s="42" t="str">
        <v>Poland</v>
      </c>
      <c r="H2042" s="42" t="str">
        <v>0.0</v>
      </c>
      <c r="I2042" s="42" t="str">
        <v>0.0</v>
      </c>
      <c r="J2042" s="42" t="str">
        <v>Soviet Union</v>
      </c>
      <c r="K2042" s="42" t="str">
        <v xml:space="preserve"> </v>
      </c>
      <c r="L2042" s="42" t="str">
        <f t="shared" si="154"/>
        <v xml:space="preserve">1982.0|04 Jul 1982 - 21:00 |Group 1|Camp Nou|Barcelona |Poland|0.0|0.0|Soviet Union| </v>
      </c>
      <c r="M2042" s="42" t="str">
        <f>IF(COUNTIF($L$1689:L2042,L2042)&gt;1,"DOUBLON","OK")</f>
        <v>OK</v>
      </c>
      <c r="S2042" s="12" t="str">
        <v>Senegal</v>
      </c>
      <c r="T2042" s="12" t="str">
        <f t="shared" si="155"/>
        <v>OK</v>
      </c>
      <c r="U2042" s="12" t="str">
        <f t="shared" si="156"/>
        <v>-</v>
      </c>
      <c r="V2042" s="12" t="str" cm="1">
        <f t="array" ref="V2042">_xlfn.IFS(
ISNUMBER(SEARCH("USA",S2042)),"United States",
ISNUMBER(SEARCH("Republic of Ireland",S2042)),"Ireland",
ISNUMBER(SEARCH("Republic of Korea",S2042)),"South Korea",
ISNUMBER(SEARCH("Cape Verde",S2042)),"Cabo Verde",
ISNUMBER(SEARCH("Czechia",S2042)),"Czech Republic",
ISNUMBER(SEARCH("Türkiye",S2042)),"Turkey",
ISNUMBER(SEARCH("Ivory Coast",S2042)),"Côte d'Ivoire",
ISNUMBER(SEARCH("Korea Republic",S2042)),"South Korea",
ISNUMBER(SEARCH("Germany FR",S2042)),"FR Germany",
ISNUMBER(SEARCH("West Germany",S2042)),"FR Germany",
ISNUMBER(SEARCH("Germany DR",S2042)),"DR Germany",
ISNUMBER(SEARCH("Korea DPR",S2042)),"North Korea",
ISNUMBER(SEARCH("China PR",S2042)),"China",
ISNUMBER(SEARCH("IR Iran",S2042)),"Iran",
ISNUMBER(SEARCH("Congo DR",S2042)),"Democratic Republic of the Congo",
ISNUMBER(SEARCH("DR Congo",S2042)),"Democratic Republic of the Congo",
ISNUMBER(SEARCH("German DR",S2042)),"DR Germany",
ISNUMBER(SEARCH("rn""&gt;United Arab Emirates",S2042)),"United Arab Emirates",
ISNUMBER(SEARCH("rn""&gt;Republic of Ireland",S2042)),"Ireland",
ISNUMBER(SEARCH("rn""&gt;Bosnia and Herzegovina",S2042)),"Bosnia and Herzegovina",
ISNUMBER(SEARCH("rn""&gt;Trinidad and Tobago",S2042)),"Trinidad and Tobago",
ISNUMBER(SEARCH("rn""&gt;Serbia and Montenegro",S2042)),"Serbia and Montenegro",
ISNUMBER(SEARCH(_xlfn.UNICHAR(65533),S2042)),"Côte d'Ivoire",
TRUE,""
)</f>
        <v/>
      </c>
      <c r="W2042" s="12" t="str">
        <f t="shared" si="157"/>
        <v>Senegal</v>
      </c>
    </row>
    <row r="2043" spans="2:23">
      <c r="B2043" s="76" t="str">
        <v>1982.0</v>
      </c>
      <c r="C2043" s="42" t="str">
        <v xml:space="preserve">05 Jul 1982 - 17:15 </v>
      </c>
      <c r="D2043" s="42" t="str">
        <v>Group 3</v>
      </c>
      <c r="E2043" s="42" t="str">
        <v>Sarria</v>
      </c>
      <c r="F2043" s="42" t="str">
        <v xml:space="preserve">Barcelona </v>
      </c>
      <c r="G2043" s="42" t="str">
        <v>Italy</v>
      </c>
      <c r="H2043" s="42" t="str">
        <v>3.0</v>
      </c>
      <c r="I2043" s="42" t="str">
        <v>2.0</v>
      </c>
      <c r="J2043" s="42" t="str">
        <v>Brazil</v>
      </c>
      <c r="K2043" s="42" t="str">
        <v xml:space="preserve"> </v>
      </c>
      <c r="L2043" s="42" t="str">
        <f t="shared" si="154"/>
        <v xml:space="preserve">1982.0|05 Jul 1982 - 17:15 |Group 3|Sarria|Barcelona |Italy|3.0|2.0|Brazil| </v>
      </c>
      <c r="M2043" s="42" t="str">
        <f>IF(COUNTIF($L$1689:L2043,L2043)&gt;1,"DOUBLON","OK")</f>
        <v>OK</v>
      </c>
      <c r="S2043" s="12" t="str">
        <v>Senegal</v>
      </c>
      <c r="T2043" s="12" t="str">
        <f t="shared" si="155"/>
        <v>OK</v>
      </c>
      <c r="U2043" s="12" t="str">
        <f t="shared" si="156"/>
        <v>-</v>
      </c>
      <c r="V2043" s="12" t="str" cm="1">
        <f t="array" ref="V2043">_xlfn.IFS(
ISNUMBER(SEARCH("USA",S2043)),"United States",
ISNUMBER(SEARCH("Republic of Ireland",S2043)),"Ireland",
ISNUMBER(SEARCH("Republic of Korea",S2043)),"South Korea",
ISNUMBER(SEARCH("Cape Verde",S2043)),"Cabo Verde",
ISNUMBER(SEARCH("Czechia",S2043)),"Czech Republic",
ISNUMBER(SEARCH("Türkiye",S2043)),"Turkey",
ISNUMBER(SEARCH("Ivory Coast",S2043)),"Côte d'Ivoire",
ISNUMBER(SEARCH("Korea Republic",S2043)),"South Korea",
ISNUMBER(SEARCH("Germany FR",S2043)),"FR Germany",
ISNUMBER(SEARCH("West Germany",S2043)),"FR Germany",
ISNUMBER(SEARCH("Germany DR",S2043)),"DR Germany",
ISNUMBER(SEARCH("Korea DPR",S2043)),"North Korea",
ISNUMBER(SEARCH("China PR",S2043)),"China",
ISNUMBER(SEARCH("IR Iran",S2043)),"Iran",
ISNUMBER(SEARCH("Congo DR",S2043)),"Democratic Republic of the Congo",
ISNUMBER(SEARCH("DR Congo",S2043)),"Democratic Republic of the Congo",
ISNUMBER(SEARCH("German DR",S2043)),"DR Germany",
ISNUMBER(SEARCH("rn""&gt;United Arab Emirates",S2043)),"United Arab Emirates",
ISNUMBER(SEARCH("rn""&gt;Republic of Ireland",S2043)),"Ireland",
ISNUMBER(SEARCH("rn""&gt;Bosnia and Herzegovina",S2043)),"Bosnia and Herzegovina",
ISNUMBER(SEARCH("rn""&gt;Trinidad and Tobago",S2043)),"Trinidad and Tobago",
ISNUMBER(SEARCH("rn""&gt;Serbia and Montenegro",S2043)),"Serbia and Montenegro",
ISNUMBER(SEARCH(_xlfn.UNICHAR(65533),S2043)),"Côte d'Ivoire",
TRUE,""
)</f>
        <v/>
      </c>
      <c r="W2043" s="12" t="str">
        <f t="shared" si="157"/>
        <v>Senegal</v>
      </c>
    </row>
    <row r="2044" spans="2:23">
      <c r="B2044" s="76" t="str">
        <v>1982.0</v>
      </c>
      <c r="C2044" s="42" t="str">
        <v xml:space="preserve">05 Jul 1982 - 21:00 </v>
      </c>
      <c r="D2044" s="42" t="str">
        <v>Group 2</v>
      </c>
      <c r="E2044" s="42" t="str">
        <v>Santiago Bernabeu</v>
      </c>
      <c r="F2044" s="42" t="str">
        <v xml:space="preserve">Madrid </v>
      </c>
      <c r="G2044" s="42" t="str">
        <v>Spain</v>
      </c>
      <c r="H2044" s="42" t="str">
        <v>0.0</v>
      </c>
      <c r="I2044" s="42" t="str">
        <v>0.0</v>
      </c>
      <c r="J2044" s="42" t="str">
        <v>England</v>
      </c>
      <c r="K2044" s="42" t="str">
        <v xml:space="preserve"> </v>
      </c>
      <c r="L2044" s="42" t="str">
        <f t="shared" si="154"/>
        <v xml:space="preserve">1982.0|05 Jul 1982 - 21:00 |Group 2|Santiago Bernabeu|Madrid |Spain|0.0|0.0|England| </v>
      </c>
      <c r="M2044" s="42" t="str">
        <f>IF(COUNTIF($L$1689:L2044,L2044)&gt;1,"DOUBLON","OK")</f>
        <v>OK</v>
      </c>
      <c r="S2044" s="12" t="str">
        <v>Senegal</v>
      </c>
      <c r="T2044" s="12" t="str">
        <f t="shared" si="155"/>
        <v>OK</v>
      </c>
      <c r="U2044" s="12" t="str">
        <f t="shared" si="156"/>
        <v>-</v>
      </c>
      <c r="V2044" s="12" t="str" cm="1">
        <f t="array" ref="V2044">_xlfn.IFS(
ISNUMBER(SEARCH("USA",S2044)),"United States",
ISNUMBER(SEARCH("Republic of Ireland",S2044)),"Ireland",
ISNUMBER(SEARCH("Republic of Korea",S2044)),"South Korea",
ISNUMBER(SEARCH("Cape Verde",S2044)),"Cabo Verde",
ISNUMBER(SEARCH("Czechia",S2044)),"Czech Republic",
ISNUMBER(SEARCH("Türkiye",S2044)),"Turkey",
ISNUMBER(SEARCH("Ivory Coast",S2044)),"Côte d'Ivoire",
ISNUMBER(SEARCH("Korea Republic",S2044)),"South Korea",
ISNUMBER(SEARCH("Germany FR",S2044)),"FR Germany",
ISNUMBER(SEARCH("West Germany",S2044)),"FR Germany",
ISNUMBER(SEARCH("Germany DR",S2044)),"DR Germany",
ISNUMBER(SEARCH("Korea DPR",S2044)),"North Korea",
ISNUMBER(SEARCH("China PR",S2044)),"China",
ISNUMBER(SEARCH("IR Iran",S2044)),"Iran",
ISNUMBER(SEARCH("Congo DR",S2044)),"Democratic Republic of the Congo",
ISNUMBER(SEARCH("DR Congo",S2044)),"Democratic Republic of the Congo",
ISNUMBER(SEARCH("German DR",S2044)),"DR Germany",
ISNUMBER(SEARCH("rn""&gt;United Arab Emirates",S2044)),"United Arab Emirates",
ISNUMBER(SEARCH("rn""&gt;Republic of Ireland",S2044)),"Ireland",
ISNUMBER(SEARCH("rn""&gt;Bosnia and Herzegovina",S2044)),"Bosnia and Herzegovina",
ISNUMBER(SEARCH("rn""&gt;Trinidad and Tobago",S2044)),"Trinidad and Tobago",
ISNUMBER(SEARCH("rn""&gt;Serbia and Montenegro",S2044)),"Serbia and Montenegro",
ISNUMBER(SEARCH(_xlfn.UNICHAR(65533),S2044)),"Côte d'Ivoire",
TRUE,""
)</f>
        <v/>
      </c>
      <c r="W2044" s="12" t="str">
        <f t="shared" si="157"/>
        <v>Senegal</v>
      </c>
    </row>
    <row r="2045" spans="2:23">
      <c r="B2045" s="76" t="str">
        <v>1982.0</v>
      </c>
      <c r="C2045" s="42" t="str">
        <v xml:space="preserve">08 Jul 1982 - 17:15 </v>
      </c>
      <c r="D2045" s="42" t="str">
        <v>Semi-finals</v>
      </c>
      <c r="E2045" s="42" t="str">
        <v>Camp Nou</v>
      </c>
      <c r="F2045" s="42" t="str">
        <v xml:space="preserve">Barcelona </v>
      </c>
      <c r="G2045" s="42" t="str">
        <v>Poland</v>
      </c>
      <c r="H2045" s="42" t="str">
        <v>0.0</v>
      </c>
      <c r="I2045" s="42" t="str">
        <v>2.0</v>
      </c>
      <c r="J2045" s="42" t="str">
        <v>Italy</v>
      </c>
      <c r="K2045" s="42" t="str">
        <v xml:space="preserve"> </v>
      </c>
      <c r="L2045" s="42" t="str">
        <f t="shared" si="154"/>
        <v xml:space="preserve">1982.0|08 Jul 1982 - 17:15 |Semi-finals|Camp Nou|Barcelona |Poland|0.0|2.0|Italy| </v>
      </c>
      <c r="M2045" s="42" t="str">
        <f>IF(COUNTIF($L$1689:L2045,L2045)&gt;1,"DOUBLON","OK")</f>
        <v>OK</v>
      </c>
      <c r="S2045" s="12" t="str">
        <v>Senegal</v>
      </c>
      <c r="T2045" s="12" t="str">
        <f t="shared" si="155"/>
        <v>OK</v>
      </c>
      <c r="U2045" s="12" t="str">
        <f t="shared" si="156"/>
        <v>-</v>
      </c>
      <c r="V2045" s="12" t="str" cm="1">
        <f t="array" ref="V2045">_xlfn.IFS(
ISNUMBER(SEARCH("USA",S2045)),"United States",
ISNUMBER(SEARCH("Republic of Ireland",S2045)),"Ireland",
ISNUMBER(SEARCH("Republic of Korea",S2045)),"South Korea",
ISNUMBER(SEARCH("Cape Verde",S2045)),"Cabo Verde",
ISNUMBER(SEARCH("Czechia",S2045)),"Czech Republic",
ISNUMBER(SEARCH("Türkiye",S2045)),"Turkey",
ISNUMBER(SEARCH("Ivory Coast",S2045)),"Côte d'Ivoire",
ISNUMBER(SEARCH("Korea Republic",S2045)),"South Korea",
ISNUMBER(SEARCH("Germany FR",S2045)),"FR Germany",
ISNUMBER(SEARCH("West Germany",S2045)),"FR Germany",
ISNUMBER(SEARCH("Germany DR",S2045)),"DR Germany",
ISNUMBER(SEARCH("Korea DPR",S2045)),"North Korea",
ISNUMBER(SEARCH("China PR",S2045)),"China",
ISNUMBER(SEARCH("IR Iran",S2045)),"Iran",
ISNUMBER(SEARCH("Congo DR",S2045)),"Democratic Republic of the Congo",
ISNUMBER(SEARCH("DR Congo",S2045)),"Democratic Republic of the Congo",
ISNUMBER(SEARCH("German DR",S2045)),"DR Germany",
ISNUMBER(SEARCH("rn""&gt;United Arab Emirates",S2045)),"United Arab Emirates",
ISNUMBER(SEARCH("rn""&gt;Republic of Ireland",S2045)),"Ireland",
ISNUMBER(SEARCH("rn""&gt;Bosnia and Herzegovina",S2045)),"Bosnia and Herzegovina",
ISNUMBER(SEARCH("rn""&gt;Trinidad and Tobago",S2045)),"Trinidad and Tobago",
ISNUMBER(SEARCH("rn""&gt;Serbia and Montenegro",S2045)),"Serbia and Montenegro",
ISNUMBER(SEARCH(_xlfn.UNICHAR(65533),S2045)),"Côte d'Ivoire",
TRUE,""
)</f>
        <v/>
      </c>
      <c r="W2045" s="12" t="str">
        <f t="shared" si="157"/>
        <v>Senegal</v>
      </c>
    </row>
    <row r="2046" spans="2:23">
      <c r="B2046" s="76" t="str">
        <v>1982.0</v>
      </c>
      <c r="C2046" s="42" t="str">
        <v xml:space="preserve">08 Jul 1982 - 21:00 </v>
      </c>
      <c r="D2046" s="42" t="str">
        <v>Semi-finals</v>
      </c>
      <c r="E2046" s="42" t="str">
        <v>Ramon Sanchez Pizjuan</v>
      </c>
      <c r="F2046" s="42" t="str">
        <v xml:space="preserve">Seville </v>
      </c>
      <c r="G2046" s="42" t="str">
        <v>Germany FR</v>
      </c>
      <c r="H2046" s="42" t="str">
        <v>3.0</v>
      </c>
      <c r="I2046" s="42" t="str">
        <v>3.0</v>
      </c>
      <c r="J2046" s="42" t="str">
        <v>France</v>
      </c>
      <c r="K2046" s="42" t="str">
        <v xml:space="preserve"> win on penalties (5 - 4) </v>
      </c>
      <c r="L2046" s="42" t="str">
        <f t="shared" si="154"/>
        <v xml:space="preserve">1982.0|08 Jul 1982 - 21:00 |Semi-finals|Ramon Sanchez Pizjuan|Seville |Germany FR|3.0|3.0|France| win on penalties (5 - 4) </v>
      </c>
      <c r="M2046" s="42" t="str">
        <f>IF(COUNTIF($L$1689:L2046,L2046)&gt;1,"DOUBLON","OK")</f>
        <v>OK</v>
      </c>
      <c r="S2046" s="12" t="str">
        <v>Senegal</v>
      </c>
      <c r="T2046" s="12" t="str">
        <f t="shared" si="155"/>
        <v>OK</v>
      </c>
      <c r="U2046" s="12" t="str">
        <f t="shared" si="156"/>
        <v>-</v>
      </c>
      <c r="V2046" s="12" t="str" cm="1">
        <f t="array" ref="V2046">_xlfn.IFS(
ISNUMBER(SEARCH("USA",S2046)),"United States",
ISNUMBER(SEARCH("Republic of Ireland",S2046)),"Ireland",
ISNUMBER(SEARCH("Republic of Korea",S2046)),"South Korea",
ISNUMBER(SEARCH("Cape Verde",S2046)),"Cabo Verde",
ISNUMBER(SEARCH("Czechia",S2046)),"Czech Republic",
ISNUMBER(SEARCH("Türkiye",S2046)),"Turkey",
ISNUMBER(SEARCH("Ivory Coast",S2046)),"Côte d'Ivoire",
ISNUMBER(SEARCH("Korea Republic",S2046)),"South Korea",
ISNUMBER(SEARCH("Germany FR",S2046)),"FR Germany",
ISNUMBER(SEARCH("West Germany",S2046)),"FR Germany",
ISNUMBER(SEARCH("Germany DR",S2046)),"DR Germany",
ISNUMBER(SEARCH("Korea DPR",S2046)),"North Korea",
ISNUMBER(SEARCH("China PR",S2046)),"China",
ISNUMBER(SEARCH("IR Iran",S2046)),"Iran",
ISNUMBER(SEARCH("Congo DR",S2046)),"Democratic Republic of the Congo",
ISNUMBER(SEARCH("DR Congo",S2046)),"Democratic Republic of the Congo",
ISNUMBER(SEARCH("German DR",S2046)),"DR Germany",
ISNUMBER(SEARCH("rn""&gt;United Arab Emirates",S2046)),"United Arab Emirates",
ISNUMBER(SEARCH("rn""&gt;Republic of Ireland",S2046)),"Ireland",
ISNUMBER(SEARCH("rn""&gt;Bosnia and Herzegovina",S2046)),"Bosnia and Herzegovina",
ISNUMBER(SEARCH("rn""&gt;Trinidad and Tobago",S2046)),"Trinidad and Tobago",
ISNUMBER(SEARCH("rn""&gt;Serbia and Montenegro",S2046)),"Serbia and Montenegro",
ISNUMBER(SEARCH(_xlfn.UNICHAR(65533),S2046)),"Côte d'Ivoire",
TRUE,""
)</f>
        <v/>
      </c>
      <c r="W2046" s="12" t="str">
        <f t="shared" si="157"/>
        <v>Senegal</v>
      </c>
    </row>
    <row r="2047" spans="2:23">
      <c r="B2047" s="76" t="str">
        <v>1982.0</v>
      </c>
      <c r="C2047" s="42" t="str">
        <v xml:space="preserve">10 Jul 1982 - 20:00 </v>
      </c>
      <c r="D2047" s="42" t="str">
        <v>Match for third place</v>
      </c>
      <c r="E2047" s="42" t="str">
        <v>Jose Rico Perez</v>
      </c>
      <c r="F2047" s="42" t="str">
        <v xml:space="preserve">Alicante </v>
      </c>
      <c r="G2047" s="42" t="str">
        <v>Poland</v>
      </c>
      <c r="H2047" s="42" t="str">
        <v>3.0</v>
      </c>
      <c r="I2047" s="42" t="str">
        <v>2.0</v>
      </c>
      <c r="J2047" s="42" t="str">
        <v>France</v>
      </c>
      <c r="K2047" s="42" t="str">
        <v xml:space="preserve"> </v>
      </c>
      <c r="L2047" s="42" t="str">
        <f t="shared" si="154"/>
        <v xml:space="preserve">1982.0|10 Jul 1982 - 20:00 |Match for third place|Jose Rico Perez|Alicante |Poland|3.0|2.0|France| </v>
      </c>
      <c r="M2047" s="42" t="str">
        <f>IF(COUNTIF($L$1689:L2047,L2047)&gt;1,"DOUBLON","OK")</f>
        <v>OK</v>
      </c>
      <c r="S2047" s="12" t="str">
        <v>Senegal</v>
      </c>
      <c r="T2047" s="12" t="str">
        <f t="shared" si="155"/>
        <v>OK</v>
      </c>
      <c r="U2047" s="12" t="str">
        <f t="shared" si="156"/>
        <v>-</v>
      </c>
      <c r="V2047" s="12" t="str" cm="1">
        <f t="array" ref="V2047">_xlfn.IFS(
ISNUMBER(SEARCH("USA",S2047)),"United States",
ISNUMBER(SEARCH("Republic of Ireland",S2047)),"Ireland",
ISNUMBER(SEARCH("Republic of Korea",S2047)),"South Korea",
ISNUMBER(SEARCH("Cape Verde",S2047)),"Cabo Verde",
ISNUMBER(SEARCH("Czechia",S2047)),"Czech Republic",
ISNUMBER(SEARCH("Türkiye",S2047)),"Turkey",
ISNUMBER(SEARCH("Ivory Coast",S2047)),"Côte d'Ivoire",
ISNUMBER(SEARCH("Korea Republic",S2047)),"South Korea",
ISNUMBER(SEARCH("Germany FR",S2047)),"FR Germany",
ISNUMBER(SEARCH("West Germany",S2047)),"FR Germany",
ISNUMBER(SEARCH("Germany DR",S2047)),"DR Germany",
ISNUMBER(SEARCH("Korea DPR",S2047)),"North Korea",
ISNUMBER(SEARCH("China PR",S2047)),"China",
ISNUMBER(SEARCH("IR Iran",S2047)),"Iran",
ISNUMBER(SEARCH("Congo DR",S2047)),"Democratic Republic of the Congo",
ISNUMBER(SEARCH("DR Congo",S2047)),"Democratic Republic of the Congo",
ISNUMBER(SEARCH("German DR",S2047)),"DR Germany",
ISNUMBER(SEARCH("rn""&gt;United Arab Emirates",S2047)),"United Arab Emirates",
ISNUMBER(SEARCH("rn""&gt;Republic of Ireland",S2047)),"Ireland",
ISNUMBER(SEARCH("rn""&gt;Bosnia and Herzegovina",S2047)),"Bosnia and Herzegovina",
ISNUMBER(SEARCH("rn""&gt;Trinidad and Tobago",S2047)),"Trinidad and Tobago",
ISNUMBER(SEARCH("rn""&gt;Serbia and Montenegro",S2047)),"Serbia and Montenegro",
ISNUMBER(SEARCH(_xlfn.UNICHAR(65533),S2047)),"Côte d'Ivoire",
TRUE,""
)</f>
        <v/>
      </c>
      <c r="W2047" s="12" t="str">
        <f t="shared" si="157"/>
        <v>Senegal</v>
      </c>
    </row>
    <row r="2048" spans="2:23">
      <c r="B2048" s="76" t="str">
        <v>1982.0</v>
      </c>
      <c r="C2048" s="42" t="str">
        <v xml:space="preserve">11 Jul 1982 - 20:00 </v>
      </c>
      <c r="D2048" s="42" t="str">
        <v>Final</v>
      </c>
      <c r="E2048" s="42" t="str">
        <v>Santiago Bernabeu</v>
      </c>
      <c r="F2048" s="42" t="str">
        <v xml:space="preserve">Madrid </v>
      </c>
      <c r="G2048" s="42" t="str">
        <v>Italy</v>
      </c>
      <c r="H2048" s="42" t="str">
        <v>3.0</v>
      </c>
      <c r="I2048" s="42" t="str">
        <v>1.0</v>
      </c>
      <c r="J2048" s="42" t="str">
        <v>Germany FR</v>
      </c>
      <c r="K2048" s="42" t="str">
        <v xml:space="preserve"> </v>
      </c>
      <c r="L2048" s="42" t="str">
        <f t="shared" si="154"/>
        <v xml:space="preserve">1982.0|11 Jul 1982 - 20:00 |Final|Santiago Bernabeu|Madrid |Italy|3.0|1.0|Germany FR| </v>
      </c>
      <c r="M2048" s="42" t="str">
        <f>IF(COUNTIF($L$1689:L2048,L2048)&gt;1,"DOUBLON","OK")</f>
        <v>OK</v>
      </c>
      <c r="S2048" s="12" t="str">
        <v>Senegal</v>
      </c>
      <c r="T2048" s="12" t="str">
        <f t="shared" si="155"/>
        <v>OK</v>
      </c>
      <c r="U2048" s="12" t="str">
        <f t="shared" si="156"/>
        <v>-</v>
      </c>
      <c r="V2048" s="12" t="str" cm="1">
        <f t="array" ref="V2048">_xlfn.IFS(
ISNUMBER(SEARCH("USA",S2048)),"United States",
ISNUMBER(SEARCH("Republic of Ireland",S2048)),"Ireland",
ISNUMBER(SEARCH("Republic of Korea",S2048)),"South Korea",
ISNUMBER(SEARCH("Cape Verde",S2048)),"Cabo Verde",
ISNUMBER(SEARCH("Czechia",S2048)),"Czech Republic",
ISNUMBER(SEARCH("Türkiye",S2048)),"Turkey",
ISNUMBER(SEARCH("Ivory Coast",S2048)),"Côte d'Ivoire",
ISNUMBER(SEARCH("Korea Republic",S2048)),"South Korea",
ISNUMBER(SEARCH("Germany FR",S2048)),"FR Germany",
ISNUMBER(SEARCH("West Germany",S2048)),"FR Germany",
ISNUMBER(SEARCH("Germany DR",S2048)),"DR Germany",
ISNUMBER(SEARCH("Korea DPR",S2048)),"North Korea",
ISNUMBER(SEARCH("China PR",S2048)),"China",
ISNUMBER(SEARCH("IR Iran",S2048)),"Iran",
ISNUMBER(SEARCH("Congo DR",S2048)),"Democratic Republic of the Congo",
ISNUMBER(SEARCH("DR Congo",S2048)),"Democratic Republic of the Congo",
ISNUMBER(SEARCH("German DR",S2048)),"DR Germany",
ISNUMBER(SEARCH("rn""&gt;United Arab Emirates",S2048)),"United Arab Emirates",
ISNUMBER(SEARCH("rn""&gt;Republic of Ireland",S2048)),"Ireland",
ISNUMBER(SEARCH("rn""&gt;Bosnia and Herzegovina",S2048)),"Bosnia and Herzegovina",
ISNUMBER(SEARCH("rn""&gt;Trinidad and Tobago",S2048)),"Trinidad and Tobago",
ISNUMBER(SEARCH("rn""&gt;Serbia and Montenegro",S2048)),"Serbia and Montenegro",
ISNUMBER(SEARCH(_xlfn.UNICHAR(65533),S2048)),"Côte d'Ivoire",
TRUE,""
)</f>
        <v/>
      </c>
      <c r="W2048" s="12" t="str">
        <f t="shared" si="157"/>
        <v>Senegal</v>
      </c>
    </row>
    <row r="2049" spans="2:23">
      <c r="B2049" s="76" t="str">
        <v>1986.0</v>
      </c>
      <c r="C2049" s="42" t="str">
        <v xml:space="preserve">31 May 1986 - 12:00 </v>
      </c>
      <c r="D2049" s="42" t="str">
        <v>Group A</v>
      </c>
      <c r="E2049" s="42" t="str">
        <v>Estadio Azteca</v>
      </c>
      <c r="F2049" s="42" t="str">
        <v xml:space="preserve">Mexico City </v>
      </c>
      <c r="G2049" s="42" t="str">
        <v>Bulgaria</v>
      </c>
      <c r="H2049" s="42" t="str">
        <v>1.0</v>
      </c>
      <c r="I2049" s="42" t="str">
        <v>1.0</v>
      </c>
      <c r="J2049" s="42" t="str">
        <v>Italy</v>
      </c>
      <c r="K2049" s="42" t="str">
        <v xml:space="preserve"> </v>
      </c>
      <c r="L2049" s="42" t="str">
        <f t="shared" si="154"/>
        <v xml:space="preserve">1986.0|31 May 1986 - 12:00 |Group A|Estadio Azteca|Mexico City |Bulgaria|1.0|1.0|Italy| </v>
      </c>
      <c r="M2049" s="42" t="str">
        <f>IF(COUNTIF($L$1689:L2049,L2049)&gt;1,"DOUBLON","OK")</f>
        <v>OK</v>
      </c>
      <c r="S2049" s="12" t="str">
        <v>Senegal</v>
      </c>
      <c r="T2049" s="12" t="str">
        <f t="shared" si="155"/>
        <v>OK</v>
      </c>
      <c r="U2049" s="12" t="str">
        <f t="shared" si="156"/>
        <v>-</v>
      </c>
      <c r="V2049" s="12" t="str" cm="1">
        <f t="array" ref="V2049">_xlfn.IFS(
ISNUMBER(SEARCH("USA",S2049)),"United States",
ISNUMBER(SEARCH("Republic of Ireland",S2049)),"Ireland",
ISNUMBER(SEARCH("Republic of Korea",S2049)),"South Korea",
ISNUMBER(SEARCH("Cape Verde",S2049)),"Cabo Verde",
ISNUMBER(SEARCH("Czechia",S2049)),"Czech Republic",
ISNUMBER(SEARCH("Türkiye",S2049)),"Turkey",
ISNUMBER(SEARCH("Ivory Coast",S2049)),"Côte d'Ivoire",
ISNUMBER(SEARCH("Korea Republic",S2049)),"South Korea",
ISNUMBER(SEARCH("Germany FR",S2049)),"FR Germany",
ISNUMBER(SEARCH("West Germany",S2049)),"FR Germany",
ISNUMBER(SEARCH("Germany DR",S2049)),"DR Germany",
ISNUMBER(SEARCH("Korea DPR",S2049)),"North Korea",
ISNUMBER(SEARCH("China PR",S2049)),"China",
ISNUMBER(SEARCH("IR Iran",S2049)),"Iran",
ISNUMBER(SEARCH("Congo DR",S2049)),"Democratic Republic of the Congo",
ISNUMBER(SEARCH("DR Congo",S2049)),"Democratic Republic of the Congo",
ISNUMBER(SEARCH("German DR",S2049)),"DR Germany",
ISNUMBER(SEARCH("rn""&gt;United Arab Emirates",S2049)),"United Arab Emirates",
ISNUMBER(SEARCH("rn""&gt;Republic of Ireland",S2049)),"Ireland",
ISNUMBER(SEARCH("rn""&gt;Bosnia and Herzegovina",S2049)),"Bosnia and Herzegovina",
ISNUMBER(SEARCH("rn""&gt;Trinidad and Tobago",S2049)),"Trinidad and Tobago",
ISNUMBER(SEARCH("rn""&gt;Serbia and Montenegro",S2049)),"Serbia and Montenegro",
ISNUMBER(SEARCH(_xlfn.UNICHAR(65533),S2049)),"Côte d'Ivoire",
TRUE,""
)</f>
        <v/>
      </c>
      <c r="W2049" s="12" t="str">
        <f t="shared" si="157"/>
        <v>Senegal</v>
      </c>
    </row>
    <row r="2050" spans="2:23">
      <c r="B2050" s="76" t="str">
        <v>1986.0</v>
      </c>
      <c r="C2050" s="42" t="str">
        <v xml:space="preserve">01 Jun 1986 - 16:00 </v>
      </c>
      <c r="D2050" s="42" t="str">
        <v>Group C</v>
      </c>
      <c r="E2050" s="42" t="str">
        <v>Nou Camp - Estadio Le�n</v>
      </c>
      <c r="F2050" s="42" t="str">
        <v xml:space="preserve">Leon </v>
      </c>
      <c r="G2050" s="42" t="str">
        <v>Canada</v>
      </c>
      <c r="H2050" s="42" t="str">
        <v>0.0</v>
      </c>
      <c r="I2050" s="42" t="str">
        <v>1.0</v>
      </c>
      <c r="J2050" s="42" t="str">
        <v>France</v>
      </c>
      <c r="K2050" s="42" t="str">
        <v xml:space="preserve"> </v>
      </c>
      <c r="L2050" s="42" t="str">
        <f t="shared" si="154"/>
        <v xml:space="preserve">1986.0|01 Jun 1986 - 16:00 |Group C|Nou Camp - Estadio Le�n|Leon |Canada|0.0|1.0|France| </v>
      </c>
      <c r="M2050" s="42" t="str">
        <f>IF(COUNTIF($L$1689:L2050,L2050)&gt;1,"DOUBLON","OK")</f>
        <v>OK</v>
      </c>
      <c r="S2050" s="12" t="str">
        <v>Senegal</v>
      </c>
      <c r="T2050" s="12" t="str">
        <f t="shared" si="155"/>
        <v>OK</v>
      </c>
      <c r="U2050" s="12" t="str">
        <f t="shared" si="156"/>
        <v>-</v>
      </c>
      <c r="V2050" s="12" t="str" cm="1">
        <f t="array" ref="V2050">_xlfn.IFS(
ISNUMBER(SEARCH("USA",S2050)),"United States",
ISNUMBER(SEARCH("Republic of Ireland",S2050)),"Ireland",
ISNUMBER(SEARCH("Republic of Korea",S2050)),"South Korea",
ISNUMBER(SEARCH("Cape Verde",S2050)),"Cabo Verde",
ISNUMBER(SEARCH("Czechia",S2050)),"Czech Republic",
ISNUMBER(SEARCH("Türkiye",S2050)),"Turkey",
ISNUMBER(SEARCH("Ivory Coast",S2050)),"Côte d'Ivoire",
ISNUMBER(SEARCH("Korea Republic",S2050)),"South Korea",
ISNUMBER(SEARCH("Germany FR",S2050)),"FR Germany",
ISNUMBER(SEARCH("West Germany",S2050)),"FR Germany",
ISNUMBER(SEARCH("Germany DR",S2050)),"DR Germany",
ISNUMBER(SEARCH("Korea DPR",S2050)),"North Korea",
ISNUMBER(SEARCH("China PR",S2050)),"China",
ISNUMBER(SEARCH("IR Iran",S2050)),"Iran",
ISNUMBER(SEARCH("Congo DR",S2050)),"Democratic Republic of the Congo",
ISNUMBER(SEARCH("DR Congo",S2050)),"Democratic Republic of the Congo",
ISNUMBER(SEARCH("German DR",S2050)),"DR Germany",
ISNUMBER(SEARCH("rn""&gt;United Arab Emirates",S2050)),"United Arab Emirates",
ISNUMBER(SEARCH("rn""&gt;Republic of Ireland",S2050)),"Ireland",
ISNUMBER(SEARCH("rn""&gt;Bosnia and Herzegovina",S2050)),"Bosnia and Herzegovina",
ISNUMBER(SEARCH("rn""&gt;Trinidad and Tobago",S2050)),"Trinidad and Tobago",
ISNUMBER(SEARCH("rn""&gt;Serbia and Montenegro",S2050)),"Serbia and Montenegro",
ISNUMBER(SEARCH(_xlfn.UNICHAR(65533),S2050)),"Côte d'Ivoire",
TRUE,""
)</f>
        <v/>
      </c>
      <c r="W2050" s="12" t="str">
        <f t="shared" si="157"/>
        <v>Senegal</v>
      </c>
    </row>
    <row r="2051" spans="2:23">
      <c r="B2051" s="76" t="str">
        <v>1986.0</v>
      </c>
      <c r="C2051" s="42" t="str">
        <v xml:space="preserve">01 Jun 1986 - 12:00 </v>
      </c>
      <c r="D2051" s="42" t="str">
        <v>Group D</v>
      </c>
      <c r="E2051" s="42" t="str">
        <v>Jalisco</v>
      </c>
      <c r="F2051" s="42" t="str">
        <v xml:space="preserve">Guadalajara </v>
      </c>
      <c r="G2051" s="42" t="str">
        <v>Spain</v>
      </c>
      <c r="H2051" s="42" t="str">
        <v>0.0</v>
      </c>
      <c r="I2051" s="42" t="str">
        <v>1.0</v>
      </c>
      <c r="J2051" s="42" t="str">
        <v>Brazil</v>
      </c>
      <c r="K2051" s="42" t="str">
        <v xml:space="preserve"> </v>
      </c>
      <c r="L2051" s="42" t="str">
        <f t="shared" si="154"/>
        <v xml:space="preserve">1986.0|01 Jun 1986 - 12:00 |Group D|Jalisco|Guadalajara |Spain|0.0|1.0|Brazil| </v>
      </c>
      <c r="M2051" s="42" t="str">
        <f>IF(COUNTIF($L$1689:L2051,L2051)&gt;1,"DOUBLON","OK")</f>
        <v>OK</v>
      </c>
      <c r="S2051" s="12" t="str">
        <v>Senegal</v>
      </c>
      <c r="T2051" s="12" t="str">
        <f t="shared" si="155"/>
        <v>OK</v>
      </c>
      <c r="U2051" s="12" t="str">
        <f t="shared" si="156"/>
        <v>-</v>
      </c>
      <c r="V2051" s="12" t="str" cm="1">
        <f t="array" ref="V2051">_xlfn.IFS(
ISNUMBER(SEARCH("USA",S2051)),"United States",
ISNUMBER(SEARCH("Republic of Ireland",S2051)),"Ireland",
ISNUMBER(SEARCH("Republic of Korea",S2051)),"South Korea",
ISNUMBER(SEARCH("Cape Verde",S2051)),"Cabo Verde",
ISNUMBER(SEARCH("Czechia",S2051)),"Czech Republic",
ISNUMBER(SEARCH("Türkiye",S2051)),"Turkey",
ISNUMBER(SEARCH("Ivory Coast",S2051)),"Côte d'Ivoire",
ISNUMBER(SEARCH("Korea Republic",S2051)),"South Korea",
ISNUMBER(SEARCH("Germany FR",S2051)),"FR Germany",
ISNUMBER(SEARCH("West Germany",S2051)),"FR Germany",
ISNUMBER(SEARCH("Germany DR",S2051)),"DR Germany",
ISNUMBER(SEARCH("Korea DPR",S2051)),"North Korea",
ISNUMBER(SEARCH("China PR",S2051)),"China",
ISNUMBER(SEARCH("IR Iran",S2051)),"Iran",
ISNUMBER(SEARCH("Congo DR",S2051)),"Democratic Republic of the Congo",
ISNUMBER(SEARCH("DR Congo",S2051)),"Democratic Republic of the Congo",
ISNUMBER(SEARCH("German DR",S2051)),"DR Germany",
ISNUMBER(SEARCH("rn""&gt;United Arab Emirates",S2051)),"United Arab Emirates",
ISNUMBER(SEARCH("rn""&gt;Republic of Ireland",S2051)),"Ireland",
ISNUMBER(SEARCH("rn""&gt;Bosnia and Herzegovina",S2051)),"Bosnia and Herzegovina",
ISNUMBER(SEARCH("rn""&gt;Trinidad and Tobago",S2051)),"Trinidad and Tobago",
ISNUMBER(SEARCH("rn""&gt;Serbia and Montenegro",S2051)),"Serbia and Montenegro",
ISNUMBER(SEARCH(_xlfn.UNICHAR(65533),S2051)),"Côte d'Ivoire",
TRUE,""
)</f>
        <v/>
      </c>
      <c r="W2051" s="12" t="str">
        <f t="shared" si="157"/>
        <v>Senegal</v>
      </c>
    </row>
    <row r="2052" spans="2:23">
      <c r="B2052" s="76" t="str">
        <v>1986.0</v>
      </c>
      <c r="C2052" s="42" t="str">
        <v xml:space="preserve">02 Jun 1986 - 12:00 </v>
      </c>
      <c r="D2052" s="42" t="str">
        <v>Group C</v>
      </c>
      <c r="E2052" s="42" t="str">
        <v>Estadio Irapuato</v>
      </c>
      <c r="F2052" s="42" t="str">
        <v xml:space="preserve">Irapuato </v>
      </c>
      <c r="G2052" s="42" t="str">
        <v>Soviet Union</v>
      </c>
      <c r="H2052" s="42" t="str">
        <v>6.0</v>
      </c>
      <c r="I2052" s="42" t="str">
        <v>0.0</v>
      </c>
      <c r="J2052" s="42" t="str">
        <v>Hungary</v>
      </c>
      <c r="K2052" s="42" t="str">
        <v xml:space="preserve"> </v>
      </c>
      <c r="L2052" s="42" t="str">
        <f t="shared" si="154"/>
        <v xml:space="preserve">1986.0|02 Jun 1986 - 12:00 |Group C|Estadio Irapuato|Irapuato |Soviet Union|6.0|0.0|Hungary| </v>
      </c>
      <c r="M2052" s="42" t="str">
        <f>IF(COUNTIF($L$1689:L2052,L2052)&gt;1,"DOUBLON","OK")</f>
        <v>OK</v>
      </c>
      <c r="S2052" s="12" t="str">
        <v>Senegal</v>
      </c>
      <c r="T2052" s="12" t="str">
        <f t="shared" si="155"/>
        <v>OK</v>
      </c>
      <c r="U2052" s="12" t="str">
        <f t="shared" si="156"/>
        <v>-</v>
      </c>
      <c r="V2052" s="12" t="str" cm="1">
        <f t="array" ref="V2052">_xlfn.IFS(
ISNUMBER(SEARCH("USA",S2052)),"United States",
ISNUMBER(SEARCH("Republic of Ireland",S2052)),"Ireland",
ISNUMBER(SEARCH("Republic of Korea",S2052)),"South Korea",
ISNUMBER(SEARCH("Cape Verde",S2052)),"Cabo Verde",
ISNUMBER(SEARCH("Czechia",S2052)),"Czech Republic",
ISNUMBER(SEARCH("Türkiye",S2052)),"Turkey",
ISNUMBER(SEARCH("Ivory Coast",S2052)),"Côte d'Ivoire",
ISNUMBER(SEARCH("Korea Republic",S2052)),"South Korea",
ISNUMBER(SEARCH("Germany FR",S2052)),"FR Germany",
ISNUMBER(SEARCH("West Germany",S2052)),"FR Germany",
ISNUMBER(SEARCH("Germany DR",S2052)),"DR Germany",
ISNUMBER(SEARCH("Korea DPR",S2052)),"North Korea",
ISNUMBER(SEARCH("China PR",S2052)),"China",
ISNUMBER(SEARCH("IR Iran",S2052)),"Iran",
ISNUMBER(SEARCH("Congo DR",S2052)),"Democratic Republic of the Congo",
ISNUMBER(SEARCH("DR Congo",S2052)),"Democratic Republic of the Congo",
ISNUMBER(SEARCH("German DR",S2052)),"DR Germany",
ISNUMBER(SEARCH("rn""&gt;United Arab Emirates",S2052)),"United Arab Emirates",
ISNUMBER(SEARCH("rn""&gt;Republic of Ireland",S2052)),"Ireland",
ISNUMBER(SEARCH("rn""&gt;Bosnia and Herzegovina",S2052)),"Bosnia and Herzegovina",
ISNUMBER(SEARCH("rn""&gt;Trinidad and Tobago",S2052)),"Trinidad and Tobago",
ISNUMBER(SEARCH("rn""&gt;Serbia and Montenegro",S2052)),"Serbia and Montenegro",
ISNUMBER(SEARCH(_xlfn.UNICHAR(65533),S2052)),"Côte d'Ivoire",
TRUE,""
)</f>
        <v/>
      </c>
      <c r="W2052" s="12" t="str">
        <f t="shared" si="157"/>
        <v>Senegal</v>
      </c>
    </row>
    <row r="2053" spans="2:23">
      <c r="B2053" s="76" t="str">
        <v>1986.0</v>
      </c>
      <c r="C2053" s="42" t="str">
        <v xml:space="preserve">02 Jun 1986 - 12:00 </v>
      </c>
      <c r="D2053" s="42" t="str">
        <v>Group A</v>
      </c>
      <c r="E2053" s="42" t="str">
        <v>Estadio Ol�mpico Universitario</v>
      </c>
      <c r="F2053" s="42" t="str">
        <v xml:space="preserve">Mexico City </v>
      </c>
      <c r="G2053" s="42" t="str">
        <v>Argentina</v>
      </c>
      <c r="H2053" s="42" t="str">
        <v>3.0</v>
      </c>
      <c r="I2053" s="42" t="str">
        <v>1.0</v>
      </c>
      <c r="J2053" s="42" t="str">
        <v>Korea Republic</v>
      </c>
      <c r="K2053" s="42" t="str">
        <v xml:space="preserve"> </v>
      </c>
      <c r="L2053" s="42" t="str">
        <f t="shared" si="154"/>
        <v xml:space="preserve">1986.0|02 Jun 1986 - 12:00 |Group A|Estadio Ol�mpico Universitario|Mexico City |Argentina|3.0|1.0|Korea Republic| </v>
      </c>
      <c r="M2053" s="42" t="str">
        <f>IF(COUNTIF($L$1689:L2053,L2053)&gt;1,"DOUBLON","OK")</f>
        <v>OK</v>
      </c>
      <c r="S2053" s="12" t="str">
        <v>Senegal</v>
      </c>
      <c r="T2053" s="12" t="str">
        <f t="shared" si="155"/>
        <v>OK</v>
      </c>
      <c r="U2053" s="12" t="str">
        <f t="shared" si="156"/>
        <v>-</v>
      </c>
      <c r="V2053" s="12" t="str" cm="1">
        <f t="array" ref="V2053">_xlfn.IFS(
ISNUMBER(SEARCH("USA",S2053)),"United States",
ISNUMBER(SEARCH("Republic of Ireland",S2053)),"Ireland",
ISNUMBER(SEARCH("Republic of Korea",S2053)),"South Korea",
ISNUMBER(SEARCH("Cape Verde",S2053)),"Cabo Verde",
ISNUMBER(SEARCH("Czechia",S2053)),"Czech Republic",
ISNUMBER(SEARCH("Türkiye",S2053)),"Turkey",
ISNUMBER(SEARCH("Ivory Coast",S2053)),"Côte d'Ivoire",
ISNUMBER(SEARCH("Korea Republic",S2053)),"South Korea",
ISNUMBER(SEARCH("Germany FR",S2053)),"FR Germany",
ISNUMBER(SEARCH("West Germany",S2053)),"FR Germany",
ISNUMBER(SEARCH("Germany DR",S2053)),"DR Germany",
ISNUMBER(SEARCH("Korea DPR",S2053)),"North Korea",
ISNUMBER(SEARCH("China PR",S2053)),"China",
ISNUMBER(SEARCH("IR Iran",S2053)),"Iran",
ISNUMBER(SEARCH("Congo DR",S2053)),"Democratic Republic of the Congo",
ISNUMBER(SEARCH("DR Congo",S2053)),"Democratic Republic of the Congo",
ISNUMBER(SEARCH("German DR",S2053)),"DR Germany",
ISNUMBER(SEARCH("rn""&gt;United Arab Emirates",S2053)),"United Arab Emirates",
ISNUMBER(SEARCH("rn""&gt;Republic of Ireland",S2053)),"Ireland",
ISNUMBER(SEARCH("rn""&gt;Bosnia and Herzegovina",S2053)),"Bosnia and Herzegovina",
ISNUMBER(SEARCH("rn""&gt;Trinidad and Tobago",S2053)),"Trinidad and Tobago",
ISNUMBER(SEARCH("rn""&gt;Serbia and Montenegro",S2053)),"Serbia and Montenegro",
ISNUMBER(SEARCH(_xlfn.UNICHAR(65533),S2053)),"Côte d'Ivoire",
TRUE,""
)</f>
        <v/>
      </c>
      <c r="W2053" s="12" t="str">
        <f t="shared" si="157"/>
        <v>Senegal</v>
      </c>
    </row>
    <row r="2054" spans="2:23">
      <c r="B2054" s="76" t="str">
        <v>1986.0</v>
      </c>
      <c r="C2054" s="42" t="str">
        <v xml:space="preserve">02 Jun 1986 - 16:00 </v>
      </c>
      <c r="D2054" s="42" t="str">
        <v>Group F</v>
      </c>
      <c r="E2054" s="42" t="str">
        <v>Estadio Universitario</v>
      </c>
      <c r="F2054" s="42" t="str">
        <v xml:space="preserve">Monterrey </v>
      </c>
      <c r="G2054" s="42" t="str">
        <v>Morocco</v>
      </c>
      <c r="H2054" s="42" t="str">
        <v>0.0</v>
      </c>
      <c r="I2054" s="42" t="str">
        <v>0.0</v>
      </c>
      <c r="J2054" s="42" t="str">
        <v>Poland</v>
      </c>
      <c r="K2054" s="42" t="str">
        <v xml:space="preserve"> </v>
      </c>
      <c r="L2054" s="42" t="str">
        <f t="shared" si="154"/>
        <v xml:space="preserve">1986.0|02 Jun 1986 - 16:00 |Group F|Estadio Universitario|Monterrey |Morocco|0.0|0.0|Poland| </v>
      </c>
      <c r="M2054" s="42" t="str">
        <f>IF(COUNTIF($L$1689:L2054,L2054)&gt;1,"DOUBLON","OK")</f>
        <v>OK</v>
      </c>
      <c r="S2054" s="12" t="str">
        <v>Senegal</v>
      </c>
      <c r="T2054" s="12" t="str">
        <f t="shared" si="155"/>
        <v>OK</v>
      </c>
      <c r="U2054" s="12" t="str">
        <f t="shared" si="156"/>
        <v>-</v>
      </c>
      <c r="V2054" s="12" t="str" cm="1">
        <f t="array" ref="V2054">_xlfn.IFS(
ISNUMBER(SEARCH("USA",S2054)),"United States",
ISNUMBER(SEARCH("Republic of Ireland",S2054)),"Ireland",
ISNUMBER(SEARCH("Republic of Korea",S2054)),"South Korea",
ISNUMBER(SEARCH("Cape Verde",S2054)),"Cabo Verde",
ISNUMBER(SEARCH("Czechia",S2054)),"Czech Republic",
ISNUMBER(SEARCH("Türkiye",S2054)),"Turkey",
ISNUMBER(SEARCH("Ivory Coast",S2054)),"Côte d'Ivoire",
ISNUMBER(SEARCH("Korea Republic",S2054)),"South Korea",
ISNUMBER(SEARCH("Germany FR",S2054)),"FR Germany",
ISNUMBER(SEARCH("West Germany",S2054)),"FR Germany",
ISNUMBER(SEARCH("Germany DR",S2054)),"DR Germany",
ISNUMBER(SEARCH("Korea DPR",S2054)),"North Korea",
ISNUMBER(SEARCH("China PR",S2054)),"China",
ISNUMBER(SEARCH("IR Iran",S2054)),"Iran",
ISNUMBER(SEARCH("Congo DR",S2054)),"Democratic Republic of the Congo",
ISNUMBER(SEARCH("DR Congo",S2054)),"Democratic Republic of the Congo",
ISNUMBER(SEARCH("German DR",S2054)),"DR Germany",
ISNUMBER(SEARCH("rn""&gt;United Arab Emirates",S2054)),"United Arab Emirates",
ISNUMBER(SEARCH("rn""&gt;Republic of Ireland",S2054)),"Ireland",
ISNUMBER(SEARCH("rn""&gt;Bosnia and Herzegovina",S2054)),"Bosnia and Herzegovina",
ISNUMBER(SEARCH("rn""&gt;Trinidad and Tobago",S2054)),"Trinidad and Tobago",
ISNUMBER(SEARCH("rn""&gt;Serbia and Montenegro",S2054)),"Serbia and Montenegro",
ISNUMBER(SEARCH(_xlfn.UNICHAR(65533),S2054)),"Côte d'Ivoire",
TRUE,""
)</f>
        <v/>
      </c>
      <c r="W2054" s="12" t="str">
        <f t="shared" si="157"/>
        <v>Senegal</v>
      </c>
    </row>
    <row r="2055" spans="2:23">
      <c r="B2055" s="76" t="str">
        <v>1986.0</v>
      </c>
      <c r="C2055" s="42" t="str">
        <v xml:space="preserve">03 Jun 1986 - 12:00 </v>
      </c>
      <c r="D2055" s="42" t="str">
        <v>Group D</v>
      </c>
      <c r="E2055" s="42" t="str">
        <v>Tres de Marzo</v>
      </c>
      <c r="F2055" s="42" t="str">
        <v xml:space="preserve">Guadalajara </v>
      </c>
      <c r="G2055" s="42" t="str">
        <v>Algeria</v>
      </c>
      <c r="H2055" s="42" t="str">
        <v>1.0</v>
      </c>
      <c r="I2055" s="42" t="str">
        <v>1.0</v>
      </c>
      <c r="J2055" s="42" t="str">
        <v>Northern Ireland</v>
      </c>
      <c r="K2055" s="42" t="str">
        <v xml:space="preserve"> </v>
      </c>
      <c r="L2055" s="42" t="str">
        <f t="shared" si="154"/>
        <v xml:space="preserve">1986.0|03 Jun 1986 - 12:00 |Group D|Tres de Marzo|Guadalajara |Algeria|1.0|1.0|Northern Ireland| </v>
      </c>
      <c r="M2055" s="42" t="str">
        <f>IF(COUNTIF($L$1689:L2055,L2055)&gt;1,"DOUBLON","OK")</f>
        <v>OK</v>
      </c>
      <c r="S2055" s="12" t="str">
        <v>Senegal</v>
      </c>
      <c r="T2055" s="12" t="str">
        <f t="shared" si="155"/>
        <v>OK</v>
      </c>
      <c r="U2055" s="12" t="str">
        <f t="shared" si="156"/>
        <v>-</v>
      </c>
      <c r="V2055" s="12" t="str" cm="1">
        <f t="array" ref="V2055">_xlfn.IFS(
ISNUMBER(SEARCH("USA",S2055)),"United States",
ISNUMBER(SEARCH("Republic of Ireland",S2055)),"Ireland",
ISNUMBER(SEARCH("Republic of Korea",S2055)),"South Korea",
ISNUMBER(SEARCH("Cape Verde",S2055)),"Cabo Verde",
ISNUMBER(SEARCH("Czechia",S2055)),"Czech Republic",
ISNUMBER(SEARCH("Türkiye",S2055)),"Turkey",
ISNUMBER(SEARCH("Ivory Coast",S2055)),"Côte d'Ivoire",
ISNUMBER(SEARCH("Korea Republic",S2055)),"South Korea",
ISNUMBER(SEARCH("Germany FR",S2055)),"FR Germany",
ISNUMBER(SEARCH("West Germany",S2055)),"FR Germany",
ISNUMBER(SEARCH("Germany DR",S2055)),"DR Germany",
ISNUMBER(SEARCH("Korea DPR",S2055)),"North Korea",
ISNUMBER(SEARCH("China PR",S2055)),"China",
ISNUMBER(SEARCH("IR Iran",S2055)),"Iran",
ISNUMBER(SEARCH("Congo DR",S2055)),"Democratic Republic of the Congo",
ISNUMBER(SEARCH("DR Congo",S2055)),"Democratic Republic of the Congo",
ISNUMBER(SEARCH("German DR",S2055)),"DR Germany",
ISNUMBER(SEARCH("rn""&gt;United Arab Emirates",S2055)),"United Arab Emirates",
ISNUMBER(SEARCH("rn""&gt;Republic of Ireland",S2055)),"Ireland",
ISNUMBER(SEARCH("rn""&gt;Bosnia and Herzegovina",S2055)),"Bosnia and Herzegovina",
ISNUMBER(SEARCH("rn""&gt;Trinidad and Tobago",S2055)),"Trinidad and Tobago",
ISNUMBER(SEARCH("rn""&gt;Serbia and Montenegro",S2055)),"Serbia and Montenegro",
ISNUMBER(SEARCH(_xlfn.UNICHAR(65533),S2055)),"Côte d'Ivoire",
TRUE,""
)</f>
        <v/>
      </c>
      <c r="W2055" s="12" t="str">
        <f t="shared" si="157"/>
        <v>Senegal</v>
      </c>
    </row>
    <row r="2056" spans="2:23">
      <c r="B2056" s="76" t="str">
        <v>1986.0</v>
      </c>
      <c r="C2056" s="42" t="str">
        <v xml:space="preserve">03 Jun 1986 - 12:00 </v>
      </c>
      <c r="D2056" s="42" t="str">
        <v>Group B</v>
      </c>
      <c r="E2056" s="42" t="str">
        <v>Estadio Azteca</v>
      </c>
      <c r="F2056" s="42" t="str">
        <v xml:space="preserve">Mexico City </v>
      </c>
      <c r="G2056" s="42" t="str">
        <v>Belgium</v>
      </c>
      <c r="H2056" s="42" t="str">
        <v>1.0</v>
      </c>
      <c r="I2056" s="42" t="str">
        <v>2.0</v>
      </c>
      <c r="J2056" s="42" t="str">
        <v>Mexico</v>
      </c>
      <c r="K2056" s="42" t="str">
        <v xml:space="preserve"> </v>
      </c>
      <c r="L2056" s="42" t="str">
        <f t="shared" si="154"/>
        <v xml:space="preserve">1986.0|03 Jun 1986 - 12:00 |Group B|Estadio Azteca|Mexico City |Belgium|1.0|2.0|Mexico| </v>
      </c>
      <c r="M2056" s="42" t="str">
        <f>IF(COUNTIF($L$1689:L2056,L2056)&gt;1,"DOUBLON","OK")</f>
        <v>OK</v>
      </c>
      <c r="S2056" s="12" t="str">
        <v>Senegal</v>
      </c>
      <c r="T2056" s="12" t="str">
        <f t="shared" si="155"/>
        <v>OK</v>
      </c>
      <c r="U2056" s="12" t="str">
        <f t="shared" si="156"/>
        <v>-</v>
      </c>
      <c r="V2056" s="12" t="str" cm="1">
        <f t="array" ref="V2056">_xlfn.IFS(
ISNUMBER(SEARCH("USA",S2056)),"United States",
ISNUMBER(SEARCH("Republic of Ireland",S2056)),"Ireland",
ISNUMBER(SEARCH("Republic of Korea",S2056)),"South Korea",
ISNUMBER(SEARCH("Cape Verde",S2056)),"Cabo Verde",
ISNUMBER(SEARCH("Czechia",S2056)),"Czech Republic",
ISNUMBER(SEARCH("Türkiye",S2056)),"Turkey",
ISNUMBER(SEARCH("Ivory Coast",S2056)),"Côte d'Ivoire",
ISNUMBER(SEARCH("Korea Republic",S2056)),"South Korea",
ISNUMBER(SEARCH("Germany FR",S2056)),"FR Germany",
ISNUMBER(SEARCH("West Germany",S2056)),"FR Germany",
ISNUMBER(SEARCH("Germany DR",S2056)),"DR Germany",
ISNUMBER(SEARCH("Korea DPR",S2056)),"North Korea",
ISNUMBER(SEARCH("China PR",S2056)),"China",
ISNUMBER(SEARCH("IR Iran",S2056)),"Iran",
ISNUMBER(SEARCH("Congo DR",S2056)),"Democratic Republic of the Congo",
ISNUMBER(SEARCH("DR Congo",S2056)),"Democratic Republic of the Congo",
ISNUMBER(SEARCH("German DR",S2056)),"DR Germany",
ISNUMBER(SEARCH("rn""&gt;United Arab Emirates",S2056)),"United Arab Emirates",
ISNUMBER(SEARCH("rn""&gt;Republic of Ireland",S2056)),"Ireland",
ISNUMBER(SEARCH("rn""&gt;Bosnia and Herzegovina",S2056)),"Bosnia and Herzegovina",
ISNUMBER(SEARCH("rn""&gt;Trinidad and Tobago",S2056)),"Trinidad and Tobago",
ISNUMBER(SEARCH("rn""&gt;Serbia and Montenegro",S2056)),"Serbia and Montenegro",
ISNUMBER(SEARCH(_xlfn.UNICHAR(65533),S2056)),"Côte d'Ivoire",
TRUE,""
)</f>
        <v/>
      </c>
      <c r="W2056" s="12" t="str">
        <f t="shared" si="157"/>
        <v>Senegal</v>
      </c>
    </row>
    <row r="2057" spans="2:23">
      <c r="B2057" s="76" t="str">
        <v>1986.0</v>
      </c>
      <c r="C2057" s="42" t="str">
        <v xml:space="preserve">03 Jun 1986 - 16:00 </v>
      </c>
      <c r="D2057" s="42" t="str">
        <v>Group F</v>
      </c>
      <c r="E2057" s="42" t="str">
        <v>Tecnologico</v>
      </c>
      <c r="F2057" s="42" t="str">
        <v xml:space="preserve">Monterrey </v>
      </c>
      <c r="G2057" s="42" t="str">
        <v>Portugal</v>
      </c>
      <c r="H2057" s="42" t="str">
        <v>1.0</v>
      </c>
      <c r="I2057" s="42" t="str">
        <v>0.0</v>
      </c>
      <c r="J2057" s="42" t="str">
        <v>England</v>
      </c>
      <c r="K2057" s="42" t="str">
        <v xml:space="preserve"> </v>
      </c>
      <c r="L2057" s="42" t="str">
        <f t="shared" si="154"/>
        <v xml:space="preserve">1986.0|03 Jun 1986 - 16:00 |Group F|Tecnologico|Monterrey |Portugal|1.0|0.0|England| </v>
      </c>
      <c r="M2057" s="42" t="str">
        <f>IF(COUNTIF($L$1689:L2057,L2057)&gt;1,"DOUBLON","OK")</f>
        <v>OK</v>
      </c>
      <c r="S2057" s="12" t="str">
        <v>Algeria</v>
      </c>
      <c r="T2057" s="12" t="str">
        <f t="shared" si="155"/>
        <v>OK</v>
      </c>
      <c r="U2057" s="12" t="str">
        <f t="shared" si="156"/>
        <v>-</v>
      </c>
      <c r="V2057" s="12" t="str" cm="1">
        <f t="array" ref="V2057">_xlfn.IFS(
ISNUMBER(SEARCH("USA",S2057)),"United States",
ISNUMBER(SEARCH("Republic of Ireland",S2057)),"Ireland",
ISNUMBER(SEARCH("Republic of Korea",S2057)),"South Korea",
ISNUMBER(SEARCH("Cape Verde",S2057)),"Cabo Verde",
ISNUMBER(SEARCH("Czechia",S2057)),"Czech Republic",
ISNUMBER(SEARCH("Türkiye",S2057)),"Turkey",
ISNUMBER(SEARCH("Ivory Coast",S2057)),"Côte d'Ivoire",
ISNUMBER(SEARCH("Korea Republic",S2057)),"South Korea",
ISNUMBER(SEARCH("Germany FR",S2057)),"FR Germany",
ISNUMBER(SEARCH("West Germany",S2057)),"FR Germany",
ISNUMBER(SEARCH("Germany DR",S2057)),"DR Germany",
ISNUMBER(SEARCH("Korea DPR",S2057)),"North Korea",
ISNUMBER(SEARCH("China PR",S2057)),"China",
ISNUMBER(SEARCH("IR Iran",S2057)),"Iran",
ISNUMBER(SEARCH("Congo DR",S2057)),"Democratic Republic of the Congo",
ISNUMBER(SEARCH("DR Congo",S2057)),"Democratic Republic of the Congo",
ISNUMBER(SEARCH("German DR",S2057)),"DR Germany",
ISNUMBER(SEARCH("rn""&gt;United Arab Emirates",S2057)),"United Arab Emirates",
ISNUMBER(SEARCH("rn""&gt;Republic of Ireland",S2057)),"Ireland",
ISNUMBER(SEARCH("rn""&gt;Bosnia and Herzegovina",S2057)),"Bosnia and Herzegovina",
ISNUMBER(SEARCH("rn""&gt;Trinidad and Tobago",S2057)),"Trinidad and Tobago",
ISNUMBER(SEARCH("rn""&gt;Serbia and Montenegro",S2057)),"Serbia and Montenegro",
ISNUMBER(SEARCH(_xlfn.UNICHAR(65533),S2057)),"Côte d'Ivoire",
TRUE,""
)</f>
        <v/>
      </c>
      <c r="W2057" s="12" t="str">
        <f t="shared" si="157"/>
        <v>Algeria</v>
      </c>
    </row>
    <row r="2058" spans="2:23">
      <c r="B2058" s="76" t="str">
        <v>1986.0</v>
      </c>
      <c r="C2058" s="42" t="str">
        <v xml:space="preserve">04 Jun 1986 - 12:00 </v>
      </c>
      <c r="D2058" s="42" t="str">
        <v>Group B</v>
      </c>
      <c r="E2058" s="42" t="str">
        <v>Bombonera - Estadio Nemesio Diez</v>
      </c>
      <c r="F2058" s="42" t="str">
        <v xml:space="preserve">Toluca </v>
      </c>
      <c r="G2058" s="42" t="str">
        <v>Paraguay</v>
      </c>
      <c r="H2058" s="42" t="str">
        <v>1.0</v>
      </c>
      <c r="I2058" s="42" t="str">
        <v>0.0</v>
      </c>
      <c r="J2058" s="42" t="str">
        <v>Iraq</v>
      </c>
      <c r="K2058" s="42" t="str">
        <v xml:space="preserve"> </v>
      </c>
      <c r="L2058" s="42" t="str">
        <f t="shared" si="154"/>
        <v xml:space="preserve">1986.0|04 Jun 1986 - 12:00 |Group B|Bombonera - Estadio Nemesio Diez|Toluca |Paraguay|1.0|0.0|Iraq| </v>
      </c>
      <c r="M2058" s="42" t="str">
        <f>IF(COUNTIF($L$1689:L2058,L2058)&gt;1,"DOUBLON","OK")</f>
        <v>OK</v>
      </c>
      <c r="S2058" s="12" t="str">
        <v>Algeria</v>
      </c>
      <c r="T2058" s="12" t="str">
        <f t="shared" si="155"/>
        <v>OK</v>
      </c>
      <c r="U2058" s="12" t="str">
        <f t="shared" si="156"/>
        <v>-</v>
      </c>
      <c r="V2058" s="12" t="str" cm="1">
        <f t="array" ref="V2058">_xlfn.IFS(
ISNUMBER(SEARCH("USA",S2058)),"United States",
ISNUMBER(SEARCH("Republic of Ireland",S2058)),"Ireland",
ISNUMBER(SEARCH("Republic of Korea",S2058)),"South Korea",
ISNUMBER(SEARCH("Cape Verde",S2058)),"Cabo Verde",
ISNUMBER(SEARCH("Czechia",S2058)),"Czech Republic",
ISNUMBER(SEARCH("Türkiye",S2058)),"Turkey",
ISNUMBER(SEARCH("Ivory Coast",S2058)),"Côte d'Ivoire",
ISNUMBER(SEARCH("Korea Republic",S2058)),"South Korea",
ISNUMBER(SEARCH("Germany FR",S2058)),"FR Germany",
ISNUMBER(SEARCH("West Germany",S2058)),"FR Germany",
ISNUMBER(SEARCH("Germany DR",S2058)),"DR Germany",
ISNUMBER(SEARCH("Korea DPR",S2058)),"North Korea",
ISNUMBER(SEARCH("China PR",S2058)),"China",
ISNUMBER(SEARCH("IR Iran",S2058)),"Iran",
ISNUMBER(SEARCH("Congo DR",S2058)),"Democratic Republic of the Congo",
ISNUMBER(SEARCH("DR Congo",S2058)),"Democratic Republic of the Congo",
ISNUMBER(SEARCH("German DR",S2058)),"DR Germany",
ISNUMBER(SEARCH("rn""&gt;United Arab Emirates",S2058)),"United Arab Emirates",
ISNUMBER(SEARCH("rn""&gt;Republic of Ireland",S2058)),"Ireland",
ISNUMBER(SEARCH("rn""&gt;Bosnia and Herzegovina",S2058)),"Bosnia and Herzegovina",
ISNUMBER(SEARCH("rn""&gt;Trinidad and Tobago",S2058)),"Trinidad and Tobago",
ISNUMBER(SEARCH("rn""&gt;Serbia and Montenegro",S2058)),"Serbia and Montenegro",
ISNUMBER(SEARCH(_xlfn.UNICHAR(65533),S2058)),"Côte d'Ivoire",
TRUE,""
)</f>
        <v/>
      </c>
      <c r="W2058" s="12" t="str">
        <f t="shared" si="157"/>
        <v>Algeria</v>
      </c>
    </row>
    <row r="2059" spans="2:23">
      <c r="B2059" s="76" t="str">
        <v>1986.0</v>
      </c>
      <c r="C2059" s="42" t="str">
        <v xml:space="preserve">04 Jun 1986 - 16:00 </v>
      </c>
      <c r="D2059" s="42" t="str">
        <v>Group E</v>
      </c>
      <c r="E2059" s="42" t="str">
        <v>Neza</v>
      </c>
      <c r="F2059" s="42" t="str">
        <v xml:space="preserve">Nezahualcoyotl </v>
      </c>
      <c r="G2059" s="42" t="str">
        <v>Scotland</v>
      </c>
      <c r="H2059" s="42" t="str">
        <v>0.0</v>
      </c>
      <c r="I2059" s="42" t="str">
        <v>1.0</v>
      </c>
      <c r="J2059" s="42" t="str">
        <v>Denmark</v>
      </c>
      <c r="K2059" s="42" t="str">
        <v xml:space="preserve"> </v>
      </c>
      <c r="L2059" s="42" t="str">
        <f t="shared" si="154"/>
        <v xml:space="preserve">1986.0|04 Jun 1986 - 16:00 |Group E|Neza|Nezahualcoyotl |Scotland|0.0|1.0|Denmark| </v>
      </c>
      <c r="M2059" s="42" t="str">
        <f>IF(COUNTIF($L$1689:L2059,L2059)&gt;1,"DOUBLON","OK")</f>
        <v>OK</v>
      </c>
      <c r="S2059" s="12" t="str">
        <v>Algeria</v>
      </c>
      <c r="T2059" s="12" t="str">
        <f t="shared" si="155"/>
        <v>OK</v>
      </c>
      <c r="U2059" s="12" t="str">
        <f t="shared" si="156"/>
        <v>-</v>
      </c>
      <c r="V2059" s="12" t="str" cm="1">
        <f t="array" ref="V2059">_xlfn.IFS(
ISNUMBER(SEARCH("USA",S2059)),"United States",
ISNUMBER(SEARCH("Republic of Ireland",S2059)),"Ireland",
ISNUMBER(SEARCH("Republic of Korea",S2059)),"South Korea",
ISNUMBER(SEARCH("Cape Verde",S2059)),"Cabo Verde",
ISNUMBER(SEARCH("Czechia",S2059)),"Czech Republic",
ISNUMBER(SEARCH("Türkiye",S2059)),"Turkey",
ISNUMBER(SEARCH("Ivory Coast",S2059)),"Côte d'Ivoire",
ISNUMBER(SEARCH("Korea Republic",S2059)),"South Korea",
ISNUMBER(SEARCH("Germany FR",S2059)),"FR Germany",
ISNUMBER(SEARCH("West Germany",S2059)),"FR Germany",
ISNUMBER(SEARCH("Germany DR",S2059)),"DR Germany",
ISNUMBER(SEARCH("Korea DPR",S2059)),"North Korea",
ISNUMBER(SEARCH("China PR",S2059)),"China",
ISNUMBER(SEARCH("IR Iran",S2059)),"Iran",
ISNUMBER(SEARCH("Congo DR",S2059)),"Democratic Republic of the Congo",
ISNUMBER(SEARCH("DR Congo",S2059)),"Democratic Republic of the Congo",
ISNUMBER(SEARCH("German DR",S2059)),"DR Germany",
ISNUMBER(SEARCH("rn""&gt;United Arab Emirates",S2059)),"United Arab Emirates",
ISNUMBER(SEARCH("rn""&gt;Republic of Ireland",S2059)),"Ireland",
ISNUMBER(SEARCH("rn""&gt;Bosnia and Herzegovina",S2059)),"Bosnia and Herzegovina",
ISNUMBER(SEARCH("rn""&gt;Trinidad and Tobago",S2059)),"Trinidad and Tobago",
ISNUMBER(SEARCH("rn""&gt;Serbia and Montenegro",S2059)),"Serbia and Montenegro",
ISNUMBER(SEARCH(_xlfn.UNICHAR(65533),S2059)),"Côte d'Ivoire",
TRUE,""
)</f>
        <v/>
      </c>
      <c r="W2059" s="12" t="str">
        <f t="shared" si="157"/>
        <v>Algeria</v>
      </c>
    </row>
    <row r="2060" spans="2:23">
      <c r="B2060" s="76" t="str">
        <v>1986.0</v>
      </c>
      <c r="C2060" s="42" t="str">
        <v xml:space="preserve">04 Jun 1986 - 12:00 </v>
      </c>
      <c r="D2060" s="42" t="str">
        <v>Group E</v>
      </c>
      <c r="E2060" s="42" t="str">
        <v>Estadio Corregidora</v>
      </c>
      <c r="F2060" s="42" t="str">
        <v xml:space="preserve">Queretaro </v>
      </c>
      <c r="G2060" s="42" t="str">
        <v>Uruguay</v>
      </c>
      <c r="H2060" s="42" t="str">
        <v>1.0</v>
      </c>
      <c r="I2060" s="42" t="str">
        <v>1.0</v>
      </c>
      <c r="J2060" s="42" t="str">
        <v>Germany FR</v>
      </c>
      <c r="K2060" s="42" t="str">
        <v xml:space="preserve"> </v>
      </c>
      <c r="L2060" s="42" t="str">
        <f t="shared" si="154"/>
        <v xml:space="preserve">1986.0|04 Jun 1986 - 12:00 |Group E|Estadio Corregidora|Queretaro |Uruguay|1.0|1.0|Germany FR| </v>
      </c>
      <c r="M2060" s="42" t="str">
        <f>IF(COUNTIF($L$1689:L2060,L2060)&gt;1,"DOUBLON","OK")</f>
        <v>OK</v>
      </c>
      <c r="S2060" s="12" t="str">
        <v>Algeria</v>
      </c>
      <c r="T2060" s="12" t="str">
        <f t="shared" si="155"/>
        <v>OK</v>
      </c>
      <c r="U2060" s="12" t="str">
        <f t="shared" si="156"/>
        <v>-</v>
      </c>
      <c r="V2060" s="12" t="str" cm="1">
        <f t="array" ref="V2060">_xlfn.IFS(
ISNUMBER(SEARCH("USA",S2060)),"United States",
ISNUMBER(SEARCH("Republic of Ireland",S2060)),"Ireland",
ISNUMBER(SEARCH("Republic of Korea",S2060)),"South Korea",
ISNUMBER(SEARCH("Cape Verde",S2060)),"Cabo Verde",
ISNUMBER(SEARCH("Czechia",S2060)),"Czech Republic",
ISNUMBER(SEARCH("Türkiye",S2060)),"Turkey",
ISNUMBER(SEARCH("Ivory Coast",S2060)),"Côte d'Ivoire",
ISNUMBER(SEARCH("Korea Republic",S2060)),"South Korea",
ISNUMBER(SEARCH("Germany FR",S2060)),"FR Germany",
ISNUMBER(SEARCH("West Germany",S2060)),"FR Germany",
ISNUMBER(SEARCH("Germany DR",S2060)),"DR Germany",
ISNUMBER(SEARCH("Korea DPR",S2060)),"North Korea",
ISNUMBER(SEARCH("China PR",S2060)),"China",
ISNUMBER(SEARCH("IR Iran",S2060)),"Iran",
ISNUMBER(SEARCH("Congo DR",S2060)),"Democratic Republic of the Congo",
ISNUMBER(SEARCH("DR Congo",S2060)),"Democratic Republic of the Congo",
ISNUMBER(SEARCH("German DR",S2060)),"DR Germany",
ISNUMBER(SEARCH("rn""&gt;United Arab Emirates",S2060)),"United Arab Emirates",
ISNUMBER(SEARCH("rn""&gt;Republic of Ireland",S2060)),"Ireland",
ISNUMBER(SEARCH("rn""&gt;Bosnia and Herzegovina",S2060)),"Bosnia and Herzegovina",
ISNUMBER(SEARCH("rn""&gt;Trinidad and Tobago",S2060)),"Trinidad and Tobago",
ISNUMBER(SEARCH("rn""&gt;Serbia and Montenegro",S2060)),"Serbia and Montenegro",
ISNUMBER(SEARCH(_xlfn.UNICHAR(65533),S2060)),"Côte d'Ivoire",
TRUE,""
)</f>
        <v/>
      </c>
      <c r="W2060" s="12" t="str">
        <f t="shared" si="157"/>
        <v>Algeria</v>
      </c>
    </row>
    <row r="2061" spans="2:23">
      <c r="B2061" s="76" t="str">
        <v>1986.0</v>
      </c>
      <c r="C2061" s="42" t="str">
        <v xml:space="preserve">05 Jun 1986 - 12:00 </v>
      </c>
      <c r="D2061" s="42" t="str">
        <v>Group A</v>
      </c>
      <c r="E2061" s="42" t="str">
        <v>Cuauhtemoc</v>
      </c>
      <c r="F2061" s="42" t="str">
        <v xml:space="preserve">Puebla </v>
      </c>
      <c r="G2061" s="42" t="str">
        <v>Italy</v>
      </c>
      <c r="H2061" s="42" t="str">
        <v>1.0</v>
      </c>
      <c r="I2061" s="42" t="str">
        <v>1.0</v>
      </c>
      <c r="J2061" s="42" t="str">
        <v>Argentina</v>
      </c>
      <c r="K2061" s="42" t="str">
        <v xml:space="preserve"> </v>
      </c>
      <c r="L2061" s="42" t="str">
        <f t="shared" si="154"/>
        <v xml:space="preserve">1986.0|05 Jun 1986 - 12:00 |Group A|Cuauhtemoc|Puebla |Italy|1.0|1.0|Argentina| </v>
      </c>
      <c r="M2061" s="42" t="str">
        <f>IF(COUNTIF($L$1689:L2061,L2061)&gt;1,"DOUBLON","OK")</f>
        <v>OK</v>
      </c>
      <c r="S2061" s="12" t="str">
        <v>Algeria</v>
      </c>
      <c r="T2061" s="12" t="str">
        <f t="shared" si="155"/>
        <v>OK</v>
      </c>
      <c r="U2061" s="12" t="str">
        <f t="shared" si="156"/>
        <v>-</v>
      </c>
      <c r="V2061" s="12" t="str" cm="1">
        <f t="array" ref="V2061">_xlfn.IFS(
ISNUMBER(SEARCH("USA",S2061)),"United States",
ISNUMBER(SEARCH("Republic of Ireland",S2061)),"Ireland",
ISNUMBER(SEARCH("Republic of Korea",S2061)),"South Korea",
ISNUMBER(SEARCH("Cape Verde",S2061)),"Cabo Verde",
ISNUMBER(SEARCH("Czechia",S2061)),"Czech Republic",
ISNUMBER(SEARCH("Türkiye",S2061)),"Turkey",
ISNUMBER(SEARCH("Ivory Coast",S2061)),"Côte d'Ivoire",
ISNUMBER(SEARCH("Korea Republic",S2061)),"South Korea",
ISNUMBER(SEARCH("Germany FR",S2061)),"FR Germany",
ISNUMBER(SEARCH("West Germany",S2061)),"FR Germany",
ISNUMBER(SEARCH("Germany DR",S2061)),"DR Germany",
ISNUMBER(SEARCH("Korea DPR",S2061)),"North Korea",
ISNUMBER(SEARCH("China PR",S2061)),"China",
ISNUMBER(SEARCH("IR Iran",S2061)),"Iran",
ISNUMBER(SEARCH("Congo DR",S2061)),"Democratic Republic of the Congo",
ISNUMBER(SEARCH("DR Congo",S2061)),"Democratic Republic of the Congo",
ISNUMBER(SEARCH("German DR",S2061)),"DR Germany",
ISNUMBER(SEARCH("rn""&gt;United Arab Emirates",S2061)),"United Arab Emirates",
ISNUMBER(SEARCH("rn""&gt;Republic of Ireland",S2061)),"Ireland",
ISNUMBER(SEARCH("rn""&gt;Bosnia and Herzegovina",S2061)),"Bosnia and Herzegovina",
ISNUMBER(SEARCH("rn""&gt;Trinidad and Tobago",S2061)),"Trinidad and Tobago",
ISNUMBER(SEARCH("rn""&gt;Serbia and Montenegro",S2061)),"Serbia and Montenegro",
ISNUMBER(SEARCH(_xlfn.UNICHAR(65533),S2061)),"Côte d'Ivoire",
TRUE,""
)</f>
        <v/>
      </c>
      <c r="W2061" s="12" t="str">
        <f t="shared" si="157"/>
        <v>Algeria</v>
      </c>
    </row>
    <row r="2062" spans="2:23">
      <c r="B2062" s="76" t="str">
        <v>1986.0</v>
      </c>
      <c r="C2062" s="42" t="str">
        <v xml:space="preserve">05 Jun 1986 - 12:00 </v>
      </c>
      <c r="D2062" s="42" t="str">
        <v>Group C</v>
      </c>
      <c r="E2062" s="42" t="str">
        <v>Nou Camp - Estadio Le�n</v>
      </c>
      <c r="F2062" s="42" t="str">
        <v xml:space="preserve">Leon </v>
      </c>
      <c r="G2062" s="42" t="str">
        <v>France</v>
      </c>
      <c r="H2062" s="42" t="str">
        <v>1.0</v>
      </c>
      <c r="I2062" s="42" t="str">
        <v>1.0</v>
      </c>
      <c r="J2062" s="42" t="str">
        <v>Soviet Union</v>
      </c>
      <c r="K2062" s="42" t="str">
        <v xml:space="preserve"> </v>
      </c>
      <c r="L2062" s="42" t="str">
        <f t="shared" si="154"/>
        <v xml:space="preserve">1986.0|05 Jun 1986 - 12:00 |Group C|Nou Camp - Estadio Le�n|Leon |France|1.0|1.0|Soviet Union| </v>
      </c>
      <c r="M2062" s="42" t="str">
        <f>IF(COUNTIF($L$1689:L2062,L2062)&gt;1,"DOUBLON","OK")</f>
        <v>OK</v>
      </c>
      <c r="S2062" s="12" t="str">
        <v>Algeria</v>
      </c>
      <c r="T2062" s="12" t="str">
        <f t="shared" si="155"/>
        <v>OK</v>
      </c>
      <c r="U2062" s="12" t="str">
        <f t="shared" si="156"/>
        <v>-</v>
      </c>
      <c r="V2062" s="12" t="str" cm="1">
        <f t="array" ref="V2062">_xlfn.IFS(
ISNUMBER(SEARCH("USA",S2062)),"United States",
ISNUMBER(SEARCH("Republic of Ireland",S2062)),"Ireland",
ISNUMBER(SEARCH("Republic of Korea",S2062)),"South Korea",
ISNUMBER(SEARCH("Cape Verde",S2062)),"Cabo Verde",
ISNUMBER(SEARCH("Czechia",S2062)),"Czech Republic",
ISNUMBER(SEARCH("Türkiye",S2062)),"Turkey",
ISNUMBER(SEARCH("Ivory Coast",S2062)),"Côte d'Ivoire",
ISNUMBER(SEARCH("Korea Republic",S2062)),"South Korea",
ISNUMBER(SEARCH("Germany FR",S2062)),"FR Germany",
ISNUMBER(SEARCH("West Germany",S2062)),"FR Germany",
ISNUMBER(SEARCH("Germany DR",S2062)),"DR Germany",
ISNUMBER(SEARCH("Korea DPR",S2062)),"North Korea",
ISNUMBER(SEARCH("China PR",S2062)),"China",
ISNUMBER(SEARCH("IR Iran",S2062)),"Iran",
ISNUMBER(SEARCH("Congo DR",S2062)),"Democratic Republic of the Congo",
ISNUMBER(SEARCH("DR Congo",S2062)),"Democratic Republic of the Congo",
ISNUMBER(SEARCH("German DR",S2062)),"DR Germany",
ISNUMBER(SEARCH("rn""&gt;United Arab Emirates",S2062)),"United Arab Emirates",
ISNUMBER(SEARCH("rn""&gt;Republic of Ireland",S2062)),"Ireland",
ISNUMBER(SEARCH("rn""&gt;Bosnia and Herzegovina",S2062)),"Bosnia and Herzegovina",
ISNUMBER(SEARCH("rn""&gt;Trinidad and Tobago",S2062)),"Trinidad and Tobago",
ISNUMBER(SEARCH("rn""&gt;Serbia and Montenegro",S2062)),"Serbia and Montenegro",
ISNUMBER(SEARCH(_xlfn.UNICHAR(65533),S2062)),"Côte d'Ivoire",
TRUE,""
)</f>
        <v/>
      </c>
      <c r="W2062" s="12" t="str">
        <f t="shared" si="157"/>
        <v>Algeria</v>
      </c>
    </row>
    <row r="2063" spans="2:23">
      <c r="B2063" s="76" t="str">
        <v>1986.0</v>
      </c>
      <c r="C2063" s="42" t="str">
        <v xml:space="preserve">05 Jun 1986 - 16:00 </v>
      </c>
      <c r="D2063" s="42" t="str">
        <v>Group A</v>
      </c>
      <c r="E2063" s="42" t="str">
        <v>Estadio Ol�mpico Universitario</v>
      </c>
      <c r="F2063" s="42" t="str">
        <v xml:space="preserve">Mexico City </v>
      </c>
      <c r="G2063" s="42" t="str">
        <v>Korea Republic</v>
      </c>
      <c r="H2063" s="42" t="str">
        <v>1.0</v>
      </c>
      <c r="I2063" s="42" t="str">
        <v>1.0</v>
      </c>
      <c r="J2063" s="42" t="str">
        <v>Bulgaria</v>
      </c>
      <c r="K2063" s="42" t="str">
        <v xml:space="preserve"> </v>
      </c>
      <c r="L2063" s="42" t="str">
        <f t="shared" si="154"/>
        <v xml:space="preserve">1986.0|05 Jun 1986 - 16:00 |Group A|Estadio Ol�mpico Universitario|Mexico City |Korea Republic|1.0|1.0|Bulgaria| </v>
      </c>
      <c r="M2063" s="42" t="str">
        <f>IF(COUNTIF($L$1689:L2063,L2063)&gt;1,"DOUBLON","OK")</f>
        <v>OK</v>
      </c>
      <c r="S2063" s="12" t="str">
        <v>Algeria</v>
      </c>
      <c r="T2063" s="12" t="str">
        <f t="shared" si="155"/>
        <v>OK</v>
      </c>
      <c r="U2063" s="12" t="str">
        <f t="shared" si="156"/>
        <v>-</v>
      </c>
      <c r="V2063" s="12" t="str" cm="1">
        <f t="array" ref="V2063">_xlfn.IFS(
ISNUMBER(SEARCH("USA",S2063)),"United States",
ISNUMBER(SEARCH("Republic of Ireland",S2063)),"Ireland",
ISNUMBER(SEARCH("Republic of Korea",S2063)),"South Korea",
ISNUMBER(SEARCH("Cape Verde",S2063)),"Cabo Verde",
ISNUMBER(SEARCH("Czechia",S2063)),"Czech Republic",
ISNUMBER(SEARCH("Türkiye",S2063)),"Turkey",
ISNUMBER(SEARCH("Ivory Coast",S2063)),"Côte d'Ivoire",
ISNUMBER(SEARCH("Korea Republic",S2063)),"South Korea",
ISNUMBER(SEARCH("Germany FR",S2063)),"FR Germany",
ISNUMBER(SEARCH("West Germany",S2063)),"FR Germany",
ISNUMBER(SEARCH("Germany DR",S2063)),"DR Germany",
ISNUMBER(SEARCH("Korea DPR",S2063)),"North Korea",
ISNUMBER(SEARCH("China PR",S2063)),"China",
ISNUMBER(SEARCH("IR Iran",S2063)),"Iran",
ISNUMBER(SEARCH("Congo DR",S2063)),"Democratic Republic of the Congo",
ISNUMBER(SEARCH("DR Congo",S2063)),"Democratic Republic of the Congo",
ISNUMBER(SEARCH("German DR",S2063)),"DR Germany",
ISNUMBER(SEARCH("rn""&gt;United Arab Emirates",S2063)),"United Arab Emirates",
ISNUMBER(SEARCH("rn""&gt;Republic of Ireland",S2063)),"Ireland",
ISNUMBER(SEARCH("rn""&gt;Bosnia and Herzegovina",S2063)),"Bosnia and Herzegovina",
ISNUMBER(SEARCH("rn""&gt;Trinidad and Tobago",S2063)),"Trinidad and Tobago",
ISNUMBER(SEARCH("rn""&gt;Serbia and Montenegro",S2063)),"Serbia and Montenegro",
ISNUMBER(SEARCH(_xlfn.UNICHAR(65533),S2063)),"Côte d'Ivoire",
TRUE,""
)</f>
        <v/>
      </c>
      <c r="W2063" s="12" t="str">
        <f t="shared" si="157"/>
        <v>Algeria</v>
      </c>
    </row>
    <row r="2064" spans="2:23">
      <c r="B2064" s="76" t="str">
        <v>1986.0</v>
      </c>
      <c r="C2064" s="42" t="str">
        <v xml:space="preserve">06 Jun 1986 - 12:00 </v>
      </c>
      <c r="D2064" s="42" t="str">
        <v>Group C</v>
      </c>
      <c r="E2064" s="42" t="str">
        <v>Estadio Irapuato</v>
      </c>
      <c r="F2064" s="42" t="str">
        <v xml:space="preserve">Irapuato </v>
      </c>
      <c r="G2064" s="42" t="str">
        <v>Hungary</v>
      </c>
      <c r="H2064" s="42" t="str">
        <v>2.0</v>
      </c>
      <c r="I2064" s="42" t="str">
        <v>0.0</v>
      </c>
      <c r="J2064" s="42" t="str">
        <v>Canada</v>
      </c>
      <c r="K2064" s="42" t="str">
        <v xml:space="preserve"> </v>
      </c>
      <c r="L2064" s="42" t="str">
        <f t="shared" si="154"/>
        <v xml:space="preserve">1986.0|06 Jun 1986 - 12:00 |Group C|Estadio Irapuato|Irapuato |Hungary|2.0|0.0|Canada| </v>
      </c>
      <c r="M2064" s="42" t="str">
        <f>IF(COUNTIF($L$1689:L2064,L2064)&gt;1,"DOUBLON","OK")</f>
        <v>OK</v>
      </c>
      <c r="S2064" s="12" t="str">
        <v>Algeria</v>
      </c>
      <c r="T2064" s="12" t="str">
        <f t="shared" si="155"/>
        <v>OK</v>
      </c>
      <c r="U2064" s="12" t="str">
        <f t="shared" si="156"/>
        <v>-</v>
      </c>
      <c r="V2064" s="12" t="str" cm="1">
        <f t="array" ref="V2064">_xlfn.IFS(
ISNUMBER(SEARCH("USA",S2064)),"United States",
ISNUMBER(SEARCH("Republic of Ireland",S2064)),"Ireland",
ISNUMBER(SEARCH("Republic of Korea",S2064)),"South Korea",
ISNUMBER(SEARCH("Cape Verde",S2064)),"Cabo Verde",
ISNUMBER(SEARCH("Czechia",S2064)),"Czech Republic",
ISNUMBER(SEARCH("Türkiye",S2064)),"Turkey",
ISNUMBER(SEARCH("Ivory Coast",S2064)),"Côte d'Ivoire",
ISNUMBER(SEARCH("Korea Republic",S2064)),"South Korea",
ISNUMBER(SEARCH("Germany FR",S2064)),"FR Germany",
ISNUMBER(SEARCH("West Germany",S2064)),"FR Germany",
ISNUMBER(SEARCH("Germany DR",S2064)),"DR Germany",
ISNUMBER(SEARCH("Korea DPR",S2064)),"North Korea",
ISNUMBER(SEARCH("China PR",S2064)),"China",
ISNUMBER(SEARCH("IR Iran",S2064)),"Iran",
ISNUMBER(SEARCH("Congo DR",S2064)),"Democratic Republic of the Congo",
ISNUMBER(SEARCH("DR Congo",S2064)),"Democratic Republic of the Congo",
ISNUMBER(SEARCH("German DR",S2064)),"DR Germany",
ISNUMBER(SEARCH("rn""&gt;United Arab Emirates",S2064)),"United Arab Emirates",
ISNUMBER(SEARCH("rn""&gt;Republic of Ireland",S2064)),"Ireland",
ISNUMBER(SEARCH("rn""&gt;Bosnia and Herzegovina",S2064)),"Bosnia and Herzegovina",
ISNUMBER(SEARCH("rn""&gt;Trinidad and Tobago",S2064)),"Trinidad and Tobago",
ISNUMBER(SEARCH("rn""&gt;Serbia and Montenegro",S2064)),"Serbia and Montenegro",
ISNUMBER(SEARCH(_xlfn.UNICHAR(65533),S2064)),"Côte d'Ivoire",
TRUE,""
)</f>
        <v/>
      </c>
      <c r="W2064" s="12" t="str">
        <f t="shared" si="157"/>
        <v>Algeria</v>
      </c>
    </row>
    <row r="2065" spans="2:23">
      <c r="B2065" s="76" t="str">
        <v>1986.0</v>
      </c>
      <c r="C2065" s="42" t="str">
        <v xml:space="preserve">06 Jun 1986 - 12:00 </v>
      </c>
      <c r="D2065" s="42" t="str">
        <v>Group D</v>
      </c>
      <c r="E2065" s="42" t="str">
        <v>Jalisco</v>
      </c>
      <c r="F2065" s="42" t="str">
        <v xml:space="preserve">Guadalajara </v>
      </c>
      <c r="G2065" s="42" t="str">
        <v>Brazil</v>
      </c>
      <c r="H2065" s="42" t="str">
        <v>1.0</v>
      </c>
      <c r="I2065" s="42" t="str">
        <v>0.0</v>
      </c>
      <c r="J2065" s="42" t="str">
        <v>Algeria</v>
      </c>
      <c r="K2065" s="42" t="str">
        <v xml:space="preserve"> </v>
      </c>
      <c r="L2065" s="42" t="str">
        <f t="shared" si="154"/>
        <v xml:space="preserve">1986.0|06 Jun 1986 - 12:00 |Group D|Jalisco|Guadalajara |Brazil|1.0|0.0|Algeria| </v>
      </c>
      <c r="M2065" s="42" t="str">
        <f>IF(COUNTIF($L$1689:L2065,L2065)&gt;1,"DOUBLON","OK")</f>
        <v>OK</v>
      </c>
      <c r="S2065" s="12" t="str">
        <v>Algeria</v>
      </c>
      <c r="T2065" s="12" t="str">
        <f t="shared" si="155"/>
        <v>OK</v>
      </c>
      <c r="U2065" s="12" t="str">
        <f t="shared" si="156"/>
        <v>-</v>
      </c>
      <c r="V2065" s="12" t="str" cm="1">
        <f t="array" ref="V2065">_xlfn.IFS(
ISNUMBER(SEARCH("USA",S2065)),"United States",
ISNUMBER(SEARCH("Republic of Ireland",S2065)),"Ireland",
ISNUMBER(SEARCH("Republic of Korea",S2065)),"South Korea",
ISNUMBER(SEARCH("Cape Verde",S2065)),"Cabo Verde",
ISNUMBER(SEARCH("Czechia",S2065)),"Czech Republic",
ISNUMBER(SEARCH("Türkiye",S2065)),"Turkey",
ISNUMBER(SEARCH("Ivory Coast",S2065)),"Côte d'Ivoire",
ISNUMBER(SEARCH("Korea Republic",S2065)),"South Korea",
ISNUMBER(SEARCH("Germany FR",S2065)),"FR Germany",
ISNUMBER(SEARCH("West Germany",S2065)),"FR Germany",
ISNUMBER(SEARCH("Germany DR",S2065)),"DR Germany",
ISNUMBER(SEARCH("Korea DPR",S2065)),"North Korea",
ISNUMBER(SEARCH("China PR",S2065)),"China",
ISNUMBER(SEARCH("IR Iran",S2065)),"Iran",
ISNUMBER(SEARCH("Congo DR",S2065)),"Democratic Republic of the Congo",
ISNUMBER(SEARCH("DR Congo",S2065)),"Democratic Republic of the Congo",
ISNUMBER(SEARCH("German DR",S2065)),"DR Germany",
ISNUMBER(SEARCH("rn""&gt;United Arab Emirates",S2065)),"United Arab Emirates",
ISNUMBER(SEARCH("rn""&gt;Republic of Ireland",S2065)),"Ireland",
ISNUMBER(SEARCH("rn""&gt;Bosnia and Herzegovina",S2065)),"Bosnia and Herzegovina",
ISNUMBER(SEARCH("rn""&gt;Trinidad and Tobago",S2065)),"Trinidad and Tobago",
ISNUMBER(SEARCH("rn""&gt;Serbia and Montenegro",S2065)),"Serbia and Montenegro",
ISNUMBER(SEARCH(_xlfn.UNICHAR(65533),S2065)),"Côte d'Ivoire",
TRUE,""
)</f>
        <v/>
      </c>
      <c r="W2065" s="12" t="str">
        <f t="shared" si="157"/>
        <v>Algeria</v>
      </c>
    </row>
    <row r="2066" spans="2:23">
      <c r="B2066" s="76" t="str">
        <v>1986.0</v>
      </c>
      <c r="C2066" s="42" t="str">
        <v xml:space="preserve">06 Jun 1986 - 16:00 </v>
      </c>
      <c r="D2066" s="42" t="str">
        <v>Group F</v>
      </c>
      <c r="E2066" s="42" t="str">
        <v>Tecnologico</v>
      </c>
      <c r="F2066" s="42" t="str">
        <v xml:space="preserve">Monterrey </v>
      </c>
      <c r="G2066" s="42" t="str">
        <v>England</v>
      </c>
      <c r="H2066" s="42" t="str">
        <v>0.0</v>
      </c>
      <c r="I2066" s="42" t="str">
        <v>0.0</v>
      </c>
      <c r="J2066" s="42" t="str">
        <v>Morocco</v>
      </c>
      <c r="K2066" s="42" t="str">
        <v xml:space="preserve"> </v>
      </c>
      <c r="L2066" s="42" t="str">
        <f t="shared" si="154"/>
        <v xml:space="preserve">1986.0|06 Jun 1986 - 16:00 |Group F|Tecnologico|Monterrey |England|0.0|0.0|Morocco| </v>
      </c>
      <c r="M2066" s="42" t="str">
        <f>IF(COUNTIF($L$1689:L2066,L2066)&gt;1,"DOUBLON","OK")</f>
        <v>OK</v>
      </c>
      <c r="S2066" s="12" t="str">
        <v>Algeria</v>
      </c>
      <c r="T2066" s="12" t="str">
        <f t="shared" si="155"/>
        <v>OK</v>
      </c>
      <c r="U2066" s="12" t="str">
        <f t="shared" si="156"/>
        <v>-</v>
      </c>
      <c r="V2066" s="12" t="str" cm="1">
        <f t="array" ref="V2066">_xlfn.IFS(
ISNUMBER(SEARCH("USA",S2066)),"United States",
ISNUMBER(SEARCH("Republic of Ireland",S2066)),"Ireland",
ISNUMBER(SEARCH("Republic of Korea",S2066)),"South Korea",
ISNUMBER(SEARCH("Cape Verde",S2066)),"Cabo Verde",
ISNUMBER(SEARCH("Czechia",S2066)),"Czech Republic",
ISNUMBER(SEARCH("Türkiye",S2066)),"Turkey",
ISNUMBER(SEARCH("Ivory Coast",S2066)),"Côte d'Ivoire",
ISNUMBER(SEARCH("Korea Republic",S2066)),"South Korea",
ISNUMBER(SEARCH("Germany FR",S2066)),"FR Germany",
ISNUMBER(SEARCH("West Germany",S2066)),"FR Germany",
ISNUMBER(SEARCH("Germany DR",S2066)),"DR Germany",
ISNUMBER(SEARCH("Korea DPR",S2066)),"North Korea",
ISNUMBER(SEARCH("China PR",S2066)),"China",
ISNUMBER(SEARCH("IR Iran",S2066)),"Iran",
ISNUMBER(SEARCH("Congo DR",S2066)),"Democratic Republic of the Congo",
ISNUMBER(SEARCH("DR Congo",S2066)),"Democratic Republic of the Congo",
ISNUMBER(SEARCH("German DR",S2066)),"DR Germany",
ISNUMBER(SEARCH("rn""&gt;United Arab Emirates",S2066)),"United Arab Emirates",
ISNUMBER(SEARCH("rn""&gt;Republic of Ireland",S2066)),"Ireland",
ISNUMBER(SEARCH("rn""&gt;Bosnia and Herzegovina",S2066)),"Bosnia and Herzegovina",
ISNUMBER(SEARCH("rn""&gt;Trinidad and Tobago",S2066)),"Trinidad and Tobago",
ISNUMBER(SEARCH("rn""&gt;Serbia and Montenegro",S2066)),"Serbia and Montenegro",
ISNUMBER(SEARCH(_xlfn.UNICHAR(65533),S2066)),"Côte d'Ivoire",
TRUE,""
)</f>
        <v/>
      </c>
      <c r="W2066" s="12" t="str">
        <f t="shared" si="157"/>
        <v>Algeria</v>
      </c>
    </row>
    <row r="2067" spans="2:23">
      <c r="B2067" s="76" t="str">
        <v>1986.0</v>
      </c>
      <c r="C2067" s="42" t="str">
        <v xml:space="preserve">07 Jun 1986 - 12:00 </v>
      </c>
      <c r="D2067" s="42" t="str">
        <v>Group D</v>
      </c>
      <c r="E2067" s="42" t="str">
        <v>Tres de Marzo</v>
      </c>
      <c r="F2067" s="42" t="str">
        <v xml:space="preserve">Guadalajara </v>
      </c>
      <c r="G2067" s="42" t="str">
        <v>Northern Ireland</v>
      </c>
      <c r="H2067" s="42" t="str">
        <v>1.0</v>
      </c>
      <c r="I2067" s="42" t="str">
        <v>2.0</v>
      </c>
      <c r="J2067" s="42" t="str">
        <v>Spain</v>
      </c>
      <c r="K2067" s="42" t="str">
        <v xml:space="preserve"> </v>
      </c>
      <c r="L2067" s="42" t="str">
        <f t="shared" si="154"/>
        <v xml:space="preserve">1986.0|07 Jun 1986 - 12:00 |Group D|Tres de Marzo|Guadalajara |Northern Ireland|1.0|2.0|Spain| </v>
      </c>
      <c r="M2067" s="42" t="str">
        <f>IF(COUNTIF($L$1689:L2067,L2067)&gt;1,"DOUBLON","OK")</f>
        <v>OK</v>
      </c>
      <c r="S2067" s="12" t="str">
        <v>Algeria</v>
      </c>
      <c r="T2067" s="12" t="str">
        <f t="shared" si="155"/>
        <v>OK</v>
      </c>
      <c r="U2067" s="12" t="str">
        <f t="shared" si="156"/>
        <v>-</v>
      </c>
      <c r="V2067" s="12" t="str" cm="1">
        <f t="array" ref="V2067">_xlfn.IFS(
ISNUMBER(SEARCH("USA",S2067)),"United States",
ISNUMBER(SEARCH("Republic of Ireland",S2067)),"Ireland",
ISNUMBER(SEARCH("Republic of Korea",S2067)),"South Korea",
ISNUMBER(SEARCH("Cape Verde",S2067)),"Cabo Verde",
ISNUMBER(SEARCH("Czechia",S2067)),"Czech Republic",
ISNUMBER(SEARCH("Türkiye",S2067)),"Turkey",
ISNUMBER(SEARCH("Ivory Coast",S2067)),"Côte d'Ivoire",
ISNUMBER(SEARCH("Korea Republic",S2067)),"South Korea",
ISNUMBER(SEARCH("Germany FR",S2067)),"FR Germany",
ISNUMBER(SEARCH("West Germany",S2067)),"FR Germany",
ISNUMBER(SEARCH("Germany DR",S2067)),"DR Germany",
ISNUMBER(SEARCH("Korea DPR",S2067)),"North Korea",
ISNUMBER(SEARCH("China PR",S2067)),"China",
ISNUMBER(SEARCH("IR Iran",S2067)),"Iran",
ISNUMBER(SEARCH("Congo DR",S2067)),"Democratic Republic of the Congo",
ISNUMBER(SEARCH("DR Congo",S2067)),"Democratic Republic of the Congo",
ISNUMBER(SEARCH("German DR",S2067)),"DR Germany",
ISNUMBER(SEARCH("rn""&gt;United Arab Emirates",S2067)),"United Arab Emirates",
ISNUMBER(SEARCH("rn""&gt;Republic of Ireland",S2067)),"Ireland",
ISNUMBER(SEARCH("rn""&gt;Bosnia and Herzegovina",S2067)),"Bosnia and Herzegovina",
ISNUMBER(SEARCH("rn""&gt;Trinidad and Tobago",S2067)),"Trinidad and Tobago",
ISNUMBER(SEARCH("rn""&gt;Serbia and Montenegro",S2067)),"Serbia and Montenegro",
ISNUMBER(SEARCH(_xlfn.UNICHAR(65533),S2067)),"Côte d'Ivoire",
TRUE,""
)</f>
        <v/>
      </c>
      <c r="W2067" s="12" t="str">
        <f t="shared" si="157"/>
        <v>Algeria</v>
      </c>
    </row>
    <row r="2068" spans="2:23">
      <c r="B2068" s="76" t="str">
        <v>1986.0</v>
      </c>
      <c r="C2068" s="42" t="str">
        <v xml:space="preserve">07 Jun 1986 - 12:00 </v>
      </c>
      <c r="D2068" s="42" t="str">
        <v>Group B</v>
      </c>
      <c r="E2068" s="42" t="str">
        <v>Estadio Azteca</v>
      </c>
      <c r="F2068" s="42" t="str">
        <v xml:space="preserve">Mexico City </v>
      </c>
      <c r="G2068" s="42" t="str">
        <v>Mexico</v>
      </c>
      <c r="H2068" s="42" t="str">
        <v>1.0</v>
      </c>
      <c r="I2068" s="42" t="str">
        <v>1.0</v>
      </c>
      <c r="J2068" s="42" t="str">
        <v>Paraguay</v>
      </c>
      <c r="K2068" s="42" t="str">
        <v xml:space="preserve"> </v>
      </c>
      <c r="L2068" s="42" t="str">
        <f t="shared" si="154"/>
        <v xml:space="preserve">1986.0|07 Jun 1986 - 12:00 |Group B|Estadio Azteca|Mexico City |Mexico|1.0|1.0|Paraguay| </v>
      </c>
      <c r="M2068" s="42" t="str">
        <f>IF(COUNTIF($L$1689:L2068,L2068)&gt;1,"DOUBLON","OK")</f>
        <v>OK</v>
      </c>
      <c r="S2068" s="12" t="str">
        <v>Algeria</v>
      </c>
      <c r="T2068" s="12" t="str">
        <f t="shared" si="155"/>
        <v>OK</v>
      </c>
      <c r="U2068" s="12" t="str">
        <f t="shared" si="156"/>
        <v>-</v>
      </c>
      <c r="V2068" s="12" t="str" cm="1">
        <f t="array" ref="V2068">_xlfn.IFS(
ISNUMBER(SEARCH("USA",S2068)),"United States",
ISNUMBER(SEARCH("Republic of Ireland",S2068)),"Ireland",
ISNUMBER(SEARCH("Republic of Korea",S2068)),"South Korea",
ISNUMBER(SEARCH("Cape Verde",S2068)),"Cabo Verde",
ISNUMBER(SEARCH("Czechia",S2068)),"Czech Republic",
ISNUMBER(SEARCH("Türkiye",S2068)),"Turkey",
ISNUMBER(SEARCH("Ivory Coast",S2068)),"Côte d'Ivoire",
ISNUMBER(SEARCH("Korea Republic",S2068)),"South Korea",
ISNUMBER(SEARCH("Germany FR",S2068)),"FR Germany",
ISNUMBER(SEARCH("West Germany",S2068)),"FR Germany",
ISNUMBER(SEARCH("Germany DR",S2068)),"DR Germany",
ISNUMBER(SEARCH("Korea DPR",S2068)),"North Korea",
ISNUMBER(SEARCH("China PR",S2068)),"China",
ISNUMBER(SEARCH("IR Iran",S2068)),"Iran",
ISNUMBER(SEARCH("Congo DR",S2068)),"Democratic Republic of the Congo",
ISNUMBER(SEARCH("DR Congo",S2068)),"Democratic Republic of the Congo",
ISNUMBER(SEARCH("German DR",S2068)),"DR Germany",
ISNUMBER(SEARCH("rn""&gt;United Arab Emirates",S2068)),"United Arab Emirates",
ISNUMBER(SEARCH("rn""&gt;Republic of Ireland",S2068)),"Ireland",
ISNUMBER(SEARCH("rn""&gt;Bosnia and Herzegovina",S2068)),"Bosnia and Herzegovina",
ISNUMBER(SEARCH("rn""&gt;Trinidad and Tobago",S2068)),"Trinidad and Tobago",
ISNUMBER(SEARCH("rn""&gt;Serbia and Montenegro",S2068)),"Serbia and Montenegro",
ISNUMBER(SEARCH(_xlfn.UNICHAR(65533),S2068)),"Côte d'Ivoire",
TRUE,""
)</f>
        <v/>
      </c>
      <c r="W2068" s="12" t="str">
        <f t="shared" si="157"/>
        <v>Algeria</v>
      </c>
    </row>
    <row r="2069" spans="2:23">
      <c r="B2069" s="76" t="str">
        <v>1986.0</v>
      </c>
      <c r="C2069" s="42" t="str">
        <v xml:space="preserve">07 Jun 1986 - 16:00 </v>
      </c>
      <c r="D2069" s="42" t="str">
        <v>Group F</v>
      </c>
      <c r="E2069" s="42" t="str">
        <v>Estadio Universitario</v>
      </c>
      <c r="F2069" s="42" t="str">
        <v xml:space="preserve">Monterrey </v>
      </c>
      <c r="G2069" s="42" t="str">
        <v>Poland</v>
      </c>
      <c r="H2069" s="42" t="str">
        <v>1.0</v>
      </c>
      <c r="I2069" s="42" t="str">
        <v>0.0</v>
      </c>
      <c r="J2069" s="42" t="str">
        <v>Portugal</v>
      </c>
      <c r="K2069" s="42" t="str">
        <v xml:space="preserve"> </v>
      </c>
      <c r="L2069" s="42" t="str">
        <f t="shared" si="154"/>
        <v xml:space="preserve">1986.0|07 Jun 1986 - 16:00 |Group F|Estadio Universitario|Monterrey |Poland|1.0|0.0|Portugal| </v>
      </c>
      <c r="M2069" s="42" t="str">
        <f>IF(COUNTIF($L$1689:L2069,L2069)&gt;1,"DOUBLON","OK")</f>
        <v>OK</v>
      </c>
      <c r="S2069" s="12" t="str">
        <v>Algeria</v>
      </c>
      <c r="T2069" s="12" t="str">
        <f t="shared" si="155"/>
        <v>OK</v>
      </c>
      <c r="U2069" s="12" t="str">
        <f t="shared" si="156"/>
        <v>-</v>
      </c>
      <c r="V2069" s="12" t="str" cm="1">
        <f t="array" ref="V2069">_xlfn.IFS(
ISNUMBER(SEARCH("USA",S2069)),"United States",
ISNUMBER(SEARCH("Republic of Ireland",S2069)),"Ireland",
ISNUMBER(SEARCH("Republic of Korea",S2069)),"South Korea",
ISNUMBER(SEARCH("Cape Verde",S2069)),"Cabo Verde",
ISNUMBER(SEARCH("Czechia",S2069)),"Czech Republic",
ISNUMBER(SEARCH("Türkiye",S2069)),"Turkey",
ISNUMBER(SEARCH("Ivory Coast",S2069)),"Côte d'Ivoire",
ISNUMBER(SEARCH("Korea Republic",S2069)),"South Korea",
ISNUMBER(SEARCH("Germany FR",S2069)),"FR Germany",
ISNUMBER(SEARCH("West Germany",S2069)),"FR Germany",
ISNUMBER(SEARCH("Germany DR",S2069)),"DR Germany",
ISNUMBER(SEARCH("Korea DPR",S2069)),"North Korea",
ISNUMBER(SEARCH("China PR",S2069)),"China",
ISNUMBER(SEARCH("IR Iran",S2069)),"Iran",
ISNUMBER(SEARCH("Congo DR",S2069)),"Democratic Republic of the Congo",
ISNUMBER(SEARCH("DR Congo",S2069)),"Democratic Republic of the Congo",
ISNUMBER(SEARCH("German DR",S2069)),"DR Germany",
ISNUMBER(SEARCH("rn""&gt;United Arab Emirates",S2069)),"United Arab Emirates",
ISNUMBER(SEARCH("rn""&gt;Republic of Ireland",S2069)),"Ireland",
ISNUMBER(SEARCH("rn""&gt;Bosnia and Herzegovina",S2069)),"Bosnia and Herzegovina",
ISNUMBER(SEARCH("rn""&gt;Trinidad and Tobago",S2069)),"Trinidad and Tobago",
ISNUMBER(SEARCH("rn""&gt;Serbia and Montenegro",S2069)),"Serbia and Montenegro",
ISNUMBER(SEARCH(_xlfn.UNICHAR(65533),S2069)),"Côte d'Ivoire",
TRUE,""
)</f>
        <v/>
      </c>
      <c r="W2069" s="12" t="str">
        <f t="shared" si="157"/>
        <v>Algeria</v>
      </c>
    </row>
    <row r="2070" spans="2:23">
      <c r="B2070" s="76" t="str">
        <v>1986.0</v>
      </c>
      <c r="C2070" s="42" t="str">
        <v xml:space="preserve">08 Jun 1986 - 12:00 </v>
      </c>
      <c r="D2070" s="42" t="str">
        <v>Group B</v>
      </c>
      <c r="E2070" s="42" t="str">
        <v>Bombonera - Estadio Nemesio Diez</v>
      </c>
      <c r="F2070" s="42" t="str">
        <v xml:space="preserve">Toluca </v>
      </c>
      <c r="G2070" s="42" t="str">
        <v>Iraq</v>
      </c>
      <c r="H2070" s="42" t="str">
        <v>1.0</v>
      </c>
      <c r="I2070" s="42" t="str">
        <v>2.0</v>
      </c>
      <c r="J2070" s="42" t="str">
        <v>Belgium</v>
      </c>
      <c r="K2070" s="42" t="str">
        <v xml:space="preserve"> </v>
      </c>
      <c r="L2070" s="42" t="str">
        <f t="shared" si="154"/>
        <v xml:space="preserve">1986.0|08 Jun 1986 - 12:00 |Group B|Bombonera - Estadio Nemesio Diez|Toluca |Iraq|1.0|2.0|Belgium| </v>
      </c>
      <c r="M2070" s="42" t="str">
        <f>IF(COUNTIF($L$1689:L2070,L2070)&gt;1,"DOUBLON","OK")</f>
        <v>OK</v>
      </c>
      <c r="S2070" s="12" t="str">
        <v>Algeria</v>
      </c>
      <c r="T2070" s="12" t="str">
        <f t="shared" si="155"/>
        <v>OK</v>
      </c>
      <c r="U2070" s="12" t="str">
        <f t="shared" si="156"/>
        <v>-</v>
      </c>
      <c r="V2070" s="12" t="str" cm="1">
        <f t="array" ref="V2070">_xlfn.IFS(
ISNUMBER(SEARCH("USA",S2070)),"United States",
ISNUMBER(SEARCH("Republic of Ireland",S2070)),"Ireland",
ISNUMBER(SEARCH("Republic of Korea",S2070)),"South Korea",
ISNUMBER(SEARCH("Cape Verde",S2070)),"Cabo Verde",
ISNUMBER(SEARCH("Czechia",S2070)),"Czech Republic",
ISNUMBER(SEARCH("Türkiye",S2070)),"Turkey",
ISNUMBER(SEARCH("Ivory Coast",S2070)),"Côte d'Ivoire",
ISNUMBER(SEARCH("Korea Republic",S2070)),"South Korea",
ISNUMBER(SEARCH("Germany FR",S2070)),"FR Germany",
ISNUMBER(SEARCH("West Germany",S2070)),"FR Germany",
ISNUMBER(SEARCH("Germany DR",S2070)),"DR Germany",
ISNUMBER(SEARCH("Korea DPR",S2070)),"North Korea",
ISNUMBER(SEARCH("China PR",S2070)),"China",
ISNUMBER(SEARCH("IR Iran",S2070)),"Iran",
ISNUMBER(SEARCH("Congo DR",S2070)),"Democratic Republic of the Congo",
ISNUMBER(SEARCH("DR Congo",S2070)),"Democratic Republic of the Congo",
ISNUMBER(SEARCH("German DR",S2070)),"DR Germany",
ISNUMBER(SEARCH("rn""&gt;United Arab Emirates",S2070)),"United Arab Emirates",
ISNUMBER(SEARCH("rn""&gt;Republic of Ireland",S2070)),"Ireland",
ISNUMBER(SEARCH("rn""&gt;Bosnia and Herzegovina",S2070)),"Bosnia and Herzegovina",
ISNUMBER(SEARCH("rn""&gt;Trinidad and Tobago",S2070)),"Trinidad and Tobago",
ISNUMBER(SEARCH("rn""&gt;Serbia and Montenegro",S2070)),"Serbia and Montenegro",
ISNUMBER(SEARCH(_xlfn.UNICHAR(65533),S2070)),"Côte d'Ivoire",
TRUE,""
)</f>
        <v/>
      </c>
      <c r="W2070" s="12" t="str">
        <f t="shared" si="157"/>
        <v>Algeria</v>
      </c>
    </row>
    <row r="2071" spans="2:23">
      <c r="B2071" s="76" t="str">
        <v>1986.0</v>
      </c>
      <c r="C2071" s="42" t="str">
        <v xml:space="preserve">08 Jun 1986 - 16:00 </v>
      </c>
      <c r="D2071" s="42" t="str">
        <v>Group E</v>
      </c>
      <c r="E2071" s="42" t="str">
        <v>Neza</v>
      </c>
      <c r="F2071" s="42" t="str">
        <v xml:space="preserve">Nezahualcoyotl </v>
      </c>
      <c r="G2071" s="42" t="str">
        <v>Denmark</v>
      </c>
      <c r="H2071" s="42" t="str">
        <v>6.0</v>
      </c>
      <c r="I2071" s="42" t="str">
        <v>1.0</v>
      </c>
      <c r="J2071" s="42" t="str">
        <v>Uruguay</v>
      </c>
      <c r="K2071" s="42" t="str">
        <v xml:space="preserve"> </v>
      </c>
      <c r="L2071" s="42" t="str">
        <f t="shared" si="154"/>
        <v xml:space="preserve">1986.0|08 Jun 1986 - 16:00 |Group E|Neza|Nezahualcoyotl |Denmark|6.0|1.0|Uruguay| </v>
      </c>
      <c r="M2071" s="42" t="str">
        <f>IF(COUNTIF($L$1689:L2071,L2071)&gt;1,"DOUBLON","OK")</f>
        <v>OK</v>
      </c>
      <c r="S2071" s="12" t="str">
        <v>Algeria</v>
      </c>
      <c r="T2071" s="12" t="str">
        <f t="shared" si="155"/>
        <v>OK</v>
      </c>
      <c r="U2071" s="12" t="str">
        <f t="shared" si="156"/>
        <v>-</v>
      </c>
      <c r="V2071" s="12" t="str" cm="1">
        <f t="array" ref="V2071">_xlfn.IFS(
ISNUMBER(SEARCH("USA",S2071)),"United States",
ISNUMBER(SEARCH("Republic of Ireland",S2071)),"Ireland",
ISNUMBER(SEARCH("Republic of Korea",S2071)),"South Korea",
ISNUMBER(SEARCH("Cape Verde",S2071)),"Cabo Verde",
ISNUMBER(SEARCH("Czechia",S2071)),"Czech Republic",
ISNUMBER(SEARCH("Türkiye",S2071)),"Turkey",
ISNUMBER(SEARCH("Ivory Coast",S2071)),"Côte d'Ivoire",
ISNUMBER(SEARCH("Korea Republic",S2071)),"South Korea",
ISNUMBER(SEARCH("Germany FR",S2071)),"FR Germany",
ISNUMBER(SEARCH("West Germany",S2071)),"FR Germany",
ISNUMBER(SEARCH("Germany DR",S2071)),"DR Germany",
ISNUMBER(SEARCH("Korea DPR",S2071)),"North Korea",
ISNUMBER(SEARCH("China PR",S2071)),"China",
ISNUMBER(SEARCH("IR Iran",S2071)),"Iran",
ISNUMBER(SEARCH("Congo DR",S2071)),"Democratic Republic of the Congo",
ISNUMBER(SEARCH("DR Congo",S2071)),"Democratic Republic of the Congo",
ISNUMBER(SEARCH("German DR",S2071)),"DR Germany",
ISNUMBER(SEARCH("rn""&gt;United Arab Emirates",S2071)),"United Arab Emirates",
ISNUMBER(SEARCH("rn""&gt;Republic of Ireland",S2071)),"Ireland",
ISNUMBER(SEARCH("rn""&gt;Bosnia and Herzegovina",S2071)),"Bosnia and Herzegovina",
ISNUMBER(SEARCH("rn""&gt;Trinidad and Tobago",S2071)),"Trinidad and Tobago",
ISNUMBER(SEARCH("rn""&gt;Serbia and Montenegro",S2071)),"Serbia and Montenegro",
ISNUMBER(SEARCH(_xlfn.UNICHAR(65533),S2071)),"Côte d'Ivoire",
TRUE,""
)</f>
        <v/>
      </c>
      <c r="W2071" s="12" t="str">
        <f t="shared" si="157"/>
        <v>Algeria</v>
      </c>
    </row>
    <row r="2072" spans="2:23">
      <c r="B2072" s="76" t="str">
        <v>1986.0</v>
      </c>
      <c r="C2072" s="42" t="str">
        <v xml:space="preserve">08 Jun 1986 - 12:00 </v>
      </c>
      <c r="D2072" s="42" t="str">
        <v>Group E</v>
      </c>
      <c r="E2072" s="42" t="str">
        <v>Estadio Corregidora</v>
      </c>
      <c r="F2072" s="42" t="str">
        <v xml:space="preserve">Queretaro </v>
      </c>
      <c r="G2072" s="42" t="str">
        <v>Germany FR</v>
      </c>
      <c r="H2072" s="42" t="str">
        <v>2.0</v>
      </c>
      <c r="I2072" s="42" t="str">
        <v>1.0</v>
      </c>
      <c r="J2072" s="42" t="str">
        <v>Scotland</v>
      </c>
      <c r="K2072" s="42" t="str">
        <v xml:space="preserve"> </v>
      </c>
      <c r="L2072" s="42" t="str">
        <f t="shared" si="154"/>
        <v xml:space="preserve">1986.0|08 Jun 1986 - 12:00 |Group E|Estadio Corregidora|Queretaro |Germany FR|2.0|1.0|Scotland| </v>
      </c>
      <c r="M2072" s="42" t="str">
        <f>IF(COUNTIF($L$1689:L2072,L2072)&gt;1,"DOUBLON","OK")</f>
        <v>OK</v>
      </c>
      <c r="S2072" s="12" t="str">
        <v>Algeria</v>
      </c>
      <c r="T2072" s="12" t="str">
        <f t="shared" si="155"/>
        <v>OK</v>
      </c>
      <c r="U2072" s="12" t="str">
        <f t="shared" si="156"/>
        <v>-</v>
      </c>
      <c r="V2072" s="12" t="str" cm="1">
        <f t="array" ref="V2072">_xlfn.IFS(
ISNUMBER(SEARCH("USA",S2072)),"United States",
ISNUMBER(SEARCH("Republic of Ireland",S2072)),"Ireland",
ISNUMBER(SEARCH("Republic of Korea",S2072)),"South Korea",
ISNUMBER(SEARCH("Cape Verde",S2072)),"Cabo Verde",
ISNUMBER(SEARCH("Czechia",S2072)),"Czech Republic",
ISNUMBER(SEARCH("Türkiye",S2072)),"Turkey",
ISNUMBER(SEARCH("Ivory Coast",S2072)),"Côte d'Ivoire",
ISNUMBER(SEARCH("Korea Republic",S2072)),"South Korea",
ISNUMBER(SEARCH("Germany FR",S2072)),"FR Germany",
ISNUMBER(SEARCH("West Germany",S2072)),"FR Germany",
ISNUMBER(SEARCH("Germany DR",S2072)),"DR Germany",
ISNUMBER(SEARCH("Korea DPR",S2072)),"North Korea",
ISNUMBER(SEARCH("China PR",S2072)),"China",
ISNUMBER(SEARCH("IR Iran",S2072)),"Iran",
ISNUMBER(SEARCH("Congo DR",S2072)),"Democratic Republic of the Congo",
ISNUMBER(SEARCH("DR Congo",S2072)),"Democratic Republic of the Congo",
ISNUMBER(SEARCH("German DR",S2072)),"DR Germany",
ISNUMBER(SEARCH("rn""&gt;United Arab Emirates",S2072)),"United Arab Emirates",
ISNUMBER(SEARCH("rn""&gt;Republic of Ireland",S2072)),"Ireland",
ISNUMBER(SEARCH("rn""&gt;Bosnia and Herzegovina",S2072)),"Bosnia and Herzegovina",
ISNUMBER(SEARCH("rn""&gt;Trinidad and Tobago",S2072)),"Trinidad and Tobago",
ISNUMBER(SEARCH("rn""&gt;Serbia and Montenegro",S2072)),"Serbia and Montenegro",
ISNUMBER(SEARCH(_xlfn.UNICHAR(65533),S2072)),"Côte d'Ivoire",
TRUE,""
)</f>
        <v/>
      </c>
      <c r="W2072" s="12" t="str">
        <f t="shared" si="157"/>
        <v>Algeria</v>
      </c>
    </row>
    <row r="2073" spans="2:23">
      <c r="B2073" s="76" t="str">
        <v>1986.0</v>
      </c>
      <c r="C2073" s="42" t="str">
        <v xml:space="preserve">09 Jun 1986 - 12:00 </v>
      </c>
      <c r="D2073" s="42" t="str">
        <v>Group C</v>
      </c>
      <c r="E2073" s="42" t="str">
        <v>Nou Camp - Estadio Le�n</v>
      </c>
      <c r="F2073" s="42" t="str">
        <v xml:space="preserve">Leon </v>
      </c>
      <c r="G2073" s="42" t="str">
        <v>Hungary</v>
      </c>
      <c r="H2073" s="42" t="str">
        <v>0.0</v>
      </c>
      <c r="I2073" s="42" t="str">
        <v>3.0</v>
      </c>
      <c r="J2073" s="42" t="str">
        <v>France</v>
      </c>
      <c r="K2073" s="42" t="str">
        <v xml:space="preserve"> </v>
      </c>
      <c r="L2073" s="42" t="str">
        <f t="shared" ref="L2073:L2136" si="158">B2073&amp;"|"&amp;C2073&amp;"|"&amp;D2073&amp;"|"&amp;E2073&amp;"|"&amp;F2073&amp;"|"&amp;G2073&amp;"|"&amp;H2073&amp;"|"&amp;I2073&amp;"|"&amp;J2073&amp;"|"&amp;K2073</f>
        <v xml:space="preserve">1986.0|09 Jun 1986 - 12:00 |Group C|Nou Camp - Estadio Le�n|Leon |Hungary|0.0|3.0|France| </v>
      </c>
      <c r="M2073" s="42" t="str">
        <f>IF(COUNTIF($L$1689:L2073,L2073)&gt;1,"DOUBLON","OK")</f>
        <v>OK</v>
      </c>
      <c r="S2073" s="12" t="str">
        <v>Algeria</v>
      </c>
      <c r="T2073" s="12" t="str">
        <f t="shared" si="155"/>
        <v>OK</v>
      </c>
      <c r="U2073" s="12" t="str">
        <f t="shared" si="156"/>
        <v>-</v>
      </c>
      <c r="V2073" s="12" t="str" cm="1">
        <f t="array" ref="V2073">_xlfn.IFS(
ISNUMBER(SEARCH("USA",S2073)),"United States",
ISNUMBER(SEARCH("Republic of Ireland",S2073)),"Ireland",
ISNUMBER(SEARCH("Republic of Korea",S2073)),"South Korea",
ISNUMBER(SEARCH("Cape Verde",S2073)),"Cabo Verde",
ISNUMBER(SEARCH("Czechia",S2073)),"Czech Republic",
ISNUMBER(SEARCH("Türkiye",S2073)),"Turkey",
ISNUMBER(SEARCH("Ivory Coast",S2073)),"Côte d'Ivoire",
ISNUMBER(SEARCH("Korea Republic",S2073)),"South Korea",
ISNUMBER(SEARCH("Germany FR",S2073)),"FR Germany",
ISNUMBER(SEARCH("West Germany",S2073)),"FR Germany",
ISNUMBER(SEARCH("Germany DR",S2073)),"DR Germany",
ISNUMBER(SEARCH("Korea DPR",S2073)),"North Korea",
ISNUMBER(SEARCH("China PR",S2073)),"China",
ISNUMBER(SEARCH("IR Iran",S2073)),"Iran",
ISNUMBER(SEARCH("Congo DR",S2073)),"Democratic Republic of the Congo",
ISNUMBER(SEARCH("DR Congo",S2073)),"Democratic Republic of the Congo",
ISNUMBER(SEARCH("German DR",S2073)),"DR Germany",
ISNUMBER(SEARCH("rn""&gt;United Arab Emirates",S2073)),"United Arab Emirates",
ISNUMBER(SEARCH("rn""&gt;Republic of Ireland",S2073)),"Ireland",
ISNUMBER(SEARCH("rn""&gt;Bosnia and Herzegovina",S2073)),"Bosnia and Herzegovina",
ISNUMBER(SEARCH("rn""&gt;Trinidad and Tobago",S2073)),"Trinidad and Tobago",
ISNUMBER(SEARCH("rn""&gt;Serbia and Montenegro",S2073)),"Serbia and Montenegro",
ISNUMBER(SEARCH(_xlfn.UNICHAR(65533),S2073)),"Côte d'Ivoire",
TRUE,""
)</f>
        <v/>
      </c>
      <c r="W2073" s="12" t="str">
        <f t="shared" si="157"/>
        <v>Algeria</v>
      </c>
    </row>
    <row r="2074" spans="2:23">
      <c r="B2074" s="76" t="str">
        <v>1986.0</v>
      </c>
      <c r="C2074" s="42" t="str">
        <v xml:space="preserve">09 Jun 1986 - 12:00 </v>
      </c>
      <c r="D2074" s="42" t="str">
        <v>Group C</v>
      </c>
      <c r="E2074" s="42" t="str">
        <v>Estadio Irapuato</v>
      </c>
      <c r="F2074" s="42" t="str">
        <v xml:space="preserve">Irapuato </v>
      </c>
      <c r="G2074" s="42" t="str">
        <v>Soviet Union</v>
      </c>
      <c r="H2074" s="42" t="str">
        <v>2.0</v>
      </c>
      <c r="I2074" s="42" t="str">
        <v>0.0</v>
      </c>
      <c r="J2074" s="42" t="str">
        <v>Canada</v>
      </c>
      <c r="K2074" s="42" t="str">
        <v xml:space="preserve"> </v>
      </c>
      <c r="L2074" s="42" t="str">
        <f t="shared" si="158"/>
        <v xml:space="preserve">1986.0|09 Jun 1986 - 12:00 |Group C|Estadio Irapuato|Irapuato |Soviet Union|2.0|0.0|Canada| </v>
      </c>
      <c r="M2074" s="42" t="str">
        <f>IF(COUNTIF($L$1689:L2074,L2074)&gt;1,"DOUBLON","OK")</f>
        <v>OK</v>
      </c>
      <c r="S2074" s="12" t="str">
        <v>Algeria</v>
      </c>
      <c r="T2074" s="12" t="str">
        <f t="shared" si="155"/>
        <v>OK</v>
      </c>
      <c r="U2074" s="12" t="str">
        <f t="shared" si="156"/>
        <v>-</v>
      </c>
      <c r="V2074" s="12" t="str" cm="1">
        <f t="array" ref="V2074">_xlfn.IFS(
ISNUMBER(SEARCH("USA",S2074)),"United States",
ISNUMBER(SEARCH("Republic of Ireland",S2074)),"Ireland",
ISNUMBER(SEARCH("Republic of Korea",S2074)),"South Korea",
ISNUMBER(SEARCH("Cape Verde",S2074)),"Cabo Verde",
ISNUMBER(SEARCH("Czechia",S2074)),"Czech Republic",
ISNUMBER(SEARCH("Türkiye",S2074)),"Turkey",
ISNUMBER(SEARCH("Ivory Coast",S2074)),"Côte d'Ivoire",
ISNUMBER(SEARCH("Korea Republic",S2074)),"South Korea",
ISNUMBER(SEARCH("Germany FR",S2074)),"FR Germany",
ISNUMBER(SEARCH("West Germany",S2074)),"FR Germany",
ISNUMBER(SEARCH("Germany DR",S2074)),"DR Germany",
ISNUMBER(SEARCH("Korea DPR",S2074)),"North Korea",
ISNUMBER(SEARCH("China PR",S2074)),"China",
ISNUMBER(SEARCH("IR Iran",S2074)),"Iran",
ISNUMBER(SEARCH("Congo DR",S2074)),"Democratic Republic of the Congo",
ISNUMBER(SEARCH("DR Congo",S2074)),"Democratic Republic of the Congo",
ISNUMBER(SEARCH("German DR",S2074)),"DR Germany",
ISNUMBER(SEARCH("rn""&gt;United Arab Emirates",S2074)),"United Arab Emirates",
ISNUMBER(SEARCH("rn""&gt;Republic of Ireland",S2074)),"Ireland",
ISNUMBER(SEARCH("rn""&gt;Bosnia and Herzegovina",S2074)),"Bosnia and Herzegovina",
ISNUMBER(SEARCH("rn""&gt;Trinidad and Tobago",S2074)),"Trinidad and Tobago",
ISNUMBER(SEARCH("rn""&gt;Serbia and Montenegro",S2074)),"Serbia and Montenegro",
ISNUMBER(SEARCH(_xlfn.UNICHAR(65533),S2074)),"Côte d'Ivoire",
TRUE,""
)</f>
        <v/>
      </c>
      <c r="W2074" s="12" t="str">
        <f t="shared" si="157"/>
        <v>Algeria</v>
      </c>
    </row>
    <row r="2075" spans="2:23">
      <c r="B2075" s="76" t="str">
        <v>1986.0</v>
      </c>
      <c r="C2075" s="42" t="str">
        <v xml:space="preserve">10 Jun 1986 - 12:00 </v>
      </c>
      <c r="D2075" s="42" t="str">
        <v>Group A</v>
      </c>
      <c r="E2075" s="42" t="str">
        <v>Cuauhtemoc</v>
      </c>
      <c r="F2075" s="42" t="str">
        <v xml:space="preserve">Puebla </v>
      </c>
      <c r="G2075" s="42" t="str">
        <v>Korea Republic</v>
      </c>
      <c r="H2075" s="42" t="str">
        <v>2.0</v>
      </c>
      <c r="I2075" s="42" t="str">
        <v>3.0</v>
      </c>
      <c r="J2075" s="42" t="str">
        <v>Italy</v>
      </c>
      <c r="K2075" s="42" t="str">
        <v xml:space="preserve"> </v>
      </c>
      <c r="L2075" s="42" t="str">
        <f t="shared" si="158"/>
        <v xml:space="preserve">1986.0|10 Jun 1986 - 12:00 |Group A|Cuauhtemoc|Puebla |Korea Republic|2.0|3.0|Italy| </v>
      </c>
      <c r="M2075" s="42" t="str">
        <f>IF(COUNTIF($L$1689:L2075,L2075)&gt;1,"DOUBLON","OK")</f>
        <v>OK</v>
      </c>
      <c r="S2075" s="12" t="str">
        <v>Algeria</v>
      </c>
      <c r="T2075" s="12" t="str">
        <f t="shared" si="155"/>
        <v>OK</v>
      </c>
      <c r="U2075" s="12" t="str">
        <f t="shared" si="156"/>
        <v>-</v>
      </c>
      <c r="V2075" s="12" t="str" cm="1">
        <f t="array" ref="V2075">_xlfn.IFS(
ISNUMBER(SEARCH("USA",S2075)),"United States",
ISNUMBER(SEARCH("Republic of Ireland",S2075)),"Ireland",
ISNUMBER(SEARCH("Republic of Korea",S2075)),"South Korea",
ISNUMBER(SEARCH("Cape Verde",S2075)),"Cabo Verde",
ISNUMBER(SEARCH("Czechia",S2075)),"Czech Republic",
ISNUMBER(SEARCH("Türkiye",S2075)),"Turkey",
ISNUMBER(SEARCH("Ivory Coast",S2075)),"Côte d'Ivoire",
ISNUMBER(SEARCH("Korea Republic",S2075)),"South Korea",
ISNUMBER(SEARCH("Germany FR",S2075)),"FR Germany",
ISNUMBER(SEARCH("West Germany",S2075)),"FR Germany",
ISNUMBER(SEARCH("Germany DR",S2075)),"DR Germany",
ISNUMBER(SEARCH("Korea DPR",S2075)),"North Korea",
ISNUMBER(SEARCH("China PR",S2075)),"China",
ISNUMBER(SEARCH("IR Iran",S2075)),"Iran",
ISNUMBER(SEARCH("Congo DR",S2075)),"Democratic Republic of the Congo",
ISNUMBER(SEARCH("DR Congo",S2075)),"Democratic Republic of the Congo",
ISNUMBER(SEARCH("German DR",S2075)),"DR Germany",
ISNUMBER(SEARCH("rn""&gt;United Arab Emirates",S2075)),"United Arab Emirates",
ISNUMBER(SEARCH("rn""&gt;Republic of Ireland",S2075)),"Ireland",
ISNUMBER(SEARCH("rn""&gt;Bosnia and Herzegovina",S2075)),"Bosnia and Herzegovina",
ISNUMBER(SEARCH("rn""&gt;Trinidad and Tobago",S2075)),"Trinidad and Tobago",
ISNUMBER(SEARCH("rn""&gt;Serbia and Montenegro",S2075)),"Serbia and Montenegro",
ISNUMBER(SEARCH(_xlfn.UNICHAR(65533),S2075)),"Côte d'Ivoire",
TRUE,""
)</f>
        <v/>
      </c>
      <c r="W2075" s="12" t="str">
        <f t="shared" si="157"/>
        <v>Algeria</v>
      </c>
    </row>
    <row r="2076" spans="2:23">
      <c r="B2076" s="76" t="str">
        <v>1986.0</v>
      </c>
      <c r="C2076" s="42" t="str">
        <v xml:space="preserve">10 Jun 1986 - 12:00 </v>
      </c>
      <c r="D2076" s="42" t="str">
        <v>Group A</v>
      </c>
      <c r="E2076" s="42" t="str">
        <v>Estadio Ol�mpico Universitario</v>
      </c>
      <c r="F2076" s="42" t="str">
        <v xml:space="preserve">Mexico City </v>
      </c>
      <c r="G2076" s="42" t="str">
        <v>Argentina</v>
      </c>
      <c r="H2076" s="42" t="str">
        <v>2.0</v>
      </c>
      <c r="I2076" s="42" t="str">
        <v>0.0</v>
      </c>
      <c r="J2076" s="42" t="str">
        <v>Bulgaria</v>
      </c>
      <c r="K2076" s="42" t="str">
        <v xml:space="preserve"> </v>
      </c>
      <c r="L2076" s="42" t="str">
        <f t="shared" si="158"/>
        <v xml:space="preserve">1986.0|10 Jun 1986 - 12:00 |Group A|Estadio Ol�mpico Universitario|Mexico City |Argentina|2.0|0.0|Bulgaria| </v>
      </c>
      <c r="M2076" s="42" t="str">
        <f>IF(COUNTIF($L$1689:L2076,L2076)&gt;1,"DOUBLON","OK")</f>
        <v>OK</v>
      </c>
      <c r="S2076" s="12" t="str">
        <v>Algeria</v>
      </c>
      <c r="T2076" s="12" t="str">
        <f t="shared" si="155"/>
        <v>OK</v>
      </c>
      <c r="U2076" s="12" t="str">
        <f t="shared" si="156"/>
        <v>-</v>
      </c>
      <c r="V2076" s="12" t="str" cm="1">
        <f t="array" ref="V2076">_xlfn.IFS(
ISNUMBER(SEARCH("USA",S2076)),"United States",
ISNUMBER(SEARCH("Republic of Ireland",S2076)),"Ireland",
ISNUMBER(SEARCH("Republic of Korea",S2076)),"South Korea",
ISNUMBER(SEARCH("Cape Verde",S2076)),"Cabo Verde",
ISNUMBER(SEARCH("Czechia",S2076)),"Czech Republic",
ISNUMBER(SEARCH("Türkiye",S2076)),"Turkey",
ISNUMBER(SEARCH("Ivory Coast",S2076)),"Côte d'Ivoire",
ISNUMBER(SEARCH("Korea Republic",S2076)),"South Korea",
ISNUMBER(SEARCH("Germany FR",S2076)),"FR Germany",
ISNUMBER(SEARCH("West Germany",S2076)),"FR Germany",
ISNUMBER(SEARCH("Germany DR",S2076)),"DR Germany",
ISNUMBER(SEARCH("Korea DPR",S2076)),"North Korea",
ISNUMBER(SEARCH("China PR",S2076)),"China",
ISNUMBER(SEARCH("IR Iran",S2076)),"Iran",
ISNUMBER(SEARCH("Congo DR",S2076)),"Democratic Republic of the Congo",
ISNUMBER(SEARCH("DR Congo",S2076)),"Democratic Republic of the Congo",
ISNUMBER(SEARCH("German DR",S2076)),"DR Germany",
ISNUMBER(SEARCH("rn""&gt;United Arab Emirates",S2076)),"United Arab Emirates",
ISNUMBER(SEARCH("rn""&gt;Republic of Ireland",S2076)),"Ireland",
ISNUMBER(SEARCH("rn""&gt;Bosnia and Herzegovina",S2076)),"Bosnia and Herzegovina",
ISNUMBER(SEARCH("rn""&gt;Trinidad and Tobago",S2076)),"Trinidad and Tobago",
ISNUMBER(SEARCH("rn""&gt;Serbia and Montenegro",S2076)),"Serbia and Montenegro",
ISNUMBER(SEARCH(_xlfn.UNICHAR(65533),S2076)),"Côte d'Ivoire",
TRUE,""
)</f>
        <v/>
      </c>
      <c r="W2076" s="12" t="str">
        <f t="shared" si="157"/>
        <v>Algeria</v>
      </c>
    </row>
    <row r="2077" spans="2:23">
      <c r="B2077" s="76" t="str">
        <v>1986.0</v>
      </c>
      <c r="C2077" s="42" t="str">
        <v xml:space="preserve">11 Jun 1986 - 12:00 </v>
      </c>
      <c r="D2077" s="42" t="str">
        <v>Group B</v>
      </c>
      <c r="E2077" s="42" t="str">
        <v>Bombonera - Estadio Nemesio Diez</v>
      </c>
      <c r="F2077" s="42" t="str">
        <v xml:space="preserve">Toluca </v>
      </c>
      <c r="G2077" s="42" t="str">
        <v>Paraguay</v>
      </c>
      <c r="H2077" s="42" t="str">
        <v>2.0</v>
      </c>
      <c r="I2077" s="42" t="str">
        <v>2.0</v>
      </c>
      <c r="J2077" s="42" t="str">
        <v>Belgium</v>
      </c>
      <c r="K2077" s="42" t="str">
        <v xml:space="preserve"> </v>
      </c>
      <c r="L2077" s="42" t="str">
        <f t="shared" si="158"/>
        <v xml:space="preserve">1986.0|11 Jun 1986 - 12:00 |Group B|Bombonera - Estadio Nemesio Diez|Toluca |Paraguay|2.0|2.0|Belgium| </v>
      </c>
      <c r="M2077" s="42" t="str">
        <f>IF(COUNTIF($L$1689:L2077,L2077)&gt;1,"DOUBLON","OK")</f>
        <v>OK</v>
      </c>
      <c r="S2077" s="12" t="str">
        <v>Algeria</v>
      </c>
      <c r="T2077" s="12" t="str">
        <f t="shared" si="155"/>
        <v>OK</v>
      </c>
      <c r="U2077" s="12" t="str">
        <f t="shared" si="156"/>
        <v>-</v>
      </c>
      <c r="V2077" s="12" t="str" cm="1">
        <f t="array" ref="V2077">_xlfn.IFS(
ISNUMBER(SEARCH("USA",S2077)),"United States",
ISNUMBER(SEARCH("Republic of Ireland",S2077)),"Ireland",
ISNUMBER(SEARCH("Republic of Korea",S2077)),"South Korea",
ISNUMBER(SEARCH("Cape Verde",S2077)),"Cabo Verde",
ISNUMBER(SEARCH("Czechia",S2077)),"Czech Republic",
ISNUMBER(SEARCH("Türkiye",S2077)),"Turkey",
ISNUMBER(SEARCH("Ivory Coast",S2077)),"Côte d'Ivoire",
ISNUMBER(SEARCH("Korea Republic",S2077)),"South Korea",
ISNUMBER(SEARCH("Germany FR",S2077)),"FR Germany",
ISNUMBER(SEARCH("West Germany",S2077)),"FR Germany",
ISNUMBER(SEARCH("Germany DR",S2077)),"DR Germany",
ISNUMBER(SEARCH("Korea DPR",S2077)),"North Korea",
ISNUMBER(SEARCH("China PR",S2077)),"China",
ISNUMBER(SEARCH("IR Iran",S2077)),"Iran",
ISNUMBER(SEARCH("Congo DR",S2077)),"Democratic Republic of the Congo",
ISNUMBER(SEARCH("DR Congo",S2077)),"Democratic Republic of the Congo",
ISNUMBER(SEARCH("German DR",S2077)),"DR Germany",
ISNUMBER(SEARCH("rn""&gt;United Arab Emirates",S2077)),"United Arab Emirates",
ISNUMBER(SEARCH("rn""&gt;Republic of Ireland",S2077)),"Ireland",
ISNUMBER(SEARCH("rn""&gt;Bosnia and Herzegovina",S2077)),"Bosnia and Herzegovina",
ISNUMBER(SEARCH("rn""&gt;Trinidad and Tobago",S2077)),"Trinidad and Tobago",
ISNUMBER(SEARCH("rn""&gt;Serbia and Montenegro",S2077)),"Serbia and Montenegro",
ISNUMBER(SEARCH(_xlfn.UNICHAR(65533),S2077)),"Côte d'Ivoire",
TRUE,""
)</f>
        <v/>
      </c>
      <c r="W2077" s="12" t="str">
        <f t="shared" si="157"/>
        <v>Algeria</v>
      </c>
    </row>
    <row r="2078" spans="2:23">
      <c r="B2078" s="76" t="str">
        <v>1986.0</v>
      </c>
      <c r="C2078" s="42" t="str">
        <v xml:space="preserve">11 Jun 1986 - 12:00 </v>
      </c>
      <c r="D2078" s="42" t="str">
        <v>Group B</v>
      </c>
      <c r="E2078" s="42" t="str">
        <v>Estadio Azteca</v>
      </c>
      <c r="F2078" s="42" t="str">
        <v xml:space="preserve">Mexico City </v>
      </c>
      <c r="G2078" s="42" t="str">
        <v>Iraq</v>
      </c>
      <c r="H2078" s="42" t="str">
        <v>0.0</v>
      </c>
      <c r="I2078" s="42" t="str">
        <v>1.0</v>
      </c>
      <c r="J2078" s="42" t="str">
        <v>Mexico</v>
      </c>
      <c r="K2078" s="42" t="str">
        <v xml:space="preserve"> </v>
      </c>
      <c r="L2078" s="42" t="str">
        <f t="shared" si="158"/>
        <v xml:space="preserve">1986.0|11 Jun 1986 - 12:00 |Group B|Estadio Azteca|Mexico City |Iraq|0.0|1.0|Mexico| </v>
      </c>
      <c r="M2078" s="42" t="str">
        <f>IF(COUNTIF($L$1689:L2078,L2078)&gt;1,"DOUBLON","OK")</f>
        <v>OK</v>
      </c>
      <c r="S2078" s="12" t="str">
        <v>Algeria</v>
      </c>
      <c r="T2078" s="12" t="str">
        <f t="shared" si="155"/>
        <v>OK</v>
      </c>
      <c r="U2078" s="12" t="str">
        <f t="shared" si="156"/>
        <v>-</v>
      </c>
      <c r="V2078" s="12" t="str" cm="1">
        <f t="array" ref="V2078">_xlfn.IFS(
ISNUMBER(SEARCH("USA",S2078)),"United States",
ISNUMBER(SEARCH("Republic of Ireland",S2078)),"Ireland",
ISNUMBER(SEARCH("Republic of Korea",S2078)),"South Korea",
ISNUMBER(SEARCH("Cape Verde",S2078)),"Cabo Verde",
ISNUMBER(SEARCH("Czechia",S2078)),"Czech Republic",
ISNUMBER(SEARCH("Türkiye",S2078)),"Turkey",
ISNUMBER(SEARCH("Ivory Coast",S2078)),"Côte d'Ivoire",
ISNUMBER(SEARCH("Korea Republic",S2078)),"South Korea",
ISNUMBER(SEARCH("Germany FR",S2078)),"FR Germany",
ISNUMBER(SEARCH("West Germany",S2078)),"FR Germany",
ISNUMBER(SEARCH("Germany DR",S2078)),"DR Germany",
ISNUMBER(SEARCH("Korea DPR",S2078)),"North Korea",
ISNUMBER(SEARCH("China PR",S2078)),"China",
ISNUMBER(SEARCH("IR Iran",S2078)),"Iran",
ISNUMBER(SEARCH("Congo DR",S2078)),"Democratic Republic of the Congo",
ISNUMBER(SEARCH("DR Congo",S2078)),"Democratic Republic of the Congo",
ISNUMBER(SEARCH("German DR",S2078)),"DR Germany",
ISNUMBER(SEARCH("rn""&gt;United Arab Emirates",S2078)),"United Arab Emirates",
ISNUMBER(SEARCH("rn""&gt;Republic of Ireland",S2078)),"Ireland",
ISNUMBER(SEARCH("rn""&gt;Bosnia and Herzegovina",S2078)),"Bosnia and Herzegovina",
ISNUMBER(SEARCH("rn""&gt;Trinidad and Tobago",S2078)),"Trinidad and Tobago",
ISNUMBER(SEARCH("rn""&gt;Serbia and Montenegro",S2078)),"Serbia and Montenegro",
ISNUMBER(SEARCH(_xlfn.UNICHAR(65533),S2078)),"Côte d'Ivoire",
TRUE,""
)</f>
        <v/>
      </c>
      <c r="W2078" s="12" t="str">
        <f t="shared" si="157"/>
        <v>Algeria</v>
      </c>
    </row>
    <row r="2079" spans="2:23">
      <c r="B2079" s="76" t="str">
        <v>1986.0</v>
      </c>
      <c r="C2079" s="42" t="str">
        <v xml:space="preserve">11 Jun 1986 - 16:00 </v>
      </c>
      <c r="D2079" s="42" t="str">
        <v>Group F</v>
      </c>
      <c r="E2079" s="42" t="str">
        <v>Tres de Marzo</v>
      </c>
      <c r="F2079" s="42" t="str">
        <v xml:space="preserve">Guadalajara </v>
      </c>
      <c r="G2079" s="42" t="str">
        <v>Portugal</v>
      </c>
      <c r="H2079" s="42" t="str">
        <v>1.0</v>
      </c>
      <c r="I2079" s="42" t="str">
        <v>3.0</v>
      </c>
      <c r="J2079" s="42" t="str">
        <v>Morocco</v>
      </c>
      <c r="K2079" s="42" t="str">
        <v xml:space="preserve"> </v>
      </c>
      <c r="L2079" s="42" t="str">
        <f t="shared" si="158"/>
        <v xml:space="preserve">1986.0|11 Jun 1986 - 16:00 |Group F|Tres de Marzo|Guadalajara |Portugal|1.0|3.0|Morocco| </v>
      </c>
      <c r="M2079" s="42" t="str">
        <f>IF(COUNTIF($L$1689:L2079,L2079)&gt;1,"DOUBLON","OK")</f>
        <v>OK</v>
      </c>
      <c r="S2079" s="12" t="str">
        <v>Algeria</v>
      </c>
      <c r="T2079" s="12" t="str">
        <f t="shared" si="155"/>
        <v>OK</v>
      </c>
      <c r="U2079" s="12" t="str">
        <f t="shared" si="156"/>
        <v>-</v>
      </c>
      <c r="V2079" s="12" t="str" cm="1">
        <f t="array" ref="V2079">_xlfn.IFS(
ISNUMBER(SEARCH("USA",S2079)),"United States",
ISNUMBER(SEARCH("Republic of Ireland",S2079)),"Ireland",
ISNUMBER(SEARCH("Republic of Korea",S2079)),"South Korea",
ISNUMBER(SEARCH("Cape Verde",S2079)),"Cabo Verde",
ISNUMBER(SEARCH("Czechia",S2079)),"Czech Republic",
ISNUMBER(SEARCH("Türkiye",S2079)),"Turkey",
ISNUMBER(SEARCH("Ivory Coast",S2079)),"Côte d'Ivoire",
ISNUMBER(SEARCH("Korea Republic",S2079)),"South Korea",
ISNUMBER(SEARCH("Germany FR",S2079)),"FR Germany",
ISNUMBER(SEARCH("West Germany",S2079)),"FR Germany",
ISNUMBER(SEARCH("Germany DR",S2079)),"DR Germany",
ISNUMBER(SEARCH("Korea DPR",S2079)),"North Korea",
ISNUMBER(SEARCH("China PR",S2079)),"China",
ISNUMBER(SEARCH("IR Iran",S2079)),"Iran",
ISNUMBER(SEARCH("Congo DR",S2079)),"Democratic Republic of the Congo",
ISNUMBER(SEARCH("DR Congo",S2079)),"Democratic Republic of the Congo",
ISNUMBER(SEARCH("German DR",S2079)),"DR Germany",
ISNUMBER(SEARCH("rn""&gt;United Arab Emirates",S2079)),"United Arab Emirates",
ISNUMBER(SEARCH("rn""&gt;Republic of Ireland",S2079)),"Ireland",
ISNUMBER(SEARCH("rn""&gt;Bosnia and Herzegovina",S2079)),"Bosnia and Herzegovina",
ISNUMBER(SEARCH("rn""&gt;Trinidad and Tobago",S2079)),"Trinidad and Tobago",
ISNUMBER(SEARCH("rn""&gt;Serbia and Montenegro",S2079)),"Serbia and Montenegro",
ISNUMBER(SEARCH(_xlfn.UNICHAR(65533),S2079)),"Côte d'Ivoire",
TRUE,""
)</f>
        <v/>
      </c>
      <c r="W2079" s="12" t="str">
        <f t="shared" si="157"/>
        <v>Algeria</v>
      </c>
    </row>
    <row r="2080" spans="2:23">
      <c r="B2080" s="76" t="str">
        <v>1986.0</v>
      </c>
      <c r="C2080" s="42" t="str">
        <v xml:space="preserve">11 Jun 1986 - 16:00 </v>
      </c>
      <c r="D2080" s="42" t="str">
        <v>Group F</v>
      </c>
      <c r="E2080" s="42" t="str">
        <v>Tecnologico</v>
      </c>
      <c r="F2080" s="42" t="str">
        <v xml:space="preserve">Monterrey </v>
      </c>
      <c r="G2080" s="42" t="str">
        <v>England</v>
      </c>
      <c r="H2080" s="42" t="str">
        <v>3.0</v>
      </c>
      <c r="I2080" s="42" t="str">
        <v>0.0</v>
      </c>
      <c r="J2080" s="42" t="str">
        <v>Poland</v>
      </c>
      <c r="K2080" s="42" t="str">
        <v xml:space="preserve"> </v>
      </c>
      <c r="L2080" s="42" t="str">
        <f t="shared" si="158"/>
        <v xml:space="preserve">1986.0|11 Jun 1986 - 16:00 |Group F|Tecnologico|Monterrey |England|3.0|0.0|Poland| </v>
      </c>
      <c r="M2080" s="42" t="str">
        <f>IF(COUNTIF($L$1689:L2080,L2080)&gt;1,"DOUBLON","OK")</f>
        <v>OK</v>
      </c>
      <c r="S2080" s="12" t="str">
        <v>Algeria</v>
      </c>
      <c r="T2080" s="12" t="str">
        <f t="shared" si="155"/>
        <v>OK</v>
      </c>
      <c r="U2080" s="12" t="str">
        <f t="shared" si="156"/>
        <v>-</v>
      </c>
      <c r="V2080" s="12" t="str" cm="1">
        <f t="array" ref="V2080">_xlfn.IFS(
ISNUMBER(SEARCH("USA",S2080)),"United States",
ISNUMBER(SEARCH("Republic of Ireland",S2080)),"Ireland",
ISNUMBER(SEARCH("Republic of Korea",S2080)),"South Korea",
ISNUMBER(SEARCH("Cape Verde",S2080)),"Cabo Verde",
ISNUMBER(SEARCH("Czechia",S2080)),"Czech Republic",
ISNUMBER(SEARCH("Türkiye",S2080)),"Turkey",
ISNUMBER(SEARCH("Ivory Coast",S2080)),"Côte d'Ivoire",
ISNUMBER(SEARCH("Korea Republic",S2080)),"South Korea",
ISNUMBER(SEARCH("Germany FR",S2080)),"FR Germany",
ISNUMBER(SEARCH("West Germany",S2080)),"FR Germany",
ISNUMBER(SEARCH("Germany DR",S2080)),"DR Germany",
ISNUMBER(SEARCH("Korea DPR",S2080)),"North Korea",
ISNUMBER(SEARCH("China PR",S2080)),"China",
ISNUMBER(SEARCH("IR Iran",S2080)),"Iran",
ISNUMBER(SEARCH("Congo DR",S2080)),"Democratic Republic of the Congo",
ISNUMBER(SEARCH("DR Congo",S2080)),"Democratic Republic of the Congo",
ISNUMBER(SEARCH("German DR",S2080)),"DR Germany",
ISNUMBER(SEARCH("rn""&gt;United Arab Emirates",S2080)),"United Arab Emirates",
ISNUMBER(SEARCH("rn""&gt;Republic of Ireland",S2080)),"Ireland",
ISNUMBER(SEARCH("rn""&gt;Bosnia and Herzegovina",S2080)),"Bosnia and Herzegovina",
ISNUMBER(SEARCH("rn""&gt;Trinidad and Tobago",S2080)),"Trinidad and Tobago",
ISNUMBER(SEARCH("rn""&gt;Serbia and Montenegro",S2080)),"Serbia and Montenegro",
ISNUMBER(SEARCH(_xlfn.UNICHAR(65533),S2080)),"Côte d'Ivoire",
TRUE,""
)</f>
        <v/>
      </c>
      <c r="W2080" s="12" t="str">
        <f t="shared" si="157"/>
        <v>Algeria</v>
      </c>
    </row>
    <row r="2081" spans="2:23">
      <c r="B2081" s="76" t="str">
        <v>1986.0</v>
      </c>
      <c r="C2081" s="42" t="str">
        <v xml:space="preserve">12 Jun 1986 - 12:00 </v>
      </c>
      <c r="D2081" s="42" t="str">
        <v>Group D</v>
      </c>
      <c r="E2081" s="42" t="str">
        <v>Jalisco</v>
      </c>
      <c r="F2081" s="42" t="str">
        <v xml:space="preserve">Guadalajara </v>
      </c>
      <c r="G2081" s="42" t="str">
        <v>Northern Ireland</v>
      </c>
      <c r="H2081" s="42" t="str">
        <v>0.0</v>
      </c>
      <c r="I2081" s="42" t="str">
        <v>3.0</v>
      </c>
      <c r="J2081" s="42" t="str">
        <v>Brazil</v>
      </c>
      <c r="K2081" s="42" t="str">
        <v xml:space="preserve"> </v>
      </c>
      <c r="L2081" s="42" t="str">
        <f t="shared" si="158"/>
        <v xml:space="preserve">1986.0|12 Jun 1986 - 12:00 |Group D|Jalisco|Guadalajara |Northern Ireland|0.0|3.0|Brazil| </v>
      </c>
      <c r="M2081" s="42" t="str">
        <f>IF(COUNTIF($L$1689:L2081,L2081)&gt;1,"DOUBLON","OK")</f>
        <v>OK</v>
      </c>
      <c r="S2081" s="12" t="str">
        <v>Algeria</v>
      </c>
      <c r="T2081" s="12" t="str">
        <f t="shared" ref="T2081:T2144" si="159">IF(COUNTIF(R$13:R$250,S2081)=1,"OK","ERREUR")</f>
        <v>OK</v>
      </c>
      <c r="U2081" s="12" t="str">
        <f t="shared" si="156"/>
        <v>-</v>
      </c>
      <c r="V2081" s="12" t="str" cm="1">
        <f t="array" ref="V2081">_xlfn.IFS(
ISNUMBER(SEARCH("USA",S2081)),"United States",
ISNUMBER(SEARCH("Republic of Ireland",S2081)),"Ireland",
ISNUMBER(SEARCH("Republic of Korea",S2081)),"South Korea",
ISNUMBER(SEARCH("Cape Verde",S2081)),"Cabo Verde",
ISNUMBER(SEARCH("Czechia",S2081)),"Czech Republic",
ISNUMBER(SEARCH("Türkiye",S2081)),"Turkey",
ISNUMBER(SEARCH("Ivory Coast",S2081)),"Côte d'Ivoire",
ISNUMBER(SEARCH("Korea Republic",S2081)),"South Korea",
ISNUMBER(SEARCH("Germany FR",S2081)),"FR Germany",
ISNUMBER(SEARCH("West Germany",S2081)),"FR Germany",
ISNUMBER(SEARCH("Germany DR",S2081)),"DR Germany",
ISNUMBER(SEARCH("Korea DPR",S2081)),"North Korea",
ISNUMBER(SEARCH("China PR",S2081)),"China",
ISNUMBER(SEARCH("IR Iran",S2081)),"Iran",
ISNUMBER(SEARCH("Congo DR",S2081)),"Democratic Republic of the Congo",
ISNUMBER(SEARCH("DR Congo",S2081)),"Democratic Republic of the Congo",
ISNUMBER(SEARCH("German DR",S2081)),"DR Germany",
ISNUMBER(SEARCH("rn""&gt;United Arab Emirates",S2081)),"United Arab Emirates",
ISNUMBER(SEARCH("rn""&gt;Republic of Ireland",S2081)),"Ireland",
ISNUMBER(SEARCH("rn""&gt;Bosnia and Herzegovina",S2081)),"Bosnia and Herzegovina",
ISNUMBER(SEARCH("rn""&gt;Trinidad and Tobago",S2081)),"Trinidad and Tobago",
ISNUMBER(SEARCH("rn""&gt;Serbia and Montenegro",S2081)),"Serbia and Montenegro",
ISNUMBER(SEARCH(_xlfn.UNICHAR(65533),S2081)),"Côte d'Ivoire",
TRUE,""
)</f>
        <v/>
      </c>
      <c r="W2081" s="12" t="str">
        <f t="shared" si="157"/>
        <v>Algeria</v>
      </c>
    </row>
    <row r="2082" spans="2:23">
      <c r="B2082" s="76" t="str">
        <v>1986.0</v>
      </c>
      <c r="C2082" s="42" t="str">
        <v xml:space="preserve">12 Jun 1986 - 12:00 </v>
      </c>
      <c r="D2082" s="42" t="str">
        <v>Group D</v>
      </c>
      <c r="E2082" s="42" t="str">
        <v>Tecnologico</v>
      </c>
      <c r="F2082" s="42" t="str">
        <v xml:space="preserve">Monterrey </v>
      </c>
      <c r="G2082" s="42" t="str">
        <v>Algeria</v>
      </c>
      <c r="H2082" s="42" t="str">
        <v>0.0</v>
      </c>
      <c r="I2082" s="42" t="str">
        <v>3.0</v>
      </c>
      <c r="J2082" s="42" t="str">
        <v>Spain</v>
      </c>
      <c r="K2082" s="42" t="str">
        <v xml:space="preserve"> </v>
      </c>
      <c r="L2082" s="42" t="str">
        <f t="shared" si="158"/>
        <v xml:space="preserve">1986.0|12 Jun 1986 - 12:00 |Group D|Tecnologico|Monterrey |Algeria|0.0|3.0|Spain| </v>
      </c>
      <c r="M2082" s="42" t="str">
        <f>IF(COUNTIF($L$1689:L2082,L2082)&gt;1,"DOUBLON","OK")</f>
        <v>OK</v>
      </c>
      <c r="S2082" s="12" t="str">
        <v>Algeria</v>
      </c>
      <c r="T2082" s="12" t="str">
        <f t="shared" si="159"/>
        <v>OK</v>
      </c>
      <c r="U2082" s="12" t="str">
        <f t="shared" ref="U2082:U2145" si="160">IF(OR(S2082="Scotland",S2082="England",S2082="Wales",S2082="Yugoslavia",S2082="Czechoslovakia",S2082="Northern Ireland",S2082="Soviet Union",S2082="Zaire",S2082="Dutch East Indies"),"AUCUNE",IF(OR(S2082="Cape Verde",S2082="USA",S2082="DR Congo",S2082="Republic of Korea",S2082="Germany FR",S2082="Germany DR",S2082="Czechia",S2082="Ivory Coast",S2082="Korea DPR",S2082="China PR",S2082="IR Iran",S2082="Türkiye",S2082="Congo DR",S2082="German DR",S2082="West Germany",S2082="Republic of Ireland",ISNUMBER(SEARCH("rn""&gt;United Arab Emirates",S2082)),ISNUMBER(SEARCH("rn""&gt;Republic of Ireland",S2082)),ISNUMBER(SEARCH("rn""&gt;Bosnia and Herzegovina",S2082)),ISNUMBER(SEARCH("rn""&gt;Trinidad and Tobago",S2082)),ISNUMBER(SEARCH("rn""&gt;Serbia and Montenegro",S2082)),ISNUMBER(SEARCH(_xlfn.UNICHAR(65533),S2082))),"RENOMMER","-"))</f>
        <v>-</v>
      </c>
      <c r="V2082" s="12" t="str" cm="1">
        <f t="array" ref="V2082">_xlfn.IFS(
ISNUMBER(SEARCH("USA",S2082)),"United States",
ISNUMBER(SEARCH("Republic of Ireland",S2082)),"Ireland",
ISNUMBER(SEARCH("Republic of Korea",S2082)),"South Korea",
ISNUMBER(SEARCH("Cape Verde",S2082)),"Cabo Verde",
ISNUMBER(SEARCH("Czechia",S2082)),"Czech Republic",
ISNUMBER(SEARCH("Türkiye",S2082)),"Turkey",
ISNUMBER(SEARCH("Ivory Coast",S2082)),"Côte d'Ivoire",
ISNUMBER(SEARCH("Korea Republic",S2082)),"South Korea",
ISNUMBER(SEARCH("Germany FR",S2082)),"FR Germany",
ISNUMBER(SEARCH("West Germany",S2082)),"FR Germany",
ISNUMBER(SEARCH("Germany DR",S2082)),"DR Germany",
ISNUMBER(SEARCH("Korea DPR",S2082)),"North Korea",
ISNUMBER(SEARCH("China PR",S2082)),"China",
ISNUMBER(SEARCH("IR Iran",S2082)),"Iran",
ISNUMBER(SEARCH("Congo DR",S2082)),"Democratic Republic of the Congo",
ISNUMBER(SEARCH("DR Congo",S2082)),"Democratic Republic of the Congo",
ISNUMBER(SEARCH("German DR",S2082)),"DR Germany",
ISNUMBER(SEARCH("rn""&gt;United Arab Emirates",S2082)),"United Arab Emirates",
ISNUMBER(SEARCH("rn""&gt;Republic of Ireland",S2082)),"Ireland",
ISNUMBER(SEARCH("rn""&gt;Bosnia and Herzegovina",S2082)),"Bosnia and Herzegovina",
ISNUMBER(SEARCH("rn""&gt;Trinidad and Tobago",S2082)),"Trinidad and Tobago",
ISNUMBER(SEARCH("rn""&gt;Serbia and Montenegro",S2082)),"Serbia and Montenegro",
ISNUMBER(SEARCH(_xlfn.UNICHAR(65533),S2082)),"Côte d'Ivoire",
TRUE,""
)</f>
        <v/>
      </c>
      <c r="W2082" s="12" t="str">
        <f t="shared" ref="W2082:W2145" si="161">IF(V2082="",S2082,V2082)</f>
        <v>Algeria</v>
      </c>
    </row>
    <row r="2083" spans="2:23">
      <c r="B2083" s="76" t="str">
        <v>1986.0</v>
      </c>
      <c r="C2083" s="42" t="str">
        <v xml:space="preserve">13 Jun 1986 - 12:00 </v>
      </c>
      <c r="D2083" s="42" t="str">
        <v>Group E</v>
      </c>
      <c r="E2083" s="42" t="str">
        <v>Neza</v>
      </c>
      <c r="F2083" s="42" t="str">
        <v xml:space="preserve">Nezahualcoyotl </v>
      </c>
      <c r="G2083" s="42" t="str">
        <v>Scotland</v>
      </c>
      <c r="H2083" s="42" t="str">
        <v>0.0</v>
      </c>
      <c r="I2083" s="42" t="str">
        <v>0.0</v>
      </c>
      <c r="J2083" s="42" t="str">
        <v>Uruguay</v>
      </c>
      <c r="K2083" s="42" t="str">
        <v xml:space="preserve"> </v>
      </c>
      <c r="L2083" s="42" t="str">
        <f t="shared" si="158"/>
        <v xml:space="preserve">1986.0|13 Jun 1986 - 12:00 |Group E|Neza|Nezahualcoyotl |Scotland|0.0|0.0|Uruguay| </v>
      </c>
      <c r="M2083" s="42" t="str">
        <f>IF(COUNTIF($L$1689:L2083,L2083)&gt;1,"DOUBLON","OK")</f>
        <v>OK</v>
      </c>
      <c r="S2083" s="12" t="str">
        <v>Argentina</v>
      </c>
      <c r="T2083" s="12" t="str">
        <f t="shared" si="159"/>
        <v>OK</v>
      </c>
      <c r="U2083" s="12" t="str">
        <f t="shared" si="160"/>
        <v>-</v>
      </c>
      <c r="V2083" s="12" t="str" cm="1">
        <f t="array" ref="V2083">_xlfn.IFS(
ISNUMBER(SEARCH("USA",S2083)),"United States",
ISNUMBER(SEARCH("Republic of Ireland",S2083)),"Ireland",
ISNUMBER(SEARCH("Republic of Korea",S2083)),"South Korea",
ISNUMBER(SEARCH("Cape Verde",S2083)),"Cabo Verde",
ISNUMBER(SEARCH("Czechia",S2083)),"Czech Republic",
ISNUMBER(SEARCH("Türkiye",S2083)),"Turkey",
ISNUMBER(SEARCH("Ivory Coast",S2083)),"Côte d'Ivoire",
ISNUMBER(SEARCH("Korea Republic",S2083)),"South Korea",
ISNUMBER(SEARCH("Germany FR",S2083)),"FR Germany",
ISNUMBER(SEARCH("West Germany",S2083)),"FR Germany",
ISNUMBER(SEARCH("Germany DR",S2083)),"DR Germany",
ISNUMBER(SEARCH("Korea DPR",S2083)),"North Korea",
ISNUMBER(SEARCH("China PR",S2083)),"China",
ISNUMBER(SEARCH("IR Iran",S2083)),"Iran",
ISNUMBER(SEARCH("Congo DR",S2083)),"Democratic Republic of the Congo",
ISNUMBER(SEARCH("DR Congo",S2083)),"Democratic Republic of the Congo",
ISNUMBER(SEARCH("German DR",S2083)),"DR Germany",
ISNUMBER(SEARCH("rn""&gt;United Arab Emirates",S2083)),"United Arab Emirates",
ISNUMBER(SEARCH("rn""&gt;Republic of Ireland",S2083)),"Ireland",
ISNUMBER(SEARCH("rn""&gt;Bosnia and Herzegovina",S2083)),"Bosnia and Herzegovina",
ISNUMBER(SEARCH("rn""&gt;Trinidad and Tobago",S2083)),"Trinidad and Tobago",
ISNUMBER(SEARCH("rn""&gt;Serbia and Montenegro",S2083)),"Serbia and Montenegro",
ISNUMBER(SEARCH(_xlfn.UNICHAR(65533),S2083)),"Côte d'Ivoire",
TRUE,""
)</f>
        <v/>
      </c>
      <c r="W2083" s="12" t="str">
        <f t="shared" si="161"/>
        <v>Argentina</v>
      </c>
    </row>
    <row r="2084" spans="2:23">
      <c r="B2084" s="76" t="str">
        <v>1986.0</v>
      </c>
      <c r="C2084" s="42" t="str">
        <v xml:space="preserve">13 Jun 1986 - 12:00 </v>
      </c>
      <c r="D2084" s="42" t="str">
        <v>Group E</v>
      </c>
      <c r="E2084" s="42" t="str">
        <v>Estadio Corregidora</v>
      </c>
      <c r="F2084" s="42" t="str">
        <v xml:space="preserve">Queretaro </v>
      </c>
      <c r="G2084" s="42" t="str">
        <v>Denmark</v>
      </c>
      <c r="H2084" s="42" t="str">
        <v>2.0</v>
      </c>
      <c r="I2084" s="42" t="str">
        <v>0.0</v>
      </c>
      <c r="J2084" s="42" t="str">
        <v>Germany FR</v>
      </c>
      <c r="K2084" s="42" t="str">
        <v xml:space="preserve"> </v>
      </c>
      <c r="L2084" s="42" t="str">
        <f t="shared" si="158"/>
        <v xml:space="preserve">1986.0|13 Jun 1986 - 12:00 |Group E|Estadio Corregidora|Queretaro |Denmark|2.0|0.0|Germany FR| </v>
      </c>
      <c r="M2084" s="42" t="str">
        <f>IF(COUNTIF($L$1689:L2084,L2084)&gt;1,"DOUBLON","OK")</f>
        <v>OK</v>
      </c>
      <c r="S2084" s="12" t="str">
        <v>Argentina</v>
      </c>
      <c r="T2084" s="12" t="str">
        <f t="shared" si="159"/>
        <v>OK</v>
      </c>
      <c r="U2084" s="12" t="str">
        <f t="shared" si="160"/>
        <v>-</v>
      </c>
      <c r="V2084" s="12" t="str" cm="1">
        <f t="array" ref="V2084">_xlfn.IFS(
ISNUMBER(SEARCH("USA",S2084)),"United States",
ISNUMBER(SEARCH("Republic of Ireland",S2084)),"Ireland",
ISNUMBER(SEARCH("Republic of Korea",S2084)),"South Korea",
ISNUMBER(SEARCH("Cape Verde",S2084)),"Cabo Verde",
ISNUMBER(SEARCH("Czechia",S2084)),"Czech Republic",
ISNUMBER(SEARCH("Türkiye",S2084)),"Turkey",
ISNUMBER(SEARCH("Ivory Coast",S2084)),"Côte d'Ivoire",
ISNUMBER(SEARCH("Korea Republic",S2084)),"South Korea",
ISNUMBER(SEARCH("Germany FR",S2084)),"FR Germany",
ISNUMBER(SEARCH("West Germany",S2084)),"FR Germany",
ISNUMBER(SEARCH("Germany DR",S2084)),"DR Germany",
ISNUMBER(SEARCH("Korea DPR",S2084)),"North Korea",
ISNUMBER(SEARCH("China PR",S2084)),"China",
ISNUMBER(SEARCH("IR Iran",S2084)),"Iran",
ISNUMBER(SEARCH("Congo DR",S2084)),"Democratic Republic of the Congo",
ISNUMBER(SEARCH("DR Congo",S2084)),"Democratic Republic of the Congo",
ISNUMBER(SEARCH("German DR",S2084)),"DR Germany",
ISNUMBER(SEARCH("rn""&gt;United Arab Emirates",S2084)),"United Arab Emirates",
ISNUMBER(SEARCH("rn""&gt;Republic of Ireland",S2084)),"Ireland",
ISNUMBER(SEARCH("rn""&gt;Bosnia and Herzegovina",S2084)),"Bosnia and Herzegovina",
ISNUMBER(SEARCH("rn""&gt;Trinidad and Tobago",S2084)),"Trinidad and Tobago",
ISNUMBER(SEARCH("rn""&gt;Serbia and Montenegro",S2084)),"Serbia and Montenegro",
ISNUMBER(SEARCH(_xlfn.UNICHAR(65533),S2084)),"Côte d'Ivoire",
TRUE,""
)</f>
        <v/>
      </c>
      <c r="W2084" s="12" t="str">
        <f t="shared" si="161"/>
        <v>Argentina</v>
      </c>
    </row>
    <row r="2085" spans="2:23">
      <c r="B2085" s="76" t="str">
        <v>1986.0</v>
      </c>
      <c r="C2085" s="42" t="str">
        <v xml:space="preserve">15 Jun 1986 - 16:00 </v>
      </c>
      <c r="D2085" s="42" t="str">
        <v>Round of 16</v>
      </c>
      <c r="E2085" s="42" t="str">
        <v>Nou Camp - Estadio Le�n</v>
      </c>
      <c r="F2085" s="42" t="str">
        <v xml:space="preserve">Leon </v>
      </c>
      <c r="G2085" s="42" t="str">
        <v>Soviet Union</v>
      </c>
      <c r="H2085" s="42" t="str">
        <v>3.0</v>
      </c>
      <c r="I2085" s="42" t="str">
        <v>4.0</v>
      </c>
      <c r="J2085" s="42" t="str">
        <v>Belgium</v>
      </c>
      <c r="K2085" s="42" t="str">
        <v xml:space="preserve">Belgium win after extra time </v>
      </c>
      <c r="L2085" s="42" t="str">
        <f t="shared" si="158"/>
        <v xml:space="preserve">1986.0|15 Jun 1986 - 16:00 |Round of 16|Nou Camp - Estadio Le�n|Leon |Soviet Union|3.0|4.0|Belgium|Belgium win after extra time </v>
      </c>
      <c r="M2085" s="42" t="str">
        <f>IF(COUNTIF($L$1689:L2085,L2085)&gt;1,"DOUBLON","OK")</f>
        <v>OK</v>
      </c>
      <c r="S2085" s="12" t="str">
        <v>Argentina</v>
      </c>
      <c r="T2085" s="12" t="str">
        <f t="shared" si="159"/>
        <v>OK</v>
      </c>
      <c r="U2085" s="12" t="str">
        <f t="shared" si="160"/>
        <v>-</v>
      </c>
      <c r="V2085" s="12" t="str" cm="1">
        <f t="array" ref="V2085">_xlfn.IFS(
ISNUMBER(SEARCH("USA",S2085)),"United States",
ISNUMBER(SEARCH("Republic of Ireland",S2085)),"Ireland",
ISNUMBER(SEARCH("Republic of Korea",S2085)),"South Korea",
ISNUMBER(SEARCH("Cape Verde",S2085)),"Cabo Verde",
ISNUMBER(SEARCH("Czechia",S2085)),"Czech Republic",
ISNUMBER(SEARCH("Türkiye",S2085)),"Turkey",
ISNUMBER(SEARCH("Ivory Coast",S2085)),"Côte d'Ivoire",
ISNUMBER(SEARCH("Korea Republic",S2085)),"South Korea",
ISNUMBER(SEARCH("Germany FR",S2085)),"FR Germany",
ISNUMBER(SEARCH("West Germany",S2085)),"FR Germany",
ISNUMBER(SEARCH("Germany DR",S2085)),"DR Germany",
ISNUMBER(SEARCH("Korea DPR",S2085)),"North Korea",
ISNUMBER(SEARCH("China PR",S2085)),"China",
ISNUMBER(SEARCH("IR Iran",S2085)),"Iran",
ISNUMBER(SEARCH("Congo DR",S2085)),"Democratic Republic of the Congo",
ISNUMBER(SEARCH("DR Congo",S2085)),"Democratic Republic of the Congo",
ISNUMBER(SEARCH("German DR",S2085)),"DR Germany",
ISNUMBER(SEARCH("rn""&gt;United Arab Emirates",S2085)),"United Arab Emirates",
ISNUMBER(SEARCH("rn""&gt;Republic of Ireland",S2085)),"Ireland",
ISNUMBER(SEARCH("rn""&gt;Bosnia and Herzegovina",S2085)),"Bosnia and Herzegovina",
ISNUMBER(SEARCH("rn""&gt;Trinidad and Tobago",S2085)),"Trinidad and Tobago",
ISNUMBER(SEARCH("rn""&gt;Serbia and Montenegro",S2085)),"Serbia and Montenegro",
ISNUMBER(SEARCH(_xlfn.UNICHAR(65533),S2085)),"Côte d'Ivoire",
TRUE,""
)</f>
        <v/>
      </c>
      <c r="W2085" s="12" t="str">
        <f t="shared" si="161"/>
        <v>Argentina</v>
      </c>
    </row>
    <row r="2086" spans="2:23">
      <c r="B2086" s="76" t="str">
        <v>1986.0</v>
      </c>
      <c r="C2086" s="42" t="str">
        <v xml:space="preserve">15 Jun 1986 - 12:00 </v>
      </c>
      <c r="D2086" s="42" t="str">
        <v>Round of 16</v>
      </c>
      <c r="E2086" s="42" t="str">
        <v>Estadio Azteca</v>
      </c>
      <c r="F2086" s="42" t="str">
        <v xml:space="preserve">Mexico City </v>
      </c>
      <c r="G2086" s="42" t="str">
        <v>Mexico</v>
      </c>
      <c r="H2086" s="42" t="str">
        <v>2.0</v>
      </c>
      <c r="I2086" s="42" t="str">
        <v>0.0</v>
      </c>
      <c r="J2086" s="42" t="str">
        <v>Bulgaria</v>
      </c>
      <c r="K2086" s="42" t="str">
        <v xml:space="preserve"> </v>
      </c>
      <c r="L2086" s="42" t="str">
        <f t="shared" si="158"/>
        <v xml:space="preserve">1986.0|15 Jun 1986 - 12:00 |Round of 16|Estadio Azteca|Mexico City |Mexico|2.0|0.0|Bulgaria| </v>
      </c>
      <c r="M2086" s="42" t="str">
        <f>IF(COUNTIF($L$1689:L2086,L2086)&gt;1,"DOUBLON","OK")</f>
        <v>OK</v>
      </c>
      <c r="S2086" s="12" t="str">
        <v>Argentina</v>
      </c>
      <c r="T2086" s="12" t="str">
        <f t="shared" si="159"/>
        <v>OK</v>
      </c>
      <c r="U2086" s="12" t="str">
        <f t="shared" si="160"/>
        <v>-</v>
      </c>
      <c r="V2086" s="12" t="str" cm="1">
        <f t="array" ref="V2086">_xlfn.IFS(
ISNUMBER(SEARCH("USA",S2086)),"United States",
ISNUMBER(SEARCH("Republic of Ireland",S2086)),"Ireland",
ISNUMBER(SEARCH("Republic of Korea",S2086)),"South Korea",
ISNUMBER(SEARCH("Cape Verde",S2086)),"Cabo Verde",
ISNUMBER(SEARCH("Czechia",S2086)),"Czech Republic",
ISNUMBER(SEARCH("Türkiye",S2086)),"Turkey",
ISNUMBER(SEARCH("Ivory Coast",S2086)),"Côte d'Ivoire",
ISNUMBER(SEARCH("Korea Republic",S2086)),"South Korea",
ISNUMBER(SEARCH("Germany FR",S2086)),"FR Germany",
ISNUMBER(SEARCH("West Germany",S2086)),"FR Germany",
ISNUMBER(SEARCH("Germany DR",S2086)),"DR Germany",
ISNUMBER(SEARCH("Korea DPR",S2086)),"North Korea",
ISNUMBER(SEARCH("China PR",S2086)),"China",
ISNUMBER(SEARCH("IR Iran",S2086)),"Iran",
ISNUMBER(SEARCH("Congo DR",S2086)),"Democratic Republic of the Congo",
ISNUMBER(SEARCH("DR Congo",S2086)),"Democratic Republic of the Congo",
ISNUMBER(SEARCH("German DR",S2086)),"DR Germany",
ISNUMBER(SEARCH("rn""&gt;United Arab Emirates",S2086)),"United Arab Emirates",
ISNUMBER(SEARCH("rn""&gt;Republic of Ireland",S2086)),"Ireland",
ISNUMBER(SEARCH("rn""&gt;Bosnia and Herzegovina",S2086)),"Bosnia and Herzegovina",
ISNUMBER(SEARCH("rn""&gt;Trinidad and Tobago",S2086)),"Trinidad and Tobago",
ISNUMBER(SEARCH("rn""&gt;Serbia and Montenegro",S2086)),"Serbia and Montenegro",
ISNUMBER(SEARCH(_xlfn.UNICHAR(65533),S2086)),"Côte d'Ivoire",
TRUE,""
)</f>
        <v/>
      </c>
      <c r="W2086" s="12" t="str">
        <f t="shared" si="161"/>
        <v>Argentina</v>
      </c>
    </row>
    <row r="2087" spans="2:23">
      <c r="B2087" s="76" t="str">
        <v>1986.0</v>
      </c>
      <c r="C2087" s="42" t="str">
        <v xml:space="preserve">16 Jun 1986 - 16:00 </v>
      </c>
      <c r="D2087" s="42" t="str">
        <v>Round of 16</v>
      </c>
      <c r="E2087" s="42" t="str">
        <v>Cuauhtemoc</v>
      </c>
      <c r="F2087" s="42" t="str">
        <v xml:space="preserve">Puebla </v>
      </c>
      <c r="G2087" s="42" t="str">
        <v>Argentina</v>
      </c>
      <c r="H2087" s="42" t="str">
        <v>1.0</v>
      </c>
      <c r="I2087" s="42" t="str">
        <v>0.0</v>
      </c>
      <c r="J2087" s="42" t="str">
        <v>Uruguay</v>
      </c>
      <c r="K2087" s="42" t="str">
        <v xml:space="preserve"> </v>
      </c>
      <c r="L2087" s="42" t="str">
        <f t="shared" si="158"/>
        <v xml:space="preserve">1986.0|16 Jun 1986 - 16:00 |Round of 16|Cuauhtemoc|Puebla |Argentina|1.0|0.0|Uruguay| </v>
      </c>
      <c r="M2087" s="42" t="str">
        <f>IF(COUNTIF($L$1689:L2087,L2087)&gt;1,"DOUBLON","OK")</f>
        <v>OK</v>
      </c>
      <c r="S2087" s="12" t="str">
        <v>Argentina</v>
      </c>
      <c r="T2087" s="12" t="str">
        <f t="shared" si="159"/>
        <v>OK</v>
      </c>
      <c r="U2087" s="12" t="str">
        <f t="shared" si="160"/>
        <v>-</v>
      </c>
      <c r="V2087" s="12" t="str" cm="1">
        <f t="array" ref="V2087">_xlfn.IFS(
ISNUMBER(SEARCH("USA",S2087)),"United States",
ISNUMBER(SEARCH("Republic of Ireland",S2087)),"Ireland",
ISNUMBER(SEARCH("Republic of Korea",S2087)),"South Korea",
ISNUMBER(SEARCH("Cape Verde",S2087)),"Cabo Verde",
ISNUMBER(SEARCH("Czechia",S2087)),"Czech Republic",
ISNUMBER(SEARCH("Türkiye",S2087)),"Turkey",
ISNUMBER(SEARCH("Ivory Coast",S2087)),"Côte d'Ivoire",
ISNUMBER(SEARCH("Korea Republic",S2087)),"South Korea",
ISNUMBER(SEARCH("Germany FR",S2087)),"FR Germany",
ISNUMBER(SEARCH("West Germany",S2087)),"FR Germany",
ISNUMBER(SEARCH("Germany DR",S2087)),"DR Germany",
ISNUMBER(SEARCH("Korea DPR",S2087)),"North Korea",
ISNUMBER(SEARCH("China PR",S2087)),"China",
ISNUMBER(SEARCH("IR Iran",S2087)),"Iran",
ISNUMBER(SEARCH("Congo DR",S2087)),"Democratic Republic of the Congo",
ISNUMBER(SEARCH("DR Congo",S2087)),"Democratic Republic of the Congo",
ISNUMBER(SEARCH("German DR",S2087)),"DR Germany",
ISNUMBER(SEARCH("rn""&gt;United Arab Emirates",S2087)),"United Arab Emirates",
ISNUMBER(SEARCH("rn""&gt;Republic of Ireland",S2087)),"Ireland",
ISNUMBER(SEARCH("rn""&gt;Bosnia and Herzegovina",S2087)),"Bosnia and Herzegovina",
ISNUMBER(SEARCH("rn""&gt;Trinidad and Tobago",S2087)),"Trinidad and Tobago",
ISNUMBER(SEARCH("rn""&gt;Serbia and Montenegro",S2087)),"Serbia and Montenegro",
ISNUMBER(SEARCH(_xlfn.UNICHAR(65533),S2087)),"Côte d'Ivoire",
TRUE,""
)</f>
        <v/>
      </c>
      <c r="W2087" s="12" t="str">
        <f t="shared" si="161"/>
        <v>Argentina</v>
      </c>
    </row>
    <row r="2088" spans="2:23">
      <c r="B2088" s="76" t="str">
        <v>1986.0</v>
      </c>
      <c r="C2088" s="42" t="str">
        <v xml:space="preserve">16 Jun 1986 - 12:00 </v>
      </c>
      <c r="D2088" s="42" t="str">
        <v>Round of 16</v>
      </c>
      <c r="E2088" s="42" t="str">
        <v>Jalisco</v>
      </c>
      <c r="F2088" s="42" t="str">
        <v xml:space="preserve">Guadalajara </v>
      </c>
      <c r="G2088" s="42" t="str">
        <v>Brazil</v>
      </c>
      <c r="H2088" s="42" t="str">
        <v>4.0</v>
      </c>
      <c r="I2088" s="42" t="str">
        <v>0.0</v>
      </c>
      <c r="J2088" s="42" t="str">
        <v>Poland</v>
      </c>
      <c r="K2088" s="42" t="str">
        <v xml:space="preserve"> </v>
      </c>
      <c r="L2088" s="42" t="str">
        <f t="shared" si="158"/>
        <v xml:space="preserve">1986.0|16 Jun 1986 - 12:00 |Round of 16|Jalisco|Guadalajara |Brazil|4.0|0.0|Poland| </v>
      </c>
      <c r="M2088" s="42" t="str">
        <f>IF(COUNTIF($L$1689:L2088,L2088)&gt;1,"DOUBLON","OK")</f>
        <v>OK</v>
      </c>
      <c r="S2088" s="12" t="str">
        <v>Argentina</v>
      </c>
      <c r="T2088" s="12" t="str">
        <f t="shared" si="159"/>
        <v>OK</v>
      </c>
      <c r="U2088" s="12" t="str">
        <f t="shared" si="160"/>
        <v>-</v>
      </c>
      <c r="V2088" s="12" t="str" cm="1">
        <f t="array" ref="V2088">_xlfn.IFS(
ISNUMBER(SEARCH("USA",S2088)),"United States",
ISNUMBER(SEARCH("Republic of Ireland",S2088)),"Ireland",
ISNUMBER(SEARCH("Republic of Korea",S2088)),"South Korea",
ISNUMBER(SEARCH("Cape Verde",S2088)),"Cabo Verde",
ISNUMBER(SEARCH("Czechia",S2088)),"Czech Republic",
ISNUMBER(SEARCH("Türkiye",S2088)),"Turkey",
ISNUMBER(SEARCH("Ivory Coast",S2088)),"Côte d'Ivoire",
ISNUMBER(SEARCH("Korea Republic",S2088)),"South Korea",
ISNUMBER(SEARCH("Germany FR",S2088)),"FR Germany",
ISNUMBER(SEARCH("West Germany",S2088)),"FR Germany",
ISNUMBER(SEARCH("Germany DR",S2088)),"DR Germany",
ISNUMBER(SEARCH("Korea DPR",S2088)),"North Korea",
ISNUMBER(SEARCH("China PR",S2088)),"China",
ISNUMBER(SEARCH("IR Iran",S2088)),"Iran",
ISNUMBER(SEARCH("Congo DR",S2088)),"Democratic Republic of the Congo",
ISNUMBER(SEARCH("DR Congo",S2088)),"Democratic Republic of the Congo",
ISNUMBER(SEARCH("German DR",S2088)),"DR Germany",
ISNUMBER(SEARCH("rn""&gt;United Arab Emirates",S2088)),"United Arab Emirates",
ISNUMBER(SEARCH("rn""&gt;Republic of Ireland",S2088)),"Ireland",
ISNUMBER(SEARCH("rn""&gt;Bosnia and Herzegovina",S2088)),"Bosnia and Herzegovina",
ISNUMBER(SEARCH("rn""&gt;Trinidad and Tobago",S2088)),"Trinidad and Tobago",
ISNUMBER(SEARCH("rn""&gt;Serbia and Montenegro",S2088)),"Serbia and Montenegro",
ISNUMBER(SEARCH(_xlfn.UNICHAR(65533),S2088)),"Côte d'Ivoire",
TRUE,""
)</f>
        <v/>
      </c>
      <c r="W2088" s="12" t="str">
        <f t="shared" si="161"/>
        <v>Argentina</v>
      </c>
    </row>
    <row r="2089" spans="2:23">
      <c r="B2089" s="76" t="str">
        <v>1986.0</v>
      </c>
      <c r="C2089" s="42" t="str">
        <v xml:space="preserve">17 Jun 1986 - 12:00 </v>
      </c>
      <c r="D2089" s="42" t="str">
        <v>Round of 16</v>
      </c>
      <c r="E2089" s="42" t="str">
        <v>Estadio Ol�mpico Universitario</v>
      </c>
      <c r="F2089" s="42" t="str">
        <v xml:space="preserve">Mexico City </v>
      </c>
      <c r="G2089" s="42" t="str">
        <v>Italy</v>
      </c>
      <c r="H2089" s="42" t="str">
        <v>0.0</v>
      </c>
      <c r="I2089" s="42" t="str">
        <v>2.0</v>
      </c>
      <c r="J2089" s="42" t="str">
        <v>France</v>
      </c>
      <c r="K2089" s="42" t="str">
        <v xml:space="preserve"> </v>
      </c>
      <c r="L2089" s="42" t="str">
        <f t="shared" si="158"/>
        <v xml:space="preserve">1986.0|17 Jun 1986 - 12:00 |Round of 16|Estadio Ol�mpico Universitario|Mexico City |Italy|0.0|2.0|France| </v>
      </c>
      <c r="M2089" s="42" t="str">
        <f>IF(COUNTIF($L$1689:L2089,L2089)&gt;1,"DOUBLON","OK")</f>
        <v>OK</v>
      </c>
      <c r="S2089" s="12" t="str">
        <v>Argentina</v>
      </c>
      <c r="T2089" s="12" t="str">
        <f t="shared" si="159"/>
        <v>OK</v>
      </c>
      <c r="U2089" s="12" t="str">
        <f t="shared" si="160"/>
        <v>-</v>
      </c>
      <c r="V2089" s="12" t="str" cm="1">
        <f t="array" ref="V2089">_xlfn.IFS(
ISNUMBER(SEARCH("USA",S2089)),"United States",
ISNUMBER(SEARCH("Republic of Ireland",S2089)),"Ireland",
ISNUMBER(SEARCH("Republic of Korea",S2089)),"South Korea",
ISNUMBER(SEARCH("Cape Verde",S2089)),"Cabo Verde",
ISNUMBER(SEARCH("Czechia",S2089)),"Czech Republic",
ISNUMBER(SEARCH("Türkiye",S2089)),"Turkey",
ISNUMBER(SEARCH("Ivory Coast",S2089)),"Côte d'Ivoire",
ISNUMBER(SEARCH("Korea Republic",S2089)),"South Korea",
ISNUMBER(SEARCH("Germany FR",S2089)),"FR Germany",
ISNUMBER(SEARCH("West Germany",S2089)),"FR Germany",
ISNUMBER(SEARCH("Germany DR",S2089)),"DR Germany",
ISNUMBER(SEARCH("Korea DPR",S2089)),"North Korea",
ISNUMBER(SEARCH("China PR",S2089)),"China",
ISNUMBER(SEARCH("IR Iran",S2089)),"Iran",
ISNUMBER(SEARCH("Congo DR",S2089)),"Democratic Republic of the Congo",
ISNUMBER(SEARCH("DR Congo",S2089)),"Democratic Republic of the Congo",
ISNUMBER(SEARCH("German DR",S2089)),"DR Germany",
ISNUMBER(SEARCH("rn""&gt;United Arab Emirates",S2089)),"United Arab Emirates",
ISNUMBER(SEARCH("rn""&gt;Republic of Ireland",S2089)),"Ireland",
ISNUMBER(SEARCH("rn""&gt;Bosnia and Herzegovina",S2089)),"Bosnia and Herzegovina",
ISNUMBER(SEARCH("rn""&gt;Trinidad and Tobago",S2089)),"Trinidad and Tobago",
ISNUMBER(SEARCH("rn""&gt;Serbia and Montenegro",S2089)),"Serbia and Montenegro",
ISNUMBER(SEARCH(_xlfn.UNICHAR(65533),S2089)),"Côte d'Ivoire",
TRUE,""
)</f>
        <v/>
      </c>
      <c r="W2089" s="12" t="str">
        <f t="shared" si="161"/>
        <v>Argentina</v>
      </c>
    </row>
    <row r="2090" spans="2:23">
      <c r="B2090" s="76" t="str">
        <v>1986.0</v>
      </c>
      <c r="C2090" s="42" t="str">
        <v xml:space="preserve">17 Jun 1986 - 16:00 </v>
      </c>
      <c r="D2090" s="42" t="str">
        <v>Round of 16</v>
      </c>
      <c r="E2090" s="42" t="str">
        <v>Estadio Universitario</v>
      </c>
      <c r="F2090" s="42" t="str">
        <v xml:space="preserve">Monterrey </v>
      </c>
      <c r="G2090" s="42" t="str">
        <v>Morocco</v>
      </c>
      <c r="H2090" s="42" t="str">
        <v>0.0</v>
      </c>
      <c r="I2090" s="42" t="str">
        <v>1.0</v>
      </c>
      <c r="J2090" s="42" t="str">
        <v>Germany FR</v>
      </c>
      <c r="K2090" s="42" t="str">
        <v xml:space="preserve"> </v>
      </c>
      <c r="L2090" s="42" t="str">
        <f t="shared" si="158"/>
        <v xml:space="preserve">1986.0|17 Jun 1986 - 16:00 |Round of 16|Estadio Universitario|Monterrey |Morocco|0.0|1.0|Germany FR| </v>
      </c>
      <c r="M2090" s="42" t="str">
        <f>IF(COUNTIF($L$1689:L2090,L2090)&gt;1,"DOUBLON","OK")</f>
        <v>OK</v>
      </c>
      <c r="S2090" s="12" t="str">
        <v>Argentina</v>
      </c>
      <c r="T2090" s="12" t="str">
        <f t="shared" si="159"/>
        <v>OK</v>
      </c>
      <c r="U2090" s="12" t="str">
        <f t="shared" si="160"/>
        <v>-</v>
      </c>
      <c r="V2090" s="12" t="str" cm="1">
        <f t="array" ref="V2090">_xlfn.IFS(
ISNUMBER(SEARCH("USA",S2090)),"United States",
ISNUMBER(SEARCH("Republic of Ireland",S2090)),"Ireland",
ISNUMBER(SEARCH("Republic of Korea",S2090)),"South Korea",
ISNUMBER(SEARCH("Cape Verde",S2090)),"Cabo Verde",
ISNUMBER(SEARCH("Czechia",S2090)),"Czech Republic",
ISNUMBER(SEARCH("Türkiye",S2090)),"Turkey",
ISNUMBER(SEARCH("Ivory Coast",S2090)),"Côte d'Ivoire",
ISNUMBER(SEARCH("Korea Republic",S2090)),"South Korea",
ISNUMBER(SEARCH("Germany FR",S2090)),"FR Germany",
ISNUMBER(SEARCH("West Germany",S2090)),"FR Germany",
ISNUMBER(SEARCH("Germany DR",S2090)),"DR Germany",
ISNUMBER(SEARCH("Korea DPR",S2090)),"North Korea",
ISNUMBER(SEARCH("China PR",S2090)),"China",
ISNUMBER(SEARCH("IR Iran",S2090)),"Iran",
ISNUMBER(SEARCH("Congo DR",S2090)),"Democratic Republic of the Congo",
ISNUMBER(SEARCH("DR Congo",S2090)),"Democratic Republic of the Congo",
ISNUMBER(SEARCH("German DR",S2090)),"DR Germany",
ISNUMBER(SEARCH("rn""&gt;United Arab Emirates",S2090)),"United Arab Emirates",
ISNUMBER(SEARCH("rn""&gt;Republic of Ireland",S2090)),"Ireland",
ISNUMBER(SEARCH("rn""&gt;Bosnia and Herzegovina",S2090)),"Bosnia and Herzegovina",
ISNUMBER(SEARCH("rn""&gt;Trinidad and Tobago",S2090)),"Trinidad and Tobago",
ISNUMBER(SEARCH("rn""&gt;Serbia and Montenegro",S2090)),"Serbia and Montenegro",
ISNUMBER(SEARCH(_xlfn.UNICHAR(65533),S2090)),"Côte d'Ivoire",
TRUE,""
)</f>
        <v/>
      </c>
      <c r="W2090" s="12" t="str">
        <f t="shared" si="161"/>
        <v>Argentina</v>
      </c>
    </row>
    <row r="2091" spans="2:23">
      <c r="B2091" s="76" t="str">
        <v>1986.0</v>
      </c>
      <c r="C2091" s="42" t="str">
        <v xml:space="preserve">18 Jun 1986 - 12:00 </v>
      </c>
      <c r="D2091" s="42" t="str">
        <v>Round of 16</v>
      </c>
      <c r="E2091" s="42" t="str">
        <v>Estadio Azteca</v>
      </c>
      <c r="F2091" s="42" t="str">
        <v xml:space="preserve">Mexico City </v>
      </c>
      <c r="G2091" s="42" t="str">
        <v>England</v>
      </c>
      <c r="H2091" s="42" t="str">
        <v>3.0</v>
      </c>
      <c r="I2091" s="42" t="str">
        <v>0.0</v>
      </c>
      <c r="J2091" s="42" t="str">
        <v>Paraguay</v>
      </c>
      <c r="K2091" s="42" t="str">
        <v xml:space="preserve"> </v>
      </c>
      <c r="L2091" s="42" t="str">
        <f t="shared" si="158"/>
        <v xml:space="preserve">1986.0|18 Jun 1986 - 12:00 |Round of 16|Estadio Azteca|Mexico City |England|3.0|0.0|Paraguay| </v>
      </c>
      <c r="M2091" s="42" t="str">
        <f>IF(COUNTIF($L$1689:L2091,L2091)&gt;1,"DOUBLON","OK")</f>
        <v>OK</v>
      </c>
      <c r="S2091" s="12" t="str">
        <v>Argentina</v>
      </c>
      <c r="T2091" s="12" t="str">
        <f t="shared" si="159"/>
        <v>OK</v>
      </c>
      <c r="U2091" s="12" t="str">
        <f t="shared" si="160"/>
        <v>-</v>
      </c>
      <c r="V2091" s="12" t="str" cm="1">
        <f t="array" ref="V2091">_xlfn.IFS(
ISNUMBER(SEARCH("USA",S2091)),"United States",
ISNUMBER(SEARCH("Republic of Ireland",S2091)),"Ireland",
ISNUMBER(SEARCH("Republic of Korea",S2091)),"South Korea",
ISNUMBER(SEARCH("Cape Verde",S2091)),"Cabo Verde",
ISNUMBER(SEARCH("Czechia",S2091)),"Czech Republic",
ISNUMBER(SEARCH("Türkiye",S2091)),"Turkey",
ISNUMBER(SEARCH("Ivory Coast",S2091)),"Côte d'Ivoire",
ISNUMBER(SEARCH("Korea Republic",S2091)),"South Korea",
ISNUMBER(SEARCH("Germany FR",S2091)),"FR Germany",
ISNUMBER(SEARCH("West Germany",S2091)),"FR Germany",
ISNUMBER(SEARCH("Germany DR",S2091)),"DR Germany",
ISNUMBER(SEARCH("Korea DPR",S2091)),"North Korea",
ISNUMBER(SEARCH("China PR",S2091)),"China",
ISNUMBER(SEARCH("IR Iran",S2091)),"Iran",
ISNUMBER(SEARCH("Congo DR",S2091)),"Democratic Republic of the Congo",
ISNUMBER(SEARCH("DR Congo",S2091)),"Democratic Republic of the Congo",
ISNUMBER(SEARCH("German DR",S2091)),"DR Germany",
ISNUMBER(SEARCH("rn""&gt;United Arab Emirates",S2091)),"United Arab Emirates",
ISNUMBER(SEARCH("rn""&gt;Republic of Ireland",S2091)),"Ireland",
ISNUMBER(SEARCH("rn""&gt;Bosnia and Herzegovina",S2091)),"Bosnia and Herzegovina",
ISNUMBER(SEARCH("rn""&gt;Trinidad and Tobago",S2091)),"Trinidad and Tobago",
ISNUMBER(SEARCH("rn""&gt;Serbia and Montenegro",S2091)),"Serbia and Montenegro",
ISNUMBER(SEARCH(_xlfn.UNICHAR(65533),S2091)),"Côte d'Ivoire",
TRUE,""
)</f>
        <v/>
      </c>
      <c r="W2091" s="12" t="str">
        <f t="shared" si="161"/>
        <v>Argentina</v>
      </c>
    </row>
    <row r="2092" spans="2:23">
      <c r="B2092" s="76" t="str">
        <v>1986.0</v>
      </c>
      <c r="C2092" s="42" t="str">
        <v xml:space="preserve">18 Jun 1986 - 16:00 </v>
      </c>
      <c r="D2092" s="42" t="str">
        <v>Round of 16</v>
      </c>
      <c r="E2092" s="42" t="str">
        <v>Estadio Corregidora</v>
      </c>
      <c r="F2092" s="42" t="str">
        <v xml:space="preserve">Queretaro </v>
      </c>
      <c r="G2092" s="42" t="str">
        <v>Denmark</v>
      </c>
      <c r="H2092" s="42" t="str">
        <v>1.0</v>
      </c>
      <c r="I2092" s="42" t="str">
        <v>5.0</v>
      </c>
      <c r="J2092" s="42" t="str">
        <v>Spain</v>
      </c>
      <c r="K2092" s="42" t="str">
        <v xml:space="preserve"> </v>
      </c>
      <c r="L2092" s="42" t="str">
        <f t="shared" si="158"/>
        <v xml:space="preserve">1986.0|18 Jun 1986 - 16:00 |Round of 16|Estadio Corregidora|Queretaro |Denmark|1.0|5.0|Spain| </v>
      </c>
      <c r="M2092" s="42" t="str">
        <f>IF(COUNTIF($L$1689:L2092,L2092)&gt;1,"DOUBLON","OK")</f>
        <v>OK</v>
      </c>
      <c r="S2092" s="12" t="str">
        <v>Argentina</v>
      </c>
      <c r="T2092" s="12" t="str">
        <f t="shared" si="159"/>
        <v>OK</v>
      </c>
      <c r="U2092" s="12" t="str">
        <f t="shared" si="160"/>
        <v>-</v>
      </c>
      <c r="V2092" s="12" t="str" cm="1">
        <f t="array" ref="V2092">_xlfn.IFS(
ISNUMBER(SEARCH("USA",S2092)),"United States",
ISNUMBER(SEARCH("Republic of Ireland",S2092)),"Ireland",
ISNUMBER(SEARCH("Republic of Korea",S2092)),"South Korea",
ISNUMBER(SEARCH("Cape Verde",S2092)),"Cabo Verde",
ISNUMBER(SEARCH("Czechia",S2092)),"Czech Republic",
ISNUMBER(SEARCH("Türkiye",S2092)),"Turkey",
ISNUMBER(SEARCH("Ivory Coast",S2092)),"Côte d'Ivoire",
ISNUMBER(SEARCH("Korea Republic",S2092)),"South Korea",
ISNUMBER(SEARCH("Germany FR",S2092)),"FR Germany",
ISNUMBER(SEARCH("West Germany",S2092)),"FR Germany",
ISNUMBER(SEARCH("Germany DR",S2092)),"DR Germany",
ISNUMBER(SEARCH("Korea DPR",S2092)),"North Korea",
ISNUMBER(SEARCH("China PR",S2092)),"China",
ISNUMBER(SEARCH("IR Iran",S2092)),"Iran",
ISNUMBER(SEARCH("Congo DR",S2092)),"Democratic Republic of the Congo",
ISNUMBER(SEARCH("DR Congo",S2092)),"Democratic Republic of the Congo",
ISNUMBER(SEARCH("German DR",S2092)),"DR Germany",
ISNUMBER(SEARCH("rn""&gt;United Arab Emirates",S2092)),"United Arab Emirates",
ISNUMBER(SEARCH("rn""&gt;Republic of Ireland",S2092)),"Ireland",
ISNUMBER(SEARCH("rn""&gt;Bosnia and Herzegovina",S2092)),"Bosnia and Herzegovina",
ISNUMBER(SEARCH("rn""&gt;Trinidad and Tobago",S2092)),"Trinidad and Tobago",
ISNUMBER(SEARCH("rn""&gt;Serbia and Montenegro",S2092)),"Serbia and Montenegro",
ISNUMBER(SEARCH(_xlfn.UNICHAR(65533),S2092)),"Côte d'Ivoire",
TRUE,""
)</f>
        <v/>
      </c>
      <c r="W2092" s="12" t="str">
        <f t="shared" si="161"/>
        <v>Argentina</v>
      </c>
    </row>
    <row r="2093" spans="2:23">
      <c r="B2093" s="76" t="str">
        <v>1986.0</v>
      </c>
      <c r="C2093" s="42" t="str">
        <v xml:space="preserve">21 Jun 1986 - 12:00 </v>
      </c>
      <c r="D2093" s="42" t="str">
        <v>Quarter-finals</v>
      </c>
      <c r="E2093" s="42" t="str">
        <v>Jalisco</v>
      </c>
      <c r="F2093" s="42" t="str">
        <v xml:space="preserve">Guadalajara </v>
      </c>
      <c r="G2093" s="42" t="str">
        <v>Brazil</v>
      </c>
      <c r="H2093" s="42" t="str">
        <v>1.0</v>
      </c>
      <c r="I2093" s="42" t="str">
        <v>1.0</v>
      </c>
      <c r="J2093" s="42" t="str">
        <v>France</v>
      </c>
      <c r="K2093" s="42" t="str">
        <v xml:space="preserve">France win on penalties (3 - 4) </v>
      </c>
      <c r="L2093" s="42" t="str">
        <f t="shared" si="158"/>
        <v xml:space="preserve">1986.0|21 Jun 1986 - 12:00 |Quarter-finals|Jalisco|Guadalajara |Brazil|1.0|1.0|France|France win on penalties (3 - 4) </v>
      </c>
      <c r="M2093" s="42" t="str">
        <f>IF(COUNTIF($L$1689:L2093,L2093)&gt;1,"DOUBLON","OK")</f>
        <v>OK</v>
      </c>
      <c r="S2093" s="12" t="str">
        <v>Argentina</v>
      </c>
      <c r="T2093" s="12" t="str">
        <f t="shared" si="159"/>
        <v>OK</v>
      </c>
      <c r="U2093" s="12" t="str">
        <f t="shared" si="160"/>
        <v>-</v>
      </c>
      <c r="V2093" s="12" t="str" cm="1">
        <f t="array" ref="V2093">_xlfn.IFS(
ISNUMBER(SEARCH("USA",S2093)),"United States",
ISNUMBER(SEARCH("Republic of Ireland",S2093)),"Ireland",
ISNUMBER(SEARCH("Republic of Korea",S2093)),"South Korea",
ISNUMBER(SEARCH("Cape Verde",S2093)),"Cabo Verde",
ISNUMBER(SEARCH("Czechia",S2093)),"Czech Republic",
ISNUMBER(SEARCH("Türkiye",S2093)),"Turkey",
ISNUMBER(SEARCH("Ivory Coast",S2093)),"Côte d'Ivoire",
ISNUMBER(SEARCH("Korea Republic",S2093)),"South Korea",
ISNUMBER(SEARCH("Germany FR",S2093)),"FR Germany",
ISNUMBER(SEARCH("West Germany",S2093)),"FR Germany",
ISNUMBER(SEARCH("Germany DR",S2093)),"DR Germany",
ISNUMBER(SEARCH("Korea DPR",S2093)),"North Korea",
ISNUMBER(SEARCH("China PR",S2093)),"China",
ISNUMBER(SEARCH("IR Iran",S2093)),"Iran",
ISNUMBER(SEARCH("Congo DR",S2093)),"Democratic Republic of the Congo",
ISNUMBER(SEARCH("DR Congo",S2093)),"Democratic Republic of the Congo",
ISNUMBER(SEARCH("German DR",S2093)),"DR Germany",
ISNUMBER(SEARCH("rn""&gt;United Arab Emirates",S2093)),"United Arab Emirates",
ISNUMBER(SEARCH("rn""&gt;Republic of Ireland",S2093)),"Ireland",
ISNUMBER(SEARCH("rn""&gt;Bosnia and Herzegovina",S2093)),"Bosnia and Herzegovina",
ISNUMBER(SEARCH("rn""&gt;Trinidad and Tobago",S2093)),"Trinidad and Tobago",
ISNUMBER(SEARCH("rn""&gt;Serbia and Montenegro",S2093)),"Serbia and Montenegro",
ISNUMBER(SEARCH(_xlfn.UNICHAR(65533),S2093)),"Côte d'Ivoire",
TRUE,""
)</f>
        <v/>
      </c>
      <c r="W2093" s="12" t="str">
        <f t="shared" si="161"/>
        <v>Argentina</v>
      </c>
    </row>
    <row r="2094" spans="2:23">
      <c r="B2094" s="76" t="str">
        <v>1986.0</v>
      </c>
      <c r="C2094" s="42" t="str">
        <v xml:space="preserve">21 Jun 1986 - 16:00 </v>
      </c>
      <c r="D2094" s="42" t="str">
        <v>Quarter-finals</v>
      </c>
      <c r="E2094" s="42" t="str">
        <v>Estadio Universitario</v>
      </c>
      <c r="F2094" s="42" t="str">
        <v xml:space="preserve">Monterrey </v>
      </c>
      <c r="G2094" s="42" t="str">
        <v>Germany FR</v>
      </c>
      <c r="H2094" s="42" t="str">
        <v>0.0</v>
      </c>
      <c r="I2094" s="42" t="str">
        <v>0.0</v>
      </c>
      <c r="J2094" s="42" t="str">
        <v>Mexico</v>
      </c>
      <c r="K2094" s="42" t="str">
        <v xml:space="preserve">Germany FR win on penalties (4 - 1) </v>
      </c>
      <c r="L2094" s="42" t="str">
        <f t="shared" si="158"/>
        <v xml:space="preserve">1986.0|21 Jun 1986 - 16:00 |Quarter-finals|Estadio Universitario|Monterrey |Germany FR|0.0|0.0|Mexico|Germany FR win on penalties (4 - 1) </v>
      </c>
      <c r="M2094" s="42" t="str">
        <f>IF(COUNTIF($L$1689:L2094,L2094)&gt;1,"DOUBLON","OK")</f>
        <v>OK</v>
      </c>
      <c r="S2094" s="12" t="str">
        <v>Argentina</v>
      </c>
      <c r="T2094" s="12" t="str">
        <f t="shared" si="159"/>
        <v>OK</v>
      </c>
      <c r="U2094" s="12" t="str">
        <f t="shared" si="160"/>
        <v>-</v>
      </c>
      <c r="V2094" s="12" t="str" cm="1">
        <f t="array" ref="V2094">_xlfn.IFS(
ISNUMBER(SEARCH("USA",S2094)),"United States",
ISNUMBER(SEARCH("Republic of Ireland",S2094)),"Ireland",
ISNUMBER(SEARCH("Republic of Korea",S2094)),"South Korea",
ISNUMBER(SEARCH("Cape Verde",S2094)),"Cabo Verde",
ISNUMBER(SEARCH("Czechia",S2094)),"Czech Republic",
ISNUMBER(SEARCH("Türkiye",S2094)),"Turkey",
ISNUMBER(SEARCH("Ivory Coast",S2094)),"Côte d'Ivoire",
ISNUMBER(SEARCH("Korea Republic",S2094)),"South Korea",
ISNUMBER(SEARCH("Germany FR",S2094)),"FR Germany",
ISNUMBER(SEARCH("West Germany",S2094)),"FR Germany",
ISNUMBER(SEARCH("Germany DR",S2094)),"DR Germany",
ISNUMBER(SEARCH("Korea DPR",S2094)),"North Korea",
ISNUMBER(SEARCH("China PR",S2094)),"China",
ISNUMBER(SEARCH("IR Iran",S2094)),"Iran",
ISNUMBER(SEARCH("Congo DR",S2094)),"Democratic Republic of the Congo",
ISNUMBER(SEARCH("DR Congo",S2094)),"Democratic Republic of the Congo",
ISNUMBER(SEARCH("German DR",S2094)),"DR Germany",
ISNUMBER(SEARCH("rn""&gt;United Arab Emirates",S2094)),"United Arab Emirates",
ISNUMBER(SEARCH("rn""&gt;Republic of Ireland",S2094)),"Ireland",
ISNUMBER(SEARCH("rn""&gt;Bosnia and Herzegovina",S2094)),"Bosnia and Herzegovina",
ISNUMBER(SEARCH("rn""&gt;Trinidad and Tobago",S2094)),"Trinidad and Tobago",
ISNUMBER(SEARCH("rn""&gt;Serbia and Montenegro",S2094)),"Serbia and Montenegro",
ISNUMBER(SEARCH(_xlfn.UNICHAR(65533),S2094)),"Côte d'Ivoire",
TRUE,""
)</f>
        <v/>
      </c>
      <c r="W2094" s="12" t="str">
        <f t="shared" si="161"/>
        <v>Argentina</v>
      </c>
    </row>
    <row r="2095" spans="2:23">
      <c r="B2095" s="76" t="str">
        <v>1986.0</v>
      </c>
      <c r="C2095" s="42" t="str">
        <v xml:space="preserve">22 Jun 1986 - 16:00 </v>
      </c>
      <c r="D2095" s="42" t="str">
        <v>Quarter-finals</v>
      </c>
      <c r="E2095" s="42" t="str">
        <v>Cuauhtemoc</v>
      </c>
      <c r="F2095" s="42" t="str">
        <v xml:space="preserve">Puebla </v>
      </c>
      <c r="G2095" s="42" t="str">
        <v>Spain</v>
      </c>
      <c r="H2095" s="42" t="str">
        <v>1.0</v>
      </c>
      <c r="I2095" s="42" t="str">
        <v>1.0</v>
      </c>
      <c r="J2095" s="42" t="str">
        <v>Belgium</v>
      </c>
      <c r="K2095" s="42" t="str">
        <v xml:space="preserve">Belgium win on penalties (4 - 5) </v>
      </c>
      <c r="L2095" s="42" t="str">
        <f t="shared" si="158"/>
        <v xml:space="preserve">1986.0|22 Jun 1986 - 16:00 |Quarter-finals|Cuauhtemoc|Puebla |Spain|1.0|1.0|Belgium|Belgium win on penalties (4 - 5) </v>
      </c>
      <c r="M2095" s="42" t="str">
        <f>IF(COUNTIF($L$1689:L2095,L2095)&gt;1,"DOUBLON","OK")</f>
        <v>OK</v>
      </c>
      <c r="S2095" s="12" t="str">
        <v>Argentina</v>
      </c>
      <c r="T2095" s="12" t="str">
        <f t="shared" si="159"/>
        <v>OK</v>
      </c>
      <c r="U2095" s="12" t="str">
        <f t="shared" si="160"/>
        <v>-</v>
      </c>
      <c r="V2095" s="12" t="str" cm="1">
        <f t="array" ref="V2095">_xlfn.IFS(
ISNUMBER(SEARCH("USA",S2095)),"United States",
ISNUMBER(SEARCH("Republic of Ireland",S2095)),"Ireland",
ISNUMBER(SEARCH("Republic of Korea",S2095)),"South Korea",
ISNUMBER(SEARCH("Cape Verde",S2095)),"Cabo Verde",
ISNUMBER(SEARCH("Czechia",S2095)),"Czech Republic",
ISNUMBER(SEARCH("Türkiye",S2095)),"Turkey",
ISNUMBER(SEARCH("Ivory Coast",S2095)),"Côte d'Ivoire",
ISNUMBER(SEARCH("Korea Republic",S2095)),"South Korea",
ISNUMBER(SEARCH("Germany FR",S2095)),"FR Germany",
ISNUMBER(SEARCH("West Germany",S2095)),"FR Germany",
ISNUMBER(SEARCH("Germany DR",S2095)),"DR Germany",
ISNUMBER(SEARCH("Korea DPR",S2095)),"North Korea",
ISNUMBER(SEARCH("China PR",S2095)),"China",
ISNUMBER(SEARCH("IR Iran",S2095)),"Iran",
ISNUMBER(SEARCH("Congo DR",S2095)),"Democratic Republic of the Congo",
ISNUMBER(SEARCH("DR Congo",S2095)),"Democratic Republic of the Congo",
ISNUMBER(SEARCH("German DR",S2095)),"DR Germany",
ISNUMBER(SEARCH("rn""&gt;United Arab Emirates",S2095)),"United Arab Emirates",
ISNUMBER(SEARCH("rn""&gt;Republic of Ireland",S2095)),"Ireland",
ISNUMBER(SEARCH("rn""&gt;Bosnia and Herzegovina",S2095)),"Bosnia and Herzegovina",
ISNUMBER(SEARCH("rn""&gt;Trinidad and Tobago",S2095)),"Trinidad and Tobago",
ISNUMBER(SEARCH("rn""&gt;Serbia and Montenegro",S2095)),"Serbia and Montenegro",
ISNUMBER(SEARCH(_xlfn.UNICHAR(65533),S2095)),"Côte d'Ivoire",
TRUE,""
)</f>
        <v/>
      </c>
      <c r="W2095" s="12" t="str">
        <f t="shared" si="161"/>
        <v>Argentina</v>
      </c>
    </row>
    <row r="2096" spans="2:23">
      <c r="B2096" s="76" t="str">
        <v>1986.0</v>
      </c>
      <c r="C2096" s="42" t="str">
        <v xml:space="preserve">22 Jun 1986 - 12:00 </v>
      </c>
      <c r="D2096" s="42" t="str">
        <v>Quarter-finals</v>
      </c>
      <c r="E2096" s="42" t="str">
        <v>Estadio Azteca</v>
      </c>
      <c r="F2096" s="42" t="str">
        <v xml:space="preserve">Mexico City </v>
      </c>
      <c r="G2096" s="42" t="str">
        <v>Argentina</v>
      </c>
      <c r="H2096" s="42" t="str">
        <v>2.0</v>
      </c>
      <c r="I2096" s="42" t="str">
        <v>1.0</v>
      </c>
      <c r="J2096" s="42" t="str">
        <v>England</v>
      </c>
      <c r="K2096" s="42" t="str">
        <v xml:space="preserve"> </v>
      </c>
      <c r="L2096" s="42" t="str">
        <f t="shared" si="158"/>
        <v xml:space="preserve">1986.0|22 Jun 1986 - 12:00 |Quarter-finals|Estadio Azteca|Mexico City |Argentina|2.0|1.0|England| </v>
      </c>
      <c r="M2096" s="42" t="str">
        <f>IF(COUNTIF($L$1689:L2096,L2096)&gt;1,"DOUBLON","OK")</f>
        <v>OK</v>
      </c>
      <c r="S2096" s="12" t="str">
        <v>Argentina</v>
      </c>
      <c r="T2096" s="12" t="str">
        <f t="shared" si="159"/>
        <v>OK</v>
      </c>
      <c r="U2096" s="12" t="str">
        <f t="shared" si="160"/>
        <v>-</v>
      </c>
      <c r="V2096" s="12" t="str" cm="1">
        <f t="array" ref="V2096">_xlfn.IFS(
ISNUMBER(SEARCH("USA",S2096)),"United States",
ISNUMBER(SEARCH("Republic of Ireland",S2096)),"Ireland",
ISNUMBER(SEARCH("Republic of Korea",S2096)),"South Korea",
ISNUMBER(SEARCH("Cape Verde",S2096)),"Cabo Verde",
ISNUMBER(SEARCH("Czechia",S2096)),"Czech Republic",
ISNUMBER(SEARCH("Türkiye",S2096)),"Turkey",
ISNUMBER(SEARCH("Ivory Coast",S2096)),"Côte d'Ivoire",
ISNUMBER(SEARCH("Korea Republic",S2096)),"South Korea",
ISNUMBER(SEARCH("Germany FR",S2096)),"FR Germany",
ISNUMBER(SEARCH("West Germany",S2096)),"FR Germany",
ISNUMBER(SEARCH("Germany DR",S2096)),"DR Germany",
ISNUMBER(SEARCH("Korea DPR",S2096)),"North Korea",
ISNUMBER(SEARCH("China PR",S2096)),"China",
ISNUMBER(SEARCH("IR Iran",S2096)),"Iran",
ISNUMBER(SEARCH("Congo DR",S2096)),"Democratic Republic of the Congo",
ISNUMBER(SEARCH("DR Congo",S2096)),"Democratic Republic of the Congo",
ISNUMBER(SEARCH("German DR",S2096)),"DR Germany",
ISNUMBER(SEARCH("rn""&gt;United Arab Emirates",S2096)),"United Arab Emirates",
ISNUMBER(SEARCH("rn""&gt;Republic of Ireland",S2096)),"Ireland",
ISNUMBER(SEARCH("rn""&gt;Bosnia and Herzegovina",S2096)),"Bosnia and Herzegovina",
ISNUMBER(SEARCH("rn""&gt;Trinidad and Tobago",S2096)),"Trinidad and Tobago",
ISNUMBER(SEARCH("rn""&gt;Serbia and Montenegro",S2096)),"Serbia and Montenegro",
ISNUMBER(SEARCH(_xlfn.UNICHAR(65533),S2096)),"Côte d'Ivoire",
TRUE,""
)</f>
        <v/>
      </c>
      <c r="W2096" s="12" t="str">
        <f t="shared" si="161"/>
        <v>Argentina</v>
      </c>
    </row>
    <row r="2097" spans="2:23">
      <c r="B2097" s="76" t="str">
        <v>1986.0</v>
      </c>
      <c r="C2097" s="42" t="str">
        <v xml:space="preserve">25 Jun 1986 - 12:00 </v>
      </c>
      <c r="D2097" s="42" t="str">
        <v>Semi-finals</v>
      </c>
      <c r="E2097" s="42" t="str">
        <v>Jalisco</v>
      </c>
      <c r="F2097" s="42" t="str">
        <v xml:space="preserve">Guadalajara </v>
      </c>
      <c r="G2097" s="42" t="str">
        <v>France</v>
      </c>
      <c r="H2097" s="42" t="str">
        <v>0.0</v>
      </c>
      <c r="I2097" s="42" t="str">
        <v>2.0</v>
      </c>
      <c r="J2097" s="42" t="str">
        <v>Germany FR</v>
      </c>
      <c r="K2097" s="42" t="str">
        <v xml:space="preserve"> </v>
      </c>
      <c r="L2097" s="42" t="str">
        <f t="shared" si="158"/>
        <v xml:space="preserve">1986.0|25 Jun 1986 - 12:00 |Semi-finals|Jalisco|Guadalajara |France|0.0|2.0|Germany FR| </v>
      </c>
      <c r="M2097" s="42" t="str">
        <f>IF(COUNTIF($L$1689:L2097,L2097)&gt;1,"DOUBLON","OK")</f>
        <v>OK</v>
      </c>
      <c r="S2097" s="12" t="str">
        <v>Argentina</v>
      </c>
      <c r="T2097" s="12" t="str">
        <f t="shared" si="159"/>
        <v>OK</v>
      </c>
      <c r="U2097" s="12" t="str">
        <f t="shared" si="160"/>
        <v>-</v>
      </c>
      <c r="V2097" s="12" t="str" cm="1">
        <f t="array" ref="V2097">_xlfn.IFS(
ISNUMBER(SEARCH("USA",S2097)),"United States",
ISNUMBER(SEARCH("Republic of Ireland",S2097)),"Ireland",
ISNUMBER(SEARCH("Republic of Korea",S2097)),"South Korea",
ISNUMBER(SEARCH("Cape Verde",S2097)),"Cabo Verde",
ISNUMBER(SEARCH("Czechia",S2097)),"Czech Republic",
ISNUMBER(SEARCH("Türkiye",S2097)),"Turkey",
ISNUMBER(SEARCH("Ivory Coast",S2097)),"Côte d'Ivoire",
ISNUMBER(SEARCH("Korea Republic",S2097)),"South Korea",
ISNUMBER(SEARCH("Germany FR",S2097)),"FR Germany",
ISNUMBER(SEARCH("West Germany",S2097)),"FR Germany",
ISNUMBER(SEARCH("Germany DR",S2097)),"DR Germany",
ISNUMBER(SEARCH("Korea DPR",S2097)),"North Korea",
ISNUMBER(SEARCH("China PR",S2097)),"China",
ISNUMBER(SEARCH("IR Iran",S2097)),"Iran",
ISNUMBER(SEARCH("Congo DR",S2097)),"Democratic Republic of the Congo",
ISNUMBER(SEARCH("DR Congo",S2097)),"Democratic Republic of the Congo",
ISNUMBER(SEARCH("German DR",S2097)),"DR Germany",
ISNUMBER(SEARCH("rn""&gt;United Arab Emirates",S2097)),"United Arab Emirates",
ISNUMBER(SEARCH("rn""&gt;Republic of Ireland",S2097)),"Ireland",
ISNUMBER(SEARCH("rn""&gt;Bosnia and Herzegovina",S2097)),"Bosnia and Herzegovina",
ISNUMBER(SEARCH("rn""&gt;Trinidad and Tobago",S2097)),"Trinidad and Tobago",
ISNUMBER(SEARCH("rn""&gt;Serbia and Montenegro",S2097)),"Serbia and Montenegro",
ISNUMBER(SEARCH(_xlfn.UNICHAR(65533),S2097)),"Côte d'Ivoire",
TRUE,""
)</f>
        <v/>
      </c>
      <c r="W2097" s="12" t="str">
        <f t="shared" si="161"/>
        <v>Argentina</v>
      </c>
    </row>
    <row r="2098" spans="2:23">
      <c r="B2098" s="76" t="str">
        <v>1986.0</v>
      </c>
      <c r="C2098" s="42" t="str">
        <v xml:space="preserve">25 Jun 1986 - 16:00 </v>
      </c>
      <c r="D2098" s="42" t="str">
        <v>Semi-finals</v>
      </c>
      <c r="E2098" s="42" t="str">
        <v>Estadio Azteca</v>
      </c>
      <c r="F2098" s="42" t="str">
        <v xml:space="preserve">Mexico City </v>
      </c>
      <c r="G2098" s="42" t="str">
        <v>Argentina</v>
      </c>
      <c r="H2098" s="42" t="str">
        <v>2.0</v>
      </c>
      <c r="I2098" s="42" t="str">
        <v>0.0</v>
      </c>
      <c r="J2098" s="42" t="str">
        <v>Belgium</v>
      </c>
      <c r="K2098" s="42" t="str">
        <v xml:space="preserve"> </v>
      </c>
      <c r="L2098" s="42" t="str">
        <f t="shared" si="158"/>
        <v xml:space="preserve">1986.0|25 Jun 1986 - 16:00 |Semi-finals|Estadio Azteca|Mexico City |Argentina|2.0|0.0|Belgium| </v>
      </c>
      <c r="M2098" s="42" t="str">
        <f>IF(COUNTIF($L$1689:L2098,L2098)&gt;1,"DOUBLON","OK")</f>
        <v>OK</v>
      </c>
      <c r="S2098" s="12" t="str">
        <v>Argentina</v>
      </c>
      <c r="T2098" s="12" t="str">
        <f t="shared" si="159"/>
        <v>OK</v>
      </c>
      <c r="U2098" s="12" t="str">
        <f t="shared" si="160"/>
        <v>-</v>
      </c>
      <c r="V2098" s="12" t="str" cm="1">
        <f t="array" ref="V2098">_xlfn.IFS(
ISNUMBER(SEARCH("USA",S2098)),"United States",
ISNUMBER(SEARCH("Republic of Ireland",S2098)),"Ireland",
ISNUMBER(SEARCH("Republic of Korea",S2098)),"South Korea",
ISNUMBER(SEARCH("Cape Verde",S2098)),"Cabo Verde",
ISNUMBER(SEARCH("Czechia",S2098)),"Czech Republic",
ISNUMBER(SEARCH("Türkiye",S2098)),"Turkey",
ISNUMBER(SEARCH("Ivory Coast",S2098)),"Côte d'Ivoire",
ISNUMBER(SEARCH("Korea Republic",S2098)),"South Korea",
ISNUMBER(SEARCH("Germany FR",S2098)),"FR Germany",
ISNUMBER(SEARCH("West Germany",S2098)),"FR Germany",
ISNUMBER(SEARCH("Germany DR",S2098)),"DR Germany",
ISNUMBER(SEARCH("Korea DPR",S2098)),"North Korea",
ISNUMBER(SEARCH("China PR",S2098)),"China",
ISNUMBER(SEARCH("IR Iran",S2098)),"Iran",
ISNUMBER(SEARCH("Congo DR",S2098)),"Democratic Republic of the Congo",
ISNUMBER(SEARCH("DR Congo",S2098)),"Democratic Republic of the Congo",
ISNUMBER(SEARCH("German DR",S2098)),"DR Germany",
ISNUMBER(SEARCH("rn""&gt;United Arab Emirates",S2098)),"United Arab Emirates",
ISNUMBER(SEARCH("rn""&gt;Republic of Ireland",S2098)),"Ireland",
ISNUMBER(SEARCH("rn""&gt;Bosnia and Herzegovina",S2098)),"Bosnia and Herzegovina",
ISNUMBER(SEARCH("rn""&gt;Trinidad and Tobago",S2098)),"Trinidad and Tobago",
ISNUMBER(SEARCH("rn""&gt;Serbia and Montenegro",S2098)),"Serbia and Montenegro",
ISNUMBER(SEARCH(_xlfn.UNICHAR(65533),S2098)),"Côte d'Ivoire",
TRUE,""
)</f>
        <v/>
      </c>
      <c r="W2098" s="12" t="str">
        <f t="shared" si="161"/>
        <v>Argentina</v>
      </c>
    </row>
    <row r="2099" spans="2:23">
      <c r="B2099" s="76" t="str">
        <v>1986.0</v>
      </c>
      <c r="C2099" s="42" t="str">
        <v xml:space="preserve">28 Jun 1986 - 12:00 </v>
      </c>
      <c r="D2099" s="42" t="str">
        <v>Match for third place</v>
      </c>
      <c r="E2099" s="42" t="str">
        <v>Cuauhtemoc</v>
      </c>
      <c r="F2099" s="42" t="str">
        <v xml:space="preserve">Puebla </v>
      </c>
      <c r="G2099" s="42" t="str">
        <v>France</v>
      </c>
      <c r="H2099" s="42" t="str">
        <v>4.0</v>
      </c>
      <c r="I2099" s="42" t="str">
        <v>2.0</v>
      </c>
      <c r="J2099" s="42" t="str">
        <v>Belgium</v>
      </c>
      <c r="K2099" s="42" t="str">
        <v xml:space="preserve">France win after extra time </v>
      </c>
      <c r="L2099" s="42" t="str">
        <f t="shared" si="158"/>
        <v xml:space="preserve">1986.0|28 Jun 1986 - 12:00 |Match for third place|Cuauhtemoc|Puebla |France|4.0|2.0|Belgium|France win after extra time </v>
      </c>
      <c r="M2099" s="42" t="str">
        <f>IF(COUNTIF($L$1689:L2099,L2099)&gt;1,"DOUBLON","OK")</f>
        <v>OK</v>
      </c>
      <c r="S2099" s="12" t="str">
        <v>Argentina</v>
      </c>
      <c r="T2099" s="12" t="str">
        <f t="shared" si="159"/>
        <v>OK</v>
      </c>
      <c r="U2099" s="12" t="str">
        <f t="shared" si="160"/>
        <v>-</v>
      </c>
      <c r="V2099" s="12" t="str" cm="1">
        <f t="array" ref="V2099">_xlfn.IFS(
ISNUMBER(SEARCH("USA",S2099)),"United States",
ISNUMBER(SEARCH("Republic of Ireland",S2099)),"Ireland",
ISNUMBER(SEARCH("Republic of Korea",S2099)),"South Korea",
ISNUMBER(SEARCH("Cape Verde",S2099)),"Cabo Verde",
ISNUMBER(SEARCH("Czechia",S2099)),"Czech Republic",
ISNUMBER(SEARCH("Türkiye",S2099)),"Turkey",
ISNUMBER(SEARCH("Ivory Coast",S2099)),"Côte d'Ivoire",
ISNUMBER(SEARCH("Korea Republic",S2099)),"South Korea",
ISNUMBER(SEARCH("Germany FR",S2099)),"FR Germany",
ISNUMBER(SEARCH("West Germany",S2099)),"FR Germany",
ISNUMBER(SEARCH("Germany DR",S2099)),"DR Germany",
ISNUMBER(SEARCH("Korea DPR",S2099)),"North Korea",
ISNUMBER(SEARCH("China PR",S2099)),"China",
ISNUMBER(SEARCH("IR Iran",S2099)),"Iran",
ISNUMBER(SEARCH("Congo DR",S2099)),"Democratic Republic of the Congo",
ISNUMBER(SEARCH("DR Congo",S2099)),"Democratic Republic of the Congo",
ISNUMBER(SEARCH("German DR",S2099)),"DR Germany",
ISNUMBER(SEARCH("rn""&gt;United Arab Emirates",S2099)),"United Arab Emirates",
ISNUMBER(SEARCH("rn""&gt;Republic of Ireland",S2099)),"Ireland",
ISNUMBER(SEARCH("rn""&gt;Bosnia and Herzegovina",S2099)),"Bosnia and Herzegovina",
ISNUMBER(SEARCH("rn""&gt;Trinidad and Tobago",S2099)),"Trinidad and Tobago",
ISNUMBER(SEARCH("rn""&gt;Serbia and Montenegro",S2099)),"Serbia and Montenegro",
ISNUMBER(SEARCH(_xlfn.UNICHAR(65533),S2099)),"Côte d'Ivoire",
TRUE,""
)</f>
        <v/>
      </c>
      <c r="W2099" s="12" t="str">
        <f t="shared" si="161"/>
        <v>Argentina</v>
      </c>
    </row>
    <row r="2100" spans="2:23">
      <c r="B2100" s="76" t="str">
        <v>1986.0</v>
      </c>
      <c r="C2100" s="42" t="str">
        <v xml:space="preserve">29 Jun 1986 - 12:00 </v>
      </c>
      <c r="D2100" s="42" t="str">
        <v>Final</v>
      </c>
      <c r="E2100" s="42" t="str">
        <v>Estadio Azteca</v>
      </c>
      <c r="F2100" s="42" t="str">
        <v xml:space="preserve">Mexico City </v>
      </c>
      <c r="G2100" s="42" t="str">
        <v>Argentina</v>
      </c>
      <c r="H2100" s="42" t="str">
        <v>3.0</v>
      </c>
      <c r="I2100" s="42" t="str">
        <v>2.0</v>
      </c>
      <c r="J2100" s="42" t="str">
        <v>Germany FR</v>
      </c>
      <c r="K2100" s="42" t="str">
        <v xml:space="preserve"> </v>
      </c>
      <c r="L2100" s="42" t="str">
        <f t="shared" si="158"/>
        <v xml:space="preserve">1986.0|29 Jun 1986 - 12:00 |Final|Estadio Azteca|Mexico City |Argentina|3.0|2.0|Germany FR| </v>
      </c>
      <c r="M2100" s="42" t="str">
        <f>IF(COUNTIF($L$1689:L2100,L2100)&gt;1,"DOUBLON","OK")</f>
        <v>OK</v>
      </c>
      <c r="S2100" s="12" t="str">
        <v>Argentina</v>
      </c>
      <c r="T2100" s="12" t="str">
        <f t="shared" si="159"/>
        <v>OK</v>
      </c>
      <c r="U2100" s="12" t="str">
        <f t="shared" si="160"/>
        <v>-</v>
      </c>
      <c r="V2100" s="12" t="str" cm="1">
        <f t="array" ref="V2100">_xlfn.IFS(
ISNUMBER(SEARCH("USA",S2100)),"United States",
ISNUMBER(SEARCH("Republic of Ireland",S2100)),"Ireland",
ISNUMBER(SEARCH("Republic of Korea",S2100)),"South Korea",
ISNUMBER(SEARCH("Cape Verde",S2100)),"Cabo Verde",
ISNUMBER(SEARCH("Czechia",S2100)),"Czech Republic",
ISNUMBER(SEARCH("Türkiye",S2100)),"Turkey",
ISNUMBER(SEARCH("Ivory Coast",S2100)),"Côte d'Ivoire",
ISNUMBER(SEARCH("Korea Republic",S2100)),"South Korea",
ISNUMBER(SEARCH("Germany FR",S2100)),"FR Germany",
ISNUMBER(SEARCH("West Germany",S2100)),"FR Germany",
ISNUMBER(SEARCH("Germany DR",S2100)),"DR Germany",
ISNUMBER(SEARCH("Korea DPR",S2100)),"North Korea",
ISNUMBER(SEARCH("China PR",S2100)),"China",
ISNUMBER(SEARCH("IR Iran",S2100)),"Iran",
ISNUMBER(SEARCH("Congo DR",S2100)),"Democratic Republic of the Congo",
ISNUMBER(SEARCH("DR Congo",S2100)),"Democratic Republic of the Congo",
ISNUMBER(SEARCH("German DR",S2100)),"DR Germany",
ISNUMBER(SEARCH("rn""&gt;United Arab Emirates",S2100)),"United Arab Emirates",
ISNUMBER(SEARCH("rn""&gt;Republic of Ireland",S2100)),"Ireland",
ISNUMBER(SEARCH("rn""&gt;Bosnia and Herzegovina",S2100)),"Bosnia and Herzegovina",
ISNUMBER(SEARCH("rn""&gt;Trinidad and Tobago",S2100)),"Trinidad and Tobago",
ISNUMBER(SEARCH("rn""&gt;Serbia and Montenegro",S2100)),"Serbia and Montenegro",
ISNUMBER(SEARCH(_xlfn.UNICHAR(65533),S2100)),"Côte d'Ivoire",
TRUE,""
)</f>
        <v/>
      </c>
      <c r="W2100" s="12" t="str">
        <f t="shared" si="161"/>
        <v>Argentina</v>
      </c>
    </row>
    <row r="2101" spans="2:23">
      <c r="B2101" s="76" t="str">
        <v>1990.0</v>
      </c>
      <c r="C2101" s="42" t="str">
        <v xml:space="preserve">08 Jun 1990 - 18:00 </v>
      </c>
      <c r="D2101" s="42" t="str">
        <v>Group B</v>
      </c>
      <c r="E2101" s="42" t="str">
        <v>Giuseppe Meazza</v>
      </c>
      <c r="F2101" s="42" t="str">
        <v xml:space="preserve">Milan </v>
      </c>
      <c r="G2101" s="42" t="str">
        <v>Argentina</v>
      </c>
      <c r="H2101" s="42" t="str">
        <v>0.0</v>
      </c>
      <c r="I2101" s="42" t="str">
        <v>1.0</v>
      </c>
      <c r="J2101" s="42" t="str">
        <v>Cameroon</v>
      </c>
      <c r="K2101" s="42" t="str">
        <v xml:space="preserve"> </v>
      </c>
      <c r="L2101" s="42" t="str">
        <f t="shared" si="158"/>
        <v xml:space="preserve">1990.0|08 Jun 1990 - 18:00 |Group B|Giuseppe Meazza|Milan |Argentina|0.0|1.0|Cameroon| </v>
      </c>
      <c r="M2101" s="42" t="str">
        <f>IF(COUNTIF($L$1689:L2101,L2101)&gt;1,"DOUBLON","OK")</f>
        <v>OK</v>
      </c>
      <c r="S2101" s="12" t="str">
        <v>Argentina</v>
      </c>
      <c r="T2101" s="12" t="str">
        <f t="shared" si="159"/>
        <v>OK</v>
      </c>
      <c r="U2101" s="12" t="str">
        <f t="shared" si="160"/>
        <v>-</v>
      </c>
      <c r="V2101" s="12" t="str" cm="1">
        <f t="array" ref="V2101">_xlfn.IFS(
ISNUMBER(SEARCH("USA",S2101)),"United States",
ISNUMBER(SEARCH("Republic of Ireland",S2101)),"Ireland",
ISNUMBER(SEARCH("Republic of Korea",S2101)),"South Korea",
ISNUMBER(SEARCH("Cape Verde",S2101)),"Cabo Verde",
ISNUMBER(SEARCH("Czechia",S2101)),"Czech Republic",
ISNUMBER(SEARCH("Türkiye",S2101)),"Turkey",
ISNUMBER(SEARCH("Ivory Coast",S2101)),"Côte d'Ivoire",
ISNUMBER(SEARCH("Korea Republic",S2101)),"South Korea",
ISNUMBER(SEARCH("Germany FR",S2101)),"FR Germany",
ISNUMBER(SEARCH("West Germany",S2101)),"FR Germany",
ISNUMBER(SEARCH("Germany DR",S2101)),"DR Germany",
ISNUMBER(SEARCH("Korea DPR",S2101)),"North Korea",
ISNUMBER(SEARCH("China PR",S2101)),"China",
ISNUMBER(SEARCH("IR Iran",S2101)),"Iran",
ISNUMBER(SEARCH("Congo DR",S2101)),"Democratic Republic of the Congo",
ISNUMBER(SEARCH("DR Congo",S2101)),"Democratic Republic of the Congo",
ISNUMBER(SEARCH("German DR",S2101)),"DR Germany",
ISNUMBER(SEARCH("rn""&gt;United Arab Emirates",S2101)),"United Arab Emirates",
ISNUMBER(SEARCH("rn""&gt;Republic of Ireland",S2101)),"Ireland",
ISNUMBER(SEARCH("rn""&gt;Bosnia and Herzegovina",S2101)),"Bosnia and Herzegovina",
ISNUMBER(SEARCH("rn""&gt;Trinidad and Tobago",S2101)),"Trinidad and Tobago",
ISNUMBER(SEARCH("rn""&gt;Serbia and Montenegro",S2101)),"Serbia and Montenegro",
ISNUMBER(SEARCH(_xlfn.UNICHAR(65533),S2101)),"Côte d'Ivoire",
TRUE,""
)</f>
        <v/>
      </c>
      <c r="W2101" s="12" t="str">
        <f t="shared" si="161"/>
        <v>Argentina</v>
      </c>
    </row>
    <row r="2102" spans="2:23">
      <c r="B2102" s="76" t="str">
        <v>1990.0</v>
      </c>
      <c r="C2102" s="42" t="str">
        <v xml:space="preserve">09 Jun 1990 - 17:00 </v>
      </c>
      <c r="D2102" s="42" t="str">
        <v>Group B</v>
      </c>
      <c r="E2102" s="42" t="str">
        <v>Stadio San Nicola</v>
      </c>
      <c r="F2102" s="42" t="str">
        <v xml:space="preserve">Bari </v>
      </c>
      <c r="G2102" s="42" t="str">
        <v>Soviet Union</v>
      </c>
      <c r="H2102" s="42" t="str">
        <v>0.0</v>
      </c>
      <c r="I2102" s="42" t="str">
        <v>2.0</v>
      </c>
      <c r="J2102" s="42" t="str">
        <v>Romania</v>
      </c>
      <c r="K2102" s="42" t="str">
        <v xml:space="preserve"> </v>
      </c>
      <c r="L2102" s="42" t="str">
        <f t="shared" si="158"/>
        <v xml:space="preserve">1990.0|09 Jun 1990 - 17:00 |Group B|Stadio San Nicola|Bari |Soviet Union|0.0|2.0|Romania| </v>
      </c>
      <c r="M2102" s="42" t="str">
        <f>IF(COUNTIF($L$1689:L2102,L2102)&gt;1,"DOUBLON","OK")</f>
        <v>OK</v>
      </c>
      <c r="S2102" s="12" t="str">
        <v>Argentina</v>
      </c>
      <c r="T2102" s="12" t="str">
        <f t="shared" si="159"/>
        <v>OK</v>
      </c>
      <c r="U2102" s="12" t="str">
        <f t="shared" si="160"/>
        <v>-</v>
      </c>
      <c r="V2102" s="12" t="str" cm="1">
        <f t="array" ref="V2102">_xlfn.IFS(
ISNUMBER(SEARCH("USA",S2102)),"United States",
ISNUMBER(SEARCH("Republic of Ireland",S2102)),"Ireland",
ISNUMBER(SEARCH("Republic of Korea",S2102)),"South Korea",
ISNUMBER(SEARCH("Cape Verde",S2102)),"Cabo Verde",
ISNUMBER(SEARCH("Czechia",S2102)),"Czech Republic",
ISNUMBER(SEARCH("Türkiye",S2102)),"Turkey",
ISNUMBER(SEARCH("Ivory Coast",S2102)),"Côte d'Ivoire",
ISNUMBER(SEARCH("Korea Republic",S2102)),"South Korea",
ISNUMBER(SEARCH("Germany FR",S2102)),"FR Germany",
ISNUMBER(SEARCH("West Germany",S2102)),"FR Germany",
ISNUMBER(SEARCH("Germany DR",S2102)),"DR Germany",
ISNUMBER(SEARCH("Korea DPR",S2102)),"North Korea",
ISNUMBER(SEARCH("China PR",S2102)),"China",
ISNUMBER(SEARCH("IR Iran",S2102)),"Iran",
ISNUMBER(SEARCH("Congo DR",S2102)),"Democratic Republic of the Congo",
ISNUMBER(SEARCH("DR Congo",S2102)),"Democratic Republic of the Congo",
ISNUMBER(SEARCH("German DR",S2102)),"DR Germany",
ISNUMBER(SEARCH("rn""&gt;United Arab Emirates",S2102)),"United Arab Emirates",
ISNUMBER(SEARCH("rn""&gt;Republic of Ireland",S2102)),"Ireland",
ISNUMBER(SEARCH("rn""&gt;Bosnia and Herzegovina",S2102)),"Bosnia and Herzegovina",
ISNUMBER(SEARCH("rn""&gt;Trinidad and Tobago",S2102)),"Trinidad and Tobago",
ISNUMBER(SEARCH("rn""&gt;Serbia and Montenegro",S2102)),"Serbia and Montenegro",
ISNUMBER(SEARCH(_xlfn.UNICHAR(65533),S2102)),"Côte d'Ivoire",
TRUE,""
)</f>
        <v/>
      </c>
      <c r="W2102" s="12" t="str">
        <f t="shared" si="161"/>
        <v>Argentina</v>
      </c>
    </row>
    <row r="2103" spans="2:23">
      <c r="B2103" s="76" t="str">
        <v>1990.0</v>
      </c>
      <c r="C2103" s="42" t="str">
        <v xml:space="preserve">09 Jun 1990 - 17:00 </v>
      </c>
      <c r="D2103" s="42" t="str">
        <v>Group D</v>
      </c>
      <c r="E2103" s="42" t="str">
        <v>Renato Dall Ara</v>
      </c>
      <c r="F2103" s="42" t="str">
        <v xml:space="preserve">Bologna </v>
      </c>
      <c r="G2103" s="42" t="str">
        <v>rn"&gt;United Arab Emirates</v>
      </c>
      <c r="H2103" s="42" t="str">
        <v>0.0</v>
      </c>
      <c r="I2103" s="42" t="str">
        <v>2.0</v>
      </c>
      <c r="J2103" s="42" t="str">
        <v>Colombia</v>
      </c>
      <c r="K2103" s="42" t="str">
        <v xml:space="preserve"> </v>
      </c>
      <c r="L2103" s="42" t="str">
        <f t="shared" si="158"/>
        <v xml:space="preserve">1990.0|09 Jun 1990 - 17:00 |Group D|Renato Dall Ara|Bologna |rn"&gt;United Arab Emirates|0.0|2.0|Colombia| </v>
      </c>
      <c r="M2103" s="42" t="str">
        <f>IF(COUNTIF($L$1689:L2103,L2103)&gt;1,"DOUBLON","OK")</f>
        <v>OK</v>
      </c>
      <c r="S2103" s="12" t="str">
        <v>Argentina</v>
      </c>
      <c r="T2103" s="12" t="str">
        <f t="shared" si="159"/>
        <v>OK</v>
      </c>
      <c r="U2103" s="12" t="str">
        <f t="shared" si="160"/>
        <v>-</v>
      </c>
      <c r="V2103" s="12" t="str" cm="1">
        <f t="array" ref="V2103">_xlfn.IFS(
ISNUMBER(SEARCH("USA",S2103)),"United States",
ISNUMBER(SEARCH("Republic of Ireland",S2103)),"Ireland",
ISNUMBER(SEARCH("Republic of Korea",S2103)),"South Korea",
ISNUMBER(SEARCH("Cape Verde",S2103)),"Cabo Verde",
ISNUMBER(SEARCH("Czechia",S2103)),"Czech Republic",
ISNUMBER(SEARCH("Türkiye",S2103)),"Turkey",
ISNUMBER(SEARCH("Ivory Coast",S2103)),"Côte d'Ivoire",
ISNUMBER(SEARCH("Korea Republic",S2103)),"South Korea",
ISNUMBER(SEARCH("Germany FR",S2103)),"FR Germany",
ISNUMBER(SEARCH("West Germany",S2103)),"FR Germany",
ISNUMBER(SEARCH("Germany DR",S2103)),"DR Germany",
ISNUMBER(SEARCH("Korea DPR",S2103)),"North Korea",
ISNUMBER(SEARCH("China PR",S2103)),"China",
ISNUMBER(SEARCH("IR Iran",S2103)),"Iran",
ISNUMBER(SEARCH("Congo DR",S2103)),"Democratic Republic of the Congo",
ISNUMBER(SEARCH("DR Congo",S2103)),"Democratic Republic of the Congo",
ISNUMBER(SEARCH("German DR",S2103)),"DR Germany",
ISNUMBER(SEARCH("rn""&gt;United Arab Emirates",S2103)),"United Arab Emirates",
ISNUMBER(SEARCH("rn""&gt;Republic of Ireland",S2103)),"Ireland",
ISNUMBER(SEARCH("rn""&gt;Bosnia and Herzegovina",S2103)),"Bosnia and Herzegovina",
ISNUMBER(SEARCH("rn""&gt;Trinidad and Tobago",S2103)),"Trinidad and Tobago",
ISNUMBER(SEARCH("rn""&gt;Serbia and Montenegro",S2103)),"Serbia and Montenegro",
ISNUMBER(SEARCH(_xlfn.UNICHAR(65533),S2103)),"Côte d'Ivoire",
TRUE,""
)</f>
        <v/>
      </c>
      <c r="W2103" s="12" t="str">
        <f t="shared" si="161"/>
        <v>Argentina</v>
      </c>
    </row>
    <row r="2104" spans="2:23">
      <c r="B2104" s="76" t="str">
        <v>1990.0</v>
      </c>
      <c r="C2104" s="42" t="str">
        <v xml:space="preserve">09 Jun 1990 - 21:00 </v>
      </c>
      <c r="D2104" s="42" t="str">
        <v>Group A</v>
      </c>
      <c r="E2104" s="42" t="str">
        <v>Stadio Olimpico</v>
      </c>
      <c r="F2104" s="42" t="str">
        <v xml:space="preserve">Rome </v>
      </c>
      <c r="G2104" s="42" t="str">
        <v>Italy</v>
      </c>
      <c r="H2104" s="42" t="str">
        <v>1.0</v>
      </c>
      <c r="I2104" s="42" t="str">
        <v>0.0</v>
      </c>
      <c r="J2104" s="42" t="str">
        <v>Austria</v>
      </c>
      <c r="K2104" s="42" t="str">
        <v xml:space="preserve"> </v>
      </c>
      <c r="L2104" s="42" t="str">
        <f t="shared" si="158"/>
        <v xml:space="preserve">1990.0|09 Jun 1990 - 21:00 |Group A|Stadio Olimpico|Rome |Italy|1.0|0.0|Austria| </v>
      </c>
      <c r="M2104" s="42" t="str">
        <f>IF(COUNTIF($L$1689:L2104,L2104)&gt;1,"DOUBLON","OK")</f>
        <v>OK</v>
      </c>
      <c r="S2104" s="12" t="str">
        <v>Argentina</v>
      </c>
      <c r="T2104" s="12" t="str">
        <f t="shared" si="159"/>
        <v>OK</v>
      </c>
      <c r="U2104" s="12" t="str">
        <f t="shared" si="160"/>
        <v>-</v>
      </c>
      <c r="V2104" s="12" t="str" cm="1">
        <f t="array" ref="V2104">_xlfn.IFS(
ISNUMBER(SEARCH("USA",S2104)),"United States",
ISNUMBER(SEARCH("Republic of Ireland",S2104)),"Ireland",
ISNUMBER(SEARCH("Republic of Korea",S2104)),"South Korea",
ISNUMBER(SEARCH("Cape Verde",S2104)),"Cabo Verde",
ISNUMBER(SEARCH("Czechia",S2104)),"Czech Republic",
ISNUMBER(SEARCH("Türkiye",S2104)),"Turkey",
ISNUMBER(SEARCH("Ivory Coast",S2104)),"Côte d'Ivoire",
ISNUMBER(SEARCH("Korea Republic",S2104)),"South Korea",
ISNUMBER(SEARCH("Germany FR",S2104)),"FR Germany",
ISNUMBER(SEARCH("West Germany",S2104)),"FR Germany",
ISNUMBER(SEARCH("Germany DR",S2104)),"DR Germany",
ISNUMBER(SEARCH("Korea DPR",S2104)),"North Korea",
ISNUMBER(SEARCH("China PR",S2104)),"China",
ISNUMBER(SEARCH("IR Iran",S2104)),"Iran",
ISNUMBER(SEARCH("Congo DR",S2104)),"Democratic Republic of the Congo",
ISNUMBER(SEARCH("DR Congo",S2104)),"Democratic Republic of the Congo",
ISNUMBER(SEARCH("German DR",S2104)),"DR Germany",
ISNUMBER(SEARCH("rn""&gt;United Arab Emirates",S2104)),"United Arab Emirates",
ISNUMBER(SEARCH("rn""&gt;Republic of Ireland",S2104)),"Ireland",
ISNUMBER(SEARCH("rn""&gt;Bosnia and Herzegovina",S2104)),"Bosnia and Herzegovina",
ISNUMBER(SEARCH("rn""&gt;Trinidad and Tobago",S2104)),"Trinidad and Tobago",
ISNUMBER(SEARCH("rn""&gt;Serbia and Montenegro",S2104)),"Serbia and Montenegro",
ISNUMBER(SEARCH(_xlfn.UNICHAR(65533),S2104)),"Côte d'Ivoire",
TRUE,""
)</f>
        <v/>
      </c>
      <c r="W2104" s="12" t="str">
        <f t="shared" si="161"/>
        <v>Argentina</v>
      </c>
    </row>
    <row r="2105" spans="2:23">
      <c r="B2105" s="76" t="str">
        <v>1990.0</v>
      </c>
      <c r="C2105" s="42" t="str">
        <v xml:space="preserve">10 Jun 1990 - 17:00 </v>
      </c>
      <c r="D2105" s="42" t="str">
        <v>Group A</v>
      </c>
      <c r="E2105" s="42" t="str">
        <v>Comunale</v>
      </c>
      <c r="F2105" s="42" t="str">
        <v xml:space="preserve">Florence </v>
      </c>
      <c r="G2105" s="42" t="str">
        <v>USA</v>
      </c>
      <c r="H2105" s="42" t="str">
        <v>1.0</v>
      </c>
      <c r="I2105" s="42" t="str">
        <v>5.0</v>
      </c>
      <c r="J2105" s="42" t="str">
        <v>Czechoslovakia</v>
      </c>
      <c r="K2105" s="42" t="str">
        <v xml:space="preserve"> </v>
      </c>
      <c r="L2105" s="42" t="str">
        <f t="shared" si="158"/>
        <v xml:space="preserve">1990.0|10 Jun 1990 - 17:00 |Group A|Comunale|Florence |USA|1.0|5.0|Czechoslovakia| </v>
      </c>
      <c r="M2105" s="42" t="str">
        <f>IF(COUNTIF($L$1689:L2105,L2105)&gt;1,"DOUBLON","OK")</f>
        <v>OK</v>
      </c>
      <c r="S2105" s="12" t="str">
        <v>Argentina</v>
      </c>
      <c r="T2105" s="12" t="str">
        <f t="shared" si="159"/>
        <v>OK</v>
      </c>
      <c r="U2105" s="12" t="str">
        <f t="shared" si="160"/>
        <v>-</v>
      </c>
      <c r="V2105" s="12" t="str" cm="1">
        <f t="array" ref="V2105">_xlfn.IFS(
ISNUMBER(SEARCH("USA",S2105)),"United States",
ISNUMBER(SEARCH("Republic of Ireland",S2105)),"Ireland",
ISNUMBER(SEARCH("Republic of Korea",S2105)),"South Korea",
ISNUMBER(SEARCH("Cape Verde",S2105)),"Cabo Verde",
ISNUMBER(SEARCH("Czechia",S2105)),"Czech Republic",
ISNUMBER(SEARCH("Türkiye",S2105)),"Turkey",
ISNUMBER(SEARCH("Ivory Coast",S2105)),"Côte d'Ivoire",
ISNUMBER(SEARCH("Korea Republic",S2105)),"South Korea",
ISNUMBER(SEARCH("Germany FR",S2105)),"FR Germany",
ISNUMBER(SEARCH("West Germany",S2105)),"FR Germany",
ISNUMBER(SEARCH("Germany DR",S2105)),"DR Germany",
ISNUMBER(SEARCH("Korea DPR",S2105)),"North Korea",
ISNUMBER(SEARCH("China PR",S2105)),"China",
ISNUMBER(SEARCH("IR Iran",S2105)),"Iran",
ISNUMBER(SEARCH("Congo DR",S2105)),"Democratic Republic of the Congo",
ISNUMBER(SEARCH("DR Congo",S2105)),"Democratic Republic of the Congo",
ISNUMBER(SEARCH("German DR",S2105)),"DR Germany",
ISNUMBER(SEARCH("rn""&gt;United Arab Emirates",S2105)),"United Arab Emirates",
ISNUMBER(SEARCH("rn""&gt;Republic of Ireland",S2105)),"Ireland",
ISNUMBER(SEARCH("rn""&gt;Bosnia and Herzegovina",S2105)),"Bosnia and Herzegovina",
ISNUMBER(SEARCH("rn""&gt;Trinidad and Tobago",S2105)),"Trinidad and Tobago",
ISNUMBER(SEARCH("rn""&gt;Serbia and Montenegro",S2105)),"Serbia and Montenegro",
ISNUMBER(SEARCH(_xlfn.UNICHAR(65533),S2105)),"Côte d'Ivoire",
TRUE,""
)</f>
        <v/>
      </c>
      <c r="W2105" s="12" t="str">
        <f t="shared" si="161"/>
        <v>Argentina</v>
      </c>
    </row>
    <row r="2106" spans="2:23">
      <c r="B2106" s="76" t="str">
        <v>1990.0</v>
      </c>
      <c r="C2106" s="42" t="str">
        <v xml:space="preserve">10 Jun 1990 - 21:00 </v>
      </c>
      <c r="D2106" s="42" t="str">
        <v>Group C</v>
      </c>
      <c r="E2106" s="42" t="str">
        <v>Stadio delle Alpi</v>
      </c>
      <c r="F2106" s="42" t="str">
        <v xml:space="preserve">Turin </v>
      </c>
      <c r="G2106" s="42" t="str">
        <v>Brazil</v>
      </c>
      <c r="H2106" s="42" t="str">
        <v>2.0</v>
      </c>
      <c r="I2106" s="42" t="str">
        <v>1.0</v>
      </c>
      <c r="J2106" s="42" t="str">
        <v>Sweden</v>
      </c>
      <c r="K2106" s="42" t="str">
        <v xml:space="preserve"> </v>
      </c>
      <c r="L2106" s="42" t="str">
        <f t="shared" si="158"/>
        <v xml:space="preserve">1990.0|10 Jun 1990 - 21:00 |Group C|Stadio delle Alpi|Turin |Brazil|2.0|1.0|Sweden| </v>
      </c>
      <c r="M2106" s="42" t="str">
        <f>IF(COUNTIF($L$1689:L2106,L2106)&gt;1,"DOUBLON","OK")</f>
        <v>OK</v>
      </c>
      <c r="S2106" s="12" t="str">
        <v>Argentina</v>
      </c>
      <c r="T2106" s="12" t="str">
        <f t="shared" si="159"/>
        <v>OK</v>
      </c>
      <c r="U2106" s="12" t="str">
        <f t="shared" si="160"/>
        <v>-</v>
      </c>
      <c r="V2106" s="12" t="str" cm="1">
        <f t="array" ref="V2106">_xlfn.IFS(
ISNUMBER(SEARCH("USA",S2106)),"United States",
ISNUMBER(SEARCH("Republic of Ireland",S2106)),"Ireland",
ISNUMBER(SEARCH("Republic of Korea",S2106)),"South Korea",
ISNUMBER(SEARCH("Cape Verde",S2106)),"Cabo Verde",
ISNUMBER(SEARCH("Czechia",S2106)),"Czech Republic",
ISNUMBER(SEARCH("Türkiye",S2106)),"Turkey",
ISNUMBER(SEARCH("Ivory Coast",S2106)),"Côte d'Ivoire",
ISNUMBER(SEARCH("Korea Republic",S2106)),"South Korea",
ISNUMBER(SEARCH("Germany FR",S2106)),"FR Germany",
ISNUMBER(SEARCH("West Germany",S2106)),"FR Germany",
ISNUMBER(SEARCH("Germany DR",S2106)),"DR Germany",
ISNUMBER(SEARCH("Korea DPR",S2106)),"North Korea",
ISNUMBER(SEARCH("China PR",S2106)),"China",
ISNUMBER(SEARCH("IR Iran",S2106)),"Iran",
ISNUMBER(SEARCH("Congo DR",S2106)),"Democratic Republic of the Congo",
ISNUMBER(SEARCH("DR Congo",S2106)),"Democratic Republic of the Congo",
ISNUMBER(SEARCH("German DR",S2106)),"DR Germany",
ISNUMBER(SEARCH("rn""&gt;United Arab Emirates",S2106)),"United Arab Emirates",
ISNUMBER(SEARCH("rn""&gt;Republic of Ireland",S2106)),"Ireland",
ISNUMBER(SEARCH("rn""&gt;Bosnia and Herzegovina",S2106)),"Bosnia and Herzegovina",
ISNUMBER(SEARCH("rn""&gt;Trinidad and Tobago",S2106)),"Trinidad and Tobago",
ISNUMBER(SEARCH("rn""&gt;Serbia and Montenegro",S2106)),"Serbia and Montenegro",
ISNUMBER(SEARCH(_xlfn.UNICHAR(65533),S2106)),"Côte d'Ivoire",
TRUE,""
)</f>
        <v/>
      </c>
      <c r="W2106" s="12" t="str">
        <f t="shared" si="161"/>
        <v>Argentina</v>
      </c>
    </row>
    <row r="2107" spans="2:23">
      <c r="B2107" s="76" t="str">
        <v>1990.0</v>
      </c>
      <c r="C2107" s="42" t="str">
        <v xml:space="preserve">10 Jun 1990 - 21:00 </v>
      </c>
      <c r="D2107" s="42" t="str">
        <v>Group D</v>
      </c>
      <c r="E2107" s="42" t="str">
        <v>Giuseppe Meazza</v>
      </c>
      <c r="F2107" s="42" t="str">
        <v xml:space="preserve">Milan </v>
      </c>
      <c r="G2107" s="42" t="str">
        <v>Germany FR</v>
      </c>
      <c r="H2107" s="42" t="str">
        <v>4.0</v>
      </c>
      <c r="I2107" s="42" t="str">
        <v>1.0</v>
      </c>
      <c r="J2107" s="42" t="str">
        <v>Yugoslavia</v>
      </c>
      <c r="K2107" s="42" t="str">
        <v xml:space="preserve"> </v>
      </c>
      <c r="L2107" s="42" t="str">
        <f t="shared" si="158"/>
        <v xml:space="preserve">1990.0|10 Jun 1990 - 21:00 |Group D|Giuseppe Meazza|Milan |Germany FR|4.0|1.0|Yugoslavia| </v>
      </c>
      <c r="M2107" s="42" t="str">
        <f>IF(COUNTIF($L$1689:L2107,L2107)&gt;1,"DOUBLON","OK")</f>
        <v>OK</v>
      </c>
      <c r="S2107" s="12" t="str">
        <v>Argentina</v>
      </c>
      <c r="T2107" s="12" t="str">
        <f t="shared" si="159"/>
        <v>OK</v>
      </c>
      <c r="U2107" s="12" t="str">
        <f t="shared" si="160"/>
        <v>-</v>
      </c>
      <c r="V2107" s="12" t="str" cm="1">
        <f t="array" ref="V2107">_xlfn.IFS(
ISNUMBER(SEARCH("USA",S2107)),"United States",
ISNUMBER(SEARCH("Republic of Ireland",S2107)),"Ireland",
ISNUMBER(SEARCH("Republic of Korea",S2107)),"South Korea",
ISNUMBER(SEARCH("Cape Verde",S2107)),"Cabo Verde",
ISNUMBER(SEARCH("Czechia",S2107)),"Czech Republic",
ISNUMBER(SEARCH("Türkiye",S2107)),"Turkey",
ISNUMBER(SEARCH("Ivory Coast",S2107)),"Côte d'Ivoire",
ISNUMBER(SEARCH("Korea Republic",S2107)),"South Korea",
ISNUMBER(SEARCH("Germany FR",S2107)),"FR Germany",
ISNUMBER(SEARCH("West Germany",S2107)),"FR Germany",
ISNUMBER(SEARCH("Germany DR",S2107)),"DR Germany",
ISNUMBER(SEARCH("Korea DPR",S2107)),"North Korea",
ISNUMBER(SEARCH("China PR",S2107)),"China",
ISNUMBER(SEARCH("IR Iran",S2107)),"Iran",
ISNUMBER(SEARCH("Congo DR",S2107)),"Democratic Republic of the Congo",
ISNUMBER(SEARCH("DR Congo",S2107)),"Democratic Republic of the Congo",
ISNUMBER(SEARCH("German DR",S2107)),"DR Germany",
ISNUMBER(SEARCH("rn""&gt;United Arab Emirates",S2107)),"United Arab Emirates",
ISNUMBER(SEARCH("rn""&gt;Republic of Ireland",S2107)),"Ireland",
ISNUMBER(SEARCH("rn""&gt;Bosnia and Herzegovina",S2107)),"Bosnia and Herzegovina",
ISNUMBER(SEARCH("rn""&gt;Trinidad and Tobago",S2107)),"Trinidad and Tobago",
ISNUMBER(SEARCH("rn""&gt;Serbia and Montenegro",S2107)),"Serbia and Montenegro",
ISNUMBER(SEARCH(_xlfn.UNICHAR(65533),S2107)),"Côte d'Ivoire",
TRUE,""
)</f>
        <v/>
      </c>
      <c r="W2107" s="12" t="str">
        <f t="shared" si="161"/>
        <v>Argentina</v>
      </c>
    </row>
    <row r="2108" spans="2:23">
      <c r="B2108" s="76" t="str">
        <v>1990.0</v>
      </c>
      <c r="C2108" s="42" t="str">
        <v xml:space="preserve">11 Jun 1990 - 17:00 </v>
      </c>
      <c r="D2108" s="42" t="str">
        <v>Group C</v>
      </c>
      <c r="E2108" s="42" t="str">
        <v>Luigi Ferraris</v>
      </c>
      <c r="F2108" s="42" t="str">
        <v xml:space="preserve">Genoa </v>
      </c>
      <c r="G2108" s="42" t="str">
        <v>Costa Rica</v>
      </c>
      <c r="H2108" s="42" t="str">
        <v>1.0</v>
      </c>
      <c r="I2108" s="42" t="str">
        <v>0.0</v>
      </c>
      <c r="J2108" s="42" t="str">
        <v>Scotland</v>
      </c>
      <c r="K2108" s="42" t="str">
        <v xml:space="preserve"> </v>
      </c>
      <c r="L2108" s="42" t="str">
        <f t="shared" si="158"/>
        <v xml:space="preserve">1990.0|11 Jun 1990 - 17:00 |Group C|Luigi Ferraris|Genoa |Costa Rica|1.0|0.0|Scotland| </v>
      </c>
      <c r="M2108" s="42" t="str">
        <f>IF(COUNTIF($L$1689:L2108,L2108)&gt;1,"DOUBLON","OK")</f>
        <v>OK</v>
      </c>
      <c r="S2108" s="12" t="str">
        <v>Argentina</v>
      </c>
      <c r="T2108" s="12" t="str">
        <f t="shared" si="159"/>
        <v>OK</v>
      </c>
      <c r="U2108" s="12" t="str">
        <f t="shared" si="160"/>
        <v>-</v>
      </c>
      <c r="V2108" s="12" t="str" cm="1">
        <f t="array" ref="V2108">_xlfn.IFS(
ISNUMBER(SEARCH("USA",S2108)),"United States",
ISNUMBER(SEARCH("Republic of Ireland",S2108)),"Ireland",
ISNUMBER(SEARCH("Republic of Korea",S2108)),"South Korea",
ISNUMBER(SEARCH("Cape Verde",S2108)),"Cabo Verde",
ISNUMBER(SEARCH("Czechia",S2108)),"Czech Republic",
ISNUMBER(SEARCH("Türkiye",S2108)),"Turkey",
ISNUMBER(SEARCH("Ivory Coast",S2108)),"Côte d'Ivoire",
ISNUMBER(SEARCH("Korea Republic",S2108)),"South Korea",
ISNUMBER(SEARCH("Germany FR",S2108)),"FR Germany",
ISNUMBER(SEARCH("West Germany",S2108)),"FR Germany",
ISNUMBER(SEARCH("Germany DR",S2108)),"DR Germany",
ISNUMBER(SEARCH("Korea DPR",S2108)),"North Korea",
ISNUMBER(SEARCH("China PR",S2108)),"China",
ISNUMBER(SEARCH("IR Iran",S2108)),"Iran",
ISNUMBER(SEARCH("Congo DR",S2108)),"Democratic Republic of the Congo",
ISNUMBER(SEARCH("DR Congo",S2108)),"Democratic Republic of the Congo",
ISNUMBER(SEARCH("German DR",S2108)),"DR Germany",
ISNUMBER(SEARCH("rn""&gt;United Arab Emirates",S2108)),"United Arab Emirates",
ISNUMBER(SEARCH("rn""&gt;Republic of Ireland",S2108)),"Ireland",
ISNUMBER(SEARCH("rn""&gt;Bosnia and Herzegovina",S2108)),"Bosnia and Herzegovina",
ISNUMBER(SEARCH("rn""&gt;Trinidad and Tobago",S2108)),"Trinidad and Tobago",
ISNUMBER(SEARCH("rn""&gt;Serbia and Montenegro",S2108)),"Serbia and Montenegro",
ISNUMBER(SEARCH(_xlfn.UNICHAR(65533),S2108)),"Côte d'Ivoire",
TRUE,""
)</f>
        <v/>
      </c>
      <c r="W2108" s="12" t="str">
        <f t="shared" si="161"/>
        <v>Argentina</v>
      </c>
    </row>
    <row r="2109" spans="2:23">
      <c r="B2109" s="76" t="str">
        <v>1990.0</v>
      </c>
      <c r="C2109" s="42" t="str">
        <v xml:space="preserve">11 Jun 1990 - 21:00 </v>
      </c>
      <c r="D2109" s="42" t="str">
        <v>Group F</v>
      </c>
      <c r="E2109" s="42" t="str">
        <v>Sant Elia</v>
      </c>
      <c r="F2109" s="42" t="str">
        <v xml:space="preserve">Cagliari </v>
      </c>
      <c r="G2109" s="42" t="str">
        <v>England</v>
      </c>
      <c r="H2109" s="42" t="str">
        <v>1.0</v>
      </c>
      <c r="I2109" s="42" t="str">
        <v>1.0</v>
      </c>
      <c r="J2109" s="42" t="str">
        <v>rn"&gt;Republic of Ireland</v>
      </c>
      <c r="K2109" s="42" t="str">
        <v xml:space="preserve"> </v>
      </c>
      <c r="L2109" s="42" t="str">
        <f t="shared" si="158"/>
        <v xml:space="preserve">1990.0|11 Jun 1990 - 21:00 |Group F|Sant Elia|Cagliari |England|1.0|1.0|rn"&gt;Republic of Ireland| </v>
      </c>
      <c r="M2109" s="42" t="str">
        <f>IF(COUNTIF($L$1689:L2109,L2109)&gt;1,"DOUBLON","OK")</f>
        <v>OK</v>
      </c>
      <c r="S2109" s="12" t="str">
        <v>Austria</v>
      </c>
      <c r="T2109" s="12" t="str">
        <f t="shared" si="159"/>
        <v>OK</v>
      </c>
      <c r="U2109" s="12" t="str">
        <f t="shared" si="160"/>
        <v>-</v>
      </c>
      <c r="V2109" s="12" t="str" cm="1">
        <f t="array" ref="V2109">_xlfn.IFS(
ISNUMBER(SEARCH("USA",S2109)),"United States",
ISNUMBER(SEARCH("Republic of Ireland",S2109)),"Ireland",
ISNUMBER(SEARCH("Republic of Korea",S2109)),"South Korea",
ISNUMBER(SEARCH("Cape Verde",S2109)),"Cabo Verde",
ISNUMBER(SEARCH("Czechia",S2109)),"Czech Republic",
ISNUMBER(SEARCH("Türkiye",S2109)),"Turkey",
ISNUMBER(SEARCH("Ivory Coast",S2109)),"Côte d'Ivoire",
ISNUMBER(SEARCH("Korea Republic",S2109)),"South Korea",
ISNUMBER(SEARCH("Germany FR",S2109)),"FR Germany",
ISNUMBER(SEARCH("West Germany",S2109)),"FR Germany",
ISNUMBER(SEARCH("Germany DR",S2109)),"DR Germany",
ISNUMBER(SEARCH("Korea DPR",S2109)),"North Korea",
ISNUMBER(SEARCH("China PR",S2109)),"China",
ISNUMBER(SEARCH("IR Iran",S2109)),"Iran",
ISNUMBER(SEARCH("Congo DR",S2109)),"Democratic Republic of the Congo",
ISNUMBER(SEARCH("DR Congo",S2109)),"Democratic Republic of the Congo",
ISNUMBER(SEARCH("German DR",S2109)),"DR Germany",
ISNUMBER(SEARCH("rn""&gt;United Arab Emirates",S2109)),"United Arab Emirates",
ISNUMBER(SEARCH("rn""&gt;Republic of Ireland",S2109)),"Ireland",
ISNUMBER(SEARCH("rn""&gt;Bosnia and Herzegovina",S2109)),"Bosnia and Herzegovina",
ISNUMBER(SEARCH("rn""&gt;Trinidad and Tobago",S2109)),"Trinidad and Tobago",
ISNUMBER(SEARCH("rn""&gt;Serbia and Montenegro",S2109)),"Serbia and Montenegro",
ISNUMBER(SEARCH(_xlfn.UNICHAR(65533),S2109)),"Côte d'Ivoire",
TRUE,""
)</f>
        <v/>
      </c>
      <c r="W2109" s="12" t="str">
        <f t="shared" si="161"/>
        <v>Austria</v>
      </c>
    </row>
    <row r="2110" spans="2:23">
      <c r="B2110" s="76" t="str">
        <v>1990.0</v>
      </c>
      <c r="C2110" s="42" t="str">
        <v xml:space="preserve">12 Jun 1990 - 17:00 </v>
      </c>
      <c r="D2110" s="42" t="str">
        <v>Group E</v>
      </c>
      <c r="E2110" s="42" t="str">
        <v>Marc Antonio Bentegodi</v>
      </c>
      <c r="F2110" s="42" t="str">
        <v xml:space="preserve">Verona </v>
      </c>
      <c r="G2110" s="42" t="str">
        <v>Belgium</v>
      </c>
      <c r="H2110" s="42" t="str">
        <v>2.0</v>
      </c>
      <c r="I2110" s="42" t="str">
        <v>0.0</v>
      </c>
      <c r="J2110" s="42" t="str">
        <v>Korea Republic</v>
      </c>
      <c r="K2110" s="42" t="str">
        <v xml:space="preserve"> </v>
      </c>
      <c r="L2110" s="42" t="str">
        <f t="shared" si="158"/>
        <v xml:space="preserve">1990.0|12 Jun 1990 - 17:00 |Group E|Marc Antonio Bentegodi|Verona |Belgium|2.0|0.0|Korea Republic| </v>
      </c>
      <c r="M2110" s="42" t="str">
        <f>IF(COUNTIF($L$1689:L2110,L2110)&gt;1,"DOUBLON","OK")</f>
        <v>OK</v>
      </c>
      <c r="S2110" s="12" t="str">
        <v>Austria</v>
      </c>
      <c r="T2110" s="12" t="str">
        <f t="shared" si="159"/>
        <v>OK</v>
      </c>
      <c r="U2110" s="12" t="str">
        <f t="shared" si="160"/>
        <v>-</v>
      </c>
      <c r="V2110" s="12" t="str" cm="1">
        <f t="array" ref="V2110">_xlfn.IFS(
ISNUMBER(SEARCH("USA",S2110)),"United States",
ISNUMBER(SEARCH("Republic of Ireland",S2110)),"Ireland",
ISNUMBER(SEARCH("Republic of Korea",S2110)),"South Korea",
ISNUMBER(SEARCH("Cape Verde",S2110)),"Cabo Verde",
ISNUMBER(SEARCH("Czechia",S2110)),"Czech Republic",
ISNUMBER(SEARCH("Türkiye",S2110)),"Turkey",
ISNUMBER(SEARCH("Ivory Coast",S2110)),"Côte d'Ivoire",
ISNUMBER(SEARCH("Korea Republic",S2110)),"South Korea",
ISNUMBER(SEARCH("Germany FR",S2110)),"FR Germany",
ISNUMBER(SEARCH("West Germany",S2110)),"FR Germany",
ISNUMBER(SEARCH("Germany DR",S2110)),"DR Germany",
ISNUMBER(SEARCH("Korea DPR",S2110)),"North Korea",
ISNUMBER(SEARCH("China PR",S2110)),"China",
ISNUMBER(SEARCH("IR Iran",S2110)),"Iran",
ISNUMBER(SEARCH("Congo DR",S2110)),"Democratic Republic of the Congo",
ISNUMBER(SEARCH("DR Congo",S2110)),"Democratic Republic of the Congo",
ISNUMBER(SEARCH("German DR",S2110)),"DR Germany",
ISNUMBER(SEARCH("rn""&gt;United Arab Emirates",S2110)),"United Arab Emirates",
ISNUMBER(SEARCH("rn""&gt;Republic of Ireland",S2110)),"Ireland",
ISNUMBER(SEARCH("rn""&gt;Bosnia and Herzegovina",S2110)),"Bosnia and Herzegovina",
ISNUMBER(SEARCH("rn""&gt;Trinidad and Tobago",S2110)),"Trinidad and Tobago",
ISNUMBER(SEARCH("rn""&gt;Serbia and Montenegro",S2110)),"Serbia and Montenegro",
ISNUMBER(SEARCH(_xlfn.UNICHAR(65533),S2110)),"Côte d'Ivoire",
TRUE,""
)</f>
        <v/>
      </c>
      <c r="W2110" s="12" t="str">
        <f t="shared" si="161"/>
        <v>Austria</v>
      </c>
    </row>
    <row r="2111" spans="2:23">
      <c r="B2111" s="76" t="str">
        <v>1990.0</v>
      </c>
      <c r="C2111" s="42" t="str">
        <v xml:space="preserve">12 Jun 1990 - 21:00 </v>
      </c>
      <c r="D2111" s="42" t="str">
        <v>Group F</v>
      </c>
      <c r="E2111" s="42" t="str">
        <v>Della Favorita</v>
      </c>
      <c r="F2111" s="42" t="str">
        <v xml:space="preserve">Palermo </v>
      </c>
      <c r="G2111" s="42" t="str">
        <v>Netherlands</v>
      </c>
      <c r="H2111" s="42" t="str">
        <v>1.0</v>
      </c>
      <c r="I2111" s="42" t="str">
        <v>1.0</v>
      </c>
      <c r="J2111" s="42" t="str">
        <v>Egypt</v>
      </c>
      <c r="K2111" s="42" t="str">
        <v xml:space="preserve"> </v>
      </c>
      <c r="L2111" s="42" t="str">
        <f t="shared" si="158"/>
        <v xml:space="preserve">1990.0|12 Jun 1990 - 21:00 |Group F|Della Favorita|Palermo |Netherlands|1.0|1.0|Egypt| </v>
      </c>
      <c r="M2111" s="42" t="str">
        <f>IF(COUNTIF($L$1689:L2111,L2111)&gt;1,"DOUBLON","OK")</f>
        <v>OK</v>
      </c>
      <c r="S2111" s="12" t="str">
        <v>Austria</v>
      </c>
      <c r="T2111" s="12" t="str">
        <f t="shared" si="159"/>
        <v>OK</v>
      </c>
      <c r="U2111" s="12" t="str">
        <f t="shared" si="160"/>
        <v>-</v>
      </c>
      <c r="V2111" s="12" t="str" cm="1">
        <f t="array" ref="V2111">_xlfn.IFS(
ISNUMBER(SEARCH("USA",S2111)),"United States",
ISNUMBER(SEARCH("Republic of Ireland",S2111)),"Ireland",
ISNUMBER(SEARCH("Republic of Korea",S2111)),"South Korea",
ISNUMBER(SEARCH("Cape Verde",S2111)),"Cabo Verde",
ISNUMBER(SEARCH("Czechia",S2111)),"Czech Republic",
ISNUMBER(SEARCH("Türkiye",S2111)),"Turkey",
ISNUMBER(SEARCH("Ivory Coast",S2111)),"Côte d'Ivoire",
ISNUMBER(SEARCH("Korea Republic",S2111)),"South Korea",
ISNUMBER(SEARCH("Germany FR",S2111)),"FR Germany",
ISNUMBER(SEARCH("West Germany",S2111)),"FR Germany",
ISNUMBER(SEARCH("Germany DR",S2111)),"DR Germany",
ISNUMBER(SEARCH("Korea DPR",S2111)),"North Korea",
ISNUMBER(SEARCH("China PR",S2111)),"China",
ISNUMBER(SEARCH("IR Iran",S2111)),"Iran",
ISNUMBER(SEARCH("Congo DR",S2111)),"Democratic Republic of the Congo",
ISNUMBER(SEARCH("DR Congo",S2111)),"Democratic Republic of the Congo",
ISNUMBER(SEARCH("German DR",S2111)),"DR Germany",
ISNUMBER(SEARCH("rn""&gt;United Arab Emirates",S2111)),"United Arab Emirates",
ISNUMBER(SEARCH("rn""&gt;Republic of Ireland",S2111)),"Ireland",
ISNUMBER(SEARCH("rn""&gt;Bosnia and Herzegovina",S2111)),"Bosnia and Herzegovina",
ISNUMBER(SEARCH("rn""&gt;Trinidad and Tobago",S2111)),"Trinidad and Tobago",
ISNUMBER(SEARCH("rn""&gt;Serbia and Montenegro",S2111)),"Serbia and Montenegro",
ISNUMBER(SEARCH(_xlfn.UNICHAR(65533),S2111)),"Côte d'Ivoire",
TRUE,""
)</f>
        <v/>
      </c>
      <c r="W2111" s="12" t="str">
        <f t="shared" si="161"/>
        <v>Austria</v>
      </c>
    </row>
    <row r="2112" spans="2:23">
      <c r="B2112" s="76" t="str">
        <v>1990.0</v>
      </c>
      <c r="C2112" s="42" t="str">
        <v xml:space="preserve">13 Jun 1990 - 17:00 </v>
      </c>
      <c r="D2112" s="42" t="str">
        <v>Group E</v>
      </c>
      <c r="E2112" s="42" t="str">
        <v>Dacia Arena</v>
      </c>
      <c r="F2112" s="42" t="str">
        <v xml:space="preserve">Udine </v>
      </c>
      <c r="G2112" s="42" t="str">
        <v>Uruguay</v>
      </c>
      <c r="H2112" s="42" t="str">
        <v>0.0</v>
      </c>
      <c r="I2112" s="42" t="str">
        <v>0.0</v>
      </c>
      <c r="J2112" s="42" t="str">
        <v>Spain</v>
      </c>
      <c r="K2112" s="42" t="str">
        <v xml:space="preserve"> </v>
      </c>
      <c r="L2112" s="42" t="str">
        <f t="shared" si="158"/>
        <v xml:space="preserve">1990.0|13 Jun 1990 - 17:00 |Group E|Dacia Arena|Udine |Uruguay|0.0|0.0|Spain| </v>
      </c>
      <c r="M2112" s="42" t="str">
        <f>IF(COUNTIF($L$1689:L2112,L2112)&gt;1,"DOUBLON","OK")</f>
        <v>OK</v>
      </c>
      <c r="S2112" s="12" t="str">
        <v>Austria</v>
      </c>
      <c r="T2112" s="12" t="str">
        <f t="shared" si="159"/>
        <v>OK</v>
      </c>
      <c r="U2112" s="12" t="str">
        <f t="shared" si="160"/>
        <v>-</v>
      </c>
      <c r="V2112" s="12" t="str" cm="1">
        <f t="array" ref="V2112">_xlfn.IFS(
ISNUMBER(SEARCH("USA",S2112)),"United States",
ISNUMBER(SEARCH("Republic of Ireland",S2112)),"Ireland",
ISNUMBER(SEARCH("Republic of Korea",S2112)),"South Korea",
ISNUMBER(SEARCH("Cape Verde",S2112)),"Cabo Verde",
ISNUMBER(SEARCH("Czechia",S2112)),"Czech Republic",
ISNUMBER(SEARCH("Türkiye",S2112)),"Turkey",
ISNUMBER(SEARCH("Ivory Coast",S2112)),"Côte d'Ivoire",
ISNUMBER(SEARCH("Korea Republic",S2112)),"South Korea",
ISNUMBER(SEARCH("Germany FR",S2112)),"FR Germany",
ISNUMBER(SEARCH("West Germany",S2112)),"FR Germany",
ISNUMBER(SEARCH("Germany DR",S2112)),"DR Germany",
ISNUMBER(SEARCH("Korea DPR",S2112)),"North Korea",
ISNUMBER(SEARCH("China PR",S2112)),"China",
ISNUMBER(SEARCH("IR Iran",S2112)),"Iran",
ISNUMBER(SEARCH("Congo DR",S2112)),"Democratic Republic of the Congo",
ISNUMBER(SEARCH("DR Congo",S2112)),"Democratic Republic of the Congo",
ISNUMBER(SEARCH("German DR",S2112)),"DR Germany",
ISNUMBER(SEARCH("rn""&gt;United Arab Emirates",S2112)),"United Arab Emirates",
ISNUMBER(SEARCH("rn""&gt;Republic of Ireland",S2112)),"Ireland",
ISNUMBER(SEARCH("rn""&gt;Bosnia and Herzegovina",S2112)),"Bosnia and Herzegovina",
ISNUMBER(SEARCH("rn""&gt;Trinidad and Tobago",S2112)),"Trinidad and Tobago",
ISNUMBER(SEARCH("rn""&gt;Serbia and Montenegro",S2112)),"Serbia and Montenegro",
ISNUMBER(SEARCH(_xlfn.UNICHAR(65533),S2112)),"Côte d'Ivoire",
TRUE,""
)</f>
        <v/>
      </c>
      <c r="W2112" s="12" t="str">
        <f t="shared" si="161"/>
        <v>Austria</v>
      </c>
    </row>
    <row r="2113" spans="2:23">
      <c r="B2113" s="76" t="str">
        <v>1990.0</v>
      </c>
      <c r="C2113" s="42" t="str">
        <v xml:space="preserve">13 Jun 1990 - 21:00 </v>
      </c>
      <c r="D2113" s="42" t="str">
        <v>Group B</v>
      </c>
      <c r="E2113" s="42" t="str">
        <v>San Paolo</v>
      </c>
      <c r="F2113" s="42" t="str">
        <v xml:space="preserve">Naples </v>
      </c>
      <c r="G2113" s="42" t="str">
        <v>Argentina</v>
      </c>
      <c r="H2113" s="42" t="str">
        <v>2.0</v>
      </c>
      <c r="I2113" s="42" t="str">
        <v>0.0</v>
      </c>
      <c r="J2113" s="42" t="str">
        <v>Soviet Union</v>
      </c>
      <c r="K2113" s="42" t="str">
        <v xml:space="preserve"> </v>
      </c>
      <c r="L2113" s="42" t="str">
        <f t="shared" si="158"/>
        <v xml:space="preserve">1990.0|13 Jun 1990 - 21:00 |Group B|San Paolo|Naples |Argentina|2.0|0.0|Soviet Union| </v>
      </c>
      <c r="M2113" s="42" t="str">
        <f>IF(COUNTIF($L$1689:L2113,L2113)&gt;1,"DOUBLON","OK")</f>
        <v>OK</v>
      </c>
      <c r="S2113" s="12" t="str">
        <v>Austria</v>
      </c>
      <c r="T2113" s="12" t="str">
        <f t="shared" si="159"/>
        <v>OK</v>
      </c>
      <c r="U2113" s="12" t="str">
        <f t="shared" si="160"/>
        <v>-</v>
      </c>
      <c r="V2113" s="12" t="str" cm="1">
        <f t="array" ref="V2113">_xlfn.IFS(
ISNUMBER(SEARCH("USA",S2113)),"United States",
ISNUMBER(SEARCH("Republic of Ireland",S2113)),"Ireland",
ISNUMBER(SEARCH("Republic of Korea",S2113)),"South Korea",
ISNUMBER(SEARCH("Cape Verde",S2113)),"Cabo Verde",
ISNUMBER(SEARCH("Czechia",S2113)),"Czech Republic",
ISNUMBER(SEARCH("Türkiye",S2113)),"Turkey",
ISNUMBER(SEARCH("Ivory Coast",S2113)),"Côte d'Ivoire",
ISNUMBER(SEARCH("Korea Republic",S2113)),"South Korea",
ISNUMBER(SEARCH("Germany FR",S2113)),"FR Germany",
ISNUMBER(SEARCH("West Germany",S2113)),"FR Germany",
ISNUMBER(SEARCH("Germany DR",S2113)),"DR Germany",
ISNUMBER(SEARCH("Korea DPR",S2113)),"North Korea",
ISNUMBER(SEARCH("China PR",S2113)),"China",
ISNUMBER(SEARCH("IR Iran",S2113)),"Iran",
ISNUMBER(SEARCH("Congo DR",S2113)),"Democratic Republic of the Congo",
ISNUMBER(SEARCH("DR Congo",S2113)),"Democratic Republic of the Congo",
ISNUMBER(SEARCH("German DR",S2113)),"DR Germany",
ISNUMBER(SEARCH("rn""&gt;United Arab Emirates",S2113)),"United Arab Emirates",
ISNUMBER(SEARCH("rn""&gt;Republic of Ireland",S2113)),"Ireland",
ISNUMBER(SEARCH("rn""&gt;Bosnia and Herzegovina",S2113)),"Bosnia and Herzegovina",
ISNUMBER(SEARCH("rn""&gt;Trinidad and Tobago",S2113)),"Trinidad and Tobago",
ISNUMBER(SEARCH("rn""&gt;Serbia and Montenegro",S2113)),"Serbia and Montenegro",
ISNUMBER(SEARCH(_xlfn.UNICHAR(65533),S2113)),"Côte d'Ivoire",
TRUE,""
)</f>
        <v/>
      </c>
      <c r="W2113" s="12" t="str">
        <f t="shared" si="161"/>
        <v>Austria</v>
      </c>
    </row>
    <row r="2114" spans="2:23">
      <c r="B2114" s="76" t="str">
        <v>1990.0</v>
      </c>
      <c r="C2114" s="42" t="str">
        <v xml:space="preserve">14 Jun 1990 - 17:00 </v>
      </c>
      <c r="D2114" s="42" t="str">
        <v>Group B</v>
      </c>
      <c r="E2114" s="42" t="str">
        <v>Stadio San Nicola</v>
      </c>
      <c r="F2114" s="42" t="str">
        <v xml:space="preserve">Bari </v>
      </c>
      <c r="G2114" s="42" t="str">
        <v>Cameroon</v>
      </c>
      <c r="H2114" s="42" t="str">
        <v>2.0</v>
      </c>
      <c r="I2114" s="42" t="str">
        <v>1.0</v>
      </c>
      <c r="J2114" s="42" t="str">
        <v>Romania</v>
      </c>
      <c r="K2114" s="42" t="str">
        <v xml:space="preserve"> </v>
      </c>
      <c r="L2114" s="42" t="str">
        <f t="shared" si="158"/>
        <v xml:space="preserve">1990.0|14 Jun 1990 - 17:00 |Group B|Stadio San Nicola|Bari |Cameroon|2.0|1.0|Romania| </v>
      </c>
      <c r="M2114" s="42" t="str">
        <f>IF(COUNTIF($L$1689:L2114,L2114)&gt;1,"DOUBLON","OK")</f>
        <v>OK</v>
      </c>
      <c r="S2114" s="12" t="str">
        <v>Austria</v>
      </c>
      <c r="T2114" s="12" t="str">
        <f t="shared" si="159"/>
        <v>OK</v>
      </c>
      <c r="U2114" s="12" t="str">
        <f t="shared" si="160"/>
        <v>-</v>
      </c>
      <c r="V2114" s="12" t="str" cm="1">
        <f t="array" ref="V2114">_xlfn.IFS(
ISNUMBER(SEARCH("USA",S2114)),"United States",
ISNUMBER(SEARCH("Republic of Ireland",S2114)),"Ireland",
ISNUMBER(SEARCH("Republic of Korea",S2114)),"South Korea",
ISNUMBER(SEARCH("Cape Verde",S2114)),"Cabo Verde",
ISNUMBER(SEARCH("Czechia",S2114)),"Czech Republic",
ISNUMBER(SEARCH("Türkiye",S2114)),"Turkey",
ISNUMBER(SEARCH("Ivory Coast",S2114)),"Côte d'Ivoire",
ISNUMBER(SEARCH("Korea Republic",S2114)),"South Korea",
ISNUMBER(SEARCH("Germany FR",S2114)),"FR Germany",
ISNUMBER(SEARCH("West Germany",S2114)),"FR Germany",
ISNUMBER(SEARCH("Germany DR",S2114)),"DR Germany",
ISNUMBER(SEARCH("Korea DPR",S2114)),"North Korea",
ISNUMBER(SEARCH("China PR",S2114)),"China",
ISNUMBER(SEARCH("IR Iran",S2114)),"Iran",
ISNUMBER(SEARCH("Congo DR",S2114)),"Democratic Republic of the Congo",
ISNUMBER(SEARCH("DR Congo",S2114)),"Democratic Republic of the Congo",
ISNUMBER(SEARCH("German DR",S2114)),"DR Germany",
ISNUMBER(SEARCH("rn""&gt;United Arab Emirates",S2114)),"United Arab Emirates",
ISNUMBER(SEARCH("rn""&gt;Republic of Ireland",S2114)),"Ireland",
ISNUMBER(SEARCH("rn""&gt;Bosnia and Herzegovina",S2114)),"Bosnia and Herzegovina",
ISNUMBER(SEARCH("rn""&gt;Trinidad and Tobago",S2114)),"Trinidad and Tobago",
ISNUMBER(SEARCH("rn""&gt;Serbia and Montenegro",S2114)),"Serbia and Montenegro",
ISNUMBER(SEARCH(_xlfn.UNICHAR(65533),S2114)),"Côte d'Ivoire",
TRUE,""
)</f>
        <v/>
      </c>
      <c r="W2114" s="12" t="str">
        <f t="shared" si="161"/>
        <v>Austria</v>
      </c>
    </row>
    <row r="2115" spans="2:23">
      <c r="B2115" s="76" t="str">
        <v>1990.0</v>
      </c>
      <c r="C2115" s="42" t="str">
        <v xml:space="preserve">14 Jun 1990 - 17:00 </v>
      </c>
      <c r="D2115" s="42" t="str">
        <v>Group D</v>
      </c>
      <c r="E2115" s="42" t="str">
        <v>Renato Dall Ara</v>
      </c>
      <c r="F2115" s="42" t="str">
        <v xml:space="preserve">Bologna </v>
      </c>
      <c r="G2115" s="42" t="str">
        <v>Yugoslavia</v>
      </c>
      <c r="H2115" s="42" t="str">
        <v>1.0</v>
      </c>
      <c r="I2115" s="42" t="str">
        <v>0.0</v>
      </c>
      <c r="J2115" s="42" t="str">
        <v>Colombia</v>
      </c>
      <c r="K2115" s="42" t="str">
        <v xml:space="preserve"> </v>
      </c>
      <c r="L2115" s="42" t="str">
        <f t="shared" si="158"/>
        <v xml:space="preserve">1990.0|14 Jun 1990 - 17:00 |Group D|Renato Dall Ara|Bologna |Yugoslavia|1.0|0.0|Colombia| </v>
      </c>
      <c r="M2115" s="42" t="str">
        <f>IF(COUNTIF($L$1689:L2115,L2115)&gt;1,"DOUBLON","OK")</f>
        <v>OK</v>
      </c>
      <c r="S2115" s="12" t="str">
        <v>Austria</v>
      </c>
      <c r="T2115" s="12" t="str">
        <f t="shared" si="159"/>
        <v>OK</v>
      </c>
      <c r="U2115" s="12" t="str">
        <f t="shared" si="160"/>
        <v>-</v>
      </c>
      <c r="V2115" s="12" t="str" cm="1">
        <f t="array" ref="V2115">_xlfn.IFS(
ISNUMBER(SEARCH("USA",S2115)),"United States",
ISNUMBER(SEARCH("Republic of Ireland",S2115)),"Ireland",
ISNUMBER(SEARCH("Republic of Korea",S2115)),"South Korea",
ISNUMBER(SEARCH("Cape Verde",S2115)),"Cabo Verde",
ISNUMBER(SEARCH("Czechia",S2115)),"Czech Republic",
ISNUMBER(SEARCH("Türkiye",S2115)),"Turkey",
ISNUMBER(SEARCH("Ivory Coast",S2115)),"Côte d'Ivoire",
ISNUMBER(SEARCH("Korea Republic",S2115)),"South Korea",
ISNUMBER(SEARCH("Germany FR",S2115)),"FR Germany",
ISNUMBER(SEARCH("West Germany",S2115)),"FR Germany",
ISNUMBER(SEARCH("Germany DR",S2115)),"DR Germany",
ISNUMBER(SEARCH("Korea DPR",S2115)),"North Korea",
ISNUMBER(SEARCH("China PR",S2115)),"China",
ISNUMBER(SEARCH("IR Iran",S2115)),"Iran",
ISNUMBER(SEARCH("Congo DR",S2115)),"Democratic Republic of the Congo",
ISNUMBER(SEARCH("DR Congo",S2115)),"Democratic Republic of the Congo",
ISNUMBER(SEARCH("German DR",S2115)),"DR Germany",
ISNUMBER(SEARCH("rn""&gt;United Arab Emirates",S2115)),"United Arab Emirates",
ISNUMBER(SEARCH("rn""&gt;Republic of Ireland",S2115)),"Ireland",
ISNUMBER(SEARCH("rn""&gt;Bosnia and Herzegovina",S2115)),"Bosnia and Herzegovina",
ISNUMBER(SEARCH("rn""&gt;Trinidad and Tobago",S2115)),"Trinidad and Tobago",
ISNUMBER(SEARCH("rn""&gt;Serbia and Montenegro",S2115)),"Serbia and Montenegro",
ISNUMBER(SEARCH(_xlfn.UNICHAR(65533),S2115)),"Côte d'Ivoire",
TRUE,""
)</f>
        <v/>
      </c>
      <c r="W2115" s="12" t="str">
        <f t="shared" si="161"/>
        <v>Austria</v>
      </c>
    </row>
    <row r="2116" spans="2:23">
      <c r="B2116" s="76" t="str">
        <v>1990.0</v>
      </c>
      <c r="C2116" s="42" t="str">
        <v xml:space="preserve">14 Jun 1990 - 21:00 </v>
      </c>
      <c r="D2116" s="42" t="str">
        <v>Group A</v>
      </c>
      <c r="E2116" s="42" t="str">
        <v>Stadio Olimpico</v>
      </c>
      <c r="F2116" s="42" t="str">
        <v xml:space="preserve">Rome </v>
      </c>
      <c r="G2116" s="42" t="str">
        <v>Italy</v>
      </c>
      <c r="H2116" s="42" t="str">
        <v>1.0</v>
      </c>
      <c r="I2116" s="42" t="str">
        <v>0.0</v>
      </c>
      <c r="J2116" s="42" t="str">
        <v>USA</v>
      </c>
      <c r="K2116" s="42" t="str">
        <v xml:space="preserve"> </v>
      </c>
      <c r="L2116" s="42" t="str">
        <f t="shared" si="158"/>
        <v xml:space="preserve">1990.0|14 Jun 1990 - 21:00 |Group A|Stadio Olimpico|Rome |Italy|1.0|0.0|USA| </v>
      </c>
      <c r="M2116" s="42" t="str">
        <f>IF(COUNTIF($L$1689:L2116,L2116)&gt;1,"DOUBLON","OK")</f>
        <v>OK</v>
      </c>
      <c r="S2116" s="12" t="str">
        <v>Austria</v>
      </c>
      <c r="T2116" s="12" t="str">
        <f t="shared" si="159"/>
        <v>OK</v>
      </c>
      <c r="U2116" s="12" t="str">
        <f t="shared" si="160"/>
        <v>-</v>
      </c>
      <c r="V2116" s="12" t="str" cm="1">
        <f t="array" ref="V2116">_xlfn.IFS(
ISNUMBER(SEARCH("USA",S2116)),"United States",
ISNUMBER(SEARCH("Republic of Ireland",S2116)),"Ireland",
ISNUMBER(SEARCH("Republic of Korea",S2116)),"South Korea",
ISNUMBER(SEARCH("Cape Verde",S2116)),"Cabo Verde",
ISNUMBER(SEARCH("Czechia",S2116)),"Czech Republic",
ISNUMBER(SEARCH("Türkiye",S2116)),"Turkey",
ISNUMBER(SEARCH("Ivory Coast",S2116)),"Côte d'Ivoire",
ISNUMBER(SEARCH("Korea Republic",S2116)),"South Korea",
ISNUMBER(SEARCH("Germany FR",S2116)),"FR Germany",
ISNUMBER(SEARCH("West Germany",S2116)),"FR Germany",
ISNUMBER(SEARCH("Germany DR",S2116)),"DR Germany",
ISNUMBER(SEARCH("Korea DPR",S2116)),"North Korea",
ISNUMBER(SEARCH("China PR",S2116)),"China",
ISNUMBER(SEARCH("IR Iran",S2116)),"Iran",
ISNUMBER(SEARCH("Congo DR",S2116)),"Democratic Republic of the Congo",
ISNUMBER(SEARCH("DR Congo",S2116)),"Democratic Republic of the Congo",
ISNUMBER(SEARCH("German DR",S2116)),"DR Germany",
ISNUMBER(SEARCH("rn""&gt;United Arab Emirates",S2116)),"United Arab Emirates",
ISNUMBER(SEARCH("rn""&gt;Republic of Ireland",S2116)),"Ireland",
ISNUMBER(SEARCH("rn""&gt;Bosnia and Herzegovina",S2116)),"Bosnia and Herzegovina",
ISNUMBER(SEARCH("rn""&gt;Trinidad and Tobago",S2116)),"Trinidad and Tobago",
ISNUMBER(SEARCH("rn""&gt;Serbia and Montenegro",S2116)),"Serbia and Montenegro",
ISNUMBER(SEARCH(_xlfn.UNICHAR(65533),S2116)),"Côte d'Ivoire",
TRUE,""
)</f>
        <v/>
      </c>
      <c r="W2116" s="12" t="str">
        <f t="shared" si="161"/>
        <v>Austria</v>
      </c>
    </row>
    <row r="2117" spans="2:23">
      <c r="B2117" s="76" t="str">
        <v>1990.0</v>
      </c>
      <c r="C2117" s="42" t="str">
        <v xml:space="preserve">15 Jun 1990 - 17:00 </v>
      </c>
      <c r="D2117" s="42" t="str">
        <v>Group A</v>
      </c>
      <c r="E2117" s="42" t="str">
        <v>Comunale</v>
      </c>
      <c r="F2117" s="42" t="str">
        <v xml:space="preserve">Florence </v>
      </c>
      <c r="G2117" s="42" t="str">
        <v>Austria</v>
      </c>
      <c r="H2117" s="42" t="str">
        <v>0.0</v>
      </c>
      <c r="I2117" s="42" t="str">
        <v>1.0</v>
      </c>
      <c r="J2117" s="42" t="str">
        <v>Czechoslovakia</v>
      </c>
      <c r="K2117" s="42" t="str">
        <v xml:space="preserve"> </v>
      </c>
      <c r="L2117" s="42" t="str">
        <f t="shared" si="158"/>
        <v xml:space="preserve">1990.0|15 Jun 1990 - 17:00 |Group A|Comunale|Florence |Austria|0.0|1.0|Czechoslovakia| </v>
      </c>
      <c r="M2117" s="42" t="str">
        <f>IF(COUNTIF($L$1689:L2117,L2117)&gt;1,"DOUBLON","OK")</f>
        <v>OK</v>
      </c>
      <c r="S2117" s="12" t="str">
        <v>Austria</v>
      </c>
      <c r="T2117" s="12" t="str">
        <f t="shared" si="159"/>
        <v>OK</v>
      </c>
      <c r="U2117" s="12" t="str">
        <f t="shared" si="160"/>
        <v>-</v>
      </c>
      <c r="V2117" s="12" t="str" cm="1">
        <f t="array" ref="V2117">_xlfn.IFS(
ISNUMBER(SEARCH("USA",S2117)),"United States",
ISNUMBER(SEARCH("Republic of Ireland",S2117)),"Ireland",
ISNUMBER(SEARCH("Republic of Korea",S2117)),"South Korea",
ISNUMBER(SEARCH("Cape Verde",S2117)),"Cabo Verde",
ISNUMBER(SEARCH("Czechia",S2117)),"Czech Republic",
ISNUMBER(SEARCH("Türkiye",S2117)),"Turkey",
ISNUMBER(SEARCH("Ivory Coast",S2117)),"Côte d'Ivoire",
ISNUMBER(SEARCH("Korea Republic",S2117)),"South Korea",
ISNUMBER(SEARCH("Germany FR",S2117)),"FR Germany",
ISNUMBER(SEARCH("West Germany",S2117)),"FR Germany",
ISNUMBER(SEARCH("Germany DR",S2117)),"DR Germany",
ISNUMBER(SEARCH("Korea DPR",S2117)),"North Korea",
ISNUMBER(SEARCH("China PR",S2117)),"China",
ISNUMBER(SEARCH("IR Iran",S2117)),"Iran",
ISNUMBER(SEARCH("Congo DR",S2117)),"Democratic Republic of the Congo",
ISNUMBER(SEARCH("DR Congo",S2117)),"Democratic Republic of the Congo",
ISNUMBER(SEARCH("German DR",S2117)),"DR Germany",
ISNUMBER(SEARCH("rn""&gt;United Arab Emirates",S2117)),"United Arab Emirates",
ISNUMBER(SEARCH("rn""&gt;Republic of Ireland",S2117)),"Ireland",
ISNUMBER(SEARCH("rn""&gt;Bosnia and Herzegovina",S2117)),"Bosnia and Herzegovina",
ISNUMBER(SEARCH("rn""&gt;Trinidad and Tobago",S2117)),"Trinidad and Tobago",
ISNUMBER(SEARCH("rn""&gt;Serbia and Montenegro",S2117)),"Serbia and Montenegro",
ISNUMBER(SEARCH(_xlfn.UNICHAR(65533),S2117)),"Côte d'Ivoire",
TRUE,""
)</f>
        <v/>
      </c>
      <c r="W2117" s="12" t="str">
        <f t="shared" si="161"/>
        <v>Austria</v>
      </c>
    </row>
    <row r="2118" spans="2:23">
      <c r="B2118" s="76" t="str">
        <v>1990.0</v>
      </c>
      <c r="C2118" s="42" t="str">
        <v xml:space="preserve">15 Jun 1990 - 21:00 </v>
      </c>
      <c r="D2118" s="42" t="str">
        <v>Group D</v>
      </c>
      <c r="E2118" s="42" t="str">
        <v>Giuseppe Meazza</v>
      </c>
      <c r="F2118" s="42" t="str">
        <v xml:space="preserve">Milan </v>
      </c>
      <c r="G2118" s="42" t="str">
        <v>Germany FR</v>
      </c>
      <c r="H2118" s="42" t="str">
        <v>5.0</v>
      </c>
      <c r="I2118" s="42" t="str">
        <v>1.0</v>
      </c>
      <c r="J2118" s="42" t="str">
        <v>rn"&gt;United Arab Emirates</v>
      </c>
      <c r="K2118" s="42" t="str">
        <v xml:space="preserve"> </v>
      </c>
      <c r="L2118" s="42" t="str">
        <f t="shared" si="158"/>
        <v xml:space="preserve">1990.0|15 Jun 1990 - 21:00 |Group D|Giuseppe Meazza|Milan |Germany FR|5.0|1.0|rn"&gt;United Arab Emirates| </v>
      </c>
      <c r="M2118" s="42" t="str">
        <f>IF(COUNTIF($L$1689:L2118,L2118)&gt;1,"DOUBLON","OK")</f>
        <v>OK</v>
      </c>
      <c r="S2118" s="12" t="str">
        <v>Austria</v>
      </c>
      <c r="T2118" s="12" t="str">
        <f t="shared" si="159"/>
        <v>OK</v>
      </c>
      <c r="U2118" s="12" t="str">
        <f t="shared" si="160"/>
        <v>-</v>
      </c>
      <c r="V2118" s="12" t="str" cm="1">
        <f t="array" ref="V2118">_xlfn.IFS(
ISNUMBER(SEARCH("USA",S2118)),"United States",
ISNUMBER(SEARCH("Republic of Ireland",S2118)),"Ireland",
ISNUMBER(SEARCH("Republic of Korea",S2118)),"South Korea",
ISNUMBER(SEARCH("Cape Verde",S2118)),"Cabo Verde",
ISNUMBER(SEARCH("Czechia",S2118)),"Czech Republic",
ISNUMBER(SEARCH("Türkiye",S2118)),"Turkey",
ISNUMBER(SEARCH("Ivory Coast",S2118)),"Côte d'Ivoire",
ISNUMBER(SEARCH("Korea Republic",S2118)),"South Korea",
ISNUMBER(SEARCH("Germany FR",S2118)),"FR Germany",
ISNUMBER(SEARCH("West Germany",S2118)),"FR Germany",
ISNUMBER(SEARCH("Germany DR",S2118)),"DR Germany",
ISNUMBER(SEARCH("Korea DPR",S2118)),"North Korea",
ISNUMBER(SEARCH("China PR",S2118)),"China",
ISNUMBER(SEARCH("IR Iran",S2118)),"Iran",
ISNUMBER(SEARCH("Congo DR",S2118)),"Democratic Republic of the Congo",
ISNUMBER(SEARCH("DR Congo",S2118)),"Democratic Republic of the Congo",
ISNUMBER(SEARCH("German DR",S2118)),"DR Germany",
ISNUMBER(SEARCH("rn""&gt;United Arab Emirates",S2118)),"United Arab Emirates",
ISNUMBER(SEARCH("rn""&gt;Republic of Ireland",S2118)),"Ireland",
ISNUMBER(SEARCH("rn""&gt;Bosnia and Herzegovina",S2118)),"Bosnia and Herzegovina",
ISNUMBER(SEARCH("rn""&gt;Trinidad and Tobago",S2118)),"Trinidad and Tobago",
ISNUMBER(SEARCH("rn""&gt;Serbia and Montenegro",S2118)),"Serbia and Montenegro",
ISNUMBER(SEARCH(_xlfn.UNICHAR(65533),S2118)),"Côte d'Ivoire",
TRUE,""
)</f>
        <v/>
      </c>
      <c r="W2118" s="12" t="str">
        <f t="shared" si="161"/>
        <v>Austria</v>
      </c>
    </row>
    <row r="2119" spans="2:23">
      <c r="B2119" s="76" t="str">
        <v>1990.0</v>
      </c>
      <c r="C2119" s="42" t="str">
        <v xml:space="preserve">16 Jun 1990 - 17:00 </v>
      </c>
      <c r="D2119" s="42" t="str">
        <v>Group C</v>
      </c>
      <c r="E2119" s="42" t="str">
        <v>Stadio delle Alpi</v>
      </c>
      <c r="F2119" s="42" t="str">
        <v xml:space="preserve">Turin </v>
      </c>
      <c r="G2119" s="42" t="str">
        <v>Brazil</v>
      </c>
      <c r="H2119" s="42" t="str">
        <v>1.0</v>
      </c>
      <c r="I2119" s="42" t="str">
        <v>0.0</v>
      </c>
      <c r="J2119" s="42" t="str">
        <v>Costa Rica</v>
      </c>
      <c r="K2119" s="42" t="str">
        <v xml:space="preserve"> </v>
      </c>
      <c r="L2119" s="42" t="str">
        <f t="shared" si="158"/>
        <v xml:space="preserve">1990.0|16 Jun 1990 - 17:00 |Group C|Stadio delle Alpi|Turin |Brazil|1.0|0.0|Costa Rica| </v>
      </c>
      <c r="M2119" s="42" t="str">
        <f>IF(COUNTIF($L$1689:L2119,L2119)&gt;1,"DOUBLON","OK")</f>
        <v>OK</v>
      </c>
      <c r="S2119" s="12" t="str">
        <v>Austria</v>
      </c>
      <c r="T2119" s="12" t="str">
        <f t="shared" si="159"/>
        <v>OK</v>
      </c>
      <c r="U2119" s="12" t="str">
        <f t="shared" si="160"/>
        <v>-</v>
      </c>
      <c r="V2119" s="12" t="str" cm="1">
        <f t="array" ref="V2119">_xlfn.IFS(
ISNUMBER(SEARCH("USA",S2119)),"United States",
ISNUMBER(SEARCH("Republic of Ireland",S2119)),"Ireland",
ISNUMBER(SEARCH("Republic of Korea",S2119)),"South Korea",
ISNUMBER(SEARCH("Cape Verde",S2119)),"Cabo Verde",
ISNUMBER(SEARCH("Czechia",S2119)),"Czech Republic",
ISNUMBER(SEARCH("Türkiye",S2119)),"Turkey",
ISNUMBER(SEARCH("Ivory Coast",S2119)),"Côte d'Ivoire",
ISNUMBER(SEARCH("Korea Republic",S2119)),"South Korea",
ISNUMBER(SEARCH("Germany FR",S2119)),"FR Germany",
ISNUMBER(SEARCH("West Germany",S2119)),"FR Germany",
ISNUMBER(SEARCH("Germany DR",S2119)),"DR Germany",
ISNUMBER(SEARCH("Korea DPR",S2119)),"North Korea",
ISNUMBER(SEARCH("China PR",S2119)),"China",
ISNUMBER(SEARCH("IR Iran",S2119)),"Iran",
ISNUMBER(SEARCH("Congo DR",S2119)),"Democratic Republic of the Congo",
ISNUMBER(SEARCH("DR Congo",S2119)),"Democratic Republic of the Congo",
ISNUMBER(SEARCH("German DR",S2119)),"DR Germany",
ISNUMBER(SEARCH("rn""&gt;United Arab Emirates",S2119)),"United Arab Emirates",
ISNUMBER(SEARCH("rn""&gt;Republic of Ireland",S2119)),"Ireland",
ISNUMBER(SEARCH("rn""&gt;Bosnia and Herzegovina",S2119)),"Bosnia and Herzegovina",
ISNUMBER(SEARCH("rn""&gt;Trinidad and Tobago",S2119)),"Trinidad and Tobago",
ISNUMBER(SEARCH("rn""&gt;Serbia and Montenegro",S2119)),"Serbia and Montenegro",
ISNUMBER(SEARCH(_xlfn.UNICHAR(65533),S2119)),"Côte d'Ivoire",
TRUE,""
)</f>
        <v/>
      </c>
      <c r="W2119" s="12" t="str">
        <f t="shared" si="161"/>
        <v>Austria</v>
      </c>
    </row>
    <row r="2120" spans="2:23">
      <c r="B2120" s="76" t="str">
        <v>1990.0</v>
      </c>
      <c r="C2120" s="42" t="str">
        <v xml:space="preserve">16 Jun 1990 - 21:00 </v>
      </c>
      <c r="D2120" s="42" t="str">
        <v>Group C</v>
      </c>
      <c r="E2120" s="42" t="str">
        <v>Luigi Ferraris</v>
      </c>
      <c r="F2120" s="42" t="str">
        <v xml:space="preserve">Genoa </v>
      </c>
      <c r="G2120" s="42" t="str">
        <v>Sweden</v>
      </c>
      <c r="H2120" s="42" t="str">
        <v>1.0</v>
      </c>
      <c r="I2120" s="42" t="str">
        <v>2.0</v>
      </c>
      <c r="J2120" s="42" t="str">
        <v>Scotland</v>
      </c>
      <c r="K2120" s="42" t="str">
        <v xml:space="preserve"> </v>
      </c>
      <c r="L2120" s="42" t="str">
        <f t="shared" si="158"/>
        <v xml:space="preserve">1990.0|16 Jun 1990 - 21:00 |Group C|Luigi Ferraris|Genoa |Sweden|1.0|2.0|Scotland| </v>
      </c>
      <c r="M2120" s="42" t="str">
        <f>IF(COUNTIF($L$1689:L2120,L2120)&gt;1,"DOUBLON","OK")</f>
        <v>OK</v>
      </c>
      <c r="S2120" s="12" t="str">
        <v>Austria</v>
      </c>
      <c r="T2120" s="12" t="str">
        <f t="shared" si="159"/>
        <v>OK</v>
      </c>
      <c r="U2120" s="12" t="str">
        <f t="shared" si="160"/>
        <v>-</v>
      </c>
      <c r="V2120" s="12" t="str" cm="1">
        <f t="array" ref="V2120">_xlfn.IFS(
ISNUMBER(SEARCH("USA",S2120)),"United States",
ISNUMBER(SEARCH("Republic of Ireland",S2120)),"Ireland",
ISNUMBER(SEARCH("Republic of Korea",S2120)),"South Korea",
ISNUMBER(SEARCH("Cape Verde",S2120)),"Cabo Verde",
ISNUMBER(SEARCH("Czechia",S2120)),"Czech Republic",
ISNUMBER(SEARCH("Türkiye",S2120)),"Turkey",
ISNUMBER(SEARCH("Ivory Coast",S2120)),"Côte d'Ivoire",
ISNUMBER(SEARCH("Korea Republic",S2120)),"South Korea",
ISNUMBER(SEARCH("Germany FR",S2120)),"FR Germany",
ISNUMBER(SEARCH("West Germany",S2120)),"FR Germany",
ISNUMBER(SEARCH("Germany DR",S2120)),"DR Germany",
ISNUMBER(SEARCH("Korea DPR",S2120)),"North Korea",
ISNUMBER(SEARCH("China PR",S2120)),"China",
ISNUMBER(SEARCH("IR Iran",S2120)),"Iran",
ISNUMBER(SEARCH("Congo DR",S2120)),"Democratic Republic of the Congo",
ISNUMBER(SEARCH("DR Congo",S2120)),"Democratic Republic of the Congo",
ISNUMBER(SEARCH("German DR",S2120)),"DR Germany",
ISNUMBER(SEARCH("rn""&gt;United Arab Emirates",S2120)),"United Arab Emirates",
ISNUMBER(SEARCH("rn""&gt;Republic of Ireland",S2120)),"Ireland",
ISNUMBER(SEARCH("rn""&gt;Bosnia and Herzegovina",S2120)),"Bosnia and Herzegovina",
ISNUMBER(SEARCH("rn""&gt;Trinidad and Tobago",S2120)),"Trinidad and Tobago",
ISNUMBER(SEARCH("rn""&gt;Serbia and Montenegro",S2120)),"Serbia and Montenegro",
ISNUMBER(SEARCH(_xlfn.UNICHAR(65533),S2120)),"Côte d'Ivoire",
TRUE,""
)</f>
        <v/>
      </c>
      <c r="W2120" s="12" t="str">
        <f t="shared" si="161"/>
        <v>Austria</v>
      </c>
    </row>
    <row r="2121" spans="2:23">
      <c r="B2121" s="76" t="str">
        <v>1990.0</v>
      </c>
      <c r="C2121" s="42" t="str">
        <v xml:space="preserve">16 Jun 1990 - 21:00 </v>
      </c>
      <c r="D2121" s="42" t="str">
        <v>Group F</v>
      </c>
      <c r="E2121" s="42" t="str">
        <v>Sant Elia</v>
      </c>
      <c r="F2121" s="42" t="str">
        <v xml:space="preserve">Cagliari </v>
      </c>
      <c r="G2121" s="42" t="str">
        <v>England</v>
      </c>
      <c r="H2121" s="42" t="str">
        <v>0.0</v>
      </c>
      <c r="I2121" s="42" t="str">
        <v>0.0</v>
      </c>
      <c r="J2121" s="42" t="str">
        <v>Netherlands</v>
      </c>
      <c r="K2121" s="42" t="str">
        <v xml:space="preserve"> </v>
      </c>
      <c r="L2121" s="42" t="str">
        <f t="shared" si="158"/>
        <v xml:space="preserve">1990.0|16 Jun 1990 - 21:00 |Group F|Sant Elia|Cagliari |England|0.0|0.0|Netherlands| </v>
      </c>
      <c r="M2121" s="42" t="str">
        <f>IF(COUNTIF($L$1689:L2121,L2121)&gt;1,"DOUBLON","OK")</f>
        <v>OK</v>
      </c>
      <c r="S2121" s="12" t="str">
        <v>Austria</v>
      </c>
      <c r="T2121" s="12" t="str">
        <f t="shared" si="159"/>
        <v>OK</v>
      </c>
      <c r="U2121" s="12" t="str">
        <f t="shared" si="160"/>
        <v>-</v>
      </c>
      <c r="V2121" s="12" t="str" cm="1">
        <f t="array" ref="V2121">_xlfn.IFS(
ISNUMBER(SEARCH("USA",S2121)),"United States",
ISNUMBER(SEARCH("Republic of Ireland",S2121)),"Ireland",
ISNUMBER(SEARCH("Republic of Korea",S2121)),"South Korea",
ISNUMBER(SEARCH("Cape Verde",S2121)),"Cabo Verde",
ISNUMBER(SEARCH("Czechia",S2121)),"Czech Republic",
ISNUMBER(SEARCH("Türkiye",S2121)),"Turkey",
ISNUMBER(SEARCH("Ivory Coast",S2121)),"Côte d'Ivoire",
ISNUMBER(SEARCH("Korea Republic",S2121)),"South Korea",
ISNUMBER(SEARCH("Germany FR",S2121)),"FR Germany",
ISNUMBER(SEARCH("West Germany",S2121)),"FR Germany",
ISNUMBER(SEARCH("Germany DR",S2121)),"DR Germany",
ISNUMBER(SEARCH("Korea DPR",S2121)),"North Korea",
ISNUMBER(SEARCH("China PR",S2121)),"China",
ISNUMBER(SEARCH("IR Iran",S2121)),"Iran",
ISNUMBER(SEARCH("Congo DR",S2121)),"Democratic Republic of the Congo",
ISNUMBER(SEARCH("DR Congo",S2121)),"Democratic Republic of the Congo",
ISNUMBER(SEARCH("German DR",S2121)),"DR Germany",
ISNUMBER(SEARCH("rn""&gt;United Arab Emirates",S2121)),"United Arab Emirates",
ISNUMBER(SEARCH("rn""&gt;Republic of Ireland",S2121)),"Ireland",
ISNUMBER(SEARCH("rn""&gt;Bosnia and Herzegovina",S2121)),"Bosnia and Herzegovina",
ISNUMBER(SEARCH("rn""&gt;Trinidad and Tobago",S2121)),"Trinidad and Tobago",
ISNUMBER(SEARCH("rn""&gt;Serbia and Montenegro",S2121)),"Serbia and Montenegro",
ISNUMBER(SEARCH(_xlfn.UNICHAR(65533),S2121)),"Côte d'Ivoire",
TRUE,""
)</f>
        <v/>
      </c>
      <c r="W2121" s="12" t="str">
        <f t="shared" si="161"/>
        <v>Austria</v>
      </c>
    </row>
    <row r="2122" spans="2:23">
      <c r="B2122" s="76" t="str">
        <v>1990.0</v>
      </c>
      <c r="C2122" s="42" t="str">
        <v xml:space="preserve">17 Jun 1990 - 17:00 </v>
      </c>
      <c r="D2122" s="42" t="str">
        <v>Group F</v>
      </c>
      <c r="E2122" s="42" t="str">
        <v>Della Favorita</v>
      </c>
      <c r="F2122" s="42" t="str">
        <v xml:space="preserve">Palermo </v>
      </c>
      <c r="G2122" s="42" t="str">
        <v>rn"&gt;Republic of Ireland</v>
      </c>
      <c r="H2122" s="42" t="str">
        <v>0.0</v>
      </c>
      <c r="I2122" s="42" t="str">
        <v>0.0</v>
      </c>
      <c r="J2122" s="42" t="str">
        <v>Egypt</v>
      </c>
      <c r="K2122" s="42" t="str">
        <v xml:space="preserve"> </v>
      </c>
      <c r="L2122" s="42" t="str">
        <f t="shared" si="158"/>
        <v xml:space="preserve">1990.0|17 Jun 1990 - 17:00 |Group F|Della Favorita|Palermo |rn"&gt;Republic of Ireland|0.0|0.0|Egypt| </v>
      </c>
      <c r="M2122" s="42" t="str">
        <f>IF(COUNTIF($L$1689:L2122,L2122)&gt;1,"DOUBLON","OK")</f>
        <v>OK</v>
      </c>
      <c r="S2122" s="12" t="str">
        <v>Austria</v>
      </c>
      <c r="T2122" s="12" t="str">
        <f t="shared" si="159"/>
        <v>OK</v>
      </c>
      <c r="U2122" s="12" t="str">
        <f t="shared" si="160"/>
        <v>-</v>
      </c>
      <c r="V2122" s="12" t="str" cm="1">
        <f t="array" ref="V2122">_xlfn.IFS(
ISNUMBER(SEARCH("USA",S2122)),"United States",
ISNUMBER(SEARCH("Republic of Ireland",S2122)),"Ireland",
ISNUMBER(SEARCH("Republic of Korea",S2122)),"South Korea",
ISNUMBER(SEARCH("Cape Verde",S2122)),"Cabo Verde",
ISNUMBER(SEARCH("Czechia",S2122)),"Czech Republic",
ISNUMBER(SEARCH("Türkiye",S2122)),"Turkey",
ISNUMBER(SEARCH("Ivory Coast",S2122)),"Côte d'Ivoire",
ISNUMBER(SEARCH("Korea Republic",S2122)),"South Korea",
ISNUMBER(SEARCH("Germany FR",S2122)),"FR Germany",
ISNUMBER(SEARCH("West Germany",S2122)),"FR Germany",
ISNUMBER(SEARCH("Germany DR",S2122)),"DR Germany",
ISNUMBER(SEARCH("Korea DPR",S2122)),"North Korea",
ISNUMBER(SEARCH("China PR",S2122)),"China",
ISNUMBER(SEARCH("IR Iran",S2122)),"Iran",
ISNUMBER(SEARCH("Congo DR",S2122)),"Democratic Republic of the Congo",
ISNUMBER(SEARCH("DR Congo",S2122)),"Democratic Republic of the Congo",
ISNUMBER(SEARCH("German DR",S2122)),"DR Germany",
ISNUMBER(SEARCH("rn""&gt;United Arab Emirates",S2122)),"United Arab Emirates",
ISNUMBER(SEARCH("rn""&gt;Republic of Ireland",S2122)),"Ireland",
ISNUMBER(SEARCH("rn""&gt;Bosnia and Herzegovina",S2122)),"Bosnia and Herzegovina",
ISNUMBER(SEARCH("rn""&gt;Trinidad and Tobago",S2122)),"Trinidad and Tobago",
ISNUMBER(SEARCH("rn""&gt;Serbia and Montenegro",S2122)),"Serbia and Montenegro",
ISNUMBER(SEARCH(_xlfn.UNICHAR(65533),S2122)),"Côte d'Ivoire",
TRUE,""
)</f>
        <v/>
      </c>
      <c r="W2122" s="12" t="str">
        <f t="shared" si="161"/>
        <v>Austria</v>
      </c>
    </row>
    <row r="2123" spans="2:23">
      <c r="B2123" s="76" t="str">
        <v>1990.0</v>
      </c>
      <c r="C2123" s="42" t="str">
        <v xml:space="preserve">17 Jun 1990 - 21:00 </v>
      </c>
      <c r="D2123" s="42" t="str">
        <v>Group E</v>
      </c>
      <c r="E2123" s="42" t="str">
        <v>Dacia Arena</v>
      </c>
      <c r="F2123" s="42" t="str">
        <v xml:space="preserve">Udine </v>
      </c>
      <c r="G2123" s="42" t="str">
        <v>Korea Republic</v>
      </c>
      <c r="H2123" s="42" t="str">
        <v>1.0</v>
      </c>
      <c r="I2123" s="42" t="str">
        <v>3.0</v>
      </c>
      <c r="J2123" s="42" t="str">
        <v>Spain</v>
      </c>
      <c r="K2123" s="42" t="str">
        <v xml:space="preserve"> </v>
      </c>
      <c r="L2123" s="42" t="str">
        <f t="shared" si="158"/>
        <v xml:space="preserve">1990.0|17 Jun 1990 - 21:00 |Group E|Dacia Arena|Udine |Korea Republic|1.0|3.0|Spain| </v>
      </c>
      <c r="M2123" s="42" t="str">
        <f>IF(COUNTIF($L$1689:L2123,L2123)&gt;1,"DOUBLON","OK")</f>
        <v>OK</v>
      </c>
      <c r="S2123" s="12" t="str">
        <v>Austria</v>
      </c>
      <c r="T2123" s="12" t="str">
        <f t="shared" si="159"/>
        <v>OK</v>
      </c>
      <c r="U2123" s="12" t="str">
        <f t="shared" si="160"/>
        <v>-</v>
      </c>
      <c r="V2123" s="12" t="str" cm="1">
        <f t="array" ref="V2123">_xlfn.IFS(
ISNUMBER(SEARCH("USA",S2123)),"United States",
ISNUMBER(SEARCH("Republic of Ireland",S2123)),"Ireland",
ISNUMBER(SEARCH("Republic of Korea",S2123)),"South Korea",
ISNUMBER(SEARCH("Cape Verde",S2123)),"Cabo Verde",
ISNUMBER(SEARCH("Czechia",S2123)),"Czech Republic",
ISNUMBER(SEARCH("Türkiye",S2123)),"Turkey",
ISNUMBER(SEARCH("Ivory Coast",S2123)),"Côte d'Ivoire",
ISNUMBER(SEARCH("Korea Republic",S2123)),"South Korea",
ISNUMBER(SEARCH("Germany FR",S2123)),"FR Germany",
ISNUMBER(SEARCH("West Germany",S2123)),"FR Germany",
ISNUMBER(SEARCH("Germany DR",S2123)),"DR Germany",
ISNUMBER(SEARCH("Korea DPR",S2123)),"North Korea",
ISNUMBER(SEARCH("China PR",S2123)),"China",
ISNUMBER(SEARCH("IR Iran",S2123)),"Iran",
ISNUMBER(SEARCH("Congo DR",S2123)),"Democratic Republic of the Congo",
ISNUMBER(SEARCH("DR Congo",S2123)),"Democratic Republic of the Congo",
ISNUMBER(SEARCH("German DR",S2123)),"DR Germany",
ISNUMBER(SEARCH("rn""&gt;United Arab Emirates",S2123)),"United Arab Emirates",
ISNUMBER(SEARCH("rn""&gt;Republic of Ireland",S2123)),"Ireland",
ISNUMBER(SEARCH("rn""&gt;Bosnia and Herzegovina",S2123)),"Bosnia and Herzegovina",
ISNUMBER(SEARCH("rn""&gt;Trinidad and Tobago",S2123)),"Trinidad and Tobago",
ISNUMBER(SEARCH("rn""&gt;Serbia and Montenegro",S2123)),"Serbia and Montenegro",
ISNUMBER(SEARCH(_xlfn.UNICHAR(65533),S2123)),"Côte d'Ivoire",
TRUE,""
)</f>
        <v/>
      </c>
      <c r="W2123" s="12" t="str">
        <f t="shared" si="161"/>
        <v>Austria</v>
      </c>
    </row>
    <row r="2124" spans="2:23">
      <c r="B2124" s="76" t="str">
        <v>1990.0</v>
      </c>
      <c r="C2124" s="42" t="str">
        <v xml:space="preserve">17 Jun 1990 - 21:00 </v>
      </c>
      <c r="D2124" s="42" t="str">
        <v>Group E</v>
      </c>
      <c r="E2124" s="42" t="str">
        <v>Marc Antonio Bentegodi</v>
      </c>
      <c r="F2124" s="42" t="str">
        <v xml:space="preserve">Verona </v>
      </c>
      <c r="G2124" s="42" t="str">
        <v>Belgium</v>
      </c>
      <c r="H2124" s="42" t="str">
        <v>3.0</v>
      </c>
      <c r="I2124" s="42" t="str">
        <v>1.0</v>
      </c>
      <c r="J2124" s="42" t="str">
        <v>Uruguay</v>
      </c>
      <c r="K2124" s="42" t="str">
        <v xml:space="preserve"> </v>
      </c>
      <c r="L2124" s="42" t="str">
        <f t="shared" si="158"/>
        <v xml:space="preserve">1990.0|17 Jun 1990 - 21:00 |Group E|Marc Antonio Bentegodi|Verona |Belgium|3.0|1.0|Uruguay| </v>
      </c>
      <c r="M2124" s="42" t="str">
        <f>IF(COUNTIF($L$1689:L2124,L2124)&gt;1,"DOUBLON","OK")</f>
        <v>OK</v>
      </c>
      <c r="S2124" s="12" t="str">
        <v>Austria</v>
      </c>
      <c r="T2124" s="12" t="str">
        <f t="shared" si="159"/>
        <v>OK</v>
      </c>
      <c r="U2124" s="12" t="str">
        <f t="shared" si="160"/>
        <v>-</v>
      </c>
      <c r="V2124" s="12" t="str" cm="1">
        <f t="array" ref="V2124">_xlfn.IFS(
ISNUMBER(SEARCH("USA",S2124)),"United States",
ISNUMBER(SEARCH("Republic of Ireland",S2124)),"Ireland",
ISNUMBER(SEARCH("Republic of Korea",S2124)),"South Korea",
ISNUMBER(SEARCH("Cape Verde",S2124)),"Cabo Verde",
ISNUMBER(SEARCH("Czechia",S2124)),"Czech Republic",
ISNUMBER(SEARCH("Türkiye",S2124)),"Turkey",
ISNUMBER(SEARCH("Ivory Coast",S2124)),"Côte d'Ivoire",
ISNUMBER(SEARCH("Korea Republic",S2124)),"South Korea",
ISNUMBER(SEARCH("Germany FR",S2124)),"FR Germany",
ISNUMBER(SEARCH("West Germany",S2124)),"FR Germany",
ISNUMBER(SEARCH("Germany DR",S2124)),"DR Germany",
ISNUMBER(SEARCH("Korea DPR",S2124)),"North Korea",
ISNUMBER(SEARCH("China PR",S2124)),"China",
ISNUMBER(SEARCH("IR Iran",S2124)),"Iran",
ISNUMBER(SEARCH("Congo DR",S2124)),"Democratic Republic of the Congo",
ISNUMBER(SEARCH("DR Congo",S2124)),"Democratic Republic of the Congo",
ISNUMBER(SEARCH("German DR",S2124)),"DR Germany",
ISNUMBER(SEARCH("rn""&gt;United Arab Emirates",S2124)),"United Arab Emirates",
ISNUMBER(SEARCH("rn""&gt;Republic of Ireland",S2124)),"Ireland",
ISNUMBER(SEARCH("rn""&gt;Bosnia and Herzegovina",S2124)),"Bosnia and Herzegovina",
ISNUMBER(SEARCH("rn""&gt;Trinidad and Tobago",S2124)),"Trinidad and Tobago",
ISNUMBER(SEARCH("rn""&gt;Serbia and Montenegro",S2124)),"Serbia and Montenegro",
ISNUMBER(SEARCH(_xlfn.UNICHAR(65533),S2124)),"Côte d'Ivoire",
TRUE,""
)</f>
        <v/>
      </c>
      <c r="W2124" s="12" t="str">
        <f t="shared" si="161"/>
        <v>Austria</v>
      </c>
    </row>
    <row r="2125" spans="2:23">
      <c r="B2125" s="76" t="str">
        <v>1990.0</v>
      </c>
      <c r="C2125" s="42" t="str">
        <v xml:space="preserve">18 Jun 1990 - 21:00 </v>
      </c>
      <c r="D2125" s="42" t="str">
        <v>Group B</v>
      </c>
      <c r="E2125" s="42" t="str">
        <v>San Paolo</v>
      </c>
      <c r="F2125" s="42" t="str">
        <v xml:space="preserve">Naples </v>
      </c>
      <c r="G2125" s="42" t="str">
        <v>Argentina</v>
      </c>
      <c r="H2125" s="42" t="str">
        <v>1.0</v>
      </c>
      <c r="I2125" s="42" t="str">
        <v>1.0</v>
      </c>
      <c r="J2125" s="42" t="str">
        <v>Romania</v>
      </c>
      <c r="K2125" s="42" t="str">
        <v xml:space="preserve"> </v>
      </c>
      <c r="L2125" s="42" t="str">
        <f t="shared" si="158"/>
        <v xml:space="preserve">1990.0|18 Jun 1990 - 21:00 |Group B|San Paolo|Naples |Argentina|1.0|1.0|Romania| </v>
      </c>
      <c r="M2125" s="42" t="str">
        <f>IF(COUNTIF($L$1689:L2125,L2125)&gt;1,"DOUBLON","OK")</f>
        <v>OK</v>
      </c>
      <c r="S2125" s="12" t="str">
        <v>Austria</v>
      </c>
      <c r="T2125" s="12" t="str">
        <f t="shared" si="159"/>
        <v>OK</v>
      </c>
      <c r="U2125" s="12" t="str">
        <f t="shared" si="160"/>
        <v>-</v>
      </c>
      <c r="V2125" s="12" t="str" cm="1">
        <f t="array" ref="V2125">_xlfn.IFS(
ISNUMBER(SEARCH("USA",S2125)),"United States",
ISNUMBER(SEARCH("Republic of Ireland",S2125)),"Ireland",
ISNUMBER(SEARCH("Republic of Korea",S2125)),"South Korea",
ISNUMBER(SEARCH("Cape Verde",S2125)),"Cabo Verde",
ISNUMBER(SEARCH("Czechia",S2125)),"Czech Republic",
ISNUMBER(SEARCH("Türkiye",S2125)),"Turkey",
ISNUMBER(SEARCH("Ivory Coast",S2125)),"Côte d'Ivoire",
ISNUMBER(SEARCH("Korea Republic",S2125)),"South Korea",
ISNUMBER(SEARCH("Germany FR",S2125)),"FR Germany",
ISNUMBER(SEARCH("West Germany",S2125)),"FR Germany",
ISNUMBER(SEARCH("Germany DR",S2125)),"DR Germany",
ISNUMBER(SEARCH("Korea DPR",S2125)),"North Korea",
ISNUMBER(SEARCH("China PR",S2125)),"China",
ISNUMBER(SEARCH("IR Iran",S2125)),"Iran",
ISNUMBER(SEARCH("Congo DR",S2125)),"Democratic Republic of the Congo",
ISNUMBER(SEARCH("DR Congo",S2125)),"Democratic Republic of the Congo",
ISNUMBER(SEARCH("German DR",S2125)),"DR Germany",
ISNUMBER(SEARCH("rn""&gt;United Arab Emirates",S2125)),"United Arab Emirates",
ISNUMBER(SEARCH("rn""&gt;Republic of Ireland",S2125)),"Ireland",
ISNUMBER(SEARCH("rn""&gt;Bosnia and Herzegovina",S2125)),"Bosnia and Herzegovina",
ISNUMBER(SEARCH("rn""&gt;Trinidad and Tobago",S2125)),"Trinidad and Tobago",
ISNUMBER(SEARCH("rn""&gt;Serbia and Montenegro",S2125)),"Serbia and Montenegro",
ISNUMBER(SEARCH(_xlfn.UNICHAR(65533),S2125)),"Côte d'Ivoire",
TRUE,""
)</f>
        <v/>
      </c>
      <c r="W2125" s="12" t="str">
        <f t="shared" si="161"/>
        <v>Austria</v>
      </c>
    </row>
    <row r="2126" spans="2:23">
      <c r="B2126" s="76" t="str">
        <v>1990.0</v>
      </c>
      <c r="C2126" s="42" t="str">
        <v xml:space="preserve">18 Jun 1990 - 21:00 </v>
      </c>
      <c r="D2126" s="42" t="str">
        <v>Group B</v>
      </c>
      <c r="E2126" s="42" t="str">
        <v>Stadio San Nicola</v>
      </c>
      <c r="F2126" s="42" t="str">
        <v xml:space="preserve">Bari </v>
      </c>
      <c r="G2126" s="42" t="str">
        <v>Cameroon</v>
      </c>
      <c r="H2126" s="42" t="str">
        <v>0.0</v>
      </c>
      <c r="I2126" s="42" t="str">
        <v>4.0</v>
      </c>
      <c r="J2126" s="42" t="str">
        <v>Soviet Union</v>
      </c>
      <c r="K2126" s="42" t="str">
        <v xml:space="preserve"> </v>
      </c>
      <c r="L2126" s="42" t="str">
        <f t="shared" si="158"/>
        <v xml:space="preserve">1990.0|18 Jun 1990 - 21:00 |Group B|Stadio San Nicola|Bari |Cameroon|0.0|4.0|Soviet Union| </v>
      </c>
      <c r="M2126" s="42" t="str">
        <f>IF(COUNTIF($L$1689:L2126,L2126)&gt;1,"DOUBLON","OK")</f>
        <v>OK</v>
      </c>
      <c r="S2126" s="12" t="str">
        <v>Austria</v>
      </c>
      <c r="T2126" s="12" t="str">
        <f t="shared" si="159"/>
        <v>OK</v>
      </c>
      <c r="U2126" s="12" t="str">
        <f t="shared" si="160"/>
        <v>-</v>
      </c>
      <c r="V2126" s="12" t="str" cm="1">
        <f t="array" ref="V2126">_xlfn.IFS(
ISNUMBER(SEARCH("USA",S2126)),"United States",
ISNUMBER(SEARCH("Republic of Ireland",S2126)),"Ireland",
ISNUMBER(SEARCH("Republic of Korea",S2126)),"South Korea",
ISNUMBER(SEARCH("Cape Verde",S2126)),"Cabo Verde",
ISNUMBER(SEARCH("Czechia",S2126)),"Czech Republic",
ISNUMBER(SEARCH("Türkiye",S2126)),"Turkey",
ISNUMBER(SEARCH("Ivory Coast",S2126)),"Côte d'Ivoire",
ISNUMBER(SEARCH("Korea Republic",S2126)),"South Korea",
ISNUMBER(SEARCH("Germany FR",S2126)),"FR Germany",
ISNUMBER(SEARCH("West Germany",S2126)),"FR Germany",
ISNUMBER(SEARCH("Germany DR",S2126)),"DR Germany",
ISNUMBER(SEARCH("Korea DPR",S2126)),"North Korea",
ISNUMBER(SEARCH("China PR",S2126)),"China",
ISNUMBER(SEARCH("IR Iran",S2126)),"Iran",
ISNUMBER(SEARCH("Congo DR",S2126)),"Democratic Republic of the Congo",
ISNUMBER(SEARCH("DR Congo",S2126)),"Democratic Republic of the Congo",
ISNUMBER(SEARCH("German DR",S2126)),"DR Germany",
ISNUMBER(SEARCH("rn""&gt;United Arab Emirates",S2126)),"United Arab Emirates",
ISNUMBER(SEARCH("rn""&gt;Republic of Ireland",S2126)),"Ireland",
ISNUMBER(SEARCH("rn""&gt;Bosnia and Herzegovina",S2126)),"Bosnia and Herzegovina",
ISNUMBER(SEARCH("rn""&gt;Trinidad and Tobago",S2126)),"Trinidad and Tobago",
ISNUMBER(SEARCH("rn""&gt;Serbia and Montenegro",S2126)),"Serbia and Montenegro",
ISNUMBER(SEARCH(_xlfn.UNICHAR(65533),S2126)),"Côte d'Ivoire",
TRUE,""
)</f>
        <v/>
      </c>
      <c r="W2126" s="12" t="str">
        <f t="shared" si="161"/>
        <v>Austria</v>
      </c>
    </row>
    <row r="2127" spans="2:23">
      <c r="B2127" s="76" t="str">
        <v>1990.0</v>
      </c>
      <c r="C2127" s="42" t="str">
        <v xml:space="preserve">19 Jun 1990 - 17:00 </v>
      </c>
      <c r="D2127" s="42" t="str">
        <v>Group D</v>
      </c>
      <c r="E2127" s="42" t="str">
        <v>Giuseppe Meazza</v>
      </c>
      <c r="F2127" s="42" t="str">
        <v xml:space="preserve">Milan </v>
      </c>
      <c r="G2127" s="42" t="str">
        <v>Germany FR</v>
      </c>
      <c r="H2127" s="42" t="str">
        <v>1.0</v>
      </c>
      <c r="I2127" s="42" t="str">
        <v>1.0</v>
      </c>
      <c r="J2127" s="42" t="str">
        <v>Colombia</v>
      </c>
      <c r="K2127" s="42" t="str">
        <v xml:space="preserve"> </v>
      </c>
      <c r="L2127" s="42" t="str">
        <f t="shared" si="158"/>
        <v xml:space="preserve">1990.0|19 Jun 1990 - 17:00 |Group D|Giuseppe Meazza|Milan |Germany FR|1.0|1.0|Colombia| </v>
      </c>
      <c r="M2127" s="42" t="str">
        <f>IF(COUNTIF($L$1689:L2127,L2127)&gt;1,"DOUBLON","OK")</f>
        <v>OK</v>
      </c>
      <c r="S2127" s="12" t="str">
        <v>Austria</v>
      </c>
      <c r="T2127" s="12" t="str">
        <f t="shared" si="159"/>
        <v>OK</v>
      </c>
      <c r="U2127" s="12" t="str">
        <f t="shared" si="160"/>
        <v>-</v>
      </c>
      <c r="V2127" s="12" t="str" cm="1">
        <f t="array" ref="V2127">_xlfn.IFS(
ISNUMBER(SEARCH("USA",S2127)),"United States",
ISNUMBER(SEARCH("Republic of Ireland",S2127)),"Ireland",
ISNUMBER(SEARCH("Republic of Korea",S2127)),"South Korea",
ISNUMBER(SEARCH("Cape Verde",S2127)),"Cabo Verde",
ISNUMBER(SEARCH("Czechia",S2127)),"Czech Republic",
ISNUMBER(SEARCH("Türkiye",S2127)),"Turkey",
ISNUMBER(SEARCH("Ivory Coast",S2127)),"Côte d'Ivoire",
ISNUMBER(SEARCH("Korea Republic",S2127)),"South Korea",
ISNUMBER(SEARCH("Germany FR",S2127)),"FR Germany",
ISNUMBER(SEARCH("West Germany",S2127)),"FR Germany",
ISNUMBER(SEARCH("Germany DR",S2127)),"DR Germany",
ISNUMBER(SEARCH("Korea DPR",S2127)),"North Korea",
ISNUMBER(SEARCH("China PR",S2127)),"China",
ISNUMBER(SEARCH("IR Iran",S2127)),"Iran",
ISNUMBER(SEARCH("Congo DR",S2127)),"Democratic Republic of the Congo",
ISNUMBER(SEARCH("DR Congo",S2127)),"Democratic Republic of the Congo",
ISNUMBER(SEARCH("German DR",S2127)),"DR Germany",
ISNUMBER(SEARCH("rn""&gt;United Arab Emirates",S2127)),"United Arab Emirates",
ISNUMBER(SEARCH("rn""&gt;Republic of Ireland",S2127)),"Ireland",
ISNUMBER(SEARCH("rn""&gt;Bosnia and Herzegovina",S2127)),"Bosnia and Herzegovina",
ISNUMBER(SEARCH("rn""&gt;Trinidad and Tobago",S2127)),"Trinidad and Tobago",
ISNUMBER(SEARCH("rn""&gt;Serbia and Montenegro",S2127)),"Serbia and Montenegro",
ISNUMBER(SEARCH(_xlfn.UNICHAR(65533),S2127)),"Côte d'Ivoire",
TRUE,""
)</f>
        <v/>
      </c>
      <c r="W2127" s="12" t="str">
        <f t="shared" si="161"/>
        <v>Austria</v>
      </c>
    </row>
    <row r="2128" spans="2:23">
      <c r="B2128" s="76" t="str">
        <v>1990.0</v>
      </c>
      <c r="C2128" s="42" t="str">
        <v xml:space="preserve">19 Jun 1990 - 17:00 </v>
      </c>
      <c r="D2128" s="42" t="str">
        <v>Group D</v>
      </c>
      <c r="E2128" s="42" t="str">
        <v>Renato Dall Ara</v>
      </c>
      <c r="F2128" s="42" t="str">
        <v xml:space="preserve">Bologna </v>
      </c>
      <c r="G2128" s="42" t="str">
        <v>Yugoslavia</v>
      </c>
      <c r="H2128" s="42" t="str">
        <v>4.0</v>
      </c>
      <c r="I2128" s="42" t="str">
        <v>1.0</v>
      </c>
      <c r="J2128" s="42" t="str">
        <v>rn"&gt;United Arab Emirates</v>
      </c>
      <c r="K2128" s="42" t="str">
        <v xml:space="preserve"> </v>
      </c>
      <c r="L2128" s="42" t="str">
        <f t="shared" si="158"/>
        <v xml:space="preserve">1990.0|19 Jun 1990 - 17:00 |Group D|Renato Dall Ara|Bologna |Yugoslavia|4.0|1.0|rn"&gt;United Arab Emirates| </v>
      </c>
      <c r="M2128" s="42" t="str">
        <f>IF(COUNTIF($L$1689:L2128,L2128)&gt;1,"DOUBLON","OK")</f>
        <v>OK</v>
      </c>
      <c r="S2128" s="12" t="str">
        <v>Austria</v>
      </c>
      <c r="T2128" s="12" t="str">
        <f t="shared" si="159"/>
        <v>OK</v>
      </c>
      <c r="U2128" s="12" t="str">
        <f t="shared" si="160"/>
        <v>-</v>
      </c>
      <c r="V2128" s="12" t="str" cm="1">
        <f t="array" ref="V2128">_xlfn.IFS(
ISNUMBER(SEARCH("USA",S2128)),"United States",
ISNUMBER(SEARCH("Republic of Ireland",S2128)),"Ireland",
ISNUMBER(SEARCH("Republic of Korea",S2128)),"South Korea",
ISNUMBER(SEARCH("Cape Verde",S2128)),"Cabo Verde",
ISNUMBER(SEARCH("Czechia",S2128)),"Czech Republic",
ISNUMBER(SEARCH("Türkiye",S2128)),"Turkey",
ISNUMBER(SEARCH("Ivory Coast",S2128)),"Côte d'Ivoire",
ISNUMBER(SEARCH("Korea Republic",S2128)),"South Korea",
ISNUMBER(SEARCH("Germany FR",S2128)),"FR Germany",
ISNUMBER(SEARCH("West Germany",S2128)),"FR Germany",
ISNUMBER(SEARCH("Germany DR",S2128)),"DR Germany",
ISNUMBER(SEARCH("Korea DPR",S2128)),"North Korea",
ISNUMBER(SEARCH("China PR",S2128)),"China",
ISNUMBER(SEARCH("IR Iran",S2128)),"Iran",
ISNUMBER(SEARCH("Congo DR",S2128)),"Democratic Republic of the Congo",
ISNUMBER(SEARCH("DR Congo",S2128)),"Democratic Republic of the Congo",
ISNUMBER(SEARCH("German DR",S2128)),"DR Germany",
ISNUMBER(SEARCH("rn""&gt;United Arab Emirates",S2128)),"United Arab Emirates",
ISNUMBER(SEARCH("rn""&gt;Republic of Ireland",S2128)),"Ireland",
ISNUMBER(SEARCH("rn""&gt;Bosnia and Herzegovina",S2128)),"Bosnia and Herzegovina",
ISNUMBER(SEARCH("rn""&gt;Trinidad and Tobago",S2128)),"Trinidad and Tobago",
ISNUMBER(SEARCH("rn""&gt;Serbia and Montenegro",S2128)),"Serbia and Montenegro",
ISNUMBER(SEARCH(_xlfn.UNICHAR(65533),S2128)),"Côte d'Ivoire",
TRUE,""
)</f>
        <v/>
      </c>
      <c r="W2128" s="12" t="str">
        <f t="shared" si="161"/>
        <v>Austria</v>
      </c>
    </row>
    <row r="2129" spans="2:23">
      <c r="B2129" s="76" t="str">
        <v>1990.0</v>
      </c>
      <c r="C2129" s="42" t="str">
        <v xml:space="preserve">19 Jun 1990 - 21:00 </v>
      </c>
      <c r="D2129" s="42" t="str">
        <v>Group A</v>
      </c>
      <c r="E2129" s="42" t="str">
        <v>Stadio Olimpico</v>
      </c>
      <c r="F2129" s="42" t="str">
        <v xml:space="preserve">Rome </v>
      </c>
      <c r="G2129" s="42" t="str">
        <v>Italy</v>
      </c>
      <c r="H2129" s="42" t="str">
        <v>2.0</v>
      </c>
      <c r="I2129" s="42" t="str">
        <v>0.0</v>
      </c>
      <c r="J2129" s="42" t="str">
        <v>Czechoslovakia</v>
      </c>
      <c r="K2129" s="42" t="str">
        <v xml:space="preserve"> </v>
      </c>
      <c r="L2129" s="42" t="str">
        <f t="shared" si="158"/>
        <v xml:space="preserve">1990.0|19 Jun 1990 - 21:00 |Group A|Stadio Olimpico|Rome |Italy|2.0|0.0|Czechoslovakia| </v>
      </c>
      <c r="M2129" s="42" t="str">
        <f>IF(COUNTIF($L$1689:L2129,L2129)&gt;1,"DOUBLON","OK")</f>
        <v>OK</v>
      </c>
      <c r="S2129" s="12" t="str">
        <v>Austria</v>
      </c>
      <c r="T2129" s="12" t="str">
        <f t="shared" si="159"/>
        <v>OK</v>
      </c>
      <c r="U2129" s="12" t="str">
        <f t="shared" si="160"/>
        <v>-</v>
      </c>
      <c r="V2129" s="12" t="str" cm="1">
        <f t="array" ref="V2129">_xlfn.IFS(
ISNUMBER(SEARCH("USA",S2129)),"United States",
ISNUMBER(SEARCH("Republic of Ireland",S2129)),"Ireland",
ISNUMBER(SEARCH("Republic of Korea",S2129)),"South Korea",
ISNUMBER(SEARCH("Cape Verde",S2129)),"Cabo Verde",
ISNUMBER(SEARCH("Czechia",S2129)),"Czech Republic",
ISNUMBER(SEARCH("Türkiye",S2129)),"Turkey",
ISNUMBER(SEARCH("Ivory Coast",S2129)),"Côte d'Ivoire",
ISNUMBER(SEARCH("Korea Republic",S2129)),"South Korea",
ISNUMBER(SEARCH("Germany FR",S2129)),"FR Germany",
ISNUMBER(SEARCH("West Germany",S2129)),"FR Germany",
ISNUMBER(SEARCH("Germany DR",S2129)),"DR Germany",
ISNUMBER(SEARCH("Korea DPR",S2129)),"North Korea",
ISNUMBER(SEARCH("China PR",S2129)),"China",
ISNUMBER(SEARCH("IR Iran",S2129)),"Iran",
ISNUMBER(SEARCH("Congo DR",S2129)),"Democratic Republic of the Congo",
ISNUMBER(SEARCH("DR Congo",S2129)),"Democratic Republic of the Congo",
ISNUMBER(SEARCH("German DR",S2129)),"DR Germany",
ISNUMBER(SEARCH("rn""&gt;United Arab Emirates",S2129)),"United Arab Emirates",
ISNUMBER(SEARCH("rn""&gt;Republic of Ireland",S2129)),"Ireland",
ISNUMBER(SEARCH("rn""&gt;Bosnia and Herzegovina",S2129)),"Bosnia and Herzegovina",
ISNUMBER(SEARCH("rn""&gt;Trinidad and Tobago",S2129)),"Trinidad and Tobago",
ISNUMBER(SEARCH("rn""&gt;Serbia and Montenegro",S2129)),"Serbia and Montenegro",
ISNUMBER(SEARCH(_xlfn.UNICHAR(65533),S2129)),"Côte d'Ivoire",
TRUE,""
)</f>
        <v/>
      </c>
      <c r="W2129" s="12" t="str">
        <f t="shared" si="161"/>
        <v>Austria</v>
      </c>
    </row>
    <row r="2130" spans="2:23">
      <c r="B2130" s="76" t="str">
        <v>1990.0</v>
      </c>
      <c r="C2130" s="42" t="str">
        <v xml:space="preserve">19 Jun 1990 - 21:00 </v>
      </c>
      <c r="D2130" s="42" t="str">
        <v>Group A</v>
      </c>
      <c r="E2130" s="42" t="str">
        <v>Comunale</v>
      </c>
      <c r="F2130" s="42" t="str">
        <v xml:space="preserve">Florence </v>
      </c>
      <c r="G2130" s="42" t="str">
        <v>Austria</v>
      </c>
      <c r="H2130" s="42" t="str">
        <v>2.0</v>
      </c>
      <c r="I2130" s="42" t="str">
        <v>1.0</v>
      </c>
      <c r="J2130" s="42" t="str">
        <v>USA</v>
      </c>
      <c r="K2130" s="42" t="str">
        <v xml:space="preserve"> </v>
      </c>
      <c r="L2130" s="42" t="str">
        <f t="shared" si="158"/>
        <v xml:space="preserve">1990.0|19 Jun 1990 - 21:00 |Group A|Comunale|Florence |Austria|2.0|1.0|USA| </v>
      </c>
      <c r="M2130" s="42" t="str">
        <f>IF(COUNTIF($L$1689:L2130,L2130)&gt;1,"DOUBLON","OK")</f>
        <v>OK</v>
      </c>
      <c r="S2130" s="12" t="str">
        <v>Austria</v>
      </c>
      <c r="T2130" s="12" t="str">
        <f t="shared" si="159"/>
        <v>OK</v>
      </c>
      <c r="U2130" s="12" t="str">
        <f t="shared" si="160"/>
        <v>-</v>
      </c>
      <c r="V2130" s="12" t="str" cm="1">
        <f t="array" ref="V2130">_xlfn.IFS(
ISNUMBER(SEARCH("USA",S2130)),"United States",
ISNUMBER(SEARCH("Republic of Ireland",S2130)),"Ireland",
ISNUMBER(SEARCH("Republic of Korea",S2130)),"South Korea",
ISNUMBER(SEARCH("Cape Verde",S2130)),"Cabo Verde",
ISNUMBER(SEARCH("Czechia",S2130)),"Czech Republic",
ISNUMBER(SEARCH("Türkiye",S2130)),"Turkey",
ISNUMBER(SEARCH("Ivory Coast",S2130)),"Côte d'Ivoire",
ISNUMBER(SEARCH("Korea Republic",S2130)),"South Korea",
ISNUMBER(SEARCH("Germany FR",S2130)),"FR Germany",
ISNUMBER(SEARCH("West Germany",S2130)),"FR Germany",
ISNUMBER(SEARCH("Germany DR",S2130)),"DR Germany",
ISNUMBER(SEARCH("Korea DPR",S2130)),"North Korea",
ISNUMBER(SEARCH("China PR",S2130)),"China",
ISNUMBER(SEARCH("IR Iran",S2130)),"Iran",
ISNUMBER(SEARCH("Congo DR",S2130)),"Democratic Republic of the Congo",
ISNUMBER(SEARCH("DR Congo",S2130)),"Democratic Republic of the Congo",
ISNUMBER(SEARCH("German DR",S2130)),"DR Germany",
ISNUMBER(SEARCH("rn""&gt;United Arab Emirates",S2130)),"United Arab Emirates",
ISNUMBER(SEARCH("rn""&gt;Republic of Ireland",S2130)),"Ireland",
ISNUMBER(SEARCH("rn""&gt;Bosnia and Herzegovina",S2130)),"Bosnia and Herzegovina",
ISNUMBER(SEARCH("rn""&gt;Trinidad and Tobago",S2130)),"Trinidad and Tobago",
ISNUMBER(SEARCH("rn""&gt;Serbia and Montenegro",S2130)),"Serbia and Montenegro",
ISNUMBER(SEARCH(_xlfn.UNICHAR(65533),S2130)),"Côte d'Ivoire",
TRUE,""
)</f>
        <v/>
      </c>
      <c r="W2130" s="12" t="str">
        <f t="shared" si="161"/>
        <v>Austria</v>
      </c>
    </row>
    <row r="2131" spans="2:23">
      <c r="B2131" s="76" t="str">
        <v>1990.0</v>
      </c>
      <c r="C2131" s="42" t="str">
        <v xml:space="preserve">20 Jun 1990 - 21:00 </v>
      </c>
      <c r="D2131" s="42" t="str">
        <v>Group C</v>
      </c>
      <c r="E2131" s="42" t="str">
        <v>Stadio delle Alpi</v>
      </c>
      <c r="F2131" s="42" t="str">
        <v xml:space="preserve">Turin </v>
      </c>
      <c r="G2131" s="42" t="str">
        <v>Brazil</v>
      </c>
      <c r="H2131" s="42" t="str">
        <v>1.0</v>
      </c>
      <c r="I2131" s="42" t="str">
        <v>0.0</v>
      </c>
      <c r="J2131" s="42" t="str">
        <v>Scotland</v>
      </c>
      <c r="K2131" s="42" t="str">
        <v xml:space="preserve"> </v>
      </c>
      <c r="L2131" s="42" t="str">
        <f t="shared" si="158"/>
        <v xml:space="preserve">1990.0|20 Jun 1990 - 21:00 |Group C|Stadio delle Alpi|Turin |Brazil|1.0|0.0|Scotland| </v>
      </c>
      <c r="M2131" s="42" t="str">
        <f>IF(COUNTIF($L$1689:L2131,L2131)&gt;1,"DOUBLON","OK")</f>
        <v>OK</v>
      </c>
      <c r="S2131" s="12" t="str">
        <v>Austria</v>
      </c>
      <c r="T2131" s="12" t="str">
        <f t="shared" si="159"/>
        <v>OK</v>
      </c>
      <c r="U2131" s="12" t="str">
        <f t="shared" si="160"/>
        <v>-</v>
      </c>
      <c r="V2131" s="12" t="str" cm="1">
        <f t="array" ref="V2131">_xlfn.IFS(
ISNUMBER(SEARCH("USA",S2131)),"United States",
ISNUMBER(SEARCH("Republic of Ireland",S2131)),"Ireland",
ISNUMBER(SEARCH("Republic of Korea",S2131)),"South Korea",
ISNUMBER(SEARCH("Cape Verde",S2131)),"Cabo Verde",
ISNUMBER(SEARCH("Czechia",S2131)),"Czech Republic",
ISNUMBER(SEARCH("Türkiye",S2131)),"Turkey",
ISNUMBER(SEARCH("Ivory Coast",S2131)),"Côte d'Ivoire",
ISNUMBER(SEARCH("Korea Republic",S2131)),"South Korea",
ISNUMBER(SEARCH("Germany FR",S2131)),"FR Germany",
ISNUMBER(SEARCH("West Germany",S2131)),"FR Germany",
ISNUMBER(SEARCH("Germany DR",S2131)),"DR Germany",
ISNUMBER(SEARCH("Korea DPR",S2131)),"North Korea",
ISNUMBER(SEARCH("China PR",S2131)),"China",
ISNUMBER(SEARCH("IR Iran",S2131)),"Iran",
ISNUMBER(SEARCH("Congo DR",S2131)),"Democratic Republic of the Congo",
ISNUMBER(SEARCH("DR Congo",S2131)),"Democratic Republic of the Congo",
ISNUMBER(SEARCH("German DR",S2131)),"DR Germany",
ISNUMBER(SEARCH("rn""&gt;United Arab Emirates",S2131)),"United Arab Emirates",
ISNUMBER(SEARCH("rn""&gt;Republic of Ireland",S2131)),"Ireland",
ISNUMBER(SEARCH("rn""&gt;Bosnia and Herzegovina",S2131)),"Bosnia and Herzegovina",
ISNUMBER(SEARCH("rn""&gt;Trinidad and Tobago",S2131)),"Trinidad and Tobago",
ISNUMBER(SEARCH("rn""&gt;Serbia and Montenegro",S2131)),"Serbia and Montenegro",
ISNUMBER(SEARCH(_xlfn.UNICHAR(65533),S2131)),"Côte d'Ivoire",
TRUE,""
)</f>
        <v/>
      </c>
      <c r="W2131" s="12" t="str">
        <f t="shared" si="161"/>
        <v>Austria</v>
      </c>
    </row>
    <row r="2132" spans="2:23">
      <c r="B2132" s="76" t="str">
        <v>1990.0</v>
      </c>
      <c r="C2132" s="42" t="str">
        <v xml:space="preserve">20 Jun 1990 - 21:00 </v>
      </c>
      <c r="D2132" s="42" t="str">
        <v>Group C</v>
      </c>
      <c r="E2132" s="42" t="str">
        <v>Luigi Ferraris</v>
      </c>
      <c r="F2132" s="42" t="str">
        <v xml:space="preserve">Genoa </v>
      </c>
      <c r="G2132" s="42" t="str">
        <v>Sweden</v>
      </c>
      <c r="H2132" s="42" t="str">
        <v>1.0</v>
      </c>
      <c r="I2132" s="42" t="str">
        <v>2.0</v>
      </c>
      <c r="J2132" s="42" t="str">
        <v>Costa Rica</v>
      </c>
      <c r="K2132" s="42" t="str">
        <v xml:space="preserve"> </v>
      </c>
      <c r="L2132" s="42" t="str">
        <f t="shared" si="158"/>
        <v xml:space="preserve">1990.0|20 Jun 1990 - 21:00 |Group C|Luigi Ferraris|Genoa |Sweden|1.0|2.0|Costa Rica| </v>
      </c>
      <c r="M2132" s="42" t="str">
        <f>IF(COUNTIF($L$1689:L2132,L2132)&gt;1,"DOUBLON","OK")</f>
        <v>OK</v>
      </c>
      <c r="S2132" s="12" t="str">
        <v>Austria</v>
      </c>
      <c r="T2132" s="12" t="str">
        <f t="shared" si="159"/>
        <v>OK</v>
      </c>
      <c r="U2132" s="12" t="str">
        <f t="shared" si="160"/>
        <v>-</v>
      </c>
      <c r="V2132" s="12" t="str" cm="1">
        <f t="array" ref="V2132">_xlfn.IFS(
ISNUMBER(SEARCH("USA",S2132)),"United States",
ISNUMBER(SEARCH("Republic of Ireland",S2132)),"Ireland",
ISNUMBER(SEARCH("Republic of Korea",S2132)),"South Korea",
ISNUMBER(SEARCH("Cape Verde",S2132)),"Cabo Verde",
ISNUMBER(SEARCH("Czechia",S2132)),"Czech Republic",
ISNUMBER(SEARCH("Türkiye",S2132)),"Turkey",
ISNUMBER(SEARCH("Ivory Coast",S2132)),"Côte d'Ivoire",
ISNUMBER(SEARCH("Korea Republic",S2132)),"South Korea",
ISNUMBER(SEARCH("Germany FR",S2132)),"FR Germany",
ISNUMBER(SEARCH("West Germany",S2132)),"FR Germany",
ISNUMBER(SEARCH("Germany DR",S2132)),"DR Germany",
ISNUMBER(SEARCH("Korea DPR",S2132)),"North Korea",
ISNUMBER(SEARCH("China PR",S2132)),"China",
ISNUMBER(SEARCH("IR Iran",S2132)),"Iran",
ISNUMBER(SEARCH("Congo DR",S2132)),"Democratic Republic of the Congo",
ISNUMBER(SEARCH("DR Congo",S2132)),"Democratic Republic of the Congo",
ISNUMBER(SEARCH("German DR",S2132)),"DR Germany",
ISNUMBER(SEARCH("rn""&gt;United Arab Emirates",S2132)),"United Arab Emirates",
ISNUMBER(SEARCH("rn""&gt;Republic of Ireland",S2132)),"Ireland",
ISNUMBER(SEARCH("rn""&gt;Bosnia and Herzegovina",S2132)),"Bosnia and Herzegovina",
ISNUMBER(SEARCH("rn""&gt;Trinidad and Tobago",S2132)),"Trinidad and Tobago",
ISNUMBER(SEARCH("rn""&gt;Serbia and Montenegro",S2132)),"Serbia and Montenegro",
ISNUMBER(SEARCH(_xlfn.UNICHAR(65533),S2132)),"Côte d'Ivoire",
TRUE,""
)</f>
        <v/>
      </c>
      <c r="W2132" s="12" t="str">
        <f t="shared" si="161"/>
        <v>Austria</v>
      </c>
    </row>
    <row r="2133" spans="2:23">
      <c r="B2133" s="76" t="str">
        <v>1990.0</v>
      </c>
      <c r="C2133" s="42" t="str">
        <v xml:space="preserve">21 Jun 1990 - 17:00 </v>
      </c>
      <c r="D2133" s="42" t="str">
        <v>Group E</v>
      </c>
      <c r="E2133" s="42" t="str">
        <v>Friuli</v>
      </c>
      <c r="F2133" s="42" t="str">
        <v xml:space="preserve">Udine </v>
      </c>
      <c r="G2133" s="42" t="str">
        <v>Korea Republic</v>
      </c>
      <c r="H2133" s="42" t="str">
        <v>0.0</v>
      </c>
      <c r="I2133" s="42" t="str">
        <v>1.0</v>
      </c>
      <c r="J2133" s="42" t="str">
        <v>Uruguay</v>
      </c>
      <c r="K2133" s="42" t="str">
        <v xml:space="preserve"> </v>
      </c>
      <c r="L2133" s="42" t="str">
        <f t="shared" si="158"/>
        <v xml:space="preserve">1990.0|21 Jun 1990 - 17:00 |Group E|Friuli|Udine |Korea Republic|0.0|1.0|Uruguay| </v>
      </c>
      <c r="M2133" s="42" t="str">
        <f>IF(COUNTIF($L$1689:L2133,L2133)&gt;1,"DOUBLON","OK")</f>
        <v>OK</v>
      </c>
      <c r="S2133" s="12" t="str">
        <v>Austria</v>
      </c>
      <c r="T2133" s="12" t="str">
        <f t="shared" si="159"/>
        <v>OK</v>
      </c>
      <c r="U2133" s="12" t="str">
        <f t="shared" si="160"/>
        <v>-</v>
      </c>
      <c r="V2133" s="12" t="str" cm="1">
        <f t="array" ref="V2133">_xlfn.IFS(
ISNUMBER(SEARCH("USA",S2133)),"United States",
ISNUMBER(SEARCH("Republic of Ireland",S2133)),"Ireland",
ISNUMBER(SEARCH("Republic of Korea",S2133)),"South Korea",
ISNUMBER(SEARCH("Cape Verde",S2133)),"Cabo Verde",
ISNUMBER(SEARCH("Czechia",S2133)),"Czech Republic",
ISNUMBER(SEARCH("Türkiye",S2133)),"Turkey",
ISNUMBER(SEARCH("Ivory Coast",S2133)),"Côte d'Ivoire",
ISNUMBER(SEARCH("Korea Republic",S2133)),"South Korea",
ISNUMBER(SEARCH("Germany FR",S2133)),"FR Germany",
ISNUMBER(SEARCH("West Germany",S2133)),"FR Germany",
ISNUMBER(SEARCH("Germany DR",S2133)),"DR Germany",
ISNUMBER(SEARCH("Korea DPR",S2133)),"North Korea",
ISNUMBER(SEARCH("China PR",S2133)),"China",
ISNUMBER(SEARCH("IR Iran",S2133)),"Iran",
ISNUMBER(SEARCH("Congo DR",S2133)),"Democratic Republic of the Congo",
ISNUMBER(SEARCH("DR Congo",S2133)),"Democratic Republic of the Congo",
ISNUMBER(SEARCH("German DR",S2133)),"DR Germany",
ISNUMBER(SEARCH("rn""&gt;United Arab Emirates",S2133)),"United Arab Emirates",
ISNUMBER(SEARCH("rn""&gt;Republic of Ireland",S2133)),"Ireland",
ISNUMBER(SEARCH("rn""&gt;Bosnia and Herzegovina",S2133)),"Bosnia and Herzegovina",
ISNUMBER(SEARCH("rn""&gt;Trinidad and Tobago",S2133)),"Trinidad and Tobago",
ISNUMBER(SEARCH("rn""&gt;Serbia and Montenegro",S2133)),"Serbia and Montenegro",
ISNUMBER(SEARCH(_xlfn.UNICHAR(65533),S2133)),"Côte d'Ivoire",
TRUE,""
)</f>
        <v/>
      </c>
      <c r="W2133" s="12" t="str">
        <f t="shared" si="161"/>
        <v>Austria</v>
      </c>
    </row>
    <row r="2134" spans="2:23">
      <c r="B2134" s="76" t="str">
        <v>1990.0</v>
      </c>
      <c r="C2134" s="42" t="str">
        <v xml:space="preserve">21 Jun 1990 - 17:00 </v>
      </c>
      <c r="D2134" s="42" t="str">
        <v>Group E</v>
      </c>
      <c r="E2134" s="42" t="str">
        <v>Marc Antonio Bentegodi</v>
      </c>
      <c r="F2134" s="42" t="str">
        <v xml:space="preserve">Verona </v>
      </c>
      <c r="G2134" s="42" t="str">
        <v>Belgium</v>
      </c>
      <c r="H2134" s="42" t="str">
        <v>1.0</v>
      </c>
      <c r="I2134" s="42" t="str">
        <v>2.0</v>
      </c>
      <c r="J2134" s="42" t="str">
        <v>Spain</v>
      </c>
      <c r="K2134" s="42" t="str">
        <v xml:space="preserve"> </v>
      </c>
      <c r="L2134" s="42" t="str">
        <f t="shared" si="158"/>
        <v xml:space="preserve">1990.0|21 Jun 1990 - 17:00 |Group E|Marc Antonio Bentegodi|Verona |Belgium|1.0|2.0|Spain| </v>
      </c>
      <c r="M2134" s="42" t="str">
        <f>IF(COUNTIF($L$1689:L2134,L2134)&gt;1,"DOUBLON","OK")</f>
        <v>OK</v>
      </c>
      <c r="S2134" s="12" t="str">
        <v>Austria</v>
      </c>
      <c r="T2134" s="12" t="str">
        <f t="shared" si="159"/>
        <v>OK</v>
      </c>
      <c r="U2134" s="12" t="str">
        <f t="shared" si="160"/>
        <v>-</v>
      </c>
      <c r="V2134" s="12" t="str" cm="1">
        <f t="array" ref="V2134">_xlfn.IFS(
ISNUMBER(SEARCH("USA",S2134)),"United States",
ISNUMBER(SEARCH("Republic of Ireland",S2134)),"Ireland",
ISNUMBER(SEARCH("Republic of Korea",S2134)),"South Korea",
ISNUMBER(SEARCH("Cape Verde",S2134)),"Cabo Verde",
ISNUMBER(SEARCH("Czechia",S2134)),"Czech Republic",
ISNUMBER(SEARCH("Türkiye",S2134)),"Turkey",
ISNUMBER(SEARCH("Ivory Coast",S2134)),"Côte d'Ivoire",
ISNUMBER(SEARCH("Korea Republic",S2134)),"South Korea",
ISNUMBER(SEARCH("Germany FR",S2134)),"FR Germany",
ISNUMBER(SEARCH("West Germany",S2134)),"FR Germany",
ISNUMBER(SEARCH("Germany DR",S2134)),"DR Germany",
ISNUMBER(SEARCH("Korea DPR",S2134)),"North Korea",
ISNUMBER(SEARCH("China PR",S2134)),"China",
ISNUMBER(SEARCH("IR Iran",S2134)),"Iran",
ISNUMBER(SEARCH("Congo DR",S2134)),"Democratic Republic of the Congo",
ISNUMBER(SEARCH("DR Congo",S2134)),"Democratic Republic of the Congo",
ISNUMBER(SEARCH("German DR",S2134)),"DR Germany",
ISNUMBER(SEARCH("rn""&gt;United Arab Emirates",S2134)),"United Arab Emirates",
ISNUMBER(SEARCH("rn""&gt;Republic of Ireland",S2134)),"Ireland",
ISNUMBER(SEARCH("rn""&gt;Bosnia and Herzegovina",S2134)),"Bosnia and Herzegovina",
ISNUMBER(SEARCH("rn""&gt;Trinidad and Tobago",S2134)),"Trinidad and Tobago",
ISNUMBER(SEARCH("rn""&gt;Serbia and Montenegro",S2134)),"Serbia and Montenegro",
ISNUMBER(SEARCH(_xlfn.UNICHAR(65533),S2134)),"Côte d'Ivoire",
TRUE,""
)</f>
        <v/>
      </c>
      <c r="W2134" s="12" t="str">
        <f t="shared" si="161"/>
        <v>Austria</v>
      </c>
    </row>
    <row r="2135" spans="2:23">
      <c r="B2135" s="76" t="str">
        <v>1990.0</v>
      </c>
      <c r="C2135" s="42" t="str">
        <v xml:space="preserve">21 Jun 1990 - 21:00 </v>
      </c>
      <c r="D2135" s="42" t="str">
        <v>Group F</v>
      </c>
      <c r="E2135" s="42" t="str">
        <v>Della Favorita</v>
      </c>
      <c r="F2135" s="42" t="str">
        <v xml:space="preserve">Palermo </v>
      </c>
      <c r="G2135" s="42" t="str">
        <v>rn"&gt;Republic of Ireland</v>
      </c>
      <c r="H2135" s="42" t="str">
        <v>1.0</v>
      </c>
      <c r="I2135" s="42" t="str">
        <v>1.0</v>
      </c>
      <c r="J2135" s="42" t="str">
        <v>Netherlands</v>
      </c>
      <c r="K2135" s="42" t="str">
        <v xml:space="preserve"> </v>
      </c>
      <c r="L2135" s="42" t="str">
        <f t="shared" si="158"/>
        <v xml:space="preserve">1990.0|21 Jun 1990 - 21:00 |Group F|Della Favorita|Palermo |rn"&gt;Republic of Ireland|1.0|1.0|Netherlands| </v>
      </c>
      <c r="M2135" s="42" t="str">
        <f>IF(COUNTIF($L$1689:L2135,L2135)&gt;1,"DOUBLON","OK")</f>
        <v>OK</v>
      </c>
      <c r="S2135" s="12" t="str">
        <v>Jordan</v>
      </c>
      <c r="T2135" s="12" t="str">
        <f t="shared" si="159"/>
        <v>OK</v>
      </c>
      <c r="U2135" s="12" t="str">
        <f t="shared" si="160"/>
        <v>-</v>
      </c>
      <c r="V2135" s="12" t="str" cm="1">
        <f t="array" ref="V2135">_xlfn.IFS(
ISNUMBER(SEARCH("USA",S2135)),"United States",
ISNUMBER(SEARCH("Republic of Ireland",S2135)),"Ireland",
ISNUMBER(SEARCH("Republic of Korea",S2135)),"South Korea",
ISNUMBER(SEARCH("Cape Verde",S2135)),"Cabo Verde",
ISNUMBER(SEARCH("Czechia",S2135)),"Czech Republic",
ISNUMBER(SEARCH("Türkiye",S2135)),"Turkey",
ISNUMBER(SEARCH("Ivory Coast",S2135)),"Côte d'Ivoire",
ISNUMBER(SEARCH("Korea Republic",S2135)),"South Korea",
ISNUMBER(SEARCH("Germany FR",S2135)),"FR Germany",
ISNUMBER(SEARCH("West Germany",S2135)),"FR Germany",
ISNUMBER(SEARCH("Germany DR",S2135)),"DR Germany",
ISNUMBER(SEARCH("Korea DPR",S2135)),"North Korea",
ISNUMBER(SEARCH("China PR",S2135)),"China",
ISNUMBER(SEARCH("IR Iran",S2135)),"Iran",
ISNUMBER(SEARCH("Congo DR",S2135)),"Democratic Republic of the Congo",
ISNUMBER(SEARCH("DR Congo",S2135)),"Democratic Republic of the Congo",
ISNUMBER(SEARCH("German DR",S2135)),"DR Germany",
ISNUMBER(SEARCH("rn""&gt;United Arab Emirates",S2135)),"United Arab Emirates",
ISNUMBER(SEARCH("rn""&gt;Republic of Ireland",S2135)),"Ireland",
ISNUMBER(SEARCH("rn""&gt;Bosnia and Herzegovina",S2135)),"Bosnia and Herzegovina",
ISNUMBER(SEARCH("rn""&gt;Trinidad and Tobago",S2135)),"Trinidad and Tobago",
ISNUMBER(SEARCH("rn""&gt;Serbia and Montenegro",S2135)),"Serbia and Montenegro",
ISNUMBER(SEARCH(_xlfn.UNICHAR(65533),S2135)),"Côte d'Ivoire",
TRUE,""
)</f>
        <v/>
      </c>
      <c r="W2135" s="12" t="str">
        <f t="shared" si="161"/>
        <v>Jordan</v>
      </c>
    </row>
    <row r="2136" spans="2:23">
      <c r="B2136" s="76" t="str">
        <v>1990.0</v>
      </c>
      <c r="C2136" s="42" t="str">
        <v xml:space="preserve">21 Jun 1990 - 21:00 </v>
      </c>
      <c r="D2136" s="42" t="str">
        <v>Group F</v>
      </c>
      <c r="E2136" s="42" t="str">
        <v>Sant Elia</v>
      </c>
      <c r="F2136" s="42" t="str">
        <v xml:space="preserve">Cagliari </v>
      </c>
      <c r="G2136" s="42" t="str">
        <v>England</v>
      </c>
      <c r="H2136" s="42" t="str">
        <v>1.0</v>
      </c>
      <c r="I2136" s="42" t="str">
        <v>0.0</v>
      </c>
      <c r="J2136" s="42" t="str">
        <v>Egypt</v>
      </c>
      <c r="K2136" s="42" t="str">
        <v xml:space="preserve"> </v>
      </c>
      <c r="L2136" s="42" t="str">
        <f t="shared" si="158"/>
        <v xml:space="preserve">1990.0|21 Jun 1990 - 21:00 |Group F|Sant Elia|Cagliari |England|1.0|0.0|Egypt| </v>
      </c>
      <c r="M2136" s="42" t="str">
        <f>IF(COUNTIF($L$1689:L2136,L2136)&gt;1,"DOUBLON","OK")</f>
        <v>OK</v>
      </c>
      <c r="S2136" s="12" t="str">
        <v>Jordan</v>
      </c>
      <c r="T2136" s="12" t="str">
        <f t="shared" si="159"/>
        <v>OK</v>
      </c>
      <c r="U2136" s="12" t="str">
        <f t="shared" si="160"/>
        <v>-</v>
      </c>
      <c r="V2136" s="12" t="str" cm="1">
        <f t="array" ref="V2136">_xlfn.IFS(
ISNUMBER(SEARCH("USA",S2136)),"United States",
ISNUMBER(SEARCH("Republic of Ireland",S2136)),"Ireland",
ISNUMBER(SEARCH("Republic of Korea",S2136)),"South Korea",
ISNUMBER(SEARCH("Cape Verde",S2136)),"Cabo Verde",
ISNUMBER(SEARCH("Czechia",S2136)),"Czech Republic",
ISNUMBER(SEARCH("Türkiye",S2136)),"Turkey",
ISNUMBER(SEARCH("Ivory Coast",S2136)),"Côte d'Ivoire",
ISNUMBER(SEARCH("Korea Republic",S2136)),"South Korea",
ISNUMBER(SEARCH("Germany FR",S2136)),"FR Germany",
ISNUMBER(SEARCH("West Germany",S2136)),"FR Germany",
ISNUMBER(SEARCH("Germany DR",S2136)),"DR Germany",
ISNUMBER(SEARCH("Korea DPR",S2136)),"North Korea",
ISNUMBER(SEARCH("China PR",S2136)),"China",
ISNUMBER(SEARCH("IR Iran",S2136)),"Iran",
ISNUMBER(SEARCH("Congo DR",S2136)),"Democratic Republic of the Congo",
ISNUMBER(SEARCH("DR Congo",S2136)),"Democratic Republic of the Congo",
ISNUMBER(SEARCH("German DR",S2136)),"DR Germany",
ISNUMBER(SEARCH("rn""&gt;United Arab Emirates",S2136)),"United Arab Emirates",
ISNUMBER(SEARCH("rn""&gt;Republic of Ireland",S2136)),"Ireland",
ISNUMBER(SEARCH("rn""&gt;Bosnia and Herzegovina",S2136)),"Bosnia and Herzegovina",
ISNUMBER(SEARCH("rn""&gt;Trinidad and Tobago",S2136)),"Trinidad and Tobago",
ISNUMBER(SEARCH("rn""&gt;Serbia and Montenegro",S2136)),"Serbia and Montenegro",
ISNUMBER(SEARCH(_xlfn.UNICHAR(65533),S2136)),"Côte d'Ivoire",
TRUE,""
)</f>
        <v/>
      </c>
      <c r="W2136" s="12" t="str">
        <f t="shared" si="161"/>
        <v>Jordan</v>
      </c>
    </row>
    <row r="2137" spans="2:23">
      <c r="B2137" s="76" t="str">
        <v>1990.0</v>
      </c>
      <c r="C2137" s="42" t="str">
        <v xml:space="preserve">23 Jun 1990 - 17:00 </v>
      </c>
      <c r="D2137" s="42" t="str">
        <v>Round of 16</v>
      </c>
      <c r="E2137" s="42" t="str">
        <v>San Paolo</v>
      </c>
      <c r="F2137" s="42" t="str">
        <v xml:space="preserve">Naples </v>
      </c>
      <c r="G2137" s="42" t="str">
        <v>Cameroon</v>
      </c>
      <c r="H2137" s="42" t="str">
        <v>2.0</v>
      </c>
      <c r="I2137" s="42" t="str">
        <v>1.0</v>
      </c>
      <c r="J2137" s="42" t="str">
        <v>Colombia</v>
      </c>
      <c r="K2137" s="42" t="str">
        <v xml:space="preserve">Cameroon win after extra time </v>
      </c>
      <c r="L2137" s="42" t="str">
        <f t="shared" ref="L2137:L2200" si="162">B2137&amp;"|"&amp;C2137&amp;"|"&amp;D2137&amp;"|"&amp;E2137&amp;"|"&amp;F2137&amp;"|"&amp;G2137&amp;"|"&amp;H2137&amp;"|"&amp;I2137&amp;"|"&amp;J2137&amp;"|"&amp;K2137</f>
        <v xml:space="preserve">1990.0|23 Jun 1990 - 17:00 |Round of 16|San Paolo|Naples |Cameroon|2.0|1.0|Colombia|Cameroon win after extra time </v>
      </c>
      <c r="M2137" s="42" t="str">
        <f>IF(COUNTIF($L$1689:L2137,L2137)&gt;1,"DOUBLON","OK")</f>
        <v>OK</v>
      </c>
      <c r="S2137" s="12" t="str">
        <v>Jordan</v>
      </c>
      <c r="T2137" s="12" t="str">
        <f t="shared" si="159"/>
        <v>OK</v>
      </c>
      <c r="U2137" s="12" t="str">
        <f t="shared" si="160"/>
        <v>-</v>
      </c>
      <c r="V2137" s="12" t="str" cm="1">
        <f t="array" ref="V2137">_xlfn.IFS(
ISNUMBER(SEARCH("USA",S2137)),"United States",
ISNUMBER(SEARCH("Republic of Ireland",S2137)),"Ireland",
ISNUMBER(SEARCH("Republic of Korea",S2137)),"South Korea",
ISNUMBER(SEARCH("Cape Verde",S2137)),"Cabo Verde",
ISNUMBER(SEARCH("Czechia",S2137)),"Czech Republic",
ISNUMBER(SEARCH("Türkiye",S2137)),"Turkey",
ISNUMBER(SEARCH("Ivory Coast",S2137)),"Côte d'Ivoire",
ISNUMBER(SEARCH("Korea Republic",S2137)),"South Korea",
ISNUMBER(SEARCH("Germany FR",S2137)),"FR Germany",
ISNUMBER(SEARCH("West Germany",S2137)),"FR Germany",
ISNUMBER(SEARCH("Germany DR",S2137)),"DR Germany",
ISNUMBER(SEARCH("Korea DPR",S2137)),"North Korea",
ISNUMBER(SEARCH("China PR",S2137)),"China",
ISNUMBER(SEARCH("IR Iran",S2137)),"Iran",
ISNUMBER(SEARCH("Congo DR",S2137)),"Democratic Republic of the Congo",
ISNUMBER(SEARCH("DR Congo",S2137)),"Democratic Republic of the Congo",
ISNUMBER(SEARCH("German DR",S2137)),"DR Germany",
ISNUMBER(SEARCH("rn""&gt;United Arab Emirates",S2137)),"United Arab Emirates",
ISNUMBER(SEARCH("rn""&gt;Republic of Ireland",S2137)),"Ireland",
ISNUMBER(SEARCH("rn""&gt;Bosnia and Herzegovina",S2137)),"Bosnia and Herzegovina",
ISNUMBER(SEARCH("rn""&gt;Trinidad and Tobago",S2137)),"Trinidad and Tobago",
ISNUMBER(SEARCH("rn""&gt;Serbia and Montenegro",S2137)),"Serbia and Montenegro",
ISNUMBER(SEARCH(_xlfn.UNICHAR(65533),S2137)),"Côte d'Ivoire",
TRUE,""
)</f>
        <v/>
      </c>
      <c r="W2137" s="12" t="str">
        <f t="shared" si="161"/>
        <v>Jordan</v>
      </c>
    </row>
    <row r="2138" spans="2:23">
      <c r="B2138" s="76" t="str">
        <v>1990.0</v>
      </c>
      <c r="C2138" s="42" t="str">
        <v xml:space="preserve">23 Jun 1990 - 21:00 </v>
      </c>
      <c r="D2138" s="42" t="str">
        <v>Round of 16</v>
      </c>
      <c r="E2138" s="42" t="str">
        <v>Stadio San Nicola</v>
      </c>
      <c r="F2138" s="42" t="str">
        <v xml:space="preserve">Bari </v>
      </c>
      <c r="G2138" s="42" t="str">
        <v>Czechoslovakia</v>
      </c>
      <c r="H2138" s="42" t="str">
        <v>4.0</v>
      </c>
      <c r="I2138" s="42" t="str">
        <v>1.0</v>
      </c>
      <c r="J2138" s="42" t="str">
        <v>Costa Rica</v>
      </c>
      <c r="K2138" s="42" t="str">
        <v xml:space="preserve"> </v>
      </c>
      <c r="L2138" s="42" t="str">
        <f t="shared" si="162"/>
        <v xml:space="preserve">1990.0|23 Jun 1990 - 21:00 |Round of 16|Stadio San Nicola|Bari |Czechoslovakia|4.0|1.0|Costa Rica| </v>
      </c>
      <c r="M2138" s="42" t="str">
        <f>IF(COUNTIF($L$1689:L2138,L2138)&gt;1,"DOUBLON","OK")</f>
        <v>OK</v>
      </c>
      <c r="S2138" s="12" t="str">
        <v>Jordan</v>
      </c>
      <c r="T2138" s="12" t="str">
        <f t="shared" si="159"/>
        <v>OK</v>
      </c>
      <c r="U2138" s="12" t="str">
        <f t="shared" si="160"/>
        <v>-</v>
      </c>
      <c r="V2138" s="12" t="str" cm="1">
        <f t="array" ref="V2138">_xlfn.IFS(
ISNUMBER(SEARCH("USA",S2138)),"United States",
ISNUMBER(SEARCH("Republic of Ireland",S2138)),"Ireland",
ISNUMBER(SEARCH("Republic of Korea",S2138)),"South Korea",
ISNUMBER(SEARCH("Cape Verde",S2138)),"Cabo Verde",
ISNUMBER(SEARCH("Czechia",S2138)),"Czech Republic",
ISNUMBER(SEARCH("Türkiye",S2138)),"Turkey",
ISNUMBER(SEARCH("Ivory Coast",S2138)),"Côte d'Ivoire",
ISNUMBER(SEARCH("Korea Republic",S2138)),"South Korea",
ISNUMBER(SEARCH("Germany FR",S2138)),"FR Germany",
ISNUMBER(SEARCH("West Germany",S2138)),"FR Germany",
ISNUMBER(SEARCH("Germany DR",S2138)),"DR Germany",
ISNUMBER(SEARCH("Korea DPR",S2138)),"North Korea",
ISNUMBER(SEARCH("China PR",S2138)),"China",
ISNUMBER(SEARCH("IR Iran",S2138)),"Iran",
ISNUMBER(SEARCH("Congo DR",S2138)),"Democratic Republic of the Congo",
ISNUMBER(SEARCH("DR Congo",S2138)),"Democratic Republic of the Congo",
ISNUMBER(SEARCH("German DR",S2138)),"DR Germany",
ISNUMBER(SEARCH("rn""&gt;United Arab Emirates",S2138)),"United Arab Emirates",
ISNUMBER(SEARCH("rn""&gt;Republic of Ireland",S2138)),"Ireland",
ISNUMBER(SEARCH("rn""&gt;Bosnia and Herzegovina",S2138)),"Bosnia and Herzegovina",
ISNUMBER(SEARCH("rn""&gt;Trinidad and Tobago",S2138)),"Trinidad and Tobago",
ISNUMBER(SEARCH("rn""&gt;Serbia and Montenegro",S2138)),"Serbia and Montenegro",
ISNUMBER(SEARCH(_xlfn.UNICHAR(65533),S2138)),"Côte d'Ivoire",
TRUE,""
)</f>
        <v/>
      </c>
      <c r="W2138" s="12" t="str">
        <f t="shared" si="161"/>
        <v>Jordan</v>
      </c>
    </row>
    <row r="2139" spans="2:23">
      <c r="B2139" s="76" t="str">
        <v>1990.0</v>
      </c>
      <c r="C2139" s="42" t="str">
        <v xml:space="preserve">24 Jun 1990 - 17:00 </v>
      </c>
      <c r="D2139" s="42" t="str">
        <v>Round of 16</v>
      </c>
      <c r="E2139" s="42" t="str">
        <v>Stadio delle Alpi</v>
      </c>
      <c r="F2139" s="42" t="str">
        <v xml:space="preserve">Turin </v>
      </c>
      <c r="G2139" s="42" t="str">
        <v>Brazil</v>
      </c>
      <c r="H2139" s="42" t="str">
        <v>0.0</v>
      </c>
      <c r="I2139" s="42" t="str">
        <v>1.0</v>
      </c>
      <c r="J2139" s="42" t="str">
        <v>Argentina</v>
      </c>
      <c r="K2139" s="42" t="str">
        <v xml:space="preserve"> </v>
      </c>
      <c r="L2139" s="42" t="str">
        <f t="shared" si="162"/>
        <v xml:space="preserve">1990.0|24 Jun 1990 - 17:00 |Round of 16|Stadio delle Alpi|Turin |Brazil|0.0|1.0|Argentina| </v>
      </c>
      <c r="M2139" s="42" t="str">
        <f>IF(COUNTIF($L$1689:L2139,L2139)&gt;1,"DOUBLON","OK")</f>
        <v>OK</v>
      </c>
      <c r="S2139" s="12" t="str">
        <v>Jordan</v>
      </c>
      <c r="T2139" s="12" t="str">
        <f t="shared" si="159"/>
        <v>OK</v>
      </c>
      <c r="U2139" s="12" t="str">
        <f t="shared" si="160"/>
        <v>-</v>
      </c>
      <c r="V2139" s="12" t="str" cm="1">
        <f t="array" ref="V2139">_xlfn.IFS(
ISNUMBER(SEARCH("USA",S2139)),"United States",
ISNUMBER(SEARCH("Republic of Ireland",S2139)),"Ireland",
ISNUMBER(SEARCH("Republic of Korea",S2139)),"South Korea",
ISNUMBER(SEARCH("Cape Verde",S2139)),"Cabo Verde",
ISNUMBER(SEARCH("Czechia",S2139)),"Czech Republic",
ISNUMBER(SEARCH("Türkiye",S2139)),"Turkey",
ISNUMBER(SEARCH("Ivory Coast",S2139)),"Côte d'Ivoire",
ISNUMBER(SEARCH("Korea Republic",S2139)),"South Korea",
ISNUMBER(SEARCH("Germany FR",S2139)),"FR Germany",
ISNUMBER(SEARCH("West Germany",S2139)),"FR Germany",
ISNUMBER(SEARCH("Germany DR",S2139)),"DR Germany",
ISNUMBER(SEARCH("Korea DPR",S2139)),"North Korea",
ISNUMBER(SEARCH("China PR",S2139)),"China",
ISNUMBER(SEARCH("IR Iran",S2139)),"Iran",
ISNUMBER(SEARCH("Congo DR",S2139)),"Democratic Republic of the Congo",
ISNUMBER(SEARCH("DR Congo",S2139)),"Democratic Republic of the Congo",
ISNUMBER(SEARCH("German DR",S2139)),"DR Germany",
ISNUMBER(SEARCH("rn""&gt;United Arab Emirates",S2139)),"United Arab Emirates",
ISNUMBER(SEARCH("rn""&gt;Republic of Ireland",S2139)),"Ireland",
ISNUMBER(SEARCH("rn""&gt;Bosnia and Herzegovina",S2139)),"Bosnia and Herzegovina",
ISNUMBER(SEARCH("rn""&gt;Trinidad and Tobago",S2139)),"Trinidad and Tobago",
ISNUMBER(SEARCH("rn""&gt;Serbia and Montenegro",S2139)),"Serbia and Montenegro",
ISNUMBER(SEARCH(_xlfn.UNICHAR(65533),S2139)),"Côte d'Ivoire",
TRUE,""
)</f>
        <v/>
      </c>
      <c r="W2139" s="12" t="str">
        <f t="shared" si="161"/>
        <v>Jordan</v>
      </c>
    </row>
    <row r="2140" spans="2:23">
      <c r="B2140" s="76" t="str">
        <v>1990.0</v>
      </c>
      <c r="C2140" s="42" t="str">
        <v xml:space="preserve">24 Jun 1990 - 21:00 </v>
      </c>
      <c r="D2140" s="42" t="str">
        <v>Round of 16</v>
      </c>
      <c r="E2140" s="42" t="str">
        <v>Giuseppe Meazza</v>
      </c>
      <c r="F2140" s="42" t="str">
        <v xml:space="preserve">Milan </v>
      </c>
      <c r="G2140" s="42" t="str">
        <v>Germany FR</v>
      </c>
      <c r="H2140" s="42" t="str">
        <v>2.0</v>
      </c>
      <c r="I2140" s="42" t="str">
        <v>1.0</v>
      </c>
      <c r="J2140" s="42" t="str">
        <v>Netherlands</v>
      </c>
      <c r="K2140" s="42" t="str">
        <v xml:space="preserve"> </v>
      </c>
      <c r="L2140" s="42" t="str">
        <f t="shared" si="162"/>
        <v xml:space="preserve">1990.0|24 Jun 1990 - 21:00 |Round of 16|Giuseppe Meazza|Milan |Germany FR|2.0|1.0|Netherlands| </v>
      </c>
      <c r="M2140" s="42" t="str">
        <f>IF(COUNTIF($L$1689:L2140,L2140)&gt;1,"DOUBLON","OK")</f>
        <v>OK</v>
      </c>
      <c r="S2140" s="12" t="str">
        <v>Jordan</v>
      </c>
      <c r="T2140" s="12" t="str">
        <f t="shared" si="159"/>
        <v>OK</v>
      </c>
      <c r="U2140" s="12" t="str">
        <f t="shared" si="160"/>
        <v>-</v>
      </c>
      <c r="V2140" s="12" t="str" cm="1">
        <f t="array" ref="V2140">_xlfn.IFS(
ISNUMBER(SEARCH("USA",S2140)),"United States",
ISNUMBER(SEARCH("Republic of Ireland",S2140)),"Ireland",
ISNUMBER(SEARCH("Republic of Korea",S2140)),"South Korea",
ISNUMBER(SEARCH("Cape Verde",S2140)),"Cabo Verde",
ISNUMBER(SEARCH("Czechia",S2140)),"Czech Republic",
ISNUMBER(SEARCH("Türkiye",S2140)),"Turkey",
ISNUMBER(SEARCH("Ivory Coast",S2140)),"Côte d'Ivoire",
ISNUMBER(SEARCH("Korea Republic",S2140)),"South Korea",
ISNUMBER(SEARCH("Germany FR",S2140)),"FR Germany",
ISNUMBER(SEARCH("West Germany",S2140)),"FR Germany",
ISNUMBER(SEARCH("Germany DR",S2140)),"DR Germany",
ISNUMBER(SEARCH("Korea DPR",S2140)),"North Korea",
ISNUMBER(SEARCH("China PR",S2140)),"China",
ISNUMBER(SEARCH("IR Iran",S2140)),"Iran",
ISNUMBER(SEARCH("Congo DR",S2140)),"Democratic Republic of the Congo",
ISNUMBER(SEARCH("DR Congo",S2140)),"Democratic Republic of the Congo",
ISNUMBER(SEARCH("German DR",S2140)),"DR Germany",
ISNUMBER(SEARCH("rn""&gt;United Arab Emirates",S2140)),"United Arab Emirates",
ISNUMBER(SEARCH("rn""&gt;Republic of Ireland",S2140)),"Ireland",
ISNUMBER(SEARCH("rn""&gt;Bosnia and Herzegovina",S2140)),"Bosnia and Herzegovina",
ISNUMBER(SEARCH("rn""&gt;Trinidad and Tobago",S2140)),"Trinidad and Tobago",
ISNUMBER(SEARCH("rn""&gt;Serbia and Montenegro",S2140)),"Serbia and Montenegro",
ISNUMBER(SEARCH(_xlfn.UNICHAR(65533),S2140)),"Côte d'Ivoire",
TRUE,""
)</f>
        <v/>
      </c>
      <c r="W2140" s="12" t="str">
        <f t="shared" si="161"/>
        <v>Jordan</v>
      </c>
    </row>
    <row r="2141" spans="2:23">
      <c r="B2141" s="76" t="str">
        <v>1990.0</v>
      </c>
      <c r="C2141" s="42" t="str">
        <v xml:space="preserve">25 Jun 1990 - 17:00 </v>
      </c>
      <c r="D2141" s="42" t="str">
        <v>Round of 16</v>
      </c>
      <c r="E2141" s="42" t="str">
        <v>Luigi Ferraris</v>
      </c>
      <c r="F2141" s="42" t="str">
        <v xml:space="preserve">Genoa </v>
      </c>
      <c r="G2141" s="42" t="str">
        <v>rn"&gt;Republic of Ireland</v>
      </c>
      <c r="H2141" s="42" t="str">
        <v>0.0</v>
      </c>
      <c r="I2141" s="42" t="str">
        <v>0.0</v>
      </c>
      <c r="J2141" s="42" t="str">
        <v>Romania</v>
      </c>
      <c r="K2141" s="42" t="str">
        <v xml:space="preserve">Republic of Ireland win on penalties (5 - 4) </v>
      </c>
      <c r="L2141" s="42" t="str">
        <f t="shared" si="162"/>
        <v xml:space="preserve">1990.0|25 Jun 1990 - 17:00 |Round of 16|Luigi Ferraris|Genoa |rn"&gt;Republic of Ireland|0.0|0.0|Romania|Republic of Ireland win on penalties (5 - 4) </v>
      </c>
      <c r="M2141" s="42" t="str">
        <f>IF(COUNTIF($L$1689:L2141,L2141)&gt;1,"DOUBLON","OK")</f>
        <v>OK</v>
      </c>
      <c r="S2141" s="12" t="str">
        <v>Jordan</v>
      </c>
      <c r="T2141" s="12" t="str">
        <f t="shared" si="159"/>
        <v>OK</v>
      </c>
      <c r="U2141" s="12" t="str">
        <f t="shared" si="160"/>
        <v>-</v>
      </c>
      <c r="V2141" s="12" t="str" cm="1">
        <f t="array" ref="V2141">_xlfn.IFS(
ISNUMBER(SEARCH("USA",S2141)),"United States",
ISNUMBER(SEARCH("Republic of Ireland",S2141)),"Ireland",
ISNUMBER(SEARCH("Republic of Korea",S2141)),"South Korea",
ISNUMBER(SEARCH("Cape Verde",S2141)),"Cabo Verde",
ISNUMBER(SEARCH("Czechia",S2141)),"Czech Republic",
ISNUMBER(SEARCH("Türkiye",S2141)),"Turkey",
ISNUMBER(SEARCH("Ivory Coast",S2141)),"Côte d'Ivoire",
ISNUMBER(SEARCH("Korea Republic",S2141)),"South Korea",
ISNUMBER(SEARCH("Germany FR",S2141)),"FR Germany",
ISNUMBER(SEARCH("West Germany",S2141)),"FR Germany",
ISNUMBER(SEARCH("Germany DR",S2141)),"DR Germany",
ISNUMBER(SEARCH("Korea DPR",S2141)),"North Korea",
ISNUMBER(SEARCH("China PR",S2141)),"China",
ISNUMBER(SEARCH("IR Iran",S2141)),"Iran",
ISNUMBER(SEARCH("Congo DR",S2141)),"Democratic Republic of the Congo",
ISNUMBER(SEARCH("DR Congo",S2141)),"Democratic Republic of the Congo",
ISNUMBER(SEARCH("German DR",S2141)),"DR Germany",
ISNUMBER(SEARCH("rn""&gt;United Arab Emirates",S2141)),"United Arab Emirates",
ISNUMBER(SEARCH("rn""&gt;Republic of Ireland",S2141)),"Ireland",
ISNUMBER(SEARCH("rn""&gt;Bosnia and Herzegovina",S2141)),"Bosnia and Herzegovina",
ISNUMBER(SEARCH("rn""&gt;Trinidad and Tobago",S2141)),"Trinidad and Tobago",
ISNUMBER(SEARCH("rn""&gt;Serbia and Montenegro",S2141)),"Serbia and Montenegro",
ISNUMBER(SEARCH(_xlfn.UNICHAR(65533),S2141)),"Côte d'Ivoire",
TRUE,""
)</f>
        <v/>
      </c>
      <c r="W2141" s="12" t="str">
        <f t="shared" si="161"/>
        <v>Jordan</v>
      </c>
    </row>
    <row r="2142" spans="2:23">
      <c r="B2142" s="76" t="str">
        <v>1990.0</v>
      </c>
      <c r="C2142" s="42" t="str">
        <v xml:space="preserve">25 Jun 1990 - 21:00 </v>
      </c>
      <c r="D2142" s="42" t="str">
        <v>Round of 16</v>
      </c>
      <c r="E2142" s="42" t="str">
        <v>Stadio Olimpico</v>
      </c>
      <c r="F2142" s="42" t="str">
        <v xml:space="preserve">Rome </v>
      </c>
      <c r="G2142" s="42" t="str">
        <v>Italy</v>
      </c>
      <c r="H2142" s="42" t="str">
        <v>2.0</v>
      </c>
      <c r="I2142" s="42" t="str">
        <v>0.0</v>
      </c>
      <c r="J2142" s="42" t="str">
        <v>Uruguay</v>
      </c>
      <c r="K2142" s="42" t="str">
        <v xml:space="preserve"> </v>
      </c>
      <c r="L2142" s="42" t="str">
        <f t="shared" si="162"/>
        <v xml:space="preserve">1990.0|25 Jun 1990 - 21:00 |Round of 16|Stadio Olimpico|Rome |Italy|2.0|0.0|Uruguay| </v>
      </c>
      <c r="M2142" s="42" t="str">
        <f>IF(COUNTIF($L$1689:L2142,L2142)&gt;1,"DOUBLON","OK")</f>
        <v>OK</v>
      </c>
      <c r="S2142" s="12" t="str">
        <v>Jordan</v>
      </c>
      <c r="T2142" s="12" t="str">
        <f t="shared" si="159"/>
        <v>OK</v>
      </c>
      <c r="U2142" s="12" t="str">
        <f t="shared" si="160"/>
        <v>-</v>
      </c>
      <c r="V2142" s="12" t="str" cm="1">
        <f t="array" ref="V2142">_xlfn.IFS(
ISNUMBER(SEARCH("USA",S2142)),"United States",
ISNUMBER(SEARCH("Republic of Ireland",S2142)),"Ireland",
ISNUMBER(SEARCH("Republic of Korea",S2142)),"South Korea",
ISNUMBER(SEARCH("Cape Verde",S2142)),"Cabo Verde",
ISNUMBER(SEARCH("Czechia",S2142)),"Czech Republic",
ISNUMBER(SEARCH("Türkiye",S2142)),"Turkey",
ISNUMBER(SEARCH("Ivory Coast",S2142)),"Côte d'Ivoire",
ISNUMBER(SEARCH("Korea Republic",S2142)),"South Korea",
ISNUMBER(SEARCH("Germany FR",S2142)),"FR Germany",
ISNUMBER(SEARCH("West Germany",S2142)),"FR Germany",
ISNUMBER(SEARCH("Germany DR",S2142)),"DR Germany",
ISNUMBER(SEARCH("Korea DPR",S2142)),"North Korea",
ISNUMBER(SEARCH("China PR",S2142)),"China",
ISNUMBER(SEARCH("IR Iran",S2142)),"Iran",
ISNUMBER(SEARCH("Congo DR",S2142)),"Democratic Republic of the Congo",
ISNUMBER(SEARCH("DR Congo",S2142)),"Democratic Republic of the Congo",
ISNUMBER(SEARCH("German DR",S2142)),"DR Germany",
ISNUMBER(SEARCH("rn""&gt;United Arab Emirates",S2142)),"United Arab Emirates",
ISNUMBER(SEARCH("rn""&gt;Republic of Ireland",S2142)),"Ireland",
ISNUMBER(SEARCH("rn""&gt;Bosnia and Herzegovina",S2142)),"Bosnia and Herzegovina",
ISNUMBER(SEARCH("rn""&gt;Trinidad and Tobago",S2142)),"Trinidad and Tobago",
ISNUMBER(SEARCH("rn""&gt;Serbia and Montenegro",S2142)),"Serbia and Montenegro",
ISNUMBER(SEARCH(_xlfn.UNICHAR(65533),S2142)),"Côte d'Ivoire",
TRUE,""
)</f>
        <v/>
      </c>
      <c r="W2142" s="12" t="str">
        <f t="shared" si="161"/>
        <v>Jordan</v>
      </c>
    </row>
    <row r="2143" spans="2:23">
      <c r="B2143" s="76" t="str">
        <v>1990.0</v>
      </c>
      <c r="C2143" s="42" t="str">
        <v xml:space="preserve">26 Jun 1990 - 17:00 </v>
      </c>
      <c r="D2143" s="42" t="str">
        <v>Round of 16</v>
      </c>
      <c r="E2143" s="42" t="str">
        <v>Marc Antonio Bentegodi</v>
      </c>
      <c r="F2143" s="42" t="str">
        <v xml:space="preserve">Verona </v>
      </c>
      <c r="G2143" s="42" t="str">
        <v>Spain</v>
      </c>
      <c r="H2143" s="42" t="str">
        <v>1.0</v>
      </c>
      <c r="I2143" s="42" t="str">
        <v>2.0</v>
      </c>
      <c r="J2143" s="42" t="str">
        <v>Yugoslavia</v>
      </c>
      <c r="K2143" s="42" t="str">
        <v xml:space="preserve">Yugoslavia win after extra time </v>
      </c>
      <c r="L2143" s="42" t="str">
        <f t="shared" si="162"/>
        <v xml:space="preserve">1990.0|26 Jun 1990 - 17:00 |Round of 16|Marc Antonio Bentegodi|Verona |Spain|1.0|2.0|Yugoslavia|Yugoslavia win after extra time </v>
      </c>
      <c r="M2143" s="42" t="str">
        <f>IF(COUNTIF($L$1689:L2143,L2143)&gt;1,"DOUBLON","OK")</f>
        <v>OK</v>
      </c>
      <c r="S2143" s="12" t="str">
        <v>Jordan</v>
      </c>
      <c r="T2143" s="12" t="str">
        <f t="shared" si="159"/>
        <v>OK</v>
      </c>
      <c r="U2143" s="12" t="str">
        <f t="shared" si="160"/>
        <v>-</v>
      </c>
      <c r="V2143" s="12" t="str" cm="1">
        <f t="array" ref="V2143">_xlfn.IFS(
ISNUMBER(SEARCH("USA",S2143)),"United States",
ISNUMBER(SEARCH("Republic of Ireland",S2143)),"Ireland",
ISNUMBER(SEARCH("Republic of Korea",S2143)),"South Korea",
ISNUMBER(SEARCH("Cape Verde",S2143)),"Cabo Verde",
ISNUMBER(SEARCH("Czechia",S2143)),"Czech Republic",
ISNUMBER(SEARCH("Türkiye",S2143)),"Turkey",
ISNUMBER(SEARCH("Ivory Coast",S2143)),"Côte d'Ivoire",
ISNUMBER(SEARCH("Korea Republic",S2143)),"South Korea",
ISNUMBER(SEARCH("Germany FR",S2143)),"FR Germany",
ISNUMBER(SEARCH("West Germany",S2143)),"FR Germany",
ISNUMBER(SEARCH("Germany DR",S2143)),"DR Germany",
ISNUMBER(SEARCH("Korea DPR",S2143)),"North Korea",
ISNUMBER(SEARCH("China PR",S2143)),"China",
ISNUMBER(SEARCH("IR Iran",S2143)),"Iran",
ISNUMBER(SEARCH("Congo DR",S2143)),"Democratic Republic of the Congo",
ISNUMBER(SEARCH("DR Congo",S2143)),"Democratic Republic of the Congo",
ISNUMBER(SEARCH("German DR",S2143)),"DR Germany",
ISNUMBER(SEARCH("rn""&gt;United Arab Emirates",S2143)),"United Arab Emirates",
ISNUMBER(SEARCH("rn""&gt;Republic of Ireland",S2143)),"Ireland",
ISNUMBER(SEARCH("rn""&gt;Bosnia and Herzegovina",S2143)),"Bosnia and Herzegovina",
ISNUMBER(SEARCH("rn""&gt;Trinidad and Tobago",S2143)),"Trinidad and Tobago",
ISNUMBER(SEARCH("rn""&gt;Serbia and Montenegro",S2143)),"Serbia and Montenegro",
ISNUMBER(SEARCH(_xlfn.UNICHAR(65533),S2143)),"Côte d'Ivoire",
TRUE,""
)</f>
        <v/>
      </c>
      <c r="W2143" s="12" t="str">
        <f t="shared" si="161"/>
        <v>Jordan</v>
      </c>
    </row>
    <row r="2144" spans="2:23">
      <c r="B2144" s="76" t="str">
        <v>1990.0</v>
      </c>
      <c r="C2144" s="42" t="str">
        <v xml:space="preserve">26 Jun 1990 - 21:00 </v>
      </c>
      <c r="D2144" s="42" t="str">
        <v>Round of 16</v>
      </c>
      <c r="E2144" s="42" t="str">
        <v>Renato Dall Ara</v>
      </c>
      <c r="F2144" s="42" t="str">
        <v xml:space="preserve">Bologna </v>
      </c>
      <c r="G2144" s="42" t="str">
        <v>England</v>
      </c>
      <c r="H2144" s="42" t="str">
        <v>1.0</v>
      </c>
      <c r="I2144" s="42" t="str">
        <v>0.0</v>
      </c>
      <c r="J2144" s="42" t="str">
        <v>Belgium</v>
      </c>
      <c r="K2144" s="42" t="str">
        <v xml:space="preserve">England win after extra time </v>
      </c>
      <c r="L2144" s="42" t="str">
        <f t="shared" si="162"/>
        <v xml:space="preserve">1990.0|26 Jun 1990 - 21:00 |Round of 16|Renato Dall Ara|Bologna |England|1.0|0.0|Belgium|England win after extra time </v>
      </c>
      <c r="M2144" s="42" t="str">
        <f>IF(COUNTIF($L$1689:L2144,L2144)&gt;1,"DOUBLON","OK")</f>
        <v>OK</v>
      </c>
      <c r="S2144" s="12" t="str">
        <v>Jordan</v>
      </c>
      <c r="T2144" s="12" t="str">
        <f t="shared" si="159"/>
        <v>OK</v>
      </c>
      <c r="U2144" s="12" t="str">
        <f t="shared" si="160"/>
        <v>-</v>
      </c>
      <c r="V2144" s="12" t="str" cm="1">
        <f t="array" ref="V2144">_xlfn.IFS(
ISNUMBER(SEARCH("USA",S2144)),"United States",
ISNUMBER(SEARCH("Republic of Ireland",S2144)),"Ireland",
ISNUMBER(SEARCH("Republic of Korea",S2144)),"South Korea",
ISNUMBER(SEARCH("Cape Verde",S2144)),"Cabo Verde",
ISNUMBER(SEARCH("Czechia",S2144)),"Czech Republic",
ISNUMBER(SEARCH("Türkiye",S2144)),"Turkey",
ISNUMBER(SEARCH("Ivory Coast",S2144)),"Côte d'Ivoire",
ISNUMBER(SEARCH("Korea Republic",S2144)),"South Korea",
ISNUMBER(SEARCH("Germany FR",S2144)),"FR Germany",
ISNUMBER(SEARCH("West Germany",S2144)),"FR Germany",
ISNUMBER(SEARCH("Germany DR",S2144)),"DR Germany",
ISNUMBER(SEARCH("Korea DPR",S2144)),"North Korea",
ISNUMBER(SEARCH("China PR",S2144)),"China",
ISNUMBER(SEARCH("IR Iran",S2144)),"Iran",
ISNUMBER(SEARCH("Congo DR",S2144)),"Democratic Republic of the Congo",
ISNUMBER(SEARCH("DR Congo",S2144)),"Democratic Republic of the Congo",
ISNUMBER(SEARCH("German DR",S2144)),"DR Germany",
ISNUMBER(SEARCH("rn""&gt;United Arab Emirates",S2144)),"United Arab Emirates",
ISNUMBER(SEARCH("rn""&gt;Republic of Ireland",S2144)),"Ireland",
ISNUMBER(SEARCH("rn""&gt;Bosnia and Herzegovina",S2144)),"Bosnia and Herzegovina",
ISNUMBER(SEARCH("rn""&gt;Trinidad and Tobago",S2144)),"Trinidad and Tobago",
ISNUMBER(SEARCH("rn""&gt;Serbia and Montenegro",S2144)),"Serbia and Montenegro",
ISNUMBER(SEARCH(_xlfn.UNICHAR(65533),S2144)),"Côte d'Ivoire",
TRUE,""
)</f>
        <v/>
      </c>
      <c r="W2144" s="12" t="str">
        <f t="shared" si="161"/>
        <v>Jordan</v>
      </c>
    </row>
    <row r="2145" spans="2:23">
      <c r="B2145" s="76" t="str">
        <v>1990.0</v>
      </c>
      <c r="C2145" s="42" t="str">
        <v xml:space="preserve">30 Jun 1990 - 17:00 </v>
      </c>
      <c r="D2145" s="42" t="str">
        <v>Quarter-finals</v>
      </c>
      <c r="E2145" s="42" t="str">
        <v>Comunale</v>
      </c>
      <c r="F2145" s="42" t="str">
        <v xml:space="preserve">Florence </v>
      </c>
      <c r="G2145" s="42" t="str">
        <v>Yugoslavia</v>
      </c>
      <c r="H2145" s="42" t="str">
        <v>0.0</v>
      </c>
      <c r="I2145" s="42" t="str">
        <v>0.0</v>
      </c>
      <c r="J2145" s="42" t="str">
        <v>Argentina</v>
      </c>
      <c r="K2145" s="42" t="str">
        <v xml:space="preserve"> win on penalties (2 - 3) </v>
      </c>
      <c r="L2145" s="42" t="str">
        <f t="shared" si="162"/>
        <v xml:space="preserve">1990.0|30 Jun 1990 - 17:00 |Quarter-finals|Comunale|Florence |Yugoslavia|0.0|0.0|Argentina| win on penalties (2 - 3) </v>
      </c>
      <c r="M2145" s="42" t="str">
        <f>IF(COUNTIF($L$1689:L2145,L2145)&gt;1,"DOUBLON","OK")</f>
        <v>OK</v>
      </c>
      <c r="S2145" s="12" t="str">
        <v>Jordan</v>
      </c>
      <c r="T2145" s="12" t="str">
        <f t="shared" ref="T2145:T2208" si="163">IF(COUNTIF(R$13:R$250,S2145)=1,"OK","ERREUR")</f>
        <v>OK</v>
      </c>
      <c r="U2145" s="12" t="str">
        <f t="shared" si="160"/>
        <v>-</v>
      </c>
      <c r="V2145" s="12" t="str" cm="1">
        <f t="array" ref="V2145">_xlfn.IFS(
ISNUMBER(SEARCH("USA",S2145)),"United States",
ISNUMBER(SEARCH("Republic of Ireland",S2145)),"Ireland",
ISNUMBER(SEARCH("Republic of Korea",S2145)),"South Korea",
ISNUMBER(SEARCH("Cape Verde",S2145)),"Cabo Verde",
ISNUMBER(SEARCH("Czechia",S2145)),"Czech Republic",
ISNUMBER(SEARCH("Türkiye",S2145)),"Turkey",
ISNUMBER(SEARCH("Ivory Coast",S2145)),"Côte d'Ivoire",
ISNUMBER(SEARCH("Korea Republic",S2145)),"South Korea",
ISNUMBER(SEARCH("Germany FR",S2145)),"FR Germany",
ISNUMBER(SEARCH("West Germany",S2145)),"FR Germany",
ISNUMBER(SEARCH("Germany DR",S2145)),"DR Germany",
ISNUMBER(SEARCH("Korea DPR",S2145)),"North Korea",
ISNUMBER(SEARCH("China PR",S2145)),"China",
ISNUMBER(SEARCH("IR Iran",S2145)),"Iran",
ISNUMBER(SEARCH("Congo DR",S2145)),"Democratic Republic of the Congo",
ISNUMBER(SEARCH("DR Congo",S2145)),"Democratic Republic of the Congo",
ISNUMBER(SEARCH("German DR",S2145)),"DR Germany",
ISNUMBER(SEARCH("rn""&gt;United Arab Emirates",S2145)),"United Arab Emirates",
ISNUMBER(SEARCH("rn""&gt;Republic of Ireland",S2145)),"Ireland",
ISNUMBER(SEARCH("rn""&gt;Bosnia and Herzegovina",S2145)),"Bosnia and Herzegovina",
ISNUMBER(SEARCH("rn""&gt;Trinidad and Tobago",S2145)),"Trinidad and Tobago",
ISNUMBER(SEARCH("rn""&gt;Serbia and Montenegro",S2145)),"Serbia and Montenegro",
ISNUMBER(SEARCH(_xlfn.UNICHAR(65533),S2145)),"Côte d'Ivoire",
TRUE,""
)</f>
        <v/>
      </c>
      <c r="W2145" s="12" t="str">
        <f t="shared" si="161"/>
        <v>Jordan</v>
      </c>
    </row>
    <row r="2146" spans="2:23">
      <c r="B2146" s="76" t="str">
        <v>1990.0</v>
      </c>
      <c r="C2146" s="42" t="str">
        <v xml:space="preserve">30 Jun 1990 - 21:00 </v>
      </c>
      <c r="D2146" s="42" t="str">
        <v>Quarter-finals</v>
      </c>
      <c r="E2146" s="42" t="str">
        <v>Stadio Olimpico</v>
      </c>
      <c r="F2146" s="42" t="str">
        <v xml:space="preserve">Rome </v>
      </c>
      <c r="G2146" s="42" t="str">
        <v>Italy</v>
      </c>
      <c r="H2146" s="42" t="str">
        <v>1.0</v>
      </c>
      <c r="I2146" s="42" t="str">
        <v>0.0</v>
      </c>
      <c r="J2146" s="42" t="str">
        <v>rn"&gt;Republic of Ireland</v>
      </c>
      <c r="K2146" s="42" t="str">
        <v xml:space="preserve"> </v>
      </c>
      <c r="L2146" s="42" t="str">
        <f t="shared" si="162"/>
        <v xml:space="preserve">1990.0|30 Jun 1990 - 21:00 |Quarter-finals|Stadio Olimpico|Rome |Italy|1.0|0.0|rn"&gt;Republic of Ireland| </v>
      </c>
      <c r="M2146" s="42" t="str">
        <f>IF(COUNTIF($L$1689:L2146,L2146)&gt;1,"DOUBLON","OK")</f>
        <v>OK</v>
      </c>
      <c r="S2146" s="12" t="str">
        <v>Jordan</v>
      </c>
      <c r="T2146" s="12" t="str">
        <f t="shared" si="163"/>
        <v>OK</v>
      </c>
      <c r="U2146" s="12" t="str">
        <f t="shared" ref="U2146:U2209" si="164">IF(OR(S2146="Scotland",S2146="England",S2146="Wales",S2146="Yugoslavia",S2146="Czechoslovakia",S2146="Northern Ireland",S2146="Soviet Union",S2146="Zaire",S2146="Dutch East Indies"),"AUCUNE",IF(OR(S2146="Cape Verde",S2146="USA",S2146="DR Congo",S2146="Republic of Korea",S2146="Germany FR",S2146="Germany DR",S2146="Czechia",S2146="Ivory Coast",S2146="Korea DPR",S2146="China PR",S2146="IR Iran",S2146="Türkiye",S2146="Congo DR",S2146="German DR",S2146="West Germany",S2146="Republic of Ireland",ISNUMBER(SEARCH("rn""&gt;United Arab Emirates",S2146)),ISNUMBER(SEARCH("rn""&gt;Republic of Ireland",S2146)),ISNUMBER(SEARCH("rn""&gt;Bosnia and Herzegovina",S2146)),ISNUMBER(SEARCH("rn""&gt;Trinidad and Tobago",S2146)),ISNUMBER(SEARCH("rn""&gt;Serbia and Montenegro",S2146)),ISNUMBER(SEARCH(_xlfn.UNICHAR(65533),S2146))),"RENOMMER","-"))</f>
        <v>-</v>
      </c>
      <c r="V2146" s="12" t="str" cm="1">
        <f t="array" ref="V2146">_xlfn.IFS(
ISNUMBER(SEARCH("USA",S2146)),"United States",
ISNUMBER(SEARCH("Republic of Ireland",S2146)),"Ireland",
ISNUMBER(SEARCH("Republic of Korea",S2146)),"South Korea",
ISNUMBER(SEARCH("Cape Verde",S2146)),"Cabo Verde",
ISNUMBER(SEARCH("Czechia",S2146)),"Czech Republic",
ISNUMBER(SEARCH("Türkiye",S2146)),"Turkey",
ISNUMBER(SEARCH("Ivory Coast",S2146)),"Côte d'Ivoire",
ISNUMBER(SEARCH("Korea Republic",S2146)),"South Korea",
ISNUMBER(SEARCH("Germany FR",S2146)),"FR Germany",
ISNUMBER(SEARCH("West Germany",S2146)),"FR Germany",
ISNUMBER(SEARCH("Germany DR",S2146)),"DR Germany",
ISNUMBER(SEARCH("Korea DPR",S2146)),"North Korea",
ISNUMBER(SEARCH("China PR",S2146)),"China",
ISNUMBER(SEARCH("IR Iran",S2146)),"Iran",
ISNUMBER(SEARCH("Congo DR",S2146)),"Democratic Republic of the Congo",
ISNUMBER(SEARCH("DR Congo",S2146)),"Democratic Republic of the Congo",
ISNUMBER(SEARCH("German DR",S2146)),"DR Germany",
ISNUMBER(SEARCH("rn""&gt;United Arab Emirates",S2146)),"United Arab Emirates",
ISNUMBER(SEARCH("rn""&gt;Republic of Ireland",S2146)),"Ireland",
ISNUMBER(SEARCH("rn""&gt;Bosnia and Herzegovina",S2146)),"Bosnia and Herzegovina",
ISNUMBER(SEARCH("rn""&gt;Trinidad and Tobago",S2146)),"Trinidad and Tobago",
ISNUMBER(SEARCH("rn""&gt;Serbia and Montenegro",S2146)),"Serbia and Montenegro",
ISNUMBER(SEARCH(_xlfn.UNICHAR(65533),S2146)),"Côte d'Ivoire",
TRUE,""
)</f>
        <v/>
      </c>
      <c r="W2146" s="12" t="str">
        <f t="shared" ref="W2146:W2209" si="165">IF(V2146="",S2146,V2146)</f>
        <v>Jordan</v>
      </c>
    </row>
    <row r="2147" spans="2:23">
      <c r="B2147" s="76" t="str">
        <v>1990.0</v>
      </c>
      <c r="C2147" s="42" t="str">
        <v xml:space="preserve">01 Jul 1990 - 17:00 </v>
      </c>
      <c r="D2147" s="42" t="str">
        <v>Quarter-finals</v>
      </c>
      <c r="E2147" s="42" t="str">
        <v>Giuseppe Meazza</v>
      </c>
      <c r="F2147" s="42" t="str">
        <v xml:space="preserve">Milan </v>
      </c>
      <c r="G2147" s="42" t="str">
        <v>Germany FR</v>
      </c>
      <c r="H2147" s="42" t="str">
        <v>1.0</v>
      </c>
      <c r="I2147" s="42" t="str">
        <v>0.0</v>
      </c>
      <c r="J2147" s="42" t="str">
        <v>Czechoslovakia</v>
      </c>
      <c r="K2147" s="42" t="str">
        <v xml:space="preserve"> </v>
      </c>
      <c r="L2147" s="42" t="str">
        <f t="shared" si="162"/>
        <v xml:space="preserve">1990.0|01 Jul 1990 - 17:00 |Quarter-finals|Giuseppe Meazza|Milan |Germany FR|1.0|0.0|Czechoslovakia| </v>
      </c>
      <c r="M2147" s="42" t="str">
        <f>IF(COUNTIF($L$1689:L2147,L2147)&gt;1,"DOUBLON","OK")</f>
        <v>OK</v>
      </c>
      <c r="S2147" s="12" t="str">
        <v>Jordan</v>
      </c>
      <c r="T2147" s="12" t="str">
        <f t="shared" si="163"/>
        <v>OK</v>
      </c>
      <c r="U2147" s="12" t="str">
        <f t="shared" si="164"/>
        <v>-</v>
      </c>
      <c r="V2147" s="12" t="str" cm="1">
        <f t="array" ref="V2147">_xlfn.IFS(
ISNUMBER(SEARCH("USA",S2147)),"United States",
ISNUMBER(SEARCH("Republic of Ireland",S2147)),"Ireland",
ISNUMBER(SEARCH("Republic of Korea",S2147)),"South Korea",
ISNUMBER(SEARCH("Cape Verde",S2147)),"Cabo Verde",
ISNUMBER(SEARCH("Czechia",S2147)),"Czech Republic",
ISNUMBER(SEARCH("Türkiye",S2147)),"Turkey",
ISNUMBER(SEARCH("Ivory Coast",S2147)),"Côte d'Ivoire",
ISNUMBER(SEARCH("Korea Republic",S2147)),"South Korea",
ISNUMBER(SEARCH("Germany FR",S2147)),"FR Germany",
ISNUMBER(SEARCH("West Germany",S2147)),"FR Germany",
ISNUMBER(SEARCH("Germany DR",S2147)),"DR Germany",
ISNUMBER(SEARCH("Korea DPR",S2147)),"North Korea",
ISNUMBER(SEARCH("China PR",S2147)),"China",
ISNUMBER(SEARCH("IR Iran",S2147)),"Iran",
ISNUMBER(SEARCH("Congo DR",S2147)),"Democratic Republic of the Congo",
ISNUMBER(SEARCH("DR Congo",S2147)),"Democratic Republic of the Congo",
ISNUMBER(SEARCH("German DR",S2147)),"DR Germany",
ISNUMBER(SEARCH("rn""&gt;United Arab Emirates",S2147)),"United Arab Emirates",
ISNUMBER(SEARCH("rn""&gt;Republic of Ireland",S2147)),"Ireland",
ISNUMBER(SEARCH("rn""&gt;Bosnia and Herzegovina",S2147)),"Bosnia and Herzegovina",
ISNUMBER(SEARCH("rn""&gt;Trinidad and Tobago",S2147)),"Trinidad and Tobago",
ISNUMBER(SEARCH("rn""&gt;Serbia and Montenegro",S2147)),"Serbia and Montenegro",
ISNUMBER(SEARCH(_xlfn.UNICHAR(65533),S2147)),"Côte d'Ivoire",
TRUE,""
)</f>
        <v/>
      </c>
      <c r="W2147" s="12" t="str">
        <f t="shared" si="165"/>
        <v>Jordan</v>
      </c>
    </row>
    <row r="2148" spans="2:23">
      <c r="B2148" s="76" t="str">
        <v>1990.0</v>
      </c>
      <c r="C2148" s="42" t="str">
        <v xml:space="preserve">01 Jul 1990 - 21:00 </v>
      </c>
      <c r="D2148" s="42" t="str">
        <v>Quarter-finals</v>
      </c>
      <c r="E2148" s="42" t="str">
        <v>San Paolo</v>
      </c>
      <c r="F2148" s="42" t="str">
        <v xml:space="preserve">Naples </v>
      </c>
      <c r="G2148" s="42" t="str">
        <v>England</v>
      </c>
      <c r="H2148" s="42" t="str">
        <v>3.0</v>
      </c>
      <c r="I2148" s="42" t="str">
        <v>2.0</v>
      </c>
      <c r="J2148" s="42" t="str">
        <v>Cameroon</v>
      </c>
      <c r="K2148" s="42" t="str">
        <v xml:space="preserve">England win after extra time </v>
      </c>
      <c r="L2148" s="42" t="str">
        <f t="shared" si="162"/>
        <v xml:space="preserve">1990.0|01 Jul 1990 - 21:00 |Quarter-finals|San Paolo|Naples |England|3.0|2.0|Cameroon|England win after extra time </v>
      </c>
      <c r="M2148" s="42" t="str">
        <f>IF(COUNTIF($L$1689:L2148,L2148)&gt;1,"DOUBLON","OK")</f>
        <v>OK</v>
      </c>
      <c r="S2148" s="12" t="str">
        <v>Jordan</v>
      </c>
      <c r="T2148" s="12" t="str">
        <f t="shared" si="163"/>
        <v>OK</v>
      </c>
      <c r="U2148" s="12" t="str">
        <f t="shared" si="164"/>
        <v>-</v>
      </c>
      <c r="V2148" s="12" t="str" cm="1">
        <f t="array" ref="V2148">_xlfn.IFS(
ISNUMBER(SEARCH("USA",S2148)),"United States",
ISNUMBER(SEARCH("Republic of Ireland",S2148)),"Ireland",
ISNUMBER(SEARCH("Republic of Korea",S2148)),"South Korea",
ISNUMBER(SEARCH("Cape Verde",S2148)),"Cabo Verde",
ISNUMBER(SEARCH("Czechia",S2148)),"Czech Republic",
ISNUMBER(SEARCH("Türkiye",S2148)),"Turkey",
ISNUMBER(SEARCH("Ivory Coast",S2148)),"Côte d'Ivoire",
ISNUMBER(SEARCH("Korea Republic",S2148)),"South Korea",
ISNUMBER(SEARCH("Germany FR",S2148)),"FR Germany",
ISNUMBER(SEARCH("West Germany",S2148)),"FR Germany",
ISNUMBER(SEARCH("Germany DR",S2148)),"DR Germany",
ISNUMBER(SEARCH("Korea DPR",S2148)),"North Korea",
ISNUMBER(SEARCH("China PR",S2148)),"China",
ISNUMBER(SEARCH("IR Iran",S2148)),"Iran",
ISNUMBER(SEARCH("Congo DR",S2148)),"Democratic Republic of the Congo",
ISNUMBER(SEARCH("DR Congo",S2148)),"Democratic Republic of the Congo",
ISNUMBER(SEARCH("German DR",S2148)),"DR Germany",
ISNUMBER(SEARCH("rn""&gt;United Arab Emirates",S2148)),"United Arab Emirates",
ISNUMBER(SEARCH("rn""&gt;Republic of Ireland",S2148)),"Ireland",
ISNUMBER(SEARCH("rn""&gt;Bosnia and Herzegovina",S2148)),"Bosnia and Herzegovina",
ISNUMBER(SEARCH("rn""&gt;Trinidad and Tobago",S2148)),"Trinidad and Tobago",
ISNUMBER(SEARCH("rn""&gt;Serbia and Montenegro",S2148)),"Serbia and Montenegro",
ISNUMBER(SEARCH(_xlfn.UNICHAR(65533),S2148)),"Côte d'Ivoire",
TRUE,""
)</f>
        <v/>
      </c>
      <c r="W2148" s="12" t="str">
        <f t="shared" si="165"/>
        <v>Jordan</v>
      </c>
    </row>
    <row r="2149" spans="2:23">
      <c r="B2149" s="76" t="str">
        <v>1990.0</v>
      </c>
      <c r="C2149" s="42" t="str">
        <v xml:space="preserve">03 Jul 1990 - 20:00 </v>
      </c>
      <c r="D2149" s="42" t="str">
        <v>Semi-finals</v>
      </c>
      <c r="E2149" s="42" t="str">
        <v>San Paolo</v>
      </c>
      <c r="F2149" s="42" t="str">
        <v xml:space="preserve">Naples </v>
      </c>
      <c r="G2149" s="42" t="str">
        <v>Italy</v>
      </c>
      <c r="H2149" s="42" t="str">
        <v>1.0</v>
      </c>
      <c r="I2149" s="42" t="str">
        <v>1.0</v>
      </c>
      <c r="J2149" s="42" t="str">
        <v>Argentina</v>
      </c>
      <c r="K2149" s="42" t="str">
        <v xml:space="preserve"> win on penalties (3 - 4) </v>
      </c>
      <c r="L2149" s="42" t="str">
        <f t="shared" si="162"/>
        <v xml:space="preserve">1990.0|03 Jul 1990 - 20:00 |Semi-finals|San Paolo|Naples |Italy|1.0|1.0|Argentina| win on penalties (3 - 4) </v>
      </c>
      <c r="M2149" s="42" t="str">
        <f>IF(COUNTIF($L$1689:L2149,L2149)&gt;1,"DOUBLON","OK")</f>
        <v>OK</v>
      </c>
      <c r="S2149" s="12" t="str">
        <v>Jordan</v>
      </c>
      <c r="T2149" s="12" t="str">
        <f t="shared" si="163"/>
        <v>OK</v>
      </c>
      <c r="U2149" s="12" t="str">
        <f t="shared" si="164"/>
        <v>-</v>
      </c>
      <c r="V2149" s="12" t="str" cm="1">
        <f t="array" ref="V2149">_xlfn.IFS(
ISNUMBER(SEARCH("USA",S2149)),"United States",
ISNUMBER(SEARCH("Republic of Ireland",S2149)),"Ireland",
ISNUMBER(SEARCH("Republic of Korea",S2149)),"South Korea",
ISNUMBER(SEARCH("Cape Verde",S2149)),"Cabo Verde",
ISNUMBER(SEARCH("Czechia",S2149)),"Czech Republic",
ISNUMBER(SEARCH("Türkiye",S2149)),"Turkey",
ISNUMBER(SEARCH("Ivory Coast",S2149)),"Côte d'Ivoire",
ISNUMBER(SEARCH("Korea Republic",S2149)),"South Korea",
ISNUMBER(SEARCH("Germany FR",S2149)),"FR Germany",
ISNUMBER(SEARCH("West Germany",S2149)),"FR Germany",
ISNUMBER(SEARCH("Germany DR",S2149)),"DR Germany",
ISNUMBER(SEARCH("Korea DPR",S2149)),"North Korea",
ISNUMBER(SEARCH("China PR",S2149)),"China",
ISNUMBER(SEARCH("IR Iran",S2149)),"Iran",
ISNUMBER(SEARCH("Congo DR",S2149)),"Democratic Republic of the Congo",
ISNUMBER(SEARCH("DR Congo",S2149)),"Democratic Republic of the Congo",
ISNUMBER(SEARCH("German DR",S2149)),"DR Germany",
ISNUMBER(SEARCH("rn""&gt;United Arab Emirates",S2149)),"United Arab Emirates",
ISNUMBER(SEARCH("rn""&gt;Republic of Ireland",S2149)),"Ireland",
ISNUMBER(SEARCH("rn""&gt;Bosnia and Herzegovina",S2149)),"Bosnia and Herzegovina",
ISNUMBER(SEARCH("rn""&gt;Trinidad and Tobago",S2149)),"Trinidad and Tobago",
ISNUMBER(SEARCH("rn""&gt;Serbia and Montenegro",S2149)),"Serbia and Montenegro",
ISNUMBER(SEARCH(_xlfn.UNICHAR(65533),S2149)),"Côte d'Ivoire",
TRUE,""
)</f>
        <v/>
      </c>
      <c r="W2149" s="12" t="str">
        <f t="shared" si="165"/>
        <v>Jordan</v>
      </c>
    </row>
    <row r="2150" spans="2:23">
      <c r="B2150" s="76" t="str">
        <v>1990.0</v>
      </c>
      <c r="C2150" s="42" t="str">
        <v xml:space="preserve">04 Jul 1990 - 20:00 </v>
      </c>
      <c r="D2150" s="42" t="str">
        <v>Semi-finals</v>
      </c>
      <c r="E2150" s="42" t="str">
        <v>Stadio delle Alpi</v>
      </c>
      <c r="F2150" s="42" t="str">
        <v xml:space="preserve">Turin </v>
      </c>
      <c r="G2150" s="42" t="str">
        <v>Germany FR</v>
      </c>
      <c r="H2150" s="42" t="str">
        <v>1.0</v>
      </c>
      <c r="I2150" s="42" t="str">
        <v>1.0</v>
      </c>
      <c r="J2150" s="42" t="str">
        <v>England</v>
      </c>
      <c r="K2150" s="42" t="str">
        <v xml:space="preserve"> win on penalties (4 - 3) </v>
      </c>
      <c r="L2150" s="42" t="str">
        <f t="shared" si="162"/>
        <v xml:space="preserve">1990.0|04 Jul 1990 - 20:00 |Semi-finals|Stadio delle Alpi|Turin |Germany FR|1.0|1.0|England| win on penalties (4 - 3) </v>
      </c>
      <c r="M2150" s="42" t="str">
        <f>IF(COUNTIF($L$1689:L2150,L2150)&gt;1,"DOUBLON","OK")</f>
        <v>OK</v>
      </c>
      <c r="S2150" s="12" t="str">
        <v>Jordan</v>
      </c>
      <c r="T2150" s="12" t="str">
        <f t="shared" si="163"/>
        <v>OK</v>
      </c>
      <c r="U2150" s="12" t="str">
        <f t="shared" si="164"/>
        <v>-</v>
      </c>
      <c r="V2150" s="12" t="str" cm="1">
        <f t="array" ref="V2150">_xlfn.IFS(
ISNUMBER(SEARCH("USA",S2150)),"United States",
ISNUMBER(SEARCH("Republic of Ireland",S2150)),"Ireland",
ISNUMBER(SEARCH("Republic of Korea",S2150)),"South Korea",
ISNUMBER(SEARCH("Cape Verde",S2150)),"Cabo Verde",
ISNUMBER(SEARCH("Czechia",S2150)),"Czech Republic",
ISNUMBER(SEARCH("Türkiye",S2150)),"Turkey",
ISNUMBER(SEARCH("Ivory Coast",S2150)),"Côte d'Ivoire",
ISNUMBER(SEARCH("Korea Republic",S2150)),"South Korea",
ISNUMBER(SEARCH("Germany FR",S2150)),"FR Germany",
ISNUMBER(SEARCH("West Germany",S2150)),"FR Germany",
ISNUMBER(SEARCH("Germany DR",S2150)),"DR Germany",
ISNUMBER(SEARCH("Korea DPR",S2150)),"North Korea",
ISNUMBER(SEARCH("China PR",S2150)),"China",
ISNUMBER(SEARCH("IR Iran",S2150)),"Iran",
ISNUMBER(SEARCH("Congo DR",S2150)),"Democratic Republic of the Congo",
ISNUMBER(SEARCH("DR Congo",S2150)),"Democratic Republic of the Congo",
ISNUMBER(SEARCH("German DR",S2150)),"DR Germany",
ISNUMBER(SEARCH("rn""&gt;United Arab Emirates",S2150)),"United Arab Emirates",
ISNUMBER(SEARCH("rn""&gt;Republic of Ireland",S2150)),"Ireland",
ISNUMBER(SEARCH("rn""&gt;Bosnia and Herzegovina",S2150)),"Bosnia and Herzegovina",
ISNUMBER(SEARCH("rn""&gt;Trinidad and Tobago",S2150)),"Trinidad and Tobago",
ISNUMBER(SEARCH("rn""&gt;Serbia and Montenegro",S2150)),"Serbia and Montenegro",
ISNUMBER(SEARCH(_xlfn.UNICHAR(65533),S2150)),"Côte d'Ivoire",
TRUE,""
)</f>
        <v/>
      </c>
      <c r="W2150" s="12" t="str">
        <f t="shared" si="165"/>
        <v>Jordan</v>
      </c>
    </row>
    <row r="2151" spans="2:23">
      <c r="B2151" s="76" t="str">
        <v>1990.0</v>
      </c>
      <c r="C2151" s="42" t="str">
        <v xml:space="preserve">07 Jul 1990 - 20:00 </v>
      </c>
      <c r="D2151" s="42" t="str">
        <v>Match for third place</v>
      </c>
      <c r="E2151" s="42" t="str">
        <v>Stadio San Nicola</v>
      </c>
      <c r="F2151" s="42" t="str">
        <v xml:space="preserve">Bari </v>
      </c>
      <c r="G2151" s="42" t="str">
        <v>Italy</v>
      </c>
      <c r="H2151" s="42" t="str">
        <v>2.0</v>
      </c>
      <c r="I2151" s="42" t="str">
        <v>1.0</v>
      </c>
      <c r="J2151" s="42" t="str">
        <v>England</v>
      </c>
      <c r="K2151" s="42" t="str">
        <v xml:space="preserve"> </v>
      </c>
      <c r="L2151" s="42" t="str">
        <f t="shared" si="162"/>
        <v xml:space="preserve">1990.0|07 Jul 1990 - 20:00 |Match for third place|Stadio San Nicola|Bari |Italy|2.0|1.0|England| </v>
      </c>
      <c r="M2151" s="42" t="str">
        <f>IF(COUNTIF($L$1689:L2151,L2151)&gt;1,"DOUBLON","OK")</f>
        <v>OK</v>
      </c>
      <c r="S2151" s="12" t="str">
        <v>Jordan</v>
      </c>
      <c r="T2151" s="12" t="str">
        <f t="shared" si="163"/>
        <v>OK</v>
      </c>
      <c r="U2151" s="12" t="str">
        <f t="shared" si="164"/>
        <v>-</v>
      </c>
      <c r="V2151" s="12" t="str" cm="1">
        <f t="array" ref="V2151">_xlfn.IFS(
ISNUMBER(SEARCH("USA",S2151)),"United States",
ISNUMBER(SEARCH("Republic of Ireland",S2151)),"Ireland",
ISNUMBER(SEARCH("Republic of Korea",S2151)),"South Korea",
ISNUMBER(SEARCH("Cape Verde",S2151)),"Cabo Verde",
ISNUMBER(SEARCH("Czechia",S2151)),"Czech Republic",
ISNUMBER(SEARCH("Türkiye",S2151)),"Turkey",
ISNUMBER(SEARCH("Ivory Coast",S2151)),"Côte d'Ivoire",
ISNUMBER(SEARCH("Korea Republic",S2151)),"South Korea",
ISNUMBER(SEARCH("Germany FR",S2151)),"FR Germany",
ISNUMBER(SEARCH("West Germany",S2151)),"FR Germany",
ISNUMBER(SEARCH("Germany DR",S2151)),"DR Germany",
ISNUMBER(SEARCH("Korea DPR",S2151)),"North Korea",
ISNUMBER(SEARCH("China PR",S2151)),"China",
ISNUMBER(SEARCH("IR Iran",S2151)),"Iran",
ISNUMBER(SEARCH("Congo DR",S2151)),"Democratic Republic of the Congo",
ISNUMBER(SEARCH("DR Congo",S2151)),"Democratic Republic of the Congo",
ISNUMBER(SEARCH("German DR",S2151)),"DR Germany",
ISNUMBER(SEARCH("rn""&gt;United Arab Emirates",S2151)),"United Arab Emirates",
ISNUMBER(SEARCH("rn""&gt;Republic of Ireland",S2151)),"Ireland",
ISNUMBER(SEARCH("rn""&gt;Bosnia and Herzegovina",S2151)),"Bosnia and Herzegovina",
ISNUMBER(SEARCH("rn""&gt;Trinidad and Tobago",S2151)),"Trinidad and Tobago",
ISNUMBER(SEARCH("rn""&gt;Serbia and Montenegro",S2151)),"Serbia and Montenegro",
ISNUMBER(SEARCH(_xlfn.UNICHAR(65533),S2151)),"Côte d'Ivoire",
TRUE,""
)</f>
        <v/>
      </c>
      <c r="W2151" s="12" t="str">
        <f t="shared" si="165"/>
        <v>Jordan</v>
      </c>
    </row>
    <row r="2152" spans="2:23">
      <c r="B2152" s="76" t="str">
        <v>1990.0</v>
      </c>
      <c r="C2152" s="42" t="str">
        <v xml:space="preserve">08 Jul 1990 - 20:00 </v>
      </c>
      <c r="D2152" s="42" t="str">
        <v>Final</v>
      </c>
      <c r="E2152" s="42" t="str">
        <v>Stadio Olimpico</v>
      </c>
      <c r="F2152" s="42" t="str">
        <v xml:space="preserve">Rome </v>
      </c>
      <c r="G2152" s="42" t="str">
        <v>Germany FR</v>
      </c>
      <c r="H2152" s="42" t="str">
        <v>1.0</v>
      </c>
      <c r="I2152" s="42" t="str">
        <v>0.0</v>
      </c>
      <c r="J2152" s="42" t="str">
        <v>Argentina</v>
      </c>
      <c r="K2152" s="42" t="str">
        <v xml:space="preserve"> </v>
      </c>
      <c r="L2152" s="42" t="str">
        <f t="shared" si="162"/>
        <v xml:space="preserve">1990.0|08 Jul 1990 - 20:00 |Final|Stadio Olimpico|Rome |Germany FR|1.0|0.0|Argentina| </v>
      </c>
      <c r="M2152" s="42" t="str">
        <f>IF(COUNTIF($L$1689:L2152,L2152)&gt;1,"DOUBLON","OK")</f>
        <v>OK</v>
      </c>
      <c r="S2152" s="12" t="str">
        <v>Jordan</v>
      </c>
      <c r="T2152" s="12" t="str">
        <f t="shared" si="163"/>
        <v>OK</v>
      </c>
      <c r="U2152" s="12" t="str">
        <f t="shared" si="164"/>
        <v>-</v>
      </c>
      <c r="V2152" s="12" t="str" cm="1">
        <f t="array" ref="V2152">_xlfn.IFS(
ISNUMBER(SEARCH("USA",S2152)),"United States",
ISNUMBER(SEARCH("Republic of Ireland",S2152)),"Ireland",
ISNUMBER(SEARCH("Republic of Korea",S2152)),"South Korea",
ISNUMBER(SEARCH("Cape Verde",S2152)),"Cabo Verde",
ISNUMBER(SEARCH("Czechia",S2152)),"Czech Republic",
ISNUMBER(SEARCH("Türkiye",S2152)),"Turkey",
ISNUMBER(SEARCH("Ivory Coast",S2152)),"Côte d'Ivoire",
ISNUMBER(SEARCH("Korea Republic",S2152)),"South Korea",
ISNUMBER(SEARCH("Germany FR",S2152)),"FR Germany",
ISNUMBER(SEARCH("West Germany",S2152)),"FR Germany",
ISNUMBER(SEARCH("Germany DR",S2152)),"DR Germany",
ISNUMBER(SEARCH("Korea DPR",S2152)),"North Korea",
ISNUMBER(SEARCH("China PR",S2152)),"China",
ISNUMBER(SEARCH("IR Iran",S2152)),"Iran",
ISNUMBER(SEARCH("Congo DR",S2152)),"Democratic Republic of the Congo",
ISNUMBER(SEARCH("DR Congo",S2152)),"Democratic Republic of the Congo",
ISNUMBER(SEARCH("German DR",S2152)),"DR Germany",
ISNUMBER(SEARCH("rn""&gt;United Arab Emirates",S2152)),"United Arab Emirates",
ISNUMBER(SEARCH("rn""&gt;Republic of Ireland",S2152)),"Ireland",
ISNUMBER(SEARCH("rn""&gt;Bosnia and Herzegovina",S2152)),"Bosnia and Herzegovina",
ISNUMBER(SEARCH("rn""&gt;Trinidad and Tobago",S2152)),"Trinidad and Tobago",
ISNUMBER(SEARCH("rn""&gt;Serbia and Montenegro",S2152)),"Serbia and Montenegro",
ISNUMBER(SEARCH(_xlfn.UNICHAR(65533),S2152)),"Côte d'Ivoire",
TRUE,""
)</f>
        <v/>
      </c>
      <c r="W2152" s="12" t="str">
        <f t="shared" si="165"/>
        <v>Jordan</v>
      </c>
    </row>
    <row r="2153" spans="2:23">
      <c r="B2153" s="76" t="str">
        <v>1994.0</v>
      </c>
      <c r="C2153" s="42" t="str">
        <v xml:space="preserve">17 Jun 1994 - 19:30 </v>
      </c>
      <c r="D2153" s="42" t="str">
        <v>Group C</v>
      </c>
      <c r="E2153" s="42" t="str">
        <v>Cotton Bowl</v>
      </c>
      <c r="F2153" s="42" t="str">
        <v xml:space="preserve">Dallas </v>
      </c>
      <c r="G2153" s="42" t="str">
        <v>Spain</v>
      </c>
      <c r="H2153" s="42" t="str">
        <v>2.0</v>
      </c>
      <c r="I2153" s="42" t="str">
        <v>2.0</v>
      </c>
      <c r="J2153" s="42" t="str">
        <v>Korea Republic</v>
      </c>
      <c r="K2153" s="42" t="str">
        <v xml:space="preserve"> </v>
      </c>
      <c r="L2153" s="42" t="str">
        <f t="shared" si="162"/>
        <v xml:space="preserve">1994.0|17 Jun 1994 - 19:30 |Group C|Cotton Bowl|Dallas |Spain|2.0|2.0|Korea Republic| </v>
      </c>
      <c r="M2153" s="42" t="str">
        <f>IF(COUNTIF($L$1689:L2153,L2153)&gt;1,"DOUBLON","OK")</f>
        <v>OK</v>
      </c>
      <c r="S2153" s="12" t="str">
        <v>Jordan</v>
      </c>
      <c r="T2153" s="12" t="str">
        <f t="shared" si="163"/>
        <v>OK</v>
      </c>
      <c r="U2153" s="12" t="str">
        <f t="shared" si="164"/>
        <v>-</v>
      </c>
      <c r="V2153" s="12" t="str" cm="1">
        <f t="array" ref="V2153">_xlfn.IFS(
ISNUMBER(SEARCH("USA",S2153)),"United States",
ISNUMBER(SEARCH("Republic of Ireland",S2153)),"Ireland",
ISNUMBER(SEARCH("Republic of Korea",S2153)),"South Korea",
ISNUMBER(SEARCH("Cape Verde",S2153)),"Cabo Verde",
ISNUMBER(SEARCH("Czechia",S2153)),"Czech Republic",
ISNUMBER(SEARCH("Türkiye",S2153)),"Turkey",
ISNUMBER(SEARCH("Ivory Coast",S2153)),"Côte d'Ivoire",
ISNUMBER(SEARCH("Korea Republic",S2153)),"South Korea",
ISNUMBER(SEARCH("Germany FR",S2153)),"FR Germany",
ISNUMBER(SEARCH("West Germany",S2153)),"FR Germany",
ISNUMBER(SEARCH("Germany DR",S2153)),"DR Germany",
ISNUMBER(SEARCH("Korea DPR",S2153)),"North Korea",
ISNUMBER(SEARCH("China PR",S2153)),"China",
ISNUMBER(SEARCH("IR Iran",S2153)),"Iran",
ISNUMBER(SEARCH("Congo DR",S2153)),"Democratic Republic of the Congo",
ISNUMBER(SEARCH("DR Congo",S2153)),"Democratic Republic of the Congo",
ISNUMBER(SEARCH("German DR",S2153)),"DR Germany",
ISNUMBER(SEARCH("rn""&gt;United Arab Emirates",S2153)),"United Arab Emirates",
ISNUMBER(SEARCH("rn""&gt;Republic of Ireland",S2153)),"Ireland",
ISNUMBER(SEARCH("rn""&gt;Bosnia and Herzegovina",S2153)),"Bosnia and Herzegovina",
ISNUMBER(SEARCH("rn""&gt;Trinidad and Tobago",S2153)),"Trinidad and Tobago",
ISNUMBER(SEARCH("rn""&gt;Serbia and Montenegro",S2153)),"Serbia and Montenegro",
ISNUMBER(SEARCH(_xlfn.UNICHAR(65533),S2153)),"Côte d'Ivoire",
TRUE,""
)</f>
        <v/>
      </c>
      <c r="W2153" s="12" t="str">
        <f t="shared" si="165"/>
        <v>Jordan</v>
      </c>
    </row>
    <row r="2154" spans="2:23">
      <c r="B2154" s="76" t="str">
        <v>1994.0</v>
      </c>
      <c r="C2154" s="42" t="str">
        <v xml:space="preserve">17 Jun 1994 - 15:00 </v>
      </c>
      <c r="D2154" s="42" t="str">
        <v>Group C</v>
      </c>
      <c r="E2154" s="42" t="str">
        <v>Soldier Field</v>
      </c>
      <c r="F2154" s="42" t="str">
        <v xml:space="preserve">Chicago </v>
      </c>
      <c r="G2154" s="42" t="str">
        <v>Germany</v>
      </c>
      <c r="H2154" s="42" t="str">
        <v>1.0</v>
      </c>
      <c r="I2154" s="42" t="str">
        <v>0.0</v>
      </c>
      <c r="J2154" s="42" t="str">
        <v>Bolivia</v>
      </c>
      <c r="K2154" s="42" t="str">
        <v xml:space="preserve"> </v>
      </c>
      <c r="L2154" s="42" t="str">
        <f t="shared" si="162"/>
        <v xml:space="preserve">1994.0|17 Jun 1994 - 15:00 |Group C|Soldier Field|Chicago |Germany|1.0|0.0|Bolivia| </v>
      </c>
      <c r="M2154" s="42" t="str">
        <f>IF(COUNTIF($L$1689:L2154,L2154)&gt;1,"DOUBLON","OK")</f>
        <v>OK</v>
      </c>
      <c r="S2154" s="12" t="str">
        <v>Jordan</v>
      </c>
      <c r="T2154" s="12" t="str">
        <f t="shared" si="163"/>
        <v>OK</v>
      </c>
      <c r="U2154" s="12" t="str">
        <f t="shared" si="164"/>
        <v>-</v>
      </c>
      <c r="V2154" s="12" t="str" cm="1">
        <f t="array" ref="V2154">_xlfn.IFS(
ISNUMBER(SEARCH("USA",S2154)),"United States",
ISNUMBER(SEARCH("Republic of Ireland",S2154)),"Ireland",
ISNUMBER(SEARCH("Republic of Korea",S2154)),"South Korea",
ISNUMBER(SEARCH("Cape Verde",S2154)),"Cabo Verde",
ISNUMBER(SEARCH("Czechia",S2154)),"Czech Republic",
ISNUMBER(SEARCH("Türkiye",S2154)),"Turkey",
ISNUMBER(SEARCH("Ivory Coast",S2154)),"Côte d'Ivoire",
ISNUMBER(SEARCH("Korea Republic",S2154)),"South Korea",
ISNUMBER(SEARCH("Germany FR",S2154)),"FR Germany",
ISNUMBER(SEARCH("West Germany",S2154)),"FR Germany",
ISNUMBER(SEARCH("Germany DR",S2154)),"DR Germany",
ISNUMBER(SEARCH("Korea DPR",S2154)),"North Korea",
ISNUMBER(SEARCH("China PR",S2154)),"China",
ISNUMBER(SEARCH("IR Iran",S2154)),"Iran",
ISNUMBER(SEARCH("Congo DR",S2154)),"Democratic Republic of the Congo",
ISNUMBER(SEARCH("DR Congo",S2154)),"Democratic Republic of the Congo",
ISNUMBER(SEARCH("German DR",S2154)),"DR Germany",
ISNUMBER(SEARCH("rn""&gt;United Arab Emirates",S2154)),"United Arab Emirates",
ISNUMBER(SEARCH("rn""&gt;Republic of Ireland",S2154)),"Ireland",
ISNUMBER(SEARCH("rn""&gt;Bosnia and Herzegovina",S2154)),"Bosnia and Herzegovina",
ISNUMBER(SEARCH("rn""&gt;Trinidad and Tobago",S2154)),"Trinidad and Tobago",
ISNUMBER(SEARCH("rn""&gt;Serbia and Montenegro",S2154)),"Serbia and Montenegro",
ISNUMBER(SEARCH(_xlfn.UNICHAR(65533),S2154)),"Côte d'Ivoire",
TRUE,""
)</f>
        <v/>
      </c>
      <c r="W2154" s="12" t="str">
        <f t="shared" si="165"/>
        <v>Jordan</v>
      </c>
    </row>
    <row r="2155" spans="2:23">
      <c r="B2155" s="76" t="str">
        <v>1994.0</v>
      </c>
      <c r="C2155" s="42" t="str">
        <v xml:space="preserve">18 Jun 1994 - 11:30 </v>
      </c>
      <c r="D2155" s="42" t="str">
        <v>Group A</v>
      </c>
      <c r="E2155" s="42" t="str">
        <v>Pontiac Silverdome</v>
      </c>
      <c r="F2155" s="42" t="str">
        <v xml:space="preserve">Detroit </v>
      </c>
      <c r="G2155" s="42" t="str">
        <v>USA</v>
      </c>
      <c r="H2155" s="42" t="str">
        <v>1.0</v>
      </c>
      <c r="I2155" s="42" t="str">
        <v>1.0</v>
      </c>
      <c r="J2155" s="42" t="str">
        <v>Switzerland</v>
      </c>
      <c r="K2155" s="42" t="str">
        <v xml:space="preserve"> </v>
      </c>
      <c r="L2155" s="42" t="str">
        <f t="shared" si="162"/>
        <v xml:space="preserve">1994.0|18 Jun 1994 - 11:30 |Group A|Pontiac Silverdome|Detroit |USA|1.0|1.0|Switzerland| </v>
      </c>
      <c r="M2155" s="42" t="str">
        <f>IF(COUNTIF($L$1689:L2155,L2155)&gt;1,"DOUBLON","OK")</f>
        <v>OK</v>
      </c>
      <c r="S2155" s="12" t="str">
        <v>Jordan</v>
      </c>
      <c r="T2155" s="12" t="str">
        <f t="shared" si="163"/>
        <v>OK</v>
      </c>
      <c r="U2155" s="12" t="str">
        <f t="shared" si="164"/>
        <v>-</v>
      </c>
      <c r="V2155" s="12" t="str" cm="1">
        <f t="array" ref="V2155">_xlfn.IFS(
ISNUMBER(SEARCH("USA",S2155)),"United States",
ISNUMBER(SEARCH("Republic of Ireland",S2155)),"Ireland",
ISNUMBER(SEARCH("Republic of Korea",S2155)),"South Korea",
ISNUMBER(SEARCH("Cape Verde",S2155)),"Cabo Verde",
ISNUMBER(SEARCH("Czechia",S2155)),"Czech Republic",
ISNUMBER(SEARCH("Türkiye",S2155)),"Turkey",
ISNUMBER(SEARCH("Ivory Coast",S2155)),"Côte d'Ivoire",
ISNUMBER(SEARCH("Korea Republic",S2155)),"South Korea",
ISNUMBER(SEARCH("Germany FR",S2155)),"FR Germany",
ISNUMBER(SEARCH("West Germany",S2155)),"FR Germany",
ISNUMBER(SEARCH("Germany DR",S2155)),"DR Germany",
ISNUMBER(SEARCH("Korea DPR",S2155)),"North Korea",
ISNUMBER(SEARCH("China PR",S2155)),"China",
ISNUMBER(SEARCH("IR Iran",S2155)),"Iran",
ISNUMBER(SEARCH("Congo DR",S2155)),"Democratic Republic of the Congo",
ISNUMBER(SEARCH("DR Congo",S2155)),"Democratic Republic of the Congo",
ISNUMBER(SEARCH("German DR",S2155)),"DR Germany",
ISNUMBER(SEARCH("rn""&gt;United Arab Emirates",S2155)),"United Arab Emirates",
ISNUMBER(SEARCH("rn""&gt;Republic of Ireland",S2155)),"Ireland",
ISNUMBER(SEARCH("rn""&gt;Bosnia and Herzegovina",S2155)),"Bosnia and Herzegovina",
ISNUMBER(SEARCH("rn""&gt;Trinidad and Tobago",S2155)),"Trinidad and Tobago",
ISNUMBER(SEARCH("rn""&gt;Serbia and Montenegro",S2155)),"Serbia and Montenegro",
ISNUMBER(SEARCH(_xlfn.UNICHAR(65533),S2155)),"Côte d'Ivoire",
TRUE,""
)</f>
        <v/>
      </c>
      <c r="W2155" s="12" t="str">
        <f t="shared" si="165"/>
        <v>Jordan</v>
      </c>
    </row>
    <row r="2156" spans="2:23">
      <c r="B2156" s="76" t="str">
        <v>1994.0</v>
      </c>
      <c r="C2156" s="42" t="str">
        <v xml:space="preserve">18 Jun 1994 - 16:00 </v>
      </c>
      <c r="D2156" s="42" t="str">
        <v>Group E</v>
      </c>
      <c r="E2156" s="42" t="str">
        <v>Giants Stadium</v>
      </c>
      <c r="F2156" s="42" t="str">
        <v xml:space="preserve">New York/New Jersey </v>
      </c>
      <c r="G2156" s="42" t="str">
        <v>Italy</v>
      </c>
      <c r="H2156" s="42" t="str">
        <v>0.0</v>
      </c>
      <c r="I2156" s="42" t="str">
        <v>1.0</v>
      </c>
      <c r="J2156" s="42" t="str">
        <v>rn"&gt;Republic of Ireland</v>
      </c>
      <c r="K2156" s="42" t="str">
        <v xml:space="preserve"> </v>
      </c>
      <c r="L2156" s="42" t="str">
        <f t="shared" si="162"/>
        <v xml:space="preserve">1994.0|18 Jun 1994 - 16:00 |Group E|Giants Stadium|New York/New Jersey |Italy|0.0|1.0|rn"&gt;Republic of Ireland| </v>
      </c>
      <c r="M2156" s="42" t="str">
        <f>IF(COUNTIF($L$1689:L2156,L2156)&gt;1,"DOUBLON","OK")</f>
        <v>OK</v>
      </c>
      <c r="S2156" s="12" t="str">
        <v>Jordan</v>
      </c>
      <c r="T2156" s="12" t="str">
        <f t="shared" si="163"/>
        <v>OK</v>
      </c>
      <c r="U2156" s="12" t="str">
        <f t="shared" si="164"/>
        <v>-</v>
      </c>
      <c r="V2156" s="12" t="str" cm="1">
        <f t="array" ref="V2156">_xlfn.IFS(
ISNUMBER(SEARCH("USA",S2156)),"United States",
ISNUMBER(SEARCH("Republic of Ireland",S2156)),"Ireland",
ISNUMBER(SEARCH("Republic of Korea",S2156)),"South Korea",
ISNUMBER(SEARCH("Cape Verde",S2156)),"Cabo Verde",
ISNUMBER(SEARCH("Czechia",S2156)),"Czech Republic",
ISNUMBER(SEARCH("Türkiye",S2156)),"Turkey",
ISNUMBER(SEARCH("Ivory Coast",S2156)),"Côte d'Ivoire",
ISNUMBER(SEARCH("Korea Republic",S2156)),"South Korea",
ISNUMBER(SEARCH("Germany FR",S2156)),"FR Germany",
ISNUMBER(SEARCH("West Germany",S2156)),"FR Germany",
ISNUMBER(SEARCH("Germany DR",S2156)),"DR Germany",
ISNUMBER(SEARCH("Korea DPR",S2156)),"North Korea",
ISNUMBER(SEARCH("China PR",S2156)),"China",
ISNUMBER(SEARCH("IR Iran",S2156)),"Iran",
ISNUMBER(SEARCH("Congo DR",S2156)),"Democratic Republic of the Congo",
ISNUMBER(SEARCH("DR Congo",S2156)),"Democratic Republic of the Congo",
ISNUMBER(SEARCH("German DR",S2156)),"DR Germany",
ISNUMBER(SEARCH("rn""&gt;United Arab Emirates",S2156)),"United Arab Emirates",
ISNUMBER(SEARCH("rn""&gt;Republic of Ireland",S2156)),"Ireland",
ISNUMBER(SEARCH("rn""&gt;Bosnia and Herzegovina",S2156)),"Bosnia and Herzegovina",
ISNUMBER(SEARCH("rn""&gt;Trinidad and Tobago",S2156)),"Trinidad and Tobago",
ISNUMBER(SEARCH("rn""&gt;Serbia and Montenegro",S2156)),"Serbia and Montenegro",
ISNUMBER(SEARCH(_xlfn.UNICHAR(65533),S2156)),"Côte d'Ivoire",
TRUE,""
)</f>
        <v/>
      </c>
      <c r="W2156" s="12" t="str">
        <f t="shared" si="165"/>
        <v>Jordan</v>
      </c>
    </row>
    <row r="2157" spans="2:23">
      <c r="B2157" s="76" t="str">
        <v>1994.0</v>
      </c>
      <c r="C2157" s="42" t="str">
        <v xml:space="preserve">18 Jun 1994 - 19:30 </v>
      </c>
      <c r="D2157" s="42" t="str">
        <v>Group A</v>
      </c>
      <c r="E2157" s="42" t="str">
        <v>Rose Bowl</v>
      </c>
      <c r="F2157" s="42" t="str">
        <v xml:space="preserve">Los Angeles </v>
      </c>
      <c r="G2157" s="42" t="str">
        <v>Colombia</v>
      </c>
      <c r="H2157" s="42" t="str">
        <v>1.0</v>
      </c>
      <c r="I2157" s="42" t="str">
        <v>3.0</v>
      </c>
      <c r="J2157" s="42" t="str">
        <v>Romania</v>
      </c>
      <c r="K2157" s="42" t="str">
        <v xml:space="preserve"> </v>
      </c>
      <c r="L2157" s="42" t="str">
        <f t="shared" si="162"/>
        <v xml:space="preserve">1994.0|18 Jun 1994 - 19:30 |Group A|Rose Bowl|Los Angeles |Colombia|1.0|3.0|Romania| </v>
      </c>
      <c r="M2157" s="42" t="str">
        <f>IF(COUNTIF($L$1689:L2157,L2157)&gt;1,"DOUBLON","OK")</f>
        <v>OK</v>
      </c>
      <c r="S2157" s="12" t="str">
        <v>Jordan</v>
      </c>
      <c r="T2157" s="12" t="str">
        <f t="shared" si="163"/>
        <v>OK</v>
      </c>
      <c r="U2157" s="12" t="str">
        <f t="shared" si="164"/>
        <v>-</v>
      </c>
      <c r="V2157" s="12" t="str" cm="1">
        <f t="array" ref="V2157">_xlfn.IFS(
ISNUMBER(SEARCH("USA",S2157)),"United States",
ISNUMBER(SEARCH("Republic of Ireland",S2157)),"Ireland",
ISNUMBER(SEARCH("Republic of Korea",S2157)),"South Korea",
ISNUMBER(SEARCH("Cape Verde",S2157)),"Cabo Verde",
ISNUMBER(SEARCH("Czechia",S2157)),"Czech Republic",
ISNUMBER(SEARCH("Türkiye",S2157)),"Turkey",
ISNUMBER(SEARCH("Ivory Coast",S2157)),"Côte d'Ivoire",
ISNUMBER(SEARCH("Korea Republic",S2157)),"South Korea",
ISNUMBER(SEARCH("Germany FR",S2157)),"FR Germany",
ISNUMBER(SEARCH("West Germany",S2157)),"FR Germany",
ISNUMBER(SEARCH("Germany DR",S2157)),"DR Germany",
ISNUMBER(SEARCH("Korea DPR",S2157)),"North Korea",
ISNUMBER(SEARCH("China PR",S2157)),"China",
ISNUMBER(SEARCH("IR Iran",S2157)),"Iran",
ISNUMBER(SEARCH("Congo DR",S2157)),"Democratic Republic of the Congo",
ISNUMBER(SEARCH("DR Congo",S2157)),"Democratic Republic of the Congo",
ISNUMBER(SEARCH("German DR",S2157)),"DR Germany",
ISNUMBER(SEARCH("rn""&gt;United Arab Emirates",S2157)),"United Arab Emirates",
ISNUMBER(SEARCH("rn""&gt;Republic of Ireland",S2157)),"Ireland",
ISNUMBER(SEARCH("rn""&gt;Bosnia and Herzegovina",S2157)),"Bosnia and Herzegovina",
ISNUMBER(SEARCH("rn""&gt;Trinidad and Tobago",S2157)),"Trinidad and Tobago",
ISNUMBER(SEARCH("rn""&gt;Serbia and Montenegro",S2157)),"Serbia and Montenegro",
ISNUMBER(SEARCH(_xlfn.UNICHAR(65533),S2157)),"Côte d'Ivoire",
TRUE,""
)</f>
        <v/>
      </c>
      <c r="W2157" s="12" t="str">
        <f t="shared" si="165"/>
        <v>Jordan</v>
      </c>
    </row>
    <row r="2158" spans="2:23">
      <c r="B2158" s="76" t="str">
        <v>1994.0</v>
      </c>
      <c r="C2158" s="42" t="str">
        <v xml:space="preserve">19 Jun 1994 - 12:30 </v>
      </c>
      <c r="D2158" s="42" t="str">
        <v>Group F</v>
      </c>
      <c r="E2158" s="42" t="str">
        <v>Citrus Bowl</v>
      </c>
      <c r="F2158" s="42" t="str">
        <v xml:space="preserve">Orlando </v>
      </c>
      <c r="G2158" s="42" t="str">
        <v>Belgium</v>
      </c>
      <c r="H2158" s="42" t="str">
        <v>1.0</v>
      </c>
      <c r="I2158" s="42" t="str">
        <v>0.0</v>
      </c>
      <c r="J2158" s="42" t="str">
        <v>Morocco</v>
      </c>
      <c r="K2158" s="42" t="str">
        <v xml:space="preserve"> </v>
      </c>
      <c r="L2158" s="42" t="str">
        <f t="shared" si="162"/>
        <v xml:space="preserve">1994.0|19 Jun 1994 - 12:30 |Group F|Citrus Bowl|Orlando |Belgium|1.0|0.0|Morocco| </v>
      </c>
      <c r="M2158" s="42" t="str">
        <f>IF(COUNTIF($L$1689:L2158,L2158)&gt;1,"DOUBLON","OK")</f>
        <v>OK</v>
      </c>
      <c r="S2158" s="12" t="str">
        <v>Jordan</v>
      </c>
      <c r="T2158" s="12" t="str">
        <f t="shared" si="163"/>
        <v>OK</v>
      </c>
      <c r="U2158" s="12" t="str">
        <f t="shared" si="164"/>
        <v>-</v>
      </c>
      <c r="V2158" s="12" t="str" cm="1">
        <f t="array" ref="V2158">_xlfn.IFS(
ISNUMBER(SEARCH("USA",S2158)),"United States",
ISNUMBER(SEARCH("Republic of Ireland",S2158)),"Ireland",
ISNUMBER(SEARCH("Republic of Korea",S2158)),"South Korea",
ISNUMBER(SEARCH("Cape Verde",S2158)),"Cabo Verde",
ISNUMBER(SEARCH("Czechia",S2158)),"Czech Republic",
ISNUMBER(SEARCH("Türkiye",S2158)),"Turkey",
ISNUMBER(SEARCH("Ivory Coast",S2158)),"Côte d'Ivoire",
ISNUMBER(SEARCH("Korea Republic",S2158)),"South Korea",
ISNUMBER(SEARCH("Germany FR",S2158)),"FR Germany",
ISNUMBER(SEARCH("West Germany",S2158)),"FR Germany",
ISNUMBER(SEARCH("Germany DR",S2158)),"DR Germany",
ISNUMBER(SEARCH("Korea DPR",S2158)),"North Korea",
ISNUMBER(SEARCH("China PR",S2158)),"China",
ISNUMBER(SEARCH("IR Iran",S2158)),"Iran",
ISNUMBER(SEARCH("Congo DR",S2158)),"Democratic Republic of the Congo",
ISNUMBER(SEARCH("DR Congo",S2158)),"Democratic Republic of the Congo",
ISNUMBER(SEARCH("German DR",S2158)),"DR Germany",
ISNUMBER(SEARCH("rn""&gt;United Arab Emirates",S2158)),"United Arab Emirates",
ISNUMBER(SEARCH("rn""&gt;Republic of Ireland",S2158)),"Ireland",
ISNUMBER(SEARCH("rn""&gt;Bosnia and Herzegovina",S2158)),"Bosnia and Herzegovina",
ISNUMBER(SEARCH("rn""&gt;Trinidad and Tobago",S2158)),"Trinidad and Tobago",
ISNUMBER(SEARCH("rn""&gt;Serbia and Montenegro",S2158)),"Serbia and Montenegro",
ISNUMBER(SEARCH(_xlfn.UNICHAR(65533),S2158)),"Côte d'Ivoire",
TRUE,""
)</f>
        <v/>
      </c>
      <c r="W2158" s="12" t="str">
        <f t="shared" si="165"/>
        <v>Jordan</v>
      </c>
    </row>
    <row r="2159" spans="2:23">
      <c r="B2159" s="76" t="str">
        <v>1994.0</v>
      </c>
      <c r="C2159" s="42" t="str">
        <v xml:space="preserve">19 Jun 1994 - 16:00 </v>
      </c>
      <c r="D2159" s="42" t="str">
        <v>Group E</v>
      </c>
      <c r="E2159" s="42" t="str">
        <v>RFK Stadium</v>
      </c>
      <c r="F2159" s="42" t="str">
        <v xml:space="preserve">Washington Dc </v>
      </c>
      <c r="G2159" s="42" t="str">
        <v>Norway</v>
      </c>
      <c r="H2159" s="42" t="str">
        <v>1.0</v>
      </c>
      <c r="I2159" s="42" t="str">
        <v>0.0</v>
      </c>
      <c r="J2159" s="42" t="str">
        <v>Mexico</v>
      </c>
      <c r="K2159" s="42" t="str">
        <v xml:space="preserve"> </v>
      </c>
      <c r="L2159" s="42" t="str">
        <f t="shared" si="162"/>
        <v xml:space="preserve">1994.0|19 Jun 1994 - 16:00 |Group E|RFK Stadium|Washington Dc |Norway|1.0|0.0|Mexico| </v>
      </c>
      <c r="M2159" s="42" t="str">
        <f>IF(COUNTIF($L$1689:L2159,L2159)&gt;1,"DOUBLON","OK")</f>
        <v>OK</v>
      </c>
      <c r="S2159" s="12" t="str">
        <v>Jordan</v>
      </c>
      <c r="T2159" s="12" t="str">
        <f t="shared" si="163"/>
        <v>OK</v>
      </c>
      <c r="U2159" s="12" t="str">
        <f t="shared" si="164"/>
        <v>-</v>
      </c>
      <c r="V2159" s="12" t="str" cm="1">
        <f t="array" ref="V2159">_xlfn.IFS(
ISNUMBER(SEARCH("USA",S2159)),"United States",
ISNUMBER(SEARCH("Republic of Ireland",S2159)),"Ireland",
ISNUMBER(SEARCH("Republic of Korea",S2159)),"South Korea",
ISNUMBER(SEARCH("Cape Verde",S2159)),"Cabo Verde",
ISNUMBER(SEARCH("Czechia",S2159)),"Czech Republic",
ISNUMBER(SEARCH("Türkiye",S2159)),"Turkey",
ISNUMBER(SEARCH("Ivory Coast",S2159)),"Côte d'Ivoire",
ISNUMBER(SEARCH("Korea Republic",S2159)),"South Korea",
ISNUMBER(SEARCH("Germany FR",S2159)),"FR Germany",
ISNUMBER(SEARCH("West Germany",S2159)),"FR Germany",
ISNUMBER(SEARCH("Germany DR",S2159)),"DR Germany",
ISNUMBER(SEARCH("Korea DPR",S2159)),"North Korea",
ISNUMBER(SEARCH("China PR",S2159)),"China",
ISNUMBER(SEARCH("IR Iran",S2159)),"Iran",
ISNUMBER(SEARCH("Congo DR",S2159)),"Democratic Republic of the Congo",
ISNUMBER(SEARCH("DR Congo",S2159)),"Democratic Republic of the Congo",
ISNUMBER(SEARCH("German DR",S2159)),"DR Germany",
ISNUMBER(SEARCH("rn""&gt;United Arab Emirates",S2159)),"United Arab Emirates",
ISNUMBER(SEARCH("rn""&gt;Republic of Ireland",S2159)),"Ireland",
ISNUMBER(SEARCH("rn""&gt;Bosnia and Herzegovina",S2159)),"Bosnia and Herzegovina",
ISNUMBER(SEARCH("rn""&gt;Trinidad and Tobago",S2159)),"Trinidad and Tobago",
ISNUMBER(SEARCH("rn""&gt;Serbia and Montenegro",S2159)),"Serbia and Montenegro",
ISNUMBER(SEARCH(_xlfn.UNICHAR(65533),S2159)),"Côte d'Ivoire",
TRUE,""
)</f>
        <v/>
      </c>
      <c r="W2159" s="12" t="str">
        <f t="shared" si="165"/>
        <v>Jordan</v>
      </c>
    </row>
    <row r="2160" spans="2:23">
      <c r="B2160" s="76" t="str">
        <v>1994.0</v>
      </c>
      <c r="C2160" s="42" t="str">
        <v xml:space="preserve">19 Jun 1994 - 19:30 </v>
      </c>
      <c r="D2160" s="42" t="str">
        <v>Group B</v>
      </c>
      <c r="E2160" s="42" t="str">
        <v>Rose Bowl</v>
      </c>
      <c r="F2160" s="42" t="str">
        <v xml:space="preserve">Los Angeles </v>
      </c>
      <c r="G2160" s="42" t="str">
        <v>Cameroon</v>
      </c>
      <c r="H2160" s="42" t="str">
        <v>2.0</v>
      </c>
      <c r="I2160" s="42" t="str">
        <v>2.0</v>
      </c>
      <c r="J2160" s="42" t="str">
        <v>Sweden</v>
      </c>
      <c r="K2160" s="42" t="str">
        <v xml:space="preserve"> </v>
      </c>
      <c r="L2160" s="42" t="str">
        <f t="shared" si="162"/>
        <v xml:space="preserve">1994.0|19 Jun 1994 - 19:30 |Group B|Rose Bowl|Los Angeles |Cameroon|2.0|2.0|Sweden| </v>
      </c>
      <c r="M2160" s="42" t="str">
        <f>IF(COUNTIF($L$1689:L2160,L2160)&gt;1,"DOUBLON","OK")</f>
        <v>OK</v>
      </c>
      <c r="S2160" s="12" t="str">
        <v>Jordan</v>
      </c>
      <c r="T2160" s="12" t="str">
        <f t="shared" si="163"/>
        <v>OK</v>
      </c>
      <c r="U2160" s="12" t="str">
        <f t="shared" si="164"/>
        <v>-</v>
      </c>
      <c r="V2160" s="12" t="str" cm="1">
        <f t="array" ref="V2160">_xlfn.IFS(
ISNUMBER(SEARCH("USA",S2160)),"United States",
ISNUMBER(SEARCH("Republic of Ireland",S2160)),"Ireland",
ISNUMBER(SEARCH("Republic of Korea",S2160)),"South Korea",
ISNUMBER(SEARCH("Cape Verde",S2160)),"Cabo Verde",
ISNUMBER(SEARCH("Czechia",S2160)),"Czech Republic",
ISNUMBER(SEARCH("Türkiye",S2160)),"Turkey",
ISNUMBER(SEARCH("Ivory Coast",S2160)),"Côte d'Ivoire",
ISNUMBER(SEARCH("Korea Republic",S2160)),"South Korea",
ISNUMBER(SEARCH("Germany FR",S2160)),"FR Germany",
ISNUMBER(SEARCH("West Germany",S2160)),"FR Germany",
ISNUMBER(SEARCH("Germany DR",S2160)),"DR Germany",
ISNUMBER(SEARCH("Korea DPR",S2160)),"North Korea",
ISNUMBER(SEARCH("China PR",S2160)),"China",
ISNUMBER(SEARCH("IR Iran",S2160)),"Iran",
ISNUMBER(SEARCH("Congo DR",S2160)),"Democratic Republic of the Congo",
ISNUMBER(SEARCH("DR Congo",S2160)),"Democratic Republic of the Congo",
ISNUMBER(SEARCH("German DR",S2160)),"DR Germany",
ISNUMBER(SEARCH("rn""&gt;United Arab Emirates",S2160)),"United Arab Emirates",
ISNUMBER(SEARCH("rn""&gt;Republic of Ireland",S2160)),"Ireland",
ISNUMBER(SEARCH("rn""&gt;Bosnia and Herzegovina",S2160)),"Bosnia and Herzegovina",
ISNUMBER(SEARCH("rn""&gt;Trinidad and Tobago",S2160)),"Trinidad and Tobago",
ISNUMBER(SEARCH("rn""&gt;Serbia and Montenegro",S2160)),"Serbia and Montenegro",
ISNUMBER(SEARCH(_xlfn.UNICHAR(65533),S2160)),"Côte d'Ivoire",
TRUE,""
)</f>
        <v/>
      </c>
      <c r="W2160" s="12" t="str">
        <f t="shared" si="165"/>
        <v>Jordan</v>
      </c>
    </row>
    <row r="2161" spans="2:23">
      <c r="B2161" s="76" t="str">
        <v>1994.0</v>
      </c>
      <c r="C2161" s="42" t="str">
        <v xml:space="preserve">20 Jun 1994 - 19:30 </v>
      </c>
      <c r="D2161" s="42" t="str">
        <v>Group F</v>
      </c>
      <c r="E2161" s="42" t="str">
        <v>RFK Stadium</v>
      </c>
      <c r="F2161" s="42" t="str">
        <v xml:space="preserve">Washington Dc </v>
      </c>
      <c r="G2161" s="42" t="str">
        <v>Netherlands</v>
      </c>
      <c r="H2161" s="42" t="str">
        <v>2.0</v>
      </c>
      <c r="I2161" s="42" t="str">
        <v>1.0</v>
      </c>
      <c r="J2161" s="42" t="str">
        <v>Saudi Arabia</v>
      </c>
      <c r="K2161" s="42" t="str">
        <v xml:space="preserve"> </v>
      </c>
      <c r="L2161" s="42" t="str">
        <f t="shared" si="162"/>
        <v xml:space="preserve">1994.0|20 Jun 1994 - 19:30 |Group F|RFK Stadium|Washington Dc |Netherlands|2.0|1.0|Saudi Arabia| </v>
      </c>
      <c r="M2161" s="42" t="str">
        <f>IF(COUNTIF($L$1689:L2161,L2161)&gt;1,"DOUBLON","OK")</f>
        <v>OK</v>
      </c>
      <c r="S2161" s="12" t="str">
        <v>Colombia</v>
      </c>
      <c r="T2161" s="12" t="str">
        <f t="shared" si="163"/>
        <v>OK</v>
      </c>
      <c r="U2161" s="12" t="str">
        <f t="shared" si="164"/>
        <v>-</v>
      </c>
      <c r="V2161" s="12" t="str" cm="1">
        <f t="array" ref="V2161">_xlfn.IFS(
ISNUMBER(SEARCH("USA",S2161)),"United States",
ISNUMBER(SEARCH("Republic of Ireland",S2161)),"Ireland",
ISNUMBER(SEARCH("Republic of Korea",S2161)),"South Korea",
ISNUMBER(SEARCH("Cape Verde",S2161)),"Cabo Verde",
ISNUMBER(SEARCH("Czechia",S2161)),"Czech Republic",
ISNUMBER(SEARCH("Türkiye",S2161)),"Turkey",
ISNUMBER(SEARCH("Ivory Coast",S2161)),"Côte d'Ivoire",
ISNUMBER(SEARCH("Korea Republic",S2161)),"South Korea",
ISNUMBER(SEARCH("Germany FR",S2161)),"FR Germany",
ISNUMBER(SEARCH("West Germany",S2161)),"FR Germany",
ISNUMBER(SEARCH("Germany DR",S2161)),"DR Germany",
ISNUMBER(SEARCH("Korea DPR",S2161)),"North Korea",
ISNUMBER(SEARCH("China PR",S2161)),"China",
ISNUMBER(SEARCH("IR Iran",S2161)),"Iran",
ISNUMBER(SEARCH("Congo DR",S2161)),"Democratic Republic of the Congo",
ISNUMBER(SEARCH("DR Congo",S2161)),"Democratic Republic of the Congo",
ISNUMBER(SEARCH("German DR",S2161)),"DR Germany",
ISNUMBER(SEARCH("rn""&gt;United Arab Emirates",S2161)),"United Arab Emirates",
ISNUMBER(SEARCH("rn""&gt;Republic of Ireland",S2161)),"Ireland",
ISNUMBER(SEARCH("rn""&gt;Bosnia and Herzegovina",S2161)),"Bosnia and Herzegovina",
ISNUMBER(SEARCH("rn""&gt;Trinidad and Tobago",S2161)),"Trinidad and Tobago",
ISNUMBER(SEARCH("rn""&gt;Serbia and Montenegro",S2161)),"Serbia and Montenegro",
ISNUMBER(SEARCH(_xlfn.UNICHAR(65533),S2161)),"Côte d'Ivoire",
TRUE,""
)</f>
        <v/>
      </c>
      <c r="W2161" s="12" t="str">
        <f t="shared" si="165"/>
        <v>Colombia</v>
      </c>
    </row>
    <row r="2162" spans="2:23">
      <c r="B2162" s="76" t="str">
        <v>1994.0</v>
      </c>
      <c r="C2162" s="42" t="str">
        <v xml:space="preserve">20 Jun 1994 - 16:00 </v>
      </c>
      <c r="D2162" s="42" t="str">
        <v>Group B</v>
      </c>
      <c r="E2162" s="42" t="str">
        <v>Stanford Stadium</v>
      </c>
      <c r="F2162" s="42" t="str">
        <v xml:space="preserve">San Francisco </v>
      </c>
      <c r="G2162" s="42" t="str">
        <v>Brazil</v>
      </c>
      <c r="H2162" s="42" t="str">
        <v>2.0</v>
      </c>
      <c r="I2162" s="42" t="str">
        <v>0.0</v>
      </c>
      <c r="J2162" s="42" t="str">
        <v>Russia</v>
      </c>
      <c r="K2162" s="42" t="str">
        <v xml:space="preserve"> </v>
      </c>
      <c r="L2162" s="42" t="str">
        <f t="shared" si="162"/>
        <v xml:space="preserve">1994.0|20 Jun 1994 - 16:00 |Group B|Stanford Stadium|San Francisco |Brazil|2.0|0.0|Russia| </v>
      </c>
      <c r="M2162" s="42" t="str">
        <f>IF(COUNTIF($L$1689:L2162,L2162)&gt;1,"DOUBLON","OK")</f>
        <v>OK</v>
      </c>
      <c r="S2162" s="12" t="str">
        <v>Colombia</v>
      </c>
      <c r="T2162" s="12" t="str">
        <f t="shared" si="163"/>
        <v>OK</v>
      </c>
      <c r="U2162" s="12" t="str">
        <f t="shared" si="164"/>
        <v>-</v>
      </c>
      <c r="V2162" s="12" t="str" cm="1">
        <f t="array" ref="V2162">_xlfn.IFS(
ISNUMBER(SEARCH("USA",S2162)),"United States",
ISNUMBER(SEARCH("Republic of Ireland",S2162)),"Ireland",
ISNUMBER(SEARCH("Republic of Korea",S2162)),"South Korea",
ISNUMBER(SEARCH("Cape Verde",S2162)),"Cabo Verde",
ISNUMBER(SEARCH("Czechia",S2162)),"Czech Republic",
ISNUMBER(SEARCH("Türkiye",S2162)),"Turkey",
ISNUMBER(SEARCH("Ivory Coast",S2162)),"Côte d'Ivoire",
ISNUMBER(SEARCH("Korea Republic",S2162)),"South Korea",
ISNUMBER(SEARCH("Germany FR",S2162)),"FR Germany",
ISNUMBER(SEARCH("West Germany",S2162)),"FR Germany",
ISNUMBER(SEARCH("Germany DR",S2162)),"DR Germany",
ISNUMBER(SEARCH("Korea DPR",S2162)),"North Korea",
ISNUMBER(SEARCH("China PR",S2162)),"China",
ISNUMBER(SEARCH("IR Iran",S2162)),"Iran",
ISNUMBER(SEARCH("Congo DR",S2162)),"Democratic Republic of the Congo",
ISNUMBER(SEARCH("DR Congo",S2162)),"Democratic Republic of the Congo",
ISNUMBER(SEARCH("German DR",S2162)),"DR Germany",
ISNUMBER(SEARCH("rn""&gt;United Arab Emirates",S2162)),"United Arab Emirates",
ISNUMBER(SEARCH("rn""&gt;Republic of Ireland",S2162)),"Ireland",
ISNUMBER(SEARCH("rn""&gt;Bosnia and Herzegovina",S2162)),"Bosnia and Herzegovina",
ISNUMBER(SEARCH("rn""&gt;Trinidad and Tobago",S2162)),"Trinidad and Tobago",
ISNUMBER(SEARCH("rn""&gt;Serbia and Montenegro",S2162)),"Serbia and Montenegro",
ISNUMBER(SEARCH(_xlfn.UNICHAR(65533),S2162)),"Côte d'Ivoire",
TRUE,""
)</f>
        <v/>
      </c>
      <c r="W2162" s="12" t="str">
        <f t="shared" si="165"/>
        <v>Colombia</v>
      </c>
    </row>
    <row r="2163" spans="2:23">
      <c r="B2163" s="76" t="str">
        <v>1994.0</v>
      </c>
      <c r="C2163" s="42" t="str">
        <v xml:space="preserve">21 Jun 1994 - 12:30 </v>
      </c>
      <c r="D2163" s="42" t="str">
        <v>Group D</v>
      </c>
      <c r="E2163" s="42" t="str">
        <v>Foxboro Stadium</v>
      </c>
      <c r="F2163" s="42" t="str">
        <v xml:space="preserve">Boston </v>
      </c>
      <c r="G2163" s="42" t="str">
        <v>Argentina</v>
      </c>
      <c r="H2163" s="42" t="str">
        <v>4.0</v>
      </c>
      <c r="I2163" s="42" t="str">
        <v>0.0</v>
      </c>
      <c r="J2163" s="42" t="str">
        <v>Greece</v>
      </c>
      <c r="K2163" s="42" t="str">
        <v xml:space="preserve"> </v>
      </c>
      <c r="L2163" s="42" t="str">
        <f t="shared" si="162"/>
        <v xml:space="preserve">1994.0|21 Jun 1994 - 12:30 |Group D|Foxboro Stadium|Boston |Argentina|4.0|0.0|Greece| </v>
      </c>
      <c r="M2163" s="42" t="str">
        <f>IF(COUNTIF($L$1689:L2163,L2163)&gt;1,"DOUBLON","OK")</f>
        <v>OK</v>
      </c>
      <c r="S2163" s="12" t="str">
        <v>Colombia</v>
      </c>
      <c r="T2163" s="12" t="str">
        <f t="shared" si="163"/>
        <v>OK</v>
      </c>
      <c r="U2163" s="12" t="str">
        <f t="shared" si="164"/>
        <v>-</v>
      </c>
      <c r="V2163" s="12" t="str" cm="1">
        <f t="array" ref="V2163">_xlfn.IFS(
ISNUMBER(SEARCH("USA",S2163)),"United States",
ISNUMBER(SEARCH("Republic of Ireland",S2163)),"Ireland",
ISNUMBER(SEARCH("Republic of Korea",S2163)),"South Korea",
ISNUMBER(SEARCH("Cape Verde",S2163)),"Cabo Verde",
ISNUMBER(SEARCH("Czechia",S2163)),"Czech Republic",
ISNUMBER(SEARCH("Türkiye",S2163)),"Turkey",
ISNUMBER(SEARCH("Ivory Coast",S2163)),"Côte d'Ivoire",
ISNUMBER(SEARCH("Korea Republic",S2163)),"South Korea",
ISNUMBER(SEARCH("Germany FR",S2163)),"FR Germany",
ISNUMBER(SEARCH("West Germany",S2163)),"FR Germany",
ISNUMBER(SEARCH("Germany DR",S2163)),"DR Germany",
ISNUMBER(SEARCH("Korea DPR",S2163)),"North Korea",
ISNUMBER(SEARCH("China PR",S2163)),"China",
ISNUMBER(SEARCH("IR Iran",S2163)),"Iran",
ISNUMBER(SEARCH("Congo DR",S2163)),"Democratic Republic of the Congo",
ISNUMBER(SEARCH("DR Congo",S2163)),"Democratic Republic of the Congo",
ISNUMBER(SEARCH("German DR",S2163)),"DR Germany",
ISNUMBER(SEARCH("rn""&gt;United Arab Emirates",S2163)),"United Arab Emirates",
ISNUMBER(SEARCH("rn""&gt;Republic of Ireland",S2163)),"Ireland",
ISNUMBER(SEARCH("rn""&gt;Bosnia and Herzegovina",S2163)),"Bosnia and Herzegovina",
ISNUMBER(SEARCH("rn""&gt;Trinidad and Tobago",S2163)),"Trinidad and Tobago",
ISNUMBER(SEARCH("rn""&gt;Serbia and Montenegro",S2163)),"Serbia and Montenegro",
ISNUMBER(SEARCH(_xlfn.UNICHAR(65533),S2163)),"Côte d'Ivoire",
TRUE,""
)</f>
        <v/>
      </c>
      <c r="W2163" s="12" t="str">
        <f t="shared" si="165"/>
        <v>Colombia</v>
      </c>
    </row>
    <row r="2164" spans="2:23">
      <c r="B2164" s="76" t="str">
        <v>1994.0</v>
      </c>
      <c r="C2164" s="42" t="str">
        <v xml:space="preserve">21 Jun 1994 - 19:30 </v>
      </c>
      <c r="D2164" s="42" t="str">
        <v>Group D</v>
      </c>
      <c r="E2164" s="42" t="str">
        <v>Cotton Bowl</v>
      </c>
      <c r="F2164" s="42" t="str">
        <v xml:space="preserve">Dallas </v>
      </c>
      <c r="G2164" s="42" t="str">
        <v>Nigeria</v>
      </c>
      <c r="H2164" s="42" t="str">
        <v>3.0</v>
      </c>
      <c r="I2164" s="42" t="str">
        <v>0.0</v>
      </c>
      <c r="J2164" s="42" t="str">
        <v>Bulgaria</v>
      </c>
      <c r="K2164" s="42" t="str">
        <v xml:space="preserve"> </v>
      </c>
      <c r="L2164" s="42" t="str">
        <f t="shared" si="162"/>
        <v xml:space="preserve">1994.0|21 Jun 1994 - 19:30 |Group D|Cotton Bowl|Dallas |Nigeria|3.0|0.0|Bulgaria| </v>
      </c>
      <c r="M2164" s="42" t="str">
        <f>IF(COUNTIF($L$1689:L2164,L2164)&gt;1,"DOUBLON","OK")</f>
        <v>OK</v>
      </c>
      <c r="S2164" s="12" t="str">
        <v>Colombia</v>
      </c>
      <c r="T2164" s="12" t="str">
        <f t="shared" si="163"/>
        <v>OK</v>
      </c>
      <c r="U2164" s="12" t="str">
        <f t="shared" si="164"/>
        <v>-</v>
      </c>
      <c r="V2164" s="12" t="str" cm="1">
        <f t="array" ref="V2164">_xlfn.IFS(
ISNUMBER(SEARCH("USA",S2164)),"United States",
ISNUMBER(SEARCH("Republic of Ireland",S2164)),"Ireland",
ISNUMBER(SEARCH("Republic of Korea",S2164)),"South Korea",
ISNUMBER(SEARCH("Cape Verde",S2164)),"Cabo Verde",
ISNUMBER(SEARCH("Czechia",S2164)),"Czech Republic",
ISNUMBER(SEARCH("Türkiye",S2164)),"Turkey",
ISNUMBER(SEARCH("Ivory Coast",S2164)),"Côte d'Ivoire",
ISNUMBER(SEARCH("Korea Republic",S2164)),"South Korea",
ISNUMBER(SEARCH("Germany FR",S2164)),"FR Germany",
ISNUMBER(SEARCH("West Germany",S2164)),"FR Germany",
ISNUMBER(SEARCH("Germany DR",S2164)),"DR Germany",
ISNUMBER(SEARCH("Korea DPR",S2164)),"North Korea",
ISNUMBER(SEARCH("China PR",S2164)),"China",
ISNUMBER(SEARCH("IR Iran",S2164)),"Iran",
ISNUMBER(SEARCH("Congo DR",S2164)),"Democratic Republic of the Congo",
ISNUMBER(SEARCH("DR Congo",S2164)),"Democratic Republic of the Congo",
ISNUMBER(SEARCH("German DR",S2164)),"DR Germany",
ISNUMBER(SEARCH("rn""&gt;United Arab Emirates",S2164)),"United Arab Emirates",
ISNUMBER(SEARCH("rn""&gt;Republic of Ireland",S2164)),"Ireland",
ISNUMBER(SEARCH("rn""&gt;Bosnia and Herzegovina",S2164)),"Bosnia and Herzegovina",
ISNUMBER(SEARCH("rn""&gt;Trinidad and Tobago",S2164)),"Trinidad and Tobago",
ISNUMBER(SEARCH("rn""&gt;Serbia and Montenegro",S2164)),"Serbia and Montenegro",
ISNUMBER(SEARCH(_xlfn.UNICHAR(65533),S2164)),"Côte d'Ivoire",
TRUE,""
)</f>
        <v/>
      </c>
      <c r="W2164" s="12" t="str">
        <f t="shared" si="165"/>
        <v>Colombia</v>
      </c>
    </row>
    <row r="2165" spans="2:23">
      <c r="B2165" s="76" t="str">
        <v>1994.0</v>
      </c>
      <c r="C2165" s="42" t="str">
        <v xml:space="preserve">21 Jun 1994 - 16:00 </v>
      </c>
      <c r="D2165" s="42" t="str">
        <v>Group C</v>
      </c>
      <c r="E2165" s="42" t="str">
        <v>Soldier Field</v>
      </c>
      <c r="F2165" s="42" t="str">
        <v xml:space="preserve">Chicago </v>
      </c>
      <c r="G2165" s="42" t="str">
        <v>Germany</v>
      </c>
      <c r="H2165" s="42" t="str">
        <v>1.0</v>
      </c>
      <c r="I2165" s="42" t="str">
        <v>1.0</v>
      </c>
      <c r="J2165" s="42" t="str">
        <v>Spain</v>
      </c>
      <c r="K2165" s="42" t="str">
        <v xml:space="preserve"> </v>
      </c>
      <c r="L2165" s="42" t="str">
        <f t="shared" si="162"/>
        <v xml:space="preserve">1994.0|21 Jun 1994 - 16:00 |Group C|Soldier Field|Chicago |Germany|1.0|1.0|Spain| </v>
      </c>
      <c r="M2165" s="42" t="str">
        <f>IF(COUNTIF($L$1689:L2165,L2165)&gt;1,"DOUBLON","OK")</f>
        <v>OK</v>
      </c>
      <c r="S2165" s="12" t="str">
        <v>Colombia</v>
      </c>
      <c r="T2165" s="12" t="str">
        <f t="shared" si="163"/>
        <v>OK</v>
      </c>
      <c r="U2165" s="12" t="str">
        <f t="shared" si="164"/>
        <v>-</v>
      </c>
      <c r="V2165" s="12" t="str" cm="1">
        <f t="array" ref="V2165">_xlfn.IFS(
ISNUMBER(SEARCH("USA",S2165)),"United States",
ISNUMBER(SEARCH("Republic of Ireland",S2165)),"Ireland",
ISNUMBER(SEARCH("Republic of Korea",S2165)),"South Korea",
ISNUMBER(SEARCH("Cape Verde",S2165)),"Cabo Verde",
ISNUMBER(SEARCH("Czechia",S2165)),"Czech Republic",
ISNUMBER(SEARCH("Türkiye",S2165)),"Turkey",
ISNUMBER(SEARCH("Ivory Coast",S2165)),"Côte d'Ivoire",
ISNUMBER(SEARCH("Korea Republic",S2165)),"South Korea",
ISNUMBER(SEARCH("Germany FR",S2165)),"FR Germany",
ISNUMBER(SEARCH("West Germany",S2165)),"FR Germany",
ISNUMBER(SEARCH("Germany DR",S2165)),"DR Germany",
ISNUMBER(SEARCH("Korea DPR",S2165)),"North Korea",
ISNUMBER(SEARCH("China PR",S2165)),"China",
ISNUMBER(SEARCH("IR Iran",S2165)),"Iran",
ISNUMBER(SEARCH("Congo DR",S2165)),"Democratic Republic of the Congo",
ISNUMBER(SEARCH("DR Congo",S2165)),"Democratic Republic of the Congo",
ISNUMBER(SEARCH("German DR",S2165)),"DR Germany",
ISNUMBER(SEARCH("rn""&gt;United Arab Emirates",S2165)),"United Arab Emirates",
ISNUMBER(SEARCH("rn""&gt;Republic of Ireland",S2165)),"Ireland",
ISNUMBER(SEARCH("rn""&gt;Bosnia and Herzegovina",S2165)),"Bosnia and Herzegovina",
ISNUMBER(SEARCH("rn""&gt;Trinidad and Tobago",S2165)),"Trinidad and Tobago",
ISNUMBER(SEARCH("rn""&gt;Serbia and Montenegro",S2165)),"Serbia and Montenegro",
ISNUMBER(SEARCH(_xlfn.UNICHAR(65533),S2165)),"Côte d'Ivoire",
TRUE,""
)</f>
        <v/>
      </c>
      <c r="W2165" s="12" t="str">
        <f t="shared" si="165"/>
        <v>Colombia</v>
      </c>
    </row>
    <row r="2166" spans="2:23">
      <c r="B2166" s="76" t="str">
        <v>1994.0</v>
      </c>
      <c r="C2166" s="42" t="str">
        <v xml:space="preserve">22 Jun 1994 - 16:00 </v>
      </c>
      <c r="D2166" s="42" t="str">
        <v>Group A</v>
      </c>
      <c r="E2166" s="42" t="str">
        <v>Pontiac Silverdome</v>
      </c>
      <c r="F2166" s="42" t="str">
        <v xml:space="preserve">Detroit </v>
      </c>
      <c r="G2166" s="42" t="str">
        <v>Romania</v>
      </c>
      <c r="H2166" s="42" t="str">
        <v>1.0</v>
      </c>
      <c r="I2166" s="42" t="str">
        <v>4.0</v>
      </c>
      <c r="J2166" s="42" t="str">
        <v>Switzerland</v>
      </c>
      <c r="K2166" s="42" t="str">
        <v xml:space="preserve"> </v>
      </c>
      <c r="L2166" s="42" t="str">
        <f t="shared" si="162"/>
        <v xml:space="preserve">1994.0|22 Jun 1994 - 16:00 |Group A|Pontiac Silverdome|Detroit |Romania|1.0|4.0|Switzerland| </v>
      </c>
      <c r="M2166" s="42" t="str">
        <f>IF(COUNTIF($L$1689:L2166,L2166)&gt;1,"DOUBLON","OK")</f>
        <v>OK</v>
      </c>
      <c r="S2166" s="12" t="str">
        <v>Colombia</v>
      </c>
      <c r="T2166" s="12" t="str">
        <f t="shared" si="163"/>
        <v>OK</v>
      </c>
      <c r="U2166" s="12" t="str">
        <f t="shared" si="164"/>
        <v>-</v>
      </c>
      <c r="V2166" s="12" t="str" cm="1">
        <f t="array" ref="V2166">_xlfn.IFS(
ISNUMBER(SEARCH("USA",S2166)),"United States",
ISNUMBER(SEARCH("Republic of Ireland",S2166)),"Ireland",
ISNUMBER(SEARCH("Republic of Korea",S2166)),"South Korea",
ISNUMBER(SEARCH("Cape Verde",S2166)),"Cabo Verde",
ISNUMBER(SEARCH("Czechia",S2166)),"Czech Republic",
ISNUMBER(SEARCH("Türkiye",S2166)),"Turkey",
ISNUMBER(SEARCH("Ivory Coast",S2166)),"Côte d'Ivoire",
ISNUMBER(SEARCH("Korea Republic",S2166)),"South Korea",
ISNUMBER(SEARCH("Germany FR",S2166)),"FR Germany",
ISNUMBER(SEARCH("West Germany",S2166)),"FR Germany",
ISNUMBER(SEARCH("Germany DR",S2166)),"DR Germany",
ISNUMBER(SEARCH("Korea DPR",S2166)),"North Korea",
ISNUMBER(SEARCH("China PR",S2166)),"China",
ISNUMBER(SEARCH("IR Iran",S2166)),"Iran",
ISNUMBER(SEARCH("Congo DR",S2166)),"Democratic Republic of the Congo",
ISNUMBER(SEARCH("DR Congo",S2166)),"Democratic Republic of the Congo",
ISNUMBER(SEARCH("German DR",S2166)),"DR Germany",
ISNUMBER(SEARCH("rn""&gt;United Arab Emirates",S2166)),"United Arab Emirates",
ISNUMBER(SEARCH("rn""&gt;Republic of Ireland",S2166)),"Ireland",
ISNUMBER(SEARCH("rn""&gt;Bosnia and Herzegovina",S2166)),"Bosnia and Herzegovina",
ISNUMBER(SEARCH("rn""&gt;Trinidad and Tobago",S2166)),"Trinidad and Tobago",
ISNUMBER(SEARCH("rn""&gt;Serbia and Montenegro",S2166)),"Serbia and Montenegro",
ISNUMBER(SEARCH(_xlfn.UNICHAR(65533),S2166)),"Côte d'Ivoire",
TRUE,""
)</f>
        <v/>
      </c>
      <c r="W2166" s="12" t="str">
        <f t="shared" si="165"/>
        <v>Colombia</v>
      </c>
    </row>
    <row r="2167" spans="2:23">
      <c r="B2167" s="76" t="str">
        <v>1994.0</v>
      </c>
      <c r="C2167" s="42" t="str">
        <v xml:space="preserve">22 Jun 1994 - 19:30 </v>
      </c>
      <c r="D2167" s="42" t="str">
        <v>Group A</v>
      </c>
      <c r="E2167" s="42" t="str">
        <v>Rose Bowl</v>
      </c>
      <c r="F2167" s="42" t="str">
        <v xml:space="preserve">Los Angeles </v>
      </c>
      <c r="G2167" s="42" t="str">
        <v>USA</v>
      </c>
      <c r="H2167" s="42" t="str">
        <v>2.0</v>
      </c>
      <c r="I2167" s="42" t="str">
        <v>1.0</v>
      </c>
      <c r="J2167" s="42" t="str">
        <v>Colombia</v>
      </c>
      <c r="K2167" s="42" t="str">
        <v xml:space="preserve"> </v>
      </c>
      <c r="L2167" s="42" t="str">
        <f t="shared" si="162"/>
        <v xml:space="preserve">1994.0|22 Jun 1994 - 19:30 |Group A|Rose Bowl|Los Angeles |USA|2.0|1.0|Colombia| </v>
      </c>
      <c r="M2167" s="42" t="str">
        <f>IF(COUNTIF($L$1689:L2167,L2167)&gt;1,"DOUBLON","OK")</f>
        <v>OK</v>
      </c>
      <c r="S2167" s="12" t="str">
        <v>Colombia</v>
      </c>
      <c r="T2167" s="12" t="str">
        <f t="shared" si="163"/>
        <v>OK</v>
      </c>
      <c r="U2167" s="12" t="str">
        <f t="shared" si="164"/>
        <v>-</v>
      </c>
      <c r="V2167" s="12" t="str" cm="1">
        <f t="array" ref="V2167">_xlfn.IFS(
ISNUMBER(SEARCH("USA",S2167)),"United States",
ISNUMBER(SEARCH("Republic of Ireland",S2167)),"Ireland",
ISNUMBER(SEARCH("Republic of Korea",S2167)),"South Korea",
ISNUMBER(SEARCH("Cape Verde",S2167)),"Cabo Verde",
ISNUMBER(SEARCH("Czechia",S2167)),"Czech Republic",
ISNUMBER(SEARCH("Türkiye",S2167)),"Turkey",
ISNUMBER(SEARCH("Ivory Coast",S2167)),"Côte d'Ivoire",
ISNUMBER(SEARCH("Korea Republic",S2167)),"South Korea",
ISNUMBER(SEARCH("Germany FR",S2167)),"FR Germany",
ISNUMBER(SEARCH("West Germany",S2167)),"FR Germany",
ISNUMBER(SEARCH("Germany DR",S2167)),"DR Germany",
ISNUMBER(SEARCH("Korea DPR",S2167)),"North Korea",
ISNUMBER(SEARCH("China PR",S2167)),"China",
ISNUMBER(SEARCH("IR Iran",S2167)),"Iran",
ISNUMBER(SEARCH("Congo DR",S2167)),"Democratic Republic of the Congo",
ISNUMBER(SEARCH("DR Congo",S2167)),"Democratic Republic of the Congo",
ISNUMBER(SEARCH("German DR",S2167)),"DR Germany",
ISNUMBER(SEARCH("rn""&gt;United Arab Emirates",S2167)),"United Arab Emirates",
ISNUMBER(SEARCH("rn""&gt;Republic of Ireland",S2167)),"Ireland",
ISNUMBER(SEARCH("rn""&gt;Bosnia and Herzegovina",S2167)),"Bosnia and Herzegovina",
ISNUMBER(SEARCH("rn""&gt;Trinidad and Tobago",S2167)),"Trinidad and Tobago",
ISNUMBER(SEARCH("rn""&gt;Serbia and Montenegro",S2167)),"Serbia and Montenegro",
ISNUMBER(SEARCH(_xlfn.UNICHAR(65533),S2167)),"Côte d'Ivoire",
TRUE,""
)</f>
        <v/>
      </c>
      <c r="W2167" s="12" t="str">
        <f t="shared" si="165"/>
        <v>Colombia</v>
      </c>
    </row>
    <row r="2168" spans="2:23">
      <c r="B2168" s="76" t="str">
        <v>1994.0</v>
      </c>
      <c r="C2168" s="42" t="str">
        <v xml:space="preserve">23 Jun 1994 - 16:00 </v>
      </c>
      <c r="D2168" s="42" t="str">
        <v>Group E</v>
      </c>
      <c r="E2168" s="42" t="str">
        <v>Giants Stadium</v>
      </c>
      <c r="F2168" s="42" t="str">
        <v xml:space="preserve">New York/New Jersey </v>
      </c>
      <c r="G2168" s="42" t="str">
        <v>Italy</v>
      </c>
      <c r="H2168" s="42" t="str">
        <v>1.0</v>
      </c>
      <c r="I2168" s="42" t="str">
        <v>0.0</v>
      </c>
      <c r="J2168" s="42" t="str">
        <v>Norway</v>
      </c>
      <c r="K2168" s="42" t="str">
        <v xml:space="preserve"> </v>
      </c>
      <c r="L2168" s="42" t="str">
        <f t="shared" si="162"/>
        <v xml:space="preserve">1994.0|23 Jun 1994 - 16:00 |Group E|Giants Stadium|New York/New Jersey |Italy|1.0|0.0|Norway| </v>
      </c>
      <c r="M2168" s="42" t="str">
        <f>IF(COUNTIF($L$1689:L2168,L2168)&gt;1,"DOUBLON","OK")</f>
        <v>OK</v>
      </c>
      <c r="S2168" s="12" t="str">
        <v>Colombia</v>
      </c>
      <c r="T2168" s="12" t="str">
        <f t="shared" si="163"/>
        <v>OK</v>
      </c>
      <c r="U2168" s="12" t="str">
        <f t="shared" si="164"/>
        <v>-</v>
      </c>
      <c r="V2168" s="12" t="str" cm="1">
        <f t="array" ref="V2168">_xlfn.IFS(
ISNUMBER(SEARCH("USA",S2168)),"United States",
ISNUMBER(SEARCH("Republic of Ireland",S2168)),"Ireland",
ISNUMBER(SEARCH("Republic of Korea",S2168)),"South Korea",
ISNUMBER(SEARCH("Cape Verde",S2168)),"Cabo Verde",
ISNUMBER(SEARCH("Czechia",S2168)),"Czech Republic",
ISNUMBER(SEARCH("Türkiye",S2168)),"Turkey",
ISNUMBER(SEARCH("Ivory Coast",S2168)),"Côte d'Ivoire",
ISNUMBER(SEARCH("Korea Republic",S2168)),"South Korea",
ISNUMBER(SEARCH("Germany FR",S2168)),"FR Germany",
ISNUMBER(SEARCH("West Germany",S2168)),"FR Germany",
ISNUMBER(SEARCH("Germany DR",S2168)),"DR Germany",
ISNUMBER(SEARCH("Korea DPR",S2168)),"North Korea",
ISNUMBER(SEARCH("China PR",S2168)),"China",
ISNUMBER(SEARCH("IR Iran",S2168)),"Iran",
ISNUMBER(SEARCH("Congo DR",S2168)),"Democratic Republic of the Congo",
ISNUMBER(SEARCH("DR Congo",S2168)),"Democratic Republic of the Congo",
ISNUMBER(SEARCH("German DR",S2168)),"DR Germany",
ISNUMBER(SEARCH("rn""&gt;United Arab Emirates",S2168)),"United Arab Emirates",
ISNUMBER(SEARCH("rn""&gt;Republic of Ireland",S2168)),"Ireland",
ISNUMBER(SEARCH("rn""&gt;Bosnia and Herzegovina",S2168)),"Bosnia and Herzegovina",
ISNUMBER(SEARCH("rn""&gt;Trinidad and Tobago",S2168)),"Trinidad and Tobago",
ISNUMBER(SEARCH("rn""&gt;Serbia and Montenegro",S2168)),"Serbia and Montenegro",
ISNUMBER(SEARCH(_xlfn.UNICHAR(65533),S2168)),"Côte d'Ivoire",
TRUE,""
)</f>
        <v/>
      </c>
      <c r="W2168" s="12" t="str">
        <f t="shared" si="165"/>
        <v>Colombia</v>
      </c>
    </row>
    <row r="2169" spans="2:23">
      <c r="B2169" s="76" t="str">
        <v>1994.0</v>
      </c>
      <c r="C2169" s="42" t="str">
        <v xml:space="preserve">23 Jun 1994 - 19:30 </v>
      </c>
      <c r="D2169" s="42" t="str">
        <v>Group C</v>
      </c>
      <c r="E2169" s="42" t="str">
        <v>Foxboro Stadium</v>
      </c>
      <c r="F2169" s="42" t="str">
        <v xml:space="preserve">Boston </v>
      </c>
      <c r="G2169" s="42" t="str">
        <v>Korea Republic</v>
      </c>
      <c r="H2169" s="42" t="str">
        <v>0.0</v>
      </c>
      <c r="I2169" s="42" t="str">
        <v>0.0</v>
      </c>
      <c r="J2169" s="42" t="str">
        <v>Bolivia</v>
      </c>
      <c r="K2169" s="42" t="str">
        <v xml:space="preserve"> </v>
      </c>
      <c r="L2169" s="42" t="str">
        <f t="shared" si="162"/>
        <v xml:space="preserve">1994.0|23 Jun 1994 - 19:30 |Group C|Foxboro Stadium|Boston |Korea Republic|0.0|0.0|Bolivia| </v>
      </c>
      <c r="M2169" s="42" t="str">
        <f>IF(COUNTIF($L$1689:L2169,L2169)&gt;1,"DOUBLON","OK")</f>
        <v>OK</v>
      </c>
      <c r="S2169" s="12" t="str">
        <v>Colombia</v>
      </c>
      <c r="T2169" s="12" t="str">
        <f t="shared" si="163"/>
        <v>OK</v>
      </c>
      <c r="U2169" s="12" t="str">
        <f t="shared" si="164"/>
        <v>-</v>
      </c>
      <c r="V2169" s="12" t="str" cm="1">
        <f t="array" ref="V2169">_xlfn.IFS(
ISNUMBER(SEARCH("USA",S2169)),"United States",
ISNUMBER(SEARCH("Republic of Ireland",S2169)),"Ireland",
ISNUMBER(SEARCH("Republic of Korea",S2169)),"South Korea",
ISNUMBER(SEARCH("Cape Verde",S2169)),"Cabo Verde",
ISNUMBER(SEARCH("Czechia",S2169)),"Czech Republic",
ISNUMBER(SEARCH("Türkiye",S2169)),"Turkey",
ISNUMBER(SEARCH("Ivory Coast",S2169)),"Côte d'Ivoire",
ISNUMBER(SEARCH("Korea Republic",S2169)),"South Korea",
ISNUMBER(SEARCH("Germany FR",S2169)),"FR Germany",
ISNUMBER(SEARCH("West Germany",S2169)),"FR Germany",
ISNUMBER(SEARCH("Germany DR",S2169)),"DR Germany",
ISNUMBER(SEARCH("Korea DPR",S2169)),"North Korea",
ISNUMBER(SEARCH("China PR",S2169)),"China",
ISNUMBER(SEARCH("IR Iran",S2169)),"Iran",
ISNUMBER(SEARCH("Congo DR",S2169)),"Democratic Republic of the Congo",
ISNUMBER(SEARCH("DR Congo",S2169)),"Democratic Republic of the Congo",
ISNUMBER(SEARCH("German DR",S2169)),"DR Germany",
ISNUMBER(SEARCH("rn""&gt;United Arab Emirates",S2169)),"United Arab Emirates",
ISNUMBER(SEARCH("rn""&gt;Republic of Ireland",S2169)),"Ireland",
ISNUMBER(SEARCH("rn""&gt;Bosnia and Herzegovina",S2169)),"Bosnia and Herzegovina",
ISNUMBER(SEARCH("rn""&gt;Trinidad and Tobago",S2169)),"Trinidad and Tobago",
ISNUMBER(SEARCH("rn""&gt;Serbia and Montenegro",S2169)),"Serbia and Montenegro",
ISNUMBER(SEARCH(_xlfn.UNICHAR(65533),S2169)),"Côte d'Ivoire",
TRUE,""
)</f>
        <v/>
      </c>
      <c r="W2169" s="12" t="str">
        <f t="shared" si="165"/>
        <v>Colombia</v>
      </c>
    </row>
    <row r="2170" spans="2:23">
      <c r="B2170" s="76" t="str">
        <v>1994.0</v>
      </c>
      <c r="C2170" s="42" t="str">
        <v xml:space="preserve">24 Jun 1994 - 12:30 </v>
      </c>
      <c r="D2170" s="42" t="str">
        <v>Group E</v>
      </c>
      <c r="E2170" s="42" t="str">
        <v>Citrus Bowl</v>
      </c>
      <c r="F2170" s="42" t="str">
        <v xml:space="preserve">Orlando </v>
      </c>
      <c r="G2170" s="42" t="str">
        <v>Mexico</v>
      </c>
      <c r="H2170" s="42" t="str">
        <v>2.0</v>
      </c>
      <c r="I2170" s="42" t="str">
        <v>1.0</v>
      </c>
      <c r="J2170" s="42" t="str">
        <v>rn"&gt;Republic of Ireland</v>
      </c>
      <c r="K2170" s="42" t="str">
        <v xml:space="preserve"> </v>
      </c>
      <c r="L2170" s="42" t="str">
        <f t="shared" si="162"/>
        <v xml:space="preserve">1994.0|24 Jun 1994 - 12:30 |Group E|Citrus Bowl|Orlando |Mexico|2.0|1.0|rn"&gt;Republic of Ireland| </v>
      </c>
      <c r="M2170" s="42" t="str">
        <f>IF(COUNTIF($L$1689:L2170,L2170)&gt;1,"DOUBLON","OK")</f>
        <v>OK</v>
      </c>
      <c r="S2170" s="12" t="str">
        <v>Colombia</v>
      </c>
      <c r="T2170" s="12" t="str">
        <f t="shared" si="163"/>
        <v>OK</v>
      </c>
      <c r="U2170" s="12" t="str">
        <f t="shared" si="164"/>
        <v>-</v>
      </c>
      <c r="V2170" s="12" t="str" cm="1">
        <f t="array" ref="V2170">_xlfn.IFS(
ISNUMBER(SEARCH("USA",S2170)),"United States",
ISNUMBER(SEARCH("Republic of Ireland",S2170)),"Ireland",
ISNUMBER(SEARCH("Republic of Korea",S2170)),"South Korea",
ISNUMBER(SEARCH("Cape Verde",S2170)),"Cabo Verde",
ISNUMBER(SEARCH("Czechia",S2170)),"Czech Republic",
ISNUMBER(SEARCH("Türkiye",S2170)),"Turkey",
ISNUMBER(SEARCH("Ivory Coast",S2170)),"Côte d'Ivoire",
ISNUMBER(SEARCH("Korea Republic",S2170)),"South Korea",
ISNUMBER(SEARCH("Germany FR",S2170)),"FR Germany",
ISNUMBER(SEARCH("West Germany",S2170)),"FR Germany",
ISNUMBER(SEARCH("Germany DR",S2170)),"DR Germany",
ISNUMBER(SEARCH("Korea DPR",S2170)),"North Korea",
ISNUMBER(SEARCH("China PR",S2170)),"China",
ISNUMBER(SEARCH("IR Iran",S2170)),"Iran",
ISNUMBER(SEARCH("Congo DR",S2170)),"Democratic Republic of the Congo",
ISNUMBER(SEARCH("DR Congo",S2170)),"Democratic Republic of the Congo",
ISNUMBER(SEARCH("German DR",S2170)),"DR Germany",
ISNUMBER(SEARCH("rn""&gt;United Arab Emirates",S2170)),"United Arab Emirates",
ISNUMBER(SEARCH("rn""&gt;Republic of Ireland",S2170)),"Ireland",
ISNUMBER(SEARCH("rn""&gt;Bosnia and Herzegovina",S2170)),"Bosnia and Herzegovina",
ISNUMBER(SEARCH("rn""&gt;Trinidad and Tobago",S2170)),"Trinidad and Tobago",
ISNUMBER(SEARCH("rn""&gt;Serbia and Montenegro",S2170)),"Serbia and Montenegro",
ISNUMBER(SEARCH(_xlfn.UNICHAR(65533),S2170)),"Côte d'Ivoire",
TRUE,""
)</f>
        <v/>
      </c>
      <c r="W2170" s="12" t="str">
        <f t="shared" si="165"/>
        <v>Colombia</v>
      </c>
    </row>
    <row r="2171" spans="2:23">
      <c r="B2171" s="76" t="str">
        <v>1994.0</v>
      </c>
      <c r="C2171" s="42" t="str">
        <v xml:space="preserve">24 Jun 1994 - 19:30 </v>
      </c>
      <c r="D2171" s="42" t="str">
        <v>Group B</v>
      </c>
      <c r="E2171" s="42" t="str">
        <v>Pontiac Silverdome</v>
      </c>
      <c r="F2171" s="42" t="str">
        <v xml:space="preserve">Detroit </v>
      </c>
      <c r="G2171" s="42" t="str">
        <v>Sweden</v>
      </c>
      <c r="H2171" s="42" t="str">
        <v>3.0</v>
      </c>
      <c r="I2171" s="42" t="str">
        <v>1.0</v>
      </c>
      <c r="J2171" s="42" t="str">
        <v>Russia</v>
      </c>
      <c r="K2171" s="42" t="str">
        <v xml:space="preserve"> </v>
      </c>
      <c r="L2171" s="42" t="str">
        <f t="shared" si="162"/>
        <v xml:space="preserve">1994.0|24 Jun 1994 - 19:30 |Group B|Pontiac Silverdome|Detroit |Sweden|3.0|1.0|Russia| </v>
      </c>
      <c r="M2171" s="42" t="str">
        <f>IF(COUNTIF($L$1689:L2171,L2171)&gt;1,"DOUBLON","OK")</f>
        <v>OK</v>
      </c>
      <c r="S2171" s="12" t="str">
        <v>Colombia</v>
      </c>
      <c r="T2171" s="12" t="str">
        <f t="shared" si="163"/>
        <v>OK</v>
      </c>
      <c r="U2171" s="12" t="str">
        <f t="shared" si="164"/>
        <v>-</v>
      </c>
      <c r="V2171" s="12" t="str" cm="1">
        <f t="array" ref="V2171">_xlfn.IFS(
ISNUMBER(SEARCH("USA",S2171)),"United States",
ISNUMBER(SEARCH("Republic of Ireland",S2171)),"Ireland",
ISNUMBER(SEARCH("Republic of Korea",S2171)),"South Korea",
ISNUMBER(SEARCH("Cape Verde",S2171)),"Cabo Verde",
ISNUMBER(SEARCH("Czechia",S2171)),"Czech Republic",
ISNUMBER(SEARCH("Türkiye",S2171)),"Turkey",
ISNUMBER(SEARCH("Ivory Coast",S2171)),"Côte d'Ivoire",
ISNUMBER(SEARCH("Korea Republic",S2171)),"South Korea",
ISNUMBER(SEARCH("Germany FR",S2171)),"FR Germany",
ISNUMBER(SEARCH("West Germany",S2171)),"FR Germany",
ISNUMBER(SEARCH("Germany DR",S2171)),"DR Germany",
ISNUMBER(SEARCH("Korea DPR",S2171)),"North Korea",
ISNUMBER(SEARCH("China PR",S2171)),"China",
ISNUMBER(SEARCH("IR Iran",S2171)),"Iran",
ISNUMBER(SEARCH("Congo DR",S2171)),"Democratic Republic of the Congo",
ISNUMBER(SEARCH("DR Congo",S2171)),"Democratic Republic of the Congo",
ISNUMBER(SEARCH("German DR",S2171)),"DR Germany",
ISNUMBER(SEARCH("rn""&gt;United Arab Emirates",S2171)),"United Arab Emirates",
ISNUMBER(SEARCH("rn""&gt;Republic of Ireland",S2171)),"Ireland",
ISNUMBER(SEARCH("rn""&gt;Bosnia and Herzegovina",S2171)),"Bosnia and Herzegovina",
ISNUMBER(SEARCH("rn""&gt;Trinidad and Tobago",S2171)),"Trinidad and Tobago",
ISNUMBER(SEARCH("rn""&gt;Serbia and Montenegro",S2171)),"Serbia and Montenegro",
ISNUMBER(SEARCH(_xlfn.UNICHAR(65533),S2171)),"Côte d'Ivoire",
TRUE,""
)</f>
        <v/>
      </c>
      <c r="W2171" s="12" t="str">
        <f t="shared" si="165"/>
        <v>Colombia</v>
      </c>
    </row>
    <row r="2172" spans="2:23">
      <c r="B2172" s="76" t="str">
        <v>1994.0</v>
      </c>
      <c r="C2172" s="42" t="str">
        <v xml:space="preserve">24 Jun 1994 - 16:00 </v>
      </c>
      <c r="D2172" s="42" t="str">
        <v>Group B</v>
      </c>
      <c r="E2172" s="42" t="str">
        <v>Stanford Stadium</v>
      </c>
      <c r="F2172" s="42" t="str">
        <v xml:space="preserve">San Francisco </v>
      </c>
      <c r="G2172" s="42" t="str">
        <v>Brazil</v>
      </c>
      <c r="H2172" s="42" t="str">
        <v>3.0</v>
      </c>
      <c r="I2172" s="42" t="str">
        <v>0.0</v>
      </c>
      <c r="J2172" s="42" t="str">
        <v>Cameroon</v>
      </c>
      <c r="K2172" s="42" t="str">
        <v xml:space="preserve"> </v>
      </c>
      <c r="L2172" s="42" t="str">
        <f t="shared" si="162"/>
        <v xml:space="preserve">1994.0|24 Jun 1994 - 16:00 |Group B|Stanford Stadium|San Francisco |Brazil|3.0|0.0|Cameroon| </v>
      </c>
      <c r="M2172" s="42" t="str">
        <f>IF(COUNTIF($L$1689:L2172,L2172)&gt;1,"DOUBLON","OK")</f>
        <v>OK</v>
      </c>
      <c r="S2172" s="12" t="str">
        <v>Colombia</v>
      </c>
      <c r="T2172" s="12" t="str">
        <f t="shared" si="163"/>
        <v>OK</v>
      </c>
      <c r="U2172" s="12" t="str">
        <f t="shared" si="164"/>
        <v>-</v>
      </c>
      <c r="V2172" s="12" t="str" cm="1">
        <f t="array" ref="V2172">_xlfn.IFS(
ISNUMBER(SEARCH("USA",S2172)),"United States",
ISNUMBER(SEARCH("Republic of Ireland",S2172)),"Ireland",
ISNUMBER(SEARCH("Republic of Korea",S2172)),"South Korea",
ISNUMBER(SEARCH("Cape Verde",S2172)),"Cabo Verde",
ISNUMBER(SEARCH("Czechia",S2172)),"Czech Republic",
ISNUMBER(SEARCH("Türkiye",S2172)),"Turkey",
ISNUMBER(SEARCH("Ivory Coast",S2172)),"Côte d'Ivoire",
ISNUMBER(SEARCH("Korea Republic",S2172)),"South Korea",
ISNUMBER(SEARCH("Germany FR",S2172)),"FR Germany",
ISNUMBER(SEARCH("West Germany",S2172)),"FR Germany",
ISNUMBER(SEARCH("Germany DR",S2172)),"DR Germany",
ISNUMBER(SEARCH("Korea DPR",S2172)),"North Korea",
ISNUMBER(SEARCH("China PR",S2172)),"China",
ISNUMBER(SEARCH("IR Iran",S2172)),"Iran",
ISNUMBER(SEARCH("Congo DR",S2172)),"Democratic Republic of the Congo",
ISNUMBER(SEARCH("DR Congo",S2172)),"Democratic Republic of the Congo",
ISNUMBER(SEARCH("German DR",S2172)),"DR Germany",
ISNUMBER(SEARCH("rn""&gt;United Arab Emirates",S2172)),"United Arab Emirates",
ISNUMBER(SEARCH("rn""&gt;Republic of Ireland",S2172)),"Ireland",
ISNUMBER(SEARCH("rn""&gt;Bosnia and Herzegovina",S2172)),"Bosnia and Herzegovina",
ISNUMBER(SEARCH("rn""&gt;Trinidad and Tobago",S2172)),"Trinidad and Tobago",
ISNUMBER(SEARCH("rn""&gt;Serbia and Montenegro",S2172)),"Serbia and Montenegro",
ISNUMBER(SEARCH(_xlfn.UNICHAR(65533),S2172)),"Côte d'Ivoire",
TRUE,""
)</f>
        <v/>
      </c>
      <c r="W2172" s="12" t="str">
        <f t="shared" si="165"/>
        <v>Colombia</v>
      </c>
    </row>
    <row r="2173" spans="2:23">
      <c r="B2173" s="76" t="str">
        <v>1994.0</v>
      </c>
      <c r="C2173" s="42" t="str">
        <v xml:space="preserve">25 Jun 1994 - 12:30 </v>
      </c>
      <c r="D2173" s="42" t="str">
        <v>Group F</v>
      </c>
      <c r="E2173" s="42" t="str">
        <v>Citrus Bowl</v>
      </c>
      <c r="F2173" s="42" t="str">
        <v xml:space="preserve">Orlando </v>
      </c>
      <c r="G2173" s="42" t="str">
        <v>Belgium</v>
      </c>
      <c r="H2173" s="42" t="str">
        <v>1.0</v>
      </c>
      <c r="I2173" s="42" t="str">
        <v>0.0</v>
      </c>
      <c r="J2173" s="42" t="str">
        <v>Netherlands</v>
      </c>
      <c r="K2173" s="42" t="str">
        <v xml:space="preserve"> </v>
      </c>
      <c r="L2173" s="42" t="str">
        <f t="shared" si="162"/>
        <v xml:space="preserve">1994.0|25 Jun 1994 - 12:30 |Group F|Citrus Bowl|Orlando |Belgium|1.0|0.0|Netherlands| </v>
      </c>
      <c r="M2173" s="42" t="str">
        <f>IF(COUNTIF($L$1689:L2173,L2173)&gt;1,"DOUBLON","OK")</f>
        <v>OK</v>
      </c>
      <c r="S2173" s="12" t="str">
        <v>Colombia</v>
      </c>
      <c r="T2173" s="12" t="str">
        <f t="shared" si="163"/>
        <v>OK</v>
      </c>
      <c r="U2173" s="12" t="str">
        <f t="shared" si="164"/>
        <v>-</v>
      </c>
      <c r="V2173" s="12" t="str" cm="1">
        <f t="array" ref="V2173">_xlfn.IFS(
ISNUMBER(SEARCH("USA",S2173)),"United States",
ISNUMBER(SEARCH("Republic of Ireland",S2173)),"Ireland",
ISNUMBER(SEARCH("Republic of Korea",S2173)),"South Korea",
ISNUMBER(SEARCH("Cape Verde",S2173)),"Cabo Verde",
ISNUMBER(SEARCH("Czechia",S2173)),"Czech Republic",
ISNUMBER(SEARCH("Türkiye",S2173)),"Turkey",
ISNUMBER(SEARCH("Ivory Coast",S2173)),"Côte d'Ivoire",
ISNUMBER(SEARCH("Korea Republic",S2173)),"South Korea",
ISNUMBER(SEARCH("Germany FR",S2173)),"FR Germany",
ISNUMBER(SEARCH("West Germany",S2173)),"FR Germany",
ISNUMBER(SEARCH("Germany DR",S2173)),"DR Germany",
ISNUMBER(SEARCH("Korea DPR",S2173)),"North Korea",
ISNUMBER(SEARCH("China PR",S2173)),"China",
ISNUMBER(SEARCH("IR Iran",S2173)),"Iran",
ISNUMBER(SEARCH("Congo DR",S2173)),"Democratic Republic of the Congo",
ISNUMBER(SEARCH("DR Congo",S2173)),"Democratic Republic of the Congo",
ISNUMBER(SEARCH("German DR",S2173)),"DR Germany",
ISNUMBER(SEARCH("rn""&gt;United Arab Emirates",S2173)),"United Arab Emirates",
ISNUMBER(SEARCH("rn""&gt;Republic of Ireland",S2173)),"Ireland",
ISNUMBER(SEARCH("rn""&gt;Bosnia and Herzegovina",S2173)),"Bosnia and Herzegovina",
ISNUMBER(SEARCH("rn""&gt;Trinidad and Tobago",S2173)),"Trinidad and Tobago",
ISNUMBER(SEARCH("rn""&gt;Serbia and Montenegro",S2173)),"Serbia and Montenegro",
ISNUMBER(SEARCH(_xlfn.UNICHAR(65533),S2173)),"Côte d'Ivoire",
TRUE,""
)</f>
        <v/>
      </c>
      <c r="W2173" s="12" t="str">
        <f t="shared" si="165"/>
        <v>Colombia</v>
      </c>
    </row>
    <row r="2174" spans="2:23">
      <c r="B2174" s="76" t="str">
        <v>1994.0</v>
      </c>
      <c r="C2174" s="42" t="str">
        <v xml:space="preserve">25 Jun 1994 - 12:30 </v>
      </c>
      <c r="D2174" s="42" t="str">
        <v>Group F</v>
      </c>
      <c r="E2174" s="42" t="str">
        <v>Giants Stadium</v>
      </c>
      <c r="F2174" s="42" t="str">
        <v xml:space="preserve">New York/New Jersey </v>
      </c>
      <c r="G2174" s="42" t="str">
        <v>Saudi Arabia</v>
      </c>
      <c r="H2174" s="42" t="str">
        <v>2.0</v>
      </c>
      <c r="I2174" s="42" t="str">
        <v>1.0</v>
      </c>
      <c r="J2174" s="42" t="str">
        <v>Morocco</v>
      </c>
      <c r="K2174" s="42" t="str">
        <v xml:space="preserve"> </v>
      </c>
      <c r="L2174" s="42" t="str">
        <f t="shared" si="162"/>
        <v xml:space="preserve">1994.0|25 Jun 1994 - 12:30 |Group F|Giants Stadium|New York/New Jersey |Saudi Arabia|2.0|1.0|Morocco| </v>
      </c>
      <c r="M2174" s="42" t="str">
        <f>IF(COUNTIF($L$1689:L2174,L2174)&gt;1,"DOUBLON","OK")</f>
        <v>OK</v>
      </c>
      <c r="S2174" s="12" t="str">
        <v>Colombia</v>
      </c>
      <c r="T2174" s="12" t="str">
        <f t="shared" si="163"/>
        <v>OK</v>
      </c>
      <c r="U2174" s="12" t="str">
        <f t="shared" si="164"/>
        <v>-</v>
      </c>
      <c r="V2174" s="12" t="str" cm="1">
        <f t="array" ref="V2174">_xlfn.IFS(
ISNUMBER(SEARCH("USA",S2174)),"United States",
ISNUMBER(SEARCH("Republic of Ireland",S2174)),"Ireland",
ISNUMBER(SEARCH("Republic of Korea",S2174)),"South Korea",
ISNUMBER(SEARCH("Cape Verde",S2174)),"Cabo Verde",
ISNUMBER(SEARCH("Czechia",S2174)),"Czech Republic",
ISNUMBER(SEARCH("Türkiye",S2174)),"Turkey",
ISNUMBER(SEARCH("Ivory Coast",S2174)),"Côte d'Ivoire",
ISNUMBER(SEARCH("Korea Republic",S2174)),"South Korea",
ISNUMBER(SEARCH("Germany FR",S2174)),"FR Germany",
ISNUMBER(SEARCH("West Germany",S2174)),"FR Germany",
ISNUMBER(SEARCH("Germany DR",S2174)),"DR Germany",
ISNUMBER(SEARCH("Korea DPR",S2174)),"North Korea",
ISNUMBER(SEARCH("China PR",S2174)),"China",
ISNUMBER(SEARCH("IR Iran",S2174)),"Iran",
ISNUMBER(SEARCH("Congo DR",S2174)),"Democratic Republic of the Congo",
ISNUMBER(SEARCH("DR Congo",S2174)),"Democratic Republic of the Congo",
ISNUMBER(SEARCH("German DR",S2174)),"DR Germany",
ISNUMBER(SEARCH("rn""&gt;United Arab Emirates",S2174)),"United Arab Emirates",
ISNUMBER(SEARCH("rn""&gt;Republic of Ireland",S2174)),"Ireland",
ISNUMBER(SEARCH("rn""&gt;Bosnia and Herzegovina",S2174)),"Bosnia and Herzegovina",
ISNUMBER(SEARCH("rn""&gt;Trinidad and Tobago",S2174)),"Trinidad and Tobago",
ISNUMBER(SEARCH("rn""&gt;Serbia and Montenegro",S2174)),"Serbia and Montenegro",
ISNUMBER(SEARCH(_xlfn.UNICHAR(65533),S2174)),"Côte d'Ivoire",
TRUE,""
)</f>
        <v/>
      </c>
      <c r="W2174" s="12" t="str">
        <f t="shared" si="165"/>
        <v>Colombia</v>
      </c>
    </row>
    <row r="2175" spans="2:23">
      <c r="B2175" s="76" t="str">
        <v>1994.0</v>
      </c>
      <c r="C2175" s="42" t="str">
        <v xml:space="preserve">25 Jun 1994 - 16:00 </v>
      </c>
      <c r="D2175" s="42" t="str">
        <v>Group D</v>
      </c>
      <c r="E2175" s="42" t="str">
        <v>Foxboro Stadium</v>
      </c>
      <c r="F2175" s="42" t="str">
        <v xml:space="preserve">Boston </v>
      </c>
      <c r="G2175" s="42" t="str">
        <v>Argentina</v>
      </c>
      <c r="H2175" s="42" t="str">
        <v>2.0</v>
      </c>
      <c r="I2175" s="42" t="str">
        <v>1.0</v>
      </c>
      <c r="J2175" s="42" t="str">
        <v>Nigeria</v>
      </c>
      <c r="K2175" s="42" t="str">
        <v xml:space="preserve"> </v>
      </c>
      <c r="L2175" s="42" t="str">
        <f t="shared" si="162"/>
        <v xml:space="preserve">1994.0|25 Jun 1994 - 16:00 |Group D|Foxboro Stadium|Boston |Argentina|2.0|1.0|Nigeria| </v>
      </c>
      <c r="M2175" s="42" t="str">
        <f>IF(COUNTIF($L$1689:L2175,L2175)&gt;1,"DOUBLON","OK")</f>
        <v>OK</v>
      </c>
      <c r="S2175" s="12" t="str">
        <v>Colombia</v>
      </c>
      <c r="T2175" s="12" t="str">
        <f t="shared" si="163"/>
        <v>OK</v>
      </c>
      <c r="U2175" s="12" t="str">
        <f t="shared" si="164"/>
        <v>-</v>
      </c>
      <c r="V2175" s="12" t="str" cm="1">
        <f t="array" ref="V2175">_xlfn.IFS(
ISNUMBER(SEARCH("USA",S2175)),"United States",
ISNUMBER(SEARCH("Republic of Ireland",S2175)),"Ireland",
ISNUMBER(SEARCH("Republic of Korea",S2175)),"South Korea",
ISNUMBER(SEARCH("Cape Verde",S2175)),"Cabo Verde",
ISNUMBER(SEARCH("Czechia",S2175)),"Czech Republic",
ISNUMBER(SEARCH("Türkiye",S2175)),"Turkey",
ISNUMBER(SEARCH("Ivory Coast",S2175)),"Côte d'Ivoire",
ISNUMBER(SEARCH("Korea Republic",S2175)),"South Korea",
ISNUMBER(SEARCH("Germany FR",S2175)),"FR Germany",
ISNUMBER(SEARCH("West Germany",S2175)),"FR Germany",
ISNUMBER(SEARCH("Germany DR",S2175)),"DR Germany",
ISNUMBER(SEARCH("Korea DPR",S2175)),"North Korea",
ISNUMBER(SEARCH("China PR",S2175)),"China",
ISNUMBER(SEARCH("IR Iran",S2175)),"Iran",
ISNUMBER(SEARCH("Congo DR",S2175)),"Democratic Republic of the Congo",
ISNUMBER(SEARCH("DR Congo",S2175)),"Democratic Republic of the Congo",
ISNUMBER(SEARCH("German DR",S2175)),"DR Germany",
ISNUMBER(SEARCH("rn""&gt;United Arab Emirates",S2175)),"United Arab Emirates",
ISNUMBER(SEARCH("rn""&gt;Republic of Ireland",S2175)),"Ireland",
ISNUMBER(SEARCH("rn""&gt;Bosnia and Herzegovina",S2175)),"Bosnia and Herzegovina",
ISNUMBER(SEARCH("rn""&gt;Trinidad and Tobago",S2175)),"Trinidad and Tobago",
ISNUMBER(SEARCH("rn""&gt;Serbia and Montenegro",S2175)),"Serbia and Montenegro",
ISNUMBER(SEARCH(_xlfn.UNICHAR(65533),S2175)),"Côte d'Ivoire",
TRUE,""
)</f>
        <v/>
      </c>
      <c r="W2175" s="12" t="str">
        <f t="shared" si="165"/>
        <v>Colombia</v>
      </c>
    </row>
    <row r="2176" spans="2:23">
      <c r="B2176" s="76" t="str">
        <v>1994.0</v>
      </c>
      <c r="C2176" s="42" t="str">
        <v xml:space="preserve">26 Jun 1994 - 12:30 </v>
      </c>
      <c r="D2176" s="42" t="str">
        <v>Group D</v>
      </c>
      <c r="E2176" s="42" t="str">
        <v>Soldier Field</v>
      </c>
      <c r="F2176" s="42" t="str">
        <v xml:space="preserve">Chicago </v>
      </c>
      <c r="G2176" s="42" t="str">
        <v>Bulgaria</v>
      </c>
      <c r="H2176" s="42" t="str">
        <v>4.0</v>
      </c>
      <c r="I2176" s="42" t="str">
        <v>0.0</v>
      </c>
      <c r="J2176" s="42" t="str">
        <v>Greece</v>
      </c>
      <c r="K2176" s="42" t="str">
        <v xml:space="preserve"> </v>
      </c>
      <c r="L2176" s="42" t="str">
        <f t="shared" si="162"/>
        <v xml:space="preserve">1994.0|26 Jun 1994 - 12:30 |Group D|Soldier Field|Chicago |Bulgaria|4.0|0.0|Greece| </v>
      </c>
      <c r="M2176" s="42" t="str">
        <f>IF(COUNTIF($L$1689:L2176,L2176)&gt;1,"DOUBLON","OK")</f>
        <v>OK</v>
      </c>
      <c r="S2176" s="12" t="str">
        <v>Colombia</v>
      </c>
      <c r="T2176" s="12" t="str">
        <f t="shared" si="163"/>
        <v>OK</v>
      </c>
      <c r="U2176" s="12" t="str">
        <f t="shared" si="164"/>
        <v>-</v>
      </c>
      <c r="V2176" s="12" t="str" cm="1">
        <f t="array" ref="V2176">_xlfn.IFS(
ISNUMBER(SEARCH("USA",S2176)),"United States",
ISNUMBER(SEARCH("Republic of Ireland",S2176)),"Ireland",
ISNUMBER(SEARCH("Republic of Korea",S2176)),"South Korea",
ISNUMBER(SEARCH("Cape Verde",S2176)),"Cabo Verde",
ISNUMBER(SEARCH("Czechia",S2176)),"Czech Republic",
ISNUMBER(SEARCH("Türkiye",S2176)),"Turkey",
ISNUMBER(SEARCH("Ivory Coast",S2176)),"Côte d'Ivoire",
ISNUMBER(SEARCH("Korea Republic",S2176)),"South Korea",
ISNUMBER(SEARCH("Germany FR",S2176)),"FR Germany",
ISNUMBER(SEARCH("West Germany",S2176)),"FR Germany",
ISNUMBER(SEARCH("Germany DR",S2176)),"DR Germany",
ISNUMBER(SEARCH("Korea DPR",S2176)),"North Korea",
ISNUMBER(SEARCH("China PR",S2176)),"China",
ISNUMBER(SEARCH("IR Iran",S2176)),"Iran",
ISNUMBER(SEARCH("Congo DR",S2176)),"Democratic Republic of the Congo",
ISNUMBER(SEARCH("DR Congo",S2176)),"Democratic Republic of the Congo",
ISNUMBER(SEARCH("German DR",S2176)),"DR Germany",
ISNUMBER(SEARCH("rn""&gt;United Arab Emirates",S2176)),"United Arab Emirates",
ISNUMBER(SEARCH("rn""&gt;Republic of Ireland",S2176)),"Ireland",
ISNUMBER(SEARCH("rn""&gt;Bosnia and Herzegovina",S2176)),"Bosnia and Herzegovina",
ISNUMBER(SEARCH("rn""&gt;Trinidad and Tobago",S2176)),"Trinidad and Tobago",
ISNUMBER(SEARCH("rn""&gt;Serbia and Montenegro",S2176)),"Serbia and Montenegro",
ISNUMBER(SEARCH(_xlfn.UNICHAR(65533),S2176)),"Côte d'Ivoire",
TRUE,""
)</f>
        <v/>
      </c>
      <c r="W2176" s="12" t="str">
        <f t="shared" si="165"/>
        <v>Colombia</v>
      </c>
    </row>
    <row r="2177" spans="2:23">
      <c r="B2177" s="76" t="str">
        <v>1994.0</v>
      </c>
      <c r="C2177" s="42" t="str">
        <v xml:space="preserve">26 Jun 1994 - 16:00 </v>
      </c>
      <c r="D2177" s="42" t="str">
        <v>Group A</v>
      </c>
      <c r="E2177" s="42" t="str">
        <v>Rose Bowl</v>
      </c>
      <c r="F2177" s="42" t="str">
        <v xml:space="preserve">Los Angeles </v>
      </c>
      <c r="G2177" s="42" t="str">
        <v>USA</v>
      </c>
      <c r="H2177" s="42" t="str">
        <v>0.0</v>
      </c>
      <c r="I2177" s="42" t="str">
        <v>1.0</v>
      </c>
      <c r="J2177" s="42" t="str">
        <v>Romania</v>
      </c>
      <c r="K2177" s="42" t="str">
        <v xml:space="preserve"> </v>
      </c>
      <c r="L2177" s="42" t="str">
        <f t="shared" si="162"/>
        <v xml:space="preserve">1994.0|26 Jun 1994 - 16:00 |Group A|Rose Bowl|Los Angeles |USA|0.0|1.0|Romania| </v>
      </c>
      <c r="M2177" s="42" t="str">
        <f>IF(COUNTIF($L$1689:L2177,L2177)&gt;1,"DOUBLON","OK")</f>
        <v>OK</v>
      </c>
      <c r="S2177" s="12" t="str">
        <v>Colombia</v>
      </c>
      <c r="T2177" s="12" t="str">
        <f t="shared" si="163"/>
        <v>OK</v>
      </c>
      <c r="U2177" s="12" t="str">
        <f t="shared" si="164"/>
        <v>-</v>
      </c>
      <c r="V2177" s="12" t="str" cm="1">
        <f t="array" ref="V2177">_xlfn.IFS(
ISNUMBER(SEARCH("USA",S2177)),"United States",
ISNUMBER(SEARCH("Republic of Ireland",S2177)),"Ireland",
ISNUMBER(SEARCH("Republic of Korea",S2177)),"South Korea",
ISNUMBER(SEARCH("Cape Verde",S2177)),"Cabo Verde",
ISNUMBER(SEARCH("Czechia",S2177)),"Czech Republic",
ISNUMBER(SEARCH("Türkiye",S2177)),"Turkey",
ISNUMBER(SEARCH("Ivory Coast",S2177)),"Côte d'Ivoire",
ISNUMBER(SEARCH("Korea Republic",S2177)),"South Korea",
ISNUMBER(SEARCH("Germany FR",S2177)),"FR Germany",
ISNUMBER(SEARCH("West Germany",S2177)),"FR Germany",
ISNUMBER(SEARCH("Germany DR",S2177)),"DR Germany",
ISNUMBER(SEARCH("Korea DPR",S2177)),"North Korea",
ISNUMBER(SEARCH("China PR",S2177)),"China",
ISNUMBER(SEARCH("IR Iran",S2177)),"Iran",
ISNUMBER(SEARCH("Congo DR",S2177)),"Democratic Republic of the Congo",
ISNUMBER(SEARCH("DR Congo",S2177)),"Democratic Republic of the Congo",
ISNUMBER(SEARCH("German DR",S2177)),"DR Germany",
ISNUMBER(SEARCH("rn""&gt;United Arab Emirates",S2177)),"United Arab Emirates",
ISNUMBER(SEARCH("rn""&gt;Republic of Ireland",S2177)),"Ireland",
ISNUMBER(SEARCH("rn""&gt;Bosnia and Herzegovina",S2177)),"Bosnia and Herzegovina",
ISNUMBER(SEARCH("rn""&gt;Trinidad and Tobago",S2177)),"Trinidad and Tobago",
ISNUMBER(SEARCH("rn""&gt;Serbia and Montenegro",S2177)),"Serbia and Montenegro",
ISNUMBER(SEARCH(_xlfn.UNICHAR(65533),S2177)),"Côte d'Ivoire",
TRUE,""
)</f>
        <v/>
      </c>
      <c r="W2177" s="12" t="str">
        <f t="shared" si="165"/>
        <v>Colombia</v>
      </c>
    </row>
    <row r="2178" spans="2:23">
      <c r="B2178" s="76" t="str">
        <v>1994.0</v>
      </c>
      <c r="C2178" s="42" t="str">
        <v xml:space="preserve">26 Jun 1994 - 16:00 </v>
      </c>
      <c r="D2178" s="42" t="str">
        <v>Group A</v>
      </c>
      <c r="E2178" s="42" t="str">
        <v>Stanford Stadium</v>
      </c>
      <c r="F2178" s="42" t="str">
        <v xml:space="preserve">San Francisco </v>
      </c>
      <c r="G2178" s="42" t="str">
        <v>Switzerland</v>
      </c>
      <c r="H2178" s="42" t="str">
        <v>0.0</v>
      </c>
      <c r="I2178" s="42" t="str">
        <v>2.0</v>
      </c>
      <c r="J2178" s="42" t="str">
        <v>Colombia</v>
      </c>
      <c r="K2178" s="42" t="str">
        <v xml:space="preserve"> </v>
      </c>
      <c r="L2178" s="42" t="str">
        <f t="shared" si="162"/>
        <v xml:space="preserve">1994.0|26 Jun 1994 - 16:00 |Group A|Stanford Stadium|San Francisco |Switzerland|0.0|2.0|Colombia| </v>
      </c>
      <c r="M2178" s="42" t="str">
        <f>IF(COUNTIF($L$1689:L2178,L2178)&gt;1,"DOUBLON","OK")</f>
        <v>OK</v>
      </c>
      <c r="S2178" s="12" t="str">
        <v>Colombia</v>
      </c>
      <c r="T2178" s="12" t="str">
        <f t="shared" si="163"/>
        <v>OK</v>
      </c>
      <c r="U2178" s="12" t="str">
        <f t="shared" si="164"/>
        <v>-</v>
      </c>
      <c r="V2178" s="12" t="str" cm="1">
        <f t="array" ref="V2178">_xlfn.IFS(
ISNUMBER(SEARCH("USA",S2178)),"United States",
ISNUMBER(SEARCH("Republic of Ireland",S2178)),"Ireland",
ISNUMBER(SEARCH("Republic of Korea",S2178)),"South Korea",
ISNUMBER(SEARCH("Cape Verde",S2178)),"Cabo Verde",
ISNUMBER(SEARCH("Czechia",S2178)),"Czech Republic",
ISNUMBER(SEARCH("Türkiye",S2178)),"Turkey",
ISNUMBER(SEARCH("Ivory Coast",S2178)),"Côte d'Ivoire",
ISNUMBER(SEARCH("Korea Republic",S2178)),"South Korea",
ISNUMBER(SEARCH("Germany FR",S2178)),"FR Germany",
ISNUMBER(SEARCH("West Germany",S2178)),"FR Germany",
ISNUMBER(SEARCH("Germany DR",S2178)),"DR Germany",
ISNUMBER(SEARCH("Korea DPR",S2178)),"North Korea",
ISNUMBER(SEARCH("China PR",S2178)),"China",
ISNUMBER(SEARCH("IR Iran",S2178)),"Iran",
ISNUMBER(SEARCH("Congo DR",S2178)),"Democratic Republic of the Congo",
ISNUMBER(SEARCH("DR Congo",S2178)),"Democratic Republic of the Congo",
ISNUMBER(SEARCH("German DR",S2178)),"DR Germany",
ISNUMBER(SEARCH("rn""&gt;United Arab Emirates",S2178)),"United Arab Emirates",
ISNUMBER(SEARCH("rn""&gt;Republic of Ireland",S2178)),"Ireland",
ISNUMBER(SEARCH("rn""&gt;Bosnia and Herzegovina",S2178)),"Bosnia and Herzegovina",
ISNUMBER(SEARCH("rn""&gt;Trinidad and Tobago",S2178)),"Trinidad and Tobago",
ISNUMBER(SEARCH("rn""&gt;Serbia and Montenegro",S2178)),"Serbia and Montenegro",
ISNUMBER(SEARCH(_xlfn.UNICHAR(65533),S2178)),"Côte d'Ivoire",
TRUE,""
)</f>
        <v/>
      </c>
      <c r="W2178" s="12" t="str">
        <f t="shared" si="165"/>
        <v>Colombia</v>
      </c>
    </row>
    <row r="2179" spans="2:23">
      <c r="B2179" s="76" t="str">
        <v>1994.0</v>
      </c>
      <c r="C2179" s="42" t="str">
        <v xml:space="preserve">27 Jun 1994 - 16:00 </v>
      </c>
      <c r="D2179" s="42" t="str">
        <v>Group C</v>
      </c>
      <c r="E2179" s="42" t="str">
        <v>Cotton Bowl</v>
      </c>
      <c r="F2179" s="42" t="str">
        <v xml:space="preserve">Dallas </v>
      </c>
      <c r="G2179" s="42" t="str">
        <v>Germany</v>
      </c>
      <c r="H2179" s="42" t="str">
        <v>3.0</v>
      </c>
      <c r="I2179" s="42" t="str">
        <v>2.0</v>
      </c>
      <c r="J2179" s="42" t="str">
        <v>Korea Republic</v>
      </c>
      <c r="K2179" s="42" t="str">
        <v xml:space="preserve"> </v>
      </c>
      <c r="L2179" s="42" t="str">
        <f t="shared" si="162"/>
        <v xml:space="preserve">1994.0|27 Jun 1994 - 16:00 |Group C|Cotton Bowl|Dallas |Germany|3.0|2.0|Korea Republic| </v>
      </c>
      <c r="M2179" s="42" t="str">
        <f>IF(COUNTIF($L$1689:L2179,L2179)&gt;1,"DOUBLON","OK")</f>
        <v>OK</v>
      </c>
      <c r="S2179" s="12" t="str">
        <v>Colombia</v>
      </c>
      <c r="T2179" s="12" t="str">
        <f t="shared" si="163"/>
        <v>OK</v>
      </c>
      <c r="U2179" s="12" t="str">
        <f t="shared" si="164"/>
        <v>-</v>
      </c>
      <c r="V2179" s="12" t="str" cm="1">
        <f t="array" ref="V2179">_xlfn.IFS(
ISNUMBER(SEARCH("USA",S2179)),"United States",
ISNUMBER(SEARCH("Republic of Ireland",S2179)),"Ireland",
ISNUMBER(SEARCH("Republic of Korea",S2179)),"South Korea",
ISNUMBER(SEARCH("Cape Verde",S2179)),"Cabo Verde",
ISNUMBER(SEARCH("Czechia",S2179)),"Czech Republic",
ISNUMBER(SEARCH("Türkiye",S2179)),"Turkey",
ISNUMBER(SEARCH("Ivory Coast",S2179)),"Côte d'Ivoire",
ISNUMBER(SEARCH("Korea Republic",S2179)),"South Korea",
ISNUMBER(SEARCH("Germany FR",S2179)),"FR Germany",
ISNUMBER(SEARCH("West Germany",S2179)),"FR Germany",
ISNUMBER(SEARCH("Germany DR",S2179)),"DR Germany",
ISNUMBER(SEARCH("Korea DPR",S2179)),"North Korea",
ISNUMBER(SEARCH("China PR",S2179)),"China",
ISNUMBER(SEARCH("IR Iran",S2179)),"Iran",
ISNUMBER(SEARCH("Congo DR",S2179)),"Democratic Republic of the Congo",
ISNUMBER(SEARCH("DR Congo",S2179)),"Democratic Republic of the Congo",
ISNUMBER(SEARCH("German DR",S2179)),"DR Germany",
ISNUMBER(SEARCH("rn""&gt;United Arab Emirates",S2179)),"United Arab Emirates",
ISNUMBER(SEARCH("rn""&gt;Republic of Ireland",S2179)),"Ireland",
ISNUMBER(SEARCH("rn""&gt;Bosnia and Herzegovina",S2179)),"Bosnia and Herzegovina",
ISNUMBER(SEARCH("rn""&gt;Trinidad and Tobago",S2179)),"Trinidad and Tobago",
ISNUMBER(SEARCH("rn""&gt;Serbia and Montenegro",S2179)),"Serbia and Montenegro",
ISNUMBER(SEARCH(_xlfn.UNICHAR(65533),S2179)),"Côte d'Ivoire",
TRUE,""
)</f>
        <v/>
      </c>
      <c r="W2179" s="12" t="str">
        <f t="shared" si="165"/>
        <v>Colombia</v>
      </c>
    </row>
    <row r="2180" spans="2:23">
      <c r="B2180" s="76" t="str">
        <v>1994.0</v>
      </c>
      <c r="C2180" s="42" t="str">
        <v xml:space="preserve">27 Jun 1994 - 16:00 </v>
      </c>
      <c r="D2180" s="42" t="str">
        <v>Group C</v>
      </c>
      <c r="E2180" s="42" t="str">
        <v>Soldier Field</v>
      </c>
      <c r="F2180" s="42" t="str">
        <v xml:space="preserve">Chicago </v>
      </c>
      <c r="G2180" s="42" t="str">
        <v>Bolivia</v>
      </c>
      <c r="H2180" s="42" t="str">
        <v>1.0</v>
      </c>
      <c r="I2180" s="42" t="str">
        <v>3.0</v>
      </c>
      <c r="J2180" s="42" t="str">
        <v>Spain</v>
      </c>
      <c r="K2180" s="42" t="str">
        <v xml:space="preserve"> </v>
      </c>
      <c r="L2180" s="42" t="str">
        <f t="shared" si="162"/>
        <v xml:space="preserve">1994.0|27 Jun 1994 - 16:00 |Group C|Soldier Field|Chicago |Bolivia|1.0|3.0|Spain| </v>
      </c>
      <c r="M2180" s="42" t="str">
        <f>IF(COUNTIF($L$1689:L2180,L2180)&gt;1,"DOUBLON","OK")</f>
        <v>OK</v>
      </c>
      <c r="S2180" s="12" t="str">
        <v>Colombia</v>
      </c>
      <c r="T2180" s="12" t="str">
        <f t="shared" si="163"/>
        <v>OK</v>
      </c>
      <c r="U2180" s="12" t="str">
        <f t="shared" si="164"/>
        <v>-</v>
      </c>
      <c r="V2180" s="12" t="str" cm="1">
        <f t="array" ref="V2180">_xlfn.IFS(
ISNUMBER(SEARCH("USA",S2180)),"United States",
ISNUMBER(SEARCH("Republic of Ireland",S2180)),"Ireland",
ISNUMBER(SEARCH("Republic of Korea",S2180)),"South Korea",
ISNUMBER(SEARCH("Cape Verde",S2180)),"Cabo Verde",
ISNUMBER(SEARCH("Czechia",S2180)),"Czech Republic",
ISNUMBER(SEARCH("Türkiye",S2180)),"Turkey",
ISNUMBER(SEARCH("Ivory Coast",S2180)),"Côte d'Ivoire",
ISNUMBER(SEARCH("Korea Republic",S2180)),"South Korea",
ISNUMBER(SEARCH("Germany FR",S2180)),"FR Germany",
ISNUMBER(SEARCH("West Germany",S2180)),"FR Germany",
ISNUMBER(SEARCH("Germany DR",S2180)),"DR Germany",
ISNUMBER(SEARCH("Korea DPR",S2180)),"North Korea",
ISNUMBER(SEARCH("China PR",S2180)),"China",
ISNUMBER(SEARCH("IR Iran",S2180)),"Iran",
ISNUMBER(SEARCH("Congo DR",S2180)),"Democratic Republic of the Congo",
ISNUMBER(SEARCH("DR Congo",S2180)),"Democratic Republic of the Congo",
ISNUMBER(SEARCH("German DR",S2180)),"DR Germany",
ISNUMBER(SEARCH("rn""&gt;United Arab Emirates",S2180)),"United Arab Emirates",
ISNUMBER(SEARCH("rn""&gt;Republic of Ireland",S2180)),"Ireland",
ISNUMBER(SEARCH("rn""&gt;Bosnia and Herzegovina",S2180)),"Bosnia and Herzegovina",
ISNUMBER(SEARCH("rn""&gt;Trinidad and Tobago",S2180)),"Trinidad and Tobago",
ISNUMBER(SEARCH("rn""&gt;Serbia and Montenegro",S2180)),"Serbia and Montenegro",
ISNUMBER(SEARCH(_xlfn.UNICHAR(65533),S2180)),"Côte d'Ivoire",
TRUE,""
)</f>
        <v/>
      </c>
      <c r="W2180" s="12" t="str">
        <f t="shared" si="165"/>
        <v>Colombia</v>
      </c>
    </row>
    <row r="2181" spans="2:23">
      <c r="B2181" s="76" t="str">
        <v>1994.0</v>
      </c>
      <c r="C2181" s="42" t="str">
        <v xml:space="preserve">28 Jun 1994 - 12:30 </v>
      </c>
      <c r="D2181" s="42" t="str">
        <v>Group E</v>
      </c>
      <c r="E2181" s="42" t="str">
        <v>Giants Stadium</v>
      </c>
      <c r="F2181" s="42" t="str">
        <v xml:space="preserve">New York/New Jersey </v>
      </c>
      <c r="G2181" s="42" t="str">
        <v>rn"&gt;Republic of Ireland</v>
      </c>
      <c r="H2181" s="42" t="str">
        <v>0.0</v>
      </c>
      <c r="I2181" s="42" t="str">
        <v>0.0</v>
      </c>
      <c r="J2181" s="42" t="str">
        <v>Norway</v>
      </c>
      <c r="K2181" s="42" t="str">
        <v xml:space="preserve"> </v>
      </c>
      <c r="L2181" s="42" t="str">
        <f t="shared" si="162"/>
        <v xml:space="preserve">1994.0|28 Jun 1994 - 12:30 |Group E|Giants Stadium|New York/New Jersey |rn"&gt;Republic of Ireland|0.0|0.0|Norway| </v>
      </c>
      <c r="M2181" s="42" t="str">
        <f>IF(COUNTIF($L$1689:L2181,L2181)&gt;1,"DOUBLON","OK")</f>
        <v>OK</v>
      </c>
      <c r="S2181" s="12" t="str">
        <v>Colombia</v>
      </c>
      <c r="T2181" s="12" t="str">
        <f t="shared" si="163"/>
        <v>OK</v>
      </c>
      <c r="U2181" s="12" t="str">
        <f t="shared" si="164"/>
        <v>-</v>
      </c>
      <c r="V2181" s="12" t="str" cm="1">
        <f t="array" ref="V2181">_xlfn.IFS(
ISNUMBER(SEARCH("USA",S2181)),"United States",
ISNUMBER(SEARCH("Republic of Ireland",S2181)),"Ireland",
ISNUMBER(SEARCH("Republic of Korea",S2181)),"South Korea",
ISNUMBER(SEARCH("Cape Verde",S2181)),"Cabo Verde",
ISNUMBER(SEARCH("Czechia",S2181)),"Czech Republic",
ISNUMBER(SEARCH("Türkiye",S2181)),"Turkey",
ISNUMBER(SEARCH("Ivory Coast",S2181)),"Côte d'Ivoire",
ISNUMBER(SEARCH("Korea Republic",S2181)),"South Korea",
ISNUMBER(SEARCH("Germany FR",S2181)),"FR Germany",
ISNUMBER(SEARCH("West Germany",S2181)),"FR Germany",
ISNUMBER(SEARCH("Germany DR",S2181)),"DR Germany",
ISNUMBER(SEARCH("Korea DPR",S2181)),"North Korea",
ISNUMBER(SEARCH("China PR",S2181)),"China",
ISNUMBER(SEARCH("IR Iran",S2181)),"Iran",
ISNUMBER(SEARCH("Congo DR",S2181)),"Democratic Republic of the Congo",
ISNUMBER(SEARCH("DR Congo",S2181)),"Democratic Republic of the Congo",
ISNUMBER(SEARCH("German DR",S2181)),"DR Germany",
ISNUMBER(SEARCH("rn""&gt;United Arab Emirates",S2181)),"United Arab Emirates",
ISNUMBER(SEARCH("rn""&gt;Republic of Ireland",S2181)),"Ireland",
ISNUMBER(SEARCH("rn""&gt;Bosnia and Herzegovina",S2181)),"Bosnia and Herzegovina",
ISNUMBER(SEARCH("rn""&gt;Trinidad and Tobago",S2181)),"Trinidad and Tobago",
ISNUMBER(SEARCH("rn""&gt;Serbia and Montenegro",S2181)),"Serbia and Montenegro",
ISNUMBER(SEARCH(_xlfn.UNICHAR(65533),S2181)),"Côte d'Ivoire",
TRUE,""
)</f>
        <v/>
      </c>
      <c r="W2181" s="12" t="str">
        <f t="shared" si="165"/>
        <v>Colombia</v>
      </c>
    </row>
    <row r="2182" spans="2:23">
      <c r="B2182" s="76" t="str">
        <v>1994.0</v>
      </c>
      <c r="C2182" s="42" t="str">
        <v xml:space="preserve">28 Jun 1994 - 16:00 </v>
      </c>
      <c r="D2182" s="42" t="str">
        <v>Group B</v>
      </c>
      <c r="E2182" s="42" t="str">
        <v>Pontiac Silverdome</v>
      </c>
      <c r="F2182" s="42" t="str">
        <v xml:space="preserve">Detroit </v>
      </c>
      <c r="G2182" s="42" t="str">
        <v>Brazil</v>
      </c>
      <c r="H2182" s="42" t="str">
        <v>1.0</v>
      </c>
      <c r="I2182" s="42" t="str">
        <v>1.0</v>
      </c>
      <c r="J2182" s="42" t="str">
        <v>Sweden</v>
      </c>
      <c r="K2182" s="42" t="str">
        <v xml:space="preserve"> </v>
      </c>
      <c r="L2182" s="42" t="str">
        <f t="shared" si="162"/>
        <v xml:space="preserve">1994.0|28 Jun 1994 - 16:00 |Group B|Pontiac Silverdome|Detroit |Brazil|1.0|1.0|Sweden| </v>
      </c>
      <c r="M2182" s="42" t="str">
        <f>IF(COUNTIF($L$1689:L2182,L2182)&gt;1,"DOUBLON","OK")</f>
        <v>OK</v>
      </c>
      <c r="S2182" s="12" t="str">
        <v>Colombia</v>
      </c>
      <c r="T2182" s="12" t="str">
        <f t="shared" si="163"/>
        <v>OK</v>
      </c>
      <c r="U2182" s="12" t="str">
        <f t="shared" si="164"/>
        <v>-</v>
      </c>
      <c r="V2182" s="12" t="str" cm="1">
        <f t="array" ref="V2182">_xlfn.IFS(
ISNUMBER(SEARCH("USA",S2182)),"United States",
ISNUMBER(SEARCH("Republic of Ireland",S2182)),"Ireland",
ISNUMBER(SEARCH("Republic of Korea",S2182)),"South Korea",
ISNUMBER(SEARCH("Cape Verde",S2182)),"Cabo Verde",
ISNUMBER(SEARCH("Czechia",S2182)),"Czech Republic",
ISNUMBER(SEARCH("Türkiye",S2182)),"Turkey",
ISNUMBER(SEARCH("Ivory Coast",S2182)),"Côte d'Ivoire",
ISNUMBER(SEARCH("Korea Republic",S2182)),"South Korea",
ISNUMBER(SEARCH("Germany FR",S2182)),"FR Germany",
ISNUMBER(SEARCH("West Germany",S2182)),"FR Germany",
ISNUMBER(SEARCH("Germany DR",S2182)),"DR Germany",
ISNUMBER(SEARCH("Korea DPR",S2182)),"North Korea",
ISNUMBER(SEARCH("China PR",S2182)),"China",
ISNUMBER(SEARCH("IR Iran",S2182)),"Iran",
ISNUMBER(SEARCH("Congo DR",S2182)),"Democratic Republic of the Congo",
ISNUMBER(SEARCH("DR Congo",S2182)),"Democratic Republic of the Congo",
ISNUMBER(SEARCH("German DR",S2182)),"DR Germany",
ISNUMBER(SEARCH("rn""&gt;United Arab Emirates",S2182)),"United Arab Emirates",
ISNUMBER(SEARCH("rn""&gt;Republic of Ireland",S2182)),"Ireland",
ISNUMBER(SEARCH("rn""&gt;Bosnia and Herzegovina",S2182)),"Bosnia and Herzegovina",
ISNUMBER(SEARCH("rn""&gt;Trinidad and Tobago",S2182)),"Trinidad and Tobago",
ISNUMBER(SEARCH("rn""&gt;Serbia and Montenegro",S2182)),"Serbia and Montenegro",
ISNUMBER(SEARCH(_xlfn.UNICHAR(65533),S2182)),"Côte d'Ivoire",
TRUE,""
)</f>
        <v/>
      </c>
      <c r="W2182" s="12" t="str">
        <f t="shared" si="165"/>
        <v>Colombia</v>
      </c>
    </row>
    <row r="2183" spans="2:23">
      <c r="B2183" s="76" t="str">
        <v>1994.0</v>
      </c>
      <c r="C2183" s="42" t="str">
        <v xml:space="preserve">28 Jun 1994 - 12:30 </v>
      </c>
      <c r="D2183" s="42" t="str">
        <v>Group E</v>
      </c>
      <c r="E2183" s="42" t="str">
        <v>RFK Stadium</v>
      </c>
      <c r="F2183" s="42" t="str">
        <v xml:space="preserve">Washington Dc </v>
      </c>
      <c r="G2183" s="42" t="str">
        <v>Italy</v>
      </c>
      <c r="H2183" s="42" t="str">
        <v>1.0</v>
      </c>
      <c r="I2183" s="42" t="str">
        <v>1.0</v>
      </c>
      <c r="J2183" s="42" t="str">
        <v>Mexico</v>
      </c>
      <c r="K2183" s="42" t="str">
        <v xml:space="preserve"> </v>
      </c>
      <c r="L2183" s="42" t="str">
        <f t="shared" si="162"/>
        <v xml:space="preserve">1994.0|28 Jun 1994 - 12:30 |Group E|RFK Stadium|Washington Dc |Italy|1.0|1.0|Mexico| </v>
      </c>
      <c r="M2183" s="42" t="str">
        <f>IF(COUNTIF($L$1689:L2183,L2183)&gt;1,"DOUBLON","OK")</f>
        <v>OK</v>
      </c>
      <c r="S2183" s="12" t="str">
        <v>Colombia</v>
      </c>
      <c r="T2183" s="12" t="str">
        <f t="shared" si="163"/>
        <v>OK</v>
      </c>
      <c r="U2183" s="12" t="str">
        <f t="shared" si="164"/>
        <v>-</v>
      </c>
      <c r="V2183" s="12" t="str" cm="1">
        <f t="array" ref="V2183">_xlfn.IFS(
ISNUMBER(SEARCH("USA",S2183)),"United States",
ISNUMBER(SEARCH("Republic of Ireland",S2183)),"Ireland",
ISNUMBER(SEARCH("Republic of Korea",S2183)),"South Korea",
ISNUMBER(SEARCH("Cape Verde",S2183)),"Cabo Verde",
ISNUMBER(SEARCH("Czechia",S2183)),"Czech Republic",
ISNUMBER(SEARCH("Türkiye",S2183)),"Turkey",
ISNUMBER(SEARCH("Ivory Coast",S2183)),"Côte d'Ivoire",
ISNUMBER(SEARCH("Korea Republic",S2183)),"South Korea",
ISNUMBER(SEARCH("Germany FR",S2183)),"FR Germany",
ISNUMBER(SEARCH("West Germany",S2183)),"FR Germany",
ISNUMBER(SEARCH("Germany DR",S2183)),"DR Germany",
ISNUMBER(SEARCH("Korea DPR",S2183)),"North Korea",
ISNUMBER(SEARCH("China PR",S2183)),"China",
ISNUMBER(SEARCH("IR Iran",S2183)),"Iran",
ISNUMBER(SEARCH("Congo DR",S2183)),"Democratic Republic of the Congo",
ISNUMBER(SEARCH("DR Congo",S2183)),"Democratic Republic of the Congo",
ISNUMBER(SEARCH("German DR",S2183)),"DR Germany",
ISNUMBER(SEARCH("rn""&gt;United Arab Emirates",S2183)),"United Arab Emirates",
ISNUMBER(SEARCH("rn""&gt;Republic of Ireland",S2183)),"Ireland",
ISNUMBER(SEARCH("rn""&gt;Bosnia and Herzegovina",S2183)),"Bosnia and Herzegovina",
ISNUMBER(SEARCH("rn""&gt;Trinidad and Tobago",S2183)),"Trinidad and Tobago",
ISNUMBER(SEARCH("rn""&gt;Serbia and Montenegro",S2183)),"Serbia and Montenegro",
ISNUMBER(SEARCH(_xlfn.UNICHAR(65533),S2183)),"Côte d'Ivoire",
TRUE,""
)</f>
        <v/>
      </c>
      <c r="W2183" s="12" t="str">
        <f t="shared" si="165"/>
        <v>Colombia</v>
      </c>
    </row>
    <row r="2184" spans="2:23">
      <c r="B2184" s="76" t="str">
        <v>1994.0</v>
      </c>
      <c r="C2184" s="42" t="str">
        <v xml:space="preserve">28 Jun 1994 - 16:00 </v>
      </c>
      <c r="D2184" s="42" t="str">
        <v>Group B</v>
      </c>
      <c r="E2184" s="42" t="str">
        <v>Stanford Stadium</v>
      </c>
      <c r="F2184" s="42" t="str">
        <v xml:space="preserve">San Francisco </v>
      </c>
      <c r="G2184" s="42" t="str">
        <v>Russia</v>
      </c>
      <c r="H2184" s="42" t="str">
        <v>6.0</v>
      </c>
      <c r="I2184" s="42" t="str">
        <v>1.0</v>
      </c>
      <c r="J2184" s="42" t="str">
        <v>Cameroon</v>
      </c>
      <c r="K2184" s="42" t="str">
        <v xml:space="preserve"> </v>
      </c>
      <c r="L2184" s="42" t="str">
        <f t="shared" si="162"/>
        <v xml:space="preserve">1994.0|28 Jun 1994 - 16:00 |Group B|Stanford Stadium|San Francisco |Russia|6.0|1.0|Cameroon| </v>
      </c>
      <c r="M2184" s="42" t="str">
        <f>IF(COUNTIF($L$1689:L2184,L2184)&gt;1,"DOUBLON","OK")</f>
        <v>OK</v>
      </c>
      <c r="S2184" s="12" t="str">
        <v>Colombia</v>
      </c>
      <c r="T2184" s="12" t="str">
        <f t="shared" si="163"/>
        <v>OK</v>
      </c>
      <c r="U2184" s="12" t="str">
        <f t="shared" si="164"/>
        <v>-</v>
      </c>
      <c r="V2184" s="12" t="str" cm="1">
        <f t="array" ref="V2184">_xlfn.IFS(
ISNUMBER(SEARCH("USA",S2184)),"United States",
ISNUMBER(SEARCH("Republic of Ireland",S2184)),"Ireland",
ISNUMBER(SEARCH("Republic of Korea",S2184)),"South Korea",
ISNUMBER(SEARCH("Cape Verde",S2184)),"Cabo Verde",
ISNUMBER(SEARCH("Czechia",S2184)),"Czech Republic",
ISNUMBER(SEARCH("Türkiye",S2184)),"Turkey",
ISNUMBER(SEARCH("Ivory Coast",S2184)),"Côte d'Ivoire",
ISNUMBER(SEARCH("Korea Republic",S2184)),"South Korea",
ISNUMBER(SEARCH("Germany FR",S2184)),"FR Germany",
ISNUMBER(SEARCH("West Germany",S2184)),"FR Germany",
ISNUMBER(SEARCH("Germany DR",S2184)),"DR Germany",
ISNUMBER(SEARCH("Korea DPR",S2184)),"North Korea",
ISNUMBER(SEARCH("China PR",S2184)),"China",
ISNUMBER(SEARCH("IR Iran",S2184)),"Iran",
ISNUMBER(SEARCH("Congo DR",S2184)),"Democratic Republic of the Congo",
ISNUMBER(SEARCH("DR Congo",S2184)),"Democratic Republic of the Congo",
ISNUMBER(SEARCH("German DR",S2184)),"DR Germany",
ISNUMBER(SEARCH("rn""&gt;United Arab Emirates",S2184)),"United Arab Emirates",
ISNUMBER(SEARCH("rn""&gt;Republic of Ireland",S2184)),"Ireland",
ISNUMBER(SEARCH("rn""&gt;Bosnia and Herzegovina",S2184)),"Bosnia and Herzegovina",
ISNUMBER(SEARCH("rn""&gt;Trinidad and Tobago",S2184)),"Trinidad and Tobago",
ISNUMBER(SEARCH("rn""&gt;Serbia and Montenegro",S2184)),"Serbia and Montenegro",
ISNUMBER(SEARCH(_xlfn.UNICHAR(65533),S2184)),"Côte d'Ivoire",
TRUE,""
)</f>
        <v/>
      </c>
      <c r="W2184" s="12" t="str">
        <f t="shared" si="165"/>
        <v>Colombia</v>
      </c>
    </row>
    <row r="2185" spans="2:23">
      <c r="B2185" s="76" t="str">
        <v>1994.0</v>
      </c>
      <c r="C2185" s="42" t="str">
        <v xml:space="preserve">29 Jun 1994 - 12:30 </v>
      </c>
      <c r="D2185" s="42" t="str">
        <v>Group F</v>
      </c>
      <c r="E2185" s="42" t="str">
        <v>Citrus Bowl</v>
      </c>
      <c r="F2185" s="42" t="str">
        <v xml:space="preserve">Orlando </v>
      </c>
      <c r="G2185" s="42" t="str">
        <v>Morocco</v>
      </c>
      <c r="H2185" s="42" t="str">
        <v>1.0</v>
      </c>
      <c r="I2185" s="42" t="str">
        <v>2.0</v>
      </c>
      <c r="J2185" s="42" t="str">
        <v>Netherlands</v>
      </c>
      <c r="K2185" s="42" t="str">
        <v xml:space="preserve"> </v>
      </c>
      <c r="L2185" s="42" t="str">
        <f t="shared" si="162"/>
        <v xml:space="preserve">1994.0|29 Jun 1994 - 12:30 |Group F|Citrus Bowl|Orlando |Morocco|1.0|2.0|Netherlands| </v>
      </c>
      <c r="M2185" s="42" t="str">
        <f>IF(COUNTIF($L$1689:L2185,L2185)&gt;1,"DOUBLON","OK")</f>
        <v>OK</v>
      </c>
      <c r="S2185" s="12" t="str">
        <v>Colombia</v>
      </c>
      <c r="T2185" s="12" t="str">
        <f t="shared" si="163"/>
        <v>OK</v>
      </c>
      <c r="U2185" s="12" t="str">
        <f t="shared" si="164"/>
        <v>-</v>
      </c>
      <c r="V2185" s="12" t="str" cm="1">
        <f t="array" ref="V2185">_xlfn.IFS(
ISNUMBER(SEARCH("USA",S2185)),"United States",
ISNUMBER(SEARCH("Republic of Ireland",S2185)),"Ireland",
ISNUMBER(SEARCH("Republic of Korea",S2185)),"South Korea",
ISNUMBER(SEARCH("Cape Verde",S2185)),"Cabo Verde",
ISNUMBER(SEARCH("Czechia",S2185)),"Czech Republic",
ISNUMBER(SEARCH("Türkiye",S2185)),"Turkey",
ISNUMBER(SEARCH("Ivory Coast",S2185)),"Côte d'Ivoire",
ISNUMBER(SEARCH("Korea Republic",S2185)),"South Korea",
ISNUMBER(SEARCH("Germany FR",S2185)),"FR Germany",
ISNUMBER(SEARCH("West Germany",S2185)),"FR Germany",
ISNUMBER(SEARCH("Germany DR",S2185)),"DR Germany",
ISNUMBER(SEARCH("Korea DPR",S2185)),"North Korea",
ISNUMBER(SEARCH("China PR",S2185)),"China",
ISNUMBER(SEARCH("IR Iran",S2185)),"Iran",
ISNUMBER(SEARCH("Congo DR",S2185)),"Democratic Republic of the Congo",
ISNUMBER(SEARCH("DR Congo",S2185)),"Democratic Republic of the Congo",
ISNUMBER(SEARCH("German DR",S2185)),"DR Germany",
ISNUMBER(SEARCH("rn""&gt;United Arab Emirates",S2185)),"United Arab Emirates",
ISNUMBER(SEARCH("rn""&gt;Republic of Ireland",S2185)),"Ireland",
ISNUMBER(SEARCH("rn""&gt;Bosnia and Herzegovina",S2185)),"Bosnia and Herzegovina",
ISNUMBER(SEARCH("rn""&gt;Trinidad and Tobago",S2185)),"Trinidad and Tobago",
ISNUMBER(SEARCH("rn""&gt;Serbia and Montenegro",S2185)),"Serbia and Montenegro",
ISNUMBER(SEARCH(_xlfn.UNICHAR(65533),S2185)),"Côte d'Ivoire",
TRUE,""
)</f>
        <v/>
      </c>
      <c r="W2185" s="12" t="str">
        <f t="shared" si="165"/>
        <v>Colombia</v>
      </c>
    </row>
    <row r="2186" spans="2:23">
      <c r="B2186" s="76" t="str">
        <v>1994.0</v>
      </c>
      <c r="C2186" s="42" t="str">
        <v xml:space="preserve">29 Jun 1994 - 12:30 </v>
      </c>
      <c r="D2186" s="42" t="str">
        <v>Group F</v>
      </c>
      <c r="E2186" s="42" t="str">
        <v>RFK Stadium</v>
      </c>
      <c r="F2186" s="42" t="str">
        <v xml:space="preserve">Washington Dc </v>
      </c>
      <c r="G2186" s="42" t="str">
        <v>Belgium</v>
      </c>
      <c r="H2186" s="42" t="str">
        <v>0.0</v>
      </c>
      <c r="I2186" s="42" t="str">
        <v>1.0</v>
      </c>
      <c r="J2186" s="42" t="str">
        <v>Saudi Arabia</v>
      </c>
      <c r="K2186" s="42" t="str">
        <v xml:space="preserve"> </v>
      </c>
      <c r="L2186" s="42" t="str">
        <f t="shared" si="162"/>
        <v xml:space="preserve">1994.0|29 Jun 1994 - 12:30 |Group F|RFK Stadium|Washington Dc |Belgium|0.0|1.0|Saudi Arabia| </v>
      </c>
      <c r="M2186" s="42" t="str">
        <f>IF(COUNTIF($L$1689:L2186,L2186)&gt;1,"DOUBLON","OK")</f>
        <v>OK</v>
      </c>
      <c r="S2186" s="12" t="str">
        <v>Colombia</v>
      </c>
      <c r="T2186" s="12" t="str">
        <f t="shared" si="163"/>
        <v>OK</v>
      </c>
      <c r="U2186" s="12" t="str">
        <f t="shared" si="164"/>
        <v>-</v>
      </c>
      <c r="V2186" s="12" t="str" cm="1">
        <f t="array" ref="V2186">_xlfn.IFS(
ISNUMBER(SEARCH("USA",S2186)),"United States",
ISNUMBER(SEARCH("Republic of Ireland",S2186)),"Ireland",
ISNUMBER(SEARCH("Republic of Korea",S2186)),"South Korea",
ISNUMBER(SEARCH("Cape Verde",S2186)),"Cabo Verde",
ISNUMBER(SEARCH("Czechia",S2186)),"Czech Republic",
ISNUMBER(SEARCH("Türkiye",S2186)),"Turkey",
ISNUMBER(SEARCH("Ivory Coast",S2186)),"Côte d'Ivoire",
ISNUMBER(SEARCH("Korea Republic",S2186)),"South Korea",
ISNUMBER(SEARCH("Germany FR",S2186)),"FR Germany",
ISNUMBER(SEARCH("West Germany",S2186)),"FR Germany",
ISNUMBER(SEARCH("Germany DR",S2186)),"DR Germany",
ISNUMBER(SEARCH("Korea DPR",S2186)),"North Korea",
ISNUMBER(SEARCH("China PR",S2186)),"China",
ISNUMBER(SEARCH("IR Iran",S2186)),"Iran",
ISNUMBER(SEARCH("Congo DR",S2186)),"Democratic Republic of the Congo",
ISNUMBER(SEARCH("DR Congo",S2186)),"Democratic Republic of the Congo",
ISNUMBER(SEARCH("German DR",S2186)),"DR Germany",
ISNUMBER(SEARCH("rn""&gt;United Arab Emirates",S2186)),"United Arab Emirates",
ISNUMBER(SEARCH("rn""&gt;Republic of Ireland",S2186)),"Ireland",
ISNUMBER(SEARCH("rn""&gt;Bosnia and Herzegovina",S2186)),"Bosnia and Herzegovina",
ISNUMBER(SEARCH("rn""&gt;Trinidad and Tobago",S2186)),"Trinidad and Tobago",
ISNUMBER(SEARCH("rn""&gt;Serbia and Montenegro",S2186)),"Serbia and Montenegro",
ISNUMBER(SEARCH(_xlfn.UNICHAR(65533),S2186)),"Côte d'Ivoire",
TRUE,""
)</f>
        <v/>
      </c>
      <c r="W2186" s="12" t="str">
        <f t="shared" si="165"/>
        <v>Colombia</v>
      </c>
    </row>
    <row r="2187" spans="2:23">
      <c r="B2187" s="76" t="str">
        <v>1994.0</v>
      </c>
      <c r="C2187" s="42" t="str">
        <v xml:space="preserve">30 Jun 1994 - 19:30 </v>
      </c>
      <c r="D2187" s="42" t="str">
        <v>Group D</v>
      </c>
      <c r="E2187" s="42" t="str">
        <v>Foxboro Stadium</v>
      </c>
      <c r="F2187" s="42" t="str">
        <v xml:space="preserve">Boston </v>
      </c>
      <c r="G2187" s="42" t="str">
        <v>Greece</v>
      </c>
      <c r="H2187" s="42" t="str">
        <v>0.0</v>
      </c>
      <c r="I2187" s="42" t="str">
        <v>2.0</v>
      </c>
      <c r="J2187" s="42" t="str">
        <v>Nigeria</v>
      </c>
      <c r="K2187" s="42" t="str">
        <v xml:space="preserve"> </v>
      </c>
      <c r="L2187" s="42" t="str">
        <f t="shared" si="162"/>
        <v xml:space="preserve">1994.0|30 Jun 1994 - 19:30 |Group D|Foxboro Stadium|Boston |Greece|0.0|2.0|Nigeria| </v>
      </c>
      <c r="M2187" s="42" t="str">
        <f>IF(COUNTIF($L$1689:L2187,L2187)&gt;1,"DOUBLON","OK")</f>
        <v>OK</v>
      </c>
      <c r="S2187" s="12" t="str">
        <v>DR Congo</v>
      </c>
      <c r="T2187" s="12" t="str">
        <f t="shared" si="163"/>
        <v>ERREUR</v>
      </c>
      <c r="U2187" s="12" t="str">
        <f t="shared" si="164"/>
        <v>RENOMMER</v>
      </c>
      <c r="V2187" s="12" t="str" cm="1">
        <f t="array" ref="V2187">_xlfn.IFS(
ISNUMBER(SEARCH("USA",S2187)),"United States",
ISNUMBER(SEARCH("Republic of Ireland",S2187)),"Ireland",
ISNUMBER(SEARCH("Republic of Korea",S2187)),"South Korea",
ISNUMBER(SEARCH("Cape Verde",S2187)),"Cabo Verde",
ISNUMBER(SEARCH("Czechia",S2187)),"Czech Republic",
ISNUMBER(SEARCH("Türkiye",S2187)),"Turkey",
ISNUMBER(SEARCH("Ivory Coast",S2187)),"Côte d'Ivoire",
ISNUMBER(SEARCH("Korea Republic",S2187)),"South Korea",
ISNUMBER(SEARCH("Germany FR",S2187)),"FR Germany",
ISNUMBER(SEARCH("West Germany",S2187)),"FR Germany",
ISNUMBER(SEARCH("Germany DR",S2187)),"DR Germany",
ISNUMBER(SEARCH("Korea DPR",S2187)),"North Korea",
ISNUMBER(SEARCH("China PR",S2187)),"China",
ISNUMBER(SEARCH("IR Iran",S2187)),"Iran",
ISNUMBER(SEARCH("Congo DR",S2187)),"Democratic Republic of the Congo",
ISNUMBER(SEARCH("DR Congo",S2187)),"Democratic Republic of the Congo",
ISNUMBER(SEARCH("German DR",S2187)),"DR Germany",
ISNUMBER(SEARCH("rn""&gt;United Arab Emirates",S2187)),"United Arab Emirates",
ISNUMBER(SEARCH("rn""&gt;Republic of Ireland",S2187)),"Ireland",
ISNUMBER(SEARCH("rn""&gt;Bosnia and Herzegovina",S2187)),"Bosnia and Herzegovina",
ISNUMBER(SEARCH("rn""&gt;Trinidad and Tobago",S2187)),"Trinidad and Tobago",
ISNUMBER(SEARCH("rn""&gt;Serbia and Montenegro",S2187)),"Serbia and Montenegro",
ISNUMBER(SEARCH(_xlfn.UNICHAR(65533),S2187)),"Côte d'Ivoire",
TRUE,""
)</f>
        <v>Democratic Republic of the Congo</v>
      </c>
      <c r="W2187" s="12" t="str">
        <f t="shared" si="165"/>
        <v>Democratic Republic of the Congo</v>
      </c>
    </row>
    <row r="2188" spans="2:23">
      <c r="B2188" s="76" t="str">
        <v>1994.0</v>
      </c>
      <c r="C2188" s="42" t="str">
        <v xml:space="preserve">30 Jun 1994 - 19:30 </v>
      </c>
      <c r="D2188" s="42" t="str">
        <v>Group D</v>
      </c>
      <c r="E2188" s="42" t="str">
        <v>Cotton Bowl</v>
      </c>
      <c r="F2188" s="42" t="str">
        <v xml:space="preserve">Dallas </v>
      </c>
      <c r="G2188" s="42" t="str">
        <v>Argentina</v>
      </c>
      <c r="H2188" s="42" t="str">
        <v>0.0</v>
      </c>
      <c r="I2188" s="42" t="str">
        <v>2.0</v>
      </c>
      <c r="J2188" s="42" t="str">
        <v>Bulgaria</v>
      </c>
      <c r="K2188" s="42" t="str">
        <v xml:space="preserve"> </v>
      </c>
      <c r="L2188" s="42" t="str">
        <f t="shared" si="162"/>
        <v xml:space="preserve">1994.0|30 Jun 1994 - 19:30 |Group D|Cotton Bowl|Dallas |Argentina|0.0|2.0|Bulgaria| </v>
      </c>
      <c r="M2188" s="42" t="str">
        <f>IF(COUNTIF($L$1689:L2188,L2188)&gt;1,"DOUBLON","OK")</f>
        <v>OK</v>
      </c>
      <c r="S2188" s="12" t="str">
        <v>DR Congo</v>
      </c>
      <c r="T2188" s="12" t="str">
        <f t="shared" si="163"/>
        <v>ERREUR</v>
      </c>
      <c r="U2188" s="12" t="str">
        <f t="shared" si="164"/>
        <v>RENOMMER</v>
      </c>
      <c r="V2188" s="12" t="str" cm="1">
        <f t="array" ref="V2188">_xlfn.IFS(
ISNUMBER(SEARCH("USA",S2188)),"United States",
ISNUMBER(SEARCH("Republic of Ireland",S2188)),"Ireland",
ISNUMBER(SEARCH("Republic of Korea",S2188)),"South Korea",
ISNUMBER(SEARCH("Cape Verde",S2188)),"Cabo Verde",
ISNUMBER(SEARCH("Czechia",S2188)),"Czech Republic",
ISNUMBER(SEARCH("Türkiye",S2188)),"Turkey",
ISNUMBER(SEARCH("Ivory Coast",S2188)),"Côte d'Ivoire",
ISNUMBER(SEARCH("Korea Republic",S2188)),"South Korea",
ISNUMBER(SEARCH("Germany FR",S2188)),"FR Germany",
ISNUMBER(SEARCH("West Germany",S2188)),"FR Germany",
ISNUMBER(SEARCH("Germany DR",S2188)),"DR Germany",
ISNUMBER(SEARCH("Korea DPR",S2188)),"North Korea",
ISNUMBER(SEARCH("China PR",S2188)),"China",
ISNUMBER(SEARCH("IR Iran",S2188)),"Iran",
ISNUMBER(SEARCH("Congo DR",S2188)),"Democratic Republic of the Congo",
ISNUMBER(SEARCH("DR Congo",S2188)),"Democratic Republic of the Congo",
ISNUMBER(SEARCH("German DR",S2188)),"DR Germany",
ISNUMBER(SEARCH("rn""&gt;United Arab Emirates",S2188)),"United Arab Emirates",
ISNUMBER(SEARCH("rn""&gt;Republic of Ireland",S2188)),"Ireland",
ISNUMBER(SEARCH("rn""&gt;Bosnia and Herzegovina",S2188)),"Bosnia and Herzegovina",
ISNUMBER(SEARCH("rn""&gt;Trinidad and Tobago",S2188)),"Trinidad and Tobago",
ISNUMBER(SEARCH("rn""&gt;Serbia and Montenegro",S2188)),"Serbia and Montenegro",
ISNUMBER(SEARCH(_xlfn.UNICHAR(65533),S2188)),"Côte d'Ivoire",
TRUE,""
)</f>
        <v>Democratic Republic of the Congo</v>
      </c>
      <c r="W2188" s="12" t="str">
        <f t="shared" si="165"/>
        <v>Democratic Republic of the Congo</v>
      </c>
    </row>
    <row r="2189" spans="2:23">
      <c r="B2189" s="76" t="str">
        <v>1994.0</v>
      </c>
      <c r="C2189" s="42" t="str">
        <v xml:space="preserve">02 Jul 1994 - 12:00 </v>
      </c>
      <c r="D2189" s="42" t="str">
        <v>Round of 16</v>
      </c>
      <c r="E2189" s="42" t="str">
        <v>Soldier Field</v>
      </c>
      <c r="F2189" s="42" t="str">
        <v xml:space="preserve">Chicago </v>
      </c>
      <c r="G2189" s="42" t="str">
        <v>Germany</v>
      </c>
      <c r="H2189" s="42" t="str">
        <v>3.0</v>
      </c>
      <c r="I2189" s="42" t="str">
        <v>2.0</v>
      </c>
      <c r="J2189" s="42" t="str">
        <v>Belgium</v>
      </c>
      <c r="K2189" s="42" t="str">
        <v xml:space="preserve"> </v>
      </c>
      <c r="L2189" s="42" t="str">
        <f t="shared" si="162"/>
        <v xml:space="preserve">1994.0|02 Jul 1994 - 12:00 |Round of 16|Soldier Field|Chicago |Germany|3.0|2.0|Belgium| </v>
      </c>
      <c r="M2189" s="42" t="str">
        <f>IF(COUNTIF($L$1689:L2189,L2189)&gt;1,"DOUBLON","OK")</f>
        <v>OK</v>
      </c>
      <c r="S2189" s="12" t="str">
        <v>DR Congo</v>
      </c>
      <c r="T2189" s="12" t="str">
        <f t="shared" si="163"/>
        <v>ERREUR</v>
      </c>
      <c r="U2189" s="12" t="str">
        <f t="shared" si="164"/>
        <v>RENOMMER</v>
      </c>
      <c r="V2189" s="12" t="str" cm="1">
        <f t="array" ref="V2189">_xlfn.IFS(
ISNUMBER(SEARCH("USA",S2189)),"United States",
ISNUMBER(SEARCH("Republic of Ireland",S2189)),"Ireland",
ISNUMBER(SEARCH("Republic of Korea",S2189)),"South Korea",
ISNUMBER(SEARCH("Cape Verde",S2189)),"Cabo Verde",
ISNUMBER(SEARCH("Czechia",S2189)),"Czech Republic",
ISNUMBER(SEARCH("Türkiye",S2189)),"Turkey",
ISNUMBER(SEARCH("Ivory Coast",S2189)),"Côte d'Ivoire",
ISNUMBER(SEARCH("Korea Republic",S2189)),"South Korea",
ISNUMBER(SEARCH("Germany FR",S2189)),"FR Germany",
ISNUMBER(SEARCH("West Germany",S2189)),"FR Germany",
ISNUMBER(SEARCH("Germany DR",S2189)),"DR Germany",
ISNUMBER(SEARCH("Korea DPR",S2189)),"North Korea",
ISNUMBER(SEARCH("China PR",S2189)),"China",
ISNUMBER(SEARCH("IR Iran",S2189)),"Iran",
ISNUMBER(SEARCH("Congo DR",S2189)),"Democratic Republic of the Congo",
ISNUMBER(SEARCH("DR Congo",S2189)),"Democratic Republic of the Congo",
ISNUMBER(SEARCH("German DR",S2189)),"DR Germany",
ISNUMBER(SEARCH("rn""&gt;United Arab Emirates",S2189)),"United Arab Emirates",
ISNUMBER(SEARCH("rn""&gt;Republic of Ireland",S2189)),"Ireland",
ISNUMBER(SEARCH("rn""&gt;Bosnia and Herzegovina",S2189)),"Bosnia and Herzegovina",
ISNUMBER(SEARCH("rn""&gt;Trinidad and Tobago",S2189)),"Trinidad and Tobago",
ISNUMBER(SEARCH("rn""&gt;Serbia and Montenegro",S2189)),"Serbia and Montenegro",
ISNUMBER(SEARCH(_xlfn.UNICHAR(65533),S2189)),"Côte d'Ivoire",
TRUE,""
)</f>
        <v>Democratic Republic of the Congo</v>
      </c>
      <c r="W2189" s="12" t="str">
        <f t="shared" si="165"/>
        <v>Democratic Republic of the Congo</v>
      </c>
    </row>
    <row r="2190" spans="2:23">
      <c r="B2190" s="76" t="str">
        <v>1994.0</v>
      </c>
      <c r="C2190" s="42" t="str">
        <v xml:space="preserve">02 Jul 1994 - 16:30 </v>
      </c>
      <c r="D2190" s="42" t="str">
        <v>Round of 16</v>
      </c>
      <c r="E2190" s="42" t="str">
        <v>RFK Stadium</v>
      </c>
      <c r="F2190" s="42" t="str">
        <v xml:space="preserve">Washington Dc </v>
      </c>
      <c r="G2190" s="42" t="str">
        <v>Spain</v>
      </c>
      <c r="H2190" s="42" t="str">
        <v>3.0</v>
      </c>
      <c r="I2190" s="42" t="str">
        <v>0.0</v>
      </c>
      <c r="J2190" s="42" t="str">
        <v>Switzerland</v>
      </c>
      <c r="K2190" s="42" t="str">
        <v xml:space="preserve"> </v>
      </c>
      <c r="L2190" s="42" t="str">
        <f t="shared" si="162"/>
        <v xml:space="preserve">1994.0|02 Jul 1994 - 16:30 |Round of 16|RFK Stadium|Washington Dc |Spain|3.0|0.0|Switzerland| </v>
      </c>
      <c r="M2190" s="42" t="str">
        <f>IF(COUNTIF($L$1689:L2190,L2190)&gt;1,"DOUBLON","OK")</f>
        <v>OK</v>
      </c>
      <c r="S2190" s="12" t="str">
        <v>DR Congo</v>
      </c>
      <c r="T2190" s="12" t="str">
        <f t="shared" si="163"/>
        <v>ERREUR</v>
      </c>
      <c r="U2190" s="12" t="str">
        <f t="shared" si="164"/>
        <v>RENOMMER</v>
      </c>
      <c r="V2190" s="12" t="str" cm="1">
        <f t="array" ref="V2190">_xlfn.IFS(
ISNUMBER(SEARCH("USA",S2190)),"United States",
ISNUMBER(SEARCH("Republic of Ireland",S2190)),"Ireland",
ISNUMBER(SEARCH("Republic of Korea",S2190)),"South Korea",
ISNUMBER(SEARCH("Cape Verde",S2190)),"Cabo Verde",
ISNUMBER(SEARCH("Czechia",S2190)),"Czech Republic",
ISNUMBER(SEARCH("Türkiye",S2190)),"Turkey",
ISNUMBER(SEARCH("Ivory Coast",S2190)),"Côte d'Ivoire",
ISNUMBER(SEARCH("Korea Republic",S2190)),"South Korea",
ISNUMBER(SEARCH("Germany FR",S2190)),"FR Germany",
ISNUMBER(SEARCH("West Germany",S2190)),"FR Germany",
ISNUMBER(SEARCH("Germany DR",S2190)),"DR Germany",
ISNUMBER(SEARCH("Korea DPR",S2190)),"North Korea",
ISNUMBER(SEARCH("China PR",S2190)),"China",
ISNUMBER(SEARCH("IR Iran",S2190)),"Iran",
ISNUMBER(SEARCH("Congo DR",S2190)),"Democratic Republic of the Congo",
ISNUMBER(SEARCH("DR Congo",S2190)),"Democratic Republic of the Congo",
ISNUMBER(SEARCH("German DR",S2190)),"DR Germany",
ISNUMBER(SEARCH("rn""&gt;United Arab Emirates",S2190)),"United Arab Emirates",
ISNUMBER(SEARCH("rn""&gt;Republic of Ireland",S2190)),"Ireland",
ISNUMBER(SEARCH("rn""&gt;Bosnia and Herzegovina",S2190)),"Bosnia and Herzegovina",
ISNUMBER(SEARCH("rn""&gt;Trinidad and Tobago",S2190)),"Trinidad and Tobago",
ISNUMBER(SEARCH("rn""&gt;Serbia and Montenegro",S2190)),"Serbia and Montenegro",
ISNUMBER(SEARCH(_xlfn.UNICHAR(65533),S2190)),"Côte d'Ivoire",
TRUE,""
)</f>
        <v>Democratic Republic of the Congo</v>
      </c>
      <c r="W2190" s="12" t="str">
        <f t="shared" si="165"/>
        <v>Democratic Republic of the Congo</v>
      </c>
    </row>
    <row r="2191" spans="2:23">
      <c r="B2191" s="76" t="str">
        <v>1994.0</v>
      </c>
      <c r="C2191" s="42" t="str">
        <v xml:space="preserve">03 Jul 1994 - 12:00 </v>
      </c>
      <c r="D2191" s="42" t="str">
        <v>Round of 16</v>
      </c>
      <c r="E2191" s="42" t="str">
        <v>Cotton Bowl</v>
      </c>
      <c r="F2191" s="42" t="str">
        <v xml:space="preserve">Dallas </v>
      </c>
      <c r="G2191" s="42" t="str">
        <v>Saudi Arabia</v>
      </c>
      <c r="H2191" s="42" t="str">
        <v>1.0</v>
      </c>
      <c r="I2191" s="42" t="str">
        <v>3.0</v>
      </c>
      <c r="J2191" s="42" t="str">
        <v>Sweden</v>
      </c>
      <c r="K2191" s="42" t="str">
        <v xml:space="preserve"> </v>
      </c>
      <c r="L2191" s="42" t="str">
        <f t="shared" si="162"/>
        <v xml:space="preserve">1994.0|03 Jul 1994 - 12:00 |Round of 16|Cotton Bowl|Dallas |Saudi Arabia|1.0|3.0|Sweden| </v>
      </c>
      <c r="M2191" s="42" t="str">
        <f>IF(COUNTIF($L$1689:L2191,L2191)&gt;1,"DOUBLON","OK")</f>
        <v>OK</v>
      </c>
      <c r="S2191" s="12" t="str">
        <v>DR Congo</v>
      </c>
      <c r="T2191" s="12" t="str">
        <f t="shared" si="163"/>
        <v>ERREUR</v>
      </c>
      <c r="U2191" s="12" t="str">
        <f t="shared" si="164"/>
        <v>RENOMMER</v>
      </c>
      <c r="V2191" s="12" t="str" cm="1">
        <f t="array" ref="V2191">_xlfn.IFS(
ISNUMBER(SEARCH("USA",S2191)),"United States",
ISNUMBER(SEARCH("Republic of Ireland",S2191)),"Ireland",
ISNUMBER(SEARCH("Republic of Korea",S2191)),"South Korea",
ISNUMBER(SEARCH("Cape Verde",S2191)),"Cabo Verde",
ISNUMBER(SEARCH("Czechia",S2191)),"Czech Republic",
ISNUMBER(SEARCH("Türkiye",S2191)),"Turkey",
ISNUMBER(SEARCH("Ivory Coast",S2191)),"Côte d'Ivoire",
ISNUMBER(SEARCH("Korea Republic",S2191)),"South Korea",
ISNUMBER(SEARCH("Germany FR",S2191)),"FR Germany",
ISNUMBER(SEARCH("West Germany",S2191)),"FR Germany",
ISNUMBER(SEARCH("Germany DR",S2191)),"DR Germany",
ISNUMBER(SEARCH("Korea DPR",S2191)),"North Korea",
ISNUMBER(SEARCH("China PR",S2191)),"China",
ISNUMBER(SEARCH("IR Iran",S2191)),"Iran",
ISNUMBER(SEARCH("Congo DR",S2191)),"Democratic Republic of the Congo",
ISNUMBER(SEARCH("DR Congo",S2191)),"Democratic Republic of the Congo",
ISNUMBER(SEARCH("German DR",S2191)),"DR Germany",
ISNUMBER(SEARCH("rn""&gt;United Arab Emirates",S2191)),"United Arab Emirates",
ISNUMBER(SEARCH("rn""&gt;Republic of Ireland",S2191)),"Ireland",
ISNUMBER(SEARCH("rn""&gt;Bosnia and Herzegovina",S2191)),"Bosnia and Herzegovina",
ISNUMBER(SEARCH("rn""&gt;Trinidad and Tobago",S2191)),"Trinidad and Tobago",
ISNUMBER(SEARCH("rn""&gt;Serbia and Montenegro",S2191)),"Serbia and Montenegro",
ISNUMBER(SEARCH(_xlfn.UNICHAR(65533),S2191)),"Côte d'Ivoire",
TRUE,""
)</f>
        <v>Democratic Republic of the Congo</v>
      </c>
      <c r="W2191" s="12" t="str">
        <f t="shared" si="165"/>
        <v>Democratic Republic of the Congo</v>
      </c>
    </row>
    <row r="2192" spans="2:23">
      <c r="B2192" s="76" t="str">
        <v>1994.0</v>
      </c>
      <c r="C2192" s="42" t="str">
        <v xml:space="preserve">03 Jul 1994 - 13:30 </v>
      </c>
      <c r="D2192" s="42" t="str">
        <v>Round of 16</v>
      </c>
      <c r="E2192" s="42" t="str">
        <v>Rose Bowl</v>
      </c>
      <c r="F2192" s="42" t="str">
        <v xml:space="preserve">Los Angeles </v>
      </c>
      <c r="G2192" s="42" t="str">
        <v>Romania</v>
      </c>
      <c r="H2192" s="42" t="str">
        <v>3.0</v>
      </c>
      <c r="I2192" s="42" t="str">
        <v>2.0</v>
      </c>
      <c r="J2192" s="42" t="str">
        <v>Argentina</v>
      </c>
      <c r="K2192" s="42" t="str">
        <v xml:space="preserve"> </v>
      </c>
      <c r="L2192" s="42" t="str">
        <f t="shared" si="162"/>
        <v xml:space="preserve">1994.0|03 Jul 1994 - 13:30 |Round of 16|Rose Bowl|Los Angeles |Romania|3.0|2.0|Argentina| </v>
      </c>
      <c r="M2192" s="42" t="str">
        <f>IF(COUNTIF($L$1689:L2192,L2192)&gt;1,"DOUBLON","OK")</f>
        <v>OK</v>
      </c>
      <c r="S2192" s="12" t="str">
        <v>DR Congo</v>
      </c>
      <c r="T2192" s="12" t="str">
        <f t="shared" si="163"/>
        <v>ERREUR</v>
      </c>
      <c r="U2192" s="12" t="str">
        <f t="shared" si="164"/>
        <v>RENOMMER</v>
      </c>
      <c r="V2192" s="12" t="str" cm="1">
        <f t="array" ref="V2192">_xlfn.IFS(
ISNUMBER(SEARCH("USA",S2192)),"United States",
ISNUMBER(SEARCH("Republic of Ireland",S2192)),"Ireland",
ISNUMBER(SEARCH("Republic of Korea",S2192)),"South Korea",
ISNUMBER(SEARCH("Cape Verde",S2192)),"Cabo Verde",
ISNUMBER(SEARCH("Czechia",S2192)),"Czech Republic",
ISNUMBER(SEARCH("Türkiye",S2192)),"Turkey",
ISNUMBER(SEARCH("Ivory Coast",S2192)),"Côte d'Ivoire",
ISNUMBER(SEARCH("Korea Republic",S2192)),"South Korea",
ISNUMBER(SEARCH("Germany FR",S2192)),"FR Germany",
ISNUMBER(SEARCH("West Germany",S2192)),"FR Germany",
ISNUMBER(SEARCH("Germany DR",S2192)),"DR Germany",
ISNUMBER(SEARCH("Korea DPR",S2192)),"North Korea",
ISNUMBER(SEARCH("China PR",S2192)),"China",
ISNUMBER(SEARCH("IR Iran",S2192)),"Iran",
ISNUMBER(SEARCH("Congo DR",S2192)),"Democratic Republic of the Congo",
ISNUMBER(SEARCH("DR Congo",S2192)),"Democratic Republic of the Congo",
ISNUMBER(SEARCH("German DR",S2192)),"DR Germany",
ISNUMBER(SEARCH("rn""&gt;United Arab Emirates",S2192)),"United Arab Emirates",
ISNUMBER(SEARCH("rn""&gt;Republic of Ireland",S2192)),"Ireland",
ISNUMBER(SEARCH("rn""&gt;Bosnia and Herzegovina",S2192)),"Bosnia and Herzegovina",
ISNUMBER(SEARCH("rn""&gt;Trinidad and Tobago",S2192)),"Trinidad and Tobago",
ISNUMBER(SEARCH("rn""&gt;Serbia and Montenegro",S2192)),"Serbia and Montenegro",
ISNUMBER(SEARCH(_xlfn.UNICHAR(65533),S2192)),"Côte d'Ivoire",
TRUE,""
)</f>
        <v>Democratic Republic of the Congo</v>
      </c>
      <c r="W2192" s="12" t="str">
        <f t="shared" si="165"/>
        <v>Democratic Republic of the Congo</v>
      </c>
    </row>
    <row r="2193" spans="2:23">
      <c r="B2193" s="76" t="str">
        <v>1994.0</v>
      </c>
      <c r="C2193" s="42" t="str">
        <v xml:space="preserve">04 Jul 1994 - 12:00 </v>
      </c>
      <c r="D2193" s="42" t="str">
        <v>Round of 16</v>
      </c>
      <c r="E2193" s="42" t="str">
        <v>Citrus Bowl</v>
      </c>
      <c r="F2193" s="42" t="str">
        <v xml:space="preserve">Orlando </v>
      </c>
      <c r="G2193" s="42" t="str">
        <v>Netherlands</v>
      </c>
      <c r="H2193" s="42" t="str">
        <v>2.0</v>
      </c>
      <c r="I2193" s="42" t="str">
        <v>0.0</v>
      </c>
      <c r="J2193" s="42" t="str">
        <v>rn"&gt;Republic of Ireland</v>
      </c>
      <c r="K2193" s="42" t="str">
        <v xml:space="preserve"> </v>
      </c>
      <c r="L2193" s="42" t="str">
        <f t="shared" si="162"/>
        <v xml:space="preserve">1994.0|04 Jul 1994 - 12:00 |Round of 16|Citrus Bowl|Orlando |Netherlands|2.0|0.0|rn"&gt;Republic of Ireland| </v>
      </c>
      <c r="M2193" s="42" t="str">
        <f>IF(COUNTIF($L$1689:L2193,L2193)&gt;1,"DOUBLON","OK")</f>
        <v>OK</v>
      </c>
      <c r="S2193" s="12" t="str">
        <v>DR Congo</v>
      </c>
      <c r="T2193" s="12" t="str">
        <f t="shared" si="163"/>
        <v>ERREUR</v>
      </c>
      <c r="U2193" s="12" t="str">
        <f t="shared" si="164"/>
        <v>RENOMMER</v>
      </c>
      <c r="V2193" s="12" t="str" cm="1">
        <f t="array" ref="V2193">_xlfn.IFS(
ISNUMBER(SEARCH("USA",S2193)),"United States",
ISNUMBER(SEARCH("Republic of Ireland",S2193)),"Ireland",
ISNUMBER(SEARCH("Republic of Korea",S2193)),"South Korea",
ISNUMBER(SEARCH("Cape Verde",S2193)),"Cabo Verde",
ISNUMBER(SEARCH("Czechia",S2193)),"Czech Republic",
ISNUMBER(SEARCH("Türkiye",S2193)),"Turkey",
ISNUMBER(SEARCH("Ivory Coast",S2193)),"Côte d'Ivoire",
ISNUMBER(SEARCH("Korea Republic",S2193)),"South Korea",
ISNUMBER(SEARCH("Germany FR",S2193)),"FR Germany",
ISNUMBER(SEARCH("West Germany",S2193)),"FR Germany",
ISNUMBER(SEARCH("Germany DR",S2193)),"DR Germany",
ISNUMBER(SEARCH("Korea DPR",S2193)),"North Korea",
ISNUMBER(SEARCH("China PR",S2193)),"China",
ISNUMBER(SEARCH("IR Iran",S2193)),"Iran",
ISNUMBER(SEARCH("Congo DR",S2193)),"Democratic Republic of the Congo",
ISNUMBER(SEARCH("DR Congo",S2193)),"Democratic Republic of the Congo",
ISNUMBER(SEARCH("German DR",S2193)),"DR Germany",
ISNUMBER(SEARCH("rn""&gt;United Arab Emirates",S2193)),"United Arab Emirates",
ISNUMBER(SEARCH("rn""&gt;Republic of Ireland",S2193)),"Ireland",
ISNUMBER(SEARCH("rn""&gt;Bosnia and Herzegovina",S2193)),"Bosnia and Herzegovina",
ISNUMBER(SEARCH("rn""&gt;Trinidad and Tobago",S2193)),"Trinidad and Tobago",
ISNUMBER(SEARCH("rn""&gt;Serbia and Montenegro",S2193)),"Serbia and Montenegro",
ISNUMBER(SEARCH(_xlfn.UNICHAR(65533),S2193)),"Côte d'Ivoire",
TRUE,""
)</f>
        <v>Democratic Republic of the Congo</v>
      </c>
      <c r="W2193" s="12" t="str">
        <f t="shared" si="165"/>
        <v>Democratic Republic of the Congo</v>
      </c>
    </row>
    <row r="2194" spans="2:23">
      <c r="B2194" s="76" t="str">
        <v>1994.0</v>
      </c>
      <c r="C2194" s="42" t="str">
        <v xml:space="preserve">04 Jul 1994 - 12:30 </v>
      </c>
      <c r="D2194" s="42" t="str">
        <v>Round of 16</v>
      </c>
      <c r="E2194" s="42" t="str">
        <v>Stanford Stadium</v>
      </c>
      <c r="F2194" s="42" t="str">
        <v xml:space="preserve">San Francisco </v>
      </c>
      <c r="G2194" s="42" t="str">
        <v>Brazil</v>
      </c>
      <c r="H2194" s="42" t="str">
        <v>1.0</v>
      </c>
      <c r="I2194" s="42" t="str">
        <v>0.0</v>
      </c>
      <c r="J2194" s="42" t="str">
        <v>USA</v>
      </c>
      <c r="K2194" s="42" t="str">
        <v xml:space="preserve"> </v>
      </c>
      <c r="L2194" s="42" t="str">
        <f t="shared" si="162"/>
        <v xml:space="preserve">1994.0|04 Jul 1994 - 12:30 |Round of 16|Stanford Stadium|San Francisco |Brazil|1.0|0.0|USA| </v>
      </c>
      <c r="M2194" s="42" t="str">
        <f>IF(COUNTIF($L$1689:L2194,L2194)&gt;1,"DOUBLON","OK")</f>
        <v>OK</v>
      </c>
      <c r="S2194" s="12" t="str">
        <v>DR Congo</v>
      </c>
      <c r="T2194" s="12" t="str">
        <f t="shared" si="163"/>
        <v>ERREUR</v>
      </c>
      <c r="U2194" s="12" t="str">
        <f t="shared" si="164"/>
        <v>RENOMMER</v>
      </c>
      <c r="V2194" s="12" t="str" cm="1">
        <f t="array" ref="V2194">_xlfn.IFS(
ISNUMBER(SEARCH("USA",S2194)),"United States",
ISNUMBER(SEARCH("Republic of Ireland",S2194)),"Ireland",
ISNUMBER(SEARCH("Republic of Korea",S2194)),"South Korea",
ISNUMBER(SEARCH("Cape Verde",S2194)),"Cabo Verde",
ISNUMBER(SEARCH("Czechia",S2194)),"Czech Republic",
ISNUMBER(SEARCH("Türkiye",S2194)),"Turkey",
ISNUMBER(SEARCH("Ivory Coast",S2194)),"Côte d'Ivoire",
ISNUMBER(SEARCH("Korea Republic",S2194)),"South Korea",
ISNUMBER(SEARCH("Germany FR",S2194)),"FR Germany",
ISNUMBER(SEARCH("West Germany",S2194)),"FR Germany",
ISNUMBER(SEARCH("Germany DR",S2194)),"DR Germany",
ISNUMBER(SEARCH("Korea DPR",S2194)),"North Korea",
ISNUMBER(SEARCH("China PR",S2194)),"China",
ISNUMBER(SEARCH("IR Iran",S2194)),"Iran",
ISNUMBER(SEARCH("Congo DR",S2194)),"Democratic Republic of the Congo",
ISNUMBER(SEARCH("DR Congo",S2194)),"Democratic Republic of the Congo",
ISNUMBER(SEARCH("German DR",S2194)),"DR Germany",
ISNUMBER(SEARCH("rn""&gt;United Arab Emirates",S2194)),"United Arab Emirates",
ISNUMBER(SEARCH("rn""&gt;Republic of Ireland",S2194)),"Ireland",
ISNUMBER(SEARCH("rn""&gt;Bosnia and Herzegovina",S2194)),"Bosnia and Herzegovina",
ISNUMBER(SEARCH("rn""&gt;Trinidad and Tobago",S2194)),"Trinidad and Tobago",
ISNUMBER(SEARCH("rn""&gt;Serbia and Montenegro",S2194)),"Serbia and Montenegro",
ISNUMBER(SEARCH(_xlfn.UNICHAR(65533),S2194)),"Côte d'Ivoire",
TRUE,""
)</f>
        <v>Democratic Republic of the Congo</v>
      </c>
      <c r="W2194" s="12" t="str">
        <f t="shared" si="165"/>
        <v>Democratic Republic of the Congo</v>
      </c>
    </row>
    <row r="2195" spans="2:23">
      <c r="B2195" s="76" t="str">
        <v>1994.0</v>
      </c>
      <c r="C2195" s="42" t="str">
        <v xml:space="preserve">05 Jul 1994 - 13:00 </v>
      </c>
      <c r="D2195" s="42" t="str">
        <v>Round of 16</v>
      </c>
      <c r="E2195" s="42" t="str">
        <v>Foxboro Stadium</v>
      </c>
      <c r="F2195" s="42" t="str">
        <v xml:space="preserve">Boston </v>
      </c>
      <c r="G2195" s="42" t="str">
        <v>Nigeria</v>
      </c>
      <c r="H2195" s="42" t="str">
        <v>1.0</v>
      </c>
      <c r="I2195" s="42" t="str">
        <v>2.0</v>
      </c>
      <c r="J2195" s="42" t="str">
        <v>Italy</v>
      </c>
      <c r="K2195" s="42" t="str">
        <v xml:space="preserve">Italy win after extra time </v>
      </c>
      <c r="L2195" s="42" t="str">
        <f t="shared" si="162"/>
        <v xml:space="preserve">1994.0|05 Jul 1994 - 13:00 |Round of 16|Foxboro Stadium|Boston |Nigeria|1.0|2.0|Italy|Italy win after extra time </v>
      </c>
      <c r="M2195" s="42" t="str">
        <f>IF(COUNTIF($L$1689:L2195,L2195)&gt;1,"DOUBLON","OK")</f>
        <v>OK</v>
      </c>
      <c r="S2195" s="12" t="str">
        <v>DR Congo</v>
      </c>
      <c r="T2195" s="12" t="str">
        <f t="shared" si="163"/>
        <v>ERREUR</v>
      </c>
      <c r="U2195" s="12" t="str">
        <f t="shared" si="164"/>
        <v>RENOMMER</v>
      </c>
      <c r="V2195" s="12" t="str" cm="1">
        <f t="array" ref="V2195">_xlfn.IFS(
ISNUMBER(SEARCH("USA",S2195)),"United States",
ISNUMBER(SEARCH("Republic of Ireland",S2195)),"Ireland",
ISNUMBER(SEARCH("Republic of Korea",S2195)),"South Korea",
ISNUMBER(SEARCH("Cape Verde",S2195)),"Cabo Verde",
ISNUMBER(SEARCH("Czechia",S2195)),"Czech Republic",
ISNUMBER(SEARCH("Türkiye",S2195)),"Turkey",
ISNUMBER(SEARCH("Ivory Coast",S2195)),"Côte d'Ivoire",
ISNUMBER(SEARCH("Korea Republic",S2195)),"South Korea",
ISNUMBER(SEARCH("Germany FR",S2195)),"FR Germany",
ISNUMBER(SEARCH("West Germany",S2195)),"FR Germany",
ISNUMBER(SEARCH("Germany DR",S2195)),"DR Germany",
ISNUMBER(SEARCH("Korea DPR",S2195)),"North Korea",
ISNUMBER(SEARCH("China PR",S2195)),"China",
ISNUMBER(SEARCH("IR Iran",S2195)),"Iran",
ISNUMBER(SEARCH("Congo DR",S2195)),"Democratic Republic of the Congo",
ISNUMBER(SEARCH("DR Congo",S2195)),"Democratic Republic of the Congo",
ISNUMBER(SEARCH("German DR",S2195)),"DR Germany",
ISNUMBER(SEARCH("rn""&gt;United Arab Emirates",S2195)),"United Arab Emirates",
ISNUMBER(SEARCH("rn""&gt;Republic of Ireland",S2195)),"Ireland",
ISNUMBER(SEARCH("rn""&gt;Bosnia and Herzegovina",S2195)),"Bosnia and Herzegovina",
ISNUMBER(SEARCH("rn""&gt;Trinidad and Tobago",S2195)),"Trinidad and Tobago",
ISNUMBER(SEARCH("rn""&gt;Serbia and Montenegro",S2195)),"Serbia and Montenegro",
ISNUMBER(SEARCH(_xlfn.UNICHAR(65533),S2195)),"Côte d'Ivoire",
TRUE,""
)</f>
        <v>Democratic Republic of the Congo</v>
      </c>
      <c r="W2195" s="12" t="str">
        <f t="shared" si="165"/>
        <v>Democratic Republic of the Congo</v>
      </c>
    </row>
    <row r="2196" spans="2:23">
      <c r="B2196" s="76" t="str">
        <v>1994.0</v>
      </c>
      <c r="C2196" s="42" t="str">
        <v xml:space="preserve">05 Jul 1994 - 16:30 </v>
      </c>
      <c r="D2196" s="42" t="str">
        <v>Round of 16</v>
      </c>
      <c r="E2196" s="42" t="str">
        <v>Giants Stadium</v>
      </c>
      <c r="F2196" s="42" t="str">
        <v xml:space="preserve">New York/New Jersey </v>
      </c>
      <c r="G2196" s="42" t="str">
        <v>Mexico</v>
      </c>
      <c r="H2196" s="42" t="str">
        <v>1.0</v>
      </c>
      <c r="I2196" s="42" t="str">
        <v>1.0</v>
      </c>
      <c r="J2196" s="42" t="str">
        <v>Bulgaria</v>
      </c>
      <c r="K2196" s="42" t="str">
        <v xml:space="preserve">Bulgaria win on penalties (1 - 3) </v>
      </c>
      <c r="L2196" s="42" t="str">
        <f t="shared" si="162"/>
        <v xml:space="preserve">1994.0|05 Jul 1994 - 16:30 |Round of 16|Giants Stadium|New York/New Jersey |Mexico|1.0|1.0|Bulgaria|Bulgaria win on penalties (1 - 3) </v>
      </c>
      <c r="M2196" s="42" t="str">
        <f>IF(COUNTIF($L$1689:L2196,L2196)&gt;1,"DOUBLON","OK")</f>
        <v>OK</v>
      </c>
      <c r="S2196" s="12" t="str">
        <v>DR Congo</v>
      </c>
      <c r="T2196" s="12" t="str">
        <f t="shared" si="163"/>
        <v>ERREUR</v>
      </c>
      <c r="U2196" s="12" t="str">
        <f t="shared" si="164"/>
        <v>RENOMMER</v>
      </c>
      <c r="V2196" s="12" t="str" cm="1">
        <f t="array" ref="V2196">_xlfn.IFS(
ISNUMBER(SEARCH("USA",S2196)),"United States",
ISNUMBER(SEARCH("Republic of Ireland",S2196)),"Ireland",
ISNUMBER(SEARCH("Republic of Korea",S2196)),"South Korea",
ISNUMBER(SEARCH("Cape Verde",S2196)),"Cabo Verde",
ISNUMBER(SEARCH("Czechia",S2196)),"Czech Republic",
ISNUMBER(SEARCH("Türkiye",S2196)),"Turkey",
ISNUMBER(SEARCH("Ivory Coast",S2196)),"Côte d'Ivoire",
ISNUMBER(SEARCH("Korea Republic",S2196)),"South Korea",
ISNUMBER(SEARCH("Germany FR",S2196)),"FR Germany",
ISNUMBER(SEARCH("West Germany",S2196)),"FR Germany",
ISNUMBER(SEARCH("Germany DR",S2196)),"DR Germany",
ISNUMBER(SEARCH("Korea DPR",S2196)),"North Korea",
ISNUMBER(SEARCH("China PR",S2196)),"China",
ISNUMBER(SEARCH("IR Iran",S2196)),"Iran",
ISNUMBER(SEARCH("Congo DR",S2196)),"Democratic Republic of the Congo",
ISNUMBER(SEARCH("DR Congo",S2196)),"Democratic Republic of the Congo",
ISNUMBER(SEARCH("German DR",S2196)),"DR Germany",
ISNUMBER(SEARCH("rn""&gt;United Arab Emirates",S2196)),"United Arab Emirates",
ISNUMBER(SEARCH("rn""&gt;Republic of Ireland",S2196)),"Ireland",
ISNUMBER(SEARCH("rn""&gt;Bosnia and Herzegovina",S2196)),"Bosnia and Herzegovina",
ISNUMBER(SEARCH("rn""&gt;Trinidad and Tobago",S2196)),"Trinidad and Tobago",
ISNUMBER(SEARCH("rn""&gt;Serbia and Montenegro",S2196)),"Serbia and Montenegro",
ISNUMBER(SEARCH(_xlfn.UNICHAR(65533),S2196)),"Côte d'Ivoire",
TRUE,""
)</f>
        <v>Democratic Republic of the Congo</v>
      </c>
      <c r="W2196" s="12" t="str">
        <f t="shared" si="165"/>
        <v>Democratic Republic of the Congo</v>
      </c>
    </row>
    <row r="2197" spans="2:23">
      <c r="B2197" s="76" t="str">
        <v>1994.0</v>
      </c>
      <c r="C2197" s="42" t="str">
        <v xml:space="preserve">09 Jul 1994 - 12:00 </v>
      </c>
      <c r="D2197" s="42" t="str">
        <v>Quarter-finals</v>
      </c>
      <c r="E2197" s="42" t="str">
        <v>Foxboro Stadium</v>
      </c>
      <c r="F2197" s="42" t="str">
        <v xml:space="preserve">Boston </v>
      </c>
      <c r="G2197" s="42" t="str">
        <v>Italy</v>
      </c>
      <c r="H2197" s="42" t="str">
        <v>2.0</v>
      </c>
      <c r="I2197" s="42" t="str">
        <v>1.0</v>
      </c>
      <c r="J2197" s="42" t="str">
        <v>Spain</v>
      </c>
      <c r="K2197" s="42" t="str">
        <v xml:space="preserve"> </v>
      </c>
      <c r="L2197" s="42" t="str">
        <f t="shared" si="162"/>
        <v xml:space="preserve">1994.0|09 Jul 1994 - 12:00 |Quarter-finals|Foxboro Stadium|Boston |Italy|2.0|1.0|Spain| </v>
      </c>
      <c r="M2197" s="42" t="str">
        <f>IF(COUNTIF($L$1689:L2197,L2197)&gt;1,"DOUBLON","OK")</f>
        <v>OK</v>
      </c>
      <c r="S2197" s="12" t="str">
        <v>DR Congo</v>
      </c>
      <c r="T2197" s="12" t="str">
        <f t="shared" si="163"/>
        <v>ERREUR</v>
      </c>
      <c r="U2197" s="12" t="str">
        <f t="shared" si="164"/>
        <v>RENOMMER</v>
      </c>
      <c r="V2197" s="12" t="str" cm="1">
        <f t="array" ref="V2197">_xlfn.IFS(
ISNUMBER(SEARCH("USA",S2197)),"United States",
ISNUMBER(SEARCH("Republic of Ireland",S2197)),"Ireland",
ISNUMBER(SEARCH("Republic of Korea",S2197)),"South Korea",
ISNUMBER(SEARCH("Cape Verde",S2197)),"Cabo Verde",
ISNUMBER(SEARCH("Czechia",S2197)),"Czech Republic",
ISNUMBER(SEARCH("Türkiye",S2197)),"Turkey",
ISNUMBER(SEARCH("Ivory Coast",S2197)),"Côte d'Ivoire",
ISNUMBER(SEARCH("Korea Republic",S2197)),"South Korea",
ISNUMBER(SEARCH("Germany FR",S2197)),"FR Germany",
ISNUMBER(SEARCH("West Germany",S2197)),"FR Germany",
ISNUMBER(SEARCH("Germany DR",S2197)),"DR Germany",
ISNUMBER(SEARCH("Korea DPR",S2197)),"North Korea",
ISNUMBER(SEARCH("China PR",S2197)),"China",
ISNUMBER(SEARCH("IR Iran",S2197)),"Iran",
ISNUMBER(SEARCH("Congo DR",S2197)),"Democratic Republic of the Congo",
ISNUMBER(SEARCH("DR Congo",S2197)),"Democratic Republic of the Congo",
ISNUMBER(SEARCH("German DR",S2197)),"DR Germany",
ISNUMBER(SEARCH("rn""&gt;United Arab Emirates",S2197)),"United Arab Emirates",
ISNUMBER(SEARCH("rn""&gt;Republic of Ireland",S2197)),"Ireland",
ISNUMBER(SEARCH("rn""&gt;Bosnia and Herzegovina",S2197)),"Bosnia and Herzegovina",
ISNUMBER(SEARCH("rn""&gt;Trinidad and Tobago",S2197)),"Trinidad and Tobago",
ISNUMBER(SEARCH("rn""&gt;Serbia and Montenegro",S2197)),"Serbia and Montenegro",
ISNUMBER(SEARCH(_xlfn.UNICHAR(65533),S2197)),"Côte d'Ivoire",
TRUE,""
)</f>
        <v>Democratic Republic of the Congo</v>
      </c>
      <c r="W2197" s="12" t="str">
        <f t="shared" si="165"/>
        <v>Democratic Republic of the Congo</v>
      </c>
    </row>
    <row r="2198" spans="2:23">
      <c r="B2198" s="76" t="str">
        <v>1994.0</v>
      </c>
      <c r="C2198" s="42" t="str">
        <v xml:space="preserve">09 Jul 1994 - 14:30 </v>
      </c>
      <c r="D2198" s="42" t="str">
        <v>Quarter-finals</v>
      </c>
      <c r="E2198" s="42" t="str">
        <v>Cotton Bowl</v>
      </c>
      <c r="F2198" s="42" t="str">
        <v xml:space="preserve">Dallas </v>
      </c>
      <c r="G2198" s="42" t="str">
        <v>Netherlands</v>
      </c>
      <c r="H2198" s="42" t="str">
        <v>2.0</v>
      </c>
      <c r="I2198" s="42" t="str">
        <v>3.0</v>
      </c>
      <c r="J2198" s="42" t="str">
        <v>Brazil</v>
      </c>
      <c r="K2198" s="42" t="str">
        <v xml:space="preserve"> </v>
      </c>
      <c r="L2198" s="42" t="str">
        <f t="shared" si="162"/>
        <v xml:space="preserve">1994.0|09 Jul 1994 - 14:30 |Quarter-finals|Cotton Bowl|Dallas |Netherlands|2.0|3.0|Brazil| </v>
      </c>
      <c r="M2198" s="42" t="str">
        <f>IF(COUNTIF($L$1689:L2198,L2198)&gt;1,"DOUBLON","OK")</f>
        <v>OK</v>
      </c>
      <c r="S2198" s="12" t="str">
        <v>DR Congo</v>
      </c>
      <c r="T2198" s="12" t="str">
        <f t="shared" si="163"/>
        <v>ERREUR</v>
      </c>
      <c r="U2198" s="12" t="str">
        <f t="shared" si="164"/>
        <v>RENOMMER</v>
      </c>
      <c r="V2198" s="12" t="str" cm="1">
        <f t="array" ref="V2198">_xlfn.IFS(
ISNUMBER(SEARCH("USA",S2198)),"United States",
ISNUMBER(SEARCH("Republic of Ireland",S2198)),"Ireland",
ISNUMBER(SEARCH("Republic of Korea",S2198)),"South Korea",
ISNUMBER(SEARCH("Cape Verde",S2198)),"Cabo Verde",
ISNUMBER(SEARCH("Czechia",S2198)),"Czech Republic",
ISNUMBER(SEARCH("Türkiye",S2198)),"Turkey",
ISNUMBER(SEARCH("Ivory Coast",S2198)),"Côte d'Ivoire",
ISNUMBER(SEARCH("Korea Republic",S2198)),"South Korea",
ISNUMBER(SEARCH("Germany FR",S2198)),"FR Germany",
ISNUMBER(SEARCH("West Germany",S2198)),"FR Germany",
ISNUMBER(SEARCH("Germany DR",S2198)),"DR Germany",
ISNUMBER(SEARCH("Korea DPR",S2198)),"North Korea",
ISNUMBER(SEARCH("China PR",S2198)),"China",
ISNUMBER(SEARCH("IR Iran",S2198)),"Iran",
ISNUMBER(SEARCH("Congo DR",S2198)),"Democratic Republic of the Congo",
ISNUMBER(SEARCH("DR Congo",S2198)),"Democratic Republic of the Congo",
ISNUMBER(SEARCH("German DR",S2198)),"DR Germany",
ISNUMBER(SEARCH("rn""&gt;United Arab Emirates",S2198)),"United Arab Emirates",
ISNUMBER(SEARCH("rn""&gt;Republic of Ireland",S2198)),"Ireland",
ISNUMBER(SEARCH("rn""&gt;Bosnia and Herzegovina",S2198)),"Bosnia and Herzegovina",
ISNUMBER(SEARCH("rn""&gt;Trinidad and Tobago",S2198)),"Trinidad and Tobago",
ISNUMBER(SEARCH("rn""&gt;Serbia and Montenegro",S2198)),"Serbia and Montenegro",
ISNUMBER(SEARCH(_xlfn.UNICHAR(65533),S2198)),"Côte d'Ivoire",
TRUE,""
)</f>
        <v>Democratic Republic of the Congo</v>
      </c>
      <c r="W2198" s="12" t="str">
        <f t="shared" si="165"/>
        <v>Democratic Republic of the Congo</v>
      </c>
    </row>
    <row r="2199" spans="2:23">
      <c r="B2199" s="76" t="str">
        <v>1994.0</v>
      </c>
      <c r="C2199" s="42" t="str">
        <v xml:space="preserve">10 Jul 1994 - 12:00 </v>
      </c>
      <c r="D2199" s="42" t="str">
        <v>Quarter-finals</v>
      </c>
      <c r="E2199" s="42" t="str">
        <v>Giants Stadium</v>
      </c>
      <c r="F2199" s="42" t="str">
        <v xml:space="preserve">New York/New Jersey </v>
      </c>
      <c r="G2199" s="42" t="str">
        <v>Bulgaria</v>
      </c>
      <c r="H2199" s="42" t="str">
        <v>2.0</v>
      </c>
      <c r="I2199" s="42" t="str">
        <v>1.0</v>
      </c>
      <c r="J2199" s="42" t="str">
        <v>Germany</v>
      </c>
      <c r="K2199" s="42" t="str">
        <v xml:space="preserve"> </v>
      </c>
      <c r="L2199" s="42" t="str">
        <f t="shared" si="162"/>
        <v xml:space="preserve">1994.0|10 Jul 1994 - 12:00 |Quarter-finals|Giants Stadium|New York/New Jersey |Bulgaria|2.0|1.0|Germany| </v>
      </c>
      <c r="M2199" s="42" t="str">
        <f>IF(COUNTIF($L$1689:L2199,L2199)&gt;1,"DOUBLON","OK")</f>
        <v>OK</v>
      </c>
      <c r="S2199" s="12" t="str">
        <v>DR Congo</v>
      </c>
      <c r="T2199" s="12" t="str">
        <f t="shared" si="163"/>
        <v>ERREUR</v>
      </c>
      <c r="U2199" s="12" t="str">
        <f t="shared" si="164"/>
        <v>RENOMMER</v>
      </c>
      <c r="V2199" s="12" t="str" cm="1">
        <f t="array" ref="V2199">_xlfn.IFS(
ISNUMBER(SEARCH("USA",S2199)),"United States",
ISNUMBER(SEARCH("Republic of Ireland",S2199)),"Ireland",
ISNUMBER(SEARCH("Republic of Korea",S2199)),"South Korea",
ISNUMBER(SEARCH("Cape Verde",S2199)),"Cabo Verde",
ISNUMBER(SEARCH("Czechia",S2199)),"Czech Republic",
ISNUMBER(SEARCH("Türkiye",S2199)),"Turkey",
ISNUMBER(SEARCH("Ivory Coast",S2199)),"Côte d'Ivoire",
ISNUMBER(SEARCH("Korea Republic",S2199)),"South Korea",
ISNUMBER(SEARCH("Germany FR",S2199)),"FR Germany",
ISNUMBER(SEARCH("West Germany",S2199)),"FR Germany",
ISNUMBER(SEARCH("Germany DR",S2199)),"DR Germany",
ISNUMBER(SEARCH("Korea DPR",S2199)),"North Korea",
ISNUMBER(SEARCH("China PR",S2199)),"China",
ISNUMBER(SEARCH("IR Iran",S2199)),"Iran",
ISNUMBER(SEARCH("Congo DR",S2199)),"Democratic Republic of the Congo",
ISNUMBER(SEARCH("DR Congo",S2199)),"Democratic Republic of the Congo",
ISNUMBER(SEARCH("German DR",S2199)),"DR Germany",
ISNUMBER(SEARCH("rn""&gt;United Arab Emirates",S2199)),"United Arab Emirates",
ISNUMBER(SEARCH("rn""&gt;Republic of Ireland",S2199)),"Ireland",
ISNUMBER(SEARCH("rn""&gt;Bosnia and Herzegovina",S2199)),"Bosnia and Herzegovina",
ISNUMBER(SEARCH("rn""&gt;Trinidad and Tobago",S2199)),"Trinidad and Tobago",
ISNUMBER(SEARCH("rn""&gt;Serbia and Montenegro",S2199)),"Serbia and Montenegro",
ISNUMBER(SEARCH(_xlfn.UNICHAR(65533),S2199)),"Côte d'Ivoire",
TRUE,""
)</f>
        <v>Democratic Republic of the Congo</v>
      </c>
      <c r="W2199" s="12" t="str">
        <f t="shared" si="165"/>
        <v>Democratic Republic of the Congo</v>
      </c>
    </row>
    <row r="2200" spans="2:23">
      <c r="B2200" s="76" t="str">
        <v>1994.0</v>
      </c>
      <c r="C2200" s="42" t="str">
        <v xml:space="preserve">10 Jul 1994 - 12:30 </v>
      </c>
      <c r="D2200" s="42" t="str">
        <v>Quarter-finals</v>
      </c>
      <c r="E2200" s="42" t="str">
        <v>Stanford Stadium</v>
      </c>
      <c r="F2200" s="42" t="str">
        <v xml:space="preserve">San Francisco </v>
      </c>
      <c r="G2200" s="42" t="str">
        <v>Romania</v>
      </c>
      <c r="H2200" s="42" t="str">
        <v>2.0</v>
      </c>
      <c r="I2200" s="42" t="str">
        <v>2.0</v>
      </c>
      <c r="J2200" s="42" t="str">
        <v>Sweden</v>
      </c>
      <c r="K2200" s="42" t="str">
        <v xml:space="preserve">Sweden win on penalties (4 - 5) </v>
      </c>
      <c r="L2200" s="42" t="str">
        <f t="shared" si="162"/>
        <v xml:space="preserve">1994.0|10 Jul 1994 - 12:30 |Quarter-finals|Stanford Stadium|San Francisco |Romania|2.0|2.0|Sweden|Sweden win on penalties (4 - 5) </v>
      </c>
      <c r="M2200" s="42" t="str">
        <f>IF(COUNTIF($L$1689:L2200,L2200)&gt;1,"DOUBLON","OK")</f>
        <v>OK</v>
      </c>
      <c r="S2200" s="12" t="str">
        <v>DR Congo</v>
      </c>
      <c r="T2200" s="12" t="str">
        <f t="shared" si="163"/>
        <v>ERREUR</v>
      </c>
      <c r="U2200" s="12" t="str">
        <f t="shared" si="164"/>
        <v>RENOMMER</v>
      </c>
      <c r="V2200" s="12" t="str" cm="1">
        <f t="array" ref="V2200">_xlfn.IFS(
ISNUMBER(SEARCH("USA",S2200)),"United States",
ISNUMBER(SEARCH("Republic of Ireland",S2200)),"Ireland",
ISNUMBER(SEARCH("Republic of Korea",S2200)),"South Korea",
ISNUMBER(SEARCH("Cape Verde",S2200)),"Cabo Verde",
ISNUMBER(SEARCH("Czechia",S2200)),"Czech Republic",
ISNUMBER(SEARCH("Türkiye",S2200)),"Turkey",
ISNUMBER(SEARCH("Ivory Coast",S2200)),"Côte d'Ivoire",
ISNUMBER(SEARCH("Korea Republic",S2200)),"South Korea",
ISNUMBER(SEARCH("Germany FR",S2200)),"FR Germany",
ISNUMBER(SEARCH("West Germany",S2200)),"FR Germany",
ISNUMBER(SEARCH("Germany DR",S2200)),"DR Germany",
ISNUMBER(SEARCH("Korea DPR",S2200)),"North Korea",
ISNUMBER(SEARCH("China PR",S2200)),"China",
ISNUMBER(SEARCH("IR Iran",S2200)),"Iran",
ISNUMBER(SEARCH("Congo DR",S2200)),"Democratic Republic of the Congo",
ISNUMBER(SEARCH("DR Congo",S2200)),"Democratic Republic of the Congo",
ISNUMBER(SEARCH("German DR",S2200)),"DR Germany",
ISNUMBER(SEARCH("rn""&gt;United Arab Emirates",S2200)),"United Arab Emirates",
ISNUMBER(SEARCH("rn""&gt;Republic of Ireland",S2200)),"Ireland",
ISNUMBER(SEARCH("rn""&gt;Bosnia and Herzegovina",S2200)),"Bosnia and Herzegovina",
ISNUMBER(SEARCH("rn""&gt;Trinidad and Tobago",S2200)),"Trinidad and Tobago",
ISNUMBER(SEARCH("rn""&gt;Serbia and Montenegro",S2200)),"Serbia and Montenegro",
ISNUMBER(SEARCH(_xlfn.UNICHAR(65533),S2200)),"Côte d'Ivoire",
TRUE,""
)</f>
        <v>Democratic Republic of the Congo</v>
      </c>
      <c r="W2200" s="12" t="str">
        <f t="shared" si="165"/>
        <v>Democratic Republic of the Congo</v>
      </c>
    </row>
    <row r="2201" spans="2:23">
      <c r="B2201" s="76" t="str">
        <v>1994.0</v>
      </c>
      <c r="C2201" s="42" t="str">
        <v xml:space="preserve">13 Jul 1994 - 16:00 </v>
      </c>
      <c r="D2201" s="42" t="str">
        <v>Semi-finals</v>
      </c>
      <c r="E2201" s="42" t="str">
        <v>Giants Stadium</v>
      </c>
      <c r="F2201" s="42" t="str">
        <v xml:space="preserve">New York/New Jersey </v>
      </c>
      <c r="G2201" s="42" t="str">
        <v>Bulgaria</v>
      </c>
      <c r="H2201" s="42" t="str">
        <v>1.0</v>
      </c>
      <c r="I2201" s="42" t="str">
        <v>2.0</v>
      </c>
      <c r="J2201" s="42" t="str">
        <v>Italy</v>
      </c>
      <c r="K2201" s="42" t="str">
        <v xml:space="preserve"> </v>
      </c>
      <c r="L2201" s="42" t="str">
        <f t="shared" ref="L2201:L2264" si="166">B2201&amp;"|"&amp;C2201&amp;"|"&amp;D2201&amp;"|"&amp;E2201&amp;"|"&amp;F2201&amp;"|"&amp;G2201&amp;"|"&amp;H2201&amp;"|"&amp;I2201&amp;"|"&amp;J2201&amp;"|"&amp;K2201</f>
        <v xml:space="preserve">1994.0|13 Jul 1994 - 16:00 |Semi-finals|Giants Stadium|New York/New Jersey |Bulgaria|1.0|2.0|Italy| </v>
      </c>
      <c r="M2201" s="42" t="str">
        <f>IF(COUNTIF($L$1689:L2201,L2201)&gt;1,"DOUBLON","OK")</f>
        <v>OK</v>
      </c>
      <c r="S2201" s="12" t="str">
        <v>DR Congo</v>
      </c>
      <c r="T2201" s="12" t="str">
        <f t="shared" si="163"/>
        <v>ERREUR</v>
      </c>
      <c r="U2201" s="12" t="str">
        <f t="shared" si="164"/>
        <v>RENOMMER</v>
      </c>
      <c r="V2201" s="12" t="str" cm="1">
        <f t="array" ref="V2201">_xlfn.IFS(
ISNUMBER(SEARCH("USA",S2201)),"United States",
ISNUMBER(SEARCH("Republic of Ireland",S2201)),"Ireland",
ISNUMBER(SEARCH("Republic of Korea",S2201)),"South Korea",
ISNUMBER(SEARCH("Cape Verde",S2201)),"Cabo Verde",
ISNUMBER(SEARCH("Czechia",S2201)),"Czech Republic",
ISNUMBER(SEARCH("Türkiye",S2201)),"Turkey",
ISNUMBER(SEARCH("Ivory Coast",S2201)),"Côte d'Ivoire",
ISNUMBER(SEARCH("Korea Republic",S2201)),"South Korea",
ISNUMBER(SEARCH("Germany FR",S2201)),"FR Germany",
ISNUMBER(SEARCH("West Germany",S2201)),"FR Germany",
ISNUMBER(SEARCH("Germany DR",S2201)),"DR Germany",
ISNUMBER(SEARCH("Korea DPR",S2201)),"North Korea",
ISNUMBER(SEARCH("China PR",S2201)),"China",
ISNUMBER(SEARCH("IR Iran",S2201)),"Iran",
ISNUMBER(SEARCH("Congo DR",S2201)),"Democratic Republic of the Congo",
ISNUMBER(SEARCH("DR Congo",S2201)),"Democratic Republic of the Congo",
ISNUMBER(SEARCH("German DR",S2201)),"DR Germany",
ISNUMBER(SEARCH("rn""&gt;United Arab Emirates",S2201)),"United Arab Emirates",
ISNUMBER(SEARCH("rn""&gt;Republic of Ireland",S2201)),"Ireland",
ISNUMBER(SEARCH("rn""&gt;Bosnia and Herzegovina",S2201)),"Bosnia and Herzegovina",
ISNUMBER(SEARCH("rn""&gt;Trinidad and Tobago",S2201)),"Trinidad and Tobago",
ISNUMBER(SEARCH("rn""&gt;Serbia and Montenegro",S2201)),"Serbia and Montenegro",
ISNUMBER(SEARCH(_xlfn.UNICHAR(65533),S2201)),"Côte d'Ivoire",
TRUE,""
)</f>
        <v>Democratic Republic of the Congo</v>
      </c>
      <c r="W2201" s="12" t="str">
        <f t="shared" si="165"/>
        <v>Democratic Republic of the Congo</v>
      </c>
    </row>
    <row r="2202" spans="2:23">
      <c r="B2202" s="76" t="str">
        <v>1994.0</v>
      </c>
      <c r="C2202" s="42" t="str">
        <v xml:space="preserve">13 Jul 1994 - 16:30 </v>
      </c>
      <c r="D2202" s="42" t="str">
        <v>Semi-finals</v>
      </c>
      <c r="E2202" s="42" t="str">
        <v>Rose Bowl</v>
      </c>
      <c r="F2202" s="42" t="str">
        <v xml:space="preserve">Los Angeles </v>
      </c>
      <c r="G2202" s="42" t="str">
        <v>Sweden</v>
      </c>
      <c r="H2202" s="42" t="str">
        <v>0.0</v>
      </c>
      <c r="I2202" s="42" t="str">
        <v>1.0</v>
      </c>
      <c r="J2202" s="42" t="str">
        <v>Brazil</v>
      </c>
      <c r="K2202" s="42" t="str">
        <v xml:space="preserve"> </v>
      </c>
      <c r="L2202" s="42" t="str">
        <f t="shared" si="166"/>
        <v xml:space="preserve">1994.0|13 Jul 1994 - 16:30 |Semi-finals|Rose Bowl|Los Angeles |Sweden|0.0|1.0|Brazil| </v>
      </c>
      <c r="M2202" s="42" t="str">
        <f>IF(COUNTIF($L$1689:L2202,L2202)&gt;1,"DOUBLON","OK")</f>
        <v>OK</v>
      </c>
      <c r="S2202" s="12" t="str">
        <v>DR Congo</v>
      </c>
      <c r="T2202" s="12" t="str">
        <f t="shared" si="163"/>
        <v>ERREUR</v>
      </c>
      <c r="U2202" s="12" t="str">
        <f t="shared" si="164"/>
        <v>RENOMMER</v>
      </c>
      <c r="V2202" s="12" t="str" cm="1">
        <f t="array" ref="V2202">_xlfn.IFS(
ISNUMBER(SEARCH("USA",S2202)),"United States",
ISNUMBER(SEARCH("Republic of Ireland",S2202)),"Ireland",
ISNUMBER(SEARCH("Republic of Korea",S2202)),"South Korea",
ISNUMBER(SEARCH("Cape Verde",S2202)),"Cabo Verde",
ISNUMBER(SEARCH("Czechia",S2202)),"Czech Republic",
ISNUMBER(SEARCH("Türkiye",S2202)),"Turkey",
ISNUMBER(SEARCH("Ivory Coast",S2202)),"Côte d'Ivoire",
ISNUMBER(SEARCH("Korea Republic",S2202)),"South Korea",
ISNUMBER(SEARCH("Germany FR",S2202)),"FR Germany",
ISNUMBER(SEARCH("West Germany",S2202)),"FR Germany",
ISNUMBER(SEARCH("Germany DR",S2202)),"DR Germany",
ISNUMBER(SEARCH("Korea DPR",S2202)),"North Korea",
ISNUMBER(SEARCH("China PR",S2202)),"China",
ISNUMBER(SEARCH("IR Iran",S2202)),"Iran",
ISNUMBER(SEARCH("Congo DR",S2202)),"Democratic Republic of the Congo",
ISNUMBER(SEARCH("DR Congo",S2202)),"Democratic Republic of the Congo",
ISNUMBER(SEARCH("German DR",S2202)),"DR Germany",
ISNUMBER(SEARCH("rn""&gt;United Arab Emirates",S2202)),"United Arab Emirates",
ISNUMBER(SEARCH("rn""&gt;Republic of Ireland",S2202)),"Ireland",
ISNUMBER(SEARCH("rn""&gt;Bosnia and Herzegovina",S2202)),"Bosnia and Herzegovina",
ISNUMBER(SEARCH("rn""&gt;Trinidad and Tobago",S2202)),"Trinidad and Tobago",
ISNUMBER(SEARCH("rn""&gt;Serbia and Montenegro",S2202)),"Serbia and Montenegro",
ISNUMBER(SEARCH(_xlfn.UNICHAR(65533),S2202)),"Côte d'Ivoire",
TRUE,""
)</f>
        <v>Democratic Republic of the Congo</v>
      </c>
      <c r="W2202" s="12" t="str">
        <f t="shared" si="165"/>
        <v>Democratic Republic of the Congo</v>
      </c>
    </row>
    <row r="2203" spans="2:23">
      <c r="B2203" s="76" t="str">
        <v>1994.0</v>
      </c>
      <c r="C2203" s="42" t="str">
        <v xml:space="preserve">16 Jul 1994 - 12:30 </v>
      </c>
      <c r="D2203" s="42" t="str">
        <v>Match for third place</v>
      </c>
      <c r="E2203" s="42" t="str">
        <v>Rose Bowl</v>
      </c>
      <c r="F2203" s="42" t="str">
        <v xml:space="preserve">Los Angeles </v>
      </c>
      <c r="G2203" s="42" t="str">
        <v>Sweden</v>
      </c>
      <c r="H2203" s="42" t="str">
        <v>4.0</v>
      </c>
      <c r="I2203" s="42" t="str">
        <v>0.0</v>
      </c>
      <c r="J2203" s="42" t="str">
        <v>Bulgaria</v>
      </c>
      <c r="K2203" s="42" t="str">
        <v xml:space="preserve"> </v>
      </c>
      <c r="L2203" s="42" t="str">
        <f t="shared" si="166"/>
        <v xml:space="preserve">1994.0|16 Jul 1994 - 12:30 |Match for third place|Rose Bowl|Los Angeles |Sweden|4.0|0.0|Bulgaria| </v>
      </c>
      <c r="M2203" s="42" t="str">
        <f>IF(COUNTIF($L$1689:L2203,L2203)&gt;1,"DOUBLON","OK")</f>
        <v>OK</v>
      </c>
      <c r="S2203" s="12" t="str">
        <v>DR Congo</v>
      </c>
      <c r="T2203" s="12" t="str">
        <f t="shared" si="163"/>
        <v>ERREUR</v>
      </c>
      <c r="U2203" s="12" t="str">
        <f t="shared" si="164"/>
        <v>RENOMMER</v>
      </c>
      <c r="V2203" s="12" t="str" cm="1">
        <f t="array" ref="V2203">_xlfn.IFS(
ISNUMBER(SEARCH("USA",S2203)),"United States",
ISNUMBER(SEARCH("Republic of Ireland",S2203)),"Ireland",
ISNUMBER(SEARCH("Republic of Korea",S2203)),"South Korea",
ISNUMBER(SEARCH("Cape Verde",S2203)),"Cabo Verde",
ISNUMBER(SEARCH("Czechia",S2203)),"Czech Republic",
ISNUMBER(SEARCH("Türkiye",S2203)),"Turkey",
ISNUMBER(SEARCH("Ivory Coast",S2203)),"Côte d'Ivoire",
ISNUMBER(SEARCH("Korea Republic",S2203)),"South Korea",
ISNUMBER(SEARCH("Germany FR",S2203)),"FR Germany",
ISNUMBER(SEARCH("West Germany",S2203)),"FR Germany",
ISNUMBER(SEARCH("Germany DR",S2203)),"DR Germany",
ISNUMBER(SEARCH("Korea DPR",S2203)),"North Korea",
ISNUMBER(SEARCH("China PR",S2203)),"China",
ISNUMBER(SEARCH("IR Iran",S2203)),"Iran",
ISNUMBER(SEARCH("Congo DR",S2203)),"Democratic Republic of the Congo",
ISNUMBER(SEARCH("DR Congo",S2203)),"Democratic Republic of the Congo",
ISNUMBER(SEARCH("German DR",S2203)),"DR Germany",
ISNUMBER(SEARCH("rn""&gt;United Arab Emirates",S2203)),"United Arab Emirates",
ISNUMBER(SEARCH("rn""&gt;Republic of Ireland",S2203)),"Ireland",
ISNUMBER(SEARCH("rn""&gt;Bosnia and Herzegovina",S2203)),"Bosnia and Herzegovina",
ISNUMBER(SEARCH("rn""&gt;Trinidad and Tobago",S2203)),"Trinidad and Tobago",
ISNUMBER(SEARCH("rn""&gt;Serbia and Montenegro",S2203)),"Serbia and Montenegro",
ISNUMBER(SEARCH(_xlfn.UNICHAR(65533),S2203)),"Côte d'Ivoire",
TRUE,""
)</f>
        <v>Democratic Republic of the Congo</v>
      </c>
      <c r="W2203" s="12" t="str">
        <f t="shared" si="165"/>
        <v>Democratic Republic of the Congo</v>
      </c>
    </row>
    <row r="2204" spans="2:23">
      <c r="B2204" s="76" t="str">
        <v>1994.0</v>
      </c>
      <c r="C2204" s="42" t="str">
        <v xml:space="preserve">17 Jul 1994 - 12:30 </v>
      </c>
      <c r="D2204" s="42" t="str">
        <v>Final</v>
      </c>
      <c r="E2204" s="42" t="str">
        <v>Rose Bowl</v>
      </c>
      <c r="F2204" s="42" t="str">
        <v xml:space="preserve">Los Angeles </v>
      </c>
      <c r="G2204" s="42" t="str">
        <v>Brazil</v>
      </c>
      <c r="H2204" s="42" t="str">
        <v>0.0</v>
      </c>
      <c r="I2204" s="42" t="str">
        <v>0.0</v>
      </c>
      <c r="J2204" s="42" t="str">
        <v>Italy</v>
      </c>
      <c r="K2204" s="42" t="str">
        <v xml:space="preserve">Brazil win on penalties (3 - 2) </v>
      </c>
      <c r="L2204" s="42" t="str">
        <f t="shared" si="166"/>
        <v xml:space="preserve">1994.0|17 Jul 1994 - 12:30 |Final|Rose Bowl|Los Angeles |Brazil|0.0|0.0|Italy|Brazil win on penalties (3 - 2) </v>
      </c>
      <c r="M2204" s="42" t="str">
        <f>IF(COUNTIF($L$1689:L2204,L2204)&gt;1,"DOUBLON","OK")</f>
        <v>OK</v>
      </c>
      <c r="S2204" s="12" t="str">
        <v>DR Congo</v>
      </c>
      <c r="T2204" s="12" t="str">
        <f t="shared" si="163"/>
        <v>ERREUR</v>
      </c>
      <c r="U2204" s="12" t="str">
        <f t="shared" si="164"/>
        <v>RENOMMER</v>
      </c>
      <c r="V2204" s="12" t="str" cm="1">
        <f t="array" ref="V2204">_xlfn.IFS(
ISNUMBER(SEARCH("USA",S2204)),"United States",
ISNUMBER(SEARCH("Republic of Ireland",S2204)),"Ireland",
ISNUMBER(SEARCH("Republic of Korea",S2204)),"South Korea",
ISNUMBER(SEARCH("Cape Verde",S2204)),"Cabo Verde",
ISNUMBER(SEARCH("Czechia",S2204)),"Czech Republic",
ISNUMBER(SEARCH("Türkiye",S2204)),"Turkey",
ISNUMBER(SEARCH("Ivory Coast",S2204)),"Côte d'Ivoire",
ISNUMBER(SEARCH("Korea Republic",S2204)),"South Korea",
ISNUMBER(SEARCH("Germany FR",S2204)),"FR Germany",
ISNUMBER(SEARCH("West Germany",S2204)),"FR Germany",
ISNUMBER(SEARCH("Germany DR",S2204)),"DR Germany",
ISNUMBER(SEARCH("Korea DPR",S2204)),"North Korea",
ISNUMBER(SEARCH("China PR",S2204)),"China",
ISNUMBER(SEARCH("IR Iran",S2204)),"Iran",
ISNUMBER(SEARCH("Congo DR",S2204)),"Democratic Republic of the Congo",
ISNUMBER(SEARCH("DR Congo",S2204)),"Democratic Republic of the Congo",
ISNUMBER(SEARCH("German DR",S2204)),"DR Germany",
ISNUMBER(SEARCH("rn""&gt;United Arab Emirates",S2204)),"United Arab Emirates",
ISNUMBER(SEARCH("rn""&gt;Republic of Ireland",S2204)),"Ireland",
ISNUMBER(SEARCH("rn""&gt;Bosnia and Herzegovina",S2204)),"Bosnia and Herzegovina",
ISNUMBER(SEARCH("rn""&gt;Trinidad and Tobago",S2204)),"Trinidad and Tobago",
ISNUMBER(SEARCH("rn""&gt;Serbia and Montenegro",S2204)),"Serbia and Montenegro",
ISNUMBER(SEARCH(_xlfn.UNICHAR(65533),S2204)),"Côte d'Ivoire",
TRUE,""
)</f>
        <v>Democratic Republic of the Congo</v>
      </c>
      <c r="W2204" s="12" t="str">
        <f t="shared" si="165"/>
        <v>Democratic Republic of the Congo</v>
      </c>
    </row>
    <row r="2205" spans="2:23">
      <c r="B2205" s="76" t="str">
        <v>1998.0</v>
      </c>
      <c r="C2205" s="42" t="str">
        <v xml:space="preserve">10 Jun 1998 - 17:30 </v>
      </c>
      <c r="D2205" s="42" t="str">
        <v>Group A</v>
      </c>
      <c r="E2205" s="42" t="str">
        <v>Stade de France</v>
      </c>
      <c r="F2205" s="42" t="str">
        <v xml:space="preserve">Saint-Denis </v>
      </c>
      <c r="G2205" s="42" t="str">
        <v>Brazil</v>
      </c>
      <c r="H2205" s="42" t="str">
        <v>2.0</v>
      </c>
      <c r="I2205" s="42" t="str">
        <v>1.0</v>
      </c>
      <c r="J2205" s="42" t="str">
        <v>Scotland</v>
      </c>
      <c r="K2205" s="42" t="str">
        <v xml:space="preserve"> </v>
      </c>
      <c r="L2205" s="42" t="str">
        <f t="shared" si="166"/>
        <v xml:space="preserve">1998.0|10 Jun 1998 - 17:30 |Group A|Stade de France|Saint-Denis |Brazil|2.0|1.0|Scotland| </v>
      </c>
      <c r="M2205" s="42" t="str">
        <f>IF(COUNTIF($L$1689:L2205,L2205)&gt;1,"DOUBLON","OK")</f>
        <v>OK</v>
      </c>
      <c r="S2205" s="12" t="str">
        <v>DR Congo</v>
      </c>
      <c r="T2205" s="12" t="str">
        <f t="shared" si="163"/>
        <v>ERREUR</v>
      </c>
      <c r="U2205" s="12" t="str">
        <f t="shared" si="164"/>
        <v>RENOMMER</v>
      </c>
      <c r="V2205" s="12" t="str" cm="1">
        <f t="array" ref="V2205">_xlfn.IFS(
ISNUMBER(SEARCH("USA",S2205)),"United States",
ISNUMBER(SEARCH("Republic of Ireland",S2205)),"Ireland",
ISNUMBER(SEARCH("Republic of Korea",S2205)),"South Korea",
ISNUMBER(SEARCH("Cape Verde",S2205)),"Cabo Verde",
ISNUMBER(SEARCH("Czechia",S2205)),"Czech Republic",
ISNUMBER(SEARCH("Türkiye",S2205)),"Turkey",
ISNUMBER(SEARCH("Ivory Coast",S2205)),"Côte d'Ivoire",
ISNUMBER(SEARCH("Korea Republic",S2205)),"South Korea",
ISNUMBER(SEARCH("Germany FR",S2205)),"FR Germany",
ISNUMBER(SEARCH("West Germany",S2205)),"FR Germany",
ISNUMBER(SEARCH("Germany DR",S2205)),"DR Germany",
ISNUMBER(SEARCH("Korea DPR",S2205)),"North Korea",
ISNUMBER(SEARCH("China PR",S2205)),"China",
ISNUMBER(SEARCH("IR Iran",S2205)),"Iran",
ISNUMBER(SEARCH("Congo DR",S2205)),"Democratic Republic of the Congo",
ISNUMBER(SEARCH("DR Congo",S2205)),"Democratic Republic of the Congo",
ISNUMBER(SEARCH("German DR",S2205)),"DR Germany",
ISNUMBER(SEARCH("rn""&gt;United Arab Emirates",S2205)),"United Arab Emirates",
ISNUMBER(SEARCH("rn""&gt;Republic of Ireland",S2205)),"Ireland",
ISNUMBER(SEARCH("rn""&gt;Bosnia and Herzegovina",S2205)),"Bosnia and Herzegovina",
ISNUMBER(SEARCH("rn""&gt;Trinidad and Tobago",S2205)),"Trinidad and Tobago",
ISNUMBER(SEARCH("rn""&gt;Serbia and Montenegro",S2205)),"Serbia and Montenegro",
ISNUMBER(SEARCH(_xlfn.UNICHAR(65533),S2205)),"Côte d'Ivoire",
TRUE,""
)</f>
        <v>Democratic Republic of the Congo</v>
      </c>
      <c r="W2205" s="12" t="str">
        <f t="shared" si="165"/>
        <v>Democratic Republic of the Congo</v>
      </c>
    </row>
    <row r="2206" spans="2:23">
      <c r="B2206" s="76" t="str">
        <v>1998.0</v>
      </c>
      <c r="C2206" s="42" t="str">
        <v xml:space="preserve">10 Jun 1998 - 21:00 </v>
      </c>
      <c r="D2206" s="42" t="str">
        <v>Group A</v>
      </c>
      <c r="E2206" s="42" t="str">
        <v>La Mosson</v>
      </c>
      <c r="F2206" s="42" t="str">
        <v xml:space="preserve">Montpellier </v>
      </c>
      <c r="G2206" s="42" t="str">
        <v>Morocco</v>
      </c>
      <c r="H2206" s="42" t="str">
        <v>2.0</v>
      </c>
      <c r="I2206" s="42" t="str">
        <v>2.0</v>
      </c>
      <c r="J2206" s="42" t="str">
        <v>Norway</v>
      </c>
      <c r="K2206" s="42" t="str">
        <v xml:space="preserve"> </v>
      </c>
      <c r="L2206" s="42" t="str">
        <f t="shared" si="166"/>
        <v xml:space="preserve">1998.0|10 Jun 1998 - 21:00 |Group A|La Mosson|Montpellier |Morocco|2.0|2.0|Norway| </v>
      </c>
      <c r="M2206" s="42" t="str">
        <f>IF(COUNTIF($L$1689:L2206,L2206)&gt;1,"DOUBLON","OK")</f>
        <v>OK</v>
      </c>
      <c r="S2206" s="12" t="str">
        <v>DR Congo</v>
      </c>
      <c r="T2206" s="12" t="str">
        <f t="shared" si="163"/>
        <v>ERREUR</v>
      </c>
      <c r="U2206" s="12" t="str">
        <f t="shared" si="164"/>
        <v>RENOMMER</v>
      </c>
      <c r="V2206" s="12" t="str" cm="1">
        <f t="array" ref="V2206">_xlfn.IFS(
ISNUMBER(SEARCH("USA",S2206)),"United States",
ISNUMBER(SEARCH("Republic of Ireland",S2206)),"Ireland",
ISNUMBER(SEARCH("Republic of Korea",S2206)),"South Korea",
ISNUMBER(SEARCH("Cape Verde",S2206)),"Cabo Verde",
ISNUMBER(SEARCH("Czechia",S2206)),"Czech Republic",
ISNUMBER(SEARCH("Türkiye",S2206)),"Turkey",
ISNUMBER(SEARCH("Ivory Coast",S2206)),"Côte d'Ivoire",
ISNUMBER(SEARCH("Korea Republic",S2206)),"South Korea",
ISNUMBER(SEARCH("Germany FR",S2206)),"FR Germany",
ISNUMBER(SEARCH("West Germany",S2206)),"FR Germany",
ISNUMBER(SEARCH("Germany DR",S2206)),"DR Germany",
ISNUMBER(SEARCH("Korea DPR",S2206)),"North Korea",
ISNUMBER(SEARCH("China PR",S2206)),"China",
ISNUMBER(SEARCH("IR Iran",S2206)),"Iran",
ISNUMBER(SEARCH("Congo DR",S2206)),"Democratic Republic of the Congo",
ISNUMBER(SEARCH("DR Congo",S2206)),"Democratic Republic of the Congo",
ISNUMBER(SEARCH("German DR",S2206)),"DR Germany",
ISNUMBER(SEARCH("rn""&gt;United Arab Emirates",S2206)),"United Arab Emirates",
ISNUMBER(SEARCH("rn""&gt;Republic of Ireland",S2206)),"Ireland",
ISNUMBER(SEARCH("rn""&gt;Bosnia and Herzegovina",S2206)),"Bosnia and Herzegovina",
ISNUMBER(SEARCH("rn""&gt;Trinidad and Tobago",S2206)),"Trinidad and Tobago",
ISNUMBER(SEARCH("rn""&gt;Serbia and Montenegro",S2206)),"Serbia and Montenegro",
ISNUMBER(SEARCH(_xlfn.UNICHAR(65533),S2206)),"Côte d'Ivoire",
TRUE,""
)</f>
        <v>Democratic Republic of the Congo</v>
      </c>
      <c r="W2206" s="12" t="str">
        <f t="shared" si="165"/>
        <v>Democratic Republic of the Congo</v>
      </c>
    </row>
    <row r="2207" spans="2:23">
      <c r="B2207" s="76" t="str">
        <v>1998.0</v>
      </c>
      <c r="C2207" s="42" t="str">
        <v xml:space="preserve">11 Jun 1998 - 17:30 </v>
      </c>
      <c r="D2207" s="42" t="str">
        <v>Group B</v>
      </c>
      <c r="E2207" s="42" t="str">
        <v>Stade du Parc Lescure</v>
      </c>
      <c r="F2207" s="42" t="str">
        <v xml:space="preserve">Bordeaux </v>
      </c>
      <c r="G2207" s="42" t="str">
        <v>Italy</v>
      </c>
      <c r="H2207" s="42" t="str">
        <v>2.0</v>
      </c>
      <c r="I2207" s="42" t="str">
        <v>2.0</v>
      </c>
      <c r="J2207" s="42" t="str">
        <v>Chile</v>
      </c>
      <c r="K2207" s="42" t="str">
        <v xml:space="preserve"> </v>
      </c>
      <c r="L2207" s="42" t="str">
        <f t="shared" si="166"/>
        <v xml:space="preserve">1998.0|11 Jun 1998 - 17:30 |Group B|Stade du Parc Lescure|Bordeaux |Italy|2.0|2.0|Chile| </v>
      </c>
      <c r="M2207" s="42" t="str">
        <f>IF(COUNTIF($L$1689:L2207,L2207)&gt;1,"DOUBLON","OK")</f>
        <v>OK</v>
      </c>
      <c r="S2207" s="12" t="str">
        <v>DR Congo</v>
      </c>
      <c r="T2207" s="12" t="str">
        <f t="shared" si="163"/>
        <v>ERREUR</v>
      </c>
      <c r="U2207" s="12" t="str">
        <f t="shared" si="164"/>
        <v>RENOMMER</v>
      </c>
      <c r="V2207" s="12" t="str" cm="1">
        <f t="array" ref="V2207">_xlfn.IFS(
ISNUMBER(SEARCH("USA",S2207)),"United States",
ISNUMBER(SEARCH("Republic of Ireland",S2207)),"Ireland",
ISNUMBER(SEARCH("Republic of Korea",S2207)),"South Korea",
ISNUMBER(SEARCH("Cape Verde",S2207)),"Cabo Verde",
ISNUMBER(SEARCH("Czechia",S2207)),"Czech Republic",
ISNUMBER(SEARCH("Türkiye",S2207)),"Turkey",
ISNUMBER(SEARCH("Ivory Coast",S2207)),"Côte d'Ivoire",
ISNUMBER(SEARCH("Korea Republic",S2207)),"South Korea",
ISNUMBER(SEARCH("Germany FR",S2207)),"FR Germany",
ISNUMBER(SEARCH("West Germany",S2207)),"FR Germany",
ISNUMBER(SEARCH("Germany DR",S2207)),"DR Germany",
ISNUMBER(SEARCH("Korea DPR",S2207)),"North Korea",
ISNUMBER(SEARCH("China PR",S2207)),"China",
ISNUMBER(SEARCH("IR Iran",S2207)),"Iran",
ISNUMBER(SEARCH("Congo DR",S2207)),"Democratic Republic of the Congo",
ISNUMBER(SEARCH("DR Congo",S2207)),"Democratic Republic of the Congo",
ISNUMBER(SEARCH("German DR",S2207)),"DR Germany",
ISNUMBER(SEARCH("rn""&gt;United Arab Emirates",S2207)),"United Arab Emirates",
ISNUMBER(SEARCH("rn""&gt;Republic of Ireland",S2207)),"Ireland",
ISNUMBER(SEARCH("rn""&gt;Bosnia and Herzegovina",S2207)),"Bosnia and Herzegovina",
ISNUMBER(SEARCH("rn""&gt;Trinidad and Tobago",S2207)),"Trinidad and Tobago",
ISNUMBER(SEARCH("rn""&gt;Serbia and Montenegro",S2207)),"Serbia and Montenegro",
ISNUMBER(SEARCH(_xlfn.UNICHAR(65533),S2207)),"Côte d'Ivoire",
TRUE,""
)</f>
        <v>Democratic Republic of the Congo</v>
      </c>
      <c r="W2207" s="12" t="str">
        <f t="shared" si="165"/>
        <v>Democratic Republic of the Congo</v>
      </c>
    </row>
    <row r="2208" spans="2:23">
      <c r="B2208" s="76" t="str">
        <v>1998.0</v>
      </c>
      <c r="C2208" s="42" t="str">
        <v xml:space="preserve">11 Jun 1998 - 21:00 </v>
      </c>
      <c r="D2208" s="42" t="str">
        <v>Group B</v>
      </c>
      <c r="E2208" s="42" t="str">
        <v>Stade Municipal</v>
      </c>
      <c r="F2208" s="42" t="str">
        <v xml:space="preserve">Toulouse </v>
      </c>
      <c r="G2208" s="42" t="str">
        <v>Cameroon</v>
      </c>
      <c r="H2208" s="42" t="str">
        <v>1.0</v>
      </c>
      <c r="I2208" s="42" t="str">
        <v>1.0</v>
      </c>
      <c r="J2208" s="42" t="str">
        <v>Austria</v>
      </c>
      <c r="K2208" s="42" t="str">
        <v xml:space="preserve"> </v>
      </c>
      <c r="L2208" s="42" t="str">
        <f t="shared" si="166"/>
        <v xml:space="preserve">1998.0|11 Jun 1998 - 21:00 |Group B|Stade Municipal|Toulouse |Cameroon|1.0|1.0|Austria| </v>
      </c>
      <c r="M2208" s="42" t="str">
        <f>IF(COUNTIF($L$1689:L2208,L2208)&gt;1,"DOUBLON","OK")</f>
        <v>OK</v>
      </c>
      <c r="S2208" s="12" t="str">
        <v>DR Congo</v>
      </c>
      <c r="T2208" s="12" t="str">
        <f t="shared" si="163"/>
        <v>ERREUR</v>
      </c>
      <c r="U2208" s="12" t="str">
        <f t="shared" si="164"/>
        <v>RENOMMER</v>
      </c>
      <c r="V2208" s="12" t="str" cm="1">
        <f t="array" ref="V2208">_xlfn.IFS(
ISNUMBER(SEARCH("USA",S2208)),"United States",
ISNUMBER(SEARCH("Republic of Ireland",S2208)),"Ireland",
ISNUMBER(SEARCH("Republic of Korea",S2208)),"South Korea",
ISNUMBER(SEARCH("Cape Verde",S2208)),"Cabo Verde",
ISNUMBER(SEARCH("Czechia",S2208)),"Czech Republic",
ISNUMBER(SEARCH("Türkiye",S2208)),"Turkey",
ISNUMBER(SEARCH("Ivory Coast",S2208)),"Côte d'Ivoire",
ISNUMBER(SEARCH("Korea Republic",S2208)),"South Korea",
ISNUMBER(SEARCH("Germany FR",S2208)),"FR Germany",
ISNUMBER(SEARCH("West Germany",S2208)),"FR Germany",
ISNUMBER(SEARCH("Germany DR",S2208)),"DR Germany",
ISNUMBER(SEARCH("Korea DPR",S2208)),"North Korea",
ISNUMBER(SEARCH("China PR",S2208)),"China",
ISNUMBER(SEARCH("IR Iran",S2208)),"Iran",
ISNUMBER(SEARCH("Congo DR",S2208)),"Democratic Republic of the Congo",
ISNUMBER(SEARCH("DR Congo",S2208)),"Democratic Republic of the Congo",
ISNUMBER(SEARCH("German DR",S2208)),"DR Germany",
ISNUMBER(SEARCH("rn""&gt;United Arab Emirates",S2208)),"United Arab Emirates",
ISNUMBER(SEARCH("rn""&gt;Republic of Ireland",S2208)),"Ireland",
ISNUMBER(SEARCH("rn""&gt;Bosnia and Herzegovina",S2208)),"Bosnia and Herzegovina",
ISNUMBER(SEARCH("rn""&gt;Trinidad and Tobago",S2208)),"Trinidad and Tobago",
ISNUMBER(SEARCH("rn""&gt;Serbia and Montenegro",S2208)),"Serbia and Montenegro",
ISNUMBER(SEARCH(_xlfn.UNICHAR(65533),S2208)),"Côte d'Ivoire",
TRUE,""
)</f>
        <v>Democratic Republic of the Congo</v>
      </c>
      <c r="W2208" s="12" t="str">
        <f t="shared" si="165"/>
        <v>Democratic Republic of the Congo</v>
      </c>
    </row>
    <row r="2209" spans="2:23">
      <c r="B2209" s="76" t="str">
        <v>1998.0</v>
      </c>
      <c r="C2209" s="42" t="str">
        <v xml:space="preserve">12 Jun 1998 - 14:30 </v>
      </c>
      <c r="D2209" s="42" t="str">
        <v>Group D</v>
      </c>
      <c r="E2209" s="42" t="str">
        <v>La Mosson</v>
      </c>
      <c r="F2209" s="42" t="str">
        <v xml:space="preserve">Montpellier </v>
      </c>
      <c r="G2209" s="42" t="str">
        <v>Paraguay</v>
      </c>
      <c r="H2209" s="42" t="str">
        <v>0.0</v>
      </c>
      <c r="I2209" s="42" t="str">
        <v>0.0</v>
      </c>
      <c r="J2209" s="42" t="str">
        <v>Bulgaria</v>
      </c>
      <c r="K2209" s="42" t="str">
        <v xml:space="preserve"> </v>
      </c>
      <c r="L2209" s="42" t="str">
        <f t="shared" si="166"/>
        <v xml:space="preserve">1998.0|12 Jun 1998 - 14:30 |Group D|La Mosson|Montpellier |Paraguay|0.0|0.0|Bulgaria| </v>
      </c>
      <c r="M2209" s="42" t="str">
        <f>IF(COUNTIF($L$1689:L2209,L2209)&gt;1,"DOUBLON","OK")</f>
        <v>OK</v>
      </c>
      <c r="S2209" s="12" t="str">
        <v>DR Congo</v>
      </c>
      <c r="T2209" s="12" t="str">
        <f t="shared" ref="T2209:T2272" si="167">IF(COUNTIF(R$13:R$250,S2209)=1,"OK","ERREUR")</f>
        <v>ERREUR</v>
      </c>
      <c r="U2209" s="12" t="str">
        <f t="shared" si="164"/>
        <v>RENOMMER</v>
      </c>
      <c r="V2209" s="12" t="str" cm="1">
        <f t="array" ref="V2209">_xlfn.IFS(
ISNUMBER(SEARCH("USA",S2209)),"United States",
ISNUMBER(SEARCH("Republic of Ireland",S2209)),"Ireland",
ISNUMBER(SEARCH("Republic of Korea",S2209)),"South Korea",
ISNUMBER(SEARCH("Cape Verde",S2209)),"Cabo Verde",
ISNUMBER(SEARCH("Czechia",S2209)),"Czech Republic",
ISNUMBER(SEARCH("Türkiye",S2209)),"Turkey",
ISNUMBER(SEARCH("Ivory Coast",S2209)),"Côte d'Ivoire",
ISNUMBER(SEARCH("Korea Republic",S2209)),"South Korea",
ISNUMBER(SEARCH("Germany FR",S2209)),"FR Germany",
ISNUMBER(SEARCH("West Germany",S2209)),"FR Germany",
ISNUMBER(SEARCH("Germany DR",S2209)),"DR Germany",
ISNUMBER(SEARCH("Korea DPR",S2209)),"North Korea",
ISNUMBER(SEARCH("China PR",S2209)),"China",
ISNUMBER(SEARCH("IR Iran",S2209)),"Iran",
ISNUMBER(SEARCH("Congo DR",S2209)),"Democratic Republic of the Congo",
ISNUMBER(SEARCH("DR Congo",S2209)),"Democratic Republic of the Congo",
ISNUMBER(SEARCH("German DR",S2209)),"DR Germany",
ISNUMBER(SEARCH("rn""&gt;United Arab Emirates",S2209)),"United Arab Emirates",
ISNUMBER(SEARCH("rn""&gt;Republic of Ireland",S2209)),"Ireland",
ISNUMBER(SEARCH("rn""&gt;Bosnia and Herzegovina",S2209)),"Bosnia and Herzegovina",
ISNUMBER(SEARCH("rn""&gt;Trinidad and Tobago",S2209)),"Trinidad and Tobago",
ISNUMBER(SEARCH("rn""&gt;Serbia and Montenegro",S2209)),"Serbia and Montenegro",
ISNUMBER(SEARCH(_xlfn.UNICHAR(65533),S2209)),"Côte d'Ivoire",
TRUE,""
)</f>
        <v>Democratic Republic of the Congo</v>
      </c>
      <c r="W2209" s="12" t="str">
        <f t="shared" si="165"/>
        <v>Democratic Republic of the Congo</v>
      </c>
    </row>
    <row r="2210" spans="2:23">
      <c r="B2210" s="76" t="str">
        <v>1998.0</v>
      </c>
      <c r="C2210" s="42" t="str">
        <v xml:space="preserve">12 Jun 1998 - 17:30 </v>
      </c>
      <c r="D2210" s="42" t="str">
        <v>Group C</v>
      </c>
      <c r="E2210" s="42" t="str">
        <v>Stade Felix Bollaert</v>
      </c>
      <c r="F2210" s="42" t="str">
        <v xml:space="preserve">Lens </v>
      </c>
      <c r="G2210" s="42" t="str">
        <v>Saudi Arabia</v>
      </c>
      <c r="H2210" s="42" t="str">
        <v>0.0</v>
      </c>
      <c r="I2210" s="42" t="str">
        <v>1.0</v>
      </c>
      <c r="J2210" s="42" t="str">
        <v>Denmark</v>
      </c>
      <c r="K2210" s="42" t="str">
        <v xml:space="preserve"> </v>
      </c>
      <c r="L2210" s="42" t="str">
        <f t="shared" si="166"/>
        <v xml:space="preserve">1998.0|12 Jun 1998 - 17:30 |Group C|Stade Felix Bollaert|Lens |Saudi Arabia|0.0|1.0|Denmark| </v>
      </c>
      <c r="M2210" s="42" t="str">
        <f>IF(COUNTIF($L$1689:L2210,L2210)&gt;1,"DOUBLON","OK")</f>
        <v>OK</v>
      </c>
      <c r="S2210" s="12" t="str">
        <v>DR Congo</v>
      </c>
      <c r="T2210" s="12" t="str">
        <f t="shared" si="167"/>
        <v>ERREUR</v>
      </c>
      <c r="U2210" s="12" t="str">
        <f t="shared" ref="U2210:U2273" si="168">IF(OR(S2210="Scotland",S2210="England",S2210="Wales",S2210="Yugoslavia",S2210="Czechoslovakia",S2210="Northern Ireland",S2210="Soviet Union",S2210="Zaire",S2210="Dutch East Indies"),"AUCUNE",IF(OR(S2210="Cape Verde",S2210="USA",S2210="DR Congo",S2210="Republic of Korea",S2210="Germany FR",S2210="Germany DR",S2210="Czechia",S2210="Ivory Coast",S2210="Korea DPR",S2210="China PR",S2210="IR Iran",S2210="Türkiye",S2210="Congo DR",S2210="German DR",S2210="West Germany",S2210="Republic of Ireland",ISNUMBER(SEARCH("rn""&gt;United Arab Emirates",S2210)),ISNUMBER(SEARCH("rn""&gt;Republic of Ireland",S2210)),ISNUMBER(SEARCH("rn""&gt;Bosnia and Herzegovina",S2210)),ISNUMBER(SEARCH("rn""&gt;Trinidad and Tobago",S2210)),ISNUMBER(SEARCH("rn""&gt;Serbia and Montenegro",S2210)),ISNUMBER(SEARCH(_xlfn.UNICHAR(65533),S2210))),"RENOMMER","-"))</f>
        <v>RENOMMER</v>
      </c>
      <c r="V2210" s="12" t="str" cm="1">
        <f t="array" ref="V2210">_xlfn.IFS(
ISNUMBER(SEARCH("USA",S2210)),"United States",
ISNUMBER(SEARCH("Republic of Ireland",S2210)),"Ireland",
ISNUMBER(SEARCH("Republic of Korea",S2210)),"South Korea",
ISNUMBER(SEARCH("Cape Verde",S2210)),"Cabo Verde",
ISNUMBER(SEARCH("Czechia",S2210)),"Czech Republic",
ISNUMBER(SEARCH("Türkiye",S2210)),"Turkey",
ISNUMBER(SEARCH("Ivory Coast",S2210)),"Côte d'Ivoire",
ISNUMBER(SEARCH("Korea Republic",S2210)),"South Korea",
ISNUMBER(SEARCH("Germany FR",S2210)),"FR Germany",
ISNUMBER(SEARCH("West Germany",S2210)),"FR Germany",
ISNUMBER(SEARCH("Germany DR",S2210)),"DR Germany",
ISNUMBER(SEARCH("Korea DPR",S2210)),"North Korea",
ISNUMBER(SEARCH("China PR",S2210)),"China",
ISNUMBER(SEARCH("IR Iran",S2210)),"Iran",
ISNUMBER(SEARCH("Congo DR",S2210)),"Democratic Republic of the Congo",
ISNUMBER(SEARCH("DR Congo",S2210)),"Democratic Republic of the Congo",
ISNUMBER(SEARCH("German DR",S2210)),"DR Germany",
ISNUMBER(SEARCH("rn""&gt;United Arab Emirates",S2210)),"United Arab Emirates",
ISNUMBER(SEARCH("rn""&gt;Republic of Ireland",S2210)),"Ireland",
ISNUMBER(SEARCH("rn""&gt;Bosnia and Herzegovina",S2210)),"Bosnia and Herzegovina",
ISNUMBER(SEARCH("rn""&gt;Trinidad and Tobago",S2210)),"Trinidad and Tobago",
ISNUMBER(SEARCH("rn""&gt;Serbia and Montenegro",S2210)),"Serbia and Montenegro",
ISNUMBER(SEARCH(_xlfn.UNICHAR(65533),S2210)),"Côte d'Ivoire",
TRUE,""
)</f>
        <v>Democratic Republic of the Congo</v>
      </c>
      <c r="W2210" s="12" t="str">
        <f t="shared" ref="W2210:W2273" si="169">IF(V2210="",S2210,V2210)</f>
        <v>Democratic Republic of the Congo</v>
      </c>
    </row>
    <row r="2211" spans="2:23">
      <c r="B2211" s="76" t="str">
        <v>1998.0</v>
      </c>
      <c r="C2211" s="42" t="str">
        <v xml:space="preserve">12 Jun 1998 - 21:00 </v>
      </c>
      <c r="D2211" s="42" t="str">
        <v>Group C</v>
      </c>
      <c r="E2211" s="42" t="str">
        <v>Stade V�lodrome</v>
      </c>
      <c r="F2211" s="42" t="str">
        <v xml:space="preserve">Marseilles </v>
      </c>
      <c r="G2211" s="42" t="str">
        <v>France</v>
      </c>
      <c r="H2211" s="42" t="str">
        <v>3.0</v>
      </c>
      <c r="I2211" s="42" t="str">
        <v>0.0</v>
      </c>
      <c r="J2211" s="42" t="str">
        <v>South Africa</v>
      </c>
      <c r="K2211" s="42" t="str">
        <v xml:space="preserve"> </v>
      </c>
      <c r="L2211" s="42" t="str">
        <f t="shared" si="166"/>
        <v xml:space="preserve">1998.0|12 Jun 1998 - 21:00 |Group C|Stade V�lodrome|Marseilles |France|3.0|0.0|South Africa| </v>
      </c>
      <c r="M2211" s="42" t="str">
        <f>IF(COUNTIF($L$1689:L2211,L2211)&gt;1,"DOUBLON","OK")</f>
        <v>OK</v>
      </c>
      <c r="S2211" s="12" t="str">
        <v>DR Congo</v>
      </c>
      <c r="T2211" s="12" t="str">
        <f t="shared" si="167"/>
        <v>ERREUR</v>
      </c>
      <c r="U2211" s="12" t="str">
        <f t="shared" si="168"/>
        <v>RENOMMER</v>
      </c>
      <c r="V2211" s="12" t="str" cm="1">
        <f t="array" ref="V2211">_xlfn.IFS(
ISNUMBER(SEARCH("USA",S2211)),"United States",
ISNUMBER(SEARCH("Republic of Ireland",S2211)),"Ireland",
ISNUMBER(SEARCH("Republic of Korea",S2211)),"South Korea",
ISNUMBER(SEARCH("Cape Verde",S2211)),"Cabo Verde",
ISNUMBER(SEARCH("Czechia",S2211)),"Czech Republic",
ISNUMBER(SEARCH("Türkiye",S2211)),"Turkey",
ISNUMBER(SEARCH("Ivory Coast",S2211)),"Côte d'Ivoire",
ISNUMBER(SEARCH("Korea Republic",S2211)),"South Korea",
ISNUMBER(SEARCH("Germany FR",S2211)),"FR Germany",
ISNUMBER(SEARCH("West Germany",S2211)),"FR Germany",
ISNUMBER(SEARCH("Germany DR",S2211)),"DR Germany",
ISNUMBER(SEARCH("Korea DPR",S2211)),"North Korea",
ISNUMBER(SEARCH("China PR",S2211)),"China",
ISNUMBER(SEARCH("IR Iran",S2211)),"Iran",
ISNUMBER(SEARCH("Congo DR",S2211)),"Democratic Republic of the Congo",
ISNUMBER(SEARCH("DR Congo",S2211)),"Democratic Republic of the Congo",
ISNUMBER(SEARCH("German DR",S2211)),"DR Germany",
ISNUMBER(SEARCH("rn""&gt;United Arab Emirates",S2211)),"United Arab Emirates",
ISNUMBER(SEARCH("rn""&gt;Republic of Ireland",S2211)),"Ireland",
ISNUMBER(SEARCH("rn""&gt;Bosnia and Herzegovina",S2211)),"Bosnia and Herzegovina",
ISNUMBER(SEARCH("rn""&gt;Trinidad and Tobago",S2211)),"Trinidad and Tobago",
ISNUMBER(SEARCH("rn""&gt;Serbia and Montenegro",S2211)),"Serbia and Montenegro",
ISNUMBER(SEARCH(_xlfn.UNICHAR(65533),S2211)),"Côte d'Ivoire",
TRUE,""
)</f>
        <v>Democratic Republic of the Congo</v>
      </c>
      <c r="W2211" s="12" t="str">
        <f t="shared" si="169"/>
        <v>Democratic Republic of the Congo</v>
      </c>
    </row>
    <row r="2212" spans="2:23">
      <c r="B2212" s="76" t="str">
        <v>1998.0</v>
      </c>
      <c r="C2212" s="42" t="str">
        <v xml:space="preserve">13 Jun 1998 - 14:30 </v>
      </c>
      <c r="D2212" s="42" t="str">
        <v>Group D</v>
      </c>
      <c r="E2212" s="42" t="str">
        <v>La Beaujoire</v>
      </c>
      <c r="F2212" s="42" t="str">
        <v xml:space="preserve">Nantes </v>
      </c>
      <c r="G2212" s="42" t="str">
        <v>Spain</v>
      </c>
      <c r="H2212" s="42" t="str">
        <v>2.0</v>
      </c>
      <c r="I2212" s="42" t="str">
        <v>3.0</v>
      </c>
      <c r="J2212" s="42" t="str">
        <v>Nigeria</v>
      </c>
      <c r="K2212" s="42" t="str">
        <v xml:space="preserve"> </v>
      </c>
      <c r="L2212" s="42" t="str">
        <f t="shared" si="166"/>
        <v xml:space="preserve">1998.0|13 Jun 1998 - 14:30 |Group D|La Beaujoire|Nantes |Spain|2.0|3.0|Nigeria| </v>
      </c>
      <c r="M2212" s="42" t="str">
        <f>IF(COUNTIF($L$1689:L2212,L2212)&gt;1,"DOUBLON","OK")</f>
        <v>OK</v>
      </c>
      <c r="S2212" s="12" t="str">
        <v>DR Congo</v>
      </c>
      <c r="T2212" s="12" t="str">
        <f t="shared" si="167"/>
        <v>ERREUR</v>
      </c>
      <c r="U2212" s="12" t="str">
        <f t="shared" si="168"/>
        <v>RENOMMER</v>
      </c>
      <c r="V2212" s="12" t="str" cm="1">
        <f t="array" ref="V2212">_xlfn.IFS(
ISNUMBER(SEARCH("USA",S2212)),"United States",
ISNUMBER(SEARCH("Republic of Ireland",S2212)),"Ireland",
ISNUMBER(SEARCH("Republic of Korea",S2212)),"South Korea",
ISNUMBER(SEARCH("Cape Verde",S2212)),"Cabo Verde",
ISNUMBER(SEARCH("Czechia",S2212)),"Czech Republic",
ISNUMBER(SEARCH("Türkiye",S2212)),"Turkey",
ISNUMBER(SEARCH("Ivory Coast",S2212)),"Côte d'Ivoire",
ISNUMBER(SEARCH("Korea Republic",S2212)),"South Korea",
ISNUMBER(SEARCH("Germany FR",S2212)),"FR Germany",
ISNUMBER(SEARCH("West Germany",S2212)),"FR Germany",
ISNUMBER(SEARCH("Germany DR",S2212)),"DR Germany",
ISNUMBER(SEARCH("Korea DPR",S2212)),"North Korea",
ISNUMBER(SEARCH("China PR",S2212)),"China",
ISNUMBER(SEARCH("IR Iran",S2212)),"Iran",
ISNUMBER(SEARCH("Congo DR",S2212)),"Democratic Republic of the Congo",
ISNUMBER(SEARCH("DR Congo",S2212)),"Democratic Republic of the Congo",
ISNUMBER(SEARCH("German DR",S2212)),"DR Germany",
ISNUMBER(SEARCH("rn""&gt;United Arab Emirates",S2212)),"United Arab Emirates",
ISNUMBER(SEARCH("rn""&gt;Republic of Ireland",S2212)),"Ireland",
ISNUMBER(SEARCH("rn""&gt;Bosnia and Herzegovina",S2212)),"Bosnia and Herzegovina",
ISNUMBER(SEARCH("rn""&gt;Trinidad and Tobago",S2212)),"Trinidad and Tobago",
ISNUMBER(SEARCH("rn""&gt;Serbia and Montenegro",S2212)),"Serbia and Montenegro",
ISNUMBER(SEARCH(_xlfn.UNICHAR(65533),S2212)),"Côte d'Ivoire",
TRUE,""
)</f>
        <v>Democratic Republic of the Congo</v>
      </c>
      <c r="W2212" s="12" t="str">
        <f t="shared" si="169"/>
        <v>Democratic Republic of the Congo</v>
      </c>
    </row>
    <row r="2213" spans="2:23">
      <c r="B2213" s="76" t="str">
        <v>1998.0</v>
      </c>
      <c r="C2213" s="42" t="str">
        <v xml:space="preserve">13 Jun 1998 - 17:30 </v>
      </c>
      <c r="D2213" s="42" t="str">
        <v>Group E</v>
      </c>
      <c r="E2213" s="42" t="str">
        <v>Stade de Gerland</v>
      </c>
      <c r="F2213" s="42" t="str">
        <v xml:space="preserve">Lyon </v>
      </c>
      <c r="G2213" s="42" t="str">
        <v>Korea Republic</v>
      </c>
      <c r="H2213" s="42" t="str">
        <v>1.0</v>
      </c>
      <c r="I2213" s="42" t="str">
        <v>3.0</v>
      </c>
      <c r="J2213" s="42" t="str">
        <v>Mexico</v>
      </c>
      <c r="K2213" s="42" t="str">
        <v xml:space="preserve"> </v>
      </c>
      <c r="L2213" s="42" t="str">
        <f t="shared" si="166"/>
        <v xml:space="preserve">1998.0|13 Jun 1998 - 17:30 |Group E|Stade de Gerland|Lyon |Korea Republic|1.0|3.0|Mexico| </v>
      </c>
      <c r="M2213" s="42" t="str">
        <f>IF(COUNTIF($L$1689:L2213,L2213)&gt;1,"DOUBLON","OK")</f>
        <v>OK</v>
      </c>
      <c r="S2213" s="12" t="str">
        <v>Portugal</v>
      </c>
      <c r="T2213" s="12" t="str">
        <f t="shared" si="167"/>
        <v>OK</v>
      </c>
      <c r="U2213" s="12" t="str">
        <f t="shared" si="168"/>
        <v>-</v>
      </c>
      <c r="V2213" s="12" t="str" cm="1">
        <f t="array" ref="V2213">_xlfn.IFS(
ISNUMBER(SEARCH("USA",S2213)),"United States",
ISNUMBER(SEARCH("Republic of Ireland",S2213)),"Ireland",
ISNUMBER(SEARCH("Republic of Korea",S2213)),"South Korea",
ISNUMBER(SEARCH("Cape Verde",S2213)),"Cabo Verde",
ISNUMBER(SEARCH("Czechia",S2213)),"Czech Republic",
ISNUMBER(SEARCH("Türkiye",S2213)),"Turkey",
ISNUMBER(SEARCH("Ivory Coast",S2213)),"Côte d'Ivoire",
ISNUMBER(SEARCH("Korea Republic",S2213)),"South Korea",
ISNUMBER(SEARCH("Germany FR",S2213)),"FR Germany",
ISNUMBER(SEARCH("West Germany",S2213)),"FR Germany",
ISNUMBER(SEARCH("Germany DR",S2213)),"DR Germany",
ISNUMBER(SEARCH("Korea DPR",S2213)),"North Korea",
ISNUMBER(SEARCH("China PR",S2213)),"China",
ISNUMBER(SEARCH("IR Iran",S2213)),"Iran",
ISNUMBER(SEARCH("Congo DR",S2213)),"Democratic Republic of the Congo",
ISNUMBER(SEARCH("DR Congo",S2213)),"Democratic Republic of the Congo",
ISNUMBER(SEARCH("German DR",S2213)),"DR Germany",
ISNUMBER(SEARCH("rn""&gt;United Arab Emirates",S2213)),"United Arab Emirates",
ISNUMBER(SEARCH("rn""&gt;Republic of Ireland",S2213)),"Ireland",
ISNUMBER(SEARCH("rn""&gt;Bosnia and Herzegovina",S2213)),"Bosnia and Herzegovina",
ISNUMBER(SEARCH("rn""&gt;Trinidad and Tobago",S2213)),"Trinidad and Tobago",
ISNUMBER(SEARCH("rn""&gt;Serbia and Montenegro",S2213)),"Serbia and Montenegro",
ISNUMBER(SEARCH(_xlfn.UNICHAR(65533),S2213)),"Côte d'Ivoire",
TRUE,""
)</f>
        <v/>
      </c>
      <c r="W2213" s="12" t="str">
        <f t="shared" si="169"/>
        <v>Portugal</v>
      </c>
    </row>
    <row r="2214" spans="2:23">
      <c r="B2214" s="76" t="str">
        <v>1998.0</v>
      </c>
      <c r="C2214" s="42" t="str">
        <v xml:space="preserve">13 Jun 1998 - 21:00 </v>
      </c>
      <c r="D2214" s="42" t="str">
        <v>Group E</v>
      </c>
      <c r="E2214" s="42" t="str">
        <v>Stade de France</v>
      </c>
      <c r="F2214" s="42" t="str">
        <v xml:space="preserve">Saint-Denis </v>
      </c>
      <c r="G2214" s="42" t="str">
        <v>Netherlands</v>
      </c>
      <c r="H2214" s="42" t="str">
        <v>0.0</v>
      </c>
      <c r="I2214" s="42" t="str">
        <v>0.0</v>
      </c>
      <c r="J2214" s="42" t="str">
        <v>Belgium</v>
      </c>
      <c r="K2214" s="42" t="str">
        <v xml:space="preserve"> </v>
      </c>
      <c r="L2214" s="42" t="str">
        <f t="shared" si="166"/>
        <v xml:space="preserve">1998.0|13 Jun 1998 - 21:00 |Group E|Stade de France|Saint-Denis |Netherlands|0.0|0.0|Belgium| </v>
      </c>
      <c r="M2214" s="42" t="str">
        <f>IF(COUNTIF($L$1689:L2214,L2214)&gt;1,"DOUBLON","OK")</f>
        <v>OK</v>
      </c>
      <c r="S2214" s="12" t="str">
        <v>Portugal</v>
      </c>
      <c r="T2214" s="12" t="str">
        <f t="shared" si="167"/>
        <v>OK</v>
      </c>
      <c r="U2214" s="12" t="str">
        <f t="shared" si="168"/>
        <v>-</v>
      </c>
      <c r="V2214" s="12" t="str" cm="1">
        <f t="array" ref="V2214">_xlfn.IFS(
ISNUMBER(SEARCH("USA",S2214)),"United States",
ISNUMBER(SEARCH("Republic of Ireland",S2214)),"Ireland",
ISNUMBER(SEARCH("Republic of Korea",S2214)),"South Korea",
ISNUMBER(SEARCH("Cape Verde",S2214)),"Cabo Verde",
ISNUMBER(SEARCH("Czechia",S2214)),"Czech Republic",
ISNUMBER(SEARCH("Türkiye",S2214)),"Turkey",
ISNUMBER(SEARCH("Ivory Coast",S2214)),"Côte d'Ivoire",
ISNUMBER(SEARCH("Korea Republic",S2214)),"South Korea",
ISNUMBER(SEARCH("Germany FR",S2214)),"FR Germany",
ISNUMBER(SEARCH("West Germany",S2214)),"FR Germany",
ISNUMBER(SEARCH("Germany DR",S2214)),"DR Germany",
ISNUMBER(SEARCH("Korea DPR",S2214)),"North Korea",
ISNUMBER(SEARCH("China PR",S2214)),"China",
ISNUMBER(SEARCH("IR Iran",S2214)),"Iran",
ISNUMBER(SEARCH("Congo DR",S2214)),"Democratic Republic of the Congo",
ISNUMBER(SEARCH("DR Congo",S2214)),"Democratic Republic of the Congo",
ISNUMBER(SEARCH("German DR",S2214)),"DR Germany",
ISNUMBER(SEARCH("rn""&gt;United Arab Emirates",S2214)),"United Arab Emirates",
ISNUMBER(SEARCH("rn""&gt;Republic of Ireland",S2214)),"Ireland",
ISNUMBER(SEARCH("rn""&gt;Bosnia and Herzegovina",S2214)),"Bosnia and Herzegovina",
ISNUMBER(SEARCH("rn""&gt;Trinidad and Tobago",S2214)),"Trinidad and Tobago",
ISNUMBER(SEARCH("rn""&gt;Serbia and Montenegro",S2214)),"Serbia and Montenegro",
ISNUMBER(SEARCH(_xlfn.UNICHAR(65533),S2214)),"Côte d'Ivoire",
TRUE,""
)</f>
        <v/>
      </c>
      <c r="W2214" s="12" t="str">
        <f t="shared" si="169"/>
        <v>Portugal</v>
      </c>
    </row>
    <row r="2215" spans="2:23">
      <c r="B2215" s="76" t="str">
        <v>1998.0</v>
      </c>
      <c r="C2215" s="42" t="str">
        <v xml:space="preserve">14 Jun 1998 - 14:30 </v>
      </c>
      <c r="D2215" s="42" t="str">
        <v>Group H</v>
      </c>
      <c r="E2215" s="42" t="str">
        <v>Stade Municipal</v>
      </c>
      <c r="F2215" s="42" t="str">
        <v xml:space="preserve">Toulouse </v>
      </c>
      <c r="G2215" s="42" t="str">
        <v>Argentina</v>
      </c>
      <c r="H2215" s="42" t="str">
        <v>1.0</v>
      </c>
      <c r="I2215" s="42" t="str">
        <v>0.0</v>
      </c>
      <c r="J2215" s="42" t="str">
        <v>Japan</v>
      </c>
      <c r="K2215" s="42" t="str">
        <v xml:space="preserve"> </v>
      </c>
      <c r="L2215" s="42" t="str">
        <f t="shared" si="166"/>
        <v xml:space="preserve">1998.0|14 Jun 1998 - 14:30 |Group H|Stade Municipal|Toulouse |Argentina|1.0|0.0|Japan| </v>
      </c>
      <c r="M2215" s="42" t="str">
        <f>IF(COUNTIF($L$1689:L2215,L2215)&gt;1,"DOUBLON","OK")</f>
        <v>OK</v>
      </c>
      <c r="S2215" s="12" t="str">
        <v>Portugal</v>
      </c>
      <c r="T2215" s="12" t="str">
        <f t="shared" si="167"/>
        <v>OK</v>
      </c>
      <c r="U2215" s="12" t="str">
        <f t="shared" si="168"/>
        <v>-</v>
      </c>
      <c r="V2215" s="12" t="str" cm="1">
        <f t="array" ref="V2215">_xlfn.IFS(
ISNUMBER(SEARCH("USA",S2215)),"United States",
ISNUMBER(SEARCH("Republic of Ireland",S2215)),"Ireland",
ISNUMBER(SEARCH("Republic of Korea",S2215)),"South Korea",
ISNUMBER(SEARCH("Cape Verde",S2215)),"Cabo Verde",
ISNUMBER(SEARCH("Czechia",S2215)),"Czech Republic",
ISNUMBER(SEARCH("Türkiye",S2215)),"Turkey",
ISNUMBER(SEARCH("Ivory Coast",S2215)),"Côte d'Ivoire",
ISNUMBER(SEARCH("Korea Republic",S2215)),"South Korea",
ISNUMBER(SEARCH("Germany FR",S2215)),"FR Germany",
ISNUMBER(SEARCH("West Germany",S2215)),"FR Germany",
ISNUMBER(SEARCH("Germany DR",S2215)),"DR Germany",
ISNUMBER(SEARCH("Korea DPR",S2215)),"North Korea",
ISNUMBER(SEARCH("China PR",S2215)),"China",
ISNUMBER(SEARCH("IR Iran",S2215)),"Iran",
ISNUMBER(SEARCH("Congo DR",S2215)),"Democratic Republic of the Congo",
ISNUMBER(SEARCH("DR Congo",S2215)),"Democratic Republic of the Congo",
ISNUMBER(SEARCH("German DR",S2215)),"DR Germany",
ISNUMBER(SEARCH("rn""&gt;United Arab Emirates",S2215)),"United Arab Emirates",
ISNUMBER(SEARCH("rn""&gt;Republic of Ireland",S2215)),"Ireland",
ISNUMBER(SEARCH("rn""&gt;Bosnia and Herzegovina",S2215)),"Bosnia and Herzegovina",
ISNUMBER(SEARCH("rn""&gt;Trinidad and Tobago",S2215)),"Trinidad and Tobago",
ISNUMBER(SEARCH("rn""&gt;Serbia and Montenegro",S2215)),"Serbia and Montenegro",
ISNUMBER(SEARCH(_xlfn.UNICHAR(65533),S2215)),"Côte d'Ivoire",
TRUE,""
)</f>
        <v/>
      </c>
      <c r="W2215" s="12" t="str">
        <f t="shared" si="169"/>
        <v>Portugal</v>
      </c>
    </row>
    <row r="2216" spans="2:23">
      <c r="B2216" s="76" t="str">
        <v>1998.0</v>
      </c>
      <c r="C2216" s="42" t="str">
        <v xml:space="preserve">14 Jun 1998 - 17:30 </v>
      </c>
      <c r="D2216" s="42" t="str">
        <v>Group F</v>
      </c>
      <c r="E2216" s="42" t="str">
        <v>Stade Geoffroy Guichard</v>
      </c>
      <c r="F2216" s="42" t="str">
        <v xml:space="preserve">Saint-Etienne </v>
      </c>
      <c r="G2216" s="42" t="str">
        <v>Yugoslavia</v>
      </c>
      <c r="H2216" s="42" t="str">
        <v>1.0</v>
      </c>
      <c r="I2216" s="42" t="str">
        <v>0.0</v>
      </c>
      <c r="J2216" s="42" t="str">
        <v>Iran</v>
      </c>
      <c r="K2216" s="42" t="str">
        <v xml:space="preserve"> </v>
      </c>
      <c r="L2216" s="42" t="str">
        <f t="shared" si="166"/>
        <v xml:space="preserve">1998.0|14 Jun 1998 - 17:30 |Group F|Stade Geoffroy Guichard|Saint-Etienne |Yugoslavia|1.0|0.0|Iran| </v>
      </c>
      <c r="M2216" s="42" t="str">
        <f>IF(COUNTIF($L$1689:L2216,L2216)&gt;1,"DOUBLON","OK")</f>
        <v>OK</v>
      </c>
      <c r="S2216" s="12" t="str">
        <v>Portugal</v>
      </c>
      <c r="T2216" s="12" t="str">
        <f t="shared" si="167"/>
        <v>OK</v>
      </c>
      <c r="U2216" s="12" t="str">
        <f t="shared" si="168"/>
        <v>-</v>
      </c>
      <c r="V2216" s="12" t="str" cm="1">
        <f t="array" ref="V2216">_xlfn.IFS(
ISNUMBER(SEARCH("USA",S2216)),"United States",
ISNUMBER(SEARCH("Republic of Ireland",S2216)),"Ireland",
ISNUMBER(SEARCH("Republic of Korea",S2216)),"South Korea",
ISNUMBER(SEARCH("Cape Verde",S2216)),"Cabo Verde",
ISNUMBER(SEARCH("Czechia",S2216)),"Czech Republic",
ISNUMBER(SEARCH("Türkiye",S2216)),"Turkey",
ISNUMBER(SEARCH("Ivory Coast",S2216)),"Côte d'Ivoire",
ISNUMBER(SEARCH("Korea Republic",S2216)),"South Korea",
ISNUMBER(SEARCH("Germany FR",S2216)),"FR Germany",
ISNUMBER(SEARCH("West Germany",S2216)),"FR Germany",
ISNUMBER(SEARCH("Germany DR",S2216)),"DR Germany",
ISNUMBER(SEARCH("Korea DPR",S2216)),"North Korea",
ISNUMBER(SEARCH("China PR",S2216)),"China",
ISNUMBER(SEARCH("IR Iran",S2216)),"Iran",
ISNUMBER(SEARCH("Congo DR",S2216)),"Democratic Republic of the Congo",
ISNUMBER(SEARCH("DR Congo",S2216)),"Democratic Republic of the Congo",
ISNUMBER(SEARCH("German DR",S2216)),"DR Germany",
ISNUMBER(SEARCH("rn""&gt;United Arab Emirates",S2216)),"United Arab Emirates",
ISNUMBER(SEARCH("rn""&gt;Republic of Ireland",S2216)),"Ireland",
ISNUMBER(SEARCH("rn""&gt;Bosnia and Herzegovina",S2216)),"Bosnia and Herzegovina",
ISNUMBER(SEARCH("rn""&gt;Trinidad and Tobago",S2216)),"Trinidad and Tobago",
ISNUMBER(SEARCH("rn""&gt;Serbia and Montenegro",S2216)),"Serbia and Montenegro",
ISNUMBER(SEARCH(_xlfn.UNICHAR(65533),S2216)),"Côte d'Ivoire",
TRUE,""
)</f>
        <v/>
      </c>
      <c r="W2216" s="12" t="str">
        <f t="shared" si="169"/>
        <v>Portugal</v>
      </c>
    </row>
    <row r="2217" spans="2:23">
      <c r="B2217" s="76" t="str">
        <v>1998.0</v>
      </c>
      <c r="C2217" s="42" t="str">
        <v xml:space="preserve">14 Jun 1998 - 21:00 </v>
      </c>
      <c r="D2217" s="42" t="str">
        <v>Group H</v>
      </c>
      <c r="E2217" s="42" t="str">
        <v>Stade Felix Bollaert</v>
      </c>
      <c r="F2217" s="42" t="str">
        <v xml:space="preserve">Lens </v>
      </c>
      <c r="G2217" s="42" t="str">
        <v>Jamaica</v>
      </c>
      <c r="H2217" s="42" t="str">
        <v>1.0</v>
      </c>
      <c r="I2217" s="42" t="str">
        <v>3.0</v>
      </c>
      <c r="J2217" s="42" t="str">
        <v>Croatia</v>
      </c>
      <c r="K2217" s="42" t="str">
        <v xml:space="preserve"> </v>
      </c>
      <c r="L2217" s="42" t="str">
        <f t="shared" si="166"/>
        <v xml:space="preserve">1998.0|14 Jun 1998 - 21:00 |Group H|Stade Felix Bollaert|Lens |Jamaica|1.0|3.0|Croatia| </v>
      </c>
      <c r="M2217" s="42" t="str">
        <f>IF(COUNTIF($L$1689:L2217,L2217)&gt;1,"DOUBLON","OK")</f>
        <v>OK</v>
      </c>
      <c r="S2217" s="12" t="str">
        <v>Portugal</v>
      </c>
      <c r="T2217" s="12" t="str">
        <f t="shared" si="167"/>
        <v>OK</v>
      </c>
      <c r="U2217" s="12" t="str">
        <f t="shared" si="168"/>
        <v>-</v>
      </c>
      <c r="V2217" s="12" t="str" cm="1">
        <f t="array" ref="V2217">_xlfn.IFS(
ISNUMBER(SEARCH("USA",S2217)),"United States",
ISNUMBER(SEARCH("Republic of Ireland",S2217)),"Ireland",
ISNUMBER(SEARCH("Republic of Korea",S2217)),"South Korea",
ISNUMBER(SEARCH("Cape Verde",S2217)),"Cabo Verde",
ISNUMBER(SEARCH("Czechia",S2217)),"Czech Republic",
ISNUMBER(SEARCH("Türkiye",S2217)),"Turkey",
ISNUMBER(SEARCH("Ivory Coast",S2217)),"Côte d'Ivoire",
ISNUMBER(SEARCH("Korea Republic",S2217)),"South Korea",
ISNUMBER(SEARCH("Germany FR",S2217)),"FR Germany",
ISNUMBER(SEARCH("West Germany",S2217)),"FR Germany",
ISNUMBER(SEARCH("Germany DR",S2217)),"DR Germany",
ISNUMBER(SEARCH("Korea DPR",S2217)),"North Korea",
ISNUMBER(SEARCH("China PR",S2217)),"China",
ISNUMBER(SEARCH("IR Iran",S2217)),"Iran",
ISNUMBER(SEARCH("Congo DR",S2217)),"Democratic Republic of the Congo",
ISNUMBER(SEARCH("DR Congo",S2217)),"Democratic Republic of the Congo",
ISNUMBER(SEARCH("German DR",S2217)),"DR Germany",
ISNUMBER(SEARCH("rn""&gt;United Arab Emirates",S2217)),"United Arab Emirates",
ISNUMBER(SEARCH("rn""&gt;Republic of Ireland",S2217)),"Ireland",
ISNUMBER(SEARCH("rn""&gt;Bosnia and Herzegovina",S2217)),"Bosnia and Herzegovina",
ISNUMBER(SEARCH("rn""&gt;Trinidad and Tobago",S2217)),"Trinidad and Tobago",
ISNUMBER(SEARCH("rn""&gt;Serbia and Montenegro",S2217)),"Serbia and Montenegro",
ISNUMBER(SEARCH(_xlfn.UNICHAR(65533),S2217)),"Côte d'Ivoire",
TRUE,""
)</f>
        <v/>
      </c>
      <c r="W2217" s="12" t="str">
        <f t="shared" si="169"/>
        <v>Portugal</v>
      </c>
    </row>
    <row r="2218" spans="2:23">
      <c r="B2218" s="76" t="str">
        <v>1998.0</v>
      </c>
      <c r="C2218" s="42" t="str">
        <v xml:space="preserve">15 Jun 1998 - 14:30 </v>
      </c>
      <c r="D2218" s="42" t="str">
        <v>Group G</v>
      </c>
      <c r="E2218" s="42" t="str">
        <v>Stade V�lodrome</v>
      </c>
      <c r="F2218" s="42" t="str">
        <v xml:space="preserve">Marseilles </v>
      </c>
      <c r="G2218" s="42" t="str">
        <v>England</v>
      </c>
      <c r="H2218" s="42" t="str">
        <v>2.0</v>
      </c>
      <c r="I2218" s="42" t="str">
        <v>0.0</v>
      </c>
      <c r="J2218" s="42" t="str">
        <v>Tunisia</v>
      </c>
      <c r="K2218" s="42" t="str">
        <v xml:space="preserve"> </v>
      </c>
      <c r="L2218" s="42" t="str">
        <f t="shared" si="166"/>
        <v xml:space="preserve">1998.0|15 Jun 1998 - 14:30 |Group G|Stade V�lodrome|Marseilles |England|2.0|0.0|Tunisia| </v>
      </c>
      <c r="M2218" s="42" t="str">
        <f>IF(COUNTIF($L$1689:L2218,L2218)&gt;1,"DOUBLON","OK")</f>
        <v>OK</v>
      </c>
      <c r="S2218" s="12" t="str">
        <v>Portugal</v>
      </c>
      <c r="T2218" s="12" t="str">
        <f t="shared" si="167"/>
        <v>OK</v>
      </c>
      <c r="U2218" s="12" t="str">
        <f t="shared" si="168"/>
        <v>-</v>
      </c>
      <c r="V2218" s="12" t="str" cm="1">
        <f t="array" ref="V2218">_xlfn.IFS(
ISNUMBER(SEARCH("USA",S2218)),"United States",
ISNUMBER(SEARCH("Republic of Ireland",S2218)),"Ireland",
ISNUMBER(SEARCH("Republic of Korea",S2218)),"South Korea",
ISNUMBER(SEARCH("Cape Verde",S2218)),"Cabo Verde",
ISNUMBER(SEARCH("Czechia",S2218)),"Czech Republic",
ISNUMBER(SEARCH("Türkiye",S2218)),"Turkey",
ISNUMBER(SEARCH("Ivory Coast",S2218)),"Côte d'Ivoire",
ISNUMBER(SEARCH("Korea Republic",S2218)),"South Korea",
ISNUMBER(SEARCH("Germany FR",S2218)),"FR Germany",
ISNUMBER(SEARCH("West Germany",S2218)),"FR Germany",
ISNUMBER(SEARCH("Germany DR",S2218)),"DR Germany",
ISNUMBER(SEARCH("Korea DPR",S2218)),"North Korea",
ISNUMBER(SEARCH("China PR",S2218)),"China",
ISNUMBER(SEARCH("IR Iran",S2218)),"Iran",
ISNUMBER(SEARCH("Congo DR",S2218)),"Democratic Republic of the Congo",
ISNUMBER(SEARCH("DR Congo",S2218)),"Democratic Republic of the Congo",
ISNUMBER(SEARCH("German DR",S2218)),"DR Germany",
ISNUMBER(SEARCH("rn""&gt;United Arab Emirates",S2218)),"United Arab Emirates",
ISNUMBER(SEARCH("rn""&gt;Republic of Ireland",S2218)),"Ireland",
ISNUMBER(SEARCH("rn""&gt;Bosnia and Herzegovina",S2218)),"Bosnia and Herzegovina",
ISNUMBER(SEARCH("rn""&gt;Trinidad and Tobago",S2218)),"Trinidad and Tobago",
ISNUMBER(SEARCH("rn""&gt;Serbia and Montenegro",S2218)),"Serbia and Montenegro",
ISNUMBER(SEARCH(_xlfn.UNICHAR(65533),S2218)),"Côte d'Ivoire",
TRUE,""
)</f>
        <v/>
      </c>
      <c r="W2218" s="12" t="str">
        <f t="shared" si="169"/>
        <v>Portugal</v>
      </c>
    </row>
    <row r="2219" spans="2:23">
      <c r="B2219" s="76" t="str">
        <v>1998.0</v>
      </c>
      <c r="C2219" s="42" t="str">
        <v xml:space="preserve">15 Jun 1998 - 17:30 </v>
      </c>
      <c r="D2219" s="42" t="str">
        <v>Group G</v>
      </c>
      <c r="E2219" s="42" t="str">
        <v>Stade de Gerland</v>
      </c>
      <c r="F2219" s="42" t="str">
        <v xml:space="preserve">Lyon </v>
      </c>
      <c r="G2219" s="42" t="str">
        <v>Romania</v>
      </c>
      <c r="H2219" s="42" t="str">
        <v>1.0</v>
      </c>
      <c r="I2219" s="42" t="str">
        <v>0.0</v>
      </c>
      <c r="J2219" s="42" t="str">
        <v>Colombia</v>
      </c>
      <c r="K2219" s="42" t="str">
        <v xml:space="preserve"> </v>
      </c>
      <c r="L2219" s="42" t="str">
        <f t="shared" si="166"/>
        <v xml:space="preserve">1998.0|15 Jun 1998 - 17:30 |Group G|Stade de Gerland|Lyon |Romania|1.0|0.0|Colombia| </v>
      </c>
      <c r="M2219" s="42" t="str">
        <f>IF(COUNTIF($L$1689:L2219,L2219)&gt;1,"DOUBLON","OK")</f>
        <v>OK</v>
      </c>
      <c r="S2219" s="12" t="str">
        <v>Portugal</v>
      </c>
      <c r="T2219" s="12" t="str">
        <f t="shared" si="167"/>
        <v>OK</v>
      </c>
      <c r="U2219" s="12" t="str">
        <f t="shared" si="168"/>
        <v>-</v>
      </c>
      <c r="V2219" s="12" t="str" cm="1">
        <f t="array" ref="V2219">_xlfn.IFS(
ISNUMBER(SEARCH("USA",S2219)),"United States",
ISNUMBER(SEARCH("Republic of Ireland",S2219)),"Ireland",
ISNUMBER(SEARCH("Republic of Korea",S2219)),"South Korea",
ISNUMBER(SEARCH("Cape Verde",S2219)),"Cabo Verde",
ISNUMBER(SEARCH("Czechia",S2219)),"Czech Republic",
ISNUMBER(SEARCH("Türkiye",S2219)),"Turkey",
ISNUMBER(SEARCH("Ivory Coast",S2219)),"Côte d'Ivoire",
ISNUMBER(SEARCH("Korea Republic",S2219)),"South Korea",
ISNUMBER(SEARCH("Germany FR",S2219)),"FR Germany",
ISNUMBER(SEARCH("West Germany",S2219)),"FR Germany",
ISNUMBER(SEARCH("Germany DR",S2219)),"DR Germany",
ISNUMBER(SEARCH("Korea DPR",S2219)),"North Korea",
ISNUMBER(SEARCH("China PR",S2219)),"China",
ISNUMBER(SEARCH("IR Iran",S2219)),"Iran",
ISNUMBER(SEARCH("Congo DR",S2219)),"Democratic Republic of the Congo",
ISNUMBER(SEARCH("DR Congo",S2219)),"Democratic Republic of the Congo",
ISNUMBER(SEARCH("German DR",S2219)),"DR Germany",
ISNUMBER(SEARCH("rn""&gt;United Arab Emirates",S2219)),"United Arab Emirates",
ISNUMBER(SEARCH("rn""&gt;Republic of Ireland",S2219)),"Ireland",
ISNUMBER(SEARCH("rn""&gt;Bosnia and Herzegovina",S2219)),"Bosnia and Herzegovina",
ISNUMBER(SEARCH("rn""&gt;Trinidad and Tobago",S2219)),"Trinidad and Tobago",
ISNUMBER(SEARCH("rn""&gt;Serbia and Montenegro",S2219)),"Serbia and Montenegro",
ISNUMBER(SEARCH(_xlfn.UNICHAR(65533),S2219)),"Côte d'Ivoire",
TRUE,""
)</f>
        <v/>
      </c>
      <c r="W2219" s="12" t="str">
        <f t="shared" si="169"/>
        <v>Portugal</v>
      </c>
    </row>
    <row r="2220" spans="2:23">
      <c r="B2220" s="76" t="str">
        <v>1998.0</v>
      </c>
      <c r="C2220" s="42" t="str">
        <v xml:space="preserve">15 Jun 1998 - 21:00 </v>
      </c>
      <c r="D2220" s="42" t="str">
        <v>Group F</v>
      </c>
      <c r="E2220" s="42" t="str">
        <v>Parc des Princes</v>
      </c>
      <c r="F2220" s="42" t="str">
        <v xml:space="preserve">Paris </v>
      </c>
      <c r="G2220" s="42" t="str">
        <v>Germany</v>
      </c>
      <c r="H2220" s="42" t="str">
        <v>2.0</v>
      </c>
      <c r="I2220" s="42" t="str">
        <v>0.0</v>
      </c>
      <c r="J2220" s="42" t="str">
        <v>USA</v>
      </c>
      <c r="K2220" s="42" t="str">
        <v xml:space="preserve"> </v>
      </c>
      <c r="L2220" s="42" t="str">
        <f t="shared" si="166"/>
        <v xml:space="preserve">1998.0|15 Jun 1998 - 21:00 |Group F|Parc des Princes|Paris |Germany|2.0|0.0|USA| </v>
      </c>
      <c r="M2220" s="42" t="str">
        <f>IF(COUNTIF($L$1689:L2220,L2220)&gt;1,"DOUBLON","OK")</f>
        <v>OK</v>
      </c>
      <c r="S2220" s="12" t="str">
        <v>Portugal</v>
      </c>
      <c r="T2220" s="12" t="str">
        <f t="shared" si="167"/>
        <v>OK</v>
      </c>
      <c r="U2220" s="12" t="str">
        <f t="shared" si="168"/>
        <v>-</v>
      </c>
      <c r="V2220" s="12" t="str" cm="1">
        <f t="array" ref="V2220">_xlfn.IFS(
ISNUMBER(SEARCH("USA",S2220)),"United States",
ISNUMBER(SEARCH("Republic of Ireland",S2220)),"Ireland",
ISNUMBER(SEARCH("Republic of Korea",S2220)),"South Korea",
ISNUMBER(SEARCH("Cape Verde",S2220)),"Cabo Verde",
ISNUMBER(SEARCH("Czechia",S2220)),"Czech Republic",
ISNUMBER(SEARCH("Türkiye",S2220)),"Turkey",
ISNUMBER(SEARCH("Ivory Coast",S2220)),"Côte d'Ivoire",
ISNUMBER(SEARCH("Korea Republic",S2220)),"South Korea",
ISNUMBER(SEARCH("Germany FR",S2220)),"FR Germany",
ISNUMBER(SEARCH("West Germany",S2220)),"FR Germany",
ISNUMBER(SEARCH("Germany DR",S2220)),"DR Germany",
ISNUMBER(SEARCH("Korea DPR",S2220)),"North Korea",
ISNUMBER(SEARCH("China PR",S2220)),"China",
ISNUMBER(SEARCH("IR Iran",S2220)),"Iran",
ISNUMBER(SEARCH("Congo DR",S2220)),"Democratic Republic of the Congo",
ISNUMBER(SEARCH("DR Congo",S2220)),"Democratic Republic of the Congo",
ISNUMBER(SEARCH("German DR",S2220)),"DR Germany",
ISNUMBER(SEARCH("rn""&gt;United Arab Emirates",S2220)),"United Arab Emirates",
ISNUMBER(SEARCH("rn""&gt;Republic of Ireland",S2220)),"Ireland",
ISNUMBER(SEARCH("rn""&gt;Bosnia and Herzegovina",S2220)),"Bosnia and Herzegovina",
ISNUMBER(SEARCH("rn""&gt;Trinidad and Tobago",S2220)),"Trinidad and Tobago",
ISNUMBER(SEARCH("rn""&gt;Serbia and Montenegro",S2220)),"Serbia and Montenegro",
ISNUMBER(SEARCH(_xlfn.UNICHAR(65533),S2220)),"Côte d'Ivoire",
TRUE,""
)</f>
        <v/>
      </c>
      <c r="W2220" s="12" t="str">
        <f t="shared" si="169"/>
        <v>Portugal</v>
      </c>
    </row>
    <row r="2221" spans="2:23">
      <c r="B2221" s="76" t="str">
        <v>1998.0</v>
      </c>
      <c r="C2221" s="42" t="str">
        <v xml:space="preserve">16 Jun 1998 - 17:30 </v>
      </c>
      <c r="D2221" s="42" t="str">
        <v>Group A</v>
      </c>
      <c r="E2221" s="42" t="str">
        <v>Stade du Parc Lescure</v>
      </c>
      <c r="F2221" s="42" t="str">
        <v xml:space="preserve">Bordeaux </v>
      </c>
      <c r="G2221" s="42" t="str">
        <v>Scotland</v>
      </c>
      <c r="H2221" s="42" t="str">
        <v>1.0</v>
      </c>
      <c r="I2221" s="42" t="str">
        <v>1.0</v>
      </c>
      <c r="J2221" s="42" t="str">
        <v>Norway</v>
      </c>
      <c r="K2221" s="42" t="str">
        <v xml:space="preserve"> </v>
      </c>
      <c r="L2221" s="42" t="str">
        <f t="shared" si="166"/>
        <v xml:space="preserve">1998.0|16 Jun 1998 - 17:30 |Group A|Stade du Parc Lescure|Bordeaux |Scotland|1.0|1.0|Norway| </v>
      </c>
      <c r="M2221" s="42" t="str">
        <f>IF(COUNTIF($L$1689:L2221,L2221)&gt;1,"DOUBLON","OK")</f>
        <v>OK</v>
      </c>
      <c r="S2221" s="12" t="str">
        <v>Portugal</v>
      </c>
      <c r="T2221" s="12" t="str">
        <f t="shared" si="167"/>
        <v>OK</v>
      </c>
      <c r="U2221" s="12" t="str">
        <f t="shared" si="168"/>
        <v>-</v>
      </c>
      <c r="V2221" s="12" t="str" cm="1">
        <f t="array" ref="V2221">_xlfn.IFS(
ISNUMBER(SEARCH("USA",S2221)),"United States",
ISNUMBER(SEARCH("Republic of Ireland",S2221)),"Ireland",
ISNUMBER(SEARCH("Republic of Korea",S2221)),"South Korea",
ISNUMBER(SEARCH("Cape Verde",S2221)),"Cabo Verde",
ISNUMBER(SEARCH("Czechia",S2221)),"Czech Republic",
ISNUMBER(SEARCH("Türkiye",S2221)),"Turkey",
ISNUMBER(SEARCH("Ivory Coast",S2221)),"Côte d'Ivoire",
ISNUMBER(SEARCH("Korea Republic",S2221)),"South Korea",
ISNUMBER(SEARCH("Germany FR",S2221)),"FR Germany",
ISNUMBER(SEARCH("West Germany",S2221)),"FR Germany",
ISNUMBER(SEARCH("Germany DR",S2221)),"DR Germany",
ISNUMBER(SEARCH("Korea DPR",S2221)),"North Korea",
ISNUMBER(SEARCH("China PR",S2221)),"China",
ISNUMBER(SEARCH("IR Iran",S2221)),"Iran",
ISNUMBER(SEARCH("Congo DR",S2221)),"Democratic Republic of the Congo",
ISNUMBER(SEARCH("DR Congo",S2221)),"Democratic Republic of the Congo",
ISNUMBER(SEARCH("German DR",S2221)),"DR Germany",
ISNUMBER(SEARCH("rn""&gt;United Arab Emirates",S2221)),"United Arab Emirates",
ISNUMBER(SEARCH("rn""&gt;Republic of Ireland",S2221)),"Ireland",
ISNUMBER(SEARCH("rn""&gt;Bosnia and Herzegovina",S2221)),"Bosnia and Herzegovina",
ISNUMBER(SEARCH("rn""&gt;Trinidad and Tobago",S2221)),"Trinidad and Tobago",
ISNUMBER(SEARCH("rn""&gt;Serbia and Montenegro",S2221)),"Serbia and Montenegro",
ISNUMBER(SEARCH(_xlfn.UNICHAR(65533),S2221)),"Côte d'Ivoire",
TRUE,""
)</f>
        <v/>
      </c>
      <c r="W2221" s="12" t="str">
        <f t="shared" si="169"/>
        <v>Portugal</v>
      </c>
    </row>
    <row r="2222" spans="2:23">
      <c r="B2222" s="76" t="str">
        <v>1998.0</v>
      </c>
      <c r="C2222" s="42" t="str">
        <v xml:space="preserve">16 Jun 1998 - 21:00 </v>
      </c>
      <c r="D2222" s="42" t="str">
        <v>Group A</v>
      </c>
      <c r="E2222" s="42" t="str">
        <v>La Beaujoire</v>
      </c>
      <c r="F2222" s="42" t="str">
        <v xml:space="preserve">Nantes </v>
      </c>
      <c r="G2222" s="42" t="str">
        <v>Brazil</v>
      </c>
      <c r="H2222" s="42" t="str">
        <v>3.0</v>
      </c>
      <c r="I2222" s="42" t="str">
        <v>0.0</v>
      </c>
      <c r="J2222" s="42" t="str">
        <v>Morocco</v>
      </c>
      <c r="K2222" s="42" t="str">
        <v xml:space="preserve"> </v>
      </c>
      <c r="L2222" s="42" t="str">
        <f t="shared" si="166"/>
        <v xml:space="preserve">1998.0|16 Jun 1998 - 21:00 |Group A|La Beaujoire|Nantes |Brazil|3.0|0.0|Morocco| </v>
      </c>
      <c r="M2222" s="42" t="str">
        <f>IF(COUNTIF($L$1689:L2222,L2222)&gt;1,"DOUBLON","OK")</f>
        <v>OK</v>
      </c>
      <c r="S2222" s="12" t="str">
        <v>Portugal</v>
      </c>
      <c r="T2222" s="12" t="str">
        <f t="shared" si="167"/>
        <v>OK</v>
      </c>
      <c r="U2222" s="12" t="str">
        <f t="shared" si="168"/>
        <v>-</v>
      </c>
      <c r="V2222" s="12" t="str" cm="1">
        <f t="array" ref="V2222">_xlfn.IFS(
ISNUMBER(SEARCH("USA",S2222)),"United States",
ISNUMBER(SEARCH("Republic of Ireland",S2222)),"Ireland",
ISNUMBER(SEARCH("Republic of Korea",S2222)),"South Korea",
ISNUMBER(SEARCH("Cape Verde",S2222)),"Cabo Verde",
ISNUMBER(SEARCH("Czechia",S2222)),"Czech Republic",
ISNUMBER(SEARCH("Türkiye",S2222)),"Turkey",
ISNUMBER(SEARCH("Ivory Coast",S2222)),"Côte d'Ivoire",
ISNUMBER(SEARCH("Korea Republic",S2222)),"South Korea",
ISNUMBER(SEARCH("Germany FR",S2222)),"FR Germany",
ISNUMBER(SEARCH("West Germany",S2222)),"FR Germany",
ISNUMBER(SEARCH("Germany DR",S2222)),"DR Germany",
ISNUMBER(SEARCH("Korea DPR",S2222)),"North Korea",
ISNUMBER(SEARCH("China PR",S2222)),"China",
ISNUMBER(SEARCH("IR Iran",S2222)),"Iran",
ISNUMBER(SEARCH("Congo DR",S2222)),"Democratic Republic of the Congo",
ISNUMBER(SEARCH("DR Congo",S2222)),"Democratic Republic of the Congo",
ISNUMBER(SEARCH("German DR",S2222)),"DR Germany",
ISNUMBER(SEARCH("rn""&gt;United Arab Emirates",S2222)),"United Arab Emirates",
ISNUMBER(SEARCH("rn""&gt;Republic of Ireland",S2222)),"Ireland",
ISNUMBER(SEARCH("rn""&gt;Bosnia and Herzegovina",S2222)),"Bosnia and Herzegovina",
ISNUMBER(SEARCH("rn""&gt;Trinidad and Tobago",S2222)),"Trinidad and Tobago",
ISNUMBER(SEARCH("rn""&gt;Serbia and Montenegro",S2222)),"Serbia and Montenegro",
ISNUMBER(SEARCH(_xlfn.UNICHAR(65533),S2222)),"Côte d'Ivoire",
TRUE,""
)</f>
        <v/>
      </c>
      <c r="W2222" s="12" t="str">
        <f t="shared" si="169"/>
        <v>Portugal</v>
      </c>
    </row>
    <row r="2223" spans="2:23">
      <c r="B2223" s="76" t="str">
        <v>1998.0</v>
      </c>
      <c r="C2223" s="42" t="str">
        <v xml:space="preserve">17 Jun 1998 - 17:30 </v>
      </c>
      <c r="D2223" s="42" t="str">
        <v>Group B</v>
      </c>
      <c r="E2223" s="42" t="str">
        <v>Stade Geoffroy Guichard</v>
      </c>
      <c r="F2223" s="42" t="str">
        <v xml:space="preserve">Saint-Etienne </v>
      </c>
      <c r="G2223" s="42" t="str">
        <v>Chile</v>
      </c>
      <c r="H2223" s="42" t="str">
        <v>1.0</v>
      </c>
      <c r="I2223" s="42" t="str">
        <v>1.0</v>
      </c>
      <c r="J2223" s="42" t="str">
        <v>Austria</v>
      </c>
      <c r="K2223" s="42" t="str">
        <v xml:space="preserve"> </v>
      </c>
      <c r="L2223" s="42" t="str">
        <f t="shared" si="166"/>
        <v xml:space="preserve">1998.0|17 Jun 1998 - 17:30 |Group B|Stade Geoffroy Guichard|Saint-Etienne |Chile|1.0|1.0|Austria| </v>
      </c>
      <c r="M2223" s="42" t="str">
        <f>IF(COUNTIF($L$1689:L2223,L2223)&gt;1,"DOUBLON","OK")</f>
        <v>OK</v>
      </c>
      <c r="S2223" s="12" t="str">
        <v>Portugal</v>
      </c>
      <c r="T2223" s="12" t="str">
        <f t="shared" si="167"/>
        <v>OK</v>
      </c>
      <c r="U2223" s="12" t="str">
        <f t="shared" si="168"/>
        <v>-</v>
      </c>
      <c r="V2223" s="12" t="str" cm="1">
        <f t="array" ref="V2223">_xlfn.IFS(
ISNUMBER(SEARCH("USA",S2223)),"United States",
ISNUMBER(SEARCH("Republic of Ireland",S2223)),"Ireland",
ISNUMBER(SEARCH("Republic of Korea",S2223)),"South Korea",
ISNUMBER(SEARCH("Cape Verde",S2223)),"Cabo Verde",
ISNUMBER(SEARCH("Czechia",S2223)),"Czech Republic",
ISNUMBER(SEARCH("Türkiye",S2223)),"Turkey",
ISNUMBER(SEARCH("Ivory Coast",S2223)),"Côte d'Ivoire",
ISNUMBER(SEARCH("Korea Republic",S2223)),"South Korea",
ISNUMBER(SEARCH("Germany FR",S2223)),"FR Germany",
ISNUMBER(SEARCH("West Germany",S2223)),"FR Germany",
ISNUMBER(SEARCH("Germany DR",S2223)),"DR Germany",
ISNUMBER(SEARCH("Korea DPR",S2223)),"North Korea",
ISNUMBER(SEARCH("China PR",S2223)),"China",
ISNUMBER(SEARCH("IR Iran",S2223)),"Iran",
ISNUMBER(SEARCH("Congo DR",S2223)),"Democratic Republic of the Congo",
ISNUMBER(SEARCH("DR Congo",S2223)),"Democratic Republic of the Congo",
ISNUMBER(SEARCH("German DR",S2223)),"DR Germany",
ISNUMBER(SEARCH("rn""&gt;United Arab Emirates",S2223)),"United Arab Emirates",
ISNUMBER(SEARCH("rn""&gt;Republic of Ireland",S2223)),"Ireland",
ISNUMBER(SEARCH("rn""&gt;Bosnia and Herzegovina",S2223)),"Bosnia and Herzegovina",
ISNUMBER(SEARCH("rn""&gt;Trinidad and Tobago",S2223)),"Trinidad and Tobago",
ISNUMBER(SEARCH("rn""&gt;Serbia and Montenegro",S2223)),"Serbia and Montenegro",
ISNUMBER(SEARCH(_xlfn.UNICHAR(65533),S2223)),"Côte d'Ivoire",
TRUE,""
)</f>
        <v/>
      </c>
      <c r="W2223" s="12" t="str">
        <f t="shared" si="169"/>
        <v>Portugal</v>
      </c>
    </row>
    <row r="2224" spans="2:23">
      <c r="B2224" s="76" t="str">
        <v>1998.0</v>
      </c>
      <c r="C2224" s="42" t="str">
        <v xml:space="preserve">17 Jun 1998 - 21:00 </v>
      </c>
      <c r="D2224" s="42" t="str">
        <v>Group B</v>
      </c>
      <c r="E2224" s="42" t="str">
        <v>La Mosson</v>
      </c>
      <c r="F2224" s="42" t="str">
        <v xml:space="preserve">Montpellier </v>
      </c>
      <c r="G2224" s="42" t="str">
        <v>Italy</v>
      </c>
      <c r="H2224" s="42" t="str">
        <v>3.0</v>
      </c>
      <c r="I2224" s="42" t="str">
        <v>0.0</v>
      </c>
      <c r="J2224" s="42" t="str">
        <v>Cameroon</v>
      </c>
      <c r="K2224" s="42" t="str">
        <v xml:space="preserve"> </v>
      </c>
      <c r="L2224" s="42" t="str">
        <f t="shared" si="166"/>
        <v xml:space="preserve">1998.0|17 Jun 1998 - 21:00 |Group B|La Mosson|Montpellier |Italy|3.0|0.0|Cameroon| </v>
      </c>
      <c r="M2224" s="42" t="str">
        <f>IF(COUNTIF($L$1689:L2224,L2224)&gt;1,"DOUBLON","OK")</f>
        <v>OK</v>
      </c>
      <c r="S2224" s="12" t="str">
        <v>Portugal</v>
      </c>
      <c r="T2224" s="12" t="str">
        <f t="shared" si="167"/>
        <v>OK</v>
      </c>
      <c r="U2224" s="12" t="str">
        <f t="shared" si="168"/>
        <v>-</v>
      </c>
      <c r="V2224" s="12" t="str" cm="1">
        <f t="array" ref="V2224">_xlfn.IFS(
ISNUMBER(SEARCH("USA",S2224)),"United States",
ISNUMBER(SEARCH("Republic of Ireland",S2224)),"Ireland",
ISNUMBER(SEARCH("Republic of Korea",S2224)),"South Korea",
ISNUMBER(SEARCH("Cape Verde",S2224)),"Cabo Verde",
ISNUMBER(SEARCH("Czechia",S2224)),"Czech Republic",
ISNUMBER(SEARCH("Türkiye",S2224)),"Turkey",
ISNUMBER(SEARCH("Ivory Coast",S2224)),"Côte d'Ivoire",
ISNUMBER(SEARCH("Korea Republic",S2224)),"South Korea",
ISNUMBER(SEARCH("Germany FR",S2224)),"FR Germany",
ISNUMBER(SEARCH("West Germany",S2224)),"FR Germany",
ISNUMBER(SEARCH("Germany DR",S2224)),"DR Germany",
ISNUMBER(SEARCH("Korea DPR",S2224)),"North Korea",
ISNUMBER(SEARCH("China PR",S2224)),"China",
ISNUMBER(SEARCH("IR Iran",S2224)),"Iran",
ISNUMBER(SEARCH("Congo DR",S2224)),"Democratic Republic of the Congo",
ISNUMBER(SEARCH("DR Congo",S2224)),"Democratic Republic of the Congo",
ISNUMBER(SEARCH("German DR",S2224)),"DR Germany",
ISNUMBER(SEARCH("rn""&gt;United Arab Emirates",S2224)),"United Arab Emirates",
ISNUMBER(SEARCH("rn""&gt;Republic of Ireland",S2224)),"Ireland",
ISNUMBER(SEARCH("rn""&gt;Bosnia and Herzegovina",S2224)),"Bosnia and Herzegovina",
ISNUMBER(SEARCH("rn""&gt;Trinidad and Tobago",S2224)),"Trinidad and Tobago",
ISNUMBER(SEARCH("rn""&gt;Serbia and Montenegro",S2224)),"Serbia and Montenegro",
ISNUMBER(SEARCH(_xlfn.UNICHAR(65533),S2224)),"Côte d'Ivoire",
TRUE,""
)</f>
        <v/>
      </c>
      <c r="W2224" s="12" t="str">
        <f t="shared" si="169"/>
        <v>Portugal</v>
      </c>
    </row>
    <row r="2225" spans="2:23">
      <c r="B2225" s="76" t="str">
        <v>1998.0</v>
      </c>
      <c r="C2225" s="42" t="str">
        <v xml:space="preserve">18 Jun 1998 - 17:30 </v>
      </c>
      <c r="D2225" s="42" t="str">
        <v>Group C</v>
      </c>
      <c r="E2225" s="42" t="str">
        <v>Stade Municipal</v>
      </c>
      <c r="F2225" s="42" t="str">
        <v xml:space="preserve">Toulouse </v>
      </c>
      <c r="G2225" s="42" t="str">
        <v>South Africa</v>
      </c>
      <c r="H2225" s="42" t="str">
        <v>1.0</v>
      </c>
      <c r="I2225" s="42" t="str">
        <v>1.0</v>
      </c>
      <c r="J2225" s="42" t="str">
        <v>Denmark</v>
      </c>
      <c r="K2225" s="42" t="str">
        <v xml:space="preserve"> </v>
      </c>
      <c r="L2225" s="42" t="str">
        <f t="shared" si="166"/>
        <v xml:space="preserve">1998.0|18 Jun 1998 - 17:30 |Group C|Stade Municipal|Toulouse |South Africa|1.0|1.0|Denmark| </v>
      </c>
      <c r="M2225" s="42" t="str">
        <f>IF(COUNTIF($L$1689:L2225,L2225)&gt;1,"DOUBLON","OK")</f>
        <v>OK</v>
      </c>
      <c r="S2225" s="12" t="str">
        <v>Portugal</v>
      </c>
      <c r="T2225" s="12" t="str">
        <f t="shared" si="167"/>
        <v>OK</v>
      </c>
      <c r="U2225" s="12" t="str">
        <f t="shared" si="168"/>
        <v>-</v>
      </c>
      <c r="V2225" s="12" t="str" cm="1">
        <f t="array" ref="V2225">_xlfn.IFS(
ISNUMBER(SEARCH("USA",S2225)),"United States",
ISNUMBER(SEARCH("Republic of Ireland",S2225)),"Ireland",
ISNUMBER(SEARCH("Republic of Korea",S2225)),"South Korea",
ISNUMBER(SEARCH("Cape Verde",S2225)),"Cabo Verde",
ISNUMBER(SEARCH("Czechia",S2225)),"Czech Republic",
ISNUMBER(SEARCH("Türkiye",S2225)),"Turkey",
ISNUMBER(SEARCH("Ivory Coast",S2225)),"Côte d'Ivoire",
ISNUMBER(SEARCH("Korea Republic",S2225)),"South Korea",
ISNUMBER(SEARCH("Germany FR",S2225)),"FR Germany",
ISNUMBER(SEARCH("West Germany",S2225)),"FR Germany",
ISNUMBER(SEARCH("Germany DR",S2225)),"DR Germany",
ISNUMBER(SEARCH("Korea DPR",S2225)),"North Korea",
ISNUMBER(SEARCH("China PR",S2225)),"China",
ISNUMBER(SEARCH("IR Iran",S2225)),"Iran",
ISNUMBER(SEARCH("Congo DR",S2225)),"Democratic Republic of the Congo",
ISNUMBER(SEARCH("DR Congo",S2225)),"Democratic Republic of the Congo",
ISNUMBER(SEARCH("German DR",S2225)),"DR Germany",
ISNUMBER(SEARCH("rn""&gt;United Arab Emirates",S2225)),"United Arab Emirates",
ISNUMBER(SEARCH("rn""&gt;Republic of Ireland",S2225)),"Ireland",
ISNUMBER(SEARCH("rn""&gt;Bosnia and Herzegovina",S2225)),"Bosnia and Herzegovina",
ISNUMBER(SEARCH("rn""&gt;Trinidad and Tobago",S2225)),"Trinidad and Tobago",
ISNUMBER(SEARCH("rn""&gt;Serbia and Montenegro",S2225)),"Serbia and Montenegro",
ISNUMBER(SEARCH(_xlfn.UNICHAR(65533),S2225)),"Côte d'Ivoire",
TRUE,""
)</f>
        <v/>
      </c>
      <c r="W2225" s="12" t="str">
        <f t="shared" si="169"/>
        <v>Portugal</v>
      </c>
    </row>
    <row r="2226" spans="2:23">
      <c r="B2226" s="76" t="str">
        <v>1998.0</v>
      </c>
      <c r="C2226" s="42" t="str">
        <v xml:space="preserve">18 Jun 1998 - 21:00 </v>
      </c>
      <c r="D2226" s="42" t="str">
        <v>Group C</v>
      </c>
      <c r="E2226" s="42" t="str">
        <v>Stade de France</v>
      </c>
      <c r="F2226" s="42" t="str">
        <v xml:space="preserve">Saint-Denis </v>
      </c>
      <c r="G2226" s="42" t="str">
        <v>France</v>
      </c>
      <c r="H2226" s="42" t="str">
        <v>4.0</v>
      </c>
      <c r="I2226" s="42" t="str">
        <v>0.0</v>
      </c>
      <c r="J2226" s="42" t="str">
        <v>Saudi Arabia</v>
      </c>
      <c r="K2226" s="42" t="str">
        <v xml:space="preserve"> </v>
      </c>
      <c r="L2226" s="42" t="str">
        <f t="shared" si="166"/>
        <v xml:space="preserve">1998.0|18 Jun 1998 - 21:00 |Group C|Stade de France|Saint-Denis |France|4.0|0.0|Saudi Arabia| </v>
      </c>
      <c r="M2226" s="42" t="str">
        <f>IF(COUNTIF($L$1689:L2226,L2226)&gt;1,"DOUBLON","OK")</f>
        <v>OK</v>
      </c>
      <c r="S2226" s="12" t="str">
        <v>Portugal</v>
      </c>
      <c r="T2226" s="12" t="str">
        <f t="shared" si="167"/>
        <v>OK</v>
      </c>
      <c r="U2226" s="12" t="str">
        <f t="shared" si="168"/>
        <v>-</v>
      </c>
      <c r="V2226" s="12" t="str" cm="1">
        <f t="array" ref="V2226">_xlfn.IFS(
ISNUMBER(SEARCH("USA",S2226)),"United States",
ISNUMBER(SEARCH("Republic of Ireland",S2226)),"Ireland",
ISNUMBER(SEARCH("Republic of Korea",S2226)),"South Korea",
ISNUMBER(SEARCH("Cape Verde",S2226)),"Cabo Verde",
ISNUMBER(SEARCH("Czechia",S2226)),"Czech Republic",
ISNUMBER(SEARCH("Türkiye",S2226)),"Turkey",
ISNUMBER(SEARCH("Ivory Coast",S2226)),"Côte d'Ivoire",
ISNUMBER(SEARCH("Korea Republic",S2226)),"South Korea",
ISNUMBER(SEARCH("Germany FR",S2226)),"FR Germany",
ISNUMBER(SEARCH("West Germany",S2226)),"FR Germany",
ISNUMBER(SEARCH("Germany DR",S2226)),"DR Germany",
ISNUMBER(SEARCH("Korea DPR",S2226)),"North Korea",
ISNUMBER(SEARCH("China PR",S2226)),"China",
ISNUMBER(SEARCH("IR Iran",S2226)),"Iran",
ISNUMBER(SEARCH("Congo DR",S2226)),"Democratic Republic of the Congo",
ISNUMBER(SEARCH("DR Congo",S2226)),"Democratic Republic of the Congo",
ISNUMBER(SEARCH("German DR",S2226)),"DR Germany",
ISNUMBER(SEARCH("rn""&gt;United Arab Emirates",S2226)),"United Arab Emirates",
ISNUMBER(SEARCH("rn""&gt;Republic of Ireland",S2226)),"Ireland",
ISNUMBER(SEARCH("rn""&gt;Bosnia and Herzegovina",S2226)),"Bosnia and Herzegovina",
ISNUMBER(SEARCH("rn""&gt;Trinidad and Tobago",S2226)),"Trinidad and Tobago",
ISNUMBER(SEARCH("rn""&gt;Serbia and Montenegro",S2226)),"Serbia and Montenegro",
ISNUMBER(SEARCH(_xlfn.UNICHAR(65533),S2226)),"Côte d'Ivoire",
TRUE,""
)</f>
        <v/>
      </c>
      <c r="W2226" s="12" t="str">
        <f t="shared" si="169"/>
        <v>Portugal</v>
      </c>
    </row>
    <row r="2227" spans="2:23">
      <c r="B2227" s="76" t="str">
        <v>1998.0</v>
      </c>
      <c r="C2227" s="42" t="str">
        <v xml:space="preserve">19 Jun 1998 - 17:30 </v>
      </c>
      <c r="D2227" s="42" t="str">
        <v>Group D</v>
      </c>
      <c r="E2227" s="42" t="str">
        <v>Parc des Princes</v>
      </c>
      <c r="F2227" s="42" t="str">
        <v xml:space="preserve">Paris </v>
      </c>
      <c r="G2227" s="42" t="str">
        <v>Nigeria</v>
      </c>
      <c r="H2227" s="42" t="str">
        <v>1.0</v>
      </c>
      <c r="I2227" s="42" t="str">
        <v>0.0</v>
      </c>
      <c r="J2227" s="42" t="str">
        <v>Bulgaria</v>
      </c>
      <c r="K2227" s="42" t="str">
        <v xml:space="preserve"> </v>
      </c>
      <c r="L2227" s="42" t="str">
        <f t="shared" si="166"/>
        <v xml:space="preserve">1998.0|19 Jun 1998 - 17:30 |Group D|Parc des Princes|Paris |Nigeria|1.0|0.0|Bulgaria| </v>
      </c>
      <c r="M2227" s="42" t="str">
        <f>IF(COUNTIF($L$1689:L2227,L2227)&gt;1,"DOUBLON","OK")</f>
        <v>OK</v>
      </c>
      <c r="S2227" s="12" t="str">
        <v>Portugal</v>
      </c>
      <c r="T2227" s="12" t="str">
        <f t="shared" si="167"/>
        <v>OK</v>
      </c>
      <c r="U2227" s="12" t="str">
        <f t="shared" si="168"/>
        <v>-</v>
      </c>
      <c r="V2227" s="12" t="str" cm="1">
        <f t="array" ref="V2227">_xlfn.IFS(
ISNUMBER(SEARCH("USA",S2227)),"United States",
ISNUMBER(SEARCH("Republic of Ireland",S2227)),"Ireland",
ISNUMBER(SEARCH("Republic of Korea",S2227)),"South Korea",
ISNUMBER(SEARCH("Cape Verde",S2227)),"Cabo Verde",
ISNUMBER(SEARCH("Czechia",S2227)),"Czech Republic",
ISNUMBER(SEARCH("Türkiye",S2227)),"Turkey",
ISNUMBER(SEARCH("Ivory Coast",S2227)),"Côte d'Ivoire",
ISNUMBER(SEARCH("Korea Republic",S2227)),"South Korea",
ISNUMBER(SEARCH("Germany FR",S2227)),"FR Germany",
ISNUMBER(SEARCH("West Germany",S2227)),"FR Germany",
ISNUMBER(SEARCH("Germany DR",S2227)),"DR Germany",
ISNUMBER(SEARCH("Korea DPR",S2227)),"North Korea",
ISNUMBER(SEARCH("China PR",S2227)),"China",
ISNUMBER(SEARCH("IR Iran",S2227)),"Iran",
ISNUMBER(SEARCH("Congo DR",S2227)),"Democratic Republic of the Congo",
ISNUMBER(SEARCH("DR Congo",S2227)),"Democratic Republic of the Congo",
ISNUMBER(SEARCH("German DR",S2227)),"DR Germany",
ISNUMBER(SEARCH("rn""&gt;United Arab Emirates",S2227)),"United Arab Emirates",
ISNUMBER(SEARCH("rn""&gt;Republic of Ireland",S2227)),"Ireland",
ISNUMBER(SEARCH("rn""&gt;Bosnia and Herzegovina",S2227)),"Bosnia and Herzegovina",
ISNUMBER(SEARCH("rn""&gt;Trinidad and Tobago",S2227)),"Trinidad and Tobago",
ISNUMBER(SEARCH("rn""&gt;Serbia and Montenegro",S2227)),"Serbia and Montenegro",
ISNUMBER(SEARCH(_xlfn.UNICHAR(65533),S2227)),"Côte d'Ivoire",
TRUE,""
)</f>
        <v/>
      </c>
      <c r="W2227" s="12" t="str">
        <f t="shared" si="169"/>
        <v>Portugal</v>
      </c>
    </row>
    <row r="2228" spans="2:23">
      <c r="B2228" s="76" t="str">
        <v>1998.0</v>
      </c>
      <c r="C2228" s="42" t="str">
        <v xml:space="preserve">19 Jun 1998 - 21:00 </v>
      </c>
      <c r="D2228" s="42" t="str">
        <v>Group D</v>
      </c>
      <c r="E2228" s="42" t="str">
        <v>Stade Geoffroy Guichard</v>
      </c>
      <c r="F2228" s="42" t="str">
        <v xml:space="preserve">Saint-Etienne </v>
      </c>
      <c r="G2228" s="42" t="str">
        <v>Spain</v>
      </c>
      <c r="H2228" s="42" t="str">
        <v>0.0</v>
      </c>
      <c r="I2228" s="42" t="str">
        <v>0.0</v>
      </c>
      <c r="J2228" s="42" t="str">
        <v>Paraguay</v>
      </c>
      <c r="K2228" s="42" t="str">
        <v xml:space="preserve"> </v>
      </c>
      <c r="L2228" s="42" t="str">
        <f t="shared" si="166"/>
        <v xml:space="preserve">1998.0|19 Jun 1998 - 21:00 |Group D|Stade Geoffroy Guichard|Saint-Etienne |Spain|0.0|0.0|Paraguay| </v>
      </c>
      <c r="M2228" s="42" t="str">
        <f>IF(COUNTIF($L$1689:L2228,L2228)&gt;1,"DOUBLON","OK")</f>
        <v>OK</v>
      </c>
      <c r="S2228" s="12" t="str">
        <v>Portugal</v>
      </c>
      <c r="T2228" s="12" t="str">
        <f t="shared" si="167"/>
        <v>OK</v>
      </c>
      <c r="U2228" s="12" t="str">
        <f t="shared" si="168"/>
        <v>-</v>
      </c>
      <c r="V2228" s="12" t="str" cm="1">
        <f t="array" ref="V2228">_xlfn.IFS(
ISNUMBER(SEARCH("USA",S2228)),"United States",
ISNUMBER(SEARCH("Republic of Ireland",S2228)),"Ireland",
ISNUMBER(SEARCH("Republic of Korea",S2228)),"South Korea",
ISNUMBER(SEARCH("Cape Verde",S2228)),"Cabo Verde",
ISNUMBER(SEARCH("Czechia",S2228)),"Czech Republic",
ISNUMBER(SEARCH("Türkiye",S2228)),"Turkey",
ISNUMBER(SEARCH("Ivory Coast",S2228)),"Côte d'Ivoire",
ISNUMBER(SEARCH("Korea Republic",S2228)),"South Korea",
ISNUMBER(SEARCH("Germany FR",S2228)),"FR Germany",
ISNUMBER(SEARCH("West Germany",S2228)),"FR Germany",
ISNUMBER(SEARCH("Germany DR",S2228)),"DR Germany",
ISNUMBER(SEARCH("Korea DPR",S2228)),"North Korea",
ISNUMBER(SEARCH("China PR",S2228)),"China",
ISNUMBER(SEARCH("IR Iran",S2228)),"Iran",
ISNUMBER(SEARCH("Congo DR",S2228)),"Democratic Republic of the Congo",
ISNUMBER(SEARCH("DR Congo",S2228)),"Democratic Republic of the Congo",
ISNUMBER(SEARCH("German DR",S2228)),"DR Germany",
ISNUMBER(SEARCH("rn""&gt;United Arab Emirates",S2228)),"United Arab Emirates",
ISNUMBER(SEARCH("rn""&gt;Republic of Ireland",S2228)),"Ireland",
ISNUMBER(SEARCH("rn""&gt;Bosnia and Herzegovina",S2228)),"Bosnia and Herzegovina",
ISNUMBER(SEARCH("rn""&gt;Trinidad and Tobago",S2228)),"Trinidad and Tobago",
ISNUMBER(SEARCH("rn""&gt;Serbia and Montenegro",S2228)),"Serbia and Montenegro",
ISNUMBER(SEARCH(_xlfn.UNICHAR(65533),S2228)),"Côte d'Ivoire",
TRUE,""
)</f>
        <v/>
      </c>
      <c r="W2228" s="12" t="str">
        <f t="shared" si="169"/>
        <v>Portugal</v>
      </c>
    </row>
    <row r="2229" spans="2:23">
      <c r="B2229" s="76" t="str">
        <v>1998.0</v>
      </c>
      <c r="C2229" s="42" t="str">
        <v xml:space="preserve">20 Jun 1998 - 14:30 </v>
      </c>
      <c r="D2229" s="42" t="str">
        <v>Group H</v>
      </c>
      <c r="E2229" s="42" t="str">
        <v>La Beaujoire</v>
      </c>
      <c r="F2229" s="42" t="str">
        <v xml:space="preserve">Nantes </v>
      </c>
      <c r="G2229" s="42" t="str">
        <v>Japan</v>
      </c>
      <c r="H2229" s="42" t="str">
        <v>0.0</v>
      </c>
      <c r="I2229" s="42" t="str">
        <v>1.0</v>
      </c>
      <c r="J2229" s="42" t="str">
        <v>Croatia</v>
      </c>
      <c r="K2229" s="42" t="str">
        <v xml:space="preserve"> </v>
      </c>
      <c r="L2229" s="42" t="str">
        <f t="shared" si="166"/>
        <v xml:space="preserve">1998.0|20 Jun 1998 - 14:30 |Group H|La Beaujoire|Nantes |Japan|0.0|1.0|Croatia| </v>
      </c>
      <c r="M2229" s="42" t="str">
        <f>IF(COUNTIF($L$1689:L2229,L2229)&gt;1,"DOUBLON","OK")</f>
        <v>OK</v>
      </c>
      <c r="S2229" s="12" t="str">
        <v>Portugal</v>
      </c>
      <c r="T2229" s="12" t="str">
        <f t="shared" si="167"/>
        <v>OK</v>
      </c>
      <c r="U2229" s="12" t="str">
        <f t="shared" si="168"/>
        <v>-</v>
      </c>
      <c r="V2229" s="12" t="str" cm="1">
        <f t="array" ref="V2229">_xlfn.IFS(
ISNUMBER(SEARCH("USA",S2229)),"United States",
ISNUMBER(SEARCH("Republic of Ireland",S2229)),"Ireland",
ISNUMBER(SEARCH("Republic of Korea",S2229)),"South Korea",
ISNUMBER(SEARCH("Cape Verde",S2229)),"Cabo Verde",
ISNUMBER(SEARCH("Czechia",S2229)),"Czech Republic",
ISNUMBER(SEARCH("Türkiye",S2229)),"Turkey",
ISNUMBER(SEARCH("Ivory Coast",S2229)),"Côte d'Ivoire",
ISNUMBER(SEARCH("Korea Republic",S2229)),"South Korea",
ISNUMBER(SEARCH("Germany FR",S2229)),"FR Germany",
ISNUMBER(SEARCH("West Germany",S2229)),"FR Germany",
ISNUMBER(SEARCH("Germany DR",S2229)),"DR Germany",
ISNUMBER(SEARCH("Korea DPR",S2229)),"North Korea",
ISNUMBER(SEARCH("China PR",S2229)),"China",
ISNUMBER(SEARCH("IR Iran",S2229)),"Iran",
ISNUMBER(SEARCH("Congo DR",S2229)),"Democratic Republic of the Congo",
ISNUMBER(SEARCH("DR Congo",S2229)),"Democratic Republic of the Congo",
ISNUMBER(SEARCH("German DR",S2229)),"DR Germany",
ISNUMBER(SEARCH("rn""&gt;United Arab Emirates",S2229)),"United Arab Emirates",
ISNUMBER(SEARCH("rn""&gt;Republic of Ireland",S2229)),"Ireland",
ISNUMBER(SEARCH("rn""&gt;Bosnia and Herzegovina",S2229)),"Bosnia and Herzegovina",
ISNUMBER(SEARCH("rn""&gt;Trinidad and Tobago",S2229)),"Trinidad and Tobago",
ISNUMBER(SEARCH("rn""&gt;Serbia and Montenegro",S2229)),"Serbia and Montenegro",
ISNUMBER(SEARCH(_xlfn.UNICHAR(65533),S2229)),"Côte d'Ivoire",
TRUE,""
)</f>
        <v/>
      </c>
      <c r="W2229" s="12" t="str">
        <f t="shared" si="169"/>
        <v>Portugal</v>
      </c>
    </row>
    <row r="2230" spans="2:23">
      <c r="B2230" s="76" t="str">
        <v>1998.0</v>
      </c>
      <c r="C2230" s="42" t="str">
        <v xml:space="preserve">20 Jun 1998 - 17:30 </v>
      </c>
      <c r="D2230" s="42" t="str">
        <v>Group E</v>
      </c>
      <c r="E2230" s="42" t="str">
        <v>Stade du Parc Lescure</v>
      </c>
      <c r="F2230" s="42" t="str">
        <v xml:space="preserve">Bordeaux </v>
      </c>
      <c r="G2230" s="42" t="str">
        <v>Belgium</v>
      </c>
      <c r="H2230" s="42" t="str">
        <v>2.0</v>
      </c>
      <c r="I2230" s="42" t="str">
        <v>2.0</v>
      </c>
      <c r="J2230" s="42" t="str">
        <v>Mexico</v>
      </c>
      <c r="K2230" s="42" t="str">
        <v xml:space="preserve"> </v>
      </c>
      <c r="L2230" s="42" t="str">
        <f t="shared" si="166"/>
        <v xml:space="preserve">1998.0|20 Jun 1998 - 17:30 |Group E|Stade du Parc Lescure|Bordeaux |Belgium|2.0|2.0|Mexico| </v>
      </c>
      <c r="M2230" s="42" t="str">
        <f>IF(COUNTIF($L$1689:L2230,L2230)&gt;1,"DOUBLON","OK")</f>
        <v>OK</v>
      </c>
      <c r="S2230" s="12" t="str">
        <v>Portugal</v>
      </c>
      <c r="T2230" s="12" t="str">
        <f t="shared" si="167"/>
        <v>OK</v>
      </c>
      <c r="U2230" s="12" t="str">
        <f t="shared" si="168"/>
        <v>-</v>
      </c>
      <c r="V2230" s="12" t="str" cm="1">
        <f t="array" ref="V2230">_xlfn.IFS(
ISNUMBER(SEARCH("USA",S2230)),"United States",
ISNUMBER(SEARCH("Republic of Ireland",S2230)),"Ireland",
ISNUMBER(SEARCH("Republic of Korea",S2230)),"South Korea",
ISNUMBER(SEARCH("Cape Verde",S2230)),"Cabo Verde",
ISNUMBER(SEARCH("Czechia",S2230)),"Czech Republic",
ISNUMBER(SEARCH("Türkiye",S2230)),"Turkey",
ISNUMBER(SEARCH("Ivory Coast",S2230)),"Côte d'Ivoire",
ISNUMBER(SEARCH("Korea Republic",S2230)),"South Korea",
ISNUMBER(SEARCH("Germany FR",S2230)),"FR Germany",
ISNUMBER(SEARCH("West Germany",S2230)),"FR Germany",
ISNUMBER(SEARCH("Germany DR",S2230)),"DR Germany",
ISNUMBER(SEARCH("Korea DPR",S2230)),"North Korea",
ISNUMBER(SEARCH("China PR",S2230)),"China",
ISNUMBER(SEARCH("IR Iran",S2230)),"Iran",
ISNUMBER(SEARCH("Congo DR",S2230)),"Democratic Republic of the Congo",
ISNUMBER(SEARCH("DR Congo",S2230)),"Democratic Republic of the Congo",
ISNUMBER(SEARCH("German DR",S2230)),"DR Germany",
ISNUMBER(SEARCH("rn""&gt;United Arab Emirates",S2230)),"United Arab Emirates",
ISNUMBER(SEARCH("rn""&gt;Republic of Ireland",S2230)),"Ireland",
ISNUMBER(SEARCH("rn""&gt;Bosnia and Herzegovina",S2230)),"Bosnia and Herzegovina",
ISNUMBER(SEARCH("rn""&gt;Trinidad and Tobago",S2230)),"Trinidad and Tobago",
ISNUMBER(SEARCH("rn""&gt;Serbia and Montenegro",S2230)),"Serbia and Montenegro",
ISNUMBER(SEARCH(_xlfn.UNICHAR(65533),S2230)),"Côte d'Ivoire",
TRUE,""
)</f>
        <v/>
      </c>
      <c r="W2230" s="12" t="str">
        <f t="shared" si="169"/>
        <v>Portugal</v>
      </c>
    </row>
    <row r="2231" spans="2:23">
      <c r="B2231" s="76" t="str">
        <v>1998.0</v>
      </c>
      <c r="C2231" s="42" t="str">
        <v xml:space="preserve">20 Jun 1998 - 21:00 </v>
      </c>
      <c r="D2231" s="42" t="str">
        <v>Group E</v>
      </c>
      <c r="E2231" s="42" t="str">
        <v>Stade V�lodrome</v>
      </c>
      <c r="F2231" s="42" t="str">
        <v xml:space="preserve">Marseilles </v>
      </c>
      <c r="G2231" s="42" t="str">
        <v>Netherlands</v>
      </c>
      <c r="H2231" s="42" t="str">
        <v>5.0</v>
      </c>
      <c r="I2231" s="42" t="str">
        <v>0.0</v>
      </c>
      <c r="J2231" s="42" t="str">
        <v>Korea Republic</v>
      </c>
      <c r="K2231" s="42" t="str">
        <v xml:space="preserve"> </v>
      </c>
      <c r="L2231" s="42" t="str">
        <f t="shared" si="166"/>
        <v xml:space="preserve">1998.0|20 Jun 1998 - 21:00 |Group E|Stade V�lodrome|Marseilles |Netherlands|5.0|0.0|Korea Republic| </v>
      </c>
      <c r="M2231" s="42" t="str">
        <f>IF(COUNTIF($L$1689:L2231,L2231)&gt;1,"DOUBLON","OK")</f>
        <v>OK</v>
      </c>
      <c r="S2231" s="12" t="str">
        <v>Portugal</v>
      </c>
      <c r="T2231" s="12" t="str">
        <f t="shared" si="167"/>
        <v>OK</v>
      </c>
      <c r="U2231" s="12" t="str">
        <f t="shared" si="168"/>
        <v>-</v>
      </c>
      <c r="V2231" s="12" t="str" cm="1">
        <f t="array" ref="V2231">_xlfn.IFS(
ISNUMBER(SEARCH("USA",S2231)),"United States",
ISNUMBER(SEARCH("Republic of Ireland",S2231)),"Ireland",
ISNUMBER(SEARCH("Republic of Korea",S2231)),"South Korea",
ISNUMBER(SEARCH("Cape Verde",S2231)),"Cabo Verde",
ISNUMBER(SEARCH("Czechia",S2231)),"Czech Republic",
ISNUMBER(SEARCH("Türkiye",S2231)),"Turkey",
ISNUMBER(SEARCH("Ivory Coast",S2231)),"Côte d'Ivoire",
ISNUMBER(SEARCH("Korea Republic",S2231)),"South Korea",
ISNUMBER(SEARCH("Germany FR",S2231)),"FR Germany",
ISNUMBER(SEARCH("West Germany",S2231)),"FR Germany",
ISNUMBER(SEARCH("Germany DR",S2231)),"DR Germany",
ISNUMBER(SEARCH("Korea DPR",S2231)),"North Korea",
ISNUMBER(SEARCH("China PR",S2231)),"China",
ISNUMBER(SEARCH("IR Iran",S2231)),"Iran",
ISNUMBER(SEARCH("Congo DR",S2231)),"Democratic Republic of the Congo",
ISNUMBER(SEARCH("DR Congo",S2231)),"Democratic Republic of the Congo",
ISNUMBER(SEARCH("German DR",S2231)),"DR Germany",
ISNUMBER(SEARCH("rn""&gt;United Arab Emirates",S2231)),"United Arab Emirates",
ISNUMBER(SEARCH("rn""&gt;Republic of Ireland",S2231)),"Ireland",
ISNUMBER(SEARCH("rn""&gt;Bosnia and Herzegovina",S2231)),"Bosnia and Herzegovina",
ISNUMBER(SEARCH("rn""&gt;Trinidad and Tobago",S2231)),"Trinidad and Tobago",
ISNUMBER(SEARCH("rn""&gt;Serbia and Montenegro",S2231)),"Serbia and Montenegro",
ISNUMBER(SEARCH(_xlfn.UNICHAR(65533),S2231)),"Côte d'Ivoire",
TRUE,""
)</f>
        <v/>
      </c>
      <c r="W2231" s="12" t="str">
        <f t="shared" si="169"/>
        <v>Portugal</v>
      </c>
    </row>
    <row r="2232" spans="2:23">
      <c r="B2232" s="76" t="str">
        <v>1998.0</v>
      </c>
      <c r="C2232" s="42" t="str">
        <v xml:space="preserve">21 Jun 1998 - 14:30 </v>
      </c>
      <c r="D2232" s="42" t="str">
        <v>Group F</v>
      </c>
      <c r="E2232" s="42" t="str">
        <v>Stade Felix Bollaert</v>
      </c>
      <c r="F2232" s="42" t="str">
        <v xml:space="preserve">Lens </v>
      </c>
      <c r="G2232" s="42" t="str">
        <v>Germany</v>
      </c>
      <c r="H2232" s="42" t="str">
        <v>2.0</v>
      </c>
      <c r="I2232" s="42" t="str">
        <v>2.0</v>
      </c>
      <c r="J2232" s="42" t="str">
        <v>Yugoslavia</v>
      </c>
      <c r="K2232" s="42" t="str">
        <v xml:space="preserve"> </v>
      </c>
      <c r="L2232" s="42" t="str">
        <f t="shared" si="166"/>
        <v xml:space="preserve">1998.0|21 Jun 1998 - 14:30 |Group F|Stade Felix Bollaert|Lens |Germany|2.0|2.0|Yugoslavia| </v>
      </c>
      <c r="M2232" s="42" t="str">
        <f>IF(COUNTIF($L$1689:L2232,L2232)&gt;1,"DOUBLON","OK")</f>
        <v>OK</v>
      </c>
      <c r="S2232" s="12" t="str">
        <v>Portugal</v>
      </c>
      <c r="T2232" s="12" t="str">
        <f t="shared" si="167"/>
        <v>OK</v>
      </c>
      <c r="U2232" s="12" t="str">
        <f t="shared" si="168"/>
        <v>-</v>
      </c>
      <c r="V2232" s="12" t="str" cm="1">
        <f t="array" ref="V2232">_xlfn.IFS(
ISNUMBER(SEARCH("USA",S2232)),"United States",
ISNUMBER(SEARCH("Republic of Ireland",S2232)),"Ireland",
ISNUMBER(SEARCH("Republic of Korea",S2232)),"South Korea",
ISNUMBER(SEARCH("Cape Verde",S2232)),"Cabo Verde",
ISNUMBER(SEARCH("Czechia",S2232)),"Czech Republic",
ISNUMBER(SEARCH("Türkiye",S2232)),"Turkey",
ISNUMBER(SEARCH("Ivory Coast",S2232)),"Côte d'Ivoire",
ISNUMBER(SEARCH("Korea Republic",S2232)),"South Korea",
ISNUMBER(SEARCH("Germany FR",S2232)),"FR Germany",
ISNUMBER(SEARCH("West Germany",S2232)),"FR Germany",
ISNUMBER(SEARCH("Germany DR",S2232)),"DR Germany",
ISNUMBER(SEARCH("Korea DPR",S2232)),"North Korea",
ISNUMBER(SEARCH("China PR",S2232)),"China",
ISNUMBER(SEARCH("IR Iran",S2232)),"Iran",
ISNUMBER(SEARCH("Congo DR",S2232)),"Democratic Republic of the Congo",
ISNUMBER(SEARCH("DR Congo",S2232)),"Democratic Republic of the Congo",
ISNUMBER(SEARCH("German DR",S2232)),"DR Germany",
ISNUMBER(SEARCH("rn""&gt;United Arab Emirates",S2232)),"United Arab Emirates",
ISNUMBER(SEARCH("rn""&gt;Republic of Ireland",S2232)),"Ireland",
ISNUMBER(SEARCH("rn""&gt;Bosnia and Herzegovina",S2232)),"Bosnia and Herzegovina",
ISNUMBER(SEARCH("rn""&gt;Trinidad and Tobago",S2232)),"Trinidad and Tobago",
ISNUMBER(SEARCH("rn""&gt;Serbia and Montenegro",S2232)),"Serbia and Montenegro",
ISNUMBER(SEARCH(_xlfn.UNICHAR(65533),S2232)),"Côte d'Ivoire",
TRUE,""
)</f>
        <v/>
      </c>
      <c r="W2232" s="12" t="str">
        <f t="shared" si="169"/>
        <v>Portugal</v>
      </c>
    </row>
    <row r="2233" spans="2:23">
      <c r="B2233" s="76" t="str">
        <v>1998.0</v>
      </c>
      <c r="C2233" s="42" t="str">
        <v xml:space="preserve">21 Jun 1998 - 17:30 </v>
      </c>
      <c r="D2233" s="42" t="str">
        <v>Group H</v>
      </c>
      <c r="E2233" s="42" t="str">
        <v>Parc des Princes</v>
      </c>
      <c r="F2233" s="42" t="str">
        <v xml:space="preserve">Paris </v>
      </c>
      <c r="G2233" s="42" t="str">
        <v>Argentina</v>
      </c>
      <c r="H2233" s="42" t="str">
        <v>5.0</v>
      </c>
      <c r="I2233" s="42" t="str">
        <v>0.0</v>
      </c>
      <c r="J2233" s="42" t="str">
        <v>Jamaica</v>
      </c>
      <c r="K2233" s="42" t="str">
        <v xml:space="preserve"> </v>
      </c>
      <c r="L2233" s="42" t="str">
        <f t="shared" si="166"/>
        <v xml:space="preserve">1998.0|21 Jun 1998 - 17:30 |Group H|Parc des Princes|Paris |Argentina|5.0|0.0|Jamaica| </v>
      </c>
      <c r="M2233" s="42" t="str">
        <f>IF(COUNTIF($L$1689:L2233,L2233)&gt;1,"DOUBLON","OK")</f>
        <v>OK</v>
      </c>
      <c r="S2233" s="12" t="str">
        <v>Portugal</v>
      </c>
      <c r="T2233" s="12" t="str">
        <f t="shared" si="167"/>
        <v>OK</v>
      </c>
      <c r="U2233" s="12" t="str">
        <f t="shared" si="168"/>
        <v>-</v>
      </c>
      <c r="V2233" s="12" t="str" cm="1">
        <f t="array" ref="V2233">_xlfn.IFS(
ISNUMBER(SEARCH("USA",S2233)),"United States",
ISNUMBER(SEARCH("Republic of Ireland",S2233)),"Ireland",
ISNUMBER(SEARCH("Republic of Korea",S2233)),"South Korea",
ISNUMBER(SEARCH("Cape Verde",S2233)),"Cabo Verde",
ISNUMBER(SEARCH("Czechia",S2233)),"Czech Republic",
ISNUMBER(SEARCH("Türkiye",S2233)),"Turkey",
ISNUMBER(SEARCH("Ivory Coast",S2233)),"Côte d'Ivoire",
ISNUMBER(SEARCH("Korea Republic",S2233)),"South Korea",
ISNUMBER(SEARCH("Germany FR",S2233)),"FR Germany",
ISNUMBER(SEARCH("West Germany",S2233)),"FR Germany",
ISNUMBER(SEARCH("Germany DR",S2233)),"DR Germany",
ISNUMBER(SEARCH("Korea DPR",S2233)),"North Korea",
ISNUMBER(SEARCH("China PR",S2233)),"China",
ISNUMBER(SEARCH("IR Iran",S2233)),"Iran",
ISNUMBER(SEARCH("Congo DR",S2233)),"Democratic Republic of the Congo",
ISNUMBER(SEARCH("DR Congo",S2233)),"Democratic Republic of the Congo",
ISNUMBER(SEARCH("German DR",S2233)),"DR Germany",
ISNUMBER(SEARCH("rn""&gt;United Arab Emirates",S2233)),"United Arab Emirates",
ISNUMBER(SEARCH("rn""&gt;Republic of Ireland",S2233)),"Ireland",
ISNUMBER(SEARCH("rn""&gt;Bosnia and Herzegovina",S2233)),"Bosnia and Herzegovina",
ISNUMBER(SEARCH("rn""&gt;Trinidad and Tobago",S2233)),"Trinidad and Tobago",
ISNUMBER(SEARCH("rn""&gt;Serbia and Montenegro",S2233)),"Serbia and Montenegro",
ISNUMBER(SEARCH(_xlfn.UNICHAR(65533),S2233)),"Côte d'Ivoire",
TRUE,""
)</f>
        <v/>
      </c>
      <c r="W2233" s="12" t="str">
        <f t="shared" si="169"/>
        <v>Portugal</v>
      </c>
    </row>
    <row r="2234" spans="2:23">
      <c r="B2234" s="76" t="str">
        <v>1998.0</v>
      </c>
      <c r="C2234" s="42" t="str">
        <v xml:space="preserve">21 Jun 1998 - 21:00 </v>
      </c>
      <c r="D2234" s="42" t="str">
        <v>Group F</v>
      </c>
      <c r="E2234" s="42" t="str">
        <v>Stade de Gerland</v>
      </c>
      <c r="F2234" s="42" t="str">
        <v xml:space="preserve">Lyon </v>
      </c>
      <c r="G2234" s="42" t="str">
        <v>USA</v>
      </c>
      <c r="H2234" s="42" t="str">
        <v>1.0</v>
      </c>
      <c r="I2234" s="42" t="str">
        <v>2.0</v>
      </c>
      <c r="J2234" s="42" t="str">
        <v>Iran</v>
      </c>
      <c r="K2234" s="42" t="str">
        <v xml:space="preserve"> </v>
      </c>
      <c r="L2234" s="42" t="str">
        <f t="shared" si="166"/>
        <v xml:space="preserve">1998.0|21 Jun 1998 - 21:00 |Group F|Stade de Gerland|Lyon |USA|1.0|2.0|Iran| </v>
      </c>
      <c r="M2234" s="42" t="str">
        <f>IF(COUNTIF($L$1689:L2234,L2234)&gt;1,"DOUBLON","OK")</f>
        <v>OK</v>
      </c>
      <c r="S2234" s="12" t="str">
        <v>Portugal</v>
      </c>
      <c r="T2234" s="12" t="str">
        <f t="shared" si="167"/>
        <v>OK</v>
      </c>
      <c r="U2234" s="12" t="str">
        <f t="shared" si="168"/>
        <v>-</v>
      </c>
      <c r="V2234" s="12" t="str" cm="1">
        <f t="array" ref="V2234">_xlfn.IFS(
ISNUMBER(SEARCH("USA",S2234)),"United States",
ISNUMBER(SEARCH("Republic of Ireland",S2234)),"Ireland",
ISNUMBER(SEARCH("Republic of Korea",S2234)),"South Korea",
ISNUMBER(SEARCH("Cape Verde",S2234)),"Cabo Verde",
ISNUMBER(SEARCH("Czechia",S2234)),"Czech Republic",
ISNUMBER(SEARCH("Türkiye",S2234)),"Turkey",
ISNUMBER(SEARCH("Ivory Coast",S2234)),"Côte d'Ivoire",
ISNUMBER(SEARCH("Korea Republic",S2234)),"South Korea",
ISNUMBER(SEARCH("Germany FR",S2234)),"FR Germany",
ISNUMBER(SEARCH("West Germany",S2234)),"FR Germany",
ISNUMBER(SEARCH("Germany DR",S2234)),"DR Germany",
ISNUMBER(SEARCH("Korea DPR",S2234)),"North Korea",
ISNUMBER(SEARCH("China PR",S2234)),"China",
ISNUMBER(SEARCH("IR Iran",S2234)),"Iran",
ISNUMBER(SEARCH("Congo DR",S2234)),"Democratic Republic of the Congo",
ISNUMBER(SEARCH("DR Congo",S2234)),"Democratic Republic of the Congo",
ISNUMBER(SEARCH("German DR",S2234)),"DR Germany",
ISNUMBER(SEARCH("rn""&gt;United Arab Emirates",S2234)),"United Arab Emirates",
ISNUMBER(SEARCH("rn""&gt;Republic of Ireland",S2234)),"Ireland",
ISNUMBER(SEARCH("rn""&gt;Bosnia and Herzegovina",S2234)),"Bosnia and Herzegovina",
ISNUMBER(SEARCH("rn""&gt;Trinidad and Tobago",S2234)),"Trinidad and Tobago",
ISNUMBER(SEARCH("rn""&gt;Serbia and Montenegro",S2234)),"Serbia and Montenegro",
ISNUMBER(SEARCH(_xlfn.UNICHAR(65533),S2234)),"Côte d'Ivoire",
TRUE,""
)</f>
        <v/>
      </c>
      <c r="W2234" s="12" t="str">
        <f t="shared" si="169"/>
        <v>Portugal</v>
      </c>
    </row>
    <row r="2235" spans="2:23">
      <c r="B2235" s="76" t="str">
        <v>1998.0</v>
      </c>
      <c r="C2235" s="42" t="str">
        <v xml:space="preserve">22 Jun 1998 - 17:30 </v>
      </c>
      <c r="D2235" s="42" t="str">
        <v>Group G</v>
      </c>
      <c r="E2235" s="42" t="str">
        <v>La Mosson</v>
      </c>
      <c r="F2235" s="42" t="str">
        <v xml:space="preserve">Montpellier </v>
      </c>
      <c r="G2235" s="42" t="str">
        <v>Colombia</v>
      </c>
      <c r="H2235" s="42" t="str">
        <v>1.0</v>
      </c>
      <c r="I2235" s="42" t="str">
        <v>0.0</v>
      </c>
      <c r="J2235" s="42" t="str">
        <v>Tunisia</v>
      </c>
      <c r="K2235" s="42" t="str">
        <v xml:space="preserve"> </v>
      </c>
      <c r="L2235" s="42" t="str">
        <f t="shared" si="166"/>
        <v xml:space="preserve">1998.0|22 Jun 1998 - 17:30 |Group G|La Mosson|Montpellier |Colombia|1.0|0.0|Tunisia| </v>
      </c>
      <c r="M2235" s="42" t="str">
        <f>IF(COUNTIF($L$1689:L2235,L2235)&gt;1,"DOUBLON","OK")</f>
        <v>OK</v>
      </c>
      <c r="S2235" s="12" t="str">
        <v>Portugal</v>
      </c>
      <c r="T2235" s="12" t="str">
        <f t="shared" si="167"/>
        <v>OK</v>
      </c>
      <c r="U2235" s="12" t="str">
        <f t="shared" si="168"/>
        <v>-</v>
      </c>
      <c r="V2235" s="12" t="str" cm="1">
        <f t="array" ref="V2235">_xlfn.IFS(
ISNUMBER(SEARCH("USA",S2235)),"United States",
ISNUMBER(SEARCH("Republic of Ireland",S2235)),"Ireland",
ISNUMBER(SEARCH("Republic of Korea",S2235)),"South Korea",
ISNUMBER(SEARCH("Cape Verde",S2235)),"Cabo Verde",
ISNUMBER(SEARCH("Czechia",S2235)),"Czech Republic",
ISNUMBER(SEARCH("Türkiye",S2235)),"Turkey",
ISNUMBER(SEARCH("Ivory Coast",S2235)),"Côte d'Ivoire",
ISNUMBER(SEARCH("Korea Republic",S2235)),"South Korea",
ISNUMBER(SEARCH("Germany FR",S2235)),"FR Germany",
ISNUMBER(SEARCH("West Germany",S2235)),"FR Germany",
ISNUMBER(SEARCH("Germany DR",S2235)),"DR Germany",
ISNUMBER(SEARCH("Korea DPR",S2235)),"North Korea",
ISNUMBER(SEARCH("China PR",S2235)),"China",
ISNUMBER(SEARCH("IR Iran",S2235)),"Iran",
ISNUMBER(SEARCH("Congo DR",S2235)),"Democratic Republic of the Congo",
ISNUMBER(SEARCH("DR Congo",S2235)),"Democratic Republic of the Congo",
ISNUMBER(SEARCH("German DR",S2235)),"DR Germany",
ISNUMBER(SEARCH("rn""&gt;United Arab Emirates",S2235)),"United Arab Emirates",
ISNUMBER(SEARCH("rn""&gt;Republic of Ireland",S2235)),"Ireland",
ISNUMBER(SEARCH("rn""&gt;Bosnia and Herzegovina",S2235)),"Bosnia and Herzegovina",
ISNUMBER(SEARCH("rn""&gt;Trinidad and Tobago",S2235)),"Trinidad and Tobago",
ISNUMBER(SEARCH("rn""&gt;Serbia and Montenegro",S2235)),"Serbia and Montenegro",
ISNUMBER(SEARCH(_xlfn.UNICHAR(65533),S2235)),"Côte d'Ivoire",
TRUE,""
)</f>
        <v/>
      </c>
      <c r="W2235" s="12" t="str">
        <f t="shared" si="169"/>
        <v>Portugal</v>
      </c>
    </row>
    <row r="2236" spans="2:23">
      <c r="B2236" s="76" t="str">
        <v>1998.0</v>
      </c>
      <c r="C2236" s="42" t="str">
        <v xml:space="preserve">22 Jun 1998 - 21:00 </v>
      </c>
      <c r="D2236" s="42" t="str">
        <v>Group G</v>
      </c>
      <c r="E2236" s="42" t="str">
        <v>Stade Municipal</v>
      </c>
      <c r="F2236" s="42" t="str">
        <v xml:space="preserve">Toulouse </v>
      </c>
      <c r="G2236" s="42" t="str">
        <v>Romania</v>
      </c>
      <c r="H2236" s="42" t="str">
        <v>2.0</v>
      </c>
      <c r="I2236" s="42" t="str">
        <v>1.0</v>
      </c>
      <c r="J2236" s="42" t="str">
        <v>England</v>
      </c>
      <c r="K2236" s="42" t="str">
        <v xml:space="preserve"> </v>
      </c>
      <c r="L2236" s="42" t="str">
        <f t="shared" si="166"/>
        <v xml:space="preserve">1998.0|22 Jun 1998 - 21:00 |Group G|Stade Municipal|Toulouse |Romania|2.0|1.0|England| </v>
      </c>
      <c r="M2236" s="42" t="str">
        <f>IF(COUNTIF($L$1689:L2236,L2236)&gt;1,"DOUBLON","OK")</f>
        <v>OK</v>
      </c>
      <c r="S2236" s="12" t="str">
        <v>Portugal</v>
      </c>
      <c r="T2236" s="12" t="str">
        <f t="shared" si="167"/>
        <v>OK</v>
      </c>
      <c r="U2236" s="12" t="str">
        <f t="shared" si="168"/>
        <v>-</v>
      </c>
      <c r="V2236" s="12" t="str" cm="1">
        <f t="array" ref="V2236">_xlfn.IFS(
ISNUMBER(SEARCH("USA",S2236)),"United States",
ISNUMBER(SEARCH("Republic of Ireland",S2236)),"Ireland",
ISNUMBER(SEARCH("Republic of Korea",S2236)),"South Korea",
ISNUMBER(SEARCH("Cape Verde",S2236)),"Cabo Verde",
ISNUMBER(SEARCH("Czechia",S2236)),"Czech Republic",
ISNUMBER(SEARCH("Türkiye",S2236)),"Turkey",
ISNUMBER(SEARCH("Ivory Coast",S2236)),"Côte d'Ivoire",
ISNUMBER(SEARCH("Korea Republic",S2236)),"South Korea",
ISNUMBER(SEARCH("Germany FR",S2236)),"FR Germany",
ISNUMBER(SEARCH("West Germany",S2236)),"FR Germany",
ISNUMBER(SEARCH("Germany DR",S2236)),"DR Germany",
ISNUMBER(SEARCH("Korea DPR",S2236)),"North Korea",
ISNUMBER(SEARCH("China PR",S2236)),"China",
ISNUMBER(SEARCH("IR Iran",S2236)),"Iran",
ISNUMBER(SEARCH("Congo DR",S2236)),"Democratic Republic of the Congo",
ISNUMBER(SEARCH("DR Congo",S2236)),"Democratic Republic of the Congo",
ISNUMBER(SEARCH("German DR",S2236)),"DR Germany",
ISNUMBER(SEARCH("rn""&gt;United Arab Emirates",S2236)),"United Arab Emirates",
ISNUMBER(SEARCH("rn""&gt;Republic of Ireland",S2236)),"Ireland",
ISNUMBER(SEARCH("rn""&gt;Bosnia and Herzegovina",S2236)),"Bosnia and Herzegovina",
ISNUMBER(SEARCH("rn""&gt;Trinidad and Tobago",S2236)),"Trinidad and Tobago",
ISNUMBER(SEARCH("rn""&gt;Serbia and Montenegro",S2236)),"Serbia and Montenegro",
ISNUMBER(SEARCH(_xlfn.UNICHAR(65533),S2236)),"Côte d'Ivoire",
TRUE,""
)</f>
        <v/>
      </c>
      <c r="W2236" s="12" t="str">
        <f t="shared" si="169"/>
        <v>Portugal</v>
      </c>
    </row>
    <row r="2237" spans="2:23">
      <c r="B2237" s="76" t="str">
        <v>1998.0</v>
      </c>
      <c r="C2237" s="42" t="str">
        <v xml:space="preserve">23 Jun 1998 - 16:00 </v>
      </c>
      <c r="D2237" s="42" t="str">
        <v>Group B</v>
      </c>
      <c r="E2237" s="42" t="str">
        <v>Stade de France</v>
      </c>
      <c r="F2237" s="42" t="str">
        <v xml:space="preserve">Saint-Denis </v>
      </c>
      <c r="G2237" s="42" t="str">
        <v>Italy</v>
      </c>
      <c r="H2237" s="42" t="str">
        <v>2.0</v>
      </c>
      <c r="I2237" s="42" t="str">
        <v>1.0</v>
      </c>
      <c r="J2237" s="42" t="str">
        <v>Austria</v>
      </c>
      <c r="K2237" s="42" t="str">
        <v xml:space="preserve"> </v>
      </c>
      <c r="L2237" s="42" t="str">
        <f t="shared" si="166"/>
        <v xml:space="preserve">1998.0|23 Jun 1998 - 16:00 |Group B|Stade de France|Saint-Denis |Italy|2.0|1.0|Austria| </v>
      </c>
      <c r="M2237" s="42" t="str">
        <f>IF(COUNTIF($L$1689:L2237,L2237)&gt;1,"DOUBLON","OK")</f>
        <v>OK</v>
      </c>
      <c r="S2237" s="12" t="str">
        <v>Portugal</v>
      </c>
      <c r="T2237" s="12" t="str">
        <f t="shared" si="167"/>
        <v>OK</v>
      </c>
      <c r="U2237" s="12" t="str">
        <f t="shared" si="168"/>
        <v>-</v>
      </c>
      <c r="V2237" s="12" t="str" cm="1">
        <f t="array" ref="V2237">_xlfn.IFS(
ISNUMBER(SEARCH("USA",S2237)),"United States",
ISNUMBER(SEARCH("Republic of Ireland",S2237)),"Ireland",
ISNUMBER(SEARCH("Republic of Korea",S2237)),"South Korea",
ISNUMBER(SEARCH("Cape Verde",S2237)),"Cabo Verde",
ISNUMBER(SEARCH("Czechia",S2237)),"Czech Republic",
ISNUMBER(SEARCH("Türkiye",S2237)),"Turkey",
ISNUMBER(SEARCH("Ivory Coast",S2237)),"Côte d'Ivoire",
ISNUMBER(SEARCH("Korea Republic",S2237)),"South Korea",
ISNUMBER(SEARCH("Germany FR",S2237)),"FR Germany",
ISNUMBER(SEARCH("West Germany",S2237)),"FR Germany",
ISNUMBER(SEARCH("Germany DR",S2237)),"DR Germany",
ISNUMBER(SEARCH("Korea DPR",S2237)),"North Korea",
ISNUMBER(SEARCH("China PR",S2237)),"China",
ISNUMBER(SEARCH("IR Iran",S2237)),"Iran",
ISNUMBER(SEARCH("Congo DR",S2237)),"Democratic Republic of the Congo",
ISNUMBER(SEARCH("DR Congo",S2237)),"Democratic Republic of the Congo",
ISNUMBER(SEARCH("German DR",S2237)),"DR Germany",
ISNUMBER(SEARCH("rn""&gt;United Arab Emirates",S2237)),"United Arab Emirates",
ISNUMBER(SEARCH("rn""&gt;Republic of Ireland",S2237)),"Ireland",
ISNUMBER(SEARCH("rn""&gt;Bosnia and Herzegovina",S2237)),"Bosnia and Herzegovina",
ISNUMBER(SEARCH("rn""&gt;Trinidad and Tobago",S2237)),"Trinidad and Tobago",
ISNUMBER(SEARCH("rn""&gt;Serbia and Montenegro",S2237)),"Serbia and Montenegro",
ISNUMBER(SEARCH(_xlfn.UNICHAR(65533),S2237)),"Côte d'Ivoire",
TRUE,""
)</f>
        <v/>
      </c>
      <c r="W2237" s="12" t="str">
        <f t="shared" si="169"/>
        <v>Portugal</v>
      </c>
    </row>
    <row r="2238" spans="2:23">
      <c r="B2238" s="76" t="str">
        <v>1998.0</v>
      </c>
      <c r="C2238" s="42" t="str">
        <v xml:space="preserve">23 Jun 1998 - 16:00 </v>
      </c>
      <c r="D2238" s="42" t="str">
        <v>Group B</v>
      </c>
      <c r="E2238" s="42" t="str">
        <v>La Beaujoire</v>
      </c>
      <c r="F2238" s="42" t="str">
        <v xml:space="preserve">Nantes </v>
      </c>
      <c r="G2238" s="42" t="str">
        <v>Chile</v>
      </c>
      <c r="H2238" s="42" t="str">
        <v>1.0</v>
      </c>
      <c r="I2238" s="42" t="str">
        <v>1.0</v>
      </c>
      <c r="J2238" s="42" t="str">
        <v>Cameroon</v>
      </c>
      <c r="K2238" s="42" t="str">
        <v xml:space="preserve"> </v>
      </c>
      <c r="L2238" s="42" t="str">
        <f t="shared" si="166"/>
        <v xml:space="preserve">1998.0|23 Jun 1998 - 16:00 |Group B|La Beaujoire|Nantes |Chile|1.0|1.0|Cameroon| </v>
      </c>
      <c r="M2238" s="42" t="str">
        <f>IF(COUNTIF($L$1689:L2238,L2238)&gt;1,"DOUBLON","OK")</f>
        <v>OK</v>
      </c>
      <c r="S2238" s="12" t="str">
        <v>Portugal</v>
      </c>
      <c r="T2238" s="12" t="str">
        <f t="shared" si="167"/>
        <v>OK</v>
      </c>
      <c r="U2238" s="12" t="str">
        <f t="shared" si="168"/>
        <v>-</v>
      </c>
      <c r="V2238" s="12" t="str" cm="1">
        <f t="array" ref="V2238">_xlfn.IFS(
ISNUMBER(SEARCH("USA",S2238)),"United States",
ISNUMBER(SEARCH("Republic of Ireland",S2238)),"Ireland",
ISNUMBER(SEARCH("Republic of Korea",S2238)),"South Korea",
ISNUMBER(SEARCH("Cape Verde",S2238)),"Cabo Verde",
ISNUMBER(SEARCH("Czechia",S2238)),"Czech Republic",
ISNUMBER(SEARCH("Türkiye",S2238)),"Turkey",
ISNUMBER(SEARCH("Ivory Coast",S2238)),"Côte d'Ivoire",
ISNUMBER(SEARCH("Korea Republic",S2238)),"South Korea",
ISNUMBER(SEARCH("Germany FR",S2238)),"FR Germany",
ISNUMBER(SEARCH("West Germany",S2238)),"FR Germany",
ISNUMBER(SEARCH("Germany DR",S2238)),"DR Germany",
ISNUMBER(SEARCH("Korea DPR",S2238)),"North Korea",
ISNUMBER(SEARCH("China PR",S2238)),"China",
ISNUMBER(SEARCH("IR Iran",S2238)),"Iran",
ISNUMBER(SEARCH("Congo DR",S2238)),"Democratic Republic of the Congo",
ISNUMBER(SEARCH("DR Congo",S2238)),"Democratic Republic of the Congo",
ISNUMBER(SEARCH("German DR",S2238)),"DR Germany",
ISNUMBER(SEARCH("rn""&gt;United Arab Emirates",S2238)),"United Arab Emirates",
ISNUMBER(SEARCH("rn""&gt;Republic of Ireland",S2238)),"Ireland",
ISNUMBER(SEARCH("rn""&gt;Bosnia and Herzegovina",S2238)),"Bosnia and Herzegovina",
ISNUMBER(SEARCH("rn""&gt;Trinidad and Tobago",S2238)),"Trinidad and Tobago",
ISNUMBER(SEARCH("rn""&gt;Serbia and Montenegro",S2238)),"Serbia and Montenegro",
ISNUMBER(SEARCH(_xlfn.UNICHAR(65533),S2238)),"Côte d'Ivoire",
TRUE,""
)</f>
        <v/>
      </c>
      <c r="W2238" s="12" t="str">
        <f t="shared" si="169"/>
        <v>Portugal</v>
      </c>
    </row>
    <row r="2239" spans="2:23">
      <c r="B2239" s="76" t="str">
        <v>1998.0</v>
      </c>
      <c r="C2239" s="42" t="str">
        <v xml:space="preserve">23 Jun 1998 - 21:00 </v>
      </c>
      <c r="D2239" s="42" t="str">
        <v>Group A</v>
      </c>
      <c r="E2239" s="42" t="str">
        <v>Stade Geoffroy Guichard</v>
      </c>
      <c r="F2239" s="42" t="str">
        <v xml:space="preserve">Saint-Etienne </v>
      </c>
      <c r="G2239" s="42" t="str">
        <v>Scotland</v>
      </c>
      <c r="H2239" s="42" t="str">
        <v>0.0</v>
      </c>
      <c r="I2239" s="42" t="str">
        <v>3.0</v>
      </c>
      <c r="J2239" s="42" t="str">
        <v>Morocco</v>
      </c>
      <c r="K2239" s="42" t="str">
        <v xml:space="preserve"> </v>
      </c>
      <c r="L2239" s="42" t="str">
        <f t="shared" si="166"/>
        <v xml:space="preserve">1998.0|23 Jun 1998 - 21:00 |Group A|Stade Geoffroy Guichard|Saint-Etienne |Scotland|0.0|3.0|Morocco| </v>
      </c>
      <c r="M2239" s="42" t="str">
        <f>IF(COUNTIF($L$1689:L2239,L2239)&gt;1,"DOUBLON","OK")</f>
        <v>OK</v>
      </c>
      <c r="S2239" s="12" t="str">
        <v>Uzbekistan</v>
      </c>
      <c r="T2239" s="12" t="str">
        <f t="shared" si="167"/>
        <v>OK</v>
      </c>
      <c r="U2239" s="12" t="str">
        <f t="shared" si="168"/>
        <v>-</v>
      </c>
      <c r="V2239" s="12" t="str" cm="1">
        <f t="array" ref="V2239">_xlfn.IFS(
ISNUMBER(SEARCH("USA",S2239)),"United States",
ISNUMBER(SEARCH("Republic of Ireland",S2239)),"Ireland",
ISNUMBER(SEARCH("Republic of Korea",S2239)),"South Korea",
ISNUMBER(SEARCH("Cape Verde",S2239)),"Cabo Verde",
ISNUMBER(SEARCH("Czechia",S2239)),"Czech Republic",
ISNUMBER(SEARCH("Türkiye",S2239)),"Turkey",
ISNUMBER(SEARCH("Ivory Coast",S2239)),"Côte d'Ivoire",
ISNUMBER(SEARCH("Korea Republic",S2239)),"South Korea",
ISNUMBER(SEARCH("Germany FR",S2239)),"FR Germany",
ISNUMBER(SEARCH("West Germany",S2239)),"FR Germany",
ISNUMBER(SEARCH("Germany DR",S2239)),"DR Germany",
ISNUMBER(SEARCH("Korea DPR",S2239)),"North Korea",
ISNUMBER(SEARCH("China PR",S2239)),"China",
ISNUMBER(SEARCH("IR Iran",S2239)),"Iran",
ISNUMBER(SEARCH("Congo DR",S2239)),"Democratic Republic of the Congo",
ISNUMBER(SEARCH("DR Congo",S2239)),"Democratic Republic of the Congo",
ISNUMBER(SEARCH("German DR",S2239)),"DR Germany",
ISNUMBER(SEARCH("rn""&gt;United Arab Emirates",S2239)),"United Arab Emirates",
ISNUMBER(SEARCH("rn""&gt;Republic of Ireland",S2239)),"Ireland",
ISNUMBER(SEARCH("rn""&gt;Bosnia and Herzegovina",S2239)),"Bosnia and Herzegovina",
ISNUMBER(SEARCH("rn""&gt;Trinidad and Tobago",S2239)),"Trinidad and Tobago",
ISNUMBER(SEARCH("rn""&gt;Serbia and Montenegro",S2239)),"Serbia and Montenegro",
ISNUMBER(SEARCH(_xlfn.UNICHAR(65533),S2239)),"Côte d'Ivoire",
TRUE,""
)</f>
        <v/>
      </c>
      <c r="W2239" s="12" t="str">
        <f t="shared" si="169"/>
        <v>Uzbekistan</v>
      </c>
    </row>
    <row r="2240" spans="2:23">
      <c r="B2240" s="76" t="str">
        <v>1998.0</v>
      </c>
      <c r="C2240" s="42" t="str">
        <v xml:space="preserve">23 Jun 1998 - 21:00 </v>
      </c>
      <c r="D2240" s="42" t="str">
        <v>Group A</v>
      </c>
      <c r="E2240" s="42" t="str">
        <v>Stade V�lodrome</v>
      </c>
      <c r="F2240" s="42" t="str">
        <v xml:space="preserve">Marseilles </v>
      </c>
      <c r="G2240" s="42" t="str">
        <v>Brazil</v>
      </c>
      <c r="H2240" s="42" t="str">
        <v>1.0</v>
      </c>
      <c r="I2240" s="42" t="str">
        <v>2.0</v>
      </c>
      <c r="J2240" s="42" t="str">
        <v>Norway</v>
      </c>
      <c r="K2240" s="42" t="str">
        <v xml:space="preserve"> </v>
      </c>
      <c r="L2240" s="42" t="str">
        <f t="shared" si="166"/>
        <v xml:space="preserve">1998.0|23 Jun 1998 - 21:00 |Group A|Stade V�lodrome|Marseilles |Brazil|1.0|2.0|Norway| </v>
      </c>
      <c r="M2240" s="42" t="str">
        <f>IF(COUNTIF($L$1689:L2240,L2240)&gt;1,"DOUBLON","OK")</f>
        <v>OK</v>
      </c>
      <c r="S2240" s="12" t="str">
        <v>Uzbekistan</v>
      </c>
      <c r="T2240" s="12" t="str">
        <f t="shared" si="167"/>
        <v>OK</v>
      </c>
      <c r="U2240" s="12" t="str">
        <f t="shared" si="168"/>
        <v>-</v>
      </c>
      <c r="V2240" s="12" t="str" cm="1">
        <f t="array" ref="V2240">_xlfn.IFS(
ISNUMBER(SEARCH("USA",S2240)),"United States",
ISNUMBER(SEARCH("Republic of Ireland",S2240)),"Ireland",
ISNUMBER(SEARCH("Republic of Korea",S2240)),"South Korea",
ISNUMBER(SEARCH("Cape Verde",S2240)),"Cabo Verde",
ISNUMBER(SEARCH("Czechia",S2240)),"Czech Republic",
ISNUMBER(SEARCH("Türkiye",S2240)),"Turkey",
ISNUMBER(SEARCH("Ivory Coast",S2240)),"Côte d'Ivoire",
ISNUMBER(SEARCH("Korea Republic",S2240)),"South Korea",
ISNUMBER(SEARCH("Germany FR",S2240)),"FR Germany",
ISNUMBER(SEARCH("West Germany",S2240)),"FR Germany",
ISNUMBER(SEARCH("Germany DR",S2240)),"DR Germany",
ISNUMBER(SEARCH("Korea DPR",S2240)),"North Korea",
ISNUMBER(SEARCH("China PR",S2240)),"China",
ISNUMBER(SEARCH("IR Iran",S2240)),"Iran",
ISNUMBER(SEARCH("Congo DR",S2240)),"Democratic Republic of the Congo",
ISNUMBER(SEARCH("DR Congo",S2240)),"Democratic Republic of the Congo",
ISNUMBER(SEARCH("German DR",S2240)),"DR Germany",
ISNUMBER(SEARCH("rn""&gt;United Arab Emirates",S2240)),"United Arab Emirates",
ISNUMBER(SEARCH("rn""&gt;Republic of Ireland",S2240)),"Ireland",
ISNUMBER(SEARCH("rn""&gt;Bosnia and Herzegovina",S2240)),"Bosnia and Herzegovina",
ISNUMBER(SEARCH("rn""&gt;Trinidad and Tobago",S2240)),"Trinidad and Tobago",
ISNUMBER(SEARCH("rn""&gt;Serbia and Montenegro",S2240)),"Serbia and Montenegro",
ISNUMBER(SEARCH(_xlfn.UNICHAR(65533),S2240)),"Côte d'Ivoire",
TRUE,""
)</f>
        <v/>
      </c>
      <c r="W2240" s="12" t="str">
        <f t="shared" si="169"/>
        <v>Uzbekistan</v>
      </c>
    </row>
    <row r="2241" spans="2:23">
      <c r="B2241" s="76" t="str">
        <v>1998.0</v>
      </c>
      <c r="C2241" s="42" t="str">
        <v xml:space="preserve">24 Jun 1998 - 16:00 </v>
      </c>
      <c r="D2241" s="42" t="str">
        <v>Group C</v>
      </c>
      <c r="E2241" s="42" t="str">
        <v>Stade de Gerland</v>
      </c>
      <c r="F2241" s="42" t="str">
        <v xml:space="preserve">Lyon </v>
      </c>
      <c r="G2241" s="42" t="str">
        <v>France</v>
      </c>
      <c r="H2241" s="42" t="str">
        <v>2.0</v>
      </c>
      <c r="I2241" s="42" t="str">
        <v>1.0</v>
      </c>
      <c r="J2241" s="42" t="str">
        <v>Denmark</v>
      </c>
      <c r="K2241" s="42" t="str">
        <v xml:space="preserve"> </v>
      </c>
      <c r="L2241" s="42" t="str">
        <f t="shared" si="166"/>
        <v xml:space="preserve">1998.0|24 Jun 1998 - 16:00 |Group C|Stade de Gerland|Lyon |France|2.0|1.0|Denmark| </v>
      </c>
      <c r="M2241" s="42" t="str">
        <f>IF(COUNTIF($L$1689:L2241,L2241)&gt;1,"DOUBLON","OK")</f>
        <v>OK</v>
      </c>
      <c r="S2241" s="12" t="str">
        <v>Uzbekistan</v>
      </c>
      <c r="T2241" s="12" t="str">
        <f t="shared" si="167"/>
        <v>OK</v>
      </c>
      <c r="U2241" s="12" t="str">
        <f t="shared" si="168"/>
        <v>-</v>
      </c>
      <c r="V2241" s="12" t="str" cm="1">
        <f t="array" ref="V2241">_xlfn.IFS(
ISNUMBER(SEARCH("USA",S2241)),"United States",
ISNUMBER(SEARCH("Republic of Ireland",S2241)),"Ireland",
ISNUMBER(SEARCH("Republic of Korea",S2241)),"South Korea",
ISNUMBER(SEARCH("Cape Verde",S2241)),"Cabo Verde",
ISNUMBER(SEARCH("Czechia",S2241)),"Czech Republic",
ISNUMBER(SEARCH("Türkiye",S2241)),"Turkey",
ISNUMBER(SEARCH("Ivory Coast",S2241)),"Côte d'Ivoire",
ISNUMBER(SEARCH("Korea Republic",S2241)),"South Korea",
ISNUMBER(SEARCH("Germany FR",S2241)),"FR Germany",
ISNUMBER(SEARCH("West Germany",S2241)),"FR Germany",
ISNUMBER(SEARCH("Germany DR",S2241)),"DR Germany",
ISNUMBER(SEARCH("Korea DPR",S2241)),"North Korea",
ISNUMBER(SEARCH("China PR",S2241)),"China",
ISNUMBER(SEARCH("IR Iran",S2241)),"Iran",
ISNUMBER(SEARCH("Congo DR",S2241)),"Democratic Republic of the Congo",
ISNUMBER(SEARCH("DR Congo",S2241)),"Democratic Republic of the Congo",
ISNUMBER(SEARCH("German DR",S2241)),"DR Germany",
ISNUMBER(SEARCH("rn""&gt;United Arab Emirates",S2241)),"United Arab Emirates",
ISNUMBER(SEARCH("rn""&gt;Republic of Ireland",S2241)),"Ireland",
ISNUMBER(SEARCH("rn""&gt;Bosnia and Herzegovina",S2241)),"Bosnia and Herzegovina",
ISNUMBER(SEARCH("rn""&gt;Trinidad and Tobago",S2241)),"Trinidad and Tobago",
ISNUMBER(SEARCH("rn""&gt;Serbia and Montenegro",S2241)),"Serbia and Montenegro",
ISNUMBER(SEARCH(_xlfn.UNICHAR(65533),S2241)),"Côte d'Ivoire",
TRUE,""
)</f>
        <v/>
      </c>
      <c r="W2241" s="12" t="str">
        <f t="shared" si="169"/>
        <v>Uzbekistan</v>
      </c>
    </row>
    <row r="2242" spans="2:23">
      <c r="B2242" s="76" t="str">
        <v>1998.0</v>
      </c>
      <c r="C2242" s="42" t="str">
        <v xml:space="preserve">24 Jun 1998 - 16:00 </v>
      </c>
      <c r="D2242" s="42" t="str">
        <v>Group C</v>
      </c>
      <c r="E2242" s="42" t="str">
        <v>Stade du Parc Lescure</v>
      </c>
      <c r="F2242" s="42" t="str">
        <v xml:space="preserve">Bordeaux </v>
      </c>
      <c r="G2242" s="42" t="str">
        <v>South Africa</v>
      </c>
      <c r="H2242" s="42" t="str">
        <v>2.0</v>
      </c>
      <c r="I2242" s="42" t="str">
        <v>2.0</v>
      </c>
      <c r="J2242" s="42" t="str">
        <v>Saudi Arabia</v>
      </c>
      <c r="K2242" s="42" t="str">
        <v xml:space="preserve"> </v>
      </c>
      <c r="L2242" s="42" t="str">
        <f t="shared" si="166"/>
        <v xml:space="preserve">1998.0|24 Jun 1998 - 16:00 |Group C|Stade du Parc Lescure|Bordeaux |South Africa|2.0|2.0|Saudi Arabia| </v>
      </c>
      <c r="M2242" s="42" t="str">
        <f>IF(COUNTIF($L$1689:L2242,L2242)&gt;1,"DOUBLON","OK")</f>
        <v>OK</v>
      </c>
      <c r="S2242" s="12" t="str">
        <v>Uzbekistan</v>
      </c>
      <c r="T2242" s="12" t="str">
        <f t="shared" si="167"/>
        <v>OK</v>
      </c>
      <c r="U2242" s="12" t="str">
        <f t="shared" si="168"/>
        <v>-</v>
      </c>
      <c r="V2242" s="12" t="str" cm="1">
        <f t="array" ref="V2242">_xlfn.IFS(
ISNUMBER(SEARCH("USA",S2242)),"United States",
ISNUMBER(SEARCH("Republic of Ireland",S2242)),"Ireland",
ISNUMBER(SEARCH("Republic of Korea",S2242)),"South Korea",
ISNUMBER(SEARCH("Cape Verde",S2242)),"Cabo Verde",
ISNUMBER(SEARCH("Czechia",S2242)),"Czech Republic",
ISNUMBER(SEARCH("Türkiye",S2242)),"Turkey",
ISNUMBER(SEARCH("Ivory Coast",S2242)),"Côte d'Ivoire",
ISNUMBER(SEARCH("Korea Republic",S2242)),"South Korea",
ISNUMBER(SEARCH("Germany FR",S2242)),"FR Germany",
ISNUMBER(SEARCH("West Germany",S2242)),"FR Germany",
ISNUMBER(SEARCH("Germany DR",S2242)),"DR Germany",
ISNUMBER(SEARCH("Korea DPR",S2242)),"North Korea",
ISNUMBER(SEARCH("China PR",S2242)),"China",
ISNUMBER(SEARCH("IR Iran",S2242)),"Iran",
ISNUMBER(SEARCH("Congo DR",S2242)),"Democratic Republic of the Congo",
ISNUMBER(SEARCH("DR Congo",S2242)),"Democratic Republic of the Congo",
ISNUMBER(SEARCH("German DR",S2242)),"DR Germany",
ISNUMBER(SEARCH("rn""&gt;United Arab Emirates",S2242)),"United Arab Emirates",
ISNUMBER(SEARCH("rn""&gt;Republic of Ireland",S2242)),"Ireland",
ISNUMBER(SEARCH("rn""&gt;Bosnia and Herzegovina",S2242)),"Bosnia and Herzegovina",
ISNUMBER(SEARCH("rn""&gt;Trinidad and Tobago",S2242)),"Trinidad and Tobago",
ISNUMBER(SEARCH("rn""&gt;Serbia and Montenegro",S2242)),"Serbia and Montenegro",
ISNUMBER(SEARCH(_xlfn.UNICHAR(65533),S2242)),"Côte d'Ivoire",
TRUE,""
)</f>
        <v/>
      </c>
      <c r="W2242" s="12" t="str">
        <f t="shared" si="169"/>
        <v>Uzbekistan</v>
      </c>
    </row>
    <row r="2243" spans="2:23">
      <c r="B2243" s="76" t="str">
        <v>1998.0</v>
      </c>
      <c r="C2243" s="42" t="str">
        <v xml:space="preserve">24 Jun 1998 - 21:00 </v>
      </c>
      <c r="D2243" s="42" t="str">
        <v>Group D</v>
      </c>
      <c r="E2243" s="42" t="str">
        <v>Stade Felix Bollaert</v>
      </c>
      <c r="F2243" s="42" t="str">
        <v xml:space="preserve">Lens </v>
      </c>
      <c r="G2243" s="42" t="str">
        <v>Spain</v>
      </c>
      <c r="H2243" s="42" t="str">
        <v>6.0</v>
      </c>
      <c r="I2243" s="42" t="str">
        <v>1.0</v>
      </c>
      <c r="J2243" s="42" t="str">
        <v>Bulgaria</v>
      </c>
      <c r="K2243" s="42" t="str">
        <v xml:space="preserve"> </v>
      </c>
      <c r="L2243" s="42" t="str">
        <f t="shared" si="166"/>
        <v xml:space="preserve">1998.0|24 Jun 1998 - 21:00 |Group D|Stade Felix Bollaert|Lens |Spain|6.0|1.0|Bulgaria| </v>
      </c>
      <c r="M2243" s="42" t="str">
        <f>IF(COUNTIF($L$1689:L2243,L2243)&gt;1,"DOUBLON","OK")</f>
        <v>OK</v>
      </c>
      <c r="S2243" s="12" t="str">
        <v>Uzbekistan</v>
      </c>
      <c r="T2243" s="12" t="str">
        <f t="shared" si="167"/>
        <v>OK</v>
      </c>
      <c r="U2243" s="12" t="str">
        <f t="shared" si="168"/>
        <v>-</v>
      </c>
      <c r="V2243" s="12" t="str" cm="1">
        <f t="array" ref="V2243">_xlfn.IFS(
ISNUMBER(SEARCH("USA",S2243)),"United States",
ISNUMBER(SEARCH("Republic of Ireland",S2243)),"Ireland",
ISNUMBER(SEARCH("Republic of Korea",S2243)),"South Korea",
ISNUMBER(SEARCH("Cape Verde",S2243)),"Cabo Verde",
ISNUMBER(SEARCH("Czechia",S2243)),"Czech Republic",
ISNUMBER(SEARCH("Türkiye",S2243)),"Turkey",
ISNUMBER(SEARCH("Ivory Coast",S2243)),"Côte d'Ivoire",
ISNUMBER(SEARCH("Korea Republic",S2243)),"South Korea",
ISNUMBER(SEARCH("Germany FR",S2243)),"FR Germany",
ISNUMBER(SEARCH("West Germany",S2243)),"FR Germany",
ISNUMBER(SEARCH("Germany DR",S2243)),"DR Germany",
ISNUMBER(SEARCH("Korea DPR",S2243)),"North Korea",
ISNUMBER(SEARCH("China PR",S2243)),"China",
ISNUMBER(SEARCH("IR Iran",S2243)),"Iran",
ISNUMBER(SEARCH("Congo DR",S2243)),"Democratic Republic of the Congo",
ISNUMBER(SEARCH("DR Congo",S2243)),"Democratic Republic of the Congo",
ISNUMBER(SEARCH("German DR",S2243)),"DR Germany",
ISNUMBER(SEARCH("rn""&gt;United Arab Emirates",S2243)),"United Arab Emirates",
ISNUMBER(SEARCH("rn""&gt;Republic of Ireland",S2243)),"Ireland",
ISNUMBER(SEARCH("rn""&gt;Bosnia and Herzegovina",S2243)),"Bosnia and Herzegovina",
ISNUMBER(SEARCH("rn""&gt;Trinidad and Tobago",S2243)),"Trinidad and Tobago",
ISNUMBER(SEARCH("rn""&gt;Serbia and Montenegro",S2243)),"Serbia and Montenegro",
ISNUMBER(SEARCH(_xlfn.UNICHAR(65533),S2243)),"Côte d'Ivoire",
TRUE,""
)</f>
        <v/>
      </c>
      <c r="W2243" s="12" t="str">
        <f t="shared" si="169"/>
        <v>Uzbekistan</v>
      </c>
    </row>
    <row r="2244" spans="2:23">
      <c r="B2244" s="76" t="str">
        <v>1998.0</v>
      </c>
      <c r="C2244" s="42" t="str">
        <v xml:space="preserve">24 Jun 1998 - 21:00 </v>
      </c>
      <c r="D2244" s="42" t="str">
        <v>Group D</v>
      </c>
      <c r="E2244" s="42" t="str">
        <v>Stade Municipal</v>
      </c>
      <c r="F2244" s="42" t="str">
        <v xml:space="preserve">Toulouse </v>
      </c>
      <c r="G2244" s="42" t="str">
        <v>Nigeria</v>
      </c>
      <c r="H2244" s="42" t="str">
        <v>1.0</v>
      </c>
      <c r="I2244" s="42" t="str">
        <v>3.0</v>
      </c>
      <c r="J2244" s="42" t="str">
        <v>Paraguay</v>
      </c>
      <c r="K2244" s="42" t="str">
        <v xml:space="preserve"> </v>
      </c>
      <c r="L2244" s="42" t="str">
        <f t="shared" si="166"/>
        <v xml:space="preserve">1998.0|24 Jun 1998 - 21:00 |Group D|Stade Municipal|Toulouse |Nigeria|1.0|3.0|Paraguay| </v>
      </c>
      <c r="M2244" s="42" t="str">
        <f>IF(COUNTIF($L$1689:L2244,L2244)&gt;1,"DOUBLON","OK")</f>
        <v>OK</v>
      </c>
      <c r="S2244" s="12" t="str">
        <v>Uzbekistan</v>
      </c>
      <c r="T2244" s="12" t="str">
        <f t="shared" si="167"/>
        <v>OK</v>
      </c>
      <c r="U2244" s="12" t="str">
        <f t="shared" si="168"/>
        <v>-</v>
      </c>
      <c r="V2244" s="12" t="str" cm="1">
        <f t="array" ref="V2244">_xlfn.IFS(
ISNUMBER(SEARCH("USA",S2244)),"United States",
ISNUMBER(SEARCH("Republic of Ireland",S2244)),"Ireland",
ISNUMBER(SEARCH("Republic of Korea",S2244)),"South Korea",
ISNUMBER(SEARCH("Cape Verde",S2244)),"Cabo Verde",
ISNUMBER(SEARCH("Czechia",S2244)),"Czech Republic",
ISNUMBER(SEARCH("Türkiye",S2244)),"Turkey",
ISNUMBER(SEARCH("Ivory Coast",S2244)),"Côte d'Ivoire",
ISNUMBER(SEARCH("Korea Republic",S2244)),"South Korea",
ISNUMBER(SEARCH("Germany FR",S2244)),"FR Germany",
ISNUMBER(SEARCH("West Germany",S2244)),"FR Germany",
ISNUMBER(SEARCH("Germany DR",S2244)),"DR Germany",
ISNUMBER(SEARCH("Korea DPR",S2244)),"North Korea",
ISNUMBER(SEARCH("China PR",S2244)),"China",
ISNUMBER(SEARCH("IR Iran",S2244)),"Iran",
ISNUMBER(SEARCH("Congo DR",S2244)),"Democratic Republic of the Congo",
ISNUMBER(SEARCH("DR Congo",S2244)),"Democratic Republic of the Congo",
ISNUMBER(SEARCH("German DR",S2244)),"DR Germany",
ISNUMBER(SEARCH("rn""&gt;United Arab Emirates",S2244)),"United Arab Emirates",
ISNUMBER(SEARCH("rn""&gt;Republic of Ireland",S2244)),"Ireland",
ISNUMBER(SEARCH("rn""&gt;Bosnia and Herzegovina",S2244)),"Bosnia and Herzegovina",
ISNUMBER(SEARCH("rn""&gt;Trinidad and Tobago",S2244)),"Trinidad and Tobago",
ISNUMBER(SEARCH("rn""&gt;Serbia and Montenegro",S2244)),"Serbia and Montenegro",
ISNUMBER(SEARCH(_xlfn.UNICHAR(65533),S2244)),"Côte d'Ivoire",
TRUE,""
)</f>
        <v/>
      </c>
      <c r="W2244" s="12" t="str">
        <f t="shared" si="169"/>
        <v>Uzbekistan</v>
      </c>
    </row>
    <row r="2245" spans="2:23">
      <c r="B2245" s="76" t="str">
        <v>1998.0</v>
      </c>
      <c r="C2245" s="42" t="str">
        <v xml:space="preserve">25 Jun 1998 - 16:00 </v>
      </c>
      <c r="D2245" s="42" t="str">
        <v>Group E</v>
      </c>
      <c r="E2245" s="42" t="str">
        <v>Parc des Princes</v>
      </c>
      <c r="F2245" s="42" t="str">
        <v xml:space="preserve">Paris </v>
      </c>
      <c r="G2245" s="42" t="str">
        <v>Belgium</v>
      </c>
      <c r="H2245" s="42" t="str">
        <v>1.0</v>
      </c>
      <c r="I2245" s="42" t="str">
        <v>1.0</v>
      </c>
      <c r="J2245" s="42" t="str">
        <v>Korea Republic</v>
      </c>
      <c r="K2245" s="42" t="str">
        <v xml:space="preserve"> </v>
      </c>
      <c r="L2245" s="42" t="str">
        <f t="shared" si="166"/>
        <v xml:space="preserve">1998.0|25 Jun 1998 - 16:00 |Group E|Parc des Princes|Paris |Belgium|1.0|1.0|Korea Republic| </v>
      </c>
      <c r="M2245" s="42" t="str">
        <f>IF(COUNTIF($L$1689:L2245,L2245)&gt;1,"DOUBLON","OK")</f>
        <v>OK</v>
      </c>
      <c r="S2245" s="12" t="str">
        <v>Uzbekistan</v>
      </c>
      <c r="T2245" s="12" t="str">
        <f t="shared" si="167"/>
        <v>OK</v>
      </c>
      <c r="U2245" s="12" t="str">
        <f t="shared" si="168"/>
        <v>-</v>
      </c>
      <c r="V2245" s="12" t="str" cm="1">
        <f t="array" ref="V2245">_xlfn.IFS(
ISNUMBER(SEARCH("USA",S2245)),"United States",
ISNUMBER(SEARCH("Republic of Ireland",S2245)),"Ireland",
ISNUMBER(SEARCH("Republic of Korea",S2245)),"South Korea",
ISNUMBER(SEARCH("Cape Verde",S2245)),"Cabo Verde",
ISNUMBER(SEARCH("Czechia",S2245)),"Czech Republic",
ISNUMBER(SEARCH("Türkiye",S2245)),"Turkey",
ISNUMBER(SEARCH("Ivory Coast",S2245)),"Côte d'Ivoire",
ISNUMBER(SEARCH("Korea Republic",S2245)),"South Korea",
ISNUMBER(SEARCH("Germany FR",S2245)),"FR Germany",
ISNUMBER(SEARCH("West Germany",S2245)),"FR Germany",
ISNUMBER(SEARCH("Germany DR",S2245)),"DR Germany",
ISNUMBER(SEARCH("Korea DPR",S2245)),"North Korea",
ISNUMBER(SEARCH("China PR",S2245)),"China",
ISNUMBER(SEARCH("IR Iran",S2245)),"Iran",
ISNUMBER(SEARCH("Congo DR",S2245)),"Democratic Republic of the Congo",
ISNUMBER(SEARCH("DR Congo",S2245)),"Democratic Republic of the Congo",
ISNUMBER(SEARCH("German DR",S2245)),"DR Germany",
ISNUMBER(SEARCH("rn""&gt;United Arab Emirates",S2245)),"United Arab Emirates",
ISNUMBER(SEARCH("rn""&gt;Republic of Ireland",S2245)),"Ireland",
ISNUMBER(SEARCH("rn""&gt;Bosnia and Herzegovina",S2245)),"Bosnia and Herzegovina",
ISNUMBER(SEARCH("rn""&gt;Trinidad and Tobago",S2245)),"Trinidad and Tobago",
ISNUMBER(SEARCH("rn""&gt;Serbia and Montenegro",S2245)),"Serbia and Montenegro",
ISNUMBER(SEARCH(_xlfn.UNICHAR(65533),S2245)),"Côte d'Ivoire",
TRUE,""
)</f>
        <v/>
      </c>
      <c r="W2245" s="12" t="str">
        <f t="shared" si="169"/>
        <v>Uzbekistan</v>
      </c>
    </row>
    <row r="2246" spans="2:23">
      <c r="B2246" s="76" t="str">
        <v>1998.0</v>
      </c>
      <c r="C2246" s="42" t="str">
        <v xml:space="preserve">25 Jun 1998 - 16:00 </v>
      </c>
      <c r="D2246" s="42" t="str">
        <v>Group E</v>
      </c>
      <c r="E2246" s="42" t="str">
        <v>Stade Geoffroy Guichard</v>
      </c>
      <c r="F2246" s="42" t="str">
        <v xml:space="preserve">Saint-Etienne </v>
      </c>
      <c r="G2246" s="42" t="str">
        <v>Netherlands</v>
      </c>
      <c r="H2246" s="42" t="str">
        <v>2.0</v>
      </c>
      <c r="I2246" s="42" t="str">
        <v>2.0</v>
      </c>
      <c r="J2246" s="42" t="str">
        <v>Mexico</v>
      </c>
      <c r="K2246" s="42" t="str">
        <v xml:space="preserve"> </v>
      </c>
      <c r="L2246" s="42" t="str">
        <f t="shared" si="166"/>
        <v xml:space="preserve">1998.0|25 Jun 1998 - 16:00 |Group E|Stade Geoffroy Guichard|Saint-Etienne |Netherlands|2.0|2.0|Mexico| </v>
      </c>
      <c r="M2246" s="42" t="str">
        <f>IF(COUNTIF($L$1689:L2246,L2246)&gt;1,"DOUBLON","OK")</f>
        <v>OK</v>
      </c>
      <c r="S2246" s="12" t="str">
        <v>Uzbekistan</v>
      </c>
      <c r="T2246" s="12" t="str">
        <f t="shared" si="167"/>
        <v>OK</v>
      </c>
      <c r="U2246" s="12" t="str">
        <f t="shared" si="168"/>
        <v>-</v>
      </c>
      <c r="V2246" s="12" t="str" cm="1">
        <f t="array" ref="V2246">_xlfn.IFS(
ISNUMBER(SEARCH("USA",S2246)),"United States",
ISNUMBER(SEARCH("Republic of Ireland",S2246)),"Ireland",
ISNUMBER(SEARCH("Republic of Korea",S2246)),"South Korea",
ISNUMBER(SEARCH("Cape Verde",S2246)),"Cabo Verde",
ISNUMBER(SEARCH("Czechia",S2246)),"Czech Republic",
ISNUMBER(SEARCH("Türkiye",S2246)),"Turkey",
ISNUMBER(SEARCH("Ivory Coast",S2246)),"Côte d'Ivoire",
ISNUMBER(SEARCH("Korea Republic",S2246)),"South Korea",
ISNUMBER(SEARCH("Germany FR",S2246)),"FR Germany",
ISNUMBER(SEARCH("West Germany",S2246)),"FR Germany",
ISNUMBER(SEARCH("Germany DR",S2246)),"DR Germany",
ISNUMBER(SEARCH("Korea DPR",S2246)),"North Korea",
ISNUMBER(SEARCH("China PR",S2246)),"China",
ISNUMBER(SEARCH("IR Iran",S2246)),"Iran",
ISNUMBER(SEARCH("Congo DR",S2246)),"Democratic Republic of the Congo",
ISNUMBER(SEARCH("DR Congo",S2246)),"Democratic Republic of the Congo",
ISNUMBER(SEARCH("German DR",S2246)),"DR Germany",
ISNUMBER(SEARCH("rn""&gt;United Arab Emirates",S2246)),"United Arab Emirates",
ISNUMBER(SEARCH("rn""&gt;Republic of Ireland",S2246)),"Ireland",
ISNUMBER(SEARCH("rn""&gt;Bosnia and Herzegovina",S2246)),"Bosnia and Herzegovina",
ISNUMBER(SEARCH("rn""&gt;Trinidad and Tobago",S2246)),"Trinidad and Tobago",
ISNUMBER(SEARCH("rn""&gt;Serbia and Montenegro",S2246)),"Serbia and Montenegro",
ISNUMBER(SEARCH(_xlfn.UNICHAR(65533),S2246)),"Côte d'Ivoire",
TRUE,""
)</f>
        <v/>
      </c>
      <c r="W2246" s="12" t="str">
        <f t="shared" si="169"/>
        <v>Uzbekistan</v>
      </c>
    </row>
    <row r="2247" spans="2:23">
      <c r="B2247" s="76" t="str">
        <v>1998.0</v>
      </c>
      <c r="C2247" s="42" t="str">
        <v xml:space="preserve">25 Jun 1998 - 21:00 </v>
      </c>
      <c r="D2247" s="42" t="str">
        <v>Group F</v>
      </c>
      <c r="E2247" s="42" t="str">
        <v>La Mosson</v>
      </c>
      <c r="F2247" s="42" t="str">
        <v xml:space="preserve">Montpellier </v>
      </c>
      <c r="G2247" s="42" t="str">
        <v>Germany</v>
      </c>
      <c r="H2247" s="42" t="str">
        <v>2.0</v>
      </c>
      <c r="I2247" s="42" t="str">
        <v>0.0</v>
      </c>
      <c r="J2247" s="42" t="str">
        <v>Iran</v>
      </c>
      <c r="K2247" s="42" t="str">
        <v xml:space="preserve"> </v>
      </c>
      <c r="L2247" s="42" t="str">
        <f t="shared" si="166"/>
        <v xml:space="preserve">1998.0|25 Jun 1998 - 21:00 |Group F|La Mosson|Montpellier |Germany|2.0|0.0|Iran| </v>
      </c>
      <c r="M2247" s="42" t="str">
        <f>IF(COUNTIF($L$1689:L2247,L2247)&gt;1,"DOUBLON","OK")</f>
        <v>OK</v>
      </c>
      <c r="S2247" s="12" t="str">
        <v>Uzbekistan</v>
      </c>
      <c r="T2247" s="12" t="str">
        <f t="shared" si="167"/>
        <v>OK</v>
      </c>
      <c r="U2247" s="12" t="str">
        <f t="shared" si="168"/>
        <v>-</v>
      </c>
      <c r="V2247" s="12" t="str" cm="1">
        <f t="array" ref="V2247">_xlfn.IFS(
ISNUMBER(SEARCH("USA",S2247)),"United States",
ISNUMBER(SEARCH("Republic of Ireland",S2247)),"Ireland",
ISNUMBER(SEARCH("Republic of Korea",S2247)),"South Korea",
ISNUMBER(SEARCH("Cape Verde",S2247)),"Cabo Verde",
ISNUMBER(SEARCH("Czechia",S2247)),"Czech Republic",
ISNUMBER(SEARCH("Türkiye",S2247)),"Turkey",
ISNUMBER(SEARCH("Ivory Coast",S2247)),"Côte d'Ivoire",
ISNUMBER(SEARCH("Korea Republic",S2247)),"South Korea",
ISNUMBER(SEARCH("Germany FR",S2247)),"FR Germany",
ISNUMBER(SEARCH("West Germany",S2247)),"FR Germany",
ISNUMBER(SEARCH("Germany DR",S2247)),"DR Germany",
ISNUMBER(SEARCH("Korea DPR",S2247)),"North Korea",
ISNUMBER(SEARCH("China PR",S2247)),"China",
ISNUMBER(SEARCH("IR Iran",S2247)),"Iran",
ISNUMBER(SEARCH("Congo DR",S2247)),"Democratic Republic of the Congo",
ISNUMBER(SEARCH("DR Congo",S2247)),"Democratic Republic of the Congo",
ISNUMBER(SEARCH("German DR",S2247)),"DR Germany",
ISNUMBER(SEARCH("rn""&gt;United Arab Emirates",S2247)),"United Arab Emirates",
ISNUMBER(SEARCH("rn""&gt;Republic of Ireland",S2247)),"Ireland",
ISNUMBER(SEARCH("rn""&gt;Bosnia and Herzegovina",S2247)),"Bosnia and Herzegovina",
ISNUMBER(SEARCH("rn""&gt;Trinidad and Tobago",S2247)),"Trinidad and Tobago",
ISNUMBER(SEARCH("rn""&gt;Serbia and Montenegro",S2247)),"Serbia and Montenegro",
ISNUMBER(SEARCH(_xlfn.UNICHAR(65533),S2247)),"Côte d'Ivoire",
TRUE,""
)</f>
        <v/>
      </c>
      <c r="W2247" s="12" t="str">
        <f t="shared" si="169"/>
        <v>Uzbekistan</v>
      </c>
    </row>
    <row r="2248" spans="2:23">
      <c r="B2248" s="76" t="str">
        <v>1998.0</v>
      </c>
      <c r="C2248" s="42" t="str">
        <v xml:space="preserve">25 Jun 1998 - 21:00 </v>
      </c>
      <c r="D2248" s="42" t="str">
        <v>Group F</v>
      </c>
      <c r="E2248" s="42" t="str">
        <v>La Beaujoire</v>
      </c>
      <c r="F2248" s="42" t="str">
        <v xml:space="preserve">Nantes </v>
      </c>
      <c r="G2248" s="42" t="str">
        <v>USA</v>
      </c>
      <c r="H2248" s="42" t="str">
        <v>0.0</v>
      </c>
      <c r="I2248" s="42" t="str">
        <v>1.0</v>
      </c>
      <c r="J2248" s="42" t="str">
        <v>Yugoslavia</v>
      </c>
      <c r="K2248" s="42" t="str">
        <v xml:space="preserve"> </v>
      </c>
      <c r="L2248" s="42" t="str">
        <f t="shared" si="166"/>
        <v xml:space="preserve">1998.0|25 Jun 1998 - 21:00 |Group F|La Beaujoire|Nantes |USA|0.0|1.0|Yugoslavia| </v>
      </c>
      <c r="M2248" s="42" t="str">
        <f>IF(COUNTIF($L$1689:L2248,L2248)&gt;1,"DOUBLON","OK")</f>
        <v>OK</v>
      </c>
      <c r="S2248" s="12" t="str">
        <v>Uzbekistan</v>
      </c>
      <c r="T2248" s="12" t="str">
        <f t="shared" si="167"/>
        <v>OK</v>
      </c>
      <c r="U2248" s="12" t="str">
        <f t="shared" si="168"/>
        <v>-</v>
      </c>
      <c r="V2248" s="12" t="str" cm="1">
        <f t="array" ref="V2248">_xlfn.IFS(
ISNUMBER(SEARCH("USA",S2248)),"United States",
ISNUMBER(SEARCH("Republic of Ireland",S2248)),"Ireland",
ISNUMBER(SEARCH("Republic of Korea",S2248)),"South Korea",
ISNUMBER(SEARCH("Cape Verde",S2248)),"Cabo Verde",
ISNUMBER(SEARCH("Czechia",S2248)),"Czech Republic",
ISNUMBER(SEARCH("Türkiye",S2248)),"Turkey",
ISNUMBER(SEARCH("Ivory Coast",S2248)),"Côte d'Ivoire",
ISNUMBER(SEARCH("Korea Republic",S2248)),"South Korea",
ISNUMBER(SEARCH("Germany FR",S2248)),"FR Germany",
ISNUMBER(SEARCH("West Germany",S2248)),"FR Germany",
ISNUMBER(SEARCH("Germany DR",S2248)),"DR Germany",
ISNUMBER(SEARCH("Korea DPR",S2248)),"North Korea",
ISNUMBER(SEARCH("China PR",S2248)),"China",
ISNUMBER(SEARCH("IR Iran",S2248)),"Iran",
ISNUMBER(SEARCH("Congo DR",S2248)),"Democratic Republic of the Congo",
ISNUMBER(SEARCH("DR Congo",S2248)),"Democratic Republic of the Congo",
ISNUMBER(SEARCH("German DR",S2248)),"DR Germany",
ISNUMBER(SEARCH("rn""&gt;United Arab Emirates",S2248)),"United Arab Emirates",
ISNUMBER(SEARCH("rn""&gt;Republic of Ireland",S2248)),"Ireland",
ISNUMBER(SEARCH("rn""&gt;Bosnia and Herzegovina",S2248)),"Bosnia and Herzegovina",
ISNUMBER(SEARCH("rn""&gt;Trinidad and Tobago",S2248)),"Trinidad and Tobago",
ISNUMBER(SEARCH("rn""&gt;Serbia and Montenegro",S2248)),"Serbia and Montenegro",
ISNUMBER(SEARCH(_xlfn.UNICHAR(65533),S2248)),"Côte d'Ivoire",
TRUE,""
)</f>
        <v/>
      </c>
      <c r="W2248" s="12" t="str">
        <f t="shared" si="169"/>
        <v>Uzbekistan</v>
      </c>
    </row>
    <row r="2249" spans="2:23">
      <c r="B2249" s="76" t="str">
        <v>1998.0</v>
      </c>
      <c r="C2249" s="42" t="str">
        <v xml:space="preserve">26 Jun 1998 - 16:00 </v>
      </c>
      <c r="D2249" s="42" t="str">
        <v>Group H</v>
      </c>
      <c r="E2249" s="42" t="str">
        <v>Stade de Gerland</v>
      </c>
      <c r="F2249" s="42" t="str">
        <v xml:space="preserve">Lyon </v>
      </c>
      <c r="G2249" s="42" t="str">
        <v>Japan</v>
      </c>
      <c r="H2249" s="42" t="str">
        <v>1.0</v>
      </c>
      <c r="I2249" s="42" t="str">
        <v>2.0</v>
      </c>
      <c r="J2249" s="42" t="str">
        <v>Jamaica</v>
      </c>
      <c r="K2249" s="42" t="str">
        <v xml:space="preserve"> </v>
      </c>
      <c r="L2249" s="42" t="str">
        <f t="shared" si="166"/>
        <v xml:space="preserve">1998.0|26 Jun 1998 - 16:00 |Group H|Stade de Gerland|Lyon |Japan|1.0|2.0|Jamaica| </v>
      </c>
      <c r="M2249" s="42" t="str">
        <f>IF(COUNTIF($L$1689:L2249,L2249)&gt;1,"DOUBLON","OK")</f>
        <v>OK</v>
      </c>
      <c r="S2249" s="12" t="str">
        <v>Uzbekistan</v>
      </c>
      <c r="T2249" s="12" t="str">
        <f t="shared" si="167"/>
        <v>OK</v>
      </c>
      <c r="U2249" s="12" t="str">
        <f t="shared" si="168"/>
        <v>-</v>
      </c>
      <c r="V2249" s="12" t="str" cm="1">
        <f t="array" ref="V2249">_xlfn.IFS(
ISNUMBER(SEARCH("USA",S2249)),"United States",
ISNUMBER(SEARCH("Republic of Ireland",S2249)),"Ireland",
ISNUMBER(SEARCH("Republic of Korea",S2249)),"South Korea",
ISNUMBER(SEARCH("Cape Verde",S2249)),"Cabo Verde",
ISNUMBER(SEARCH("Czechia",S2249)),"Czech Republic",
ISNUMBER(SEARCH("Türkiye",S2249)),"Turkey",
ISNUMBER(SEARCH("Ivory Coast",S2249)),"Côte d'Ivoire",
ISNUMBER(SEARCH("Korea Republic",S2249)),"South Korea",
ISNUMBER(SEARCH("Germany FR",S2249)),"FR Germany",
ISNUMBER(SEARCH("West Germany",S2249)),"FR Germany",
ISNUMBER(SEARCH("Germany DR",S2249)),"DR Germany",
ISNUMBER(SEARCH("Korea DPR",S2249)),"North Korea",
ISNUMBER(SEARCH("China PR",S2249)),"China",
ISNUMBER(SEARCH("IR Iran",S2249)),"Iran",
ISNUMBER(SEARCH("Congo DR",S2249)),"Democratic Republic of the Congo",
ISNUMBER(SEARCH("DR Congo",S2249)),"Democratic Republic of the Congo",
ISNUMBER(SEARCH("German DR",S2249)),"DR Germany",
ISNUMBER(SEARCH("rn""&gt;United Arab Emirates",S2249)),"United Arab Emirates",
ISNUMBER(SEARCH("rn""&gt;Republic of Ireland",S2249)),"Ireland",
ISNUMBER(SEARCH("rn""&gt;Bosnia and Herzegovina",S2249)),"Bosnia and Herzegovina",
ISNUMBER(SEARCH("rn""&gt;Trinidad and Tobago",S2249)),"Trinidad and Tobago",
ISNUMBER(SEARCH("rn""&gt;Serbia and Montenegro",S2249)),"Serbia and Montenegro",
ISNUMBER(SEARCH(_xlfn.UNICHAR(65533),S2249)),"Côte d'Ivoire",
TRUE,""
)</f>
        <v/>
      </c>
      <c r="W2249" s="12" t="str">
        <f t="shared" si="169"/>
        <v>Uzbekistan</v>
      </c>
    </row>
    <row r="2250" spans="2:23">
      <c r="B2250" s="76" t="str">
        <v>1998.0</v>
      </c>
      <c r="C2250" s="42" t="str">
        <v xml:space="preserve">26 Jun 1998 - 16:00 </v>
      </c>
      <c r="D2250" s="42" t="str">
        <v>Group H</v>
      </c>
      <c r="E2250" s="42" t="str">
        <v>Stade du Parc Lescure</v>
      </c>
      <c r="F2250" s="42" t="str">
        <v xml:space="preserve">Bordeaux </v>
      </c>
      <c r="G2250" s="42" t="str">
        <v>Argentina</v>
      </c>
      <c r="H2250" s="42" t="str">
        <v>1.0</v>
      </c>
      <c r="I2250" s="42" t="str">
        <v>0.0</v>
      </c>
      <c r="J2250" s="42" t="str">
        <v>Croatia</v>
      </c>
      <c r="K2250" s="42" t="str">
        <v xml:space="preserve"> </v>
      </c>
      <c r="L2250" s="42" t="str">
        <f t="shared" si="166"/>
        <v xml:space="preserve">1998.0|26 Jun 1998 - 16:00 |Group H|Stade du Parc Lescure|Bordeaux |Argentina|1.0|0.0|Croatia| </v>
      </c>
      <c r="M2250" s="42" t="str">
        <f>IF(COUNTIF($L$1689:L2250,L2250)&gt;1,"DOUBLON","OK")</f>
        <v>OK</v>
      </c>
      <c r="S2250" s="12" t="str">
        <v>Uzbekistan</v>
      </c>
      <c r="T2250" s="12" t="str">
        <f t="shared" si="167"/>
        <v>OK</v>
      </c>
      <c r="U2250" s="12" t="str">
        <f t="shared" si="168"/>
        <v>-</v>
      </c>
      <c r="V2250" s="12" t="str" cm="1">
        <f t="array" ref="V2250">_xlfn.IFS(
ISNUMBER(SEARCH("USA",S2250)),"United States",
ISNUMBER(SEARCH("Republic of Ireland",S2250)),"Ireland",
ISNUMBER(SEARCH("Republic of Korea",S2250)),"South Korea",
ISNUMBER(SEARCH("Cape Verde",S2250)),"Cabo Verde",
ISNUMBER(SEARCH("Czechia",S2250)),"Czech Republic",
ISNUMBER(SEARCH("Türkiye",S2250)),"Turkey",
ISNUMBER(SEARCH("Ivory Coast",S2250)),"Côte d'Ivoire",
ISNUMBER(SEARCH("Korea Republic",S2250)),"South Korea",
ISNUMBER(SEARCH("Germany FR",S2250)),"FR Germany",
ISNUMBER(SEARCH("West Germany",S2250)),"FR Germany",
ISNUMBER(SEARCH("Germany DR",S2250)),"DR Germany",
ISNUMBER(SEARCH("Korea DPR",S2250)),"North Korea",
ISNUMBER(SEARCH("China PR",S2250)),"China",
ISNUMBER(SEARCH("IR Iran",S2250)),"Iran",
ISNUMBER(SEARCH("Congo DR",S2250)),"Democratic Republic of the Congo",
ISNUMBER(SEARCH("DR Congo",S2250)),"Democratic Republic of the Congo",
ISNUMBER(SEARCH("German DR",S2250)),"DR Germany",
ISNUMBER(SEARCH("rn""&gt;United Arab Emirates",S2250)),"United Arab Emirates",
ISNUMBER(SEARCH("rn""&gt;Republic of Ireland",S2250)),"Ireland",
ISNUMBER(SEARCH("rn""&gt;Bosnia and Herzegovina",S2250)),"Bosnia and Herzegovina",
ISNUMBER(SEARCH("rn""&gt;Trinidad and Tobago",S2250)),"Trinidad and Tobago",
ISNUMBER(SEARCH("rn""&gt;Serbia and Montenegro",S2250)),"Serbia and Montenegro",
ISNUMBER(SEARCH(_xlfn.UNICHAR(65533),S2250)),"Côte d'Ivoire",
TRUE,""
)</f>
        <v/>
      </c>
      <c r="W2250" s="12" t="str">
        <f t="shared" si="169"/>
        <v>Uzbekistan</v>
      </c>
    </row>
    <row r="2251" spans="2:23">
      <c r="B2251" s="76" t="str">
        <v>1998.0</v>
      </c>
      <c r="C2251" s="42" t="str">
        <v xml:space="preserve">26 Jun 1998 - 21:00 </v>
      </c>
      <c r="D2251" s="42" t="str">
        <v>Group G</v>
      </c>
      <c r="E2251" s="42" t="str">
        <v>Stade de France</v>
      </c>
      <c r="F2251" s="42" t="str">
        <v xml:space="preserve">Saint-Denis </v>
      </c>
      <c r="G2251" s="42" t="str">
        <v>Romania</v>
      </c>
      <c r="H2251" s="42" t="str">
        <v>1.0</v>
      </c>
      <c r="I2251" s="42" t="str">
        <v>1.0</v>
      </c>
      <c r="J2251" s="42" t="str">
        <v>Tunisia</v>
      </c>
      <c r="K2251" s="42" t="str">
        <v xml:space="preserve"> </v>
      </c>
      <c r="L2251" s="42" t="str">
        <f t="shared" si="166"/>
        <v xml:space="preserve">1998.0|26 Jun 1998 - 21:00 |Group G|Stade de France|Saint-Denis |Romania|1.0|1.0|Tunisia| </v>
      </c>
      <c r="M2251" s="42" t="str">
        <f>IF(COUNTIF($L$1689:L2251,L2251)&gt;1,"DOUBLON","OK")</f>
        <v>OK</v>
      </c>
      <c r="S2251" s="12" t="str">
        <v>Uzbekistan</v>
      </c>
      <c r="T2251" s="12" t="str">
        <f t="shared" si="167"/>
        <v>OK</v>
      </c>
      <c r="U2251" s="12" t="str">
        <f t="shared" si="168"/>
        <v>-</v>
      </c>
      <c r="V2251" s="12" t="str" cm="1">
        <f t="array" ref="V2251">_xlfn.IFS(
ISNUMBER(SEARCH("USA",S2251)),"United States",
ISNUMBER(SEARCH("Republic of Ireland",S2251)),"Ireland",
ISNUMBER(SEARCH("Republic of Korea",S2251)),"South Korea",
ISNUMBER(SEARCH("Cape Verde",S2251)),"Cabo Verde",
ISNUMBER(SEARCH("Czechia",S2251)),"Czech Republic",
ISNUMBER(SEARCH("Türkiye",S2251)),"Turkey",
ISNUMBER(SEARCH("Ivory Coast",S2251)),"Côte d'Ivoire",
ISNUMBER(SEARCH("Korea Republic",S2251)),"South Korea",
ISNUMBER(SEARCH("Germany FR",S2251)),"FR Germany",
ISNUMBER(SEARCH("West Germany",S2251)),"FR Germany",
ISNUMBER(SEARCH("Germany DR",S2251)),"DR Germany",
ISNUMBER(SEARCH("Korea DPR",S2251)),"North Korea",
ISNUMBER(SEARCH("China PR",S2251)),"China",
ISNUMBER(SEARCH("IR Iran",S2251)),"Iran",
ISNUMBER(SEARCH("Congo DR",S2251)),"Democratic Republic of the Congo",
ISNUMBER(SEARCH("DR Congo",S2251)),"Democratic Republic of the Congo",
ISNUMBER(SEARCH("German DR",S2251)),"DR Germany",
ISNUMBER(SEARCH("rn""&gt;United Arab Emirates",S2251)),"United Arab Emirates",
ISNUMBER(SEARCH("rn""&gt;Republic of Ireland",S2251)),"Ireland",
ISNUMBER(SEARCH("rn""&gt;Bosnia and Herzegovina",S2251)),"Bosnia and Herzegovina",
ISNUMBER(SEARCH("rn""&gt;Trinidad and Tobago",S2251)),"Trinidad and Tobago",
ISNUMBER(SEARCH("rn""&gt;Serbia and Montenegro",S2251)),"Serbia and Montenegro",
ISNUMBER(SEARCH(_xlfn.UNICHAR(65533),S2251)),"Côte d'Ivoire",
TRUE,""
)</f>
        <v/>
      </c>
      <c r="W2251" s="12" t="str">
        <f t="shared" si="169"/>
        <v>Uzbekistan</v>
      </c>
    </row>
    <row r="2252" spans="2:23">
      <c r="B2252" s="76" t="str">
        <v>1998.0</v>
      </c>
      <c r="C2252" s="42" t="str">
        <v xml:space="preserve">26 Jun 1998 - 21:00 </v>
      </c>
      <c r="D2252" s="42" t="str">
        <v>Group G</v>
      </c>
      <c r="E2252" s="42" t="str">
        <v>Stade Felix Bollaert</v>
      </c>
      <c r="F2252" s="42" t="str">
        <v xml:space="preserve">Lens </v>
      </c>
      <c r="G2252" s="42" t="str">
        <v>Colombia</v>
      </c>
      <c r="H2252" s="42" t="str">
        <v>0.0</v>
      </c>
      <c r="I2252" s="42" t="str">
        <v>2.0</v>
      </c>
      <c r="J2252" s="42" t="str">
        <v>England</v>
      </c>
      <c r="K2252" s="42" t="str">
        <v xml:space="preserve"> </v>
      </c>
      <c r="L2252" s="42" t="str">
        <f t="shared" si="166"/>
        <v xml:space="preserve">1998.0|26 Jun 1998 - 21:00 |Group G|Stade Felix Bollaert|Lens |Colombia|0.0|2.0|England| </v>
      </c>
      <c r="M2252" s="42" t="str">
        <f>IF(COUNTIF($L$1689:L2252,L2252)&gt;1,"DOUBLON","OK")</f>
        <v>OK</v>
      </c>
      <c r="S2252" s="12" t="str">
        <v>Uzbekistan</v>
      </c>
      <c r="T2252" s="12" t="str">
        <f t="shared" si="167"/>
        <v>OK</v>
      </c>
      <c r="U2252" s="12" t="str">
        <f t="shared" si="168"/>
        <v>-</v>
      </c>
      <c r="V2252" s="12" t="str" cm="1">
        <f t="array" ref="V2252">_xlfn.IFS(
ISNUMBER(SEARCH("USA",S2252)),"United States",
ISNUMBER(SEARCH("Republic of Ireland",S2252)),"Ireland",
ISNUMBER(SEARCH("Republic of Korea",S2252)),"South Korea",
ISNUMBER(SEARCH("Cape Verde",S2252)),"Cabo Verde",
ISNUMBER(SEARCH("Czechia",S2252)),"Czech Republic",
ISNUMBER(SEARCH("Türkiye",S2252)),"Turkey",
ISNUMBER(SEARCH("Ivory Coast",S2252)),"Côte d'Ivoire",
ISNUMBER(SEARCH("Korea Republic",S2252)),"South Korea",
ISNUMBER(SEARCH("Germany FR",S2252)),"FR Germany",
ISNUMBER(SEARCH("West Germany",S2252)),"FR Germany",
ISNUMBER(SEARCH("Germany DR",S2252)),"DR Germany",
ISNUMBER(SEARCH("Korea DPR",S2252)),"North Korea",
ISNUMBER(SEARCH("China PR",S2252)),"China",
ISNUMBER(SEARCH("IR Iran",S2252)),"Iran",
ISNUMBER(SEARCH("Congo DR",S2252)),"Democratic Republic of the Congo",
ISNUMBER(SEARCH("DR Congo",S2252)),"Democratic Republic of the Congo",
ISNUMBER(SEARCH("German DR",S2252)),"DR Germany",
ISNUMBER(SEARCH("rn""&gt;United Arab Emirates",S2252)),"United Arab Emirates",
ISNUMBER(SEARCH("rn""&gt;Republic of Ireland",S2252)),"Ireland",
ISNUMBER(SEARCH("rn""&gt;Bosnia and Herzegovina",S2252)),"Bosnia and Herzegovina",
ISNUMBER(SEARCH("rn""&gt;Trinidad and Tobago",S2252)),"Trinidad and Tobago",
ISNUMBER(SEARCH("rn""&gt;Serbia and Montenegro",S2252)),"Serbia and Montenegro",
ISNUMBER(SEARCH(_xlfn.UNICHAR(65533),S2252)),"Côte d'Ivoire",
TRUE,""
)</f>
        <v/>
      </c>
      <c r="W2252" s="12" t="str">
        <f t="shared" si="169"/>
        <v>Uzbekistan</v>
      </c>
    </row>
    <row r="2253" spans="2:23">
      <c r="B2253" s="76" t="str">
        <v>1998.0</v>
      </c>
      <c r="C2253" s="42" t="str">
        <v xml:space="preserve">27 Jun 1998 - 16:30 </v>
      </c>
      <c r="D2253" s="42" t="str">
        <v>Round of 16</v>
      </c>
      <c r="E2253" s="42" t="str">
        <v>Stade V�lodrome</v>
      </c>
      <c r="F2253" s="42" t="str">
        <v xml:space="preserve">Marseilles </v>
      </c>
      <c r="G2253" s="42" t="str">
        <v>Italy</v>
      </c>
      <c r="H2253" s="42" t="str">
        <v>1.0</v>
      </c>
      <c r="I2253" s="42" t="str">
        <v>0.0</v>
      </c>
      <c r="J2253" s="42" t="str">
        <v>Norway</v>
      </c>
      <c r="K2253" s="42" t="str">
        <v xml:space="preserve"> </v>
      </c>
      <c r="L2253" s="42" t="str">
        <f t="shared" si="166"/>
        <v xml:space="preserve">1998.0|27 Jun 1998 - 16:30 |Round of 16|Stade V�lodrome|Marseilles |Italy|1.0|0.0|Norway| </v>
      </c>
      <c r="M2253" s="42" t="str">
        <f>IF(COUNTIF($L$1689:L2253,L2253)&gt;1,"DOUBLON","OK")</f>
        <v>OK</v>
      </c>
      <c r="S2253" s="12" t="str">
        <v>Uzbekistan</v>
      </c>
      <c r="T2253" s="12" t="str">
        <f t="shared" si="167"/>
        <v>OK</v>
      </c>
      <c r="U2253" s="12" t="str">
        <f t="shared" si="168"/>
        <v>-</v>
      </c>
      <c r="V2253" s="12" t="str" cm="1">
        <f t="array" ref="V2253">_xlfn.IFS(
ISNUMBER(SEARCH("USA",S2253)),"United States",
ISNUMBER(SEARCH("Republic of Ireland",S2253)),"Ireland",
ISNUMBER(SEARCH("Republic of Korea",S2253)),"South Korea",
ISNUMBER(SEARCH("Cape Verde",S2253)),"Cabo Verde",
ISNUMBER(SEARCH("Czechia",S2253)),"Czech Republic",
ISNUMBER(SEARCH("Türkiye",S2253)),"Turkey",
ISNUMBER(SEARCH("Ivory Coast",S2253)),"Côte d'Ivoire",
ISNUMBER(SEARCH("Korea Republic",S2253)),"South Korea",
ISNUMBER(SEARCH("Germany FR",S2253)),"FR Germany",
ISNUMBER(SEARCH("West Germany",S2253)),"FR Germany",
ISNUMBER(SEARCH("Germany DR",S2253)),"DR Germany",
ISNUMBER(SEARCH("Korea DPR",S2253)),"North Korea",
ISNUMBER(SEARCH("China PR",S2253)),"China",
ISNUMBER(SEARCH("IR Iran",S2253)),"Iran",
ISNUMBER(SEARCH("Congo DR",S2253)),"Democratic Republic of the Congo",
ISNUMBER(SEARCH("DR Congo",S2253)),"Democratic Republic of the Congo",
ISNUMBER(SEARCH("German DR",S2253)),"DR Germany",
ISNUMBER(SEARCH("rn""&gt;United Arab Emirates",S2253)),"United Arab Emirates",
ISNUMBER(SEARCH("rn""&gt;Republic of Ireland",S2253)),"Ireland",
ISNUMBER(SEARCH("rn""&gt;Bosnia and Herzegovina",S2253)),"Bosnia and Herzegovina",
ISNUMBER(SEARCH("rn""&gt;Trinidad and Tobago",S2253)),"Trinidad and Tobago",
ISNUMBER(SEARCH("rn""&gt;Serbia and Montenegro",S2253)),"Serbia and Montenegro",
ISNUMBER(SEARCH(_xlfn.UNICHAR(65533),S2253)),"Côte d'Ivoire",
TRUE,""
)</f>
        <v/>
      </c>
      <c r="W2253" s="12" t="str">
        <f t="shared" si="169"/>
        <v>Uzbekistan</v>
      </c>
    </row>
    <row r="2254" spans="2:23">
      <c r="B2254" s="76" t="str">
        <v>1998.0</v>
      </c>
      <c r="C2254" s="42" t="str">
        <v xml:space="preserve">27 Jun 1998 - 21:00 </v>
      </c>
      <c r="D2254" s="42" t="str">
        <v>Round of 16</v>
      </c>
      <c r="E2254" s="42" t="str">
        <v>Parc des Princes</v>
      </c>
      <c r="F2254" s="42" t="str">
        <v xml:space="preserve">Paris </v>
      </c>
      <c r="G2254" s="42" t="str">
        <v>Brazil</v>
      </c>
      <c r="H2254" s="42" t="str">
        <v>4.0</v>
      </c>
      <c r="I2254" s="42" t="str">
        <v>1.0</v>
      </c>
      <c r="J2254" s="42" t="str">
        <v>Chile</v>
      </c>
      <c r="K2254" s="42" t="str">
        <v xml:space="preserve"> </v>
      </c>
      <c r="L2254" s="42" t="str">
        <f t="shared" si="166"/>
        <v xml:space="preserve">1998.0|27 Jun 1998 - 21:00 |Round of 16|Parc des Princes|Paris |Brazil|4.0|1.0|Chile| </v>
      </c>
      <c r="M2254" s="42" t="str">
        <f>IF(COUNTIF($L$1689:L2254,L2254)&gt;1,"DOUBLON","OK")</f>
        <v>OK</v>
      </c>
      <c r="S2254" s="12" t="str">
        <v>Uzbekistan</v>
      </c>
      <c r="T2254" s="12" t="str">
        <f t="shared" si="167"/>
        <v>OK</v>
      </c>
      <c r="U2254" s="12" t="str">
        <f t="shared" si="168"/>
        <v>-</v>
      </c>
      <c r="V2254" s="12" t="str" cm="1">
        <f t="array" ref="V2254">_xlfn.IFS(
ISNUMBER(SEARCH("USA",S2254)),"United States",
ISNUMBER(SEARCH("Republic of Ireland",S2254)),"Ireland",
ISNUMBER(SEARCH("Republic of Korea",S2254)),"South Korea",
ISNUMBER(SEARCH("Cape Verde",S2254)),"Cabo Verde",
ISNUMBER(SEARCH("Czechia",S2254)),"Czech Republic",
ISNUMBER(SEARCH("Türkiye",S2254)),"Turkey",
ISNUMBER(SEARCH("Ivory Coast",S2254)),"Côte d'Ivoire",
ISNUMBER(SEARCH("Korea Republic",S2254)),"South Korea",
ISNUMBER(SEARCH("Germany FR",S2254)),"FR Germany",
ISNUMBER(SEARCH("West Germany",S2254)),"FR Germany",
ISNUMBER(SEARCH("Germany DR",S2254)),"DR Germany",
ISNUMBER(SEARCH("Korea DPR",S2254)),"North Korea",
ISNUMBER(SEARCH("China PR",S2254)),"China",
ISNUMBER(SEARCH("IR Iran",S2254)),"Iran",
ISNUMBER(SEARCH("Congo DR",S2254)),"Democratic Republic of the Congo",
ISNUMBER(SEARCH("DR Congo",S2254)),"Democratic Republic of the Congo",
ISNUMBER(SEARCH("German DR",S2254)),"DR Germany",
ISNUMBER(SEARCH("rn""&gt;United Arab Emirates",S2254)),"United Arab Emirates",
ISNUMBER(SEARCH("rn""&gt;Republic of Ireland",S2254)),"Ireland",
ISNUMBER(SEARCH("rn""&gt;Bosnia and Herzegovina",S2254)),"Bosnia and Herzegovina",
ISNUMBER(SEARCH("rn""&gt;Trinidad and Tobago",S2254)),"Trinidad and Tobago",
ISNUMBER(SEARCH("rn""&gt;Serbia and Montenegro",S2254)),"Serbia and Montenegro",
ISNUMBER(SEARCH(_xlfn.UNICHAR(65533),S2254)),"Côte d'Ivoire",
TRUE,""
)</f>
        <v/>
      </c>
      <c r="W2254" s="12" t="str">
        <f t="shared" si="169"/>
        <v>Uzbekistan</v>
      </c>
    </row>
    <row r="2255" spans="2:23">
      <c r="B2255" s="76" t="str">
        <v>1998.0</v>
      </c>
      <c r="C2255" s="42" t="str">
        <v xml:space="preserve">28 Jun 1998 - 16:30 </v>
      </c>
      <c r="D2255" s="42" t="str">
        <v>Round of 16</v>
      </c>
      <c r="E2255" s="42" t="str">
        <v>Stade Felix Bollaert</v>
      </c>
      <c r="F2255" s="42" t="str">
        <v xml:space="preserve">Lens </v>
      </c>
      <c r="G2255" s="42" t="str">
        <v>France</v>
      </c>
      <c r="H2255" s="42" t="str">
        <v>1.0</v>
      </c>
      <c r="I2255" s="42" t="str">
        <v>0.0</v>
      </c>
      <c r="J2255" s="42" t="str">
        <v>Paraguay</v>
      </c>
      <c r="K2255" s="42" t="str">
        <v xml:space="preserve">France win after extra time </v>
      </c>
      <c r="L2255" s="42" t="str">
        <f t="shared" si="166"/>
        <v xml:space="preserve">1998.0|28 Jun 1998 - 16:30 |Round of 16|Stade Felix Bollaert|Lens |France|1.0|0.0|Paraguay|France win after extra time </v>
      </c>
      <c r="M2255" s="42" t="str">
        <f>IF(COUNTIF($L$1689:L2255,L2255)&gt;1,"DOUBLON","OK")</f>
        <v>OK</v>
      </c>
      <c r="S2255" s="12" t="str">
        <v>Uzbekistan</v>
      </c>
      <c r="T2255" s="12" t="str">
        <f t="shared" si="167"/>
        <v>OK</v>
      </c>
      <c r="U2255" s="12" t="str">
        <f t="shared" si="168"/>
        <v>-</v>
      </c>
      <c r="V2255" s="12" t="str" cm="1">
        <f t="array" ref="V2255">_xlfn.IFS(
ISNUMBER(SEARCH("USA",S2255)),"United States",
ISNUMBER(SEARCH("Republic of Ireland",S2255)),"Ireland",
ISNUMBER(SEARCH("Republic of Korea",S2255)),"South Korea",
ISNUMBER(SEARCH("Cape Verde",S2255)),"Cabo Verde",
ISNUMBER(SEARCH("Czechia",S2255)),"Czech Republic",
ISNUMBER(SEARCH("Türkiye",S2255)),"Turkey",
ISNUMBER(SEARCH("Ivory Coast",S2255)),"Côte d'Ivoire",
ISNUMBER(SEARCH("Korea Republic",S2255)),"South Korea",
ISNUMBER(SEARCH("Germany FR",S2255)),"FR Germany",
ISNUMBER(SEARCH("West Germany",S2255)),"FR Germany",
ISNUMBER(SEARCH("Germany DR",S2255)),"DR Germany",
ISNUMBER(SEARCH("Korea DPR",S2255)),"North Korea",
ISNUMBER(SEARCH("China PR",S2255)),"China",
ISNUMBER(SEARCH("IR Iran",S2255)),"Iran",
ISNUMBER(SEARCH("Congo DR",S2255)),"Democratic Republic of the Congo",
ISNUMBER(SEARCH("DR Congo",S2255)),"Democratic Republic of the Congo",
ISNUMBER(SEARCH("German DR",S2255)),"DR Germany",
ISNUMBER(SEARCH("rn""&gt;United Arab Emirates",S2255)),"United Arab Emirates",
ISNUMBER(SEARCH("rn""&gt;Republic of Ireland",S2255)),"Ireland",
ISNUMBER(SEARCH("rn""&gt;Bosnia and Herzegovina",S2255)),"Bosnia and Herzegovina",
ISNUMBER(SEARCH("rn""&gt;Trinidad and Tobago",S2255)),"Trinidad and Tobago",
ISNUMBER(SEARCH("rn""&gt;Serbia and Montenegro",S2255)),"Serbia and Montenegro",
ISNUMBER(SEARCH(_xlfn.UNICHAR(65533),S2255)),"Côte d'Ivoire",
TRUE,""
)</f>
        <v/>
      </c>
      <c r="W2255" s="12" t="str">
        <f t="shared" si="169"/>
        <v>Uzbekistan</v>
      </c>
    </row>
    <row r="2256" spans="2:23">
      <c r="B2256" s="76" t="str">
        <v>1998.0</v>
      </c>
      <c r="C2256" s="42" t="str">
        <v xml:space="preserve">28 Jun 1998 - 21:00 </v>
      </c>
      <c r="D2256" s="42" t="str">
        <v>Round of 16</v>
      </c>
      <c r="E2256" s="42" t="str">
        <v>Stade de France</v>
      </c>
      <c r="F2256" s="42" t="str">
        <v xml:space="preserve">Saint-Denis </v>
      </c>
      <c r="G2256" s="42" t="str">
        <v>Nigeria</v>
      </c>
      <c r="H2256" s="42" t="str">
        <v>1.0</v>
      </c>
      <c r="I2256" s="42" t="str">
        <v>4.0</v>
      </c>
      <c r="J2256" s="42" t="str">
        <v>Denmark</v>
      </c>
      <c r="K2256" s="42" t="str">
        <v xml:space="preserve"> </v>
      </c>
      <c r="L2256" s="42" t="str">
        <f t="shared" si="166"/>
        <v xml:space="preserve">1998.0|28 Jun 1998 - 21:00 |Round of 16|Stade de France|Saint-Denis |Nigeria|1.0|4.0|Denmark| </v>
      </c>
      <c r="M2256" s="42" t="str">
        <f>IF(COUNTIF($L$1689:L2256,L2256)&gt;1,"DOUBLON","OK")</f>
        <v>OK</v>
      </c>
      <c r="S2256" s="12" t="str">
        <v>Uzbekistan</v>
      </c>
      <c r="T2256" s="12" t="str">
        <f t="shared" si="167"/>
        <v>OK</v>
      </c>
      <c r="U2256" s="12" t="str">
        <f t="shared" si="168"/>
        <v>-</v>
      </c>
      <c r="V2256" s="12" t="str" cm="1">
        <f t="array" ref="V2256">_xlfn.IFS(
ISNUMBER(SEARCH("USA",S2256)),"United States",
ISNUMBER(SEARCH("Republic of Ireland",S2256)),"Ireland",
ISNUMBER(SEARCH("Republic of Korea",S2256)),"South Korea",
ISNUMBER(SEARCH("Cape Verde",S2256)),"Cabo Verde",
ISNUMBER(SEARCH("Czechia",S2256)),"Czech Republic",
ISNUMBER(SEARCH("Türkiye",S2256)),"Turkey",
ISNUMBER(SEARCH("Ivory Coast",S2256)),"Côte d'Ivoire",
ISNUMBER(SEARCH("Korea Republic",S2256)),"South Korea",
ISNUMBER(SEARCH("Germany FR",S2256)),"FR Germany",
ISNUMBER(SEARCH("West Germany",S2256)),"FR Germany",
ISNUMBER(SEARCH("Germany DR",S2256)),"DR Germany",
ISNUMBER(SEARCH("Korea DPR",S2256)),"North Korea",
ISNUMBER(SEARCH("China PR",S2256)),"China",
ISNUMBER(SEARCH("IR Iran",S2256)),"Iran",
ISNUMBER(SEARCH("Congo DR",S2256)),"Democratic Republic of the Congo",
ISNUMBER(SEARCH("DR Congo",S2256)),"Democratic Republic of the Congo",
ISNUMBER(SEARCH("German DR",S2256)),"DR Germany",
ISNUMBER(SEARCH("rn""&gt;United Arab Emirates",S2256)),"United Arab Emirates",
ISNUMBER(SEARCH("rn""&gt;Republic of Ireland",S2256)),"Ireland",
ISNUMBER(SEARCH("rn""&gt;Bosnia and Herzegovina",S2256)),"Bosnia and Herzegovina",
ISNUMBER(SEARCH("rn""&gt;Trinidad and Tobago",S2256)),"Trinidad and Tobago",
ISNUMBER(SEARCH("rn""&gt;Serbia and Montenegro",S2256)),"Serbia and Montenegro",
ISNUMBER(SEARCH(_xlfn.UNICHAR(65533),S2256)),"Côte d'Ivoire",
TRUE,""
)</f>
        <v/>
      </c>
      <c r="W2256" s="12" t="str">
        <f t="shared" si="169"/>
        <v>Uzbekistan</v>
      </c>
    </row>
    <row r="2257" spans="2:23">
      <c r="B2257" s="76" t="str">
        <v>1998.0</v>
      </c>
      <c r="C2257" s="42" t="str">
        <v xml:space="preserve">29 Jun 1998 - 16:30 </v>
      </c>
      <c r="D2257" s="42" t="str">
        <v>Round of 16</v>
      </c>
      <c r="E2257" s="42" t="str">
        <v>La Mosson</v>
      </c>
      <c r="F2257" s="42" t="str">
        <v xml:space="preserve">Montpellier </v>
      </c>
      <c r="G2257" s="42" t="str">
        <v>Germany</v>
      </c>
      <c r="H2257" s="42" t="str">
        <v>2.0</v>
      </c>
      <c r="I2257" s="42" t="str">
        <v>1.0</v>
      </c>
      <c r="J2257" s="42" t="str">
        <v>Mexico</v>
      </c>
      <c r="K2257" s="42" t="str">
        <v xml:space="preserve"> </v>
      </c>
      <c r="L2257" s="42" t="str">
        <f t="shared" si="166"/>
        <v xml:space="preserve">1998.0|29 Jun 1998 - 16:30 |Round of 16|La Mosson|Montpellier |Germany|2.0|1.0|Mexico| </v>
      </c>
      <c r="M2257" s="42" t="str">
        <f>IF(COUNTIF($L$1689:L2257,L2257)&gt;1,"DOUBLON","OK")</f>
        <v>OK</v>
      </c>
      <c r="S2257" s="12" t="str">
        <v>Uzbekistan</v>
      </c>
      <c r="T2257" s="12" t="str">
        <f t="shared" si="167"/>
        <v>OK</v>
      </c>
      <c r="U2257" s="12" t="str">
        <f t="shared" si="168"/>
        <v>-</v>
      </c>
      <c r="V2257" s="12" t="str" cm="1">
        <f t="array" ref="V2257">_xlfn.IFS(
ISNUMBER(SEARCH("USA",S2257)),"United States",
ISNUMBER(SEARCH("Republic of Ireland",S2257)),"Ireland",
ISNUMBER(SEARCH("Republic of Korea",S2257)),"South Korea",
ISNUMBER(SEARCH("Cape Verde",S2257)),"Cabo Verde",
ISNUMBER(SEARCH("Czechia",S2257)),"Czech Republic",
ISNUMBER(SEARCH("Türkiye",S2257)),"Turkey",
ISNUMBER(SEARCH("Ivory Coast",S2257)),"Côte d'Ivoire",
ISNUMBER(SEARCH("Korea Republic",S2257)),"South Korea",
ISNUMBER(SEARCH("Germany FR",S2257)),"FR Germany",
ISNUMBER(SEARCH("West Germany",S2257)),"FR Germany",
ISNUMBER(SEARCH("Germany DR",S2257)),"DR Germany",
ISNUMBER(SEARCH("Korea DPR",S2257)),"North Korea",
ISNUMBER(SEARCH("China PR",S2257)),"China",
ISNUMBER(SEARCH("IR Iran",S2257)),"Iran",
ISNUMBER(SEARCH("Congo DR",S2257)),"Democratic Republic of the Congo",
ISNUMBER(SEARCH("DR Congo",S2257)),"Democratic Republic of the Congo",
ISNUMBER(SEARCH("German DR",S2257)),"DR Germany",
ISNUMBER(SEARCH("rn""&gt;United Arab Emirates",S2257)),"United Arab Emirates",
ISNUMBER(SEARCH("rn""&gt;Republic of Ireland",S2257)),"Ireland",
ISNUMBER(SEARCH("rn""&gt;Bosnia and Herzegovina",S2257)),"Bosnia and Herzegovina",
ISNUMBER(SEARCH("rn""&gt;Trinidad and Tobago",S2257)),"Trinidad and Tobago",
ISNUMBER(SEARCH("rn""&gt;Serbia and Montenegro",S2257)),"Serbia and Montenegro",
ISNUMBER(SEARCH(_xlfn.UNICHAR(65533),S2257)),"Côte d'Ivoire",
TRUE,""
)</f>
        <v/>
      </c>
      <c r="W2257" s="12" t="str">
        <f t="shared" si="169"/>
        <v>Uzbekistan</v>
      </c>
    </row>
    <row r="2258" spans="2:23">
      <c r="B2258" s="76" t="str">
        <v>1998.0</v>
      </c>
      <c r="C2258" s="42" t="str">
        <v xml:space="preserve">29 Jun 1998 - 21:00 </v>
      </c>
      <c r="D2258" s="42" t="str">
        <v>Round of 16</v>
      </c>
      <c r="E2258" s="42" t="str">
        <v>Stade Municipal</v>
      </c>
      <c r="F2258" s="42" t="str">
        <v xml:space="preserve">Toulouse </v>
      </c>
      <c r="G2258" s="42" t="str">
        <v>Netherlands</v>
      </c>
      <c r="H2258" s="42" t="str">
        <v>2.0</v>
      </c>
      <c r="I2258" s="42" t="str">
        <v>1.0</v>
      </c>
      <c r="J2258" s="42" t="str">
        <v>Yugoslavia</v>
      </c>
      <c r="K2258" s="42" t="str">
        <v xml:space="preserve"> </v>
      </c>
      <c r="L2258" s="42" t="str">
        <f t="shared" si="166"/>
        <v xml:space="preserve">1998.0|29 Jun 1998 - 21:00 |Round of 16|Stade Municipal|Toulouse |Netherlands|2.0|1.0|Yugoslavia| </v>
      </c>
      <c r="M2258" s="42" t="str">
        <f>IF(COUNTIF($L$1689:L2258,L2258)&gt;1,"DOUBLON","OK")</f>
        <v>OK</v>
      </c>
      <c r="S2258" s="12" t="str">
        <v>Uzbekistan</v>
      </c>
      <c r="T2258" s="12" t="str">
        <f t="shared" si="167"/>
        <v>OK</v>
      </c>
      <c r="U2258" s="12" t="str">
        <f t="shared" si="168"/>
        <v>-</v>
      </c>
      <c r="V2258" s="12" t="str" cm="1">
        <f t="array" ref="V2258">_xlfn.IFS(
ISNUMBER(SEARCH("USA",S2258)),"United States",
ISNUMBER(SEARCH("Republic of Ireland",S2258)),"Ireland",
ISNUMBER(SEARCH("Republic of Korea",S2258)),"South Korea",
ISNUMBER(SEARCH("Cape Verde",S2258)),"Cabo Verde",
ISNUMBER(SEARCH("Czechia",S2258)),"Czech Republic",
ISNUMBER(SEARCH("Türkiye",S2258)),"Turkey",
ISNUMBER(SEARCH("Ivory Coast",S2258)),"Côte d'Ivoire",
ISNUMBER(SEARCH("Korea Republic",S2258)),"South Korea",
ISNUMBER(SEARCH("Germany FR",S2258)),"FR Germany",
ISNUMBER(SEARCH("West Germany",S2258)),"FR Germany",
ISNUMBER(SEARCH("Germany DR",S2258)),"DR Germany",
ISNUMBER(SEARCH("Korea DPR",S2258)),"North Korea",
ISNUMBER(SEARCH("China PR",S2258)),"China",
ISNUMBER(SEARCH("IR Iran",S2258)),"Iran",
ISNUMBER(SEARCH("Congo DR",S2258)),"Democratic Republic of the Congo",
ISNUMBER(SEARCH("DR Congo",S2258)),"Democratic Republic of the Congo",
ISNUMBER(SEARCH("German DR",S2258)),"DR Germany",
ISNUMBER(SEARCH("rn""&gt;United Arab Emirates",S2258)),"United Arab Emirates",
ISNUMBER(SEARCH("rn""&gt;Republic of Ireland",S2258)),"Ireland",
ISNUMBER(SEARCH("rn""&gt;Bosnia and Herzegovina",S2258)),"Bosnia and Herzegovina",
ISNUMBER(SEARCH("rn""&gt;Trinidad and Tobago",S2258)),"Trinidad and Tobago",
ISNUMBER(SEARCH("rn""&gt;Serbia and Montenegro",S2258)),"Serbia and Montenegro",
ISNUMBER(SEARCH(_xlfn.UNICHAR(65533),S2258)),"Côte d'Ivoire",
TRUE,""
)</f>
        <v/>
      </c>
      <c r="W2258" s="12" t="str">
        <f t="shared" si="169"/>
        <v>Uzbekistan</v>
      </c>
    </row>
    <row r="2259" spans="2:23">
      <c r="B2259" s="76" t="str">
        <v>1998.0</v>
      </c>
      <c r="C2259" s="42" t="str">
        <v xml:space="preserve">30 Jun 1998 - 16:30 </v>
      </c>
      <c r="D2259" s="42" t="str">
        <v>Round of 16</v>
      </c>
      <c r="E2259" s="42" t="str">
        <v>Stade du Parc Lescure</v>
      </c>
      <c r="F2259" s="42" t="str">
        <v xml:space="preserve">Bordeaux </v>
      </c>
      <c r="G2259" s="42" t="str">
        <v>Romania</v>
      </c>
      <c r="H2259" s="42" t="str">
        <v>0.0</v>
      </c>
      <c r="I2259" s="42" t="str">
        <v>1.0</v>
      </c>
      <c r="J2259" s="42" t="str">
        <v>Croatia</v>
      </c>
      <c r="K2259" s="42" t="str">
        <v xml:space="preserve"> </v>
      </c>
      <c r="L2259" s="42" t="str">
        <f t="shared" si="166"/>
        <v xml:space="preserve">1998.0|30 Jun 1998 - 16:30 |Round of 16|Stade du Parc Lescure|Bordeaux |Romania|0.0|1.0|Croatia| </v>
      </c>
      <c r="M2259" s="42" t="str">
        <f>IF(COUNTIF($L$1689:L2259,L2259)&gt;1,"DOUBLON","OK")</f>
        <v>OK</v>
      </c>
      <c r="S2259" s="12" t="str">
        <v>Uzbekistan</v>
      </c>
      <c r="T2259" s="12" t="str">
        <f t="shared" si="167"/>
        <v>OK</v>
      </c>
      <c r="U2259" s="12" t="str">
        <f t="shared" si="168"/>
        <v>-</v>
      </c>
      <c r="V2259" s="12" t="str" cm="1">
        <f t="array" ref="V2259">_xlfn.IFS(
ISNUMBER(SEARCH("USA",S2259)),"United States",
ISNUMBER(SEARCH("Republic of Ireland",S2259)),"Ireland",
ISNUMBER(SEARCH("Republic of Korea",S2259)),"South Korea",
ISNUMBER(SEARCH("Cape Verde",S2259)),"Cabo Verde",
ISNUMBER(SEARCH("Czechia",S2259)),"Czech Republic",
ISNUMBER(SEARCH("Türkiye",S2259)),"Turkey",
ISNUMBER(SEARCH("Ivory Coast",S2259)),"Côte d'Ivoire",
ISNUMBER(SEARCH("Korea Republic",S2259)),"South Korea",
ISNUMBER(SEARCH("Germany FR",S2259)),"FR Germany",
ISNUMBER(SEARCH("West Germany",S2259)),"FR Germany",
ISNUMBER(SEARCH("Germany DR",S2259)),"DR Germany",
ISNUMBER(SEARCH("Korea DPR",S2259)),"North Korea",
ISNUMBER(SEARCH("China PR",S2259)),"China",
ISNUMBER(SEARCH("IR Iran",S2259)),"Iran",
ISNUMBER(SEARCH("Congo DR",S2259)),"Democratic Republic of the Congo",
ISNUMBER(SEARCH("DR Congo",S2259)),"Democratic Republic of the Congo",
ISNUMBER(SEARCH("German DR",S2259)),"DR Germany",
ISNUMBER(SEARCH("rn""&gt;United Arab Emirates",S2259)),"United Arab Emirates",
ISNUMBER(SEARCH("rn""&gt;Republic of Ireland",S2259)),"Ireland",
ISNUMBER(SEARCH("rn""&gt;Bosnia and Herzegovina",S2259)),"Bosnia and Herzegovina",
ISNUMBER(SEARCH("rn""&gt;Trinidad and Tobago",S2259)),"Trinidad and Tobago",
ISNUMBER(SEARCH("rn""&gt;Serbia and Montenegro",S2259)),"Serbia and Montenegro",
ISNUMBER(SEARCH(_xlfn.UNICHAR(65533),S2259)),"Côte d'Ivoire",
TRUE,""
)</f>
        <v/>
      </c>
      <c r="W2259" s="12" t="str">
        <f t="shared" si="169"/>
        <v>Uzbekistan</v>
      </c>
    </row>
    <row r="2260" spans="2:23">
      <c r="B2260" s="76" t="str">
        <v>1998.0</v>
      </c>
      <c r="C2260" s="42" t="str">
        <v xml:space="preserve">30 Jun 1998 - 21:00 </v>
      </c>
      <c r="D2260" s="42" t="str">
        <v>Round of 16</v>
      </c>
      <c r="E2260" s="42" t="str">
        <v>Stade Geoffroy Guichard</v>
      </c>
      <c r="F2260" s="42" t="str">
        <v xml:space="preserve">Saint-Etienne </v>
      </c>
      <c r="G2260" s="42" t="str">
        <v>Argentina</v>
      </c>
      <c r="H2260" s="42" t="str">
        <v>2.0</v>
      </c>
      <c r="I2260" s="42" t="str">
        <v>2.0</v>
      </c>
      <c r="J2260" s="42" t="str">
        <v>England</v>
      </c>
      <c r="K2260" s="42" t="str">
        <v xml:space="preserve">Argentina win on penalties (4 - 3) </v>
      </c>
      <c r="L2260" s="42" t="str">
        <f t="shared" si="166"/>
        <v xml:space="preserve">1998.0|30 Jun 1998 - 21:00 |Round of 16|Stade Geoffroy Guichard|Saint-Etienne |Argentina|2.0|2.0|England|Argentina win on penalties (4 - 3) </v>
      </c>
      <c r="M2260" s="42" t="str">
        <f>IF(COUNTIF($L$1689:L2260,L2260)&gt;1,"DOUBLON","OK")</f>
        <v>OK</v>
      </c>
      <c r="S2260" s="12" t="str">
        <v>Uzbekistan</v>
      </c>
      <c r="T2260" s="12" t="str">
        <f t="shared" si="167"/>
        <v>OK</v>
      </c>
      <c r="U2260" s="12" t="str">
        <f t="shared" si="168"/>
        <v>-</v>
      </c>
      <c r="V2260" s="12" t="str" cm="1">
        <f t="array" ref="V2260">_xlfn.IFS(
ISNUMBER(SEARCH("USA",S2260)),"United States",
ISNUMBER(SEARCH("Republic of Ireland",S2260)),"Ireland",
ISNUMBER(SEARCH("Republic of Korea",S2260)),"South Korea",
ISNUMBER(SEARCH("Cape Verde",S2260)),"Cabo Verde",
ISNUMBER(SEARCH("Czechia",S2260)),"Czech Republic",
ISNUMBER(SEARCH("Türkiye",S2260)),"Turkey",
ISNUMBER(SEARCH("Ivory Coast",S2260)),"Côte d'Ivoire",
ISNUMBER(SEARCH("Korea Republic",S2260)),"South Korea",
ISNUMBER(SEARCH("Germany FR",S2260)),"FR Germany",
ISNUMBER(SEARCH("West Germany",S2260)),"FR Germany",
ISNUMBER(SEARCH("Germany DR",S2260)),"DR Germany",
ISNUMBER(SEARCH("Korea DPR",S2260)),"North Korea",
ISNUMBER(SEARCH("China PR",S2260)),"China",
ISNUMBER(SEARCH("IR Iran",S2260)),"Iran",
ISNUMBER(SEARCH("Congo DR",S2260)),"Democratic Republic of the Congo",
ISNUMBER(SEARCH("DR Congo",S2260)),"Democratic Republic of the Congo",
ISNUMBER(SEARCH("German DR",S2260)),"DR Germany",
ISNUMBER(SEARCH("rn""&gt;United Arab Emirates",S2260)),"United Arab Emirates",
ISNUMBER(SEARCH("rn""&gt;Republic of Ireland",S2260)),"Ireland",
ISNUMBER(SEARCH("rn""&gt;Bosnia and Herzegovina",S2260)),"Bosnia and Herzegovina",
ISNUMBER(SEARCH("rn""&gt;Trinidad and Tobago",S2260)),"Trinidad and Tobago",
ISNUMBER(SEARCH("rn""&gt;Serbia and Montenegro",S2260)),"Serbia and Montenegro",
ISNUMBER(SEARCH(_xlfn.UNICHAR(65533),S2260)),"Côte d'Ivoire",
TRUE,""
)</f>
        <v/>
      </c>
      <c r="W2260" s="12" t="str">
        <f t="shared" si="169"/>
        <v>Uzbekistan</v>
      </c>
    </row>
    <row r="2261" spans="2:23">
      <c r="B2261" s="76" t="str">
        <v>1998.0</v>
      </c>
      <c r="C2261" s="42" t="str">
        <v xml:space="preserve">03 Jul 1998 - 16:30 </v>
      </c>
      <c r="D2261" s="42" t="str">
        <v>Quarter-finals</v>
      </c>
      <c r="E2261" s="42" t="str">
        <v>Stade de France</v>
      </c>
      <c r="F2261" s="42" t="str">
        <v xml:space="preserve">Saint-Denis </v>
      </c>
      <c r="G2261" s="42" t="str">
        <v>Italy</v>
      </c>
      <c r="H2261" s="42" t="str">
        <v>0.0</v>
      </c>
      <c r="I2261" s="42" t="str">
        <v>0.0</v>
      </c>
      <c r="J2261" s="42" t="str">
        <v>France</v>
      </c>
      <c r="K2261" s="42" t="str">
        <v xml:space="preserve">France win on penalties (3 - 4) </v>
      </c>
      <c r="L2261" s="42" t="str">
        <f t="shared" si="166"/>
        <v xml:space="preserve">1998.0|03 Jul 1998 - 16:30 |Quarter-finals|Stade de France|Saint-Denis |Italy|0.0|0.0|France|France win on penalties (3 - 4) </v>
      </c>
      <c r="M2261" s="42" t="str">
        <f>IF(COUNTIF($L$1689:L2261,L2261)&gt;1,"DOUBLON","OK")</f>
        <v>OK</v>
      </c>
      <c r="S2261" s="12" t="str">
        <v>Uzbekistan</v>
      </c>
      <c r="T2261" s="12" t="str">
        <f t="shared" si="167"/>
        <v>OK</v>
      </c>
      <c r="U2261" s="12" t="str">
        <f t="shared" si="168"/>
        <v>-</v>
      </c>
      <c r="V2261" s="12" t="str" cm="1">
        <f t="array" ref="V2261">_xlfn.IFS(
ISNUMBER(SEARCH("USA",S2261)),"United States",
ISNUMBER(SEARCH("Republic of Ireland",S2261)),"Ireland",
ISNUMBER(SEARCH("Republic of Korea",S2261)),"South Korea",
ISNUMBER(SEARCH("Cape Verde",S2261)),"Cabo Verde",
ISNUMBER(SEARCH("Czechia",S2261)),"Czech Republic",
ISNUMBER(SEARCH("Türkiye",S2261)),"Turkey",
ISNUMBER(SEARCH("Ivory Coast",S2261)),"Côte d'Ivoire",
ISNUMBER(SEARCH("Korea Republic",S2261)),"South Korea",
ISNUMBER(SEARCH("Germany FR",S2261)),"FR Germany",
ISNUMBER(SEARCH("West Germany",S2261)),"FR Germany",
ISNUMBER(SEARCH("Germany DR",S2261)),"DR Germany",
ISNUMBER(SEARCH("Korea DPR",S2261)),"North Korea",
ISNUMBER(SEARCH("China PR",S2261)),"China",
ISNUMBER(SEARCH("IR Iran",S2261)),"Iran",
ISNUMBER(SEARCH("Congo DR",S2261)),"Democratic Republic of the Congo",
ISNUMBER(SEARCH("DR Congo",S2261)),"Democratic Republic of the Congo",
ISNUMBER(SEARCH("German DR",S2261)),"DR Germany",
ISNUMBER(SEARCH("rn""&gt;United Arab Emirates",S2261)),"United Arab Emirates",
ISNUMBER(SEARCH("rn""&gt;Republic of Ireland",S2261)),"Ireland",
ISNUMBER(SEARCH("rn""&gt;Bosnia and Herzegovina",S2261)),"Bosnia and Herzegovina",
ISNUMBER(SEARCH("rn""&gt;Trinidad and Tobago",S2261)),"Trinidad and Tobago",
ISNUMBER(SEARCH("rn""&gt;Serbia and Montenegro",S2261)),"Serbia and Montenegro",
ISNUMBER(SEARCH(_xlfn.UNICHAR(65533),S2261)),"Côte d'Ivoire",
TRUE,""
)</f>
        <v/>
      </c>
      <c r="W2261" s="12" t="str">
        <f t="shared" si="169"/>
        <v>Uzbekistan</v>
      </c>
    </row>
    <row r="2262" spans="2:23">
      <c r="B2262" s="76" t="str">
        <v>1998.0</v>
      </c>
      <c r="C2262" s="42" t="str">
        <v xml:space="preserve">03 Jul 1998 - 21:00 </v>
      </c>
      <c r="D2262" s="42" t="str">
        <v>Quarter-finals</v>
      </c>
      <c r="E2262" s="42" t="str">
        <v>La Beaujoire</v>
      </c>
      <c r="F2262" s="42" t="str">
        <v xml:space="preserve">Nantes </v>
      </c>
      <c r="G2262" s="42" t="str">
        <v>Brazil</v>
      </c>
      <c r="H2262" s="42" t="str">
        <v>3.0</v>
      </c>
      <c r="I2262" s="42" t="str">
        <v>2.0</v>
      </c>
      <c r="J2262" s="42" t="str">
        <v>Denmark</v>
      </c>
      <c r="K2262" s="42" t="str">
        <v xml:space="preserve"> </v>
      </c>
      <c r="L2262" s="42" t="str">
        <f t="shared" si="166"/>
        <v xml:space="preserve">1998.0|03 Jul 1998 - 21:00 |Quarter-finals|La Beaujoire|Nantes |Brazil|3.0|2.0|Denmark| </v>
      </c>
      <c r="M2262" s="42" t="str">
        <f>IF(COUNTIF($L$1689:L2262,L2262)&gt;1,"DOUBLON","OK")</f>
        <v>OK</v>
      </c>
      <c r="S2262" s="12" t="str">
        <v>Uzbekistan</v>
      </c>
      <c r="T2262" s="12" t="str">
        <f t="shared" si="167"/>
        <v>OK</v>
      </c>
      <c r="U2262" s="12" t="str">
        <f t="shared" si="168"/>
        <v>-</v>
      </c>
      <c r="V2262" s="12" t="str" cm="1">
        <f t="array" ref="V2262">_xlfn.IFS(
ISNUMBER(SEARCH("USA",S2262)),"United States",
ISNUMBER(SEARCH("Republic of Ireland",S2262)),"Ireland",
ISNUMBER(SEARCH("Republic of Korea",S2262)),"South Korea",
ISNUMBER(SEARCH("Cape Verde",S2262)),"Cabo Verde",
ISNUMBER(SEARCH("Czechia",S2262)),"Czech Republic",
ISNUMBER(SEARCH("Türkiye",S2262)),"Turkey",
ISNUMBER(SEARCH("Ivory Coast",S2262)),"Côte d'Ivoire",
ISNUMBER(SEARCH("Korea Republic",S2262)),"South Korea",
ISNUMBER(SEARCH("Germany FR",S2262)),"FR Germany",
ISNUMBER(SEARCH("West Germany",S2262)),"FR Germany",
ISNUMBER(SEARCH("Germany DR",S2262)),"DR Germany",
ISNUMBER(SEARCH("Korea DPR",S2262)),"North Korea",
ISNUMBER(SEARCH("China PR",S2262)),"China",
ISNUMBER(SEARCH("IR Iran",S2262)),"Iran",
ISNUMBER(SEARCH("Congo DR",S2262)),"Democratic Republic of the Congo",
ISNUMBER(SEARCH("DR Congo",S2262)),"Democratic Republic of the Congo",
ISNUMBER(SEARCH("German DR",S2262)),"DR Germany",
ISNUMBER(SEARCH("rn""&gt;United Arab Emirates",S2262)),"United Arab Emirates",
ISNUMBER(SEARCH("rn""&gt;Republic of Ireland",S2262)),"Ireland",
ISNUMBER(SEARCH("rn""&gt;Bosnia and Herzegovina",S2262)),"Bosnia and Herzegovina",
ISNUMBER(SEARCH("rn""&gt;Trinidad and Tobago",S2262)),"Trinidad and Tobago",
ISNUMBER(SEARCH("rn""&gt;Serbia and Montenegro",S2262)),"Serbia and Montenegro",
ISNUMBER(SEARCH(_xlfn.UNICHAR(65533),S2262)),"Côte d'Ivoire",
TRUE,""
)</f>
        <v/>
      </c>
      <c r="W2262" s="12" t="str">
        <f t="shared" si="169"/>
        <v>Uzbekistan</v>
      </c>
    </row>
    <row r="2263" spans="2:23">
      <c r="B2263" s="76" t="str">
        <v>1998.0</v>
      </c>
      <c r="C2263" s="42" t="str">
        <v xml:space="preserve">04 Jul 1998 - 16:30 </v>
      </c>
      <c r="D2263" s="42" t="str">
        <v>Quarter-finals</v>
      </c>
      <c r="E2263" s="42" t="str">
        <v>Stade V�lodrome</v>
      </c>
      <c r="F2263" s="42" t="str">
        <v xml:space="preserve">Marseilles </v>
      </c>
      <c r="G2263" s="42" t="str">
        <v>Netherlands</v>
      </c>
      <c r="H2263" s="42" t="str">
        <v>2.0</v>
      </c>
      <c r="I2263" s="42" t="str">
        <v>1.0</v>
      </c>
      <c r="J2263" s="42" t="str">
        <v>Argentina</v>
      </c>
      <c r="K2263" s="42" t="str">
        <v xml:space="preserve"> </v>
      </c>
      <c r="L2263" s="42" t="str">
        <f t="shared" si="166"/>
        <v xml:space="preserve">1998.0|04 Jul 1998 - 16:30 |Quarter-finals|Stade V�lodrome|Marseilles |Netherlands|2.0|1.0|Argentina| </v>
      </c>
      <c r="M2263" s="42" t="str">
        <f>IF(COUNTIF($L$1689:L2263,L2263)&gt;1,"DOUBLON","OK")</f>
        <v>OK</v>
      </c>
      <c r="S2263" s="12" t="str">
        <v>Uzbekistan</v>
      </c>
      <c r="T2263" s="12" t="str">
        <f t="shared" si="167"/>
        <v>OK</v>
      </c>
      <c r="U2263" s="12" t="str">
        <f t="shared" si="168"/>
        <v>-</v>
      </c>
      <c r="V2263" s="12" t="str" cm="1">
        <f t="array" ref="V2263">_xlfn.IFS(
ISNUMBER(SEARCH("USA",S2263)),"United States",
ISNUMBER(SEARCH("Republic of Ireland",S2263)),"Ireland",
ISNUMBER(SEARCH("Republic of Korea",S2263)),"South Korea",
ISNUMBER(SEARCH("Cape Verde",S2263)),"Cabo Verde",
ISNUMBER(SEARCH("Czechia",S2263)),"Czech Republic",
ISNUMBER(SEARCH("Türkiye",S2263)),"Turkey",
ISNUMBER(SEARCH("Ivory Coast",S2263)),"Côte d'Ivoire",
ISNUMBER(SEARCH("Korea Republic",S2263)),"South Korea",
ISNUMBER(SEARCH("Germany FR",S2263)),"FR Germany",
ISNUMBER(SEARCH("West Germany",S2263)),"FR Germany",
ISNUMBER(SEARCH("Germany DR",S2263)),"DR Germany",
ISNUMBER(SEARCH("Korea DPR",S2263)),"North Korea",
ISNUMBER(SEARCH("China PR",S2263)),"China",
ISNUMBER(SEARCH("IR Iran",S2263)),"Iran",
ISNUMBER(SEARCH("Congo DR",S2263)),"Democratic Republic of the Congo",
ISNUMBER(SEARCH("DR Congo",S2263)),"Democratic Republic of the Congo",
ISNUMBER(SEARCH("German DR",S2263)),"DR Germany",
ISNUMBER(SEARCH("rn""&gt;United Arab Emirates",S2263)),"United Arab Emirates",
ISNUMBER(SEARCH("rn""&gt;Republic of Ireland",S2263)),"Ireland",
ISNUMBER(SEARCH("rn""&gt;Bosnia and Herzegovina",S2263)),"Bosnia and Herzegovina",
ISNUMBER(SEARCH("rn""&gt;Trinidad and Tobago",S2263)),"Trinidad and Tobago",
ISNUMBER(SEARCH("rn""&gt;Serbia and Montenegro",S2263)),"Serbia and Montenegro",
ISNUMBER(SEARCH(_xlfn.UNICHAR(65533),S2263)),"Côte d'Ivoire",
TRUE,""
)</f>
        <v/>
      </c>
      <c r="W2263" s="12" t="str">
        <f t="shared" si="169"/>
        <v>Uzbekistan</v>
      </c>
    </row>
    <row r="2264" spans="2:23">
      <c r="B2264" s="76" t="str">
        <v>1998.0</v>
      </c>
      <c r="C2264" s="42" t="str">
        <v xml:space="preserve">04 Jul 1998 - 21:00 </v>
      </c>
      <c r="D2264" s="42" t="str">
        <v>Quarter-finals</v>
      </c>
      <c r="E2264" s="42" t="str">
        <v>Stade de Gerland</v>
      </c>
      <c r="F2264" s="42" t="str">
        <v xml:space="preserve">Lyon </v>
      </c>
      <c r="G2264" s="42" t="str">
        <v>Germany</v>
      </c>
      <c r="H2264" s="42" t="str">
        <v>0.0</v>
      </c>
      <c r="I2264" s="42" t="str">
        <v>3.0</v>
      </c>
      <c r="J2264" s="42" t="str">
        <v>Croatia</v>
      </c>
      <c r="K2264" s="42" t="str">
        <v xml:space="preserve"> </v>
      </c>
      <c r="L2264" s="42" t="str">
        <f t="shared" si="166"/>
        <v xml:space="preserve">1998.0|04 Jul 1998 - 21:00 |Quarter-finals|Stade de Gerland|Lyon |Germany|0.0|3.0|Croatia| </v>
      </c>
      <c r="M2264" s="42" t="str">
        <f>IF(COUNTIF($L$1689:L2264,L2264)&gt;1,"DOUBLON","OK")</f>
        <v>OK</v>
      </c>
      <c r="S2264" s="12" t="str">
        <v>Uzbekistan</v>
      </c>
      <c r="T2264" s="12" t="str">
        <f t="shared" si="167"/>
        <v>OK</v>
      </c>
      <c r="U2264" s="12" t="str">
        <f t="shared" si="168"/>
        <v>-</v>
      </c>
      <c r="V2264" s="12" t="str" cm="1">
        <f t="array" ref="V2264">_xlfn.IFS(
ISNUMBER(SEARCH("USA",S2264)),"United States",
ISNUMBER(SEARCH("Republic of Ireland",S2264)),"Ireland",
ISNUMBER(SEARCH("Republic of Korea",S2264)),"South Korea",
ISNUMBER(SEARCH("Cape Verde",S2264)),"Cabo Verde",
ISNUMBER(SEARCH("Czechia",S2264)),"Czech Republic",
ISNUMBER(SEARCH("Türkiye",S2264)),"Turkey",
ISNUMBER(SEARCH("Ivory Coast",S2264)),"Côte d'Ivoire",
ISNUMBER(SEARCH("Korea Republic",S2264)),"South Korea",
ISNUMBER(SEARCH("Germany FR",S2264)),"FR Germany",
ISNUMBER(SEARCH("West Germany",S2264)),"FR Germany",
ISNUMBER(SEARCH("Germany DR",S2264)),"DR Germany",
ISNUMBER(SEARCH("Korea DPR",S2264)),"North Korea",
ISNUMBER(SEARCH("China PR",S2264)),"China",
ISNUMBER(SEARCH("IR Iran",S2264)),"Iran",
ISNUMBER(SEARCH("Congo DR",S2264)),"Democratic Republic of the Congo",
ISNUMBER(SEARCH("DR Congo",S2264)),"Democratic Republic of the Congo",
ISNUMBER(SEARCH("German DR",S2264)),"DR Germany",
ISNUMBER(SEARCH("rn""&gt;United Arab Emirates",S2264)),"United Arab Emirates",
ISNUMBER(SEARCH("rn""&gt;Republic of Ireland",S2264)),"Ireland",
ISNUMBER(SEARCH("rn""&gt;Bosnia and Herzegovina",S2264)),"Bosnia and Herzegovina",
ISNUMBER(SEARCH("rn""&gt;Trinidad and Tobago",S2264)),"Trinidad and Tobago",
ISNUMBER(SEARCH("rn""&gt;Serbia and Montenegro",S2264)),"Serbia and Montenegro",
ISNUMBER(SEARCH(_xlfn.UNICHAR(65533),S2264)),"Côte d'Ivoire",
TRUE,""
)</f>
        <v/>
      </c>
      <c r="W2264" s="12" t="str">
        <f t="shared" si="169"/>
        <v>Uzbekistan</v>
      </c>
    </row>
    <row r="2265" spans="2:23">
      <c r="B2265" s="76" t="str">
        <v>1998.0</v>
      </c>
      <c r="C2265" s="42" t="str">
        <v xml:space="preserve">07 Jul 1998 - 21:00 </v>
      </c>
      <c r="D2265" s="42" t="str">
        <v>Semi-finals</v>
      </c>
      <c r="E2265" s="42" t="str">
        <v>Stade V�lodrome</v>
      </c>
      <c r="F2265" s="42" t="str">
        <v xml:space="preserve">Marseilles </v>
      </c>
      <c r="G2265" s="42" t="str">
        <v>Brazil</v>
      </c>
      <c r="H2265" s="42" t="str">
        <v>1.0</v>
      </c>
      <c r="I2265" s="42" t="str">
        <v>1.0</v>
      </c>
      <c r="J2265" s="42" t="str">
        <v>Netherlands</v>
      </c>
      <c r="K2265" s="42" t="str">
        <v xml:space="preserve">Brazil win on penalties (4 - 2) </v>
      </c>
      <c r="L2265" s="42" t="str">
        <f t="shared" ref="L2265:L2328" si="170">B2265&amp;"|"&amp;C2265&amp;"|"&amp;D2265&amp;"|"&amp;E2265&amp;"|"&amp;F2265&amp;"|"&amp;G2265&amp;"|"&amp;H2265&amp;"|"&amp;I2265&amp;"|"&amp;J2265&amp;"|"&amp;K2265</f>
        <v xml:space="preserve">1998.0|07 Jul 1998 - 21:00 |Semi-finals|Stade V�lodrome|Marseilles |Brazil|1.0|1.0|Netherlands|Brazil win on penalties (4 - 2) </v>
      </c>
      <c r="M2265" s="42" t="str">
        <f>IF(COUNTIF($L$1689:L2265,L2265)&gt;1,"DOUBLON","OK")</f>
        <v>OK</v>
      </c>
      <c r="S2265" s="12" t="str">
        <v>Croatia</v>
      </c>
      <c r="T2265" s="12" t="str">
        <f t="shared" si="167"/>
        <v>OK</v>
      </c>
      <c r="U2265" s="12" t="str">
        <f t="shared" si="168"/>
        <v>-</v>
      </c>
      <c r="V2265" s="12" t="str" cm="1">
        <f t="array" ref="V2265">_xlfn.IFS(
ISNUMBER(SEARCH("USA",S2265)),"United States",
ISNUMBER(SEARCH("Republic of Ireland",S2265)),"Ireland",
ISNUMBER(SEARCH("Republic of Korea",S2265)),"South Korea",
ISNUMBER(SEARCH("Cape Verde",S2265)),"Cabo Verde",
ISNUMBER(SEARCH("Czechia",S2265)),"Czech Republic",
ISNUMBER(SEARCH("Türkiye",S2265)),"Turkey",
ISNUMBER(SEARCH("Ivory Coast",S2265)),"Côte d'Ivoire",
ISNUMBER(SEARCH("Korea Republic",S2265)),"South Korea",
ISNUMBER(SEARCH("Germany FR",S2265)),"FR Germany",
ISNUMBER(SEARCH("West Germany",S2265)),"FR Germany",
ISNUMBER(SEARCH("Germany DR",S2265)),"DR Germany",
ISNUMBER(SEARCH("Korea DPR",S2265)),"North Korea",
ISNUMBER(SEARCH("China PR",S2265)),"China",
ISNUMBER(SEARCH("IR Iran",S2265)),"Iran",
ISNUMBER(SEARCH("Congo DR",S2265)),"Democratic Republic of the Congo",
ISNUMBER(SEARCH("DR Congo",S2265)),"Democratic Republic of the Congo",
ISNUMBER(SEARCH("German DR",S2265)),"DR Germany",
ISNUMBER(SEARCH("rn""&gt;United Arab Emirates",S2265)),"United Arab Emirates",
ISNUMBER(SEARCH("rn""&gt;Republic of Ireland",S2265)),"Ireland",
ISNUMBER(SEARCH("rn""&gt;Bosnia and Herzegovina",S2265)),"Bosnia and Herzegovina",
ISNUMBER(SEARCH("rn""&gt;Trinidad and Tobago",S2265)),"Trinidad and Tobago",
ISNUMBER(SEARCH("rn""&gt;Serbia and Montenegro",S2265)),"Serbia and Montenegro",
ISNUMBER(SEARCH(_xlfn.UNICHAR(65533),S2265)),"Côte d'Ivoire",
TRUE,""
)</f>
        <v/>
      </c>
      <c r="W2265" s="12" t="str">
        <f t="shared" si="169"/>
        <v>Croatia</v>
      </c>
    </row>
    <row r="2266" spans="2:23">
      <c r="B2266" s="76" t="str">
        <v>1998.0</v>
      </c>
      <c r="C2266" s="42" t="str">
        <v xml:space="preserve">08 Jul 1998 - 21:00 </v>
      </c>
      <c r="D2266" s="42" t="str">
        <v>Semi-finals</v>
      </c>
      <c r="E2266" s="42" t="str">
        <v>Stade de France</v>
      </c>
      <c r="F2266" s="42" t="str">
        <v xml:space="preserve">Saint-Denis </v>
      </c>
      <c r="G2266" s="42" t="str">
        <v>France</v>
      </c>
      <c r="H2266" s="42" t="str">
        <v>2.0</v>
      </c>
      <c r="I2266" s="42" t="str">
        <v>1.0</v>
      </c>
      <c r="J2266" s="42" t="str">
        <v>Croatia</v>
      </c>
      <c r="K2266" s="42" t="str">
        <v xml:space="preserve"> </v>
      </c>
      <c r="L2266" s="42" t="str">
        <f t="shared" si="170"/>
        <v xml:space="preserve">1998.0|08 Jul 1998 - 21:00 |Semi-finals|Stade de France|Saint-Denis |France|2.0|1.0|Croatia| </v>
      </c>
      <c r="M2266" s="42" t="str">
        <f>IF(COUNTIF($L$1689:L2266,L2266)&gt;1,"DOUBLON","OK")</f>
        <v>OK</v>
      </c>
      <c r="S2266" s="12" t="str">
        <v>Croatia</v>
      </c>
      <c r="T2266" s="12" t="str">
        <f t="shared" si="167"/>
        <v>OK</v>
      </c>
      <c r="U2266" s="12" t="str">
        <f t="shared" si="168"/>
        <v>-</v>
      </c>
      <c r="V2266" s="12" t="str" cm="1">
        <f t="array" ref="V2266">_xlfn.IFS(
ISNUMBER(SEARCH("USA",S2266)),"United States",
ISNUMBER(SEARCH("Republic of Ireland",S2266)),"Ireland",
ISNUMBER(SEARCH("Republic of Korea",S2266)),"South Korea",
ISNUMBER(SEARCH("Cape Verde",S2266)),"Cabo Verde",
ISNUMBER(SEARCH("Czechia",S2266)),"Czech Republic",
ISNUMBER(SEARCH("Türkiye",S2266)),"Turkey",
ISNUMBER(SEARCH("Ivory Coast",S2266)),"Côte d'Ivoire",
ISNUMBER(SEARCH("Korea Republic",S2266)),"South Korea",
ISNUMBER(SEARCH("Germany FR",S2266)),"FR Germany",
ISNUMBER(SEARCH("West Germany",S2266)),"FR Germany",
ISNUMBER(SEARCH("Germany DR",S2266)),"DR Germany",
ISNUMBER(SEARCH("Korea DPR",S2266)),"North Korea",
ISNUMBER(SEARCH("China PR",S2266)),"China",
ISNUMBER(SEARCH("IR Iran",S2266)),"Iran",
ISNUMBER(SEARCH("Congo DR",S2266)),"Democratic Republic of the Congo",
ISNUMBER(SEARCH("DR Congo",S2266)),"Democratic Republic of the Congo",
ISNUMBER(SEARCH("German DR",S2266)),"DR Germany",
ISNUMBER(SEARCH("rn""&gt;United Arab Emirates",S2266)),"United Arab Emirates",
ISNUMBER(SEARCH("rn""&gt;Republic of Ireland",S2266)),"Ireland",
ISNUMBER(SEARCH("rn""&gt;Bosnia and Herzegovina",S2266)),"Bosnia and Herzegovina",
ISNUMBER(SEARCH("rn""&gt;Trinidad and Tobago",S2266)),"Trinidad and Tobago",
ISNUMBER(SEARCH("rn""&gt;Serbia and Montenegro",S2266)),"Serbia and Montenegro",
ISNUMBER(SEARCH(_xlfn.UNICHAR(65533),S2266)),"Côte d'Ivoire",
TRUE,""
)</f>
        <v/>
      </c>
      <c r="W2266" s="12" t="str">
        <f t="shared" si="169"/>
        <v>Croatia</v>
      </c>
    </row>
    <row r="2267" spans="2:23">
      <c r="B2267" s="76" t="str">
        <v>1998.0</v>
      </c>
      <c r="C2267" s="42" t="str">
        <v xml:space="preserve">11 Jul 1998 - 21:00 </v>
      </c>
      <c r="D2267" s="42" t="str">
        <v>Match for third place</v>
      </c>
      <c r="E2267" s="42" t="str">
        <v>Parc des Princes</v>
      </c>
      <c r="F2267" s="42" t="str">
        <v xml:space="preserve">Paris </v>
      </c>
      <c r="G2267" s="42" t="str">
        <v>Netherlands</v>
      </c>
      <c r="H2267" s="42" t="str">
        <v>1.0</v>
      </c>
      <c r="I2267" s="42" t="str">
        <v>2.0</v>
      </c>
      <c r="J2267" s="42" t="str">
        <v>Croatia</v>
      </c>
      <c r="K2267" s="42" t="str">
        <v xml:space="preserve"> </v>
      </c>
      <c r="L2267" s="42" t="str">
        <f t="shared" si="170"/>
        <v xml:space="preserve">1998.0|11 Jul 1998 - 21:00 |Match for third place|Parc des Princes|Paris |Netherlands|1.0|2.0|Croatia| </v>
      </c>
      <c r="M2267" s="42" t="str">
        <f>IF(COUNTIF($L$1689:L2267,L2267)&gt;1,"DOUBLON","OK")</f>
        <v>OK</v>
      </c>
      <c r="S2267" s="12" t="str">
        <v>Croatia</v>
      </c>
      <c r="T2267" s="12" t="str">
        <f t="shared" si="167"/>
        <v>OK</v>
      </c>
      <c r="U2267" s="12" t="str">
        <f t="shared" si="168"/>
        <v>-</v>
      </c>
      <c r="V2267" s="12" t="str" cm="1">
        <f t="array" ref="V2267">_xlfn.IFS(
ISNUMBER(SEARCH("USA",S2267)),"United States",
ISNUMBER(SEARCH("Republic of Ireland",S2267)),"Ireland",
ISNUMBER(SEARCH("Republic of Korea",S2267)),"South Korea",
ISNUMBER(SEARCH("Cape Verde",S2267)),"Cabo Verde",
ISNUMBER(SEARCH("Czechia",S2267)),"Czech Republic",
ISNUMBER(SEARCH("Türkiye",S2267)),"Turkey",
ISNUMBER(SEARCH("Ivory Coast",S2267)),"Côte d'Ivoire",
ISNUMBER(SEARCH("Korea Republic",S2267)),"South Korea",
ISNUMBER(SEARCH("Germany FR",S2267)),"FR Germany",
ISNUMBER(SEARCH("West Germany",S2267)),"FR Germany",
ISNUMBER(SEARCH("Germany DR",S2267)),"DR Germany",
ISNUMBER(SEARCH("Korea DPR",S2267)),"North Korea",
ISNUMBER(SEARCH("China PR",S2267)),"China",
ISNUMBER(SEARCH("IR Iran",S2267)),"Iran",
ISNUMBER(SEARCH("Congo DR",S2267)),"Democratic Republic of the Congo",
ISNUMBER(SEARCH("DR Congo",S2267)),"Democratic Republic of the Congo",
ISNUMBER(SEARCH("German DR",S2267)),"DR Germany",
ISNUMBER(SEARCH("rn""&gt;United Arab Emirates",S2267)),"United Arab Emirates",
ISNUMBER(SEARCH("rn""&gt;Republic of Ireland",S2267)),"Ireland",
ISNUMBER(SEARCH("rn""&gt;Bosnia and Herzegovina",S2267)),"Bosnia and Herzegovina",
ISNUMBER(SEARCH("rn""&gt;Trinidad and Tobago",S2267)),"Trinidad and Tobago",
ISNUMBER(SEARCH("rn""&gt;Serbia and Montenegro",S2267)),"Serbia and Montenegro",
ISNUMBER(SEARCH(_xlfn.UNICHAR(65533),S2267)),"Côte d'Ivoire",
TRUE,""
)</f>
        <v/>
      </c>
      <c r="W2267" s="12" t="str">
        <f t="shared" si="169"/>
        <v>Croatia</v>
      </c>
    </row>
    <row r="2268" spans="2:23">
      <c r="B2268" s="76" t="str">
        <v>1998.0</v>
      </c>
      <c r="C2268" s="42" t="str">
        <v xml:space="preserve">12 Jul 1998 - 21:00 </v>
      </c>
      <c r="D2268" s="42" t="str">
        <v>Final</v>
      </c>
      <c r="E2268" s="42" t="str">
        <v>Stade de France</v>
      </c>
      <c r="F2268" s="42" t="str">
        <v xml:space="preserve">Saint-Denis </v>
      </c>
      <c r="G2268" s="42" t="str">
        <v>Brazil</v>
      </c>
      <c r="H2268" s="42" t="str">
        <v>0.0</v>
      </c>
      <c r="I2268" s="42" t="str">
        <v>3.0</v>
      </c>
      <c r="J2268" s="42" t="str">
        <v>France</v>
      </c>
      <c r="K2268" s="42" t="str">
        <v xml:space="preserve"> </v>
      </c>
      <c r="L2268" s="42" t="str">
        <f t="shared" si="170"/>
        <v xml:space="preserve">1998.0|12 Jul 1998 - 21:00 |Final|Stade de France|Saint-Denis |Brazil|0.0|3.0|France| </v>
      </c>
      <c r="M2268" s="42" t="str">
        <f>IF(COUNTIF($L$1689:L2268,L2268)&gt;1,"DOUBLON","OK")</f>
        <v>OK</v>
      </c>
      <c r="S2268" s="12" t="str">
        <v>Croatia</v>
      </c>
      <c r="T2268" s="12" t="str">
        <f t="shared" si="167"/>
        <v>OK</v>
      </c>
      <c r="U2268" s="12" t="str">
        <f t="shared" si="168"/>
        <v>-</v>
      </c>
      <c r="V2268" s="12" t="str" cm="1">
        <f t="array" ref="V2268">_xlfn.IFS(
ISNUMBER(SEARCH("USA",S2268)),"United States",
ISNUMBER(SEARCH("Republic of Ireland",S2268)),"Ireland",
ISNUMBER(SEARCH("Republic of Korea",S2268)),"South Korea",
ISNUMBER(SEARCH("Cape Verde",S2268)),"Cabo Verde",
ISNUMBER(SEARCH("Czechia",S2268)),"Czech Republic",
ISNUMBER(SEARCH("Türkiye",S2268)),"Turkey",
ISNUMBER(SEARCH("Ivory Coast",S2268)),"Côte d'Ivoire",
ISNUMBER(SEARCH("Korea Republic",S2268)),"South Korea",
ISNUMBER(SEARCH("Germany FR",S2268)),"FR Germany",
ISNUMBER(SEARCH("West Germany",S2268)),"FR Germany",
ISNUMBER(SEARCH("Germany DR",S2268)),"DR Germany",
ISNUMBER(SEARCH("Korea DPR",S2268)),"North Korea",
ISNUMBER(SEARCH("China PR",S2268)),"China",
ISNUMBER(SEARCH("IR Iran",S2268)),"Iran",
ISNUMBER(SEARCH("Congo DR",S2268)),"Democratic Republic of the Congo",
ISNUMBER(SEARCH("DR Congo",S2268)),"Democratic Republic of the Congo",
ISNUMBER(SEARCH("German DR",S2268)),"DR Germany",
ISNUMBER(SEARCH("rn""&gt;United Arab Emirates",S2268)),"United Arab Emirates",
ISNUMBER(SEARCH("rn""&gt;Republic of Ireland",S2268)),"Ireland",
ISNUMBER(SEARCH("rn""&gt;Bosnia and Herzegovina",S2268)),"Bosnia and Herzegovina",
ISNUMBER(SEARCH("rn""&gt;Trinidad and Tobago",S2268)),"Trinidad and Tobago",
ISNUMBER(SEARCH("rn""&gt;Serbia and Montenegro",S2268)),"Serbia and Montenegro",
ISNUMBER(SEARCH(_xlfn.UNICHAR(65533),S2268)),"Côte d'Ivoire",
TRUE,""
)</f>
        <v/>
      </c>
      <c r="W2268" s="12" t="str">
        <f t="shared" si="169"/>
        <v>Croatia</v>
      </c>
    </row>
    <row r="2269" spans="2:23">
      <c r="B2269" s="76" t="str">
        <v>2002.0</v>
      </c>
      <c r="C2269" s="42" t="str">
        <v xml:space="preserve">31 May 2002 - 20:30 </v>
      </c>
      <c r="D2269" s="42" t="str">
        <v>Group A</v>
      </c>
      <c r="E2269" s="42" t="str">
        <v>Seoul World Cup Stadium</v>
      </c>
      <c r="F2269" s="42" t="str">
        <v xml:space="preserve">Seoul </v>
      </c>
      <c r="G2269" s="42" t="str">
        <v>France</v>
      </c>
      <c r="H2269" s="42" t="str">
        <v>0.0</v>
      </c>
      <c r="I2269" s="42" t="str">
        <v>1.0</v>
      </c>
      <c r="J2269" s="42" t="str">
        <v>Senegal</v>
      </c>
      <c r="K2269" s="42" t="str">
        <v xml:space="preserve"> </v>
      </c>
      <c r="L2269" s="42" t="str">
        <f t="shared" si="170"/>
        <v xml:space="preserve">2002.0|31 May 2002 - 20:30 |Group A|Seoul World Cup Stadium|Seoul |France|0.0|1.0|Senegal| </v>
      </c>
      <c r="M2269" s="42" t="str">
        <f>IF(COUNTIF($L$1689:L2269,L2269)&gt;1,"DOUBLON","OK")</f>
        <v>OK</v>
      </c>
      <c r="S2269" s="12" t="str">
        <v>Croatia</v>
      </c>
      <c r="T2269" s="12" t="str">
        <f t="shared" si="167"/>
        <v>OK</v>
      </c>
      <c r="U2269" s="12" t="str">
        <f t="shared" si="168"/>
        <v>-</v>
      </c>
      <c r="V2269" s="12" t="str" cm="1">
        <f t="array" ref="V2269">_xlfn.IFS(
ISNUMBER(SEARCH("USA",S2269)),"United States",
ISNUMBER(SEARCH("Republic of Ireland",S2269)),"Ireland",
ISNUMBER(SEARCH("Republic of Korea",S2269)),"South Korea",
ISNUMBER(SEARCH("Cape Verde",S2269)),"Cabo Verde",
ISNUMBER(SEARCH("Czechia",S2269)),"Czech Republic",
ISNUMBER(SEARCH("Türkiye",S2269)),"Turkey",
ISNUMBER(SEARCH("Ivory Coast",S2269)),"Côte d'Ivoire",
ISNUMBER(SEARCH("Korea Republic",S2269)),"South Korea",
ISNUMBER(SEARCH("Germany FR",S2269)),"FR Germany",
ISNUMBER(SEARCH("West Germany",S2269)),"FR Germany",
ISNUMBER(SEARCH("Germany DR",S2269)),"DR Germany",
ISNUMBER(SEARCH("Korea DPR",S2269)),"North Korea",
ISNUMBER(SEARCH("China PR",S2269)),"China",
ISNUMBER(SEARCH("IR Iran",S2269)),"Iran",
ISNUMBER(SEARCH("Congo DR",S2269)),"Democratic Republic of the Congo",
ISNUMBER(SEARCH("DR Congo",S2269)),"Democratic Republic of the Congo",
ISNUMBER(SEARCH("German DR",S2269)),"DR Germany",
ISNUMBER(SEARCH("rn""&gt;United Arab Emirates",S2269)),"United Arab Emirates",
ISNUMBER(SEARCH("rn""&gt;Republic of Ireland",S2269)),"Ireland",
ISNUMBER(SEARCH("rn""&gt;Bosnia and Herzegovina",S2269)),"Bosnia and Herzegovina",
ISNUMBER(SEARCH("rn""&gt;Trinidad and Tobago",S2269)),"Trinidad and Tobago",
ISNUMBER(SEARCH("rn""&gt;Serbia and Montenegro",S2269)),"Serbia and Montenegro",
ISNUMBER(SEARCH(_xlfn.UNICHAR(65533),S2269)),"Côte d'Ivoire",
TRUE,""
)</f>
        <v/>
      </c>
      <c r="W2269" s="12" t="str">
        <f t="shared" si="169"/>
        <v>Croatia</v>
      </c>
    </row>
    <row r="2270" spans="2:23">
      <c r="B2270" s="76" t="str">
        <v>2002.0</v>
      </c>
      <c r="C2270" s="42" t="str">
        <v xml:space="preserve">01 Jun 2002 - 18:00 </v>
      </c>
      <c r="D2270" s="42" t="str">
        <v>Group A</v>
      </c>
      <c r="E2270" s="42" t="str">
        <v>Munsu Football Stadium</v>
      </c>
      <c r="F2270" s="42" t="str">
        <v xml:space="preserve">Ulsan </v>
      </c>
      <c r="G2270" s="42" t="str">
        <v>Uruguay</v>
      </c>
      <c r="H2270" s="42" t="str">
        <v>1.0</v>
      </c>
      <c r="I2270" s="42" t="str">
        <v>2.0</v>
      </c>
      <c r="J2270" s="42" t="str">
        <v>Denmark</v>
      </c>
      <c r="K2270" s="42" t="str">
        <v xml:space="preserve"> </v>
      </c>
      <c r="L2270" s="42" t="str">
        <f t="shared" si="170"/>
        <v xml:space="preserve">2002.0|01 Jun 2002 - 18:00 |Group A|Munsu Football Stadium|Ulsan |Uruguay|1.0|2.0|Denmark| </v>
      </c>
      <c r="M2270" s="42" t="str">
        <f>IF(COUNTIF($L$1689:L2270,L2270)&gt;1,"DOUBLON","OK")</f>
        <v>OK</v>
      </c>
      <c r="S2270" s="12" t="str">
        <v>Croatia</v>
      </c>
      <c r="T2270" s="12" t="str">
        <f t="shared" si="167"/>
        <v>OK</v>
      </c>
      <c r="U2270" s="12" t="str">
        <f t="shared" si="168"/>
        <v>-</v>
      </c>
      <c r="V2270" s="12" t="str" cm="1">
        <f t="array" ref="V2270">_xlfn.IFS(
ISNUMBER(SEARCH("USA",S2270)),"United States",
ISNUMBER(SEARCH("Republic of Ireland",S2270)),"Ireland",
ISNUMBER(SEARCH("Republic of Korea",S2270)),"South Korea",
ISNUMBER(SEARCH("Cape Verde",S2270)),"Cabo Verde",
ISNUMBER(SEARCH("Czechia",S2270)),"Czech Republic",
ISNUMBER(SEARCH("Türkiye",S2270)),"Turkey",
ISNUMBER(SEARCH("Ivory Coast",S2270)),"Côte d'Ivoire",
ISNUMBER(SEARCH("Korea Republic",S2270)),"South Korea",
ISNUMBER(SEARCH("Germany FR",S2270)),"FR Germany",
ISNUMBER(SEARCH("West Germany",S2270)),"FR Germany",
ISNUMBER(SEARCH("Germany DR",S2270)),"DR Germany",
ISNUMBER(SEARCH("Korea DPR",S2270)),"North Korea",
ISNUMBER(SEARCH("China PR",S2270)),"China",
ISNUMBER(SEARCH("IR Iran",S2270)),"Iran",
ISNUMBER(SEARCH("Congo DR",S2270)),"Democratic Republic of the Congo",
ISNUMBER(SEARCH("DR Congo",S2270)),"Democratic Republic of the Congo",
ISNUMBER(SEARCH("German DR",S2270)),"DR Germany",
ISNUMBER(SEARCH("rn""&gt;United Arab Emirates",S2270)),"United Arab Emirates",
ISNUMBER(SEARCH("rn""&gt;Republic of Ireland",S2270)),"Ireland",
ISNUMBER(SEARCH("rn""&gt;Bosnia and Herzegovina",S2270)),"Bosnia and Herzegovina",
ISNUMBER(SEARCH("rn""&gt;Trinidad and Tobago",S2270)),"Trinidad and Tobago",
ISNUMBER(SEARCH("rn""&gt;Serbia and Montenegro",S2270)),"Serbia and Montenegro",
ISNUMBER(SEARCH(_xlfn.UNICHAR(65533),S2270)),"Côte d'Ivoire",
TRUE,""
)</f>
        <v/>
      </c>
      <c r="W2270" s="12" t="str">
        <f t="shared" si="169"/>
        <v>Croatia</v>
      </c>
    </row>
    <row r="2271" spans="2:23">
      <c r="B2271" s="76" t="str">
        <v>2002.0</v>
      </c>
      <c r="C2271" s="42" t="str">
        <v xml:space="preserve">01 Jun 2002 - 15:30 </v>
      </c>
      <c r="D2271" s="42" t="str">
        <v>Group E</v>
      </c>
      <c r="E2271" s="42" t="str">
        <v>Niigata Stadium Big Swan</v>
      </c>
      <c r="F2271" s="42" t="str">
        <v xml:space="preserve">Niigata </v>
      </c>
      <c r="G2271" s="42" t="str">
        <v>rn"&gt;Republic of Ireland</v>
      </c>
      <c r="H2271" s="42" t="str">
        <v>1.0</v>
      </c>
      <c r="I2271" s="42" t="str">
        <v>1.0</v>
      </c>
      <c r="J2271" s="42" t="str">
        <v>Cameroon</v>
      </c>
      <c r="K2271" s="42" t="str">
        <v xml:space="preserve"> </v>
      </c>
      <c r="L2271" s="42" t="str">
        <f t="shared" si="170"/>
        <v xml:space="preserve">2002.0|01 Jun 2002 - 15:30 |Group E|Niigata Stadium Big Swan|Niigata |rn"&gt;Republic of Ireland|1.0|1.0|Cameroon| </v>
      </c>
      <c r="M2271" s="42" t="str">
        <f>IF(COUNTIF($L$1689:L2271,L2271)&gt;1,"DOUBLON","OK")</f>
        <v>OK</v>
      </c>
      <c r="S2271" s="12" t="str">
        <v>Croatia</v>
      </c>
      <c r="T2271" s="12" t="str">
        <f t="shared" si="167"/>
        <v>OK</v>
      </c>
      <c r="U2271" s="12" t="str">
        <f t="shared" si="168"/>
        <v>-</v>
      </c>
      <c r="V2271" s="12" t="str" cm="1">
        <f t="array" ref="V2271">_xlfn.IFS(
ISNUMBER(SEARCH("USA",S2271)),"United States",
ISNUMBER(SEARCH("Republic of Ireland",S2271)),"Ireland",
ISNUMBER(SEARCH("Republic of Korea",S2271)),"South Korea",
ISNUMBER(SEARCH("Cape Verde",S2271)),"Cabo Verde",
ISNUMBER(SEARCH("Czechia",S2271)),"Czech Republic",
ISNUMBER(SEARCH("Türkiye",S2271)),"Turkey",
ISNUMBER(SEARCH("Ivory Coast",S2271)),"Côte d'Ivoire",
ISNUMBER(SEARCH("Korea Republic",S2271)),"South Korea",
ISNUMBER(SEARCH("Germany FR",S2271)),"FR Germany",
ISNUMBER(SEARCH("West Germany",S2271)),"FR Germany",
ISNUMBER(SEARCH("Germany DR",S2271)),"DR Germany",
ISNUMBER(SEARCH("Korea DPR",S2271)),"North Korea",
ISNUMBER(SEARCH("China PR",S2271)),"China",
ISNUMBER(SEARCH("IR Iran",S2271)),"Iran",
ISNUMBER(SEARCH("Congo DR",S2271)),"Democratic Republic of the Congo",
ISNUMBER(SEARCH("DR Congo",S2271)),"Democratic Republic of the Congo",
ISNUMBER(SEARCH("German DR",S2271)),"DR Germany",
ISNUMBER(SEARCH("rn""&gt;United Arab Emirates",S2271)),"United Arab Emirates",
ISNUMBER(SEARCH("rn""&gt;Republic of Ireland",S2271)),"Ireland",
ISNUMBER(SEARCH("rn""&gt;Bosnia and Herzegovina",S2271)),"Bosnia and Herzegovina",
ISNUMBER(SEARCH("rn""&gt;Trinidad and Tobago",S2271)),"Trinidad and Tobago",
ISNUMBER(SEARCH("rn""&gt;Serbia and Montenegro",S2271)),"Serbia and Montenegro",
ISNUMBER(SEARCH(_xlfn.UNICHAR(65533),S2271)),"Côte d'Ivoire",
TRUE,""
)</f>
        <v/>
      </c>
      <c r="W2271" s="12" t="str">
        <f t="shared" si="169"/>
        <v>Croatia</v>
      </c>
    </row>
    <row r="2272" spans="2:23">
      <c r="B2272" s="76" t="str">
        <v>2002.0</v>
      </c>
      <c r="C2272" s="42" t="str">
        <v xml:space="preserve">01 Jun 2002 - 20:30 </v>
      </c>
      <c r="D2272" s="42" t="str">
        <v>Group E</v>
      </c>
      <c r="E2272" s="42" t="str">
        <v>Sapporo Dome</v>
      </c>
      <c r="F2272" s="42" t="str">
        <v xml:space="preserve">Sapporo </v>
      </c>
      <c r="G2272" s="42" t="str">
        <v>Germany</v>
      </c>
      <c r="H2272" s="42" t="str">
        <v>8.0</v>
      </c>
      <c r="I2272" s="42" t="str">
        <v>0.0</v>
      </c>
      <c r="J2272" s="42" t="str">
        <v>Saudi Arabia</v>
      </c>
      <c r="K2272" s="42" t="str">
        <v xml:space="preserve"> </v>
      </c>
      <c r="L2272" s="42" t="str">
        <f t="shared" si="170"/>
        <v xml:space="preserve">2002.0|01 Jun 2002 - 20:30 |Group E|Sapporo Dome|Sapporo |Germany|8.0|0.0|Saudi Arabia| </v>
      </c>
      <c r="M2272" s="42" t="str">
        <f>IF(COUNTIF($L$1689:L2272,L2272)&gt;1,"DOUBLON","OK")</f>
        <v>OK</v>
      </c>
      <c r="S2272" s="12" t="str">
        <v>Croatia</v>
      </c>
      <c r="T2272" s="12" t="str">
        <f t="shared" si="167"/>
        <v>OK</v>
      </c>
      <c r="U2272" s="12" t="str">
        <f t="shared" si="168"/>
        <v>-</v>
      </c>
      <c r="V2272" s="12" t="str" cm="1">
        <f t="array" ref="V2272">_xlfn.IFS(
ISNUMBER(SEARCH("USA",S2272)),"United States",
ISNUMBER(SEARCH("Republic of Ireland",S2272)),"Ireland",
ISNUMBER(SEARCH("Republic of Korea",S2272)),"South Korea",
ISNUMBER(SEARCH("Cape Verde",S2272)),"Cabo Verde",
ISNUMBER(SEARCH("Czechia",S2272)),"Czech Republic",
ISNUMBER(SEARCH("Türkiye",S2272)),"Turkey",
ISNUMBER(SEARCH("Ivory Coast",S2272)),"Côte d'Ivoire",
ISNUMBER(SEARCH("Korea Republic",S2272)),"South Korea",
ISNUMBER(SEARCH("Germany FR",S2272)),"FR Germany",
ISNUMBER(SEARCH("West Germany",S2272)),"FR Germany",
ISNUMBER(SEARCH("Germany DR",S2272)),"DR Germany",
ISNUMBER(SEARCH("Korea DPR",S2272)),"North Korea",
ISNUMBER(SEARCH("China PR",S2272)),"China",
ISNUMBER(SEARCH("IR Iran",S2272)),"Iran",
ISNUMBER(SEARCH("Congo DR",S2272)),"Democratic Republic of the Congo",
ISNUMBER(SEARCH("DR Congo",S2272)),"Democratic Republic of the Congo",
ISNUMBER(SEARCH("German DR",S2272)),"DR Germany",
ISNUMBER(SEARCH("rn""&gt;United Arab Emirates",S2272)),"United Arab Emirates",
ISNUMBER(SEARCH("rn""&gt;Republic of Ireland",S2272)),"Ireland",
ISNUMBER(SEARCH("rn""&gt;Bosnia and Herzegovina",S2272)),"Bosnia and Herzegovina",
ISNUMBER(SEARCH("rn""&gt;Trinidad and Tobago",S2272)),"Trinidad and Tobago",
ISNUMBER(SEARCH("rn""&gt;Serbia and Montenegro",S2272)),"Serbia and Montenegro",
ISNUMBER(SEARCH(_xlfn.UNICHAR(65533),S2272)),"Côte d'Ivoire",
TRUE,""
)</f>
        <v/>
      </c>
      <c r="W2272" s="12" t="str">
        <f t="shared" si="169"/>
        <v>Croatia</v>
      </c>
    </row>
    <row r="2273" spans="2:23">
      <c r="B2273" s="76" t="str">
        <v>2002.0</v>
      </c>
      <c r="C2273" s="42" t="str">
        <v xml:space="preserve">02 Jun 2002 - 14:30 </v>
      </c>
      <c r="D2273" s="42" t="str">
        <v>Group F</v>
      </c>
      <c r="E2273" s="42" t="str">
        <v>Kashima Stadium</v>
      </c>
      <c r="F2273" s="42" t="str">
        <v xml:space="preserve">Ibaraki </v>
      </c>
      <c r="G2273" s="42" t="str">
        <v>Argentina</v>
      </c>
      <c r="H2273" s="42" t="str">
        <v>1.0</v>
      </c>
      <c r="I2273" s="42" t="str">
        <v>0.0</v>
      </c>
      <c r="J2273" s="42" t="str">
        <v>Nigeria</v>
      </c>
      <c r="K2273" s="42" t="str">
        <v xml:space="preserve"> </v>
      </c>
      <c r="L2273" s="42" t="str">
        <f t="shared" si="170"/>
        <v xml:space="preserve">2002.0|02 Jun 2002 - 14:30 |Group F|Kashima Stadium|Ibaraki |Argentina|1.0|0.0|Nigeria| </v>
      </c>
      <c r="M2273" s="42" t="str">
        <f>IF(COUNTIF($L$1689:L2273,L2273)&gt;1,"DOUBLON","OK")</f>
        <v>OK</v>
      </c>
      <c r="S2273" s="12" t="str">
        <v>Croatia</v>
      </c>
      <c r="T2273" s="12" t="str">
        <f t="shared" ref="T2273:T2336" si="171">IF(COUNTIF(R$13:R$250,S2273)=1,"OK","ERREUR")</f>
        <v>OK</v>
      </c>
      <c r="U2273" s="12" t="str">
        <f t="shared" si="168"/>
        <v>-</v>
      </c>
      <c r="V2273" s="12" t="str" cm="1">
        <f t="array" ref="V2273">_xlfn.IFS(
ISNUMBER(SEARCH("USA",S2273)),"United States",
ISNUMBER(SEARCH("Republic of Ireland",S2273)),"Ireland",
ISNUMBER(SEARCH("Republic of Korea",S2273)),"South Korea",
ISNUMBER(SEARCH("Cape Verde",S2273)),"Cabo Verde",
ISNUMBER(SEARCH("Czechia",S2273)),"Czech Republic",
ISNUMBER(SEARCH("Türkiye",S2273)),"Turkey",
ISNUMBER(SEARCH("Ivory Coast",S2273)),"Côte d'Ivoire",
ISNUMBER(SEARCH("Korea Republic",S2273)),"South Korea",
ISNUMBER(SEARCH("Germany FR",S2273)),"FR Germany",
ISNUMBER(SEARCH("West Germany",S2273)),"FR Germany",
ISNUMBER(SEARCH("Germany DR",S2273)),"DR Germany",
ISNUMBER(SEARCH("Korea DPR",S2273)),"North Korea",
ISNUMBER(SEARCH("China PR",S2273)),"China",
ISNUMBER(SEARCH("IR Iran",S2273)),"Iran",
ISNUMBER(SEARCH("Congo DR",S2273)),"Democratic Republic of the Congo",
ISNUMBER(SEARCH("DR Congo",S2273)),"Democratic Republic of the Congo",
ISNUMBER(SEARCH("German DR",S2273)),"DR Germany",
ISNUMBER(SEARCH("rn""&gt;United Arab Emirates",S2273)),"United Arab Emirates",
ISNUMBER(SEARCH("rn""&gt;Republic of Ireland",S2273)),"Ireland",
ISNUMBER(SEARCH("rn""&gt;Bosnia and Herzegovina",S2273)),"Bosnia and Herzegovina",
ISNUMBER(SEARCH("rn""&gt;Trinidad and Tobago",S2273)),"Trinidad and Tobago",
ISNUMBER(SEARCH("rn""&gt;Serbia and Montenegro",S2273)),"Serbia and Montenegro",
ISNUMBER(SEARCH(_xlfn.UNICHAR(65533),S2273)),"Côte d'Ivoire",
TRUE,""
)</f>
        <v/>
      </c>
      <c r="W2273" s="12" t="str">
        <f t="shared" si="169"/>
        <v>Croatia</v>
      </c>
    </row>
    <row r="2274" spans="2:23">
      <c r="B2274" s="76" t="str">
        <v>2002.0</v>
      </c>
      <c r="C2274" s="42" t="str">
        <v xml:space="preserve">02 Jun 2002 - 16:30 </v>
      </c>
      <c r="D2274" s="42" t="str">
        <v>Group B</v>
      </c>
      <c r="E2274" s="42" t="str">
        <v>Busan Asiad Main Stadium</v>
      </c>
      <c r="F2274" s="42" t="str">
        <v xml:space="preserve">Busan </v>
      </c>
      <c r="G2274" s="42" t="str">
        <v>Paraguay</v>
      </c>
      <c r="H2274" s="42" t="str">
        <v>2.0</v>
      </c>
      <c r="I2274" s="42" t="str">
        <v>2.0</v>
      </c>
      <c r="J2274" s="42" t="str">
        <v>South Africa</v>
      </c>
      <c r="K2274" s="42" t="str">
        <v xml:space="preserve"> </v>
      </c>
      <c r="L2274" s="42" t="str">
        <f t="shared" si="170"/>
        <v xml:space="preserve">2002.0|02 Jun 2002 - 16:30 |Group B|Busan Asiad Main Stadium|Busan |Paraguay|2.0|2.0|South Africa| </v>
      </c>
      <c r="M2274" s="42" t="str">
        <f>IF(COUNTIF($L$1689:L2274,L2274)&gt;1,"DOUBLON","OK")</f>
        <v>OK</v>
      </c>
      <c r="S2274" s="12" t="str">
        <v>Croatia</v>
      </c>
      <c r="T2274" s="12" t="str">
        <f t="shared" si="171"/>
        <v>OK</v>
      </c>
      <c r="U2274" s="12" t="str">
        <f t="shared" ref="U2274:U2337" si="172">IF(OR(S2274="Scotland",S2274="England",S2274="Wales",S2274="Yugoslavia",S2274="Czechoslovakia",S2274="Northern Ireland",S2274="Soviet Union",S2274="Zaire",S2274="Dutch East Indies"),"AUCUNE",IF(OR(S2274="Cape Verde",S2274="USA",S2274="DR Congo",S2274="Republic of Korea",S2274="Germany FR",S2274="Germany DR",S2274="Czechia",S2274="Ivory Coast",S2274="Korea DPR",S2274="China PR",S2274="IR Iran",S2274="Türkiye",S2274="Congo DR",S2274="German DR",S2274="West Germany",S2274="Republic of Ireland",ISNUMBER(SEARCH("rn""&gt;United Arab Emirates",S2274)),ISNUMBER(SEARCH("rn""&gt;Republic of Ireland",S2274)),ISNUMBER(SEARCH("rn""&gt;Bosnia and Herzegovina",S2274)),ISNUMBER(SEARCH("rn""&gt;Trinidad and Tobago",S2274)),ISNUMBER(SEARCH("rn""&gt;Serbia and Montenegro",S2274)),ISNUMBER(SEARCH(_xlfn.UNICHAR(65533),S2274))),"RENOMMER","-"))</f>
        <v>-</v>
      </c>
      <c r="V2274" s="12" t="str" cm="1">
        <f t="array" ref="V2274">_xlfn.IFS(
ISNUMBER(SEARCH("USA",S2274)),"United States",
ISNUMBER(SEARCH("Republic of Ireland",S2274)),"Ireland",
ISNUMBER(SEARCH("Republic of Korea",S2274)),"South Korea",
ISNUMBER(SEARCH("Cape Verde",S2274)),"Cabo Verde",
ISNUMBER(SEARCH("Czechia",S2274)),"Czech Republic",
ISNUMBER(SEARCH("Türkiye",S2274)),"Turkey",
ISNUMBER(SEARCH("Ivory Coast",S2274)),"Côte d'Ivoire",
ISNUMBER(SEARCH("Korea Republic",S2274)),"South Korea",
ISNUMBER(SEARCH("Germany FR",S2274)),"FR Germany",
ISNUMBER(SEARCH("West Germany",S2274)),"FR Germany",
ISNUMBER(SEARCH("Germany DR",S2274)),"DR Germany",
ISNUMBER(SEARCH("Korea DPR",S2274)),"North Korea",
ISNUMBER(SEARCH("China PR",S2274)),"China",
ISNUMBER(SEARCH("IR Iran",S2274)),"Iran",
ISNUMBER(SEARCH("Congo DR",S2274)),"Democratic Republic of the Congo",
ISNUMBER(SEARCH("DR Congo",S2274)),"Democratic Republic of the Congo",
ISNUMBER(SEARCH("German DR",S2274)),"DR Germany",
ISNUMBER(SEARCH("rn""&gt;United Arab Emirates",S2274)),"United Arab Emirates",
ISNUMBER(SEARCH("rn""&gt;Republic of Ireland",S2274)),"Ireland",
ISNUMBER(SEARCH("rn""&gt;Bosnia and Herzegovina",S2274)),"Bosnia and Herzegovina",
ISNUMBER(SEARCH("rn""&gt;Trinidad and Tobago",S2274)),"Trinidad and Tobago",
ISNUMBER(SEARCH("rn""&gt;Serbia and Montenegro",S2274)),"Serbia and Montenegro",
ISNUMBER(SEARCH(_xlfn.UNICHAR(65533),S2274)),"Côte d'Ivoire",
TRUE,""
)</f>
        <v/>
      </c>
      <c r="W2274" s="12" t="str">
        <f t="shared" ref="W2274:W2337" si="173">IF(V2274="",S2274,V2274)</f>
        <v>Croatia</v>
      </c>
    </row>
    <row r="2275" spans="2:23">
      <c r="B2275" s="76" t="str">
        <v>2002.0</v>
      </c>
      <c r="C2275" s="42" t="str">
        <v xml:space="preserve">02 Jun 2002 - 18:30 </v>
      </c>
      <c r="D2275" s="42" t="str">
        <v>Group F</v>
      </c>
      <c r="E2275" s="42" t="str">
        <v>Saitama Stadium 2002</v>
      </c>
      <c r="F2275" s="42" t="str">
        <v xml:space="preserve">Saitama </v>
      </c>
      <c r="G2275" s="42" t="str">
        <v>England</v>
      </c>
      <c r="H2275" s="42" t="str">
        <v>1.0</v>
      </c>
      <c r="I2275" s="42" t="str">
        <v>1.0</v>
      </c>
      <c r="J2275" s="42" t="str">
        <v>Sweden</v>
      </c>
      <c r="K2275" s="42" t="str">
        <v xml:space="preserve"> </v>
      </c>
      <c r="L2275" s="42" t="str">
        <f t="shared" si="170"/>
        <v xml:space="preserve">2002.0|02 Jun 2002 - 18:30 |Group F|Saitama Stadium 2002|Saitama |England|1.0|1.0|Sweden| </v>
      </c>
      <c r="M2275" s="42" t="str">
        <f>IF(COUNTIF($L$1689:L2275,L2275)&gt;1,"DOUBLON","OK")</f>
        <v>OK</v>
      </c>
      <c r="S2275" s="12" t="str">
        <v>Croatia</v>
      </c>
      <c r="T2275" s="12" t="str">
        <f t="shared" si="171"/>
        <v>OK</v>
      </c>
      <c r="U2275" s="12" t="str">
        <f t="shared" si="172"/>
        <v>-</v>
      </c>
      <c r="V2275" s="12" t="str" cm="1">
        <f t="array" ref="V2275">_xlfn.IFS(
ISNUMBER(SEARCH("USA",S2275)),"United States",
ISNUMBER(SEARCH("Republic of Ireland",S2275)),"Ireland",
ISNUMBER(SEARCH("Republic of Korea",S2275)),"South Korea",
ISNUMBER(SEARCH("Cape Verde",S2275)),"Cabo Verde",
ISNUMBER(SEARCH("Czechia",S2275)),"Czech Republic",
ISNUMBER(SEARCH("Türkiye",S2275)),"Turkey",
ISNUMBER(SEARCH("Ivory Coast",S2275)),"Côte d'Ivoire",
ISNUMBER(SEARCH("Korea Republic",S2275)),"South Korea",
ISNUMBER(SEARCH("Germany FR",S2275)),"FR Germany",
ISNUMBER(SEARCH("West Germany",S2275)),"FR Germany",
ISNUMBER(SEARCH("Germany DR",S2275)),"DR Germany",
ISNUMBER(SEARCH("Korea DPR",S2275)),"North Korea",
ISNUMBER(SEARCH("China PR",S2275)),"China",
ISNUMBER(SEARCH("IR Iran",S2275)),"Iran",
ISNUMBER(SEARCH("Congo DR",S2275)),"Democratic Republic of the Congo",
ISNUMBER(SEARCH("DR Congo",S2275)),"Democratic Republic of the Congo",
ISNUMBER(SEARCH("German DR",S2275)),"DR Germany",
ISNUMBER(SEARCH("rn""&gt;United Arab Emirates",S2275)),"United Arab Emirates",
ISNUMBER(SEARCH("rn""&gt;Republic of Ireland",S2275)),"Ireland",
ISNUMBER(SEARCH("rn""&gt;Bosnia and Herzegovina",S2275)),"Bosnia and Herzegovina",
ISNUMBER(SEARCH("rn""&gt;Trinidad and Tobago",S2275)),"Trinidad and Tobago",
ISNUMBER(SEARCH("rn""&gt;Serbia and Montenegro",S2275)),"Serbia and Montenegro",
ISNUMBER(SEARCH(_xlfn.UNICHAR(65533),S2275)),"Côte d'Ivoire",
TRUE,""
)</f>
        <v/>
      </c>
      <c r="W2275" s="12" t="str">
        <f t="shared" si="173"/>
        <v>Croatia</v>
      </c>
    </row>
    <row r="2276" spans="2:23">
      <c r="B2276" s="76" t="str">
        <v>2002.0</v>
      </c>
      <c r="C2276" s="42" t="str">
        <v xml:space="preserve">02 Jun 2002 - 20:30 </v>
      </c>
      <c r="D2276" s="42" t="str">
        <v>Group B</v>
      </c>
      <c r="E2276" s="42" t="str">
        <v>Gwangju World Cup Stadium</v>
      </c>
      <c r="F2276" s="42" t="str">
        <v xml:space="preserve">Gwangju </v>
      </c>
      <c r="G2276" s="42" t="str">
        <v>Spain</v>
      </c>
      <c r="H2276" s="42" t="str">
        <v>3.0</v>
      </c>
      <c r="I2276" s="42" t="str">
        <v>1.0</v>
      </c>
      <c r="J2276" s="42" t="str">
        <v>Slovenia</v>
      </c>
      <c r="K2276" s="42" t="str">
        <v xml:space="preserve"> </v>
      </c>
      <c r="L2276" s="42" t="str">
        <f t="shared" si="170"/>
        <v xml:space="preserve">2002.0|02 Jun 2002 - 20:30 |Group B|Gwangju World Cup Stadium|Gwangju |Spain|3.0|1.0|Slovenia| </v>
      </c>
      <c r="M2276" s="42" t="str">
        <f>IF(COUNTIF($L$1689:L2276,L2276)&gt;1,"DOUBLON","OK")</f>
        <v>OK</v>
      </c>
      <c r="S2276" s="12" t="str">
        <v>Croatia</v>
      </c>
      <c r="T2276" s="12" t="str">
        <f t="shared" si="171"/>
        <v>OK</v>
      </c>
      <c r="U2276" s="12" t="str">
        <f t="shared" si="172"/>
        <v>-</v>
      </c>
      <c r="V2276" s="12" t="str" cm="1">
        <f t="array" ref="V2276">_xlfn.IFS(
ISNUMBER(SEARCH("USA",S2276)),"United States",
ISNUMBER(SEARCH("Republic of Ireland",S2276)),"Ireland",
ISNUMBER(SEARCH("Republic of Korea",S2276)),"South Korea",
ISNUMBER(SEARCH("Cape Verde",S2276)),"Cabo Verde",
ISNUMBER(SEARCH("Czechia",S2276)),"Czech Republic",
ISNUMBER(SEARCH("Türkiye",S2276)),"Turkey",
ISNUMBER(SEARCH("Ivory Coast",S2276)),"Côte d'Ivoire",
ISNUMBER(SEARCH("Korea Republic",S2276)),"South Korea",
ISNUMBER(SEARCH("Germany FR",S2276)),"FR Germany",
ISNUMBER(SEARCH("West Germany",S2276)),"FR Germany",
ISNUMBER(SEARCH("Germany DR",S2276)),"DR Germany",
ISNUMBER(SEARCH("Korea DPR",S2276)),"North Korea",
ISNUMBER(SEARCH("China PR",S2276)),"China",
ISNUMBER(SEARCH("IR Iran",S2276)),"Iran",
ISNUMBER(SEARCH("Congo DR",S2276)),"Democratic Republic of the Congo",
ISNUMBER(SEARCH("DR Congo",S2276)),"Democratic Republic of the Congo",
ISNUMBER(SEARCH("German DR",S2276)),"DR Germany",
ISNUMBER(SEARCH("rn""&gt;United Arab Emirates",S2276)),"United Arab Emirates",
ISNUMBER(SEARCH("rn""&gt;Republic of Ireland",S2276)),"Ireland",
ISNUMBER(SEARCH("rn""&gt;Bosnia and Herzegovina",S2276)),"Bosnia and Herzegovina",
ISNUMBER(SEARCH("rn""&gt;Trinidad and Tobago",S2276)),"Trinidad and Tobago",
ISNUMBER(SEARCH("rn""&gt;Serbia and Montenegro",S2276)),"Serbia and Montenegro",
ISNUMBER(SEARCH(_xlfn.UNICHAR(65533),S2276)),"Côte d'Ivoire",
TRUE,""
)</f>
        <v/>
      </c>
      <c r="W2276" s="12" t="str">
        <f t="shared" si="173"/>
        <v>Croatia</v>
      </c>
    </row>
    <row r="2277" spans="2:23">
      <c r="B2277" s="76" t="str">
        <v>2002.0</v>
      </c>
      <c r="C2277" s="42" t="str">
        <v xml:space="preserve">03 June 2002 - 18:00 </v>
      </c>
      <c r="D2277" s="42" t="str">
        <v>Group C</v>
      </c>
      <c r="E2277" s="42" t="str">
        <v>Munsu Football Stadium</v>
      </c>
      <c r="F2277" s="42" t="str">
        <v xml:space="preserve">Ulsan </v>
      </c>
      <c r="G2277" s="42" t="str">
        <v>Brazil</v>
      </c>
      <c r="H2277" s="42" t="str">
        <v>2.0</v>
      </c>
      <c r="I2277" s="42" t="str">
        <v>1.0</v>
      </c>
      <c r="J2277" s="42" t="str">
        <v>Turkey</v>
      </c>
      <c r="K2277" s="42" t="str">
        <v xml:space="preserve"> </v>
      </c>
      <c r="L2277" s="42" t="str">
        <f t="shared" si="170"/>
        <v xml:space="preserve">2002.0|03 June 2002 - 18:00 |Group C|Munsu Football Stadium|Ulsan |Brazil|2.0|1.0|Turkey| </v>
      </c>
      <c r="M2277" s="42" t="str">
        <f>IF(COUNTIF($L$1689:L2277,L2277)&gt;1,"DOUBLON","OK")</f>
        <v>OK</v>
      </c>
      <c r="S2277" s="12" t="str">
        <v>Croatia</v>
      </c>
      <c r="T2277" s="12" t="str">
        <f t="shared" si="171"/>
        <v>OK</v>
      </c>
      <c r="U2277" s="12" t="str">
        <f t="shared" si="172"/>
        <v>-</v>
      </c>
      <c r="V2277" s="12" t="str" cm="1">
        <f t="array" ref="V2277">_xlfn.IFS(
ISNUMBER(SEARCH("USA",S2277)),"United States",
ISNUMBER(SEARCH("Republic of Ireland",S2277)),"Ireland",
ISNUMBER(SEARCH("Republic of Korea",S2277)),"South Korea",
ISNUMBER(SEARCH("Cape Verde",S2277)),"Cabo Verde",
ISNUMBER(SEARCH("Czechia",S2277)),"Czech Republic",
ISNUMBER(SEARCH("Türkiye",S2277)),"Turkey",
ISNUMBER(SEARCH("Ivory Coast",S2277)),"Côte d'Ivoire",
ISNUMBER(SEARCH("Korea Republic",S2277)),"South Korea",
ISNUMBER(SEARCH("Germany FR",S2277)),"FR Germany",
ISNUMBER(SEARCH("West Germany",S2277)),"FR Germany",
ISNUMBER(SEARCH("Germany DR",S2277)),"DR Germany",
ISNUMBER(SEARCH("Korea DPR",S2277)),"North Korea",
ISNUMBER(SEARCH("China PR",S2277)),"China",
ISNUMBER(SEARCH("IR Iran",S2277)),"Iran",
ISNUMBER(SEARCH("Congo DR",S2277)),"Democratic Republic of the Congo",
ISNUMBER(SEARCH("DR Congo",S2277)),"Democratic Republic of the Congo",
ISNUMBER(SEARCH("German DR",S2277)),"DR Germany",
ISNUMBER(SEARCH("rn""&gt;United Arab Emirates",S2277)),"United Arab Emirates",
ISNUMBER(SEARCH("rn""&gt;Republic of Ireland",S2277)),"Ireland",
ISNUMBER(SEARCH("rn""&gt;Bosnia and Herzegovina",S2277)),"Bosnia and Herzegovina",
ISNUMBER(SEARCH("rn""&gt;Trinidad and Tobago",S2277)),"Trinidad and Tobago",
ISNUMBER(SEARCH("rn""&gt;Serbia and Montenegro",S2277)),"Serbia and Montenegro",
ISNUMBER(SEARCH(_xlfn.UNICHAR(65533),S2277)),"Côte d'Ivoire",
TRUE,""
)</f>
        <v/>
      </c>
      <c r="W2277" s="12" t="str">
        <f t="shared" si="173"/>
        <v>Croatia</v>
      </c>
    </row>
    <row r="2278" spans="2:23">
      <c r="B2278" s="76" t="str">
        <v>2002.0</v>
      </c>
      <c r="C2278" s="42" t="str">
        <v xml:space="preserve">03 Jun 2002 - 20:30 </v>
      </c>
      <c r="D2278" s="42" t="str">
        <v>Group G</v>
      </c>
      <c r="E2278" s="42" t="str">
        <v>Sapporo Dome</v>
      </c>
      <c r="F2278" s="42" t="str">
        <v xml:space="preserve">Sapporo </v>
      </c>
      <c r="G2278" s="42" t="str">
        <v>Italy</v>
      </c>
      <c r="H2278" s="42" t="str">
        <v>2.0</v>
      </c>
      <c r="I2278" s="42" t="str">
        <v>0.0</v>
      </c>
      <c r="J2278" s="42" t="str">
        <v>Ecuador</v>
      </c>
      <c r="K2278" s="42" t="str">
        <v xml:space="preserve"> </v>
      </c>
      <c r="L2278" s="42" t="str">
        <f t="shared" si="170"/>
        <v xml:space="preserve">2002.0|03 Jun 2002 - 20:30 |Group G|Sapporo Dome|Sapporo |Italy|2.0|0.0|Ecuador| </v>
      </c>
      <c r="M2278" s="42" t="str">
        <f>IF(COUNTIF($L$1689:L2278,L2278)&gt;1,"DOUBLON","OK")</f>
        <v>OK</v>
      </c>
      <c r="S2278" s="12" t="str">
        <v>Croatia</v>
      </c>
      <c r="T2278" s="12" t="str">
        <f t="shared" si="171"/>
        <v>OK</v>
      </c>
      <c r="U2278" s="12" t="str">
        <f t="shared" si="172"/>
        <v>-</v>
      </c>
      <c r="V2278" s="12" t="str" cm="1">
        <f t="array" ref="V2278">_xlfn.IFS(
ISNUMBER(SEARCH("USA",S2278)),"United States",
ISNUMBER(SEARCH("Republic of Ireland",S2278)),"Ireland",
ISNUMBER(SEARCH("Republic of Korea",S2278)),"South Korea",
ISNUMBER(SEARCH("Cape Verde",S2278)),"Cabo Verde",
ISNUMBER(SEARCH("Czechia",S2278)),"Czech Republic",
ISNUMBER(SEARCH("Türkiye",S2278)),"Turkey",
ISNUMBER(SEARCH("Ivory Coast",S2278)),"Côte d'Ivoire",
ISNUMBER(SEARCH("Korea Republic",S2278)),"South Korea",
ISNUMBER(SEARCH("Germany FR",S2278)),"FR Germany",
ISNUMBER(SEARCH("West Germany",S2278)),"FR Germany",
ISNUMBER(SEARCH("Germany DR",S2278)),"DR Germany",
ISNUMBER(SEARCH("Korea DPR",S2278)),"North Korea",
ISNUMBER(SEARCH("China PR",S2278)),"China",
ISNUMBER(SEARCH("IR Iran",S2278)),"Iran",
ISNUMBER(SEARCH("Congo DR",S2278)),"Democratic Republic of the Congo",
ISNUMBER(SEARCH("DR Congo",S2278)),"Democratic Republic of the Congo",
ISNUMBER(SEARCH("German DR",S2278)),"DR Germany",
ISNUMBER(SEARCH("rn""&gt;United Arab Emirates",S2278)),"United Arab Emirates",
ISNUMBER(SEARCH("rn""&gt;Republic of Ireland",S2278)),"Ireland",
ISNUMBER(SEARCH("rn""&gt;Bosnia and Herzegovina",S2278)),"Bosnia and Herzegovina",
ISNUMBER(SEARCH("rn""&gt;Trinidad and Tobago",S2278)),"Trinidad and Tobago",
ISNUMBER(SEARCH("rn""&gt;Serbia and Montenegro",S2278)),"Serbia and Montenegro",
ISNUMBER(SEARCH(_xlfn.UNICHAR(65533),S2278)),"Côte d'Ivoire",
TRUE,""
)</f>
        <v/>
      </c>
      <c r="W2278" s="12" t="str">
        <f t="shared" si="173"/>
        <v>Croatia</v>
      </c>
    </row>
    <row r="2279" spans="2:23">
      <c r="B2279" s="76" t="str">
        <v>2002.0</v>
      </c>
      <c r="C2279" s="42" t="str">
        <v xml:space="preserve">03 Jun 2002 - 15:30 </v>
      </c>
      <c r="D2279" s="42" t="str">
        <v>Group G</v>
      </c>
      <c r="E2279" s="42" t="str">
        <v>Niigata Stadium Big Swan</v>
      </c>
      <c r="F2279" s="42" t="str">
        <v xml:space="preserve">Niigata </v>
      </c>
      <c r="G2279" s="42" t="str">
        <v>Croatia</v>
      </c>
      <c r="H2279" s="42" t="str">
        <v>0.0</v>
      </c>
      <c r="I2279" s="42" t="str">
        <v>1.0</v>
      </c>
      <c r="J2279" s="42" t="str">
        <v>Mexico</v>
      </c>
      <c r="K2279" s="42" t="str">
        <v xml:space="preserve"> </v>
      </c>
      <c r="L2279" s="42" t="str">
        <f t="shared" si="170"/>
        <v xml:space="preserve">2002.0|03 Jun 2002 - 15:30 |Group G|Niigata Stadium Big Swan|Niigata |Croatia|0.0|1.0|Mexico| </v>
      </c>
      <c r="M2279" s="42" t="str">
        <f>IF(COUNTIF($L$1689:L2279,L2279)&gt;1,"DOUBLON","OK")</f>
        <v>OK</v>
      </c>
      <c r="S2279" s="12" t="str">
        <v>Croatia</v>
      </c>
      <c r="T2279" s="12" t="str">
        <f t="shared" si="171"/>
        <v>OK</v>
      </c>
      <c r="U2279" s="12" t="str">
        <f t="shared" si="172"/>
        <v>-</v>
      </c>
      <c r="V2279" s="12" t="str" cm="1">
        <f t="array" ref="V2279">_xlfn.IFS(
ISNUMBER(SEARCH("USA",S2279)),"United States",
ISNUMBER(SEARCH("Republic of Ireland",S2279)),"Ireland",
ISNUMBER(SEARCH("Republic of Korea",S2279)),"South Korea",
ISNUMBER(SEARCH("Cape Verde",S2279)),"Cabo Verde",
ISNUMBER(SEARCH("Czechia",S2279)),"Czech Republic",
ISNUMBER(SEARCH("Türkiye",S2279)),"Turkey",
ISNUMBER(SEARCH("Ivory Coast",S2279)),"Côte d'Ivoire",
ISNUMBER(SEARCH("Korea Republic",S2279)),"South Korea",
ISNUMBER(SEARCH("Germany FR",S2279)),"FR Germany",
ISNUMBER(SEARCH("West Germany",S2279)),"FR Germany",
ISNUMBER(SEARCH("Germany DR",S2279)),"DR Germany",
ISNUMBER(SEARCH("Korea DPR",S2279)),"North Korea",
ISNUMBER(SEARCH("China PR",S2279)),"China",
ISNUMBER(SEARCH("IR Iran",S2279)),"Iran",
ISNUMBER(SEARCH("Congo DR",S2279)),"Democratic Republic of the Congo",
ISNUMBER(SEARCH("DR Congo",S2279)),"Democratic Republic of the Congo",
ISNUMBER(SEARCH("German DR",S2279)),"DR Germany",
ISNUMBER(SEARCH("rn""&gt;United Arab Emirates",S2279)),"United Arab Emirates",
ISNUMBER(SEARCH("rn""&gt;Republic of Ireland",S2279)),"Ireland",
ISNUMBER(SEARCH("rn""&gt;Bosnia and Herzegovina",S2279)),"Bosnia and Herzegovina",
ISNUMBER(SEARCH("rn""&gt;Trinidad and Tobago",S2279)),"Trinidad and Tobago",
ISNUMBER(SEARCH("rn""&gt;Serbia and Montenegro",S2279)),"Serbia and Montenegro",
ISNUMBER(SEARCH(_xlfn.UNICHAR(65533),S2279)),"Côte d'Ivoire",
TRUE,""
)</f>
        <v/>
      </c>
      <c r="W2279" s="12" t="str">
        <f t="shared" si="173"/>
        <v>Croatia</v>
      </c>
    </row>
    <row r="2280" spans="2:23">
      <c r="B2280" s="76" t="str">
        <v>2002.0</v>
      </c>
      <c r="C2280" s="42" t="str">
        <v xml:space="preserve">04 June 2002 - 15:30 </v>
      </c>
      <c r="D2280" s="42" t="str">
        <v>Group C</v>
      </c>
      <c r="E2280" s="42" t="str">
        <v>Gwangju World Cup Stadium</v>
      </c>
      <c r="F2280" s="42" t="str">
        <v xml:space="preserve">Gwangju </v>
      </c>
      <c r="G2280" s="42" t="str">
        <v>China PR</v>
      </c>
      <c r="H2280" s="42" t="str">
        <v>0.0</v>
      </c>
      <c r="I2280" s="42" t="str">
        <v>2.0</v>
      </c>
      <c r="J2280" s="42" t="str">
        <v>Costa Rica</v>
      </c>
      <c r="K2280" s="42" t="str">
        <v xml:space="preserve"> </v>
      </c>
      <c r="L2280" s="42" t="str">
        <f t="shared" si="170"/>
        <v xml:space="preserve">2002.0|04 June 2002 - 15:30 |Group C|Gwangju World Cup Stadium|Gwangju |China PR|0.0|2.0|Costa Rica| </v>
      </c>
      <c r="M2280" s="42" t="str">
        <f>IF(COUNTIF($L$1689:L2280,L2280)&gt;1,"DOUBLON","OK")</f>
        <v>OK</v>
      </c>
      <c r="S2280" s="12" t="str">
        <v>Croatia</v>
      </c>
      <c r="T2280" s="12" t="str">
        <f t="shared" si="171"/>
        <v>OK</v>
      </c>
      <c r="U2280" s="12" t="str">
        <f t="shared" si="172"/>
        <v>-</v>
      </c>
      <c r="V2280" s="12" t="str" cm="1">
        <f t="array" ref="V2280">_xlfn.IFS(
ISNUMBER(SEARCH("USA",S2280)),"United States",
ISNUMBER(SEARCH("Republic of Ireland",S2280)),"Ireland",
ISNUMBER(SEARCH("Republic of Korea",S2280)),"South Korea",
ISNUMBER(SEARCH("Cape Verde",S2280)),"Cabo Verde",
ISNUMBER(SEARCH("Czechia",S2280)),"Czech Republic",
ISNUMBER(SEARCH("Türkiye",S2280)),"Turkey",
ISNUMBER(SEARCH("Ivory Coast",S2280)),"Côte d'Ivoire",
ISNUMBER(SEARCH("Korea Republic",S2280)),"South Korea",
ISNUMBER(SEARCH("Germany FR",S2280)),"FR Germany",
ISNUMBER(SEARCH("West Germany",S2280)),"FR Germany",
ISNUMBER(SEARCH("Germany DR",S2280)),"DR Germany",
ISNUMBER(SEARCH("Korea DPR",S2280)),"North Korea",
ISNUMBER(SEARCH("China PR",S2280)),"China",
ISNUMBER(SEARCH("IR Iran",S2280)),"Iran",
ISNUMBER(SEARCH("Congo DR",S2280)),"Democratic Republic of the Congo",
ISNUMBER(SEARCH("DR Congo",S2280)),"Democratic Republic of the Congo",
ISNUMBER(SEARCH("German DR",S2280)),"DR Germany",
ISNUMBER(SEARCH("rn""&gt;United Arab Emirates",S2280)),"United Arab Emirates",
ISNUMBER(SEARCH("rn""&gt;Republic of Ireland",S2280)),"Ireland",
ISNUMBER(SEARCH("rn""&gt;Bosnia and Herzegovina",S2280)),"Bosnia and Herzegovina",
ISNUMBER(SEARCH("rn""&gt;Trinidad and Tobago",S2280)),"Trinidad and Tobago",
ISNUMBER(SEARCH("rn""&gt;Serbia and Montenegro",S2280)),"Serbia and Montenegro",
ISNUMBER(SEARCH(_xlfn.UNICHAR(65533),S2280)),"Côte d'Ivoire",
TRUE,""
)</f>
        <v/>
      </c>
      <c r="W2280" s="12" t="str">
        <f t="shared" si="173"/>
        <v>Croatia</v>
      </c>
    </row>
    <row r="2281" spans="2:23">
      <c r="B2281" s="76" t="str">
        <v>2002.0</v>
      </c>
      <c r="C2281" s="42" t="str">
        <v xml:space="preserve">04 June 2002 - 18:00 </v>
      </c>
      <c r="D2281" s="42" t="str">
        <v>Group H</v>
      </c>
      <c r="E2281" s="42" t="str">
        <v>Saitama Stadium 2002</v>
      </c>
      <c r="F2281" s="42" t="str">
        <v xml:space="preserve">Saitama </v>
      </c>
      <c r="G2281" s="42" t="str">
        <v>Japan</v>
      </c>
      <c r="H2281" s="42" t="str">
        <v>2.0</v>
      </c>
      <c r="I2281" s="42" t="str">
        <v>2.0</v>
      </c>
      <c r="J2281" s="42" t="str">
        <v>Belgium</v>
      </c>
      <c r="K2281" s="42" t="str">
        <v xml:space="preserve"> </v>
      </c>
      <c r="L2281" s="42" t="str">
        <f t="shared" si="170"/>
        <v xml:space="preserve">2002.0|04 June 2002 - 18:00 |Group H|Saitama Stadium 2002|Saitama |Japan|2.0|2.0|Belgium| </v>
      </c>
      <c r="M2281" s="42" t="str">
        <f>IF(COUNTIF($L$1689:L2281,L2281)&gt;1,"DOUBLON","OK")</f>
        <v>OK</v>
      </c>
      <c r="S2281" s="12" t="str">
        <v>Croatia</v>
      </c>
      <c r="T2281" s="12" t="str">
        <f t="shared" si="171"/>
        <v>OK</v>
      </c>
      <c r="U2281" s="12" t="str">
        <f t="shared" si="172"/>
        <v>-</v>
      </c>
      <c r="V2281" s="12" t="str" cm="1">
        <f t="array" ref="V2281">_xlfn.IFS(
ISNUMBER(SEARCH("USA",S2281)),"United States",
ISNUMBER(SEARCH("Republic of Ireland",S2281)),"Ireland",
ISNUMBER(SEARCH("Republic of Korea",S2281)),"South Korea",
ISNUMBER(SEARCH("Cape Verde",S2281)),"Cabo Verde",
ISNUMBER(SEARCH("Czechia",S2281)),"Czech Republic",
ISNUMBER(SEARCH("Türkiye",S2281)),"Turkey",
ISNUMBER(SEARCH("Ivory Coast",S2281)),"Côte d'Ivoire",
ISNUMBER(SEARCH("Korea Republic",S2281)),"South Korea",
ISNUMBER(SEARCH("Germany FR",S2281)),"FR Germany",
ISNUMBER(SEARCH("West Germany",S2281)),"FR Germany",
ISNUMBER(SEARCH("Germany DR",S2281)),"DR Germany",
ISNUMBER(SEARCH("Korea DPR",S2281)),"North Korea",
ISNUMBER(SEARCH("China PR",S2281)),"China",
ISNUMBER(SEARCH("IR Iran",S2281)),"Iran",
ISNUMBER(SEARCH("Congo DR",S2281)),"Democratic Republic of the Congo",
ISNUMBER(SEARCH("DR Congo",S2281)),"Democratic Republic of the Congo",
ISNUMBER(SEARCH("German DR",S2281)),"DR Germany",
ISNUMBER(SEARCH("rn""&gt;United Arab Emirates",S2281)),"United Arab Emirates",
ISNUMBER(SEARCH("rn""&gt;Republic of Ireland",S2281)),"Ireland",
ISNUMBER(SEARCH("rn""&gt;Bosnia and Herzegovina",S2281)),"Bosnia and Herzegovina",
ISNUMBER(SEARCH("rn""&gt;Trinidad and Tobago",S2281)),"Trinidad and Tobago",
ISNUMBER(SEARCH("rn""&gt;Serbia and Montenegro",S2281)),"Serbia and Montenegro",
ISNUMBER(SEARCH(_xlfn.UNICHAR(65533),S2281)),"Côte d'Ivoire",
TRUE,""
)</f>
        <v/>
      </c>
      <c r="W2281" s="12" t="str">
        <f t="shared" si="173"/>
        <v>Croatia</v>
      </c>
    </row>
    <row r="2282" spans="2:23">
      <c r="B2282" s="76" t="str">
        <v>2002.0</v>
      </c>
      <c r="C2282" s="42" t="str">
        <v xml:space="preserve">04 Jun 2002 - 20:30 </v>
      </c>
      <c r="D2282" s="42" t="str">
        <v>Group D</v>
      </c>
      <c r="E2282" s="42" t="str">
        <v>Busan Asiad Main Stadium</v>
      </c>
      <c r="F2282" s="42" t="str">
        <v xml:space="preserve">Busan </v>
      </c>
      <c r="G2282" s="42" t="str">
        <v>Korea Republic</v>
      </c>
      <c r="H2282" s="42" t="str">
        <v>2.0</v>
      </c>
      <c r="I2282" s="42" t="str">
        <v>0.0</v>
      </c>
      <c r="J2282" s="42" t="str">
        <v>Poland</v>
      </c>
      <c r="K2282" s="42" t="str">
        <v xml:space="preserve"> </v>
      </c>
      <c r="L2282" s="42" t="str">
        <f t="shared" si="170"/>
        <v xml:space="preserve">2002.0|04 Jun 2002 - 20:30 |Group D|Busan Asiad Main Stadium|Busan |Korea Republic|2.0|0.0|Poland| </v>
      </c>
      <c r="M2282" s="42" t="str">
        <f>IF(COUNTIF($L$1689:L2282,L2282)&gt;1,"DOUBLON","OK")</f>
        <v>OK</v>
      </c>
      <c r="S2282" s="12" t="str">
        <v>Croatia</v>
      </c>
      <c r="T2282" s="12" t="str">
        <f t="shared" si="171"/>
        <v>OK</v>
      </c>
      <c r="U2282" s="12" t="str">
        <f t="shared" si="172"/>
        <v>-</v>
      </c>
      <c r="V2282" s="12" t="str" cm="1">
        <f t="array" ref="V2282">_xlfn.IFS(
ISNUMBER(SEARCH("USA",S2282)),"United States",
ISNUMBER(SEARCH("Republic of Ireland",S2282)),"Ireland",
ISNUMBER(SEARCH("Republic of Korea",S2282)),"South Korea",
ISNUMBER(SEARCH("Cape Verde",S2282)),"Cabo Verde",
ISNUMBER(SEARCH("Czechia",S2282)),"Czech Republic",
ISNUMBER(SEARCH("Türkiye",S2282)),"Turkey",
ISNUMBER(SEARCH("Ivory Coast",S2282)),"Côte d'Ivoire",
ISNUMBER(SEARCH("Korea Republic",S2282)),"South Korea",
ISNUMBER(SEARCH("Germany FR",S2282)),"FR Germany",
ISNUMBER(SEARCH("West Germany",S2282)),"FR Germany",
ISNUMBER(SEARCH("Germany DR",S2282)),"DR Germany",
ISNUMBER(SEARCH("Korea DPR",S2282)),"North Korea",
ISNUMBER(SEARCH("China PR",S2282)),"China",
ISNUMBER(SEARCH("IR Iran",S2282)),"Iran",
ISNUMBER(SEARCH("Congo DR",S2282)),"Democratic Republic of the Congo",
ISNUMBER(SEARCH("DR Congo",S2282)),"Democratic Republic of the Congo",
ISNUMBER(SEARCH("German DR",S2282)),"DR Germany",
ISNUMBER(SEARCH("rn""&gt;United Arab Emirates",S2282)),"United Arab Emirates",
ISNUMBER(SEARCH("rn""&gt;Republic of Ireland",S2282)),"Ireland",
ISNUMBER(SEARCH("rn""&gt;Bosnia and Herzegovina",S2282)),"Bosnia and Herzegovina",
ISNUMBER(SEARCH("rn""&gt;Trinidad and Tobago",S2282)),"Trinidad and Tobago",
ISNUMBER(SEARCH("rn""&gt;Serbia and Montenegro",S2282)),"Serbia and Montenegro",
ISNUMBER(SEARCH(_xlfn.UNICHAR(65533),S2282)),"Côte d'Ivoire",
TRUE,""
)</f>
        <v/>
      </c>
      <c r="W2282" s="12" t="str">
        <f t="shared" si="173"/>
        <v>Croatia</v>
      </c>
    </row>
    <row r="2283" spans="2:23">
      <c r="B2283" s="76" t="str">
        <v>2002.0</v>
      </c>
      <c r="C2283" s="42" t="str">
        <v xml:space="preserve">05 Jun 2002 - 15:30 </v>
      </c>
      <c r="D2283" s="42" t="str">
        <v>Group H</v>
      </c>
      <c r="E2283" s="42" t="str">
        <v>Kobe Wing Stadium</v>
      </c>
      <c r="F2283" s="42" t="str">
        <v xml:space="preserve">Kobe </v>
      </c>
      <c r="G2283" s="42" t="str">
        <v>Russia</v>
      </c>
      <c r="H2283" s="42" t="str">
        <v>2.0</v>
      </c>
      <c r="I2283" s="42" t="str">
        <v>0.0</v>
      </c>
      <c r="J2283" s="42" t="str">
        <v>Tunisia</v>
      </c>
      <c r="K2283" s="42" t="str">
        <v xml:space="preserve"> </v>
      </c>
      <c r="L2283" s="42" t="str">
        <f t="shared" si="170"/>
        <v xml:space="preserve">2002.0|05 Jun 2002 - 15:30 |Group H|Kobe Wing Stadium|Kobe |Russia|2.0|0.0|Tunisia| </v>
      </c>
      <c r="M2283" s="42" t="str">
        <f>IF(COUNTIF($L$1689:L2283,L2283)&gt;1,"DOUBLON","OK")</f>
        <v>OK</v>
      </c>
      <c r="S2283" s="12" t="str">
        <v>Croatia</v>
      </c>
      <c r="T2283" s="12" t="str">
        <f t="shared" si="171"/>
        <v>OK</v>
      </c>
      <c r="U2283" s="12" t="str">
        <f t="shared" si="172"/>
        <v>-</v>
      </c>
      <c r="V2283" s="12" t="str" cm="1">
        <f t="array" ref="V2283">_xlfn.IFS(
ISNUMBER(SEARCH("USA",S2283)),"United States",
ISNUMBER(SEARCH("Republic of Ireland",S2283)),"Ireland",
ISNUMBER(SEARCH("Republic of Korea",S2283)),"South Korea",
ISNUMBER(SEARCH("Cape Verde",S2283)),"Cabo Verde",
ISNUMBER(SEARCH("Czechia",S2283)),"Czech Republic",
ISNUMBER(SEARCH("Türkiye",S2283)),"Turkey",
ISNUMBER(SEARCH("Ivory Coast",S2283)),"Côte d'Ivoire",
ISNUMBER(SEARCH("Korea Republic",S2283)),"South Korea",
ISNUMBER(SEARCH("Germany FR",S2283)),"FR Germany",
ISNUMBER(SEARCH("West Germany",S2283)),"FR Germany",
ISNUMBER(SEARCH("Germany DR",S2283)),"DR Germany",
ISNUMBER(SEARCH("Korea DPR",S2283)),"North Korea",
ISNUMBER(SEARCH("China PR",S2283)),"China",
ISNUMBER(SEARCH("IR Iran",S2283)),"Iran",
ISNUMBER(SEARCH("Congo DR",S2283)),"Democratic Republic of the Congo",
ISNUMBER(SEARCH("DR Congo",S2283)),"Democratic Republic of the Congo",
ISNUMBER(SEARCH("German DR",S2283)),"DR Germany",
ISNUMBER(SEARCH("rn""&gt;United Arab Emirates",S2283)),"United Arab Emirates",
ISNUMBER(SEARCH("rn""&gt;Republic of Ireland",S2283)),"Ireland",
ISNUMBER(SEARCH("rn""&gt;Bosnia and Herzegovina",S2283)),"Bosnia and Herzegovina",
ISNUMBER(SEARCH("rn""&gt;Trinidad and Tobago",S2283)),"Trinidad and Tobago",
ISNUMBER(SEARCH("rn""&gt;Serbia and Montenegro",S2283)),"Serbia and Montenegro",
ISNUMBER(SEARCH(_xlfn.UNICHAR(65533),S2283)),"Côte d'Ivoire",
TRUE,""
)</f>
        <v/>
      </c>
      <c r="W2283" s="12" t="str">
        <f t="shared" si="173"/>
        <v>Croatia</v>
      </c>
    </row>
    <row r="2284" spans="2:23">
      <c r="B2284" s="76" t="str">
        <v>2002.0</v>
      </c>
      <c r="C2284" s="42" t="str">
        <v xml:space="preserve">05 Jun 2002 - 18:00 </v>
      </c>
      <c r="D2284" s="42" t="str">
        <v>Group D</v>
      </c>
      <c r="E2284" s="42" t="str">
        <v>Suwon World Cup Stadium</v>
      </c>
      <c r="F2284" s="42" t="str">
        <v xml:space="preserve">Suwon </v>
      </c>
      <c r="G2284" s="42" t="str">
        <v>USA</v>
      </c>
      <c r="H2284" s="42" t="str">
        <v>3.0</v>
      </c>
      <c r="I2284" s="42" t="str">
        <v>2.0</v>
      </c>
      <c r="J2284" s="42" t="str">
        <v>Portugal</v>
      </c>
      <c r="K2284" s="42" t="str">
        <v xml:space="preserve"> </v>
      </c>
      <c r="L2284" s="42" t="str">
        <f t="shared" si="170"/>
        <v xml:space="preserve">2002.0|05 Jun 2002 - 18:00 |Group D|Suwon World Cup Stadium|Suwon |USA|3.0|2.0|Portugal| </v>
      </c>
      <c r="M2284" s="42" t="str">
        <f>IF(COUNTIF($L$1689:L2284,L2284)&gt;1,"DOUBLON","OK")</f>
        <v>OK</v>
      </c>
      <c r="S2284" s="12" t="str">
        <v>Croatia</v>
      </c>
      <c r="T2284" s="12" t="str">
        <f t="shared" si="171"/>
        <v>OK</v>
      </c>
      <c r="U2284" s="12" t="str">
        <f t="shared" si="172"/>
        <v>-</v>
      </c>
      <c r="V2284" s="12" t="str" cm="1">
        <f t="array" ref="V2284">_xlfn.IFS(
ISNUMBER(SEARCH("USA",S2284)),"United States",
ISNUMBER(SEARCH("Republic of Ireland",S2284)),"Ireland",
ISNUMBER(SEARCH("Republic of Korea",S2284)),"South Korea",
ISNUMBER(SEARCH("Cape Verde",S2284)),"Cabo Verde",
ISNUMBER(SEARCH("Czechia",S2284)),"Czech Republic",
ISNUMBER(SEARCH("Türkiye",S2284)),"Turkey",
ISNUMBER(SEARCH("Ivory Coast",S2284)),"Côte d'Ivoire",
ISNUMBER(SEARCH("Korea Republic",S2284)),"South Korea",
ISNUMBER(SEARCH("Germany FR",S2284)),"FR Germany",
ISNUMBER(SEARCH("West Germany",S2284)),"FR Germany",
ISNUMBER(SEARCH("Germany DR",S2284)),"DR Germany",
ISNUMBER(SEARCH("Korea DPR",S2284)),"North Korea",
ISNUMBER(SEARCH("China PR",S2284)),"China",
ISNUMBER(SEARCH("IR Iran",S2284)),"Iran",
ISNUMBER(SEARCH("Congo DR",S2284)),"Democratic Republic of the Congo",
ISNUMBER(SEARCH("DR Congo",S2284)),"Democratic Republic of the Congo",
ISNUMBER(SEARCH("German DR",S2284)),"DR Germany",
ISNUMBER(SEARCH("rn""&gt;United Arab Emirates",S2284)),"United Arab Emirates",
ISNUMBER(SEARCH("rn""&gt;Republic of Ireland",S2284)),"Ireland",
ISNUMBER(SEARCH("rn""&gt;Bosnia and Herzegovina",S2284)),"Bosnia and Herzegovina",
ISNUMBER(SEARCH("rn""&gt;Trinidad and Tobago",S2284)),"Trinidad and Tobago",
ISNUMBER(SEARCH("rn""&gt;Serbia and Montenegro",S2284)),"Serbia and Montenegro",
ISNUMBER(SEARCH(_xlfn.UNICHAR(65533),S2284)),"Côte d'Ivoire",
TRUE,""
)</f>
        <v/>
      </c>
      <c r="W2284" s="12" t="str">
        <f t="shared" si="173"/>
        <v>Croatia</v>
      </c>
    </row>
    <row r="2285" spans="2:23">
      <c r="B2285" s="76" t="str">
        <v>2002.0</v>
      </c>
      <c r="C2285" s="42" t="str">
        <v xml:space="preserve">05 Jun 2002 - 20:30 </v>
      </c>
      <c r="D2285" s="42" t="str">
        <v>Group E</v>
      </c>
      <c r="E2285" s="42" t="str">
        <v>Kashima Stadium</v>
      </c>
      <c r="F2285" s="42" t="str">
        <v xml:space="preserve">Ibaraki </v>
      </c>
      <c r="G2285" s="42" t="str">
        <v>Germany</v>
      </c>
      <c r="H2285" s="42" t="str">
        <v>1.0</v>
      </c>
      <c r="I2285" s="42" t="str">
        <v>1.0</v>
      </c>
      <c r="J2285" s="42" t="str">
        <v>rn"&gt;Republic of Ireland</v>
      </c>
      <c r="K2285" s="42" t="str">
        <v xml:space="preserve"> </v>
      </c>
      <c r="L2285" s="42" t="str">
        <f t="shared" si="170"/>
        <v xml:space="preserve">2002.0|05 Jun 2002 - 20:30 |Group E|Kashima Stadium|Ibaraki |Germany|1.0|1.0|rn"&gt;Republic of Ireland| </v>
      </c>
      <c r="M2285" s="42" t="str">
        <f>IF(COUNTIF($L$1689:L2285,L2285)&gt;1,"DOUBLON","OK")</f>
        <v>OK</v>
      </c>
      <c r="S2285" s="12" t="str">
        <v>Croatia</v>
      </c>
      <c r="T2285" s="12" t="str">
        <f t="shared" si="171"/>
        <v>OK</v>
      </c>
      <c r="U2285" s="12" t="str">
        <f t="shared" si="172"/>
        <v>-</v>
      </c>
      <c r="V2285" s="12" t="str" cm="1">
        <f t="array" ref="V2285">_xlfn.IFS(
ISNUMBER(SEARCH("USA",S2285)),"United States",
ISNUMBER(SEARCH("Republic of Ireland",S2285)),"Ireland",
ISNUMBER(SEARCH("Republic of Korea",S2285)),"South Korea",
ISNUMBER(SEARCH("Cape Verde",S2285)),"Cabo Verde",
ISNUMBER(SEARCH("Czechia",S2285)),"Czech Republic",
ISNUMBER(SEARCH("Türkiye",S2285)),"Turkey",
ISNUMBER(SEARCH("Ivory Coast",S2285)),"Côte d'Ivoire",
ISNUMBER(SEARCH("Korea Republic",S2285)),"South Korea",
ISNUMBER(SEARCH("Germany FR",S2285)),"FR Germany",
ISNUMBER(SEARCH("West Germany",S2285)),"FR Germany",
ISNUMBER(SEARCH("Germany DR",S2285)),"DR Germany",
ISNUMBER(SEARCH("Korea DPR",S2285)),"North Korea",
ISNUMBER(SEARCH("China PR",S2285)),"China",
ISNUMBER(SEARCH("IR Iran",S2285)),"Iran",
ISNUMBER(SEARCH("Congo DR",S2285)),"Democratic Republic of the Congo",
ISNUMBER(SEARCH("DR Congo",S2285)),"Democratic Republic of the Congo",
ISNUMBER(SEARCH("German DR",S2285)),"DR Germany",
ISNUMBER(SEARCH("rn""&gt;United Arab Emirates",S2285)),"United Arab Emirates",
ISNUMBER(SEARCH("rn""&gt;Republic of Ireland",S2285)),"Ireland",
ISNUMBER(SEARCH("rn""&gt;Bosnia and Herzegovina",S2285)),"Bosnia and Herzegovina",
ISNUMBER(SEARCH("rn""&gt;Trinidad and Tobago",S2285)),"Trinidad and Tobago",
ISNUMBER(SEARCH("rn""&gt;Serbia and Montenegro",S2285)),"Serbia and Montenegro",
ISNUMBER(SEARCH(_xlfn.UNICHAR(65533),S2285)),"Côte d'Ivoire",
TRUE,""
)</f>
        <v/>
      </c>
      <c r="W2285" s="12" t="str">
        <f t="shared" si="173"/>
        <v>Croatia</v>
      </c>
    </row>
    <row r="2286" spans="2:23">
      <c r="B2286" s="76" t="str">
        <v>2002.0</v>
      </c>
      <c r="C2286" s="42" t="str">
        <v xml:space="preserve">06 Jun 2002 - 15:30 </v>
      </c>
      <c r="D2286" s="42" t="str">
        <v>Group A</v>
      </c>
      <c r="E2286" s="42" t="str">
        <v>Daegu World Cup Stadium</v>
      </c>
      <c r="F2286" s="42" t="str">
        <v xml:space="preserve">Daegu </v>
      </c>
      <c r="G2286" s="42" t="str">
        <v>Denmark</v>
      </c>
      <c r="H2286" s="42" t="str">
        <v>1.0</v>
      </c>
      <c r="I2286" s="42" t="str">
        <v>1.0</v>
      </c>
      <c r="J2286" s="42" t="str">
        <v>Senegal</v>
      </c>
      <c r="K2286" s="42" t="str">
        <v xml:space="preserve"> </v>
      </c>
      <c r="L2286" s="42" t="str">
        <f t="shared" si="170"/>
        <v xml:space="preserve">2002.0|06 Jun 2002 - 15:30 |Group A|Daegu World Cup Stadium|Daegu |Denmark|1.0|1.0|Senegal| </v>
      </c>
      <c r="M2286" s="42" t="str">
        <f>IF(COUNTIF($L$1689:L2286,L2286)&gt;1,"DOUBLON","OK")</f>
        <v>OK</v>
      </c>
      <c r="S2286" s="12" t="str">
        <v>Croatia</v>
      </c>
      <c r="T2286" s="12" t="str">
        <f t="shared" si="171"/>
        <v>OK</v>
      </c>
      <c r="U2286" s="12" t="str">
        <f t="shared" si="172"/>
        <v>-</v>
      </c>
      <c r="V2286" s="12" t="str" cm="1">
        <f t="array" ref="V2286">_xlfn.IFS(
ISNUMBER(SEARCH("USA",S2286)),"United States",
ISNUMBER(SEARCH("Republic of Ireland",S2286)),"Ireland",
ISNUMBER(SEARCH("Republic of Korea",S2286)),"South Korea",
ISNUMBER(SEARCH("Cape Verde",S2286)),"Cabo Verde",
ISNUMBER(SEARCH("Czechia",S2286)),"Czech Republic",
ISNUMBER(SEARCH("Türkiye",S2286)),"Turkey",
ISNUMBER(SEARCH("Ivory Coast",S2286)),"Côte d'Ivoire",
ISNUMBER(SEARCH("Korea Republic",S2286)),"South Korea",
ISNUMBER(SEARCH("Germany FR",S2286)),"FR Germany",
ISNUMBER(SEARCH("West Germany",S2286)),"FR Germany",
ISNUMBER(SEARCH("Germany DR",S2286)),"DR Germany",
ISNUMBER(SEARCH("Korea DPR",S2286)),"North Korea",
ISNUMBER(SEARCH("China PR",S2286)),"China",
ISNUMBER(SEARCH("IR Iran",S2286)),"Iran",
ISNUMBER(SEARCH("Congo DR",S2286)),"Democratic Republic of the Congo",
ISNUMBER(SEARCH("DR Congo",S2286)),"Democratic Republic of the Congo",
ISNUMBER(SEARCH("German DR",S2286)),"DR Germany",
ISNUMBER(SEARCH("rn""&gt;United Arab Emirates",S2286)),"United Arab Emirates",
ISNUMBER(SEARCH("rn""&gt;Republic of Ireland",S2286)),"Ireland",
ISNUMBER(SEARCH("rn""&gt;Bosnia and Herzegovina",S2286)),"Bosnia and Herzegovina",
ISNUMBER(SEARCH("rn""&gt;Trinidad and Tobago",S2286)),"Trinidad and Tobago",
ISNUMBER(SEARCH("rn""&gt;Serbia and Montenegro",S2286)),"Serbia and Montenegro",
ISNUMBER(SEARCH(_xlfn.UNICHAR(65533),S2286)),"Côte d'Ivoire",
TRUE,""
)</f>
        <v/>
      </c>
      <c r="W2286" s="12" t="str">
        <f t="shared" si="173"/>
        <v>Croatia</v>
      </c>
    </row>
    <row r="2287" spans="2:23">
      <c r="B2287" s="76" t="str">
        <v>2002.0</v>
      </c>
      <c r="C2287" s="42" t="str">
        <v xml:space="preserve">06 Jun 2002 - 18:00 </v>
      </c>
      <c r="D2287" s="42" t="str">
        <v>Group E</v>
      </c>
      <c r="E2287" s="42" t="str">
        <v>Saitama Stadium 2002</v>
      </c>
      <c r="F2287" s="42" t="str">
        <v xml:space="preserve">Saitama </v>
      </c>
      <c r="G2287" s="42" t="str">
        <v>Cameroon</v>
      </c>
      <c r="H2287" s="42" t="str">
        <v>1.0</v>
      </c>
      <c r="I2287" s="42" t="str">
        <v>0.0</v>
      </c>
      <c r="J2287" s="42" t="str">
        <v>Saudi Arabia</v>
      </c>
      <c r="K2287" s="42" t="str">
        <v xml:space="preserve"> </v>
      </c>
      <c r="L2287" s="42" t="str">
        <f t="shared" si="170"/>
        <v xml:space="preserve">2002.0|06 Jun 2002 - 18:00 |Group E|Saitama Stadium 2002|Saitama |Cameroon|1.0|0.0|Saudi Arabia| </v>
      </c>
      <c r="M2287" s="42" t="str">
        <f>IF(COUNTIF($L$1689:L2287,L2287)&gt;1,"DOUBLON","OK")</f>
        <v>OK</v>
      </c>
      <c r="S2287" s="12" t="str">
        <v>Croatia</v>
      </c>
      <c r="T2287" s="12" t="str">
        <f t="shared" si="171"/>
        <v>OK</v>
      </c>
      <c r="U2287" s="12" t="str">
        <f t="shared" si="172"/>
        <v>-</v>
      </c>
      <c r="V2287" s="12" t="str" cm="1">
        <f t="array" ref="V2287">_xlfn.IFS(
ISNUMBER(SEARCH("USA",S2287)),"United States",
ISNUMBER(SEARCH("Republic of Ireland",S2287)),"Ireland",
ISNUMBER(SEARCH("Republic of Korea",S2287)),"South Korea",
ISNUMBER(SEARCH("Cape Verde",S2287)),"Cabo Verde",
ISNUMBER(SEARCH("Czechia",S2287)),"Czech Republic",
ISNUMBER(SEARCH("Türkiye",S2287)),"Turkey",
ISNUMBER(SEARCH("Ivory Coast",S2287)),"Côte d'Ivoire",
ISNUMBER(SEARCH("Korea Republic",S2287)),"South Korea",
ISNUMBER(SEARCH("Germany FR",S2287)),"FR Germany",
ISNUMBER(SEARCH("West Germany",S2287)),"FR Germany",
ISNUMBER(SEARCH("Germany DR",S2287)),"DR Germany",
ISNUMBER(SEARCH("Korea DPR",S2287)),"North Korea",
ISNUMBER(SEARCH("China PR",S2287)),"China",
ISNUMBER(SEARCH("IR Iran",S2287)),"Iran",
ISNUMBER(SEARCH("Congo DR",S2287)),"Democratic Republic of the Congo",
ISNUMBER(SEARCH("DR Congo",S2287)),"Democratic Republic of the Congo",
ISNUMBER(SEARCH("German DR",S2287)),"DR Germany",
ISNUMBER(SEARCH("rn""&gt;United Arab Emirates",S2287)),"United Arab Emirates",
ISNUMBER(SEARCH("rn""&gt;Republic of Ireland",S2287)),"Ireland",
ISNUMBER(SEARCH("rn""&gt;Bosnia and Herzegovina",S2287)),"Bosnia and Herzegovina",
ISNUMBER(SEARCH("rn""&gt;Trinidad and Tobago",S2287)),"Trinidad and Tobago",
ISNUMBER(SEARCH("rn""&gt;Serbia and Montenegro",S2287)),"Serbia and Montenegro",
ISNUMBER(SEARCH(_xlfn.UNICHAR(65533),S2287)),"Côte d'Ivoire",
TRUE,""
)</f>
        <v/>
      </c>
      <c r="W2287" s="12" t="str">
        <f t="shared" si="173"/>
        <v>Croatia</v>
      </c>
    </row>
    <row r="2288" spans="2:23">
      <c r="B2288" s="76" t="str">
        <v>2002.0</v>
      </c>
      <c r="C2288" s="42" t="str">
        <v xml:space="preserve">06 Jun 2002 - 20:30 </v>
      </c>
      <c r="D2288" s="42" t="str">
        <v>Group A</v>
      </c>
      <c r="E2288" s="42" t="str">
        <v>Busan Asiad Main Stadium</v>
      </c>
      <c r="F2288" s="42" t="str">
        <v xml:space="preserve">Busan </v>
      </c>
      <c r="G2288" s="42" t="str">
        <v>France</v>
      </c>
      <c r="H2288" s="42" t="str">
        <v>0.0</v>
      </c>
      <c r="I2288" s="42" t="str">
        <v>0.0</v>
      </c>
      <c r="J2288" s="42" t="str">
        <v>Uruguay</v>
      </c>
      <c r="K2288" s="42" t="str">
        <v xml:space="preserve"> </v>
      </c>
      <c r="L2288" s="42" t="str">
        <f t="shared" si="170"/>
        <v xml:space="preserve">2002.0|06 Jun 2002 - 20:30 |Group A|Busan Asiad Main Stadium|Busan |France|0.0|0.0|Uruguay| </v>
      </c>
      <c r="M2288" s="42" t="str">
        <f>IF(COUNTIF($L$1689:L2288,L2288)&gt;1,"DOUBLON","OK")</f>
        <v>OK</v>
      </c>
      <c r="S2288" s="12" t="str">
        <v>Croatia</v>
      </c>
      <c r="T2288" s="12" t="str">
        <f t="shared" si="171"/>
        <v>OK</v>
      </c>
      <c r="U2288" s="12" t="str">
        <f t="shared" si="172"/>
        <v>-</v>
      </c>
      <c r="V2288" s="12" t="str" cm="1">
        <f t="array" ref="V2288">_xlfn.IFS(
ISNUMBER(SEARCH("USA",S2288)),"United States",
ISNUMBER(SEARCH("Republic of Ireland",S2288)),"Ireland",
ISNUMBER(SEARCH("Republic of Korea",S2288)),"South Korea",
ISNUMBER(SEARCH("Cape Verde",S2288)),"Cabo Verde",
ISNUMBER(SEARCH("Czechia",S2288)),"Czech Republic",
ISNUMBER(SEARCH("Türkiye",S2288)),"Turkey",
ISNUMBER(SEARCH("Ivory Coast",S2288)),"Côte d'Ivoire",
ISNUMBER(SEARCH("Korea Republic",S2288)),"South Korea",
ISNUMBER(SEARCH("Germany FR",S2288)),"FR Germany",
ISNUMBER(SEARCH("West Germany",S2288)),"FR Germany",
ISNUMBER(SEARCH("Germany DR",S2288)),"DR Germany",
ISNUMBER(SEARCH("Korea DPR",S2288)),"North Korea",
ISNUMBER(SEARCH("China PR",S2288)),"China",
ISNUMBER(SEARCH("IR Iran",S2288)),"Iran",
ISNUMBER(SEARCH("Congo DR",S2288)),"Democratic Republic of the Congo",
ISNUMBER(SEARCH("DR Congo",S2288)),"Democratic Republic of the Congo",
ISNUMBER(SEARCH("German DR",S2288)),"DR Germany",
ISNUMBER(SEARCH("rn""&gt;United Arab Emirates",S2288)),"United Arab Emirates",
ISNUMBER(SEARCH("rn""&gt;Republic of Ireland",S2288)),"Ireland",
ISNUMBER(SEARCH("rn""&gt;Bosnia and Herzegovina",S2288)),"Bosnia and Herzegovina",
ISNUMBER(SEARCH("rn""&gt;Trinidad and Tobago",S2288)),"Trinidad and Tobago",
ISNUMBER(SEARCH("rn""&gt;Serbia and Montenegro",S2288)),"Serbia and Montenegro",
ISNUMBER(SEARCH(_xlfn.UNICHAR(65533),S2288)),"Côte d'Ivoire",
TRUE,""
)</f>
        <v/>
      </c>
      <c r="W2288" s="12" t="str">
        <f t="shared" si="173"/>
        <v>Croatia</v>
      </c>
    </row>
    <row r="2289" spans="2:23">
      <c r="B2289" s="76" t="str">
        <v>2002.0</v>
      </c>
      <c r="C2289" s="42" t="str">
        <v xml:space="preserve">07 Jun 2002 - 15:30 </v>
      </c>
      <c r="D2289" s="42" t="str">
        <v>Group F</v>
      </c>
      <c r="E2289" s="42" t="str">
        <v>Kobe Wing Stadium</v>
      </c>
      <c r="F2289" s="42" t="str">
        <v xml:space="preserve">Kobe </v>
      </c>
      <c r="G2289" s="42" t="str">
        <v>Sweden</v>
      </c>
      <c r="H2289" s="42" t="str">
        <v>2.0</v>
      </c>
      <c r="I2289" s="42" t="str">
        <v>1.0</v>
      </c>
      <c r="J2289" s="42" t="str">
        <v>Nigeria</v>
      </c>
      <c r="K2289" s="42" t="str">
        <v xml:space="preserve"> </v>
      </c>
      <c r="L2289" s="42" t="str">
        <f t="shared" si="170"/>
        <v xml:space="preserve">2002.0|07 Jun 2002 - 15:30 |Group F|Kobe Wing Stadium|Kobe |Sweden|2.0|1.0|Nigeria| </v>
      </c>
      <c r="M2289" s="42" t="str">
        <f>IF(COUNTIF($L$1689:L2289,L2289)&gt;1,"DOUBLON","OK")</f>
        <v>OK</v>
      </c>
      <c r="S2289" s="12" t="str">
        <v>Croatia</v>
      </c>
      <c r="T2289" s="12" t="str">
        <f t="shared" si="171"/>
        <v>OK</v>
      </c>
      <c r="U2289" s="12" t="str">
        <f t="shared" si="172"/>
        <v>-</v>
      </c>
      <c r="V2289" s="12" t="str" cm="1">
        <f t="array" ref="V2289">_xlfn.IFS(
ISNUMBER(SEARCH("USA",S2289)),"United States",
ISNUMBER(SEARCH("Republic of Ireland",S2289)),"Ireland",
ISNUMBER(SEARCH("Republic of Korea",S2289)),"South Korea",
ISNUMBER(SEARCH("Cape Verde",S2289)),"Cabo Verde",
ISNUMBER(SEARCH("Czechia",S2289)),"Czech Republic",
ISNUMBER(SEARCH("Türkiye",S2289)),"Turkey",
ISNUMBER(SEARCH("Ivory Coast",S2289)),"Côte d'Ivoire",
ISNUMBER(SEARCH("Korea Republic",S2289)),"South Korea",
ISNUMBER(SEARCH("Germany FR",S2289)),"FR Germany",
ISNUMBER(SEARCH("West Germany",S2289)),"FR Germany",
ISNUMBER(SEARCH("Germany DR",S2289)),"DR Germany",
ISNUMBER(SEARCH("Korea DPR",S2289)),"North Korea",
ISNUMBER(SEARCH("China PR",S2289)),"China",
ISNUMBER(SEARCH("IR Iran",S2289)),"Iran",
ISNUMBER(SEARCH("Congo DR",S2289)),"Democratic Republic of the Congo",
ISNUMBER(SEARCH("DR Congo",S2289)),"Democratic Republic of the Congo",
ISNUMBER(SEARCH("German DR",S2289)),"DR Germany",
ISNUMBER(SEARCH("rn""&gt;United Arab Emirates",S2289)),"United Arab Emirates",
ISNUMBER(SEARCH("rn""&gt;Republic of Ireland",S2289)),"Ireland",
ISNUMBER(SEARCH("rn""&gt;Bosnia and Herzegovina",S2289)),"Bosnia and Herzegovina",
ISNUMBER(SEARCH("rn""&gt;Trinidad and Tobago",S2289)),"Trinidad and Tobago",
ISNUMBER(SEARCH("rn""&gt;Serbia and Montenegro",S2289)),"Serbia and Montenegro",
ISNUMBER(SEARCH(_xlfn.UNICHAR(65533),S2289)),"Côte d'Ivoire",
TRUE,""
)</f>
        <v/>
      </c>
      <c r="W2289" s="12" t="str">
        <f t="shared" si="173"/>
        <v>Croatia</v>
      </c>
    </row>
    <row r="2290" spans="2:23">
      <c r="B2290" s="76" t="str">
        <v>2002.0</v>
      </c>
      <c r="C2290" s="42" t="str">
        <v xml:space="preserve">07 Jun 2002 - 20:30 </v>
      </c>
      <c r="D2290" s="42" t="str">
        <v>Group F</v>
      </c>
      <c r="E2290" s="42" t="str">
        <v>Sapporo Dome</v>
      </c>
      <c r="F2290" s="42" t="str">
        <v xml:space="preserve">Sapporo </v>
      </c>
      <c r="G2290" s="42" t="str">
        <v>Argentina</v>
      </c>
      <c r="H2290" s="42" t="str">
        <v>0.0</v>
      </c>
      <c r="I2290" s="42" t="str">
        <v>1.0</v>
      </c>
      <c r="J2290" s="42" t="str">
        <v>England</v>
      </c>
      <c r="K2290" s="42" t="str">
        <v xml:space="preserve"> </v>
      </c>
      <c r="L2290" s="42" t="str">
        <f t="shared" si="170"/>
        <v xml:space="preserve">2002.0|07 Jun 2002 - 20:30 |Group F|Sapporo Dome|Sapporo |Argentina|0.0|1.0|England| </v>
      </c>
      <c r="M2290" s="42" t="str">
        <f>IF(COUNTIF($L$1689:L2290,L2290)&gt;1,"DOUBLON","OK")</f>
        <v>OK</v>
      </c>
      <c r="S2290" s="12" t="str">
        <v>Croatia</v>
      </c>
      <c r="T2290" s="12" t="str">
        <f t="shared" si="171"/>
        <v>OK</v>
      </c>
      <c r="U2290" s="12" t="str">
        <f t="shared" si="172"/>
        <v>-</v>
      </c>
      <c r="V2290" s="12" t="str" cm="1">
        <f t="array" ref="V2290">_xlfn.IFS(
ISNUMBER(SEARCH("USA",S2290)),"United States",
ISNUMBER(SEARCH("Republic of Ireland",S2290)),"Ireland",
ISNUMBER(SEARCH("Republic of Korea",S2290)),"South Korea",
ISNUMBER(SEARCH("Cape Verde",S2290)),"Cabo Verde",
ISNUMBER(SEARCH("Czechia",S2290)),"Czech Republic",
ISNUMBER(SEARCH("Türkiye",S2290)),"Turkey",
ISNUMBER(SEARCH("Ivory Coast",S2290)),"Côte d'Ivoire",
ISNUMBER(SEARCH("Korea Republic",S2290)),"South Korea",
ISNUMBER(SEARCH("Germany FR",S2290)),"FR Germany",
ISNUMBER(SEARCH("West Germany",S2290)),"FR Germany",
ISNUMBER(SEARCH("Germany DR",S2290)),"DR Germany",
ISNUMBER(SEARCH("Korea DPR",S2290)),"North Korea",
ISNUMBER(SEARCH("China PR",S2290)),"China",
ISNUMBER(SEARCH("IR Iran",S2290)),"Iran",
ISNUMBER(SEARCH("Congo DR",S2290)),"Democratic Republic of the Congo",
ISNUMBER(SEARCH("DR Congo",S2290)),"Democratic Republic of the Congo",
ISNUMBER(SEARCH("German DR",S2290)),"DR Germany",
ISNUMBER(SEARCH("rn""&gt;United Arab Emirates",S2290)),"United Arab Emirates",
ISNUMBER(SEARCH("rn""&gt;Republic of Ireland",S2290)),"Ireland",
ISNUMBER(SEARCH("rn""&gt;Bosnia and Herzegovina",S2290)),"Bosnia and Herzegovina",
ISNUMBER(SEARCH("rn""&gt;Trinidad and Tobago",S2290)),"Trinidad and Tobago",
ISNUMBER(SEARCH("rn""&gt;Serbia and Montenegro",S2290)),"Serbia and Montenegro",
ISNUMBER(SEARCH(_xlfn.UNICHAR(65533),S2290)),"Côte d'Ivoire",
TRUE,""
)</f>
        <v/>
      </c>
      <c r="W2290" s="12" t="str">
        <f t="shared" si="173"/>
        <v>Croatia</v>
      </c>
    </row>
    <row r="2291" spans="2:23">
      <c r="B2291" s="76" t="str">
        <v>2002.0</v>
      </c>
      <c r="C2291" s="42" t="str">
        <v xml:space="preserve">07 June 2002 - 18:00 </v>
      </c>
      <c r="D2291" s="42" t="str">
        <v>Group B</v>
      </c>
      <c r="E2291" s="42" t="str">
        <v>Jeonju World Cup Stadium</v>
      </c>
      <c r="F2291" s="42" t="str">
        <v xml:space="preserve">Jeonju </v>
      </c>
      <c r="G2291" s="42" t="str">
        <v>Spain</v>
      </c>
      <c r="H2291" s="42" t="str">
        <v>3.0</v>
      </c>
      <c r="I2291" s="42" t="str">
        <v>1.0</v>
      </c>
      <c r="J2291" s="42" t="str">
        <v>Paraguay</v>
      </c>
      <c r="K2291" s="42" t="str">
        <v xml:space="preserve"> </v>
      </c>
      <c r="L2291" s="42" t="str">
        <f t="shared" si="170"/>
        <v xml:space="preserve">2002.0|07 June 2002 - 18:00 |Group B|Jeonju World Cup Stadium|Jeonju |Spain|3.0|1.0|Paraguay| </v>
      </c>
      <c r="M2291" s="42" t="str">
        <f>IF(COUNTIF($L$1689:L2291,L2291)&gt;1,"DOUBLON","OK")</f>
        <v>OK</v>
      </c>
      <c r="S2291" s="12" t="str">
        <v>England</v>
      </c>
      <c r="T2291" s="12" t="str">
        <f t="shared" si="171"/>
        <v>ERREUR</v>
      </c>
      <c r="U2291" s="12" t="str">
        <f t="shared" si="172"/>
        <v>AUCUNE</v>
      </c>
      <c r="V2291" s="12" t="str" cm="1">
        <f t="array" ref="V2291">_xlfn.IFS(
ISNUMBER(SEARCH("USA",S2291)),"United States",
ISNUMBER(SEARCH("Republic of Ireland",S2291)),"Ireland",
ISNUMBER(SEARCH("Republic of Korea",S2291)),"South Korea",
ISNUMBER(SEARCH("Cape Verde",S2291)),"Cabo Verde",
ISNUMBER(SEARCH("Czechia",S2291)),"Czech Republic",
ISNUMBER(SEARCH("Türkiye",S2291)),"Turkey",
ISNUMBER(SEARCH("Ivory Coast",S2291)),"Côte d'Ivoire",
ISNUMBER(SEARCH("Korea Republic",S2291)),"South Korea",
ISNUMBER(SEARCH("Germany FR",S2291)),"FR Germany",
ISNUMBER(SEARCH("West Germany",S2291)),"FR Germany",
ISNUMBER(SEARCH("Germany DR",S2291)),"DR Germany",
ISNUMBER(SEARCH("Korea DPR",S2291)),"North Korea",
ISNUMBER(SEARCH("China PR",S2291)),"China",
ISNUMBER(SEARCH("IR Iran",S2291)),"Iran",
ISNUMBER(SEARCH("Congo DR",S2291)),"Democratic Republic of the Congo",
ISNUMBER(SEARCH("DR Congo",S2291)),"Democratic Republic of the Congo",
ISNUMBER(SEARCH("German DR",S2291)),"DR Germany",
ISNUMBER(SEARCH("rn""&gt;United Arab Emirates",S2291)),"United Arab Emirates",
ISNUMBER(SEARCH("rn""&gt;Republic of Ireland",S2291)),"Ireland",
ISNUMBER(SEARCH("rn""&gt;Bosnia and Herzegovina",S2291)),"Bosnia and Herzegovina",
ISNUMBER(SEARCH("rn""&gt;Trinidad and Tobago",S2291)),"Trinidad and Tobago",
ISNUMBER(SEARCH("rn""&gt;Serbia and Montenegro",S2291)),"Serbia and Montenegro",
ISNUMBER(SEARCH(_xlfn.UNICHAR(65533),S2291)),"Côte d'Ivoire",
TRUE,""
)</f>
        <v/>
      </c>
      <c r="W2291" s="12" t="str">
        <f t="shared" si="173"/>
        <v>England</v>
      </c>
    </row>
    <row r="2292" spans="2:23">
      <c r="B2292" s="76" t="str">
        <v>2002.0</v>
      </c>
      <c r="C2292" s="42" t="str">
        <v xml:space="preserve">08 Jun 2002 - 15:30 </v>
      </c>
      <c r="D2292" s="42" t="str">
        <v>Group B</v>
      </c>
      <c r="E2292" s="42" t="str">
        <v>Daegu World Cup Stadium</v>
      </c>
      <c r="F2292" s="42" t="str">
        <v xml:space="preserve">Daegu </v>
      </c>
      <c r="G2292" s="42" t="str">
        <v>South Africa</v>
      </c>
      <c r="H2292" s="42" t="str">
        <v>1.0</v>
      </c>
      <c r="I2292" s="42" t="str">
        <v>0.0</v>
      </c>
      <c r="J2292" s="42" t="str">
        <v>Slovenia</v>
      </c>
      <c r="K2292" s="42" t="str">
        <v xml:space="preserve"> </v>
      </c>
      <c r="L2292" s="42" t="str">
        <f t="shared" si="170"/>
        <v xml:space="preserve">2002.0|08 Jun 2002 - 15:30 |Group B|Daegu World Cup Stadium|Daegu |South Africa|1.0|0.0|Slovenia| </v>
      </c>
      <c r="M2292" s="42" t="str">
        <f>IF(COUNTIF($L$1689:L2292,L2292)&gt;1,"DOUBLON","OK")</f>
        <v>OK</v>
      </c>
      <c r="S2292" s="12" t="str">
        <v>England</v>
      </c>
      <c r="T2292" s="12" t="str">
        <f t="shared" si="171"/>
        <v>ERREUR</v>
      </c>
      <c r="U2292" s="12" t="str">
        <f t="shared" si="172"/>
        <v>AUCUNE</v>
      </c>
      <c r="V2292" s="12" t="str" cm="1">
        <f t="array" ref="V2292">_xlfn.IFS(
ISNUMBER(SEARCH("USA",S2292)),"United States",
ISNUMBER(SEARCH("Republic of Ireland",S2292)),"Ireland",
ISNUMBER(SEARCH("Republic of Korea",S2292)),"South Korea",
ISNUMBER(SEARCH("Cape Verde",S2292)),"Cabo Verde",
ISNUMBER(SEARCH("Czechia",S2292)),"Czech Republic",
ISNUMBER(SEARCH("Türkiye",S2292)),"Turkey",
ISNUMBER(SEARCH("Ivory Coast",S2292)),"Côte d'Ivoire",
ISNUMBER(SEARCH("Korea Republic",S2292)),"South Korea",
ISNUMBER(SEARCH("Germany FR",S2292)),"FR Germany",
ISNUMBER(SEARCH("West Germany",S2292)),"FR Germany",
ISNUMBER(SEARCH("Germany DR",S2292)),"DR Germany",
ISNUMBER(SEARCH("Korea DPR",S2292)),"North Korea",
ISNUMBER(SEARCH("China PR",S2292)),"China",
ISNUMBER(SEARCH("IR Iran",S2292)),"Iran",
ISNUMBER(SEARCH("Congo DR",S2292)),"Democratic Republic of the Congo",
ISNUMBER(SEARCH("DR Congo",S2292)),"Democratic Republic of the Congo",
ISNUMBER(SEARCH("German DR",S2292)),"DR Germany",
ISNUMBER(SEARCH("rn""&gt;United Arab Emirates",S2292)),"United Arab Emirates",
ISNUMBER(SEARCH("rn""&gt;Republic of Ireland",S2292)),"Ireland",
ISNUMBER(SEARCH("rn""&gt;Bosnia and Herzegovina",S2292)),"Bosnia and Herzegovina",
ISNUMBER(SEARCH("rn""&gt;Trinidad and Tobago",S2292)),"Trinidad and Tobago",
ISNUMBER(SEARCH("rn""&gt;Serbia and Montenegro",S2292)),"Serbia and Montenegro",
ISNUMBER(SEARCH(_xlfn.UNICHAR(65533),S2292)),"Côte d'Ivoire",
TRUE,""
)</f>
        <v/>
      </c>
      <c r="W2292" s="12" t="str">
        <f t="shared" si="173"/>
        <v>England</v>
      </c>
    </row>
    <row r="2293" spans="2:23">
      <c r="B2293" s="76" t="str">
        <v>2002.0</v>
      </c>
      <c r="C2293" s="42" t="str">
        <v xml:space="preserve">08 Jun 2002 - 20:30 </v>
      </c>
      <c r="D2293" s="42" t="str">
        <v>Group C</v>
      </c>
      <c r="E2293" s="42" t="str">
        <v>Jeju World Cup Stadium</v>
      </c>
      <c r="F2293" s="42" t="str">
        <v xml:space="preserve">Jeju </v>
      </c>
      <c r="G2293" s="42" t="str">
        <v>Brazil</v>
      </c>
      <c r="H2293" s="42" t="str">
        <v>4.0</v>
      </c>
      <c r="I2293" s="42" t="str">
        <v>0.0</v>
      </c>
      <c r="J2293" s="42" t="str">
        <v>China PR</v>
      </c>
      <c r="K2293" s="42" t="str">
        <v xml:space="preserve"> </v>
      </c>
      <c r="L2293" s="42" t="str">
        <f t="shared" si="170"/>
        <v xml:space="preserve">2002.0|08 Jun 2002 - 20:30 |Group C|Jeju World Cup Stadium|Jeju |Brazil|4.0|0.0|China PR| </v>
      </c>
      <c r="M2293" s="42" t="str">
        <f>IF(COUNTIF($L$1689:L2293,L2293)&gt;1,"DOUBLON","OK")</f>
        <v>OK</v>
      </c>
      <c r="S2293" s="12" t="str">
        <v>England</v>
      </c>
      <c r="T2293" s="12" t="str">
        <f t="shared" si="171"/>
        <v>ERREUR</v>
      </c>
      <c r="U2293" s="12" t="str">
        <f t="shared" si="172"/>
        <v>AUCUNE</v>
      </c>
      <c r="V2293" s="12" t="str" cm="1">
        <f t="array" ref="V2293">_xlfn.IFS(
ISNUMBER(SEARCH("USA",S2293)),"United States",
ISNUMBER(SEARCH("Republic of Ireland",S2293)),"Ireland",
ISNUMBER(SEARCH("Republic of Korea",S2293)),"South Korea",
ISNUMBER(SEARCH("Cape Verde",S2293)),"Cabo Verde",
ISNUMBER(SEARCH("Czechia",S2293)),"Czech Republic",
ISNUMBER(SEARCH("Türkiye",S2293)),"Turkey",
ISNUMBER(SEARCH("Ivory Coast",S2293)),"Côte d'Ivoire",
ISNUMBER(SEARCH("Korea Republic",S2293)),"South Korea",
ISNUMBER(SEARCH("Germany FR",S2293)),"FR Germany",
ISNUMBER(SEARCH("West Germany",S2293)),"FR Germany",
ISNUMBER(SEARCH("Germany DR",S2293)),"DR Germany",
ISNUMBER(SEARCH("Korea DPR",S2293)),"North Korea",
ISNUMBER(SEARCH("China PR",S2293)),"China",
ISNUMBER(SEARCH("IR Iran",S2293)),"Iran",
ISNUMBER(SEARCH("Congo DR",S2293)),"Democratic Republic of the Congo",
ISNUMBER(SEARCH("DR Congo",S2293)),"Democratic Republic of the Congo",
ISNUMBER(SEARCH("German DR",S2293)),"DR Germany",
ISNUMBER(SEARCH("rn""&gt;United Arab Emirates",S2293)),"United Arab Emirates",
ISNUMBER(SEARCH("rn""&gt;Republic of Ireland",S2293)),"Ireland",
ISNUMBER(SEARCH("rn""&gt;Bosnia and Herzegovina",S2293)),"Bosnia and Herzegovina",
ISNUMBER(SEARCH("rn""&gt;Trinidad and Tobago",S2293)),"Trinidad and Tobago",
ISNUMBER(SEARCH("rn""&gt;Serbia and Montenegro",S2293)),"Serbia and Montenegro",
ISNUMBER(SEARCH(_xlfn.UNICHAR(65533),S2293)),"Côte d'Ivoire",
TRUE,""
)</f>
        <v/>
      </c>
      <c r="W2293" s="12" t="str">
        <f t="shared" si="173"/>
        <v>England</v>
      </c>
    </row>
    <row r="2294" spans="2:23">
      <c r="B2294" s="76" t="str">
        <v>2002.0</v>
      </c>
      <c r="C2294" s="42" t="str">
        <v xml:space="preserve">08 June 2002 - 18:00 </v>
      </c>
      <c r="D2294" s="42" t="str">
        <v>Group G</v>
      </c>
      <c r="E2294" s="42" t="str">
        <v>Kashima Stadium</v>
      </c>
      <c r="F2294" s="42" t="str">
        <v xml:space="preserve">Ibaraki </v>
      </c>
      <c r="G2294" s="42" t="str">
        <v>Italy</v>
      </c>
      <c r="H2294" s="42" t="str">
        <v>1.0</v>
      </c>
      <c r="I2294" s="42" t="str">
        <v>2.0</v>
      </c>
      <c r="J2294" s="42" t="str">
        <v>Croatia</v>
      </c>
      <c r="K2294" s="42" t="str">
        <v xml:space="preserve"> </v>
      </c>
      <c r="L2294" s="42" t="str">
        <f t="shared" si="170"/>
        <v xml:space="preserve">2002.0|08 June 2002 - 18:00 |Group G|Kashima Stadium|Ibaraki |Italy|1.0|2.0|Croatia| </v>
      </c>
      <c r="M2294" s="42" t="str">
        <f>IF(COUNTIF($L$1689:L2294,L2294)&gt;1,"DOUBLON","OK")</f>
        <v>OK</v>
      </c>
      <c r="S2294" s="12" t="str">
        <v>England</v>
      </c>
      <c r="T2294" s="12" t="str">
        <f t="shared" si="171"/>
        <v>ERREUR</v>
      </c>
      <c r="U2294" s="12" t="str">
        <f t="shared" si="172"/>
        <v>AUCUNE</v>
      </c>
      <c r="V2294" s="12" t="str" cm="1">
        <f t="array" ref="V2294">_xlfn.IFS(
ISNUMBER(SEARCH("USA",S2294)),"United States",
ISNUMBER(SEARCH("Republic of Ireland",S2294)),"Ireland",
ISNUMBER(SEARCH("Republic of Korea",S2294)),"South Korea",
ISNUMBER(SEARCH("Cape Verde",S2294)),"Cabo Verde",
ISNUMBER(SEARCH("Czechia",S2294)),"Czech Republic",
ISNUMBER(SEARCH("Türkiye",S2294)),"Turkey",
ISNUMBER(SEARCH("Ivory Coast",S2294)),"Côte d'Ivoire",
ISNUMBER(SEARCH("Korea Republic",S2294)),"South Korea",
ISNUMBER(SEARCH("Germany FR",S2294)),"FR Germany",
ISNUMBER(SEARCH("West Germany",S2294)),"FR Germany",
ISNUMBER(SEARCH("Germany DR",S2294)),"DR Germany",
ISNUMBER(SEARCH("Korea DPR",S2294)),"North Korea",
ISNUMBER(SEARCH("China PR",S2294)),"China",
ISNUMBER(SEARCH("IR Iran",S2294)),"Iran",
ISNUMBER(SEARCH("Congo DR",S2294)),"Democratic Republic of the Congo",
ISNUMBER(SEARCH("DR Congo",S2294)),"Democratic Republic of the Congo",
ISNUMBER(SEARCH("German DR",S2294)),"DR Germany",
ISNUMBER(SEARCH("rn""&gt;United Arab Emirates",S2294)),"United Arab Emirates",
ISNUMBER(SEARCH("rn""&gt;Republic of Ireland",S2294)),"Ireland",
ISNUMBER(SEARCH("rn""&gt;Bosnia and Herzegovina",S2294)),"Bosnia and Herzegovina",
ISNUMBER(SEARCH("rn""&gt;Trinidad and Tobago",S2294)),"Trinidad and Tobago",
ISNUMBER(SEARCH("rn""&gt;Serbia and Montenegro",S2294)),"Serbia and Montenegro",
ISNUMBER(SEARCH(_xlfn.UNICHAR(65533),S2294)),"Côte d'Ivoire",
TRUE,""
)</f>
        <v/>
      </c>
      <c r="W2294" s="12" t="str">
        <f t="shared" si="173"/>
        <v>England</v>
      </c>
    </row>
    <row r="2295" spans="2:23">
      <c r="B2295" s="76" t="str">
        <v>2002.0</v>
      </c>
      <c r="C2295" s="42" t="str">
        <v xml:space="preserve">09 Jun 2002 - 18:00 </v>
      </c>
      <c r="D2295" s="42" t="str">
        <v>Group C</v>
      </c>
      <c r="E2295" s="42" t="str">
        <v>Incheon Football Stadium</v>
      </c>
      <c r="F2295" s="42" t="str">
        <v xml:space="preserve">Incheon </v>
      </c>
      <c r="G2295" s="42" t="str">
        <v>Costa Rica</v>
      </c>
      <c r="H2295" s="42" t="str">
        <v>1.0</v>
      </c>
      <c r="I2295" s="42" t="str">
        <v>1.0</v>
      </c>
      <c r="J2295" s="42" t="str">
        <v>Turkey</v>
      </c>
      <c r="K2295" s="42" t="str">
        <v xml:space="preserve"> </v>
      </c>
      <c r="L2295" s="42" t="str">
        <f t="shared" si="170"/>
        <v xml:space="preserve">2002.0|09 Jun 2002 - 18:00 |Group C|Incheon Football Stadium|Incheon |Costa Rica|1.0|1.0|Turkey| </v>
      </c>
      <c r="M2295" s="42" t="str">
        <f>IF(COUNTIF($L$1689:L2295,L2295)&gt;1,"DOUBLON","OK")</f>
        <v>OK</v>
      </c>
      <c r="S2295" s="12" t="str">
        <v>England</v>
      </c>
      <c r="T2295" s="12" t="str">
        <f t="shared" si="171"/>
        <v>ERREUR</v>
      </c>
      <c r="U2295" s="12" t="str">
        <f t="shared" si="172"/>
        <v>AUCUNE</v>
      </c>
      <c r="V2295" s="12" t="str" cm="1">
        <f t="array" ref="V2295">_xlfn.IFS(
ISNUMBER(SEARCH("USA",S2295)),"United States",
ISNUMBER(SEARCH("Republic of Ireland",S2295)),"Ireland",
ISNUMBER(SEARCH("Republic of Korea",S2295)),"South Korea",
ISNUMBER(SEARCH("Cape Verde",S2295)),"Cabo Verde",
ISNUMBER(SEARCH("Czechia",S2295)),"Czech Republic",
ISNUMBER(SEARCH("Türkiye",S2295)),"Turkey",
ISNUMBER(SEARCH("Ivory Coast",S2295)),"Côte d'Ivoire",
ISNUMBER(SEARCH("Korea Republic",S2295)),"South Korea",
ISNUMBER(SEARCH("Germany FR",S2295)),"FR Germany",
ISNUMBER(SEARCH("West Germany",S2295)),"FR Germany",
ISNUMBER(SEARCH("Germany DR",S2295)),"DR Germany",
ISNUMBER(SEARCH("Korea DPR",S2295)),"North Korea",
ISNUMBER(SEARCH("China PR",S2295)),"China",
ISNUMBER(SEARCH("IR Iran",S2295)),"Iran",
ISNUMBER(SEARCH("Congo DR",S2295)),"Democratic Republic of the Congo",
ISNUMBER(SEARCH("DR Congo",S2295)),"Democratic Republic of the Congo",
ISNUMBER(SEARCH("German DR",S2295)),"DR Germany",
ISNUMBER(SEARCH("rn""&gt;United Arab Emirates",S2295)),"United Arab Emirates",
ISNUMBER(SEARCH("rn""&gt;Republic of Ireland",S2295)),"Ireland",
ISNUMBER(SEARCH("rn""&gt;Bosnia and Herzegovina",S2295)),"Bosnia and Herzegovina",
ISNUMBER(SEARCH("rn""&gt;Trinidad and Tobago",S2295)),"Trinidad and Tobago",
ISNUMBER(SEARCH("rn""&gt;Serbia and Montenegro",S2295)),"Serbia and Montenegro",
ISNUMBER(SEARCH(_xlfn.UNICHAR(65533),S2295)),"Côte d'Ivoire",
TRUE,""
)</f>
        <v/>
      </c>
      <c r="W2295" s="12" t="str">
        <f t="shared" si="173"/>
        <v>England</v>
      </c>
    </row>
    <row r="2296" spans="2:23">
      <c r="B2296" s="76" t="str">
        <v>2002.0</v>
      </c>
      <c r="C2296" s="42" t="str">
        <v xml:space="preserve">09 Jun 2002 - 20:30 </v>
      </c>
      <c r="D2296" s="42" t="str">
        <v>Group H</v>
      </c>
      <c r="E2296" s="42" t="str">
        <v>International Stadium Yokohama</v>
      </c>
      <c r="F2296" s="42" t="str">
        <v xml:space="preserve">Yokohama </v>
      </c>
      <c r="G2296" s="42" t="str">
        <v>Japan</v>
      </c>
      <c r="H2296" s="42" t="str">
        <v>1.0</v>
      </c>
      <c r="I2296" s="42" t="str">
        <v>0.0</v>
      </c>
      <c r="J2296" s="42" t="str">
        <v>Russia</v>
      </c>
      <c r="K2296" s="42" t="str">
        <v xml:space="preserve"> </v>
      </c>
      <c r="L2296" s="42" t="str">
        <f t="shared" si="170"/>
        <v xml:space="preserve">2002.0|09 Jun 2002 - 20:30 |Group H|International Stadium Yokohama|Yokohama |Japan|1.0|0.0|Russia| </v>
      </c>
      <c r="M2296" s="42" t="str">
        <f>IF(COUNTIF($L$1689:L2296,L2296)&gt;1,"DOUBLON","OK")</f>
        <v>OK</v>
      </c>
      <c r="S2296" s="12" t="str">
        <v>England</v>
      </c>
      <c r="T2296" s="12" t="str">
        <f t="shared" si="171"/>
        <v>ERREUR</v>
      </c>
      <c r="U2296" s="12" t="str">
        <f t="shared" si="172"/>
        <v>AUCUNE</v>
      </c>
      <c r="V2296" s="12" t="str" cm="1">
        <f t="array" ref="V2296">_xlfn.IFS(
ISNUMBER(SEARCH("USA",S2296)),"United States",
ISNUMBER(SEARCH("Republic of Ireland",S2296)),"Ireland",
ISNUMBER(SEARCH("Republic of Korea",S2296)),"South Korea",
ISNUMBER(SEARCH("Cape Verde",S2296)),"Cabo Verde",
ISNUMBER(SEARCH("Czechia",S2296)),"Czech Republic",
ISNUMBER(SEARCH("Türkiye",S2296)),"Turkey",
ISNUMBER(SEARCH("Ivory Coast",S2296)),"Côte d'Ivoire",
ISNUMBER(SEARCH("Korea Republic",S2296)),"South Korea",
ISNUMBER(SEARCH("Germany FR",S2296)),"FR Germany",
ISNUMBER(SEARCH("West Germany",S2296)),"FR Germany",
ISNUMBER(SEARCH("Germany DR",S2296)),"DR Germany",
ISNUMBER(SEARCH("Korea DPR",S2296)),"North Korea",
ISNUMBER(SEARCH("China PR",S2296)),"China",
ISNUMBER(SEARCH("IR Iran",S2296)),"Iran",
ISNUMBER(SEARCH("Congo DR",S2296)),"Democratic Republic of the Congo",
ISNUMBER(SEARCH("DR Congo",S2296)),"Democratic Republic of the Congo",
ISNUMBER(SEARCH("German DR",S2296)),"DR Germany",
ISNUMBER(SEARCH("rn""&gt;United Arab Emirates",S2296)),"United Arab Emirates",
ISNUMBER(SEARCH("rn""&gt;Republic of Ireland",S2296)),"Ireland",
ISNUMBER(SEARCH("rn""&gt;Bosnia and Herzegovina",S2296)),"Bosnia and Herzegovina",
ISNUMBER(SEARCH("rn""&gt;Trinidad and Tobago",S2296)),"Trinidad and Tobago",
ISNUMBER(SEARCH("rn""&gt;Serbia and Montenegro",S2296)),"Serbia and Montenegro",
ISNUMBER(SEARCH(_xlfn.UNICHAR(65533),S2296)),"Côte d'Ivoire",
TRUE,""
)</f>
        <v/>
      </c>
      <c r="W2296" s="12" t="str">
        <f t="shared" si="173"/>
        <v>England</v>
      </c>
    </row>
    <row r="2297" spans="2:23">
      <c r="B2297" s="76" t="str">
        <v>2002.0</v>
      </c>
      <c r="C2297" s="42" t="str">
        <v xml:space="preserve">09 Jun 2002 - 15:30 </v>
      </c>
      <c r="D2297" s="42" t="str">
        <v>Group G</v>
      </c>
      <c r="E2297" s="42" t="str">
        <v>Miyagi Stadium</v>
      </c>
      <c r="F2297" s="42" t="str">
        <v xml:space="preserve">Rifu </v>
      </c>
      <c r="G2297" s="42" t="str">
        <v>Mexico</v>
      </c>
      <c r="H2297" s="42" t="str">
        <v>2.0</v>
      </c>
      <c r="I2297" s="42" t="str">
        <v>1.0</v>
      </c>
      <c r="J2297" s="42" t="str">
        <v>Ecuador</v>
      </c>
      <c r="K2297" s="42" t="str">
        <v xml:space="preserve"> </v>
      </c>
      <c r="L2297" s="42" t="str">
        <f t="shared" si="170"/>
        <v xml:space="preserve">2002.0|09 Jun 2002 - 15:30 |Group G|Miyagi Stadium|Rifu |Mexico|2.0|1.0|Ecuador| </v>
      </c>
      <c r="M2297" s="42" t="str">
        <f>IF(COUNTIF($L$1689:L2297,L2297)&gt;1,"DOUBLON","OK")</f>
        <v>OK</v>
      </c>
      <c r="S2297" s="12" t="str">
        <v>England</v>
      </c>
      <c r="T2297" s="12" t="str">
        <f t="shared" si="171"/>
        <v>ERREUR</v>
      </c>
      <c r="U2297" s="12" t="str">
        <f t="shared" si="172"/>
        <v>AUCUNE</v>
      </c>
      <c r="V2297" s="12" t="str" cm="1">
        <f t="array" ref="V2297">_xlfn.IFS(
ISNUMBER(SEARCH("USA",S2297)),"United States",
ISNUMBER(SEARCH("Republic of Ireland",S2297)),"Ireland",
ISNUMBER(SEARCH("Republic of Korea",S2297)),"South Korea",
ISNUMBER(SEARCH("Cape Verde",S2297)),"Cabo Verde",
ISNUMBER(SEARCH("Czechia",S2297)),"Czech Republic",
ISNUMBER(SEARCH("Türkiye",S2297)),"Turkey",
ISNUMBER(SEARCH("Ivory Coast",S2297)),"Côte d'Ivoire",
ISNUMBER(SEARCH("Korea Republic",S2297)),"South Korea",
ISNUMBER(SEARCH("Germany FR",S2297)),"FR Germany",
ISNUMBER(SEARCH("West Germany",S2297)),"FR Germany",
ISNUMBER(SEARCH("Germany DR",S2297)),"DR Germany",
ISNUMBER(SEARCH("Korea DPR",S2297)),"North Korea",
ISNUMBER(SEARCH("China PR",S2297)),"China",
ISNUMBER(SEARCH("IR Iran",S2297)),"Iran",
ISNUMBER(SEARCH("Congo DR",S2297)),"Democratic Republic of the Congo",
ISNUMBER(SEARCH("DR Congo",S2297)),"Democratic Republic of the Congo",
ISNUMBER(SEARCH("German DR",S2297)),"DR Germany",
ISNUMBER(SEARCH("rn""&gt;United Arab Emirates",S2297)),"United Arab Emirates",
ISNUMBER(SEARCH("rn""&gt;Republic of Ireland",S2297)),"Ireland",
ISNUMBER(SEARCH("rn""&gt;Bosnia and Herzegovina",S2297)),"Bosnia and Herzegovina",
ISNUMBER(SEARCH("rn""&gt;Trinidad and Tobago",S2297)),"Trinidad and Tobago",
ISNUMBER(SEARCH("rn""&gt;Serbia and Montenegro",S2297)),"Serbia and Montenegro",
ISNUMBER(SEARCH(_xlfn.UNICHAR(65533),S2297)),"Côte d'Ivoire",
TRUE,""
)</f>
        <v/>
      </c>
      <c r="W2297" s="12" t="str">
        <f t="shared" si="173"/>
        <v>England</v>
      </c>
    </row>
    <row r="2298" spans="2:23">
      <c r="B2298" s="76" t="str">
        <v>2002.0</v>
      </c>
      <c r="C2298" s="42" t="str">
        <v xml:space="preserve">10 Jun 2002 - 15:30 </v>
      </c>
      <c r="D2298" s="42" t="str">
        <v>Group D</v>
      </c>
      <c r="E2298" s="42" t="str">
        <v>Daegu World Cup Stadium</v>
      </c>
      <c r="F2298" s="42" t="str">
        <v xml:space="preserve">Daegu </v>
      </c>
      <c r="G2298" s="42" t="str">
        <v>Korea Republic</v>
      </c>
      <c r="H2298" s="42" t="str">
        <v>1.0</v>
      </c>
      <c r="I2298" s="42" t="str">
        <v>1.0</v>
      </c>
      <c r="J2298" s="42" t="str">
        <v>USA</v>
      </c>
      <c r="K2298" s="42" t="str">
        <v xml:space="preserve"> </v>
      </c>
      <c r="L2298" s="42" t="str">
        <f t="shared" si="170"/>
        <v xml:space="preserve">2002.0|10 Jun 2002 - 15:30 |Group D|Daegu World Cup Stadium|Daegu |Korea Republic|1.0|1.0|USA| </v>
      </c>
      <c r="M2298" s="42" t="str">
        <f>IF(COUNTIF($L$1689:L2298,L2298)&gt;1,"DOUBLON","OK")</f>
        <v>OK</v>
      </c>
      <c r="S2298" s="12" t="str">
        <v>England</v>
      </c>
      <c r="T2298" s="12" t="str">
        <f t="shared" si="171"/>
        <v>ERREUR</v>
      </c>
      <c r="U2298" s="12" t="str">
        <f t="shared" si="172"/>
        <v>AUCUNE</v>
      </c>
      <c r="V2298" s="12" t="str" cm="1">
        <f t="array" ref="V2298">_xlfn.IFS(
ISNUMBER(SEARCH("USA",S2298)),"United States",
ISNUMBER(SEARCH("Republic of Ireland",S2298)),"Ireland",
ISNUMBER(SEARCH("Republic of Korea",S2298)),"South Korea",
ISNUMBER(SEARCH("Cape Verde",S2298)),"Cabo Verde",
ISNUMBER(SEARCH("Czechia",S2298)),"Czech Republic",
ISNUMBER(SEARCH("Türkiye",S2298)),"Turkey",
ISNUMBER(SEARCH("Ivory Coast",S2298)),"Côte d'Ivoire",
ISNUMBER(SEARCH("Korea Republic",S2298)),"South Korea",
ISNUMBER(SEARCH("Germany FR",S2298)),"FR Germany",
ISNUMBER(SEARCH("West Germany",S2298)),"FR Germany",
ISNUMBER(SEARCH("Germany DR",S2298)),"DR Germany",
ISNUMBER(SEARCH("Korea DPR",S2298)),"North Korea",
ISNUMBER(SEARCH("China PR",S2298)),"China",
ISNUMBER(SEARCH("IR Iran",S2298)),"Iran",
ISNUMBER(SEARCH("Congo DR",S2298)),"Democratic Republic of the Congo",
ISNUMBER(SEARCH("DR Congo",S2298)),"Democratic Republic of the Congo",
ISNUMBER(SEARCH("German DR",S2298)),"DR Germany",
ISNUMBER(SEARCH("rn""&gt;United Arab Emirates",S2298)),"United Arab Emirates",
ISNUMBER(SEARCH("rn""&gt;Republic of Ireland",S2298)),"Ireland",
ISNUMBER(SEARCH("rn""&gt;Bosnia and Herzegovina",S2298)),"Bosnia and Herzegovina",
ISNUMBER(SEARCH("rn""&gt;Trinidad and Tobago",S2298)),"Trinidad and Tobago",
ISNUMBER(SEARCH("rn""&gt;Serbia and Montenegro",S2298)),"Serbia and Montenegro",
ISNUMBER(SEARCH(_xlfn.UNICHAR(65533),S2298)),"Côte d'Ivoire",
TRUE,""
)</f>
        <v/>
      </c>
      <c r="W2298" s="12" t="str">
        <f t="shared" si="173"/>
        <v>England</v>
      </c>
    </row>
    <row r="2299" spans="2:23">
      <c r="B2299" s="76" t="str">
        <v>2002.0</v>
      </c>
      <c r="C2299" s="42" t="str">
        <v xml:space="preserve">10 Jun 2002 - 20:30 </v>
      </c>
      <c r="D2299" s="42" t="str">
        <v>Group D</v>
      </c>
      <c r="E2299" s="42" t="str">
        <v>Jeonju World Cup Stadium</v>
      </c>
      <c r="F2299" s="42" t="str">
        <v xml:space="preserve">Jeonju </v>
      </c>
      <c r="G2299" s="42" t="str">
        <v>Portugal</v>
      </c>
      <c r="H2299" s="42" t="str">
        <v>4.0</v>
      </c>
      <c r="I2299" s="42" t="str">
        <v>0.0</v>
      </c>
      <c r="J2299" s="42" t="str">
        <v>Poland</v>
      </c>
      <c r="K2299" s="42" t="str">
        <v xml:space="preserve"> </v>
      </c>
      <c r="L2299" s="42" t="str">
        <f t="shared" si="170"/>
        <v xml:space="preserve">2002.0|10 Jun 2002 - 20:30 |Group D|Jeonju World Cup Stadium|Jeonju |Portugal|4.0|0.0|Poland| </v>
      </c>
      <c r="M2299" s="42" t="str">
        <f>IF(COUNTIF($L$1689:L2299,L2299)&gt;1,"DOUBLON","OK")</f>
        <v>OK</v>
      </c>
      <c r="S2299" s="12" t="str">
        <v>England</v>
      </c>
      <c r="T2299" s="12" t="str">
        <f t="shared" si="171"/>
        <v>ERREUR</v>
      </c>
      <c r="U2299" s="12" t="str">
        <f t="shared" si="172"/>
        <v>AUCUNE</v>
      </c>
      <c r="V2299" s="12" t="str" cm="1">
        <f t="array" ref="V2299">_xlfn.IFS(
ISNUMBER(SEARCH("USA",S2299)),"United States",
ISNUMBER(SEARCH("Republic of Ireland",S2299)),"Ireland",
ISNUMBER(SEARCH("Republic of Korea",S2299)),"South Korea",
ISNUMBER(SEARCH("Cape Verde",S2299)),"Cabo Verde",
ISNUMBER(SEARCH("Czechia",S2299)),"Czech Republic",
ISNUMBER(SEARCH("Türkiye",S2299)),"Turkey",
ISNUMBER(SEARCH("Ivory Coast",S2299)),"Côte d'Ivoire",
ISNUMBER(SEARCH("Korea Republic",S2299)),"South Korea",
ISNUMBER(SEARCH("Germany FR",S2299)),"FR Germany",
ISNUMBER(SEARCH("West Germany",S2299)),"FR Germany",
ISNUMBER(SEARCH("Germany DR",S2299)),"DR Germany",
ISNUMBER(SEARCH("Korea DPR",S2299)),"North Korea",
ISNUMBER(SEARCH("China PR",S2299)),"China",
ISNUMBER(SEARCH("IR Iran",S2299)),"Iran",
ISNUMBER(SEARCH("Congo DR",S2299)),"Democratic Republic of the Congo",
ISNUMBER(SEARCH("DR Congo",S2299)),"Democratic Republic of the Congo",
ISNUMBER(SEARCH("German DR",S2299)),"DR Germany",
ISNUMBER(SEARCH("rn""&gt;United Arab Emirates",S2299)),"United Arab Emirates",
ISNUMBER(SEARCH("rn""&gt;Republic of Ireland",S2299)),"Ireland",
ISNUMBER(SEARCH("rn""&gt;Bosnia and Herzegovina",S2299)),"Bosnia and Herzegovina",
ISNUMBER(SEARCH("rn""&gt;Trinidad and Tobago",S2299)),"Trinidad and Tobago",
ISNUMBER(SEARCH("rn""&gt;Serbia and Montenegro",S2299)),"Serbia and Montenegro",
ISNUMBER(SEARCH(_xlfn.UNICHAR(65533),S2299)),"Côte d'Ivoire",
TRUE,""
)</f>
        <v/>
      </c>
      <c r="W2299" s="12" t="str">
        <f t="shared" si="173"/>
        <v>England</v>
      </c>
    </row>
    <row r="2300" spans="2:23">
      <c r="B2300" s="76" t="str">
        <v>2002.0</v>
      </c>
      <c r="C2300" s="42" t="str">
        <v xml:space="preserve">10 Jun 2002 - 18:00 </v>
      </c>
      <c r="D2300" s="42" t="str">
        <v>Group H</v>
      </c>
      <c r="E2300" s="42" t="str">
        <v>Oita Stadium Big Eye</v>
      </c>
      <c r="F2300" s="42" t="str">
        <v xml:space="preserve">Oita </v>
      </c>
      <c r="G2300" s="42" t="str">
        <v>Tunisia</v>
      </c>
      <c r="H2300" s="42" t="str">
        <v>1.0</v>
      </c>
      <c r="I2300" s="42" t="str">
        <v>1.0</v>
      </c>
      <c r="J2300" s="42" t="str">
        <v>Belgium</v>
      </c>
      <c r="K2300" s="42" t="str">
        <v xml:space="preserve"> </v>
      </c>
      <c r="L2300" s="42" t="str">
        <f t="shared" si="170"/>
        <v xml:space="preserve">2002.0|10 Jun 2002 - 18:00 |Group H|Oita Stadium Big Eye|Oita |Tunisia|1.0|1.0|Belgium| </v>
      </c>
      <c r="M2300" s="42" t="str">
        <f>IF(COUNTIF($L$1689:L2300,L2300)&gt;1,"DOUBLON","OK")</f>
        <v>OK</v>
      </c>
      <c r="S2300" s="12" t="str">
        <v>England</v>
      </c>
      <c r="T2300" s="12" t="str">
        <f t="shared" si="171"/>
        <v>ERREUR</v>
      </c>
      <c r="U2300" s="12" t="str">
        <f t="shared" si="172"/>
        <v>AUCUNE</v>
      </c>
      <c r="V2300" s="12" t="str" cm="1">
        <f t="array" ref="V2300">_xlfn.IFS(
ISNUMBER(SEARCH("USA",S2300)),"United States",
ISNUMBER(SEARCH("Republic of Ireland",S2300)),"Ireland",
ISNUMBER(SEARCH("Republic of Korea",S2300)),"South Korea",
ISNUMBER(SEARCH("Cape Verde",S2300)),"Cabo Verde",
ISNUMBER(SEARCH("Czechia",S2300)),"Czech Republic",
ISNUMBER(SEARCH("Türkiye",S2300)),"Turkey",
ISNUMBER(SEARCH("Ivory Coast",S2300)),"Côte d'Ivoire",
ISNUMBER(SEARCH("Korea Republic",S2300)),"South Korea",
ISNUMBER(SEARCH("Germany FR",S2300)),"FR Germany",
ISNUMBER(SEARCH("West Germany",S2300)),"FR Germany",
ISNUMBER(SEARCH("Germany DR",S2300)),"DR Germany",
ISNUMBER(SEARCH("Korea DPR",S2300)),"North Korea",
ISNUMBER(SEARCH("China PR",S2300)),"China",
ISNUMBER(SEARCH("IR Iran",S2300)),"Iran",
ISNUMBER(SEARCH("Congo DR",S2300)),"Democratic Republic of the Congo",
ISNUMBER(SEARCH("DR Congo",S2300)),"Democratic Republic of the Congo",
ISNUMBER(SEARCH("German DR",S2300)),"DR Germany",
ISNUMBER(SEARCH("rn""&gt;United Arab Emirates",S2300)),"United Arab Emirates",
ISNUMBER(SEARCH("rn""&gt;Republic of Ireland",S2300)),"Ireland",
ISNUMBER(SEARCH("rn""&gt;Bosnia and Herzegovina",S2300)),"Bosnia and Herzegovina",
ISNUMBER(SEARCH("rn""&gt;Trinidad and Tobago",S2300)),"Trinidad and Tobago",
ISNUMBER(SEARCH("rn""&gt;Serbia and Montenegro",S2300)),"Serbia and Montenegro",
ISNUMBER(SEARCH(_xlfn.UNICHAR(65533),S2300)),"Côte d'Ivoire",
TRUE,""
)</f>
        <v/>
      </c>
      <c r="W2300" s="12" t="str">
        <f t="shared" si="173"/>
        <v>England</v>
      </c>
    </row>
    <row r="2301" spans="2:23">
      <c r="B2301" s="76" t="str">
        <v>2002.0</v>
      </c>
      <c r="C2301" s="42" t="str">
        <v xml:space="preserve">11 Jun 2002 - 15:30 </v>
      </c>
      <c r="D2301" s="42" t="str">
        <v>Group A</v>
      </c>
      <c r="E2301" s="42" t="str">
        <v>Incheon Football Stadium</v>
      </c>
      <c r="F2301" s="42" t="str">
        <v xml:space="preserve">Incheon </v>
      </c>
      <c r="G2301" s="42" t="str">
        <v>Denmark</v>
      </c>
      <c r="H2301" s="42" t="str">
        <v>2.0</v>
      </c>
      <c r="I2301" s="42" t="str">
        <v>0.0</v>
      </c>
      <c r="J2301" s="42" t="str">
        <v>France</v>
      </c>
      <c r="K2301" s="42" t="str">
        <v xml:space="preserve"> </v>
      </c>
      <c r="L2301" s="42" t="str">
        <f t="shared" si="170"/>
        <v xml:space="preserve">2002.0|11 Jun 2002 - 15:30 |Group A|Incheon Football Stadium|Incheon |Denmark|2.0|0.0|France| </v>
      </c>
      <c r="M2301" s="42" t="str">
        <f>IF(COUNTIF($L$1689:L2301,L2301)&gt;1,"DOUBLON","OK")</f>
        <v>OK</v>
      </c>
      <c r="S2301" s="12" t="str">
        <v>England</v>
      </c>
      <c r="T2301" s="12" t="str">
        <f t="shared" si="171"/>
        <v>ERREUR</v>
      </c>
      <c r="U2301" s="12" t="str">
        <f t="shared" si="172"/>
        <v>AUCUNE</v>
      </c>
      <c r="V2301" s="12" t="str" cm="1">
        <f t="array" ref="V2301">_xlfn.IFS(
ISNUMBER(SEARCH("USA",S2301)),"United States",
ISNUMBER(SEARCH("Republic of Ireland",S2301)),"Ireland",
ISNUMBER(SEARCH("Republic of Korea",S2301)),"South Korea",
ISNUMBER(SEARCH("Cape Verde",S2301)),"Cabo Verde",
ISNUMBER(SEARCH("Czechia",S2301)),"Czech Republic",
ISNUMBER(SEARCH("Türkiye",S2301)),"Turkey",
ISNUMBER(SEARCH("Ivory Coast",S2301)),"Côte d'Ivoire",
ISNUMBER(SEARCH("Korea Republic",S2301)),"South Korea",
ISNUMBER(SEARCH("Germany FR",S2301)),"FR Germany",
ISNUMBER(SEARCH("West Germany",S2301)),"FR Germany",
ISNUMBER(SEARCH("Germany DR",S2301)),"DR Germany",
ISNUMBER(SEARCH("Korea DPR",S2301)),"North Korea",
ISNUMBER(SEARCH("China PR",S2301)),"China",
ISNUMBER(SEARCH("IR Iran",S2301)),"Iran",
ISNUMBER(SEARCH("Congo DR",S2301)),"Democratic Republic of the Congo",
ISNUMBER(SEARCH("DR Congo",S2301)),"Democratic Republic of the Congo",
ISNUMBER(SEARCH("German DR",S2301)),"DR Germany",
ISNUMBER(SEARCH("rn""&gt;United Arab Emirates",S2301)),"United Arab Emirates",
ISNUMBER(SEARCH("rn""&gt;Republic of Ireland",S2301)),"Ireland",
ISNUMBER(SEARCH("rn""&gt;Bosnia and Herzegovina",S2301)),"Bosnia and Herzegovina",
ISNUMBER(SEARCH("rn""&gt;Trinidad and Tobago",S2301)),"Trinidad and Tobago",
ISNUMBER(SEARCH("rn""&gt;Serbia and Montenegro",S2301)),"Serbia and Montenegro",
ISNUMBER(SEARCH(_xlfn.UNICHAR(65533),S2301)),"Côte d'Ivoire",
TRUE,""
)</f>
        <v/>
      </c>
      <c r="W2301" s="12" t="str">
        <f t="shared" si="173"/>
        <v>England</v>
      </c>
    </row>
    <row r="2302" spans="2:23">
      <c r="B2302" s="76" t="str">
        <v>2002.0</v>
      </c>
      <c r="C2302" s="42" t="str">
        <v xml:space="preserve">11 June 2002 - 15:30 </v>
      </c>
      <c r="D2302" s="42" t="str">
        <v>Group A</v>
      </c>
      <c r="E2302" s="42" t="str">
        <v>Suwon World Cup Stadium</v>
      </c>
      <c r="F2302" s="42" t="str">
        <v xml:space="preserve">Suwon </v>
      </c>
      <c r="G2302" s="42" t="str">
        <v>Senegal</v>
      </c>
      <c r="H2302" s="42" t="str">
        <v>3.0</v>
      </c>
      <c r="I2302" s="42" t="str">
        <v>3.0</v>
      </c>
      <c r="J2302" s="42" t="str">
        <v>Uruguay</v>
      </c>
      <c r="K2302" s="42" t="str">
        <v xml:space="preserve"> </v>
      </c>
      <c r="L2302" s="42" t="str">
        <f t="shared" si="170"/>
        <v xml:space="preserve">2002.0|11 June 2002 - 15:30 |Group A|Suwon World Cup Stadium|Suwon |Senegal|3.0|3.0|Uruguay| </v>
      </c>
      <c r="M2302" s="42" t="str">
        <f>IF(COUNTIF($L$1689:L2302,L2302)&gt;1,"DOUBLON","OK")</f>
        <v>OK</v>
      </c>
      <c r="S2302" s="12" t="str">
        <v>England</v>
      </c>
      <c r="T2302" s="12" t="str">
        <f t="shared" si="171"/>
        <v>ERREUR</v>
      </c>
      <c r="U2302" s="12" t="str">
        <f t="shared" si="172"/>
        <v>AUCUNE</v>
      </c>
      <c r="V2302" s="12" t="str" cm="1">
        <f t="array" ref="V2302">_xlfn.IFS(
ISNUMBER(SEARCH("USA",S2302)),"United States",
ISNUMBER(SEARCH("Republic of Ireland",S2302)),"Ireland",
ISNUMBER(SEARCH("Republic of Korea",S2302)),"South Korea",
ISNUMBER(SEARCH("Cape Verde",S2302)),"Cabo Verde",
ISNUMBER(SEARCH("Czechia",S2302)),"Czech Republic",
ISNUMBER(SEARCH("Türkiye",S2302)),"Turkey",
ISNUMBER(SEARCH("Ivory Coast",S2302)),"Côte d'Ivoire",
ISNUMBER(SEARCH("Korea Republic",S2302)),"South Korea",
ISNUMBER(SEARCH("Germany FR",S2302)),"FR Germany",
ISNUMBER(SEARCH("West Germany",S2302)),"FR Germany",
ISNUMBER(SEARCH("Germany DR",S2302)),"DR Germany",
ISNUMBER(SEARCH("Korea DPR",S2302)),"North Korea",
ISNUMBER(SEARCH("China PR",S2302)),"China",
ISNUMBER(SEARCH("IR Iran",S2302)),"Iran",
ISNUMBER(SEARCH("Congo DR",S2302)),"Democratic Republic of the Congo",
ISNUMBER(SEARCH("DR Congo",S2302)),"Democratic Republic of the Congo",
ISNUMBER(SEARCH("German DR",S2302)),"DR Germany",
ISNUMBER(SEARCH("rn""&gt;United Arab Emirates",S2302)),"United Arab Emirates",
ISNUMBER(SEARCH("rn""&gt;Republic of Ireland",S2302)),"Ireland",
ISNUMBER(SEARCH("rn""&gt;Bosnia and Herzegovina",S2302)),"Bosnia and Herzegovina",
ISNUMBER(SEARCH("rn""&gt;Trinidad and Tobago",S2302)),"Trinidad and Tobago",
ISNUMBER(SEARCH("rn""&gt;Serbia and Montenegro",S2302)),"Serbia and Montenegro",
ISNUMBER(SEARCH(_xlfn.UNICHAR(65533),S2302)),"Côte d'Ivoire",
TRUE,""
)</f>
        <v/>
      </c>
      <c r="W2302" s="12" t="str">
        <f t="shared" si="173"/>
        <v>England</v>
      </c>
    </row>
    <row r="2303" spans="2:23">
      <c r="B2303" s="76" t="str">
        <v>2002.0</v>
      </c>
      <c r="C2303" s="42" t="str">
        <v xml:space="preserve">11 Jun 2002 - 20:30 </v>
      </c>
      <c r="D2303" s="42" t="str">
        <v>Group E</v>
      </c>
      <c r="E2303" s="42" t="str">
        <v>International Stadium Yokohama</v>
      </c>
      <c r="F2303" s="42" t="str">
        <v xml:space="preserve">Yokohama </v>
      </c>
      <c r="G2303" s="42" t="str">
        <v>Saudi Arabia</v>
      </c>
      <c r="H2303" s="42" t="str">
        <v>0.0</v>
      </c>
      <c r="I2303" s="42" t="str">
        <v>3.0</v>
      </c>
      <c r="J2303" s="42" t="str">
        <v>rn"&gt;Republic of Ireland</v>
      </c>
      <c r="K2303" s="42" t="str">
        <v xml:space="preserve"> </v>
      </c>
      <c r="L2303" s="42" t="str">
        <f t="shared" si="170"/>
        <v xml:space="preserve">2002.0|11 Jun 2002 - 20:30 |Group E|International Stadium Yokohama|Yokohama |Saudi Arabia|0.0|3.0|rn"&gt;Republic of Ireland| </v>
      </c>
      <c r="M2303" s="42" t="str">
        <f>IF(COUNTIF($L$1689:L2303,L2303)&gt;1,"DOUBLON","OK")</f>
        <v>OK</v>
      </c>
      <c r="S2303" s="12" t="str">
        <v>England</v>
      </c>
      <c r="T2303" s="12" t="str">
        <f t="shared" si="171"/>
        <v>ERREUR</v>
      </c>
      <c r="U2303" s="12" t="str">
        <f t="shared" si="172"/>
        <v>AUCUNE</v>
      </c>
      <c r="V2303" s="12" t="str" cm="1">
        <f t="array" ref="V2303">_xlfn.IFS(
ISNUMBER(SEARCH("USA",S2303)),"United States",
ISNUMBER(SEARCH("Republic of Ireland",S2303)),"Ireland",
ISNUMBER(SEARCH("Republic of Korea",S2303)),"South Korea",
ISNUMBER(SEARCH("Cape Verde",S2303)),"Cabo Verde",
ISNUMBER(SEARCH("Czechia",S2303)),"Czech Republic",
ISNUMBER(SEARCH("Türkiye",S2303)),"Turkey",
ISNUMBER(SEARCH("Ivory Coast",S2303)),"Côte d'Ivoire",
ISNUMBER(SEARCH("Korea Republic",S2303)),"South Korea",
ISNUMBER(SEARCH("Germany FR",S2303)),"FR Germany",
ISNUMBER(SEARCH("West Germany",S2303)),"FR Germany",
ISNUMBER(SEARCH("Germany DR",S2303)),"DR Germany",
ISNUMBER(SEARCH("Korea DPR",S2303)),"North Korea",
ISNUMBER(SEARCH("China PR",S2303)),"China",
ISNUMBER(SEARCH("IR Iran",S2303)),"Iran",
ISNUMBER(SEARCH("Congo DR",S2303)),"Democratic Republic of the Congo",
ISNUMBER(SEARCH("DR Congo",S2303)),"Democratic Republic of the Congo",
ISNUMBER(SEARCH("German DR",S2303)),"DR Germany",
ISNUMBER(SEARCH("rn""&gt;United Arab Emirates",S2303)),"United Arab Emirates",
ISNUMBER(SEARCH("rn""&gt;Republic of Ireland",S2303)),"Ireland",
ISNUMBER(SEARCH("rn""&gt;Bosnia and Herzegovina",S2303)),"Bosnia and Herzegovina",
ISNUMBER(SEARCH("rn""&gt;Trinidad and Tobago",S2303)),"Trinidad and Tobago",
ISNUMBER(SEARCH("rn""&gt;Serbia and Montenegro",S2303)),"Serbia and Montenegro",
ISNUMBER(SEARCH(_xlfn.UNICHAR(65533),S2303)),"Côte d'Ivoire",
TRUE,""
)</f>
        <v/>
      </c>
      <c r="W2303" s="12" t="str">
        <f t="shared" si="173"/>
        <v>England</v>
      </c>
    </row>
    <row r="2304" spans="2:23">
      <c r="B2304" s="76" t="str">
        <v>2002.0</v>
      </c>
      <c r="C2304" s="42" t="str">
        <v xml:space="preserve">11 Jun 2002 - 20:30 </v>
      </c>
      <c r="D2304" s="42" t="str">
        <v>Group E</v>
      </c>
      <c r="E2304" s="42" t="str">
        <v>Shizuoka Stadium Ecopa</v>
      </c>
      <c r="F2304" s="42" t="str">
        <v xml:space="preserve">Shizuoka </v>
      </c>
      <c r="G2304" s="42" t="str">
        <v>Cameroon</v>
      </c>
      <c r="H2304" s="42" t="str">
        <v>0.0</v>
      </c>
      <c r="I2304" s="42" t="str">
        <v>2.0</v>
      </c>
      <c r="J2304" s="42" t="str">
        <v>Germany</v>
      </c>
      <c r="K2304" s="42" t="str">
        <v xml:space="preserve"> </v>
      </c>
      <c r="L2304" s="42" t="str">
        <f t="shared" si="170"/>
        <v xml:space="preserve">2002.0|11 Jun 2002 - 20:30 |Group E|Shizuoka Stadium Ecopa|Shizuoka |Cameroon|0.0|2.0|Germany| </v>
      </c>
      <c r="M2304" s="42" t="str">
        <f>IF(COUNTIF($L$1689:L2304,L2304)&gt;1,"DOUBLON","OK")</f>
        <v>OK</v>
      </c>
      <c r="S2304" s="12" t="str">
        <v>England</v>
      </c>
      <c r="T2304" s="12" t="str">
        <f t="shared" si="171"/>
        <v>ERREUR</v>
      </c>
      <c r="U2304" s="12" t="str">
        <f t="shared" si="172"/>
        <v>AUCUNE</v>
      </c>
      <c r="V2304" s="12" t="str" cm="1">
        <f t="array" ref="V2304">_xlfn.IFS(
ISNUMBER(SEARCH("USA",S2304)),"United States",
ISNUMBER(SEARCH("Republic of Ireland",S2304)),"Ireland",
ISNUMBER(SEARCH("Republic of Korea",S2304)),"South Korea",
ISNUMBER(SEARCH("Cape Verde",S2304)),"Cabo Verde",
ISNUMBER(SEARCH("Czechia",S2304)),"Czech Republic",
ISNUMBER(SEARCH("Türkiye",S2304)),"Turkey",
ISNUMBER(SEARCH("Ivory Coast",S2304)),"Côte d'Ivoire",
ISNUMBER(SEARCH("Korea Republic",S2304)),"South Korea",
ISNUMBER(SEARCH("Germany FR",S2304)),"FR Germany",
ISNUMBER(SEARCH("West Germany",S2304)),"FR Germany",
ISNUMBER(SEARCH("Germany DR",S2304)),"DR Germany",
ISNUMBER(SEARCH("Korea DPR",S2304)),"North Korea",
ISNUMBER(SEARCH("China PR",S2304)),"China",
ISNUMBER(SEARCH("IR Iran",S2304)),"Iran",
ISNUMBER(SEARCH("Congo DR",S2304)),"Democratic Republic of the Congo",
ISNUMBER(SEARCH("DR Congo",S2304)),"Democratic Republic of the Congo",
ISNUMBER(SEARCH("German DR",S2304)),"DR Germany",
ISNUMBER(SEARCH("rn""&gt;United Arab Emirates",S2304)),"United Arab Emirates",
ISNUMBER(SEARCH("rn""&gt;Republic of Ireland",S2304)),"Ireland",
ISNUMBER(SEARCH("rn""&gt;Bosnia and Herzegovina",S2304)),"Bosnia and Herzegovina",
ISNUMBER(SEARCH("rn""&gt;Trinidad and Tobago",S2304)),"Trinidad and Tobago",
ISNUMBER(SEARCH("rn""&gt;Serbia and Montenegro",S2304)),"Serbia and Montenegro",
ISNUMBER(SEARCH(_xlfn.UNICHAR(65533),S2304)),"Côte d'Ivoire",
TRUE,""
)</f>
        <v/>
      </c>
      <c r="W2304" s="12" t="str">
        <f t="shared" si="173"/>
        <v>England</v>
      </c>
    </row>
    <row r="2305" spans="2:23">
      <c r="B2305" s="76" t="str">
        <v>2002.0</v>
      </c>
      <c r="C2305" s="42" t="str">
        <v xml:space="preserve">12 Jun 2002 - 15:30 </v>
      </c>
      <c r="D2305" s="42" t="str">
        <v>Group F</v>
      </c>
      <c r="E2305" s="42" t="str">
        <v>Miyagi Stadium</v>
      </c>
      <c r="F2305" s="42" t="str">
        <v xml:space="preserve">Rifu </v>
      </c>
      <c r="G2305" s="42" t="str">
        <v>Sweden</v>
      </c>
      <c r="H2305" s="42" t="str">
        <v>1.0</v>
      </c>
      <c r="I2305" s="42" t="str">
        <v>1.0</v>
      </c>
      <c r="J2305" s="42" t="str">
        <v>Argentina</v>
      </c>
      <c r="K2305" s="42" t="str">
        <v xml:space="preserve"> </v>
      </c>
      <c r="L2305" s="42" t="str">
        <f t="shared" si="170"/>
        <v xml:space="preserve">2002.0|12 Jun 2002 - 15:30 |Group F|Miyagi Stadium|Rifu |Sweden|1.0|1.0|Argentina| </v>
      </c>
      <c r="M2305" s="42" t="str">
        <f>IF(COUNTIF($L$1689:L2305,L2305)&gt;1,"DOUBLON","OK")</f>
        <v>OK</v>
      </c>
      <c r="S2305" s="12" t="str">
        <v>England</v>
      </c>
      <c r="T2305" s="12" t="str">
        <f t="shared" si="171"/>
        <v>ERREUR</v>
      </c>
      <c r="U2305" s="12" t="str">
        <f t="shared" si="172"/>
        <v>AUCUNE</v>
      </c>
      <c r="V2305" s="12" t="str" cm="1">
        <f t="array" ref="V2305">_xlfn.IFS(
ISNUMBER(SEARCH("USA",S2305)),"United States",
ISNUMBER(SEARCH("Republic of Ireland",S2305)),"Ireland",
ISNUMBER(SEARCH("Republic of Korea",S2305)),"South Korea",
ISNUMBER(SEARCH("Cape Verde",S2305)),"Cabo Verde",
ISNUMBER(SEARCH("Czechia",S2305)),"Czech Republic",
ISNUMBER(SEARCH("Türkiye",S2305)),"Turkey",
ISNUMBER(SEARCH("Ivory Coast",S2305)),"Côte d'Ivoire",
ISNUMBER(SEARCH("Korea Republic",S2305)),"South Korea",
ISNUMBER(SEARCH("Germany FR",S2305)),"FR Germany",
ISNUMBER(SEARCH("West Germany",S2305)),"FR Germany",
ISNUMBER(SEARCH("Germany DR",S2305)),"DR Germany",
ISNUMBER(SEARCH("Korea DPR",S2305)),"North Korea",
ISNUMBER(SEARCH("China PR",S2305)),"China",
ISNUMBER(SEARCH("IR Iran",S2305)),"Iran",
ISNUMBER(SEARCH("Congo DR",S2305)),"Democratic Republic of the Congo",
ISNUMBER(SEARCH("DR Congo",S2305)),"Democratic Republic of the Congo",
ISNUMBER(SEARCH("German DR",S2305)),"DR Germany",
ISNUMBER(SEARCH("rn""&gt;United Arab Emirates",S2305)),"United Arab Emirates",
ISNUMBER(SEARCH("rn""&gt;Republic of Ireland",S2305)),"Ireland",
ISNUMBER(SEARCH("rn""&gt;Bosnia and Herzegovina",S2305)),"Bosnia and Herzegovina",
ISNUMBER(SEARCH("rn""&gt;Trinidad and Tobago",S2305)),"Trinidad and Tobago",
ISNUMBER(SEARCH("rn""&gt;Serbia and Montenegro",S2305)),"Serbia and Montenegro",
ISNUMBER(SEARCH(_xlfn.UNICHAR(65533),S2305)),"Côte d'Ivoire",
TRUE,""
)</f>
        <v/>
      </c>
      <c r="W2305" s="12" t="str">
        <f t="shared" si="173"/>
        <v>England</v>
      </c>
    </row>
    <row r="2306" spans="2:23">
      <c r="B2306" s="76" t="str">
        <v>2002.0</v>
      </c>
      <c r="C2306" s="42" t="str">
        <v xml:space="preserve">12 Jun 2002 - 15:30 </v>
      </c>
      <c r="D2306" s="42" t="str">
        <v>Group F</v>
      </c>
      <c r="E2306" s="42" t="str">
        <v>Osaka Nagai Stadium</v>
      </c>
      <c r="F2306" s="42" t="str">
        <v xml:space="preserve">Osaka </v>
      </c>
      <c r="G2306" s="42" t="str">
        <v>Nigeria</v>
      </c>
      <c r="H2306" s="42" t="str">
        <v>0.0</v>
      </c>
      <c r="I2306" s="42" t="str">
        <v>0.0</v>
      </c>
      <c r="J2306" s="42" t="str">
        <v>England</v>
      </c>
      <c r="K2306" s="42" t="str">
        <v xml:space="preserve"> </v>
      </c>
      <c r="L2306" s="42" t="str">
        <f t="shared" si="170"/>
        <v xml:space="preserve">2002.0|12 Jun 2002 - 15:30 |Group F|Osaka Nagai Stadium|Osaka |Nigeria|0.0|0.0|England| </v>
      </c>
      <c r="M2306" s="42" t="str">
        <f>IF(COUNTIF($L$1689:L2306,L2306)&gt;1,"DOUBLON","OK")</f>
        <v>OK</v>
      </c>
      <c r="S2306" s="12" t="str">
        <v>England</v>
      </c>
      <c r="T2306" s="12" t="str">
        <f t="shared" si="171"/>
        <v>ERREUR</v>
      </c>
      <c r="U2306" s="12" t="str">
        <f t="shared" si="172"/>
        <v>AUCUNE</v>
      </c>
      <c r="V2306" s="12" t="str" cm="1">
        <f t="array" ref="V2306">_xlfn.IFS(
ISNUMBER(SEARCH("USA",S2306)),"United States",
ISNUMBER(SEARCH("Republic of Ireland",S2306)),"Ireland",
ISNUMBER(SEARCH("Republic of Korea",S2306)),"South Korea",
ISNUMBER(SEARCH("Cape Verde",S2306)),"Cabo Verde",
ISNUMBER(SEARCH("Czechia",S2306)),"Czech Republic",
ISNUMBER(SEARCH("Türkiye",S2306)),"Turkey",
ISNUMBER(SEARCH("Ivory Coast",S2306)),"Côte d'Ivoire",
ISNUMBER(SEARCH("Korea Republic",S2306)),"South Korea",
ISNUMBER(SEARCH("Germany FR",S2306)),"FR Germany",
ISNUMBER(SEARCH("West Germany",S2306)),"FR Germany",
ISNUMBER(SEARCH("Germany DR",S2306)),"DR Germany",
ISNUMBER(SEARCH("Korea DPR",S2306)),"North Korea",
ISNUMBER(SEARCH("China PR",S2306)),"China",
ISNUMBER(SEARCH("IR Iran",S2306)),"Iran",
ISNUMBER(SEARCH("Congo DR",S2306)),"Democratic Republic of the Congo",
ISNUMBER(SEARCH("DR Congo",S2306)),"Democratic Republic of the Congo",
ISNUMBER(SEARCH("German DR",S2306)),"DR Germany",
ISNUMBER(SEARCH("rn""&gt;United Arab Emirates",S2306)),"United Arab Emirates",
ISNUMBER(SEARCH("rn""&gt;Republic of Ireland",S2306)),"Ireland",
ISNUMBER(SEARCH("rn""&gt;Bosnia and Herzegovina",S2306)),"Bosnia and Herzegovina",
ISNUMBER(SEARCH("rn""&gt;Trinidad and Tobago",S2306)),"Trinidad and Tobago",
ISNUMBER(SEARCH("rn""&gt;Serbia and Montenegro",S2306)),"Serbia and Montenegro",
ISNUMBER(SEARCH(_xlfn.UNICHAR(65533),S2306)),"Côte d'Ivoire",
TRUE,""
)</f>
        <v/>
      </c>
      <c r="W2306" s="12" t="str">
        <f t="shared" si="173"/>
        <v>England</v>
      </c>
    </row>
    <row r="2307" spans="2:23">
      <c r="B2307" s="76" t="str">
        <v>2002.0</v>
      </c>
      <c r="C2307" s="42" t="str">
        <v xml:space="preserve">12 Jun 2002 - 20:30 </v>
      </c>
      <c r="D2307" s="42" t="str">
        <v>Group B</v>
      </c>
      <c r="E2307" s="42" t="str">
        <v>Jeju World Cup Stadium</v>
      </c>
      <c r="F2307" s="42" t="str">
        <v xml:space="preserve">Jeju </v>
      </c>
      <c r="G2307" s="42" t="str">
        <v>Slovenia</v>
      </c>
      <c r="H2307" s="42" t="str">
        <v>1.0</v>
      </c>
      <c r="I2307" s="42" t="str">
        <v>3.0</v>
      </c>
      <c r="J2307" s="42" t="str">
        <v>Paraguay</v>
      </c>
      <c r="K2307" s="42" t="str">
        <v xml:space="preserve"> </v>
      </c>
      <c r="L2307" s="42" t="str">
        <f t="shared" si="170"/>
        <v xml:space="preserve">2002.0|12 Jun 2002 - 20:30 |Group B|Jeju World Cup Stadium|Jeju |Slovenia|1.0|3.0|Paraguay| </v>
      </c>
      <c r="M2307" s="42" t="str">
        <f>IF(COUNTIF($L$1689:L2307,L2307)&gt;1,"DOUBLON","OK")</f>
        <v>OK</v>
      </c>
      <c r="S2307" s="12" t="str">
        <v>England</v>
      </c>
      <c r="T2307" s="12" t="str">
        <f t="shared" si="171"/>
        <v>ERREUR</v>
      </c>
      <c r="U2307" s="12" t="str">
        <f t="shared" si="172"/>
        <v>AUCUNE</v>
      </c>
      <c r="V2307" s="12" t="str" cm="1">
        <f t="array" ref="V2307">_xlfn.IFS(
ISNUMBER(SEARCH("USA",S2307)),"United States",
ISNUMBER(SEARCH("Republic of Ireland",S2307)),"Ireland",
ISNUMBER(SEARCH("Republic of Korea",S2307)),"South Korea",
ISNUMBER(SEARCH("Cape Verde",S2307)),"Cabo Verde",
ISNUMBER(SEARCH("Czechia",S2307)),"Czech Republic",
ISNUMBER(SEARCH("Türkiye",S2307)),"Turkey",
ISNUMBER(SEARCH("Ivory Coast",S2307)),"Côte d'Ivoire",
ISNUMBER(SEARCH("Korea Republic",S2307)),"South Korea",
ISNUMBER(SEARCH("Germany FR",S2307)),"FR Germany",
ISNUMBER(SEARCH("West Germany",S2307)),"FR Germany",
ISNUMBER(SEARCH("Germany DR",S2307)),"DR Germany",
ISNUMBER(SEARCH("Korea DPR",S2307)),"North Korea",
ISNUMBER(SEARCH("China PR",S2307)),"China",
ISNUMBER(SEARCH("IR Iran",S2307)),"Iran",
ISNUMBER(SEARCH("Congo DR",S2307)),"Democratic Republic of the Congo",
ISNUMBER(SEARCH("DR Congo",S2307)),"Democratic Republic of the Congo",
ISNUMBER(SEARCH("German DR",S2307)),"DR Germany",
ISNUMBER(SEARCH("rn""&gt;United Arab Emirates",S2307)),"United Arab Emirates",
ISNUMBER(SEARCH("rn""&gt;Republic of Ireland",S2307)),"Ireland",
ISNUMBER(SEARCH("rn""&gt;Bosnia and Herzegovina",S2307)),"Bosnia and Herzegovina",
ISNUMBER(SEARCH("rn""&gt;Trinidad and Tobago",S2307)),"Trinidad and Tobago",
ISNUMBER(SEARCH("rn""&gt;Serbia and Montenegro",S2307)),"Serbia and Montenegro",
ISNUMBER(SEARCH(_xlfn.UNICHAR(65533),S2307)),"Côte d'Ivoire",
TRUE,""
)</f>
        <v/>
      </c>
      <c r="W2307" s="12" t="str">
        <f t="shared" si="173"/>
        <v>England</v>
      </c>
    </row>
    <row r="2308" spans="2:23">
      <c r="B2308" s="76" t="str">
        <v>2002.0</v>
      </c>
      <c r="C2308" s="42" t="str">
        <v xml:space="preserve">12 Jun 2002 - 20:30 </v>
      </c>
      <c r="D2308" s="42" t="str">
        <v>Group B</v>
      </c>
      <c r="E2308" s="42" t="str">
        <v>Daejeon World Cup Stadium</v>
      </c>
      <c r="F2308" s="42" t="str">
        <v xml:space="preserve">Daejeon </v>
      </c>
      <c r="G2308" s="42" t="str">
        <v>South Africa</v>
      </c>
      <c r="H2308" s="42" t="str">
        <v>2.0</v>
      </c>
      <c r="I2308" s="42" t="str">
        <v>3.0</v>
      </c>
      <c r="J2308" s="42" t="str">
        <v>Spain</v>
      </c>
      <c r="K2308" s="42" t="str">
        <v xml:space="preserve"> </v>
      </c>
      <c r="L2308" s="42" t="str">
        <f t="shared" si="170"/>
        <v xml:space="preserve">2002.0|12 Jun 2002 - 20:30 |Group B|Daejeon World Cup Stadium|Daejeon |South Africa|2.0|3.0|Spain| </v>
      </c>
      <c r="M2308" s="42" t="str">
        <f>IF(COUNTIF($L$1689:L2308,L2308)&gt;1,"DOUBLON","OK")</f>
        <v>OK</v>
      </c>
      <c r="S2308" s="12" t="str">
        <v>England</v>
      </c>
      <c r="T2308" s="12" t="str">
        <f t="shared" si="171"/>
        <v>ERREUR</v>
      </c>
      <c r="U2308" s="12" t="str">
        <f t="shared" si="172"/>
        <v>AUCUNE</v>
      </c>
      <c r="V2308" s="12" t="str" cm="1">
        <f t="array" ref="V2308">_xlfn.IFS(
ISNUMBER(SEARCH("USA",S2308)),"United States",
ISNUMBER(SEARCH("Republic of Ireland",S2308)),"Ireland",
ISNUMBER(SEARCH("Republic of Korea",S2308)),"South Korea",
ISNUMBER(SEARCH("Cape Verde",S2308)),"Cabo Verde",
ISNUMBER(SEARCH("Czechia",S2308)),"Czech Republic",
ISNUMBER(SEARCH("Türkiye",S2308)),"Turkey",
ISNUMBER(SEARCH("Ivory Coast",S2308)),"Côte d'Ivoire",
ISNUMBER(SEARCH("Korea Republic",S2308)),"South Korea",
ISNUMBER(SEARCH("Germany FR",S2308)),"FR Germany",
ISNUMBER(SEARCH("West Germany",S2308)),"FR Germany",
ISNUMBER(SEARCH("Germany DR",S2308)),"DR Germany",
ISNUMBER(SEARCH("Korea DPR",S2308)),"North Korea",
ISNUMBER(SEARCH("China PR",S2308)),"China",
ISNUMBER(SEARCH("IR Iran",S2308)),"Iran",
ISNUMBER(SEARCH("Congo DR",S2308)),"Democratic Republic of the Congo",
ISNUMBER(SEARCH("DR Congo",S2308)),"Democratic Republic of the Congo",
ISNUMBER(SEARCH("German DR",S2308)),"DR Germany",
ISNUMBER(SEARCH("rn""&gt;United Arab Emirates",S2308)),"United Arab Emirates",
ISNUMBER(SEARCH("rn""&gt;Republic of Ireland",S2308)),"Ireland",
ISNUMBER(SEARCH("rn""&gt;Bosnia and Herzegovina",S2308)),"Bosnia and Herzegovina",
ISNUMBER(SEARCH("rn""&gt;Trinidad and Tobago",S2308)),"Trinidad and Tobago",
ISNUMBER(SEARCH("rn""&gt;Serbia and Montenegro",S2308)),"Serbia and Montenegro",
ISNUMBER(SEARCH(_xlfn.UNICHAR(65533),S2308)),"Côte d'Ivoire",
TRUE,""
)</f>
        <v/>
      </c>
      <c r="W2308" s="12" t="str">
        <f t="shared" si="173"/>
        <v>England</v>
      </c>
    </row>
    <row r="2309" spans="2:23">
      <c r="B2309" s="76" t="str">
        <v>2002.0</v>
      </c>
      <c r="C2309" s="42" t="str">
        <v xml:space="preserve">13 Jun 2002 - 15:30 </v>
      </c>
      <c r="D2309" s="42" t="str">
        <v>Group C</v>
      </c>
      <c r="E2309" s="42" t="str">
        <v>Suwon World Cup Stadium</v>
      </c>
      <c r="F2309" s="42" t="str">
        <v xml:space="preserve">Suwon </v>
      </c>
      <c r="G2309" s="42" t="str">
        <v>Costa Rica</v>
      </c>
      <c r="H2309" s="42" t="str">
        <v>2.0</v>
      </c>
      <c r="I2309" s="42" t="str">
        <v>5.0</v>
      </c>
      <c r="J2309" s="42" t="str">
        <v>Brazil</v>
      </c>
      <c r="K2309" s="42" t="str">
        <v xml:space="preserve"> </v>
      </c>
      <c r="L2309" s="42" t="str">
        <f t="shared" si="170"/>
        <v xml:space="preserve">2002.0|13 Jun 2002 - 15:30 |Group C|Suwon World Cup Stadium|Suwon |Costa Rica|2.0|5.0|Brazil| </v>
      </c>
      <c r="M2309" s="42" t="str">
        <f>IF(COUNTIF($L$1689:L2309,L2309)&gt;1,"DOUBLON","OK")</f>
        <v>OK</v>
      </c>
      <c r="S2309" s="12" t="str">
        <v>England</v>
      </c>
      <c r="T2309" s="12" t="str">
        <f t="shared" si="171"/>
        <v>ERREUR</v>
      </c>
      <c r="U2309" s="12" t="str">
        <f t="shared" si="172"/>
        <v>AUCUNE</v>
      </c>
      <c r="V2309" s="12" t="str" cm="1">
        <f t="array" ref="V2309">_xlfn.IFS(
ISNUMBER(SEARCH("USA",S2309)),"United States",
ISNUMBER(SEARCH("Republic of Ireland",S2309)),"Ireland",
ISNUMBER(SEARCH("Republic of Korea",S2309)),"South Korea",
ISNUMBER(SEARCH("Cape Verde",S2309)),"Cabo Verde",
ISNUMBER(SEARCH("Czechia",S2309)),"Czech Republic",
ISNUMBER(SEARCH("Türkiye",S2309)),"Turkey",
ISNUMBER(SEARCH("Ivory Coast",S2309)),"Côte d'Ivoire",
ISNUMBER(SEARCH("Korea Republic",S2309)),"South Korea",
ISNUMBER(SEARCH("Germany FR",S2309)),"FR Germany",
ISNUMBER(SEARCH("West Germany",S2309)),"FR Germany",
ISNUMBER(SEARCH("Germany DR",S2309)),"DR Germany",
ISNUMBER(SEARCH("Korea DPR",S2309)),"North Korea",
ISNUMBER(SEARCH("China PR",S2309)),"China",
ISNUMBER(SEARCH("IR Iran",S2309)),"Iran",
ISNUMBER(SEARCH("Congo DR",S2309)),"Democratic Republic of the Congo",
ISNUMBER(SEARCH("DR Congo",S2309)),"Democratic Republic of the Congo",
ISNUMBER(SEARCH("German DR",S2309)),"DR Germany",
ISNUMBER(SEARCH("rn""&gt;United Arab Emirates",S2309)),"United Arab Emirates",
ISNUMBER(SEARCH("rn""&gt;Republic of Ireland",S2309)),"Ireland",
ISNUMBER(SEARCH("rn""&gt;Bosnia and Herzegovina",S2309)),"Bosnia and Herzegovina",
ISNUMBER(SEARCH("rn""&gt;Trinidad and Tobago",S2309)),"Trinidad and Tobago",
ISNUMBER(SEARCH("rn""&gt;Serbia and Montenegro",S2309)),"Serbia and Montenegro",
ISNUMBER(SEARCH(_xlfn.UNICHAR(65533),S2309)),"Côte d'Ivoire",
TRUE,""
)</f>
        <v/>
      </c>
      <c r="W2309" s="12" t="str">
        <f t="shared" si="173"/>
        <v>England</v>
      </c>
    </row>
    <row r="2310" spans="2:23">
      <c r="B2310" s="76" t="str">
        <v>2002.0</v>
      </c>
      <c r="C2310" s="42" t="str">
        <v xml:space="preserve">13 Jun 2002 - 15:30 </v>
      </c>
      <c r="D2310" s="42" t="str">
        <v>Group C</v>
      </c>
      <c r="E2310" s="42" t="str">
        <v>Seoul World Cup Stadium</v>
      </c>
      <c r="F2310" s="42" t="str">
        <v xml:space="preserve">Seoul </v>
      </c>
      <c r="G2310" s="42" t="str">
        <v>Turkey</v>
      </c>
      <c r="H2310" s="42" t="str">
        <v>3.0</v>
      </c>
      <c r="I2310" s="42" t="str">
        <v>0.0</v>
      </c>
      <c r="J2310" s="42" t="str">
        <v>China PR</v>
      </c>
      <c r="K2310" s="42" t="str">
        <v xml:space="preserve"> </v>
      </c>
      <c r="L2310" s="42" t="str">
        <f t="shared" si="170"/>
        <v xml:space="preserve">2002.0|13 Jun 2002 - 15:30 |Group C|Seoul World Cup Stadium|Seoul |Turkey|3.0|0.0|China PR| </v>
      </c>
      <c r="M2310" s="42" t="str">
        <f>IF(COUNTIF($L$1689:L2310,L2310)&gt;1,"DOUBLON","OK")</f>
        <v>OK</v>
      </c>
      <c r="S2310" s="12" t="str">
        <v>England</v>
      </c>
      <c r="T2310" s="12" t="str">
        <f t="shared" si="171"/>
        <v>ERREUR</v>
      </c>
      <c r="U2310" s="12" t="str">
        <f t="shared" si="172"/>
        <v>AUCUNE</v>
      </c>
      <c r="V2310" s="12" t="str" cm="1">
        <f t="array" ref="V2310">_xlfn.IFS(
ISNUMBER(SEARCH("USA",S2310)),"United States",
ISNUMBER(SEARCH("Republic of Ireland",S2310)),"Ireland",
ISNUMBER(SEARCH("Republic of Korea",S2310)),"South Korea",
ISNUMBER(SEARCH("Cape Verde",S2310)),"Cabo Verde",
ISNUMBER(SEARCH("Czechia",S2310)),"Czech Republic",
ISNUMBER(SEARCH("Türkiye",S2310)),"Turkey",
ISNUMBER(SEARCH("Ivory Coast",S2310)),"Côte d'Ivoire",
ISNUMBER(SEARCH("Korea Republic",S2310)),"South Korea",
ISNUMBER(SEARCH("Germany FR",S2310)),"FR Germany",
ISNUMBER(SEARCH("West Germany",S2310)),"FR Germany",
ISNUMBER(SEARCH("Germany DR",S2310)),"DR Germany",
ISNUMBER(SEARCH("Korea DPR",S2310)),"North Korea",
ISNUMBER(SEARCH("China PR",S2310)),"China",
ISNUMBER(SEARCH("IR Iran",S2310)),"Iran",
ISNUMBER(SEARCH("Congo DR",S2310)),"Democratic Republic of the Congo",
ISNUMBER(SEARCH("DR Congo",S2310)),"Democratic Republic of the Congo",
ISNUMBER(SEARCH("German DR",S2310)),"DR Germany",
ISNUMBER(SEARCH("rn""&gt;United Arab Emirates",S2310)),"United Arab Emirates",
ISNUMBER(SEARCH("rn""&gt;Republic of Ireland",S2310)),"Ireland",
ISNUMBER(SEARCH("rn""&gt;Bosnia and Herzegovina",S2310)),"Bosnia and Herzegovina",
ISNUMBER(SEARCH("rn""&gt;Trinidad and Tobago",S2310)),"Trinidad and Tobago",
ISNUMBER(SEARCH("rn""&gt;Serbia and Montenegro",S2310)),"Serbia and Montenegro",
ISNUMBER(SEARCH(_xlfn.UNICHAR(65533),S2310)),"Côte d'Ivoire",
TRUE,""
)</f>
        <v/>
      </c>
      <c r="W2310" s="12" t="str">
        <f t="shared" si="173"/>
        <v>England</v>
      </c>
    </row>
    <row r="2311" spans="2:23">
      <c r="B2311" s="76" t="str">
        <v>2002.0</v>
      </c>
      <c r="C2311" s="42" t="str">
        <v xml:space="preserve">13 Jun 2002 - 20:30 </v>
      </c>
      <c r="D2311" s="42" t="str">
        <v>Group G</v>
      </c>
      <c r="E2311" s="42" t="str">
        <v>International Stadium Yokohama</v>
      </c>
      <c r="F2311" s="42" t="str">
        <v xml:space="preserve">Yokohama </v>
      </c>
      <c r="G2311" s="42" t="str">
        <v>Ecuador</v>
      </c>
      <c r="H2311" s="42" t="str">
        <v>1.0</v>
      </c>
      <c r="I2311" s="42" t="str">
        <v>0.0</v>
      </c>
      <c r="J2311" s="42" t="str">
        <v>Croatia</v>
      </c>
      <c r="K2311" s="42" t="str">
        <v xml:space="preserve"> </v>
      </c>
      <c r="L2311" s="42" t="str">
        <f t="shared" si="170"/>
        <v xml:space="preserve">2002.0|13 Jun 2002 - 20:30 |Group G|International Stadium Yokohama|Yokohama |Ecuador|1.0|0.0|Croatia| </v>
      </c>
      <c r="M2311" s="42" t="str">
        <f>IF(COUNTIF($L$1689:L2311,L2311)&gt;1,"DOUBLON","OK")</f>
        <v>OK</v>
      </c>
      <c r="S2311" s="12" t="str">
        <v>England</v>
      </c>
      <c r="T2311" s="12" t="str">
        <f t="shared" si="171"/>
        <v>ERREUR</v>
      </c>
      <c r="U2311" s="12" t="str">
        <f t="shared" si="172"/>
        <v>AUCUNE</v>
      </c>
      <c r="V2311" s="12" t="str" cm="1">
        <f t="array" ref="V2311">_xlfn.IFS(
ISNUMBER(SEARCH("USA",S2311)),"United States",
ISNUMBER(SEARCH("Republic of Ireland",S2311)),"Ireland",
ISNUMBER(SEARCH("Republic of Korea",S2311)),"South Korea",
ISNUMBER(SEARCH("Cape Verde",S2311)),"Cabo Verde",
ISNUMBER(SEARCH("Czechia",S2311)),"Czech Republic",
ISNUMBER(SEARCH("Türkiye",S2311)),"Turkey",
ISNUMBER(SEARCH("Ivory Coast",S2311)),"Côte d'Ivoire",
ISNUMBER(SEARCH("Korea Republic",S2311)),"South Korea",
ISNUMBER(SEARCH("Germany FR",S2311)),"FR Germany",
ISNUMBER(SEARCH("West Germany",S2311)),"FR Germany",
ISNUMBER(SEARCH("Germany DR",S2311)),"DR Germany",
ISNUMBER(SEARCH("Korea DPR",S2311)),"North Korea",
ISNUMBER(SEARCH("China PR",S2311)),"China",
ISNUMBER(SEARCH("IR Iran",S2311)),"Iran",
ISNUMBER(SEARCH("Congo DR",S2311)),"Democratic Republic of the Congo",
ISNUMBER(SEARCH("DR Congo",S2311)),"Democratic Republic of the Congo",
ISNUMBER(SEARCH("German DR",S2311)),"DR Germany",
ISNUMBER(SEARCH("rn""&gt;United Arab Emirates",S2311)),"United Arab Emirates",
ISNUMBER(SEARCH("rn""&gt;Republic of Ireland",S2311)),"Ireland",
ISNUMBER(SEARCH("rn""&gt;Bosnia and Herzegovina",S2311)),"Bosnia and Herzegovina",
ISNUMBER(SEARCH("rn""&gt;Trinidad and Tobago",S2311)),"Trinidad and Tobago",
ISNUMBER(SEARCH("rn""&gt;Serbia and Montenegro",S2311)),"Serbia and Montenegro",
ISNUMBER(SEARCH(_xlfn.UNICHAR(65533),S2311)),"Côte d'Ivoire",
TRUE,""
)</f>
        <v/>
      </c>
      <c r="W2311" s="12" t="str">
        <f t="shared" si="173"/>
        <v>England</v>
      </c>
    </row>
    <row r="2312" spans="2:23">
      <c r="B2312" s="76" t="str">
        <v>2002.0</v>
      </c>
      <c r="C2312" s="42" t="str">
        <v xml:space="preserve">13 Jun 2002 - 20:30 </v>
      </c>
      <c r="D2312" s="42" t="str">
        <v>Group G</v>
      </c>
      <c r="E2312" s="42" t="str">
        <v>Oita Stadium Big Eye</v>
      </c>
      <c r="F2312" s="42" t="str">
        <v xml:space="preserve">Oita </v>
      </c>
      <c r="G2312" s="42" t="str">
        <v>Mexico</v>
      </c>
      <c r="H2312" s="42" t="str">
        <v>1.0</v>
      </c>
      <c r="I2312" s="42" t="str">
        <v>1.0</v>
      </c>
      <c r="J2312" s="42" t="str">
        <v>Italy</v>
      </c>
      <c r="K2312" s="42" t="str">
        <v xml:space="preserve"> </v>
      </c>
      <c r="L2312" s="42" t="str">
        <f t="shared" si="170"/>
        <v xml:space="preserve">2002.0|13 Jun 2002 - 20:30 |Group G|Oita Stadium Big Eye|Oita |Mexico|1.0|1.0|Italy| </v>
      </c>
      <c r="M2312" s="42" t="str">
        <f>IF(COUNTIF($L$1689:L2312,L2312)&gt;1,"DOUBLON","OK")</f>
        <v>OK</v>
      </c>
      <c r="S2312" s="12" t="str">
        <v>England</v>
      </c>
      <c r="T2312" s="12" t="str">
        <f t="shared" si="171"/>
        <v>ERREUR</v>
      </c>
      <c r="U2312" s="12" t="str">
        <f t="shared" si="172"/>
        <v>AUCUNE</v>
      </c>
      <c r="V2312" s="12" t="str" cm="1">
        <f t="array" ref="V2312">_xlfn.IFS(
ISNUMBER(SEARCH("USA",S2312)),"United States",
ISNUMBER(SEARCH("Republic of Ireland",S2312)),"Ireland",
ISNUMBER(SEARCH("Republic of Korea",S2312)),"South Korea",
ISNUMBER(SEARCH("Cape Verde",S2312)),"Cabo Verde",
ISNUMBER(SEARCH("Czechia",S2312)),"Czech Republic",
ISNUMBER(SEARCH("Türkiye",S2312)),"Turkey",
ISNUMBER(SEARCH("Ivory Coast",S2312)),"Côte d'Ivoire",
ISNUMBER(SEARCH("Korea Republic",S2312)),"South Korea",
ISNUMBER(SEARCH("Germany FR",S2312)),"FR Germany",
ISNUMBER(SEARCH("West Germany",S2312)),"FR Germany",
ISNUMBER(SEARCH("Germany DR",S2312)),"DR Germany",
ISNUMBER(SEARCH("Korea DPR",S2312)),"North Korea",
ISNUMBER(SEARCH("China PR",S2312)),"China",
ISNUMBER(SEARCH("IR Iran",S2312)),"Iran",
ISNUMBER(SEARCH("Congo DR",S2312)),"Democratic Republic of the Congo",
ISNUMBER(SEARCH("DR Congo",S2312)),"Democratic Republic of the Congo",
ISNUMBER(SEARCH("German DR",S2312)),"DR Germany",
ISNUMBER(SEARCH("rn""&gt;United Arab Emirates",S2312)),"United Arab Emirates",
ISNUMBER(SEARCH("rn""&gt;Republic of Ireland",S2312)),"Ireland",
ISNUMBER(SEARCH("rn""&gt;Bosnia and Herzegovina",S2312)),"Bosnia and Herzegovina",
ISNUMBER(SEARCH("rn""&gt;Trinidad and Tobago",S2312)),"Trinidad and Tobago",
ISNUMBER(SEARCH("rn""&gt;Serbia and Montenegro",S2312)),"Serbia and Montenegro",
ISNUMBER(SEARCH(_xlfn.UNICHAR(65533),S2312)),"Côte d'Ivoire",
TRUE,""
)</f>
        <v/>
      </c>
      <c r="W2312" s="12" t="str">
        <f t="shared" si="173"/>
        <v>England</v>
      </c>
    </row>
    <row r="2313" spans="2:23">
      <c r="B2313" s="76" t="str">
        <v>2002.0</v>
      </c>
      <c r="C2313" s="42" t="str">
        <v xml:space="preserve">14 Jun 2002 - 15:30 </v>
      </c>
      <c r="D2313" s="42" t="str">
        <v>Group H</v>
      </c>
      <c r="E2313" s="42" t="str">
        <v>Osaka Nagai Stadium</v>
      </c>
      <c r="F2313" s="42" t="str">
        <v xml:space="preserve">Osaka </v>
      </c>
      <c r="G2313" s="42" t="str">
        <v>Tunisia</v>
      </c>
      <c r="H2313" s="42" t="str">
        <v>0.0</v>
      </c>
      <c r="I2313" s="42" t="str">
        <v>2.0</v>
      </c>
      <c r="J2313" s="42" t="str">
        <v>Japan</v>
      </c>
      <c r="K2313" s="42" t="str">
        <v xml:space="preserve"> </v>
      </c>
      <c r="L2313" s="42" t="str">
        <f t="shared" si="170"/>
        <v xml:space="preserve">2002.0|14 Jun 2002 - 15:30 |Group H|Osaka Nagai Stadium|Osaka |Tunisia|0.0|2.0|Japan| </v>
      </c>
      <c r="M2313" s="42" t="str">
        <f>IF(COUNTIF($L$1689:L2313,L2313)&gt;1,"DOUBLON","OK")</f>
        <v>OK</v>
      </c>
      <c r="S2313" s="12" t="str">
        <v>England</v>
      </c>
      <c r="T2313" s="12" t="str">
        <f t="shared" si="171"/>
        <v>ERREUR</v>
      </c>
      <c r="U2313" s="12" t="str">
        <f t="shared" si="172"/>
        <v>AUCUNE</v>
      </c>
      <c r="V2313" s="12" t="str" cm="1">
        <f t="array" ref="V2313">_xlfn.IFS(
ISNUMBER(SEARCH("USA",S2313)),"United States",
ISNUMBER(SEARCH("Republic of Ireland",S2313)),"Ireland",
ISNUMBER(SEARCH("Republic of Korea",S2313)),"South Korea",
ISNUMBER(SEARCH("Cape Verde",S2313)),"Cabo Verde",
ISNUMBER(SEARCH("Czechia",S2313)),"Czech Republic",
ISNUMBER(SEARCH("Türkiye",S2313)),"Turkey",
ISNUMBER(SEARCH("Ivory Coast",S2313)),"Côte d'Ivoire",
ISNUMBER(SEARCH("Korea Republic",S2313)),"South Korea",
ISNUMBER(SEARCH("Germany FR",S2313)),"FR Germany",
ISNUMBER(SEARCH("West Germany",S2313)),"FR Germany",
ISNUMBER(SEARCH("Germany DR",S2313)),"DR Germany",
ISNUMBER(SEARCH("Korea DPR",S2313)),"North Korea",
ISNUMBER(SEARCH("China PR",S2313)),"China",
ISNUMBER(SEARCH("IR Iran",S2313)),"Iran",
ISNUMBER(SEARCH("Congo DR",S2313)),"Democratic Republic of the Congo",
ISNUMBER(SEARCH("DR Congo",S2313)),"Democratic Republic of the Congo",
ISNUMBER(SEARCH("German DR",S2313)),"DR Germany",
ISNUMBER(SEARCH("rn""&gt;United Arab Emirates",S2313)),"United Arab Emirates",
ISNUMBER(SEARCH("rn""&gt;Republic of Ireland",S2313)),"Ireland",
ISNUMBER(SEARCH("rn""&gt;Bosnia and Herzegovina",S2313)),"Bosnia and Herzegovina",
ISNUMBER(SEARCH("rn""&gt;Trinidad and Tobago",S2313)),"Trinidad and Tobago",
ISNUMBER(SEARCH("rn""&gt;Serbia and Montenegro",S2313)),"Serbia and Montenegro",
ISNUMBER(SEARCH(_xlfn.UNICHAR(65533),S2313)),"Côte d'Ivoire",
TRUE,""
)</f>
        <v/>
      </c>
      <c r="W2313" s="12" t="str">
        <f t="shared" si="173"/>
        <v>England</v>
      </c>
    </row>
    <row r="2314" spans="2:23">
      <c r="B2314" s="76" t="str">
        <v>2002.0</v>
      </c>
      <c r="C2314" s="42" t="str">
        <v xml:space="preserve">14 Jun 2002 - 20:30 </v>
      </c>
      <c r="D2314" s="42" t="str">
        <v>Group D</v>
      </c>
      <c r="E2314" s="42" t="str">
        <v>Incheon Football Stadium</v>
      </c>
      <c r="F2314" s="42" t="str">
        <v xml:space="preserve">Incheon </v>
      </c>
      <c r="G2314" s="42" t="str">
        <v>Portugal</v>
      </c>
      <c r="H2314" s="42" t="str">
        <v>0.0</v>
      </c>
      <c r="I2314" s="42" t="str">
        <v>1.0</v>
      </c>
      <c r="J2314" s="42" t="str">
        <v>Korea Republic</v>
      </c>
      <c r="K2314" s="42" t="str">
        <v xml:space="preserve"> </v>
      </c>
      <c r="L2314" s="42" t="str">
        <f t="shared" si="170"/>
        <v xml:space="preserve">2002.0|14 Jun 2002 - 20:30 |Group D|Incheon Football Stadium|Incheon |Portugal|0.0|1.0|Korea Republic| </v>
      </c>
      <c r="M2314" s="42" t="str">
        <f>IF(COUNTIF($L$1689:L2314,L2314)&gt;1,"DOUBLON","OK")</f>
        <v>OK</v>
      </c>
      <c r="S2314" s="12" t="str">
        <v>England</v>
      </c>
      <c r="T2314" s="12" t="str">
        <f t="shared" si="171"/>
        <v>ERREUR</v>
      </c>
      <c r="U2314" s="12" t="str">
        <f t="shared" si="172"/>
        <v>AUCUNE</v>
      </c>
      <c r="V2314" s="12" t="str" cm="1">
        <f t="array" ref="V2314">_xlfn.IFS(
ISNUMBER(SEARCH("USA",S2314)),"United States",
ISNUMBER(SEARCH("Republic of Ireland",S2314)),"Ireland",
ISNUMBER(SEARCH("Republic of Korea",S2314)),"South Korea",
ISNUMBER(SEARCH("Cape Verde",S2314)),"Cabo Verde",
ISNUMBER(SEARCH("Czechia",S2314)),"Czech Republic",
ISNUMBER(SEARCH("Türkiye",S2314)),"Turkey",
ISNUMBER(SEARCH("Ivory Coast",S2314)),"Côte d'Ivoire",
ISNUMBER(SEARCH("Korea Republic",S2314)),"South Korea",
ISNUMBER(SEARCH("Germany FR",S2314)),"FR Germany",
ISNUMBER(SEARCH("West Germany",S2314)),"FR Germany",
ISNUMBER(SEARCH("Germany DR",S2314)),"DR Germany",
ISNUMBER(SEARCH("Korea DPR",S2314)),"North Korea",
ISNUMBER(SEARCH("China PR",S2314)),"China",
ISNUMBER(SEARCH("IR Iran",S2314)),"Iran",
ISNUMBER(SEARCH("Congo DR",S2314)),"Democratic Republic of the Congo",
ISNUMBER(SEARCH("DR Congo",S2314)),"Democratic Republic of the Congo",
ISNUMBER(SEARCH("German DR",S2314)),"DR Germany",
ISNUMBER(SEARCH("rn""&gt;United Arab Emirates",S2314)),"United Arab Emirates",
ISNUMBER(SEARCH("rn""&gt;Republic of Ireland",S2314)),"Ireland",
ISNUMBER(SEARCH("rn""&gt;Bosnia and Herzegovina",S2314)),"Bosnia and Herzegovina",
ISNUMBER(SEARCH("rn""&gt;Trinidad and Tobago",S2314)),"Trinidad and Tobago",
ISNUMBER(SEARCH("rn""&gt;Serbia and Montenegro",S2314)),"Serbia and Montenegro",
ISNUMBER(SEARCH(_xlfn.UNICHAR(65533),S2314)),"Côte d'Ivoire",
TRUE,""
)</f>
        <v/>
      </c>
      <c r="W2314" s="12" t="str">
        <f t="shared" si="173"/>
        <v>England</v>
      </c>
    </row>
    <row r="2315" spans="2:23">
      <c r="B2315" s="76" t="str">
        <v>2002.0</v>
      </c>
      <c r="C2315" s="42" t="str">
        <v xml:space="preserve">14 Jun 2002 - 20:30 </v>
      </c>
      <c r="D2315" s="42" t="str">
        <v>Group D</v>
      </c>
      <c r="E2315" s="42" t="str">
        <v>Daejeon World Cup Stadium</v>
      </c>
      <c r="F2315" s="42" t="str">
        <v xml:space="preserve">Daejeon </v>
      </c>
      <c r="G2315" s="42" t="str">
        <v>Poland</v>
      </c>
      <c r="H2315" s="42" t="str">
        <v>3.0</v>
      </c>
      <c r="I2315" s="42" t="str">
        <v>1.0</v>
      </c>
      <c r="J2315" s="42" t="str">
        <v>USA</v>
      </c>
      <c r="K2315" s="42" t="str">
        <v xml:space="preserve"> </v>
      </c>
      <c r="L2315" s="42" t="str">
        <f t="shared" si="170"/>
        <v xml:space="preserve">2002.0|14 Jun 2002 - 20:30 |Group D|Daejeon World Cup Stadium|Daejeon |Poland|3.0|1.0|USA| </v>
      </c>
      <c r="M2315" s="42" t="str">
        <f>IF(COUNTIF($L$1689:L2315,L2315)&gt;1,"DOUBLON","OK")</f>
        <v>OK</v>
      </c>
      <c r="S2315" s="12" t="str">
        <v>England</v>
      </c>
      <c r="T2315" s="12" t="str">
        <f t="shared" si="171"/>
        <v>ERREUR</v>
      </c>
      <c r="U2315" s="12" t="str">
        <f t="shared" si="172"/>
        <v>AUCUNE</v>
      </c>
      <c r="V2315" s="12" t="str" cm="1">
        <f t="array" ref="V2315">_xlfn.IFS(
ISNUMBER(SEARCH("USA",S2315)),"United States",
ISNUMBER(SEARCH("Republic of Ireland",S2315)),"Ireland",
ISNUMBER(SEARCH("Republic of Korea",S2315)),"South Korea",
ISNUMBER(SEARCH("Cape Verde",S2315)),"Cabo Verde",
ISNUMBER(SEARCH("Czechia",S2315)),"Czech Republic",
ISNUMBER(SEARCH("Türkiye",S2315)),"Turkey",
ISNUMBER(SEARCH("Ivory Coast",S2315)),"Côte d'Ivoire",
ISNUMBER(SEARCH("Korea Republic",S2315)),"South Korea",
ISNUMBER(SEARCH("Germany FR",S2315)),"FR Germany",
ISNUMBER(SEARCH("West Germany",S2315)),"FR Germany",
ISNUMBER(SEARCH("Germany DR",S2315)),"DR Germany",
ISNUMBER(SEARCH("Korea DPR",S2315)),"North Korea",
ISNUMBER(SEARCH("China PR",S2315)),"China",
ISNUMBER(SEARCH("IR Iran",S2315)),"Iran",
ISNUMBER(SEARCH("Congo DR",S2315)),"Democratic Republic of the Congo",
ISNUMBER(SEARCH("DR Congo",S2315)),"Democratic Republic of the Congo",
ISNUMBER(SEARCH("German DR",S2315)),"DR Germany",
ISNUMBER(SEARCH("rn""&gt;United Arab Emirates",S2315)),"United Arab Emirates",
ISNUMBER(SEARCH("rn""&gt;Republic of Ireland",S2315)),"Ireland",
ISNUMBER(SEARCH("rn""&gt;Bosnia and Herzegovina",S2315)),"Bosnia and Herzegovina",
ISNUMBER(SEARCH("rn""&gt;Trinidad and Tobago",S2315)),"Trinidad and Tobago",
ISNUMBER(SEARCH("rn""&gt;Serbia and Montenegro",S2315)),"Serbia and Montenegro",
ISNUMBER(SEARCH(_xlfn.UNICHAR(65533),S2315)),"Côte d'Ivoire",
TRUE,""
)</f>
        <v/>
      </c>
      <c r="W2315" s="12" t="str">
        <f t="shared" si="173"/>
        <v>England</v>
      </c>
    </row>
    <row r="2316" spans="2:23">
      <c r="B2316" s="76" t="str">
        <v>2002.0</v>
      </c>
      <c r="C2316" s="42" t="str">
        <v xml:space="preserve">14 Jun 2002 - 15:30 </v>
      </c>
      <c r="D2316" s="42" t="str">
        <v>Group H</v>
      </c>
      <c r="E2316" s="42" t="str">
        <v>Shizuoka Stadium Ecopa</v>
      </c>
      <c r="F2316" s="42" t="str">
        <v xml:space="preserve">Shizuoka </v>
      </c>
      <c r="G2316" s="42" t="str">
        <v>Belgium</v>
      </c>
      <c r="H2316" s="42" t="str">
        <v>3.0</v>
      </c>
      <c r="I2316" s="42" t="str">
        <v>2.0</v>
      </c>
      <c r="J2316" s="42" t="str">
        <v>Russia</v>
      </c>
      <c r="K2316" s="42" t="str">
        <v xml:space="preserve"> </v>
      </c>
      <c r="L2316" s="42" t="str">
        <f t="shared" si="170"/>
        <v xml:space="preserve">2002.0|14 Jun 2002 - 15:30 |Group H|Shizuoka Stadium Ecopa|Shizuoka |Belgium|3.0|2.0|Russia| </v>
      </c>
      <c r="M2316" s="42" t="str">
        <f>IF(COUNTIF($L$1689:L2316,L2316)&gt;1,"DOUBLON","OK")</f>
        <v>OK</v>
      </c>
      <c r="S2316" s="12" t="str">
        <v>England</v>
      </c>
      <c r="T2316" s="12" t="str">
        <f t="shared" si="171"/>
        <v>ERREUR</v>
      </c>
      <c r="U2316" s="12" t="str">
        <f t="shared" si="172"/>
        <v>AUCUNE</v>
      </c>
      <c r="V2316" s="12" t="str" cm="1">
        <f t="array" ref="V2316">_xlfn.IFS(
ISNUMBER(SEARCH("USA",S2316)),"United States",
ISNUMBER(SEARCH("Republic of Ireland",S2316)),"Ireland",
ISNUMBER(SEARCH("Republic of Korea",S2316)),"South Korea",
ISNUMBER(SEARCH("Cape Verde",S2316)),"Cabo Verde",
ISNUMBER(SEARCH("Czechia",S2316)),"Czech Republic",
ISNUMBER(SEARCH("Türkiye",S2316)),"Turkey",
ISNUMBER(SEARCH("Ivory Coast",S2316)),"Côte d'Ivoire",
ISNUMBER(SEARCH("Korea Republic",S2316)),"South Korea",
ISNUMBER(SEARCH("Germany FR",S2316)),"FR Germany",
ISNUMBER(SEARCH("West Germany",S2316)),"FR Germany",
ISNUMBER(SEARCH("Germany DR",S2316)),"DR Germany",
ISNUMBER(SEARCH("Korea DPR",S2316)),"North Korea",
ISNUMBER(SEARCH("China PR",S2316)),"China",
ISNUMBER(SEARCH("IR Iran",S2316)),"Iran",
ISNUMBER(SEARCH("Congo DR",S2316)),"Democratic Republic of the Congo",
ISNUMBER(SEARCH("DR Congo",S2316)),"Democratic Republic of the Congo",
ISNUMBER(SEARCH("German DR",S2316)),"DR Germany",
ISNUMBER(SEARCH("rn""&gt;United Arab Emirates",S2316)),"United Arab Emirates",
ISNUMBER(SEARCH("rn""&gt;Republic of Ireland",S2316)),"Ireland",
ISNUMBER(SEARCH("rn""&gt;Bosnia and Herzegovina",S2316)),"Bosnia and Herzegovina",
ISNUMBER(SEARCH("rn""&gt;Trinidad and Tobago",S2316)),"Trinidad and Tobago",
ISNUMBER(SEARCH("rn""&gt;Serbia and Montenegro",S2316)),"Serbia and Montenegro",
ISNUMBER(SEARCH(_xlfn.UNICHAR(65533),S2316)),"Côte d'Ivoire",
TRUE,""
)</f>
        <v/>
      </c>
      <c r="W2316" s="12" t="str">
        <f t="shared" si="173"/>
        <v>England</v>
      </c>
    </row>
    <row r="2317" spans="2:23">
      <c r="B2317" s="76" t="str">
        <v>2002.0</v>
      </c>
      <c r="C2317" s="42" t="str">
        <v xml:space="preserve">15 Jun 2002 - 20:30 </v>
      </c>
      <c r="D2317" s="42" t="str">
        <v>Round of 16</v>
      </c>
      <c r="E2317" s="42" t="str">
        <v>Niigata Stadium Big Swan</v>
      </c>
      <c r="F2317" s="42" t="str">
        <v xml:space="preserve">Niigata </v>
      </c>
      <c r="G2317" s="42" t="str">
        <v>Denmark</v>
      </c>
      <c r="H2317" s="42" t="str">
        <v>0.0</v>
      </c>
      <c r="I2317" s="42" t="str">
        <v>3.0</v>
      </c>
      <c r="J2317" s="42" t="str">
        <v>England</v>
      </c>
      <c r="K2317" s="42" t="str">
        <v xml:space="preserve"> </v>
      </c>
      <c r="L2317" s="42" t="str">
        <f t="shared" si="170"/>
        <v xml:space="preserve">2002.0|15 Jun 2002 - 20:30 |Round of 16|Niigata Stadium Big Swan|Niigata |Denmark|0.0|3.0|England| </v>
      </c>
      <c r="M2317" s="42" t="str">
        <f>IF(COUNTIF($L$1689:L2317,L2317)&gt;1,"DOUBLON","OK")</f>
        <v>OK</v>
      </c>
      <c r="S2317" s="12" t="str">
        <v>Ghana</v>
      </c>
      <c r="T2317" s="12" t="str">
        <f t="shared" si="171"/>
        <v>OK</v>
      </c>
      <c r="U2317" s="12" t="str">
        <f t="shared" si="172"/>
        <v>-</v>
      </c>
      <c r="V2317" s="12" t="str" cm="1">
        <f t="array" ref="V2317">_xlfn.IFS(
ISNUMBER(SEARCH("USA",S2317)),"United States",
ISNUMBER(SEARCH("Republic of Ireland",S2317)),"Ireland",
ISNUMBER(SEARCH("Republic of Korea",S2317)),"South Korea",
ISNUMBER(SEARCH("Cape Verde",S2317)),"Cabo Verde",
ISNUMBER(SEARCH("Czechia",S2317)),"Czech Republic",
ISNUMBER(SEARCH("Türkiye",S2317)),"Turkey",
ISNUMBER(SEARCH("Ivory Coast",S2317)),"Côte d'Ivoire",
ISNUMBER(SEARCH("Korea Republic",S2317)),"South Korea",
ISNUMBER(SEARCH("Germany FR",S2317)),"FR Germany",
ISNUMBER(SEARCH("West Germany",S2317)),"FR Germany",
ISNUMBER(SEARCH("Germany DR",S2317)),"DR Germany",
ISNUMBER(SEARCH("Korea DPR",S2317)),"North Korea",
ISNUMBER(SEARCH("China PR",S2317)),"China",
ISNUMBER(SEARCH("IR Iran",S2317)),"Iran",
ISNUMBER(SEARCH("Congo DR",S2317)),"Democratic Republic of the Congo",
ISNUMBER(SEARCH("DR Congo",S2317)),"Democratic Republic of the Congo",
ISNUMBER(SEARCH("German DR",S2317)),"DR Germany",
ISNUMBER(SEARCH("rn""&gt;United Arab Emirates",S2317)),"United Arab Emirates",
ISNUMBER(SEARCH("rn""&gt;Republic of Ireland",S2317)),"Ireland",
ISNUMBER(SEARCH("rn""&gt;Bosnia and Herzegovina",S2317)),"Bosnia and Herzegovina",
ISNUMBER(SEARCH("rn""&gt;Trinidad and Tobago",S2317)),"Trinidad and Tobago",
ISNUMBER(SEARCH("rn""&gt;Serbia and Montenegro",S2317)),"Serbia and Montenegro",
ISNUMBER(SEARCH(_xlfn.UNICHAR(65533),S2317)),"Côte d'Ivoire",
TRUE,""
)</f>
        <v/>
      </c>
      <c r="W2317" s="12" t="str">
        <f t="shared" si="173"/>
        <v>Ghana</v>
      </c>
    </row>
    <row r="2318" spans="2:23">
      <c r="B2318" s="76" t="str">
        <v>2002.0</v>
      </c>
      <c r="C2318" s="42" t="str">
        <v xml:space="preserve">15 Jun 2002 - 15:30 </v>
      </c>
      <c r="D2318" s="42" t="str">
        <v>Round of 16</v>
      </c>
      <c r="E2318" s="42" t="str">
        <v>Jeju World Cup Stadium</v>
      </c>
      <c r="F2318" s="42" t="str">
        <v xml:space="preserve">Jeju </v>
      </c>
      <c r="G2318" s="42" t="str">
        <v>Germany</v>
      </c>
      <c r="H2318" s="42" t="str">
        <v>1.0</v>
      </c>
      <c r="I2318" s="42" t="str">
        <v>0.0</v>
      </c>
      <c r="J2318" s="42" t="str">
        <v>Paraguay</v>
      </c>
      <c r="K2318" s="42" t="str">
        <v xml:space="preserve"> </v>
      </c>
      <c r="L2318" s="42" t="str">
        <f t="shared" si="170"/>
        <v xml:space="preserve">2002.0|15 Jun 2002 - 15:30 |Round of 16|Jeju World Cup Stadium|Jeju |Germany|1.0|0.0|Paraguay| </v>
      </c>
      <c r="M2318" s="42" t="str">
        <f>IF(COUNTIF($L$1689:L2318,L2318)&gt;1,"DOUBLON","OK")</f>
        <v>OK</v>
      </c>
      <c r="S2318" s="12" t="str">
        <v>Ghana</v>
      </c>
      <c r="T2318" s="12" t="str">
        <f t="shared" si="171"/>
        <v>OK</v>
      </c>
      <c r="U2318" s="12" t="str">
        <f t="shared" si="172"/>
        <v>-</v>
      </c>
      <c r="V2318" s="12" t="str" cm="1">
        <f t="array" ref="V2318">_xlfn.IFS(
ISNUMBER(SEARCH("USA",S2318)),"United States",
ISNUMBER(SEARCH("Republic of Ireland",S2318)),"Ireland",
ISNUMBER(SEARCH("Republic of Korea",S2318)),"South Korea",
ISNUMBER(SEARCH("Cape Verde",S2318)),"Cabo Verde",
ISNUMBER(SEARCH("Czechia",S2318)),"Czech Republic",
ISNUMBER(SEARCH("Türkiye",S2318)),"Turkey",
ISNUMBER(SEARCH("Ivory Coast",S2318)),"Côte d'Ivoire",
ISNUMBER(SEARCH("Korea Republic",S2318)),"South Korea",
ISNUMBER(SEARCH("Germany FR",S2318)),"FR Germany",
ISNUMBER(SEARCH("West Germany",S2318)),"FR Germany",
ISNUMBER(SEARCH("Germany DR",S2318)),"DR Germany",
ISNUMBER(SEARCH("Korea DPR",S2318)),"North Korea",
ISNUMBER(SEARCH("China PR",S2318)),"China",
ISNUMBER(SEARCH("IR Iran",S2318)),"Iran",
ISNUMBER(SEARCH("Congo DR",S2318)),"Democratic Republic of the Congo",
ISNUMBER(SEARCH("DR Congo",S2318)),"Democratic Republic of the Congo",
ISNUMBER(SEARCH("German DR",S2318)),"DR Germany",
ISNUMBER(SEARCH("rn""&gt;United Arab Emirates",S2318)),"United Arab Emirates",
ISNUMBER(SEARCH("rn""&gt;Republic of Ireland",S2318)),"Ireland",
ISNUMBER(SEARCH("rn""&gt;Bosnia and Herzegovina",S2318)),"Bosnia and Herzegovina",
ISNUMBER(SEARCH("rn""&gt;Trinidad and Tobago",S2318)),"Trinidad and Tobago",
ISNUMBER(SEARCH("rn""&gt;Serbia and Montenegro",S2318)),"Serbia and Montenegro",
ISNUMBER(SEARCH(_xlfn.UNICHAR(65533),S2318)),"Côte d'Ivoire",
TRUE,""
)</f>
        <v/>
      </c>
      <c r="W2318" s="12" t="str">
        <f t="shared" si="173"/>
        <v>Ghana</v>
      </c>
    </row>
    <row r="2319" spans="2:23">
      <c r="B2319" s="76" t="str">
        <v>2002.0</v>
      </c>
      <c r="C2319" s="42" t="str">
        <v xml:space="preserve">16 Jun 2002 - 20:30 </v>
      </c>
      <c r="D2319" s="42" t="str">
        <v>Round of 16</v>
      </c>
      <c r="E2319" s="42" t="str">
        <v>Suwon World Cup Stadium</v>
      </c>
      <c r="F2319" s="42" t="str">
        <v xml:space="preserve">Suwon </v>
      </c>
      <c r="G2319" s="42" t="str">
        <v>Spain</v>
      </c>
      <c r="H2319" s="42" t="str">
        <v>1.0</v>
      </c>
      <c r="I2319" s="42" t="str">
        <v>1.0</v>
      </c>
      <c r="J2319" s="42" t="str">
        <v>rn"&gt;Republic of Ireland</v>
      </c>
      <c r="K2319" s="42" t="str">
        <v xml:space="preserve">Spain win on penalties (3 - 2) </v>
      </c>
      <c r="L2319" s="42" t="str">
        <f t="shared" si="170"/>
        <v xml:space="preserve">2002.0|16 Jun 2002 - 20:30 |Round of 16|Suwon World Cup Stadium|Suwon |Spain|1.0|1.0|rn"&gt;Republic of Ireland|Spain win on penalties (3 - 2) </v>
      </c>
      <c r="M2319" s="42" t="str">
        <f>IF(COUNTIF($L$1689:L2319,L2319)&gt;1,"DOUBLON","OK")</f>
        <v>OK</v>
      </c>
      <c r="S2319" s="12" t="str">
        <v>Ghana</v>
      </c>
      <c r="T2319" s="12" t="str">
        <f t="shared" si="171"/>
        <v>OK</v>
      </c>
      <c r="U2319" s="12" t="str">
        <f t="shared" si="172"/>
        <v>-</v>
      </c>
      <c r="V2319" s="12" t="str" cm="1">
        <f t="array" ref="V2319">_xlfn.IFS(
ISNUMBER(SEARCH("USA",S2319)),"United States",
ISNUMBER(SEARCH("Republic of Ireland",S2319)),"Ireland",
ISNUMBER(SEARCH("Republic of Korea",S2319)),"South Korea",
ISNUMBER(SEARCH("Cape Verde",S2319)),"Cabo Verde",
ISNUMBER(SEARCH("Czechia",S2319)),"Czech Republic",
ISNUMBER(SEARCH("Türkiye",S2319)),"Turkey",
ISNUMBER(SEARCH("Ivory Coast",S2319)),"Côte d'Ivoire",
ISNUMBER(SEARCH("Korea Republic",S2319)),"South Korea",
ISNUMBER(SEARCH("Germany FR",S2319)),"FR Germany",
ISNUMBER(SEARCH("West Germany",S2319)),"FR Germany",
ISNUMBER(SEARCH("Germany DR",S2319)),"DR Germany",
ISNUMBER(SEARCH("Korea DPR",S2319)),"North Korea",
ISNUMBER(SEARCH("China PR",S2319)),"China",
ISNUMBER(SEARCH("IR Iran",S2319)),"Iran",
ISNUMBER(SEARCH("Congo DR",S2319)),"Democratic Republic of the Congo",
ISNUMBER(SEARCH("DR Congo",S2319)),"Democratic Republic of the Congo",
ISNUMBER(SEARCH("German DR",S2319)),"DR Germany",
ISNUMBER(SEARCH("rn""&gt;United Arab Emirates",S2319)),"United Arab Emirates",
ISNUMBER(SEARCH("rn""&gt;Republic of Ireland",S2319)),"Ireland",
ISNUMBER(SEARCH("rn""&gt;Bosnia and Herzegovina",S2319)),"Bosnia and Herzegovina",
ISNUMBER(SEARCH("rn""&gt;Trinidad and Tobago",S2319)),"Trinidad and Tobago",
ISNUMBER(SEARCH("rn""&gt;Serbia and Montenegro",S2319)),"Serbia and Montenegro",
ISNUMBER(SEARCH(_xlfn.UNICHAR(65533),S2319)),"Côte d'Ivoire",
TRUE,""
)</f>
        <v/>
      </c>
      <c r="W2319" s="12" t="str">
        <f t="shared" si="173"/>
        <v>Ghana</v>
      </c>
    </row>
    <row r="2320" spans="2:23">
      <c r="B2320" s="76" t="str">
        <v>2002.0</v>
      </c>
      <c r="C2320" s="42" t="str">
        <v xml:space="preserve">16 Jun 2002 - 15:30 </v>
      </c>
      <c r="D2320" s="42" t="str">
        <v>Round of 16</v>
      </c>
      <c r="E2320" s="42" t="str">
        <v>Oita Stadium Big Eye</v>
      </c>
      <c r="F2320" s="42" t="str">
        <v xml:space="preserve">Oita </v>
      </c>
      <c r="G2320" s="42" t="str">
        <v>Sweden</v>
      </c>
      <c r="H2320" s="42" t="str">
        <v>1.0</v>
      </c>
      <c r="I2320" s="42" t="str">
        <v>2.0</v>
      </c>
      <c r="J2320" s="42" t="str">
        <v>Senegal</v>
      </c>
      <c r="K2320" s="42" t="str">
        <v xml:space="preserve">Win on Golden Goal </v>
      </c>
      <c r="L2320" s="42" t="str">
        <f t="shared" si="170"/>
        <v xml:space="preserve">2002.0|16 Jun 2002 - 15:30 |Round of 16|Oita Stadium Big Eye|Oita |Sweden|1.0|2.0|Senegal|Win on Golden Goal </v>
      </c>
      <c r="M2320" s="42" t="str">
        <f>IF(COUNTIF($L$1689:L2320,L2320)&gt;1,"DOUBLON","OK")</f>
        <v>OK</v>
      </c>
      <c r="S2320" s="12" t="str">
        <v>Ghana</v>
      </c>
      <c r="T2320" s="12" t="str">
        <f t="shared" si="171"/>
        <v>OK</v>
      </c>
      <c r="U2320" s="12" t="str">
        <f t="shared" si="172"/>
        <v>-</v>
      </c>
      <c r="V2320" s="12" t="str" cm="1">
        <f t="array" ref="V2320">_xlfn.IFS(
ISNUMBER(SEARCH("USA",S2320)),"United States",
ISNUMBER(SEARCH("Republic of Ireland",S2320)),"Ireland",
ISNUMBER(SEARCH("Republic of Korea",S2320)),"South Korea",
ISNUMBER(SEARCH("Cape Verde",S2320)),"Cabo Verde",
ISNUMBER(SEARCH("Czechia",S2320)),"Czech Republic",
ISNUMBER(SEARCH("Türkiye",S2320)),"Turkey",
ISNUMBER(SEARCH("Ivory Coast",S2320)),"Côte d'Ivoire",
ISNUMBER(SEARCH("Korea Republic",S2320)),"South Korea",
ISNUMBER(SEARCH("Germany FR",S2320)),"FR Germany",
ISNUMBER(SEARCH("West Germany",S2320)),"FR Germany",
ISNUMBER(SEARCH("Germany DR",S2320)),"DR Germany",
ISNUMBER(SEARCH("Korea DPR",S2320)),"North Korea",
ISNUMBER(SEARCH("China PR",S2320)),"China",
ISNUMBER(SEARCH("IR Iran",S2320)),"Iran",
ISNUMBER(SEARCH("Congo DR",S2320)),"Democratic Republic of the Congo",
ISNUMBER(SEARCH("DR Congo",S2320)),"Democratic Republic of the Congo",
ISNUMBER(SEARCH("German DR",S2320)),"DR Germany",
ISNUMBER(SEARCH("rn""&gt;United Arab Emirates",S2320)),"United Arab Emirates",
ISNUMBER(SEARCH("rn""&gt;Republic of Ireland",S2320)),"Ireland",
ISNUMBER(SEARCH("rn""&gt;Bosnia and Herzegovina",S2320)),"Bosnia and Herzegovina",
ISNUMBER(SEARCH("rn""&gt;Trinidad and Tobago",S2320)),"Trinidad and Tobago",
ISNUMBER(SEARCH("rn""&gt;Serbia and Montenegro",S2320)),"Serbia and Montenegro",
ISNUMBER(SEARCH(_xlfn.UNICHAR(65533),S2320)),"Côte d'Ivoire",
TRUE,""
)</f>
        <v/>
      </c>
      <c r="W2320" s="12" t="str">
        <f t="shared" si="173"/>
        <v>Ghana</v>
      </c>
    </row>
    <row r="2321" spans="2:23">
      <c r="B2321" s="76" t="str">
        <v>2002.0</v>
      </c>
      <c r="C2321" s="42" t="str">
        <v xml:space="preserve">17 Jun 2002 - 20:30 </v>
      </c>
      <c r="D2321" s="42" t="str">
        <v>Round of 16</v>
      </c>
      <c r="E2321" s="42" t="str">
        <v>Kobe Wing Stadium</v>
      </c>
      <c r="F2321" s="42" t="str">
        <v xml:space="preserve">Kobe </v>
      </c>
      <c r="G2321" s="42" t="str">
        <v>Brazil</v>
      </c>
      <c r="H2321" s="42" t="str">
        <v>2.0</v>
      </c>
      <c r="I2321" s="42" t="str">
        <v>0.0</v>
      </c>
      <c r="J2321" s="42" t="str">
        <v>Belgium</v>
      </c>
      <c r="K2321" s="42" t="str">
        <v xml:space="preserve"> </v>
      </c>
      <c r="L2321" s="42" t="str">
        <f t="shared" si="170"/>
        <v xml:space="preserve">2002.0|17 Jun 2002 - 20:30 |Round of 16|Kobe Wing Stadium|Kobe |Brazil|2.0|0.0|Belgium| </v>
      </c>
      <c r="M2321" s="42" t="str">
        <f>IF(COUNTIF($L$1689:L2321,L2321)&gt;1,"DOUBLON","OK")</f>
        <v>OK</v>
      </c>
      <c r="S2321" s="12" t="str">
        <v>Ghana</v>
      </c>
      <c r="T2321" s="12" t="str">
        <f t="shared" si="171"/>
        <v>OK</v>
      </c>
      <c r="U2321" s="12" t="str">
        <f t="shared" si="172"/>
        <v>-</v>
      </c>
      <c r="V2321" s="12" t="str" cm="1">
        <f t="array" ref="V2321">_xlfn.IFS(
ISNUMBER(SEARCH("USA",S2321)),"United States",
ISNUMBER(SEARCH("Republic of Ireland",S2321)),"Ireland",
ISNUMBER(SEARCH("Republic of Korea",S2321)),"South Korea",
ISNUMBER(SEARCH("Cape Verde",S2321)),"Cabo Verde",
ISNUMBER(SEARCH("Czechia",S2321)),"Czech Republic",
ISNUMBER(SEARCH("Türkiye",S2321)),"Turkey",
ISNUMBER(SEARCH("Ivory Coast",S2321)),"Côte d'Ivoire",
ISNUMBER(SEARCH("Korea Republic",S2321)),"South Korea",
ISNUMBER(SEARCH("Germany FR",S2321)),"FR Germany",
ISNUMBER(SEARCH("West Germany",S2321)),"FR Germany",
ISNUMBER(SEARCH("Germany DR",S2321)),"DR Germany",
ISNUMBER(SEARCH("Korea DPR",S2321)),"North Korea",
ISNUMBER(SEARCH("China PR",S2321)),"China",
ISNUMBER(SEARCH("IR Iran",S2321)),"Iran",
ISNUMBER(SEARCH("Congo DR",S2321)),"Democratic Republic of the Congo",
ISNUMBER(SEARCH("DR Congo",S2321)),"Democratic Republic of the Congo",
ISNUMBER(SEARCH("German DR",S2321)),"DR Germany",
ISNUMBER(SEARCH("rn""&gt;United Arab Emirates",S2321)),"United Arab Emirates",
ISNUMBER(SEARCH("rn""&gt;Republic of Ireland",S2321)),"Ireland",
ISNUMBER(SEARCH("rn""&gt;Bosnia and Herzegovina",S2321)),"Bosnia and Herzegovina",
ISNUMBER(SEARCH("rn""&gt;Trinidad and Tobago",S2321)),"Trinidad and Tobago",
ISNUMBER(SEARCH("rn""&gt;Serbia and Montenegro",S2321)),"Serbia and Montenegro",
ISNUMBER(SEARCH(_xlfn.UNICHAR(65533),S2321)),"Côte d'Ivoire",
TRUE,""
)</f>
        <v/>
      </c>
      <c r="W2321" s="12" t="str">
        <f t="shared" si="173"/>
        <v>Ghana</v>
      </c>
    </row>
    <row r="2322" spans="2:23">
      <c r="B2322" s="76" t="str">
        <v>2002.0</v>
      </c>
      <c r="C2322" s="42" t="str">
        <v xml:space="preserve">17 June 2002 - 15:30 </v>
      </c>
      <c r="D2322" s="42" t="str">
        <v>Round of 16</v>
      </c>
      <c r="E2322" s="42" t="str">
        <v>Jeonju World Cup Stadium</v>
      </c>
      <c r="F2322" s="42" t="str">
        <v xml:space="preserve">Jeonju </v>
      </c>
      <c r="G2322" s="42" t="str">
        <v>Mexico</v>
      </c>
      <c r="H2322" s="42" t="str">
        <v>0.0</v>
      </c>
      <c r="I2322" s="42" t="str">
        <v>2.0</v>
      </c>
      <c r="J2322" s="42" t="str">
        <v>USA</v>
      </c>
      <c r="K2322" s="42" t="str">
        <v xml:space="preserve"> </v>
      </c>
      <c r="L2322" s="42" t="str">
        <f t="shared" si="170"/>
        <v xml:space="preserve">2002.0|17 June 2002 - 15:30 |Round of 16|Jeonju World Cup Stadium|Jeonju |Mexico|0.0|2.0|USA| </v>
      </c>
      <c r="M2322" s="42" t="str">
        <f>IF(COUNTIF($L$1689:L2322,L2322)&gt;1,"DOUBLON","OK")</f>
        <v>OK</v>
      </c>
      <c r="S2322" s="12" t="str">
        <v>Ghana</v>
      </c>
      <c r="T2322" s="12" t="str">
        <f t="shared" si="171"/>
        <v>OK</v>
      </c>
      <c r="U2322" s="12" t="str">
        <f t="shared" si="172"/>
        <v>-</v>
      </c>
      <c r="V2322" s="12" t="str" cm="1">
        <f t="array" ref="V2322">_xlfn.IFS(
ISNUMBER(SEARCH("USA",S2322)),"United States",
ISNUMBER(SEARCH("Republic of Ireland",S2322)),"Ireland",
ISNUMBER(SEARCH("Republic of Korea",S2322)),"South Korea",
ISNUMBER(SEARCH("Cape Verde",S2322)),"Cabo Verde",
ISNUMBER(SEARCH("Czechia",S2322)),"Czech Republic",
ISNUMBER(SEARCH("Türkiye",S2322)),"Turkey",
ISNUMBER(SEARCH("Ivory Coast",S2322)),"Côte d'Ivoire",
ISNUMBER(SEARCH("Korea Republic",S2322)),"South Korea",
ISNUMBER(SEARCH("Germany FR",S2322)),"FR Germany",
ISNUMBER(SEARCH("West Germany",S2322)),"FR Germany",
ISNUMBER(SEARCH("Germany DR",S2322)),"DR Germany",
ISNUMBER(SEARCH("Korea DPR",S2322)),"North Korea",
ISNUMBER(SEARCH("China PR",S2322)),"China",
ISNUMBER(SEARCH("IR Iran",S2322)),"Iran",
ISNUMBER(SEARCH("Congo DR",S2322)),"Democratic Republic of the Congo",
ISNUMBER(SEARCH("DR Congo",S2322)),"Democratic Republic of the Congo",
ISNUMBER(SEARCH("German DR",S2322)),"DR Germany",
ISNUMBER(SEARCH("rn""&gt;United Arab Emirates",S2322)),"United Arab Emirates",
ISNUMBER(SEARCH("rn""&gt;Republic of Ireland",S2322)),"Ireland",
ISNUMBER(SEARCH("rn""&gt;Bosnia and Herzegovina",S2322)),"Bosnia and Herzegovina",
ISNUMBER(SEARCH("rn""&gt;Trinidad and Tobago",S2322)),"Trinidad and Tobago",
ISNUMBER(SEARCH("rn""&gt;Serbia and Montenegro",S2322)),"Serbia and Montenegro",
ISNUMBER(SEARCH(_xlfn.UNICHAR(65533),S2322)),"Côte d'Ivoire",
TRUE,""
)</f>
        <v/>
      </c>
      <c r="W2322" s="12" t="str">
        <f t="shared" si="173"/>
        <v>Ghana</v>
      </c>
    </row>
    <row r="2323" spans="2:23">
      <c r="B2323" s="76" t="str">
        <v>2002.0</v>
      </c>
      <c r="C2323" s="42" t="str">
        <v xml:space="preserve">18 Jun 2002 - 15:30 </v>
      </c>
      <c r="D2323" s="42" t="str">
        <v>Round of 16</v>
      </c>
      <c r="E2323" s="42" t="str">
        <v>Miyagi Stadium</v>
      </c>
      <c r="F2323" s="42" t="str">
        <v xml:space="preserve">Rifu </v>
      </c>
      <c r="G2323" s="42" t="str">
        <v>Japan</v>
      </c>
      <c r="H2323" s="42" t="str">
        <v>0.0</v>
      </c>
      <c r="I2323" s="42" t="str">
        <v>1.0</v>
      </c>
      <c r="J2323" s="42" t="str">
        <v>Turkey</v>
      </c>
      <c r="K2323" s="42" t="str">
        <v xml:space="preserve"> </v>
      </c>
      <c r="L2323" s="42" t="str">
        <f t="shared" si="170"/>
        <v xml:space="preserve">2002.0|18 Jun 2002 - 15:30 |Round of 16|Miyagi Stadium|Rifu |Japan|0.0|1.0|Turkey| </v>
      </c>
      <c r="M2323" s="42" t="str">
        <f>IF(COUNTIF($L$1689:L2323,L2323)&gt;1,"DOUBLON","OK")</f>
        <v>OK</v>
      </c>
      <c r="S2323" s="12" t="str">
        <v>Ghana</v>
      </c>
      <c r="T2323" s="12" t="str">
        <f t="shared" si="171"/>
        <v>OK</v>
      </c>
      <c r="U2323" s="12" t="str">
        <f t="shared" si="172"/>
        <v>-</v>
      </c>
      <c r="V2323" s="12" t="str" cm="1">
        <f t="array" ref="V2323">_xlfn.IFS(
ISNUMBER(SEARCH("USA",S2323)),"United States",
ISNUMBER(SEARCH("Republic of Ireland",S2323)),"Ireland",
ISNUMBER(SEARCH("Republic of Korea",S2323)),"South Korea",
ISNUMBER(SEARCH("Cape Verde",S2323)),"Cabo Verde",
ISNUMBER(SEARCH("Czechia",S2323)),"Czech Republic",
ISNUMBER(SEARCH("Türkiye",S2323)),"Turkey",
ISNUMBER(SEARCH("Ivory Coast",S2323)),"Côte d'Ivoire",
ISNUMBER(SEARCH("Korea Republic",S2323)),"South Korea",
ISNUMBER(SEARCH("Germany FR",S2323)),"FR Germany",
ISNUMBER(SEARCH("West Germany",S2323)),"FR Germany",
ISNUMBER(SEARCH("Germany DR",S2323)),"DR Germany",
ISNUMBER(SEARCH("Korea DPR",S2323)),"North Korea",
ISNUMBER(SEARCH("China PR",S2323)),"China",
ISNUMBER(SEARCH("IR Iran",S2323)),"Iran",
ISNUMBER(SEARCH("Congo DR",S2323)),"Democratic Republic of the Congo",
ISNUMBER(SEARCH("DR Congo",S2323)),"Democratic Republic of the Congo",
ISNUMBER(SEARCH("German DR",S2323)),"DR Germany",
ISNUMBER(SEARCH("rn""&gt;United Arab Emirates",S2323)),"United Arab Emirates",
ISNUMBER(SEARCH("rn""&gt;Republic of Ireland",S2323)),"Ireland",
ISNUMBER(SEARCH("rn""&gt;Bosnia and Herzegovina",S2323)),"Bosnia and Herzegovina",
ISNUMBER(SEARCH("rn""&gt;Trinidad and Tobago",S2323)),"Trinidad and Tobago",
ISNUMBER(SEARCH("rn""&gt;Serbia and Montenegro",S2323)),"Serbia and Montenegro",
ISNUMBER(SEARCH(_xlfn.UNICHAR(65533),S2323)),"Côte d'Ivoire",
TRUE,""
)</f>
        <v/>
      </c>
      <c r="W2323" s="12" t="str">
        <f t="shared" si="173"/>
        <v>Ghana</v>
      </c>
    </row>
    <row r="2324" spans="2:23">
      <c r="B2324" s="76" t="str">
        <v>2002.0</v>
      </c>
      <c r="C2324" s="42" t="str">
        <v xml:space="preserve">18 Jun 2002 - 20:30 </v>
      </c>
      <c r="D2324" s="42" t="str">
        <v>Round of 16</v>
      </c>
      <c r="E2324" s="42" t="str">
        <v>Daejeon World Cup Stadium</v>
      </c>
      <c r="F2324" s="42" t="str">
        <v xml:space="preserve">Daejeon </v>
      </c>
      <c r="G2324" s="42" t="str">
        <v>Korea Republic</v>
      </c>
      <c r="H2324" s="42" t="str">
        <v>2.0</v>
      </c>
      <c r="I2324" s="42" t="str">
        <v>1.0</v>
      </c>
      <c r="J2324" s="42" t="str">
        <v>Italy</v>
      </c>
      <c r="K2324" s="42" t="str">
        <v xml:space="preserve">Win on Golden Goal </v>
      </c>
      <c r="L2324" s="42" t="str">
        <f t="shared" si="170"/>
        <v xml:space="preserve">2002.0|18 Jun 2002 - 20:30 |Round of 16|Daejeon World Cup Stadium|Daejeon |Korea Republic|2.0|1.0|Italy|Win on Golden Goal </v>
      </c>
      <c r="M2324" s="42" t="str">
        <f>IF(COUNTIF($L$1689:L2324,L2324)&gt;1,"DOUBLON","OK")</f>
        <v>OK</v>
      </c>
      <c r="S2324" s="12" t="str">
        <v>Ghana</v>
      </c>
      <c r="T2324" s="12" t="str">
        <f t="shared" si="171"/>
        <v>OK</v>
      </c>
      <c r="U2324" s="12" t="str">
        <f t="shared" si="172"/>
        <v>-</v>
      </c>
      <c r="V2324" s="12" t="str" cm="1">
        <f t="array" ref="V2324">_xlfn.IFS(
ISNUMBER(SEARCH("USA",S2324)),"United States",
ISNUMBER(SEARCH("Republic of Ireland",S2324)),"Ireland",
ISNUMBER(SEARCH("Republic of Korea",S2324)),"South Korea",
ISNUMBER(SEARCH("Cape Verde",S2324)),"Cabo Verde",
ISNUMBER(SEARCH("Czechia",S2324)),"Czech Republic",
ISNUMBER(SEARCH("Türkiye",S2324)),"Turkey",
ISNUMBER(SEARCH("Ivory Coast",S2324)),"Côte d'Ivoire",
ISNUMBER(SEARCH("Korea Republic",S2324)),"South Korea",
ISNUMBER(SEARCH("Germany FR",S2324)),"FR Germany",
ISNUMBER(SEARCH("West Germany",S2324)),"FR Germany",
ISNUMBER(SEARCH("Germany DR",S2324)),"DR Germany",
ISNUMBER(SEARCH("Korea DPR",S2324)),"North Korea",
ISNUMBER(SEARCH("China PR",S2324)),"China",
ISNUMBER(SEARCH("IR Iran",S2324)),"Iran",
ISNUMBER(SEARCH("Congo DR",S2324)),"Democratic Republic of the Congo",
ISNUMBER(SEARCH("DR Congo",S2324)),"Democratic Republic of the Congo",
ISNUMBER(SEARCH("German DR",S2324)),"DR Germany",
ISNUMBER(SEARCH("rn""&gt;United Arab Emirates",S2324)),"United Arab Emirates",
ISNUMBER(SEARCH("rn""&gt;Republic of Ireland",S2324)),"Ireland",
ISNUMBER(SEARCH("rn""&gt;Bosnia and Herzegovina",S2324)),"Bosnia and Herzegovina",
ISNUMBER(SEARCH("rn""&gt;Trinidad and Tobago",S2324)),"Trinidad and Tobago",
ISNUMBER(SEARCH("rn""&gt;Serbia and Montenegro",S2324)),"Serbia and Montenegro",
ISNUMBER(SEARCH(_xlfn.UNICHAR(65533),S2324)),"Côte d'Ivoire",
TRUE,""
)</f>
        <v/>
      </c>
      <c r="W2324" s="12" t="str">
        <f t="shared" si="173"/>
        <v>Ghana</v>
      </c>
    </row>
    <row r="2325" spans="2:23">
      <c r="B2325" s="76" t="str">
        <v>2002.0</v>
      </c>
      <c r="C2325" s="42" t="str">
        <v xml:space="preserve">21 Jun 2002 - 15:30 </v>
      </c>
      <c r="D2325" s="42" t="str">
        <v>Quarter-finals</v>
      </c>
      <c r="E2325" s="42" t="str">
        <v>Shizuoka Stadium Ecopa</v>
      </c>
      <c r="F2325" s="42" t="str">
        <v xml:space="preserve">Shizuoka </v>
      </c>
      <c r="G2325" s="42" t="str">
        <v>England</v>
      </c>
      <c r="H2325" s="42" t="str">
        <v>1.0</v>
      </c>
      <c r="I2325" s="42" t="str">
        <v>2.0</v>
      </c>
      <c r="J2325" s="42" t="str">
        <v>Brazil</v>
      </c>
      <c r="K2325" s="42" t="str">
        <v xml:space="preserve"> </v>
      </c>
      <c r="L2325" s="42" t="str">
        <f t="shared" si="170"/>
        <v xml:space="preserve">2002.0|21 Jun 2002 - 15:30 |Quarter-finals|Shizuoka Stadium Ecopa|Shizuoka |England|1.0|2.0|Brazil| </v>
      </c>
      <c r="M2325" s="42" t="str">
        <f>IF(COUNTIF($L$1689:L2325,L2325)&gt;1,"DOUBLON","OK")</f>
        <v>OK</v>
      </c>
      <c r="S2325" s="12" t="str">
        <v>Ghana</v>
      </c>
      <c r="T2325" s="12" t="str">
        <f t="shared" si="171"/>
        <v>OK</v>
      </c>
      <c r="U2325" s="12" t="str">
        <f t="shared" si="172"/>
        <v>-</v>
      </c>
      <c r="V2325" s="12" t="str" cm="1">
        <f t="array" ref="V2325">_xlfn.IFS(
ISNUMBER(SEARCH("USA",S2325)),"United States",
ISNUMBER(SEARCH("Republic of Ireland",S2325)),"Ireland",
ISNUMBER(SEARCH("Republic of Korea",S2325)),"South Korea",
ISNUMBER(SEARCH("Cape Verde",S2325)),"Cabo Verde",
ISNUMBER(SEARCH("Czechia",S2325)),"Czech Republic",
ISNUMBER(SEARCH("Türkiye",S2325)),"Turkey",
ISNUMBER(SEARCH("Ivory Coast",S2325)),"Côte d'Ivoire",
ISNUMBER(SEARCH("Korea Republic",S2325)),"South Korea",
ISNUMBER(SEARCH("Germany FR",S2325)),"FR Germany",
ISNUMBER(SEARCH("West Germany",S2325)),"FR Germany",
ISNUMBER(SEARCH("Germany DR",S2325)),"DR Germany",
ISNUMBER(SEARCH("Korea DPR",S2325)),"North Korea",
ISNUMBER(SEARCH("China PR",S2325)),"China",
ISNUMBER(SEARCH("IR Iran",S2325)),"Iran",
ISNUMBER(SEARCH("Congo DR",S2325)),"Democratic Republic of the Congo",
ISNUMBER(SEARCH("DR Congo",S2325)),"Democratic Republic of the Congo",
ISNUMBER(SEARCH("German DR",S2325)),"DR Germany",
ISNUMBER(SEARCH("rn""&gt;United Arab Emirates",S2325)),"United Arab Emirates",
ISNUMBER(SEARCH("rn""&gt;Republic of Ireland",S2325)),"Ireland",
ISNUMBER(SEARCH("rn""&gt;Bosnia and Herzegovina",S2325)),"Bosnia and Herzegovina",
ISNUMBER(SEARCH("rn""&gt;Trinidad and Tobago",S2325)),"Trinidad and Tobago",
ISNUMBER(SEARCH("rn""&gt;Serbia and Montenegro",S2325)),"Serbia and Montenegro",
ISNUMBER(SEARCH(_xlfn.UNICHAR(65533),S2325)),"Côte d'Ivoire",
TRUE,""
)</f>
        <v/>
      </c>
      <c r="W2325" s="12" t="str">
        <f t="shared" si="173"/>
        <v>Ghana</v>
      </c>
    </row>
    <row r="2326" spans="2:23">
      <c r="B2326" s="76" t="str">
        <v>2002.0</v>
      </c>
      <c r="C2326" s="42" t="str">
        <v xml:space="preserve">21 Jun 2002 - 20:30 </v>
      </c>
      <c r="D2326" s="42" t="str">
        <v>Quarter-finals</v>
      </c>
      <c r="E2326" s="42" t="str">
        <v>Munsu Football Stadium</v>
      </c>
      <c r="F2326" s="42" t="str">
        <v xml:space="preserve">Ulsan </v>
      </c>
      <c r="G2326" s="42" t="str">
        <v>Germany</v>
      </c>
      <c r="H2326" s="42" t="str">
        <v>1.0</v>
      </c>
      <c r="I2326" s="42" t="str">
        <v>0.0</v>
      </c>
      <c r="J2326" s="42" t="str">
        <v>USA</v>
      </c>
      <c r="K2326" s="42" t="str">
        <v xml:space="preserve"> </v>
      </c>
      <c r="L2326" s="42" t="str">
        <f t="shared" si="170"/>
        <v xml:space="preserve">2002.0|21 Jun 2002 - 20:30 |Quarter-finals|Munsu Football Stadium|Ulsan |Germany|1.0|0.0|USA| </v>
      </c>
      <c r="M2326" s="42" t="str">
        <f>IF(COUNTIF($L$1689:L2326,L2326)&gt;1,"DOUBLON","OK")</f>
        <v>OK</v>
      </c>
      <c r="S2326" s="12" t="str">
        <v>Ghana</v>
      </c>
      <c r="T2326" s="12" t="str">
        <f t="shared" si="171"/>
        <v>OK</v>
      </c>
      <c r="U2326" s="12" t="str">
        <f t="shared" si="172"/>
        <v>-</v>
      </c>
      <c r="V2326" s="12" t="str" cm="1">
        <f t="array" ref="V2326">_xlfn.IFS(
ISNUMBER(SEARCH("USA",S2326)),"United States",
ISNUMBER(SEARCH("Republic of Ireland",S2326)),"Ireland",
ISNUMBER(SEARCH("Republic of Korea",S2326)),"South Korea",
ISNUMBER(SEARCH("Cape Verde",S2326)),"Cabo Verde",
ISNUMBER(SEARCH("Czechia",S2326)),"Czech Republic",
ISNUMBER(SEARCH("Türkiye",S2326)),"Turkey",
ISNUMBER(SEARCH("Ivory Coast",S2326)),"Côte d'Ivoire",
ISNUMBER(SEARCH("Korea Republic",S2326)),"South Korea",
ISNUMBER(SEARCH("Germany FR",S2326)),"FR Germany",
ISNUMBER(SEARCH("West Germany",S2326)),"FR Germany",
ISNUMBER(SEARCH("Germany DR",S2326)),"DR Germany",
ISNUMBER(SEARCH("Korea DPR",S2326)),"North Korea",
ISNUMBER(SEARCH("China PR",S2326)),"China",
ISNUMBER(SEARCH("IR Iran",S2326)),"Iran",
ISNUMBER(SEARCH("Congo DR",S2326)),"Democratic Republic of the Congo",
ISNUMBER(SEARCH("DR Congo",S2326)),"Democratic Republic of the Congo",
ISNUMBER(SEARCH("German DR",S2326)),"DR Germany",
ISNUMBER(SEARCH("rn""&gt;United Arab Emirates",S2326)),"United Arab Emirates",
ISNUMBER(SEARCH("rn""&gt;Republic of Ireland",S2326)),"Ireland",
ISNUMBER(SEARCH("rn""&gt;Bosnia and Herzegovina",S2326)),"Bosnia and Herzegovina",
ISNUMBER(SEARCH("rn""&gt;Trinidad and Tobago",S2326)),"Trinidad and Tobago",
ISNUMBER(SEARCH("rn""&gt;Serbia and Montenegro",S2326)),"Serbia and Montenegro",
ISNUMBER(SEARCH(_xlfn.UNICHAR(65533),S2326)),"Côte d'Ivoire",
TRUE,""
)</f>
        <v/>
      </c>
      <c r="W2326" s="12" t="str">
        <f t="shared" si="173"/>
        <v>Ghana</v>
      </c>
    </row>
    <row r="2327" spans="2:23">
      <c r="B2327" s="76" t="str">
        <v>2002.0</v>
      </c>
      <c r="C2327" s="42" t="str">
        <v xml:space="preserve">22 Jun 2002 - 20:30 </v>
      </c>
      <c r="D2327" s="42" t="str">
        <v>Quarter-finals</v>
      </c>
      <c r="E2327" s="42" t="str">
        <v>Osaka Nagai Stadium</v>
      </c>
      <c r="F2327" s="42" t="str">
        <v xml:space="preserve">Osaka </v>
      </c>
      <c r="G2327" s="42" t="str">
        <v>Senegal</v>
      </c>
      <c r="H2327" s="42" t="str">
        <v>0.0</v>
      </c>
      <c r="I2327" s="42" t="str">
        <v>1.0</v>
      </c>
      <c r="J2327" s="42" t="str">
        <v>Turkey</v>
      </c>
      <c r="K2327" s="42" t="str">
        <v xml:space="preserve">Win on Golden Goal </v>
      </c>
      <c r="L2327" s="42" t="str">
        <f t="shared" si="170"/>
        <v xml:space="preserve">2002.0|22 Jun 2002 - 20:30 |Quarter-finals|Osaka Nagai Stadium|Osaka |Senegal|0.0|1.0|Turkey|Win on Golden Goal </v>
      </c>
      <c r="M2327" s="42" t="str">
        <f>IF(COUNTIF($L$1689:L2327,L2327)&gt;1,"DOUBLON","OK")</f>
        <v>OK</v>
      </c>
      <c r="S2327" s="12" t="str">
        <v>Ghana</v>
      </c>
      <c r="T2327" s="12" t="str">
        <f t="shared" si="171"/>
        <v>OK</v>
      </c>
      <c r="U2327" s="12" t="str">
        <f t="shared" si="172"/>
        <v>-</v>
      </c>
      <c r="V2327" s="12" t="str" cm="1">
        <f t="array" ref="V2327">_xlfn.IFS(
ISNUMBER(SEARCH("USA",S2327)),"United States",
ISNUMBER(SEARCH("Republic of Ireland",S2327)),"Ireland",
ISNUMBER(SEARCH("Republic of Korea",S2327)),"South Korea",
ISNUMBER(SEARCH("Cape Verde",S2327)),"Cabo Verde",
ISNUMBER(SEARCH("Czechia",S2327)),"Czech Republic",
ISNUMBER(SEARCH("Türkiye",S2327)),"Turkey",
ISNUMBER(SEARCH("Ivory Coast",S2327)),"Côte d'Ivoire",
ISNUMBER(SEARCH("Korea Republic",S2327)),"South Korea",
ISNUMBER(SEARCH("Germany FR",S2327)),"FR Germany",
ISNUMBER(SEARCH("West Germany",S2327)),"FR Germany",
ISNUMBER(SEARCH("Germany DR",S2327)),"DR Germany",
ISNUMBER(SEARCH("Korea DPR",S2327)),"North Korea",
ISNUMBER(SEARCH("China PR",S2327)),"China",
ISNUMBER(SEARCH("IR Iran",S2327)),"Iran",
ISNUMBER(SEARCH("Congo DR",S2327)),"Democratic Republic of the Congo",
ISNUMBER(SEARCH("DR Congo",S2327)),"Democratic Republic of the Congo",
ISNUMBER(SEARCH("German DR",S2327)),"DR Germany",
ISNUMBER(SEARCH("rn""&gt;United Arab Emirates",S2327)),"United Arab Emirates",
ISNUMBER(SEARCH("rn""&gt;Republic of Ireland",S2327)),"Ireland",
ISNUMBER(SEARCH("rn""&gt;Bosnia and Herzegovina",S2327)),"Bosnia and Herzegovina",
ISNUMBER(SEARCH("rn""&gt;Trinidad and Tobago",S2327)),"Trinidad and Tobago",
ISNUMBER(SEARCH("rn""&gt;Serbia and Montenegro",S2327)),"Serbia and Montenegro",
ISNUMBER(SEARCH(_xlfn.UNICHAR(65533),S2327)),"Côte d'Ivoire",
TRUE,""
)</f>
        <v/>
      </c>
      <c r="W2327" s="12" t="str">
        <f t="shared" si="173"/>
        <v>Ghana</v>
      </c>
    </row>
    <row r="2328" spans="2:23">
      <c r="B2328" s="76" t="str">
        <v>2002.0</v>
      </c>
      <c r="C2328" s="42" t="str">
        <v xml:space="preserve">22 Jun 2002 - 15:30 </v>
      </c>
      <c r="D2328" s="42" t="str">
        <v>Quarter-finals</v>
      </c>
      <c r="E2328" s="42" t="str">
        <v>Gwangju World Cup Stadium</v>
      </c>
      <c r="F2328" s="42" t="str">
        <v xml:space="preserve">Gwangju </v>
      </c>
      <c r="G2328" s="42" t="str">
        <v>Spain</v>
      </c>
      <c r="H2328" s="42" t="str">
        <v>0.0</v>
      </c>
      <c r="I2328" s="42" t="str">
        <v>0.0</v>
      </c>
      <c r="J2328" s="42" t="str">
        <v>Korea Republic</v>
      </c>
      <c r="K2328" s="42" t="str">
        <v xml:space="preserve">Korea Republic win on penalties (3 - 5) </v>
      </c>
      <c r="L2328" s="42" t="str">
        <f t="shared" si="170"/>
        <v xml:space="preserve">2002.0|22 Jun 2002 - 15:30 |Quarter-finals|Gwangju World Cup Stadium|Gwangju |Spain|0.0|0.0|Korea Republic|Korea Republic win on penalties (3 - 5) </v>
      </c>
      <c r="M2328" s="42" t="str">
        <f>IF(COUNTIF($L$1689:L2328,L2328)&gt;1,"DOUBLON","OK")</f>
        <v>OK</v>
      </c>
      <c r="S2328" s="12" t="str">
        <v>Ghana</v>
      </c>
      <c r="T2328" s="12" t="str">
        <f t="shared" si="171"/>
        <v>OK</v>
      </c>
      <c r="U2328" s="12" t="str">
        <f t="shared" si="172"/>
        <v>-</v>
      </c>
      <c r="V2328" s="12" t="str" cm="1">
        <f t="array" ref="V2328">_xlfn.IFS(
ISNUMBER(SEARCH("USA",S2328)),"United States",
ISNUMBER(SEARCH("Republic of Ireland",S2328)),"Ireland",
ISNUMBER(SEARCH("Republic of Korea",S2328)),"South Korea",
ISNUMBER(SEARCH("Cape Verde",S2328)),"Cabo Verde",
ISNUMBER(SEARCH("Czechia",S2328)),"Czech Republic",
ISNUMBER(SEARCH("Türkiye",S2328)),"Turkey",
ISNUMBER(SEARCH("Ivory Coast",S2328)),"Côte d'Ivoire",
ISNUMBER(SEARCH("Korea Republic",S2328)),"South Korea",
ISNUMBER(SEARCH("Germany FR",S2328)),"FR Germany",
ISNUMBER(SEARCH("West Germany",S2328)),"FR Germany",
ISNUMBER(SEARCH("Germany DR",S2328)),"DR Germany",
ISNUMBER(SEARCH("Korea DPR",S2328)),"North Korea",
ISNUMBER(SEARCH("China PR",S2328)),"China",
ISNUMBER(SEARCH("IR Iran",S2328)),"Iran",
ISNUMBER(SEARCH("Congo DR",S2328)),"Democratic Republic of the Congo",
ISNUMBER(SEARCH("DR Congo",S2328)),"Democratic Republic of the Congo",
ISNUMBER(SEARCH("German DR",S2328)),"DR Germany",
ISNUMBER(SEARCH("rn""&gt;United Arab Emirates",S2328)),"United Arab Emirates",
ISNUMBER(SEARCH("rn""&gt;Republic of Ireland",S2328)),"Ireland",
ISNUMBER(SEARCH("rn""&gt;Bosnia and Herzegovina",S2328)),"Bosnia and Herzegovina",
ISNUMBER(SEARCH("rn""&gt;Trinidad and Tobago",S2328)),"Trinidad and Tobago",
ISNUMBER(SEARCH("rn""&gt;Serbia and Montenegro",S2328)),"Serbia and Montenegro",
ISNUMBER(SEARCH(_xlfn.UNICHAR(65533),S2328)),"Côte d'Ivoire",
TRUE,""
)</f>
        <v/>
      </c>
      <c r="W2328" s="12" t="str">
        <f t="shared" si="173"/>
        <v>Ghana</v>
      </c>
    </row>
    <row r="2329" spans="2:23">
      <c r="B2329" s="76" t="str">
        <v>2002.0</v>
      </c>
      <c r="C2329" s="42" t="str">
        <v xml:space="preserve">25 Jun 2002 - 20:30 </v>
      </c>
      <c r="D2329" s="42" t="str">
        <v>Semi-finals</v>
      </c>
      <c r="E2329" s="42" t="str">
        <v>Seoul World Cup Stadium</v>
      </c>
      <c r="F2329" s="42" t="str">
        <v xml:space="preserve">Seoul </v>
      </c>
      <c r="G2329" s="42" t="str">
        <v>Germany</v>
      </c>
      <c r="H2329" s="42" t="str">
        <v>1.0</v>
      </c>
      <c r="I2329" s="42" t="str">
        <v>0.0</v>
      </c>
      <c r="J2329" s="42" t="str">
        <v>Korea Republic</v>
      </c>
      <c r="K2329" s="42" t="str">
        <v xml:space="preserve"> </v>
      </c>
      <c r="L2329" s="42" t="str">
        <f t="shared" ref="L2329:L2392" si="174">B2329&amp;"|"&amp;C2329&amp;"|"&amp;D2329&amp;"|"&amp;E2329&amp;"|"&amp;F2329&amp;"|"&amp;G2329&amp;"|"&amp;H2329&amp;"|"&amp;I2329&amp;"|"&amp;J2329&amp;"|"&amp;K2329</f>
        <v xml:space="preserve">2002.0|25 Jun 2002 - 20:30 |Semi-finals|Seoul World Cup Stadium|Seoul |Germany|1.0|0.0|Korea Republic| </v>
      </c>
      <c r="M2329" s="42" t="str">
        <f>IF(COUNTIF($L$1689:L2329,L2329)&gt;1,"DOUBLON","OK")</f>
        <v>OK</v>
      </c>
      <c r="S2329" s="12" t="str">
        <v>Ghana</v>
      </c>
      <c r="T2329" s="12" t="str">
        <f t="shared" si="171"/>
        <v>OK</v>
      </c>
      <c r="U2329" s="12" t="str">
        <f t="shared" si="172"/>
        <v>-</v>
      </c>
      <c r="V2329" s="12" t="str" cm="1">
        <f t="array" ref="V2329">_xlfn.IFS(
ISNUMBER(SEARCH("USA",S2329)),"United States",
ISNUMBER(SEARCH("Republic of Ireland",S2329)),"Ireland",
ISNUMBER(SEARCH("Republic of Korea",S2329)),"South Korea",
ISNUMBER(SEARCH("Cape Verde",S2329)),"Cabo Verde",
ISNUMBER(SEARCH("Czechia",S2329)),"Czech Republic",
ISNUMBER(SEARCH("Türkiye",S2329)),"Turkey",
ISNUMBER(SEARCH("Ivory Coast",S2329)),"Côte d'Ivoire",
ISNUMBER(SEARCH("Korea Republic",S2329)),"South Korea",
ISNUMBER(SEARCH("Germany FR",S2329)),"FR Germany",
ISNUMBER(SEARCH("West Germany",S2329)),"FR Germany",
ISNUMBER(SEARCH("Germany DR",S2329)),"DR Germany",
ISNUMBER(SEARCH("Korea DPR",S2329)),"North Korea",
ISNUMBER(SEARCH("China PR",S2329)),"China",
ISNUMBER(SEARCH("IR Iran",S2329)),"Iran",
ISNUMBER(SEARCH("Congo DR",S2329)),"Democratic Republic of the Congo",
ISNUMBER(SEARCH("DR Congo",S2329)),"Democratic Republic of the Congo",
ISNUMBER(SEARCH("German DR",S2329)),"DR Germany",
ISNUMBER(SEARCH("rn""&gt;United Arab Emirates",S2329)),"United Arab Emirates",
ISNUMBER(SEARCH("rn""&gt;Republic of Ireland",S2329)),"Ireland",
ISNUMBER(SEARCH("rn""&gt;Bosnia and Herzegovina",S2329)),"Bosnia and Herzegovina",
ISNUMBER(SEARCH("rn""&gt;Trinidad and Tobago",S2329)),"Trinidad and Tobago",
ISNUMBER(SEARCH("rn""&gt;Serbia and Montenegro",S2329)),"Serbia and Montenegro",
ISNUMBER(SEARCH(_xlfn.UNICHAR(65533),S2329)),"Côte d'Ivoire",
TRUE,""
)</f>
        <v/>
      </c>
      <c r="W2329" s="12" t="str">
        <f t="shared" si="173"/>
        <v>Ghana</v>
      </c>
    </row>
    <row r="2330" spans="2:23">
      <c r="B2330" s="76" t="str">
        <v>2002.0</v>
      </c>
      <c r="C2330" s="42" t="str">
        <v xml:space="preserve">26 Jun 2002 - 20:30 </v>
      </c>
      <c r="D2330" s="42" t="str">
        <v>Semi-finals</v>
      </c>
      <c r="E2330" s="42" t="str">
        <v>Saitama Stadium 2002</v>
      </c>
      <c r="F2330" s="42" t="str">
        <v xml:space="preserve">Saitama </v>
      </c>
      <c r="G2330" s="42" t="str">
        <v>Brazil</v>
      </c>
      <c r="H2330" s="42" t="str">
        <v>1.0</v>
      </c>
      <c r="I2330" s="42" t="str">
        <v>0.0</v>
      </c>
      <c r="J2330" s="42" t="str">
        <v>Turkey</v>
      </c>
      <c r="K2330" s="42" t="str">
        <v xml:space="preserve"> </v>
      </c>
      <c r="L2330" s="42" t="str">
        <f t="shared" si="174"/>
        <v xml:space="preserve">2002.0|26 Jun 2002 - 20:30 |Semi-finals|Saitama Stadium 2002|Saitama |Brazil|1.0|0.0|Turkey| </v>
      </c>
      <c r="M2330" s="42" t="str">
        <f>IF(COUNTIF($L$1689:L2330,L2330)&gt;1,"DOUBLON","OK")</f>
        <v>OK</v>
      </c>
      <c r="S2330" s="12" t="str">
        <v>Ghana</v>
      </c>
      <c r="T2330" s="12" t="str">
        <f t="shared" si="171"/>
        <v>OK</v>
      </c>
      <c r="U2330" s="12" t="str">
        <f t="shared" si="172"/>
        <v>-</v>
      </c>
      <c r="V2330" s="12" t="str" cm="1">
        <f t="array" ref="V2330">_xlfn.IFS(
ISNUMBER(SEARCH("USA",S2330)),"United States",
ISNUMBER(SEARCH("Republic of Ireland",S2330)),"Ireland",
ISNUMBER(SEARCH("Republic of Korea",S2330)),"South Korea",
ISNUMBER(SEARCH("Cape Verde",S2330)),"Cabo Verde",
ISNUMBER(SEARCH("Czechia",S2330)),"Czech Republic",
ISNUMBER(SEARCH("Türkiye",S2330)),"Turkey",
ISNUMBER(SEARCH("Ivory Coast",S2330)),"Côte d'Ivoire",
ISNUMBER(SEARCH("Korea Republic",S2330)),"South Korea",
ISNUMBER(SEARCH("Germany FR",S2330)),"FR Germany",
ISNUMBER(SEARCH("West Germany",S2330)),"FR Germany",
ISNUMBER(SEARCH("Germany DR",S2330)),"DR Germany",
ISNUMBER(SEARCH("Korea DPR",S2330)),"North Korea",
ISNUMBER(SEARCH("China PR",S2330)),"China",
ISNUMBER(SEARCH("IR Iran",S2330)),"Iran",
ISNUMBER(SEARCH("Congo DR",S2330)),"Democratic Republic of the Congo",
ISNUMBER(SEARCH("DR Congo",S2330)),"Democratic Republic of the Congo",
ISNUMBER(SEARCH("German DR",S2330)),"DR Germany",
ISNUMBER(SEARCH("rn""&gt;United Arab Emirates",S2330)),"United Arab Emirates",
ISNUMBER(SEARCH("rn""&gt;Republic of Ireland",S2330)),"Ireland",
ISNUMBER(SEARCH("rn""&gt;Bosnia and Herzegovina",S2330)),"Bosnia and Herzegovina",
ISNUMBER(SEARCH("rn""&gt;Trinidad and Tobago",S2330)),"Trinidad and Tobago",
ISNUMBER(SEARCH("rn""&gt;Serbia and Montenegro",S2330)),"Serbia and Montenegro",
ISNUMBER(SEARCH(_xlfn.UNICHAR(65533),S2330)),"Côte d'Ivoire",
TRUE,""
)</f>
        <v/>
      </c>
      <c r="W2330" s="12" t="str">
        <f t="shared" si="173"/>
        <v>Ghana</v>
      </c>
    </row>
    <row r="2331" spans="2:23">
      <c r="B2331" s="76" t="str">
        <v>2002.0</v>
      </c>
      <c r="C2331" s="42" t="str">
        <v xml:space="preserve">29 Jun 2002 - 20:00 </v>
      </c>
      <c r="D2331" s="42" t="str">
        <v>Third place</v>
      </c>
      <c r="E2331" s="42" t="str">
        <v>Daegu World Cup Stadium</v>
      </c>
      <c r="F2331" s="42" t="str">
        <v xml:space="preserve">Daegu </v>
      </c>
      <c r="G2331" s="42" t="str">
        <v>Korea Republic</v>
      </c>
      <c r="H2331" s="42" t="str">
        <v>2.0</v>
      </c>
      <c r="I2331" s="42" t="str">
        <v>3.0</v>
      </c>
      <c r="J2331" s="42" t="str">
        <v>Turkey</v>
      </c>
      <c r="K2331" s="42" t="str">
        <v xml:space="preserve"> </v>
      </c>
      <c r="L2331" s="42" t="str">
        <f t="shared" si="174"/>
        <v xml:space="preserve">2002.0|29 Jun 2002 - 20:00 |Third place|Daegu World Cup Stadium|Daegu |Korea Republic|2.0|3.0|Turkey| </v>
      </c>
      <c r="M2331" s="42" t="str">
        <f>IF(COUNTIF($L$1689:L2331,L2331)&gt;1,"DOUBLON","OK")</f>
        <v>OK</v>
      </c>
      <c r="S2331" s="12" t="str">
        <v>Ghana</v>
      </c>
      <c r="T2331" s="12" t="str">
        <f t="shared" si="171"/>
        <v>OK</v>
      </c>
      <c r="U2331" s="12" t="str">
        <f t="shared" si="172"/>
        <v>-</v>
      </c>
      <c r="V2331" s="12" t="str" cm="1">
        <f t="array" ref="V2331">_xlfn.IFS(
ISNUMBER(SEARCH("USA",S2331)),"United States",
ISNUMBER(SEARCH("Republic of Ireland",S2331)),"Ireland",
ISNUMBER(SEARCH("Republic of Korea",S2331)),"South Korea",
ISNUMBER(SEARCH("Cape Verde",S2331)),"Cabo Verde",
ISNUMBER(SEARCH("Czechia",S2331)),"Czech Republic",
ISNUMBER(SEARCH("Türkiye",S2331)),"Turkey",
ISNUMBER(SEARCH("Ivory Coast",S2331)),"Côte d'Ivoire",
ISNUMBER(SEARCH("Korea Republic",S2331)),"South Korea",
ISNUMBER(SEARCH("Germany FR",S2331)),"FR Germany",
ISNUMBER(SEARCH("West Germany",S2331)),"FR Germany",
ISNUMBER(SEARCH("Germany DR",S2331)),"DR Germany",
ISNUMBER(SEARCH("Korea DPR",S2331)),"North Korea",
ISNUMBER(SEARCH("China PR",S2331)),"China",
ISNUMBER(SEARCH("IR Iran",S2331)),"Iran",
ISNUMBER(SEARCH("Congo DR",S2331)),"Democratic Republic of the Congo",
ISNUMBER(SEARCH("DR Congo",S2331)),"Democratic Republic of the Congo",
ISNUMBER(SEARCH("German DR",S2331)),"DR Germany",
ISNUMBER(SEARCH("rn""&gt;United Arab Emirates",S2331)),"United Arab Emirates",
ISNUMBER(SEARCH("rn""&gt;Republic of Ireland",S2331)),"Ireland",
ISNUMBER(SEARCH("rn""&gt;Bosnia and Herzegovina",S2331)),"Bosnia and Herzegovina",
ISNUMBER(SEARCH("rn""&gt;Trinidad and Tobago",S2331)),"Trinidad and Tobago",
ISNUMBER(SEARCH("rn""&gt;Serbia and Montenegro",S2331)),"Serbia and Montenegro",
ISNUMBER(SEARCH(_xlfn.UNICHAR(65533),S2331)),"Côte d'Ivoire",
TRUE,""
)</f>
        <v/>
      </c>
      <c r="W2331" s="12" t="str">
        <f t="shared" si="173"/>
        <v>Ghana</v>
      </c>
    </row>
    <row r="2332" spans="2:23">
      <c r="B2332" s="76" t="str">
        <v>2002.0</v>
      </c>
      <c r="C2332" s="42" t="str">
        <v xml:space="preserve">30 Jun 2002 - 20:00 </v>
      </c>
      <c r="D2332" s="42" t="str">
        <v>Final</v>
      </c>
      <c r="E2332" s="42" t="str">
        <v>International Stadium Yokohama</v>
      </c>
      <c r="F2332" s="42" t="str">
        <v xml:space="preserve">Yokohama </v>
      </c>
      <c r="G2332" s="42" t="str">
        <v>Germany</v>
      </c>
      <c r="H2332" s="42" t="str">
        <v>0.0</v>
      </c>
      <c r="I2332" s="42" t="str">
        <v>2.0</v>
      </c>
      <c r="J2332" s="42" t="str">
        <v>Brazil</v>
      </c>
      <c r="K2332" s="42" t="str">
        <v xml:space="preserve"> </v>
      </c>
      <c r="L2332" s="42" t="str">
        <f t="shared" si="174"/>
        <v xml:space="preserve">2002.0|30 Jun 2002 - 20:00 |Final|International Stadium Yokohama|Yokohama |Germany|0.0|2.0|Brazil| </v>
      </c>
      <c r="M2332" s="42" t="str">
        <f>IF(COUNTIF($L$1689:L2332,L2332)&gt;1,"DOUBLON","OK")</f>
        <v>OK</v>
      </c>
      <c r="S2332" s="12" t="str">
        <v>Ghana</v>
      </c>
      <c r="T2332" s="12" t="str">
        <f t="shared" si="171"/>
        <v>OK</v>
      </c>
      <c r="U2332" s="12" t="str">
        <f t="shared" si="172"/>
        <v>-</v>
      </c>
      <c r="V2332" s="12" t="str" cm="1">
        <f t="array" ref="V2332">_xlfn.IFS(
ISNUMBER(SEARCH("USA",S2332)),"United States",
ISNUMBER(SEARCH("Republic of Ireland",S2332)),"Ireland",
ISNUMBER(SEARCH("Republic of Korea",S2332)),"South Korea",
ISNUMBER(SEARCH("Cape Verde",S2332)),"Cabo Verde",
ISNUMBER(SEARCH("Czechia",S2332)),"Czech Republic",
ISNUMBER(SEARCH("Türkiye",S2332)),"Turkey",
ISNUMBER(SEARCH("Ivory Coast",S2332)),"Côte d'Ivoire",
ISNUMBER(SEARCH("Korea Republic",S2332)),"South Korea",
ISNUMBER(SEARCH("Germany FR",S2332)),"FR Germany",
ISNUMBER(SEARCH("West Germany",S2332)),"FR Germany",
ISNUMBER(SEARCH("Germany DR",S2332)),"DR Germany",
ISNUMBER(SEARCH("Korea DPR",S2332)),"North Korea",
ISNUMBER(SEARCH("China PR",S2332)),"China",
ISNUMBER(SEARCH("IR Iran",S2332)),"Iran",
ISNUMBER(SEARCH("Congo DR",S2332)),"Democratic Republic of the Congo",
ISNUMBER(SEARCH("DR Congo",S2332)),"Democratic Republic of the Congo",
ISNUMBER(SEARCH("German DR",S2332)),"DR Germany",
ISNUMBER(SEARCH("rn""&gt;United Arab Emirates",S2332)),"United Arab Emirates",
ISNUMBER(SEARCH("rn""&gt;Republic of Ireland",S2332)),"Ireland",
ISNUMBER(SEARCH("rn""&gt;Bosnia and Herzegovina",S2332)),"Bosnia and Herzegovina",
ISNUMBER(SEARCH("rn""&gt;Trinidad and Tobago",S2332)),"Trinidad and Tobago",
ISNUMBER(SEARCH("rn""&gt;Serbia and Montenegro",S2332)),"Serbia and Montenegro",
ISNUMBER(SEARCH(_xlfn.UNICHAR(65533),S2332)),"Côte d'Ivoire",
TRUE,""
)</f>
        <v/>
      </c>
      <c r="W2332" s="12" t="str">
        <f t="shared" si="173"/>
        <v>Ghana</v>
      </c>
    </row>
    <row r="2333" spans="2:23">
      <c r="B2333" s="76" t="str">
        <v>2006.0</v>
      </c>
      <c r="C2333" s="42" t="str">
        <v xml:space="preserve">09 Jun 2006 - 18:00 </v>
      </c>
      <c r="D2333" s="42" t="str">
        <v>Group A</v>
      </c>
      <c r="E2333" s="42" t="str">
        <v>FIFA World Cup Stadium, Munich</v>
      </c>
      <c r="F2333" s="42" t="str">
        <v xml:space="preserve">Munich </v>
      </c>
      <c r="G2333" s="42" t="str">
        <v>Germany</v>
      </c>
      <c r="H2333" s="42" t="str">
        <v>4.0</v>
      </c>
      <c r="I2333" s="42" t="str">
        <v>2.0</v>
      </c>
      <c r="J2333" s="42" t="str">
        <v>Costa Rica</v>
      </c>
      <c r="K2333" s="42" t="str">
        <v xml:space="preserve"> </v>
      </c>
      <c r="L2333" s="42" t="str">
        <f t="shared" si="174"/>
        <v xml:space="preserve">2006.0|09 Jun 2006 - 18:00 |Group A|FIFA World Cup Stadium, Munich|Munich |Germany|4.0|2.0|Costa Rica| </v>
      </c>
      <c r="M2333" s="42" t="str">
        <f>IF(COUNTIF($L$1689:L2333,L2333)&gt;1,"DOUBLON","OK")</f>
        <v>OK</v>
      </c>
      <c r="S2333" s="12" t="str">
        <v>Ghana</v>
      </c>
      <c r="T2333" s="12" t="str">
        <f t="shared" si="171"/>
        <v>OK</v>
      </c>
      <c r="U2333" s="12" t="str">
        <f t="shared" si="172"/>
        <v>-</v>
      </c>
      <c r="V2333" s="12" t="str" cm="1">
        <f t="array" ref="V2333">_xlfn.IFS(
ISNUMBER(SEARCH("USA",S2333)),"United States",
ISNUMBER(SEARCH("Republic of Ireland",S2333)),"Ireland",
ISNUMBER(SEARCH("Republic of Korea",S2333)),"South Korea",
ISNUMBER(SEARCH("Cape Verde",S2333)),"Cabo Verde",
ISNUMBER(SEARCH("Czechia",S2333)),"Czech Republic",
ISNUMBER(SEARCH("Türkiye",S2333)),"Turkey",
ISNUMBER(SEARCH("Ivory Coast",S2333)),"Côte d'Ivoire",
ISNUMBER(SEARCH("Korea Republic",S2333)),"South Korea",
ISNUMBER(SEARCH("Germany FR",S2333)),"FR Germany",
ISNUMBER(SEARCH("West Germany",S2333)),"FR Germany",
ISNUMBER(SEARCH("Germany DR",S2333)),"DR Germany",
ISNUMBER(SEARCH("Korea DPR",S2333)),"North Korea",
ISNUMBER(SEARCH("China PR",S2333)),"China",
ISNUMBER(SEARCH("IR Iran",S2333)),"Iran",
ISNUMBER(SEARCH("Congo DR",S2333)),"Democratic Republic of the Congo",
ISNUMBER(SEARCH("DR Congo",S2333)),"Democratic Republic of the Congo",
ISNUMBER(SEARCH("German DR",S2333)),"DR Germany",
ISNUMBER(SEARCH("rn""&gt;United Arab Emirates",S2333)),"United Arab Emirates",
ISNUMBER(SEARCH("rn""&gt;Republic of Ireland",S2333)),"Ireland",
ISNUMBER(SEARCH("rn""&gt;Bosnia and Herzegovina",S2333)),"Bosnia and Herzegovina",
ISNUMBER(SEARCH("rn""&gt;Trinidad and Tobago",S2333)),"Trinidad and Tobago",
ISNUMBER(SEARCH("rn""&gt;Serbia and Montenegro",S2333)),"Serbia and Montenegro",
ISNUMBER(SEARCH(_xlfn.UNICHAR(65533),S2333)),"Côte d'Ivoire",
TRUE,""
)</f>
        <v/>
      </c>
      <c r="W2333" s="12" t="str">
        <f t="shared" si="173"/>
        <v>Ghana</v>
      </c>
    </row>
    <row r="2334" spans="2:23">
      <c r="B2334" s="76" t="str">
        <v>2006.0</v>
      </c>
      <c r="C2334" s="42" t="str">
        <v xml:space="preserve">09 Jun 2006 - 21:00 </v>
      </c>
      <c r="D2334" s="42" t="str">
        <v>Group A</v>
      </c>
      <c r="E2334" s="42" t="str">
        <v>FIFA World Cup Stadium, Gelsenkirchen</v>
      </c>
      <c r="F2334" s="42" t="str">
        <v xml:space="preserve">Gelsenkirchen </v>
      </c>
      <c r="G2334" s="42" t="str">
        <v>Poland</v>
      </c>
      <c r="H2334" s="42" t="str">
        <v>0.0</v>
      </c>
      <c r="I2334" s="42" t="str">
        <v>2.0</v>
      </c>
      <c r="J2334" s="42" t="str">
        <v>Ecuador</v>
      </c>
      <c r="K2334" s="42" t="str">
        <v xml:space="preserve"> </v>
      </c>
      <c r="L2334" s="42" t="str">
        <f t="shared" si="174"/>
        <v xml:space="preserve">2006.0|09 Jun 2006 - 21:00 |Group A|FIFA World Cup Stadium, Gelsenkirchen|Gelsenkirchen |Poland|0.0|2.0|Ecuador| </v>
      </c>
      <c r="M2334" s="42" t="str">
        <f>IF(COUNTIF($L$1689:L2334,L2334)&gt;1,"DOUBLON","OK")</f>
        <v>OK</v>
      </c>
      <c r="S2334" s="12" t="str">
        <v>Ghana</v>
      </c>
      <c r="T2334" s="12" t="str">
        <f t="shared" si="171"/>
        <v>OK</v>
      </c>
      <c r="U2334" s="12" t="str">
        <f t="shared" si="172"/>
        <v>-</v>
      </c>
      <c r="V2334" s="12" t="str" cm="1">
        <f t="array" ref="V2334">_xlfn.IFS(
ISNUMBER(SEARCH("USA",S2334)),"United States",
ISNUMBER(SEARCH("Republic of Ireland",S2334)),"Ireland",
ISNUMBER(SEARCH("Republic of Korea",S2334)),"South Korea",
ISNUMBER(SEARCH("Cape Verde",S2334)),"Cabo Verde",
ISNUMBER(SEARCH("Czechia",S2334)),"Czech Republic",
ISNUMBER(SEARCH("Türkiye",S2334)),"Turkey",
ISNUMBER(SEARCH("Ivory Coast",S2334)),"Côte d'Ivoire",
ISNUMBER(SEARCH("Korea Republic",S2334)),"South Korea",
ISNUMBER(SEARCH("Germany FR",S2334)),"FR Germany",
ISNUMBER(SEARCH("West Germany",S2334)),"FR Germany",
ISNUMBER(SEARCH("Germany DR",S2334)),"DR Germany",
ISNUMBER(SEARCH("Korea DPR",S2334)),"North Korea",
ISNUMBER(SEARCH("China PR",S2334)),"China",
ISNUMBER(SEARCH("IR Iran",S2334)),"Iran",
ISNUMBER(SEARCH("Congo DR",S2334)),"Democratic Republic of the Congo",
ISNUMBER(SEARCH("DR Congo",S2334)),"Democratic Republic of the Congo",
ISNUMBER(SEARCH("German DR",S2334)),"DR Germany",
ISNUMBER(SEARCH("rn""&gt;United Arab Emirates",S2334)),"United Arab Emirates",
ISNUMBER(SEARCH("rn""&gt;Republic of Ireland",S2334)),"Ireland",
ISNUMBER(SEARCH("rn""&gt;Bosnia and Herzegovina",S2334)),"Bosnia and Herzegovina",
ISNUMBER(SEARCH("rn""&gt;Trinidad and Tobago",S2334)),"Trinidad and Tobago",
ISNUMBER(SEARCH("rn""&gt;Serbia and Montenegro",S2334)),"Serbia and Montenegro",
ISNUMBER(SEARCH(_xlfn.UNICHAR(65533),S2334)),"Côte d'Ivoire",
TRUE,""
)</f>
        <v/>
      </c>
      <c r="W2334" s="12" t="str">
        <f t="shared" si="173"/>
        <v>Ghana</v>
      </c>
    </row>
    <row r="2335" spans="2:23">
      <c r="B2335" s="76" t="str">
        <v>2006.0</v>
      </c>
      <c r="C2335" s="42" t="str">
        <v xml:space="preserve">10 Jun 2006 - 15:00 </v>
      </c>
      <c r="D2335" s="42" t="str">
        <v>Group B</v>
      </c>
      <c r="E2335" s="42" t="str">
        <v>FIFA World Cup Stadium, Frankfurt</v>
      </c>
      <c r="F2335" s="42" t="str">
        <v xml:space="preserve">Frankfurt/Main </v>
      </c>
      <c r="G2335" s="42" t="str">
        <v>England</v>
      </c>
      <c r="H2335" s="42" t="str">
        <v>1.0</v>
      </c>
      <c r="I2335" s="42" t="str">
        <v>0.0</v>
      </c>
      <c r="J2335" s="42" t="str">
        <v>Paraguay</v>
      </c>
      <c r="K2335" s="42" t="str">
        <v xml:space="preserve"> </v>
      </c>
      <c r="L2335" s="42" t="str">
        <f t="shared" si="174"/>
        <v xml:space="preserve">2006.0|10 Jun 2006 - 15:00 |Group B|FIFA World Cup Stadium, Frankfurt|Frankfurt/Main |England|1.0|0.0|Paraguay| </v>
      </c>
      <c r="M2335" s="42" t="str">
        <f>IF(COUNTIF($L$1689:L2335,L2335)&gt;1,"DOUBLON","OK")</f>
        <v>OK</v>
      </c>
      <c r="S2335" s="12" t="str">
        <v>Ghana</v>
      </c>
      <c r="T2335" s="12" t="str">
        <f t="shared" si="171"/>
        <v>OK</v>
      </c>
      <c r="U2335" s="12" t="str">
        <f t="shared" si="172"/>
        <v>-</v>
      </c>
      <c r="V2335" s="12" t="str" cm="1">
        <f t="array" ref="V2335">_xlfn.IFS(
ISNUMBER(SEARCH("USA",S2335)),"United States",
ISNUMBER(SEARCH("Republic of Ireland",S2335)),"Ireland",
ISNUMBER(SEARCH("Republic of Korea",S2335)),"South Korea",
ISNUMBER(SEARCH("Cape Verde",S2335)),"Cabo Verde",
ISNUMBER(SEARCH("Czechia",S2335)),"Czech Republic",
ISNUMBER(SEARCH("Türkiye",S2335)),"Turkey",
ISNUMBER(SEARCH("Ivory Coast",S2335)),"Côte d'Ivoire",
ISNUMBER(SEARCH("Korea Republic",S2335)),"South Korea",
ISNUMBER(SEARCH("Germany FR",S2335)),"FR Germany",
ISNUMBER(SEARCH("West Germany",S2335)),"FR Germany",
ISNUMBER(SEARCH("Germany DR",S2335)),"DR Germany",
ISNUMBER(SEARCH("Korea DPR",S2335)),"North Korea",
ISNUMBER(SEARCH("China PR",S2335)),"China",
ISNUMBER(SEARCH("IR Iran",S2335)),"Iran",
ISNUMBER(SEARCH("Congo DR",S2335)),"Democratic Republic of the Congo",
ISNUMBER(SEARCH("DR Congo",S2335)),"Democratic Republic of the Congo",
ISNUMBER(SEARCH("German DR",S2335)),"DR Germany",
ISNUMBER(SEARCH("rn""&gt;United Arab Emirates",S2335)),"United Arab Emirates",
ISNUMBER(SEARCH("rn""&gt;Republic of Ireland",S2335)),"Ireland",
ISNUMBER(SEARCH("rn""&gt;Bosnia and Herzegovina",S2335)),"Bosnia and Herzegovina",
ISNUMBER(SEARCH("rn""&gt;Trinidad and Tobago",S2335)),"Trinidad and Tobago",
ISNUMBER(SEARCH("rn""&gt;Serbia and Montenegro",S2335)),"Serbia and Montenegro",
ISNUMBER(SEARCH(_xlfn.UNICHAR(65533),S2335)),"Côte d'Ivoire",
TRUE,""
)</f>
        <v/>
      </c>
      <c r="W2335" s="12" t="str">
        <f t="shared" si="173"/>
        <v>Ghana</v>
      </c>
    </row>
    <row r="2336" spans="2:23">
      <c r="B2336" s="76" t="str">
        <v>2006.0</v>
      </c>
      <c r="C2336" s="42" t="str">
        <v xml:space="preserve">10 Jun 2006 - 18:00 </v>
      </c>
      <c r="D2336" s="42" t="str">
        <v>Group B</v>
      </c>
      <c r="E2336" s="42" t="str">
        <v>FIFA World Cup Stadium, Dortmund</v>
      </c>
      <c r="F2336" s="42" t="str">
        <v xml:space="preserve">Dortmund </v>
      </c>
      <c r="G2336" s="42" t="str">
        <v>rn"&gt;Trinidad and Tobago</v>
      </c>
      <c r="H2336" s="42" t="str">
        <v>0.0</v>
      </c>
      <c r="I2336" s="42" t="str">
        <v>0.0</v>
      </c>
      <c r="J2336" s="42" t="str">
        <v>Sweden</v>
      </c>
      <c r="K2336" s="42" t="str">
        <v xml:space="preserve"> </v>
      </c>
      <c r="L2336" s="42" t="str">
        <f t="shared" si="174"/>
        <v xml:space="preserve">2006.0|10 Jun 2006 - 18:00 |Group B|FIFA World Cup Stadium, Dortmund|Dortmund |rn"&gt;Trinidad and Tobago|0.0|0.0|Sweden| </v>
      </c>
      <c r="M2336" s="42" t="str">
        <f>IF(COUNTIF($L$1689:L2336,L2336)&gt;1,"DOUBLON","OK")</f>
        <v>OK</v>
      </c>
      <c r="S2336" s="12" t="str">
        <v>Ghana</v>
      </c>
      <c r="T2336" s="12" t="str">
        <f t="shared" si="171"/>
        <v>OK</v>
      </c>
      <c r="U2336" s="12" t="str">
        <f t="shared" si="172"/>
        <v>-</v>
      </c>
      <c r="V2336" s="12" t="str" cm="1">
        <f t="array" ref="V2336">_xlfn.IFS(
ISNUMBER(SEARCH("USA",S2336)),"United States",
ISNUMBER(SEARCH("Republic of Ireland",S2336)),"Ireland",
ISNUMBER(SEARCH("Republic of Korea",S2336)),"South Korea",
ISNUMBER(SEARCH("Cape Verde",S2336)),"Cabo Verde",
ISNUMBER(SEARCH("Czechia",S2336)),"Czech Republic",
ISNUMBER(SEARCH("Türkiye",S2336)),"Turkey",
ISNUMBER(SEARCH("Ivory Coast",S2336)),"Côte d'Ivoire",
ISNUMBER(SEARCH("Korea Republic",S2336)),"South Korea",
ISNUMBER(SEARCH("Germany FR",S2336)),"FR Germany",
ISNUMBER(SEARCH("West Germany",S2336)),"FR Germany",
ISNUMBER(SEARCH("Germany DR",S2336)),"DR Germany",
ISNUMBER(SEARCH("Korea DPR",S2336)),"North Korea",
ISNUMBER(SEARCH("China PR",S2336)),"China",
ISNUMBER(SEARCH("IR Iran",S2336)),"Iran",
ISNUMBER(SEARCH("Congo DR",S2336)),"Democratic Republic of the Congo",
ISNUMBER(SEARCH("DR Congo",S2336)),"Democratic Republic of the Congo",
ISNUMBER(SEARCH("German DR",S2336)),"DR Germany",
ISNUMBER(SEARCH("rn""&gt;United Arab Emirates",S2336)),"United Arab Emirates",
ISNUMBER(SEARCH("rn""&gt;Republic of Ireland",S2336)),"Ireland",
ISNUMBER(SEARCH("rn""&gt;Bosnia and Herzegovina",S2336)),"Bosnia and Herzegovina",
ISNUMBER(SEARCH("rn""&gt;Trinidad and Tobago",S2336)),"Trinidad and Tobago",
ISNUMBER(SEARCH("rn""&gt;Serbia and Montenegro",S2336)),"Serbia and Montenegro",
ISNUMBER(SEARCH(_xlfn.UNICHAR(65533),S2336)),"Côte d'Ivoire",
TRUE,""
)</f>
        <v/>
      </c>
      <c r="W2336" s="12" t="str">
        <f t="shared" si="173"/>
        <v>Ghana</v>
      </c>
    </row>
    <row r="2337" spans="2:23">
      <c r="B2337" s="76" t="str">
        <v>2006.0</v>
      </c>
      <c r="C2337" s="42" t="str">
        <v xml:space="preserve">10 Jun 2006 - 21:00 </v>
      </c>
      <c r="D2337" s="42" t="str">
        <v>Group C</v>
      </c>
      <c r="E2337" s="42" t="str">
        <v>FIFA World Cup Stadium, Hamburg</v>
      </c>
      <c r="F2337" s="42" t="str">
        <v xml:space="preserve">Hamburg </v>
      </c>
      <c r="G2337" s="42" t="str">
        <v>Argentina</v>
      </c>
      <c r="H2337" s="42" t="str">
        <v>2.0</v>
      </c>
      <c r="I2337" s="42" t="str">
        <v>1.0</v>
      </c>
      <c r="J2337" s="42" t="str">
        <v>C�te d'Ivoire</v>
      </c>
      <c r="K2337" s="42" t="str">
        <v xml:space="preserve"> </v>
      </c>
      <c r="L2337" s="42" t="str">
        <f t="shared" si="174"/>
        <v xml:space="preserve">2006.0|10 Jun 2006 - 21:00 |Group C|FIFA World Cup Stadium, Hamburg|Hamburg |Argentina|2.0|1.0|C�te d'Ivoire| </v>
      </c>
      <c r="M2337" s="42" t="str">
        <f>IF(COUNTIF($L$1689:L2337,L2337)&gt;1,"DOUBLON","OK")</f>
        <v>OK</v>
      </c>
      <c r="S2337" s="12" t="str">
        <v>Ghana</v>
      </c>
      <c r="T2337" s="12" t="str">
        <f t="shared" ref="T2337:T2368" si="175">IF(COUNTIF(R$13:R$250,S2337)=1,"OK","ERREUR")</f>
        <v>OK</v>
      </c>
      <c r="U2337" s="12" t="str">
        <f t="shared" si="172"/>
        <v>-</v>
      </c>
      <c r="V2337" s="12" t="str" cm="1">
        <f t="array" ref="V2337">_xlfn.IFS(
ISNUMBER(SEARCH("USA",S2337)),"United States",
ISNUMBER(SEARCH("Republic of Ireland",S2337)),"Ireland",
ISNUMBER(SEARCH("Republic of Korea",S2337)),"South Korea",
ISNUMBER(SEARCH("Cape Verde",S2337)),"Cabo Verde",
ISNUMBER(SEARCH("Czechia",S2337)),"Czech Republic",
ISNUMBER(SEARCH("Türkiye",S2337)),"Turkey",
ISNUMBER(SEARCH("Ivory Coast",S2337)),"Côte d'Ivoire",
ISNUMBER(SEARCH("Korea Republic",S2337)),"South Korea",
ISNUMBER(SEARCH("Germany FR",S2337)),"FR Germany",
ISNUMBER(SEARCH("West Germany",S2337)),"FR Germany",
ISNUMBER(SEARCH("Germany DR",S2337)),"DR Germany",
ISNUMBER(SEARCH("Korea DPR",S2337)),"North Korea",
ISNUMBER(SEARCH("China PR",S2337)),"China",
ISNUMBER(SEARCH("IR Iran",S2337)),"Iran",
ISNUMBER(SEARCH("Congo DR",S2337)),"Democratic Republic of the Congo",
ISNUMBER(SEARCH("DR Congo",S2337)),"Democratic Republic of the Congo",
ISNUMBER(SEARCH("German DR",S2337)),"DR Germany",
ISNUMBER(SEARCH("rn""&gt;United Arab Emirates",S2337)),"United Arab Emirates",
ISNUMBER(SEARCH("rn""&gt;Republic of Ireland",S2337)),"Ireland",
ISNUMBER(SEARCH("rn""&gt;Bosnia and Herzegovina",S2337)),"Bosnia and Herzegovina",
ISNUMBER(SEARCH("rn""&gt;Trinidad and Tobago",S2337)),"Trinidad and Tobago",
ISNUMBER(SEARCH("rn""&gt;Serbia and Montenegro",S2337)),"Serbia and Montenegro",
ISNUMBER(SEARCH(_xlfn.UNICHAR(65533),S2337)),"Côte d'Ivoire",
TRUE,""
)</f>
        <v/>
      </c>
      <c r="W2337" s="12" t="str">
        <f t="shared" si="173"/>
        <v>Ghana</v>
      </c>
    </row>
    <row r="2338" spans="2:23">
      <c r="B2338" s="76" t="str">
        <v>2006.0</v>
      </c>
      <c r="C2338" s="42" t="str">
        <v xml:space="preserve">11 Jun 2006 - 15:00 </v>
      </c>
      <c r="D2338" s="42" t="str">
        <v>Group C</v>
      </c>
      <c r="E2338" s="42" t="str">
        <v>Zentralstadion</v>
      </c>
      <c r="F2338" s="42" t="str">
        <v xml:space="preserve">Leipzig </v>
      </c>
      <c r="G2338" s="42" t="str">
        <v>rn"&gt;Serbia and Montenegro</v>
      </c>
      <c r="H2338" s="42" t="str">
        <v>0.0</v>
      </c>
      <c r="I2338" s="42" t="str">
        <v>1.0</v>
      </c>
      <c r="J2338" s="42" t="str">
        <v>Netherlands</v>
      </c>
      <c r="K2338" s="42" t="str">
        <v xml:space="preserve"> </v>
      </c>
      <c r="L2338" s="42" t="str">
        <f t="shared" si="174"/>
        <v xml:space="preserve">2006.0|11 Jun 2006 - 15:00 |Group C|Zentralstadion|Leipzig |rn"&gt;Serbia and Montenegro|0.0|1.0|Netherlands| </v>
      </c>
      <c r="M2338" s="42" t="str">
        <f>IF(COUNTIF($L$1689:L2338,L2338)&gt;1,"DOUBLON","OK")</f>
        <v>OK</v>
      </c>
      <c r="S2338" s="12" t="str">
        <v>Ghana</v>
      </c>
      <c r="T2338" s="12" t="str">
        <f t="shared" si="175"/>
        <v>OK</v>
      </c>
      <c r="U2338" s="12" t="str">
        <f t="shared" ref="U2338:U2368" si="176">IF(OR(S2338="Scotland",S2338="England",S2338="Wales",S2338="Yugoslavia",S2338="Czechoslovakia",S2338="Northern Ireland",S2338="Soviet Union",S2338="Zaire",S2338="Dutch East Indies"),"AUCUNE",IF(OR(S2338="Cape Verde",S2338="USA",S2338="DR Congo",S2338="Republic of Korea",S2338="Germany FR",S2338="Germany DR",S2338="Czechia",S2338="Ivory Coast",S2338="Korea DPR",S2338="China PR",S2338="IR Iran",S2338="Türkiye",S2338="Congo DR",S2338="German DR",S2338="West Germany",S2338="Republic of Ireland",ISNUMBER(SEARCH("rn""&gt;United Arab Emirates",S2338)),ISNUMBER(SEARCH("rn""&gt;Republic of Ireland",S2338)),ISNUMBER(SEARCH("rn""&gt;Bosnia and Herzegovina",S2338)),ISNUMBER(SEARCH("rn""&gt;Trinidad and Tobago",S2338)),ISNUMBER(SEARCH("rn""&gt;Serbia and Montenegro",S2338)),ISNUMBER(SEARCH(_xlfn.UNICHAR(65533),S2338))),"RENOMMER","-"))</f>
        <v>-</v>
      </c>
      <c r="V2338" s="12" t="str" cm="1">
        <f t="array" ref="V2338">_xlfn.IFS(
ISNUMBER(SEARCH("USA",S2338)),"United States",
ISNUMBER(SEARCH("Republic of Ireland",S2338)),"Ireland",
ISNUMBER(SEARCH("Republic of Korea",S2338)),"South Korea",
ISNUMBER(SEARCH("Cape Verde",S2338)),"Cabo Verde",
ISNUMBER(SEARCH("Czechia",S2338)),"Czech Republic",
ISNUMBER(SEARCH("Türkiye",S2338)),"Turkey",
ISNUMBER(SEARCH("Ivory Coast",S2338)),"Côte d'Ivoire",
ISNUMBER(SEARCH("Korea Republic",S2338)),"South Korea",
ISNUMBER(SEARCH("Germany FR",S2338)),"FR Germany",
ISNUMBER(SEARCH("West Germany",S2338)),"FR Germany",
ISNUMBER(SEARCH("Germany DR",S2338)),"DR Germany",
ISNUMBER(SEARCH("Korea DPR",S2338)),"North Korea",
ISNUMBER(SEARCH("China PR",S2338)),"China",
ISNUMBER(SEARCH("IR Iran",S2338)),"Iran",
ISNUMBER(SEARCH("Congo DR",S2338)),"Democratic Republic of the Congo",
ISNUMBER(SEARCH("DR Congo",S2338)),"Democratic Republic of the Congo",
ISNUMBER(SEARCH("German DR",S2338)),"DR Germany",
ISNUMBER(SEARCH("rn""&gt;United Arab Emirates",S2338)),"United Arab Emirates",
ISNUMBER(SEARCH("rn""&gt;Republic of Ireland",S2338)),"Ireland",
ISNUMBER(SEARCH("rn""&gt;Bosnia and Herzegovina",S2338)),"Bosnia and Herzegovina",
ISNUMBER(SEARCH("rn""&gt;Trinidad and Tobago",S2338)),"Trinidad and Tobago",
ISNUMBER(SEARCH("rn""&gt;Serbia and Montenegro",S2338)),"Serbia and Montenegro",
ISNUMBER(SEARCH(_xlfn.UNICHAR(65533),S2338)),"Côte d'Ivoire",
TRUE,""
)</f>
        <v/>
      </c>
      <c r="W2338" s="12" t="str">
        <f t="shared" ref="W2338:W2368" si="177">IF(V2338="",S2338,V2338)</f>
        <v>Ghana</v>
      </c>
    </row>
    <row r="2339" spans="2:23">
      <c r="B2339" s="76" t="str">
        <v>2006.0</v>
      </c>
      <c r="C2339" s="42" t="str">
        <v xml:space="preserve">11 Jun 2006 - 18:00 </v>
      </c>
      <c r="D2339" s="42" t="str">
        <v>Group D</v>
      </c>
      <c r="E2339" s="42" t="str">
        <v>Franken-Stadion</v>
      </c>
      <c r="F2339" s="42" t="str">
        <v xml:space="preserve">Nuremberg </v>
      </c>
      <c r="G2339" s="42" t="str">
        <v>Mexico</v>
      </c>
      <c r="H2339" s="42" t="str">
        <v>3.0</v>
      </c>
      <c r="I2339" s="42" t="str">
        <v>1.0</v>
      </c>
      <c r="J2339" s="42" t="str">
        <v>Iran</v>
      </c>
      <c r="K2339" s="42" t="str">
        <v xml:space="preserve"> </v>
      </c>
      <c r="L2339" s="42" t="str">
        <f t="shared" si="174"/>
        <v xml:space="preserve">2006.0|11 Jun 2006 - 18:00 |Group D|Franken-Stadion|Nuremberg |Mexico|3.0|1.0|Iran| </v>
      </c>
      <c r="M2339" s="42" t="str">
        <f>IF(COUNTIF($L$1689:L2339,L2339)&gt;1,"DOUBLON","OK")</f>
        <v>OK</v>
      </c>
      <c r="S2339" s="12" t="str">
        <v>Ghana</v>
      </c>
      <c r="T2339" s="12" t="str">
        <f t="shared" si="175"/>
        <v>OK</v>
      </c>
      <c r="U2339" s="12" t="str">
        <f t="shared" si="176"/>
        <v>-</v>
      </c>
      <c r="V2339" s="12" t="str" cm="1">
        <f t="array" ref="V2339">_xlfn.IFS(
ISNUMBER(SEARCH("USA",S2339)),"United States",
ISNUMBER(SEARCH("Republic of Ireland",S2339)),"Ireland",
ISNUMBER(SEARCH("Republic of Korea",S2339)),"South Korea",
ISNUMBER(SEARCH("Cape Verde",S2339)),"Cabo Verde",
ISNUMBER(SEARCH("Czechia",S2339)),"Czech Republic",
ISNUMBER(SEARCH("Türkiye",S2339)),"Turkey",
ISNUMBER(SEARCH("Ivory Coast",S2339)),"Côte d'Ivoire",
ISNUMBER(SEARCH("Korea Republic",S2339)),"South Korea",
ISNUMBER(SEARCH("Germany FR",S2339)),"FR Germany",
ISNUMBER(SEARCH("West Germany",S2339)),"FR Germany",
ISNUMBER(SEARCH("Germany DR",S2339)),"DR Germany",
ISNUMBER(SEARCH("Korea DPR",S2339)),"North Korea",
ISNUMBER(SEARCH("China PR",S2339)),"China",
ISNUMBER(SEARCH("IR Iran",S2339)),"Iran",
ISNUMBER(SEARCH("Congo DR",S2339)),"Democratic Republic of the Congo",
ISNUMBER(SEARCH("DR Congo",S2339)),"Democratic Republic of the Congo",
ISNUMBER(SEARCH("German DR",S2339)),"DR Germany",
ISNUMBER(SEARCH("rn""&gt;United Arab Emirates",S2339)),"United Arab Emirates",
ISNUMBER(SEARCH("rn""&gt;Republic of Ireland",S2339)),"Ireland",
ISNUMBER(SEARCH("rn""&gt;Bosnia and Herzegovina",S2339)),"Bosnia and Herzegovina",
ISNUMBER(SEARCH("rn""&gt;Trinidad and Tobago",S2339)),"Trinidad and Tobago",
ISNUMBER(SEARCH("rn""&gt;Serbia and Montenegro",S2339)),"Serbia and Montenegro",
ISNUMBER(SEARCH(_xlfn.UNICHAR(65533),S2339)),"Côte d'Ivoire",
TRUE,""
)</f>
        <v/>
      </c>
      <c r="W2339" s="12" t="str">
        <f t="shared" si="177"/>
        <v>Ghana</v>
      </c>
    </row>
    <row r="2340" spans="2:23">
      <c r="B2340" s="76" t="str">
        <v>2006.0</v>
      </c>
      <c r="C2340" s="42" t="str">
        <v xml:space="preserve">11 Jun 2006 - 21:00 </v>
      </c>
      <c r="D2340" s="42" t="str">
        <v>Group D</v>
      </c>
      <c r="E2340" s="42" t="str">
        <v>FIFA World Cup Stadium, Cologne</v>
      </c>
      <c r="F2340" s="42" t="str">
        <v xml:space="preserve">Cologne </v>
      </c>
      <c r="G2340" s="42" t="str">
        <v>Angola</v>
      </c>
      <c r="H2340" s="42" t="str">
        <v>0.0</v>
      </c>
      <c r="I2340" s="42" t="str">
        <v>1.0</v>
      </c>
      <c r="J2340" s="42" t="str">
        <v>Portugal</v>
      </c>
      <c r="K2340" s="42" t="str">
        <v xml:space="preserve"> </v>
      </c>
      <c r="L2340" s="42" t="str">
        <f t="shared" si="174"/>
        <v xml:space="preserve">2006.0|11 Jun 2006 - 21:00 |Group D|FIFA World Cup Stadium, Cologne|Cologne |Angola|0.0|1.0|Portugal| </v>
      </c>
      <c r="M2340" s="42" t="str">
        <f>IF(COUNTIF($L$1689:L2340,L2340)&gt;1,"DOUBLON","OK")</f>
        <v>OK</v>
      </c>
      <c r="S2340" s="12" t="str">
        <v>Ghana</v>
      </c>
      <c r="T2340" s="12" t="str">
        <f t="shared" si="175"/>
        <v>OK</v>
      </c>
      <c r="U2340" s="12" t="str">
        <f t="shared" si="176"/>
        <v>-</v>
      </c>
      <c r="V2340" s="12" t="str" cm="1">
        <f t="array" ref="V2340">_xlfn.IFS(
ISNUMBER(SEARCH("USA",S2340)),"United States",
ISNUMBER(SEARCH("Republic of Ireland",S2340)),"Ireland",
ISNUMBER(SEARCH("Republic of Korea",S2340)),"South Korea",
ISNUMBER(SEARCH("Cape Verde",S2340)),"Cabo Verde",
ISNUMBER(SEARCH("Czechia",S2340)),"Czech Republic",
ISNUMBER(SEARCH("Türkiye",S2340)),"Turkey",
ISNUMBER(SEARCH("Ivory Coast",S2340)),"Côte d'Ivoire",
ISNUMBER(SEARCH("Korea Republic",S2340)),"South Korea",
ISNUMBER(SEARCH("Germany FR",S2340)),"FR Germany",
ISNUMBER(SEARCH("West Germany",S2340)),"FR Germany",
ISNUMBER(SEARCH("Germany DR",S2340)),"DR Germany",
ISNUMBER(SEARCH("Korea DPR",S2340)),"North Korea",
ISNUMBER(SEARCH("China PR",S2340)),"China",
ISNUMBER(SEARCH("IR Iran",S2340)),"Iran",
ISNUMBER(SEARCH("Congo DR",S2340)),"Democratic Republic of the Congo",
ISNUMBER(SEARCH("DR Congo",S2340)),"Democratic Republic of the Congo",
ISNUMBER(SEARCH("German DR",S2340)),"DR Germany",
ISNUMBER(SEARCH("rn""&gt;United Arab Emirates",S2340)),"United Arab Emirates",
ISNUMBER(SEARCH("rn""&gt;Republic of Ireland",S2340)),"Ireland",
ISNUMBER(SEARCH("rn""&gt;Bosnia and Herzegovina",S2340)),"Bosnia and Herzegovina",
ISNUMBER(SEARCH("rn""&gt;Trinidad and Tobago",S2340)),"Trinidad and Tobago",
ISNUMBER(SEARCH("rn""&gt;Serbia and Montenegro",S2340)),"Serbia and Montenegro",
ISNUMBER(SEARCH(_xlfn.UNICHAR(65533),S2340)),"Côte d'Ivoire",
TRUE,""
)</f>
        <v/>
      </c>
      <c r="W2340" s="12" t="str">
        <f t="shared" si="177"/>
        <v>Ghana</v>
      </c>
    </row>
    <row r="2341" spans="2:23">
      <c r="B2341" s="76" t="str">
        <v>2006.0</v>
      </c>
      <c r="C2341" s="42" t="str">
        <v xml:space="preserve">12 Jun 2006 - 15:00 </v>
      </c>
      <c r="D2341" s="42" t="str">
        <v>Group F</v>
      </c>
      <c r="E2341" s="42" t="str">
        <v>Fritz-Walter-Stadion</v>
      </c>
      <c r="F2341" s="42" t="str">
        <v xml:space="preserve">Kaiserslautern </v>
      </c>
      <c r="G2341" s="42" t="str">
        <v>Australia</v>
      </c>
      <c r="H2341" s="42" t="str">
        <v>3.0</v>
      </c>
      <c r="I2341" s="42" t="str">
        <v>1.0</v>
      </c>
      <c r="J2341" s="42" t="str">
        <v>Japan</v>
      </c>
      <c r="K2341" s="42" t="str">
        <v xml:space="preserve"> </v>
      </c>
      <c r="L2341" s="42" t="str">
        <f t="shared" si="174"/>
        <v xml:space="preserve">2006.0|12 Jun 2006 - 15:00 |Group F|Fritz-Walter-Stadion|Kaiserslautern |Australia|3.0|1.0|Japan| </v>
      </c>
      <c r="M2341" s="42" t="str">
        <f>IF(COUNTIF($L$1689:L2341,L2341)&gt;1,"DOUBLON","OK")</f>
        <v>OK</v>
      </c>
      <c r="S2341" s="12" t="str">
        <v>Ghana</v>
      </c>
      <c r="T2341" s="12" t="str">
        <f t="shared" si="175"/>
        <v>OK</v>
      </c>
      <c r="U2341" s="12" t="str">
        <f t="shared" si="176"/>
        <v>-</v>
      </c>
      <c r="V2341" s="12" t="str" cm="1">
        <f t="array" ref="V2341">_xlfn.IFS(
ISNUMBER(SEARCH("USA",S2341)),"United States",
ISNUMBER(SEARCH("Republic of Ireland",S2341)),"Ireland",
ISNUMBER(SEARCH("Republic of Korea",S2341)),"South Korea",
ISNUMBER(SEARCH("Cape Verde",S2341)),"Cabo Verde",
ISNUMBER(SEARCH("Czechia",S2341)),"Czech Republic",
ISNUMBER(SEARCH("Türkiye",S2341)),"Turkey",
ISNUMBER(SEARCH("Ivory Coast",S2341)),"Côte d'Ivoire",
ISNUMBER(SEARCH("Korea Republic",S2341)),"South Korea",
ISNUMBER(SEARCH("Germany FR",S2341)),"FR Germany",
ISNUMBER(SEARCH("West Germany",S2341)),"FR Germany",
ISNUMBER(SEARCH("Germany DR",S2341)),"DR Germany",
ISNUMBER(SEARCH("Korea DPR",S2341)),"North Korea",
ISNUMBER(SEARCH("China PR",S2341)),"China",
ISNUMBER(SEARCH("IR Iran",S2341)),"Iran",
ISNUMBER(SEARCH("Congo DR",S2341)),"Democratic Republic of the Congo",
ISNUMBER(SEARCH("DR Congo",S2341)),"Democratic Republic of the Congo",
ISNUMBER(SEARCH("German DR",S2341)),"DR Germany",
ISNUMBER(SEARCH("rn""&gt;United Arab Emirates",S2341)),"United Arab Emirates",
ISNUMBER(SEARCH("rn""&gt;Republic of Ireland",S2341)),"Ireland",
ISNUMBER(SEARCH("rn""&gt;Bosnia and Herzegovina",S2341)),"Bosnia and Herzegovina",
ISNUMBER(SEARCH("rn""&gt;Trinidad and Tobago",S2341)),"Trinidad and Tobago",
ISNUMBER(SEARCH("rn""&gt;Serbia and Montenegro",S2341)),"Serbia and Montenegro",
ISNUMBER(SEARCH(_xlfn.UNICHAR(65533),S2341)),"Côte d'Ivoire",
TRUE,""
)</f>
        <v/>
      </c>
      <c r="W2341" s="12" t="str">
        <f t="shared" si="177"/>
        <v>Ghana</v>
      </c>
    </row>
    <row r="2342" spans="2:23">
      <c r="B2342" s="76" t="str">
        <v>2006.0</v>
      </c>
      <c r="C2342" s="42" t="str">
        <v xml:space="preserve">12 Jun 2006 - 18:00 </v>
      </c>
      <c r="D2342" s="42" t="str">
        <v>Group E</v>
      </c>
      <c r="E2342" s="42" t="str">
        <v>FIFA World Cup Stadium, Gelsenkirchen</v>
      </c>
      <c r="F2342" s="42" t="str">
        <v xml:space="preserve">Gelsenkirchen </v>
      </c>
      <c r="G2342" s="42" t="str">
        <v>USA</v>
      </c>
      <c r="H2342" s="42" t="str">
        <v>0.0</v>
      </c>
      <c r="I2342" s="42" t="str">
        <v>3.0</v>
      </c>
      <c r="J2342" s="42" t="str">
        <v>Czech Republic</v>
      </c>
      <c r="K2342" s="42" t="str">
        <v xml:space="preserve"> </v>
      </c>
      <c r="L2342" s="42" t="str">
        <f t="shared" si="174"/>
        <v xml:space="preserve">2006.0|12 Jun 2006 - 18:00 |Group E|FIFA World Cup Stadium, Gelsenkirchen|Gelsenkirchen |USA|0.0|3.0|Czech Republic| </v>
      </c>
      <c r="M2342" s="42" t="str">
        <f>IF(COUNTIF($L$1689:L2342,L2342)&gt;1,"DOUBLON","OK")</f>
        <v>OK</v>
      </c>
      <c r="S2342" s="12" t="str">
        <v>Ghana</v>
      </c>
      <c r="T2342" s="12" t="str">
        <f t="shared" si="175"/>
        <v>OK</v>
      </c>
      <c r="U2342" s="12" t="str">
        <f t="shared" si="176"/>
        <v>-</v>
      </c>
      <c r="V2342" s="12" t="str" cm="1">
        <f t="array" ref="V2342">_xlfn.IFS(
ISNUMBER(SEARCH("USA",S2342)),"United States",
ISNUMBER(SEARCH("Republic of Ireland",S2342)),"Ireland",
ISNUMBER(SEARCH("Republic of Korea",S2342)),"South Korea",
ISNUMBER(SEARCH("Cape Verde",S2342)),"Cabo Verde",
ISNUMBER(SEARCH("Czechia",S2342)),"Czech Republic",
ISNUMBER(SEARCH("Türkiye",S2342)),"Turkey",
ISNUMBER(SEARCH("Ivory Coast",S2342)),"Côte d'Ivoire",
ISNUMBER(SEARCH("Korea Republic",S2342)),"South Korea",
ISNUMBER(SEARCH("Germany FR",S2342)),"FR Germany",
ISNUMBER(SEARCH("West Germany",S2342)),"FR Germany",
ISNUMBER(SEARCH("Germany DR",S2342)),"DR Germany",
ISNUMBER(SEARCH("Korea DPR",S2342)),"North Korea",
ISNUMBER(SEARCH("China PR",S2342)),"China",
ISNUMBER(SEARCH("IR Iran",S2342)),"Iran",
ISNUMBER(SEARCH("Congo DR",S2342)),"Democratic Republic of the Congo",
ISNUMBER(SEARCH("DR Congo",S2342)),"Democratic Republic of the Congo",
ISNUMBER(SEARCH("German DR",S2342)),"DR Germany",
ISNUMBER(SEARCH("rn""&gt;United Arab Emirates",S2342)),"United Arab Emirates",
ISNUMBER(SEARCH("rn""&gt;Republic of Ireland",S2342)),"Ireland",
ISNUMBER(SEARCH("rn""&gt;Bosnia and Herzegovina",S2342)),"Bosnia and Herzegovina",
ISNUMBER(SEARCH("rn""&gt;Trinidad and Tobago",S2342)),"Trinidad and Tobago",
ISNUMBER(SEARCH("rn""&gt;Serbia and Montenegro",S2342)),"Serbia and Montenegro",
ISNUMBER(SEARCH(_xlfn.UNICHAR(65533),S2342)),"Côte d'Ivoire",
TRUE,""
)</f>
        <v/>
      </c>
      <c r="W2342" s="12" t="str">
        <f t="shared" si="177"/>
        <v>Ghana</v>
      </c>
    </row>
    <row r="2343" spans="2:23">
      <c r="B2343" s="76" t="str">
        <v>2006.0</v>
      </c>
      <c r="C2343" s="42" t="str">
        <v xml:space="preserve">12 Jun 2006 - 21:00 </v>
      </c>
      <c r="D2343" s="42" t="str">
        <v>Group E</v>
      </c>
      <c r="E2343" s="42" t="str">
        <v>FIFA World Cup Stadium, Hanover</v>
      </c>
      <c r="F2343" s="42" t="str">
        <v xml:space="preserve">Hanover </v>
      </c>
      <c r="G2343" s="42" t="str">
        <v>Italy</v>
      </c>
      <c r="H2343" s="42" t="str">
        <v>2.0</v>
      </c>
      <c r="I2343" s="42" t="str">
        <v>0.0</v>
      </c>
      <c r="J2343" s="42" t="str">
        <v>Ghana</v>
      </c>
      <c r="K2343" s="42" t="str">
        <v xml:space="preserve"> </v>
      </c>
      <c r="L2343" s="42" t="str">
        <f t="shared" si="174"/>
        <v xml:space="preserve">2006.0|12 Jun 2006 - 21:00 |Group E|FIFA World Cup Stadium, Hanover|Hanover |Italy|2.0|0.0|Ghana| </v>
      </c>
      <c r="M2343" s="42" t="str">
        <f>IF(COUNTIF($L$1689:L2343,L2343)&gt;1,"DOUBLON","OK")</f>
        <v>OK</v>
      </c>
      <c r="S2343" s="12" t="str">
        <v>Panama</v>
      </c>
      <c r="T2343" s="12" t="str">
        <f t="shared" si="175"/>
        <v>OK</v>
      </c>
      <c r="U2343" s="12" t="str">
        <f t="shared" si="176"/>
        <v>-</v>
      </c>
      <c r="V2343" s="12" t="str" cm="1">
        <f t="array" ref="V2343">_xlfn.IFS(
ISNUMBER(SEARCH("USA",S2343)),"United States",
ISNUMBER(SEARCH("Republic of Ireland",S2343)),"Ireland",
ISNUMBER(SEARCH("Republic of Korea",S2343)),"South Korea",
ISNUMBER(SEARCH("Cape Verde",S2343)),"Cabo Verde",
ISNUMBER(SEARCH("Czechia",S2343)),"Czech Republic",
ISNUMBER(SEARCH("Türkiye",S2343)),"Turkey",
ISNUMBER(SEARCH("Ivory Coast",S2343)),"Côte d'Ivoire",
ISNUMBER(SEARCH("Korea Republic",S2343)),"South Korea",
ISNUMBER(SEARCH("Germany FR",S2343)),"FR Germany",
ISNUMBER(SEARCH("West Germany",S2343)),"FR Germany",
ISNUMBER(SEARCH("Germany DR",S2343)),"DR Germany",
ISNUMBER(SEARCH("Korea DPR",S2343)),"North Korea",
ISNUMBER(SEARCH("China PR",S2343)),"China",
ISNUMBER(SEARCH("IR Iran",S2343)),"Iran",
ISNUMBER(SEARCH("Congo DR",S2343)),"Democratic Republic of the Congo",
ISNUMBER(SEARCH("DR Congo",S2343)),"Democratic Republic of the Congo",
ISNUMBER(SEARCH("German DR",S2343)),"DR Germany",
ISNUMBER(SEARCH("rn""&gt;United Arab Emirates",S2343)),"United Arab Emirates",
ISNUMBER(SEARCH("rn""&gt;Republic of Ireland",S2343)),"Ireland",
ISNUMBER(SEARCH("rn""&gt;Bosnia and Herzegovina",S2343)),"Bosnia and Herzegovina",
ISNUMBER(SEARCH("rn""&gt;Trinidad and Tobago",S2343)),"Trinidad and Tobago",
ISNUMBER(SEARCH("rn""&gt;Serbia and Montenegro",S2343)),"Serbia and Montenegro",
ISNUMBER(SEARCH(_xlfn.UNICHAR(65533),S2343)),"Côte d'Ivoire",
TRUE,""
)</f>
        <v/>
      </c>
      <c r="W2343" s="12" t="str">
        <f t="shared" si="177"/>
        <v>Panama</v>
      </c>
    </row>
    <row r="2344" spans="2:23">
      <c r="B2344" s="76" t="str">
        <v>2006.0</v>
      </c>
      <c r="C2344" s="42" t="str">
        <v xml:space="preserve">13 Jun 2006 - 15:00 </v>
      </c>
      <c r="D2344" s="42" t="str">
        <v>Group G</v>
      </c>
      <c r="E2344" s="42" t="str">
        <v>FIFA World Cup Stadium, Frankfurt</v>
      </c>
      <c r="F2344" s="42" t="str">
        <v xml:space="preserve">Frankfurt/Main </v>
      </c>
      <c r="G2344" s="42" t="str">
        <v>Korea Republic</v>
      </c>
      <c r="H2344" s="42" t="str">
        <v>2.0</v>
      </c>
      <c r="I2344" s="42" t="str">
        <v>1.0</v>
      </c>
      <c r="J2344" s="42" t="str">
        <v>Togo</v>
      </c>
      <c r="K2344" s="42" t="str">
        <v xml:space="preserve"> </v>
      </c>
      <c r="L2344" s="42" t="str">
        <f t="shared" si="174"/>
        <v xml:space="preserve">2006.0|13 Jun 2006 - 15:00 |Group G|FIFA World Cup Stadium, Frankfurt|Frankfurt/Main |Korea Republic|2.0|1.0|Togo| </v>
      </c>
      <c r="M2344" s="42" t="str">
        <f>IF(COUNTIF($L$1689:L2344,L2344)&gt;1,"DOUBLON","OK")</f>
        <v>OK</v>
      </c>
      <c r="S2344" s="12" t="str">
        <v>Panama</v>
      </c>
      <c r="T2344" s="12" t="str">
        <f t="shared" si="175"/>
        <v>OK</v>
      </c>
      <c r="U2344" s="12" t="str">
        <f t="shared" si="176"/>
        <v>-</v>
      </c>
      <c r="V2344" s="12" t="str" cm="1">
        <f t="array" ref="V2344">_xlfn.IFS(
ISNUMBER(SEARCH("USA",S2344)),"United States",
ISNUMBER(SEARCH("Republic of Ireland",S2344)),"Ireland",
ISNUMBER(SEARCH("Republic of Korea",S2344)),"South Korea",
ISNUMBER(SEARCH("Cape Verde",S2344)),"Cabo Verde",
ISNUMBER(SEARCH("Czechia",S2344)),"Czech Republic",
ISNUMBER(SEARCH("Türkiye",S2344)),"Turkey",
ISNUMBER(SEARCH("Ivory Coast",S2344)),"Côte d'Ivoire",
ISNUMBER(SEARCH("Korea Republic",S2344)),"South Korea",
ISNUMBER(SEARCH("Germany FR",S2344)),"FR Germany",
ISNUMBER(SEARCH("West Germany",S2344)),"FR Germany",
ISNUMBER(SEARCH("Germany DR",S2344)),"DR Germany",
ISNUMBER(SEARCH("Korea DPR",S2344)),"North Korea",
ISNUMBER(SEARCH("China PR",S2344)),"China",
ISNUMBER(SEARCH("IR Iran",S2344)),"Iran",
ISNUMBER(SEARCH("Congo DR",S2344)),"Democratic Republic of the Congo",
ISNUMBER(SEARCH("DR Congo",S2344)),"Democratic Republic of the Congo",
ISNUMBER(SEARCH("German DR",S2344)),"DR Germany",
ISNUMBER(SEARCH("rn""&gt;United Arab Emirates",S2344)),"United Arab Emirates",
ISNUMBER(SEARCH("rn""&gt;Republic of Ireland",S2344)),"Ireland",
ISNUMBER(SEARCH("rn""&gt;Bosnia and Herzegovina",S2344)),"Bosnia and Herzegovina",
ISNUMBER(SEARCH("rn""&gt;Trinidad and Tobago",S2344)),"Trinidad and Tobago",
ISNUMBER(SEARCH("rn""&gt;Serbia and Montenegro",S2344)),"Serbia and Montenegro",
ISNUMBER(SEARCH(_xlfn.UNICHAR(65533),S2344)),"Côte d'Ivoire",
TRUE,""
)</f>
        <v/>
      </c>
      <c r="W2344" s="12" t="str">
        <f t="shared" si="177"/>
        <v>Panama</v>
      </c>
    </row>
    <row r="2345" spans="2:23">
      <c r="B2345" s="76" t="str">
        <v>2006.0</v>
      </c>
      <c r="C2345" s="42" t="str">
        <v xml:space="preserve">13 Jun 2006 - 18:00 </v>
      </c>
      <c r="D2345" s="42" t="str">
        <v>Group G</v>
      </c>
      <c r="E2345" s="42" t="str">
        <v>Gottlieb-Daimler-Stadion</v>
      </c>
      <c r="F2345" s="42" t="str">
        <v xml:space="preserve">Stuttgart </v>
      </c>
      <c r="G2345" s="42" t="str">
        <v>France</v>
      </c>
      <c r="H2345" s="42" t="str">
        <v>0.0</v>
      </c>
      <c r="I2345" s="42" t="str">
        <v>0.0</v>
      </c>
      <c r="J2345" s="42" t="str">
        <v>Switzerland</v>
      </c>
      <c r="K2345" s="42" t="str">
        <v xml:space="preserve"> </v>
      </c>
      <c r="L2345" s="42" t="str">
        <f t="shared" si="174"/>
        <v xml:space="preserve">2006.0|13 Jun 2006 - 18:00 |Group G|Gottlieb-Daimler-Stadion|Stuttgart |France|0.0|0.0|Switzerland| </v>
      </c>
      <c r="M2345" s="42" t="str">
        <f>IF(COUNTIF($L$1689:L2345,L2345)&gt;1,"DOUBLON","OK")</f>
        <v>OK</v>
      </c>
      <c r="S2345" s="12" t="str">
        <v>Panama</v>
      </c>
      <c r="T2345" s="12" t="str">
        <f t="shared" si="175"/>
        <v>OK</v>
      </c>
      <c r="U2345" s="12" t="str">
        <f t="shared" si="176"/>
        <v>-</v>
      </c>
      <c r="V2345" s="12" t="str" cm="1">
        <f t="array" ref="V2345">_xlfn.IFS(
ISNUMBER(SEARCH("USA",S2345)),"United States",
ISNUMBER(SEARCH("Republic of Ireland",S2345)),"Ireland",
ISNUMBER(SEARCH("Republic of Korea",S2345)),"South Korea",
ISNUMBER(SEARCH("Cape Verde",S2345)),"Cabo Verde",
ISNUMBER(SEARCH("Czechia",S2345)),"Czech Republic",
ISNUMBER(SEARCH("Türkiye",S2345)),"Turkey",
ISNUMBER(SEARCH("Ivory Coast",S2345)),"Côte d'Ivoire",
ISNUMBER(SEARCH("Korea Republic",S2345)),"South Korea",
ISNUMBER(SEARCH("Germany FR",S2345)),"FR Germany",
ISNUMBER(SEARCH("West Germany",S2345)),"FR Germany",
ISNUMBER(SEARCH("Germany DR",S2345)),"DR Germany",
ISNUMBER(SEARCH("Korea DPR",S2345)),"North Korea",
ISNUMBER(SEARCH("China PR",S2345)),"China",
ISNUMBER(SEARCH("IR Iran",S2345)),"Iran",
ISNUMBER(SEARCH("Congo DR",S2345)),"Democratic Republic of the Congo",
ISNUMBER(SEARCH("DR Congo",S2345)),"Democratic Republic of the Congo",
ISNUMBER(SEARCH("German DR",S2345)),"DR Germany",
ISNUMBER(SEARCH("rn""&gt;United Arab Emirates",S2345)),"United Arab Emirates",
ISNUMBER(SEARCH("rn""&gt;Republic of Ireland",S2345)),"Ireland",
ISNUMBER(SEARCH("rn""&gt;Bosnia and Herzegovina",S2345)),"Bosnia and Herzegovina",
ISNUMBER(SEARCH("rn""&gt;Trinidad and Tobago",S2345)),"Trinidad and Tobago",
ISNUMBER(SEARCH("rn""&gt;Serbia and Montenegro",S2345)),"Serbia and Montenegro",
ISNUMBER(SEARCH(_xlfn.UNICHAR(65533),S2345)),"Côte d'Ivoire",
TRUE,""
)</f>
        <v/>
      </c>
      <c r="W2345" s="12" t="str">
        <f t="shared" si="177"/>
        <v>Panama</v>
      </c>
    </row>
    <row r="2346" spans="2:23">
      <c r="B2346" s="76" t="str">
        <v>2006.0</v>
      </c>
      <c r="C2346" s="42" t="str">
        <v xml:space="preserve">13 Jun 2006 - 21:00 </v>
      </c>
      <c r="D2346" s="42" t="str">
        <v>Group F</v>
      </c>
      <c r="E2346" s="42" t="str">
        <v>Olympiastadion</v>
      </c>
      <c r="F2346" s="42" t="str">
        <v xml:space="preserve">Berlin </v>
      </c>
      <c r="G2346" s="42" t="str">
        <v>Brazil</v>
      </c>
      <c r="H2346" s="42" t="str">
        <v>1.0</v>
      </c>
      <c r="I2346" s="42" t="str">
        <v>0.0</v>
      </c>
      <c r="J2346" s="42" t="str">
        <v>Croatia</v>
      </c>
      <c r="K2346" s="42" t="str">
        <v xml:space="preserve"> </v>
      </c>
      <c r="L2346" s="42" t="str">
        <f t="shared" si="174"/>
        <v xml:space="preserve">2006.0|13 Jun 2006 - 21:00 |Group F|Olympiastadion|Berlin |Brazil|1.0|0.0|Croatia| </v>
      </c>
      <c r="M2346" s="42" t="str">
        <f>IF(COUNTIF($L$1689:L2346,L2346)&gt;1,"DOUBLON","OK")</f>
        <v>OK</v>
      </c>
      <c r="S2346" s="12" t="str">
        <v>Panama</v>
      </c>
      <c r="T2346" s="12" t="str">
        <f t="shared" si="175"/>
        <v>OK</v>
      </c>
      <c r="U2346" s="12" t="str">
        <f t="shared" si="176"/>
        <v>-</v>
      </c>
      <c r="V2346" s="12" t="str" cm="1">
        <f t="array" ref="V2346">_xlfn.IFS(
ISNUMBER(SEARCH("USA",S2346)),"United States",
ISNUMBER(SEARCH("Republic of Ireland",S2346)),"Ireland",
ISNUMBER(SEARCH("Republic of Korea",S2346)),"South Korea",
ISNUMBER(SEARCH("Cape Verde",S2346)),"Cabo Verde",
ISNUMBER(SEARCH("Czechia",S2346)),"Czech Republic",
ISNUMBER(SEARCH("Türkiye",S2346)),"Turkey",
ISNUMBER(SEARCH("Ivory Coast",S2346)),"Côte d'Ivoire",
ISNUMBER(SEARCH("Korea Republic",S2346)),"South Korea",
ISNUMBER(SEARCH("Germany FR",S2346)),"FR Germany",
ISNUMBER(SEARCH("West Germany",S2346)),"FR Germany",
ISNUMBER(SEARCH("Germany DR",S2346)),"DR Germany",
ISNUMBER(SEARCH("Korea DPR",S2346)),"North Korea",
ISNUMBER(SEARCH("China PR",S2346)),"China",
ISNUMBER(SEARCH("IR Iran",S2346)),"Iran",
ISNUMBER(SEARCH("Congo DR",S2346)),"Democratic Republic of the Congo",
ISNUMBER(SEARCH("DR Congo",S2346)),"Democratic Republic of the Congo",
ISNUMBER(SEARCH("German DR",S2346)),"DR Germany",
ISNUMBER(SEARCH("rn""&gt;United Arab Emirates",S2346)),"United Arab Emirates",
ISNUMBER(SEARCH("rn""&gt;Republic of Ireland",S2346)),"Ireland",
ISNUMBER(SEARCH("rn""&gt;Bosnia and Herzegovina",S2346)),"Bosnia and Herzegovina",
ISNUMBER(SEARCH("rn""&gt;Trinidad and Tobago",S2346)),"Trinidad and Tobago",
ISNUMBER(SEARCH("rn""&gt;Serbia and Montenegro",S2346)),"Serbia and Montenegro",
ISNUMBER(SEARCH(_xlfn.UNICHAR(65533),S2346)),"Côte d'Ivoire",
TRUE,""
)</f>
        <v/>
      </c>
      <c r="W2346" s="12" t="str">
        <f t="shared" si="177"/>
        <v>Panama</v>
      </c>
    </row>
    <row r="2347" spans="2:23">
      <c r="B2347" s="76" t="str">
        <v>2006.0</v>
      </c>
      <c r="C2347" s="42" t="str">
        <v xml:space="preserve">14 Jun 2006 - 15:00 </v>
      </c>
      <c r="D2347" s="42" t="str">
        <v>Group H</v>
      </c>
      <c r="E2347" s="42" t="str">
        <v>Zentralstadion</v>
      </c>
      <c r="F2347" s="42" t="str">
        <v xml:space="preserve">Leipzig </v>
      </c>
      <c r="G2347" s="42" t="str">
        <v>Spain</v>
      </c>
      <c r="H2347" s="42" t="str">
        <v>4.0</v>
      </c>
      <c r="I2347" s="42" t="str">
        <v>0.0</v>
      </c>
      <c r="J2347" s="42" t="str">
        <v>Ukraine</v>
      </c>
      <c r="K2347" s="42" t="str">
        <v xml:space="preserve"> </v>
      </c>
      <c r="L2347" s="42" t="str">
        <f t="shared" si="174"/>
        <v xml:space="preserve">2006.0|14 Jun 2006 - 15:00 |Group H|Zentralstadion|Leipzig |Spain|4.0|0.0|Ukraine| </v>
      </c>
      <c r="M2347" s="42" t="str">
        <f>IF(COUNTIF($L$1689:L2347,L2347)&gt;1,"DOUBLON","OK")</f>
        <v>OK</v>
      </c>
      <c r="S2347" s="12" t="str">
        <v>Panama</v>
      </c>
      <c r="T2347" s="12" t="str">
        <f t="shared" si="175"/>
        <v>OK</v>
      </c>
      <c r="U2347" s="12" t="str">
        <f t="shared" si="176"/>
        <v>-</v>
      </c>
      <c r="V2347" s="12" t="str" cm="1">
        <f t="array" ref="V2347">_xlfn.IFS(
ISNUMBER(SEARCH("USA",S2347)),"United States",
ISNUMBER(SEARCH("Republic of Ireland",S2347)),"Ireland",
ISNUMBER(SEARCH("Republic of Korea",S2347)),"South Korea",
ISNUMBER(SEARCH("Cape Verde",S2347)),"Cabo Verde",
ISNUMBER(SEARCH("Czechia",S2347)),"Czech Republic",
ISNUMBER(SEARCH("Türkiye",S2347)),"Turkey",
ISNUMBER(SEARCH("Ivory Coast",S2347)),"Côte d'Ivoire",
ISNUMBER(SEARCH("Korea Republic",S2347)),"South Korea",
ISNUMBER(SEARCH("Germany FR",S2347)),"FR Germany",
ISNUMBER(SEARCH("West Germany",S2347)),"FR Germany",
ISNUMBER(SEARCH("Germany DR",S2347)),"DR Germany",
ISNUMBER(SEARCH("Korea DPR",S2347)),"North Korea",
ISNUMBER(SEARCH("China PR",S2347)),"China",
ISNUMBER(SEARCH("IR Iran",S2347)),"Iran",
ISNUMBER(SEARCH("Congo DR",S2347)),"Democratic Republic of the Congo",
ISNUMBER(SEARCH("DR Congo",S2347)),"Democratic Republic of the Congo",
ISNUMBER(SEARCH("German DR",S2347)),"DR Germany",
ISNUMBER(SEARCH("rn""&gt;United Arab Emirates",S2347)),"United Arab Emirates",
ISNUMBER(SEARCH("rn""&gt;Republic of Ireland",S2347)),"Ireland",
ISNUMBER(SEARCH("rn""&gt;Bosnia and Herzegovina",S2347)),"Bosnia and Herzegovina",
ISNUMBER(SEARCH("rn""&gt;Trinidad and Tobago",S2347)),"Trinidad and Tobago",
ISNUMBER(SEARCH("rn""&gt;Serbia and Montenegro",S2347)),"Serbia and Montenegro",
ISNUMBER(SEARCH(_xlfn.UNICHAR(65533),S2347)),"Côte d'Ivoire",
TRUE,""
)</f>
        <v/>
      </c>
      <c r="W2347" s="12" t="str">
        <f t="shared" si="177"/>
        <v>Panama</v>
      </c>
    </row>
    <row r="2348" spans="2:23">
      <c r="B2348" s="76" t="str">
        <v>2006.0</v>
      </c>
      <c r="C2348" s="42" t="str">
        <v xml:space="preserve">14 Jun 2006 - 18:00 </v>
      </c>
      <c r="D2348" s="42" t="str">
        <v>Group H</v>
      </c>
      <c r="E2348" s="42" t="str">
        <v>FIFA World Cup Stadium, Munich</v>
      </c>
      <c r="F2348" s="42" t="str">
        <v xml:space="preserve">Munich </v>
      </c>
      <c r="G2348" s="42" t="str">
        <v>Tunisia</v>
      </c>
      <c r="H2348" s="42" t="str">
        <v>2.0</v>
      </c>
      <c r="I2348" s="42" t="str">
        <v>2.0</v>
      </c>
      <c r="J2348" s="42" t="str">
        <v>Saudi Arabia</v>
      </c>
      <c r="K2348" s="42" t="str">
        <v xml:space="preserve"> </v>
      </c>
      <c r="L2348" s="42" t="str">
        <f t="shared" si="174"/>
        <v xml:space="preserve">2006.0|14 Jun 2006 - 18:00 |Group H|FIFA World Cup Stadium, Munich|Munich |Tunisia|2.0|2.0|Saudi Arabia| </v>
      </c>
      <c r="M2348" s="42" t="str">
        <f>IF(COUNTIF($L$1689:L2348,L2348)&gt;1,"DOUBLON","OK")</f>
        <v>OK</v>
      </c>
      <c r="S2348" s="12" t="str">
        <v>Panama</v>
      </c>
      <c r="T2348" s="12" t="str">
        <f t="shared" si="175"/>
        <v>OK</v>
      </c>
      <c r="U2348" s="12" t="str">
        <f t="shared" si="176"/>
        <v>-</v>
      </c>
      <c r="V2348" s="12" t="str" cm="1">
        <f t="array" ref="V2348">_xlfn.IFS(
ISNUMBER(SEARCH("USA",S2348)),"United States",
ISNUMBER(SEARCH("Republic of Ireland",S2348)),"Ireland",
ISNUMBER(SEARCH("Republic of Korea",S2348)),"South Korea",
ISNUMBER(SEARCH("Cape Verde",S2348)),"Cabo Verde",
ISNUMBER(SEARCH("Czechia",S2348)),"Czech Republic",
ISNUMBER(SEARCH("Türkiye",S2348)),"Turkey",
ISNUMBER(SEARCH("Ivory Coast",S2348)),"Côte d'Ivoire",
ISNUMBER(SEARCH("Korea Republic",S2348)),"South Korea",
ISNUMBER(SEARCH("Germany FR",S2348)),"FR Germany",
ISNUMBER(SEARCH("West Germany",S2348)),"FR Germany",
ISNUMBER(SEARCH("Germany DR",S2348)),"DR Germany",
ISNUMBER(SEARCH("Korea DPR",S2348)),"North Korea",
ISNUMBER(SEARCH("China PR",S2348)),"China",
ISNUMBER(SEARCH("IR Iran",S2348)),"Iran",
ISNUMBER(SEARCH("Congo DR",S2348)),"Democratic Republic of the Congo",
ISNUMBER(SEARCH("DR Congo",S2348)),"Democratic Republic of the Congo",
ISNUMBER(SEARCH("German DR",S2348)),"DR Germany",
ISNUMBER(SEARCH("rn""&gt;United Arab Emirates",S2348)),"United Arab Emirates",
ISNUMBER(SEARCH("rn""&gt;Republic of Ireland",S2348)),"Ireland",
ISNUMBER(SEARCH("rn""&gt;Bosnia and Herzegovina",S2348)),"Bosnia and Herzegovina",
ISNUMBER(SEARCH("rn""&gt;Trinidad and Tobago",S2348)),"Trinidad and Tobago",
ISNUMBER(SEARCH("rn""&gt;Serbia and Montenegro",S2348)),"Serbia and Montenegro",
ISNUMBER(SEARCH(_xlfn.UNICHAR(65533),S2348)),"Côte d'Ivoire",
TRUE,""
)</f>
        <v/>
      </c>
      <c r="W2348" s="12" t="str">
        <f t="shared" si="177"/>
        <v>Panama</v>
      </c>
    </row>
    <row r="2349" spans="2:23">
      <c r="B2349" s="76" t="str">
        <v>2006.0</v>
      </c>
      <c r="C2349" s="42" t="str">
        <v xml:space="preserve">14 Jun 2006 - 21:00 </v>
      </c>
      <c r="D2349" s="42" t="str">
        <v>Group A</v>
      </c>
      <c r="E2349" s="42" t="str">
        <v>FIFA World Cup Stadium, Dortmund</v>
      </c>
      <c r="F2349" s="42" t="str">
        <v xml:space="preserve">Dortmund </v>
      </c>
      <c r="G2349" s="42" t="str">
        <v>Germany</v>
      </c>
      <c r="H2349" s="42" t="str">
        <v>1.0</v>
      </c>
      <c r="I2349" s="42" t="str">
        <v>0.0</v>
      </c>
      <c r="J2349" s="42" t="str">
        <v>Poland</v>
      </c>
      <c r="K2349" s="42" t="str">
        <v xml:space="preserve"> </v>
      </c>
      <c r="L2349" s="42" t="str">
        <f t="shared" si="174"/>
        <v xml:space="preserve">2006.0|14 Jun 2006 - 21:00 |Group A|FIFA World Cup Stadium, Dortmund|Dortmund |Germany|1.0|0.0|Poland| </v>
      </c>
      <c r="M2349" s="42" t="str">
        <f>IF(COUNTIF($L$1689:L2349,L2349)&gt;1,"DOUBLON","OK")</f>
        <v>OK</v>
      </c>
      <c r="S2349" s="12" t="str">
        <v>Panama</v>
      </c>
      <c r="T2349" s="12" t="str">
        <f t="shared" si="175"/>
        <v>OK</v>
      </c>
      <c r="U2349" s="12" t="str">
        <f t="shared" si="176"/>
        <v>-</v>
      </c>
      <c r="V2349" s="12" t="str" cm="1">
        <f t="array" ref="V2349">_xlfn.IFS(
ISNUMBER(SEARCH("USA",S2349)),"United States",
ISNUMBER(SEARCH("Republic of Ireland",S2349)),"Ireland",
ISNUMBER(SEARCH("Republic of Korea",S2349)),"South Korea",
ISNUMBER(SEARCH("Cape Verde",S2349)),"Cabo Verde",
ISNUMBER(SEARCH("Czechia",S2349)),"Czech Republic",
ISNUMBER(SEARCH("Türkiye",S2349)),"Turkey",
ISNUMBER(SEARCH("Ivory Coast",S2349)),"Côte d'Ivoire",
ISNUMBER(SEARCH("Korea Republic",S2349)),"South Korea",
ISNUMBER(SEARCH("Germany FR",S2349)),"FR Germany",
ISNUMBER(SEARCH("West Germany",S2349)),"FR Germany",
ISNUMBER(SEARCH("Germany DR",S2349)),"DR Germany",
ISNUMBER(SEARCH("Korea DPR",S2349)),"North Korea",
ISNUMBER(SEARCH("China PR",S2349)),"China",
ISNUMBER(SEARCH("IR Iran",S2349)),"Iran",
ISNUMBER(SEARCH("Congo DR",S2349)),"Democratic Republic of the Congo",
ISNUMBER(SEARCH("DR Congo",S2349)),"Democratic Republic of the Congo",
ISNUMBER(SEARCH("German DR",S2349)),"DR Germany",
ISNUMBER(SEARCH("rn""&gt;United Arab Emirates",S2349)),"United Arab Emirates",
ISNUMBER(SEARCH("rn""&gt;Republic of Ireland",S2349)),"Ireland",
ISNUMBER(SEARCH("rn""&gt;Bosnia and Herzegovina",S2349)),"Bosnia and Herzegovina",
ISNUMBER(SEARCH("rn""&gt;Trinidad and Tobago",S2349)),"Trinidad and Tobago",
ISNUMBER(SEARCH("rn""&gt;Serbia and Montenegro",S2349)),"Serbia and Montenegro",
ISNUMBER(SEARCH(_xlfn.UNICHAR(65533),S2349)),"Côte d'Ivoire",
TRUE,""
)</f>
        <v/>
      </c>
      <c r="W2349" s="12" t="str">
        <f t="shared" si="177"/>
        <v>Panama</v>
      </c>
    </row>
    <row r="2350" spans="2:23">
      <c r="B2350" s="76" t="str">
        <v>2006.0</v>
      </c>
      <c r="C2350" s="42" t="str">
        <v xml:space="preserve">15 Jun 2006 - 15:00 </v>
      </c>
      <c r="D2350" s="42" t="str">
        <v>Group A</v>
      </c>
      <c r="E2350" s="42" t="str">
        <v>FIFA World Cup Stadium, Hamburg</v>
      </c>
      <c r="F2350" s="42" t="str">
        <v xml:space="preserve">Hamburg </v>
      </c>
      <c r="G2350" s="42" t="str">
        <v>Ecuador</v>
      </c>
      <c r="H2350" s="42" t="str">
        <v>3.0</v>
      </c>
      <c r="I2350" s="42" t="str">
        <v>0.0</v>
      </c>
      <c r="J2350" s="42" t="str">
        <v>Costa Rica</v>
      </c>
      <c r="K2350" s="42" t="str">
        <v xml:space="preserve"> </v>
      </c>
      <c r="L2350" s="42" t="str">
        <f t="shared" si="174"/>
        <v xml:space="preserve">2006.0|15 Jun 2006 - 15:00 |Group A|FIFA World Cup Stadium, Hamburg|Hamburg |Ecuador|3.0|0.0|Costa Rica| </v>
      </c>
      <c r="M2350" s="42" t="str">
        <f>IF(COUNTIF($L$1689:L2350,L2350)&gt;1,"DOUBLON","OK")</f>
        <v>OK</v>
      </c>
      <c r="S2350" s="12" t="str">
        <v>Panama</v>
      </c>
      <c r="T2350" s="12" t="str">
        <f t="shared" si="175"/>
        <v>OK</v>
      </c>
      <c r="U2350" s="12" t="str">
        <f t="shared" si="176"/>
        <v>-</v>
      </c>
      <c r="V2350" s="12" t="str" cm="1">
        <f t="array" ref="V2350">_xlfn.IFS(
ISNUMBER(SEARCH("USA",S2350)),"United States",
ISNUMBER(SEARCH("Republic of Ireland",S2350)),"Ireland",
ISNUMBER(SEARCH("Republic of Korea",S2350)),"South Korea",
ISNUMBER(SEARCH("Cape Verde",S2350)),"Cabo Verde",
ISNUMBER(SEARCH("Czechia",S2350)),"Czech Republic",
ISNUMBER(SEARCH("Türkiye",S2350)),"Turkey",
ISNUMBER(SEARCH("Ivory Coast",S2350)),"Côte d'Ivoire",
ISNUMBER(SEARCH("Korea Republic",S2350)),"South Korea",
ISNUMBER(SEARCH("Germany FR",S2350)),"FR Germany",
ISNUMBER(SEARCH("West Germany",S2350)),"FR Germany",
ISNUMBER(SEARCH("Germany DR",S2350)),"DR Germany",
ISNUMBER(SEARCH("Korea DPR",S2350)),"North Korea",
ISNUMBER(SEARCH("China PR",S2350)),"China",
ISNUMBER(SEARCH("IR Iran",S2350)),"Iran",
ISNUMBER(SEARCH("Congo DR",S2350)),"Democratic Republic of the Congo",
ISNUMBER(SEARCH("DR Congo",S2350)),"Democratic Republic of the Congo",
ISNUMBER(SEARCH("German DR",S2350)),"DR Germany",
ISNUMBER(SEARCH("rn""&gt;United Arab Emirates",S2350)),"United Arab Emirates",
ISNUMBER(SEARCH("rn""&gt;Republic of Ireland",S2350)),"Ireland",
ISNUMBER(SEARCH("rn""&gt;Bosnia and Herzegovina",S2350)),"Bosnia and Herzegovina",
ISNUMBER(SEARCH("rn""&gt;Trinidad and Tobago",S2350)),"Trinidad and Tobago",
ISNUMBER(SEARCH("rn""&gt;Serbia and Montenegro",S2350)),"Serbia and Montenegro",
ISNUMBER(SEARCH(_xlfn.UNICHAR(65533),S2350)),"Côte d'Ivoire",
TRUE,""
)</f>
        <v/>
      </c>
      <c r="W2350" s="12" t="str">
        <f t="shared" si="177"/>
        <v>Panama</v>
      </c>
    </row>
    <row r="2351" spans="2:23">
      <c r="B2351" s="76" t="str">
        <v>2006.0</v>
      </c>
      <c r="C2351" s="42" t="str">
        <v xml:space="preserve">15 Jun 2006 - 18:00 </v>
      </c>
      <c r="D2351" s="42" t="str">
        <v>Group B</v>
      </c>
      <c r="E2351" s="42" t="str">
        <v>Franken-Stadion</v>
      </c>
      <c r="F2351" s="42" t="str">
        <v xml:space="preserve">Nuremberg </v>
      </c>
      <c r="G2351" s="42" t="str">
        <v>England</v>
      </c>
      <c r="H2351" s="42" t="str">
        <v>2.0</v>
      </c>
      <c r="I2351" s="42" t="str">
        <v>0.0</v>
      </c>
      <c r="J2351" s="42" t="str">
        <v>rn"&gt;Trinidad and Tobago</v>
      </c>
      <c r="K2351" s="42" t="str">
        <v xml:space="preserve"> </v>
      </c>
      <c r="L2351" s="42" t="str">
        <f t="shared" si="174"/>
        <v xml:space="preserve">2006.0|15 Jun 2006 - 18:00 |Group B|Franken-Stadion|Nuremberg |England|2.0|0.0|rn"&gt;Trinidad and Tobago| </v>
      </c>
      <c r="M2351" s="42" t="str">
        <f>IF(COUNTIF($L$1689:L2351,L2351)&gt;1,"DOUBLON","OK")</f>
        <v>OK</v>
      </c>
      <c r="S2351" s="12" t="str">
        <v>Panama</v>
      </c>
      <c r="T2351" s="12" t="str">
        <f t="shared" si="175"/>
        <v>OK</v>
      </c>
      <c r="U2351" s="12" t="str">
        <f t="shared" si="176"/>
        <v>-</v>
      </c>
      <c r="V2351" s="12" t="str" cm="1">
        <f t="array" ref="V2351">_xlfn.IFS(
ISNUMBER(SEARCH("USA",S2351)),"United States",
ISNUMBER(SEARCH("Republic of Ireland",S2351)),"Ireland",
ISNUMBER(SEARCH("Republic of Korea",S2351)),"South Korea",
ISNUMBER(SEARCH("Cape Verde",S2351)),"Cabo Verde",
ISNUMBER(SEARCH("Czechia",S2351)),"Czech Republic",
ISNUMBER(SEARCH("Türkiye",S2351)),"Turkey",
ISNUMBER(SEARCH("Ivory Coast",S2351)),"Côte d'Ivoire",
ISNUMBER(SEARCH("Korea Republic",S2351)),"South Korea",
ISNUMBER(SEARCH("Germany FR",S2351)),"FR Germany",
ISNUMBER(SEARCH("West Germany",S2351)),"FR Germany",
ISNUMBER(SEARCH("Germany DR",S2351)),"DR Germany",
ISNUMBER(SEARCH("Korea DPR",S2351)),"North Korea",
ISNUMBER(SEARCH("China PR",S2351)),"China",
ISNUMBER(SEARCH("IR Iran",S2351)),"Iran",
ISNUMBER(SEARCH("Congo DR",S2351)),"Democratic Republic of the Congo",
ISNUMBER(SEARCH("DR Congo",S2351)),"Democratic Republic of the Congo",
ISNUMBER(SEARCH("German DR",S2351)),"DR Germany",
ISNUMBER(SEARCH("rn""&gt;United Arab Emirates",S2351)),"United Arab Emirates",
ISNUMBER(SEARCH("rn""&gt;Republic of Ireland",S2351)),"Ireland",
ISNUMBER(SEARCH("rn""&gt;Bosnia and Herzegovina",S2351)),"Bosnia and Herzegovina",
ISNUMBER(SEARCH("rn""&gt;Trinidad and Tobago",S2351)),"Trinidad and Tobago",
ISNUMBER(SEARCH("rn""&gt;Serbia and Montenegro",S2351)),"Serbia and Montenegro",
ISNUMBER(SEARCH(_xlfn.UNICHAR(65533),S2351)),"Côte d'Ivoire",
TRUE,""
)</f>
        <v/>
      </c>
      <c r="W2351" s="12" t="str">
        <f t="shared" si="177"/>
        <v>Panama</v>
      </c>
    </row>
    <row r="2352" spans="2:23">
      <c r="B2352" s="76" t="str">
        <v>2006.0</v>
      </c>
      <c r="C2352" s="42" t="str">
        <v xml:space="preserve">15 Jun 2006 - 21:00 </v>
      </c>
      <c r="D2352" s="42" t="str">
        <v>Group B</v>
      </c>
      <c r="E2352" s="42" t="str">
        <v>Olympiastadion</v>
      </c>
      <c r="F2352" s="42" t="str">
        <v xml:space="preserve">Berlin </v>
      </c>
      <c r="G2352" s="42" t="str">
        <v>Sweden</v>
      </c>
      <c r="H2352" s="42" t="str">
        <v>1.0</v>
      </c>
      <c r="I2352" s="42" t="str">
        <v>0.0</v>
      </c>
      <c r="J2352" s="42" t="str">
        <v>Paraguay</v>
      </c>
      <c r="K2352" s="42" t="str">
        <v xml:space="preserve"> </v>
      </c>
      <c r="L2352" s="42" t="str">
        <f t="shared" si="174"/>
        <v xml:space="preserve">2006.0|15 Jun 2006 - 21:00 |Group B|Olympiastadion|Berlin |Sweden|1.0|0.0|Paraguay| </v>
      </c>
      <c r="M2352" s="42" t="str">
        <f>IF(COUNTIF($L$1689:L2352,L2352)&gt;1,"DOUBLON","OK")</f>
        <v>OK</v>
      </c>
      <c r="S2352" s="12" t="str">
        <v>Panama</v>
      </c>
      <c r="T2352" s="12" t="str">
        <f t="shared" si="175"/>
        <v>OK</v>
      </c>
      <c r="U2352" s="12" t="str">
        <f t="shared" si="176"/>
        <v>-</v>
      </c>
      <c r="V2352" s="12" t="str" cm="1">
        <f t="array" ref="V2352">_xlfn.IFS(
ISNUMBER(SEARCH("USA",S2352)),"United States",
ISNUMBER(SEARCH("Republic of Ireland",S2352)),"Ireland",
ISNUMBER(SEARCH("Republic of Korea",S2352)),"South Korea",
ISNUMBER(SEARCH("Cape Verde",S2352)),"Cabo Verde",
ISNUMBER(SEARCH("Czechia",S2352)),"Czech Republic",
ISNUMBER(SEARCH("Türkiye",S2352)),"Turkey",
ISNUMBER(SEARCH("Ivory Coast",S2352)),"Côte d'Ivoire",
ISNUMBER(SEARCH("Korea Republic",S2352)),"South Korea",
ISNUMBER(SEARCH("Germany FR",S2352)),"FR Germany",
ISNUMBER(SEARCH("West Germany",S2352)),"FR Germany",
ISNUMBER(SEARCH("Germany DR",S2352)),"DR Germany",
ISNUMBER(SEARCH("Korea DPR",S2352)),"North Korea",
ISNUMBER(SEARCH("China PR",S2352)),"China",
ISNUMBER(SEARCH("IR Iran",S2352)),"Iran",
ISNUMBER(SEARCH("Congo DR",S2352)),"Democratic Republic of the Congo",
ISNUMBER(SEARCH("DR Congo",S2352)),"Democratic Republic of the Congo",
ISNUMBER(SEARCH("German DR",S2352)),"DR Germany",
ISNUMBER(SEARCH("rn""&gt;United Arab Emirates",S2352)),"United Arab Emirates",
ISNUMBER(SEARCH("rn""&gt;Republic of Ireland",S2352)),"Ireland",
ISNUMBER(SEARCH("rn""&gt;Bosnia and Herzegovina",S2352)),"Bosnia and Herzegovina",
ISNUMBER(SEARCH("rn""&gt;Trinidad and Tobago",S2352)),"Trinidad and Tobago",
ISNUMBER(SEARCH("rn""&gt;Serbia and Montenegro",S2352)),"Serbia and Montenegro",
ISNUMBER(SEARCH(_xlfn.UNICHAR(65533),S2352)),"Côte d'Ivoire",
TRUE,""
)</f>
        <v/>
      </c>
      <c r="W2352" s="12" t="str">
        <f t="shared" si="177"/>
        <v>Panama</v>
      </c>
    </row>
    <row r="2353" spans="2:23">
      <c r="B2353" s="76" t="str">
        <v>2006.0</v>
      </c>
      <c r="C2353" s="42" t="str">
        <v xml:space="preserve">16 Jun 2006 - 15:00 </v>
      </c>
      <c r="D2353" s="42" t="str">
        <v>Group C</v>
      </c>
      <c r="E2353" s="42" t="str">
        <v>FIFA World Cup Stadium, Gelsenkirchen</v>
      </c>
      <c r="F2353" s="42" t="str">
        <v xml:space="preserve">Gelsenkirchen </v>
      </c>
      <c r="G2353" s="42" t="str">
        <v>Argentina</v>
      </c>
      <c r="H2353" s="42" t="str">
        <v>6.0</v>
      </c>
      <c r="I2353" s="42" t="str">
        <v>0.0</v>
      </c>
      <c r="J2353" s="42" t="str">
        <v>rn"&gt;Serbia and Montenegro</v>
      </c>
      <c r="K2353" s="42" t="str">
        <v xml:space="preserve"> </v>
      </c>
      <c r="L2353" s="42" t="str">
        <f t="shared" si="174"/>
        <v xml:space="preserve">2006.0|16 Jun 2006 - 15:00 |Group C|FIFA World Cup Stadium, Gelsenkirchen|Gelsenkirchen |Argentina|6.0|0.0|rn"&gt;Serbia and Montenegro| </v>
      </c>
      <c r="M2353" s="42" t="str">
        <f>IF(COUNTIF($L$1689:L2353,L2353)&gt;1,"DOUBLON","OK")</f>
        <v>OK</v>
      </c>
      <c r="S2353" s="12" t="str">
        <v>Panama</v>
      </c>
      <c r="T2353" s="12" t="str">
        <f t="shared" si="175"/>
        <v>OK</v>
      </c>
      <c r="U2353" s="12" t="str">
        <f t="shared" si="176"/>
        <v>-</v>
      </c>
      <c r="V2353" s="12" t="str" cm="1">
        <f t="array" ref="V2353">_xlfn.IFS(
ISNUMBER(SEARCH("USA",S2353)),"United States",
ISNUMBER(SEARCH("Republic of Ireland",S2353)),"Ireland",
ISNUMBER(SEARCH("Republic of Korea",S2353)),"South Korea",
ISNUMBER(SEARCH("Cape Verde",S2353)),"Cabo Verde",
ISNUMBER(SEARCH("Czechia",S2353)),"Czech Republic",
ISNUMBER(SEARCH("Türkiye",S2353)),"Turkey",
ISNUMBER(SEARCH("Ivory Coast",S2353)),"Côte d'Ivoire",
ISNUMBER(SEARCH("Korea Republic",S2353)),"South Korea",
ISNUMBER(SEARCH("Germany FR",S2353)),"FR Germany",
ISNUMBER(SEARCH("West Germany",S2353)),"FR Germany",
ISNUMBER(SEARCH("Germany DR",S2353)),"DR Germany",
ISNUMBER(SEARCH("Korea DPR",S2353)),"North Korea",
ISNUMBER(SEARCH("China PR",S2353)),"China",
ISNUMBER(SEARCH("IR Iran",S2353)),"Iran",
ISNUMBER(SEARCH("Congo DR",S2353)),"Democratic Republic of the Congo",
ISNUMBER(SEARCH("DR Congo",S2353)),"Democratic Republic of the Congo",
ISNUMBER(SEARCH("German DR",S2353)),"DR Germany",
ISNUMBER(SEARCH("rn""&gt;United Arab Emirates",S2353)),"United Arab Emirates",
ISNUMBER(SEARCH("rn""&gt;Republic of Ireland",S2353)),"Ireland",
ISNUMBER(SEARCH("rn""&gt;Bosnia and Herzegovina",S2353)),"Bosnia and Herzegovina",
ISNUMBER(SEARCH("rn""&gt;Trinidad and Tobago",S2353)),"Trinidad and Tobago",
ISNUMBER(SEARCH("rn""&gt;Serbia and Montenegro",S2353)),"Serbia and Montenegro",
ISNUMBER(SEARCH(_xlfn.UNICHAR(65533),S2353)),"Côte d'Ivoire",
TRUE,""
)</f>
        <v/>
      </c>
      <c r="W2353" s="12" t="str">
        <f t="shared" si="177"/>
        <v>Panama</v>
      </c>
    </row>
    <row r="2354" spans="2:23">
      <c r="B2354" s="76" t="str">
        <v>2006.0</v>
      </c>
      <c r="C2354" s="42" t="str">
        <v xml:space="preserve">16 Jun 2006 - 18:00 </v>
      </c>
      <c r="D2354" s="42" t="str">
        <v>Group C</v>
      </c>
      <c r="E2354" s="42" t="str">
        <v>Gottlieb-Daimler-Stadion</v>
      </c>
      <c r="F2354" s="42" t="str">
        <v xml:space="preserve">Stuttgart </v>
      </c>
      <c r="G2354" s="42" t="str">
        <v>Netherlands</v>
      </c>
      <c r="H2354" s="42" t="str">
        <v>2.0</v>
      </c>
      <c r="I2354" s="42" t="str">
        <v>1.0</v>
      </c>
      <c r="J2354" s="42" t="str">
        <v>C�te d'Ivoire</v>
      </c>
      <c r="K2354" s="42" t="str">
        <v xml:space="preserve"> </v>
      </c>
      <c r="L2354" s="42" t="str">
        <f t="shared" si="174"/>
        <v xml:space="preserve">2006.0|16 Jun 2006 - 18:00 |Group C|Gottlieb-Daimler-Stadion|Stuttgart |Netherlands|2.0|1.0|C�te d'Ivoire| </v>
      </c>
      <c r="M2354" s="42" t="str">
        <f>IF(COUNTIF($L$1689:L2354,L2354)&gt;1,"DOUBLON","OK")</f>
        <v>OK</v>
      </c>
      <c r="S2354" s="12" t="str">
        <v>Panama</v>
      </c>
      <c r="T2354" s="12" t="str">
        <f t="shared" si="175"/>
        <v>OK</v>
      </c>
      <c r="U2354" s="12" t="str">
        <f t="shared" si="176"/>
        <v>-</v>
      </c>
      <c r="V2354" s="12" t="str" cm="1">
        <f t="array" ref="V2354">_xlfn.IFS(
ISNUMBER(SEARCH("USA",S2354)),"United States",
ISNUMBER(SEARCH("Republic of Ireland",S2354)),"Ireland",
ISNUMBER(SEARCH("Republic of Korea",S2354)),"South Korea",
ISNUMBER(SEARCH("Cape Verde",S2354)),"Cabo Verde",
ISNUMBER(SEARCH("Czechia",S2354)),"Czech Republic",
ISNUMBER(SEARCH("Türkiye",S2354)),"Turkey",
ISNUMBER(SEARCH("Ivory Coast",S2354)),"Côte d'Ivoire",
ISNUMBER(SEARCH("Korea Republic",S2354)),"South Korea",
ISNUMBER(SEARCH("Germany FR",S2354)),"FR Germany",
ISNUMBER(SEARCH("West Germany",S2354)),"FR Germany",
ISNUMBER(SEARCH("Germany DR",S2354)),"DR Germany",
ISNUMBER(SEARCH("Korea DPR",S2354)),"North Korea",
ISNUMBER(SEARCH("China PR",S2354)),"China",
ISNUMBER(SEARCH("IR Iran",S2354)),"Iran",
ISNUMBER(SEARCH("Congo DR",S2354)),"Democratic Republic of the Congo",
ISNUMBER(SEARCH("DR Congo",S2354)),"Democratic Republic of the Congo",
ISNUMBER(SEARCH("German DR",S2354)),"DR Germany",
ISNUMBER(SEARCH("rn""&gt;United Arab Emirates",S2354)),"United Arab Emirates",
ISNUMBER(SEARCH("rn""&gt;Republic of Ireland",S2354)),"Ireland",
ISNUMBER(SEARCH("rn""&gt;Bosnia and Herzegovina",S2354)),"Bosnia and Herzegovina",
ISNUMBER(SEARCH("rn""&gt;Trinidad and Tobago",S2354)),"Trinidad and Tobago",
ISNUMBER(SEARCH("rn""&gt;Serbia and Montenegro",S2354)),"Serbia and Montenegro",
ISNUMBER(SEARCH(_xlfn.UNICHAR(65533),S2354)),"Côte d'Ivoire",
TRUE,""
)</f>
        <v/>
      </c>
      <c r="W2354" s="12" t="str">
        <f t="shared" si="177"/>
        <v>Panama</v>
      </c>
    </row>
    <row r="2355" spans="2:23">
      <c r="B2355" s="76" t="str">
        <v>2006.0</v>
      </c>
      <c r="C2355" s="42" t="str">
        <v xml:space="preserve">16 Jun 2006 - 21:00 </v>
      </c>
      <c r="D2355" s="42" t="str">
        <v>Group D</v>
      </c>
      <c r="E2355" s="42" t="str">
        <v>FIFA World Cup Stadium, Hanover</v>
      </c>
      <c r="F2355" s="42" t="str">
        <v xml:space="preserve">Hanover </v>
      </c>
      <c r="G2355" s="42" t="str">
        <v>Mexico</v>
      </c>
      <c r="H2355" s="42" t="str">
        <v>0.0</v>
      </c>
      <c r="I2355" s="42" t="str">
        <v>0.0</v>
      </c>
      <c r="J2355" s="42" t="str">
        <v>Angola</v>
      </c>
      <c r="K2355" s="42" t="str">
        <v xml:space="preserve"> </v>
      </c>
      <c r="L2355" s="42" t="str">
        <f t="shared" si="174"/>
        <v xml:space="preserve">2006.0|16 Jun 2006 - 21:00 |Group D|FIFA World Cup Stadium, Hanover|Hanover |Mexico|0.0|0.0|Angola| </v>
      </c>
      <c r="M2355" s="42" t="str">
        <f>IF(COUNTIF($L$1689:L2355,L2355)&gt;1,"DOUBLON","OK")</f>
        <v>OK</v>
      </c>
      <c r="S2355" s="12" t="str">
        <v>Panama</v>
      </c>
      <c r="T2355" s="12" t="str">
        <f t="shared" si="175"/>
        <v>OK</v>
      </c>
      <c r="U2355" s="12" t="str">
        <f t="shared" si="176"/>
        <v>-</v>
      </c>
      <c r="V2355" s="12" t="str" cm="1">
        <f t="array" ref="V2355">_xlfn.IFS(
ISNUMBER(SEARCH("USA",S2355)),"United States",
ISNUMBER(SEARCH("Republic of Ireland",S2355)),"Ireland",
ISNUMBER(SEARCH("Republic of Korea",S2355)),"South Korea",
ISNUMBER(SEARCH("Cape Verde",S2355)),"Cabo Verde",
ISNUMBER(SEARCH("Czechia",S2355)),"Czech Republic",
ISNUMBER(SEARCH("Türkiye",S2355)),"Turkey",
ISNUMBER(SEARCH("Ivory Coast",S2355)),"Côte d'Ivoire",
ISNUMBER(SEARCH("Korea Republic",S2355)),"South Korea",
ISNUMBER(SEARCH("Germany FR",S2355)),"FR Germany",
ISNUMBER(SEARCH("West Germany",S2355)),"FR Germany",
ISNUMBER(SEARCH("Germany DR",S2355)),"DR Germany",
ISNUMBER(SEARCH("Korea DPR",S2355)),"North Korea",
ISNUMBER(SEARCH("China PR",S2355)),"China",
ISNUMBER(SEARCH("IR Iran",S2355)),"Iran",
ISNUMBER(SEARCH("Congo DR",S2355)),"Democratic Republic of the Congo",
ISNUMBER(SEARCH("DR Congo",S2355)),"Democratic Republic of the Congo",
ISNUMBER(SEARCH("German DR",S2355)),"DR Germany",
ISNUMBER(SEARCH("rn""&gt;United Arab Emirates",S2355)),"United Arab Emirates",
ISNUMBER(SEARCH("rn""&gt;Republic of Ireland",S2355)),"Ireland",
ISNUMBER(SEARCH("rn""&gt;Bosnia and Herzegovina",S2355)),"Bosnia and Herzegovina",
ISNUMBER(SEARCH("rn""&gt;Trinidad and Tobago",S2355)),"Trinidad and Tobago",
ISNUMBER(SEARCH("rn""&gt;Serbia and Montenegro",S2355)),"Serbia and Montenegro",
ISNUMBER(SEARCH(_xlfn.UNICHAR(65533),S2355)),"Côte d'Ivoire",
TRUE,""
)</f>
        <v/>
      </c>
      <c r="W2355" s="12" t="str">
        <f t="shared" si="177"/>
        <v>Panama</v>
      </c>
    </row>
    <row r="2356" spans="2:23">
      <c r="B2356" s="76" t="str">
        <v>2006.0</v>
      </c>
      <c r="C2356" s="42" t="str">
        <v xml:space="preserve">17 Jun 2006 - 15:00 </v>
      </c>
      <c r="D2356" s="42" t="str">
        <v>Group D</v>
      </c>
      <c r="E2356" s="42" t="str">
        <v>FIFA World Cup Stadium, Frankfurt</v>
      </c>
      <c r="F2356" s="42" t="str">
        <v xml:space="preserve">Frankfurt/Main </v>
      </c>
      <c r="G2356" s="42" t="str">
        <v>Portugal</v>
      </c>
      <c r="H2356" s="42" t="str">
        <v>2.0</v>
      </c>
      <c r="I2356" s="42" t="str">
        <v>0.0</v>
      </c>
      <c r="J2356" s="42" t="str">
        <v>IR Iran</v>
      </c>
      <c r="K2356" s="42" t="str">
        <v xml:space="preserve"> </v>
      </c>
      <c r="L2356" s="42" t="str">
        <f t="shared" si="174"/>
        <v xml:space="preserve">2006.0|17 Jun 2006 - 15:00 |Group D|FIFA World Cup Stadium, Frankfurt|Frankfurt/Main |Portugal|2.0|0.0|IR Iran| </v>
      </c>
      <c r="M2356" s="42" t="str">
        <f>IF(COUNTIF($L$1689:L2356,L2356)&gt;1,"DOUBLON","OK")</f>
        <v>OK</v>
      </c>
      <c r="S2356" s="12" t="str">
        <v>Panama</v>
      </c>
      <c r="T2356" s="12" t="str">
        <f t="shared" si="175"/>
        <v>OK</v>
      </c>
      <c r="U2356" s="12" t="str">
        <f t="shared" si="176"/>
        <v>-</v>
      </c>
      <c r="V2356" s="12" t="str" cm="1">
        <f t="array" ref="V2356">_xlfn.IFS(
ISNUMBER(SEARCH("USA",S2356)),"United States",
ISNUMBER(SEARCH("Republic of Ireland",S2356)),"Ireland",
ISNUMBER(SEARCH("Republic of Korea",S2356)),"South Korea",
ISNUMBER(SEARCH("Cape Verde",S2356)),"Cabo Verde",
ISNUMBER(SEARCH("Czechia",S2356)),"Czech Republic",
ISNUMBER(SEARCH("Türkiye",S2356)),"Turkey",
ISNUMBER(SEARCH("Ivory Coast",S2356)),"Côte d'Ivoire",
ISNUMBER(SEARCH("Korea Republic",S2356)),"South Korea",
ISNUMBER(SEARCH("Germany FR",S2356)),"FR Germany",
ISNUMBER(SEARCH("West Germany",S2356)),"FR Germany",
ISNUMBER(SEARCH("Germany DR",S2356)),"DR Germany",
ISNUMBER(SEARCH("Korea DPR",S2356)),"North Korea",
ISNUMBER(SEARCH("China PR",S2356)),"China",
ISNUMBER(SEARCH("IR Iran",S2356)),"Iran",
ISNUMBER(SEARCH("Congo DR",S2356)),"Democratic Republic of the Congo",
ISNUMBER(SEARCH("DR Congo",S2356)),"Democratic Republic of the Congo",
ISNUMBER(SEARCH("German DR",S2356)),"DR Germany",
ISNUMBER(SEARCH("rn""&gt;United Arab Emirates",S2356)),"United Arab Emirates",
ISNUMBER(SEARCH("rn""&gt;Republic of Ireland",S2356)),"Ireland",
ISNUMBER(SEARCH("rn""&gt;Bosnia and Herzegovina",S2356)),"Bosnia and Herzegovina",
ISNUMBER(SEARCH("rn""&gt;Trinidad and Tobago",S2356)),"Trinidad and Tobago",
ISNUMBER(SEARCH("rn""&gt;Serbia and Montenegro",S2356)),"Serbia and Montenegro",
ISNUMBER(SEARCH(_xlfn.UNICHAR(65533),S2356)),"Côte d'Ivoire",
TRUE,""
)</f>
        <v/>
      </c>
      <c r="W2356" s="12" t="str">
        <f t="shared" si="177"/>
        <v>Panama</v>
      </c>
    </row>
    <row r="2357" spans="2:23">
      <c r="B2357" s="76" t="str">
        <v>2006.0</v>
      </c>
      <c r="C2357" s="42" t="str">
        <v xml:space="preserve">17 Jun 2006 - 18:00 </v>
      </c>
      <c r="D2357" s="42" t="str">
        <v>Group E</v>
      </c>
      <c r="E2357" s="42" t="str">
        <v>FIFA World Cup Stadium, Cologne</v>
      </c>
      <c r="F2357" s="42" t="str">
        <v xml:space="preserve">Cologne </v>
      </c>
      <c r="G2357" s="42" t="str">
        <v>Czech Republic</v>
      </c>
      <c r="H2357" s="42" t="str">
        <v>0.0</v>
      </c>
      <c r="I2357" s="42" t="str">
        <v>2.0</v>
      </c>
      <c r="J2357" s="42" t="str">
        <v>Ghana</v>
      </c>
      <c r="K2357" s="42" t="str">
        <v xml:space="preserve"> </v>
      </c>
      <c r="L2357" s="42" t="str">
        <f t="shared" si="174"/>
        <v xml:space="preserve">2006.0|17 Jun 2006 - 18:00 |Group E|FIFA World Cup Stadium, Cologne|Cologne |Czech Republic|0.0|2.0|Ghana| </v>
      </c>
      <c r="M2357" s="42" t="str">
        <f>IF(COUNTIF($L$1689:L2357,L2357)&gt;1,"DOUBLON","OK")</f>
        <v>OK</v>
      </c>
      <c r="S2357" s="12" t="str">
        <v>Panama</v>
      </c>
      <c r="T2357" s="12" t="str">
        <f t="shared" si="175"/>
        <v>OK</v>
      </c>
      <c r="U2357" s="12" t="str">
        <f t="shared" si="176"/>
        <v>-</v>
      </c>
      <c r="V2357" s="12" t="str" cm="1">
        <f t="array" ref="V2357">_xlfn.IFS(
ISNUMBER(SEARCH("USA",S2357)),"United States",
ISNUMBER(SEARCH("Republic of Ireland",S2357)),"Ireland",
ISNUMBER(SEARCH("Republic of Korea",S2357)),"South Korea",
ISNUMBER(SEARCH("Cape Verde",S2357)),"Cabo Verde",
ISNUMBER(SEARCH("Czechia",S2357)),"Czech Republic",
ISNUMBER(SEARCH("Türkiye",S2357)),"Turkey",
ISNUMBER(SEARCH("Ivory Coast",S2357)),"Côte d'Ivoire",
ISNUMBER(SEARCH("Korea Republic",S2357)),"South Korea",
ISNUMBER(SEARCH("Germany FR",S2357)),"FR Germany",
ISNUMBER(SEARCH("West Germany",S2357)),"FR Germany",
ISNUMBER(SEARCH("Germany DR",S2357)),"DR Germany",
ISNUMBER(SEARCH("Korea DPR",S2357)),"North Korea",
ISNUMBER(SEARCH("China PR",S2357)),"China",
ISNUMBER(SEARCH("IR Iran",S2357)),"Iran",
ISNUMBER(SEARCH("Congo DR",S2357)),"Democratic Republic of the Congo",
ISNUMBER(SEARCH("DR Congo",S2357)),"Democratic Republic of the Congo",
ISNUMBER(SEARCH("German DR",S2357)),"DR Germany",
ISNUMBER(SEARCH("rn""&gt;United Arab Emirates",S2357)),"United Arab Emirates",
ISNUMBER(SEARCH("rn""&gt;Republic of Ireland",S2357)),"Ireland",
ISNUMBER(SEARCH("rn""&gt;Bosnia and Herzegovina",S2357)),"Bosnia and Herzegovina",
ISNUMBER(SEARCH("rn""&gt;Trinidad and Tobago",S2357)),"Trinidad and Tobago",
ISNUMBER(SEARCH("rn""&gt;Serbia and Montenegro",S2357)),"Serbia and Montenegro",
ISNUMBER(SEARCH(_xlfn.UNICHAR(65533),S2357)),"Côte d'Ivoire",
TRUE,""
)</f>
        <v/>
      </c>
      <c r="W2357" s="12" t="str">
        <f t="shared" si="177"/>
        <v>Panama</v>
      </c>
    </row>
    <row r="2358" spans="2:23">
      <c r="B2358" s="76" t="str">
        <v>2006.0</v>
      </c>
      <c r="C2358" s="42" t="str">
        <v xml:space="preserve">17 Jun 2006 - 21:00 </v>
      </c>
      <c r="D2358" s="42" t="str">
        <v>Group E</v>
      </c>
      <c r="E2358" s="42" t="str">
        <v>Fritz-Walter-Stadion</v>
      </c>
      <c r="F2358" s="42" t="str">
        <v xml:space="preserve">Kaiserslautern </v>
      </c>
      <c r="G2358" s="42" t="str">
        <v>Italy</v>
      </c>
      <c r="H2358" s="42" t="str">
        <v>1.0</v>
      </c>
      <c r="I2358" s="42" t="str">
        <v>1.0</v>
      </c>
      <c r="J2358" s="42" t="str">
        <v>USA</v>
      </c>
      <c r="K2358" s="42" t="str">
        <v xml:space="preserve"> </v>
      </c>
      <c r="L2358" s="42" t="str">
        <f t="shared" si="174"/>
        <v xml:space="preserve">2006.0|17 Jun 2006 - 21:00 |Group E|Fritz-Walter-Stadion|Kaiserslautern |Italy|1.0|1.0|USA| </v>
      </c>
      <c r="M2358" s="42" t="str">
        <f>IF(COUNTIF($L$1689:L2358,L2358)&gt;1,"DOUBLON","OK")</f>
        <v>OK</v>
      </c>
      <c r="S2358" s="12" t="str">
        <v>Panama</v>
      </c>
      <c r="T2358" s="12" t="str">
        <f t="shared" si="175"/>
        <v>OK</v>
      </c>
      <c r="U2358" s="12" t="str">
        <f t="shared" si="176"/>
        <v>-</v>
      </c>
      <c r="V2358" s="12" t="str" cm="1">
        <f t="array" ref="V2358">_xlfn.IFS(
ISNUMBER(SEARCH("USA",S2358)),"United States",
ISNUMBER(SEARCH("Republic of Ireland",S2358)),"Ireland",
ISNUMBER(SEARCH("Republic of Korea",S2358)),"South Korea",
ISNUMBER(SEARCH("Cape Verde",S2358)),"Cabo Verde",
ISNUMBER(SEARCH("Czechia",S2358)),"Czech Republic",
ISNUMBER(SEARCH("Türkiye",S2358)),"Turkey",
ISNUMBER(SEARCH("Ivory Coast",S2358)),"Côte d'Ivoire",
ISNUMBER(SEARCH("Korea Republic",S2358)),"South Korea",
ISNUMBER(SEARCH("Germany FR",S2358)),"FR Germany",
ISNUMBER(SEARCH("West Germany",S2358)),"FR Germany",
ISNUMBER(SEARCH("Germany DR",S2358)),"DR Germany",
ISNUMBER(SEARCH("Korea DPR",S2358)),"North Korea",
ISNUMBER(SEARCH("China PR",S2358)),"China",
ISNUMBER(SEARCH("IR Iran",S2358)),"Iran",
ISNUMBER(SEARCH("Congo DR",S2358)),"Democratic Republic of the Congo",
ISNUMBER(SEARCH("DR Congo",S2358)),"Democratic Republic of the Congo",
ISNUMBER(SEARCH("German DR",S2358)),"DR Germany",
ISNUMBER(SEARCH("rn""&gt;United Arab Emirates",S2358)),"United Arab Emirates",
ISNUMBER(SEARCH("rn""&gt;Republic of Ireland",S2358)),"Ireland",
ISNUMBER(SEARCH("rn""&gt;Bosnia and Herzegovina",S2358)),"Bosnia and Herzegovina",
ISNUMBER(SEARCH("rn""&gt;Trinidad and Tobago",S2358)),"Trinidad and Tobago",
ISNUMBER(SEARCH("rn""&gt;Serbia and Montenegro",S2358)),"Serbia and Montenegro",
ISNUMBER(SEARCH(_xlfn.UNICHAR(65533),S2358)),"Côte d'Ivoire",
TRUE,""
)</f>
        <v/>
      </c>
      <c r="W2358" s="12" t="str">
        <f t="shared" si="177"/>
        <v>Panama</v>
      </c>
    </row>
    <row r="2359" spans="2:23">
      <c r="B2359" s="76" t="str">
        <v>2006.0</v>
      </c>
      <c r="C2359" s="42" t="str">
        <v xml:space="preserve">18 Jun 2006 - 15:00 </v>
      </c>
      <c r="D2359" s="42" t="str">
        <v>Group F</v>
      </c>
      <c r="E2359" s="42" t="str">
        <v>Franken-Stadion</v>
      </c>
      <c r="F2359" s="42" t="str">
        <v xml:space="preserve">Nuremberg </v>
      </c>
      <c r="G2359" s="42" t="str">
        <v>Japan</v>
      </c>
      <c r="H2359" s="42" t="str">
        <v>0.0</v>
      </c>
      <c r="I2359" s="42" t="str">
        <v>0.0</v>
      </c>
      <c r="J2359" s="42" t="str">
        <v>Croatia</v>
      </c>
      <c r="K2359" s="42" t="str">
        <v xml:space="preserve"> </v>
      </c>
      <c r="L2359" s="42" t="str">
        <f t="shared" si="174"/>
        <v xml:space="preserve">2006.0|18 Jun 2006 - 15:00 |Group F|Franken-Stadion|Nuremberg |Japan|0.0|0.0|Croatia| </v>
      </c>
      <c r="M2359" s="42" t="str">
        <f>IF(COUNTIF($L$1689:L2359,L2359)&gt;1,"DOUBLON","OK")</f>
        <v>OK</v>
      </c>
      <c r="S2359" s="12" t="str">
        <v>Panama</v>
      </c>
      <c r="T2359" s="12" t="str">
        <f t="shared" si="175"/>
        <v>OK</v>
      </c>
      <c r="U2359" s="12" t="str">
        <f t="shared" si="176"/>
        <v>-</v>
      </c>
      <c r="V2359" s="12" t="str" cm="1">
        <f t="array" ref="V2359">_xlfn.IFS(
ISNUMBER(SEARCH("USA",S2359)),"United States",
ISNUMBER(SEARCH("Republic of Ireland",S2359)),"Ireland",
ISNUMBER(SEARCH("Republic of Korea",S2359)),"South Korea",
ISNUMBER(SEARCH("Cape Verde",S2359)),"Cabo Verde",
ISNUMBER(SEARCH("Czechia",S2359)),"Czech Republic",
ISNUMBER(SEARCH("Türkiye",S2359)),"Turkey",
ISNUMBER(SEARCH("Ivory Coast",S2359)),"Côte d'Ivoire",
ISNUMBER(SEARCH("Korea Republic",S2359)),"South Korea",
ISNUMBER(SEARCH("Germany FR",S2359)),"FR Germany",
ISNUMBER(SEARCH("West Germany",S2359)),"FR Germany",
ISNUMBER(SEARCH("Germany DR",S2359)),"DR Germany",
ISNUMBER(SEARCH("Korea DPR",S2359)),"North Korea",
ISNUMBER(SEARCH("China PR",S2359)),"China",
ISNUMBER(SEARCH("IR Iran",S2359)),"Iran",
ISNUMBER(SEARCH("Congo DR",S2359)),"Democratic Republic of the Congo",
ISNUMBER(SEARCH("DR Congo",S2359)),"Democratic Republic of the Congo",
ISNUMBER(SEARCH("German DR",S2359)),"DR Germany",
ISNUMBER(SEARCH("rn""&gt;United Arab Emirates",S2359)),"United Arab Emirates",
ISNUMBER(SEARCH("rn""&gt;Republic of Ireland",S2359)),"Ireland",
ISNUMBER(SEARCH("rn""&gt;Bosnia and Herzegovina",S2359)),"Bosnia and Herzegovina",
ISNUMBER(SEARCH("rn""&gt;Trinidad and Tobago",S2359)),"Trinidad and Tobago",
ISNUMBER(SEARCH("rn""&gt;Serbia and Montenegro",S2359)),"Serbia and Montenegro",
ISNUMBER(SEARCH(_xlfn.UNICHAR(65533),S2359)),"Côte d'Ivoire",
TRUE,""
)</f>
        <v/>
      </c>
      <c r="W2359" s="12" t="str">
        <f t="shared" si="177"/>
        <v>Panama</v>
      </c>
    </row>
    <row r="2360" spans="2:23">
      <c r="B2360" s="76" t="str">
        <v>2006.0</v>
      </c>
      <c r="C2360" s="42" t="str">
        <v xml:space="preserve">18 Jun 2006 - 18:00 </v>
      </c>
      <c r="D2360" s="42" t="str">
        <v>Group F</v>
      </c>
      <c r="E2360" s="42" t="str">
        <v>FIFA World Cup Stadium, Munich</v>
      </c>
      <c r="F2360" s="42" t="str">
        <v xml:space="preserve">Munich </v>
      </c>
      <c r="G2360" s="42" t="str">
        <v>Brazil</v>
      </c>
      <c r="H2360" s="42" t="str">
        <v>2.0</v>
      </c>
      <c r="I2360" s="42" t="str">
        <v>0.0</v>
      </c>
      <c r="J2360" s="42" t="str">
        <v>Australia</v>
      </c>
      <c r="K2360" s="42" t="str">
        <v xml:space="preserve"> </v>
      </c>
      <c r="L2360" s="42" t="str">
        <f t="shared" si="174"/>
        <v xml:space="preserve">2006.0|18 Jun 2006 - 18:00 |Group F|FIFA World Cup Stadium, Munich|Munich |Brazil|2.0|0.0|Australia| </v>
      </c>
      <c r="M2360" s="42" t="str">
        <f>IF(COUNTIF($L$1689:L2360,L2360)&gt;1,"DOUBLON","OK")</f>
        <v>OK</v>
      </c>
      <c r="S2360" s="12" t="str">
        <v>Panama</v>
      </c>
      <c r="T2360" s="12" t="str">
        <f t="shared" si="175"/>
        <v>OK</v>
      </c>
      <c r="U2360" s="12" t="str">
        <f t="shared" si="176"/>
        <v>-</v>
      </c>
      <c r="V2360" s="12" t="str" cm="1">
        <f t="array" ref="V2360">_xlfn.IFS(
ISNUMBER(SEARCH("USA",S2360)),"United States",
ISNUMBER(SEARCH("Republic of Ireland",S2360)),"Ireland",
ISNUMBER(SEARCH("Republic of Korea",S2360)),"South Korea",
ISNUMBER(SEARCH("Cape Verde",S2360)),"Cabo Verde",
ISNUMBER(SEARCH("Czechia",S2360)),"Czech Republic",
ISNUMBER(SEARCH("Türkiye",S2360)),"Turkey",
ISNUMBER(SEARCH("Ivory Coast",S2360)),"Côte d'Ivoire",
ISNUMBER(SEARCH("Korea Republic",S2360)),"South Korea",
ISNUMBER(SEARCH("Germany FR",S2360)),"FR Germany",
ISNUMBER(SEARCH("West Germany",S2360)),"FR Germany",
ISNUMBER(SEARCH("Germany DR",S2360)),"DR Germany",
ISNUMBER(SEARCH("Korea DPR",S2360)),"North Korea",
ISNUMBER(SEARCH("China PR",S2360)),"China",
ISNUMBER(SEARCH("IR Iran",S2360)),"Iran",
ISNUMBER(SEARCH("Congo DR",S2360)),"Democratic Republic of the Congo",
ISNUMBER(SEARCH("DR Congo",S2360)),"Democratic Republic of the Congo",
ISNUMBER(SEARCH("German DR",S2360)),"DR Germany",
ISNUMBER(SEARCH("rn""&gt;United Arab Emirates",S2360)),"United Arab Emirates",
ISNUMBER(SEARCH("rn""&gt;Republic of Ireland",S2360)),"Ireland",
ISNUMBER(SEARCH("rn""&gt;Bosnia and Herzegovina",S2360)),"Bosnia and Herzegovina",
ISNUMBER(SEARCH("rn""&gt;Trinidad and Tobago",S2360)),"Trinidad and Tobago",
ISNUMBER(SEARCH("rn""&gt;Serbia and Montenegro",S2360)),"Serbia and Montenegro",
ISNUMBER(SEARCH(_xlfn.UNICHAR(65533),S2360)),"Côte d'Ivoire",
TRUE,""
)</f>
        <v/>
      </c>
      <c r="W2360" s="12" t="str">
        <f t="shared" si="177"/>
        <v>Panama</v>
      </c>
    </row>
    <row r="2361" spans="2:23">
      <c r="B2361" s="76" t="str">
        <v>2006.0</v>
      </c>
      <c r="C2361" s="42" t="str">
        <v xml:space="preserve">18 Jun 2006 - 21:00 </v>
      </c>
      <c r="D2361" s="42" t="str">
        <v>Group G</v>
      </c>
      <c r="E2361" s="42" t="str">
        <v>Zentralstadion</v>
      </c>
      <c r="F2361" s="42" t="str">
        <v xml:space="preserve">Leipzig </v>
      </c>
      <c r="G2361" s="42" t="str">
        <v>France</v>
      </c>
      <c r="H2361" s="42" t="str">
        <v>1.0</v>
      </c>
      <c r="I2361" s="42" t="str">
        <v>1.0</v>
      </c>
      <c r="J2361" s="42" t="str">
        <v>Korea Republic</v>
      </c>
      <c r="K2361" s="42" t="str">
        <v xml:space="preserve"> </v>
      </c>
      <c r="L2361" s="42" t="str">
        <f t="shared" si="174"/>
        <v xml:space="preserve">2006.0|18 Jun 2006 - 21:00 |Group G|Zentralstadion|Leipzig |France|1.0|1.0|Korea Republic| </v>
      </c>
      <c r="M2361" s="42" t="str">
        <f>IF(COUNTIF($L$1689:L2361,L2361)&gt;1,"DOUBLON","OK")</f>
        <v>OK</v>
      </c>
      <c r="S2361" s="12" t="str">
        <v>Panama</v>
      </c>
      <c r="T2361" s="12" t="str">
        <f t="shared" si="175"/>
        <v>OK</v>
      </c>
      <c r="U2361" s="12" t="str">
        <f t="shared" si="176"/>
        <v>-</v>
      </c>
      <c r="V2361" s="12" t="str" cm="1">
        <f t="array" ref="V2361">_xlfn.IFS(
ISNUMBER(SEARCH("USA",S2361)),"United States",
ISNUMBER(SEARCH("Republic of Ireland",S2361)),"Ireland",
ISNUMBER(SEARCH("Republic of Korea",S2361)),"South Korea",
ISNUMBER(SEARCH("Cape Verde",S2361)),"Cabo Verde",
ISNUMBER(SEARCH("Czechia",S2361)),"Czech Republic",
ISNUMBER(SEARCH("Türkiye",S2361)),"Turkey",
ISNUMBER(SEARCH("Ivory Coast",S2361)),"Côte d'Ivoire",
ISNUMBER(SEARCH("Korea Republic",S2361)),"South Korea",
ISNUMBER(SEARCH("Germany FR",S2361)),"FR Germany",
ISNUMBER(SEARCH("West Germany",S2361)),"FR Germany",
ISNUMBER(SEARCH("Germany DR",S2361)),"DR Germany",
ISNUMBER(SEARCH("Korea DPR",S2361)),"North Korea",
ISNUMBER(SEARCH("China PR",S2361)),"China",
ISNUMBER(SEARCH("IR Iran",S2361)),"Iran",
ISNUMBER(SEARCH("Congo DR",S2361)),"Democratic Republic of the Congo",
ISNUMBER(SEARCH("DR Congo",S2361)),"Democratic Republic of the Congo",
ISNUMBER(SEARCH("German DR",S2361)),"DR Germany",
ISNUMBER(SEARCH("rn""&gt;United Arab Emirates",S2361)),"United Arab Emirates",
ISNUMBER(SEARCH("rn""&gt;Republic of Ireland",S2361)),"Ireland",
ISNUMBER(SEARCH("rn""&gt;Bosnia and Herzegovina",S2361)),"Bosnia and Herzegovina",
ISNUMBER(SEARCH("rn""&gt;Trinidad and Tobago",S2361)),"Trinidad and Tobago",
ISNUMBER(SEARCH("rn""&gt;Serbia and Montenegro",S2361)),"Serbia and Montenegro",
ISNUMBER(SEARCH(_xlfn.UNICHAR(65533),S2361)),"Côte d'Ivoire",
TRUE,""
)</f>
        <v/>
      </c>
      <c r="W2361" s="12" t="str">
        <f t="shared" si="177"/>
        <v>Panama</v>
      </c>
    </row>
    <row r="2362" spans="2:23">
      <c r="B2362" s="76" t="str">
        <v>2006.0</v>
      </c>
      <c r="C2362" s="42" t="str">
        <v xml:space="preserve">19 Jun 2006 - 15:00 </v>
      </c>
      <c r="D2362" s="42" t="str">
        <v>Group G</v>
      </c>
      <c r="E2362" s="42" t="str">
        <v>FIFA World Cup Stadium, Dortmund</v>
      </c>
      <c r="F2362" s="42" t="str">
        <v xml:space="preserve">Dortmund </v>
      </c>
      <c r="G2362" s="42" t="str">
        <v>Togo</v>
      </c>
      <c r="H2362" s="42" t="str">
        <v>0.0</v>
      </c>
      <c r="I2362" s="42" t="str">
        <v>2.0</v>
      </c>
      <c r="J2362" s="42" t="str">
        <v>Switzerland</v>
      </c>
      <c r="K2362" s="42" t="str">
        <v xml:space="preserve"> </v>
      </c>
      <c r="L2362" s="42" t="str">
        <f t="shared" si="174"/>
        <v xml:space="preserve">2006.0|19 Jun 2006 - 15:00 |Group G|FIFA World Cup Stadium, Dortmund|Dortmund |Togo|0.0|2.0|Switzerland| </v>
      </c>
      <c r="M2362" s="42" t="str">
        <f>IF(COUNTIF($L$1689:L2362,L2362)&gt;1,"DOUBLON","OK")</f>
        <v>OK</v>
      </c>
      <c r="S2362" s="12" t="str">
        <v>Panama</v>
      </c>
      <c r="T2362" s="12" t="str">
        <f t="shared" si="175"/>
        <v>OK</v>
      </c>
      <c r="U2362" s="12" t="str">
        <f t="shared" si="176"/>
        <v>-</v>
      </c>
      <c r="V2362" s="12" t="str" cm="1">
        <f t="array" ref="V2362">_xlfn.IFS(
ISNUMBER(SEARCH("USA",S2362)),"United States",
ISNUMBER(SEARCH("Republic of Ireland",S2362)),"Ireland",
ISNUMBER(SEARCH("Republic of Korea",S2362)),"South Korea",
ISNUMBER(SEARCH("Cape Verde",S2362)),"Cabo Verde",
ISNUMBER(SEARCH("Czechia",S2362)),"Czech Republic",
ISNUMBER(SEARCH("Türkiye",S2362)),"Turkey",
ISNUMBER(SEARCH("Ivory Coast",S2362)),"Côte d'Ivoire",
ISNUMBER(SEARCH("Korea Republic",S2362)),"South Korea",
ISNUMBER(SEARCH("Germany FR",S2362)),"FR Germany",
ISNUMBER(SEARCH("West Germany",S2362)),"FR Germany",
ISNUMBER(SEARCH("Germany DR",S2362)),"DR Germany",
ISNUMBER(SEARCH("Korea DPR",S2362)),"North Korea",
ISNUMBER(SEARCH("China PR",S2362)),"China",
ISNUMBER(SEARCH("IR Iran",S2362)),"Iran",
ISNUMBER(SEARCH("Congo DR",S2362)),"Democratic Republic of the Congo",
ISNUMBER(SEARCH("DR Congo",S2362)),"Democratic Republic of the Congo",
ISNUMBER(SEARCH("German DR",S2362)),"DR Germany",
ISNUMBER(SEARCH("rn""&gt;United Arab Emirates",S2362)),"United Arab Emirates",
ISNUMBER(SEARCH("rn""&gt;Republic of Ireland",S2362)),"Ireland",
ISNUMBER(SEARCH("rn""&gt;Bosnia and Herzegovina",S2362)),"Bosnia and Herzegovina",
ISNUMBER(SEARCH("rn""&gt;Trinidad and Tobago",S2362)),"Trinidad and Tobago",
ISNUMBER(SEARCH("rn""&gt;Serbia and Montenegro",S2362)),"Serbia and Montenegro",
ISNUMBER(SEARCH(_xlfn.UNICHAR(65533),S2362)),"Côte d'Ivoire",
TRUE,""
)</f>
        <v/>
      </c>
      <c r="W2362" s="12" t="str">
        <f t="shared" si="177"/>
        <v>Panama</v>
      </c>
    </row>
    <row r="2363" spans="2:23">
      <c r="B2363" s="76" t="str">
        <v>2006.0</v>
      </c>
      <c r="C2363" s="42" t="str">
        <v xml:space="preserve">19 Jun 2006 - 18:00 </v>
      </c>
      <c r="D2363" s="42" t="str">
        <v>Group H</v>
      </c>
      <c r="E2363" s="42" t="str">
        <v>FIFA World Cup Stadium, Hamburg</v>
      </c>
      <c r="F2363" s="42" t="str">
        <v xml:space="preserve">Hamburg </v>
      </c>
      <c r="G2363" s="42" t="str">
        <v>Saudi Arabia</v>
      </c>
      <c r="H2363" s="42" t="str">
        <v>0.0</v>
      </c>
      <c r="I2363" s="42" t="str">
        <v>4.0</v>
      </c>
      <c r="J2363" s="42" t="str">
        <v>Ukraine</v>
      </c>
      <c r="K2363" s="42" t="str">
        <v xml:space="preserve"> </v>
      </c>
      <c r="L2363" s="42" t="str">
        <f t="shared" si="174"/>
        <v xml:space="preserve">2006.0|19 Jun 2006 - 18:00 |Group H|FIFA World Cup Stadium, Hamburg|Hamburg |Saudi Arabia|0.0|4.0|Ukraine| </v>
      </c>
      <c r="M2363" s="42" t="str">
        <f>IF(COUNTIF($L$1689:L2363,L2363)&gt;1,"DOUBLON","OK")</f>
        <v>OK</v>
      </c>
      <c r="S2363" s="12" t="str">
        <v>Panama</v>
      </c>
      <c r="T2363" s="12" t="str">
        <f t="shared" si="175"/>
        <v>OK</v>
      </c>
      <c r="U2363" s="12" t="str">
        <f t="shared" si="176"/>
        <v>-</v>
      </c>
      <c r="V2363" s="12" t="str" cm="1">
        <f t="array" ref="V2363">_xlfn.IFS(
ISNUMBER(SEARCH("USA",S2363)),"United States",
ISNUMBER(SEARCH("Republic of Ireland",S2363)),"Ireland",
ISNUMBER(SEARCH("Republic of Korea",S2363)),"South Korea",
ISNUMBER(SEARCH("Cape Verde",S2363)),"Cabo Verde",
ISNUMBER(SEARCH("Czechia",S2363)),"Czech Republic",
ISNUMBER(SEARCH("Türkiye",S2363)),"Turkey",
ISNUMBER(SEARCH("Ivory Coast",S2363)),"Côte d'Ivoire",
ISNUMBER(SEARCH("Korea Republic",S2363)),"South Korea",
ISNUMBER(SEARCH("Germany FR",S2363)),"FR Germany",
ISNUMBER(SEARCH("West Germany",S2363)),"FR Germany",
ISNUMBER(SEARCH("Germany DR",S2363)),"DR Germany",
ISNUMBER(SEARCH("Korea DPR",S2363)),"North Korea",
ISNUMBER(SEARCH("China PR",S2363)),"China",
ISNUMBER(SEARCH("IR Iran",S2363)),"Iran",
ISNUMBER(SEARCH("Congo DR",S2363)),"Democratic Republic of the Congo",
ISNUMBER(SEARCH("DR Congo",S2363)),"Democratic Republic of the Congo",
ISNUMBER(SEARCH("German DR",S2363)),"DR Germany",
ISNUMBER(SEARCH("rn""&gt;United Arab Emirates",S2363)),"United Arab Emirates",
ISNUMBER(SEARCH("rn""&gt;Republic of Ireland",S2363)),"Ireland",
ISNUMBER(SEARCH("rn""&gt;Bosnia and Herzegovina",S2363)),"Bosnia and Herzegovina",
ISNUMBER(SEARCH("rn""&gt;Trinidad and Tobago",S2363)),"Trinidad and Tobago",
ISNUMBER(SEARCH("rn""&gt;Serbia and Montenegro",S2363)),"Serbia and Montenegro",
ISNUMBER(SEARCH(_xlfn.UNICHAR(65533),S2363)),"Côte d'Ivoire",
TRUE,""
)</f>
        <v/>
      </c>
      <c r="W2363" s="12" t="str">
        <f t="shared" si="177"/>
        <v>Panama</v>
      </c>
    </row>
    <row r="2364" spans="2:23">
      <c r="B2364" s="76" t="str">
        <v>2006.0</v>
      </c>
      <c r="C2364" s="42" t="str">
        <v xml:space="preserve">19 Jun 2006 - 21:00 </v>
      </c>
      <c r="D2364" s="42" t="str">
        <v>Group H</v>
      </c>
      <c r="E2364" s="42" t="str">
        <v>Gottlieb-Daimler-Stadion</v>
      </c>
      <c r="F2364" s="42" t="str">
        <v xml:space="preserve">Stuttgart </v>
      </c>
      <c r="G2364" s="42" t="str">
        <v>Spain</v>
      </c>
      <c r="H2364" s="42" t="str">
        <v>3.0</v>
      </c>
      <c r="I2364" s="42" t="str">
        <v>1.0</v>
      </c>
      <c r="J2364" s="42" t="str">
        <v>Tunisia</v>
      </c>
      <c r="K2364" s="42" t="str">
        <v xml:space="preserve"> </v>
      </c>
      <c r="L2364" s="42" t="str">
        <f t="shared" si="174"/>
        <v xml:space="preserve">2006.0|19 Jun 2006 - 21:00 |Group H|Gottlieb-Daimler-Stadion|Stuttgart |Spain|3.0|1.0|Tunisia| </v>
      </c>
      <c r="M2364" s="42" t="str">
        <f>IF(COUNTIF($L$1689:L2364,L2364)&gt;1,"DOUBLON","OK")</f>
        <v>OK</v>
      </c>
      <c r="S2364" s="12" t="str">
        <v>Panama</v>
      </c>
      <c r="T2364" s="12" t="str">
        <f t="shared" si="175"/>
        <v>OK</v>
      </c>
      <c r="U2364" s="12" t="str">
        <f t="shared" si="176"/>
        <v>-</v>
      </c>
      <c r="V2364" s="12" t="str" cm="1">
        <f t="array" ref="V2364">_xlfn.IFS(
ISNUMBER(SEARCH("USA",S2364)),"United States",
ISNUMBER(SEARCH("Republic of Ireland",S2364)),"Ireland",
ISNUMBER(SEARCH("Republic of Korea",S2364)),"South Korea",
ISNUMBER(SEARCH("Cape Verde",S2364)),"Cabo Verde",
ISNUMBER(SEARCH("Czechia",S2364)),"Czech Republic",
ISNUMBER(SEARCH("Türkiye",S2364)),"Turkey",
ISNUMBER(SEARCH("Ivory Coast",S2364)),"Côte d'Ivoire",
ISNUMBER(SEARCH("Korea Republic",S2364)),"South Korea",
ISNUMBER(SEARCH("Germany FR",S2364)),"FR Germany",
ISNUMBER(SEARCH("West Germany",S2364)),"FR Germany",
ISNUMBER(SEARCH("Germany DR",S2364)),"DR Germany",
ISNUMBER(SEARCH("Korea DPR",S2364)),"North Korea",
ISNUMBER(SEARCH("China PR",S2364)),"China",
ISNUMBER(SEARCH("IR Iran",S2364)),"Iran",
ISNUMBER(SEARCH("Congo DR",S2364)),"Democratic Republic of the Congo",
ISNUMBER(SEARCH("DR Congo",S2364)),"Democratic Republic of the Congo",
ISNUMBER(SEARCH("German DR",S2364)),"DR Germany",
ISNUMBER(SEARCH("rn""&gt;United Arab Emirates",S2364)),"United Arab Emirates",
ISNUMBER(SEARCH("rn""&gt;Republic of Ireland",S2364)),"Ireland",
ISNUMBER(SEARCH("rn""&gt;Bosnia and Herzegovina",S2364)),"Bosnia and Herzegovina",
ISNUMBER(SEARCH("rn""&gt;Trinidad and Tobago",S2364)),"Trinidad and Tobago",
ISNUMBER(SEARCH("rn""&gt;Serbia and Montenegro",S2364)),"Serbia and Montenegro",
ISNUMBER(SEARCH(_xlfn.UNICHAR(65533),S2364)),"Côte d'Ivoire",
TRUE,""
)</f>
        <v/>
      </c>
      <c r="W2364" s="12" t="str">
        <f t="shared" si="177"/>
        <v>Panama</v>
      </c>
    </row>
    <row r="2365" spans="2:23">
      <c r="B2365" s="76" t="str">
        <v>2006.0</v>
      </c>
      <c r="C2365" s="42" t="str">
        <v xml:space="preserve">20 Jun 2006 - 16:00 </v>
      </c>
      <c r="D2365" s="42" t="str">
        <v>Group A</v>
      </c>
      <c r="E2365" s="42" t="str">
        <v>Olympiastadion</v>
      </c>
      <c r="F2365" s="42" t="str">
        <v xml:space="preserve">Berlin </v>
      </c>
      <c r="G2365" s="42" t="str">
        <v>Ecuador</v>
      </c>
      <c r="H2365" s="42" t="str">
        <v>0.0</v>
      </c>
      <c r="I2365" s="42" t="str">
        <v>3.0</v>
      </c>
      <c r="J2365" s="42" t="str">
        <v>Germany</v>
      </c>
      <c r="K2365" s="42" t="str">
        <v xml:space="preserve"> </v>
      </c>
      <c r="L2365" s="42" t="str">
        <f t="shared" si="174"/>
        <v xml:space="preserve">2006.0|20 Jun 2006 - 16:00 |Group A|Olympiastadion|Berlin |Ecuador|0.0|3.0|Germany| </v>
      </c>
      <c r="M2365" s="42" t="str">
        <f>IF(COUNTIF($L$1689:L2365,L2365)&gt;1,"DOUBLON","OK")</f>
        <v>OK</v>
      </c>
      <c r="S2365" s="12" t="str">
        <v>Panama</v>
      </c>
      <c r="T2365" s="12" t="str">
        <f t="shared" si="175"/>
        <v>OK</v>
      </c>
      <c r="U2365" s="12" t="str">
        <f t="shared" si="176"/>
        <v>-</v>
      </c>
      <c r="V2365" s="12" t="str" cm="1">
        <f t="array" ref="V2365">_xlfn.IFS(
ISNUMBER(SEARCH("USA",S2365)),"United States",
ISNUMBER(SEARCH("Republic of Ireland",S2365)),"Ireland",
ISNUMBER(SEARCH("Republic of Korea",S2365)),"South Korea",
ISNUMBER(SEARCH("Cape Verde",S2365)),"Cabo Verde",
ISNUMBER(SEARCH("Czechia",S2365)),"Czech Republic",
ISNUMBER(SEARCH("Türkiye",S2365)),"Turkey",
ISNUMBER(SEARCH("Ivory Coast",S2365)),"Côte d'Ivoire",
ISNUMBER(SEARCH("Korea Republic",S2365)),"South Korea",
ISNUMBER(SEARCH("Germany FR",S2365)),"FR Germany",
ISNUMBER(SEARCH("West Germany",S2365)),"FR Germany",
ISNUMBER(SEARCH("Germany DR",S2365)),"DR Germany",
ISNUMBER(SEARCH("Korea DPR",S2365)),"North Korea",
ISNUMBER(SEARCH("China PR",S2365)),"China",
ISNUMBER(SEARCH("IR Iran",S2365)),"Iran",
ISNUMBER(SEARCH("Congo DR",S2365)),"Democratic Republic of the Congo",
ISNUMBER(SEARCH("DR Congo",S2365)),"Democratic Republic of the Congo",
ISNUMBER(SEARCH("German DR",S2365)),"DR Germany",
ISNUMBER(SEARCH("rn""&gt;United Arab Emirates",S2365)),"United Arab Emirates",
ISNUMBER(SEARCH("rn""&gt;Republic of Ireland",S2365)),"Ireland",
ISNUMBER(SEARCH("rn""&gt;Bosnia and Herzegovina",S2365)),"Bosnia and Herzegovina",
ISNUMBER(SEARCH("rn""&gt;Trinidad and Tobago",S2365)),"Trinidad and Tobago",
ISNUMBER(SEARCH("rn""&gt;Serbia and Montenegro",S2365)),"Serbia and Montenegro",
ISNUMBER(SEARCH(_xlfn.UNICHAR(65533),S2365)),"Côte d'Ivoire",
TRUE,""
)</f>
        <v/>
      </c>
      <c r="W2365" s="12" t="str">
        <f t="shared" si="177"/>
        <v>Panama</v>
      </c>
    </row>
    <row r="2366" spans="2:23">
      <c r="B2366" s="76" t="str">
        <v>2006.0</v>
      </c>
      <c r="C2366" s="42" t="str">
        <v xml:space="preserve">20 Jun 2006 - 16:00 </v>
      </c>
      <c r="D2366" s="42" t="str">
        <v>Group A</v>
      </c>
      <c r="E2366" s="42" t="str">
        <v>FIFA World Cup Stadium, Hanover</v>
      </c>
      <c r="F2366" s="42" t="str">
        <v xml:space="preserve">Hanover </v>
      </c>
      <c r="G2366" s="42" t="str">
        <v>Costa Rica</v>
      </c>
      <c r="H2366" s="42" t="str">
        <v>1.0</v>
      </c>
      <c r="I2366" s="42" t="str">
        <v>2.0</v>
      </c>
      <c r="J2366" s="42" t="str">
        <v>Poland</v>
      </c>
      <c r="K2366" s="42" t="str">
        <v xml:space="preserve"> </v>
      </c>
      <c r="L2366" s="42" t="str">
        <f t="shared" si="174"/>
        <v xml:space="preserve">2006.0|20 Jun 2006 - 16:00 |Group A|FIFA World Cup Stadium, Hanover|Hanover |Costa Rica|1.0|2.0|Poland| </v>
      </c>
      <c r="M2366" s="42" t="str">
        <f>IF(COUNTIF($L$1689:L2366,L2366)&gt;1,"DOUBLON","OK")</f>
        <v>OK</v>
      </c>
      <c r="S2366" s="12" t="str">
        <v>Panama</v>
      </c>
      <c r="T2366" s="12" t="str">
        <f t="shared" si="175"/>
        <v>OK</v>
      </c>
      <c r="U2366" s="12" t="str">
        <f t="shared" si="176"/>
        <v>-</v>
      </c>
      <c r="V2366" s="12" t="str" cm="1">
        <f t="array" ref="V2366">_xlfn.IFS(
ISNUMBER(SEARCH("USA",S2366)),"United States",
ISNUMBER(SEARCH("Republic of Ireland",S2366)),"Ireland",
ISNUMBER(SEARCH("Republic of Korea",S2366)),"South Korea",
ISNUMBER(SEARCH("Cape Verde",S2366)),"Cabo Verde",
ISNUMBER(SEARCH("Czechia",S2366)),"Czech Republic",
ISNUMBER(SEARCH("Türkiye",S2366)),"Turkey",
ISNUMBER(SEARCH("Ivory Coast",S2366)),"Côte d'Ivoire",
ISNUMBER(SEARCH("Korea Republic",S2366)),"South Korea",
ISNUMBER(SEARCH("Germany FR",S2366)),"FR Germany",
ISNUMBER(SEARCH("West Germany",S2366)),"FR Germany",
ISNUMBER(SEARCH("Germany DR",S2366)),"DR Germany",
ISNUMBER(SEARCH("Korea DPR",S2366)),"North Korea",
ISNUMBER(SEARCH("China PR",S2366)),"China",
ISNUMBER(SEARCH("IR Iran",S2366)),"Iran",
ISNUMBER(SEARCH("Congo DR",S2366)),"Democratic Republic of the Congo",
ISNUMBER(SEARCH("DR Congo",S2366)),"Democratic Republic of the Congo",
ISNUMBER(SEARCH("German DR",S2366)),"DR Germany",
ISNUMBER(SEARCH("rn""&gt;United Arab Emirates",S2366)),"United Arab Emirates",
ISNUMBER(SEARCH("rn""&gt;Republic of Ireland",S2366)),"Ireland",
ISNUMBER(SEARCH("rn""&gt;Bosnia and Herzegovina",S2366)),"Bosnia and Herzegovina",
ISNUMBER(SEARCH("rn""&gt;Trinidad and Tobago",S2366)),"Trinidad and Tobago",
ISNUMBER(SEARCH("rn""&gt;Serbia and Montenegro",S2366)),"Serbia and Montenegro",
ISNUMBER(SEARCH(_xlfn.UNICHAR(65533),S2366)),"Côte d'Ivoire",
TRUE,""
)</f>
        <v/>
      </c>
      <c r="W2366" s="12" t="str">
        <f t="shared" si="177"/>
        <v>Panama</v>
      </c>
    </row>
    <row r="2367" spans="2:23">
      <c r="B2367" s="76" t="str">
        <v>2006.0</v>
      </c>
      <c r="C2367" s="42" t="str">
        <v xml:space="preserve">20 Jun 2006 - 21:00 </v>
      </c>
      <c r="D2367" s="42" t="str">
        <v>Group B</v>
      </c>
      <c r="E2367" s="42" t="str">
        <v>FIFA World Cup Stadium, Cologne</v>
      </c>
      <c r="F2367" s="42" t="str">
        <v xml:space="preserve">Cologne </v>
      </c>
      <c r="G2367" s="42" t="str">
        <v>Sweden</v>
      </c>
      <c r="H2367" s="42" t="str">
        <v>2.0</v>
      </c>
      <c r="I2367" s="42" t="str">
        <v>2.0</v>
      </c>
      <c r="J2367" s="42" t="str">
        <v>England</v>
      </c>
      <c r="K2367" s="42" t="str">
        <v xml:space="preserve"> </v>
      </c>
      <c r="L2367" s="42" t="str">
        <f t="shared" si="174"/>
        <v xml:space="preserve">2006.0|20 Jun 2006 - 21:00 |Group B|FIFA World Cup Stadium, Cologne|Cologne |Sweden|2.0|2.0|England| </v>
      </c>
      <c r="M2367" s="42" t="str">
        <f>IF(COUNTIF($L$1689:L2367,L2367)&gt;1,"DOUBLON","OK")</f>
        <v>OK</v>
      </c>
      <c r="S2367" s="12" t="str">
        <v>Panama</v>
      </c>
      <c r="T2367" s="12" t="str">
        <f t="shared" si="175"/>
        <v>OK</v>
      </c>
      <c r="U2367" s="12" t="str">
        <f t="shared" si="176"/>
        <v>-</v>
      </c>
      <c r="V2367" s="12" t="str" cm="1">
        <f t="array" ref="V2367">_xlfn.IFS(
ISNUMBER(SEARCH("USA",S2367)),"United States",
ISNUMBER(SEARCH("Republic of Ireland",S2367)),"Ireland",
ISNUMBER(SEARCH("Republic of Korea",S2367)),"South Korea",
ISNUMBER(SEARCH("Cape Verde",S2367)),"Cabo Verde",
ISNUMBER(SEARCH("Czechia",S2367)),"Czech Republic",
ISNUMBER(SEARCH("Türkiye",S2367)),"Turkey",
ISNUMBER(SEARCH("Ivory Coast",S2367)),"Côte d'Ivoire",
ISNUMBER(SEARCH("Korea Republic",S2367)),"South Korea",
ISNUMBER(SEARCH("Germany FR",S2367)),"FR Germany",
ISNUMBER(SEARCH("West Germany",S2367)),"FR Germany",
ISNUMBER(SEARCH("Germany DR",S2367)),"DR Germany",
ISNUMBER(SEARCH("Korea DPR",S2367)),"North Korea",
ISNUMBER(SEARCH("China PR",S2367)),"China",
ISNUMBER(SEARCH("IR Iran",S2367)),"Iran",
ISNUMBER(SEARCH("Congo DR",S2367)),"Democratic Republic of the Congo",
ISNUMBER(SEARCH("DR Congo",S2367)),"Democratic Republic of the Congo",
ISNUMBER(SEARCH("German DR",S2367)),"DR Germany",
ISNUMBER(SEARCH("rn""&gt;United Arab Emirates",S2367)),"United Arab Emirates",
ISNUMBER(SEARCH("rn""&gt;Republic of Ireland",S2367)),"Ireland",
ISNUMBER(SEARCH("rn""&gt;Bosnia and Herzegovina",S2367)),"Bosnia and Herzegovina",
ISNUMBER(SEARCH("rn""&gt;Trinidad and Tobago",S2367)),"Trinidad and Tobago",
ISNUMBER(SEARCH("rn""&gt;Serbia and Montenegro",S2367)),"Serbia and Montenegro",
ISNUMBER(SEARCH(_xlfn.UNICHAR(65533),S2367)),"Côte d'Ivoire",
TRUE,""
)</f>
        <v/>
      </c>
      <c r="W2367" s="12" t="str">
        <f t="shared" si="177"/>
        <v>Panama</v>
      </c>
    </row>
    <row r="2368" spans="2:23">
      <c r="B2368" s="76" t="str">
        <v>2006.0</v>
      </c>
      <c r="C2368" s="42" t="str">
        <v xml:space="preserve">20 Jun 2006 - 21:00 </v>
      </c>
      <c r="D2368" s="42" t="str">
        <v>Group B</v>
      </c>
      <c r="E2368" s="42" t="str">
        <v>Fritz-Walter-Stadion</v>
      </c>
      <c r="F2368" s="42" t="str">
        <v xml:space="preserve">Kaiserslautern </v>
      </c>
      <c r="G2368" s="42" t="str">
        <v>Paraguay</v>
      </c>
      <c r="H2368" s="42" t="str">
        <v>2.0</v>
      </c>
      <c r="I2368" s="42" t="str">
        <v>0.0</v>
      </c>
      <c r="J2368" s="42" t="str">
        <v>rn"&gt;Trinidad and Tobago</v>
      </c>
      <c r="K2368" s="42" t="str">
        <v xml:space="preserve"> </v>
      </c>
      <c r="L2368" s="42" t="str">
        <f t="shared" si="174"/>
        <v xml:space="preserve">2006.0|20 Jun 2006 - 21:00 |Group B|Fritz-Walter-Stadion|Kaiserslautern |Paraguay|2.0|0.0|rn"&gt;Trinidad and Tobago| </v>
      </c>
      <c r="M2368" s="42" t="str">
        <f>IF(COUNTIF($L$1689:L2368,L2368)&gt;1,"DOUBLON","OK")</f>
        <v>OK</v>
      </c>
      <c r="S2368" s="12" t="str">
        <v>Panama</v>
      </c>
      <c r="T2368" s="12" t="str">
        <f t="shared" si="175"/>
        <v>OK</v>
      </c>
      <c r="U2368" s="12" t="str">
        <f t="shared" si="176"/>
        <v>-</v>
      </c>
      <c r="V2368" s="12" t="str" cm="1">
        <f t="array" ref="V2368">_xlfn.IFS(
ISNUMBER(SEARCH("USA",S2368)),"United States",
ISNUMBER(SEARCH("Republic of Ireland",S2368)),"Ireland",
ISNUMBER(SEARCH("Republic of Korea",S2368)),"South Korea",
ISNUMBER(SEARCH("Cape Verde",S2368)),"Cabo Verde",
ISNUMBER(SEARCH("Czechia",S2368)),"Czech Republic",
ISNUMBER(SEARCH("Türkiye",S2368)),"Turkey",
ISNUMBER(SEARCH("Ivory Coast",S2368)),"Côte d'Ivoire",
ISNUMBER(SEARCH("Korea Republic",S2368)),"South Korea",
ISNUMBER(SEARCH("Germany FR",S2368)),"FR Germany",
ISNUMBER(SEARCH("West Germany",S2368)),"FR Germany",
ISNUMBER(SEARCH("Germany DR",S2368)),"DR Germany",
ISNUMBER(SEARCH("Korea DPR",S2368)),"North Korea",
ISNUMBER(SEARCH("China PR",S2368)),"China",
ISNUMBER(SEARCH("IR Iran",S2368)),"Iran",
ISNUMBER(SEARCH("Congo DR",S2368)),"Democratic Republic of the Congo",
ISNUMBER(SEARCH("DR Congo",S2368)),"Democratic Republic of the Congo",
ISNUMBER(SEARCH("German DR",S2368)),"DR Germany",
ISNUMBER(SEARCH("rn""&gt;United Arab Emirates",S2368)),"United Arab Emirates",
ISNUMBER(SEARCH("rn""&gt;Republic of Ireland",S2368)),"Ireland",
ISNUMBER(SEARCH("rn""&gt;Bosnia and Herzegovina",S2368)),"Bosnia and Herzegovina",
ISNUMBER(SEARCH("rn""&gt;Trinidad and Tobago",S2368)),"Trinidad and Tobago",
ISNUMBER(SEARCH("rn""&gt;Serbia and Montenegro",S2368)),"Serbia and Montenegro",
ISNUMBER(SEARCH(_xlfn.UNICHAR(65533),S2368)),"Côte d'Ivoire",
TRUE,""
)</f>
        <v/>
      </c>
      <c r="W2368" s="12" t="str">
        <f t="shared" si="177"/>
        <v>Panama</v>
      </c>
    </row>
    <row r="2369" spans="2:23">
      <c r="B2369" s="76" t="str">
        <v>2006.0</v>
      </c>
      <c r="C2369" s="42" t="str">
        <v xml:space="preserve">21 Jun 2006 - 16:00 </v>
      </c>
      <c r="D2369" s="42" t="str">
        <v>Group D</v>
      </c>
      <c r="E2369" s="42" t="str">
        <v>Zentralstadion</v>
      </c>
      <c r="F2369" s="42" t="str">
        <v xml:space="preserve">Leipzig </v>
      </c>
      <c r="G2369" s="42" t="str">
        <v>Iran</v>
      </c>
      <c r="H2369" s="42" t="str">
        <v>1.0</v>
      </c>
      <c r="I2369" s="42" t="str">
        <v>1.0</v>
      </c>
      <c r="J2369" s="42" t="str">
        <v>Angola</v>
      </c>
      <c r="K2369" s="42" t="str">
        <v xml:space="preserve"> </v>
      </c>
      <c r="L2369" s="42" t="str">
        <f t="shared" si="174"/>
        <v xml:space="preserve">2006.0|21 Jun 2006 - 16:00 |Group D|Zentralstadion|Leipzig |Iran|1.0|1.0|Angola| </v>
      </c>
      <c r="M2369" s="42" t="str">
        <f>IF(COUNTIF($L$1689:L2369,L2369)&gt;1,"DOUBLON","OK")</f>
        <v>OK</v>
      </c>
    </row>
    <row r="2370" spans="2:23" ht="18.75">
      <c r="B2370" s="76" t="str">
        <v>2006.0</v>
      </c>
      <c r="C2370" s="42" t="str">
        <v xml:space="preserve">21 Jun 2006 - 16:00 </v>
      </c>
      <c r="D2370" s="42" t="str">
        <v>Group D</v>
      </c>
      <c r="E2370" s="42" t="str">
        <v>FIFA World Cup Stadium, Gelsenkirchen</v>
      </c>
      <c r="F2370" s="42" t="str">
        <v xml:space="preserve">Gelsenkirchen </v>
      </c>
      <c r="G2370" s="42" t="str">
        <v>Portugal</v>
      </c>
      <c r="H2370" s="42" t="str">
        <v>2.0</v>
      </c>
      <c r="I2370" s="42" t="str">
        <v>1.0</v>
      </c>
      <c r="J2370" s="42" t="str">
        <v>Mexico</v>
      </c>
      <c r="K2370" s="42" t="str">
        <v xml:space="preserve"> </v>
      </c>
      <c r="L2370" s="42" t="str">
        <f t="shared" si="174"/>
        <v xml:space="preserve">2006.0|21 Jun 2006 - 16:00 |Group D|FIFA World Cup Stadium, Gelsenkirchen|Gelsenkirchen |Portugal|2.0|1.0|Mexico| </v>
      </c>
      <c r="M2370" s="42" t="str">
        <f>IF(COUNTIF($L$1689:L2370,L2370)&gt;1,"DOUBLON","OK")</f>
        <v>OK</v>
      </c>
      <c r="S2370" s="39" t="s">
        <v>3579</v>
      </c>
      <c r="T2370" s="39" t="s">
        <v>3558</v>
      </c>
      <c r="U2370" s="39" t="s">
        <v>3593</v>
      </c>
      <c r="V2370" s="39" t="s">
        <v>3764</v>
      </c>
      <c r="W2370" s="39" t="s">
        <v>3765</v>
      </c>
    </row>
    <row r="2371" spans="2:23">
      <c r="B2371" s="76" t="str">
        <v>2006.0</v>
      </c>
      <c r="C2371" s="42" t="str">
        <v xml:space="preserve">21 Jun 2006 - 21:00 </v>
      </c>
      <c r="D2371" s="42" t="str">
        <v>Group C</v>
      </c>
      <c r="E2371" s="42" t="str">
        <v>FIFA World Cup Stadium, Frankfurt</v>
      </c>
      <c r="F2371" s="42" t="str">
        <v xml:space="preserve">Frankfurt/Main </v>
      </c>
      <c r="G2371" s="42" t="str">
        <v>Netherlands</v>
      </c>
      <c r="H2371" s="42" t="str">
        <v>0.0</v>
      </c>
      <c r="I2371" s="42" t="str">
        <v>0.0</v>
      </c>
      <c r="J2371" s="42" t="str">
        <v>Argentina</v>
      </c>
      <c r="K2371" s="42" t="str">
        <v xml:space="preserve"> </v>
      </c>
      <c r="L2371" s="42" t="str">
        <f t="shared" si="174"/>
        <v xml:space="preserve">2006.0|21 Jun 2006 - 21:00 |Group C|FIFA World Cup Stadium, Frankfurt|Frankfurt/Main |Netherlands|0.0|0.0|Argentina| </v>
      </c>
      <c r="M2371" s="42" t="str">
        <f>IF(COUNTIF($L$1689:L2371,L2371)&gt;1,"DOUBLON","OK")</f>
        <v>OK</v>
      </c>
      <c r="S2371" s="40" t="str" cm="1">
        <f t="array" ref="S2371:S4486">_xlfn.VSTACK(_xlfn._xlws.FILTER(G1689:G2762,M1689:M2762="OK"),_xlfn._xlws.FILTER(J1689:J2762,M1689:M2762="OK"))</f>
        <v>France</v>
      </c>
      <c r="T2371" s="40" t="str">
        <f t="shared" ref="T2371:T2434" si="178">IF(COUNTIF(R$13:R$250,S2371)=1,"OK","ERREUR")</f>
        <v>OK</v>
      </c>
      <c r="U2371" s="40" t="str">
        <f>IF(OR(S2371="Scotland",S2371="England",S2371="Wales",S2371="Yugoslavia",S2371="Czechoslovakia",S2371="Northern Ireland",S2371="Soviet Union",S2371="Zaire",S2371="Dutch East Indies"),"AUCUNE",IF(OR(S2371="Cape Verde",S2371="USA",S2371="DR Congo",S2371="Republic of Korea",S2371="Germany FR",S2371="Germany DR",S2371="Czechia",S2371="Ivory Coast",S2371="Korea DPR",S2371="China PR",S2371="IR Iran",S2371="Türkiye",S2371="Congo DR",S2371="German DR",S2371="West Germany",S2371="Republic of Ireland",ISNUMBER(SEARCH(_xlfn.UNICHAR(65533),S2371)),S2371="Korea Republic",ISNUMBER(SEARCH("rn""&gt;United Arab Emirates",S2371)),ISNUMBER(SEARCH("rn""&gt;Republic of Ireland",S2371)),ISNUMBER(SEARCH("rn""&gt;Bosnia and Herzegovina",S2371)),ISNUMBER(SEARCH("rn""&gt;Trinidad and Tobago",S2371)),ISNUMBER(SEARCH("rn""&gt;Serbia and Montenegro",S2371)),ISNUMBER(SEARCH(_xlfn.UNICHAR(65533),S2371))),"RENOMMER","-"))</f>
        <v>-</v>
      </c>
      <c r="V2371" s="40" t="str" cm="1">
        <f t="array" ref="V2371">_xlfn.IFS(
ISNUMBER(SEARCH("USA",S2371)),"United States",
ISNUMBER(SEARCH("Republic of Ireland",S2371)),"Ireland",
ISNUMBER(SEARCH("Republic of Korea",S2371)),"South Korea",
ISNUMBER(SEARCH("Cape Verde",S2371)),"Cabo Verde",
ISNUMBER(SEARCH("Czechia",S2371)),"Czech Republic",
ISNUMBER(SEARCH("Türkiye",S2371)),"Turkey",
ISNUMBER(SEARCH("Ivory Coast",S2371)),"Côte d'Ivoire",
ISNUMBER(SEARCH("Korea Republic",S2371)),"South Korea",
ISNUMBER(SEARCH("Germany FR",S2371)),"FR Germany",
ISNUMBER(SEARCH("West Germany",S2371)),"FR Germany",
ISNUMBER(SEARCH("Germany DR",S2371)),"DR Germany",
ISNUMBER(SEARCH("Korea DPR",S2371)),"North Korea",
ISNUMBER(SEARCH("China PR",S2371)),"China",
ISNUMBER(SEARCH("IR Iran",S2371)),"Iran",
ISNUMBER(SEARCH("Congo DR",S2371)),"Democratic Republic of the Congo",
ISNUMBER(SEARCH("DR Congo",S2371)),"Democratic Republic of the Congo",
ISNUMBER(SEARCH("German DR",S2371)),"DR Germany",
ISNUMBER(SEARCH("rn""&gt;United Arab Emirates",S2371)),"United Arab Emirates",
ISNUMBER(SEARCH("rn""&gt;Republic of Ireland",S2371)),"Ireland",
ISNUMBER(SEARCH("rn""&gt;Bosnia and Herzegovina",S2371)),"Bosnia and Herzegovina",
ISNUMBER(SEARCH("rn""&gt;Trinidad and Tobago",S2371)),"Trinidad and Tobago",
ISNUMBER(SEARCH("rn""&gt;Serbia and Montenegro",S2371)),"Serbia and Montenegro",
ISNUMBER(SEARCH(_xlfn.UNICHAR(65533),S2371)),"Côte d'Ivoire",
TRUE,""
)</f>
        <v/>
      </c>
      <c r="W2371" s="40" t="str">
        <f>IF(V2371="",S2371,V2371)</f>
        <v>France</v>
      </c>
    </row>
    <row r="2372" spans="2:23">
      <c r="B2372" s="76" t="str">
        <v>2006.0</v>
      </c>
      <c r="C2372" s="42" t="str">
        <v xml:space="preserve">21 Jun 2006 - 21:00 </v>
      </c>
      <c r="D2372" s="42" t="str">
        <v>Group C</v>
      </c>
      <c r="E2372" s="42" t="str">
        <v>FIFA World Cup Stadium, Munich</v>
      </c>
      <c r="F2372" s="42" t="str">
        <v xml:space="preserve">Munich </v>
      </c>
      <c r="G2372" s="42" t="str">
        <v>C�te d'Ivoire</v>
      </c>
      <c r="H2372" s="42" t="str">
        <v>3.0</v>
      </c>
      <c r="I2372" s="42" t="str">
        <v>2.0</v>
      </c>
      <c r="J2372" s="42" t="str">
        <v>rn"&gt;Serbia and Montenegro</v>
      </c>
      <c r="K2372" s="42" t="str">
        <v xml:space="preserve"> </v>
      </c>
      <c r="L2372" s="42" t="str">
        <f t="shared" si="174"/>
        <v xml:space="preserve">2006.0|21 Jun 2006 - 21:00 |Group C|FIFA World Cup Stadium, Munich|Munich |C�te d'Ivoire|3.0|2.0|rn"&gt;Serbia and Montenegro| </v>
      </c>
      <c r="M2372" s="42" t="str">
        <f>IF(COUNTIF($L$1689:L2372,L2372)&gt;1,"DOUBLON","OK")</f>
        <v>OK</v>
      </c>
      <c r="S2372" s="40" t="str">
        <v>USA</v>
      </c>
      <c r="T2372" s="40" t="str">
        <f t="shared" si="178"/>
        <v>ERREUR</v>
      </c>
      <c r="U2372" s="40" t="str">
        <f t="shared" ref="U2372:U2435" si="179">IF(OR(S2372="Scotland",S2372="England",S2372="Wales",S2372="Yugoslavia",S2372="Czechoslovakia",S2372="Northern Ireland",S2372="Soviet Union",S2372="Zaire",S2372="Dutch East Indies"),"AUCUNE",IF(OR(S2372="Cape Verde",S2372="USA",S2372="DR Congo",S2372="Republic of Korea",S2372="Germany FR",S2372="Germany DR",S2372="Czechia",S2372="Ivory Coast",S2372="Korea DPR",S2372="China PR",S2372="IR Iran",S2372="Türkiye",S2372="Congo DR",S2372="German DR",S2372="West Germany",S2372="Republic of Ireland",ISNUMBER(SEARCH(_xlfn.UNICHAR(65533),S2372)),S2372="Korea Republic",ISNUMBER(SEARCH("rn""&gt;United Arab Emirates",S2372)),ISNUMBER(SEARCH("rn""&gt;Republic of Ireland",S2372)),ISNUMBER(SEARCH("rn""&gt;Bosnia and Herzegovina",S2372)),ISNUMBER(SEARCH("rn""&gt;Trinidad and Tobago",S2372)),ISNUMBER(SEARCH("rn""&gt;Serbia and Montenegro",S2372)),ISNUMBER(SEARCH(_xlfn.UNICHAR(65533),S2372))),"RENOMMER","-"))</f>
        <v>RENOMMER</v>
      </c>
      <c r="V2372" s="40" t="str" cm="1">
        <f t="array" ref="V2372">_xlfn.IFS(
ISNUMBER(SEARCH("USA",S2372)),"United States",
ISNUMBER(SEARCH("Republic of Ireland",S2372)),"Ireland",
ISNUMBER(SEARCH("Republic of Korea",S2372)),"South Korea",
ISNUMBER(SEARCH("Cape Verde",S2372)),"Cabo Verde",
ISNUMBER(SEARCH("Czechia",S2372)),"Czech Republic",
ISNUMBER(SEARCH("Türkiye",S2372)),"Turkey",
ISNUMBER(SEARCH("Ivory Coast",S2372)),"Côte d'Ivoire",
ISNUMBER(SEARCH("Korea Republic",S2372)),"South Korea",
ISNUMBER(SEARCH("Germany FR",S2372)),"FR Germany",
ISNUMBER(SEARCH("West Germany",S2372)),"FR Germany",
ISNUMBER(SEARCH("Germany DR",S2372)),"DR Germany",
ISNUMBER(SEARCH("Korea DPR",S2372)),"North Korea",
ISNUMBER(SEARCH("China PR",S2372)),"China",
ISNUMBER(SEARCH("IR Iran",S2372)),"Iran",
ISNUMBER(SEARCH("Congo DR",S2372)),"Democratic Republic of the Congo",
ISNUMBER(SEARCH("DR Congo",S2372)),"Democratic Republic of the Congo",
ISNUMBER(SEARCH("German DR",S2372)),"DR Germany",
ISNUMBER(SEARCH("rn""&gt;United Arab Emirates",S2372)),"United Arab Emirates",
ISNUMBER(SEARCH("rn""&gt;Republic of Ireland",S2372)),"Ireland",
ISNUMBER(SEARCH("rn""&gt;Bosnia and Herzegovina",S2372)),"Bosnia and Herzegovina",
ISNUMBER(SEARCH("rn""&gt;Trinidad and Tobago",S2372)),"Trinidad and Tobago",
ISNUMBER(SEARCH("rn""&gt;Serbia and Montenegro",S2372)),"Serbia and Montenegro",
ISNUMBER(SEARCH(_xlfn.UNICHAR(65533),S2372)),"Côte d'Ivoire",
TRUE,""
)</f>
        <v>United States</v>
      </c>
      <c r="W2372" s="40" t="str">
        <f t="shared" ref="W2372:W2435" si="180">IF(V2372="",S2372,V2372)</f>
        <v>United States</v>
      </c>
    </row>
    <row r="2373" spans="2:23">
      <c r="B2373" s="76" t="str">
        <v>2006.0</v>
      </c>
      <c r="C2373" s="42" t="str">
        <v xml:space="preserve">22 Jun 2006 - 16:00 </v>
      </c>
      <c r="D2373" s="42" t="str">
        <v>Group E</v>
      </c>
      <c r="E2373" s="42" t="str">
        <v>FIFA World Cup Stadium, Hamburg</v>
      </c>
      <c r="F2373" s="42" t="str">
        <v xml:space="preserve">Hamburg </v>
      </c>
      <c r="G2373" s="42" t="str">
        <v>Czech Republic</v>
      </c>
      <c r="H2373" s="42" t="str">
        <v>0.0</v>
      </c>
      <c r="I2373" s="42" t="str">
        <v>2.0</v>
      </c>
      <c r="J2373" s="42" t="str">
        <v>Italy</v>
      </c>
      <c r="K2373" s="42" t="str">
        <v xml:space="preserve"> </v>
      </c>
      <c r="L2373" s="42" t="str">
        <f t="shared" si="174"/>
        <v xml:space="preserve">2006.0|22 Jun 2006 - 16:00 |Group E|FIFA World Cup Stadium, Hamburg|Hamburg |Czech Republic|0.0|2.0|Italy| </v>
      </c>
      <c r="M2373" s="42" t="str">
        <f>IF(COUNTIF($L$1689:L2373,L2373)&gt;1,"DOUBLON","OK")</f>
        <v>OK</v>
      </c>
      <c r="S2373" s="40" t="str">
        <v>Yugoslavia</v>
      </c>
      <c r="T2373" s="40" t="str">
        <f t="shared" si="178"/>
        <v>ERREUR</v>
      </c>
      <c r="U2373" s="40" t="str">
        <f t="shared" si="179"/>
        <v>AUCUNE</v>
      </c>
      <c r="V2373" s="40" t="str" cm="1">
        <f t="array" ref="V2373">_xlfn.IFS(
ISNUMBER(SEARCH("USA",S2373)),"United States",
ISNUMBER(SEARCH("Republic of Ireland",S2373)),"Ireland",
ISNUMBER(SEARCH("Republic of Korea",S2373)),"South Korea",
ISNUMBER(SEARCH("Cape Verde",S2373)),"Cabo Verde",
ISNUMBER(SEARCH("Czechia",S2373)),"Czech Republic",
ISNUMBER(SEARCH("Türkiye",S2373)),"Turkey",
ISNUMBER(SEARCH("Ivory Coast",S2373)),"Côte d'Ivoire",
ISNUMBER(SEARCH("Korea Republic",S2373)),"South Korea",
ISNUMBER(SEARCH("Germany FR",S2373)),"FR Germany",
ISNUMBER(SEARCH("West Germany",S2373)),"FR Germany",
ISNUMBER(SEARCH("Germany DR",S2373)),"DR Germany",
ISNUMBER(SEARCH("Korea DPR",S2373)),"North Korea",
ISNUMBER(SEARCH("China PR",S2373)),"China",
ISNUMBER(SEARCH("IR Iran",S2373)),"Iran",
ISNUMBER(SEARCH("Congo DR",S2373)),"Democratic Republic of the Congo",
ISNUMBER(SEARCH("DR Congo",S2373)),"Democratic Republic of the Congo",
ISNUMBER(SEARCH("German DR",S2373)),"DR Germany",
ISNUMBER(SEARCH("rn""&gt;United Arab Emirates",S2373)),"United Arab Emirates",
ISNUMBER(SEARCH("rn""&gt;Republic of Ireland",S2373)),"Ireland",
ISNUMBER(SEARCH("rn""&gt;Bosnia and Herzegovina",S2373)),"Bosnia and Herzegovina",
ISNUMBER(SEARCH("rn""&gt;Trinidad and Tobago",S2373)),"Trinidad and Tobago",
ISNUMBER(SEARCH("rn""&gt;Serbia and Montenegro",S2373)),"Serbia and Montenegro",
ISNUMBER(SEARCH(_xlfn.UNICHAR(65533),S2373)),"Côte d'Ivoire",
TRUE,""
)</f>
        <v/>
      </c>
      <c r="W2373" s="40" t="str">
        <f t="shared" si="180"/>
        <v>Yugoslavia</v>
      </c>
    </row>
    <row r="2374" spans="2:23">
      <c r="B2374" s="76" t="str">
        <v>2006.0</v>
      </c>
      <c r="C2374" s="42" t="str">
        <v xml:space="preserve">22 Jun 2006 - 16:00 </v>
      </c>
      <c r="D2374" s="42" t="str">
        <v>Group E</v>
      </c>
      <c r="E2374" s="42" t="str">
        <v>Franken-Stadion</v>
      </c>
      <c r="F2374" s="42" t="str">
        <v xml:space="preserve">Nuremberg </v>
      </c>
      <c r="G2374" s="42" t="str">
        <v>Ghana</v>
      </c>
      <c r="H2374" s="42" t="str">
        <v>2.0</v>
      </c>
      <c r="I2374" s="42" t="str">
        <v>1.0</v>
      </c>
      <c r="J2374" s="42" t="str">
        <v>USA</v>
      </c>
      <c r="K2374" s="42" t="str">
        <v xml:space="preserve"> </v>
      </c>
      <c r="L2374" s="42" t="str">
        <f t="shared" si="174"/>
        <v xml:space="preserve">2006.0|22 Jun 2006 - 16:00 |Group E|Franken-Stadion|Nuremberg |Ghana|2.0|1.0|USA| </v>
      </c>
      <c r="M2374" s="42" t="str">
        <f>IF(COUNTIF($L$1689:L2374,L2374)&gt;1,"DOUBLON","OK")</f>
        <v>OK</v>
      </c>
      <c r="S2374" s="40" t="str">
        <v>Romania</v>
      </c>
      <c r="T2374" s="40" t="str">
        <f t="shared" si="178"/>
        <v>OK</v>
      </c>
      <c r="U2374" s="40" t="str">
        <f t="shared" si="179"/>
        <v>-</v>
      </c>
      <c r="V2374" s="40" t="str" cm="1">
        <f t="array" ref="V2374">_xlfn.IFS(
ISNUMBER(SEARCH("USA",S2374)),"United States",
ISNUMBER(SEARCH("Republic of Ireland",S2374)),"Ireland",
ISNUMBER(SEARCH("Republic of Korea",S2374)),"South Korea",
ISNUMBER(SEARCH("Cape Verde",S2374)),"Cabo Verde",
ISNUMBER(SEARCH("Czechia",S2374)),"Czech Republic",
ISNUMBER(SEARCH("Türkiye",S2374)),"Turkey",
ISNUMBER(SEARCH("Ivory Coast",S2374)),"Côte d'Ivoire",
ISNUMBER(SEARCH("Korea Republic",S2374)),"South Korea",
ISNUMBER(SEARCH("Germany FR",S2374)),"FR Germany",
ISNUMBER(SEARCH("West Germany",S2374)),"FR Germany",
ISNUMBER(SEARCH("Germany DR",S2374)),"DR Germany",
ISNUMBER(SEARCH("Korea DPR",S2374)),"North Korea",
ISNUMBER(SEARCH("China PR",S2374)),"China",
ISNUMBER(SEARCH("IR Iran",S2374)),"Iran",
ISNUMBER(SEARCH("Congo DR",S2374)),"Democratic Republic of the Congo",
ISNUMBER(SEARCH("DR Congo",S2374)),"Democratic Republic of the Congo",
ISNUMBER(SEARCH("German DR",S2374)),"DR Germany",
ISNUMBER(SEARCH("rn""&gt;United Arab Emirates",S2374)),"United Arab Emirates",
ISNUMBER(SEARCH("rn""&gt;Republic of Ireland",S2374)),"Ireland",
ISNUMBER(SEARCH("rn""&gt;Bosnia and Herzegovina",S2374)),"Bosnia and Herzegovina",
ISNUMBER(SEARCH("rn""&gt;Trinidad and Tobago",S2374)),"Trinidad and Tobago",
ISNUMBER(SEARCH("rn""&gt;Serbia and Montenegro",S2374)),"Serbia and Montenegro",
ISNUMBER(SEARCH(_xlfn.UNICHAR(65533),S2374)),"Côte d'Ivoire",
TRUE,""
)</f>
        <v/>
      </c>
      <c r="W2374" s="40" t="str">
        <f t="shared" si="180"/>
        <v>Romania</v>
      </c>
    </row>
    <row r="2375" spans="2:23">
      <c r="B2375" s="76" t="str">
        <v>2006.0</v>
      </c>
      <c r="C2375" s="42" t="str">
        <v xml:space="preserve">22 Jun 2006 - 21:00 </v>
      </c>
      <c r="D2375" s="42" t="str">
        <v>Group F</v>
      </c>
      <c r="E2375" s="42" t="str">
        <v>FIFA World Cup Stadium, Dortmund</v>
      </c>
      <c r="F2375" s="42" t="str">
        <v xml:space="preserve">Dortmund </v>
      </c>
      <c r="G2375" s="42" t="str">
        <v>Japan</v>
      </c>
      <c r="H2375" s="42" t="str">
        <v>1.0</v>
      </c>
      <c r="I2375" s="42" t="str">
        <v>4.0</v>
      </c>
      <c r="J2375" s="42" t="str">
        <v>Brazil</v>
      </c>
      <c r="K2375" s="42" t="str">
        <v xml:space="preserve"> </v>
      </c>
      <c r="L2375" s="42" t="str">
        <f t="shared" si="174"/>
        <v xml:space="preserve">2006.0|22 Jun 2006 - 21:00 |Group F|FIFA World Cup Stadium, Dortmund|Dortmund |Japan|1.0|4.0|Brazil| </v>
      </c>
      <c r="M2375" s="42" t="str">
        <f>IF(COUNTIF($L$1689:L2375,L2375)&gt;1,"DOUBLON","OK")</f>
        <v>OK</v>
      </c>
      <c r="S2375" s="40" t="str">
        <v>Argentina</v>
      </c>
      <c r="T2375" s="40" t="str">
        <f t="shared" si="178"/>
        <v>OK</v>
      </c>
      <c r="U2375" s="40" t="str">
        <f t="shared" si="179"/>
        <v>-</v>
      </c>
      <c r="V2375" s="40" t="str" cm="1">
        <f t="array" ref="V2375">_xlfn.IFS(
ISNUMBER(SEARCH("USA",S2375)),"United States",
ISNUMBER(SEARCH("Republic of Ireland",S2375)),"Ireland",
ISNUMBER(SEARCH("Republic of Korea",S2375)),"South Korea",
ISNUMBER(SEARCH("Cape Verde",S2375)),"Cabo Verde",
ISNUMBER(SEARCH("Czechia",S2375)),"Czech Republic",
ISNUMBER(SEARCH("Türkiye",S2375)),"Turkey",
ISNUMBER(SEARCH("Ivory Coast",S2375)),"Côte d'Ivoire",
ISNUMBER(SEARCH("Korea Republic",S2375)),"South Korea",
ISNUMBER(SEARCH("Germany FR",S2375)),"FR Germany",
ISNUMBER(SEARCH("West Germany",S2375)),"FR Germany",
ISNUMBER(SEARCH("Germany DR",S2375)),"DR Germany",
ISNUMBER(SEARCH("Korea DPR",S2375)),"North Korea",
ISNUMBER(SEARCH("China PR",S2375)),"China",
ISNUMBER(SEARCH("IR Iran",S2375)),"Iran",
ISNUMBER(SEARCH("Congo DR",S2375)),"Democratic Republic of the Congo",
ISNUMBER(SEARCH("DR Congo",S2375)),"Democratic Republic of the Congo",
ISNUMBER(SEARCH("German DR",S2375)),"DR Germany",
ISNUMBER(SEARCH("rn""&gt;United Arab Emirates",S2375)),"United Arab Emirates",
ISNUMBER(SEARCH("rn""&gt;Republic of Ireland",S2375)),"Ireland",
ISNUMBER(SEARCH("rn""&gt;Bosnia and Herzegovina",S2375)),"Bosnia and Herzegovina",
ISNUMBER(SEARCH("rn""&gt;Trinidad and Tobago",S2375)),"Trinidad and Tobago",
ISNUMBER(SEARCH("rn""&gt;Serbia and Montenegro",S2375)),"Serbia and Montenegro",
ISNUMBER(SEARCH(_xlfn.UNICHAR(65533),S2375)),"Côte d'Ivoire",
TRUE,""
)</f>
        <v/>
      </c>
      <c r="W2375" s="40" t="str">
        <f t="shared" si="180"/>
        <v>Argentina</v>
      </c>
    </row>
    <row r="2376" spans="2:23">
      <c r="B2376" s="76" t="str">
        <v>2006.0</v>
      </c>
      <c r="C2376" s="42" t="str">
        <v xml:space="preserve">22 Jun 2006 - 21:00 </v>
      </c>
      <c r="D2376" s="42" t="str">
        <v>Group F</v>
      </c>
      <c r="E2376" s="42" t="str">
        <v>Gottlieb-Daimler-Stadion</v>
      </c>
      <c r="F2376" s="42" t="str">
        <v xml:space="preserve">Stuttgart </v>
      </c>
      <c r="G2376" s="42" t="str">
        <v>Croatia</v>
      </c>
      <c r="H2376" s="42" t="str">
        <v>2.0</v>
      </c>
      <c r="I2376" s="42" t="str">
        <v>2.0</v>
      </c>
      <c r="J2376" s="42" t="str">
        <v>Australia</v>
      </c>
      <c r="K2376" s="42" t="str">
        <v xml:space="preserve"> </v>
      </c>
      <c r="L2376" s="42" t="str">
        <f t="shared" si="174"/>
        <v xml:space="preserve">2006.0|22 Jun 2006 - 21:00 |Group F|Gottlieb-Daimler-Stadion|Stuttgart |Croatia|2.0|2.0|Australia| </v>
      </c>
      <c r="M2376" s="42" t="str">
        <f>IF(COUNTIF($L$1689:L2376,L2376)&gt;1,"DOUBLON","OK")</f>
        <v>OK</v>
      </c>
      <c r="S2376" s="40" t="str">
        <v>Chile</v>
      </c>
      <c r="T2376" s="40" t="str">
        <f t="shared" si="178"/>
        <v>OK</v>
      </c>
      <c r="U2376" s="40" t="str">
        <f t="shared" si="179"/>
        <v>-</v>
      </c>
      <c r="V2376" s="40" t="str" cm="1">
        <f t="array" ref="V2376">_xlfn.IFS(
ISNUMBER(SEARCH("USA",S2376)),"United States",
ISNUMBER(SEARCH("Republic of Ireland",S2376)),"Ireland",
ISNUMBER(SEARCH("Republic of Korea",S2376)),"South Korea",
ISNUMBER(SEARCH("Cape Verde",S2376)),"Cabo Verde",
ISNUMBER(SEARCH("Czechia",S2376)),"Czech Republic",
ISNUMBER(SEARCH("Türkiye",S2376)),"Turkey",
ISNUMBER(SEARCH("Ivory Coast",S2376)),"Côte d'Ivoire",
ISNUMBER(SEARCH("Korea Republic",S2376)),"South Korea",
ISNUMBER(SEARCH("Germany FR",S2376)),"FR Germany",
ISNUMBER(SEARCH("West Germany",S2376)),"FR Germany",
ISNUMBER(SEARCH("Germany DR",S2376)),"DR Germany",
ISNUMBER(SEARCH("Korea DPR",S2376)),"North Korea",
ISNUMBER(SEARCH("China PR",S2376)),"China",
ISNUMBER(SEARCH("IR Iran",S2376)),"Iran",
ISNUMBER(SEARCH("Congo DR",S2376)),"Democratic Republic of the Congo",
ISNUMBER(SEARCH("DR Congo",S2376)),"Democratic Republic of the Congo",
ISNUMBER(SEARCH("German DR",S2376)),"DR Germany",
ISNUMBER(SEARCH("rn""&gt;United Arab Emirates",S2376)),"United Arab Emirates",
ISNUMBER(SEARCH("rn""&gt;Republic of Ireland",S2376)),"Ireland",
ISNUMBER(SEARCH("rn""&gt;Bosnia and Herzegovina",S2376)),"Bosnia and Herzegovina",
ISNUMBER(SEARCH("rn""&gt;Trinidad and Tobago",S2376)),"Trinidad and Tobago",
ISNUMBER(SEARCH("rn""&gt;Serbia and Montenegro",S2376)),"Serbia and Montenegro",
ISNUMBER(SEARCH(_xlfn.UNICHAR(65533),S2376)),"Côte d'Ivoire",
TRUE,""
)</f>
        <v/>
      </c>
      <c r="W2376" s="40" t="str">
        <f t="shared" si="180"/>
        <v>Chile</v>
      </c>
    </row>
    <row r="2377" spans="2:23">
      <c r="B2377" s="76" t="str">
        <v>2006.0</v>
      </c>
      <c r="C2377" s="42" t="str">
        <v xml:space="preserve">23 Jun 2006 - 16:00 </v>
      </c>
      <c r="D2377" s="42" t="str">
        <v>Group H</v>
      </c>
      <c r="E2377" s="42" t="str">
        <v>Olympiastadion</v>
      </c>
      <c r="F2377" s="42" t="str">
        <v xml:space="preserve">Berlin </v>
      </c>
      <c r="G2377" s="42" t="str">
        <v>Ukraine</v>
      </c>
      <c r="H2377" s="42" t="str">
        <v>1.0</v>
      </c>
      <c r="I2377" s="42" t="str">
        <v>0.0</v>
      </c>
      <c r="J2377" s="42" t="str">
        <v>Tunisia</v>
      </c>
      <c r="K2377" s="42" t="str">
        <v xml:space="preserve"> </v>
      </c>
      <c r="L2377" s="42" t="str">
        <f t="shared" si="174"/>
        <v xml:space="preserve">2006.0|23 Jun 2006 - 16:00 |Group H|Olympiastadion|Berlin |Ukraine|1.0|0.0|Tunisia| </v>
      </c>
      <c r="M2377" s="42" t="str">
        <f>IF(COUNTIF($L$1689:L2377,L2377)&gt;1,"DOUBLON","OK")</f>
        <v>OK</v>
      </c>
      <c r="S2377" s="40" t="str">
        <v>Yugoslavia</v>
      </c>
      <c r="T2377" s="40" t="str">
        <f t="shared" si="178"/>
        <v>ERREUR</v>
      </c>
      <c r="U2377" s="40" t="str">
        <f t="shared" si="179"/>
        <v>AUCUNE</v>
      </c>
      <c r="V2377" s="40" t="str" cm="1">
        <f t="array" ref="V2377">_xlfn.IFS(
ISNUMBER(SEARCH("USA",S2377)),"United States",
ISNUMBER(SEARCH("Republic of Ireland",S2377)),"Ireland",
ISNUMBER(SEARCH("Republic of Korea",S2377)),"South Korea",
ISNUMBER(SEARCH("Cape Verde",S2377)),"Cabo Verde",
ISNUMBER(SEARCH("Czechia",S2377)),"Czech Republic",
ISNUMBER(SEARCH("Türkiye",S2377)),"Turkey",
ISNUMBER(SEARCH("Ivory Coast",S2377)),"Côte d'Ivoire",
ISNUMBER(SEARCH("Korea Republic",S2377)),"South Korea",
ISNUMBER(SEARCH("Germany FR",S2377)),"FR Germany",
ISNUMBER(SEARCH("West Germany",S2377)),"FR Germany",
ISNUMBER(SEARCH("Germany DR",S2377)),"DR Germany",
ISNUMBER(SEARCH("Korea DPR",S2377)),"North Korea",
ISNUMBER(SEARCH("China PR",S2377)),"China",
ISNUMBER(SEARCH("IR Iran",S2377)),"Iran",
ISNUMBER(SEARCH("Congo DR",S2377)),"Democratic Republic of the Congo",
ISNUMBER(SEARCH("DR Congo",S2377)),"Democratic Republic of the Congo",
ISNUMBER(SEARCH("German DR",S2377)),"DR Germany",
ISNUMBER(SEARCH("rn""&gt;United Arab Emirates",S2377)),"United Arab Emirates",
ISNUMBER(SEARCH("rn""&gt;Republic of Ireland",S2377)),"Ireland",
ISNUMBER(SEARCH("rn""&gt;Bosnia and Herzegovina",S2377)),"Bosnia and Herzegovina",
ISNUMBER(SEARCH("rn""&gt;Trinidad and Tobago",S2377)),"Trinidad and Tobago",
ISNUMBER(SEARCH("rn""&gt;Serbia and Montenegro",S2377)),"Serbia and Montenegro",
ISNUMBER(SEARCH(_xlfn.UNICHAR(65533),S2377)),"Côte d'Ivoire",
TRUE,""
)</f>
        <v/>
      </c>
      <c r="W2377" s="40" t="str">
        <f t="shared" si="180"/>
        <v>Yugoslavia</v>
      </c>
    </row>
    <row r="2378" spans="2:23">
      <c r="B2378" s="76" t="str">
        <v>2006.0</v>
      </c>
      <c r="C2378" s="42" t="str">
        <v xml:space="preserve">23 Jun 2006 - 16:00 </v>
      </c>
      <c r="D2378" s="42" t="str">
        <v>Group H</v>
      </c>
      <c r="E2378" s="42" t="str">
        <v>Fritz-Walter-Stadion</v>
      </c>
      <c r="F2378" s="42" t="str">
        <v xml:space="preserve">Kaiserslautern </v>
      </c>
      <c r="G2378" s="42" t="str">
        <v>Saudi Arabia</v>
      </c>
      <c r="H2378" s="42" t="str">
        <v>0.0</v>
      </c>
      <c r="I2378" s="42" t="str">
        <v>1.0</v>
      </c>
      <c r="J2378" s="42" t="str">
        <v>Spain</v>
      </c>
      <c r="K2378" s="42" t="str">
        <v xml:space="preserve"> </v>
      </c>
      <c r="L2378" s="42" t="str">
        <f t="shared" si="174"/>
        <v xml:space="preserve">2006.0|23 Jun 2006 - 16:00 |Group H|Fritz-Walter-Stadion|Kaiserslautern |Saudi Arabia|0.0|1.0|Spain| </v>
      </c>
      <c r="M2378" s="42" t="str">
        <f>IF(COUNTIF($L$1689:L2378,L2378)&gt;1,"DOUBLON","OK")</f>
        <v>OK</v>
      </c>
      <c r="S2378" s="40" t="str">
        <v>USA</v>
      </c>
      <c r="T2378" s="40" t="str">
        <f t="shared" si="178"/>
        <v>ERREUR</v>
      </c>
      <c r="U2378" s="40" t="str">
        <f t="shared" si="179"/>
        <v>RENOMMER</v>
      </c>
      <c r="V2378" s="40" t="str" cm="1">
        <f t="array" ref="V2378">_xlfn.IFS(
ISNUMBER(SEARCH("USA",S2378)),"United States",
ISNUMBER(SEARCH("Republic of Ireland",S2378)),"Ireland",
ISNUMBER(SEARCH("Republic of Korea",S2378)),"South Korea",
ISNUMBER(SEARCH("Cape Verde",S2378)),"Cabo Verde",
ISNUMBER(SEARCH("Czechia",S2378)),"Czech Republic",
ISNUMBER(SEARCH("Türkiye",S2378)),"Turkey",
ISNUMBER(SEARCH("Ivory Coast",S2378)),"Côte d'Ivoire",
ISNUMBER(SEARCH("Korea Republic",S2378)),"South Korea",
ISNUMBER(SEARCH("Germany FR",S2378)),"FR Germany",
ISNUMBER(SEARCH("West Germany",S2378)),"FR Germany",
ISNUMBER(SEARCH("Germany DR",S2378)),"DR Germany",
ISNUMBER(SEARCH("Korea DPR",S2378)),"North Korea",
ISNUMBER(SEARCH("China PR",S2378)),"China",
ISNUMBER(SEARCH("IR Iran",S2378)),"Iran",
ISNUMBER(SEARCH("Congo DR",S2378)),"Democratic Republic of the Congo",
ISNUMBER(SEARCH("DR Congo",S2378)),"Democratic Republic of the Congo",
ISNUMBER(SEARCH("German DR",S2378)),"DR Germany",
ISNUMBER(SEARCH("rn""&gt;United Arab Emirates",S2378)),"United Arab Emirates",
ISNUMBER(SEARCH("rn""&gt;Republic of Ireland",S2378)),"Ireland",
ISNUMBER(SEARCH("rn""&gt;Bosnia and Herzegovina",S2378)),"Bosnia and Herzegovina",
ISNUMBER(SEARCH("rn""&gt;Trinidad and Tobago",S2378)),"Trinidad and Tobago",
ISNUMBER(SEARCH("rn""&gt;Serbia and Montenegro",S2378)),"Serbia and Montenegro",
ISNUMBER(SEARCH(_xlfn.UNICHAR(65533),S2378)),"Côte d'Ivoire",
TRUE,""
)</f>
        <v>United States</v>
      </c>
      <c r="W2378" s="40" t="str">
        <f t="shared" si="180"/>
        <v>United States</v>
      </c>
    </row>
    <row r="2379" spans="2:23">
      <c r="B2379" s="76" t="str">
        <v>2006.0</v>
      </c>
      <c r="C2379" s="42" t="str">
        <v xml:space="preserve">23 Jun 2006 - 21:00 </v>
      </c>
      <c r="D2379" s="42" t="str">
        <v>Group G</v>
      </c>
      <c r="E2379" s="42" t="str">
        <v>FIFA World Cup Stadium, Cologne</v>
      </c>
      <c r="F2379" s="42" t="str">
        <v xml:space="preserve">Cologne </v>
      </c>
      <c r="G2379" s="42" t="str">
        <v>Togo</v>
      </c>
      <c r="H2379" s="42" t="str">
        <v>0.0</v>
      </c>
      <c r="I2379" s="42" t="str">
        <v>2.0</v>
      </c>
      <c r="J2379" s="42" t="str">
        <v>France</v>
      </c>
      <c r="K2379" s="42" t="str">
        <v xml:space="preserve"> </v>
      </c>
      <c r="L2379" s="42" t="str">
        <f t="shared" si="174"/>
        <v xml:space="preserve">2006.0|23 Jun 2006 - 21:00 |Group G|FIFA World Cup Stadium, Cologne|Cologne |Togo|0.0|2.0|France| </v>
      </c>
      <c r="M2379" s="42" t="str">
        <f>IF(COUNTIF($L$1689:L2379,L2379)&gt;1,"DOUBLON","OK")</f>
        <v>OK</v>
      </c>
      <c r="S2379" s="40" t="str">
        <v>Uruguay</v>
      </c>
      <c r="T2379" s="40" t="str">
        <f t="shared" si="178"/>
        <v>OK</v>
      </c>
      <c r="U2379" s="40" t="str">
        <f t="shared" si="179"/>
        <v>-</v>
      </c>
      <c r="V2379" s="40" t="str" cm="1">
        <f t="array" ref="V2379">_xlfn.IFS(
ISNUMBER(SEARCH("USA",S2379)),"United States",
ISNUMBER(SEARCH("Republic of Ireland",S2379)),"Ireland",
ISNUMBER(SEARCH("Republic of Korea",S2379)),"South Korea",
ISNUMBER(SEARCH("Cape Verde",S2379)),"Cabo Verde",
ISNUMBER(SEARCH("Czechia",S2379)),"Czech Republic",
ISNUMBER(SEARCH("Türkiye",S2379)),"Turkey",
ISNUMBER(SEARCH("Ivory Coast",S2379)),"Côte d'Ivoire",
ISNUMBER(SEARCH("Korea Republic",S2379)),"South Korea",
ISNUMBER(SEARCH("Germany FR",S2379)),"FR Germany",
ISNUMBER(SEARCH("West Germany",S2379)),"FR Germany",
ISNUMBER(SEARCH("Germany DR",S2379)),"DR Germany",
ISNUMBER(SEARCH("Korea DPR",S2379)),"North Korea",
ISNUMBER(SEARCH("China PR",S2379)),"China",
ISNUMBER(SEARCH("IR Iran",S2379)),"Iran",
ISNUMBER(SEARCH("Congo DR",S2379)),"Democratic Republic of the Congo",
ISNUMBER(SEARCH("DR Congo",S2379)),"Democratic Republic of the Congo",
ISNUMBER(SEARCH("German DR",S2379)),"DR Germany",
ISNUMBER(SEARCH("rn""&gt;United Arab Emirates",S2379)),"United Arab Emirates",
ISNUMBER(SEARCH("rn""&gt;Republic of Ireland",S2379)),"Ireland",
ISNUMBER(SEARCH("rn""&gt;Bosnia and Herzegovina",S2379)),"Bosnia and Herzegovina",
ISNUMBER(SEARCH("rn""&gt;Trinidad and Tobago",S2379)),"Trinidad and Tobago",
ISNUMBER(SEARCH("rn""&gt;Serbia and Montenegro",S2379)),"Serbia and Montenegro",
ISNUMBER(SEARCH(_xlfn.UNICHAR(65533),S2379)),"Côte d'Ivoire",
TRUE,""
)</f>
        <v/>
      </c>
      <c r="W2379" s="40" t="str">
        <f t="shared" si="180"/>
        <v>Uruguay</v>
      </c>
    </row>
    <row r="2380" spans="2:23">
      <c r="B2380" s="76" t="str">
        <v>2006.0</v>
      </c>
      <c r="C2380" s="42" t="str">
        <v xml:space="preserve">23 Jun 2006 - 21:00 </v>
      </c>
      <c r="D2380" s="42" t="str">
        <v>Group G</v>
      </c>
      <c r="E2380" s="42" t="str">
        <v>FIFA World Cup Stadium, Hanover</v>
      </c>
      <c r="F2380" s="42" t="str">
        <v xml:space="preserve">Hanover </v>
      </c>
      <c r="G2380" s="42" t="str">
        <v>Switzerland</v>
      </c>
      <c r="H2380" s="42" t="str">
        <v>2.0</v>
      </c>
      <c r="I2380" s="42" t="str">
        <v>0.0</v>
      </c>
      <c r="J2380" s="42" t="str">
        <v>Korea Republic</v>
      </c>
      <c r="K2380" s="42" t="str">
        <v xml:space="preserve"> </v>
      </c>
      <c r="L2380" s="42" t="str">
        <f t="shared" si="174"/>
        <v xml:space="preserve">2006.0|23 Jun 2006 - 21:00 |Group G|FIFA World Cup Stadium, Hanover|Hanover |Switzerland|2.0|0.0|Korea Republic| </v>
      </c>
      <c r="M2380" s="42" t="str">
        <f>IF(COUNTIF($L$1689:L2380,L2380)&gt;1,"DOUBLON","OK")</f>
        <v>OK</v>
      </c>
      <c r="S2380" s="40" t="str">
        <v>Chile</v>
      </c>
      <c r="T2380" s="40" t="str">
        <f t="shared" si="178"/>
        <v>OK</v>
      </c>
      <c r="U2380" s="40" t="str">
        <f t="shared" si="179"/>
        <v>-</v>
      </c>
      <c r="V2380" s="40" t="str" cm="1">
        <f t="array" ref="V2380">_xlfn.IFS(
ISNUMBER(SEARCH("USA",S2380)),"United States",
ISNUMBER(SEARCH("Republic of Ireland",S2380)),"Ireland",
ISNUMBER(SEARCH("Republic of Korea",S2380)),"South Korea",
ISNUMBER(SEARCH("Cape Verde",S2380)),"Cabo Verde",
ISNUMBER(SEARCH("Czechia",S2380)),"Czech Republic",
ISNUMBER(SEARCH("Türkiye",S2380)),"Turkey",
ISNUMBER(SEARCH("Ivory Coast",S2380)),"Côte d'Ivoire",
ISNUMBER(SEARCH("Korea Republic",S2380)),"South Korea",
ISNUMBER(SEARCH("Germany FR",S2380)),"FR Germany",
ISNUMBER(SEARCH("West Germany",S2380)),"FR Germany",
ISNUMBER(SEARCH("Germany DR",S2380)),"DR Germany",
ISNUMBER(SEARCH("Korea DPR",S2380)),"North Korea",
ISNUMBER(SEARCH("China PR",S2380)),"China",
ISNUMBER(SEARCH("IR Iran",S2380)),"Iran",
ISNUMBER(SEARCH("Congo DR",S2380)),"Democratic Republic of the Congo",
ISNUMBER(SEARCH("DR Congo",S2380)),"Democratic Republic of the Congo",
ISNUMBER(SEARCH("German DR",S2380)),"DR Germany",
ISNUMBER(SEARCH("rn""&gt;United Arab Emirates",S2380)),"United Arab Emirates",
ISNUMBER(SEARCH("rn""&gt;Republic of Ireland",S2380)),"Ireland",
ISNUMBER(SEARCH("rn""&gt;Bosnia and Herzegovina",S2380)),"Bosnia and Herzegovina",
ISNUMBER(SEARCH("rn""&gt;Trinidad and Tobago",S2380)),"Trinidad and Tobago",
ISNUMBER(SEARCH("rn""&gt;Serbia and Montenegro",S2380)),"Serbia and Montenegro",
ISNUMBER(SEARCH(_xlfn.UNICHAR(65533),S2380)),"Côte d'Ivoire",
TRUE,""
)</f>
        <v/>
      </c>
      <c r="W2380" s="40" t="str">
        <f t="shared" si="180"/>
        <v>Chile</v>
      </c>
    </row>
    <row r="2381" spans="2:23">
      <c r="B2381" s="76" t="str">
        <v>2006.0</v>
      </c>
      <c r="C2381" s="42" t="str">
        <v xml:space="preserve">24 Jun 2006 - 17:00 </v>
      </c>
      <c r="D2381" s="42" t="str">
        <v>Round of 16</v>
      </c>
      <c r="E2381" s="42" t="str">
        <v>FIFA World Cup Stadium, Munich</v>
      </c>
      <c r="F2381" s="42" t="str">
        <v xml:space="preserve">Munich </v>
      </c>
      <c r="G2381" s="42" t="str">
        <v>Germany</v>
      </c>
      <c r="H2381" s="42" t="str">
        <v>2.0</v>
      </c>
      <c r="I2381" s="42" t="str">
        <v>0.0</v>
      </c>
      <c r="J2381" s="42" t="str">
        <v>Sweden</v>
      </c>
      <c r="K2381" s="42" t="str">
        <v xml:space="preserve"> </v>
      </c>
      <c r="L2381" s="42" t="str">
        <f t="shared" si="174"/>
        <v xml:space="preserve">2006.0|24 Jun 2006 - 17:00 |Round of 16|FIFA World Cup Stadium, Munich|Munich |Germany|2.0|0.0|Sweden| </v>
      </c>
      <c r="M2381" s="42" t="str">
        <f>IF(COUNTIF($L$1689:L2381,L2381)&gt;1,"DOUBLON","OK")</f>
        <v>OK</v>
      </c>
      <c r="S2381" s="40" t="str">
        <v>Argentina</v>
      </c>
      <c r="T2381" s="40" t="str">
        <f t="shared" si="178"/>
        <v>OK</v>
      </c>
      <c r="U2381" s="40" t="str">
        <f t="shared" si="179"/>
        <v>-</v>
      </c>
      <c r="V2381" s="40" t="str" cm="1">
        <f t="array" ref="V2381">_xlfn.IFS(
ISNUMBER(SEARCH("USA",S2381)),"United States",
ISNUMBER(SEARCH("Republic of Ireland",S2381)),"Ireland",
ISNUMBER(SEARCH("Republic of Korea",S2381)),"South Korea",
ISNUMBER(SEARCH("Cape Verde",S2381)),"Cabo Verde",
ISNUMBER(SEARCH("Czechia",S2381)),"Czech Republic",
ISNUMBER(SEARCH("Türkiye",S2381)),"Turkey",
ISNUMBER(SEARCH("Ivory Coast",S2381)),"Côte d'Ivoire",
ISNUMBER(SEARCH("Korea Republic",S2381)),"South Korea",
ISNUMBER(SEARCH("Germany FR",S2381)),"FR Germany",
ISNUMBER(SEARCH("West Germany",S2381)),"FR Germany",
ISNUMBER(SEARCH("Germany DR",S2381)),"DR Germany",
ISNUMBER(SEARCH("Korea DPR",S2381)),"North Korea",
ISNUMBER(SEARCH("China PR",S2381)),"China",
ISNUMBER(SEARCH("IR Iran",S2381)),"Iran",
ISNUMBER(SEARCH("Congo DR",S2381)),"Democratic Republic of the Congo",
ISNUMBER(SEARCH("DR Congo",S2381)),"Democratic Republic of the Congo",
ISNUMBER(SEARCH("German DR",S2381)),"DR Germany",
ISNUMBER(SEARCH("rn""&gt;United Arab Emirates",S2381)),"United Arab Emirates",
ISNUMBER(SEARCH("rn""&gt;Republic of Ireland",S2381)),"Ireland",
ISNUMBER(SEARCH("rn""&gt;Bosnia and Herzegovina",S2381)),"Bosnia and Herzegovina",
ISNUMBER(SEARCH("rn""&gt;Trinidad and Tobago",S2381)),"Trinidad and Tobago",
ISNUMBER(SEARCH("rn""&gt;Serbia and Montenegro",S2381)),"Serbia and Montenegro",
ISNUMBER(SEARCH(_xlfn.UNICHAR(65533),S2381)),"Côte d'Ivoire",
TRUE,""
)</f>
        <v/>
      </c>
      <c r="W2381" s="40" t="str">
        <f t="shared" si="180"/>
        <v>Argentina</v>
      </c>
    </row>
    <row r="2382" spans="2:23">
      <c r="B2382" s="76" t="str">
        <v>2006.0</v>
      </c>
      <c r="C2382" s="42" t="str">
        <v xml:space="preserve">24 Jun 2006 - 21:00 </v>
      </c>
      <c r="D2382" s="42" t="str">
        <v>Round of 16</v>
      </c>
      <c r="E2382" s="42" t="str">
        <v>Zentralstadion</v>
      </c>
      <c r="F2382" s="42" t="str">
        <v xml:space="preserve">Leipzig </v>
      </c>
      <c r="G2382" s="42" t="str">
        <v>Argentina</v>
      </c>
      <c r="H2382" s="42" t="str">
        <v>2.0</v>
      </c>
      <c r="I2382" s="42" t="str">
        <v>1.0</v>
      </c>
      <c r="J2382" s="42" t="str">
        <v>Mexico</v>
      </c>
      <c r="K2382" s="42" t="str">
        <v xml:space="preserve">Argentina win after extra time </v>
      </c>
      <c r="L2382" s="42" t="str">
        <f t="shared" si="174"/>
        <v xml:space="preserve">2006.0|24 Jun 2006 - 21:00 |Round of 16|Zentralstadion|Leipzig |Argentina|2.0|1.0|Mexico|Argentina win after extra time </v>
      </c>
      <c r="M2382" s="42" t="str">
        <f>IF(COUNTIF($L$1689:L2382,L2382)&gt;1,"DOUBLON","OK")</f>
        <v>OK</v>
      </c>
      <c r="S2382" s="40" t="str">
        <v>Brazil</v>
      </c>
      <c r="T2382" s="40" t="str">
        <f t="shared" si="178"/>
        <v>OK</v>
      </c>
      <c r="U2382" s="40" t="str">
        <f t="shared" si="179"/>
        <v>-</v>
      </c>
      <c r="V2382" s="40" t="str" cm="1">
        <f t="array" ref="V2382">_xlfn.IFS(
ISNUMBER(SEARCH("USA",S2382)),"United States",
ISNUMBER(SEARCH("Republic of Ireland",S2382)),"Ireland",
ISNUMBER(SEARCH("Republic of Korea",S2382)),"South Korea",
ISNUMBER(SEARCH("Cape Verde",S2382)),"Cabo Verde",
ISNUMBER(SEARCH("Czechia",S2382)),"Czech Republic",
ISNUMBER(SEARCH("Türkiye",S2382)),"Turkey",
ISNUMBER(SEARCH("Ivory Coast",S2382)),"Côte d'Ivoire",
ISNUMBER(SEARCH("Korea Republic",S2382)),"South Korea",
ISNUMBER(SEARCH("Germany FR",S2382)),"FR Germany",
ISNUMBER(SEARCH("West Germany",S2382)),"FR Germany",
ISNUMBER(SEARCH("Germany DR",S2382)),"DR Germany",
ISNUMBER(SEARCH("Korea DPR",S2382)),"North Korea",
ISNUMBER(SEARCH("China PR",S2382)),"China",
ISNUMBER(SEARCH("IR Iran",S2382)),"Iran",
ISNUMBER(SEARCH("Congo DR",S2382)),"Democratic Republic of the Congo",
ISNUMBER(SEARCH("DR Congo",S2382)),"Democratic Republic of the Congo",
ISNUMBER(SEARCH("German DR",S2382)),"DR Germany",
ISNUMBER(SEARCH("rn""&gt;United Arab Emirates",S2382)),"United Arab Emirates",
ISNUMBER(SEARCH("rn""&gt;Republic of Ireland",S2382)),"Ireland",
ISNUMBER(SEARCH("rn""&gt;Bosnia and Herzegovina",S2382)),"Bosnia and Herzegovina",
ISNUMBER(SEARCH("rn""&gt;Trinidad and Tobago",S2382)),"Trinidad and Tobago",
ISNUMBER(SEARCH("rn""&gt;Serbia and Montenegro",S2382)),"Serbia and Montenegro",
ISNUMBER(SEARCH(_xlfn.UNICHAR(65533),S2382)),"Côte d'Ivoire",
TRUE,""
)</f>
        <v/>
      </c>
      <c r="W2382" s="40" t="str">
        <f t="shared" si="180"/>
        <v>Brazil</v>
      </c>
    </row>
    <row r="2383" spans="2:23">
      <c r="B2383" s="76" t="str">
        <v>2006.0</v>
      </c>
      <c r="C2383" s="42" t="str">
        <v xml:space="preserve">25 Jun 2006 - 17:00 </v>
      </c>
      <c r="D2383" s="42" t="str">
        <v>Round of 16</v>
      </c>
      <c r="E2383" s="42" t="str">
        <v>Gottlieb-Daimler-Stadion</v>
      </c>
      <c r="F2383" s="42" t="str">
        <v xml:space="preserve">Stuttgart </v>
      </c>
      <c r="G2383" s="42" t="str">
        <v>England</v>
      </c>
      <c r="H2383" s="42" t="str">
        <v>1.0</v>
      </c>
      <c r="I2383" s="42" t="str">
        <v>0.0</v>
      </c>
      <c r="J2383" s="42" t="str">
        <v>Ecuador</v>
      </c>
      <c r="K2383" s="42" t="str">
        <v xml:space="preserve"> </v>
      </c>
      <c r="L2383" s="42" t="str">
        <f t="shared" si="174"/>
        <v xml:space="preserve">2006.0|25 Jun 2006 - 17:00 |Round of 16|Gottlieb-Daimler-Stadion|Stuttgart |England|1.0|0.0|Ecuador| </v>
      </c>
      <c r="M2383" s="42" t="str">
        <f>IF(COUNTIF($L$1689:L2383,L2383)&gt;1,"DOUBLON","OK")</f>
        <v>OK</v>
      </c>
      <c r="S2383" s="40" t="str">
        <v>Paraguay</v>
      </c>
      <c r="T2383" s="40" t="str">
        <f t="shared" si="178"/>
        <v>OK</v>
      </c>
      <c r="U2383" s="40" t="str">
        <f t="shared" si="179"/>
        <v>-</v>
      </c>
      <c r="V2383" s="40" t="str" cm="1">
        <f t="array" ref="V2383">_xlfn.IFS(
ISNUMBER(SEARCH("USA",S2383)),"United States",
ISNUMBER(SEARCH("Republic of Ireland",S2383)),"Ireland",
ISNUMBER(SEARCH("Republic of Korea",S2383)),"South Korea",
ISNUMBER(SEARCH("Cape Verde",S2383)),"Cabo Verde",
ISNUMBER(SEARCH("Czechia",S2383)),"Czech Republic",
ISNUMBER(SEARCH("Türkiye",S2383)),"Turkey",
ISNUMBER(SEARCH("Ivory Coast",S2383)),"Côte d'Ivoire",
ISNUMBER(SEARCH("Korea Republic",S2383)),"South Korea",
ISNUMBER(SEARCH("Germany FR",S2383)),"FR Germany",
ISNUMBER(SEARCH("West Germany",S2383)),"FR Germany",
ISNUMBER(SEARCH("Germany DR",S2383)),"DR Germany",
ISNUMBER(SEARCH("Korea DPR",S2383)),"North Korea",
ISNUMBER(SEARCH("China PR",S2383)),"China",
ISNUMBER(SEARCH("IR Iran",S2383)),"Iran",
ISNUMBER(SEARCH("Congo DR",S2383)),"Democratic Republic of the Congo",
ISNUMBER(SEARCH("DR Congo",S2383)),"Democratic Republic of the Congo",
ISNUMBER(SEARCH("German DR",S2383)),"DR Germany",
ISNUMBER(SEARCH("rn""&gt;United Arab Emirates",S2383)),"United Arab Emirates",
ISNUMBER(SEARCH("rn""&gt;Republic of Ireland",S2383)),"Ireland",
ISNUMBER(SEARCH("rn""&gt;Bosnia and Herzegovina",S2383)),"Bosnia and Herzegovina",
ISNUMBER(SEARCH("rn""&gt;Trinidad and Tobago",S2383)),"Trinidad and Tobago",
ISNUMBER(SEARCH("rn""&gt;Serbia and Montenegro",S2383)),"Serbia and Montenegro",
ISNUMBER(SEARCH(_xlfn.UNICHAR(65533),S2383)),"Côte d'Ivoire",
TRUE,""
)</f>
        <v/>
      </c>
      <c r="W2383" s="40" t="str">
        <f t="shared" si="180"/>
        <v>Paraguay</v>
      </c>
    </row>
    <row r="2384" spans="2:23">
      <c r="B2384" s="76" t="str">
        <v>2006.0</v>
      </c>
      <c r="C2384" s="42" t="str">
        <v xml:space="preserve">25 Jun 2006 - 21:00 </v>
      </c>
      <c r="D2384" s="42" t="str">
        <v>Round of 16</v>
      </c>
      <c r="E2384" s="42" t="str">
        <v>Franken-Stadion</v>
      </c>
      <c r="F2384" s="42" t="str">
        <v xml:space="preserve">Nuremberg </v>
      </c>
      <c r="G2384" s="42" t="str">
        <v>Portugal</v>
      </c>
      <c r="H2384" s="42" t="str">
        <v>1.0</v>
      </c>
      <c r="I2384" s="42" t="str">
        <v>0.0</v>
      </c>
      <c r="J2384" s="42" t="str">
        <v>Netherlands</v>
      </c>
      <c r="K2384" s="42" t="str">
        <v xml:space="preserve"> </v>
      </c>
      <c r="L2384" s="42" t="str">
        <f t="shared" si="174"/>
        <v xml:space="preserve">2006.0|25 Jun 2006 - 21:00 |Round of 16|Franken-Stadion|Nuremberg |Portugal|1.0|0.0|Netherlands| </v>
      </c>
      <c r="M2384" s="42" t="str">
        <f>IF(COUNTIF($L$1689:L2384,L2384)&gt;1,"DOUBLON","OK")</f>
        <v>OK</v>
      </c>
      <c r="S2384" s="40" t="str">
        <v>Uruguay</v>
      </c>
      <c r="T2384" s="40" t="str">
        <f t="shared" si="178"/>
        <v>OK</v>
      </c>
      <c r="U2384" s="40" t="str">
        <f t="shared" si="179"/>
        <v>-</v>
      </c>
      <c r="V2384" s="40" t="str" cm="1">
        <f t="array" ref="V2384">_xlfn.IFS(
ISNUMBER(SEARCH("USA",S2384)),"United States",
ISNUMBER(SEARCH("Republic of Ireland",S2384)),"Ireland",
ISNUMBER(SEARCH("Republic of Korea",S2384)),"South Korea",
ISNUMBER(SEARCH("Cape Verde",S2384)),"Cabo Verde",
ISNUMBER(SEARCH("Czechia",S2384)),"Czech Republic",
ISNUMBER(SEARCH("Türkiye",S2384)),"Turkey",
ISNUMBER(SEARCH("Ivory Coast",S2384)),"Côte d'Ivoire",
ISNUMBER(SEARCH("Korea Republic",S2384)),"South Korea",
ISNUMBER(SEARCH("Germany FR",S2384)),"FR Germany",
ISNUMBER(SEARCH("West Germany",S2384)),"FR Germany",
ISNUMBER(SEARCH("Germany DR",S2384)),"DR Germany",
ISNUMBER(SEARCH("Korea DPR",S2384)),"North Korea",
ISNUMBER(SEARCH("China PR",S2384)),"China",
ISNUMBER(SEARCH("IR Iran",S2384)),"Iran",
ISNUMBER(SEARCH("Congo DR",S2384)),"Democratic Republic of the Congo",
ISNUMBER(SEARCH("DR Congo",S2384)),"Democratic Republic of the Congo",
ISNUMBER(SEARCH("German DR",S2384)),"DR Germany",
ISNUMBER(SEARCH("rn""&gt;United Arab Emirates",S2384)),"United Arab Emirates",
ISNUMBER(SEARCH("rn""&gt;Republic of Ireland",S2384)),"Ireland",
ISNUMBER(SEARCH("rn""&gt;Bosnia and Herzegovina",S2384)),"Bosnia and Herzegovina",
ISNUMBER(SEARCH("rn""&gt;Trinidad and Tobago",S2384)),"Trinidad and Tobago",
ISNUMBER(SEARCH("rn""&gt;Serbia and Montenegro",S2384)),"Serbia and Montenegro",
ISNUMBER(SEARCH(_xlfn.UNICHAR(65533),S2384)),"Côte d'Ivoire",
TRUE,""
)</f>
        <v/>
      </c>
      <c r="W2384" s="40" t="str">
        <f t="shared" si="180"/>
        <v>Uruguay</v>
      </c>
    </row>
    <row r="2385" spans="2:23">
      <c r="B2385" s="76" t="str">
        <v>2006.0</v>
      </c>
      <c r="C2385" s="42" t="str">
        <v xml:space="preserve">26 Jun 2006 - 17:00 </v>
      </c>
      <c r="D2385" s="42" t="str">
        <v>Round of 16</v>
      </c>
      <c r="E2385" s="42" t="str">
        <v>Fritz-Walter-Stadion</v>
      </c>
      <c r="F2385" s="42" t="str">
        <v xml:space="preserve">Kaiserslautern </v>
      </c>
      <c r="G2385" s="42" t="str">
        <v>Italy</v>
      </c>
      <c r="H2385" s="42" t="str">
        <v>1.0</v>
      </c>
      <c r="I2385" s="42" t="str">
        <v>0.0</v>
      </c>
      <c r="J2385" s="42" t="str">
        <v>Australia</v>
      </c>
      <c r="K2385" s="42" t="str">
        <v xml:space="preserve"> </v>
      </c>
      <c r="L2385" s="42" t="str">
        <f t="shared" si="174"/>
        <v xml:space="preserve">2006.0|26 Jun 2006 - 17:00 |Round of 16|Fritz-Walter-Stadion|Kaiserslautern |Italy|1.0|0.0|Australia| </v>
      </c>
      <c r="M2385" s="42" t="str">
        <f>IF(COUNTIF($L$1689:L2385,L2385)&gt;1,"DOUBLON","OK")</f>
        <v>OK</v>
      </c>
      <c r="S2385" s="40" t="str">
        <v>Argentina</v>
      </c>
      <c r="T2385" s="40" t="str">
        <f t="shared" si="178"/>
        <v>OK</v>
      </c>
      <c r="U2385" s="40" t="str">
        <f t="shared" si="179"/>
        <v>-</v>
      </c>
      <c r="V2385" s="40" t="str" cm="1">
        <f t="array" ref="V2385">_xlfn.IFS(
ISNUMBER(SEARCH("USA",S2385)),"United States",
ISNUMBER(SEARCH("Republic of Ireland",S2385)),"Ireland",
ISNUMBER(SEARCH("Republic of Korea",S2385)),"South Korea",
ISNUMBER(SEARCH("Cape Verde",S2385)),"Cabo Verde",
ISNUMBER(SEARCH("Czechia",S2385)),"Czech Republic",
ISNUMBER(SEARCH("Türkiye",S2385)),"Turkey",
ISNUMBER(SEARCH("Ivory Coast",S2385)),"Côte d'Ivoire",
ISNUMBER(SEARCH("Korea Republic",S2385)),"South Korea",
ISNUMBER(SEARCH("Germany FR",S2385)),"FR Germany",
ISNUMBER(SEARCH("West Germany",S2385)),"FR Germany",
ISNUMBER(SEARCH("Germany DR",S2385)),"DR Germany",
ISNUMBER(SEARCH("Korea DPR",S2385)),"North Korea",
ISNUMBER(SEARCH("China PR",S2385)),"China",
ISNUMBER(SEARCH("IR Iran",S2385)),"Iran",
ISNUMBER(SEARCH("Congo DR",S2385)),"Democratic Republic of the Congo",
ISNUMBER(SEARCH("DR Congo",S2385)),"Democratic Republic of the Congo",
ISNUMBER(SEARCH("German DR",S2385)),"DR Germany",
ISNUMBER(SEARCH("rn""&gt;United Arab Emirates",S2385)),"United Arab Emirates",
ISNUMBER(SEARCH("rn""&gt;Republic of Ireland",S2385)),"Ireland",
ISNUMBER(SEARCH("rn""&gt;Bosnia and Herzegovina",S2385)),"Bosnia and Herzegovina",
ISNUMBER(SEARCH("rn""&gt;Trinidad and Tobago",S2385)),"Trinidad and Tobago",
ISNUMBER(SEARCH("rn""&gt;Serbia and Montenegro",S2385)),"Serbia and Montenegro",
ISNUMBER(SEARCH(_xlfn.UNICHAR(65533),S2385)),"Côte d'Ivoire",
TRUE,""
)</f>
        <v/>
      </c>
      <c r="W2385" s="40" t="str">
        <f t="shared" si="180"/>
        <v>Argentina</v>
      </c>
    </row>
    <row r="2386" spans="2:23">
      <c r="B2386" s="76" t="str">
        <v>2006.0</v>
      </c>
      <c r="C2386" s="42" t="str">
        <v xml:space="preserve">26 Jun 2006 - 21:00 </v>
      </c>
      <c r="D2386" s="42" t="str">
        <v>Round of 16</v>
      </c>
      <c r="E2386" s="42" t="str">
        <v>FIFA World Cup Stadium, Cologne</v>
      </c>
      <c r="F2386" s="42" t="str">
        <v xml:space="preserve">Cologne </v>
      </c>
      <c r="G2386" s="42" t="str">
        <v>Switzerland</v>
      </c>
      <c r="H2386" s="42" t="str">
        <v>0.0</v>
      </c>
      <c r="I2386" s="42" t="str">
        <v>0.0</v>
      </c>
      <c r="J2386" s="42" t="str">
        <v>Ukraine</v>
      </c>
      <c r="K2386" s="42" t="str">
        <v xml:space="preserve">Ukraine win on penalties (0 - 3) </v>
      </c>
      <c r="L2386" s="42" t="str">
        <f t="shared" si="174"/>
        <v xml:space="preserve">2006.0|26 Jun 2006 - 21:00 |Round of 16|FIFA World Cup Stadium, Cologne|Cologne |Switzerland|0.0|0.0|Ukraine|Ukraine win on penalties (0 - 3) </v>
      </c>
      <c r="M2386" s="42" t="str">
        <f>IF(COUNTIF($L$1689:L2386,L2386)&gt;1,"DOUBLON","OK")</f>
        <v>OK</v>
      </c>
      <c r="S2386" s="40" t="str">
        <v>Argentina</v>
      </c>
      <c r="T2386" s="40" t="str">
        <f t="shared" si="178"/>
        <v>OK</v>
      </c>
      <c r="U2386" s="40" t="str">
        <f t="shared" si="179"/>
        <v>-</v>
      </c>
      <c r="V2386" s="40" t="str" cm="1">
        <f t="array" ref="V2386">_xlfn.IFS(
ISNUMBER(SEARCH("USA",S2386)),"United States",
ISNUMBER(SEARCH("Republic of Ireland",S2386)),"Ireland",
ISNUMBER(SEARCH("Republic of Korea",S2386)),"South Korea",
ISNUMBER(SEARCH("Cape Verde",S2386)),"Cabo Verde",
ISNUMBER(SEARCH("Czechia",S2386)),"Czech Republic",
ISNUMBER(SEARCH("Türkiye",S2386)),"Turkey",
ISNUMBER(SEARCH("Ivory Coast",S2386)),"Côte d'Ivoire",
ISNUMBER(SEARCH("Korea Republic",S2386)),"South Korea",
ISNUMBER(SEARCH("Germany FR",S2386)),"FR Germany",
ISNUMBER(SEARCH("West Germany",S2386)),"FR Germany",
ISNUMBER(SEARCH("Germany DR",S2386)),"DR Germany",
ISNUMBER(SEARCH("Korea DPR",S2386)),"North Korea",
ISNUMBER(SEARCH("China PR",S2386)),"China",
ISNUMBER(SEARCH("IR Iran",S2386)),"Iran",
ISNUMBER(SEARCH("Congo DR",S2386)),"Democratic Republic of the Congo",
ISNUMBER(SEARCH("DR Congo",S2386)),"Democratic Republic of the Congo",
ISNUMBER(SEARCH("German DR",S2386)),"DR Germany",
ISNUMBER(SEARCH("rn""&gt;United Arab Emirates",S2386)),"United Arab Emirates",
ISNUMBER(SEARCH("rn""&gt;Republic of Ireland",S2386)),"Ireland",
ISNUMBER(SEARCH("rn""&gt;Bosnia and Herzegovina",S2386)),"Bosnia and Herzegovina",
ISNUMBER(SEARCH("rn""&gt;Trinidad and Tobago",S2386)),"Trinidad and Tobago",
ISNUMBER(SEARCH("rn""&gt;Serbia and Montenegro",S2386)),"Serbia and Montenegro",
ISNUMBER(SEARCH(_xlfn.UNICHAR(65533),S2386)),"Côte d'Ivoire",
TRUE,""
)</f>
        <v/>
      </c>
      <c r="W2386" s="40" t="str">
        <f t="shared" si="180"/>
        <v>Argentina</v>
      </c>
    </row>
    <row r="2387" spans="2:23">
      <c r="B2387" s="76" t="str">
        <v>2006.0</v>
      </c>
      <c r="C2387" s="42" t="str">
        <v xml:space="preserve">27 Jun 2006 - 17:00 </v>
      </c>
      <c r="D2387" s="42" t="str">
        <v>Round of 16</v>
      </c>
      <c r="E2387" s="42" t="str">
        <v>FIFA World Cup Stadium, Dortmund</v>
      </c>
      <c r="F2387" s="42" t="str">
        <v xml:space="preserve">Dortmund </v>
      </c>
      <c r="G2387" s="42" t="str">
        <v>Brazil</v>
      </c>
      <c r="H2387" s="42" t="str">
        <v>3.0</v>
      </c>
      <c r="I2387" s="42" t="str">
        <v>0.0</v>
      </c>
      <c r="J2387" s="42" t="str">
        <v>Ghana</v>
      </c>
      <c r="K2387" s="42" t="str">
        <v xml:space="preserve"> </v>
      </c>
      <c r="L2387" s="42" t="str">
        <f t="shared" si="174"/>
        <v xml:space="preserve">2006.0|27 Jun 2006 - 17:00 |Round of 16|FIFA World Cup Stadium, Dortmund|Dortmund |Brazil|3.0|0.0|Ghana| </v>
      </c>
      <c r="M2387" s="42" t="str">
        <f>IF(COUNTIF($L$1689:L2387,L2387)&gt;1,"DOUBLON","OK")</f>
        <v>OK</v>
      </c>
      <c r="S2387" s="40" t="str">
        <v>Uruguay</v>
      </c>
      <c r="T2387" s="40" t="str">
        <f t="shared" si="178"/>
        <v>OK</v>
      </c>
      <c r="U2387" s="40" t="str">
        <f t="shared" si="179"/>
        <v>-</v>
      </c>
      <c r="V2387" s="40" t="str" cm="1">
        <f t="array" ref="V2387">_xlfn.IFS(
ISNUMBER(SEARCH("USA",S2387)),"United States",
ISNUMBER(SEARCH("Republic of Ireland",S2387)),"Ireland",
ISNUMBER(SEARCH("Republic of Korea",S2387)),"South Korea",
ISNUMBER(SEARCH("Cape Verde",S2387)),"Cabo Verde",
ISNUMBER(SEARCH("Czechia",S2387)),"Czech Republic",
ISNUMBER(SEARCH("Türkiye",S2387)),"Turkey",
ISNUMBER(SEARCH("Ivory Coast",S2387)),"Côte d'Ivoire",
ISNUMBER(SEARCH("Korea Republic",S2387)),"South Korea",
ISNUMBER(SEARCH("Germany FR",S2387)),"FR Germany",
ISNUMBER(SEARCH("West Germany",S2387)),"FR Germany",
ISNUMBER(SEARCH("Germany DR",S2387)),"DR Germany",
ISNUMBER(SEARCH("Korea DPR",S2387)),"North Korea",
ISNUMBER(SEARCH("China PR",S2387)),"China",
ISNUMBER(SEARCH("IR Iran",S2387)),"Iran",
ISNUMBER(SEARCH("Congo DR",S2387)),"Democratic Republic of the Congo",
ISNUMBER(SEARCH("DR Congo",S2387)),"Democratic Republic of the Congo",
ISNUMBER(SEARCH("German DR",S2387)),"DR Germany",
ISNUMBER(SEARCH("rn""&gt;United Arab Emirates",S2387)),"United Arab Emirates",
ISNUMBER(SEARCH("rn""&gt;Republic of Ireland",S2387)),"Ireland",
ISNUMBER(SEARCH("rn""&gt;Bosnia and Herzegovina",S2387)),"Bosnia and Herzegovina",
ISNUMBER(SEARCH("rn""&gt;Trinidad and Tobago",S2387)),"Trinidad and Tobago",
ISNUMBER(SEARCH("rn""&gt;Serbia and Montenegro",S2387)),"Serbia and Montenegro",
ISNUMBER(SEARCH(_xlfn.UNICHAR(65533),S2387)),"Côte d'Ivoire",
TRUE,""
)</f>
        <v/>
      </c>
      <c r="W2387" s="40" t="str">
        <f t="shared" si="180"/>
        <v>Uruguay</v>
      </c>
    </row>
    <row r="2388" spans="2:23">
      <c r="B2388" s="76" t="str">
        <v>2006.0</v>
      </c>
      <c r="C2388" s="42" t="str">
        <v xml:space="preserve">27 Jun 2006 - 21:00 </v>
      </c>
      <c r="D2388" s="42" t="str">
        <v>Round of 16</v>
      </c>
      <c r="E2388" s="42" t="str">
        <v>FIFA World Cup Stadium, Hanover</v>
      </c>
      <c r="F2388" s="42" t="str">
        <v xml:space="preserve">Hanover </v>
      </c>
      <c r="G2388" s="42" t="str">
        <v>Spain</v>
      </c>
      <c r="H2388" s="42" t="str">
        <v>1.0</v>
      </c>
      <c r="I2388" s="42" t="str">
        <v>3.0</v>
      </c>
      <c r="J2388" s="42" t="str">
        <v>France</v>
      </c>
      <c r="K2388" s="42" t="str">
        <v xml:space="preserve"> </v>
      </c>
      <c r="L2388" s="42" t="str">
        <f t="shared" si="174"/>
        <v xml:space="preserve">2006.0|27 Jun 2006 - 21:00 |Round of 16|FIFA World Cup Stadium, Hanover|Hanover |Spain|1.0|3.0|France| </v>
      </c>
      <c r="M2388" s="42" t="str">
        <f>IF(COUNTIF($L$1689:L2388,L2388)&gt;1,"DOUBLON","OK")</f>
        <v>OK</v>
      </c>
      <c r="S2388" s="40" t="str">
        <v>Uruguay</v>
      </c>
      <c r="T2388" s="40" t="str">
        <f t="shared" si="178"/>
        <v>OK</v>
      </c>
      <c r="U2388" s="40" t="str">
        <f t="shared" si="179"/>
        <v>-</v>
      </c>
      <c r="V2388" s="40" t="str" cm="1">
        <f t="array" ref="V2388">_xlfn.IFS(
ISNUMBER(SEARCH("USA",S2388)),"United States",
ISNUMBER(SEARCH("Republic of Ireland",S2388)),"Ireland",
ISNUMBER(SEARCH("Republic of Korea",S2388)),"South Korea",
ISNUMBER(SEARCH("Cape Verde",S2388)),"Cabo Verde",
ISNUMBER(SEARCH("Czechia",S2388)),"Czech Republic",
ISNUMBER(SEARCH("Türkiye",S2388)),"Turkey",
ISNUMBER(SEARCH("Ivory Coast",S2388)),"Côte d'Ivoire",
ISNUMBER(SEARCH("Korea Republic",S2388)),"South Korea",
ISNUMBER(SEARCH("Germany FR",S2388)),"FR Germany",
ISNUMBER(SEARCH("West Germany",S2388)),"FR Germany",
ISNUMBER(SEARCH("Germany DR",S2388)),"DR Germany",
ISNUMBER(SEARCH("Korea DPR",S2388)),"North Korea",
ISNUMBER(SEARCH("China PR",S2388)),"China",
ISNUMBER(SEARCH("IR Iran",S2388)),"Iran",
ISNUMBER(SEARCH("Congo DR",S2388)),"Democratic Republic of the Congo",
ISNUMBER(SEARCH("DR Congo",S2388)),"Democratic Republic of the Congo",
ISNUMBER(SEARCH("German DR",S2388)),"DR Germany",
ISNUMBER(SEARCH("rn""&gt;United Arab Emirates",S2388)),"United Arab Emirates",
ISNUMBER(SEARCH("rn""&gt;Republic of Ireland",S2388)),"Ireland",
ISNUMBER(SEARCH("rn""&gt;Bosnia and Herzegovina",S2388)),"Bosnia and Herzegovina",
ISNUMBER(SEARCH("rn""&gt;Trinidad and Tobago",S2388)),"Trinidad and Tobago",
ISNUMBER(SEARCH("rn""&gt;Serbia and Montenegro",S2388)),"Serbia and Montenegro",
ISNUMBER(SEARCH(_xlfn.UNICHAR(65533),S2388)),"Côte d'Ivoire",
TRUE,""
)</f>
        <v/>
      </c>
      <c r="W2388" s="40" t="str">
        <f t="shared" si="180"/>
        <v>Uruguay</v>
      </c>
    </row>
    <row r="2389" spans="2:23">
      <c r="B2389" s="76" t="str">
        <v>2006.0</v>
      </c>
      <c r="C2389" s="42" t="str">
        <v xml:space="preserve">30 Jun 2006 - 17:00 </v>
      </c>
      <c r="D2389" s="42" t="str">
        <v>Quarter-finals</v>
      </c>
      <c r="E2389" s="42" t="str">
        <v>Olympiastadion</v>
      </c>
      <c r="F2389" s="42" t="str">
        <v xml:space="preserve">Berlin </v>
      </c>
      <c r="G2389" s="42" t="str">
        <v>Germany</v>
      </c>
      <c r="H2389" s="42" t="str">
        <v>1.0</v>
      </c>
      <c r="I2389" s="42" t="str">
        <v>1.0</v>
      </c>
      <c r="J2389" s="42" t="str">
        <v>Argentina</v>
      </c>
      <c r="K2389" s="42" t="str">
        <v xml:space="preserve">Germany win on penalties (4 - 2) </v>
      </c>
      <c r="L2389" s="42" t="str">
        <f t="shared" si="174"/>
        <v xml:space="preserve">2006.0|30 Jun 2006 - 17:00 |Quarter-finals|Olympiastadion|Berlin |Germany|1.0|1.0|Argentina|Germany win on penalties (4 - 2) </v>
      </c>
      <c r="M2389" s="42" t="str">
        <f>IF(COUNTIF($L$1689:L2389,L2389)&gt;1,"DOUBLON","OK")</f>
        <v>OK</v>
      </c>
      <c r="S2389" s="40" t="str">
        <v>Austria</v>
      </c>
      <c r="T2389" s="40" t="str">
        <f t="shared" si="178"/>
        <v>OK</v>
      </c>
      <c r="U2389" s="40" t="str">
        <f t="shared" si="179"/>
        <v>-</v>
      </c>
      <c r="V2389" s="40" t="str" cm="1">
        <f t="array" ref="V2389">_xlfn.IFS(
ISNUMBER(SEARCH("USA",S2389)),"United States",
ISNUMBER(SEARCH("Republic of Ireland",S2389)),"Ireland",
ISNUMBER(SEARCH("Republic of Korea",S2389)),"South Korea",
ISNUMBER(SEARCH("Cape Verde",S2389)),"Cabo Verde",
ISNUMBER(SEARCH("Czechia",S2389)),"Czech Republic",
ISNUMBER(SEARCH("Türkiye",S2389)),"Turkey",
ISNUMBER(SEARCH("Ivory Coast",S2389)),"Côte d'Ivoire",
ISNUMBER(SEARCH("Korea Republic",S2389)),"South Korea",
ISNUMBER(SEARCH("Germany FR",S2389)),"FR Germany",
ISNUMBER(SEARCH("West Germany",S2389)),"FR Germany",
ISNUMBER(SEARCH("Germany DR",S2389)),"DR Germany",
ISNUMBER(SEARCH("Korea DPR",S2389)),"North Korea",
ISNUMBER(SEARCH("China PR",S2389)),"China",
ISNUMBER(SEARCH("IR Iran",S2389)),"Iran",
ISNUMBER(SEARCH("Congo DR",S2389)),"Democratic Republic of the Congo",
ISNUMBER(SEARCH("DR Congo",S2389)),"Democratic Republic of the Congo",
ISNUMBER(SEARCH("German DR",S2389)),"DR Germany",
ISNUMBER(SEARCH("rn""&gt;United Arab Emirates",S2389)),"United Arab Emirates",
ISNUMBER(SEARCH("rn""&gt;Republic of Ireland",S2389)),"Ireland",
ISNUMBER(SEARCH("rn""&gt;Bosnia and Herzegovina",S2389)),"Bosnia and Herzegovina",
ISNUMBER(SEARCH("rn""&gt;Trinidad and Tobago",S2389)),"Trinidad and Tobago",
ISNUMBER(SEARCH("rn""&gt;Serbia and Montenegro",S2389)),"Serbia and Montenegro",
ISNUMBER(SEARCH(_xlfn.UNICHAR(65533),S2389)),"Côte d'Ivoire",
TRUE,""
)</f>
        <v/>
      </c>
      <c r="W2389" s="40" t="str">
        <f t="shared" si="180"/>
        <v>Austria</v>
      </c>
    </row>
    <row r="2390" spans="2:23">
      <c r="B2390" s="76" t="str">
        <v>2006.0</v>
      </c>
      <c r="C2390" s="42" t="str">
        <v xml:space="preserve">30 Jun 2006 - 21:00 </v>
      </c>
      <c r="D2390" s="42" t="str">
        <v>Quarter-finals</v>
      </c>
      <c r="E2390" s="42" t="str">
        <v>FIFA World Cup Stadium, Hamburg</v>
      </c>
      <c r="F2390" s="42" t="str">
        <v xml:space="preserve">Hamburg </v>
      </c>
      <c r="G2390" s="42" t="str">
        <v>Italy</v>
      </c>
      <c r="H2390" s="42" t="str">
        <v>3.0</v>
      </c>
      <c r="I2390" s="42" t="str">
        <v>0.0</v>
      </c>
      <c r="J2390" s="42" t="str">
        <v>Ukraine</v>
      </c>
      <c r="K2390" s="42" t="str">
        <v xml:space="preserve"> </v>
      </c>
      <c r="L2390" s="42" t="str">
        <f t="shared" si="174"/>
        <v xml:space="preserve">2006.0|30 Jun 2006 - 21:00 |Quarter-finals|FIFA World Cup Stadium, Hamburg|Hamburg |Italy|3.0|0.0|Ukraine| </v>
      </c>
      <c r="M2390" s="42" t="str">
        <f>IF(COUNTIF($L$1689:L2390,L2390)&gt;1,"DOUBLON","OK")</f>
        <v>OK</v>
      </c>
      <c r="S2390" s="40" t="str">
        <v>Hungary</v>
      </c>
      <c r="T2390" s="40" t="str">
        <f t="shared" si="178"/>
        <v>OK</v>
      </c>
      <c r="U2390" s="40" t="str">
        <f t="shared" si="179"/>
        <v>-</v>
      </c>
      <c r="V2390" s="40" t="str" cm="1">
        <f t="array" ref="V2390">_xlfn.IFS(
ISNUMBER(SEARCH("USA",S2390)),"United States",
ISNUMBER(SEARCH("Republic of Ireland",S2390)),"Ireland",
ISNUMBER(SEARCH("Republic of Korea",S2390)),"South Korea",
ISNUMBER(SEARCH("Cape Verde",S2390)),"Cabo Verde",
ISNUMBER(SEARCH("Czechia",S2390)),"Czech Republic",
ISNUMBER(SEARCH("Türkiye",S2390)),"Turkey",
ISNUMBER(SEARCH("Ivory Coast",S2390)),"Côte d'Ivoire",
ISNUMBER(SEARCH("Korea Republic",S2390)),"South Korea",
ISNUMBER(SEARCH("Germany FR",S2390)),"FR Germany",
ISNUMBER(SEARCH("West Germany",S2390)),"FR Germany",
ISNUMBER(SEARCH("Germany DR",S2390)),"DR Germany",
ISNUMBER(SEARCH("Korea DPR",S2390)),"North Korea",
ISNUMBER(SEARCH("China PR",S2390)),"China",
ISNUMBER(SEARCH("IR Iran",S2390)),"Iran",
ISNUMBER(SEARCH("Congo DR",S2390)),"Democratic Republic of the Congo",
ISNUMBER(SEARCH("DR Congo",S2390)),"Democratic Republic of the Congo",
ISNUMBER(SEARCH("German DR",S2390)),"DR Germany",
ISNUMBER(SEARCH("rn""&gt;United Arab Emirates",S2390)),"United Arab Emirates",
ISNUMBER(SEARCH("rn""&gt;Republic of Ireland",S2390)),"Ireland",
ISNUMBER(SEARCH("rn""&gt;Bosnia and Herzegovina",S2390)),"Bosnia and Herzegovina",
ISNUMBER(SEARCH("rn""&gt;Trinidad and Tobago",S2390)),"Trinidad and Tobago",
ISNUMBER(SEARCH("rn""&gt;Serbia and Montenegro",S2390)),"Serbia and Montenegro",
ISNUMBER(SEARCH(_xlfn.UNICHAR(65533),S2390)),"Côte d'Ivoire",
TRUE,""
)</f>
        <v/>
      </c>
      <c r="W2390" s="40" t="str">
        <f t="shared" si="180"/>
        <v>Hungary</v>
      </c>
    </row>
    <row r="2391" spans="2:23">
      <c r="B2391" s="76" t="str">
        <v>2006.0</v>
      </c>
      <c r="C2391" s="42" t="str">
        <v xml:space="preserve">01 Jul 2006 - 17:00 </v>
      </c>
      <c r="D2391" s="42" t="str">
        <v>Quarter-finals</v>
      </c>
      <c r="E2391" s="42" t="str">
        <v>FIFA World Cup Stadium, Gelsenkirchen</v>
      </c>
      <c r="F2391" s="42" t="str">
        <v xml:space="preserve">Gelsenkirchen </v>
      </c>
      <c r="G2391" s="42" t="str">
        <v>England</v>
      </c>
      <c r="H2391" s="42" t="str">
        <v>0.0</v>
      </c>
      <c r="I2391" s="42" t="str">
        <v>0.0</v>
      </c>
      <c r="J2391" s="42" t="str">
        <v>Portugal</v>
      </c>
      <c r="K2391" s="42" t="str">
        <v xml:space="preserve">Portugal win on penalties (1 - 3) </v>
      </c>
      <c r="L2391" s="42" t="str">
        <f t="shared" si="174"/>
        <v xml:space="preserve">2006.0|01 Jul 2006 - 17:00 |Quarter-finals|FIFA World Cup Stadium, Gelsenkirchen|Gelsenkirchen |England|0.0|0.0|Portugal|Portugal win on penalties (1 - 3) </v>
      </c>
      <c r="M2391" s="42" t="str">
        <f>IF(COUNTIF($L$1689:L2391,L2391)&gt;1,"DOUBLON","OK")</f>
        <v>OK</v>
      </c>
      <c r="S2391" s="40" t="str">
        <v>Switzerland</v>
      </c>
      <c r="T2391" s="40" t="str">
        <f t="shared" si="178"/>
        <v>OK</v>
      </c>
      <c r="U2391" s="40" t="str">
        <f t="shared" si="179"/>
        <v>-</v>
      </c>
      <c r="V2391" s="40" t="str" cm="1">
        <f t="array" ref="V2391">_xlfn.IFS(
ISNUMBER(SEARCH("USA",S2391)),"United States",
ISNUMBER(SEARCH("Republic of Ireland",S2391)),"Ireland",
ISNUMBER(SEARCH("Republic of Korea",S2391)),"South Korea",
ISNUMBER(SEARCH("Cape Verde",S2391)),"Cabo Verde",
ISNUMBER(SEARCH("Czechia",S2391)),"Czech Republic",
ISNUMBER(SEARCH("Türkiye",S2391)),"Turkey",
ISNUMBER(SEARCH("Ivory Coast",S2391)),"Côte d'Ivoire",
ISNUMBER(SEARCH("Korea Republic",S2391)),"South Korea",
ISNUMBER(SEARCH("Germany FR",S2391)),"FR Germany",
ISNUMBER(SEARCH("West Germany",S2391)),"FR Germany",
ISNUMBER(SEARCH("Germany DR",S2391)),"DR Germany",
ISNUMBER(SEARCH("Korea DPR",S2391)),"North Korea",
ISNUMBER(SEARCH("China PR",S2391)),"China",
ISNUMBER(SEARCH("IR Iran",S2391)),"Iran",
ISNUMBER(SEARCH("Congo DR",S2391)),"Democratic Republic of the Congo",
ISNUMBER(SEARCH("DR Congo",S2391)),"Democratic Republic of the Congo",
ISNUMBER(SEARCH("German DR",S2391)),"DR Germany",
ISNUMBER(SEARCH("rn""&gt;United Arab Emirates",S2391)),"United Arab Emirates",
ISNUMBER(SEARCH("rn""&gt;Republic of Ireland",S2391)),"Ireland",
ISNUMBER(SEARCH("rn""&gt;Bosnia and Herzegovina",S2391)),"Bosnia and Herzegovina",
ISNUMBER(SEARCH("rn""&gt;Trinidad and Tobago",S2391)),"Trinidad and Tobago",
ISNUMBER(SEARCH("rn""&gt;Serbia and Montenegro",S2391)),"Serbia and Montenegro",
ISNUMBER(SEARCH(_xlfn.UNICHAR(65533),S2391)),"Côte d'Ivoire",
TRUE,""
)</f>
        <v/>
      </c>
      <c r="W2391" s="40" t="str">
        <f t="shared" si="180"/>
        <v>Switzerland</v>
      </c>
    </row>
    <row r="2392" spans="2:23">
      <c r="B2392" s="76" t="str">
        <v>2006.0</v>
      </c>
      <c r="C2392" s="42" t="str">
        <v xml:space="preserve">01 Jul 2006 - 21:00 </v>
      </c>
      <c r="D2392" s="42" t="str">
        <v>Quarter-finals</v>
      </c>
      <c r="E2392" s="42" t="str">
        <v>FIFA World Cup Stadium, Frankfurt</v>
      </c>
      <c r="F2392" s="42" t="str">
        <v xml:space="preserve">Frankfurt/Main </v>
      </c>
      <c r="G2392" s="42" t="str">
        <v>Brazil</v>
      </c>
      <c r="H2392" s="42" t="str">
        <v>0.0</v>
      </c>
      <c r="I2392" s="42" t="str">
        <v>1.0</v>
      </c>
      <c r="J2392" s="42" t="str">
        <v>France</v>
      </c>
      <c r="K2392" s="42" t="str">
        <v xml:space="preserve"> </v>
      </c>
      <c r="L2392" s="42" t="str">
        <f t="shared" si="174"/>
        <v xml:space="preserve">2006.0|01 Jul 2006 - 21:00 |Quarter-finals|FIFA World Cup Stadium, Frankfurt|Frankfurt/Main |Brazil|0.0|1.0|France| </v>
      </c>
      <c r="M2392" s="42" t="str">
        <f>IF(COUNTIF($L$1689:L2392,L2392)&gt;1,"DOUBLON","OK")</f>
        <v>OK</v>
      </c>
      <c r="S2392" s="40" t="str">
        <v>Sweden</v>
      </c>
      <c r="T2392" s="40" t="str">
        <f t="shared" si="178"/>
        <v>OK</v>
      </c>
      <c r="U2392" s="40" t="str">
        <f t="shared" si="179"/>
        <v>-</v>
      </c>
      <c r="V2392" s="40" t="str" cm="1">
        <f t="array" ref="V2392">_xlfn.IFS(
ISNUMBER(SEARCH("USA",S2392)),"United States",
ISNUMBER(SEARCH("Republic of Ireland",S2392)),"Ireland",
ISNUMBER(SEARCH("Republic of Korea",S2392)),"South Korea",
ISNUMBER(SEARCH("Cape Verde",S2392)),"Cabo Verde",
ISNUMBER(SEARCH("Czechia",S2392)),"Czech Republic",
ISNUMBER(SEARCH("Türkiye",S2392)),"Turkey",
ISNUMBER(SEARCH("Ivory Coast",S2392)),"Côte d'Ivoire",
ISNUMBER(SEARCH("Korea Republic",S2392)),"South Korea",
ISNUMBER(SEARCH("Germany FR",S2392)),"FR Germany",
ISNUMBER(SEARCH("West Germany",S2392)),"FR Germany",
ISNUMBER(SEARCH("Germany DR",S2392)),"DR Germany",
ISNUMBER(SEARCH("Korea DPR",S2392)),"North Korea",
ISNUMBER(SEARCH("China PR",S2392)),"China",
ISNUMBER(SEARCH("IR Iran",S2392)),"Iran",
ISNUMBER(SEARCH("Congo DR",S2392)),"Democratic Republic of the Congo",
ISNUMBER(SEARCH("DR Congo",S2392)),"Democratic Republic of the Congo",
ISNUMBER(SEARCH("German DR",S2392)),"DR Germany",
ISNUMBER(SEARCH("rn""&gt;United Arab Emirates",S2392)),"United Arab Emirates",
ISNUMBER(SEARCH("rn""&gt;Republic of Ireland",S2392)),"Ireland",
ISNUMBER(SEARCH("rn""&gt;Bosnia and Herzegovina",S2392)),"Bosnia and Herzegovina",
ISNUMBER(SEARCH("rn""&gt;Trinidad and Tobago",S2392)),"Trinidad and Tobago",
ISNUMBER(SEARCH("rn""&gt;Serbia and Montenegro",S2392)),"Serbia and Montenegro",
ISNUMBER(SEARCH(_xlfn.UNICHAR(65533),S2392)),"Côte d'Ivoire",
TRUE,""
)</f>
        <v/>
      </c>
      <c r="W2392" s="40" t="str">
        <f t="shared" si="180"/>
        <v>Sweden</v>
      </c>
    </row>
    <row r="2393" spans="2:23">
      <c r="B2393" s="76" t="str">
        <v>2006.0</v>
      </c>
      <c r="C2393" s="42" t="str">
        <v xml:space="preserve">04 Jul 2006 - 21:00 </v>
      </c>
      <c r="D2393" s="42" t="str">
        <v>Semi-finals</v>
      </c>
      <c r="E2393" s="42" t="str">
        <v>FIFA World Cup Stadium, Dortmund</v>
      </c>
      <c r="F2393" s="42" t="str">
        <v xml:space="preserve">Dortmund </v>
      </c>
      <c r="G2393" s="42" t="str">
        <v>Germany</v>
      </c>
      <c r="H2393" s="42" t="str">
        <v>0.0</v>
      </c>
      <c r="I2393" s="42" t="str">
        <v>2.0</v>
      </c>
      <c r="J2393" s="42" t="str">
        <v>Italy</v>
      </c>
      <c r="K2393" s="42" t="str">
        <v xml:space="preserve">Italy win after extra time </v>
      </c>
      <c r="L2393" s="42" t="str">
        <f t="shared" ref="L2393:L2456" si="181">B2393&amp;"|"&amp;C2393&amp;"|"&amp;D2393&amp;"|"&amp;E2393&amp;"|"&amp;F2393&amp;"|"&amp;G2393&amp;"|"&amp;H2393&amp;"|"&amp;I2393&amp;"|"&amp;J2393&amp;"|"&amp;K2393</f>
        <v xml:space="preserve">2006.0|04 Jul 2006 - 21:00 |Semi-finals|FIFA World Cup Stadium, Dortmund|Dortmund |Germany|0.0|2.0|Italy|Italy win after extra time </v>
      </c>
      <c r="M2393" s="42" t="str">
        <f>IF(COUNTIF($L$1689:L2393,L2393)&gt;1,"DOUBLON","OK")</f>
        <v>OK</v>
      </c>
      <c r="S2393" s="40" t="str">
        <v>Germany</v>
      </c>
      <c r="T2393" s="40" t="str">
        <f t="shared" si="178"/>
        <v>OK</v>
      </c>
      <c r="U2393" s="40" t="str">
        <f t="shared" si="179"/>
        <v>-</v>
      </c>
      <c r="V2393" s="40" t="str" cm="1">
        <f t="array" ref="V2393">_xlfn.IFS(
ISNUMBER(SEARCH("USA",S2393)),"United States",
ISNUMBER(SEARCH("Republic of Ireland",S2393)),"Ireland",
ISNUMBER(SEARCH("Republic of Korea",S2393)),"South Korea",
ISNUMBER(SEARCH("Cape Verde",S2393)),"Cabo Verde",
ISNUMBER(SEARCH("Czechia",S2393)),"Czech Republic",
ISNUMBER(SEARCH("Türkiye",S2393)),"Turkey",
ISNUMBER(SEARCH("Ivory Coast",S2393)),"Côte d'Ivoire",
ISNUMBER(SEARCH("Korea Republic",S2393)),"South Korea",
ISNUMBER(SEARCH("Germany FR",S2393)),"FR Germany",
ISNUMBER(SEARCH("West Germany",S2393)),"FR Germany",
ISNUMBER(SEARCH("Germany DR",S2393)),"DR Germany",
ISNUMBER(SEARCH("Korea DPR",S2393)),"North Korea",
ISNUMBER(SEARCH("China PR",S2393)),"China",
ISNUMBER(SEARCH("IR Iran",S2393)),"Iran",
ISNUMBER(SEARCH("Congo DR",S2393)),"Democratic Republic of the Congo",
ISNUMBER(SEARCH("DR Congo",S2393)),"Democratic Republic of the Congo",
ISNUMBER(SEARCH("German DR",S2393)),"DR Germany",
ISNUMBER(SEARCH("rn""&gt;United Arab Emirates",S2393)),"United Arab Emirates",
ISNUMBER(SEARCH("rn""&gt;Republic of Ireland",S2393)),"Ireland",
ISNUMBER(SEARCH("rn""&gt;Bosnia and Herzegovina",S2393)),"Bosnia and Herzegovina",
ISNUMBER(SEARCH("rn""&gt;Trinidad and Tobago",S2393)),"Trinidad and Tobago",
ISNUMBER(SEARCH("rn""&gt;Serbia and Montenegro",S2393)),"Serbia and Montenegro",
ISNUMBER(SEARCH(_xlfn.UNICHAR(65533),S2393)),"Côte d'Ivoire",
TRUE,""
)</f>
        <v/>
      </c>
      <c r="W2393" s="40" t="str">
        <f t="shared" si="180"/>
        <v>Germany</v>
      </c>
    </row>
    <row r="2394" spans="2:23">
      <c r="B2394" s="76" t="str">
        <v>2006.0</v>
      </c>
      <c r="C2394" s="42" t="str">
        <v xml:space="preserve">05 Jul 2006 - 21:00 </v>
      </c>
      <c r="D2394" s="42" t="str">
        <v>Semi-finals</v>
      </c>
      <c r="E2394" s="42" t="str">
        <v>FIFA World Cup Stadium, Munich</v>
      </c>
      <c r="F2394" s="42" t="str">
        <v xml:space="preserve">Munich </v>
      </c>
      <c r="G2394" s="42" t="str">
        <v>Portugal</v>
      </c>
      <c r="H2394" s="42" t="str">
        <v>0.0</v>
      </c>
      <c r="I2394" s="42" t="str">
        <v>1.0</v>
      </c>
      <c r="J2394" s="42" t="str">
        <v>France</v>
      </c>
      <c r="K2394" s="42" t="str">
        <v xml:space="preserve"> </v>
      </c>
      <c r="L2394" s="42" t="str">
        <f t="shared" si="181"/>
        <v xml:space="preserve">2006.0|05 Jul 2006 - 21:00 |Semi-finals|FIFA World Cup Stadium, Munich|Munich |Portugal|0.0|1.0|France| </v>
      </c>
      <c r="M2394" s="42" t="str">
        <f>IF(COUNTIF($L$1689:L2394,L2394)&gt;1,"DOUBLON","OK")</f>
        <v>OK</v>
      </c>
      <c r="S2394" s="40" t="str">
        <v>Spain</v>
      </c>
      <c r="T2394" s="40" t="str">
        <f t="shared" si="178"/>
        <v>OK</v>
      </c>
      <c r="U2394" s="40" t="str">
        <f t="shared" si="179"/>
        <v>-</v>
      </c>
      <c r="V2394" s="40" t="str" cm="1">
        <f t="array" ref="V2394">_xlfn.IFS(
ISNUMBER(SEARCH("USA",S2394)),"United States",
ISNUMBER(SEARCH("Republic of Ireland",S2394)),"Ireland",
ISNUMBER(SEARCH("Republic of Korea",S2394)),"South Korea",
ISNUMBER(SEARCH("Cape Verde",S2394)),"Cabo Verde",
ISNUMBER(SEARCH("Czechia",S2394)),"Czech Republic",
ISNUMBER(SEARCH("Türkiye",S2394)),"Turkey",
ISNUMBER(SEARCH("Ivory Coast",S2394)),"Côte d'Ivoire",
ISNUMBER(SEARCH("Korea Republic",S2394)),"South Korea",
ISNUMBER(SEARCH("Germany FR",S2394)),"FR Germany",
ISNUMBER(SEARCH("West Germany",S2394)),"FR Germany",
ISNUMBER(SEARCH("Germany DR",S2394)),"DR Germany",
ISNUMBER(SEARCH("Korea DPR",S2394)),"North Korea",
ISNUMBER(SEARCH("China PR",S2394)),"China",
ISNUMBER(SEARCH("IR Iran",S2394)),"Iran",
ISNUMBER(SEARCH("Congo DR",S2394)),"Democratic Republic of the Congo",
ISNUMBER(SEARCH("DR Congo",S2394)),"Democratic Republic of the Congo",
ISNUMBER(SEARCH("German DR",S2394)),"DR Germany",
ISNUMBER(SEARCH("rn""&gt;United Arab Emirates",S2394)),"United Arab Emirates",
ISNUMBER(SEARCH("rn""&gt;Republic of Ireland",S2394)),"Ireland",
ISNUMBER(SEARCH("rn""&gt;Bosnia and Herzegovina",S2394)),"Bosnia and Herzegovina",
ISNUMBER(SEARCH("rn""&gt;Trinidad and Tobago",S2394)),"Trinidad and Tobago",
ISNUMBER(SEARCH("rn""&gt;Serbia and Montenegro",S2394)),"Serbia and Montenegro",
ISNUMBER(SEARCH(_xlfn.UNICHAR(65533),S2394)),"Côte d'Ivoire",
TRUE,""
)</f>
        <v/>
      </c>
      <c r="W2394" s="40" t="str">
        <f t="shared" si="180"/>
        <v>Spain</v>
      </c>
    </row>
    <row r="2395" spans="2:23">
      <c r="B2395" s="76" t="str">
        <v>2006.0</v>
      </c>
      <c r="C2395" s="42" t="str">
        <v xml:space="preserve">08 Jul 2006 - 21:00 </v>
      </c>
      <c r="D2395" s="42" t="str">
        <v>Third place</v>
      </c>
      <c r="E2395" s="42" t="str">
        <v>Gottlieb-Daimler-Stadion</v>
      </c>
      <c r="F2395" s="42" t="str">
        <v xml:space="preserve">Stuttgart </v>
      </c>
      <c r="G2395" s="42" t="str">
        <v>Germany</v>
      </c>
      <c r="H2395" s="42" t="str">
        <v>3.0</v>
      </c>
      <c r="I2395" s="42" t="str">
        <v>1.0</v>
      </c>
      <c r="J2395" s="42" t="str">
        <v>Portugal</v>
      </c>
      <c r="K2395" s="42" t="str">
        <v xml:space="preserve"> </v>
      </c>
      <c r="L2395" s="42" t="str">
        <f t="shared" si="181"/>
        <v xml:space="preserve">2006.0|08 Jul 2006 - 21:00 |Third place|Gottlieb-Daimler-Stadion|Stuttgart |Germany|3.0|1.0|Portugal| </v>
      </c>
      <c r="M2395" s="42" t="str">
        <f>IF(COUNTIF($L$1689:L2395,L2395)&gt;1,"DOUBLON","OK")</f>
        <v>OK</v>
      </c>
      <c r="S2395" s="40" t="str">
        <v>Italy</v>
      </c>
      <c r="T2395" s="40" t="str">
        <f t="shared" si="178"/>
        <v>OK</v>
      </c>
      <c r="U2395" s="40" t="str">
        <f t="shared" si="179"/>
        <v>-</v>
      </c>
      <c r="V2395" s="40" t="str" cm="1">
        <f t="array" ref="V2395">_xlfn.IFS(
ISNUMBER(SEARCH("USA",S2395)),"United States",
ISNUMBER(SEARCH("Republic of Ireland",S2395)),"Ireland",
ISNUMBER(SEARCH("Republic of Korea",S2395)),"South Korea",
ISNUMBER(SEARCH("Cape Verde",S2395)),"Cabo Verde",
ISNUMBER(SEARCH("Czechia",S2395)),"Czech Republic",
ISNUMBER(SEARCH("Türkiye",S2395)),"Turkey",
ISNUMBER(SEARCH("Ivory Coast",S2395)),"Côte d'Ivoire",
ISNUMBER(SEARCH("Korea Republic",S2395)),"South Korea",
ISNUMBER(SEARCH("Germany FR",S2395)),"FR Germany",
ISNUMBER(SEARCH("West Germany",S2395)),"FR Germany",
ISNUMBER(SEARCH("Germany DR",S2395)),"DR Germany",
ISNUMBER(SEARCH("Korea DPR",S2395)),"North Korea",
ISNUMBER(SEARCH("China PR",S2395)),"China",
ISNUMBER(SEARCH("IR Iran",S2395)),"Iran",
ISNUMBER(SEARCH("Congo DR",S2395)),"Democratic Republic of the Congo",
ISNUMBER(SEARCH("DR Congo",S2395)),"Democratic Republic of the Congo",
ISNUMBER(SEARCH("German DR",S2395)),"DR Germany",
ISNUMBER(SEARCH("rn""&gt;United Arab Emirates",S2395)),"United Arab Emirates",
ISNUMBER(SEARCH("rn""&gt;Republic of Ireland",S2395)),"Ireland",
ISNUMBER(SEARCH("rn""&gt;Bosnia and Herzegovina",S2395)),"Bosnia and Herzegovina",
ISNUMBER(SEARCH("rn""&gt;Trinidad and Tobago",S2395)),"Trinidad and Tobago",
ISNUMBER(SEARCH("rn""&gt;Serbia and Montenegro",S2395)),"Serbia and Montenegro",
ISNUMBER(SEARCH(_xlfn.UNICHAR(65533),S2395)),"Côte d'Ivoire",
TRUE,""
)</f>
        <v/>
      </c>
      <c r="W2395" s="40" t="str">
        <f t="shared" si="180"/>
        <v>Italy</v>
      </c>
    </row>
    <row r="2396" spans="2:23">
      <c r="B2396" s="76" t="str">
        <v>2006.0</v>
      </c>
      <c r="C2396" s="42" t="str">
        <v xml:space="preserve">09 Jul 2006 - 20:00 </v>
      </c>
      <c r="D2396" s="42" t="str">
        <v>Final</v>
      </c>
      <c r="E2396" s="42" t="str">
        <v>Olympiastadion</v>
      </c>
      <c r="F2396" s="42" t="str">
        <v xml:space="preserve">Berlin </v>
      </c>
      <c r="G2396" s="42" t="str">
        <v>Italy</v>
      </c>
      <c r="H2396" s="42" t="str">
        <v>1.0</v>
      </c>
      <c r="I2396" s="42" t="str">
        <v>1.0</v>
      </c>
      <c r="J2396" s="42" t="str">
        <v>France</v>
      </c>
      <c r="K2396" s="42" t="str">
        <v xml:space="preserve">Italy win on penalties (5 - 3) </v>
      </c>
      <c r="L2396" s="42" t="str">
        <f t="shared" si="181"/>
        <v xml:space="preserve">2006.0|09 Jul 2006 - 20:00 |Final|Olympiastadion|Berlin |Italy|1.0|1.0|France|Italy win on penalties (5 - 3) </v>
      </c>
      <c r="M2396" s="42" t="str">
        <f>IF(COUNTIF($L$1689:L2396,L2396)&gt;1,"DOUBLON","OK")</f>
        <v>OK</v>
      </c>
      <c r="S2396" s="40" t="str">
        <v>Czechoslovakia</v>
      </c>
      <c r="T2396" s="40" t="str">
        <f t="shared" si="178"/>
        <v>ERREUR</v>
      </c>
      <c r="U2396" s="40" t="str">
        <f t="shared" si="179"/>
        <v>AUCUNE</v>
      </c>
      <c r="V2396" s="40" t="str" cm="1">
        <f t="array" ref="V2396">_xlfn.IFS(
ISNUMBER(SEARCH("USA",S2396)),"United States",
ISNUMBER(SEARCH("Republic of Ireland",S2396)),"Ireland",
ISNUMBER(SEARCH("Republic of Korea",S2396)),"South Korea",
ISNUMBER(SEARCH("Cape Verde",S2396)),"Cabo Verde",
ISNUMBER(SEARCH("Czechia",S2396)),"Czech Republic",
ISNUMBER(SEARCH("Türkiye",S2396)),"Turkey",
ISNUMBER(SEARCH("Ivory Coast",S2396)),"Côte d'Ivoire",
ISNUMBER(SEARCH("Korea Republic",S2396)),"South Korea",
ISNUMBER(SEARCH("Germany FR",S2396)),"FR Germany",
ISNUMBER(SEARCH("West Germany",S2396)),"FR Germany",
ISNUMBER(SEARCH("Germany DR",S2396)),"DR Germany",
ISNUMBER(SEARCH("Korea DPR",S2396)),"North Korea",
ISNUMBER(SEARCH("China PR",S2396)),"China",
ISNUMBER(SEARCH("IR Iran",S2396)),"Iran",
ISNUMBER(SEARCH("Congo DR",S2396)),"Democratic Republic of the Congo",
ISNUMBER(SEARCH("DR Congo",S2396)),"Democratic Republic of the Congo",
ISNUMBER(SEARCH("German DR",S2396)),"DR Germany",
ISNUMBER(SEARCH("rn""&gt;United Arab Emirates",S2396)),"United Arab Emirates",
ISNUMBER(SEARCH("rn""&gt;Republic of Ireland",S2396)),"Ireland",
ISNUMBER(SEARCH("rn""&gt;Bosnia and Herzegovina",S2396)),"Bosnia and Herzegovina",
ISNUMBER(SEARCH("rn""&gt;Trinidad and Tobago",S2396)),"Trinidad and Tobago",
ISNUMBER(SEARCH("rn""&gt;Serbia and Montenegro",S2396)),"Serbia and Montenegro",
ISNUMBER(SEARCH(_xlfn.UNICHAR(65533),S2396)),"Côte d'Ivoire",
TRUE,""
)</f>
        <v/>
      </c>
      <c r="W2396" s="40" t="str">
        <f t="shared" si="180"/>
        <v>Czechoslovakia</v>
      </c>
    </row>
    <row r="2397" spans="2:23">
      <c r="B2397" s="76" t="str">
        <v>2010.0</v>
      </c>
      <c r="C2397" s="42" t="str">
        <v xml:space="preserve">11 Jun 2010 - 16:00 </v>
      </c>
      <c r="D2397" s="42" t="str">
        <v>Group A</v>
      </c>
      <c r="E2397" s="42" t="str">
        <v>Soccer City Stadium</v>
      </c>
      <c r="F2397" s="42" t="str">
        <v xml:space="preserve">Johannesburg </v>
      </c>
      <c r="G2397" s="42" t="str">
        <v>South Africa</v>
      </c>
      <c r="H2397" s="42" t="str">
        <v>1.0</v>
      </c>
      <c r="I2397" s="42" t="str">
        <v>1.0</v>
      </c>
      <c r="J2397" s="42" t="str">
        <v>Mexico</v>
      </c>
      <c r="K2397" s="42" t="str">
        <v xml:space="preserve"> </v>
      </c>
      <c r="L2397" s="42" t="str">
        <f t="shared" si="181"/>
        <v xml:space="preserve">2010.0|11 Jun 2010 - 16:00 |Group A|Soccer City Stadium|Johannesburg |South Africa|1.0|1.0|Mexico| </v>
      </c>
      <c r="M2397" s="42" t="str">
        <f>IF(COUNTIF($L$1689:L2397,L2397)&gt;1,"DOUBLON","OK")</f>
        <v>OK</v>
      </c>
      <c r="S2397" s="40" t="str">
        <v>Czechoslovakia</v>
      </c>
      <c r="T2397" s="40" t="str">
        <f t="shared" si="178"/>
        <v>ERREUR</v>
      </c>
      <c r="U2397" s="40" t="str">
        <f t="shared" si="179"/>
        <v>AUCUNE</v>
      </c>
      <c r="V2397" s="40" t="str" cm="1">
        <f t="array" ref="V2397">_xlfn.IFS(
ISNUMBER(SEARCH("USA",S2397)),"United States",
ISNUMBER(SEARCH("Republic of Ireland",S2397)),"Ireland",
ISNUMBER(SEARCH("Republic of Korea",S2397)),"South Korea",
ISNUMBER(SEARCH("Cape Verde",S2397)),"Cabo Verde",
ISNUMBER(SEARCH("Czechia",S2397)),"Czech Republic",
ISNUMBER(SEARCH("Türkiye",S2397)),"Turkey",
ISNUMBER(SEARCH("Ivory Coast",S2397)),"Côte d'Ivoire",
ISNUMBER(SEARCH("Korea Republic",S2397)),"South Korea",
ISNUMBER(SEARCH("Germany FR",S2397)),"FR Germany",
ISNUMBER(SEARCH("West Germany",S2397)),"FR Germany",
ISNUMBER(SEARCH("Germany DR",S2397)),"DR Germany",
ISNUMBER(SEARCH("Korea DPR",S2397)),"North Korea",
ISNUMBER(SEARCH("China PR",S2397)),"China",
ISNUMBER(SEARCH("IR Iran",S2397)),"Iran",
ISNUMBER(SEARCH("Congo DR",S2397)),"Democratic Republic of the Congo",
ISNUMBER(SEARCH("DR Congo",S2397)),"Democratic Republic of the Congo",
ISNUMBER(SEARCH("German DR",S2397)),"DR Germany",
ISNUMBER(SEARCH("rn""&gt;United Arab Emirates",S2397)),"United Arab Emirates",
ISNUMBER(SEARCH("rn""&gt;Republic of Ireland",S2397)),"Ireland",
ISNUMBER(SEARCH("rn""&gt;Bosnia and Herzegovina",S2397)),"Bosnia and Herzegovina",
ISNUMBER(SEARCH("rn""&gt;Trinidad and Tobago",S2397)),"Trinidad and Tobago",
ISNUMBER(SEARCH("rn""&gt;Serbia and Montenegro",S2397)),"Serbia and Montenegro",
ISNUMBER(SEARCH(_xlfn.UNICHAR(65533),S2397)),"Côte d'Ivoire",
TRUE,""
)</f>
        <v/>
      </c>
      <c r="W2397" s="40" t="str">
        <f t="shared" si="180"/>
        <v>Czechoslovakia</v>
      </c>
    </row>
    <row r="2398" spans="2:23">
      <c r="B2398" s="76" t="str">
        <v>2010.0</v>
      </c>
      <c r="C2398" s="42" t="str">
        <v xml:space="preserve">11 Jun 2010 - 20:30 </v>
      </c>
      <c r="D2398" s="42" t="str">
        <v>Group A</v>
      </c>
      <c r="E2398" s="42" t="str">
        <v>Cape Town Stadium</v>
      </c>
      <c r="F2398" s="42" t="str">
        <v xml:space="preserve">Cape Town </v>
      </c>
      <c r="G2398" s="42" t="str">
        <v>Uruguay</v>
      </c>
      <c r="H2398" s="42" t="str">
        <v>0.0</v>
      </c>
      <c r="I2398" s="42" t="str">
        <v>0.0</v>
      </c>
      <c r="J2398" s="42" t="str">
        <v>France</v>
      </c>
      <c r="K2398" s="42" t="str">
        <v xml:space="preserve"> </v>
      </c>
      <c r="L2398" s="42" t="str">
        <f t="shared" si="181"/>
        <v xml:space="preserve">2010.0|11 Jun 2010 - 20:30 |Group A|Cape Town Stadium|Cape Town |Uruguay|0.0|0.0|France| </v>
      </c>
      <c r="M2398" s="42" t="str">
        <f>IF(COUNTIF($L$1689:L2398,L2398)&gt;1,"DOUBLON","OK")</f>
        <v>OK</v>
      </c>
      <c r="S2398" s="40" t="str">
        <v>Germany</v>
      </c>
      <c r="T2398" s="40" t="str">
        <f t="shared" si="178"/>
        <v>OK</v>
      </c>
      <c r="U2398" s="40" t="str">
        <f t="shared" si="179"/>
        <v>-</v>
      </c>
      <c r="V2398" s="40" t="str" cm="1">
        <f t="array" ref="V2398">_xlfn.IFS(
ISNUMBER(SEARCH("USA",S2398)),"United States",
ISNUMBER(SEARCH("Republic of Ireland",S2398)),"Ireland",
ISNUMBER(SEARCH("Republic of Korea",S2398)),"South Korea",
ISNUMBER(SEARCH("Cape Verde",S2398)),"Cabo Verde",
ISNUMBER(SEARCH("Czechia",S2398)),"Czech Republic",
ISNUMBER(SEARCH("Türkiye",S2398)),"Turkey",
ISNUMBER(SEARCH("Ivory Coast",S2398)),"Côte d'Ivoire",
ISNUMBER(SEARCH("Korea Republic",S2398)),"South Korea",
ISNUMBER(SEARCH("Germany FR",S2398)),"FR Germany",
ISNUMBER(SEARCH("West Germany",S2398)),"FR Germany",
ISNUMBER(SEARCH("Germany DR",S2398)),"DR Germany",
ISNUMBER(SEARCH("Korea DPR",S2398)),"North Korea",
ISNUMBER(SEARCH("China PR",S2398)),"China",
ISNUMBER(SEARCH("IR Iran",S2398)),"Iran",
ISNUMBER(SEARCH("Congo DR",S2398)),"Democratic Republic of the Congo",
ISNUMBER(SEARCH("DR Congo",S2398)),"Democratic Republic of the Congo",
ISNUMBER(SEARCH("German DR",S2398)),"DR Germany",
ISNUMBER(SEARCH("rn""&gt;United Arab Emirates",S2398)),"United Arab Emirates",
ISNUMBER(SEARCH("rn""&gt;Republic of Ireland",S2398)),"Ireland",
ISNUMBER(SEARCH("rn""&gt;Bosnia and Herzegovina",S2398)),"Bosnia and Herzegovina",
ISNUMBER(SEARCH("rn""&gt;Trinidad and Tobago",S2398)),"Trinidad and Tobago",
ISNUMBER(SEARCH("rn""&gt;Serbia and Montenegro",S2398)),"Serbia and Montenegro",
ISNUMBER(SEARCH(_xlfn.UNICHAR(65533),S2398)),"Côte d'Ivoire",
TRUE,""
)</f>
        <v/>
      </c>
      <c r="W2398" s="40" t="str">
        <f t="shared" si="180"/>
        <v>Germany</v>
      </c>
    </row>
    <row r="2399" spans="2:23">
      <c r="B2399" s="76" t="str">
        <v>2010.0</v>
      </c>
      <c r="C2399" s="42" t="str">
        <v xml:space="preserve">12 Jun 2010 - 13:30 </v>
      </c>
      <c r="D2399" s="42" t="str">
        <v>Group B</v>
      </c>
      <c r="E2399" s="42" t="str">
        <v>Port Elizabeth Stadium</v>
      </c>
      <c r="F2399" s="42" t="str">
        <v xml:space="preserve">Nelson Mandela Bay/Port Elizabeth </v>
      </c>
      <c r="G2399" s="42" t="str">
        <v>Korea Republic</v>
      </c>
      <c r="H2399" s="42" t="str">
        <v>2.0</v>
      </c>
      <c r="I2399" s="42" t="str">
        <v>0.0</v>
      </c>
      <c r="J2399" s="42" t="str">
        <v>Greece</v>
      </c>
      <c r="K2399" s="42" t="str">
        <v xml:space="preserve"> </v>
      </c>
      <c r="L2399" s="42" t="str">
        <f t="shared" si="181"/>
        <v xml:space="preserve">2010.0|12 Jun 2010 - 13:30 |Group B|Port Elizabeth Stadium|Nelson Mandela Bay/Port Elizabeth |Korea Republic|2.0|0.0|Greece| </v>
      </c>
      <c r="M2399" s="42" t="str">
        <f>IF(COUNTIF($L$1689:L2399,L2399)&gt;1,"DOUBLON","OK")</f>
        <v>OK</v>
      </c>
      <c r="S2399" s="40" t="str">
        <v>Italy</v>
      </c>
      <c r="T2399" s="40" t="str">
        <f t="shared" si="178"/>
        <v>OK</v>
      </c>
      <c r="U2399" s="40" t="str">
        <f t="shared" si="179"/>
        <v>-</v>
      </c>
      <c r="V2399" s="40" t="str" cm="1">
        <f t="array" ref="V2399">_xlfn.IFS(
ISNUMBER(SEARCH("USA",S2399)),"United States",
ISNUMBER(SEARCH("Republic of Ireland",S2399)),"Ireland",
ISNUMBER(SEARCH("Republic of Korea",S2399)),"South Korea",
ISNUMBER(SEARCH("Cape Verde",S2399)),"Cabo Verde",
ISNUMBER(SEARCH("Czechia",S2399)),"Czech Republic",
ISNUMBER(SEARCH("Türkiye",S2399)),"Turkey",
ISNUMBER(SEARCH("Ivory Coast",S2399)),"Côte d'Ivoire",
ISNUMBER(SEARCH("Korea Republic",S2399)),"South Korea",
ISNUMBER(SEARCH("Germany FR",S2399)),"FR Germany",
ISNUMBER(SEARCH("West Germany",S2399)),"FR Germany",
ISNUMBER(SEARCH("Germany DR",S2399)),"DR Germany",
ISNUMBER(SEARCH("Korea DPR",S2399)),"North Korea",
ISNUMBER(SEARCH("China PR",S2399)),"China",
ISNUMBER(SEARCH("IR Iran",S2399)),"Iran",
ISNUMBER(SEARCH("Congo DR",S2399)),"Democratic Republic of the Congo",
ISNUMBER(SEARCH("DR Congo",S2399)),"Democratic Republic of the Congo",
ISNUMBER(SEARCH("German DR",S2399)),"DR Germany",
ISNUMBER(SEARCH("rn""&gt;United Arab Emirates",S2399)),"United Arab Emirates",
ISNUMBER(SEARCH("rn""&gt;Republic of Ireland",S2399)),"Ireland",
ISNUMBER(SEARCH("rn""&gt;Bosnia and Herzegovina",S2399)),"Bosnia and Herzegovina",
ISNUMBER(SEARCH("rn""&gt;Trinidad and Tobago",S2399)),"Trinidad and Tobago",
ISNUMBER(SEARCH("rn""&gt;Serbia and Montenegro",S2399)),"Serbia and Montenegro",
ISNUMBER(SEARCH(_xlfn.UNICHAR(65533),S2399)),"Côte d'Ivoire",
TRUE,""
)</f>
        <v/>
      </c>
      <c r="W2399" s="40" t="str">
        <f t="shared" si="180"/>
        <v>Italy</v>
      </c>
    </row>
    <row r="2400" spans="2:23">
      <c r="B2400" s="76" t="str">
        <v>2010.0</v>
      </c>
      <c r="C2400" s="42" t="str">
        <v xml:space="preserve">12 Jun 2010 - 16:00 </v>
      </c>
      <c r="D2400" s="42" t="str">
        <v>Group B</v>
      </c>
      <c r="E2400" s="42" t="str">
        <v>Ellis Park Stadium</v>
      </c>
      <c r="F2400" s="42" t="str">
        <v xml:space="preserve">Johannesburg </v>
      </c>
      <c r="G2400" s="42" t="str">
        <v>Argentina</v>
      </c>
      <c r="H2400" s="42" t="str">
        <v>1.0</v>
      </c>
      <c r="I2400" s="42" t="str">
        <v>0.0</v>
      </c>
      <c r="J2400" s="42" t="str">
        <v>Nigeria</v>
      </c>
      <c r="K2400" s="42" t="str">
        <v xml:space="preserve"> </v>
      </c>
      <c r="L2400" s="42" t="str">
        <f t="shared" si="181"/>
        <v xml:space="preserve">2010.0|12 Jun 2010 - 16:00 |Group B|Ellis Park Stadium|Johannesburg |Argentina|1.0|0.0|Nigeria| </v>
      </c>
      <c r="M2400" s="42" t="str">
        <f>IF(COUNTIF($L$1689:L2400,L2400)&gt;1,"DOUBLON","OK")</f>
        <v>OK</v>
      </c>
      <c r="S2400" s="40" t="str">
        <v>Austria</v>
      </c>
      <c r="T2400" s="40" t="str">
        <f t="shared" si="178"/>
        <v>OK</v>
      </c>
      <c r="U2400" s="40" t="str">
        <f t="shared" si="179"/>
        <v>-</v>
      </c>
      <c r="V2400" s="40" t="str" cm="1">
        <f t="array" ref="V2400">_xlfn.IFS(
ISNUMBER(SEARCH("USA",S2400)),"United States",
ISNUMBER(SEARCH("Republic of Ireland",S2400)),"Ireland",
ISNUMBER(SEARCH("Republic of Korea",S2400)),"South Korea",
ISNUMBER(SEARCH("Cape Verde",S2400)),"Cabo Verde",
ISNUMBER(SEARCH("Czechia",S2400)),"Czech Republic",
ISNUMBER(SEARCH("Türkiye",S2400)),"Turkey",
ISNUMBER(SEARCH("Ivory Coast",S2400)),"Côte d'Ivoire",
ISNUMBER(SEARCH("Korea Republic",S2400)),"South Korea",
ISNUMBER(SEARCH("Germany FR",S2400)),"FR Germany",
ISNUMBER(SEARCH("West Germany",S2400)),"FR Germany",
ISNUMBER(SEARCH("Germany DR",S2400)),"DR Germany",
ISNUMBER(SEARCH("Korea DPR",S2400)),"North Korea",
ISNUMBER(SEARCH("China PR",S2400)),"China",
ISNUMBER(SEARCH("IR Iran",S2400)),"Iran",
ISNUMBER(SEARCH("Congo DR",S2400)),"Democratic Republic of the Congo",
ISNUMBER(SEARCH("DR Congo",S2400)),"Democratic Republic of the Congo",
ISNUMBER(SEARCH("German DR",S2400)),"DR Germany",
ISNUMBER(SEARCH("rn""&gt;United Arab Emirates",S2400)),"United Arab Emirates",
ISNUMBER(SEARCH("rn""&gt;Republic of Ireland",S2400)),"Ireland",
ISNUMBER(SEARCH("rn""&gt;Bosnia and Herzegovina",S2400)),"Bosnia and Herzegovina",
ISNUMBER(SEARCH("rn""&gt;Trinidad and Tobago",S2400)),"Trinidad and Tobago",
ISNUMBER(SEARCH("rn""&gt;Serbia and Montenegro",S2400)),"Serbia and Montenegro",
ISNUMBER(SEARCH(_xlfn.UNICHAR(65533),S2400)),"Côte d'Ivoire",
TRUE,""
)</f>
        <v/>
      </c>
      <c r="W2400" s="40" t="str">
        <f t="shared" si="180"/>
        <v>Austria</v>
      </c>
    </row>
    <row r="2401" spans="2:23">
      <c r="B2401" s="76" t="str">
        <v>2010.0</v>
      </c>
      <c r="C2401" s="42" t="str">
        <v xml:space="preserve">12 Jun 2010 - 20:30 </v>
      </c>
      <c r="D2401" s="42" t="str">
        <v>Group C</v>
      </c>
      <c r="E2401" s="42" t="str">
        <v>Royal Bafokeng Sports Palace</v>
      </c>
      <c r="F2401" s="42" t="str">
        <v xml:space="preserve">Phokeng </v>
      </c>
      <c r="G2401" s="42" t="str">
        <v>England</v>
      </c>
      <c r="H2401" s="42" t="str">
        <v>1.0</v>
      </c>
      <c r="I2401" s="42" t="str">
        <v>1.0</v>
      </c>
      <c r="J2401" s="42" t="str">
        <v>USA</v>
      </c>
      <c r="K2401" s="42" t="str">
        <v xml:space="preserve"> </v>
      </c>
      <c r="L2401" s="42" t="str">
        <f t="shared" si="181"/>
        <v xml:space="preserve">2010.0|12 Jun 2010 - 20:30 |Group C|Royal Bafokeng Sports Palace|Phokeng |England|1.0|1.0|USA| </v>
      </c>
      <c r="M2401" s="42" t="str">
        <f>IF(COUNTIF($L$1689:L2401,L2401)&gt;1,"DOUBLON","OK")</f>
        <v>OK</v>
      </c>
      <c r="S2401" s="40" t="str">
        <v>Italy</v>
      </c>
      <c r="T2401" s="40" t="str">
        <f t="shared" si="178"/>
        <v>OK</v>
      </c>
      <c r="U2401" s="40" t="str">
        <f t="shared" si="179"/>
        <v>-</v>
      </c>
      <c r="V2401" s="40" t="str" cm="1">
        <f t="array" ref="V2401">_xlfn.IFS(
ISNUMBER(SEARCH("USA",S2401)),"United States",
ISNUMBER(SEARCH("Republic of Ireland",S2401)),"Ireland",
ISNUMBER(SEARCH("Republic of Korea",S2401)),"South Korea",
ISNUMBER(SEARCH("Cape Verde",S2401)),"Cabo Verde",
ISNUMBER(SEARCH("Czechia",S2401)),"Czech Republic",
ISNUMBER(SEARCH("Türkiye",S2401)),"Turkey",
ISNUMBER(SEARCH("Ivory Coast",S2401)),"Côte d'Ivoire",
ISNUMBER(SEARCH("Korea Republic",S2401)),"South Korea",
ISNUMBER(SEARCH("Germany FR",S2401)),"FR Germany",
ISNUMBER(SEARCH("West Germany",S2401)),"FR Germany",
ISNUMBER(SEARCH("Germany DR",S2401)),"DR Germany",
ISNUMBER(SEARCH("Korea DPR",S2401)),"North Korea",
ISNUMBER(SEARCH("China PR",S2401)),"China",
ISNUMBER(SEARCH("IR Iran",S2401)),"Iran",
ISNUMBER(SEARCH("Congo DR",S2401)),"Democratic Republic of the Congo",
ISNUMBER(SEARCH("DR Congo",S2401)),"Democratic Republic of the Congo",
ISNUMBER(SEARCH("German DR",S2401)),"DR Germany",
ISNUMBER(SEARCH("rn""&gt;United Arab Emirates",S2401)),"United Arab Emirates",
ISNUMBER(SEARCH("rn""&gt;Republic of Ireland",S2401)),"Ireland",
ISNUMBER(SEARCH("rn""&gt;Bosnia and Herzegovina",S2401)),"Bosnia and Herzegovina",
ISNUMBER(SEARCH("rn""&gt;Trinidad and Tobago",S2401)),"Trinidad and Tobago",
ISNUMBER(SEARCH("rn""&gt;Serbia and Montenegro",S2401)),"Serbia and Montenegro",
ISNUMBER(SEARCH(_xlfn.UNICHAR(65533),S2401)),"Côte d'Ivoire",
TRUE,""
)</f>
        <v/>
      </c>
      <c r="W2401" s="40" t="str">
        <f t="shared" si="180"/>
        <v>Italy</v>
      </c>
    </row>
    <row r="2402" spans="2:23">
      <c r="B2402" s="76" t="str">
        <v>2010.0</v>
      </c>
      <c r="C2402" s="42" t="str">
        <v xml:space="preserve">13 Jun 2010 - 13:30 </v>
      </c>
      <c r="D2402" s="42" t="str">
        <v>Group C</v>
      </c>
      <c r="E2402" s="42" t="str">
        <v>Peter Mokaba Stadium</v>
      </c>
      <c r="F2402" s="42" t="str">
        <v xml:space="preserve">Polokwane </v>
      </c>
      <c r="G2402" s="42" t="str">
        <v>Algeria</v>
      </c>
      <c r="H2402" s="42" t="str">
        <v>0.0</v>
      </c>
      <c r="I2402" s="42" t="str">
        <v>1.0</v>
      </c>
      <c r="J2402" s="42" t="str">
        <v>Slovenia</v>
      </c>
      <c r="K2402" s="42" t="str">
        <v xml:space="preserve"> </v>
      </c>
      <c r="L2402" s="42" t="str">
        <f t="shared" si="181"/>
        <v xml:space="preserve">2010.0|13 Jun 2010 - 13:30 |Group C|Peter Mokaba Stadium|Polokwane |Algeria|0.0|1.0|Slovenia| </v>
      </c>
      <c r="M2402" s="42" t="str">
        <f>IF(COUNTIF($L$1689:L2402,L2402)&gt;1,"DOUBLON","OK")</f>
        <v>OK</v>
      </c>
      <c r="S2402" s="40" t="str">
        <v>Italy</v>
      </c>
      <c r="T2402" s="40" t="str">
        <f t="shared" si="178"/>
        <v>OK</v>
      </c>
      <c r="U2402" s="40" t="str">
        <f t="shared" si="179"/>
        <v>-</v>
      </c>
      <c r="V2402" s="40" t="str" cm="1">
        <f t="array" ref="V2402">_xlfn.IFS(
ISNUMBER(SEARCH("USA",S2402)),"United States",
ISNUMBER(SEARCH("Republic of Ireland",S2402)),"Ireland",
ISNUMBER(SEARCH("Republic of Korea",S2402)),"South Korea",
ISNUMBER(SEARCH("Cape Verde",S2402)),"Cabo Verde",
ISNUMBER(SEARCH("Czechia",S2402)),"Czech Republic",
ISNUMBER(SEARCH("Türkiye",S2402)),"Turkey",
ISNUMBER(SEARCH("Ivory Coast",S2402)),"Côte d'Ivoire",
ISNUMBER(SEARCH("Korea Republic",S2402)),"South Korea",
ISNUMBER(SEARCH("Germany FR",S2402)),"FR Germany",
ISNUMBER(SEARCH("West Germany",S2402)),"FR Germany",
ISNUMBER(SEARCH("Germany DR",S2402)),"DR Germany",
ISNUMBER(SEARCH("Korea DPR",S2402)),"North Korea",
ISNUMBER(SEARCH("China PR",S2402)),"China",
ISNUMBER(SEARCH("IR Iran",S2402)),"Iran",
ISNUMBER(SEARCH("Congo DR",S2402)),"Democratic Republic of the Congo",
ISNUMBER(SEARCH("DR Congo",S2402)),"Democratic Republic of the Congo",
ISNUMBER(SEARCH("German DR",S2402)),"DR Germany",
ISNUMBER(SEARCH("rn""&gt;United Arab Emirates",S2402)),"United Arab Emirates",
ISNUMBER(SEARCH("rn""&gt;Republic of Ireland",S2402)),"Ireland",
ISNUMBER(SEARCH("rn""&gt;Bosnia and Herzegovina",S2402)),"Bosnia and Herzegovina",
ISNUMBER(SEARCH("rn""&gt;Trinidad and Tobago",S2402)),"Trinidad and Tobago",
ISNUMBER(SEARCH("rn""&gt;Serbia and Montenegro",S2402)),"Serbia and Montenegro",
ISNUMBER(SEARCH(_xlfn.UNICHAR(65533),S2402)),"Côte d'Ivoire",
TRUE,""
)</f>
        <v/>
      </c>
      <c r="W2402" s="40" t="str">
        <f t="shared" si="180"/>
        <v>Italy</v>
      </c>
    </row>
    <row r="2403" spans="2:23">
      <c r="B2403" s="76" t="str">
        <v>2010.0</v>
      </c>
      <c r="C2403" s="42" t="str">
        <v xml:space="preserve">13 Jun 2010 - 16:00 </v>
      </c>
      <c r="D2403" s="42" t="str">
        <v>Group D</v>
      </c>
      <c r="E2403" s="42" t="str">
        <v>Loftus Versfeld Stadium</v>
      </c>
      <c r="F2403" s="42" t="str">
        <v xml:space="preserve">Tshwane/Pretoria </v>
      </c>
      <c r="G2403" s="42" t="str">
        <v>Serbia</v>
      </c>
      <c r="H2403" s="42" t="str">
        <v>0.0</v>
      </c>
      <c r="I2403" s="42" t="str">
        <v>1.0</v>
      </c>
      <c r="J2403" s="42" t="str">
        <v>Ghana</v>
      </c>
      <c r="K2403" s="42" t="str">
        <v xml:space="preserve"> </v>
      </c>
      <c r="L2403" s="42" t="str">
        <f t="shared" si="181"/>
        <v xml:space="preserve">2010.0|13 Jun 2010 - 16:00 |Group D|Loftus Versfeld Stadium|Tshwane/Pretoria |Serbia|0.0|1.0|Ghana| </v>
      </c>
      <c r="M2403" s="42" t="str">
        <f>IF(COUNTIF($L$1689:L2403,L2403)&gt;1,"DOUBLON","OK")</f>
        <v>OK</v>
      </c>
      <c r="S2403" s="40" t="str">
        <v>Czechoslovakia</v>
      </c>
      <c r="T2403" s="40" t="str">
        <f t="shared" si="178"/>
        <v>ERREUR</v>
      </c>
      <c r="U2403" s="40" t="str">
        <f t="shared" si="179"/>
        <v>AUCUNE</v>
      </c>
      <c r="V2403" s="40" t="str" cm="1">
        <f t="array" ref="V2403">_xlfn.IFS(
ISNUMBER(SEARCH("USA",S2403)),"United States",
ISNUMBER(SEARCH("Republic of Ireland",S2403)),"Ireland",
ISNUMBER(SEARCH("Republic of Korea",S2403)),"South Korea",
ISNUMBER(SEARCH("Cape Verde",S2403)),"Cabo Verde",
ISNUMBER(SEARCH("Czechia",S2403)),"Czech Republic",
ISNUMBER(SEARCH("Türkiye",S2403)),"Turkey",
ISNUMBER(SEARCH("Ivory Coast",S2403)),"Côte d'Ivoire",
ISNUMBER(SEARCH("Korea Republic",S2403)),"South Korea",
ISNUMBER(SEARCH("Germany FR",S2403)),"FR Germany",
ISNUMBER(SEARCH("West Germany",S2403)),"FR Germany",
ISNUMBER(SEARCH("Germany DR",S2403)),"DR Germany",
ISNUMBER(SEARCH("Korea DPR",S2403)),"North Korea",
ISNUMBER(SEARCH("China PR",S2403)),"China",
ISNUMBER(SEARCH("IR Iran",S2403)),"Iran",
ISNUMBER(SEARCH("Congo DR",S2403)),"Democratic Republic of the Congo",
ISNUMBER(SEARCH("DR Congo",S2403)),"Democratic Republic of the Congo",
ISNUMBER(SEARCH("German DR",S2403)),"DR Germany",
ISNUMBER(SEARCH("rn""&gt;United Arab Emirates",S2403)),"United Arab Emirates",
ISNUMBER(SEARCH("rn""&gt;Republic of Ireland",S2403)),"Ireland",
ISNUMBER(SEARCH("rn""&gt;Bosnia and Herzegovina",S2403)),"Bosnia and Herzegovina",
ISNUMBER(SEARCH("rn""&gt;Trinidad and Tobago",S2403)),"Trinidad and Tobago",
ISNUMBER(SEARCH("rn""&gt;Serbia and Montenegro",S2403)),"Serbia and Montenegro",
ISNUMBER(SEARCH(_xlfn.UNICHAR(65533),S2403)),"Côte d'Ivoire",
TRUE,""
)</f>
        <v/>
      </c>
      <c r="W2403" s="40" t="str">
        <f t="shared" si="180"/>
        <v>Czechoslovakia</v>
      </c>
    </row>
    <row r="2404" spans="2:23">
      <c r="B2404" s="76" t="str">
        <v>2010.0</v>
      </c>
      <c r="C2404" s="42" t="str">
        <v xml:space="preserve">13 Jun 2010 - 20:30 </v>
      </c>
      <c r="D2404" s="42" t="str">
        <v>Group D</v>
      </c>
      <c r="E2404" s="42" t="str">
        <v>Durban Stadium</v>
      </c>
      <c r="F2404" s="42" t="str">
        <v xml:space="preserve">Durban </v>
      </c>
      <c r="G2404" s="42" t="str">
        <v>Germany</v>
      </c>
      <c r="H2404" s="42" t="str">
        <v>4.0</v>
      </c>
      <c r="I2404" s="42" t="str">
        <v>0.0</v>
      </c>
      <c r="J2404" s="42" t="str">
        <v>Australia</v>
      </c>
      <c r="K2404" s="42" t="str">
        <v xml:space="preserve"> </v>
      </c>
      <c r="L2404" s="42" t="str">
        <f t="shared" si="181"/>
        <v xml:space="preserve">2010.0|13 Jun 2010 - 20:30 |Group D|Durban Stadium|Durban |Germany|4.0|0.0|Australia| </v>
      </c>
      <c r="M2404" s="42" t="str">
        <f>IF(COUNTIF($L$1689:L2404,L2404)&gt;1,"DOUBLON","OK")</f>
        <v>OK</v>
      </c>
      <c r="S2404" s="40" t="str">
        <v>Germany</v>
      </c>
      <c r="T2404" s="40" t="str">
        <f t="shared" si="178"/>
        <v>OK</v>
      </c>
      <c r="U2404" s="40" t="str">
        <f t="shared" si="179"/>
        <v>-</v>
      </c>
      <c r="V2404" s="40" t="str" cm="1">
        <f t="array" ref="V2404">_xlfn.IFS(
ISNUMBER(SEARCH("USA",S2404)),"United States",
ISNUMBER(SEARCH("Republic of Ireland",S2404)),"Ireland",
ISNUMBER(SEARCH("Republic of Korea",S2404)),"South Korea",
ISNUMBER(SEARCH("Cape Verde",S2404)),"Cabo Verde",
ISNUMBER(SEARCH("Czechia",S2404)),"Czech Republic",
ISNUMBER(SEARCH("Türkiye",S2404)),"Turkey",
ISNUMBER(SEARCH("Ivory Coast",S2404)),"Côte d'Ivoire",
ISNUMBER(SEARCH("Korea Republic",S2404)),"South Korea",
ISNUMBER(SEARCH("Germany FR",S2404)),"FR Germany",
ISNUMBER(SEARCH("West Germany",S2404)),"FR Germany",
ISNUMBER(SEARCH("Germany DR",S2404)),"DR Germany",
ISNUMBER(SEARCH("Korea DPR",S2404)),"North Korea",
ISNUMBER(SEARCH("China PR",S2404)),"China",
ISNUMBER(SEARCH("IR Iran",S2404)),"Iran",
ISNUMBER(SEARCH("Congo DR",S2404)),"Democratic Republic of the Congo",
ISNUMBER(SEARCH("DR Congo",S2404)),"Democratic Republic of the Congo",
ISNUMBER(SEARCH("German DR",S2404)),"DR Germany",
ISNUMBER(SEARCH("rn""&gt;United Arab Emirates",S2404)),"United Arab Emirates",
ISNUMBER(SEARCH("rn""&gt;Republic of Ireland",S2404)),"Ireland",
ISNUMBER(SEARCH("rn""&gt;Bosnia and Herzegovina",S2404)),"Bosnia and Herzegovina",
ISNUMBER(SEARCH("rn""&gt;Trinidad and Tobago",S2404)),"Trinidad and Tobago",
ISNUMBER(SEARCH("rn""&gt;Serbia and Montenegro",S2404)),"Serbia and Montenegro",
ISNUMBER(SEARCH(_xlfn.UNICHAR(65533),S2404)),"Côte d'Ivoire",
TRUE,""
)</f>
        <v/>
      </c>
      <c r="W2404" s="40" t="str">
        <f t="shared" si="180"/>
        <v>Germany</v>
      </c>
    </row>
    <row r="2405" spans="2:23">
      <c r="B2405" s="76" t="str">
        <v>2010.0</v>
      </c>
      <c r="C2405" s="42" t="str">
        <v xml:space="preserve">14 Jun 2010 - 13:30 </v>
      </c>
      <c r="D2405" s="42" t="str">
        <v>Group E</v>
      </c>
      <c r="E2405" s="42" t="str">
        <v>Soccer City Stadium</v>
      </c>
      <c r="F2405" s="42" t="str">
        <v xml:space="preserve">Johannesburg </v>
      </c>
      <c r="G2405" s="42" t="str">
        <v>Netherlands</v>
      </c>
      <c r="H2405" s="42" t="str">
        <v>2.0</v>
      </c>
      <c r="I2405" s="42" t="str">
        <v>0.0</v>
      </c>
      <c r="J2405" s="42" t="str">
        <v>Denmark</v>
      </c>
      <c r="K2405" s="42" t="str">
        <v xml:space="preserve"> </v>
      </c>
      <c r="L2405" s="42" t="str">
        <f t="shared" si="181"/>
        <v xml:space="preserve">2010.0|14 Jun 2010 - 13:30 |Group E|Soccer City Stadium|Johannesburg |Netherlands|2.0|0.0|Denmark| </v>
      </c>
      <c r="M2405" s="42" t="str">
        <f>IF(COUNTIF($L$1689:L2405,L2405)&gt;1,"DOUBLON","OK")</f>
        <v>OK</v>
      </c>
      <c r="S2405" s="40" t="str">
        <v>Italy</v>
      </c>
      <c r="T2405" s="40" t="str">
        <f t="shared" si="178"/>
        <v>OK</v>
      </c>
      <c r="U2405" s="40" t="str">
        <f t="shared" si="179"/>
        <v>-</v>
      </c>
      <c r="V2405" s="40" t="str" cm="1">
        <f t="array" ref="V2405">_xlfn.IFS(
ISNUMBER(SEARCH("USA",S2405)),"United States",
ISNUMBER(SEARCH("Republic of Ireland",S2405)),"Ireland",
ISNUMBER(SEARCH("Republic of Korea",S2405)),"South Korea",
ISNUMBER(SEARCH("Cape Verde",S2405)),"Cabo Verde",
ISNUMBER(SEARCH("Czechia",S2405)),"Czech Republic",
ISNUMBER(SEARCH("Türkiye",S2405)),"Turkey",
ISNUMBER(SEARCH("Ivory Coast",S2405)),"Côte d'Ivoire",
ISNUMBER(SEARCH("Korea Republic",S2405)),"South Korea",
ISNUMBER(SEARCH("Germany FR",S2405)),"FR Germany",
ISNUMBER(SEARCH("West Germany",S2405)),"FR Germany",
ISNUMBER(SEARCH("Germany DR",S2405)),"DR Germany",
ISNUMBER(SEARCH("Korea DPR",S2405)),"North Korea",
ISNUMBER(SEARCH("China PR",S2405)),"China",
ISNUMBER(SEARCH("IR Iran",S2405)),"Iran",
ISNUMBER(SEARCH("Congo DR",S2405)),"Democratic Republic of the Congo",
ISNUMBER(SEARCH("DR Congo",S2405)),"Democratic Republic of the Congo",
ISNUMBER(SEARCH("German DR",S2405)),"DR Germany",
ISNUMBER(SEARCH("rn""&gt;United Arab Emirates",S2405)),"United Arab Emirates",
ISNUMBER(SEARCH("rn""&gt;Republic of Ireland",S2405)),"Ireland",
ISNUMBER(SEARCH("rn""&gt;Bosnia and Herzegovina",S2405)),"Bosnia and Herzegovina",
ISNUMBER(SEARCH("rn""&gt;Trinidad and Tobago",S2405)),"Trinidad and Tobago",
ISNUMBER(SEARCH("rn""&gt;Serbia and Montenegro",S2405)),"Serbia and Montenegro",
ISNUMBER(SEARCH(_xlfn.UNICHAR(65533),S2405)),"Côte d'Ivoire",
TRUE,""
)</f>
        <v/>
      </c>
      <c r="W2405" s="40" t="str">
        <f t="shared" si="180"/>
        <v>Italy</v>
      </c>
    </row>
    <row r="2406" spans="2:23">
      <c r="B2406" s="76" t="str">
        <v>2010.0</v>
      </c>
      <c r="C2406" s="42" t="str">
        <v xml:space="preserve">14 Jun 2010 - 16:00 </v>
      </c>
      <c r="D2406" s="42" t="str">
        <v>Group E</v>
      </c>
      <c r="E2406" s="42" t="str">
        <v>Free State Stadium</v>
      </c>
      <c r="F2406" s="42" t="str">
        <v xml:space="preserve">Mangaung/Bloemfontein </v>
      </c>
      <c r="G2406" s="42" t="str">
        <v>Japan</v>
      </c>
      <c r="H2406" s="42" t="str">
        <v>1.0</v>
      </c>
      <c r="I2406" s="42" t="str">
        <v>0.0</v>
      </c>
      <c r="J2406" s="42" t="str">
        <v>Cameroon</v>
      </c>
      <c r="K2406" s="42" t="str">
        <v xml:space="preserve"> </v>
      </c>
      <c r="L2406" s="42" t="str">
        <f t="shared" si="181"/>
        <v xml:space="preserve">2010.0|14 Jun 2010 - 16:00 |Group E|Free State Stadium|Mangaung/Bloemfontein |Japan|1.0|0.0|Cameroon| </v>
      </c>
      <c r="M2406" s="42" t="str">
        <f>IF(COUNTIF($L$1689:L2406,L2406)&gt;1,"DOUBLON","OK")</f>
        <v>OK</v>
      </c>
      <c r="S2406" s="40" t="str">
        <v>Switzerland</v>
      </c>
      <c r="T2406" s="40" t="str">
        <f t="shared" si="178"/>
        <v>OK</v>
      </c>
      <c r="U2406" s="40" t="str">
        <f t="shared" si="179"/>
        <v>-</v>
      </c>
      <c r="V2406" s="40" t="str" cm="1">
        <f t="array" ref="V2406">_xlfn.IFS(
ISNUMBER(SEARCH("USA",S2406)),"United States",
ISNUMBER(SEARCH("Republic of Ireland",S2406)),"Ireland",
ISNUMBER(SEARCH("Republic of Korea",S2406)),"South Korea",
ISNUMBER(SEARCH("Cape Verde",S2406)),"Cabo Verde",
ISNUMBER(SEARCH("Czechia",S2406)),"Czech Republic",
ISNUMBER(SEARCH("Türkiye",S2406)),"Turkey",
ISNUMBER(SEARCH("Ivory Coast",S2406)),"Côte d'Ivoire",
ISNUMBER(SEARCH("Korea Republic",S2406)),"South Korea",
ISNUMBER(SEARCH("Germany FR",S2406)),"FR Germany",
ISNUMBER(SEARCH("West Germany",S2406)),"FR Germany",
ISNUMBER(SEARCH("Germany DR",S2406)),"DR Germany",
ISNUMBER(SEARCH("Korea DPR",S2406)),"North Korea",
ISNUMBER(SEARCH("China PR",S2406)),"China",
ISNUMBER(SEARCH("IR Iran",S2406)),"Iran",
ISNUMBER(SEARCH("Congo DR",S2406)),"Democratic Republic of the Congo",
ISNUMBER(SEARCH("DR Congo",S2406)),"Democratic Republic of the Congo",
ISNUMBER(SEARCH("German DR",S2406)),"DR Germany",
ISNUMBER(SEARCH("rn""&gt;United Arab Emirates",S2406)),"United Arab Emirates",
ISNUMBER(SEARCH("rn""&gt;Republic of Ireland",S2406)),"Ireland",
ISNUMBER(SEARCH("rn""&gt;Bosnia and Herzegovina",S2406)),"Bosnia and Herzegovina",
ISNUMBER(SEARCH("rn""&gt;Trinidad and Tobago",S2406)),"Trinidad and Tobago",
ISNUMBER(SEARCH("rn""&gt;Serbia and Montenegro",S2406)),"Serbia and Montenegro",
ISNUMBER(SEARCH(_xlfn.UNICHAR(65533),S2406)),"Côte d'Ivoire",
TRUE,""
)</f>
        <v/>
      </c>
      <c r="W2406" s="40" t="str">
        <f t="shared" si="180"/>
        <v>Switzerland</v>
      </c>
    </row>
    <row r="2407" spans="2:23">
      <c r="B2407" s="76" t="str">
        <v>2010.0</v>
      </c>
      <c r="C2407" s="42" t="str">
        <v xml:space="preserve">14 Jun 2010 - 20:30 </v>
      </c>
      <c r="D2407" s="42" t="str">
        <v>Group F</v>
      </c>
      <c r="E2407" s="42" t="str">
        <v>Cape Town Stadium</v>
      </c>
      <c r="F2407" s="42" t="str">
        <v xml:space="preserve">Cape Town </v>
      </c>
      <c r="G2407" s="42" t="str">
        <v>Italy</v>
      </c>
      <c r="H2407" s="42" t="str">
        <v>1.0</v>
      </c>
      <c r="I2407" s="42" t="str">
        <v>1.0</v>
      </c>
      <c r="J2407" s="42" t="str">
        <v>Paraguay</v>
      </c>
      <c r="K2407" s="42" t="str">
        <v xml:space="preserve"> </v>
      </c>
      <c r="L2407" s="42" t="str">
        <f t="shared" si="181"/>
        <v xml:space="preserve">2010.0|14 Jun 2010 - 20:30 |Group F|Cape Town Stadium|Cape Town |Italy|1.0|1.0|Paraguay| </v>
      </c>
      <c r="M2407" s="42" t="str">
        <f>IF(COUNTIF($L$1689:L2407,L2407)&gt;1,"DOUBLON","OK")</f>
        <v>OK</v>
      </c>
      <c r="S2407" s="40" t="str">
        <v>Hungary</v>
      </c>
      <c r="T2407" s="40" t="str">
        <f t="shared" si="178"/>
        <v>OK</v>
      </c>
      <c r="U2407" s="40" t="str">
        <f t="shared" si="179"/>
        <v>-</v>
      </c>
      <c r="V2407" s="40" t="str" cm="1">
        <f t="array" ref="V2407">_xlfn.IFS(
ISNUMBER(SEARCH("USA",S2407)),"United States",
ISNUMBER(SEARCH("Republic of Ireland",S2407)),"Ireland",
ISNUMBER(SEARCH("Republic of Korea",S2407)),"South Korea",
ISNUMBER(SEARCH("Cape Verde",S2407)),"Cabo Verde",
ISNUMBER(SEARCH("Czechia",S2407)),"Czech Republic",
ISNUMBER(SEARCH("Türkiye",S2407)),"Turkey",
ISNUMBER(SEARCH("Ivory Coast",S2407)),"Côte d'Ivoire",
ISNUMBER(SEARCH("Korea Republic",S2407)),"South Korea",
ISNUMBER(SEARCH("Germany FR",S2407)),"FR Germany",
ISNUMBER(SEARCH("West Germany",S2407)),"FR Germany",
ISNUMBER(SEARCH("Germany DR",S2407)),"DR Germany",
ISNUMBER(SEARCH("Korea DPR",S2407)),"North Korea",
ISNUMBER(SEARCH("China PR",S2407)),"China",
ISNUMBER(SEARCH("IR Iran",S2407)),"Iran",
ISNUMBER(SEARCH("Congo DR",S2407)),"Democratic Republic of the Congo",
ISNUMBER(SEARCH("DR Congo",S2407)),"Democratic Republic of the Congo",
ISNUMBER(SEARCH("German DR",S2407)),"DR Germany",
ISNUMBER(SEARCH("rn""&gt;United Arab Emirates",S2407)),"United Arab Emirates",
ISNUMBER(SEARCH("rn""&gt;Republic of Ireland",S2407)),"Ireland",
ISNUMBER(SEARCH("rn""&gt;Bosnia and Herzegovina",S2407)),"Bosnia and Herzegovina",
ISNUMBER(SEARCH("rn""&gt;Trinidad and Tobago",S2407)),"Trinidad and Tobago",
ISNUMBER(SEARCH("rn""&gt;Serbia and Montenegro",S2407)),"Serbia and Montenegro",
ISNUMBER(SEARCH(_xlfn.UNICHAR(65533),S2407)),"Côte d'Ivoire",
TRUE,""
)</f>
        <v/>
      </c>
      <c r="W2407" s="40" t="str">
        <f t="shared" si="180"/>
        <v>Hungary</v>
      </c>
    </row>
    <row r="2408" spans="2:23">
      <c r="B2408" s="76" t="str">
        <v>2010.0</v>
      </c>
      <c r="C2408" s="42" t="str">
        <v xml:space="preserve">15 Jun 2010 - 13:30 </v>
      </c>
      <c r="D2408" s="42" t="str">
        <v>Group F</v>
      </c>
      <c r="E2408" s="42" t="str">
        <v>Royal Bafokeng Sports Palace</v>
      </c>
      <c r="F2408" s="42" t="str">
        <v xml:space="preserve">Phokeng </v>
      </c>
      <c r="G2408" s="42" t="str">
        <v>New Zealand</v>
      </c>
      <c r="H2408" s="42" t="str">
        <v>1.0</v>
      </c>
      <c r="I2408" s="42" t="str">
        <v>1.0</v>
      </c>
      <c r="J2408" s="42" t="str">
        <v>Slovakia</v>
      </c>
      <c r="K2408" s="42" t="str">
        <v xml:space="preserve"> </v>
      </c>
      <c r="L2408" s="42" t="str">
        <f t="shared" si="181"/>
        <v xml:space="preserve">2010.0|15 Jun 2010 - 13:30 |Group F|Royal Bafokeng Sports Palace|Phokeng |New Zealand|1.0|1.0|Slovakia| </v>
      </c>
      <c r="M2408" s="42" t="str">
        <f>IF(COUNTIF($L$1689:L2408,L2408)&gt;1,"DOUBLON","OK")</f>
        <v>OK</v>
      </c>
      <c r="S2408" s="40" t="str">
        <v>France</v>
      </c>
      <c r="T2408" s="40" t="str">
        <f t="shared" si="178"/>
        <v>OK</v>
      </c>
      <c r="U2408" s="40" t="str">
        <f t="shared" si="179"/>
        <v>-</v>
      </c>
      <c r="V2408" s="40" t="str" cm="1">
        <f t="array" ref="V2408">_xlfn.IFS(
ISNUMBER(SEARCH("USA",S2408)),"United States",
ISNUMBER(SEARCH("Republic of Ireland",S2408)),"Ireland",
ISNUMBER(SEARCH("Republic of Korea",S2408)),"South Korea",
ISNUMBER(SEARCH("Cape Verde",S2408)),"Cabo Verde",
ISNUMBER(SEARCH("Czechia",S2408)),"Czech Republic",
ISNUMBER(SEARCH("Türkiye",S2408)),"Turkey",
ISNUMBER(SEARCH("Ivory Coast",S2408)),"Côte d'Ivoire",
ISNUMBER(SEARCH("Korea Republic",S2408)),"South Korea",
ISNUMBER(SEARCH("Germany FR",S2408)),"FR Germany",
ISNUMBER(SEARCH("West Germany",S2408)),"FR Germany",
ISNUMBER(SEARCH("Germany DR",S2408)),"DR Germany",
ISNUMBER(SEARCH("Korea DPR",S2408)),"North Korea",
ISNUMBER(SEARCH("China PR",S2408)),"China",
ISNUMBER(SEARCH("IR Iran",S2408)),"Iran",
ISNUMBER(SEARCH("Congo DR",S2408)),"Democratic Republic of the Congo",
ISNUMBER(SEARCH("DR Congo",S2408)),"Democratic Republic of the Congo",
ISNUMBER(SEARCH("German DR",S2408)),"DR Germany",
ISNUMBER(SEARCH("rn""&gt;United Arab Emirates",S2408)),"United Arab Emirates",
ISNUMBER(SEARCH("rn""&gt;Republic of Ireland",S2408)),"Ireland",
ISNUMBER(SEARCH("rn""&gt;Bosnia and Herzegovina",S2408)),"Bosnia and Herzegovina",
ISNUMBER(SEARCH("rn""&gt;Trinidad and Tobago",S2408)),"Trinidad and Tobago",
ISNUMBER(SEARCH("rn""&gt;Serbia and Montenegro",S2408)),"Serbia and Montenegro",
ISNUMBER(SEARCH(_xlfn.UNICHAR(65533),S2408)),"Côte d'Ivoire",
TRUE,""
)</f>
        <v/>
      </c>
      <c r="W2408" s="40" t="str">
        <f t="shared" si="180"/>
        <v>France</v>
      </c>
    </row>
    <row r="2409" spans="2:23">
      <c r="B2409" s="76" t="str">
        <v>2010.0</v>
      </c>
      <c r="C2409" s="42" t="str">
        <v xml:space="preserve">15 Jun 2010 - 16:00 </v>
      </c>
      <c r="D2409" s="42" t="str">
        <v>Group G</v>
      </c>
      <c r="E2409" s="42" t="str">
        <v>Port Elizabeth Stadium</v>
      </c>
      <c r="F2409" s="42" t="str">
        <v xml:space="preserve">Nelson Mandela Bay/Port Elizabeth </v>
      </c>
      <c r="G2409" s="42" t="str">
        <v>C�te d'Ivoire</v>
      </c>
      <c r="H2409" s="42" t="str">
        <v>0.0</v>
      </c>
      <c r="I2409" s="42" t="str">
        <v>0.0</v>
      </c>
      <c r="J2409" s="42" t="str">
        <v>Portugal</v>
      </c>
      <c r="K2409" s="42" t="str">
        <v xml:space="preserve"> </v>
      </c>
      <c r="L2409" s="42" t="str">
        <f t="shared" si="181"/>
        <v xml:space="preserve">2010.0|15 Jun 2010 - 16:00 |Group G|Port Elizabeth Stadium|Nelson Mandela Bay/Port Elizabeth |C�te d'Ivoire|0.0|0.0|Portugal| </v>
      </c>
      <c r="M2409" s="42" t="str">
        <f>IF(COUNTIF($L$1689:L2409,L2409)&gt;1,"DOUBLON","OK")</f>
        <v>OK</v>
      </c>
      <c r="S2409" s="40" t="str">
        <v>Cuba</v>
      </c>
      <c r="T2409" s="40" t="str">
        <f t="shared" si="178"/>
        <v>OK</v>
      </c>
      <c r="U2409" s="40" t="str">
        <f t="shared" si="179"/>
        <v>-</v>
      </c>
      <c r="V2409" s="40" t="str" cm="1">
        <f t="array" ref="V2409">_xlfn.IFS(
ISNUMBER(SEARCH("USA",S2409)),"United States",
ISNUMBER(SEARCH("Republic of Ireland",S2409)),"Ireland",
ISNUMBER(SEARCH("Republic of Korea",S2409)),"South Korea",
ISNUMBER(SEARCH("Cape Verde",S2409)),"Cabo Verde",
ISNUMBER(SEARCH("Czechia",S2409)),"Czech Republic",
ISNUMBER(SEARCH("Türkiye",S2409)),"Turkey",
ISNUMBER(SEARCH("Ivory Coast",S2409)),"Côte d'Ivoire",
ISNUMBER(SEARCH("Korea Republic",S2409)),"South Korea",
ISNUMBER(SEARCH("Germany FR",S2409)),"FR Germany",
ISNUMBER(SEARCH("West Germany",S2409)),"FR Germany",
ISNUMBER(SEARCH("Germany DR",S2409)),"DR Germany",
ISNUMBER(SEARCH("Korea DPR",S2409)),"North Korea",
ISNUMBER(SEARCH("China PR",S2409)),"China",
ISNUMBER(SEARCH("IR Iran",S2409)),"Iran",
ISNUMBER(SEARCH("Congo DR",S2409)),"Democratic Republic of the Congo",
ISNUMBER(SEARCH("DR Congo",S2409)),"Democratic Republic of the Congo",
ISNUMBER(SEARCH("German DR",S2409)),"DR Germany",
ISNUMBER(SEARCH("rn""&gt;United Arab Emirates",S2409)),"United Arab Emirates",
ISNUMBER(SEARCH("rn""&gt;Republic of Ireland",S2409)),"Ireland",
ISNUMBER(SEARCH("rn""&gt;Bosnia and Herzegovina",S2409)),"Bosnia and Herzegovina",
ISNUMBER(SEARCH("rn""&gt;Trinidad and Tobago",S2409)),"Trinidad and Tobago",
ISNUMBER(SEARCH("rn""&gt;Serbia and Montenegro",S2409)),"Serbia and Montenegro",
ISNUMBER(SEARCH(_xlfn.UNICHAR(65533),S2409)),"Côte d'Ivoire",
TRUE,""
)</f>
        <v/>
      </c>
      <c r="W2409" s="40" t="str">
        <f t="shared" si="180"/>
        <v>Cuba</v>
      </c>
    </row>
    <row r="2410" spans="2:23">
      <c r="B2410" s="76" t="str">
        <v>2010.0</v>
      </c>
      <c r="C2410" s="42" t="str">
        <v xml:space="preserve">15 Jun 2010 - 20:30 </v>
      </c>
      <c r="D2410" s="42" t="str">
        <v>Group G</v>
      </c>
      <c r="E2410" s="42" t="str">
        <v>Ellis Park Stadium</v>
      </c>
      <c r="F2410" s="42" t="str">
        <v xml:space="preserve">Johannesburg </v>
      </c>
      <c r="G2410" s="42" t="str">
        <v>Brazil</v>
      </c>
      <c r="H2410" s="42" t="str">
        <v>2.0</v>
      </c>
      <c r="I2410" s="42" t="str">
        <v>1.0</v>
      </c>
      <c r="J2410" s="42" t="str">
        <v>Korea DPR</v>
      </c>
      <c r="K2410" s="42" t="str">
        <v xml:space="preserve"> </v>
      </c>
      <c r="L2410" s="42" t="str">
        <f t="shared" si="181"/>
        <v xml:space="preserve">2010.0|15 Jun 2010 - 20:30 |Group G|Ellis Park Stadium|Johannesburg |Brazil|2.0|1.0|Korea DPR| </v>
      </c>
      <c r="M2410" s="42" t="str">
        <f>IF(COUNTIF($L$1689:L2410,L2410)&gt;1,"DOUBLON","OK")</f>
        <v>OK</v>
      </c>
      <c r="S2410" s="40" t="str">
        <v>Italy</v>
      </c>
      <c r="T2410" s="40" t="str">
        <f t="shared" si="178"/>
        <v>OK</v>
      </c>
      <c r="U2410" s="40" t="str">
        <f t="shared" si="179"/>
        <v>-</v>
      </c>
      <c r="V2410" s="40" t="str" cm="1">
        <f t="array" ref="V2410">_xlfn.IFS(
ISNUMBER(SEARCH("USA",S2410)),"United States",
ISNUMBER(SEARCH("Republic of Ireland",S2410)),"Ireland",
ISNUMBER(SEARCH("Republic of Korea",S2410)),"South Korea",
ISNUMBER(SEARCH("Cape Verde",S2410)),"Cabo Verde",
ISNUMBER(SEARCH("Czechia",S2410)),"Czech Republic",
ISNUMBER(SEARCH("Türkiye",S2410)),"Turkey",
ISNUMBER(SEARCH("Ivory Coast",S2410)),"Côte d'Ivoire",
ISNUMBER(SEARCH("Korea Republic",S2410)),"South Korea",
ISNUMBER(SEARCH("Germany FR",S2410)),"FR Germany",
ISNUMBER(SEARCH("West Germany",S2410)),"FR Germany",
ISNUMBER(SEARCH("Germany DR",S2410)),"DR Germany",
ISNUMBER(SEARCH("Korea DPR",S2410)),"North Korea",
ISNUMBER(SEARCH("China PR",S2410)),"China",
ISNUMBER(SEARCH("IR Iran",S2410)),"Iran",
ISNUMBER(SEARCH("Congo DR",S2410)),"Democratic Republic of the Congo",
ISNUMBER(SEARCH("DR Congo",S2410)),"Democratic Republic of the Congo",
ISNUMBER(SEARCH("German DR",S2410)),"DR Germany",
ISNUMBER(SEARCH("rn""&gt;United Arab Emirates",S2410)),"United Arab Emirates",
ISNUMBER(SEARCH("rn""&gt;Republic of Ireland",S2410)),"Ireland",
ISNUMBER(SEARCH("rn""&gt;Bosnia and Herzegovina",S2410)),"Bosnia and Herzegovina",
ISNUMBER(SEARCH("rn""&gt;Trinidad and Tobago",S2410)),"Trinidad and Tobago",
ISNUMBER(SEARCH("rn""&gt;Serbia and Montenegro",S2410)),"Serbia and Montenegro",
ISNUMBER(SEARCH(_xlfn.UNICHAR(65533),S2410)),"Côte d'Ivoire",
TRUE,""
)</f>
        <v/>
      </c>
      <c r="W2410" s="40" t="str">
        <f t="shared" si="180"/>
        <v>Italy</v>
      </c>
    </row>
    <row r="2411" spans="2:23">
      <c r="B2411" s="76" t="str">
        <v>2010.0</v>
      </c>
      <c r="C2411" s="42" t="str">
        <v xml:space="preserve">16 Jun 2010 - 13:30 </v>
      </c>
      <c r="D2411" s="42" t="str">
        <v>Group H</v>
      </c>
      <c r="E2411" s="42" t="str">
        <v>Mbombela Stadium</v>
      </c>
      <c r="F2411" s="42" t="str">
        <v xml:space="preserve">Nelspruit </v>
      </c>
      <c r="G2411" s="42" t="str">
        <v>Honduras</v>
      </c>
      <c r="H2411" s="42" t="str">
        <v>0.0</v>
      </c>
      <c r="I2411" s="42" t="str">
        <v>1.0</v>
      </c>
      <c r="J2411" s="42" t="str">
        <v>Chile</v>
      </c>
      <c r="K2411" s="42" t="str">
        <v xml:space="preserve"> </v>
      </c>
      <c r="L2411" s="42" t="str">
        <f t="shared" si="181"/>
        <v xml:space="preserve">2010.0|16 Jun 2010 - 13:30 |Group H|Mbombela Stadium|Nelspruit |Honduras|0.0|1.0|Chile| </v>
      </c>
      <c r="M2411" s="42" t="str">
        <f>IF(COUNTIF($L$1689:L2411,L2411)&gt;1,"DOUBLON","OK")</f>
        <v>OK</v>
      </c>
      <c r="S2411" s="40" t="str">
        <v>Brazil</v>
      </c>
      <c r="T2411" s="40" t="str">
        <f t="shared" si="178"/>
        <v>OK</v>
      </c>
      <c r="U2411" s="40" t="str">
        <f t="shared" si="179"/>
        <v>-</v>
      </c>
      <c r="V2411" s="40" t="str" cm="1">
        <f t="array" ref="V2411">_xlfn.IFS(
ISNUMBER(SEARCH("USA",S2411)),"United States",
ISNUMBER(SEARCH("Republic of Ireland",S2411)),"Ireland",
ISNUMBER(SEARCH("Republic of Korea",S2411)),"South Korea",
ISNUMBER(SEARCH("Cape Verde",S2411)),"Cabo Verde",
ISNUMBER(SEARCH("Czechia",S2411)),"Czech Republic",
ISNUMBER(SEARCH("Türkiye",S2411)),"Turkey",
ISNUMBER(SEARCH("Ivory Coast",S2411)),"Côte d'Ivoire",
ISNUMBER(SEARCH("Korea Republic",S2411)),"South Korea",
ISNUMBER(SEARCH("Germany FR",S2411)),"FR Germany",
ISNUMBER(SEARCH("West Germany",S2411)),"FR Germany",
ISNUMBER(SEARCH("Germany DR",S2411)),"DR Germany",
ISNUMBER(SEARCH("Korea DPR",S2411)),"North Korea",
ISNUMBER(SEARCH("China PR",S2411)),"China",
ISNUMBER(SEARCH("IR Iran",S2411)),"Iran",
ISNUMBER(SEARCH("Congo DR",S2411)),"Democratic Republic of the Congo",
ISNUMBER(SEARCH("DR Congo",S2411)),"Democratic Republic of the Congo",
ISNUMBER(SEARCH("German DR",S2411)),"DR Germany",
ISNUMBER(SEARCH("rn""&gt;United Arab Emirates",S2411)),"United Arab Emirates",
ISNUMBER(SEARCH("rn""&gt;Republic of Ireland",S2411)),"Ireland",
ISNUMBER(SEARCH("rn""&gt;Bosnia and Herzegovina",S2411)),"Bosnia and Herzegovina",
ISNUMBER(SEARCH("rn""&gt;Trinidad and Tobago",S2411)),"Trinidad and Tobago",
ISNUMBER(SEARCH("rn""&gt;Serbia and Montenegro",S2411)),"Serbia and Montenegro",
ISNUMBER(SEARCH(_xlfn.UNICHAR(65533),S2411)),"Côte d'Ivoire",
TRUE,""
)</f>
        <v/>
      </c>
      <c r="W2411" s="40" t="str">
        <f t="shared" si="180"/>
        <v>Brazil</v>
      </c>
    </row>
    <row r="2412" spans="2:23">
      <c r="B2412" s="76" t="str">
        <v>2010.0</v>
      </c>
      <c r="C2412" s="42" t="str">
        <v xml:space="preserve">16 Jun 2010 - 16:00 </v>
      </c>
      <c r="D2412" s="42" t="str">
        <v>Group H</v>
      </c>
      <c r="E2412" s="42" t="str">
        <v>Durban Stadium</v>
      </c>
      <c r="F2412" s="42" t="str">
        <v xml:space="preserve">Durban </v>
      </c>
      <c r="G2412" s="42" t="str">
        <v>Spain</v>
      </c>
      <c r="H2412" s="42" t="str">
        <v>0.0</v>
      </c>
      <c r="I2412" s="42" t="str">
        <v>1.0</v>
      </c>
      <c r="J2412" s="42" t="str">
        <v>Switzerland</v>
      </c>
      <c r="K2412" s="42" t="str">
        <v xml:space="preserve"> </v>
      </c>
      <c r="L2412" s="42" t="str">
        <f t="shared" si="181"/>
        <v xml:space="preserve">2010.0|16 Jun 2010 - 16:00 |Group H|Durban Stadium|Durban |Spain|0.0|1.0|Switzerland| </v>
      </c>
      <c r="M2412" s="42" t="str">
        <f>IF(COUNTIF($L$1689:L2412,L2412)&gt;1,"DOUBLON","OK")</f>
        <v>OK</v>
      </c>
      <c r="S2412" s="40" t="str">
        <v>Czechoslovakia</v>
      </c>
      <c r="T2412" s="40" t="str">
        <f t="shared" si="178"/>
        <v>ERREUR</v>
      </c>
      <c r="U2412" s="40" t="str">
        <f t="shared" si="179"/>
        <v>AUCUNE</v>
      </c>
      <c r="V2412" s="40" t="str" cm="1">
        <f t="array" ref="V2412">_xlfn.IFS(
ISNUMBER(SEARCH("USA",S2412)),"United States",
ISNUMBER(SEARCH("Republic of Ireland",S2412)),"Ireland",
ISNUMBER(SEARCH("Republic of Korea",S2412)),"South Korea",
ISNUMBER(SEARCH("Cape Verde",S2412)),"Cabo Verde",
ISNUMBER(SEARCH("Czechia",S2412)),"Czech Republic",
ISNUMBER(SEARCH("Türkiye",S2412)),"Turkey",
ISNUMBER(SEARCH("Ivory Coast",S2412)),"Côte d'Ivoire",
ISNUMBER(SEARCH("Korea Republic",S2412)),"South Korea",
ISNUMBER(SEARCH("Germany FR",S2412)),"FR Germany",
ISNUMBER(SEARCH("West Germany",S2412)),"FR Germany",
ISNUMBER(SEARCH("Germany DR",S2412)),"DR Germany",
ISNUMBER(SEARCH("Korea DPR",S2412)),"North Korea",
ISNUMBER(SEARCH("China PR",S2412)),"China",
ISNUMBER(SEARCH("IR Iran",S2412)),"Iran",
ISNUMBER(SEARCH("Congo DR",S2412)),"Democratic Republic of the Congo",
ISNUMBER(SEARCH("DR Congo",S2412)),"Democratic Republic of the Congo",
ISNUMBER(SEARCH("German DR",S2412)),"DR Germany",
ISNUMBER(SEARCH("rn""&gt;United Arab Emirates",S2412)),"United Arab Emirates",
ISNUMBER(SEARCH("rn""&gt;Republic of Ireland",S2412)),"Ireland",
ISNUMBER(SEARCH("rn""&gt;Bosnia and Herzegovina",S2412)),"Bosnia and Herzegovina",
ISNUMBER(SEARCH("rn""&gt;Trinidad and Tobago",S2412)),"Trinidad and Tobago",
ISNUMBER(SEARCH("rn""&gt;Serbia and Montenegro",S2412)),"Serbia and Montenegro",
ISNUMBER(SEARCH(_xlfn.UNICHAR(65533),S2412)),"Côte d'Ivoire",
TRUE,""
)</f>
        <v/>
      </c>
      <c r="W2412" s="40" t="str">
        <f t="shared" si="180"/>
        <v>Czechoslovakia</v>
      </c>
    </row>
    <row r="2413" spans="2:23">
      <c r="B2413" s="76" t="str">
        <v>2010.0</v>
      </c>
      <c r="C2413" s="42" t="str">
        <v xml:space="preserve">16 Jun 2010 - 20:30 </v>
      </c>
      <c r="D2413" s="42" t="str">
        <v>Group A</v>
      </c>
      <c r="E2413" s="42" t="str">
        <v>Loftus Versfeld Stadium</v>
      </c>
      <c r="F2413" s="42" t="str">
        <v xml:space="preserve">Tshwane/Pretoria </v>
      </c>
      <c r="G2413" s="42" t="str">
        <v>South Africa</v>
      </c>
      <c r="H2413" s="42" t="str">
        <v>0.0</v>
      </c>
      <c r="I2413" s="42" t="str">
        <v>3.0</v>
      </c>
      <c r="J2413" s="42" t="str">
        <v>Uruguay</v>
      </c>
      <c r="K2413" s="42" t="str">
        <v xml:space="preserve"> </v>
      </c>
      <c r="L2413" s="42" t="str">
        <f t="shared" si="181"/>
        <v xml:space="preserve">2010.0|16 Jun 2010 - 20:30 |Group A|Loftus Versfeld Stadium|Tshwane/Pretoria |South Africa|0.0|3.0|Uruguay| </v>
      </c>
      <c r="M2413" s="42" t="str">
        <f>IF(COUNTIF($L$1689:L2413,L2413)&gt;1,"DOUBLON","OK")</f>
        <v>OK</v>
      </c>
      <c r="S2413" s="40" t="str">
        <v>Cuba</v>
      </c>
      <c r="T2413" s="40" t="str">
        <f t="shared" si="178"/>
        <v>OK</v>
      </c>
      <c r="U2413" s="40" t="str">
        <f t="shared" si="179"/>
        <v>-</v>
      </c>
      <c r="V2413" s="40" t="str" cm="1">
        <f t="array" ref="V2413">_xlfn.IFS(
ISNUMBER(SEARCH("USA",S2413)),"United States",
ISNUMBER(SEARCH("Republic of Ireland",S2413)),"Ireland",
ISNUMBER(SEARCH("Republic of Korea",S2413)),"South Korea",
ISNUMBER(SEARCH("Cape Verde",S2413)),"Cabo Verde",
ISNUMBER(SEARCH("Czechia",S2413)),"Czech Republic",
ISNUMBER(SEARCH("Türkiye",S2413)),"Turkey",
ISNUMBER(SEARCH("Ivory Coast",S2413)),"Côte d'Ivoire",
ISNUMBER(SEARCH("Korea Republic",S2413)),"South Korea",
ISNUMBER(SEARCH("Germany FR",S2413)),"FR Germany",
ISNUMBER(SEARCH("West Germany",S2413)),"FR Germany",
ISNUMBER(SEARCH("Germany DR",S2413)),"DR Germany",
ISNUMBER(SEARCH("Korea DPR",S2413)),"North Korea",
ISNUMBER(SEARCH("China PR",S2413)),"China",
ISNUMBER(SEARCH("IR Iran",S2413)),"Iran",
ISNUMBER(SEARCH("Congo DR",S2413)),"Democratic Republic of the Congo",
ISNUMBER(SEARCH("DR Congo",S2413)),"Democratic Republic of the Congo",
ISNUMBER(SEARCH("German DR",S2413)),"DR Germany",
ISNUMBER(SEARCH("rn""&gt;United Arab Emirates",S2413)),"United Arab Emirates",
ISNUMBER(SEARCH("rn""&gt;Republic of Ireland",S2413)),"Ireland",
ISNUMBER(SEARCH("rn""&gt;Bosnia and Herzegovina",S2413)),"Bosnia and Herzegovina",
ISNUMBER(SEARCH("rn""&gt;Trinidad and Tobago",S2413)),"Trinidad and Tobago",
ISNUMBER(SEARCH("rn""&gt;Serbia and Montenegro",S2413)),"Serbia and Montenegro",
ISNUMBER(SEARCH(_xlfn.UNICHAR(65533),S2413)),"Côte d'Ivoire",
TRUE,""
)</f>
        <v/>
      </c>
      <c r="W2413" s="40" t="str">
        <f t="shared" si="180"/>
        <v>Cuba</v>
      </c>
    </row>
    <row r="2414" spans="2:23">
      <c r="B2414" s="76" t="str">
        <v>2010.0</v>
      </c>
      <c r="C2414" s="42" t="str">
        <v xml:space="preserve">17 Jun 2010 - 13:30 </v>
      </c>
      <c r="D2414" s="42" t="str">
        <v>Group B</v>
      </c>
      <c r="E2414" s="42" t="str">
        <v>Soccer City Stadium</v>
      </c>
      <c r="F2414" s="42" t="str">
        <v xml:space="preserve">Johannesburg </v>
      </c>
      <c r="G2414" s="42" t="str">
        <v>Argentina</v>
      </c>
      <c r="H2414" s="42" t="str">
        <v>4.0</v>
      </c>
      <c r="I2414" s="42" t="str">
        <v>1.0</v>
      </c>
      <c r="J2414" s="42" t="str">
        <v>Korea Republic</v>
      </c>
      <c r="K2414" s="42" t="str">
        <v xml:space="preserve"> </v>
      </c>
      <c r="L2414" s="42" t="str">
        <f t="shared" si="181"/>
        <v xml:space="preserve">2010.0|17 Jun 2010 - 13:30 |Group B|Soccer City Stadium|Johannesburg |Argentina|4.0|1.0|Korea Republic| </v>
      </c>
      <c r="M2414" s="42" t="str">
        <f>IF(COUNTIF($L$1689:L2414,L2414)&gt;1,"DOUBLON","OK")</f>
        <v>OK</v>
      </c>
      <c r="S2414" s="40" t="str">
        <v>Switzerland</v>
      </c>
      <c r="T2414" s="40" t="str">
        <f t="shared" si="178"/>
        <v>OK</v>
      </c>
      <c r="U2414" s="40" t="str">
        <f t="shared" si="179"/>
        <v>-</v>
      </c>
      <c r="V2414" s="40" t="str" cm="1">
        <f t="array" ref="V2414">_xlfn.IFS(
ISNUMBER(SEARCH("USA",S2414)),"United States",
ISNUMBER(SEARCH("Republic of Ireland",S2414)),"Ireland",
ISNUMBER(SEARCH("Republic of Korea",S2414)),"South Korea",
ISNUMBER(SEARCH("Cape Verde",S2414)),"Cabo Verde",
ISNUMBER(SEARCH("Czechia",S2414)),"Czech Republic",
ISNUMBER(SEARCH("Türkiye",S2414)),"Turkey",
ISNUMBER(SEARCH("Ivory Coast",S2414)),"Côte d'Ivoire",
ISNUMBER(SEARCH("Korea Republic",S2414)),"South Korea",
ISNUMBER(SEARCH("Germany FR",S2414)),"FR Germany",
ISNUMBER(SEARCH("West Germany",S2414)),"FR Germany",
ISNUMBER(SEARCH("Germany DR",S2414)),"DR Germany",
ISNUMBER(SEARCH("Korea DPR",S2414)),"North Korea",
ISNUMBER(SEARCH("China PR",S2414)),"China",
ISNUMBER(SEARCH("IR Iran",S2414)),"Iran",
ISNUMBER(SEARCH("Congo DR",S2414)),"Democratic Republic of the Congo",
ISNUMBER(SEARCH("DR Congo",S2414)),"Democratic Republic of the Congo",
ISNUMBER(SEARCH("German DR",S2414)),"DR Germany",
ISNUMBER(SEARCH("rn""&gt;United Arab Emirates",S2414)),"United Arab Emirates",
ISNUMBER(SEARCH("rn""&gt;Republic of Ireland",S2414)),"Ireland",
ISNUMBER(SEARCH("rn""&gt;Bosnia and Herzegovina",S2414)),"Bosnia and Herzegovina",
ISNUMBER(SEARCH("rn""&gt;Trinidad and Tobago",S2414)),"Trinidad and Tobago",
ISNUMBER(SEARCH("rn""&gt;Serbia and Montenegro",S2414)),"Serbia and Montenegro",
ISNUMBER(SEARCH(_xlfn.UNICHAR(65533),S2414)),"Côte d'Ivoire",
TRUE,""
)</f>
        <v/>
      </c>
      <c r="W2414" s="40" t="str">
        <f t="shared" si="180"/>
        <v>Switzerland</v>
      </c>
    </row>
    <row r="2415" spans="2:23">
      <c r="B2415" s="76" t="str">
        <v>2010.0</v>
      </c>
      <c r="C2415" s="42" t="str">
        <v xml:space="preserve">17 Jun 2010 - 16:00 </v>
      </c>
      <c r="D2415" s="42" t="str">
        <v>Group B</v>
      </c>
      <c r="E2415" s="42" t="str">
        <v>Free State Stadium</v>
      </c>
      <c r="F2415" s="42" t="str">
        <v xml:space="preserve">Mangaung/Bloemfontein </v>
      </c>
      <c r="G2415" s="42" t="str">
        <v>Greece</v>
      </c>
      <c r="H2415" s="42" t="str">
        <v>2.0</v>
      </c>
      <c r="I2415" s="42" t="str">
        <v>1.0</v>
      </c>
      <c r="J2415" s="42" t="str">
        <v>Nigeria</v>
      </c>
      <c r="K2415" s="42" t="str">
        <v xml:space="preserve"> </v>
      </c>
      <c r="L2415" s="42" t="str">
        <f t="shared" si="181"/>
        <v xml:space="preserve">2010.0|17 Jun 2010 - 16:00 |Group B|Free State Stadium|Mangaung/Bloemfontein |Greece|2.0|1.0|Nigeria| </v>
      </c>
      <c r="M2415" s="42" t="str">
        <f>IF(COUNTIF($L$1689:L2415,L2415)&gt;1,"DOUBLON","OK")</f>
        <v>OK</v>
      </c>
      <c r="S2415" s="40" t="str">
        <v>Brazil</v>
      </c>
      <c r="T2415" s="40" t="str">
        <f t="shared" si="178"/>
        <v>OK</v>
      </c>
      <c r="U2415" s="40" t="str">
        <f t="shared" si="179"/>
        <v>-</v>
      </c>
      <c r="V2415" s="40" t="str" cm="1">
        <f t="array" ref="V2415">_xlfn.IFS(
ISNUMBER(SEARCH("USA",S2415)),"United States",
ISNUMBER(SEARCH("Republic of Ireland",S2415)),"Ireland",
ISNUMBER(SEARCH("Republic of Korea",S2415)),"South Korea",
ISNUMBER(SEARCH("Cape Verde",S2415)),"Cabo Verde",
ISNUMBER(SEARCH("Czechia",S2415)),"Czech Republic",
ISNUMBER(SEARCH("Türkiye",S2415)),"Turkey",
ISNUMBER(SEARCH("Ivory Coast",S2415)),"Côte d'Ivoire",
ISNUMBER(SEARCH("Korea Republic",S2415)),"South Korea",
ISNUMBER(SEARCH("Germany FR",S2415)),"FR Germany",
ISNUMBER(SEARCH("West Germany",S2415)),"FR Germany",
ISNUMBER(SEARCH("Germany DR",S2415)),"DR Germany",
ISNUMBER(SEARCH("Korea DPR",S2415)),"North Korea",
ISNUMBER(SEARCH("China PR",S2415)),"China",
ISNUMBER(SEARCH("IR Iran",S2415)),"Iran",
ISNUMBER(SEARCH("Congo DR",S2415)),"Democratic Republic of the Congo",
ISNUMBER(SEARCH("DR Congo",S2415)),"Democratic Republic of the Congo",
ISNUMBER(SEARCH("German DR",S2415)),"DR Germany",
ISNUMBER(SEARCH("rn""&gt;United Arab Emirates",S2415)),"United Arab Emirates",
ISNUMBER(SEARCH("rn""&gt;Republic of Ireland",S2415)),"Ireland",
ISNUMBER(SEARCH("rn""&gt;Bosnia and Herzegovina",S2415)),"Bosnia and Herzegovina",
ISNUMBER(SEARCH("rn""&gt;Trinidad and Tobago",S2415)),"Trinidad and Tobago",
ISNUMBER(SEARCH("rn""&gt;Serbia and Montenegro",S2415)),"Serbia and Montenegro",
ISNUMBER(SEARCH(_xlfn.UNICHAR(65533),S2415)),"Côte d'Ivoire",
TRUE,""
)</f>
        <v/>
      </c>
      <c r="W2415" s="40" t="str">
        <f t="shared" si="180"/>
        <v>Brazil</v>
      </c>
    </row>
    <row r="2416" spans="2:23">
      <c r="B2416" s="76" t="str">
        <v>2010.0</v>
      </c>
      <c r="C2416" s="42" t="str">
        <v xml:space="preserve">17 Jun 2010 - 20:30 </v>
      </c>
      <c r="D2416" s="42" t="str">
        <v>Group A</v>
      </c>
      <c r="E2416" s="42" t="str">
        <v>Peter Mokaba Stadium</v>
      </c>
      <c r="F2416" s="42" t="str">
        <v xml:space="preserve">Polokwane </v>
      </c>
      <c r="G2416" s="42" t="str">
        <v>France</v>
      </c>
      <c r="H2416" s="42" t="str">
        <v>0.0</v>
      </c>
      <c r="I2416" s="42" t="str">
        <v>2.0</v>
      </c>
      <c r="J2416" s="42" t="str">
        <v>Mexico</v>
      </c>
      <c r="K2416" s="42" t="str">
        <v xml:space="preserve"> </v>
      </c>
      <c r="L2416" s="42" t="str">
        <f t="shared" si="181"/>
        <v xml:space="preserve">2010.0|17 Jun 2010 - 20:30 |Group A|Peter Mokaba Stadium|Polokwane |France|0.0|2.0|Mexico| </v>
      </c>
      <c r="M2416" s="42" t="str">
        <f>IF(COUNTIF($L$1689:L2416,L2416)&gt;1,"DOUBLON","OK")</f>
        <v>OK</v>
      </c>
      <c r="S2416" s="40" t="str">
        <v>Hungary</v>
      </c>
      <c r="T2416" s="40" t="str">
        <f t="shared" si="178"/>
        <v>OK</v>
      </c>
      <c r="U2416" s="40" t="str">
        <f t="shared" si="179"/>
        <v>-</v>
      </c>
      <c r="V2416" s="40" t="str" cm="1">
        <f t="array" ref="V2416">_xlfn.IFS(
ISNUMBER(SEARCH("USA",S2416)),"United States",
ISNUMBER(SEARCH("Republic of Ireland",S2416)),"Ireland",
ISNUMBER(SEARCH("Republic of Korea",S2416)),"South Korea",
ISNUMBER(SEARCH("Cape Verde",S2416)),"Cabo Verde",
ISNUMBER(SEARCH("Czechia",S2416)),"Czech Republic",
ISNUMBER(SEARCH("Türkiye",S2416)),"Turkey",
ISNUMBER(SEARCH("Ivory Coast",S2416)),"Côte d'Ivoire",
ISNUMBER(SEARCH("Korea Republic",S2416)),"South Korea",
ISNUMBER(SEARCH("Germany FR",S2416)),"FR Germany",
ISNUMBER(SEARCH("West Germany",S2416)),"FR Germany",
ISNUMBER(SEARCH("Germany DR",S2416)),"DR Germany",
ISNUMBER(SEARCH("Korea DPR",S2416)),"North Korea",
ISNUMBER(SEARCH("China PR",S2416)),"China",
ISNUMBER(SEARCH("IR Iran",S2416)),"Iran",
ISNUMBER(SEARCH("Congo DR",S2416)),"Democratic Republic of the Congo",
ISNUMBER(SEARCH("DR Congo",S2416)),"Democratic Republic of the Congo",
ISNUMBER(SEARCH("German DR",S2416)),"DR Germany",
ISNUMBER(SEARCH("rn""&gt;United Arab Emirates",S2416)),"United Arab Emirates",
ISNUMBER(SEARCH("rn""&gt;Republic of Ireland",S2416)),"Ireland",
ISNUMBER(SEARCH("rn""&gt;Bosnia and Herzegovina",S2416)),"Bosnia and Herzegovina",
ISNUMBER(SEARCH("rn""&gt;Trinidad and Tobago",S2416)),"Trinidad and Tobago",
ISNUMBER(SEARCH("rn""&gt;Serbia and Montenegro",S2416)),"Serbia and Montenegro",
ISNUMBER(SEARCH(_xlfn.UNICHAR(65533),S2416)),"Côte d'Ivoire",
TRUE,""
)</f>
        <v/>
      </c>
      <c r="W2416" s="40" t="str">
        <f t="shared" si="180"/>
        <v>Hungary</v>
      </c>
    </row>
    <row r="2417" spans="2:23">
      <c r="B2417" s="76" t="str">
        <v>2010.0</v>
      </c>
      <c r="C2417" s="42" t="str">
        <v xml:space="preserve">18 Jun 2010 - 13:30 </v>
      </c>
      <c r="D2417" s="42" t="str">
        <v>Group D</v>
      </c>
      <c r="E2417" s="42" t="str">
        <v>Port Elizabeth Stadium</v>
      </c>
      <c r="F2417" s="42" t="str">
        <v xml:space="preserve">Nelson Mandela Bay/Port Elizabeth </v>
      </c>
      <c r="G2417" s="42" t="str">
        <v>Germany</v>
      </c>
      <c r="H2417" s="42" t="str">
        <v>0.0</v>
      </c>
      <c r="I2417" s="42" t="str">
        <v>1.0</v>
      </c>
      <c r="J2417" s="42" t="str">
        <v>Serbia</v>
      </c>
      <c r="K2417" s="42" t="str">
        <v xml:space="preserve"> </v>
      </c>
      <c r="L2417" s="42" t="str">
        <f t="shared" si="181"/>
        <v xml:space="preserve">2010.0|18 Jun 2010 - 13:30 |Group D|Port Elizabeth Stadium|Nelson Mandela Bay/Port Elizabeth |Germany|0.0|1.0|Serbia| </v>
      </c>
      <c r="M2417" s="42" t="str">
        <f>IF(COUNTIF($L$1689:L2417,L2417)&gt;1,"DOUBLON","OK")</f>
        <v>OK</v>
      </c>
      <c r="S2417" s="40" t="str">
        <v>Sweden</v>
      </c>
      <c r="T2417" s="40" t="str">
        <f t="shared" si="178"/>
        <v>OK</v>
      </c>
      <c r="U2417" s="40" t="str">
        <f t="shared" si="179"/>
        <v>-</v>
      </c>
      <c r="V2417" s="40" t="str" cm="1">
        <f t="array" ref="V2417">_xlfn.IFS(
ISNUMBER(SEARCH("USA",S2417)),"United States",
ISNUMBER(SEARCH("Republic of Ireland",S2417)),"Ireland",
ISNUMBER(SEARCH("Republic of Korea",S2417)),"South Korea",
ISNUMBER(SEARCH("Cape Verde",S2417)),"Cabo Verde",
ISNUMBER(SEARCH("Czechia",S2417)),"Czech Republic",
ISNUMBER(SEARCH("Türkiye",S2417)),"Turkey",
ISNUMBER(SEARCH("Ivory Coast",S2417)),"Côte d'Ivoire",
ISNUMBER(SEARCH("Korea Republic",S2417)),"South Korea",
ISNUMBER(SEARCH("Germany FR",S2417)),"FR Germany",
ISNUMBER(SEARCH("West Germany",S2417)),"FR Germany",
ISNUMBER(SEARCH("Germany DR",S2417)),"DR Germany",
ISNUMBER(SEARCH("Korea DPR",S2417)),"North Korea",
ISNUMBER(SEARCH("China PR",S2417)),"China",
ISNUMBER(SEARCH("IR Iran",S2417)),"Iran",
ISNUMBER(SEARCH("Congo DR",S2417)),"Democratic Republic of the Congo",
ISNUMBER(SEARCH("DR Congo",S2417)),"Democratic Republic of the Congo",
ISNUMBER(SEARCH("German DR",S2417)),"DR Germany",
ISNUMBER(SEARCH("rn""&gt;United Arab Emirates",S2417)),"United Arab Emirates",
ISNUMBER(SEARCH("rn""&gt;Republic of Ireland",S2417)),"Ireland",
ISNUMBER(SEARCH("rn""&gt;Bosnia and Herzegovina",S2417)),"Bosnia and Herzegovina",
ISNUMBER(SEARCH("rn""&gt;Trinidad and Tobago",S2417)),"Trinidad and Tobago",
ISNUMBER(SEARCH("rn""&gt;Serbia and Montenegro",S2417)),"Serbia and Montenegro",
ISNUMBER(SEARCH(_xlfn.UNICHAR(65533),S2417)),"Côte d'Ivoire",
TRUE,""
)</f>
        <v/>
      </c>
      <c r="W2417" s="40" t="str">
        <f t="shared" si="180"/>
        <v>Sweden</v>
      </c>
    </row>
    <row r="2418" spans="2:23">
      <c r="B2418" s="76" t="str">
        <v>2010.0</v>
      </c>
      <c r="C2418" s="42" t="str">
        <v xml:space="preserve">18 Jun 2010 - 16:00 </v>
      </c>
      <c r="D2418" s="42" t="str">
        <v>Group C</v>
      </c>
      <c r="E2418" s="42" t="str">
        <v>Ellis Park Stadium</v>
      </c>
      <c r="F2418" s="42" t="str">
        <v xml:space="preserve">Johannesburg </v>
      </c>
      <c r="G2418" s="42" t="str">
        <v>Slovenia</v>
      </c>
      <c r="H2418" s="42" t="str">
        <v>2.0</v>
      </c>
      <c r="I2418" s="42" t="str">
        <v>2.0</v>
      </c>
      <c r="J2418" s="42" t="str">
        <v>USA</v>
      </c>
      <c r="K2418" s="42" t="str">
        <v xml:space="preserve"> </v>
      </c>
      <c r="L2418" s="42" t="str">
        <f t="shared" si="181"/>
        <v xml:space="preserve">2010.0|18 Jun 2010 - 16:00 |Group C|Ellis Park Stadium|Johannesburg |Slovenia|2.0|2.0|USA| </v>
      </c>
      <c r="M2418" s="42" t="str">
        <f>IF(COUNTIF($L$1689:L2418,L2418)&gt;1,"DOUBLON","OK")</f>
        <v>OK</v>
      </c>
      <c r="S2418" s="40" t="str">
        <v>Italy</v>
      </c>
      <c r="T2418" s="40" t="str">
        <f t="shared" si="178"/>
        <v>OK</v>
      </c>
      <c r="U2418" s="40" t="str">
        <f t="shared" si="179"/>
        <v>-</v>
      </c>
      <c r="V2418" s="40" t="str" cm="1">
        <f t="array" ref="V2418">_xlfn.IFS(
ISNUMBER(SEARCH("USA",S2418)),"United States",
ISNUMBER(SEARCH("Republic of Ireland",S2418)),"Ireland",
ISNUMBER(SEARCH("Republic of Korea",S2418)),"South Korea",
ISNUMBER(SEARCH("Cape Verde",S2418)),"Cabo Verde",
ISNUMBER(SEARCH("Czechia",S2418)),"Czech Republic",
ISNUMBER(SEARCH("Türkiye",S2418)),"Turkey",
ISNUMBER(SEARCH("Ivory Coast",S2418)),"Côte d'Ivoire",
ISNUMBER(SEARCH("Korea Republic",S2418)),"South Korea",
ISNUMBER(SEARCH("Germany FR",S2418)),"FR Germany",
ISNUMBER(SEARCH("West Germany",S2418)),"FR Germany",
ISNUMBER(SEARCH("Germany DR",S2418)),"DR Germany",
ISNUMBER(SEARCH("Korea DPR",S2418)),"North Korea",
ISNUMBER(SEARCH("China PR",S2418)),"China",
ISNUMBER(SEARCH("IR Iran",S2418)),"Iran",
ISNUMBER(SEARCH("Congo DR",S2418)),"Democratic Republic of the Congo",
ISNUMBER(SEARCH("DR Congo",S2418)),"Democratic Republic of the Congo",
ISNUMBER(SEARCH("German DR",S2418)),"DR Germany",
ISNUMBER(SEARCH("rn""&gt;United Arab Emirates",S2418)),"United Arab Emirates",
ISNUMBER(SEARCH("rn""&gt;Republic of Ireland",S2418)),"Ireland",
ISNUMBER(SEARCH("rn""&gt;Bosnia and Herzegovina",S2418)),"Bosnia and Herzegovina",
ISNUMBER(SEARCH("rn""&gt;Trinidad and Tobago",S2418)),"Trinidad and Tobago",
ISNUMBER(SEARCH("rn""&gt;Serbia and Montenegro",S2418)),"Serbia and Montenegro",
ISNUMBER(SEARCH(_xlfn.UNICHAR(65533),S2418)),"Côte d'Ivoire",
TRUE,""
)</f>
        <v/>
      </c>
      <c r="W2418" s="40" t="str">
        <f t="shared" si="180"/>
        <v>Italy</v>
      </c>
    </row>
    <row r="2419" spans="2:23">
      <c r="B2419" s="76" t="str">
        <v>2010.0</v>
      </c>
      <c r="C2419" s="42" t="str">
        <v xml:space="preserve">18 Jun 2010 - 20:30 </v>
      </c>
      <c r="D2419" s="42" t="str">
        <v>Group C</v>
      </c>
      <c r="E2419" s="42" t="str">
        <v>Cape Town Stadium</v>
      </c>
      <c r="F2419" s="42" t="str">
        <v xml:space="preserve">Cape Town </v>
      </c>
      <c r="G2419" s="42" t="str">
        <v>England</v>
      </c>
      <c r="H2419" s="42" t="str">
        <v>0.0</v>
      </c>
      <c r="I2419" s="42" t="str">
        <v>0.0</v>
      </c>
      <c r="J2419" s="42" t="str">
        <v>Algeria</v>
      </c>
      <c r="K2419" s="42" t="str">
        <v xml:space="preserve"> </v>
      </c>
      <c r="L2419" s="42" t="str">
        <f t="shared" si="181"/>
        <v xml:space="preserve">2010.0|18 Jun 2010 - 20:30 |Group C|Cape Town Stadium|Cape Town |England|0.0|0.0|Algeria| </v>
      </c>
      <c r="M2419" s="42" t="str">
        <f>IF(COUNTIF($L$1689:L2419,L2419)&gt;1,"DOUBLON","OK")</f>
        <v>OK</v>
      </c>
      <c r="S2419" s="40" t="str">
        <v>Brazil</v>
      </c>
      <c r="T2419" s="40" t="str">
        <f t="shared" si="178"/>
        <v>OK</v>
      </c>
      <c r="U2419" s="40" t="str">
        <f t="shared" si="179"/>
        <v>-</v>
      </c>
      <c r="V2419" s="40" t="str" cm="1">
        <f t="array" ref="V2419">_xlfn.IFS(
ISNUMBER(SEARCH("USA",S2419)),"United States",
ISNUMBER(SEARCH("Republic of Ireland",S2419)),"Ireland",
ISNUMBER(SEARCH("Republic of Korea",S2419)),"South Korea",
ISNUMBER(SEARCH("Cape Verde",S2419)),"Cabo Verde",
ISNUMBER(SEARCH("Czechia",S2419)),"Czech Republic",
ISNUMBER(SEARCH("Türkiye",S2419)),"Turkey",
ISNUMBER(SEARCH("Ivory Coast",S2419)),"Côte d'Ivoire",
ISNUMBER(SEARCH("Korea Republic",S2419)),"South Korea",
ISNUMBER(SEARCH("Germany FR",S2419)),"FR Germany",
ISNUMBER(SEARCH("West Germany",S2419)),"FR Germany",
ISNUMBER(SEARCH("Germany DR",S2419)),"DR Germany",
ISNUMBER(SEARCH("Korea DPR",S2419)),"North Korea",
ISNUMBER(SEARCH("China PR",S2419)),"China",
ISNUMBER(SEARCH("IR Iran",S2419)),"Iran",
ISNUMBER(SEARCH("Congo DR",S2419)),"Democratic Republic of the Congo",
ISNUMBER(SEARCH("DR Congo",S2419)),"Democratic Republic of the Congo",
ISNUMBER(SEARCH("German DR",S2419)),"DR Germany",
ISNUMBER(SEARCH("rn""&gt;United Arab Emirates",S2419)),"United Arab Emirates",
ISNUMBER(SEARCH("rn""&gt;Republic of Ireland",S2419)),"Ireland",
ISNUMBER(SEARCH("rn""&gt;Bosnia and Herzegovina",S2419)),"Bosnia and Herzegovina",
ISNUMBER(SEARCH("rn""&gt;Trinidad and Tobago",S2419)),"Trinidad and Tobago",
ISNUMBER(SEARCH("rn""&gt;Serbia and Montenegro",S2419)),"Serbia and Montenegro",
ISNUMBER(SEARCH(_xlfn.UNICHAR(65533),S2419)),"Côte d'Ivoire",
TRUE,""
)</f>
        <v/>
      </c>
      <c r="W2419" s="40" t="str">
        <f t="shared" si="180"/>
        <v>Brazil</v>
      </c>
    </row>
    <row r="2420" spans="2:23">
      <c r="B2420" s="76" t="str">
        <v>2010.0</v>
      </c>
      <c r="C2420" s="42" t="str">
        <v xml:space="preserve">19 Jun 2010 - 13:30 </v>
      </c>
      <c r="D2420" s="42" t="str">
        <v>Group E</v>
      </c>
      <c r="E2420" s="42" t="str">
        <v>Durban Stadium</v>
      </c>
      <c r="F2420" s="42" t="str">
        <v xml:space="preserve">Durban </v>
      </c>
      <c r="G2420" s="42" t="str">
        <v>Netherlands</v>
      </c>
      <c r="H2420" s="42" t="str">
        <v>1.0</v>
      </c>
      <c r="I2420" s="42" t="str">
        <v>0.0</v>
      </c>
      <c r="J2420" s="42" t="str">
        <v>Japan</v>
      </c>
      <c r="K2420" s="42" t="str">
        <v xml:space="preserve"> </v>
      </c>
      <c r="L2420" s="42" t="str">
        <f t="shared" si="181"/>
        <v xml:space="preserve">2010.0|19 Jun 2010 - 13:30 |Group E|Durban Stadium|Durban |Netherlands|1.0|0.0|Japan| </v>
      </c>
      <c r="M2420" s="42" t="str">
        <f>IF(COUNTIF($L$1689:L2420,L2420)&gt;1,"DOUBLON","OK")</f>
        <v>OK</v>
      </c>
      <c r="S2420" s="40" t="str">
        <v>Hungary</v>
      </c>
      <c r="T2420" s="40" t="str">
        <f t="shared" si="178"/>
        <v>OK</v>
      </c>
      <c r="U2420" s="40" t="str">
        <f t="shared" si="179"/>
        <v>-</v>
      </c>
      <c r="V2420" s="40" t="str" cm="1">
        <f t="array" ref="V2420">_xlfn.IFS(
ISNUMBER(SEARCH("USA",S2420)),"United States",
ISNUMBER(SEARCH("Republic of Ireland",S2420)),"Ireland",
ISNUMBER(SEARCH("Republic of Korea",S2420)),"South Korea",
ISNUMBER(SEARCH("Cape Verde",S2420)),"Cabo Verde",
ISNUMBER(SEARCH("Czechia",S2420)),"Czech Republic",
ISNUMBER(SEARCH("Türkiye",S2420)),"Turkey",
ISNUMBER(SEARCH("Ivory Coast",S2420)),"Côte d'Ivoire",
ISNUMBER(SEARCH("Korea Republic",S2420)),"South Korea",
ISNUMBER(SEARCH("Germany FR",S2420)),"FR Germany",
ISNUMBER(SEARCH("West Germany",S2420)),"FR Germany",
ISNUMBER(SEARCH("Germany DR",S2420)),"DR Germany",
ISNUMBER(SEARCH("Korea DPR",S2420)),"North Korea",
ISNUMBER(SEARCH("China PR",S2420)),"China",
ISNUMBER(SEARCH("IR Iran",S2420)),"Iran",
ISNUMBER(SEARCH("Congo DR",S2420)),"Democratic Republic of the Congo",
ISNUMBER(SEARCH("DR Congo",S2420)),"Democratic Republic of the Congo",
ISNUMBER(SEARCH("German DR",S2420)),"DR Germany",
ISNUMBER(SEARCH("rn""&gt;United Arab Emirates",S2420)),"United Arab Emirates",
ISNUMBER(SEARCH("rn""&gt;Republic of Ireland",S2420)),"Ireland",
ISNUMBER(SEARCH("rn""&gt;Bosnia and Herzegovina",S2420)),"Bosnia and Herzegovina",
ISNUMBER(SEARCH("rn""&gt;Trinidad and Tobago",S2420)),"Trinidad and Tobago",
ISNUMBER(SEARCH("rn""&gt;Serbia and Montenegro",S2420)),"Serbia and Montenegro",
ISNUMBER(SEARCH(_xlfn.UNICHAR(65533),S2420)),"Côte d'Ivoire",
TRUE,""
)</f>
        <v/>
      </c>
      <c r="W2420" s="40" t="str">
        <f t="shared" si="180"/>
        <v>Hungary</v>
      </c>
    </row>
    <row r="2421" spans="2:23">
      <c r="B2421" s="76" t="str">
        <v>2010.0</v>
      </c>
      <c r="C2421" s="42" t="str">
        <v xml:space="preserve">19 Jun 2010 - 16:00 </v>
      </c>
      <c r="D2421" s="42" t="str">
        <v>Group D</v>
      </c>
      <c r="E2421" s="42" t="str">
        <v>Royal Bafokeng Sports Palace</v>
      </c>
      <c r="F2421" s="42" t="str">
        <v xml:space="preserve">Phokeng </v>
      </c>
      <c r="G2421" s="42" t="str">
        <v>Ghana</v>
      </c>
      <c r="H2421" s="42" t="str">
        <v>1.0</v>
      </c>
      <c r="I2421" s="42" t="str">
        <v>1.0</v>
      </c>
      <c r="J2421" s="42" t="str">
        <v>Australia</v>
      </c>
      <c r="K2421" s="42" t="str">
        <v xml:space="preserve"> </v>
      </c>
      <c r="L2421" s="42" t="str">
        <f t="shared" si="181"/>
        <v xml:space="preserve">2010.0|19 Jun 2010 - 16:00 |Group D|Royal Bafokeng Sports Palace|Phokeng |Ghana|1.0|1.0|Australia| </v>
      </c>
      <c r="M2421" s="42" t="str">
        <f>IF(COUNTIF($L$1689:L2421,L2421)&gt;1,"DOUBLON","OK")</f>
        <v>OK</v>
      </c>
      <c r="S2421" s="40" t="str">
        <v>Italy</v>
      </c>
      <c r="T2421" s="40" t="str">
        <f t="shared" si="178"/>
        <v>OK</v>
      </c>
      <c r="U2421" s="40" t="str">
        <f t="shared" si="179"/>
        <v>-</v>
      </c>
      <c r="V2421" s="40" t="str" cm="1">
        <f t="array" ref="V2421">_xlfn.IFS(
ISNUMBER(SEARCH("USA",S2421)),"United States",
ISNUMBER(SEARCH("Republic of Ireland",S2421)),"Ireland",
ISNUMBER(SEARCH("Republic of Korea",S2421)),"South Korea",
ISNUMBER(SEARCH("Cape Verde",S2421)),"Cabo Verde",
ISNUMBER(SEARCH("Czechia",S2421)),"Czech Republic",
ISNUMBER(SEARCH("Türkiye",S2421)),"Turkey",
ISNUMBER(SEARCH("Ivory Coast",S2421)),"Côte d'Ivoire",
ISNUMBER(SEARCH("Korea Republic",S2421)),"South Korea",
ISNUMBER(SEARCH("Germany FR",S2421)),"FR Germany",
ISNUMBER(SEARCH("West Germany",S2421)),"FR Germany",
ISNUMBER(SEARCH("Germany DR",S2421)),"DR Germany",
ISNUMBER(SEARCH("Korea DPR",S2421)),"North Korea",
ISNUMBER(SEARCH("China PR",S2421)),"China",
ISNUMBER(SEARCH("IR Iran",S2421)),"Iran",
ISNUMBER(SEARCH("Congo DR",S2421)),"Democratic Republic of the Congo",
ISNUMBER(SEARCH("DR Congo",S2421)),"Democratic Republic of the Congo",
ISNUMBER(SEARCH("German DR",S2421)),"DR Germany",
ISNUMBER(SEARCH("rn""&gt;United Arab Emirates",S2421)),"United Arab Emirates",
ISNUMBER(SEARCH("rn""&gt;Republic of Ireland",S2421)),"Ireland",
ISNUMBER(SEARCH("rn""&gt;Bosnia and Herzegovina",S2421)),"Bosnia and Herzegovina",
ISNUMBER(SEARCH("rn""&gt;Trinidad and Tobago",S2421)),"Trinidad and Tobago",
ISNUMBER(SEARCH("rn""&gt;Serbia and Montenegro",S2421)),"Serbia and Montenegro",
ISNUMBER(SEARCH(_xlfn.UNICHAR(65533),S2421)),"Côte d'Ivoire",
TRUE,""
)</f>
        <v/>
      </c>
      <c r="W2421" s="40" t="str">
        <f t="shared" si="180"/>
        <v>Italy</v>
      </c>
    </row>
    <row r="2422" spans="2:23">
      <c r="B2422" s="76" t="str">
        <v>2010.0</v>
      </c>
      <c r="C2422" s="42" t="str">
        <v xml:space="preserve">19 Jun 2010 - 20:30 </v>
      </c>
      <c r="D2422" s="42" t="str">
        <v>Group E</v>
      </c>
      <c r="E2422" s="42" t="str">
        <v>Loftus Versfeld Stadium</v>
      </c>
      <c r="F2422" s="42" t="str">
        <v xml:space="preserve">Tshwane/Pretoria </v>
      </c>
      <c r="G2422" s="42" t="str">
        <v>Cameroon</v>
      </c>
      <c r="H2422" s="42" t="str">
        <v>1.0</v>
      </c>
      <c r="I2422" s="42" t="str">
        <v>2.0</v>
      </c>
      <c r="J2422" s="42" t="str">
        <v>Denmark</v>
      </c>
      <c r="K2422" s="42" t="str">
        <v xml:space="preserve"> </v>
      </c>
      <c r="L2422" s="42" t="str">
        <f t="shared" si="181"/>
        <v xml:space="preserve">2010.0|19 Jun 2010 - 20:30 |Group E|Loftus Versfeld Stadium|Tshwane/Pretoria |Cameroon|1.0|2.0|Denmark| </v>
      </c>
      <c r="M2422" s="42" t="str">
        <f>IF(COUNTIF($L$1689:L2422,L2422)&gt;1,"DOUBLON","OK")</f>
        <v>OK</v>
      </c>
      <c r="S2422" s="40" t="str">
        <v>Brazil</v>
      </c>
      <c r="T2422" s="40" t="str">
        <f t="shared" si="178"/>
        <v>OK</v>
      </c>
      <c r="U2422" s="40" t="str">
        <f t="shared" si="179"/>
        <v>-</v>
      </c>
      <c r="V2422" s="40" t="str" cm="1">
        <f t="array" ref="V2422">_xlfn.IFS(
ISNUMBER(SEARCH("USA",S2422)),"United States",
ISNUMBER(SEARCH("Republic of Ireland",S2422)),"Ireland",
ISNUMBER(SEARCH("Republic of Korea",S2422)),"South Korea",
ISNUMBER(SEARCH("Cape Verde",S2422)),"Cabo Verde",
ISNUMBER(SEARCH("Czechia",S2422)),"Czech Republic",
ISNUMBER(SEARCH("Türkiye",S2422)),"Turkey",
ISNUMBER(SEARCH("Ivory Coast",S2422)),"Côte d'Ivoire",
ISNUMBER(SEARCH("Korea Republic",S2422)),"South Korea",
ISNUMBER(SEARCH("Germany FR",S2422)),"FR Germany",
ISNUMBER(SEARCH("West Germany",S2422)),"FR Germany",
ISNUMBER(SEARCH("Germany DR",S2422)),"DR Germany",
ISNUMBER(SEARCH("Korea DPR",S2422)),"North Korea",
ISNUMBER(SEARCH("China PR",S2422)),"China",
ISNUMBER(SEARCH("IR Iran",S2422)),"Iran",
ISNUMBER(SEARCH("Congo DR",S2422)),"Democratic Republic of the Congo",
ISNUMBER(SEARCH("DR Congo",S2422)),"Democratic Republic of the Congo",
ISNUMBER(SEARCH("German DR",S2422)),"DR Germany",
ISNUMBER(SEARCH("rn""&gt;United Arab Emirates",S2422)),"United Arab Emirates",
ISNUMBER(SEARCH("rn""&gt;Republic of Ireland",S2422)),"Ireland",
ISNUMBER(SEARCH("rn""&gt;Bosnia and Herzegovina",S2422)),"Bosnia and Herzegovina",
ISNUMBER(SEARCH("rn""&gt;Trinidad and Tobago",S2422)),"Trinidad and Tobago",
ISNUMBER(SEARCH("rn""&gt;Serbia and Montenegro",S2422)),"Serbia and Montenegro",
ISNUMBER(SEARCH(_xlfn.UNICHAR(65533),S2422)),"Côte d'Ivoire",
TRUE,""
)</f>
        <v/>
      </c>
      <c r="W2422" s="40" t="str">
        <f t="shared" si="180"/>
        <v>Brazil</v>
      </c>
    </row>
    <row r="2423" spans="2:23">
      <c r="B2423" s="76" t="str">
        <v>2010.0</v>
      </c>
      <c r="C2423" s="42" t="str">
        <v xml:space="preserve">20 Jun 2010 - 13:30 </v>
      </c>
      <c r="D2423" s="42" t="str">
        <v>Group F</v>
      </c>
      <c r="E2423" s="42" t="str">
        <v>Free State Stadium</v>
      </c>
      <c r="F2423" s="42" t="str">
        <v xml:space="preserve">Mangaung/Bloemfontein </v>
      </c>
      <c r="G2423" s="42" t="str">
        <v>Slovakia</v>
      </c>
      <c r="H2423" s="42" t="str">
        <v>0.0</v>
      </c>
      <c r="I2423" s="42" t="str">
        <v>2.0</v>
      </c>
      <c r="J2423" s="42" t="str">
        <v>Paraguay</v>
      </c>
      <c r="K2423" s="42" t="str">
        <v xml:space="preserve"> </v>
      </c>
      <c r="L2423" s="42" t="str">
        <f t="shared" si="181"/>
        <v xml:space="preserve">2010.0|20 Jun 2010 - 13:30 |Group F|Free State Stadium|Mangaung/Bloemfontein |Slovakia|0.0|2.0|Paraguay| </v>
      </c>
      <c r="M2423" s="42" t="str">
        <f>IF(COUNTIF($L$1689:L2423,L2423)&gt;1,"DOUBLON","OK")</f>
        <v>OK</v>
      </c>
      <c r="S2423" s="40" t="str">
        <v>Italy</v>
      </c>
      <c r="T2423" s="40" t="str">
        <f t="shared" si="178"/>
        <v>OK</v>
      </c>
      <c r="U2423" s="40" t="str">
        <f t="shared" si="179"/>
        <v>-</v>
      </c>
      <c r="V2423" s="40" t="str" cm="1">
        <f t="array" ref="V2423">_xlfn.IFS(
ISNUMBER(SEARCH("USA",S2423)),"United States",
ISNUMBER(SEARCH("Republic of Ireland",S2423)),"Ireland",
ISNUMBER(SEARCH("Republic of Korea",S2423)),"South Korea",
ISNUMBER(SEARCH("Cape Verde",S2423)),"Cabo Verde",
ISNUMBER(SEARCH("Czechia",S2423)),"Czech Republic",
ISNUMBER(SEARCH("Türkiye",S2423)),"Turkey",
ISNUMBER(SEARCH("Ivory Coast",S2423)),"Côte d'Ivoire",
ISNUMBER(SEARCH("Korea Republic",S2423)),"South Korea",
ISNUMBER(SEARCH("Germany FR",S2423)),"FR Germany",
ISNUMBER(SEARCH("West Germany",S2423)),"FR Germany",
ISNUMBER(SEARCH("Germany DR",S2423)),"DR Germany",
ISNUMBER(SEARCH("Korea DPR",S2423)),"North Korea",
ISNUMBER(SEARCH("China PR",S2423)),"China",
ISNUMBER(SEARCH("IR Iran",S2423)),"Iran",
ISNUMBER(SEARCH("Congo DR",S2423)),"Democratic Republic of the Congo",
ISNUMBER(SEARCH("DR Congo",S2423)),"Democratic Republic of the Congo",
ISNUMBER(SEARCH("German DR",S2423)),"DR Germany",
ISNUMBER(SEARCH("rn""&gt;United Arab Emirates",S2423)),"United Arab Emirates",
ISNUMBER(SEARCH("rn""&gt;Republic of Ireland",S2423)),"Ireland",
ISNUMBER(SEARCH("rn""&gt;Bosnia and Herzegovina",S2423)),"Bosnia and Herzegovina",
ISNUMBER(SEARCH("rn""&gt;Trinidad and Tobago",S2423)),"Trinidad and Tobago",
ISNUMBER(SEARCH("rn""&gt;Serbia and Montenegro",S2423)),"Serbia and Montenegro",
ISNUMBER(SEARCH(_xlfn.UNICHAR(65533),S2423)),"Côte d'Ivoire",
TRUE,""
)</f>
        <v/>
      </c>
      <c r="W2423" s="40" t="str">
        <f t="shared" si="180"/>
        <v>Italy</v>
      </c>
    </row>
    <row r="2424" spans="2:23">
      <c r="B2424" s="76" t="str">
        <v>2010.0</v>
      </c>
      <c r="C2424" s="42" t="str">
        <v xml:space="preserve">20 Jun 2010 - 16:00 </v>
      </c>
      <c r="D2424" s="42" t="str">
        <v>Group F</v>
      </c>
      <c r="E2424" s="42" t="str">
        <v>Mbombela Stadium</v>
      </c>
      <c r="F2424" s="42" t="str">
        <v xml:space="preserve">Nelspruit </v>
      </c>
      <c r="G2424" s="42" t="str">
        <v>Italy</v>
      </c>
      <c r="H2424" s="42" t="str">
        <v>1.0</v>
      </c>
      <c r="I2424" s="42" t="str">
        <v>1.0</v>
      </c>
      <c r="J2424" s="42" t="str">
        <v>New Zealand</v>
      </c>
      <c r="K2424" s="42" t="str">
        <v xml:space="preserve"> </v>
      </c>
      <c r="L2424" s="42" t="str">
        <f t="shared" si="181"/>
        <v xml:space="preserve">2010.0|20 Jun 2010 - 16:00 |Group F|Mbombela Stadium|Nelspruit |Italy|1.0|1.0|New Zealand| </v>
      </c>
      <c r="M2424" s="42" t="str">
        <f>IF(COUNTIF($L$1689:L2424,L2424)&gt;1,"DOUBLON","OK")</f>
        <v>OK</v>
      </c>
      <c r="S2424" s="40" t="str">
        <v>Brazil</v>
      </c>
      <c r="T2424" s="40" t="str">
        <f t="shared" si="178"/>
        <v>OK</v>
      </c>
      <c r="U2424" s="40" t="str">
        <f t="shared" si="179"/>
        <v>-</v>
      </c>
      <c r="V2424" s="40" t="str" cm="1">
        <f t="array" ref="V2424">_xlfn.IFS(
ISNUMBER(SEARCH("USA",S2424)),"United States",
ISNUMBER(SEARCH("Republic of Ireland",S2424)),"Ireland",
ISNUMBER(SEARCH("Republic of Korea",S2424)),"South Korea",
ISNUMBER(SEARCH("Cape Verde",S2424)),"Cabo Verde",
ISNUMBER(SEARCH("Czechia",S2424)),"Czech Republic",
ISNUMBER(SEARCH("Türkiye",S2424)),"Turkey",
ISNUMBER(SEARCH("Ivory Coast",S2424)),"Côte d'Ivoire",
ISNUMBER(SEARCH("Korea Republic",S2424)),"South Korea",
ISNUMBER(SEARCH("Germany FR",S2424)),"FR Germany",
ISNUMBER(SEARCH("West Germany",S2424)),"FR Germany",
ISNUMBER(SEARCH("Germany DR",S2424)),"DR Germany",
ISNUMBER(SEARCH("Korea DPR",S2424)),"North Korea",
ISNUMBER(SEARCH("China PR",S2424)),"China",
ISNUMBER(SEARCH("IR Iran",S2424)),"Iran",
ISNUMBER(SEARCH("Congo DR",S2424)),"Democratic Republic of the Congo",
ISNUMBER(SEARCH("DR Congo",S2424)),"Democratic Republic of the Congo",
ISNUMBER(SEARCH("German DR",S2424)),"DR Germany",
ISNUMBER(SEARCH("rn""&gt;United Arab Emirates",S2424)),"United Arab Emirates",
ISNUMBER(SEARCH("rn""&gt;Republic of Ireland",S2424)),"Ireland",
ISNUMBER(SEARCH("rn""&gt;Bosnia and Herzegovina",S2424)),"Bosnia and Herzegovina",
ISNUMBER(SEARCH("rn""&gt;Trinidad and Tobago",S2424)),"Trinidad and Tobago",
ISNUMBER(SEARCH("rn""&gt;Serbia and Montenegro",S2424)),"Serbia and Montenegro",
ISNUMBER(SEARCH(_xlfn.UNICHAR(65533),S2424)),"Côte d'Ivoire",
TRUE,""
)</f>
        <v/>
      </c>
      <c r="W2424" s="40" t="str">
        <f t="shared" si="180"/>
        <v>Brazil</v>
      </c>
    </row>
    <row r="2425" spans="2:23">
      <c r="B2425" s="76" t="str">
        <v>2010.0</v>
      </c>
      <c r="C2425" s="42" t="str">
        <v xml:space="preserve">20 Jun 2010 - 20:30 </v>
      </c>
      <c r="D2425" s="42" t="str">
        <v>Group G</v>
      </c>
      <c r="E2425" s="42" t="str">
        <v>Soccer City Stadium</v>
      </c>
      <c r="F2425" s="42" t="str">
        <v xml:space="preserve">Johannesburg </v>
      </c>
      <c r="G2425" s="42" t="str">
        <v>Brazil</v>
      </c>
      <c r="H2425" s="42" t="str">
        <v>3.0</v>
      </c>
      <c r="I2425" s="42" t="str">
        <v>1.0</v>
      </c>
      <c r="J2425" s="42" t="str">
        <v>C�te d'Ivoire</v>
      </c>
      <c r="K2425" s="42" t="str">
        <v xml:space="preserve"> </v>
      </c>
      <c r="L2425" s="42" t="str">
        <f t="shared" si="181"/>
        <v xml:space="preserve">2010.0|20 Jun 2010 - 20:30 |Group G|Soccer City Stadium|Johannesburg |Brazil|3.0|1.0|C�te d'Ivoire| </v>
      </c>
      <c r="M2425" s="42" t="str">
        <f>IF(COUNTIF($L$1689:L2425,L2425)&gt;1,"DOUBLON","OK")</f>
        <v>OK</v>
      </c>
      <c r="S2425" s="40" t="str">
        <v>England</v>
      </c>
      <c r="T2425" s="40" t="str">
        <f t="shared" si="178"/>
        <v>ERREUR</v>
      </c>
      <c r="U2425" s="40" t="str">
        <f t="shared" si="179"/>
        <v>AUCUNE</v>
      </c>
      <c r="V2425" s="40" t="str" cm="1">
        <f t="array" ref="V2425">_xlfn.IFS(
ISNUMBER(SEARCH("USA",S2425)),"United States",
ISNUMBER(SEARCH("Republic of Ireland",S2425)),"Ireland",
ISNUMBER(SEARCH("Republic of Korea",S2425)),"South Korea",
ISNUMBER(SEARCH("Cape Verde",S2425)),"Cabo Verde",
ISNUMBER(SEARCH("Czechia",S2425)),"Czech Republic",
ISNUMBER(SEARCH("Türkiye",S2425)),"Turkey",
ISNUMBER(SEARCH("Ivory Coast",S2425)),"Côte d'Ivoire",
ISNUMBER(SEARCH("Korea Republic",S2425)),"South Korea",
ISNUMBER(SEARCH("Germany FR",S2425)),"FR Germany",
ISNUMBER(SEARCH("West Germany",S2425)),"FR Germany",
ISNUMBER(SEARCH("Germany DR",S2425)),"DR Germany",
ISNUMBER(SEARCH("Korea DPR",S2425)),"North Korea",
ISNUMBER(SEARCH("China PR",S2425)),"China",
ISNUMBER(SEARCH("IR Iran",S2425)),"Iran",
ISNUMBER(SEARCH("Congo DR",S2425)),"Democratic Republic of the Congo",
ISNUMBER(SEARCH("DR Congo",S2425)),"Democratic Republic of the Congo",
ISNUMBER(SEARCH("German DR",S2425)),"DR Germany",
ISNUMBER(SEARCH("rn""&gt;United Arab Emirates",S2425)),"United Arab Emirates",
ISNUMBER(SEARCH("rn""&gt;Republic of Ireland",S2425)),"Ireland",
ISNUMBER(SEARCH("rn""&gt;Bosnia and Herzegovina",S2425)),"Bosnia and Herzegovina",
ISNUMBER(SEARCH("rn""&gt;Trinidad and Tobago",S2425)),"Trinidad and Tobago",
ISNUMBER(SEARCH("rn""&gt;Serbia and Montenegro",S2425)),"Serbia and Montenegro",
ISNUMBER(SEARCH(_xlfn.UNICHAR(65533),S2425)),"Côte d'Ivoire",
TRUE,""
)</f>
        <v/>
      </c>
      <c r="W2425" s="40" t="str">
        <f t="shared" si="180"/>
        <v>England</v>
      </c>
    </row>
    <row r="2426" spans="2:23">
      <c r="B2426" s="76" t="str">
        <v>2010.0</v>
      </c>
      <c r="C2426" s="42" t="str">
        <v xml:space="preserve">21 Jun 2010 - 13:30 </v>
      </c>
      <c r="D2426" s="42" t="str">
        <v>Group G</v>
      </c>
      <c r="E2426" s="42" t="str">
        <v>Cape Town Stadium</v>
      </c>
      <c r="F2426" s="42" t="str">
        <v xml:space="preserve">Cape Town </v>
      </c>
      <c r="G2426" s="42" t="str">
        <v>Portugal</v>
      </c>
      <c r="H2426" s="42" t="str">
        <v>7.0</v>
      </c>
      <c r="I2426" s="42" t="str">
        <v>0.0</v>
      </c>
      <c r="J2426" s="42" t="str">
        <v>Korea DPR</v>
      </c>
      <c r="K2426" s="42" t="str">
        <v xml:space="preserve"> </v>
      </c>
      <c r="L2426" s="42" t="str">
        <f t="shared" si="181"/>
        <v xml:space="preserve">2010.0|21 Jun 2010 - 13:30 |Group G|Cape Town Stadium|Cape Town |Portugal|7.0|0.0|Korea DPR| </v>
      </c>
      <c r="M2426" s="42" t="str">
        <f>IF(COUNTIF($L$1689:L2426,L2426)&gt;1,"DOUBLON","OK")</f>
        <v>OK</v>
      </c>
      <c r="S2426" s="40" t="str">
        <v>Spain</v>
      </c>
      <c r="T2426" s="40" t="str">
        <f t="shared" si="178"/>
        <v>OK</v>
      </c>
      <c r="U2426" s="40" t="str">
        <f t="shared" si="179"/>
        <v>-</v>
      </c>
      <c r="V2426" s="40" t="str" cm="1">
        <f t="array" ref="V2426">_xlfn.IFS(
ISNUMBER(SEARCH("USA",S2426)),"United States",
ISNUMBER(SEARCH("Republic of Ireland",S2426)),"Ireland",
ISNUMBER(SEARCH("Republic of Korea",S2426)),"South Korea",
ISNUMBER(SEARCH("Cape Verde",S2426)),"Cabo Verde",
ISNUMBER(SEARCH("Czechia",S2426)),"Czech Republic",
ISNUMBER(SEARCH("Türkiye",S2426)),"Turkey",
ISNUMBER(SEARCH("Ivory Coast",S2426)),"Côte d'Ivoire",
ISNUMBER(SEARCH("Korea Republic",S2426)),"South Korea",
ISNUMBER(SEARCH("Germany FR",S2426)),"FR Germany",
ISNUMBER(SEARCH("West Germany",S2426)),"FR Germany",
ISNUMBER(SEARCH("Germany DR",S2426)),"DR Germany",
ISNUMBER(SEARCH("Korea DPR",S2426)),"North Korea",
ISNUMBER(SEARCH("China PR",S2426)),"China",
ISNUMBER(SEARCH("IR Iran",S2426)),"Iran",
ISNUMBER(SEARCH("Congo DR",S2426)),"Democratic Republic of the Congo",
ISNUMBER(SEARCH("DR Congo",S2426)),"Democratic Republic of the Congo",
ISNUMBER(SEARCH("German DR",S2426)),"DR Germany",
ISNUMBER(SEARCH("rn""&gt;United Arab Emirates",S2426)),"United Arab Emirates",
ISNUMBER(SEARCH("rn""&gt;Republic of Ireland",S2426)),"Ireland",
ISNUMBER(SEARCH("rn""&gt;Bosnia and Herzegovina",S2426)),"Bosnia and Herzegovina",
ISNUMBER(SEARCH("rn""&gt;Trinidad and Tobago",S2426)),"Trinidad and Tobago",
ISNUMBER(SEARCH("rn""&gt;Serbia and Montenegro",S2426)),"Serbia and Montenegro",
ISNUMBER(SEARCH(_xlfn.UNICHAR(65533),S2426)),"Côte d'Ivoire",
TRUE,""
)</f>
        <v/>
      </c>
      <c r="W2426" s="40" t="str">
        <f t="shared" si="180"/>
        <v>Spain</v>
      </c>
    </row>
    <row r="2427" spans="2:23">
      <c r="B2427" s="76" t="str">
        <v>2010.0</v>
      </c>
      <c r="C2427" s="42" t="str">
        <v xml:space="preserve">21 Jun 2010 - 16:00 </v>
      </c>
      <c r="D2427" s="42" t="str">
        <v>Group H</v>
      </c>
      <c r="E2427" s="42" t="str">
        <v>Port Elizabeth Stadium</v>
      </c>
      <c r="F2427" s="42" t="str">
        <v xml:space="preserve">Nelson Mandela Bay/Port Elizabeth </v>
      </c>
      <c r="G2427" s="42" t="str">
        <v>Chile</v>
      </c>
      <c r="H2427" s="42" t="str">
        <v>1.0</v>
      </c>
      <c r="I2427" s="42" t="str">
        <v>0.0</v>
      </c>
      <c r="J2427" s="42" t="str">
        <v>Switzerland</v>
      </c>
      <c r="K2427" s="42" t="str">
        <v xml:space="preserve"> </v>
      </c>
      <c r="L2427" s="42" t="str">
        <f t="shared" si="181"/>
        <v xml:space="preserve">2010.0|21 Jun 2010 - 16:00 |Group H|Port Elizabeth Stadium|Nelson Mandela Bay/Port Elizabeth |Chile|1.0|0.0|Switzerland| </v>
      </c>
      <c r="M2427" s="42" t="str">
        <f>IF(COUNTIF($L$1689:L2427,L2427)&gt;1,"DOUBLON","OK")</f>
        <v>OK</v>
      </c>
      <c r="S2427" s="40" t="str">
        <v>Sweden</v>
      </c>
      <c r="T2427" s="40" t="str">
        <f t="shared" si="178"/>
        <v>OK</v>
      </c>
      <c r="U2427" s="40" t="str">
        <f t="shared" si="179"/>
        <v>-</v>
      </c>
      <c r="V2427" s="40" t="str" cm="1">
        <f t="array" ref="V2427">_xlfn.IFS(
ISNUMBER(SEARCH("USA",S2427)),"United States",
ISNUMBER(SEARCH("Republic of Ireland",S2427)),"Ireland",
ISNUMBER(SEARCH("Republic of Korea",S2427)),"South Korea",
ISNUMBER(SEARCH("Cape Verde",S2427)),"Cabo Verde",
ISNUMBER(SEARCH("Czechia",S2427)),"Czech Republic",
ISNUMBER(SEARCH("Türkiye",S2427)),"Turkey",
ISNUMBER(SEARCH("Ivory Coast",S2427)),"Côte d'Ivoire",
ISNUMBER(SEARCH("Korea Republic",S2427)),"South Korea",
ISNUMBER(SEARCH("Germany FR",S2427)),"FR Germany",
ISNUMBER(SEARCH("West Germany",S2427)),"FR Germany",
ISNUMBER(SEARCH("Germany DR",S2427)),"DR Germany",
ISNUMBER(SEARCH("Korea DPR",S2427)),"North Korea",
ISNUMBER(SEARCH("China PR",S2427)),"China",
ISNUMBER(SEARCH("IR Iran",S2427)),"Iran",
ISNUMBER(SEARCH("Congo DR",S2427)),"Democratic Republic of the Congo",
ISNUMBER(SEARCH("DR Congo",S2427)),"Democratic Republic of the Congo",
ISNUMBER(SEARCH("German DR",S2427)),"DR Germany",
ISNUMBER(SEARCH("rn""&gt;United Arab Emirates",S2427)),"United Arab Emirates",
ISNUMBER(SEARCH("rn""&gt;Republic of Ireland",S2427)),"Ireland",
ISNUMBER(SEARCH("rn""&gt;Bosnia and Herzegovina",S2427)),"Bosnia and Herzegovina",
ISNUMBER(SEARCH("rn""&gt;Trinidad and Tobago",S2427)),"Trinidad and Tobago",
ISNUMBER(SEARCH("rn""&gt;Serbia and Montenegro",S2427)),"Serbia and Montenegro",
ISNUMBER(SEARCH(_xlfn.UNICHAR(65533),S2427)),"Côte d'Ivoire",
TRUE,""
)</f>
        <v/>
      </c>
      <c r="W2427" s="40" t="str">
        <f t="shared" si="180"/>
        <v>Sweden</v>
      </c>
    </row>
    <row r="2428" spans="2:23">
      <c r="B2428" s="76" t="str">
        <v>2010.0</v>
      </c>
      <c r="C2428" s="42" t="str">
        <v xml:space="preserve">21 Jun 2010 - 20:30 </v>
      </c>
      <c r="D2428" s="42" t="str">
        <v>Group H</v>
      </c>
      <c r="E2428" s="42" t="str">
        <v>Ellis Park Stadium</v>
      </c>
      <c r="F2428" s="42" t="str">
        <v xml:space="preserve">Johannesburg </v>
      </c>
      <c r="G2428" s="42" t="str">
        <v>Spain</v>
      </c>
      <c r="H2428" s="42" t="str">
        <v>2.0</v>
      </c>
      <c r="I2428" s="42" t="str">
        <v>0.0</v>
      </c>
      <c r="J2428" s="42" t="str">
        <v>Honduras</v>
      </c>
      <c r="K2428" s="42" t="str">
        <v xml:space="preserve"> </v>
      </c>
      <c r="L2428" s="42" t="str">
        <f t="shared" si="181"/>
        <v xml:space="preserve">2010.0|21 Jun 2010 - 20:30 |Group H|Ellis Park Stadium|Johannesburg |Spain|2.0|0.0|Honduras| </v>
      </c>
      <c r="M2428" s="42" t="str">
        <f>IF(COUNTIF($L$1689:L2428,L2428)&gt;1,"DOUBLON","OK")</f>
        <v>OK</v>
      </c>
      <c r="S2428" s="40" t="str">
        <v>Yugoslavia</v>
      </c>
      <c r="T2428" s="40" t="str">
        <f t="shared" si="178"/>
        <v>ERREUR</v>
      </c>
      <c r="U2428" s="40" t="str">
        <f t="shared" si="179"/>
        <v>AUCUNE</v>
      </c>
      <c r="V2428" s="40" t="str" cm="1">
        <f t="array" ref="V2428">_xlfn.IFS(
ISNUMBER(SEARCH("USA",S2428)),"United States",
ISNUMBER(SEARCH("Republic of Ireland",S2428)),"Ireland",
ISNUMBER(SEARCH("Republic of Korea",S2428)),"South Korea",
ISNUMBER(SEARCH("Cape Verde",S2428)),"Cabo Verde",
ISNUMBER(SEARCH("Czechia",S2428)),"Czech Republic",
ISNUMBER(SEARCH("Türkiye",S2428)),"Turkey",
ISNUMBER(SEARCH("Ivory Coast",S2428)),"Côte d'Ivoire",
ISNUMBER(SEARCH("Korea Republic",S2428)),"South Korea",
ISNUMBER(SEARCH("Germany FR",S2428)),"FR Germany",
ISNUMBER(SEARCH("West Germany",S2428)),"FR Germany",
ISNUMBER(SEARCH("Germany DR",S2428)),"DR Germany",
ISNUMBER(SEARCH("Korea DPR",S2428)),"North Korea",
ISNUMBER(SEARCH("China PR",S2428)),"China",
ISNUMBER(SEARCH("IR Iran",S2428)),"Iran",
ISNUMBER(SEARCH("Congo DR",S2428)),"Democratic Republic of the Congo",
ISNUMBER(SEARCH("DR Congo",S2428)),"Democratic Republic of the Congo",
ISNUMBER(SEARCH("German DR",S2428)),"DR Germany",
ISNUMBER(SEARCH("rn""&gt;United Arab Emirates",S2428)),"United Arab Emirates",
ISNUMBER(SEARCH("rn""&gt;Republic of Ireland",S2428)),"Ireland",
ISNUMBER(SEARCH("rn""&gt;Bosnia and Herzegovina",S2428)),"Bosnia and Herzegovina",
ISNUMBER(SEARCH("rn""&gt;Trinidad and Tobago",S2428)),"Trinidad and Tobago",
ISNUMBER(SEARCH("rn""&gt;Serbia and Montenegro",S2428)),"Serbia and Montenegro",
ISNUMBER(SEARCH(_xlfn.UNICHAR(65533),S2428)),"Côte d'Ivoire",
TRUE,""
)</f>
        <v/>
      </c>
      <c r="W2428" s="40" t="str">
        <f t="shared" si="180"/>
        <v>Yugoslavia</v>
      </c>
    </row>
    <row r="2429" spans="2:23">
      <c r="B2429" s="76" t="str">
        <v>2010.0</v>
      </c>
      <c r="C2429" s="42" t="str">
        <v xml:space="preserve">22 Jun 2010 - 16:00 </v>
      </c>
      <c r="D2429" s="42" t="str">
        <v>Group A</v>
      </c>
      <c r="E2429" s="42" t="str">
        <v>Royal Bafokeng Sports Palace</v>
      </c>
      <c r="F2429" s="42" t="str">
        <v xml:space="preserve">Phokeng </v>
      </c>
      <c r="G2429" s="42" t="str">
        <v>Mexico</v>
      </c>
      <c r="H2429" s="42" t="str">
        <v>0.0</v>
      </c>
      <c r="I2429" s="42" t="str">
        <v>1.0</v>
      </c>
      <c r="J2429" s="42" t="str">
        <v>Uruguay</v>
      </c>
      <c r="K2429" s="42" t="str">
        <v xml:space="preserve"> </v>
      </c>
      <c r="L2429" s="42" t="str">
        <f t="shared" si="181"/>
        <v xml:space="preserve">2010.0|22 Jun 2010 - 16:00 |Group A|Royal Bafokeng Sports Palace|Phokeng |Mexico|0.0|1.0|Uruguay| </v>
      </c>
      <c r="M2429" s="42" t="str">
        <f>IF(COUNTIF($L$1689:L2429,L2429)&gt;1,"DOUBLON","OK")</f>
        <v>OK</v>
      </c>
      <c r="S2429" s="40" t="str">
        <v>Brazil</v>
      </c>
      <c r="T2429" s="40" t="str">
        <f t="shared" si="178"/>
        <v>OK</v>
      </c>
      <c r="U2429" s="40" t="str">
        <f t="shared" si="179"/>
        <v>-</v>
      </c>
      <c r="V2429" s="40" t="str" cm="1">
        <f t="array" ref="V2429">_xlfn.IFS(
ISNUMBER(SEARCH("USA",S2429)),"United States",
ISNUMBER(SEARCH("Republic of Ireland",S2429)),"Ireland",
ISNUMBER(SEARCH("Republic of Korea",S2429)),"South Korea",
ISNUMBER(SEARCH("Cape Verde",S2429)),"Cabo Verde",
ISNUMBER(SEARCH("Czechia",S2429)),"Czech Republic",
ISNUMBER(SEARCH("Türkiye",S2429)),"Turkey",
ISNUMBER(SEARCH("Ivory Coast",S2429)),"Côte d'Ivoire",
ISNUMBER(SEARCH("Korea Republic",S2429)),"South Korea",
ISNUMBER(SEARCH("Germany FR",S2429)),"FR Germany",
ISNUMBER(SEARCH("West Germany",S2429)),"FR Germany",
ISNUMBER(SEARCH("Germany DR",S2429)),"DR Germany",
ISNUMBER(SEARCH("Korea DPR",S2429)),"North Korea",
ISNUMBER(SEARCH("China PR",S2429)),"China",
ISNUMBER(SEARCH("IR Iran",S2429)),"Iran",
ISNUMBER(SEARCH("Congo DR",S2429)),"Democratic Republic of the Congo",
ISNUMBER(SEARCH("DR Congo",S2429)),"Democratic Republic of the Congo",
ISNUMBER(SEARCH("German DR",S2429)),"DR Germany",
ISNUMBER(SEARCH("rn""&gt;United Arab Emirates",S2429)),"United Arab Emirates",
ISNUMBER(SEARCH("rn""&gt;Republic of Ireland",S2429)),"Ireland",
ISNUMBER(SEARCH("rn""&gt;Bosnia and Herzegovina",S2429)),"Bosnia and Herzegovina",
ISNUMBER(SEARCH("rn""&gt;Trinidad and Tobago",S2429)),"Trinidad and Tobago",
ISNUMBER(SEARCH("rn""&gt;Serbia and Montenegro",S2429)),"Serbia and Montenegro",
ISNUMBER(SEARCH(_xlfn.UNICHAR(65533),S2429)),"Côte d'Ivoire",
TRUE,""
)</f>
        <v/>
      </c>
      <c r="W2429" s="40" t="str">
        <f t="shared" si="180"/>
        <v>Brazil</v>
      </c>
    </row>
    <row r="2430" spans="2:23">
      <c r="B2430" s="76" t="str">
        <v>2010.0</v>
      </c>
      <c r="C2430" s="42" t="str">
        <v xml:space="preserve">22 Jun 2010 - 16:00 </v>
      </c>
      <c r="D2430" s="42" t="str">
        <v>Group A</v>
      </c>
      <c r="E2430" s="42" t="str">
        <v>Free State Stadium</v>
      </c>
      <c r="F2430" s="42" t="str">
        <v xml:space="preserve">Mangaung/Bloemfontein </v>
      </c>
      <c r="G2430" s="42" t="str">
        <v>France</v>
      </c>
      <c r="H2430" s="42" t="str">
        <v>1.0</v>
      </c>
      <c r="I2430" s="42" t="str">
        <v>2.0</v>
      </c>
      <c r="J2430" s="42" t="str">
        <v>South Africa</v>
      </c>
      <c r="K2430" s="42" t="str">
        <v xml:space="preserve"> </v>
      </c>
      <c r="L2430" s="42" t="str">
        <f t="shared" si="181"/>
        <v xml:space="preserve">2010.0|22 Jun 2010 - 16:00 |Group A|Free State Stadium|Mangaung/Bloemfontein |France|1.0|2.0|South Africa| </v>
      </c>
      <c r="M2430" s="42" t="str">
        <f>IF(COUNTIF($L$1689:L2430,L2430)&gt;1,"DOUBLON","OK")</f>
        <v>OK</v>
      </c>
      <c r="S2430" s="40" t="str">
        <v>Yugoslavia</v>
      </c>
      <c r="T2430" s="40" t="str">
        <f t="shared" si="178"/>
        <v>ERREUR</v>
      </c>
      <c r="U2430" s="40" t="str">
        <f t="shared" si="179"/>
        <v>AUCUNE</v>
      </c>
      <c r="V2430" s="40" t="str" cm="1">
        <f t="array" ref="V2430">_xlfn.IFS(
ISNUMBER(SEARCH("USA",S2430)),"United States",
ISNUMBER(SEARCH("Republic of Ireland",S2430)),"Ireland",
ISNUMBER(SEARCH("Republic of Korea",S2430)),"South Korea",
ISNUMBER(SEARCH("Cape Verde",S2430)),"Cabo Verde",
ISNUMBER(SEARCH("Czechia",S2430)),"Czech Republic",
ISNUMBER(SEARCH("Türkiye",S2430)),"Turkey",
ISNUMBER(SEARCH("Ivory Coast",S2430)),"Côte d'Ivoire",
ISNUMBER(SEARCH("Korea Republic",S2430)),"South Korea",
ISNUMBER(SEARCH("Germany FR",S2430)),"FR Germany",
ISNUMBER(SEARCH("West Germany",S2430)),"FR Germany",
ISNUMBER(SEARCH("Germany DR",S2430)),"DR Germany",
ISNUMBER(SEARCH("Korea DPR",S2430)),"North Korea",
ISNUMBER(SEARCH("China PR",S2430)),"China",
ISNUMBER(SEARCH("IR Iran",S2430)),"Iran",
ISNUMBER(SEARCH("Congo DR",S2430)),"Democratic Republic of the Congo",
ISNUMBER(SEARCH("DR Congo",S2430)),"Democratic Republic of the Congo",
ISNUMBER(SEARCH("German DR",S2430)),"DR Germany",
ISNUMBER(SEARCH("rn""&gt;United Arab Emirates",S2430)),"United Arab Emirates",
ISNUMBER(SEARCH("rn""&gt;Republic of Ireland",S2430)),"Ireland",
ISNUMBER(SEARCH("rn""&gt;Bosnia and Herzegovina",S2430)),"Bosnia and Herzegovina",
ISNUMBER(SEARCH("rn""&gt;Trinidad and Tobago",S2430)),"Trinidad and Tobago",
ISNUMBER(SEARCH("rn""&gt;Serbia and Montenegro",S2430)),"Serbia and Montenegro",
ISNUMBER(SEARCH(_xlfn.UNICHAR(65533),S2430)),"Côte d'Ivoire",
TRUE,""
)</f>
        <v/>
      </c>
      <c r="W2430" s="40" t="str">
        <f t="shared" si="180"/>
        <v>Yugoslavia</v>
      </c>
    </row>
    <row r="2431" spans="2:23">
      <c r="B2431" s="76" t="str">
        <v>2010.0</v>
      </c>
      <c r="C2431" s="42" t="str">
        <v xml:space="preserve">22 Jun 2010 - 20:30 </v>
      </c>
      <c r="D2431" s="42" t="str">
        <v>Group B</v>
      </c>
      <c r="E2431" s="42" t="str">
        <v>Durban Stadium</v>
      </c>
      <c r="F2431" s="42" t="str">
        <v xml:space="preserve">Durban </v>
      </c>
      <c r="G2431" s="42" t="str">
        <v>Nigeria</v>
      </c>
      <c r="H2431" s="42" t="str">
        <v>2.0</v>
      </c>
      <c r="I2431" s="42" t="str">
        <v>2.0</v>
      </c>
      <c r="J2431" s="42" t="str">
        <v>Korea Republic</v>
      </c>
      <c r="K2431" s="42" t="str">
        <v xml:space="preserve"> </v>
      </c>
      <c r="L2431" s="42" t="str">
        <f t="shared" si="181"/>
        <v xml:space="preserve">2010.0|22 Jun 2010 - 20:30 |Group B|Durban Stadium|Durban |Nigeria|2.0|2.0|Korea Republic| </v>
      </c>
      <c r="M2431" s="42" t="str">
        <f>IF(COUNTIF($L$1689:L2431,L2431)&gt;1,"DOUBLON","OK")</f>
        <v>OK</v>
      </c>
      <c r="S2431" s="40" t="str">
        <v>Spain</v>
      </c>
      <c r="T2431" s="40" t="str">
        <f t="shared" si="178"/>
        <v>OK</v>
      </c>
      <c r="U2431" s="40" t="str">
        <f t="shared" si="179"/>
        <v>-</v>
      </c>
      <c r="V2431" s="40" t="str" cm="1">
        <f t="array" ref="V2431">_xlfn.IFS(
ISNUMBER(SEARCH("USA",S2431)),"United States",
ISNUMBER(SEARCH("Republic of Ireland",S2431)),"Ireland",
ISNUMBER(SEARCH("Republic of Korea",S2431)),"South Korea",
ISNUMBER(SEARCH("Cape Verde",S2431)),"Cabo Verde",
ISNUMBER(SEARCH("Czechia",S2431)),"Czech Republic",
ISNUMBER(SEARCH("Türkiye",S2431)),"Turkey",
ISNUMBER(SEARCH("Ivory Coast",S2431)),"Côte d'Ivoire",
ISNUMBER(SEARCH("Korea Republic",S2431)),"South Korea",
ISNUMBER(SEARCH("Germany FR",S2431)),"FR Germany",
ISNUMBER(SEARCH("West Germany",S2431)),"FR Germany",
ISNUMBER(SEARCH("Germany DR",S2431)),"DR Germany",
ISNUMBER(SEARCH("Korea DPR",S2431)),"North Korea",
ISNUMBER(SEARCH("China PR",S2431)),"China",
ISNUMBER(SEARCH("IR Iran",S2431)),"Iran",
ISNUMBER(SEARCH("Congo DR",S2431)),"Democratic Republic of the Congo",
ISNUMBER(SEARCH("DR Congo",S2431)),"Democratic Republic of the Congo",
ISNUMBER(SEARCH("German DR",S2431)),"DR Germany",
ISNUMBER(SEARCH("rn""&gt;United Arab Emirates",S2431)),"United Arab Emirates",
ISNUMBER(SEARCH("rn""&gt;Republic of Ireland",S2431)),"Ireland",
ISNUMBER(SEARCH("rn""&gt;Bosnia and Herzegovina",S2431)),"Bosnia and Herzegovina",
ISNUMBER(SEARCH("rn""&gt;Trinidad and Tobago",S2431)),"Trinidad and Tobago",
ISNUMBER(SEARCH("rn""&gt;Serbia and Montenegro",S2431)),"Serbia and Montenegro",
ISNUMBER(SEARCH(_xlfn.UNICHAR(65533),S2431)),"Côte d'Ivoire",
TRUE,""
)</f>
        <v/>
      </c>
      <c r="W2431" s="40" t="str">
        <f t="shared" si="180"/>
        <v>Spain</v>
      </c>
    </row>
    <row r="2432" spans="2:23">
      <c r="B2432" s="76" t="str">
        <v>2010.0</v>
      </c>
      <c r="C2432" s="42" t="str">
        <v xml:space="preserve">22 Jun 2010 - 20:30 </v>
      </c>
      <c r="D2432" s="42" t="str">
        <v>Group B</v>
      </c>
      <c r="E2432" s="42" t="str">
        <v>Peter Mokaba Stadium</v>
      </c>
      <c r="F2432" s="42" t="str">
        <v xml:space="preserve">Polokwane </v>
      </c>
      <c r="G2432" s="42" t="str">
        <v>Greece</v>
      </c>
      <c r="H2432" s="42" t="str">
        <v>0.0</v>
      </c>
      <c r="I2432" s="42" t="str">
        <v>2.0</v>
      </c>
      <c r="J2432" s="42" t="str">
        <v>Argentina</v>
      </c>
      <c r="K2432" s="42" t="str">
        <v xml:space="preserve"> </v>
      </c>
      <c r="L2432" s="42" t="str">
        <f t="shared" si="181"/>
        <v xml:space="preserve">2010.0|22 Jun 2010 - 20:30 |Group B|Peter Mokaba Stadium|Polokwane |Greece|0.0|2.0|Argentina| </v>
      </c>
      <c r="M2432" s="42" t="str">
        <f>IF(COUNTIF($L$1689:L2432,L2432)&gt;1,"DOUBLON","OK")</f>
        <v>OK</v>
      </c>
      <c r="S2432" s="40" t="str">
        <v>Sweden</v>
      </c>
      <c r="T2432" s="40" t="str">
        <f t="shared" si="178"/>
        <v>OK</v>
      </c>
      <c r="U2432" s="40" t="str">
        <f t="shared" si="179"/>
        <v>-</v>
      </c>
      <c r="V2432" s="40" t="str" cm="1">
        <f t="array" ref="V2432">_xlfn.IFS(
ISNUMBER(SEARCH("USA",S2432)),"United States",
ISNUMBER(SEARCH("Republic of Ireland",S2432)),"Ireland",
ISNUMBER(SEARCH("Republic of Korea",S2432)),"South Korea",
ISNUMBER(SEARCH("Cape Verde",S2432)),"Cabo Verde",
ISNUMBER(SEARCH("Czechia",S2432)),"Czech Republic",
ISNUMBER(SEARCH("Türkiye",S2432)),"Turkey",
ISNUMBER(SEARCH("Ivory Coast",S2432)),"Côte d'Ivoire",
ISNUMBER(SEARCH("Korea Republic",S2432)),"South Korea",
ISNUMBER(SEARCH("Germany FR",S2432)),"FR Germany",
ISNUMBER(SEARCH("West Germany",S2432)),"FR Germany",
ISNUMBER(SEARCH("Germany DR",S2432)),"DR Germany",
ISNUMBER(SEARCH("Korea DPR",S2432)),"North Korea",
ISNUMBER(SEARCH("China PR",S2432)),"China",
ISNUMBER(SEARCH("IR Iran",S2432)),"Iran",
ISNUMBER(SEARCH("Congo DR",S2432)),"Democratic Republic of the Congo",
ISNUMBER(SEARCH("DR Congo",S2432)),"Democratic Republic of the Congo",
ISNUMBER(SEARCH("German DR",S2432)),"DR Germany",
ISNUMBER(SEARCH("rn""&gt;United Arab Emirates",S2432)),"United Arab Emirates",
ISNUMBER(SEARCH("rn""&gt;Republic of Ireland",S2432)),"Ireland",
ISNUMBER(SEARCH("rn""&gt;Bosnia and Herzegovina",S2432)),"Bosnia and Herzegovina",
ISNUMBER(SEARCH("rn""&gt;Trinidad and Tobago",S2432)),"Trinidad and Tobago",
ISNUMBER(SEARCH("rn""&gt;Serbia and Montenegro",S2432)),"Serbia and Montenegro",
ISNUMBER(SEARCH(_xlfn.UNICHAR(65533),S2432)),"Côte d'Ivoire",
TRUE,""
)</f>
        <v/>
      </c>
      <c r="W2432" s="40" t="str">
        <f t="shared" si="180"/>
        <v>Sweden</v>
      </c>
    </row>
    <row r="2433" spans="2:23">
      <c r="B2433" s="76" t="str">
        <v>2010.0</v>
      </c>
      <c r="C2433" s="42" t="str">
        <v xml:space="preserve">23 Jun 2010 - 16:00 </v>
      </c>
      <c r="D2433" s="42" t="str">
        <v>Group C</v>
      </c>
      <c r="E2433" s="42" t="str">
        <v>Port Elizabeth Stadium</v>
      </c>
      <c r="F2433" s="42" t="str">
        <v xml:space="preserve">Nelson Mandela Bay/Port Elizabeth </v>
      </c>
      <c r="G2433" s="42" t="str">
        <v>Slovenia</v>
      </c>
      <c r="H2433" s="42" t="str">
        <v>0.0</v>
      </c>
      <c r="I2433" s="42" t="str">
        <v>1.0</v>
      </c>
      <c r="J2433" s="42" t="str">
        <v>England</v>
      </c>
      <c r="K2433" s="42" t="str">
        <v xml:space="preserve"> </v>
      </c>
      <c r="L2433" s="42" t="str">
        <f t="shared" si="181"/>
        <v xml:space="preserve">2010.0|23 Jun 2010 - 16:00 |Group C|Port Elizabeth Stadium|Nelson Mandela Bay/Port Elizabeth |Slovenia|0.0|1.0|England| </v>
      </c>
      <c r="M2433" s="42" t="str">
        <f>IF(COUNTIF($L$1689:L2433,L2433)&gt;1,"DOUBLON","OK")</f>
        <v>OK</v>
      </c>
      <c r="S2433" s="40" t="str">
        <v>USA</v>
      </c>
      <c r="T2433" s="40" t="str">
        <f t="shared" si="178"/>
        <v>ERREUR</v>
      </c>
      <c r="U2433" s="40" t="str">
        <f t="shared" si="179"/>
        <v>RENOMMER</v>
      </c>
      <c r="V2433" s="40" t="str" cm="1">
        <f t="array" ref="V2433">_xlfn.IFS(
ISNUMBER(SEARCH("USA",S2433)),"United States",
ISNUMBER(SEARCH("Republic of Ireland",S2433)),"Ireland",
ISNUMBER(SEARCH("Republic of Korea",S2433)),"South Korea",
ISNUMBER(SEARCH("Cape Verde",S2433)),"Cabo Verde",
ISNUMBER(SEARCH("Czechia",S2433)),"Czech Republic",
ISNUMBER(SEARCH("Türkiye",S2433)),"Turkey",
ISNUMBER(SEARCH("Ivory Coast",S2433)),"Côte d'Ivoire",
ISNUMBER(SEARCH("Korea Republic",S2433)),"South Korea",
ISNUMBER(SEARCH("Germany FR",S2433)),"FR Germany",
ISNUMBER(SEARCH("West Germany",S2433)),"FR Germany",
ISNUMBER(SEARCH("Germany DR",S2433)),"DR Germany",
ISNUMBER(SEARCH("Korea DPR",S2433)),"North Korea",
ISNUMBER(SEARCH("China PR",S2433)),"China",
ISNUMBER(SEARCH("IR Iran",S2433)),"Iran",
ISNUMBER(SEARCH("Congo DR",S2433)),"Democratic Republic of the Congo",
ISNUMBER(SEARCH("DR Congo",S2433)),"Democratic Republic of the Congo",
ISNUMBER(SEARCH("German DR",S2433)),"DR Germany",
ISNUMBER(SEARCH("rn""&gt;United Arab Emirates",S2433)),"United Arab Emirates",
ISNUMBER(SEARCH("rn""&gt;Republic of Ireland",S2433)),"Ireland",
ISNUMBER(SEARCH("rn""&gt;Bosnia and Herzegovina",S2433)),"Bosnia and Herzegovina",
ISNUMBER(SEARCH("rn""&gt;Trinidad and Tobago",S2433)),"Trinidad and Tobago",
ISNUMBER(SEARCH("rn""&gt;Serbia and Montenegro",S2433)),"Serbia and Montenegro",
ISNUMBER(SEARCH(_xlfn.UNICHAR(65533),S2433)),"Côte d'Ivoire",
TRUE,""
)</f>
        <v>United States</v>
      </c>
      <c r="W2433" s="40" t="str">
        <f t="shared" si="180"/>
        <v>United States</v>
      </c>
    </row>
    <row r="2434" spans="2:23">
      <c r="B2434" s="76" t="str">
        <v>2010.0</v>
      </c>
      <c r="C2434" s="42" t="str">
        <v xml:space="preserve">23 Jun 2010 - 16:00 </v>
      </c>
      <c r="D2434" s="42" t="str">
        <v>Group C</v>
      </c>
      <c r="E2434" s="42" t="str">
        <v>Loftus Versfeld Stadium</v>
      </c>
      <c r="F2434" s="42" t="str">
        <v xml:space="preserve">Tshwane/Pretoria </v>
      </c>
      <c r="G2434" s="42" t="str">
        <v>USA</v>
      </c>
      <c r="H2434" s="42" t="str">
        <v>1.0</v>
      </c>
      <c r="I2434" s="42" t="str">
        <v>0.0</v>
      </c>
      <c r="J2434" s="42" t="str">
        <v>Algeria</v>
      </c>
      <c r="K2434" s="42" t="str">
        <v xml:space="preserve"> </v>
      </c>
      <c r="L2434" s="42" t="str">
        <f t="shared" si="181"/>
        <v xml:space="preserve">2010.0|23 Jun 2010 - 16:00 |Group C|Loftus Versfeld Stadium|Tshwane/Pretoria |USA|1.0|0.0|Algeria| </v>
      </c>
      <c r="M2434" s="42" t="str">
        <f>IF(COUNTIF($L$1689:L2434,L2434)&gt;1,"DOUBLON","OK")</f>
        <v>OK</v>
      </c>
      <c r="S2434" s="40" t="str">
        <v>Brazil</v>
      </c>
      <c r="T2434" s="40" t="str">
        <f t="shared" si="178"/>
        <v>OK</v>
      </c>
      <c r="U2434" s="40" t="str">
        <f t="shared" si="179"/>
        <v>-</v>
      </c>
      <c r="V2434" s="40" t="str" cm="1">
        <f t="array" ref="V2434">_xlfn.IFS(
ISNUMBER(SEARCH("USA",S2434)),"United States",
ISNUMBER(SEARCH("Republic of Ireland",S2434)),"Ireland",
ISNUMBER(SEARCH("Republic of Korea",S2434)),"South Korea",
ISNUMBER(SEARCH("Cape Verde",S2434)),"Cabo Verde",
ISNUMBER(SEARCH("Czechia",S2434)),"Czech Republic",
ISNUMBER(SEARCH("Türkiye",S2434)),"Turkey",
ISNUMBER(SEARCH("Ivory Coast",S2434)),"Côte d'Ivoire",
ISNUMBER(SEARCH("Korea Republic",S2434)),"South Korea",
ISNUMBER(SEARCH("Germany FR",S2434)),"FR Germany",
ISNUMBER(SEARCH("West Germany",S2434)),"FR Germany",
ISNUMBER(SEARCH("Germany DR",S2434)),"DR Germany",
ISNUMBER(SEARCH("Korea DPR",S2434)),"North Korea",
ISNUMBER(SEARCH("China PR",S2434)),"China",
ISNUMBER(SEARCH("IR Iran",S2434)),"Iran",
ISNUMBER(SEARCH("Congo DR",S2434)),"Democratic Republic of the Congo",
ISNUMBER(SEARCH("DR Congo",S2434)),"Democratic Republic of the Congo",
ISNUMBER(SEARCH("German DR",S2434)),"DR Germany",
ISNUMBER(SEARCH("rn""&gt;United Arab Emirates",S2434)),"United Arab Emirates",
ISNUMBER(SEARCH("rn""&gt;Republic of Ireland",S2434)),"Ireland",
ISNUMBER(SEARCH("rn""&gt;Bosnia and Herzegovina",S2434)),"Bosnia and Herzegovina",
ISNUMBER(SEARCH("rn""&gt;Trinidad and Tobago",S2434)),"Trinidad and Tobago",
ISNUMBER(SEARCH("rn""&gt;Serbia and Montenegro",S2434)),"Serbia and Montenegro",
ISNUMBER(SEARCH(_xlfn.UNICHAR(65533),S2434)),"Côte d'Ivoire",
TRUE,""
)</f>
        <v/>
      </c>
      <c r="W2434" s="40" t="str">
        <f t="shared" si="180"/>
        <v>Brazil</v>
      </c>
    </row>
    <row r="2435" spans="2:23">
      <c r="B2435" s="76" t="str">
        <v>2010.0</v>
      </c>
      <c r="C2435" s="42" t="str">
        <v xml:space="preserve">23 Jun 2010 - 20:30 </v>
      </c>
      <c r="D2435" s="42" t="str">
        <v>Group D</v>
      </c>
      <c r="E2435" s="42" t="str">
        <v>Soccer City Stadium</v>
      </c>
      <c r="F2435" s="42" t="str">
        <v xml:space="preserve">Johannesburg </v>
      </c>
      <c r="G2435" s="42" t="str">
        <v>Ghana</v>
      </c>
      <c r="H2435" s="42" t="str">
        <v>0.0</v>
      </c>
      <c r="I2435" s="42" t="str">
        <v>1.0</v>
      </c>
      <c r="J2435" s="42" t="str">
        <v>Germany</v>
      </c>
      <c r="K2435" s="42" t="str">
        <v xml:space="preserve"> </v>
      </c>
      <c r="L2435" s="42" t="str">
        <f t="shared" si="181"/>
        <v xml:space="preserve">2010.0|23 Jun 2010 - 20:30 |Group D|Soccer City Stadium|Johannesburg |Ghana|0.0|1.0|Germany| </v>
      </c>
      <c r="M2435" s="42" t="str">
        <f>IF(COUNTIF($L$1689:L2435,L2435)&gt;1,"DOUBLON","OK")</f>
        <v>OK</v>
      </c>
      <c r="S2435" s="40" t="str">
        <v>Spain</v>
      </c>
      <c r="T2435" s="40" t="str">
        <f t="shared" ref="T2435:T2498" si="182">IF(COUNTIF(R$13:R$250,S2435)=1,"OK","ERREUR")</f>
        <v>OK</v>
      </c>
      <c r="U2435" s="40" t="str">
        <f t="shared" si="179"/>
        <v>-</v>
      </c>
      <c r="V2435" s="40" t="str" cm="1">
        <f t="array" ref="V2435">_xlfn.IFS(
ISNUMBER(SEARCH("USA",S2435)),"United States",
ISNUMBER(SEARCH("Republic of Ireland",S2435)),"Ireland",
ISNUMBER(SEARCH("Republic of Korea",S2435)),"South Korea",
ISNUMBER(SEARCH("Cape Verde",S2435)),"Cabo Verde",
ISNUMBER(SEARCH("Czechia",S2435)),"Czech Republic",
ISNUMBER(SEARCH("Türkiye",S2435)),"Turkey",
ISNUMBER(SEARCH("Ivory Coast",S2435)),"Côte d'Ivoire",
ISNUMBER(SEARCH("Korea Republic",S2435)),"South Korea",
ISNUMBER(SEARCH("Germany FR",S2435)),"FR Germany",
ISNUMBER(SEARCH("West Germany",S2435)),"FR Germany",
ISNUMBER(SEARCH("Germany DR",S2435)),"DR Germany",
ISNUMBER(SEARCH("Korea DPR",S2435)),"North Korea",
ISNUMBER(SEARCH("China PR",S2435)),"China",
ISNUMBER(SEARCH("IR Iran",S2435)),"Iran",
ISNUMBER(SEARCH("Congo DR",S2435)),"Democratic Republic of the Congo",
ISNUMBER(SEARCH("DR Congo",S2435)),"Democratic Republic of the Congo",
ISNUMBER(SEARCH("German DR",S2435)),"DR Germany",
ISNUMBER(SEARCH("rn""&gt;United Arab Emirates",S2435)),"United Arab Emirates",
ISNUMBER(SEARCH("rn""&gt;Republic of Ireland",S2435)),"Ireland",
ISNUMBER(SEARCH("rn""&gt;Bosnia and Herzegovina",S2435)),"Bosnia and Herzegovina",
ISNUMBER(SEARCH("rn""&gt;Trinidad and Tobago",S2435)),"Trinidad and Tobago",
ISNUMBER(SEARCH("rn""&gt;Serbia and Montenegro",S2435)),"Serbia and Montenegro",
ISNUMBER(SEARCH(_xlfn.UNICHAR(65533),S2435)),"Côte d'Ivoire",
TRUE,""
)</f>
        <v/>
      </c>
      <c r="W2435" s="40" t="str">
        <f t="shared" si="180"/>
        <v>Spain</v>
      </c>
    </row>
    <row r="2436" spans="2:23">
      <c r="B2436" s="76" t="str">
        <v>2010.0</v>
      </c>
      <c r="C2436" s="42" t="str">
        <v xml:space="preserve">23 Jun 2010 - 20:30 </v>
      </c>
      <c r="D2436" s="42" t="str">
        <v>Group D</v>
      </c>
      <c r="E2436" s="42" t="str">
        <v>Mbombela Stadium</v>
      </c>
      <c r="F2436" s="42" t="str">
        <v xml:space="preserve">Nelspruit </v>
      </c>
      <c r="G2436" s="42" t="str">
        <v>Australia</v>
      </c>
      <c r="H2436" s="42" t="str">
        <v>2.0</v>
      </c>
      <c r="I2436" s="42" t="str">
        <v>1.0</v>
      </c>
      <c r="J2436" s="42" t="str">
        <v>Serbia</v>
      </c>
      <c r="K2436" s="42" t="str">
        <v xml:space="preserve"> </v>
      </c>
      <c r="L2436" s="42" t="str">
        <f t="shared" si="181"/>
        <v xml:space="preserve">2010.0|23 Jun 2010 - 20:30 |Group D|Mbombela Stadium|Nelspruit |Australia|2.0|1.0|Serbia| </v>
      </c>
      <c r="M2436" s="42" t="str">
        <f>IF(COUNTIF($L$1689:L2436,L2436)&gt;1,"DOUBLON","OK")</f>
        <v>OK</v>
      </c>
      <c r="S2436" s="40" t="str">
        <v>Italy</v>
      </c>
      <c r="T2436" s="40" t="str">
        <f t="shared" si="182"/>
        <v>OK</v>
      </c>
      <c r="U2436" s="40" t="str">
        <f t="shared" ref="U2436:U2499" si="183">IF(OR(S2436="Scotland",S2436="England",S2436="Wales",S2436="Yugoslavia",S2436="Czechoslovakia",S2436="Northern Ireland",S2436="Soviet Union",S2436="Zaire",S2436="Dutch East Indies"),"AUCUNE",IF(OR(S2436="Cape Verde",S2436="USA",S2436="DR Congo",S2436="Republic of Korea",S2436="Germany FR",S2436="Germany DR",S2436="Czechia",S2436="Ivory Coast",S2436="Korea DPR",S2436="China PR",S2436="IR Iran",S2436="Türkiye",S2436="Congo DR",S2436="German DR",S2436="West Germany",S2436="Republic of Ireland",ISNUMBER(SEARCH(_xlfn.UNICHAR(65533),S2436)),S2436="Korea Republic",ISNUMBER(SEARCH("rn""&gt;United Arab Emirates",S2436)),ISNUMBER(SEARCH("rn""&gt;Republic of Ireland",S2436)),ISNUMBER(SEARCH("rn""&gt;Bosnia and Herzegovina",S2436)),ISNUMBER(SEARCH("rn""&gt;Trinidad and Tobago",S2436)),ISNUMBER(SEARCH("rn""&gt;Serbia and Montenegro",S2436)),ISNUMBER(SEARCH(_xlfn.UNICHAR(65533),S2436))),"RENOMMER","-"))</f>
        <v>-</v>
      </c>
      <c r="V2436" s="40" t="str" cm="1">
        <f t="array" ref="V2436">_xlfn.IFS(
ISNUMBER(SEARCH("USA",S2436)),"United States",
ISNUMBER(SEARCH("Republic of Ireland",S2436)),"Ireland",
ISNUMBER(SEARCH("Republic of Korea",S2436)),"South Korea",
ISNUMBER(SEARCH("Cape Verde",S2436)),"Cabo Verde",
ISNUMBER(SEARCH("Czechia",S2436)),"Czech Republic",
ISNUMBER(SEARCH("Türkiye",S2436)),"Turkey",
ISNUMBER(SEARCH("Ivory Coast",S2436)),"Côte d'Ivoire",
ISNUMBER(SEARCH("Korea Republic",S2436)),"South Korea",
ISNUMBER(SEARCH("Germany FR",S2436)),"FR Germany",
ISNUMBER(SEARCH("West Germany",S2436)),"FR Germany",
ISNUMBER(SEARCH("Germany DR",S2436)),"DR Germany",
ISNUMBER(SEARCH("Korea DPR",S2436)),"North Korea",
ISNUMBER(SEARCH("China PR",S2436)),"China",
ISNUMBER(SEARCH("IR Iran",S2436)),"Iran",
ISNUMBER(SEARCH("Congo DR",S2436)),"Democratic Republic of the Congo",
ISNUMBER(SEARCH("DR Congo",S2436)),"Democratic Republic of the Congo",
ISNUMBER(SEARCH("German DR",S2436)),"DR Germany",
ISNUMBER(SEARCH("rn""&gt;United Arab Emirates",S2436)),"United Arab Emirates",
ISNUMBER(SEARCH("rn""&gt;Republic of Ireland",S2436)),"Ireland",
ISNUMBER(SEARCH("rn""&gt;Bosnia and Herzegovina",S2436)),"Bosnia and Herzegovina",
ISNUMBER(SEARCH("rn""&gt;Trinidad and Tobago",S2436)),"Trinidad and Tobago",
ISNUMBER(SEARCH("rn""&gt;Serbia and Montenegro",S2436)),"Serbia and Montenegro",
ISNUMBER(SEARCH(_xlfn.UNICHAR(65533),S2436)),"Côte d'Ivoire",
TRUE,""
)</f>
        <v/>
      </c>
      <c r="W2436" s="40" t="str">
        <f t="shared" ref="W2436:W2499" si="184">IF(V2436="",S2436,V2436)</f>
        <v>Italy</v>
      </c>
    </row>
    <row r="2437" spans="2:23">
      <c r="B2437" s="76" t="str">
        <v>2010.0</v>
      </c>
      <c r="C2437" s="42" t="str">
        <v xml:space="preserve">24 Jun 2010 - 16:00 </v>
      </c>
      <c r="D2437" s="42" t="str">
        <v>Group F</v>
      </c>
      <c r="E2437" s="42" t="str">
        <v>Ellis Park Stadium</v>
      </c>
      <c r="F2437" s="42" t="str">
        <v xml:space="preserve">Johannesburg </v>
      </c>
      <c r="G2437" s="42" t="str">
        <v>Slovakia</v>
      </c>
      <c r="H2437" s="42" t="str">
        <v>3.0</v>
      </c>
      <c r="I2437" s="42" t="str">
        <v>2.0</v>
      </c>
      <c r="J2437" s="42" t="str">
        <v>Italy</v>
      </c>
      <c r="K2437" s="42" t="str">
        <v xml:space="preserve"> </v>
      </c>
      <c r="L2437" s="42" t="str">
        <f t="shared" si="181"/>
        <v xml:space="preserve">2010.0|24 Jun 2010 - 16:00 |Group F|Ellis Park Stadium|Johannesburg |Slovakia|3.0|2.0|Italy| </v>
      </c>
      <c r="M2437" s="42" t="str">
        <f>IF(COUNTIF($L$1689:L2437,L2437)&gt;1,"DOUBLON","OK")</f>
        <v>OK</v>
      </c>
      <c r="S2437" s="40" t="str">
        <v>Uruguay</v>
      </c>
      <c r="T2437" s="40" t="str">
        <f t="shared" si="182"/>
        <v>OK</v>
      </c>
      <c r="U2437" s="40" t="str">
        <f t="shared" si="183"/>
        <v>-</v>
      </c>
      <c r="V2437" s="40" t="str" cm="1">
        <f t="array" ref="V2437">_xlfn.IFS(
ISNUMBER(SEARCH("USA",S2437)),"United States",
ISNUMBER(SEARCH("Republic of Ireland",S2437)),"Ireland",
ISNUMBER(SEARCH("Republic of Korea",S2437)),"South Korea",
ISNUMBER(SEARCH("Cape Verde",S2437)),"Cabo Verde",
ISNUMBER(SEARCH("Czechia",S2437)),"Czech Republic",
ISNUMBER(SEARCH("Türkiye",S2437)),"Turkey",
ISNUMBER(SEARCH("Ivory Coast",S2437)),"Côte d'Ivoire",
ISNUMBER(SEARCH("Korea Republic",S2437)),"South Korea",
ISNUMBER(SEARCH("Germany FR",S2437)),"FR Germany",
ISNUMBER(SEARCH("West Germany",S2437)),"FR Germany",
ISNUMBER(SEARCH("Germany DR",S2437)),"DR Germany",
ISNUMBER(SEARCH("Korea DPR",S2437)),"North Korea",
ISNUMBER(SEARCH("China PR",S2437)),"China",
ISNUMBER(SEARCH("IR Iran",S2437)),"Iran",
ISNUMBER(SEARCH("Congo DR",S2437)),"Democratic Republic of the Congo",
ISNUMBER(SEARCH("DR Congo",S2437)),"Democratic Republic of the Congo",
ISNUMBER(SEARCH("German DR",S2437)),"DR Germany",
ISNUMBER(SEARCH("rn""&gt;United Arab Emirates",S2437)),"United Arab Emirates",
ISNUMBER(SEARCH("rn""&gt;Republic of Ireland",S2437)),"Ireland",
ISNUMBER(SEARCH("rn""&gt;Bosnia and Herzegovina",S2437)),"Bosnia and Herzegovina",
ISNUMBER(SEARCH("rn""&gt;Trinidad and Tobago",S2437)),"Trinidad and Tobago",
ISNUMBER(SEARCH("rn""&gt;Serbia and Montenegro",S2437)),"Serbia and Montenegro",
ISNUMBER(SEARCH(_xlfn.UNICHAR(65533),S2437)),"Côte d'Ivoire",
TRUE,""
)</f>
        <v/>
      </c>
      <c r="W2437" s="40" t="str">
        <f t="shared" si="184"/>
        <v>Uruguay</v>
      </c>
    </row>
    <row r="2438" spans="2:23">
      <c r="B2438" s="76" t="str">
        <v>2010.0</v>
      </c>
      <c r="C2438" s="42" t="str">
        <v xml:space="preserve">24 Jun 2010 - 16:00 </v>
      </c>
      <c r="D2438" s="42" t="str">
        <v>Group F</v>
      </c>
      <c r="E2438" s="42" t="str">
        <v>Peter Mokaba Stadium</v>
      </c>
      <c r="F2438" s="42" t="str">
        <v xml:space="preserve">Polokwane </v>
      </c>
      <c r="G2438" s="42" t="str">
        <v>Paraguay</v>
      </c>
      <c r="H2438" s="42" t="str">
        <v>0.0</v>
      </c>
      <c r="I2438" s="42" t="str">
        <v>0.0</v>
      </c>
      <c r="J2438" s="42" t="str">
        <v>New Zealand</v>
      </c>
      <c r="K2438" s="42" t="str">
        <v xml:space="preserve"> </v>
      </c>
      <c r="L2438" s="42" t="str">
        <f t="shared" si="181"/>
        <v xml:space="preserve">2010.0|24 Jun 2010 - 16:00 |Group F|Peter Mokaba Stadium|Polokwane |Paraguay|0.0|0.0|New Zealand| </v>
      </c>
      <c r="M2438" s="42" t="str">
        <f>IF(COUNTIF($L$1689:L2438,L2438)&gt;1,"DOUBLON","OK")</f>
        <v>OK</v>
      </c>
      <c r="S2438" s="40" t="str">
        <v>Switzerland</v>
      </c>
      <c r="T2438" s="40" t="str">
        <f t="shared" si="182"/>
        <v>OK</v>
      </c>
      <c r="U2438" s="40" t="str">
        <f t="shared" si="183"/>
        <v>-</v>
      </c>
      <c r="V2438" s="40" t="str" cm="1">
        <f t="array" ref="V2438">_xlfn.IFS(
ISNUMBER(SEARCH("USA",S2438)),"United States",
ISNUMBER(SEARCH("Republic of Ireland",S2438)),"Ireland",
ISNUMBER(SEARCH("Republic of Korea",S2438)),"South Korea",
ISNUMBER(SEARCH("Cape Verde",S2438)),"Cabo Verde",
ISNUMBER(SEARCH("Czechia",S2438)),"Czech Republic",
ISNUMBER(SEARCH("Türkiye",S2438)),"Turkey",
ISNUMBER(SEARCH("Ivory Coast",S2438)),"Côte d'Ivoire",
ISNUMBER(SEARCH("Korea Republic",S2438)),"South Korea",
ISNUMBER(SEARCH("Germany FR",S2438)),"FR Germany",
ISNUMBER(SEARCH("West Germany",S2438)),"FR Germany",
ISNUMBER(SEARCH("Germany DR",S2438)),"DR Germany",
ISNUMBER(SEARCH("Korea DPR",S2438)),"North Korea",
ISNUMBER(SEARCH("China PR",S2438)),"China",
ISNUMBER(SEARCH("IR Iran",S2438)),"Iran",
ISNUMBER(SEARCH("Congo DR",S2438)),"Democratic Republic of the Congo",
ISNUMBER(SEARCH("DR Congo",S2438)),"Democratic Republic of the Congo",
ISNUMBER(SEARCH("German DR",S2438)),"DR Germany",
ISNUMBER(SEARCH("rn""&gt;United Arab Emirates",S2438)),"United Arab Emirates",
ISNUMBER(SEARCH("rn""&gt;Republic of Ireland",S2438)),"Ireland",
ISNUMBER(SEARCH("rn""&gt;Bosnia and Herzegovina",S2438)),"Bosnia and Herzegovina",
ISNUMBER(SEARCH("rn""&gt;Trinidad and Tobago",S2438)),"Trinidad and Tobago",
ISNUMBER(SEARCH("rn""&gt;Serbia and Montenegro",S2438)),"Serbia and Montenegro",
ISNUMBER(SEARCH(_xlfn.UNICHAR(65533),S2438)),"Côte d'Ivoire",
TRUE,""
)</f>
        <v/>
      </c>
      <c r="W2438" s="40" t="str">
        <f t="shared" si="184"/>
        <v>Switzerland</v>
      </c>
    </row>
    <row r="2439" spans="2:23">
      <c r="B2439" s="76" t="str">
        <v>2010.0</v>
      </c>
      <c r="C2439" s="42" t="str">
        <v xml:space="preserve">24 Jun 2010 - 20:30 </v>
      </c>
      <c r="D2439" s="42" t="str">
        <v>Group E</v>
      </c>
      <c r="E2439" s="42" t="str">
        <v>Royal Bafokeng Sports Palace</v>
      </c>
      <c r="F2439" s="42" t="str">
        <v xml:space="preserve">Phokeng </v>
      </c>
      <c r="G2439" s="42" t="str">
        <v>Denmark</v>
      </c>
      <c r="H2439" s="42" t="str">
        <v>1.0</v>
      </c>
      <c r="I2439" s="42" t="str">
        <v>3.0</v>
      </c>
      <c r="J2439" s="42" t="str">
        <v>Japan</v>
      </c>
      <c r="K2439" s="42" t="str">
        <v xml:space="preserve"> </v>
      </c>
      <c r="L2439" s="42" t="str">
        <f t="shared" si="181"/>
        <v xml:space="preserve">2010.0|24 Jun 2010 - 20:30 |Group E|Royal Bafokeng Sports Palace|Phokeng |Denmark|1.0|3.0|Japan| </v>
      </c>
      <c r="M2439" s="42" t="str">
        <f>IF(COUNTIF($L$1689:L2439,L2439)&gt;1,"DOUBLON","OK")</f>
        <v>OK</v>
      </c>
      <c r="S2439" s="40" t="str">
        <v>Chile</v>
      </c>
      <c r="T2439" s="40" t="str">
        <f t="shared" si="182"/>
        <v>OK</v>
      </c>
      <c r="U2439" s="40" t="str">
        <f t="shared" si="183"/>
        <v>-</v>
      </c>
      <c r="V2439" s="40" t="str" cm="1">
        <f t="array" ref="V2439">_xlfn.IFS(
ISNUMBER(SEARCH("USA",S2439)),"United States",
ISNUMBER(SEARCH("Republic of Ireland",S2439)),"Ireland",
ISNUMBER(SEARCH("Republic of Korea",S2439)),"South Korea",
ISNUMBER(SEARCH("Cape Verde",S2439)),"Cabo Verde",
ISNUMBER(SEARCH("Czechia",S2439)),"Czech Republic",
ISNUMBER(SEARCH("Türkiye",S2439)),"Turkey",
ISNUMBER(SEARCH("Ivory Coast",S2439)),"Côte d'Ivoire",
ISNUMBER(SEARCH("Korea Republic",S2439)),"South Korea",
ISNUMBER(SEARCH("Germany FR",S2439)),"FR Germany",
ISNUMBER(SEARCH("West Germany",S2439)),"FR Germany",
ISNUMBER(SEARCH("Germany DR",S2439)),"DR Germany",
ISNUMBER(SEARCH("Korea DPR",S2439)),"North Korea",
ISNUMBER(SEARCH("China PR",S2439)),"China",
ISNUMBER(SEARCH("IR Iran",S2439)),"Iran",
ISNUMBER(SEARCH("Congo DR",S2439)),"Democratic Republic of the Congo",
ISNUMBER(SEARCH("DR Congo",S2439)),"Democratic Republic of the Congo",
ISNUMBER(SEARCH("German DR",S2439)),"DR Germany",
ISNUMBER(SEARCH("rn""&gt;United Arab Emirates",S2439)),"United Arab Emirates",
ISNUMBER(SEARCH("rn""&gt;Republic of Ireland",S2439)),"Ireland",
ISNUMBER(SEARCH("rn""&gt;Bosnia and Herzegovina",S2439)),"Bosnia and Herzegovina",
ISNUMBER(SEARCH("rn""&gt;Trinidad and Tobago",S2439)),"Trinidad and Tobago",
ISNUMBER(SEARCH("rn""&gt;Serbia and Montenegro",S2439)),"Serbia and Montenegro",
ISNUMBER(SEARCH(_xlfn.UNICHAR(65533),S2439)),"Côte d'Ivoire",
TRUE,""
)</f>
        <v/>
      </c>
      <c r="W2439" s="40" t="str">
        <f t="shared" si="184"/>
        <v>Chile</v>
      </c>
    </row>
    <row r="2440" spans="2:23">
      <c r="B2440" s="76" t="str">
        <v>2010.0</v>
      </c>
      <c r="C2440" s="42" t="str">
        <v xml:space="preserve">24 Jun 2010 - 20:30 </v>
      </c>
      <c r="D2440" s="42" t="str">
        <v>Group E</v>
      </c>
      <c r="E2440" s="42" t="str">
        <v>Cape Town Stadium</v>
      </c>
      <c r="F2440" s="42" t="str">
        <v xml:space="preserve">Cape Town </v>
      </c>
      <c r="G2440" s="42" t="str">
        <v>Cameroon</v>
      </c>
      <c r="H2440" s="42" t="str">
        <v>1.0</v>
      </c>
      <c r="I2440" s="42" t="str">
        <v>2.0</v>
      </c>
      <c r="J2440" s="42" t="str">
        <v>Netherlands</v>
      </c>
      <c r="K2440" s="42" t="str">
        <v xml:space="preserve"> </v>
      </c>
      <c r="L2440" s="42" t="str">
        <f t="shared" si="181"/>
        <v xml:space="preserve">2010.0|24 Jun 2010 - 20:30 |Group E|Cape Town Stadium|Cape Town |Cameroon|1.0|2.0|Netherlands| </v>
      </c>
      <c r="M2440" s="42" t="str">
        <f>IF(COUNTIF($L$1689:L2440,L2440)&gt;1,"DOUBLON","OK")</f>
        <v>OK</v>
      </c>
      <c r="S2440" s="40" t="str">
        <v>Uruguay</v>
      </c>
      <c r="T2440" s="40" t="str">
        <f t="shared" si="182"/>
        <v>OK</v>
      </c>
      <c r="U2440" s="40" t="str">
        <f t="shared" si="183"/>
        <v>-</v>
      </c>
      <c r="V2440" s="40" t="str" cm="1">
        <f t="array" ref="V2440">_xlfn.IFS(
ISNUMBER(SEARCH("USA",S2440)),"United States",
ISNUMBER(SEARCH("Republic of Ireland",S2440)),"Ireland",
ISNUMBER(SEARCH("Republic of Korea",S2440)),"South Korea",
ISNUMBER(SEARCH("Cape Verde",S2440)),"Cabo Verde",
ISNUMBER(SEARCH("Czechia",S2440)),"Czech Republic",
ISNUMBER(SEARCH("Türkiye",S2440)),"Turkey",
ISNUMBER(SEARCH("Ivory Coast",S2440)),"Côte d'Ivoire",
ISNUMBER(SEARCH("Korea Republic",S2440)),"South Korea",
ISNUMBER(SEARCH("Germany FR",S2440)),"FR Germany",
ISNUMBER(SEARCH("West Germany",S2440)),"FR Germany",
ISNUMBER(SEARCH("Germany DR",S2440)),"DR Germany",
ISNUMBER(SEARCH("Korea DPR",S2440)),"North Korea",
ISNUMBER(SEARCH("China PR",S2440)),"China",
ISNUMBER(SEARCH("IR Iran",S2440)),"Iran",
ISNUMBER(SEARCH("Congo DR",S2440)),"Democratic Republic of the Congo",
ISNUMBER(SEARCH("DR Congo",S2440)),"Democratic Republic of the Congo",
ISNUMBER(SEARCH("German DR",S2440)),"DR Germany",
ISNUMBER(SEARCH("rn""&gt;United Arab Emirates",S2440)),"United Arab Emirates",
ISNUMBER(SEARCH("rn""&gt;Republic of Ireland",S2440)),"Ireland",
ISNUMBER(SEARCH("rn""&gt;Bosnia and Herzegovina",S2440)),"Bosnia and Herzegovina",
ISNUMBER(SEARCH("rn""&gt;Trinidad and Tobago",S2440)),"Trinidad and Tobago",
ISNUMBER(SEARCH("rn""&gt;Serbia and Montenegro",S2440)),"Serbia and Montenegro",
ISNUMBER(SEARCH(_xlfn.UNICHAR(65533),S2440)),"Côte d'Ivoire",
TRUE,""
)</f>
        <v/>
      </c>
      <c r="W2440" s="40" t="str">
        <f t="shared" si="184"/>
        <v>Uruguay</v>
      </c>
    </row>
    <row r="2441" spans="2:23">
      <c r="B2441" s="76" t="str">
        <v>2010.0</v>
      </c>
      <c r="C2441" s="42" t="str">
        <v xml:space="preserve">25 Jun 2010 - 16:00 </v>
      </c>
      <c r="D2441" s="42" t="str">
        <v>Group G</v>
      </c>
      <c r="E2441" s="42" t="str">
        <v>Durban Stadium</v>
      </c>
      <c r="F2441" s="42" t="str">
        <v xml:space="preserve">Durban </v>
      </c>
      <c r="G2441" s="42" t="str">
        <v>Portugal</v>
      </c>
      <c r="H2441" s="42" t="str">
        <v>0.0</v>
      </c>
      <c r="I2441" s="42" t="str">
        <v>0.0</v>
      </c>
      <c r="J2441" s="42" t="str">
        <v>Brazil</v>
      </c>
      <c r="K2441" s="42" t="str">
        <v xml:space="preserve"> </v>
      </c>
      <c r="L2441" s="42" t="str">
        <f t="shared" si="181"/>
        <v xml:space="preserve">2010.0|25 Jun 2010 - 16:00 |Group G|Durban Stadium|Durban |Portugal|0.0|0.0|Brazil| </v>
      </c>
      <c r="M2441" s="42" t="str">
        <f>IF(COUNTIF($L$1689:L2441,L2441)&gt;1,"DOUBLON","OK")</f>
        <v>OK</v>
      </c>
      <c r="S2441" s="40" t="str">
        <v>Brazil</v>
      </c>
      <c r="T2441" s="40" t="str">
        <f t="shared" si="182"/>
        <v>OK</v>
      </c>
      <c r="U2441" s="40" t="str">
        <f t="shared" si="183"/>
        <v>-</v>
      </c>
      <c r="V2441" s="40" t="str" cm="1">
        <f t="array" ref="V2441">_xlfn.IFS(
ISNUMBER(SEARCH("USA",S2441)),"United States",
ISNUMBER(SEARCH("Republic of Ireland",S2441)),"Ireland",
ISNUMBER(SEARCH("Republic of Korea",S2441)),"South Korea",
ISNUMBER(SEARCH("Cape Verde",S2441)),"Cabo Verde",
ISNUMBER(SEARCH("Czechia",S2441)),"Czech Republic",
ISNUMBER(SEARCH("Türkiye",S2441)),"Turkey",
ISNUMBER(SEARCH("Ivory Coast",S2441)),"Côte d'Ivoire",
ISNUMBER(SEARCH("Korea Republic",S2441)),"South Korea",
ISNUMBER(SEARCH("Germany FR",S2441)),"FR Germany",
ISNUMBER(SEARCH("West Germany",S2441)),"FR Germany",
ISNUMBER(SEARCH("Germany DR",S2441)),"DR Germany",
ISNUMBER(SEARCH("Korea DPR",S2441)),"North Korea",
ISNUMBER(SEARCH("China PR",S2441)),"China",
ISNUMBER(SEARCH("IR Iran",S2441)),"Iran",
ISNUMBER(SEARCH("Congo DR",S2441)),"Democratic Republic of the Congo",
ISNUMBER(SEARCH("DR Congo",S2441)),"Democratic Republic of the Congo",
ISNUMBER(SEARCH("German DR",S2441)),"DR Germany",
ISNUMBER(SEARCH("rn""&gt;United Arab Emirates",S2441)),"United Arab Emirates",
ISNUMBER(SEARCH("rn""&gt;Republic of Ireland",S2441)),"Ireland",
ISNUMBER(SEARCH("rn""&gt;Bosnia and Herzegovina",S2441)),"Bosnia and Herzegovina",
ISNUMBER(SEARCH("rn""&gt;Trinidad and Tobago",S2441)),"Trinidad and Tobago",
ISNUMBER(SEARCH("rn""&gt;Serbia and Montenegro",S2441)),"Serbia and Montenegro",
ISNUMBER(SEARCH(_xlfn.UNICHAR(65533),S2441)),"Côte d'Ivoire",
TRUE,""
)</f>
        <v/>
      </c>
      <c r="W2441" s="40" t="str">
        <f t="shared" si="184"/>
        <v>Brazil</v>
      </c>
    </row>
    <row r="2442" spans="2:23">
      <c r="B2442" s="76" t="str">
        <v>2010.0</v>
      </c>
      <c r="C2442" s="42" t="str">
        <v xml:space="preserve">25 Jun 2010 - 16:00 </v>
      </c>
      <c r="D2442" s="42" t="str">
        <v>Group G</v>
      </c>
      <c r="E2442" s="42" t="str">
        <v>Mbombela Stadium</v>
      </c>
      <c r="F2442" s="42" t="str">
        <v xml:space="preserve">Nelspruit </v>
      </c>
      <c r="G2442" s="42" t="str">
        <v>Korea DPR</v>
      </c>
      <c r="H2442" s="42" t="str">
        <v>0.0</v>
      </c>
      <c r="I2442" s="42" t="str">
        <v>3.0</v>
      </c>
      <c r="J2442" s="42" t="str">
        <v>C�te d'Ivoire</v>
      </c>
      <c r="K2442" s="42" t="str">
        <v xml:space="preserve"> </v>
      </c>
      <c r="L2442" s="42" t="str">
        <f t="shared" si="181"/>
        <v xml:space="preserve">2010.0|25 Jun 2010 - 16:00 |Group G|Mbombela Stadium|Nelspruit |Korea DPR|0.0|3.0|C�te d'Ivoire| </v>
      </c>
      <c r="M2442" s="42" t="str">
        <f>IF(COUNTIF($L$1689:L2442,L2442)&gt;1,"DOUBLON","OK")</f>
        <v>OK</v>
      </c>
      <c r="S2442" s="40" t="str">
        <v>Brazil</v>
      </c>
      <c r="T2442" s="40" t="str">
        <f t="shared" si="182"/>
        <v>OK</v>
      </c>
      <c r="U2442" s="40" t="str">
        <f t="shared" si="183"/>
        <v>-</v>
      </c>
      <c r="V2442" s="40" t="str" cm="1">
        <f t="array" ref="V2442">_xlfn.IFS(
ISNUMBER(SEARCH("USA",S2442)),"United States",
ISNUMBER(SEARCH("Republic of Ireland",S2442)),"Ireland",
ISNUMBER(SEARCH("Republic of Korea",S2442)),"South Korea",
ISNUMBER(SEARCH("Cape Verde",S2442)),"Cabo Verde",
ISNUMBER(SEARCH("Czechia",S2442)),"Czech Republic",
ISNUMBER(SEARCH("Türkiye",S2442)),"Turkey",
ISNUMBER(SEARCH("Ivory Coast",S2442)),"Côte d'Ivoire",
ISNUMBER(SEARCH("Korea Republic",S2442)),"South Korea",
ISNUMBER(SEARCH("Germany FR",S2442)),"FR Germany",
ISNUMBER(SEARCH("West Germany",S2442)),"FR Germany",
ISNUMBER(SEARCH("Germany DR",S2442)),"DR Germany",
ISNUMBER(SEARCH("Korea DPR",S2442)),"North Korea",
ISNUMBER(SEARCH("China PR",S2442)),"China",
ISNUMBER(SEARCH("IR Iran",S2442)),"Iran",
ISNUMBER(SEARCH("Congo DR",S2442)),"Democratic Republic of the Congo",
ISNUMBER(SEARCH("DR Congo",S2442)),"Democratic Republic of the Congo",
ISNUMBER(SEARCH("German DR",S2442)),"DR Germany",
ISNUMBER(SEARCH("rn""&gt;United Arab Emirates",S2442)),"United Arab Emirates",
ISNUMBER(SEARCH("rn""&gt;Republic of Ireland",S2442)),"Ireland",
ISNUMBER(SEARCH("rn""&gt;Bosnia and Herzegovina",S2442)),"Bosnia and Herzegovina",
ISNUMBER(SEARCH("rn""&gt;Trinidad and Tobago",S2442)),"Trinidad and Tobago",
ISNUMBER(SEARCH("rn""&gt;Serbia and Montenegro",S2442)),"Serbia and Montenegro",
ISNUMBER(SEARCH(_xlfn.UNICHAR(65533),S2442)),"Côte d'Ivoire",
TRUE,""
)</f>
        <v/>
      </c>
      <c r="W2442" s="40" t="str">
        <f t="shared" si="184"/>
        <v>Brazil</v>
      </c>
    </row>
    <row r="2443" spans="2:23">
      <c r="B2443" s="76" t="str">
        <v>2010.0</v>
      </c>
      <c r="C2443" s="42" t="str">
        <v xml:space="preserve">25 Jun 2010 - 20:30 </v>
      </c>
      <c r="D2443" s="42" t="str">
        <v>Group H</v>
      </c>
      <c r="E2443" s="42" t="str">
        <v>Loftus Versfeld Stadium</v>
      </c>
      <c r="F2443" s="42" t="str">
        <v xml:space="preserve">Tshwane/Pretoria </v>
      </c>
      <c r="G2443" s="42" t="str">
        <v>Chile</v>
      </c>
      <c r="H2443" s="42" t="str">
        <v>1.0</v>
      </c>
      <c r="I2443" s="42" t="str">
        <v>2.0</v>
      </c>
      <c r="J2443" s="42" t="str">
        <v>Spain</v>
      </c>
      <c r="K2443" s="42" t="str">
        <v xml:space="preserve"> </v>
      </c>
      <c r="L2443" s="42" t="str">
        <f t="shared" si="181"/>
        <v xml:space="preserve">2010.0|25 Jun 2010 - 20:30 |Group H|Loftus Versfeld Stadium|Tshwane/Pretoria |Chile|1.0|2.0|Spain| </v>
      </c>
      <c r="M2443" s="42" t="str">
        <f>IF(COUNTIF($L$1689:L2443,L2443)&gt;1,"DOUBLON","OK")</f>
        <v>OK</v>
      </c>
      <c r="S2443" s="40" t="str">
        <v>Uruguay</v>
      </c>
      <c r="T2443" s="40" t="str">
        <f t="shared" si="182"/>
        <v>OK</v>
      </c>
      <c r="U2443" s="40" t="str">
        <f t="shared" si="183"/>
        <v>-</v>
      </c>
      <c r="V2443" s="40" t="str" cm="1">
        <f t="array" ref="V2443">_xlfn.IFS(
ISNUMBER(SEARCH("USA",S2443)),"United States",
ISNUMBER(SEARCH("Republic of Ireland",S2443)),"Ireland",
ISNUMBER(SEARCH("Republic of Korea",S2443)),"South Korea",
ISNUMBER(SEARCH("Cape Verde",S2443)),"Cabo Verde",
ISNUMBER(SEARCH("Czechia",S2443)),"Czech Republic",
ISNUMBER(SEARCH("Türkiye",S2443)),"Turkey",
ISNUMBER(SEARCH("Ivory Coast",S2443)),"Côte d'Ivoire",
ISNUMBER(SEARCH("Korea Republic",S2443)),"South Korea",
ISNUMBER(SEARCH("Germany FR",S2443)),"FR Germany",
ISNUMBER(SEARCH("West Germany",S2443)),"FR Germany",
ISNUMBER(SEARCH("Germany DR",S2443)),"DR Germany",
ISNUMBER(SEARCH("Korea DPR",S2443)),"North Korea",
ISNUMBER(SEARCH("China PR",S2443)),"China",
ISNUMBER(SEARCH("IR Iran",S2443)),"Iran",
ISNUMBER(SEARCH("Congo DR",S2443)),"Democratic Republic of the Congo",
ISNUMBER(SEARCH("DR Congo",S2443)),"Democratic Republic of the Congo",
ISNUMBER(SEARCH("German DR",S2443)),"DR Germany",
ISNUMBER(SEARCH("rn""&gt;United Arab Emirates",S2443)),"United Arab Emirates",
ISNUMBER(SEARCH("rn""&gt;Republic of Ireland",S2443)),"Ireland",
ISNUMBER(SEARCH("rn""&gt;Bosnia and Herzegovina",S2443)),"Bosnia and Herzegovina",
ISNUMBER(SEARCH("rn""&gt;Trinidad and Tobago",S2443)),"Trinidad and Tobago",
ISNUMBER(SEARCH("rn""&gt;Serbia and Montenegro",S2443)),"Serbia and Montenegro",
ISNUMBER(SEARCH(_xlfn.UNICHAR(65533),S2443)),"Côte d'Ivoire",
TRUE,""
)</f>
        <v/>
      </c>
      <c r="W2443" s="40" t="str">
        <f t="shared" si="184"/>
        <v>Uruguay</v>
      </c>
    </row>
    <row r="2444" spans="2:23">
      <c r="B2444" s="76" t="str">
        <v>2010.0</v>
      </c>
      <c r="C2444" s="42" t="str">
        <v xml:space="preserve">25 Jun 2010 - 20:30 </v>
      </c>
      <c r="D2444" s="42" t="str">
        <v>Group H</v>
      </c>
      <c r="E2444" s="42" t="str">
        <v>Free State Stadium</v>
      </c>
      <c r="F2444" s="42" t="str">
        <v xml:space="preserve">Mangaung/Bloemfontein </v>
      </c>
      <c r="G2444" s="42" t="str">
        <v>Switzerland</v>
      </c>
      <c r="H2444" s="42" t="str">
        <v>0.0</v>
      </c>
      <c r="I2444" s="42" t="str">
        <v>0.0</v>
      </c>
      <c r="J2444" s="42" t="str">
        <v>Honduras</v>
      </c>
      <c r="K2444" s="42" t="str">
        <v xml:space="preserve"> </v>
      </c>
      <c r="L2444" s="42" t="str">
        <f t="shared" si="181"/>
        <v xml:space="preserve">2010.0|25 Jun 2010 - 20:30 |Group H|Free State Stadium|Mangaung/Bloemfontein |Switzerland|0.0|0.0|Honduras| </v>
      </c>
      <c r="M2444" s="42" t="str">
        <f>IF(COUNTIF($L$1689:L2444,L2444)&gt;1,"DOUBLON","OK")</f>
        <v>OK</v>
      </c>
      <c r="S2444" s="40" t="str">
        <v>Sweden</v>
      </c>
      <c r="T2444" s="40" t="str">
        <f t="shared" si="182"/>
        <v>OK</v>
      </c>
      <c r="U2444" s="40" t="str">
        <f t="shared" si="183"/>
        <v>-</v>
      </c>
      <c r="V2444" s="40" t="str" cm="1">
        <f t="array" ref="V2444">_xlfn.IFS(
ISNUMBER(SEARCH("USA",S2444)),"United States",
ISNUMBER(SEARCH("Republic of Ireland",S2444)),"Ireland",
ISNUMBER(SEARCH("Republic of Korea",S2444)),"South Korea",
ISNUMBER(SEARCH("Cape Verde",S2444)),"Cabo Verde",
ISNUMBER(SEARCH("Czechia",S2444)),"Czech Republic",
ISNUMBER(SEARCH("Türkiye",S2444)),"Turkey",
ISNUMBER(SEARCH("Ivory Coast",S2444)),"Côte d'Ivoire",
ISNUMBER(SEARCH("Korea Republic",S2444)),"South Korea",
ISNUMBER(SEARCH("Germany FR",S2444)),"FR Germany",
ISNUMBER(SEARCH("West Germany",S2444)),"FR Germany",
ISNUMBER(SEARCH("Germany DR",S2444)),"DR Germany",
ISNUMBER(SEARCH("Korea DPR",S2444)),"North Korea",
ISNUMBER(SEARCH("China PR",S2444)),"China",
ISNUMBER(SEARCH("IR Iran",S2444)),"Iran",
ISNUMBER(SEARCH("Congo DR",S2444)),"Democratic Republic of the Congo",
ISNUMBER(SEARCH("DR Congo",S2444)),"Democratic Republic of the Congo",
ISNUMBER(SEARCH("German DR",S2444)),"DR Germany",
ISNUMBER(SEARCH("rn""&gt;United Arab Emirates",S2444)),"United Arab Emirates",
ISNUMBER(SEARCH("rn""&gt;Republic of Ireland",S2444)),"Ireland",
ISNUMBER(SEARCH("rn""&gt;Bosnia and Herzegovina",S2444)),"Bosnia and Herzegovina",
ISNUMBER(SEARCH("rn""&gt;Trinidad and Tobago",S2444)),"Trinidad and Tobago",
ISNUMBER(SEARCH("rn""&gt;Serbia and Montenegro",S2444)),"Serbia and Montenegro",
ISNUMBER(SEARCH(_xlfn.UNICHAR(65533),S2444)),"Côte d'Ivoire",
TRUE,""
)</f>
        <v/>
      </c>
      <c r="W2444" s="40" t="str">
        <f t="shared" si="184"/>
        <v>Sweden</v>
      </c>
    </row>
    <row r="2445" spans="2:23">
      <c r="B2445" s="76" t="str">
        <v>2010.0</v>
      </c>
      <c r="C2445" s="42" t="str">
        <v xml:space="preserve">26 Jun 2010 - 16:00 </v>
      </c>
      <c r="D2445" s="42" t="str">
        <v>Round of 16</v>
      </c>
      <c r="E2445" s="42" t="str">
        <v>Port Elizabeth Stadium</v>
      </c>
      <c r="F2445" s="42" t="str">
        <v xml:space="preserve">Nelson Mandela Bay/Port Elizabeth </v>
      </c>
      <c r="G2445" s="42" t="str">
        <v>Uruguay</v>
      </c>
      <c r="H2445" s="42" t="str">
        <v>2.0</v>
      </c>
      <c r="I2445" s="42" t="str">
        <v>1.0</v>
      </c>
      <c r="J2445" s="42" t="str">
        <v>Korea Republic</v>
      </c>
      <c r="K2445" s="42" t="str">
        <v xml:space="preserve"> </v>
      </c>
      <c r="L2445" s="42" t="str">
        <f t="shared" si="181"/>
        <v xml:space="preserve">2010.0|26 Jun 2010 - 16:00 |Round of 16|Port Elizabeth Stadium|Nelson Mandela Bay/Port Elizabeth |Uruguay|2.0|1.0|Korea Republic| </v>
      </c>
      <c r="M2445" s="42" t="str">
        <f>IF(COUNTIF($L$1689:L2445,L2445)&gt;1,"DOUBLON","OK")</f>
        <v>OK</v>
      </c>
      <c r="S2445" s="40" t="str">
        <v>Uruguay</v>
      </c>
      <c r="T2445" s="40" t="str">
        <f t="shared" si="182"/>
        <v>OK</v>
      </c>
      <c r="U2445" s="40" t="str">
        <f t="shared" si="183"/>
        <v>-</v>
      </c>
      <c r="V2445" s="40" t="str" cm="1">
        <f t="array" ref="V2445">_xlfn.IFS(
ISNUMBER(SEARCH("USA",S2445)),"United States",
ISNUMBER(SEARCH("Republic of Ireland",S2445)),"Ireland",
ISNUMBER(SEARCH("Republic of Korea",S2445)),"South Korea",
ISNUMBER(SEARCH("Cape Verde",S2445)),"Cabo Verde",
ISNUMBER(SEARCH("Czechia",S2445)),"Czech Republic",
ISNUMBER(SEARCH("Türkiye",S2445)),"Turkey",
ISNUMBER(SEARCH("Ivory Coast",S2445)),"Côte d'Ivoire",
ISNUMBER(SEARCH("Korea Republic",S2445)),"South Korea",
ISNUMBER(SEARCH("Germany FR",S2445)),"FR Germany",
ISNUMBER(SEARCH("West Germany",S2445)),"FR Germany",
ISNUMBER(SEARCH("Germany DR",S2445)),"DR Germany",
ISNUMBER(SEARCH("Korea DPR",S2445)),"North Korea",
ISNUMBER(SEARCH("China PR",S2445)),"China",
ISNUMBER(SEARCH("IR Iran",S2445)),"Iran",
ISNUMBER(SEARCH("Congo DR",S2445)),"Democratic Republic of the Congo",
ISNUMBER(SEARCH("DR Congo",S2445)),"Democratic Republic of the Congo",
ISNUMBER(SEARCH("German DR",S2445)),"DR Germany",
ISNUMBER(SEARCH("rn""&gt;United Arab Emirates",S2445)),"United Arab Emirates",
ISNUMBER(SEARCH("rn""&gt;Republic of Ireland",S2445)),"Ireland",
ISNUMBER(SEARCH("rn""&gt;Bosnia and Herzegovina",S2445)),"Bosnia and Herzegovina",
ISNUMBER(SEARCH("rn""&gt;Trinidad and Tobago",S2445)),"Trinidad and Tobago",
ISNUMBER(SEARCH("rn""&gt;Serbia and Montenegro",S2445)),"Serbia and Montenegro",
ISNUMBER(SEARCH(_xlfn.UNICHAR(65533),S2445)),"Côte d'Ivoire",
TRUE,""
)</f>
        <v/>
      </c>
      <c r="W2445" s="40" t="str">
        <f t="shared" si="184"/>
        <v>Uruguay</v>
      </c>
    </row>
    <row r="2446" spans="2:23">
      <c r="B2446" s="76" t="str">
        <v>2010.0</v>
      </c>
      <c r="C2446" s="42" t="str">
        <v xml:space="preserve">26 Jun 2010 - 20:30 </v>
      </c>
      <c r="D2446" s="42" t="str">
        <v>Round of 16</v>
      </c>
      <c r="E2446" s="42" t="str">
        <v>Royal Bafokeng Sports Palace</v>
      </c>
      <c r="F2446" s="42" t="str">
        <v xml:space="preserve">Phokeng </v>
      </c>
      <c r="G2446" s="42" t="str">
        <v>USA</v>
      </c>
      <c r="H2446" s="42" t="str">
        <v>1.0</v>
      </c>
      <c r="I2446" s="42" t="str">
        <v>2.0</v>
      </c>
      <c r="J2446" s="42" t="str">
        <v>Ghana</v>
      </c>
      <c r="K2446" s="42" t="str">
        <v xml:space="preserve">Ghana win after extra time </v>
      </c>
      <c r="L2446" s="42" t="str">
        <f t="shared" si="181"/>
        <v xml:space="preserve">2010.0|26 Jun 2010 - 20:30 |Round of 16|Royal Bafokeng Sports Palace|Phokeng |USA|1.0|2.0|Ghana|Ghana win after extra time </v>
      </c>
      <c r="M2446" s="42" t="str">
        <f>IF(COUNTIF($L$1689:L2446,L2446)&gt;1,"DOUBLON","OK")</f>
        <v>OK</v>
      </c>
      <c r="S2446" s="40" t="str">
        <v>Uruguay</v>
      </c>
      <c r="T2446" s="40" t="str">
        <f t="shared" si="182"/>
        <v>OK</v>
      </c>
      <c r="U2446" s="40" t="str">
        <f t="shared" si="183"/>
        <v>-</v>
      </c>
      <c r="V2446" s="40" t="str" cm="1">
        <f t="array" ref="V2446">_xlfn.IFS(
ISNUMBER(SEARCH("USA",S2446)),"United States",
ISNUMBER(SEARCH("Republic of Ireland",S2446)),"Ireland",
ISNUMBER(SEARCH("Republic of Korea",S2446)),"South Korea",
ISNUMBER(SEARCH("Cape Verde",S2446)),"Cabo Verde",
ISNUMBER(SEARCH("Czechia",S2446)),"Czech Republic",
ISNUMBER(SEARCH("Türkiye",S2446)),"Turkey",
ISNUMBER(SEARCH("Ivory Coast",S2446)),"Côte d'Ivoire",
ISNUMBER(SEARCH("Korea Republic",S2446)),"South Korea",
ISNUMBER(SEARCH("Germany FR",S2446)),"FR Germany",
ISNUMBER(SEARCH("West Germany",S2446)),"FR Germany",
ISNUMBER(SEARCH("Germany DR",S2446)),"DR Germany",
ISNUMBER(SEARCH("Korea DPR",S2446)),"North Korea",
ISNUMBER(SEARCH("China PR",S2446)),"China",
ISNUMBER(SEARCH("IR Iran",S2446)),"Iran",
ISNUMBER(SEARCH("Congo DR",S2446)),"Democratic Republic of the Congo",
ISNUMBER(SEARCH("DR Congo",S2446)),"Democratic Republic of the Congo",
ISNUMBER(SEARCH("German DR",S2446)),"DR Germany",
ISNUMBER(SEARCH("rn""&gt;United Arab Emirates",S2446)),"United Arab Emirates",
ISNUMBER(SEARCH("rn""&gt;Republic of Ireland",S2446)),"Ireland",
ISNUMBER(SEARCH("rn""&gt;Bosnia and Herzegovina",S2446)),"Bosnia and Herzegovina",
ISNUMBER(SEARCH("rn""&gt;Trinidad and Tobago",S2446)),"Trinidad and Tobago",
ISNUMBER(SEARCH("rn""&gt;Serbia and Montenegro",S2446)),"Serbia and Montenegro",
ISNUMBER(SEARCH(_xlfn.UNICHAR(65533),S2446)),"Côte d'Ivoire",
TRUE,""
)</f>
        <v/>
      </c>
      <c r="W2446" s="40" t="str">
        <f t="shared" si="184"/>
        <v>Uruguay</v>
      </c>
    </row>
    <row r="2447" spans="2:23">
      <c r="B2447" s="76" t="str">
        <v>2010.0</v>
      </c>
      <c r="C2447" s="42" t="str">
        <v xml:space="preserve">27 Jun 2010 - 16:00 </v>
      </c>
      <c r="D2447" s="42" t="str">
        <v>Round of 16</v>
      </c>
      <c r="E2447" s="42" t="str">
        <v>Free State Stadium</v>
      </c>
      <c r="F2447" s="42" t="str">
        <v xml:space="preserve">Mangaung/Bloemfontein </v>
      </c>
      <c r="G2447" s="42" t="str">
        <v>Germany</v>
      </c>
      <c r="H2447" s="42" t="str">
        <v>4.0</v>
      </c>
      <c r="I2447" s="42" t="str">
        <v>1.0</v>
      </c>
      <c r="J2447" s="42" t="str">
        <v>England</v>
      </c>
      <c r="K2447" s="42" t="str">
        <v xml:space="preserve"> </v>
      </c>
      <c r="L2447" s="42" t="str">
        <f t="shared" si="181"/>
        <v xml:space="preserve">2010.0|27 Jun 2010 - 16:00 |Round of 16|Free State Stadium|Mangaung/Bloemfontein |Germany|4.0|1.0|England| </v>
      </c>
      <c r="M2447" s="42" t="str">
        <f>IF(COUNTIF($L$1689:L2447,L2447)&gt;1,"DOUBLON","OK")</f>
        <v>OK</v>
      </c>
      <c r="S2447" s="40" t="str">
        <v>Austria</v>
      </c>
      <c r="T2447" s="40" t="str">
        <f t="shared" si="182"/>
        <v>OK</v>
      </c>
      <c r="U2447" s="40" t="str">
        <f t="shared" si="183"/>
        <v>-</v>
      </c>
      <c r="V2447" s="40" t="str" cm="1">
        <f t="array" ref="V2447">_xlfn.IFS(
ISNUMBER(SEARCH("USA",S2447)),"United States",
ISNUMBER(SEARCH("Republic of Ireland",S2447)),"Ireland",
ISNUMBER(SEARCH("Republic of Korea",S2447)),"South Korea",
ISNUMBER(SEARCH("Cape Verde",S2447)),"Cabo Verde",
ISNUMBER(SEARCH("Czechia",S2447)),"Czech Republic",
ISNUMBER(SEARCH("Türkiye",S2447)),"Turkey",
ISNUMBER(SEARCH("Ivory Coast",S2447)),"Côte d'Ivoire",
ISNUMBER(SEARCH("Korea Republic",S2447)),"South Korea",
ISNUMBER(SEARCH("Germany FR",S2447)),"FR Germany",
ISNUMBER(SEARCH("West Germany",S2447)),"FR Germany",
ISNUMBER(SEARCH("Germany DR",S2447)),"DR Germany",
ISNUMBER(SEARCH("Korea DPR",S2447)),"North Korea",
ISNUMBER(SEARCH("China PR",S2447)),"China",
ISNUMBER(SEARCH("IR Iran",S2447)),"Iran",
ISNUMBER(SEARCH("Congo DR",S2447)),"Democratic Republic of the Congo",
ISNUMBER(SEARCH("DR Congo",S2447)),"Democratic Republic of the Congo",
ISNUMBER(SEARCH("German DR",S2447)),"DR Germany",
ISNUMBER(SEARCH("rn""&gt;United Arab Emirates",S2447)),"United Arab Emirates",
ISNUMBER(SEARCH("rn""&gt;Republic of Ireland",S2447)),"Ireland",
ISNUMBER(SEARCH("rn""&gt;Bosnia and Herzegovina",S2447)),"Bosnia and Herzegovina",
ISNUMBER(SEARCH("rn""&gt;Trinidad and Tobago",S2447)),"Trinidad and Tobago",
ISNUMBER(SEARCH("rn""&gt;Serbia and Montenegro",S2447)),"Serbia and Montenegro",
ISNUMBER(SEARCH(_xlfn.UNICHAR(65533),S2447)),"Côte d'Ivoire",
TRUE,""
)</f>
        <v/>
      </c>
      <c r="W2447" s="40" t="str">
        <f t="shared" si="184"/>
        <v>Austria</v>
      </c>
    </row>
    <row r="2448" spans="2:23">
      <c r="B2448" s="76" t="str">
        <v>2010.0</v>
      </c>
      <c r="C2448" s="42" t="str">
        <v xml:space="preserve">27 Jun 2010 - 20:30 </v>
      </c>
      <c r="D2448" s="42" t="str">
        <v>Round of 16</v>
      </c>
      <c r="E2448" s="42" t="str">
        <v>Soccer City Stadium</v>
      </c>
      <c r="F2448" s="42" t="str">
        <v xml:space="preserve">Johannesburg </v>
      </c>
      <c r="G2448" s="42" t="str">
        <v>Argentina</v>
      </c>
      <c r="H2448" s="42" t="str">
        <v>3.0</v>
      </c>
      <c r="I2448" s="42" t="str">
        <v>1.0</v>
      </c>
      <c r="J2448" s="42" t="str">
        <v>Mexico</v>
      </c>
      <c r="K2448" s="42" t="str">
        <v xml:space="preserve"> </v>
      </c>
      <c r="L2448" s="42" t="str">
        <f t="shared" si="181"/>
        <v xml:space="preserve">2010.0|27 Jun 2010 - 20:30 |Round of 16|Soccer City Stadium|Johannesburg |Argentina|3.0|1.0|Mexico| </v>
      </c>
      <c r="M2448" s="42" t="str">
        <f>IF(COUNTIF($L$1689:L2448,L2448)&gt;1,"DOUBLON","OK")</f>
        <v>OK</v>
      </c>
      <c r="S2448" s="40" t="str">
        <v>Brazil</v>
      </c>
      <c r="T2448" s="40" t="str">
        <f t="shared" si="182"/>
        <v>OK</v>
      </c>
      <c r="U2448" s="40" t="str">
        <f t="shared" si="183"/>
        <v>-</v>
      </c>
      <c r="V2448" s="40" t="str" cm="1">
        <f t="array" ref="V2448">_xlfn.IFS(
ISNUMBER(SEARCH("USA",S2448)),"United States",
ISNUMBER(SEARCH("Republic of Ireland",S2448)),"Ireland",
ISNUMBER(SEARCH("Republic of Korea",S2448)),"South Korea",
ISNUMBER(SEARCH("Cape Verde",S2448)),"Cabo Verde",
ISNUMBER(SEARCH("Czechia",S2448)),"Czech Republic",
ISNUMBER(SEARCH("Türkiye",S2448)),"Turkey",
ISNUMBER(SEARCH("Ivory Coast",S2448)),"Côte d'Ivoire",
ISNUMBER(SEARCH("Korea Republic",S2448)),"South Korea",
ISNUMBER(SEARCH("Germany FR",S2448)),"FR Germany",
ISNUMBER(SEARCH("West Germany",S2448)),"FR Germany",
ISNUMBER(SEARCH("Germany DR",S2448)),"DR Germany",
ISNUMBER(SEARCH("Korea DPR",S2448)),"North Korea",
ISNUMBER(SEARCH("China PR",S2448)),"China",
ISNUMBER(SEARCH("IR Iran",S2448)),"Iran",
ISNUMBER(SEARCH("Congo DR",S2448)),"Democratic Republic of the Congo",
ISNUMBER(SEARCH("DR Congo",S2448)),"Democratic Republic of the Congo",
ISNUMBER(SEARCH("German DR",S2448)),"DR Germany",
ISNUMBER(SEARCH("rn""&gt;United Arab Emirates",S2448)),"United Arab Emirates",
ISNUMBER(SEARCH("rn""&gt;Republic of Ireland",S2448)),"Ireland",
ISNUMBER(SEARCH("rn""&gt;Bosnia and Herzegovina",S2448)),"Bosnia and Herzegovina",
ISNUMBER(SEARCH("rn""&gt;Trinidad and Tobago",S2448)),"Trinidad and Tobago",
ISNUMBER(SEARCH("rn""&gt;Serbia and Montenegro",S2448)),"Serbia and Montenegro",
ISNUMBER(SEARCH(_xlfn.UNICHAR(65533),S2448)),"Côte d'Ivoire",
TRUE,""
)</f>
        <v/>
      </c>
      <c r="W2448" s="40" t="str">
        <f t="shared" si="184"/>
        <v>Brazil</v>
      </c>
    </row>
    <row r="2449" spans="2:23">
      <c r="B2449" s="76" t="str">
        <v>2010.0</v>
      </c>
      <c r="C2449" s="42" t="str">
        <v xml:space="preserve">28 Jun 2010 - 16:00 </v>
      </c>
      <c r="D2449" s="42" t="str">
        <v>Round of 16</v>
      </c>
      <c r="E2449" s="42" t="str">
        <v>Durban Stadium</v>
      </c>
      <c r="F2449" s="42" t="str">
        <v xml:space="preserve">Durban </v>
      </c>
      <c r="G2449" s="42" t="str">
        <v>Netherlands</v>
      </c>
      <c r="H2449" s="42" t="str">
        <v>2.0</v>
      </c>
      <c r="I2449" s="42" t="str">
        <v>1.0</v>
      </c>
      <c r="J2449" s="42" t="str">
        <v>Slovakia</v>
      </c>
      <c r="K2449" s="42" t="str">
        <v xml:space="preserve"> </v>
      </c>
      <c r="L2449" s="42" t="str">
        <f t="shared" si="181"/>
        <v xml:space="preserve">2010.0|28 Jun 2010 - 16:00 |Round of 16|Durban Stadium|Durban |Netherlands|2.0|1.0|Slovakia| </v>
      </c>
      <c r="M2449" s="42" t="str">
        <f>IF(COUNTIF($L$1689:L2449,L2449)&gt;1,"DOUBLON","OK")</f>
        <v>OK</v>
      </c>
      <c r="S2449" s="40" t="str">
        <v>Yugoslavia</v>
      </c>
      <c r="T2449" s="40" t="str">
        <f t="shared" si="182"/>
        <v>ERREUR</v>
      </c>
      <c r="U2449" s="40" t="str">
        <f t="shared" si="183"/>
        <v>AUCUNE</v>
      </c>
      <c r="V2449" s="40" t="str" cm="1">
        <f t="array" ref="V2449">_xlfn.IFS(
ISNUMBER(SEARCH("USA",S2449)),"United States",
ISNUMBER(SEARCH("Republic of Ireland",S2449)),"Ireland",
ISNUMBER(SEARCH("Republic of Korea",S2449)),"South Korea",
ISNUMBER(SEARCH("Cape Verde",S2449)),"Cabo Verde",
ISNUMBER(SEARCH("Czechia",S2449)),"Czech Republic",
ISNUMBER(SEARCH("Türkiye",S2449)),"Turkey",
ISNUMBER(SEARCH("Ivory Coast",S2449)),"Côte d'Ivoire",
ISNUMBER(SEARCH("Korea Republic",S2449)),"South Korea",
ISNUMBER(SEARCH("Germany FR",S2449)),"FR Germany",
ISNUMBER(SEARCH("West Germany",S2449)),"FR Germany",
ISNUMBER(SEARCH("Germany DR",S2449)),"DR Germany",
ISNUMBER(SEARCH("Korea DPR",S2449)),"North Korea",
ISNUMBER(SEARCH("China PR",S2449)),"China",
ISNUMBER(SEARCH("IR Iran",S2449)),"Iran",
ISNUMBER(SEARCH("Congo DR",S2449)),"Democratic Republic of the Congo",
ISNUMBER(SEARCH("DR Congo",S2449)),"Democratic Republic of the Congo",
ISNUMBER(SEARCH("German DR",S2449)),"DR Germany",
ISNUMBER(SEARCH("rn""&gt;United Arab Emirates",S2449)),"United Arab Emirates",
ISNUMBER(SEARCH("rn""&gt;Republic of Ireland",S2449)),"Ireland",
ISNUMBER(SEARCH("rn""&gt;Bosnia and Herzegovina",S2449)),"Bosnia and Herzegovina",
ISNUMBER(SEARCH("rn""&gt;Trinidad and Tobago",S2449)),"Trinidad and Tobago",
ISNUMBER(SEARCH("rn""&gt;Serbia and Montenegro",S2449)),"Serbia and Montenegro",
ISNUMBER(SEARCH(_xlfn.UNICHAR(65533),S2449)),"Côte d'Ivoire",
TRUE,""
)</f>
        <v/>
      </c>
      <c r="W2449" s="40" t="str">
        <f t="shared" si="184"/>
        <v>Yugoslavia</v>
      </c>
    </row>
    <row r="2450" spans="2:23">
      <c r="B2450" s="76" t="str">
        <v>2010.0</v>
      </c>
      <c r="C2450" s="42" t="str">
        <v xml:space="preserve">28 Jun 2010 - 20:30 </v>
      </c>
      <c r="D2450" s="42" t="str">
        <v>Round of 16</v>
      </c>
      <c r="E2450" s="42" t="str">
        <v>Ellis Park Stadium</v>
      </c>
      <c r="F2450" s="42" t="str">
        <v xml:space="preserve">Johannesburg </v>
      </c>
      <c r="G2450" s="42" t="str">
        <v>Brazil</v>
      </c>
      <c r="H2450" s="42" t="str">
        <v>3.0</v>
      </c>
      <c r="I2450" s="42" t="str">
        <v>0.0</v>
      </c>
      <c r="J2450" s="42" t="str">
        <v>Chile</v>
      </c>
      <c r="K2450" s="42" t="str">
        <v xml:space="preserve"> </v>
      </c>
      <c r="L2450" s="42" t="str">
        <f t="shared" si="181"/>
        <v xml:space="preserve">2010.0|28 Jun 2010 - 20:30 |Round of 16|Ellis Park Stadium|Johannesburg |Brazil|3.0|0.0|Chile| </v>
      </c>
      <c r="M2450" s="42" t="str">
        <f>IF(COUNTIF($L$1689:L2450,L2450)&gt;1,"DOUBLON","OK")</f>
        <v>OK</v>
      </c>
      <c r="S2450" s="40" t="str">
        <v>Germany FR</v>
      </c>
      <c r="T2450" s="40" t="str">
        <f t="shared" si="182"/>
        <v>ERREUR</v>
      </c>
      <c r="U2450" s="40" t="str">
        <f t="shared" si="183"/>
        <v>RENOMMER</v>
      </c>
      <c r="V2450" s="40" t="str" cm="1">
        <f t="array" ref="V2450">_xlfn.IFS(
ISNUMBER(SEARCH("USA",S2450)),"United States",
ISNUMBER(SEARCH("Republic of Ireland",S2450)),"Ireland",
ISNUMBER(SEARCH("Republic of Korea",S2450)),"South Korea",
ISNUMBER(SEARCH("Cape Verde",S2450)),"Cabo Verde",
ISNUMBER(SEARCH("Czechia",S2450)),"Czech Republic",
ISNUMBER(SEARCH("Türkiye",S2450)),"Turkey",
ISNUMBER(SEARCH("Ivory Coast",S2450)),"Côte d'Ivoire",
ISNUMBER(SEARCH("Korea Republic",S2450)),"South Korea",
ISNUMBER(SEARCH("Germany FR",S2450)),"FR Germany",
ISNUMBER(SEARCH("West Germany",S2450)),"FR Germany",
ISNUMBER(SEARCH("Germany DR",S2450)),"DR Germany",
ISNUMBER(SEARCH("Korea DPR",S2450)),"North Korea",
ISNUMBER(SEARCH("China PR",S2450)),"China",
ISNUMBER(SEARCH("IR Iran",S2450)),"Iran",
ISNUMBER(SEARCH("Congo DR",S2450)),"Democratic Republic of the Congo",
ISNUMBER(SEARCH("DR Congo",S2450)),"Democratic Republic of the Congo",
ISNUMBER(SEARCH("German DR",S2450)),"DR Germany",
ISNUMBER(SEARCH("rn""&gt;United Arab Emirates",S2450)),"United Arab Emirates",
ISNUMBER(SEARCH("rn""&gt;Republic of Ireland",S2450)),"Ireland",
ISNUMBER(SEARCH("rn""&gt;Bosnia and Herzegovina",S2450)),"Bosnia and Herzegovina",
ISNUMBER(SEARCH("rn""&gt;Trinidad and Tobago",S2450)),"Trinidad and Tobago",
ISNUMBER(SEARCH("rn""&gt;Serbia and Montenegro",S2450)),"Serbia and Montenegro",
ISNUMBER(SEARCH(_xlfn.UNICHAR(65533),S2450)),"Côte d'Ivoire",
TRUE,""
)</f>
        <v>FR Germany</v>
      </c>
      <c r="W2450" s="40" t="str">
        <f t="shared" si="184"/>
        <v>FR Germany</v>
      </c>
    </row>
    <row r="2451" spans="2:23">
      <c r="B2451" s="76" t="str">
        <v>2010.0</v>
      </c>
      <c r="C2451" s="42" t="str">
        <v xml:space="preserve">29 Jun 2010 - 16:00 </v>
      </c>
      <c r="D2451" s="42" t="str">
        <v>Round of 16</v>
      </c>
      <c r="E2451" s="42" t="str">
        <v>Loftus Versfeld Stadium</v>
      </c>
      <c r="F2451" s="42" t="str">
        <v xml:space="preserve">Tshwane/Pretoria </v>
      </c>
      <c r="G2451" s="42" t="str">
        <v>Paraguay</v>
      </c>
      <c r="H2451" s="42" t="str">
        <v>0.0</v>
      </c>
      <c r="I2451" s="42" t="str">
        <v>0.0</v>
      </c>
      <c r="J2451" s="42" t="str">
        <v>Japan</v>
      </c>
      <c r="K2451" s="42" t="str">
        <v xml:space="preserve">Paraguay win on penalties (5 - 3) </v>
      </c>
      <c r="L2451" s="42" t="str">
        <f t="shared" si="181"/>
        <v xml:space="preserve">2010.0|29 Jun 2010 - 16:00 |Round of 16|Loftus Versfeld Stadium|Tshwane/Pretoria |Paraguay|0.0|0.0|Japan|Paraguay win on penalties (5 - 3) </v>
      </c>
      <c r="M2451" s="42" t="str">
        <f>IF(COUNTIF($L$1689:L2451,L2451)&gt;1,"DOUBLON","OK")</f>
        <v>OK</v>
      </c>
      <c r="S2451" s="40" t="str">
        <v>Hungary</v>
      </c>
      <c r="T2451" s="40" t="str">
        <f t="shared" si="182"/>
        <v>OK</v>
      </c>
      <c r="U2451" s="40" t="str">
        <f t="shared" si="183"/>
        <v>-</v>
      </c>
      <c r="V2451" s="40" t="str" cm="1">
        <f t="array" ref="V2451">_xlfn.IFS(
ISNUMBER(SEARCH("USA",S2451)),"United States",
ISNUMBER(SEARCH("Republic of Ireland",S2451)),"Ireland",
ISNUMBER(SEARCH("Republic of Korea",S2451)),"South Korea",
ISNUMBER(SEARCH("Cape Verde",S2451)),"Cabo Verde",
ISNUMBER(SEARCH("Czechia",S2451)),"Czech Republic",
ISNUMBER(SEARCH("Türkiye",S2451)),"Turkey",
ISNUMBER(SEARCH("Ivory Coast",S2451)),"Côte d'Ivoire",
ISNUMBER(SEARCH("Korea Republic",S2451)),"South Korea",
ISNUMBER(SEARCH("Germany FR",S2451)),"FR Germany",
ISNUMBER(SEARCH("West Germany",S2451)),"FR Germany",
ISNUMBER(SEARCH("Germany DR",S2451)),"DR Germany",
ISNUMBER(SEARCH("Korea DPR",S2451)),"North Korea",
ISNUMBER(SEARCH("China PR",S2451)),"China",
ISNUMBER(SEARCH("IR Iran",S2451)),"Iran",
ISNUMBER(SEARCH("Congo DR",S2451)),"Democratic Republic of the Congo",
ISNUMBER(SEARCH("DR Congo",S2451)),"Democratic Republic of the Congo",
ISNUMBER(SEARCH("German DR",S2451)),"DR Germany",
ISNUMBER(SEARCH("rn""&gt;United Arab Emirates",S2451)),"United Arab Emirates",
ISNUMBER(SEARCH("rn""&gt;Republic of Ireland",S2451)),"Ireland",
ISNUMBER(SEARCH("rn""&gt;Bosnia and Herzegovina",S2451)),"Bosnia and Herzegovina",
ISNUMBER(SEARCH("rn""&gt;Trinidad and Tobago",S2451)),"Trinidad and Tobago",
ISNUMBER(SEARCH("rn""&gt;Serbia and Montenegro",S2451)),"Serbia and Montenegro",
ISNUMBER(SEARCH(_xlfn.UNICHAR(65533),S2451)),"Côte d'Ivoire",
TRUE,""
)</f>
        <v/>
      </c>
      <c r="W2451" s="40" t="str">
        <f t="shared" si="184"/>
        <v>Hungary</v>
      </c>
    </row>
    <row r="2452" spans="2:23">
      <c r="B2452" s="76" t="str">
        <v>2010.0</v>
      </c>
      <c r="C2452" s="42" t="str">
        <v xml:space="preserve">29 Jun 2010 - 20:30 </v>
      </c>
      <c r="D2452" s="42" t="str">
        <v>Round of 16</v>
      </c>
      <c r="E2452" s="42" t="str">
        <v>Cape Town Stadium</v>
      </c>
      <c r="F2452" s="42" t="str">
        <v xml:space="preserve">Cape Town </v>
      </c>
      <c r="G2452" s="42" t="str">
        <v>Spain</v>
      </c>
      <c r="H2452" s="42" t="str">
        <v>1.0</v>
      </c>
      <c r="I2452" s="42" t="str">
        <v>0.0</v>
      </c>
      <c r="J2452" s="42" t="str">
        <v>Portugal</v>
      </c>
      <c r="K2452" s="42" t="str">
        <v xml:space="preserve"> </v>
      </c>
      <c r="L2452" s="42" t="str">
        <f t="shared" si="181"/>
        <v xml:space="preserve">2010.0|29 Jun 2010 - 20:30 |Round of 16|Cape Town Stadium|Cape Town |Spain|1.0|0.0|Portugal| </v>
      </c>
      <c r="M2452" s="42" t="str">
        <f>IF(COUNTIF($L$1689:L2452,L2452)&gt;1,"DOUBLON","OK")</f>
        <v>OK</v>
      </c>
      <c r="S2452" s="40" t="str">
        <v>England</v>
      </c>
      <c r="T2452" s="40" t="str">
        <f t="shared" si="182"/>
        <v>ERREUR</v>
      </c>
      <c r="U2452" s="40" t="str">
        <f t="shared" si="183"/>
        <v>AUCUNE</v>
      </c>
      <c r="V2452" s="40" t="str" cm="1">
        <f t="array" ref="V2452">_xlfn.IFS(
ISNUMBER(SEARCH("USA",S2452)),"United States",
ISNUMBER(SEARCH("Republic of Ireland",S2452)),"Ireland",
ISNUMBER(SEARCH("Republic of Korea",S2452)),"South Korea",
ISNUMBER(SEARCH("Cape Verde",S2452)),"Cabo Verde",
ISNUMBER(SEARCH("Czechia",S2452)),"Czech Republic",
ISNUMBER(SEARCH("Türkiye",S2452)),"Turkey",
ISNUMBER(SEARCH("Ivory Coast",S2452)),"Côte d'Ivoire",
ISNUMBER(SEARCH("Korea Republic",S2452)),"South Korea",
ISNUMBER(SEARCH("Germany FR",S2452)),"FR Germany",
ISNUMBER(SEARCH("West Germany",S2452)),"FR Germany",
ISNUMBER(SEARCH("Germany DR",S2452)),"DR Germany",
ISNUMBER(SEARCH("Korea DPR",S2452)),"North Korea",
ISNUMBER(SEARCH("China PR",S2452)),"China",
ISNUMBER(SEARCH("IR Iran",S2452)),"Iran",
ISNUMBER(SEARCH("Congo DR",S2452)),"Democratic Republic of the Congo",
ISNUMBER(SEARCH("DR Congo",S2452)),"Democratic Republic of the Congo",
ISNUMBER(SEARCH("German DR",S2452)),"DR Germany",
ISNUMBER(SEARCH("rn""&gt;United Arab Emirates",S2452)),"United Arab Emirates",
ISNUMBER(SEARCH("rn""&gt;Republic of Ireland",S2452)),"Ireland",
ISNUMBER(SEARCH("rn""&gt;Bosnia and Herzegovina",S2452)),"Bosnia and Herzegovina",
ISNUMBER(SEARCH("rn""&gt;Trinidad and Tobago",S2452)),"Trinidad and Tobago",
ISNUMBER(SEARCH("rn""&gt;Serbia and Montenegro",S2452)),"Serbia and Montenegro",
ISNUMBER(SEARCH(_xlfn.UNICHAR(65533),S2452)),"Côte d'Ivoire",
TRUE,""
)</f>
        <v/>
      </c>
      <c r="W2452" s="40" t="str">
        <f t="shared" si="184"/>
        <v>England</v>
      </c>
    </row>
    <row r="2453" spans="2:23">
      <c r="B2453" s="76" t="str">
        <v>2010.0</v>
      </c>
      <c r="C2453" s="42" t="str">
        <v xml:space="preserve">02 Jul 2010 - 16:00 </v>
      </c>
      <c r="D2453" s="42" t="str">
        <v>Quarter-finals</v>
      </c>
      <c r="E2453" s="42" t="str">
        <v>Port Elizabeth Stadium</v>
      </c>
      <c r="F2453" s="42" t="str">
        <v xml:space="preserve">Nelson Mandela Bay/Port Elizabeth </v>
      </c>
      <c r="G2453" s="42" t="str">
        <v>Netherlands</v>
      </c>
      <c r="H2453" s="42" t="str">
        <v>2.0</v>
      </c>
      <c r="I2453" s="42" t="str">
        <v>1.0</v>
      </c>
      <c r="J2453" s="42" t="str">
        <v>Brazil</v>
      </c>
      <c r="K2453" s="42" t="str">
        <v xml:space="preserve"> </v>
      </c>
      <c r="L2453" s="42" t="str">
        <f t="shared" si="181"/>
        <v xml:space="preserve">2010.0|02 Jul 2010 - 16:00 |Quarter-finals|Port Elizabeth Stadium|Nelson Mandela Bay/Port Elizabeth |Netherlands|2.0|1.0|Brazil| </v>
      </c>
      <c r="M2453" s="42" t="str">
        <f>IF(COUNTIF($L$1689:L2453,L2453)&gt;1,"DOUBLON","OK")</f>
        <v>OK</v>
      </c>
      <c r="S2453" s="40" t="str">
        <v>Switzerland</v>
      </c>
      <c r="T2453" s="40" t="str">
        <f t="shared" si="182"/>
        <v>OK</v>
      </c>
      <c r="U2453" s="40" t="str">
        <f t="shared" si="183"/>
        <v>-</v>
      </c>
      <c r="V2453" s="40" t="str" cm="1">
        <f t="array" ref="V2453">_xlfn.IFS(
ISNUMBER(SEARCH("USA",S2453)),"United States",
ISNUMBER(SEARCH("Republic of Ireland",S2453)),"Ireland",
ISNUMBER(SEARCH("Republic of Korea",S2453)),"South Korea",
ISNUMBER(SEARCH("Cape Verde",S2453)),"Cabo Verde",
ISNUMBER(SEARCH("Czechia",S2453)),"Czech Republic",
ISNUMBER(SEARCH("Türkiye",S2453)),"Turkey",
ISNUMBER(SEARCH("Ivory Coast",S2453)),"Côte d'Ivoire",
ISNUMBER(SEARCH("Korea Republic",S2453)),"South Korea",
ISNUMBER(SEARCH("Germany FR",S2453)),"FR Germany",
ISNUMBER(SEARCH("West Germany",S2453)),"FR Germany",
ISNUMBER(SEARCH("Germany DR",S2453)),"DR Germany",
ISNUMBER(SEARCH("Korea DPR",S2453)),"North Korea",
ISNUMBER(SEARCH("China PR",S2453)),"China",
ISNUMBER(SEARCH("IR Iran",S2453)),"Iran",
ISNUMBER(SEARCH("Congo DR",S2453)),"Democratic Republic of the Congo",
ISNUMBER(SEARCH("DR Congo",S2453)),"Democratic Republic of the Congo",
ISNUMBER(SEARCH("German DR",S2453)),"DR Germany",
ISNUMBER(SEARCH("rn""&gt;United Arab Emirates",S2453)),"United Arab Emirates",
ISNUMBER(SEARCH("rn""&gt;Republic of Ireland",S2453)),"Ireland",
ISNUMBER(SEARCH("rn""&gt;Bosnia and Herzegovina",S2453)),"Bosnia and Herzegovina",
ISNUMBER(SEARCH("rn""&gt;Trinidad and Tobago",S2453)),"Trinidad and Tobago",
ISNUMBER(SEARCH("rn""&gt;Serbia and Montenegro",S2453)),"Serbia and Montenegro",
ISNUMBER(SEARCH(_xlfn.UNICHAR(65533),S2453)),"Côte d'Ivoire",
TRUE,""
)</f>
        <v/>
      </c>
      <c r="W2453" s="40" t="str">
        <f t="shared" si="184"/>
        <v>Switzerland</v>
      </c>
    </row>
    <row r="2454" spans="2:23">
      <c r="B2454" s="76" t="str">
        <v>2010.0</v>
      </c>
      <c r="C2454" s="42" t="str">
        <v xml:space="preserve">02 Jul 2010 - 20:30 </v>
      </c>
      <c r="D2454" s="42" t="str">
        <v>Quarter-finals</v>
      </c>
      <c r="E2454" s="42" t="str">
        <v>Soccer City Stadium</v>
      </c>
      <c r="F2454" s="42" t="str">
        <v xml:space="preserve">Johannesburg </v>
      </c>
      <c r="G2454" s="42" t="str">
        <v>Uruguay</v>
      </c>
      <c r="H2454" s="42" t="str">
        <v>1.0</v>
      </c>
      <c r="I2454" s="42" t="str">
        <v>1.0</v>
      </c>
      <c r="J2454" s="42" t="str">
        <v>Ghana</v>
      </c>
      <c r="K2454" s="42" t="str">
        <v xml:space="preserve">Uruguay win on penalties (4 - 2) </v>
      </c>
      <c r="L2454" s="42" t="str">
        <f t="shared" si="181"/>
        <v xml:space="preserve">2010.0|02 Jul 2010 - 20:30 |Quarter-finals|Soccer City Stadium|Johannesburg |Uruguay|1.0|1.0|Ghana|Uruguay win on penalties (4 - 2) </v>
      </c>
      <c r="M2454" s="42" t="str">
        <f>IF(COUNTIF($L$1689:L2454,L2454)&gt;1,"DOUBLON","OK")</f>
        <v>OK</v>
      </c>
      <c r="S2454" s="40" t="str">
        <v>Uruguay</v>
      </c>
      <c r="T2454" s="40" t="str">
        <f t="shared" si="182"/>
        <v>OK</v>
      </c>
      <c r="U2454" s="40" t="str">
        <f t="shared" si="183"/>
        <v>-</v>
      </c>
      <c r="V2454" s="40" t="str" cm="1">
        <f t="array" ref="V2454">_xlfn.IFS(
ISNUMBER(SEARCH("USA",S2454)),"United States",
ISNUMBER(SEARCH("Republic of Ireland",S2454)),"Ireland",
ISNUMBER(SEARCH("Republic of Korea",S2454)),"South Korea",
ISNUMBER(SEARCH("Cape Verde",S2454)),"Cabo Verde",
ISNUMBER(SEARCH("Czechia",S2454)),"Czech Republic",
ISNUMBER(SEARCH("Türkiye",S2454)),"Turkey",
ISNUMBER(SEARCH("Ivory Coast",S2454)),"Côte d'Ivoire",
ISNUMBER(SEARCH("Korea Republic",S2454)),"South Korea",
ISNUMBER(SEARCH("Germany FR",S2454)),"FR Germany",
ISNUMBER(SEARCH("West Germany",S2454)),"FR Germany",
ISNUMBER(SEARCH("Germany DR",S2454)),"DR Germany",
ISNUMBER(SEARCH("Korea DPR",S2454)),"North Korea",
ISNUMBER(SEARCH("China PR",S2454)),"China",
ISNUMBER(SEARCH("IR Iran",S2454)),"Iran",
ISNUMBER(SEARCH("Congo DR",S2454)),"Democratic Republic of the Congo",
ISNUMBER(SEARCH("DR Congo",S2454)),"Democratic Republic of the Congo",
ISNUMBER(SEARCH("German DR",S2454)),"DR Germany",
ISNUMBER(SEARCH("rn""&gt;United Arab Emirates",S2454)),"United Arab Emirates",
ISNUMBER(SEARCH("rn""&gt;Republic of Ireland",S2454)),"Ireland",
ISNUMBER(SEARCH("rn""&gt;Bosnia and Herzegovina",S2454)),"Bosnia and Herzegovina",
ISNUMBER(SEARCH("rn""&gt;Trinidad and Tobago",S2454)),"Trinidad and Tobago",
ISNUMBER(SEARCH("rn""&gt;Serbia and Montenegro",S2454)),"Serbia and Montenegro",
ISNUMBER(SEARCH(_xlfn.UNICHAR(65533),S2454)),"Côte d'Ivoire",
TRUE,""
)</f>
        <v/>
      </c>
      <c r="W2454" s="40" t="str">
        <f t="shared" si="184"/>
        <v>Uruguay</v>
      </c>
    </row>
    <row r="2455" spans="2:23">
      <c r="B2455" s="76" t="str">
        <v>2010.0</v>
      </c>
      <c r="C2455" s="42" t="str">
        <v xml:space="preserve">03 Jul 2010 - 16:00 </v>
      </c>
      <c r="D2455" s="42" t="str">
        <v>Quarter-finals</v>
      </c>
      <c r="E2455" s="42" t="str">
        <v>Cape Town Stadium</v>
      </c>
      <c r="F2455" s="42" t="str">
        <v xml:space="preserve">Cape Town </v>
      </c>
      <c r="G2455" s="42" t="str">
        <v>Argentina</v>
      </c>
      <c r="H2455" s="42" t="str">
        <v>0.0</v>
      </c>
      <c r="I2455" s="42" t="str">
        <v>4.0</v>
      </c>
      <c r="J2455" s="42" t="str">
        <v>Germany</v>
      </c>
      <c r="K2455" s="42" t="str">
        <v xml:space="preserve"> </v>
      </c>
      <c r="L2455" s="42" t="str">
        <f t="shared" si="181"/>
        <v xml:space="preserve">2010.0|03 Jul 2010 - 16:00 |Quarter-finals|Cape Town Stadium|Cape Town |Argentina|0.0|4.0|Germany| </v>
      </c>
      <c r="M2455" s="42" t="str">
        <f>IF(COUNTIF($L$1689:L2455,L2455)&gt;1,"DOUBLON","OK")</f>
        <v>OK</v>
      </c>
      <c r="S2455" s="40" t="str">
        <v>Austria</v>
      </c>
      <c r="T2455" s="40" t="str">
        <f t="shared" si="182"/>
        <v>OK</v>
      </c>
      <c r="U2455" s="40" t="str">
        <f t="shared" si="183"/>
        <v>-</v>
      </c>
      <c r="V2455" s="40" t="str" cm="1">
        <f t="array" ref="V2455">_xlfn.IFS(
ISNUMBER(SEARCH("USA",S2455)),"United States",
ISNUMBER(SEARCH("Republic of Ireland",S2455)),"Ireland",
ISNUMBER(SEARCH("Republic of Korea",S2455)),"South Korea",
ISNUMBER(SEARCH("Cape Verde",S2455)),"Cabo Verde",
ISNUMBER(SEARCH("Czechia",S2455)),"Czech Republic",
ISNUMBER(SEARCH("Türkiye",S2455)),"Turkey",
ISNUMBER(SEARCH("Ivory Coast",S2455)),"Côte d'Ivoire",
ISNUMBER(SEARCH("Korea Republic",S2455)),"South Korea",
ISNUMBER(SEARCH("Germany FR",S2455)),"FR Germany",
ISNUMBER(SEARCH("West Germany",S2455)),"FR Germany",
ISNUMBER(SEARCH("Germany DR",S2455)),"DR Germany",
ISNUMBER(SEARCH("Korea DPR",S2455)),"North Korea",
ISNUMBER(SEARCH("China PR",S2455)),"China",
ISNUMBER(SEARCH("IR Iran",S2455)),"Iran",
ISNUMBER(SEARCH("Congo DR",S2455)),"Democratic Republic of the Congo",
ISNUMBER(SEARCH("DR Congo",S2455)),"Democratic Republic of the Congo",
ISNUMBER(SEARCH("German DR",S2455)),"DR Germany",
ISNUMBER(SEARCH("rn""&gt;United Arab Emirates",S2455)),"United Arab Emirates",
ISNUMBER(SEARCH("rn""&gt;Republic of Ireland",S2455)),"Ireland",
ISNUMBER(SEARCH("rn""&gt;Bosnia and Herzegovina",S2455)),"Bosnia and Herzegovina",
ISNUMBER(SEARCH("rn""&gt;Trinidad and Tobago",S2455)),"Trinidad and Tobago",
ISNUMBER(SEARCH("rn""&gt;Serbia and Montenegro",S2455)),"Serbia and Montenegro",
ISNUMBER(SEARCH(_xlfn.UNICHAR(65533),S2455)),"Côte d'Ivoire",
TRUE,""
)</f>
        <v/>
      </c>
      <c r="W2455" s="40" t="str">
        <f t="shared" si="184"/>
        <v>Austria</v>
      </c>
    </row>
    <row r="2456" spans="2:23">
      <c r="B2456" s="76" t="str">
        <v>2010.0</v>
      </c>
      <c r="C2456" s="42" t="str">
        <v xml:space="preserve">03 Jul 2010 - 20:30 </v>
      </c>
      <c r="D2456" s="42" t="str">
        <v>Quarter-finals</v>
      </c>
      <c r="E2456" s="42" t="str">
        <v>Ellis Park Stadium</v>
      </c>
      <c r="F2456" s="42" t="str">
        <v xml:space="preserve">Johannesburg </v>
      </c>
      <c r="G2456" s="42" t="str">
        <v>Paraguay</v>
      </c>
      <c r="H2456" s="42" t="str">
        <v>0.0</v>
      </c>
      <c r="I2456" s="42" t="str">
        <v>1.0</v>
      </c>
      <c r="J2456" s="42" t="str">
        <v>Spain</v>
      </c>
      <c r="K2456" s="42" t="str">
        <v xml:space="preserve"> </v>
      </c>
      <c r="L2456" s="42" t="str">
        <f t="shared" si="181"/>
        <v xml:space="preserve">2010.0|03 Jul 2010 - 20:30 |Quarter-finals|Ellis Park Stadium|Johannesburg |Paraguay|0.0|1.0|Spain| </v>
      </c>
      <c r="M2456" s="42" t="str">
        <f>IF(COUNTIF($L$1689:L2456,L2456)&gt;1,"DOUBLON","OK")</f>
        <v>OK</v>
      </c>
      <c r="S2456" s="40" t="str">
        <v>France</v>
      </c>
      <c r="T2456" s="40" t="str">
        <f t="shared" si="182"/>
        <v>OK</v>
      </c>
      <c r="U2456" s="40" t="str">
        <f t="shared" si="183"/>
        <v>-</v>
      </c>
      <c r="V2456" s="40" t="str" cm="1">
        <f t="array" ref="V2456">_xlfn.IFS(
ISNUMBER(SEARCH("USA",S2456)),"United States",
ISNUMBER(SEARCH("Republic of Ireland",S2456)),"Ireland",
ISNUMBER(SEARCH("Republic of Korea",S2456)),"South Korea",
ISNUMBER(SEARCH("Cape Verde",S2456)),"Cabo Verde",
ISNUMBER(SEARCH("Czechia",S2456)),"Czech Republic",
ISNUMBER(SEARCH("Türkiye",S2456)),"Turkey",
ISNUMBER(SEARCH("Ivory Coast",S2456)),"Côte d'Ivoire",
ISNUMBER(SEARCH("Korea Republic",S2456)),"South Korea",
ISNUMBER(SEARCH("Germany FR",S2456)),"FR Germany",
ISNUMBER(SEARCH("West Germany",S2456)),"FR Germany",
ISNUMBER(SEARCH("Germany DR",S2456)),"DR Germany",
ISNUMBER(SEARCH("Korea DPR",S2456)),"North Korea",
ISNUMBER(SEARCH("China PR",S2456)),"China",
ISNUMBER(SEARCH("IR Iran",S2456)),"Iran",
ISNUMBER(SEARCH("Congo DR",S2456)),"Democratic Republic of the Congo",
ISNUMBER(SEARCH("DR Congo",S2456)),"Democratic Republic of the Congo",
ISNUMBER(SEARCH("German DR",S2456)),"DR Germany",
ISNUMBER(SEARCH("rn""&gt;United Arab Emirates",S2456)),"United Arab Emirates",
ISNUMBER(SEARCH("rn""&gt;Republic of Ireland",S2456)),"Ireland",
ISNUMBER(SEARCH("rn""&gt;Bosnia and Herzegovina",S2456)),"Bosnia and Herzegovina",
ISNUMBER(SEARCH("rn""&gt;Trinidad and Tobago",S2456)),"Trinidad and Tobago",
ISNUMBER(SEARCH("rn""&gt;Serbia and Montenegro",S2456)),"Serbia and Montenegro",
ISNUMBER(SEARCH(_xlfn.UNICHAR(65533),S2456)),"Côte d'Ivoire",
TRUE,""
)</f>
        <v/>
      </c>
      <c r="W2456" s="40" t="str">
        <f t="shared" si="184"/>
        <v>France</v>
      </c>
    </row>
    <row r="2457" spans="2:23">
      <c r="B2457" s="76" t="str">
        <v>2010.0</v>
      </c>
      <c r="C2457" s="42" t="str">
        <v xml:space="preserve">06 Jul 2010 - 20:30 </v>
      </c>
      <c r="D2457" s="42" t="str">
        <v>Semi-finals</v>
      </c>
      <c r="E2457" s="42" t="str">
        <v>Cape Town Stadium</v>
      </c>
      <c r="F2457" s="42" t="str">
        <v xml:space="preserve">Cape Town </v>
      </c>
      <c r="G2457" s="42" t="str">
        <v>Uruguay</v>
      </c>
      <c r="H2457" s="42" t="str">
        <v>2.0</v>
      </c>
      <c r="I2457" s="42" t="str">
        <v>3.0</v>
      </c>
      <c r="J2457" s="42" t="str">
        <v>Netherlands</v>
      </c>
      <c r="K2457" s="42" t="str">
        <v xml:space="preserve"> </v>
      </c>
      <c r="L2457" s="42" t="str">
        <f t="shared" ref="L2457:L2520" si="185">B2457&amp;"|"&amp;C2457&amp;"|"&amp;D2457&amp;"|"&amp;E2457&amp;"|"&amp;F2457&amp;"|"&amp;G2457&amp;"|"&amp;H2457&amp;"|"&amp;I2457&amp;"|"&amp;J2457&amp;"|"&amp;K2457</f>
        <v xml:space="preserve">2010.0|06 Jul 2010 - 20:30 |Semi-finals|Cape Town Stadium|Cape Town |Uruguay|2.0|3.0|Netherlands| </v>
      </c>
      <c r="M2457" s="42" t="str">
        <f>IF(COUNTIF($L$1689:L2457,L2457)&gt;1,"DOUBLON","OK")</f>
        <v>OK</v>
      </c>
      <c r="S2457" s="40" t="str">
        <v>Brazil</v>
      </c>
      <c r="T2457" s="40" t="str">
        <f t="shared" si="182"/>
        <v>OK</v>
      </c>
      <c r="U2457" s="40" t="str">
        <f t="shared" si="183"/>
        <v>-</v>
      </c>
      <c r="V2457" s="40" t="str" cm="1">
        <f t="array" ref="V2457">_xlfn.IFS(
ISNUMBER(SEARCH("USA",S2457)),"United States",
ISNUMBER(SEARCH("Republic of Ireland",S2457)),"Ireland",
ISNUMBER(SEARCH("Republic of Korea",S2457)),"South Korea",
ISNUMBER(SEARCH("Cape Verde",S2457)),"Cabo Verde",
ISNUMBER(SEARCH("Czechia",S2457)),"Czech Republic",
ISNUMBER(SEARCH("Türkiye",S2457)),"Turkey",
ISNUMBER(SEARCH("Ivory Coast",S2457)),"Côte d'Ivoire",
ISNUMBER(SEARCH("Korea Republic",S2457)),"South Korea",
ISNUMBER(SEARCH("Germany FR",S2457)),"FR Germany",
ISNUMBER(SEARCH("West Germany",S2457)),"FR Germany",
ISNUMBER(SEARCH("Germany DR",S2457)),"DR Germany",
ISNUMBER(SEARCH("Korea DPR",S2457)),"North Korea",
ISNUMBER(SEARCH("China PR",S2457)),"China",
ISNUMBER(SEARCH("IR Iran",S2457)),"Iran",
ISNUMBER(SEARCH("Congo DR",S2457)),"Democratic Republic of the Congo",
ISNUMBER(SEARCH("DR Congo",S2457)),"Democratic Republic of the Congo",
ISNUMBER(SEARCH("German DR",S2457)),"DR Germany",
ISNUMBER(SEARCH("rn""&gt;United Arab Emirates",S2457)),"United Arab Emirates",
ISNUMBER(SEARCH("rn""&gt;Republic of Ireland",S2457)),"Ireland",
ISNUMBER(SEARCH("rn""&gt;Bosnia and Herzegovina",S2457)),"Bosnia and Herzegovina",
ISNUMBER(SEARCH("rn""&gt;Trinidad and Tobago",S2457)),"Trinidad and Tobago",
ISNUMBER(SEARCH("rn""&gt;Serbia and Montenegro",S2457)),"Serbia and Montenegro",
ISNUMBER(SEARCH(_xlfn.UNICHAR(65533),S2457)),"Côte d'Ivoire",
TRUE,""
)</f>
        <v/>
      </c>
      <c r="W2457" s="40" t="str">
        <f t="shared" si="184"/>
        <v>Brazil</v>
      </c>
    </row>
    <row r="2458" spans="2:23">
      <c r="B2458" s="76" t="str">
        <v>2010.0</v>
      </c>
      <c r="C2458" s="42" t="str">
        <v xml:space="preserve">07 Jul 2010 - 20:30 </v>
      </c>
      <c r="D2458" s="42" t="str">
        <v>Semi-finals</v>
      </c>
      <c r="E2458" s="42" t="str">
        <v>Durban Stadium</v>
      </c>
      <c r="F2458" s="42" t="str">
        <v xml:space="preserve">Durban </v>
      </c>
      <c r="G2458" s="42" t="str">
        <v>Germany</v>
      </c>
      <c r="H2458" s="42" t="str">
        <v>0.0</v>
      </c>
      <c r="I2458" s="42" t="str">
        <v>1.0</v>
      </c>
      <c r="J2458" s="42" t="str">
        <v>Spain</v>
      </c>
      <c r="K2458" s="42" t="str">
        <v xml:space="preserve"> </v>
      </c>
      <c r="L2458" s="42" t="str">
        <f t="shared" si="185"/>
        <v xml:space="preserve">2010.0|07 Jul 2010 - 20:30 |Semi-finals|Durban Stadium|Durban |Germany|0.0|1.0|Spain| </v>
      </c>
      <c r="M2458" s="42" t="str">
        <f>IF(COUNTIF($L$1689:L2458,L2458)&gt;1,"DOUBLON","OK")</f>
        <v>OK</v>
      </c>
      <c r="S2458" s="40" t="str">
        <v>Hungary</v>
      </c>
      <c r="T2458" s="40" t="str">
        <f t="shared" si="182"/>
        <v>OK</v>
      </c>
      <c r="U2458" s="40" t="str">
        <f t="shared" si="183"/>
        <v>-</v>
      </c>
      <c r="V2458" s="40" t="str" cm="1">
        <f t="array" ref="V2458">_xlfn.IFS(
ISNUMBER(SEARCH("USA",S2458)),"United States",
ISNUMBER(SEARCH("Republic of Ireland",S2458)),"Ireland",
ISNUMBER(SEARCH("Republic of Korea",S2458)),"South Korea",
ISNUMBER(SEARCH("Cape Verde",S2458)),"Cabo Verde",
ISNUMBER(SEARCH("Czechia",S2458)),"Czech Republic",
ISNUMBER(SEARCH("Türkiye",S2458)),"Turkey",
ISNUMBER(SEARCH("Ivory Coast",S2458)),"Côte d'Ivoire",
ISNUMBER(SEARCH("Korea Republic",S2458)),"South Korea",
ISNUMBER(SEARCH("Germany FR",S2458)),"FR Germany",
ISNUMBER(SEARCH("West Germany",S2458)),"FR Germany",
ISNUMBER(SEARCH("Germany DR",S2458)),"DR Germany",
ISNUMBER(SEARCH("Korea DPR",S2458)),"North Korea",
ISNUMBER(SEARCH("China PR",S2458)),"China",
ISNUMBER(SEARCH("IR Iran",S2458)),"Iran",
ISNUMBER(SEARCH("Congo DR",S2458)),"Democratic Republic of the Congo",
ISNUMBER(SEARCH("DR Congo",S2458)),"Democratic Republic of the Congo",
ISNUMBER(SEARCH("German DR",S2458)),"DR Germany",
ISNUMBER(SEARCH("rn""&gt;United Arab Emirates",S2458)),"United Arab Emirates",
ISNUMBER(SEARCH("rn""&gt;Republic of Ireland",S2458)),"Ireland",
ISNUMBER(SEARCH("rn""&gt;Bosnia and Herzegovina",S2458)),"Bosnia and Herzegovina",
ISNUMBER(SEARCH("rn""&gt;Trinidad and Tobago",S2458)),"Trinidad and Tobago",
ISNUMBER(SEARCH("rn""&gt;Serbia and Montenegro",S2458)),"Serbia and Montenegro",
ISNUMBER(SEARCH(_xlfn.UNICHAR(65533),S2458)),"Côte d'Ivoire",
TRUE,""
)</f>
        <v/>
      </c>
      <c r="W2458" s="40" t="str">
        <f t="shared" si="184"/>
        <v>Hungary</v>
      </c>
    </row>
    <row r="2459" spans="2:23">
      <c r="B2459" s="76" t="str">
        <v>2010.0</v>
      </c>
      <c r="C2459" s="42" t="str">
        <v xml:space="preserve">10 Jul 2010 - 20:30 </v>
      </c>
      <c r="D2459" s="42" t="str">
        <v>Match for third place</v>
      </c>
      <c r="E2459" s="42" t="str">
        <v>Port Elizabeth Stadium</v>
      </c>
      <c r="F2459" s="42" t="str">
        <v xml:space="preserve">Nelson Mandela Bay/Port Elizabeth </v>
      </c>
      <c r="G2459" s="42" t="str">
        <v>Uruguay</v>
      </c>
      <c r="H2459" s="42" t="str">
        <v>2.0</v>
      </c>
      <c r="I2459" s="42" t="str">
        <v>3.0</v>
      </c>
      <c r="J2459" s="42" t="str">
        <v>Germany</v>
      </c>
      <c r="K2459" s="42" t="str">
        <v xml:space="preserve"> </v>
      </c>
      <c r="L2459" s="42" t="str">
        <f t="shared" si="185"/>
        <v xml:space="preserve">2010.0|10 Jul 2010 - 20:30 |Match for third place|Port Elizabeth Stadium|Nelson Mandela Bay/Port Elizabeth |Uruguay|2.0|3.0|Germany| </v>
      </c>
      <c r="M2459" s="42" t="str">
        <f>IF(COUNTIF($L$1689:L2459,L2459)&gt;1,"DOUBLON","OK")</f>
        <v>OK</v>
      </c>
      <c r="S2459" s="40" t="str">
        <v>Turkey</v>
      </c>
      <c r="T2459" s="40" t="str">
        <f t="shared" si="182"/>
        <v>OK</v>
      </c>
      <c r="U2459" s="40" t="str">
        <f t="shared" si="183"/>
        <v>-</v>
      </c>
      <c r="V2459" s="40" t="str" cm="1">
        <f t="array" ref="V2459">_xlfn.IFS(
ISNUMBER(SEARCH("USA",S2459)),"United States",
ISNUMBER(SEARCH("Republic of Ireland",S2459)),"Ireland",
ISNUMBER(SEARCH("Republic of Korea",S2459)),"South Korea",
ISNUMBER(SEARCH("Cape Verde",S2459)),"Cabo Verde",
ISNUMBER(SEARCH("Czechia",S2459)),"Czech Republic",
ISNUMBER(SEARCH("Türkiye",S2459)),"Turkey",
ISNUMBER(SEARCH("Ivory Coast",S2459)),"Côte d'Ivoire",
ISNUMBER(SEARCH("Korea Republic",S2459)),"South Korea",
ISNUMBER(SEARCH("Germany FR",S2459)),"FR Germany",
ISNUMBER(SEARCH("West Germany",S2459)),"FR Germany",
ISNUMBER(SEARCH("Germany DR",S2459)),"DR Germany",
ISNUMBER(SEARCH("Korea DPR",S2459)),"North Korea",
ISNUMBER(SEARCH("China PR",S2459)),"China",
ISNUMBER(SEARCH("IR Iran",S2459)),"Iran",
ISNUMBER(SEARCH("Congo DR",S2459)),"Democratic Republic of the Congo",
ISNUMBER(SEARCH("DR Congo",S2459)),"Democratic Republic of the Congo",
ISNUMBER(SEARCH("German DR",S2459)),"DR Germany",
ISNUMBER(SEARCH("rn""&gt;United Arab Emirates",S2459)),"United Arab Emirates",
ISNUMBER(SEARCH("rn""&gt;Republic of Ireland",S2459)),"Ireland",
ISNUMBER(SEARCH("rn""&gt;Bosnia and Herzegovina",S2459)),"Bosnia and Herzegovina",
ISNUMBER(SEARCH("rn""&gt;Trinidad and Tobago",S2459)),"Trinidad and Tobago",
ISNUMBER(SEARCH("rn""&gt;Serbia and Montenegro",S2459)),"Serbia and Montenegro",
ISNUMBER(SEARCH(_xlfn.UNICHAR(65533),S2459)),"Côte d'Ivoire",
TRUE,""
)</f>
        <v/>
      </c>
      <c r="W2459" s="40" t="str">
        <f t="shared" si="184"/>
        <v>Turkey</v>
      </c>
    </row>
    <row r="2460" spans="2:23">
      <c r="B2460" s="76" t="str">
        <v>2010.0</v>
      </c>
      <c r="C2460" s="42" t="str">
        <v xml:space="preserve">11 Jul 2010 - 20:30 </v>
      </c>
      <c r="D2460" s="42" t="str">
        <v>Final</v>
      </c>
      <c r="E2460" s="42" t="str">
        <v>Soccer City Stadium</v>
      </c>
      <c r="F2460" s="42" t="str">
        <v xml:space="preserve">Johannesburg </v>
      </c>
      <c r="G2460" s="42" t="str">
        <v>Netherlands</v>
      </c>
      <c r="H2460" s="42" t="str">
        <v>0.0</v>
      </c>
      <c r="I2460" s="42" t="str">
        <v>1.0</v>
      </c>
      <c r="J2460" s="42" t="str">
        <v>Spain</v>
      </c>
      <c r="K2460" s="42" t="str">
        <v xml:space="preserve">Spain win after extra time </v>
      </c>
      <c r="L2460" s="42" t="str">
        <f t="shared" si="185"/>
        <v xml:space="preserve">2010.0|11 Jul 2010 - 20:30 |Final|Soccer City Stadium|Johannesburg |Netherlands|0.0|1.0|Spain|Spain win after extra time </v>
      </c>
      <c r="M2460" s="42" t="str">
        <f>IF(COUNTIF($L$1689:L2460,L2460)&gt;1,"DOUBLON","OK")</f>
        <v>OK</v>
      </c>
      <c r="S2460" s="40" t="str">
        <v>England</v>
      </c>
      <c r="T2460" s="40" t="str">
        <f t="shared" si="182"/>
        <v>ERREUR</v>
      </c>
      <c r="U2460" s="40" t="str">
        <f t="shared" si="183"/>
        <v>AUCUNE</v>
      </c>
      <c r="V2460" s="40" t="str" cm="1">
        <f t="array" ref="V2460">_xlfn.IFS(
ISNUMBER(SEARCH("USA",S2460)),"United States",
ISNUMBER(SEARCH("Republic of Ireland",S2460)),"Ireland",
ISNUMBER(SEARCH("Republic of Korea",S2460)),"South Korea",
ISNUMBER(SEARCH("Cape Verde",S2460)),"Cabo Verde",
ISNUMBER(SEARCH("Czechia",S2460)),"Czech Republic",
ISNUMBER(SEARCH("Türkiye",S2460)),"Turkey",
ISNUMBER(SEARCH("Ivory Coast",S2460)),"Côte d'Ivoire",
ISNUMBER(SEARCH("Korea Republic",S2460)),"South Korea",
ISNUMBER(SEARCH("Germany FR",S2460)),"FR Germany",
ISNUMBER(SEARCH("West Germany",S2460)),"FR Germany",
ISNUMBER(SEARCH("Germany DR",S2460)),"DR Germany",
ISNUMBER(SEARCH("Korea DPR",S2460)),"North Korea",
ISNUMBER(SEARCH("China PR",S2460)),"China",
ISNUMBER(SEARCH("IR Iran",S2460)),"Iran",
ISNUMBER(SEARCH("Congo DR",S2460)),"Democratic Republic of the Congo",
ISNUMBER(SEARCH("DR Congo",S2460)),"Democratic Republic of the Congo",
ISNUMBER(SEARCH("German DR",S2460)),"DR Germany",
ISNUMBER(SEARCH("rn""&gt;United Arab Emirates",S2460)),"United Arab Emirates",
ISNUMBER(SEARCH("rn""&gt;Republic of Ireland",S2460)),"Ireland",
ISNUMBER(SEARCH("rn""&gt;Bosnia and Herzegovina",S2460)),"Bosnia and Herzegovina",
ISNUMBER(SEARCH("rn""&gt;Trinidad and Tobago",S2460)),"Trinidad and Tobago",
ISNUMBER(SEARCH("rn""&gt;Serbia and Montenegro",S2460)),"Serbia and Montenegro",
ISNUMBER(SEARCH(_xlfn.UNICHAR(65533),S2460)),"Côte d'Ivoire",
TRUE,""
)</f>
        <v/>
      </c>
      <c r="W2460" s="40" t="str">
        <f t="shared" si="184"/>
        <v>England</v>
      </c>
    </row>
    <row r="2461" spans="2:23">
      <c r="B2461" s="76" t="str">
        <v>2014.0</v>
      </c>
      <c r="C2461" s="42" t="str">
        <v xml:space="preserve">12 Jun 2014 - 17:00 </v>
      </c>
      <c r="D2461" s="42" t="str">
        <v>Group A</v>
      </c>
      <c r="E2461" s="42" t="str">
        <v>Arena de Sao Paulo</v>
      </c>
      <c r="F2461" s="42" t="str">
        <v xml:space="preserve">Sao Paulo </v>
      </c>
      <c r="G2461" s="42" t="str">
        <v>Brazil</v>
      </c>
      <c r="H2461" s="42" t="str">
        <v>3.0</v>
      </c>
      <c r="I2461" s="42" t="str">
        <v>1.0</v>
      </c>
      <c r="J2461" s="42" t="str">
        <v>Croatia</v>
      </c>
      <c r="K2461" s="42" t="str">
        <v xml:space="preserve"> </v>
      </c>
      <c r="L2461" s="42" t="str">
        <f t="shared" si="185"/>
        <v xml:space="preserve">2014.0|12 Jun 2014 - 17:00 |Group A|Arena de Sao Paulo|Sao Paulo |Brazil|3.0|1.0|Croatia| </v>
      </c>
      <c r="M2461" s="42" t="str">
        <f>IF(COUNTIF($L$1689:L2461,L2461)&gt;1,"DOUBLON","OK")</f>
        <v>OK</v>
      </c>
      <c r="S2461" s="40" t="str">
        <v>Italy</v>
      </c>
      <c r="T2461" s="40" t="str">
        <f t="shared" si="182"/>
        <v>OK</v>
      </c>
      <c r="U2461" s="40" t="str">
        <f t="shared" si="183"/>
        <v>-</v>
      </c>
      <c r="V2461" s="40" t="str" cm="1">
        <f t="array" ref="V2461">_xlfn.IFS(
ISNUMBER(SEARCH("USA",S2461)),"United States",
ISNUMBER(SEARCH("Republic of Ireland",S2461)),"Ireland",
ISNUMBER(SEARCH("Republic of Korea",S2461)),"South Korea",
ISNUMBER(SEARCH("Cape Verde",S2461)),"Cabo Verde",
ISNUMBER(SEARCH("Czechia",S2461)),"Czech Republic",
ISNUMBER(SEARCH("Türkiye",S2461)),"Turkey",
ISNUMBER(SEARCH("Ivory Coast",S2461)),"Côte d'Ivoire",
ISNUMBER(SEARCH("Korea Republic",S2461)),"South Korea",
ISNUMBER(SEARCH("Germany FR",S2461)),"FR Germany",
ISNUMBER(SEARCH("West Germany",S2461)),"FR Germany",
ISNUMBER(SEARCH("Germany DR",S2461)),"DR Germany",
ISNUMBER(SEARCH("Korea DPR",S2461)),"North Korea",
ISNUMBER(SEARCH("China PR",S2461)),"China",
ISNUMBER(SEARCH("IR Iran",S2461)),"Iran",
ISNUMBER(SEARCH("Congo DR",S2461)),"Democratic Republic of the Congo",
ISNUMBER(SEARCH("DR Congo",S2461)),"Democratic Republic of the Congo",
ISNUMBER(SEARCH("German DR",S2461)),"DR Germany",
ISNUMBER(SEARCH("rn""&gt;United Arab Emirates",S2461)),"United Arab Emirates",
ISNUMBER(SEARCH("rn""&gt;Republic of Ireland",S2461)),"Ireland",
ISNUMBER(SEARCH("rn""&gt;Bosnia and Herzegovina",S2461)),"Bosnia and Herzegovina",
ISNUMBER(SEARCH("rn""&gt;Trinidad and Tobago",S2461)),"Trinidad and Tobago",
ISNUMBER(SEARCH("rn""&gt;Serbia and Montenegro",S2461)),"Serbia and Montenegro",
ISNUMBER(SEARCH(_xlfn.UNICHAR(65533),S2461)),"Côte d'Ivoire",
TRUE,""
)</f>
        <v/>
      </c>
      <c r="W2461" s="40" t="str">
        <f t="shared" si="184"/>
        <v>Italy</v>
      </c>
    </row>
    <row r="2462" spans="2:23">
      <c r="B2462" s="76" t="str">
        <v>2014.0</v>
      </c>
      <c r="C2462" s="42" t="str">
        <v xml:space="preserve">13 Jun 2014 - 13:00 </v>
      </c>
      <c r="D2462" s="42" t="str">
        <v>Group A</v>
      </c>
      <c r="E2462" s="42" t="str">
        <v>Estadio das Dunas</v>
      </c>
      <c r="F2462" s="42" t="str">
        <v xml:space="preserve">Natal </v>
      </c>
      <c r="G2462" s="42" t="str">
        <v>Mexico</v>
      </c>
      <c r="H2462" s="42" t="str">
        <v>1.0</v>
      </c>
      <c r="I2462" s="42" t="str">
        <v>0.0</v>
      </c>
      <c r="J2462" s="42" t="str">
        <v>Cameroon</v>
      </c>
      <c r="K2462" s="42" t="str">
        <v xml:space="preserve"> </v>
      </c>
      <c r="L2462" s="42" t="str">
        <f t="shared" si="185"/>
        <v xml:space="preserve">2014.0|13 Jun 2014 - 13:00 |Group A|Estadio das Dunas|Natal |Mexico|1.0|0.0|Cameroon| </v>
      </c>
      <c r="M2462" s="42" t="str">
        <f>IF(COUNTIF($L$1689:L2462,L2462)&gt;1,"DOUBLON","OK")</f>
        <v>OK</v>
      </c>
      <c r="S2462" s="40" t="str">
        <v>Germany FR</v>
      </c>
      <c r="T2462" s="40" t="str">
        <f t="shared" si="182"/>
        <v>ERREUR</v>
      </c>
      <c r="U2462" s="40" t="str">
        <f t="shared" si="183"/>
        <v>RENOMMER</v>
      </c>
      <c r="V2462" s="40" t="str" cm="1">
        <f t="array" ref="V2462">_xlfn.IFS(
ISNUMBER(SEARCH("USA",S2462)),"United States",
ISNUMBER(SEARCH("Republic of Ireland",S2462)),"Ireland",
ISNUMBER(SEARCH("Republic of Korea",S2462)),"South Korea",
ISNUMBER(SEARCH("Cape Verde",S2462)),"Cabo Verde",
ISNUMBER(SEARCH("Czechia",S2462)),"Czech Republic",
ISNUMBER(SEARCH("Türkiye",S2462)),"Turkey",
ISNUMBER(SEARCH("Ivory Coast",S2462)),"Côte d'Ivoire",
ISNUMBER(SEARCH("Korea Republic",S2462)),"South Korea",
ISNUMBER(SEARCH("Germany FR",S2462)),"FR Germany",
ISNUMBER(SEARCH("West Germany",S2462)),"FR Germany",
ISNUMBER(SEARCH("Germany DR",S2462)),"DR Germany",
ISNUMBER(SEARCH("Korea DPR",S2462)),"North Korea",
ISNUMBER(SEARCH("China PR",S2462)),"China",
ISNUMBER(SEARCH("IR Iran",S2462)),"Iran",
ISNUMBER(SEARCH("Congo DR",S2462)),"Democratic Republic of the Congo",
ISNUMBER(SEARCH("DR Congo",S2462)),"Democratic Republic of the Congo",
ISNUMBER(SEARCH("German DR",S2462)),"DR Germany",
ISNUMBER(SEARCH("rn""&gt;United Arab Emirates",S2462)),"United Arab Emirates",
ISNUMBER(SEARCH("rn""&gt;Republic of Ireland",S2462)),"Ireland",
ISNUMBER(SEARCH("rn""&gt;Bosnia and Herzegovina",S2462)),"Bosnia and Herzegovina",
ISNUMBER(SEARCH("rn""&gt;Trinidad and Tobago",S2462)),"Trinidad and Tobago",
ISNUMBER(SEARCH("rn""&gt;Serbia and Montenegro",S2462)),"Serbia and Montenegro",
ISNUMBER(SEARCH(_xlfn.UNICHAR(65533),S2462)),"Côte d'Ivoire",
TRUE,""
)</f>
        <v>FR Germany</v>
      </c>
      <c r="W2462" s="40" t="str">
        <f t="shared" si="184"/>
        <v>FR Germany</v>
      </c>
    </row>
    <row r="2463" spans="2:23">
      <c r="B2463" s="76" t="str">
        <v>2014.0</v>
      </c>
      <c r="C2463" s="42" t="str">
        <v xml:space="preserve">13 Jun 2014 - 16:00 </v>
      </c>
      <c r="D2463" s="42" t="str">
        <v>Group B</v>
      </c>
      <c r="E2463" s="42" t="str">
        <v>Arena Fonte Nova</v>
      </c>
      <c r="F2463" s="42" t="str">
        <v xml:space="preserve">Salvador </v>
      </c>
      <c r="G2463" s="42" t="str">
        <v>Spain</v>
      </c>
      <c r="H2463" s="42" t="str">
        <v>1.0</v>
      </c>
      <c r="I2463" s="42" t="str">
        <v>5.0</v>
      </c>
      <c r="J2463" s="42" t="str">
        <v>Netherlands</v>
      </c>
      <c r="K2463" s="42" t="str">
        <v xml:space="preserve"> </v>
      </c>
      <c r="L2463" s="42" t="str">
        <f t="shared" si="185"/>
        <v xml:space="preserve">2014.0|13 Jun 2014 - 16:00 |Group B|Arena Fonte Nova|Salvador |Spain|1.0|5.0|Netherlands| </v>
      </c>
      <c r="M2463" s="42" t="str">
        <f>IF(COUNTIF($L$1689:L2463,L2463)&gt;1,"DOUBLON","OK")</f>
        <v>OK</v>
      </c>
      <c r="S2463" s="40" t="str">
        <v>Switzerland</v>
      </c>
      <c r="T2463" s="40" t="str">
        <f t="shared" si="182"/>
        <v>OK</v>
      </c>
      <c r="U2463" s="40" t="str">
        <f t="shared" si="183"/>
        <v>-</v>
      </c>
      <c r="V2463" s="40" t="str" cm="1">
        <f t="array" ref="V2463">_xlfn.IFS(
ISNUMBER(SEARCH("USA",S2463)),"United States",
ISNUMBER(SEARCH("Republic of Ireland",S2463)),"Ireland",
ISNUMBER(SEARCH("Republic of Korea",S2463)),"South Korea",
ISNUMBER(SEARCH("Cape Verde",S2463)),"Cabo Verde",
ISNUMBER(SEARCH("Czechia",S2463)),"Czech Republic",
ISNUMBER(SEARCH("Türkiye",S2463)),"Turkey",
ISNUMBER(SEARCH("Ivory Coast",S2463)),"Côte d'Ivoire",
ISNUMBER(SEARCH("Korea Republic",S2463)),"South Korea",
ISNUMBER(SEARCH("Germany FR",S2463)),"FR Germany",
ISNUMBER(SEARCH("West Germany",S2463)),"FR Germany",
ISNUMBER(SEARCH("Germany DR",S2463)),"DR Germany",
ISNUMBER(SEARCH("Korea DPR",S2463)),"North Korea",
ISNUMBER(SEARCH("China PR",S2463)),"China",
ISNUMBER(SEARCH("IR Iran",S2463)),"Iran",
ISNUMBER(SEARCH("Congo DR",S2463)),"Democratic Republic of the Congo",
ISNUMBER(SEARCH("DR Congo",S2463)),"Democratic Republic of the Congo",
ISNUMBER(SEARCH("German DR",S2463)),"DR Germany",
ISNUMBER(SEARCH("rn""&gt;United Arab Emirates",S2463)),"United Arab Emirates",
ISNUMBER(SEARCH("rn""&gt;Republic of Ireland",S2463)),"Ireland",
ISNUMBER(SEARCH("rn""&gt;Bosnia and Herzegovina",S2463)),"Bosnia and Herzegovina",
ISNUMBER(SEARCH("rn""&gt;Trinidad and Tobago",S2463)),"Trinidad and Tobago",
ISNUMBER(SEARCH("rn""&gt;Serbia and Montenegro",S2463)),"Serbia and Montenegro",
ISNUMBER(SEARCH(_xlfn.UNICHAR(65533),S2463)),"Côte d'Ivoire",
TRUE,""
)</f>
        <v/>
      </c>
      <c r="W2463" s="40" t="str">
        <f t="shared" si="184"/>
        <v>Switzerland</v>
      </c>
    </row>
    <row r="2464" spans="2:23">
      <c r="B2464" s="76" t="str">
        <v>2014.0</v>
      </c>
      <c r="C2464" s="42" t="str">
        <v xml:space="preserve">13 Jun 2014 - 18:00 </v>
      </c>
      <c r="D2464" s="42" t="str">
        <v>Group B</v>
      </c>
      <c r="E2464" s="42" t="str">
        <v>Arena Pantanal</v>
      </c>
      <c r="F2464" s="42" t="str">
        <v xml:space="preserve">Cuiaba </v>
      </c>
      <c r="G2464" s="42" t="str">
        <v>Chile</v>
      </c>
      <c r="H2464" s="42" t="str">
        <v>3.0</v>
      </c>
      <c r="I2464" s="42" t="str">
        <v>1.0</v>
      </c>
      <c r="J2464" s="42" t="str">
        <v>Australia</v>
      </c>
      <c r="K2464" s="42" t="str">
        <v xml:space="preserve"> </v>
      </c>
      <c r="L2464" s="42" t="str">
        <f t="shared" si="185"/>
        <v xml:space="preserve">2014.0|13 Jun 2014 - 18:00 |Group B|Arena Pantanal|Cuiaba |Chile|3.0|1.0|Australia| </v>
      </c>
      <c r="M2464" s="42" t="str">
        <f>IF(COUNTIF($L$1689:L2464,L2464)&gt;1,"DOUBLON","OK")</f>
        <v>OK</v>
      </c>
      <c r="S2464" s="40" t="str">
        <v>Uruguay</v>
      </c>
      <c r="T2464" s="40" t="str">
        <f t="shared" si="182"/>
        <v>OK</v>
      </c>
      <c r="U2464" s="40" t="str">
        <f t="shared" si="183"/>
        <v>-</v>
      </c>
      <c r="V2464" s="40" t="str" cm="1">
        <f t="array" ref="V2464">_xlfn.IFS(
ISNUMBER(SEARCH("USA",S2464)),"United States",
ISNUMBER(SEARCH("Republic of Ireland",S2464)),"Ireland",
ISNUMBER(SEARCH("Republic of Korea",S2464)),"South Korea",
ISNUMBER(SEARCH("Cape Verde",S2464)),"Cabo Verde",
ISNUMBER(SEARCH("Czechia",S2464)),"Czech Republic",
ISNUMBER(SEARCH("Türkiye",S2464)),"Turkey",
ISNUMBER(SEARCH("Ivory Coast",S2464)),"Côte d'Ivoire",
ISNUMBER(SEARCH("Korea Republic",S2464)),"South Korea",
ISNUMBER(SEARCH("Germany FR",S2464)),"FR Germany",
ISNUMBER(SEARCH("West Germany",S2464)),"FR Germany",
ISNUMBER(SEARCH("Germany DR",S2464)),"DR Germany",
ISNUMBER(SEARCH("Korea DPR",S2464)),"North Korea",
ISNUMBER(SEARCH("China PR",S2464)),"China",
ISNUMBER(SEARCH("IR Iran",S2464)),"Iran",
ISNUMBER(SEARCH("Congo DR",S2464)),"Democratic Republic of the Congo",
ISNUMBER(SEARCH("DR Congo",S2464)),"Democratic Republic of the Congo",
ISNUMBER(SEARCH("German DR",S2464)),"DR Germany",
ISNUMBER(SEARCH("rn""&gt;United Arab Emirates",S2464)),"United Arab Emirates",
ISNUMBER(SEARCH("rn""&gt;Republic of Ireland",S2464)),"Ireland",
ISNUMBER(SEARCH("rn""&gt;Bosnia and Herzegovina",S2464)),"Bosnia and Herzegovina",
ISNUMBER(SEARCH("rn""&gt;Trinidad and Tobago",S2464)),"Trinidad and Tobago",
ISNUMBER(SEARCH("rn""&gt;Serbia and Montenegro",S2464)),"Serbia and Montenegro",
ISNUMBER(SEARCH(_xlfn.UNICHAR(65533),S2464)),"Côte d'Ivoire",
TRUE,""
)</f>
        <v/>
      </c>
      <c r="W2464" s="40" t="str">
        <f t="shared" si="184"/>
        <v>Uruguay</v>
      </c>
    </row>
    <row r="2465" spans="2:23">
      <c r="B2465" s="76" t="str">
        <v>2014.0</v>
      </c>
      <c r="C2465" s="42" t="str">
        <v xml:space="preserve">14 Jun 2014 - 13:00 </v>
      </c>
      <c r="D2465" s="42" t="str">
        <v>Group C</v>
      </c>
      <c r="E2465" s="42" t="str">
        <v>Estadio Mineirao</v>
      </c>
      <c r="F2465" s="42" t="str">
        <v xml:space="preserve">Belo Horizonte </v>
      </c>
      <c r="G2465" s="42" t="str">
        <v>Colombia</v>
      </c>
      <c r="H2465" s="42" t="str">
        <v>3.0</v>
      </c>
      <c r="I2465" s="42" t="str">
        <v>0.0</v>
      </c>
      <c r="J2465" s="42" t="str">
        <v>Greece</v>
      </c>
      <c r="K2465" s="42" t="str">
        <v xml:space="preserve"> </v>
      </c>
      <c r="L2465" s="42" t="str">
        <f t="shared" si="185"/>
        <v xml:space="preserve">2014.0|14 Jun 2014 - 13:00 |Group C|Estadio Mineirao|Belo Horizonte |Colombia|3.0|0.0|Greece| </v>
      </c>
      <c r="M2465" s="42" t="str">
        <f>IF(COUNTIF($L$1689:L2465,L2465)&gt;1,"DOUBLON","OK")</f>
        <v>OK</v>
      </c>
      <c r="S2465" s="40" t="str">
        <v>Austria</v>
      </c>
      <c r="T2465" s="40" t="str">
        <f t="shared" si="182"/>
        <v>OK</v>
      </c>
      <c r="U2465" s="40" t="str">
        <f t="shared" si="183"/>
        <v>-</v>
      </c>
      <c r="V2465" s="40" t="str" cm="1">
        <f t="array" ref="V2465">_xlfn.IFS(
ISNUMBER(SEARCH("USA",S2465)),"United States",
ISNUMBER(SEARCH("Republic of Ireland",S2465)),"Ireland",
ISNUMBER(SEARCH("Republic of Korea",S2465)),"South Korea",
ISNUMBER(SEARCH("Cape Verde",S2465)),"Cabo Verde",
ISNUMBER(SEARCH("Czechia",S2465)),"Czech Republic",
ISNUMBER(SEARCH("Türkiye",S2465)),"Turkey",
ISNUMBER(SEARCH("Ivory Coast",S2465)),"Côte d'Ivoire",
ISNUMBER(SEARCH("Korea Republic",S2465)),"South Korea",
ISNUMBER(SEARCH("Germany FR",S2465)),"FR Germany",
ISNUMBER(SEARCH("West Germany",S2465)),"FR Germany",
ISNUMBER(SEARCH("Germany DR",S2465)),"DR Germany",
ISNUMBER(SEARCH("Korea DPR",S2465)),"North Korea",
ISNUMBER(SEARCH("China PR",S2465)),"China",
ISNUMBER(SEARCH("IR Iran",S2465)),"Iran",
ISNUMBER(SEARCH("Congo DR",S2465)),"Democratic Republic of the Congo",
ISNUMBER(SEARCH("DR Congo",S2465)),"Democratic Republic of the Congo",
ISNUMBER(SEARCH("German DR",S2465)),"DR Germany",
ISNUMBER(SEARCH("rn""&gt;United Arab Emirates",S2465)),"United Arab Emirates",
ISNUMBER(SEARCH("rn""&gt;Republic of Ireland",S2465)),"Ireland",
ISNUMBER(SEARCH("rn""&gt;Bosnia and Herzegovina",S2465)),"Bosnia and Herzegovina",
ISNUMBER(SEARCH("rn""&gt;Trinidad and Tobago",S2465)),"Trinidad and Tobago",
ISNUMBER(SEARCH("rn""&gt;Serbia and Montenegro",S2465)),"Serbia and Montenegro",
ISNUMBER(SEARCH(_xlfn.UNICHAR(65533),S2465)),"Côte d'Ivoire",
TRUE,""
)</f>
        <v/>
      </c>
      <c r="W2465" s="40" t="str">
        <f t="shared" si="184"/>
        <v>Austria</v>
      </c>
    </row>
    <row r="2466" spans="2:23">
      <c r="B2466" s="76" t="str">
        <v>2014.0</v>
      </c>
      <c r="C2466" s="42" t="str">
        <v xml:space="preserve">14 Jun 2014 - 16:00 </v>
      </c>
      <c r="D2466" s="42" t="str">
        <v>Group D</v>
      </c>
      <c r="E2466" s="42" t="str">
        <v>Estadio Castelao</v>
      </c>
      <c r="F2466" s="42" t="str">
        <v xml:space="preserve">Fortaleza </v>
      </c>
      <c r="G2466" s="42" t="str">
        <v>Uruguay</v>
      </c>
      <c r="H2466" s="42" t="str">
        <v>1.0</v>
      </c>
      <c r="I2466" s="42" t="str">
        <v>3.0</v>
      </c>
      <c r="J2466" s="42" t="str">
        <v>Costa Rica</v>
      </c>
      <c r="K2466" s="42" t="str">
        <v xml:space="preserve"> </v>
      </c>
      <c r="L2466" s="42" t="str">
        <f t="shared" si="185"/>
        <v xml:space="preserve">2014.0|14 Jun 2014 - 16:00 |Group D|Estadio Castelao|Fortaleza |Uruguay|1.0|3.0|Costa Rica| </v>
      </c>
      <c r="M2466" s="42" t="str">
        <f>IF(COUNTIF($L$1689:L2466,L2466)&gt;1,"DOUBLON","OK")</f>
        <v>OK</v>
      </c>
      <c r="S2466" s="40" t="str">
        <v>Germany FR</v>
      </c>
      <c r="T2466" s="40" t="str">
        <f t="shared" si="182"/>
        <v>ERREUR</v>
      </c>
      <c r="U2466" s="40" t="str">
        <f t="shared" si="183"/>
        <v>RENOMMER</v>
      </c>
      <c r="V2466" s="40" t="str" cm="1">
        <f t="array" ref="V2466">_xlfn.IFS(
ISNUMBER(SEARCH("USA",S2466)),"United States",
ISNUMBER(SEARCH("Republic of Ireland",S2466)),"Ireland",
ISNUMBER(SEARCH("Republic of Korea",S2466)),"South Korea",
ISNUMBER(SEARCH("Cape Verde",S2466)),"Cabo Verde",
ISNUMBER(SEARCH("Czechia",S2466)),"Czech Republic",
ISNUMBER(SEARCH("Türkiye",S2466)),"Turkey",
ISNUMBER(SEARCH("Ivory Coast",S2466)),"Côte d'Ivoire",
ISNUMBER(SEARCH("Korea Republic",S2466)),"South Korea",
ISNUMBER(SEARCH("Germany FR",S2466)),"FR Germany",
ISNUMBER(SEARCH("West Germany",S2466)),"FR Germany",
ISNUMBER(SEARCH("Germany DR",S2466)),"DR Germany",
ISNUMBER(SEARCH("Korea DPR",S2466)),"North Korea",
ISNUMBER(SEARCH("China PR",S2466)),"China",
ISNUMBER(SEARCH("IR Iran",S2466)),"Iran",
ISNUMBER(SEARCH("Congo DR",S2466)),"Democratic Republic of the Congo",
ISNUMBER(SEARCH("DR Congo",S2466)),"Democratic Republic of the Congo",
ISNUMBER(SEARCH("German DR",S2466)),"DR Germany",
ISNUMBER(SEARCH("rn""&gt;United Arab Emirates",S2466)),"United Arab Emirates",
ISNUMBER(SEARCH("rn""&gt;Republic of Ireland",S2466)),"Ireland",
ISNUMBER(SEARCH("rn""&gt;Bosnia and Herzegovina",S2466)),"Bosnia and Herzegovina",
ISNUMBER(SEARCH("rn""&gt;Trinidad and Tobago",S2466)),"Trinidad and Tobago",
ISNUMBER(SEARCH("rn""&gt;Serbia and Montenegro",S2466)),"Serbia and Montenegro",
ISNUMBER(SEARCH(_xlfn.UNICHAR(65533),S2466)),"Côte d'Ivoire",
TRUE,""
)</f>
        <v>FR Germany</v>
      </c>
      <c r="W2466" s="40" t="str">
        <f t="shared" si="184"/>
        <v>FR Germany</v>
      </c>
    </row>
    <row r="2467" spans="2:23">
      <c r="B2467" s="76" t="str">
        <v>2014.0</v>
      </c>
      <c r="C2467" s="42" t="str">
        <v xml:space="preserve">14 Jun 2014 - 18:00 </v>
      </c>
      <c r="D2467" s="42" t="str">
        <v>Group D</v>
      </c>
      <c r="E2467" s="42" t="str">
        <v>Arena Amazonia</v>
      </c>
      <c r="F2467" s="42" t="str">
        <v xml:space="preserve">Manaus </v>
      </c>
      <c r="G2467" s="42" t="str">
        <v>England</v>
      </c>
      <c r="H2467" s="42" t="str">
        <v>1.0</v>
      </c>
      <c r="I2467" s="42" t="str">
        <v>2.0</v>
      </c>
      <c r="J2467" s="42" t="str">
        <v>Italy</v>
      </c>
      <c r="K2467" s="42" t="str">
        <v xml:space="preserve"> </v>
      </c>
      <c r="L2467" s="42" t="str">
        <f t="shared" si="185"/>
        <v xml:space="preserve">2014.0|14 Jun 2014 - 18:00 |Group D|Arena Amazonia|Manaus |England|1.0|2.0|Italy| </v>
      </c>
      <c r="M2467" s="42" t="str">
        <f>IF(COUNTIF($L$1689:L2467,L2467)&gt;1,"DOUBLON","OK")</f>
        <v>OK</v>
      </c>
      <c r="S2467" s="40" t="str">
        <v>Hungary</v>
      </c>
      <c r="T2467" s="40" t="str">
        <f t="shared" si="182"/>
        <v>OK</v>
      </c>
      <c r="U2467" s="40" t="str">
        <f t="shared" si="183"/>
        <v>-</v>
      </c>
      <c r="V2467" s="40" t="str" cm="1">
        <f t="array" ref="V2467">_xlfn.IFS(
ISNUMBER(SEARCH("USA",S2467)),"United States",
ISNUMBER(SEARCH("Republic of Ireland",S2467)),"Ireland",
ISNUMBER(SEARCH("Republic of Korea",S2467)),"South Korea",
ISNUMBER(SEARCH("Cape Verde",S2467)),"Cabo Verde",
ISNUMBER(SEARCH("Czechia",S2467)),"Czech Republic",
ISNUMBER(SEARCH("Türkiye",S2467)),"Turkey",
ISNUMBER(SEARCH("Ivory Coast",S2467)),"Côte d'Ivoire",
ISNUMBER(SEARCH("Korea Republic",S2467)),"South Korea",
ISNUMBER(SEARCH("Germany FR",S2467)),"FR Germany",
ISNUMBER(SEARCH("West Germany",S2467)),"FR Germany",
ISNUMBER(SEARCH("Germany DR",S2467)),"DR Germany",
ISNUMBER(SEARCH("Korea DPR",S2467)),"North Korea",
ISNUMBER(SEARCH("China PR",S2467)),"China",
ISNUMBER(SEARCH("IR Iran",S2467)),"Iran",
ISNUMBER(SEARCH("Congo DR",S2467)),"Democratic Republic of the Congo",
ISNUMBER(SEARCH("DR Congo",S2467)),"Democratic Republic of the Congo",
ISNUMBER(SEARCH("German DR",S2467)),"DR Germany",
ISNUMBER(SEARCH("rn""&gt;United Arab Emirates",S2467)),"United Arab Emirates",
ISNUMBER(SEARCH("rn""&gt;Republic of Ireland",S2467)),"Ireland",
ISNUMBER(SEARCH("rn""&gt;Bosnia and Herzegovina",S2467)),"Bosnia and Herzegovina",
ISNUMBER(SEARCH("rn""&gt;Trinidad and Tobago",S2467)),"Trinidad and Tobago",
ISNUMBER(SEARCH("rn""&gt;Serbia and Montenegro",S2467)),"Serbia and Montenegro",
ISNUMBER(SEARCH(_xlfn.UNICHAR(65533),S2467)),"Côte d'Ivoire",
TRUE,""
)</f>
        <v/>
      </c>
      <c r="W2467" s="40" t="str">
        <f t="shared" si="184"/>
        <v>Hungary</v>
      </c>
    </row>
    <row r="2468" spans="2:23">
      <c r="B2468" s="76" t="str">
        <v>2014.0</v>
      </c>
      <c r="C2468" s="42" t="str">
        <v xml:space="preserve">14 Jun 2014 - 22:00 </v>
      </c>
      <c r="D2468" s="42" t="str">
        <v>Group C</v>
      </c>
      <c r="E2468" s="42" t="str">
        <v>Arena Pernambuco</v>
      </c>
      <c r="F2468" s="42" t="str">
        <v xml:space="preserve">Recife </v>
      </c>
      <c r="G2468" s="42" t="str">
        <v>C�te d'Ivoire</v>
      </c>
      <c r="H2468" s="42" t="str">
        <v>2.0</v>
      </c>
      <c r="I2468" s="42" t="str">
        <v>1.0</v>
      </c>
      <c r="J2468" s="42" t="str">
        <v>Japan</v>
      </c>
      <c r="K2468" s="42" t="str">
        <v xml:space="preserve"> </v>
      </c>
      <c r="L2468" s="42" t="str">
        <f t="shared" si="185"/>
        <v xml:space="preserve">2014.0|14 Jun 2014 - 22:00 |Group C|Arena Pernambuco|Recife |C�te d'Ivoire|2.0|1.0|Japan| </v>
      </c>
      <c r="M2468" s="42" t="str">
        <f>IF(COUNTIF($L$1689:L2468,L2468)&gt;1,"DOUBLON","OK")</f>
        <v>OK</v>
      </c>
      <c r="S2468" s="40" t="str">
        <v>Germany FR</v>
      </c>
      <c r="T2468" s="40" t="str">
        <f t="shared" si="182"/>
        <v>ERREUR</v>
      </c>
      <c r="U2468" s="40" t="str">
        <f t="shared" si="183"/>
        <v>RENOMMER</v>
      </c>
      <c r="V2468" s="40" t="str" cm="1">
        <f t="array" ref="V2468">_xlfn.IFS(
ISNUMBER(SEARCH("USA",S2468)),"United States",
ISNUMBER(SEARCH("Republic of Ireland",S2468)),"Ireland",
ISNUMBER(SEARCH("Republic of Korea",S2468)),"South Korea",
ISNUMBER(SEARCH("Cape Verde",S2468)),"Cabo Verde",
ISNUMBER(SEARCH("Czechia",S2468)),"Czech Republic",
ISNUMBER(SEARCH("Türkiye",S2468)),"Turkey",
ISNUMBER(SEARCH("Ivory Coast",S2468)),"Côte d'Ivoire",
ISNUMBER(SEARCH("Korea Republic",S2468)),"South Korea",
ISNUMBER(SEARCH("Germany FR",S2468)),"FR Germany",
ISNUMBER(SEARCH("West Germany",S2468)),"FR Germany",
ISNUMBER(SEARCH("Germany DR",S2468)),"DR Germany",
ISNUMBER(SEARCH("Korea DPR",S2468)),"North Korea",
ISNUMBER(SEARCH("China PR",S2468)),"China",
ISNUMBER(SEARCH("IR Iran",S2468)),"Iran",
ISNUMBER(SEARCH("Congo DR",S2468)),"Democratic Republic of the Congo",
ISNUMBER(SEARCH("DR Congo",S2468)),"Democratic Republic of the Congo",
ISNUMBER(SEARCH("German DR",S2468)),"DR Germany",
ISNUMBER(SEARCH("rn""&gt;United Arab Emirates",S2468)),"United Arab Emirates",
ISNUMBER(SEARCH("rn""&gt;Republic of Ireland",S2468)),"Ireland",
ISNUMBER(SEARCH("rn""&gt;Bosnia and Herzegovina",S2468)),"Bosnia and Herzegovina",
ISNUMBER(SEARCH("rn""&gt;Trinidad and Tobago",S2468)),"Trinidad and Tobago",
ISNUMBER(SEARCH("rn""&gt;Serbia and Montenegro",S2468)),"Serbia and Montenegro",
ISNUMBER(SEARCH(_xlfn.UNICHAR(65533),S2468)),"Côte d'Ivoire",
TRUE,""
)</f>
        <v>FR Germany</v>
      </c>
      <c r="W2468" s="40" t="str">
        <f t="shared" si="184"/>
        <v>FR Germany</v>
      </c>
    </row>
    <row r="2469" spans="2:23">
      <c r="B2469" s="76" t="str">
        <v>2014.0</v>
      </c>
      <c r="C2469" s="42" t="str">
        <v xml:space="preserve">15 Jun 2014 - 13:00 </v>
      </c>
      <c r="D2469" s="42" t="str">
        <v>Group E</v>
      </c>
      <c r="E2469" s="42" t="str">
        <v>Estadio Nacional</v>
      </c>
      <c r="F2469" s="42" t="str">
        <v xml:space="preserve">Brasilia </v>
      </c>
      <c r="G2469" s="42" t="str">
        <v>Switzerland</v>
      </c>
      <c r="H2469" s="42" t="str">
        <v>2.0</v>
      </c>
      <c r="I2469" s="42" t="str">
        <v>1.0</v>
      </c>
      <c r="J2469" s="42" t="str">
        <v>Ecuador</v>
      </c>
      <c r="K2469" s="42" t="str">
        <v xml:space="preserve"> </v>
      </c>
      <c r="L2469" s="42" t="str">
        <f t="shared" si="185"/>
        <v xml:space="preserve">2014.0|15 Jun 2014 - 13:00 |Group E|Estadio Nacional|Brasilia |Switzerland|2.0|1.0|Ecuador| </v>
      </c>
      <c r="M2469" s="42" t="str">
        <f>IF(COUNTIF($L$1689:L2469,L2469)&gt;1,"DOUBLON","OK")</f>
        <v>OK</v>
      </c>
      <c r="S2469" s="40" t="str">
        <v>Hungary</v>
      </c>
      <c r="T2469" s="40" t="str">
        <f t="shared" si="182"/>
        <v>OK</v>
      </c>
      <c r="U2469" s="40" t="str">
        <f t="shared" si="183"/>
        <v>-</v>
      </c>
      <c r="V2469" s="40" t="str" cm="1">
        <f t="array" ref="V2469">_xlfn.IFS(
ISNUMBER(SEARCH("USA",S2469)),"United States",
ISNUMBER(SEARCH("Republic of Ireland",S2469)),"Ireland",
ISNUMBER(SEARCH("Republic of Korea",S2469)),"South Korea",
ISNUMBER(SEARCH("Cape Verde",S2469)),"Cabo Verde",
ISNUMBER(SEARCH("Czechia",S2469)),"Czech Republic",
ISNUMBER(SEARCH("Türkiye",S2469)),"Turkey",
ISNUMBER(SEARCH("Ivory Coast",S2469)),"Côte d'Ivoire",
ISNUMBER(SEARCH("Korea Republic",S2469)),"South Korea",
ISNUMBER(SEARCH("Germany FR",S2469)),"FR Germany",
ISNUMBER(SEARCH("West Germany",S2469)),"FR Germany",
ISNUMBER(SEARCH("Germany DR",S2469)),"DR Germany",
ISNUMBER(SEARCH("Korea DPR",S2469)),"North Korea",
ISNUMBER(SEARCH("China PR",S2469)),"China",
ISNUMBER(SEARCH("IR Iran",S2469)),"Iran",
ISNUMBER(SEARCH("Congo DR",S2469)),"Democratic Republic of the Congo",
ISNUMBER(SEARCH("DR Congo",S2469)),"Democratic Republic of the Congo",
ISNUMBER(SEARCH("German DR",S2469)),"DR Germany",
ISNUMBER(SEARCH("rn""&gt;United Arab Emirates",S2469)),"United Arab Emirates",
ISNUMBER(SEARCH("rn""&gt;Republic of Ireland",S2469)),"Ireland",
ISNUMBER(SEARCH("rn""&gt;Bosnia and Herzegovina",S2469)),"Bosnia and Herzegovina",
ISNUMBER(SEARCH("rn""&gt;Trinidad and Tobago",S2469)),"Trinidad and Tobago",
ISNUMBER(SEARCH("rn""&gt;Serbia and Montenegro",S2469)),"Serbia and Montenegro",
ISNUMBER(SEARCH(_xlfn.UNICHAR(65533),S2469)),"Côte d'Ivoire",
TRUE,""
)</f>
        <v/>
      </c>
      <c r="W2469" s="40" t="str">
        <f t="shared" si="184"/>
        <v>Hungary</v>
      </c>
    </row>
    <row r="2470" spans="2:23">
      <c r="B2470" s="76" t="str">
        <v>2014.0</v>
      </c>
      <c r="C2470" s="42" t="str">
        <v xml:space="preserve">15 Jun 2014 - 16:00 </v>
      </c>
      <c r="D2470" s="42" t="str">
        <v>Group E</v>
      </c>
      <c r="E2470" s="42" t="str">
        <v>Estadio Beira-Rio</v>
      </c>
      <c r="F2470" s="42" t="str">
        <v xml:space="preserve">Porto Alegre </v>
      </c>
      <c r="G2470" s="42" t="str">
        <v>France</v>
      </c>
      <c r="H2470" s="42" t="str">
        <v>3.0</v>
      </c>
      <c r="I2470" s="42" t="str">
        <v>0.0</v>
      </c>
      <c r="J2470" s="42" t="str">
        <v>Honduras</v>
      </c>
      <c r="K2470" s="42" t="str">
        <v xml:space="preserve"> </v>
      </c>
      <c r="L2470" s="42" t="str">
        <f t="shared" si="185"/>
        <v xml:space="preserve">2014.0|15 Jun 2014 - 16:00 |Group E|Estadio Beira-Rio|Porto Alegre |France|3.0|0.0|Honduras| </v>
      </c>
      <c r="M2470" s="42" t="str">
        <f>IF(COUNTIF($L$1689:L2470,L2470)&gt;1,"DOUBLON","OK")</f>
        <v>OK</v>
      </c>
      <c r="S2470" s="40" t="str">
        <v>Austria</v>
      </c>
      <c r="T2470" s="40" t="str">
        <f t="shared" si="182"/>
        <v>OK</v>
      </c>
      <c r="U2470" s="40" t="str">
        <f t="shared" si="183"/>
        <v>-</v>
      </c>
      <c r="V2470" s="40" t="str" cm="1">
        <f t="array" ref="V2470">_xlfn.IFS(
ISNUMBER(SEARCH("USA",S2470)),"United States",
ISNUMBER(SEARCH("Republic of Ireland",S2470)),"Ireland",
ISNUMBER(SEARCH("Republic of Korea",S2470)),"South Korea",
ISNUMBER(SEARCH("Cape Verde",S2470)),"Cabo Verde",
ISNUMBER(SEARCH("Czechia",S2470)),"Czech Republic",
ISNUMBER(SEARCH("Türkiye",S2470)),"Turkey",
ISNUMBER(SEARCH("Ivory Coast",S2470)),"Côte d'Ivoire",
ISNUMBER(SEARCH("Korea Republic",S2470)),"South Korea",
ISNUMBER(SEARCH("Germany FR",S2470)),"FR Germany",
ISNUMBER(SEARCH("West Germany",S2470)),"FR Germany",
ISNUMBER(SEARCH("Germany DR",S2470)),"DR Germany",
ISNUMBER(SEARCH("Korea DPR",S2470)),"North Korea",
ISNUMBER(SEARCH("China PR",S2470)),"China",
ISNUMBER(SEARCH("IR Iran",S2470)),"Iran",
ISNUMBER(SEARCH("Congo DR",S2470)),"Democratic Republic of the Congo",
ISNUMBER(SEARCH("DR Congo",S2470)),"Democratic Republic of the Congo",
ISNUMBER(SEARCH("German DR",S2470)),"DR Germany",
ISNUMBER(SEARCH("rn""&gt;United Arab Emirates",S2470)),"United Arab Emirates",
ISNUMBER(SEARCH("rn""&gt;Republic of Ireland",S2470)),"Ireland",
ISNUMBER(SEARCH("rn""&gt;Bosnia and Herzegovina",S2470)),"Bosnia and Herzegovina",
ISNUMBER(SEARCH("rn""&gt;Trinidad and Tobago",S2470)),"Trinidad and Tobago",
ISNUMBER(SEARCH("rn""&gt;Serbia and Montenegro",S2470)),"Serbia and Montenegro",
ISNUMBER(SEARCH(_xlfn.UNICHAR(65533),S2470)),"Côte d'Ivoire",
TRUE,""
)</f>
        <v/>
      </c>
      <c r="W2470" s="40" t="str">
        <f t="shared" si="184"/>
        <v>Austria</v>
      </c>
    </row>
    <row r="2471" spans="2:23">
      <c r="B2471" s="76" t="str">
        <v>2014.0</v>
      </c>
      <c r="C2471" s="42" t="str">
        <v xml:space="preserve">15 Jun 2014 - 19:00 </v>
      </c>
      <c r="D2471" s="42" t="str">
        <v>Group F</v>
      </c>
      <c r="E2471" s="42" t="str">
        <v>Estadio do Maracana</v>
      </c>
      <c r="F2471" s="42" t="str">
        <v xml:space="preserve">Rio De Janeiro </v>
      </c>
      <c r="G2471" s="42" t="str">
        <v>Argentina</v>
      </c>
      <c r="H2471" s="42" t="str">
        <v>2.0</v>
      </c>
      <c r="I2471" s="42" t="str">
        <v>1.0</v>
      </c>
      <c r="J2471" s="42" t="str">
        <v>rn"&gt;Bosnia and Herzegovina</v>
      </c>
      <c r="K2471" s="42" t="str">
        <v xml:space="preserve"> </v>
      </c>
      <c r="L2471" s="42" t="str">
        <f t="shared" si="185"/>
        <v xml:space="preserve">2014.0|15 Jun 2014 - 19:00 |Group F|Estadio do Maracana|Rio De Janeiro |Argentina|2.0|1.0|rn"&gt;Bosnia and Herzegovina| </v>
      </c>
      <c r="M2471" s="42" t="str">
        <f>IF(COUNTIF($L$1689:L2471,L2471)&gt;1,"DOUBLON","OK")</f>
        <v>OK</v>
      </c>
      <c r="S2471" s="40" t="str">
        <v>Germany FR</v>
      </c>
      <c r="T2471" s="40" t="str">
        <f t="shared" si="182"/>
        <v>ERREUR</v>
      </c>
      <c r="U2471" s="40" t="str">
        <f t="shared" si="183"/>
        <v>RENOMMER</v>
      </c>
      <c r="V2471" s="40" t="str" cm="1">
        <f t="array" ref="V2471">_xlfn.IFS(
ISNUMBER(SEARCH("USA",S2471)),"United States",
ISNUMBER(SEARCH("Republic of Ireland",S2471)),"Ireland",
ISNUMBER(SEARCH("Republic of Korea",S2471)),"South Korea",
ISNUMBER(SEARCH("Cape Verde",S2471)),"Cabo Verde",
ISNUMBER(SEARCH("Czechia",S2471)),"Czech Republic",
ISNUMBER(SEARCH("Türkiye",S2471)),"Turkey",
ISNUMBER(SEARCH("Ivory Coast",S2471)),"Côte d'Ivoire",
ISNUMBER(SEARCH("Korea Republic",S2471)),"South Korea",
ISNUMBER(SEARCH("Germany FR",S2471)),"FR Germany",
ISNUMBER(SEARCH("West Germany",S2471)),"FR Germany",
ISNUMBER(SEARCH("Germany DR",S2471)),"DR Germany",
ISNUMBER(SEARCH("Korea DPR",S2471)),"North Korea",
ISNUMBER(SEARCH("China PR",S2471)),"China",
ISNUMBER(SEARCH("IR Iran",S2471)),"Iran",
ISNUMBER(SEARCH("Congo DR",S2471)),"Democratic Republic of the Congo",
ISNUMBER(SEARCH("DR Congo",S2471)),"Democratic Republic of the Congo",
ISNUMBER(SEARCH("German DR",S2471)),"DR Germany",
ISNUMBER(SEARCH("rn""&gt;United Arab Emirates",S2471)),"United Arab Emirates",
ISNUMBER(SEARCH("rn""&gt;Republic of Ireland",S2471)),"Ireland",
ISNUMBER(SEARCH("rn""&gt;Bosnia and Herzegovina",S2471)),"Bosnia and Herzegovina",
ISNUMBER(SEARCH("rn""&gt;Trinidad and Tobago",S2471)),"Trinidad and Tobago",
ISNUMBER(SEARCH("rn""&gt;Serbia and Montenegro",S2471)),"Serbia and Montenegro",
ISNUMBER(SEARCH(_xlfn.UNICHAR(65533),S2471)),"Côte d'Ivoire",
TRUE,""
)</f>
        <v>FR Germany</v>
      </c>
      <c r="W2471" s="40" t="str">
        <f t="shared" si="184"/>
        <v>FR Germany</v>
      </c>
    </row>
    <row r="2472" spans="2:23">
      <c r="B2472" s="76" t="str">
        <v>2014.0</v>
      </c>
      <c r="C2472" s="42" t="str">
        <v xml:space="preserve">16 Jun 2014 - 13:00 </v>
      </c>
      <c r="D2472" s="42" t="str">
        <v>Group G</v>
      </c>
      <c r="E2472" s="42" t="str">
        <v>Arena Fonte Nova</v>
      </c>
      <c r="F2472" s="42" t="str">
        <v xml:space="preserve">Salvador </v>
      </c>
      <c r="G2472" s="42" t="str">
        <v>Germany</v>
      </c>
      <c r="H2472" s="42" t="str">
        <v>4.0</v>
      </c>
      <c r="I2472" s="42" t="str">
        <v>0.0</v>
      </c>
      <c r="J2472" s="42" t="str">
        <v>Portugal</v>
      </c>
      <c r="K2472" s="42" t="str">
        <v xml:space="preserve"> </v>
      </c>
      <c r="L2472" s="42" t="str">
        <f t="shared" si="185"/>
        <v xml:space="preserve">2014.0|16 Jun 2014 - 13:00 |Group G|Arena Fonte Nova|Salvador |Germany|4.0|0.0|Portugal| </v>
      </c>
      <c r="M2472" s="42" t="str">
        <f>IF(COUNTIF($L$1689:L2472,L2472)&gt;1,"DOUBLON","OK")</f>
        <v>OK</v>
      </c>
      <c r="S2472" s="40" t="str">
        <v>Sweden</v>
      </c>
      <c r="T2472" s="40" t="str">
        <f t="shared" si="182"/>
        <v>OK</v>
      </c>
      <c r="U2472" s="40" t="str">
        <f t="shared" si="183"/>
        <v>-</v>
      </c>
      <c r="V2472" s="40" t="str" cm="1">
        <f t="array" ref="V2472">_xlfn.IFS(
ISNUMBER(SEARCH("USA",S2472)),"United States",
ISNUMBER(SEARCH("Republic of Ireland",S2472)),"Ireland",
ISNUMBER(SEARCH("Republic of Korea",S2472)),"South Korea",
ISNUMBER(SEARCH("Cape Verde",S2472)),"Cabo Verde",
ISNUMBER(SEARCH("Czechia",S2472)),"Czech Republic",
ISNUMBER(SEARCH("Türkiye",S2472)),"Turkey",
ISNUMBER(SEARCH("Ivory Coast",S2472)),"Côte d'Ivoire",
ISNUMBER(SEARCH("Korea Republic",S2472)),"South Korea",
ISNUMBER(SEARCH("Germany FR",S2472)),"FR Germany",
ISNUMBER(SEARCH("West Germany",S2472)),"FR Germany",
ISNUMBER(SEARCH("Germany DR",S2472)),"DR Germany",
ISNUMBER(SEARCH("Korea DPR",S2472)),"North Korea",
ISNUMBER(SEARCH("China PR",S2472)),"China",
ISNUMBER(SEARCH("IR Iran",S2472)),"Iran",
ISNUMBER(SEARCH("Congo DR",S2472)),"Democratic Republic of the Congo",
ISNUMBER(SEARCH("DR Congo",S2472)),"Democratic Republic of the Congo",
ISNUMBER(SEARCH("German DR",S2472)),"DR Germany",
ISNUMBER(SEARCH("rn""&gt;United Arab Emirates",S2472)),"United Arab Emirates",
ISNUMBER(SEARCH("rn""&gt;Republic of Ireland",S2472)),"Ireland",
ISNUMBER(SEARCH("rn""&gt;Bosnia and Herzegovina",S2472)),"Bosnia and Herzegovina",
ISNUMBER(SEARCH("rn""&gt;Trinidad and Tobago",S2472)),"Trinidad and Tobago",
ISNUMBER(SEARCH("rn""&gt;Serbia and Montenegro",S2472)),"Serbia and Montenegro",
ISNUMBER(SEARCH(_xlfn.UNICHAR(65533),S2472)),"Côte d'Ivoire",
TRUE,""
)</f>
        <v/>
      </c>
      <c r="W2472" s="40" t="str">
        <f t="shared" si="184"/>
        <v>Sweden</v>
      </c>
    </row>
    <row r="2473" spans="2:23">
      <c r="B2473" s="76" t="str">
        <v>2014.0</v>
      </c>
      <c r="C2473" s="42" t="str">
        <v xml:space="preserve">16 Jun 2014 - 16:00 </v>
      </c>
      <c r="D2473" s="42" t="str">
        <v>Group F</v>
      </c>
      <c r="E2473" s="42" t="str">
        <v>Arena da Baixada</v>
      </c>
      <c r="F2473" s="42" t="str">
        <v xml:space="preserve">Curitiba </v>
      </c>
      <c r="G2473" s="42" t="str">
        <v>IR Iran</v>
      </c>
      <c r="H2473" s="42" t="str">
        <v>0.0</v>
      </c>
      <c r="I2473" s="42" t="str">
        <v>0.0</v>
      </c>
      <c r="J2473" s="42" t="str">
        <v>Nigeria</v>
      </c>
      <c r="K2473" s="42" t="str">
        <v xml:space="preserve"> </v>
      </c>
      <c r="L2473" s="42" t="str">
        <f t="shared" si="185"/>
        <v xml:space="preserve">2014.0|16 Jun 2014 - 16:00 |Group F|Arena da Baixada|Curitiba |IR Iran|0.0|0.0|Nigeria| </v>
      </c>
      <c r="M2473" s="42" t="str">
        <f>IF(COUNTIF($L$1689:L2473,L2473)&gt;1,"DOUBLON","OK")</f>
        <v>OK</v>
      </c>
      <c r="S2473" s="40" t="str">
        <v>Soviet Union</v>
      </c>
      <c r="T2473" s="40" t="str">
        <f t="shared" si="182"/>
        <v>ERREUR</v>
      </c>
      <c r="U2473" s="40" t="str">
        <f t="shared" si="183"/>
        <v>AUCUNE</v>
      </c>
      <c r="V2473" s="40" t="str" cm="1">
        <f t="array" ref="V2473">_xlfn.IFS(
ISNUMBER(SEARCH("USA",S2473)),"United States",
ISNUMBER(SEARCH("Republic of Ireland",S2473)),"Ireland",
ISNUMBER(SEARCH("Republic of Korea",S2473)),"South Korea",
ISNUMBER(SEARCH("Cape Verde",S2473)),"Cabo Verde",
ISNUMBER(SEARCH("Czechia",S2473)),"Czech Republic",
ISNUMBER(SEARCH("Türkiye",S2473)),"Turkey",
ISNUMBER(SEARCH("Ivory Coast",S2473)),"Côte d'Ivoire",
ISNUMBER(SEARCH("Korea Republic",S2473)),"South Korea",
ISNUMBER(SEARCH("Germany FR",S2473)),"FR Germany",
ISNUMBER(SEARCH("West Germany",S2473)),"FR Germany",
ISNUMBER(SEARCH("Germany DR",S2473)),"DR Germany",
ISNUMBER(SEARCH("Korea DPR",S2473)),"North Korea",
ISNUMBER(SEARCH("China PR",S2473)),"China",
ISNUMBER(SEARCH("IR Iran",S2473)),"Iran",
ISNUMBER(SEARCH("Congo DR",S2473)),"Democratic Republic of the Congo",
ISNUMBER(SEARCH("DR Congo",S2473)),"Democratic Republic of the Congo",
ISNUMBER(SEARCH("German DR",S2473)),"DR Germany",
ISNUMBER(SEARCH("rn""&gt;United Arab Emirates",S2473)),"United Arab Emirates",
ISNUMBER(SEARCH("rn""&gt;Republic of Ireland",S2473)),"Ireland",
ISNUMBER(SEARCH("rn""&gt;Bosnia and Herzegovina",S2473)),"Bosnia and Herzegovina",
ISNUMBER(SEARCH("rn""&gt;Trinidad and Tobago",S2473)),"Trinidad and Tobago",
ISNUMBER(SEARCH("rn""&gt;Serbia and Montenegro",S2473)),"Serbia and Montenegro",
ISNUMBER(SEARCH(_xlfn.UNICHAR(65533),S2473)),"Côte d'Ivoire",
TRUE,""
)</f>
        <v/>
      </c>
      <c r="W2473" s="40" t="str">
        <f t="shared" si="184"/>
        <v>Soviet Union</v>
      </c>
    </row>
    <row r="2474" spans="2:23">
      <c r="B2474" s="76" t="str">
        <v>2014.0</v>
      </c>
      <c r="C2474" s="42" t="str">
        <v xml:space="preserve">16 Jun 2014 - 19:00 </v>
      </c>
      <c r="D2474" s="42" t="str">
        <v>Group G</v>
      </c>
      <c r="E2474" s="42" t="str">
        <v>Estadio das Dunas</v>
      </c>
      <c r="F2474" s="42" t="str">
        <v xml:space="preserve">Natal </v>
      </c>
      <c r="G2474" s="42" t="str">
        <v>Ghana</v>
      </c>
      <c r="H2474" s="42" t="str">
        <v>1.0</v>
      </c>
      <c r="I2474" s="42" t="str">
        <v>2.0</v>
      </c>
      <c r="J2474" s="42" t="str">
        <v>USA</v>
      </c>
      <c r="K2474" s="42" t="str">
        <v xml:space="preserve"> </v>
      </c>
      <c r="L2474" s="42" t="str">
        <f t="shared" si="185"/>
        <v xml:space="preserve">2014.0|16 Jun 2014 - 19:00 |Group G|Estadio das Dunas|Natal |Ghana|1.0|2.0|USA| </v>
      </c>
      <c r="M2474" s="42" t="str">
        <f>IF(COUNTIF($L$1689:L2474,L2474)&gt;1,"DOUBLON","OK")</f>
        <v>OK</v>
      </c>
      <c r="S2474" s="40" t="str">
        <v>Argentina</v>
      </c>
      <c r="T2474" s="40" t="str">
        <f t="shared" si="182"/>
        <v>OK</v>
      </c>
      <c r="U2474" s="40" t="str">
        <f t="shared" si="183"/>
        <v>-</v>
      </c>
      <c r="V2474" s="40" t="str" cm="1">
        <f t="array" ref="V2474">_xlfn.IFS(
ISNUMBER(SEARCH("USA",S2474)),"United States",
ISNUMBER(SEARCH("Republic of Ireland",S2474)),"Ireland",
ISNUMBER(SEARCH("Republic of Korea",S2474)),"South Korea",
ISNUMBER(SEARCH("Cape Verde",S2474)),"Cabo Verde",
ISNUMBER(SEARCH("Czechia",S2474)),"Czech Republic",
ISNUMBER(SEARCH("Türkiye",S2474)),"Turkey",
ISNUMBER(SEARCH("Ivory Coast",S2474)),"Côte d'Ivoire",
ISNUMBER(SEARCH("Korea Republic",S2474)),"South Korea",
ISNUMBER(SEARCH("Germany FR",S2474)),"FR Germany",
ISNUMBER(SEARCH("West Germany",S2474)),"FR Germany",
ISNUMBER(SEARCH("Germany DR",S2474)),"DR Germany",
ISNUMBER(SEARCH("Korea DPR",S2474)),"North Korea",
ISNUMBER(SEARCH("China PR",S2474)),"China",
ISNUMBER(SEARCH("IR Iran",S2474)),"Iran",
ISNUMBER(SEARCH("Congo DR",S2474)),"Democratic Republic of the Congo",
ISNUMBER(SEARCH("DR Congo",S2474)),"Democratic Republic of the Congo",
ISNUMBER(SEARCH("German DR",S2474)),"DR Germany",
ISNUMBER(SEARCH("rn""&gt;United Arab Emirates",S2474)),"United Arab Emirates",
ISNUMBER(SEARCH("rn""&gt;Republic of Ireland",S2474)),"Ireland",
ISNUMBER(SEARCH("rn""&gt;Bosnia and Herzegovina",S2474)),"Bosnia and Herzegovina",
ISNUMBER(SEARCH("rn""&gt;Trinidad and Tobago",S2474)),"Trinidad and Tobago",
ISNUMBER(SEARCH("rn""&gt;Serbia and Montenegro",S2474)),"Serbia and Montenegro",
ISNUMBER(SEARCH(_xlfn.UNICHAR(65533),S2474)),"Côte d'Ivoire",
TRUE,""
)</f>
        <v/>
      </c>
      <c r="W2474" s="40" t="str">
        <f t="shared" si="184"/>
        <v>Argentina</v>
      </c>
    </row>
    <row r="2475" spans="2:23">
      <c r="B2475" s="76" t="str">
        <v>2014.0</v>
      </c>
      <c r="C2475" s="42" t="str">
        <v xml:space="preserve">17 Jun 2014 - 13:00 </v>
      </c>
      <c r="D2475" s="42" t="str">
        <v>Group H</v>
      </c>
      <c r="E2475" s="42" t="str">
        <v>Estadio Mineirao</v>
      </c>
      <c r="F2475" s="42" t="str">
        <v xml:space="preserve">Belo Horizonte </v>
      </c>
      <c r="G2475" s="42" t="str">
        <v>Belgium</v>
      </c>
      <c r="H2475" s="42" t="str">
        <v>2.0</v>
      </c>
      <c r="I2475" s="42" t="str">
        <v>1.0</v>
      </c>
      <c r="J2475" s="42" t="str">
        <v>Algeria</v>
      </c>
      <c r="K2475" s="42" t="str">
        <v xml:space="preserve"> </v>
      </c>
      <c r="L2475" s="42" t="str">
        <f t="shared" si="185"/>
        <v xml:space="preserve">2014.0|17 Jun 2014 - 13:00 |Group H|Estadio Mineirao|Belo Horizonte |Belgium|2.0|1.0|Algeria| </v>
      </c>
      <c r="M2475" s="42" t="str">
        <f>IF(COUNTIF($L$1689:L2475,L2475)&gt;1,"DOUBLON","OK")</f>
        <v>OK</v>
      </c>
      <c r="S2475" s="40" t="str">
        <v>Hungary</v>
      </c>
      <c r="T2475" s="40" t="str">
        <f t="shared" si="182"/>
        <v>OK</v>
      </c>
      <c r="U2475" s="40" t="str">
        <f t="shared" si="183"/>
        <v>-</v>
      </c>
      <c r="V2475" s="40" t="str" cm="1">
        <f t="array" ref="V2475">_xlfn.IFS(
ISNUMBER(SEARCH("USA",S2475)),"United States",
ISNUMBER(SEARCH("Republic of Ireland",S2475)),"Ireland",
ISNUMBER(SEARCH("Republic of Korea",S2475)),"South Korea",
ISNUMBER(SEARCH("Cape Verde",S2475)),"Cabo Verde",
ISNUMBER(SEARCH("Czechia",S2475)),"Czech Republic",
ISNUMBER(SEARCH("Türkiye",S2475)),"Turkey",
ISNUMBER(SEARCH("Ivory Coast",S2475)),"Côte d'Ivoire",
ISNUMBER(SEARCH("Korea Republic",S2475)),"South Korea",
ISNUMBER(SEARCH("Germany FR",S2475)),"FR Germany",
ISNUMBER(SEARCH("West Germany",S2475)),"FR Germany",
ISNUMBER(SEARCH("Germany DR",S2475)),"DR Germany",
ISNUMBER(SEARCH("Korea DPR",S2475)),"North Korea",
ISNUMBER(SEARCH("China PR",S2475)),"China",
ISNUMBER(SEARCH("IR Iran",S2475)),"Iran",
ISNUMBER(SEARCH("Congo DR",S2475)),"Democratic Republic of the Congo",
ISNUMBER(SEARCH("DR Congo",S2475)),"Democratic Republic of the Congo",
ISNUMBER(SEARCH("German DR",S2475)),"DR Germany",
ISNUMBER(SEARCH("rn""&gt;United Arab Emirates",S2475)),"United Arab Emirates",
ISNUMBER(SEARCH("rn""&gt;Republic of Ireland",S2475)),"Ireland",
ISNUMBER(SEARCH("rn""&gt;Bosnia and Herzegovina",S2475)),"Bosnia and Herzegovina",
ISNUMBER(SEARCH("rn""&gt;Trinidad and Tobago",S2475)),"Trinidad and Tobago",
ISNUMBER(SEARCH("rn""&gt;Serbia and Montenegro",S2475)),"Serbia and Montenegro",
ISNUMBER(SEARCH(_xlfn.UNICHAR(65533),S2475)),"Côte d'Ivoire",
TRUE,""
)</f>
        <v/>
      </c>
      <c r="W2475" s="40" t="str">
        <f t="shared" si="184"/>
        <v>Hungary</v>
      </c>
    </row>
    <row r="2476" spans="2:23">
      <c r="B2476" s="76" t="str">
        <v>2014.0</v>
      </c>
      <c r="C2476" s="42" t="str">
        <v xml:space="preserve">17 Jun 2014 - 16:00 </v>
      </c>
      <c r="D2476" s="42" t="str">
        <v>Group A</v>
      </c>
      <c r="E2476" s="42" t="str">
        <v>Estadio Castelao</v>
      </c>
      <c r="F2476" s="42" t="str">
        <v xml:space="preserve">Fortaleza </v>
      </c>
      <c r="G2476" s="42" t="str">
        <v>Brazil</v>
      </c>
      <c r="H2476" s="42" t="str">
        <v>0.0</v>
      </c>
      <c r="I2476" s="42" t="str">
        <v>0.0</v>
      </c>
      <c r="J2476" s="42" t="str">
        <v>Mexico</v>
      </c>
      <c r="K2476" s="42" t="str">
        <v xml:space="preserve"> </v>
      </c>
      <c r="L2476" s="42" t="str">
        <f t="shared" si="185"/>
        <v xml:space="preserve">2014.0|17 Jun 2014 - 16:00 |Group A|Estadio Castelao|Fortaleza |Brazil|0.0|0.0|Mexico| </v>
      </c>
      <c r="M2476" s="42" t="str">
        <f>IF(COUNTIF($L$1689:L2476,L2476)&gt;1,"DOUBLON","OK")</f>
        <v>OK</v>
      </c>
      <c r="S2476" s="40" t="str">
        <v>France</v>
      </c>
      <c r="T2476" s="40" t="str">
        <f t="shared" si="182"/>
        <v>OK</v>
      </c>
      <c r="U2476" s="40" t="str">
        <f t="shared" si="183"/>
        <v>-</v>
      </c>
      <c r="V2476" s="40" t="str" cm="1">
        <f t="array" ref="V2476">_xlfn.IFS(
ISNUMBER(SEARCH("USA",S2476)),"United States",
ISNUMBER(SEARCH("Republic of Ireland",S2476)),"Ireland",
ISNUMBER(SEARCH("Republic of Korea",S2476)),"South Korea",
ISNUMBER(SEARCH("Cape Verde",S2476)),"Cabo Verde",
ISNUMBER(SEARCH("Czechia",S2476)),"Czech Republic",
ISNUMBER(SEARCH("Türkiye",S2476)),"Turkey",
ISNUMBER(SEARCH("Ivory Coast",S2476)),"Côte d'Ivoire",
ISNUMBER(SEARCH("Korea Republic",S2476)),"South Korea",
ISNUMBER(SEARCH("Germany FR",S2476)),"FR Germany",
ISNUMBER(SEARCH("West Germany",S2476)),"FR Germany",
ISNUMBER(SEARCH("Germany DR",S2476)),"DR Germany",
ISNUMBER(SEARCH("Korea DPR",S2476)),"North Korea",
ISNUMBER(SEARCH("China PR",S2476)),"China",
ISNUMBER(SEARCH("IR Iran",S2476)),"Iran",
ISNUMBER(SEARCH("Congo DR",S2476)),"Democratic Republic of the Congo",
ISNUMBER(SEARCH("DR Congo",S2476)),"Democratic Republic of the Congo",
ISNUMBER(SEARCH("German DR",S2476)),"DR Germany",
ISNUMBER(SEARCH("rn""&gt;United Arab Emirates",S2476)),"United Arab Emirates",
ISNUMBER(SEARCH("rn""&gt;Republic of Ireland",S2476)),"Ireland",
ISNUMBER(SEARCH("rn""&gt;Bosnia and Herzegovina",S2476)),"Bosnia and Herzegovina",
ISNUMBER(SEARCH("rn""&gt;Trinidad and Tobago",S2476)),"Trinidad and Tobago",
ISNUMBER(SEARCH("rn""&gt;Serbia and Montenegro",S2476)),"Serbia and Montenegro",
ISNUMBER(SEARCH(_xlfn.UNICHAR(65533),S2476)),"Côte d'Ivoire",
TRUE,""
)</f>
        <v/>
      </c>
      <c r="W2476" s="40" t="str">
        <f t="shared" si="184"/>
        <v>France</v>
      </c>
    </row>
    <row r="2477" spans="2:23">
      <c r="B2477" s="76" t="str">
        <v>2014.0</v>
      </c>
      <c r="C2477" s="42" t="str">
        <v xml:space="preserve">17 Jun 2014 - 18:00 </v>
      </c>
      <c r="D2477" s="42" t="str">
        <v>Group H</v>
      </c>
      <c r="E2477" s="42" t="str">
        <v>Arena Pantanal</v>
      </c>
      <c r="F2477" s="42" t="str">
        <v xml:space="preserve">Cuiaba </v>
      </c>
      <c r="G2477" s="42" t="str">
        <v>Russia</v>
      </c>
      <c r="H2477" s="42" t="str">
        <v>1.0</v>
      </c>
      <c r="I2477" s="42" t="str">
        <v>1.0</v>
      </c>
      <c r="J2477" s="42" t="str">
        <v>Korea Republic</v>
      </c>
      <c r="K2477" s="42" t="str">
        <v xml:space="preserve"> </v>
      </c>
      <c r="L2477" s="42" t="str">
        <f t="shared" si="185"/>
        <v xml:space="preserve">2014.0|17 Jun 2014 - 18:00 |Group H|Arena Pantanal|Cuiaba |Russia|1.0|1.0|Korea Republic| </v>
      </c>
      <c r="M2477" s="42" t="str">
        <f>IF(COUNTIF($L$1689:L2477,L2477)&gt;1,"DOUBLON","OK")</f>
        <v>OK</v>
      </c>
      <c r="S2477" s="40" t="str">
        <v>Yugoslavia</v>
      </c>
      <c r="T2477" s="40" t="str">
        <f t="shared" si="182"/>
        <v>ERREUR</v>
      </c>
      <c r="U2477" s="40" t="str">
        <f t="shared" si="183"/>
        <v>AUCUNE</v>
      </c>
      <c r="V2477" s="40" t="str" cm="1">
        <f t="array" ref="V2477">_xlfn.IFS(
ISNUMBER(SEARCH("USA",S2477)),"United States",
ISNUMBER(SEARCH("Republic of Ireland",S2477)),"Ireland",
ISNUMBER(SEARCH("Republic of Korea",S2477)),"South Korea",
ISNUMBER(SEARCH("Cape Verde",S2477)),"Cabo Verde",
ISNUMBER(SEARCH("Czechia",S2477)),"Czech Republic",
ISNUMBER(SEARCH("Türkiye",S2477)),"Turkey",
ISNUMBER(SEARCH("Ivory Coast",S2477)),"Côte d'Ivoire",
ISNUMBER(SEARCH("Korea Republic",S2477)),"South Korea",
ISNUMBER(SEARCH("Germany FR",S2477)),"FR Germany",
ISNUMBER(SEARCH("West Germany",S2477)),"FR Germany",
ISNUMBER(SEARCH("Germany DR",S2477)),"DR Germany",
ISNUMBER(SEARCH("Korea DPR",S2477)),"North Korea",
ISNUMBER(SEARCH("China PR",S2477)),"China",
ISNUMBER(SEARCH("IR Iran",S2477)),"Iran",
ISNUMBER(SEARCH("Congo DR",S2477)),"Democratic Republic of the Congo",
ISNUMBER(SEARCH("DR Congo",S2477)),"Democratic Republic of the Congo",
ISNUMBER(SEARCH("German DR",S2477)),"DR Germany",
ISNUMBER(SEARCH("rn""&gt;United Arab Emirates",S2477)),"United Arab Emirates",
ISNUMBER(SEARCH("rn""&gt;Republic of Ireland",S2477)),"Ireland",
ISNUMBER(SEARCH("rn""&gt;Bosnia and Herzegovina",S2477)),"Bosnia and Herzegovina",
ISNUMBER(SEARCH("rn""&gt;Trinidad and Tobago",S2477)),"Trinidad and Tobago",
ISNUMBER(SEARCH("rn""&gt;Serbia and Montenegro",S2477)),"Serbia and Montenegro",
ISNUMBER(SEARCH(_xlfn.UNICHAR(65533),S2477)),"Côte d'Ivoire",
TRUE,""
)</f>
        <v/>
      </c>
      <c r="W2477" s="40" t="str">
        <f t="shared" si="184"/>
        <v>Yugoslavia</v>
      </c>
    </row>
    <row r="2478" spans="2:23">
      <c r="B2478" s="76" t="str">
        <v>2014.0</v>
      </c>
      <c r="C2478" s="42" t="str">
        <v xml:space="preserve">18 Jun 2014 - 13:00 </v>
      </c>
      <c r="D2478" s="42" t="str">
        <v>Group B</v>
      </c>
      <c r="E2478" s="42" t="str">
        <v>Estadio Beira-Rio</v>
      </c>
      <c r="F2478" s="42" t="str">
        <v xml:space="preserve">Porto Alegre </v>
      </c>
      <c r="G2478" s="42" t="str">
        <v>Australia</v>
      </c>
      <c r="H2478" s="42" t="str">
        <v>2.0</v>
      </c>
      <c r="I2478" s="42" t="str">
        <v>3.0</v>
      </c>
      <c r="J2478" s="42" t="str">
        <v>Netherlands</v>
      </c>
      <c r="K2478" s="42" t="str">
        <v xml:space="preserve"> </v>
      </c>
      <c r="L2478" s="42" t="str">
        <f t="shared" si="185"/>
        <v xml:space="preserve">2014.0|18 Jun 2014 - 13:00 |Group B|Estadio Beira-Rio|Porto Alegre |Australia|2.0|3.0|Netherlands| </v>
      </c>
      <c r="M2478" s="42" t="str">
        <f>IF(COUNTIF($L$1689:L2478,L2478)&gt;1,"DOUBLON","OK")</f>
        <v>OK</v>
      </c>
      <c r="S2478" s="40" t="str">
        <v>Brazil</v>
      </c>
      <c r="T2478" s="40" t="str">
        <f t="shared" si="182"/>
        <v>OK</v>
      </c>
      <c r="U2478" s="40" t="str">
        <f t="shared" si="183"/>
        <v>-</v>
      </c>
      <c r="V2478" s="40" t="str" cm="1">
        <f t="array" ref="V2478">_xlfn.IFS(
ISNUMBER(SEARCH("USA",S2478)),"United States",
ISNUMBER(SEARCH("Republic of Ireland",S2478)),"Ireland",
ISNUMBER(SEARCH("Republic of Korea",S2478)),"South Korea",
ISNUMBER(SEARCH("Cape Verde",S2478)),"Cabo Verde",
ISNUMBER(SEARCH("Czechia",S2478)),"Czech Republic",
ISNUMBER(SEARCH("Türkiye",S2478)),"Turkey",
ISNUMBER(SEARCH("Ivory Coast",S2478)),"Côte d'Ivoire",
ISNUMBER(SEARCH("Korea Republic",S2478)),"South Korea",
ISNUMBER(SEARCH("Germany FR",S2478)),"FR Germany",
ISNUMBER(SEARCH("West Germany",S2478)),"FR Germany",
ISNUMBER(SEARCH("Germany DR",S2478)),"DR Germany",
ISNUMBER(SEARCH("Korea DPR",S2478)),"North Korea",
ISNUMBER(SEARCH("China PR",S2478)),"China",
ISNUMBER(SEARCH("IR Iran",S2478)),"Iran",
ISNUMBER(SEARCH("Congo DR",S2478)),"Democratic Republic of the Congo",
ISNUMBER(SEARCH("DR Congo",S2478)),"Democratic Republic of the Congo",
ISNUMBER(SEARCH("German DR",S2478)),"DR Germany",
ISNUMBER(SEARCH("rn""&gt;United Arab Emirates",S2478)),"United Arab Emirates",
ISNUMBER(SEARCH("rn""&gt;Republic of Ireland",S2478)),"Ireland",
ISNUMBER(SEARCH("rn""&gt;Bosnia and Herzegovina",S2478)),"Bosnia and Herzegovina",
ISNUMBER(SEARCH("rn""&gt;Trinidad and Tobago",S2478)),"Trinidad and Tobago",
ISNUMBER(SEARCH("rn""&gt;Serbia and Montenegro",S2478)),"Serbia and Montenegro",
ISNUMBER(SEARCH(_xlfn.UNICHAR(65533),S2478)),"Côte d'Ivoire",
TRUE,""
)</f>
        <v/>
      </c>
      <c r="W2478" s="40" t="str">
        <f t="shared" si="184"/>
        <v>Brazil</v>
      </c>
    </row>
    <row r="2479" spans="2:23">
      <c r="B2479" s="76" t="str">
        <v>2014.0</v>
      </c>
      <c r="C2479" s="42" t="str">
        <v xml:space="preserve">18 Jun 2014 - 16:00 </v>
      </c>
      <c r="D2479" s="42" t="str">
        <v>Group B</v>
      </c>
      <c r="E2479" s="42" t="str">
        <v>Estadio do Maracana</v>
      </c>
      <c r="F2479" s="42" t="str">
        <v xml:space="preserve">Rio De Janeiro </v>
      </c>
      <c r="G2479" s="42" t="str">
        <v>Spain</v>
      </c>
      <c r="H2479" s="42" t="str">
        <v>0.0</v>
      </c>
      <c r="I2479" s="42" t="str">
        <v>2.0</v>
      </c>
      <c r="J2479" s="42" t="str">
        <v>Chile</v>
      </c>
      <c r="K2479" s="42" t="str">
        <v xml:space="preserve"> </v>
      </c>
      <c r="L2479" s="42" t="str">
        <f t="shared" si="185"/>
        <v xml:space="preserve">2014.0|18 Jun 2014 - 16:00 |Group B|Estadio do Maracana|Rio De Janeiro |Spain|0.0|2.0|Chile| </v>
      </c>
      <c r="M2479" s="42" t="str">
        <f>IF(COUNTIF($L$1689:L2479,L2479)&gt;1,"DOUBLON","OK")</f>
        <v>OK</v>
      </c>
      <c r="S2479" s="40" t="str">
        <v>Northern Ireland</v>
      </c>
      <c r="T2479" s="40" t="str">
        <f t="shared" si="182"/>
        <v>ERREUR</v>
      </c>
      <c r="U2479" s="40" t="str">
        <f t="shared" si="183"/>
        <v>AUCUNE</v>
      </c>
      <c r="V2479" s="40" t="str" cm="1">
        <f t="array" ref="V2479">_xlfn.IFS(
ISNUMBER(SEARCH("USA",S2479)),"United States",
ISNUMBER(SEARCH("Republic of Ireland",S2479)),"Ireland",
ISNUMBER(SEARCH("Republic of Korea",S2479)),"South Korea",
ISNUMBER(SEARCH("Cape Verde",S2479)),"Cabo Verde",
ISNUMBER(SEARCH("Czechia",S2479)),"Czech Republic",
ISNUMBER(SEARCH("Türkiye",S2479)),"Turkey",
ISNUMBER(SEARCH("Ivory Coast",S2479)),"Côte d'Ivoire",
ISNUMBER(SEARCH("Korea Republic",S2479)),"South Korea",
ISNUMBER(SEARCH("Germany FR",S2479)),"FR Germany",
ISNUMBER(SEARCH("West Germany",S2479)),"FR Germany",
ISNUMBER(SEARCH("Germany DR",S2479)),"DR Germany",
ISNUMBER(SEARCH("Korea DPR",S2479)),"North Korea",
ISNUMBER(SEARCH("China PR",S2479)),"China",
ISNUMBER(SEARCH("IR Iran",S2479)),"Iran",
ISNUMBER(SEARCH("Congo DR",S2479)),"Democratic Republic of the Congo",
ISNUMBER(SEARCH("DR Congo",S2479)),"Democratic Republic of the Congo",
ISNUMBER(SEARCH("German DR",S2479)),"DR Germany",
ISNUMBER(SEARCH("rn""&gt;United Arab Emirates",S2479)),"United Arab Emirates",
ISNUMBER(SEARCH("rn""&gt;Republic of Ireland",S2479)),"Ireland",
ISNUMBER(SEARCH("rn""&gt;Bosnia and Herzegovina",S2479)),"Bosnia and Herzegovina",
ISNUMBER(SEARCH("rn""&gt;Trinidad and Tobago",S2479)),"Trinidad and Tobago",
ISNUMBER(SEARCH("rn""&gt;Serbia and Montenegro",S2479)),"Serbia and Montenegro",
ISNUMBER(SEARCH(_xlfn.UNICHAR(65533),S2479)),"Côte d'Ivoire",
TRUE,""
)</f>
        <v/>
      </c>
      <c r="W2479" s="40" t="str">
        <f t="shared" si="184"/>
        <v>Northern Ireland</v>
      </c>
    </row>
    <row r="2480" spans="2:23">
      <c r="B2480" s="76" t="str">
        <v>2014.0</v>
      </c>
      <c r="C2480" s="42" t="str">
        <v xml:space="preserve">18 Jun 2014 - 18:00 </v>
      </c>
      <c r="D2480" s="42" t="str">
        <v>Group A</v>
      </c>
      <c r="E2480" s="42" t="str">
        <v>Arena Amazonia</v>
      </c>
      <c r="F2480" s="42" t="str">
        <v xml:space="preserve">Manaus </v>
      </c>
      <c r="G2480" s="42" t="str">
        <v>Cameroon</v>
      </c>
      <c r="H2480" s="42" t="str">
        <v>0.0</v>
      </c>
      <c r="I2480" s="42" t="str">
        <v>4.0</v>
      </c>
      <c r="J2480" s="42" t="str">
        <v>Croatia</v>
      </c>
      <c r="K2480" s="42" t="str">
        <v xml:space="preserve"> </v>
      </c>
      <c r="L2480" s="42" t="str">
        <f t="shared" si="185"/>
        <v xml:space="preserve">2014.0|18 Jun 2014 - 18:00 |Group A|Arena Amazonia|Manaus |Cameroon|0.0|4.0|Croatia| </v>
      </c>
      <c r="M2480" s="42" t="str">
        <f>IF(COUNTIF($L$1689:L2480,L2480)&gt;1,"DOUBLON","OK")</f>
        <v>OK</v>
      </c>
      <c r="S2480" s="40" t="str">
        <v>Brazil</v>
      </c>
      <c r="T2480" s="40" t="str">
        <f t="shared" si="182"/>
        <v>OK</v>
      </c>
      <c r="U2480" s="40" t="str">
        <f t="shared" si="183"/>
        <v>-</v>
      </c>
      <c r="V2480" s="40" t="str" cm="1">
        <f t="array" ref="V2480">_xlfn.IFS(
ISNUMBER(SEARCH("USA",S2480)),"United States",
ISNUMBER(SEARCH("Republic of Ireland",S2480)),"Ireland",
ISNUMBER(SEARCH("Republic of Korea",S2480)),"South Korea",
ISNUMBER(SEARCH("Cape Verde",S2480)),"Cabo Verde",
ISNUMBER(SEARCH("Czechia",S2480)),"Czech Republic",
ISNUMBER(SEARCH("Türkiye",S2480)),"Turkey",
ISNUMBER(SEARCH("Ivory Coast",S2480)),"Côte d'Ivoire",
ISNUMBER(SEARCH("Korea Republic",S2480)),"South Korea",
ISNUMBER(SEARCH("Germany FR",S2480)),"FR Germany",
ISNUMBER(SEARCH("West Germany",S2480)),"FR Germany",
ISNUMBER(SEARCH("Germany DR",S2480)),"DR Germany",
ISNUMBER(SEARCH("Korea DPR",S2480)),"North Korea",
ISNUMBER(SEARCH("China PR",S2480)),"China",
ISNUMBER(SEARCH("IR Iran",S2480)),"Iran",
ISNUMBER(SEARCH("Congo DR",S2480)),"Democratic Republic of the Congo",
ISNUMBER(SEARCH("DR Congo",S2480)),"Democratic Republic of the Congo",
ISNUMBER(SEARCH("German DR",S2480)),"DR Germany",
ISNUMBER(SEARCH("rn""&gt;United Arab Emirates",S2480)),"United Arab Emirates",
ISNUMBER(SEARCH("rn""&gt;Republic of Ireland",S2480)),"Ireland",
ISNUMBER(SEARCH("rn""&gt;Bosnia and Herzegovina",S2480)),"Bosnia and Herzegovina",
ISNUMBER(SEARCH("rn""&gt;Trinidad and Tobago",S2480)),"Trinidad and Tobago",
ISNUMBER(SEARCH("rn""&gt;Serbia and Montenegro",S2480)),"Serbia and Montenegro",
ISNUMBER(SEARCH(_xlfn.UNICHAR(65533),S2480)),"Côte d'Ivoire",
TRUE,""
)</f>
        <v/>
      </c>
      <c r="W2480" s="40" t="str">
        <f t="shared" si="184"/>
        <v>Brazil</v>
      </c>
    </row>
    <row r="2481" spans="2:23">
      <c r="B2481" s="76" t="str">
        <v>2014.0</v>
      </c>
      <c r="C2481" s="42" t="str">
        <v xml:space="preserve">19 Jun 2014 - 13:00 </v>
      </c>
      <c r="D2481" s="42" t="str">
        <v>Group C</v>
      </c>
      <c r="E2481" s="42" t="str">
        <v>Estadio Nacional</v>
      </c>
      <c r="F2481" s="42" t="str">
        <v xml:space="preserve">Brasilia </v>
      </c>
      <c r="G2481" s="42" t="str">
        <v>Colombia</v>
      </c>
      <c r="H2481" s="42" t="str">
        <v>2.0</v>
      </c>
      <c r="I2481" s="42" t="str">
        <v>1.0</v>
      </c>
      <c r="J2481" s="42" t="str">
        <v>C�te d'Ivoire</v>
      </c>
      <c r="K2481" s="42" t="str">
        <v xml:space="preserve"> </v>
      </c>
      <c r="L2481" s="42" t="str">
        <f t="shared" si="185"/>
        <v xml:space="preserve">2014.0|19 Jun 2014 - 13:00 |Group C|Estadio Nacional|Brasilia |Colombia|2.0|1.0|C�te d'Ivoire| </v>
      </c>
      <c r="M2481" s="42" t="str">
        <f>IF(COUNTIF($L$1689:L2481,L2481)&gt;1,"DOUBLON","OK")</f>
        <v>OK</v>
      </c>
      <c r="S2481" s="40" t="str">
        <v>Mexico</v>
      </c>
      <c r="T2481" s="40" t="str">
        <f t="shared" si="182"/>
        <v>OK</v>
      </c>
      <c r="U2481" s="40" t="str">
        <f t="shared" si="183"/>
        <v>-</v>
      </c>
      <c r="V2481" s="40" t="str" cm="1">
        <f t="array" ref="V2481">_xlfn.IFS(
ISNUMBER(SEARCH("USA",S2481)),"United States",
ISNUMBER(SEARCH("Republic of Ireland",S2481)),"Ireland",
ISNUMBER(SEARCH("Republic of Korea",S2481)),"South Korea",
ISNUMBER(SEARCH("Cape Verde",S2481)),"Cabo Verde",
ISNUMBER(SEARCH("Czechia",S2481)),"Czech Republic",
ISNUMBER(SEARCH("Türkiye",S2481)),"Turkey",
ISNUMBER(SEARCH("Ivory Coast",S2481)),"Côte d'Ivoire",
ISNUMBER(SEARCH("Korea Republic",S2481)),"South Korea",
ISNUMBER(SEARCH("Germany FR",S2481)),"FR Germany",
ISNUMBER(SEARCH("West Germany",S2481)),"FR Germany",
ISNUMBER(SEARCH("Germany DR",S2481)),"DR Germany",
ISNUMBER(SEARCH("Korea DPR",S2481)),"North Korea",
ISNUMBER(SEARCH("China PR",S2481)),"China",
ISNUMBER(SEARCH("IR Iran",S2481)),"Iran",
ISNUMBER(SEARCH("Congo DR",S2481)),"Democratic Republic of the Congo",
ISNUMBER(SEARCH("DR Congo",S2481)),"Democratic Republic of the Congo",
ISNUMBER(SEARCH("German DR",S2481)),"DR Germany",
ISNUMBER(SEARCH("rn""&gt;United Arab Emirates",S2481)),"United Arab Emirates",
ISNUMBER(SEARCH("rn""&gt;Republic of Ireland",S2481)),"Ireland",
ISNUMBER(SEARCH("rn""&gt;Bosnia and Herzegovina",S2481)),"Bosnia and Herzegovina",
ISNUMBER(SEARCH("rn""&gt;Trinidad and Tobago",S2481)),"Trinidad and Tobago",
ISNUMBER(SEARCH("rn""&gt;Serbia and Montenegro",S2481)),"Serbia and Montenegro",
ISNUMBER(SEARCH(_xlfn.UNICHAR(65533),S2481)),"Côte d'Ivoire",
TRUE,""
)</f>
        <v/>
      </c>
      <c r="W2481" s="40" t="str">
        <f t="shared" si="184"/>
        <v>Mexico</v>
      </c>
    </row>
    <row r="2482" spans="2:23">
      <c r="B2482" s="76" t="str">
        <v>2014.0</v>
      </c>
      <c r="C2482" s="42" t="str">
        <v xml:space="preserve">19 Jun 2014 - 16:00 </v>
      </c>
      <c r="D2482" s="42" t="str">
        <v>Group D</v>
      </c>
      <c r="E2482" s="42" t="str">
        <v>Arena de Sao Paulo</v>
      </c>
      <c r="F2482" s="42" t="str">
        <v xml:space="preserve">Sao Paulo </v>
      </c>
      <c r="G2482" s="42" t="str">
        <v>Uruguay</v>
      </c>
      <c r="H2482" s="42" t="str">
        <v>2.0</v>
      </c>
      <c r="I2482" s="42" t="str">
        <v>1.0</v>
      </c>
      <c r="J2482" s="42" t="str">
        <v>England</v>
      </c>
      <c r="K2482" s="42" t="str">
        <v xml:space="preserve"> </v>
      </c>
      <c r="L2482" s="42" t="str">
        <f t="shared" si="185"/>
        <v xml:space="preserve">2014.0|19 Jun 2014 - 16:00 |Group D|Arena de Sao Paulo|Sao Paulo |Uruguay|2.0|1.0|England| </v>
      </c>
      <c r="M2482" s="42" t="str">
        <f>IF(COUNTIF($L$1689:L2482,L2482)&gt;1,"DOUBLON","OK")</f>
        <v>OK</v>
      </c>
      <c r="S2482" s="40" t="str">
        <v>Paraguay</v>
      </c>
      <c r="T2482" s="40" t="str">
        <f t="shared" si="182"/>
        <v>OK</v>
      </c>
      <c r="U2482" s="40" t="str">
        <f t="shared" si="183"/>
        <v>-</v>
      </c>
      <c r="V2482" s="40" t="str" cm="1">
        <f t="array" ref="V2482">_xlfn.IFS(
ISNUMBER(SEARCH("USA",S2482)),"United States",
ISNUMBER(SEARCH("Republic of Ireland",S2482)),"Ireland",
ISNUMBER(SEARCH("Republic of Korea",S2482)),"South Korea",
ISNUMBER(SEARCH("Cape Verde",S2482)),"Cabo Verde",
ISNUMBER(SEARCH("Czechia",S2482)),"Czech Republic",
ISNUMBER(SEARCH("Türkiye",S2482)),"Turkey",
ISNUMBER(SEARCH("Ivory Coast",S2482)),"Côte d'Ivoire",
ISNUMBER(SEARCH("Korea Republic",S2482)),"South Korea",
ISNUMBER(SEARCH("Germany FR",S2482)),"FR Germany",
ISNUMBER(SEARCH("West Germany",S2482)),"FR Germany",
ISNUMBER(SEARCH("Germany DR",S2482)),"DR Germany",
ISNUMBER(SEARCH("Korea DPR",S2482)),"North Korea",
ISNUMBER(SEARCH("China PR",S2482)),"China",
ISNUMBER(SEARCH("IR Iran",S2482)),"Iran",
ISNUMBER(SEARCH("Congo DR",S2482)),"Democratic Republic of the Congo",
ISNUMBER(SEARCH("DR Congo",S2482)),"Democratic Republic of the Congo",
ISNUMBER(SEARCH("German DR",S2482)),"DR Germany",
ISNUMBER(SEARCH("rn""&gt;United Arab Emirates",S2482)),"United Arab Emirates",
ISNUMBER(SEARCH("rn""&gt;Republic of Ireland",S2482)),"Ireland",
ISNUMBER(SEARCH("rn""&gt;Bosnia and Herzegovina",S2482)),"Bosnia and Herzegovina",
ISNUMBER(SEARCH("rn""&gt;Trinidad and Tobago",S2482)),"Trinidad and Tobago",
ISNUMBER(SEARCH("rn""&gt;Serbia and Montenegro",S2482)),"Serbia and Montenegro",
ISNUMBER(SEARCH(_xlfn.UNICHAR(65533),S2482)),"Côte d'Ivoire",
TRUE,""
)</f>
        <v/>
      </c>
      <c r="W2482" s="40" t="str">
        <f t="shared" si="184"/>
        <v>Paraguay</v>
      </c>
    </row>
    <row r="2483" spans="2:23">
      <c r="B2483" s="76" t="str">
        <v>2014.0</v>
      </c>
      <c r="C2483" s="42" t="str">
        <v xml:space="preserve">19 Jun 2014 - 19:00 </v>
      </c>
      <c r="D2483" s="42" t="str">
        <v>Group C</v>
      </c>
      <c r="E2483" s="42" t="str">
        <v>Estadio das Dunas</v>
      </c>
      <c r="F2483" s="42" t="str">
        <v xml:space="preserve">Natal </v>
      </c>
      <c r="G2483" s="42" t="str">
        <v>Japan</v>
      </c>
      <c r="H2483" s="42" t="str">
        <v>0.0</v>
      </c>
      <c r="I2483" s="42" t="str">
        <v>0.0</v>
      </c>
      <c r="J2483" s="42" t="str">
        <v>Greece</v>
      </c>
      <c r="K2483" s="42" t="str">
        <v xml:space="preserve"> </v>
      </c>
      <c r="L2483" s="42" t="str">
        <f t="shared" si="185"/>
        <v xml:space="preserve">2014.0|19 Jun 2014 - 19:00 |Group C|Estadio das Dunas|Natal |Japan|0.0|0.0|Greece| </v>
      </c>
      <c r="M2483" s="42" t="str">
        <f>IF(COUNTIF($L$1689:L2483,L2483)&gt;1,"DOUBLON","OK")</f>
        <v>OK</v>
      </c>
      <c r="S2483" s="40" t="str">
        <v>Yugoslavia</v>
      </c>
      <c r="T2483" s="40" t="str">
        <f t="shared" si="182"/>
        <v>ERREUR</v>
      </c>
      <c r="U2483" s="40" t="str">
        <f t="shared" si="183"/>
        <v>AUCUNE</v>
      </c>
      <c r="V2483" s="40" t="str" cm="1">
        <f t="array" ref="V2483">_xlfn.IFS(
ISNUMBER(SEARCH("USA",S2483)),"United States",
ISNUMBER(SEARCH("Republic of Ireland",S2483)),"Ireland",
ISNUMBER(SEARCH("Republic of Korea",S2483)),"South Korea",
ISNUMBER(SEARCH("Cape Verde",S2483)),"Cabo Verde",
ISNUMBER(SEARCH("Czechia",S2483)),"Czech Republic",
ISNUMBER(SEARCH("Türkiye",S2483)),"Turkey",
ISNUMBER(SEARCH("Ivory Coast",S2483)),"Côte d'Ivoire",
ISNUMBER(SEARCH("Korea Republic",S2483)),"South Korea",
ISNUMBER(SEARCH("Germany FR",S2483)),"FR Germany",
ISNUMBER(SEARCH("West Germany",S2483)),"FR Germany",
ISNUMBER(SEARCH("Germany DR",S2483)),"DR Germany",
ISNUMBER(SEARCH("Korea DPR",S2483)),"North Korea",
ISNUMBER(SEARCH("China PR",S2483)),"China",
ISNUMBER(SEARCH("IR Iran",S2483)),"Iran",
ISNUMBER(SEARCH("Congo DR",S2483)),"Democratic Republic of the Congo",
ISNUMBER(SEARCH("DR Congo",S2483)),"Democratic Republic of the Congo",
ISNUMBER(SEARCH("German DR",S2483)),"DR Germany",
ISNUMBER(SEARCH("rn""&gt;United Arab Emirates",S2483)),"United Arab Emirates",
ISNUMBER(SEARCH("rn""&gt;Republic of Ireland",S2483)),"Ireland",
ISNUMBER(SEARCH("rn""&gt;Bosnia and Herzegovina",S2483)),"Bosnia and Herzegovina",
ISNUMBER(SEARCH("rn""&gt;Trinidad and Tobago",S2483)),"Trinidad and Tobago",
ISNUMBER(SEARCH("rn""&gt;Serbia and Montenegro",S2483)),"Serbia and Montenegro",
ISNUMBER(SEARCH(_xlfn.UNICHAR(65533),S2483)),"Côte d'Ivoire",
TRUE,""
)</f>
        <v/>
      </c>
      <c r="W2483" s="40" t="str">
        <f t="shared" si="184"/>
        <v>Yugoslavia</v>
      </c>
    </row>
    <row r="2484" spans="2:23">
      <c r="B2484" s="76" t="str">
        <v>2014.0</v>
      </c>
      <c r="C2484" s="42" t="str">
        <v xml:space="preserve">20 Jun 2014 - 13:00 </v>
      </c>
      <c r="D2484" s="42" t="str">
        <v>Group D</v>
      </c>
      <c r="E2484" s="42" t="str">
        <v>Arena Pernambuco</v>
      </c>
      <c r="F2484" s="42" t="str">
        <v xml:space="preserve">Recife </v>
      </c>
      <c r="G2484" s="42" t="str">
        <v>Italy</v>
      </c>
      <c r="H2484" s="42" t="str">
        <v>0.0</v>
      </c>
      <c r="I2484" s="42" t="str">
        <v>1.0</v>
      </c>
      <c r="J2484" s="42" t="str">
        <v>Costa Rica</v>
      </c>
      <c r="K2484" s="42" t="str">
        <v xml:space="preserve"> </v>
      </c>
      <c r="L2484" s="42" t="str">
        <f t="shared" si="185"/>
        <v xml:space="preserve">2014.0|20 Jun 2014 - 13:00 |Group D|Arena Pernambuco|Recife |Italy|0.0|1.0|Costa Rica| </v>
      </c>
      <c r="M2484" s="42" t="str">
        <f>IF(COUNTIF($L$1689:L2484,L2484)&gt;1,"DOUBLON","OK")</f>
        <v>OK</v>
      </c>
      <c r="S2484" s="40" t="str">
        <v>Soviet Union</v>
      </c>
      <c r="T2484" s="40" t="str">
        <f t="shared" si="182"/>
        <v>ERREUR</v>
      </c>
      <c r="U2484" s="40" t="str">
        <f t="shared" si="183"/>
        <v>AUCUNE</v>
      </c>
      <c r="V2484" s="40" t="str" cm="1">
        <f t="array" ref="V2484">_xlfn.IFS(
ISNUMBER(SEARCH("USA",S2484)),"United States",
ISNUMBER(SEARCH("Republic of Ireland",S2484)),"Ireland",
ISNUMBER(SEARCH("Republic of Korea",S2484)),"South Korea",
ISNUMBER(SEARCH("Cape Verde",S2484)),"Cabo Verde",
ISNUMBER(SEARCH("Czechia",S2484)),"Czech Republic",
ISNUMBER(SEARCH("Türkiye",S2484)),"Turkey",
ISNUMBER(SEARCH("Ivory Coast",S2484)),"Côte d'Ivoire",
ISNUMBER(SEARCH("Korea Republic",S2484)),"South Korea",
ISNUMBER(SEARCH("Germany FR",S2484)),"FR Germany",
ISNUMBER(SEARCH("West Germany",S2484)),"FR Germany",
ISNUMBER(SEARCH("Germany DR",S2484)),"DR Germany",
ISNUMBER(SEARCH("Korea DPR",S2484)),"North Korea",
ISNUMBER(SEARCH("China PR",S2484)),"China",
ISNUMBER(SEARCH("IR Iran",S2484)),"Iran",
ISNUMBER(SEARCH("Congo DR",S2484)),"Democratic Republic of the Congo",
ISNUMBER(SEARCH("DR Congo",S2484)),"Democratic Republic of the Congo",
ISNUMBER(SEARCH("German DR",S2484)),"DR Germany",
ISNUMBER(SEARCH("rn""&gt;United Arab Emirates",S2484)),"United Arab Emirates",
ISNUMBER(SEARCH("rn""&gt;Republic of Ireland",S2484)),"Ireland",
ISNUMBER(SEARCH("rn""&gt;Bosnia and Herzegovina",S2484)),"Bosnia and Herzegovina",
ISNUMBER(SEARCH("rn""&gt;Trinidad and Tobago",S2484)),"Trinidad and Tobago",
ISNUMBER(SEARCH("rn""&gt;Serbia and Montenegro",S2484)),"Serbia and Montenegro",
ISNUMBER(SEARCH(_xlfn.UNICHAR(65533),S2484)),"Côte d'Ivoire",
TRUE,""
)</f>
        <v/>
      </c>
      <c r="W2484" s="40" t="str">
        <f t="shared" si="184"/>
        <v>Soviet Union</v>
      </c>
    </row>
    <row r="2485" spans="2:23">
      <c r="B2485" s="76" t="str">
        <v>2014.0</v>
      </c>
      <c r="C2485" s="42" t="str">
        <v xml:space="preserve">20 Jun 2014 - 16:00 </v>
      </c>
      <c r="D2485" s="42" t="str">
        <v>Group E</v>
      </c>
      <c r="E2485" s="42" t="str">
        <v>Arena Fonte Nova</v>
      </c>
      <c r="F2485" s="42" t="str">
        <v xml:space="preserve">Salvador </v>
      </c>
      <c r="G2485" s="42" t="str">
        <v>Switzerland</v>
      </c>
      <c r="H2485" s="42" t="str">
        <v>2.0</v>
      </c>
      <c r="I2485" s="42" t="str">
        <v>5.0</v>
      </c>
      <c r="J2485" s="42" t="str">
        <v>France</v>
      </c>
      <c r="K2485" s="42" t="str">
        <v xml:space="preserve"> </v>
      </c>
      <c r="L2485" s="42" t="str">
        <f t="shared" si="185"/>
        <v xml:space="preserve">2014.0|20 Jun 2014 - 16:00 |Group E|Arena Fonte Nova|Salvador |Switzerland|2.0|5.0|France| </v>
      </c>
      <c r="M2485" s="42" t="str">
        <f>IF(COUNTIF($L$1689:L2485,L2485)&gt;1,"DOUBLON","OK")</f>
        <v>OK</v>
      </c>
      <c r="S2485" s="40" t="str">
        <v>Germany FR</v>
      </c>
      <c r="T2485" s="40" t="str">
        <f t="shared" si="182"/>
        <v>ERREUR</v>
      </c>
      <c r="U2485" s="40" t="str">
        <f t="shared" si="183"/>
        <v>RENOMMER</v>
      </c>
      <c r="V2485" s="40" t="str" cm="1">
        <f t="array" ref="V2485">_xlfn.IFS(
ISNUMBER(SEARCH("USA",S2485)),"United States",
ISNUMBER(SEARCH("Republic of Ireland",S2485)),"Ireland",
ISNUMBER(SEARCH("Republic of Korea",S2485)),"South Korea",
ISNUMBER(SEARCH("Cape Verde",S2485)),"Cabo Verde",
ISNUMBER(SEARCH("Czechia",S2485)),"Czech Republic",
ISNUMBER(SEARCH("Türkiye",S2485)),"Turkey",
ISNUMBER(SEARCH("Ivory Coast",S2485)),"Côte d'Ivoire",
ISNUMBER(SEARCH("Korea Republic",S2485)),"South Korea",
ISNUMBER(SEARCH("Germany FR",S2485)),"FR Germany",
ISNUMBER(SEARCH("West Germany",S2485)),"FR Germany",
ISNUMBER(SEARCH("Germany DR",S2485)),"DR Germany",
ISNUMBER(SEARCH("Korea DPR",S2485)),"North Korea",
ISNUMBER(SEARCH("China PR",S2485)),"China",
ISNUMBER(SEARCH("IR Iran",S2485)),"Iran",
ISNUMBER(SEARCH("Congo DR",S2485)),"Democratic Republic of the Congo",
ISNUMBER(SEARCH("DR Congo",S2485)),"Democratic Republic of the Congo",
ISNUMBER(SEARCH("German DR",S2485)),"DR Germany",
ISNUMBER(SEARCH("rn""&gt;United Arab Emirates",S2485)),"United Arab Emirates",
ISNUMBER(SEARCH("rn""&gt;Republic of Ireland",S2485)),"Ireland",
ISNUMBER(SEARCH("rn""&gt;Bosnia and Herzegovina",S2485)),"Bosnia and Herzegovina",
ISNUMBER(SEARCH("rn""&gt;Trinidad and Tobago",S2485)),"Trinidad and Tobago",
ISNUMBER(SEARCH("rn""&gt;Serbia and Montenegro",S2485)),"Serbia and Montenegro",
ISNUMBER(SEARCH(_xlfn.UNICHAR(65533),S2485)),"Côte d'Ivoire",
TRUE,""
)</f>
        <v>FR Germany</v>
      </c>
      <c r="W2485" s="40" t="str">
        <f t="shared" si="184"/>
        <v>FR Germany</v>
      </c>
    </row>
    <row r="2486" spans="2:23">
      <c r="B2486" s="76" t="str">
        <v>2014.0</v>
      </c>
      <c r="C2486" s="42" t="str">
        <v xml:space="preserve">20 Jun 2014 - 19:00 </v>
      </c>
      <c r="D2486" s="42" t="str">
        <v>Group E</v>
      </c>
      <c r="E2486" s="42" t="str">
        <v>Arena da Baixada</v>
      </c>
      <c r="F2486" s="42" t="str">
        <v xml:space="preserve">Curitiba </v>
      </c>
      <c r="G2486" s="42" t="str">
        <v>Honduras</v>
      </c>
      <c r="H2486" s="42" t="str">
        <v>1.0</v>
      </c>
      <c r="I2486" s="42" t="str">
        <v>2.0</v>
      </c>
      <c r="J2486" s="42" t="str">
        <v>Ecuador</v>
      </c>
      <c r="K2486" s="42" t="str">
        <v xml:space="preserve"> </v>
      </c>
      <c r="L2486" s="42" t="str">
        <f t="shared" si="185"/>
        <v xml:space="preserve">2014.0|20 Jun 2014 - 19:00 |Group E|Arena da Baixada|Curitiba |Honduras|1.0|2.0|Ecuador| </v>
      </c>
      <c r="M2486" s="42" t="str">
        <f>IF(COUNTIF($L$1689:L2486,L2486)&gt;1,"DOUBLON","OK")</f>
        <v>OK</v>
      </c>
      <c r="S2486" s="40" t="str">
        <v>Argentina</v>
      </c>
      <c r="T2486" s="40" t="str">
        <f t="shared" si="182"/>
        <v>OK</v>
      </c>
      <c r="U2486" s="40" t="str">
        <f t="shared" si="183"/>
        <v>-</v>
      </c>
      <c r="V2486" s="40" t="str" cm="1">
        <f t="array" ref="V2486">_xlfn.IFS(
ISNUMBER(SEARCH("USA",S2486)),"United States",
ISNUMBER(SEARCH("Republic of Ireland",S2486)),"Ireland",
ISNUMBER(SEARCH("Republic of Korea",S2486)),"South Korea",
ISNUMBER(SEARCH("Cape Verde",S2486)),"Cabo Verde",
ISNUMBER(SEARCH("Czechia",S2486)),"Czech Republic",
ISNUMBER(SEARCH("Türkiye",S2486)),"Turkey",
ISNUMBER(SEARCH("Ivory Coast",S2486)),"Côte d'Ivoire",
ISNUMBER(SEARCH("Korea Republic",S2486)),"South Korea",
ISNUMBER(SEARCH("Germany FR",S2486)),"FR Germany",
ISNUMBER(SEARCH("West Germany",S2486)),"FR Germany",
ISNUMBER(SEARCH("Germany DR",S2486)),"DR Germany",
ISNUMBER(SEARCH("Korea DPR",S2486)),"North Korea",
ISNUMBER(SEARCH("China PR",S2486)),"China",
ISNUMBER(SEARCH("IR Iran",S2486)),"Iran",
ISNUMBER(SEARCH("Congo DR",S2486)),"Democratic Republic of the Congo",
ISNUMBER(SEARCH("DR Congo",S2486)),"Democratic Republic of the Congo",
ISNUMBER(SEARCH("German DR",S2486)),"DR Germany",
ISNUMBER(SEARCH("rn""&gt;United Arab Emirates",S2486)),"United Arab Emirates",
ISNUMBER(SEARCH("rn""&gt;Republic of Ireland",S2486)),"Ireland",
ISNUMBER(SEARCH("rn""&gt;Bosnia and Herzegovina",S2486)),"Bosnia and Herzegovina",
ISNUMBER(SEARCH("rn""&gt;Trinidad and Tobago",S2486)),"Trinidad and Tobago",
ISNUMBER(SEARCH("rn""&gt;Serbia and Montenegro",S2486)),"Serbia and Montenegro",
ISNUMBER(SEARCH(_xlfn.UNICHAR(65533),S2486)),"Côte d'Ivoire",
TRUE,""
)</f>
        <v/>
      </c>
      <c r="W2486" s="40" t="str">
        <f t="shared" si="184"/>
        <v>Argentina</v>
      </c>
    </row>
    <row r="2487" spans="2:23">
      <c r="B2487" s="76" t="str">
        <v>2014.0</v>
      </c>
      <c r="C2487" s="42" t="str">
        <v xml:space="preserve">21 Jun 2014 - 13:00 </v>
      </c>
      <c r="D2487" s="42" t="str">
        <v>Group F</v>
      </c>
      <c r="E2487" s="42" t="str">
        <v>Estadio Mineirao</v>
      </c>
      <c r="F2487" s="42" t="str">
        <v xml:space="preserve">Belo Horizonte </v>
      </c>
      <c r="G2487" s="42" t="str">
        <v>Argentina</v>
      </c>
      <c r="H2487" s="42" t="str">
        <v>1.0</v>
      </c>
      <c r="I2487" s="42" t="str">
        <v>0.0</v>
      </c>
      <c r="J2487" s="42" t="str">
        <v>IR Iran</v>
      </c>
      <c r="K2487" s="42" t="str">
        <v xml:space="preserve"> </v>
      </c>
      <c r="L2487" s="42" t="str">
        <f t="shared" si="185"/>
        <v xml:space="preserve">2014.0|21 Jun 2014 - 13:00 |Group F|Estadio Mineirao|Belo Horizonte |Argentina|1.0|0.0|IR Iran| </v>
      </c>
      <c r="M2487" s="42" t="str">
        <f>IF(COUNTIF($L$1689:L2487,L2487)&gt;1,"DOUBLON","OK")</f>
        <v>OK</v>
      </c>
      <c r="S2487" s="40" t="str">
        <v>Sweden</v>
      </c>
      <c r="T2487" s="40" t="str">
        <f t="shared" si="182"/>
        <v>OK</v>
      </c>
      <c r="U2487" s="40" t="str">
        <f t="shared" si="183"/>
        <v>-</v>
      </c>
      <c r="V2487" s="40" t="str" cm="1">
        <f t="array" ref="V2487">_xlfn.IFS(
ISNUMBER(SEARCH("USA",S2487)),"United States",
ISNUMBER(SEARCH("Republic of Ireland",S2487)),"Ireland",
ISNUMBER(SEARCH("Republic of Korea",S2487)),"South Korea",
ISNUMBER(SEARCH("Cape Verde",S2487)),"Cabo Verde",
ISNUMBER(SEARCH("Czechia",S2487)),"Czech Republic",
ISNUMBER(SEARCH("Türkiye",S2487)),"Turkey",
ISNUMBER(SEARCH("Ivory Coast",S2487)),"Côte d'Ivoire",
ISNUMBER(SEARCH("Korea Republic",S2487)),"South Korea",
ISNUMBER(SEARCH("Germany FR",S2487)),"FR Germany",
ISNUMBER(SEARCH("West Germany",S2487)),"FR Germany",
ISNUMBER(SEARCH("Germany DR",S2487)),"DR Germany",
ISNUMBER(SEARCH("Korea DPR",S2487)),"North Korea",
ISNUMBER(SEARCH("China PR",S2487)),"China",
ISNUMBER(SEARCH("IR Iran",S2487)),"Iran",
ISNUMBER(SEARCH("Congo DR",S2487)),"Democratic Republic of the Congo",
ISNUMBER(SEARCH("DR Congo",S2487)),"Democratic Republic of the Congo",
ISNUMBER(SEARCH("German DR",S2487)),"DR Germany",
ISNUMBER(SEARCH("rn""&gt;United Arab Emirates",S2487)),"United Arab Emirates",
ISNUMBER(SEARCH("rn""&gt;Republic of Ireland",S2487)),"Ireland",
ISNUMBER(SEARCH("rn""&gt;Bosnia and Herzegovina",S2487)),"Bosnia and Herzegovina",
ISNUMBER(SEARCH("rn""&gt;Trinidad and Tobago",S2487)),"Trinidad and Tobago",
ISNUMBER(SEARCH("rn""&gt;Serbia and Montenegro",S2487)),"Serbia and Montenegro",
ISNUMBER(SEARCH(_xlfn.UNICHAR(65533),S2487)),"Côte d'Ivoire",
TRUE,""
)</f>
        <v/>
      </c>
      <c r="W2487" s="40" t="str">
        <f t="shared" si="184"/>
        <v>Sweden</v>
      </c>
    </row>
    <row r="2488" spans="2:23">
      <c r="B2488" s="76" t="str">
        <v>2014.0</v>
      </c>
      <c r="C2488" s="42" t="str">
        <v xml:space="preserve">21 Jun 2014 - 16:00 </v>
      </c>
      <c r="D2488" s="42" t="str">
        <v>Group G</v>
      </c>
      <c r="E2488" s="42" t="str">
        <v>Estadio Castelao</v>
      </c>
      <c r="F2488" s="42" t="str">
        <v xml:space="preserve">Fortaleza </v>
      </c>
      <c r="G2488" s="42" t="str">
        <v>Germany</v>
      </c>
      <c r="H2488" s="42" t="str">
        <v>2.0</v>
      </c>
      <c r="I2488" s="42" t="str">
        <v>2.0</v>
      </c>
      <c r="J2488" s="42" t="str">
        <v>Ghana</v>
      </c>
      <c r="K2488" s="42" t="str">
        <v xml:space="preserve"> </v>
      </c>
      <c r="L2488" s="42" t="str">
        <f t="shared" si="185"/>
        <v xml:space="preserve">2014.0|21 Jun 2014 - 16:00 |Group G|Estadio Castelao|Fortaleza |Germany|2.0|2.0|Ghana| </v>
      </c>
      <c r="M2488" s="42" t="str">
        <f>IF(COUNTIF($L$1689:L2488,L2488)&gt;1,"DOUBLON","OK")</f>
        <v>OK</v>
      </c>
      <c r="S2488" s="40" t="str">
        <v>Sweden</v>
      </c>
      <c r="T2488" s="40" t="str">
        <f t="shared" si="182"/>
        <v>OK</v>
      </c>
      <c r="U2488" s="40" t="str">
        <f t="shared" si="183"/>
        <v>-</v>
      </c>
      <c r="V2488" s="40" t="str" cm="1">
        <f t="array" ref="V2488">_xlfn.IFS(
ISNUMBER(SEARCH("USA",S2488)),"United States",
ISNUMBER(SEARCH("Republic of Ireland",S2488)),"Ireland",
ISNUMBER(SEARCH("Republic of Korea",S2488)),"South Korea",
ISNUMBER(SEARCH("Cape Verde",S2488)),"Cabo Verde",
ISNUMBER(SEARCH("Czechia",S2488)),"Czech Republic",
ISNUMBER(SEARCH("Türkiye",S2488)),"Turkey",
ISNUMBER(SEARCH("Ivory Coast",S2488)),"Côte d'Ivoire",
ISNUMBER(SEARCH("Korea Republic",S2488)),"South Korea",
ISNUMBER(SEARCH("Germany FR",S2488)),"FR Germany",
ISNUMBER(SEARCH("West Germany",S2488)),"FR Germany",
ISNUMBER(SEARCH("Germany DR",S2488)),"DR Germany",
ISNUMBER(SEARCH("Korea DPR",S2488)),"North Korea",
ISNUMBER(SEARCH("China PR",S2488)),"China",
ISNUMBER(SEARCH("IR Iran",S2488)),"Iran",
ISNUMBER(SEARCH("Congo DR",S2488)),"Democratic Republic of the Congo",
ISNUMBER(SEARCH("DR Congo",S2488)),"Democratic Republic of the Congo",
ISNUMBER(SEARCH("German DR",S2488)),"DR Germany",
ISNUMBER(SEARCH("rn""&gt;United Arab Emirates",S2488)),"United Arab Emirates",
ISNUMBER(SEARCH("rn""&gt;Republic of Ireland",S2488)),"Ireland",
ISNUMBER(SEARCH("rn""&gt;Bosnia and Herzegovina",S2488)),"Bosnia and Herzegovina",
ISNUMBER(SEARCH("rn""&gt;Trinidad and Tobago",S2488)),"Trinidad and Tobago",
ISNUMBER(SEARCH("rn""&gt;Serbia and Montenegro",S2488)),"Serbia and Montenegro",
ISNUMBER(SEARCH(_xlfn.UNICHAR(65533),S2488)),"Côte d'Ivoire",
TRUE,""
)</f>
        <v/>
      </c>
      <c r="W2488" s="40" t="str">
        <f t="shared" si="184"/>
        <v>Sweden</v>
      </c>
    </row>
    <row r="2489" spans="2:23">
      <c r="B2489" s="76" t="str">
        <v>2014.0</v>
      </c>
      <c r="C2489" s="42" t="str">
        <v xml:space="preserve">21 Jun 2014 - 18:00 </v>
      </c>
      <c r="D2489" s="42" t="str">
        <v>Group F</v>
      </c>
      <c r="E2489" s="42" t="str">
        <v>Arena Pantanal</v>
      </c>
      <c r="F2489" s="42" t="str">
        <v xml:space="preserve">Cuiaba </v>
      </c>
      <c r="G2489" s="42" t="str">
        <v>Nigeria</v>
      </c>
      <c r="H2489" s="42" t="str">
        <v>1.0</v>
      </c>
      <c r="I2489" s="42" t="str">
        <v>0.0</v>
      </c>
      <c r="J2489" s="42" t="str">
        <v>rn"&gt;Bosnia and Herzegovina</v>
      </c>
      <c r="K2489" s="42" t="str">
        <v xml:space="preserve"> </v>
      </c>
      <c r="L2489" s="42" t="str">
        <f t="shared" si="185"/>
        <v xml:space="preserve">2014.0|21 Jun 2014 - 18:00 |Group F|Arena Pantanal|Cuiaba |Nigeria|1.0|0.0|rn"&gt;Bosnia and Herzegovina| </v>
      </c>
      <c r="M2489" s="42" t="str">
        <f>IF(COUNTIF($L$1689:L2489,L2489)&gt;1,"DOUBLON","OK")</f>
        <v>OK</v>
      </c>
      <c r="S2489" s="40" t="str">
        <v>Brazil</v>
      </c>
      <c r="T2489" s="40" t="str">
        <f t="shared" si="182"/>
        <v>OK</v>
      </c>
      <c r="U2489" s="40" t="str">
        <f t="shared" si="183"/>
        <v>-</v>
      </c>
      <c r="V2489" s="40" t="str" cm="1">
        <f t="array" ref="V2489">_xlfn.IFS(
ISNUMBER(SEARCH("USA",S2489)),"United States",
ISNUMBER(SEARCH("Republic of Ireland",S2489)),"Ireland",
ISNUMBER(SEARCH("Republic of Korea",S2489)),"South Korea",
ISNUMBER(SEARCH("Cape Verde",S2489)),"Cabo Verde",
ISNUMBER(SEARCH("Czechia",S2489)),"Czech Republic",
ISNUMBER(SEARCH("Türkiye",S2489)),"Turkey",
ISNUMBER(SEARCH("Ivory Coast",S2489)),"Côte d'Ivoire",
ISNUMBER(SEARCH("Korea Republic",S2489)),"South Korea",
ISNUMBER(SEARCH("Germany FR",S2489)),"FR Germany",
ISNUMBER(SEARCH("West Germany",S2489)),"FR Germany",
ISNUMBER(SEARCH("Germany DR",S2489)),"DR Germany",
ISNUMBER(SEARCH("Korea DPR",S2489)),"North Korea",
ISNUMBER(SEARCH("China PR",S2489)),"China",
ISNUMBER(SEARCH("IR Iran",S2489)),"Iran",
ISNUMBER(SEARCH("Congo DR",S2489)),"Democratic Republic of the Congo",
ISNUMBER(SEARCH("DR Congo",S2489)),"Democratic Republic of the Congo",
ISNUMBER(SEARCH("German DR",S2489)),"DR Germany",
ISNUMBER(SEARCH("rn""&gt;United Arab Emirates",S2489)),"United Arab Emirates",
ISNUMBER(SEARCH("rn""&gt;Republic of Ireland",S2489)),"Ireland",
ISNUMBER(SEARCH("rn""&gt;Bosnia and Herzegovina",S2489)),"Bosnia and Herzegovina",
ISNUMBER(SEARCH("rn""&gt;Trinidad and Tobago",S2489)),"Trinidad and Tobago",
ISNUMBER(SEARCH("rn""&gt;Serbia and Montenegro",S2489)),"Serbia and Montenegro",
ISNUMBER(SEARCH(_xlfn.UNICHAR(65533),S2489)),"Côte d'Ivoire",
TRUE,""
)</f>
        <v/>
      </c>
      <c r="W2489" s="40" t="str">
        <f t="shared" si="184"/>
        <v>Brazil</v>
      </c>
    </row>
    <row r="2490" spans="2:23">
      <c r="B2490" s="76" t="str">
        <v>2014.0</v>
      </c>
      <c r="C2490" s="42" t="str">
        <v xml:space="preserve">22 Jun 2014 - 13:00 </v>
      </c>
      <c r="D2490" s="42" t="str">
        <v>Group H</v>
      </c>
      <c r="E2490" s="42" t="str">
        <v>Estadio do Maracana</v>
      </c>
      <c r="F2490" s="42" t="str">
        <v xml:space="preserve">Rio De Janeiro </v>
      </c>
      <c r="G2490" s="42" t="str">
        <v>Belgium</v>
      </c>
      <c r="H2490" s="42" t="str">
        <v>1.0</v>
      </c>
      <c r="I2490" s="42" t="str">
        <v>0.0</v>
      </c>
      <c r="J2490" s="42" t="str">
        <v>Russia</v>
      </c>
      <c r="K2490" s="42" t="str">
        <v xml:space="preserve"> </v>
      </c>
      <c r="L2490" s="42" t="str">
        <f t="shared" si="185"/>
        <v xml:space="preserve">2014.0|22 Jun 2014 - 13:00 |Group H|Estadio do Maracana|Rio De Janeiro |Belgium|1.0|0.0|Russia| </v>
      </c>
      <c r="M2490" s="42" t="str">
        <f>IF(COUNTIF($L$1689:L2490,L2490)&gt;1,"DOUBLON","OK")</f>
        <v>OK</v>
      </c>
      <c r="S2490" s="40" t="str">
        <v>Germany FR</v>
      </c>
      <c r="T2490" s="40" t="str">
        <f t="shared" si="182"/>
        <v>ERREUR</v>
      </c>
      <c r="U2490" s="40" t="str">
        <f t="shared" si="183"/>
        <v>RENOMMER</v>
      </c>
      <c r="V2490" s="40" t="str" cm="1">
        <f t="array" ref="V2490">_xlfn.IFS(
ISNUMBER(SEARCH("USA",S2490)),"United States",
ISNUMBER(SEARCH("Republic of Ireland",S2490)),"Ireland",
ISNUMBER(SEARCH("Republic of Korea",S2490)),"South Korea",
ISNUMBER(SEARCH("Cape Verde",S2490)),"Cabo Verde",
ISNUMBER(SEARCH("Czechia",S2490)),"Czech Republic",
ISNUMBER(SEARCH("Türkiye",S2490)),"Turkey",
ISNUMBER(SEARCH("Ivory Coast",S2490)),"Côte d'Ivoire",
ISNUMBER(SEARCH("Korea Republic",S2490)),"South Korea",
ISNUMBER(SEARCH("Germany FR",S2490)),"FR Germany",
ISNUMBER(SEARCH("West Germany",S2490)),"FR Germany",
ISNUMBER(SEARCH("Germany DR",S2490)),"DR Germany",
ISNUMBER(SEARCH("Korea DPR",S2490)),"North Korea",
ISNUMBER(SEARCH("China PR",S2490)),"China",
ISNUMBER(SEARCH("IR Iran",S2490)),"Iran",
ISNUMBER(SEARCH("Congo DR",S2490)),"Democratic Republic of the Congo",
ISNUMBER(SEARCH("DR Congo",S2490)),"Democratic Republic of the Congo",
ISNUMBER(SEARCH("German DR",S2490)),"DR Germany",
ISNUMBER(SEARCH("rn""&gt;United Arab Emirates",S2490)),"United Arab Emirates",
ISNUMBER(SEARCH("rn""&gt;Republic of Ireland",S2490)),"Ireland",
ISNUMBER(SEARCH("rn""&gt;Bosnia and Herzegovina",S2490)),"Bosnia and Herzegovina",
ISNUMBER(SEARCH("rn""&gt;Trinidad and Tobago",S2490)),"Trinidad and Tobago",
ISNUMBER(SEARCH("rn""&gt;Serbia and Montenegro",S2490)),"Serbia and Montenegro",
ISNUMBER(SEARCH(_xlfn.UNICHAR(65533),S2490)),"Côte d'Ivoire",
TRUE,""
)</f>
        <v>FR Germany</v>
      </c>
      <c r="W2490" s="40" t="str">
        <f t="shared" si="184"/>
        <v>FR Germany</v>
      </c>
    </row>
    <row r="2491" spans="2:23">
      <c r="B2491" s="76" t="str">
        <v>2014.0</v>
      </c>
      <c r="C2491" s="42" t="str">
        <v xml:space="preserve">22 Jun 2014 - 16:00 </v>
      </c>
      <c r="D2491" s="42" t="str">
        <v>Group H</v>
      </c>
      <c r="E2491" s="42" t="str">
        <v>Estadio Beira-Rio</v>
      </c>
      <c r="F2491" s="42" t="str">
        <v xml:space="preserve">Porto Alegre </v>
      </c>
      <c r="G2491" s="42" t="str">
        <v>Korea Republic</v>
      </c>
      <c r="H2491" s="42" t="str">
        <v>2.0</v>
      </c>
      <c r="I2491" s="42" t="str">
        <v>4.0</v>
      </c>
      <c r="J2491" s="42" t="str">
        <v>Algeria</v>
      </c>
      <c r="K2491" s="42" t="str">
        <v xml:space="preserve"> </v>
      </c>
      <c r="L2491" s="42" t="str">
        <f t="shared" si="185"/>
        <v xml:space="preserve">2014.0|22 Jun 2014 - 16:00 |Group H|Estadio Beira-Rio|Porto Alegre |Korea Republic|2.0|4.0|Algeria| </v>
      </c>
      <c r="M2491" s="42" t="str">
        <f>IF(COUNTIF($L$1689:L2491,L2491)&gt;1,"DOUBLON","OK")</f>
        <v>OK</v>
      </c>
      <c r="S2491" s="40" t="str">
        <v>Hungary</v>
      </c>
      <c r="T2491" s="40" t="str">
        <f t="shared" si="182"/>
        <v>OK</v>
      </c>
      <c r="U2491" s="40" t="str">
        <f t="shared" si="183"/>
        <v>-</v>
      </c>
      <c r="V2491" s="40" t="str" cm="1">
        <f t="array" ref="V2491">_xlfn.IFS(
ISNUMBER(SEARCH("USA",S2491)),"United States",
ISNUMBER(SEARCH("Republic of Ireland",S2491)),"Ireland",
ISNUMBER(SEARCH("Republic of Korea",S2491)),"South Korea",
ISNUMBER(SEARCH("Cape Verde",S2491)),"Cabo Verde",
ISNUMBER(SEARCH("Czechia",S2491)),"Czech Republic",
ISNUMBER(SEARCH("Türkiye",S2491)),"Turkey",
ISNUMBER(SEARCH("Ivory Coast",S2491)),"Côte d'Ivoire",
ISNUMBER(SEARCH("Korea Republic",S2491)),"South Korea",
ISNUMBER(SEARCH("Germany FR",S2491)),"FR Germany",
ISNUMBER(SEARCH("West Germany",S2491)),"FR Germany",
ISNUMBER(SEARCH("Germany DR",S2491)),"DR Germany",
ISNUMBER(SEARCH("Korea DPR",S2491)),"North Korea",
ISNUMBER(SEARCH("China PR",S2491)),"China",
ISNUMBER(SEARCH("IR Iran",S2491)),"Iran",
ISNUMBER(SEARCH("Congo DR",S2491)),"Democratic Republic of the Congo",
ISNUMBER(SEARCH("DR Congo",S2491)),"Democratic Republic of the Congo",
ISNUMBER(SEARCH("German DR",S2491)),"DR Germany",
ISNUMBER(SEARCH("rn""&gt;United Arab Emirates",S2491)),"United Arab Emirates",
ISNUMBER(SEARCH("rn""&gt;Republic of Ireland",S2491)),"Ireland",
ISNUMBER(SEARCH("rn""&gt;Bosnia and Herzegovina",S2491)),"Bosnia and Herzegovina",
ISNUMBER(SEARCH("rn""&gt;Trinidad and Tobago",S2491)),"Trinidad and Tobago",
ISNUMBER(SEARCH("rn""&gt;Serbia and Montenegro",S2491)),"Serbia and Montenegro",
ISNUMBER(SEARCH(_xlfn.UNICHAR(65533),S2491)),"Côte d'Ivoire",
TRUE,""
)</f>
        <v/>
      </c>
      <c r="W2491" s="40" t="str">
        <f t="shared" si="184"/>
        <v>Hungary</v>
      </c>
    </row>
    <row r="2492" spans="2:23">
      <c r="B2492" s="76" t="str">
        <v>2014.0</v>
      </c>
      <c r="C2492" s="42" t="str">
        <v xml:space="preserve">22 Jun 2014 - 18:00 </v>
      </c>
      <c r="D2492" s="42" t="str">
        <v>Group G</v>
      </c>
      <c r="E2492" s="42" t="str">
        <v>Arena Amazonia</v>
      </c>
      <c r="F2492" s="42" t="str">
        <v xml:space="preserve">Manaus </v>
      </c>
      <c r="G2492" s="42" t="str">
        <v>USA</v>
      </c>
      <c r="H2492" s="42" t="str">
        <v>2.0</v>
      </c>
      <c r="I2492" s="42" t="str">
        <v>2.0</v>
      </c>
      <c r="J2492" s="42" t="str">
        <v>Portugal</v>
      </c>
      <c r="K2492" s="42" t="str">
        <v xml:space="preserve"> </v>
      </c>
      <c r="L2492" s="42" t="str">
        <f t="shared" si="185"/>
        <v xml:space="preserve">2014.0|22 Jun 2014 - 18:00 |Group G|Arena Amazonia|Manaus |USA|2.0|2.0|Portugal| </v>
      </c>
      <c r="M2492" s="42" t="str">
        <f>IF(COUNTIF($L$1689:L2492,L2492)&gt;1,"DOUBLON","OK")</f>
        <v>OK</v>
      </c>
      <c r="S2492" s="40" t="str">
        <v>Paraguay</v>
      </c>
      <c r="T2492" s="40" t="str">
        <f t="shared" si="182"/>
        <v>OK</v>
      </c>
      <c r="U2492" s="40" t="str">
        <f t="shared" si="183"/>
        <v>-</v>
      </c>
      <c r="V2492" s="40" t="str" cm="1">
        <f t="array" ref="V2492">_xlfn.IFS(
ISNUMBER(SEARCH("USA",S2492)),"United States",
ISNUMBER(SEARCH("Republic of Ireland",S2492)),"Ireland",
ISNUMBER(SEARCH("Republic of Korea",S2492)),"South Korea",
ISNUMBER(SEARCH("Cape Verde",S2492)),"Cabo Verde",
ISNUMBER(SEARCH("Czechia",S2492)),"Czech Republic",
ISNUMBER(SEARCH("Türkiye",S2492)),"Turkey",
ISNUMBER(SEARCH("Ivory Coast",S2492)),"Côte d'Ivoire",
ISNUMBER(SEARCH("Korea Republic",S2492)),"South Korea",
ISNUMBER(SEARCH("Germany FR",S2492)),"FR Germany",
ISNUMBER(SEARCH("West Germany",S2492)),"FR Germany",
ISNUMBER(SEARCH("Germany DR",S2492)),"DR Germany",
ISNUMBER(SEARCH("Korea DPR",S2492)),"North Korea",
ISNUMBER(SEARCH("China PR",S2492)),"China",
ISNUMBER(SEARCH("IR Iran",S2492)),"Iran",
ISNUMBER(SEARCH("Congo DR",S2492)),"Democratic Republic of the Congo",
ISNUMBER(SEARCH("DR Congo",S2492)),"Democratic Republic of the Congo",
ISNUMBER(SEARCH("German DR",S2492)),"DR Germany",
ISNUMBER(SEARCH("rn""&gt;United Arab Emirates",S2492)),"United Arab Emirates",
ISNUMBER(SEARCH("rn""&gt;Republic of Ireland",S2492)),"Ireland",
ISNUMBER(SEARCH("rn""&gt;Bosnia and Herzegovina",S2492)),"Bosnia and Herzegovina",
ISNUMBER(SEARCH("rn""&gt;Trinidad and Tobago",S2492)),"Trinidad and Tobago",
ISNUMBER(SEARCH("rn""&gt;Serbia and Montenegro",S2492)),"Serbia and Montenegro",
ISNUMBER(SEARCH(_xlfn.UNICHAR(65533),S2492)),"Côte d'Ivoire",
TRUE,""
)</f>
        <v/>
      </c>
      <c r="W2492" s="40" t="str">
        <f t="shared" si="184"/>
        <v>Paraguay</v>
      </c>
    </row>
    <row r="2493" spans="2:23">
      <c r="B2493" s="76" t="str">
        <v>2014.0</v>
      </c>
      <c r="C2493" s="42" t="str">
        <v xml:space="preserve">23 Jun 2014 - 13:00 </v>
      </c>
      <c r="D2493" s="42" t="str">
        <v>Group B</v>
      </c>
      <c r="E2493" s="42" t="str">
        <v>Arena da Baixada</v>
      </c>
      <c r="F2493" s="42" t="str">
        <v xml:space="preserve">Curitiba </v>
      </c>
      <c r="G2493" s="42" t="str">
        <v>Australia</v>
      </c>
      <c r="H2493" s="42" t="str">
        <v>0.0</v>
      </c>
      <c r="I2493" s="42" t="str">
        <v>3.0</v>
      </c>
      <c r="J2493" s="42" t="str">
        <v>Spain</v>
      </c>
      <c r="K2493" s="42" t="str">
        <v xml:space="preserve"> </v>
      </c>
      <c r="L2493" s="42" t="str">
        <f t="shared" si="185"/>
        <v xml:space="preserve">2014.0|23 Jun 2014 - 13:00 |Group B|Arena da Baixada|Curitiba |Australia|0.0|3.0|Spain| </v>
      </c>
      <c r="M2493" s="42" t="str">
        <f>IF(COUNTIF($L$1689:L2493,L2493)&gt;1,"DOUBLON","OK")</f>
        <v>OK</v>
      </c>
      <c r="S2493" s="40" t="str">
        <v>France</v>
      </c>
      <c r="T2493" s="40" t="str">
        <f t="shared" si="182"/>
        <v>OK</v>
      </c>
      <c r="U2493" s="40" t="str">
        <f t="shared" si="183"/>
        <v>-</v>
      </c>
      <c r="V2493" s="40" t="str" cm="1">
        <f t="array" ref="V2493">_xlfn.IFS(
ISNUMBER(SEARCH("USA",S2493)),"United States",
ISNUMBER(SEARCH("Republic of Ireland",S2493)),"Ireland",
ISNUMBER(SEARCH("Republic of Korea",S2493)),"South Korea",
ISNUMBER(SEARCH("Cape Verde",S2493)),"Cabo Verde",
ISNUMBER(SEARCH("Czechia",S2493)),"Czech Republic",
ISNUMBER(SEARCH("Türkiye",S2493)),"Turkey",
ISNUMBER(SEARCH("Ivory Coast",S2493)),"Côte d'Ivoire",
ISNUMBER(SEARCH("Korea Republic",S2493)),"South Korea",
ISNUMBER(SEARCH("Germany FR",S2493)),"FR Germany",
ISNUMBER(SEARCH("West Germany",S2493)),"FR Germany",
ISNUMBER(SEARCH("Germany DR",S2493)),"DR Germany",
ISNUMBER(SEARCH("Korea DPR",S2493)),"North Korea",
ISNUMBER(SEARCH("China PR",S2493)),"China",
ISNUMBER(SEARCH("IR Iran",S2493)),"Iran",
ISNUMBER(SEARCH("Congo DR",S2493)),"Democratic Republic of the Congo",
ISNUMBER(SEARCH("DR Congo",S2493)),"Democratic Republic of the Congo",
ISNUMBER(SEARCH("German DR",S2493)),"DR Germany",
ISNUMBER(SEARCH("rn""&gt;United Arab Emirates",S2493)),"United Arab Emirates",
ISNUMBER(SEARCH("rn""&gt;Republic of Ireland",S2493)),"Ireland",
ISNUMBER(SEARCH("rn""&gt;Bosnia and Herzegovina",S2493)),"Bosnia and Herzegovina",
ISNUMBER(SEARCH("rn""&gt;Trinidad and Tobago",S2493)),"Trinidad and Tobago",
ISNUMBER(SEARCH("rn""&gt;Serbia and Montenegro",S2493)),"Serbia and Montenegro",
ISNUMBER(SEARCH(_xlfn.UNICHAR(65533),S2493)),"Côte d'Ivoire",
TRUE,""
)</f>
        <v/>
      </c>
      <c r="W2493" s="40" t="str">
        <f t="shared" si="184"/>
        <v>France</v>
      </c>
    </row>
    <row r="2494" spans="2:23">
      <c r="B2494" s="76" t="str">
        <v>2014.0</v>
      </c>
      <c r="C2494" s="42" t="str">
        <v xml:space="preserve">23 Jun 2014 - 13:00 </v>
      </c>
      <c r="D2494" s="42" t="str">
        <v>Group B</v>
      </c>
      <c r="E2494" s="42" t="str">
        <v>Arena de Sao Paulo</v>
      </c>
      <c r="F2494" s="42" t="str">
        <v xml:space="preserve">Sao Paulo </v>
      </c>
      <c r="G2494" s="42" t="str">
        <v>Netherlands</v>
      </c>
      <c r="H2494" s="42" t="str">
        <v>2.0</v>
      </c>
      <c r="I2494" s="42" t="str">
        <v>0.0</v>
      </c>
      <c r="J2494" s="42" t="str">
        <v>Chile</v>
      </c>
      <c r="K2494" s="42" t="str">
        <v xml:space="preserve"> </v>
      </c>
      <c r="L2494" s="42" t="str">
        <f t="shared" si="185"/>
        <v xml:space="preserve">2014.0|23 Jun 2014 - 13:00 |Group B|Arena de Sao Paulo|Sao Paulo |Netherlands|2.0|0.0|Chile| </v>
      </c>
      <c r="M2494" s="42" t="str">
        <f>IF(COUNTIF($L$1689:L2494,L2494)&gt;1,"DOUBLON","OK")</f>
        <v>OK</v>
      </c>
      <c r="S2494" s="40" t="str">
        <v>England</v>
      </c>
      <c r="T2494" s="40" t="str">
        <f t="shared" si="182"/>
        <v>ERREUR</v>
      </c>
      <c r="U2494" s="40" t="str">
        <f t="shared" si="183"/>
        <v>AUCUNE</v>
      </c>
      <c r="V2494" s="40" t="str" cm="1">
        <f t="array" ref="V2494">_xlfn.IFS(
ISNUMBER(SEARCH("USA",S2494)),"United States",
ISNUMBER(SEARCH("Republic of Ireland",S2494)),"Ireland",
ISNUMBER(SEARCH("Republic of Korea",S2494)),"South Korea",
ISNUMBER(SEARCH("Cape Verde",S2494)),"Cabo Verde",
ISNUMBER(SEARCH("Czechia",S2494)),"Czech Republic",
ISNUMBER(SEARCH("Türkiye",S2494)),"Turkey",
ISNUMBER(SEARCH("Ivory Coast",S2494)),"Côte d'Ivoire",
ISNUMBER(SEARCH("Korea Republic",S2494)),"South Korea",
ISNUMBER(SEARCH("Germany FR",S2494)),"FR Germany",
ISNUMBER(SEARCH("West Germany",S2494)),"FR Germany",
ISNUMBER(SEARCH("Germany DR",S2494)),"DR Germany",
ISNUMBER(SEARCH("Korea DPR",S2494)),"North Korea",
ISNUMBER(SEARCH("China PR",S2494)),"China",
ISNUMBER(SEARCH("IR Iran",S2494)),"Iran",
ISNUMBER(SEARCH("Congo DR",S2494)),"Democratic Republic of the Congo",
ISNUMBER(SEARCH("DR Congo",S2494)),"Democratic Republic of the Congo",
ISNUMBER(SEARCH("German DR",S2494)),"DR Germany",
ISNUMBER(SEARCH("rn""&gt;United Arab Emirates",S2494)),"United Arab Emirates",
ISNUMBER(SEARCH("rn""&gt;Republic of Ireland",S2494)),"Ireland",
ISNUMBER(SEARCH("rn""&gt;Bosnia and Herzegovina",S2494)),"Bosnia and Herzegovina",
ISNUMBER(SEARCH("rn""&gt;Trinidad and Tobago",S2494)),"Trinidad and Tobago",
ISNUMBER(SEARCH("rn""&gt;Serbia and Montenegro",S2494)),"Serbia and Montenegro",
ISNUMBER(SEARCH(_xlfn.UNICHAR(65533),S2494)),"Côte d'Ivoire",
TRUE,""
)</f>
        <v/>
      </c>
      <c r="W2494" s="40" t="str">
        <f t="shared" si="184"/>
        <v>England</v>
      </c>
    </row>
    <row r="2495" spans="2:23">
      <c r="B2495" s="76" t="str">
        <v>2014.0</v>
      </c>
      <c r="C2495" s="42" t="str">
        <v xml:space="preserve">23 Jun 2014 - 17:00 </v>
      </c>
      <c r="D2495" s="42" t="str">
        <v>Group A</v>
      </c>
      <c r="E2495" s="42" t="str">
        <v>Estadio Nacional</v>
      </c>
      <c r="F2495" s="42" t="str">
        <v xml:space="preserve">Brasilia </v>
      </c>
      <c r="G2495" s="42" t="str">
        <v>Cameroon</v>
      </c>
      <c r="H2495" s="42" t="str">
        <v>1.0</v>
      </c>
      <c r="I2495" s="42" t="str">
        <v>4.0</v>
      </c>
      <c r="J2495" s="42" t="str">
        <v>Brazil</v>
      </c>
      <c r="K2495" s="42" t="str">
        <v xml:space="preserve"> </v>
      </c>
      <c r="L2495" s="42" t="str">
        <f t="shared" si="185"/>
        <v xml:space="preserve">2014.0|23 Jun 2014 - 17:00 |Group A|Estadio Nacional|Brasilia |Cameroon|1.0|4.0|Brazil| </v>
      </c>
      <c r="M2495" s="42" t="str">
        <f>IF(COUNTIF($L$1689:L2495,L2495)&gt;1,"DOUBLON","OK")</f>
        <v>OK</v>
      </c>
      <c r="S2495" s="40" t="str">
        <v>Czechoslovakia</v>
      </c>
      <c r="T2495" s="40" t="str">
        <f t="shared" si="182"/>
        <v>ERREUR</v>
      </c>
      <c r="U2495" s="40" t="str">
        <f t="shared" si="183"/>
        <v>AUCUNE</v>
      </c>
      <c r="V2495" s="40" t="str" cm="1">
        <f t="array" ref="V2495">_xlfn.IFS(
ISNUMBER(SEARCH("USA",S2495)),"United States",
ISNUMBER(SEARCH("Republic of Ireland",S2495)),"Ireland",
ISNUMBER(SEARCH("Republic of Korea",S2495)),"South Korea",
ISNUMBER(SEARCH("Cape Verde",S2495)),"Cabo Verde",
ISNUMBER(SEARCH("Czechia",S2495)),"Czech Republic",
ISNUMBER(SEARCH("Türkiye",S2495)),"Turkey",
ISNUMBER(SEARCH("Ivory Coast",S2495)),"Côte d'Ivoire",
ISNUMBER(SEARCH("Korea Republic",S2495)),"South Korea",
ISNUMBER(SEARCH("Germany FR",S2495)),"FR Germany",
ISNUMBER(SEARCH("West Germany",S2495)),"FR Germany",
ISNUMBER(SEARCH("Germany DR",S2495)),"DR Germany",
ISNUMBER(SEARCH("Korea DPR",S2495)),"North Korea",
ISNUMBER(SEARCH("China PR",S2495)),"China",
ISNUMBER(SEARCH("IR Iran",S2495)),"Iran",
ISNUMBER(SEARCH("Congo DR",S2495)),"Democratic Republic of the Congo",
ISNUMBER(SEARCH("DR Congo",S2495)),"Democratic Republic of the Congo",
ISNUMBER(SEARCH("German DR",S2495)),"DR Germany",
ISNUMBER(SEARCH("rn""&gt;United Arab Emirates",S2495)),"United Arab Emirates",
ISNUMBER(SEARCH("rn""&gt;Republic of Ireland",S2495)),"Ireland",
ISNUMBER(SEARCH("rn""&gt;Bosnia and Herzegovina",S2495)),"Bosnia and Herzegovina",
ISNUMBER(SEARCH("rn""&gt;Trinidad and Tobago",S2495)),"Trinidad and Tobago",
ISNUMBER(SEARCH("rn""&gt;Serbia and Montenegro",S2495)),"Serbia and Montenegro",
ISNUMBER(SEARCH(_xlfn.UNICHAR(65533),S2495)),"Côte d'Ivoire",
TRUE,""
)</f>
        <v/>
      </c>
      <c r="W2495" s="40" t="str">
        <f t="shared" si="184"/>
        <v>Czechoslovakia</v>
      </c>
    </row>
    <row r="2496" spans="2:23">
      <c r="B2496" s="76" t="str">
        <v>2014.0</v>
      </c>
      <c r="C2496" s="42" t="str">
        <v xml:space="preserve">23 Jun 2014 - 17:00 </v>
      </c>
      <c r="D2496" s="42" t="str">
        <v>Group A</v>
      </c>
      <c r="E2496" s="42" t="str">
        <v>Arena Pernambuco</v>
      </c>
      <c r="F2496" s="42" t="str">
        <v xml:space="preserve">Recife </v>
      </c>
      <c r="G2496" s="42" t="str">
        <v>Croatia</v>
      </c>
      <c r="H2496" s="42" t="str">
        <v>1.0</v>
      </c>
      <c r="I2496" s="42" t="str">
        <v>3.0</v>
      </c>
      <c r="J2496" s="42" t="str">
        <v>Mexico</v>
      </c>
      <c r="K2496" s="42" t="str">
        <v xml:space="preserve"> </v>
      </c>
      <c r="L2496" s="42" t="str">
        <f t="shared" si="185"/>
        <v xml:space="preserve">2014.0|23 Jun 2014 - 17:00 |Group A|Arena Pernambuco|Recife |Croatia|1.0|3.0|Mexico| </v>
      </c>
      <c r="M2496" s="42" t="str">
        <f>IF(COUNTIF($L$1689:L2496,L2496)&gt;1,"DOUBLON","OK")</f>
        <v>OK</v>
      </c>
      <c r="S2496" s="40" t="str">
        <v>Soviet Union</v>
      </c>
      <c r="T2496" s="40" t="str">
        <f t="shared" si="182"/>
        <v>ERREUR</v>
      </c>
      <c r="U2496" s="40" t="str">
        <f t="shared" si="183"/>
        <v>AUCUNE</v>
      </c>
      <c r="V2496" s="40" t="str" cm="1">
        <f t="array" ref="V2496">_xlfn.IFS(
ISNUMBER(SEARCH("USA",S2496)),"United States",
ISNUMBER(SEARCH("Republic of Ireland",S2496)),"Ireland",
ISNUMBER(SEARCH("Republic of Korea",S2496)),"South Korea",
ISNUMBER(SEARCH("Cape Verde",S2496)),"Cabo Verde",
ISNUMBER(SEARCH("Czechia",S2496)),"Czech Republic",
ISNUMBER(SEARCH("Türkiye",S2496)),"Turkey",
ISNUMBER(SEARCH("Ivory Coast",S2496)),"Côte d'Ivoire",
ISNUMBER(SEARCH("Korea Republic",S2496)),"South Korea",
ISNUMBER(SEARCH("Germany FR",S2496)),"FR Germany",
ISNUMBER(SEARCH("West Germany",S2496)),"FR Germany",
ISNUMBER(SEARCH("Germany DR",S2496)),"DR Germany",
ISNUMBER(SEARCH("Korea DPR",S2496)),"North Korea",
ISNUMBER(SEARCH("China PR",S2496)),"China",
ISNUMBER(SEARCH("IR Iran",S2496)),"Iran",
ISNUMBER(SEARCH("Congo DR",S2496)),"Democratic Republic of the Congo",
ISNUMBER(SEARCH("DR Congo",S2496)),"Democratic Republic of the Congo",
ISNUMBER(SEARCH("German DR",S2496)),"DR Germany",
ISNUMBER(SEARCH("rn""&gt;United Arab Emirates",S2496)),"United Arab Emirates",
ISNUMBER(SEARCH("rn""&gt;Republic of Ireland",S2496)),"Ireland",
ISNUMBER(SEARCH("rn""&gt;Bosnia and Herzegovina",S2496)),"Bosnia and Herzegovina",
ISNUMBER(SEARCH("rn""&gt;Trinidad and Tobago",S2496)),"Trinidad and Tobago",
ISNUMBER(SEARCH("rn""&gt;Serbia and Montenegro",S2496)),"Serbia and Montenegro",
ISNUMBER(SEARCH(_xlfn.UNICHAR(65533),S2496)),"Côte d'Ivoire",
TRUE,""
)</f>
        <v/>
      </c>
      <c r="W2496" s="40" t="str">
        <f t="shared" si="184"/>
        <v>Soviet Union</v>
      </c>
    </row>
    <row r="2497" spans="2:23">
      <c r="B2497" s="76" t="str">
        <v>2014.0</v>
      </c>
      <c r="C2497" s="42" t="str">
        <v xml:space="preserve">24 Jun 2014 - 13:00 </v>
      </c>
      <c r="D2497" s="42" t="str">
        <v>Group D</v>
      </c>
      <c r="E2497" s="42" t="str">
        <v>Estadio das Dunas</v>
      </c>
      <c r="F2497" s="42" t="str">
        <v xml:space="preserve">Natal </v>
      </c>
      <c r="G2497" s="42" t="str">
        <v>Italy</v>
      </c>
      <c r="H2497" s="42" t="str">
        <v>0.0</v>
      </c>
      <c r="I2497" s="42" t="str">
        <v>1.0</v>
      </c>
      <c r="J2497" s="42" t="str">
        <v>Uruguay</v>
      </c>
      <c r="K2497" s="42" t="str">
        <v xml:space="preserve"> </v>
      </c>
      <c r="L2497" s="42" t="str">
        <f t="shared" si="185"/>
        <v xml:space="preserve">2014.0|24 Jun 2014 - 13:00 |Group D|Estadio das Dunas|Natal |Italy|0.0|1.0|Uruguay| </v>
      </c>
      <c r="M2497" s="42" t="str">
        <f>IF(COUNTIF($L$1689:L2497,L2497)&gt;1,"DOUBLON","OK")</f>
        <v>OK</v>
      </c>
      <c r="S2497" s="40" t="str">
        <v>Northern Ireland</v>
      </c>
      <c r="T2497" s="40" t="str">
        <f t="shared" si="182"/>
        <v>ERREUR</v>
      </c>
      <c r="U2497" s="40" t="str">
        <f t="shared" si="183"/>
        <v>AUCUNE</v>
      </c>
      <c r="V2497" s="40" t="str" cm="1">
        <f t="array" ref="V2497">_xlfn.IFS(
ISNUMBER(SEARCH("USA",S2497)),"United States",
ISNUMBER(SEARCH("Republic of Ireland",S2497)),"Ireland",
ISNUMBER(SEARCH("Republic of Korea",S2497)),"South Korea",
ISNUMBER(SEARCH("Cape Verde",S2497)),"Cabo Verde",
ISNUMBER(SEARCH("Czechia",S2497)),"Czech Republic",
ISNUMBER(SEARCH("Türkiye",S2497)),"Turkey",
ISNUMBER(SEARCH("Ivory Coast",S2497)),"Côte d'Ivoire",
ISNUMBER(SEARCH("Korea Republic",S2497)),"South Korea",
ISNUMBER(SEARCH("Germany FR",S2497)),"FR Germany",
ISNUMBER(SEARCH("West Germany",S2497)),"FR Germany",
ISNUMBER(SEARCH("Germany DR",S2497)),"DR Germany",
ISNUMBER(SEARCH("Korea DPR",S2497)),"North Korea",
ISNUMBER(SEARCH("China PR",S2497)),"China",
ISNUMBER(SEARCH("IR Iran",S2497)),"Iran",
ISNUMBER(SEARCH("Congo DR",S2497)),"Democratic Republic of the Congo",
ISNUMBER(SEARCH("DR Congo",S2497)),"Democratic Republic of the Congo",
ISNUMBER(SEARCH("German DR",S2497)),"DR Germany",
ISNUMBER(SEARCH("rn""&gt;United Arab Emirates",S2497)),"United Arab Emirates",
ISNUMBER(SEARCH("rn""&gt;Republic of Ireland",S2497)),"Ireland",
ISNUMBER(SEARCH("rn""&gt;Bosnia and Herzegovina",S2497)),"Bosnia and Herzegovina",
ISNUMBER(SEARCH("rn""&gt;Trinidad and Tobago",S2497)),"Trinidad and Tobago",
ISNUMBER(SEARCH("rn""&gt;Serbia and Montenegro",S2497)),"Serbia and Montenegro",
ISNUMBER(SEARCH(_xlfn.UNICHAR(65533),S2497)),"Côte d'Ivoire",
TRUE,""
)</f>
        <v/>
      </c>
      <c r="W2497" s="40" t="str">
        <f t="shared" si="184"/>
        <v>Northern Ireland</v>
      </c>
    </row>
    <row r="2498" spans="2:23">
      <c r="B2498" s="76" t="str">
        <v>2014.0</v>
      </c>
      <c r="C2498" s="42" t="str">
        <v xml:space="preserve">24 Jun 2014 - 13:00 </v>
      </c>
      <c r="D2498" s="42" t="str">
        <v>Group D</v>
      </c>
      <c r="E2498" s="42" t="str">
        <v>Estadio Mineirao</v>
      </c>
      <c r="F2498" s="42" t="str">
        <v xml:space="preserve">Belo Horizonte </v>
      </c>
      <c r="G2498" s="42" t="str">
        <v>Costa Rica</v>
      </c>
      <c r="H2498" s="42" t="str">
        <v>0.0</v>
      </c>
      <c r="I2498" s="42" t="str">
        <v>0.0</v>
      </c>
      <c r="J2498" s="42" t="str">
        <v>England</v>
      </c>
      <c r="K2498" s="42" t="str">
        <v xml:space="preserve"> </v>
      </c>
      <c r="L2498" s="42" t="str">
        <f t="shared" si="185"/>
        <v xml:space="preserve">2014.0|24 Jun 2014 - 13:00 |Group D|Estadio Mineirao|Belo Horizonte |Costa Rica|0.0|0.0|England| </v>
      </c>
      <c r="M2498" s="42" t="str">
        <f>IF(COUNTIF($L$1689:L2498,L2498)&gt;1,"DOUBLON","OK")</f>
        <v>OK</v>
      </c>
      <c r="S2498" s="40" t="str">
        <v>Wales</v>
      </c>
      <c r="T2498" s="40" t="str">
        <f t="shared" si="182"/>
        <v>ERREUR</v>
      </c>
      <c r="U2498" s="40" t="str">
        <f t="shared" si="183"/>
        <v>AUCUNE</v>
      </c>
      <c r="V2498" s="40" t="str" cm="1">
        <f t="array" ref="V2498">_xlfn.IFS(
ISNUMBER(SEARCH("USA",S2498)),"United States",
ISNUMBER(SEARCH("Republic of Ireland",S2498)),"Ireland",
ISNUMBER(SEARCH("Republic of Korea",S2498)),"South Korea",
ISNUMBER(SEARCH("Cape Verde",S2498)),"Cabo Verde",
ISNUMBER(SEARCH("Czechia",S2498)),"Czech Republic",
ISNUMBER(SEARCH("Türkiye",S2498)),"Turkey",
ISNUMBER(SEARCH("Ivory Coast",S2498)),"Côte d'Ivoire",
ISNUMBER(SEARCH("Korea Republic",S2498)),"South Korea",
ISNUMBER(SEARCH("Germany FR",S2498)),"FR Germany",
ISNUMBER(SEARCH("West Germany",S2498)),"FR Germany",
ISNUMBER(SEARCH("Germany DR",S2498)),"DR Germany",
ISNUMBER(SEARCH("Korea DPR",S2498)),"North Korea",
ISNUMBER(SEARCH("China PR",S2498)),"China",
ISNUMBER(SEARCH("IR Iran",S2498)),"Iran",
ISNUMBER(SEARCH("Congo DR",S2498)),"Democratic Republic of the Congo",
ISNUMBER(SEARCH("DR Congo",S2498)),"Democratic Republic of the Congo",
ISNUMBER(SEARCH("German DR",S2498)),"DR Germany",
ISNUMBER(SEARCH("rn""&gt;United Arab Emirates",S2498)),"United Arab Emirates",
ISNUMBER(SEARCH("rn""&gt;Republic of Ireland",S2498)),"Ireland",
ISNUMBER(SEARCH("rn""&gt;Bosnia and Herzegovina",S2498)),"Bosnia and Herzegovina",
ISNUMBER(SEARCH("rn""&gt;Trinidad and Tobago",S2498)),"Trinidad and Tobago",
ISNUMBER(SEARCH("rn""&gt;Serbia and Montenegro",S2498)),"Serbia and Montenegro",
ISNUMBER(SEARCH(_xlfn.UNICHAR(65533),S2498)),"Côte d'Ivoire",
TRUE,""
)</f>
        <v/>
      </c>
      <c r="W2498" s="40" t="str">
        <f t="shared" si="184"/>
        <v>Wales</v>
      </c>
    </row>
    <row r="2499" spans="2:23">
      <c r="B2499" s="76" t="str">
        <v>2014.0</v>
      </c>
      <c r="C2499" s="42" t="str">
        <v xml:space="preserve">24 Jun 2014 - 16:00 </v>
      </c>
      <c r="D2499" s="42" t="str">
        <v>Group C</v>
      </c>
      <c r="E2499" s="42" t="str">
        <v>Arena Pantanal</v>
      </c>
      <c r="F2499" s="42" t="str">
        <v xml:space="preserve">Cuiaba </v>
      </c>
      <c r="G2499" s="42" t="str">
        <v>Japan</v>
      </c>
      <c r="H2499" s="42" t="str">
        <v>1.0</v>
      </c>
      <c r="I2499" s="42" t="str">
        <v>4.0</v>
      </c>
      <c r="J2499" s="42" t="str">
        <v>Colombia</v>
      </c>
      <c r="K2499" s="42" t="str">
        <v xml:space="preserve"> </v>
      </c>
      <c r="L2499" s="42" t="str">
        <f t="shared" si="185"/>
        <v xml:space="preserve">2014.0|24 Jun 2014 - 16:00 |Group C|Arena Pantanal|Cuiaba |Japan|1.0|4.0|Colombia| </v>
      </c>
      <c r="M2499" s="42" t="str">
        <f>IF(COUNTIF($L$1689:L2499,L2499)&gt;1,"DOUBLON","OK")</f>
        <v>OK</v>
      </c>
      <c r="S2499" s="40" t="str">
        <v>Brazil</v>
      </c>
      <c r="T2499" s="40" t="str">
        <f t="shared" ref="T2499:T2562" si="186">IF(COUNTIF(R$13:R$250,S2499)=1,"OK","ERREUR")</f>
        <v>OK</v>
      </c>
      <c r="U2499" s="40" t="str">
        <f t="shared" si="183"/>
        <v>-</v>
      </c>
      <c r="V2499" s="40" t="str" cm="1">
        <f t="array" ref="V2499">_xlfn.IFS(
ISNUMBER(SEARCH("USA",S2499)),"United States",
ISNUMBER(SEARCH("Republic of Ireland",S2499)),"Ireland",
ISNUMBER(SEARCH("Republic of Korea",S2499)),"South Korea",
ISNUMBER(SEARCH("Cape Verde",S2499)),"Cabo Verde",
ISNUMBER(SEARCH("Czechia",S2499)),"Czech Republic",
ISNUMBER(SEARCH("Türkiye",S2499)),"Turkey",
ISNUMBER(SEARCH("Ivory Coast",S2499)),"Côte d'Ivoire",
ISNUMBER(SEARCH("Korea Republic",S2499)),"South Korea",
ISNUMBER(SEARCH("Germany FR",S2499)),"FR Germany",
ISNUMBER(SEARCH("West Germany",S2499)),"FR Germany",
ISNUMBER(SEARCH("Germany DR",S2499)),"DR Germany",
ISNUMBER(SEARCH("Korea DPR",S2499)),"North Korea",
ISNUMBER(SEARCH("China PR",S2499)),"China",
ISNUMBER(SEARCH("IR Iran",S2499)),"Iran",
ISNUMBER(SEARCH("Congo DR",S2499)),"Democratic Republic of the Congo",
ISNUMBER(SEARCH("DR Congo",S2499)),"Democratic Republic of the Congo",
ISNUMBER(SEARCH("German DR",S2499)),"DR Germany",
ISNUMBER(SEARCH("rn""&gt;United Arab Emirates",S2499)),"United Arab Emirates",
ISNUMBER(SEARCH("rn""&gt;Republic of Ireland",S2499)),"Ireland",
ISNUMBER(SEARCH("rn""&gt;Bosnia and Herzegovina",S2499)),"Bosnia and Herzegovina",
ISNUMBER(SEARCH("rn""&gt;Trinidad and Tobago",S2499)),"Trinidad and Tobago",
ISNUMBER(SEARCH("rn""&gt;Serbia and Montenegro",S2499)),"Serbia and Montenegro",
ISNUMBER(SEARCH(_xlfn.UNICHAR(65533),S2499)),"Côte d'Ivoire",
TRUE,""
)</f>
        <v/>
      </c>
      <c r="W2499" s="40" t="str">
        <f t="shared" si="184"/>
        <v>Brazil</v>
      </c>
    </row>
    <row r="2500" spans="2:23">
      <c r="B2500" s="76" t="str">
        <v>2014.0</v>
      </c>
      <c r="C2500" s="42" t="str">
        <v xml:space="preserve">24 Jun 2014 - 17:00 </v>
      </c>
      <c r="D2500" s="42" t="str">
        <v>Group C</v>
      </c>
      <c r="E2500" s="42" t="str">
        <v>Estadio Castelao</v>
      </c>
      <c r="F2500" s="42" t="str">
        <v xml:space="preserve">Fortaleza </v>
      </c>
      <c r="G2500" s="42" t="str">
        <v>Greece</v>
      </c>
      <c r="H2500" s="42" t="str">
        <v>2.0</v>
      </c>
      <c r="I2500" s="42" t="str">
        <v>1.0</v>
      </c>
      <c r="J2500" s="42" t="str">
        <v>C�te d'Ivoire</v>
      </c>
      <c r="K2500" s="42" t="str">
        <v xml:space="preserve"> </v>
      </c>
      <c r="L2500" s="42" t="str">
        <f t="shared" si="185"/>
        <v xml:space="preserve">2014.0|24 Jun 2014 - 17:00 |Group C|Estadio Castelao|Fortaleza |Greece|2.0|1.0|C�te d'Ivoire| </v>
      </c>
      <c r="M2500" s="42" t="str">
        <f>IF(COUNTIF($L$1689:L2500,L2500)&gt;1,"DOUBLON","OK")</f>
        <v>OK</v>
      </c>
      <c r="S2500" s="40" t="str">
        <v>Germany FR</v>
      </c>
      <c r="T2500" s="40" t="str">
        <f t="shared" si="186"/>
        <v>ERREUR</v>
      </c>
      <c r="U2500" s="40" t="str">
        <f t="shared" ref="U2500:U2563" si="187">IF(OR(S2500="Scotland",S2500="England",S2500="Wales",S2500="Yugoslavia",S2500="Czechoslovakia",S2500="Northern Ireland",S2500="Soviet Union",S2500="Zaire",S2500="Dutch East Indies"),"AUCUNE",IF(OR(S2500="Cape Verde",S2500="USA",S2500="DR Congo",S2500="Republic of Korea",S2500="Germany FR",S2500="Germany DR",S2500="Czechia",S2500="Ivory Coast",S2500="Korea DPR",S2500="China PR",S2500="IR Iran",S2500="Türkiye",S2500="Congo DR",S2500="German DR",S2500="West Germany",S2500="Republic of Ireland",ISNUMBER(SEARCH(_xlfn.UNICHAR(65533),S2500)),S2500="Korea Republic",ISNUMBER(SEARCH("rn""&gt;United Arab Emirates",S2500)),ISNUMBER(SEARCH("rn""&gt;Republic of Ireland",S2500)),ISNUMBER(SEARCH("rn""&gt;Bosnia and Herzegovina",S2500)),ISNUMBER(SEARCH("rn""&gt;Trinidad and Tobago",S2500)),ISNUMBER(SEARCH("rn""&gt;Serbia and Montenegro",S2500)),ISNUMBER(SEARCH(_xlfn.UNICHAR(65533),S2500))),"RENOMMER","-"))</f>
        <v>RENOMMER</v>
      </c>
      <c r="V2500" s="40" t="str" cm="1">
        <f t="array" ref="V2500">_xlfn.IFS(
ISNUMBER(SEARCH("USA",S2500)),"United States",
ISNUMBER(SEARCH("Republic of Ireland",S2500)),"Ireland",
ISNUMBER(SEARCH("Republic of Korea",S2500)),"South Korea",
ISNUMBER(SEARCH("Cape Verde",S2500)),"Cabo Verde",
ISNUMBER(SEARCH("Czechia",S2500)),"Czech Republic",
ISNUMBER(SEARCH("Türkiye",S2500)),"Turkey",
ISNUMBER(SEARCH("Ivory Coast",S2500)),"Côte d'Ivoire",
ISNUMBER(SEARCH("Korea Republic",S2500)),"South Korea",
ISNUMBER(SEARCH("Germany FR",S2500)),"FR Germany",
ISNUMBER(SEARCH("West Germany",S2500)),"FR Germany",
ISNUMBER(SEARCH("Germany DR",S2500)),"DR Germany",
ISNUMBER(SEARCH("Korea DPR",S2500)),"North Korea",
ISNUMBER(SEARCH("China PR",S2500)),"China",
ISNUMBER(SEARCH("IR Iran",S2500)),"Iran",
ISNUMBER(SEARCH("Congo DR",S2500)),"Democratic Republic of the Congo",
ISNUMBER(SEARCH("DR Congo",S2500)),"Democratic Republic of the Congo",
ISNUMBER(SEARCH("German DR",S2500)),"DR Germany",
ISNUMBER(SEARCH("rn""&gt;United Arab Emirates",S2500)),"United Arab Emirates",
ISNUMBER(SEARCH("rn""&gt;Republic of Ireland",S2500)),"Ireland",
ISNUMBER(SEARCH("rn""&gt;Bosnia and Herzegovina",S2500)),"Bosnia and Herzegovina",
ISNUMBER(SEARCH("rn""&gt;Trinidad and Tobago",S2500)),"Trinidad and Tobago",
ISNUMBER(SEARCH("rn""&gt;Serbia and Montenegro",S2500)),"Serbia and Montenegro",
ISNUMBER(SEARCH(_xlfn.UNICHAR(65533),S2500)),"Côte d'Ivoire",
TRUE,""
)</f>
        <v>FR Germany</v>
      </c>
      <c r="W2500" s="40" t="str">
        <f t="shared" ref="W2500:W2563" si="188">IF(V2500="",S2500,V2500)</f>
        <v>FR Germany</v>
      </c>
    </row>
    <row r="2501" spans="2:23">
      <c r="B2501" s="76" t="str">
        <v>2014.0</v>
      </c>
      <c r="C2501" s="42" t="str">
        <v xml:space="preserve">25 Jun 2014 - 13:00 </v>
      </c>
      <c r="D2501" s="42" t="str">
        <v>Group F</v>
      </c>
      <c r="E2501" s="42" t="str">
        <v>Estadio Beira-Rio</v>
      </c>
      <c r="F2501" s="42" t="str">
        <v xml:space="preserve">Porto Alegre </v>
      </c>
      <c r="G2501" s="42" t="str">
        <v>Nigeria</v>
      </c>
      <c r="H2501" s="42" t="str">
        <v>2.0</v>
      </c>
      <c r="I2501" s="42" t="str">
        <v>3.0</v>
      </c>
      <c r="J2501" s="42" t="str">
        <v>Argentina</v>
      </c>
      <c r="K2501" s="42" t="str">
        <v xml:space="preserve"> </v>
      </c>
      <c r="L2501" s="42" t="str">
        <f t="shared" si="185"/>
        <v xml:space="preserve">2014.0|25 Jun 2014 - 13:00 |Group F|Estadio Beira-Rio|Porto Alegre |Nigeria|2.0|3.0|Argentina| </v>
      </c>
      <c r="M2501" s="42" t="str">
        <f>IF(COUNTIF($L$1689:L2501,L2501)&gt;1,"DOUBLON","OK")</f>
        <v>OK</v>
      </c>
      <c r="S2501" s="40" t="str">
        <v>Sweden</v>
      </c>
      <c r="T2501" s="40" t="str">
        <f t="shared" si="186"/>
        <v>OK</v>
      </c>
      <c r="U2501" s="40" t="str">
        <f t="shared" si="187"/>
        <v>-</v>
      </c>
      <c r="V2501" s="40" t="str" cm="1">
        <f t="array" ref="V2501">_xlfn.IFS(
ISNUMBER(SEARCH("USA",S2501)),"United States",
ISNUMBER(SEARCH("Republic of Ireland",S2501)),"Ireland",
ISNUMBER(SEARCH("Republic of Korea",S2501)),"South Korea",
ISNUMBER(SEARCH("Cape Verde",S2501)),"Cabo Verde",
ISNUMBER(SEARCH("Czechia",S2501)),"Czech Republic",
ISNUMBER(SEARCH("Türkiye",S2501)),"Turkey",
ISNUMBER(SEARCH("Ivory Coast",S2501)),"Côte d'Ivoire",
ISNUMBER(SEARCH("Korea Republic",S2501)),"South Korea",
ISNUMBER(SEARCH("Germany FR",S2501)),"FR Germany",
ISNUMBER(SEARCH("West Germany",S2501)),"FR Germany",
ISNUMBER(SEARCH("Germany DR",S2501)),"DR Germany",
ISNUMBER(SEARCH("Korea DPR",S2501)),"North Korea",
ISNUMBER(SEARCH("China PR",S2501)),"China",
ISNUMBER(SEARCH("IR Iran",S2501)),"Iran",
ISNUMBER(SEARCH("Congo DR",S2501)),"Democratic Republic of the Congo",
ISNUMBER(SEARCH("DR Congo",S2501)),"Democratic Republic of the Congo",
ISNUMBER(SEARCH("German DR",S2501)),"DR Germany",
ISNUMBER(SEARCH("rn""&gt;United Arab Emirates",S2501)),"United Arab Emirates",
ISNUMBER(SEARCH("rn""&gt;Republic of Ireland",S2501)),"Ireland",
ISNUMBER(SEARCH("rn""&gt;Bosnia and Herzegovina",S2501)),"Bosnia and Herzegovina",
ISNUMBER(SEARCH("rn""&gt;Trinidad and Tobago",S2501)),"Trinidad and Tobago",
ISNUMBER(SEARCH("rn""&gt;Serbia and Montenegro",S2501)),"Serbia and Montenegro",
ISNUMBER(SEARCH(_xlfn.UNICHAR(65533),S2501)),"Côte d'Ivoire",
TRUE,""
)</f>
        <v/>
      </c>
      <c r="W2501" s="40" t="str">
        <f t="shared" si="188"/>
        <v>Sweden</v>
      </c>
    </row>
    <row r="2502" spans="2:23">
      <c r="B2502" s="76" t="str">
        <v>2014.0</v>
      </c>
      <c r="C2502" s="42" t="str">
        <v xml:space="preserve">25 Jun 2014 - 13:00 </v>
      </c>
      <c r="D2502" s="42" t="str">
        <v>Group F</v>
      </c>
      <c r="E2502" s="42" t="str">
        <v>Arena Fonte Nova</v>
      </c>
      <c r="F2502" s="42" t="str">
        <v xml:space="preserve">Salvador </v>
      </c>
      <c r="G2502" s="42" t="str">
        <v>rn"&gt;Bosnia and Herzegovina</v>
      </c>
      <c r="H2502" s="42" t="str">
        <v>3.0</v>
      </c>
      <c r="I2502" s="42" t="str">
        <v>1.0</v>
      </c>
      <c r="J2502" s="42" t="str">
        <v>IR Iran</v>
      </c>
      <c r="K2502" s="42" t="str">
        <v xml:space="preserve"> </v>
      </c>
      <c r="L2502" s="42" t="str">
        <f t="shared" si="185"/>
        <v xml:space="preserve">2014.0|25 Jun 2014 - 13:00 |Group F|Arena Fonte Nova|Salvador |rn"&gt;Bosnia and Herzegovina|3.0|1.0|IR Iran| </v>
      </c>
      <c r="M2502" s="42" t="str">
        <f>IF(COUNTIF($L$1689:L2502,L2502)&gt;1,"DOUBLON","OK")</f>
        <v>OK</v>
      </c>
      <c r="S2502" s="40" t="str">
        <v>France</v>
      </c>
      <c r="T2502" s="40" t="str">
        <f t="shared" si="186"/>
        <v>OK</v>
      </c>
      <c r="U2502" s="40" t="str">
        <f t="shared" si="187"/>
        <v>-</v>
      </c>
      <c r="V2502" s="40" t="str" cm="1">
        <f t="array" ref="V2502">_xlfn.IFS(
ISNUMBER(SEARCH("USA",S2502)),"United States",
ISNUMBER(SEARCH("Republic of Ireland",S2502)),"Ireland",
ISNUMBER(SEARCH("Republic of Korea",S2502)),"South Korea",
ISNUMBER(SEARCH("Cape Verde",S2502)),"Cabo Verde",
ISNUMBER(SEARCH("Czechia",S2502)),"Czech Republic",
ISNUMBER(SEARCH("Türkiye",S2502)),"Turkey",
ISNUMBER(SEARCH("Ivory Coast",S2502)),"Côte d'Ivoire",
ISNUMBER(SEARCH("Korea Republic",S2502)),"South Korea",
ISNUMBER(SEARCH("Germany FR",S2502)),"FR Germany",
ISNUMBER(SEARCH("West Germany",S2502)),"FR Germany",
ISNUMBER(SEARCH("Germany DR",S2502)),"DR Germany",
ISNUMBER(SEARCH("Korea DPR",S2502)),"North Korea",
ISNUMBER(SEARCH("China PR",S2502)),"China",
ISNUMBER(SEARCH("IR Iran",S2502)),"Iran",
ISNUMBER(SEARCH("Congo DR",S2502)),"Democratic Republic of the Congo",
ISNUMBER(SEARCH("DR Congo",S2502)),"Democratic Republic of the Congo",
ISNUMBER(SEARCH("German DR",S2502)),"DR Germany",
ISNUMBER(SEARCH("rn""&gt;United Arab Emirates",S2502)),"United Arab Emirates",
ISNUMBER(SEARCH("rn""&gt;Republic of Ireland",S2502)),"Ireland",
ISNUMBER(SEARCH("rn""&gt;Bosnia and Herzegovina",S2502)),"Bosnia and Herzegovina",
ISNUMBER(SEARCH("rn""&gt;Trinidad and Tobago",S2502)),"Trinidad and Tobago",
ISNUMBER(SEARCH("rn""&gt;Serbia and Montenegro",S2502)),"Serbia and Montenegro",
ISNUMBER(SEARCH(_xlfn.UNICHAR(65533),S2502)),"Côte d'Ivoire",
TRUE,""
)</f>
        <v/>
      </c>
      <c r="W2502" s="40" t="str">
        <f t="shared" si="188"/>
        <v>France</v>
      </c>
    </row>
    <row r="2503" spans="2:23">
      <c r="B2503" s="76" t="str">
        <v>2014.0</v>
      </c>
      <c r="C2503" s="42" t="str">
        <v xml:space="preserve">25 Jun 2014 - 16:00 </v>
      </c>
      <c r="D2503" s="42" t="str">
        <v>Group E</v>
      </c>
      <c r="E2503" s="42" t="str">
        <v>Arena Amazonia</v>
      </c>
      <c r="F2503" s="42" t="str">
        <v xml:space="preserve">Manaus </v>
      </c>
      <c r="G2503" s="42" t="str">
        <v>Honduras</v>
      </c>
      <c r="H2503" s="42" t="str">
        <v>0.0</v>
      </c>
      <c r="I2503" s="42" t="str">
        <v>3.0</v>
      </c>
      <c r="J2503" s="42" t="str">
        <v>Switzerland</v>
      </c>
      <c r="K2503" s="42" t="str">
        <v xml:space="preserve"> </v>
      </c>
      <c r="L2503" s="42" t="str">
        <f t="shared" si="185"/>
        <v xml:space="preserve">2014.0|25 Jun 2014 - 16:00 |Group E|Arena Amazonia|Manaus |Honduras|0.0|3.0|Switzerland| </v>
      </c>
      <c r="M2503" s="42" t="str">
        <f>IF(COUNTIF($L$1689:L2503,L2503)&gt;1,"DOUBLON","OK")</f>
        <v>OK</v>
      </c>
      <c r="S2503" s="40" t="str">
        <v>Sweden</v>
      </c>
      <c r="T2503" s="40" t="str">
        <f t="shared" si="186"/>
        <v>OK</v>
      </c>
      <c r="U2503" s="40" t="str">
        <f t="shared" si="187"/>
        <v>-</v>
      </c>
      <c r="V2503" s="40" t="str" cm="1">
        <f t="array" ref="V2503">_xlfn.IFS(
ISNUMBER(SEARCH("USA",S2503)),"United States",
ISNUMBER(SEARCH("Republic of Ireland",S2503)),"Ireland",
ISNUMBER(SEARCH("Republic of Korea",S2503)),"South Korea",
ISNUMBER(SEARCH("Cape Verde",S2503)),"Cabo Verde",
ISNUMBER(SEARCH("Czechia",S2503)),"Czech Republic",
ISNUMBER(SEARCH("Türkiye",S2503)),"Turkey",
ISNUMBER(SEARCH("Ivory Coast",S2503)),"Côte d'Ivoire",
ISNUMBER(SEARCH("Korea Republic",S2503)),"South Korea",
ISNUMBER(SEARCH("Germany FR",S2503)),"FR Germany",
ISNUMBER(SEARCH("West Germany",S2503)),"FR Germany",
ISNUMBER(SEARCH("Germany DR",S2503)),"DR Germany",
ISNUMBER(SEARCH("Korea DPR",S2503)),"North Korea",
ISNUMBER(SEARCH("China PR",S2503)),"China",
ISNUMBER(SEARCH("IR Iran",S2503)),"Iran",
ISNUMBER(SEARCH("Congo DR",S2503)),"Democratic Republic of the Congo",
ISNUMBER(SEARCH("DR Congo",S2503)),"Democratic Republic of the Congo",
ISNUMBER(SEARCH("German DR",S2503)),"DR Germany",
ISNUMBER(SEARCH("rn""&gt;United Arab Emirates",S2503)),"United Arab Emirates",
ISNUMBER(SEARCH("rn""&gt;Republic of Ireland",S2503)),"Ireland",
ISNUMBER(SEARCH("rn""&gt;Bosnia and Herzegovina",S2503)),"Bosnia and Herzegovina",
ISNUMBER(SEARCH("rn""&gt;Trinidad and Tobago",S2503)),"Trinidad and Tobago",
ISNUMBER(SEARCH("rn""&gt;Serbia and Montenegro",S2503)),"Serbia and Montenegro",
ISNUMBER(SEARCH(_xlfn.UNICHAR(65533),S2503)),"Côte d'Ivoire",
TRUE,""
)</f>
        <v/>
      </c>
      <c r="W2503" s="40" t="str">
        <f t="shared" si="188"/>
        <v>Sweden</v>
      </c>
    </row>
    <row r="2504" spans="2:23">
      <c r="B2504" s="76" t="str">
        <v>2014.0</v>
      </c>
      <c r="C2504" s="42" t="str">
        <v xml:space="preserve">25 Jun 2014 - 17:00 </v>
      </c>
      <c r="D2504" s="42" t="str">
        <v>Group E</v>
      </c>
      <c r="E2504" s="42" t="str">
        <v>Estadio do Maracana</v>
      </c>
      <c r="F2504" s="42" t="str">
        <v xml:space="preserve">Rio De Janeiro </v>
      </c>
      <c r="G2504" s="42" t="str">
        <v>Ecuador</v>
      </c>
      <c r="H2504" s="42" t="str">
        <v>0.0</v>
      </c>
      <c r="I2504" s="42" t="str">
        <v>0.0</v>
      </c>
      <c r="J2504" s="42" t="str">
        <v>France</v>
      </c>
      <c r="K2504" s="42" t="str">
        <v xml:space="preserve"> </v>
      </c>
      <c r="L2504" s="42" t="str">
        <f t="shared" si="185"/>
        <v xml:space="preserve">2014.0|25 Jun 2014 - 17:00 |Group E|Estadio do Maracana|Rio De Janeiro |Ecuador|0.0|0.0|France| </v>
      </c>
      <c r="M2504" s="42" t="str">
        <f>IF(COUNTIF($L$1689:L2504,L2504)&gt;1,"DOUBLON","OK")</f>
        <v>OK</v>
      </c>
      <c r="S2504" s="40" t="str">
        <v>Brazil</v>
      </c>
      <c r="T2504" s="40" t="str">
        <f t="shared" si="186"/>
        <v>OK</v>
      </c>
      <c r="U2504" s="40" t="str">
        <f t="shared" si="187"/>
        <v>-</v>
      </c>
      <c r="V2504" s="40" t="str" cm="1">
        <f t="array" ref="V2504">_xlfn.IFS(
ISNUMBER(SEARCH("USA",S2504)),"United States",
ISNUMBER(SEARCH("Republic of Ireland",S2504)),"Ireland",
ISNUMBER(SEARCH("Republic of Korea",S2504)),"South Korea",
ISNUMBER(SEARCH("Cape Verde",S2504)),"Cabo Verde",
ISNUMBER(SEARCH("Czechia",S2504)),"Czech Republic",
ISNUMBER(SEARCH("Türkiye",S2504)),"Turkey",
ISNUMBER(SEARCH("Ivory Coast",S2504)),"Côte d'Ivoire",
ISNUMBER(SEARCH("Korea Republic",S2504)),"South Korea",
ISNUMBER(SEARCH("Germany FR",S2504)),"FR Germany",
ISNUMBER(SEARCH("West Germany",S2504)),"FR Germany",
ISNUMBER(SEARCH("Germany DR",S2504)),"DR Germany",
ISNUMBER(SEARCH("Korea DPR",S2504)),"North Korea",
ISNUMBER(SEARCH("China PR",S2504)),"China",
ISNUMBER(SEARCH("IR Iran",S2504)),"Iran",
ISNUMBER(SEARCH("Congo DR",S2504)),"Democratic Republic of the Congo",
ISNUMBER(SEARCH("DR Congo",S2504)),"Democratic Republic of the Congo",
ISNUMBER(SEARCH("German DR",S2504)),"DR Germany",
ISNUMBER(SEARCH("rn""&gt;United Arab Emirates",S2504)),"United Arab Emirates",
ISNUMBER(SEARCH("rn""&gt;Republic of Ireland",S2504)),"Ireland",
ISNUMBER(SEARCH("rn""&gt;Bosnia and Herzegovina",S2504)),"Bosnia and Herzegovina",
ISNUMBER(SEARCH("rn""&gt;Trinidad and Tobago",S2504)),"Trinidad and Tobago",
ISNUMBER(SEARCH("rn""&gt;Serbia and Montenegro",S2504)),"Serbia and Montenegro",
ISNUMBER(SEARCH(_xlfn.UNICHAR(65533),S2504)),"Côte d'Ivoire",
TRUE,""
)</f>
        <v/>
      </c>
      <c r="W2504" s="40" t="str">
        <f t="shared" si="188"/>
        <v>Brazil</v>
      </c>
    </row>
    <row r="2505" spans="2:23">
      <c r="B2505" s="76" t="str">
        <v>2014.0</v>
      </c>
      <c r="C2505" s="42" t="str">
        <v xml:space="preserve">26 Jun 2014 - 13:00 </v>
      </c>
      <c r="D2505" s="42" t="str">
        <v>Group G</v>
      </c>
      <c r="E2505" s="42" t="str">
        <v>Arena Pernambuco</v>
      </c>
      <c r="F2505" s="42" t="str">
        <v xml:space="preserve">Recife </v>
      </c>
      <c r="G2505" s="42" t="str">
        <v>USA</v>
      </c>
      <c r="H2505" s="42" t="str">
        <v>0.0</v>
      </c>
      <c r="I2505" s="42" t="str">
        <v>1.0</v>
      </c>
      <c r="J2505" s="42" t="str">
        <v>Germany</v>
      </c>
      <c r="K2505" s="42" t="str">
        <v xml:space="preserve"> </v>
      </c>
      <c r="L2505" s="42" t="str">
        <f t="shared" si="185"/>
        <v xml:space="preserve">2014.0|26 Jun 2014 - 13:00 |Group G|Arena Pernambuco|Recife |USA|0.0|1.0|Germany| </v>
      </c>
      <c r="M2505" s="42" t="str">
        <f>IF(COUNTIF($L$1689:L2505,L2505)&gt;1,"DOUBLON","OK")</f>
        <v>OK</v>
      </c>
      <c r="S2505" s="40" t="str">
        <v>France</v>
      </c>
      <c r="T2505" s="40" t="str">
        <f t="shared" si="186"/>
        <v>OK</v>
      </c>
      <c r="U2505" s="40" t="str">
        <f t="shared" si="187"/>
        <v>-</v>
      </c>
      <c r="V2505" s="40" t="str" cm="1">
        <f t="array" ref="V2505">_xlfn.IFS(
ISNUMBER(SEARCH("USA",S2505)),"United States",
ISNUMBER(SEARCH("Republic of Ireland",S2505)),"Ireland",
ISNUMBER(SEARCH("Republic of Korea",S2505)),"South Korea",
ISNUMBER(SEARCH("Cape Verde",S2505)),"Cabo Verde",
ISNUMBER(SEARCH("Czechia",S2505)),"Czech Republic",
ISNUMBER(SEARCH("Türkiye",S2505)),"Turkey",
ISNUMBER(SEARCH("Ivory Coast",S2505)),"Côte d'Ivoire",
ISNUMBER(SEARCH("Korea Republic",S2505)),"South Korea",
ISNUMBER(SEARCH("Germany FR",S2505)),"FR Germany",
ISNUMBER(SEARCH("West Germany",S2505)),"FR Germany",
ISNUMBER(SEARCH("Germany DR",S2505)),"DR Germany",
ISNUMBER(SEARCH("Korea DPR",S2505)),"North Korea",
ISNUMBER(SEARCH("China PR",S2505)),"China",
ISNUMBER(SEARCH("IR Iran",S2505)),"Iran",
ISNUMBER(SEARCH("Congo DR",S2505)),"Democratic Republic of the Congo",
ISNUMBER(SEARCH("DR Congo",S2505)),"Democratic Republic of the Congo",
ISNUMBER(SEARCH("German DR",S2505)),"DR Germany",
ISNUMBER(SEARCH("rn""&gt;United Arab Emirates",S2505)),"United Arab Emirates",
ISNUMBER(SEARCH("rn""&gt;Republic of Ireland",S2505)),"Ireland",
ISNUMBER(SEARCH("rn""&gt;Bosnia and Herzegovina",S2505)),"Bosnia and Herzegovina",
ISNUMBER(SEARCH("rn""&gt;Trinidad and Tobago",S2505)),"Trinidad and Tobago",
ISNUMBER(SEARCH("rn""&gt;Serbia and Montenegro",S2505)),"Serbia and Montenegro",
ISNUMBER(SEARCH(_xlfn.UNICHAR(65533),S2505)),"Côte d'Ivoire",
TRUE,""
)</f>
        <v/>
      </c>
      <c r="W2505" s="40" t="str">
        <f t="shared" si="188"/>
        <v>France</v>
      </c>
    </row>
    <row r="2506" spans="2:23">
      <c r="B2506" s="76" t="str">
        <v>2014.0</v>
      </c>
      <c r="C2506" s="42" t="str">
        <v xml:space="preserve">26 Jun 2014 - 13:00 </v>
      </c>
      <c r="D2506" s="42" t="str">
        <v>Group G</v>
      </c>
      <c r="E2506" s="42" t="str">
        <v>Estadio Nacional</v>
      </c>
      <c r="F2506" s="42" t="str">
        <v xml:space="preserve">Brasilia </v>
      </c>
      <c r="G2506" s="42" t="str">
        <v>Portugal</v>
      </c>
      <c r="H2506" s="42" t="str">
        <v>2.0</v>
      </c>
      <c r="I2506" s="42" t="str">
        <v>1.0</v>
      </c>
      <c r="J2506" s="42" t="str">
        <v>Ghana</v>
      </c>
      <c r="K2506" s="42" t="str">
        <v xml:space="preserve"> </v>
      </c>
      <c r="L2506" s="42" t="str">
        <f t="shared" si="185"/>
        <v xml:space="preserve">2014.0|26 Jun 2014 - 13:00 |Group G|Estadio Nacional|Brasilia |Portugal|2.0|1.0|Ghana| </v>
      </c>
      <c r="M2506" s="42" t="str">
        <f>IF(COUNTIF($L$1689:L2506,L2506)&gt;1,"DOUBLON","OK")</f>
        <v>OK</v>
      </c>
      <c r="S2506" s="40" t="str">
        <v>Brazil</v>
      </c>
      <c r="T2506" s="40" t="str">
        <f t="shared" si="186"/>
        <v>OK</v>
      </c>
      <c r="U2506" s="40" t="str">
        <f t="shared" si="187"/>
        <v>-</v>
      </c>
      <c r="V2506" s="40" t="str" cm="1">
        <f t="array" ref="V2506">_xlfn.IFS(
ISNUMBER(SEARCH("USA",S2506)),"United States",
ISNUMBER(SEARCH("Republic of Ireland",S2506)),"Ireland",
ISNUMBER(SEARCH("Republic of Korea",S2506)),"South Korea",
ISNUMBER(SEARCH("Cape Verde",S2506)),"Cabo Verde",
ISNUMBER(SEARCH("Czechia",S2506)),"Czech Republic",
ISNUMBER(SEARCH("Türkiye",S2506)),"Turkey",
ISNUMBER(SEARCH("Ivory Coast",S2506)),"Côte d'Ivoire",
ISNUMBER(SEARCH("Korea Republic",S2506)),"South Korea",
ISNUMBER(SEARCH("Germany FR",S2506)),"FR Germany",
ISNUMBER(SEARCH("West Germany",S2506)),"FR Germany",
ISNUMBER(SEARCH("Germany DR",S2506)),"DR Germany",
ISNUMBER(SEARCH("Korea DPR",S2506)),"North Korea",
ISNUMBER(SEARCH("China PR",S2506)),"China",
ISNUMBER(SEARCH("IR Iran",S2506)),"Iran",
ISNUMBER(SEARCH("Congo DR",S2506)),"Democratic Republic of the Congo",
ISNUMBER(SEARCH("DR Congo",S2506)),"Democratic Republic of the Congo",
ISNUMBER(SEARCH("German DR",S2506)),"DR Germany",
ISNUMBER(SEARCH("rn""&gt;United Arab Emirates",S2506)),"United Arab Emirates",
ISNUMBER(SEARCH("rn""&gt;Republic of Ireland",S2506)),"Ireland",
ISNUMBER(SEARCH("rn""&gt;Bosnia and Herzegovina",S2506)),"Bosnia and Herzegovina",
ISNUMBER(SEARCH("rn""&gt;Trinidad and Tobago",S2506)),"Trinidad and Tobago",
ISNUMBER(SEARCH("rn""&gt;Serbia and Montenegro",S2506)),"Serbia and Montenegro",
ISNUMBER(SEARCH(_xlfn.UNICHAR(65533),S2506)),"Côte d'Ivoire",
TRUE,""
)</f>
        <v/>
      </c>
      <c r="W2506" s="40" t="str">
        <f t="shared" si="188"/>
        <v>Brazil</v>
      </c>
    </row>
    <row r="2507" spans="2:23">
      <c r="B2507" s="76" t="str">
        <v>2014.0</v>
      </c>
      <c r="C2507" s="42" t="str">
        <v xml:space="preserve">26 Jun 2014 - 17:00 </v>
      </c>
      <c r="D2507" s="42" t="str">
        <v>Group H</v>
      </c>
      <c r="E2507" s="42" t="str">
        <v>Arena de Sao Paulo</v>
      </c>
      <c r="F2507" s="42" t="str">
        <v xml:space="preserve">Sao Paulo </v>
      </c>
      <c r="G2507" s="42" t="str">
        <v>Korea Republic</v>
      </c>
      <c r="H2507" s="42" t="str">
        <v>0.0</v>
      </c>
      <c r="I2507" s="42" t="str">
        <v>1.0</v>
      </c>
      <c r="J2507" s="42" t="str">
        <v>Belgium</v>
      </c>
      <c r="K2507" s="42" t="str">
        <v xml:space="preserve"> </v>
      </c>
      <c r="L2507" s="42" t="str">
        <f t="shared" si="185"/>
        <v xml:space="preserve">2014.0|26 Jun 2014 - 17:00 |Group H|Arena de Sao Paulo|Sao Paulo |Korea Republic|0.0|1.0|Belgium| </v>
      </c>
      <c r="M2507" s="42" t="str">
        <f>IF(COUNTIF($L$1689:L2507,L2507)&gt;1,"DOUBLON","OK")</f>
        <v>OK</v>
      </c>
      <c r="S2507" s="40" t="str">
        <v>Uruguay</v>
      </c>
      <c r="T2507" s="40" t="str">
        <f t="shared" si="186"/>
        <v>OK</v>
      </c>
      <c r="U2507" s="40" t="str">
        <f t="shared" si="187"/>
        <v>-</v>
      </c>
      <c r="V2507" s="40" t="str" cm="1">
        <f t="array" ref="V2507">_xlfn.IFS(
ISNUMBER(SEARCH("USA",S2507)),"United States",
ISNUMBER(SEARCH("Republic of Ireland",S2507)),"Ireland",
ISNUMBER(SEARCH("Republic of Korea",S2507)),"South Korea",
ISNUMBER(SEARCH("Cape Verde",S2507)),"Cabo Verde",
ISNUMBER(SEARCH("Czechia",S2507)),"Czech Republic",
ISNUMBER(SEARCH("Türkiye",S2507)),"Turkey",
ISNUMBER(SEARCH("Ivory Coast",S2507)),"Côte d'Ivoire",
ISNUMBER(SEARCH("Korea Republic",S2507)),"South Korea",
ISNUMBER(SEARCH("Germany FR",S2507)),"FR Germany",
ISNUMBER(SEARCH("West Germany",S2507)),"FR Germany",
ISNUMBER(SEARCH("Germany DR",S2507)),"DR Germany",
ISNUMBER(SEARCH("Korea DPR",S2507)),"North Korea",
ISNUMBER(SEARCH("China PR",S2507)),"China",
ISNUMBER(SEARCH("IR Iran",S2507)),"Iran",
ISNUMBER(SEARCH("Congo DR",S2507)),"Democratic Republic of the Congo",
ISNUMBER(SEARCH("DR Congo",S2507)),"Democratic Republic of the Congo",
ISNUMBER(SEARCH("German DR",S2507)),"DR Germany",
ISNUMBER(SEARCH("rn""&gt;United Arab Emirates",S2507)),"United Arab Emirates",
ISNUMBER(SEARCH("rn""&gt;Republic of Ireland",S2507)),"Ireland",
ISNUMBER(SEARCH("rn""&gt;Bosnia and Herzegovina",S2507)),"Bosnia and Herzegovina",
ISNUMBER(SEARCH("rn""&gt;Trinidad and Tobago",S2507)),"Trinidad and Tobago",
ISNUMBER(SEARCH("rn""&gt;Serbia and Montenegro",S2507)),"Serbia and Montenegro",
ISNUMBER(SEARCH(_xlfn.UNICHAR(65533),S2507)),"Côte d'Ivoire",
TRUE,""
)</f>
        <v/>
      </c>
      <c r="W2507" s="40" t="str">
        <f t="shared" si="188"/>
        <v>Uruguay</v>
      </c>
    </row>
    <row r="2508" spans="2:23">
      <c r="B2508" s="76" t="str">
        <v>2014.0</v>
      </c>
      <c r="C2508" s="42" t="str">
        <v xml:space="preserve">26 Jun 2014 - 17:00 </v>
      </c>
      <c r="D2508" s="42" t="str">
        <v>Group H</v>
      </c>
      <c r="E2508" s="42" t="str">
        <v>Arena da Baixada</v>
      </c>
      <c r="F2508" s="42" t="str">
        <v xml:space="preserve">Curitiba </v>
      </c>
      <c r="G2508" s="42" t="str">
        <v>Algeria</v>
      </c>
      <c r="H2508" s="42" t="str">
        <v>1.0</v>
      </c>
      <c r="I2508" s="42" t="str">
        <v>1.0</v>
      </c>
      <c r="J2508" s="42" t="str">
        <v>Russia</v>
      </c>
      <c r="K2508" s="42" t="str">
        <v xml:space="preserve"> </v>
      </c>
      <c r="L2508" s="42" t="str">
        <f t="shared" si="185"/>
        <v xml:space="preserve">2014.0|26 Jun 2014 - 17:00 |Group H|Arena da Baixada|Curitiba |Algeria|1.0|1.0|Russia| </v>
      </c>
      <c r="M2508" s="42" t="str">
        <f>IF(COUNTIF($L$1689:L2508,L2508)&gt;1,"DOUBLON","OK")</f>
        <v>OK</v>
      </c>
      <c r="S2508" s="40" t="str">
        <v>Brazil</v>
      </c>
      <c r="T2508" s="40" t="str">
        <f t="shared" si="186"/>
        <v>OK</v>
      </c>
      <c r="U2508" s="40" t="str">
        <f t="shared" si="187"/>
        <v>-</v>
      </c>
      <c r="V2508" s="40" t="str" cm="1">
        <f t="array" ref="V2508">_xlfn.IFS(
ISNUMBER(SEARCH("USA",S2508)),"United States",
ISNUMBER(SEARCH("Republic of Ireland",S2508)),"Ireland",
ISNUMBER(SEARCH("Republic of Korea",S2508)),"South Korea",
ISNUMBER(SEARCH("Cape Verde",S2508)),"Cabo Verde",
ISNUMBER(SEARCH("Czechia",S2508)),"Czech Republic",
ISNUMBER(SEARCH("Türkiye",S2508)),"Turkey",
ISNUMBER(SEARCH("Ivory Coast",S2508)),"Côte d'Ivoire",
ISNUMBER(SEARCH("Korea Republic",S2508)),"South Korea",
ISNUMBER(SEARCH("Germany FR",S2508)),"FR Germany",
ISNUMBER(SEARCH("West Germany",S2508)),"FR Germany",
ISNUMBER(SEARCH("Germany DR",S2508)),"DR Germany",
ISNUMBER(SEARCH("Korea DPR",S2508)),"North Korea",
ISNUMBER(SEARCH("China PR",S2508)),"China",
ISNUMBER(SEARCH("IR Iran",S2508)),"Iran",
ISNUMBER(SEARCH("Congo DR",S2508)),"Democratic Republic of the Congo",
ISNUMBER(SEARCH("DR Congo",S2508)),"Democratic Republic of the Congo",
ISNUMBER(SEARCH("German DR",S2508)),"DR Germany",
ISNUMBER(SEARCH("rn""&gt;United Arab Emirates",S2508)),"United Arab Emirates",
ISNUMBER(SEARCH("rn""&gt;Republic of Ireland",S2508)),"Ireland",
ISNUMBER(SEARCH("rn""&gt;Bosnia and Herzegovina",S2508)),"Bosnia and Herzegovina",
ISNUMBER(SEARCH("rn""&gt;Trinidad and Tobago",S2508)),"Trinidad and Tobago",
ISNUMBER(SEARCH("rn""&gt;Serbia and Montenegro",S2508)),"Serbia and Montenegro",
ISNUMBER(SEARCH(_xlfn.UNICHAR(65533),S2508)),"Côte d'Ivoire",
TRUE,""
)</f>
        <v/>
      </c>
      <c r="W2508" s="40" t="str">
        <f t="shared" si="188"/>
        <v>Brazil</v>
      </c>
    </row>
    <row r="2509" spans="2:23">
      <c r="B2509" s="76" t="str">
        <v>2014.0</v>
      </c>
      <c r="C2509" s="42" t="str">
        <v xml:space="preserve">28 Jun 2014 - 13:00 </v>
      </c>
      <c r="D2509" s="42" t="str">
        <v>Round of 16</v>
      </c>
      <c r="E2509" s="42" t="str">
        <v>Estadio Mineirao</v>
      </c>
      <c r="F2509" s="42" t="str">
        <v xml:space="preserve">Belo Horizonte </v>
      </c>
      <c r="G2509" s="42" t="str">
        <v>Brazil</v>
      </c>
      <c r="H2509" s="42" t="str">
        <v>1.0</v>
      </c>
      <c r="I2509" s="42" t="str">
        <v>1.0</v>
      </c>
      <c r="J2509" s="42" t="str">
        <v>Chile</v>
      </c>
      <c r="K2509" s="42" t="str">
        <v xml:space="preserve">Brazil win on penalties (3 - 2) </v>
      </c>
      <c r="L2509" s="42" t="str">
        <f t="shared" si="185"/>
        <v xml:space="preserve">2014.0|28 Jun 2014 - 13:00 |Round of 16|Estadio Mineirao|Belo Horizonte |Brazil|1.0|1.0|Chile|Brazil win on penalties (3 - 2) </v>
      </c>
      <c r="M2509" s="42" t="str">
        <f>IF(COUNTIF($L$1689:L2509,L2509)&gt;1,"DOUBLON","OK")</f>
        <v>OK</v>
      </c>
      <c r="S2509" s="40" t="str">
        <v>Argentina</v>
      </c>
      <c r="T2509" s="40" t="str">
        <f t="shared" si="186"/>
        <v>OK</v>
      </c>
      <c r="U2509" s="40" t="str">
        <f t="shared" si="187"/>
        <v>-</v>
      </c>
      <c r="V2509" s="40" t="str" cm="1">
        <f t="array" ref="V2509">_xlfn.IFS(
ISNUMBER(SEARCH("USA",S2509)),"United States",
ISNUMBER(SEARCH("Republic of Ireland",S2509)),"Ireland",
ISNUMBER(SEARCH("Republic of Korea",S2509)),"South Korea",
ISNUMBER(SEARCH("Cape Verde",S2509)),"Cabo Verde",
ISNUMBER(SEARCH("Czechia",S2509)),"Czech Republic",
ISNUMBER(SEARCH("Türkiye",S2509)),"Turkey",
ISNUMBER(SEARCH("Ivory Coast",S2509)),"Côte d'Ivoire",
ISNUMBER(SEARCH("Korea Republic",S2509)),"South Korea",
ISNUMBER(SEARCH("Germany FR",S2509)),"FR Germany",
ISNUMBER(SEARCH("West Germany",S2509)),"FR Germany",
ISNUMBER(SEARCH("Germany DR",S2509)),"DR Germany",
ISNUMBER(SEARCH("Korea DPR",S2509)),"North Korea",
ISNUMBER(SEARCH("China PR",S2509)),"China",
ISNUMBER(SEARCH("IR Iran",S2509)),"Iran",
ISNUMBER(SEARCH("Congo DR",S2509)),"Democratic Republic of the Congo",
ISNUMBER(SEARCH("DR Congo",S2509)),"Democratic Republic of the Congo",
ISNUMBER(SEARCH("German DR",S2509)),"DR Germany",
ISNUMBER(SEARCH("rn""&gt;United Arab Emirates",S2509)),"United Arab Emirates",
ISNUMBER(SEARCH("rn""&gt;Republic of Ireland",S2509)),"Ireland",
ISNUMBER(SEARCH("rn""&gt;Bosnia and Herzegovina",S2509)),"Bosnia and Herzegovina",
ISNUMBER(SEARCH("rn""&gt;Trinidad and Tobago",S2509)),"Trinidad and Tobago",
ISNUMBER(SEARCH("rn""&gt;Serbia and Montenegro",S2509)),"Serbia and Montenegro",
ISNUMBER(SEARCH(_xlfn.UNICHAR(65533),S2509)),"Côte d'Ivoire",
TRUE,""
)</f>
        <v/>
      </c>
      <c r="W2509" s="40" t="str">
        <f t="shared" si="188"/>
        <v>Argentina</v>
      </c>
    </row>
    <row r="2510" spans="2:23">
      <c r="B2510" s="76" t="str">
        <v>2014.0</v>
      </c>
      <c r="C2510" s="42" t="str">
        <v xml:space="preserve">28 Jun 2014 - 17:00 </v>
      </c>
      <c r="D2510" s="42" t="str">
        <v>Round of 16</v>
      </c>
      <c r="E2510" s="42" t="str">
        <v>Estadio do Maracana</v>
      </c>
      <c r="F2510" s="42" t="str">
        <v xml:space="preserve">Rio De Janeiro </v>
      </c>
      <c r="G2510" s="42" t="str">
        <v>Colombia</v>
      </c>
      <c r="H2510" s="42" t="str">
        <v>2.0</v>
      </c>
      <c r="I2510" s="42" t="str">
        <v>0.0</v>
      </c>
      <c r="J2510" s="42" t="str">
        <v>Uruguay</v>
      </c>
      <c r="K2510" s="42" t="str">
        <v xml:space="preserve"> </v>
      </c>
      <c r="L2510" s="42" t="str">
        <f t="shared" si="185"/>
        <v xml:space="preserve">2014.0|28 Jun 2014 - 17:00 |Round of 16|Estadio do Maracana|Rio De Janeiro |Colombia|2.0|0.0|Uruguay| </v>
      </c>
      <c r="M2510" s="42" t="str">
        <f>IF(COUNTIF($L$1689:L2510,L2510)&gt;1,"DOUBLON","OK")</f>
        <v>OK</v>
      </c>
      <c r="S2510" s="40" t="str">
        <v>Chile</v>
      </c>
      <c r="T2510" s="40" t="str">
        <f t="shared" si="186"/>
        <v>OK</v>
      </c>
      <c r="U2510" s="40" t="str">
        <f t="shared" si="187"/>
        <v>-</v>
      </c>
      <c r="V2510" s="40" t="str" cm="1">
        <f t="array" ref="V2510">_xlfn.IFS(
ISNUMBER(SEARCH("USA",S2510)),"United States",
ISNUMBER(SEARCH("Republic of Ireland",S2510)),"Ireland",
ISNUMBER(SEARCH("Republic of Korea",S2510)),"South Korea",
ISNUMBER(SEARCH("Cape Verde",S2510)),"Cabo Verde",
ISNUMBER(SEARCH("Czechia",S2510)),"Czech Republic",
ISNUMBER(SEARCH("Türkiye",S2510)),"Turkey",
ISNUMBER(SEARCH("Ivory Coast",S2510)),"Côte d'Ivoire",
ISNUMBER(SEARCH("Korea Republic",S2510)),"South Korea",
ISNUMBER(SEARCH("Germany FR",S2510)),"FR Germany",
ISNUMBER(SEARCH("West Germany",S2510)),"FR Germany",
ISNUMBER(SEARCH("Germany DR",S2510)),"DR Germany",
ISNUMBER(SEARCH("Korea DPR",S2510)),"North Korea",
ISNUMBER(SEARCH("China PR",S2510)),"China",
ISNUMBER(SEARCH("IR Iran",S2510)),"Iran",
ISNUMBER(SEARCH("Congo DR",S2510)),"Democratic Republic of the Congo",
ISNUMBER(SEARCH("DR Congo",S2510)),"Democratic Republic of the Congo",
ISNUMBER(SEARCH("German DR",S2510)),"DR Germany",
ISNUMBER(SEARCH("rn""&gt;United Arab Emirates",S2510)),"United Arab Emirates",
ISNUMBER(SEARCH("rn""&gt;Republic of Ireland",S2510)),"Ireland",
ISNUMBER(SEARCH("rn""&gt;Bosnia and Herzegovina",S2510)),"Bosnia and Herzegovina",
ISNUMBER(SEARCH("rn""&gt;Trinidad and Tobago",S2510)),"Trinidad and Tobago",
ISNUMBER(SEARCH("rn""&gt;Serbia and Montenegro",S2510)),"Serbia and Montenegro",
ISNUMBER(SEARCH(_xlfn.UNICHAR(65533),S2510)),"Côte d'Ivoire",
TRUE,""
)</f>
        <v/>
      </c>
      <c r="W2510" s="40" t="str">
        <f t="shared" si="188"/>
        <v>Chile</v>
      </c>
    </row>
    <row r="2511" spans="2:23">
      <c r="B2511" s="76" t="str">
        <v>2014.0</v>
      </c>
      <c r="C2511" s="42" t="str">
        <v xml:space="preserve">30 Jun 2014 - 13:00 </v>
      </c>
      <c r="D2511" s="42" t="str">
        <v>Round of 16</v>
      </c>
      <c r="E2511" s="42" t="str">
        <v>Estadio Nacional</v>
      </c>
      <c r="F2511" s="42" t="str">
        <v xml:space="preserve">Brasilia </v>
      </c>
      <c r="G2511" s="42" t="str">
        <v>France</v>
      </c>
      <c r="H2511" s="42" t="str">
        <v>2.0</v>
      </c>
      <c r="I2511" s="42" t="str">
        <v>0.0</v>
      </c>
      <c r="J2511" s="42" t="str">
        <v>Nigeria</v>
      </c>
      <c r="K2511" s="42" t="str">
        <v xml:space="preserve"> </v>
      </c>
      <c r="L2511" s="42" t="str">
        <f t="shared" si="185"/>
        <v xml:space="preserve">2014.0|30 Jun 2014 - 13:00 |Round of 16|Estadio Nacional|Brasilia |France|2.0|0.0|Nigeria| </v>
      </c>
      <c r="M2511" s="42" t="str">
        <f>IF(COUNTIF($L$1689:L2511,L2511)&gt;1,"DOUBLON","OK")</f>
        <v>OK</v>
      </c>
      <c r="S2511" s="40" t="str">
        <v>Soviet Union</v>
      </c>
      <c r="T2511" s="40" t="str">
        <f t="shared" si="186"/>
        <v>ERREUR</v>
      </c>
      <c r="U2511" s="40" t="str">
        <f t="shared" si="187"/>
        <v>AUCUNE</v>
      </c>
      <c r="V2511" s="40" t="str" cm="1">
        <f t="array" ref="V2511">_xlfn.IFS(
ISNUMBER(SEARCH("USA",S2511)),"United States",
ISNUMBER(SEARCH("Republic of Ireland",S2511)),"Ireland",
ISNUMBER(SEARCH("Republic of Korea",S2511)),"South Korea",
ISNUMBER(SEARCH("Cape Verde",S2511)),"Cabo Verde",
ISNUMBER(SEARCH("Czechia",S2511)),"Czech Republic",
ISNUMBER(SEARCH("Türkiye",S2511)),"Turkey",
ISNUMBER(SEARCH("Ivory Coast",S2511)),"Côte d'Ivoire",
ISNUMBER(SEARCH("Korea Republic",S2511)),"South Korea",
ISNUMBER(SEARCH("Germany FR",S2511)),"FR Germany",
ISNUMBER(SEARCH("West Germany",S2511)),"FR Germany",
ISNUMBER(SEARCH("Germany DR",S2511)),"DR Germany",
ISNUMBER(SEARCH("Korea DPR",S2511)),"North Korea",
ISNUMBER(SEARCH("China PR",S2511)),"China",
ISNUMBER(SEARCH("IR Iran",S2511)),"Iran",
ISNUMBER(SEARCH("Congo DR",S2511)),"Democratic Republic of the Congo",
ISNUMBER(SEARCH("DR Congo",S2511)),"Democratic Republic of the Congo",
ISNUMBER(SEARCH("German DR",S2511)),"DR Germany",
ISNUMBER(SEARCH("rn""&gt;United Arab Emirates",S2511)),"United Arab Emirates",
ISNUMBER(SEARCH("rn""&gt;Republic of Ireland",S2511)),"Ireland",
ISNUMBER(SEARCH("rn""&gt;Bosnia and Herzegovina",S2511)),"Bosnia and Herzegovina",
ISNUMBER(SEARCH("rn""&gt;Trinidad and Tobago",S2511)),"Trinidad and Tobago",
ISNUMBER(SEARCH("rn""&gt;Serbia and Montenegro",S2511)),"Serbia and Montenegro",
ISNUMBER(SEARCH(_xlfn.UNICHAR(65533),S2511)),"Côte d'Ivoire",
TRUE,""
)</f>
        <v/>
      </c>
      <c r="W2511" s="40" t="str">
        <f t="shared" si="188"/>
        <v>Soviet Union</v>
      </c>
    </row>
    <row r="2512" spans="2:23">
      <c r="B2512" s="76" t="str">
        <v>2014.0</v>
      </c>
      <c r="C2512" s="42" t="str">
        <v xml:space="preserve">30 Jun 2014 - 17:00 </v>
      </c>
      <c r="D2512" s="42" t="str">
        <v>Round of 16</v>
      </c>
      <c r="E2512" s="42" t="str">
        <v>Estadio Beira-Rio</v>
      </c>
      <c r="F2512" s="42" t="str">
        <v xml:space="preserve">Porto Alegre </v>
      </c>
      <c r="G2512" s="42" t="str">
        <v>Germany</v>
      </c>
      <c r="H2512" s="42" t="str">
        <v>2.0</v>
      </c>
      <c r="I2512" s="42" t="str">
        <v>1.0</v>
      </c>
      <c r="J2512" s="42" t="str">
        <v>Algeria</v>
      </c>
      <c r="K2512" s="42" t="str">
        <v xml:space="preserve">Germany win after extra time </v>
      </c>
      <c r="L2512" s="42" t="str">
        <f t="shared" si="185"/>
        <v xml:space="preserve">2014.0|30 Jun 2014 - 17:00 |Round of 16|Estadio Beira-Rio|Porto Alegre |Germany|2.0|1.0|Algeria|Germany win after extra time </v>
      </c>
      <c r="M2512" s="42" t="str">
        <f>IF(COUNTIF($L$1689:L2512,L2512)&gt;1,"DOUBLON","OK")</f>
        <v>OK</v>
      </c>
      <c r="S2512" s="40" t="str">
        <v>Czechoslovakia</v>
      </c>
      <c r="T2512" s="40" t="str">
        <f t="shared" si="186"/>
        <v>ERREUR</v>
      </c>
      <c r="U2512" s="40" t="str">
        <f t="shared" si="187"/>
        <v>AUCUNE</v>
      </c>
      <c r="V2512" s="40" t="str" cm="1">
        <f t="array" ref="V2512">_xlfn.IFS(
ISNUMBER(SEARCH("USA",S2512)),"United States",
ISNUMBER(SEARCH("Republic of Ireland",S2512)),"Ireland",
ISNUMBER(SEARCH("Republic of Korea",S2512)),"South Korea",
ISNUMBER(SEARCH("Cape Verde",S2512)),"Cabo Verde",
ISNUMBER(SEARCH("Czechia",S2512)),"Czech Republic",
ISNUMBER(SEARCH("Türkiye",S2512)),"Turkey",
ISNUMBER(SEARCH("Ivory Coast",S2512)),"Côte d'Ivoire",
ISNUMBER(SEARCH("Korea Republic",S2512)),"South Korea",
ISNUMBER(SEARCH("Germany FR",S2512)),"FR Germany",
ISNUMBER(SEARCH("West Germany",S2512)),"FR Germany",
ISNUMBER(SEARCH("Germany DR",S2512)),"DR Germany",
ISNUMBER(SEARCH("Korea DPR",S2512)),"North Korea",
ISNUMBER(SEARCH("China PR",S2512)),"China",
ISNUMBER(SEARCH("IR Iran",S2512)),"Iran",
ISNUMBER(SEARCH("Congo DR",S2512)),"Democratic Republic of the Congo",
ISNUMBER(SEARCH("DR Congo",S2512)),"Democratic Republic of the Congo",
ISNUMBER(SEARCH("German DR",S2512)),"DR Germany",
ISNUMBER(SEARCH("rn""&gt;United Arab Emirates",S2512)),"United Arab Emirates",
ISNUMBER(SEARCH("rn""&gt;Republic of Ireland",S2512)),"Ireland",
ISNUMBER(SEARCH("rn""&gt;Bosnia and Herzegovina",S2512)),"Bosnia and Herzegovina",
ISNUMBER(SEARCH("rn""&gt;Trinidad and Tobago",S2512)),"Trinidad and Tobago",
ISNUMBER(SEARCH("rn""&gt;Serbia and Montenegro",S2512)),"Serbia and Montenegro",
ISNUMBER(SEARCH(_xlfn.UNICHAR(65533),S2512)),"Côte d'Ivoire",
TRUE,""
)</f>
        <v/>
      </c>
      <c r="W2512" s="40" t="str">
        <f t="shared" si="188"/>
        <v>Czechoslovakia</v>
      </c>
    </row>
    <row r="2513" spans="2:23">
      <c r="B2513" s="76" t="str">
        <v>2014.0</v>
      </c>
      <c r="C2513" s="42" t="str">
        <v xml:space="preserve">04 Jul 2014 - 17:00 </v>
      </c>
      <c r="D2513" s="42" t="str">
        <v>Quarter-finals</v>
      </c>
      <c r="E2513" s="42" t="str">
        <v>Estadio Castelao</v>
      </c>
      <c r="F2513" s="42" t="str">
        <v xml:space="preserve">Fortaleza </v>
      </c>
      <c r="G2513" s="42" t="str">
        <v>Brazil</v>
      </c>
      <c r="H2513" s="42" t="str">
        <v>2.0</v>
      </c>
      <c r="I2513" s="42" t="str">
        <v>1.0</v>
      </c>
      <c r="J2513" s="42" t="str">
        <v>Colombia</v>
      </c>
      <c r="K2513" s="42" t="str">
        <v xml:space="preserve"> </v>
      </c>
      <c r="L2513" s="42" t="str">
        <f t="shared" si="185"/>
        <v xml:space="preserve">2014.0|04 Jul 2014 - 17:00 |Quarter-finals|Estadio Castelao|Fortaleza |Brazil|2.0|1.0|Colombia| </v>
      </c>
      <c r="M2513" s="42" t="str">
        <f>IF(COUNTIF($L$1689:L2513,L2513)&gt;1,"DOUBLON","OK")</f>
        <v>OK</v>
      </c>
      <c r="S2513" s="40" t="str">
        <v>Hungary</v>
      </c>
      <c r="T2513" s="40" t="str">
        <f t="shared" si="186"/>
        <v>OK</v>
      </c>
      <c r="U2513" s="40" t="str">
        <f t="shared" si="187"/>
        <v>-</v>
      </c>
      <c r="V2513" s="40" t="str" cm="1">
        <f t="array" ref="V2513">_xlfn.IFS(
ISNUMBER(SEARCH("USA",S2513)),"United States",
ISNUMBER(SEARCH("Republic of Ireland",S2513)),"Ireland",
ISNUMBER(SEARCH("Republic of Korea",S2513)),"South Korea",
ISNUMBER(SEARCH("Cape Verde",S2513)),"Cabo Verde",
ISNUMBER(SEARCH("Czechia",S2513)),"Czech Republic",
ISNUMBER(SEARCH("Türkiye",S2513)),"Turkey",
ISNUMBER(SEARCH("Ivory Coast",S2513)),"Côte d'Ivoire",
ISNUMBER(SEARCH("Korea Republic",S2513)),"South Korea",
ISNUMBER(SEARCH("Germany FR",S2513)),"FR Germany",
ISNUMBER(SEARCH("West Germany",S2513)),"FR Germany",
ISNUMBER(SEARCH("Germany DR",S2513)),"DR Germany",
ISNUMBER(SEARCH("Korea DPR",S2513)),"North Korea",
ISNUMBER(SEARCH("China PR",S2513)),"China",
ISNUMBER(SEARCH("IR Iran",S2513)),"Iran",
ISNUMBER(SEARCH("Congo DR",S2513)),"Democratic Republic of the Congo",
ISNUMBER(SEARCH("DR Congo",S2513)),"Democratic Republic of the Congo",
ISNUMBER(SEARCH("German DR",S2513)),"DR Germany",
ISNUMBER(SEARCH("rn""&gt;United Arab Emirates",S2513)),"United Arab Emirates",
ISNUMBER(SEARCH("rn""&gt;Republic of Ireland",S2513)),"Ireland",
ISNUMBER(SEARCH("rn""&gt;Bosnia and Herzegovina",S2513)),"Bosnia and Herzegovina",
ISNUMBER(SEARCH("rn""&gt;Trinidad and Tobago",S2513)),"Trinidad and Tobago",
ISNUMBER(SEARCH("rn""&gt;Serbia and Montenegro",S2513)),"Serbia and Montenegro",
ISNUMBER(SEARCH(_xlfn.UNICHAR(65533),S2513)),"Côte d'Ivoire",
TRUE,""
)</f>
        <v/>
      </c>
      <c r="W2513" s="40" t="str">
        <f t="shared" si="188"/>
        <v>Hungary</v>
      </c>
    </row>
    <row r="2514" spans="2:23">
      <c r="B2514" s="76" t="str">
        <v>2014.0</v>
      </c>
      <c r="C2514" s="42" t="str">
        <v xml:space="preserve">04 Jul 2014 - 13:00 </v>
      </c>
      <c r="D2514" s="42" t="str">
        <v>Quarter-finals</v>
      </c>
      <c r="E2514" s="42" t="str">
        <v>Estadio do Maracana</v>
      </c>
      <c r="F2514" s="42" t="str">
        <v xml:space="preserve">Rio De Janeiro </v>
      </c>
      <c r="G2514" s="42" t="str">
        <v>France</v>
      </c>
      <c r="H2514" s="42" t="str">
        <v>0.0</v>
      </c>
      <c r="I2514" s="42" t="str">
        <v>1.0</v>
      </c>
      <c r="J2514" s="42" t="str">
        <v>Germany</v>
      </c>
      <c r="K2514" s="42" t="str">
        <v xml:space="preserve"> </v>
      </c>
      <c r="L2514" s="42" t="str">
        <f t="shared" si="185"/>
        <v xml:space="preserve">2014.0|04 Jul 2014 - 13:00 |Quarter-finals|Estadio do Maracana|Rio De Janeiro |France|0.0|1.0|Germany| </v>
      </c>
      <c r="M2514" s="42" t="str">
        <f>IF(COUNTIF($L$1689:L2514,L2514)&gt;1,"DOUBLON","OK")</f>
        <v>OK</v>
      </c>
      <c r="S2514" s="40" t="str">
        <v>Germany FR</v>
      </c>
      <c r="T2514" s="40" t="str">
        <f t="shared" si="186"/>
        <v>ERREUR</v>
      </c>
      <c r="U2514" s="40" t="str">
        <f t="shared" si="187"/>
        <v>RENOMMER</v>
      </c>
      <c r="V2514" s="40" t="str" cm="1">
        <f t="array" ref="V2514">_xlfn.IFS(
ISNUMBER(SEARCH("USA",S2514)),"United States",
ISNUMBER(SEARCH("Republic of Ireland",S2514)),"Ireland",
ISNUMBER(SEARCH("Republic of Korea",S2514)),"South Korea",
ISNUMBER(SEARCH("Cape Verde",S2514)),"Cabo Verde",
ISNUMBER(SEARCH("Czechia",S2514)),"Czech Republic",
ISNUMBER(SEARCH("Türkiye",S2514)),"Turkey",
ISNUMBER(SEARCH("Ivory Coast",S2514)),"Côte d'Ivoire",
ISNUMBER(SEARCH("Korea Republic",S2514)),"South Korea",
ISNUMBER(SEARCH("Germany FR",S2514)),"FR Germany",
ISNUMBER(SEARCH("West Germany",S2514)),"FR Germany",
ISNUMBER(SEARCH("Germany DR",S2514)),"DR Germany",
ISNUMBER(SEARCH("Korea DPR",S2514)),"North Korea",
ISNUMBER(SEARCH("China PR",S2514)),"China",
ISNUMBER(SEARCH("IR Iran",S2514)),"Iran",
ISNUMBER(SEARCH("Congo DR",S2514)),"Democratic Republic of the Congo",
ISNUMBER(SEARCH("DR Congo",S2514)),"Democratic Republic of the Congo",
ISNUMBER(SEARCH("German DR",S2514)),"DR Germany",
ISNUMBER(SEARCH("rn""&gt;United Arab Emirates",S2514)),"United Arab Emirates",
ISNUMBER(SEARCH("rn""&gt;Republic of Ireland",S2514)),"Ireland",
ISNUMBER(SEARCH("rn""&gt;Bosnia and Herzegovina",S2514)),"Bosnia and Herzegovina",
ISNUMBER(SEARCH("rn""&gt;Trinidad and Tobago",S2514)),"Trinidad and Tobago",
ISNUMBER(SEARCH("rn""&gt;Serbia and Montenegro",S2514)),"Serbia and Montenegro",
ISNUMBER(SEARCH(_xlfn.UNICHAR(65533),S2514)),"Côte d'Ivoire",
TRUE,""
)</f>
        <v>FR Germany</v>
      </c>
      <c r="W2514" s="40" t="str">
        <f t="shared" si="188"/>
        <v>FR Germany</v>
      </c>
    </row>
    <row r="2515" spans="2:23">
      <c r="B2515" s="76" t="str">
        <v>2014.0</v>
      </c>
      <c r="C2515" s="42" t="str">
        <v xml:space="preserve">08 Jul 2014 - 17:00 </v>
      </c>
      <c r="D2515" s="42" t="str">
        <v>Semi-finals</v>
      </c>
      <c r="E2515" s="42" t="str">
        <v>Estadio Mineirao</v>
      </c>
      <c r="F2515" s="42" t="str">
        <v xml:space="preserve">Belo Horizonte </v>
      </c>
      <c r="G2515" s="42" t="str">
        <v>Brazil</v>
      </c>
      <c r="H2515" s="42" t="str">
        <v>1.0</v>
      </c>
      <c r="I2515" s="42" t="str">
        <v>7.0</v>
      </c>
      <c r="J2515" s="42" t="str">
        <v>Germany</v>
      </c>
      <c r="K2515" s="42" t="str">
        <v xml:space="preserve"> </v>
      </c>
      <c r="L2515" s="42" t="str">
        <f t="shared" si="185"/>
        <v xml:space="preserve">2014.0|08 Jul 2014 - 17:00 |Semi-finals|Estadio Mineirao|Belo Horizonte |Brazil|1.0|7.0|Germany| </v>
      </c>
      <c r="M2515" s="42" t="str">
        <f>IF(COUNTIF($L$1689:L2515,L2515)&gt;1,"DOUBLON","OK")</f>
        <v>OK</v>
      </c>
      <c r="S2515" s="40" t="str">
        <v>Yugoslavia</v>
      </c>
      <c r="T2515" s="40" t="str">
        <f t="shared" si="186"/>
        <v>ERREUR</v>
      </c>
      <c r="U2515" s="40" t="str">
        <f t="shared" si="187"/>
        <v>AUCUNE</v>
      </c>
      <c r="V2515" s="40" t="str" cm="1">
        <f t="array" ref="V2515">_xlfn.IFS(
ISNUMBER(SEARCH("USA",S2515)),"United States",
ISNUMBER(SEARCH("Republic of Ireland",S2515)),"Ireland",
ISNUMBER(SEARCH("Republic of Korea",S2515)),"South Korea",
ISNUMBER(SEARCH("Cape Verde",S2515)),"Cabo Verde",
ISNUMBER(SEARCH("Czechia",S2515)),"Czech Republic",
ISNUMBER(SEARCH("Türkiye",S2515)),"Turkey",
ISNUMBER(SEARCH("Ivory Coast",S2515)),"Côte d'Ivoire",
ISNUMBER(SEARCH("Korea Republic",S2515)),"South Korea",
ISNUMBER(SEARCH("Germany FR",S2515)),"FR Germany",
ISNUMBER(SEARCH("West Germany",S2515)),"FR Germany",
ISNUMBER(SEARCH("Germany DR",S2515)),"DR Germany",
ISNUMBER(SEARCH("Korea DPR",S2515)),"North Korea",
ISNUMBER(SEARCH("China PR",S2515)),"China",
ISNUMBER(SEARCH("IR Iran",S2515)),"Iran",
ISNUMBER(SEARCH("Congo DR",S2515)),"Democratic Republic of the Congo",
ISNUMBER(SEARCH("DR Congo",S2515)),"Democratic Republic of the Congo",
ISNUMBER(SEARCH("German DR",S2515)),"DR Germany",
ISNUMBER(SEARCH("rn""&gt;United Arab Emirates",S2515)),"United Arab Emirates",
ISNUMBER(SEARCH("rn""&gt;Republic of Ireland",S2515)),"Ireland",
ISNUMBER(SEARCH("rn""&gt;Bosnia and Herzegovina",S2515)),"Bosnia and Herzegovina",
ISNUMBER(SEARCH("rn""&gt;Trinidad and Tobago",S2515)),"Trinidad and Tobago",
ISNUMBER(SEARCH("rn""&gt;Serbia and Montenegro",S2515)),"Serbia and Montenegro",
ISNUMBER(SEARCH(_xlfn.UNICHAR(65533),S2515)),"Côte d'Ivoire",
TRUE,""
)</f>
        <v/>
      </c>
      <c r="W2515" s="40" t="str">
        <f t="shared" si="188"/>
        <v>Yugoslavia</v>
      </c>
    </row>
    <row r="2516" spans="2:23">
      <c r="B2516" s="76" t="str">
        <v>2014.0</v>
      </c>
      <c r="C2516" s="42" t="str">
        <v xml:space="preserve">12 Jul 2014 - 17:00 </v>
      </c>
      <c r="D2516" s="42" t="str">
        <v>Play-off for third place</v>
      </c>
      <c r="E2516" s="42" t="str">
        <v>Estadio Nacional</v>
      </c>
      <c r="F2516" s="42" t="str">
        <v xml:space="preserve">Brasilia </v>
      </c>
      <c r="G2516" s="42" t="str">
        <v>Brazil</v>
      </c>
      <c r="H2516" s="42" t="str">
        <v>0.0</v>
      </c>
      <c r="I2516" s="42" t="str">
        <v>3.0</v>
      </c>
      <c r="J2516" s="42" t="str">
        <v>Netherlands</v>
      </c>
      <c r="K2516" s="42" t="str">
        <v xml:space="preserve"> </v>
      </c>
      <c r="L2516" s="42" t="str">
        <f t="shared" si="185"/>
        <v xml:space="preserve">2014.0|12 Jul 2014 - 17:00 |Play-off for third place|Estadio Nacional|Brasilia |Brazil|0.0|3.0|Netherlands| </v>
      </c>
      <c r="M2516" s="42" t="str">
        <f>IF(COUNTIF($L$1689:L2516,L2516)&gt;1,"DOUBLON","OK")</f>
        <v>OK</v>
      </c>
      <c r="S2516" s="40" t="str">
        <v>Brazil</v>
      </c>
      <c r="T2516" s="40" t="str">
        <f t="shared" si="186"/>
        <v>OK</v>
      </c>
      <c r="U2516" s="40" t="str">
        <f t="shared" si="187"/>
        <v>-</v>
      </c>
      <c r="V2516" s="40" t="str" cm="1">
        <f t="array" ref="V2516">_xlfn.IFS(
ISNUMBER(SEARCH("USA",S2516)),"United States",
ISNUMBER(SEARCH("Republic of Ireland",S2516)),"Ireland",
ISNUMBER(SEARCH("Republic of Korea",S2516)),"South Korea",
ISNUMBER(SEARCH("Cape Verde",S2516)),"Cabo Verde",
ISNUMBER(SEARCH("Czechia",S2516)),"Czech Republic",
ISNUMBER(SEARCH("Türkiye",S2516)),"Turkey",
ISNUMBER(SEARCH("Ivory Coast",S2516)),"Côte d'Ivoire",
ISNUMBER(SEARCH("Korea Republic",S2516)),"South Korea",
ISNUMBER(SEARCH("Germany FR",S2516)),"FR Germany",
ISNUMBER(SEARCH("West Germany",S2516)),"FR Germany",
ISNUMBER(SEARCH("Germany DR",S2516)),"DR Germany",
ISNUMBER(SEARCH("Korea DPR",S2516)),"North Korea",
ISNUMBER(SEARCH("China PR",S2516)),"China",
ISNUMBER(SEARCH("IR Iran",S2516)),"Iran",
ISNUMBER(SEARCH("Congo DR",S2516)),"Democratic Republic of the Congo",
ISNUMBER(SEARCH("DR Congo",S2516)),"Democratic Republic of the Congo",
ISNUMBER(SEARCH("German DR",S2516)),"DR Germany",
ISNUMBER(SEARCH("rn""&gt;United Arab Emirates",S2516)),"United Arab Emirates",
ISNUMBER(SEARCH("rn""&gt;Republic of Ireland",S2516)),"Ireland",
ISNUMBER(SEARCH("rn""&gt;Bosnia and Herzegovina",S2516)),"Bosnia and Herzegovina",
ISNUMBER(SEARCH("rn""&gt;Trinidad and Tobago",S2516)),"Trinidad and Tobago",
ISNUMBER(SEARCH("rn""&gt;Serbia and Montenegro",S2516)),"Serbia and Montenegro",
ISNUMBER(SEARCH(_xlfn.UNICHAR(65533),S2516)),"Côte d'Ivoire",
TRUE,""
)</f>
        <v/>
      </c>
      <c r="W2516" s="40" t="str">
        <f t="shared" si="188"/>
        <v>Brazil</v>
      </c>
    </row>
    <row r="2517" spans="2:23">
      <c r="B2517" s="76" t="str">
        <v>2014.0</v>
      </c>
      <c r="C2517" s="42" t="str">
        <v xml:space="preserve">13 Jul 2014 - 16:00 </v>
      </c>
      <c r="D2517" s="42" t="str">
        <v>Final</v>
      </c>
      <c r="E2517" s="42" t="str">
        <v>Estadio do Maracana</v>
      </c>
      <c r="F2517" s="42" t="str">
        <v xml:space="preserve">Rio De Janeiro </v>
      </c>
      <c r="G2517" s="42" t="str">
        <v>Germany</v>
      </c>
      <c r="H2517" s="42" t="str">
        <v>1.0</v>
      </c>
      <c r="I2517" s="42" t="str">
        <v>0.0</v>
      </c>
      <c r="J2517" s="42" t="str">
        <v>Argentina</v>
      </c>
      <c r="K2517" s="42" t="str">
        <v xml:space="preserve">Germany win after extra time </v>
      </c>
      <c r="L2517" s="42" t="str">
        <f t="shared" si="185"/>
        <v xml:space="preserve">2014.0|13 Jul 2014 - 16:00 |Final|Estadio do Maracana|Rio De Janeiro |Germany|1.0|0.0|Argentina|Germany win after extra time </v>
      </c>
      <c r="M2517" s="42" t="str">
        <f>IF(COUNTIF($L$1689:L2517,L2517)&gt;1,"DOUBLON","OK")</f>
        <v>OK</v>
      </c>
      <c r="S2517" s="40" t="str">
        <v>England</v>
      </c>
      <c r="T2517" s="40" t="str">
        <f t="shared" si="186"/>
        <v>ERREUR</v>
      </c>
      <c r="U2517" s="40" t="str">
        <f t="shared" si="187"/>
        <v>AUCUNE</v>
      </c>
      <c r="V2517" s="40" t="str" cm="1">
        <f t="array" ref="V2517">_xlfn.IFS(
ISNUMBER(SEARCH("USA",S2517)),"United States",
ISNUMBER(SEARCH("Republic of Ireland",S2517)),"Ireland",
ISNUMBER(SEARCH("Republic of Korea",S2517)),"South Korea",
ISNUMBER(SEARCH("Cape Verde",S2517)),"Cabo Verde",
ISNUMBER(SEARCH("Czechia",S2517)),"Czech Republic",
ISNUMBER(SEARCH("Türkiye",S2517)),"Turkey",
ISNUMBER(SEARCH("Ivory Coast",S2517)),"Côte d'Ivoire",
ISNUMBER(SEARCH("Korea Republic",S2517)),"South Korea",
ISNUMBER(SEARCH("Germany FR",S2517)),"FR Germany",
ISNUMBER(SEARCH("West Germany",S2517)),"FR Germany",
ISNUMBER(SEARCH("Germany DR",S2517)),"DR Germany",
ISNUMBER(SEARCH("Korea DPR",S2517)),"North Korea",
ISNUMBER(SEARCH("China PR",S2517)),"China",
ISNUMBER(SEARCH("IR Iran",S2517)),"Iran",
ISNUMBER(SEARCH("Congo DR",S2517)),"Democratic Republic of the Congo",
ISNUMBER(SEARCH("DR Congo",S2517)),"Democratic Republic of the Congo",
ISNUMBER(SEARCH("German DR",S2517)),"DR Germany",
ISNUMBER(SEARCH("rn""&gt;United Arab Emirates",S2517)),"United Arab Emirates",
ISNUMBER(SEARCH("rn""&gt;Republic of Ireland",S2517)),"Ireland",
ISNUMBER(SEARCH("rn""&gt;Bosnia and Herzegovina",S2517)),"Bosnia and Herzegovina",
ISNUMBER(SEARCH("rn""&gt;Trinidad and Tobago",S2517)),"Trinidad and Tobago",
ISNUMBER(SEARCH("rn""&gt;Serbia and Montenegro",S2517)),"Serbia and Montenegro",
ISNUMBER(SEARCH(_xlfn.UNICHAR(65533),S2517)),"Côte d'Ivoire",
TRUE,""
)</f>
        <v/>
      </c>
      <c r="W2517" s="40" t="str">
        <f t="shared" si="188"/>
        <v>England</v>
      </c>
    </row>
    <row r="2518" spans="2:23">
      <c r="B2518" s="76" t="str">
        <v>2014.0</v>
      </c>
      <c r="C2518" s="42" t="str">
        <v xml:space="preserve">09 Jul 2014 - 17:00 </v>
      </c>
      <c r="D2518" s="42" t="str">
        <v>Semi-finals</v>
      </c>
      <c r="E2518" s="42" t="str">
        <v>Arena de Sao Paulo</v>
      </c>
      <c r="F2518" s="42" t="str">
        <v xml:space="preserve">Sao Paulo </v>
      </c>
      <c r="G2518" s="42" t="str">
        <v>Netherlands</v>
      </c>
      <c r="H2518" s="42" t="str">
        <v>0.0</v>
      </c>
      <c r="I2518" s="42" t="str">
        <v>0.0</v>
      </c>
      <c r="J2518" s="42" t="str">
        <v>Argentina</v>
      </c>
      <c r="K2518" s="42" t="str">
        <v xml:space="preserve">Argentina win on penalties (2 - 4) </v>
      </c>
      <c r="L2518" s="42" t="str">
        <f t="shared" si="185"/>
        <v xml:space="preserve">2014.0|09 Jul 2014 - 17:00 |Semi-finals|Arena de Sao Paulo|Sao Paulo |Netherlands|0.0|0.0|Argentina|Argentina win on penalties (2 - 4) </v>
      </c>
      <c r="M2518" s="42" t="str">
        <f>IF(COUNTIF($L$1689:L2518,L2518)&gt;1,"DOUBLON","OK")</f>
        <v>OK</v>
      </c>
      <c r="S2518" s="40" t="str">
        <v>Chile</v>
      </c>
      <c r="T2518" s="40" t="str">
        <f t="shared" si="186"/>
        <v>OK</v>
      </c>
      <c r="U2518" s="40" t="str">
        <f t="shared" si="187"/>
        <v>-</v>
      </c>
      <c r="V2518" s="40" t="str" cm="1">
        <f t="array" ref="V2518">_xlfn.IFS(
ISNUMBER(SEARCH("USA",S2518)),"United States",
ISNUMBER(SEARCH("Republic of Ireland",S2518)),"Ireland",
ISNUMBER(SEARCH("Republic of Korea",S2518)),"South Korea",
ISNUMBER(SEARCH("Cape Verde",S2518)),"Cabo Verde",
ISNUMBER(SEARCH("Czechia",S2518)),"Czech Republic",
ISNUMBER(SEARCH("Türkiye",S2518)),"Turkey",
ISNUMBER(SEARCH("Ivory Coast",S2518)),"Côte d'Ivoire",
ISNUMBER(SEARCH("Korea Republic",S2518)),"South Korea",
ISNUMBER(SEARCH("Germany FR",S2518)),"FR Germany",
ISNUMBER(SEARCH("West Germany",S2518)),"FR Germany",
ISNUMBER(SEARCH("Germany DR",S2518)),"DR Germany",
ISNUMBER(SEARCH("Korea DPR",S2518)),"North Korea",
ISNUMBER(SEARCH("China PR",S2518)),"China",
ISNUMBER(SEARCH("IR Iran",S2518)),"Iran",
ISNUMBER(SEARCH("Congo DR",S2518)),"Democratic Republic of the Congo",
ISNUMBER(SEARCH("DR Congo",S2518)),"Democratic Republic of the Congo",
ISNUMBER(SEARCH("German DR",S2518)),"DR Germany",
ISNUMBER(SEARCH("rn""&gt;United Arab Emirates",S2518)),"United Arab Emirates",
ISNUMBER(SEARCH("rn""&gt;Republic of Ireland",S2518)),"Ireland",
ISNUMBER(SEARCH("rn""&gt;Bosnia and Herzegovina",S2518)),"Bosnia and Herzegovina",
ISNUMBER(SEARCH("rn""&gt;Trinidad and Tobago",S2518)),"Trinidad and Tobago",
ISNUMBER(SEARCH("rn""&gt;Serbia and Montenegro",S2518)),"Serbia and Montenegro",
ISNUMBER(SEARCH(_xlfn.UNICHAR(65533),S2518)),"Côte d'Ivoire",
TRUE,""
)</f>
        <v/>
      </c>
      <c r="W2518" s="40" t="str">
        <f t="shared" si="188"/>
        <v>Chile</v>
      </c>
    </row>
    <row r="2519" spans="2:23">
      <c r="B2519" s="76" t="str">
        <v>2014.0</v>
      </c>
      <c r="C2519" s="42" t="str">
        <v xml:space="preserve">05 Jul 2014 - 17:00 </v>
      </c>
      <c r="D2519" s="42" t="str">
        <v>Quarter-finals</v>
      </c>
      <c r="E2519" s="42" t="str">
        <v>Arena Fonte Nova</v>
      </c>
      <c r="F2519" s="42" t="str">
        <v xml:space="preserve">Salvador </v>
      </c>
      <c r="G2519" s="42" t="str">
        <v>Netherlands</v>
      </c>
      <c r="H2519" s="42" t="str">
        <v>0.0</v>
      </c>
      <c r="I2519" s="42" t="str">
        <v>0.0</v>
      </c>
      <c r="J2519" s="42" t="str">
        <v>Costa Rica</v>
      </c>
      <c r="K2519" s="42" t="str">
        <v xml:space="preserve">Netherlands win on penalties (4 - 3) </v>
      </c>
      <c r="L2519" s="42" t="str">
        <f t="shared" si="185"/>
        <v xml:space="preserve">2014.0|05 Jul 2014 - 17:00 |Quarter-finals|Arena Fonte Nova|Salvador |Netherlands|0.0|0.0|Costa Rica|Netherlands win on penalties (4 - 3) </v>
      </c>
      <c r="M2519" s="42" t="str">
        <f>IF(COUNTIF($L$1689:L2519,L2519)&gt;1,"DOUBLON","OK")</f>
        <v>OK</v>
      </c>
      <c r="S2519" s="40" t="str">
        <v>Soviet Union</v>
      </c>
      <c r="T2519" s="40" t="str">
        <f t="shared" si="186"/>
        <v>ERREUR</v>
      </c>
      <c r="U2519" s="40" t="str">
        <f t="shared" si="187"/>
        <v>AUCUNE</v>
      </c>
      <c r="V2519" s="40" t="str" cm="1">
        <f t="array" ref="V2519">_xlfn.IFS(
ISNUMBER(SEARCH("USA",S2519)),"United States",
ISNUMBER(SEARCH("Republic of Ireland",S2519)),"Ireland",
ISNUMBER(SEARCH("Republic of Korea",S2519)),"South Korea",
ISNUMBER(SEARCH("Cape Verde",S2519)),"Cabo Verde",
ISNUMBER(SEARCH("Czechia",S2519)),"Czech Republic",
ISNUMBER(SEARCH("Türkiye",S2519)),"Turkey",
ISNUMBER(SEARCH("Ivory Coast",S2519)),"Côte d'Ivoire",
ISNUMBER(SEARCH("Korea Republic",S2519)),"South Korea",
ISNUMBER(SEARCH("Germany FR",S2519)),"FR Germany",
ISNUMBER(SEARCH("West Germany",S2519)),"FR Germany",
ISNUMBER(SEARCH("Germany DR",S2519)),"DR Germany",
ISNUMBER(SEARCH("Korea DPR",S2519)),"North Korea",
ISNUMBER(SEARCH("China PR",S2519)),"China",
ISNUMBER(SEARCH("IR Iran",S2519)),"Iran",
ISNUMBER(SEARCH("Congo DR",S2519)),"Democratic Republic of the Congo",
ISNUMBER(SEARCH("DR Congo",S2519)),"Democratic Republic of the Congo",
ISNUMBER(SEARCH("German DR",S2519)),"DR Germany",
ISNUMBER(SEARCH("rn""&gt;United Arab Emirates",S2519)),"United Arab Emirates",
ISNUMBER(SEARCH("rn""&gt;Republic of Ireland",S2519)),"Ireland",
ISNUMBER(SEARCH("rn""&gt;Bosnia and Herzegovina",S2519)),"Bosnia and Herzegovina",
ISNUMBER(SEARCH("rn""&gt;Trinidad and Tobago",S2519)),"Trinidad and Tobago",
ISNUMBER(SEARCH("rn""&gt;Serbia and Montenegro",S2519)),"Serbia and Montenegro",
ISNUMBER(SEARCH(_xlfn.UNICHAR(65533),S2519)),"Côte d'Ivoire",
TRUE,""
)</f>
        <v/>
      </c>
      <c r="W2519" s="40" t="str">
        <f t="shared" si="188"/>
        <v>Soviet Union</v>
      </c>
    </row>
    <row r="2520" spans="2:23">
      <c r="B2520" s="76" t="str">
        <v>2014.0</v>
      </c>
      <c r="C2520" s="42" t="str">
        <v xml:space="preserve">05 Jul 2014 - 13:00 </v>
      </c>
      <c r="D2520" s="42" t="str">
        <v>Quarter-finals</v>
      </c>
      <c r="E2520" s="42" t="str">
        <v>Estadio Nacional</v>
      </c>
      <c r="F2520" s="42" t="str">
        <v xml:space="preserve">Brasilia </v>
      </c>
      <c r="G2520" s="42" t="str">
        <v>Argentina</v>
      </c>
      <c r="H2520" s="42" t="str">
        <v>1.0</v>
      </c>
      <c r="I2520" s="42" t="str">
        <v>0.0</v>
      </c>
      <c r="J2520" s="42" t="str">
        <v>Belgium</v>
      </c>
      <c r="K2520" s="42" t="str">
        <v xml:space="preserve"> </v>
      </c>
      <c r="L2520" s="42" t="str">
        <f t="shared" si="185"/>
        <v xml:space="preserve">2014.0|05 Jul 2014 - 13:00 |Quarter-finals|Estadio Nacional|Brasilia |Argentina|1.0|0.0|Belgium| </v>
      </c>
      <c r="M2520" s="42" t="str">
        <f>IF(COUNTIF($L$1689:L2520,L2520)&gt;1,"DOUBLON","OK")</f>
        <v>OK</v>
      </c>
      <c r="S2520" s="40" t="str">
        <v>Spain</v>
      </c>
      <c r="T2520" s="40" t="str">
        <f t="shared" si="186"/>
        <v>OK</v>
      </c>
      <c r="U2520" s="40" t="str">
        <f t="shared" si="187"/>
        <v>-</v>
      </c>
      <c r="V2520" s="40" t="str" cm="1">
        <f t="array" ref="V2520">_xlfn.IFS(
ISNUMBER(SEARCH("USA",S2520)),"United States",
ISNUMBER(SEARCH("Republic of Ireland",S2520)),"Ireland",
ISNUMBER(SEARCH("Republic of Korea",S2520)),"South Korea",
ISNUMBER(SEARCH("Cape Verde",S2520)),"Cabo Verde",
ISNUMBER(SEARCH("Czechia",S2520)),"Czech Republic",
ISNUMBER(SEARCH("Türkiye",S2520)),"Turkey",
ISNUMBER(SEARCH("Ivory Coast",S2520)),"Côte d'Ivoire",
ISNUMBER(SEARCH("Korea Republic",S2520)),"South Korea",
ISNUMBER(SEARCH("Germany FR",S2520)),"FR Germany",
ISNUMBER(SEARCH("West Germany",S2520)),"FR Germany",
ISNUMBER(SEARCH("Germany DR",S2520)),"DR Germany",
ISNUMBER(SEARCH("Korea DPR",S2520)),"North Korea",
ISNUMBER(SEARCH("China PR",S2520)),"China",
ISNUMBER(SEARCH("IR Iran",S2520)),"Iran",
ISNUMBER(SEARCH("Congo DR",S2520)),"Democratic Republic of the Congo",
ISNUMBER(SEARCH("DR Congo",S2520)),"Democratic Republic of the Congo",
ISNUMBER(SEARCH("German DR",S2520)),"DR Germany",
ISNUMBER(SEARCH("rn""&gt;United Arab Emirates",S2520)),"United Arab Emirates",
ISNUMBER(SEARCH("rn""&gt;Republic of Ireland",S2520)),"Ireland",
ISNUMBER(SEARCH("rn""&gt;Bosnia and Herzegovina",S2520)),"Bosnia and Herzegovina",
ISNUMBER(SEARCH("rn""&gt;Trinidad and Tobago",S2520)),"Trinidad and Tobago",
ISNUMBER(SEARCH("rn""&gt;Serbia and Montenegro",S2520)),"Serbia and Montenegro",
ISNUMBER(SEARCH(_xlfn.UNICHAR(65533),S2520)),"Côte d'Ivoire",
TRUE,""
)</f>
        <v/>
      </c>
      <c r="W2520" s="40" t="str">
        <f t="shared" si="188"/>
        <v>Spain</v>
      </c>
    </row>
    <row r="2521" spans="2:23">
      <c r="B2521" s="76" t="str">
        <v>2014.0</v>
      </c>
      <c r="C2521" s="42" t="str">
        <v xml:space="preserve">29 Jun 2014 - 13:00 </v>
      </c>
      <c r="D2521" s="42" t="str">
        <v>Round of 16</v>
      </c>
      <c r="E2521" s="42" t="str">
        <v>Estadio Castelao</v>
      </c>
      <c r="F2521" s="42" t="str">
        <v xml:space="preserve">Fortaleza </v>
      </c>
      <c r="G2521" s="42" t="str">
        <v>Netherlands</v>
      </c>
      <c r="H2521" s="42" t="str">
        <v>2.0</v>
      </c>
      <c r="I2521" s="42" t="str">
        <v>1.0</v>
      </c>
      <c r="J2521" s="42" t="str">
        <v>Mexico</v>
      </c>
      <c r="K2521" s="42" t="str">
        <v xml:space="preserve"> </v>
      </c>
      <c r="L2521" s="42" t="str">
        <f t="shared" ref="L2521:L2584" si="189">B2521&amp;"|"&amp;C2521&amp;"|"&amp;D2521&amp;"|"&amp;E2521&amp;"|"&amp;F2521&amp;"|"&amp;G2521&amp;"|"&amp;H2521&amp;"|"&amp;I2521&amp;"|"&amp;J2521&amp;"|"&amp;K2521</f>
        <v xml:space="preserve">2014.0|29 Jun 2014 - 13:00 |Round of 16|Estadio Castelao|Fortaleza |Netherlands|2.0|1.0|Mexico| </v>
      </c>
      <c r="M2521" s="42" t="str">
        <f>IF(COUNTIF($L$1689:L2521,L2521)&gt;1,"DOUBLON","OK")</f>
        <v>OK</v>
      </c>
      <c r="S2521" s="40" t="str">
        <v>Hungary</v>
      </c>
      <c r="T2521" s="40" t="str">
        <f t="shared" si="186"/>
        <v>OK</v>
      </c>
      <c r="U2521" s="40" t="str">
        <f t="shared" si="187"/>
        <v>-</v>
      </c>
      <c r="V2521" s="40" t="str" cm="1">
        <f t="array" ref="V2521">_xlfn.IFS(
ISNUMBER(SEARCH("USA",S2521)),"United States",
ISNUMBER(SEARCH("Republic of Ireland",S2521)),"Ireland",
ISNUMBER(SEARCH("Republic of Korea",S2521)),"South Korea",
ISNUMBER(SEARCH("Cape Verde",S2521)),"Cabo Verde",
ISNUMBER(SEARCH("Czechia",S2521)),"Czech Republic",
ISNUMBER(SEARCH("Türkiye",S2521)),"Turkey",
ISNUMBER(SEARCH("Ivory Coast",S2521)),"Côte d'Ivoire",
ISNUMBER(SEARCH("Korea Republic",S2521)),"South Korea",
ISNUMBER(SEARCH("Germany FR",S2521)),"FR Germany",
ISNUMBER(SEARCH("West Germany",S2521)),"FR Germany",
ISNUMBER(SEARCH("Germany DR",S2521)),"DR Germany",
ISNUMBER(SEARCH("Korea DPR",S2521)),"North Korea",
ISNUMBER(SEARCH("China PR",S2521)),"China",
ISNUMBER(SEARCH("IR Iran",S2521)),"Iran",
ISNUMBER(SEARCH("Congo DR",S2521)),"Democratic Republic of the Congo",
ISNUMBER(SEARCH("DR Congo",S2521)),"Democratic Republic of the Congo",
ISNUMBER(SEARCH("German DR",S2521)),"DR Germany",
ISNUMBER(SEARCH("rn""&gt;United Arab Emirates",S2521)),"United Arab Emirates",
ISNUMBER(SEARCH("rn""&gt;Republic of Ireland",S2521)),"Ireland",
ISNUMBER(SEARCH("rn""&gt;Bosnia and Herzegovina",S2521)),"Bosnia and Herzegovina",
ISNUMBER(SEARCH("rn""&gt;Trinidad and Tobago",S2521)),"Trinidad and Tobago",
ISNUMBER(SEARCH("rn""&gt;Serbia and Montenegro",S2521)),"Serbia and Montenegro",
ISNUMBER(SEARCH(_xlfn.UNICHAR(65533),S2521)),"Côte d'Ivoire",
TRUE,""
)</f>
        <v/>
      </c>
      <c r="W2521" s="40" t="str">
        <f t="shared" si="188"/>
        <v>Hungary</v>
      </c>
    </row>
    <row r="2522" spans="2:23">
      <c r="B2522" s="76" t="str">
        <v>2014.0</v>
      </c>
      <c r="C2522" s="42" t="str">
        <v xml:space="preserve">29 Jun 2014 - 17:00 </v>
      </c>
      <c r="D2522" s="42" t="str">
        <v>Round of 16</v>
      </c>
      <c r="E2522" s="42" t="str">
        <v>Arena Pernambuco</v>
      </c>
      <c r="F2522" s="42" t="str">
        <v xml:space="preserve">Recife </v>
      </c>
      <c r="G2522" s="42" t="str">
        <v>Costa Rica</v>
      </c>
      <c r="H2522" s="42" t="str">
        <v>1.0</v>
      </c>
      <c r="I2522" s="42" t="str">
        <v>1.0</v>
      </c>
      <c r="J2522" s="42" t="str">
        <v>Greece</v>
      </c>
      <c r="K2522" s="42" t="str">
        <v xml:space="preserve">Costa Rica win on penalties (5 - 3) </v>
      </c>
      <c r="L2522" s="42" t="str">
        <f t="shared" si="189"/>
        <v xml:space="preserve">2014.0|29 Jun 2014 - 17:00 |Round of 16|Arena Pernambuco|Recife |Costa Rica|1.0|1.0|Greece|Costa Rica win on penalties (5 - 3) </v>
      </c>
      <c r="M2522" s="42" t="str">
        <f>IF(COUNTIF($L$1689:L2522,L2522)&gt;1,"DOUBLON","OK")</f>
        <v>OK</v>
      </c>
      <c r="S2522" s="40" t="str">
        <v>Germany FR</v>
      </c>
      <c r="T2522" s="40" t="str">
        <f t="shared" si="186"/>
        <v>ERREUR</v>
      </c>
      <c r="U2522" s="40" t="str">
        <f t="shared" si="187"/>
        <v>RENOMMER</v>
      </c>
      <c r="V2522" s="40" t="str" cm="1">
        <f t="array" ref="V2522">_xlfn.IFS(
ISNUMBER(SEARCH("USA",S2522)),"United States",
ISNUMBER(SEARCH("Republic of Ireland",S2522)),"Ireland",
ISNUMBER(SEARCH("Republic of Korea",S2522)),"South Korea",
ISNUMBER(SEARCH("Cape Verde",S2522)),"Cabo Verde",
ISNUMBER(SEARCH("Czechia",S2522)),"Czech Republic",
ISNUMBER(SEARCH("Türkiye",S2522)),"Turkey",
ISNUMBER(SEARCH("Ivory Coast",S2522)),"Côte d'Ivoire",
ISNUMBER(SEARCH("Korea Republic",S2522)),"South Korea",
ISNUMBER(SEARCH("Germany FR",S2522)),"FR Germany",
ISNUMBER(SEARCH("West Germany",S2522)),"FR Germany",
ISNUMBER(SEARCH("Germany DR",S2522)),"DR Germany",
ISNUMBER(SEARCH("Korea DPR",S2522)),"North Korea",
ISNUMBER(SEARCH("China PR",S2522)),"China",
ISNUMBER(SEARCH("IR Iran",S2522)),"Iran",
ISNUMBER(SEARCH("Congo DR",S2522)),"Democratic Republic of the Congo",
ISNUMBER(SEARCH("DR Congo",S2522)),"Democratic Republic of the Congo",
ISNUMBER(SEARCH("German DR",S2522)),"DR Germany",
ISNUMBER(SEARCH("rn""&gt;United Arab Emirates",S2522)),"United Arab Emirates",
ISNUMBER(SEARCH("rn""&gt;Republic of Ireland",S2522)),"Ireland",
ISNUMBER(SEARCH("rn""&gt;Bosnia and Herzegovina",S2522)),"Bosnia and Herzegovina",
ISNUMBER(SEARCH("rn""&gt;Trinidad and Tobago",S2522)),"Trinidad and Tobago",
ISNUMBER(SEARCH("rn""&gt;Serbia and Montenegro",S2522)),"Serbia and Montenegro",
ISNUMBER(SEARCH(_xlfn.UNICHAR(65533),S2522)),"Côte d'Ivoire",
TRUE,""
)</f>
        <v>FR Germany</v>
      </c>
      <c r="W2522" s="40" t="str">
        <f t="shared" si="188"/>
        <v>FR Germany</v>
      </c>
    </row>
    <row r="2523" spans="2:23">
      <c r="B2523" s="76" t="str">
        <v>2014.0</v>
      </c>
      <c r="C2523" s="42" t="str">
        <v xml:space="preserve">01 Jul 2014 - 13:00 </v>
      </c>
      <c r="D2523" s="42" t="str">
        <v>Round of 16</v>
      </c>
      <c r="E2523" s="42" t="str">
        <v>Arena de Sao Paulo</v>
      </c>
      <c r="F2523" s="42" t="str">
        <v xml:space="preserve">Sao Paulo </v>
      </c>
      <c r="G2523" s="42" t="str">
        <v>Argentina</v>
      </c>
      <c r="H2523" s="42" t="str">
        <v>1.0</v>
      </c>
      <c r="I2523" s="42" t="str">
        <v>0.0</v>
      </c>
      <c r="J2523" s="42" t="str">
        <v>Switzerland</v>
      </c>
      <c r="K2523" s="42" t="str">
        <v xml:space="preserve">Argentina win after extra time </v>
      </c>
      <c r="L2523" s="42" t="str">
        <f t="shared" si="189"/>
        <v xml:space="preserve">2014.0|01 Jul 2014 - 13:00 |Round of 16|Arena de Sao Paulo|Sao Paulo |Argentina|1.0|0.0|Switzerland|Argentina win after extra time </v>
      </c>
      <c r="M2523" s="42" t="str">
        <f>IF(COUNTIF($L$1689:L2523,L2523)&gt;1,"DOUBLON","OK")</f>
        <v>OK</v>
      </c>
      <c r="S2523" s="40" t="str">
        <v>Soviet Union</v>
      </c>
      <c r="T2523" s="40" t="str">
        <f t="shared" si="186"/>
        <v>ERREUR</v>
      </c>
      <c r="U2523" s="40" t="str">
        <f t="shared" si="187"/>
        <v>AUCUNE</v>
      </c>
      <c r="V2523" s="40" t="str" cm="1">
        <f t="array" ref="V2523">_xlfn.IFS(
ISNUMBER(SEARCH("USA",S2523)),"United States",
ISNUMBER(SEARCH("Republic of Ireland",S2523)),"Ireland",
ISNUMBER(SEARCH("Republic of Korea",S2523)),"South Korea",
ISNUMBER(SEARCH("Cape Verde",S2523)),"Cabo Verde",
ISNUMBER(SEARCH("Czechia",S2523)),"Czech Republic",
ISNUMBER(SEARCH("Türkiye",S2523)),"Turkey",
ISNUMBER(SEARCH("Ivory Coast",S2523)),"Côte d'Ivoire",
ISNUMBER(SEARCH("Korea Republic",S2523)),"South Korea",
ISNUMBER(SEARCH("Germany FR",S2523)),"FR Germany",
ISNUMBER(SEARCH("West Germany",S2523)),"FR Germany",
ISNUMBER(SEARCH("Germany DR",S2523)),"DR Germany",
ISNUMBER(SEARCH("Korea DPR",S2523)),"North Korea",
ISNUMBER(SEARCH("China PR",S2523)),"China",
ISNUMBER(SEARCH("IR Iran",S2523)),"Iran",
ISNUMBER(SEARCH("Congo DR",S2523)),"Democratic Republic of the Congo",
ISNUMBER(SEARCH("DR Congo",S2523)),"Democratic Republic of the Congo",
ISNUMBER(SEARCH("German DR",S2523)),"DR Germany",
ISNUMBER(SEARCH("rn""&gt;United Arab Emirates",S2523)),"United Arab Emirates",
ISNUMBER(SEARCH("rn""&gt;Republic of Ireland",S2523)),"Ireland",
ISNUMBER(SEARCH("rn""&gt;Bosnia and Herzegovina",S2523)),"Bosnia and Herzegovina",
ISNUMBER(SEARCH("rn""&gt;Trinidad and Tobago",S2523)),"Trinidad and Tobago",
ISNUMBER(SEARCH("rn""&gt;Serbia and Montenegro",S2523)),"Serbia and Montenegro",
ISNUMBER(SEARCH(_xlfn.UNICHAR(65533),S2523)),"Côte d'Ivoire",
TRUE,""
)</f>
        <v/>
      </c>
      <c r="W2523" s="40" t="str">
        <f t="shared" si="188"/>
        <v>Soviet Union</v>
      </c>
    </row>
    <row r="2524" spans="2:23">
      <c r="B2524" s="76" t="str">
        <v>2014.0</v>
      </c>
      <c r="C2524" s="42" t="str">
        <v xml:space="preserve">01 Jul 2014 - 17:00 </v>
      </c>
      <c r="D2524" s="42" t="str">
        <v>Round of 16</v>
      </c>
      <c r="E2524" s="42" t="str">
        <v>Arena Fonte Nova</v>
      </c>
      <c r="F2524" s="42" t="str">
        <v xml:space="preserve">Salvador </v>
      </c>
      <c r="G2524" s="42" t="str">
        <v>Belgium</v>
      </c>
      <c r="H2524" s="42" t="str">
        <v>2.0</v>
      </c>
      <c r="I2524" s="42" t="str">
        <v>1.0</v>
      </c>
      <c r="J2524" s="42" t="str">
        <v>USA</v>
      </c>
      <c r="K2524" s="42" t="str">
        <v xml:space="preserve">Belgium win after extra time </v>
      </c>
      <c r="L2524" s="42" t="str">
        <f t="shared" si="189"/>
        <v xml:space="preserve">2014.0|01 Jul 2014 - 17:00 |Round of 16|Arena Fonte Nova|Salvador |Belgium|2.0|1.0|USA|Belgium win after extra time </v>
      </c>
      <c r="M2524" s="42" t="str">
        <f>IF(COUNTIF($L$1689:L2524,L2524)&gt;1,"DOUBLON","OK")</f>
        <v>OK</v>
      </c>
      <c r="S2524" s="40" t="str">
        <v>Brazil</v>
      </c>
      <c r="T2524" s="40" t="str">
        <f t="shared" si="186"/>
        <v>OK</v>
      </c>
      <c r="U2524" s="40" t="str">
        <f t="shared" si="187"/>
        <v>-</v>
      </c>
      <c r="V2524" s="40" t="str" cm="1">
        <f t="array" ref="V2524">_xlfn.IFS(
ISNUMBER(SEARCH("USA",S2524)),"United States",
ISNUMBER(SEARCH("Republic of Ireland",S2524)),"Ireland",
ISNUMBER(SEARCH("Republic of Korea",S2524)),"South Korea",
ISNUMBER(SEARCH("Cape Verde",S2524)),"Cabo Verde",
ISNUMBER(SEARCH("Czechia",S2524)),"Czech Republic",
ISNUMBER(SEARCH("Türkiye",S2524)),"Turkey",
ISNUMBER(SEARCH("Ivory Coast",S2524)),"Côte d'Ivoire",
ISNUMBER(SEARCH("Korea Republic",S2524)),"South Korea",
ISNUMBER(SEARCH("Germany FR",S2524)),"FR Germany",
ISNUMBER(SEARCH("West Germany",S2524)),"FR Germany",
ISNUMBER(SEARCH("Germany DR",S2524)),"DR Germany",
ISNUMBER(SEARCH("Korea DPR",S2524)),"North Korea",
ISNUMBER(SEARCH("China PR",S2524)),"China",
ISNUMBER(SEARCH("IR Iran",S2524)),"Iran",
ISNUMBER(SEARCH("Congo DR",S2524)),"Democratic Republic of the Congo",
ISNUMBER(SEARCH("DR Congo",S2524)),"Democratic Republic of the Congo",
ISNUMBER(SEARCH("German DR",S2524)),"DR Germany",
ISNUMBER(SEARCH("rn""&gt;United Arab Emirates",S2524)),"United Arab Emirates",
ISNUMBER(SEARCH("rn""&gt;Republic of Ireland",S2524)),"Ireland",
ISNUMBER(SEARCH("rn""&gt;Bosnia and Herzegovina",S2524)),"Bosnia and Herzegovina",
ISNUMBER(SEARCH("rn""&gt;Trinidad and Tobago",S2524)),"Trinidad and Tobago",
ISNUMBER(SEARCH("rn""&gt;Serbia and Montenegro",S2524)),"Serbia and Montenegro",
ISNUMBER(SEARCH(_xlfn.UNICHAR(65533),S2524)),"Côte d'Ivoire",
TRUE,""
)</f>
        <v/>
      </c>
      <c r="W2524" s="40" t="str">
        <f t="shared" si="188"/>
        <v>Brazil</v>
      </c>
    </row>
    <row r="2525" spans="2:23">
      <c r="B2525" s="76" t="str">
        <v>2014.0</v>
      </c>
      <c r="C2525" s="42" t="str">
        <v xml:space="preserve">28 Jun 2014 - 13:00 </v>
      </c>
      <c r="D2525" s="42" t="str">
        <v>Round of 16</v>
      </c>
      <c r="E2525" s="42" t="str">
        <v>Estadio Mineirao</v>
      </c>
      <c r="F2525" s="42" t="str">
        <v xml:space="preserve">Belo Horizonte </v>
      </c>
      <c r="G2525" s="42" t="str">
        <v>Brazil</v>
      </c>
      <c r="H2525" s="42" t="str">
        <v>1.0</v>
      </c>
      <c r="I2525" s="42" t="str">
        <v>1.0</v>
      </c>
      <c r="J2525" s="42" t="str">
        <v>Chile</v>
      </c>
      <c r="K2525" s="42" t="str">
        <v xml:space="preserve">Brazil win on penalties (3 - 2) </v>
      </c>
      <c r="L2525" s="42" t="str">
        <f t="shared" si="189"/>
        <v xml:space="preserve">2014.0|28 Jun 2014 - 13:00 |Round of 16|Estadio Mineirao|Belo Horizonte |Brazil|1.0|1.0|Chile|Brazil win on penalties (3 - 2) </v>
      </c>
      <c r="M2525" s="42" t="str">
        <f>IF(COUNTIF($L$1689:L2525,L2525)&gt;1,"DOUBLON","OK")</f>
        <v>DOUBLON</v>
      </c>
      <c r="S2525" s="40" t="str">
        <v>Hungary</v>
      </c>
      <c r="T2525" s="40" t="str">
        <f t="shared" si="186"/>
        <v>OK</v>
      </c>
      <c r="U2525" s="40" t="str">
        <f t="shared" si="187"/>
        <v>-</v>
      </c>
      <c r="V2525" s="40" t="str" cm="1">
        <f t="array" ref="V2525">_xlfn.IFS(
ISNUMBER(SEARCH("USA",S2525)),"United States",
ISNUMBER(SEARCH("Republic of Ireland",S2525)),"Ireland",
ISNUMBER(SEARCH("Republic of Korea",S2525)),"South Korea",
ISNUMBER(SEARCH("Cape Verde",S2525)),"Cabo Verde",
ISNUMBER(SEARCH("Czechia",S2525)),"Czech Republic",
ISNUMBER(SEARCH("Türkiye",S2525)),"Turkey",
ISNUMBER(SEARCH("Ivory Coast",S2525)),"Côte d'Ivoire",
ISNUMBER(SEARCH("Korea Republic",S2525)),"South Korea",
ISNUMBER(SEARCH("Germany FR",S2525)),"FR Germany",
ISNUMBER(SEARCH("West Germany",S2525)),"FR Germany",
ISNUMBER(SEARCH("Germany DR",S2525)),"DR Germany",
ISNUMBER(SEARCH("Korea DPR",S2525)),"North Korea",
ISNUMBER(SEARCH("China PR",S2525)),"China",
ISNUMBER(SEARCH("IR Iran",S2525)),"Iran",
ISNUMBER(SEARCH("Congo DR",S2525)),"Democratic Republic of the Congo",
ISNUMBER(SEARCH("DR Congo",S2525)),"Democratic Republic of the Congo",
ISNUMBER(SEARCH("German DR",S2525)),"DR Germany",
ISNUMBER(SEARCH("rn""&gt;United Arab Emirates",S2525)),"United Arab Emirates",
ISNUMBER(SEARCH("rn""&gt;Republic of Ireland",S2525)),"Ireland",
ISNUMBER(SEARCH("rn""&gt;Bosnia and Herzegovina",S2525)),"Bosnia and Herzegovina",
ISNUMBER(SEARCH("rn""&gt;Trinidad and Tobago",S2525)),"Trinidad and Tobago",
ISNUMBER(SEARCH("rn""&gt;Serbia and Montenegro",S2525)),"Serbia and Montenegro",
ISNUMBER(SEARCH(_xlfn.UNICHAR(65533),S2525)),"Côte d'Ivoire",
TRUE,""
)</f>
        <v/>
      </c>
      <c r="W2525" s="40" t="str">
        <f t="shared" si="188"/>
        <v>Hungary</v>
      </c>
    </row>
    <row r="2526" spans="2:23">
      <c r="B2526" s="76" t="str">
        <v>2014.0</v>
      </c>
      <c r="C2526" s="42" t="str">
        <v xml:space="preserve">28 Jun 2014 - 17:00 </v>
      </c>
      <c r="D2526" s="42" t="str">
        <v>Round of 16</v>
      </c>
      <c r="E2526" s="42" t="str">
        <v>Estadio do Maracana</v>
      </c>
      <c r="F2526" s="42" t="str">
        <v xml:space="preserve">Rio De Janeiro </v>
      </c>
      <c r="G2526" s="42" t="str">
        <v>Colombia</v>
      </c>
      <c r="H2526" s="42" t="str">
        <v>2.0</v>
      </c>
      <c r="I2526" s="42" t="str">
        <v>0.0</v>
      </c>
      <c r="J2526" s="42" t="str">
        <v>Uruguay</v>
      </c>
      <c r="K2526" s="42" t="str">
        <v xml:space="preserve"> </v>
      </c>
      <c r="L2526" s="42" t="str">
        <f t="shared" si="189"/>
        <v xml:space="preserve">2014.0|28 Jun 2014 - 17:00 |Round of 16|Estadio do Maracana|Rio De Janeiro |Colombia|2.0|0.0|Uruguay| </v>
      </c>
      <c r="M2526" s="42" t="str">
        <f>IF(COUNTIF($L$1689:L2526,L2526)&gt;1,"DOUBLON","OK")</f>
        <v>DOUBLON</v>
      </c>
      <c r="S2526" s="40" t="str">
        <v>Germany FR</v>
      </c>
      <c r="T2526" s="40" t="str">
        <f t="shared" si="186"/>
        <v>ERREUR</v>
      </c>
      <c r="U2526" s="40" t="str">
        <f t="shared" si="187"/>
        <v>RENOMMER</v>
      </c>
      <c r="V2526" s="40" t="str" cm="1">
        <f t="array" ref="V2526">_xlfn.IFS(
ISNUMBER(SEARCH("USA",S2526)),"United States",
ISNUMBER(SEARCH("Republic of Ireland",S2526)),"Ireland",
ISNUMBER(SEARCH("Republic of Korea",S2526)),"South Korea",
ISNUMBER(SEARCH("Cape Verde",S2526)),"Cabo Verde",
ISNUMBER(SEARCH("Czechia",S2526)),"Czech Republic",
ISNUMBER(SEARCH("Türkiye",S2526)),"Turkey",
ISNUMBER(SEARCH("Ivory Coast",S2526)),"Côte d'Ivoire",
ISNUMBER(SEARCH("Korea Republic",S2526)),"South Korea",
ISNUMBER(SEARCH("Germany FR",S2526)),"FR Germany",
ISNUMBER(SEARCH("West Germany",S2526)),"FR Germany",
ISNUMBER(SEARCH("Germany DR",S2526)),"DR Germany",
ISNUMBER(SEARCH("Korea DPR",S2526)),"North Korea",
ISNUMBER(SEARCH("China PR",S2526)),"China",
ISNUMBER(SEARCH("IR Iran",S2526)),"Iran",
ISNUMBER(SEARCH("Congo DR",S2526)),"Democratic Republic of the Congo",
ISNUMBER(SEARCH("DR Congo",S2526)),"Democratic Republic of the Congo",
ISNUMBER(SEARCH("German DR",S2526)),"DR Germany",
ISNUMBER(SEARCH("rn""&gt;United Arab Emirates",S2526)),"United Arab Emirates",
ISNUMBER(SEARCH("rn""&gt;Republic of Ireland",S2526)),"Ireland",
ISNUMBER(SEARCH("rn""&gt;Bosnia and Herzegovina",S2526)),"Bosnia and Herzegovina",
ISNUMBER(SEARCH("rn""&gt;Trinidad and Tobago",S2526)),"Trinidad and Tobago",
ISNUMBER(SEARCH("rn""&gt;Serbia and Montenegro",S2526)),"Serbia and Montenegro",
ISNUMBER(SEARCH(_xlfn.UNICHAR(65533),S2526)),"Côte d'Ivoire",
TRUE,""
)</f>
        <v>FR Germany</v>
      </c>
      <c r="W2526" s="40" t="str">
        <f t="shared" si="188"/>
        <v>FR Germany</v>
      </c>
    </row>
    <row r="2527" spans="2:23">
      <c r="B2527" s="76" t="str">
        <v>2014.0</v>
      </c>
      <c r="C2527" s="42" t="str">
        <v xml:space="preserve">29 Jun 2014 - 13:00 </v>
      </c>
      <c r="D2527" s="42" t="str">
        <v>Round of 16</v>
      </c>
      <c r="E2527" s="42" t="str">
        <v>Estadio Castelao</v>
      </c>
      <c r="F2527" s="42" t="str">
        <v xml:space="preserve">Fortaleza </v>
      </c>
      <c r="G2527" s="42" t="str">
        <v>Netherlands</v>
      </c>
      <c r="H2527" s="42" t="str">
        <v>2.0</v>
      </c>
      <c r="I2527" s="42" t="str">
        <v>1.0</v>
      </c>
      <c r="J2527" s="42" t="str">
        <v>Mexico</v>
      </c>
      <c r="K2527" s="42" t="str">
        <v xml:space="preserve"> </v>
      </c>
      <c r="L2527" s="42" t="str">
        <f t="shared" si="189"/>
        <v xml:space="preserve">2014.0|29 Jun 2014 - 13:00 |Round of 16|Estadio Castelao|Fortaleza |Netherlands|2.0|1.0|Mexico| </v>
      </c>
      <c r="M2527" s="42" t="str">
        <f>IF(COUNTIF($L$1689:L2527,L2527)&gt;1,"DOUBLON","OK")</f>
        <v>DOUBLON</v>
      </c>
      <c r="S2527" s="40" t="str">
        <v>Yugoslavia</v>
      </c>
      <c r="T2527" s="40" t="str">
        <f t="shared" si="186"/>
        <v>ERREUR</v>
      </c>
      <c r="U2527" s="40" t="str">
        <f t="shared" si="187"/>
        <v>AUCUNE</v>
      </c>
      <c r="V2527" s="40" t="str" cm="1">
        <f t="array" ref="V2527">_xlfn.IFS(
ISNUMBER(SEARCH("USA",S2527)),"United States",
ISNUMBER(SEARCH("Republic of Ireland",S2527)),"Ireland",
ISNUMBER(SEARCH("Republic of Korea",S2527)),"South Korea",
ISNUMBER(SEARCH("Cape Verde",S2527)),"Cabo Verde",
ISNUMBER(SEARCH("Czechia",S2527)),"Czech Republic",
ISNUMBER(SEARCH("Türkiye",S2527)),"Turkey",
ISNUMBER(SEARCH("Ivory Coast",S2527)),"Côte d'Ivoire",
ISNUMBER(SEARCH("Korea Republic",S2527)),"South Korea",
ISNUMBER(SEARCH("Germany FR",S2527)),"FR Germany",
ISNUMBER(SEARCH("West Germany",S2527)),"FR Germany",
ISNUMBER(SEARCH("Germany DR",S2527)),"DR Germany",
ISNUMBER(SEARCH("Korea DPR",S2527)),"North Korea",
ISNUMBER(SEARCH("China PR",S2527)),"China",
ISNUMBER(SEARCH("IR Iran",S2527)),"Iran",
ISNUMBER(SEARCH("Congo DR",S2527)),"Democratic Republic of the Congo",
ISNUMBER(SEARCH("DR Congo",S2527)),"Democratic Republic of the Congo",
ISNUMBER(SEARCH("German DR",S2527)),"DR Germany",
ISNUMBER(SEARCH("rn""&gt;United Arab Emirates",S2527)),"United Arab Emirates",
ISNUMBER(SEARCH("rn""&gt;Republic of Ireland",S2527)),"Ireland",
ISNUMBER(SEARCH("rn""&gt;Bosnia and Herzegovina",S2527)),"Bosnia and Herzegovina",
ISNUMBER(SEARCH("rn""&gt;Trinidad and Tobago",S2527)),"Trinidad and Tobago",
ISNUMBER(SEARCH("rn""&gt;Serbia and Montenegro",S2527)),"Serbia and Montenegro",
ISNUMBER(SEARCH(_xlfn.UNICHAR(65533),S2527)),"Côte d'Ivoire",
TRUE,""
)</f>
        <v/>
      </c>
      <c r="W2527" s="40" t="str">
        <f t="shared" si="188"/>
        <v>Yugoslavia</v>
      </c>
    </row>
    <row r="2528" spans="2:23">
      <c r="B2528" s="76" t="str">
        <v>2014.0</v>
      </c>
      <c r="C2528" s="42" t="str">
        <v xml:space="preserve">29 Jun 2014 - 17:00 </v>
      </c>
      <c r="D2528" s="42" t="str">
        <v>Round of 16</v>
      </c>
      <c r="E2528" s="42" t="str">
        <v>Arena Pernambuco</v>
      </c>
      <c r="F2528" s="42" t="str">
        <v xml:space="preserve">Recife </v>
      </c>
      <c r="G2528" s="42" t="str">
        <v>Costa Rica</v>
      </c>
      <c r="H2528" s="42" t="str">
        <v>1.0</v>
      </c>
      <c r="I2528" s="42" t="str">
        <v>1.0</v>
      </c>
      <c r="J2528" s="42" t="str">
        <v>Greece</v>
      </c>
      <c r="K2528" s="42" t="str">
        <v xml:space="preserve">Costa Rica win on penalties (5 - 3) </v>
      </c>
      <c r="L2528" s="42" t="str">
        <f t="shared" si="189"/>
        <v xml:space="preserve">2014.0|29 Jun 2014 - 17:00 |Round of 16|Arena Pernambuco|Recife |Costa Rica|1.0|1.0|Greece|Costa Rica win on penalties (5 - 3) </v>
      </c>
      <c r="M2528" s="42" t="str">
        <f>IF(COUNTIF($L$1689:L2528,L2528)&gt;1,"DOUBLON","OK")</f>
        <v>DOUBLON</v>
      </c>
      <c r="S2528" s="40" t="str">
        <v>Mexico</v>
      </c>
      <c r="T2528" s="40" t="str">
        <f t="shared" si="186"/>
        <v>OK</v>
      </c>
      <c r="U2528" s="40" t="str">
        <f t="shared" si="187"/>
        <v>-</v>
      </c>
      <c r="V2528" s="40" t="str" cm="1">
        <f t="array" ref="V2528">_xlfn.IFS(
ISNUMBER(SEARCH("USA",S2528)),"United States",
ISNUMBER(SEARCH("Republic of Ireland",S2528)),"Ireland",
ISNUMBER(SEARCH("Republic of Korea",S2528)),"South Korea",
ISNUMBER(SEARCH("Cape Verde",S2528)),"Cabo Verde",
ISNUMBER(SEARCH("Czechia",S2528)),"Czech Republic",
ISNUMBER(SEARCH("Türkiye",S2528)),"Turkey",
ISNUMBER(SEARCH("Ivory Coast",S2528)),"Côte d'Ivoire",
ISNUMBER(SEARCH("Korea Republic",S2528)),"South Korea",
ISNUMBER(SEARCH("Germany FR",S2528)),"FR Germany",
ISNUMBER(SEARCH("West Germany",S2528)),"FR Germany",
ISNUMBER(SEARCH("Germany DR",S2528)),"DR Germany",
ISNUMBER(SEARCH("Korea DPR",S2528)),"North Korea",
ISNUMBER(SEARCH("China PR",S2528)),"China",
ISNUMBER(SEARCH("IR Iran",S2528)),"Iran",
ISNUMBER(SEARCH("Congo DR",S2528)),"Democratic Republic of the Congo",
ISNUMBER(SEARCH("DR Congo",S2528)),"Democratic Republic of the Congo",
ISNUMBER(SEARCH("German DR",S2528)),"DR Germany",
ISNUMBER(SEARCH("rn""&gt;United Arab Emirates",S2528)),"United Arab Emirates",
ISNUMBER(SEARCH("rn""&gt;Republic of Ireland",S2528)),"Ireland",
ISNUMBER(SEARCH("rn""&gt;Bosnia and Herzegovina",S2528)),"Bosnia and Herzegovina",
ISNUMBER(SEARCH("rn""&gt;Trinidad and Tobago",S2528)),"Trinidad and Tobago",
ISNUMBER(SEARCH("rn""&gt;Serbia and Montenegro",S2528)),"Serbia and Montenegro",
ISNUMBER(SEARCH(_xlfn.UNICHAR(65533),S2528)),"Côte d'Ivoire",
TRUE,""
)</f>
        <v/>
      </c>
      <c r="W2528" s="40" t="str">
        <f t="shared" si="188"/>
        <v>Mexico</v>
      </c>
    </row>
    <row r="2529" spans="2:23">
      <c r="B2529" s="76" t="str">
        <v>2014.0</v>
      </c>
      <c r="C2529" s="42" t="str">
        <v xml:space="preserve">30 Jun 2014 - 13:00 </v>
      </c>
      <c r="D2529" s="42" t="str">
        <v>Round of 16</v>
      </c>
      <c r="E2529" s="42" t="str">
        <v>Estadio Nacional</v>
      </c>
      <c r="F2529" s="42" t="str">
        <v xml:space="preserve">Brasilia </v>
      </c>
      <c r="G2529" s="42" t="str">
        <v>France</v>
      </c>
      <c r="H2529" s="42" t="str">
        <v>2.0</v>
      </c>
      <c r="I2529" s="42" t="str">
        <v>0.0</v>
      </c>
      <c r="J2529" s="42" t="str">
        <v>Nigeria</v>
      </c>
      <c r="K2529" s="42" t="str">
        <v xml:space="preserve"> </v>
      </c>
      <c r="L2529" s="42" t="str">
        <f t="shared" si="189"/>
        <v xml:space="preserve">2014.0|30 Jun 2014 - 13:00 |Round of 16|Estadio Nacional|Brasilia |France|2.0|0.0|Nigeria| </v>
      </c>
      <c r="M2529" s="42" t="str">
        <f>IF(COUNTIF($L$1689:L2529,L2529)&gt;1,"DOUBLON","OK")</f>
        <v>DOUBLON</v>
      </c>
      <c r="S2529" s="40" t="str">
        <v>England</v>
      </c>
      <c r="T2529" s="40" t="str">
        <f t="shared" si="186"/>
        <v>ERREUR</v>
      </c>
      <c r="U2529" s="40" t="str">
        <f t="shared" si="187"/>
        <v>AUCUNE</v>
      </c>
      <c r="V2529" s="40" t="str" cm="1">
        <f t="array" ref="V2529">_xlfn.IFS(
ISNUMBER(SEARCH("USA",S2529)),"United States",
ISNUMBER(SEARCH("Republic of Ireland",S2529)),"Ireland",
ISNUMBER(SEARCH("Republic of Korea",S2529)),"South Korea",
ISNUMBER(SEARCH("Cape Verde",S2529)),"Cabo Verde",
ISNUMBER(SEARCH("Czechia",S2529)),"Czech Republic",
ISNUMBER(SEARCH("Türkiye",S2529)),"Turkey",
ISNUMBER(SEARCH("Ivory Coast",S2529)),"Côte d'Ivoire",
ISNUMBER(SEARCH("Korea Republic",S2529)),"South Korea",
ISNUMBER(SEARCH("Germany FR",S2529)),"FR Germany",
ISNUMBER(SEARCH("West Germany",S2529)),"FR Germany",
ISNUMBER(SEARCH("Germany DR",S2529)),"DR Germany",
ISNUMBER(SEARCH("Korea DPR",S2529)),"North Korea",
ISNUMBER(SEARCH("China PR",S2529)),"China",
ISNUMBER(SEARCH("IR Iran",S2529)),"Iran",
ISNUMBER(SEARCH("Congo DR",S2529)),"Democratic Republic of the Congo",
ISNUMBER(SEARCH("DR Congo",S2529)),"Democratic Republic of the Congo",
ISNUMBER(SEARCH("German DR",S2529)),"DR Germany",
ISNUMBER(SEARCH("rn""&gt;United Arab Emirates",S2529)),"United Arab Emirates",
ISNUMBER(SEARCH("rn""&gt;Republic of Ireland",S2529)),"Ireland",
ISNUMBER(SEARCH("rn""&gt;Bosnia and Herzegovina",S2529)),"Bosnia and Herzegovina",
ISNUMBER(SEARCH("rn""&gt;Trinidad and Tobago",S2529)),"Trinidad and Tobago",
ISNUMBER(SEARCH("rn""&gt;Serbia and Montenegro",S2529)),"Serbia and Montenegro",
ISNUMBER(SEARCH(_xlfn.UNICHAR(65533),S2529)),"Côte d'Ivoire",
TRUE,""
)</f>
        <v/>
      </c>
      <c r="W2529" s="40" t="str">
        <f t="shared" si="188"/>
        <v>England</v>
      </c>
    </row>
    <row r="2530" spans="2:23">
      <c r="B2530" s="76" t="str">
        <v>2014.0</v>
      </c>
      <c r="C2530" s="42" t="str">
        <v xml:space="preserve">30 Jun 2014 - 17:00 </v>
      </c>
      <c r="D2530" s="42" t="str">
        <v>Round of 16</v>
      </c>
      <c r="E2530" s="42" t="str">
        <v>Estadio Beira-Rio</v>
      </c>
      <c r="F2530" s="42" t="str">
        <v xml:space="preserve">Porto Alegre </v>
      </c>
      <c r="G2530" s="42" t="str">
        <v>Germany</v>
      </c>
      <c r="H2530" s="42" t="str">
        <v>2.0</v>
      </c>
      <c r="I2530" s="42" t="str">
        <v>1.0</v>
      </c>
      <c r="J2530" s="42" t="str">
        <v>Algeria</v>
      </c>
      <c r="K2530" s="42" t="str">
        <v xml:space="preserve">Germany win after extra time </v>
      </c>
      <c r="L2530" s="42" t="str">
        <f t="shared" si="189"/>
        <v xml:space="preserve">2014.0|30 Jun 2014 - 17:00 |Round of 16|Estadio Beira-Rio|Porto Alegre |Germany|2.0|1.0|Algeria|Germany win after extra time </v>
      </c>
      <c r="M2530" s="42" t="str">
        <f>IF(COUNTIF($L$1689:L2530,L2530)&gt;1,"DOUBLON","OK")</f>
        <v>DOUBLON</v>
      </c>
      <c r="S2530" s="40" t="str">
        <v>Italy</v>
      </c>
      <c r="T2530" s="40" t="str">
        <f t="shared" si="186"/>
        <v>OK</v>
      </c>
      <c r="U2530" s="40" t="str">
        <f t="shared" si="187"/>
        <v>-</v>
      </c>
      <c r="V2530" s="40" t="str" cm="1">
        <f t="array" ref="V2530">_xlfn.IFS(
ISNUMBER(SEARCH("USA",S2530)),"United States",
ISNUMBER(SEARCH("Republic of Ireland",S2530)),"Ireland",
ISNUMBER(SEARCH("Republic of Korea",S2530)),"South Korea",
ISNUMBER(SEARCH("Cape Verde",S2530)),"Cabo Verde",
ISNUMBER(SEARCH("Czechia",S2530)),"Czech Republic",
ISNUMBER(SEARCH("Türkiye",S2530)),"Turkey",
ISNUMBER(SEARCH("Ivory Coast",S2530)),"Côte d'Ivoire",
ISNUMBER(SEARCH("Korea Republic",S2530)),"South Korea",
ISNUMBER(SEARCH("Germany FR",S2530)),"FR Germany",
ISNUMBER(SEARCH("West Germany",S2530)),"FR Germany",
ISNUMBER(SEARCH("Germany DR",S2530)),"DR Germany",
ISNUMBER(SEARCH("Korea DPR",S2530)),"North Korea",
ISNUMBER(SEARCH("China PR",S2530)),"China",
ISNUMBER(SEARCH("IR Iran",S2530)),"Iran",
ISNUMBER(SEARCH("Congo DR",S2530)),"Democratic Republic of the Congo",
ISNUMBER(SEARCH("DR Congo",S2530)),"Democratic Republic of the Congo",
ISNUMBER(SEARCH("German DR",S2530)),"DR Germany",
ISNUMBER(SEARCH("rn""&gt;United Arab Emirates",S2530)),"United Arab Emirates",
ISNUMBER(SEARCH("rn""&gt;Republic of Ireland",S2530)),"Ireland",
ISNUMBER(SEARCH("rn""&gt;Bosnia and Herzegovina",S2530)),"Bosnia and Herzegovina",
ISNUMBER(SEARCH("rn""&gt;Trinidad and Tobago",S2530)),"Trinidad and Tobago",
ISNUMBER(SEARCH("rn""&gt;Serbia and Montenegro",S2530)),"Serbia and Montenegro",
ISNUMBER(SEARCH(_xlfn.UNICHAR(65533),S2530)),"Côte d'Ivoire",
TRUE,""
)</f>
        <v/>
      </c>
      <c r="W2530" s="40" t="str">
        <f t="shared" si="188"/>
        <v>Italy</v>
      </c>
    </row>
    <row r="2531" spans="2:23">
      <c r="B2531" s="76" t="str">
        <v>2014.0</v>
      </c>
      <c r="C2531" s="42" t="str">
        <v xml:space="preserve">01 Jul 2014 - 13:00 </v>
      </c>
      <c r="D2531" s="42" t="str">
        <v>Round of 16</v>
      </c>
      <c r="E2531" s="42" t="str">
        <v>Arena de Sao Paulo</v>
      </c>
      <c r="F2531" s="42" t="str">
        <v xml:space="preserve">Sao Paulo </v>
      </c>
      <c r="G2531" s="42" t="str">
        <v>Argentina</v>
      </c>
      <c r="H2531" s="42" t="str">
        <v>1.0</v>
      </c>
      <c r="I2531" s="42" t="str">
        <v>0.0</v>
      </c>
      <c r="J2531" s="42" t="str">
        <v>Switzerland</v>
      </c>
      <c r="K2531" s="42" t="str">
        <v xml:space="preserve">Argentina win after extra time </v>
      </c>
      <c r="L2531" s="42" t="str">
        <f t="shared" si="189"/>
        <v xml:space="preserve">2014.0|01 Jul 2014 - 13:00 |Round of 16|Arena de Sao Paulo|Sao Paulo |Argentina|1.0|0.0|Switzerland|Argentina win after extra time </v>
      </c>
      <c r="M2531" s="42" t="str">
        <f>IF(COUNTIF($L$1689:L2531,L2531)&gt;1,"DOUBLON","OK")</f>
        <v>DOUBLON</v>
      </c>
      <c r="S2531" s="40" t="str">
        <v>Chile</v>
      </c>
      <c r="T2531" s="40" t="str">
        <f t="shared" si="186"/>
        <v>OK</v>
      </c>
      <c r="U2531" s="40" t="str">
        <f t="shared" si="187"/>
        <v>-</v>
      </c>
      <c r="V2531" s="40" t="str" cm="1">
        <f t="array" ref="V2531">_xlfn.IFS(
ISNUMBER(SEARCH("USA",S2531)),"United States",
ISNUMBER(SEARCH("Republic of Ireland",S2531)),"Ireland",
ISNUMBER(SEARCH("Republic of Korea",S2531)),"South Korea",
ISNUMBER(SEARCH("Cape Verde",S2531)),"Cabo Verde",
ISNUMBER(SEARCH("Czechia",S2531)),"Czech Republic",
ISNUMBER(SEARCH("Türkiye",S2531)),"Turkey",
ISNUMBER(SEARCH("Ivory Coast",S2531)),"Côte d'Ivoire",
ISNUMBER(SEARCH("Korea Republic",S2531)),"South Korea",
ISNUMBER(SEARCH("Germany FR",S2531)),"FR Germany",
ISNUMBER(SEARCH("West Germany",S2531)),"FR Germany",
ISNUMBER(SEARCH("Germany DR",S2531)),"DR Germany",
ISNUMBER(SEARCH("Korea DPR",S2531)),"North Korea",
ISNUMBER(SEARCH("China PR",S2531)),"China",
ISNUMBER(SEARCH("IR Iran",S2531)),"Iran",
ISNUMBER(SEARCH("Congo DR",S2531)),"Democratic Republic of the Congo",
ISNUMBER(SEARCH("DR Congo",S2531)),"Democratic Republic of the Congo",
ISNUMBER(SEARCH("German DR",S2531)),"DR Germany",
ISNUMBER(SEARCH("rn""&gt;United Arab Emirates",S2531)),"United Arab Emirates",
ISNUMBER(SEARCH("rn""&gt;Republic of Ireland",S2531)),"Ireland",
ISNUMBER(SEARCH("rn""&gt;Bosnia and Herzegovina",S2531)),"Bosnia and Herzegovina",
ISNUMBER(SEARCH("rn""&gt;Trinidad and Tobago",S2531)),"Trinidad and Tobago",
ISNUMBER(SEARCH("rn""&gt;Serbia and Montenegro",S2531)),"Serbia and Montenegro",
ISNUMBER(SEARCH(_xlfn.UNICHAR(65533),S2531)),"Côte d'Ivoire",
TRUE,""
)</f>
        <v/>
      </c>
      <c r="W2531" s="40" t="str">
        <f t="shared" si="188"/>
        <v>Chile</v>
      </c>
    </row>
    <row r="2532" spans="2:23">
      <c r="B2532" s="76" t="str">
        <v>2014.0</v>
      </c>
      <c r="C2532" s="42" t="str">
        <v xml:space="preserve">01 Jul 2014 - 17:00 </v>
      </c>
      <c r="D2532" s="42" t="str">
        <v>Round of 16</v>
      </c>
      <c r="E2532" s="42" t="str">
        <v>Arena Fonte Nova</v>
      </c>
      <c r="F2532" s="42" t="str">
        <v xml:space="preserve">Salvador </v>
      </c>
      <c r="G2532" s="42" t="str">
        <v>Belgium</v>
      </c>
      <c r="H2532" s="42" t="str">
        <v>2.0</v>
      </c>
      <c r="I2532" s="42" t="str">
        <v>1.0</v>
      </c>
      <c r="J2532" s="42" t="str">
        <v>USA</v>
      </c>
      <c r="K2532" s="42" t="str">
        <v xml:space="preserve">Belgium win after extra time </v>
      </c>
      <c r="L2532" s="42" t="str">
        <f t="shared" si="189"/>
        <v xml:space="preserve">2014.0|01 Jul 2014 - 17:00 |Round of 16|Arena Fonte Nova|Salvador |Belgium|2.0|1.0|USA|Belgium win after extra time </v>
      </c>
      <c r="M2532" s="42" t="str">
        <f>IF(COUNTIF($L$1689:L2532,L2532)&gt;1,"DOUBLON","OK")</f>
        <v>DOUBLON</v>
      </c>
      <c r="S2532" s="40" t="str">
        <v>Brazil</v>
      </c>
      <c r="T2532" s="40" t="str">
        <f t="shared" si="186"/>
        <v>OK</v>
      </c>
      <c r="U2532" s="40" t="str">
        <f t="shared" si="187"/>
        <v>-</v>
      </c>
      <c r="V2532" s="40" t="str" cm="1">
        <f t="array" ref="V2532">_xlfn.IFS(
ISNUMBER(SEARCH("USA",S2532)),"United States",
ISNUMBER(SEARCH("Republic of Ireland",S2532)),"Ireland",
ISNUMBER(SEARCH("Republic of Korea",S2532)),"South Korea",
ISNUMBER(SEARCH("Cape Verde",S2532)),"Cabo Verde",
ISNUMBER(SEARCH("Czechia",S2532)),"Czech Republic",
ISNUMBER(SEARCH("Türkiye",S2532)),"Turkey",
ISNUMBER(SEARCH("Ivory Coast",S2532)),"Côte d'Ivoire",
ISNUMBER(SEARCH("Korea Republic",S2532)),"South Korea",
ISNUMBER(SEARCH("Germany FR",S2532)),"FR Germany",
ISNUMBER(SEARCH("West Germany",S2532)),"FR Germany",
ISNUMBER(SEARCH("Germany DR",S2532)),"DR Germany",
ISNUMBER(SEARCH("Korea DPR",S2532)),"North Korea",
ISNUMBER(SEARCH("China PR",S2532)),"China",
ISNUMBER(SEARCH("IR Iran",S2532)),"Iran",
ISNUMBER(SEARCH("Congo DR",S2532)),"Democratic Republic of the Congo",
ISNUMBER(SEARCH("DR Congo",S2532)),"Democratic Republic of the Congo",
ISNUMBER(SEARCH("German DR",S2532)),"DR Germany",
ISNUMBER(SEARCH("rn""&gt;United Arab Emirates",S2532)),"United Arab Emirates",
ISNUMBER(SEARCH("rn""&gt;Republic of Ireland",S2532)),"Ireland",
ISNUMBER(SEARCH("rn""&gt;Bosnia and Herzegovina",S2532)),"Bosnia and Herzegovina",
ISNUMBER(SEARCH("rn""&gt;Trinidad and Tobago",S2532)),"Trinidad and Tobago",
ISNUMBER(SEARCH("rn""&gt;Serbia and Montenegro",S2532)),"Serbia and Montenegro",
ISNUMBER(SEARCH(_xlfn.UNICHAR(65533),S2532)),"Côte d'Ivoire",
TRUE,""
)</f>
        <v/>
      </c>
      <c r="W2532" s="40" t="str">
        <f t="shared" si="188"/>
        <v>Brazil</v>
      </c>
    </row>
    <row r="2533" spans="2:23">
      <c r="B2533" s="76" t="str">
        <v>2014.0</v>
      </c>
      <c r="C2533" s="42" t="str">
        <v xml:space="preserve">04 Jul 2014 - 13:00 </v>
      </c>
      <c r="D2533" s="42" t="str">
        <v>Quarter-finals</v>
      </c>
      <c r="E2533" s="42" t="str">
        <v>Estadio do Maracana</v>
      </c>
      <c r="F2533" s="42" t="str">
        <v xml:space="preserve">Rio De Janeiro </v>
      </c>
      <c r="G2533" s="42" t="str">
        <v>France</v>
      </c>
      <c r="H2533" s="42" t="str">
        <v>0.0</v>
      </c>
      <c r="I2533" s="42" t="str">
        <v>1.0</v>
      </c>
      <c r="J2533" s="42" t="str">
        <v>Germany</v>
      </c>
      <c r="K2533" s="42" t="str">
        <v xml:space="preserve"> </v>
      </c>
      <c r="L2533" s="42" t="str">
        <f t="shared" si="189"/>
        <v xml:space="preserve">2014.0|04 Jul 2014 - 13:00 |Quarter-finals|Estadio do Maracana|Rio De Janeiro |France|0.0|1.0|Germany| </v>
      </c>
      <c r="M2533" s="42" t="str">
        <f>IF(COUNTIF($L$1689:L2533,L2533)&gt;1,"DOUBLON","OK")</f>
        <v>DOUBLON</v>
      </c>
      <c r="S2533" s="40" t="str">
        <v>Czechoslovakia</v>
      </c>
      <c r="T2533" s="40" t="str">
        <f t="shared" si="186"/>
        <v>ERREUR</v>
      </c>
      <c r="U2533" s="40" t="str">
        <f t="shared" si="187"/>
        <v>AUCUNE</v>
      </c>
      <c r="V2533" s="40" t="str" cm="1">
        <f t="array" ref="V2533">_xlfn.IFS(
ISNUMBER(SEARCH("USA",S2533)),"United States",
ISNUMBER(SEARCH("Republic of Ireland",S2533)),"Ireland",
ISNUMBER(SEARCH("Republic of Korea",S2533)),"South Korea",
ISNUMBER(SEARCH("Cape Verde",S2533)),"Cabo Verde",
ISNUMBER(SEARCH("Czechia",S2533)),"Czech Republic",
ISNUMBER(SEARCH("Türkiye",S2533)),"Turkey",
ISNUMBER(SEARCH("Ivory Coast",S2533)),"Côte d'Ivoire",
ISNUMBER(SEARCH("Korea Republic",S2533)),"South Korea",
ISNUMBER(SEARCH("Germany FR",S2533)),"FR Germany",
ISNUMBER(SEARCH("West Germany",S2533)),"FR Germany",
ISNUMBER(SEARCH("Germany DR",S2533)),"DR Germany",
ISNUMBER(SEARCH("Korea DPR",S2533)),"North Korea",
ISNUMBER(SEARCH("China PR",S2533)),"China",
ISNUMBER(SEARCH("IR Iran",S2533)),"Iran",
ISNUMBER(SEARCH("Congo DR",S2533)),"Democratic Republic of the Congo",
ISNUMBER(SEARCH("DR Congo",S2533)),"Democratic Republic of the Congo",
ISNUMBER(SEARCH("German DR",S2533)),"DR Germany",
ISNUMBER(SEARCH("rn""&gt;United Arab Emirates",S2533)),"United Arab Emirates",
ISNUMBER(SEARCH("rn""&gt;Republic of Ireland",S2533)),"Ireland",
ISNUMBER(SEARCH("rn""&gt;Bosnia and Herzegovina",S2533)),"Bosnia and Herzegovina",
ISNUMBER(SEARCH("rn""&gt;Trinidad and Tobago",S2533)),"Trinidad and Tobago",
ISNUMBER(SEARCH("rn""&gt;Serbia and Montenegro",S2533)),"Serbia and Montenegro",
ISNUMBER(SEARCH(_xlfn.UNICHAR(65533),S2533)),"Côte d'Ivoire",
TRUE,""
)</f>
        <v/>
      </c>
      <c r="W2533" s="40" t="str">
        <f t="shared" si="188"/>
        <v>Czechoslovakia</v>
      </c>
    </row>
    <row r="2534" spans="2:23">
      <c r="B2534" s="76" t="str">
        <v>2014.0</v>
      </c>
      <c r="C2534" s="42" t="str">
        <v xml:space="preserve">04 Jul 2014 - 17:00 </v>
      </c>
      <c r="D2534" s="42" t="str">
        <v>Quarter-finals</v>
      </c>
      <c r="E2534" s="42" t="str">
        <v>Estadio Castelao</v>
      </c>
      <c r="F2534" s="42" t="str">
        <v xml:space="preserve">Fortaleza </v>
      </c>
      <c r="G2534" s="42" t="str">
        <v>Brazil</v>
      </c>
      <c r="H2534" s="42" t="str">
        <v>2.0</v>
      </c>
      <c r="I2534" s="42" t="str">
        <v>1.0</v>
      </c>
      <c r="J2534" s="42" t="str">
        <v>Colombia</v>
      </c>
      <c r="K2534" s="42" t="str">
        <v xml:space="preserve"> </v>
      </c>
      <c r="L2534" s="42" t="str">
        <f t="shared" si="189"/>
        <v xml:space="preserve">2014.0|04 Jul 2014 - 17:00 |Quarter-finals|Estadio Castelao|Fortaleza |Brazil|2.0|1.0|Colombia| </v>
      </c>
      <c r="M2534" s="42" t="str">
        <f>IF(COUNTIF($L$1689:L2534,L2534)&gt;1,"DOUBLON","OK")</f>
        <v>DOUBLON</v>
      </c>
      <c r="S2534" s="40" t="str">
        <v>Yugoslavia</v>
      </c>
      <c r="T2534" s="40" t="str">
        <f t="shared" si="186"/>
        <v>ERREUR</v>
      </c>
      <c r="U2534" s="40" t="str">
        <f t="shared" si="187"/>
        <v>AUCUNE</v>
      </c>
      <c r="V2534" s="40" t="str" cm="1">
        <f t="array" ref="V2534">_xlfn.IFS(
ISNUMBER(SEARCH("USA",S2534)),"United States",
ISNUMBER(SEARCH("Republic of Ireland",S2534)),"Ireland",
ISNUMBER(SEARCH("Republic of Korea",S2534)),"South Korea",
ISNUMBER(SEARCH("Cape Verde",S2534)),"Cabo Verde",
ISNUMBER(SEARCH("Czechia",S2534)),"Czech Republic",
ISNUMBER(SEARCH("Türkiye",S2534)),"Turkey",
ISNUMBER(SEARCH("Ivory Coast",S2534)),"Côte d'Ivoire",
ISNUMBER(SEARCH("Korea Republic",S2534)),"South Korea",
ISNUMBER(SEARCH("Germany FR",S2534)),"FR Germany",
ISNUMBER(SEARCH("West Germany",S2534)),"FR Germany",
ISNUMBER(SEARCH("Germany DR",S2534)),"DR Germany",
ISNUMBER(SEARCH("Korea DPR",S2534)),"North Korea",
ISNUMBER(SEARCH("China PR",S2534)),"China",
ISNUMBER(SEARCH("IR Iran",S2534)),"Iran",
ISNUMBER(SEARCH("Congo DR",S2534)),"Democratic Republic of the Congo",
ISNUMBER(SEARCH("DR Congo",S2534)),"Democratic Republic of the Congo",
ISNUMBER(SEARCH("German DR",S2534)),"DR Germany",
ISNUMBER(SEARCH("rn""&gt;United Arab Emirates",S2534)),"United Arab Emirates",
ISNUMBER(SEARCH("rn""&gt;Republic of Ireland",S2534)),"Ireland",
ISNUMBER(SEARCH("rn""&gt;Bosnia and Herzegovina",S2534)),"Bosnia and Herzegovina",
ISNUMBER(SEARCH("rn""&gt;Trinidad and Tobago",S2534)),"Trinidad and Tobago",
ISNUMBER(SEARCH("rn""&gt;Serbia and Montenegro",S2534)),"Serbia and Montenegro",
ISNUMBER(SEARCH(_xlfn.UNICHAR(65533),S2534)),"Côte d'Ivoire",
TRUE,""
)</f>
        <v/>
      </c>
      <c r="W2534" s="40" t="str">
        <f t="shared" si="188"/>
        <v>Yugoslavia</v>
      </c>
    </row>
    <row r="2535" spans="2:23">
      <c r="B2535" s="76" t="str">
        <v>2014.0</v>
      </c>
      <c r="C2535" s="42" t="str">
        <v xml:space="preserve">05 Jul 2014 - 13:00 </v>
      </c>
      <c r="D2535" s="42" t="str">
        <v>Quarter-finals</v>
      </c>
      <c r="E2535" s="42" t="str">
        <v>Estadio Nacional</v>
      </c>
      <c r="F2535" s="42" t="str">
        <v xml:space="preserve">Brasilia </v>
      </c>
      <c r="G2535" s="42" t="str">
        <v>Argentina</v>
      </c>
      <c r="H2535" s="42" t="str">
        <v>1.0</v>
      </c>
      <c r="I2535" s="42" t="str">
        <v>0.0</v>
      </c>
      <c r="J2535" s="42" t="str">
        <v>Belgium</v>
      </c>
      <c r="K2535" s="42" t="str">
        <v xml:space="preserve"> </v>
      </c>
      <c r="L2535" s="42" t="str">
        <f t="shared" si="189"/>
        <v xml:space="preserve">2014.0|05 Jul 2014 - 13:00 |Quarter-finals|Estadio Nacional|Brasilia |Argentina|1.0|0.0|Belgium| </v>
      </c>
      <c r="M2535" s="42" t="str">
        <f>IF(COUNTIF($L$1689:L2535,L2535)&gt;1,"DOUBLON","OK")</f>
        <v>DOUBLON</v>
      </c>
      <c r="S2535" s="40" t="str">
        <v>Czechoslovakia</v>
      </c>
      <c r="T2535" s="40" t="str">
        <f t="shared" si="186"/>
        <v>ERREUR</v>
      </c>
      <c r="U2535" s="40" t="str">
        <f t="shared" si="187"/>
        <v>AUCUNE</v>
      </c>
      <c r="V2535" s="40" t="str" cm="1">
        <f t="array" ref="V2535">_xlfn.IFS(
ISNUMBER(SEARCH("USA",S2535)),"United States",
ISNUMBER(SEARCH("Republic of Ireland",S2535)),"Ireland",
ISNUMBER(SEARCH("Republic of Korea",S2535)),"South Korea",
ISNUMBER(SEARCH("Cape Verde",S2535)),"Cabo Verde",
ISNUMBER(SEARCH("Czechia",S2535)),"Czech Republic",
ISNUMBER(SEARCH("Türkiye",S2535)),"Turkey",
ISNUMBER(SEARCH("Ivory Coast",S2535)),"Côte d'Ivoire",
ISNUMBER(SEARCH("Korea Republic",S2535)),"South Korea",
ISNUMBER(SEARCH("Germany FR",S2535)),"FR Germany",
ISNUMBER(SEARCH("West Germany",S2535)),"FR Germany",
ISNUMBER(SEARCH("Germany DR",S2535)),"DR Germany",
ISNUMBER(SEARCH("Korea DPR",S2535)),"North Korea",
ISNUMBER(SEARCH("China PR",S2535)),"China",
ISNUMBER(SEARCH("IR Iran",S2535)),"Iran",
ISNUMBER(SEARCH("Congo DR",S2535)),"Democratic Republic of the Congo",
ISNUMBER(SEARCH("DR Congo",S2535)),"Democratic Republic of the Congo",
ISNUMBER(SEARCH("German DR",S2535)),"DR Germany",
ISNUMBER(SEARCH("rn""&gt;United Arab Emirates",S2535)),"United Arab Emirates",
ISNUMBER(SEARCH("rn""&gt;Republic of Ireland",S2535)),"Ireland",
ISNUMBER(SEARCH("rn""&gt;Bosnia and Herzegovina",S2535)),"Bosnia and Herzegovina",
ISNUMBER(SEARCH("rn""&gt;Trinidad and Tobago",S2535)),"Trinidad and Tobago",
ISNUMBER(SEARCH("rn""&gt;Serbia and Montenegro",S2535)),"Serbia and Montenegro",
ISNUMBER(SEARCH(_xlfn.UNICHAR(65533),S2535)),"Côte d'Ivoire",
TRUE,""
)</f>
        <v/>
      </c>
      <c r="W2535" s="40" t="str">
        <f t="shared" si="188"/>
        <v>Czechoslovakia</v>
      </c>
    </row>
    <row r="2536" spans="2:23">
      <c r="B2536" s="76" t="str">
        <v>2014.0</v>
      </c>
      <c r="C2536" s="42" t="str">
        <v xml:space="preserve">05 Jul 2014 - 17:00 </v>
      </c>
      <c r="D2536" s="42" t="str">
        <v>Quarter-finals</v>
      </c>
      <c r="E2536" s="42" t="str">
        <v>Arena Fonte Nova</v>
      </c>
      <c r="F2536" s="42" t="str">
        <v xml:space="preserve">Salvador </v>
      </c>
      <c r="G2536" s="42" t="str">
        <v>Netherlands</v>
      </c>
      <c r="H2536" s="42" t="str">
        <v>0.0</v>
      </c>
      <c r="I2536" s="42" t="str">
        <v>0.0</v>
      </c>
      <c r="J2536" s="42" t="str">
        <v>Costa Rica</v>
      </c>
      <c r="K2536" s="42" t="str">
        <v xml:space="preserve">Netherlands win on penalties (4 - 3) </v>
      </c>
      <c r="L2536" s="42" t="str">
        <f t="shared" si="189"/>
        <v xml:space="preserve">2014.0|05 Jul 2014 - 17:00 |Quarter-finals|Arena Fonte Nova|Salvador |Netherlands|0.0|0.0|Costa Rica|Netherlands win on penalties (4 - 3) </v>
      </c>
      <c r="M2536" s="42" t="str">
        <f>IF(COUNTIF($L$1689:L2536,L2536)&gt;1,"DOUBLON","OK")</f>
        <v>DOUBLON</v>
      </c>
      <c r="S2536" s="40" t="str">
        <v>Brazil</v>
      </c>
      <c r="T2536" s="40" t="str">
        <f t="shared" si="186"/>
        <v>OK</v>
      </c>
      <c r="U2536" s="40" t="str">
        <f t="shared" si="187"/>
        <v>-</v>
      </c>
      <c r="V2536" s="40" t="str" cm="1">
        <f t="array" ref="V2536">_xlfn.IFS(
ISNUMBER(SEARCH("USA",S2536)),"United States",
ISNUMBER(SEARCH("Republic of Ireland",S2536)),"Ireland",
ISNUMBER(SEARCH("Republic of Korea",S2536)),"South Korea",
ISNUMBER(SEARCH("Cape Verde",S2536)),"Cabo Verde",
ISNUMBER(SEARCH("Czechia",S2536)),"Czech Republic",
ISNUMBER(SEARCH("Türkiye",S2536)),"Turkey",
ISNUMBER(SEARCH("Ivory Coast",S2536)),"Côte d'Ivoire",
ISNUMBER(SEARCH("Korea Republic",S2536)),"South Korea",
ISNUMBER(SEARCH("Germany FR",S2536)),"FR Germany",
ISNUMBER(SEARCH("West Germany",S2536)),"FR Germany",
ISNUMBER(SEARCH("Germany DR",S2536)),"DR Germany",
ISNUMBER(SEARCH("Korea DPR",S2536)),"North Korea",
ISNUMBER(SEARCH("China PR",S2536)),"China",
ISNUMBER(SEARCH("IR Iran",S2536)),"Iran",
ISNUMBER(SEARCH("Congo DR",S2536)),"Democratic Republic of the Congo",
ISNUMBER(SEARCH("DR Congo",S2536)),"Democratic Republic of the Congo",
ISNUMBER(SEARCH("German DR",S2536)),"DR Germany",
ISNUMBER(SEARCH("rn""&gt;United Arab Emirates",S2536)),"United Arab Emirates",
ISNUMBER(SEARCH("rn""&gt;Republic of Ireland",S2536)),"Ireland",
ISNUMBER(SEARCH("rn""&gt;Bosnia and Herzegovina",S2536)),"Bosnia and Herzegovina",
ISNUMBER(SEARCH("rn""&gt;Trinidad and Tobago",S2536)),"Trinidad and Tobago",
ISNUMBER(SEARCH("rn""&gt;Serbia and Montenegro",S2536)),"Serbia and Montenegro",
ISNUMBER(SEARCH(_xlfn.UNICHAR(65533),S2536)),"Côte d'Ivoire",
TRUE,""
)</f>
        <v/>
      </c>
      <c r="W2536" s="40" t="str">
        <f t="shared" si="188"/>
        <v>Brazil</v>
      </c>
    </row>
    <row r="2537" spans="2:23">
      <c r="B2537" s="76" t="str">
        <v>2014.0</v>
      </c>
      <c r="C2537" s="42" t="str">
        <v xml:space="preserve">08 Jul 2014 - 17:00 </v>
      </c>
      <c r="D2537" s="42" t="str">
        <v>Semi-finals</v>
      </c>
      <c r="E2537" s="42" t="str">
        <v>Estadio Mineirao</v>
      </c>
      <c r="F2537" s="42" t="str">
        <v xml:space="preserve">Belo Horizonte </v>
      </c>
      <c r="G2537" s="42" t="str">
        <v>Brazil</v>
      </c>
      <c r="H2537" s="42" t="str">
        <v>1.0</v>
      </c>
      <c r="I2537" s="42" t="str">
        <v>7.0</v>
      </c>
      <c r="J2537" s="42" t="str">
        <v>Germany</v>
      </c>
      <c r="K2537" s="42" t="str">
        <v xml:space="preserve"> </v>
      </c>
      <c r="L2537" s="42" t="str">
        <f t="shared" si="189"/>
        <v xml:space="preserve">2014.0|08 Jul 2014 - 17:00 |Semi-finals|Estadio Mineirao|Belo Horizonte |Brazil|1.0|7.0|Germany| </v>
      </c>
      <c r="M2537" s="42" t="str">
        <f>IF(COUNTIF($L$1689:L2537,L2537)&gt;1,"DOUBLON","OK")</f>
        <v>DOUBLON</v>
      </c>
      <c r="S2537" s="40" t="str">
        <v>Chile</v>
      </c>
      <c r="T2537" s="40" t="str">
        <f t="shared" si="186"/>
        <v>OK</v>
      </c>
      <c r="U2537" s="40" t="str">
        <f t="shared" si="187"/>
        <v>-</v>
      </c>
      <c r="V2537" s="40" t="str" cm="1">
        <f t="array" ref="V2537">_xlfn.IFS(
ISNUMBER(SEARCH("USA",S2537)),"United States",
ISNUMBER(SEARCH("Republic of Ireland",S2537)),"Ireland",
ISNUMBER(SEARCH("Republic of Korea",S2537)),"South Korea",
ISNUMBER(SEARCH("Cape Verde",S2537)),"Cabo Verde",
ISNUMBER(SEARCH("Czechia",S2537)),"Czech Republic",
ISNUMBER(SEARCH("Türkiye",S2537)),"Turkey",
ISNUMBER(SEARCH("Ivory Coast",S2537)),"Côte d'Ivoire",
ISNUMBER(SEARCH("Korea Republic",S2537)),"South Korea",
ISNUMBER(SEARCH("Germany FR",S2537)),"FR Germany",
ISNUMBER(SEARCH("West Germany",S2537)),"FR Germany",
ISNUMBER(SEARCH("Germany DR",S2537)),"DR Germany",
ISNUMBER(SEARCH("Korea DPR",S2537)),"North Korea",
ISNUMBER(SEARCH("China PR",S2537)),"China",
ISNUMBER(SEARCH("IR Iran",S2537)),"Iran",
ISNUMBER(SEARCH("Congo DR",S2537)),"Democratic Republic of the Congo",
ISNUMBER(SEARCH("DR Congo",S2537)),"Democratic Republic of the Congo",
ISNUMBER(SEARCH("German DR",S2537)),"DR Germany",
ISNUMBER(SEARCH("rn""&gt;United Arab Emirates",S2537)),"United Arab Emirates",
ISNUMBER(SEARCH("rn""&gt;Republic of Ireland",S2537)),"Ireland",
ISNUMBER(SEARCH("rn""&gt;Bosnia and Herzegovina",S2537)),"Bosnia and Herzegovina",
ISNUMBER(SEARCH("rn""&gt;Trinidad and Tobago",S2537)),"Trinidad and Tobago",
ISNUMBER(SEARCH("rn""&gt;Serbia and Montenegro",S2537)),"Serbia and Montenegro",
ISNUMBER(SEARCH(_xlfn.UNICHAR(65533),S2537)),"Côte d'Ivoire",
TRUE,""
)</f>
        <v/>
      </c>
      <c r="W2537" s="40" t="str">
        <f t="shared" si="188"/>
        <v>Chile</v>
      </c>
    </row>
    <row r="2538" spans="2:23">
      <c r="B2538" s="76" t="str">
        <v>2014.0</v>
      </c>
      <c r="C2538" s="42" t="str">
        <v xml:space="preserve">09 Jul 2014 - 17:00 </v>
      </c>
      <c r="D2538" s="42" t="str">
        <v>Semi-finals</v>
      </c>
      <c r="E2538" s="42" t="str">
        <v>Arena de Sao Paulo</v>
      </c>
      <c r="F2538" s="42" t="str">
        <v xml:space="preserve">Sao Paulo </v>
      </c>
      <c r="G2538" s="42" t="str">
        <v>Netherlands</v>
      </c>
      <c r="H2538" s="42" t="str">
        <v>0.0</v>
      </c>
      <c r="I2538" s="42" t="str">
        <v>0.0</v>
      </c>
      <c r="J2538" s="42" t="str">
        <v>Argentina</v>
      </c>
      <c r="K2538" s="42" t="str">
        <v xml:space="preserve">Argentina win on penalties (2 - 4) </v>
      </c>
      <c r="L2538" s="42" t="str">
        <f t="shared" si="189"/>
        <v xml:space="preserve">2014.0|09 Jul 2014 - 17:00 |Semi-finals|Arena de Sao Paulo|Sao Paulo |Netherlands|0.0|0.0|Argentina|Argentina win on penalties (2 - 4) </v>
      </c>
      <c r="M2538" s="42" t="str">
        <f>IF(COUNTIF($L$1689:L2538,L2538)&gt;1,"DOUBLON","OK")</f>
        <v>DOUBLON</v>
      </c>
      <c r="S2538" s="40" t="str">
        <v>Brazil</v>
      </c>
      <c r="T2538" s="40" t="str">
        <f t="shared" si="186"/>
        <v>OK</v>
      </c>
      <c r="U2538" s="40" t="str">
        <f t="shared" si="187"/>
        <v>-</v>
      </c>
      <c r="V2538" s="40" t="str" cm="1">
        <f t="array" ref="V2538">_xlfn.IFS(
ISNUMBER(SEARCH("USA",S2538)),"United States",
ISNUMBER(SEARCH("Republic of Ireland",S2538)),"Ireland",
ISNUMBER(SEARCH("Republic of Korea",S2538)),"South Korea",
ISNUMBER(SEARCH("Cape Verde",S2538)),"Cabo Verde",
ISNUMBER(SEARCH("Czechia",S2538)),"Czech Republic",
ISNUMBER(SEARCH("Türkiye",S2538)),"Turkey",
ISNUMBER(SEARCH("Ivory Coast",S2538)),"Côte d'Ivoire",
ISNUMBER(SEARCH("Korea Republic",S2538)),"South Korea",
ISNUMBER(SEARCH("Germany FR",S2538)),"FR Germany",
ISNUMBER(SEARCH("West Germany",S2538)),"FR Germany",
ISNUMBER(SEARCH("Germany DR",S2538)),"DR Germany",
ISNUMBER(SEARCH("Korea DPR",S2538)),"North Korea",
ISNUMBER(SEARCH("China PR",S2538)),"China",
ISNUMBER(SEARCH("IR Iran",S2538)),"Iran",
ISNUMBER(SEARCH("Congo DR",S2538)),"Democratic Republic of the Congo",
ISNUMBER(SEARCH("DR Congo",S2538)),"Democratic Republic of the Congo",
ISNUMBER(SEARCH("German DR",S2538)),"DR Germany",
ISNUMBER(SEARCH("rn""&gt;United Arab Emirates",S2538)),"United Arab Emirates",
ISNUMBER(SEARCH("rn""&gt;Republic of Ireland",S2538)),"Ireland",
ISNUMBER(SEARCH("rn""&gt;Bosnia and Herzegovina",S2538)),"Bosnia and Herzegovina",
ISNUMBER(SEARCH("rn""&gt;Trinidad and Tobago",S2538)),"Trinidad and Tobago",
ISNUMBER(SEARCH("rn""&gt;Serbia and Montenegro",S2538)),"Serbia and Montenegro",
ISNUMBER(SEARCH(_xlfn.UNICHAR(65533),S2538)),"Côte d'Ivoire",
TRUE,""
)</f>
        <v/>
      </c>
      <c r="W2538" s="40" t="str">
        <f t="shared" si="188"/>
        <v>Brazil</v>
      </c>
    </row>
    <row r="2539" spans="2:23">
      <c r="B2539" s="76" t="str">
        <v>2014.0</v>
      </c>
      <c r="C2539" s="42" t="str">
        <v xml:space="preserve">12 Jul 2014 - 17:00 </v>
      </c>
      <c r="D2539" s="42" t="str">
        <v>Play-off for third place</v>
      </c>
      <c r="E2539" s="42" t="str">
        <v>Estadio Nacional</v>
      </c>
      <c r="F2539" s="42" t="str">
        <v xml:space="preserve">Brasilia </v>
      </c>
      <c r="G2539" s="42" t="str">
        <v>Brazil</v>
      </c>
      <c r="H2539" s="42" t="str">
        <v>0.0</v>
      </c>
      <c r="I2539" s="42" t="str">
        <v>3.0</v>
      </c>
      <c r="J2539" s="42" t="str">
        <v>Netherlands</v>
      </c>
      <c r="K2539" s="42" t="str">
        <v xml:space="preserve"> </v>
      </c>
      <c r="L2539" s="42" t="str">
        <f t="shared" si="189"/>
        <v xml:space="preserve">2014.0|12 Jul 2014 - 17:00 |Play-off for third place|Estadio Nacional|Brasilia |Brazil|0.0|3.0|Netherlands| </v>
      </c>
      <c r="M2539" s="42" t="str">
        <f>IF(COUNTIF($L$1689:L2539,L2539)&gt;1,"DOUBLON","OK")</f>
        <v>DOUBLON</v>
      </c>
      <c r="S2539" s="40" t="str">
        <v>England</v>
      </c>
      <c r="T2539" s="40" t="str">
        <f t="shared" si="186"/>
        <v>ERREUR</v>
      </c>
      <c r="U2539" s="40" t="str">
        <f t="shared" si="187"/>
        <v>AUCUNE</v>
      </c>
      <c r="V2539" s="40" t="str" cm="1">
        <f t="array" ref="V2539">_xlfn.IFS(
ISNUMBER(SEARCH("USA",S2539)),"United States",
ISNUMBER(SEARCH("Republic of Ireland",S2539)),"Ireland",
ISNUMBER(SEARCH("Republic of Korea",S2539)),"South Korea",
ISNUMBER(SEARCH("Cape Verde",S2539)),"Cabo Verde",
ISNUMBER(SEARCH("Czechia",S2539)),"Czech Republic",
ISNUMBER(SEARCH("Türkiye",S2539)),"Turkey",
ISNUMBER(SEARCH("Ivory Coast",S2539)),"Côte d'Ivoire",
ISNUMBER(SEARCH("Korea Republic",S2539)),"South Korea",
ISNUMBER(SEARCH("Germany FR",S2539)),"FR Germany",
ISNUMBER(SEARCH("West Germany",S2539)),"FR Germany",
ISNUMBER(SEARCH("Germany DR",S2539)),"DR Germany",
ISNUMBER(SEARCH("Korea DPR",S2539)),"North Korea",
ISNUMBER(SEARCH("China PR",S2539)),"China",
ISNUMBER(SEARCH("IR Iran",S2539)),"Iran",
ISNUMBER(SEARCH("Congo DR",S2539)),"Democratic Republic of the Congo",
ISNUMBER(SEARCH("DR Congo",S2539)),"Democratic Republic of the Congo",
ISNUMBER(SEARCH("German DR",S2539)),"DR Germany",
ISNUMBER(SEARCH("rn""&gt;United Arab Emirates",S2539)),"United Arab Emirates",
ISNUMBER(SEARCH("rn""&gt;Republic of Ireland",S2539)),"Ireland",
ISNUMBER(SEARCH("rn""&gt;Bosnia and Herzegovina",S2539)),"Bosnia and Herzegovina",
ISNUMBER(SEARCH("rn""&gt;Trinidad and Tobago",S2539)),"Trinidad and Tobago",
ISNUMBER(SEARCH("rn""&gt;Serbia and Montenegro",S2539)),"Serbia and Montenegro",
ISNUMBER(SEARCH(_xlfn.UNICHAR(65533),S2539)),"Côte d'Ivoire",
TRUE,""
)</f>
        <v/>
      </c>
      <c r="W2539" s="40" t="str">
        <f t="shared" si="188"/>
        <v>England</v>
      </c>
    </row>
    <row r="2540" spans="2:23">
      <c r="B2540" s="76" t="str">
        <v>2014.0</v>
      </c>
      <c r="C2540" s="42" t="str">
        <v xml:space="preserve">13 Jul 2014 - 16:00 </v>
      </c>
      <c r="D2540" s="42" t="str">
        <v>Final</v>
      </c>
      <c r="E2540" s="42" t="str">
        <v>Estadio do Maracana</v>
      </c>
      <c r="F2540" s="42" t="str">
        <v xml:space="preserve">Rio De Janeiro </v>
      </c>
      <c r="G2540" s="42" t="str">
        <v>Germany</v>
      </c>
      <c r="H2540" s="42" t="str">
        <v>1.0</v>
      </c>
      <c r="I2540" s="42" t="str">
        <v>0.0</v>
      </c>
      <c r="J2540" s="42" t="str">
        <v>Argentina</v>
      </c>
      <c r="K2540" s="42" t="str">
        <v xml:space="preserve">Germany win after extra time </v>
      </c>
      <c r="L2540" s="42" t="str">
        <f t="shared" si="189"/>
        <v xml:space="preserve">2014.0|13 Jul 2014 - 16:00 |Final|Estadio do Maracana|Rio De Janeiro |Germany|1.0|0.0|Argentina|Germany win after extra time </v>
      </c>
      <c r="M2540" s="42" t="str">
        <f>IF(COUNTIF($L$1689:L2540,L2540)&gt;1,"DOUBLON","OK")</f>
        <v>DOUBLON</v>
      </c>
      <c r="S2540" s="40" t="str">
        <v>Germany FR</v>
      </c>
      <c r="T2540" s="40" t="str">
        <f t="shared" si="186"/>
        <v>ERREUR</v>
      </c>
      <c r="U2540" s="40" t="str">
        <f t="shared" si="187"/>
        <v>RENOMMER</v>
      </c>
      <c r="V2540" s="40" t="str" cm="1">
        <f t="array" ref="V2540">_xlfn.IFS(
ISNUMBER(SEARCH("USA",S2540)),"United States",
ISNUMBER(SEARCH("Republic of Ireland",S2540)),"Ireland",
ISNUMBER(SEARCH("Republic of Korea",S2540)),"South Korea",
ISNUMBER(SEARCH("Cape Verde",S2540)),"Cabo Verde",
ISNUMBER(SEARCH("Czechia",S2540)),"Czech Republic",
ISNUMBER(SEARCH("Türkiye",S2540)),"Turkey",
ISNUMBER(SEARCH("Ivory Coast",S2540)),"Côte d'Ivoire",
ISNUMBER(SEARCH("Korea Republic",S2540)),"South Korea",
ISNUMBER(SEARCH("Germany FR",S2540)),"FR Germany",
ISNUMBER(SEARCH("West Germany",S2540)),"FR Germany",
ISNUMBER(SEARCH("Germany DR",S2540)),"DR Germany",
ISNUMBER(SEARCH("Korea DPR",S2540)),"North Korea",
ISNUMBER(SEARCH("China PR",S2540)),"China",
ISNUMBER(SEARCH("IR Iran",S2540)),"Iran",
ISNUMBER(SEARCH("Congo DR",S2540)),"Democratic Republic of the Congo",
ISNUMBER(SEARCH("DR Congo",S2540)),"Democratic Republic of the Congo",
ISNUMBER(SEARCH("German DR",S2540)),"DR Germany",
ISNUMBER(SEARCH("rn""&gt;United Arab Emirates",S2540)),"United Arab Emirates",
ISNUMBER(SEARCH("rn""&gt;Republic of Ireland",S2540)),"Ireland",
ISNUMBER(SEARCH("rn""&gt;Bosnia and Herzegovina",S2540)),"Bosnia and Herzegovina",
ISNUMBER(SEARCH("rn""&gt;Trinidad and Tobago",S2540)),"Trinidad and Tobago",
ISNUMBER(SEARCH("rn""&gt;Serbia and Montenegro",S2540)),"Serbia and Montenegro",
ISNUMBER(SEARCH(_xlfn.UNICHAR(65533),S2540)),"Côte d'Ivoire",
TRUE,""
)</f>
        <v>FR Germany</v>
      </c>
      <c r="W2540" s="40" t="str">
        <f t="shared" si="188"/>
        <v>FR Germany</v>
      </c>
    </row>
    <row r="2541" spans="2:23">
      <c r="B2541" s="76" t="str">
        <v>2018.0</v>
      </c>
      <c r="C2541" s="42" t="str">
        <v>14 Jun 2018 - 18:00</v>
      </c>
      <c r="D2541" s="42" t="str">
        <v>group stage</v>
      </c>
      <c r="E2541" s="42" t="str">
        <v>Luzhniki Stadium</v>
      </c>
      <c r="F2541" s="42" t="str">
        <v>Moscow</v>
      </c>
      <c r="G2541" s="42" t="str">
        <v>Russia</v>
      </c>
      <c r="H2541" s="42" t="str">
        <v>5.0</v>
      </c>
      <c r="I2541" s="42" t="str">
        <v>0.0</v>
      </c>
      <c r="J2541" s="42" t="str">
        <v>Saudi Arabia</v>
      </c>
      <c r="K2541" s="42" t="str">
        <v xml:space="preserve"> </v>
      </c>
      <c r="L2541" s="42" t="str">
        <f t="shared" si="189"/>
        <v xml:space="preserve">2018.0|14 Jun 2018 - 18:00|group stage|Luzhniki Stadium|Moscow|Russia|5.0|0.0|Saudi Arabia| </v>
      </c>
      <c r="M2541" s="42" t="str">
        <f>IF(COUNTIF($L$1689:L2541,L2541)&gt;1,"DOUBLON","OK")</f>
        <v>OK</v>
      </c>
      <c r="S2541" s="40" t="str">
        <v>Brazil</v>
      </c>
      <c r="T2541" s="40" t="str">
        <f t="shared" si="186"/>
        <v>OK</v>
      </c>
      <c r="U2541" s="40" t="str">
        <f t="shared" si="187"/>
        <v>-</v>
      </c>
      <c r="V2541" s="40" t="str" cm="1">
        <f t="array" ref="V2541">_xlfn.IFS(
ISNUMBER(SEARCH("USA",S2541)),"United States",
ISNUMBER(SEARCH("Republic of Ireland",S2541)),"Ireland",
ISNUMBER(SEARCH("Republic of Korea",S2541)),"South Korea",
ISNUMBER(SEARCH("Cape Verde",S2541)),"Cabo Verde",
ISNUMBER(SEARCH("Czechia",S2541)),"Czech Republic",
ISNUMBER(SEARCH("Türkiye",S2541)),"Turkey",
ISNUMBER(SEARCH("Ivory Coast",S2541)),"Côte d'Ivoire",
ISNUMBER(SEARCH("Korea Republic",S2541)),"South Korea",
ISNUMBER(SEARCH("Germany FR",S2541)),"FR Germany",
ISNUMBER(SEARCH("West Germany",S2541)),"FR Germany",
ISNUMBER(SEARCH("Germany DR",S2541)),"DR Germany",
ISNUMBER(SEARCH("Korea DPR",S2541)),"North Korea",
ISNUMBER(SEARCH("China PR",S2541)),"China",
ISNUMBER(SEARCH("IR Iran",S2541)),"Iran",
ISNUMBER(SEARCH("Congo DR",S2541)),"Democratic Republic of the Congo",
ISNUMBER(SEARCH("DR Congo",S2541)),"Democratic Republic of the Congo",
ISNUMBER(SEARCH("German DR",S2541)),"DR Germany",
ISNUMBER(SEARCH("rn""&gt;United Arab Emirates",S2541)),"United Arab Emirates",
ISNUMBER(SEARCH("rn""&gt;Republic of Ireland",S2541)),"Ireland",
ISNUMBER(SEARCH("rn""&gt;Bosnia and Herzegovina",S2541)),"Bosnia and Herzegovina",
ISNUMBER(SEARCH("rn""&gt;Trinidad and Tobago",S2541)),"Trinidad and Tobago",
ISNUMBER(SEARCH("rn""&gt;Serbia and Montenegro",S2541)),"Serbia and Montenegro",
ISNUMBER(SEARCH(_xlfn.UNICHAR(65533),S2541)),"Côte d'Ivoire",
TRUE,""
)</f>
        <v/>
      </c>
      <c r="W2541" s="40" t="str">
        <f t="shared" si="188"/>
        <v>Brazil</v>
      </c>
    </row>
    <row r="2542" spans="2:23">
      <c r="B2542" s="76" t="str">
        <v>2018.0</v>
      </c>
      <c r="C2542" s="42" t="str">
        <v>15 Jun 2018 - 17:00</v>
      </c>
      <c r="D2542" s="42" t="str">
        <v>group stage</v>
      </c>
      <c r="E2542" s="42" t="str">
        <v>Central Stadium</v>
      </c>
      <c r="F2542" s="42" t="str">
        <v>Yekaterinburg</v>
      </c>
      <c r="G2542" s="42" t="str">
        <v>Egypt</v>
      </c>
      <c r="H2542" s="42" t="str">
        <v>0.0</v>
      </c>
      <c r="I2542" s="42" t="str">
        <v>1.0</v>
      </c>
      <c r="J2542" s="42" t="str">
        <v>Uruguay</v>
      </c>
      <c r="K2542" s="42" t="str">
        <v xml:space="preserve"> </v>
      </c>
      <c r="L2542" s="42" t="str">
        <f t="shared" si="189"/>
        <v xml:space="preserve">2018.0|15 Jun 2018 - 17:00|group stage|Central Stadium|Yekaterinburg|Egypt|0.0|1.0|Uruguay| </v>
      </c>
      <c r="M2542" s="42" t="str">
        <f>IF(COUNTIF($L$1689:L2542,L2542)&gt;1,"DOUBLON","OK")</f>
        <v>OK</v>
      </c>
      <c r="S2542" s="40" t="str">
        <v>Soviet Union</v>
      </c>
      <c r="T2542" s="40" t="str">
        <f t="shared" si="186"/>
        <v>ERREUR</v>
      </c>
      <c r="U2542" s="40" t="str">
        <f t="shared" si="187"/>
        <v>AUCUNE</v>
      </c>
      <c r="V2542" s="40" t="str" cm="1">
        <f t="array" ref="V2542">_xlfn.IFS(
ISNUMBER(SEARCH("USA",S2542)),"United States",
ISNUMBER(SEARCH("Republic of Ireland",S2542)),"Ireland",
ISNUMBER(SEARCH("Republic of Korea",S2542)),"South Korea",
ISNUMBER(SEARCH("Cape Verde",S2542)),"Cabo Verde",
ISNUMBER(SEARCH("Czechia",S2542)),"Czech Republic",
ISNUMBER(SEARCH("Türkiye",S2542)),"Turkey",
ISNUMBER(SEARCH("Ivory Coast",S2542)),"Côte d'Ivoire",
ISNUMBER(SEARCH("Korea Republic",S2542)),"South Korea",
ISNUMBER(SEARCH("Germany FR",S2542)),"FR Germany",
ISNUMBER(SEARCH("West Germany",S2542)),"FR Germany",
ISNUMBER(SEARCH("Germany DR",S2542)),"DR Germany",
ISNUMBER(SEARCH("Korea DPR",S2542)),"North Korea",
ISNUMBER(SEARCH("China PR",S2542)),"China",
ISNUMBER(SEARCH("IR Iran",S2542)),"Iran",
ISNUMBER(SEARCH("Congo DR",S2542)),"Democratic Republic of the Congo",
ISNUMBER(SEARCH("DR Congo",S2542)),"Democratic Republic of the Congo",
ISNUMBER(SEARCH("German DR",S2542)),"DR Germany",
ISNUMBER(SEARCH("rn""&gt;United Arab Emirates",S2542)),"United Arab Emirates",
ISNUMBER(SEARCH("rn""&gt;Republic of Ireland",S2542)),"Ireland",
ISNUMBER(SEARCH("rn""&gt;Bosnia and Herzegovina",S2542)),"Bosnia and Herzegovina",
ISNUMBER(SEARCH("rn""&gt;Trinidad and Tobago",S2542)),"Trinidad and Tobago",
ISNUMBER(SEARCH("rn""&gt;Serbia and Montenegro",S2542)),"Serbia and Montenegro",
ISNUMBER(SEARCH(_xlfn.UNICHAR(65533),S2542)),"Côte d'Ivoire",
TRUE,""
)</f>
        <v/>
      </c>
      <c r="W2542" s="40" t="str">
        <f t="shared" si="188"/>
        <v>Soviet Union</v>
      </c>
    </row>
    <row r="2543" spans="2:23">
      <c r="B2543" s="76" t="str">
        <v>2018.0</v>
      </c>
      <c r="C2543" s="42" t="str">
        <v>15 Jun 2018 - 18:00</v>
      </c>
      <c r="D2543" s="42" t="str">
        <v>group stage</v>
      </c>
      <c r="E2543" s="42" t="str">
        <v>Krestovsky Stadium</v>
      </c>
      <c r="F2543" s="42" t="str">
        <v>Saint Petersburg</v>
      </c>
      <c r="G2543" s="42" t="str">
        <v>Morocco</v>
      </c>
      <c r="H2543" s="42" t="str">
        <v>0.0</v>
      </c>
      <c r="I2543" s="42" t="str">
        <v>1.0</v>
      </c>
      <c r="J2543" s="42" t="str">
        <v>Iran</v>
      </c>
      <c r="K2543" s="42" t="str">
        <v xml:space="preserve"> </v>
      </c>
      <c r="L2543" s="42" t="str">
        <f t="shared" si="189"/>
        <v xml:space="preserve">2018.0|15 Jun 2018 - 18:00|group stage|Krestovsky Stadium|Saint Petersburg|Morocco|0.0|1.0|Iran| </v>
      </c>
      <c r="M2543" s="42" t="str">
        <f>IF(COUNTIF($L$1689:L2543,L2543)&gt;1,"DOUBLON","OK")</f>
        <v>OK</v>
      </c>
      <c r="S2543" s="40" t="str">
        <v>France</v>
      </c>
      <c r="T2543" s="40" t="str">
        <f t="shared" si="186"/>
        <v>OK</v>
      </c>
      <c r="U2543" s="40" t="str">
        <f t="shared" si="187"/>
        <v>-</v>
      </c>
      <c r="V2543" s="40" t="str" cm="1">
        <f t="array" ref="V2543">_xlfn.IFS(
ISNUMBER(SEARCH("USA",S2543)),"United States",
ISNUMBER(SEARCH("Republic of Ireland",S2543)),"Ireland",
ISNUMBER(SEARCH("Republic of Korea",S2543)),"South Korea",
ISNUMBER(SEARCH("Cape Verde",S2543)),"Cabo Verde",
ISNUMBER(SEARCH("Czechia",S2543)),"Czech Republic",
ISNUMBER(SEARCH("Türkiye",S2543)),"Turkey",
ISNUMBER(SEARCH("Ivory Coast",S2543)),"Côte d'Ivoire",
ISNUMBER(SEARCH("Korea Republic",S2543)),"South Korea",
ISNUMBER(SEARCH("Germany FR",S2543)),"FR Germany",
ISNUMBER(SEARCH("West Germany",S2543)),"FR Germany",
ISNUMBER(SEARCH("Germany DR",S2543)),"DR Germany",
ISNUMBER(SEARCH("Korea DPR",S2543)),"North Korea",
ISNUMBER(SEARCH("China PR",S2543)),"China",
ISNUMBER(SEARCH("IR Iran",S2543)),"Iran",
ISNUMBER(SEARCH("Congo DR",S2543)),"Democratic Republic of the Congo",
ISNUMBER(SEARCH("DR Congo",S2543)),"Democratic Republic of the Congo",
ISNUMBER(SEARCH("German DR",S2543)),"DR Germany",
ISNUMBER(SEARCH("rn""&gt;United Arab Emirates",S2543)),"United Arab Emirates",
ISNUMBER(SEARCH("rn""&gt;Republic of Ireland",S2543)),"Ireland",
ISNUMBER(SEARCH("rn""&gt;Bosnia and Herzegovina",S2543)),"Bosnia and Herzegovina",
ISNUMBER(SEARCH("rn""&gt;Trinidad and Tobago",S2543)),"Trinidad and Tobago",
ISNUMBER(SEARCH("rn""&gt;Serbia and Montenegro",S2543)),"Serbia and Montenegro",
ISNUMBER(SEARCH(_xlfn.UNICHAR(65533),S2543)),"Côte d'Ivoire",
TRUE,""
)</f>
        <v/>
      </c>
      <c r="W2543" s="40" t="str">
        <f t="shared" si="188"/>
        <v>France</v>
      </c>
    </row>
    <row r="2544" spans="2:23">
      <c r="B2544" s="76" t="str">
        <v>2018.0</v>
      </c>
      <c r="C2544" s="42" t="str">
        <v>15 Jun 2018 - 21:00</v>
      </c>
      <c r="D2544" s="42" t="str">
        <v>group stage</v>
      </c>
      <c r="E2544" s="42" t="str">
        <v>Fisht Olympic Stadium</v>
      </c>
      <c r="F2544" s="42" t="str">
        <v>Sochi</v>
      </c>
      <c r="G2544" s="42" t="str">
        <v>Portugal</v>
      </c>
      <c r="H2544" s="42" t="str">
        <v>3.0</v>
      </c>
      <c r="I2544" s="42" t="str">
        <v>3.0</v>
      </c>
      <c r="J2544" s="42" t="str">
        <v>Spain</v>
      </c>
      <c r="K2544" s="42" t="str">
        <v xml:space="preserve"> </v>
      </c>
      <c r="L2544" s="42" t="str">
        <f t="shared" si="189"/>
        <v xml:space="preserve">2018.0|15 Jun 2018 - 21:00|group stage|Fisht Olympic Stadium|Sochi|Portugal|3.0|3.0|Spain| </v>
      </c>
      <c r="M2544" s="42" t="str">
        <f>IF(COUNTIF($L$1689:L2544,L2544)&gt;1,"DOUBLON","OK")</f>
        <v>OK</v>
      </c>
      <c r="S2544" s="40" t="str">
        <v>Portugal</v>
      </c>
      <c r="T2544" s="40" t="str">
        <f t="shared" si="186"/>
        <v>OK</v>
      </c>
      <c r="U2544" s="40" t="str">
        <f t="shared" si="187"/>
        <v>-</v>
      </c>
      <c r="V2544" s="40" t="str" cm="1">
        <f t="array" ref="V2544">_xlfn.IFS(
ISNUMBER(SEARCH("USA",S2544)),"United States",
ISNUMBER(SEARCH("Republic of Ireland",S2544)),"Ireland",
ISNUMBER(SEARCH("Republic of Korea",S2544)),"South Korea",
ISNUMBER(SEARCH("Cape Verde",S2544)),"Cabo Verde",
ISNUMBER(SEARCH("Czechia",S2544)),"Czech Republic",
ISNUMBER(SEARCH("Türkiye",S2544)),"Turkey",
ISNUMBER(SEARCH("Ivory Coast",S2544)),"Côte d'Ivoire",
ISNUMBER(SEARCH("Korea Republic",S2544)),"South Korea",
ISNUMBER(SEARCH("Germany FR",S2544)),"FR Germany",
ISNUMBER(SEARCH("West Germany",S2544)),"FR Germany",
ISNUMBER(SEARCH("Germany DR",S2544)),"DR Germany",
ISNUMBER(SEARCH("Korea DPR",S2544)),"North Korea",
ISNUMBER(SEARCH("China PR",S2544)),"China",
ISNUMBER(SEARCH("IR Iran",S2544)),"Iran",
ISNUMBER(SEARCH("Congo DR",S2544)),"Democratic Republic of the Congo",
ISNUMBER(SEARCH("DR Congo",S2544)),"Democratic Republic of the Congo",
ISNUMBER(SEARCH("German DR",S2544)),"DR Germany",
ISNUMBER(SEARCH("rn""&gt;United Arab Emirates",S2544)),"United Arab Emirates",
ISNUMBER(SEARCH("rn""&gt;Republic of Ireland",S2544)),"Ireland",
ISNUMBER(SEARCH("rn""&gt;Bosnia and Herzegovina",S2544)),"Bosnia and Herzegovina",
ISNUMBER(SEARCH("rn""&gt;Trinidad and Tobago",S2544)),"Trinidad and Tobago",
ISNUMBER(SEARCH("rn""&gt;Serbia and Montenegro",S2544)),"Serbia and Montenegro",
ISNUMBER(SEARCH(_xlfn.UNICHAR(65533),S2544)),"Côte d'Ivoire",
TRUE,""
)</f>
        <v/>
      </c>
      <c r="W2544" s="40" t="str">
        <f t="shared" si="188"/>
        <v>Portugal</v>
      </c>
    </row>
    <row r="2545" spans="2:23">
      <c r="B2545" s="76" t="str">
        <v>2018.0</v>
      </c>
      <c r="C2545" s="42" t="str">
        <v>16 Jun 2018 - 13:00</v>
      </c>
      <c r="D2545" s="42" t="str">
        <v>group stage</v>
      </c>
      <c r="E2545" s="42" t="str">
        <v>Kazan Arena</v>
      </c>
      <c r="F2545" s="42" t="str">
        <v>Kazan</v>
      </c>
      <c r="G2545" s="42" t="str">
        <v>France</v>
      </c>
      <c r="H2545" s="42" t="str">
        <v>2.0</v>
      </c>
      <c r="I2545" s="42" t="str">
        <v>1.0</v>
      </c>
      <c r="J2545" s="42" t="str">
        <v>Australia</v>
      </c>
      <c r="K2545" s="42" t="str">
        <v xml:space="preserve"> </v>
      </c>
      <c r="L2545" s="42" t="str">
        <f t="shared" si="189"/>
        <v xml:space="preserve">2018.0|16 Jun 2018 - 13:00|group stage|Kazan Arena|Kazan|France|2.0|1.0|Australia| </v>
      </c>
      <c r="M2545" s="42" t="str">
        <f>IF(COUNTIF($L$1689:L2545,L2545)&gt;1,"DOUBLON","OK")</f>
        <v>OK</v>
      </c>
      <c r="S2545" s="40" t="str">
        <v>Argentina</v>
      </c>
      <c r="T2545" s="40" t="str">
        <f t="shared" si="186"/>
        <v>OK</v>
      </c>
      <c r="U2545" s="40" t="str">
        <f t="shared" si="187"/>
        <v>-</v>
      </c>
      <c r="V2545" s="40" t="str" cm="1">
        <f t="array" ref="V2545">_xlfn.IFS(
ISNUMBER(SEARCH("USA",S2545)),"United States",
ISNUMBER(SEARCH("Republic of Ireland",S2545)),"Ireland",
ISNUMBER(SEARCH("Republic of Korea",S2545)),"South Korea",
ISNUMBER(SEARCH("Cape Verde",S2545)),"Cabo Verde",
ISNUMBER(SEARCH("Czechia",S2545)),"Czech Republic",
ISNUMBER(SEARCH("Türkiye",S2545)),"Turkey",
ISNUMBER(SEARCH("Ivory Coast",S2545)),"Côte d'Ivoire",
ISNUMBER(SEARCH("Korea Republic",S2545)),"South Korea",
ISNUMBER(SEARCH("Germany FR",S2545)),"FR Germany",
ISNUMBER(SEARCH("West Germany",S2545)),"FR Germany",
ISNUMBER(SEARCH("Germany DR",S2545)),"DR Germany",
ISNUMBER(SEARCH("Korea DPR",S2545)),"North Korea",
ISNUMBER(SEARCH("China PR",S2545)),"China",
ISNUMBER(SEARCH("IR Iran",S2545)),"Iran",
ISNUMBER(SEARCH("Congo DR",S2545)),"Democratic Republic of the Congo",
ISNUMBER(SEARCH("DR Congo",S2545)),"Democratic Republic of the Congo",
ISNUMBER(SEARCH("German DR",S2545)),"DR Germany",
ISNUMBER(SEARCH("rn""&gt;United Arab Emirates",S2545)),"United Arab Emirates",
ISNUMBER(SEARCH("rn""&gt;Republic of Ireland",S2545)),"Ireland",
ISNUMBER(SEARCH("rn""&gt;Bosnia and Herzegovina",S2545)),"Bosnia and Herzegovina",
ISNUMBER(SEARCH("rn""&gt;Trinidad and Tobago",S2545)),"Trinidad and Tobago",
ISNUMBER(SEARCH("rn""&gt;Serbia and Montenegro",S2545)),"Serbia and Montenegro",
ISNUMBER(SEARCH(_xlfn.UNICHAR(65533),S2545)),"Côte d'Ivoire",
TRUE,""
)</f>
        <v/>
      </c>
      <c r="W2545" s="40" t="str">
        <f t="shared" si="188"/>
        <v>Argentina</v>
      </c>
    </row>
    <row r="2546" spans="2:23">
      <c r="B2546" s="76" t="str">
        <v>2018.0</v>
      </c>
      <c r="C2546" s="42" t="str">
        <v>16 Jun 2018 - 16:00</v>
      </c>
      <c r="D2546" s="42" t="str">
        <v>group stage</v>
      </c>
      <c r="E2546" s="42" t="str">
        <v>Otkritie Arena</v>
      </c>
      <c r="F2546" s="42" t="str">
        <v>Moscow</v>
      </c>
      <c r="G2546" s="42" t="str">
        <v>Argentina</v>
      </c>
      <c r="H2546" s="42" t="str">
        <v>1.0</v>
      </c>
      <c r="I2546" s="42" t="str">
        <v>1.0</v>
      </c>
      <c r="J2546" s="42" t="str">
        <v>Iceland</v>
      </c>
      <c r="K2546" s="42" t="str">
        <v xml:space="preserve"> </v>
      </c>
      <c r="L2546" s="42" t="str">
        <f t="shared" si="189"/>
        <v xml:space="preserve">2018.0|16 Jun 2018 - 16:00|group stage|Otkritie Arena|Moscow|Argentina|1.0|1.0|Iceland| </v>
      </c>
      <c r="M2546" s="42" t="str">
        <f>IF(COUNTIF($L$1689:L2546,L2546)&gt;1,"DOUBLON","OK")</f>
        <v>OK</v>
      </c>
      <c r="S2546" s="40" t="str">
        <v>Italy</v>
      </c>
      <c r="T2546" s="40" t="str">
        <f t="shared" si="186"/>
        <v>OK</v>
      </c>
      <c r="U2546" s="40" t="str">
        <f t="shared" si="187"/>
        <v>-</v>
      </c>
      <c r="V2546" s="40" t="str" cm="1">
        <f t="array" ref="V2546">_xlfn.IFS(
ISNUMBER(SEARCH("USA",S2546)),"United States",
ISNUMBER(SEARCH("Republic of Ireland",S2546)),"Ireland",
ISNUMBER(SEARCH("Republic of Korea",S2546)),"South Korea",
ISNUMBER(SEARCH("Cape Verde",S2546)),"Cabo Verde",
ISNUMBER(SEARCH("Czechia",S2546)),"Czech Republic",
ISNUMBER(SEARCH("Türkiye",S2546)),"Turkey",
ISNUMBER(SEARCH("Ivory Coast",S2546)),"Côte d'Ivoire",
ISNUMBER(SEARCH("Korea Republic",S2546)),"South Korea",
ISNUMBER(SEARCH("Germany FR",S2546)),"FR Germany",
ISNUMBER(SEARCH("West Germany",S2546)),"FR Germany",
ISNUMBER(SEARCH("Germany DR",S2546)),"DR Germany",
ISNUMBER(SEARCH("Korea DPR",S2546)),"North Korea",
ISNUMBER(SEARCH("China PR",S2546)),"China",
ISNUMBER(SEARCH("IR Iran",S2546)),"Iran",
ISNUMBER(SEARCH("Congo DR",S2546)),"Democratic Republic of the Congo",
ISNUMBER(SEARCH("DR Congo",S2546)),"Democratic Republic of the Congo",
ISNUMBER(SEARCH("German DR",S2546)),"DR Germany",
ISNUMBER(SEARCH("rn""&gt;United Arab Emirates",S2546)),"United Arab Emirates",
ISNUMBER(SEARCH("rn""&gt;Republic of Ireland",S2546)),"Ireland",
ISNUMBER(SEARCH("rn""&gt;Bosnia and Herzegovina",S2546)),"Bosnia and Herzegovina",
ISNUMBER(SEARCH("rn""&gt;Trinidad and Tobago",S2546)),"Trinidad and Tobago",
ISNUMBER(SEARCH("rn""&gt;Serbia and Montenegro",S2546)),"Serbia and Montenegro",
ISNUMBER(SEARCH(_xlfn.UNICHAR(65533),S2546)),"Côte d'Ivoire",
TRUE,""
)</f>
        <v/>
      </c>
      <c r="W2546" s="40" t="str">
        <f t="shared" si="188"/>
        <v>Italy</v>
      </c>
    </row>
    <row r="2547" spans="2:23">
      <c r="B2547" s="76" t="str">
        <v>2018.0</v>
      </c>
      <c r="C2547" s="42" t="str">
        <v>16 Jun 2018 - 19:00</v>
      </c>
      <c r="D2547" s="42" t="str">
        <v>group stage</v>
      </c>
      <c r="E2547" s="42" t="str">
        <v>Mordovia Arena</v>
      </c>
      <c r="F2547" s="42" t="str">
        <v>Saransk</v>
      </c>
      <c r="G2547" s="42" t="str">
        <v>Peru</v>
      </c>
      <c r="H2547" s="42" t="str">
        <v>0.0</v>
      </c>
      <c r="I2547" s="42" t="str">
        <v>1.0</v>
      </c>
      <c r="J2547" s="42" t="str">
        <v>Denmark</v>
      </c>
      <c r="K2547" s="42" t="str">
        <v xml:space="preserve"> </v>
      </c>
      <c r="L2547" s="42" t="str">
        <f t="shared" si="189"/>
        <v xml:space="preserve">2018.0|16 Jun 2018 - 19:00|group stage|Mordovia Arena|Saransk|Peru|0.0|1.0|Denmark| </v>
      </c>
      <c r="M2547" s="42" t="str">
        <f>IF(COUNTIF($L$1689:L2547,L2547)&gt;1,"DOUBLON","OK")</f>
        <v>OK</v>
      </c>
      <c r="S2547" s="40" t="str">
        <v>Uruguay</v>
      </c>
      <c r="T2547" s="40" t="str">
        <f t="shared" si="186"/>
        <v>OK</v>
      </c>
      <c r="U2547" s="40" t="str">
        <f t="shared" si="187"/>
        <v>-</v>
      </c>
      <c r="V2547" s="40" t="str" cm="1">
        <f t="array" ref="V2547">_xlfn.IFS(
ISNUMBER(SEARCH("USA",S2547)),"United States",
ISNUMBER(SEARCH("Republic of Ireland",S2547)),"Ireland",
ISNUMBER(SEARCH("Republic of Korea",S2547)),"South Korea",
ISNUMBER(SEARCH("Cape Verde",S2547)),"Cabo Verde",
ISNUMBER(SEARCH("Czechia",S2547)),"Czech Republic",
ISNUMBER(SEARCH("Türkiye",S2547)),"Turkey",
ISNUMBER(SEARCH("Ivory Coast",S2547)),"Côte d'Ivoire",
ISNUMBER(SEARCH("Korea Republic",S2547)),"South Korea",
ISNUMBER(SEARCH("Germany FR",S2547)),"FR Germany",
ISNUMBER(SEARCH("West Germany",S2547)),"FR Germany",
ISNUMBER(SEARCH("Germany DR",S2547)),"DR Germany",
ISNUMBER(SEARCH("Korea DPR",S2547)),"North Korea",
ISNUMBER(SEARCH("China PR",S2547)),"China",
ISNUMBER(SEARCH("IR Iran",S2547)),"Iran",
ISNUMBER(SEARCH("Congo DR",S2547)),"Democratic Republic of the Congo",
ISNUMBER(SEARCH("DR Congo",S2547)),"Democratic Republic of the Congo",
ISNUMBER(SEARCH("German DR",S2547)),"DR Germany",
ISNUMBER(SEARCH("rn""&gt;United Arab Emirates",S2547)),"United Arab Emirates",
ISNUMBER(SEARCH("rn""&gt;Republic of Ireland",S2547)),"Ireland",
ISNUMBER(SEARCH("rn""&gt;Bosnia and Herzegovina",S2547)),"Bosnia and Herzegovina",
ISNUMBER(SEARCH("rn""&gt;Trinidad and Tobago",S2547)),"Trinidad and Tobago",
ISNUMBER(SEARCH("rn""&gt;Serbia and Montenegro",S2547)),"Serbia and Montenegro",
ISNUMBER(SEARCH(_xlfn.UNICHAR(65533),S2547)),"Côte d'Ivoire",
TRUE,""
)</f>
        <v/>
      </c>
      <c r="W2547" s="40" t="str">
        <f t="shared" si="188"/>
        <v>Uruguay</v>
      </c>
    </row>
    <row r="2548" spans="2:23">
      <c r="B2548" s="76" t="str">
        <v>2018.0</v>
      </c>
      <c r="C2548" s="42" t="str">
        <v>16 Jun 2018 - 21:00</v>
      </c>
      <c r="D2548" s="42" t="str">
        <v>group stage</v>
      </c>
      <c r="E2548" s="42" t="str">
        <v>Kaliningrad Stadium</v>
      </c>
      <c r="F2548" s="42" t="str">
        <v>Kaliningrad</v>
      </c>
      <c r="G2548" s="42" t="str">
        <v>Croatia</v>
      </c>
      <c r="H2548" s="42" t="str">
        <v>2.0</v>
      </c>
      <c r="I2548" s="42" t="str">
        <v>0.0</v>
      </c>
      <c r="J2548" s="42" t="str">
        <v>Nigeria</v>
      </c>
      <c r="K2548" s="42" t="str">
        <v xml:space="preserve"> </v>
      </c>
      <c r="L2548" s="42" t="str">
        <f t="shared" si="189"/>
        <v xml:space="preserve">2018.0|16 Jun 2018 - 21:00|group stage|Kaliningrad Stadium|Kaliningrad|Croatia|2.0|0.0|Nigeria| </v>
      </c>
      <c r="M2548" s="42" t="str">
        <f>IF(COUNTIF($L$1689:L2548,L2548)&gt;1,"DOUBLON","OK")</f>
        <v>OK</v>
      </c>
      <c r="S2548" s="40" t="str">
        <v>Spain</v>
      </c>
      <c r="T2548" s="40" t="str">
        <f t="shared" si="186"/>
        <v>OK</v>
      </c>
      <c r="U2548" s="40" t="str">
        <f t="shared" si="187"/>
        <v>-</v>
      </c>
      <c r="V2548" s="40" t="str" cm="1">
        <f t="array" ref="V2548">_xlfn.IFS(
ISNUMBER(SEARCH("USA",S2548)),"United States",
ISNUMBER(SEARCH("Republic of Ireland",S2548)),"Ireland",
ISNUMBER(SEARCH("Republic of Korea",S2548)),"South Korea",
ISNUMBER(SEARCH("Cape Verde",S2548)),"Cabo Verde",
ISNUMBER(SEARCH("Czechia",S2548)),"Czech Republic",
ISNUMBER(SEARCH("Türkiye",S2548)),"Turkey",
ISNUMBER(SEARCH("Ivory Coast",S2548)),"Côte d'Ivoire",
ISNUMBER(SEARCH("Korea Republic",S2548)),"South Korea",
ISNUMBER(SEARCH("Germany FR",S2548)),"FR Germany",
ISNUMBER(SEARCH("West Germany",S2548)),"FR Germany",
ISNUMBER(SEARCH("Germany DR",S2548)),"DR Germany",
ISNUMBER(SEARCH("Korea DPR",S2548)),"North Korea",
ISNUMBER(SEARCH("China PR",S2548)),"China",
ISNUMBER(SEARCH("IR Iran",S2548)),"Iran",
ISNUMBER(SEARCH("Congo DR",S2548)),"Democratic Republic of the Congo",
ISNUMBER(SEARCH("DR Congo",S2548)),"Democratic Republic of the Congo",
ISNUMBER(SEARCH("German DR",S2548)),"DR Germany",
ISNUMBER(SEARCH("rn""&gt;United Arab Emirates",S2548)),"United Arab Emirates",
ISNUMBER(SEARCH("rn""&gt;Republic of Ireland",S2548)),"Ireland",
ISNUMBER(SEARCH("rn""&gt;Bosnia and Herzegovina",S2548)),"Bosnia and Herzegovina",
ISNUMBER(SEARCH("rn""&gt;Trinidad and Tobago",S2548)),"Trinidad and Tobago",
ISNUMBER(SEARCH("rn""&gt;Serbia and Montenegro",S2548)),"Serbia and Montenegro",
ISNUMBER(SEARCH(_xlfn.UNICHAR(65533),S2548)),"Côte d'Ivoire",
TRUE,""
)</f>
        <v/>
      </c>
      <c r="W2548" s="40" t="str">
        <f t="shared" si="188"/>
        <v>Spain</v>
      </c>
    </row>
    <row r="2549" spans="2:23">
      <c r="B2549" s="76" t="str">
        <v>2018.0</v>
      </c>
      <c r="C2549" s="42" t="str">
        <v>17 Jun 2018 - 16:00</v>
      </c>
      <c r="D2549" s="42" t="str">
        <v>group stage</v>
      </c>
      <c r="E2549" s="42" t="str">
        <v>Samara Arena</v>
      </c>
      <c r="F2549" s="42" t="str">
        <v>Samara</v>
      </c>
      <c r="G2549" s="42" t="str">
        <v>Costa Rica</v>
      </c>
      <c r="H2549" s="42" t="str">
        <v>0.0</v>
      </c>
      <c r="I2549" s="42" t="str">
        <v>1.0</v>
      </c>
      <c r="J2549" s="42" t="str">
        <v>Serbia</v>
      </c>
      <c r="K2549" s="42" t="str">
        <v xml:space="preserve"> </v>
      </c>
      <c r="L2549" s="42" t="str">
        <f t="shared" si="189"/>
        <v xml:space="preserve">2018.0|17 Jun 2018 - 16:00|group stage|Samara Arena|Samara|Costa Rica|0.0|1.0|Serbia| </v>
      </c>
      <c r="M2549" s="42" t="str">
        <f>IF(COUNTIF($L$1689:L2549,L2549)&gt;1,"DOUBLON","OK")</f>
        <v>OK</v>
      </c>
      <c r="S2549" s="40" t="str">
        <v>Hungary</v>
      </c>
      <c r="T2549" s="40" t="str">
        <f t="shared" si="186"/>
        <v>OK</v>
      </c>
      <c r="U2549" s="40" t="str">
        <f t="shared" si="187"/>
        <v>-</v>
      </c>
      <c r="V2549" s="40" t="str" cm="1">
        <f t="array" ref="V2549">_xlfn.IFS(
ISNUMBER(SEARCH("USA",S2549)),"United States",
ISNUMBER(SEARCH("Republic of Ireland",S2549)),"Ireland",
ISNUMBER(SEARCH("Republic of Korea",S2549)),"South Korea",
ISNUMBER(SEARCH("Cape Verde",S2549)),"Cabo Verde",
ISNUMBER(SEARCH("Czechia",S2549)),"Czech Republic",
ISNUMBER(SEARCH("Türkiye",S2549)),"Turkey",
ISNUMBER(SEARCH("Ivory Coast",S2549)),"Côte d'Ivoire",
ISNUMBER(SEARCH("Korea Republic",S2549)),"South Korea",
ISNUMBER(SEARCH("Germany FR",S2549)),"FR Germany",
ISNUMBER(SEARCH("West Germany",S2549)),"FR Germany",
ISNUMBER(SEARCH("Germany DR",S2549)),"DR Germany",
ISNUMBER(SEARCH("Korea DPR",S2549)),"North Korea",
ISNUMBER(SEARCH("China PR",S2549)),"China",
ISNUMBER(SEARCH("IR Iran",S2549)),"Iran",
ISNUMBER(SEARCH("Congo DR",S2549)),"Democratic Republic of the Congo",
ISNUMBER(SEARCH("DR Congo",S2549)),"Democratic Republic of the Congo",
ISNUMBER(SEARCH("German DR",S2549)),"DR Germany",
ISNUMBER(SEARCH("rn""&gt;United Arab Emirates",S2549)),"United Arab Emirates",
ISNUMBER(SEARCH("rn""&gt;Republic of Ireland",S2549)),"Ireland",
ISNUMBER(SEARCH("rn""&gt;Bosnia and Herzegovina",S2549)),"Bosnia and Herzegovina",
ISNUMBER(SEARCH("rn""&gt;Trinidad and Tobago",S2549)),"Trinidad and Tobago",
ISNUMBER(SEARCH("rn""&gt;Serbia and Montenegro",S2549)),"Serbia and Montenegro",
ISNUMBER(SEARCH(_xlfn.UNICHAR(65533),S2549)),"Côte d'Ivoire",
TRUE,""
)</f>
        <v/>
      </c>
      <c r="W2549" s="40" t="str">
        <f t="shared" si="188"/>
        <v>Hungary</v>
      </c>
    </row>
    <row r="2550" spans="2:23">
      <c r="B2550" s="76" t="str">
        <v>2018.0</v>
      </c>
      <c r="C2550" s="42" t="str">
        <v>17 Jun 2018 - 18:00</v>
      </c>
      <c r="D2550" s="42" t="str">
        <v>group stage</v>
      </c>
      <c r="E2550" s="42" t="str">
        <v>Luzhniki Stadium</v>
      </c>
      <c r="F2550" s="42" t="str">
        <v>Moscow</v>
      </c>
      <c r="G2550" s="42" t="str">
        <v>Germany</v>
      </c>
      <c r="H2550" s="42" t="str">
        <v>0.0</v>
      </c>
      <c r="I2550" s="42" t="str">
        <v>1.0</v>
      </c>
      <c r="J2550" s="42" t="str">
        <v>Mexico</v>
      </c>
      <c r="K2550" s="42" t="str">
        <v xml:space="preserve"> </v>
      </c>
      <c r="L2550" s="42" t="str">
        <f t="shared" si="189"/>
        <v xml:space="preserve">2018.0|17 Jun 2018 - 18:00|group stage|Luzhniki Stadium|Moscow|Germany|0.0|1.0|Mexico| </v>
      </c>
      <c r="M2550" s="42" t="str">
        <f>IF(COUNTIF($L$1689:L2550,L2550)&gt;1,"DOUBLON","OK")</f>
        <v>OK</v>
      </c>
      <c r="S2550" s="40" t="str">
        <v>Korea DPR</v>
      </c>
      <c r="T2550" s="40" t="str">
        <f t="shared" si="186"/>
        <v>ERREUR</v>
      </c>
      <c r="U2550" s="40" t="str">
        <f t="shared" si="187"/>
        <v>RENOMMER</v>
      </c>
      <c r="V2550" s="40" t="str" cm="1">
        <f t="array" ref="V2550">_xlfn.IFS(
ISNUMBER(SEARCH("USA",S2550)),"United States",
ISNUMBER(SEARCH("Republic of Ireland",S2550)),"Ireland",
ISNUMBER(SEARCH("Republic of Korea",S2550)),"South Korea",
ISNUMBER(SEARCH("Cape Verde",S2550)),"Cabo Verde",
ISNUMBER(SEARCH("Czechia",S2550)),"Czech Republic",
ISNUMBER(SEARCH("Türkiye",S2550)),"Turkey",
ISNUMBER(SEARCH("Ivory Coast",S2550)),"Côte d'Ivoire",
ISNUMBER(SEARCH("Korea Republic",S2550)),"South Korea",
ISNUMBER(SEARCH("Germany FR",S2550)),"FR Germany",
ISNUMBER(SEARCH("West Germany",S2550)),"FR Germany",
ISNUMBER(SEARCH("Germany DR",S2550)),"DR Germany",
ISNUMBER(SEARCH("Korea DPR",S2550)),"North Korea",
ISNUMBER(SEARCH("China PR",S2550)),"China",
ISNUMBER(SEARCH("IR Iran",S2550)),"Iran",
ISNUMBER(SEARCH("Congo DR",S2550)),"Democratic Republic of the Congo",
ISNUMBER(SEARCH("DR Congo",S2550)),"Democratic Republic of the Congo",
ISNUMBER(SEARCH("German DR",S2550)),"DR Germany",
ISNUMBER(SEARCH("rn""&gt;United Arab Emirates",S2550)),"United Arab Emirates",
ISNUMBER(SEARCH("rn""&gt;Republic of Ireland",S2550)),"Ireland",
ISNUMBER(SEARCH("rn""&gt;Bosnia and Herzegovina",S2550)),"Bosnia and Herzegovina",
ISNUMBER(SEARCH("rn""&gt;Trinidad and Tobago",S2550)),"Trinidad and Tobago",
ISNUMBER(SEARCH("rn""&gt;Serbia and Montenegro",S2550)),"Serbia and Montenegro",
ISNUMBER(SEARCH(_xlfn.UNICHAR(65533),S2550)),"Côte d'Ivoire",
TRUE,""
)</f>
        <v>North Korea</v>
      </c>
      <c r="W2550" s="40" t="str">
        <f t="shared" si="188"/>
        <v>North Korea</v>
      </c>
    </row>
    <row r="2551" spans="2:23">
      <c r="B2551" s="76" t="str">
        <v>2018.0</v>
      </c>
      <c r="C2551" s="42" t="str">
        <v>17 Jun 2018 - 21:00</v>
      </c>
      <c r="D2551" s="42" t="str">
        <v>group stage</v>
      </c>
      <c r="E2551" s="42" t="str">
        <v>Rostov Arena</v>
      </c>
      <c r="F2551" s="42" t="str">
        <v>Rostov-on-Don</v>
      </c>
      <c r="G2551" s="42" t="str">
        <v>Brazil</v>
      </c>
      <c r="H2551" s="42" t="str">
        <v>1.0</v>
      </c>
      <c r="I2551" s="42" t="str">
        <v>1.0</v>
      </c>
      <c r="J2551" s="42" t="str">
        <v>Switzerland</v>
      </c>
      <c r="K2551" s="42" t="str">
        <v xml:space="preserve"> </v>
      </c>
      <c r="L2551" s="42" t="str">
        <f t="shared" si="189"/>
        <v xml:space="preserve">2018.0|17 Jun 2018 - 21:00|group stage|Rostov Arena|Rostov-on-Don|Brazil|1.0|1.0|Switzerland| </v>
      </c>
      <c r="M2551" s="42" t="str">
        <f>IF(COUNTIF($L$1689:L2551,L2551)&gt;1,"DOUBLON","OK")</f>
        <v>OK</v>
      </c>
      <c r="S2551" s="40" t="str">
        <v>Portugal</v>
      </c>
      <c r="T2551" s="40" t="str">
        <f t="shared" si="186"/>
        <v>OK</v>
      </c>
      <c r="U2551" s="40" t="str">
        <f t="shared" si="187"/>
        <v>-</v>
      </c>
      <c r="V2551" s="40" t="str" cm="1">
        <f t="array" ref="V2551">_xlfn.IFS(
ISNUMBER(SEARCH("USA",S2551)),"United States",
ISNUMBER(SEARCH("Republic of Ireland",S2551)),"Ireland",
ISNUMBER(SEARCH("Republic of Korea",S2551)),"South Korea",
ISNUMBER(SEARCH("Cape Verde",S2551)),"Cabo Verde",
ISNUMBER(SEARCH("Czechia",S2551)),"Czech Republic",
ISNUMBER(SEARCH("Türkiye",S2551)),"Turkey",
ISNUMBER(SEARCH("Ivory Coast",S2551)),"Côte d'Ivoire",
ISNUMBER(SEARCH("Korea Republic",S2551)),"South Korea",
ISNUMBER(SEARCH("Germany FR",S2551)),"FR Germany",
ISNUMBER(SEARCH("West Germany",S2551)),"FR Germany",
ISNUMBER(SEARCH("Germany DR",S2551)),"DR Germany",
ISNUMBER(SEARCH("Korea DPR",S2551)),"North Korea",
ISNUMBER(SEARCH("China PR",S2551)),"China",
ISNUMBER(SEARCH("IR Iran",S2551)),"Iran",
ISNUMBER(SEARCH("Congo DR",S2551)),"Democratic Republic of the Congo",
ISNUMBER(SEARCH("DR Congo",S2551)),"Democratic Republic of the Congo",
ISNUMBER(SEARCH("German DR",S2551)),"DR Germany",
ISNUMBER(SEARCH("rn""&gt;United Arab Emirates",S2551)),"United Arab Emirates",
ISNUMBER(SEARCH("rn""&gt;Republic of Ireland",S2551)),"Ireland",
ISNUMBER(SEARCH("rn""&gt;Bosnia and Herzegovina",S2551)),"Bosnia and Herzegovina",
ISNUMBER(SEARCH("rn""&gt;Trinidad and Tobago",S2551)),"Trinidad and Tobago",
ISNUMBER(SEARCH("rn""&gt;Serbia and Montenegro",S2551)),"Serbia and Montenegro",
ISNUMBER(SEARCH(_xlfn.UNICHAR(65533),S2551)),"Côte d'Ivoire",
TRUE,""
)</f>
        <v/>
      </c>
      <c r="W2551" s="40" t="str">
        <f t="shared" si="188"/>
        <v>Portugal</v>
      </c>
    </row>
    <row r="2552" spans="2:23">
      <c r="B2552" s="76" t="str">
        <v>2018.0</v>
      </c>
      <c r="C2552" s="42" t="str">
        <v>18 Jun 2018 - 15:00</v>
      </c>
      <c r="D2552" s="42" t="str">
        <v>group stage</v>
      </c>
      <c r="E2552" s="42" t="str">
        <v>Nizhny Novgorod Stadium</v>
      </c>
      <c r="F2552" s="42" t="str">
        <v>Nizhny Novgorod</v>
      </c>
      <c r="G2552" s="42" t="str">
        <v>Sweden</v>
      </c>
      <c r="H2552" s="42" t="str">
        <v>1.0</v>
      </c>
      <c r="I2552" s="42" t="str">
        <v>0.0</v>
      </c>
      <c r="J2552" s="42" t="str">
        <v>South Korea</v>
      </c>
      <c r="K2552" s="42" t="str">
        <v xml:space="preserve"> </v>
      </c>
      <c r="L2552" s="42" t="str">
        <f t="shared" si="189"/>
        <v xml:space="preserve">2018.0|18 Jun 2018 - 15:00|group stage|Nizhny Novgorod Stadium|Nizhny Novgorod|Sweden|1.0|0.0|South Korea| </v>
      </c>
      <c r="M2552" s="42" t="str">
        <f>IF(COUNTIF($L$1689:L2552,L2552)&gt;1,"DOUBLON","OK")</f>
        <v>OK</v>
      </c>
      <c r="S2552" s="40" t="str">
        <v>Germany FR</v>
      </c>
      <c r="T2552" s="40" t="str">
        <f t="shared" si="186"/>
        <v>ERREUR</v>
      </c>
      <c r="U2552" s="40" t="str">
        <f t="shared" si="187"/>
        <v>RENOMMER</v>
      </c>
      <c r="V2552" s="40" t="str" cm="1">
        <f t="array" ref="V2552">_xlfn.IFS(
ISNUMBER(SEARCH("USA",S2552)),"United States",
ISNUMBER(SEARCH("Republic of Ireland",S2552)),"Ireland",
ISNUMBER(SEARCH("Republic of Korea",S2552)),"South Korea",
ISNUMBER(SEARCH("Cape Verde",S2552)),"Cabo Verde",
ISNUMBER(SEARCH("Czechia",S2552)),"Czech Republic",
ISNUMBER(SEARCH("Türkiye",S2552)),"Turkey",
ISNUMBER(SEARCH("Ivory Coast",S2552)),"Côte d'Ivoire",
ISNUMBER(SEARCH("Korea Republic",S2552)),"South Korea",
ISNUMBER(SEARCH("Germany FR",S2552)),"FR Germany",
ISNUMBER(SEARCH("West Germany",S2552)),"FR Germany",
ISNUMBER(SEARCH("Germany DR",S2552)),"DR Germany",
ISNUMBER(SEARCH("Korea DPR",S2552)),"North Korea",
ISNUMBER(SEARCH("China PR",S2552)),"China",
ISNUMBER(SEARCH("IR Iran",S2552)),"Iran",
ISNUMBER(SEARCH("Congo DR",S2552)),"Democratic Republic of the Congo",
ISNUMBER(SEARCH("DR Congo",S2552)),"Democratic Republic of the Congo",
ISNUMBER(SEARCH("German DR",S2552)),"DR Germany",
ISNUMBER(SEARCH("rn""&gt;United Arab Emirates",S2552)),"United Arab Emirates",
ISNUMBER(SEARCH("rn""&gt;Republic of Ireland",S2552)),"Ireland",
ISNUMBER(SEARCH("rn""&gt;Bosnia and Herzegovina",S2552)),"Bosnia and Herzegovina",
ISNUMBER(SEARCH("rn""&gt;Trinidad and Tobago",S2552)),"Trinidad and Tobago",
ISNUMBER(SEARCH("rn""&gt;Serbia and Montenegro",S2552)),"Serbia and Montenegro",
ISNUMBER(SEARCH(_xlfn.UNICHAR(65533),S2552)),"Côte d'Ivoire",
TRUE,""
)</f>
        <v>FR Germany</v>
      </c>
      <c r="W2552" s="40" t="str">
        <f t="shared" si="188"/>
        <v>FR Germany</v>
      </c>
    </row>
    <row r="2553" spans="2:23">
      <c r="B2553" s="76" t="str">
        <v>2018.0</v>
      </c>
      <c r="C2553" s="42" t="str">
        <v>18 Jun 2018 - 18:00</v>
      </c>
      <c r="D2553" s="42" t="str">
        <v>group stage</v>
      </c>
      <c r="E2553" s="42" t="str">
        <v>Fisht Olympic Stadium</v>
      </c>
      <c r="F2553" s="42" t="str">
        <v>Sochi</v>
      </c>
      <c r="G2553" s="42" t="str">
        <v>Belgium</v>
      </c>
      <c r="H2553" s="42" t="str">
        <v>3.0</v>
      </c>
      <c r="I2553" s="42" t="str">
        <v>0.0</v>
      </c>
      <c r="J2553" s="42" t="str">
        <v>Panama</v>
      </c>
      <c r="K2553" s="42" t="str">
        <v xml:space="preserve"> </v>
      </c>
      <c r="L2553" s="42" t="str">
        <f t="shared" si="189"/>
        <v xml:space="preserve">2018.0|18 Jun 2018 - 18:00|group stage|Fisht Olympic Stadium|Sochi|Belgium|3.0|0.0|Panama| </v>
      </c>
      <c r="M2553" s="42" t="str">
        <f>IF(COUNTIF($L$1689:L2553,L2553)&gt;1,"DOUBLON","OK")</f>
        <v>OK</v>
      </c>
      <c r="S2553" s="40" t="str">
        <v>Soviet Union</v>
      </c>
      <c r="T2553" s="40" t="str">
        <f t="shared" si="186"/>
        <v>ERREUR</v>
      </c>
      <c r="U2553" s="40" t="str">
        <f t="shared" si="187"/>
        <v>AUCUNE</v>
      </c>
      <c r="V2553" s="40" t="str" cm="1">
        <f t="array" ref="V2553">_xlfn.IFS(
ISNUMBER(SEARCH("USA",S2553)),"United States",
ISNUMBER(SEARCH("Republic of Ireland",S2553)),"Ireland",
ISNUMBER(SEARCH("Republic of Korea",S2553)),"South Korea",
ISNUMBER(SEARCH("Cape Verde",S2553)),"Cabo Verde",
ISNUMBER(SEARCH("Czechia",S2553)),"Czech Republic",
ISNUMBER(SEARCH("Türkiye",S2553)),"Turkey",
ISNUMBER(SEARCH("Ivory Coast",S2553)),"Côte d'Ivoire",
ISNUMBER(SEARCH("Korea Republic",S2553)),"South Korea",
ISNUMBER(SEARCH("Germany FR",S2553)),"FR Germany",
ISNUMBER(SEARCH("West Germany",S2553)),"FR Germany",
ISNUMBER(SEARCH("Germany DR",S2553)),"DR Germany",
ISNUMBER(SEARCH("Korea DPR",S2553)),"North Korea",
ISNUMBER(SEARCH("China PR",S2553)),"China",
ISNUMBER(SEARCH("IR Iran",S2553)),"Iran",
ISNUMBER(SEARCH("Congo DR",S2553)),"Democratic Republic of the Congo",
ISNUMBER(SEARCH("DR Congo",S2553)),"Democratic Republic of the Congo",
ISNUMBER(SEARCH("German DR",S2553)),"DR Germany",
ISNUMBER(SEARCH("rn""&gt;United Arab Emirates",S2553)),"United Arab Emirates",
ISNUMBER(SEARCH("rn""&gt;Republic of Ireland",S2553)),"Ireland",
ISNUMBER(SEARCH("rn""&gt;Bosnia and Herzegovina",S2553)),"Bosnia and Herzegovina",
ISNUMBER(SEARCH("rn""&gt;Trinidad and Tobago",S2553)),"Trinidad and Tobago",
ISNUMBER(SEARCH("rn""&gt;Serbia and Montenegro",S2553)),"Serbia and Montenegro",
ISNUMBER(SEARCH(_xlfn.UNICHAR(65533),S2553)),"Côte d'Ivoire",
TRUE,""
)</f>
        <v/>
      </c>
      <c r="W2553" s="40" t="str">
        <f t="shared" si="188"/>
        <v>Soviet Union</v>
      </c>
    </row>
    <row r="2554" spans="2:23">
      <c r="B2554" s="76" t="str">
        <v>2018.0</v>
      </c>
      <c r="C2554" s="42" t="str">
        <v>18 Jun 2018 - 21:00</v>
      </c>
      <c r="D2554" s="42" t="str">
        <v>group stage</v>
      </c>
      <c r="E2554" s="42" t="str">
        <v>Volgograd Arena</v>
      </c>
      <c r="F2554" s="42" t="str">
        <v>Volgograd</v>
      </c>
      <c r="G2554" s="42" t="str">
        <v>Tunisia</v>
      </c>
      <c r="H2554" s="42" t="str">
        <v>1.0</v>
      </c>
      <c r="I2554" s="42" t="str">
        <v>2.0</v>
      </c>
      <c r="J2554" s="42" t="str">
        <v>England</v>
      </c>
      <c r="K2554" s="42" t="str">
        <v xml:space="preserve"> </v>
      </c>
      <c r="L2554" s="42" t="str">
        <f t="shared" si="189"/>
        <v xml:space="preserve">2018.0|18 Jun 2018 - 21:00|group stage|Volgograd Arena|Volgograd|Tunisia|1.0|2.0|England| </v>
      </c>
      <c r="M2554" s="42" t="str">
        <f>IF(COUNTIF($L$1689:L2554,L2554)&gt;1,"DOUBLON","OK")</f>
        <v>OK</v>
      </c>
      <c r="S2554" s="40" t="str">
        <v>England</v>
      </c>
      <c r="T2554" s="40" t="str">
        <f t="shared" si="186"/>
        <v>ERREUR</v>
      </c>
      <c r="U2554" s="40" t="str">
        <f t="shared" si="187"/>
        <v>AUCUNE</v>
      </c>
      <c r="V2554" s="40" t="str" cm="1">
        <f t="array" ref="V2554">_xlfn.IFS(
ISNUMBER(SEARCH("USA",S2554)),"United States",
ISNUMBER(SEARCH("Republic of Ireland",S2554)),"Ireland",
ISNUMBER(SEARCH("Republic of Korea",S2554)),"South Korea",
ISNUMBER(SEARCH("Cape Verde",S2554)),"Cabo Verde",
ISNUMBER(SEARCH("Czechia",S2554)),"Czech Republic",
ISNUMBER(SEARCH("Türkiye",S2554)),"Turkey",
ISNUMBER(SEARCH("Ivory Coast",S2554)),"Côte d'Ivoire",
ISNUMBER(SEARCH("Korea Republic",S2554)),"South Korea",
ISNUMBER(SEARCH("Germany FR",S2554)),"FR Germany",
ISNUMBER(SEARCH("West Germany",S2554)),"FR Germany",
ISNUMBER(SEARCH("Germany DR",S2554)),"DR Germany",
ISNUMBER(SEARCH("Korea DPR",S2554)),"North Korea",
ISNUMBER(SEARCH("China PR",S2554)),"China",
ISNUMBER(SEARCH("IR Iran",S2554)),"Iran",
ISNUMBER(SEARCH("Congo DR",S2554)),"Democratic Republic of the Congo",
ISNUMBER(SEARCH("DR Congo",S2554)),"Democratic Republic of the Congo",
ISNUMBER(SEARCH("German DR",S2554)),"DR Germany",
ISNUMBER(SEARCH("rn""&gt;United Arab Emirates",S2554)),"United Arab Emirates",
ISNUMBER(SEARCH("rn""&gt;Republic of Ireland",S2554)),"Ireland",
ISNUMBER(SEARCH("rn""&gt;Bosnia and Herzegovina",S2554)),"Bosnia and Herzegovina",
ISNUMBER(SEARCH("rn""&gt;Trinidad and Tobago",S2554)),"Trinidad and Tobago",
ISNUMBER(SEARCH("rn""&gt;Serbia and Montenegro",S2554)),"Serbia and Montenegro",
ISNUMBER(SEARCH(_xlfn.UNICHAR(65533),S2554)),"Côte d'Ivoire",
TRUE,""
)</f>
        <v/>
      </c>
      <c r="W2554" s="40" t="str">
        <f t="shared" si="188"/>
        <v>England</v>
      </c>
    </row>
    <row r="2555" spans="2:23">
      <c r="B2555" s="76" t="str">
        <v>2018.0</v>
      </c>
      <c r="C2555" s="42" t="str">
        <v>19 Jun 2018 - 15:00</v>
      </c>
      <c r="D2555" s="42" t="str">
        <v>group stage</v>
      </c>
      <c r="E2555" s="42" t="str">
        <v>Mordovia Arena</v>
      </c>
      <c r="F2555" s="42" t="str">
        <v>Saransk</v>
      </c>
      <c r="G2555" s="42" t="str">
        <v>Colombia</v>
      </c>
      <c r="H2555" s="42" t="str">
        <v>1.0</v>
      </c>
      <c r="I2555" s="42" t="str">
        <v>2.0</v>
      </c>
      <c r="J2555" s="42" t="str">
        <v>Japan</v>
      </c>
      <c r="K2555" s="42" t="str">
        <v xml:space="preserve"> </v>
      </c>
      <c r="L2555" s="42" t="str">
        <f t="shared" si="189"/>
        <v xml:space="preserve">2018.0|19 Jun 2018 - 15:00|group stage|Mordovia Arena|Saransk|Colombia|1.0|2.0|Japan| </v>
      </c>
      <c r="M2555" s="42" t="str">
        <f>IF(COUNTIF($L$1689:L2555,L2555)&gt;1,"DOUBLON","OK")</f>
        <v>OK</v>
      </c>
      <c r="S2555" s="40" t="str">
        <v>Uruguay</v>
      </c>
      <c r="T2555" s="40" t="str">
        <f t="shared" si="186"/>
        <v>OK</v>
      </c>
      <c r="U2555" s="40" t="str">
        <f t="shared" si="187"/>
        <v>-</v>
      </c>
      <c r="V2555" s="40" t="str" cm="1">
        <f t="array" ref="V2555">_xlfn.IFS(
ISNUMBER(SEARCH("USA",S2555)),"United States",
ISNUMBER(SEARCH("Republic of Ireland",S2555)),"Ireland",
ISNUMBER(SEARCH("Republic of Korea",S2555)),"South Korea",
ISNUMBER(SEARCH("Cape Verde",S2555)),"Cabo Verde",
ISNUMBER(SEARCH("Czechia",S2555)),"Czech Republic",
ISNUMBER(SEARCH("Türkiye",S2555)),"Turkey",
ISNUMBER(SEARCH("Ivory Coast",S2555)),"Côte d'Ivoire",
ISNUMBER(SEARCH("Korea Republic",S2555)),"South Korea",
ISNUMBER(SEARCH("Germany FR",S2555)),"FR Germany",
ISNUMBER(SEARCH("West Germany",S2555)),"FR Germany",
ISNUMBER(SEARCH("Germany DR",S2555)),"DR Germany",
ISNUMBER(SEARCH("Korea DPR",S2555)),"North Korea",
ISNUMBER(SEARCH("China PR",S2555)),"China",
ISNUMBER(SEARCH("IR Iran",S2555)),"Iran",
ISNUMBER(SEARCH("Congo DR",S2555)),"Democratic Republic of the Congo",
ISNUMBER(SEARCH("DR Congo",S2555)),"Democratic Republic of the Congo",
ISNUMBER(SEARCH("German DR",S2555)),"DR Germany",
ISNUMBER(SEARCH("rn""&gt;United Arab Emirates",S2555)),"United Arab Emirates",
ISNUMBER(SEARCH("rn""&gt;Republic of Ireland",S2555)),"Ireland",
ISNUMBER(SEARCH("rn""&gt;Bosnia and Herzegovina",S2555)),"Bosnia and Herzegovina",
ISNUMBER(SEARCH("rn""&gt;Trinidad and Tobago",S2555)),"Trinidad and Tobago",
ISNUMBER(SEARCH("rn""&gt;Serbia and Montenegro",S2555)),"Serbia and Montenegro",
ISNUMBER(SEARCH(_xlfn.UNICHAR(65533),S2555)),"Côte d'Ivoire",
TRUE,""
)</f>
        <v/>
      </c>
      <c r="W2555" s="40" t="str">
        <f t="shared" si="188"/>
        <v>Uruguay</v>
      </c>
    </row>
    <row r="2556" spans="2:23">
      <c r="B2556" s="76" t="str">
        <v>2018.0</v>
      </c>
      <c r="C2556" s="42" t="str">
        <v>19 Jun 2018 - 18:00</v>
      </c>
      <c r="D2556" s="42" t="str">
        <v>group stage</v>
      </c>
      <c r="E2556" s="42" t="str">
        <v>Otkritie Arena</v>
      </c>
      <c r="F2556" s="42" t="str">
        <v>Moscow</v>
      </c>
      <c r="G2556" s="42" t="str">
        <v>Poland</v>
      </c>
      <c r="H2556" s="42" t="str">
        <v>1.0</v>
      </c>
      <c r="I2556" s="42" t="str">
        <v>2.0</v>
      </c>
      <c r="J2556" s="42" t="str">
        <v>Senegal</v>
      </c>
      <c r="K2556" s="42" t="str">
        <v xml:space="preserve"> </v>
      </c>
      <c r="L2556" s="42" t="str">
        <f t="shared" si="189"/>
        <v xml:space="preserve">2018.0|19 Jun 2018 - 18:00|group stage|Otkritie Arena|Moscow|Poland|1.0|2.0|Senegal| </v>
      </c>
      <c r="M2556" s="42" t="str">
        <f>IF(COUNTIF($L$1689:L2556,L2556)&gt;1,"DOUBLON","OK")</f>
        <v>OK</v>
      </c>
      <c r="S2556" s="40" t="str">
        <v>Argentina</v>
      </c>
      <c r="T2556" s="40" t="str">
        <f t="shared" si="186"/>
        <v>OK</v>
      </c>
      <c r="U2556" s="40" t="str">
        <f t="shared" si="187"/>
        <v>-</v>
      </c>
      <c r="V2556" s="40" t="str" cm="1">
        <f t="array" ref="V2556">_xlfn.IFS(
ISNUMBER(SEARCH("USA",S2556)),"United States",
ISNUMBER(SEARCH("Republic of Ireland",S2556)),"Ireland",
ISNUMBER(SEARCH("Republic of Korea",S2556)),"South Korea",
ISNUMBER(SEARCH("Cape Verde",S2556)),"Cabo Verde",
ISNUMBER(SEARCH("Czechia",S2556)),"Czech Republic",
ISNUMBER(SEARCH("Türkiye",S2556)),"Turkey",
ISNUMBER(SEARCH("Ivory Coast",S2556)),"Côte d'Ivoire",
ISNUMBER(SEARCH("Korea Republic",S2556)),"South Korea",
ISNUMBER(SEARCH("Germany FR",S2556)),"FR Germany",
ISNUMBER(SEARCH("West Germany",S2556)),"FR Germany",
ISNUMBER(SEARCH("Germany DR",S2556)),"DR Germany",
ISNUMBER(SEARCH("Korea DPR",S2556)),"North Korea",
ISNUMBER(SEARCH("China PR",S2556)),"China",
ISNUMBER(SEARCH("IR Iran",S2556)),"Iran",
ISNUMBER(SEARCH("Congo DR",S2556)),"Democratic Republic of the Congo",
ISNUMBER(SEARCH("DR Congo",S2556)),"Democratic Republic of the Congo",
ISNUMBER(SEARCH("German DR",S2556)),"DR Germany",
ISNUMBER(SEARCH("rn""&gt;United Arab Emirates",S2556)),"United Arab Emirates",
ISNUMBER(SEARCH("rn""&gt;Republic of Ireland",S2556)),"Ireland",
ISNUMBER(SEARCH("rn""&gt;Bosnia and Herzegovina",S2556)),"Bosnia and Herzegovina",
ISNUMBER(SEARCH("rn""&gt;Trinidad and Tobago",S2556)),"Trinidad and Tobago",
ISNUMBER(SEARCH("rn""&gt;Serbia and Montenegro",S2556)),"Serbia and Montenegro",
ISNUMBER(SEARCH(_xlfn.UNICHAR(65533),S2556)),"Côte d'Ivoire",
TRUE,""
)</f>
        <v/>
      </c>
      <c r="W2556" s="40" t="str">
        <f t="shared" si="188"/>
        <v>Argentina</v>
      </c>
    </row>
    <row r="2557" spans="2:23">
      <c r="B2557" s="76" t="str">
        <v>2018.0</v>
      </c>
      <c r="C2557" s="42" t="str">
        <v>19 Jun 2018 - 21:00</v>
      </c>
      <c r="D2557" s="42" t="str">
        <v>group stage</v>
      </c>
      <c r="E2557" s="42" t="str">
        <v>Krestovsky Stadium</v>
      </c>
      <c r="F2557" s="42" t="str">
        <v>Saint Petersburg</v>
      </c>
      <c r="G2557" s="42" t="str">
        <v>Russia</v>
      </c>
      <c r="H2557" s="42" t="str">
        <v>3.0</v>
      </c>
      <c r="I2557" s="42" t="str">
        <v>1.0</v>
      </c>
      <c r="J2557" s="42" t="str">
        <v>Egypt</v>
      </c>
      <c r="K2557" s="42" t="str">
        <v xml:space="preserve"> </v>
      </c>
      <c r="L2557" s="42" t="str">
        <f t="shared" si="189"/>
        <v xml:space="preserve">2018.0|19 Jun 2018 - 21:00|group stage|Krestovsky Stadium|Saint Petersburg|Russia|3.0|1.0|Egypt| </v>
      </c>
      <c r="M2557" s="42" t="str">
        <f>IF(COUNTIF($L$1689:L2557,L2557)&gt;1,"DOUBLON","OK")</f>
        <v>OK</v>
      </c>
      <c r="S2557" s="40" t="str">
        <v>Portugal</v>
      </c>
      <c r="T2557" s="40" t="str">
        <f t="shared" si="186"/>
        <v>OK</v>
      </c>
      <c r="U2557" s="40" t="str">
        <f t="shared" si="187"/>
        <v>-</v>
      </c>
      <c r="V2557" s="40" t="str" cm="1">
        <f t="array" ref="V2557">_xlfn.IFS(
ISNUMBER(SEARCH("USA",S2557)),"United States",
ISNUMBER(SEARCH("Republic of Ireland",S2557)),"Ireland",
ISNUMBER(SEARCH("Republic of Korea",S2557)),"South Korea",
ISNUMBER(SEARCH("Cape Verde",S2557)),"Cabo Verde",
ISNUMBER(SEARCH("Czechia",S2557)),"Czech Republic",
ISNUMBER(SEARCH("Türkiye",S2557)),"Turkey",
ISNUMBER(SEARCH("Ivory Coast",S2557)),"Côte d'Ivoire",
ISNUMBER(SEARCH("Korea Republic",S2557)),"South Korea",
ISNUMBER(SEARCH("Germany FR",S2557)),"FR Germany",
ISNUMBER(SEARCH("West Germany",S2557)),"FR Germany",
ISNUMBER(SEARCH("Germany DR",S2557)),"DR Germany",
ISNUMBER(SEARCH("Korea DPR",S2557)),"North Korea",
ISNUMBER(SEARCH("China PR",S2557)),"China",
ISNUMBER(SEARCH("IR Iran",S2557)),"Iran",
ISNUMBER(SEARCH("Congo DR",S2557)),"Democratic Republic of the Congo",
ISNUMBER(SEARCH("DR Congo",S2557)),"Democratic Republic of the Congo",
ISNUMBER(SEARCH("German DR",S2557)),"DR Germany",
ISNUMBER(SEARCH("rn""&gt;United Arab Emirates",S2557)),"United Arab Emirates",
ISNUMBER(SEARCH("rn""&gt;Republic of Ireland",S2557)),"Ireland",
ISNUMBER(SEARCH("rn""&gt;Bosnia and Herzegovina",S2557)),"Bosnia and Herzegovina",
ISNUMBER(SEARCH("rn""&gt;Trinidad and Tobago",S2557)),"Trinidad and Tobago",
ISNUMBER(SEARCH("rn""&gt;Serbia and Montenegro",S2557)),"Serbia and Montenegro",
ISNUMBER(SEARCH(_xlfn.UNICHAR(65533),S2557)),"Côte d'Ivoire",
TRUE,""
)</f>
        <v/>
      </c>
      <c r="W2557" s="40" t="str">
        <f t="shared" si="188"/>
        <v>Portugal</v>
      </c>
    </row>
    <row r="2558" spans="2:23">
      <c r="B2558" s="76" t="str">
        <v>2018.0</v>
      </c>
      <c r="C2558" s="42" t="str">
        <v>20 Jun 2018 - 15:00</v>
      </c>
      <c r="D2558" s="42" t="str">
        <v>group stage</v>
      </c>
      <c r="E2558" s="42" t="str">
        <v>Luzhniki Stadium</v>
      </c>
      <c r="F2558" s="42" t="str">
        <v>Moscow</v>
      </c>
      <c r="G2558" s="42" t="str">
        <v>Portugal</v>
      </c>
      <c r="H2558" s="42" t="str">
        <v>1.0</v>
      </c>
      <c r="I2558" s="42" t="str">
        <v>0.0</v>
      </c>
      <c r="J2558" s="42" t="str">
        <v>Morocco</v>
      </c>
      <c r="K2558" s="42" t="str">
        <v xml:space="preserve"> </v>
      </c>
      <c r="L2558" s="42" t="str">
        <f t="shared" si="189"/>
        <v xml:space="preserve">2018.0|20 Jun 2018 - 15:00|group stage|Luzhniki Stadium|Moscow|Portugal|1.0|0.0|Morocco| </v>
      </c>
      <c r="M2558" s="42" t="str">
        <f>IF(COUNTIF($L$1689:L2558,L2558)&gt;1,"DOUBLON","OK")</f>
        <v>OK</v>
      </c>
      <c r="S2558" s="40" t="str">
        <v>Korea DPR</v>
      </c>
      <c r="T2558" s="40" t="str">
        <f t="shared" si="186"/>
        <v>ERREUR</v>
      </c>
      <c r="U2558" s="40" t="str">
        <f t="shared" si="187"/>
        <v>RENOMMER</v>
      </c>
      <c r="V2558" s="40" t="str" cm="1">
        <f t="array" ref="V2558">_xlfn.IFS(
ISNUMBER(SEARCH("USA",S2558)),"United States",
ISNUMBER(SEARCH("Republic of Ireland",S2558)),"Ireland",
ISNUMBER(SEARCH("Republic of Korea",S2558)),"South Korea",
ISNUMBER(SEARCH("Cape Verde",S2558)),"Cabo Verde",
ISNUMBER(SEARCH("Czechia",S2558)),"Czech Republic",
ISNUMBER(SEARCH("Türkiye",S2558)),"Turkey",
ISNUMBER(SEARCH("Ivory Coast",S2558)),"Côte d'Ivoire",
ISNUMBER(SEARCH("Korea Republic",S2558)),"South Korea",
ISNUMBER(SEARCH("Germany FR",S2558)),"FR Germany",
ISNUMBER(SEARCH("West Germany",S2558)),"FR Germany",
ISNUMBER(SEARCH("Germany DR",S2558)),"DR Germany",
ISNUMBER(SEARCH("Korea DPR",S2558)),"North Korea",
ISNUMBER(SEARCH("China PR",S2558)),"China",
ISNUMBER(SEARCH("IR Iran",S2558)),"Iran",
ISNUMBER(SEARCH("Congo DR",S2558)),"Democratic Republic of the Congo",
ISNUMBER(SEARCH("DR Congo",S2558)),"Democratic Republic of the Congo",
ISNUMBER(SEARCH("German DR",S2558)),"DR Germany",
ISNUMBER(SEARCH("rn""&gt;United Arab Emirates",S2558)),"United Arab Emirates",
ISNUMBER(SEARCH("rn""&gt;Republic of Ireland",S2558)),"Ireland",
ISNUMBER(SEARCH("rn""&gt;Bosnia and Herzegovina",S2558)),"Bosnia and Herzegovina",
ISNUMBER(SEARCH("rn""&gt;Trinidad and Tobago",S2558)),"Trinidad and Tobago",
ISNUMBER(SEARCH("rn""&gt;Serbia and Montenegro",S2558)),"Serbia and Montenegro",
ISNUMBER(SEARCH(_xlfn.UNICHAR(65533),S2558)),"Côte d'Ivoire",
TRUE,""
)</f>
        <v>North Korea</v>
      </c>
      <c r="W2558" s="40" t="str">
        <f t="shared" si="188"/>
        <v>North Korea</v>
      </c>
    </row>
    <row r="2559" spans="2:23">
      <c r="B2559" s="76" t="str">
        <v>2018.0</v>
      </c>
      <c r="C2559" s="42" t="str">
        <v>20 Jun 2018 - 18:00</v>
      </c>
      <c r="D2559" s="42" t="str">
        <v>group stage</v>
      </c>
      <c r="E2559" s="42" t="str">
        <v>Rostov Arena</v>
      </c>
      <c r="F2559" s="42" t="str">
        <v>Rostov-on-Don</v>
      </c>
      <c r="G2559" s="42" t="str">
        <v>Uruguay</v>
      </c>
      <c r="H2559" s="42" t="str">
        <v>1.0</v>
      </c>
      <c r="I2559" s="42" t="str">
        <v>0.0</v>
      </c>
      <c r="J2559" s="42" t="str">
        <v>Saudi Arabia</v>
      </c>
      <c r="K2559" s="42" t="str">
        <v xml:space="preserve"> </v>
      </c>
      <c r="L2559" s="42" t="str">
        <f t="shared" si="189"/>
        <v xml:space="preserve">2018.0|20 Jun 2018 - 18:00|group stage|Rostov Arena|Rostov-on-Don|Uruguay|1.0|0.0|Saudi Arabia| </v>
      </c>
      <c r="M2559" s="42" t="str">
        <f>IF(COUNTIF($L$1689:L2559,L2559)&gt;1,"DOUBLON","OK")</f>
        <v>OK</v>
      </c>
      <c r="S2559" s="40" t="str">
        <v>England</v>
      </c>
      <c r="T2559" s="40" t="str">
        <f t="shared" si="186"/>
        <v>ERREUR</v>
      </c>
      <c r="U2559" s="40" t="str">
        <f t="shared" si="187"/>
        <v>AUCUNE</v>
      </c>
      <c r="V2559" s="40" t="str" cm="1">
        <f t="array" ref="V2559">_xlfn.IFS(
ISNUMBER(SEARCH("USA",S2559)),"United States",
ISNUMBER(SEARCH("Republic of Ireland",S2559)),"Ireland",
ISNUMBER(SEARCH("Republic of Korea",S2559)),"South Korea",
ISNUMBER(SEARCH("Cape Verde",S2559)),"Cabo Verde",
ISNUMBER(SEARCH("Czechia",S2559)),"Czech Republic",
ISNUMBER(SEARCH("Türkiye",S2559)),"Turkey",
ISNUMBER(SEARCH("Ivory Coast",S2559)),"Côte d'Ivoire",
ISNUMBER(SEARCH("Korea Republic",S2559)),"South Korea",
ISNUMBER(SEARCH("Germany FR",S2559)),"FR Germany",
ISNUMBER(SEARCH("West Germany",S2559)),"FR Germany",
ISNUMBER(SEARCH("Germany DR",S2559)),"DR Germany",
ISNUMBER(SEARCH("Korea DPR",S2559)),"North Korea",
ISNUMBER(SEARCH("China PR",S2559)),"China",
ISNUMBER(SEARCH("IR Iran",S2559)),"Iran",
ISNUMBER(SEARCH("Congo DR",S2559)),"Democratic Republic of the Congo",
ISNUMBER(SEARCH("DR Congo",S2559)),"Democratic Republic of the Congo",
ISNUMBER(SEARCH("German DR",S2559)),"DR Germany",
ISNUMBER(SEARCH("rn""&gt;United Arab Emirates",S2559)),"United Arab Emirates",
ISNUMBER(SEARCH("rn""&gt;Republic of Ireland",S2559)),"Ireland",
ISNUMBER(SEARCH("rn""&gt;Bosnia and Herzegovina",S2559)),"Bosnia and Herzegovina",
ISNUMBER(SEARCH("rn""&gt;Trinidad and Tobago",S2559)),"Trinidad and Tobago",
ISNUMBER(SEARCH("rn""&gt;Serbia and Montenegro",S2559)),"Serbia and Montenegro",
ISNUMBER(SEARCH(_xlfn.UNICHAR(65533),S2559)),"Côte d'Ivoire",
TRUE,""
)</f>
        <v/>
      </c>
      <c r="W2559" s="40" t="str">
        <f t="shared" si="188"/>
        <v>England</v>
      </c>
    </row>
    <row r="2560" spans="2:23">
      <c r="B2560" s="76" t="str">
        <v>2018.0</v>
      </c>
      <c r="C2560" s="42" t="str">
        <v>20 Jun 2018 - 21:00</v>
      </c>
      <c r="D2560" s="42" t="str">
        <v>group stage</v>
      </c>
      <c r="E2560" s="42" t="str">
        <v>Kazan Arena</v>
      </c>
      <c r="F2560" s="42" t="str">
        <v>Kazan</v>
      </c>
      <c r="G2560" s="42" t="str">
        <v>Iran</v>
      </c>
      <c r="H2560" s="42" t="str">
        <v>0.0</v>
      </c>
      <c r="I2560" s="42" t="str">
        <v>1.0</v>
      </c>
      <c r="J2560" s="42" t="str">
        <v>Spain</v>
      </c>
      <c r="K2560" s="42" t="str">
        <v xml:space="preserve"> </v>
      </c>
      <c r="L2560" s="42" t="str">
        <f t="shared" si="189"/>
        <v xml:space="preserve">2018.0|20 Jun 2018 - 21:00|group stage|Kazan Arena|Kazan|Iran|0.0|1.0|Spain| </v>
      </c>
      <c r="M2560" s="42" t="str">
        <f>IF(COUNTIF($L$1689:L2560,L2560)&gt;1,"DOUBLON","OK")</f>
        <v>OK</v>
      </c>
      <c r="S2560" s="40" t="str">
        <v>Hungary</v>
      </c>
      <c r="T2560" s="40" t="str">
        <f t="shared" si="186"/>
        <v>OK</v>
      </c>
      <c r="U2560" s="40" t="str">
        <f t="shared" si="187"/>
        <v>-</v>
      </c>
      <c r="V2560" s="40" t="str" cm="1">
        <f t="array" ref="V2560">_xlfn.IFS(
ISNUMBER(SEARCH("USA",S2560)),"United States",
ISNUMBER(SEARCH("Republic of Ireland",S2560)),"Ireland",
ISNUMBER(SEARCH("Republic of Korea",S2560)),"South Korea",
ISNUMBER(SEARCH("Cape Verde",S2560)),"Cabo Verde",
ISNUMBER(SEARCH("Czechia",S2560)),"Czech Republic",
ISNUMBER(SEARCH("Türkiye",S2560)),"Turkey",
ISNUMBER(SEARCH("Ivory Coast",S2560)),"Côte d'Ivoire",
ISNUMBER(SEARCH("Korea Republic",S2560)),"South Korea",
ISNUMBER(SEARCH("Germany FR",S2560)),"FR Germany",
ISNUMBER(SEARCH("West Germany",S2560)),"FR Germany",
ISNUMBER(SEARCH("Germany DR",S2560)),"DR Germany",
ISNUMBER(SEARCH("Korea DPR",S2560)),"North Korea",
ISNUMBER(SEARCH("China PR",S2560)),"China",
ISNUMBER(SEARCH("IR Iran",S2560)),"Iran",
ISNUMBER(SEARCH("Congo DR",S2560)),"Democratic Republic of the Congo",
ISNUMBER(SEARCH("DR Congo",S2560)),"Democratic Republic of the Congo",
ISNUMBER(SEARCH("German DR",S2560)),"DR Germany",
ISNUMBER(SEARCH("rn""&gt;United Arab Emirates",S2560)),"United Arab Emirates",
ISNUMBER(SEARCH("rn""&gt;Republic of Ireland",S2560)),"Ireland",
ISNUMBER(SEARCH("rn""&gt;Bosnia and Herzegovina",S2560)),"Bosnia and Herzegovina",
ISNUMBER(SEARCH("rn""&gt;Trinidad and Tobago",S2560)),"Trinidad and Tobago",
ISNUMBER(SEARCH("rn""&gt;Serbia and Montenegro",S2560)),"Serbia and Montenegro",
ISNUMBER(SEARCH(_xlfn.UNICHAR(65533),S2560)),"Côte d'Ivoire",
TRUE,""
)</f>
        <v/>
      </c>
      <c r="W2560" s="40" t="str">
        <f t="shared" si="188"/>
        <v>Hungary</v>
      </c>
    </row>
    <row r="2561" spans="2:23">
      <c r="B2561" s="76" t="str">
        <v>2018.0</v>
      </c>
      <c r="C2561" s="42" t="str">
        <v>21 Jun 2018 - 16:00</v>
      </c>
      <c r="D2561" s="42" t="str">
        <v>group stage</v>
      </c>
      <c r="E2561" s="42" t="str">
        <v>Samara Arena</v>
      </c>
      <c r="F2561" s="42" t="str">
        <v>Samara</v>
      </c>
      <c r="G2561" s="42" t="str">
        <v>Denmark</v>
      </c>
      <c r="H2561" s="42" t="str">
        <v>1.0</v>
      </c>
      <c r="I2561" s="42" t="str">
        <v>1.0</v>
      </c>
      <c r="J2561" s="42" t="str">
        <v>Australia</v>
      </c>
      <c r="K2561" s="42" t="str">
        <v xml:space="preserve"> </v>
      </c>
      <c r="L2561" s="42" t="str">
        <f t="shared" si="189"/>
        <v xml:space="preserve">2018.0|21 Jun 2018 - 16:00|group stage|Samara Arena|Samara|Denmark|1.0|1.0|Australia| </v>
      </c>
      <c r="M2561" s="42" t="str">
        <f>IF(COUNTIF($L$1689:L2561,L2561)&gt;1,"DOUBLON","OK")</f>
        <v>OK</v>
      </c>
      <c r="S2561" s="40" t="str">
        <v>Germany FR</v>
      </c>
      <c r="T2561" s="40" t="str">
        <f t="shared" si="186"/>
        <v>ERREUR</v>
      </c>
      <c r="U2561" s="40" t="str">
        <f t="shared" si="187"/>
        <v>RENOMMER</v>
      </c>
      <c r="V2561" s="40" t="str" cm="1">
        <f t="array" ref="V2561">_xlfn.IFS(
ISNUMBER(SEARCH("USA",S2561)),"United States",
ISNUMBER(SEARCH("Republic of Ireland",S2561)),"Ireland",
ISNUMBER(SEARCH("Republic of Korea",S2561)),"South Korea",
ISNUMBER(SEARCH("Cape Verde",S2561)),"Cabo Verde",
ISNUMBER(SEARCH("Czechia",S2561)),"Czech Republic",
ISNUMBER(SEARCH("Türkiye",S2561)),"Turkey",
ISNUMBER(SEARCH("Ivory Coast",S2561)),"Côte d'Ivoire",
ISNUMBER(SEARCH("Korea Republic",S2561)),"South Korea",
ISNUMBER(SEARCH("Germany FR",S2561)),"FR Germany",
ISNUMBER(SEARCH("West Germany",S2561)),"FR Germany",
ISNUMBER(SEARCH("Germany DR",S2561)),"DR Germany",
ISNUMBER(SEARCH("Korea DPR",S2561)),"North Korea",
ISNUMBER(SEARCH("China PR",S2561)),"China",
ISNUMBER(SEARCH("IR Iran",S2561)),"Iran",
ISNUMBER(SEARCH("Congo DR",S2561)),"Democratic Republic of the Congo",
ISNUMBER(SEARCH("DR Congo",S2561)),"Democratic Republic of the Congo",
ISNUMBER(SEARCH("German DR",S2561)),"DR Germany",
ISNUMBER(SEARCH("rn""&gt;United Arab Emirates",S2561)),"United Arab Emirates",
ISNUMBER(SEARCH("rn""&gt;Republic of Ireland",S2561)),"Ireland",
ISNUMBER(SEARCH("rn""&gt;Bosnia and Herzegovina",S2561)),"Bosnia and Herzegovina",
ISNUMBER(SEARCH("rn""&gt;Trinidad and Tobago",S2561)),"Trinidad and Tobago",
ISNUMBER(SEARCH("rn""&gt;Serbia and Montenegro",S2561)),"Serbia and Montenegro",
ISNUMBER(SEARCH(_xlfn.UNICHAR(65533),S2561)),"Côte d'Ivoire",
TRUE,""
)</f>
        <v>FR Germany</v>
      </c>
      <c r="W2561" s="40" t="str">
        <f t="shared" si="188"/>
        <v>FR Germany</v>
      </c>
    </row>
    <row r="2562" spans="2:23">
      <c r="B2562" s="76" t="str">
        <v>2018.0</v>
      </c>
      <c r="C2562" s="42" t="str">
        <v>21 Jun 2018 - 20:00</v>
      </c>
      <c r="D2562" s="42" t="str">
        <v>group stage</v>
      </c>
      <c r="E2562" s="42" t="str">
        <v>Central Stadium</v>
      </c>
      <c r="F2562" s="42" t="str">
        <v>Yekaterinburg</v>
      </c>
      <c r="G2562" s="42" t="str">
        <v>France</v>
      </c>
      <c r="H2562" s="42" t="str">
        <v>1.0</v>
      </c>
      <c r="I2562" s="42" t="str">
        <v>0.0</v>
      </c>
      <c r="J2562" s="42" t="str">
        <v>Peru</v>
      </c>
      <c r="K2562" s="42" t="str">
        <v xml:space="preserve"> </v>
      </c>
      <c r="L2562" s="42" t="str">
        <f t="shared" si="189"/>
        <v xml:space="preserve">2018.0|21 Jun 2018 - 20:00|group stage|Central Stadium|Yekaterinburg|France|1.0|0.0|Peru| </v>
      </c>
      <c r="M2562" s="42" t="str">
        <f>IF(COUNTIF($L$1689:L2562,L2562)&gt;1,"DOUBLON","OK")</f>
        <v>OK</v>
      </c>
      <c r="S2562" s="40" t="str">
        <v>Soviet Union</v>
      </c>
      <c r="T2562" s="40" t="str">
        <f t="shared" si="186"/>
        <v>ERREUR</v>
      </c>
      <c r="U2562" s="40" t="str">
        <f t="shared" si="187"/>
        <v>AUCUNE</v>
      </c>
      <c r="V2562" s="40" t="str" cm="1">
        <f t="array" ref="V2562">_xlfn.IFS(
ISNUMBER(SEARCH("USA",S2562)),"United States",
ISNUMBER(SEARCH("Republic of Ireland",S2562)),"Ireland",
ISNUMBER(SEARCH("Republic of Korea",S2562)),"South Korea",
ISNUMBER(SEARCH("Cape Verde",S2562)),"Cabo Verde",
ISNUMBER(SEARCH("Czechia",S2562)),"Czech Republic",
ISNUMBER(SEARCH("Türkiye",S2562)),"Turkey",
ISNUMBER(SEARCH("Ivory Coast",S2562)),"Côte d'Ivoire",
ISNUMBER(SEARCH("Korea Republic",S2562)),"South Korea",
ISNUMBER(SEARCH("Germany FR",S2562)),"FR Germany",
ISNUMBER(SEARCH("West Germany",S2562)),"FR Germany",
ISNUMBER(SEARCH("Germany DR",S2562)),"DR Germany",
ISNUMBER(SEARCH("Korea DPR",S2562)),"North Korea",
ISNUMBER(SEARCH("China PR",S2562)),"China",
ISNUMBER(SEARCH("IR Iran",S2562)),"Iran",
ISNUMBER(SEARCH("Congo DR",S2562)),"Democratic Republic of the Congo",
ISNUMBER(SEARCH("DR Congo",S2562)),"Democratic Republic of the Congo",
ISNUMBER(SEARCH("German DR",S2562)),"DR Germany",
ISNUMBER(SEARCH("rn""&gt;United Arab Emirates",S2562)),"United Arab Emirates",
ISNUMBER(SEARCH("rn""&gt;Republic of Ireland",S2562)),"Ireland",
ISNUMBER(SEARCH("rn""&gt;Bosnia and Herzegovina",S2562)),"Bosnia and Herzegovina",
ISNUMBER(SEARCH("rn""&gt;Trinidad and Tobago",S2562)),"Trinidad and Tobago",
ISNUMBER(SEARCH("rn""&gt;Serbia and Montenegro",S2562)),"Serbia and Montenegro",
ISNUMBER(SEARCH(_xlfn.UNICHAR(65533),S2562)),"Côte d'Ivoire",
TRUE,""
)</f>
        <v/>
      </c>
      <c r="W2562" s="40" t="str">
        <f t="shared" si="188"/>
        <v>Soviet Union</v>
      </c>
    </row>
    <row r="2563" spans="2:23">
      <c r="B2563" s="76" t="str">
        <v>2018.0</v>
      </c>
      <c r="C2563" s="42" t="str">
        <v>21 Jun 2018 - 21:00</v>
      </c>
      <c r="D2563" s="42" t="str">
        <v>group stage</v>
      </c>
      <c r="E2563" s="42" t="str">
        <v>Nizhny Novgorod Stadium</v>
      </c>
      <c r="F2563" s="42" t="str">
        <v>Nizhny Novgorod</v>
      </c>
      <c r="G2563" s="42" t="str">
        <v>Argentina</v>
      </c>
      <c r="H2563" s="42" t="str">
        <v>0.0</v>
      </c>
      <c r="I2563" s="42" t="str">
        <v>3.0</v>
      </c>
      <c r="J2563" s="42" t="str">
        <v>Croatia</v>
      </c>
      <c r="K2563" s="42" t="str">
        <v xml:space="preserve"> </v>
      </c>
      <c r="L2563" s="42" t="str">
        <f t="shared" si="189"/>
        <v xml:space="preserve">2018.0|21 Jun 2018 - 21:00|group stage|Nizhny Novgorod Stadium|Nizhny Novgorod|Argentina|0.0|3.0|Croatia| </v>
      </c>
      <c r="M2563" s="42" t="str">
        <f>IF(COUNTIF($L$1689:L2563,L2563)&gt;1,"DOUBLON","OK")</f>
        <v>OK</v>
      </c>
      <c r="S2563" s="40" t="str">
        <v>England</v>
      </c>
      <c r="T2563" s="40" t="str">
        <f t="shared" ref="T2563:T2626" si="190">IF(COUNTIF(R$13:R$250,S2563)=1,"OK","ERREUR")</f>
        <v>ERREUR</v>
      </c>
      <c r="U2563" s="40" t="str">
        <f t="shared" si="187"/>
        <v>AUCUNE</v>
      </c>
      <c r="V2563" s="40" t="str" cm="1">
        <f t="array" ref="V2563">_xlfn.IFS(
ISNUMBER(SEARCH("USA",S2563)),"United States",
ISNUMBER(SEARCH("Republic of Ireland",S2563)),"Ireland",
ISNUMBER(SEARCH("Republic of Korea",S2563)),"South Korea",
ISNUMBER(SEARCH("Cape Verde",S2563)),"Cabo Verde",
ISNUMBER(SEARCH("Czechia",S2563)),"Czech Republic",
ISNUMBER(SEARCH("Türkiye",S2563)),"Turkey",
ISNUMBER(SEARCH("Ivory Coast",S2563)),"Côte d'Ivoire",
ISNUMBER(SEARCH("Korea Republic",S2563)),"South Korea",
ISNUMBER(SEARCH("Germany FR",S2563)),"FR Germany",
ISNUMBER(SEARCH("West Germany",S2563)),"FR Germany",
ISNUMBER(SEARCH("Germany DR",S2563)),"DR Germany",
ISNUMBER(SEARCH("Korea DPR",S2563)),"North Korea",
ISNUMBER(SEARCH("China PR",S2563)),"China",
ISNUMBER(SEARCH("IR Iran",S2563)),"Iran",
ISNUMBER(SEARCH("Congo DR",S2563)),"Democratic Republic of the Congo",
ISNUMBER(SEARCH("DR Congo",S2563)),"Democratic Republic of the Congo",
ISNUMBER(SEARCH("German DR",S2563)),"DR Germany",
ISNUMBER(SEARCH("rn""&gt;United Arab Emirates",S2563)),"United Arab Emirates",
ISNUMBER(SEARCH("rn""&gt;Republic of Ireland",S2563)),"Ireland",
ISNUMBER(SEARCH("rn""&gt;Bosnia and Herzegovina",S2563)),"Bosnia and Herzegovina",
ISNUMBER(SEARCH("rn""&gt;Trinidad and Tobago",S2563)),"Trinidad and Tobago",
ISNUMBER(SEARCH("rn""&gt;Serbia and Montenegro",S2563)),"Serbia and Montenegro",
ISNUMBER(SEARCH(_xlfn.UNICHAR(65533),S2563)),"Côte d'Ivoire",
TRUE,""
)</f>
        <v/>
      </c>
      <c r="W2563" s="40" t="str">
        <f t="shared" si="188"/>
        <v>England</v>
      </c>
    </row>
    <row r="2564" spans="2:23">
      <c r="B2564" s="76" t="str">
        <v>2018.0</v>
      </c>
      <c r="C2564" s="42" t="str">
        <v>22 Jun 2018 - 15:00</v>
      </c>
      <c r="D2564" s="42" t="str">
        <v>group stage</v>
      </c>
      <c r="E2564" s="42" t="str">
        <v>Krestovsky Stadium</v>
      </c>
      <c r="F2564" s="42" t="str">
        <v>Saint Petersburg</v>
      </c>
      <c r="G2564" s="42" t="str">
        <v>Brazil</v>
      </c>
      <c r="H2564" s="42" t="str">
        <v>2.0</v>
      </c>
      <c r="I2564" s="42" t="str">
        <v>0.0</v>
      </c>
      <c r="J2564" s="42" t="str">
        <v>Costa Rica</v>
      </c>
      <c r="K2564" s="42" t="str">
        <v xml:space="preserve"> </v>
      </c>
      <c r="L2564" s="42" t="str">
        <f t="shared" si="189"/>
        <v xml:space="preserve">2018.0|22 Jun 2018 - 15:00|group stage|Krestovsky Stadium|Saint Petersburg|Brazil|2.0|0.0|Costa Rica| </v>
      </c>
      <c r="M2564" s="42" t="str">
        <f>IF(COUNTIF($L$1689:L2564,L2564)&gt;1,"DOUBLON","OK")</f>
        <v>OK</v>
      </c>
      <c r="S2564" s="40" t="str">
        <v>Germany FR</v>
      </c>
      <c r="T2564" s="40" t="str">
        <f t="shared" si="190"/>
        <v>ERREUR</v>
      </c>
      <c r="U2564" s="40" t="str">
        <f t="shared" ref="U2564:U2627" si="191">IF(OR(S2564="Scotland",S2564="England",S2564="Wales",S2564="Yugoslavia",S2564="Czechoslovakia",S2564="Northern Ireland",S2564="Soviet Union",S2564="Zaire",S2564="Dutch East Indies"),"AUCUNE",IF(OR(S2564="Cape Verde",S2564="USA",S2564="DR Congo",S2564="Republic of Korea",S2564="Germany FR",S2564="Germany DR",S2564="Czechia",S2564="Ivory Coast",S2564="Korea DPR",S2564="China PR",S2564="IR Iran",S2564="Türkiye",S2564="Congo DR",S2564="German DR",S2564="West Germany",S2564="Republic of Ireland",ISNUMBER(SEARCH(_xlfn.UNICHAR(65533),S2564)),S2564="Korea Republic",ISNUMBER(SEARCH("rn""&gt;United Arab Emirates",S2564)),ISNUMBER(SEARCH("rn""&gt;Republic of Ireland",S2564)),ISNUMBER(SEARCH("rn""&gt;Bosnia and Herzegovina",S2564)),ISNUMBER(SEARCH("rn""&gt;Trinidad and Tobago",S2564)),ISNUMBER(SEARCH("rn""&gt;Serbia and Montenegro",S2564)),ISNUMBER(SEARCH(_xlfn.UNICHAR(65533),S2564))),"RENOMMER","-"))</f>
        <v>RENOMMER</v>
      </c>
      <c r="V2564" s="40" t="str" cm="1">
        <f t="array" ref="V2564">_xlfn.IFS(
ISNUMBER(SEARCH("USA",S2564)),"United States",
ISNUMBER(SEARCH("Republic of Ireland",S2564)),"Ireland",
ISNUMBER(SEARCH("Republic of Korea",S2564)),"South Korea",
ISNUMBER(SEARCH("Cape Verde",S2564)),"Cabo Verde",
ISNUMBER(SEARCH("Czechia",S2564)),"Czech Republic",
ISNUMBER(SEARCH("Türkiye",S2564)),"Turkey",
ISNUMBER(SEARCH("Ivory Coast",S2564)),"Côte d'Ivoire",
ISNUMBER(SEARCH("Korea Republic",S2564)),"South Korea",
ISNUMBER(SEARCH("Germany FR",S2564)),"FR Germany",
ISNUMBER(SEARCH("West Germany",S2564)),"FR Germany",
ISNUMBER(SEARCH("Germany DR",S2564)),"DR Germany",
ISNUMBER(SEARCH("Korea DPR",S2564)),"North Korea",
ISNUMBER(SEARCH("China PR",S2564)),"China",
ISNUMBER(SEARCH("IR Iran",S2564)),"Iran",
ISNUMBER(SEARCH("Congo DR",S2564)),"Democratic Republic of the Congo",
ISNUMBER(SEARCH("DR Congo",S2564)),"Democratic Republic of the Congo",
ISNUMBER(SEARCH("German DR",S2564)),"DR Germany",
ISNUMBER(SEARCH("rn""&gt;United Arab Emirates",S2564)),"United Arab Emirates",
ISNUMBER(SEARCH("rn""&gt;Republic of Ireland",S2564)),"Ireland",
ISNUMBER(SEARCH("rn""&gt;Bosnia and Herzegovina",S2564)),"Bosnia and Herzegovina",
ISNUMBER(SEARCH("rn""&gt;Trinidad and Tobago",S2564)),"Trinidad and Tobago",
ISNUMBER(SEARCH("rn""&gt;Serbia and Montenegro",S2564)),"Serbia and Montenegro",
ISNUMBER(SEARCH(_xlfn.UNICHAR(65533),S2564)),"Côte d'Ivoire",
TRUE,""
)</f>
        <v>FR Germany</v>
      </c>
      <c r="W2564" s="40" t="str">
        <f t="shared" ref="W2564:W2627" si="192">IF(V2564="",S2564,V2564)</f>
        <v>FR Germany</v>
      </c>
    </row>
    <row r="2565" spans="2:23">
      <c r="B2565" s="76" t="str">
        <v>2018.0</v>
      </c>
      <c r="C2565" s="42" t="str">
        <v>22 Jun 2018 - 18:00</v>
      </c>
      <c r="D2565" s="42" t="str">
        <v>group stage</v>
      </c>
      <c r="E2565" s="42" t="str">
        <v>Volgograd Arena</v>
      </c>
      <c r="F2565" s="42" t="str">
        <v>Volgograd</v>
      </c>
      <c r="G2565" s="42" t="str">
        <v>Nigeria</v>
      </c>
      <c r="H2565" s="42" t="str">
        <v>2.0</v>
      </c>
      <c r="I2565" s="42" t="str">
        <v>0.0</v>
      </c>
      <c r="J2565" s="42" t="str">
        <v>Iceland</v>
      </c>
      <c r="K2565" s="42" t="str">
        <v xml:space="preserve"> </v>
      </c>
      <c r="L2565" s="42" t="str">
        <f t="shared" si="189"/>
        <v xml:space="preserve">2018.0|22 Jun 2018 - 18:00|group stage|Volgograd Arena|Volgograd|Nigeria|2.0|0.0|Iceland| </v>
      </c>
      <c r="M2565" s="42" t="str">
        <f>IF(COUNTIF($L$1689:L2565,L2565)&gt;1,"DOUBLON","OK")</f>
        <v>OK</v>
      </c>
      <c r="S2565" s="40" t="str">
        <v>Soviet Union</v>
      </c>
      <c r="T2565" s="40" t="str">
        <f t="shared" si="190"/>
        <v>ERREUR</v>
      </c>
      <c r="U2565" s="40" t="str">
        <f t="shared" si="191"/>
        <v>AUCUNE</v>
      </c>
      <c r="V2565" s="40" t="str" cm="1">
        <f t="array" ref="V2565">_xlfn.IFS(
ISNUMBER(SEARCH("USA",S2565)),"United States",
ISNUMBER(SEARCH("Republic of Ireland",S2565)),"Ireland",
ISNUMBER(SEARCH("Republic of Korea",S2565)),"South Korea",
ISNUMBER(SEARCH("Cape Verde",S2565)),"Cabo Verde",
ISNUMBER(SEARCH("Czechia",S2565)),"Czech Republic",
ISNUMBER(SEARCH("Türkiye",S2565)),"Turkey",
ISNUMBER(SEARCH("Ivory Coast",S2565)),"Côte d'Ivoire",
ISNUMBER(SEARCH("Korea Republic",S2565)),"South Korea",
ISNUMBER(SEARCH("Germany FR",S2565)),"FR Germany",
ISNUMBER(SEARCH("West Germany",S2565)),"FR Germany",
ISNUMBER(SEARCH("Germany DR",S2565)),"DR Germany",
ISNUMBER(SEARCH("Korea DPR",S2565)),"North Korea",
ISNUMBER(SEARCH("China PR",S2565)),"China",
ISNUMBER(SEARCH("IR Iran",S2565)),"Iran",
ISNUMBER(SEARCH("Congo DR",S2565)),"Democratic Republic of the Congo",
ISNUMBER(SEARCH("DR Congo",S2565)),"Democratic Republic of the Congo",
ISNUMBER(SEARCH("German DR",S2565)),"DR Germany",
ISNUMBER(SEARCH("rn""&gt;United Arab Emirates",S2565)),"United Arab Emirates",
ISNUMBER(SEARCH("rn""&gt;Republic of Ireland",S2565)),"Ireland",
ISNUMBER(SEARCH("rn""&gt;Bosnia and Herzegovina",S2565)),"Bosnia and Herzegovina",
ISNUMBER(SEARCH("rn""&gt;Trinidad and Tobago",S2565)),"Trinidad and Tobago",
ISNUMBER(SEARCH("rn""&gt;Serbia and Montenegro",S2565)),"Serbia and Montenegro",
ISNUMBER(SEARCH(_xlfn.UNICHAR(65533),S2565)),"Côte d'Ivoire",
TRUE,""
)</f>
        <v/>
      </c>
      <c r="W2565" s="40" t="str">
        <f t="shared" si="192"/>
        <v>Soviet Union</v>
      </c>
    </row>
    <row r="2566" spans="2:23">
      <c r="B2566" s="76" t="str">
        <v>2018.0</v>
      </c>
      <c r="C2566" s="42" t="str">
        <v>22 Jun 2018 - 20:00</v>
      </c>
      <c r="D2566" s="42" t="str">
        <v>group stage</v>
      </c>
      <c r="E2566" s="42" t="str">
        <v>Kaliningrad Stadium</v>
      </c>
      <c r="F2566" s="42" t="str">
        <v>Kaliningrad</v>
      </c>
      <c r="G2566" s="42" t="str">
        <v>Serbia</v>
      </c>
      <c r="H2566" s="42" t="str">
        <v>1.0</v>
      </c>
      <c r="I2566" s="42" t="str">
        <v>2.0</v>
      </c>
      <c r="J2566" s="42" t="str">
        <v>Switzerland</v>
      </c>
      <c r="K2566" s="42" t="str">
        <v xml:space="preserve"> </v>
      </c>
      <c r="L2566" s="42" t="str">
        <f t="shared" si="189"/>
        <v xml:space="preserve">2018.0|22 Jun 2018 - 20:00|group stage|Kaliningrad Stadium|Kaliningrad|Serbia|1.0|2.0|Switzerland| </v>
      </c>
      <c r="M2566" s="42" t="str">
        <f>IF(COUNTIF($L$1689:L2566,L2566)&gt;1,"DOUBLON","OK")</f>
        <v>OK</v>
      </c>
      <c r="S2566" s="40" t="str">
        <v>Portugal</v>
      </c>
      <c r="T2566" s="40" t="str">
        <f t="shared" si="190"/>
        <v>OK</v>
      </c>
      <c r="U2566" s="40" t="str">
        <f t="shared" si="191"/>
        <v>-</v>
      </c>
      <c r="V2566" s="40" t="str" cm="1">
        <f t="array" ref="V2566">_xlfn.IFS(
ISNUMBER(SEARCH("USA",S2566)),"United States",
ISNUMBER(SEARCH("Republic of Ireland",S2566)),"Ireland",
ISNUMBER(SEARCH("Republic of Korea",S2566)),"South Korea",
ISNUMBER(SEARCH("Cape Verde",S2566)),"Cabo Verde",
ISNUMBER(SEARCH("Czechia",S2566)),"Czech Republic",
ISNUMBER(SEARCH("Türkiye",S2566)),"Turkey",
ISNUMBER(SEARCH("Ivory Coast",S2566)),"Côte d'Ivoire",
ISNUMBER(SEARCH("Korea Republic",S2566)),"South Korea",
ISNUMBER(SEARCH("Germany FR",S2566)),"FR Germany",
ISNUMBER(SEARCH("West Germany",S2566)),"FR Germany",
ISNUMBER(SEARCH("Germany DR",S2566)),"DR Germany",
ISNUMBER(SEARCH("Korea DPR",S2566)),"North Korea",
ISNUMBER(SEARCH("China PR",S2566)),"China",
ISNUMBER(SEARCH("IR Iran",S2566)),"Iran",
ISNUMBER(SEARCH("Congo DR",S2566)),"Democratic Republic of the Congo",
ISNUMBER(SEARCH("DR Congo",S2566)),"Democratic Republic of the Congo",
ISNUMBER(SEARCH("German DR",S2566)),"DR Germany",
ISNUMBER(SEARCH("rn""&gt;United Arab Emirates",S2566)),"United Arab Emirates",
ISNUMBER(SEARCH("rn""&gt;Republic of Ireland",S2566)),"Ireland",
ISNUMBER(SEARCH("rn""&gt;Bosnia and Herzegovina",S2566)),"Bosnia and Herzegovina",
ISNUMBER(SEARCH("rn""&gt;Trinidad and Tobago",S2566)),"Trinidad and Tobago",
ISNUMBER(SEARCH("rn""&gt;Serbia and Montenegro",S2566)),"Serbia and Montenegro",
ISNUMBER(SEARCH(_xlfn.UNICHAR(65533),S2566)),"Côte d'Ivoire",
TRUE,""
)</f>
        <v/>
      </c>
      <c r="W2566" s="40" t="str">
        <f t="shared" si="192"/>
        <v>Portugal</v>
      </c>
    </row>
    <row r="2567" spans="2:23">
      <c r="B2567" s="76" t="str">
        <v>2018.0</v>
      </c>
      <c r="C2567" s="42" t="str">
        <v>23 Jun 2018 - 15:00</v>
      </c>
      <c r="D2567" s="42" t="str">
        <v>group stage</v>
      </c>
      <c r="E2567" s="42" t="str">
        <v>Otkritie Arena</v>
      </c>
      <c r="F2567" s="42" t="str">
        <v>Moscow</v>
      </c>
      <c r="G2567" s="42" t="str">
        <v>Belgium</v>
      </c>
      <c r="H2567" s="42" t="str">
        <v>5.0</v>
      </c>
      <c r="I2567" s="42" t="str">
        <v>2.0</v>
      </c>
      <c r="J2567" s="42" t="str">
        <v>Tunisia</v>
      </c>
      <c r="K2567" s="42" t="str">
        <v xml:space="preserve"> </v>
      </c>
      <c r="L2567" s="42" t="str">
        <f t="shared" si="189"/>
        <v xml:space="preserve">2018.0|23 Jun 2018 - 15:00|group stage|Otkritie Arena|Moscow|Belgium|5.0|2.0|Tunisia| </v>
      </c>
      <c r="M2567" s="42" t="str">
        <f>IF(COUNTIF($L$1689:L2567,L2567)&gt;1,"DOUBLON","OK")</f>
        <v>OK</v>
      </c>
      <c r="S2567" s="40" t="str">
        <v>Germany FR</v>
      </c>
      <c r="T2567" s="40" t="str">
        <f t="shared" si="190"/>
        <v>ERREUR</v>
      </c>
      <c r="U2567" s="40" t="str">
        <f t="shared" si="191"/>
        <v>RENOMMER</v>
      </c>
      <c r="V2567" s="40" t="str" cm="1">
        <f t="array" ref="V2567">_xlfn.IFS(
ISNUMBER(SEARCH("USA",S2567)),"United States",
ISNUMBER(SEARCH("Republic of Ireland",S2567)),"Ireland",
ISNUMBER(SEARCH("Republic of Korea",S2567)),"South Korea",
ISNUMBER(SEARCH("Cape Verde",S2567)),"Cabo Verde",
ISNUMBER(SEARCH("Czechia",S2567)),"Czech Republic",
ISNUMBER(SEARCH("Türkiye",S2567)),"Turkey",
ISNUMBER(SEARCH("Ivory Coast",S2567)),"Côte d'Ivoire",
ISNUMBER(SEARCH("Korea Republic",S2567)),"South Korea",
ISNUMBER(SEARCH("Germany FR",S2567)),"FR Germany",
ISNUMBER(SEARCH("West Germany",S2567)),"FR Germany",
ISNUMBER(SEARCH("Germany DR",S2567)),"DR Germany",
ISNUMBER(SEARCH("Korea DPR",S2567)),"North Korea",
ISNUMBER(SEARCH("China PR",S2567)),"China",
ISNUMBER(SEARCH("IR Iran",S2567)),"Iran",
ISNUMBER(SEARCH("Congo DR",S2567)),"Democratic Republic of the Congo",
ISNUMBER(SEARCH("DR Congo",S2567)),"Democratic Republic of the Congo",
ISNUMBER(SEARCH("German DR",S2567)),"DR Germany",
ISNUMBER(SEARCH("rn""&gt;United Arab Emirates",S2567)),"United Arab Emirates",
ISNUMBER(SEARCH("rn""&gt;Republic of Ireland",S2567)),"Ireland",
ISNUMBER(SEARCH("rn""&gt;Bosnia and Herzegovina",S2567)),"Bosnia and Herzegovina",
ISNUMBER(SEARCH("rn""&gt;Trinidad and Tobago",S2567)),"Trinidad and Tobago",
ISNUMBER(SEARCH("rn""&gt;Serbia and Montenegro",S2567)),"Serbia and Montenegro",
ISNUMBER(SEARCH(_xlfn.UNICHAR(65533),S2567)),"Côte d'Ivoire",
TRUE,""
)</f>
        <v>FR Germany</v>
      </c>
      <c r="W2567" s="40" t="str">
        <f t="shared" si="192"/>
        <v>FR Germany</v>
      </c>
    </row>
    <row r="2568" spans="2:23">
      <c r="B2568" s="76" t="str">
        <v>2018.0</v>
      </c>
      <c r="C2568" s="42" t="str">
        <v>23 Jun 2018 - 18:00</v>
      </c>
      <c r="D2568" s="42" t="str">
        <v>group stage</v>
      </c>
      <c r="E2568" s="42" t="str">
        <v>Rostov Arena</v>
      </c>
      <c r="F2568" s="42" t="str">
        <v>Rostov-on-Don</v>
      </c>
      <c r="G2568" s="42" t="str">
        <v>South Korea</v>
      </c>
      <c r="H2568" s="42" t="str">
        <v>1.0</v>
      </c>
      <c r="I2568" s="42" t="str">
        <v>2.0</v>
      </c>
      <c r="J2568" s="42" t="str">
        <v>Mexico</v>
      </c>
      <c r="K2568" s="42" t="str">
        <v xml:space="preserve"> </v>
      </c>
      <c r="L2568" s="42" t="str">
        <f t="shared" si="189"/>
        <v xml:space="preserve">2018.0|23 Jun 2018 - 18:00|group stage|Rostov Arena|Rostov-on-Don|South Korea|1.0|2.0|Mexico| </v>
      </c>
      <c r="M2568" s="42" t="str">
        <f>IF(COUNTIF($L$1689:L2568,L2568)&gt;1,"DOUBLON","OK")</f>
        <v>OK</v>
      </c>
      <c r="S2568" s="40" t="str">
        <v>England</v>
      </c>
      <c r="T2568" s="40" t="str">
        <f t="shared" si="190"/>
        <v>ERREUR</v>
      </c>
      <c r="U2568" s="40" t="str">
        <f t="shared" si="191"/>
        <v>AUCUNE</v>
      </c>
      <c r="V2568" s="40" t="str" cm="1">
        <f t="array" ref="V2568">_xlfn.IFS(
ISNUMBER(SEARCH("USA",S2568)),"United States",
ISNUMBER(SEARCH("Republic of Ireland",S2568)),"Ireland",
ISNUMBER(SEARCH("Republic of Korea",S2568)),"South Korea",
ISNUMBER(SEARCH("Cape Verde",S2568)),"Cabo Verde",
ISNUMBER(SEARCH("Czechia",S2568)),"Czech Republic",
ISNUMBER(SEARCH("Türkiye",S2568)),"Turkey",
ISNUMBER(SEARCH("Ivory Coast",S2568)),"Côte d'Ivoire",
ISNUMBER(SEARCH("Korea Republic",S2568)),"South Korea",
ISNUMBER(SEARCH("Germany FR",S2568)),"FR Germany",
ISNUMBER(SEARCH("West Germany",S2568)),"FR Germany",
ISNUMBER(SEARCH("Germany DR",S2568)),"DR Germany",
ISNUMBER(SEARCH("Korea DPR",S2568)),"North Korea",
ISNUMBER(SEARCH("China PR",S2568)),"China",
ISNUMBER(SEARCH("IR Iran",S2568)),"Iran",
ISNUMBER(SEARCH("Congo DR",S2568)),"Democratic Republic of the Congo",
ISNUMBER(SEARCH("DR Congo",S2568)),"Democratic Republic of the Congo",
ISNUMBER(SEARCH("German DR",S2568)),"DR Germany",
ISNUMBER(SEARCH("rn""&gt;United Arab Emirates",S2568)),"United Arab Emirates",
ISNUMBER(SEARCH("rn""&gt;Republic of Ireland",S2568)),"Ireland",
ISNUMBER(SEARCH("rn""&gt;Bosnia and Herzegovina",S2568)),"Bosnia and Herzegovina",
ISNUMBER(SEARCH("rn""&gt;Trinidad and Tobago",S2568)),"Trinidad and Tobago",
ISNUMBER(SEARCH("rn""&gt;Serbia and Montenegro",S2568)),"Serbia and Montenegro",
ISNUMBER(SEARCH(_xlfn.UNICHAR(65533),S2568)),"Côte d'Ivoire",
TRUE,""
)</f>
        <v/>
      </c>
      <c r="W2568" s="40" t="str">
        <f t="shared" si="192"/>
        <v>England</v>
      </c>
    </row>
    <row r="2569" spans="2:23">
      <c r="B2569" s="76" t="str">
        <v>2018.0</v>
      </c>
      <c r="C2569" s="42" t="str">
        <v>23 Jun 2018 - 21:00</v>
      </c>
      <c r="D2569" s="42" t="str">
        <v>group stage</v>
      </c>
      <c r="E2569" s="42" t="str">
        <v>Fisht Olympic Stadium</v>
      </c>
      <c r="F2569" s="42" t="str">
        <v>Sochi</v>
      </c>
      <c r="G2569" s="42" t="str">
        <v>Germany</v>
      </c>
      <c r="H2569" s="42" t="str">
        <v>2.0</v>
      </c>
      <c r="I2569" s="42" t="str">
        <v>1.0</v>
      </c>
      <c r="J2569" s="42" t="str">
        <v>Sweden</v>
      </c>
      <c r="K2569" s="42" t="str">
        <v xml:space="preserve"> </v>
      </c>
      <c r="L2569" s="42" t="str">
        <f t="shared" si="189"/>
        <v xml:space="preserve">2018.0|23 Jun 2018 - 21:00|group stage|Fisht Olympic Stadium|Sochi|Germany|2.0|1.0|Sweden| </v>
      </c>
      <c r="M2569" s="42" t="str">
        <f>IF(COUNTIF($L$1689:L2569,L2569)&gt;1,"DOUBLON","OK")</f>
        <v>OK</v>
      </c>
      <c r="S2569" s="40" t="str">
        <v>Portugal</v>
      </c>
      <c r="T2569" s="40" t="str">
        <f t="shared" si="190"/>
        <v>OK</v>
      </c>
      <c r="U2569" s="40" t="str">
        <f t="shared" si="191"/>
        <v>-</v>
      </c>
      <c r="V2569" s="40" t="str" cm="1">
        <f t="array" ref="V2569">_xlfn.IFS(
ISNUMBER(SEARCH("USA",S2569)),"United States",
ISNUMBER(SEARCH("Republic of Ireland",S2569)),"Ireland",
ISNUMBER(SEARCH("Republic of Korea",S2569)),"South Korea",
ISNUMBER(SEARCH("Cape Verde",S2569)),"Cabo Verde",
ISNUMBER(SEARCH("Czechia",S2569)),"Czech Republic",
ISNUMBER(SEARCH("Türkiye",S2569)),"Turkey",
ISNUMBER(SEARCH("Ivory Coast",S2569)),"Côte d'Ivoire",
ISNUMBER(SEARCH("Korea Republic",S2569)),"South Korea",
ISNUMBER(SEARCH("Germany FR",S2569)),"FR Germany",
ISNUMBER(SEARCH("West Germany",S2569)),"FR Germany",
ISNUMBER(SEARCH("Germany DR",S2569)),"DR Germany",
ISNUMBER(SEARCH("Korea DPR",S2569)),"North Korea",
ISNUMBER(SEARCH("China PR",S2569)),"China",
ISNUMBER(SEARCH("IR Iran",S2569)),"Iran",
ISNUMBER(SEARCH("Congo DR",S2569)),"Democratic Republic of the Congo",
ISNUMBER(SEARCH("DR Congo",S2569)),"Democratic Republic of the Congo",
ISNUMBER(SEARCH("German DR",S2569)),"DR Germany",
ISNUMBER(SEARCH("rn""&gt;United Arab Emirates",S2569)),"United Arab Emirates",
ISNUMBER(SEARCH("rn""&gt;Republic of Ireland",S2569)),"Ireland",
ISNUMBER(SEARCH("rn""&gt;Bosnia and Herzegovina",S2569)),"Bosnia and Herzegovina",
ISNUMBER(SEARCH("rn""&gt;Trinidad and Tobago",S2569)),"Trinidad and Tobago",
ISNUMBER(SEARCH("rn""&gt;Serbia and Montenegro",S2569)),"Serbia and Montenegro",
ISNUMBER(SEARCH(_xlfn.UNICHAR(65533),S2569)),"Côte d'Ivoire",
TRUE,""
)</f>
        <v/>
      </c>
      <c r="W2569" s="40" t="str">
        <f t="shared" si="192"/>
        <v>Portugal</v>
      </c>
    </row>
    <row r="2570" spans="2:23">
      <c r="B2570" s="76" t="str">
        <v>2018.0</v>
      </c>
      <c r="C2570" s="42" t="str">
        <v>24 Jun 2018 - 15:00</v>
      </c>
      <c r="D2570" s="42" t="str">
        <v>group stage</v>
      </c>
      <c r="E2570" s="42" t="str">
        <v>Nizhny Novgorod Stadium</v>
      </c>
      <c r="F2570" s="42" t="str">
        <v>Nizhny Novgorod</v>
      </c>
      <c r="G2570" s="42" t="str">
        <v>England</v>
      </c>
      <c r="H2570" s="42" t="str">
        <v>6.0</v>
      </c>
      <c r="I2570" s="42" t="str">
        <v>1.0</v>
      </c>
      <c r="J2570" s="42" t="str">
        <v>Panama</v>
      </c>
      <c r="K2570" s="42" t="str">
        <v xml:space="preserve"> </v>
      </c>
      <c r="L2570" s="42" t="str">
        <f t="shared" si="189"/>
        <v xml:space="preserve">2018.0|24 Jun 2018 - 15:00|group stage|Nizhny Novgorod Stadium|Nizhny Novgorod|England|6.0|1.0|Panama| </v>
      </c>
      <c r="M2570" s="42" t="str">
        <f>IF(COUNTIF($L$1689:L2570,L2570)&gt;1,"DOUBLON","OK")</f>
        <v>OK</v>
      </c>
      <c r="S2570" s="40" t="str">
        <v>England</v>
      </c>
      <c r="T2570" s="40" t="str">
        <f t="shared" si="190"/>
        <v>ERREUR</v>
      </c>
      <c r="U2570" s="40" t="str">
        <f t="shared" si="191"/>
        <v>AUCUNE</v>
      </c>
      <c r="V2570" s="40" t="str" cm="1">
        <f t="array" ref="V2570">_xlfn.IFS(
ISNUMBER(SEARCH("USA",S2570)),"United States",
ISNUMBER(SEARCH("Republic of Ireland",S2570)),"Ireland",
ISNUMBER(SEARCH("Republic of Korea",S2570)),"South Korea",
ISNUMBER(SEARCH("Cape Verde",S2570)),"Cabo Verde",
ISNUMBER(SEARCH("Czechia",S2570)),"Czech Republic",
ISNUMBER(SEARCH("Türkiye",S2570)),"Turkey",
ISNUMBER(SEARCH("Ivory Coast",S2570)),"Côte d'Ivoire",
ISNUMBER(SEARCH("Korea Republic",S2570)),"South Korea",
ISNUMBER(SEARCH("Germany FR",S2570)),"FR Germany",
ISNUMBER(SEARCH("West Germany",S2570)),"FR Germany",
ISNUMBER(SEARCH("Germany DR",S2570)),"DR Germany",
ISNUMBER(SEARCH("Korea DPR",S2570)),"North Korea",
ISNUMBER(SEARCH("China PR",S2570)),"China",
ISNUMBER(SEARCH("IR Iran",S2570)),"Iran",
ISNUMBER(SEARCH("Congo DR",S2570)),"Democratic Republic of the Congo",
ISNUMBER(SEARCH("DR Congo",S2570)),"Democratic Republic of the Congo",
ISNUMBER(SEARCH("German DR",S2570)),"DR Germany",
ISNUMBER(SEARCH("rn""&gt;United Arab Emirates",S2570)),"United Arab Emirates",
ISNUMBER(SEARCH("rn""&gt;Republic of Ireland",S2570)),"Ireland",
ISNUMBER(SEARCH("rn""&gt;Bosnia and Herzegovina",S2570)),"Bosnia and Herzegovina",
ISNUMBER(SEARCH("rn""&gt;Trinidad and Tobago",S2570)),"Trinidad and Tobago",
ISNUMBER(SEARCH("rn""&gt;Serbia and Montenegro",S2570)),"Serbia and Montenegro",
ISNUMBER(SEARCH(_xlfn.UNICHAR(65533),S2570)),"Côte d'Ivoire",
TRUE,""
)</f>
        <v/>
      </c>
      <c r="W2570" s="40" t="str">
        <f t="shared" si="192"/>
        <v>England</v>
      </c>
    </row>
    <row r="2571" spans="2:23">
      <c r="B2571" s="76" t="str">
        <v>2018.0</v>
      </c>
      <c r="C2571" s="42" t="str">
        <v>24 Jun 2018 - 20:00</v>
      </c>
      <c r="D2571" s="42" t="str">
        <v>group stage</v>
      </c>
      <c r="E2571" s="42" t="str">
        <v>Central Stadium</v>
      </c>
      <c r="F2571" s="42" t="str">
        <v>Yekaterinburg</v>
      </c>
      <c r="G2571" s="42" t="str">
        <v>Japan</v>
      </c>
      <c r="H2571" s="42" t="str">
        <v>2.0</v>
      </c>
      <c r="I2571" s="42" t="str">
        <v>2.0</v>
      </c>
      <c r="J2571" s="42" t="str">
        <v>Senegal</v>
      </c>
      <c r="K2571" s="42" t="str">
        <v xml:space="preserve"> </v>
      </c>
      <c r="L2571" s="42" t="str">
        <f t="shared" si="189"/>
        <v xml:space="preserve">2018.0|24 Jun 2018 - 20:00|group stage|Central Stadium|Yekaterinburg|Japan|2.0|2.0|Senegal| </v>
      </c>
      <c r="M2571" s="42" t="str">
        <f>IF(COUNTIF($L$1689:L2571,L2571)&gt;1,"DOUBLON","OK")</f>
        <v>OK</v>
      </c>
      <c r="S2571" s="40" t="str">
        <v>Mexico</v>
      </c>
      <c r="T2571" s="40" t="str">
        <f t="shared" si="190"/>
        <v>OK</v>
      </c>
      <c r="U2571" s="40" t="str">
        <f t="shared" si="191"/>
        <v>-</v>
      </c>
      <c r="V2571" s="40" t="str" cm="1">
        <f t="array" ref="V2571">_xlfn.IFS(
ISNUMBER(SEARCH("USA",S2571)),"United States",
ISNUMBER(SEARCH("Republic of Ireland",S2571)),"Ireland",
ISNUMBER(SEARCH("Republic of Korea",S2571)),"South Korea",
ISNUMBER(SEARCH("Cape Verde",S2571)),"Cabo Verde",
ISNUMBER(SEARCH("Czechia",S2571)),"Czech Republic",
ISNUMBER(SEARCH("Türkiye",S2571)),"Turkey",
ISNUMBER(SEARCH("Ivory Coast",S2571)),"Côte d'Ivoire",
ISNUMBER(SEARCH("Korea Republic",S2571)),"South Korea",
ISNUMBER(SEARCH("Germany FR",S2571)),"FR Germany",
ISNUMBER(SEARCH("West Germany",S2571)),"FR Germany",
ISNUMBER(SEARCH("Germany DR",S2571)),"DR Germany",
ISNUMBER(SEARCH("Korea DPR",S2571)),"North Korea",
ISNUMBER(SEARCH("China PR",S2571)),"China",
ISNUMBER(SEARCH("IR Iran",S2571)),"Iran",
ISNUMBER(SEARCH("Congo DR",S2571)),"Democratic Republic of the Congo",
ISNUMBER(SEARCH("DR Congo",S2571)),"Democratic Republic of the Congo",
ISNUMBER(SEARCH("German DR",S2571)),"DR Germany",
ISNUMBER(SEARCH("rn""&gt;United Arab Emirates",S2571)),"United Arab Emirates",
ISNUMBER(SEARCH("rn""&gt;Republic of Ireland",S2571)),"Ireland",
ISNUMBER(SEARCH("rn""&gt;Bosnia and Herzegovina",S2571)),"Bosnia and Herzegovina",
ISNUMBER(SEARCH("rn""&gt;Trinidad and Tobago",S2571)),"Trinidad and Tobago",
ISNUMBER(SEARCH("rn""&gt;Serbia and Montenegro",S2571)),"Serbia and Montenegro",
ISNUMBER(SEARCH(_xlfn.UNICHAR(65533),S2571)),"Côte d'Ivoire",
TRUE,""
)</f>
        <v/>
      </c>
      <c r="W2571" s="40" t="str">
        <f t="shared" si="192"/>
        <v>Mexico</v>
      </c>
    </row>
    <row r="2572" spans="2:23">
      <c r="B2572" s="76" t="str">
        <v>2018.0</v>
      </c>
      <c r="C2572" s="42" t="str">
        <v>24 Jun 2018 - 21:00</v>
      </c>
      <c r="D2572" s="42" t="str">
        <v>group stage</v>
      </c>
      <c r="E2572" s="42" t="str">
        <v>Kazan Arena</v>
      </c>
      <c r="F2572" s="42" t="str">
        <v>Kazan</v>
      </c>
      <c r="G2572" s="42" t="str">
        <v>Poland</v>
      </c>
      <c r="H2572" s="42" t="str">
        <v>0.0</v>
      </c>
      <c r="I2572" s="42" t="str">
        <v>3.0</v>
      </c>
      <c r="J2572" s="42" t="str">
        <v>Colombia</v>
      </c>
      <c r="K2572" s="42" t="str">
        <v xml:space="preserve"> </v>
      </c>
      <c r="L2572" s="42" t="str">
        <f t="shared" si="189"/>
        <v xml:space="preserve">2018.0|24 Jun 2018 - 21:00|group stage|Kazan Arena|Kazan|Poland|0.0|3.0|Colombia| </v>
      </c>
      <c r="M2572" s="42" t="str">
        <f>IF(COUNTIF($L$1689:L2572,L2572)&gt;1,"DOUBLON","OK")</f>
        <v>OK</v>
      </c>
      <c r="S2572" s="40" t="str">
        <v>Uruguay</v>
      </c>
      <c r="T2572" s="40" t="str">
        <f t="shared" si="190"/>
        <v>OK</v>
      </c>
      <c r="U2572" s="40" t="str">
        <f t="shared" si="191"/>
        <v>-</v>
      </c>
      <c r="V2572" s="40" t="str" cm="1">
        <f t="array" ref="V2572">_xlfn.IFS(
ISNUMBER(SEARCH("USA",S2572)),"United States",
ISNUMBER(SEARCH("Republic of Ireland",S2572)),"Ireland",
ISNUMBER(SEARCH("Republic of Korea",S2572)),"South Korea",
ISNUMBER(SEARCH("Cape Verde",S2572)),"Cabo Verde",
ISNUMBER(SEARCH("Czechia",S2572)),"Czech Republic",
ISNUMBER(SEARCH("Türkiye",S2572)),"Turkey",
ISNUMBER(SEARCH("Ivory Coast",S2572)),"Côte d'Ivoire",
ISNUMBER(SEARCH("Korea Republic",S2572)),"South Korea",
ISNUMBER(SEARCH("Germany FR",S2572)),"FR Germany",
ISNUMBER(SEARCH("West Germany",S2572)),"FR Germany",
ISNUMBER(SEARCH("Germany DR",S2572)),"DR Germany",
ISNUMBER(SEARCH("Korea DPR",S2572)),"North Korea",
ISNUMBER(SEARCH("China PR",S2572)),"China",
ISNUMBER(SEARCH("IR Iran",S2572)),"Iran",
ISNUMBER(SEARCH("Congo DR",S2572)),"Democratic Republic of the Congo",
ISNUMBER(SEARCH("DR Congo",S2572)),"Democratic Republic of the Congo",
ISNUMBER(SEARCH("German DR",S2572)),"DR Germany",
ISNUMBER(SEARCH("rn""&gt;United Arab Emirates",S2572)),"United Arab Emirates",
ISNUMBER(SEARCH("rn""&gt;Republic of Ireland",S2572)),"Ireland",
ISNUMBER(SEARCH("rn""&gt;Bosnia and Herzegovina",S2572)),"Bosnia and Herzegovina",
ISNUMBER(SEARCH("rn""&gt;Trinidad and Tobago",S2572)),"Trinidad and Tobago",
ISNUMBER(SEARCH("rn""&gt;Serbia and Montenegro",S2572)),"Serbia and Montenegro",
ISNUMBER(SEARCH(_xlfn.UNICHAR(65533),S2572)),"Côte d'Ivoire",
TRUE,""
)</f>
        <v/>
      </c>
      <c r="W2572" s="40" t="str">
        <f t="shared" si="192"/>
        <v>Uruguay</v>
      </c>
    </row>
    <row r="2573" spans="2:23">
      <c r="B2573" s="76" t="str">
        <v>2018.0</v>
      </c>
      <c r="C2573" s="42" t="str">
        <v>25 Jun 2018 - 17:00</v>
      </c>
      <c r="D2573" s="42" t="str">
        <v>group stage</v>
      </c>
      <c r="E2573" s="42" t="str">
        <v>Volgograd Arena</v>
      </c>
      <c r="F2573" s="42" t="str">
        <v>Volgograd</v>
      </c>
      <c r="G2573" s="42" t="str">
        <v>Saudi Arabia</v>
      </c>
      <c r="H2573" s="42" t="str">
        <v>2.0</v>
      </c>
      <c r="I2573" s="42" t="str">
        <v>1.0</v>
      </c>
      <c r="J2573" s="42" t="str">
        <v>Egypt</v>
      </c>
      <c r="K2573" s="42" t="str">
        <v xml:space="preserve"> </v>
      </c>
      <c r="L2573" s="42" t="str">
        <f t="shared" si="189"/>
        <v xml:space="preserve">2018.0|25 Jun 2018 - 17:00|group stage|Volgograd Arena|Volgograd|Saudi Arabia|2.0|1.0|Egypt| </v>
      </c>
      <c r="M2573" s="42" t="str">
        <f>IF(COUNTIF($L$1689:L2573,L2573)&gt;1,"DOUBLON","OK")</f>
        <v>OK</v>
      </c>
      <c r="S2573" s="40" t="str">
        <v>Peru</v>
      </c>
      <c r="T2573" s="40" t="str">
        <f t="shared" si="190"/>
        <v>OK</v>
      </c>
      <c r="U2573" s="40" t="str">
        <f t="shared" si="191"/>
        <v>-</v>
      </c>
      <c r="V2573" s="40" t="str" cm="1">
        <f t="array" ref="V2573">_xlfn.IFS(
ISNUMBER(SEARCH("USA",S2573)),"United States",
ISNUMBER(SEARCH("Republic of Ireland",S2573)),"Ireland",
ISNUMBER(SEARCH("Republic of Korea",S2573)),"South Korea",
ISNUMBER(SEARCH("Cape Verde",S2573)),"Cabo Verde",
ISNUMBER(SEARCH("Czechia",S2573)),"Czech Republic",
ISNUMBER(SEARCH("Türkiye",S2573)),"Turkey",
ISNUMBER(SEARCH("Ivory Coast",S2573)),"Côte d'Ivoire",
ISNUMBER(SEARCH("Korea Republic",S2573)),"South Korea",
ISNUMBER(SEARCH("Germany FR",S2573)),"FR Germany",
ISNUMBER(SEARCH("West Germany",S2573)),"FR Germany",
ISNUMBER(SEARCH("Germany DR",S2573)),"DR Germany",
ISNUMBER(SEARCH("Korea DPR",S2573)),"North Korea",
ISNUMBER(SEARCH("China PR",S2573)),"China",
ISNUMBER(SEARCH("IR Iran",S2573)),"Iran",
ISNUMBER(SEARCH("Congo DR",S2573)),"Democratic Republic of the Congo",
ISNUMBER(SEARCH("DR Congo",S2573)),"Democratic Republic of the Congo",
ISNUMBER(SEARCH("German DR",S2573)),"DR Germany",
ISNUMBER(SEARCH("rn""&gt;United Arab Emirates",S2573)),"United Arab Emirates",
ISNUMBER(SEARCH("rn""&gt;Republic of Ireland",S2573)),"Ireland",
ISNUMBER(SEARCH("rn""&gt;Bosnia and Herzegovina",S2573)),"Bosnia and Herzegovina",
ISNUMBER(SEARCH("rn""&gt;Trinidad and Tobago",S2573)),"Trinidad and Tobago",
ISNUMBER(SEARCH("rn""&gt;Serbia and Montenegro",S2573)),"Serbia and Montenegro",
ISNUMBER(SEARCH(_xlfn.UNICHAR(65533),S2573)),"Côte d'Ivoire",
TRUE,""
)</f>
        <v/>
      </c>
      <c r="W2573" s="40" t="str">
        <f t="shared" si="192"/>
        <v>Peru</v>
      </c>
    </row>
    <row r="2574" spans="2:23">
      <c r="B2574" s="76" t="str">
        <v>2018.0</v>
      </c>
      <c r="C2574" s="42" t="str">
        <v>25 Jun 2018 - 18:00</v>
      </c>
      <c r="D2574" s="42" t="str">
        <v>group stage</v>
      </c>
      <c r="E2574" s="42" t="str">
        <v>Samara Arena</v>
      </c>
      <c r="F2574" s="42" t="str">
        <v>Samara</v>
      </c>
      <c r="G2574" s="42" t="str">
        <v>Uruguay</v>
      </c>
      <c r="H2574" s="42" t="str">
        <v>3.0</v>
      </c>
      <c r="I2574" s="42" t="str">
        <v>0.0</v>
      </c>
      <c r="J2574" s="42" t="str">
        <v>Russia</v>
      </c>
      <c r="K2574" s="42" t="str">
        <v xml:space="preserve"> </v>
      </c>
      <c r="L2574" s="42" t="str">
        <f t="shared" si="189"/>
        <v xml:space="preserve">2018.0|25 Jun 2018 - 18:00|group stage|Samara Arena|Samara|Uruguay|3.0|0.0|Russia| </v>
      </c>
      <c r="M2574" s="42" t="str">
        <f>IF(COUNTIF($L$1689:L2574,L2574)&gt;1,"DOUBLON","OK")</f>
        <v>OK</v>
      </c>
      <c r="S2574" s="40" t="str">
        <v>England</v>
      </c>
      <c r="T2574" s="40" t="str">
        <f t="shared" si="190"/>
        <v>ERREUR</v>
      </c>
      <c r="U2574" s="40" t="str">
        <f t="shared" si="191"/>
        <v>AUCUNE</v>
      </c>
      <c r="V2574" s="40" t="str" cm="1">
        <f t="array" ref="V2574">_xlfn.IFS(
ISNUMBER(SEARCH("USA",S2574)),"United States",
ISNUMBER(SEARCH("Republic of Ireland",S2574)),"Ireland",
ISNUMBER(SEARCH("Republic of Korea",S2574)),"South Korea",
ISNUMBER(SEARCH("Cape Verde",S2574)),"Cabo Verde",
ISNUMBER(SEARCH("Czechia",S2574)),"Czech Republic",
ISNUMBER(SEARCH("Türkiye",S2574)),"Turkey",
ISNUMBER(SEARCH("Ivory Coast",S2574)),"Côte d'Ivoire",
ISNUMBER(SEARCH("Korea Republic",S2574)),"South Korea",
ISNUMBER(SEARCH("Germany FR",S2574)),"FR Germany",
ISNUMBER(SEARCH("West Germany",S2574)),"FR Germany",
ISNUMBER(SEARCH("Germany DR",S2574)),"DR Germany",
ISNUMBER(SEARCH("Korea DPR",S2574)),"North Korea",
ISNUMBER(SEARCH("China PR",S2574)),"China",
ISNUMBER(SEARCH("IR Iran",S2574)),"Iran",
ISNUMBER(SEARCH("Congo DR",S2574)),"Democratic Republic of the Congo",
ISNUMBER(SEARCH("DR Congo",S2574)),"Democratic Republic of the Congo",
ISNUMBER(SEARCH("German DR",S2574)),"DR Germany",
ISNUMBER(SEARCH("rn""&gt;United Arab Emirates",S2574)),"United Arab Emirates",
ISNUMBER(SEARCH("rn""&gt;Republic of Ireland",S2574)),"Ireland",
ISNUMBER(SEARCH("rn""&gt;Bosnia and Herzegovina",S2574)),"Bosnia and Herzegovina",
ISNUMBER(SEARCH("rn""&gt;Trinidad and Tobago",S2574)),"Trinidad and Tobago",
ISNUMBER(SEARCH("rn""&gt;Serbia and Montenegro",S2574)),"Serbia and Montenegro",
ISNUMBER(SEARCH(_xlfn.UNICHAR(65533),S2574)),"Côte d'Ivoire",
TRUE,""
)</f>
        <v/>
      </c>
      <c r="W2574" s="40" t="str">
        <f t="shared" si="192"/>
        <v>England</v>
      </c>
    </row>
    <row r="2575" spans="2:23">
      <c r="B2575" s="76" t="str">
        <v>2018.0</v>
      </c>
      <c r="C2575" s="42" t="str">
        <v>25 Jun 2018 - 20:00</v>
      </c>
      <c r="D2575" s="42" t="str">
        <v>group stage</v>
      </c>
      <c r="E2575" s="42" t="str">
        <v>Kaliningrad Stadium</v>
      </c>
      <c r="F2575" s="42" t="str">
        <v>Kaliningrad</v>
      </c>
      <c r="G2575" s="42" t="str">
        <v>Spain</v>
      </c>
      <c r="H2575" s="42" t="str">
        <v>2.0</v>
      </c>
      <c r="I2575" s="42" t="str">
        <v>2.0</v>
      </c>
      <c r="J2575" s="42" t="str">
        <v>Morocco</v>
      </c>
      <c r="K2575" s="42" t="str">
        <v xml:space="preserve"> </v>
      </c>
      <c r="L2575" s="42" t="str">
        <f t="shared" si="189"/>
        <v xml:space="preserve">2018.0|25 Jun 2018 - 20:00|group stage|Kaliningrad Stadium|Kaliningrad|Spain|2.0|2.0|Morocco| </v>
      </c>
      <c r="M2575" s="42" t="str">
        <f>IF(COUNTIF($L$1689:L2575,L2575)&gt;1,"DOUBLON","OK")</f>
        <v>OK</v>
      </c>
      <c r="S2575" s="40" t="str">
        <v>Italy</v>
      </c>
      <c r="T2575" s="40" t="str">
        <f t="shared" si="190"/>
        <v>OK</v>
      </c>
      <c r="U2575" s="40" t="str">
        <f t="shared" si="191"/>
        <v>-</v>
      </c>
      <c r="V2575" s="40" t="str" cm="1">
        <f t="array" ref="V2575">_xlfn.IFS(
ISNUMBER(SEARCH("USA",S2575)),"United States",
ISNUMBER(SEARCH("Republic of Ireland",S2575)),"Ireland",
ISNUMBER(SEARCH("Republic of Korea",S2575)),"South Korea",
ISNUMBER(SEARCH("Cape Verde",S2575)),"Cabo Verde",
ISNUMBER(SEARCH("Czechia",S2575)),"Czech Republic",
ISNUMBER(SEARCH("Türkiye",S2575)),"Turkey",
ISNUMBER(SEARCH("Ivory Coast",S2575)),"Côte d'Ivoire",
ISNUMBER(SEARCH("Korea Republic",S2575)),"South Korea",
ISNUMBER(SEARCH("Germany FR",S2575)),"FR Germany",
ISNUMBER(SEARCH("West Germany",S2575)),"FR Germany",
ISNUMBER(SEARCH("Germany DR",S2575)),"DR Germany",
ISNUMBER(SEARCH("Korea DPR",S2575)),"North Korea",
ISNUMBER(SEARCH("China PR",S2575)),"China",
ISNUMBER(SEARCH("IR Iran",S2575)),"Iran",
ISNUMBER(SEARCH("Congo DR",S2575)),"Democratic Republic of the Congo",
ISNUMBER(SEARCH("DR Congo",S2575)),"Democratic Republic of the Congo",
ISNUMBER(SEARCH("German DR",S2575)),"DR Germany",
ISNUMBER(SEARCH("rn""&gt;United Arab Emirates",S2575)),"United Arab Emirates",
ISNUMBER(SEARCH("rn""&gt;Republic of Ireland",S2575)),"Ireland",
ISNUMBER(SEARCH("rn""&gt;Bosnia and Herzegovina",S2575)),"Bosnia and Herzegovina",
ISNUMBER(SEARCH("rn""&gt;Trinidad and Tobago",S2575)),"Trinidad and Tobago",
ISNUMBER(SEARCH("rn""&gt;Serbia and Montenegro",S2575)),"Serbia and Montenegro",
ISNUMBER(SEARCH(_xlfn.UNICHAR(65533),S2575)),"Côte d'Ivoire",
TRUE,""
)</f>
        <v/>
      </c>
      <c r="W2575" s="40" t="str">
        <f t="shared" si="192"/>
        <v>Italy</v>
      </c>
    </row>
    <row r="2576" spans="2:23">
      <c r="B2576" s="76" t="str">
        <v>2018.0</v>
      </c>
      <c r="C2576" s="42" t="str">
        <v>25 Jun 2018 - 21:00</v>
      </c>
      <c r="D2576" s="42" t="str">
        <v>group stage</v>
      </c>
      <c r="E2576" s="42" t="str">
        <v>Mordovia Arena</v>
      </c>
      <c r="F2576" s="42" t="str">
        <v>Saransk</v>
      </c>
      <c r="G2576" s="42" t="str">
        <v>Iran</v>
      </c>
      <c r="H2576" s="42" t="str">
        <v>1.0</v>
      </c>
      <c r="I2576" s="42" t="str">
        <v>1.0</v>
      </c>
      <c r="J2576" s="42" t="str">
        <v>Portugal</v>
      </c>
      <c r="K2576" s="42" t="str">
        <v xml:space="preserve"> </v>
      </c>
      <c r="L2576" s="42" t="str">
        <f t="shared" si="189"/>
        <v xml:space="preserve">2018.0|25 Jun 2018 - 21:00|group stage|Mordovia Arena|Saransk|Iran|1.0|1.0|Portugal| </v>
      </c>
      <c r="M2576" s="42" t="str">
        <f>IF(COUNTIF($L$1689:L2576,L2576)&gt;1,"DOUBLON","OK")</f>
        <v>OK</v>
      </c>
      <c r="S2576" s="40" t="str">
        <v>Germany FR</v>
      </c>
      <c r="T2576" s="40" t="str">
        <f t="shared" si="190"/>
        <v>ERREUR</v>
      </c>
      <c r="U2576" s="40" t="str">
        <f t="shared" si="191"/>
        <v>RENOMMER</v>
      </c>
      <c r="V2576" s="40" t="str" cm="1">
        <f t="array" ref="V2576">_xlfn.IFS(
ISNUMBER(SEARCH("USA",S2576)),"United States",
ISNUMBER(SEARCH("Republic of Ireland",S2576)),"Ireland",
ISNUMBER(SEARCH("Republic of Korea",S2576)),"South Korea",
ISNUMBER(SEARCH("Cape Verde",S2576)),"Cabo Verde",
ISNUMBER(SEARCH("Czechia",S2576)),"Czech Republic",
ISNUMBER(SEARCH("Türkiye",S2576)),"Turkey",
ISNUMBER(SEARCH("Ivory Coast",S2576)),"Côte d'Ivoire",
ISNUMBER(SEARCH("Korea Republic",S2576)),"South Korea",
ISNUMBER(SEARCH("Germany FR",S2576)),"FR Germany",
ISNUMBER(SEARCH("West Germany",S2576)),"FR Germany",
ISNUMBER(SEARCH("Germany DR",S2576)),"DR Germany",
ISNUMBER(SEARCH("Korea DPR",S2576)),"North Korea",
ISNUMBER(SEARCH("China PR",S2576)),"China",
ISNUMBER(SEARCH("IR Iran",S2576)),"Iran",
ISNUMBER(SEARCH("Congo DR",S2576)),"Democratic Republic of the Congo",
ISNUMBER(SEARCH("DR Congo",S2576)),"Democratic Republic of the Congo",
ISNUMBER(SEARCH("German DR",S2576)),"DR Germany",
ISNUMBER(SEARCH("rn""&gt;United Arab Emirates",S2576)),"United Arab Emirates",
ISNUMBER(SEARCH("rn""&gt;Republic of Ireland",S2576)),"Ireland",
ISNUMBER(SEARCH("rn""&gt;Bosnia and Herzegovina",S2576)),"Bosnia and Herzegovina",
ISNUMBER(SEARCH("rn""&gt;Trinidad and Tobago",S2576)),"Trinidad and Tobago",
ISNUMBER(SEARCH("rn""&gt;Serbia and Montenegro",S2576)),"Serbia and Montenegro",
ISNUMBER(SEARCH(_xlfn.UNICHAR(65533),S2576)),"Côte d'Ivoire",
TRUE,""
)</f>
        <v>FR Germany</v>
      </c>
      <c r="W2576" s="40" t="str">
        <f t="shared" si="192"/>
        <v>FR Germany</v>
      </c>
    </row>
    <row r="2577" spans="2:23">
      <c r="B2577" s="76" t="str">
        <v>2018.0</v>
      </c>
      <c r="C2577" s="42" t="str">
        <v>26 Jun 2018 - 17:00</v>
      </c>
      <c r="D2577" s="42" t="str">
        <v>group stage</v>
      </c>
      <c r="E2577" s="42" t="str">
        <v>Fisht Olympic Stadium</v>
      </c>
      <c r="F2577" s="42" t="str">
        <v>Sochi</v>
      </c>
      <c r="G2577" s="42" t="str">
        <v>Australia</v>
      </c>
      <c r="H2577" s="42" t="str">
        <v>0.0</v>
      </c>
      <c r="I2577" s="42" t="str">
        <v>2.0</v>
      </c>
      <c r="J2577" s="42" t="str">
        <v>Peru</v>
      </c>
      <c r="K2577" s="42" t="str">
        <v xml:space="preserve"> </v>
      </c>
      <c r="L2577" s="42" t="str">
        <f t="shared" si="189"/>
        <v xml:space="preserve">2018.0|26 Jun 2018 - 17:00|group stage|Fisht Olympic Stadium|Sochi|Australia|0.0|2.0|Peru| </v>
      </c>
      <c r="M2577" s="42" t="str">
        <f>IF(COUNTIF($L$1689:L2577,L2577)&gt;1,"DOUBLON","OK")</f>
        <v>OK</v>
      </c>
      <c r="S2577" s="40" t="str">
        <v>Brazil</v>
      </c>
      <c r="T2577" s="40" t="str">
        <f t="shared" si="190"/>
        <v>OK</v>
      </c>
      <c r="U2577" s="40" t="str">
        <f t="shared" si="191"/>
        <v>-</v>
      </c>
      <c r="V2577" s="40" t="str" cm="1">
        <f t="array" ref="V2577">_xlfn.IFS(
ISNUMBER(SEARCH("USA",S2577)),"United States",
ISNUMBER(SEARCH("Republic of Ireland",S2577)),"Ireland",
ISNUMBER(SEARCH("Republic of Korea",S2577)),"South Korea",
ISNUMBER(SEARCH("Cape Verde",S2577)),"Cabo Verde",
ISNUMBER(SEARCH("Czechia",S2577)),"Czech Republic",
ISNUMBER(SEARCH("Türkiye",S2577)),"Turkey",
ISNUMBER(SEARCH("Ivory Coast",S2577)),"Côte d'Ivoire",
ISNUMBER(SEARCH("Korea Republic",S2577)),"South Korea",
ISNUMBER(SEARCH("Germany FR",S2577)),"FR Germany",
ISNUMBER(SEARCH("West Germany",S2577)),"FR Germany",
ISNUMBER(SEARCH("Germany DR",S2577)),"DR Germany",
ISNUMBER(SEARCH("Korea DPR",S2577)),"North Korea",
ISNUMBER(SEARCH("China PR",S2577)),"China",
ISNUMBER(SEARCH("IR Iran",S2577)),"Iran",
ISNUMBER(SEARCH("Congo DR",S2577)),"Democratic Republic of the Congo",
ISNUMBER(SEARCH("DR Congo",S2577)),"Democratic Republic of the Congo",
ISNUMBER(SEARCH("German DR",S2577)),"DR Germany",
ISNUMBER(SEARCH("rn""&gt;United Arab Emirates",S2577)),"United Arab Emirates",
ISNUMBER(SEARCH("rn""&gt;Republic of Ireland",S2577)),"Ireland",
ISNUMBER(SEARCH("rn""&gt;Bosnia and Herzegovina",S2577)),"Bosnia and Herzegovina",
ISNUMBER(SEARCH("rn""&gt;Trinidad and Tobago",S2577)),"Trinidad and Tobago",
ISNUMBER(SEARCH("rn""&gt;Serbia and Montenegro",S2577)),"Serbia and Montenegro",
ISNUMBER(SEARCH(_xlfn.UNICHAR(65533),S2577)),"Côte d'Ivoire",
TRUE,""
)</f>
        <v/>
      </c>
      <c r="W2577" s="40" t="str">
        <f t="shared" si="192"/>
        <v>Brazil</v>
      </c>
    </row>
    <row r="2578" spans="2:23">
      <c r="B2578" s="76" t="str">
        <v>2018.0</v>
      </c>
      <c r="C2578" s="42" t="str">
        <v>26 Jun 2018 - 17:00</v>
      </c>
      <c r="D2578" s="42" t="str">
        <v>group stage</v>
      </c>
      <c r="E2578" s="42" t="str">
        <v>Luzhniki Stadium</v>
      </c>
      <c r="F2578" s="42" t="str">
        <v>Moscow</v>
      </c>
      <c r="G2578" s="42" t="str">
        <v>Denmark</v>
      </c>
      <c r="H2578" s="42" t="str">
        <v>0.0</v>
      </c>
      <c r="I2578" s="42" t="str">
        <v>0.0</v>
      </c>
      <c r="J2578" s="42" t="str">
        <v>France</v>
      </c>
      <c r="K2578" s="42" t="str">
        <v xml:space="preserve"> </v>
      </c>
      <c r="L2578" s="42" t="str">
        <f t="shared" si="189"/>
        <v xml:space="preserve">2018.0|26 Jun 2018 - 17:00|group stage|Luzhniki Stadium|Moscow|Denmark|0.0|0.0|France| </v>
      </c>
      <c r="M2578" s="42" t="str">
        <f>IF(COUNTIF($L$1689:L2578,L2578)&gt;1,"DOUBLON","OK")</f>
        <v>OK</v>
      </c>
      <c r="S2578" s="40" t="str">
        <v>Belgium</v>
      </c>
      <c r="T2578" s="40" t="str">
        <f t="shared" si="190"/>
        <v>OK</v>
      </c>
      <c r="U2578" s="40" t="str">
        <f t="shared" si="191"/>
        <v>-</v>
      </c>
      <c r="V2578" s="40" t="str" cm="1">
        <f t="array" ref="V2578">_xlfn.IFS(
ISNUMBER(SEARCH("USA",S2578)),"United States",
ISNUMBER(SEARCH("Republic of Ireland",S2578)),"Ireland",
ISNUMBER(SEARCH("Republic of Korea",S2578)),"South Korea",
ISNUMBER(SEARCH("Cape Verde",S2578)),"Cabo Verde",
ISNUMBER(SEARCH("Czechia",S2578)),"Czech Republic",
ISNUMBER(SEARCH("Türkiye",S2578)),"Turkey",
ISNUMBER(SEARCH("Ivory Coast",S2578)),"Côte d'Ivoire",
ISNUMBER(SEARCH("Korea Republic",S2578)),"South Korea",
ISNUMBER(SEARCH("Germany FR",S2578)),"FR Germany",
ISNUMBER(SEARCH("West Germany",S2578)),"FR Germany",
ISNUMBER(SEARCH("Germany DR",S2578)),"DR Germany",
ISNUMBER(SEARCH("Korea DPR",S2578)),"North Korea",
ISNUMBER(SEARCH("China PR",S2578)),"China",
ISNUMBER(SEARCH("IR Iran",S2578)),"Iran",
ISNUMBER(SEARCH("Congo DR",S2578)),"Democratic Republic of the Congo",
ISNUMBER(SEARCH("DR Congo",S2578)),"Democratic Republic of the Congo",
ISNUMBER(SEARCH("German DR",S2578)),"DR Germany",
ISNUMBER(SEARCH("rn""&gt;United Arab Emirates",S2578)),"United Arab Emirates",
ISNUMBER(SEARCH("rn""&gt;Republic of Ireland",S2578)),"Ireland",
ISNUMBER(SEARCH("rn""&gt;Bosnia and Herzegovina",S2578)),"Bosnia and Herzegovina",
ISNUMBER(SEARCH("rn""&gt;Trinidad and Tobago",S2578)),"Trinidad and Tobago",
ISNUMBER(SEARCH("rn""&gt;Serbia and Montenegro",S2578)),"Serbia and Montenegro",
ISNUMBER(SEARCH(_xlfn.UNICHAR(65533),S2578)),"Côte d'Ivoire",
TRUE,""
)</f>
        <v/>
      </c>
      <c r="W2578" s="40" t="str">
        <f t="shared" si="192"/>
        <v>Belgium</v>
      </c>
    </row>
    <row r="2579" spans="2:23">
      <c r="B2579" s="76" t="str">
        <v>2018.0</v>
      </c>
      <c r="C2579" s="42" t="str">
        <v>26 Jun 2018 - 21:00</v>
      </c>
      <c r="D2579" s="42" t="str">
        <v>group stage</v>
      </c>
      <c r="E2579" s="42" t="str">
        <v>Rostov Arena</v>
      </c>
      <c r="F2579" s="42" t="str">
        <v>Rostov-on-Don</v>
      </c>
      <c r="G2579" s="42" t="str">
        <v>Iceland</v>
      </c>
      <c r="H2579" s="42" t="str">
        <v>1.0</v>
      </c>
      <c r="I2579" s="42" t="str">
        <v>2.0</v>
      </c>
      <c r="J2579" s="42" t="str">
        <v>Croatia</v>
      </c>
      <c r="K2579" s="42" t="str">
        <v xml:space="preserve"> </v>
      </c>
      <c r="L2579" s="42" t="str">
        <f t="shared" si="189"/>
        <v xml:space="preserve">2018.0|26 Jun 2018 - 21:00|group stage|Rostov Arena|Rostov-on-Don|Iceland|1.0|2.0|Croatia| </v>
      </c>
      <c r="M2579" s="42" t="str">
        <f>IF(COUNTIF($L$1689:L2579,L2579)&gt;1,"DOUBLON","OK")</f>
        <v>OK</v>
      </c>
      <c r="S2579" s="40" t="str">
        <v>Uruguay</v>
      </c>
      <c r="T2579" s="40" t="str">
        <f t="shared" si="190"/>
        <v>OK</v>
      </c>
      <c r="U2579" s="40" t="str">
        <f t="shared" si="191"/>
        <v>-</v>
      </c>
      <c r="V2579" s="40" t="str" cm="1">
        <f t="array" ref="V2579">_xlfn.IFS(
ISNUMBER(SEARCH("USA",S2579)),"United States",
ISNUMBER(SEARCH("Republic of Ireland",S2579)),"Ireland",
ISNUMBER(SEARCH("Republic of Korea",S2579)),"South Korea",
ISNUMBER(SEARCH("Cape Verde",S2579)),"Cabo Verde",
ISNUMBER(SEARCH("Czechia",S2579)),"Czech Republic",
ISNUMBER(SEARCH("Türkiye",S2579)),"Turkey",
ISNUMBER(SEARCH("Ivory Coast",S2579)),"Côte d'Ivoire",
ISNUMBER(SEARCH("Korea Republic",S2579)),"South Korea",
ISNUMBER(SEARCH("Germany FR",S2579)),"FR Germany",
ISNUMBER(SEARCH("West Germany",S2579)),"FR Germany",
ISNUMBER(SEARCH("Germany DR",S2579)),"DR Germany",
ISNUMBER(SEARCH("Korea DPR",S2579)),"North Korea",
ISNUMBER(SEARCH("China PR",S2579)),"China",
ISNUMBER(SEARCH("IR Iran",S2579)),"Iran",
ISNUMBER(SEARCH("Congo DR",S2579)),"Democratic Republic of the Congo",
ISNUMBER(SEARCH("DR Congo",S2579)),"Democratic Republic of the Congo",
ISNUMBER(SEARCH("German DR",S2579)),"DR Germany",
ISNUMBER(SEARCH("rn""&gt;United Arab Emirates",S2579)),"United Arab Emirates",
ISNUMBER(SEARCH("rn""&gt;Republic of Ireland",S2579)),"Ireland",
ISNUMBER(SEARCH("rn""&gt;Bosnia and Herzegovina",S2579)),"Bosnia and Herzegovina",
ISNUMBER(SEARCH("rn""&gt;Trinidad and Tobago",S2579)),"Trinidad and Tobago",
ISNUMBER(SEARCH("rn""&gt;Serbia and Montenegro",S2579)),"Serbia and Montenegro",
ISNUMBER(SEARCH(_xlfn.UNICHAR(65533),S2579)),"Côte d'Ivoire",
TRUE,""
)</f>
        <v/>
      </c>
      <c r="W2579" s="40" t="str">
        <f t="shared" si="192"/>
        <v>Uruguay</v>
      </c>
    </row>
    <row r="2580" spans="2:23">
      <c r="B2580" s="76" t="str">
        <v>2018.0</v>
      </c>
      <c r="C2580" s="42" t="str">
        <v>26 Jun 2018 - 21:00</v>
      </c>
      <c r="D2580" s="42" t="str">
        <v>group stage</v>
      </c>
      <c r="E2580" s="42" t="str">
        <v>Krestovsky Stadium</v>
      </c>
      <c r="F2580" s="42" t="str">
        <v>Saint Petersburg</v>
      </c>
      <c r="G2580" s="42" t="str">
        <v>Nigeria</v>
      </c>
      <c r="H2580" s="42" t="str">
        <v>1.0</v>
      </c>
      <c r="I2580" s="42" t="str">
        <v>2.0</v>
      </c>
      <c r="J2580" s="42" t="str">
        <v>Argentina</v>
      </c>
      <c r="K2580" s="42" t="str">
        <v xml:space="preserve"> </v>
      </c>
      <c r="L2580" s="42" t="str">
        <f t="shared" si="189"/>
        <v xml:space="preserve">2018.0|26 Jun 2018 - 21:00|group stage|Krestovsky Stadium|Saint Petersburg|Nigeria|1.0|2.0|Argentina| </v>
      </c>
      <c r="M2580" s="42" t="str">
        <f>IF(COUNTIF($L$1689:L2580,L2580)&gt;1,"DOUBLON","OK")</f>
        <v>OK</v>
      </c>
      <c r="S2580" s="40" t="str">
        <v>Peru</v>
      </c>
      <c r="T2580" s="40" t="str">
        <f t="shared" si="190"/>
        <v>OK</v>
      </c>
      <c r="U2580" s="40" t="str">
        <f t="shared" si="191"/>
        <v>-</v>
      </c>
      <c r="V2580" s="40" t="str" cm="1">
        <f t="array" ref="V2580">_xlfn.IFS(
ISNUMBER(SEARCH("USA",S2580)),"United States",
ISNUMBER(SEARCH("Republic of Ireland",S2580)),"Ireland",
ISNUMBER(SEARCH("Republic of Korea",S2580)),"South Korea",
ISNUMBER(SEARCH("Cape Verde",S2580)),"Cabo Verde",
ISNUMBER(SEARCH("Czechia",S2580)),"Czech Republic",
ISNUMBER(SEARCH("Türkiye",S2580)),"Turkey",
ISNUMBER(SEARCH("Ivory Coast",S2580)),"Côte d'Ivoire",
ISNUMBER(SEARCH("Korea Republic",S2580)),"South Korea",
ISNUMBER(SEARCH("Germany FR",S2580)),"FR Germany",
ISNUMBER(SEARCH("West Germany",S2580)),"FR Germany",
ISNUMBER(SEARCH("Germany DR",S2580)),"DR Germany",
ISNUMBER(SEARCH("Korea DPR",S2580)),"North Korea",
ISNUMBER(SEARCH("China PR",S2580)),"China",
ISNUMBER(SEARCH("IR Iran",S2580)),"Iran",
ISNUMBER(SEARCH("Congo DR",S2580)),"Democratic Republic of the Congo",
ISNUMBER(SEARCH("DR Congo",S2580)),"Democratic Republic of the Congo",
ISNUMBER(SEARCH("German DR",S2580)),"DR Germany",
ISNUMBER(SEARCH("rn""&gt;United Arab Emirates",S2580)),"United Arab Emirates",
ISNUMBER(SEARCH("rn""&gt;Republic of Ireland",S2580)),"Ireland",
ISNUMBER(SEARCH("rn""&gt;Bosnia and Herzegovina",S2580)),"Bosnia and Herzegovina",
ISNUMBER(SEARCH("rn""&gt;Trinidad and Tobago",S2580)),"Trinidad and Tobago",
ISNUMBER(SEARCH("rn""&gt;Serbia and Montenegro",S2580)),"Serbia and Montenegro",
ISNUMBER(SEARCH(_xlfn.UNICHAR(65533),S2580)),"Côte d'Ivoire",
TRUE,""
)</f>
        <v/>
      </c>
      <c r="W2580" s="40" t="str">
        <f t="shared" si="192"/>
        <v>Peru</v>
      </c>
    </row>
    <row r="2581" spans="2:23">
      <c r="B2581" s="76" t="str">
        <v>2018.0</v>
      </c>
      <c r="C2581" s="42" t="str">
        <v>27 Jun 2018 - 17:00</v>
      </c>
      <c r="D2581" s="42" t="str">
        <v>group stage</v>
      </c>
      <c r="E2581" s="42" t="str">
        <v>Kazan Arena</v>
      </c>
      <c r="F2581" s="42" t="str">
        <v>Kazan</v>
      </c>
      <c r="G2581" s="42" t="str">
        <v>South Korea</v>
      </c>
      <c r="H2581" s="42" t="str">
        <v>2.0</v>
      </c>
      <c r="I2581" s="42" t="str">
        <v>0.0</v>
      </c>
      <c r="J2581" s="42" t="str">
        <v>Germany</v>
      </c>
      <c r="K2581" s="42" t="str">
        <v xml:space="preserve"> </v>
      </c>
      <c r="L2581" s="42" t="str">
        <f t="shared" si="189"/>
        <v xml:space="preserve">2018.0|27 Jun 2018 - 17:00|group stage|Kazan Arena|Kazan|South Korea|2.0|0.0|Germany| </v>
      </c>
      <c r="M2581" s="42" t="str">
        <f>IF(COUNTIF($L$1689:L2581,L2581)&gt;1,"DOUBLON","OK")</f>
        <v>OK</v>
      </c>
      <c r="S2581" s="40" t="str">
        <v>Romania</v>
      </c>
      <c r="T2581" s="40" t="str">
        <f t="shared" si="190"/>
        <v>OK</v>
      </c>
      <c r="U2581" s="40" t="str">
        <f t="shared" si="191"/>
        <v>-</v>
      </c>
      <c r="V2581" s="40" t="str" cm="1">
        <f t="array" ref="V2581">_xlfn.IFS(
ISNUMBER(SEARCH("USA",S2581)),"United States",
ISNUMBER(SEARCH("Republic of Ireland",S2581)),"Ireland",
ISNUMBER(SEARCH("Republic of Korea",S2581)),"South Korea",
ISNUMBER(SEARCH("Cape Verde",S2581)),"Cabo Verde",
ISNUMBER(SEARCH("Czechia",S2581)),"Czech Republic",
ISNUMBER(SEARCH("Türkiye",S2581)),"Turkey",
ISNUMBER(SEARCH("Ivory Coast",S2581)),"Côte d'Ivoire",
ISNUMBER(SEARCH("Korea Republic",S2581)),"South Korea",
ISNUMBER(SEARCH("Germany FR",S2581)),"FR Germany",
ISNUMBER(SEARCH("West Germany",S2581)),"FR Germany",
ISNUMBER(SEARCH("Germany DR",S2581)),"DR Germany",
ISNUMBER(SEARCH("Korea DPR",S2581)),"North Korea",
ISNUMBER(SEARCH("China PR",S2581)),"China",
ISNUMBER(SEARCH("IR Iran",S2581)),"Iran",
ISNUMBER(SEARCH("Congo DR",S2581)),"Democratic Republic of the Congo",
ISNUMBER(SEARCH("DR Congo",S2581)),"Democratic Republic of the Congo",
ISNUMBER(SEARCH("German DR",S2581)),"DR Germany",
ISNUMBER(SEARCH("rn""&gt;United Arab Emirates",S2581)),"United Arab Emirates",
ISNUMBER(SEARCH("rn""&gt;Republic of Ireland",S2581)),"Ireland",
ISNUMBER(SEARCH("rn""&gt;Bosnia and Herzegovina",S2581)),"Bosnia and Herzegovina",
ISNUMBER(SEARCH("rn""&gt;Trinidad and Tobago",S2581)),"Trinidad and Tobago",
ISNUMBER(SEARCH("rn""&gt;Serbia and Montenegro",S2581)),"Serbia and Montenegro",
ISNUMBER(SEARCH(_xlfn.UNICHAR(65533),S2581)),"Côte d'Ivoire",
TRUE,""
)</f>
        <v/>
      </c>
      <c r="W2581" s="40" t="str">
        <f t="shared" si="192"/>
        <v>Romania</v>
      </c>
    </row>
    <row r="2582" spans="2:23">
      <c r="B2582" s="76" t="str">
        <v>2018.0</v>
      </c>
      <c r="C2582" s="42" t="str">
        <v>27 Jun 2018 - 19:00</v>
      </c>
      <c r="D2582" s="42" t="str">
        <v>group stage</v>
      </c>
      <c r="E2582" s="42" t="str">
        <v>Central Stadium</v>
      </c>
      <c r="F2582" s="42" t="str">
        <v>Yekaterinburg</v>
      </c>
      <c r="G2582" s="42" t="str">
        <v>Mexico</v>
      </c>
      <c r="H2582" s="42" t="str">
        <v>0.0</v>
      </c>
      <c r="I2582" s="42" t="str">
        <v>3.0</v>
      </c>
      <c r="J2582" s="42" t="str">
        <v>Sweden</v>
      </c>
      <c r="K2582" s="42" t="str">
        <v xml:space="preserve"> </v>
      </c>
      <c r="L2582" s="42" t="str">
        <f t="shared" si="189"/>
        <v xml:space="preserve">2018.0|27 Jun 2018 - 19:00|group stage|Central Stadium|Yekaterinburg|Mexico|0.0|3.0|Sweden| </v>
      </c>
      <c r="M2582" s="42" t="str">
        <f>IF(COUNTIF($L$1689:L2582,L2582)&gt;1,"DOUBLON","OK")</f>
        <v>OK</v>
      </c>
      <c r="S2582" s="40" t="str">
        <v>Soviet Union</v>
      </c>
      <c r="T2582" s="40" t="str">
        <f t="shared" si="190"/>
        <v>ERREUR</v>
      </c>
      <c r="U2582" s="40" t="str">
        <f t="shared" si="191"/>
        <v>AUCUNE</v>
      </c>
      <c r="V2582" s="40" t="str" cm="1">
        <f t="array" ref="V2582">_xlfn.IFS(
ISNUMBER(SEARCH("USA",S2582)),"United States",
ISNUMBER(SEARCH("Republic of Ireland",S2582)),"Ireland",
ISNUMBER(SEARCH("Republic of Korea",S2582)),"South Korea",
ISNUMBER(SEARCH("Cape Verde",S2582)),"Cabo Verde",
ISNUMBER(SEARCH("Czechia",S2582)),"Czech Republic",
ISNUMBER(SEARCH("Türkiye",S2582)),"Turkey",
ISNUMBER(SEARCH("Ivory Coast",S2582)),"Côte d'Ivoire",
ISNUMBER(SEARCH("Korea Republic",S2582)),"South Korea",
ISNUMBER(SEARCH("Germany FR",S2582)),"FR Germany",
ISNUMBER(SEARCH("West Germany",S2582)),"FR Germany",
ISNUMBER(SEARCH("Germany DR",S2582)),"DR Germany",
ISNUMBER(SEARCH("Korea DPR",S2582)),"North Korea",
ISNUMBER(SEARCH("China PR",S2582)),"China",
ISNUMBER(SEARCH("IR Iran",S2582)),"Iran",
ISNUMBER(SEARCH("Congo DR",S2582)),"Democratic Republic of the Congo",
ISNUMBER(SEARCH("DR Congo",S2582)),"Democratic Republic of the Congo",
ISNUMBER(SEARCH("German DR",S2582)),"DR Germany",
ISNUMBER(SEARCH("rn""&gt;United Arab Emirates",S2582)),"United Arab Emirates",
ISNUMBER(SEARCH("rn""&gt;Republic of Ireland",S2582)),"Ireland",
ISNUMBER(SEARCH("rn""&gt;Bosnia and Herzegovina",S2582)),"Bosnia and Herzegovina",
ISNUMBER(SEARCH("rn""&gt;Trinidad and Tobago",S2582)),"Trinidad and Tobago",
ISNUMBER(SEARCH("rn""&gt;Serbia and Montenegro",S2582)),"Serbia and Montenegro",
ISNUMBER(SEARCH(_xlfn.UNICHAR(65533),S2582)),"Côte d'Ivoire",
TRUE,""
)</f>
        <v/>
      </c>
      <c r="W2582" s="40" t="str">
        <f t="shared" si="192"/>
        <v>Soviet Union</v>
      </c>
    </row>
    <row r="2583" spans="2:23">
      <c r="B2583" s="76" t="str">
        <v>2018.0</v>
      </c>
      <c r="C2583" s="42" t="str">
        <v>27 Jun 2018 - 21:00</v>
      </c>
      <c r="D2583" s="42" t="str">
        <v>group stage</v>
      </c>
      <c r="E2583" s="42" t="str">
        <v>Otkritie Arena</v>
      </c>
      <c r="F2583" s="42" t="str">
        <v>Moscow</v>
      </c>
      <c r="G2583" s="42" t="str">
        <v>Serbia</v>
      </c>
      <c r="H2583" s="42" t="str">
        <v>0.0</v>
      </c>
      <c r="I2583" s="42" t="str">
        <v>2.0</v>
      </c>
      <c r="J2583" s="42" t="str">
        <v>Brazil</v>
      </c>
      <c r="K2583" s="42" t="str">
        <v xml:space="preserve"> </v>
      </c>
      <c r="L2583" s="42" t="str">
        <f t="shared" si="189"/>
        <v xml:space="preserve">2018.0|27 Jun 2018 - 21:00|group stage|Otkritie Arena|Moscow|Serbia|0.0|2.0|Brazil| </v>
      </c>
      <c r="M2583" s="42" t="str">
        <f>IF(COUNTIF($L$1689:L2583,L2583)&gt;1,"DOUBLON","OK")</f>
        <v>OK</v>
      </c>
      <c r="S2583" s="40" t="str">
        <v>Sweden</v>
      </c>
      <c r="T2583" s="40" t="str">
        <f t="shared" si="190"/>
        <v>OK</v>
      </c>
      <c r="U2583" s="40" t="str">
        <f t="shared" si="191"/>
        <v>-</v>
      </c>
      <c r="V2583" s="40" t="str" cm="1">
        <f t="array" ref="V2583">_xlfn.IFS(
ISNUMBER(SEARCH("USA",S2583)),"United States",
ISNUMBER(SEARCH("Republic of Ireland",S2583)),"Ireland",
ISNUMBER(SEARCH("Republic of Korea",S2583)),"South Korea",
ISNUMBER(SEARCH("Cape Verde",S2583)),"Cabo Verde",
ISNUMBER(SEARCH("Czechia",S2583)),"Czech Republic",
ISNUMBER(SEARCH("Türkiye",S2583)),"Turkey",
ISNUMBER(SEARCH("Ivory Coast",S2583)),"Côte d'Ivoire",
ISNUMBER(SEARCH("Korea Republic",S2583)),"South Korea",
ISNUMBER(SEARCH("Germany FR",S2583)),"FR Germany",
ISNUMBER(SEARCH("West Germany",S2583)),"FR Germany",
ISNUMBER(SEARCH("Germany DR",S2583)),"DR Germany",
ISNUMBER(SEARCH("Korea DPR",S2583)),"North Korea",
ISNUMBER(SEARCH("China PR",S2583)),"China",
ISNUMBER(SEARCH("IR Iran",S2583)),"Iran",
ISNUMBER(SEARCH("Congo DR",S2583)),"Democratic Republic of the Congo",
ISNUMBER(SEARCH("DR Congo",S2583)),"Democratic Republic of the Congo",
ISNUMBER(SEARCH("German DR",S2583)),"DR Germany",
ISNUMBER(SEARCH("rn""&gt;United Arab Emirates",S2583)),"United Arab Emirates",
ISNUMBER(SEARCH("rn""&gt;Republic of Ireland",S2583)),"Ireland",
ISNUMBER(SEARCH("rn""&gt;Bosnia and Herzegovina",S2583)),"Bosnia and Herzegovina",
ISNUMBER(SEARCH("rn""&gt;Trinidad and Tobago",S2583)),"Trinidad and Tobago",
ISNUMBER(SEARCH("rn""&gt;Serbia and Montenegro",S2583)),"Serbia and Montenegro",
ISNUMBER(SEARCH(_xlfn.UNICHAR(65533),S2583)),"Côte d'Ivoire",
TRUE,""
)</f>
        <v/>
      </c>
      <c r="W2583" s="40" t="str">
        <f t="shared" si="192"/>
        <v>Sweden</v>
      </c>
    </row>
    <row r="2584" spans="2:23">
      <c r="B2584" s="76" t="str">
        <v>2018.0</v>
      </c>
      <c r="C2584" s="42" t="str">
        <v>27 Jun 2018 - 21:00</v>
      </c>
      <c r="D2584" s="42" t="str">
        <v>group stage</v>
      </c>
      <c r="E2584" s="42" t="str">
        <v>Nizhny Novgorod Stadium</v>
      </c>
      <c r="F2584" s="42" t="str">
        <v>Nizhny Novgorod</v>
      </c>
      <c r="G2584" s="42" t="str">
        <v>Switzerland</v>
      </c>
      <c r="H2584" s="42" t="str">
        <v>2.0</v>
      </c>
      <c r="I2584" s="42" t="str">
        <v>2.0</v>
      </c>
      <c r="J2584" s="42" t="str">
        <v>Costa Rica</v>
      </c>
      <c r="K2584" s="42" t="str">
        <v xml:space="preserve"> </v>
      </c>
      <c r="L2584" s="42" t="str">
        <f t="shared" si="189"/>
        <v xml:space="preserve">2018.0|27 Jun 2018 - 21:00|group stage|Nizhny Novgorod Stadium|Nizhny Novgorod|Switzerland|2.0|2.0|Costa Rica| </v>
      </c>
      <c r="M2584" s="42" t="str">
        <f>IF(COUNTIF($L$1689:L2584,L2584)&gt;1,"DOUBLON","OK")</f>
        <v>OK</v>
      </c>
      <c r="S2584" s="40" t="str">
        <v>Germany FR</v>
      </c>
      <c r="T2584" s="40" t="str">
        <f t="shared" si="190"/>
        <v>ERREUR</v>
      </c>
      <c r="U2584" s="40" t="str">
        <f t="shared" si="191"/>
        <v>RENOMMER</v>
      </c>
      <c r="V2584" s="40" t="str" cm="1">
        <f t="array" ref="V2584">_xlfn.IFS(
ISNUMBER(SEARCH("USA",S2584)),"United States",
ISNUMBER(SEARCH("Republic of Ireland",S2584)),"Ireland",
ISNUMBER(SEARCH("Republic of Korea",S2584)),"South Korea",
ISNUMBER(SEARCH("Cape Verde",S2584)),"Cabo Verde",
ISNUMBER(SEARCH("Czechia",S2584)),"Czech Republic",
ISNUMBER(SEARCH("Türkiye",S2584)),"Turkey",
ISNUMBER(SEARCH("Ivory Coast",S2584)),"Côte d'Ivoire",
ISNUMBER(SEARCH("Korea Republic",S2584)),"South Korea",
ISNUMBER(SEARCH("Germany FR",S2584)),"FR Germany",
ISNUMBER(SEARCH("West Germany",S2584)),"FR Germany",
ISNUMBER(SEARCH("Germany DR",S2584)),"DR Germany",
ISNUMBER(SEARCH("Korea DPR",S2584)),"North Korea",
ISNUMBER(SEARCH("China PR",S2584)),"China",
ISNUMBER(SEARCH("IR Iran",S2584)),"Iran",
ISNUMBER(SEARCH("Congo DR",S2584)),"Democratic Republic of the Congo",
ISNUMBER(SEARCH("DR Congo",S2584)),"Democratic Republic of the Congo",
ISNUMBER(SEARCH("German DR",S2584)),"DR Germany",
ISNUMBER(SEARCH("rn""&gt;United Arab Emirates",S2584)),"United Arab Emirates",
ISNUMBER(SEARCH("rn""&gt;Republic of Ireland",S2584)),"Ireland",
ISNUMBER(SEARCH("rn""&gt;Bosnia and Herzegovina",S2584)),"Bosnia and Herzegovina",
ISNUMBER(SEARCH("rn""&gt;Trinidad and Tobago",S2584)),"Trinidad and Tobago",
ISNUMBER(SEARCH("rn""&gt;Serbia and Montenegro",S2584)),"Serbia and Montenegro",
ISNUMBER(SEARCH(_xlfn.UNICHAR(65533),S2584)),"Côte d'Ivoire",
TRUE,""
)</f>
        <v>FR Germany</v>
      </c>
      <c r="W2584" s="40" t="str">
        <f t="shared" si="192"/>
        <v>FR Germany</v>
      </c>
    </row>
    <row r="2585" spans="2:23">
      <c r="B2585" s="76" t="str">
        <v>2018.0</v>
      </c>
      <c r="C2585" s="42" t="str">
        <v>28 Jun 2018 - 17:00</v>
      </c>
      <c r="D2585" s="42" t="str">
        <v>group stage</v>
      </c>
      <c r="E2585" s="42" t="str">
        <v>Volgograd Arena</v>
      </c>
      <c r="F2585" s="42" t="str">
        <v>Volgograd</v>
      </c>
      <c r="G2585" s="42" t="str">
        <v>Japan</v>
      </c>
      <c r="H2585" s="42" t="str">
        <v>0.0</v>
      </c>
      <c r="I2585" s="42" t="str">
        <v>1.0</v>
      </c>
      <c r="J2585" s="42" t="str">
        <v>Poland</v>
      </c>
      <c r="K2585" s="42" t="str">
        <v xml:space="preserve"> </v>
      </c>
      <c r="L2585" s="42" t="str">
        <f t="shared" ref="L2585:L2648" si="193">B2585&amp;"|"&amp;C2585&amp;"|"&amp;D2585&amp;"|"&amp;E2585&amp;"|"&amp;F2585&amp;"|"&amp;G2585&amp;"|"&amp;H2585&amp;"|"&amp;I2585&amp;"|"&amp;J2585&amp;"|"&amp;K2585</f>
        <v xml:space="preserve">2018.0|28 Jun 2018 - 17:00|group stage|Volgograd Arena|Volgograd|Japan|0.0|1.0|Poland| </v>
      </c>
      <c r="M2585" s="42" t="str">
        <f>IF(COUNTIF($L$1689:L2585,L2585)&gt;1,"DOUBLON","OK")</f>
        <v>OK</v>
      </c>
      <c r="S2585" s="40" t="str">
        <v>Brazil</v>
      </c>
      <c r="T2585" s="40" t="str">
        <f t="shared" si="190"/>
        <v>OK</v>
      </c>
      <c r="U2585" s="40" t="str">
        <f t="shared" si="191"/>
        <v>-</v>
      </c>
      <c r="V2585" s="40" t="str" cm="1">
        <f t="array" ref="V2585">_xlfn.IFS(
ISNUMBER(SEARCH("USA",S2585)),"United States",
ISNUMBER(SEARCH("Republic of Ireland",S2585)),"Ireland",
ISNUMBER(SEARCH("Republic of Korea",S2585)),"South Korea",
ISNUMBER(SEARCH("Cape Verde",S2585)),"Cabo Verde",
ISNUMBER(SEARCH("Czechia",S2585)),"Czech Republic",
ISNUMBER(SEARCH("Türkiye",S2585)),"Turkey",
ISNUMBER(SEARCH("Ivory Coast",S2585)),"Côte d'Ivoire",
ISNUMBER(SEARCH("Korea Republic",S2585)),"South Korea",
ISNUMBER(SEARCH("Germany FR",S2585)),"FR Germany",
ISNUMBER(SEARCH("West Germany",S2585)),"FR Germany",
ISNUMBER(SEARCH("Germany DR",S2585)),"DR Germany",
ISNUMBER(SEARCH("Korea DPR",S2585)),"North Korea",
ISNUMBER(SEARCH("China PR",S2585)),"China",
ISNUMBER(SEARCH("IR Iran",S2585)),"Iran",
ISNUMBER(SEARCH("Congo DR",S2585)),"Democratic Republic of the Congo",
ISNUMBER(SEARCH("DR Congo",S2585)),"Democratic Republic of the Congo",
ISNUMBER(SEARCH("German DR",S2585)),"DR Germany",
ISNUMBER(SEARCH("rn""&gt;United Arab Emirates",S2585)),"United Arab Emirates",
ISNUMBER(SEARCH("rn""&gt;Republic of Ireland",S2585)),"Ireland",
ISNUMBER(SEARCH("rn""&gt;Bosnia and Herzegovina",S2585)),"Bosnia and Herzegovina",
ISNUMBER(SEARCH("rn""&gt;Trinidad and Tobago",S2585)),"Trinidad and Tobago",
ISNUMBER(SEARCH("rn""&gt;Serbia and Montenegro",S2585)),"Serbia and Montenegro",
ISNUMBER(SEARCH(_xlfn.UNICHAR(65533),S2585)),"Côte d'Ivoire",
TRUE,""
)</f>
        <v/>
      </c>
      <c r="W2585" s="40" t="str">
        <f t="shared" si="192"/>
        <v>Brazil</v>
      </c>
    </row>
    <row r="2586" spans="2:23">
      <c r="B2586" s="76" t="str">
        <v>2018.0</v>
      </c>
      <c r="C2586" s="42" t="str">
        <v>28 Jun 2018 - 18:00</v>
      </c>
      <c r="D2586" s="42" t="str">
        <v>group stage</v>
      </c>
      <c r="E2586" s="42" t="str">
        <v>Samara Arena</v>
      </c>
      <c r="F2586" s="42" t="str">
        <v>Samara</v>
      </c>
      <c r="G2586" s="42" t="str">
        <v>Senegal</v>
      </c>
      <c r="H2586" s="42" t="str">
        <v>0.0</v>
      </c>
      <c r="I2586" s="42" t="str">
        <v>1.0</v>
      </c>
      <c r="J2586" s="42" t="str">
        <v>Colombia</v>
      </c>
      <c r="K2586" s="42" t="str">
        <v xml:space="preserve"> </v>
      </c>
      <c r="L2586" s="42" t="str">
        <f t="shared" si="193"/>
        <v xml:space="preserve">2018.0|28 Jun 2018 - 18:00|group stage|Samara Arena|Samara|Senegal|0.0|1.0|Colombia| </v>
      </c>
      <c r="M2586" s="42" t="str">
        <f>IF(COUNTIF($L$1689:L2586,L2586)&gt;1,"DOUBLON","OK")</f>
        <v>OK</v>
      </c>
      <c r="S2586" s="40" t="str">
        <v>Mexico</v>
      </c>
      <c r="T2586" s="40" t="str">
        <f t="shared" si="190"/>
        <v>OK</v>
      </c>
      <c r="U2586" s="40" t="str">
        <f t="shared" si="191"/>
        <v>-</v>
      </c>
      <c r="V2586" s="40" t="str" cm="1">
        <f t="array" ref="V2586">_xlfn.IFS(
ISNUMBER(SEARCH("USA",S2586)),"United States",
ISNUMBER(SEARCH("Republic of Ireland",S2586)),"Ireland",
ISNUMBER(SEARCH("Republic of Korea",S2586)),"South Korea",
ISNUMBER(SEARCH("Cape Verde",S2586)),"Cabo Verde",
ISNUMBER(SEARCH("Czechia",S2586)),"Czech Republic",
ISNUMBER(SEARCH("Türkiye",S2586)),"Turkey",
ISNUMBER(SEARCH("Ivory Coast",S2586)),"Côte d'Ivoire",
ISNUMBER(SEARCH("Korea Republic",S2586)),"South Korea",
ISNUMBER(SEARCH("Germany FR",S2586)),"FR Germany",
ISNUMBER(SEARCH("West Germany",S2586)),"FR Germany",
ISNUMBER(SEARCH("Germany DR",S2586)),"DR Germany",
ISNUMBER(SEARCH("Korea DPR",S2586)),"North Korea",
ISNUMBER(SEARCH("China PR",S2586)),"China",
ISNUMBER(SEARCH("IR Iran",S2586)),"Iran",
ISNUMBER(SEARCH("Congo DR",S2586)),"Democratic Republic of the Congo",
ISNUMBER(SEARCH("DR Congo",S2586)),"Democratic Republic of the Congo",
ISNUMBER(SEARCH("German DR",S2586)),"DR Germany",
ISNUMBER(SEARCH("rn""&gt;United Arab Emirates",S2586)),"United Arab Emirates",
ISNUMBER(SEARCH("rn""&gt;Republic of Ireland",S2586)),"Ireland",
ISNUMBER(SEARCH("rn""&gt;Bosnia and Herzegovina",S2586)),"Bosnia and Herzegovina",
ISNUMBER(SEARCH("rn""&gt;Trinidad and Tobago",S2586)),"Trinidad and Tobago",
ISNUMBER(SEARCH("rn""&gt;Serbia and Montenegro",S2586)),"Serbia and Montenegro",
ISNUMBER(SEARCH(_xlfn.UNICHAR(65533),S2586)),"Côte d'Ivoire",
TRUE,""
)</f>
        <v/>
      </c>
      <c r="W2586" s="40" t="str">
        <f t="shared" si="192"/>
        <v>Mexico</v>
      </c>
    </row>
    <row r="2587" spans="2:23">
      <c r="B2587" s="76" t="str">
        <v>2018.0</v>
      </c>
      <c r="C2587" s="42" t="str">
        <v>28 Jun 2018 - 20:00</v>
      </c>
      <c r="D2587" s="42" t="str">
        <v>group stage</v>
      </c>
      <c r="E2587" s="42" t="str">
        <v>Kaliningrad Stadium</v>
      </c>
      <c r="F2587" s="42" t="str">
        <v>Kaliningrad</v>
      </c>
      <c r="G2587" s="42" t="str">
        <v>England</v>
      </c>
      <c r="H2587" s="42" t="str">
        <v>0.0</v>
      </c>
      <c r="I2587" s="42" t="str">
        <v>1.0</v>
      </c>
      <c r="J2587" s="42" t="str">
        <v>Belgium</v>
      </c>
      <c r="K2587" s="42" t="str">
        <v xml:space="preserve"> </v>
      </c>
      <c r="L2587" s="42" t="str">
        <f t="shared" si="193"/>
        <v xml:space="preserve">2018.0|28 Jun 2018 - 20:00|group stage|Kaliningrad Stadium|Kaliningrad|England|0.0|1.0|Belgium| </v>
      </c>
      <c r="M2587" s="42" t="str">
        <f>IF(COUNTIF($L$1689:L2587,L2587)&gt;1,"DOUBLON","OK")</f>
        <v>OK</v>
      </c>
      <c r="S2587" s="40" t="str">
        <v>Sweden</v>
      </c>
      <c r="T2587" s="40" t="str">
        <f t="shared" si="190"/>
        <v>OK</v>
      </c>
      <c r="U2587" s="40" t="str">
        <f t="shared" si="191"/>
        <v>-</v>
      </c>
      <c r="V2587" s="40" t="str" cm="1">
        <f t="array" ref="V2587">_xlfn.IFS(
ISNUMBER(SEARCH("USA",S2587)),"United States",
ISNUMBER(SEARCH("Republic of Ireland",S2587)),"Ireland",
ISNUMBER(SEARCH("Republic of Korea",S2587)),"South Korea",
ISNUMBER(SEARCH("Cape Verde",S2587)),"Cabo Verde",
ISNUMBER(SEARCH("Czechia",S2587)),"Czech Republic",
ISNUMBER(SEARCH("Türkiye",S2587)),"Turkey",
ISNUMBER(SEARCH("Ivory Coast",S2587)),"Côte d'Ivoire",
ISNUMBER(SEARCH("Korea Republic",S2587)),"South Korea",
ISNUMBER(SEARCH("Germany FR",S2587)),"FR Germany",
ISNUMBER(SEARCH("West Germany",S2587)),"FR Germany",
ISNUMBER(SEARCH("Germany DR",S2587)),"DR Germany",
ISNUMBER(SEARCH("Korea DPR",S2587)),"North Korea",
ISNUMBER(SEARCH("China PR",S2587)),"China",
ISNUMBER(SEARCH("IR Iran",S2587)),"Iran",
ISNUMBER(SEARCH("Congo DR",S2587)),"Democratic Republic of the Congo",
ISNUMBER(SEARCH("DR Congo",S2587)),"Democratic Republic of the Congo",
ISNUMBER(SEARCH("German DR",S2587)),"DR Germany",
ISNUMBER(SEARCH("rn""&gt;United Arab Emirates",S2587)),"United Arab Emirates",
ISNUMBER(SEARCH("rn""&gt;Republic of Ireland",S2587)),"Ireland",
ISNUMBER(SEARCH("rn""&gt;Bosnia and Herzegovina",S2587)),"Bosnia and Herzegovina",
ISNUMBER(SEARCH("rn""&gt;Trinidad and Tobago",S2587)),"Trinidad and Tobago",
ISNUMBER(SEARCH("rn""&gt;Serbia and Montenegro",S2587)),"Serbia and Montenegro",
ISNUMBER(SEARCH(_xlfn.UNICHAR(65533),S2587)),"Côte d'Ivoire",
TRUE,""
)</f>
        <v/>
      </c>
      <c r="W2587" s="40" t="str">
        <f t="shared" si="192"/>
        <v>Sweden</v>
      </c>
    </row>
    <row r="2588" spans="2:23">
      <c r="B2588" s="76" t="str">
        <v>2018.0</v>
      </c>
      <c r="C2588" s="42" t="str">
        <v>28 Jun 2018 - 21:00</v>
      </c>
      <c r="D2588" s="42" t="str">
        <v>group stage</v>
      </c>
      <c r="E2588" s="42" t="str">
        <v>Mordovia Arena</v>
      </c>
      <c r="F2588" s="42" t="str">
        <v>Saransk</v>
      </c>
      <c r="G2588" s="42" t="str">
        <v>Panama</v>
      </c>
      <c r="H2588" s="42" t="str">
        <v>1.0</v>
      </c>
      <c r="I2588" s="42" t="str">
        <v>2.0</v>
      </c>
      <c r="J2588" s="42" t="str">
        <v>Tunisia</v>
      </c>
      <c r="K2588" s="42" t="str">
        <v xml:space="preserve"> </v>
      </c>
      <c r="L2588" s="42" t="str">
        <f t="shared" si="193"/>
        <v xml:space="preserve">2018.0|28 Jun 2018 - 21:00|group stage|Mordovia Arena|Saransk|Panama|1.0|2.0|Tunisia| </v>
      </c>
      <c r="M2588" s="42" t="str">
        <f>IF(COUNTIF($L$1689:L2588,L2588)&gt;1,"DOUBLON","OK")</f>
        <v>OK</v>
      </c>
      <c r="S2588" s="40" t="str">
        <v>Germany FR</v>
      </c>
      <c r="T2588" s="40" t="str">
        <f t="shared" si="190"/>
        <v>ERREUR</v>
      </c>
      <c r="U2588" s="40" t="str">
        <f t="shared" si="191"/>
        <v>RENOMMER</v>
      </c>
      <c r="V2588" s="40" t="str" cm="1">
        <f t="array" ref="V2588">_xlfn.IFS(
ISNUMBER(SEARCH("USA",S2588)),"United States",
ISNUMBER(SEARCH("Republic of Ireland",S2588)),"Ireland",
ISNUMBER(SEARCH("Republic of Korea",S2588)),"South Korea",
ISNUMBER(SEARCH("Cape Verde",S2588)),"Cabo Verde",
ISNUMBER(SEARCH("Czechia",S2588)),"Czech Republic",
ISNUMBER(SEARCH("Türkiye",S2588)),"Turkey",
ISNUMBER(SEARCH("Ivory Coast",S2588)),"Côte d'Ivoire",
ISNUMBER(SEARCH("Korea Republic",S2588)),"South Korea",
ISNUMBER(SEARCH("Germany FR",S2588)),"FR Germany",
ISNUMBER(SEARCH("West Germany",S2588)),"FR Germany",
ISNUMBER(SEARCH("Germany DR",S2588)),"DR Germany",
ISNUMBER(SEARCH("Korea DPR",S2588)),"North Korea",
ISNUMBER(SEARCH("China PR",S2588)),"China",
ISNUMBER(SEARCH("IR Iran",S2588)),"Iran",
ISNUMBER(SEARCH("Congo DR",S2588)),"Democratic Republic of the Congo",
ISNUMBER(SEARCH("DR Congo",S2588)),"Democratic Republic of the Congo",
ISNUMBER(SEARCH("German DR",S2588)),"DR Germany",
ISNUMBER(SEARCH("rn""&gt;United Arab Emirates",S2588)),"United Arab Emirates",
ISNUMBER(SEARCH("rn""&gt;Republic of Ireland",S2588)),"Ireland",
ISNUMBER(SEARCH("rn""&gt;Bosnia and Herzegovina",S2588)),"Bosnia and Herzegovina",
ISNUMBER(SEARCH("rn""&gt;Trinidad and Tobago",S2588)),"Trinidad and Tobago",
ISNUMBER(SEARCH("rn""&gt;Serbia and Montenegro",S2588)),"Serbia and Montenegro",
ISNUMBER(SEARCH(_xlfn.UNICHAR(65533),S2588)),"Côte d'Ivoire",
TRUE,""
)</f>
        <v>FR Germany</v>
      </c>
      <c r="W2588" s="40" t="str">
        <f t="shared" si="192"/>
        <v>FR Germany</v>
      </c>
    </row>
    <row r="2589" spans="2:23">
      <c r="B2589" s="76" t="str">
        <v>2018.0</v>
      </c>
      <c r="C2589" s="42" t="str">
        <v>30 Jun 2018 - 17:00</v>
      </c>
      <c r="D2589" s="42" t="str">
        <v>round of 16</v>
      </c>
      <c r="E2589" s="42" t="str">
        <v>Kazan Arena</v>
      </c>
      <c r="F2589" s="42" t="str">
        <v>Kazan</v>
      </c>
      <c r="G2589" s="42" t="str">
        <v>France</v>
      </c>
      <c r="H2589" s="42" t="str">
        <v>4.0</v>
      </c>
      <c r="I2589" s="42" t="str">
        <v>3.0</v>
      </c>
      <c r="J2589" s="42" t="str">
        <v>Argentina</v>
      </c>
      <c r="K2589" s="42" t="str">
        <v xml:space="preserve"> </v>
      </c>
      <c r="L2589" s="42" t="str">
        <f t="shared" si="193"/>
        <v xml:space="preserve">2018.0|30 Jun 2018 - 17:00|round of 16|Kazan Arena|Kazan|France|4.0|3.0|Argentina| </v>
      </c>
      <c r="M2589" s="42" t="str">
        <f>IF(COUNTIF($L$1689:L2589,L2589)&gt;1,"DOUBLON","OK")</f>
        <v>OK</v>
      </c>
      <c r="S2589" s="40" t="str">
        <v>Brazil</v>
      </c>
      <c r="T2589" s="40" t="str">
        <f t="shared" si="190"/>
        <v>OK</v>
      </c>
      <c r="U2589" s="40" t="str">
        <f t="shared" si="191"/>
        <v>-</v>
      </c>
      <c r="V2589" s="40" t="str" cm="1">
        <f t="array" ref="V2589">_xlfn.IFS(
ISNUMBER(SEARCH("USA",S2589)),"United States",
ISNUMBER(SEARCH("Republic of Ireland",S2589)),"Ireland",
ISNUMBER(SEARCH("Republic of Korea",S2589)),"South Korea",
ISNUMBER(SEARCH("Cape Verde",S2589)),"Cabo Verde",
ISNUMBER(SEARCH("Czechia",S2589)),"Czech Republic",
ISNUMBER(SEARCH("Türkiye",S2589)),"Turkey",
ISNUMBER(SEARCH("Ivory Coast",S2589)),"Côte d'Ivoire",
ISNUMBER(SEARCH("Korea Republic",S2589)),"South Korea",
ISNUMBER(SEARCH("Germany FR",S2589)),"FR Germany",
ISNUMBER(SEARCH("West Germany",S2589)),"FR Germany",
ISNUMBER(SEARCH("Germany DR",S2589)),"DR Germany",
ISNUMBER(SEARCH("Korea DPR",S2589)),"North Korea",
ISNUMBER(SEARCH("China PR",S2589)),"China",
ISNUMBER(SEARCH("IR Iran",S2589)),"Iran",
ISNUMBER(SEARCH("Congo DR",S2589)),"Democratic Republic of the Congo",
ISNUMBER(SEARCH("DR Congo",S2589)),"Democratic Republic of the Congo",
ISNUMBER(SEARCH("German DR",S2589)),"DR Germany",
ISNUMBER(SEARCH("rn""&gt;United Arab Emirates",S2589)),"United Arab Emirates",
ISNUMBER(SEARCH("rn""&gt;Republic of Ireland",S2589)),"Ireland",
ISNUMBER(SEARCH("rn""&gt;Bosnia and Herzegovina",S2589)),"Bosnia and Herzegovina",
ISNUMBER(SEARCH("rn""&gt;Trinidad and Tobago",S2589)),"Trinidad and Tobago",
ISNUMBER(SEARCH("rn""&gt;Serbia and Montenegro",S2589)),"Serbia and Montenegro",
ISNUMBER(SEARCH(_xlfn.UNICHAR(65533),S2589)),"Côte d'Ivoire",
TRUE,""
)</f>
        <v/>
      </c>
      <c r="W2589" s="40" t="str">
        <f t="shared" si="192"/>
        <v>Brazil</v>
      </c>
    </row>
    <row r="2590" spans="2:23">
      <c r="B2590" s="76" t="str">
        <v>2018.0</v>
      </c>
      <c r="C2590" s="42" t="str">
        <v>30 Jun 2018 - 21:00</v>
      </c>
      <c r="D2590" s="42" t="str">
        <v>round of 16</v>
      </c>
      <c r="E2590" s="42" t="str">
        <v>Fisht Olympic Stadium</v>
      </c>
      <c r="F2590" s="42" t="str">
        <v>Sochi</v>
      </c>
      <c r="G2590" s="42" t="str">
        <v>Uruguay</v>
      </c>
      <c r="H2590" s="42" t="str">
        <v>2.0</v>
      </c>
      <c r="I2590" s="42" t="str">
        <v>1.0</v>
      </c>
      <c r="J2590" s="42" t="str">
        <v>Portugal</v>
      </c>
      <c r="K2590" s="42" t="str">
        <v xml:space="preserve"> </v>
      </c>
      <c r="L2590" s="42" t="str">
        <f t="shared" si="193"/>
        <v xml:space="preserve">2018.0|30 Jun 2018 - 21:00|round of 16|Fisht Olympic Stadium|Sochi|Uruguay|2.0|1.0|Portugal| </v>
      </c>
      <c r="M2590" s="42" t="str">
        <f>IF(COUNTIF($L$1689:L2590,L2590)&gt;1,"DOUBLON","OK")</f>
        <v>OK</v>
      </c>
      <c r="S2590" s="40" t="str">
        <v>Soviet Union</v>
      </c>
      <c r="T2590" s="40" t="str">
        <f t="shared" si="190"/>
        <v>ERREUR</v>
      </c>
      <c r="U2590" s="40" t="str">
        <f t="shared" si="191"/>
        <v>AUCUNE</v>
      </c>
      <c r="V2590" s="40" t="str" cm="1">
        <f t="array" ref="V2590">_xlfn.IFS(
ISNUMBER(SEARCH("USA",S2590)),"United States",
ISNUMBER(SEARCH("Republic of Ireland",S2590)),"Ireland",
ISNUMBER(SEARCH("Republic of Korea",S2590)),"South Korea",
ISNUMBER(SEARCH("Cape Verde",S2590)),"Cabo Verde",
ISNUMBER(SEARCH("Czechia",S2590)),"Czech Republic",
ISNUMBER(SEARCH("Türkiye",S2590)),"Turkey",
ISNUMBER(SEARCH("Ivory Coast",S2590)),"Côte d'Ivoire",
ISNUMBER(SEARCH("Korea Republic",S2590)),"South Korea",
ISNUMBER(SEARCH("Germany FR",S2590)),"FR Germany",
ISNUMBER(SEARCH("West Germany",S2590)),"FR Germany",
ISNUMBER(SEARCH("Germany DR",S2590)),"DR Germany",
ISNUMBER(SEARCH("Korea DPR",S2590)),"North Korea",
ISNUMBER(SEARCH("China PR",S2590)),"China",
ISNUMBER(SEARCH("IR Iran",S2590)),"Iran",
ISNUMBER(SEARCH("Congo DR",S2590)),"Democratic Republic of the Congo",
ISNUMBER(SEARCH("DR Congo",S2590)),"Democratic Republic of the Congo",
ISNUMBER(SEARCH("German DR",S2590)),"DR Germany",
ISNUMBER(SEARCH("rn""&gt;United Arab Emirates",S2590)),"United Arab Emirates",
ISNUMBER(SEARCH("rn""&gt;Republic of Ireland",S2590)),"Ireland",
ISNUMBER(SEARCH("rn""&gt;Bosnia and Herzegovina",S2590)),"Bosnia and Herzegovina",
ISNUMBER(SEARCH("rn""&gt;Trinidad and Tobago",S2590)),"Trinidad and Tobago",
ISNUMBER(SEARCH("rn""&gt;Serbia and Montenegro",S2590)),"Serbia and Montenegro",
ISNUMBER(SEARCH(_xlfn.UNICHAR(65533),S2590)),"Côte d'Ivoire",
TRUE,""
)</f>
        <v/>
      </c>
      <c r="W2590" s="40" t="str">
        <f t="shared" si="192"/>
        <v>Soviet Union</v>
      </c>
    </row>
    <row r="2591" spans="2:23">
      <c r="B2591" s="76" t="str">
        <v>2018.0</v>
      </c>
      <c r="C2591" s="42" t="str">
        <v>01 Jul 2018 - 17:00</v>
      </c>
      <c r="D2591" s="42" t="str">
        <v>round of 16</v>
      </c>
      <c r="E2591" s="42" t="str">
        <v>Luzhniki Stadium</v>
      </c>
      <c r="F2591" s="42" t="str">
        <v>Moscow</v>
      </c>
      <c r="G2591" s="42" t="str">
        <v>Spain</v>
      </c>
      <c r="H2591" s="42" t="str">
        <v>1.0</v>
      </c>
      <c r="I2591" s="42" t="str">
        <v>1.0</v>
      </c>
      <c r="J2591" s="42" t="str">
        <v>Russia</v>
      </c>
      <c r="K2591" s="42" t="str">
        <v>Russia win on penalties (4 - 3)</v>
      </c>
      <c r="L2591" s="42" t="str">
        <f t="shared" si="193"/>
        <v>2018.0|01 Jul 2018 - 17:00|round of 16|Luzhniki Stadium|Moscow|Spain|1.0|1.0|Russia|Russia win on penalties (4 - 3)</v>
      </c>
      <c r="M2591" s="42" t="str">
        <f>IF(COUNTIF($L$1689:L2591,L2591)&gt;1,"DOUBLON","OK")</f>
        <v>OK</v>
      </c>
      <c r="S2591" s="40" t="str">
        <v>Italy</v>
      </c>
      <c r="T2591" s="40" t="str">
        <f t="shared" si="190"/>
        <v>OK</v>
      </c>
      <c r="U2591" s="40" t="str">
        <f t="shared" si="191"/>
        <v>-</v>
      </c>
      <c r="V2591" s="40" t="str" cm="1">
        <f t="array" ref="V2591">_xlfn.IFS(
ISNUMBER(SEARCH("USA",S2591)),"United States",
ISNUMBER(SEARCH("Republic of Ireland",S2591)),"Ireland",
ISNUMBER(SEARCH("Republic of Korea",S2591)),"South Korea",
ISNUMBER(SEARCH("Cape Verde",S2591)),"Cabo Verde",
ISNUMBER(SEARCH("Czechia",S2591)),"Czech Republic",
ISNUMBER(SEARCH("Türkiye",S2591)),"Turkey",
ISNUMBER(SEARCH("Ivory Coast",S2591)),"Côte d'Ivoire",
ISNUMBER(SEARCH("Korea Republic",S2591)),"South Korea",
ISNUMBER(SEARCH("Germany FR",S2591)),"FR Germany",
ISNUMBER(SEARCH("West Germany",S2591)),"FR Germany",
ISNUMBER(SEARCH("Germany DR",S2591)),"DR Germany",
ISNUMBER(SEARCH("Korea DPR",S2591)),"North Korea",
ISNUMBER(SEARCH("China PR",S2591)),"China",
ISNUMBER(SEARCH("IR Iran",S2591)),"Iran",
ISNUMBER(SEARCH("Congo DR",S2591)),"Democratic Republic of the Congo",
ISNUMBER(SEARCH("DR Congo",S2591)),"Democratic Republic of the Congo",
ISNUMBER(SEARCH("German DR",S2591)),"DR Germany",
ISNUMBER(SEARCH("rn""&gt;United Arab Emirates",S2591)),"United Arab Emirates",
ISNUMBER(SEARCH("rn""&gt;Republic of Ireland",S2591)),"Ireland",
ISNUMBER(SEARCH("rn""&gt;Bosnia and Herzegovina",S2591)),"Bosnia and Herzegovina",
ISNUMBER(SEARCH("rn""&gt;Trinidad and Tobago",S2591)),"Trinidad and Tobago",
ISNUMBER(SEARCH("rn""&gt;Serbia and Montenegro",S2591)),"Serbia and Montenegro",
ISNUMBER(SEARCH(_xlfn.UNICHAR(65533),S2591)),"Côte d'Ivoire",
TRUE,""
)</f>
        <v/>
      </c>
      <c r="W2591" s="40" t="str">
        <f t="shared" si="192"/>
        <v>Italy</v>
      </c>
    </row>
    <row r="2592" spans="2:23">
      <c r="B2592" s="76" t="str">
        <v>2018.0</v>
      </c>
      <c r="C2592" s="42" t="str">
        <v>01 Jul 2018 - 21:00</v>
      </c>
      <c r="D2592" s="42" t="str">
        <v>round of 16</v>
      </c>
      <c r="E2592" s="42" t="str">
        <v>Nizhny Novgorod Stadium</v>
      </c>
      <c r="F2592" s="42" t="str">
        <v>Nizhny Novgorod</v>
      </c>
      <c r="G2592" s="42" t="str">
        <v>Croatia</v>
      </c>
      <c r="H2592" s="42" t="str">
        <v>1.0</v>
      </c>
      <c r="I2592" s="42" t="str">
        <v>1.0</v>
      </c>
      <c r="J2592" s="42" t="str">
        <v>Denmark</v>
      </c>
      <c r="K2592" s="42" t="str">
        <v>Croatia win on penalties (3 - 2)</v>
      </c>
      <c r="L2592" s="42" t="str">
        <f t="shared" si="193"/>
        <v>2018.0|01 Jul 2018 - 21:00|round of 16|Nizhny Novgorod Stadium|Nizhny Novgorod|Croatia|1.0|1.0|Denmark|Croatia win on penalties (3 - 2)</v>
      </c>
      <c r="M2592" s="42" t="str">
        <f>IF(COUNTIF($L$1689:L2592,L2592)&gt;1,"DOUBLON","OK")</f>
        <v>OK</v>
      </c>
      <c r="S2592" s="40" t="str">
        <v>Bulgaria</v>
      </c>
      <c r="T2592" s="40" t="str">
        <f t="shared" si="190"/>
        <v>OK</v>
      </c>
      <c r="U2592" s="40" t="str">
        <f t="shared" si="191"/>
        <v>-</v>
      </c>
      <c r="V2592" s="40" t="str" cm="1">
        <f t="array" ref="V2592">_xlfn.IFS(
ISNUMBER(SEARCH("USA",S2592)),"United States",
ISNUMBER(SEARCH("Republic of Ireland",S2592)),"Ireland",
ISNUMBER(SEARCH("Republic of Korea",S2592)),"South Korea",
ISNUMBER(SEARCH("Cape Verde",S2592)),"Cabo Verde",
ISNUMBER(SEARCH("Czechia",S2592)),"Czech Republic",
ISNUMBER(SEARCH("Türkiye",S2592)),"Turkey",
ISNUMBER(SEARCH("Ivory Coast",S2592)),"Côte d'Ivoire",
ISNUMBER(SEARCH("Korea Republic",S2592)),"South Korea",
ISNUMBER(SEARCH("Germany FR",S2592)),"FR Germany",
ISNUMBER(SEARCH("West Germany",S2592)),"FR Germany",
ISNUMBER(SEARCH("Germany DR",S2592)),"DR Germany",
ISNUMBER(SEARCH("Korea DPR",S2592)),"North Korea",
ISNUMBER(SEARCH("China PR",S2592)),"China",
ISNUMBER(SEARCH("IR Iran",S2592)),"Iran",
ISNUMBER(SEARCH("Congo DR",S2592)),"Democratic Republic of the Congo",
ISNUMBER(SEARCH("DR Congo",S2592)),"Democratic Republic of the Congo",
ISNUMBER(SEARCH("German DR",S2592)),"DR Germany",
ISNUMBER(SEARCH("rn""&gt;United Arab Emirates",S2592)),"United Arab Emirates",
ISNUMBER(SEARCH("rn""&gt;Republic of Ireland",S2592)),"Ireland",
ISNUMBER(SEARCH("rn""&gt;Bosnia and Herzegovina",S2592)),"Bosnia and Herzegovina",
ISNUMBER(SEARCH("rn""&gt;Trinidad and Tobago",S2592)),"Trinidad and Tobago",
ISNUMBER(SEARCH("rn""&gt;Serbia and Montenegro",S2592)),"Serbia and Montenegro",
ISNUMBER(SEARCH(_xlfn.UNICHAR(65533),S2592)),"Côte d'Ivoire",
TRUE,""
)</f>
        <v/>
      </c>
      <c r="W2592" s="40" t="str">
        <f t="shared" si="192"/>
        <v>Bulgaria</v>
      </c>
    </row>
    <row r="2593" spans="2:23">
      <c r="B2593" s="76" t="str">
        <v>2018.0</v>
      </c>
      <c r="C2593" s="42" t="str">
        <v>02 Jul 2018 - 18:00</v>
      </c>
      <c r="D2593" s="42" t="str">
        <v>round of 16</v>
      </c>
      <c r="E2593" s="42" t="str">
        <v>Samara Arena</v>
      </c>
      <c r="F2593" s="42" t="str">
        <v>Samara</v>
      </c>
      <c r="G2593" s="42" t="str">
        <v>Brazil</v>
      </c>
      <c r="H2593" s="42" t="str">
        <v>2.0</v>
      </c>
      <c r="I2593" s="42" t="str">
        <v>0.0</v>
      </c>
      <c r="J2593" s="42" t="str">
        <v>Mexico</v>
      </c>
      <c r="K2593" s="42" t="str">
        <v xml:space="preserve"> </v>
      </c>
      <c r="L2593" s="42" t="str">
        <f t="shared" si="193"/>
        <v xml:space="preserve">2018.0|02 Jul 2018 - 18:00|round of 16|Samara Arena|Samara|Brazil|2.0|0.0|Mexico| </v>
      </c>
      <c r="M2593" s="42" t="str">
        <f>IF(COUNTIF($L$1689:L2593,L2593)&gt;1,"DOUBLON","OK")</f>
        <v>OK</v>
      </c>
      <c r="S2593" s="40" t="str">
        <v>England</v>
      </c>
      <c r="T2593" s="40" t="str">
        <f t="shared" si="190"/>
        <v>ERREUR</v>
      </c>
      <c r="U2593" s="40" t="str">
        <f t="shared" si="191"/>
        <v>AUCUNE</v>
      </c>
      <c r="V2593" s="40" t="str" cm="1">
        <f t="array" ref="V2593">_xlfn.IFS(
ISNUMBER(SEARCH("USA",S2593)),"United States",
ISNUMBER(SEARCH("Republic of Ireland",S2593)),"Ireland",
ISNUMBER(SEARCH("Republic of Korea",S2593)),"South Korea",
ISNUMBER(SEARCH("Cape Verde",S2593)),"Cabo Verde",
ISNUMBER(SEARCH("Czechia",S2593)),"Czech Republic",
ISNUMBER(SEARCH("Türkiye",S2593)),"Turkey",
ISNUMBER(SEARCH("Ivory Coast",S2593)),"Côte d'Ivoire",
ISNUMBER(SEARCH("Korea Republic",S2593)),"South Korea",
ISNUMBER(SEARCH("Germany FR",S2593)),"FR Germany",
ISNUMBER(SEARCH("West Germany",S2593)),"FR Germany",
ISNUMBER(SEARCH("Germany DR",S2593)),"DR Germany",
ISNUMBER(SEARCH("Korea DPR",S2593)),"North Korea",
ISNUMBER(SEARCH("China PR",S2593)),"China",
ISNUMBER(SEARCH("IR Iran",S2593)),"Iran",
ISNUMBER(SEARCH("Congo DR",S2593)),"Democratic Republic of the Congo",
ISNUMBER(SEARCH("DR Congo",S2593)),"Democratic Republic of the Congo",
ISNUMBER(SEARCH("German DR",S2593)),"DR Germany",
ISNUMBER(SEARCH("rn""&gt;United Arab Emirates",S2593)),"United Arab Emirates",
ISNUMBER(SEARCH("rn""&gt;Republic of Ireland",S2593)),"Ireland",
ISNUMBER(SEARCH("rn""&gt;Bosnia and Herzegovina",S2593)),"Bosnia and Herzegovina",
ISNUMBER(SEARCH("rn""&gt;Trinidad and Tobago",S2593)),"Trinidad and Tobago",
ISNUMBER(SEARCH("rn""&gt;Serbia and Montenegro",S2593)),"Serbia and Montenegro",
ISNUMBER(SEARCH(_xlfn.UNICHAR(65533),S2593)),"Côte d'Ivoire",
TRUE,""
)</f>
        <v/>
      </c>
      <c r="W2593" s="40" t="str">
        <f t="shared" si="192"/>
        <v>England</v>
      </c>
    </row>
    <row r="2594" spans="2:23">
      <c r="B2594" s="76" t="str">
        <v>2018.0</v>
      </c>
      <c r="C2594" s="42" t="str">
        <v>02 Jul 2018 - 21:00</v>
      </c>
      <c r="D2594" s="42" t="str">
        <v>round of 16</v>
      </c>
      <c r="E2594" s="42" t="str">
        <v>Rostov Arena</v>
      </c>
      <c r="F2594" s="42" t="str">
        <v>Rostov-on-Don</v>
      </c>
      <c r="G2594" s="42" t="str">
        <v>Belgium</v>
      </c>
      <c r="H2594" s="42" t="str">
        <v>3.0</v>
      </c>
      <c r="I2594" s="42" t="str">
        <v>2.0</v>
      </c>
      <c r="J2594" s="42" t="str">
        <v>Japan</v>
      </c>
      <c r="K2594" s="42" t="str">
        <v xml:space="preserve"> </v>
      </c>
      <c r="L2594" s="42" t="str">
        <f t="shared" si="193"/>
        <v xml:space="preserve">2018.0|02 Jul 2018 - 21:00|round of 16|Rostov Arena|Rostov-on-Don|Belgium|3.0|2.0|Japan| </v>
      </c>
      <c r="M2594" s="42" t="str">
        <f>IF(COUNTIF($L$1689:L2594,L2594)&gt;1,"DOUBLON","OK")</f>
        <v>OK</v>
      </c>
      <c r="S2594" s="40" t="str">
        <v>Mexico</v>
      </c>
      <c r="T2594" s="40" t="str">
        <f t="shared" si="190"/>
        <v>OK</v>
      </c>
      <c r="U2594" s="40" t="str">
        <f t="shared" si="191"/>
        <v>-</v>
      </c>
      <c r="V2594" s="40" t="str" cm="1">
        <f t="array" ref="V2594">_xlfn.IFS(
ISNUMBER(SEARCH("USA",S2594)),"United States",
ISNUMBER(SEARCH("Republic of Ireland",S2594)),"Ireland",
ISNUMBER(SEARCH("Republic of Korea",S2594)),"South Korea",
ISNUMBER(SEARCH("Cape Verde",S2594)),"Cabo Verde",
ISNUMBER(SEARCH("Czechia",S2594)),"Czech Republic",
ISNUMBER(SEARCH("Türkiye",S2594)),"Turkey",
ISNUMBER(SEARCH("Ivory Coast",S2594)),"Côte d'Ivoire",
ISNUMBER(SEARCH("Korea Republic",S2594)),"South Korea",
ISNUMBER(SEARCH("Germany FR",S2594)),"FR Germany",
ISNUMBER(SEARCH("West Germany",S2594)),"FR Germany",
ISNUMBER(SEARCH("Germany DR",S2594)),"DR Germany",
ISNUMBER(SEARCH("Korea DPR",S2594)),"North Korea",
ISNUMBER(SEARCH("China PR",S2594)),"China",
ISNUMBER(SEARCH("IR Iran",S2594)),"Iran",
ISNUMBER(SEARCH("Congo DR",S2594)),"Democratic Republic of the Congo",
ISNUMBER(SEARCH("DR Congo",S2594)),"Democratic Republic of the Congo",
ISNUMBER(SEARCH("German DR",S2594)),"DR Germany",
ISNUMBER(SEARCH("rn""&gt;United Arab Emirates",S2594)),"United Arab Emirates",
ISNUMBER(SEARCH("rn""&gt;Republic of Ireland",S2594)),"Ireland",
ISNUMBER(SEARCH("rn""&gt;Bosnia and Herzegovina",S2594)),"Bosnia and Herzegovina",
ISNUMBER(SEARCH("rn""&gt;Trinidad and Tobago",S2594)),"Trinidad and Tobago",
ISNUMBER(SEARCH("rn""&gt;Serbia and Montenegro",S2594)),"Serbia and Montenegro",
ISNUMBER(SEARCH(_xlfn.UNICHAR(65533),S2594)),"Côte d'Ivoire",
TRUE,""
)</f>
        <v/>
      </c>
      <c r="W2594" s="40" t="str">
        <f t="shared" si="192"/>
        <v>Mexico</v>
      </c>
    </row>
    <row r="2595" spans="2:23">
      <c r="B2595" s="76" t="str">
        <v>2018.0</v>
      </c>
      <c r="C2595" s="42" t="str">
        <v>03 Jul 2018 - 17:00</v>
      </c>
      <c r="D2595" s="42" t="str">
        <v>round of 16</v>
      </c>
      <c r="E2595" s="42" t="str">
        <v>Krestovsky Stadium</v>
      </c>
      <c r="F2595" s="42" t="str">
        <v>Saint Petersburg</v>
      </c>
      <c r="G2595" s="42" t="str">
        <v>Sweden</v>
      </c>
      <c r="H2595" s="42" t="str">
        <v>1.0</v>
      </c>
      <c r="I2595" s="42" t="str">
        <v>0.0</v>
      </c>
      <c r="J2595" s="42" t="str">
        <v>Switzerland</v>
      </c>
      <c r="K2595" s="42" t="str">
        <v xml:space="preserve"> </v>
      </c>
      <c r="L2595" s="42" t="str">
        <f t="shared" si="193"/>
        <v xml:space="preserve">2018.0|03 Jul 2018 - 17:00|round of 16|Krestovsky Stadium|Saint Petersburg|Sweden|1.0|0.0|Switzerland| </v>
      </c>
      <c r="M2595" s="42" t="str">
        <f>IF(COUNTIF($L$1689:L2595,L2595)&gt;1,"DOUBLON","OK")</f>
        <v>OK</v>
      </c>
      <c r="S2595" s="40" t="str">
        <v>Italy</v>
      </c>
      <c r="T2595" s="40" t="str">
        <f t="shared" si="190"/>
        <v>OK</v>
      </c>
      <c r="U2595" s="40" t="str">
        <f t="shared" si="191"/>
        <v>-</v>
      </c>
      <c r="V2595" s="40" t="str" cm="1">
        <f t="array" ref="V2595">_xlfn.IFS(
ISNUMBER(SEARCH("USA",S2595)),"United States",
ISNUMBER(SEARCH("Republic of Ireland",S2595)),"Ireland",
ISNUMBER(SEARCH("Republic of Korea",S2595)),"South Korea",
ISNUMBER(SEARCH("Cape Verde",S2595)),"Cabo Verde",
ISNUMBER(SEARCH("Czechia",S2595)),"Czech Republic",
ISNUMBER(SEARCH("Türkiye",S2595)),"Turkey",
ISNUMBER(SEARCH("Ivory Coast",S2595)),"Côte d'Ivoire",
ISNUMBER(SEARCH("Korea Republic",S2595)),"South Korea",
ISNUMBER(SEARCH("Germany FR",S2595)),"FR Germany",
ISNUMBER(SEARCH("West Germany",S2595)),"FR Germany",
ISNUMBER(SEARCH("Germany DR",S2595)),"DR Germany",
ISNUMBER(SEARCH("Korea DPR",S2595)),"North Korea",
ISNUMBER(SEARCH("China PR",S2595)),"China",
ISNUMBER(SEARCH("IR Iran",S2595)),"Iran",
ISNUMBER(SEARCH("Congo DR",S2595)),"Democratic Republic of the Congo",
ISNUMBER(SEARCH("DR Congo",S2595)),"Democratic Republic of the Congo",
ISNUMBER(SEARCH("German DR",S2595)),"DR Germany",
ISNUMBER(SEARCH("rn""&gt;United Arab Emirates",S2595)),"United Arab Emirates",
ISNUMBER(SEARCH("rn""&gt;Republic of Ireland",S2595)),"Ireland",
ISNUMBER(SEARCH("rn""&gt;Bosnia and Herzegovina",S2595)),"Bosnia and Herzegovina",
ISNUMBER(SEARCH("rn""&gt;Trinidad and Tobago",S2595)),"Trinidad and Tobago",
ISNUMBER(SEARCH("rn""&gt;Serbia and Montenegro",S2595)),"Serbia and Montenegro",
ISNUMBER(SEARCH(_xlfn.UNICHAR(65533),S2595)),"Côte d'Ivoire",
TRUE,""
)</f>
        <v/>
      </c>
      <c r="W2595" s="40" t="str">
        <f t="shared" si="192"/>
        <v>Italy</v>
      </c>
    </row>
    <row r="2596" spans="2:23">
      <c r="B2596" s="76" t="str">
        <v>2018.0</v>
      </c>
      <c r="C2596" s="42" t="str">
        <v>03 Jul 2018 - 21:00</v>
      </c>
      <c r="D2596" s="42" t="str">
        <v>round of 16</v>
      </c>
      <c r="E2596" s="42" t="str">
        <v>Otkritie Arena</v>
      </c>
      <c r="F2596" s="42" t="str">
        <v>Moscow</v>
      </c>
      <c r="G2596" s="42" t="str">
        <v>Colombia</v>
      </c>
      <c r="H2596" s="42" t="str">
        <v>1.0</v>
      </c>
      <c r="I2596" s="42" t="str">
        <v>1.0</v>
      </c>
      <c r="J2596" s="42" t="str">
        <v>England</v>
      </c>
      <c r="K2596" s="42" t="str">
        <v>England win on penalties (4 - 3)</v>
      </c>
      <c r="L2596" s="42" t="str">
        <f t="shared" si="193"/>
        <v>2018.0|03 Jul 2018 - 21:00|round of 16|Otkritie Arena|Moscow|Colombia|1.0|1.0|England|England win on penalties (4 - 3)</v>
      </c>
      <c r="M2596" s="42" t="str">
        <f>IF(COUNTIF($L$1689:L2596,L2596)&gt;1,"DOUBLON","OK")</f>
        <v>OK</v>
      </c>
      <c r="S2596" s="40" t="str">
        <v>Germany FR</v>
      </c>
      <c r="T2596" s="40" t="str">
        <f t="shared" si="190"/>
        <v>ERREUR</v>
      </c>
      <c r="U2596" s="40" t="str">
        <f t="shared" si="191"/>
        <v>RENOMMER</v>
      </c>
      <c r="V2596" s="40" t="str" cm="1">
        <f t="array" ref="V2596">_xlfn.IFS(
ISNUMBER(SEARCH("USA",S2596)),"United States",
ISNUMBER(SEARCH("Republic of Ireland",S2596)),"Ireland",
ISNUMBER(SEARCH("Republic of Korea",S2596)),"South Korea",
ISNUMBER(SEARCH("Cape Verde",S2596)),"Cabo Verde",
ISNUMBER(SEARCH("Czechia",S2596)),"Czech Republic",
ISNUMBER(SEARCH("Türkiye",S2596)),"Turkey",
ISNUMBER(SEARCH("Ivory Coast",S2596)),"Côte d'Ivoire",
ISNUMBER(SEARCH("Korea Republic",S2596)),"South Korea",
ISNUMBER(SEARCH("Germany FR",S2596)),"FR Germany",
ISNUMBER(SEARCH("West Germany",S2596)),"FR Germany",
ISNUMBER(SEARCH("Germany DR",S2596)),"DR Germany",
ISNUMBER(SEARCH("Korea DPR",S2596)),"North Korea",
ISNUMBER(SEARCH("China PR",S2596)),"China",
ISNUMBER(SEARCH("IR Iran",S2596)),"Iran",
ISNUMBER(SEARCH("Congo DR",S2596)),"Democratic Republic of the Congo",
ISNUMBER(SEARCH("DR Congo",S2596)),"Democratic Republic of the Congo",
ISNUMBER(SEARCH("German DR",S2596)),"DR Germany",
ISNUMBER(SEARCH("rn""&gt;United Arab Emirates",S2596)),"United Arab Emirates",
ISNUMBER(SEARCH("rn""&gt;Republic of Ireland",S2596)),"Ireland",
ISNUMBER(SEARCH("rn""&gt;Bosnia and Herzegovina",S2596)),"Bosnia and Herzegovina",
ISNUMBER(SEARCH("rn""&gt;Trinidad and Tobago",S2596)),"Trinidad and Tobago",
ISNUMBER(SEARCH("rn""&gt;Serbia and Montenegro",S2596)),"Serbia and Montenegro",
ISNUMBER(SEARCH(_xlfn.UNICHAR(65533),S2596)),"Côte d'Ivoire",
TRUE,""
)</f>
        <v>FR Germany</v>
      </c>
      <c r="W2596" s="40" t="str">
        <f t="shared" si="192"/>
        <v>FR Germany</v>
      </c>
    </row>
    <row r="2597" spans="2:23">
      <c r="B2597" s="76" t="str">
        <v>2018.0</v>
      </c>
      <c r="C2597" s="42" t="str">
        <v>06 Jul 2018 - 17:00</v>
      </c>
      <c r="D2597" s="42" t="str">
        <v>quarter-finals</v>
      </c>
      <c r="E2597" s="42" t="str">
        <v>Nizhny Novgorod Stadium</v>
      </c>
      <c r="F2597" s="42" t="str">
        <v>Nizhny Novgorod</v>
      </c>
      <c r="G2597" s="42" t="str">
        <v>Uruguay</v>
      </c>
      <c r="H2597" s="42" t="str">
        <v>0.0</v>
      </c>
      <c r="I2597" s="42" t="str">
        <v>2.0</v>
      </c>
      <c r="J2597" s="42" t="str">
        <v>France</v>
      </c>
      <c r="K2597" s="42" t="str">
        <v xml:space="preserve"> </v>
      </c>
      <c r="L2597" s="42" t="str">
        <f t="shared" si="193"/>
        <v xml:space="preserve">2018.0|06 Jul 2018 - 17:00|quarter-finals|Nizhny Novgorod Stadium|Nizhny Novgorod|Uruguay|0.0|2.0|France| </v>
      </c>
      <c r="M2597" s="42" t="str">
        <f>IF(COUNTIF($L$1689:L2597,L2597)&gt;1,"DOUBLON","OK")</f>
        <v>OK</v>
      </c>
      <c r="S2597" s="40" t="str">
        <v>Brazil</v>
      </c>
      <c r="T2597" s="40" t="str">
        <f t="shared" si="190"/>
        <v>OK</v>
      </c>
      <c r="U2597" s="40" t="str">
        <f t="shared" si="191"/>
        <v>-</v>
      </c>
      <c r="V2597" s="40" t="str" cm="1">
        <f t="array" ref="V2597">_xlfn.IFS(
ISNUMBER(SEARCH("USA",S2597)),"United States",
ISNUMBER(SEARCH("Republic of Ireland",S2597)),"Ireland",
ISNUMBER(SEARCH("Republic of Korea",S2597)),"South Korea",
ISNUMBER(SEARCH("Cape Verde",S2597)),"Cabo Verde",
ISNUMBER(SEARCH("Czechia",S2597)),"Czech Republic",
ISNUMBER(SEARCH("Türkiye",S2597)),"Turkey",
ISNUMBER(SEARCH("Ivory Coast",S2597)),"Côte d'Ivoire",
ISNUMBER(SEARCH("Korea Republic",S2597)),"South Korea",
ISNUMBER(SEARCH("Germany FR",S2597)),"FR Germany",
ISNUMBER(SEARCH("West Germany",S2597)),"FR Germany",
ISNUMBER(SEARCH("Germany DR",S2597)),"DR Germany",
ISNUMBER(SEARCH("Korea DPR",S2597)),"North Korea",
ISNUMBER(SEARCH("China PR",S2597)),"China",
ISNUMBER(SEARCH("IR Iran",S2597)),"Iran",
ISNUMBER(SEARCH("Congo DR",S2597)),"Democratic Republic of the Congo",
ISNUMBER(SEARCH("DR Congo",S2597)),"Democratic Republic of the Congo",
ISNUMBER(SEARCH("German DR",S2597)),"DR Germany",
ISNUMBER(SEARCH("rn""&gt;United Arab Emirates",S2597)),"United Arab Emirates",
ISNUMBER(SEARCH("rn""&gt;Republic of Ireland",S2597)),"Ireland",
ISNUMBER(SEARCH("rn""&gt;Bosnia and Herzegovina",S2597)),"Bosnia and Herzegovina",
ISNUMBER(SEARCH("rn""&gt;Trinidad and Tobago",S2597)),"Trinidad and Tobago",
ISNUMBER(SEARCH("rn""&gt;Serbia and Montenegro",S2597)),"Serbia and Montenegro",
ISNUMBER(SEARCH(_xlfn.UNICHAR(65533),S2597)),"Côte d'Ivoire",
TRUE,""
)</f>
        <v/>
      </c>
      <c r="W2597" s="40" t="str">
        <f t="shared" si="192"/>
        <v>Brazil</v>
      </c>
    </row>
    <row r="2598" spans="2:23">
      <c r="B2598" s="76" t="str">
        <v>2018.0</v>
      </c>
      <c r="C2598" s="42" t="str">
        <v>06 Jul 2018 - 21:00</v>
      </c>
      <c r="D2598" s="42" t="str">
        <v>quarter-finals</v>
      </c>
      <c r="E2598" s="42" t="str">
        <v>Kazan Arena</v>
      </c>
      <c r="F2598" s="42" t="str">
        <v>Kazan</v>
      </c>
      <c r="G2598" s="42" t="str">
        <v>Brazil</v>
      </c>
      <c r="H2598" s="42" t="str">
        <v>1.0</v>
      </c>
      <c r="I2598" s="42" t="str">
        <v>2.0</v>
      </c>
      <c r="J2598" s="42" t="str">
        <v>Belgium</v>
      </c>
      <c r="K2598" s="42" t="str">
        <v xml:space="preserve"> </v>
      </c>
      <c r="L2598" s="42" t="str">
        <f t="shared" si="193"/>
        <v xml:space="preserve">2018.0|06 Jul 2018 - 21:00|quarter-finals|Kazan Arena|Kazan|Brazil|1.0|2.0|Belgium| </v>
      </c>
      <c r="M2598" s="42" t="str">
        <f>IF(COUNTIF($L$1689:L2598,L2598)&gt;1,"DOUBLON","OK")</f>
        <v>OK</v>
      </c>
      <c r="S2598" s="40" t="str">
        <v>Uruguay</v>
      </c>
      <c r="T2598" s="40" t="str">
        <f t="shared" si="190"/>
        <v>OK</v>
      </c>
      <c r="U2598" s="40" t="str">
        <f t="shared" si="191"/>
        <v>-</v>
      </c>
      <c r="V2598" s="40" t="str" cm="1">
        <f t="array" ref="V2598">_xlfn.IFS(
ISNUMBER(SEARCH("USA",S2598)),"United States",
ISNUMBER(SEARCH("Republic of Ireland",S2598)),"Ireland",
ISNUMBER(SEARCH("Republic of Korea",S2598)),"South Korea",
ISNUMBER(SEARCH("Cape Verde",S2598)),"Cabo Verde",
ISNUMBER(SEARCH("Czechia",S2598)),"Czech Republic",
ISNUMBER(SEARCH("Türkiye",S2598)),"Turkey",
ISNUMBER(SEARCH("Ivory Coast",S2598)),"Côte d'Ivoire",
ISNUMBER(SEARCH("Korea Republic",S2598)),"South Korea",
ISNUMBER(SEARCH("Germany FR",S2598)),"FR Germany",
ISNUMBER(SEARCH("West Germany",S2598)),"FR Germany",
ISNUMBER(SEARCH("Germany DR",S2598)),"DR Germany",
ISNUMBER(SEARCH("Korea DPR",S2598)),"North Korea",
ISNUMBER(SEARCH("China PR",S2598)),"China",
ISNUMBER(SEARCH("IR Iran",S2598)),"Iran",
ISNUMBER(SEARCH("Congo DR",S2598)),"Democratic Republic of the Congo",
ISNUMBER(SEARCH("DR Congo",S2598)),"Democratic Republic of the Congo",
ISNUMBER(SEARCH("German DR",S2598)),"DR Germany",
ISNUMBER(SEARCH("rn""&gt;United Arab Emirates",S2598)),"United Arab Emirates",
ISNUMBER(SEARCH("rn""&gt;Republic of Ireland",S2598)),"Ireland",
ISNUMBER(SEARCH("rn""&gt;Bosnia and Herzegovina",S2598)),"Bosnia and Herzegovina",
ISNUMBER(SEARCH("rn""&gt;Trinidad and Tobago",S2598)),"Trinidad and Tobago",
ISNUMBER(SEARCH("rn""&gt;Serbia and Montenegro",S2598)),"Serbia and Montenegro",
ISNUMBER(SEARCH(_xlfn.UNICHAR(65533),S2598)),"Côte d'Ivoire",
TRUE,""
)</f>
        <v/>
      </c>
      <c r="W2598" s="40" t="str">
        <f t="shared" si="192"/>
        <v>Uruguay</v>
      </c>
    </row>
    <row r="2599" spans="2:23">
      <c r="B2599" s="76" t="str">
        <v>2018.0</v>
      </c>
      <c r="C2599" s="42" t="str">
        <v>07 Jul 2018 - 18:00</v>
      </c>
      <c r="D2599" s="42" t="str">
        <v>quarter-finals</v>
      </c>
      <c r="E2599" s="42" t="str">
        <v>Samara Arena</v>
      </c>
      <c r="F2599" s="42" t="str">
        <v>Samara</v>
      </c>
      <c r="G2599" s="42" t="str">
        <v>Sweden</v>
      </c>
      <c r="H2599" s="42" t="str">
        <v>0.0</v>
      </c>
      <c r="I2599" s="42" t="str">
        <v>2.0</v>
      </c>
      <c r="J2599" s="42" t="str">
        <v>England</v>
      </c>
      <c r="K2599" s="42" t="str">
        <v xml:space="preserve"> </v>
      </c>
      <c r="L2599" s="42" t="str">
        <f t="shared" si="193"/>
        <v xml:space="preserve">2018.0|07 Jul 2018 - 18:00|quarter-finals|Samara Arena|Samara|Sweden|0.0|2.0|England| </v>
      </c>
      <c r="M2599" s="42" t="str">
        <f>IF(COUNTIF($L$1689:L2599,L2599)&gt;1,"DOUBLON","OK")</f>
        <v>OK</v>
      </c>
      <c r="S2599" s="40" t="str">
        <v>Brazil</v>
      </c>
      <c r="T2599" s="40" t="str">
        <f t="shared" si="190"/>
        <v>OK</v>
      </c>
      <c r="U2599" s="40" t="str">
        <f t="shared" si="191"/>
        <v>-</v>
      </c>
      <c r="V2599" s="40" t="str" cm="1">
        <f t="array" ref="V2599">_xlfn.IFS(
ISNUMBER(SEARCH("USA",S2599)),"United States",
ISNUMBER(SEARCH("Republic of Ireland",S2599)),"Ireland",
ISNUMBER(SEARCH("Republic of Korea",S2599)),"South Korea",
ISNUMBER(SEARCH("Cape Verde",S2599)),"Cabo Verde",
ISNUMBER(SEARCH("Czechia",S2599)),"Czech Republic",
ISNUMBER(SEARCH("Türkiye",S2599)),"Turkey",
ISNUMBER(SEARCH("Ivory Coast",S2599)),"Côte d'Ivoire",
ISNUMBER(SEARCH("Korea Republic",S2599)),"South Korea",
ISNUMBER(SEARCH("Germany FR",S2599)),"FR Germany",
ISNUMBER(SEARCH("West Germany",S2599)),"FR Germany",
ISNUMBER(SEARCH("Germany DR",S2599)),"DR Germany",
ISNUMBER(SEARCH("Korea DPR",S2599)),"North Korea",
ISNUMBER(SEARCH("China PR",S2599)),"China",
ISNUMBER(SEARCH("IR Iran",S2599)),"Iran",
ISNUMBER(SEARCH("Congo DR",S2599)),"Democratic Republic of the Congo",
ISNUMBER(SEARCH("DR Congo",S2599)),"Democratic Republic of the Congo",
ISNUMBER(SEARCH("German DR",S2599)),"DR Germany",
ISNUMBER(SEARCH("rn""&gt;United Arab Emirates",S2599)),"United Arab Emirates",
ISNUMBER(SEARCH("rn""&gt;Republic of Ireland",S2599)),"Ireland",
ISNUMBER(SEARCH("rn""&gt;Bosnia and Herzegovina",S2599)),"Bosnia and Herzegovina",
ISNUMBER(SEARCH("rn""&gt;Trinidad and Tobago",S2599)),"Trinidad and Tobago",
ISNUMBER(SEARCH("rn""&gt;Serbia and Montenegro",S2599)),"Serbia and Montenegro",
ISNUMBER(SEARCH(_xlfn.UNICHAR(65533),S2599)),"Côte d'Ivoire",
TRUE,""
)</f>
        <v/>
      </c>
      <c r="W2599" s="40" t="str">
        <f t="shared" si="192"/>
        <v>Brazil</v>
      </c>
    </row>
    <row r="2600" spans="2:23">
      <c r="B2600" s="76" t="str">
        <v>2018.0</v>
      </c>
      <c r="C2600" s="42" t="str">
        <v>07 Jul 2018 - 21:00</v>
      </c>
      <c r="D2600" s="42" t="str">
        <v>quarter-finals</v>
      </c>
      <c r="E2600" s="42" t="str">
        <v>Fisht Olympic Stadium</v>
      </c>
      <c r="F2600" s="42" t="str">
        <v>Sochi</v>
      </c>
      <c r="G2600" s="42" t="str">
        <v>Russia</v>
      </c>
      <c r="H2600" s="42" t="str">
        <v>2.0</v>
      </c>
      <c r="I2600" s="42" t="str">
        <v>2.0</v>
      </c>
      <c r="J2600" s="42" t="str">
        <v>Croatia</v>
      </c>
      <c r="K2600" s="42" t="str">
        <v>Croatia win on penalties (4 - 3)</v>
      </c>
      <c r="L2600" s="42" t="str">
        <f t="shared" si="193"/>
        <v>2018.0|07 Jul 2018 - 21:00|quarter-finals|Fisht Olympic Stadium|Sochi|Russia|2.0|2.0|Croatia|Croatia win on penalties (4 - 3)</v>
      </c>
      <c r="M2600" s="42" t="str">
        <f>IF(COUNTIF($L$1689:L2600,L2600)&gt;1,"DOUBLON","OK")</f>
        <v>OK</v>
      </c>
      <c r="S2600" s="40" t="str">
        <v>Italy</v>
      </c>
      <c r="T2600" s="40" t="str">
        <f t="shared" si="190"/>
        <v>OK</v>
      </c>
      <c r="U2600" s="40" t="str">
        <f t="shared" si="191"/>
        <v>-</v>
      </c>
      <c r="V2600" s="40" t="str" cm="1">
        <f t="array" ref="V2600">_xlfn.IFS(
ISNUMBER(SEARCH("USA",S2600)),"United States",
ISNUMBER(SEARCH("Republic of Ireland",S2600)),"Ireland",
ISNUMBER(SEARCH("Republic of Korea",S2600)),"South Korea",
ISNUMBER(SEARCH("Cape Verde",S2600)),"Cabo Verde",
ISNUMBER(SEARCH("Czechia",S2600)),"Czech Republic",
ISNUMBER(SEARCH("Türkiye",S2600)),"Turkey",
ISNUMBER(SEARCH("Ivory Coast",S2600)),"Côte d'Ivoire",
ISNUMBER(SEARCH("Korea Republic",S2600)),"South Korea",
ISNUMBER(SEARCH("Germany FR",S2600)),"FR Germany",
ISNUMBER(SEARCH("West Germany",S2600)),"FR Germany",
ISNUMBER(SEARCH("Germany DR",S2600)),"DR Germany",
ISNUMBER(SEARCH("Korea DPR",S2600)),"North Korea",
ISNUMBER(SEARCH("China PR",S2600)),"China",
ISNUMBER(SEARCH("IR Iran",S2600)),"Iran",
ISNUMBER(SEARCH("Congo DR",S2600)),"Democratic Republic of the Congo",
ISNUMBER(SEARCH("DR Congo",S2600)),"Democratic Republic of the Congo",
ISNUMBER(SEARCH("German DR",S2600)),"DR Germany",
ISNUMBER(SEARCH("rn""&gt;United Arab Emirates",S2600)),"United Arab Emirates",
ISNUMBER(SEARCH("rn""&gt;Republic of Ireland",S2600)),"Ireland",
ISNUMBER(SEARCH("rn""&gt;Bosnia and Herzegovina",S2600)),"Bosnia and Herzegovina",
ISNUMBER(SEARCH("rn""&gt;Trinidad and Tobago",S2600)),"Trinidad and Tobago",
ISNUMBER(SEARCH("rn""&gt;Serbia and Montenegro",S2600)),"Serbia and Montenegro",
ISNUMBER(SEARCH(_xlfn.UNICHAR(65533),S2600)),"Côte d'Ivoire",
TRUE,""
)</f>
        <v/>
      </c>
      <c r="W2600" s="40" t="str">
        <f t="shared" si="192"/>
        <v>Italy</v>
      </c>
    </row>
    <row r="2601" spans="2:23">
      <c r="B2601" s="76" t="str">
        <v>2018.0</v>
      </c>
      <c r="C2601" s="42" t="str">
        <v>10 Jul 2018 - 21:00</v>
      </c>
      <c r="D2601" s="42" t="str">
        <v>semi-finals</v>
      </c>
      <c r="E2601" s="42" t="str">
        <v>Krestovsky Stadium</v>
      </c>
      <c r="F2601" s="42" t="str">
        <v>Saint Petersburg</v>
      </c>
      <c r="G2601" s="42" t="str">
        <v>France</v>
      </c>
      <c r="H2601" s="42" t="str">
        <v>1.0</v>
      </c>
      <c r="I2601" s="42" t="str">
        <v>0.0</v>
      </c>
      <c r="J2601" s="42" t="str">
        <v>Belgium</v>
      </c>
      <c r="K2601" s="42" t="str">
        <v xml:space="preserve"> </v>
      </c>
      <c r="L2601" s="42" t="str">
        <f t="shared" si="193"/>
        <v xml:space="preserve">2018.0|10 Jul 2018 - 21:00|semi-finals|Krestovsky Stadium|Saint Petersburg|France|1.0|0.0|Belgium| </v>
      </c>
      <c r="M2601" s="42" t="str">
        <f>IF(COUNTIF($L$1689:L2601,L2601)&gt;1,"DOUBLON","OK")</f>
        <v>OK</v>
      </c>
      <c r="S2601" s="40" t="str">
        <v>Germany FR</v>
      </c>
      <c r="T2601" s="40" t="str">
        <f t="shared" si="190"/>
        <v>ERREUR</v>
      </c>
      <c r="U2601" s="40" t="str">
        <f t="shared" si="191"/>
        <v>RENOMMER</v>
      </c>
      <c r="V2601" s="40" t="str" cm="1">
        <f t="array" ref="V2601">_xlfn.IFS(
ISNUMBER(SEARCH("USA",S2601)),"United States",
ISNUMBER(SEARCH("Republic of Ireland",S2601)),"Ireland",
ISNUMBER(SEARCH("Republic of Korea",S2601)),"South Korea",
ISNUMBER(SEARCH("Cape Verde",S2601)),"Cabo Verde",
ISNUMBER(SEARCH("Czechia",S2601)),"Czech Republic",
ISNUMBER(SEARCH("Türkiye",S2601)),"Turkey",
ISNUMBER(SEARCH("Ivory Coast",S2601)),"Côte d'Ivoire",
ISNUMBER(SEARCH("Korea Republic",S2601)),"South Korea",
ISNUMBER(SEARCH("Germany FR",S2601)),"FR Germany",
ISNUMBER(SEARCH("West Germany",S2601)),"FR Germany",
ISNUMBER(SEARCH("Germany DR",S2601)),"DR Germany",
ISNUMBER(SEARCH("Korea DPR",S2601)),"North Korea",
ISNUMBER(SEARCH("China PR",S2601)),"China",
ISNUMBER(SEARCH("IR Iran",S2601)),"Iran",
ISNUMBER(SEARCH("Congo DR",S2601)),"Democratic Republic of the Congo",
ISNUMBER(SEARCH("DR Congo",S2601)),"Democratic Republic of the Congo",
ISNUMBER(SEARCH("German DR",S2601)),"DR Germany",
ISNUMBER(SEARCH("rn""&gt;United Arab Emirates",S2601)),"United Arab Emirates",
ISNUMBER(SEARCH("rn""&gt;Republic of Ireland",S2601)),"Ireland",
ISNUMBER(SEARCH("rn""&gt;Bosnia and Herzegovina",S2601)),"Bosnia and Herzegovina",
ISNUMBER(SEARCH("rn""&gt;Trinidad and Tobago",S2601)),"Trinidad and Tobago",
ISNUMBER(SEARCH("rn""&gt;Serbia and Montenegro",S2601)),"Serbia and Montenegro",
ISNUMBER(SEARCH(_xlfn.UNICHAR(65533),S2601)),"Côte d'Ivoire",
TRUE,""
)</f>
        <v>FR Germany</v>
      </c>
      <c r="W2601" s="40" t="str">
        <f t="shared" si="192"/>
        <v>FR Germany</v>
      </c>
    </row>
    <row r="2602" spans="2:23">
      <c r="B2602" s="76" t="str">
        <v>2018.0</v>
      </c>
      <c r="C2602" s="42" t="str">
        <v>11 Jul 2018 - 21:00</v>
      </c>
      <c r="D2602" s="42" t="str">
        <v>semi-finals</v>
      </c>
      <c r="E2602" s="42" t="str">
        <v>Luzhniki Stadium</v>
      </c>
      <c r="F2602" s="42" t="str">
        <v>Moscow</v>
      </c>
      <c r="G2602" s="42" t="str">
        <v>Croatia</v>
      </c>
      <c r="H2602" s="42" t="str">
        <v>2.0</v>
      </c>
      <c r="I2602" s="42" t="str">
        <v>1.0</v>
      </c>
      <c r="J2602" s="42" t="str">
        <v>England</v>
      </c>
      <c r="K2602" s="42" t="str">
        <v>Croatia win after extra time</v>
      </c>
      <c r="L2602" s="42" t="str">
        <f t="shared" si="193"/>
        <v>2018.0|11 Jul 2018 - 21:00|semi-finals|Luzhniki Stadium|Moscow|Croatia|2.0|1.0|England|Croatia win after extra time</v>
      </c>
      <c r="M2602" s="42" t="str">
        <f>IF(COUNTIF($L$1689:L2602,L2602)&gt;1,"DOUBLON","OK")</f>
        <v>OK</v>
      </c>
      <c r="S2602" s="40" t="str">
        <v>Brazil</v>
      </c>
      <c r="T2602" s="40" t="str">
        <f t="shared" si="190"/>
        <v>OK</v>
      </c>
      <c r="U2602" s="40" t="str">
        <f t="shared" si="191"/>
        <v>-</v>
      </c>
      <c r="V2602" s="40" t="str" cm="1">
        <f t="array" ref="V2602">_xlfn.IFS(
ISNUMBER(SEARCH("USA",S2602)),"United States",
ISNUMBER(SEARCH("Republic of Ireland",S2602)),"Ireland",
ISNUMBER(SEARCH("Republic of Korea",S2602)),"South Korea",
ISNUMBER(SEARCH("Cape Verde",S2602)),"Cabo Verde",
ISNUMBER(SEARCH("Czechia",S2602)),"Czech Republic",
ISNUMBER(SEARCH("Türkiye",S2602)),"Turkey",
ISNUMBER(SEARCH("Ivory Coast",S2602)),"Côte d'Ivoire",
ISNUMBER(SEARCH("Korea Republic",S2602)),"South Korea",
ISNUMBER(SEARCH("Germany FR",S2602)),"FR Germany",
ISNUMBER(SEARCH("West Germany",S2602)),"FR Germany",
ISNUMBER(SEARCH("Germany DR",S2602)),"DR Germany",
ISNUMBER(SEARCH("Korea DPR",S2602)),"North Korea",
ISNUMBER(SEARCH("China PR",S2602)),"China",
ISNUMBER(SEARCH("IR Iran",S2602)),"Iran",
ISNUMBER(SEARCH("Congo DR",S2602)),"Democratic Republic of the Congo",
ISNUMBER(SEARCH("DR Congo",S2602)),"Democratic Republic of the Congo",
ISNUMBER(SEARCH("German DR",S2602)),"DR Germany",
ISNUMBER(SEARCH("rn""&gt;United Arab Emirates",S2602)),"United Arab Emirates",
ISNUMBER(SEARCH("rn""&gt;Republic of Ireland",S2602)),"Ireland",
ISNUMBER(SEARCH("rn""&gt;Bosnia and Herzegovina",S2602)),"Bosnia and Herzegovina",
ISNUMBER(SEARCH("rn""&gt;Trinidad and Tobago",S2602)),"Trinidad and Tobago",
ISNUMBER(SEARCH("rn""&gt;Serbia and Montenegro",S2602)),"Serbia and Montenegro",
ISNUMBER(SEARCH(_xlfn.UNICHAR(65533),S2602)),"Côte d'Ivoire",
TRUE,""
)</f>
        <v/>
      </c>
      <c r="W2602" s="40" t="str">
        <f t="shared" si="192"/>
        <v>Brazil</v>
      </c>
    </row>
    <row r="2603" spans="2:23">
      <c r="B2603" s="76" t="str">
        <v>2018.0</v>
      </c>
      <c r="C2603" s="42" t="str">
        <v>14 Jul 2018 - 17:00</v>
      </c>
      <c r="D2603" s="42" t="str">
        <v>third-place match</v>
      </c>
      <c r="E2603" s="42" t="str">
        <v>Krestovsky Stadium</v>
      </c>
      <c r="F2603" s="42" t="str">
        <v>Saint Petersburg</v>
      </c>
      <c r="G2603" s="42" t="str">
        <v>Belgium</v>
      </c>
      <c r="H2603" s="42" t="str">
        <v>2.0</v>
      </c>
      <c r="I2603" s="42" t="str">
        <v>0.0</v>
      </c>
      <c r="J2603" s="42" t="str">
        <v>England</v>
      </c>
      <c r="K2603" s="42" t="str">
        <v xml:space="preserve"> </v>
      </c>
      <c r="L2603" s="42" t="str">
        <f t="shared" si="193"/>
        <v xml:space="preserve">2018.0|14 Jul 2018 - 17:00|third-place match|Krestovsky Stadium|Saint Petersburg|Belgium|2.0|0.0|England| </v>
      </c>
      <c r="M2603" s="42" t="str">
        <f>IF(COUNTIF($L$1689:L2603,L2603)&gt;1,"DOUBLON","OK")</f>
        <v>OK</v>
      </c>
      <c r="S2603" s="40" t="str">
        <v>Brazil</v>
      </c>
      <c r="T2603" s="40" t="str">
        <f t="shared" si="190"/>
        <v>OK</v>
      </c>
      <c r="U2603" s="40" t="str">
        <f t="shared" si="191"/>
        <v>-</v>
      </c>
      <c r="V2603" s="40" t="str" cm="1">
        <f t="array" ref="V2603">_xlfn.IFS(
ISNUMBER(SEARCH("USA",S2603)),"United States",
ISNUMBER(SEARCH("Republic of Ireland",S2603)),"Ireland",
ISNUMBER(SEARCH("Republic of Korea",S2603)),"South Korea",
ISNUMBER(SEARCH("Cape Verde",S2603)),"Cabo Verde",
ISNUMBER(SEARCH("Czechia",S2603)),"Czech Republic",
ISNUMBER(SEARCH("Türkiye",S2603)),"Turkey",
ISNUMBER(SEARCH("Ivory Coast",S2603)),"Côte d'Ivoire",
ISNUMBER(SEARCH("Korea Republic",S2603)),"South Korea",
ISNUMBER(SEARCH("Germany FR",S2603)),"FR Germany",
ISNUMBER(SEARCH("West Germany",S2603)),"FR Germany",
ISNUMBER(SEARCH("Germany DR",S2603)),"DR Germany",
ISNUMBER(SEARCH("Korea DPR",S2603)),"North Korea",
ISNUMBER(SEARCH("China PR",S2603)),"China",
ISNUMBER(SEARCH("IR Iran",S2603)),"Iran",
ISNUMBER(SEARCH("Congo DR",S2603)),"Democratic Republic of the Congo",
ISNUMBER(SEARCH("DR Congo",S2603)),"Democratic Republic of the Congo",
ISNUMBER(SEARCH("German DR",S2603)),"DR Germany",
ISNUMBER(SEARCH("rn""&gt;United Arab Emirates",S2603)),"United Arab Emirates",
ISNUMBER(SEARCH("rn""&gt;Republic of Ireland",S2603)),"Ireland",
ISNUMBER(SEARCH("rn""&gt;Bosnia and Herzegovina",S2603)),"Bosnia and Herzegovina",
ISNUMBER(SEARCH("rn""&gt;Trinidad and Tobago",S2603)),"Trinidad and Tobago",
ISNUMBER(SEARCH("rn""&gt;Serbia and Montenegro",S2603)),"Serbia and Montenegro",
ISNUMBER(SEARCH(_xlfn.UNICHAR(65533),S2603)),"Côte d'Ivoire",
TRUE,""
)</f>
        <v/>
      </c>
      <c r="W2603" s="40" t="str">
        <f t="shared" si="192"/>
        <v>Brazil</v>
      </c>
    </row>
    <row r="2604" spans="2:23">
      <c r="B2604" s="76" t="str">
        <v>2018.0</v>
      </c>
      <c r="C2604" s="42" t="str">
        <v>15 Jul 2018 - 18:00</v>
      </c>
      <c r="D2604" s="42" t="str">
        <v>final</v>
      </c>
      <c r="E2604" s="42" t="str">
        <v>Luzhniki Stadium</v>
      </c>
      <c r="F2604" s="42" t="str">
        <v>Moscow</v>
      </c>
      <c r="G2604" s="42" t="str">
        <v>France</v>
      </c>
      <c r="H2604" s="42" t="str">
        <v>4.0</v>
      </c>
      <c r="I2604" s="42" t="str">
        <v>2.0</v>
      </c>
      <c r="J2604" s="42" t="str">
        <v>Croatia</v>
      </c>
      <c r="K2604" s="42" t="str">
        <v xml:space="preserve"> </v>
      </c>
      <c r="L2604" s="42" t="str">
        <f t="shared" si="193"/>
        <v xml:space="preserve">2018.0|15 Jul 2018 - 18:00|final|Luzhniki Stadium|Moscow|France|4.0|2.0|Croatia| </v>
      </c>
      <c r="M2604" s="42" t="str">
        <f>IF(COUNTIF($L$1689:L2604,L2604)&gt;1,"DOUBLON","OK")</f>
        <v>OK</v>
      </c>
      <c r="S2604" s="40" t="str">
        <v>Germany FR</v>
      </c>
      <c r="T2604" s="40" t="str">
        <f t="shared" si="190"/>
        <v>ERREUR</v>
      </c>
      <c r="U2604" s="40" t="str">
        <f t="shared" si="191"/>
        <v>RENOMMER</v>
      </c>
      <c r="V2604" s="40" t="str" cm="1">
        <f t="array" ref="V2604">_xlfn.IFS(
ISNUMBER(SEARCH("USA",S2604)),"United States",
ISNUMBER(SEARCH("Republic of Ireland",S2604)),"Ireland",
ISNUMBER(SEARCH("Republic of Korea",S2604)),"South Korea",
ISNUMBER(SEARCH("Cape Verde",S2604)),"Cabo Verde",
ISNUMBER(SEARCH("Czechia",S2604)),"Czech Republic",
ISNUMBER(SEARCH("Türkiye",S2604)),"Turkey",
ISNUMBER(SEARCH("Ivory Coast",S2604)),"Côte d'Ivoire",
ISNUMBER(SEARCH("Korea Republic",S2604)),"South Korea",
ISNUMBER(SEARCH("Germany FR",S2604)),"FR Germany",
ISNUMBER(SEARCH("West Germany",S2604)),"FR Germany",
ISNUMBER(SEARCH("Germany DR",S2604)),"DR Germany",
ISNUMBER(SEARCH("Korea DPR",S2604)),"North Korea",
ISNUMBER(SEARCH("China PR",S2604)),"China",
ISNUMBER(SEARCH("IR Iran",S2604)),"Iran",
ISNUMBER(SEARCH("Congo DR",S2604)),"Democratic Republic of the Congo",
ISNUMBER(SEARCH("DR Congo",S2604)),"Democratic Republic of the Congo",
ISNUMBER(SEARCH("German DR",S2604)),"DR Germany",
ISNUMBER(SEARCH("rn""&gt;United Arab Emirates",S2604)),"United Arab Emirates",
ISNUMBER(SEARCH("rn""&gt;Republic of Ireland",S2604)),"Ireland",
ISNUMBER(SEARCH("rn""&gt;Bosnia and Herzegovina",S2604)),"Bosnia and Herzegovina",
ISNUMBER(SEARCH("rn""&gt;Trinidad and Tobago",S2604)),"Trinidad and Tobago",
ISNUMBER(SEARCH("rn""&gt;Serbia and Montenegro",S2604)),"Serbia and Montenegro",
ISNUMBER(SEARCH(_xlfn.UNICHAR(65533),S2604)),"Côte d'Ivoire",
TRUE,""
)</f>
        <v>FR Germany</v>
      </c>
      <c r="W2604" s="40" t="str">
        <f t="shared" si="192"/>
        <v>FR Germany</v>
      </c>
    </row>
    <row r="2605" spans="2:23">
      <c r="B2605" s="76" t="str">
        <v>2022.0</v>
      </c>
      <c r="C2605" s="42" t="str">
        <v>20 Nov 2022 - 19:00</v>
      </c>
      <c r="D2605" s="42" t="str">
        <v>group stage</v>
      </c>
      <c r="E2605" s="42" t="str">
        <v>Al Bayt Stadium</v>
      </c>
      <c r="F2605" s="42" t="str">
        <v>Al Khor</v>
      </c>
      <c r="G2605" s="42" t="str">
        <v>Qatar</v>
      </c>
      <c r="H2605" s="42" t="str">
        <v>0.0</v>
      </c>
      <c r="I2605" s="42" t="str">
        <v>2.0</v>
      </c>
      <c r="J2605" s="42" t="str">
        <v>Ecuador</v>
      </c>
      <c r="K2605" s="42" t="str">
        <v xml:space="preserve"> </v>
      </c>
      <c r="L2605" s="42" t="str">
        <f t="shared" si="193"/>
        <v xml:space="preserve">2022.0|20 Nov 2022 - 19:00|group stage|Al Bayt Stadium|Al Khor|Qatar|0.0|2.0|Ecuador| </v>
      </c>
      <c r="M2605" s="42" t="str">
        <f>IF(COUNTIF($L$1689:L2605,L2605)&gt;1,"DOUBLON","OK")</f>
        <v>OK</v>
      </c>
      <c r="S2605" s="40" t="str">
        <v>German DR</v>
      </c>
      <c r="T2605" s="40" t="str">
        <f t="shared" si="190"/>
        <v>ERREUR</v>
      </c>
      <c r="U2605" s="40" t="str">
        <f t="shared" si="191"/>
        <v>RENOMMER</v>
      </c>
      <c r="V2605" s="40" t="str" cm="1">
        <f t="array" ref="V2605">_xlfn.IFS(
ISNUMBER(SEARCH("USA",S2605)),"United States",
ISNUMBER(SEARCH("Republic of Ireland",S2605)),"Ireland",
ISNUMBER(SEARCH("Republic of Korea",S2605)),"South Korea",
ISNUMBER(SEARCH("Cape Verde",S2605)),"Cabo Verde",
ISNUMBER(SEARCH("Czechia",S2605)),"Czech Republic",
ISNUMBER(SEARCH("Türkiye",S2605)),"Turkey",
ISNUMBER(SEARCH("Ivory Coast",S2605)),"Côte d'Ivoire",
ISNUMBER(SEARCH("Korea Republic",S2605)),"South Korea",
ISNUMBER(SEARCH("Germany FR",S2605)),"FR Germany",
ISNUMBER(SEARCH("West Germany",S2605)),"FR Germany",
ISNUMBER(SEARCH("Germany DR",S2605)),"DR Germany",
ISNUMBER(SEARCH("Korea DPR",S2605)),"North Korea",
ISNUMBER(SEARCH("China PR",S2605)),"China",
ISNUMBER(SEARCH("IR Iran",S2605)),"Iran",
ISNUMBER(SEARCH("Congo DR",S2605)),"Democratic Republic of the Congo",
ISNUMBER(SEARCH("DR Congo",S2605)),"Democratic Republic of the Congo",
ISNUMBER(SEARCH("German DR",S2605)),"DR Germany",
ISNUMBER(SEARCH("rn""&gt;United Arab Emirates",S2605)),"United Arab Emirates",
ISNUMBER(SEARCH("rn""&gt;Republic of Ireland",S2605)),"Ireland",
ISNUMBER(SEARCH("rn""&gt;Bosnia and Herzegovina",S2605)),"Bosnia and Herzegovina",
ISNUMBER(SEARCH("rn""&gt;Trinidad and Tobago",S2605)),"Trinidad and Tobago",
ISNUMBER(SEARCH("rn""&gt;Serbia and Montenegro",S2605)),"Serbia and Montenegro",
ISNUMBER(SEARCH(_xlfn.UNICHAR(65533),S2605)),"Côte d'Ivoire",
TRUE,""
)</f>
        <v>DR Germany</v>
      </c>
      <c r="W2605" s="40" t="str">
        <f t="shared" si="192"/>
        <v>DR Germany</v>
      </c>
    </row>
    <row r="2606" spans="2:23">
      <c r="B2606" s="76" t="str">
        <v>2022.0</v>
      </c>
      <c r="C2606" s="42" t="str">
        <v>21 Nov 2022 - 16:00</v>
      </c>
      <c r="D2606" s="42" t="str">
        <v>group stage</v>
      </c>
      <c r="E2606" s="42" t="str">
        <v>Khalifa International Stadium</v>
      </c>
      <c r="F2606" s="42" t="str">
        <v>Al Rayyan</v>
      </c>
      <c r="G2606" s="42" t="str">
        <v>England</v>
      </c>
      <c r="H2606" s="42" t="str">
        <v>6.0</v>
      </c>
      <c r="I2606" s="42" t="str">
        <v>2.0</v>
      </c>
      <c r="J2606" s="42" t="str">
        <v>Iran</v>
      </c>
      <c r="K2606" s="42" t="str">
        <v xml:space="preserve"> </v>
      </c>
      <c r="L2606" s="42" t="str">
        <f t="shared" si="193"/>
        <v xml:space="preserve">2022.0|21 Nov 2022 - 16:00|group stage|Khalifa International Stadium|Al Rayyan|England|6.0|2.0|Iran| </v>
      </c>
      <c r="M2606" s="42" t="str">
        <f>IF(COUNTIF($L$1689:L2606,L2606)&gt;1,"DOUBLON","OK")</f>
        <v>OK</v>
      </c>
      <c r="S2606" s="40" t="str">
        <v>Zaire</v>
      </c>
      <c r="T2606" s="40" t="str">
        <f t="shared" si="190"/>
        <v>ERREUR</v>
      </c>
      <c r="U2606" s="40" t="str">
        <f t="shared" si="191"/>
        <v>AUCUNE</v>
      </c>
      <c r="V2606" s="40" t="str" cm="1">
        <f t="array" ref="V2606">_xlfn.IFS(
ISNUMBER(SEARCH("USA",S2606)),"United States",
ISNUMBER(SEARCH("Republic of Ireland",S2606)),"Ireland",
ISNUMBER(SEARCH("Republic of Korea",S2606)),"South Korea",
ISNUMBER(SEARCH("Cape Verde",S2606)),"Cabo Verde",
ISNUMBER(SEARCH("Czechia",S2606)),"Czech Republic",
ISNUMBER(SEARCH("Türkiye",S2606)),"Turkey",
ISNUMBER(SEARCH("Ivory Coast",S2606)),"Côte d'Ivoire",
ISNUMBER(SEARCH("Korea Republic",S2606)),"South Korea",
ISNUMBER(SEARCH("Germany FR",S2606)),"FR Germany",
ISNUMBER(SEARCH("West Germany",S2606)),"FR Germany",
ISNUMBER(SEARCH("Germany DR",S2606)),"DR Germany",
ISNUMBER(SEARCH("Korea DPR",S2606)),"North Korea",
ISNUMBER(SEARCH("China PR",S2606)),"China",
ISNUMBER(SEARCH("IR Iran",S2606)),"Iran",
ISNUMBER(SEARCH("Congo DR",S2606)),"Democratic Republic of the Congo",
ISNUMBER(SEARCH("DR Congo",S2606)),"Democratic Republic of the Congo",
ISNUMBER(SEARCH("German DR",S2606)),"DR Germany",
ISNUMBER(SEARCH("rn""&gt;United Arab Emirates",S2606)),"United Arab Emirates",
ISNUMBER(SEARCH("rn""&gt;Republic of Ireland",S2606)),"Ireland",
ISNUMBER(SEARCH("rn""&gt;Bosnia and Herzegovina",S2606)),"Bosnia and Herzegovina",
ISNUMBER(SEARCH("rn""&gt;Trinidad and Tobago",S2606)),"Trinidad and Tobago",
ISNUMBER(SEARCH("rn""&gt;Serbia and Montenegro",S2606)),"Serbia and Montenegro",
ISNUMBER(SEARCH(_xlfn.UNICHAR(65533),S2606)),"Côte d'Ivoire",
TRUE,""
)</f>
        <v/>
      </c>
      <c r="W2606" s="40" t="str">
        <f t="shared" si="192"/>
        <v>Zaire</v>
      </c>
    </row>
    <row r="2607" spans="2:23">
      <c r="B2607" s="76" t="str">
        <v>2022.0</v>
      </c>
      <c r="C2607" s="42" t="str">
        <v>21 Nov 2022 - 19:00</v>
      </c>
      <c r="D2607" s="42" t="str">
        <v>group stage</v>
      </c>
      <c r="E2607" s="42" t="str">
        <v>Al Thumama Stadium</v>
      </c>
      <c r="F2607" s="42" t="str">
        <v>Doha</v>
      </c>
      <c r="G2607" s="42" t="str">
        <v>Senegal</v>
      </c>
      <c r="H2607" s="42" t="str">
        <v>0.0</v>
      </c>
      <c r="I2607" s="42" t="str">
        <v>2.0</v>
      </c>
      <c r="J2607" s="42" t="str">
        <v>Netherlands</v>
      </c>
      <c r="K2607" s="42" t="str">
        <v xml:space="preserve"> </v>
      </c>
      <c r="L2607" s="42" t="str">
        <f t="shared" si="193"/>
        <v xml:space="preserve">2022.0|21 Nov 2022 - 19:00|group stage|Al Thumama Stadium|Doha|Senegal|0.0|2.0|Netherlands| </v>
      </c>
      <c r="M2607" s="42" t="str">
        <f>IF(COUNTIF($L$1689:L2607,L2607)&gt;1,"DOUBLON","OK")</f>
        <v>OK</v>
      </c>
      <c r="S2607" s="40" t="str">
        <v>Uruguay</v>
      </c>
      <c r="T2607" s="40" t="str">
        <f t="shared" si="190"/>
        <v>OK</v>
      </c>
      <c r="U2607" s="40" t="str">
        <f t="shared" si="191"/>
        <v>-</v>
      </c>
      <c r="V2607" s="40" t="str" cm="1">
        <f t="array" ref="V2607">_xlfn.IFS(
ISNUMBER(SEARCH("USA",S2607)),"United States",
ISNUMBER(SEARCH("Republic of Ireland",S2607)),"Ireland",
ISNUMBER(SEARCH("Republic of Korea",S2607)),"South Korea",
ISNUMBER(SEARCH("Cape Verde",S2607)),"Cabo Verde",
ISNUMBER(SEARCH("Czechia",S2607)),"Czech Republic",
ISNUMBER(SEARCH("Türkiye",S2607)),"Turkey",
ISNUMBER(SEARCH("Ivory Coast",S2607)),"Côte d'Ivoire",
ISNUMBER(SEARCH("Korea Republic",S2607)),"South Korea",
ISNUMBER(SEARCH("Germany FR",S2607)),"FR Germany",
ISNUMBER(SEARCH("West Germany",S2607)),"FR Germany",
ISNUMBER(SEARCH("Germany DR",S2607)),"DR Germany",
ISNUMBER(SEARCH("Korea DPR",S2607)),"North Korea",
ISNUMBER(SEARCH("China PR",S2607)),"China",
ISNUMBER(SEARCH("IR Iran",S2607)),"Iran",
ISNUMBER(SEARCH("Congo DR",S2607)),"Democratic Republic of the Congo",
ISNUMBER(SEARCH("DR Congo",S2607)),"Democratic Republic of the Congo",
ISNUMBER(SEARCH("German DR",S2607)),"DR Germany",
ISNUMBER(SEARCH("rn""&gt;United Arab Emirates",S2607)),"United Arab Emirates",
ISNUMBER(SEARCH("rn""&gt;Republic of Ireland",S2607)),"Ireland",
ISNUMBER(SEARCH("rn""&gt;Bosnia and Herzegovina",S2607)),"Bosnia and Herzegovina",
ISNUMBER(SEARCH("rn""&gt;Trinidad and Tobago",S2607)),"Trinidad and Tobago",
ISNUMBER(SEARCH("rn""&gt;Serbia and Montenegro",S2607)),"Serbia and Montenegro",
ISNUMBER(SEARCH(_xlfn.UNICHAR(65533),S2607)),"Côte d'Ivoire",
TRUE,""
)</f>
        <v/>
      </c>
      <c r="W2607" s="40" t="str">
        <f t="shared" si="192"/>
        <v>Uruguay</v>
      </c>
    </row>
    <row r="2608" spans="2:23">
      <c r="B2608" s="76" t="str">
        <v>2022.0</v>
      </c>
      <c r="C2608" s="42" t="str">
        <v>21 Nov 2022 - 22:00</v>
      </c>
      <c r="D2608" s="42" t="str">
        <v>group stage</v>
      </c>
      <c r="E2608" s="42" t="str">
        <v>Ahmad bin Ali Stadium</v>
      </c>
      <c r="F2608" s="42" t="str">
        <v>Al Rayyan</v>
      </c>
      <c r="G2608" s="42" t="str">
        <v>United States</v>
      </c>
      <c r="H2608" s="42" t="str">
        <v>1.0</v>
      </c>
      <c r="I2608" s="42" t="str">
        <v>1.0</v>
      </c>
      <c r="J2608" s="42" t="str">
        <v>Wales</v>
      </c>
      <c r="K2608" s="42" t="str">
        <v xml:space="preserve"> </v>
      </c>
      <c r="L2608" s="42" t="str">
        <f t="shared" si="193"/>
        <v xml:space="preserve">2022.0|21 Nov 2022 - 22:00|group stage|Ahmad bin Ali Stadium|Al Rayyan|United States|1.0|1.0|Wales| </v>
      </c>
      <c r="M2608" s="42" t="str">
        <f>IF(COUNTIF($L$1689:L2608,L2608)&gt;1,"DOUBLON","OK")</f>
        <v>OK</v>
      </c>
      <c r="S2608" s="40" t="str">
        <v>Sweden</v>
      </c>
      <c r="T2608" s="40" t="str">
        <f t="shared" si="190"/>
        <v>OK</v>
      </c>
      <c r="U2608" s="40" t="str">
        <f t="shared" si="191"/>
        <v>-</v>
      </c>
      <c r="V2608" s="40" t="str" cm="1">
        <f t="array" ref="V2608">_xlfn.IFS(
ISNUMBER(SEARCH("USA",S2608)),"United States",
ISNUMBER(SEARCH("Republic of Ireland",S2608)),"Ireland",
ISNUMBER(SEARCH("Republic of Korea",S2608)),"South Korea",
ISNUMBER(SEARCH("Cape Verde",S2608)),"Cabo Verde",
ISNUMBER(SEARCH("Czechia",S2608)),"Czech Republic",
ISNUMBER(SEARCH("Türkiye",S2608)),"Turkey",
ISNUMBER(SEARCH("Ivory Coast",S2608)),"Côte d'Ivoire",
ISNUMBER(SEARCH("Korea Republic",S2608)),"South Korea",
ISNUMBER(SEARCH("Germany FR",S2608)),"FR Germany",
ISNUMBER(SEARCH("West Germany",S2608)),"FR Germany",
ISNUMBER(SEARCH("Germany DR",S2608)),"DR Germany",
ISNUMBER(SEARCH("Korea DPR",S2608)),"North Korea",
ISNUMBER(SEARCH("China PR",S2608)),"China",
ISNUMBER(SEARCH("IR Iran",S2608)),"Iran",
ISNUMBER(SEARCH("Congo DR",S2608)),"Democratic Republic of the Congo",
ISNUMBER(SEARCH("DR Congo",S2608)),"Democratic Republic of the Congo",
ISNUMBER(SEARCH("German DR",S2608)),"DR Germany",
ISNUMBER(SEARCH("rn""&gt;United Arab Emirates",S2608)),"United Arab Emirates",
ISNUMBER(SEARCH("rn""&gt;Republic of Ireland",S2608)),"Ireland",
ISNUMBER(SEARCH("rn""&gt;Bosnia and Herzegovina",S2608)),"Bosnia and Herzegovina",
ISNUMBER(SEARCH("rn""&gt;Trinidad and Tobago",S2608)),"Trinidad and Tobago",
ISNUMBER(SEARCH("rn""&gt;Serbia and Montenegro",S2608)),"Serbia and Montenegro",
ISNUMBER(SEARCH(_xlfn.UNICHAR(65533),S2608)),"Côte d'Ivoire",
TRUE,""
)</f>
        <v/>
      </c>
      <c r="W2608" s="40" t="str">
        <f t="shared" si="192"/>
        <v>Sweden</v>
      </c>
    </row>
    <row r="2609" spans="2:23">
      <c r="B2609" s="76" t="str">
        <v>2022.0</v>
      </c>
      <c r="C2609" s="42" t="str">
        <v>22 Nov 2022 - 13:00</v>
      </c>
      <c r="D2609" s="42" t="str">
        <v>group stage</v>
      </c>
      <c r="E2609" s="42" t="str">
        <v>Lusail Stadium</v>
      </c>
      <c r="F2609" s="42" t="str">
        <v>Lusail</v>
      </c>
      <c r="G2609" s="42" t="str">
        <v>Argentina</v>
      </c>
      <c r="H2609" s="42" t="str">
        <v>1.0</v>
      </c>
      <c r="I2609" s="42" t="str">
        <v>2.0</v>
      </c>
      <c r="J2609" s="42" t="str">
        <v>Saudi Arabia</v>
      </c>
      <c r="K2609" s="42" t="str">
        <v xml:space="preserve"> </v>
      </c>
      <c r="L2609" s="42" t="str">
        <f t="shared" si="193"/>
        <v xml:space="preserve">2022.0|22 Nov 2022 - 13:00|group stage|Lusail Stadium|Lusail|Argentina|1.0|2.0|Saudi Arabia| </v>
      </c>
      <c r="M2609" s="42" t="str">
        <f>IF(COUNTIF($L$1689:L2609,L2609)&gt;1,"DOUBLON","OK")</f>
        <v>OK</v>
      </c>
      <c r="S2609" s="40" t="str">
        <v>Italy</v>
      </c>
      <c r="T2609" s="40" t="str">
        <f t="shared" si="190"/>
        <v>OK</v>
      </c>
      <c r="U2609" s="40" t="str">
        <f t="shared" si="191"/>
        <v>-</v>
      </c>
      <c r="V2609" s="40" t="str" cm="1">
        <f t="array" ref="V2609">_xlfn.IFS(
ISNUMBER(SEARCH("USA",S2609)),"United States",
ISNUMBER(SEARCH("Republic of Ireland",S2609)),"Ireland",
ISNUMBER(SEARCH("Republic of Korea",S2609)),"South Korea",
ISNUMBER(SEARCH("Cape Verde",S2609)),"Cabo Verde",
ISNUMBER(SEARCH("Czechia",S2609)),"Czech Republic",
ISNUMBER(SEARCH("Türkiye",S2609)),"Turkey",
ISNUMBER(SEARCH("Ivory Coast",S2609)),"Côte d'Ivoire",
ISNUMBER(SEARCH("Korea Republic",S2609)),"South Korea",
ISNUMBER(SEARCH("Germany FR",S2609)),"FR Germany",
ISNUMBER(SEARCH("West Germany",S2609)),"FR Germany",
ISNUMBER(SEARCH("Germany DR",S2609)),"DR Germany",
ISNUMBER(SEARCH("Korea DPR",S2609)),"North Korea",
ISNUMBER(SEARCH("China PR",S2609)),"China",
ISNUMBER(SEARCH("IR Iran",S2609)),"Iran",
ISNUMBER(SEARCH("Congo DR",S2609)),"Democratic Republic of the Congo",
ISNUMBER(SEARCH("DR Congo",S2609)),"Democratic Republic of the Congo",
ISNUMBER(SEARCH("German DR",S2609)),"DR Germany",
ISNUMBER(SEARCH("rn""&gt;United Arab Emirates",S2609)),"United Arab Emirates",
ISNUMBER(SEARCH("rn""&gt;Republic of Ireland",S2609)),"Ireland",
ISNUMBER(SEARCH("rn""&gt;Bosnia and Herzegovina",S2609)),"Bosnia and Herzegovina",
ISNUMBER(SEARCH("rn""&gt;Trinidad and Tobago",S2609)),"Trinidad and Tobago",
ISNUMBER(SEARCH("rn""&gt;Serbia and Montenegro",S2609)),"Serbia and Montenegro",
ISNUMBER(SEARCH(_xlfn.UNICHAR(65533),S2609)),"Côte d'Ivoire",
TRUE,""
)</f>
        <v/>
      </c>
      <c r="W2609" s="40" t="str">
        <f t="shared" si="192"/>
        <v>Italy</v>
      </c>
    </row>
    <row r="2610" spans="2:23">
      <c r="B2610" s="76" t="str">
        <v>2022.0</v>
      </c>
      <c r="C2610" s="42" t="str">
        <v>22 Nov 2022 - 16:00</v>
      </c>
      <c r="D2610" s="42" t="str">
        <v>group stage</v>
      </c>
      <c r="E2610" s="42" t="str">
        <v>Education City Stadium</v>
      </c>
      <c r="F2610" s="42" t="str">
        <v>Al Rayyan</v>
      </c>
      <c r="G2610" s="42" t="str">
        <v>Denmark</v>
      </c>
      <c r="H2610" s="42" t="str">
        <v>0.0</v>
      </c>
      <c r="I2610" s="42" t="str">
        <v>0.0</v>
      </c>
      <c r="J2610" s="42" t="str">
        <v>Tunisia</v>
      </c>
      <c r="K2610" s="42" t="str">
        <v xml:space="preserve"> </v>
      </c>
      <c r="L2610" s="42" t="str">
        <f t="shared" si="193"/>
        <v xml:space="preserve">2022.0|22 Nov 2022 - 16:00|group stage|Education City Stadium|Al Rayyan|Denmark|0.0|0.0|Tunisia| </v>
      </c>
      <c r="M2610" s="42" t="str">
        <f>IF(COUNTIF($L$1689:L2610,L2610)&gt;1,"DOUBLON","OK")</f>
        <v>OK</v>
      </c>
      <c r="S2610" s="40" t="str">
        <v>Poland</v>
      </c>
      <c r="T2610" s="40" t="str">
        <f t="shared" si="190"/>
        <v>OK</v>
      </c>
      <c r="U2610" s="40" t="str">
        <f t="shared" si="191"/>
        <v>-</v>
      </c>
      <c r="V2610" s="40" t="str" cm="1">
        <f t="array" ref="V2610">_xlfn.IFS(
ISNUMBER(SEARCH("USA",S2610)),"United States",
ISNUMBER(SEARCH("Republic of Ireland",S2610)),"Ireland",
ISNUMBER(SEARCH("Republic of Korea",S2610)),"South Korea",
ISNUMBER(SEARCH("Cape Verde",S2610)),"Cabo Verde",
ISNUMBER(SEARCH("Czechia",S2610)),"Czech Republic",
ISNUMBER(SEARCH("Türkiye",S2610)),"Turkey",
ISNUMBER(SEARCH("Ivory Coast",S2610)),"Côte d'Ivoire",
ISNUMBER(SEARCH("Korea Republic",S2610)),"South Korea",
ISNUMBER(SEARCH("Germany FR",S2610)),"FR Germany",
ISNUMBER(SEARCH("West Germany",S2610)),"FR Germany",
ISNUMBER(SEARCH("Germany DR",S2610)),"DR Germany",
ISNUMBER(SEARCH("Korea DPR",S2610)),"North Korea",
ISNUMBER(SEARCH("China PR",S2610)),"China",
ISNUMBER(SEARCH("IR Iran",S2610)),"Iran",
ISNUMBER(SEARCH("Congo DR",S2610)),"Democratic Republic of the Congo",
ISNUMBER(SEARCH("DR Congo",S2610)),"Democratic Republic of the Congo",
ISNUMBER(SEARCH("German DR",S2610)),"DR Germany",
ISNUMBER(SEARCH("rn""&gt;United Arab Emirates",S2610)),"United Arab Emirates",
ISNUMBER(SEARCH("rn""&gt;Republic of Ireland",S2610)),"Ireland",
ISNUMBER(SEARCH("rn""&gt;Bosnia and Herzegovina",S2610)),"Bosnia and Herzegovina",
ISNUMBER(SEARCH("rn""&gt;Trinidad and Tobago",S2610)),"Trinidad and Tobago",
ISNUMBER(SEARCH("rn""&gt;Serbia and Montenegro",S2610)),"Serbia and Montenegro",
ISNUMBER(SEARCH(_xlfn.UNICHAR(65533),S2610)),"Côte d'Ivoire",
TRUE,""
)</f>
        <v/>
      </c>
      <c r="W2610" s="40" t="str">
        <f t="shared" si="192"/>
        <v>Poland</v>
      </c>
    </row>
    <row r="2611" spans="2:23">
      <c r="B2611" s="76" t="str">
        <v>2022.0</v>
      </c>
      <c r="C2611" s="42" t="str">
        <v>22 Nov 2022 - 19:00</v>
      </c>
      <c r="D2611" s="42" t="str">
        <v>group stage</v>
      </c>
      <c r="E2611" s="42" t="str">
        <v>Stadium 974</v>
      </c>
      <c r="F2611" s="42" t="str">
        <v>Doha</v>
      </c>
      <c r="G2611" s="42" t="str">
        <v>Mexico</v>
      </c>
      <c r="H2611" s="42" t="str">
        <v>0.0</v>
      </c>
      <c r="I2611" s="42" t="str">
        <v>0.0</v>
      </c>
      <c r="J2611" s="42" t="str">
        <v>Poland</v>
      </c>
      <c r="K2611" s="42" t="str">
        <v xml:space="preserve"> </v>
      </c>
      <c r="L2611" s="42" t="str">
        <f t="shared" si="193"/>
        <v xml:space="preserve">2022.0|22 Nov 2022 - 19:00|group stage|Stadium 974|Doha|Mexico|0.0|0.0|Poland| </v>
      </c>
      <c r="M2611" s="42" t="str">
        <f>IF(COUNTIF($L$1689:L2611,L2611)&gt;1,"DOUBLON","OK")</f>
        <v>OK</v>
      </c>
      <c r="S2611" s="40" t="str">
        <v>Australia</v>
      </c>
      <c r="T2611" s="40" t="str">
        <f t="shared" si="190"/>
        <v>OK</v>
      </c>
      <c r="U2611" s="40" t="str">
        <f t="shared" si="191"/>
        <v>-</v>
      </c>
      <c r="V2611" s="40" t="str" cm="1">
        <f t="array" ref="V2611">_xlfn.IFS(
ISNUMBER(SEARCH("USA",S2611)),"United States",
ISNUMBER(SEARCH("Republic of Ireland",S2611)),"Ireland",
ISNUMBER(SEARCH("Republic of Korea",S2611)),"South Korea",
ISNUMBER(SEARCH("Cape Verde",S2611)),"Cabo Verde",
ISNUMBER(SEARCH("Czechia",S2611)),"Czech Republic",
ISNUMBER(SEARCH("Türkiye",S2611)),"Turkey",
ISNUMBER(SEARCH("Ivory Coast",S2611)),"Côte d'Ivoire",
ISNUMBER(SEARCH("Korea Republic",S2611)),"South Korea",
ISNUMBER(SEARCH("Germany FR",S2611)),"FR Germany",
ISNUMBER(SEARCH("West Germany",S2611)),"FR Germany",
ISNUMBER(SEARCH("Germany DR",S2611)),"DR Germany",
ISNUMBER(SEARCH("Korea DPR",S2611)),"North Korea",
ISNUMBER(SEARCH("China PR",S2611)),"China",
ISNUMBER(SEARCH("IR Iran",S2611)),"Iran",
ISNUMBER(SEARCH("Congo DR",S2611)),"Democratic Republic of the Congo",
ISNUMBER(SEARCH("DR Congo",S2611)),"Democratic Republic of the Congo",
ISNUMBER(SEARCH("German DR",S2611)),"DR Germany",
ISNUMBER(SEARCH("rn""&gt;United Arab Emirates",S2611)),"United Arab Emirates",
ISNUMBER(SEARCH("rn""&gt;Republic of Ireland",S2611)),"Ireland",
ISNUMBER(SEARCH("rn""&gt;Bosnia and Herzegovina",S2611)),"Bosnia and Herzegovina",
ISNUMBER(SEARCH("rn""&gt;Trinidad and Tobago",S2611)),"Trinidad and Tobago",
ISNUMBER(SEARCH("rn""&gt;Serbia and Montenegro",S2611)),"Serbia and Montenegro",
ISNUMBER(SEARCH(_xlfn.UNICHAR(65533),S2611)),"Côte d'Ivoire",
TRUE,""
)</f>
        <v/>
      </c>
      <c r="W2611" s="40" t="str">
        <f t="shared" si="192"/>
        <v>Australia</v>
      </c>
    </row>
    <row r="2612" spans="2:23">
      <c r="B2612" s="76" t="str">
        <v>2022.0</v>
      </c>
      <c r="C2612" s="42" t="str">
        <v>22 Nov 2022 - 22:00</v>
      </c>
      <c r="D2612" s="42" t="str">
        <v>group stage</v>
      </c>
      <c r="E2612" s="42" t="str">
        <v>Al Janoub Stadium</v>
      </c>
      <c r="F2612" s="42" t="str">
        <v>Al Wakrah</v>
      </c>
      <c r="G2612" s="42" t="str">
        <v>France</v>
      </c>
      <c r="H2612" s="42" t="str">
        <v>4.0</v>
      </c>
      <c r="I2612" s="42" t="str">
        <v>1.0</v>
      </c>
      <c r="J2612" s="42" t="str">
        <v>Australia</v>
      </c>
      <c r="K2612" s="42" t="str">
        <v xml:space="preserve"> </v>
      </c>
      <c r="L2612" s="42" t="str">
        <f t="shared" si="193"/>
        <v xml:space="preserve">2022.0|22 Nov 2022 - 22:00|group stage|Al Janoub Stadium|Al Wakrah|France|4.0|1.0|Australia| </v>
      </c>
      <c r="M2612" s="42" t="str">
        <f>IF(COUNTIF($L$1689:L2612,L2612)&gt;1,"DOUBLON","OK")</f>
        <v>OK</v>
      </c>
      <c r="S2612" s="40" t="str">
        <v>Scotland</v>
      </c>
      <c r="T2612" s="40" t="str">
        <f t="shared" si="190"/>
        <v>ERREUR</v>
      </c>
      <c r="U2612" s="40" t="str">
        <f t="shared" si="191"/>
        <v>AUCUNE</v>
      </c>
      <c r="V2612" s="40" t="str" cm="1">
        <f t="array" ref="V2612">_xlfn.IFS(
ISNUMBER(SEARCH("USA",S2612)),"United States",
ISNUMBER(SEARCH("Republic of Ireland",S2612)),"Ireland",
ISNUMBER(SEARCH("Republic of Korea",S2612)),"South Korea",
ISNUMBER(SEARCH("Cape Verde",S2612)),"Cabo Verde",
ISNUMBER(SEARCH("Czechia",S2612)),"Czech Republic",
ISNUMBER(SEARCH("Türkiye",S2612)),"Turkey",
ISNUMBER(SEARCH("Ivory Coast",S2612)),"Côte d'Ivoire",
ISNUMBER(SEARCH("Korea Republic",S2612)),"South Korea",
ISNUMBER(SEARCH("Germany FR",S2612)),"FR Germany",
ISNUMBER(SEARCH("West Germany",S2612)),"FR Germany",
ISNUMBER(SEARCH("Germany DR",S2612)),"DR Germany",
ISNUMBER(SEARCH("Korea DPR",S2612)),"North Korea",
ISNUMBER(SEARCH("China PR",S2612)),"China",
ISNUMBER(SEARCH("IR Iran",S2612)),"Iran",
ISNUMBER(SEARCH("Congo DR",S2612)),"Democratic Republic of the Congo",
ISNUMBER(SEARCH("DR Congo",S2612)),"Democratic Republic of the Congo",
ISNUMBER(SEARCH("German DR",S2612)),"DR Germany",
ISNUMBER(SEARCH("rn""&gt;United Arab Emirates",S2612)),"United Arab Emirates",
ISNUMBER(SEARCH("rn""&gt;Republic of Ireland",S2612)),"Ireland",
ISNUMBER(SEARCH("rn""&gt;Bosnia and Herzegovina",S2612)),"Bosnia and Herzegovina",
ISNUMBER(SEARCH("rn""&gt;Trinidad and Tobago",S2612)),"Trinidad and Tobago",
ISNUMBER(SEARCH("rn""&gt;Serbia and Montenegro",S2612)),"Serbia and Montenegro",
ISNUMBER(SEARCH(_xlfn.UNICHAR(65533),S2612)),"Côte d'Ivoire",
TRUE,""
)</f>
        <v/>
      </c>
      <c r="W2612" s="40" t="str">
        <f t="shared" si="192"/>
        <v>Scotland</v>
      </c>
    </row>
    <row r="2613" spans="2:23">
      <c r="B2613" s="76" t="str">
        <v>2022.0</v>
      </c>
      <c r="C2613" s="42" t="str">
        <v>23 Nov 2022 - 13:00</v>
      </c>
      <c r="D2613" s="42" t="str">
        <v>group stage</v>
      </c>
      <c r="E2613" s="42" t="str">
        <v>Al Bayt Stadium</v>
      </c>
      <c r="F2613" s="42" t="str">
        <v>Al Khor</v>
      </c>
      <c r="G2613" s="42" t="str">
        <v>Morocco</v>
      </c>
      <c r="H2613" s="42" t="str">
        <v>0.0</v>
      </c>
      <c r="I2613" s="42" t="str">
        <v>0.0</v>
      </c>
      <c r="J2613" s="42" t="str">
        <v>Croatia</v>
      </c>
      <c r="K2613" s="42" t="str">
        <v xml:space="preserve"> </v>
      </c>
      <c r="L2613" s="42" t="str">
        <f t="shared" si="193"/>
        <v xml:space="preserve">2022.0|23 Nov 2022 - 13:00|group stage|Al Bayt Stadium|Al Khor|Morocco|0.0|0.0|Croatia| </v>
      </c>
      <c r="M2613" s="42" t="str">
        <f>IF(COUNTIF($L$1689:L2613,L2613)&gt;1,"DOUBLON","OK")</f>
        <v>OK</v>
      </c>
      <c r="S2613" s="40" t="str">
        <v>Chile</v>
      </c>
      <c r="T2613" s="40" t="str">
        <f t="shared" si="190"/>
        <v>OK</v>
      </c>
      <c r="U2613" s="40" t="str">
        <f t="shared" si="191"/>
        <v>-</v>
      </c>
      <c r="V2613" s="40" t="str" cm="1">
        <f t="array" ref="V2613">_xlfn.IFS(
ISNUMBER(SEARCH("USA",S2613)),"United States",
ISNUMBER(SEARCH("Republic of Ireland",S2613)),"Ireland",
ISNUMBER(SEARCH("Republic of Korea",S2613)),"South Korea",
ISNUMBER(SEARCH("Cape Verde",S2613)),"Cabo Verde",
ISNUMBER(SEARCH("Czechia",S2613)),"Czech Republic",
ISNUMBER(SEARCH("Türkiye",S2613)),"Turkey",
ISNUMBER(SEARCH("Ivory Coast",S2613)),"Côte d'Ivoire",
ISNUMBER(SEARCH("Korea Republic",S2613)),"South Korea",
ISNUMBER(SEARCH("Germany FR",S2613)),"FR Germany",
ISNUMBER(SEARCH("West Germany",S2613)),"FR Germany",
ISNUMBER(SEARCH("Germany DR",S2613)),"DR Germany",
ISNUMBER(SEARCH("Korea DPR",S2613)),"North Korea",
ISNUMBER(SEARCH("China PR",S2613)),"China",
ISNUMBER(SEARCH("IR Iran",S2613)),"Iran",
ISNUMBER(SEARCH("Congo DR",S2613)),"Democratic Republic of the Congo",
ISNUMBER(SEARCH("DR Congo",S2613)),"Democratic Republic of the Congo",
ISNUMBER(SEARCH("German DR",S2613)),"DR Germany",
ISNUMBER(SEARCH("rn""&gt;United Arab Emirates",S2613)),"United Arab Emirates",
ISNUMBER(SEARCH("rn""&gt;Republic of Ireland",S2613)),"Ireland",
ISNUMBER(SEARCH("rn""&gt;Bosnia and Herzegovina",S2613)),"Bosnia and Herzegovina",
ISNUMBER(SEARCH("rn""&gt;Trinidad and Tobago",S2613)),"Trinidad and Tobago",
ISNUMBER(SEARCH("rn""&gt;Serbia and Montenegro",S2613)),"Serbia and Montenegro",
ISNUMBER(SEARCH(_xlfn.UNICHAR(65533),S2613)),"Côte d'Ivoire",
TRUE,""
)</f>
        <v/>
      </c>
      <c r="W2613" s="40" t="str">
        <f t="shared" si="192"/>
        <v>Chile</v>
      </c>
    </row>
    <row r="2614" spans="2:23">
      <c r="B2614" s="76" t="str">
        <v>2022.0</v>
      </c>
      <c r="C2614" s="42" t="str">
        <v>23 Nov 2022 - 16:00</v>
      </c>
      <c r="D2614" s="42" t="str">
        <v>group stage</v>
      </c>
      <c r="E2614" s="42" t="str">
        <v>Khalifa International Stadium</v>
      </c>
      <c r="F2614" s="42" t="str">
        <v>Al Rayyan</v>
      </c>
      <c r="G2614" s="42" t="str">
        <v>Germany</v>
      </c>
      <c r="H2614" s="42" t="str">
        <v>1.0</v>
      </c>
      <c r="I2614" s="42" t="str">
        <v>2.0</v>
      </c>
      <c r="J2614" s="42" t="str">
        <v>Japan</v>
      </c>
      <c r="K2614" s="42" t="str">
        <v xml:space="preserve"> </v>
      </c>
      <c r="L2614" s="42" t="str">
        <f t="shared" si="193"/>
        <v xml:space="preserve">2022.0|23 Nov 2022 - 16:00|group stage|Khalifa International Stadium|Al Rayyan|Germany|1.0|2.0|Japan| </v>
      </c>
      <c r="M2614" s="42" t="str">
        <f>IF(COUNTIF($L$1689:L2614,L2614)&gt;1,"DOUBLON","OK")</f>
        <v>OK</v>
      </c>
      <c r="S2614" s="40" t="str">
        <v>Yugoslavia</v>
      </c>
      <c r="T2614" s="40" t="str">
        <f t="shared" si="190"/>
        <v>ERREUR</v>
      </c>
      <c r="U2614" s="40" t="str">
        <f t="shared" si="191"/>
        <v>AUCUNE</v>
      </c>
      <c r="V2614" s="40" t="str" cm="1">
        <f t="array" ref="V2614">_xlfn.IFS(
ISNUMBER(SEARCH("USA",S2614)),"United States",
ISNUMBER(SEARCH("Republic of Ireland",S2614)),"Ireland",
ISNUMBER(SEARCH("Republic of Korea",S2614)),"South Korea",
ISNUMBER(SEARCH("Cape Verde",S2614)),"Cabo Verde",
ISNUMBER(SEARCH("Czechia",S2614)),"Czech Republic",
ISNUMBER(SEARCH("Türkiye",S2614)),"Turkey",
ISNUMBER(SEARCH("Ivory Coast",S2614)),"Côte d'Ivoire",
ISNUMBER(SEARCH("Korea Republic",S2614)),"South Korea",
ISNUMBER(SEARCH("Germany FR",S2614)),"FR Germany",
ISNUMBER(SEARCH("West Germany",S2614)),"FR Germany",
ISNUMBER(SEARCH("Germany DR",S2614)),"DR Germany",
ISNUMBER(SEARCH("Korea DPR",S2614)),"North Korea",
ISNUMBER(SEARCH("China PR",S2614)),"China",
ISNUMBER(SEARCH("IR Iran",S2614)),"Iran",
ISNUMBER(SEARCH("Congo DR",S2614)),"Democratic Republic of the Congo",
ISNUMBER(SEARCH("DR Congo",S2614)),"Democratic Republic of the Congo",
ISNUMBER(SEARCH("German DR",S2614)),"DR Germany",
ISNUMBER(SEARCH("rn""&gt;United Arab Emirates",S2614)),"United Arab Emirates",
ISNUMBER(SEARCH("rn""&gt;Republic of Ireland",S2614)),"Ireland",
ISNUMBER(SEARCH("rn""&gt;Bosnia and Herzegovina",S2614)),"Bosnia and Herzegovina",
ISNUMBER(SEARCH("rn""&gt;Trinidad and Tobago",S2614)),"Trinidad and Tobago",
ISNUMBER(SEARCH("rn""&gt;Serbia and Montenegro",S2614)),"Serbia and Montenegro",
ISNUMBER(SEARCH(_xlfn.UNICHAR(65533),S2614)),"Côte d'Ivoire",
TRUE,""
)</f>
        <v/>
      </c>
      <c r="W2614" s="40" t="str">
        <f t="shared" si="192"/>
        <v>Yugoslavia</v>
      </c>
    </row>
    <row r="2615" spans="2:23">
      <c r="B2615" s="76" t="str">
        <v>2022.0</v>
      </c>
      <c r="C2615" s="42" t="str">
        <v>23 Nov 2022 - 19:00</v>
      </c>
      <c r="D2615" s="42" t="str">
        <v>group stage</v>
      </c>
      <c r="E2615" s="42" t="str">
        <v>Al Thumama Stadium</v>
      </c>
      <c r="F2615" s="42" t="str">
        <v>Doha</v>
      </c>
      <c r="G2615" s="42" t="str">
        <v>Spain</v>
      </c>
      <c r="H2615" s="42" t="str">
        <v>7.0</v>
      </c>
      <c r="I2615" s="42" t="str">
        <v>0.0</v>
      </c>
      <c r="J2615" s="42" t="str">
        <v>Costa Rica</v>
      </c>
      <c r="K2615" s="42" t="str">
        <v xml:space="preserve"> </v>
      </c>
      <c r="L2615" s="42" t="str">
        <f t="shared" si="193"/>
        <v xml:space="preserve">2022.0|23 Nov 2022 - 19:00|group stage|Al Thumama Stadium|Doha|Spain|7.0|0.0|Costa Rica| </v>
      </c>
      <c r="M2615" s="42" t="str">
        <f>IF(COUNTIF($L$1689:L2615,L2615)&gt;1,"DOUBLON","OK")</f>
        <v>OK</v>
      </c>
      <c r="S2615" s="40" t="str">
        <v>Netherlands</v>
      </c>
      <c r="T2615" s="40" t="str">
        <f t="shared" si="190"/>
        <v>OK</v>
      </c>
      <c r="U2615" s="40" t="str">
        <f t="shared" si="191"/>
        <v>-</v>
      </c>
      <c r="V2615" s="40" t="str" cm="1">
        <f t="array" ref="V2615">_xlfn.IFS(
ISNUMBER(SEARCH("USA",S2615)),"United States",
ISNUMBER(SEARCH("Republic of Ireland",S2615)),"Ireland",
ISNUMBER(SEARCH("Republic of Korea",S2615)),"South Korea",
ISNUMBER(SEARCH("Cape Verde",S2615)),"Cabo Verde",
ISNUMBER(SEARCH("Czechia",S2615)),"Czech Republic",
ISNUMBER(SEARCH("Türkiye",S2615)),"Turkey",
ISNUMBER(SEARCH("Ivory Coast",S2615)),"Côte d'Ivoire",
ISNUMBER(SEARCH("Korea Republic",S2615)),"South Korea",
ISNUMBER(SEARCH("Germany FR",S2615)),"FR Germany",
ISNUMBER(SEARCH("West Germany",S2615)),"FR Germany",
ISNUMBER(SEARCH("Germany DR",S2615)),"DR Germany",
ISNUMBER(SEARCH("Korea DPR",S2615)),"North Korea",
ISNUMBER(SEARCH("China PR",S2615)),"China",
ISNUMBER(SEARCH("IR Iran",S2615)),"Iran",
ISNUMBER(SEARCH("Congo DR",S2615)),"Democratic Republic of the Congo",
ISNUMBER(SEARCH("DR Congo",S2615)),"Democratic Republic of the Congo",
ISNUMBER(SEARCH("German DR",S2615)),"DR Germany",
ISNUMBER(SEARCH("rn""&gt;United Arab Emirates",S2615)),"United Arab Emirates",
ISNUMBER(SEARCH("rn""&gt;Republic of Ireland",S2615)),"Ireland",
ISNUMBER(SEARCH("rn""&gt;Bosnia and Herzegovina",S2615)),"Bosnia and Herzegovina",
ISNUMBER(SEARCH("rn""&gt;Trinidad and Tobago",S2615)),"Trinidad and Tobago",
ISNUMBER(SEARCH("rn""&gt;Serbia and Montenegro",S2615)),"Serbia and Montenegro",
ISNUMBER(SEARCH(_xlfn.UNICHAR(65533),S2615)),"Côte d'Ivoire",
TRUE,""
)</f>
        <v/>
      </c>
      <c r="W2615" s="40" t="str">
        <f t="shared" si="192"/>
        <v>Netherlands</v>
      </c>
    </row>
    <row r="2616" spans="2:23">
      <c r="B2616" s="76" t="str">
        <v>2022.0</v>
      </c>
      <c r="C2616" s="42" t="str">
        <v>23 Nov 2022 - 22:00</v>
      </c>
      <c r="D2616" s="42" t="str">
        <v>group stage</v>
      </c>
      <c r="E2616" s="42" t="str">
        <v>Ahmad bin Ali Stadium</v>
      </c>
      <c r="F2616" s="42" t="str">
        <v>Al Rayyan</v>
      </c>
      <c r="G2616" s="42" t="str">
        <v>Belgium</v>
      </c>
      <c r="H2616" s="42" t="str">
        <v>1.0</v>
      </c>
      <c r="I2616" s="42" t="str">
        <v>0.0</v>
      </c>
      <c r="J2616" s="42" t="str">
        <v>Canada</v>
      </c>
      <c r="K2616" s="42" t="str">
        <v xml:space="preserve"> </v>
      </c>
      <c r="L2616" s="42" t="str">
        <f t="shared" si="193"/>
        <v xml:space="preserve">2022.0|23 Nov 2022 - 22:00|group stage|Ahmad bin Ali Stadium|Al Rayyan|Belgium|1.0|0.0|Canada| </v>
      </c>
      <c r="M2616" s="42" t="str">
        <f>IF(COUNTIF($L$1689:L2616,L2616)&gt;1,"DOUBLON","OK")</f>
        <v>OK</v>
      </c>
      <c r="S2616" s="40" t="str">
        <v>Bulgaria</v>
      </c>
      <c r="T2616" s="40" t="str">
        <f t="shared" si="190"/>
        <v>OK</v>
      </c>
      <c r="U2616" s="40" t="str">
        <f t="shared" si="191"/>
        <v>-</v>
      </c>
      <c r="V2616" s="40" t="str" cm="1">
        <f t="array" ref="V2616">_xlfn.IFS(
ISNUMBER(SEARCH("USA",S2616)),"United States",
ISNUMBER(SEARCH("Republic of Ireland",S2616)),"Ireland",
ISNUMBER(SEARCH("Republic of Korea",S2616)),"South Korea",
ISNUMBER(SEARCH("Cape Verde",S2616)),"Cabo Verde",
ISNUMBER(SEARCH("Czechia",S2616)),"Czech Republic",
ISNUMBER(SEARCH("Türkiye",S2616)),"Turkey",
ISNUMBER(SEARCH("Ivory Coast",S2616)),"Côte d'Ivoire",
ISNUMBER(SEARCH("Korea Republic",S2616)),"South Korea",
ISNUMBER(SEARCH("Germany FR",S2616)),"FR Germany",
ISNUMBER(SEARCH("West Germany",S2616)),"FR Germany",
ISNUMBER(SEARCH("Germany DR",S2616)),"DR Germany",
ISNUMBER(SEARCH("Korea DPR",S2616)),"North Korea",
ISNUMBER(SEARCH("China PR",S2616)),"China",
ISNUMBER(SEARCH("IR Iran",S2616)),"Iran",
ISNUMBER(SEARCH("Congo DR",S2616)),"Democratic Republic of the Congo",
ISNUMBER(SEARCH("DR Congo",S2616)),"Democratic Republic of the Congo",
ISNUMBER(SEARCH("German DR",S2616)),"DR Germany",
ISNUMBER(SEARCH("rn""&gt;United Arab Emirates",S2616)),"United Arab Emirates",
ISNUMBER(SEARCH("rn""&gt;Republic of Ireland",S2616)),"Ireland",
ISNUMBER(SEARCH("rn""&gt;Bosnia and Herzegovina",S2616)),"Bosnia and Herzegovina",
ISNUMBER(SEARCH("rn""&gt;Trinidad and Tobago",S2616)),"Trinidad and Tobago",
ISNUMBER(SEARCH("rn""&gt;Serbia and Montenegro",S2616)),"Serbia and Montenegro",
ISNUMBER(SEARCH(_xlfn.UNICHAR(65533),S2616)),"Côte d'Ivoire",
TRUE,""
)</f>
        <v/>
      </c>
      <c r="W2616" s="40" t="str">
        <f t="shared" si="192"/>
        <v>Bulgaria</v>
      </c>
    </row>
    <row r="2617" spans="2:23">
      <c r="B2617" s="76" t="str">
        <v>2022.0</v>
      </c>
      <c r="C2617" s="42" t="str">
        <v>24 Nov 2022 - 13:00</v>
      </c>
      <c r="D2617" s="42" t="str">
        <v>group stage</v>
      </c>
      <c r="E2617" s="42" t="str">
        <v>Al Janoub Stadium</v>
      </c>
      <c r="F2617" s="42" t="str">
        <v>Al Wakrah</v>
      </c>
      <c r="G2617" s="42" t="str">
        <v>Switzerland</v>
      </c>
      <c r="H2617" s="42" t="str">
        <v>1.0</v>
      </c>
      <c r="I2617" s="42" t="str">
        <v>0.0</v>
      </c>
      <c r="J2617" s="42" t="str">
        <v>Cameroon</v>
      </c>
      <c r="K2617" s="42" t="str">
        <v xml:space="preserve"> </v>
      </c>
      <c r="L2617" s="42" t="str">
        <f t="shared" si="193"/>
        <v xml:space="preserve">2022.0|24 Nov 2022 - 13:00|group stage|Al Janoub Stadium|Al Wakrah|Switzerland|1.0|0.0|Cameroon| </v>
      </c>
      <c r="M2617" s="42" t="str">
        <f>IF(COUNTIF($L$1689:L2617,L2617)&gt;1,"DOUBLON","OK")</f>
        <v>OK</v>
      </c>
      <c r="S2617" s="40" t="str">
        <v>Haiti</v>
      </c>
      <c r="T2617" s="40" t="str">
        <f t="shared" si="190"/>
        <v>OK</v>
      </c>
      <c r="U2617" s="40" t="str">
        <f t="shared" si="191"/>
        <v>-</v>
      </c>
      <c r="V2617" s="40" t="str" cm="1">
        <f t="array" ref="V2617">_xlfn.IFS(
ISNUMBER(SEARCH("USA",S2617)),"United States",
ISNUMBER(SEARCH("Republic of Ireland",S2617)),"Ireland",
ISNUMBER(SEARCH("Republic of Korea",S2617)),"South Korea",
ISNUMBER(SEARCH("Cape Verde",S2617)),"Cabo Verde",
ISNUMBER(SEARCH("Czechia",S2617)),"Czech Republic",
ISNUMBER(SEARCH("Türkiye",S2617)),"Turkey",
ISNUMBER(SEARCH("Ivory Coast",S2617)),"Côte d'Ivoire",
ISNUMBER(SEARCH("Korea Republic",S2617)),"South Korea",
ISNUMBER(SEARCH("Germany FR",S2617)),"FR Germany",
ISNUMBER(SEARCH("West Germany",S2617)),"FR Germany",
ISNUMBER(SEARCH("Germany DR",S2617)),"DR Germany",
ISNUMBER(SEARCH("Korea DPR",S2617)),"North Korea",
ISNUMBER(SEARCH("China PR",S2617)),"China",
ISNUMBER(SEARCH("IR Iran",S2617)),"Iran",
ISNUMBER(SEARCH("Congo DR",S2617)),"Democratic Republic of the Congo",
ISNUMBER(SEARCH("DR Congo",S2617)),"Democratic Republic of the Congo",
ISNUMBER(SEARCH("German DR",S2617)),"DR Germany",
ISNUMBER(SEARCH("rn""&gt;United Arab Emirates",S2617)),"United Arab Emirates",
ISNUMBER(SEARCH("rn""&gt;Republic of Ireland",S2617)),"Ireland",
ISNUMBER(SEARCH("rn""&gt;Bosnia and Herzegovina",S2617)),"Bosnia and Herzegovina",
ISNUMBER(SEARCH("rn""&gt;Trinidad and Tobago",S2617)),"Trinidad and Tobago",
ISNUMBER(SEARCH("rn""&gt;Serbia and Montenegro",S2617)),"Serbia and Montenegro",
ISNUMBER(SEARCH(_xlfn.UNICHAR(65533),S2617)),"Côte d'Ivoire",
TRUE,""
)</f>
        <v/>
      </c>
      <c r="W2617" s="40" t="str">
        <f t="shared" si="192"/>
        <v>Haiti</v>
      </c>
    </row>
    <row r="2618" spans="2:23">
      <c r="B2618" s="76" t="str">
        <v>2022.0</v>
      </c>
      <c r="C2618" s="42" t="str">
        <v>24 Nov 2022 - 16:00</v>
      </c>
      <c r="D2618" s="42" t="str">
        <v>group stage</v>
      </c>
      <c r="E2618" s="42" t="str">
        <v>Education City Stadium</v>
      </c>
      <c r="F2618" s="42" t="str">
        <v>Al Rayyan</v>
      </c>
      <c r="G2618" s="42" t="str">
        <v>Uruguay</v>
      </c>
      <c r="H2618" s="42" t="str">
        <v>0.0</v>
      </c>
      <c r="I2618" s="42" t="str">
        <v>0.0</v>
      </c>
      <c r="J2618" s="42" t="str">
        <v>South Korea</v>
      </c>
      <c r="K2618" s="42" t="str">
        <v xml:space="preserve"> </v>
      </c>
      <c r="L2618" s="42" t="str">
        <f t="shared" si="193"/>
        <v xml:space="preserve">2022.0|24 Nov 2022 - 16:00|group stage|Education City Stadium|Al Rayyan|Uruguay|0.0|0.0|South Korea| </v>
      </c>
      <c r="M2618" s="42" t="str">
        <f>IF(COUNTIF($L$1689:L2618,L2618)&gt;1,"DOUBLON","OK")</f>
        <v>OK</v>
      </c>
      <c r="S2618" s="40" t="str">
        <v>Argentina</v>
      </c>
      <c r="T2618" s="40" t="str">
        <f t="shared" si="190"/>
        <v>OK</v>
      </c>
      <c r="U2618" s="40" t="str">
        <f t="shared" si="191"/>
        <v>-</v>
      </c>
      <c r="V2618" s="40" t="str" cm="1">
        <f t="array" ref="V2618">_xlfn.IFS(
ISNUMBER(SEARCH("USA",S2618)),"United States",
ISNUMBER(SEARCH("Republic of Ireland",S2618)),"Ireland",
ISNUMBER(SEARCH("Republic of Korea",S2618)),"South Korea",
ISNUMBER(SEARCH("Cape Verde",S2618)),"Cabo Verde",
ISNUMBER(SEARCH("Czechia",S2618)),"Czech Republic",
ISNUMBER(SEARCH("Türkiye",S2618)),"Turkey",
ISNUMBER(SEARCH("Ivory Coast",S2618)),"Côte d'Ivoire",
ISNUMBER(SEARCH("Korea Republic",S2618)),"South Korea",
ISNUMBER(SEARCH("Germany FR",S2618)),"FR Germany",
ISNUMBER(SEARCH("West Germany",S2618)),"FR Germany",
ISNUMBER(SEARCH("Germany DR",S2618)),"DR Germany",
ISNUMBER(SEARCH("Korea DPR",S2618)),"North Korea",
ISNUMBER(SEARCH("China PR",S2618)),"China",
ISNUMBER(SEARCH("IR Iran",S2618)),"Iran",
ISNUMBER(SEARCH("Congo DR",S2618)),"Democratic Republic of the Congo",
ISNUMBER(SEARCH("DR Congo",S2618)),"Democratic Republic of the Congo",
ISNUMBER(SEARCH("German DR",S2618)),"DR Germany",
ISNUMBER(SEARCH("rn""&gt;United Arab Emirates",S2618)),"United Arab Emirates",
ISNUMBER(SEARCH("rn""&gt;Republic of Ireland",S2618)),"Ireland",
ISNUMBER(SEARCH("rn""&gt;Bosnia and Herzegovina",S2618)),"Bosnia and Herzegovina",
ISNUMBER(SEARCH("rn""&gt;Trinidad and Tobago",S2618)),"Trinidad and Tobago",
ISNUMBER(SEARCH("rn""&gt;Serbia and Montenegro",S2618)),"Serbia and Montenegro",
ISNUMBER(SEARCH(_xlfn.UNICHAR(65533),S2618)),"Côte d'Ivoire",
TRUE,""
)</f>
        <v/>
      </c>
      <c r="W2618" s="40" t="str">
        <f t="shared" si="192"/>
        <v>Argentina</v>
      </c>
    </row>
    <row r="2619" spans="2:23">
      <c r="B2619" s="76" t="str">
        <v>2022.0</v>
      </c>
      <c r="C2619" s="42" t="str">
        <v>24 Nov 2022 - 19:00</v>
      </c>
      <c r="D2619" s="42" t="str">
        <v>group stage</v>
      </c>
      <c r="E2619" s="42" t="str">
        <v>Stadium 974</v>
      </c>
      <c r="F2619" s="42" t="str">
        <v>Doha</v>
      </c>
      <c r="G2619" s="42" t="str">
        <v>Portugal</v>
      </c>
      <c r="H2619" s="42" t="str">
        <v>3.0</v>
      </c>
      <c r="I2619" s="42" t="str">
        <v>2.0</v>
      </c>
      <c r="J2619" s="42" t="str">
        <v>Ghana</v>
      </c>
      <c r="K2619" s="42" t="str">
        <v xml:space="preserve"> </v>
      </c>
      <c r="L2619" s="42" t="str">
        <f t="shared" si="193"/>
        <v xml:space="preserve">2022.0|24 Nov 2022 - 19:00|group stage|Stadium 974|Doha|Portugal|3.0|2.0|Ghana| </v>
      </c>
      <c r="M2619" s="42" t="str">
        <f>IF(COUNTIF($L$1689:L2619,L2619)&gt;1,"DOUBLON","OK")</f>
        <v>OK</v>
      </c>
      <c r="S2619" s="40" t="str">
        <v>Scotland</v>
      </c>
      <c r="T2619" s="40" t="str">
        <f t="shared" si="190"/>
        <v>ERREUR</v>
      </c>
      <c r="U2619" s="40" t="str">
        <f t="shared" si="191"/>
        <v>AUCUNE</v>
      </c>
      <c r="V2619" s="40" t="str" cm="1">
        <f t="array" ref="V2619">_xlfn.IFS(
ISNUMBER(SEARCH("USA",S2619)),"United States",
ISNUMBER(SEARCH("Republic of Ireland",S2619)),"Ireland",
ISNUMBER(SEARCH("Republic of Korea",S2619)),"South Korea",
ISNUMBER(SEARCH("Cape Verde",S2619)),"Cabo Verde",
ISNUMBER(SEARCH("Czechia",S2619)),"Czech Republic",
ISNUMBER(SEARCH("Türkiye",S2619)),"Turkey",
ISNUMBER(SEARCH("Ivory Coast",S2619)),"Côte d'Ivoire",
ISNUMBER(SEARCH("Korea Republic",S2619)),"South Korea",
ISNUMBER(SEARCH("Germany FR",S2619)),"FR Germany",
ISNUMBER(SEARCH("West Germany",S2619)),"FR Germany",
ISNUMBER(SEARCH("Germany DR",S2619)),"DR Germany",
ISNUMBER(SEARCH("Korea DPR",S2619)),"North Korea",
ISNUMBER(SEARCH("China PR",S2619)),"China",
ISNUMBER(SEARCH("IR Iran",S2619)),"Iran",
ISNUMBER(SEARCH("Congo DR",S2619)),"Democratic Republic of the Congo",
ISNUMBER(SEARCH("DR Congo",S2619)),"Democratic Republic of the Congo",
ISNUMBER(SEARCH("German DR",S2619)),"DR Germany",
ISNUMBER(SEARCH("rn""&gt;United Arab Emirates",S2619)),"United Arab Emirates",
ISNUMBER(SEARCH("rn""&gt;Republic of Ireland",S2619)),"Ireland",
ISNUMBER(SEARCH("rn""&gt;Bosnia and Herzegovina",S2619)),"Bosnia and Herzegovina",
ISNUMBER(SEARCH("rn""&gt;Trinidad and Tobago",S2619)),"Trinidad and Tobago",
ISNUMBER(SEARCH("rn""&gt;Serbia and Montenegro",S2619)),"Serbia and Montenegro",
ISNUMBER(SEARCH(_xlfn.UNICHAR(65533),S2619)),"Côte d'Ivoire",
TRUE,""
)</f>
        <v/>
      </c>
      <c r="W2619" s="40" t="str">
        <f t="shared" si="192"/>
        <v>Scotland</v>
      </c>
    </row>
    <row r="2620" spans="2:23">
      <c r="B2620" s="76" t="str">
        <v>2022.0</v>
      </c>
      <c r="C2620" s="42" t="str">
        <v>24 Nov 2022 - 22:00</v>
      </c>
      <c r="D2620" s="42" t="str">
        <v>group stage</v>
      </c>
      <c r="E2620" s="42" t="str">
        <v>Lusail Stadium</v>
      </c>
      <c r="F2620" s="42" t="str">
        <v>Lusail</v>
      </c>
      <c r="G2620" s="42" t="str">
        <v>Brazil</v>
      </c>
      <c r="H2620" s="42" t="str">
        <v>2.0</v>
      </c>
      <c r="I2620" s="42" t="str">
        <v>0.0</v>
      </c>
      <c r="J2620" s="42" t="str">
        <v>Serbia</v>
      </c>
      <c r="K2620" s="42" t="str">
        <v xml:space="preserve"> </v>
      </c>
      <c r="L2620" s="42" t="str">
        <f t="shared" si="193"/>
        <v xml:space="preserve">2022.0|24 Nov 2022 - 22:00|group stage|Lusail Stadium|Lusail|Brazil|2.0|0.0|Serbia| </v>
      </c>
      <c r="M2620" s="42" t="str">
        <f>IF(COUNTIF($L$1689:L2620,L2620)&gt;1,"DOUBLON","OK")</f>
        <v>OK</v>
      </c>
      <c r="S2620" s="40" t="str">
        <v>Australia</v>
      </c>
      <c r="T2620" s="40" t="str">
        <f t="shared" si="190"/>
        <v>OK</v>
      </c>
      <c r="U2620" s="40" t="str">
        <f t="shared" si="191"/>
        <v>-</v>
      </c>
      <c r="V2620" s="40" t="str" cm="1">
        <f t="array" ref="V2620">_xlfn.IFS(
ISNUMBER(SEARCH("USA",S2620)),"United States",
ISNUMBER(SEARCH("Republic of Ireland",S2620)),"Ireland",
ISNUMBER(SEARCH("Republic of Korea",S2620)),"South Korea",
ISNUMBER(SEARCH("Cape Verde",S2620)),"Cabo Verde",
ISNUMBER(SEARCH("Czechia",S2620)),"Czech Republic",
ISNUMBER(SEARCH("Türkiye",S2620)),"Turkey",
ISNUMBER(SEARCH("Ivory Coast",S2620)),"Côte d'Ivoire",
ISNUMBER(SEARCH("Korea Republic",S2620)),"South Korea",
ISNUMBER(SEARCH("Germany FR",S2620)),"FR Germany",
ISNUMBER(SEARCH("West Germany",S2620)),"FR Germany",
ISNUMBER(SEARCH("Germany DR",S2620)),"DR Germany",
ISNUMBER(SEARCH("Korea DPR",S2620)),"North Korea",
ISNUMBER(SEARCH("China PR",S2620)),"China",
ISNUMBER(SEARCH("IR Iran",S2620)),"Iran",
ISNUMBER(SEARCH("Congo DR",S2620)),"Democratic Republic of the Congo",
ISNUMBER(SEARCH("DR Congo",S2620)),"Democratic Republic of the Congo",
ISNUMBER(SEARCH("German DR",S2620)),"DR Germany",
ISNUMBER(SEARCH("rn""&gt;United Arab Emirates",S2620)),"United Arab Emirates",
ISNUMBER(SEARCH("rn""&gt;Republic of Ireland",S2620)),"Ireland",
ISNUMBER(SEARCH("rn""&gt;Bosnia and Herzegovina",S2620)),"Bosnia and Herzegovina",
ISNUMBER(SEARCH("rn""&gt;Trinidad and Tobago",S2620)),"Trinidad and Tobago",
ISNUMBER(SEARCH("rn""&gt;Serbia and Montenegro",S2620)),"Serbia and Montenegro",
ISNUMBER(SEARCH(_xlfn.UNICHAR(65533),S2620)),"Côte d'Ivoire",
TRUE,""
)</f>
        <v/>
      </c>
      <c r="W2620" s="40" t="str">
        <f t="shared" si="192"/>
        <v>Australia</v>
      </c>
    </row>
    <row r="2621" spans="2:23">
      <c r="B2621" s="76" t="str">
        <v>2022.0</v>
      </c>
      <c r="C2621" s="42" t="str">
        <v>25 Nov 2022 - 13:00</v>
      </c>
      <c r="D2621" s="42" t="str">
        <v>group stage</v>
      </c>
      <c r="E2621" s="42" t="str">
        <v>Ahmad bin Ali Stadium</v>
      </c>
      <c r="F2621" s="42" t="str">
        <v>Al Rayyan</v>
      </c>
      <c r="G2621" s="42" t="str">
        <v>Wales</v>
      </c>
      <c r="H2621" s="42" t="str">
        <v>0.0</v>
      </c>
      <c r="I2621" s="42" t="str">
        <v>2.0</v>
      </c>
      <c r="J2621" s="42" t="str">
        <v>Iran</v>
      </c>
      <c r="K2621" s="42" t="str">
        <v xml:space="preserve"> </v>
      </c>
      <c r="L2621" s="42" t="str">
        <f t="shared" si="193"/>
        <v xml:space="preserve">2022.0|25 Nov 2022 - 13:00|group stage|Ahmad bin Ali Stadium|Al Rayyan|Wales|0.0|2.0|Iran| </v>
      </c>
      <c r="M2621" s="42" t="str">
        <f>IF(COUNTIF($L$1689:L2621,L2621)&gt;1,"DOUBLON","OK")</f>
        <v>OK</v>
      </c>
      <c r="S2621" s="40" t="str">
        <v>Zaire</v>
      </c>
      <c r="T2621" s="40" t="str">
        <f t="shared" si="190"/>
        <v>ERREUR</v>
      </c>
      <c r="U2621" s="40" t="str">
        <f t="shared" si="191"/>
        <v>AUCUNE</v>
      </c>
      <c r="V2621" s="40" t="str" cm="1">
        <f t="array" ref="V2621">_xlfn.IFS(
ISNUMBER(SEARCH("USA",S2621)),"United States",
ISNUMBER(SEARCH("Republic of Ireland",S2621)),"Ireland",
ISNUMBER(SEARCH("Republic of Korea",S2621)),"South Korea",
ISNUMBER(SEARCH("Cape Verde",S2621)),"Cabo Verde",
ISNUMBER(SEARCH("Czechia",S2621)),"Czech Republic",
ISNUMBER(SEARCH("Türkiye",S2621)),"Turkey",
ISNUMBER(SEARCH("Ivory Coast",S2621)),"Côte d'Ivoire",
ISNUMBER(SEARCH("Korea Republic",S2621)),"South Korea",
ISNUMBER(SEARCH("Germany FR",S2621)),"FR Germany",
ISNUMBER(SEARCH("West Germany",S2621)),"FR Germany",
ISNUMBER(SEARCH("Germany DR",S2621)),"DR Germany",
ISNUMBER(SEARCH("Korea DPR",S2621)),"North Korea",
ISNUMBER(SEARCH("China PR",S2621)),"China",
ISNUMBER(SEARCH("IR Iran",S2621)),"Iran",
ISNUMBER(SEARCH("Congo DR",S2621)),"Democratic Republic of the Congo",
ISNUMBER(SEARCH("DR Congo",S2621)),"Democratic Republic of the Congo",
ISNUMBER(SEARCH("German DR",S2621)),"DR Germany",
ISNUMBER(SEARCH("rn""&gt;United Arab Emirates",S2621)),"United Arab Emirates",
ISNUMBER(SEARCH("rn""&gt;Republic of Ireland",S2621)),"Ireland",
ISNUMBER(SEARCH("rn""&gt;Bosnia and Herzegovina",S2621)),"Bosnia and Herzegovina",
ISNUMBER(SEARCH("rn""&gt;Trinidad and Tobago",S2621)),"Trinidad and Tobago",
ISNUMBER(SEARCH("rn""&gt;Serbia and Montenegro",S2621)),"Serbia and Montenegro",
ISNUMBER(SEARCH(_xlfn.UNICHAR(65533),S2621)),"Côte d'Ivoire",
TRUE,""
)</f>
        <v/>
      </c>
      <c r="W2621" s="40" t="str">
        <f t="shared" si="192"/>
        <v>Zaire</v>
      </c>
    </row>
    <row r="2622" spans="2:23">
      <c r="B2622" s="76" t="str">
        <v>2022.0</v>
      </c>
      <c r="C2622" s="42" t="str">
        <v>25 Nov 2022 - 16:00</v>
      </c>
      <c r="D2622" s="42" t="str">
        <v>group stage</v>
      </c>
      <c r="E2622" s="42" t="str">
        <v>Al Thumama Stadium</v>
      </c>
      <c r="F2622" s="42" t="str">
        <v>Doha</v>
      </c>
      <c r="G2622" s="42" t="str">
        <v>Qatar</v>
      </c>
      <c r="H2622" s="42" t="str">
        <v>1.0</v>
      </c>
      <c r="I2622" s="42" t="str">
        <v>3.0</v>
      </c>
      <c r="J2622" s="42" t="str">
        <v>Senegal</v>
      </c>
      <c r="K2622" s="42" t="str">
        <v xml:space="preserve"> </v>
      </c>
      <c r="L2622" s="42" t="str">
        <f t="shared" si="193"/>
        <v xml:space="preserve">2022.0|25 Nov 2022 - 16:00|group stage|Al Thumama Stadium|Doha|Qatar|1.0|3.0|Senegal| </v>
      </c>
      <c r="M2622" s="42" t="str">
        <f>IF(COUNTIF($L$1689:L2622,L2622)&gt;1,"DOUBLON","OK")</f>
        <v>OK</v>
      </c>
      <c r="S2622" s="40" t="str">
        <v>German DR</v>
      </c>
      <c r="T2622" s="40" t="str">
        <f t="shared" si="190"/>
        <v>ERREUR</v>
      </c>
      <c r="U2622" s="40" t="str">
        <f t="shared" si="191"/>
        <v>RENOMMER</v>
      </c>
      <c r="V2622" s="40" t="str" cm="1">
        <f t="array" ref="V2622">_xlfn.IFS(
ISNUMBER(SEARCH("USA",S2622)),"United States",
ISNUMBER(SEARCH("Republic of Ireland",S2622)),"Ireland",
ISNUMBER(SEARCH("Republic of Korea",S2622)),"South Korea",
ISNUMBER(SEARCH("Cape Verde",S2622)),"Cabo Verde",
ISNUMBER(SEARCH("Czechia",S2622)),"Czech Republic",
ISNUMBER(SEARCH("Türkiye",S2622)),"Turkey",
ISNUMBER(SEARCH("Ivory Coast",S2622)),"Côte d'Ivoire",
ISNUMBER(SEARCH("Korea Republic",S2622)),"South Korea",
ISNUMBER(SEARCH("Germany FR",S2622)),"FR Germany",
ISNUMBER(SEARCH("West Germany",S2622)),"FR Germany",
ISNUMBER(SEARCH("Germany DR",S2622)),"DR Germany",
ISNUMBER(SEARCH("Korea DPR",S2622)),"North Korea",
ISNUMBER(SEARCH("China PR",S2622)),"China",
ISNUMBER(SEARCH("IR Iran",S2622)),"Iran",
ISNUMBER(SEARCH("Congo DR",S2622)),"Democratic Republic of the Congo",
ISNUMBER(SEARCH("DR Congo",S2622)),"Democratic Republic of the Congo",
ISNUMBER(SEARCH("German DR",S2622)),"DR Germany",
ISNUMBER(SEARCH("rn""&gt;United Arab Emirates",S2622)),"United Arab Emirates",
ISNUMBER(SEARCH("rn""&gt;Republic of Ireland",S2622)),"Ireland",
ISNUMBER(SEARCH("rn""&gt;Bosnia and Herzegovina",S2622)),"Bosnia and Herzegovina",
ISNUMBER(SEARCH("rn""&gt;Trinidad and Tobago",S2622)),"Trinidad and Tobago",
ISNUMBER(SEARCH("rn""&gt;Serbia and Montenegro",S2622)),"Serbia and Montenegro",
ISNUMBER(SEARCH(_xlfn.UNICHAR(65533),S2622)),"Côte d'Ivoire",
TRUE,""
)</f>
        <v>DR Germany</v>
      </c>
      <c r="W2622" s="40" t="str">
        <f t="shared" si="192"/>
        <v>DR Germany</v>
      </c>
    </row>
    <row r="2623" spans="2:23">
      <c r="B2623" s="76" t="str">
        <v>2022.0</v>
      </c>
      <c r="C2623" s="42" t="str">
        <v>25 Nov 2022 - 19:00</v>
      </c>
      <c r="D2623" s="42" t="str">
        <v>group stage</v>
      </c>
      <c r="E2623" s="42" t="str">
        <v>Khalifa International Stadium</v>
      </c>
      <c r="F2623" s="42" t="str">
        <v>Al Rayyan</v>
      </c>
      <c r="G2623" s="42" t="str">
        <v>Netherlands</v>
      </c>
      <c r="H2623" s="42" t="str">
        <v>1.0</v>
      </c>
      <c r="I2623" s="42" t="str">
        <v>1.0</v>
      </c>
      <c r="J2623" s="42" t="str">
        <v>Ecuador</v>
      </c>
      <c r="K2623" s="42" t="str">
        <v xml:space="preserve"> </v>
      </c>
      <c r="L2623" s="42" t="str">
        <f t="shared" si="193"/>
        <v xml:space="preserve">2022.0|25 Nov 2022 - 19:00|group stage|Khalifa International Stadium|Al Rayyan|Netherlands|1.0|1.0|Ecuador| </v>
      </c>
      <c r="M2623" s="42" t="str">
        <f>IF(COUNTIF($L$1689:L2623,L2623)&gt;1,"DOUBLON","OK")</f>
        <v>OK</v>
      </c>
      <c r="S2623" s="40" t="str">
        <v>Bulgaria</v>
      </c>
      <c r="T2623" s="40" t="str">
        <f t="shared" si="190"/>
        <v>OK</v>
      </c>
      <c r="U2623" s="40" t="str">
        <f t="shared" si="191"/>
        <v>-</v>
      </c>
      <c r="V2623" s="40" t="str" cm="1">
        <f t="array" ref="V2623">_xlfn.IFS(
ISNUMBER(SEARCH("USA",S2623)),"United States",
ISNUMBER(SEARCH("Republic of Ireland",S2623)),"Ireland",
ISNUMBER(SEARCH("Republic of Korea",S2623)),"South Korea",
ISNUMBER(SEARCH("Cape Verde",S2623)),"Cabo Verde",
ISNUMBER(SEARCH("Czechia",S2623)),"Czech Republic",
ISNUMBER(SEARCH("Türkiye",S2623)),"Turkey",
ISNUMBER(SEARCH("Ivory Coast",S2623)),"Côte d'Ivoire",
ISNUMBER(SEARCH("Korea Republic",S2623)),"South Korea",
ISNUMBER(SEARCH("Germany FR",S2623)),"FR Germany",
ISNUMBER(SEARCH("West Germany",S2623)),"FR Germany",
ISNUMBER(SEARCH("Germany DR",S2623)),"DR Germany",
ISNUMBER(SEARCH("Korea DPR",S2623)),"North Korea",
ISNUMBER(SEARCH("China PR",S2623)),"China",
ISNUMBER(SEARCH("IR Iran",S2623)),"Iran",
ISNUMBER(SEARCH("Congo DR",S2623)),"Democratic Republic of the Congo",
ISNUMBER(SEARCH("DR Congo",S2623)),"Democratic Republic of the Congo",
ISNUMBER(SEARCH("German DR",S2623)),"DR Germany",
ISNUMBER(SEARCH("rn""&gt;United Arab Emirates",S2623)),"United Arab Emirates",
ISNUMBER(SEARCH("rn""&gt;Republic of Ireland",S2623)),"Ireland",
ISNUMBER(SEARCH("rn""&gt;Bosnia and Herzegovina",S2623)),"Bosnia and Herzegovina",
ISNUMBER(SEARCH("rn""&gt;Trinidad and Tobago",S2623)),"Trinidad and Tobago",
ISNUMBER(SEARCH("rn""&gt;Serbia and Montenegro",S2623)),"Serbia and Montenegro",
ISNUMBER(SEARCH(_xlfn.UNICHAR(65533),S2623)),"Côte d'Ivoire",
TRUE,""
)</f>
        <v/>
      </c>
      <c r="W2623" s="40" t="str">
        <f t="shared" si="192"/>
        <v>Bulgaria</v>
      </c>
    </row>
    <row r="2624" spans="2:23">
      <c r="B2624" s="76" t="str">
        <v>2022.0</v>
      </c>
      <c r="C2624" s="42" t="str">
        <v>25 Nov 2022 - 22:00</v>
      </c>
      <c r="D2624" s="42" t="str">
        <v>group stage</v>
      </c>
      <c r="E2624" s="42" t="str">
        <v>Al Bayt Stadium</v>
      </c>
      <c r="F2624" s="42" t="str">
        <v>Al Khor</v>
      </c>
      <c r="G2624" s="42" t="str">
        <v>England</v>
      </c>
      <c r="H2624" s="42" t="str">
        <v>0.0</v>
      </c>
      <c r="I2624" s="42" t="str">
        <v>0.0</v>
      </c>
      <c r="J2624" s="42" t="str">
        <v>United States</v>
      </c>
      <c r="K2624" s="42" t="str">
        <v xml:space="preserve"> </v>
      </c>
      <c r="L2624" s="42" t="str">
        <f t="shared" si="193"/>
        <v xml:space="preserve">2022.0|25 Nov 2022 - 22:00|group stage|Al Bayt Stadium|Al Khor|England|0.0|0.0|United States| </v>
      </c>
      <c r="M2624" s="42" t="str">
        <f>IF(COUNTIF($L$1689:L2624,L2624)&gt;1,"DOUBLON","OK")</f>
        <v>OK</v>
      </c>
      <c r="S2624" s="40" t="str">
        <v>Argentina</v>
      </c>
      <c r="T2624" s="40" t="str">
        <f t="shared" si="190"/>
        <v>OK</v>
      </c>
      <c r="U2624" s="40" t="str">
        <f t="shared" si="191"/>
        <v>-</v>
      </c>
      <c r="V2624" s="40" t="str" cm="1">
        <f t="array" ref="V2624">_xlfn.IFS(
ISNUMBER(SEARCH("USA",S2624)),"United States",
ISNUMBER(SEARCH("Republic of Ireland",S2624)),"Ireland",
ISNUMBER(SEARCH("Republic of Korea",S2624)),"South Korea",
ISNUMBER(SEARCH("Cape Verde",S2624)),"Cabo Verde",
ISNUMBER(SEARCH("Czechia",S2624)),"Czech Republic",
ISNUMBER(SEARCH("Türkiye",S2624)),"Turkey",
ISNUMBER(SEARCH("Ivory Coast",S2624)),"Côte d'Ivoire",
ISNUMBER(SEARCH("Korea Republic",S2624)),"South Korea",
ISNUMBER(SEARCH("Germany FR",S2624)),"FR Germany",
ISNUMBER(SEARCH("West Germany",S2624)),"FR Germany",
ISNUMBER(SEARCH("Germany DR",S2624)),"DR Germany",
ISNUMBER(SEARCH("Korea DPR",S2624)),"North Korea",
ISNUMBER(SEARCH("China PR",S2624)),"China",
ISNUMBER(SEARCH("IR Iran",S2624)),"Iran",
ISNUMBER(SEARCH("Congo DR",S2624)),"Democratic Republic of the Congo",
ISNUMBER(SEARCH("DR Congo",S2624)),"Democratic Republic of the Congo",
ISNUMBER(SEARCH("German DR",S2624)),"DR Germany",
ISNUMBER(SEARCH("rn""&gt;United Arab Emirates",S2624)),"United Arab Emirates",
ISNUMBER(SEARCH("rn""&gt;Republic of Ireland",S2624)),"Ireland",
ISNUMBER(SEARCH("rn""&gt;Bosnia and Herzegovina",S2624)),"Bosnia and Herzegovina",
ISNUMBER(SEARCH("rn""&gt;Trinidad and Tobago",S2624)),"Trinidad and Tobago",
ISNUMBER(SEARCH("rn""&gt;Serbia and Montenegro",S2624)),"Serbia and Montenegro",
ISNUMBER(SEARCH(_xlfn.UNICHAR(65533),S2624)),"Côte d'Ivoire",
TRUE,""
)</f>
        <v/>
      </c>
      <c r="W2624" s="40" t="str">
        <f t="shared" si="192"/>
        <v>Argentina</v>
      </c>
    </row>
    <row r="2625" spans="2:23">
      <c r="B2625" s="76" t="str">
        <v>2022.0</v>
      </c>
      <c r="C2625" s="42" t="str">
        <v>26 Nov 2022 - 13:00</v>
      </c>
      <c r="D2625" s="42" t="str">
        <v>group stage</v>
      </c>
      <c r="E2625" s="42" t="str">
        <v>Al Janoub Stadium</v>
      </c>
      <c r="F2625" s="42" t="str">
        <v>Al Wakrah</v>
      </c>
      <c r="G2625" s="42" t="str">
        <v>Tunisia</v>
      </c>
      <c r="H2625" s="42" t="str">
        <v>0.0</v>
      </c>
      <c r="I2625" s="42" t="str">
        <v>1.0</v>
      </c>
      <c r="J2625" s="42" t="str">
        <v>Australia</v>
      </c>
      <c r="K2625" s="42" t="str">
        <v xml:space="preserve"> </v>
      </c>
      <c r="L2625" s="42" t="str">
        <f t="shared" si="193"/>
        <v xml:space="preserve">2022.0|26 Nov 2022 - 13:00|group stage|Al Janoub Stadium|Al Wakrah|Tunisia|0.0|1.0|Australia| </v>
      </c>
      <c r="M2625" s="42" t="str">
        <f>IF(COUNTIF($L$1689:L2625,L2625)&gt;1,"DOUBLON","OK")</f>
        <v>OK</v>
      </c>
      <c r="S2625" s="40" t="str">
        <v>Sweden</v>
      </c>
      <c r="T2625" s="40" t="str">
        <f t="shared" si="190"/>
        <v>OK</v>
      </c>
      <c r="U2625" s="40" t="str">
        <f t="shared" si="191"/>
        <v>-</v>
      </c>
      <c r="V2625" s="40" t="str" cm="1">
        <f t="array" ref="V2625">_xlfn.IFS(
ISNUMBER(SEARCH("USA",S2625)),"United States",
ISNUMBER(SEARCH("Republic of Ireland",S2625)),"Ireland",
ISNUMBER(SEARCH("Republic of Korea",S2625)),"South Korea",
ISNUMBER(SEARCH("Cape Verde",S2625)),"Cabo Verde",
ISNUMBER(SEARCH("Czechia",S2625)),"Czech Republic",
ISNUMBER(SEARCH("Türkiye",S2625)),"Turkey",
ISNUMBER(SEARCH("Ivory Coast",S2625)),"Côte d'Ivoire",
ISNUMBER(SEARCH("Korea Republic",S2625)),"South Korea",
ISNUMBER(SEARCH("Germany FR",S2625)),"FR Germany",
ISNUMBER(SEARCH("West Germany",S2625)),"FR Germany",
ISNUMBER(SEARCH("Germany DR",S2625)),"DR Germany",
ISNUMBER(SEARCH("Korea DPR",S2625)),"North Korea",
ISNUMBER(SEARCH("China PR",S2625)),"China",
ISNUMBER(SEARCH("IR Iran",S2625)),"Iran",
ISNUMBER(SEARCH("Congo DR",S2625)),"Democratic Republic of the Congo",
ISNUMBER(SEARCH("DR Congo",S2625)),"Democratic Republic of the Congo",
ISNUMBER(SEARCH("German DR",S2625)),"DR Germany",
ISNUMBER(SEARCH("rn""&gt;United Arab Emirates",S2625)),"United Arab Emirates",
ISNUMBER(SEARCH("rn""&gt;Republic of Ireland",S2625)),"Ireland",
ISNUMBER(SEARCH("rn""&gt;Bosnia and Herzegovina",S2625)),"Bosnia and Herzegovina",
ISNUMBER(SEARCH("rn""&gt;Trinidad and Tobago",S2625)),"Trinidad and Tobago",
ISNUMBER(SEARCH("rn""&gt;Serbia and Montenegro",S2625)),"Serbia and Montenegro",
ISNUMBER(SEARCH(_xlfn.UNICHAR(65533),S2625)),"Côte d'Ivoire",
TRUE,""
)</f>
        <v/>
      </c>
      <c r="W2625" s="40" t="str">
        <f t="shared" si="192"/>
        <v>Sweden</v>
      </c>
    </row>
    <row r="2626" spans="2:23">
      <c r="B2626" s="76" t="str">
        <v>2022.0</v>
      </c>
      <c r="C2626" s="42" t="str">
        <v>26 Nov 2022 - 16:00</v>
      </c>
      <c r="D2626" s="42" t="str">
        <v>group stage</v>
      </c>
      <c r="E2626" s="42" t="str">
        <v>Education City Stadium</v>
      </c>
      <c r="F2626" s="42" t="str">
        <v>Al Rayyan</v>
      </c>
      <c r="G2626" s="42" t="str">
        <v>Poland</v>
      </c>
      <c r="H2626" s="42" t="str">
        <v>2.0</v>
      </c>
      <c r="I2626" s="42" t="str">
        <v>0.0</v>
      </c>
      <c r="J2626" s="42" t="str">
        <v>Saudi Arabia</v>
      </c>
      <c r="K2626" s="42" t="str">
        <v xml:space="preserve"> </v>
      </c>
      <c r="L2626" s="42" t="str">
        <f t="shared" si="193"/>
        <v xml:space="preserve">2022.0|26 Nov 2022 - 16:00|group stage|Education City Stadium|Al Rayyan|Poland|2.0|0.0|Saudi Arabia| </v>
      </c>
      <c r="M2626" s="42" t="str">
        <f>IF(COUNTIF($L$1689:L2626,L2626)&gt;1,"DOUBLON","OK")</f>
        <v>OK</v>
      </c>
      <c r="S2626" s="40" t="str">
        <v>Poland</v>
      </c>
      <c r="T2626" s="40" t="str">
        <f t="shared" si="190"/>
        <v>OK</v>
      </c>
      <c r="U2626" s="40" t="str">
        <f t="shared" si="191"/>
        <v>-</v>
      </c>
      <c r="V2626" s="40" t="str" cm="1">
        <f t="array" ref="V2626">_xlfn.IFS(
ISNUMBER(SEARCH("USA",S2626)),"United States",
ISNUMBER(SEARCH("Republic of Ireland",S2626)),"Ireland",
ISNUMBER(SEARCH("Republic of Korea",S2626)),"South Korea",
ISNUMBER(SEARCH("Cape Verde",S2626)),"Cabo Verde",
ISNUMBER(SEARCH("Czechia",S2626)),"Czech Republic",
ISNUMBER(SEARCH("Türkiye",S2626)),"Turkey",
ISNUMBER(SEARCH("Ivory Coast",S2626)),"Côte d'Ivoire",
ISNUMBER(SEARCH("Korea Republic",S2626)),"South Korea",
ISNUMBER(SEARCH("Germany FR",S2626)),"FR Germany",
ISNUMBER(SEARCH("West Germany",S2626)),"FR Germany",
ISNUMBER(SEARCH("Germany DR",S2626)),"DR Germany",
ISNUMBER(SEARCH("Korea DPR",S2626)),"North Korea",
ISNUMBER(SEARCH("China PR",S2626)),"China",
ISNUMBER(SEARCH("IR Iran",S2626)),"Iran",
ISNUMBER(SEARCH("Congo DR",S2626)),"Democratic Republic of the Congo",
ISNUMBER(SEARCH("DR Congo",S2626)),"Democratic Republic of the Congo",
ISNUMBER(SEARCH("German DR",S2626)),"DR Germany",
ISNUMBER(SEARCH("rn""&gt;United Arab Emirates",S2626)),"United Arab Emirates",
ISNUMBER(SEARCH("rn""&gt;Republic of Ireland",S2626)),"Ireland",
ISNUMBER(SEARCH("rn""&gt;Bosnia and Herzegovina",S2626)),"Bosnia and Herzegovina",
ISNUMBER(SEARCH("rn""&gt;Trinidad and Tobago",S2626)),"Trinidad and Tobago",
ISNUMBER(SEARCH("rn""&gt;Serbia and Montenegro",S2626)),"Serbia and Montenegro",
ISNUMBER(SEARCH(_xlfn.UNICHAR(65533),S2626)),"Côte d'Ivoire",
TRUE,""
)</f>
        <v/>
      </c>
      <c r="W2626" s="40" t="str">
        <f t="shared" si="192"/>
        <v>Poland</v>
      </c>
    </row>
    <row r="2627" spans="2:23">
      <c r="B2627" s="76" t="str">
        <v>2022.0</v>
      </c>
      <c r="C2627" s="42" t="str">
        <v>26 Nov 2022 - 19:00</v>
      </c>
      <c r="D2627" s="42" t="str">
        <v>group stage</v>
      </c>
      <c r="E2627" s="42" t="str">
        <v>Stadium 974</v>
      </c>
      <c r="F2627" s="42" t="str">
        <v>Doha</v>
      </c>
      <c r="G2627" s="42" t="str">
        <v>France</v>
      </c>
      <c r="H2627" s="42" t="str">
        <v>2.0</v>
      </c>
      <c r="I2627" s="42" t="str">
        <v>1.0</v>
      </c>
      <c r="J2627" s="42" t="str">
        <v>Denmark</v>
      </c>
      <c r="K2627" s="42" t="str">
        <v xml:space="preserve"> </v>
      </c>
      <c r="L2627" s="42" t="str">
        <f t="shared" si="193"/>
        <v xml:space="preserve">2022.0|26 Nov 2022 - 19:00|group stage|Stadium 974|Doha|France|2.0|1.0|Denmark| </v>
      </c>
      <c r="M2627" s="42" t="str">
        <f>IF(COUNTIF($L$1689:L2627,L2627)&gt;1,"DOUBLON","OK")</f>
        <v>OK</v>
      </c>
      <c r="S2627" s="40" t="str">
        <v>Yugoslavia</v>
      </c>
      <c r="T2627" s="40" t="str">
        <f t="shared" ref="T2627:T2690" si="194">IF(COUNTIF(R$13:R$250,S2627)=1,"OK","ERREUR")</f>
        <v>ERREUR</v>
      </c>
      <c r="U2627" s="40" t="str">
        <f t="shared" si="191"/>
        <v>AUCUNE</v>
      </c>
      <c r="V2627" s="40" t="str" cm="1">
        <f t="array" ref="V2627">_xlfn.IFS(
ISNUMBER(SEARCH("USA",S2627)),"United States",
ISNUMBER(SEARCH("Republic of Ireland",S2627)),"Ireland",
ISNUMBER(SEARCH("Republic of Korea",S2627)),"South Korea",
ISNUMBER(SEARCH("Cape Verde",S2627)),"Cabo Verde",
ISNUMBER(SEARCH("Czechia",S2627)),"Czech Republic",
ISNUMBER(SEARCH("Türkiye",S2627)),"Turkey",
ISNUMBER(SEARCH("Ivory Coast",S2627)),"Côte d'Ivoire",
ISNUMBER(SEARCH("Korea Republic",S2627)),"South Korea",
ISNUMBER(SEARCH("Germany FR",S2627)),"FR Germany",
ISNUMBER(SEARCH("West Germany",S2627)),"FR Germany",
ISNUMBER(SEARCH("Germany DR",S2627)),"DR Germany",
ISNUMBER(SEARCH("Korea DPR",S2627)),"North Korea",
ISNUMBER(SEARCH("China PR",S2627)),"China",
ISNUMBER(SEARCH("IR Iran",S2627)),"Iran",
ISNUMBER(SEARCH("Congo DR",S2627)),"Democratic Republic of the Congo",
ISNUMBER(SEARCH("DR Congo",S2627)),"Democratic Republic of the Congo",
ISNUMBER(SEARCH("German DR",S2627)),"DR Germany",
ISNUMBER(SEARCH("rn""&gt;United Arab Emirates",S2627)),"United Arab Emirates",
ISNUMBER(SEARCH("rn""&gt;Republic of Ireland",S2627)),"Ireland",
ISNUMBER(SEARCH("rn""&gt;Bosnia and Herzegovina",S2627)),"Bosnia and Herzegovina",
ISNUMBER(SEARCH("rn""&gt;Trinidad and Tobago",S2627)),"Trinidad and Tobago",
ISNUMBER(SEARCH("rn""&gt;Serbia and Montenegro",S2627)),"Serbia and Montenegro",
ISNUMBER(SEARCH(_xlfn.UNICHAR(65533),S2627)),"Côte d'Ivoire",
TRUE,""
)</f>
        <v/>
      </c>
      <c r="W2627" s="40" t="str">
        <f t="shared" si="192"/>
        <v>Yugoslavia</v>
      </c>
    </row>
    <row r="2628" spans="2:23">
      <c r="B2628" s="76" t="str">
        <v>2022.0</v>
      </c>
      <c r="C2628" s="42" t="str">
        <v>26 Nov 2022 - 22:00</v>
      </c>
      <c r="D2628" s="42" t="str">
        <v>group stage</v>
      </c>
      <c r="E2628" s="42" t="str">
        <v>Lusail Stadium</v>
      </c>
      <c r="F2628" s="42" t="str">
        <v>Lusail</v>
      </c>
      <c r="G2628" s="42" t="str">
        <v>Argentina</v>
      </c>
      <c r="H2628" s="42" t="str">
        <v>2.0</v>
      </c>
      <c r="I2628" s="42" t="str">
        <v>0.0</v>
      </c>
      <c r="J2628" s="42" t="str">
        <v>Mexico</v>
      </c>
      <c r="K2628" s="42" t="str">
        <v xml:space="preserve"> </v>
      </c>
      <c r="L2628" s="42" t="str">
        <f t="shared" si="193"/>
        <v xml:space="preserve">2022.0|26 Nov 2022 - 22:00|group stage|Lusail Stadium|Lusail|Argentina|2.0|0.0|Mexico| </v>
      </c>
      <c r="M2628" s="42" t="str">
        <f>IF(COUNTIF($L$1689:L2628,L2628)&gt;1,"DOUBLON","OK")</f>
        <v>OK</v>
      </c>
      <c r="S2628" s="40" t="str">
        <v>Brazil</v>
      </c>
      <c r="T2628" s="40" t="str">
        <f t="shared" si="194"/>
        <v>OK</v>
      </c>
      <c r="U2628" s="40" t="str">
        <f t="shared" ref="U2628:U2691" si="195">IF(OR(S2628="Scotland",S2628="England",S2628="Wales",S2628="Yugoslavia",S2628="Czechoslovakia",S2628="Northern Ireland",S2628="Soviet Union",S2628="Zaire",S2628="Dutch East Indies"),"AUCUNE",IF(OR(S2628="Cape Verde",S2628="USA",S2628="DR Congo",S2628="Republic of Korea",S2628="Germany FR",S2628="Germany DR",S2628="Czechia",S2628="Ivory Coast",S2628="Korea DPR",S2628="China PR",S2628="IR Iran",S2628="Türkiye",S2628="Congo DR",S2628="German DR",S2628="West Germany",S2628="Republic of Ireland",ISNUMBER(SEARCH(_xlfn.UNICHAR(65533),S2628)),S2628="Korea Republic",ISNUMBER(SEARCH("rn""&gt;United Arab Emirates",S2628)),ISNUMBER(SEARCH("rn""&gt;Republic of Ireland",S2628)),ISNUMBER(SEARCH("rn""&gt;Bosnia and Herzegovina",S2628)),ISNUMBER(SEARCH("rn""&gt;Trinidad and Tobago",S2628)),ISNUMBER(SEARCH("rn""&gt;Serbia and Montenegro",S2628)),ISNUMBER(SEARCH(_xlfn.UNICHAR(65533),S2628))),"RENOMMER","-"))</f>
        <v>-</v>
      </c>
      <c r="V2628" s="40" t="str" cm="1">
        <f t="array" ref="V2628">_xlfn.IFS(
ISNUMBER(SEARCH("USA",S2628)),"United States",
ISNUMBER(SEARCH("Republic of Ireland",S2628)),"Ireland",
ISNUMBER(SEARCH("Republic of Korea",S2628)),"South Korea",
ISNUMBER(SEARCH("Cape Verde",S2628)),"Cabo Verde",
ISNUMBER(SEARCH("Czechia",S2628)),"Czech Republic",
ISNUMBER(SEARCH("Türkiye",S2628)),"Turkey",
ISNUMBER(SEARCH("Ivory Coast",S2628)),"Côte d'Ivoire",
ISNUMBER(SEARCH("Korea Republic",S2628)),"South Korea",
ISNUMBER(SEARCH("Germany FR",S2628)),"FR Germany",
ISNUMBER(SEARCH("West Germany",S2628)),"FR Germany",
ISNUMBER(SEARCH("Germany DR",S2628)),"DR Germany",
ISNUMBER(SEARCH("Korea DPR",S2628)),"North Korea",
ISNUMBER(SEARCH("China PR",S2628)),"China",
ISNUMBER(SEARCH("IR Iran",S2628)),"Iran",
ISNUMBER(SEARCH("Congo DR",S2628)),"Democratic Republic of the Congo",
ISNUMBER(SEARCH("DR Congo",S2628)),"Democratic Republic of the Congo",
ISNUMBER(SEARCH("German DR",S2628)),"DR Germany",
ISNUMBER(SEARCH("rn""&gt;United Arab Emirates",S2628)),"United Arab Emirates",
ISNUMBER(SEARCH("rn""&gt;Republic of Ireland",S2628)),"Ireland",
ISNUMBER(SEARCH("rn""&gt;Bosnia and Herzegovina",S2628)),"Bosnia and Herzegovina",
ISNUMBER(SEARCH("rn""&gt;Trinidad and Tobago",S2628)),"Trinidad and Tobago",
ISNUMBER(SEARCH("rn""&gt;Serbia and Montenegro",S2628)),"Serbia and Montenegro",
ISNUMBER(SEARCH(_xlfn.UNICHAR(65533),S2628)),"Côte d'Ivoire",
TRUE,""
)</f>
        <v/>
      </c>
      <c r="W2628" s="40" t="str">
        <f t="shared" ref="W2628:W2691" si="196">IF(V2628="",S2628,V2628)</f>
        <v>Brazil</v>
      </c>
    </row>
    <row r="2629" spans="2:23">
      <c r="B2629" s="76" t="str">
        <v>2022.0</v>
      </c>
      <c r="C2629" s="42" t="str">
        <v>27 Nov 2022 - 13:00</v>
      </c>
      <c r="D2629" s="42" t="str">
        <v>group stage</v>
      </c>
      <c r="E2629" s="42" t="str">
        <v>Ahmad bin Ali Stadium</v>
      </c>
      <c r="F2629" s="42" t="str">
        <v>Al Rayyan</v>
      </c>
      <c r="G2629" s="42" t="str">
        <v>Japan</v>
      </c>
      <c r="H2629" s="42" t="str">
        <v>0.0</v>
      </c>
      <c r="I2629" s="42" t="str">
        <v>1.0</v>
      </c>
      <c r="J2629" s="42" t="str">
        <v>Costa Rica</v>
      </c>
      <c r="K2629" s="42" t="str">
        <v xml:space="preserve"> </v>
      </c>
      <c r="L2629" s="42" t="str">
        <f t="shared" si="193"/>
        <v xml:space="preserve">2022.0|27 Nov 2022 - 13:00|group stage|Ahmad bin Ali Stadium|Al Rayyan|Japan|0.0|1.0|Costa Rica| </v>
      </c>
      <c r="M2629" s="42" t="str">
        <f>IF(COUNTIF($L$1689:L2629,L2629)&gt;1,"DOUBLON","OK")</f>
        <v>OK</v>
      </c>
      <c r="S2629" s="40" t="str">
        <v>Netherlands</v>
      </c>
      <c r="T2629" s="40" t="str">
        <f t="shared" si="194"/>
        <v>OK</v>
      </c>
      <c r="U2629" s="40" t="str">
        <f t="shared" si="195"/>
        <v>-</v>
      </c>
      <c r="V2629" s="40" t="str" cm="1">
        <f t="array" ref="V2629">_xlfn.IFS(
ISNUMBER(SEARCH("USA",S2629)),"United States",
ISNUMBER(SEARCH("Republic of Ireland",S2629)),"Ireland",
ISNUMBER(SEARCH("Republic of Korea",S2629)),"South Korea",
ISNUMBER(SEARCH("Cape Verde",S2629)),"Cabo Verde",
ISNUMBER(SEARCH("Czechia",S2629)),"Czech Republic",
ISNUMBER(SEARCH("Türkiye",S2629)),"Turkey",
ISNUMBER(SEARCH("Ivory Coast",S2629)),"Côte d'Ivoire",
ISNUMBER(SEARCH("Korea Republic",S2629)),"South Korea",
ISNUMBER(SEARCH("Germany FR",S2629)),"FR Germany",
ISNUMBER(SEARCH("West Germany",S2629)),"FR Germany",
ISNUMBER(SEARCH("Germany DR",S2629)),"DR Germany",
ISNUMBER(SEARCH("Korea DPR",S2629)),"North Korea",
ISNUMBER(SEARCH("China PR",S2629)),"China",
ISNUMBER(SEARCH("IR Iran",S2629)),"Iran",
ISNUMBER(SEARCH("Congo DR",S2629)),"Democratic Republic of the Congo",
ISNUMBER(SEARCH("DR Congo",S2629)),"Democratic Republic of the Congo",
ISNUMBER(SEARCH("German DR",S2629)),"DR Germany",
ISNUMBER(SEARCH("rn""&gt;United Arab Emirates",S2629)),"United Arab Emirates",
ISNUMBER(SEARCH("rn""&gt;Republic of Ireland",S2629)),"Ireland",
ISNUMBER(SEARCH("rn""&gt;Bosnia and Herzegovina",S2629)),"Bosnia and Herzegovina",
ISNUMBER(SEARCH("rn""&gt;Trinidad and Tobago",S2629)),"Trinidad and Tobago",
ISNUMBER(SEARCH("rn""&gt;Serbia and Montenegro",S2629)),"Serbia and Montenegro",
ISNUMBER(SEARCH(_xlfn.UNICHAR(65533),S2629)),"Côte d'Ivoire",
TRUE,""
)</f>
        <v/>
      </c>
      <c r="W2629" s="40" t="str">
        <f t="shared" si="196"/>
        <v>Netherlands</v>
      </c>
    </row>
    <row r="2630" spans="2:23">
      <c r="B2630" s="76" t="str">
        <v>2022.0</v>
      </c>
      <c r="C2630" s="42" t="str">
        <v>27 Nov 2022 - 16:00</v>
      </c>
      <c r="D2630" s="42" t="str">
        <v>group stage</v>
      </c>
      <c r="E2630" s="42" t="str">
        <v>Al Thumama Stadium</v>
      </c>
      <c r="F2630" s="42" t="str">
        <v>Doha</v>
      </c>
      <c r="G2630" s="42" t="str">
        <v>Belgium</v>
      </c>
      <c r="H2630" s="42" t="str">
        <v>0.0</v>
      </c>
      <c r="I2630" s="42" t="str">
        <v>2.0</v>
      </c>
      <c r="J2630" s="42" t="str">
        <v>Morocco</v>
      </c>
      <c r="K2630" s="42" t="str">
        <v xml:space="preserve"> </v>
      </c>
      <c r="L2630" s="42" t="str">
        <f t="shared" si="193"/>
        <v xml:space="preserve">2022.0|27 Nov 2022 - 16:00|group stage|Al Thumama Stadium|Doha|Belgium|0.0|2.0|Morocco| </v>
      </c>
      <c r="M2630" s="42" t="str">
        <f>IF(COUNTIF($L$1689:L2630,L2630)&gt;1,"DOUBLON","OK")</f>
        <v>OK</v>
      </c>
      <c r="S2630" s="40" t="str">
        <v>Sweden</v>
      </c>
      <c r="T2630" s="40" t="str">
        <f t="shared" si="194"/>
        <v>OK</v>
      </c>
      <c r="U2630" s="40" t="str">
        <f t="shared" si="195"/>
        <v>-</v>
      </c>
      <c r="V2630" s="40" t="str" cm="1">
        <f t="array" ref="V2630">_xlfn.IFS(
ISNUMBER(SEARCH("USA",S2630)),"United States",
ISNUMBER(SEARCH("Republic of Ireland",S2630)),"Ireland",
ISNUMBER(SEARCH("Republic of Korea",S2630)),"South Korea",
ISNUMBER(SEARCH("Cape Verde",S2630)),"Cabo Verde",
ISNUMBER(SEARCH("Czechia",S2630)),"Czech Republic",
ISNUMBER(SEARCH("Türkiye",S2630)),"Turkey",
ISNUMBER(SEARCH("Ivory Coast",S2630)),"Côte d'Ivoire",
ISNUMBER(SEARCH("Korea Republic",S2630)),"South Korea",
ISNUMBER(SEARCH("Germany FR",S2630)),"FR Germany",
ISNUMBER(SEARCH("West Germany",S2630)),"FR Germany",
ISNUMBER(SEARCH("Germany DR",S2630)),"DR Germany",
ISNUMBER(SEARCH("Korea DPR",S2630)),"North Korea",
ISNUMBER(SEARCH("China PR",S2630)),"China",
ISNUMBER(SEARCH("IR Iran",S2630)),"Iran",
ISNUMBER(SEARCH("Congo DR",S2630)),"Democratic Republic of the Congo",
ISNUMBER(SEARCH("DR Congo",S2630)),"Democratic Republic of the Congo",
ISNUMBER(SEARCH("German DR",S2630)),"DR Germany",
ISNUMBER(SEARCH("rn""&gt;United Arab Emirates",S2630)),"United Arab Emirates",
ISNUMBER(SEARCH("rn""&gt;Republic of Ireland",S2630)),"Ireland",
ISNUMBER(SEARCH("rn""&gt;Bosnia and Herzegovina",S2630)),"Bosnia and Herzegovina",
ISNUMBER(SEARCH("rn""&gt;Trinidad and Tobago",S2630)),"Trinidad and Tobago",
ISNUMBER(SEARCH("rn""&gt;Serbia and Montenegro",S2630)),"Serbia and Montenegro",
ISNUMBER(SEARCH(_xlfn.UNICHAR(65533),S2630)),"Côte d'Ivoire",
TRUE,""
)</f>
        <v/>
      </c>
      <c r="W2630" s="40" t="str">
        <f t="shared" si="196"/>
        <v>Sweden</v>
      </c>
    </row>
    <row r="2631" spans="2:23">
      <c r="B2631" s="76" t="str">
        <v>2022.0</v>
      </c>
      <c r="C2631" s="42" t="str">
        <v>27 Nov 2022 - 19:00</v>
      </c>
      <c r="D2631" s="42" t="str">
        <v>group stage</v>
      </c>
      <c r="E2631" s="42" t="str">
        <v>Khalifa International Stadium</v>
      </c>
      <c r="F2631" s="42" t="str">
        <v>Al Rayyan</v>
      </c>
      <c r="G2631" s="42" t="str">
        <v>Croatia</v>
      </c>
      <c r="H2631" s="42" t="str">
        <v>4.0</v>
      </c>
      <c r="I2631" s="42" t="str">
        <v>1.0</v>
      </c>
      <c r="J2631" s="42" t="str">
        <v>Canada</v>
      </c>
      <c r="K2631" s="42" t="str">
        <v xml:space="preserve"> </v>
      </c>
      <c r="L2631" s="42" t="str">
        <f t="shared" si="193"/>
        <v xml:space="preserve">2022.0|27 Nov 2022 - 19:00|group stage|Khalifa International Stadium|Al Rayyan|Croatia|4.0|1.0|Canada| </v>
      </c>
      <c r="M2631" s="42" t="str">
        <f>IF(COUNTIF($L$1689:L2631,L2631)&gt;1,"DOUBLON","OK")</f>
        <v>OK</v>
      </c>
      <c r="S2631" s="40" t="str">
        <v>Argentina</v>
      </c>
      <c r="T2631" s="40" t="str">
        <f t="shared" si="194"/>
        <v>OK</v>
      </c>
      <c r="U2631" s="40" t="str">
        <f t="shared" si="195"/>
        <v>-</v>
      </c>
      <c r="V2631" s="40" t="str" cm="1">
        <f t="array" ref="V2631">_xlfn.IFS(
ISNUMBER(SEARCH("USA",S2631)),"United States",
ISNUMBER(SEARCH("Republic of Ireland",S2631)),"Ireland",
ISNUMBER(SEARCH("Republic of Korea",S2631)),"South Korea",
ISNUMBER(SEARCH("Cape Verde",S2631)),"Cabo Verde",
ISNUMBER(SEARCH("Czechia",S2631)),"Czech Republic",
ISNUMBER(SEARCH("Türkiye",S2631)),"Turkey",
ISNUMBER(SEARCH("Ivory Coast",S2631)),"Côte d'Ivoire",
ISNUMBER(SEARCH("Korea Republic",S2631)),"South Korea",
ISNUMBER(SEARCH("Germany FR",S2631)),"FR Germany",
ISNUMBER(SEARCH("West Germany",S2631)),"FR Germany",
ISNUMBER(SEARCH("Germany DR",S2631)),"DR Germany",
ISNUMBER(SEARCH("Korea DPR",S2631)),"North Korea",
ISNUMBER(SEARCH("China PR",S2631)),"China",
ISNUMBER(SEARCH("IR Iran",S2631)),"Iran",
ISNUMBER(SEARCH("Congo DR",S2631)),"Democratic Republic of the Congo",
ISNUMBER(SEARCH("DR Congo",S2631)),"Democratic Republic of the Congo",
ISNUMBER(SEARCH("German DR",S2631)),"DR Germany",
ISNUMBER(SEARCH("rn""&gt;United Arab Emirates",S2631)),"United Arab Emirates",
ISNUMBER(SEARCH("rn""&gt;Republic of Ireland",S2631)),"Ireland",
ISNUMBER(SEARCH("rn""&gt;Bosnia and Herzegovina",S2631)),"Bosnia and Herzegovina",
ISNUMBER(SEARCH("rn""&gt;Trinidad and Tobago",S2631)),"Trinidad and Tobago",
ISNUMBER(SEARCH("rn""&gt;Serbia and Montenegro",S2631)),"Serbia and Montenegro",
ISNUMBER(SEARCH(_xlfn.UNICHAR(65533),S2631)),"Côte d'Ivoire",
TRUE,""
)</f>
        <v/>
      </c>
      <c r="W2631" s="40" t="str">
        <f t="shared" si="196"/>
        <v>Argentina</v>
      </c>
    </row>
    <row r="2632" spans="2:23">
      <c r="B2632" s="76" t="str">
        <v>2022.0</v>
      </c>
      <c r="C2632" s="42" t="str">
        <v>27 Nov 2022 - 22:00</v>
      </c>
      <c r="D2632" s="42" t="str">
        <v>group stage</v>
      </c>
      <c r="E2632" s="42" t="str">
        <v>Al Bayt Stadium</v>
      </c>
      <c r="F2632" s="42" t="str">
        <v>Al Khor</v>
      </c>
      <c r="G2632" s="42" t="str">
        <v>Spain</v>
      </c>
      <c r="H2632" s="42" t="str">
        <v>1.0</v>
      </c>
      <c r="I2632" s="42" t="str">
        <v>1.0</v>
      </c>
      <c r="J2632" s="42" t="str">
        <v>Germany</v>
      </c>
      <c r="K2632" s="42" t="str">
        <v xml:space="preserve"> </v>
      </c>
      <c r="L2632" s="42" t="str">
        <f t="shared" si="193"/>
        <v xml:space="preserve">2022.0|27 Nov 2022 - 22:00|group stage|Al Bayt Stadium|Al Khor|Spain|1.0|1.0|Germany| </v>
      </c>
      <c r="M2632" s="42" t="str">
        <f>IF(COUNTIF($L$1689:L2632,L2632)&gt;1,"DOUBLON","OK")</f>
        <v>OK</v>
      </c>
      <c r="S2632" s="40" t="str">
        <v>Poland</v>
      </c>
      <c r="T2632" s="40" t="str">
        <f t="shared" si="194"/>
        <v>OK</v>
      </c>
      <c r="U2632" s="40" t="str">
        <f t="shared" si="195"/>
        <v>-</v>
      </c>
      <c r="V2632" s="40" t="str" cm="1">
        <f t="array" ref="V2632">_xlfn.IFS(
ISNUMBER(SEARCH("USA",S2632)),"United States",
ISNUMBER(SEARCH("Republic of Ireland",S2632)),"Ireland",
ISNUMBER(SEARCH("Republic of Korea",S2632)),"South Korea",
ISNUMBER(SEARCH("Cape Verde",S2632)),"Cabo Verde",
ISNUMBER(SEARCH("Czechia",S2632)),"Czech Republic",
ISNUMBER(SEARCH("Türkiye",S2632)),"Turkey",
ISNUMBER(SEARCH("Ivory Coast",S2632)),"Côte d'Ivoire",
ISNUMBER(SEARCH("Korea Republic",S2632)),"South Korea",
ISNUMBER(SEARCH("Germany FR",S2632)),"FR Germany",
ISNUMBER(SEARCH("West Germany",S2632)),"FR Germany",
ISNUMBER(SEARCH("Germany DR",S2632)),"DR Germany",
ISNUMBER(SEARCH("Korea DPR",S2632)),"North Korea",
ISNUMBER(SEARCH("China PR",S2632)),"China",
ISNUMBER(SEARCH("IR Iran",S2632)),"Iran",
ISNUMBER(SEARCH("Congo DR",S2632)),"Democratic Republic of the Congo",
ISNUMBER(SEARCH("DR Congo",S2632)),"Democratic Republic of the Congo",
ISNUMBER(SEARCH("German DR",S2632)),"DR Germany",
ISNUMBER(SEARCH("rn""&gt;United Arab Emirates",S2632)),"United Arab Emirates",
ISNUMBER(SEARCH("rn""&gt;Republic of Ireland",S2632)),"Ireland",
ISNUMBER(SEARCH("rn""&gt;Bosnia and Herzegovina",S2632)),"Bosnia and Herzegovina",
ISNUMBER(SEARCH("rn""&gt;Trinidad and Tobago",S2632)),"Trinidad and Tobago",
ISNUMBER(SEARCH("rn""&gt;Serbia and Montenegro",S2632)),"Serbia and Montenegro",
ISNUMBER(SEARCH(_xlfn.UNICHAR(65533),S2632)),"Côte d'Ivoire",
TRUE,""
)</f>
        <v/>
      </c>
      <c r="W2632" s="40" t="str">
        <f t="shared" si="196"/>
        <v>Poland</v>
      </c>
    </row>
    <row r="2633" spans="2:23">
      <c r="B2633" s="76" t="str">
        <v>2022.0</v>
      </c>
      <c r="C2633" s="42" t="str">
        <v>28 Nov 2022 - 13:00</v>
      </c>
      <c r="D2633" s="42" t="str">
        <v>group stage</v>
      </c>
      <c r="E2633" s="42" t="str">
        <v>Al Janoub Stadium</v>
      </c>
      <c r="F2633" s="42" t="str">
        <v>Al Wakrah</v>
      </c>
      <c r="G2633" s="42" t="str">
        <v>Cameroon</v>
      </c>
      <c r="H2633" s="42" t="str">
        <v>3.0</v>
      </c>
      <c r="I2633" s="42" t="str">
        <v>3.0</v>
      </c>
      <c r="J2633" s="42" t="str">
        <v>Serbia</v>
      </c>
      <c r="K2633" s="42" t="str">
        <v xml:space="preserve"> </v>
      </c>
      <c r="L2633" s="42" t="str">
        <f t="shared" si="193"/>
        <v xml:space="preserve">2022.0|28 Nov 2022 - 13:00|group stage|Al Janoub Stadium|Al Wakrah|Cameroon|3.0|3.0|Serbia| </v>
      </c>
      <c r="M2633" s="42" t="str">
        <f>IF(COUNTIF($L$1689:L2633,L2633)&gt;1,"DOUBLON","OK")</f>
        <v>OK</v>
      </c>
      <c r="S2633" s="40" t="str">
        <v>German DR</v>
      </c>
      <c r="T2633" s="40" t="str">
        <f t="shared" si="194"/>
        <v>ERREUR</v>
      </c>
      <c r="U2633" s="40" t="str">
        <f t="shared" si="195"/>
        <v>RENOMMER</v>
      </c>
      <c r="V2633" s="40" t="str" cm="1">
        <f t="array" ref="V2633">_xlfn.IFS(
ISNUMBER(SEARCH("USA",S2633)),"United States",
ISNUMBER(SEARCH("Republic of Ireland",S2633)),"Ireland",
ISNUMBER(SEARCH("Republic of Korea",S2633)),"South Korea",
ISNUMBER(SEARCH("Cape Verde",S2633)),"Cabo Verde",
ISNUMBER(SEARCH("Czechia",S2633)),"Czech Republic",
ISNUMBER(SEARCH("Türkiye",S2633)),"Turkey",
ISNUMBER(SEARCH("Ivory Coast",S2633)),"Côte d'Ivoire",
ISNUMBER(SEARCH("Korea Republic",S2633)),"South Korea",
ISNUMBER(SEARCH("Germany FR",S2633)),"FR Germany",
ISNUMBER(SEARCH("West Germany",S2633)),"FR Germany",
ISNUMBER(SEARCH("Germany DR",S2633)),"DR Germany",
ISNUMBER(SEARCH("Korea DPR",S2633)),"North Korea",
ISNUMBER(SEARCH("China PR",S2633)),"China",
ISNUMBER(SEARCH("IR Iran",S2633)),"Iran",
ISNUMBER(SEARCH("Congo DR",S2633)),"Democratic Republic of the Congo",
ISNUMBER(SEARCH("DR Congo",S2633)),"Democratic Republic of the Congo",
ISNUMBER(SEARCH("German DR",S2633)),"DR Germany",
ISNUMBER(SEARCH("rn""&gt;United Arab Emirates",S2633)),"United Arab Emirates",
ISNUMBER(SEARCH("rn""&gt;Republic of Ireland",S2633)),"Ireland",
ISNUMBER(SEARCH("rn""&gt;Bosnia and Herzegovina",S2633)),"Bosnia and Herzegovina",
ISNUMBER(SEARCH("rn""&gt;Trinidad and Tobago",S2633)),"Trinidad and Tobago",
ISNUMBER(SEARCH("rn""&gt;Serbia and Montenegro",S2633)),"Serbia and Montenegro",
ISNUMBER(SEARCH(_xlfn.UNICHAR(65533),S2633)),"Côte d'Ivoire",
TRUE,""
)</f>
        <v>DR Germany</v>
      </c>
      <c r="W2633" s="40" t="str">
        <f t="shared" si="196"/>
        <v>DR Germany</v>
      </c>
    </row>
    <row r="2634" spans="2:23">
      <c r="B2634" s="76" t="str">
        <v>2022.0</v>
      </c>
      <c r="C2634" s="42" t="str">
        <v>28 Nov 2022 - 16:00</v>
      </c>
      <c r="D2634" s="42" t="str">
        <v>group stage</v>
      </c>
      <c r="E2634" s="42" t="str">
        <v>Education City Stadium</v>
      </c>
      <c r="F2634" s="42" t="str">
        <v>Al Rayyan</v>
      </c>
      <c r="G2634" s="42" t="str">
        <v>South Korea</v>
      </c>
      <c r="H2634" s="42" t="str">
        <v>2.0</v>
      </c>
      <c r="I2634" s="42" t="str">
        <v>3.0</v>
      </c>
      <c r="J2634" s="42" t="str">
        <v>Ghana</v>
      </c>
      <c r="K2634" s="42" t="str">
        <v xml:space="preserve"> </v>
      </c>
      <c r="L2634" s="42" t="str">
        <f t="shared" si="193"/>
        <v xml:space="preserve">2022.0|28 Nov 2022 - 16:00|group stage|Education City Stadium|Al Rayyan|South Korea|2.0|3.0|Ghana| </v>
      </c>
      <c r="M2634" s="42" t="str">
        <f>IF(COUNTIF($L$1689:L2634,L2634)&gt;1,"DOUBLON","OK")</f>
        <v>OK</v>
      </c>
      <c r="S2634" s="40" t="str">
        <v>Germany FR</v>
      </c>
      <c r="T2634" s="40" t="str">
        <f t="shared" si="194"/>
        <v>ERREUR</v>
      </c>
      <c r="U2634" s="40" t="str">
        <f t="shared" si="195"/>
        <v>RENOMMER</v>
      </c>
      <c r="V2634" s="40" t="str" cm="1">
        <f t="array" ref="V2634">_xlfn.IFS(
ISNUMBER(SEARCH("USA",S2634)),"United States",
ISNUMBER(SEARCH("Republic of Ireland",S2634)),"Ireland",
ISNUMBER(SEARCH("Republic of Korea",S2634)),"South Korea",
ISNUMBER(SEARCH("Cape Verde",S2634)),"Cabo Verde",
ISNUMBER(SEARCH("Czechia",S2634)),"Czech Republic",
ISNUMBER(SEARCH("Türkiye",S2634)),"Turkey",
ISNUMBER(SEARCH("Ivory Coast",S2634)),"Côte d'Ivoire",
ISNUMBER(SEARCH("Korea Republic",S2634)),"South Korea",
ISNUMBER(SEARCH("Germany FR",S2634)),"FR Germany",
ISNUMBER(SEARCH("West Germany",S2634)),"FR Germany",
ISNUMBER(SEARCH("Germany DR",S2634)),"DR Germany",
ISNUMBER(SEARCH("Korea DPR",S2634)),"North Korea",
ISNUMBER(SEARCH("China PR",S2634)),"China",
ISNUMBER(SEARCH("IR Iran",S2634)),"Iran",
ISNUMBER(SEARCH("Congo DR",S2634)),"Democratic Republic of the Congo",
ISNUMBER(SEARCH("DR Congo",S2634)),"Democratic Republic of the Congo",
ISNUMBER(SEARCH("German DR",S2634)),"DR Germany",
ISNUMBER(SEARCH("rn""&gt;United Arab Emirates",S2634)),"United Arab Emirates",
ISNUMBER(SEARCH("rn""&gt;Republic of Ireland",S2634)),"Ireland",
ISNUMBER(SEARCH("rn""&gt;Bosnia and Herzegovina",S2634)),"Bosnia and Herzegovina",
ISNUMBER(SEARCH("rn""&gt;Trinidad and Tobago",S2634)),"Trinidad and Tobago",
ISNUMBER(SEARCH("rn""&gt;Serbia and Montenegro",S2634)),"Serbia and Montenegro",
ISNUMBER(SEARCH(_xlfn.UNICHAR(65533),S2634)),"Côte d'Ivoire",
TRUE,""
)</f>
        <v>FR Germany</v>
      </c>
      <c r="W2634" s="40" t="str">
        <f t="shared" si="196"/>
        <v>FR Germany</v>
      </c>
    </row>
    <row r="2635" spans="2:23">
      <c r="B2635" s="76" t="str">
        <v>2022.0</v>
      </c>
      <c r="C2635" s="42" t="str">
        <v>28 Nov 2022 - 19:00</v>
      </c>
      <c r="D2635" s="42" t="str">
        <v>group stage</v>
      </c>
      <c r="E2635" s="42" t="str">
        <v>Stadium 974</v>
      </c>
      <c r="F2635" s="42" t="str">
        <v>Doha</v>
      </c>
      <c r="G2635" s="42" t="str">
        <v>Brazil</v>
      </c>
      <c r="H2635" s="42" t="str">
        <v>1.0</v>
      </c>
      <c r="I2635" s="42" t="str">
        <v>0.0</v>
      </c>
      <c r="J2635" s="42" t="str">
        <v>Switzerland</v>
      </c>
      <c r="K2635" s="42" t="str">
        <v xml:space="preserve"> </v>
      </c>
      <c r="L2635" s="42" t="str">
        <f t="shared" si="193"/>
        <v xml:space="preserve">2022.0|28 Nov 2022 - 19:00|group stage|Stadium 974|Doha|Brazil|1.0|0.0|Switzerland| </v>
      </c>
      <c r="M2635" s="42" t="str">
        <f>IF(COUNTIF($L$1689:L2635,L2635)&gt;1,"DOUBLON","OK")</f>
        <v>OK</v>
      </c>
      <c r="S2635" s="40" t="str">
        <v>Poland</v>
      </c>
      <c r="T2635" s="40" t="str">
        <f t="shared" si="194"/>
        <v>OK</v>
      </c>
      <c r="U2635" s="40" t="str">
        <f t="shared" si="195"/>
        <v>-</v>
      </c>
      <c r="V2635" s="40" t="str" cm="1">
        <f t="array" ref="V2635">_xlfn.IFS(
ISNUMBER(SEARCH("USA",S2635)),"United States",
ISNUMBER(SEARCH("Republic of Ireland",S2635)),"Ireland",
ISNUMBER(SEARCH("Republic of Korea",S2635)),"South Korea",
ISNUMBER(SEARCH("Cape Verde",S2635)),"Cabo Verde",
ISNUMBER(SEARCH("Czechia",S2635)),"Czech Republic",
ISNUMBER(SEARCH("Türkiye",S2635)),"Turkey",
ISNUMBER(SEARCH("Ivory Coast",S2635)),"Côte d'Ivoire",
ISNUMBER(SEARCH("Korea Republic",S2635)),"South Korea",
ISNUMBER(SEARCH("Germany FR",S2635)),"FR Germany",
ISNUMBER(SEARCH("West Germany",S2635)),"FR Germany",
ISNUMBER(SEARCH("Germany DR",S2635)),"DR Germany",
ISNUMBER(SEARCH("Korea DPR",S2635)),"North Korea",
ISNUMBER(SEARCH("China PR",S2635)),"China",
ISNUMBER(SEARCH("IR Iran",S2635)),"Iran",
ISNUMBER(SEARCH("Congo DR",S2635)),"Democratic Republic of the Congo",
ISNUMBER(SEARCH("DR Congo",S2635)),"Democratic Republic of the Congo",
ISNUMBER(SEARCH("German DR",S2635)),"DR Germany",
ISNUMBER(SEARCH("rn""&gt;United Arab Emirates",S2635)),"United Arab Emirates",
ISNUMBER(SEARCH("rn""&gt;Republic of Ireland",S2635)),"Ireland",
ISNUMBER(SEARCH("rn""&gt;Bosnia and Herzegovina",S2635)),"Bosnia and Herzegovina",
ISNUMBER(SEARCH("rn""&gt;Trinidad and Tobago",S2635)),"Trinidad and Tobago",
ISNUMBER(SEARCH("rn""&gt;Serbia and Montenegro",S2635)),"Serbia and Montenegro",
ISNUMBER(SEARCH(_xlfn.UNICHAR(65533),S2635)),"Côte d'Ivoire",
TRUE,""
)</f>
        <v/>
      </c>
      <c r="W2635" s="40" t="str">
        <f t="shared" si="196"/>
        <v>Poland</v>
      </c>
    </row>
    <row r="2636" spans="2:23">
      <c r="B2636" s="76" t="str">
        <v>2022.0</v>
      </c>
      <c r="C2636" s="42" t="str">
        <v>28 Nov 2022 - 22:00</v>
      </c>
      <c r="D2636" s="42" t="str">
        <v>group stage</v>
      </c>
      <c r="E2636" s="42" t="str">
        <v>Lusail Stadium</v>
      </c>
      <c r="F2636" s="42" t="str">
        <v>Lusail</v>
      </c>
      <c r="G2636" s="42" t="str">
        <v>Portugal</v>
      </c>
      <c r="H2636" s="42" t="str">
        <v>2.0</v>
      </c>
      <c r="I2636" s="42" t="str">
        <v>0.0</v>
      </c>
      <c r="J2636" s="42" t="str">
        <v>Uruguay</v>
      </c>
      <c r="K2636" s="42" t="str">
        <v xml:space="preserve"> </v>
      </c>
      <c r="L2636" s="42" t="str">
        <f t="shared" si="193"/>
        <v xml:space="preserve">2022.0|28 Nov 2022 - 22:00|group stage|Lusail Stadium|Lusail|Portugal|2.0|0.0|Uruguay| </v>
      </c>
      <c r="M2636" s="42" t="str">
        <f>IF(COUNTIF($L$1689:L2636,L2636)&gt;1,"DOUBLON","OK")</f>
        <v>OK</v>
      </c>
      <c r="S2636" s="40" t="str">
        <v>Netherlands</v>
      </c>
      <c r="T2636" s="40" t="str">
        <f t="shared" si="194"/>
        <v>OK</v>
      </c>
      <c r="U2636" s="40" t="str">
        <f t="shared" si="195"/>
        <v>-</v>
      </c>
      <c r="V2636" s="40" t="str" cm="1">
        <f t="array" ref="V2636">_xlfn.IFS(
ISNUMBER(SEARCH("USA",S2636)),"United States",
ISNUMBER(SEARCH("Republic of Ireland",S2636)),"Ireland",
ISNUMBER(SEARCH("Republic of Korea",S2636)),"South Korea",
ISNUMBER(SEARCH("Cape Verde",S2636)),"Cabo Verde",
ISNUMBER(SEARCH("Czechia",S2636)),"Czech Republic",
ISNUMBER(SEARCH("Türkiye",S2636)),"Turkey",
ISNUMBER(SEARCH("Ivory Coast",S2636)),"Côte d'Ivoire",
ISNUMBER(SEARCH("Korea Republic",S2636)),"South Korea",
ISNUMBER(SEARCH("Germany FR",S2636)),"FR Germany",
ISNUMBER(SEARCH("West Germany",S2636)),"FR Germany",
ISNUMBER(SEARCH("Germany DR",S2636)),"DR Germany",
ISNUMBER(SEARCH("Korea DPR",S2636)),"North Korea",
ISNUMBER(SEARCH("China PR",S2636)),"China",
ISNUMBER(SEARCH("IR Iran",S2636)),"Iran",
ISNUMBER(SEARCH("Congo DR",S2636)),"Democratic Republic of the Congo",
ISNUMBER(SEARCH("DR Congo",S2636)),"Democratic Republic of the Congo",
ISNUMBER(SEARCH("German DR",S2636)),"DR Germany",
ISNUMBER(SEARCH("rn""&gt;United Arab Emirates",S2636)),"United Arab Emirates",
ISNUMBER(SEARCH("rn""&gt;Republic of Ireland",S2636)),"Ireland",
ISNUMBER(SEARCH("rn""&gt;Bosnia and Herzegovina",S2636)),"Bosnia and Herzegovina",
ISNUMBER(SEARCH("rn""&gt;Trinidad and Tobago",S2636)),"Trinidad and Tobago",
ISNUMBER(SEARCH("rn""&gt;Serbia and Montenegro",S2636)),"Serbia and Montenegro",
ISNUMBER(SEARCH(_xlfn.UNICHAR(65533),S2636)),"Côte d'Ivoire",
TRUE,""
)</f>
        <v/>
      </c>
      <c r="W2636" s="40" t="str">
        <f t="shared" si="196"/>
        <v>Netherlands</v>
      </c>
    </row>
    <row r="2637" spans="2:23">
      <c r="B2637" s="76" t="str">
        <v>2022.0</v>
      </c>
      <c r="C2637" s="42" t="str">
        <v>29 Nov 2022 - 18:00</v>
      </c>
      <c r="D2637" s="42" t="str">
        <v>group stage</v>
      </c>
      <c r="E2637" s="42" t="str">
        <v>Khalifa International Stadium</v>
      </c>
      <c r="F2637" s="42" t="str">
        <v>Al Rayyan</v>
      </c>
      <c r="G2637" s="42" t="str">
        <v>Ecuador</v>
      </c>
      <c r="H2637" s="42" t="str">
        <v>1.0</v>
      </c>
      <c r="I2637" s="42" t="str">
        <v>2.0</v>
      </c>
      <c r="J2637" s="42" t="str">
        <v>Senegal</v>
      </c>
      <c r="K2637" s="42" t="str">
        <v xml:space="preserve"> </v>
      </c>
      <c r="L2637" s="42" t="str">
        <f t="shared" si="193"/>
        <v xml:space="preserve">2022.0|29 Nov 2022 - 18:00|group stage|Khalifa International Stadium|Al Rayyan|Ecuador|1.0|2.0|Senegal| </v>
      </c>
      <c r="M2637" s="42" t="str">
        <f>IF(COUNTIF($L$1689:L2637,L2637)&gt;1,"DOUBLON","OK")</f>
        <v>OK</v>
      </c>
      <c r="S2637" s="40" t="str">
        <v>Argentina</v>
      </c>
      <c r="T2637" s="40" t="str">
        <f t="shared" si="194"/>
        <v>OK</v>
      </c>
      <c r="U2637" s="40" t="str">
        <f t="shared" si="195"/>
        <v>-</v>
      </c>
      <c r="V2637" s="40" t="str" cm="1">
        <f t="array" ref="V2637">_xlfn.IFS(
ISNUMBER(SEARCH("USA",S2637)),"United States",
ISNUMBER(SEARCH("Republic of Ireland",S2637)),"Ireland",
ISNUMBER(SEARCH("Republic of Korea",S2637)),"South Korea",
ISNUMBER(SEARCH("Cape Verde",S2637)),"Cabo Verde",
ISNUMBER(SEARCH("Czechia",S2637)),"Czech Republic",
ISNUMBER(SEARCH("Türkiye",S2637)),"Turkey",
ISNUMBER(SEARCH("Ivory Coast",S2637)),"Côte d'Ivoire",
ISNUMBER(SEARCH("Korea Republic",S2637)),"South Korea",
ISNUMBER(SEARCH("Germany FR",S2637)),"FR Germany",
ISNUMBER(SEARCH("West Germany",S2637)),"FR Germany",
ISNUMBER(SEARCH("Germany DR",S2637)),"DR Germany",
ISNUMBER(SEARCH("Korea DPR",S2637)),"North Korea",
ISNUMBER(SEARCH("China PR",S2637)),"China",
ISNUMBER(SEARCH("IR Iran",S2637)),"Iran",
ISNUMBER(SEARCH("Congo DR",S2637)),"Democratic Republic of the Congo",
ISNUMBER(SEARCH("DR Congo",S2637)),"Democratic Republic of the Congo",
ISNUMBER(SEARCH("German DR",S2637)),"DR Germany",
ISNUMBER(SEARCH("rn""&gt;United Arab Emirates",S2637)),"United Arab Emirates",
ISNUMBER(SEARCH("rn""&gt;Republic of Ireland",S2637)),"Ireland",
ISNUMBER(SEARCH("rn""&gt;Bosnia and Herzegovina",S2637)),"Bosnia and Herzegovina",
ISNUMBER(SEARCH("rn""&gt;Trinidad and Tobago",S2637)),"Trinidad and Tobago",
ISNUMBER(SEARCH("rn""&gt;Serbia and Montenegro",S2637)),"Serbia and Montenegro",
ISNUMBER(SEARCH(_xlfn.UNICHAR(65533),S2637)),"Côte d'Ivoire",
TRUE,""
)</f>
        <v/>
      </c>
      <c r="W2637" s="40" t="str">
        <f t="shared" si="196"/>
        <v>Argentina</v>
      </c>
    </row>
    <row r="2638" spans="2:23">
      <c r="B2638" s="76" t="str">
        <v>2022.0</v>
      </c>
      <c r="C2638" s="42" t="str">
        <v>29 Nov 2022 - 18:00</v>
      </c>
      <c r="D2638" s="42" t="str">
        <v>group stage</v>
      </c>
      <c r="E2638" s="42" t="str">
        <v>Al Bayt Stadium</v>
      </c>
      <c r="F2638" s="42" t="str">
        <v>Al Khor</v>
      </c>
      <c r="G2638" s="42" t="str">
        <v>Netherlands</v>
      </c>
      <c r="H2638" s="42" t="str">
        <v>2.0</v>
      </c>
      <c r="I2638" s="42" t="str">
        <v>0.0</v>
      </c>
      <c r="J2638" s="42" t="str">
        <v>Qatar</v>
      </c>
      <c r="K2638" s="42" t="str">
        <v xml:space="preserve"> </v>
      </c>
      <c r="L2638" s="42" t="str">
        <f t="shared" si="193"/>
        <v xml:space="preserve">2022.0|29 Nov 2022 - 18:00|group stage|Al Bayt Stadium|Al Khor|Netherlands|2.0|0.0|Qatar| </v>
      </c>
      <c r="M2638" s="42" t="str">
        <f>IF(COUNTIF($L$1689:L2638,L2638)&gt;1,"DOUBLON","OK")</f>
        <v>OK</v>
      </c>
      <c r="S2638" s="40" t="str">
        <v>Sweden</v>
      </c>
      <c r="T2638" s="40" t="str">
        <f t="shared" si="194"/>
        <v>OK</v>
      </c>
      <c r="U2638" s="40" t="str">
        <f t="shared" si="195"/>
        <v>-</v>
      </c>
      <c r="V2638" s="40" t="str" cm="1">
        <f t="array" ref="V2638">_xlfn.IFS(
ISNUMBER(SEARCH("USA",S2638)),"United States",
ISNUMBER(SEARCH("Republic of Ireland",S2638)),"Ireland",
ISNUMBER(SEARCH("Republic of Korea",S2638)),"South Korea",
ISNUMBER(SEARCH("Cape Verde",S2638)),"Cabo Verde",
ISNUMBER(SEARCH("Czechia",S2638)),"Czech Republic",
ISNUMBER(SEARCH("Türkiye",S2638)),"Turkey",
ISNUMBER(SEARCH("Ivory Coast",S2638)),"Côte d'Ivoire",
ISNUMBER(SEARCH("Korea Republic",S2638)),"South Korea",
ISNUMBER(SEARCH("Germany FR",S2638)),"FR Germany",
ISNUMBER(SEARCH("West Germany",S2638)),"FR Germany",
ISNUMBER(SEARCH("Germany DR",S2638)),"DR Germany",
ISNUMBER(SEARCH("Korea DPR",S2638)),"North Korea",
ISNUMBER(SEARCH("China PR",S2638)),"China",
ISNUMBER(SEARCH("IR Iran",S2638)),"Iran",
ISNUMBER(SEARCH("Congo DR",S2638)),"Democratic Republic of the Congo",
ISNUMBER(SEARCH("DR Congo",S2638)),"Democratic Republic of the Congo",
ISNUMBER(SEARCH("German DR",S2638)),"DR Germany",
ISNUMBER(SEARCH("rn""&gt;United Arab Emirates",S2638)),"United Arab Emirates",
ISNUMBER(SEARCH("rn""&gt;Republic of Ireland",S2638)),"Ireland",
ISNUMBER(SEARCH("rn""&gt;Bosnia and Herzegovina",S2638)),"Bosnia and Herzegovina",
ISNUMBER(SEARCH("rn""&gt;Trinidad and Tobago",S2638)),"Trinidad and Tobago",
ISNUMBER(SEARCH("rn""&gt;Serbia and Montenegro",S2638)),"Serbia and Montenegro",
ISNUMBER(SEARCH(_xlfn.UNICHAR(65533),S2638)),"Côte d'Ivoire",
TRUE,""
)</f>
        <v/>
      </c>
      <c r="W2638" s="40" t="str">
        <f t="shared" si="196"/>
        <v>Sweden</v>
      </c>
    </row>
    <row r="2639" spans="2:23">
      <c r="B2639" s="76" t="str">
        <v>2022.0</v>
      </c>
      <c r="C2639" s="42" t="str">
        <v>29 Nov 2022 - 22:00</v>
      </c>
      <c r="D2639" s="42" t="str">
        <v>group stage</v>
      </c>
      <c r="E2639" s="42" t="str">
        <v>Al Thumama Stadium</v>
      </c>
      <c r="F2639" s="42" t="str">
        <v>Doha</v>
      </c>
      <c r="G2639" s="42" t="str">
        <v>Iran</v>
      </c>
      <c r="H2639" s="42" t="str">
        <v>0.0</v>
      </c>
      <c r="I2639" s="42" t="str">
        <v>1.0</v>
      </c>
      <c r="J2639" s="42" t="str">
        <v>United States</v>
      </c>
      <c r="K2639" s="42" t="str">
        <v xml:space="preserve"> </v>
      </c>
      <c r="L2639" s="42" t="str">
        <f t="shared" si="193"/>
        <v xml:space="preserve">2022.0|29 Nov 2022 - 22:00|group stage|Al Thumama Stadium|Doha|Iran|0.0|1.0|United States| </v>
      </c>
      <c r="M2639" s="42" t="str">
        <f>IF(COUNTIF($L$1689:L2639,L2639)&gt;1,"DOUBLON","OK")</f>
        <v>OK</v>
      </c>
      <c r="S2639" s="40" t="str">
        <v>Brazil</v>
      </c>
      <c r="T2639" s="40" t="str">
        <f t="shared" si="194"/>
        <v>OK</v>
      </c>
      <c r="U2639" s="40" t="str">
        <f t="shared" si="195"/>
        <v>-</v>
      </c>
      <c r="V2639" s="40" t="str" cm="1">
        <f t="array" ref="V2639">_xlfn.IFS(
ISNUMBER(SEARCH("USA",S2639)),"United States",
ISNUMBER(SEARCH("Republic of Ireland",S2639)),"Ireland",
ISNUMBER(SEARCH("Republic of Korea",S2639)),"South Korea",
ISNUMBER(SEARCH("Cape Verde",S2639)),"Cabo Verde",
ISNUMBER(SEARCH("Czechia",S2639)),"Czech Republic",
ISNUMBER(SEARCH("Türkiye",S2639)),"Turkey",
ISNUMBER(SEARCH("Ivory Coast",S2639)),"Côte d'Ivoire",
ISNUMBER(SEARCH("Korea Republic",S2639)),"South Korea",
ISNUMBER(SEARCH("Germany FR",S2639)),"FR Germany",
ISNUMBER(SEARCH("West Germany",S2639)),"FR Germany",
ISNUMBER(SEARCH("Germany DR",S2639)),"DR Germany",
ISNUMBER(SEARCH("Korea DPR",S2639)),"North Korea",
ISNUMBER(SEARCH("China PR",S2639)),"China",
ISNUMBER(SEARCH("IR Iran",S2639)),"Iran",
ISNUMBER(SEARCH("Congo DR",S2639)),"Democratic Republic of the Congo",
ISNUMBER(SEARCH("DR Congo",S2639)),"Democratic Republic of the Congo",
ISNUMBER(SEARCH("German DR",S2639)),"DR Germany",
ISNUMBER(SEARCH("rn""&gt;United Arab Emirates",S2639)),"United Arab Emirates",
ISNUMBER(SEARCH("rn""&gt;Republic of Ireland",S2639)),"Ireland",
ISNUMBER(SEARCH("rn""&gt;Bosnia and Herzegovina",S2639)),"Bosnia and Herzegovina",
ISNUMBER(SEARCH("rn""&gt;Trinidad and Tobago",S2639)),"Trinidad and Tobago",
ISNUMBER(SEARCH("rn""&gt;Serbia and Montenegro",S2639)),"Serbia and Montenegro",
ISNUMBER(SEARCH(_xlfn.UNICHAR(65533),S2639)),"Côte d'Ivoire",
TRUE,""
)</f>
        <v/>
      </c>
      <c r="W2639" s="40" t="str">
        <f t="shared" si="196"/>
        <v>Brazil</v>
      </c>
    </row>
    <row r="2640" spans="2:23">
      <c r="B2640" s="76" t="str">
        <v>2022.0</v>
      </c>
      <c r="C2640" s="42" t="str">
        <v>29 Nov 2022 - 22:00</v>
      </c>
      <c r="D2640" s="42" t="str">
        <v>group stage</v>
      </c>
      <c r="E2640" s="42" t="str">
        <v>Ahmad bin Ali Stadium</v>
      </c>
      <c r="F2640" s="42" t="str">
        <v>Al Rayyan</v>
      </c>
      <c r="G2640" s="42" t="str">
        <v>Wales</v>
      </c>
      <c r="H2640" s="42" t="str">
        <v>0.0</v>
      </c>
      <c r="I2640" s="42" t="str">
        <v>3.0</v>
      </c>
      <c r="J2640" s="42" t="str">
        <v>England</v>
      </c>
      <c r="K2640" s="42" t="str">
        <v xml:space="preserve"> </v>
      </c>
      <c r="L2640" s="42" t="str">
        <f t="shared" si="193"/>
        <v xml:space="preserve">2022.0|29 Nov 2022 - 22:00|group stage|Ahmad bin Ali Stadium|Al Rayyan|Wales|0.0|3.0|England| </v>
      </c>
      <c r="M2640" s="42" t="str">
        <f>IF(COUNTIF($L$1689:L2640,L2640)&gt;1,"DOUBLON","OK")</f>
        <v>OK</v>
      </c>
      <c r="S2640" s="40" t="str">
        <v>Netherlands</v>
      </c>
      <c r="T2640" s="40" t="str">
        <f t="shared" si="194"/>
        <v>OK</v>
      </c>
      <c r="U2640" s="40" t="str">
        <f t="shared" si="195"/>
        <v>-</v>
      </c>
      <c r="V2640" s="40" t="str" cm="1">
        <f t="array" ref="V2640">_xlfn.IFS(
ISNUMBER(SEARCH("USA",S2640)),"United States",
ISNUMBER(SEARCH("Republic of Ireland",S2640)),"Ireland",
ISNUMBER(SEARCH("Republic of Korea",S2640)),"South Korea",
ISNUMBER(SEARCH("Cape Verde",S2640)),"Cabo Verde",
ISNUMBER(SEARCH("Czechia",S2640)),"Czech Republic",
ISNUMBER(SEARCH("Türkiye",S2640)),"Turkey",
ISNUMBER(SEARCH("Ivory Coast",S2640)),"Côte d'Ivoire",
ISNUMBER(SEARCH("Korea Republic",S2640)),"South Korea",
ISNUMBER(SEARCH("Germany FR",S2640)),"FR Germany",
ISNUMBER(SEARCH("West Germany",S2640)),"FR Germany",
ISNUMBER(SEARCH("Germany DR",S2640)),"DR Germany",
ISNUMBER(SEARCH("Korea DPR",S2640)),"North Korea",
ISNUMBER(SEARCH("China PR",S2640)),"China",
ISNUMBER(SEARCH("IR Iran",S2640)),"Iran",
ISNUMBER(SEARCH("Congo DR",S2640)),"Democratic Republic of the Congo",
ISNUMBER(SEARCH("DR Congo",S2640)),"Democratic Republic of the Congo",
ISNUMBER(SEARCH("German DR",S2640)),"DR Germany",
ISNUMBER(SEARCH("rn""&gt;United Arab Emirates",S2640)),"United Arab Emirates",
ISNUMBER(SEARCH("rn""&gt;Republic of Ireland",S2640)),"Ireland",
ISNUMBER(SEARCH("rn""&gt;Bosnia and Herzegovina",S2640)),"Bosnia and Herzegovina",
ISNUMBER(SEARCH("rn""&gt;Trinidad and Tobago",S2640)),"Trinidad and Tobago",
ISNUMBER(SEARCH("rn""&gt;Serbia and Montenegro",S2640)),"Serbia and Montenegro",
ISNUMBER(SEARCH(_xlfn.UNICHAR(65533),S2640)),"Côte d'Ivoire",
TRUE,""
)</f>
        <v/>
      </c>
      <c r="W2640" s="40" t="str">
        <f t="shared" si="196"/>
        <v>Netherlands</v>
      </c>
    </row>
    <row r="2641" spans="2:23">
      <c r="B2641" s="76" t="str">
        <v>2022.0</v>
      </c>
      <c r="C2641" s="42" t="str">
        <v>30 Nov 2022 - 18:00</v>
      </c>
      <c r="D2641" s="42" t="str">
        <v>group stage</v>
      </c>
      <c r="E2641" s="42" t="str">
        <v>Al Janoub Stadium</v>
      </c>
      <c r="F2641" s="42" t="str">
        <v>Al Wakrah</v>
      </c>
      <c r="G2641" s="42" t="str">
        <v>Australia</v>
      </c>
      <c r="H2641" s="42" t="str">
        <v>1.0</v>
      </c>
      <c r="I2641" s="42" t="str">
        <v>0.0</v>
      </c>
      <c r="J2641" s="42" t="str">
        <v>Denmark</v>
      </c>
      <c r="K2641" s="42" t="str">
        <v xml:space="preserve"> </v>
      </c>
      <c r="L2641" s="42" t="str">
        <f t="shared" si="193"/>
        <v xml:space="preserve">2022.0|30 Nov 2022 - 18:00|group stage|Al Janoub Stadium|Al Wakrah|Australia|1.0|0.0|Denmark| </v>
      </c>
      <c r="M2641" s="42" t="str">
        <f>IF(COUNTIF($L$1689:L2641,L2641)&gt;1,"DOUBLON","OK")</f>
        <v>OK</v>
      </c>
      <c r="S2641" s="40" t="str">
        <v>Germany FR</v>
      </c>
      <c r="T2641" s="40" t="str">
        <f t="shared" si="194"/>
        <v>ERREUR</v>
      </c>
      <c r="U2641" s="40" t="str">
        <f t="shared" si="195"/>
        <v>RENOMMER</v>
      </c>
      <c r="V2641" s="40" t="str" cm="1">
        <f t="array" ref="V2641">_xlfn.IFS(
ISNUMBER(SEARCH("USA",S2641)),"United States",
ISNUMBER(SEARCH("Republic of Ireland",S2641)),"Ireland",
ISNUMBER(SEARCH("Republic of Korea",S2641)),"South Korea",
ISNUMBER(SEARCH("Cape Verde",S2641)),"Cabo Verde",
ISNUMBER(SEARCH("Czechia",S2641)),"Czech Republic",
ISNUMBER(SEARCH("Türkiye",S2641)),"Turkey",
ISNUMBER(SEARCH("Ivory Coast",S2641)),"Côte d'Ivoire",
ISNUMBER(SEARCH("Korea Republic",S2641)),"South Korea",
ISNUMBER(SEARCH("Germany FR",S2641)),"FR Germany",
ISNUMBER(SEARCH("West Germany",S2641)),"FR Germany",
ISNUMBER(SEARCH("Germany DR",S2641)),"DR Germany",
ISNUMBER(SEARCH("Korea DPR",S2641)),"North Korea",
ISNUMBER(SEARCH("China PR",S2641)),"China",
ISNUMBER(SEARCH("IR Iran",S2641)),"Iran",
ISNUMBER(SEARCH("Congo DR",S2641)),"Democratic Republic of the Congo",
ISNUMBER(SEARCH("DR Congo",S2641)),"Democratic Republic of the Congo",
ISNUMBER(SEARCH("German DR",S2641)),"DR Germany",
ISNUMBER(SEARCH("rn""&gt;United Arab Emirates",S2641)),"United Arab Emirates",
ISNUMBER(SEARCH("rn""&gt;Republic of Ireland",S2641)),"Ireland",
ISNUMBER(SEARCH("rn""&gt;Bosnia and Herzegovina",S2641)),"Bosnia and Herzegovina",
ISNUMBER(SEARCH("rn""&gt;Trinidad and Tobago",S2641)),"Trinidad and Tobago",
ISNUMBER(SEARCH("rn""&gt;Serbia and Montenegro",S2641)),"Serbia and Montenegro",
ISNUMBER(SEARCH(_xlfn.UNICHAR(65533),S2641)),"Côte d'Ivoire",
TRUE,""
)</f>
        <v>FR Germany</v>
      </c>
      <c r="W2641" s="40" t="str">
        <f t="shared" si="196"/>
        <v>FR Germany</v>
      </c>
    </row>
    <row r="2642" spans="2:23">
      <c r="B2642" s="76" t="str">
        <v>2022.0</v>
      </c>
      <c r="C2642" s="42" t="str">
        <v>30 Nov 2022 - 18:00</v>
      </c>
      <c r="D2642" s="42" t="str">
        <v>group stage</v>
      </c>
      <c r="E2642" s="42" t="str">
        <v>Education City Stadium</v>
      </c>
      <c r="F2642" s="42" t="str">
        <v>Al Rayyan</v>
      </c>
      <c r="G2642" s="42" t="str">
        <v>Tunisia</v>
      </c>
      <c r="H2642" s="42" t="str">
        <v>1.0</v>
      </c>
      <c r="I2642" s="42" t="str">
        <v>0.0</v>
      </c>
      <c r="J2642" s="42" t="str">
        <v>France</v>
      </c>
      <c r="K2642" s="42" t="str">
        <v xml:space="preserve"> </v>
      </c>
      <c r="L2642" s="42" t="str">
        <f t="shared" si="193"/>
        <v xml:space="preserve">2022.0|30 Nov 2022 - 18:00|group stage|Education City Stadium|Al Rayyan|Tunisia|1.0|0.0|France| </v>
      </c>
      <c r="M2642" s="42" t="str">
        <f>IF(COUNTIF($L$1689:L2642,L2642)&gt;1,"DOUBLON","OK")</f>
        <v>OK</v>
      </c>
      <c r="S2642" s="40" t="str">
        <v>Italy</v>
      </c>
      <c r="T2642" s="40" t="str">
        <f t="shared" si="194"/>
        <v>OK</v>
      </c>
      <c r="U2642" s="40" t="str">
        <f t="shared" si="195"/>
        <v>-</v>
      </c>
      <c r="V2642" s="40" t="str" cm="1">
        <f t="array" ref="V2642">_xlfn.IFS(
ISNUMBER(SEARCH("USA",S2642)),"United States",
ISNUMBER(SEARCH("Republic of Ireland",S2642)),"Ireland",
ISNUMBER(SEARCH("Republic of Korea",S2642)),"South Korea",
ISNUMBER(SEARCH("Cape Verde",S2642)),"Cabo Verde",
ISNUMBER(SEARCH("Czechia",S2642)),"Czech Republic",
ISNUMBER(SEARCH("Türkiye",S2642)),"Turkey",
ISNUMBER(SEARCH("Ivory Coast",S2642)),"Côte d'Ivoire",
ISNUMBER(SEARCH("Korea Republic",S2642)),"South Korea",
ISNUMBER(SEARCH("Germany FR",S2642)),"FR Germany",
ISNUMBER(SEARCH("West Germany",S2642)),"FR Germany",
ISNUMBER(SEARCH("Germany DR",S2642)),"DR Germany",
ISNUMBER(SEARCH("Korea DPR",S2642)),"North Korea",
ISNUMBER(SEARCH("China PR",S2642)),"China",
ISNUMBER(SEARCH("IR Iran",S2642)),"Iran",
ISNUMBER(SEARCH("Congo DR",S2642)),"Democratic Republic of the Congo",
ISNUMBER(SEARCH("DR Congo",S2642)),"Democratic Republic of the Congo",
ISNUMBER(SEARCH("German DR",S2642)),"DR Germany",
ISNUMBER(SEARCH("rn""&gt;United Arab Emirates",S2642)),"United Arab Emirates",
ISNUMBER(SEARCH("rn""&gt;Republic of Ireland",S2642)),"Ireland",
ISNUMBER(SEARCH("rn""&gt;Bosnia and Herzegovina",S2642)),"Bosnia and Herzegovina",
ISNUMBER(SEARCH("rn""&gt;Trinidad and Tobago",S2642)),"Trinidad and Tobago",
ISNUMBER(SEARCH("rn""&gt;Serbia and Montenegro",S2642)),"Serbia and Montenegro",
ISNUMBER(SEARCH(_xlfn.UNICHAR(65533),S2642)),"Côte d'Ivoire",
TRUE,""
)</f>
        <v/>
      </c>
      <c r="W2642" s="40" t="str">
        <f t="shared" si="196"/>
        <v>Italy</v>
      </c>
    </row>
    <row r="2643" spans="2:23">
      <c r="B2643" s="76" t="str">
        <v>2022.0</v>
      </c>
      <c r="C2643" s="42" t="str">
        <v>30 Nov 2022 - 22:00</v>
      </c>
      <c r="D2643" s="42" t="str">
        <v>group stage</v>
      </c>
      <c r="E2643" s="42" t="str">
        <v>Stadium 974</v>
      </c>
      <c r="F2643" s="42" t="str">
        <v>Doha</v>
      </c>
      <c r="G2643" s="42" t="str">
        <v>Poland</v>
      </c>
      <c r="H2643" s="42" t="str">
        <v>0.0</v>
      </c>
      <c r="I2643" s="42" t="str">
        <v>2.0</v>
      </c>
      <c r="J2643" s="42" t="str">
        <v>Argentina</v>
      </c>
      <c r="K2643" s="42" t="str">
        <v xml:space="preserve"> </v>
      </c>
      <c r="L2643" s="42" t="str">
        <f t="shared" si="193"/>
        <v xml:space="preserve">2022.0|30 Nov 2022 - 22:00|group stage|Stadium 974|Doha|Poland|0.0|2.0|Argentina| </v>
      </c>
      <c r="M2643" s="42" t="str">
        <f>IF(COUNTIF($L$1689:L2643,L2643)&gt;1,"DOUBLON","OK")</f>
        <v>OK</v>
      </c>
      <c r="S2643" s="40" t="str">
        <v>Tunisia</v>
      </c>
      <c r="T2643" s="40" t="str">
        <f t="shared" si="194"/>
        <v>OK</v>
      </c>
      <c r="U2643" s="40" t="str">
        <f t="shared" si="195"/>
        <v>-</v>
      </c>
      <c r="V2643" s="40" t="str" cm="1">
        <f t="array" ref="V2643">_xlfn.IFS(
ISNUMBER(SEARCH("USA",S2643)),"United States",
ISNUMBER(SEARCH("Republic of Ireland",S2643)),"Ireland",
ISNUMBER(SEARCH("Republic of Korea",S2643)),"South Korea",
ISNUMBER(SEARCH("Cape Verde",S2643)),"Cabo Verde",
ISNUMBER(SEARCH("Czechia",S2643)),"Czech Republic",
ISNUMBER(SEARCH("Türkiye",S2643)),"Turkey",
ISNUMBER(SEARCH("Ivory Coast",S2643)),"Côte d'Ivoire",
ISNUMBER(SEARCH("Korea Republic",S2643)),"South Korea",
ISNUMBER(SEARCH("Germany FR",S2643)),"FR Germany",
ISNUMBER(SEARCH("West Germany",S2643)),"FR Germany",
ISNUMBER(SEARCH("Germany DR",S2643)),"DR Germany",
ISNUMBER(SEARCH("Korea DPR",S2643)),"North Korea",
ISNUMBER(SEARCH("China PR",S2643)),"China",
ISNUMBER(SEARCH("IR Iran",S2643)),"Iran",
ISNUMBER(SEARCH("Congo DR",S2643)),"Democratic Republic of the Congo",
ISNUMBER(SEARCH("DR Congo",S2643)),"Democratic Republic of the Congo",
ISNUMBER(SEARCH("German DR",S2643)),"DR Germany",
ISNUMBER(SEARCH("rn""&gt;United Arab Emirates",S2643)),"United Arab Emirates",
ISNUMBER(SEARCH("rn""&gt;Republic of Ireland",S2643)),"Ireland",
ISNUMBER(SEARCH("rn""&gt;Bosnia and Herzegovina",S2643)),"Bosnia and Herzegovina",
ISNUMBER(SEARCH("rn""&gt;Trinidad and Tobago",S2643)),"Trinidad and Tobago",
ISNUMBER(SEARCH("rn""&gt;Serbia and Montenegro",S2643)),"Serbia and Montenegro",
ISNUMBER(SEARCH(_xlfn.UNICHAR(65533),S2643)),"Côte d'Ivoire",
TRUE,""
)</f>
        <v/>
      </c>
      <c r="W2643" s="40" t="str">
        <f t="shared" si="196"/>
        <v>Tunisia</v>
      </c>
    </row>
    <row r="2644" spans="2:23">
      <c r="B2644" s="76" t="str">
        <v>2022.0</v>
      </c>
      <c r="C2644" s="42" t="str">
        <v>30 Nov 2022 - 22:00</v>
      </c>
      <c r="D2644" s="42" t="str">
        <v>group stage</v>
      </c>
      <c r="E2644" s="42" t="str">
        <v>Lusail Stadium</v>
      </c>
      <c r="F2644" s="42" t="str">
        <v>Lusail</v>
      </c>
      <c r="G2644" s="42" t="str">
        <v>Saudi Arabia</v>
      </c>
      <c r="H2644" s="42" t="str">
        <v>1.0</v>
      </c>
      <c r="I2644" s="42" t="str">
        <v>2.0</v>
      </c>
      <c r="J2644" s="42" t="str">
        <v>Mexico</v>
      </c>
      <c r="K2644" s="42" t="str">
        <v xml:space="preserve"> </v>
      </c>
      <c r="L2644" s="42" t="str">
        <f t="shared" si="193"/>
        <v xml:space="preserve">2022.0|30 Nov 2022 - 22:00|group stage|Lusail Stadium|Lusail|Saudi Arabia|1.0|2.0|Mexico| </v>
      </c>
      <c r="M2644" s="42" t="str">
        <f>IF(COUNTIF($L$1689:L2644,L2644)&gt;1,"DOUBLON","OK")</f>
        <v>OK</v>
      </c>
      <c r="S2644" s="40" t="str">
        <v>Argentina</v>
      </c>
      <c r="T2644" s="40" t="str">
        <f t="shared" si="194"/>
        <v>OK</v>
      </c>
      <c r="U2644" s="40" t="str">
        <f t="shared" si="195"/>
        <v>-</v>
      </c>
      <c r="V2644" s="40" t="str" cm="1">
        <f t="array" ref="V2644">_xlfn.IFS(
ISNUMBER(SEARCH("USA",S2644)),"United States",
ISNUMBER(SEARCH("Republic of Ireland",S2644)),"Ireland",
ISNUMBER(SEARCH("Republic of Korea",S2644)),"South Korea",
ISNUMBER(SEARCH("Cape Verde",S2644)),"Cabo Verde",
ISNUMBER(SEARCH("Czechia",S2644)),"Czech Republic",
ISNUMBER(SEARCH("Türkiye",S2644)),"Turkey",
ISNUMBER(SEARCH("Ivory Coast",S2644)),"Côte d'Ivoire",
ISNUMBER(SEARCH("Korea Republic",S2644)),"South Korea",
ISNUMBER(SEARCH("Germany FR",S2644)),"FR Germany",
ISNUMBER(SEARCH("West Germany",S2644)),"FR Germany",
ISNUMBER(SEARCH("Germany DR",S2644)),"DR Germany",
ISNUMBER(SEARCH("Korea DPR",S2644)),"North Korea",
ISNUMBER(SEARCH("China PR",S2644)),"China",
ISNUMBER(SEARCH("IR Iran",S2644)),"Iran",
ISNUMBER(SEARCH("Congo DR",S2644)),"Democratic Republic of the Congo",
ISNUMBER(SEARCH("DR Congo",S2644)),"Democratic Republic of the Congo",
ISNUMBER(SEARCH("German DR",S2644)),"DR Germany",
ISNUMBER(SEARCH("rn""&gt;United Arab Emirates",S2644)),"United Arab Emirates",
ISNUMBER(SEARCH("rn""&gt;Republic of Ireland",S2644)),"Ireland",
ISNUMBER(SEARCH("rn""&gt;Bosnia and Herzegovina",S2644)),"Bosnia and Herzegovina",
ISNUMBER(SEARCH("rn""&gt;Trinidad and Tobago",S2644)),"Trinidad and Tobago",
ISNUMBER(SEARCH("rn""&gt;Serbia and Montenegro",S2644)),"Serbia and Montenegro",
ISNUMBER(SEARCH(_xlfn.UNICHAR(65533),S2644)),"Côte d'Ivoire",
TRUE,""
)</f>
        <v/>
      </c>
      <c r="W2644" s="40" t="str">
        <f t="shared" si="196"/>
        <v>Argentina</v>
      </c>
    </row>
    <row r="2645" spans="2:23">
      <c r="B2645" s="76" t="str">
        <v>2022.0</v>
      </c>
      <c r="C2645" s="42" t="str">
        <v>01 Dec 2022 - 18:00</v>
      </c>
      <c r="D2645" s="42" t="str">
        <v>group stage</v>
      </c>
      <c r="E2645" s="42" t="str">
        <v>Al Thumama Stadium</v>
      </c>
      <c r="F2645" s="42" t="str">
        <v>Doha</v>
      </c>
      <c r="G2645" s="42" t="str">
        <v>Canada</v>
      </c>
      <c r="H2645" s="42" t="str">
        <v>1.0</v>
      </c>
      <c r="I2645" s="42" t="str">
        <v>2.0</v>
      </c>
      <c r="J2645" s="42" t="str">
        <v>Morocco</v>
      </c>
      <c r="K2645" s="42" t="str">
        <v xml:space="preserve"> </v>
      </c>
      <c r="L2645" s="42" t="str">
        <f t="shared" si="193"/>
        <v xml:space="preserve">2022.0|01 Dec 2022 - 18:00|group stage|Al Thumama Stadium|Doha|Canada|1.0|2.0|Morocco| </v>
      </c>
      <c r="M2645" s="42" t="str">
        <f>IF(COUNTIF($L$1689:L2645,L2645)&gt;1,"DOUBLON","OK")</f>
        <v>OK</v>
      </c>
      <c r="S2645" s="40" t="str">
        <v>Sweden</v>
      </c>
      <c r="T2645" s="40" t="str">
        <f t="shared" si="194"/>
        <v>OK</v>
      </c>
      <c r="U2645" s="40" t="str">
        <f t="shared" si="195"/>
        <v>-</v>
      </c>
      <c r="V2645" s="40" t="str" cm="1">
        <f t="array" ref="V2645">_xlfn.IFS(
ISNUMBER(SEARCH("USA",S2645)),"United States",
ISNUMBER(SEARCH("Republic of Ireland",S2645)),"Ireland",
ISNUMBER(SEARCH("Republic of Korea",S2645)),"South Korea",
ISNUMBER(SEARCH("Cape Verde",S2645)),"Cabo Verde",
ISNUMBER(SEARCH("Czechia",S2645)),"Czech Republic",
ISNUMBER(SEARCH("Türkiye",S2645)),"Turkey",
ISNUMBER(SEARCH("Ivory Coast",S2645)),"Côte d'Ivoire",
ISNUMBER(SEARCH("Korea Republic",S2645)),"South Korea",
ISNUMBER(SEARCH("Germany FR",S2645)),"FR Germany",
ISNUMBER(SEARCH("West Germany",S2645)),"FR Germany",
ISNUMBER(SEARCH("Germany DR",S2645)),"DR Germany",
ISNUMBER(SEARCH("Korea DPR",S2645)),"North Korea",
ISNUMBER(SEARCH("China PR",S2645)),"China",
ISNUMBER(SEARCH("IR Iran",S2645)),"Iran",
ISNUMBER(SEARCH("Congo DR",S2645)),"Democratic Republic of the Congo",
ISNUMBER(SEARCH("DR Congo",S2645)),"Democratic Republic of the Congo",
ISNUMBER(SEARCH("German DR",S2645)),"DR Germany",
ISNUMBER(SEARCH("rn""&gt;United Arab Emirates",S2645)),"United Arab Emirates",
ISNUMBER(SEARCH("rn""&gt;Republic of Ireland",S2645)),"Ireland",
ISNUMBER(SEARCH("rn""&gt;Bosnia and Herzegovina",S2645)),"Bosnia and Herzegovina",
ISNUMBER(SEARCH("rn""&gt;Trinidad and Tobago",S2645)),"Trinidad and Tobago",
ISNUMBER(SEARCH("rn""&gt;Serbia and Montenegro",S2645)),"Serbia and Montenegro",
ISNUMBER(SEARCH(_xlfn.UNICHAR(65533),S2645)),"Côte d'Ivoire",
TRUE,""
)</f>
        <v/>
      </c>
      <c r="W2645" s="40" t="str">
        <f t="shared" si="196"/>
        <v>Sweden</v>
      </c>
    </row>
    <row r="2646" spans="2:23">
      <c r="B2646" s="76" t="str">
        <v>2022.0</v>
      </c>
      <c r="C2646" s="42" t="str">
        <v>01 Dec 2022 - 18:00</v>
      </c>
      <c r="D2646" s="42" t="str">
        <v>group stage</v>
      </c>
      <c r="E2646" s="42" t="str">
        <v>Ahmad bin Ali Stadium</v>
      </c>
      <c r="F2646" s="42" t="str">
        <v>Al Rayyan</v>
      </c>
      <c r="G2646" s="42" t="str">
        <v>Croatia</v>
      </c>
      <c r="H2646" s="42" t="str">
        <v>0.0</v>
      </c>
      <c r="I2646" s="42" t="str">
        <v>0.0</v>
      </c>
      <c r="J2646" s="42" t="str">
        <v>Belgium</v>
      </c>
      <c r="K2646" s="42" t="str">
        <v xml:space="preserve"> </v>
      </c>
      <c r="L2646" s="42" t="str">
        <f t="shared" si="193"/>
        <v xml:space="preserve">2022.0|01 Dec 2022 - 18:00|group stage|Ahmad bin Ali Stadium|Al Rayyan|Croatia|0.0|0.0|Belgium| </v>
      </c>
      <c r="M2646" s="42" t="str">
        <f>IF(COUNTIF($L$1689:L2646,L2646)&gt;1,"DOUBLON","OK")</f>
        <v>OK</v>
      </c>
      <c r="S2646" s="40" t="str">
        <v>Austria</v>
      </c>
      <c r="T2646" s="40" t="str">
        <f t="shared" si="194"/>
        <v>OK</v>
      </c>
      <c r="U2646" s="40" t="str">
        <f t="shared" si="195"/>
        <v>-</v>
      </c>
      <c r="V2646" s="40" t="str" cm="1">
        <f t="array" ref="V2646">_xlfn.IFS(
ISNUMBER(SEARCH("USA",S2646)),"United States",
ISNUMBER(SEARCH("Republic of Ireland",S2646)),"Ireland",
ISNUMBER(SEARCH("Republic of Korea",S2646)),"South Korea",
ISNUMBER(SEARCH("Cape Verde",S2646)),"Cabo Verde",
ISNUMBER(SEARCH("Czechia",S2646)),"Czech Republic",
ISNUMBER(SEARCH("Türkiye",S2646)),"Turkey",
ISNUMBER(SEARCH("Ivory Coast",S2646)),"Côte d'Ivoire",
ISNUMBER(SEARCH("Korea Republic",S2646)),"South Korea",
ISNUMBER(SEARCH("Germany FR",S2646)),"FR Germany",
ISNUMBER(SEARCH("West Germany",S2646)),"FR Germany",
ISNUMBER(SEARCH("Germany DR",S2646)),"DR Germany",
ISNUMBER(SEARCH("Korea DPR",S2646)),"North Korea",
ISNUMBER(SEARCH("China PR",S2646)),"China",
ISNUMBER(SEARCH("IR Iran",S2646)),"Iran",
ISNUMBER(SEARCH("Congo DR",S2646)),"Democratic Republic of the Congo",
ISNUMBER(SEARCH("DR Congo",S2646)),"Democratic Republic of the Congo",
ISNUMBER(SEARCH("German DR",S2646)),"DR Germany",
ISNUMBER(SEARCH("rn""&gt;United Arab Emirates",S2646)),"United Arab Emirates",
ISNUMBER(SEARCH("rn""&gt;Republic of Ireland",S2646)),"Ireland",
ISNUMBER(SEARCH("rn""&gt;Bosnia and Herzegovina",S2646)),"Bosnia and Herzegovina",
ISNUMBER(SEARCH("rn""&gt;Trinidad and Tobago",S2646)),"Trinidad and Tobago",
ISNUMBER(SEARCH("rn""&gt;Serbia and Montenegro",S2646)),"Serbia and Montenegro",
ISNUMBER(SEARCH(_xlfn.UNICHAR(65533),S2646)),"Côte d'Ivoire",
TRUE,""
)</f>
        <v/>
      </c>
      <c r="W2646" s="40" t="str">
        <f t="shared" si="196"/>
        <v>Austria</v>
      </c>
    </row>
    <row r="2647" spans="2:23">
      <c r="B2647" s="76" t="str">
        <v>2022.0</v>
      </c>
      <c r="C2647" s="42" t="str">
        <v>01 Dec 2022 - 22:00</v>
      </c>
      <c r="D2647" s="42" t="str">
        <v>group stage</v>
      </c>
      <c r="E2647" s="42" t="str">
        <v>Al Bayt Stadium</v>
      </c>
      <c r="F2647" s="42" t="str">
        <v>Al Khor</v>
      </c>
      <c r="G2647" s="42" t="str">
        <v>Costa Rica</v>
      </c>
      <c r="H2647" s="42" t="str">
        <v>2.0</v>
      </c>
      <c r="I2647" s="42" t="str">
        <v>4.0</v>
      </c>
      <c r="J2647" s="42" t="str">
        <v>Germany</v>
      </c>
      <c r="K2647" s="42" t="str">
        <v xml:space="preserve"> </v>
      </c>
      <c r="L2647" s="42" t="str">
        <f t="shared" si="193"/>
        <v xml:space="preserve">2022.0|01 Dec 2022 - 22:00|group stage|Al Bayt Stadium|Al Khor|Costa Rica|2.0|4.0|Germany| </v>
      </c>
      <c r="M2647" s="42" t="str">
        <f>IF(COUNTIF($L$1689:L2647,L2647)&gt;1,"DOUBLON","OK")</f>
        <v>OK</v>
      </c>
      <c r="S2647" s="40" t="str">
        <v>Peru</v>
      </c>
      <c r="T2647" s="40" t="str">
        <f t="shared" si="194"/>
        <v>OK</v>
      </c>
      <c r="U2647" s="40" t="str">
        <f t="shared" si="195"/>
        <v>-</v>
      </c>
      <c r="V2647" s="40" t="str" cm="1">
        <f t="array" ref="V2647">_xlfn.IFS(
ISNUMBER(SEARCH("USA",S2647)),"United States",
ISNUMBER(SEARCH("Republic of Ireland",S2647)),"Ireland",
ISNUMBER(SEARCH("Republic of Korea",S2647)),"South Korea",
ISNUMBER(SEARCH("Cape Verde",S2647)),"Cabo Verde",
ISNUMBER(SEARCH("Czechia",S2647)),"Czech Republic",
ISNUMBER(SEARCH("Türkiye",S2647)),"Turkey",
ISNUMBER(SEARCH("Ivory Coast",S2647)),"Côte d'Ivoire",
ISNUMBER(SEARCH("Korea Republic",S2647)),"South Korea",
ISNUMBER(SEARCH("Germany FR",S2647)),"FR Germany",
ISNUMBER(SEARCH("West Germany",S2647)),"FR Germany",
ISNUMBER(SEARCH("Germany DR",S2647)),"DR Germany",
ISNUMBER(SEARCH("Korea DPR",S2647)),"North Korea",
ISNUMBER(SEARCH("China PR",S2647)),"China",
ISNUMBER(SEARCH("IR Iran",S2647)),"Iran",
ISNUMBER(SEARCH("Congo DR",S2647)),"Democratic Republic of the Congo",
ISNUMBER(SEARCH("DR Congo",S2647)),"Democratic Republic of the Congo",
ISNUMBER(SEARCH("German DR",S2647)),"DR Germany",
ISNUMBER(SEARCH("rn""&gt;United Arab Emirates",S2647)),"United Arab Emirates",
ISNUMBER(SEARCH("rn""&gt;Republic of Ireland",S2647)),"Ireland",
ISNUMBER(SEARCH("rn""&gt;Bosnia and Herzegovina",S2647)),"Bosnia and Herzegovina",
ISNUMBER(SEARCH("rn""&gt;Trinidad and Tobago",S2647)),"Trinidad and Tobago",
ISNUMBER(SEARCH("rn""&gt;Serbia and Montenegro",S2647)),"Serbia and Montenegro",
ISNUMBER(SEARCH(_xlfn.UNICHAR(65533),S2647)),"Côte d'Ivoire",
TRUE,""
)</f>
        <v/>
      </c>
      <c r="W2647" s="40" t="str">
        <f t="shared" si="196"/>
        <v>Peru</v>
      </c>
    </row>
    <row r="2648" spans="2:23">
      <c r="B2648" s="76" t="str">
        <v>2022.0</v>
      </c>
      <c r="C2648" s="42" t="str">
        <v>01 Dec 2022 - 22:00</v>
      </c>
      <c r="D2648" s="42" t="str">
        <v>group stage</v>
      </c>
      <c r="E2648" s="42" t="str">
        <v>Khalifa International Stadium</v>
      </c>
      <c r="F2648" s="42" t="str">
        <v>Al Rayyan</v>
      </c>
      <c r="G2648" s="42" t="str">
        <v>Japan</v>
      </c>
      <c r="H2648" s="42" t="str">
        <v>2.0</v>
      </c>
      <c r="I2648" s="42" t="str">
        <v>1.0</v>
      </c>
      <c r="J2648" s="42" t="str">
        <v>Spain</v>
      </c>
      <c r="K2648" s="42" t="str">
        <v xml:space="preserve"> </v>
      </c>
      <c r="L2648" s="42" t="str">
        <f t="shared" si="193"/>
        <v xml:space="preserve">2022.0|01 Dec 2022 - 22:00|group stage|Khalifa International Stadium|Al Rayyan|Japan|2.0|1.0|Spain| </v>
      </c>
      <c r="M2648" s="42" t="str">
        <f>IF(COUNTIF($L$1689:L2648,L2648)&gt;1,"DOUBLON","OK")</f>
        <v>OK</v>
      </c>
      <c r="S2648" s="40" t="str">
        <v>Netherlands</v>
      </c>
      <c r="T2648" s="40" t="str">
        <f t="shared" si="194"/>
        <v>OK</v>
      </c>
      <c r="U2648" s="40" t="str">
        <f t="shared" si="195"/>
        <v>-</v>
      </c>
      <c r="V2648" s="40" t="str" cm="1">
        <f t="array" ref="V2648">_xlfn.IFS(
ISNUMBER(SEARCH("USA",S2648)),"United States",
ISNUMBER(SEARCH("Republic of Ireland",S2648)),"Ireland",
ISNUMBER(SEARCH("Republic of Korea",S2648)),"South Korea",
ISNUMBER(SEARCH("Cape Verde",S2648)),"Cabo Verde",
ISNUMBER(SEARCH("Czechia",S2648)),"Czech Republic",
ISNUMBER(SEARCH("Türkiye",S2648)),"Turkey",
ISNUMBER(SEARCH("Ivory Coast",S2648)),"Côte d'Ivoire",
ISNUMBER(SEARCH("Korea Republic",S2648)),"South Korea",
ISNUMBER(SEARCH("Germany FR",S2648)),"FR Germany",
ISNUMBER(SEARCH("West Germany",S2648)),"FR Germany",
ISNUMBER(SEARCH("Germany DR",S2648)),"DR Germany",
ISNUMBER(SEARCH("Korea DPR",S2648)),"North Korea",
ISNUMBER(SEARCH("China PR",S2648)),"China",
ISNUMBER(SEARCH("IR Iran",S2648)),"Iran",
ISNUMBER(SEARCH("Congo DR",S2648)),"Democratic Republic of the Congo",
ISNUMBER(SEARCH("DR Congo",S2648)),"Democratic Republic of the Congo",
ISNUMBER(SEARCH("German DR",S2648)),"DR Germany",
ISNUMBER(SEARCH("rn""&gt;United Arab Emirates",S2648)),"United Arab Emirates",
ISNUMBER(SEARCH("rn""&gt;Republic of Ireland",S2648)),"Ireland",
ISNUMBER(SEARCH("rn""&gt;Bosnia and Herzegovina",S2648)),"Bosnia and Herzegovina",
ISNUMBER(SEARCH("rn""&gt;Trinidad and Tobago",S2648)),"Trinidad and Tobago",
ISNUMBER(SEARCH("rn""&gt;Serbia and Montenegro",S2648)),"Serbia and Montenegro",
ISNUMBER(SEARCH(_xlfn.UNICHAR(65533),S2648)),"Côte d'Ivoire",
TRUE,""
)</f>
        <v/>
      </c>
      <c r="W2648" s="40" t="str">
        <f t="shared" si="196"/>
        <v>Netherlands</v>
      </c>
    </row>
    <row r="2649" spans="2:23">
      <c r="B2649" s="76" t="str">
        <v>2022.0</v>
      </c>
      <c r="C2649" s="42" t="str">
        <v>02 Dec 2022 - 18:00</v>
      </c>
      <c r="D2649" s="42" t="str">
        <v>group stage</v>
      </c>
      <c r="E2649" s="42" t="str">
        <v>Al Janoub Stadium</v>
      </c>
      <c r="F2649" s="42" t="str">
        <v>Al Wakrah</v>
      </c>
      <c r="G2649" s="42" t="str">
        <v>Ghana</v>
      </c>
      <c r="H2649" s="42" t="str">
        <v>0.0</v>
      </c>
      <c r="I2649" s="42" t="str">
        <v>2.0</v>
      </c>
      <c r="J2649" s="42" t="str">
        <v>Uruguay</v>
      </c>
      <c r="K2649" s="42" t="str">
        <v xml:space="preserve"> </v>
      </c>
      <c r="L2649" s="42" t="str">
        <f t="shared" ref="L2649:L2712" si="197">B2649&amp;"|"&amp;C2649&amp;"|"&amp;D2649&amp;"|"&amp;E2649&amp;"|"&amp;F2649&amp;"|"&amp;G2649&amp;"|"&amp;H2649&amp;"|"&amp;I2649&amp;"|"&amp;J2649&amp;"|"&amp;K2649</f>
        <v xml:space="preserve">2022.0|02 Dec 2022 - 18:00|group stage|Al Janoub Stadium|Al Wakrah|Ghana|0.0|2.0|Uruguay| </v>
      </c>
      <c r="M2649" s="42" t="str">
        <f>IF(COUNTIF($L$1689:L2649,L2649)&gt;1,"DOUBLON","OK")</f>
        <v>OK</v>
      </c>
      <c r="S2649" s="40" t="str">
        <v>Italy</v>
      </c>
      <c r="T2649" s="40" t="str">
        <f t="shared" si="194"/>
        <v>OK</v>
      </c>
      <c r="U2649" s="40" t="str">
        <f t="shared" si="195"/>
        <v>-</v>
      </c>
      <c r="V2649" s="40" t="str" cm="1">
        <f t="array" ref="V2649">_xlfn.IFS(
ISNUMBER(SEARCH("USA",S2649)),"United States",
ISNUMBER(SEARCH("Republic of Ireland",S2649)),"Ireland",
ISNUMBER(SEARCH("Republic of Korea",S2649)),"South Korea",
ISNUMBER(SEARCH("Cape Verde",S2649)),"Cabo Verde",
ISNUMBER(SEARCH("Czechia",S2649)),"Czech Republic",
ISNUMBER(SEARCH("Türkiye",S2649)),"Turkey",
ISNUMBER(SEARCH("Ivory Coast",S2649)),"Côte d'Ivoire",
ISNUMBER(SEARCH("Korea Republic",S2649)),"South Korea",
ISNUMBER(SEARCH("Germany FR",S2649)),"FR Germany",
ISNUMBER(SEARCH("West Germany",S2649)),"FR Germany",
ISNUMBER(SEARCH("Germany DR",S2649)),"DR Germany",
ISNUMBER(SEARCH("Korea DPR",S2649)),"North Korea",
ISNUMBER(SEARCH("China PR",S2649)),"China",
ISNUMBER(SEARCH("IR Iran",S2649)),"Iran",
ISNUMBER(SEARCH("Congo DR",S2649)),"Democratic Republic of the Congo",
ISNUMBER(SEARCH("DR Congo",S2649)),"Democratic Republic of the Congo",
ISNUMBER(SEARCH("German DR",S2649)),"DR Germany",
ISNUMBER(SEARCH("rn""&gt;United Arab Emirates",S2649)),"United Arab Emirates",
ISNUMBER(SEARCH("rn""&gt;Republic of Ireland",S2649)),"Ireland",
ISNUMBER(SEARCH("rn""&gt;Bosnia and Herzegovina",S2649)),"Bosnia and Herzegovina",
ISNUMBER(SEARCH("rn""&gt;Trinidad and Tobago",S2649)),"Trinidad and Tobago",
ISNUMBER(SEARCH("rn""&gt;Serbia and Montenegro",S2649)),"Serbia and Montenegro",
ISNUMBER(SEARCH(_xlfn.UNICHAR(65533),S2649)),"Côte d'Ivoire",
TRUE,""
)</f>
        <v/>
      </c>
      <c r="W2649" s="40" t="str">
        <f t="shared" si="196"/>
        <v>Italy</v>
      </c>
    </row>
    <row r="2650" spans="2:23">
      <c r="B2650" s="76" t="str">
        <v>2022.0</v>
      </c>
      <c r="C2650" s="42" t="str">
        <v>02 Dec 2022 - 18:00</v>
      </c>
      <c r="D2650" s="42" t="str">
        <v>group stage</v>
      </c>
      <c r="E2650" s="42" t="str">
        <v>Education City Stadium</v>
      </c>
      <c r="F2650" s="42" t="str">
        <v>Al Rayyan</v>
      </c>
      <c r="G2650" s="42" t="str">
        <v>South Korea</v>
      </c>
      <c r="H2650" s="42" t="str">
        <v>2.0</v>
      </c>
      <c r="I2650" s="42" t="str">
        <v>1.0</v>
      </c>
      <c r="J2650" s="42" t="str">
        <v>Portugal</v>
      </c>
      <c r="K2650" s="42" t="str">
        <v xml:space="preserve"> </v>
      </c>
      <c r="L2650" s="42" t="str">
        <f t="shared" si="197"/>
        <v xml:space="preserve">2022.0|02 Dec 2022 - 18:00|group stage|Education City Stadium|Al Rayyan|South Korea|2.0|1.0|Portugal| </v>
      </c>
      <c r="M2650" s="42" t="str">
        <f>IF(COUNTIF($L$1689:L2650,L2650)&gt;1,"DOUBLON","OK")</f>
        <v>OK</v>
      </c>
      <c r="S2650" s="40" t="str">
        <v>Poland</v>
      </c>
      <c r="T2650" s="40" t="str">
        <f t="shared" si="194"/>
        <v>OK</v>
      </c>
      <c r="U2650" s="40" t="str">
        <f t="shared" si="195"/>
        <v>-</v>
      </c>
      <c r="V2650" s="40" t="str" cm="1">
        <f t="array" ref="V2650">_xlfn.IFS(
ISNUMBER(SEARCH("USA",S2650)),"United States",
ISNUMBER(SEARCH("Republic of Ireland",S2650)),"Ireland",
ISNUMBER(SEARCH("Republic of Korea",S2650)),"South Korea",
ISNUMBER(SEARCH("Cape Verde",S2650)),"Cabo Verde",
ISNUMBER(SEARCH("Czechia",S2650)),"Czech Republic",
ISNUMBER(SEARCH("Türkiye",S2650)),"Turkey",
ISNUMBER(SEARCH("Ivory Coast",S2650)),"Côte d'Ivoire",
ISNUMBER(SEARCH("Korea Republic",S2650)),"South Korea",
ISNUMBER(SEARCH("Germany FR",S2650)),"FR Germany",
ISNUMBER(SEARCH("West Germany",S2650)),"FR Germany",
ISNUMBER(SEARCH("Germany DR",S2650)),"DR Germany",
ISNUMBER(SEARCH("Korea DPR",S2650)),"North Korea",
ISNUMBER(SEARCH("China PR",S2650)),"China",
ISNUMBER(SEARCH("IR Iran",S2650)),"Iran",
ISNUMBER(SEARCH("Congo DR",S2650)),"Democratic Republic of the Congo",
ISNUMBER(SEARCH("DR Congo",S2650)),"Democratic Republic of the Congo",
ISNUMBER(SEARCH("German DR",S2650)),"DR Germany",
ISNUMBER(SEARCH("rn""&gt;United Arab Emirates",S2650)),"United Arab Emirates",
ISNUMBER(SEARCH("rn""&gt;Republic of Ireland",S2650)),"Ireland",
ISNUMBER(SEARCH("rn""&gt;Bosnia and Herzegovina",S2650)),"Bosnia and Herzegovina",
ISNUMBER(SEARCH("rn""&gt;Trinidad and Tobago",S2650)),"Trinidad and Tobago",
ISNUMBER(SEARCH("rn""&gt;Serbia and Montenegro",S2650)),"Serbia and Montenegro",
ISNUMBER(SEARCH(_xlfn.UNICHAR(65533),S2650)),"Côte d'Ivoire",
TRUE,""
)</f>
        <v/>
      </c>
      <c r="W2650" s="40" t="str">
        <f t="shared" si="196"/>
        <v>Poland</v>
      </c>
    </row>
    <row r="2651" spans="2:23">
      <c r="B2651" s="76" t="str">
        <v>2022.0</v>
      </c>
      <c r="C2651" s="42" t="str">
        <v>02 Dec 2022 - 22:00</v>
      </c>
      <c r="D2651" s="42" t="str">
        <v>group stage</v>
      </c>
      <c r="E2651" s="42" t="str">
        <v>Lusail Stadium</v>
      </c>
      <c r="F2651" s="42" t="str">
        <v>Lusail</v>
      </c>
      <c r="G2651" s="42" t="str">
        <v>Cameroon</v>
      </c>
      <c r="H2651" s="42" t="str">
        <v>1.0</v>
      </c>
      <c r="I2651" s="42" t="str">
        <v>0.0</v>
      </c>
      <c r="J2651" s="42" t="str">
        <v>Brazil</v>
      </c>
      <c r="K2651" s="42" t="str">
        <v xml:space="preserve"> </v>
      </c>
      <c r="L2651" s="42" t="str">
        <f t="shared" si="197"/>
        <v xml:space="preserve">2022.0|02 Dec 2022 - 22:00|group stage|Lusail Stadium|Lusail|Cameroon|1.0|0.0|Brazil| </v>
      </c>
      <c r="M2651" s="42" t="str">
        <f>IF(COUNTIF($L$1689:L2651,L2651)&gt;1,"DOUBLON","OK")</f>
        <v>OK</v>
      </c>
      <c r="S2651" s="40" t="str">
        <v>Germany FR</v>
      </c>
      <c r="T2651" s="40" t="str">
        <f t="shared" si="194"/>
        <v>ERREUR</v>
      </c>
      <c r="U2651" s="40" t="str">
        <f t="shared" si="195"/>
        <v>RENOMMER</v>
      </c>
      <c r="V2651" s="40" t="str" cm="1">
        <f t="array" ref="V2651">_xlfn.IFS(
ISNUMBER(SEARCH("USA",S2651)),"United States",
ISNUMBER(SEARCH("Republic of Ireland",S2651)),"Ireland",
ISNUMBER(SEARCH("Republic of Korea",S2651)),"South Korea",
ISNUMBER(SEARCH("Cape Verde",S2651)),"Cabo Verde",
ISNUMBER(SEARCH("Czechia",S2651)),"Czech Republic",
ISNUMBER(SEARCH("Türkiye",S2651)),"Turkey",
ISNUMBER(SEARCH("Ivory Coast",S2651)),"Côte d'Ivoire",
ISNUMBER(SEARCH("Korea Republic",S2651)),"South Korea",
ISNUMBER(SEARCH("Germany FR",S2651)),"FR Germany",
ISNUMBER(SEARCH("West Germany",S2651)),"FR Germany",
ISNUMBER(SEARCH("Germany DR",S2651)),"DR Germany",
ISNUMBER(SEARCH("Korea DPR",S2651)),"North Korea",
ISNUMBER(SEARCH("China PR",S2651)),"China",
ISNUMBER(SEARCH("IR Iran",S2651)),"Iran",
ISNUMBER(SEARCH("Congo DR",S2651)),"Democratic Republic of the Congo",
ISNUMBER(SEARCH("DR Congo",S2651)),"Democratic Republic of the Congo",
ISNUMBER(SEARCH("German DR",S2651)),"DR Germany",
ISNUMBER(SEARCH("rn""&gt;United Arab Emirates",S2651)),"United Arab Emirates",
ISNUMBER(SEARCH("rn""&gt;Republic of Ireland",S2651)),"Ireland",
ISNUMBER(SEARCH("rn""&gt;Bosnia and Herzegovina",S2651)),"Bosnia and Herzegovina",
ISNUMBER(SEARCH("rn""&gt;Trinidad and Tobago",S2651)),"Trinidad and Tobago",
ISNUMBER(SEARCH("rn""&gt;Serbia and Montenegro",S2651)),"Serbia and Montenegro",
ISNUMBER(SEARCH(_xlfn.UNICHAR(65533),S2651)),"Côte d'Ivoire",
TRUE,""
)</f>
        <v>FR Germany</v>
      </c>
      <c r="W2651" s="40" t="str">
        <f t="shared" si="196"/>
        <v>FR Germany</v>
      </c>
    </row>
    <row r="2652" spans="2:23">
      <c r="B2652" s="76" t="str">
        <v>2022.0</v>
      </c>
      <c r="C2652" s="42" t="str">
        <v>02 Dec 2022 - 22:00</v>
      </c>
      <c r="D2652" s="42" t="str">
        <v>group stage</v>
      </c>
      <c r="E2652" s="42" t="str">
        <v>Stadium 974</v>
      </c>
      <c r="F2652" s="42" t="str">
        <v>Doha</v>
      </c>
      <c r="G2652" s="42" t="str">
        <v>Serbia</v>
      </c>
      <c r="H2652" s="42" t="str">
        <v>2.0</v>
      </c>
      <c r="I2652" s="42" t="str">
        <v>3.0</v>
      </c>
      <c r="J2652" s="42" t="str">
        <v>Switzerland</v>
      </c>
      <c r="K2652" s="42" t="str">
        <v xml:space="preserve"> </v>
      </c>
      <c r="L2652" s="42" t="str">
        <f t="shared" si="197"/>
        <v xml:space="preserve">2022.0|02 Dec 2022 - 22:00|group stage|Stadium 974|Doha|Serbia|2.0|3.0|Switzerland| </v>
      </c>
      <c r="M2652" s="42" t="str">
        <f>IF(COUNTIF($L$1689:L2652,L2652)&gt;1,"DOUBLON","OK")</f>
        <v>OK</v>
      </c>
      <c r="S2652" s="40" t="str">
        <v>Argentina</v>
      </c>
      <c r="T2652" s="40" t="str">
        <f t="shared" si="194"/>
        <v>OK</v>
      </c>
      <c r="U2652" s="40" t="str">
        <f t="shared" si="195"/>
        <v>-</v>
      </c>
      <c r="V2652" s="40" t="str" cm="1">
        <f t="array" ref="V2652">_xlfn.IFS(
ISNUMBER(SEARCH("USA",S2652)),"United States",
ISNUMBER(SEARCH("Republic of Ireland",S2652)),"Ireland",
ISNUMBER(SEARCH("Republic of Korea",S2652)),"South Korea",
ISNUMBER(SEARCH("Cape Verde",S2652)),"Cabo Verde",
ISNUMBER(SEARCH("Czechia",S2652)),"Czech Republic",
ISNUMBER(SEARCH("Türkiye",S2652)),"Turkey",
ISNUMBER(SEARCH("Ivory Coast",S2652)),"Côte d'Ivoire",
ISNUMBER(SEARCH("Korea Republic",S2652)),"South Korea",
ISNUMBER(SEARCH("Germany FR",S2652)),"FR Germany",
ISNUMBER(SEARCH("West Germany",S2652)),"FR Germany",
ISNUMBER(SEARCH("Germany DR",S2652)),"DR Germany",
ISNUMBER(SEARCH("Korea DPR",S2652)),"North Korea",
ISNUMBER(SEARCH("China PR",S2652)),"China",
ISNUMBER(SEARCH("IR Iran",S2652)),"Iran",
ISNUMBER(SEARCH("Congo DR",S2652)),"Democratic Republic of the Congo",
ISNUMBER(SEARCH("DR Congo",S2652)),"Democratic Republic of the Congo",
ISNUMBER(SEARCH("German DR",S2652)),"DR Germany",
ISNUMBER(SEARCH("rn""&gt;United Arab Emirates",S2652)),"United Arab Emirates",
ISNUMBER(SEARCH("rn""&gt;Republic of Ireland",S2652)),"Ireland",
ISNUMBER(SEARCH("rn""&gt;Bosnia and Herzegovina",S2652)),"Bosnia and Herzegovina",
ISNUMBER(SEARCH("rn""&gt;Trinidad and Tobago",S2652)),"Trinidad and Tobago",
ISNUMBER(SEARCH("rn""&gt;Serbia and Montenegro",S2652)),"Serbia and Montenegro",
ISNUMBER(SEARCH(_xlfn.UNICHAR(65533),S2652)),"Côte d'Ivoire",
TRUE,""
)</f>
        <v/>
      </c>
      <c r="W2652" s="40" t="str">
        <f t="shared" si="196"/>
        <v>Argentina</v>
      </c>
    </row>
    <row r="2653" spans="2:23">
      <c r="B2653" s="76" t="str">
        <v>2022.0</v>
      </c>
      <c r="C2653" s="42" t="str">
        <v>03 Dec 2022 - 18:00</v>
      </c>
      <c r="D2653" s="42" t="str">
        <v>round of 16</v>
      </c>
      <c r="E2653" s="42" t="str">
        <v>Khalifa International Stadium</v>
      </c>
      <c r="F2653" s="42" t="str">
        <v>Al Rayyan</v>
      </c>
      <c r="G2653" s="42" t="str">
        <v>Netherlands</v>
      </c>
      <c r="H2653" s="42" t="str">
        <v>3.0</v>
      </c>
      <c r="I2653" s="42" t="str">
        <v>1.0</v>
      </c>
      <c r="J2653" s="42" t="str">
        <v>United States</v>
      </c>
      <c r="K2653" s="42" t="str">
        <v xml:space="preserve"> </v>
      </c>
      <c r="L2653" s="42" t="str">
        <f t="shared" si="197"/>
        <v xml:space="preserve">2022.0|03 Dec 2022 - 18:00|round of 16|Khalifa International Stadium|Al Rayyan|Netherlands|3.0|1.0|United States| </v>
      </c>
      <c r="M2653" s="42" t="str">
        <f>IF(COUNTIF($L$1689:L2653,L2653)&gt;1,"DOUBLON","OK")</f>
        <v>OK</v>
      </c>
      <c r="S2653" s="40" t="str">
        <v>Brazil</v>
      </c>
      <c r="T2653" s="40" t="str">
        <f t="shared" si="194"/>
        <v>OK</v>
      </c>
      <c r="U2653" s="40" t="str">
        <f t="shared" si="195"/>
        <v>-</v>
      </c>
      <c r="V2653" s="40" t="str" cm="1">
        <f t="array" ref="V2653">_xlfn.IFS(
ISNUMBER(SEARCH("USA",S2653)),"United States",
ISNUMBER(SEARCH("Republic of Ireland",S2653)),"Ireland",
ISNUMBER(SEARCH("Republic of Korea",S2653)),"South Korea",
ISNUMBER(SEARCH("Cape Verde",S2653)),"Cabo Verde",
ISNUMBER(SEARCH("Czechia",S2653)),"Czech Republic",
ISNUMBER(SEARCH("Türkiye",S2653)),"Turkey",
ISNUMBER(SEARCH("Ivory Coast",S2653)),"Côte d'Ivoire",
ISNUMBER(SEARCH("Korea Republic",S2653)),"South Korea",
ISNUMBER(SEARCH("Germany FR",S2653)),"FR Germany",
ISNUMBER(SEARCH("West Germany",S2653)),"FR Germany",
ISNUMBER(SEARCH("Germany DR",S2653)),"DR Germany",
ISNUMBER(SEARCH("Korea DPR",S2653)),"North Korea",
ISNUMBER(SEARCH("China PR",S2653)),"China",
ISNUMBER(SEARCH("IR Iran",S2653)),"Iran",
ISNUMBER(SEARCH("Congo DR",S2653)),"Democratic Republic of the Congo",
ISNUMBER(SEARCH("DR Congo",S2653)),"Democratic Republic of the Congo",
ISNUMBER(SEARCH("German DR",S2653)),"DR Germany",
ISNUMBER(SEARCH("rn""&gt;United Arab Emirates",S2653)),"United Arab Emirates",
ISNUMBER(SEARCH("rn""&gt;Republic of Ireland",S2653)),"Ireland",
ISNUMBER(SEARCH("rn""&gt;Bosnia and Herzegovina",S2653)),"Bosnia and Herzegovina",
ISNUMBER(SEARCH("rn""&gt;Trinidad and Tobago",S2653)),"Trinidad and Tobago",
ISNUMBER(SEARCH("rn""&gt;Serbia and Montenegro",S2653)),"Serbia and Montenegro",
ISNUMBER(SEARCH(_xlfn.UNICHAR(65533),S2653)),"Côte d'Ivoire",
TRUE,""
)</f>
        <v/>
      </c>
      <c r="W2653" s="40" t="str">
        <f t="shared" si="196"/>
        <v>Brazil</v>
      </c>
    </row>
    <row r="2654" spans="2:23">
      <c r="B2654" s="76" t="str">
        <v>2022.0</v>
      </c>
      <c r="C2654" s="42" t="str">
        <v>03 Dec 2022 - 22:00</v>
      </c>
      <c r="D2654" s="42" t="str">
        <v>round of 16</v>
      </c>
      <c r="E2654" s="42" t="str">
        <v>Ahmad bin Ali Stadium</v>
      </c>
      <c r="F2654" s="42" t="str">
        <v>Al Rayyan</v>
      </c>
      <c r="G2654" s="42" t="str">
        <v>Argentina</v>
      </c>
      <c r="H2654" s="42" t="str">
        <v>2.0</v>
      </c>
      <c r="I2654" s="42" t="str">
        <v>1.0</v>
      </c>
      <c r="J2654" s="42" t="str">
        <v>Australia</v>
      </c>
      <c r="K2654" s="42" t="str">
        <v xml:space="preserve"> </v>
      </c>
      <c r="L2654" s="42" t="str">
        <f t="shared" si="197"/>
        <v xml:space="preserve">2022.0|03 Dec 2022 - 22:00|round of 16|Ahmad bin Ali Stadium|Al Rayyan|Argentina|2.0|1.0|Australia| </v>
      </c>
      <c r="M2654" s="42" t="str">
        <f>IF(COUNTIF($L$1689:L2654,L2654)&gt;1,"DOUBLON","OK")</f>
        <v>OK</v>
      </c>
      <c r="S2654" s="40" t="str">
        <v>Austria</v>
      </c>
      <c r="T2654" s="40" t="str">
        <f t="shared" si="194"/>
        <v>OK</v>
      </c>
      <c r="U2654" s="40" t="str">
        <f t="shared" si="195"/>
        <v>-</v>
      </c>
      <c r="V2654" s="40" t="str" cm="1">
        <f t="array" ref="V2654">_xlfn.IFS(
ISNUMBER(SEARCH("USA",S2654)),"United States",
ISNUMBER(SEARCH("Republic of Ireland",S2654)),"Ireland",
ISNUMBER(SEARCH("Republic of Korea",S2654)),"South Korea",
ISNUMBER(SEARCH("Cape Verde",S2654)),"Cabo Verde",
ISNUMBER(SEARCH("Czechia",S2654)),"Czech Republic",
ISNUMBER(SEARCH("Türkiye",S2654)),"Turkey",
ISNUMBER(SEARCH("Ivory Coast",S2654)),"Côte d'Ivoire",
ISNUMBER(SEARCH("Korea Republic",S2654)),"South Korea",
ISNUMBER(SEARCH("Germany FR",S2654)),"FR Germany",
ISNUMBER(SEARCH("West Germany",S2654)),"FR Germany",
ISNUMBER(SEARCH("Germany DR",S2654)),"DR Germany",
ISNUMBER(SEARCH("Korea DPR",S2654)),"North Korea",
ISNUMBER(SEARCH("China PR",S2654)),"China",
ISNUMBER(SEARCH("IR Iran",S2654)),"Iran",
ISNUMBER(SEARCH("Congo DR",S2654)),"Democratic Republic of the Congo",
ISNUMBER(SEARCH("DR Congo",S2654)),"Democratic Republic of the Congo",
ISNUMBER(SEARCH("German DR",S2654)),"DR Germany",
ISNUMBER(SEARCH("rn""&gt;United Arab Emirates",S2654)),"United Arab Emirates",
ISNUMBER(SEARCH("rn""&gt;Republic of Ireland",S2654)),"Ireland",
ISNUMBER(SEARCH("rn""&gt;Bosnia and Herzegovina",S2654)),"Bosnia and Herzegovina",
ISNUMBER(SEARCH("rn""&gt;Trinidad and Tobago",S2654)),"Trinidad and Tobago",
ISNUMBER(SEARCH("rn""&gt;Serbia and Montenegro",S2654)),"Serbia and Montenegro",
ISNUMBER(SEARCH(_xlfn.UNICHAR(65533),S2654)),"Côte d'Ivoire",
TRUE,""
)</f>
        <v/>
      </c>
      <c r="W2654" s="40" t="str">
        <f t="shared" si="196"/>
        <v>Austria</v>
      </c>
    </row>
    <row r="2655" spans="2:23">
      <c r="B2655" s="76" t="str">
        <v>2022.0</v>
      </c>
      <c r="C2655" s="42" t="str">
        <v>04 Dec 2022 - 18:00</v>
      </c>
      <c r="D2655" s="42" t="str">
        <v>round of 16</v>
      </c>
      <c r="E2655" s="42" t="str">
        <v>Al Thumama Stadium</v>
      </c>
      <c r="F2655" s="42" t="str">
        <v>Doha</v>
      </c>
      <c r="G2655" s="42" t="str">
        <v>France</v>
      </c>
      <c r="H2655" s="42" t="str">
        <v>3.0</v>
      </c>
      <c r="I2655" s="42" t="str">
        <v>1.0</v>
      </c>
      <c r="J2655" s="42" t="str">
        <v>Poland</v>
      </c>
      <c r="K2655" s="42" t="str">
        <v xml:space="preserve"> </v>
      </c>
      <c r="L2655" s="42" t="str">
        <f t="shared" si="197"/>
        <v xml:space="preserve">2022.0|04 Dec 2022 - 18:00|round of 16|Al Thumama Stadium|Doha|France|3.0|1.0|Poland| </v>
      </c>
      <c r="M2655" s="42" t="str">
        <f>IF(COUNTIF($L$1689:L2655,L2655)&gt;1,"DOUBLON","OK")</f>
        <v>OK</v>
      </c>
      <c r="S2655" s="40" t="str">
        <v>Scotland</v>
      </c>
      <c r="T2655" s="40" t="str">
        <f t="shared" si="194"/>
        <v>ERREUR</v>
      </c>
      <c r="U2655" s="40" t="str">
        <f t="shared" si="195"/>
        <v>AUCUNE</v>
      </c>
      <c r="V2655" s="40" t="str" cm="1">
        <f t="array" ref="V2655">_xlfn.IFS(
ISNUMBER(SEARCH("USA",S2655)),"United States",
ISNUMBER(SEARCH("Republic of Ireland",S2655)),"Ireland",
ISNUMBER(SEARCH("Republic of Korea",S2655)),"South Korea",
ISNUMBER(SEARCH("Cape Verde",S2655)),"Cabo Verde",
ISNUMBER(SEARCH("Czechia",S2655)),"Czech Republic",
ISNUMBER(SEARCH("Türkiye",S2655)),"Turkey",
ISNUMBER(SEARCH("Ivory Coast",S2655)),"Côte d'Ivoire",
ISNUMBER(SEARCH("Korea Republic",S2655)),"South Korea",
ISNUMBER(SEARCH("Germany FR",S2655)),"FR Germany",
ISNUMBER(SEARCH("West Germany",S2655)),"FR Germany",
ISNUMBER(SEARCH("Germany DR",S2655)),"DR Germany",
ISNUMBER(SEARCH("Korea DPR",S2655)),"North Korea",
ISNUMBER(SEARCH("China PR",S2655)),"China",
ISNUMBER(SEARCH("IR Iran",S2655)),"Iran",
ISNUMBER(SEARCH("Congo DR",S2655)),"Democratic Republic of the Congo",
ISNUMBER(SEARCH("DR Congo",S2655)),"Democratic Republic of the Congo",
ISNUMBER(SEARCH("German DR",S2655)),"DR Germany",
ISNUMBER(SEARCH("rn""&gt;United Arab Emirates",S2655)),"United Arab Emirates",
ISNUMBER(SEARCH("rn""&gt;Republic of Ireland",S2655)),"Ireland",
ISNUMBER(SEARCH("rn""&gt;Bosnia and Herzegovina",S2655)),"Bosnia and Herzegovina",
ISNUMBER(SEARCH("rn""&gt;Trinidad and Tobago",S2655)),"Trinidad and Tobago",
ISNUMBER(SEARCH("rn""&gt;Serbia and Montenegro",S2655)),"Serbia and Montenegro",
ISNUMBER(SEARCH(_xlfn.UNICHAR(65533),S2655)),"Côte d'Ivoire",
TRUE,""
)</f>
        <v/>
      </c>
      <c r="W2655" s="40" t="str">
        <f t="shared" si="196"/>
        <v>Scotland</v>
      </c>
    </row>
    <row r="2656" spans="2:23">
      <c r="B2656" s="76" t="str">
        <v>2022.0</v>
      </c>
      <c r="C2656" s="42" t="str">
        <v>04 Dec 2022 - 22:00</v>
      </c>
      <c r="D2656" s="42" t="str">
        <v>round of 16</v>
      </c>
      <c r="E2656" s="42" t="str">
        <v>Al Bayt Stadium</v>
      </c>
      <c r="F2656" s="42" t="str">
        <v>Al Khor</v>
      </c>
      <c r="G2656" s="42" t="str">
        <v>England</v>
      </c>
      <c r="H2656" s="42" t="str">
        <v>3.0</v>
      </c>
      <c r="I2656" s="42" t="str">
        <v>0.0</v>
      </c>
      <c r="J2656" s="42" t="str">
        <v>Senegal</v>
      </c>
      <c r="K2656" s="42" t="str">
        <v xml:space="preserve"> </v>
      </c>
      <c r="L2656" s="42" t="str">
        <f t="shared" si="197"/>
        <v xml:space="preserve">2022.0|04 Dec 2022 - 22:00|round of 16|Al Bayt Stadium|Al Khor|England|3.0|0.0|Senegal| </v>
      </c>
      <c r="M2656" s="42" t="str">
        <f>IF(COUNTIF($L$1689:L2656,L2656)&gt;1,"DOUBLON","OK")</f>
        <v>OK</v>
      </c>
      <c r="S2656" s="40" t="str">
        <v>Netherlands</v>
      </c>
      <c r="T2656" s="40" t="str">
        <f t="shared" si="194"/>
        <v>OK</v>
      </c>
      <c r="U2656" s="40" t="str">
        <f t="shared" si="195"/>
        <v>-</v>
      </c>
      <c r="V2656" s="40" t="str" cm="1">
        <f t="array" ref="V2656">_xlfn.IFS(
ISNUMBER(SEARCH("USA",S2656)),"United States",
ISNUMBER(SEARCH("Republic of Ireland",S2656)),"Ireland",
ISNUMBER(SEARCH("Republic of Korea",S2656)),"South Korea",
ISNUMBER(SEARCH("Cape Verde",S2656)),"Cabo Verde",
ISNUMBER(SEARCH("Czechia",S2656)),"Czech Republic",
ISNUMBER(SEARCH("Türkiye",S2656)),"Turkey",
ISNUMBER(SEARCH("Ivory Coast",S2656)),"Côte d'Ivoire",
ISNUMBER(SEARCH("Korea Republic",S2656)),"South Korea",
ISNUMBER(SEARCH("Germany FR",S2656)),"FR Germany",
ISNUMBER(SEARCH("West Germany",S2656)),"FR Germany",
ISNUMBER(SEARCH("Germany DR",S2656)),"DR Germany",
ISNUMBER(SEARCH("Korea DPR",S2656)),"North Korea",
ISNUMBER(SEARCH("China PR",S2656)),"China",
ISNUMBER(SEARCH("IR Iran",S2656)),"Iran",
ISNUMBER(SEARCH("Congo DR",S2656)),"Democratic Republic of the Congo",
ISNUMBER(SEARCH("DR Congo",S2656)),"Democratic Republic of the Congo",
ISNUMBER(SEARCH("German DR",S2656)),"DR Germany",
ISNUMBER(SEARCH("rn""&gt;United Arab Emirates",S2656)),"United Arab Emirates",
ISNUMBER(SEARCH("rn""&gt;Republic of Ireland",S2656)),"Ireland",
ISNUMBER(SEARCH("rn""&gt;Bosnia and Herzegovina",S2656)),"Bosnia and Herzegovina",
ISNUMBER(SEARCH("rn""&gt;Trinidad and Tobago",S2656)),"Trinidad and Tobago",
ISNUMBER(SEARCH("rn""&gt;Serbia and Montenegro",S2656)),"Serbia and Montenegro",
ISNUMBER(SEARCH(_xlfn.UNICHAR(65533),S2656)),"Côte d'Ivoire",
TRUE,""
)</f>
        <v/>
      </c>
      <c r="W2656" s="40" t="str">
        <f t="shared" si="196"/>
        <v>Netherlands</v>
      </c>
    </row>
    <row r="2657" spans="2:23">
      <c r="B2657" s="76" t="str">
        <v>2022.0</v>
      </c>
      <c r="C2657" s="42" t="str">
        <v>05 Dec 2022 - 18:00</v>
      </c>
      <c r="D2657" s="42" t="str">
        <v>round of 16</v>
      </c>
      <c r="E2657" s="42" t="str">
        <v>Al Janoub Stadium</v>
      </c>
      <c r="F2657" s="42" t="str">
        <v>Al Wakrah</v>
      </c>
      <c r="G2657" s="42" t="str">
        <v>Japan</v>
      </c>
      <c r="H2657" s="42" t="str">
        <v>1.0</v>
      </c>
      <c r="I2657" s="42" t="str">
        <v>1.0</v>
      </c>
      <c r="J2657" s="42" t="str">
        <v>Croatia</v>
      </c>
      <c r="K2657" s="42" t="str">
        <v>Croatia win on penalties (3 - 1)</v>
      </c>
      <c r="L2657" s="42" t="str">
        <f t="shared" si="197"/>
        <v>2022.0|05 Dec 2022 - 18:00|round of 16|Al Janoub Stadium|Al Wakrah|Japan|1.0|1.0|Croatia|Croatia win on penalties (3 - 1)</v>
      </c>
      <c r="M2657" s="42" t="str">
        <f>IF(COUNTIF($L$1689:L2657,L2657)&gt;1,"DOUBLON","OK")</f>
        <v>OK</v>
      </c>
      <c r="S2657" s="40" t="str">
        <v>France</v>
      </c>
      <c r="T2657" s="40" t="str">
        <f t="shared" si="194"/>
        <v>OK</v>
      </c>
      <c r="U2657" s="40" t="str">
        <f t="shared" si="195"/>
        <v>-</v>
      </c>
      <c r="V2657" s="40" t="str" cm="1">
        <f t="array" ref="V2657">_xlfn.IFS(
ISNUMBER(SEARCH("USA",S2657)),"United States",
ISNUMBER(SEARCH("Republic of Ireland",S2657)),"Ireland",
ISNUMBER(SEARCH("Republic of Korea",S2657)),"South Korea",
ISNUMBER(SEARCH("Cape Verde",S2657)),"Cabo Verde",
ISNUMBER(SEARCH("Czechia",S2657)),"Czech Republic",
ISNUMBER(SEARCH("Türkiye",S2657)),"Turkey",
ISNUMBER(SEARCH("Ivory Coast",S2657)),"Côte d'Ivoire",
ISNUMBER(SEARCH("Korea Republic",S2657)),"South Korea",
ISNUMBER(SEARCH("Germany FR",S2657)),"FR Germany",
ISNUMBER(SEARCH("West Germany",S2657)),"FR Germany",
ISNUMBER(SEARCH("Germany DR",S2657)),"DR Germany",
ISNUMBER(SEARCH("Korea DPR",S2657)),"North Korea",
ISNUMBER(SEARCH("China PR",S2657)),"China",
ISNUMBER(SEARCH("IR Iran",S2657)),"Iran",
ISNUMBER(SEARCH("Congo DR",S2657)),"Democratic Republic of the Congo",
ISNUMBER(SEARCH("DR Congo",S2657)),"Democratic Republic of the Congo",
ISNUMBER(SEARCH("German DR",S2657)),"DR Germany",
ISNUMBER(SEARCH("rn""&gt;United Arab Emirates",S2657)),"United Arab Emirates",
ISNUMBER(SEARCH("rn""&gt;Republic of Ireland",S2657)),"Ireland",
ISNUMBER(SEARCH("rn""&gt;Bosnia and Herzegovina",S2657)),"Bosnia and Herzegovina",
ISNUMBER(SEARCH("rn""&gt;Trinidad and Tobago",S2657)),"Trinidad and Tobago",
ISNUMBER(SEARCH("rn""&gt;Serbia and Montenegro",S2657)),"Serbia and Montenegro",
ISNUMBER(SEARCH(_xlfn.UNICHAR(65533),S2657)),"Côte d'Ivoire",
TRUE,""
)</f>
        <v/>
      </c>
      <c r="W2657" s="40" t="str">
        <f t="shared" si="196"/>
        <v>France</v>
      </c>
    </row>
    <row r="2658" spans="2:23">
      <c r="B2658" s="76" t="str">
        <v>2022.0</v>
      </c>
      <c r="C2658" s="42" t="str">
        <v>05 Dec 2022 - 22:00</v>
      </c>
      <c r="D2658" s="42" t="str">
        <v>round of 16</v>
      </c>
      <c r="E2658" s="42" t="str">
        <v>Stadium 974</v>
      </c>
      <c r="F2658" s="42" t="str">
        <v>Doha</v>
      </c>
      <c r="G2658" s="42" t="str">
        <v>Brazil</v>
      </c>
      <c r="H2658" s="42" t="str">
        <v>4.0</v>
      </c>
      <c r="I2658" s="42" t="str">
        <v>1.0</v>
      </c>
      <c r="J2658" s="42" t="str">
        <v>South Korea</v>
      </c>
      <c r="K2658" s="42" t="str">
        <v xml:space="preserve"> </v>
      </c>
      <c r="L2658" s="42" t="str">
        <f t="shared" si="197"/>
        <v xml:space="preserve">2022.0|05 Dec 2022 - 22:00|round of 16|Stadium 974|Doha|Brazil|4.0|1.0|South Korea| </v>
      </c>
      <c r="M2658" s="42" t="str">
        <f>IF(COUNTIF($L$1689:L2658,L2658)&gt;1,"DOUBLON","OK")</f>
        <v>OK</v>
      </c>
      <c r="S2658" s="40" t="str">
        <v>Poland</v>
      </c>
      <c r="T2658" s="40" t="str">
        <f t="shared" si="194"/>
        <v>OK</v>
      </c>
      <c r="U2658" s="40" t="str">
        <f t="shared" si="195"/>
        <v>-</v>
      </c>
      <c r="V2658" s="40" t="str" cm="1">
        <f t="array" ref="V2658">_xlfn.IFS(
ISNUMBER(SEARCH("USA",S2658)),"United States",
ISNUMBER(SEARCH("Republic of Ireland",S2658)),"Ireland",
ISNUMBER(SEARCH("Republic of Korea",S2658)),"South Korea",
ISNUMBER(SEARCH("Cape Verde",S2658)),"Cabo Verde",
ISNUMBER(SEARCH("Czechia",S2658)),"Czech Republic",
ISNUMBER(SEARCH("Türkiye",S2658)),"Turkey",
ISNUMBER(SEARCH("Ivory Coast",S2658)),"Côte d'Ivoire",
ISNUMBER(SEARCH("Korea Republic",S2658)),"South Korea",
ISNUMBER(SEARCH("Germany FR",S2658)),"FR Germany",
ISNUMBER(SEARCH("West Germany",S2658)),"FR Germany",
ISNUMBER(SEARCH("Germany DR",S2658)),"DR Germany",
ISNUMBER(SEARCH("Korea DPR",S2658)),"North Korea",
ISNUMBER(SEARCH("China PR",S2658)),"China",
ISNUMBER(SEARCH("IR Iran",S2658)),"Iran",
ISNUMBER(SEARCH("Congo DR",S2658)),"Democratic Republic of the Congo",
ISNUMBER(SEARCH("DR Congo",S2658)),"Democratic Republic of the Congo",
ISNUMBER(SEARCH("German DR",S2658)),"DR Germany",
ISNUMBER(SEARCH("rn""&gt;United Arab Emirates",S2658)),"United Arab Emirates",
ISNUMBER(SEARCH("rn""&gt;Republic of Ireland",S2658)),"Ireland",
ISNUMBER(SEARCH("rn""&gt;Bosnia and Herzegovina",S2658)),"Bosnia and Herzegovina",
ISNUMBER(SEARCH("rn""&gt;Trinidad and Tobago",S2658)),"Trinidad and Tobago",
ISNUMBER(SEARCH("rn""&gt;Serbia and Montenegro",S2658)),"Serbia and Montenegro",
ISNUMBER(SEARCH(_xlfn.UNICHAR(65533),S2658)),"Côte d'Ivoire",
TRUE,""
)</f>
        <v/>
      </c>
      <c r="W2658" s="40" t="str">
        <f t="shared" si="196"/>
        <v>Poland</v>
      </c>
    </row>
    <row r="2659" spans="2:23">
      <c r="B2659" s="76" t="str">
        <v>2022.0</v>
      </c>
      <c r="C2659" s="42" t="str">
        <v>06 Dec 2022 - 18:00</v>
      </c>
      <c r="D2659" s="42" t="str">
        <v>round of 16</v>
      </c>
      <c r="E2659" s="42" t="str">
        <v>Education City Stadium</v>
      </c>
      <c r="F2659" s="42" t="str">
        <v>Al Rayyan</v>
      </c>
      <c r="G2659" s="42" t="str">
        <v>Morocco</v>
      </c>
      <c r="H2659" s="42" t="str">
        <v>0.0</v>
      </c>
      <c r="I2659" s="42" t="str">
        <v>0.0</v>
      </c>
      <c r="J2659" s="42" t="str">
        <v>Spain</v>
      </c>
      <c r="K2659" s="42" t="str">
        <v>Morocco win on penalties (3 - 0)</v>
      </c>
      <c r="L2659" s="42" t="str">
        <f t="shared" si="197"/>
        <v>2022.0|06 Dec 2022 - 18:00|round of 16|Education City Stadium|Al Rayyan|Morocco|0.0|0.0|Spain|Morocco win on penalties (3 - 0)</v>
      </c>
      <c r="M2659" s="42" t="str">
        <f>IF(COUNTIF($L$1689:L2659,L2659)&gt;1,"DOUBLON","OK")</f>
        <v>OK</v>
      </c>
      <c r="S2659" s="40" t="str">
        <v>Germany FR</v>
      </c>
      <c r="T2659" s="40" t="str">
        <f t="shared" si="194"/>
        <v>ERREUR</v>
      </c>
      <c r="U2659" s="40" t="str">
        <f t="shared" si="195"/>
        <v>RENOMMER</v>
      </c>
      <c r="V2659" s="40" t="str" cm="1">
        <f t="array" ref="V2659">_xlfn.IFS(
ISNUMBER(SEARCH("USA",S2659)),"United States",
ISNUMBER(SEARCH("Republic of Ireland",S2659)),"Ireland",
ISNUMBER(SEARCH("Republic of Korea",S2659)),"South Korea",
ISNUMBER(SEARCH("Cape Verde",S2659)),"Cabo Verde",
ISNUMBER(SEARCH("Czechia",S2659)),"Czech Republic",
ISNUMBER(SEARCH("Türkiye",S2659)),"Turkey",
ISNUMBER(SEARCH("Ivory Coast",S2659)),"Côte d'Ivoire",
ISNUMBER(SEARCH("Korea Republic",S2659)),"South Korea",
ISNUMBER(SEARCH("Germany FR",S2659)),"FR Germany",
ISNUMBER(SEARCH("West Germany",S2659)),"FR Germany",
ISNUMBER(SEARCH("Germany DR",S2659)),"DR Germany",
ISNUMBER(SEARCH("Korea DPR",S2659)),"North Korea",
ISNUMBER(SEARCH("China PR",S2659)),"China",
ISNUMBER(SEARCH("IR Iran",S2659)),"Iran",
ISNUMBER(SEARCH("Congo DR",S2659)),"Democratic Republic of the Congo",
ISNUMBER(SEARCH("DR Congo",S2659)),"Democratic Republic of the Congo",
ISNUMBER(SEARCH("German DR",S2659)),"DR Germany",
ISNUMBER(SEARCH("rn""&gt;United Arab Emirates",S2659)),"United Arab Emirates",
ISNUMBER(SEARCH("rn""&gt;Republic of Ireland",S2659)),"Ireland",
ISNUMBER(SEARCH("rn""&gt;Bosnia and Herzegovina",S2659)),"Bosnia and Herzegovina",
ISNUMBER(SEARCH("rn""&gt;Trinidad and Tobago",S2659)),"Trinidad and Tobago",
ISNUMBER(SEARCH("rn""&gt;Serbia and Montenegro",S2659)),"Serbia and Montenegro",
ISNUMBER(SEARCH(_xlfn.UNICHAR(65533),S2659)),"Côte d'Ivoire",
TRUE,""
)</f>
        <v>FR Germany</v>
      </c>
      <c r="W2659" s="40" t="str">
        <f t="shared" si="196"/>
        <v>FR Germany</v>
      </c>
    </row>
    <row r="2660" spans="2:23">
      <c r="B2660" s="76" t="str">
        <v>2022.0</v>
      </c>
      <c r="C2660" s="42" t="str">
        <v>06 Dec 2022 - 22:00</v>
      </c>
      <c r="D2660" s="42" t="str">
        <v>round of 16</v>
      </c>
      <c r="E2660" s="42" t="str">
        <v>Lusail Stadium</v>
      </c>
      <c r="F2660" s="42" t="str">
        <v>Lusail</v>
      </c>
      <c r="G2660" s="42" t="str">
        <v>Portugal</v>
      </c>
      <c r="H2660" s="42" t="str">
        <v>6.0</v>
      </c>
      <c r="I2660" s="42" t="str">
        <v>1.0</v>
      </c>
      <c r="J2660" s="42" t="str">
        <v>Switzerland</v>
      </c>
      <c r="K2660" s="42" t="str">
        <v xml:space="preserve"> </v>
      </c>
      <c r="L2660" s="42" t="str">
        <f t="shared" si="197"/>
        <v xml:space="preserve">2022.0|06 Dec 2022 - 22:00|round of 16|Lusail Stadium|Lusail|Portugal|6.0|1.0|Switzerland| </v>
      </c>
      <c r="M2660" s="42" t="str">
        <f>IF(COUNTIF($L$1689:L2660,L2660)&gt;1,"DOUBLON","OK")</f>
        <v>OK</v>
      </c>
      <c r="S2660" s="40" t="str">
        <v>Italy</v>
      </c>
      <c r="T2660" s="40" t="str">
        <f t="shared" si="194"/>
        <v>OK</v>
      </c>
      <c r="U2660" s="40" t="str">
        <f t="shared" si="195"/>
        <v>-</v>
      </c>
      <c r="V2660" s="40" t="str" cm="1">
        <f t="array" ref="V2660">_xlfn.IFS(
ISNUMBER(SEARCH("USA",S2660)),"United States",
ISNUMBER(SEARCH("Republic of Ireland",S2660)),"Ireland",
ISNUMBER(SEARCH("Republic of Korea",S2660)),"South Korea",
ISNUMBER(SEARCH("Cape Verde",S2660)),"Cabo Verde",
ISNUMBER(SEARCH("Czechia",S2660)),"Czech Republic",
ISNUMBER(SEARCH("Türkiye",S2660)),"Turkey",
ISNUMBER(SEARCH("Ivory Coast",S2660)),"Côte d'Ivoire",
ISNUMBER(SEARCH("Korea Republic",S2660)),"South Korea",
ISNUMBER(SEARCH("Germany FR",S2660)),"FR Germany",
ISNUMBER(SEARCH("West Germany",S2660)),"FR Germany",
ISNUMBER(SEARCH("Germany DR",S2660)),"DR Germany",
ISNUMBER(SEARCH("Korea DPR",S2660)),"North Korea",
ISNUMBER(SEARCH("China PR",S2660)),"China",
ISNUMBER(SEARCH("IR Iran",S2660)),"Iran",
ISNUMBER(SEARCH("Congo DR",S2660)),"Democratic Republic of the Congo",
ISNUMBER(SEARCH("DR Congo",S2660)),"Democratic Republic of the Congo",
ISNUMBER(SEARCH("German DR",S2660)),"DR Germany",
ISNUMBER(SEARCH("rn""&gt;United Arab Emirates",S2660)),"United Arab Emirates",
ISNUMBER(SEARCH("rn""&gt;Republic of Ireland",S2660)),"Ireland",
ISNUMBER(SEARCH("rn""&gt;Bosnia and Herzegovina",S2660)),"Bosnia and Herzegovina",
ISNUMBER(SEARCH("rn""&gt;Trinidad and Tobago",S2660)),"Trinidad and Tobago",
ISNUMBER(SEARCH("rn""&gt;Serbia and Montenegro",S2660)),"Serbia and Montenegro",
ISNUMBER(SEARCH(_xlfn.UNICHAR(65533),S2660)),"Côte d'Ivoire",
TRUE,""
)</f>
        <v/>
      </c>
      <c r="W2660" s="40" t="str">
        <f t="shared" si="196"/>
        <v>Italy</v>
      </c>
    </row>
    <row r="2661" spans="2:23">
      <c r="B2661" s="76" t="str">
        <v>2022.0</v>
      </c>
      <c r="C2661" s="42" t="str">
        <v>09 Dec 2022 - 18:00</v>
      </c>
      <c r="D2661" s="42" t="str">
        <v>quarter-finals</v>
      </c>
      <c r="E2661" s="42" t="str">
        <v>Education City Stadium</v>
      </c>
      <c r="F2661" s="42" t="str">
        <v>Al Rayyan</v>
      </c>
      <c r="G2661" s="42" t="str">
        <v>Croatia</v>
      </c>
      <c r="H2661" s="42" t="str">
        <v>1.0</v>
      </c>
      <c r="I2661" s="42" t="str">
        <v>1.0</v>
      </c>
      <c r="J2661" s="42" t="str">
        <v>Brazil</v>
      </c>
      <c r="K2661" s="42" t="str">
        <v>Croatia win on penalties (4 - 2)</v>
      </c>
      <c r="L2661" s="42" t="str">
        <f t="shared" si="197"/>
        <v>2022.0|09 Dec 2022 - 18:00|quarter-finals|Education City Stadium|Al Rayyan|Croatia|1.0|1.0|Brazil|Croatia win on penalties (4 - 2)</v>
      </c>
      <c r="M2661" s="42" t="str">
        <f>IF(COUNTIF($L$1689:L2661,L2661)&gt;1,"DOUBLON","OK")</f>
        <v>OK</v>
      </c>
      <c r="S2661" s="40" t="str">
        <v>Brazil</v>
      </c>
      <c r="T2661" s="40" t="str">
        <f t="shared" si="194"/>
        <v>OK</v>
      </c>
      <c r="U2661" s="40" t="str">
        <f t="shared" si="195"/>
        <v>-</v>
      </c>
      <c r="V2661" s="40" t="str" cm="1">
        <f t="array" ref="V2661">_xlfn.IFS(
ISNUMBER(SEARCH("USA",S2661)),"United States",
ISNUMBER(SEARCH("Republic of Ireland",S2661)),"Ireland",
ISNUMBER(SEARCH("Republic of Korea",S2661)),"South Korea",
ISNUMBER(SEARCH("Cape Verde",S2661)),"Cabo Verde",
ISNUMBER(SEARCH("Czechia",S2661)),"Czech Republic",
ISNUMBER(SEARCH("Türkiye",S2661)),"Turkey",
ISNUMBER(SEARCH("Ivory Coast",S2661)),"Côte d'Ivoire",
ISNUMBER(SEARCH("Korea Republic",S2661)),"South Korea",
ISNUMBER(SEARCH("Germany FR",S2661)),"FR Germany",
ISNUMBER(SEARCH("West Germany",S2661)),"FR Germany",
ISNUMBER(SEARCH("Germany DR",S2661)),"DR Germany",
ISNUMBER(SEARCH("Korea DPR",S2661)),"North Korea",
ISNUMBER(SEARCH("China PR",S2661)),"China",
ISNUMBER(SEARCH("IR Iran",S2661)),"Iran",
ISNUMBER(SEARCH("Congo DR",S2661)),"Democratic Republic of the Congo",
ISNUMBER(SEARCH("DR Congo",S2661)),"Democratic Republic of the Congo",
ISNUMBER(SEARCH("German DR",S2661)),"DR Germany",
ISNUMBER(SEARCH("rn""&gt;United Arab Emirates",S2661)),"United Arab Emirates",
ISNUMBER(SEARCH("rn""&gt;Republic of Ireland",S2661)),"Ireland",
ISNUMBER(SEARCH("rn""&gt;Bosnia and Herzegovina",S2661)),"Bosnia and Herzegovina",
ISNUMBER(SEARCH("rn""&gt;Trinidad and Tobago",S2661)),"Trinidad and Tobago",
ISNUMBER(SEARCH("rn""&gt;Serbia and Montenegro",S2661)),"Serbia and Montenegro",
ISNUMBER(SEARCH(_xlfn.UNICHAR(65533),S2661)),"Côte d'Ivoire",
TRUE,""
)</f>
        <v/>
      </c>
      <c r="W2661" s="40" t="str">
        <f t="shared" si="196"/>
        <v>Brazil</v>
      </c>
    </row>
    <row r="2662" spans="2:23">
      <c r="B2662" s="76" t="str">
        <v>2022.0</v>
      </c>
      <c r="C2662" s="42" t="str">
        <v>09 Dec 2022 - 22:00</v>
      </c>
      <c r="D2662" s="42" t="str">
        <v>quarter-finals</v>
      </c>
      <c r="E2662" s="42" t="str">
        <v>Lusail Stadium</v>
      </c>
      <c r="F2662" s="42" t="str">
        <v>Lusail</v>
      </c>
      <c r="G2662" s="42" t="str">
        <v>Netherlands</v>
      </c>
      <c r="H2662" s="42" t="str">
        <v>2.0</v>
      </c>
      <c r="I2662" s="42" t="str">
        <v>2.0</v>
      </c>
      <c r="J2662" s="42" t="str">
        <v>Argentina</v>
      </c>
      <c r="K2662" s="42" t="str">
        <v>Argentina win on penalties (4 - 3)</v>
      </c>
      <c r="L2662" s="42" t="str">
        <f t="shared" si="197"/>
        <v>2022.0|09 Dec 2022 - 22:00|quarter-finals|Lusail Stadium|Lusail|Netherlands|2.0|2.0|Argentina|Argentina win on penalties (4 - 3)</v>
      </c>
      <c r="M2662" s="42" t="str">
        <f>IF(COUNTIF($L$1689:L2662,L2662)&gt;1,"DOUBLON","OK")</f>
        <v>OK</v>
      </c>
      <c r="S2662" s="40" t="str">
        <v>Spain</v>
      </c>
      <c r="T2662" s="40" t="str">
        <f t="shared" si="194"/>
        <v>OK</v>
      </c>
      <c r="U2662" s="40" t="str">
        <f t="shared" si="195"/>
        <v>-</v>
      </c>
      <c r="V2662" s="40" t="str" cm="1">
        <f t="array" ref="V2662">_xlfn.IFS(
ISNUMBER(SEARCH("USA",S2662)),"United States",
ISNUMBER(SEARCH("Republic of Ireland",S2662)),"Ireland",
ISNUMBER(SEARCH("Republic of Korea",S2662)),"South Korea",
ISNUMBER(SEARCH("Cape Verde",S2662)),"Cabo Verde",
ISNUMBER(SEARCH("Czechia",S2662)),"Czech Republic",
ISNUMBER(SEARCH("Türkiye",S2662)),"Turkey",
ISNUMBER(SEARCH("Ivory Coast",S2662)),"Côte d'Ivoire",
ISNUMBER(SEARCH("Korea Republic",S2662)),"South Korea",
ISNUMBER(SEARCH("Germany FR",S2662)),"FR Germany",
ISNUMBER(SEARCH("West Germany",S2662)),"FR Germany",
ISNUMBER(SEARCH("Germany DR",S2662)),"DR Germany",
ISNUMBER(SEARCH("Korea DPR",S2662)),"North Korea",
ISNUMBER(SEARCH("China PR",S2662)),"China",
ISNUMBER(SEARCH("IR Iran",S2662)),"Iran",
ISNUMBER(SEARCH("Congo DR",S2662)),"Democratic Republic of the Congo",
ISNUMBER(SEARCH("DR Congo",S2662)),"Democratic Republic of the Congo",
ISNUMBER(SEARCH("German DR",S2662)),"DR Germany",
ISNUMBER(SEARCH("rn""&gt;United Arab Emirates",S2662)),"United Arab Emirates",
ISNUMBER(SEARCH("rn""&gt;Republic of Ireland",S2662)),"Ireland",
ISNUMBER(SEARCH("rn""&gt;Bosnia and Herzegovina",S2662)),"Bosnia and Herzegovina",
ISNUMBER(SEARCH("rn""&gt;Trinidad and Tobago",S2662)),"Trinidad and Tobago",
ISNUMBER(SEARCH("rn""&gt;Serbia and Montenegro",S2662)),"Serbia and Montenegro",
ISNUMBER(SEARCH(_xlfn.UNICHAR(65533),S2662)),"Côte d'Ivoire",
TRUE,""
)</f>
        <v/>
      </c>
      <c r="W2662" s="40" t="str">
        <f t="shared" si="196"/>
        <v>Spain</v>
      </c>
    </row>
    <row r="2663" spans="2:23">
      <c r="B2663" s="76" t="str">
        <v>2022.0</v>
      </c>
      <c r="C2663" s="42" t="str">
        <v>10 Dec 2022 - 18:00</v>
      </c>
      <c r="D2663" s="42" t="str">
        <v>quarter-finals</v>
      </c>
      <c r="E2663" s="42" t="str">
        <v>Al Thumama Stadium</v>
      </c>
      <c r="F2663" s="42" t="str">
        <v>Doha</v>
      </c>
      <c r="G2663" s="42" t="str">
        <v>Morocco</v>
      </c>
      <c r="H2663" s="42" t="str">
        <v>1.0</v>
      </c>
      <c r="I2663" s="42" t="str">
        <v>0.0</v>
      </c>
      <c r="J2663" s="42" t="str">
        <v>Portugal</v>
      </c>
      <c r="K2663" s="42" t="str">
        <v xml:space="preserve"> </v>
      </c>
      <c r="L2663" s="42" t="str">
        <f t="shared" si="197"/>
        <v xml:space="preserve">2022.0|10 Dec 2022 - 18:00|quarter-finals|Al Thumama Stadium|Doha|Morocco|1.0|0.0|Portugal| </v>
      </c>
      <c r="M2663" s="42" t="str">
        <f>IF(COUNTIF($L$1689:L2663,L2663)&gt;1,"DOUBLON","OK")</f>
        <v>OK</v>
      </c>
      <c r="S2663" s="40" t="str">
        <v>Peru</v>
      </c>
      <c r="T2663" s="40" t="str">
        <f t="shared" si="194"/>
        <v>OK</v>
      </c>
      <c r="U2663" s="40" t="str">
        <f t="shared" si="195"/>
        <v>-</v>
      </c>
      <c r="V2663" s="40" t="str" cm="1">
        <f t="array" ref="V2663">_xlfn.IFS(
ISNUMBER(SEARCH("USA",S2663)),"United States",
ISNUMBER(SEARCH("Republic of Ireland",S2663)),"Ireland",
ISNUMBER(SEARCH("Republic of Korea",S2663)),"South Korea",
ISNUMBER(SEARCH("Cape Verde",S2663)),"Cabo Verde",
ISNUMBER(SEARCH("Czechia",S2663)),"Czech Republic",
ISNUMBER(SEARCH("Türkiye",S2663)),"Turkey",
ISNUMBER(SEARCH("Ivory Coast",S2663)),"Côte d'Ivoire",
ISNUMBER(SEARCH("Korea Republic",S2663)),"South Korea",
ISNUMBER(SEARCH("Germany FR",S2663)),"FR Germany",
ISNUMBER(SEARCH("West Germany",S2663)),"FR Germany",
ISNUMBER(SEARCH("Germany DR",S2663)),"DR Germany",
ISNUMBER(SEARCH("Korea DPR",S2663)),"North Korea",
ISNUMBER(SEARCH("China PR",S2663)),"China",
ISNUMBER(SEARCH("IR Iran",S2663)),"Iran",
ISNUMBER(SEARCH("Congo DR",S2663)),"Democratic Republic of the Congo",
ISNUMBER(SEARCH("DR Congo",S2663)),"Democratic Republic of the Congo",
ISNUMBER(SEARCH("German DR",S2663)),"DR Germany",
ISNUMBER(SEARCH("rn""&gt;United Arab Emirates",S2663)),"United Arab Emirates",
ISNUMBER(SEARCH("rn""&gt;Republic of Ireland",S2663)),"Ireland",
ISNUMBER(SEARCH("rn""&gt;Bosnia and Herzegovina",S2663)),"Bosnia and Herzegovina",
ISNUMBER(SEARCH("rn""&gt;Trinidad and Tobago",S2663)),"Trinidad and Tobago",
ISNUMBER(SEARCH("rn""&gt;Serbia and Montenegro",S2663)),"Serbia and Montenegro",
ISNUMBER(SEARCH(_xlfn.UNICHAR(65533),S2663)),"Côte d'Ivoire",
TRUE,""
)</f>
        <v/>
      </c>
      <c r="W2663" s="40" t="str">
        <f t="shared" si="196"/>
        <v>Peru</v>
      </c>
    </row>
    <row r="2664" spans="2:23">
      <c r="B2664" s="76" t="str">
        <v>2022.0</v>
      </c>
      <c r="C2664" s="42" t="str">
        <v>10 Dec 2022 - 22:00</v>
      </c>
      <c r="D2664" s="42" t="str">
        <v>quarter-finals</v>
      </c>
      <c r="E2664" s="42" t="str">
        <v>Al Bayt Stadium</v>
      </c>
      <c r="F2664" s="42" t="str">
        <v>Al Khor</v>
      </c>
      <c r="G2664" s="42" t="str">
        <v>England</v>
      </c>
      <c r="H2664" s="42" t="str">
        <v>1.0</v>
      </c>
      <c r="I2664" s="42" t="str">
        <v>2.0</v>
      </c>
      <c r="J2664" s="42" t="str">
        <v>France</v>
      </c>
      <c r="K2664" s="42" t="str">
        <v xml:space="preserve"> </v>
      </c>
      <c r="L2664" s="42" t="str">
        <f t="shared" si="197"/>
        <v xml:space="preserve">2022.0|10 Dec 2022 - 22:00|quarter-finals|Al Bayt Stadium|Al Khor|England|1.0|2.0|France| </v>
      </c>
      <c r="M2664" s="42" t="str">
        <f>IF(COUNTIF($L$1689:L2664,L2664)&gt;1,"DOUBLON","OK")</f>
        <v>OK</v>
      </c>
      <c r="S2664" s="40" t="str">
        <v>Scotland</v>
      </c>
      <c r="T2664" s="40" t="str">
        <f t="shared" si="194"/>
        <v>ERREUR</v>
      </c>
      <c r="U2664" s="40" t="str">
        <f t="shared" si="195"/>
        <v>AUCUNE</v>
      </c>
      <c r="V2664" s="40" t="str" cm="1">
        <f t="array" ref="V2664">_xlfn.IFS(
ISNUMBER(SEARCH("USA",S2664)),"United States",
ISNUMBER(SEARCH("Republic of Ireland",S2664)),"Ireland",
ISNUMBER(SEARCH("Republic of Korea",S2664)),"South Korea",
ISNUMBER(SEARCH("Cape Verde",S2664)),"Cabo Verde",
ISNUMBER(SEARCH("Czechia",S2664)),"Czech Republic",
ISNUMBER(SEARCH("Türkiye",S2664)),"Turkey",
ISNUMBER(SEARCH("Ivory Coast",S2664)),"Côte d'Ivoire",
ISNUMBER(SEARCH("Korea Republic",S2664)),"South Korea",
ISNUMBER(SEARCH("Germany FR",S2664)),"FR Germany",
ISNUMBER(SEARCH("West Germany",S2664)),"FR Germany",
ISNUMBER(SEARCH("Germany DR",S2664)),"DR Germany",
ISNUMBER(SEARCH("Korea DPR",S2664)),"North Korea",
ISNUMBER(SEARCH("China PR",S2664)),"China",
ISNUMBER(SEARCH("IR Iran",S2664)),"Iran",
ISNUMBER(SEARCH("Congo DR",S2664)),"Democratic Republic of the Congo",
ISNUMBER(SEARCH("DR Congo",S2664)),"Democratic Republic of the Congo",
ISNUMBER(SEARCH("German DR",S2664)),"DR Germany",
ISNUMBER(SEARCH("rn""&gt;United Arab Emirates",S2664)),"United Arab Emirates",
ISNUMBER(SEARCH("rn""&gt;Republic of Ireland",S2664)),"Ireland",
ISNUMBER(SEARCH("rn""&gt;Bosnia and Herzegovina",S2664)),"Bosnia and Herzegovina",
ISNUMBER(SEARCH("rn""&gt;Trinidad and Tobago",S2664)),"Trinidad and Tobago",
ISNUMBER(SEARCH("rn""&gt;Serbia and Montenegro",S2664)),"Serbia and Montenegro",
ISNUMBER(SEARCH(_xlfn.UNICHAR(65533),S2664)),"Côte d'Ivoire",
TRUE,""
)</f>
        <v/>
      </c>
      <c r="W2664" s="40" t="str">
        <f t="shared" si="196"/>
        <v>Scotland</v>
      </c>
    </row>
    <row r="2665" spans="2:23">
      <c r="B2665" s="76" t="str">
        <v>2022.0</v>
      </c>
      <c r="C2665" s="42" t="str">
        <v>13 Dec 2022 - 22:00</v>
      </c>
      <c r="D2665" s="42" t="str">
        <v>semi-finals</v>
      </c>
      <c r="E2665" s="42" t="str">
        <v>Lusail Stadium</v>
      </c>
      <c r="F2665" s="42" t="str">
        <v>Lusail</v>
      </c>
      <c r="G2665" s="42" t="str">
        <v>Argentina</v>
      </c>
      <c r="H2665" s="42" t="str">
        <v>3.0</v>
      </c>
      <c r="I2665" s="42" t="str">
        <v>0.0</v>
      </c>
      <c r="J2665" s="42" t="str">
        <v>Croatia</v>
      </c>
      <c r="K2665" s="42" t="str">
        <v xml:space="preserve"> </v>
      </c>
      <c r="L2665" s="42" t="str">
        <f t="shared" si="197"/>
        <v xml:space="preserve">2022.0|13 Dec 2022 - 22:00|semi-finals|Lusail Stadium|Lusail|Argentina|3.0|0.0|Croatia| </v>
      </c>
      <c r="M2665" s="42" t="str">
        <f>IF(COUNTIF($L$1689:L2665,L2665)&gt;1,"DOUBLON","OK")</f>
        <v>OK</v>
      </c>
      <c r="S2665" s="40" t="str">
        <v>Germany FR</v>
      </c>
      <c r="T2665" s="40" t="str">
        <f t="shared" si="194"/>
        <v>ERREUR</v>
      </c>
      <c r="U2665" s="40" t="str">
        <f t="shared" si="195"/>
        <v>RENOMMER</v>
      </c>
      <c r="V2665" s="40" t="str" cm="1">
        <f t="array" ref="V2665">_xlfn.IFS(
ISNUMBER(SEARCH("USA",S2665)),"United States",
ISNUMBER(SEARCH("Republic of Ireland",S2665)),"Ireland",
ISNUMBER(SEARCH("Republic of Korea",S2665)),"South Korea",
ISNUMBER(SEARCH("Cape Verde",S2665)),"Cabo Verde",
ISNUMBER(SEARCH("Czechia",S2665)),"Czech Republic",
ISNUMBER(SEARCH("Türkiye",S2665)),"Turkey",
ISNUMBER(SEARCH("Ivory Coast",S2665)),"Côte d'Ivoire",
ISNUMBER(SEARCH("Korea Republic",S2665)),"South Korea",
ISNUMBER(SEARCH("Germany FR",S2665)),"FR Germany",
ISNUMBER(SEARCH("West Germany",S2665)),"FR Germany",
ISNUMBER(SEARCH("Germany DR",S2665)),"DR Germany",
ISNUMBER(SEARCH("Korea DPR",S2665)),"North Korea",
ISNUMBER(SEARCH("China PR",S2665)),"China",
ISNUMBER(SEARCH("IR Iran",S2665)),"Iran",
ISNUMBER(SEARCH("Congo DR",S2665)),"Democratic Republic of the Congo",
ISNUMBER(SEARCH("DR Congo",S2665)),"Democratic Republic of the Congo",
ISNUMBER(SEARCH("German DR",S2665)),"DR Germany",
ISNUMBER(SEARCH("rn""&gt;United Arab Emirates",S2665)),"United Arab Emirates",
ISNUMBER(SEARCH("rn""&gt;Republic of Ireland",S2665)),"Ireland",
ISNUMBER(SEARCH("rn""&gt;Bosnia and Herzegovina",S2665)),"Bosnia and Herzegovina",
ISNUMBER(SEARCH("rn""&gt;Trinidad and Tobago",S2665)),"Trinidad and Tobago",
ISNUMBER(SEARCH("rn""&gt;Serbia and Montenegro",S2665)),"Serbia and Montenegro",
ISNUMBER(SEARCH(_xlfn.UNICHAR(65533),S2665)),"Côte d'Ivoire",
TRUE,""
)</f>
        <v>FR Germany</v>
      </c>
      <c r="W2665" s="40" t="str">
        <f t="shared" si="196"/>
        <v>FR Germany</v>
      </c>
    </row>
    <row r="2666" spans="2:23">
      <c r="B2666" s="76" t="str">
        <v>2022.0</v>
      </c>
      <c r="C2666" s="42" t="str">
        <v>14 Dec 2022 - 22:00</v>
      </c>
      <c r="D2666" s="42" t="str">
        <v>semi-finals</v>
      </c>
      <c r="E2666" s="42" t="str">
        <v>Al Bayt Stadium</v>
      </c>
      <c r="F2666" s="42" t="str">
        <v>Al Khor</v>
      </c>
      <c r="G2666" s="42" t="str">
        <v>France</v>
      </c>
      <c r="H2666" s="42" t="str">
        <v>2.0</v>
      </c>
      <c r="I2666" s="42" t="str">
        <v>0.0</v>
      </c>
      <c r="J2666" s="42" t="str">
        <v>Morocco</v>
      </c>
      <c r="K2666" s="42" t="str">
        <v xml:space="preserve"> </v>
      </c>
      <c r="L2666" s="42" t="str">
        <f t="shared" si="197"/>
        <v xml:space="preserve">2022.0|14 Dec 2022 - 22:00|semi-finals|Al Bayt Stadium|Al Khor|France|2.0|0.0|Morocco| </v>
      </c>
      <c r="M2666" s="42" t="str">
        <f>IF(COUNTIF($L$1689:L2666,L2666)&gt;1,"DOUBLON","OK")</f>
        <v>OK</v>
      </c>
      <c r="S2666" s="40" t="str">
        <v>Netherlands</v>
      </c>
      <c r="T2666" s="40" t="str">
        <f t="shared" si="194"/>
        <v>OK</v>
      </c>
      <c r="U2666" s="40" t="str">
        <f t="shared" si="195"/>
        <v>-</v>
      </c>
      <c r="V2666" s="40" t="str" cm="1">
        <f t="array" ref="V2666">_xlfn.IFS(
ISNUMBER(SEARCH("USA",S2666)),"United States",
ISNUMBER(SEARCH("Republic of Ireland",S2666)),"Ireland",
ISNUMBER(SEARCH("Republic of Korea",S2666)),"South Korea",
ISNUMBER(SEARCH("Cape Verde",S2666)),"Cabo Verde",
ISNUMBER(SEARCH("Czechia",S2666)),"Czech Republic",
ISNUMBER(SEARCH("Türkiye",S2666)),"Turkey",
ISNUMBER(SEARCH("Ivory Coast",S2666)),"Côte d'Ivoire",
ISNUMBER(SEARCH("Korea Republic",S2666)),"South Korea",
ISNUMBER(SEARCH("Germany FR",S2666)),"FR Germany",
ISNUMBER(SEARCH("West Germany",S2666)),"FR Germany",
ISNUMBER(SEARCH("Germany DR",S2666)),"DR Germany",
ISNUMBER(SEARCH("Korea DPR",S2666)),"North Korea",
ISNUMBER(SEARCH("China PR",S2666)),"China",
ISNUMBER(SEARCH("IR Iran",S2666)),"Iran",
ISNUMBER(SEARCH("Congo DR",S2666)),"Democratic Republic of the Congo",
ISNUMBER(SEARCH("DR Congo",S2666)),"Democratic Republic of the Congo",
ISNUMBER(SEARCH("German DR",S2666)),"DR Germany",
ISNUMBER(SEARCH("rn""&gt;United Arab Emirates",S2666)),"United Arab Emirates",
ISNUMBER(SEARCH("rn""&gt;Republic of Ireland",S2666)),"Ireland",
ISNUMBER(SEARCH("rn""&gt;Bosnia and Herzegovina",S2666)),"Bosnia and Herzegovina",
ISNUMBER(SEARCH("rn""&gt;Trinidad and Tobago",S2666)),"Trinidad and Tobago",
ISNUMBER(SEARCH("rn""&gt;Serbia and Montenegro",S2666)),"Serbia and Montenegro",
ISNUMBER(SEARCH(_xlfn.UNICHAR(65533),S2666)),"Côte d'Ivoire",
TRUE,""
)</f>
        <v/>
      </c>
      <c r="W2666" s="40" t="str">
        <f t="shared" si="196"/>
        <v>Netherlands</v>
      </c>
    </row>
    <row r="2667" spans="2:23">
      <c r="B2667" s="76" t="str">
        <v>2022.0</v>
      </c>
      <c r="C2667" s="42" t="str">
        <v>17 Dec 2022 - 18:00</v>
      </c>
      <c r="D2667" s="42" t="str">
        <v>third-place match</v>
      </c>
      <c r="E2667" s="42" t="str">
        <v>Khalifa International Stadium</v>
      </c>
      <c r="F2667" s="42" t="str">
        <v>Al Rayyan</v>
      </c>
      <c r="G2667" s="42" t="str">
        <v>Croatia</v>
      </c>
      <c r="H2667" s="42" t="str">
        <v>2.0</v>
      </c>
      <c r="I2667" s="42" t="str">
        <v>1.0</v>
      </c>
      <c r="J2667" s="42" t="str">
        <v>Morocco</v>
      </c>
      <c r="K2667" s="42" t="str">
        <v xml:space="preserve"> </v>
      </c>
      <c r="L2667" s="42" t="str">
        <f t="shared" si="197"/>
        <v xml:space="preserve">2022.0|17 Dec 2022 - 18:00|third-place match|Khalifa International Stadium|Al Rayyan|Croatia|2.0|1.0|Morocco| </v>
      </c>
      <c r="M2667" s="42" t="str">
        <f>IF(COUNTIF($L$1689:L2667,L2667)&gt;1,"DOUBLON","OK")</f>
        <v>OK</v>
      </c>
      <c r="S2667" s="40" t="str">
        <v>Brazil</v>
      </c>
      <c r="T2667" s="40" t="str">
        <f t="shared" si="194"/>
        <v>OK</v>
      </c>
      <c r="U2667" s="40" t="str">
        <f t="shared" si="195"/>
        <v>-</v>
      </c>
      <c r="V2667" s="40" t="str" cm="1">
        <f t="array" ref="V2667">_xlfn.IFS(
ISNUMBER(SEARCH("USA",S2667)),"United States",
ISNUMBER(SEARCH("Republic of Ireland",S2667)),"Ireland",
ISNUMBER(SEARCH("Republic of Korea",S2667)),"South Korea",
ISNUMBER(SEARCH("Cape Verde",S2667)),"Cabo Verde",
ISNUMBER(SEARCH("Czechia",S2667)),"Czech Republic",
ISNUMBER(SEARCH("Türkiye",S2667)),"Turkey",
ISNUMBER(SEARCH("Ivory Coast",S2667)),"Côte d'Ivoire",
ISNUMBER(SEARCH("Korea Republic",S2667)),"South Korea",
ISNUMBER(SEARCH("Germany FR",S2667)),"FR Germany",
ISNUMBER(SEARCH("West Germany",S2667)),"FR Germany",
ISNUMBER(SEARCH("Germany DR",S2667)),"DR Germany",
ISNUMBER(SEARCH("Korea DPR",S2667)),"North Korea",
ISNUMBER(SEARCH("China PR",S2667)),"China",
ISNUMBER(SEARCH("IR Iran",S2667)),"Iran",
ISNUMBER(SEARCH("Congo DR",S2667)),"Democratic Republic of the Congo",
ISNUMBER(SEARCH("DR Congo",S2667)),"Democratic Republic of the Congo",
ISNUMBER(SEARCH("German DR",S2667)),"DR Germany",
ISNUMBER(SEARCH("rn""&gt;United Arab Emirates",S2667)),"United Arab Emirates",
ISNUMBER(SEARCH("rn""&gt;Republic of Ireland",S2667)),"Ireland",
ISNUMBER(SEARCH("rn""&gt;Bosnia and Herzegovina",S2667)),"Bosnia and Herzegovina",
ISNUMBER(SEARCH("rn""&gt;Trinidad and Tobago",S2667)),"Trinidad and Tobago",
ISNUMBER(SEARCH("rn""&gt;Serbia and Montenegro",S2667)),"Serbia and Montenegro",
ISNUMBER(SEARCH(_xlfn.UNICHAR(65533),S2667)),"Côte d'Ivoire",
TRUE,""
)</f>
        <v/>
      </c>
      <c r="W2667" s="40" t="str">
        <f t="shared" si="196"/>
        <v>Brazil</v>
      </c>
    </row>
    <row r="2668" spans="2:23">
      <c r="B2668" s="76" t="str">
        <v>2022.0</v>
      </c>
      <c r="C2668" s="42" t="str">
        <v>18 Dec 2022 - 18:00</v>
      </c>
      <c r="D2668" s="42" t="str">
        <v>final</v>
      </c>
      <c r="E2668" s="42" t="str">
        <v>Lusail Stadium</v>
      </c>
      <c r="F2668" s="42" t="str">
        <v>Lusail</v>
      </c>
      <c r="G2668" s="42" t="str">
        <v>Argentina</v>
      </c>
      <c r="H2668" s="42" t="str">
        <v>3.0</v>
      </c>
      <c r="I2668" s="42" t="str">
        <v>3.0</v>
      </c>
      <c r="J2668" s="42" t="str">
        <v>France</v>
      </c>
      <c r="K2668" s="42" t="str">
        <v>Argentina win on penalties (4 - 2)</v>
      </c>
      <c r="L2668" s="42" t="str">
        <f t="shared" si="197"/>
        <v>2022.0|18 Dec 2022 - 18:00|final|Lusail Stadium|Lusail|Argentina|3.0|3.0|France|Argentina win on penalties (4 - 2)</v>
      </c>
      <c r="M2668" s="42" t="str">
        <f>IF(COUNTIF($L$1689:L2668,L2668)&gt;1,"DOUBLON","OK")</f>
        <v>OK</v>
      </c>
      <c r="S2668" s="40" t="str">
        <v>Argentina</v>
      </c>
      <c r="T2668" s="40" t="str">
        <f t="shared" si="194"/>
        <v>OK</v>
      </c>
      <c r="U2668" s="40" t="str">
        <f t="shared" si="195"/>
        <v>-</v>
      </c>
      <c r="V2668" s="40" t="str" cm="1">
        <f t="array" ref="V2668">_xlfn.IFS(
ISNUMBER(SEARCH("USA",S2668)),"United States",
ISNUMBER(SEARCH("Republic of Ireland",S2668)),"Ireland",
ISNUMBER(SEARCH("Republic of Korea",S2668)),"South Korea",
ISNUMBER(SEARCH("Cape Verde",S2668)),"Cabo Verde",
ISNUMBER(SEARCH("Czechia",S2668)),"Czech Republic",
ISNUMBER(SEARCH("Türkiye",S2668)),"Turkey",
ISNUMBER(SEARCH("Ivory Coast",S2668)),"Côte d'Ivoire",
ISNUMBER(SEARCH("Korea Republic",S2668)),"South Korea",
ISNUMBER(SEARCH("Germany FR",S2668)),"FR Germany",
ISNUMBER(SEARCH("West Germany",S2668)),"FR Germany",
ISNUMBER(SEARCH("Germany DR",S2668)),"DR Germany",
ISNUMBER(SEARCH("Korea DPR",S2668)),"North Korea",
ISNUMBER(SEARCH("China PR",S2668)),"China",
ISNUMBER(SEARCH("IR Iran",S2668)),"Iran",
ISNUMBER(SEARCH("Congo DR",S2668)),"Democratic Republic of the Congo",
ISNUMBER(SEARCH("DR Congo",S2668)),"Democratic Republic of the Congo",
ISNUMBER(SEARCH("German DR",S2668)),"DR Germany",
ISNUMBER(SEARCH("rn""&gt;United Arab Emirates",S2668)),"United Arab Emirates",
ISNUMBER(SEARCH("rn""&gt;Republic of Ireland",S2668)),"Ireland",
ISNUMBER(SEARCH("rn""&gt;Bosnia and Herzegovina",S2668)),"Bosnia and Herzegovina",
ISNUMBER(SEARCH("rn""&gt;Trinidad and Tobago",S2668)),"Trinidad and Tobago",
ISNUMBER(SEARCH("rn""&gt;Serbia and Montenegro",S2668)),"Serbia and Montenegro",
ISNUMBER(SEARCH(_xlfn.UNICHAR(65533),S2668)),"Côte d'Ivoire",
TRUE,""
)</f>
        <v/>
      </c>
      <c r="W2668" s="40" t="str">
        <f t="shared" si="196"/>
        <v>Argentina</v>
      </c>
    </row>
    <row r="2669" spans="2:23">
      <c r="B2669" s="76" t="str">
        <v>2026.0</v>
      </c>
      <c r="C2669" s="42">
        <v>0</v>
      </c>
      <c r="D2669" s="42" t="str">
        <v>Group Stage</v>
      </c>
      <c r="E2669" s="42" t="str">
        <v>Mexico City Stadium</v>
      </c>
      <c r="F2669" s="42" t="str">
        <v>Mexico City</v>
      </c>
      <c r="G2669" s="42" t="str">
        <v>Mexico</v>
      </c>
      <c r="H2669" s="42" t="str">
        <v>2.0</v>
      </c>
      <c r="I2669" s="42" t="str">
        <v>0.0</v>
      </c>
      <c r="J2669" s="42" t="str">
        <v>South Africa</v>
      </c>
      <c r="K2669" s="42" t="str">
        <v xml:space="preserve"> </v>
      </c>
      <c r="L2669" s="42" t="str">
        <f t="shared" si="197"/>
        <v xml:space="preserve">2026.0|0|Group Stage|Mexico City Stadium|Mexico City|Mexico|2.0|0.0|South Africa| </v>
      </c>
      <c r="M2669" s="42" t="str">
        <f>IF(COUNTIF($L$1689:L2669,L2669)&gt;1,"DOUBLON","OK")</f>
        <v>OK</v>
      </c>
      <c r="S2669" s="40" t="str">
        <v>Poland</v>
      </c>
      <c r="T2669" s="40" t="str">
        <f t="shared" si="194"/>
        <v>OK</v>
      </c>
      <c r="U2669" s="40" t="str">
        <f t="shared" si="195"/>
        <v>-</v>
      </c>
      <c r="V2669" s="40" t="str" cm="1">
        <f t="array" ref="V2669">_xlfn.IFS(
ISNUMBER(SEARCH("USA",S2669)),"United States",
ISNUMBER(SEARCH("Republic of Ireland",S2669)),"Ireland",
ISNUMBER(SEARCH("Republic of Korea",S2669)),"South Korea",
ISNUMBER(SEARCH("Cape Verde",S2669)),"Cabo Verde",
ISNUMBER(SEARCH("Czechia",S2669)),"Czech Republic",
ISNUMBER(SEARCH("Türkiye",S2669)),"Turkey",
ISNUMBER(SEARCH("Ivory Coast",S2669)),"Côte d'Ivoire",
ISNUMBER(SEARCH("Korea Republic",S2669)),"South Korea",
ISNUMBER(SEARCH("Germany FR",S2669)),"FR Germany",
ISNUMBER(SEARCH("West Germany",S2669)),"FR Germany",
ISNUMBER(SEARCH("Germany DR",S2669)),"DR Germany",
ISNUMBER(SEARCH("Korea DPR",S2669)),"North Korea",
ISNUMBER(SEARCH("China PR",S2669)),"China",
ISNUMBER(SEARCH("IR Iran",S2669)),"Iran",
ISNUMBER(SEARCH("Congo DR",S2669)),"Democratic Republic of the Congo",
ISNUMBER(SEARCH("DR Congo",S2669)),"Democratic Republic of the Congo",
ISNUMBER(SEARCH("German DR",S2669)),"DR Germany",
ISNUMBER(SEARCH("rn""&gt;United Arab Emirates",S2669)),"United Arab Emirates",
ISNUMBER(SEARCH("rn""&gt;Republic of Ireland",S2669)),"Ireland",
ISNUMBER(SEARCH("rn""&gt;Bosnia and Herzegovina",S2669)),"Bosnia and Herzegovina",
ISNUMBER(SEARCH("rn""&gt;Trinidad and Tobago",S2669)),"Trinidad and Tobago",
ISNUMBER(SEARCH("rn""&gt;Serbia and Montenegro",S2669)),"Serbia and Montenegro",
ISNUMBER(SEARCH(_xlfn.UNICHAR(65533),S2669)),"Côte d'Ivoire",
TRUE,""
)</f>
        <v/>
      </c>
      <c r="W2669" s="40" t="str">
        <f t="shared" si="196"/>
        <v>Poland</v>
      </c>
    </row>
    <row r="2670" spans="2:23">
      <c r="B2670" s="76" t="str">
        <v>2026.0</v>
      </c>
      <c r="C2670" s="42">
        <v>0</v>
      </c>
      <c r="D2670" s="42" t="str">
        <v>Group Stage</v>
      </c>
      <c r="E2670" s="42" t="str">
        <v>Guadalajara Stadium</v>
      </c>
      <c r="F2670" s="42" t="str">
        <v>Guadalajara</v>
      </c>
      <c r="G2670" s="42" t="str">
        <v>South Korea</v>
      </c>
      <c r="H2670" s="42" t="str">
        <v>2.0</v>
      </c>
      <c r="I2670" s="42" t="str">
        <v>1.0</v>
      </c>
      <c r="J2670" s="42" t="str">
        <v>Czechia</v>
      </c>
      <c r="K2670" s="42" t="str">
        <v xml:space="preserve"> </v>
      </c>
      <c r="L2670" s="42" t="str">
        <f t="shared" si="197"/>
        <v xml:space="preserve">2026.0|0|Group Stage|Guadalajara Stadium|Guadalajara|South Korea|2.0|1.0|Czechia| </v>
      </c>
      <c r="M2670" s="42" t="str">
        <f>IF(COUNTIF($L$1689:L2670,L2670)&gt;1,"DOUBLON","OK")</f>
        <v>OK</v>
      </c>
      <c r="S2670" s="40" t="str">
        <v>Italy</v>
      </c>
      <c r="T2670" s="40" t="str">
        <f t="shared" si="194"/>
        <v>OK</v>
      </c>
      <c r="U2670" s="40" t="str">
        <f t="shared" si="195"/>
        <v>-</v>
      </c>
      <c r="V2670" s="40" t="str" cm="1">
        <f t="array" ref="V2670">_xlfn.IFS(
ISNUMBER(SEARCH("USA",S2670)),"United States",
ISNUMBER(SEARCH("Republic of Ireland",S2670)),"Ireland",
ISNUMBER(SEARCH("Republic of Korea",S2670)),"South Korea",
ISNUMBER(SEARCH("Cape Verde",S2670)),"Cabo Verde",
ISNUMBER(SEARCH("Czechia",S2670)),"Czech Republic",
ISNUMBER(SEARCH("Türkiye",S2670)),"Turkey",
ISNUMBER(SEARCH("Ivory Coast",S2670)),"Côte d'Ivoire",
ISNUMBER(SEARCH("Korea Republic",S2670)),"South Korea",
ISNUMBER(SEARCH("Germany FR",S2670)),"FR Germany",
ISNUMBER(SEARCH("West Germany",S2670)),"FR Germany",
ISNUMBER(SEARCH("Germany DR",S2670)),"DR Germany",
ISNUMBER(SEARCH("Korea DPR",S2670)),"North Korea",
ISNUMBER(SEARCH("China PR",S2670)),"China",
ISNUMBER(SEARCH("IR Iran",S2670)),"Iran",
ISNUMBER(SEARCH("Congo DR",S2670)),"Democratic Republic of the Congo",
ISNUMBER(SEARCH("DR Congo",S2670)),"Democratic Republic of the Congo",
ISNUMBER(SEARCH("German DR",S2670)),"DR Germany",
ISNUMBER(SEARCH("rn""&gt;United Arab Emirates",S2670)),"United Arab Emirates",
ISNUMBER(SEARCH("rn""&gt;Republic of Ireland",S2670)),"Ireland",
ISNUMBER(SEARCH("rn""&gt;Bosnia and Herzegovina",S2670)),"Bosnia and Herzegovina",
ISNUMBER(SEARCH("rn""&gt;Trinidad and Tobago",S2670)),"Trinidad and Tobago",
ISNUMBER(SEARCH("rn""&gt;Serbia and Montenegro",S2670)),"Serbia and Montenegro",
ISNUMBER(SEARCH(_xlfn.UNICHAR(65533),S2670)),"Côte d'Ivoire",
TRUE,""
)</f>
        <v/>
      </c>
      <c r="W2670" s="40" t="str">
        <f t="shared" si="196"/>
        <v>Italy</v>
      </c>
    </row>
    <row r="2671" spans="2:23">
      <c r="B2671" s="76" t="str">
        <v>2026.0</v>
      </c>
      <c r="C2671" s="42">
        <v>0</v>
      </c>
      <c r="D2671" s="42" t="str">
        <v>Group Stage</v>
      </c>
      <c r="E2671" s="42" t="str">
        <v>Toronto Stadium</v>
      </c>
      <c r="F2671" s="42" t="str">
        <v>Toronto</v>
      </c>
      <c r="G2671" s="42" t="str">
        <v>Canada</v>
      </c>
      <c r="H2671" s="42" t="str">
        <v>1.0</v>
      </c>
      <c r="I2671" s="42" t="str">
        <v>1.0</v>
      </c>
      <c r="J2671" s="42" t="str">
        <v>Bosnia and Herzegovina</v>
      </c>
      <c r="K2671" s="42" t="str">
        <v xml:space="preserve"> </v>
      </c>
      <c r="L2671" s="42" t="str">
        <f t="shared" si="197"/>
        <v xml:space="preserve">2026.0|0|Group Stage|Toronto Stadium|Toronto|Canada|1.0|1.0|Bosnia and Herzegovina| </v>
      </c>
      <c r="M2671" s="42" t="str">
        <f>IF(COUNTIF($L$1689:L2671,L2671)&gt;1,"DOUBLON","OK")</f>
        <v>OK</v>
      </c>
      <c r="S2671" s="40" t="str">
        <v>Germany FR</v>
      </c>
      <c r="T2671" s="40" t="str">
        <f t="shared" si="194"/>
        <v>ERREUR</v>
      </c>
      <c r="U2671" s="40" t="str">
        <f t="shared" si="195"/>
        <v>RENOMMER</v>
      </c>
      <c r="V2671" s="40" t="str" cm="1">
        <f t="array" ref="V2671">_xlfn.IFS(
ISNUMBER(SEARCH("USA",S2671)),"United States",
ISNUMBER(SEARCH("Republic of Ireland",S2671)),"Ireland",
ISNUMBER(SEARCH("Republic of Korea",S2671)),"South Korea",
ISNUMBER(SEARCH("Cape Verde",S2671)),"Cabo Verde",
ISNUMBER(SEARCH("Czechia",S2671)),"Czech Republic",
ISNUMBER(SEARCH("Türkiye",S2671)),"Turkey",
ISNUMBER(SEARCH("Ivory Coast",S2671)),"Côte d'Ivoire",
ISNUMBER(SEARCH("Korea Republic",S2671)),"South Korea",
ISNUMBER(SEARCH("Germany FR",S2671)),"FR Germany",
ISNUMBER(SEARCH("West Germany",S2671)),"FR Germany",
ISNUMBER(SEARCH("Germany DR",S2671)),"DR Germany",
ISNUMBER(SEARCH("Korea DPR",S2671)),"North Korea",
ISNUMBER(SEARCH("China PR",S2671)),"China",
ISNUMBER(SEARCH("IR Iran",S2671)),"Iran",
ISNUMBER(SEARCH("Congo DR",S2671)),"Democratic Republic of the Congo",
ISNUMBER(SEARCH("DR Congo",S2671)),"Democratic Republic of the Congo",
ISNUMBER(SEARCH("German DR",S2671)),"DR Germany",
ISNUMBER(SEARCH("rn""&gt;United Arab Emirates",S2671)),"United Arab Emirates",
ISNUMBER(SEARCH("rn""&gt;Republic of Ireland",S2671)),"Ireland",
ISNUMBER(SEARCH("rn""&gt;Bosnia and Herzegovina",S2671)),"Bosnia and Herzegovina",
ISNUMBER(SEARCH("rn""&gt;Trinidad and Tobago",S2671)),"Trinidad and Tobago",
ISNUMBER(SEARCH("rn""&gt;Serbia and Montenegro",S2671)),"Serbia and Montenegro",
ISNUMBER(SEARCH(_xlfn.UNICHAR(65533),S2671)),"Côte d'Ivoire",
TRUE,""
)</f>
        <v>FR Germany</v>
      </c>
      <c r="W2671" s="40" t="str">
        <f t="shared" si="196"/>
        <v>FR Germany</v>
      </c>
    </row>
    <row r="2672" spans="2:23">
      <c r="B2672" s="76" t="str">
        <v>2026.0</v>
      </c>
      <c r="C2672" s="42">
        <v>0</v>
      </c>
      <c r="D2672" s="42" t="str">
        <v>Group Stage</v>
      </c>
      <c r="E2672" s="42" t="str">
        <v>Los Angeles Stadium</v>
      </c>
      <c r="F2672" s="42" t="str">
        <v>Los Angeles</v>
      </c>
      <c r="G2672" s="42" t="str">
        <v>USA</v>
      </c>
      <c r="H2672" s="42" t="str">
        <v>4.0</v>
      </c>
      <c r="I2672" s="42" t="str">
        <v>1.0</v>
      </c>
      <c r="J2672" s="42" t="str">
        <v>Paraguay</v>
      </c>
      <c r="K2672" s="42" t="str">
        <v xml:space="preserve"> </v>
      </c>
      <c r="L2672" s="42" t="str">
        <f t="shared" si="197"/>
        <v xml:space="preserve">2026.0|0|Group Stage|Los Angeles Stadium|Los Angeles|USA|4.0|1.0|Paraguay| </v>
      </c>
      <c r="M2672" s="42" t="str">
        <f>IF(COUNTIF($L$1689:L2672,L2672)&gt;1,"DOUBLON","OK")</f>
        <v>OK</v>
      </c>
      <c r="S2672" s="40" t="str">
        <v>Argentina</v>
      </c>
      <c r="T2672" s="40" t="str">
        <f t="shared" si="194"/>
        <v>OK</v>
      </c>
      <c r="U2672" s="40" t="str">
        <f t="shared" si="195"/>
        <v>-</v>
      </c>
      <c r="V2672" s="40" t="str" cm="1">
        <f t="array" ref="V2672">_xlfn.IFS(
ISNUMBER(SEARCH("USA",S2672)),"United States",
ISNUMBER(SEARCH("Republic of Ireland",S2672)),"Ireland",
ISNUMBER(SEARCH("Republic of Korea",S2672)),"South Korea",
ISNUMBER(SEARCH("Cape Verde",S2672)),"Cabo Verde",
ISNUMBER(SEARCH("Czechia",S2672)),"Czech Republic",
ISNUMBER(SEARCH("Türkiye",S2672)),"Turkey",
ISNUMBER(SEARCH("Ivory Coast",S2672)),"Côte d'Ivoire",
ISNUMBER(SEARCH("Korea Republic",S2672)),"South Korea",
ISNUMBER(SEARCH("Germany FR",S2672)),"FR Germany",
ISNUMBER(SEARCH("West Germany",S2672)),"FR Germany",
ISNUMBER(SEARCH("Germany DR",S2672)),"DR Germany",
ISNUMBER(SEARCH("Korea DPR",S2672)),"North Korea",
ISNUMBER(SEARCH("China PR",S2672)),"China",
ISNUMBER(SEARCH("IR Iran",S2672)),"Iran",
ISNUMBER(SEARCH("Congo DR",S2672)),"Democratic Republic of the Congo",
ISNUMBER(SEARCH("DR Congo",S2672)),"Democratic Republic of the Congo",
ISNUMBER(SEARCH("German DR",S2672)),"DR Germany",
ISNUMBER(SEARCH("rn""&gt;United Arab Emirates",S2672)),"United Arab Emirates",
ISNUMBER(SEARCH("rn""&gt;Republic of Ireland",S2672)),"Ireland",
ISNUMBER(SEARCH("rn""&gt;Bosnia and Herzegovina",S2672)),"Bosnia and Herzegovina",
ISNUMBER(SEARCH("rn""&gt;Trinidad and Tobago",S2672)),"Trinidad and Tobago",
ISNUMBER(SEARCH("rn""&gt;Serbia and Montenegro",S2672)),"Serbia and Montenegro",
ISNUMBER(SEARCH(_xlfn.UNICHAR(65533),S2672)),"Côte d'Ivoire",
TRUE,""
)</f>
        <v/>
      </c>
      <c r="W2672" s="40" t="str">
        <f t="shared" si="196"/>
        <v>Argentina</v>
      </c>
    </row>
    <row r="2673" spans="2:23">
      <c r="B2673" s="76" t="str">
        <v>2026.0</v>
      </c>
      <c r="C2673" s="42">
        <v>0</v>
      </c>
      <c r="D2673" s="42" t="str">
        <v>Group Stage</v>
      </c>
      <c r="E2673" s="42" t="str">
        <v>Boston Stadium</v>
      </c>
      <c r="F2673" s="42" t="str">
        <v>Boston</v>
      </c>
      <c r="G2673" s="42" t="str">
        <v>Haiti</v>
      </c>
      <c r="H2673" s="42" t="str">
        <v>0.0</v>
      </c>
      <c r="I2673" s="42" t="str">
        <v>1.0</v>
      </c>
      <c r="J2673" s="42" t="str">
        <v>Scotland</v>
      </c>
      <c r="K2673" s="42" t="str">
        <v xml:space="preserve"> </v>
      </c>
      <c r="L2673" s="42" t="str">
        <f t="shared" si="197"/>
        <v xml:space="preserve">2026.0|0|Group Stage|Boston Stadium|Boston|Haiti|0.0|1.0|Scotland| </v>
      </c>
      <c r="M2673" s="42" t="str">
        <f>IF(COUNTIF($L$1689:L2673,L2673)&gt;1,"DOUBLON","OK")</f>
        <v>OK</v>
      </c>
      <c r="S2673" s="40" t="str">
        <v>Netherlands</v>
      </c>
      <c r="T2673" s="40" t="str">
        <f t="shared" si="194"/>
        <v>OK</v>
      </c>
      <c r="U2673" s="40" t="str">
        <f t="shared" si="195"/>
        <v>-</v>
      </c>
      <c r="V2673" s="40" t="str" cm="1">
        <f t="array" ref="V2673">_xlfn.IFS(
ISNUMBER(SEARCH("USA",S2673)),"United States",
ISNUMBER(SEARCH("Republic of Ireland",S2673)),"Ireland",
ISNUMBER(SEARCH("Republic of Korea",S2673)),"South Korea",
ISNUMBER(SEARCH("Cape Verde",S2673)),"Cabo Verde",
ISNUMBER(SEARCH("Czechia",S2673)),"Czech Republic",
ISNUMBER(SEARCH("Türkiye",S2673)),"Turkey",
ISNUMBER(SEARCH("Ivory Coast",S2673)),"Côte d'Ivoire",
ISNUMBER(SEARCH("Korea Republic",S2673)),"South Korea",
ISNUMBER(SEARCH("Germany FR",S2673)),"FR Germany",
ISNUMBER(SEARCH("West Germany",S2673)),"FR Germany",
ISNUMBER(SEARCH("Germany DR",S2673)),"DR Germany",
ISNUMBER(SEARCH("Korea DPR",S2673)),"North Korea",
ISNUMBER(SEARCH("China PR",S2673)),"China",
ISNUMBER(SEARCH("IR Iran",S2673)),"Iran",
ISNUMBER(SEARCH("Congo DR",S2673)),"Democratic Republic of the Congo",
ISNUMBER(SEARCH("DR Congo",S2673)),"Democratic Republic of the Congo",
ISNUMBER(SEARCH("German DR",S2673)),"DR Germany",
ISNUMBER(SEARCH("rn""&gt;United Arab Emirates",S2673)),"United Arab Emirates",
ISNUMBER(SEARCH("rn""&gt;Republic of Ireland",S2673)),"Ireland",
ISNUMBER(SEARCH("rn""&gt;Bosnia and Herzegovina",S2673)),"Bosnia and Herzegovina",
ISNUMBER(SEARCH("rn""&gt;Trinidad and Tobago",S2673)),"Trinidad and Tobago",
ISNUMBER(SEARCH("rn""&gt;Serbia and Montenegro",S2673)),"Serbia and Montenegro",
ISNUMBER(SEARCH(_xlfn.UNICHAR(65533),S2673)),"Côte d'Ivoire",
TRUE,""
)</f>
        <v/>
      </c>
      <c r="W2673" s="40" t="str">
        <f t="shared" si="196"/>
        <v>Netherlands</v>
      </c>
    </row>
    <row r="2674" spans="2:23">
      <c r="B2674" s="76" t="str">
        <v>2026.0</v>
      </c>
      <c r="C2674" s="42">
        <v>0</v>
      </c>
      <c r="D2674" s="42" t="str">
        <v>Group Stage</v>
      </c>
      <c r="E2674" s="42" t="str">
        <v>BC Place Vancouver</v>
      </c>
      <c r="F2674" s="42" t="str">
        <v>Vancouver</v>
      </c>
      <c r="G2674" s="42" t="str">
        <v>Australia</v>
      </c>
      <c r="H2674" s="42" t="str">
        <v>2.0</v>
      </c>
      <c r="I2674" s="42" t="str">
        <v>0.0</v>
      </c>
      <c r="J2674" s="42" t="str">
        <v>Türkiye</v>
      </c>
      <c r="K2674" s="42" t="str">
        <v xml:space="preserve"> </v>
      </c>
      <c r="L2674" s="42" t="str">
        <f t="shared" si="197"/>
        <v xml:space="preserve">2026.0|0|Group Stage|BC Place Vancouver|Vancouver|Australia|2.0|0.0|Türkiye| </v>
      </c>
      <c r="M2674" s="42" t="str">
        <f>IF(COUNTIF($L$1689:L2674,L2674)&gt;1,"DOUBLON","OK")</f>
        <v>OK</v>
      </c>
      <c r="S2674" s="40" t="str">
        <v>Austria</v>
      </c>
      <c r="T2674" s="40" t="str">
        <f t="shared" si="194"/>
        <v>OK</v>
      </c>
      <c r="U2674" s="40" t="str">
        <f t="shared" si="195"/>
        <v>-</v>
      </c>
      <c r="V2674" s="40" t="str" cm="1">
        <f t="array" ref="V2674">_xlfn.IFS(
ISNUMBER(SEARCH("USA",S2674)),"United States",
ISNUMBER(SEARCH("Republic of Ireland",S2674)),"Ireland",
ISNUMBER(SEARCH("Republic of Korea",S2674)),"South Korea",
ISNUMBER(SEARCH("Cape Verde",S2674)),"Cabo Verde",
ISNUMBER(SEARCH("Czechia",S2674)),"Czech Republic",
ISNUMBER(SEARCH("Türkiye",S2674)),"Turkey",
ISNUMBER(SEARCH("Ivory Coast",S2674)),"Côte d'Ivoire",
ISNUMBER(SEARCH("Korea Republic",S2674)),"South Korea",
ISNUMBER(SEARCH("Germany FR",S2674)),"FR Germany",
ISNUMBER(SEARCH("West Germany",S2674)),"FR Germany",
ISNUMBER(SEARCH("Germany DR",S2674)),"DR Germany",
ISNUMBER(SEARCH("Korea DPR",S2674)),"North Korea",
ISNUMBER(SEARCH("China PR",S2674)),"China",
ISNUMBER(SEARCH("IR Iran",S2674)),"Iran",
ISNUMBER(SEARCH("Congo DR",S2674)),"Democratic Republic of the Congo",
ISNUMBER(SEARCH("DR Congo",S2674)),"Democratic Republic of the Congo",
ISNUMBER(SEARCH("German DR",S2674)),"DR Germany",
ISNUMBER(SEARCH("rn""&gt;United Arab Emirates",S2674)),"United Arab Emirates",
ISNUMBER(SEARCH("rn""&gt;Republic of Ireland",S2674)),"Ireland",
ISNUMBER(SEARCH("rn""&gt;Bosnia and Herzegovina",S2674)),"Bosnia and Herzegovina",
ISNUMBER(SEARCH("rn""&gt;Trinidad and Tobago",S2674)),"Trinidad and Tobago",
ISNUMBER(SEARCH("rn""&gt;Serbia and Montenegro",S2674)),"Serbia and Montenegro",
ISNUMBER(SEARCH(_xlfn.UNICHAR(65533),S2674)),"Côte d'Ivoire",
TRUE,""
)</f>
        <v/>
      </c>
      <c r="W2674" s="40" t="str">
        <f t="shared" si="196"/>
        <v>Austria</v>
      </c>
    </row>
    <row r="2675" spans="2:23">
      <c r="B2675" s="76" t="str">
        <v>2026.0</v>
      </c>
      <c r="C2675" s="42">
        <v>0</v>
      </c>
      <c r="D2675" s="42" t="str">
        <v>Group Stage</v>
      </c>
      <c r="E2675" s="42" t="str">
        <v>New York New Jersey Stadium</v>
      </c>
      <c r="F2675" s="42" t="str">
        <v>New Jersey</v>
      </c>
      <c r="G2675" s="42" t="str">
        <v>Brazil</v>
      </c>
      <c r="H2675" s="42" t="str">
        <v>1.0</v>
      </c>
      <c r="I2675" s="42" t="str">
        <v>1.0</v>
      </c>
      <c r="J2675" s="42" t="str">
        <v>Morocco</v>
      </c>
      <c r="K2675" s="42" t="str">
        <v xml:space="preserve"> </v>
      </c>
      <c r="L2675" s="42" t="str">
        <f t="shared" si="197"/>
        <v xml:space="preserve">2026.0|0|Group Stage|New York New Jersey Stadium|New Jersey|Brazil|1.0|1.0|Morocco| </v>
      </c>
      <c r="M2675" s="42" t="str">
        <f>IF(COUNTIF($L$1689:L2675,L2675)&gt;1,"DOUBLON","OK")</f>
        <v>OK</v>
      </c>
      <c r="S2675" s="40" t="str">
        <v>Brazil</v>
      </c>
      <c r="T2675" s="40" t="str">
        <f t="shared" si="194"/>
        <v>OK</v>
      </c>
      <c r="U2675" s="40" t="str">
        <f t="shared" si="195"/>
        <v>-</v>
      </c>
      <c r="V2675" s="40" t="str" cm="1">
        <f t="array" ref="V2675">_xlfn.IFS(
ISNUMBER(SEARCH("USA",S2675)),"United States",
ISNUMBER(SEARCH("Republic of Ireland",S2675)),"Ireland",
ISNUMBER(SEARCH("Republic of Korea",S2675)),"South Korea",
ISNUMBER(SEARCH("Cape Verde",S2675)),"Cabo Verde",
ISNUMBER(SEARCH("Czechia",S2675)),"Czech Republic",
ISNUMBER(SEARCH("Türkiye",S2675)),"Turkey",
ISNUMBER(SEARCH("Ivory Coast",S2675)),"Côte d'Ivoire",
ISNUMBER(SEARCH("Korea Republic",S2675)),"South Korea",
ISNUMBER(SEARCH("Germany FR",S2675)),"FR Germany",
ISNUMBER(SEARCH("West Germany",S2675)),"FR Germany",
ISNUMBER(SEARCH("Germany DR",S2675)),"DR Germany",
ISNUMBER(SEARCH("Korea DPR",S2675)),"North Korea",
ISNUMBER(SEARCH("China PR",S2675)),"China",
ISNUMBER(SEARCH("IR Iran",S2675)),"Iran",
ISNUMBER(SEARCH("Congo DR",S2675)),"Democratic Republic of the Congo",
ISNUMBER(SEARCH("DR Congo",S2675)),"Democratic Republic of the Congo",
ISNUMBER(SEARCH("German DR",S2675)),"DR Germany",
ISNUMBER(SEARCH("rn""&gt;United Arab Emirates",S2675)),"United Arab Emirates",
ISNUMBER(SEARCH("rn""&gt;Republic of Ireland",S2675)),"Ireland",
ISNUMBER(SEARCH("rn""&gt;Bosnia and Herzegovina",S2675)),"Bosnia and Herzegovina",
ISNUMBER(SEARCH("rn""&gt;Trinidad and Tobago",S2675)),"Trinidad and Tobago",
ISNUMBER(SEARCH("rn""&gt;Serbia and Montenegro",S2675)),"Serbia and Montenegro",
ISNUMBER(SEARCH(_xlfn.UNICHAR(65533),S2675)),"Côte d'Ivoire",
TRUE,""
)</f>
        <v/>
      </c>
      <c r="W2675" s="40" t="str">
        <f t="shared" si="196"/>
        <v>Brazil</v>
      </c>
    </row>
    <row r="2676" spans="2:23">
      <c r="B2676" s="76" t="str">
        <v>2026.0</v>
      </c>
      <c r="C2676" s="42">
        <v>0</v>
      </c>
      <c r="D2676" s="42" t="str">
        <v>Group Stage</v>
      </c>
      <c r="E2676" s="42" t="str">
        <v>San Francisco Bay Area Stadium</v>
      </c>
      <c r="F2676" s="42" t="str">
        <v>San Francisco</v>
      </c>
      <c r="G2676" s="42" t="str">
        <v>Qatar</v>
      </c>
      <c r="H2676" s="42" t="str">
        <v>1.0</v>
      </c>
      <c r="I2676" s="42" t="str">
        <v>1.0</v>
      </c>
      <c r="J2676" s="42" t="str">
        <v>Switzerland</v>
      </c>
      <c r="K2676" s="42" t="str">
        <v xml:space="preserve"> </v>
      </c>
      <c r="L2676" s="42" t="str">
        <f t="shared" si="197"/>
        <v xml:space="preserve">2026.0|0|Group Stage|San Francisco Bay Area Stadium|San Francisco|Qatar|1.0|1.0|Switzerland| </v>
      </c>
      <c r="M2676" s="42" t="str">
        <f>IF(COUNTIF($L$1689:L2676,L2676)&gt;1,"DOUBLON","OK")</f>
        <v>OK</v>
      </c>
      <c r="S2676" s="40" t="str">
        <v>Argentina</v>
      </c>
      <c r="T2676" s="40" t="str">
        <f t="shared" si="194"/>
        <v>OK</v>
      </c>
      <c r="U2676" s="40" t="str">
        <f t="shared" si="195"/>
        <v>-</v>
      </c>
      <c r="V2676" s="40" t="str" cm="1">
        <f t="array" ref="V2676">_xlfn.IFS(
ISNUMBER(SEARCH("USA",S2676)),"United States",
ISNUMBER(SEARCH("Republic of Ireland",S2676)),"Ireland",
ISNUMBER(SEARCH("Republic of Korea",S2676)),"South Korea",
ISNUMBER(SEARCH("Cape Verde",S2676)),"Cabo Verde",
ISNUMBER(SEARCH("Czechia",S2676)),"Czech Republic",
ISNUMBER(SEARCH("Türkiye",S2676)),"Turkey",
ISNUMBER(SEARCH("Ivory Coast",S2676)),"Côte d'Ivoire",
ISNUMBER(SEARCH("Korea Republic",S2676)),"South Korea",
ISNUMBER(SEARCH("Germany FR",S2676)),"FR Germany",
ISNUMBER(SEARCH("West Germany",S2676)),"FR Germany",
ISNUMBER(SEARCH("Germany DR",S2676)),"DR Germany",
ISNUMBER(SEARCH("Korea DPR",S2676)),"North Korea",
ISNUMBER(SEARCH("China PR",S2676)),"China",
ISNUMBER(SEARCH("IR Iran",S2676)),"Iran",
ISNUMBER(SEARCH("Congo DR",S2676)),"Democratic Republic of the Congo",
ISNUMBER(SEARCH("DR Congo",S2676)),"Democratic Republic of the Congo",
ISNUMBER(SEARCH("German DR",S2676)),"DR Germany",
ISNUMBER(SEARCH("rn""&gt;United Arab Emirates",S2676)),"United Arab Emirates",
ISNUMBER(SEARCH("rn""&gt;Republic of Ireland",S2676)),"Ireland",
ISNUMBER(SEARCH("rn""&gt;Bosnia and Herzegovina",S2676)),"Bosnia and Herzegovina",
ISNUMBER(SEARCH("rn""&gt;Trinidad and Tobago",S2676)),"Trinidad and Tobago",
ISNUMBER(SEARCH("rn""&gt;Serbia and Montenegro",S2676)),"Serbia and Montenegro",
ISNUMBER(SEARCH(_xlfn.UNICHAR(65533),S2676)),"Côte d'Ivoire",
TRUE,""
)</f>
        <v/>
      </c>
      <c r="W2676" s="40" t="str">
        <f t="shared" si="196"/>
        <v>Argentina</v>
      </c>
    </row>
    <row r="2677" spans="2:23">
      <c r="B2677" s="76" t="str">
        <v>2026.0</v>
      </c>
      <c r="C2677" s="42">
        <v>0</v>
      </c>
      <c r="D2677" s="42" t="str">
        <v>Group Stage</v>
      </c>
      <c r="E2677" s="42" t="str">
        <v>Houston Stadium</v>
      </c>
      <c r="F2677" s="42" t="str">
        <v>Houston</v>
      </c>
      <c r="G2677" s="42" t="str">
        <v>Germany</v>
      </c>
      <c r="H2677" s="42" t="str">
        <v>7.0</v>
      </c>
      <c r="I2677" s="42" t="str">
        <v>1.0</v>
      </c>
      <c r="J2677" s="42" t="str">
        <v>Curaçao</v>
      </c>
      <c r="K2677" s="42" t="str">
        <v xml:space="preserve"> </v>
      </c>
      <c r="L2677" s="42" t="str">
        <f t="shared" si="197"/>
        <v xml:space="preserve">2026.0|0|Group Stage|Houston Stadium|Houston|Germany|7.0|1.0|Curaçao| </v>
      </c>
      <c r="M2677" s="42" t="str">
        <f>IF(COUNTIF($L$1689:L2677,L2677)&gt;1,"DOUBLON","OK")</f>
        <v>OK</v>
      </c>
      <c r="S2677" s="40" t="str">
        <v>Brazil</v>
      </c>
      <c r="T2677" s="40" t="str">
        <f t="shared" si="194"/>
        <v>OK</v>
      </c>
      <c r="U2677" s="40" t="str">
        <f t="shared" si="195"/>
        <v>-</v>
      </c>
      <c r="V2677" s="40" t="str" cm="1">
        <f t="array" ref="V2677">_xlfn.IFS(
ISNUMBER(SEARCH("USA",S2677)),"United States",
ISNUMBER(SEARCH("Republic of Ireland",S2677)),"Ireland",
ISNUMBER(SEARCH("Republic of Korea",S2677)),"South Korea",
ISNUMBER(SEARCH("Cape Verde",S2677)),"Cabo Verde",
ISNUMBER(SEARCH("Czechia",S2677)),"Czech Republic",
ISNUMBER(SEARCH("Türkiye",S2677)),"Turkey",
ISNUMBER(SEARCH("Ivory Coast",S2677)),"Côte d'Ivoire",
ISNUMBER(SEARCH("Korea Republic",S2677)),"South Korea",
ISNUMBER(SEARCH("Germany FR",S2677)),"FR Germany",
ISNUMBER(SEARCH("West Germany",S2677)),"FR Germany",
ISNUMBER(SEARCH("Germany DR",S2677)),"DR Germany",
ISNUMBER(SEARCH("Korea DPR",S2677)),"North Korea",
ISNUMBER(SEARCH("China PR",S2677)),"China",
ISNUMBER(SEARCH("IR Iran",S2677)),"Iran",
ISNUMBER(SEARCH("Congo DR",S2677)),"Democratic Republic of the Congo",
ISNUMBER(SEARCH("DR Congo",S2677)),"Democratic Republic of the Congo",
ISNUMBER(SEARCH("German DR",S2677)),"DR Germany",
ISNUMBER(SEARCH("rn""&gt;United Arab Emirates",S2677)),"United Arab Emirates",
ISNUMBER(SEARCH("rn""&gt;Republic of Ireland",S2677)),"Ireland",
ISNUMBER(SEARCH("rn""&gt;Bosnia and Herzegovina",S2677)),"Bosnia and Herzegovina",
ISNUMBER(SEARCH("rn""&gt;Trinidad and Tobago",S2677)),"Trinidad and Tobago",
ISNUMBER(SEARCH("rn""&gt;Serbia and Montenegro",S2677)),"Serbia and Montenegro",
ISNUMBER(SEARCH(_xlfn.UNICHAR(65533),S2677)),"Côte d'Ivoire",
TRUE,""
)</f>
        <v/>
      </c>
      <c r="W2677" s="40" t="str">
        <f t="shared" si="196"/>
        <v>Brazil</v>
      </c>
    </row>
    <row r="2678" spans="2:23">
      <c r="B2678" s="76" t="str">
        <v>2026.0</v>
      </c>
      <c r="C2678" s="42">
        <v>0</v>
      </c>
      <c r="D2678" s="42" t="str">
        <v>Group Stage</v>
      </c>
      <c r="E2678" s="42" t="str">
        <v>Dallas Stadium</v>
      </c>
      <c r="F2678" s="42" t="str">
        <v>Dallas</v>
      </c>
      <c r="G2678" s="42" t="str">
        <v>Netherlands</v>
      </c>
      <c r="H2678" s="42" t="str">
        <v>2.0</v>
      </c>
      <c r="I2678" s="42" t="str">
        <v>2.0</v>
      </c>
      <c r="J2678" s="42" t="str">
        <v>Japan</v>
      </c>
      <c r="K2678" s="42" t="str">
        <v xml:space="preserve"> </v>
      </c>
      <c r="L2678" s="42" t="str">
        <f t="shared" si="197"/>
        <v xml:space="preserve">2026.0|0|Group Stage|Dallas Stadium|Dallas|Netherlands|2.0|2.0|Japan| </v>
      </c>
      <c r="M2678" s="42" t="str">
        <f>IF(COUNTIF($L$1689:L2678,L2678)&gt;1,"DOUBLON","OK")</f>
        <v>OK</v>
      </c>
      <c r="S2678" s="40" t="str">
        <v>Argentina</v>
      </c>
      <c r="T2678" s="40" t="str">
        <f t="shared" si="194"/>
        <v>OK</v>
      </c>
      <c r="U2678" s="40" t="str">
        <f t="shared" si="195"/>
        <v>-</v>
      </c>
      <c r="V2678" s="40" t="str" cm="1">
        <f t="array" ref="V2678">_xlfn.IFS(
ISNUMBER(SEARCH("USA",S2678)),"United States",
ISNUMBER(SEARCH("Republic of Ireland",S2678)),"Ireland",
ISNUMBER(SEARCH("Republic of Korea",S2678)),"South Korea",
ISNUMBER(SEARCH("Cape Verde",S2678)),"Cabo Verde",
ISNUMBER(SEARCH("Czechia",S2678)),"Czech Republic",
ISNUMBER(SEARCH("Türkiye",S2678)),"Turkey",
ISNUMBER(SEARCH("Ivory Coast",S2678)),"Côte d'Ivoire",
ISNUMBER(SEARCH("Korea Republic",S2678)),"South Korea",
ISNUMBER(SEARCH("Germany FR",S2678)),"FR Germany",
ISNUMBER(SEARCH("West Germany",S2678)),"FR Germany",
ISNUMBER(SEARCH("Germany DR",S2678)),"DR Germany",
ISNUMBER(SEARCH("Korea DPR",S2678)),"North Korea",
ISNUMBER(SEARCH("China PR",S2678)),"China",
ISNUMBER(SEARCH("IR Iran",S2678)),"Iran",
ISNUMBER(SEARCH("Congo DR",S2678)),"Democratic Republic of the Congo",
ISNUMBER(SEARCH("DR Congo",S2678)),"Democratic Republic of the Congo",
ISNUMBER(SEARCH("German DR",S2678)),"DR Germany",
ISNUMBER(SEARCH("rn""&gt;United Arab Emirates",S2678)),"United Arab Emirates",
ISNUMBER(SEARCH("rn""&gt;Republic of Ireland",S2678)),"Ireland",
ISNUMBER(SEARCH("rn""&gt;Bosnia and Herzegovina",S2678)),"Bosnia and Herzegovina",
ISNUMBER(SEARCH("rn""&gt;Trinidad and Tobago",S2678)),"Trinidad and Tobago",
ISNUMBER(SEARCH("rn""&gt;Serbia and Montenegro",S2678)),"Serbia and Montenegro",
ISNUMBER(SEARCH(_xlfn.UNICHAR(65533),S2678)),"Côte d'Ivoire",
TRUE,""
)</f>
        <v/>
      </c>
      <c r="W2678" s="40" t="str">
        <f t="shared" si="196"/>
        <v>Argentina</v>
      </c>
    </row>
    <row r="2679" spans="2:23">
      <c r="B2679" s="76" t="str">
        <v>2026.0</v>
      </c>
      <c r="C2679" s="42">
        <v>0</v>
      </c>
      <c r="D2679" s="42" t="str">
        <v>Group Stage</v>
      </c>
      <c r="E2679" s="42" t="str">
        <v>Philadelphia Stadium</v>
      </c>
      <c r="F2679" s="42" t="str">
        <v>Philadelphia</v>
      </c>
      <c r="G2679" s="42" t="str">
        <v>Côte d'Ivoire</v>
      </c>
      <c r="H2679" s="42" t="str">
        <v>1.0</v>
      </c>
      <c r="I2679" s="42" t="str">
        <v>0.0</v>
      </c>
      <c r="J2679" s="42" t="str">
        <v>Ecuador</v>
      </c>
      <c r="K2679" s="42" t="str">
        <v xml:space="preserve"> </v>
      </c>
      <c r="L2679" s="42" t="str">
        <f t="shared" si="197"/>
        <v xml:space="preserve">2026.0|0|Group Stage|Philadelphia Stadium|Philadelphia|Côte d'Ivoire|1.0|0.0|Ecuador| </v>
      </c>
      <c r="M2679" s="42" t="str">
        <f>IF(COUNTIF($L$1689:L2679,L2679)&gt;1,"DOUBLON","OK")</f>
        <v>OK</v>
      </c>
      <c r="S2679" s="40" t="str">
        <v>Argentina</v>
      </c>
      <c r="T2679" s="40" t="str">
        <f t="shared" si="194"/>
        <v>OK</v>
      </c>
      <c r="U2679" s="40" t="str">
        <f t="shared" si="195"/>
        <v>-</v>
      </c>
      <c r="V2679" s="40" t="str" cm="1">
        <f t="array" ref="V2679">_xlfn.IFS(
ISNUMBER(SEARCH("USA",S2679)),"United States",
ISNUMBER(SEARCH("Republic of Ireland",S2679)),"Ireland",
ISNUMBER(SEARCH("Republic of Korea",S2679)),"South Korea",
ISNUMBER(SEARCH("Cape Verde",S2679)),"Cabo Verde",
ISNUMBER(SEARCH("Czechia",S2679)),"Czech Republic",
ISNUMBER(SEARCH("Türkiye",S2679)),"Turkey",
ISNUMBER(SEARCH("Ivory Coast",S2679)),"Côte d'Ivoire",
ISNUMBER(SEARCH("Korea Republic",S2679)),"South Korea",
ISNUMBER(SEARCH("Germany FR",S2679)),"FR Germany",
ISNUMBER(SEARCH("West Germany",S2679)),"FR Germany",
ISNUMBER(SEARCH("Germany DR",S2679)),"DR Germany",
ISNUMBER(SEARCH("Korea DPR",S2679)),"North Korea",
ISNUMBER(SEARCH("China PR",S2679)),"China",
ISNUMBER(SEARCH("IR Iran",S2679)),"Iran",
ISNUMBER(SEARCH("Congo DR",S2679)),"Democratic Republic of the Congo",
ISNUMBER(SEARCH("DR Congo",S2679)),"Democratic Republic of the Congo",
ISNUMBER(SEARCH("German DR",S2679)),"DR Germany",
ISNUMBER(SEARCH("rn""&gt;United Arab Emirates",S2679)),"United Arab Emirates",
ISNUMBER(SEARCH("rn""&gt;Republic of Ireland",S2679)),"Ireland",
ISNUMBER(SEARCH("rn""&gt;Bosnia and Herzegovina",S2679)),"Bosnia and Herzegovina",
ISNUMBER(SEARCH("rn""&gt;Trinidad and Tobago",S2679)),"Trinidad and Tobago",
ISNUMBER(SEARCH("rn""&gt;Serbia and Montenegro",S2679)),"Serbia and Montenegro",
ISNUMBER(SEARCH(_xlfn.UNICHAR(65533),S2679)),"Côte d'Ivoire",
TRUE,""
)</f>
        <v/>
      </c>
      <c r="W2679" s="40" t="str">
        <f t="shared" si="196"/>
        <v>Argentina</v>
      </c>
    </row>
    <row r="2680" spans="2:23">
      <c r="B2680" s="76" t="str">
        <v>2026.0</v>
      </c>
      <c r="C2680" s="42">
        <v>0</v>
      </c>
      <c r="D2680" s="42" t="str">
        <v>Group Stage</v>
      </c>
      <c r="E2680" s="42" t="str">
        <v>Monterrey Stadium</v>
      </c>
      <c r="F2680" s="42" t="str">
        <v>Monterrey</v>
      </c>
      <c r="G2680" s="42" t="str">
        <v>Sweden</v>
      </c>
      <c r="H2680" s="42" t="str">
        <v>5.0</v>
      </c>
      <c r="I2680" s="42" t="str">
        <v>1.0</v>
      </c>
      <c r="J2680" s="42" t="str">
        <v>Tunisia</v>
      </c>
      <c r="K2680" s="42" t="str">
        <v xml:space="preserve"> </v>
      </c>
      <c r="L2680" s="42" t="str">
        <f t="shared" si="197"/>
        <v xml:space="preserve">2026.0|0|Group Stage|Monterrey Stadium|Monterrey|Sweden|5.0|1.0|Tunisia| </v>
      </c>
      <c r="M2680" s="42" t="str">
        <f>IF(COUNTIF($L$1689:L2680,L2680)&gt;1,"DOUBLON","OK")</f>
        <v>OK</v>
      </c>
      <c r="S2680" s="40" t="str">
        <v>Italy</v>
      </c>
      <c r="T2680" s="40" t="str">
        <f t="shared" si="194"/>
        <v>OK</v>
      </c>
      <c r="U2680" s="40" t="str">
        <f t="shared" si="195"/>
        <v>-</v>
      </c>
      <c r="V2680" s="40" t="str" cm="1">
        <f t="array" ref="V2680">_xlfn.IFS(
ISNUMBER(SEARCH("USA",S2680)),"United States",
ISNUMBER(SEARCH("Republic of Ireland",S2680)),"Ireland",
ISNUMBER(SEARCH("Republic of Korea",S2680)),"South Korea",
ISNUMBER(SEARCH("Cape Verde",S2680)),"Cabo Verde",
ISNUMBER(SEARCH("Czechia",S2680)),"Czech Republic",
ISNUMBER(SEARCH("Türkiye",S2680)),"Turkey",
ISNUMBER(SEARCH("Ivory Coast",S2680)),"Côte d'Ivoire",
ISNUMBER(SEARCH("Korea Republic",S2680)),"South Korea",
ISNUMBER(SEARCH("Germany FR",S2680)),"FR Germany",
ISNUMBER(SEARCH("West Germany",S2680)),"FR Germany",
ISNUMBER(SEARCH("Germany DR",S2680)),"DR Germany",
ISNUMBER(SEARCH("Korea DPR",S2680)),"North Korea",
ISNUMBER(SEARCH("China PR",S2680)),"China",
ISNUMBER(SEARCH("IR Iran",S2680)),"Iran",
ISNUMBER(SEARCH("Congo DR",S2680)),"Democratic Republic of the Congo",
ISNUMBER(SEARCH("DR Congo",S2680)),"Democratic Republic of the Congo",
ISNUMBER(SEARCH("German DR",S2680)),"DR Germany",
ISNUMBER(SEARCH("rn""&gt;United Arab Emirates",S2680)),"United Arab Emirates",
ISNUMBER(SEARCH("rn""&gt;Republic of Ireland",S2680)),"Ireland",
ISNUMBER(SEARCH("rn""&gt;Bosnia and Herzegovina",S2680)),"Bosnia and Herzegovina",
ISNUMBER(SEARCH("rn""&gt;Trinidad and Tobago",S2680)),"Trinidad and Tobago",
ISNUMBER(SEARCH("rn""&gt;Serbia and Montenegro",S2680)),"Serbia and Montenegro",
ISNUMBER(SEARCH(_xlfn.UNICHAR(65533),S2680)),"Côte d'Ivoire",
TRUE,""
)</f>
        <v/>
      </c>
      <c r="W2680" s="40" t="str">
        <f t="shared" si="196"/>
        <v>Italy</v>
      </c>
    </row>
    <row r="2681" spans="2:23">
      <c r="B2681" s="76" t="str">
        <v>2026.0</v>
      </c>
      <c r="C2681" s="42">
        <v>0</v>
      </c>
      <c r="D2681" s="42" t="str">
        <v>Group Stage</v>
      </c>
      <c r="E2681" s="42" t="str">
        <v>Atlanta Stadium</v>
      </c>
      <c r="F2681" s="42" t="str">
        <v>Atlanta</v>
      </c>
      <c r="G2681" s="42" t="str">
        <v>Spain</v>
      </c>
      <c r="H2681" s="42" t="str">
        <v>0.0</v>
      </c>
      <c r="I2681" s="42" t="str">
        <v>0.0</v>
      </c>
      <c r="J2681" s="42" t="str">
        <v>Cabo Verde</v>
      </c>
      <c r="K2681" s="42" t="str">
        <v xml:space="preserve"> </v>
      </c>
      <c r="L2681" s="42" t="str">
        <f t="shared" si="197"/>
        <v xml:space="preserve">2026.0|0|Group Stage|Atlanta Stadium|Atlanta|Spain|0.0|0.0|Cabo Verde| </v>
      </c>
      <c r="M2681" s="42" t="str">
        <f>IF(COUNTIF($L$1689:L2681,L2681)&gt;1,"DOUBLON","OK")</f>
        <v>OK</v>
      </c>
      <c r="S2681" s="40" t="str">
        <v>Brazil</v>
      </c>
      <c r="T2681" s="40" t="str">
        <f t="shared" si="194"/>
        <v>OK</v>
      </c>
      <c r="U2681" s="40" t="str">
        <f t="shared" si="195"/>
        <v>-</v>
      </c>
      <c r="V2681" s="40" t="str" cm="1">
        <f t="array" ref="V2681">_xlfn.IFS(
ISNUMBER(SEARCH("USA",S2681)),"United States",
ISNUMBER(SEARCH("Republic of Ireland",S2681)),"Ireland",
ISNUMBER(SEARCH("Republic of Korea",S2681)),"South Korea",
ISNUMBER(SEARCH("Cape Verde",S2681)),"Cabo Verde",
ISNUMBER(SEARCH("Czechia",S2681)),"Czech Republic",
ISNUMBER(SEARCH("Türkiye",S2681)),"Turkey",
ISNUMBER(SEARCH("Ivory Coast",S2681)),"Côte d'Ivoire",
ISNUMBER(SEARCH("Korea Republic",S2681)),"South Korea",
ISNUMBER(SEARCH("Germany FR",S2681)),"FR Germany",
ISNUMBER(SEARCH("West Germany",S2681)),"FR Germany",
ISNUMBER(SEARCH("Germany DR",S2681)),"DR Germany",
ISNUMBER(SEARCH("Korea DPR",S2681)),"North Korea",
ISNUMBER(SEARCH("China PR",S2681)),"China",
ISNUMBER(SEARCH("IR Iran",S2681)),"Iran",
ISNUMBER(SEARCH("Congo DR",S2681)),"Democratic Republic of the Congo",
ISNUMBER(SEARCH("DR Congo",S2681)),"Democratic Republic of the Congo",
ISNUMBER(SEARCH("German DR",S2681)),"DR Germany",
ISNUMBER(SEARCH("rn""&gt;United Arab Emirates",S2681)),"United Arab Emirates",
ISNUMBER(SEARCH("rn""&gt;Republic of Ireland",S2681)),"Ireland",
ISNUMBER(SEARCH("rn""&gt;Bosnia and Herzegovina",S2681)),"Bosnia and Herzegovina",
ISNUMBER(SEARCH("rn""&gt;Trinidad and Tobago",S2681)),"Trinidad and Tobago",
ISNUMBER(SEARCH("rn""&gt;Serbia and Montenegro",S2681)),"Serbia and Montenegro",
ISNUMBER(SEARCH(_xlfn.UNICHAR(65533),S2681)),"Côte d'Ivoire",
TRUE,""
)</f>
        <v/>
      </c>
      <c r="W2681" s="40" t="str">
        <f t="shared" si="196"/>
        <v>Brazil</v>
      </c>
    </row>
    <row r="2682" spans="2:23">
      <c r="B2682" s="76" t="str">
        <v>2026.0</v>
      </c>
      <c r="C2682" s="42">
        <v>0</v>
      </c>
      <c r="D2682" s="42" t="str">
        <v>Group Stage</v>
      </c>
      <c r="E2682" s="42" t="str">
        <v>Seattle Stadium</v>
      </c>
      <c r="F2682" s="42" t="str">
        <v>Seattle</v>
      </c>
      <c r="G2682" s="42" t="str">
        <v>Belgium</v>
      </c>
      <c r="H2682" s="42" t="str">
        <v>1.0</v>
      </c>
      <c r="I2682" s="42" t="str">
        <v>1.0</v>
      </c>
      <c r="J2682" s="42" t="str">
        <v>Egypt</v>
      </c>
      <c r="K2682" s="42" t="str">
        <v xml:space="preserve"> </v>
      </c>
      <c r="L2682" s="42" t="str">
        <f t="shared" si="197"/>
        <v xml:space="preserve">2026.0|0|Group Stage|Seattle Stadium|Seattle|Belgium|1.0|1.0|Egypt| </v>
      </c>
      <c r="M2682" s="42" t="str">
        <f>IF(COUNTIF($L$1689:L2682,L2682)&gt;1,"DOUBLON","OK")</f>
        <v>OK</v>
      </c>
      <c r="S2682" s="40" t="str">
        <v>Peru</v>
      </c>
      <c r="T2682" s="40" t="str">
        <f t="shared" si="194"/>
        <v>OK</v>
      </c>
      <c r="U2682" s="40" t="str">
        <f t="shared" si="195"/>
        <v>-</v>
      </c>
      <c r="V2682" s="40" t="str" cm="1">
        <f t="array" ref="V2682">_xlfn.IFS(
ISNUMBER(SEARCH("USA",S2682)),"United States",
ISNUMBER(SEARCH("Republic of Ireland",S2682)),"Ireland",
ISNUMBER(SEARCH("Republic of Korea",S2682)),"South Korea",
ISNUMBER(SEARCH("Cape Verde",S2682)),"Cabo Verde",
ISNUMBER(SEARCH("Czechia",S2682)),"Czech Republic",
ISNUMBER(SEARCH("Türkiye",S2682)),"Turkey",
ISNUMBER(SEARCH("Ivory Coast",S2682)),"Côte d'Ivoire",
ISNUMBER(SEARCH("Korea Republic",S2682)),"South Korea",
ISNUMBER(SEARCH("Germany FR",S2682)),"FR Germany",
ISNUMBER(SEARCH("West Germany",S2682)),"FR Germany",
ISNUMBER(SEARCH("Germany DR",S2682)),"DR Germany",
ISNUMBER(SEARCH("Korea DPR",S2682)),"North Korea",
ISNUMBER(SEARCH("China PR",S2682)),"China",
ISNUMBER(SEARCH("IR Iran",S2682)),"Iran",
ISNUMBER(SEARCH("Congo DR",S2682)),"Democratic Republic of the Congo",
ISNUMBER(SEARCH("DR Congo",S2682)),"Democratic Republic of the Congo",
ISNUMBER(SEARCH("German DR",S2682)),"DR Germany",
ISNUMBER(SEARCH("rn""&gt;United Arab Emirates",S2682)),"United Arab Emirates",
ISNUMBER(SEARCH("rn""&gt;Republic of Ireland",S2682)),"Ireland",
ISNUMBER(SEARCH("rn""&gt;Bosnia and Herzegovina",S2682)),"Bosnia and Herzegovina",
ISNUMBER(SEARCH("rn""&gt;Trinidad and Tobago",S2682)),"Trinidad and Tobago",
ISNUMBER(SEARCH("rn""&gt;Serbia and Montenegro",S2682)),"Serbia and Montenegro",
ISNUMBER(SEARCH(_xlfn.UNICHAR(65533),S2682)),"Côte d'Ivoire",
TRUE,""
)</f>
        <v/>
      </c>
      <c r="W2682" s="40" t="str">
        <f t="shared" si="196"/>
        <v>Peru</v>
      </c>
    </row>
    <row r="2683" spans="2:23">
      <c r="B2683" s="76" t="str">
        <v>2026.0</v>
      </c>
      <c r="C2683" s="42">
        <v>0</v>
      </c>
      <c r="D2683" s="42" t="str">
        <v>Group Stage</v>
      </c>
      <c r="E2683" s="42" t="str">
        <v>Miami Stadium</v>
      </c>
      <c r="F2683" s="42" t="str">
        <v>Miami</v>
      </c>
      <c r="G2683" s="42" t="str">
        <v>Saudi Arabia</v>
      </c>
      <c r="H2683" s="42" t="str">
        <v>1.0</v>
      </c>
      <c r="I2683" s="42" t="str">
        <v>1.0</v>
      </c>
      <c r="J2683" s="42" t="str">
        <v>Uruguay</v>
      </c>
      <c r="K2683" s="42" t="str">
        <v xml:space="preserve"> </v>
      </c>
      <c r="L2683" s="42" t="str">
        <f t="shared" si="197"/>
        <v xml:space="preserve">2026.0|0|Group Stage|Miami Stadium|Miami|Saudi Arabia|1.0|1.0|Uruguay| </v>
      </c>
      <c r="M2683" s="42" t="str">
        <f>IF(COUNTIF($L$1689:L2683,L2683)&gt;1,"DOUBLON","OK")</f>
        <v>OK</v>
      </c>
      <c r="S2683" s="40" t="str">
        <v>Hungary</v>
      </c>
      <c r="T2683" s="40" t="str">
        <f t="shared" si="194"/>
        <v>OK</v>
      </c>
      <c r="U2683" s="40" t="str">
        <f t="shared" si="195"/>
        <v>-</v>
      </c>
      <c r="V2683" s="40" t="str" cm="1">
        <f t="array" ref="V2683">_xlfn.IFS(
ISNUMBER(SEARCH("USA",S2683)),"United States",
ISNUMBER(SEARCH("Republic of Ireland",S2683)),"Ireland",
ISNUMBER(SEARCH("Republic of Korea",S2683)),"South Korea",
ISNUMBER(SEARCH("Cape Verde",S2683)),"Cabo Verde",
ISNUMBER(SEARCH("Czechia",S2683)),"Czech Republic",
ISNUMBER(SEARCH("Türkiye",S2683)),"Turkey",
ISNUMBER(SEARCH("Ivory Coast",S2683)),"Côte d'Ivoire",
ISNUMBER(SEARCH("Korea Republic",S2683)),"South Korea",
ISNUMBER(SEARCH("Germany FR",S2683)),"FR Germany",
ISNUMBER(SEARCH("West Germany",S2683)),"FR Germany",
ISNUMBER(SEARCH("Germany DR",S2683)),"DR Germany",
ISNUMBER(SEARCH("Korea DPR",S2683)),"North Korea",
ISNUMBER(SEARCH("China PR",S2683)),"China",
ISNUMBER(SEARCH("IR Iran",S2683)),"Iran",
ISNUMBER(SEARCH("Congo DR",S2683)),"Democratic Republic of the Congo",
ISNUMBER(SEARCH("DR Congo",S2683)),"Democratic Republic of the Congo",
ISNUMBER(SEARCH("German DR",S2683)),"DR Germany",
ISNUMBER(SEARCH("rn""&gt;United Arab Emirates",S2683)),"United Arab Emirates",
ISNUMBER(SEARCH("rn""&gt;Republic of Ireland",S2683)),"Ireland",
ISNUMBER(SEARCH("rn""&gt;Bosnia and Herzegovina",S2683)),"Bosnia and Herzegovina",
ISNUMBER(SEARCH("rn""&gt;Trinidad and Tobago",S2683)),"Trinidad and Tobago",
ISNUMBER(SEARCH("rn""&gt;Serbia and Montenegro",S2683)),"Serbia and Montenegro",
ISNUMBER(SEARCH(_xlfn.UNICHAR(65533),S2683)),"Côte d'Ivoire",
TRUE,""
)</f>
        <v/>
      </c>
      <c r="W2683" s="40" t="str">
        <f t="shared" si="196"/>
        <v>Hungary</v>
      </c>
    </row>
    <row r="2684" spans="2:23">
      <c r="B2684" s="76" t="str">
        <v>2026.0</v>
      </c>
      <c r="C2684" s="42">
        <v>0</v>
      </c>
      <c r="D2684" s="42" t="str">
        <v>Group Stage</v>
      </c>
      <c r="E2684" s="42" t="str">
        <v>Los Angeles Stadium</v>
      </c>
      <c r="F2684" s="42" t="str">
        <v>Los Angeles</v>
      </c>
      <c r="G2684" s="42" t="str">
        <v>Iran</v>
      </c>
      <c r="H2684" s="42" t="str">
        <v>2.0</v>
      </c>
      <c r="I2684" s="42" t="str">
        <v>2.0</v>
      </c>
      <c r="J2684" s="42" t="str">
        <v>New Zealand</v>
      </c>
      <c r="K2684" s="42" t="str">
        <v xml:space="preserve"> </v>
      </c>
      <c r="L2684" s="42" t="str">
        <f t="shared" si="197"/>
        <v xml:space="preserve">2026.0|0|Group Stage|Los Angeles Stadium|Los Angeles|Iran|2.0|2.0|New Zealand| </v>
      </c>
      <c r="M2684" s="42" t="str">
        <f>IF(COUNTIF($L$1689:L2684,L2684)&gt;1,"DOUBLON","OK")</f>
        <v>OK</v>
      </c>
      <c r="S2684" s="40" t="str">
        <v>Scotland</v>
      </c>
      <c r="T2684" s="40" t="str">
        <f t="shared" si="194"/>
        <v>ERREUR</v>
      </c>
      <c r="U2684" s="40" t="str">
        <f t="shared" si="195"/>
        <v>AUCUNE</v>
      </c>
      <c r="V2684" s="40" t="str" cm="1">
        <f t="array" ref="V2684">_xlfn.IFS(
ISNUMBER(SEARCH("USA",S2684)),"United States",
ISNUMBER(SEARCH("Republic of Ireland",S2684)),"Ireland",
ISNUMBER(SEARCH("Republic of Korea",S2684)),"South Korea",
ISNUMBER(SEARCH("Cape Verde",S2684)),"Cabo Verde",
ISNUMBER(SEARCH("Czechia",S2684)),"Czech Republic",
ISNUMBER(SEARCH("Türkiye",S2684)),"Turkey",
ISNUMBER(SEARCH("Ivory Coast",S2684)),"Côte d'Ivoire",
ISNUMBER(SEARCH("Korea Republic",S2684)),"South Korea",
ISNUMBER(SEARCH("Germany FR",S2684)),"FR Germany",
ISNUMBER(SEARCH("West Germany",S2684)),"FR Germany",
ISNUMBER(SEARCH("Germany DR",S2684)),"DR Germany",
ISNUMBER(SEARCH("Korea DPR",S2684)),"North Korea",
ISNUMBER(SEARCH("China PR",S2684)),"China",
ISNUMBER(SEARCH("IR Iran",S2684)),"Iran",
ISNUMBER(SEARCH("Congo DR",S2684)),"Democratic Republic of the Congo",
ISNUMBER(SEARCH("DR Congo",S2684)),"Democratic Republic of the Congo",
ISNUMBER(SEARCH("German DR",S2684)),"DR Germany",
ISNUMBER(SEARCH("rn""&gt;United Arab Emirates",S2684)),"United Arab Emirates",
ISNUMBER(SEARCH("rn""&gt;Republic of Ireland",S2684)),"Ireland",
ISNUMBER(SEARCH("rn""&gt;Bosnia and Herzegovina",S2684)),"Bosnia and Herzegovina",
ISNUMBER(SEARCH("rn""&gt;Trinidad and Tobago",S2684)),"Trinidad and Tobago",
ISNUMBER(SEARCH("rn""&gt;Serbia and Montenegro",S2684)),"Serbia and Montenegro",
ISNUMBER(SEARCH(_xlfn.UNICHAR(65533),S2684)),"Côte d'Ivoire",
TRUE,""
)</f>
        <v/>
      </c>
      <c r="W2684" s="40" t="str">
        <f t="shared" si="196"/>
        <v>Scotland</v>
      </c>
    </row>
    <row r="2685" spans="2:23">
      <c r="B2685" s="76" t="str">
        <v>2026.0</v>
      </c>
      <c r="C2685" s="42">
        <v>0</v>
      </c>
      <c r="D2685" s="42" t="str">
        <v>Group Stage</v>
      </c>
      <c r="E2685" s="42" t="str">
        <v>New York New Jersey Stadium</v>
      </c>
      <c r="F2685" s="42" t="str">
        <v>New Jersey</v>
      </c>
      <c r="G2685" s="42" t="str">
        <v>France</v>
      </c>
      <c r="H2685" s="42" t="str">
        <v>3.0</v>
      </c>
      <c r="I2685" s="42" t="str">
        <v>1.0</v>
      </c>
      <c r="J2685" s="42" t="str">
        <v>Senegal</v>
      </c>
      <c r="K2685" s="42" t="str">
        <v xml:space="preserve"> </v>
      </c>
      <c r="L2685" s="42" t="str">
        <f t="shared" si="197"/>
        <v xml:space="preserve">2026.0|0|Group Stage|New York New Jersey Stadium|New Jersey|France|3.0|1.0|Senegal| </v>
      </c>
      <c r="M2685" s="42" t="str">
        <f>IF(COUNTIF($L$1689:L2685,L2685)&gt;1,"DOUBLON","OK")</f>
        <v>OK</v>
      </c>
      <c r="S2685" s="40" t="str">
        <v>Germany FR</v>
      </c>
      <c r="T2685" s="40" t="str">
        <f t="shared" si="194"/>
        <v>ERREUR</v>
      </c>
      <c r="U2685" s="40" t="str">
        <f t="shared" si="195"/>
        <v>RENOMMER</v>
      </c>
      <c r="V2685" s="40" t="str" cm="1">
        <f t="array" ref="V2685">_xlfn.IFS(
ISNUMBER(SEARCH("USA",S2685)),"United States",
ISNUMBER(SEARCH("Republic of Ireland",S2685)),"Ireland",
ISNUMBER(SEARCH("Republic of Korea",S2685)),"South Korea",
ISNUMBER(SEARCH("Cape Verde",S2685)),"Cabo Verde",
ISNUMBER(SEARCH("Czechia",S2685)),"Czech Republic",
ISNUMBER(SEARCH("Türkiye",S2685)),"Turkey",
ISNUMBER(SEARCH("Ivory Coast",S2685)),"Côte d'Ivoire",
ISNUMBER(SEARCH("Korea Republic",S2685)),"South Korea",
ISNUMBER(SEARCH("Germany FR",S2685)),"FR Germany",
ISNUMBER(SEARCH("West Germany",S2685)),"FR Germany",
ISNUMBER(SEARCH("Germany DR",S2685)),"DR Germany",
ISNUMBER(SEARCH("Korea DPR",S2685)),"North Korea",
ISNUMBER(SEARCH("China PR",S2685)),"China",
ISNUMBER(SEARCH("IR Iran",S2685)),"Iran",
ISNUMBER(SEARCH("Congo DR",S2685)),"Democratic Republic of the Congo",
ISNUMBER(SEARCH("DR Congo",S2685)),"Democratic Republic of the Congo",
ISNUMBER(SEARCH("German DR",S2685)),"DR Germany",
ISNUMBER(SEARCH("rn""&gt;United Arab Emirates",S2685)),"United Arab Emirates",
ISNUMBER(SEARCH("rn""&gt;Republic of Ireland",S2685)),"Ireland",
ISNUMBER(SEARCH("rn""&gt;Bosnia and Herzegovina",S2685)),"Bosnia and Herzegovina",
ISNUMBER(SEARCH("rn""&gt;Trinidad and Tobago",S2685)),"Trinidad and Tobago",
ISNUMBER(SEARCH("rn""&gt;Serbia and Montenegro",S2685)),"Serbia and Montenegro",
ISNUMBER(SEARCH(_xlfn.UNICHAR(65533),S2685)),"Côte d'Ivoire",
TRUE,""
)</f>
        <v>FR Germany</v>
      </c>
      <c r="W2685" s="40" t="str">
        <f t="shared" si="196"/>
        <v>FR Germany</v>
      </c>
    </row>
    <row r="2686" spans="2:23">
      <c r="B2686" s="76" t="str">
        <v>2026.0</v>
      </c>
      <c r="C2686" s="42">
        <v>0</v>
      </c>
      <c r="D2686" s="42" t="str">
        <v>Group Stage</v>
      </c>
      <c r="E2686" s="42" t="str">
        <v>Boston Stadium</v>
      </c>
      <c r="F2686" s="42" t="str">
        <v>Boston</v>
      </c>
      <c r="G2686" s="42" t="str">
        <v>Iraq</v>
      </c>
      <c r="H2686" s="42" t="str">
        <v>1.0</v>
      </c>
      <c r="I2686" s="42" t="str">
        <v>4.0</v>
      </c>
      <c r="J2686" s="42" t="str">
        <v>Norway</v>
      </c>
      <c r="K2686" s="42" t="str">
        <v xml:space="preserve"> </v>
      </c>
      <c r="L2686" s="42" t="str">
        <f t="shared" si="197"/>
        <v xml:space="preserve">2026.0|0|Group Stage|Boston Stadium|Boston|Iraq|1.0|4.0|Norway| </v>
      </c>
      <c r="M2686" s="42" t="str">
        <f>IF(COUNTIF($L$1689:L2686,L2686)&gt;1,"DOUBLON","OK")</f>
        <v>OK</v>
      </c>
      <c r="S2686" s="40" t="str">
        <v>England</v>
      </c>
      <c r="T2686" s="40" t="str">
        <f t="shared" si="194"/>
        <v>ERREUR</v>
      </c>
      <c r="U2686" s="40" t="str">
        <f t="shared" si="195"/>
        <v>AUCUNE</v>
      </c>
      <c r="V2686" s="40" t="str" cm="1">
        <f t="array" ref="V2686">_xlfn.IFS(
ISNUMBER(SEARCH("USA",S2686)),"United States",
ISNUMBER(SEARCH("Republic of Ireland",S2686)),"Ireland",
ISNUMBER(SEARCH("Republic of Korea",S2686)),"South Korea",
ISNUMBER(SEARCH("Cape Verde",S2686)),"Cabo Verde",
ISNUMBER(SEARCH("Czechia",S2686)),"Czech Republic",
ISNUMBER(SEARCH("Türkiye",S2686)),"Turkey",
ISNUMBER(SEARCH("Ivory Coast",S2686)),"Côte d'Ivoire",
ISNUMBER(SEARCH("Korea Republic",S2686)),"South Korea",
ISNUMBER(SEARCH("Germany FR",S2686)),"FR Germany",
ISNUMBER(SEARCH("West Germany",S2686)),"FR Germany",
ISNUMBER(SEARCH("Germany DR",S2686)),"DR Germany",
ISNUMBER(SEARCH("Korea DPR",S2686)),"North Korea",
ISNUMBER(SEARCH("China PR",S2686)),"China",
ISNUMBER(SEARCH("IR Iran",S2686)),"Iran",
ISNUMBER(SEARCH("Congo DR",S2686)),"Democratic Republic of the Congo",
ISNUMBER(SEARCH("DR Congo",S2686)),"Democratic Republic of the Congo",
ISNUMBER(SEARCH("German DR",S2686)),"DR Germany",
ISNUMBER(SEARCH("rn""&gt;United Arab Emirates",S2686)),"United Arab Emirates",
ISNUMBER(SEARCH("rn""&gt;Republic of Ireland",S2686)),"Ireland",
ISNUMBER(SEARCH("rn""&gt;Bosnia and Herzegovina",S2686)),"Bosnia and Herzegovina",
ISNUMBER(SEARCH("rn""&gt;Trinidad and Tobago",S2686)),"Trinidad and Tobago",
ISNUMBER(SEARCH("rn""&gt;Serbia and Montenegro",S2686)),"Serbia and Montenegro",
ISNUMBER(SEARCH(_xlfn.UNICHAR(65533),S2686)),"Côte d'Ivoire",
TRUE,""
)</f>
        <v/>
      </c>
      <c r="W2686" s="40" t="str">
        <f t="shared" si="196"/>
        <v>England</v>
      </c>
    </row>
    <row r="2687" spans="2:23">
      <c r="B2687" s="76" t="str">
        <v>2026.0</v>
      </c>
      <c r="C2687" s="42">
        <v>0</v>
      </c>
      <c r="D2687" s="42" t="str">
        <v>Group Stage</v>
      </c>
      <c r="E2687" s="42" t="str">
        <v>Kansas City Stadium</v>
      </c>
      <c r="F2687" s="42" t="str">
        <v>Kansas City</v>
      </c>
      <c r="G2687" s="42" t="str">
        <v>Argentina</v>
      </c>
      <c r="H2687" s="42" t="str">
        <v>3.0</v>
      </c>
      <c r="I2687" s="42" t="str">
        <v>0.0</v>
      </c>
      <c r="J2687" s="42" t="str">
        <v>Algeria</v>
      </c>
      <c r="K2687" s="42" t="str">
        <v xml:space="preserve"> </v>
      </c>
      <c r="L2687" s="42" t="str">
        <f t="shared" si="197"/>
        <v xml:space="preserve">2026.0|0|Group Stage|Kansas City Stadium|Kansas City|Argentina|3.0|0.0|Algeria| </v>
      </c>
      <c r="M2687" s="42" t="str">
        <f>IF(COUNTIF($L$1689:L2687,L2687)&gt;1,"DOUBLON","OK")</f>
        <v>OK</v>
      </c>
      <c r="S2687" s="40" t="str">
        <v>Spain</v>
      </c>
      <c r="T2687" s="40" t="str">
        <f t="shared" si="194"/>
        <v>OK</v>
      </c>
      <c r="U2687" s="40" t="str">
        <f t="shared" si="195"/>
        <v>-</v>
      </c>
      <c r="V2687" s="40" t="str" cm="1">
        <f t="array" ref="V2687">_xlfn.IFS(
ISNUMBER(SEARCH("USA",S2687)),"United States",
ISNUMBER(SEARCH("Republic of Ireland",S2687)),"Ireland",
ISNUMBER(SEARCH("Republic of Korea",S2687)),"South Korea",
ISNUMBER(SEARCH("Cape Verde",S2687)),"Cabo Verde",
ISNUMBER(SEARCH("Czechia",S2687)),"Czech Republic",
ISNUMBER(SEARCH("Türkiye",S2687)),"Turkey",
ISNUMBER(SEARCH("Ivory Coast",S2687)),"Côte d'Ivoire",
ISNUMBER(SEARCH("Korea Republic",S2687)),"South Korea",
ISNUMBER(SEARCH("Germany FR",S2687)),"FR Germany",
ISNUMBER(SEARCH("West Germany",S2687)),"FR Germany",
ISNUMBER(SEARCH("Germany DR",S2687)),"DR Germany",
ISNUMBER(SEARCH("Korea DPR",S2687)),"North Korea",
ISNUMBER(SEARCH("China PR",S2687)),"China",
ISNUMBER(SEARCH("IR Iran",S2687)),"Iran",
ISNUMBER(SEARCH("Congo DR",S2687)),"Democratic Republic of the Congo",
ISNUMBER(SEARCH("DR Congo",S2687)),"Democratic Republic of the Congo",
ISNUMBER(SEARCH("German DR",S2687)),"DR Germany",
ISNUMBER(SEARCH("rn""&gt;United Arab Emirates",S2687)),"United Arab Emirates",
ISNUMBER(SEARCH("rn""&gt;Republic of Ireland",S2687)),"Ireland",
ISNUMBER(SEARCH("rn""&gt;Bosnia and Herzegovina",S2687)),"Bosnia and Herzegovina",
ISNUMBER(SEARCH("rn""&gt;Trinidad and Tobago",S2687)),"Trinidad and Tobago",
ISNUMBER(SEARCH("rn""&gt;Serbia and Montenegro",S2687)),"Serbia and Montenegro",
ISNUMBER(SEARCH(_xlfn.UNICHAR(65533),S2687)),"Côte d'Ivoire",
TRUE,""
)</f>
        <v/>
      </c>
      <c r="W2687" s="40" t="str">
        <f t="shared" si="196"/>
        <v>Spain</v>
      </c>
    </row>
    <row r="2688" spans="2:23">
      <c r="B2688" s="76" t="str">
        <v>2026.0</v>
      </c>
      <c r="C2688" s="42">
        <v>0</v>
      </c>
      <c r="D2688" s="42" t="str">
        <v>Group Stage</v>
      </c>
      <c r="E2688" s="42" t="str">
        <v>San Francisco Bay Area Stadium</v>
      </c>
      <c r="F2688" s="42" t="str">
        <v>San Francisco</v>
      </c>
      <c r="G2688" s="42" t="str">
        <v>Austria</v>
      </c>
      <c r="H2688" s="42" t="str">
        <v>3.0</v>
      </c>
      <c r="I2688" s="42" t="str">
        <v>1.0</v>
      </c>
      <c r="J2688" s="42" t="str">
        <v>Jordan</v>
      </c>
      <c r="K2688" s="42" t="str">
        <v xml:space="preserve"> </v>
      </c>
      <c r="L2688" s="42" t="str">
        <f t="shared" si="197"/>
        <v xml:space="preserve">2026.0|0|Group Stage|San Francisco Bay Area Stadium|San Francisco|Austria|3.0|1.0|Jordan| </v>
      </c>
      <c r="M2688" s="42" t="str">
        <f>IF(COUNTIF($L$1689:L2688,L2688)&gt;1,"DOUBLON","OK")</f>
        <v>OK</v>
      </c>
      <c r="S2688" s="40" t="str">
        <v>Chile</v>
      </c>
      <c r="T2688" s="40" t="str">
        <f t="shared" si="194"/>
        <v>OK</v>
      </c>
      <c r="U2688" s="40" t="str">
        <f t="shared" si="195"/>
        <v>-</v>
      </c>
      <c r="V2688" s="40" t="str" cm="1">
        <f t="array" ref="V2688">_xlfn.IFS(
ISNUMBER(SEARCH("USA",S2688)),"United States",
ISNUMBER(SEARCH("Republic of Ireland",S2688)),"Ireland",
ISNUMBER(SEARCH("Republic of Korea",S2688)),"South Korea",
ISNUMBER(SEARCH("Cape Verde",S2688)),"Cabo Verde",
ISNUMBER(SEARCH("Czechia",S2688)),"Czech Republic",
ISNUMBER(SEARCH("Türkiye",S2688)),"Turkey",
ISNUMBER(SEARCH("Ivory Coast",S2688)),"Côte d'Ivoire",
ISNUMBER(SEARCH("Korea Republic",S2688)),"South Korea",
ISNUMBER(SEARCH("Germany FR",S2688)),"FR Germany",
ISNUMBER(SEARCH("West Germany",S2688)),"FR Germany",
ISNUMBER(SEARCH("Germany DR",S2688)),"DR Germany",
ISNUMBER(SEARCH("Korea DPR",S2688)),"North Korea",
ISNUMBER(SEARCH("China PR",S2688)),"China",
ISNUMBER(SEARCH("IR Iran",S2688)),"Iran",
ISNUMBER(SEARCH("Congo DR",S2688)),"Democratic Republic of the Congo",
ISNUMBER(SEARCH("DR Congo",S2688)),"Democratic Republic of the Congo",
ISNUMBER(SEARCH("German DR",S2688)),"DR Germany",
ISNUMBER(SEARCH("rn""&gt;United Arab Emirates",S2688)),"United Arab Emirates",
ISNUMBER(SEARCH("rn""&gt;Republic of Ireland",S2688)),"Ireland",
ISNUMBER(SEARCH("rn""&gt;Bosnia and Herzegovina",S2688)),"Bosnia and Herzegovina",
ISNUMBER(SEARCH("rn""&gt;Trinidad and Tobago",S2688)),"Trinidad and Tobago",
ISNUMBER(SEARCH("rn""&gt;Serbia and Montenegro",S2688)),"Serbia and Montenegro",
ISNUMBER(SEARCH(_xlfn.UNICHAR(65533),S2688)),"Côte d'Ivoire",
TRUE,""
)</f>
        <v/>
      </c>
      <c r="W2688" s="40" t="str">
        <f t="shared" si="196"/>
        <v>Chile</v>
      </c>
    </row>
    <row r="2689" spans="2:23">
      <c r="B2689" s="76" t="str">
        <v>2026.0</v>
      </c>
      <c r="C2689" s="42">
        <v>0</v>
      </c>
      <c r="D2689" s="42" t="str">
        <v>Group Stage</v>
      </c>
      <c r="E2689" s="42" t="str">
        <v>Houston Stadium</v>
      </c>
      <c r="F2689" s="42" t="str">
        <v>Houston</v>
      </c>
      <c r="G2689" s="42" t="str">
        <v>Portugal</v>
      </c>
      <c r="H2689" s="42" t="str">
        <v>1.0</v>
      </c>
      <c r="I2689" s="42" t="str">
        <v>1.0</v>
      </c>
      <c r="J2689" s="42" t="str">
        <v>Congo DR</v>
      </c>
      <c r="K2689" s="42" t="str">
        <v xml:space="preserve"> </v>
      </c>
      <c r="L2689" s="42" t="str">
        <f t="shared" si="197"/>
        <v xml:space="preserve">2026.0|0|Group Stage|Houston Stadium|Houston|Portugal|1.0|1.0|Congo DR| </v>
      </c>
      <c r="M2689" s="42" t="str">
        <f>IF(COUNTIF($L$1689:L2689,L2689)&gt;1,"DOUBLON","OK")</f>
        <v>OK</v>
      </c>
      <c r="S2689" s="40" t="str">
        <v>Czechoslovakia</v>
      </c>
      <c r="T2689" s="40" t="str">
        <f t="shared" si="194"/>
        <v>ERREUR</v>
      </c>
      <c r="U2689" s="40" t="str">
        <f t="shared" si="195"/>
        <v>AUCUNE</v>
      </c>
      <c r="V2689" s="40" t="str" cm="1">
        <f t="array" ref="V2689">_xlfn.IFS(
ISNUMBER(SEARCH("USA",S2689)),"United States",
ISNUMBER(SEARCH("Republic of Ireland",S2689)),"Ireland",
ISNUMBER(SEARCH("Republic of Korea",S2689)),"South Korea",
ISNUMBER(SEARCH("Cape Verde",S2689)),"Cabo Verde",
ISNUMBER(SEARCH("Czechia",S2689)),"Czech Republic",
ISNUMBER(SEARCH("Türkiye",S2689)),"Turkey",
ISNUMBER(SEARCH("Ivory Coast",S2689)),"Côte d'Ivoire",
ISNUMBER(SEARCH("Korea Republic",S2689)),"South Korea",
ISNUMBER(SEARCH("Germany FR",S2689)),"FR Germany",
ISNUMBER(SEARCH("West Germany",S2689)),"FR Germany",
ISNUMBER(SEARCH("Germany DR",S2689)),"DR Germany",
ISNUMBER(SEARCH("Korea DPR",S2689)),"North Korea",
ISNUMBER(SEARCH("China PR",S2689)),"China",
ISNUMBER(SEARCH("IR Iran",S2689)),"Iran",
ISNUMBER(SEARCH("Congo DR",S2689)),"Democratic Republic of the Congo",
ISNUMBER(SEARCH("DR Congo",S2689)),"Democratic Republic of the Congo",
ISNUMBER(SEARCH("German DR",S2689)),"DR Germany",
ISNUMBER(SEARCH("rn""&gt;United Arab Emirates",S2689)),"United Arab Emirates",
ISNUMBER(SEARCH("rn""&gt;Republic of Ireland",S2689)),"Ireland",
ISNUMBER(SEARCH("rn""&gt;Bosnia and Herzegovina",S2689)),"Bosnia and Herzegovina",
ISNUMBER(SEARCH("rn""&gt;Trinidad and Tobago",S2689)),"Trinidad and Tobago",
ISNUMBER(SEARCH("rn""&gt;Serbia and Montenegro",S2689)),"Serbia and Montenegro",
ISNUMBER(SEARCH(_xlfn.UNICHAR(65533),S2689)),"Côte d'Ivoire",
TRUE,""
)</f>
        <v/>
      </c>
      <c r="W2689" s="40" t="str">
        <f t="shared" si="196"/>
        <v>Czechoslovakia</v>
      </c>
    </row>
    <row r="2690" spans="2:23">
      <c r="B2690" s="76" t="str">
        <v>2026.0</v>
      </c>
      <c r="C2690" s="42">
        <v>0</v>
      </c>
      <c r="D2690" s="42" t="str">
        <v>Group Stage</v>
      </c>
      <c r="E2690" s="42" t="str">
        <v>Dallas Stadium</v>
      </c>
      <c r="F2690" s="42" t="str">
        <v>Dallas</v>
      </c>
      <c r="G2690" s="42" t="str">
        <v>England</v>
      </c>
      <c r="H2690" s="42" t="str">
        <v>4.0</v>
      </c>
      <c r="I2690" s="42" t="str">
        <v>2.0</v>
      </c>
      <c r="J2690" s="42" t="str">
        <v>Croatia</v>
      </c>
      <c r="K2690" s="42" t="str">
        <v xml:space="preserve"> </v>
      </c>
      <c r="L2690" s="42" t="str">
        <f t="shared" si="197"/>
        <v xml:space="preserve">2026.0|0|Group Stage|Dallas Stadium|Dallas|England|4.0|2.0|Croatia| </v>
      </c>
      <c r="M2690" s="42" t="str">
        <f>IF(COUNTIF($L$1689:L2690,L2690)&gt;1,"DOUBLON","OK")</f>
        <v>OK</v>
      </c>
      <c r="S2690" s="40" t="str">
        <v>Yugoslavia</v>
      </c>
      <c r="T2690" s="40" t="str">
        <f t="shared" si="194"/>
        <v>ERREUR</v>
      </c>
      <c r="U2690" s="40" t="str">
        <f t="shared" si="195"/>
        <v>AUCUNE</v>
      </c>
      <c r="V2690" s="40" t="str" cm="1">
        <f t="array" ref="V2690">_xlfn.IFS(
ISNUMBER(SEARCH("USA",S2690)),"United States",
ISNUMBER(SEARCH("Republic of Ireland",S2690)),"Ireland",
ISNUMBER(SEARCH("Republic of Korea",S2690)),"South Korea",
ISNUMBER(SEARCH("Cape Verde",S2690)),"Cabo Verde",
ISNUMBER(SEARCH("Czechia",S2690)),"Czech Republic",
ISNUMBER(SEARCH("Türkiye",S2690)),"Turkey",
ISNUMBER(SEARCH("Ivory Coast",S2690)),"Côte d'Ivoire",
ISNUMBER(SEARCH("Korea Republic",S2690)),"South Korea",
ISNUMBER(SEARCH("Germany FR",S2690)),"FR Germany",
ISNUMBER(SEARCH("West Germany",S2690)),"FR Germany",
ISNUMBER(SEARCH("Germany DR",S2690)),"DR Germany",
ISNUMBER(SEARCH("Korea DPR",S2690)),"North Korea",
ISNUMBER(SEARCH("China PR",S2690)),"China",
ISNUMBER(SEARCH("IR Iran",S2690)),"Iran",
ISNUMBER(SEARCH("Congo DR",S2690)),"Democratic Republic of the Congo",
ISNUMBER(SEARCH("DR Congo",S2690)),"Democratic Republic of the Congo",
ISNUMBER(SEARCH("German DR",S2690)),"DR Germany",
ISNUMBER(SEARCH("rn""&gt;United Arab Emirates",S2690)),"United Arab Emirates",
ISNUMBER(SEARCH("rn""&gt;Republic of Ireland",S2690)),"Ireland",
ISNUMBER(SEARCH("rn""&gt;Bosnia and Herzegovina",S2690)),"Bosnia and Herzegovina",
ISNUMBER(SEARCH("rn""&gt;Trinidad and Tobago",S2690)),"Trinidad and Tobago",
ISNUMBER(SEARCH("rn""&gt;Serbia and Montenegro",S2690)),"Serbia and Montenegro",
ISNUMBER(SEARCH(_xlfn.UNICHAR(65533),S2690)),"Côte d'Ivoire",
TRUE,""
)</f>
        <v/>
      </c>
      <c r="W2690" s="40" t="str">
        <f t="shared" si="196"/>
        <v>Yugoslavia</v>
      </c>
    </row>
    <row r="2691" spans="2:23">
      <c r="B2691" s="76" t="str">
        <v>2026.0</v>
      </c>
      <c r="C2691" s="42">
        <v>0</v>
      </c>
      <c r="D2691" s="42" t="str">
        <v>Group Stage</v>
      </c>
      <c r="E2691" s="42" t="str">
        <v>Toronto Stadium</v>
      </c>
      <c r="F2691" s="42" t="str">
        <v>Toronto</v>
      </c>
      <c r="G2691" s="42" t="str">
        <v>Ghana</v>
      </c>
      <c r="H2691" s="42" t="str">
        <v>1.0</v>
      </c>
      <c r="I2691" s="42" t="str">
        <v>0.0</v>
      </c>
      <c r="J2691" s="42" t="str">
        <v>Panama</v>
      </c>
      <c r="K2691" s="42" t="str">
        <v xml:space="preserve"> </v>
      </c>
      <c r="L2691" s="42" t="str">
        <f t="shared" si="197"/>
        <v xml:space="preserve">2026.0|0|Group Stage|Toronto Stadium|Toronto|Ghana|1.0|0.0|Panama| </v>
      </c>
      <c r="M2691" s="42" t="str">
        <f>IF(COUNTIF($L$1689:L2691,L2691)&gt;1,"DOUBLON","OK")</f>
        <v>OK</v>
      </c>
      <c r="S2691" s="40" t="str">
        <v>Italy</v>
      </c>
      <c r="T2691" s="40" t="str">
        <f t="shared" ref="T2691:T2754" si="198">IF(COUNTIF(R$13:R$250,S2691)=1,"OK","ERREUR")</f>
        <v>OK</v>
      </c>
      <c r="U2691" s="40" t="str">
        <f t="shared" si="195"/>
        <v>-</v>
      </c>
      <c r="V2691" s="40" t="str" cm="1">
        <f t="array" ref="V2691">_xlfn.IFS(
ISNUMBER(SEARCH("USA",S2691)),"United States",
ISNUMBER(SEARCH("Republic of Ireland",S2691)),"Ireland",
ISNUMBER(SEARCH("Republic of Korea",S2691)),"South Korea",
ISNUMBER(SEARCH("Cape Verde",S2691)),"Cabo Verde",
ISNUMBER(SEARCH("Czechia",S2691)),"Czech Republic",
ISNUMBER(SEARCH("Türkiye",S2691)),"Turkey",
ISNUMBER(SEARCH("Ivory Coast",S2691)),"Côte d'Ivoire",
ISNUMBER(SEARCH("Korea Republic",S2691)),"South Korea",
ISNUMBER(SEARCH("Germany FR",S2691)),"FR Germany",
ISNUMBER(SEARCH("West Germany",S2691)),"FR Germany",
ISNUMBER(SEARCH("Germany DR",S2691)),"DR Germany",
ISNUMBER(SEARCH("Korea DPR",S2691)),"North Korea",
ISNUMBER(SEARCH("China PR",S2691)),"China",
ISNUMBER(SEARCH("IR Iran",S2691)),"Iran",
ISNUMBER(SEARCH("Congo DR",S2691)),"Democratic Republic of the Congo",
ISNUMBER(SEARCH("DR Congo",S2691)),"Democratic Republic of the Congo",
ISNUMBER(SEARCH("German DR",S2691)),"DR Germany",
ISNUMBER(SEARCH("rn""&gt;United Arab Emirates",S2691)),"United Arab Emirates",
ISNUMBER(SEARCH("rn""&gt;Republic of Ireland",S2691)),"Ireland",
ISNUMBER(SEARCH("rn""&gt;Bosnia and Herzegovina",S2691)),"Bosnia and Herzegovina",
ISNUMBER(SEARCH("rn""&gt;Trinidad and Tobago",S2691)),"Trinidad and Tobago",
ISNUMBER(SEARCH("rn""&gt;Serbia and Montenegro",S2691)),"Serbia and Montenegro",
ISNUMBER(SEARCH(_xlfn.UNICHAR(65533),S2691)),"Côte d'Ivoire",
TRUE,""
)</f>
        <v/>
      </c>
      <c r="W2691" s="40" t="str">
        <f t="shared" si="196"/>
        <v>Italy</v>
      </c>
    </row>
    <row r="2692" spans="2:23">
      <c r="B2692" s="76" t="str">
        <v>2026.0</v>
      </c>
      <c r="C2692" s="42">
        <v>0</v>
      </c>
      <c r="D2692" s="42" t="str">
        <v>Group Stage</v>
      </c>
      <c r="E2692" s="42" t="str">
        <v>Mexico City Stadium</v>
      </c>
      <c r="F2692" s="42" t="str">
        <v>Mexico City</v>
      </c>
      <c r="G2692" s="42" t="str">
        <v>Uzbekistan</v>
      </c>
      <c r="H2692" s="42" t="str">
        <v>1.0</v>
      </c>
      <c r="I2692" s="42" t="str">
        <v>3.0</v>
      </c>
      <c r="J2692" s="42" t="str">
        <v>Colombia</v>
      </c>
      <c r="K2692" s="42" t="str">
        <v xml:space="preserve"> </v>
      </c>
      <c r="L2692" s="42" t="str">
        <f t="shared" si="197"/>
        <v xml:space="preserve">2026.0|0|Group Stage|Mexico City Stadium|Mexico City|Uzbekistan|1.0|3.0|Colombia| </v>
      </c>
      <c r="M2692" s="42" t="str">
        <f>IF(COUNTIF($L$1689:L2692,L2692)&gt;1,"DOUBLON","OK")</f>
        <v>OK</v>
      </c>
      <c r="S2692" s="40" t="str">
        <v>Argentina</v>
      </c>
      <c r="T2692" s="40" t="str">
        <f t="shared" si="198"/>
        <v>OK</v>
      </c>
      <c r="U2692" s="40" t="str">
        <f t="shared" ref="U2692:U2755" si="199">IF(OR(S2692="Scotland",S2692="England",S2692="Wales",S2692="Yugoslavia",S2692="Czechoslovakia",S2692="Northern Ireland",S2692="Soviet Union",S2692="Zaire",S2692="Dutch East Indies"),"AUCUNE",IF(OR(S2692="Cape Verde",S2692="USA",S2692="DR Congo",S2692="Republic of Korea",S2692="Germany FR",S2692="Germany DR",S2692="Czechia",S2692="Ivory Coast",S2692="Korea DPR",S2692="China PR",S2692="IR Iran",S2692="Türkiye",S2692="Congo DR",S2692="German DR",S2692="West Germany",S2692="Republic of Ireland",ISNUMBER(SEARCH(_xlfn.UNICHAR(65533),S2692)),S2692="Korea Republic",ISNUMBER(SEARCH("rn""&gt;United Arab Emirates",S2692)),ISNUMBER(SEARCH("rn""&gt;Republic of Ireland",S2692)),ISNUMBER(SEARCH("rn""&gt;Bosnia and Herzegovina",S2692)),ISNUMBER(SEARCH("rn""&gt;Trinidad and Tobago",S2692)),ISNUMBER(SEARCH("rn""&gt;Serbia and Montenegro",S2692)),ISNUMBER(SEARCH(_xlfn.UNICHAR(65533),S2692))),"RENOMMER","-"))</f>
        <v>-</v>
      </c>
      <c r="V2692" s="40" t="str" cm="1">
        <f t="array" ref="V2692">_xlfn.IFS(
ISNUMBER(SEARCH("USA",S2692)),"United States",
ISNUMBER(SEARCH("Republic of Ireland",S2692)),"Ireland",
ISNUMBER(SEARCH("Republic of Korea",S2692)),"South Korea",
ISNUMBER(SEARCH("Cape Verde",S2692)),"Cabo Verde",
ISNUMBER(SEARCH("Czechia",S2692)),"Czech Republic",
ISNUMBER(SEARCH("Türkiye",S2692)),"Turkey",
ISNUMBER(SEARCH("Ivory Coast",S2692)),"Côte d'Ivoire",
ISNUMBER(SEARCH("Korea Republic",S2692)),"South Korea",
ISNUMBER(SEARCH("Germany FR",S2692)),"FR Germany",
ISNUMBER(SEARCH("West Germany",S2692)),"FR Germany",
ISNUMBER(SEARCH("Germany DR",S2692)),"DR Germany",
ISNUMBER(SEARCH("Korea DPR",S2692)),"North Korea",
ISNUMBER(SEARCH("China PR",S2692)),"China",
ISNUMBER(SEARCH("IR Iran",S2692)),"Iran",
ISNUMBER(SEARCH("Congo DR",S2692)),"Democratic Republic of the Congo",
ISNUMBER(SEARCH("DR Congo",S2692)),"Democratic Republic of the Congo",
ISNUMBER(SEARCH("German DR",S2692)),"DR Germany",
ISNUMBER(SEARCH("rn""&gt;United Arab Emirates",S2692)),"United Arab Emirates",
ISNUMBER(SEARCH("rn""&gt;Republic of Ireland",S2692)),"Ireland",
ISNUMBER(SEARCH("rn""&gt;Bosnia and Herzegovina",S2692)),"Bosnia and Herzegovina",
ISNUMBER(SEARCH("rn""&gt;Trinidad and Tobago",S2692)),"Trinidad and Tobago",
ISNUMBER(SEARCH("rn""&gt;Serbia and Montenegro",S2692)),"Serbia and Montenegro",
ISNUMBER(SEARCH(_xlfn.UNICHAR(65533),S2692)),"Côte d'Ivoire",
TRUE,""
)</f>
        <v/>
      </c>
      <c r="W2692" s="40" t="str">
        <f t="shared" ref="W2692:W2755" si="200">IF(V2692="",S2692,V2692)</f>
        <v>Argentina</v>
      </c>
    </row>
    <row r="2693" spans="2:23">
      <c r="B2693" s="76" t="str">
        <v>2026.0</v>
      </c>
      <c r="C2693" s="42">
        <v>0</v>
      </c>
      <c r="D2693" s="42" t="str">
        <v>Group Stage</v>
      </c>
      <c r="E2693" s="42" t="str">
        <v>Atlanta Stadium</v>
      </c>
      <c r="F2693" s="42" t="str">
        <v>Atlanta</v>
      </c>
      <c r="G2693" s="42" t="str">
        <v>Czechia</v>
      </c>
      <c r="H2693" s="42" t="str">
        <v>1.0</v>
      </c>
      <c r="I2693" s="42" t="str">
        <v>1.0</v>
      </c>
      <c r="J2693" s="42" t="str">
        <v>South Africa</v>
      </c>
      <c r="K2693" s="42" t="str">
        <v xml:space="preserve"> </v>
      </c>
      <c r="L2693" s="42" t="str">
        <f t="shared" si="197"/>
        <v xml:space="preserve">2026.0|0|Group Stage|Atlanta Stadium|Atlanta|Czechia|1.0|1.0|South Africa| </v>
      </c>
      <c r="M2693" s="42" t="str">
        <f>IF(COUNTIF($L$1689:L2693,L2693)&gt;1,"DOUBLON","OK")</f>
        <v>OK</v>
      </c>
      <c r="S2693" s="40" t="str">
        <v>Brazil</v>
      </c>
      <c r="T2693" s="40" t="str">
        <f t="shared" si="198"/>
        <v>OK</v>
      </c>
      <c r="U2693" s="40" t="str">
        <f t="shared" si="199"/>
        <v>-</v>
      </c>
      <c r="V2693" s="40" t="str" cm="1">
        <f t="array" ref="V2693">_xlfn.IFS(
ISNUMBER(SEARCH("USA",S2693)),"United States",
ISNUMBER(SEARCH("Republic of Ireland",S2693)),"Ireland",
ISNUMBER(SEARCH("Republic of Korea",S2693)),"South Korea",
ISNUMBER(SEARCH("Cape Verde",S2693)),"Cabo Verde",
ISNUMBER(SEARCH("Czechia",S2693)),"Czech Republic",
ISNUMBER(SEARCH("Türkiye",S2693)),"Turkey",
ISNUMBER(SEARCH("Ivory Coast",S2693)),"Côte d'Ivoire",
ISNUMBER(SEARCH("Korea Republic",S2693)),"South Korea",
ISNUMBER(SEARCH("Germany FR",S2693)),"FR Germany",
ISNUMBER(SEARCH("West Germany",S2693)),"FR Germany",
ISNUMBER(SEARCH("Germany DR",S2693)),"DR Germany",
ISNUMBER(SEARCH("Korea DPR",S2693)),"North Korea",
ISNUMBER(SEARCH("China PR",S2693)),"China",
ISNUMBER(SEARCH("IR Iran",S2693)),"Iran",
ISNUMBER(SEARCH("Congo DR",S2693)),"Democratic Republic of the Congo",
ISNUMBER(SEARCH("DR Congo",S2693)),"Democratic Republic of the Congo",
ISNUMBER(SEARCH("German DR",S2693)),"DR Germany",
ISNUMBER(SEARCH("rn""&gt;United Arab Emirates",S2693)),"United Arab Emirates",
ISNUMBER(SEARCH("rn""&gt;Republic of Ireland",S2693)),"Ireland",
ISNUMBER(SEARCH("rn""&gt;Bosnia and Herzegovina",S2693)),"Bosnia and Herzegovina",
ISNUMBER(SEARCH("rn""&gt;Trinidad and Tobago",S2693)),"Trinidad and Tobago",
ISNUMBER(SEARCH("rn""&gt;Serbia and Montenegro",S2693)),"Serbia and Montenegro",
ISNUMBER(SEARCH(_xlfn.UNICHAR(65533),S2693)),"Côte d'Ivoire",
TRUE,""
)</f>
        <v/>
      </c>
      <c r="W2693" s="40" t="str">
        <f t="shared" si="200"/>
        <v>Brazil</v>
      </c>
    </row>
    <row r="2694" spans="2:23">
      <c r="B2694" s="76" t="str">
        <v>2026.0</v>
      </c>
      <c r="C2694" s="42">
        <v>0</v>
      </c>
      <c r="D2694" s="42" t="str">
        <v>Group Stage</v>
      </c>
      <c r="E2694" s="42" t="str">
        <v>Los Angeles Stadium</v>
      </c>
      <c r="F2694" s="42" t="str">
        <v>Los Angeles</v>
      </c>
      <c r="G2694" s="42" t="str">
        <v>Switzerland</v>
      </c>
      <c r="H2694" s="42" t="str">
        <v>4.0</v>
      </c>
      <c r="I2694" s="42" t="str">
        <v>1.0</v>
      </c>
      <c r="J2694" s="42" t="str">
        <v>Bosnia and Herzegovina</v>
      </c>
      <c r="K2694" s="42" t="str">
        <v xml:space="preserve"> </v>
      </c>
      <c r="L2694" s="42" t="str">
        <f t="shared" si="197"/>
        <v xml:space="preserve">2026.0|0|Group Stage|Los Angeles Stadium|Los Angeles|Switzerland|4.0|1.0|Bosnia and Herzegovina| </v>
      </c>
      <c r="M2694" s="42" t="str">
        <f>IF(COUNTIF($L$1689:L2694,L2694)&gt;1,"DOUBLON","OK")</f>
        <v>OK</v>
      </c>
      <c r="S2694" s="40" t="str">
        <v>Poland</v>
      </c>
      <c r="T2694" s="40" t="str">
        <f t="shared" si="198"/>
        <v>OK</v>
      </c>
      <c r="U2694" s="40" t="str">
        <f t="shared" si="199"/>
        <v>-</v>
      </c>
      <c r="V2694" s="40" t="str" cm="1">
        <f t="array" ref="V2694">_xlfn.IFS(
ISNUMBER(SEARCH("USA",S2694)),"United States",
ISNUMBER(SEARCH("Republic of Ireland",S2694)),"Ireland",
ISNUMBER(SEARCH("Republic of Korea",S2694)),"South Korea",
ISNUMBER(SEARCH("Cape Verde",S2694)),"Cabo Verde",
ISNUMBER(SEARCH("Czechia",S2694)),"Czech Republic",
ISNUMBER(SEARCH("Türkiye",S2694)),"Turkey",
ISNUMBER(SEARCH("Ivory Coast",S2694)),"Côte d'Ivoire",
ISNUMBER(SEARCH("Korea Republic",S2694)),"South Korea",
ISNUMBER(SEARCH("Germany FR",S2694)),"FR Germany",
ISNUMBER(SEARCH("West Germany",S2694)),"FR Germany",
ISNUMBER(SEARCH("Germany DR",S2694)),"DR Germany",
ISNUMBER(SEARCH("Korea DPR",S2694)),"North Korea",
ISNUMBER(SEARCH("China PR",S2694)),"China",
ISNUMBER(SEARCH("IR Iran",S2694)),"Iran",
ISNUMBER(SEARCH("Congo DR",S2694)),"Democratic Republic of the Congo",
ISNUMBER(SEARCH("DR Congo",S2694)),"Democratic Republic of the Congo",
ISNUMBER(SEARCH("German DR",S2694)),"DR Germany",
ISNUMBER(SEARCH("rn""&gt;United Arab Emirates",S2694)),"United Arab Emirates",
ISNUMBER(SEARCH("rn""&gt;Republic of Ireland",S2694)),"Ireland",
ISNUMBER(SEARCH("rn""&gt;Bosnia and Herzegovina",S2694)),"Bosnia and Herzegovina",
ISNUMBER(SEARCH("rn""&gt;Trinidad and Tobago",S2694)),"Trinidad and Tobago",
ISNUMBER(SEARCH("rn""&gt;Serbia and Montenegro",S2694)),"Serbia and Montenegro",
ISNUMBER(SEARCH(_xlfn.UNICHAR(65533),S2694)),"Côte d'Ivoire",
TRUE,""
)</f>
        <v/>
      </c>
      <c r="W2694" s="40" t="str">
        <f t="shared" si="200"/>
        <v>Poland</v>
      </c>
    </row>
    <row r="2695" spans="2:23">
      <c r="B2695" s="76" t="str">
        <v>2026.0</v>
      </c>
      <c r="C2695" s="42">
        <v>0</v>
      </c>
      <c r="D2695" s="42" t="str">
        <v>Group Stage</v>
      </c>
      <c r="E2695" s="42" t="str">
        <v>BC Place Vancouver</v>
      </c>
      <c r="F2695" s="42" t="str">
        <v>Vancouver</v>
      </c>
      <c r="G2695" s="42" t="str">
        <v>Canada</v>
      </c>
      <c r="H2695" s="42" t="str">
        <v>6.0</v>
      </c>
      <c r="I2695" s="42" t="str">
        <v>0.0</v>
      </c>
      <c r="J2695" s="42" t="str">
        <v>Qatar</v>
      </c>
      <c r="K2695" s="42" t="str">
        <v xml:space="preserve"> </v>
      </c>
      <c r="L2695" s="42" t="str">
        <f t="shared" si="197"/>
        <v xml:space="preserve">2026.0|0|Group Stage|BC Place Vancouver|Vancouver|Canada|6.0|0.0|Qatar| </v>
      </c>
      <c r="M2695" s="42" t="str">
        <f>IF(COUNTIF($L$1689:L2695,L2695)&gt;1,"DOUBLON","OK")</f>
        <v>OK</v>
      </c>
      <c r="S2695" s="40" t="str">
        <v>Belgium</v>
      </c>
      <c r="T2695" s="40" t="str">
        <f t="shared" si="198"/>
        <v>OK</v>
      </c>
      <c r="U2695" s="40" t="str">
        <f t="shared" si="199"/>
        <v>-</v>
      </c>
      <c r="V2695" s="40" t="str" cm="1">
        <f t="array" ref="V2695">_xlfn.IFS(
ISNUMBER(SEARCH("USA",S2695)),"United States",
ISNUMBER(SEARCH("Republic of Ireland",S2695)),"Ireland",
ISNUMBER(SEARCH("Republic of Korea",S2695)),"South Korea",
ISNUMBER(SEARCH("Cape Verde",S2695)),"Cabo Verde",
ISNUMBER(SEARCH("Czechia",S2695)),"Czech Republic",
ISNUMBER(SEARCH("Türkiye",S2695)),"Turkey",
ISNUMBER(SEARCH("Ivory Coast",S2695)),"Côte d'Ivoire",
ISNUMBER(SEARCH("Korea Republic",S2695)),"South Korea",
ISNUMBER(SEARCH("Germany FR",S2695)),"FR Germany",
ISNUMBER(SEARCH("West Germany",S2695)),"FR Germany",
ISNUMBER(SEARCH("Germany DR",S2695)),"DR Germany",
ISNUMBER(SEARCH("Korea DPR",S2695)),"North Korea",
ISNUMBER(SEARCH("China PR",S2695)),"China",
ISNUMBER(SEARCH("IR Iran",S2695)),"Iran",
ISNUMBER(SEARCH("Congo DR",S2695)),"Democratic Republic of the Congo",
ISNUMBER(SEARCH("DR Congo",S2695)),"Democratic Republic of the Congo",
ISNUMBER(SEARCH("German DR",S2695)),"DR Germany",
ISNUMBER(SEARCH("rn""&gt;United Arab Emirates",S2695)),"United Arab Emirates",
ISNUMBER(SEARCH("rn""&gt;Republic of Ireland",S2695)),"Ireland",
ISNUMBER(SEARCH("rn""&gt;Bosnia and Herzegovina",S2695)),"Bosnia and Herzegovina",
ISNUMBER(SEARCH("rn""&gt;Trinidad and Tobago",S2695)),"Trinidad and Tobago",
ISNUMBER(SEARCH("rn""&gt;Serbia and Montenegro",S2695)),"Serbia and Montenegro",
ISNUMBER(SEARCH(_xlfn.UNICHAR(65533),S2695)),"Côte d'Ivoire",
TRUE,""
)</f>
        <v/>
      </c>
      <c r="W2695" s="40" t="str">
        <f t="shared" si="200"/>
        <v>Belgium</v>
      </c>
    </row>
    <row r="2696" spans="2:23">
      <c r="B2696" s="76" t="str">
        <v>2026.0</v>
      </c>
      <c r="C2696" s="42">
        <v>0</v>
      </c>
      <c r="D2696" s="42" t="str">
        <v>Group Stage</v>
      </c>
      <c r="E2696" s="42" t="str">
        <v>Guadalajara Stadium</v>
      </c>
      <c r="F2696" s="42" t="str">
        <v>Guadalajara</v>
      </c>
      <c r="G2696" s="42" t="str">
        <v>Mexico</v>
      </c>
      <c r="H2696" s="42" t="str">
        <v>1.0</v>
      </c>
      <c r="I2696" s="42" t="str">
        <v>0.0</v>
      </c>
      <c r="J2696" s="42" t="str">
        <v>South Korea</v>
      </c>
      <c r="K2696" s="42" t="str">
        <v xml:space="preserve"> </v>
      </c>
      <c r="L2696" s="42" t="str">
        <f t="shared" si="197"/>
        <v xml:space="preserve">2026.0|0|Group Stage|Guadalajara Stadium|Guadalajara|Mexico|1.0|0.0|South Korea| </v>
      </c>
      <c r="M2696" s="42" t="str">
        <f>IF(COUNTIF($L$1689:L2696,L2696)&gt;1,"DOUBLON","OK")</f>
        <v>OK</v>
      </c>
      <c r="S2696" s="40" t="str">
        <v>Soviet Union</v>
      </c>
      <c r="T2696" s="40" t="str">
        <f t="shared" si="198"/>
        <v>ERREUR</v>
      </c>
      <c r="U2696" s="40" t="str">
        <f t="shared" si="199"/>
        <v>AUCUNE</v>
      </c>
      <c r="V2696" s="40" t="str" cm="1">
        <f t="array" ref="V2696">_xlfn.IFS(
ISNUMBER(SEARCH("USA",S2696)),"United States",
ISNUMBER(SEARCH("Republic of Ireland",S2696)),"Ireland",
ISNUMBER(SEARCH("Republic of Korea",S2696)),"South Korea",
ISNUMBER(SEARCH("Cape Verde",S2696)),"Cabo Verde",
ISNUMBER(SEARCH("Czechia",S2696)),"Czech Republic",
ISNUMBER(SEARCH("Türkiye",S2696)),"Turkey",
ISNUMBER(SEARCH("Ivory Coast",S2696)),"Côte d'Ivoire",
ISNUMBER(SEARCH("Korea Republic",S2696)),"South Korea",
ISNUMBER(SEARCH("Germany FR",S2696)),"FR Germany",
ISNUMBER(SEARCH("West Germany",S2696)),"FR Germany",
ISNUMBER(SEARCH("Germany DR",S2696)),"DR Germany",
ISNUMBER(SEARCH("Korea DPR",S2696)),"North Korea",
ISNUMBER(SEARCH("China PR",S2696)),"China",
ISNUMBER(SEARCH("IR Iran",S2696)),"Iran",
ISNUMBER(SEARCH("Congo DR",S2696)),"Democratic Republic of the Congo",
ISNUMBER(SEARCH("DR Congo",S2696)),"Democratic Republic of the Congo",
ISNUMBER(SEARCH("German DR",S2696)),"DR Germany",
ISNUMBER(SEARCH("rn""&gt;United Arab Emirates",S2696)),"United Arab Emirates",
ISNUMBER(SEARCH("rn""&gt;Republic of Ireland",S2696)),"Ireland",
ISNUMBER(SEARCH("rn""&gt;Bosnia and Herzegovina",S2696)),"Bosnia and Herzegovina",
ISNUMBER(SEARCH("rn""&gt;Trinidad and Tobago",S2696)),"Trinidad and Tobago",
ISNUMBER(SEARCH("rn""&gt;Serbia and Montenegro",S2696)),"Serbia and Montenegro",
ISNUMBER(SEARCH(_xlfn.UNICHAR(65533),S2696)),"Côte d'Ivoire",
TRUE,""
)</f>
        <v/>
      </c>
      <c r="W2696" s="40" t="str">
        <f t="shared" si="200"/>
        <v>Soviet Union</v>
      </c>
    </row>
    <row r="2697" spans="2:23">
      <c r="B2697" s="76" t="str">
        <v>2026.0</v>
      </c>
      <c r="C2697" s="42">
        <v>0</v>
      </c>
      <c r="D2697" s="42" t="str">
        <v>Group Stage</v>
      </c>
      <c r="E2697" s="42" t="str">
        <v>Seattle Stadium</v>
      </c>
      <c r="F2697" s="42" t="str">
        <v>Seattle</v>
      </c>
      <c r="G2697" s="42" t="str">
        <v>USA</v>
      </c>
      <c r="H2697" s="42" t="str">
        <v>1.0</v>
      </c>
      <c r="I2697" s="42" t="str">
        <v>0.0</v>
      </c>
      <c r="J2697" s="42" t="str">
        <v>Australia</v>
      </c>
      <c r="K2697" s="42" t="str">
        <v xml:space="preserve"> </v>
      </c>
      <c r="L2697" s="42" t="str">
        <f t="shared" si="197"/>
        <v xml:space="preserve">2026.0|0|Group Stage|Seattle Stadium|Seattle|USA|1.0|0.0|Australia| </v>
      </c>
      <c r="M2697" s="42" t="str">
        <f>IF(COUNTIF($L$1689:L2697,L2697)&gt;1,"DOUBLON","OK")</f>
        <v>OK</v>
      </c>
      <c r="S2697" s="40" t="str">
        <v>Germany FR</v>
      </c>
      <c r="T2697" s="40" t="str">
        <f t="shared" si="198"/>
        <v>ERREUR</v>
      </c>
      <c r="U2697" s="40" t="str">
        <f t="shared" si="199"/>
        <v>RENOMMER</v>
      </c>
      <c r="V2697" s="40" t="str" cm="1">
        <f t="array" ref="V2697">_xlfn.IFS(
ISNUMBER(SEARCH("USA",S2697)),"United States",
ISNUMBER(SEARCH("Republic of Ireland",S2697)),"Ireland",
ISNUMBER(SEARCH("Republic of Korea",S2697)),"South Korea",
ISNUMBER(SEARCH("Cape Verde",S2697)),"Cabo Verde",
ISNUMBER(SEARCH("Czechia",S2697)),"Czech Republic",
ISNUMBER(SEARCH("Türkiye",S2697)),"Turkey",
ISNUMBER(SEARCH("Ivory Coast",S2697)),"Côte d'Ivoire",
ISNUMBER(SEARCH("Korea Republic",S2697)),"South Korea",
ISNUMBER(SEARCH("Germany FR",S2697)),"FR Germany",
ISNUMBER(SEARCH("West Germany",S2697)),"FR Germany",
ISNUMBER(SEARCH("Germany DR",S2697)),"DR Germany",
ISNUMBER(SEARCH("Korea DPR",S2697)),"North Korea",
ISNUMBER(SEARCH("China PR",S2697)),"China",
ISNUMBER(SEARCH("IR Iran",S2697)),"Iran",
ISNUMBER(SEARCH("Congo DR",S2697)),"Democratic Republic of the Congo",
ISNUMBER(SEARCH("DR Congo",S2697)),"Democratic Republic of the Congo",
ISNUMBER(SEARCH("German DR",S2697)),"DR Germany",
ISNUMBER(SEARCH("rn""&gt;United Arab Emirates",S2697)),"United Arab Emirates",
ISNUMBER(SEARCH("rn""&gt;Republic of Ireland",S2697)),"Ireland",
ISNUMBER(SEARCH("rn""&gt;Bosnia and Herzegovina",S2697)),"Bosnia and Herzegovina",
ISNUMBER(SEARCH("rn""&gt;Trinidad and Tobago",S2697)),"Trinidad and Tobago",
ISNUMBER(SEARCH("rn""&gt;Serbia and Montenegro",S2697)),"Serbia and Montenegro",
ISNUMBER(SEARCH(_xlfn.UNICHAR(65533),S2697)),"Côte d'Ivoire",
TRUE,""
)</f>
        <v>FR Germany</v>
      </c>
      <c r="W2697" s="40" t="str">
        <f t="shared" si="200"/>
        <v>FR Germany</v>
      </c>
    </row>
    <row r="2698" spans="2:23">
      <c r="B2698" s="76" t="str">
        <v>2026.0</v>
      </c>
      <c r="C2698" s="42">
        <v>0</v>
      </c>
      <c r="D2698" s="42" t="str">
        <v>Group Stage</v>
      </c>
      <c r="E2698" s="42" t="str">
        <v>Boston Stadium</v>
      </c>
      <c r="F2698" s="42" t="str">
        <v>Boston</v>
      </c>
      <c r="G2698" s="42" t="str">
        <v>Scotland</v>
      </c>
      <c r="H2698" s="42" t="str">
        <v>0.0</v>
      </c>
      <c r="I2698" s="42" t="str">
        <v>1.0</v>
      </c>
      <c r="J2698" s="42" t="str">
        <v>Morocco</v>
      </c>
      <c r="K2698" s="42" t="str">
        <v xml:space="preserve"> </v>
      </c>
      <c r="L2698" s="42" t="str">
        <f t="shared" si="197"/>
        <v xml:space="preserve">2026.0|0|Group Stage|Boston Stadium|Boston|Scotland|0.0|1.0|Morocco| </v>
      </c>
      <c r="M2698" s="42" t="str">
        <f>IF(COUNTIF($L$1689:L2698,L2698)&gt;1,"DOUBLON","OK")</f>
        <v>OK</v>
      </c>
      <c r="S2698" s="40" t="str">
        <v>England</v>
      </c>
      <c r="T2698" s="40" t="str">
        <f t="shared" si="198"/>
        <v>ERREUR</v>
      </c>
      <c r="U2698" s="40" t="str">
        <f t="shared" si="199"/>
        <v>AUCUNE</v>
      </c>
      <c r="V2698" s="40" t="str" cm="1">
        <f t="array" ref="V2698">_xlfn.IFS(
ISNUMBER(SEARCH("USA",S2698)),"United States",
ISNUMBER(SEARCH("Republic of Ireland",S2698)),"Ireland",
ISNUMBER(SEARCH("Republic of Korea",S2698)),"South Korea",
ISNUMBER(SEARCH("Cape Verde",S2698)),"Cabo Verde",
ISNUMBER(SEARCH("Czechia",S2698)),"Czech Republic",
ISNUMBER(SEARCH("Türkiye",S2698)),"Turkey",
ISNUMBER(SEARCH("Ivory Coast",S2698)),"Côte d'Ivoire",
ISNUMBER(SEARCH("Korea Republic",S2698)),"South Korea",
ISNUMBER(SEARCH("Germany FR",S2698)),"FR Germany",
ISNUMBER(SEARCH("West Germany",S2698)),"FR Germany",
ISNUMBER(SEARCH("Germany DR",S2698)),"DR Germany",
ISNUMBER(SEARCH("Korea DPR",S2698)),"North Korea",
ISNUMBER(SEARCH("China PR",S2698)),"China",
ISNUMBER(SEARCH("IR Iran",S2698)),"Iran",
ISNUMBER(SEARCH("Congo DR",S2698)),"Democratic Republic of the Congo",
ISNUMBER(SEARCH("DR Congo",S2698)),"Democratic Republic of the Congo",
ISNUMBER(SEARCH("German DR",S2698)),"DR Germany",
ISNUMBER(SEARCH("rn""&gt;United Arab Emirates",S2698)),"United Arab Emirates",
ISNUMBER(SEARCH("rn""&gt;Republic of Ireland",S2698)),"Ireland",
ISNUMBER(SEARCH("rn""&gt;Bosnia and Herzegovina",S2698)),"Bosnia and Herzegovina",
ISNUMBER(SEARCH("rn""&gt;Trinidad and Tobago",S2698)),"Trinidad and Tobago",
ISNUMBER(SEARCH("rn""&gt;Serbia and Montenegro",S2698)),"Serbia and Montenegro",
ISNUMBER(SEARCH(_xlfn.UNICHAR(65533),S2698)),"Côte d'Ivoire",
TRUE,""
)</f>
        <v/>
      </c>
      <c r="W2698" s="40" t="str">
        <f t="shared" si="200"/>
        <v>England</v>
      </c>
    </row>
    <row r="2699" spans="2:23">
      <c r="B2699" s="76" t="str">
        <v>2026.0</v>
      </c>
      <c r="C2699" s="42">
        <v>0</v>
      </c>
      <c r="D2699" s="42" t="str">
        <v>Group Stage</v>
      </c>
      <c r="E2699" s="42" t="str">
        <v>Philadelphia Stadium</v>
      </c>
      <c r="F2699" s="42" t="str">
        <v>Philadelphia</v>
      </c>
      <c r="G2699" s="42" t="str">
        <v>Brazil</v>
      </c>
      <c r="H2699" s="42" t="str">
        <v>3.0</v>
      </c>
      <c r="I2699" s="42" t="str">
        <v>0.0</v>
      </c>
      <c r="J2699" s="42" t="str">
        <v>Haiti</v>
      </c>
      <c r="K2699" s="42" t="str">
        <v xml:space="preserve"> </v>
      </c>
      <c r="L2699" s="42" t="str">
        <f t="shared" si="197"/>
        <v xml:space="preserve">2026.0|0|Group Stage|Philadelphia Stadium|Philadelphia|Brazil|3.0|0.0|Haiti| </v>
      </c>
      <c r="M2699" s="42" t="str">
        <f>IF(COUNTIF($L$1689:L2699,L2699)&gt;1,"DOUBLON","OK")</f>
        <v>OK</v>
      </c>
      <c r="S2699" s="40" t="str">
        <v>Spain</v>
      </c>
      <c r="T2699" s="40" t="str">
        <f t="shared" si="198"/>
        <v>OK</v>
      </c>
      <c r="U2699" s="40" t="str">
        <f t="shared" si="199"/>
        <v>-</v>
      </c>
      <c r="V2699" s="40" t="str" cm="1">
        <f t="array" ref="V2699">_xlfn.IFS(
ISNUMBER(SEARCH("USA",S2699)),"United States",
ISNUMBER(SEARCH("Republic of Ireland",S2699)),"Ireland",
ISNUMBER(SEARCH("Republic of Korea",S2699)),"South Korea",
ISNUMBER(SEARCH("Cape Verde",S2699)),"Cabo Verde",
ISNUMBER(SEARCH("Czechia",S2699)),"Czech Republic",
ISNUMBER(SEARCH("Türkiye",S2699)),"Turkey",
ISNUMBER(SEARCH("Ivory Coast",S2699)),"Côte d'Ivoire",
ISNUMBER(SEARCH("Korea Republic",S2699)),"South Korea",
ISNUMBER(SEARCH("Germany FR",S2699)),"FR Germany",
ISNUMBER(SEARCH("West Germany",S2699)),"FR Germany",
ISNUMBER(SEARCH("Germany DR",S2699)),"DR Germany",
ISNUMBER(SEARCH("Korea DPR",S2699)),"North Korea",
ISNUMBER(SEARCH("China PR",S2699)),"China",
ISNUMBER(SEARCH("IR Iran",S2699)),"Iran",
ISNUMBER(SEARCH("Congo DR",S2699)),"Democratic Republic of the Congo",
ISNUMBER(SEARCH("DR Congo",S2699)),"Democratic Republic of the Congo",
ISNUMBER(SEARCH("German DR",S2699)),"DR Germany",
ISNUMBER(SEARCH("rn""&gt;United Arab Emirates",S2699)),"United Arab Emirates",
ISNUMBER(SEARCH("rn""&gt;Republic of Ireland",S2699)),"Ireland",
ISNUMBER(SEARCH("rn""&gt;Bosnia and Herzegovina",S2699)),"Bosnia and Herzegovina",
ISNUMBER(SEARCH("rn""&gt;Trinidad and Tobago",S2699)),"Trinidad and Tobago",
ISNUMBER(SEARCH("rn""&gt;Serbia and Montenegro",S2699)),"Serbia and Montenegro",
ISNUMBER(SEARCH(_xlfn.UNICHAR(65533),S2699)),"Côte d'Ivoire",
TRUE,""
)</f>
        <v/>
      </c>
      <c r="W2699" s="40" t="str">
        <f t="shared" si="200"/>
        <v>Spain</v>
      </c>
    </row>
    <row r="2700" spans="2:23">
      <c r="B2700" s="76" t="str">
        <v>2026.0</v>
      </c>
      <c r="C2700" s="42">
        <v>0</v>
      </c>
      <c r="D2700" s="42" t="str">
        <v>Group Stage</v>
      </c>
      <c r="E2700" s="42" t="str">
        <v>Santa Clara Stadium</v>
      </c>
      <c r="F2700" s="42" t="str">
        <v>Santa Clara</v>
      </c>
      <c r="G2700" s="42" t="str">
        <v>Türkiye</v>
      </c>
      <c r="H2700" s="42" t="str">
        <v>0.0</v>
      </c>
      <c r="I2700" s="42" t="str">
        <v>1.0</v>
      </c>
      <c r="J2700" s="42" t="str">
        <v>Paraguay</v>
      </c>
      <c r="K2700" s="42" t="str">
        <v xml:space="preserve"> </v>
      </c>
      <c r="L2700" s="42" t="str">
        <f t="shared" si="197"/>
        <v xml:space="preserve">2026.0|0|Group Stage|Santa Clara Stadium|Santa Clara|Türkiye|0.0|1.0|Paraguay| </v>
      </c>
      <c r="M2700" s="42" t="str">
        <f>IF(COUNTIF($L$1689:L2700,L2700)&gt;1,"DOUBLON","OK")</f>
        <v>OK</v>
      </c>
      <c r="S2700" s="40" t="str">
        <v>Algeria</v>
      </c>
      <c r="T2700" s="40" t="str">
        <f t="shared" si="198"/>
        <v>OK</v>
      </c>
      <c r="U2700" s="40" t="str">
        <f t="shared" si="199"/>
        <v>-</v>
      </c>
      <c r="V2700" s="40" t="str" cm="1">
        <f t="array" ref="V2700">_xlfn.IFS(
ISNUMBER(SEARCH("USA",S2700)),"United States",
ISNUMBER(SEARCH("Republic of Ireland",S2700)),"Ireland",
ISNUMBER(SEARCH("Republic of Korea",S2700)),"South Korea",
ISNUMBER(SEARCH("Cape Verde",S2700)),"Cabo Verde",
ISNUMBER(SEARCH("Czechia",S2700)),"Czech Republic",
ISNUMBER(SEARCH("Türkiye",S2700)),"Turkey",
ISNUMBER(SEARCH("Ivory Coast",S2700)),"Côte d'Ivoire",
ISNUMBER(SEARCH("Korea Republic",S2700)),"South Korea",
ISNUMBER(SEARCH("Germany FR",S2700)),"FR Germany",
ISNUMBER(SEARCH("West Germany",S2700)),"FR Germany",
ISNUMBER(SEARCH("Germany DR",S2700)),"DR Germany",
ISNUMBER(SEARCH("Korea DPR",S2700)),"North Korea",
ISNUMBER(SEARCH("China PR",S2700)),"China",
ISNUMBER(SEARCH("IR Iran",S2700)),"Iran",
ISNUMBER(SEARCH("Congo DR",S2700)),"Democratic Republic of the Congo",
ISNUMBER(SEARCH("DR Congo",S2700)),"Democratic Republic of the Congo",
ISNUMBER(SEARCH("German DR",S2700)),"DR Germany",
ISNUMBER(SEARCH("rn""&gt;United Arab Emirates",S2700)),"United Arab Emirates",
ISNUMBER(SEARCH("rn""&gt;Republic of Ireland",S2700)),"Ireland",
ISNUMBER(SEARCH("rn""&gt;Bosnia and Herzegovina",S2700)),"Bosnia and Herzegovina",
ISNUMBER(SEARCH("rn""&gt;Trinidad and Tobago",S2700)),"Trinidad and Tobago",
ISNUMBER(SEARCH("rn""&gt;Serbia and Montenegro",S2700)),"Serbia and Montenegro",
ISNUMBER(SEARCH(_xlfn.UNICHAR(65533),S2700)),"Côte d'Ivoire",
TRUE,""
)</f>
        <v/>
      </c>
      <c r="W2700" s="40" t="str">
        <f t="shared" si="200"/>
        <v>Algeria</v>
      </c>
    </row>
    <row r="2701" spans="2:23">
      <c r="B2701" s="76" t="str">
        <v>2026.0</v>
      </c>
      <c r="C2701" s="42">
        <v>0</v>
      </c>
      <c r="D2701" s="42" t="str">
        <v>Group Stage</v>
      </c>
      <c r="E2701" s="42" t="str">
        <v>Houston Stadium</v>
      </c>
      <c r="F2701" s="42" t="str">
        <v>Houston</v>
      </c>
      <c r="G2701" s="42" t="str">
        <v>Netherlands</v>
      </c>
      <c r="H2701" s="42" t="str">
        <v>5.0</v>
      </c>
      <c r="I2701" s="42" t="str">
        <v>1.0</v>
      </c>
      <c r="J2701" s="42" t="str">
        <v>Sweden</v>
      </c>
      <c r="K2701" s="42" t="str">
        <v xml:space="preserve"> </v>
      </c>
      <c r="L2701" s="42" t="str">
        <f t="shared" si="197"/>
        <v xml:space="preserve">2026.0|0|Group Stage|Houston Stadium|Houston|Netherlands|5.0|1.0|Sweden| </v>
      </c>
      <c r="M2701" s="42" t="str">
        <f>IF(COUNTIF($L$1689:L2701,L2701)&gt;1,"DOUBLON","OK")</f>
        <v>OK</v>
      </c>
      <c r="S2701" s="40" t="str">
        <v>France</v>
      </c>
      <c r="T2701" s="40" t="str">
        <f t="shared" si="198"/>
        <v>OK</v>
      </c>
      <c r="U2701" s="40" t="str">
        <f t="shared" si="199"/>
        <v>-</v>
      </c>
      <c r="V2701" s="40" t="str" cm="1">
        <f t="array" ref="V2701">_xlfn.IFS(
ISNUMBER(SEARCH("USA",S2701)),"United States",
ISNUMBER(SEARCH("Republic of Ireland",S2701)),"Ireland",
ISNUMBER(SEARCH("Republic of Korea",S2701)),"South Korea",
ISNUMBER(SEARCH("Cape Verde",S2701)),"Cabo Verde",
ISNUMBER(SEARCH("Czechia",S2701)),"Czech Republic",
ISNUMBER(SEARCH("Türkiye",S2701)),"Turkey",
ISNUMBER(SEARCH("Ivory Coast",S2701)),"Côte d'Ivoire",
ISNUMBER(SEARCH("Korea Republic",S2701)),"South Korea",
ISNUMBER(SEARCH("Germany FR",S2701)),"FR Germany",
ISNUMBER(SEARCH("West Germany",S2701)),"FR Germany",
ISNUMBER(SEARCH("Germany DR",S2701)),"DR Germany",
ISNUMBER(SEARCH("Korea DPR",S2701)),"North Korea",
ISNUMBER(SEARCH("China PR",S2701)),"China",
ISNUMBER(SEARCH("IR Iran",S2701)),"Iran",
ISNUMBER(SEARCH("Congo DR",S2701)),"Democratic Republic of the Congo",
ISNUMBER(SEARCH("DR Congo",S2701)),"Democratic Republic of the Congo",
ISNUMBER(SEARCH("German DR",S2701)),"DR Germany",
ISNUMBER(SEARCH("rn""&gt;United Arab Emirates",S2701)),"United Arab Emirates",
ISNUMBER(SEARCH("rn""&gt;Republic of Ireland",S2701)),"Ireland",
ISNUMBER(SEARCH("rn""&gt;Bosnia and Herzegovina",S2701)),"Bosnia and Herzegovina",
ISNUMBER(SEARCH("rn""&gt;Trinidad and Tobago",S2701)),"Trinidad and Tobago",
ISNUMBER(SEARCH("rn""&gt;Serbia and Montenegro",S2701)),"Serbia and Montenegro",
ISNUMBER(SEARCH(_xlfn.UNICHAR(65533),S2701)),"Côte d'Ivoire",
TRUE,""
)</f>
        <v/>
      </c>
      <c r="W2701" s="40" t="str">
        <f t="shared" si="200"/>
        <v>France</v>
      </c>
    </row>
    <row r="2702" spans="2:23">
      <c r="B2702" s="76" t="str">
        <v>2026.0</v>
      </c>
      <c r="C2702" s="42">
        <v>0</v>
      </c>
      <c r="D2702" s="42" t="str">
        <v>Group Stage</v>
      </c>
      <c r="E2702" s="42" t="str">
        <v>Toronto Stadium</v>
      </c>
      <c r="F2702" s="42" t="str">
        <v>Toronto</v>
      </c>
      <c r="G2702" s="42" t="str">
        <v>Germany</v>
      </c>
      <c r="H2702" s="42" t="str">
        <v>2.0</v>
      </c>
      <c r="I2702" s="42" t="str">
        <v>1.0</v>
      </c>
      <c r="J2702" s="42" t="str">
        <v>Ivory Coast</v>
      </c>
      <c r="K2702" s="42" t="str">
        <v xml:space="preserve"> </v>
      </c>
      <c r="L2702" s="42" t="str">
        <f t="shared" si="197"/>
        <v xml:space="preserve">2026.0|0|Group Stage|Toronto Stadium|Toronto|Germany|2.0|1.0|Ivory Coast| </v>
      </c>
      <c r="M2702" s="42" t="str">
        <f>IF(COUNTIF($L$1689:L2702,L2702)&gt;1,"DOUBLON","OK")</f>
        <v>OK</v>
      </c>
      <c r="S2702" s="40" t="str">
        <v>Honduras</v>
      </c>
      <c r="T2702" s="40" t="str">
        <f t="shared" si="198"/>
        <v>OK</v>
      </c>
      <c r="U2702" s="40" t="str">
        <f t="shared" si="199"/>
        <v>-</v>
      </c>
      <c r="V2702" s="40" t="str" cm="1">
        <f t="array" ref="V2702">_xlfn.IFS(
ISNUMBER(SEARCH("USA",S2702)),"United States",
ISNUMBER(SEARCH("Republic of Ireland",S2702)),"Ireland",
ISNUMBER(SEARCH("Republic of Korea",S2702)),"South Korea",
ISNUMBER(SEARCH("Cape Verde",S2702)),"Cabo Verde",
ISNUMBER(SEARCH("Czechia",S2702)),"Czech Republic",
ISNUMBER(SEARCH("Türkiye",S2702)),"Turkey",
ISNUMBER(SEARCH("Ivory Coast",S2702)),"Côte d'Ivoire",
ISNUMBER(SEARCH("Korea Republic",S2702)),"South Korea",
ISNUMBER(SEARCH("Germany FR",S2702)),"FR Germany",
ISNUMBER(SEARCH("West Germany",S2702)),"FR Germany",
ISNUMBER(SEARCH("Germany DR",S2702)),"DR Germany",
ISNUMBER(SEARCH("Korea DPR",S2702)),"North Korea",
ISNUMBER(SEARCH("China PR",S2702)),"China",
ISNUMBER(SEARCH("IR Iran",S2702)),"Iran",
ISNUMBER(SEARCH("Congo DR",S2702)),"Democratic Republic of the Congo",
ISNUMBER(SEARCH("DR Congo",S2702)),"Democratic Republic of the Congo",
ISNUMBER(SEARCH("German DR",S2702)),"DR Germany",
ISNUMBER(SEARCH("rn""&gt;United Arab Emirates",S2702)),"United Arab Emirates",
ISNUMBER(SEARCH("rn""&gt;Republic of Ireland",S2702)),"Ireland",
ISNUMBER(SEARCH("rn""&gt;Bosnia and Herzegovina",S2702)),"Bosnia and Herzegovina",
ISNUMBER(SEARCH("rn""&gt;Trinidad and Tobago",S2702)),"Trinidad and Tobago",
ISNUMBER(SEARCH("rn""&gt;Serbia and Montenegro",S2702)),"Serbia and Montenegro",
ISNUMBER(SEARCH(_xlfn.UNICHAR(65533),S2702)),"Côte d'Ivoire",
TRUE,""
)</f>
        <v/>
      </c>
      <c r="W2702" s="40" t="str">
        <f t="shared" si="200"/>
        <v>Honduras</v>
      </c>
    </row>
    <row r="2703" spans="2:23">
      <c r="B2703" s="76" t="str">
        <v>2026.0</v>
      </c>
      <c r="C2703" s="42">
        <v>0</v>
      </c>
      <c r="D2703" s="42" t="str">
        <v>Group Stage</v>
      </c>
      <c r="E2703" s="42" t="str">
        <v>Kansas City Stadium</v>
      </c>
      <c r="F2703" s="42" t="str">
        <v>Kansas City</v>
      </c>
      <c r="G2703" s="42" t="str">
        <v>Ecuador</v>
      </c>
      <c r="H2703" s="42" t="str">
        <v>0.0</v>
      </c>
      <c r="I2703" s="42" t="str">
        <v>0.0</v>
      </c>
      <c r="J2703" s="42" t="str">
        <v>Curaçao</v>
      </c>
      <c r="K2703" s="42" t="str">
        <v xml:space="preserve"> </v>
      </c>
      <c r="L2703" s="42" t="str">
        <f t="shared" si="197"/>
        <v xml:space="preserve">2026.0|0|Group Stage|Kansas City Stadium|Kansas City|Ecuador|0.0|0.0|Curaçao| </v>
      </c>
      <c r="M2703" s="42" t="str">
        <f>IF(COUNTIF($L$1689:L2703,L2703)&gt;1,"DOUBLON","OK")</f>
        <v>OK</v>
      </c>
      <c r="S2703" s="40" t="str">
        <v>Poland</v>
      </c>
      <c r="T2703" s="40" t="str">
        <f t="shared" si="198"/>
        <v>OK</v>
      </c>
      <c r="U2703" s="40" t="str">
        <f t="shared" si="199"/>
        <v>-</v>
      </c>
      <c r="V2703" s="40" t="str" cm="1">
        <f t="array" ref="V2703">_xlfn.IFS(
ISNUMBER(SEARCH("USA",S2703)),"United States",
ISNUMBER(SEARCH("Republic of Ireland",S2703)),"Ireland",
ISNUMBER(SEARCH("Republic of Korea",S2703)),"South Korea",
ISNUMBER(SEARCH("Cape Verde",S2703)),"Cabo Verde",
ISNUMBER(SEARCH("Czechia",S2703)),"Czech Republic",
ISNUMBER(SEARCH("Türkiye",S2703)),"Turkey",
ISNUMBER(SEARCH("Ivory Coast",S2703)),"Côte d'Ivoire",
ISNUMBER(SEARCH("Korea Republic",S2703)),"South Korea",
ISNUMBER(SEARCH("Germany FR",S2703)),"FR Germany",
ISNUMBER(SEARCH("West Germany",S2703)),"FR Germany",
ISNUMBER(SEARCH("Germany DR",S2703)),"DR Germany",
ISNUMBER(SEARCH("Korea DPR",S2703)),"North Korea",
ISNUMBER(SEARCH("China PR",S2703)),"China",
ISNUMBER(SEARCH("IR Iran",S2703)),"Iran",
ISNUMBER(SEARCH("Congo DR",S2703)),"Democratic Republic of the Congo",
ISNUMBER(SEARCH("DR Congo",S2703)),"Democratic Republic of the Congo",
ISNUMBER(SEARCH("German DR",S2703)),"DR Germany",
ISNUMBER(SEARCH("rn""&gt;United Arab Emirates",S2703)),"United Arab Emirates",
ISNUMBER(SEARCH("rn""&gt;Republic of Ireland",S2703)),"Ireland",
ISNUMBER(SEARCH("rn""&gt;Bosnia and Herzegovina",S2703)),"Bosnia and Herzegovina",
ISNUMBER(SEARCH("rn""&gt;Trinidad and Tobago",S2703)),"Trinidad and Tobago",
ISNUMBER(SEARCH("rn""&gt;Serbia and Montenegro",S2703)),"Serbia and Montenegro",
ISNUMBER(SEARCH(_xlfn.UNICHAR(65533),S2703)),"Côte d'Ivoire",
TRUE,""
)</f>
        <v/>
      </c>
      <c r="W2703" s="40" t="str">
        <f t="shared" si="200"/>
        <v>Poland</v>
      </c>
    </row>
    <row r="2704" spans="2:23">
      <c r="B2704" s="76" t="str">
        <v>2026.0</v>
      </c>
      <c r="C2704" s="42">
        <v>0</v>
      </c>
      <c r="D2704" s="42" t="str">
        <v>Group Stage</v>
      </c>
      <c r="E2704" s="42" t="str">
        <v>Guadalajara Stadium</v>
      </c>
      <c r="F2704" s="42" t="str">
        <v>Guadalajara</v>
      </c>
      <c r="G2704" s="42" t="str">
        <v>Tunisia</v>
      </c>
      <c r="H2704" s="42" t="str">
        <v>0.0</v>
      </c>
      <c r="I2704" s="42" t="str">
        <v>4.0</v>
      </c>
      <c r="J2704" s="42" t="str">
        <v>Japan</v>
      </c>
      <c r="K2704" s="42" t="str">
        <v xml:space="preserve"> </v>
      </c>
      <c r="L2704" s="42" t="str">
        <f t="shared" si="197"/>
        <v xml:space="preserve">2026.0|0|Group Stage|Guadalajara Stadium|Guadalajara|Tunisia|0.0|4.0|Japan| </v>
      </c>
      <c r="M2704" s="42" t="str">
        <f>IF(COUNTIF($L$1689:L2704,L2704)&gt;1,"DOUBLON","OK")</f>
        <v>OK</v>
      </c>
      <c r="S2704" s="40" t="str">
        <v>Belgium</v>
      </c>
      <c r="T2704" s="40" t="str">
        <f t="shared" si="198"/>
        <v>OK</v>
      </c>
      <c r="U2704" s="40" t="str">
        <f t="shared" si="199"/>
        <v>-</v>
      </c>
      <c r="V2704" s="40" t="str" cm="1">
        <f t="array" ref="V2704">_xlfn.IFS(
ISNUMBER(SEARCH("USA",S2704)),"United States",
ISNUMBER(SEARCH("Republic of Ireland",S2704)),"Ireland",
ISNUMBER(SEARCH("Republic of Korea",S2704)),"South Korea",
ISNUMBER(SEARCH("Cape Verde",S2704)),"Cabo Verde",
ISNUMBER(SEARCH("Czechia",S2704)),"Czech Republic",
ISNUMBER(SEARCH("Türkiye",S2704)),"Turkey",
ISNUMBER(SEARCH("Ivory Coast",S2704)),"Côte d'Ivoire",
ISNUMBER(SEARCH("Korea Republic",S2704)),"South Korea",
ISNUMBER(SEARCH("Germany FR",S2704)),"FR Germany",
ISNUMBER(SEARCH("West Germany",S2704)),"FR Germany",
ISNUMBER(SEARCH("Germany DR",S2704)),"DR Germany",
ISNUMBER(SEARCH("Korea DPR",S2704)),"North Korea",
ISNUMBER(SEARCH("China PR",S2704)),"China",
ISNUMBER(SEARCH("IR Iran",S2704)),"Iran",
ISNUMBER(SEARCH("Congo DR",S2704)),"Democratic Republic of the Congo",
ISNUMBER(SEARCH("DR Congo",S2704)),"Democratic Republic of the Congo",
ISNUMBER(SEARCH("German DR",S2704)),"DR Germany",
ISNUMBER(SEARCH("rn""&gt;United Arab Emirates",S2704)),"United Arab Emirates",
ISNUMBER(SEARCH("rn""&gt;Republic of Ireland",S2704)),"Ireland",
ISNUMBER(SEARCH("rn""&gt;Bosnia and Herzegovina",S2704)),"Bosnia and Herzegovina",
ISNUMBER(SEARCH("rn""&gt;Trinidad and Tobago",S2704)),"Trinidad and Tobago",
ISNUMBER(SEARCH("rn""&gt;Serbia and Montenegro",S2704)),"Serbia and Montenegro",
ISNUMBER(SEARCH(_xlfn.UNICHAR(65533),S2704)),"Côte d'Ivoire",
TRUE,""
)</f>
        <v/>
      </c>
      <c r="W2704" s="40" t="str">
        <f t="shared" si="200"/>
        <v>Belgium</v>
      </c>
    </row>
    <row r="2705" spans="2:23">
      <c r="B2705" s="76" t="str">
        <v>2026.0</v>
      </c>
      <c r="C2705" s="42">
        <v>0</v>
      </c>
      <c r="D2705" s="42" t="str">
        <v>Group Stage</v>
      </c>
      <c r="E2705" s="42" t="str">
        <v>Atlanta Stadium</v>
      </c>
      <c r="F2705" s="42" t="str">
        <v>Atlanta</v>
      </c>
      <c r="G2705" s="42" t="str">
        <v>Spain</v>
      </c>
      <c r="H2705" s="42" t="str">
        <v>4.0</v>
      </c>
      <c r="I2705" s="42" t="str">
        <v>0.0</v>
      </c>
      <c r="J2705" s="42" t="str">
        <v>Saudi Arabia</v>
      </c>
      <c r="K2705" s="42" t="str">
        <v xml:space="preserve"> </v>
      </c>
      <c r="L2705" s="42" t="str">
        <f t="shared" si="197"/>
        <v xml:space="preserve">2026.0|0|Group Stage|Atlanta Stadium|Atlanta|Spain|4.0|0.0|Saudi Arabia| </v>
      </c>
      <c r="M2705" s="42" t="str">
        <f>IF(COUNTIF($L$1689:L2705,L2705)&gt;1,"DOUBLON","OK")</f>
        <v>OK</v>
      </c>
      <c r="S2705" s="40" t="str">
        <v>Soviet Union</v>
      </c>
      <c r="T2705" s="40" t="str">
        <f t="shared" si="198"/>
        <v>ERREUR</v>
      </c>
      <c r="U2705" s="40" t="str">
        <f t="shared" si="199"/>
        <v>AUCUNE</v>
      </c>
      <c r="V2705" s="40" t="str" cm="1">
        <f t="array" ref="V2705">_xlfn.IFS(
ISNUMBER(SEARCH("USA",S2705)),"United States",
ISNUMBER(SEARCH("Republic of Ireland",S2705)),"Ireland",
ISNUMBER(SEARCH("Republic of Korea",S2705)),"South Korea",
ISNUMBER(SEARCH("Cape Verde",S2705)),"Cabo Verde",
ISNUMBER(SEARCH("Czechia",S2705)),"Czech Republic",
ISNUMBER(SEARCH("Türkiye",S2705)),"Turkey",
ISNUMBER(SEARCH("Ivory Coast",S2705)),"Côte d'Ivoire",
ISNUMBER(SEARCH("Korea Republic",S2705)),"South Korea",
ISNUMBER(SEARCH("Germany FR",S2705)),"FR Germany",
ISNUMBER(SEARCH("West Germany",S2705)),"FR Germany",
ISNUMBER(SEARCH("Germany DR",S2705)),"DR Germany",
ISNUMBER(SEARCH("Korea DPR",S2705)),"North Korea",
ISNUMBER(SEARCH("China PR",S2705)),"China",
ISNUMBER(SEARCH("IR Iran",S2705)),"Iran",
ISNUMBER(SEARCH("Congo DR",S2705)),"Democratic Republic of the Congo",
ISNUMBER(SEARCH("DR Congo",S2705)),"Democratic Republic of the Congo",
ISNUMBER(SEARCH("German DR",S2705)),"DR Germany",
ISNUMBER(SEARCH("rn""&gt;United Arab Emirates",S2705)),"United Arab Emirates",
ISNUMBER(SEARCH("rn""&gt;Republic of Ireland",S2705)),"Ireland",
ISNUMBER(SEARCH("rn""&gt;Bosnia and Herzegovina",S2705)),"Bosnia and Herzegovina",
ISNUMBER(SEARCH("rn""&gt;Trinidad and Tobago",S2705)),"Trinidad and Tobago",
ISNUMBER(SEARCH("rn""&gt;Serbia and Montenegro",S2705)),"Serbia and Montenegro",
ISNUMBER(SEARCH(_xlfn.UNICHAR(65533),S2705)),"Côte d'Ivoire",
TRUE,""
)</f>
        <v/>
      </c>
      <c r="W2705" s="40" t="str">
        <f t="shared" si="200"/>
        <v>Soviet Union</v>
      </c>
    </row>
    <row r="2706" spans="2:23">
      <c r="B2706" s="76" t="str">
        <v>2026.0</v>
      </c>
      <c r="C2706" s="42">
        <v>0</v>
      </c>
      <c r="D2706" s="42" t="str">
        <v>Group Stage</v>
      </c>
      <c r="E2706" s="42" t="str">
        <v>Los Angeles Stadium</v>
      </c>
      <c r="F2706" s="42" t="str">
        <v>Los Angeles</v>
      </c>
      <c r="G2706" s="42" t="str">
        <v>Belgium</v>
      </c>
      <c r="H2706" s="42" t="str">
        <v>0.0</v>
      </c>
      <c r="I2706" s="42" t="str">
        <v>0.0</v>
      </c>
      <c r="J2706" s="42" t="str">
        <v>Iran</v>
      </c>
      <c r="K2706" s="42" t="str">
        <v xml:space="preserve"> </v>
      </c>
      <c r="L2706" s="42" t="str">
        <f t="shared" si="197"/>
        <v xml:space="preserve">2026.0|0|Group Stage|Los Angeles Stadium|Los Angeles|Belgium|0.0|0.0|Iran| </v>
      </c>
      <c r="M2706" s="42" t="str">
        <f>IF(COUNTIF($L$1689:L2706,L2706)&gt;1,"DOUBLON","OK")</f>
        <v>OK</v>
      </c>
      <c r="S2706" s="40" t="str">
        <v>Italy</v>
      </c>
      <c r="T2706" s="40" t="str">
        <f t="shared" si="198"/>
        <v>OK</v>
      </c>
      <c r="U2706" s="40" t="str">
        <f t="shared" si="199"/>
        <v>-</v>
      </c>
      <c r="V2706" s="40" t="str" cm="1">
        <f t="array" ref="V2706">_xlfn.IFS(
ISNUMBER(SEARCH("USA",S2706)),"United States",
ISNUMBER(SEARCH("Republic of Ireland",S2706)),"Ireland",
ISNUMBER(SEARCH("Republic of Korea",S2706)),"South Korea",
ISNUMBER(SEARCH("Cape Verde",S2706)),"Cabo Verde",
ISNUMBER(SEARCH("Czechia",S2706)),"Czech Republic",
ISNUMBER(SEARCH("Türkiye",S2706)),"Turkey",
ISNUMBER(SEARCH("Ivory Coast",S2706)),"Côte d'Ivoire",
ISNUMBER(SEARCH("Korea Republic",S2706)),"South Korea",
ISNUMBER(SEARCH("Germany FR",S2706)),"FR Germany",
ISNUMBER(SEARCH("West Germany",S2706)),"FR Germany",
ISNUMBER(SEARCH("Germany DR",S2706)),"DR Germany",
ISNUMBER(SEARCH("Korea DPR",S2706)),"North Korea",
ISNUMBER(SEARCH("China PR",S2706)),"China",
ISNUMBER(SEARCH("IR Iran",S2706)),"Iran",
ISNUMBER(SEARCH("Congo DR",S2706)),"Democratic Republic of the Congo",
ISNUMBER(SEARCH("DR Congo",S2706)),"Democratic Republic of the Congo",
ISNUMBER(SEARCH("German DR",S2706)),"DR Germany",
ISNUMBER(SEARCH("rn""&gt;United Arab Emirates",S2706)),"United Arab Emirates",
ISNUMBER(SEARCH("rn""&gt;Republic of Ireland",S2706)),"Ireland",
ISNUMBER(SEARCH("rn""&gt;Bosnia and Herzegovina",S2706)),"Bosnia and Herzegovina",
ISNUMBER(SEARCH("rn""&gt;Trinidad and Tobago",S2706)),"Trinidad and Tobago",
ISNUMBER(SEARCH("rn""&gt;Serbia and Montenegro",S2706)),"Serbia and Montenegro",
ISNUMBER(SEARCH(_xlfn.UNICHAR(65533),S2706)),"Côte d'Ivoire",
TRUE,""
)</f>
        <v/>
      </c>
      <c r="W2706" s="40" t="str">
        <f t="shared" si="200"/>
        <v>Italy</v>
      </c>
    </row>
    <row r="2707" spans="2:23">
      <c r="B2707" s="76" t="str">
        <v>2026.0</v>
      </c>
      <c r="C2707" s="42">
        <v>0</v>
      </c>
      <c r="D2707" s="42" t="str">
        <v>Group Stage</v>
      </c>
      <c r="E2707" s="42" t="str">
        <v>Miami Stadium</v>
      </c>
      <c r="F2707" s="42" t="str">
        <v>Miami</v>
      </c>
      <c r="G2707" s="42" t="str">
        <v>Uruguay</v>
      </c>
      <c r="H2707" s="42" t="str">
        <v>2.0</v>
      </c>
      <c r="I2707" s="42" t="str">
        <v>2.0</v>
      </c>
      <c r="J2707" s="42" t="str">
        <v>Cabo Verde</v>
      </c>
      <c r="K2707" s="42" t="str">
        <v xml:space="preserve"> </v>
      </c>
      <c r="L2707" s="42" t="str">
        <f t="shared" si="197"/>
        <v xml:space="preserve">2026.0|0|Group Stage|Miami Stadium|Miami|Uruguay|2.0|2.0|Cabo Verde| </v>
      </c>
      <c r="M2707" s="42" t="str">
        <f>IF(COUNTIF($L$1689:L2707,L2707)&gt;1,"DOUBLON","OK")</f>
        <v>OK</v>
      </c>
      <c r="S2707" s="40" t="str">
        <v>Argentina</v>
      </c>
      <c r="T2707" s="40" t="str">
        <f t="shared" si="198"/>
        <v>OK</v>
      </c>
      <c r="U2707" s="40" t="str">
        <f t="shared" si="199"/>
        <v>-</v>
      </c>
      <c r="V2707" s="40" t="str" cm="1">
        <f t="array" ref="V2707">_xlfn.IFS(
ISNUMBER(SEARCH("USA",S2707)),"United States",
ISNUMBER(SEARCH("Republic of Ireland",S2707)),"Ireland",
ISNUMBER(SEARCH("Republic of Korea",S2707)),"South Korea",
ISNUMBER(SEARCH("Cape Verde",S2707)),"Cabo Verde",
ISNUMBER(SEARCH("Czechia",S2707)),"Czech Republic",
ISNUMBER(SEARCH("Türkiye",S2707)),"Turkey",
ISNUMBER(SEARCH("Ivory Coast",S2707)),"Côte d'Ivoire",
ISNUMBER(SEARCH("Korea Republic",S2707)),"South Korea",
ISNUMBER(SEARCH("Germany FR",S2707)),"FR Germany",
ISNUMBER(SEARCH("West Germany",S2707)),"FR Germany",
ISNUMBER(SEARCH("Germany DR",S2707)),"DR Germany",
ISNUMBER(SEARCH("Korea DPR",S2707)),"North Korea",
ISNUMBER(SEARCH("China PR",S2707)),"China",
ISNUMBER(SEARCH("IR Iran",S2707)),"Iran",
ISNUMBER(SEARCH("Congo DR",S2707)),"Democratic Republic of the Congo",
ISNUMBER(SEARCH("DR Congo",S2707)),"Democratic Republic of the Congo",
ISNUMBER(SEARCH("German DR",S2707)),"DR Germany",
ISNUMBER(SEARCH("rn""&gt;United Arab Emirates",S2707)),"United Arab Emirates",
ISNUMBER(SEARCH("rn""&gt;Republic of Ireland",S2707)),"Ireland",
ISNUMBER(SEARCH("rn""&gt;Bosnia and Herzegovina",S2707)),"Bosnia and Herzegovina",
ISNUMBER(SEARCH("rn""&gt;Trinidad and Tobago",S2707)),"Trinidad and Tobago",
ISNUMBER(SEARCH("rn""&gt;Serbia and Montenegro",S2707)),"Serbia and Montenegro",
ISNUMBER(SEARCH(_xlfn.UNICHAR(65533),S2707)),"Côte d'Ivoire",
TRUE,""
)</f>
        <v/>
      </c>
      <c r="W2707" s="40" t="str">
        <f t="shared" si="200"/>
        <v>Argentina</v>
      </c>
    </row>
    <row r="2708" spans="2:23">
      <c r="B2708" s="76" t="str">
        <v>2026.0</v>
      </c>
      <c r="C2708" s="42">
        <v>0</v>
      </c>
      <c r="D2708" s="42" t="str">
        <v>Group Stage</v>
      </c>
      <c r="E2708" s="42" t="str">
        <v>Vancouver Stadium</v>
      </c>
      <c r="F2708" s="42" t="str">
        <v>Vancouver</v>
      </c>
      <c r="G2708" s="42" t="str">
        <v>New Zealand</v>
      </c>
      <c r="H2708" s="42" t="str">
        <v>1.0</v>
      </c>
      <c r="I2708" s="42" t="str">
        <v>3.0</v>
      </c>
      <c r="J2708" s="42" t="str">
        <v>Egypt</v>
      </c>
      <c r="K2708" s="42" t="str">
        <v xml:space="preserve"> </v>
      </c>
      <c r="L2708" s="42" t="str">
        <f t="shared" si="197"/>
        <v xml:space="preserve">2026.0|0|Group Stage|Vancouver Stadium|Vancouver|New Zealand|1.0|3.0|Egypt| </v>
      </c>
      <c r="M2708" s="42" t="str">
        <f>IF(COUNTIF($L$1689:L2708,L2708)&gt;1,"DOUBLON","OK")</f>
        <v>OK</v>
      </c>
      <c r="S2708" s="40" t="str">
        <v>Brazil</v>
      </c>
      <c r="T2708" s="40" t="str">
        <f t="shared" si="198"/>
        <v>OK</v>
      </c>
      <c r="U2708" s="40" t="str">
        <f t="shared" si="199"/>
        <v>-</v>
      </c>
      <c r="V2708" s="40" t="str" cm="1">
        <f t="array" ref="V2708">_xlfn.IFS(
ISNUMBER(SEARCH("USA",S2708)),"United States",
ISNUMBER(SEARCH("Republic of Ireland",S2708)),"Ireland",
ISNUMBER(SEARCH("Republic of Korea",S2708)),"South Korea",
ISNUMBER(SEARCH("Cape Verde",S2708)),"Cabo Verde",
ISNUMBER(SEARCH("Czechia",S2708)),"Czech Republic",
ISNUMBER(SEARCH("Türkiye",S2708)),"Turkey",
ISNUMBER(SEARCH("Ivory Coast",S2708)),"Côte d'Ivoire",
ISNUMBER(SEARCH("Korea Republic",S2708)),"South Korea",
ISNUMBER(SEARCH("Germany FR",S2708)),"FR Germany",
ISNUMBER(SEARCH("West Germany",S2708)),"FR Germany",
ISNUMBER(SEARCH("Germany DR",S2708)),"DR Germany",
ISNUMBER(SEARCH("Korea DPR",S2708)),"North Korea",
ISNUMBER(SEARCH("China PR",S2708)),"China",
ISNUMBER(SEARCH("IR Iran",S2708)),"Iran",
ISNUMBER(SEARCH("Congo DR",S2708)),"Democratic Republic of the Congo",
ISNUMBER(SEARCH("DR Congo",S2708)),"Democratic Republic of the Congo",
ISNUMBER(SEARCH("German DR",S2708)),"DR Germany",
ISNUMBER(SEARCH("rn""&gt;United Arab Emirates",S2708)),"United Arab Emirates",
ISNUMBER(SEARCH("rn""&gt;Republic of Ireland",S2708)),"Ireland",
ISNUMBER(SEARCH("rn""&gt;Bosnia and Herzegovina",S2708)),"Bosnia and Herzegovina",
ISNUMBER(SEARCH("rn""&gt;Trinidad and Tobago",S2708)),"Trinidad and Tobago",
ISNUMBER(SEARCH("rn""&gt;Serbia and Montenegro",S2708)),"Serbia and Montenegro",
ISNUMBER(SEARCH(_xlfn.UNICHAR(65533),S2708)),"Côte d'Ivoire",
TRUE,""
)</f>
        <v/>
      </c>
      <c r="W2708" s="40" t="str">
        <f t="shared" si="200"/>
        <v>Brazil</v>
      </c>
    </row>
    <row r="2709" spans="2:23">
      <c r="B2709" s="76" t="str">
        <v>2026.0</v>
      </c>
      <c r="C2709" s="42">
        <v>0</v>
      </c>
      <c r="D2709" s="42" t="str">
        <v>Group Stage</v>
      </c>
      <c r="E2709" s="42" t="str">
        <v>Toronto Stadium</v>
      </c>
      <c r="F2709" s="42" t="str">
        <v>Toronto</v>
      </c>
      <c r="G2709" s="42" t="str">
        <v>Panama</v>
      </c>
      <c r="H2709" s="42" t="str">
        <v>0.0</v>
      </c>
      <c r="I2709" s="42" t="str">
        <v>1.0</v>
      </c>
      <c r="J2709" s="42" t="str">
        <v>Croatia</v>
      </c>
      <c r="K2709" s="42" t="str">
        <v xml:space="preserve"> </v>
      </c>
      <c r="L2709" s="42" t="str">
        <f t="shared" si="197"/>
        <v xml:space="preserve">2026.0|0|Group Stage|Toronto Stadium|Toronto|Panama|0.0|1.0|Croatia| </v>
      </c>
      <c r="M2709" s="42" t="str">
        <f>IF(COUNTIF($L$1689:L2709,L2709)&gt;1,"DOUBLON","OK")</f>
        <v>OK</v>
      </c>
      <c r="S2709" s="40" t="str">
        <v>Algeria</v>
      </c>
      <c r="T2709" s="40" t="str">
        <f t="shared" si="198"/>
        <v>OK</v>
      </c>
      <c r="U2709" s="40" t="str">
        <f t="shared" si="199"/>
        <v>-</v>
      </c>
      <c r="V2709" s="40" t="str" cm="1">
        <f t="array" ref="V2709">_xlfn.IFS(
ISNUMBER(SEARCH("USA",S2709)),"United States",
ISNUMBER(SEARCH("Republic of Ireland",S2709)),"Ireland",
ISNUMBER(SEARCH("Republic of Korea",S2709)),"South Korea",
ISNUMBER(SEARCH("Cape Verde",S2709)),"Cabo Verde",
ISNUMBER(SEARCH("Czechia",S2709)),"Czech Republic",
ISNUMBER(SEARCH("Türkiye",S2709)),"Turkey",
ISNUMBER(SEARCH("Ivory Coast",S2709)),"Côte d'Ivoire",
ISNUMBER(SEARCH("Korea Republic",S2709)),"South Korea",
ISNUMBER(SEARCH("Germany FR",S2709)),"FR Germany",
ISNUMBER(SEARCH("West Germany",S2709)),"FR Germany",
ISNUMBER(SEARCH("Germany DR",S2709)),"DR Germany",
ISNUMBER(SEARCH("Korea DPR",S2709)),"North Korea",
ISNUMBER(SEARCH("China PR",S2709)),"China",
ISNUMBER(SEARCH("IR Iran",S2709)),"Iran",
ISNUMBER(SEARCH("Congo DR",S2709)),"Democratic Republic of the Congo",
ISNUMBER(SEARCH("DR Congo",S2709)),"Democratic Republic of the Congo",
ISNUMBER(SEARCH("German DR",S2709)),"DR Germany",
ISNUMBER(SEARCH("rn""&gt;United Arab Emirates",S2709)),"United Arab Emirates",
ISNUMBER(SEARCH("rn""&gt;Republic of Ireland",S2709)),"Ireland",
ISNUMBER(SEARCH("rn""&gt;Bosnia and Herzegovina",S2709)),"Bosnia and Herzegovina",
ISNUMBER(SEARCH("rn""&gt;Trinidad and Tobago",S2709)),"Trinidad and Tobago",
ISNUMBER(SEARCH("rn""&gt;Serbia and Montenegro",S2709)),"Serbia and Montenegro",
ISNUMBER(SEARCH(_xlfn.UNICHAR(65533),S2709)),"Côte d'Ivoire",
TRUE,""
)</f>
        <v/>
      </c>
      <c r="W2709" s="40" t="str">
        <f t="shared" si="200"/>
        <v>Algeria</v>
      </c>
    </row>
    <row r="2710" spans="2:23">
      <c r="B2710" s="76" t="str">
        <v>2026.0</v>
      </c>
      <c r="C2710" s="42">
        <v>0</v>
      </c>
      <c r="D2710" s="42" t="str">
        <v>Group Stage</v>
      </c>
      <c r="E2710" s="42" t="str">
        <v>Zapopan Stadium</v>
      </c>
      <c r="F2710" s="42" t="str">
        <v>Zapopan</v>
      </c>
      <c r="G2710" s="42" t="str">
        <v>Colombia</v>
      </c>
      <c r="H2710" s="42" t="str">
        <v>1.0</v>
      </c>
      <c r="I2710" s="42" t="str">
        <v>0.0</v>
      </c>
      <c r="J2710" s="42" t="str">
        <v>Congo DR</v>
      </c>
      <c r="K2710" s="42" t="str">
        <v xml:space="preserve"> </v>
      </c>
      <c r="L2710" s="42" t="str">
        <f t="shared" si="197"/>
        <v xml:space="preserve">2026.0|0|Group Stage|Zapopan Stadium|Zapopan|Colombia|1.0|0.0|Congo DR| </v>
      </c>
      <c r="M2710" s="42" t="str">
        <f>IF(COUNTIF($L$1689:L2710,L2710)&gt;1,"DOUBLON","OK")</f>
        <v>OK</v>
      </c>
      <c r="S2710" s="40" t="str">
        <v>France</v>
      </c>
      <c r="T2710" s="40" t="str">
        <f t="shared" si="198"/>
        <v>OK</v>
      </c>
      <c r="U2710" s="40" t="str">
        <f t="shared" si="199"/>
        <v>-</v>
      </c>
      <c r="V2710" s="40" t="str" cm="1">
        <f t="array" ref="V2710">_xlfn.IFS(
ISNUMBER(SEARCH("USA",S2710)),"United States",
ISNUMBER(SEARCH("Republic of Ireland",S2710)),"Ireland",
ISNUMBER(SEARCH("Republic of Korea",S2710)),"South Korea",
ISNUMBER(SEARCH("Cape Verde",S2710)),"Cabo Verde",
ISNUMBER(SEARCH("Czechia",S2710)),"Czech Republic",
ISNUMBER(SEARCH("Türkiye",S2710)),"Turkey",
ISNUMBER(SEARCH("Ivory Coast",S2710)),"Côte d'Ivoire",
ISNUMBER(SEARCH("Korea Republic",S2710)),"South Korea",
ISNUMBER(SEARCH("Germany FR",S2710)),"FR Germany",
ISNUMBER(SEARCH("West Germany",S2710)),"FR Germany",
ISNUMBER(SEARCH("Germany DR",S2710)),"DR Germany",
ISNUMBER(SEARCH("Korea DPR",S2710)),"North Korea",
ISNUMBER(SEARCH("China PR",S2710)),"China",
ISNUMBER(SEARCH("IR Iran",S2710)),"Iran",
ISNUMBER(SEARCH("Congo DR",S2710)),"Democratic Republic of the Congo",
ISNUMBER(SEARCH("DR Congo",S2710)),"Democratic Republic of the Congo",
ISNUMBER(SEARCH("German DR",S2710)),"DR Germany",
ISNUMBER(SEARCH("rn""&gt;United Arab Emirates",S2710)),"United Arab Emirates",
ISNUMBER(SEARCH("rn""&gt;Republic of Ireland",S2710)),"Ireland",
ISNUMBER(SEARCH("rn""&gt;Bosnia and Herzegovina",S2710)),"Bosnia and Herzegovina",
ISNUMBER(SEARCH("rn""&gt;Trinidad and Tobago",S2710)),"Trinidad and Tobago",
ISNUMBER(SEARCH("rn""&gt;Serbia and Montenegro",S2710)),"Serbia and Montenegro",
ISNUMBER(SEARCH(_xlfn.UNICHAR(65533),S2710)),"Côte d'Ivoire",
TRUE,""
)</f>
        <v/>
      </c>
      <c r="W2710" s="40" t="str">
        <f t="shared" si="200"/>
        <v>France</v>
      </c>
    </row>
    <row r="2711" spans="2:23">
      <c r="B2711" s="76" t="str">
        <v>2026.0</v>
      </c>
      <c r="C2711" s="42">
        <v>0</v>
      </c>
      <c r="D2711" s="42" t="str">
        <v>Group Stage</v>
      </c>
      <c r="E2711" s="42" t="str">
        <v>Vancouver Stadium</v>
      </c>
      <c r="F2711" s="42" t="str">
        <v>Vancouver</v>
      </c>
      <c r="G2711" s="42" t="str">
        <v>Switzerland</v>
      </c>
      <c r="H2711" s="42" t="str">
        <v>2.0</v>
      </c>
      <c r="I2711" s="42" t="str">
        <v>1.0</v>
      </c>
      <c r="J2711" s="42" t="str">
        <v>Canada</v>
      </c>
      <c r="K2711" s="42" t="str">
        <v xml:space="preserve"> </v>
      </c>
      <c r="L2711" s="42" t="str">
        <f t="shared" si="197"/>
        <v xml:space="preserve">2026.0|0|Group Stage|Vancouver Stadium|Vancouver|Switzerland|2.0|1.0|Canada| </v>
      </c>
      <c r="M2711" s="42" t="str">
        <f>IF(COUNTIF($L$1689:L2711,L2711)&gt;1,"DOUBLON","OK")</f>
        <v>OK</v>
      </c>
      <c r="S2711" s="40" t="str">
        <v>Honduras</v>
      </c>
      <c r="T2711" s="40" t="str">
        <f t="shared" si="198"/>
        <v>OK</v>
      </c>
      <c r="U2711" s="40" t="str">
        <f t="shared" si="199"/>
        <v>-</v>
      </c>
      <c r="V2711" s="40" t="str" cm="1">
        <f t="array" ref="V2711">_xlfn.IFS(
ISNUMBER(SEARCH("USA",S2711)),"United States",
ISNUMBER(SEARCH("Republic of Ireland",S2711)),"Ireland",
ISNUMBER(SEARCH("Republic of Korea",S2711)),"South Korea",
ISNUMBER(SEARCH("Cape Verde",S2711)),"Cabo Verde",
ISNUMBER(SEARCH("Czechia",S2711)),"Czech Republic",
ISNUMBER(SEARCH("Türkiye",S2711)),"Turkey",
ISNUMBER(SEARCH("Ivory Coast",S2711)),"Côte d'Ivoire",
ISNUMBER(SEARCH("Korea Republic",S2711)),"South Korea",
ISNUMBER(SEARCH("Germany FR",S2711)),"FR Germany",
ISNUMBER(SEARCH("West Germany",S2711)),"FR Germany",
ISNUMBER(SEARCH("Germany DR",S2711)),"DR Germany",
ISNUMBER(SEARCH("Korea DPR",S2711)),"North Korea",
ISNUMBER(SEARCH("China PR",S2711)),"China",
ISNUMBER(SEARCH("IR Iran",S2711)),"Iran",
ISNUMBER(SEARCH("Congo DR",S2711)),"Democratic Republic of the Congo",
ISNUMBER(SEARCH("DR Congo",S2711)),"Democratic Republic of the Congo",
ISNUMBER(SEARCH("German DR",S2711)),"DR Germany",
ISNUMBER(SEARCH("rn""&gt;United Arab Emirates",S2711)),"United Arab Emirates",
ISNUMBER(SEARCH("rn""&gt;Republic of Ireland",S2711)),"Ireland",
ISNUMBER(SEARCH("rn""&gt;Bosnia and Herzegovina",S2711)),"Bosnia and Herzegovina",
ISNUMBER(SEARCH("rn""&gt;Trinidad and Tobago",S2711)),"Trinidad and Tobago",
ISNUMBER(SEARCH("rn""&gt;Serbia and Montenegro",S2711)),"Serbia and Montenegro",
ISNUMBER(SEARCH(_xlfn.UNICHAR(65533),S2711)),"Côte d'Ivoire",
TRUE,""
)</f>
        <v/>
      </c>
      <c r="W2711" s="40" t="str">
        <f t="shared" si="200"/>
        <v>Honduras</v>
      </c>
    </row>
    <row r="2712" spans="2:23">
      <c r="B2712" s="76" t="str">
        <v>2026.0</v>
      </c>
      <c r="C2712" s="42">
        <v>0</v>
      </c>
      <c r="D2712" s="42" t="str">
        <v>Group Stage</v>
      </c>
      <c r="E2712" s="42" t="str">
        <v>Seattle Stadium</v>
      </c>
      <c r="F2712" s="42" t="str">
        <v>Seattle</v>
      </c>
      <c r="G2712" s="42" t="str">
        <v>Bosnia and Herzegovina</v>
      </c>
      <c r="H2712" s="42" t="str">
        <v>3.0</v>
      </c>
      <c r="I2712" s="42" t="str">
        <v>1.0</v>
      </c>
      <c r="J2712" s="42" t="str">
        <v>Qatar</v>
      </c>
      <c r="K2712" s="42" t="str">
        <v xml:space="preserve"> </v>
      </c>
      <c r="L2712" s="42" t="str">
        <f t="shared" si="197"/>
        <v xml:space="preserve">2026.0|0|Group Stage|Seattle Stadium|Seattle|Bosnia and Herzegovina|3.0|1.0|Qatar| </v>
      </c>
      <c r="M2712" s="42" t="str">
        <f>IF(COUNTIF($L$1689:L2712,L2712)&gt;1,"DOUBLON","OK")</f>
        <v>OK</v>
      </c>
      <c r="S2712" s="40" t="str">
        <v>Germany FR</v>
      </c>
      <c r="T2712" s="40" t="str">
        <f t="shared" si="198"/>
        <v>ERREUR</v>
      </c>
      <c r="U2712" s="40" t="str">
        <f t="shared" si="199"/>
        <v>RENOMMER</v>
      </c>
      <c r="V2712" s="40" t="str" cm="1">
        <f t="array" ref="V2712">_xlfn.IFS(
ISNUMBER(SEARCH("USA",S2712)),"United States",
ISNUMBER(SEARCH("Republic of Ireland",S2712)),"Ireland",
ISNUMBER(SEARCH("Republic of Korea",S2712)),"South Korea",
ISNUMBER(SEARCH("Cape Verde",S2712)),"Cabo Verde",
ISNUMBER(SEARCH("Czechia",S2712)),"Czech Republic",
ISNUMBER(SEARCH("Türkiye",S2712)),"Turkey",
ISNUMBER(SEARCH("Ivory Coast",S2712)),"Côte d'Ivoire",
ISNUMBER(SEARCH("Korea Republic",S2712)),"South Korea",
ISNUMBER(SEARCH("Germany FR",S2712)),"FR Germany",
ISNUMBER(SEARCH("West Germany",S2712)),"FR Germany",
ISNUMBER(SEARCH("Germany DR",S2712)),"DR Germany",
ISNUMBER(SEARCH("Korea DPR",S2712)),"North Korea",
ISNUMBER(SEARCH("China PR",S2712)),"China",
ISNUMBER(SEARCH("IR Iran",S2712)),"Iran",
ISNUMBER(SEARCH("Congo DR",S2712)),"Democratic Republic of the Congo",
ISNUMBER(SEARCH("DR Congo",S2712)),"Democratic Republic of the Congo",
ISNUMBER(SEARCH("German DR",S2712)),"DR Germany",
ISNUMBER(SEARCH("rn""&gt;United Arab Emirates",S2712)),"United Arab Emirates",
ISNUMBER(SEARCH("rn""&gt;Republic of Ireland",S2712)),"Ireland",
ISNUMBER(SEARCH("rn""&gt;Bosnia and Herzegovina",S2712)),"Bosnia and Herzegovina",
ISNUMBER(SEARCH("rn""&gt;Trinidad and Tobago",S2712)),"Trinidad and Tobago",
ISNUMBER(SEARCH("rn""&gt;Serbia and Montenegro",S2712)),"Serbia and Montenegro",
ISNUMBER(SEARCH(_xlfn.UNICHAR(65533),S2712)),"Côte d'Ivoire",
TRUE,""
)</f>
        <v>FR Germany</v>
      </c>
      <c r="W2712" s="40" t="str">
        <f t="shared" si="200"/>
        <v>FR Germany</v>
      </c>
    </row>
    <row r="2713" spans="2:23">
      <c r="B2713" s="76" t="str">
        <v>2026.0</v>
      </c>
      <c r="C2713" s="42">
        <v>0</v>
      </c>
      <c r="D2713" s="42" t="str">
        <v>Group Stage</v>
      </c>
      <c r="E2713" s="42" t="str">
        <v>Atlanta Stadium</v>
      </c>
      <c r="F2713" s="42" t="str">
        <v>Atlanta</v>
      </c>
      <c r="G2713" s="42" t="str">
        <v>Morocco</v>
      </c>
      <c r="H2713" s="42" t="str">
        <v>4.0</v>
      </c>
      <c r="I2713" s="42" t="str">
        <v>2.0</v>
      </c>
      <c r="J2713" s="42" t="str">
        <v>Haiti</v>
      </c>
      <c r="K2713" s="42" t="str">
        <v xml:space="preserve"> </v>
      </c>
      <c r="L2713" s="42" t="str">
        <f t="shared" ref="L2713:L2762" si="201">B2713&amp;"|"&amp;C2713&amp;"|"&amp;D2713&amp;"|"&amp;E2713&amp;"|"&amp;F2713&amp;"|"&amp;G2713&amp;"|"&amp;H2713&amp;"|"&amp;I2713&amp;"|"&amp;J2713&amp;"|"&amp;K2713</f>
        <v xml:space="preserve">2026.0|0|Group Stage|Atlanta Stadium|Atlanta|Morocco|4.0|2.0|Haiti| </v>
      </c>
      <c r="M2713" s="42" t="str">
        <f>IF(COUNTIF($L$1689:L2713,L2713)&gt;1,"DOUBLON","OK")</f>
        <v>OK</v>
      </c>
      <c r="S2713" s="40" t="str">
        <v>England</v>
      </c>
      <c r="T2713" s="40" t="str">
        <f t="shared" si="198"/>
        <v>ERREUR</v>
      </c>
      <c r="U2713" s="40" t="str">
        <f t="shared" si="199"/>
        <v>AUCUNE</v>
      </c>
      <c r="V2713" s="40" t="str" cm="1">
        <f t="array" ref="V2713">_xlfn.IFS(
ISNUMBER(SEARCH("USA",S2713)),"United States",
ISNUMBER(SEARCH("Republic of Ireland",S2713)),"Ireland",
ISNUMBER(SEARCH("Republic of Korea",S2713)),"South Korea",
ISNUMBER(SEARCH("Cape Verde",S2713)),"Cabo Verde",
ISNUMBER(SEARCH("Czechia",S2713)),"Czech Republic",
ISNUMBER(SEARCH("Türkiye",S2713)),"Turkey",
ISNUMBER(SEARCH("Ivory Coast",S2713)),"Côte d'Ivoire",
ISNUMBER(SEARCH("Korea Republic",S2713)),"South Korea",
ISNUMBER(SEARCH("Germany FR",S2713)),"FR Germany",
ISNUMBER(SEARCH("West Germany",S2713)),"FR Germany",
ISNUMBER(SEARCH("Germany DR",S2713)),"DR Germany",
ISNUMBER(SEARCH("Korea DPR",S2713)),"North Korea",
ISNUMBER(SEARCH("China PR",S2713)),"China",
ISNUMBER(SEARCH("IR Iran",S2713)),"Iran",
ISNUMBER(SEARCH("Congo DR",S2713)),"Democratic Republic of the Congo",
ISNUMBER(SEARCH("DR Congo",S2713)),"Democratic Republic of the Congo",
ISNUMBER(SEARCH("German DR",S2713)),"DR Germany",
ISNUMBER(SEARCH("rn""&gt;United Arab Emirates",S2713)),"United Arab Emirates",
ISNUMBER(SEARCH("rn""&gt;Republic of Ireland",S2713)),"Ireland",
ISNUMBER(SEARCH("rn""&gt;Bosnia and Herzegovina",S2713)),"Bosnia and Herzegovina",
ISNUMBER(SEARCH("rn""&gt;Trinidad and Tobago",S2713)),"Trinidad and Tobago",
ISNUMBER(SEARCH("rn""&gt;Serbia and Montenegro",S2713)),"Serbia and Montenegro",
ISNUMBER(SEARCH(_xlfn.UNICHAR(65533),S2713)),"Côte d'Ivoire",
TRUE,""
)</f>
        <v/>
      </c>
      <c r="W2713" s="40" t="str">
        <f t="shared" si="200"/>
        <v>England</v>
      </c>
    </row>
    <row r="2714" spans="2:23">
      <c r="B2714" s="76" t="str">
        <v>2026.0</v>
      </c>
      <c r="C2714" s="42">
        <v>0</v>
      </c>
      <c r="D2714" s="42" t="str">
        <v>Group Stage</v>
      </c>
      <c r="E2714" s="42" t="str">
        <v>Miami Stadium</v>
      </c>
      <c r="F2714" s="42" t="str">
        <v>Miami</v>
      </c>
      <c r="G2714" s="42" t="str">
        <v>Scotland</v>
      </c>
      <c r="H2714" s="42" t="str">
        <v>0.0</v>
      </c>
      <c r="I2714" s="42" t="str">
        <v>3.0</v>
      </c>
      <c r="J2714" s="42" t="str">
        <v>Brazil</v>
      </c>
      <c r="K2714" s="42" t="str">
        <v xml:space="preserve"> </v>
      </c>
      <c r="L2714" s="42" t="str">
        <f t="shared" si="201"/>
        <v xml:space="preserve">2026.0|0|Group Stage|Miami Stadium|Miami|Scotland|0.0|3.0|Brazil| </v>
      </c>
      <c r="M2714" s="42" t="str">
        <f>IF(COUNTIF($L$1689:L2714,L2714)&gt;1,"DOUBLON","OK")</f>
        <v>OK</v>
      </c>
      <c r="S2714" s="40" t="str">
        <v>Northern Ireland</v>
      </c>
      <c r="T2714" s="40" t="str">
        <f t="shared" si="198"/>
        <v>ERREUR</v>
      </c>
      <c r="U2714" s="40" t="str">
        <f t="shared" si="199"/>
        <v>AUCUNE</v>
      </c>
      <c r="V2714" s="40" t="str" cm="1">
        <f t="array" ref="V2714">_xlfn.IFS(
ISNUMBER(SEARCH("USA",S2714)),"United States",
ISNUMBER(SEARCH("Republic of Ireland",S2714)),"Ireland",
ISNUMBER(SEARCH("Republic of Korea",S2714)),"South Korea",
ISNUMBER(SEARCH("Cape Verde",S2714)),"Cabo Verde",
ISNUMBER(SEARCH("Czechia",S2714)),"Czech Republic",
ISNUMBER(SEARCH("Türkiye",S2714)),"Turkey",
ISNUMBER(SEARCH("Ivory Coast",S2714)),"Côte d'Ivoire",
ISNUMBER(SEARCH("Korea Republic",S2714)),"South Korea",
ISNUMBER(SEARCH("Germany FR",S2714)),"FR Germany",
ISNUMBER(SEARCH("West Germany",S2714)),"FR Germany",
ISNUMBER(SEARCH("Germany DR",S2714)),"DR Germany",
ISNUMBER(SEARCH("Korea DPR",S2714)),"North Korea",
ISNUMBER(SEARCH("China PR",S2714)),"China",
ISNUMBER(SEARCH("IR Iran",S2714)),"Iran",
ISNUMBER(SEARCH("Congo DR",S2714)),"Democratic Republic of the Congo",
ISNUMBER(SEARCH("DR Congo",S2714)),"Democratic Republic of the Congo",
ISNUMBER(SEARCH("German DR",S2714)),"DR Germany",
ISNUMBER(SEARCH("rn""&gt;United Arab Emirates",S2714)),"United Arab Emirates",
ISNUMBER(SEARCH("rn""&gt;Republic of Ireland",S2714)),"Ireland",
ISNUMBER(SEARCH("rn""&gt;Bosnia and Herzegovina",S2714)),"Bosnia and Herzegovina",
ISNUMBER(SEARCH("rn""&gt;Trinidad and Tobago",S2714)),"Trinidad and Tobago",
ISNUMBER(SEARCH("rn""&gt;Serbia and Montenegro",S2714)),"Serbia and Montenegro",
ISNUMBER(SEARCH(_xlfn.UNICHAR(65533),S2714)),"Côte d'Ivoire",
TRUE,""
)</f>
        <v/>
      </c>
      <c r="W2714" s="40" t="str">
        <f t="shared" si="200"/>
        <v>Northern Ireland</v>
      </c>
    </row>
    <row r="2715" spans="2:23">
      <c r="B2715" s="76" t="str">
        <v>2026.0</v>
      </c>
      <c r="C2715" s="42">
        <v>0</v>
      </c>
      <c r="D2715" s="42" t="str">
        <v>Group Stage</v>
      </c>
      <c r="E2715" s="42" t="str">
        <v>Guadalajara Stadium</v>
      </c>
      <c r="F2715" s="42" t="str">
        <v>Guadalajara</v>
      </c>
      <c r="G2715" s="42" t="str">
        <v>South Africa</v>
      </c>
      <c r="H2715" s="42" t="str">
        <v>1.0</v>
      </c>
      <c r="I2715" s="42" t="str">
        <v>0.0</v>
      </c>
      <c r="J2715" s="42" t="str">
        <v>South Korea</v>
      </c>
      <c r="K2715" s="42" t="str">
        <v xml:space="preserve"> </v>
      </c>
      <c r="L2715" s="42" t="str">
        <f t="shared" si="201"/>
        <v xml:space="preserve">2026.0|0|Group Stage|Guadalajara Stadium|Guadalajara|South Africa|1.0|0.0|South Korea| </v>
      </c>
      <c r="M2715" s="42" t="str">
        <f>IF(COUNTIF($L$1689:L2715,L2715)&gt;1,"DOUBLON","OK")</f>
        <v>OK</v>
      </c>
      <c r="S2715" s="40" t="str">
        <v>Austria</v>
      </c>
      <c r="T2715" s="40" t="str">
        <f t="shared" si="198"/>
        <v>OK</v>
      </c>
      <c r="U2715" s="40" t="str">
        <f t="shared" si="199"/>
        <v>-</v>
      </c>
      <c r="V2715" s="40" t="str" cm="1">
        <f t="array" ref="V2715">_xlfn.IFS(
ISNUMBER(SEARCH("USA",S2715)),"United States",
ISNUMBER(SEARCH("Republic of Ireland",S2715)),"Ireland",
ISNUMBER(SEARCH("Republic of Korea",S2715)),"South Korea",
ISNUMBER(SEARCH("Cape Verde",S2715)),"Cabo Verde",
ISNUMBER(SEARCH("Czechia",S2715)),"Czech Republic",
ISNUMBER(SEARCH("Türkiye",S2715)),"Turkey",
ISNUMBER(SEARCH("Ivory Coast",S2715)),"Côte d'Ivoire",
ISNUMBER(SEARCH("Korea Republic",S2715)),"South Korea",
ISNUMBER(SEARCH("Germany FR",S2715)),"FR Germany",
ISNUMBER(SEARCH("West Germany",S2715)),"FR Germany",
ISNUMBER(SEARCH("Germany DR",S2715)),"DR Germany",
ISNUMBER(SEARCH("Korea DPR",S2715)),"North Korea",
ISNUMBER(SEARCH("China PR",S2715)),"China",
ISNUMBER(SEARCH("IR Iran",S2715)),"Iran",
ISNUMBER(SEARCH("Congo DR",S2715)),"Democratic Republic of the Congo",
ISNUMBER(SEARCH("DR Congo",S2715)),"Democratic Republic of the Congo",
ISNUMBER(SEARCH("German DR",S2715)),"DR Germany",
ISNUMBER(SEARCH("rn""&gt;United Arab Emirates",S2715)),"United Arab Emirates",
ISNUMBER(SEARCH("rn""&gt;Republic of Ireland",S2715)),"Ireland",
ISNUMBER(SEARCH("rn""&gt;Bosnia and Herzegovina",S2715)),"Bosnia and Herzegovina",
ISNUMBER(SEARCH("rn""&gt;Trinidad and Tobago",S2715)),"Trinidad and Tobago",
ISNUMBER(SEARCH("rn""&gt;Serbia and Montenegro",S2715)),"Serbia and Montenegro",
ISNUMBER(SEARCH(_xlfn.UNICHAR(65533),S2715)),"Côte d'Ivoire",
TRUE,""
)</f>
        <v/>
      </c>
      <c r="W2715" s="40" t="str">
        <f t="shared" si="200"/>
        <v>Austria</v>
      </c>
    </row>
    <row r="2716" spans="2:23">
      <c r="B2716" s="76" t="str">
        <v>2026.0</v>
      </c>
      <c r="C2716" s="42">
        <v>0</v>
      </c>
      <c r="D2716" s="42" t="str">
        <v>Group Stage</v>
      </c>
      <c r="E2716" s="42" t="str">
        <v>Mexico City Stadium</v>
      </c>
      <c r="F2716" s="42" t="str">
        <v>Mexico City</v>
      </c>
      <c r="G2716" s="42" t="str">
        <v>Czechia</v>
      </c>
      <c r="H2716" s="42" t="str">
        <v>0.0</v>
      </c>
      <c r="I2716" s="42" t="str">
        <v>3.0</v>
      </c>
      <c r="J2716" s="42" t="str">
        <v>Mexico</v>
      </c>
      <c r="K2716" s="42" t="str">
        <v xml:space="preserve"> </v>
      </c>
      <c r="L2716" s="42" t="str">
        <f t="shared" si="201"/>
        <v xml:space="preserve">2026.0|0|Group Stage|Mexico City Stadium|Mexico City|Czechia|0.0|3.0|Mexico| </v>
      </c>
      <c r="M2716" s="42" t="str">
        <f>IF(COUNTIF($L$1689:L2716,L2716)&gt;1,"DOUBLON","OK")</f>
        <v>OK</v>
      </c>
      <c r="S2716" s="40" t="str">
        <v>Poland</v>
      </c>
      <c r="T2716" s="40" t="str">
        <f t="shared" si="198"/>
        <v>OK</v>
      </c>
      <c r="U2716" s="40" t="str">
        <f t="shared" si="199"/>
        <v>-</v>
      </c>
      <c r="V2716" s="40" t="str" cm="1">
        <f t="array" ref="V2716">_xlfn.IFS(
ISNUMBER(SEARCH("USA",S2716)),"United States",
ISNUMBER(SEARCH("Republic of Ireland",S2716)),"Ireland",
ISNUMBER(SEARCH("Republic of Korea",S2716)),"South Korea",
ISNUMBER(SEARCH("Cape Verde",S2716)),"Cabo Verde",
ISNUMBER(SEARCH("Czechia",S2716)),"Czech Republic",
ISNUMBER(SEARCH("Türkiye",S2716)),"Turkey",
ISNUMBER(SEARCH("Ivory Coast",S2716)),"Côte d'Ivoire",
ISNUMBER(SEARCH("Korea Republic",S2716)),"South Korea",
ISNUMBER(SEARCH("Germany FR",S2716)),"FR Germany",
ISNUMBER(SEARCH("West Germany",S2716)),"FR Germany",
ISNUMBER(SEARCH("Germany DR",S2716)),"DR Germany",
ISNUMBER(SEARCH("Korea DPR",S2716)),"North Korea",
ISNUMBER(SEARCH("China PR",S2716)),"China",
ISNUMBER(SEARCH("IR Iran",S2716)),"Iran",
ISNUMBER(SEARCH("Congo DR",S2716)),"Democratic Republic of the Congo",
ISNUMBER(SEARCH("DR Congo",S2716)),"Democratic Republic of the Congo",
ISNUMBER(SEARCH("German DR",S2716)),"DR Germany",
ISNUMBER(SEARCH("rn""&gt;United Arab Emirates",S2716)),"United Arab Emirates",
ISNUMBER(SEARCH("rn""&gt;Republic of Ireland",S2716)),"Ireland",
ISNUMBER(SEARCH("rn""&gt;Bosnia and Herzegovina",S2716)),"Bosnia and Herzegovina",
ISNUMBER(SEARCH("rn""&gt;Trinidad and Tobago",S2716)),"Trinidad and Tobago",
ISNUMBER(SEARCH("rn""&gt;Serbia and Montenegro",S2716)),"Serbia and Montenegro",
ISNUMBER(SEARCH(_xlfn.UNICHAR(65533),S2716)),"Côte d'Ivoire",
TRUE,""
)</f>
        <v/>
      </c>
      <c r="W2716" s="40" t="str">
        <f t="shared" si="200"/>
        <v>Poland</v>
      </c>
    </row>
    <row r="2717" spans="2:23">
      <c r="B2717" s="76" t="str">
        <v>2026.0</v>
      </c>
      <c r="C2717" s="42">
        <v>0</v>
      </c>
      <c r="D2717" s="42" t="str">
        <v>Group Stage</v>
      </c>
      <c r="E2717" s="42" t="str">
        <v>Philadelphia Stadium</v>
      </c>
      <c r="F2717" s="42" t="str">
        <v>Philadelphia</v>
      </c>
      <c r="G2717" s="42" t="str">
        <v>Curaçao</v>
      </c>
      <c r="H2717" s="42" t="str">
        <v>0.0</v>
      </c>
      <c r="I2717" s="42" t="str">
        <v>2.0</v>
      </c>
      <c r="J2717" s="42" t="str">
        <v>Ivory Coast</v>
      </c>
      <c r="K2717" s="42" t="str">
        <v xml:space="preserve"> </v>
      </c>
      <c r="L2717" s="42" t="str">
        <f t="shared" si="201"/>
        <v xml:space="preserve">2026.0|0|Group Stage|Philadelphia Stadium|Philadelphia|Curaçao|0.0|2.0|Ivory Coast| </v>
      </c>
      <c r="M2717" s="42" t="str">
        <f>IF(COUNTIF($L$1689:L2717,L2717)&gt;1,"DOUBLON","OK")</f>
        <v>OK</v>
      </c>
      <c r="S2717" s="40" t="str">
        <v>Italy</v>
      </c>
      <c r="T2717" s="40" t="str">
        <f t="shared" si="198"/>
        <v>OK</v>
      </c>
      <c r="U2717" s="40" t="str">
        <f t="shared" si="199"/>
        <v>-</v>
      </c>
      <c r="V2717" s="40" t="str" cm="1">
        <f t="array" ref="V2717">_xlfn.IFS(
ISNUMBER(SEARCH("USA",S2717)),"United States",
ISNUMBER(SEARCH("Republic of Ireland",S2717)),"Ireland",
ISNUMBER(SEARCH("Republic of Korea",S2717)),"South Korea",
ISNUMBER(SEARCH("Cape Verde",S2717)),"Cabo Verde",
ISNUMBER(SEARCH("Czechia",S2717)),"Czech Republic",
ISNUMBER(SEARCH("Türkiye",S2717)),"Turkey",
ISNUMBER(SEARCH("Ivory Coast",S2717)),"Côte d'Ivoire",
ISNUMBER(SEARCH("Korea Republic",S2717)),"South Korea",
ISNUMBER(SEARCH("Germany FR",S2717)),"FR Germany",
ISNUMBER(SEARCH("West Germany",S2717)),"FR Germany",
ISNUMBER(SEARCH("Germany DR",S2717)),"DR Germany",
ISNUMBER(SEARCH("Korea DPR",S2717)),"North Korea",
ISNUMBER(SEARCH("China PR",S2717)),"China",
ISNUMBER(SEARCH("IR Iran",S2717)),"Iran",
ISNUMBER(SEARCH("Congo DR",S2717)),"Democratic Republic of the Congo",
ISNUMBER(SEARCH("DR Congo",S2717)),"Democratic Republic of the Congo",
ISNUMBER(SEARCH("German DR",S2717)),"DR Germany",
ISNUMBER(SEARCH("rn""&gt;United Arab Emirates",S2717)),"United Arab Emirates",
ISNUMBER(SEARCH("rn""&gt;Republic of Ireland",S2717)),"Ireland",
ISNUMBER(SEARCH("rn""&gt;Bosnia and Herzegovina",S2717)),"Bosnia and Herzegovina",
ISNUMBER(SEARCH("rn""&gt;Trinidad and Tobago",S2717)),"Trinidad and Tobago",
ISNUMBER(SEARCH("rn""&gt;Serbia and Montenegro",S2717)),"Serbia and Montenegro",
ISNUMBER(SEARCH(_xlfn.UNICHAR(65533),S2717)),"Côte d'Ivoire",
TRUE,""
)</f>
        <v/>
      </c>
      <c r="W2717" s="40" t="str">
        <f t="shared" si="200"/>
        <v>Italy</v>
      </c>
    </row>
    <row r="2718" spans="2:23">
      <c r="B2718" s="76" t="str">
        <v>2026.0</v>
      </c>
      <c r="C2718" s="42">
        <v>0</v>
      </c>
      <c r="D2718" s="42" t="str">
        <v>Group Stage</v>
      </c>
      <c r="E2718" s="42" t="str">
        <v>New Jersey Stadium</v>
      </c>
      <c r="F2718" s="42" t="str">
        <v>New Jersey</v>
      </c>
      <c r="G2718" s="42" t="str">
        <v>Ecuador</v>
      </c>
      <c r="H2718" s="42" t="str">
        <v>2.0</v>
      </c>
      <c r="I2718" s="42" t="str">
        <v>1.0</v>
      </c>
      <c r="J2718" s="42" t="str">
        <v>Germany</v>
      </c>
      <c r="K2718" s="42" t="str">
        <v xml:space="preserve"> </v>
      </c>
      <c r="L2718" s="42" t="str">
        <f t="shared" si="201"/>
        <v xml:space="preserve">2026.0|0|Group Stage|New Jersey Stadium|New Jersey|Ecuador|2.0|1.0|Germany| </v>
      </c>
      <c r="M2718" s="42" t="str">
        <f>IF(COUNTIF($L$1689:L2718,L2718)&gt;1,"DOUBLON","OK")</f>
        <v>OK</v>
      </c>
      <c r="S2718" s="40" t="str">
        <v>Germany FR</v>
      </c>
      <c r="T2718" s="40" t="str">
        <f t="shared" si="198"/>
        <v>ERREUR</v>
      </c>
      <c r="U2718" s="40" t="str">
        <f t="shared" si="199"/>
        <v>RENOMMER</v>
      </c>
      <c r="V2718" s="40" t="str" cm="1">
        <f t="array" ref="V2718">_xlfn.IFS(
ISNUMBER(SEARCH("USA",S2718)),"United States",
ISNUMBER(SEARCH("Republic of Ireland",S2718)),"Ireland",
ISNUMBER(SEARCH("Republic of Korea",S2718)),"South Korea",
ISNUMBER(SEARCH("Cape Verde",S2718)),"Cabo Verde",
ISNUMBER(SEARCH("Czechia",S2718)),"Czech Republic",
ISNUMBER(SEARCH("Türkiye",S2718)),"Turkey",
ISNUMBER(SEARCH("Ivory Coast",S2718)),"Côte d'Ivoire",
ISNUMBER(SEARCH("Korea Republic",S2718)),"South Korea",
ISNUMBER(SEARCH("Germany FR",S2718)),"FR Germany",
ISNUMBER(SEARCH("West Germany",S2718)),"FR Germany",
ISNUMBER(SEARCH("Germany DR",S2718)),"DR Germany",
ISNUMBER(SEARCH("Korea DPR",S2718)),"North Korea",
ISNUMBER(SEARCH("China PR",S2718)),"China",
ISNUMBER(SEARCH("IR Iran",S2718)),"Iran",
ISNUMBER(SEARCH("Congo DR",S2718)),"Democratic Republic of the Congo",
ISNUMBER(SEARCH("DR Congo",S2718)),"Democratic Republic of the Congo",
ISNUMBER(SEARCH("German DR",S2718)),"DR Germany",
ISNUMBER(SEARCH("rn""&gt;United Arab Emirates",S2718)),"United Arab Emirates",
ISNUMBER(SEARCH("rn""&gt;Republic of Ireland",S2718)),"Ireland",
ISNUMBER(SEARCH("rn""&gt;Bosnia and Herzegovina",S2718)),"Bosnia and Herzegovina",
ISNUMBER(SEARCH("rn""&gt;Trinidad and Tobago",S2718)),"Trinidad and Tobago",
ISNUMBER(SEARCH("rn""&gt;Serbia and Montenegro",S2718)),"Serbia and Montenegro",
ISNUMBER(SEARCH(_xlfn.UNICHAR(65533),S2718)),"Côte d'Ivoire",
TRUE,""
)</f>
        <v>FR Germany</v>
      </c>
      <c r="W2718" s="40" t="str">
        <f t="shared" si="200"/>
        <v>FR Germany</v>
      </c>
    </row>
    <row r="2719" spans="2:23">
      <c r="B2719" s="76" t="str">
        <v>2026.0</v>
      </c>
      <c r="C2719" s="42">
        <v>0</v>
      </c>
      <c r="D2719" s="42" t="str">
        <v>Group Stage</v>
      </c>
      <c r="E2719" s="42" t="str">
        <v>Kansas City Stadium</v>
      </c>
      <c r="F2719" s="42" t="str">
        <v>Kansas City</v>
      </c>
      <c r="G2719" s="42" t="str">
        <v>Tunisia</v>
      </c>
      <c r="H2719" s="42" t="str">
        <v>1.0</v>
      </c>
      <c r="I2719" s="42" t="str">
        <v>3.0</v>
      </c>
      <c r="J2719" s="42" t="str">
        <v>Netherlands</v>
      </c>
      <c r="K2719" s="42" t="str">
        <v xml:space="preserve"> </v>
      </c>
      <c r="L2719" s="42" t="str">
        <f t="shared" si="201"/>
        <v xml:space="preserve">2026.0|0|Group Stage|Kansas City Stadium|Kansas City|Tunisia|1.0|3.0|Netherlands| </v>
      </c>
      <c r="M2719" s="42" t="str">
        <f>IF(COUNTIF($L$1689:L2719,L2719)&gt;1,"DOUBLON","OK")</f>
        <v>OK</v>
      </c>
      <c r="S2719" s="40" t="str">
        <v>Austria</v>
      </c>
      <c r="T2719" s="40" t="str">
        <f t="shared" si="198"/>
        <v>OK</v>
      </c>
      <c r="U2719" s="40" t="str">
        <f t="shared" si="199"/>
        <v>-</v>
      </c>
      <c r="V2719" s="40" t="str" cm="1">
        <f t="array" ref="V2719">_xlfn.IFS(
ISNUMBER(SEARCH("USA",S2719)),"United States",
ISNUMBER(SEARCH("Republic of Ireland",S2719)),"Ireland",
ISNUMBER(SEARCH("Republic of Korea",S2719)),"South Korea",
ISNUMBER(SEARCH("Cape Verde",S2719)),"Cabo Verde",
ISNUMBER(SEARCH("Czechia",S2719)),"Czech Republic",
ISNUMBER(SEARCH("Türkiye",S2719)),"Turkey",
ISNUMBER(SEARCH("Ivory Coast",S2719)),"Côte d'Ivoire",
ISNUMBER(SEARCH("Korea Republic",S2719)),"South Korea",
ISNUMBER(SEARCH("Germany FR",S2719)),"FR Germany",
ISNUMBER(SEARCH("West Germany",S2719)),"FR Germany",
ISNUMBER(SEARCH("Germany DR",S2719)),"DR Germany",
ISNUMBER(SEARCH("Korea DPR",S2719)),"North Korea",
ISNUMBER(SEARCH("China PR",S2719)),"China",
ISNUMBER(SEARCH("IR Iran",S2719)),"Iran",
ISNUMBER(SEARCH("Congo DR",S2719)),"Democratic Republic of the Congo",
ISNUMBER(SEARCH("DR Congo",S2719)),"Democratic Republic of the Congo",
ISNUMBER(SEARCH("German DR",S2719)),"DR Germany",
ISNUMBER(SEARCH("rn""&gt;United Arab Emirates",S2719)),"United Arab Emirates",
ISNUMBER(SEARCH("rn""&gt;Republic of Ireland",S2719)),"Ireland",
ISNUMBER(SEARCH("rn""&gt;Bosnia and Herzegovina",S2719)),"Bosnia and Herzegovina",
ISNUMBER(SEARCH("rn""&gt;Trinidad and Tobago",S2719)),"Trinidad and Tobago",
ISNUMBER(SEARCH("rn""&gt;Serbia and Montenegro",S2719)),"Serbia and Montenegro",
ISNUMBER(SEARCH(_xlfn.UNICHAR(65533),S2719)),"Côte d'Ivoire",
TRUE,""
)</f>
        <v/>
      </c>
      <c r="W2719" s="40" t="str">
        <f t="shared" si="200"/>
        <v>Austria</v>
      </c>
    </row>
    <row r="2720" spans="2:23">
      <c r="B2720" s="76" t="str">
        <v>2026.0</v>
      </c>
      <c r="C2720" s="42">
        <v>0</v>
      </c>
      <c r="D2720" s="42" t="str">
        <v>Group Stage</v>
      </c>
      <c r="E2720" s="42" t="str">
        <v>Arlington Stadium</v>
      </c>
      <c r="F2720" s="42" t="str">
        <v>Arlington</v>
      </c>
      <c r="G2720" s="42" t="str">
        <v>Japan</v>
      </c>
      <c r="H2720" s="42" t="str">
        <v>1.0</v>
      </c>
      <c r="I2720" s="42" t="str">
        <v>1.0</v>
      </c>
      <c r="J2720" s="42" t="str">
        <v>Sweden</v>
      </c>
      <c r="K2720" s="42" t="str">
        <v xml:space="preserve"> </v>
      </c>
      <c r="L2720" s="42" t="str">
        <f t="shared" si="201"/>
        <v xml:space="preserve">2026.0|0|Group Stage|Arlington Stadium|Arlington|Japan|1.0|1.0|Sweden| </v>
      </c>
      <c r="M2720" s="42" t="str">
        <f>IF(COUNTIF($L$1689:L2720,L2720)&gt;1,"DOUBLON","OK")</f>
        <v>OK</v>
      </c>
      <c r="S2720" s="40" t="str">
        <v>Belgium</v>
      </c>
      <c r="T2720" s="40" t="str">
        <f t="shared" si="198"/>
        <v>OK</v>
      </c>
      <c r="U2720" s="40" t="str">
        <f t="shared" si="199"/>
        <v>-</v>
      </c>
      <c r="V2720" s="40" t="str" cm="1">
        <f t="array" ref="V2720">_xlfn.IFS(
ISNUMBER(SEARCH("USA",S2720)),"United States",
ISNUMBER(SEARCH("Republic of Ireland",S2720)),"Ireland",
ISNUMBER(SEARCH("Republic of Korea",S2720)),"South Korea",
ISNUMBER(SEARCH("Cape Verde",S2720)),"Cabo Verde",
ISNUMBER(SEARCH("Czechia",S2720)),"Czech Republic",
ISNUMBER(SEARCH("Türkiye",S2720)),"Turkey",
ISNUMBER(SEARCH("Ivory Coast",S2720)),"Côte d'Ivoire",
ISNUMBER(SEARCH("Korea Republic",S2720)),"South Korea",
ISNUMBER(SEARCH("Germany FR",S2720)),"FR Germany",
ISNUMBER(SEARCH("West Germany",S2720)),"FR Germany",
ISNUMBER(SEARCH("Germany DR",S2720)),"DR Germany",
ISNUMBER(SEARCH("Korea DPR",S2720)),"North Korea",
ISNUMBER(SEARCH("China PR",S2720)),"China",
ISNUMBER(SEARCH("IR Iran",S2720)),"Iran",
ISNUMBER(SEARCH("Congo DR",S2720)),"Democratic Republic of the Congo",
ISNUMBER(SEARCH("DR Congo",S2720)),"Democratic Republic of the Congo",
ISNUMBER(SEARCH("German DR",S2720)),"DR Germany",
ISNUMBER(SEARCH("rn""&gt;United Arab Emirates",S2720)),"United Arab Emirates",
ISNUMBER(SEARCH("rn""&gt;Republic of Ireland",S2720)),"Ireland",
ISNUMBER(SEARCH("rn""&gt;Bosnia and Herzegovina",S2720)),"Bosnia and Herzegovina",
ISNUMBER(SEARCH("rn""&gt;Trinidad and Tobago",S2720)),"Trinidad and Tobago",
ISNUMBER(SEARCH("rn""&gt;Serbia and Montenegro",S2720)),"Serbia and Montenegro",
ISNUMBER(SEARCH(_xlfn.UNICHAR(65533),S2720)),"Côte d'Ivoire",
TRUE,""
)</f>
        <v/>
      </c>
      <c r="W2720" s="40" t="str">
        <f t="shared" si="200"/>
        <v>Belgium</v>
      </c>
    </row>
    <row r="2721" spans="2:23">
      <c r="B2721" s="76" t="str">
        <v>2026.0</v>
      </c>
      <c r="C2721" s="42">
        <v>0</v>
      </c>
      <c r="D2721" s="42" t="str">
        <v>Group Stage</v>
      </c>
      <c r="E2721" s="42" t="str">
        <v>Los Angeles Stadium</v>
      </c>
      <c r="F2721" s="42" t="str">
        <v>Los Angeles</v>
      </c>
      <c r="G2721" s="42" t="str">
        <v>Türkiye</v>
      </c>
      <c r="H2721" s="42" t="str">
        <v>3.0</v>
      </c>
      <c r="I2721" s="42" t="str">
        <v>2.0</v>
      </c>
      <c r="J2721" s="42" t="str">
        <v>USA</v>
      </c>
      <c r="K2721" s="42" t="str">
        <v xml:space="preserve"> </v>
      </c>
      <c r="L2721" s="42" t="str">
        <f t="shared" si="201"/>
        <v xml:space="preserve">2026.0|0|Group Stage|Los Angeles Stadium|Los Angeles|Türkiye|3.0|2.0|USA| </v>
      </c>
      <c r="M2721" s="42" t="str">
        <f>IF(COUNTIF($L$1689:L2721,L2721)&gt;1,"DOUBLON","OK")</f>
        <v>OK</v>
      </c>
      <c r="S2721" s="40" t="str">
        <v>Argentina</v>
      </c>
      <c r="T2721" s="40" t="str">
        <f t="shared" si="198"/>
        <v>OK</v>
      </c>
      <c r="U2721" s="40" t="str">
        <f t="shared" si="199"/>
        <v>-</v>
      </c>
      <c r="V2721" s="40" t="str" cm="1">
        <f t="array" ref="V2721">_xlfn.IFS(
ISNUMBER(SEARCH("USA",S2721)),"United States",
ISNUMBER(SEARCH("Republic of Ireland",S2721)),"Ireland",
ISNUMBER(SEARCH("Republic of Korea",S2721)),"South Korea",
ISNUMBER(SEARCH("Cape Verde",S2721)),"Cabo Verde",
ISNUMBER(SEARCH("Czechia",S2721)),"Czech Republic",
ISNUMBER(SEARCH("Türkiye",S2721)),"Turkey",
ISNUMBER(SEARCH("Ivory Coast",S2721)),"Côte d'Ivoire",
ISNUMBER(SEARCH("Korea Republic",S2721)),"South Korea",
ISNUMBER(SEARCH("Germany FR",S2721)),"FR Germany",
ISNUMBER(SEARCH("West Germany",S2721)),"FR Germany",
ISNUMBER(SEARCH("Germany DR",S2721)),"DR Germany",
ISNUMBER(SEARCH("Korea DPR",S2721)),"North Korea",
ISNUMBER(SEARCH("China PR",S2721)),"China",
ISNUMBER(SEARCH("IR Iran",S2721)),"Iran",
ISNUMBER(SEARCH("Congo DR",S2721)),"Democratic Republic of the Congo",
ISNUMBER(SEARCH("DR Congo",S2721)),"Democratic Republic of the Congo",
ISNUMBER(SEARCH("German DR",S2721)),"DR Germany",
ISNUMBER(SEARCH("rn""&gt;United Arab Emirates",S2721)),"United Arab Emirates",
ISNUMBER(SEARCH("rn""&gt;Republic of Ireland",S2721)),"Ireland",
ISNUMBER(SEARCH("rn""&gt;Bosnia and Herzegovina",S2721)),"Bosnia and Herzegovina",
ISNUMBER(SEARCH("rn""&gt;Trinidad and Tobago",S2721)),"Trinidad and Tobago",
ISNUMBER(SEARCH("rn""&gt;Serbia and Montenegro",S2721)),"Serbia and Montenegro",
ISNUMBER(SEARCH(_xlfn.UNICHAR(65533),S2721)),"Côte d'Ivoire",
TRUE,""
)</f>
        <v/>
      </c>
      <c r="W2721" s="40" t="str">
        <f t="shared" si="200"/>
        <v>Argentina</v>
      </c>
    </row>
    <row r="2722" spans="2:23">
      <c r="B2722" s="76" t="str">
        <v>2026.0</v>
      </c>
      <c r="C2722" s="42">
        <v>0</v>
      </c>
      <c r="D2722" s="42" t="str">
        <v>Group Stage</v>
      </c>
      <c r="E2722" s="42" t="str">
        <v>Santa Clara Stadium</v>
      </c>
      <c r="F2722" s="42" t="str">
        <v>Santa Clara</v>
      </c>
      <c r="G2722" s="42" t="str">
        <v>Paraguay</v>
      </c>
      <c r="H2722" s="42" t="str">
        <v>0.0</v>
      </c>
      <c r="I2722" s="42" t="str">
        <v>0.0</v>
      </c>
      <c r="J2722" s="42" t="str">
        <v>Australia</v>
      </c>
      <c r="K2722" s="42" t="str">
        <v xml:space="preserve"> </v>
      </c>
      <c r="L2722" s="42" t="str">
        <f t="shared" si="201"/>
        <v xml:space="preserve">2026.0|0|Group Stage|Santa Clara Stadium|Santa Clara|Paraguay|0.0|0.0|Australia| </v>
      </c>
      <c r="M2722" s="42" t="str">
        <f>IF(COUNTIF($L$1689:L2722,L2722)&gt;1,"DOUBLON","OK")</f>
        <v>OK</v>
      </c>
      <c r="S2722" s="40" t="str">
        <v>Germany FR</v>
      </c>
      <c r="T2722" s="40" t="str">
        <f t="shared" si="198"/>
        <v>ERREUR</v>
      </c>
      <c r="U2722" s="40" t="str">
        <f t="shared" si="199"/>
        <v>RENOMMER</v>
      </c>
      <c r="V2722" s="40" t="str" cm="1">
        <f t="array" ref="V2722">_xlfn.IFS(
ISNUMBER(SEARCH("USA",S2722)),"United States",
ISNUMBER(SEARCH("Republic of Ireland",S2722)),"Ireland",
ISNUMBER(SEARCH("Republic of Korea",S2722)),"South Korea",
ISNUMBER(SEARCH("Cape Verde",S2722)),"Cabo Verde",
ISNUMBER(SEARCH("Czechia",S2722)),"Czech Republic",
ISNUMBER(SEARCH("Türkiye",S2722)),"Turkey",
ISNUMBER(SEARCH("Ivory Coast",S2722)),"Côte d'Ivoire",
ISNUMBER(SEARCH("Korea Republic",S2722)),"South Korea",
ISNUMBER(SEARCH("Germany FR",S2722)),"FR Germany",
ISNUMBER(SEARCH("West Germany",S2722)),"FR Germany",
ISNUMBER(SEARCH("Germany DR",S2722)),"DR Germany",
ISNUMBER(SEARCH("Korea DPR",S2722)),"North Korea",
ISNUMBER(SEARCH("China PR",S2722)),"China",
ISNUMBER(SEARCH("IR Iran",S2722)),"Iran",
ISNUMBER(SEARCH("Congo DR",S2722)),"Democratic Republic of the Congo",
ISNUMBER(SEARCH("DR Congo",S2722)),"Democratic Republic of the Congo",
ISNUMBER(SEARCH("German DR",S2722)),"DR Germany",
ISNUMBER(SEARCH("rn""&gt;United Arab Emirates",S2722)),"United Arab Emirates",
ISNUMBER(SEARCH("rn""&gt;Republic of Ireland",S2722)),"Ireland",
ISNUMBER(SEARCH("rn""&gt;Bosnia and Herzegovina",S2722)),"Bosnia and Herzegovina",
ISNUMBER(SEARCH("rn""&gt;Trinidad and Tobago",S2722)),"Trinidad and Tobago",
ISNUMBER(SEARCH("rn""&gt;Serbia and Montenegro",S2722)),"Serbia and Montenegro",
ISNUMBER(SEARCH(_xlfn.UNICHAR(65533),S2722)),"Côte d'Ivoire",
TRUE,""
)</f>
        <v>FR Germany</v>
      </c>
      <c r="W2722" s="40" t="str">
        <f t="shared" si="200"/>
        <v>FR Germany</v>
      </c>
    </row>
    <row r="2723" spans="2:23">
      <c r="B2723" s="76" t="str">
        <v>2026.0</v>
      </c>
      <c r="C2723" s="42">
        <v>0</v>
      </c>
      <c r="D2723" s="42" t="str">
        <v>Group Stage</v>
      </c>
      <c r="E2723" s="42" t="str">
        <v>Foxborough Stadium</v>
      </c>
      <c r="F2723" s="42" t="str">
        <v>Foxborough</v>
      </c>
      <c r="G2723" s="42" t="str">
        <v>Norway</v>
      </c>
      <c r="H2723" s="42" t="str">
        <v>1.0</v>
      </c>
      <c r="I2723" s="42" t="str">
        <v>4.0</v>
      </c>
      <c r="J2723" s="42" t="str">
        <v>France</v>
      </c>
      <c r="K2723" s="42" t="str">
        <v xml:space="preserve"> </v>
      </c>
      <c r="L2723" s="42" t="str">
        <f t="shared" si="201"/>
        <v xml:space="preserve">2026.0|0|Group Stage|Foxborough Stadium|Foxborough|Norway|1.0|4.0|France| </v>
      </c>
      <c r="M2723" s="42" t="str">
        <f>IF(COUNTIF($L$1689:L2723,L2723)&gt;1,"DOUBLON","OK")</f>
        <v>OK</v>
      </c>
      <c r="S2723" s="40" t="str">
        <v>France</v>
      </c>
      <c r="T2723" s="40" t="str">
        <f t="shared" si="198"/>
        <v>OK</v>
      </c>
      <c r="U2723" s="40" t="str">
        <f t="shared" si="199"/>
        <v>-</v>
      </c>
      <c r="V2723" s="40" t="str" cm="1">
        <f t="array" ref="V2723">_xlfn.IFS(
ISNUMBER(SEARCH("USA",S2723)),"United States",
ISNUMBER(SEARCH("Republic of Ireland",S2723)),"Ireland",
ISNUMBER(SEARCH("Republic of Korea",S2723)),"South Korea",
ISNUMBER(SEARCH("Cape Verde",S2723)),"Cabo Verde",
ISNUMBER(SEARCH("Czechia",S2723)),"Czech Republic",
ISNUMBER(SEARCH("Türkiye",S2723)),"Turkey",
ISNUMBER(SEARCH("Ivory Coast",S2723)),"Côte d'Ivoire",
ISNUMBER(SEARCH("Korea Republic",S2723)),"South Korea",
ISNUMBER(SEARCH("Germany FR",S2723)),"FR Germany",
ISNUMBER(SEARCH("West Germany",S2723)),"FR Germany",
ISNUMBER(SEARCH("Germany DR",S2723)),"DR Germany",
ISNUMBER(SEARCH("Korea DPR",S2723)),"North Korea",
ISNUMBER(SEARCH("China PR",S2723)),"China",
ISNUMBER(SEARCH("IR Iran",S2723)),"Iran",
ISNUMBER(SEARCH("Congo DR",S2723)),"Democratic Republic of the Congo",
ISNUMBER(SEARCH("DR Congo",S2723)),"Democratic Republic of the Congo",
ISNUMBER(SEARCH("German DR",S2723)),"DR Germany",
ISNUMBER(SEARCH("rn""&gt;United Arab Emirates",S2723)),"United Arab Emirates",
ISNUMBER(SEARCH("rn""&gt;Republic of Ireland",S2723)),"Ireland",
ISNUMBER(SEARCH("rn""&gt;Bosnia and Herzegovina",S2723)),"Bosnia and Herzegovina",
ISNUMBER(SEARCH("rn""&gt;Trinidad and Tobago",S2723)),"Trinidad and Tobago",
ISNUMBER(SEARCH("rn""&gt;Serbia and Montenegro",S2723)),"Serbia and Montenegro",
ISNUMBER(SEARCH(_xlfn.UNICHAR(65533),S2723)),"Côte d'Ivoire",
TRUE,""
)</f>
        <v/>
      </c>
      <c r="W2723" s="40" t="str">
        <f t="shared" si="200"/>
        <v>France</v>
      </c>
    </row>
    <row r="2724" spans="2:23">
      <c r="B2724" s="76" t="str">
        <v>2026.0</v>
      </c>
      <c r="C2724" s="42">
        <v>0</v>
      </c>
      <c r="D2724" s="42" t="str">
        <v>Group Stage</v>
      </c>
      <c r="E2724" s="42" t="str">
        <v>Toronto Stadium</v>
      </c>
      <c r="F2724" s="42" t="str">
        <v>Toronto</v>
      </c>
      <c r="G2724" s="42" t="str">
        <v>Senegal</v>
      </c>
      <c r="H2724" s="42" t="str">
        <v>5.0</v>
      </c>
      <c r="I2724" s="42" t="str">
        <v>0.0</v>
      </c>
      <c r="J2724" s="42" t="str">
        <v>Iraq</v>
      </c>
      <c r="K2724" s="42" t="str">
        <v xml:space="preserve"> </v>
      </c>
      <c r="L2724" s="42" t="str">
        <f t="shared" si="201"/>
        <v xml:space="preserve">2026.0|0|Group Stage|Toronto Stadium|Toronto|Senegal|5.0|0.0|Iraq| </v>
      </c>
      <c r="M2724" s="42" t="str">
        <f>IF(COUNTIF($L$1689:L2724,L2724)&gt;1,"DOUBLON","OK")</f>
        <v>OK</v>
      </c>
      <c r="S2724" s="40" t="str">
        <v>Poland</v>
      </c>
      <c r="T2724" s="40" t="str">
        <f t="shared" si="198"/>
        <v>OK</v>
      </c>
      <c r="U2724" s="40" t="str">
        <f t="shared" si="199"/>
        <v>-</v>
      </c>
      <c r="V2724" s="40" t="str" cm="1">
        <f t="array" ref="V2724">_xlfn.IFS(
ISNUMBER(SEARCH("USA",S2724)),"United States",
ISNUMBER(SEARCH("Republic of Ireland",S2724)),"Ireland",
ISNUMBER(SEARCH("Republic of Korea",S2724)),"South Korea",
ISNUMBER(SEARCH("Cape Verde",S2724)),"Cabo Verde",
ISNUMBER(SEARCH("Czechia",S2724)),"Czech Republic",
ISNUMBER(SEARCH("Türkiye",S2724)),"Turkey",
ISNUMBER(SEARCH("Ivory Coast",S2724)),"Côte d'Ivoire",
ISNUMBER(SEARCH("Korea Republic",S2724)),"South Korea",
ISNUMBER(SEARCH("Germany FR",S2724)),"FR Germany",
ISNUMBER(SEARCH("West Germany",S2724)),"FR Germany",
ISNUMBER(SEARCH("Germany DR",S2724)),"DR Germany",
ISNUMBER(SEARCH("Korea DPR",S2724)),"North Korea",
ISNUMBER(SEARCH("China PR",S2724)),"China",
ISNUMBER(SEARCH("IR Iran",S2724)),"Iran",
ISNUMBER(SEARCH("Congo DR",S2724)),"Democratic Republic of the Congo",
ISNUMBER(SEARCH("DR Congo",S2724)),"Democratic Republic of the Congo",
ISNUMBER(SEARCH("German DR",S2724)),"DR Germany",
ISNUMBER(SEARCH("rn""&gt;United Arab Emirates",S2724)),"United Arab Emirates",
ISNUMBER(SEARCH("rn""&gt;Republic of Ireland",S2724)),"Ireland",
ISNUMBER(SEARCH("rn""&gt;Bosnia and Herzegovina",S2724)),"Bosnia and Herzegovina",
ISNUMBER(SEARCH("rn""&gt;Trinidad and Tobago",S2724)),"Trinidad and Tobago",
ISNUMBER(SEARCH("rn""&gt;Serbia and Montenegro",S2724)),"Serbia and Montenegro",
ISNUMBER(SEARCH(_xlfn.UNICHAR(65533),S2724)),"Côte d'Ivoire",
TRUE,""
)</f>
        <v/>
      </c>
      <c r="W2724" s="40" t="str">
        <f t="shared" si="200"/>
        <v>Poland</v>
      </c>
    </row>
    <row r="2725" spans="2:23">
      <c r="B2725" s="76" t="str">
        <v>2026.0</v>
      </c>
      <c r="C2725" s="42">
        <v>0</v>
      </c>
      <c r="D2725" s="42" t="str">
        <v>Group Stage</v>
      </c>
      <c r="E2725" s="42" t="str">
        <v>Houston Stadium</v>
      </c>
      <c r="F2725" s="42" t="str">
        <v>Houston</v>
      </c>
      <c r="G2725" s="42" t="str">
        <v>Cabo Verde</v>
      </c>
      <c r="H2725" s="42" t="str">
        <v>0.0</v>
      </c>
      <c r="I2725" s="42" t="str">
        <v>0.0</v>
      </c>
      <c r="J2725" s="42" t="str">
        <v>Saudi Arabia</v>
      </c>
      <c r="K2725" s="42" t="str">
        <v xml:space="preserve"> </v>
      </c>
      <c r="L2725" s="42" t="str">
        <f t="shared" si="201"/>
        <v xml:space="preserve">2026.0|0|Group Stage|Houston Stadium|Houston|Cabo Verde|0.0|0.0|Saudi Arabia| </v>
      </c>
      <c r="M2725" s="42" t="str">
        <f>IF(COUNTIF($L$1689:L2725,L2725)&gt;1,"DOUBLON","OK")</f>
        <v>OK</v>
      </c>
      <c r="S2725" s="40" t="str">
        <v>Italy</v>
      </c>
      <c r="T2725" s="40" t="str">
        <f t="shared" si="198"/>
        <v>OK</v>
      </c>
      <c r="U2725" s="40" t="str">
        <f t="shared" si="199"/>
        <v>-</v>
      </c>
      <c r="V2725" s="40" t="str" cm="1">
        <f t="array" ref="V2725">_xlfn.IFS(
ISNUMBER(SEARCH("USA",S2725)),"United States",
ISNUMBER(SEARCH("Republic of Ireland",S2725)),"Ireland",
ISNUMBER(SEARCH("Republic of Korea",S2725)),"South Korea",
ISNUMBER(SEARCH("Cape Verde",S2725)),"Cabo Verde",
ISNUMBER(SEARCH("Czechia",S2725)),"Czech Republic",
ISNUMBER(SEARCH("Türkiye",S2725)),"Turkey",
ISNUMBER(SEARCH("Ivory Coast",S2725)),"Côte d'Ivoire",
ISNUMBER(SEARCH("Korea Republic",S2725)),"South Korea",
ISNUMBER(SEARCH("Germany FR",S2725)),"FR Germany",
ISNUMBER(SEARCH("West Germany",S2725)),"FR Germany",
ISNUMBER(SEARCH("Germany DR",S2725)),"DR Germany",
ISNUMBER(SEARCH("Korea DPR",S2725)),"North Korea",
ISNUMBER(SEARCH("China PR",S2725)),"China",
ISNUMBER(SEARCH("IR Iran",S2725)),"Iran",
ISNUMBER(SEARCH("Congo DR",S2725)),"Democratic Republic of the Congo",
ISNUMBER(SEARCH("DR Congo",S2725)),"Democratic Republic of the Congo",
ISNUMBER(SEARCH("German DR",S2725)),"DR Germany",
ISNUMBER(SEARCH("rn""&gt;United Arab Emirates",S2725)),"United Arab Emirates",
ISNUMBER(SEARCH("rn""&gt;Republic of Ireland",S2725)),"Ireland",
ISNUMBER(SEARCH("rn""&gt;Bosnia and Herzegovina",S2725)),"Bosnia and Herzegovina",
ISNUMBER(SEARCH("rn""&gt;Trinidad and Tobago",S2725)),"Trinidad and Tobago",
ISNUMBER(SEARCH("rn""&gt;Serbia and Montenegro",S2725)),"Serbia and Montenegro",
ISNUMBER(SEARCH(_xlfn.UNICHAR(65533),S2725)),"Côte d'Ivoire",
TRUE,""
)</f>
        <v/>
      </c>
      <c r="W2725" s="40" t="str">
        <f t="shared" si="200"/>
        <v>Italy</v>
      </c>
    </row>
    <row r="2726" spans="2:23">
      <c r="B2726" s="76" t="str">
        <v>2026.0</v>
      </c>
      <c r="C2726" s="42">
        <v>0</v>
      </c>
      <c r="D2726" s="42" t="str">
        <v>Group Stage</v>
      </c>
      <c r="E2726" s="42" t="str">
        <v>Zapopan Stadium</v>
      </c>
      <c r="F2726" s="42" t="str">
        <v>Zapopan</v>
      </c>
      <c r="G2726" s="42" t="str">
        <v>Uruguay</v>
      </c>
      <c r="H2726" s="42" t="str">
        <v>0.0</v>
      </c>
      <c r="I2726" s="42" t="str">
        <v>1.0</v>
      </c>
      <c r="J2726" s="42" t="str">
        <v>Spain</v>
      </c>
      <c r="K2726" s="42" t="str">
        <v xml:space="preserve"> </v>
      </c>
      <c r="L2726" s="42" t="str">
        <f t="shared" si="201"/>
        <v xml:space="preserve">2026.0|0|Group Stage|Zapopan Stadium|Zapopan|Uruguay|0.0|1.0|Spain| </v>
      </c>
      <c r="M2726" s="42" t="str">
        <f>IF(COUNTIF($L$1689:L2726,L2726)&gt;1,"DOUBLON","OK")</f>
        <v>OK</v>
      </c>
      <c r="S2726" s="40" t="str">
        <v>Spain</v>
      </c>
      <c r="T2726" s="40" t="str">
        <f t="shared" si="198"/>
        <v>OK</v>
      </c>
      <c r="U2726" s="40" t="str">
        <f t="shared" si="199"/>
        <v>-</v>
      </c>
      <c r="V2726" s="40" t="str" cm="1">
        <f t="array" ref="V2726">_xlfn.IFS(
ISNUMBER(SEARCH("USA",S2726)),"United States",
ISNUMBER(SEARCH("Republic of Ireland",S2726)),"Ireland",
ISNUMBER(SEARCH("Republic of Korea",S2726)),"South Korea",
ISNUMBER(SEARCH("Cape Verde",S2726)),"Cabo Verde",
ISNUMBER(SEARCH("Czechia",S2726)),"Czech Republic",
ISNUMBER(SEARCH("Türkiye",S2726)),"Turkey",
ISNUMBER(SEARCH("Ivory Coast",S2726)),"Côte d'Ivoire",
ISNUMBER(SEARCH("Korea Republic",S2726)),"South Korea",
ISNUMBER(SEARCH("Germany FR",S2726)),"FR Germany",
ISNUMBER(SEARCH("West Germany",S2726)),"FR Germany",
ISNUMBER(SEARCH("Germany DR",S2726)),"DR Germany",
ISNUMBER(SEARCH("Korea DPR",S2726)),"North Korea",
ISNUMBER(SEARCH("China PR",S2726)),"China",
ISNUMBER(SEARCH("IR Iran",S2726)),"Iran",
ISNUMBER(SEARCH("Congo DR",S2726)),"Democratic Republic of the Congo",
ISNUMBER(SEARCH("DR Congo",S2726)),"Democratic Republic of the Congo",
ISNUMBER(SEARCH("German DR",S2726)),"DR Germany",
ISNUMBER(SEARCH("rn""&gt;United Arab Emirates",S2726)),"United Arab Emirates",
ISNUMBER(SEARCH("rn""&gt;Republic of Ireland",S2726)),"Ireland",
ISNUMBER(SEARCH("rn""&gt;Bosnia and Herzegovina",S2726)),"Bosnia and Herzegovina",
ISNUMBER(SEARCH("rn""&gt;Trinidad and Tobago",S2726)),"Trinidad and Tobago",
ISNUMBER(SEARCH("rn""&gt;Serbia and Montenegro",S2726)),"Serbia and Montenegro",
ISNUMBER(SEARCH(_xlfn.UNICHAR(65533),S2726)),"Côte d'Ivoire",
TRUE,""
)</f>
        <v/>
      </c>
      <c r="W2726" s="40" t="str">
        <f t="shared" si="200"/>
        <v>Spain</v>
      </c>
    </row>
    <row r="2727" spans="2:23">
      <c r="B2727" s="76" t="str">
        <v>2026.0</v>
      </c>
      <c r="C2727" s="42">
        <v>0</v>
      </c>
      <c r="D2727" s="42" t="str">
        <v>Group Stage</v>
      </c>
      <c r="E2727" s="42" t="str">
        <v>Vancouver Stadium</v>
      </c>
      <c r="F2727" s="42" t="str">
        <v>Vancouver</v>
      </c>
      <c r="G2727" s="42" t="str">
        <v>New Zealand</v>
      </c>
      <c r="H2727" s="42" t="str">
        <v>1.0</v>
      </c>
      <c r="I2727" s="42" t="str">
        <v>5.0</v>
      </c>
      <c r="J2727" s="42" t="str">
        <v>Belgium</v>
      </c>
      <c r="K2727" s="42" t="str">
        <v xml:space="preserve"> </v>
      </c>
      <c r="L2727" s="42" t="str">
        <f t="shared" si="201"/>
        <v xml:space="preserve">2026.0|0|Group Stage|Vancouver Stadium|Vancouver|New Zealand|1.0|5.0|Belgium| </v>
      </c>
      <c r="M2727" s="42" t="str">
        <f>IF(COUNTIF($L$1689:L2727,L2727)&gt;1,"DOUBLON","OK")</f>
        <v>OK</v>
      </c>
      <c r="S2727" s="40" t="str">
        <v>Poland</v>
      </c>
      <c r="T2727" s="40" t="str">
        <f t="shared" si="198"/>
        <v>OK</v>
      </c>
      <c r="U2727" s="40" t="str">
        <f t="shared" si="199"/>
        <v>-</v>
      </c>
      <c r="V2727" s="40" t="str" cm="1">
        <f t="array" ref="V2727">_xlfn.IFS(
ISNUMBER(SEARCH("USA",S2727)),"United States",
ISNUMBER(SEARCH("Republic of Ireland",S2727)),"Ireland",
ISNUMBER(SEARCH("Republic of Korea",S2727)),"South Korea",
ISNUMBER(SEARCH("Cape Verde",S2727)),"Cabo Verde",
ISNUMBER(SEARCH("Czechia",S2727)),"Czech Republic",
ISNUMBER(SEARCH("Türkiye",S2727)),"Turkey",
ISNUMBER(SEARCH("Ivory Coast",S2727)),"Côte d'Ivoire",
ISNUMBER(SEARCH("Korea Republic",S2727)),"South Korea",
ISNUMBER(SEARCH("Germany FR",S2727)),"FR Germany",
ISNUMBER(SEARCH("West Germany",S2727)),"FR Germany",
ISNUMBER(SEARCH("Germany DR",S2727)),"DR Germany",
ISNUMBER(SEARCH("Korea DPR",S2727)),"North Korea",
ISNUMBER(SEARCH("China PR",S2727)),"China",
ISNUMBER(SEARCH("IR Iran",S2727)),"Iran",
ISNUMBER(SEARCH("Congo DR",S2727)),"Democratic Republic of the Congo",
ISNUMBER(SEARCH("DR Congo",S2727)),"Democratic Republic of the Congo",
ISNUMBER(SEARCH("German DR",S2727)),"DR Germany",
ISNUMBER(SEARCH("rn""&gt;United Arab Emirates",S2727)),"United Arab Emirates",
ISNUMBER(SEARCH("rn""&gt;Republic of Ireland",S2727)),"Ireland",
ISNUMBER(SEARCH("rn""&gt;Bosnia and Herzegovina",S2727)),"Bosnia and Herzegovina",
ISNUMBER(SEARCH("rn""&gt;Trinidad and Tobago",S2727)),"Trinidad and Tobago",
ISNUMBER(SEARCH("rn""&gt;Serbia and Montenegro",S2727)),"Serbia and Montenegro",
ISNUMBER(SEARCH(_xlfn.UNICHAR(65533),S2727)),"Côte d'Ivoire",
TRUE,""
)</f>
        <v/>
      </c>
      <c r="W2727" s="40" t="str">
        <f t="shared" si="200"/>
        <v>Poland</v>
      </c>
    </row>
    <row r="2728" spans="2:23">
      <c r="B2728" s="76" t="str">
        <v>2026.0</v>
      </c>
      <c r="C2728" s="42">
        <v>0</v>
      </c>
      <c r="D2728" s="42" t="str">
        <v>Group Stage</v>
      </c>
      <c r="E2728" s="42" t="str">
        <v>Seattle Stadium</v>
      </c>
      <c r="F2728" s="42" t="str">
        <v>Seattle</v>
      </c>
      <c r="G2728" s="42" t="str">
        <v>Egypt</v>
      </c>
      <c r="H2728" s="42" t="str">
        <v>1.0</v>
      </c>
      <c r="I2728" s="42" t="str">
        <v>1.0</v>
      </c>
      <c r="J2728" s="42" t="str">
        <v>Iran</v>
      </c>
      <c r="K2728" s="42" t="str">
        <v xml:space="preserve"> </v>
      </c>
      <c r="L2728" s="42" t="str">
        <f t="shared" si="201"/>
        <v xml:space="preserve">2026.0|0|Group Stage|Seattle Stadium|Seattle|Egypt|1.0|1.0|Iran| </v>
      </c>
      <c r="M2728" s="42" t="str">
        <f>IF(COUNTIF($L$1689:L2728,L2728)&gt;1,"DOUBLON","OK")</f>
        <v>OK</v>
      </c>
      <c r="S2728" s="40" t="str">
        <v>Germany FR</v>
      </c>
      <c r="T2728" s="40" t="str">
        <f t="shared" si="198"/>
        <v>ERREUR</v>
      </c>
      <c r="U2728" s="40" t="str">
        <f t="shared" si="199"/>
        <v>RENOMMER</v>
      </c>
      <c r="V2728" s="40" t="str" cm="1">
        <f t="array" ref="V2728">_xlfn.IFS(
ISNUMBER(SEARCH("USA",S2728)),"United States",
ISNUMBER(SEARCH("Republic of Ireland",S2728)),"Ireland",
ISNUMBER(SEARCH("Republic of Korea",S2728)),"South Korea",
ISNUMBER(SEARCH("Cape Verde",S2728)),"Cabo Verde",
ISNUMBER(SEARCH("Czechia",S2728)),"Czech Republic",
ISNUMBER(SEARCH("Türkiye",S2728)),"Turkey",
ISNUMBER(SEARCH("Ivory Coast",S2728)),"Côte d'Ivoire",
ISNUMBER(SEARCH("Korea Republic",S2728)),"South Korea",
ISNUMBER(SEARCH("Germany FR",S2728)),"FR Germany",
ISNUMBER(SEARCH("West Germany",S2728)),"FR Germany",
ISNUMBER(SEARCH("Germany DR",S2728)),"DR Germany",
ISNUMBER(SEARCH("Korea DPR",S2728)),"North Korea",
ISNUMBER(SEARCH("China PR",S2728)),"China",
ISNUMBER(SEARCH("IR Iran",S2728)),"Iran",
ISNUMBER(SEARCH("Congo DR",S2728)),"Democratic Republic of the Congo",
ISNUMBER(SEARCH("DR Congo",S2728)),"Democratic Republic of the Congo",
ISNUMBER(SEARCH("German DR",S2728)),"DR Germany",
ISNUMBER(SEARCH("rn""&gt;United Arab Emirates",S2728)),"United Arab Emirates",
ISNUMBER(SEARCH("rn""&gt;Republic of Ireland",S2728)),"Ireland",
ISNUMBER(SEARCH("rn""&gt;Bosnia and Herzegovina",S2728)),"Bosnia and Herzegovina",
ISNUMBER(SEARCH("rn""&gt;Trinidad and Tobago",S2728)),"Trinidad and Tobago",
ISNUMBER(SEARCH("rn""&gt;Serbia and Montenegro",S2728)),"Serbia and Montenegro",
ISNUMBER(SEARCH(_xlfn.UNICHAR(65533),S2728)),"Côte d'Ivoire",
TRUE,""
)</f>
        <v>FR Germany</v>
      </c>
      <c r="W2728" s="40" t="str">
        <f t="shared" si="200"/>
        <v>FR Germany</v>
      </c>
    </row>
    <row r="2729" spans="2:23">
      <c r="B2729" s="76" t="str">
        <v>2026.0</v>
      </c>
      <c r="C2729" s="42">
        <v>0</v>
      </c>
      <c r="D2729" s="42" t="str">
        <v>Group Stage</v>
      </c>
      <c r="E2729" s="42" t="str">
        <v>New Jersey Stadium</v>
      </c>
      <c r="F2729" s="42" t="str">
        <v>New Jersey</v>
      </c>
      <c r="G2729" s="42" t="str">
        <v>Panama</v>
      </c>
      <c r="H2729" s="42" t="str">
        <v>0.0</v>
      </c>
      <c r="I2729" s="42" t="str">
        <v>2.0</v>
      </c>
      <c r="J2729" s="42" t="str">
        <v>England</v>
      </c>
      <c r="K2729" s="42" t="str">
        <v xml:space="preserve"> </v>
      </c>
      <c r="L2729" s="42" t="str">
        <f t="shared" si="201"/>
        <v xml:space="preserve">2026.0|0|Group Stage|New Jersey Stadium|New Jersey|Panama|0.0|2.0|England| </v>
      </c>
      <c r="M2729" s="42" t="str">
        <f>IF(COUNTIF($L$1689:L2729,L2729)&gt;1,"DOUBLON","OK")</f>
        <v>OK</v>
      </c>
      <c r="S2729" s="40" t="str">
        <v>Poland</v>
      </c>
      <c r="T2729" s="40" t="str">
        <f t="shared" si="198"/>
        <v>OK</v>
      </c>
      <c r="U2729" s="40" t="str">
        <f t="shared" si="199"/>
        <v>-</v>
      </c>
      <c r="V2729" s="40" t="str" cm="1">
        <f t="array" ref="V2729">_xlfn.IFS(
ISNUMBER(SEARCH("USA",S2729)),"United States",
ISNUMBER(SEARCH("Republic of Ireland",S2729)),"Ireland",
ISNUMBER(SEARCH("Republic of Korea",S2729)),"South Korea",
ISNUMBER(SEARCH("Cape Verde",S2729)),"Cabo Verde",
ISNUMBER(SEARCH("Czechia",S2729)),"Czech Republic",
ISNUMBER(SEARCH("Türkiye",S2729)),"Turkey",
ISNUMBER(SEARCH("Ivory Coast",S2729)),"Côte d'Ivoire",
ISNUMBER(SEARCH("Korea Republic",S2729)),"South Korea",
ISNUMBER(SEARCH("Germany FR",S2729)),"FR Germany",
ISNUMBER(SEARCH("West Germany",S2729)),"FR Germany",
ISNUMBER(SEARCH("Germany DR",S2729)),"DR Germany",
ISNUMBER(SEARCH("Korea DPR",S2729)),"North Korea",
ISNUMBER(SEARCH("China PR",S2729)),"China",
ISNUMBER(SEARCH("IR Iran",S2729)),"Iran",
ISNUMBER(SEARCH("Congo DR",S2729)),"Democratic Republic of the Congo",
ISNUMBER(SEARCH("DR Congo",S2729)),"Democratic Republic of the Congo",
ISNUMBER(SEARCH("German DR",S2729)),"DR Germany",
ISNUMBER(SEARCH("rn""&gt;United Arab Emirates",S2729)),"United Arab Emirates",
ISNUMBER(SEARCH("rn""&gt;Republic of Ireland",S2729)),"Ireland",
ISNUMBER(SEARCH("rn""&gt;Bosnia and Herzegovina",S2729)),"Bosnia and Herzegovina",
ISNUMBER(SEARCH("rn""&gt;Trinidad and Tobago",S2729)),"Trinidad and Tobago",
ISNUMBER(SEARCH("rn""&gt;Serbia and Montenegro",S2729)),"Serbia and Montenegro",
ISNUMBER(SEARCH(_xlfn.UNICHAR(65533),S2729)),"Côte d'Ivoire",
TRUE,""
)</f>
        <v/>
      </c>
      <c r="W2729" s="40" t="str">
        <f t="shared" si="200"/>
        <v>Poland</v>
      </c>
    </row>
    <row r="2730" spans="2:23">
      <c r="B2730" s="76" t="str">
        <v>2026.0</v>
      </c>
      <c r="C2730" s="42">
        <v>0</v>
      </c>
      <c r="D2730" s="42" t="str">
        <v>Group Stage</v>
      </c>
      <c r="E2730" s="42" t="str">
        <v>Philadelphia Stadium</v>
      </c>
      <c r="F2730" s="42" t="str">
        <v>Philadelphia</v>
      </c>
      <c r="G2730" s="42" t="str">
        <v>Croatia</v>
      </c>
      <c r="H2730" s="42" t="str">
        <v>2.0</v>
      </c>
      <c r="I2730" s="42" t="str">
        <v>1.0</v>
      </c>
      <c r="J2730" s="42" t="str">
        <v>Ghana</v>
      </c>
      <c r="K2730" s="42" t="str">
        <v xml:space="preserve"> </v>
      </c>
      <c r="L2730" s="42" t="str">
        <f t="shared" si="201"/>
        <v xml:space="preserve">2026.0|0|Group Stage|Philadelphia Stadium|Philadelphia|Croatia|2.0|1.0|Ghana| </v>
      </c>
      <c r="M2730" s="42" t="str">
        <f>IF(COUNTIF($L$1689:L2730,L2730)&gt;1,"DOUBLON","OK")</f>
        <v>OK</v>
      </c>
      <c r="S2730" s="40" t="str">
        <v>Italy</v>
      </c>
      <c r="T2730" s="40" t="str">
        <f t="shared" si="198"/>
        <v>OK</v>
      </c>
      <c r="U2730" s="40" t="str">
        <f t="shared" si="199"/>
        <v>-</v>
      </c>
      <c r="V2730" s="40" t="str" cm="1">
        <f t="array" ref="V2730">_xlfn.IFS(
ISNUMBER(SEARCH("USA",S2730)),"United States",
ISNUMBER(SEARCH("Republic of Ireland",S2730)),"Ireland",
ISNUMBER(SEARCH("Republic of Korea",S2730)),"South Korea",
ISNUMBER(SEARCH("Cape Verde",S2730)),"Cabo Verde",
ISNUMBER(SEARCH("Czechia",S2730)),"Czech Republic",
ISNUMBER(SEARCH("Türkiye",S2730)),"Turkey",
ISNUMBER(SEARCH("Ivory Coast",S2730)),"Côte d'Ivoire",
ISNUMBER(SEARCH("Korea Republic",S2730)),"South Korea",
ISNUMBER(SEARCH("Germany FR",S2730)),"FR Germany",
ISNUMBER(SEARCH("West Germany",S2730)),"FR Germany",
ISNUMBER(SEARCH("Germany DR",S2730)),"DR Germany",
ISNUMBER(SEARCH("Korea DPR",S2730)),"North Korea",
ISNUMBER(SEARCH("China PR",S2730)),"China",
ISNUMBER(SEARCH("IR Iran",S2730)),"Iran",
ISNUMBER(SEARCH("Congo DR",S2730)),"Democratic Republic of the Congo",
ISNUMBER(SEARCH("DR Congo",S2730)),"Democratic Republic of the Congo",
ISNUMBER(SEARCH("German DR",S2730)),"DR Germany",
ISNUMBER(SEARCH("rn""&gt;United Arab Emirates",S2730)),"United Arab Emirates",
ISNUMBER(SEARCH("rn""&gt;Republic of Ireland",S2730)),"Ireland",
ISNUMBER(SEARCH("rn""&gt;Bosnia and Herzegovina",S2730)),"Bosnia and Herzegovina",
ISNUMBER(SEARCH("rn""&gt;Trinidad and Tobago",S2730)),"Trinidad and Tobago",
ISNUMBER(SEARCH("rn""&gt;Serbia and Montenegro",S2730)),"Serbia and Montenegro",
ISNUMBER(SEARCH(_xlfn.UNICHAR(65533),S2730)),"Côte d'Ivoire",
TRUE,""
)</f>
        <v/>
      </c>
      <c r="W2730" s="40" t="str">
        <f t="shared" si="200"/>
        <v>Italy</v>
      </c>
    </row>
    <row r="2731" spans="2:23">
      <c r="B2731" s="76" t="str">
        <v>2026.0</v>
      </c>
      <c r="C2731" s="42">
        <v>0</v>
      </c>
      <c r="D2731" s="42" t="str">
        <v>Round of 32</v>
      </c>
      <c r="E2731" s="42" t="str">
        <v>Los Angeles Stadium</v>
      </c>
      <c r="F2731" s="42" t="str">
        <v>Los Angeles</v>
      </c>
      <c r="G2731" s="42" t="str">
        <v>South Africa</v>
      </c>
      <c r="H2731" s="42" t="str">
        <v>0.0</v>
      </c>
      <c r="I2731" s="42" t="str">
        <v>1.0</v>
      </c>
      <c r="J2731" s="42" t="str">
        <v>Canada</v>
      </c>
      <c r="K2731" s="42" t="str">
        <v xml:space="preserve"> </v>
      </c>
      <c r="L2731" s="42" t="str">
        <f t="shared" si="201"/>
        <v xml:space="preserve">2026.0|0|Round of 32|Los Angeles Stadium|Los Angeles|South Africa|0.0|1.0|Canada| </v>
      </c>
      <c r="M2731" s="42" t="str">
        <f>IF(COUNTIF($L$1689:L2731,L2731)&gt;1,"DOUBLON","OK")</f>
        <v>OK</v>
      </c>
      <c r="S2731" s="40" t="str">
        <v>Bulgaria</v>
      </c>
      <c r="T2731" s="40" t="str">
        <f t="shared" si="198"/>
        <v>OK</v>
      </c>
      <c r="U2731" s="40" t="str">
        <f t="shared" si="199"/>
        <v>-</v>
      </c>
      <c r="V2731" s="40" t="str" cm="1">
        <f t="array" ref="V2731">_xlfn.IFS(
ISNUMBER(SEARCH("USA",S2731)),"United States",
ISNUMBER(SEARCH("Republic of Ireland",S2731)),"Ireland",
ISNUMBER(SEARCH("Republic of Korea",S2731)),"South Korea",
ISNUMBER(SEARCH("Cape Verde",S2731)),"Cabo Verde",
ISNUMBER(SEARCH("Czechia",S2731)),"Czech Republic",
ISNUMBER(SEARCH("Türkiye",S2731)),"Turkey",
ISNUMBER(SEARCH("Ivory Coast",S2731)),"Côte d'Ivoire",
ISNUMBER(SEARCH("Korea Republic",S2731)),"South Korea",
ISNUMBER(SEARCH("Germany FR",S2731)),"FR Germany",
ISNUMBER(SEARCH("West Germany",S2731)),"FR Germany",
ISNUMBER(SEARCH("Germany DR",S2731)),"DR Germany",
ISNUMBER(SEARCH("Korea DPR",S2731)),"North Korea",
ISNUMBER(SEARCH("China PR",S2731)),"China",
ISNUMBER(SEARCH("IR Iran",S2731)),"Iran",
ISNUMBER(SEARCH("Congo DR",S2731)),"Democratic Republic of the Congo",
ISNUMBER(SEARCH("DR Congo",S2731)),"Democratic Republic of the Congo",
ISNUMBER(SEARCH("German DR",S2731)),"DR Germany",
ISNUMBER(SEARCH("rn""&gt;United Arab Emirates",S2731)),"United Arab Emirates",
ISNUMBER(SEARCH("rn""&gt;Republic of Ireland",S2731)),"Ireland",
ISNUMBER(SEARCH("rn""&gt;Bosnia and Herzegovina",S2731)),"Bosnia and Herzegovina",
ISNUMBER(SEARCH("rn""&gt;Trinidad and Tobago",S2731)),"Trinidad and Tobago",
ISNUMBER(SEARCH("rn""&gt;Serbia and Montenegro",S2731)),"Serbia and Montenegro",
ISNUMBER(SEARCH(_xlfn.UNICHAR(65533),S2731)),"Côte d'Ivoire",
TRUE,""
)</f>
        <v/>
      </c>
      <c r="W2731" s="40" t="str">
        <f t="shared" si="200"/>
        <v>Bulgaria</v>
      </c>
    </row>
    <row r="2732" spans="2:23">
      <c r="B2732" s="76" t="str">
        <v>2026.0</v>
      </c>
      <c r="C2732" s="42">
        <v>0</v>
      </c>
      <c r="D2732" s="42" t="str">
        <v>Round of 32</v>
      </c>
      <c r="E2732" s="42" t="str">
        <v>Boston Stadium</v>
      </c>
      <c r="F2732" s="42" t="str">
        <v>Boston</v>
      </c>
      <c r="G2732" s="42" t="str">
        <v>Germany</v>
      </c>
      <c r="H2732" s="42" t="str">
        <v>1.0</v>
      </c>
      <c r="I2732" s="42" t="str">
        <v>1.0</v>
      </c>
      <c r="J2732" s="42" t="str">
        <v>Paraguay</v>
      </c>
      <c r="K2732" s="42" t="str">
        <v>Paraguay win on penalties (4 - 3)</v>
      </c>
      <c r="L2732" s="42" t="str">
        <f t="shared" si="201"/>
        <v>2026.0|0|Round of 32|Boston Stadium|Boston|Germany|1.0|1.0|Paraguay|Paraguay win on penalties (4 - 3)</v>
      </c>
      <c r="M2732" s="42" t="str">
        <f>IF(COUNTIF($L$1689:L2732,L2732)&gt;1,"DOUBLON","OK")</f>
        <v>OK</v>
      </c>
      <c r="S2732" s="40" t="str">
        <v>Canada</v>
      </c>
      <c r="T2732" s="40" t="str">
        <f t="shared" si="198"/>
        <v>OK</v>
      </c>
      <c r="U2732" s="40" t="str">
        <f t="shared" si="199"/>
        <v>-</v>
      </c>
      <c r="V2732" s="40" t="str" cm="1">
        <f t="array" ref="V2732">_xlfn.IFS(
ISNUMBER(SEARCH("USA",S2732)),"United States",
ISNUMBER(SEARCH("Republic of Ireland",S2732)),"Ireland",
ISNUMBER(SEARCH("Republic of Korea",S2732)),"South Korea",
ISNUMBER(SEARCH("Cape Verde",S2732)),"Cabo Verde",
ISNUMBER(SEARCH("Czechia",S2732)),"Czech Republic",
ISNUMBER(SEARCH("Türkiye",S2732)),"Turkey",
ISNUMBER(SEARCH("Ivory Coast",S2732)),"Côte d'Ivoire",
ISNUMBER(SEARCH("Korea Republic",S2732)),"South Korea",
ISNUMBER(SEARCH("Germany FR",S2732)),"FR Germany",
ISNUMBER(SEARCH("West Germany",S2732)),"FR Germany",
ISNUMBER(SEARCH("Germany DR",S2732)),"DR Germany",
ISNUMBER(SEARCH("Korea DPR",S2732)),"North Korea",
ISNUMBER(SEARCH("China PR",S2732)),"China",
ISNUMBER(SEARCH("IR Iran",S2732)),"Iran",
ISNUMBER(SEARCH("Congo DR",S2732)),"Democratic Republic of the Congo",
ISNUMBER(SEARCH("DR Congo",S2732)),"Democratic Republic of the Congo",
ISNUMBER(SEARCH("German DR",S2732)),"DR Germany",
ISNUMBER(SEARCH("rn""&gt;United Arab Emirates",S2732)),"United Arab Emirates",
ISNUMBER(SEARCH("rn""&gt;Republic of Ireland",S2732)),"Ireland",
ISNUMBER(SEARCH("rn""&gt;Bosnia and Herzegovina",S2732)),"Bosnia and Herzegovina",
ISNUMBER(SEARCH("rn""&gt;Trinidad and Tobago",S2732)),"Trinidad and Tobago",
ISNUMBER(SEARCH("rn""&gt;Serbia and Montenegro",S2732)),"Serbia and Montenegro",
ISNUMBER(SEARCH(_xlfn.UNICHAR(65533),S2732)),"Côte d'Ivoire",
TRUE,""
)</f>
        <v/>
      </c>
      <c r="W2732" s="40" t="str">
        <f t="shared" si="200"/>
        <v>Canada</v>
      </c>
    </row>
    <row r="2733" spans="2:23">
      <c r="B2733" s="76" t="str">
        <v>2026.0</v>
      </c>
      <c r="C2733" s="42">
        <v>0</v>
      </c>
      <c r="D2733" s="42" t="str">
        <v>Round of 32</v>
      </c>
      <c r="E2733" s="42" t="str">
        <v>Estadio Monterrey</v>
      </c>
      <c r="F2733" s="42" t="str">
        <v>Monterrey</v>
      </c>
      <c r="G2733" s="42" t="str">
        <v>Netherlands</v>
      </c>
      <c r="H2733" s="42" t="str">
        <v>1.0</v>
      </c>
      <c r="I2733" s="42" t="str">
        <v>1.0</v>
      </c>
      <c r="J2733" s="42" t="str">
        <v>Morocco</v>
      </c>
      <c r="K2733" s="42" t="str">
        <v>Morocco win on penalties (3 - 2)</v>
      </c>
      <c r="L2733" s="42" t="str">
        <f t="shared" si="201"/>
        <v>2026.0|0|Round of 32|Estadio Monterrey|Monterrey|Netherlands|1.0|1.0|Morocco|Morocco win on penalties (3 - 2)</v>
      </c>
      <c r="M2733" s="42" t="str">
        <f>IF(COUNTIF($L$1689:L2733,L2733)&gt;1,"DOUBLON","OK")</f>
        <v>OK</v>
      </c>
      <c r="S2733" s="40" t="str">
        <v>Spain</v>
      </c>
      <c r="T2733" s="40" t="str">
        <f t="shared" si="198"/>
        <v>OK</v>
      </c>
      <c r="U2733" s="40" t="str">
        <f t="shared" si="199"/>
        <v>-</v>
      </c>
      <c r="V2733" s="40" t="str" cm="1">
        <f t="array" ref="V2733">_xlfn.IFS(
ISNUMBER(SEARCH("USA",S2733)),"United States",
ISNUMBER(SEARCH("Republic of Ireland",S2733)),"Ireland",
ISNUMBER(SEARCH("Republic of Korea",S2733)),"South Korea",
ISNUMBER(SEARCH("Cape Verde",S2733)),"Cabo Verde",
ISNUMBER(SEARCH("Czechia",S2733)),"Czech Republic",
ISNUMBER(SEARCH("Türkiye",S2733)),"Turkey",
ISNUMBER(SEARCH("Ivory Coast",S2733)),"Côte d'Ivoire",
ISNUMBER(SEARCH("Korea Republic",S2733)),"South Korea",
ISNUMBER(SEARCH("Germany FR",S2733)),"FR Germany",
ISNUMBER(SEARCH("West Germany",S2733)),"FR Germany",
ISNUMBER(SEARCH("Germany DR",S2733)),"DR Germany",
ISNUMBER(SEARCH("Korea DPR",S2733)),"North Korea",
ISNUMBER(SEARCH("China PR",S2733)),"China",
ISNUMBER(SEARCH("IR Iran",S2733)),"Iran",
ISNUMBER(SEARCH("Congo DR",S2733)),"Democratic Republic of the Congo",
ISNUMBER(SEARCH("DR Congo",S2733)),"Democratic Republic of the Congo",
ISNUMBER(SEARCH("German DR",S2733)),"DR Germany",
ISNUMBER(SEARCH("rn""&gt;United Arab Emirates",S2733)),"United Arab Emirates",
ISNUMBER(SEARCH("rn""&gt;Republic of Ireland",S2733)),"Ireland",
ISNUMBER(SEARCH("rn""&gt;Bosnia and Herzegovina",S2733)),"Bosnia and Herzegovina",
ISNUMBER(SEARCH("rn""&gt;Trinidad and Tobago",S2733)),"Trinidad and Tobago",
ISNUMBER(SEARCH("rn""&gt;Serbia and Montenegro",S2733)),"Serbia and Montenegro",
ISNUMBER(SEARCH(_xlfn.UNICHAR(65533),S2733)),"Côte d'Ivoire",
TRUE,""
)</f>
        <v/>
      </c>
      <c r="W2733" s="40" t="str">
        <f t="shared" si="200"/>
        <v>Spain</v>
      </c>
    </row>
    <row r="2734" spans="2:23">
      <c r="B2734" s="76" t="str">
        <v>2026.0</v>
      </c>
      <c r="C2734" s="42">
        <v>0</v>
      </c>
      <c r="D2734" s="42" t="str">
        <v>Round of 32</v>
      </c>
      <c r="E2734" s="42" t="str">
        <v>Houston Stadium</v>
      </c>
      <c r="F2734" s="42" t="str">
        <v>Houston</v>
      </c>
      <c r="G2734" s="42" t="str">
        <v>Brazil</v>
      </c>
      <c r="H2734" s="42" t="str">
        <v>2.0</v>
      </c>
      <c r="I2734" s="42" t="str">
        <v>1.0</v>
      </c>
      <c r="J2734" s="42" t="str">
        <v>Japan</v>
      </c>
      <c r="K2734" s="42" t="str">
        <v xml:space="preserve"> </v>
      </c>
      <c r="L2734" s="42" t="str">
        <f t="shared" si="201"/>
        <v xml:space="preserve">2026.0|0|Round of 32|Houston Stadium|Houston|Brazil|2.0|1.0|Japan| </v>
      </c>
      <c r="M2734" s="42" t="str">
        <f>IF(COUNTIF($L$1689:L2734,L2734)&gt;1,"DOUBLON","OK")</f>
        <v>OK</v>
      </c>
      <c r="S2734" s="40" t="str">
        <v>Soviet Union</v>
      </c>
      <c r="T2734" s="40" t="str">
        <f t="shared" si="198"/>
        <v>ERREUR</v>
      </c>
      <c r="U2734" s="40" t="str">
        <f t="shared" si="199"/>
        <v>AUCUNE</v>
      </c>
      <c r="V2734" s="40" t="str" cm="1">
        <f t="array" ref="V2734">_xlfn.IFS(
ISNUMBER(SEARCH("USA",S2734)),"United States",
ISNUMBER(SEARCH("Republic of Ireland",S2734)),"Ireland",
ISNUMBER(SEARCH("Republic of Korea",S2734)),"South Korea",
ISNUMBER(SEARCH("Cape Verde",S2734)),"Cabo Verde",
ISNUMBER(SEARCH("Czechia",S2734)),"Czech Republic",
ISNUMBER(SEARCH("Türkiye",S2734)),"Turkey",
ISNUMBER(SEARCH("Ivory Coast",S2734)),"Côte d'Ivoire",
ISNUMBER(SEARCH("Korea Republic",S2734)),"South Korea",
ISNUMBER(SEARCH("Germany FR",S2734)),"FR Germany",
ISNUMBER(SEARCH("West Germany",S2734)),"FR Germany",
ISNUMBER(SEARCH("Germany DR",S2734)),"DR Germany",
ISNUMBER(SEARCH("Korea DPR",S2734)),"North Korea",
ISNUMBER(SEARCH("China PR",S2734)),"China",
ISNUMBER(SEARCH("IR Iran",S2734)),"Iran",
ISNUMBER(SEARCH("Congo DR",S2734)),"Democratic Republic of the Congo",
ISNUMBER(SEARCH("DR Congo",S2734)),"Democratic Republic of the Congo",
ISNUMBER(SEARCH("German DR",S2734)),"DR Germany",
ISNUMBER(SEARCH("rn""&gt;United Arab Emirates",S2734)),"United Arab Emirates",
ISNUMBER(SEARCH("rn""&gt;Republic of Ireland",S2734)),"Ireland",
ISNUMBER(SEARCH("rn""&gt;Bosnia and Herzegovina",S2734)),"Bosnia and Herzegovina",
ISNUMBER(SEARCH("rn""&gt;Trinidad and Tobago",S2734)),"Trinidad and Tobago",
ISNUMBER(SEARCH("rn""&gt;Serbia and Montenegro",S2734)),"Serbia and Montenegro",
ISNUMBER(SEARCH(_xlfn.UNICHAR(65533),S2734)),"Côte d'Ivoire",
TRUE,""
)</f>
        <v/>
      </c>
      <c r="W2734" s="40" t="str">
        <f t="shared" si="200"/>
        <v>Soviet Union</v>
      </c>
    </row>
    <row r="2735" spans="2:23">
      <c r="B2735" s="76" t="str">
        <v>2026.0</v>
      </c>
      <c r="C2735" s="42">
        <v>0</v>
      </c>
      <c r="D2735" s="42" t="str">
        <v>Round of 32</v>
      </c>
      <c r="E2735" s="42" t="str">
        <v>New York New Jersey Stadium</v>
      </c>
      <c r="F2735" s="42" t="str">
        <v>New Jersey</v>
      </c>
      <c r="G2735" s="42" t="str">
        <v>France</v>
      </c>
      <c r="H2735" s="42" t="str">
        <v>3.0</v>
      </c>
      <c r="I2735" s="42" t="str">
        <v>0.0</v>
      </c>
      <c r="J2735" s="42" t="str">
        <v>Sweden</v>
      </c>
      <c r="K2735" s="42" t="str">
        <v xml:space="preserve"> </v>
      </c>
      <c r="L2735" s="42" t="str">
        <f t="shared" si="201"/>
        <v xml:space="preserve">2026.0|0|Round of 32|New York New Jersey Stadium|New Jersey|France|3.0|0.0|Sweden| </v>
      </c>
      <c r="M2735" s="42" t="str">
        <f>IF(COUNTIF($L$1689:L2735,L2735)&gt;1,"DOUBLON","OK")</f>
        <v>OK</v>
      </c>
      <c r="S2735" s="40" t="str">
        <v>Argentina</v>
      </c>
      <c r="T2735" s="40" t="str">
        <f t="shared" si="198"/>
        <v>OK</v>
      </c>
      <c r="U2735" s="40" t="str">
        <f t="shared" si="199"/>
        <v>-</v>
      </c>
      <c r="V2735" s="40" t="str" cm="1">
        <f t="array" ref="V2735">_xlfn.IFS(
ISNUMBER(SEARCH("USA",S2735)),"United States",
ISNUMBER(SEARCH("Republic of Ireland",S2735)),"Ireland",
ISNUMBER(SEARCH("Republic of Korea",S2735)),"South Korea",
ISNUMBER(SEARCH("Cape Verde",S2735)),"Cabo Verde",
ISNUMBER(SEARCH("Czechia",S2735)),"Czech Republic",
ISNUMBER(SEARCH("Türkiye",S2735)),"Turkey",
ISNUMBER(SEARCH("Ivory Coast",S2735)),"Côte d'Ivoire",
ISNUMBER(SEARCH("Korea Republic",S2735)),"South Korea",
ISNUMBER(SEARCH("Germany FR",S2735)),"FR Germany",
ISNUMBER(SEARCH("West Germany",S2735)),"FR Germany",
ISNUMBER(SEARCH("Germany DR",S2735)),"DR Germany",
ISNUMBER(SEARCH("Korea DPR",S2735)),"North Korea",
ISNUMBER(SEARCH("China PR",S2735)),"China",
ISNUMBER(SEARCH("IR Iran",S2735)),"Iran",
ISNUMBER(SEARCH("Congo DR",S2735)),"Democratic Republic of the Congo",
ISNUMBER(SEARCH("DR Congo",S2735)),"Democratic Republic of the Congo",
ISNUMBER(SEARCH("German DR",S2735)),"DR Germany",
ISNUMBER(SEARCH("rn""&gt;United Arab Emirates",S2735)),"United Arab Emirates",
ISNUMBER(SEARCH("rn""&gt;Republic of Ireland",S2735)),"Ireland",
ISNUMBER(SEARCH("rn""&gt;Bosnia and Herzegovina",S2735)),"Bosnia and Herzegovina",
ISNUMBER(SEARCH("rn""&gt;Trinidad and Tobago",S2735)),"Trinidad and Tobago",
ISNUMBER(SEARCH("rn""&gt;Serbia and Montenegro",S2735)),"Serbia and Montenegro",
ISNUMBER(SEARCH(_xlfn.UNICHAR(65533),S2735)),"Côte d'Ivoire",
TRUE,""
)</f>
        <v/>
      </c>
      <c r="W2735" s="40" t="str">
        <f t="shared" si="200"/>
        <v>Argentina</v>
      </c>
    </row>
    <row r="2736" spans="2:23">
      <c r="B2736" s="76" t="str">
        <v>2026.0</v>
      </c>
      <c r="C2736" s="42">
        <v>0</v>
      </c>
      <c r="D2736" s="42" t="str">
        <v>Round of 32</v>
      </c>
      <c r="E2736" s="42" t="str">
        <v>Dallas Stadium</v>
      </c>
      <c r="F2736" s="42" t="str">
        <v>Dallas</v>
      </c>
      <c r="G2736" s="42" t="str">
        <v>Ivory Coast</v>
      </c>
      <c r="H2736" s="42" t="str">
        <v>1.0</v>
      </c>
      <c r="I2736" s="42" t="str">
        <v>2.0</v>
      </c>
      <c r="J2736" s="42" t="str">
        <v>Norway</v>
      </c>
      <c r="K2736" s="42" t="str">
        <v xml:space="preserve"> </v>
      </c>
      <c r="L2736" s="42" t="str">
        <f t="shared" si="201"/>
        <v xml:space="preserve">2026.0|0|Round of 32|Dallas Stadium|Dallas|Ivory Coast|1.0|2.0|Norway| </v>
      </c>
      <c r="M2736" s="42" t="str">
        <f>IF(COUNTIF($L$1689:L2736,L2736)&gt;1,"DOUBLON","OK")</f>
        <v>OK</v>
      </c>
      <c r="S2736" s="40" t="str">
        <v>Morocco</v>
      </c>
      <c r="T2736" s="40" t="str">
        <f t="shared" si="198"/>
        <v>OK</v>
      </c>
      <c r="U2736" s="40" t="str">
        <f t="shared" si="199"/>
        <v>-</v>
      </c>
      <c r="V2736" s="40" t="str" cm="1">
        <f t="array" ref="V2736">_xlfn.IFS(
ISNUMBER(SEARCH("USA",S2736)),"United States",
ISNUMBER(SEARCH("Republic of Ireland",S2736)),"Ireland",
ISNUMBER(SEARCH("Republic of Korea",S2736)),"South Korea",
ISNUMBER(SEARCH("Cape Verde",S2736)),"Cabo Verde",
ISNUMBER(SEARCH("Czechia",S2736)),"Czech Republic",
ISNUMBER(SEARCH("Türkiye",S2736)),"Turkey",
ISNUMBER(SEARCH("Ivory Coast",S2736)),"Côte d'Ivoire",
ISNUMBER(SEARCH("Korea Republic",S2736)),"South Korea",
ISNUMBER(SEARCH("Germany FR",S2736)),"FR Germany",
ISNUMBER(SEARCH("West Germany",S2736)),"FR Germany",
ISNUMBER(SEARCH("Germany DR",S2736)),"DR Germany",
ISNUMBER(SEARCH("Korea DPR",S2736)),"North Korea",
ISNUMBER(SEARCH("China PR",S2736)),"China",
ISNUMBER(SEARCH("IR Iran",S2736)),"Iran",
ISNUMBER(SEARCH("Congo DR",S2736)),"Democratic Republic of the Congo",
ISNUMBER(SEARCH("DR Congo",S2736)),"Democratic Republic of the Congo",
ISNUMBER(SEARCH("German DR",S2736)),"DR Germany",
ISNUMBER(SEARCH("rn""&gt;United Arab Emirates",S2736)),"United Arab Emirates",
ISNUMBER(SEARCH("rn""&gt;Republic of Ireland",S2736)),"Ireland",
ISNUMBER(SEARCH("rn""&gt;Bosnia and Herzegovina",S2736)),"Bosnia and Herzegovina",
ISNUMBER(SEARCH("rn""&gt;Trinidad and Tobago",S2736)),"Trinidad and Tobago",
ISNUMBER(SEARCH("rn""&gt;Serbia and Montenegro",S2736)),"Serbia and Montenegro",
ISNUMBER(SEARCH(_xlfn.UNICHAR(65533),S2736)),"Côte d'Ivoire",
TRUE,""
)</f>
        <v/>
      </c>
      <c r="W2736" s="40" t="str">
        <f t="shared" si="200"/>
        <v>Morocco</v>
      </c>
    </row>
    <row r="2737" spans="2:23">
      <c r="B2737" s="76" t="str">
        <v>2026.0</v>
      </c>
      <c r="C2737" s="42">
        <v>0</v>
      </c>
      <c r="D2737" s="42" t="str">
        <v>Round of 32</v>
      </c>
      <c r="E2737" s="42" t="str">
        <v>Mexico City Stadium</v>
      </c>
      <c r="F2737" s="42" t="str">
        <v>Mexico City</v>
      </c>
      <c r="G2737" s="42" t="str">
        <v>Mexico</v>
      </c>
      <c r="H2737" s="42" t="str">
        <v>2.0</v>
      </c>
      <c r="I2737" s="42" t="str">
        <v>0.0</v>
      </c>
      <c r="J2737" s="42" t="str">
        <v>Ecuador</v>
      </c>
      <c r="K2737" s="42" t="str">
        <v xml:space="preserve"> </v>
      </c>
      <c r="L2737" s="42" t="str">
        <f t="shared" si="201"/>
        <v xml:space="preserve">2026.0|0|Round of 32|Mexico City Stadium|Mexico City|Mexico|2.0|0.0|Ecuador| </v>
      </c>
      <c r="M2737" s="42" t="str">
        <f>IF(COUNTIF($L$1689:L2737,L2737)&gt;1,"DOUBLON","OK")</f>
        <v>OK</v>
      </c>
      <c r="S2737" s="40" t="str">
        <v>Algeria</v>
      </c>
      <c r="T2737" s="40" t="str">
        <f t="shared" si="198"/>
        <v>OK</v>
      </c>
      <c r="U2737" s="40" t="str">
        <f t="shared" si="199"/>
        <v>-</v>
      </c>
      <c r="V2737" s="40" t="str" cm="1">
        <f t="array" ref="V2737">_xlfn.IFS(
ISNUMBER(SEARCH("USA",S2737)),"United States",
ISNUMBER(SEARCH("Republic of Ireland",S2737)),"Ireland",
ISNUMBER(SEARCH("Republic of Korea",S2737)),"South Korea",
ISNUMBER(SEARCH("Cape Verde",S2737)),"Cabo Verde",
ISNUMBER(SEARCH("Czechia",S2737)),"Czech Republic",
ISNUMBER(SEARCH("Türkiye",S2737)),"Turkey",
ISNUMBER(SEARCH("Ivory Coast",S2737)),"Côte d'Ivoire",
ISNUMBER(SEARCH("Korea Republic",S2737)),"South Korea",
ISNUMBER(SEARCH("Germany FR",S2737)),"FR Germany",
ISNUMBER(SEARCH("West Germany",S2737)),"FR Germany",
ISNUMBER(SEARCH("Germany DR",S2737)),"DR Germany",
ISNUMBER(SEARCH("Korea DPR",S2737)),"North Korea",
ISNUMBER(SEARCH("China PR",S2737)),"China",
ISNUMBER(SEARCH("IR Iran",S2737)),"Iran",
ISNUMBER(SEARCH("Congo DR",S2737)),"Democratic Republic of the Congo",
ISNUMBER(SEARCH("DR Congo",S2737)),"Democratic Republic of the Congo",
ISNUMBER(SEARCH("German DR",S2737)),"DR Germany",
ISNUMBER(SEARCH("rn""&gt;United Arab Emirates",S2737)),"United Arab Emirates",
ISNUMBER(SEARCH("rn""&gt;Republic of Ireland",S2737)),"Ireland",
ISNUMBER(SEARCH("rn""&gt;Bosnia and Herzegovina",S2737)),"Bosnia and Herzegovina",
ISNUMBER(SEARCH("rn""&gt;Trinidad and Tobago",S2737)),"Trinidad and Tobago",
ISNUMBER(SEARCH("rn""&gt;Serbia and Montenegro",S2737)),"Serbia and Montenegro",
ISNUMBER(SEARCH(_xlfn.UNICHAR(65533),S2737)),"Côte d'Ivoire",
TRUE,""
)</f>
        <v/>
      </c>
      <c r="W2737" s="40" t="str">
        <f t="shared" si="200"/>
        <v>Algeria</v>
      </c>
    </row>
    <row r="2738" spans="2:23">
      <c r="B2738" s="76" t="str">
        <v>2026.0</v>
      </c>
      <c r="C2738" s="42">
        <v>0</v>
      </c>
      <c r="D2738" s="42" t="str">
        <v>Round of 32</v>
      </c>
      <c r="E2738" s="42" t="str">
        <v>Atlanta Stadium</v>
      </c>
      <c r="F2738" s="42" t="str">
        <v>Atlanta</v>
      </c>
      <c r="G2738" s="42" t="str">
        <v>England</v>
      </c>
      <c r="H2738" s="42" t="str">
        <v>2.0</v>
      </c>
      <c r="I2738" s="42" t="str">
        <v>1.0</v>
      </c>
      <c r="J2738" s="42" t="str">
        <v>Congo DR</v>
      </c>
      <c r="K2738" s="42" t="str">
        <v xml:space="preserve"> </v>
      </c>
      <c r="L2738" s="42" t="str">
        <f t="shared" si="201"/>
        <v xml:space="preserve">2026.0|0|Round of 32|Atlanta Stadium|Atlanta|England|2.0|1.0|Congo DR| </v>
      </c>
      <c r="M2738" s="42" t="str">
        <f>IF(COUNTIF($L$1689:L2738,L2738)&gt;1,"DOUBLON","OK")</f>
        <v>OK</v>
      </c>
      <c r="S2738" s="40" t="str">
        <v>Belgium</v>
      </c>
      <c r="T2738" s="40" t="str">
        <f t="shared" si="198"/>
        <v>OK</v>
      </c>
      <c r="U2738" s="40" t="str">
        <f t="shared" si="199"/>
        <v>-</v>
      </c>
      <c r="V2738" s="40" t="str" cm="1">
        <f t="array" ref="V2738">_xlfn.IFS(
ISNUMBER(SEARCH("USA",S2738)),"United States",
ISNUMBER(SEARCH("Republic of Ireland",S2738)),"Ireland",
ISNUMBER(SEARCH("Republic of Korea",S2738)),"South Korea",
ISNUMBER(SEARCH("Cape Verde",S2738)),"Cabo Verde",
ISNUMBER(SEARCH("Czechia",S2738)),"Czech Republic",
ISNUMBER(SEARCH("Türkiye",S2738)),"Turkey",
ISNUMBER(SEARCH("Ivory Coast",S2738)),"Côte d'Ivoire",
ISNUMBER(SEARCH("Korea Republic",S2738)),"South Korea",
ISNUMBER(SEARCH("Germany FR",S2738)),"FR Germany",
ISNUMBER(SEARCH("West Germany",S2738)),"FR Germany",
ISNUMBER(SEARCH("Germany DR",S2738)),"DR Germany",
ISNUMBER(SEARCH("Korea DPR",S2738)),"North Korea",
ISNUMBER(SEARCH("China PR",S2738)),"China",
ISNUMBER(SEARCH("IR Iran",S2738)),"Iran",
ISNUMBER(SEARCH("Congo DR",S2738)),"Democratic Republic of the Congo",
ISNUMBER(SEARCH("DR Congo",S2738)),"Democratic Republic of the Congo",
ISNUMBER(SEARCH("German DR",S2738)),"DR Germany",
ISNUMBER(SEARCH("rn""&gt;United Arab Emirates",S2738)),"United Arab Emirates",
ISNUMBER(SEARCH("rn""&gt;Republic of Ireland",S2738)),"Ireland",
ISNUMBER(SEARCH("rn""&gt;Bosnia and Herzegovina",S2738)),"Bosnia and Herzegovina",
ISNUMBER(SEARCH("rn""&gt;Trinidad and Tobago",S2738)),"Trinidad and Tobago",
ISNUMBER(SEARCH("rn""&gt;Serbia and Montenegro",S2738)),"Serbia and Montenegro",
ISNUMBER(SEARCH(_xlfn.UNICHAR(65533),S2738)),"Côte d'Ivoire",
TRUE,""
)</f>
        <v/>
      </c>
      <c r="W2738" s="40" t="str">
        <f t="shared" si="200"/>
        <v>Belgium</v>
      </c>
    </row>
    <row r="2739" spans="2:23">
      <c r="B2739" s="76" t="str">
        <v>2026.0</v>
      </c>
      <c r="C2739" s="42">
        <v>0</v>
      </c>
      <c r="D2739" s="42" t="str">
        <v>Round of 32</v>
      </c>
      <c r="E2739" s="42" t="str">
        <v>Seattle Stadium</v>
      </c>
      <c r="F2739" s="42" t="str">
        <v>Seattle</v>
      </c>
      <c r="G2739" s="42" t="str">
        <v>Belgium</v>
      </c>
      <c r="H2739" s="42" t="str">
        <v>3.0</v>
      </c>
      <c r="I2739" s="42" t="str">
        <v>2.0</v>
      </c>
      <c r="J2739" s="42" t="str">
        <v>Senegal</v>
      </c>
      <c r="K2739" s="42" t="str">
        <v>Belgium win after extra time</v>
      </c>
      <c r="L2739" s="42" t="str">
        <f t="shared" si="201"/>
        <v>2026.0|0|Round of 32|Seattle Stadium|Seattle|Belgium|3.0|2.0|Senegal|Belgium win after extra time</v>
      </c>
      <c r="M2739" s="42" t="str">
        <f>IF(COUNTIF($L$1689:L2739,L2739)&gt;1,"DOUBLON","OK")</f>
        <v>OK</v>
      </c>
      <c r="S2739" s="40" t="str">
        <v>Portugal</v>
      </c>
      <c r="T2739" s="40" t="str">
        <f t="shared" si="198"/>
        <v>OK</v>
      </c>
      <c r="U2739" s="40" t="str">
        <f t="shared" si="199"/>
        <v>-</v>
      </c>
      <c r="V2739" s="40" t="str" cm="1">
        <f t="array" ref="V2739">_xlfn.IFS(
ISNUMBER(SEARCH("USA",S2739)),"United States",
ISNUMBER(SEARCH("Republic of Ireland",S2739)),"Ireland",
ISNUMBER(SEARCH("Republic of Korea",S2739)),"South Korea",
ISNUMBER(SEARCH("Cape Verde",S2739)),"Cabo Verde",
ISNUMBER(SEARCH("Czechia",S2739)),"Czech Republic",
ISNUMBER(SEARCH("Türkiye",S2739)),"Turkey",
ISNUMBER(SEARCH("Ivory Coast",S2739)),"Côte d'Ivoire",
ISNUMBER(SEARCH("Korea Republic",S2739)),"South Korea",
ISNUMBER(SEARCH("Germany FR",S2739)),"FR Germany",
ISNUMBER(SEARCH("West Germany",S2739)),"FR Germany",
ISNUMBER(SEARCH("Germany DR",S2739)),"DR Germany",
ISNUMBER(SEARCH("Korea DPR",S2739)),"North Korea",
ISNUMBER(SEARCH("China PR",S2739)),"China",
ISNUMBER(SEARCH("IR Iran",S2739)),"Iran",
ISNUMBER(SEARCH("Congo DR",S2739)),"Democratic Republic of the Congo",
ISNUMBER(SEARCH("DR Congo",S2739)),"Democratic Republic of the Congo",
ISNUMBER(SEARCH("German DR",S2739)),"DR Germany",
ISNUMBER(SEARCH("rn""&gt;United Arab Emirates",S2739)),"United Arab Emirates",
ISNUMBER(SEARCH("rn""&gt;Republic of Ireland",S2739)),"Ireland",
ISNUMBER(SEARCH("rn""&gt;Bosnia and Herzegovina",S2739)),"Bosnia and Herzegovina",
ISNUMBER(SEARCH("rn""&gt;Trinidad and Tobago",S2739)),"Trinidad and Tobago",
ISNUMBER(SEARCH("rn""&gt;Serbia and Montenegro",S2739)),"Serbia and Montenegro",
ISNUMBER(SEARCH(_xlfn.UNICHAR(65533),S2739)),"Côte d'Ivoire",
TRUE,""
)</f>
        <v/>
      </c>
      <c r="W2739" s="40" t="str">
        <f t="shared" si="200"/>
        <v>Portugal</v>
      </c>
    </row>
    <row r="2740" spans="2:23">
      <c r="B2740" s="76" t="str">
        <v>2026.0</v>
      </c>
      <c r="C2740" s="42">
        <v>0</v>
      </c>
      <c r="D2740" s="42" t="str">
        <v>Round of 32</v>
      </c>
      <c r="E2740" s="42" t="str">
        <v>San Francisco Bay Area Stadium</v>
      </c>
      <c r="F2740" s="42" t="str">
        <v>San Francisco</v>
      </c>
      <c r="G2740" s="42" t="str">
        <v>USA</v>
      </c>
      <c r="H2740" s="42" t="str">
        <v>2.0</v>
      </c>
      <c r="I2740" s="42" t="str">
        <v>0.0</v>
      </c>
      <c r="J2740" s="42" t="str">
        <v>Bosnia and Herzegovina</v>
      </c>
      <c r="K2740" s="42" t="str">
        <v xml:space="preserve"> </v>
      </c>
      <c r="L2740" s="42" t="str">
        <f t="shared" si="201"/>
        <v xml:space="preserve">2026.0|0|Round of 32|San Francisco Bay Area Stadium|San Francisco|USA|2.0|0.0|Bosnia and Herzegovina| </v>
      </c>
      <c r="M2740" s="42" t="str">
        <f>IF(COUNTIF($L$1689:L2740,L2740)&gt;1,"DOUBLON","OK")</f>
        <v>OK</v>
      </c>
      <c r="S2740" s="40" t="str">
        <v>Paraguay</v>
      </c>
      <c r="T2740" s="40" t="str">
        <f t="shared" si="198"/>
        <v>OK</v>
      </c>
      <c r="U2740" s="40" t="str">
        <f t="shared" si="199"/>
        <v>-</v>
      </c>
      <c r="V2740" s="40" t="str" cm="1">
        <f t="array" ref="V2740">_xlfn.IFS(
ISNUMBER(SEARCH("USA",S2740)),"United States",
ISNUMBER(SEARCH("Republic of Ireland",S2740)),"Ireland",
ISNUMBER(SEARCH("Republic of Korea",S2740)),"South Korea",
ISNUMBER(SEARCH("Cape Verde",S2740)),"Cabo Verde",
ISNUMBER(SEARCH("Czechia",S2740)),"Czech Republic",
ISNUMBER(SEARCH("Türkiye",S2740)),"Turkey",
ISNUMBER(SEARCH("Ivory Coast",S2740)),"Côte d'Ivoire",
ISNUMBER(SEARCH("Korea Republic",S2740)),"South Korea",
ISNUMBER(SEARCH("Germany FR",S2740)),"FR Germany",
ISNUMBER(SEARCH("West Germany",S2740)),"FR Germany",
ISNUMBER(SEARCH("Germany DR",S2740)),"DR Germany",
ISNUMBER(SEARCH("Korea DPR",S2740)),"North Korea",
ISNUMBER(SEARCH("China PR",S2740)),"China",
ISNUMBER(SEARCH("IR Iran",S2740)),"Iran",
ISNUMBER(SEARCH("Congo DR",S2740)),"Democratic Republic of the Congo",
ISNUMBER(SEARCH("DR Congo",S2740)),"Democratic Republic of the Congo",
ISNUMBER(SEARCH("German DR",S2740)),"DR Germany",
ISNUMBER(SEARCH("rn""&gt;United Arab Emirates",S2740)),"United Arab Emirates",
ISNUMBER(SEARCH("rn""&gt;Republic of Ireland",S2740)),"Ireland",
ISNUMBER(SEARCH("rn""&gt;Bosnia and Herzegovina",S2740)),"Bosnia and Herzegovina",
ISNUMBER(SEARCH("rn""&gt;Trinidad and Tobago",S2740)),"Trinidad and Tobago",
ISNUMBER(SEARCH("rn""&gt;Serbia and Montenegro",S2740)),"Serbia and Montenegro",
ISNUMBER(SEARCH(_xlfn.UNICHAR(65533),S2740)),"Côte d'Ivoire",
TRUE,""
)</f>
        <v/>
      </c>
      <c r="W2740" s="40" t="str">
        <f t="shared" si="200"/>
        <v>Paraguay</v>
      </c>
    </row>
    <row r="2741" spans="2:23">
      <c r="B2741" s="76" t="str">
        <v>2026.0</v>
      </c>
      <c r="C2741" s="42">
        <v>0</v>
      </c>
      <c r="D2741" s="42" t="str">
        <v>Round of 32</v>
      </c>
      <c r="E2741" s="42" t="str">
        <v>Toronto Stadium</v>
      </c>
      <c r="F2741" s="42" t="str">
        <v>Toronto</v>
      </c>
      <c r="G2741" s="42" t="str">
        <v>Portugal</v>
      </c>
      <c r="H2741" s="42" t="str">
        <v>2.0</v>
      </c>
      <c r="I2741" s="42" t="str">
        <v>1.0</v>
      </c>
      <c r="J2741" s="42" t="str">
        <v>Croatia</v>
      </c>
      <c r="K2741" s="42" t="str">
        <v xml:space="preserve"> </v>
      </c>
      <c r="L2741" s="42" t="str">
        <f t="shared" si="201"/>
        <v xml:space="preserve">2026.0|0|Round of 32|Toronto Stadium|Toronto|Portugal|2.0|1.0|Croatia| </v>
      </c>
      <c r="M2741" s="42" t="str">
        <f>IF(COUNTIF($L$1689:L2741,L2741)&gt;1,"DOUBLON","OK")</f>
        <v>OK</v>
      </c>
      <c r="S2741" s="40" t="str">
        <v>Scotland</v>
      </c>
      <c r="T2741" s="40" t="str">
        <f t="shared" si="198"/>
        <v>ERREUR</v>
      </c>
      <c r="U2741" s="40" t="str">
        <f t="shared" si="199"/>
        <v>AUCUNE</v>
      </c>
      <c r="V2741" s="40" t="str" cm="1">
        <f t="array" ref="V2741">_xlfn.IFS(
ISNUMBER(SEARCH("USA",S2741)),"United States",
ISNUMBER(SEARCH("Republic of Ireland",S2741)),"Ireland",
ISNUMBER(SEARCH("Republic of Korea",S2741)),"South Korea",
ISNUMBER(SEARCH("Cape Verde",S2741)),"Cabo Verde",
ISNUMBER(SEARCH("Czechia",S2741)),"Czech Republic",
ISNUMBER(SEARCH("Türkiye",S2741)),"Turkey",
ISNUMBER(SEARCH("Ivory Coast",S2741)),"Côte d'Ivoire",
ISNUMBER(SEARCH("Korea Republic",S2741)),"South Korea",
ISNUMBER(SEARCH("Germany FR",S2741)),"FR Germany",
ISNUMBER(SEARCH("West Germany",S2741)),"FR Germany",
ISNUMBER(SEARCH("Germany DR",S2741)),"DR Germany",
ISNUMBER(SEARCH("Korea DPR",S2741)),"North Korea",
ISNUMBER(SEARCH("China PR",S2741)),"China",
ISNUMBER(SEARCH("IR Iran",S2741)),"Iran",
ISNUMBER(SEARCH("Congo DR",S2741)),"Democratic Republic of the Congo",
ISNUMBER(SEARCH("DR Congo",S2741)),"Democratic Republic of the Congo",
ISNUMBER(SEARCH("German DR",S2741)),"DR Germany",
ISNUMBER(SEARCH("rn""&gt;United Arab Emirates",S2741)),"United Arab Emirates",
ISNUMBER(SEARCH("rn""&gt;Republic of Ireland",S2741)),"Ireland",
ISNUMBER(SEARCH("rn""&gt;Bosnia and Herzegovina",S2741)),"Bosnia and Herzegovina",
ISNUMBER(SEARCH("rn""&gt;Trinidad and Tobago",S2741)),"Trinidad and Tobago",
ISNUMBER(SEARCH("rn""&gt;Serbia and Montenegro",S2741)),"Serbia and Montenegro",
ISNUMBER(SEARCH(_xlfn.UNICHAR(65533),S2741)),"Côte d'Ivoire",
TRUE,""
)</f>
        <v/>
      </c>
      <c r="W2741" s="40" t="str">
        <f t="shared" si="200"/>
        <v>Scotland</v>
      </c>
    </row>
    <row r="2742" spans="2:23">
      <c r="B2742" s="76" t="str">
        <v>2026.0</v>
      </c>
      <c r="C2742" s="42">
        <v>0</v>
      </c>
      <c r="D2742" s="42" t="str">
        <v>Round of 32</v>
      </c>
      <c r="E2742" s="42" t="str">
        <v>Los Angeles Stadium</v>
      </c>
      <c r="F2742" s="42" t="str">
        <v>Los Angeles</v>
      </c>
      <c r="G2742" s="42" t="str">
        <v>Spain</v>
      </c>
      <c r="H2742" s="42" t="str">
        <v>3.0</v>
      </c>
      <c r="I2742" s="42" t="str">
        <v>0.0</v>
      </c>
      <c r="J2742" s="42" t="str">
        <v>Austria</v>
      </c>
      <c r="K2742" s="42" t="str">
        <v xml:space="preserve"> </v>
      </c>
      <c r="L2742" s="42" t="str">
        <f t="shared" si="201"/>
        <v xml:space="preserve">2026.0|0|Round of 32|Los Angeles Stadium|Los Angeles|Spain|3.0|0.0|Austria| </v>
      </c>
      <c r="M2742" s="42" t="str">
        <f>IF(COUNTIF($L$1689:L2742,L2742)&gt;1,"DOUBLON","OK")</f>
        <v>OK</v>
      </c>
      <c r="S2742" s="40" t="str">
        <v>Uruguay</v>
      </c>
      <c r="T2742" s="40" t="str">
        <f t="shared" si="198"/>
        <v>OK</v>
      </c>
      <c r="U2742" s="40" t="str">
        <f t="shared" si="199"/>
        <v>-</v>
      </c>
      <c r="V2742" s="40" t="str" cm="1">
        <f t="array" ref="V2742">_xlfn.IFS(
ISNUMBER(SEARCH("USA",S2742)),"United States",
ISNUMBER(SEARCH("Republic of Ireland",S2742)),"Ireland",
ISNUMBER(SEARCH("Republic of Korea",S2742)),"South Korea",
ISNUMBER(SEARCH("Cape Verde",S2742)),"Cabo Verde",
ISNUMBER(SEARCH("Czechia",S2742)),"Czech Republic",
ISNUMBER(SEARCH("Türkiye",S2742)),"Turkey",
ISNUMBER(SEARCH("Ivory Coast",S2742)),"Côte d'Ivoire",
ISNUMBER(SEARCH("Korea Republic",S2742)),"South Korea",
ISNUMBER(SEARCH("Germany FR",S2742)),"FR Germany",
ISNUMBER(SEARCH("West Germany",S2742)),"FR Germany",
ISNUMBER(SEARCH("Germany DR",S2742)),"DR Germany",
ISNUMBER(SEARCH("Korea DPR",S2742)),"North Korea",
ISNUMBER(SEARCH("China PR",S2742)),"China",
ISNUMBER(SEARCH("IR Iran",S2742)),"Iran",
ISNUMBER(SEARCH("Congo DR",S2742)),"Democratic Republic of the Congo",
ISNUMBER(SEARCH("DR Congo",S2742)),"Democratic Republic of the Congo",
ISNUMBER(SEARCH("German DR",S2742)),"DR Germany",
ISNUMBER(SEARCH("rn""&gt;United Arab Emirates",S2742)),"United Arab Emirates",
ISNUMBER(SEARCH("rn""&gt;Republic of Ireland",S2742)),"Ireland",
ISNUMBER(SEARCH("rn""&gt;Bosnia and Herzegovina",S2742)),"Bosnia and Herzegovina",
ISNUMBER(SEARCH("rn""&gt;Trinidad and Tobago",S2742)),"Trinidad and Tobago",
ISNUMBER(SEARCH("rn""&gt;Serbia and Montenegro",S2742)),"Serbia and Montenegro",
ISNUMBER(SEARCH(_xlfn.UNICHAR(65533),S2742)),"Côte d'Ivoire",
TRUE,""
)</f>
        <v/>
      </c>
      <c r="W2742" s="40" t="str">
        <f t="shared" si="200"/>
        <v>Uruguay</v>
      </c>
    </row>
    <row r="2743" spans="2:23">
      <c r="B2743" s="76" t="str">
        <v>2026.0</v>
      </c>
      <c r="C2743" s="42">
        <v>0</v>
      </c>
      <c r="D2743" s="42" t="str">
        <v>Round of 32</v>
      </c>
      <c r="E2743" s="42" t="str">
        <v>BC Place Vancouver</v>
      </c>
      <c r="F2743" s="42" t="str">
        <v>Vancouver</v>
      </c>
      <c r="G2743" s="42" t="str">
        <v>Switzerland</v>
      </c>
      <c r="H2743" s="42" t="str">
        <v>2.0</v>
      </c>
      <c r="I2743" s="42" t="str">
        <v>0.0</v>
      </c>
      <c r="J2743" s="42" t="str">
        <v>Algeria</v>
      </c>
      <c r="K2743" s="42" t="str">
        <v xml:space="preserve"> </v>
      </c>
      <c r="L2743" s="42" t="str">
        <f t="shared" si="201"/>
        <v xml:space="preserve">2026.0|0|Round of 32|BC Place Vancouver|Vancouver|Switzerland|2.0|0.0|Algeria| </v>
      </c>
      <c r="M2743" s="42" t="str">
        <f>IF(COUNTIF($L$1689:L2743,L2743)&gt;1,"DOUBLON","OK")</f>
        <v>OK</v>
      </c>
      <c r="S2743" s="40" t="str">
        <v>Italy</v>
      </c>
      <c r="T2743" s="40" t="str">
        <f t="shared" si="198"/>
        <v>OK</v>
      </c>
      <c r="U2743" s="40" t="str">
        <f t="shared" si="199"/>
        <v>-</v>
      </c>
      <c r="V2743" s="40" t="str" cm="1">
        <f t="array" ref="V2743">_xlfn.IFS(
ISNUMBER(SEARCH("USA",S2743)),"United States",
ISNUMBER(SEARCH("Republic of Ireland",S2743)),"Ireland",
ISNUMBER(SEARCH("Republic of Korea",S2743)),"South Korea",
ISNUMBER(SEARCH("Cape Verde",S2743)),"Cabo Verde",
ISNUMBER(SEARCH("Czechia",S2743)),"Czech Republic",
ISNUMBER(SEARCH("Türkiye",S2743)),"Turkey",
ISNUMBER(SEARCH("Ivory Coast",S2743)),"Côte d'Ivoire",
ISNUMBER(SEARCH("Korea Republic",S2743)),"South Korea",
ISNUMBER(SEARCH("Germany FR",S2743)),"FR Germany",
ISNUMBER(SEARCH("West Germany",S2743)),"FR Germany",
ISNUMBER(SEARCH("Germany DR",S2743)),"DR Germany",
ISNUMBER(SEARCH("Korea DPR",S2743)),"North Korea",
ISNUMBER(SEARCH("China PR",S2743)),"China",
ISNUMBER(SEARCH("IR Iran",S2743)),"Iran",
ISNUMBER(SEARCH("Congo DR",S2743)),"Democratic Republic of the Congo",
ISNUMBER(SEARCH("DR Congo",S2743)),"Democratic Republic of the Congo",
ISNUMBER(SEARCH("German DR",S2743)),"DR Germany",
ISNUMBER(SEARCH("rn""&gt;United Arab Emirates",S2743)),"United Arab Emirates",
ISNUMBER(SEARCH("rn""&gt;Republic of Ireland",S2743)),"Ireland",
ISNUMBER(SEARCH("rn""&gt;Bosnia and Herzegovina",S2743)),"Bosnia and Herzegovina",
ISNUMBER(SEARCH("rn""&gt;Trinidad and Tobago",S2743)),"Trinidad and Tobago",
ISNUMBER(SEARCH("rn""&gt;Serbia and Montenegro",S2743)),"Serbia and Montenegro",
ISNUMBER(SEARCH(_xlfn.UNICHAR(65533),S2743)),"Côte d'Ivoire",
TRUE,""
)</f>
        <v/>
      </c>
      <c r="W2743" s="40" t="str">
        <f t="shared" si="200"/>
        <v>Italy</v>
      </c>
    </row>
    <row r="2744" spans="2:23">
      <c r="B2744" s="76" t="str">
        <v>2026.0</v>
      </c>
      <c r="C2744" s="42">
        <v>0</v>
      </c>
      <c r="D2744" s="42" t="str">
        <v>Round of 32</v>
      </c>
      <c r="E2744" s="42" t="str">
        <v>Miami Stadium</v>
      </c>
      <c r="F2744" s="42" t="str">
        <v>Miami</v>
      </c>
      <c r="G2744" s="42" t="str">
        <v>Australia</v>
      </c>
      <c r="H2744" s="42" t="str">
        <v>1.0</v>
      </c>
      <c r="I2744" s="42" t="str">
        <v>1.0</v>
      </c>
      <c r="J2744" s="42" t="str">
        <v>Egypt</v>
      </c>
      <c r="K2744" s="42" t="str">
        <v>Egypt win on penalties (4 - 2)</v>
      </c>
      <c r="L2744" s="42" t="str">
        <f t="shared" si="201"/>
        <v>2026.0|0|Round of 32|Miami Stadium|Miami|Australia|1.0|1.0|Egypt|Egypt win on penalties (4 - 2)</v>
      </c>
      <c r="M2744" s="42" t="str">
        <f>IF(COUNTIF($L$1689:L2744,L2744)&gt;1,"DOUBLON","OK")</f>
        <v>OK</v>
      </c>
      <c r="S2744" s="40" t="str">
        <v>France</v>
      </c>
      <c r="T2744" s="40" t="str">
        <f t="shared" si="198"/>
        <v>OK</v>
      </c>
      <c r="U2744" s="40" t="str">
        <f t="shared" si="199"/>
        <v>-</v>
      </c>
      <c r="V2744" s="40" t="str" cm="1">
        <f t="array" ref="V2744">_xlfn.IFS(
ISNUMBER(SEARCH("USA",S2744)),"United States",
ISNUMBER(SEARCH("Republic of Ireland",S2744)),"Ireland",
ISNUMBER(SEARCH("Republic of Korea",S2744)),"South Korea",
ISNUMBER(SEARCH("Cape Verde",S2744)),"Cabo Verde",
ISNUMBER(SEARCH("Czechia",S2744)),"Czech Republic",
ISNUMBER(SEARCH("Türkiye",S2744)),"Turkey",
ISNUMBER(SEARCH("Ivory Coast",S2744)),"Côte d'Ivoire",
ISNUMBER(SEARCH("Korea Republic",S2744)),"South Korea",
ISNUMBER(SEARCH("Germany FR",S2744)),"FR Germany",
ISNUMBER(SEARCH("West Germany",S2744)),"FR Germany",
ISNUMBER(SEARCH("Germany DR",S2744)),"DR Germany",
ISNUMBER(SEARCH("Korea DPR",S2744)),"North Korea",
ISNUMBER(SEARCH("China PR",S2744)),"China",
ISNUMBER(SEARCH("IR Iran",S2744)),"Iran",
ISNUMBER(SEARCH("Congo DR",S2744)),"Democratic Republic of the Congo",
ISNUMBER(SEARCH("DR Congo",S2744)),"Democratic Republic of the Congo",
ISNUMBER(SEARCH("German DR",S2744)),"DR Germany",
ISNUMBER(SEARCH("rn""&gt;United Arab Emirates",S2744)),"United Arab Emirates",
ISNUMBER(SEARCH("rn""&gt;Republic of Ireland",S2744)),"Ireland",
ISNUMBER(SEARCH("rn""&gt;Bosnia and Herzegovina",S2744)),"Bosnia and Herzegovina",
ISNUMBER(SEARCH("rn""&gt;Trinidad and Tobago",S2744)),"Trinidad and Tobago",
ISNUMBER(SEARCH("rn""&gt;Serbia and Montenegro",S2744)),"Serbia and Montenegro",
ISNUMBER(SEARCH(_xlfn.UNICHAR(65533),S2744)),"Côte d'Ivoire",
TRUE,""
)</f>
        <v/>
      </c>
      <c r="W2744" s="40" t="str">
        <f t="shared" si="200"/>
        <v>France</v>
      </c>
    </row>
    <row r="2745" spans="2:23">
      <c r="B2745" s="76" t="str">
        <v>2026.0</v>
      </c>
      <c r="C2745" s="42">
        <v>0</v>
      </c>
      <c r="D2745" s="42" t="str">
        <v>Round of 32</v>
      </c>
      <c r="E2745" s="42" t="str">
        <v>Miami Stadium</v>
      </c>
      <c r="F2745" s="42" t="str">
        <v>Miami</v>
      </c>
      <c r="G2745" s="42" t="str">
        <v>Argentina</v>
      </c>
      <c r="H2745" s="42" t="str">
        <v>3.0</v>
      </c>
      <c r="I2745" s="42" t="str">
        <v>2.0</v>
      </c>
      <c r="J2745" s="42" t="str">
        <v>Cabo Verde</v>
      </c>
      <c r="K2745" s="42" t="str">
        <v>Argentina win after extra time</v>
      </c>
      <c r="L2745" s="42" t="str">
        <f t="shared" si="201"/>
        <v>2026.0|0|Round of 32|Miami Stadium|Miami|Argentina|3.0|2.0|Cabo Verde|Argentina win after extra time</v>
      </c>
      <c r="M2745" s="42" t="str">
        <f>IF(COUNTIF($L$1689:L2745,L2745)&gt;1,"DOUBLON","OK")</f>
        <v>OK</v>
      </c>
      <c r="S2745" s="40" t="str">
        <v>Korea Republic</v>
      </c>
      <c r="T2745" s="40" t="str">
        <f t="shared" si="198"/>
        <v>ERREUR</v>
      </c>
      <c r="U2745" s="40" t="str">
        <f t="shared" si="199"/>
        <v>RENOMMER</v>
      </c>
      <c r="V2745" s="40" t="str" cm="1">
        <f t="array" ref="V2745">_xlfn.IFS(
ISNUMBER(SEARCH("USA",S2745)),"United States",
ISNUMBER(SEARCH("Republic of Ireland",S2745)),"Ireland",
ISNUMBER(SEARCH("Republic of Korea",S2745)),"South Korea",
ISNUMBER(SEARCH("Cape Verde",S2745)),"Cabo Verde",
ISNUMBER(SEARCH("Czechia",S2745)),"Czech Republic",
ISNUMBER(SEARCH("Türkiye",S2745)),"Turkey",
ISNUMBER(SEARCH("Ivory Coast",S2745)),"Côte d'Ivoire",
ISNUMBER(SEARCH("Korea Republic",S2745)),"South Korea",
ISNUMBER(SEARCH("Germany FR",S2745)),"FR Germany",
ISNUMBER(SEARCH("West Germany",S2745)),"FR Germany",
ISNUMBER(SEARCH("Germany DR",S2745)),"DR Germany",
ISNUMBER(SEARCH("Korea DPR",S2745)),"North Korea",
ISNUMBER(SEARCH("China PR",S2745)),"China",
ISNUMBER(SEARCH("IR Iran",S2745)),"Iran",
ISNUMBER(SEARCH("Congo DR",S2745)),"Democratic Republic of the Congo",
ISNUMBER(SEARCH("DR Congo",S2745)),"Democratic Republic of the Congo",
ISNUMBER(SEARCH("German DR",S2745)),"DR Germany",
ISNUMBER(SEARCH("rn""&gt;United Arab Emirates",S2745)),"United Arab Emirates",
ISNUMBER(SEARCH("rn""&gt;Republic of Ireland",S2745)),"Ireland",
ISNUMBER(SEARCH("rn""&gt;Bosnia and Herzegovina",S2745)),"Bosnia and Herzegovina",
ISNUMBER(SEARCH("rn""&gt;Trinidad and Tobago",S2745)),"Trinidad and Tobago",
ISNUMBER(SEARCH("rn""&gt;Serbia and Montenegro",S2745)),"Serbia and Montenegro",
ISNUMBER(SEARCH(_xlfn.UNICHAR(65533),S2745)),"Côte d'Ivoire",
TRUE,""
)</f>
        <v>South Korea</v>
      </c>
      <c r="W2745" s="40" t="str">
        <f t="shared" si="200"/>
        <v>South Korea</v>
      </c>
    </row>
    <row r="2746" spans="2:23">
      <c r="B2746" s="76" t="str">
        <v>2026.0</v>
      </c>
      <c r="C2746" s="42">
        <v>0</v>
      </c>
      <c r="D2746" s="42" t="str">
        <v>Round of 32</v>
      </c>
      <c r="E2746" s="42" t="str">
        <v>Kansas City Stadium</v>
      </c>
      <c r="F2746" s="42" t="str">
        <v>Kansas City</v>
      </c>
      <c r="G2746" s="42" t="str">
        <v>Colombia</v>
      </c>
      <c r="H2746" s="42" t="str">
        <v>1.0</v>
      </c>
      <c r="I2746" s="42" t="str">
        <v>0.0</v>
      </c>
      <c r="J2746" s="42" t="str">
        <v>Ghana</v>
      </c>
      <c r="K2746" s="42" t="str">
        <v xml:space="preserve"> </v>
      </c>
      <c r="L2746" s="42" t="str">
        <f t="shared" si="201"/>
        <v xml:space="preserve">2026.0|0|Round of 32|Kansas City Stadium|Kansas City|Colombia|1.0|0.0|Ghana| </v>
      </c>
      <c r="M2746" s="42" t="str">
        <f>IF(COUNTIF($L$1689:L2746,L2746)&gt;1,"DOUBLON","OK")</f>
        <v>OK</v>
      </c>
      <c r="S2746" s="40" t="str">
        <v>Hungary</v>
      </c>
      <c r="T2746" s="40" t="str">
        <f t="shared" si="198"/>
        <v>OK</v>
      </c>
      <c r="U2746" s="40" t="str">
        <f t="shared" si="199"/>
        <v>-</v>
      </c>
      <c r="V2746" s="40" t="str" cm="1">
        <f t="array" ref="V2746">_xlfn.IFS(
ISNUMBER(SEARCH("USA",S2746)),"United States",
ISNUMBER(SEARCH("Republic of Ireland",S2746)),"Ireland",
ISNUMBER(SEARCH("Republic of Korea",S2746)),"South Korea",
ISNUMBER(SEARCH("Cape Verde",S2746)),"Cabo Verde",
ISNUMBER(SEARCH("Czechia",S2746)),"Czech Republic",
ISNUMBER(SEARCH("Türkiye",S2746)),"Turkey",
ISNUMBER(SEARCH("Ivory Coast",S2746)),"Côte d'Ivoire",
ISNUMBER(SEARCH("Korea Republic",S2746)),"South Korea",
ISNUMBER(SEARCH("Germany FR",S2746)),"FR Germany",
ISNUMBER(SEARCH("West Germany",S2746)),"FR Germany",
ISNUMBER(SEARCH("Germany DR",S2746)),"DR Germany",
ISNUMBER(SEARCH("Korea DPR",S2746)),"North Korea",
ISNUMBER(SEARCH("China PR",S2746)),"China",
ISNUMBER(SEARCH("IR Iran",S2746)),"Iran",
ISNUMBER(SEARCH("Congo DR",S2746)),"Democratic Republic of the Congo",
ISNUMBER(SEARCH("DR Congo",S2746)),"Democratic Republic of the Congo",
ISNUMBER(SEARCH("German DR",S2746)),"DR Germany",
ISNUMBER(SEARCH("rn""&gt;United Arab Emirates",S2746)),"United Arab Emirates",
ISNUMBER(SEARCH("rn""&gt;Republic of Ireland",S2746)),"Ireland",
ISNUMBER(SEARCH("rn""&gt;Bosnia and Herzegovina",S2746)),"Bosnia and Herzegovina",
ISNUMBER(SEARCH("rn""&gt;Trinidad and Tobago",S2746)),"Trinidad and Tobago",
ISNUMBER(SEARCH("rn""&gt;Serbia and Montenegro",S2746)),"Serbia and Montenegro",
ISNUMBER(SEARCH(_xlfn.UNICHAR(65533),S2746)),"Côte d'Ivoire",
TRUE,""
)</f>
        <v/>
      </c>
      <c r="W2746" s="40" t="str">
        <f t="shared" si="200"/>
        <v>Hungary</v>
      </c>
    </row>
    <row r="2747" spans="2:23">
      <c r="B2747" s="76" t="str">
        <v>2026.0</v>
      </c>
      <c r="C2747" s="42">
        <v>0</v>
      </c>
      <c r="D2747" s="42" t="str">
        <v>Round of 16</v>
      </c>
      <c r="E2747" s="42" t="str">
        <v>NRG Stadium</v>
      </c>
      <c r="F2747" s="42" t="str">
        <v>Houston</v>
      </c>
      <c r="G2747" s="42" t="str">
        <v>Canada</v>
      </c>
      <c r="H2747" s="42" t="str">
        <v>0.0</v>
      </c>
      <c r="I2747" s="42" t="str">
        <v>3.0</v>
      </c>
      <c r="J2747" s="42" t="str">
        <v>Morocco</v>
      </c>
      <c r="K2747" s="42" t="str">
        <v xml:space="preserve"> </v>
      </c>
      <c r="L2747" s="42" t="str">
        <f t="shared" si="201"/>
        <v xml:space="preserve">2026.0|0|Round of 16|NRG Stadium|Houston|Canada|0.0|3.0|Morocco| </v>
      </c>
      <c r="M2747" s="42" t="str">
        <f>IF(COUNTIF($L$1689:L2747,L2747)&gt;1,"DOUBLON","OK")</f>
        <v>OK</v>
      </c>
      <c r="S2747" s="40" t="str">
        <v>Brazil</v>
      </c>
      <c r="T2747" s="40" t="str">
        <f t="shared" si="198"/>
        <v>OK</v>
      </c>
      <c r="U2747" s="40" t="str">
        <f t="shared" si="199"/>
        <v>-</v>
      </c>
      <c r="V2747" s="40" t="str" cm="1">
        <f t="array" ref="V2747">_xlfn.IFS(
ISNUMBER(SEARCH("USA",S2747)),"United States",
ISNUMBER(SEARCH("Republic of Ireland",S2747)),"Ireland",
ISNUMBER(SEARCH("Republic of Korea",S2747)),"South Korea",
ISNUMBER(SEARCH("Cape Verde",S2747)),"Cabo Verde",
ISNUMBER(SEARCH("Czechia",S2747)),"Czech Republic",
ISNUMBER(SEARCH("Türkiye",S2747)),"Turkey",
ISNUMBER(SEARCH("Ivory Coast",S2747)),"Côte d'Ivoire",
ISNUMBER(SEARCH("Korea Republic",S2747)),"South Korea",
ISNUMBER(SEARCH("Germany FR",S2747)),"FR Germany",
ISNUMBER(SEARCH("West Germany",S2747)),"FR Germany",
ISNUMBER(SEARCH("Germany DR",S2747)),"DR Germany",
ISNUMBER(SEARCH("Korea DPR",S2747)),"North Korea",
ISNUMBER(SEARCH("China PR",S2747)),"China",
ISNUMBER(SEARCH("IR Iran",S2747)),"Iran",
ISNUMBER(SEARCH("Congo DR",S2747)),"Democratic Republic of the Congo",
ISNUMBER(SEARCH("DR Congo",S2747)),"Democratic Republic of the Congo",
ISNUMBER(SEARCH("German DR",S2747)),"DR Germany",
ISNUMBER(SEARCH("rn""&gt;United Arab Emirates",S2747)),"United Arab Emirates",
ISNUMBER(SEARCH("rn""&gt;Republic of Ireland",S2747)),"Ireland",
ISNUMBER(SEARCH("rn""&gt;Bosnia and Herzegovina",S2747)),"Bosnia and Herzegovina",
ISNUMBER(SEARCH("rn""&gt;Trinidad and Tobago",S2747)),"Trinidad and Tobago",
ISNUMBER(SEARCH("rn""&gt;Serbia and Montenegro",S2747)),"Serbia and Montenegro",
ISNUMBER(SEARCH(_xlfn.UNICHAR(65533),S2747)),"Côte d'Ivoire",
TRUE,""
)</f>
        <v/>
      </c>
      <c r="W2747" s="40" t="str">
        <f t="shared" si="200"/>
        <v>Brazil</v>
      </c>
    </row>
    <row r="2748" spans="2:23">
      <c r="B2748" s="76" t="str">
        <v>2026.0</v>
      </c>
      <c r="C2748" s="42">
        <v>0</v>
      </c>
      <c r="D2748" s="42" t="str">
        <v>Round of 16</v>
      </c>
      <c r="E2748" s="42" t="str">
        <v>Lincoln Financial Field</v>
      </c>
      <c r="F2748" s="42" t="str">
        <v>Philadelphia</v>
      </c>
      <c r="G2748" s="42" t="str">
        <v>Paraguay</v>
      </c>
      <c r="H2748" s="42" t="str">
        <v>0.0</v>
      </c>
      <c r="I2748" s="42" t="str">
        <v>1.0</v>
      </c>
      <c r="J2748" s="42" t="str">
        <v>France</v>
      </c>
      <c r="K2748" s="42" t="str">
        <v xml:space="preserve"> </v>
      </c>
      <c r="L2748" s="42" t="str">
        <f t="shared" si="201"/>
        <v xml:space="preserve">2026.0|0|Round of 16|Lincoln Financial Field|Philadelphia|Paraguay|0.0|1.0|France| </v>
      </c>
      <c r="M2748" s="42" t="str">
        <f>IF(COUNTIF($L$1689:L2748,L2748)&gt;1,"DOUBLON","OK")</f>
        <v>OK</v>
      </c>
      <c r="S2748" s="40" t="str">
        <v>England</v>
      </c>
      <c r="T2748" s="40" t="str">
        <f t="shared" si="198"/>
        <v>ERREUR</v>
      </c>
      <c r="U2748" s="40" t="str">
        <f t="shared" si="199"/>
        <v>AUCUNE</v>
      </c>
      <c r="V2748" s="40" t="str" cm="1">
        <f t="array" ref="V2748">_xlfn.IFS(
ISNUMBER(SEARCH("USA",S2748)),"United States",
ISNUMBER(SEARCH("Republic of Ireland",S2748)),"Ireland",
ISNUMBER(SEARCH("Republic of Korea",S2748)),"South Korea",
ISNUMBER(SEARCH("Cape Verde",S2748)),"Cabo Verde",
ISNUMBER(SEARCH("Czechia",S2748)),"Czech Republic",
ISNUMBER(SEARCH("Türkiye",S2748)),"Turkey",
ISNUMBER(SEARCH("Ivory Coast",S2748)),"Côte d'Ivoire",
ISNUMBER(SEARCH("Korea Republic",S2748)),"South Korea",
ISNUMBER(SEARCH("Germany FR",S2748)),"FR Germany",
ISNUMBER(SEARCH("West Germany",S2748)),"FR Germany",
ISNUMBER(SEARCH("Germany DR",S2748)),"DR Germany",
ISNUMBER(SEARCH("Korea DPR",S2748)),"North Korea",
ISNUMBER(SEARCH("China PR",S2748)),"China",
ISNUMBER(SEARCH("IR Iran",S2748)),"Iran",
ISNUMBER(SEARCH("Congo DR",S2748)),"Democratic Republic of the Congo",
ISNUMBER(SEARCH("DR Congo",S2748)),"Democratic Republic of the Congo",
ISNUMBER(SEARCH("German DR",S2748)),"DR Germany",
ISNUMBER(SEARCH("rn""&gt;United Arab Emirates",S2748)),"United Arab Emirates",
ISNUMBER(SEARCH("rn""&gt;Republic of Ireland",S2748)),"Ireland",
ISNUMBER(SEARCH("rn""&gt;Bosnia and Herzegovina",S2748)),"Bosnia and Herzegovina",
ISNUMBER(SEARCH("rn""&gt;Trinidad and Tobago",S2748)),"Trinidad and Tobago",
ISNUMBER(SEARCH("rn""&gt;Serbia and Montenegro",S2748)),"Serbia and Montenegro",
ISNUMBER(SEARCH(_xlfn.UNICHAR(65533),S2748)),"Côte d'Ivoire",
TRUE,""
)</f>
        <v/>
      </c>
      <c r="W2748" s="40" t="str">
        <f t="shared" si="200"/>
        <v>England</v>
      </c>
    </row>
    <row r="2749" spans="2:23">
      <c r="B2749" s="76" t="str">
        <v>2026.0</v>
      </c>
      <c r="C2749" s="42">
        <v>0</v>
      </c>
      <c r="D2749" s="42" t="str">
        <v>Round of 16</v>
      </c>
      <c r="E2749" s="42" t="str">
        <v>New York New Jersey Stadium</v>
      </c>
      <c r="F2749" s="42" t="str">
        <v>New Jersey</v>
      </c>
      <c r="G2749" s="42" t="str">
        <v>Brazil</v>
      </c>
      <c r="H2749" s="42" t="str">
        <v>1.0</v>
      </c>
      <c r="I2749" s="42" t="str">
        <v>2.0</v>
      </c>
      <c r="J2749" s="42" t="str">
        <v>Norway</v>
      </c>
      <c r="K2749" s="42" t="str">
        <v xml:space="preserve"> </v>
      </c>
      <c r="L2749" s="42" t="str">
        <f t="shared" si="201"/>
        <v xml:space="preserve">2026.0|0|Round of 16|New York New Jersey Stadium|New Jersey|Brazil|1.0|2.0|Norway| </v>
      </c>
      <c r="M2749" s="42" t="str">
        <f>IF(COUNTIF($L$1689:L2749,L2749)&gt;1,"DOUBLON","OK")</f>
        <v>OK</v>
      </c>
      <c r="S2749" s="40" t="str">
        <v>Northern Ireland</v>
      </c>
      <c r="T2749" s="40" t="str">
        <f t="shared" si="198"/>
        <v>ERREUR</v>
      </c>
      <c r="U2749" s="40" t="str">
        <f t="shared" si="199"/>
        <v>AUCUNE</v>
      </c>
      <c r="V2749" s="40" t="str" cm="1">
        <f t="array" ref="V2749">_xlfn.IFS(
ISNUMBER(SEARCH("USA",S2749)),"United States",
ISNUMBER(SEARCH("Republic of Ireland",S2749)),"Ireland",
ISNUMBER(SEARCH("Republic of Korea",S2749)),"South Korea",
ISNUMBER(SEARCH("Cape Verde",S2749)),"Cabo Verde",
ISNUMBER(SEARCH("Czechia",S2749)),"Czech Republic",
ISNUMBER(SEARCH("Türkiye",S2749)),"Turkey",
ISNUMBER(SEARCH("Ivory Coast",S2749)),"Côte d'Ivoire",
ISNUMBER(SEARCH("Korea Republic",S2749)),"South Korea",
ISNUMBER(SEARCH("Germany FR",S2749)),"FR Germany",
ISNUMBER(SEARCH("West Germany",S2749)),"FR Germany",
ISNUMBER(SEARCH("Germany DR",S2749)),"DR Germany",
ISNUMBER(SEARCH("Korea DPR",S2749)),"North Korea",
ISNUMBER(SEARCH("China PR",S2749)),"China",
ISNUMBER(SEARCH("IR Iran",S2749)),"Iran",
ISNUMBER(SEARCH("Congo DR",S2749)),"Democratic Republic of the Congo",
ISNUMBER(SEARCH("DR Congo",S2749)),"Democratic Republic of the Congo",
ISNUMBER(SEARCH("German DR",S2749)),"DR Germany",
ISNUMBER(SEARCH("rn""&gt;United Arab Emirates",S2749)),"United Arab Emirates",
ISNUMBER(SEARCH("rn""&gt;Republic of Ireland",S2749)),"Ireland",
ISNUMBER(SEARCH("rn""&gt;Bosnia and Herzegovina",S2749)),"Bosnia and Herzegovina",
ISNUMBER(SEARCH("rn""&gt;Trinidad and Tobago",S2749)),"Trinidad and Tobago",
ISNUMBER(SEARCH("rn""&gt;Serbia and Montenegro",S2749)),"Serbia and Montenegro",
ISNUMBER(SEARCH(_xlfn.UNICHAR(65533),S2749)),"Côte d'Ivoire",
TRUE,""
)</f>
        <v/>
      </c>
      <c r="W2749" s="40" t="str">
        <f t="shared" si="200"/>
        <v>Northern Ireland</v>
      </c>
    </row>
    <row r="2750" spans="2:23">
      <c r="B2750" s="76" t="str">
        <v>2026.0</v>
      </c>
      <c r="C2750" s="42">
        <v>0</v>
      </c>
      <c r="D2750" s="42" t="str">
        <v>Round of 16</v>
      </c>
      <c r="E2750" s="42" t="str">
        <v>Banorte Stadium</v>
      </c>
      <c r="F2750" s="42" t="str">
        <v>Monterrey</v>
      </c>
      <c r="G2750" s="42" t="str">
        <v>Mexico</v>
      </c>
      <c r="H2750" s="42" t="str">
        <v>2.0</v>
      </c>
      <c r="I2750" s="42" t="str">
        <v>3.0</v>
      </c>
      <c r="J2750" s="42" t="str">
        <v>England</v>
      </c>
      <c r="K2750" s="42" t="str">
        <v xml:space="preserve"> </v>
      </c>
      <c r="L2750" s="42" t="str">
        <f t="shared" si="201"/>
        <v xml:space="preserve">2026.0|0|Round of 16|Banorte Stadium|Monterrey|Mexico|2.0|3.0|England| </v>
      </c>
      <c r="M2750" s="42" t="str">
        <f>IF(COUNTIF($L$1689:L2750,L2750)&gt;1,"DOUBLON","OK")</f>
        <v>OK</v>
      </c>
      <c r="S2750" s="40" t="str">
        <v>Mexico</v>
      </c>
      <c r="T2750" s="40" t="str">
        <f t="shared" si="198"/>
        <v>OK</v>
      </c>
      <c r="U2750" s="40" t="str">
        <f t="shared" si="199"/>
        <v>-</v>
      </c>
      <c r="V2750" s="40" t="str" cm="1">
        <f t="array" ref="V2750">_xlfn.IFS(
ISNUMBER(SEARCH("USA",S2750)),"United States",
ISNUMBER(SEARCH("Republic of Ireland",S2750)),"Ireland",
ISNUMBER(SEARCH("Republic of Korea",S2750)),"South Korea",
ISNUMBER(SEARCH("Cape Verde",S2750)),"Cabo Verde",
ISNUMBER(SEARCH("Czechia",S2750)),"Czech Republic",
ISNUMBER(SEARCH("Türkiye",S2750)),"Turkey",
ISNUMBER(SEARCH("Ivory Coast",S2750)),"Côte d'Ivoire",
ISNUMBER(SEARCH("Korea Republic",S2750)),"South Korea",
ISNUMBER(SEARCH("Germany FR",S2750)),"FR Germany",
ISNUMBER(SEARCH("West Germany",S2750)),"FR Germany",
ISNUMBER(SEARCH("Germany DR",S2750)),"DR Germany",
ISNUMBER(SEARCH("Korea DPR",S2750)),"North Korea",
ISNUMBER(SEARCH("China PR",S2750)),"China",
ISNUMBER(SEARCH("IR Iran",S2750)),"Iran",
ISNUMBER(SEARCH("Congo DR",S2750)),"Democratic Republic of the Congo",
ISNUMBER(SEARCH("DR Congo",S2750)),"Democratic Republic of the Congo",
ISNUMBER(SEARCH("German DR",S2750)),"DR Germany",
ISNUMBER(SEARCH("rn""&gt;United Arab Emirates",S2750)),"United Arab Emirates",
ISNUMBER(SEARCH("rn""&gt;Republic of Ireland",S2750)),"Ireland",
ISNUMBER(SEARCH("rn""&gt;Bosnia and Herzegovina",S2750)),"Bosnia and Herzegovina",
ISNUMBER(SEARCH("rn""&gt;Trinidad and Tobago",S2750)),"Trinidad and Tobago",
ISNUMBER(SEARCH("rn""&gt;Serbia and Montenegro",S2750)),"Serbia and Montenegro",
ISNUMBER(SEARCH(_xlfn.UNICHAR(65533),S2750)),"Côte d'Ivoire",
TRUE,""
)</f>
        <v/>
      </c>
      <c r="W2750" s="40" t="str">
        <f t="shared" si="200"/>
        <v>Mexico</v>
      </c>
    </row>
    <row r="2751" spans="2:23">
      <c r="B2751" s="76" t="str">
        <v>2026.0</v>
      </c>
      <c r="C2751" s="42">
        <v>0</v>
      </c>
      <c r="D2751" s="42" t="str">
        <v>Round of 16</v>
      </c>
      <c r="E2751" s="42" t="str">
        <v>AT&amp;T Stadium</v>
      </c>
      <c r="F2751" s="42" t="str">
        <v>Dallas</v>
      </c>
      <c r="G2751" s="42" t="str">
        <v>Portugal</v>
      </c>
      <c r="H2751" s="42" t="str">
        <v>0.0</v>
      </c>
      <c r="I2751" s="42" t="str">
        <v>1.0</v>
      </c>
      <c r="J2751" s="42" t="str">
        <v>Spain</v>
      </c>
      <c r="K2751" s="42" t="str">
        <v xml:space="preserve"> </v>
      </c>
      <c r="L2751" s="42" t="str">
        <f t="shared" si="201"/>
        <v xml:space="preserve">2026.0|0|Round of 16|AT&amp;T Stadium|Dallas|Portugal|0.0|1.0|Spain| </v>
      </c>
      <c r="M2751" s="42" t="str">
        <f>IF(COUNTIF($L$1689:L2751,L2751)&gt;1,"DOUBLON","OK")</f>
        <v>OK</v>
      </c>
      <c r="S2751" s="40" t="str">
        <v>Poland</v>
      </c>
      <c r="T2751" s="40" t="str">
        <f t="shared" si="198"/>
        <v>OK</v>
      </c>
      <c r="U2751" s="40" t="str">
        <f t="shared" si="199"/>
        <v>-</v>
      </c>
      <c r="V2751" s="40" t="str" cm="1">
        <f t="array" ref="V2751">_xlfn.IFS(
ISNUMBER(SEARCH("USA",S2751)),"United States",
ISNUMBER(SEARCH("Republic of Ireland",S2751)),"Ireland",
ISNUMBER(SEARCH("Republic of Korea",S2751)),"South Korea",
ISNUMBER(SEARCH("Cape Verde",S2751)),"Cabo Verde",
ISNUMBER(SEARCH("Czechia",S2751)),"Czech Republic",
ISNUMBER(SEARCH("Türkiye",S2751)),"Turkey",
ISNUMBER(SEARCH("Ivory Coast",S2751)),"Côte d'Ivoire",
ISNUMBER(SEARCH("Korea Republic",S2751)),"South Korea",
ISNUMBER(SEARCH("Germany FR",S2751)),"FR Germany",
ISNUMBER(SEARCH("West Germany",S2751)),"FR Germany",
ISNUMBER(SEARCH("Germany DR",S2751)),"DR Germany",
ISNUMBER(SEARCH("Korea DPR",S2751)),"North Korea",
ISNUMBER(SEARCH("China PR",S2751)),"China",
ISNUMBER(SEARCH("IR Iran",S2751)),"Iran",
ISNUMBER(SEARCH("Congo DR",S2751)),"Democratic Republic of the Congo",
ISNUMBER(SEARCH("DR Congo",S2751)),"Democratic Republic of the Congo",
ISNUMBER(SEARCH("German DR",S2751)),"DR Germany",
ISNUMBER(SEARCH("rn""&gt;United Arab Emirates",S2751)),"United Arab Emirates",
ISNUMBER(SEARCH("rn""&gt;Republic of Ireland",S2751)),"Ireland",
ISNUMBER(SEARCH("rn""&gt;Bosnia and Herzegovina",S2751)),"Bosnia and Herzegovina",
ISNUMBER(SEARCH("rn""&gt;Trinidad and Tobago",S2751)),"Trinidad and Tobago",
ISNUMBER(SEARCH("rn""&gt;Serbia and Montenegro",S2751)),"Serbia and Montenegro",
ISNUMBER(SEARCH(_xlfn.UNICHAR(65533),S2751)),"Côte d'Ivoire",
TRUE,""
)</f>
        <v/>
      </c>
      <c r="W2751" s="40" t="str">
        <f t="shared" si="200"/>
        <v>Poland</v>
      </c>
    </row>
    <row r="2752" spans="2:23">
      <c r="B2752" s="76" t="str">
        <v>2026.0</v>
      </c>
      <c r="C2752" s="42">
        <v>0</v>
      </c>
      <c r="D2752" s="42" t="str">
        <v>Round of 16</v>
      </c>
      <c r="E2752" s="42" t="str">
        <v>Lumen Field</v>
      </c>
      <c r="F2752" s="42" t="str">
        <v>Seattle</v>
      </c>
      <c r="G2752" s="42" t="str">
        <v>United States</v>
      </c>
      <c r="H2752" s="42" t="str">
        <v>1.0</v>
      </c>
      <c r="I2752" s="42" t="str">
        <v>4.0</v>
      </c>
      <c r="J2752" s="42" t="str">
        <v>Belgium</v>
      </c>
      <c r="K2752" s="42" t="str">
        <v xml:space="preserve"> </v>
      </c>
      <c r="L2752" s="42" t="str">
        <f t="shared" si="201"/>
        <v xml:space="preserve">2026.0|0|Round of 16|Lumen Field|Seattle|United States|1.0|4.0|Belgium| </v>
      </c>
      <c r="M2752" s="42" t="str">
        <f>IF(COUNTIF($L$1689:L2752,L2752)&gt;1,"DOUBLON","OK")</f>
        <v>OK</v>
      </c>
      <c r="S2752" s="40" t="str">
        <v>Iraq</v>
      </c>
      <c r="T2752" s="40" t="str">
        <f t="shared" si="198"/>
        <v>OK</v>
      </c>
      <c r="U2752" s="40" t="str">
        <f t="shared" si="199"/>
        <v>-</v>
      </c>
      <c r="V2752" s="40" t="str" cm="1">
        <f t="array" ref="V2752">_xlfn.IFS(
ISNUMBER(SEARCH("USA",S2752)),"United States",
ISNUMBER(SEARCH("Republic of Ireland",S2752)),"Ireland",
ISNUMBER(SEARCH("Republic of Korea",S2752)),"South Korea",
ISNUMBER(SEARCH("Cape Verde",S2752)),"Cabo Verde",
ISNUMBER(SEARCH("Czechia",S2752)),"Czech Republic",
ISNUMBER(SEARCH("Türkiye",S2752)),"Turkey",
ISNUMBER(SEARCH("Ivory Coast",S2752)),"Côte d'Ivoire",
ISNUMBER(SEARCH("Korea Republic",S2752)),"South Korea",
ISNUMBER(SEARCH("Germany FR",S2752)),"FR Germany",
ISNUMBER(SEARCH("West Germany",S2752)),"FR Germany",
ISNUMBER(SEARCH("Germany DR",S2752)),"DR Germany",
ISNUMBER(SEARCH("Korea DPR",S2752)),"North Korea",
ISNUMBER(SEARCH("China PR",S2752)),"China",
ISNUMBER(SEARCH("IR Iran",S2752)),"Iran",
ISNUMBER(SEARCH("Congo DR",S2752)),"Democratic Republic of the Congo",
ISNUMBER(SEARCH("DR Congo",S2752)),"Democratic Republic of the Congo",
ISNUMBER(SEARCH("German DR",S2752)),"DR Germany",
ISNUMBER(SEARCH("rn""&gt;United Arab Emirates",S2752)),"United Arab Emirates",
ISNUMBER(SEARCH("rn""&gt;Republic of Ireland",S2752)),"Ireland",
ISNUMBER(SEARCH("rn""&gt;Bosnia and Herzegovina",S2752)),"Bosnia and Herzegovina",
ISNUMBER(SEARCH("rn""&gt;Trinidad and Tobago",S2752)),"Trinidad and Tobago",
ISNUMBER(SEARCH("rn""&gt;Serbia and Montenegro",S2752)),"Serbia and Montenegro",
ISNUMBER(SEARCH(_xlfn.UNICHAR(65533),S2752)),"Côte d'Ivoire",
TRUE,""
)</f>
        <v/>
      </c>
      <c r="W2752" s="40" t="str">
        <f t="shared" si="200"/>
        <v>Iraq</v>
      </c>
    </row>
    <row r="2753" spans="2:23">
      <c r="B2753" s="76" t="str">
        <v>2026.0</v>
      </c>
      <c r="C2753" s="42">
        <v>0</v>
      </c>
      <c r="D2753" s="42" t="str">
        <v>Round of 16</v>
      </c>
      <c r="E2753" s="42" t="str">
        <v>Mercedes-Benz Stadium</v>
      </c>
      <c r="F2753" s="42" t="str">
        <v>Atlanta</v>
      </c>
      <c r="G2753" s="42" t="str">
        <v>Argentina</v>
      </c>
      <c r="H2753" s="42" t="str">
        <v>3.0</v>
      </c>
      <c r="I2753" s="42" t="str">
        <v>2.0</v>
      </c>
      <c r="J2753" s="42" t="str">
        <v>Egypt</v>
      </c>
      <c r="K2753" s="42" t="str">
        <v xml:space="preserve"> </v>
      </c>
      <c r="L2753" s="42" t="str">
        <f t="shared" si="201"/>
        <v xml:space="preserve">2026.0|0|Round of 16|Mercedes-Benz Stadium|Atlanta|Argentina|3.0|2.0|Egypt| </v>
      </c>
      <c r="M2753" s="42" t="str">
        <f>IF(COUNTIF($L$1689:L2753,L2753)&gt;1,"DOUBLON","OK")</f>
        <v>OK</v>
      </c>
      <c r="S2753" s="40" t="str">
        <v>Denmark</v>
      </c>
      <c r="T2753" s="40" t="str">
        <f t="shared" si="198"/>
        <v>OK</v>
      </c>
      <c r="U2753" s="40" t="str">
        <f t="shared" si="199"/>
        <v>-</v>
      </c>
      <c r="V2753" s="40" t="str" cm="1">
        <f t="array" ref="V2753">_xlfn.IFS(
ISNUMBER(SEARCH("USA",S2753)),"United States",
ISNUMBER(SEARCH("Republic of Ireland",S2753)),"Ireland",
ISNUMBER(SEARCH("Republic of Korea",S2753)),"South Korea",
ISNUMBER(SEARCH("Cape Verde",S2753)),"Cabo Verde",
ISNUMBER(SEARCH("Czechia",S2753)),"Czech Republic",
ISNUMBER(SEARCH("Türkiye",S2753)),"Turkey",
ISNUMBER(SEARCH("Ivory Coast",S2753)),"Côte d'Ivoire",
ISNUMBER(SEARCH("Korea Republic",S2753)),"South Korea",
ISNUMBER(SEARCH("Germany FR",S2753)),"FR Germany",
ISNUMBER(SEARCH("West Germany",S2753)),"FR Germany",
ISNUMBER(SEARCH("Germany DR",S2753)),"DR Germany",
ISNUMBER(SEARCH("Korea DPR",S2753)),"North Korea",
ISNUMBER(SEARCH("China PR",S2753)),"China",
ISNUMBER(SEARCH("IR Iran",S2753)),"Iran",
ISNUMBER(SEARCH("Congo DR",S2753)),"Democratic Republic of the Congo",
ISNUMBER(SEARCH("DR Congo",S2753)),"Democratic Republic of the Congo",
ISNUMBER(SEARCH("German DR",S2753)),"DR Germany",
ISNUMBER(SEARCH("rn""&gt;United Arab Emirates",S2753)),"United Arab Emirates",
ISNUMBER(SEARCH("rn""&gt;Republic of Ireland",S2753)),"Ireland",
ISNUMBER(SEARCH("rn""&gt;Bosnia and Herzegovina",S2753)),"Bosnia and Herzegovina",
ISNUMBER(SEARCH("rn""&gt;Trinidad and Tobago",S2753)),"Trinidad and Tobago",
ISNUMBER(SEARCH("rn""&gt;Serbia and Montenegro",S2753)),"Serbia and Montenegro",
ISNUMBER(SEARCH(_xlfn.UNICHAR(65533),S2753)),"Côte d'Ivoire",
TRUE,""
)</f>
        <v/>
      </c>
      <c r="W2753" s="40" t="str">
        <f t="shared" si="200"/>
        <v>Denmark</v>
      </c>
    </row>
    <row r="2754" spans="2:23">
      <c r="B2754" s="76" t="str">
        <v>2026.0</v>
      </c>
      <c r="C2754" s="42">
        <v>0</v>
      </c>
      <c r="D2754" s="42" t="str">
        <v>Round of 16</v>
      </c>
      <c r="E2754" s="42" t="str">
        <v>BC Place</v>
      </c>
      <c r="F2754" s="42" t="str">
        <v>Vancouver</v>
      </c>
      <c r="G2754" s="42" t="str">
        <v>Switzerland</v>
      </c>
      <c r="H2754" s="42" t="str">
        <v>0.0</v>
      </c>
      <c r="I2754" s="42" t="str">
        <v>0.0</v>
      </c>
      <c r="J2754" s="42" t="str">
        <v>Colombia</v>
      </c>
      <c r="K2754" s="42" t="str">
        <v>Switzerland win on penalties (4 - 3)</v>
      </c>
      <c r="L2754" s="42" t="str">
        <f t="shared" si="201"/>
        <v>2026.0|0|Round of 16|BC Place|Vancouver|Switzerland|0.0|0.0|Colombia|Switzerland win on penalties (4 - 3)</v>
      </c>
      <c r="M2754" s="42" t="str">
        <f>IF(COUNTIF($L$1689:L2754,L2754)&gt;1,"DOUBLON","OK")</f>
        <v>OK</v>
      </c>
      <c r="S2754" s="40" t="str">
        <v>Germany FR</v>
      </c>
      <c r="T2754" s="40" t="str">
        <f t="shared" si="198"/>
        <v>ERREUR</v>
      </c>
      <c r="U2754" s="40" t="str">
        <f t="shared" si="199"/>
        <v>RENOMMER</v>
      </c>
      <c r="V2754" s="40" t="str" cm="1">
        <f t="array" ref="V2754">_xlfn.IFS(
ISNUMBER(SEARCH("USA",S2754)),"United States",
ISNUMBER(SEARCH("Republic of Ireland",S2754)),"Ireland",
ISNUMBER(SEARCH("Republic of Korea",S2754)),"South Korea",
ISNUMBER(SEARCH("Cape Verde",S2754)),"Cabo Verde",
ISNUMBER(SEARCH("Czechia",S2754)),"Czech Republic",
ISNUMBER(SEARCH("Türkiye",S2754)),"Turkey",
ISNUMBER(SEARCH("Ivory Coast",S2754)),"Côte d'Ivoire",
ISNUMBER(SEARCH("Korea Republic",S2754)),"South Korea",
ISNUMBER(SEARCH("Germany FR",S2754)),"FR Germany",
ISNUMBER(SEARCH("West Germany",S2754)),"FR Germany",
ISNUMBER(SEARCH("Germany DR",S2754)),"DR Germany",
ISNUMBER(SEARCH("Korea DPR",S2754)),"North Korea",
ISNUMBER(SEARCH("China PR",S2754)),"China",
ISNUMBER(SEARCH("IR Iran",S2754)),"Iran",
ISNUMBER(SEARCH("Congo DR",S2754)),"Democratic Republic of the Congo",
ISNUMBER(SEARCH("DR Congo",S2754)),"Democratic Republic of the Congo",
ISNUMBER(SEARCH("German DR",S2754)),"DR Germany",
ISNUMBER(SEARCH("rn""&gt;United Arab Emirates",S2754)),"United Arab Emirates",
ISNUMBER(SEARCH("rn""&gt;Republic of Ireland",S2754)),"Ireland",
ISNUMBER(SEARCH("rn""&gt;Bosnia and Herzegovina",S2754)),"Bosnia and Herzegovina",
ISNUMBER(SEARCH("rn""&gt;Trinidad and Tobago",S2754)),"Trinidad and Tobago",
ISNUMBER(SEARCH("rn""&gt;Serbia and Montenegro",S2754)),"Serbia and Montenegro",
ISNUMBER(SEARCH(_xlfn.UNICHAR(65533),S2754)),"Côte d'Ivoire",
TRUE,""
)</f>
        <v>FR Germany</v>
      </c>
      <c r="W2754" s="40" t="str">
        <f t="shared" si="200"/>
        <v>FR Germany</v>
      </c>
    </row>
    <row r="2755" spans="2:23">
      <c r="B2755" s="76" t="str">
        <v>2026.0</v>
      </c>
      <c r="C2755" s="42">
        <v>0</v>
      </c>
      <c r="D2755" s="42" t="str">
        <v>Quarter-finals</v>
      </c>
      <c r="E2755" s="42" t="str">
        <v>Gillette Stadium</v>
      </c>
      <c r="F2755" s="42" t="str">
        <v>Boston</v>
      </c>
      <c r="G2755" s="42" t="str">
        <v>France</v>
      </c>
      <c r="H2755" s="42" t="str">
        <v>2.0</v>
      </c>
      <c r="I2755" s="42" t="str">
        <v>0.0</v>
      </c>
      <c r="J2755" s="42" t="str">
        <v>Morocco</v>
      </c>
      <c r="K2755" s="42" t="str">
        <v xml:space="preserve"> </v>
      </c>
      <c r="L2755" s="42" t="str">
        <f t="shared" si="201"/>
        <v xml:space="preserve">2026.0|0|Quarter-finals|Gillette Stadium|Boston|France|2.0|0.0|Morocco| </v>
      </c>
      <c r="M2755" s="42" t="str">
        <f>IF(COUNTIF($L$1689:L2755,L2755)&gt;1,"DOUBLON","OK")</f>
        <v>OK</v>
      </c>
      <c r="S2755" s="40" t="str">
        <v>Hungary</v>
      </c>
      <c r="T2755" s="40" t="str">
        <f t="shared" ref="T2755:T2818" si="202">IF(COUNTIF(R$13:R$250,S2755)=1,"OK","ERREUR")</f>
        <v>OK</v>
      </c>
      <c r="U2755" s="40" t="str">
        <f t="shared" si="199"/>
        <v>-</v>
      </c>
      <c r="V2755" s="40" t="str" cm="1">
        <f t="array" ref="V2755">_xlfn.IFS(
ISNUMBER(SEARCH("USA",S2755)),"United States",
ISNUMBER(SEARCH("Republic of Ireland",S2755)),"Ireland",
ISNUMBER(SEARCH("Republic of Korea",S2755)),"South Korea",
ISNUMBER(SEARCH("Cape Verde",S2755)),"Cabo Verde",
ISNUMBER(SEARCH("Czechia",S2755)),"Czech Republic",
ISNUMBER(SEARCH("Türkiye",S2755)),"Turkey",
ISNUMBER(SEARCH("Ivory Coast",S2755)),"Côte d'Ivoire",
ISNUMBER(SEARCH("Korea Republic",S2755)),"South Korea",
ISNUMBER(SEARCH("Germany FR",S2755)),"FR Germany",
ISNUMBER(SEARCH("West Germany",S2755)),"FR Germany",
ISNUMBER(SEARCH("Germany DR",S2755)),"DR Germany",
ISNUMBER(SEARCH("Korea DPR",S2755)),"North Korea",
ISNUMBER(SEARCH("China PR",S2755)),"China",
ISNUMBER(SEARCH("IR Iran",S2755)),"Iran",
ISNUMBER(SEARCH("Congo DR",S2755)),"Democratic Republic of the Congo",
ISNUMBER(SEARCH("DR Congo",S2755)),"Democratic Republic of the Congo",
ISNUMBER(SEARCH("German DR",S2755)),"DR Germany",
ISNUMBER(SEARCH("rn""&gt;United Arab Emirates",S2755)),"United Arab Emirates",
ISNUMBER(SEARCH("rn""&gt;Republic of Ireland",S2755)),"Ireland",
ISNUMBER(SEARCH("rn""&gt;Bosnia and Herzegovina",S2755)),"Bosnia and Herzegovina",
ISNUMBER(SEARCH("rn""&gt;Trinidad and Tobago",S2755)),"Trinidad and Tobago",
ISNUMBER(SEARCH("rn""&gt;Serbia and Montenegro",S2755)),"Serbia and Montenegro",
ISNUMBER(SEARCH(_xlfn.UNICHAR(65533),S2755)),"Côte d'Ivoire",
TRUE,""
)</f>
        <v/>
      </c>
      <c r="W2755" s="40" t="str">
        <f t="shared" si="200"/>
        <v>Hungary</v>
      </c>
    </row>
    <row r="2756" spans="2:23">
      <c r="B2756" s="76" t="str">
        <v>2026.0</v>
      </c>
      <c r="C2756" s="42">
        <v>0</v>
      </c>
      <c r="D2756" s="42" t="str">
        <v>Quarter-finals</v>
      </c>
      <c r="E2756" s="42" t="str">
        <v>SoFi Stadium</v>
      </c>
      <c r="F2756" s="42" t="str">
        <v>Los Angeles</v>
      </c>
      <c r="G2756" s="42" t="str">
        <v>Spain</v>
      </c>
      <c r="H2756" s="42" t="str">
        <v>2.0</v>
      </c>
      <c r="I2756" s="42" t="str">
        <v>1.0</v>
      </c>
      <c r="J2756" s="42" t="str">
        <v>Belgium</v>
      </c>
      <c r="K2756" s="42" t="str">
        <v xml:space="preserve"> </v>
      </c>
      <c r="L2756" s="42" t="str">
        <f t="shared" si="201"/>
        <v xml:space="preserve">2026.0|0|Quarter-finals|SoFi Stadium|Los Angeles|Spain|2.0|1.0|Belgium| </v>
      </c>
      <c r="M2756" s="42" t="str">
        <f>IF(COUNTIF($L$1689:L2756,L2756)&gt;1,"DOUBLON","OK")</f>
        <v>OK</v>
      </c>
      <c r="S2756" s="40" t="str">
        <v>Soviet Union</v>
      </c>
      <c r="T2756" s="40" t="str">
        <f t="shared" si="202"/>
        <v>ERREUR</v>
      </c>
      <c r="U2756" s="40" t="str">
        <f t="shared" ref="U2756:U2819" si="203">IF(OR(S2756="Scotland",S2756="England",S2756="Wales",S2756="Yugoslavia",S2756="Czechoslovakia",S2756="Northern Ireland",S2756="Soviet Union",S2756="Zaire",S2756="Dutch East Indies"),"AUCUNE",IF(OR(S2756="Cape Verde",S2756="USA",S2756="DR Congo",S2756="Republic of Korea",S2756="Germany FR",S2756="Germany DR",S2756="Czechia",S2756="Ivory Coast",S2756="Korea DPR",S2756="China PR",S2756="IR Iran",S2756="Türkiye",S2756="Congo DR",S2756="German DR",S2756="West Germany",S2756="Republic of Ireland",ISNUMBER(SEARCH(_xlfn.UNICHAR(65533),S2756)),S2756="Korea Republic",ISNUMBER(SEARCH("rn""&gt;United Arab Emirates",S2756)),ISNUMBER(SEARCH("rn""&gt;Republic of Ireland",S2756)),ISNUMBER(SEARCH("rn""&gt;Bosnia and Herzegovina",S2756)),ISNUMBER(SEARCH("rn""&gt;Trinidad and Tobago",S2756)),ISNUMBER(SEARCH("rn""&gt;Serbia and Montenegro",S2756)),ISNUMBER(SEARCH(_xlfn.UNICHAR(65533),S2756))),"RENOMMER","-"))</f>
        <v>AUCUNE</v>
      </c>
      <c r="V2756" s="40" t="str" cm="1">
        <f t="array" ref="V2756">_xlfn.IFS(
ISNUMBER(SEARCH("USA",S2756)),"United States",
ISNUMBER(SEARCH("Republic of Ireland",S2756)),"Ireland",
ISNUMBER(SEARCH("Republic of Korea",S2756)),"South Korea",
ISNUMBER(SEARCH("Cape Verde",S2756)),"Cabo Verde",
ISNUMBER(SEARCH("Czechia",S2756)),"Czech Republic",
ISNUMBER(SEARCH("Türkiye",S2756)),"Turkey",
ISNUMBER(SEARCH("Ivory Coast",S2756)),"Côte d'Ivoire",
ISNUMBER(SEARCH("Korea Republic",S2756)),"South Korea",
ISNUMBER(SEARCH("Germany FR",S2756)),"FR Germany",
ISNUMBER(SEARCH("West Germany",S2756)),"FR Germany",
ISNUMBER(SEARCH("Germany DR",S2756)),"DR Germany",
ISNUMBER(SEARCH("Korea DPR",S2756)),"North Korea",
ISNUMBER(SEARCH("China PR",S2756)),"China",
ISNUMBER(SEARCH("IR Iran",S2756)),"Iran",
ISNUMBER(SEARCH("Congo DR",S2756)),"Democratic Republic of the Congo",
ISNUMBER(SEARCH("DR Congo",S2756)),"Democratic Republic of the Congo",
ISNUMBER(SEARCH("German DR",S2756)),"DR Germany",
ISNUMBER(SEARCH("rn""&gt;United Arab Emirates",S2756)),"United Arab Emirates",
ISNUMBER(SEARCH("rn""&gt;Republic of Ireland",S2756)),"Ireland",
ISNUMBER(SEARCH("rn""&gt;Bosnia and Herzegovina",S2756)),"Bosnia and Herzegovina",
ISNUMBER(SEARCH("rn""&gt;Trinidad and Tobago",S2756)),"Trinidad and Tobago",
ISNUMBER(SEARCH("rn""&gt;Serbia and Montenegro",S2756)),"Serbia and Montenegro",
ISNUMBER(SEARCH(_xlfn.UNICHAR(65533),S2756)),"Côte d'Ivoire",
TRUE,""
)</f>
        <v/>
      </c>
      <c r="W2756" s="40" t="str">
        <f t="shared" ref="W2756:W2819" si="204">IF(V2756="",S2756,V2756)</f>
        <v>Soviet Union</v>
      </c>
    </row>
    <row r="2757" spans="2:23">
      <c r="B2757" s="76" t="str">
        <v>2026.0</v>
      </c>
      <c r="C2757" s="42">
        <v>0</v>
      </c>
      <c r="D2757" s="42" t="str">
        <v>Quarter-finals</v>
      </c>
      <c r="E2757" s="42" t="str">
        <v>Miami Stadium</v>
      </c>
      <c r="F2757" s="42" t="str">
        <v>Miami</v>
      </c>
      <c r="G2757" s="42" t="str">
        <v>Norway</v>
      </c>
      <c r="H2757" s="42" t="str">
        <v>1.0</v>
      </c>
      <c r="I2757" s="42" t="str">
        <v>2.0</v>
      </c>
      <c r="J2757" s="42" t="str">
        <v>England</v>
      </c>
      <c r="K2757" s="42" t="str">
        <v>England win after extra time</v>
      </c>
      <c r="L2757" s="42" t="str">
        <f t="shared" si="201"/>
        <v>2026.0|0|Quarter-finals|Miami Stadium|Miami|Norway|1.0|2.0|England|England win after extra time</v>
      </c>
      <c r="M2757" s="42" t="str">
        <f>IF(COUNTIF($L$1689:L2757,L2757)&gt;1,"DOUBLON","OK")</f>
        <v>OK</v>
      </c>
      <c r="S2757" s="40" t="str">
        <v>Korea Republic</v>
      </c>
      <c r="T2757" s="40" t="str">
        <f t="shared" si="202"/>
        <v>ERREUR</v>
      </c>
      <c r="U2757" s="40" t="str">
        <f t="shared" si="203"/>
        <v>RENOMMER</v>
      </c>
      <c r="V2757" s="40" t="str" cm="1">
        <f t="array" ref="V2757">_xlfn.IFS(
ISNUMBER(SEARCH("USA",S2757)),"United States",
ISNUMBER(SEARCH("Republic of Ireland",S2757)),"Ireland",
ISNUMBER(SEARCH("Republic of Korea",S2757)),"South Korea",
ISNUMBER(SEARCH("Cape Verde",S2757)),"Cabo Verde",
ISNUMBER(SEARCH("Czechia",S2757)),"Czech Republic",
ISNUMBER(SEARCH("Türkiye",S2757)),"Turkey",
ISNUMBER(SEARCH("Ivory Coast",S2757)),"Côte d'Ivoire",
ISNUMBER(SEARCH("Korea Republic",S2757)),"South Korea",
ISNUMBER(SEARCH("Germany FR",S2757)),"FR Germany",
ISNUMBER(SEARCH("West Germany",S2757)),"FR Germany",
ISNUMBER(SEARCH("Germany DR",S2757)),"DR Germany",
ISNUMBER(SEARCH("Korea DPR",S2757)),"North Korea",
ISNUMBER(SEARCH("China PR",S2757)),"China",
ISNUMBER(SEARCH("IR Iran",S2757)),"Iran",
ISNUMBER(SEARCH("Congo DR",S2757)),"Democratic Republic of the Congo",
ISNUMBER(SEARCH("DR Congo",S2757)),"Democratic Republic of the Congo",
ISNUMBER(SEARCH("German DR",S2757)),"DR Germany",
ISNUMBER(SEARCH("rn""&gt;United Arab Emirates",S2757)),"United Arab Emirates",
ISNUMBER(SEARCH("rn""&gt;Republic of Ireland",S2757)),"Ireland",
ISNUMBER(SEARCH("rn""&gt;Bosnia and Herzegovina",S2757)),"Bosnia and Herzegovina",
ISNUMBER(SEARCH("rn""&gt;Trinidad and Tobago",S2757)),"Trinidad and Tobago",
ISNUMBER(SEARCH("rn""&gt;Serbia and Montenegro",S2757)),"Serbia and Montenegro",
ISNUMBER(SEARCH(_xlfn.UNICHAR(65533),S2757)),"Côte d'Ivoire",
TRUE,""
)</f>
        <v>South Korea</v>
      </c>
      <c r="W2757" s="40" t="str">
        <f t="shared" si="204"/>
        <v>South Korea</v>
      </c>
    </row>
    <row r="2758" spans="2:23">
      <c r="B2758" s="76" t="str">
        <v>2026.0</v>
      </c>
      <c r="C2758" s="42">
        <v>0</v>
      </c>
      <c r="D2758" s="42" t="str">
        <v>Quarter-finals</v>
      </c>
      <c r="E2758" s="42" t="str">
        <v>GEHA Field at Arrowhead Stadium</v>
      </c>
      <c r="F2758" s="42" t="str">
        <v>Kansas City</v>
      </c>
      <c r="G2758" s="42" t="str">
        <v>Argentina</v>
      </c>
      <c r="H2758" s="42" t="str">
        <v>3.0</v>
      </c>
      <c r="I2758" s="42" t="str">
        <v>1.0</v>
      </c>
      <c r="J2758" s="42" t="str">
        <v>Switzerland</v>
      </c>
      <c r="K2758" s="42" t="str">
        <v>Argentina win after extra time</v>
      </c>
      <c r="L2758" s="42" t="str">
        <f t="shared" si="201"/>
        <v>2026.0|0|Quarter-finals|GEHA Field at Arrowhead Stadium|Kansas City|Argentina|3.0|1.0|Switzerland|Argentina win after extra time</v>
      </c>
      <c r="M2758" s="42" t="str">
        <f>IF(COUNTIF($L$1689:L2758,L2758)&gt;1,"DOUBLON","OK")</f>
        <v>OK</v>
      </c>
      <c r="S2758" s="40" t="str">
        <v>Argentina</v>
      </c>
      <c r="T2758" s="40" t="str">
        <f t="shared" si="202"/>
        <v>OK</v>
      </c>
      <c r="U2758" s="40" t="str">
        <f t="shared" si="203"/>
        <v>-</v>
      </c>
      <c r="V2758" s="40" t="str" cm="1">
        <f t="array" ref="V2758">_xlfn.IFS(
ISNUMBER(SEARCH("USA",S2758)),"United States",
ISNUMBER(SEARCH("Republic of Ireland",S2758)),"Ireland",
ISNUMBER(SEARCH("Republic of Korea",S2758)),"South Korea",
ISNUMBER(SEARCH("Cape Verde",S2758)),"Cabo Verde",
ISNUMBER(SEARCH("Czechia",S2758)),"Czech Republic",
ISNUMBER(SEARCH("Türkiye",S2758)),"Turkey",
ISNUMBER(SEARCH("Ivory Coast",S2758)),"Côte d'Ivoire",
ISNUMBER(SEARCH("Korea Republic",S2758)),"South Korea",
ISNUMBER(SEARCH("Germany FR",S2758)),"FR Germany",
ISNUMBER(SEARCH("West Germany",S2758)),"FR Germany",
ISNUMBER(SEARCH("Germany DR",S2758)),"DR Germany",
ISNUMBER(SEARCH("Korea DPR",S2758)),"North Korea",
ISNUMBER(SEARCH("China PR",S2758)),"China",
ISNUMBER(SEARCH("IR Iran",S2758)),"Iran",
ISNUMBER(SEARCH("Congo DR",S2758)),"Democratic Republic of the Congo",
ISNUMBER(SEARCH("DR Congo",S2758)),"Democratic Republic of the Congo",
ISNUMBER(SEARCH("German DR",S2758)),"DR Germany",
ISNUMBER(SEARCH("rn""&gt;United Arab Emirates",S2758)),"United Arab Emirates",
ISNUMBER(SEARCH("rn""&gt;Republic of Ireland",S2758)),"Ireland",
ISNUMBER(SEARCH("rn""&gt;Bosnia and Herzegovina",S2758)),"Bosnia and Herzegovina",
ISNUMBER(SEARCH("rn""&gt;Trinidad and Tobago",S2758)),"Trinidad and Tobago",
ISNUMBER(SEARCH("rn""&gt;Serbia and Montenegro",S2758)),"Serbia and Montenegro",
ISNUMBER(SEARCH(_xlfn.UNICHAR(65533),S2758)),"Côte d'Ivoire",
TRUE,""
)</f>
        <v/>
      </c>
      <c r="W2758" s="40" t="str">
        <f t="shared" si="204"/>
        <v>Argentina</v>
      </c>
    </row>
    <row r="2759" spans="2:23">
      <c r="B2759" s="76" t="str">
        <v>2026.0</v>
      </c>
      <c r="C2759" s="42">
        <v>0</v>
      </c>
      <c r="D2759" s="42" t="str">
        <v>Semi-finals</v>
      </c>
      <c r="E2759" s="42" t="str">
        <v>AT&amp;T Stadium</v>
      </c>
      <c r="F2759" s="42" t="str">
        <v>Dallas</v>
      </c>
      <c r="G2759" s="42" t="str">
        <v>France</v>
      </c>
      <c r="H2759" s="42" t="str">
        <v>0.0</v>
      </c>
      <c r="I2759" s="42" t="str">
        <v>2.0</v>
      </c>
      <c r="J2759" s="42" t="str">
        <v>Spain</v>
      </c>
      <c r="K2759" s="42" t="str">
        <v xml:space="preserve"> </v>
      </c>
      <c r="L2759" s="42" t="str">
        <f t="shared" si="201"/>
        <v xml:space="preserve">2026.0|0|Semi-finals|AT&amp;T Stadium|Dallas|France|0.0|2.0|Spain| </v>
      </c>
      <c r="M2759" s="42" t="str">
        <f>IF(COUNTIF($L$1689:L2759,L2759)&gt;1,"DOUBLON","OK")</f>
        <v>OK</v>
      </c>
      <c r="S2759" s="40" t="str">
        <v>Paraguay</v>
      </c>
      <c r="T2759" s="40" t="str">
        <f t="shared" si="202"/>
        <v>OK</v>
      </c>
      <c r="U2759" s="40" t="str">
        <f t="shared" si="203"/>
        <v>-</v>
      </c>
      <c r="V2759" s="40" t="str" cm="1">
        <f t="array" ref="V2759">_xlfn.IFS(
ISNUMBER(SEARCH("USA",S2759)),"United States",
ISNUMBER(SEARCH("Republic of Ireland",S2759)),"Ireland",
ISNUMBER(SEARCH("Republic of Korea",S2759)),"South Korea",
ISNUMBER(SEARCH("Cape Verde",S2759)),"Cabo Verde",
ISNUMBER(SEARCH("Czechia",S2759)),"Czech Republic",
ISNUMBER(SEARCH("Türkiye",S2759)),"Turkey",
ISNUMBER(SEARCH("Ivory Coast",S2759)),"Côte d'Ivoire",
ISNUMBER(SEARCH("Korea Republic",S2759)),"South Korea",
ISNUMBER(SEARCH("Germany FR",S2759)),"FR Germany",
ISNUMBER(SEARCH("West Germany",S2759)),"FR Germany",
ISNUMBER(SEARCH("Germany DR",S2759)),"DR Germany",
ISNUMBER(SEARCH("Korea DPR",S2759)),"North Korea",
ISNUMBER(SEARCH("China PR",S2759)),"China",
ISNUMBER(SEARCH("IR Iran",S2759)),"Iran",
ISNUMBER(SEARCH("Congo DR",S2759)),"Democratic Republic of the Congo",
ISNUMBER(SEARCH("DR Congo",S2759)),"Democratic Republic of the Congo",
ISNUMBER(SEARCH("German DR",S2759)),"DR Germany",
ISNUMBER(SEARCH("rn""&gt;United Arab Emirates",S2759)),"United Arab Emirates",
ISNUMBER(SEARCH("rn""&gt;Republic of Ireland",S2759)),"Ireland",
ISNUMBER(SEARCH("rn""&gt;Bosnia and Herzegovina",S2759)),"Bosnia and Herzegovina",
ISNUMBER(SEARCH("rn""&gt;Trinidad and Tobago",S2759)),"Trinidad and Tobago",
ISNUMBER(SEARCH("rn""&gt;Serbia and Montenegro",S2759)),"Serbia and Montenegro",
ISNUMBER(SEARCH(_xlfn.UNICHAR(65533),S2759)),"Côte d'Ivoire",
TRUE,""
)</f>
        <v/>
      </c>
      <c r="W2759" s="40" t="str">
        <f t="shared" si="204"/>
        <v>Paraguay</v>
      </c>
    </row>
    <row r="2760" spans="2:23">
      <c r="B2760" s="76" t="str">
        <v>2026.0</v>
      </c>
      <c r="C2760" s="42">
        <v>0</v>
      </c>
      <c r="D2760" s="42" t="str">
        <v>Semi-finals</v>
      </c>
      <c r="E2760" s="42" t="str">
        <v>Mercedes-Benz Stadium</v>
      </c>
      <c r="F2760" s="42" t="str">
        <v>Atlanta</v>
      </c>
      <c r="G2760" s="42" t="str">
        <v>England</v>
      </c>
      <c r="H2760" s="42" t="str">
        <v>1.0</v>
      </c>
      <c r="I2760" s="42" t="str">
        <v>2.0</v>
      </c>
      <c r="J2760" s="42" t="str">
        <v>Argentina</v>
      </c>
      <c r="K2760" s="42" t="str">
        <v xml:space="preserve"> </v>
      </c>
      <c r="L2760" s="42" t="str">
        <f t="shared" si="201"/>
        <v xml:space="preserve">2026.0|0|Semi-finals|Mercedes-Benz Stadium|Atlanta|England|1.0|2.0|Argentina| </v>
      </c>
      <c r="M2760" s="42" t="str">
        <f>IF(COUNTIF($L$1689:L2760,L2760)&gt;1,"DOUBLON","OK")</f>
        <v>OK</v>
      </c>
      <c r="S2760" s="40" t="str">
        <v>Iraq</v>
      </c>
      <c r="T2760" s="40" t="str">
        <f t="shared" si="202"/>
        <v>OK</v>
      </c>
      <c r="U2760" s="40" t="str">
        <f t="shared" si="203"/>
        <v>-</v>
      </c>
      <c r="V2760" s="40" t="str" cm="1">
        <f t="array" ref="V2760">_xlfn.IFS(
ISNUMBER(SEARCH("USA",S2760)),"United States",
ISNUMBER(SEARCH("Republic of Ireland",S2760)),"Ireland",
ISNUMBER(SEARCH("Republic of Korea",S2760)),"South Korea",
ISNUMBER(SEARCH("Cape Verde",S2760)),"Cabo Verde",
ISNUMBER(SEARCH("Czechia",S2760)),"Czech Republic",
ISNUMBER(SEARCH("Türkiye",S2760)),"Turkey",
ISNUMBER(SEARCH("Ivory Coast",S2760)),"Côte d'Ivoire",
ISNUMBER(SEARCH("Korea Republic",S2760)),"South Korea",
ISNUMBER(SEARCH("Germany FR",S2760)),"FR Germany",
ISNUMBER(SEARCH("West Germany",S2760)),"FR Germany",
ISNUMBER(SEARCH("Germany DR",S2760)),"DR Germany",
ISNUMBER(SEARCH("Korea DPR",S2760)),"North Korea",
ISNUMBER(SEARCH("China PR",S2760)),"China",
ISNUMBER(SEARCH("IR Iran",S2760)),"Iran",
ISNUMBER(SEARCH("Congo DR",S2760)),"Democratic Republic of the Congo",
ISNUMBER(SEARCH("DR Congo",S2760)),"Democratic Republic of the Congo",
ISNUMBER(SEARCH("German DR",S2760)),"DR Germany",
ISNUMBER(SEARCH("rn""&gt;United Arab Emirates",S2760)),"United Arab Emirates",
ISNUMBER(SEARCH("rn""&gt;Republic of Ireland",S2760)),"Ireland",
ISNUMBER(SEARCH("rn""&gt;Bosnia and Herzegovina",S2760)),"Bosnia and Herzegovina",
ISNUMBER(SEARCH("rn""&gt;Trinidad and Tobago",S2760)),"Trinidad and Tobago",
ISNUMBER(SEARCH("rn""&gt;Serbia and Montenegro",S2760)),"Serbia and Montenegro",
ISNUMBER(SEARCH(_xlfn.UNICHAR(65533),S2760)),"Côte d'Ivoire",
TRUE,""
)</f>
        <v/>
      </c>
      <c r="W2760" s="40" t="str">
        <f t="shared" si="204"/>
        <v>Iraq</v>
      </c>
    </row>
    <row r="2761" spans="2:23">
      <c r="B2761" s="76" t="str">
        <v>2026.0</v>
      </c>
      <c r="C2761" s="42">
        <v>0</v>
      </c>
      <c r="D2761" s="42" t="str">
        <v>Third Place</v>
      </c>
      <c r="E2761" s="42" t="str">
        <v>Miami Stadium</v>
      </c>
      <c r="F2761" s="42" t="str">
        <v>Miami</v>
      </c>
      <c r="G2761" s="42" t="str">
        <v>France</v>
      </c>
      <c r="H2761" s="42" t="str">
        <v>4.0</v>
      </c>
      <c r="I2761" s="42" t="str">
        <v>6.0</v>
      </c>
      <c r="J2761" s="42" t="str">
        <v>England</v>
      </c>
      <c r="K2761" s="42" t="str">
        <v xml:space="preserve"> </v>
      </c>
      <c r="L2761" s="42" t="str">
        <f t="shared" si="201"/>
        <v xml:space="preserve">2026.0|0|Third Place|Miami Stadium|Miami|France|4.0|6.0|England| </v>
      </c>
      <c r="M2761" s="42" t="str">
        <f>IF(COUNTIF($L$1689:L2761,L2761)&gt;1,"DOUBLON","OK")</f>
        <v>OK</v>
      </c>
      <c r="S2761" s="40" t="str">
        <v>Portugal</v>
      </c>
      <c r="T2761" s="40" t="str">
        <f t="shared" si="202"/>
        <v>OK</v>
      </c>
      <c r="U2761" s="40" t="str">
        <f t="shared" si="203"/>
        <v>-</v>
      </c>
      <c r="V2761" s="40" t="str" cm="1">
        <f t="array" ref="V2761">_xlfn.IFS(
ISNUMBER(SEARCH("USA",S2761)),"United States",
ISNUMBER(SEARCH("Republic of Ireland",S2761)),"Ireland",
ISNUMBER(SEARCH("Republic of Korea",S2761)),"South Korea",
ISNUMBER(SEARCH("Cape Verde",S2761)),"Cabo Verde",
ISNUMBER(SEARCH("Czechia",S2761)),"Czech Republic",
ISNUMBER(SEARCH("Türkiye",S2761)),"Turkey",
ISNUMBER(SEARCH("Ivory Coast",S2761)),"Côte d'Ivoire",
ISNUMBER(SEARCH("Korea Republic",S2761)),"South Korea",
ISNUMBER(SEARCH("Germany FR",S2761)),"FR Germany",
ISNUMBER(SEARCH("West Germany",S2761)),"FR Germany",
ISNUMBER(SEARCH("Germany DR",S2761)),"DR Germany",
ISNUMBER(SEARCH("Korea DPR",S2761)),"North Korea",
ISNUMBER(SEARCH("China PR",S2761)),"China",
ISNUMBER(SEARCH("IR Iran",S2761)),"Iran",
ISNUMBER(SEARCH("Congo DR",S2761)),"Democratic Republic of the Congo",
ISNUMBER(SEARCH("DR Congo",S2761)),"Democratic Republic of the Congo",
ISNUMBER(SEARCH("German DR",S2761)),"DR Germany",
ISNUMBER(SEARCH("rn""&gt;United Arab Emirates",S2761)),"United Arab Emirates",
ISNUMBER(SEARCH("rn""&gt;Republic of Ireland",S2761)),"Ireland",
ISNUMBER(SEARCH("rn""&gt;Bosnia and Herzegovina",S2761)),"Bosnia and Herzegovina",
ISNUMBER(SEARCH("rn""&gt;Trinidad and Tobago",S2761)),"Trinidad and Tobago",
ISNUMBER(SEARCH("rn""&gt;Serbia and Montenegro",S2761)),"Serbia and Montenegro",
ISNUMBER(SEARCH(_xlfn.UNICHAR(65533),S2761)),"Côte d'Ivoire",
TRUE,""
)</f>
        <v/>
      </c>
      <c r="W2761" s="40" t="str">
        <f t="shared" si="204"/>
        <v>Portugal</v>
      </c>
    </row>
    <row r="2762" spans="2:23">
      <c r="B2762" s="76" t="str">
        <v>2026.0</v>
      </c>
      <c r="C2762" s="42">
        <v>0</v>
      </c>
      <c r="D2762" s="42" t="str">
        <v>Finals</v>
      </c>
      <c r="E2762" s="42" t="str">
        <v>New York New Jersey Stadium</v>
      </c>
      <c r="F2762" s="42" t="str">
        <v>New Jersey</v>
      </c>
      <c r="G2762" s="42" t="str">
        <v>Spain</v>
      </c>
      <c r="H2762" s="42" t="str">
        <v>1.0</v>
      </c>
      <c r="I2762" s="42" t="str">
        <v>0.0</v>
      </c>
      <c r="J2762" s="42" t="str">
        <v>Argentina</v>
      </c>
      <c r="K2762" s="42" t="str">
        <v>Spain win after extra time</v>
      </c>
      <c r="L2762" s="42" t="str">
        <f t="shared" si="201"/>
        <v>2026.0|0|Finals|New York New Jersey Stadium|New Jersey|Spain|1.0|0.0|Argentina|Spain win after extra time</v>
      </c>
      <c r="M2762" s="42" t="str">
        <f>IF(COUNTIF($L$1689:L2762,L2762)&gt;1,"DOUBLON","OK")</f>
        <v>OK</v>
      </c>
      <c r="S2762" s="40" t="str">
        <v>England</v>
      </c>
      <c r="T2762" s="40" t="str">
        <f t="shared" si="202"/>
        <v>ERREUR</v>
      </c>
      <c r="U2762" s="40" t="str">
        <f t="shared" si="203"/>
        <v>AUCUNE</v>
      </c>
      <c r="V2762" s="40" t="str" cm="1">
        <f t="array" ref="V2762">_xlfn.IFS(
ISNUMBER(SEARCH("USA",S2762)),"United States",
ISNUMBER(SEARCH("Republic of Ireland",S2762)),"Ireland",
ISNUMBER(SEARCH("Republic of Korea",S2762)),"South Korea",
ISNUMBER(SEARCH("Cape Verde",S2762)),"Cabo Verde",
ISNUMBER(SEARCH("Czechia",S2762)),"Czech Republic",
ISNUMBER(SEARCH("Türkiye",S2762)),"Turkey",
ISNUMBER(SEARCH("Ivory Coast",S2762)),"Côte d'Ivoire",
ISNUMBER(SEARCH("Korea Republic",S2762)),"South Korea",
ISNUMBER(SEARCH("Germany FR",S2762)),"FR Germany",
ISNUMBER(SEARCH("West Germany",S2762)),"FR Germany",
ISNUMBER(SEARCH("Germany DR",S2762)),"DR Germany",
ISNUMBER(SEARCH("Korea DPR",S2762)),"North Korea",
ISNUMBER(SEARCH("China PR",S2762)),"China",
ISNUMBER(SEARCH("IR Iran",S2762)),"Iran",
ISNUMBER(SEARCH("Congo DR",S2762)),"Democratic Republic of the Congo",
ISNUMBER(SEARCH("DR Congo",S2762)),"Democratic Republic of the Congo",
ISNUMBER(SEARCH("German DR",S2762)),"DR Germany",
ISNUMBER(SEARCH("rn""&gt;United Arab Emirates",S2762)),"United Arab Emirates",
ISNUMBER(SEARCH("rn""&gt;Republic of Ireland",S2762)),"Ireland",
ISNUMBER(SEARCH("rn""&gt;Bosnia and Herzegovina",S2762)),"Bosnia and Herzegovina",
ISNUMBER(SEARCH("rn""&gt;Trinidad and Tobago",S2762)),"Trinidad and Tobago",
ISNUMBER(SEARCH("rn""&gt;Serbia and Montenegro",S2762)),"Serbia and Montenegro",
ISNUMBER(SEARCH(_xlfn.UNICHAR(65533),S2762)),"Côte d'Ivoire",
TRUE,""
)</f>
        <v/>
      </c>
      <c r="W2762" s="40" t="str">
        <f t="shared" si="204"/>
        <v>England</v>
      </c>
    </row>
    <row r="2763" spans="2:23">
      <c r="S2763" s="40" t="str">
        <v>Northern Ireland</v>
      </c>
      <c r="T2763" s="40" t="str">
        <f t="shared" si="202"/>
        <v>ERREUR</v>
      </c>
      <c r="U2763" s="40" t="str">
        <f t="shared" si="203"/>
        <v>AUCUNE</v>
      </c>
      <c r="V2763" s="40" t="str" cm="1">
        <f t="array" ref="V2763">_xlfn.IFS(
ISNUMBER(SEARCH("USA",S2763)),"United States",
ISNUMBER(SEARCH("Republic of Ireland",S2763)),"Ireland",
ISNUMBER(SEARCH("Republic of Korea",S2763)),"South Korea",
ISNUMBER(SEARCH("Cape Verde",S2763)),"Cabo Verde",
ISNUMBER(SEARCH("Czechia",S2763)),"Czech Republic",
ISNUMBER(SEARCH("Türkiye",S2763)),"Turkey",
ISNUMBER(SEARCH("Ivory Coast",S2763)),"Côte d'Ivoire",
ISNUMBER(SEARCH("Korea Republic",S2763)),"South Korea",
ISNUMBER(SEARCH("Germany FR",S2763)),"FR Germany",
ISNUMBER(SEARCH("West Germany",S2763)),"FR Germany",
ISNUMBER(SEARCH("Germany DR",S2763)),"DR Germany",
ISNUMBER(SEARCH("Korea DPR",S2763)),"North Korea",
ISNUMBER(SEARCH("China PR",S2763)),"China",
ISNUMBER(SEARCH("IR Iran",S2763)),"Iran",
ISNUMBER(SEARCH("Congo DR",S2763)),"Democratic Republic of the Congo",
ISNUMBER(SEARCH("DR Congo",S2763)),"Democratic Republic of the Congo",
ISNUMBER(SEARCH("German DR",S2763)),"DR Germany",
ISNUMBER(SEARCH("rn""&gt;United Arab Emirates",S2763)),"United Arab Emirates",
ISNUMBER(SEARCH("rn""&gt;Republic of Ireland",S2763)),"Ireland",
ISNUMBER(SEARCH("rn""&gt;Bosnia and Herzegovina",S2763)),"Bosnia and Herzegovina",
ISNUMBER(SEARCH("rn""&gt;Trinidad and Tobago",S2763)),"Trinidad and Tobago",
ISNUMBER(SEARCH("rn""&gt;Serbia and Montenegro",S2763)),"Serbia and Montenegro",
ISNUMBER(SEARCH(_xlfn.UNICHAR(65533),S2763)),"Côte d'Ivoire",
TRUE,""
)</f>
        <v/>
      </c>
      <c r="W2763" s="40" t="str">
        <f t="shared" si="204"/>
        <v>Northern Ireland</v>
      </c>
    </row>
    <row r="2764" spans="2:23">
      <c r="S2764" s="40" t="str">
        <v>Algeria</v>
      </c>
      <c r="T2764" s="40" t="str">
        <f t="shared" si="202"/>
        <v>OK</v>
      </c>
      <c r="U2764" s="40" t="str">
        <f t="shared" si="203"/>
        <v>-</v>
      </c>
      <c r="V2764" s="40" t="str" cm="1">
        <f t="array" ref="V2764">_xlfn.IFS(
ISNUMBER(SEARCH("USA",S2764)),"United States",
ISNUMBER(SEARCH("Republic of Ireland",S2764)),"Ireland",
ISNUMBER(SEARCH("Republic of Korea",S2764)),"South Korea",
ISNUMBER(SEARCH("Cape Verde",S2764)),"Cabo Verde",
ISNUMBER(SEARCH("Czechia",S2764)),"Czech Republic",
ISNUMBER(SEARCH("Türkiye",S2764)),"Turkey",
ISNUMBER(SEARCH("Ivory Coast",S2764)),"Côte d'Ivoire",
ISNUMBER(SEARCH("Korea Republic",S2764)),"South Korea",
ISNUMBER(SEARCH("Germany FR",S2764)),"FR Germany",
ISNUMBER(SEARCH("West Germany",S2764)),"FR Germany",
ISNUMBER(SEARCH("Germany DR",S2764)),"DR Germany",
ISNUMBER(SEARCH("Korea DPR",S2764)),"North Korea",
ISNUMBER(SEARCH("China PR",S2764)),"China",
ISNUMBER(SEARCH("IR Iran",S2764)),"Iran",
ISNUMBER(SEARCH("Congo DR",S2764)),"Democratic Republic of the Congo",
ISNUMBER(SEARCH("DR Congo",S2764)),"Democratic Republic of the Congo",
ISNUMBER(SEARCH("German DR",S2764)),"DR Germany",
ISNUMBER(SEARCH("rn""&gt;United Arab Emirates",S2764)),"United Arab Emirates",
ISNUMBER(SEARCH("rn""&gt;Republic of Ireland",S2764)),"Ireland",
ISNUMBER(SEARCH("rn""&gt;Bosnia and Herzegovina",S2764)),"Bosnia and Herzegovina",
ISNUMBER(SEARCH("rn""&gt;Trinidad and Tobago",S2764)),"Trinidad and Tobago",
ISNUMBER(SEARCH("rn""&gt;Serbia and Montenegro",S2764)),"Serbia and Montenegro",
ISNUMBER(SEARCH(_xlfn.UNICHAR(65533),S2764)),"Côte d'Ivoire",
TRUE,""
)</f>
        <v/>
      </c>
      <c r="W2764" s="40" t="str">
        <f t="shared" si="204"/>
        <v>Algeria</v>
      </c>
    </row>
    <row r="2765" spans="2:23">
      <c r="S2765" s="40" t="str">
        <v>Scotland</v>
      </c>
      <c r="T2765" s="40" t="str">
        <f t="shared" si="202"/>
        <v>ERREUR</v>
      </c>
      <c r="U2765" s="40" t="str">
        <f t="shared" si="203"/>
        <v>AUCUNE</v>
      </c>
      <c r="V2765" s="40" t="str" cm="1">
        <f t="array" ref="V2765">_xlfn.IFS(
ISNUMBER(SEARCH("USA",S2765)),"United States",
ISNUMBER(SEARCH("Republic of Ireland",S2765)),"Ireland",
ISNUMBER(SEARCH("Republic of Korea",S2765)),"South Korea",
ISNUMBER(SEARCH("Cape Verde",S2765)),"Cabo Verde",
ISNUMBER(SEARCH("Czechia",S2765)),"Czech Republic",
ISNUMBER(SEARCH("Türkiye",S2765)),"Turkey",
ISNUMBER(SEARCH("Ivory Coast",S2765)),"Côte d'Ivoire",
ISNUMBER(SEARCH("Korea Republic",S2765)),"South Korea",
ISNUMBER(SEARCH("Germany FR",S2765)),"FR Germany",
ISNUMBER(SEARCH("West Germany",S2765)),"FR Germany",
ISNUMBER(SEARCH("Germany DR",S2765)),"DR Germany",
ISNUMBER(SEARCH("Korea DPR",S2765)),"North Korea",
ISNUMBER(SEARCH("China PR",S2765)),"China",
ISNUMBER(SEARCH("IR Iran",S2765)),"Iran",
ISNUMBER(SEARCH("Congo DR",S2765)),"Democratic Republic of the Congo",
ISNUMBER(SEARCH("DR Congo",S2765)),"Democratic Republic of the Congo",
ISNUMBER(SEARCH("German DR",S2765)),"DR Germany",
ISNUMBER(SEARCH("rn""&gt;United Arab Emirates",S2765)),"United Arab Emirates",
ISNUMBER(SEARCH("rn""&gt;Republic of Ireland",S2765)),"Ireland",
ISNUMBER(SEARCH("rn""&gt;Bosnia and Herzegovina",S2765)),"Bosnia and Herzegovina",
ISNUMBER(SEARCH("rn""&gt;Trinidad and Tobago",S2765)),"Trinidad and Tobago",
ISNUMBER(SEARCH("rn""&gt;Serbia and Montenegro",S2765)),"Serbia and Montenegro",
ISNUMBER(SEARCH(_xlfn.UNICHAR(65533),S2765)),"Côte d'Ivoire",
TRUE,""
)</f>
        <v/>
      </c>
      <c r="W2765" s="40" t="str">
        <f t="shared" si="204"/>
        <v>Scotland</v>
      </c>
    </row>
    <row r="2766" spans="2:23">
      <c r="S2766" s="40" t="str">
        <v>Denmark</v>
      </c>
      <c r="T2766" s="40" t="str">
        <f t="shared" si="202"/>
        <v>OK</v>
      </c>
      <c r="U2766" s="40" t="str">
        <f t="shared" si="203"/>
        <v>-</v>
      </c>
      <c r="V2766" s="40" t="str" cm="1">
        <f t="array" ref="V2766">_xlfn.IFS(
ISNUMBER(SEARCH("USA",S2766)),"United States",
ISNUMBER(SEARCH("Republic of Ireland",S2766)),"Ireland",
ISNUMBER(SEARCH("Republic of Korea",S2766)),"South Korea",
ISNUMBER(SEARCH("Cape Verde",S2766)),"Cabo Verde",
ISNUMBER(SEARCH("Czechia",S2766)),"Czech Republic",
ISNUMBER(SEARCH("Türkiye",S2766)),"Turkey",
ISNUMBER(SEARCH("Ivory Coast",S2766)),"Côte d'Ivoire",
ISNUMBER(SEARCH("Korea Republic",S2766)),"South Korea",
ISNUMBER(SEARCH("Germany FR",S2766)),"FR Germany",
ISNUMBER(SEARCH("West Germany",S2766)),"FR Germany",
ISNUMBER(SEARCH("Germany DR",S2766)),"DR Germany",
ISNUMBER(SEARCH("Korea DPR",S2766)),"North Korea",
ISNUMBER(SEARCH("China PR",S2766)),"China",
ISNUMBER(SEARCH("IR Iran",S2766)),"Iran",
ISNUMBER(SEARCH("Congo DR",S2766)),"Democratic Republic of the Congo",
ISNUMBER(SEARCH("DR Congo",S2766)),"Democratic Republic of the Congo",
ISNUMBER(SEARCH("German DR",S2766)),"DR Germany",
ISNUMBER(SEARCH("rn""&gt;United Arab Emirates",S2766)),"United Arab Emirates",
ISNUMBER(SEARCH("rn""&gt;Republic of Ireland",S2766)),"Ireland",
ISNUMBER(SEARCH("rn""&gt;Bosnia and Herzegovina",S2766)),"Bosnia and Herzegovina",
ISNUMBER(SEARCH("rn""&gt;Trinidad and Tobago",S2766)),"Trinidad and Tobago",
ISNUMBER(SEARCH("rn""&gt;Serbia and Montenegro",S2766)),"Serbia and Montenegro",
ISNUMBER(SEARCH(_xlfn.UNICHAR(65533),S2766)),"Côte d'Ivoire",
TRUE,""
)</f>
        <v/>
      </c>
      <c r="W2766" s="40" t="str">
        <f t="shared" si="204"/>
        <v>Denmark</v>
      </c>
    </row>
    <row r="2767" spans="2:23">
      <c r="S2767" s="40" t="str">
        <v>Soviet Union</v>
      </c>
      <c r="T2767" s="40" t="str">
        <f t="shared" si="202"/>
        <v>ERREUR</v>
      </c>
      <c r="U2767" s="40" t="str">
        <f t="shared" si="203"/>
        <v>AUCUNE</v>
      </c>
      <c r="V2767" s="40" t="str" cm="1">
        <f t="array" ref="V2767">_xlfn.IFS(
ISNUMBER(SEARCH("USA",S2767)),"United States",
ISNUMBER(SEARCH("Republic of Ireland",S2767)),"Ireland",
ISNUMBER(SEARCH("Republic of Korea",S2767)),"South Korea",
ISNUMBER(SEARCH("Cape Verde",S2767)),"Cabo Verde",
ISNUMBER(SEARCH("Czechia",S2767)),"Czech Republic",
ISNUMBER(SEARCH("Türkiye",S2767)),"Turkey",
ISNUMBER(SEARCH("Ivory Coast",S2767)),"Côte d'Ivoire",
ISNUMBER(SEARCH("Korea Republic",S2767)),"South Korea",
ISNUMBER(SEARCH("Germany FR",S2767)),"FR Germany",
ISNUMBER(SEARCH("West Germany",S2767)),"FR Germany",
ISNUMBER(SEARCH("Germany DR",S2767)),"DR Germany",
ISNUMBER(SEARCH("Korea DPR",S2767)),"North Korea",
ISNUMBER(SEARCH("China PR",S2767)),"China",
ISNUMBER(SEARCH("IR Iran",S2767)),"Iran",
ISNUMBER(SEARCH("Congo DR",S2767)),"Democratic Republic of the Congo",
ISNUMBER(SEARCH("DR Congo",S2767)),"Democratic Republic of the Congo",
ISNUMBER(SEARCH("German DR",S2767)),"DR Germany",
ISNUMBER(SEARCH("rn""&gt;United Arab Emirates",S2767)),"United Arab Emirates",
ISNUMBER(SEARCH("rn""&gt;Republic of Ireland",S2767)),"Ireland",
ISNUMBER(SEARCH("rn""&gt;Bosnia and Herzegovina",S2767)),"Bosnia and Herzegovina",
ISNUMBER(SEARCH("rn""&gt;Trinidad and Tobago",S2767)),"Trinidad and Tobago",
ISNUMBER(SEARCH("rn""&gt;Serbia and Montenegro",S2767)),"Serbia and Montenegro",
ISNUMBER(SEARCH(_xlfn.UNICHAR(65533),S2767)),"Côte d'Ivoire",
TRUE,""
)</f>
        <v/>
      </c>
      <c r="W2767" s="40" t="str">
        <f t="shared" si="204"/>
        <v>Soviet Union</v>
      </c>
    </row>
    <row r="2768" spans="2:23">
      <c r="S2768" s="40" t="str">
        <v>Mexico</v>
      </c>
      <c r="T2768" s="40" t="str">
        <f t="shared" si="202"/>
        <v>OK</v>
      </c>
      <c r="U2768" s="40" t="str">
        <f t="shared" si="203"/>
        <v>-</v>
      </c>
      <c r="V2768" s="40" t="str" cm="1">
        <f t="array" ref="V2768">_xlfn.IFS(
ISNUMBER(SEARCH("USA",S2768)),"United States",
ISNUMBER(SEARCH("Republic of Ireland",S2768)),"Ireland",
ISNUMBER(SEARCH("Republic of Korea",S2768)),"South Korea",
ISNUMBER(SEARCH("Cape Verde",S2768)),"Cabo Verde",
ISNUMBER(SEARCH("Czechia",S2768)),"Czech Republic",
ISNUMBER(SEARCH("Türkiye",S2768)),"Turkey",
ISNUMBER(SEARCH("Ivory Coast",S2768)),"Côte d'Ivoire",
ISNUMBER(SEARCH("Korea Republic",S2768)),"South Korea",
ISNUMBER(SEARCH("Germany FR",S2768)),"FR Germany",
ISNUMBER(SEARCH("West Germany",S2768)),"FR Germany",
ISNUMBER(SEARCH("Germany DR",S2768)),"DR Germany",
ISNUMBER(SEARCH("Korea DPR",S2768)),"North Korea",
ISNUMBER(SEARCH("China PR",S2768)),"China",
ISNUMBER(SEARCH("IR Iran",S2768)),"Iran",
ISNUMBER(SEARCH("Congo DR",S2768)),"Democratic Republic of the Congo",
ISNUMBER(SEARCH("DR Congo",S2768)),"Democratic Republic of the Congo",
ISNUMBER(SEARCH("German DR",S2768)),"DR Germany",
ISNUMBER(SEARCH("rn""&gt;United Arab Emirates",S2768)),"United Arab Emirates",
ISNUMBER(SEARCH("rn""&gt;Republic of Ireland",S2768)),"Ireland",
ISNUMBER(SEARCH("rn""&gt;Bosnia and Herzegovina",S2768)),"Bosnia and Herzegovina",
ISNUMBER(SEARCH("rn""&gt;Trinidad and Tobago",S2768)),"Trinidad and Tobago",
ISNUMBER(SEARCH("rn""&gt;Serbia and Montenegro",S2768)),"Serbia and Montenegro",
ISNUMBER(SEARCH(_xlfn.UNICHAR(65533),S2768)),"Côte d'Ivoire",
TRUE,""
)</f>
        <v/>
      </c>
      <c r="W2768" s="40" t="str">
        <f t="shared" si="204"/>
        <v>Mexico</v>
      </c>
    </row>
    <row r="2769" spans="19:23">
      <c r="S2769" s="40" t="str">
        <v>Argentina</v>
      </c>
      <c r="T2769" s="40" t="str">
        <f t="shared" si="202"/>
        <v>OK</v>
      </c>
      <c r="U2769" s="40" t="str">
        <f t="shared" si="203"/>
        <v>-</v>
      </c>
      <c r="V2769" s="40" t="str" cm="1">
        <f t="array" ref="V2769">_xlfn.IFS(
ISNUMBER(SEARCH("USA",S2769)),"United States",
ISNUMBER(SEARCH("Republic of Ireland",S2769)),"Ireland",
ISNUMBER(SEARCH("Republic of Korea",S2769)),"South Korea",
ISNUMBER(SEARCH("Cape Verde",S2769)),"Cabo Verde",
ISNUMBER(SEARCH("Czechia",S2769)),"Czech Republic",
ISNUMBER(SEARCH("Türkiye",S2769)),"Turkey",
ISNUMBER(SEARCH("Ivory Coast",S2769)),"Côte d'Ivoire",
ISNUMBER(SEARCH("Korea Republic",S2769)),"South Korea",
ISNUMBER(SEARCH("Germany FR",S2769)),"FR Germany",
ISNUMBER(SEARCH("West Germany",S2769)),"FR Germany",
ISNUMBER(SEARCH("Germany DR",S2769)),"DR Germany",
ISNUMBER(SEARCH("Korea DPR",S2769)),"North Korea",
ISNUMBER(SEARCH("China PR",S2769)),"China",
ISNUMBER(SEARCH("IR Iran",S2769)),"Iran",
ISNUMBER(SEARCH("Congo DR",S2769)),"Democratic Republic of the Congo",
ISNUMBER(SEARCH("DR Congo",S2769)),"Democratic Republic of the Congo",
ISNUMBER(SEARCH("German DR",S2769)),"DR Germany",
ISNUMBER(SEARCH("rn""&gt;United Arab Emirates",S2769)),"United Arab Emirates",
ISNUMBER(SEARCH("rn""&gt;Republic of Ireland",S2769)),"Ireland",
ISNUMBER(SEARCH("rn""&gt;Bosnia and Herzegovina",S2769)),"Bosnia and Herzegovina",
ISNUMBER(SEARCH("rn""&gt;Trinidad and Tobago",S2769)),"Trinidad and Tobago",
ISNUMBER(SEARCH("rn""&gt;Serbia and Montenegro",S2769)),"Serbia and Montenegro",
ISNUMBER(SEARCH(_xlfn.UNICHAR(65533),S2769)),"Côte d'Ivoire",
TRUE,""
)</f>
        <v/>
      </c>
      <c r="W2769" s="40" t="str">
        <f t="shared" si="204"/>
        <v>Argentina</v>
      </c>
    </row>
    <row r="2770" spans="19:23">
      <c r="S2770" s="40" t="str">
        <v>Brazil</v>
      </c>
      <c r="T2770" s="40" t="str">
        <f t="shared" si="202"/>
        <v>OK</v>
      </c>
      <c r="U2770" s="40" t="str">
        <f t="shared" si="203"/>
        <v>-</v>
      </c>
      <c r="V2770" s="40" t="str" cm="1">
        <f t="array" ref="V2770">_xlfn.IFS(
ISNUMBER(SEARCH("USA",S2770)),"United States",
ISNUMBER(SEARCH("Republic of Ireland",S2770)),"Ireland",
ISNUMBER(SEARCH("Republic of Korea",S2770)),"South Korea",
ISNUMBER(SEARCH("Cape Verde",S2770)),"Cabo Verde",
ISNUMBER(SEARCH("Czechia",S2770)),"Czech Republic",
ISNUMBER(SEARCH("Türkiye",S2770)),"Turkey",
ISNUMBER(SEARCH("Ivory Coast",S2770)),"Côte d'Ivoire",
ISNUMBER(SEARCH("Korea Republic",S2770)),"South Korea",
ISNUMBER(SEARCH("Germany FR",S2770)),"FR Germany",
ISNUMBER(SEARCH("West Germany",S2770)),"FR Germany",
ISNUMBER(SEARCH("Germany DR",S2770)),"DR Germany",
ISNUMBER(SEARCH("Korea DPR",S2770)),"North Korea",
ISNUMBER(SEARCH("China PR",S2770)),"China",
ISNUMBER(SEARCH("IR Iran",S2770)),"Iran",
ISNUMBER(SEARCH("Congo DR",S2770)),"Democratic Republic of the Congo",
ISNUMBER(SEARCH("DR Congo",S2770)),"Democratic Republic of the Congo",
ISNUMBER(SEARCH("German DR",S2770)),"DR Germany",
ISNUMBER(SEARCH("rn""&gt;United Arab Emirates",S2770)),"United Arab Emirates",
ISNUMBER(SEARCH("rn""&gt;Republic of Ireland",S2770)),"Ireland",
ISNUMBER(SEARCH("rn""&gt;Bosnia and Herzegovina",S2770)),"Bosnia and Herzegovina",
ISNUMBER(SEARCH("rn""&gt;Trinidad and Tobago",S2770)),"Trinidad and Tobago",
ISNUMBER(SEARCH("rn""&gt;Serbia and Montenegro",S2770)),"Serbia and Montenegro",
ISNUMBER(SEARCH(_xlfn.UNICHAR(65533),S2770)),"Côte d'Ivoire",
TRUE,""
)</f>
        <v/>
      </c>
      <c r="W2770" s="40" t="str">
        <f t="shared" si="204"/>
        <v>Brazil</v>
      </c>
    </row>
    <row r="2771" spans="19:23">
      <c r="S2771" s="40" t="str">
        <v>Italy</v>
      </c>
      <c r="T2771" s="40" t="str">
        <f t="shared" si="202"/>
        <v>OK</v>
      </c>
      <c r="U2771" s="40" t="str">
        <f t="shared" si="203"/>
        <v>-</v>
      </c>
      <c r="V2771" s="40" t="str" cm="1">
        <f t="array" ref="V2771">_xlfn.IFS(
ISNUMBER(SEARCH("USA",S2771)),"United States",
ISNUMBER(SEARCH("Republic of Ireland",S2771)),"Ireland",
ISNUMBER(SEARCH("Republic of Korea",S2771)),"South Korea",
ISNUMBER(SEARCH("Cape Verde",S2771)),"Cabo Verde",
ISNUMBER(SEARCH("Czechia",S2771)),"Czech Republic",
ISNUMBER(SEARCH("Türkiye",S2771)),"Turkey",
ISNUMBER(SEARCH("Ivory Coast",S2771)),"Côte d'Ivoire",
ISNUMBER(SEARCH("Korea Republic",S2771)),"South Korea",
ISNUMBER(SEARCH("Germany FR",S2771)),"FR Germany",
ISNUMBER(SEARCH("West Germany",S2771)),"FR Germany",
ISNUMBER(SEARCH("Germany DR",S2771)),"DR Germany",
ISNUMBER(SEARCH("Korea DPR",S2771)),"North Korea",
ISNUMBER(SEARCH("China PR",S2771)),"China",
ISNUMBER(SEARCH("IR Iran",S2771)),"Iran",
ISNUMBER(SEARCH("Congo DR",S2771)),"Democratic Republic of the Congo",
ISNUMBER(SEARCH("DR Congo",S2771)),"Democratic Republic of the Congo",
ISNUMBER(SEARCH("German DR",S2771)),"DR Germany",
ISNUMBER(SEARCH("rn""&gt;United Arab Emirates",S2771)),"United Arab Emirates",
ISNUMBER(SEARCH("rn""&gt;Republic of Ireland",S2771)),"Ireland",
ISNUMBER(SEARCH("rn""&gt;Bosnia and Herzegovina",S2771)),"Bosnia and Herzegovina",
ISNUMBER(SEARCH("rn""&gt;Trinidad and Tobago",S2771)),"Trinidad and Tobago",
ISNUMBER(SEARCH("rn""&gt;Serbia and Montenegro",S2771)),"Serbia and Montenegro",
ISNUMBER(SEARCH(_xlfn.UNICHAR(65533),S2771)),"Côte d'Ivoire",
TRUE,""
)</f>
        <v/>
      </c>
      <c r="W2771" s="40" t="str">
        <f t="shared" si="204"/>
        <v>Italy</v>
      </c>
    </row>
    <row r="2772" spans="19:23">
      <c r="S2772" s="40" t="str">
        <v>Morocco</v>
      </c>
      <c r="T2772" s="40" t="str">
        <f t="shared" si="202"/>
        <v>OK</v>
      </c>
      <c r="U2772" s="40" t="str">
        <f t="shared" si="203"/>
        <v>-</v>
      </c>
      <c r="V2772" s="40" t="str" cm="1">
        <f t="array" ref="V2772">_xlfn.IFS(
ISNUMBER(SEARCH("USA",S2772)),"United States",
ISNUMBER(SEARCH("Republic of Ireland",S2772)),"Ireland",
ISNUMBER(SEARCH("Republic of Korea",S2772)),"South Korea",
ISNUMBER(SEARCH("Cape Verde",S2772)),"Cabo Verde",
ISNUMBER(SEARCH("Czechia",S2772)),"Czech Republic",
ISNUMBER(SEARCH("Türkiye",S2772)),"Turkey",
ISNUMBER(SEARCH("Ivory Coast",S2772)),"Côte d'Ivoire",
ISNUMBER(SEARCH("Korea Republic",S2772)),"South Korea",
ISNUMBER(SEARCH("Germany FR",S2772)),"FR Germany",
ISNUMBER(SEARCH("West Germany",S2772)),"FR Germany",
ISNUMBER(SEARCH("Germany DR",S2772)),"DR Germany",
ISNUMBER(SEARCH("Korea DPR",S2772)),"North Korea",
ISNUMBER(SEARCH("China PR",S2772)),"China",
ISNUMBER(SEARCH("IR Iran",S2772)),"Iran",
ISNUMBER(SEARCH("Congo DR",S2772)),"Democratic Republic of the Congo",
ISNUMBER(SEARCH("DR Congo",S2772)),"Democratic Republic of the Congo",
ISNUMBER(SEARCH("German DR",S2772)),"DR Germany",
ISNUMBER(SEARCH("rn""&gt;United Arab Emirates",S2772)),"United Arab Emirates",
ISNUMBER(SEARCH("rn""&gt;Republic of Ireland",S2772)),"Ireland",
ISNUMBER(SEARCH("rn""&gt;Bosnia and Herzegovina",S2772)),"Bosnia and Herzegovina",
ISNUMBER(SEARCH("rn""&gt;Trinidad and Tobago",S2772)),"Trinidad and Tobago",
ISNUMBER(SEARCH("rn""&gt;Serbia and Montenegro",S2772)),"Serbia and Montenegro",
ISNUMBER(SEARCH(_xlfn.UNICHAR(65533),S2772)),"Côte d'Ivoire",
TRUE,""
)</f>
        <v/>
      </c>
      <c r="W2772" s="40" t="str">
        <f t="shared" si="204"/>
        <v>Morocco</v>
      </c>
    </row>
    <row r="2773" spans="19:23">
      <c r="S2773" s="40" t="str">
        <v>England</v>
      </c>
      <c r="T2773" s="40" t="str">
        <f t="shared" si="202"/>
        <v>ERREUR</v>
      </c>
      <c r="U2773" s="40" t="str">
        <f t="shared" si="203"/>
        <v>AUCUNE</v>
      </c>
      <c r="V2773" s="40" t="str" cm="1">
        <f t="array" ref="V2773">_xlfn.IFS(
ISNUMBER(SEARCH("USA",S2773)),"United States",
ISNUMBER(SEARCH("Republic of Ireland",S2773)),"Ireland",
ISNUMBER(SEARCH("Republic of Korea",S2773)),"South Korea",
ISNUMBER(SEARCH("Cape Verde",S2773)),"Cabo Verde",
ISNUMBER(SEARCH("Czechia",S2773)),"Czech Republic",
ISNUMBER(SEARCH("Türkiye",S2773)),"Turkey",
ISNUMBER(SEARCH("Ivory Coast",S2773)),"Côte d'Ivoire",
ISNUMBER(SEARCH("Korea Republic",S2773)),"South Korea",
ISNUMBER(SEARCH("Germany FR",S2773)),"FR Germany",
ISNUMBER(SEARCH("West Germany",S2773)),"FR Germany",
ISNUMBER(SEARCH("Germany DR",S2773)),"DR Germany",
ISNUMBER(SEARCH("Korea DPR",S2773)),"North Korea",
ISNUMBER(SEARCH("China PR",S2773)),"China",
ISNUMBER(SEARCH("IR Iran",S2773)),"Iran",
ISNUMBER(SEARCH("Congo DR",S2773)),"Democratic Republic of the Congo",
ISNUMBER(SEARCH("DR Congo",S2773)),"Democratic Republic of the Congo",
ISNUMBER(SEARCH("German DR",S2773)),"DR Germany",
ISNUMBER(SEARCH("rn""&gt;United Arab Emirates",S2773)),"United Arab Emirates",
ISNUMBER(SEARCH("rn""&gt;Republic of Ireland",S2773)),"Ireland",
ISNUMBER(SEARCH("rn""&gt;Bosnia and Herzegovina",S2773)),"Bosnia and Herzegovina",
ISNUMBER(SEARCH("rn""&gt;Trinidad and Tobago",S2773)),"Trinidad and Tobago",
ISNUMBER(SEARCH("rn""&gt;Serbia and Montenegro",S2773)),"Serbia and Montenegro",
ISNUMBER(SEARCH(_xlfn.UNICHAR(65533),S2773)),"Côte d'Ivoire",
TRUE,""
)</f>
        <v/>
      </c>
      <c r="W2773" s="40" t="str">
        <f t="shared" si="204"/>
        <v>England</v>
      </c>
    </row>
    <row r="2774" spans="19:23">
      <c r="S2774" s="40" t="str">
        <v>Denmark</v>
      </c>
      <c r="T2774" s="40" t="str">
        <f t="shared" si="202"/>
        <v>OK</v>
      </c>
      <c r="U2774" s="40" t="str">
        <f t="shared" si="203"/>
        <v>-</v>
      </c>
      <c r="V2774" s="40" t="str" cm="1">
        <f t="array" ref="V2774">_xlfn.IFS(
ISNUMBER(SEARCH("USA",S2774)),"United States",
ISNUMBER(SEARCH("Republic of Ireland",S2774)),"Ireland",
ISNUMBER(SEARCH("Republic of Korea",S2774)),"South Korea",
ISNUMBER(SEARCH("Cape Verde",S2774)),"Cabo Verde",
ISNUMBER(SEARCH("Czechia",S2774)),"Czech Republic",
ISNUMBER(SEARCH("Türkiye",S2774)),"Turkey",
ISNUMBER(SEARCH("Ivory Coast",S2774)),"Côte d'Ivoire",
ISNUMBER(SEARCH("Korea Republic",S2774)),"South Korea",
ISNUMBER(SEARCH("Germany FR",S2774)),"FR Germany",
ISNUMBER(SEARCH("West Germany",S2774)),"FR Germany",
ISNUMBER(SEARCH("Germany DR",S2774)),"DR Germany",
ISNUMBER(SEARCH("Korea DPR",S2774)),"North Korea",
ISNUMBER(SEARCH("China PR",S2774)),"China",
ISNUMBER(SEARCH("IR Iran",S2774)),"Iran",
ISNUMBER(SEARCH("Congo DR",S2774)),"Democratic Republic of the Congo",
ISNUMBER(SEARCH("DR Congo",S2774)),"Democratic Republic of the Congo",
ISNUMBER(SEARCH("German DR",S2774)),"DR Germany",
ISNUMBER(SEARCH("rn""&gt;United Arab Emirates",S2774)),"United Arab Emirates",
ISNUMBER(SEARCH("rn""&gt;Republic of Ireland",S2774)),"Ireland",
ISNUMBER(SEARCH("rn""&gt;Bosnia and Herzegovina",S2774)),"Bosnia and Herzegovina",
ISNUMBER(SEARCH("rn""&gt;Trinidad and Tobago",S2774)),"Trinidad and Tobago",
ISNUMBER(SEARCH("rn""&gt;Serbia and Montenegro",S2774)),"Serbia and Montenegro",
ISNUMBER(SEARCH(_xlfn.UNICHAR(65533),S2774)),"Côte d'Ivoire",
TRUE,""
)</f>
        <v/>
      </c>
      <c r="W2774" s="40" t="str">
        <f t="shared" si="204"/>
        <v>Denmark</v>
      </c>
    </row>
    <row r="2775" spans="19:23">
      <c r="S2775" s="40" t="str">
        <v>Brazil</v>
      </c>
      <c r="T2775" s="40" t="str">
        <f t="shared" si="202"/>
        <v>OK</v>
      </c>
      <c r="U2775" s="40" t="str">
        <f t="shared" si="203"/>
        <v>-</v>
      </c>
      <c r="V2775" s="40" t="str" cm="1">
        <f t="array" ref="V2775">_xlfn.IFS(
ISNUMBER(SEARCH("USA",S2775)),"United States",
ISNUMBER(SEARCH("Republic of Ireland",S2775)),"Ireland",
ISNUMBER(SEARCH("Republic of Korea",S2775)),"South Korea",
ISNUMBER(SEARCH("Cape Verde",S2775)),"Cabo Verde",
ISNUMBER(SEARCH("Czechia",S2775)),"Czech Republic",
ISNUMBER(SEARCH("Türkiye",S2775)),"Turkey",
ISNUMBER(SEARCH("Ivory Coast",S2775)),"Côte d'Ivoire",
ISNUMBER(SEARCH("Korea Republic",S2775)),"South Korea",
ISNUMBER(SEARCH("Germany FR",S2775)),"FR Germany",
ISNUMBER(SEARCH("West Germany",S2775)),"FR Germany",
ISNUMBER(SEARCH("Germany DR",S2775)),"DR Germany",
ISNUMBER(SEARCH("Korea DPR",S2775)),"North Korea",
ISNUMBER(SEARCH("China PR",S2775)),"China",
ISNUMBER(SEARCH("IR Iran",S2775)),"Iran",
ISNUMBER(SEARCH("Congo DR",S2775)),"Democratic Republic of the Congo",
ISNUMBER(SEARCH("DR Congo",S2775)),"Democratic Republic of the Congo",
ISNUMBER(SEARCH("German DR",S2775)),"DR Germany",
ISNUMBER(SEARCH("rn""&gt;United Arab Emirates",S2775)),"United Arab Emirates",
ISNUMBER(SEARCH("rn""&gt;Republic of Ireland",S2775)),"Ireland",
ISNUMBER(SEARCH("rn""&gt;Bosnia and Herzegovina",S2775)),"Bosnia and Herzegovina",
ISNUMBER(SEARCH("rn""&gt;Trinidad and Tobago",S2775)),"Trinidad and Tobago",
ISNUMBER(SEARCH("rn""&gt;Serbia and Montenegro",S2775)),"Serbia and Montenegro",
ISNUMBER(SEARCH(_xlfn.UNICHAR(65533),S2775)),"Côte d'Ivoire",
TRUE,""
)</f>
        <v/>
      </c>
      <c r="W2775" s="40" t="str">
        <f t="shared" si="204"/>
        <v>Brazil</v>
      </c>
    </row>
    <row r="2776" spans="19:23">
      <c r="S2776" s="40" t="str">
        <v>Germany FR</v>
      </c>
      <c r="T2776" s="40" t="str">
        <f t="shared" si="202"/>
        <v>ERREUR</v>
      </c>
      <c r="U2776" s="40" t="str">
        <f t="shared" si="203"/>
        <v>RENOMMER</v>
      </c>
      <c r="V2776" s="40" t="str" cm="1">
        <f t="array" ref="V2776">_xlfn.IFS(
ISNUMBER(SEARCH("USA",S2776)),"United States",
ISNUMBER(SEARCH("Republic of Ireland",S2776)),"Ireland",
ISNUMBER(SEARCH("Republic of Korea",S2776)),"South Korea",
ISNUMBER(SEARCH("Cape Verde",S2776)),"Cabo Verde",
ISNUMBER(SEARCH("Czechia",S2776)),"Czech Republic",
ISNUMBER(SEARCH("Türkiye",S2776)),"Turkey",
ISNUMBER(SEARCH("Ivory Coast",S2776)),"Côte d'Ivoire",
ISNUMBER(SEARCH("Korea Republic",S2776)),"South Korea",
ISNUMBER(SEARCH("Germany FR",S2776)),"FR Germany",
ISNUMBER(SEARCH("West Germany",S2776)),"FR Germany",
ISNUMBER(SEARCH("Germany DR",S2776)),"DR Germany",
ISNUMBER(SEARCH("Korea DPR",S2776)),"North Korea",
ISNUMBER(SEARCH("China PR",S2776)),"China",
ISNUMBER(SEARCH("IR Iran",S2776)),"Iran",
ISNUMBER(SEARCH("Congo DR",S2776)),"Democratic Republic of the Congo",
ISNUMBER(SEARCH("DR Congo",S2776)),"Democratic Republic of the Congo",
ISNUMBER(SEARCH("German DR",S2776)),"DR Germany",
ISNUMBER(SEARCH("rn""&gt;United Arab Emirates",S2776)),"United Arab Emirates",
ISNUMBER(SEARCH("rn""&gt;Republic of Ireland",S2776)),"Ireland",
ISNUMBER(SEARCH("rn""&gt;Bosnia and Herzegovina",S2776)),"Bosnia and Herzegovina",
ISNUMBER(SEARCH("rn""&gt;Trinidad and Tobago",S2776)),"Trinidad and Tobago",
ISNUMBER(SEARCH("rn""&gt;Serbia and Montenegro",S2776)),"Serbia and Montenegro",
ISNUMBER(SEARCH(_xlfn.UNICHAR(65533),S2776)),"Côte d'Ivoire",
TRUE,""
)</f>
        <v>FR Germany</v>
      </c>
      <c r="W2776" s="40" t="str">
        <f t="shared" si="204"/>
        <v>FR Germany</v>
      </c>
    </row>
    <row r="2777" spans="19:23">
      <c r="S2777" s="40" t="str">
        <v>Spain</v>
      </c>
      <c r="T2777" s="40" t="str">
        <f t="shared" si="202"/>
        <v>OK</v>
      </c>
      <c r="U2777" s="40" t="str">
        <f t="shared" si="203"/>
        <v>-</v>
      </c>
      <c r="V2777" s="40" t="str" cm="1">
        <f t="array" ref="V2777">_xlfn.IFS(
ISNUMBER(SEARCH("USA",S2777)),"United States",
ISNUMBER(SEARCH("Republic of Ireland",S2777)),"Ireland",
ISNUMBER(SEARCH("Republic of Korea",S2777)),"South Korea",
ISNUMBER(SEARCH("Cape Verde",S2777)),"Cabo Verde",
ISNUMBER(SEARCH("Czechia",S2777)),"Czech Republic",
ISNUMBER(SEARCH("Türkiye",S2777)),"Turkey",
ISNUMBER(SEARCH("Ivory Coast",S2777)),"Côte d'Ivoire",
ISNUMBER(SEARCH("Korea Republic",S2777)),"South Korea",
ISNUMBER(SEARCH("Germany FR",S2777)),"FR Germany",
ISNUMBER(SEARCH("West Germany",S2777)),"FR Germany",
ISNUMBER(SEARCH("Germany DR",S2777)),"DR Germany",
ISNUMBER(SEARCH("Korea DPR",S2777)),"North Korea",
ISNUMBER(SEARCH("China PR",S2777)),"China",
ISNUMBER(SEARCH("IR Iran",S2777)),"Iran",
ISNUMBER(SEARCH("Congo DR",S2777)),"Democratic Republic of the Congo",
ISNUMBER(SEARCH("DR Congo",S2777)),"Democratic Republic of the Congo",
ISNUMBER(SEARCH("German DR",S2777)),"DR Germany",
ISNUMBER(SEARCH("rn""&gt;United Arab Emirates",S2777)),"United Arab Emirates",
ISNUMBER(SEARCH("rn""&gt;Republic of Ireland",S2777)),"Ireland",
ISNUMBER(SEARCH("rn""&gt;Bosnia and Herzegovina",S2777)),"Bosnia and Herzegovina",
ISNUMBER(SEARCH("rn""&gt;Trinidad and Tobago",S2777)),"Trinidad and Tobago",
ISNUMBER(SEARCH("rn""&gt;Serbia and Montenegro",S2777)),"Serbia and Montenegro",
ISNUMBER(SEARCH(_xlfn.UNICHAR(65533),S2777)),"Côte d'Ivoire",
TRUE,""
)</f>
        <v/>
      </c>
      <c r="W2777" s="40" t="str">
        <f t="shared" si="204"/>
        <v>Spain</v>
      </c>
    </row>
    <row r="2778" spans="19:23">
      <c r="S2778" s="40" t="str">
        <v>Argentina</v>
      </c>
      <c r="T2778" s="40" t="str">
        <f t="shared" si="202"/>
        <v>OK</v>
      </c>
      <c r="U2778" s="40" t="str">
        <f t="shared" si="203"/>
        <v>-</v>
      </c>
      <c r="V2778" s="40" t="str" cm="1">
        <f t="array" ref="V2778">_xlfn.IFS(
ISNUMBER(SEARCH("USA",S2778)),"United States",
ISNUMBER(SEARCH("Republic of Ireland",S2778)),"Ireland",
ISNUMBER(SEARCH("Republic of Korea",S2778)),"South Korea",
ISNUMBER(SEARCH("Cape Verde",S2778)),"Cabo Verde",
ISNUMBER(SEARCH("Czechia",S2778)),"Czech Republic",
ISNUMBER(SEARCH("Türkiye",S2778)),"Turkey",
ISNUMBER(SEARCH("Ivory Coast",S2778)),"Côte d'Ivoire",
ISNUMBER(SEARCH("Korea Republic",S2778)),"South Korea",
ISNUMBER(SEARCH("Germany FR",S2778)),"FR Germany",
ISNUMBER(SEARCH("West Germany",S2778)),"FR Germany",
ISNUMBER(SEARCH("Germany DR",S2778)),"DR Germany",
ISNUMBER(SEARCH("Korea DPR",S2778)),"North Korea",
ISNUMBER(SEARCH("China PR",S2778)),"China",
ISNUMBER(SEARCH("IR Iran",S2778)),"Iran",
ISNUMBER(SEARCH("Congo DR",S2778)),"Democratic Republic of the Congo",
ISNUMBER(SEARCH("DR Congo",S2778)),"Democratic Republic of the Congo",
ISNUMBER(SEARCH("German DR",S2778)),"DR Germany",
ISNUMBER(SEARCH("rn""&gt;United Arab Emirates",S2778)),"United Arab Emirates",
ISNUMBER(SEARCH("rn""&gt;Republic of Ireland",S2778)),"Ireland",
ISNUMBER(SEARCH("rn""&gt;Bosnia and Herzegovina",S2778)),"Bosnia and Herzegovina",
ISNUMBER(SEARCH("rn""&gt;Trinidad and Tobago",S2778)),"Trinidad and Tobago",
ISNUMBER(SEARCH("rn""&gt;Serbia and Montenegro",S2778)),"Serbia and Montenegro",
ISNUMBER(SEARCH(_xlfn.UNICHAR(65533),S2778)),"Côte d'Ivoire",
TRUE,""
)</f>
        <v/>
      </c>
      <c r="W2778" s="40" t="str">
        <f t="shared" si="204"/>
        <v>Argentina</v>
      </c>
    </row>
    <row r="2779" spans="19:23">
      <c r="S2779" s="40" t="str">
        <v>France</v>
      </c>
      <c r="T2779" s="40" t="str">
        <f t="shared" si="202"/>
        <v>OK</v>
      </c>
      <c r="U2779" s="40" t="str">
        <f t="shared" si="203"/>
        <v>-</v>
      </c>
      <c r="V2779" s="40" t="str" cm="1">
        <f t="array" ref="V2779">_xlfn.IFS(
ISNUMBER(SEARCH("USA",S2779)),"United States",
ISNUMBER(SEARCH("Republic of Ireland",S2779)),"Ireland",
ISNUMBER(SEARCH("Republic of Korea",S2779)),"South Korea",
ISNUMBER(SEARCH("Cape Verde",S2779)),"Cabo Verde",
ISNUMBER(SEARCH("Czechia",S2779)),"Czech Republic",
ISNUMBER(SEARCH("Türkiye",S2779)),"Turkey",
ISNUMBER(SEARCH("Ivory Coast",S2779)),"Côte d'Ivoire",
ISNUMBER(SEARCH("Korea Republic",S2779)),"South Korea",
ISNUMBER(SEARCH("Germany FR",S2779)),"FR Germany",
ISNUMBER(SEARCH("West Germany",S2779)),"FR Germany",
ISNUMBER(SEARCH("Germany DR",S2779)),"DR Germany",
ISNUMBER(SEARCH("Korea DPR",S2779)),"North Korea",
ISNUMBER(SEARCH("China PR",S2779)),"China",
ISNUMBER(SEARCH("IR Iran",S2779)),"Iran",
ISNUMBER(SEARCH("Congo DR",S2779)),"Democratic Republic of the Congo",
ISNUMBER(SEARCH("DR Congo",S2779)),"Democratic Republic of the Congo",
ISNUMBER(SEARCH("German DR",S2779)),"DR Germany",
ISNUMBER(SEARCH("rn""&gt;United Arab Emirates",S2779)),"United Arab Emirates",
ISNUMBER(SEARCH("rn""&gt;Republic of Ireland",S2779)),"Ireland",
ISNUMBER(SEARCH("rn""&gt;Bosnia and Herzegovina",S2779)),"Bosnia and Herzegovina",
ISNUMBER(SEARCH("rn""&gt;Trinidad and Tobago",S2779)),"Trinidad and Tobago",
ISNUMBER(SEARCH("rn""&gt;Serbia and Montenegro",S2779)),"Serbia and Montenegro",
ISNUMBER(SEARCH(_xlfn.UNICHAR(65533),S2779)),"Côte d'Ivoire",
TRUE,""
)</f>
        <v/>
      </c>
      <c r="W2779" s="40" t="str">
        <f t="shared" si="204"/>
        <v>France</v>
      </c>
    </row>
    <row r="2780" spans="19:23">
      <c r="S2780" s="40" t="str">
        <v>Argentina</v>
      </c>
      <c r="T2780" s="40" t="str">
        <f t="shared" si="202"/>
        <v>OK</v>
      </c>
      <c r="U2780" s="40" t="str">
        <f t="shared" si="203"/>
        <v>-</v>
      </c>
      <c r="V2780" s="40" t="str" cm="1">
        <f t="array" ref="V2780">_xlfn.IFS(
ISNUMBER(SEARCH("USA",S2780)),"United States",
ISNUMBER(SEARCH("Republic of Ireland",S2780)),"Ireland",
ISNUMBER(SEARCH("Republic of Korea",S2780)),"South Korea",
ISNUMBER(SEARCH("Cape Verde",S2780)),"Cabo Verde",
ISNUMBER(SEARCH("Czechia",S2780)),"Czech Republic",
ISNUMBER(SEARCH("Türkiye",S2780)),"Turkey",
ISNUMBER(SEARCH("Ivory Coast",S2780)),"Côte d'Ivoire",
ISNUMBER(SEARCH("Korea Republic",S2780)),"South Korea",
ISNUMBER(SEARCH("Germany FR",S2780)),"FR Germany",
ISNUMBER(SEARCH("West Germany",S2780)),"FR Germany",
ISNUMBER(SEARCH("Germany DR",S2780)),"DR Germany",
ISNUMBER(SEARCH("Korea DPR",S2780)),"North Korea",
ISNUMBER(SEARCH("China PR",S2780)),"China",
ISNUMBER(SEARCH("IR Iran",S2780)),"Iran",
ISNUMBER(SEARCH("Congo DR",S2780)),"Democratic Republic of the Congo",
ISNUMBER(SEARCH("DR Congo",S2780)),"Democratic Republic of the Congo",
ISNUMBER(SEARCH("German DR",S2780)),"DR Germany",
ISNUMBER(SEARCH("rn""&gt;United Arab Emirates",S2780)),"United Arab Emirates",
ISNUMBER(SEARCH("rn""&gt;Republic of Ireland",S2780)),"Ireland",
ISNUMBER(SEARCH("rn""&gt;Bosnia and Herzegovina",S2780)),"Bosnia and Herzegovina",
ISNUMBER(SEARCH("rn""&gt;Trinidad and Tobago",S2780)),"Trinidad and Tobago",
ISNUMBER(SEARCH("rn""&gt;Serbia and Montenegro",S2780)),"Serbia and Montenegro",
ISNUMBER(SEARCH(_xlfn.UNICHAR(65533),S2780)),"Côte d'Ivoire",
TRUE,""
)</f>
        <v/>
      </c>
      <c r="W2780" s="40" t="str">
        <f t="shared" si="204"/>
        <v>Argentina</v>
      </c>
    </row>
    <row r="2781" spans="19:23">
      <c r="S2781" s="40" t="str">
        <v>France</v>
      </c>
      <c r="T2781" s="40" t="str">
        <f t="shared" si="202"/>
        <v>OK</v>
      </c>
      <c r="U2781" s="40" t="str">
        <f t="shared" si="203"/>
        <v>-</v>
      </c>
      <c r="V2781" s="40" t="str" cm="1">
        <f t="array" ref="V2781">_xlfn.IFS(
ISNUMBER(SEARCH("USA",S2781)),"United States",
ISNUMBER(SEARCH("Republic of Ireland",S2781)),"Ireland",
ISNUMBER(SEARCH("Republic of Korea",S2781)),"South Korea",
ISNUMBER(SEARCH("Cape Verde",S2781)),"Cabo Verde",
ISNUMBER(SEARCH("Czechia",S2781)),"Czech Republic",
ISNUMBER(SEARCH("Türkiye",S2781)),"Turkey",
ISNUMBER(SEARCH("Ivory Coast",S2781)),"Côte d'Ivoire",
ISNUMBER(SEARCH("Korea Republic",S2781)),"South Korea",
ISNUMBER(SEARCH("Germany FR",S2781)),"FR Germany",
ISNUMBER(SEARCH("West Germany",S2781)),"FR Germany",
ISNUMBER(SEARCH("Germany DR",S2781)),"DR Germany",
ISNUMBER(SEARCH("Korea DPR",S2781)),"North Korea",
ISNUMBER(SEARCH("China PR",S2781)),"China",
ISNUMBER(SEARCH("IR Iran",S2781)),"Iran",
ISNUMBER(SEARCH("Congo DR",S2781)),"Democratic Republic of the Congo",
ISNUMBER(SEARCH("DR Congo",S2781)),"Democratic Republic of the Congo",
ISNUMBER(SEARCH("German DR",S2781)),"DR Germany",
ISNUMBER(SEARCH("rn""&gt;United Arab Emirates",S2781)),"United Arab Emirates",
ISNUMBER(SEARCH("rn""&gt;Republic of Ireland",S2781)),"Ireland",
ISNUMBER(SEARCH("rn""&gt;Bosnia and Herzegovina",S2781)),"Bosnia and Herzegovina",
ISNUMBER(SEARCH("rn""&gt;Trinidad and Tobago",S2781)),"Trinidad and Tobago",
ISNUMBER(SEARCH("rn""&gt;Serbia and Montenegro",S2781)),"Serbia and Montenegro",
ISNUMBER(SEARCH(_xlfn.UNICHAR(65533),S2781)),"Côte d'Ivoire",
TRUE,""
)</f>
        <v/>
      </c>
      <c r="W2781" s="40" t="str">
        <f t="shared" si="204"/>
        <v>France</v>
      </c>
    </row>
    <row r="2782" spans="19:23">
      <c r="S2782" s="40" t="str">
        <v>Argentina</v>
      </c>
      <c r="T2782" s="40" t="str">
        <f t="shared" si="202"/>
        <v>OK</v>
      </c>
      <c r="U2782" s="40" t="str">
        <f t="shared" si="203"/>
        <v>-</v>
      </c>
      <c r="V2782" s="40" t="str" cm="1">
        <f t="array" ref="V2782">_xlfn.IFS(
ISNUMBER(SEARCH("USA",S2782)),"United States",
ISNUMBER(SEARCH("Republic of Ireland",S2782)),"Ireland",
ISNUMBER(SEARCH("Republic of Korea",S2782)),"South Korea",
ISNUMBER(SEARCH("Cape Verde",S2782)),"Cabo Verde",
ISNUMBER(SEARCH("Czechia",S2782)),"Czech Republic",
ISNUMBER(SEARCH("Türkiye",S2782)),"Turkey",
ISNUMBER(SEARCH("Ivory Coast",S2782)),"Côte d'Ivoire",
ISNUMBER(SEARCH("Korea Republic",S2782)),"South Korea",
ISNUMBER(SEARCH("Germany FR",S2782)),"FR Germany",
ISNUMBER(SEARCH("West Germany",S2782)),"FR Germany",
ISNUMBER(SEARCH("Germany DR",S2782)),"DR Germany",
ISNUMBER(SEARCH("Korea DPR",S2782)),"North Korea",
ISNUMBER(SEARCH("China PR",S2782)),"China",
ISNUMBER(SEARCH("IR Iran",S2782)),"Iran",
ISNUMBER(SEARCH("Congo DR",S2782)),"Democratic Republic of the Congo",
ISNUMBER(SEARCH("DR Congo",S2782)),"Democratic Republic of the Congo",
ISNUMBER(SEARCH("German DR",S2782)),"DR Germany",
ISNUMBER(SEARCH("rn""&gt;United Arab Emirates",S2782)),"United Arab Emirates",
ISNUMBER(SEARCH("rn""&gt;Republic of Ireland",S2782)),"Ireland",
ISNUMBER(SEARCH("rn""&gt;Bosnia and Herzegovina",S2782)),"Bosnia and Herzegovina",
ISNUMBER(SEARCH("rn""&gt;Trinidad and Tobago",S2782)),"Trinidad and Tobago",
ISNUMBER(SEARCH("rn""&gt;Serbia and Montenegro",S2782)),"Serbia and Montenegro",
ISNUMBER(SEARCH(_xlfn.UNICHAR(65533),S2782)),"Côte d'Ivoire",
TRUE,""
)</f>
        <v/>
      </c>
      <c r="W2782" s="40" t="str">
        <f t="shared" si="204"/>
        <v>Argentina</v>
      </c>
    </row>
    <row r="2783" spans="19:23">
      <c r="S2783" s="40" t="str">
        <v>Argentina</v>
      </c>
      <c r="T2783" s="40" t="str">
        <f t="shared" si="202"/>
        <v>OK</v>
      </c>
      <c r="U2783" s="40" t="str">
        <f t="shared" si="203"/>
        <v>-</v>
      </c>
      <c r="V2783" s="40" t="str" cm="1">
        <f t="array" ref="V2783">_xlfn.IFS(
ISNUMBER(SEARCH("USA",S2783)),"United States",
ISNUMBER(SEARCH("Republic of Ireland",S2783)),"Ireland",
ISNUMBER(SEARCH("Republic of Korea",S2783)),"South Korea",
ISNUMBER(SEARCH("Cape Verde",S2783)),"Cabo Verde",
ISNUMBER(SEARCH("Czechia",S2783)),"Czech Republic",
ISNUMBER(SEARCH("Türkiye",S2783)),"Turkey",
ISNUMBER(SEARCH("Ivory Coast",S2783)),"Côte d'Ivoire",
ISNUMBER(SEARCH("Korea Republic",S2783)),"South Korea",
ISNUMBER(SEARCH("Germany FR",S2783)),"FR Germany",
ISNUMBER(SEARCH("West Germany",S2783)),"FR Germany",
ISNUMBER(SEARCH("Germany DR",S2783)),"DR Germany",
ISNUMBER(SEARCH("Korea DPR",S2783)),"North Korea",
ISNUMBER(SEARCH("China PR",S2783)),"China",
ISNUMBER(SEARCH("IR Iran",S2783)),"Iran",
ISNUMBER(SEARCH("Congo DR",S2783)),"Democratic Republic of the Congo",
ISNUMBER(SEARCH("DR Congo",S2783)),"Democratic Republic of the Congo",
ISNUMBER(SEARCH("German DR",S2783)),"DR Germany",
ISNUMBER(SEARCH("rn""&gt;United Arab Emirates",S2783)),"United Arab Emirates",
ISNUMBER(SEARCH("rn""&gt;Republic of Ireland",S2783)),"Ireland",
ISNUMBER(SEARCH("rn""&gt;Bosnia and Herzegovina",S2783)),"Bosnia and Herzegovina",
ISNUMBER(SEARCH("rn""&gt;Trinidad and Tobago",S2783)),"Trinidad and Tobago",
ISNUMBER(SEARCH("rn""&gt;Serbia and Montenegro",S2783)),"Serbia and Montenegro",
ISNUMBER(SEARCH(_xlfn.UNICHAR(65533),S2783)),"Côte d'Ivoire",
TRUE,""
)</f>
        <v/>
      </c>
      <c r="W2783" s="40" t="str">
        <f t="shared" si="204"/>
        <v>Argentina</v>
      </c>
    </row>
    <row r="2784" spans="19:23">
      <c r="S2784" s="40" t="str">
        <v>Soviet Union</v>
      </c>
      <c r="T2784" s="40" t="str">
        <f t="shared" si="202"/>
        <v>ERREUR</v>
      </c>
      <c r="U2784" s="40" t="str">
        <f t="shared" si="203"/>
        <v>AUCUNE</v>
      </c>
      <c r="V2784" s="40" t="str" cm="1">
        <f t="array" ref="V2784">_xlfn.IFS(
ISNUMBER(SEARCH("USA",S2784)),"United States",
ISNUMBER(SEARCH("Republic of Ireland",S2784)),"Ireland",
ISNUMBER(SEARCH("Republic of Korea",S2784)),"South Korea",
ISNUMBER(SEARCH("Cape Verde",S2784)),"Cabo Verde",
ISNUMBER(SEARCH("Czechia",S2784)),"Czech Republic",
ISNUMBER(SEARCH("Türkiye",S2784)),"Turkey",
ISNUMBER(SEARCH("Ivory Coast",S2784)),"Côte d'Ivoire",
ISNUMBER(SEARCH("Korea Republic",S2784)),"South Korea",
ISNUMBER(SEARCH("Germany FR",S2784)),"FR Germany",
ISNUMBER(SEARCH("West Germany",S2784)),"FR Germany",
ISNUMBER(SEARCH("Germany DR",S2784)),"DR Germany",
ISNUMBER(SEARCH("Korea DPR",S2784)),"North Korea",
ISNUMBER(SEARCH("China PR",S2784)),"China",
ISNUMBER(SEARCH("IR Iran",S2784)),"Iran",
ISNUMBER(SEARCH("Congo DR",S2784)),"Democratic Republic of the Congo",
ISNUMBER(SEARCH("DR Congo",S2784)),"Democratic Republic of the Congo",
ISNUMBER(SEARCH("German DR",S2784)),"DR Germany",
ISNUMBER(SEARCH("rn""&gt;United Arab Emirates",S2784)),"United Arab Emirates",
ISNUMBER(SEARCH("rn""&gt;Republic of Ireland",S2784)),"Ireland",
ISNUMBER(SEARCH("rn""&gt;Bosnia and Herzegovina",S2784)),"Bosnia and Herzegovina",
ISNUMBER(SEARCH("rn""&gt;Trinidad and Tobago",S2784)),"Trinidad and Tobago",
ISNUMBER(SEARCH("rn""&gt;Serbia and Montenegro",S2784)),"Serbia and Montenegro",
ISNUMBER(SEARCH(_xlfn.UNICHAR(65533),S2784)),"Côte d'Ivoire",
TRUE,""
)</f>
        <v/>
      </c>
      <c r="W2784" s="40" t="str">
        <f t="shared" si="204"/>
        <v>Soviet Union</v>
      </c>
    </row>
    <row r="2785" spans="19:23">
      <c r="S2785" s="40" t="str">
        <v>rn"&gt;United Arab Emirates</v>
      </c>
      <c r="T2785" s="40" t="str">
        <f t="shared" si="202"/>
        <v>ERREUR</v>
      </c>
      <c r="U2785" s="40" t="str">
        <f t="shared" si="203"/>
        <v>RENOMMER</v>
      </c>
      <c r="V2785" s="40" t="str" cm="1">
        <f t="array" ref="V2785">_xlfn.IFS(
ISNUMBER(SEARCH("USA",S2785)),"United States",
ISNUMBER(SEARCH("Republic of Ireland",S2785)),"Ireland",
ISNUMBER(SEARCH("Republic of Korea",S2785)),"South Korea",
ISNUMBER(SEARCH("Cape Verde",S2785)),"Cabo Verde",
ISNUMBER(SEARCH("Czechia",S2785)),"Czech Republic",
ISNUMBER(SEARCH("Türkiye",S2785)),"Turkey",
ISNUMBER(SEARCH("Ivory Coast",S2785)),"Côte d'Ivoire",
ISNUMBER(SEARCH("Korea Republic",S2785)),"South Korea",
ISNUMBER(SEARCH("Germany FR",S2785)),"FR Germany",
ISNUMBER(SEARCH("West Germany",S2785)),"FR Germany",
ISNUMBER(SEARCH("Germany DR",S2785)),"DR Germany",
ISNUMBER(SEARCH("Korea DPR",S2785)),"North Korea",
ISNUMBER(SEARCH("China PR",S2785)),"China",
ISNUMBER(SEARCH("IR Iran",S2785)),"Iran",
ISNUMBER(SEARCH("Congo DR",S2785)),"Democratic Republic of the Congo",
ISNUMBER(SEARCH("DR Congo",S2785)),"Democratic Republic of the Congo",
ISNUMBER(SEARCH("German DR",S2785)),"DR Germany",
ISNUMBER(SEARCH("rn""&gt;United Arab Emirates",S2785)),"United Arab Emirates",
ISNUMBER(SEARCH("rn""&gt;Republic of Ireland",S2785)),"Ireland",
ISNUMBER(SEARCH("rn""&gt;Bosnia and Herzegovina",S2785)),"Bosnia and Herzegovina",
ISNUMBER(SEARCH("rn""&gt;Trinidad and Tobago",S2785)),"Trinidad and Tobago",
ISNUMBER(SEARCH("rn""&gt;Serbia and Montenegro",S2785)),"Serbia and Montenegro",
ISNUMBER(SEARCH(_xlfn.UNICHAR(65533),S2785)),"Côte d'Ivoire",
TRUE,""
)</f>
        <v>United Arab Emirates</v>
      </c>
      <c r="W2785" s="40" t="str">
        <f t="shared" si="204"/>
        <v>United Arab Emirates</v>
      </c>
    </row>
    <row r="2786" spans="19:23">
      <c r="S2786" s="40" t="str">
        <v>Italy</v>
      </c>
      <c r="T2786" s="40" t="str">
        <f t="shared" si="202"/>
        <v>OK</v>
      </c>
      <c r="U2786" s="40" t="str">
        <f t="shared" si="203"/>
        <v>-</v>
      </c>
      <c r="V2786" s="40" t="str" cm="1">
        <f t="array" ref="V2786">_xlfn.IFS(
ISNUMBER(SEARCH("USA",S2786)),"United States",
ISNUMBER(SEARCH("Republic of Ireland",S2786)),"Ireland",
ISNUMBER(SEARCH("Republic of Korea",S2786)),"South Korea",
ISNUMBER(SEARCH("Cape Verde",S2786)),"Cabo Verde",
ISNUMBER(SEARCH("Czechia",S2786)),"Czech Republic",
ISNUMBER(SEARCH("Türkiye",S2786)),"Turkey",
ISNUMBER(SEARCH("Ivory Coast",S2786)),"Côte d'Ivoire",
ISNUMBER(SEARCH("Korea Republic",S2786)),"South Korea",
ISNUMBER(SEARCH("Germany FR",S2786)),"FR Germany",
ISNUMBER(SEARCH("West Germany",S2786)),"FR Germany",
ISNUMBER(SEARCH("Germany DR",S2786)),"DR Germany",
ISNUMBER(SEARCH("Korea DPR",S2786)),"North Korea",
ISNUMBER(SEARCH("China PR",S2786)),"China",
ISNUMBER(SEARCH("IR Iran",S2786)),"Iran",
ISNUMBER(SEARCH("Congo DR",S2786)),"Democratic Republic of the Congo",
ISNUMBER(SEARCH("DR Congo",S2786)),"Democratic Republic of the Congo",
ISNUMBER(SEARCH("German DR",S2786)),"DR Germany",
ISNUMBER(SEARCH("rn""&gt;United Arab Emirates",S2786)),"United Arab Emirates",
ISNUMBER(SEARCH("rn""&gt;Republic of Ireland",S2786)),"Ireland",
ISNUMBER(SEARCH("rn""&gt;Bosnia and Herzegovina",S2786)),"Bosnia and Herzegovina",
ISNUMBER(SEARCH("rn""&gt;Trinidad and Tobago",S2786)),"Trinidad and Tobago",
ISNUMBER(SEARCH("rn""&gt;Serbia and Montenegro",S2786)),"Serbia and Montenegro",
ISNUMBER(SEARCH(_xlfn.UNICHAR(65533),S2786)),"Côte d'Ivoire",
TRUE,""
)</f>
        <v/>
      </c>
      <c r="W2786" s="40" t="str">
        <f t="shared" si="204"/>
        <v>Italy</v>
      </c>
    </row>
    <row r="2787" spans="19:23">
      <c r="S2787" s="40" t="str">
        <v>USA</v>
      </c>
      <c r="T2787" s="40" t="str">
        <f t="shared" si="202"/>
        <v>ERREUR</v>
      </c>
      <c r="U2787" s="40" t="str">
        <f t="shared" si="203"/>
        <v>RENOMMER</v>
      </c>
      <c r="V2787" s="40" t="str" cm="1">
        <f t="array" ref="V2787">_xlfn.IFS(
ISNUMBER(SEARCH("USA",S2787)),"United States",
ISNUMBER(SEARCH("Republic of Ireland",S2787)),"Ireland",
ISNUMBER(SEARCH("Republic of Korea",S2787)),"South Korea",
ISNUMBER(SEARCH("Cape Verde",S2787)),"Cabo Verde",
ISNUMBER(SEARCH("Czechia",S2787)),"Czech Republic",
ISNUMBER(SEARCH("Türkiye",S2787)),"Turkey",
ISNUMBER(SEARCH("Ivory Coast",S2787)),"Côte d'Ivoire",
ISNUMBER(SEARCH("Korea Republic",S2787)),"South Korea",
ISNUMBER(SEARCH("Germany FR",S2787)),"FR Germany",
ISNUMBER(SEARCH("West Germany",S2787)),"FR Germany",
ISNUMBER(SEARCH("Germany DR",S2787)),"DR Germany",
ISNUMBER(SEARCH("Korea DPR",S2787)),"North Korea",
ISNUMBER(SEARCH("China PR",S2787)),"China",
ISNUMBER(SEARCH("IR Iran",S2787)),"Iran",
ISNUMBER(SEARCH("Congo DR",S2787)),"Democratic Republic of the Congo",
ISNUMBER(SEARCH("DR Congo",S2787)),"Democratic Republic of the Congo",
ISNUMBER(SEARCH("German DR",S2787)),"DR Germany",
ISNUMBER(SEARCH("rn""&gt;United Arab Emirates",S2787)),"United Arab Emirates",
ISNUMBER(SEARCH("rn""&gt;Republic of Ireland",S2787)),"Ireland",
ISNUMBER(SEARCH("rn""&gt;Bosnia and Herzegovina",S2787)),"Bosnia and Herzegovina",
ISNUMBER(SEARCH("rn""&gt;Trinidad and Tobago",S2787)),"Trinidad and Tobago",
ISNUMBER(SEARCH("rn""&gt;Serbia and Montenegro",S2787)),"Serbia and Montenegro",
ISNUMBER(SEARCH(_xlfn.UNICHAR(65533),S2787)),"Côte d'Ivoire",
TRUE,""
)</f>
        <v>United States</v>
      </c>
      <c r="W2787" s="40" t="str">
        <f t="shared" si="204"/>
        <v>United States</v>
      </c>
    </row>
    <row r="2788" spans="19:23">
      <c r="S2788" s="40" t="str">
        <v>Brazil</v>
      </c>
      <c r="T2788" s="40" t="str">
        <f t="shared" si="202"/>
        <v>OK</v>
      </c>
      <c r="U2788" s="40" t="str">
        <f t="shared" si="203"/>
        <v>-</v>
      </c>
      <c r="V2788" s="40" t="str" cm="1">
        <f t="array" ref="V2788">_xlfn.IFS(
ISNUMBER(SEARCH("USA",S2788)),"United States",
ISNUMBER(SEARCH("Republic of Ireland",S2788)),"Ireland",
ISNUMBER(SEARCH("Republic of Korea",S2788)),"South Korea",
ISNUMBER(SEARCH("Cape Verde",S2788)),"Cabo Verde",
ISNUMBER(SEARCH("Czechia",S2788)),"Czech Republic",
ISNUMBER(SEARCH("Türkiye",S2788)),"Turkey",
ISNUMBER(SEARCH("Ivory Coast",S2788)),"Côte d'Ivoire",
ISNUMBER(SEARCH("Korea Republic",S2788)),"South Korea",
ISNUMBER(SEARCH("Germany FR",S2788)),"FR Germany",
ISNUMBER(SEARCH("West Germany",S2788)),"FR Germany",
ISNUMBER(SEARCH("Germany DR",S2788)),"DR Germany",
ISNUMBER(SEARCH("Korea DPR",S2788)),"North Korea",
ISNUMBER(SEARCH("China PR",S2788)),"China",
ISNUMBER(SEARCH("IR Iran",S2788)),"Iran",
ISNUMBER(SEARCH("Congo DR",S2788)),"Democratic Republic of the Congo",
ISNUMBER(SEARCH("DR Congo",S2788)),"Democratic Republic of the Congo",
ISNUMBER(SEARCH("German DR",S2788)),"DR Germany",
ISNUMBER(SEARCH("rn""&gt;United Arab Emirates",S2788)),"United Arab Emirates",
ISNUMBER(SEARCH("rn""&gt;Republic of Ireland",S2788)),"Ireland",
ISNUMBER(SEARCH("rn""&gt;Bosnia and Herzegovina",S2788)),"Bosnia and Herzegovina",
ISNUMBER(SEARCH("rn""&gt;Trinidad and Tobago",S2788)),"Trinidad and Tobago",
ISNUMBER(SEARCH("rn""&gt;Serbia and Montenegro",S2788)),"Serbia and Montenegro",
ISNUMBER(SEARCH(_xlfn.UNICHAR(65533),S2788)),"Côte d'Ivoire",
TRUE,""
)</f>
        <v/>
      </c>
      <c r="W2788" s="40" t="str">
        <f t="shared" si="204"/>
        <v>Brazil</v>
      </c>
    </row>
    <row r="2789" spans="19:23">
      <c r="S2789" s="40" t="str">
        <v>Germany FR</v>
      </c>
      <c r="T2789" s="40" t="str">
        <f t="shared" si="202"/>
        <v>ERREUR</v>
      </c>
      <c r="U2789" s="40" t="str">
        <f t="shared" si="203"/>
        <v>RENOMMER</v>
      </c>
      <c r="V2789" s="40" t="str" cm="1">
        <f t="array" ref="V2789">_xlfn.IFS(
ISNUMBER(SEARCH("USA",S2789)),"United States",
ISNUMBER(SEARCH("Republic of Ireland",S2789)),"Ireland",
ISNUMBER(SEARCH("Republic of Korea",S2789)),"South Korea",
ISNUMBER(SEARCH("Cape Verde",S2789)),"Cabo Verde",
ISNUMBER(SEARCH("Czechia",S2789)),"Czech Republic",
ISNUMBER(SEARCH("Türkiye",S2789)),"Turkey",
ISNUMBER(SEARCH("Ivory Coast",S2789)),"Côte d'Ivoire",
ISNUMBER(SEARCH("Korea Republic",S2789)),"South Korea",
ISNUMBER(SEARCH("Germany FR",S2789)),"FR Germany",
ISNUMBER(SEARCH("West Germany",S2789)),"FR Germany",
ISNUMBER(SEARCH("Germany DR",S2789)),"DR Germany",
ISNUMBER(SEARCH("Korea DPR",S2789)),"North Korea",
ISNUMBER(SEARCH("China PR",S2789)),"China",
ISNUMBER(SEARCH("IR Iran",S2789)),"Iran",
ISNUMBER(SEARCH("Congo DR",S2789)),"Democratic Republic of the Congo",
ISNUMBER(SEARCH("DR Congo",S2789)),"Democratic Republic of the Congo",
ISNUMBER(SEARCH("German DR",S2789)),"DR Germany",
ISNUMBER(SEARCH("rn""&gt;United Arab Emirates",S2789)),"United Arab Emirates",
ISNUMBER(SEARCH("rn""&gt;Republic of Ireland",S2789)),"Ireland",
ISNUMBER(SEARCH("rn""&gt;Bosnia and Herzegovina",S2789)),"Bosnia and Herzegovina",
ISNUMBER(SEARCH("rn""&gt;Trinidad and Tobago",S2789)),"Trinidad and Tobago",
ISNUMBER(SEARCH("rn""&gt;Serbia and Montenegro",S2789)),"Serbia and Montenegro",
ISNUMBER(SEARCH(_xlfn.UNICHAR(65533),S2789)),"Côte d'Ivoire",
TRUE,""
)</f>
        <v>FR Germany</v>
      </c>
      <c r="W2789" s="40" t="str">
        <f t="shared" si="204"/>
        <v>FR Germany</v>
      </c>
    </row>
    <row r="2790" spans="19:23">
      <c r="S2790" s="40" t="str">
        <v>Costa Rica</v>
      </c>
      <c r="T2790" s="40" t="str">
        <f t="shared" si="202"/>
        <v>OK</v>
      </c>
      <c r="U2790" s="40" t="str">
        <f t="shared" si="203"/>
        <v>-</v>
      </c>
      <c r="V2790" s="40" t="str" cm="1">
        <f t="array" ref="V2790">_xlfn.IFS(
ISNUMBER(SEARCH("USA",S2790)),"United States",
ISNUMBER(SEARCH("Republic of Ireland",S2790)),"Ireland",
ISNUMBER(SEARCH("Republic of Korea",S2790)),"South Korea",
ISNUMBER(SEARCH("Cape Verde",S2790)),"Cabo Verde",
ISNUMBER(SEARCH("Czechia",S2790)),"Czech Republic",
ISNUMBER(SEARCH("Türkiye",S2790)),"Turkey",
ISNUMBER(SEARCH("Ivory Coast",S2790)),"Côte d'Ivoire",
ISNUMBER(SEARCH("Korea Republic",S2790)),"South Korea",
ISNUMBER(SEARCH("Germany FR",S2790)),"FR Germany",
ISNUMBER(SEARCH("West Germany",S2790)),"FR Germany",
ISNUMBER(SEARCH("Germany DR",S2790)),"DR Germany",
ISNUMBER(SEARCH("Korea DPR",S2790)),"North Korea",
ISNUMBER(SEARCH("China PR",S2790)),"China",
ISNUMBER(SEARCH("IR Iran",S2790)),"Iran",
ISNUMBER(SEARCH("Congo DR",S2790)),"Democratic Republic of the Congo",
ISNUMBER(SEARCH("DR Congo",S2790)),"Democratic Republic of the Congo",
ISNUMBER(SEARCH("German DR",S2790)),"DR Germany",
ISNUMBER(SEARCH("rn""&gt;United Arab Emirates",S2790)),"United Arab Emirates",
ISNUMBER(SEARCH("rn""&gt;Republic of Ireland",S2790)),"Ireland",
ISNUMBER(SEARCH("rn""&gt;Bosnia and Herzegovina",S2790)),"Bosnia and Herzegovina",
ISNUMBER(SEARCH("rn""&gt;Trinidad and Tobago",S2790)),"Trinidad and Tobago",
ISNUMBER(SEARCH("rn""&gt;Serbia and Montenegro",S2790)),"Serbia and Montenegro",
ISNUMBER(SEARCH(_xlfn.UNICHAR(65533),S2790)),"Côte d'Ivoire",
TRUE,""
)</f>
        <v/>
      </c>
      <c r="W2790" s="40" t="str">
        <f t="shared" si="204"/>
        <v>Costa Rica</v>
      </c>
    </row>
    <row r="2791" spans="19:23">
      <c r="S2791" s="40" t="str">
        <v>England</v>
      </c>
      <c r="T2791" s="40" t="str">
        <f t="shared" si="202"/>
        <v>ERREUR</v>
      </c>
      <c r="U2791" s="40" t="str">
        <f t="shared" si="203"/>
        <v>AUCUNE</v>
      </c>
      <c r="V2791" s="40" t="str" cm="1">
        <f t="array" ref="V2791">_xlfn.IFS(
ISNUMBER(SEARCH("USA",S2791)),"United States",
ISNUMBER(SEARCH("Republic of Ireland",S2791)),"Ireland",
ISNUMBER(SEARCH("Republic of Korea",S2791)),"South Korea",
ISNUMBER(SEARCH("Cape Verde",S2791)),"Cabo Verde",
ISNUMBER(SEARCH("Czechia",S2791)),"Czech Republic",
ISNUMBER(SEARCH("Türkiye",S2791)),"Turkey",
ISNUMBER(SEARCH("Ivory Coast",S2791)),"Côte d'Ivoire",
ISNUMBER(SEARCH("Korea Republic",S2791)),"South Korea",
ISNUMBER(SEARCH("Germany FR",S2791)),"FR Germany",
ISNUMBER(SEARCH("West Germany",S2791)),"FR Germany",
ISNUMBER(SEARCH("Germany DR",S2791)),"DR Germany",
ISNUMBER(SEARCH("Korea DPR",S2791)),"North Korea",
ISNUMBER(SEARCH("China PR",S2791)),"China",
ISNUMBER(SEARCH("IR Iran",S2791)),"Iran",
ISNUMBER(SEARCH("Congo DR",S2791)),"Democratic Republic of the Congo",
ISNUMBER(SEARCH("DR Congo",S2791)),"Democratic Republic of the Congo",
ISNUMBER(SEARCH("German DR",S2791)),"DR Germany",
ISNUMBER(SEARCH("rn""&gt;United Arab Emirates",S2791)),"United Arab Emirates",
ISNUMBER(SEARCH("rn""&gt;Republic of Ireland",S2791)),"Ireland",
ISNUMBER(SEARCH("rn""&gt;Bosnia and Herzegovina",S2791)),"Bosnia and Herzegovina",
ISNUMBER(SEARCH("rn""&gt;Trinidad and Tobago",S2791)),"Trinidad and Tobago",
ISNUMBER(SEARCH("rn""&gt;Serbia and Montenegro",S2791)),"Serbia and Montenegro",
ISNUMBER(SEARCH(_xlfn.UNICHAR(65533),S2791)),"Côte d'Ivoire",
TRUE,""
)</f>
        <v/>
      </c>
      <c r="W2791" s="40" t="str">
        <f t="shared" si="204"/>
        <v>England</v>
      </c>
    </row>
    <row r="2792" spans="19:23">
      <c r="S2792" s="40" t="str">
        <v>Belgium</v>
      </c>
      <c r="T2792" s="40" t="str">
        <f t="shared" si="202"/>
        <v>OK</v>
      </c>
      <c r="U2792" s="40" t="str">
        <f t="shared" si="203"/>
        <v>-</v>
      </c>
      <c r="V2792" s="40" t="str" cm="1">
        <f t="array" ref="V2792">_xlfn.IFS(
ISNUMBER(SEARCH("USA",S2792)),"United States",
ISNUMBER(SEARCH("Republic of Ireland",S2792)),"Ireland",
ISNUMBER(SEARCH("Republic of Korea",S2792)),"South Korea",
ISNUMBER(SEARCH("Cape Verde",S2792)),"Cabo Verde",
ISNUMBER(SEARCH("Czechia",S2792)),"Czech Republic",
ISNUMBER(SEARCH("Türkiye",S2792)),"Turkey",
ISNUMBER(SEARCH("Ivory Coast",S2792)),"Côte d'Ivoire",
ISNUMBER(SEARCH("Korea Republic",S2792)),"South Korea",
ISNUMBER(SEARCH("Germany FR",S2792)),"FR Germany",
ISNUMBER(SEARCH("West Germany",S2792)),"FR Germany",
ISNUMBER(SEARCH("Germany DR",S2792)),"DR Germany",
ISNUMBER(SEARCH("Korea DPR",S2792)),"North Korea",
ISNUMBER(SEARCH("China PR",S2792)),"China",
ISNUMBER(SEARCH("IR Iran",S2792)),"Iran",
ISNUMBER(SEARCH("Congo DR",S2792)),"Democratic Republic of the Congo",
ISNUMBER(SEARCH("DR Congo",S2792)),"Democratic Republic of the Congo",
ISNUMBER(SEARCH("German DR",S2792)),"DR Germany",
ISNUMBER(SEARCH("rn""&gt;United Arab Emirates",S2792)),"United Arab Emirates",
ISNUMBER(SEARCH("rn""&gt;Republic of Ireland",S2792)),"Ireland",
ISNUMBER(SEARCH("rn""&gt;Bosnia and Herzegovina",S2792)),"Bosnia and Herzegovina",
ISNUMBER(SEARCH("rn""&gt;Trinidad and Tobago",S2792)),"Trinidad and Tobago",
ISNUMBER(SEARCH("rn""&gt;Serbia and Montenegro",S2792)),"Serbia and Montenegro",
ISNUMBER(SEARCH(_xlfn.UNICHAR(65533),S2792)),"Côte d'Ivoire",
TRUE,""
)</f>
        <v/>
      </c>
      <c r="W2792" s="40" t="str">
        <f t="shared" si="204"/>
        <v>Belgium</v>
      </c>
    </row>
    <row r="2793" spans="19:23">
      <c r="S2793" s="40" t="str">
        <v>Netherlands</v>
      </c>
      <c r="T2793" s="40" t="str">
        <f t="shared" si="202"/>
        <v>OK</v>
      </c>
      <c r="U2793" s="40" t="str">
        <f t="shared" si="203"/>
        <v>-</v>
      </c>
      <c r="V2793" s="40" t="str" cm="1">
        <f t="array" ref="V2793">_xlfn.IFS(
ISNUMBER(SEARCH("USA",S2793)),"United States",
ISNUMBER(SEARCH("Republic of Ireland",S2793)),"Ireland",
ISNUMBER(SEARCH("Republic of Korea",S2793)),"South Korea",
ISNUMBER(SEARCH("Cape Verde",S2793)),"Cabo Verde",
ISNUMBER(SEARCH("Czechia",S2793)),"Czech Republic",
ISNUMBER(SEARCH("Türkiye",S2793)),"Turkey",
ISNUMBER(SEARCH("Ivory Coast",S2793)),"Côte d'Ivoire",
ISNUMBER(SEARCH("Korea Republic",S2793)),"South Korea",
ISNUMBER(SEARCH("Germany FR",S2793)),"FR Germany",
ISNUMBER(SEARCH("West Germany",S2793)),"FR Germany",
ISNUMBER(SEARCH("Germany DR",S2793)),"DR Germany",
ISNUMBER(SEARCH("Korea DPR",S2793)),"North Korea",
ISNUMBER(SEARCH("China PR",S2793)),"China",
ISNUMBER(SEARCH("IR Iran",S2793)),"Iran",
ISNUMBER(SEARCH("Congo DR",S2793)),"Democratic Republic of the Congo",
ISNUMBER(SEARCH("DR Congo",S2793)),"Democratic Republic of the Congo",
ISNUMBER(SEARCH("German DR",S2793)),"DR Germany",
ISNUMBER(SEARCH("rn""&gt;United Arab Emirates",S2793)),"United Arab Emirates",
ISNUMBER(SEARCH("rn""&gt;Republic of Ireland",S2793)),"Ireland",
ISNUMBER(SEARCH("rn""&gt;Bosnia and Herzegovina",S2793)),"Bosnia and Herzegovina",
ISNUMBER(SEARCH("rn""&gt;Trinidad and Tobago",S2793)),"Trinidad and Tobago",
ISNUMBER(SEARCH("rn""&gt;Serbia and Montenegro",S2793)),"Serbia and Montenegro",
ISNUMBER(SEARCH(_xlfn.UNICHAR(65533),S2793)),"Côte d'Ivoire",
TRUE,""
)</f>
        <v/>
      </c>
      <c r="W2793" s="40" t="str">
        <f t="shared" si="204"/>
        <v>Netherlands</v>
      </c>
    </row>
    <row r="2794" spans="19:23">
      <c r="S2794" s="40" t="str">
        <v>Uruguay</v>
      </c>
      <c r="T2794" s="40" t="str">
        <f t="shared" si="202"/>
        <v>OK</v>
      </c>
      <c r="U2794" s="40" t="str">
        <f t="shared" si="203"/>
        <v>-</v>
      </c>
      <c r="V2794" s="40" t="str" cm="1">
        <f t="array" ref="V2794">_xlfn.IFS(
ISNUMBER(SEARCH("USA",S2794)),"United States",
ISNUMBER(SEARCH("Republic of Ireland",S2794)),"Ireland",
ISNUMBER(SEARCH("Republic of Korea",S2794)),"South Korea",
ISNUMBER(SEARCH("Cape Verde",S2794)),"Cabo Verde",
ISNUMBER(SEARCH("Czechia",S2794)),"Czech Republic",
ISNUMBER(SEARCH("Türkiye",S2794)),"Turkey",
ISNUMBER(SEARCH("Ivory Coast",S2794)),"Côte d'Ivoire",
ISNUMBER(SEARCH("Korea Republic",S2794)),"South Korea",
ISNUMBER(SEARCH("Germany FR",S2794)),"FR Germany",
ISNUMBER(SEARCH("West Germany",S2794)),"FR Germany",
ISNUMBER(SEARCH("Germany DR",S2794)),"DR Germany",
ISNUMBER(SEARCH("Korea DPR",S2794)),"North Korea",
ISNUMBER(SEARCH("China PR",S2794)),"China",
ISNUMBER(SEARCH("IR Iran",S2794)),"Iran",
ISNUMBER(SEARCH("Congo DR",S2794)),"Democratic Republic of the Congo",
ISNUMBER(SEARCH("DR Congo",S2794)),"Democratic Republic of the Congo",
ISNUMBER(SEARCH("German DR",S2794)),"DR Germany",
ISNUMBER(SEARCH("rn""&gt;United Arab Emirates",S2794)),"United Arab Emirates",
ISNUMBER(SEARCH("rn""&gt;Republic of Ireland",S2794)),"Ireland",
ISNUMBER(SEARCH("rn""&gt;Bosnia and Herzegovina",S2794)),"Bosnia and Herzegovina",
ISNUMBER(SEARCH("rn""&gt;Trinidad and Tobago",S2794)),"Trinidad and Tobago",
ISNUMBER(SEARCH("rn""&gt;Serbia and Montenegro",S2794)),"Serbia and Montenegro",
ISNUMBER(SEARCH(_xlfn.UNICHAR(65533),S2794)),"Côte d'Ivoire",
TRUE,""
)</f>
        <v/>
      </c>
      <c r="W2794" s="40" t="str">
        <f t="shared" si="204"/>
        <v>Uruguay</v>
      </c>
    </row>
    <row r="2795" spans="19:23">
      <c r="S2795" s="40" t="str">
        <v>Argentina</v>
      </c>
      <c r="T2795" s="40" t="str">
        <f t="shared" si="202"/>
        <v>OK</v>
      </c>
      <c r="U2795" s="40" t="str">
        <f t="shared" si="203"/>
        <v>-</v>
      </c>
      <c r="V2795" s="40" t="str" cm="1">
        <f t="array" ref="V2795">_xlfn.IFS(
ISNUMBER(SEARCH("USA",S2795)),"United States",
ISNUMBER(SEARCH("Republic of Ireland",S2795)),"Ireland",
ISNUMBER(SEARCH("Republic of Korea",S2795)),"South Korea",
ISNUMBER(SEARCH("Cape Verde",S2795)),"Cabo Verde",
ISNUMBER(SEARCH("Czechia",S2795)),"Czech Republic",
ISNUMBER(SEARCH("Türkiye",S2795)),"Turkey",
ISNUMBER(SEARCH("Ivory Coast",S2795)),"Côte d'Ivoire",
ISNUMBER(SEARCH("Korea Republic",S2795)),"South Korea",
ISNUMBER(SEARCH("Germany FR",S2795)),"FR Germany",
ISNUMBER(SEARCH("West Germany",S2795)),"FR Germany",
ISNUMBER(SEARCH("Germany DR",S2795)),"DR Germany",
ISNUMBER(SEARCH("Korea DPR",S2795)),"North Korea",
ISNUMBER(SEARCH("China PR",S2795)),"China",
ISNUMBER(SEARCH("IR Iran",S2795)),"Iran",
ISNUMBER(SEARCH("Congo DR",S2795)),"Democratic Republic of the Congo",
ISNUMBER(SEARCH("DR Congo",S2795)),"Democratic Republic of the Congo",
ISNUMBER(SEARCH("German DR",S2795)),"DR Germany",
ISNUMBER(SEARCH("rn""&gt;United Arab Emirates",S2795)),"United Arab Emirates",
ISNUMBER(SEARCH("rn""&gt;Republic of Ireland",S2795)),"Ireland",
ISNUMBER(SEARCH("rn""&gt;Bosnia and Herzegovina",S2795)),"Bosnia and Herzegovina",
ISNUMBER(SEARCH("rn""&gt;Trinidad and Tobago",S2795)),"Trinidad and Tobago",
ISNUMBER(SEARCH("rn""&gt;Serbia and Montenegro",S2795)),"Serbia and Montenegro",
ISNUMBER(SEARCH(_xlfn.UNICHAR(65533),S2795)),"Côte d'Ivoire",
TRUE,""
)</f>
        <v/>
      </c>
      <c r="W2795" s="40" t="str">
        <f t="shared" si="204"/>
        <v>Argentina</v>
      </c>
    </row>
    <row r="2796" spans="19:23">
      <c r="S2796" s="40" t="str">
        <v>Cameroon</v>
      </c>
      <c r="T2796" s="40" t="str">
        <f t="shared" si="202"/>
        <v>OK</v>
      </c>
      <c r="U2796" s="40" t="str">
        <f t="shared" si="203"/>
        <v>-</v>
      </c>
      <c r="V2796" s="40" t="str" cm="1">
        <f t="array" ref="V2796">_xlfn.IFS(
ISNUMBER(SEARCH("USA",S2796)),"United States",
ISNUMBER(SEARCH("Republic of Ireland",S2796)),"Ireland",
ISNUMBER(SEARCH("Republic of Korea",S2796)),"South Korea",
ISNUMBER(SEARCH("Cape Verde",S2796)),"Cabo Verde",
ISNUMBER(SEARCH("Czechia",S2796)),"Czech Republic",
ISNUMBER(SEARCH("Türkiye",S2796)),"Turkey",
ISNUMBER(SEARCH("Ivory Coast",S2796)),"Côte d'Ivoire",
ISNUMBER(SEARCH("Korea Republic",S2796)),"South Korea",
ISNUMBER(SEARCH("Germany FR",S2796)),"FR Germany",
ISNUMBER(SEARCH("West Germany",S2796)),"FR Germany",
ISNUMBER(SEARCH("Germany DR",S2796)),"DR Germany",
ISNUMBER(SEARCH("Korea DPR",S2796)),"North Korea",
ISNUMBER(SEARCH("China PR",S2796)),"China",
ISNUMBER(SEARCH("IR Iran",S2796)),"Iran",
ISNUMBER(SEARCH("Congo DR",S2796)),"Democratic Republic of the Congo",
ISNUMBER(SEARCH("DR Congo",S2796)),"Democratic Republic of the Congo",
ISNUMBER(SEARCH("German DR",S2796)),"DR Germany",
ISNUMBER(SEARCH("rn""&gt;United Arab Emirates",S2796)),"United Arab Emirates",
ISNUMBER(SEARCH("rn""&gt;Republic of Ireland",S2796)),"Ireland",
ISNUMBER(SEARCH("rn""&gt;Bosnia and Herzegovina",S2796)),"Bosnia and Herzegovina",
ISNUMBER(SEARCH("rn""&gt;Trinidad and Tobago",S2796)),"Trinidad and Tobago",
ISNUMBER(SEARCH("rn""&gt;Serbia and Montenegro",S2796)),"Serbia and Montenegro",
ISNUMBER(SEARCH(_xlfn.UNICHAR(65533),S2796)),"Côte d'Ivoire",
TRUE,""
)</f>
        <v/>
      </c>
      <c r="W2796" s="40" t="str">
        <f t="shared" si="204"/>
        <v>Cameroon</v>
      </c>
    </row>
    <row r="2797" spans="19:23">
      <c r="S2797" s="40" t="str">
        <v>Yugoslavia</v>
      </c>
      <c r="T2797" s="40" t="str">
        <f t="shared" si="202"/>
        <v>ERREUR</v>
      </c>
      <c r="U2797" s="40" t="str">
        <f t="shared" si="203"/>
        <v>AUCUNE</v>
      </c>
      <c r="V2797" s="40" t="str" cm="1">
        <f t="array" ref="V2797">_xlfn.IFS(
ISNUMBER(SEARCH("USA",S2797)),"United States",
ISNUMBER(SEARCH("Republic of Ireland",S2797)),"Ireland",
ISNUMBER(SEARCH("Republic of Korea",S2797)),"South Korea",
ISNUMBER(SEARCH("Cape Verde",S2797)),"Cabo Verde",
ISNUMBER(SEARCH("Czechia",S2797)),"Czech Republic",
ISNUMBER(SEARCH("Türkiye",S2797)),"Turkey",
ISNUMBER(SEARCH("Ivory Coast",S2797)),"Côte d'Ivoire",
ISNUMBER(SEARCH("Korea Republic",S2797)),"South Korea",
ISNUMBER(SEARCH("Germany FR",S2797)),"FR Germany",
ISNUMBER(SEARCH("West Germany",S2797)),"FR Germany",
ISNUMBER(SEARCH("Germany DR",S2797)),"DR Germany",
ISNUMBER(SEARCH("Korea DPR",S2797)),"North Korea",
ISNUMBER(SEARCH("China PR",S2797)),"China",
ISNUMBER(SEARCH("IR Iran",S2797)),"Iran",
ISNUMBER(SEARCH("Congo DR",S2797)),"Democratic Republic of the Congo",
ISNUMBER(SEARCH("DR Congo",S2797)),"Democratic Republic of the Congo",
ISNUMBER(SEARCH("German DR",S2797)),"DR Germany",
ISNUMBER(SEARCH("rn""&gt;United Arab Emirates",S2797)),"United Arab Emirates",
ISNUMBER(SEARCH("rn""&gt;Republic of Ireland",S2797)),"Ireland",
ISNUMBER(SEARCH("rn""&gt;Bosnia and Herzegovina",S2797)),"Bosnia and Herzegovina",
ISNUMBER(SEARCH("rn""&gt;Trinidad and Tobago",S2797)),"Trinidad and Tobago",
ISNUMBER(SEARCH("rn""&gt;Serbia and Montenegro",S2797)),"Serbia and Montenegro",
ISNUMBER(SEARCH(_xlfn.UNICHAR(65533),S2797)),"Côte d'Ivoire",
TRUE,""
)</f>
        <v/>
      </c>
      <c r="W2797" s="40" t="str">
        <f t="shared" si="204"/>
        <v>Yugoslavia</v>
      </c>
    </row>
    <row r="2798" spans="19:23">
      <c r="S2798" s="40" t="str">
        <v>Italy</v>
      </c>
      <c r="T2798" s="40" t="str">
        <f t="shared" si="202"/>
        <v>OK</v>
      </c>
      <c r="U2798" s="40" t="str">
        <f t="shared" si="203"/>
        <v>-</v>
      </c>
      <c r="V2798" s="40" t="str" cm="1">
        <f t="array" ref="V2798">_xlfn.IFS(
ISNUMBER(SEARCH("USA",S2798)),"United States",
ISNUMBER(SEARCH("Republic of Ireland",S2798)),"Ireland",
ISNUMBER(SEARCH("Republic of Korea",S2798)),"South Korea",
ISNUMBER(SEARCH("Cape Verde",S2798)),"Cabo Verde",
ISNUMBER(SEARCH("Czechia",S2798)),"Czech Republic",
ISNUMBER(SEARCH("Türkiye",S2798)),"Turkey",
ISNUMBER(SEARCH("Ivory Coast",S2798)),"Côte d'Ivoire",
ISNUMBER(SEARCH("Korea Republic",S2798)),"South Korea",
ISNUMBER(SEARCH("Germany FR",S2798)),"FR Germany",
ISNUMBER(SEARCH("West Germany",S2798)),"FR Germany",
ISNUMBER(SEARCH("Germany DR",S2798)),"DR Germany",
ISNUMBER(SEARCH("Korea DPR",S2798)),"North Korea",
ISNUMBER(SEARCH("China PR",S2798)),"China",
ISNUMBER(SEARCH("IR Iran",S2798)),"Iran",
ISNUMBER(SEARCH("Congo DR",S2798)),"Democratic Republic of the Congo",
ISNUMBER(SEARCH("DR Congo",S2798)),"Democratic Republic of the Congo",
ISNUMBER(SEARCH("German DR",S2798)),"DR Germany",
ISNUMBER(SEARCH("rn""&gt;United Arab Emirates",S2798)),"United Arab Emirates",
ISNUMBER(SEARCH("rn""&gt;Republic of Ireland",S2798)),"Ireland",
ISNUMBER(SEARCH("rn""&gt;Bosnia and Herzegovina",S2798)),"Bosnia and Herzegovina",
ISNUMBER(SEARCH("rn""&gt;Trinidad and Tobago",S2798)),"Trinidad and Tobago",
ISNUMBER(SEARCH("rn""&gt;Serbia and Montenegro",S2798)),"Serbia and Montenegro",
ISNUMBER(SEARCH(_xlfn.UNICHAR(65533),S2798)),"Côte d'Ivoire",
TRUE,""
)</f>
        <v/>
      </c>
      <c r="W2798" s="40" t="str">
        <f t="shared" si="204"/>
        <v>Italy</v>
      </c>
    </row>
    <row r="2799" spans="19:23">
      <c r="S2799" s="40" t="str">
        <v>Austria</v>
      </c>
      <c r="T2799" s="40" t="str">
        <f t="shared" si="202"/>
        <v>OK</v>
      </c>
      <c r="U2799" s="40" t="str">
        <f t="shared" si="203"/>
        <v>-</v>
      </c>
      <c r="V2799" s="40" t="str" cm="1">
        <f t="array" ref="V2799">_xlfn.IFS(
ISNUMBER(SEARCH("USA",S2799)),"United States",
ISNUMBER(SEARCH("Republic of Ireland",S2799)),"Ireland",
ISNUMBER(SEARCH("Republic of Korea",S2799)),"South Korea",
ISNUMBER(SEARCH("Cape Verde",S2799)),"Cabo Verde",
ISNUMBER(SEARCH("Czechia",S2799)),"Czech Republic",
ISNUMBER(SEARCH("Türkiye",S2799)),"Turkey",
ISNUMBER(SEARCH("Ivory Coast",S2799)),"Côte d'Ivoire",
ISNUMBER(SEARCH("Korea Republic",S2799)),"South Korea",
ISNUMBER(SEARCH("Germany FR",S2799)),"FR Germany",
ISNUMBER(SEARCH("West Germany",S2799)),"FR Germany",
ISNUMBER(SEARCH("Germany DR",S2799)),"DR Germany",
ISNUMBER(SEARCH("Korea DPR",S2799)),"North Korea",
ISNUMBER(SEARCH("China PR",S2799)),"China",
ISNUMBER(SEARCH("IR Iran",S2799)),"Iran",
ISNUMBER(SEARCH("Congo DR",S2799)),"Democratic Republic of the Congo",
ISNUMBER(SEARCH("DR Congo",S2799)),"Democratic Republic of the Congo",
ISNUMBER(SEARCH("German DR",S2799)),"DR Germany",
ISNUMBER(SEARCH("rn""&gt;United Arab Emirates",S2799)),"United Arab Emirates",
ISNUMBER(SEARCH("rn""&gt;Republic of Ireland",S2799)),"Ireland",
ISNUMBER(SEARCH("rn""&gt;Bosnia and Herzegovina",S2799)),"Bosnia and Herzegovina",
ISNUMBER(SEARCH("rn""&gt;Trinidad and Tobago",S2799)),"Trinidad and Tobago",
ISNUMBER(SEARCH("rn""&gt;Serbia and Montenegro",S2799)),"Serbia and Montenegro",
ISNUMBER(SEARCH(_xlfn.UNICHAR(65533),S2799)),"Côte d'Ivoire",
TRUE,""
)</f>
        <v/>
      </c>
      <c r="W2799" s="40" t="str">
        <f t="shared" si="204"/>
        <v>Austria</v>
      </c>
    </row>
    <row r="2800" spans="19:23">
      <c r="S2800" s="40" t="str">
        <v>Germany FR</v>
      </c>
      <c r="T2800" s="40" t="str">
        <f t="shared" si="202"/>
        <v>ERREUR</v>
      </c>
      <c r="U2800" s="40" t="str">
        <f t="shared" si="203"/>
        <v>RENOMMER</v>
      </c>
      <c r="V2800" s="40" t="str" cm="1">
        <f t="array" ref="V2800">_xlfn.IFS(
ISNUMBER(SEARCH("USA",S2800)),"United States",
ISNUMBER(SEARCH("Republic of Ireland",S2800)),"Ireland",
ISNUMBER(SEARCH("Republic of Korea",S2800)),"South Korea",
ISNUMBER(SEARCH("Cape Verde",S2800)),"Cabo Verde",
ISNUMBER(SEARCH("Czechia",S2800)),"Czech Republic",
ISNUMBER(SEARCH("Türkiye",S2800)),"Turkey",
ISNUMBER(SEARCH("Ivory Coast",S2800)),"Côte d'Ivoire",
ISNUMBER(SEARCH("Korea Republic",S2800)),"South Korea",
ISNUMBER(SEARCH("Germany FR",S2800)),"FR Germany",
ISNUMBER(SEARCH("West Germany",S2800)),"FR Germany",
ISNUMBER(SEARCH("Germany DR",S2800)),"DR Germany",
ISNUMBER(SEARCH("Korea DPR",S2800)),"North Korea",
ISNUMBER(SEARCH("China PR",S2800)),"China",
ISNUMBER(SEARCH("IR Iran",S2800)),"Iran",
ISNUMBER(SEARCH("Congo DR",S2800)),"Democratic Republic of the Congo",
ISNUMBER(SEARCH("DR Congo",S2800)),"Democratic Republic of the Congo",
ISNUMBER(SEARCH("German DR",S2800)),"DR Germany",
ISNUMBER(SEARCH("rn""&gt;United Arab Emirates",S2800)),"United Arab Emirates",
ISNUMBER(SEARCH("rn""&gt;Republic of Ireland",S2800)),"Ireland",
ISNUMBER(SEARCH("rn""&gt;Bosnia and Herzegovina",S2800)),"Bosnia and Herzegovina",
ISNUMBER(SEARCH("rn""&gt;Trinidad and Tobago",S2800)),"Trinidad and Tobago",
ISNUMBER(SEARCH("rn""&gt;Serbia and Montenegro",S2800)),"Serbia and Montenegro",
ISNUMBER(SEARCH(_xlfn.UNICHAR(65533),S2800)),"Côte d'Ivoire",
TRUE,""
)</f>
        <v>FR Germany</v>
      </c>
      <c r="W2800" s="40" t="str">
        <f t="shared" si="204"/>
        <v>FR Germany</v>
      </c>
    </row>
    <row r="2801" spans="19:23">
      <c r="S2801" s="40" t="str">
        <v>Brazil</v>
      </c>
      <c r="T2801" s="40" t="str">
        <f t="shared" si="202"/>
        <v>OK</v>
      </c>
      <c r="U2801" s="40" t="str">
        <f t="shared" si="203"/>
        <v>-</v>
      </c>
      <c r="V2801" s="40" t="str" cm="1">
        <f t="array" ref="V2801">_xlfn.IFS(
ISNUMBER(SEARCH("USA",S2801)),"United States",
ISNUMBER(SEARCH("Republic of Ireland",S2801)),"Ireland",
ISNUMBER(SEARCH("Republic of Korea",S2801)),"South Korea",
ISNUMBER(SEARCH("Cape Verde",S2801)),"Cabo Verde",
ISNUMBER(SEARCH("Czechia",S2801)),"Czech Republic",
ISNUMBER(SEARCH("Türkiye",S2801)),"Turkey",
ISNUMBER(SEARCH("Ivory Coast",S2801)),"Côte d'Ivoire",
ISNUMBER(SEARCH("Korea Republic",S2801)),"South Korea",
ISNUMBER(SEARCH("Germany FR",S2801)),"FR Germany",
ISNUMBER(SEARCH("West Germany",S2801)),"FR Germany",
ISNUMBER(SEARCH("Germany DR",S2801)),"DR Germany",
ISNUMBER(SEARCH("Korea DPR",S2801)),"North Korea",
ISNUMBER(SEARCH("China PR",S2801)),"China",
ISNUMBER(SEARCH("IR Iran",S2801)),"Iran",
ISNUMBER(SEARCH("Congo DR",S2801)),"Democratic Republic of the Congo",
ISNUMBER(SEARCH("DR Congo",S2801)),"Democratic Republic of the Congo",
ISNUMBER(SEARCH("German DR",S2801)),"DR Germany",
ISNUMBER(SEARCH("rn""&gt;United Arab Emirates",S2801)),"United Arab Emirates",
ISNUMBER(SEARCH("rn""&gt;Republic of Ireland",S2801)),"Ireland",
ISNUMBER(SEARCH("rn""&gt;Bosnia and Herzegovina",S2801)),"Bosnia and Herzegovina",
ISNUMBER(SEARCH("rn""&gt;Trinidad and Tobago",S2801)),"Trinidad and Tobago",
ISNUMBER(SEARCH("rn""&gt;Serbia and Montenegro",S2801)),"Serbia and Montenegro",
ISNUMBER(SEARCH(_xlfn.UNICHAR(65533),S2801)),"Côte d'Ivoire",
TRUE,""
)</f>
        <v/>
      </c>
      <c r="W2801" s="40" t="str">
        <f t="shared" si="204"/>
        <v>Brazil</v>
      </c>
    </row>
    <row r="2802" spans="19:23">
      <c r="S2802" s="40" t="str">
        <v>Sweden</v>
      </c>
      <c r="T2802" s="40" t="str">
        <f t="shared" si="202"/>
        <v>OK</v>
      </c>
      <c r="U2802" s="40" t="str">
        <f t="shared" si="203"/>
        <v>-</v>
      </c>
      <c r="V2802" s="40" t="str" cm="1">
        <f t="array" ref="V2802">_xlfn.IFS(
ISNUMBER(SEARCH("USA",S2802)),"United States",
ISNUMBER(SEARCH("Republic of Ireland",S2802)),"Ireland",
ISNUMBER(SEARCH("Republic of Korea",S2802)),"South Korea",
ISNUMBER(SEARCH("Cape Verde",S2802)),"Cabo Verde",
ISNUMBER(SEARCH("Czechia",S2802)),"Czech Republic",
ISNUMBER(SEARCH("Türkiye",S2802)),"Turkey",
ISNUMBER(SEARCH("Ivory Coast",S2802)),"Côte d'Ivoire",
ISNUMBER(SEARCH("Korea Republic",S2802)),"South Korea",
ISNUMBER(SEARCH("Germany FR",S2802)),"FR Germany",
ISNUMBER(SEARCH("West Germany",S2802)),"FR Germany",
ISNUMBER(SEARCH("Germany DR",S2802)),"DR Germany",
ISNUMBER(SEARCH("Korea DPR",S2802)),"North Korea",
ISNUMBER(SEARCH("China PR",S2802)),"China",
ISNUMBER(SEARCH("IR Iran",S2802)),"Iran",
ISNUMBER(SEARCH("Congo DR",S2802)),"Democratic Republic of the Congo",
ISNUMBER(SEARCH("DR Congo",S2802)),"Democratic Republic of the Congo",
ISNUMBER(SEARCH("German DR",S2802)),"DR Germany",
ISNUMBER(SEARCH("rn""&gt;United Arab Emirates",S2802)),"United Arab Emirates",
ISNUMBER(SEARCH("rn""&gt;Republic of Ireland",S2802)),"Ireland",
ISNUMBER(SEARCH("rn""&gt;Bosnia and Herzegovina",S2802)),"Bosnia and Herzegovina",
ISNUMBER(SEARCH("rn""&gt;Trinidad and Tobago",S2802)),"Trinidad and Tobago",
ISNUMBER(SEARCH("rn""&gt;Serbia and Montenegro",S2802)),"Serbia and Montenegro",
ISNUMBER(SEARCH(_xlfn.UNICHAR(65533),S2802)),"Côte d'Ivoire",
TRUE,""
)</f>
        <v/>
      </c>
      <c r="W2802" s="40" t="str">
        <f t="shared" si="204"/>
        <v>Sweden</v>
      </c>
    </row>
    <row r="2803" spans="19:23">
      <c r="S2803" s="40" t="str">
        <v>England</v>
      </c>
      <c r="T2803" s="40" t="str">
        <f t="shared" si="202"/>
        <v>ERREUR</v>
      </c>
      <c r="U2803" s="40" t="str">
        <f t="shared" si="203"/>
        <v>AUCUNE</v>
      </c>
      <c r="V2803" s="40" t="str" cm="1">
        <f t="array" ref="V2803">_xlfn.IFS(
ISNUMBER(SEARCH("USA",S2803)),"United States",
ISNUMBER(SEARCH("Republic of Ireland",S2803)),"Ireland",
ISNUMBER(SEARCH("Republic of Korea",S2803)),"South Korea",
ISNUMBER(SEARCH("Cape Verde",S2803)),"Cabo Verde",
ISNUMBER(SEARCH("Czechia",S2803)),"Czech Republic",
ISNUMBER(SEARCH("Türkiye",S2803)),"Turkey",
ISNUMBER(SEARCH("Ivory Coast",S2803)),"Côte d'Ivoire",
ISNUMBER(SEARCH("Korea Republic",S2803)),"South Korea",
ISNUMBER(SEARCH("Germany FR",S2803)),"FR Germany",
ISNUMBER(SEARCH("West Germany",S2803)),"FR Germany",
ISNUMBER(SEARCH("Germany DR",S2803)),"DR Germany",
ISNUMBER(SEARCH("Korea DPR",S2803)),"North Korea",
ISNUMBER(SEARCH("China PR",S2803)),"China",
ISNUMBER(SEARCH("IR Iran",S2803)),"Iran",
ISNUMBER(SEARCH("Congo DR",S2803)),"Democratic Republic of the Congo",
ISNUMBER(SEARCH("DR Congo",S2803)),"Democratic Republic of the Congo",
ISNUMBER(SEARCH("German DR",S2803)),"DR Germany",
ISNUMBER(SEARCH("rn""&gt;United Arab Emirates",S2803)),"United Arab Emirates",
ISNUMBER(SEARCH("rn""&gt;Republic of Ireland",S2803)),"Ireland",
ISNUMBER(SEARCH("rn""&gt;Bosnia and Herzegovina",S2803)),"Bosnia and Herzegovina",
ISNUMBER(SEARCH("rn""&gt;Trinidad and Tobago",S2803)),"Trinidad and Tobago",
ISNUMBER(SEARCH("rn""&gt;Serbia and Montenegro",S2803)),"Serbia and Montenegro",
ISNUMBER(SEARCH(_xlfn.UNICHAR(65533),S2803)),"Côte d'Ivoire",
TRUE,""
)</f>
        <v/>
      </c>
      <c r="W2803" s="40" t="str">
        <f t="shared" si="204"/>
        <v>England</v>
      </c>
    </row>
    <row r="2804" spans="19:23">
      <c r="S2804" s="40" t="str">
        <v>rn"&gt;Republic of Ireland</v>
      </c>
      <c r="T2804" s="40" t="str">
        <f t="shared" si="202"/>
        <v>ERREUR</v>
      </c>
      <c r="U2804" s="40" t="str">
        <f t="shared" si="203"/>
        <v>RENOMMER</v>
      </c>
      <c r="V2804" s="40" t="str" cm="1">
        <f t="array" ref="V2804">_xlfn.IFS(
ISNUMBER(SEARCH("USA",S2804)),"United States",
ISNUMBER(SEARCH("Republic of Ireland",S2804)),"Ireland",
ISNUMBER(SEARCH("Republic of Korea",S2804)),"South Korea",
ISNUMBER(SEARCH("Cape Verde",S2804)),"Cabo Verde",
ISNUMBER(SEARCH("Czechia",S2804)),"Czech Republic",
ISNUMBER(SEARCH("Türkiye",S2804)),"Turkey",
ISNUMBER(SEARCH("Ivory Coast",S2804)),"Côte d'Ivoire",
ISNUMBER(SEARCH("Korea Republic",S2804)),"South Korea",
ISNUMBER(SEARCH("Germany FR",S2804)),"FR Germany",
ISNUMBER(SEARCH("West Germany",S2804)),"FR Germany",
ISNUMBER(SEARCH("Germany DR",S2804)),"DR Germany",
ISNUMBER(SEARCH("Korea DPR",S2804)),"North Korea",
ISNUMBER(SEARCH("China PR",S2804)),"China",
ISNUMBER(SEARCH("IR Iran",S2804)),"Iran",
ISNUMBER(SEARCH("Congo DR",S2804)),"Democratic Republic of the Congo",
ISNUMBER(SEARCH("DR Congo",S2804)),"Democratic Republic of the Congo",
ISNUMBER(SEARCH("German DR",S2804)),"DR Germany",
ISNUMBER(SEARCH("rn""&gt;United Arab Emirates",S2804)),"United Arab Emirates",
ISNUMBER(SEARCH("rn""&gt;Republic of Ireland",S2804)),"Ireland",
ISNUMBER(SEARCH("rn""&gt;Bosnia and Herzegovina",S2804)),"Bosnia and Herzegovina",
ISNUMBER(SEARCH("rn""&gt;Trinidad and Tobago",S2804)),"Trinidad and Tobago",
ISNUMBER(SEARCH("rn""&gt;Serbia and Montenegro",S2804)),"Serbia and Montenegro",
ISNUMBER(SEARCH(_xlfn.UNICHAR(65533),S2804)),"Côte d'Ivoire",
TRUE,""
)</f>
        <v>Ireland</v>
      </c>
      <c r="W2804" s="40" t="str">
        <f t="shared" si="204"/>
        <v>Ireland</v>
      </c>
    </row>
    <row r="2805" spans="19:23">
      <c r="S2805" s="40" t="str">
        <v>Korea Republic</v>
      </c>
      <c r="T2805" s="40" t="str">
        <f t="shared" si="202"/>
        <v>ERREUR</v>
      </c>
      <c r="U2805" s="40" t="str">
        <f t="shared" si="203"/>
        <v>RENOMMER</v>
      </c>
      <c r="V2805" s="40" t="str" cm="1">
        <f t="array" ref="V2805">_xlfn.IFS(
ISNUMBER(SEARCH("USA",S2805)),"United States",
ISNUMBER(SEARCH("Republic of Ireland",S2805)),"Ireland",
ISNUMBER(SEARCH("Republic of Korea",S2805)),"South Korea",
ISNUMBER(SEARCH("Cape Verde",S2805)),"Cabo Verde",
ISNUMBER(SEARCH("Czechia",S2805)),"Czech Republic",
ISNUMBER(SEARCH("Türkiye",S2805)),"Turkey",
ISNUMBER(SEARCH("Ivory Coast",S2805)),"Côte d'Ivoire",
ISNUMBER(SEARCH("Korea Republic",S2805)),"South Korea",
ISNUMBER(SEARCH("Germany FR",S2805)),"FR Germany",
ISNUMBER(SEARCH("West Germany",S2805)),"FR Germany",
ISNUMBER(SEARCH("Germany DR",S2805)),"DR Germany",
ISNUMBER(SEARCH("Korea DPR",S2805)),"North Korea",
ISNUMBER(SEARCH("China PR",S2805)),"China",
ISNUMBER(SEARCH("IR Iran",S2805)),"Iran",
ISNUMBER(SEARCH("Congo DR",S2805)),"Democratic Republic of the Congo",
ISNUMBER(SEARCH("DR Congo",S2805)),"Democratic Republic of the Congo",
ISNUMBER(SEARCH("German DR",S2805)),"DR Germany",
ISNUMBER(SEARCH("rn""&gt;United Arab Emirates",S2805)),"United Arab Emirates",
ISNUMBER(SEARCH("rn""&gt;Republic of Ireland",S2805)),"Ireland",
ISNUMBER(SEARCH("rn""&gt;Bosnia and Herzegovina",S2805)),"Bosnia and Herzegovina",
ISNUMBER(SEARCH("rn""&gt;Trinidad and Tobago",S2805)),"Trinidad and Tobago",
ISNUMBER(SEARCH("rn""&gt;Serbia and Montenegro",S2805)),"Serbia and Montenegro",
ISNUMBER(SEARCH(_xlfn.UNICHAR(65533),S2805)),"Côte d'Ivoire",
TRUE,""
)</f>
        <v>South Korea</v>
      </c>
      <c r="W2805" s="40" t="str">
        <f t="shared" si="204"/>
        <v>South Korea</v>
      </c>
    </row>
    <row r="2806" spans="19:23">
      <c r="S2806" s="40" t="str">
        <v>Belgium</v>
      </c>
      <c r="T2806" s="40" t="str">
        <f t="shared" si="202"/>
        <v>OK</v>
      </c>
      <c r="U2806" s="40" t="str">
        <f t="shared" si="203"/>
        <v>-</v>
      </c>
      <c r="V2806" s="40" t="str" cm="1">
        <f t="array" ref="V2806">_xlfn.IFS(
ISNUMBER(SEARCH("USA",S2806)),"United States",
ISNUMBER(SEARCH("Republic of Ireland",S2806)),"Ireland",
ISNUMBER(SEARCH("Republic of Korea",S2806)),"South Korea",
ISNUMBER(SEARCH("Cape Verde",S2806)),"Cabo Verde",
ISNUMBER(SEARCH("Czechia",S2806)),"Czech Republic",
ISNUMBER(SEARCH("Türkiye",S2806)),"Turkey",
ISNUMBER(SEARCH("Ivory Coast",S2806)),"Côte d'Ivoire",
ISNUMBER(SEARCH("Korea Republic",S2806)),"South Korea",
ISNUMBER(SEARCH("Germany FR",S2806)),"FR Germany",
ISNUMBER(SEARCH("West Germany",S2806)),"FR Germany",
ISNUMBER(SEARCH("Germany DR",S2806)),"DR Germany",
ISNUMBER(SEARCH("Korea DPR",S2806)),"North Korea",
ISNUMBER(SEARCH("China PR",S2806)),"China",
ISNUMBER(SEARCH("IR Iran",S2806)),"Iran",
ISNUMBER(SEARCH("Congo DR",S2806)),"Democratic Republic of the Congo",
ISNUMBER(SEARCH("DR Congo",S2806)),"Democratic Republic of the Congo",
ISNUMBER(SEARCH("German DR",S2806)),"DR Germany",
ISNUMBER(SEARCH("rn""&gt;United Arab Emirates",S2806)),"United Arab Emirates",
ISNUMBER(SEARCH("rn""&gt;Republic of Ireland",S2806)),"Ireland",
ISNUMBER(SEARCH("rn""&gt;Bosnia and Herzegovina",S2806)),"Bosnia and Herzegovina",
ISNUMBER(SEARCH("rn""&gt;Trinidad and Tobago",S2806)),"Trinidad and Tobago",
ISNUMBER(SEARCH("rn""&gt;Serbia and Montenegro",S2806)),"Serbia and Montenegro",
ISNUMBER(SEARCH(_xlfn.UNICHAR(65533),S2806)),"Côte d'Ivoire",
TRUE,""
)</f>
        <v/>
      </c>
      <c r="W2806" s="40" t="str">
        <f t="shared" si="204"/>
        <v>Belgium</v>
      </c>
    </row>
    <row r="2807" spans="19:23">
      <c r="S2807" s="40" t="str">
        <v>Argentina</v>
      </c>
      <c r="T2807" s="40" t="str">
        <f t="shared" si="202"/>
        <v>OK</v>
      </c>
      <c r="U2807" s="40" t="str">
        <f t="shared" si="203"/>
        <v>-</v>
      </c>
      <c r="V2807" s="40" t="str" cm="1">
        <f t="array" ref="V2807">_xlfn.IFS(
ISNUMBER(SEARCH("USA",S2807)),"United States",
ISNUMBER(SEARCH("Republic of Ireland",S2807)),"Ireland",
ISNUMBER(SEARCH("Republic of Korea",S2807)),"South Korea",
ISNUMBER(SEARCH("Cape Verde",S2807)),"Cabo Verde",
ISNUMBER(SEARCH("Czechia",S2807)),"Czech Republic",
ISNUMBER(SEARCH("Türkiye",S2807)),"Turkey",
ISNUMBER(SEARCH("Ivory Coast",S2807)),"Côte d'Ivoire",
ISNUMBER(SEARCH("Korea Republic",S2807)),"South Korea",
ISNUMBER(SEARCH("Germany FR",S2807)),"FR Germany",
ISNUMBER(SEARCH("West Germany",S2807)),"FR Germany",
ISNUMBER(SEARCH("Germany DR",S2807)),"DR Germany",
ISNUMBER(SEARCH("Korea DPR",S2807)),"North Korea",
ISNUMBER(SEARCH("China PR",S2807)),"China",
ISNUMBER(SEARCH("IR Iran",S2807)),"Iran",
ISNUMBER(SEARCH("Congo DR",S2807)),"Democratic Republic of the Congo",
ISNUMBER(SEARCH("DR Congo",S2807)),"Democratic Republic of the Congo",
ISNUMBER(SEARCH("German DR",S2807)),"DR Germany",
ISNUMBER(SEARCH("rn""&gt;United Arab Emirates",S2807)),"United Arab Emirates",
ISNUMBER(SEARCH("rn""&gt;Republic of Ireland",S2807)),"Ireland",
ISNUMBER(SEARCH("rn""&gt;Bosnia and Herzegovina",S2807)),"Bosnia and Herzegovina",
ISNUMBER(SEARCH("rn""&gt;Trinidad and Tobago",S2807)),"Trinidad and Tobago",
ISNUMBER(SEARCH("rn""&gt;Serbia and Montenegro",S2807)),"Serbia and Montenegro",
ISNUMBER(SEARCH(_xlfn.UNICHAR(65533),S2807)),"Côte d'Ivoire",
TRUE,""
)</f>
        <v/>
      </c>
      <c r="W2807" s="40" t="str">
        <f t="shared" si="204"/>
        <v>Argentina</v>
      </c>
    </row>
    <row r="2808" spans="19:23">
      <c r="S2808" s="40" t="str">
        <v>Cameroon</v>
      </c>
      <c r="T2808" s="40" t="str">
        <f t="shared" si="202"/>
        <v>OK</v>
      </c>
      <c r="U2808" s="40" t="str">
        <f t="shared" si="203"/>
        <v>-</v>
      </c>
      <c r="V2808" s="40" t="str" cm="1">
        <f t="array" ref="V2808">_xlfn.IFS(
ISNUMBER(SEARCH("USA",S2808)),"United States",
ISNUMBER(SEARCH("Republic of Ireland",S2808)),"Ireland",
ISNUMBER(SEARCH("Republic of Korea",S2808)),"South Korea",
ISNUMBER(SEARCH("Cape Verde",S2808)),"Cabo Verde",
ISNUMBER(SEARCH("Czechia",S2808)),"Czech Republic",
ISNUMBER(SEARCH("Türkiye",S2808)),"Turkey",
ISNUMBER(SEARCH("Ivory Coast",S2808)),"Côte d'Ivoire",
ISNUMBER(SEARCH("Korea Republic",S2808)),"South Korea",
ISNUMBER(SEARCH("Germany FR",S2808)),"FR Germany",
ISNUMBER(SEARCH("West Germany",S2808)),"FR Germany",
ISNUMBER(SEARCH("Germany DR",S2808)),"DR Germany",
ISNUMBER(SEARCH("Korea DPR",S2808)),"North Korea",
ISNUMBER(SEARCH("China PR",S2808)),"China",
ISNUMBER(SEARCH("IR Iran",S2808)),"Iran",
ISNUMBER(SEARCH("Congo DR",S2808)),"Democratic Republic of the Congo",
ISNUMBER(SEARCH("DR Congo",S2808)),"Democratic Republic of the Congo",
ISNUMBER(SEARCH("German DR",S2808)),"DR Germany",
ISNUMBER(SEARCH("rn""&gt;United Arab Emirates",S2808)),"United Arab Emirates",
ISNUMBER(SEARCH("rn""&gt;Republic of Ireland",S2808)),"Ireland",
ISNUMBER(SEARCH("rn""&gt;Bosnia and Herzegovina",S2808)),"Bosnia and Herzegovina",
ISNUMBER(SEARCH("rn""&gt;Trinidad and Tobago",S2808)),"Trinidad and Tobago",
ISNUMBER(SEARCH("rn""&gt;Serbia and Montenegro",S2808)),"Serbia and Montenegro",
ISNUMBER(SEARCH(_xlfn.UNICHAR(65533),S2808)),"Côte d'Ivoire",
TRUE,""
)</f>
        <v/>
      </c>
      <c r="W2808" s="40" t="str">
        <f t="shared" si="204"/>
        <v>Cameroon</v>
      </c>
    </row>
    <row r="2809" spans="19:23">
      <c r="S2809" s="40" t="str">
        <v>Germany FR</v>
      </c>
      <c r="T2809" s="40" t="str">
        <f t="shared" si="202"/>
        <v>ERREUR</v>
      </c>
      <c r="U2809" s="40" t="str">
        <f t="shared" si="203"/>
        <v>RENOMMER</v>
      </c>
      <c r="V2809" s="40" t="str" cm="1">
        <f t="array" ref="V2809">_xlfn.IFS(
ISNUMBER(SEARCH("USA",S2809)),"United States",
ISNUMBER(SEARCH("Republic of Ireland",S2809)),"Ireland",
ISNUMBER(SEARCH("Republic of Korea",S2809)),"South Korea",
ISNUMBER(SEARCH("Cape Verde",S2809)),"Cabo Verde",
ISNUMBER(SEARCH("Czechia",S2809)),"Czech Republic",
ISNUMBER(SEARCH("Türkiye",S2809)),"Turkey",
ISNUMBER(SEARCH("Ivory Coast",S2809)),"Côte d'Ivoire",
ISNUMBER(SEARCH("Korea Republic",S2809)),"South Korea",
ISNUMBER(SEARCH("Germany FR",S2809)),"FR Germany",
ISNUMBER(SEARCH("West Germany",S2809)),"FR Germany",
ISNUMBER(SEARCH("Germany DR",S2809)),"DR Germany",
ISNUMBER(SEARCH("Korea DPR",S2809)),"North Korea",
ISNUMBER(SEARCH("China PR",S2809)),"China",
ISNUMBER(SEARCH("IR Iran",S2809)),"Iran",
ISNUMBER(SEARCH("Congo DR",S2809)),"Democratic Republic of the Congo",
ISNUMBER(SEARCH("DR Congo",S2809)),"Democratic Republic of the Congo",
ISNUMBER(SEARCH("German DR",S2809)),"DR Germany",
ISNUMBER(SEARCH("rn""&gt;United Arab Emirates",S2809)),"United Arab Emirates",
ISNUMBER(SEARCH("rn""&gt;Republic of Ireland",S2809)),"Ireland",
ISNUMBER(SEARCH("rn""&gt;Bosnia and Herzegovina",S2809)),"Bosnia and Herzegovina",
ISNUMBER(SEARCH("rn""&gt;Trinidad and Tobago",S2809)),"Trinidad and Tobago",
ISNUMBER(SEARCH("rn""&gt;Serbia and Montenegro",S2809)),"Serbia and Montenegro",
ISNUMBER(SEARCH(_xlfn.UNICHAR(65533),S2809)),"Côte d'Ivoire",
TRUE,""
)</f>
        <v>FR Germany</v>
      </c>
      <c r="W2809" s="40" t="str">
        <f t="shared" si="204"/>
        <v>FR Germany</v>
      </c>
    </row>
    <row r="2810" spans="19:23">
      <c r="S2810" s="40" t="str">
        <v>Yugoslavia</v>
      </c>
      <c r="T2810" s="40" t="str">
        <f t="shared" si="202"/>
        <v>ERREUR</v>
      </c>
      <c r="U2810" s="40" t="str">
        <f t="shared" si="203"/>
        <v>AUCUNE</v>
      </c>
      <c r="V2810" s="40" t="str" cm="1">
        <f t="array" ref="V2810">_xlfn.IFS(
ISNUMBER(SEARCH("USA",S2810)),"United States",
ISNUMBER(SEARCH("Republic of Ireland",S2810)),"Ireland",
ISNUMBER(SEARCH("Republic of Korea",S2810)),"South Korea",
ISNUMBER(SEARCH("Cape Verde",S2810)),"Cabo Verde",
ISNUMBER(SEARCH("Czechia",S2810)),"Czech Republic",
ISNUMBER(SEARCH("Türkiye",S2810)),"Turkey",
ISNUMBER(SEARCH("Ivory Coast",S2810)),"Côte d'Ivoire",
ISNUMBER(SEARCH("Korea Republic",S2810)),"South Korea",
ISNUMBER(SEARCH("Germany FR",S2810)),"FR Germany",
ISNUMBER(SEARCH("West Germany",S2810)),"FR Germany",
ISNUMBER(SEARCH("Germany DR",S2810)),"DR Germany",
ISNUMBER(SEARCH("Korea DPR",S2810)),"North Korea",
ISNUMBER(SEARCH("China PR",S2810)),"China",
ISNUMBER(SEARCH("IR Iran",S2810)),"Iran",
ISNUMBER(SEARCH("Congo DR",S2810)),"Democratic Republic of the Congo",
ISNUMBER(SEARCH("DR Congo",S2810)),"Democratic Republic of the Congo",
ISNUMBER(SEARCH("German DR",S2810)),"DR Germany",
ISNUMBER(SEARCH("rn""&gt;United Arab Emirates",S2810)),"United Arab Emirates",
ISNUMBER(SEARCH("rn""&gt;Republic of Ireland",S2810)),"Ireland",
ISNUMBER(SEARCH("rn""&gt;Bosnia and Herzegovina",S2810)),"Bosnia and Herzegovina",
ISNUMBER(SEARCH("rn""&gt;Trinidad and Tobago",S2810)),"Trinidad and Tobago",
ISNUMBER(SEARCH("rn""&gt;Serbia and Montenegro",S2810)),"Serbia and Montenegro",
ISNUMBER(SEARCH(_xlfn.UNICHAR(65533),S2810)),"Côte d'Ivoire",
TRUE,""
)</f>
        <v/>
      </c>
      <c r="W2810" s="40" t="str">
        <f t="shared" si="204"/>
        <v>Yugoslavia</v>
      </c>
    </row>
    <row r="2811" spans="19:23">
      <c r="S2811" s="40" t="str">
        <v>Italy</v>
      </c>
      <c r="T2811" s="40" t="str">
        <f t="shared" si="202"/>
        <v>OK</v>
      </c>
      <c r="U2811" s="40" t="str">
        <f t="shared" si="203"/>
        <v>-</v>
      </c>
      <c r="V2811" s="40" t="str" cm="1">
        <f t="array" ref="V2811">_xlfn.IFS(
ISNUMBER(SEARCH("USA",S2811)),"United States",
ISNUMBER(SEARCH("Republic of Ireland",S2811)),"Ireland",
ISNUMBER(SEARCH("Republic of Korea",S2811)),"South Korea",
ISNUMBER(SEARCH("Cape Verde",S2811)),"Cabo Verde",
ISNUMBER(SEARCH("Czechia",S2811)),"Czech Republic",
ISNUMBER(SEARCH("Türkiye",S2811)),"Turkey",
ISNUMBER(SEARCH("Ivory Coast",S2811)),"Côte d'Ivoire",
ISNUMBER(SEARCH("Korea Republic",S2811)),"South Korea",
ISNUMBER(SEARCH("Germany FR",S2811)),"FR Germany",
ISNUMBER(SEARCH("West Germany",S2811)),"FR Germany",
ISNUMBER(SEARCH("Germany DR",S2811)),"DR Germany",
ISNUMBER(SEARCH("Korea DPR",S2811)),"North Korea",
ISNUMBER(SEARCH("China PR",S2811)),"China",
ISNUMBER(SEARCH("IR Iran",S2811)),"Iran",
ISNUMBER(SEARCH("Congo DR",S2811)),"Democratic Republic of the Congo",
ISNUMBER(SEARCH("DR Congo",S2811)),"Democratic Republic of the Congo",
ISNUMBER(SEARCH("German DR",S2811)),"DR Germany",
ISNUMBER(SEARCH("rn""&gt;United Arab Emirates",S2811)),"United Arab Emirates",
ISNUMBER(SEARCH("rn""&gt;Republic of Ireland",S2811)),"Ireland",
ISNUMBER(SEARCH("rn""&gt;Bosnia and Herzegovina",S2811)),"Bosnia and Herzegovina",
ISNUMBER(SEARCH("rn""&gt;Trinidad and Tobago",S2811)),"Trinidad and Tobago",
ISNUMBER(SEARCH("rn""&gt;Serbia and Montenegro",S2811)),"Serbia and Montenegro",
ISNUMBER(SEARCH(_xlfn.UNICHAR(65533),S2811)),"Côte d'Ivoire",
TRUE,""
)</f>
        <v/>
      </c>
      <c r="W2811" s="40" t="str">
        <f t="shared" si="204"/>
        <v>Italy</v>
      </c>
    </row>
    <row r="2812" spans="19:23">
      <c r="S2812" s="40" t="str">
        <v>Austria</v>
      </c>
      <c r="T2812" s="40" t="str">
        <f t="shared" si="202"/>
        <v>OK</v>
      </c>
      <c r="U2812" s="40" t="str">
        <f t="shared" si="203"/>
        <v>-</v>
      </c>
      <c r="V2812" s="40" t="str" cm="1">
        <f t="array" ref="V2812">_xlfn.IFS(
ISNUMBER(SEARCH("USA",S2812)),"United States",
ISNUMBER(SEARCH("Republic of Ireland",S2812)),"Ireland",
ISNUMBER(SEARCH("Republic of Korea",S2812)),"South Korea",
ISNUMBER(SEARCH("Cape Verde",S2812)),"Cabo Verde",
ISNUMBER(SEARCH("Czechia",S2812)),"Czech Republic",
ISNUMBER(SEARCH("Türkiye",S2812)),"Turkey",
ISNUMBER(SEARCH("Ivory Coast",S2812)),"Côte d'Ivoire",
ISNUMBER(SEARCH("Korea Republic",S2812)),"South Korea",
ISNUMBER(SEARCH("Germany FR",S2812)),"FR Germany",
ISNUMBER(SEARCH("West Germany",S2812)),"FR Germany",
ISNUMBER(SEARCH("Germany DR",S2812)),"DR Germany",
ISNUMBER(SEARCH("Korea DPR",S2812)),"North Korea",
ISNUMBER(SEARCH("China PR",S2812)),"China",
ISNUMBER(SEARCH("IR Iran",S2812)),"Iran",
ISNUMBER(SEARCH("Congo DR",S2812)),"Democratic Republic of the Congo",
ISNUMBER(SEARCH("DR Congo",S2812)),"Democratic Republic of the Congo",
ISNUMBER(SEARCH("German DR",S2812)),"DR Germany",
ISNUMBER(SEARCH("rn""&gt;United Arab Emirates",S2812)),"United Arab Emirates",
ISNUMBER(SEARCH("rn""&gt;Republic of Ireland",S2812)),"Ireland",
ISNUMBER(SEARCH("rn""&gt;Bosnia and Herzegovina",S2812)),"Bosnia and Herzegovina",
ISNUMBER(SEARCH("rn""&gt;Trinidad and Tobago",S2812)),"Trinidad and Tobago",
ISNUMBER(SEARCH("rn""&gt;Serbia and Montenegro",S2812)),"Serbia and Montenegro",
ISNUMBER(SEARCH(_xlfn.UNICHAR(65533),S2812)),"Côte d'Ivoire",
TRUE,""
)</f>
        <v/>
      </c>
      <c r="W2812" s="40" t="str">
        <f t="shared" si="204"/>
        <v>Austria</v>
      </c>
    </row>
    <row r="2813" spans="19:23">
      <c r="S2813" s="40" t="str">
        <v>Brazil</v>
      </c>
      <c r="T2813" s="40" t="str">
        <f t="shared" si="202"/>
        <v>OK</v>
      </c>
      <c r="U2813" s="40" t="str">
        <f t="shared" si="203"/>
        <v>-</v>
      </c>
      <c r="V2813" s="40" t="str" cm="1">
        <f t="array" ref="V2813">_xlfn.IFS(
ISNUMBER(SEARCH("USA",S2813)),"United States",
ISNUMBER(SEARCH("Republic of Ireland",S2813)),"Ireland",
ISNUMBER(SEARCH("Republic of Korea",S2813)),"South Korea",
ISNUMBER(SEARCH("Cape Verde",S2813)),"Cabo Verde",
ISNUMBER(SEARCH("Czechia",S2813)),"Czech Republic",
ISNUMBER(SEARCH("Türkiye",S2813)),"Turkey",
ISNUMBER(SEARCH("Ivory Coast",S2813)),"Côte d'Ivoire",
ISNUMBER(SEARCH("Korea Republic",S2813)),"South Korea",
ISNUMBER(SEARCH("Germany FR",S2813)),"FR Germany",
ISNUMBER(SEARCH("West Germany",S2813)),"FR Germany",
ISNUMBER(SEARCH("Germany DR",S2813)),"DR Germany",
ISNUMBER(SEARCH("Korea DPR",S2813)),"North Korea",
ISNUMBER(SEARCH("China PR",S2813)),"China",
ISNUMBER(SEARCH("IR Iran",S2813)),"Iran",
ISNUMBER(SEARCH("Congo DR",S2813)),"Democratic Republic of the Congo",
ISNUMBER(SEARCH("DR Congo",S2813)),"Democratic Republic of the Congo",
ISNUMBER(SEARCH("German DR",S2813)),"DR Germany",
ISNUMBER(SEARCH("rn""&gt;United Arab Emirates",S2813)),"United Arab Emirates",
ISNUMBER(SEARCH("rn""&gt;Republic of Ireland",S2813)),"Ireland",
ISNUMBER(SEARCH("rn""&gt;Bosnia and Herzegovina",S2813)),"Bosnia and Herzegovina",
ISNUMBER(SEARCH("rn""&gt;Trinidad and Tobago",S2813)),"Trinidad and Tobago",
ISNUMBER(SEARCH("rn""&gt;Serbia and Montenegro",S2813)),"Serbia and Montenegro",
ISNUMBER(SEARCH(_xlfn.UNICHAR(65533),S2813)),"Côte d'Ivoire",
TRUE,""
)</f>
        <v/>
      </c>
      <c r="W2813" s="40" t="str">
        <f t="shared" si="204"/>
        <v>Brazil</v>
      </c>
    </row>
    <row r="2814" spans="19:23">
      <c r="S2814" s="40" t="str">
        <v>Sweden</v>
      </c>
      <c r="T2814" s="40" t="str">
        <f t="shared" si="202"/>
        <v>OK</v>
      </c>
      <c r="U2814" s="40" t="str">
        <f t="shared" si="203"/>
        <v>-</v>
      </c>
      <c r="V2814" s="40" t="str" cm="1">
        <f t="array" ref="V2814">_xlfn.IFS(
ISNUMBER(SEARCH("USA",S2814)),"United States",
ISNUMBER(SEARCH("Republic of Ireland",S2814)),"Ireland",
ISNUMBER(SEARCH("Republic of Korea",S2814)),"South Korea",
ISNUMBER(SEARCH("Cape Verde",S2814)),"Cabo Verde",
ISNUMBER(SEARCH("Czechia",S2814)),"Czech Republic",
ISNUMBER(SEARCH("Türkiye",S2814)),"Turkey",
ISNUMBER(SEARCH("Ivory Coast",S2814)),"Côte d'Ivoire",
ISNUMBER(SEARCH("Korea Republic",S2814)),"South Korea",
ISNUMBER(SEARCH("Germany FR",S2814)),"FR Germany",
ISNUMBER(SEARCH("West Germany",S2814)),"FR Germany",
ISNUMBER(SEARCH("Germany DR",S2814)),"DR Germany",
ISNUMBER(SEARCH("Korea DPR",S2814)),"North Korea",
ISNUMBER(SEARCH("China PR",S2814)),"China",
ISNUMBER(SEARCH("IR Iran",S2814)),"Iran",
ISNUMBER(SEARCH("Congo DR",S2814)),"Democratic Republic of the Congo",
ISNUMBER(SEARCH("DR Congo",S2814)),"Democratic Republic of the Congo",
ISNUMBER(SEARCH("German DR",S2814)),"DR Germany",
ISNUMBER(SEARCH("rn""&gt;United Arab Emirates",S2814)),"United Arab Emirates",
ISNUMBER(SEARCH("rn""&gt;Republic of Ireland",S2814)),"Ireland",
ISNUMBER(SEARCH("rn""&gt;Bosnia and Herzegovina",S2814)),"Bosnia and Herzegovina",
ISNUMBER(SEARCH("rn""&gt;Trinidad and Tobago",S2814)),"Trinidad and Tobago",
ISNUMBER(SEARCH("rn""&gt;Serbia and Montenegro",S2814)),"Serbia and Montenegro",
ISNUMBER(SEARCH(_xlfn.UNICHAR(65533),S2814)),"Côte d'Ivoire",
TRUE,""
)</f>
        <v/>
      </c>
      <c r="W2814" s="40" t="str">
        <f t="shared" si="204"/>
        <v>Sweden</v>
      </c>
    </row>
    <row r="2815" spans="19:23">
      <c r="S2815" s="40" t="str">
        <v>Korea Republic</v>
      </c>
      <c r="T2815" s="40" t="str">
        <f t="shared" si="202"/>
        <v>ERREUR</v>
      </c>
      <c r="U2815" s="40" t="str">
        <f t="shared" si="203"/>
        <v>RENOMMER</v>
      </c>
      <c r="V2815" s="40" t="str" cm="1">
        <f t="array" ref="V2815">_xlfn.IFS(
ISNUMBER(SEARCH("USA",S2815)),"United States",
ISNUMBER(SEARCH("Republic of Ireland",S2815)),"Ireland",
ISNUMBER(SEARCH("Republic of Korea",S2815)),"South Korea",
ISNUMBER(SEARCH("Cape Verde",S2815)),"Cabo Verde",
ISNUMBER(SEARCH("Czechia",S2815)),"Czech Republic",
ISNUMBER(SEARCH("Türkiye",S2815)),"Turkey",
ISNUMBER(SEARCH("Ivory Coast",S2815)),"Côte d'Ivoire",
ISNUMBER(SEARCH("Korea Republic",S2815)),"South Korea",
ISNUMBER(SEARCH("Germany FR",S2815)),"FR Germany",
ISNUMBER(SEARCH("West Germany",S2815)),"FR Germany",
ISNUMBER(SEARCH("Germany DR",S2815)),"DR Germany",
ISNUMBER(SEARCH("Korea DPR",S2815)),"North Korea",
ISNUMBER(SEARCH("China PR",S2815)),"China",
ISNUMBER(SEARCH("IR Iran",S2815)),"Iran",
ISNUMBER(SEARCH("Congo DR",S2815)),"Democratic Republic of the Congo",
ISNUMBER(SEARCH("DR Congo",S2815)),"Democratic Republic of the Congo",
ISNUMBER(SEARCH("German DR",S2815)),"DR Germany",
ISNUMBER(SEARCH("rn""&gt;United Arab Emirates",S2815)),"United Arab Emirates",
ISNUMBER(SEARCH("rn""&gt;Republic of Ireland",S2815)),"Ireland",
ISNUMBER(SEARCH("rn""&gt;Bosnia and Herzegovina",S2815)),"Bosnia and Herzegovina",
ISNUMBER(SEARCH("rn""&gt;Trinidad and Tobago",S2815)),"Trinidad and Tobago",
ISNUMBER(SEARCH("rn""&gt;Serbia and Montenegro",S2815)),"Serbia and Montenegro",
ISNUMBER(SEARCH(_xlfn.UNICHAR(65533),S2815)),"Côte d'Ivoire",
TRUE,""
)</f>
        <v>South Korea</v>
      </c>
      <c r="W2815" s="40" t="str">
        <f t="shared" si="204"/>
        <v>South Korea</v>
      </c>
    </row>
    <row r="2816" spans="19:23">
      <c r="S2816" s="40" t="str">
        <v>Belgium</v>
      </c>
      <c r="T2816" s="40" t="str">
        <f t="shared" si="202"/>
        <v>OK</v>
      </c>
      <c r="U2816" s="40" t="str">
        <f t="shared" si="203"/>
        <v>-</v>
      </c>
      <c r="V2816" s="40" t="str" cm="1">
        <f t="array" ref="V2816">_xlfn.IFS(
ISNUMBER(SEARCH("USA",S2816)),"United States",
ISNUMBER(SEARCH("Republic of Ireland",S2816)),"Ireland",
ISNUMBER(SEARCH("Republic of Korea",S2816)),"South Korea",
ISNUMBER(SEARCH("Cape Verde",S2816)),"Cabo Verde",
ISNUMBER(SEARCH("Czechia",S2816)),"Czech Republic",
ISNUMBER(SEARCH("Türkiye",S2816)),"Turkey",
ISNUMBER(SEARCH("Ivory Coast",S2816)),"Côte d'Ivoire",
ISNUMBER(SEARCH("Korea Republic",S2816)),"South Korea",
ISNUMBER(SEARCH("Germany FR",S2816)),"FR Germany",
ISNUMBER(SEARCH("West Germany",S2816)),"FR Germany",
ISNUMBER(SEARCH("Germany DR",S2816)),"DR Germany",
ISNUMBER(SEARCH("Korea DPR",S2816)),"North Korea",
ISNUMBER(SEARCH("China PR",S2816)),"China",
ISNUMBER(SEARCH("IR Iran",S2816)),"Iran",
ISNUMBER(SEARCH("Congo DR",S2816)),"Democratic Republic of the Congo",
ISNUMBER(SEARCH("DR Congo",S2816)),"Democratic Republic of the Congo",
ISNUMBER(SEARCH("German DR",S2816)),"DR Germany",
ISNUMBER(SEARCH("rn""&gt;United Arab Emirates",S2816)),"United Arab Emirates",
ISNUMBER(SEARCH("rn""&gt;Republic of Ireland",S2816)),"Ireland",
ISNUMBER(SEARCH("rn""&gt;Bosnia and Herzegovina",S2816)),"Bosnia and Herzegovina",
ISNUMBER(SEARCH("rn""&gt;Trinidad and Tobago",S2816)),"Trinidad and Tobago",
ISNUMBER(SEARCH("rn""&gt;Serbia and Montenegro",S2816)),"Serbia and Montenegro",
ISNUMBER(SEARCH(_xlfn.UNICHAR(65533),S2816)),"Côte d'Ivoire",
TRUE,""
)</f>
        <v/>
      </c>
      <c r="W2816" s="40" t="str">
        <f t="shared" si="204"/>
        <v>Belgium</v>
      </c>
    </row>
    <row r="2817" spans="19:23">
      <c r="S2817" s="40" t="str">
        <v>rn"&gt;Republic of Ireland</v>
      </c>
      <c r="T2817" s="40" t="str">
        <f t="shared" si="202"/>
        <v>ERREUR</v>
      </c>
      <c r="U2817" s="40" t="str">
        <f t="shared" si="203"/>
        <v>RENOMMER</v>
      </c>
      <c r="V2817" s="40" t="str" cm="1">
        <f t="array" ref="V2817">_xlfn.IFS(
ISNUMBER(SEARCH("USA",S2817)),"United States",
ISNUMBER(SEARCH("Republic of Ireland",S2817)),"Ireland",
ISNUMBER(SEARCH("Republic of Korea",S2817)),"South Korea",
ISNUMBER(SEARCH("Cape Verde",S2817)),"Cabo Verde",
ISNUMBER(SEARCH("Czechia",S2817)),"Czech Republic",
ISNUMBER(SEARCH("Türkiye",S2817)),"Turkey",
ISNUMBER(SEARCH("Ivory Coast",S2817)),"Côte d'Ivoire",
ISNUMBER(SEARCH("Korea Republic",S2817)),"South Korea",
ISNUMBER(SEARCH("Germany FR",S2817)),"FR Germany",
ISNUMBER(SEARCH("West Germany",S2817)),"FR Germany",
ISNUMBER(SEARCH("Germany DR",S2817)),"DR Germany",
ISNUMBER(SEARCH("Korea DPR",S2817)),"North Korea",
ISNUMBER(SEARCH("China PR",S2817)),"China",
ISNUMBER(SEARCH("IR Iran",S2817)),"Iran",
ISNUMBER(SEARCH("Congo DR",S2817)),"Democratic Republic of the Congo",
ISNUMBER(SEARCH("DR Congo",S2817)),"Democratic Republic of the Congo",
ISNUMBER(SEARCH("German DR",S2817)),"DR Germany",
ISNUMBER(SEARCH("rn""&gt;United Arab Emirates",S2817)),"United Arab Emirates",
ISNUMBER(SEARCH("rn""&gt;Republic of Ireland",S2817)),"Ireland",
ISNUMBER(SEARCH("rn""&gt;Bosnia and Herzegovina",S2817)),"Bosnia and Herzegovina",
ISNUMBER(SEARCH("rn""&gt;Trinidad and Tobago",S2817)),"Trinidad and Tobago",
ISNUMBER(SEARCH("rn""&gt;Serbia and Montenegro",S2817)),"Serbia and Montenegro",
ISNUMBER(SEARCH(_xlfn.UNICHAR(65533),S2817)),"Côte d'Ivoire",
TRUE,""
)</f>
        <v>Ireland</v>
      </c>
      <c r="W2817" s="40" t="str">
        <f t="shared" si="204"/>
        <v>Ireland</v>
      </c>
    </row>
    <row r="2818" spans="19:23">
      <c r="S2818" s="40" t="str">
        <v>England</v>
      </c>
      <c r="T2818" s="40" t="str">
        <f t="shared" si="202"/>
        <v>ERREUR</v>
      </c>
      <c r="U2818" s="40" t="str">
        <f t="shared" si="203"/>
        <v>AUCUNE</v>
      </c>
      <c r="V2818" s="40" t="str" cm="1">
        <f t="array" ref="V2818">_xlfn.IFS(
ISNUMBER(SEARCH("USA",S2818)),"United States",
ISNUMBER(SEARCH("Republic of Ireland",S2818)),"Ireland",
ISNUMBER(SEARCH("Republic of Korea",S2818)),"South Korea",
ISNUMBER(SEARCH("Cape Verde",S2818)),"Cabo Verde",
ISNUMBER(SEARCH("Czechia",S2818)),"Czech Republic",
ISNUMBER(SEARCH("Türkiye",S2818)),"Turkey",
ISNUMBER(SEARCH("Ivory Coast",S2818)),"Côte d'Ivoire",
ISNUMBER(SEARCH("Korea Republic",S2818)),"South Korea",
ISNUMBER(SEARCH("Germany FR",S2818)),"FR Germany",
ISNUMBER(SEARCH("West Germany",S2818)),"FR Germany",
ISNUMBER(SEARCH("Germany DR",S2818)),"DR Germany",
ISNUMBER(SEARCH("Korea DPR",S2818)),"North Korea",
ISNUMBER(SEARCH("China PR",S2818)),"China",
ISNUMBER(SEARCH("IR Iran",S2818)),"Iran",
ISNUMBER(SEARCH("Congo DR",S2818)),"Democratic Republic of the Congo",
ISNUMBER(SEARCH("DR Congo",S2818)),"Democratic Republic of the Congo",
ISNUMBER(SEARCH("German DR",S2818)),"DR Germany",
ISNUMBER(SEARCH("rn""&gt;United Arab Emirates",S2818)),"United Arab Emirates",
ISNUMBER(SEARCH("rn""&gt;Republic of Ireland",S2818)),"Ireland",
ISNUMBER(SEARCH("rn""&gt;Bosnia and Herzegovina",S2818)),"Bosnia and Herzegovina",
ISNUMBER(SEARCH("rn""&gt;Trinidad and Tobago",S2818)),"Trinidad and Tobago",
ISNUMBER(SEARCH("rn""&gt;Serbia and Montenegro",S2818)),"Serbia and Montenegro",
ISNUMBER(SEARCH(_xlfn.UNICHAR(65533),S2818)),"Côte d'Ivoire",
TRUE,""
)</f>
        <v/>
      </c>
      <c r="W2818" s="40" t="str">
        <f t="shared" si="204"/>
        <v>England</v>
      </c>
    </row>
    <row r="2819" spans="19:23">
      <c r="S2819" s="40" t="str">
        <v>Cameroon</v>
      </c>
      <c r="T2819" s="40" t="str">
        <f t="shared" ref="T2819:T2882" si="205">IF(COUNTIF(R$13:R$250,S2819)=1,"OK","ERREUR")</f>
        <v>OK</v>
      </c>
      <c r="U2819" s="40" t="str">
        <f t="shared" si="203"/>
        <v>-</v>
      </c>
      <c r="V2819" s="40" t="str" cm="1">
        <f t="array" ref="V2819">_xlfn.IFS(
ISNUMBER(SEARCH("USA",S2819)),"United States",
ISNUMBER(SEARCH("Republic of Ireland",S2819)),"Ireland",
ISNUMBER(SEARCH("Republic of Korea",S2819)),"South Korea",
ISNUMBER(SEARCH("Cape Verde",S2819)),"Cabo Verde",
ISNUMBER(SEARCH("Czechia",S2819)),"Czech Republic",
ISNUMBER(SEARCH("Türkiye",S2819)),"Turkey",
ISNUMBER(SEARCH("Ivory Coast",S2819)),"Côte d'Ivoire",
ISNUMBER(SEARCH("Korea Republic",S2819)),"South Korea",
ISNUMBER(SEARCH("Germany FR",S2819)),"FR Germany",
ISNUMBER(SEARCH("West Germany",S2819)),"FR Germany",
ISNUMBER(SEARCH("Germany DR",S2819)),"DR Germany",
ISNUMBER(SEARCH("Korea DPR",S2819)),"North Korea",
ISNUMBER(SEARCH("China PR",S2819)),"China",
ISNUMBER(SEARCH("IR Iran",S2819)),"Iran",
ISNUMBER(SEARCH("Congo DR",S2819)),"Democratic Republic of the Congo",
ISNUMBER(SEARCH("DR Congo",S2819)),"Democratic Republic of the Congo",
ISNUMBER(SEARCH("German DR",S2819)),"DR Germany",
ISNUMBER(SEARCH("rn""&gt;United Arab Emirates",S2819)),"United Arab Emirates",
ISNUMBER(SEARCH("rn""&gt;Republic of Ireland",S2819)),"Ireland",
ISNUMBER(SEARCH("rn""&gt;Bosnia and Herzegovina",S2819)),"Bosnia and Herzegovina",
ISNUMBER(SEARCH("rn""&gt;Trinidad and Tobago",S2819)),"Trinidad and Tobago",
ISNUMBER(SEARCH("rn""&gt;Serbia and Montenegro",S2819)),"Serbia and Montenegro",
ISNUMBER(SEARCH(_xlfn.UNICHAR(65533),S2819)),"Côte d'Ivoire",
TRUE,""
)</f>
        <v/>
      </c>
      <c r="W2819" s="40" t="str">
        <f t="shared" si="204"/>
        <v>Cameroon</v>
      </c>
    </row>
    <row r="2820" spans="19:23">
      <c r="S2820" s="40" t="str">
        <v>Czechoslovakia</v>
      </c>
      <c r="T2820" s="40" t="str">
        <f t="shared" si="205"/>
        <v>ERREUR</v>
      </c>
      <c r="U2820" s="40" t="str">
        <f t="shared" ref="U2820:U2883" si="206">IF(OR(S2820="Scotland",S2820="England",S2820="Wales",S2820="Yugoslavia",S2820="Czechoslovakia",S2820="Northern Ireland",S2820="Soviet Union",S2820="Zaire",S2820="Dutch East Indies"),"AUCUNE",IF(OR(S2820="Cape Verde",S2820="USA",S2820="DR Congo",S2820="Republic of Korea",S2820="Germany FR",S2820="Germany DR",S2820="Czechia",S2820="Ivory Coast",S2820="Korea DPR",S2820="China PR",S2820="IR Iran",S2820="Türkiye",S2820="Congo DR",S2820="German DR",S2820="West Germany",S2820="Republic of Ireland",ISNUMBER(SEARCH(_xlfn.UNICHAR(65533),S2820)),S2820="Korea Republic",ISNUMBER(SEARCH("rn""&gt;United Arab Emirates",S2820)),ISNUMBER(SEARCH("rn""&gt;Republic of Ireland",S2820)),ISNUMBER(SEARCH("rn""&gt;Bosnia and Herzegovina",S2820)),ISNUMBER(SEARCH("rn""&gt;Trinidad and Tobago",S2820)),ISNUMBER(SEARCH("rn""&gt;Serbia and Montenegro",S2820)),ISNUMBER(SEARCH(_xlfn.UNICHAR(65533),S2820))),"RENOMMER","-"))</f>
        <v>AUCUNE</v>
      </c>
      <c r="V2820" s="40" t="str" cm="1">
        <f t="array" ref="V2820">_xlfn.IFS(
ISNUMBER(SEARCH("USA",S2820)),"United States",
ISNUMBER(SEARCH("Republic of Ireland",S2820)),"Ireland",
ISNUMBER(SEARCH("Republic of Korea",S2820)),"South Korea",
ISNUMBER(SEARCH("Cape Verde",S2820)),"Cabo Verde",
ISNUMBER(SEARCH("Czechia",S2820)),"Czech Republic",
ISNUMBER(SEARCH("Türkiye",S2820)),"Turkey",
ISNUMBER(SEARCH("Ivory Coast",S2820)),"Côte d'Ivoire",
ISNUMBER(SEARCH("Korea Republic",S2820)),"South Korea",
ISNUMBER(SEARCH("Germany FR",S2820)),"FR Germany",
ISNUMBER(SEARCH("West Germany",S2820)),"FR Germany",
ISNUMBER(SEARCH("Germany DR",S2820)),"DR Germany",
ISNUMBER(SEARCH("Korea DPR",S2820)),"North Korea",
ISNUMBER(SEARCH("China PR",S2820)),"China",
ISNUMBER(SEARCH("IR Iran",S2820)),"Iran",
ISNUMBER(SEARCH("Congo DR",S2820)),"Democratic Republic of the Congo",
ISNUMBER(SEARCH("DR Congo",S2820)),"Democratic Republic of the Congo",
ISNUMBER(SEARCH("German DR",S2820)),"DR Germany",
ISNUMBER(SEARCH("rn""&gt;United Arab Emirates",S2820)),"United Arab Emirates",
ISNUMBER(SEARCH("rn""&gt;Republic of Ireland",S2820)),"Ireland",
ISNUMBER(SEARCH("rn""&gt;Bosnia and Herzegovina",S2820)),"Bosnia and Herzegovina",
ISNUMBER(SEARCH("rn""&gt;Trinidad and Tobago",S2820)),"Trinidad and Tobago",
ISNUMBER(SEARCH("rn""&gt;Serbia and Montenegro",S2820)),"Serbia and Montenegro",
ISNUMBER(SEARCH(_xlfn.UNICHAR(65533),S2820)),"Côte d'Ivoire",
TRUE,""
)</f>
        <v/>
      </c>
      <c r="W2820" s="40" t="str">
        <f t="shared" ref="W2820:W2883" si="207">IF(V2820="",S2820,V2820)</f>
        <v>Czechoslovakia</v>
      </c>
    </row>
    <row r="2821" spans="19:23">
      <c r="S2821" s="40" t="str">
        <v>Brazil</v>
      </c>
      <c r="T2821" s="40" t="str">
        <f t="shared" si="205"/>
        <v>OK</v>
      </c>
      <c r="U2821" s="40" t="str">
        <f t="shared" si="206"/>
        <v>-</v>
      </c>
      <c r="V2821" s="40" t="str" cm="1">
        <f t="array" ref="V2821">_xlfn.IFS(
ISNUMBER(SEARCH("USA",S2821)),"United States",
ISNUMBER(SEARCH("Republic of Ireland",S2821)),"Ireland",
ISNUMBER(SEARCH("Republic of Korea",S2821)),"South Korea",
ISNUMBER(SEARCH("Cape Verde",S2821)),"Cabo Verde",
ISNUMBER(SEARCH("Czechia",S2821)),"Czech Republic",
ISNUMBER(SEARCH("Türkiye",S2821)),"Turkey",
ISNUMBER(SEARCH("Ivory Coast",S2821)),"Côte d'Ivoire",
ISNUMBER(SEARCH("Korea Republic",S2821)),"South Korea",
ISNUMBER(SEARCH("Germany FR",S2821)),"FR Germany",
ISNUMBER(SEARCH("West Germany",S2821)),"FR Germany",
ISNUMBER(SEARCH("Germany DR",S2821)),"DR Germany",
ISNUMBER(SEARCH("Korea DPR",S2821)),"North Korea",
ISNUMBER(SEARCH("China PR",S2821)),"China",
ISNUMBER(SEARCH("IR Iran",S2821)),"Iran",
ISNUMBER(SEARCH("Congo DR",S2821)),"Democratic Republic of the Congo",
ISNUMBER(SEARCH("DR Congo",S2821)),"Democratic Republic of the Congo",
ISNUMBER(SEARCH("German DR",S2821)),"DR Germany",
ISNUMBER(SEARCH("rn""&gt;United Arab Emirates",S2821)),"United Arab Emirates",
ISNUMBER(SEARCH("rn""&gt;Republic of Ireland",S2821)),"Ireland",
ISNUMBER(SEARCH("rn""&gt;Bosnia and Herzegovina",S2821)),"Bosnia and Herzegovina",
ISNUMBER(SEARCH("rn""&gt;Trinidad and Tobago",S2821)),"Trinidad and Tobago",
ISNUMBER(SEARCH("rn""&gt;Serbia and Montenegro",S2821)),"Serbia and Montenegro",
ISNUMBER(SEARCH(_xlfn.UNICHAR(65533),S2821)),"Côte d'Ivoire",
TRUE,""
)</f>
        <v/>
      </c>
      <c r="W2821" s="40" t="str">
        <f t="shared" si="207"/>
        <v>Brazil</v>
      </c>
    </row>
    <row r="2822" spans="19:23">
      <c r="S2822" s="40" t="str">
        <v>Germany FR</v>
      </c>
      <c r="T2822" s="40" t="str">
        <f t="shared" si="205"/>
        <v>ERREUR</v>
      </c>
      <c r="U2822" s="40" t="str">
        <f t="shared" si="206"/>
        <v>RENOMMER</v>
      </c>
      <c r="V2822" s="40" t="str" cm="1">
        <f t="array" ref="V2822">_xlfn.IFS(
ISNUMBER(SEARCH("USA",S2822)),"United States",
ISNUMBER(SEARCH("Republic of Ireland",S2822)),"Ireland",
ISNUMBER(SEARCH("Republic of Korea",S2822)),"South Korea",
ISNUMBER(SEARCH("Cape Verde",S2822)),"Cabo Verde",
ISNUMBER(SEARCH("Czechia",S2822)),"Czech Republic",
ISNUMBER(SEARCH("Türkiye",S2822)),"Turkey",
ISNUMBER(SEARCH("Ivory Coast",S2822)),"Côte d'Ivoire",
ISNUMBER(SEARCH("Korea Republic",S2822)),"South Korea",
ISNUMBER(SEARCH("Germany FR",S2822)),"FR Germany",
ISNUMBER(SEARCH("West Germany",S2822)),"FR Germany",
ISNUMBER(SEARCH("Germany DR",S2822)),"DR Germany",
ISNUMBER(SEARCH("Korea DPR",S2822)),"North Korea",
ISNUMBER(SEARCH("China PR",S2822)),"China",
ISNUMBER(SEARCH("IR Iran",S2822)),"Iran",
ISNUMBER(SEARCH("Congo DR",S2822)),"Democratic Republic of the Congo",
ISNUMBER(SEARCH("DR Congo",S2822)),"Democratic Republic of the Congo",
ISNUMBER(SEARCH("German DR",S2822)),"DR Germany",
ISNUMBER(SEARCH("rn""&gt;United Arab Emirates",S2822)),"United Arab Emirates",
ISNUMBER(SEARCH("rn""&gt;Republic of Ireland",S2822)),"Ireland",
ISNUMBER(SEARCH("rn""&gt;Bosnia and Herzegovina",S2822)),"Bosnia and Herzegovina",
ISNUMBER(SEARCH("rn""&gt;Trinidad and Tobago",S2822)),"Trinidad and Tobago",
ISNUMBER(SEARCH("rn""&gt;Serbia and Montenegro",S2822)),"Serbia and Montenegro",
ISNUMBER(SEARCH(_xlfn.UNICHAR(65533),S2822)),"Côte d'Ivoire",
TRUE,""
)</f>
        <v>FR Germany</v>
      </c>
      <c r="W2822" s="40" t="str">
        <f t="shared" si="207"/>
        <v>FR Germany</v>
      </c>
    </row>
    <row r="2823" spans="19:23">
      <c r="S2823" s="40" t="str">
        <v>rn"&gt;Republic of Ireland</v>
      </c>
      <c r="T2823" s="40" t="str">
        <f t="shared" si="205"/>
        <v>ERREUR</v>
      </c>
      <c r="U2823" s="40" t="str">
        <f t="shared" si="206"/>
        <v>RENOMMER</v>
      </c>
      <c r="V2823" s="40" t="str" cm="1">
        <f t="array" ref="V2823">_xlfn.IFS(
ISNUMBER(SEARCH("USA",S2823)),"United States",
ISNUMBER(SEARCH("Republic of Ireland",S2823)),"Ireland",
ISNUMBER(SEARCH("Republic of Korea",S2823)),"South Korea",
ISNUMBER(SEARCH("Cape Verde",S2823)),"Cabo Verde",
ISNUMBER(SEARCH("Czechia",S2823)),"Czech Republic",
ISNUMBER(SEARCH("Türkiye",S2823)),"Turkey",
ISNUMBER(SEARCH("Ivory Coast",S2823)),"Côte d'Ivoire",
ISNUMBER(SEARCH("Korea Republic",S2823)),"South Korea",
ISNUMBER(SEARCH("Germany FR",S2823)),"FR Germany",
ISNUMBER(SEARCH("West Germany",S2823)),"FR Germany",
ISNUMBER(SEARCH("Germany DR",S2823)),"DR Germany",
ISNUMBER(SEARCH("Korea DPR",S2823)),"North Korea",
ISNUMBER(SEARCH("China PR",S2823)),"China",
ISNUMBER(SEARCH("IR Iran",S2823)),"Iran",
ISNUMBER(SEARCH("Congo DR",S2823)),"Democratic Republic of the Congo",
ISNUMBER(SEARCH("DR Congo",S2823)),"Democratic Republic of the Congo",
ISNUMBER(SEARCH("German DR",S2823)),"DR Germany",
ISNUMBER(SEARCH("rn""&gt;United Arab Emirates",S2823)),"United Arab Emirates",
ISNUMBER(SEARCH("rn""&gt;Republic of Ireland",S2823)),"Ireland",
ISNUMBER(SEARCH("rn""&gt;Bosnia and Herzegovina",S2823)),"Bosnia and Herzegovina",
ISNUMBER(SEARCH("rn""&gt;Trinidad and Tobago",S2823)),"Trinidad and Tobago",
ISNUMBER(SEARCH("rn""&gt;Serbia and Montenegro",S2823)),"Serbia and Montenegro",
ISNUMBER(SEARCH(_xlfn.UNICHAR(65533),S2823)),"Côte d'Ivoire",
TRUE,""
)</f>
        <v>Ireland</v>
      </c>
      <c r="W2823" s="40" t="str">
        <f t="shared" si="207"/>
        <v>Ireland</v>
      </c>
    </row>
    <row r="2824" spans="19:23">
      <c r="S2824" s="40" t="str">
        <v>Italy</v>
      </c>
      <c r="T2824" s="40" t="str">
        <f t="shared" si="205"/>
        <v>OK</v>
      </c>
      <c r="U2824" s="40" t="str">
        <f t="shared" si="206"/>
        <v>-</v>
      </c>
      <c r="V2824" s="40" t="str" cm="1">
        <f t="array" ref="V2824">_xlfn.IFS(
ISNUMBER(SEARCH("USA",S2824)),"United States",
ISNUMBER(SEARCH("Republic of Ireland",S2824)),"Ireland",
ISNUMBER(SEARCH("Republic of Korea",S2824)),"South Korea",
ISNUMBER(SEARCH("Cape Verde",S2824)),"Cabo Verde",
ISNUMBER(SEARCH("Czechia",S2824)),"Czech Republic",
ISNUMBER(SEARCH("Türkiye",S2824)),"Turkey",
ISNUMBER(SEARCH("Ivory Coast",S2824)),"Côte d'Ivoire",
ISNUMBER(SEARCH("Korea Republic",S2824)),"South Korea",
ISNUMBER(SEARCH("Germany FR",S2824)),"FR Germany",
ISNUMBER(SEARCH("West Germany",S2824)),"FR Germany",
ISNUMBER(SEARCH("Germany DR",S2824)),"DR Germany",
ISNUMBER(SEARCH("Korea DPR",S2824)),"North Korea",
ISNUMBER(SEARCH("China PR",S2824)),"China",
ISNUMBER(SEARCH("IR Iran",S2824)),"Iran",
ISNUMBER(SEARCH("Congo DR",S2824)),"Democratic Republic of the Congo",
ISNUMBER(SEARCH("DR Congo",S2824)),"Democratic Republic of the Congo",
ISNUMBER(SEARCH("German DR",S2824)),"DR Germany",
ISNUMBER(SEARCH("rn""&gt;United Arab Emirates",S2824)),"United Arab Emirates",
ISNUMBER(SEARCH("rn""&gt;Republic of Ireland",S2824)),"Ireland",
ISNUMBER(SEARCH("rn""&gt;Bosnia and Herzegovina",S2824)),"Bosnia and Herzegovina",
ISNUMBER(SEARCH("rn""&gt;Trinidad and Tobago",S2824)),"Trinidad and Tobago",
ISNUMBER(SEARCH("rn""&gt;Serbia and Montenegro",S2824)),"Serbia and Montenegro",
ISNUMBER(SEARCH(_xlfn.UNICHAR(65533),S2824)),"Côte d'Ivoire",
TRUE,""
)</f>
        <v/>
      </c>
      <c r="W2824" s="40" t="str">
        <f t="shared" si="207"/>
        <v>Italy</v>
      </c>
    </row>
    <row r="2825" spans="19:23">
      <c r="S2825" s="40" t="str">
        <v>Spain</v>
      </c>
      <c r="T2825" s="40" t="str">
        <f t="shared" si="205"/>
        <v>OK</v>
      </c>
      <c r="U2825" s="40" t="str">
        <f t="shared" si="206"/>
        <v>-</v>
      </c>
      <c r="V2825" s="40" t="str" cm="1">
        <f t="array" ref="V2825">_xlfn.IFS(
ISNUMBER(SEARCH("USA",S2825)),"United States",
ISNUMBER(SEARCH("Republic of Ireland",S2825)),"Ireland",
ISNUMBER(SEARCH("Republic of Korea",S2825)),"South Korea",
ISNUMBER(SEARCH("Cape Verde",S2825)),"Cabo Verde",
ISNUMBER(SEARCH("Czechia",S2825)),"Czech Republic",
ISNUMBER(SEARCH("Türkiye",S2825)),"Turkey",
ISNUMBER(SEARCH("Ivory Coast",S2825)),"Côte d'Ivoire",
ISNUMBER(SEARCH("Korea Republic",S2825)),"South Korea",
ISNUMBER(SEARCH("Germany FR",S2825)),"FR Germany",
ISNUMBER(SEARCH("West Germany",S2825)),"FR Germany",
ISNUMBER(SEARCH("Germany DR",S2825)),"DR Germany",
ISNUMBER(SEARCH("Korea DPR",S2825)),"North Korea",
ISNUMBER(SEARCH("China PR",S2825)),"China",
ISNUMBER(SEARCH("IR Iran",S2825)),"Iran",
ISNUMBER(SEARCH("Congo DR",S2825)),"Democratic Republic of the Congo",
ISNUMBER(SEARCH("DR Congo",S2825)),"Democratic Republic of the Congo",
ISNUMBER(SEARCH("German DR",S2825)),"DR Germany",
ISNUMBER(SEARCH("rn""&gt;United Arab Emirates",S2825)),"United Arab Emirates",
ISNUMBER(SEARCH("rn""&gt;Republic of Ireland",S2825)),"Ireland",
ISNUMBER(SEARCH("rn""&gt;Bosnia and Herzegovina",S2825)),"Bosnia and Herzegovina",
ISNUMBER(SEARCH("rn""&gt;Trinidad and Tobago",S2825)),"Trinidad and Tobago",
ISNUMBER(SEARCH("rn""&gt;Serbia and Montenegro",S2825)),"Serbia and Montenegro",
ISNUMBER(SEARCH(_xlfn.UNICHAR(65533),S2825)),"Côte d'Ivoire",
TRUE,""
)</f>
        <v/>
      </c>
      <c r="W2825" s="40" t="str">
        <f t="shared" si="207"/>
        <v>Spain</v>
      </c>
    </row>
    <row r="2826" spans="19:23">
      <c r="S2826" s="40" t="str">
        <v>England</v>
      </c>
      <c r="T2826" s="40" t="str">
        <f t="shared" si="205"/>
        <v>ERREUR</v>
      </c>
      <c r="U2826" s="40" t="str">
        <f t="shared" si="206"/>
        <v>AUCUNE</v>
      </c>
      <c r="V2826" s="40" t="str" cm="1">
        <f t="array" ref="V2826">_xlfn.IFS(
ISNUMBER(SEARCH("USA",S2826)),"United States",
ISNUMBER(SEARCH("Republic of Ireland",S2826)),"Ireland",
ISNUMBER(SEARCH("Republic of Korea",S2826)),"South Korea",
ISNUMBER(SEARCH("Cape Verde",S2826)),"Cabo Verde",
ISNUMBER(SEARCH("Czechia",S2826)),"Czech Republic",
ISNUMBER(SEARCH("Türkiye",S2826)),"Turkey",
ISNUMBER(SEARCH("Ivory Coast",S2826)),"Côte d'Ivoire",
ISNUMBER(SEARCH("Korea Republic",S2826)),"South Korea",
ISNUMBER(SEARCH("Germany FR",S2826)),"FR Germany",
ISNUMBER(SEARCH("West Germany",S2826)),"FR Germany",
ISNUMBER(SEARCH("Germany DR",S2826)),"DR Germany",
ISNUMBER(SEARCH("Korea DPR",S2826)),"North Korea",
ISNUMBER(SEARCH("China PR",S2826)),"China",
ISNUMBER(SEARCH("IR Iran",S2826)),"Iran",
ISNUMBER(SEARCH("Congo DR",S2826)),"Democratic Republic of the Congo",
ISNUMBER(SEARCH("DR Congo",S2826)),"Democratic Republic of the Congo",
ISNUMBER(SEARCH("German DR",S2826)),"DR Germany",
ISNUMBER(SEARCH("rn""&gt;United Arab Emirates",S2826)),"United Arab Emirates",
ISNUMBER(SEARCH("rn""&gt;Republic of Ireland",S2826)),"Ireland",
ISNUMBER(SEARCH("rn""&gt;Bosnia and Herzegovina",S2826)),"Bosnia and Herzegovina",
ISNUMBER(SEARCH("rn""&gt;Trinidad and Tobago",S2826)),"Trinidad and Tobago",
ISNUMBER(SEARCH("rn""&gt;Serbia and Montenegro",S2826)),"Serbia and Montenegro",
ISNUMBER(SEARCH(_xlfn.UNICHAR(65533),S2826)),"Côte d'Ivoire",
TRUE,""
)</f>
        <v/>
      </c>
      <c r="W2826" s="40" t="str">
        <f t="shared" si="207"/>
        <v>England</v>
      </c>
    </row>
    <row r="2827" spans="19:23">
      <c r="S2827" s="40" t="str">
        <v>Yugoslavia</v>
      </c>
      <c r="T2827" s="40" t="str">
        <f t="shared" si="205"/>
        <v>ERREUR</v>
      </c>
      <c r="U2827" s="40" t="str">
        <f t="shared" si="206"/>
        <v>AUCUNE</v>
      </c>
      <c r="V2827" s="40" t="str" cm="1">
        <f t="array" ref="V2827">_xlfn.IFS(
ISNUMBER(SEARCH("USA",S2827)),"United States",
ISNUMBER(SEARCH("Republic of Ireland",S2827)),"Ireland",
ISNUMBER(SEARCH("Republic of Korea",S2827)),"South Korea",
ISNUMBER(SEARCH("Cape Verde",S2827)),"Cabo Verde",
ISNUMBER(SEARCH("Czechia",S2827)),"Czech Republic",
ISNUMBER(SEARCH("Türkiye",S2827)),"Turkey",
ISNUMBER(SEARCH("Ivory Coast",S2827)),"Côte d'Ivoire",
ISNUMBER(SEARCH("Korea Republic",S2827)),"South Korea",
ISNUMBER(SEARCH("Germany FR",S2827)),"FR Germany",
ISNUMBER(SEARCH("West Germany",S2827)),"FR Germany",
ISNUMBER(SEARCH("Germany DR",S2827)),"DR Germany",
ISNUMBER(SEARCH("Korea DPR",S2827)),"North Korea",
ISNUMBER(SEARCH("China PR",S2827)),"China",
ISNUMBER(SEARCH("IR Iran",S2827)),"Iran",
ISNUMBER(SEARCH("Congo DR",S2827)),"Democratic Republic of the Congo",
ISNUMBER(SEARCH("DR Congo",S2827)),"Democratic Republic of the Congo",
ISNUMBER(SEARCH("German DR",S2827)),"DR Germany",
ISNUMBER(SEARCH("rn""&gt;United Arab Emirates",S2827)),"United Arab Emirates",
ISNUMBER(SEARCH("rn""&gt;Republic of Ireland",S2827)),"Ireland",
ISNUMBER(SEARCH("rn""&gt;Bosnia and Herzegovina",S2827)),"Bosnia and Herzegovina",
ISNUMBER(SEARCH("rn""&gt;Trinidad and Tobago",S2827)),"Trinidad and Tobago",
ISNUMBER(SEARCH("rn""&gt;Serbia and Montenegro",S2827)),"Serbia and Montenegro",
ISNUMBER(SEARCH(_xlfn.UNICHAR(65533),S2827)),"Côte d'Ivoire",
TRUE,""
)</f>
        <v/>
      </c>
      <c r="W2827" s="40" t="str">
        <f t="shared" si="207"/>
        <v>Yugoslavia</v>
      </c>
    </row>
    <row r="2828" spans="19:23">
      <c r="S2828" s="40" t="str">
        <v>Italy</v>
      </c>
      <c r="T2828" s="40" t="str">
        <f t="shared" si="205"/>
        <v>OK</v>
      </c>
      <c r="U2828" s="40" t="str">
        <f t="shared" si="206"/>
        <v>-</v>
      </c>
      <c r="V2828" s="40" t="str" cm="1">
        <f t="array" ref="V2828">_xlfn.IFS(
ISNUMBER(SEARCH("USA",S2828)),"United States",
ISNUMBER(SEARCH("Republic of Ireland",S2828)),"Ireland",
ISNUMBER(SEARCH("Republic of Korea",S2828)),"South Korea",
ISNUMBER(SEARCH("Cape Verde",S2828)),"Cabo Verde",
ISNUMBER(SEARCH("Czechia",S2828)),"Czech Republic",
ISNUMBER(SEARCH("Türkiye",S2828)),"Turkey",
ISNUMBER(SEARCH("Ivory Coast",S2828)),"Côte d'Ivoire",
ISNUMBER(SEARCH("Korea Republic",S2828)),"South Korea",
ISNUMBER(SEARCH("Germany FR",S2828)),"FR Germany",
ISNUMBER(SEARCH("West Germany",S2828)),"FR Germany",
ISNUMBER(SEARCH("Germany DR",S2828)),"DR Germany",
ISNUMBER(SEARCH("Korea DPR",S2828)),"North Korea",
ISNUMBER(SEARCH("China PR",S2828)),"China",
ISNUMBER(SEARCH("IR Iran",S2828)),"Iran",
ISNUMBER(SEARCH("Congo DR",S2828)),"Democratic Republic of the Congo",
ISNUMBER(SEARCH("DR Congo",S2828)),"Democratic Republic of the Congo",
ISNUMBER(SEARCH("German DR",S2828)),"DR Germany",
ISNUMBER(SEARCH("rn""&gt;United Arab Emirates",S2828)),"United Arab Emirates",
ISNUMBER(SEARCH("rn""&gt;Republic of Ireland",S2828)),"Ireland",
ISNUMBER(SEARCH("rn""&gt;Bosnia and Herzegovina",S2828)),"Bosnia and Herzegovina",
ISNUMBER(SEARCH("rn""&gt;Trinidad and Tobago",S2828)),"Trinidad and Tobago",
ISNUMBER(SEARCH("rn""&gt;Serbia and Montenegro",S2828)),"Serbia and Montenegro",
ISNUMBER(SEARCH(_xlfn.UNICHAR(65533),S2828)),"Côte d'Ivoire",
TRUE,""
)</f>
        <v/>
      </c>
      <c r="W2828" s="40" t="str">
        <f t="shared" si="207"/>
        <v>Italy</v>
      </c>
    </row>
    <row r="2829" spans="19:23">
      <c r="S2829" s="40" t="str">
        <v>Germany FR</v>
      </c>
      <c r="T2829" s="40" t="str">
        <f t="shared" si="205"/>
        <v>ERREUR</v>
      </c>
      <c r="U2829" s="40" t="str">
        <f t="shared" si="206"/>
        <v>RENOMMER</v>
      </c>
      <c r="V2829" s="40" t="str" cm="1">
        <f t="array" ref="V2829">_xlfn.IFS(
ISNUMBER(SEARCH("USA",S2829)),"United States",
ISNUMBER(SEARCH("Republic of Ireland",S2829)),"Ireland",
ISNUMBER(SEARCH("Republic of Korea",S2829)),"South Korea",
ISNUMBER(SEARCH("Cape Verde",S2829)),"Cabo Verde",
ISNUMBER(SEARCH("Czechia",S2829)),"Czech Republic",
ISNUMBER(SEARCH("Türkiye",S2829)),"Turkey",
ISNUMBER(SEARCH("Ivory Coast",S2829)),"Côte d'Ivoire",
ISNUMBER(SEARCH("Korea Republic",S2829)),"South Korea",
ISNUMBER(SEARCH("Germany FR",S2829)),"FR Germany",
ISNUMBER(SEARCH("West Germany",S2829)),"FR Germany",
ISNUMBER(SEARCH("Germany DR",S2829)),"DR Germany",
ISNUMBER(SEARCH("Korea DPR",S2829)),"North Korea",
ISNUMBER(SEARCH("China PR",S2829)),"China",
ISNUMBER(SEARCH("IR Iran",S2829)),"Iran",
ISNUMBER(SEARCH("Congo DR",S2829)),"Democratic Republic of the Congo",
ISNUMBER(SEARCH("DR Congo",S2829)),"Democratic Republic of the Congo",
ISNUMBER(SEARCH("German DR",S2829)),"DR Germany",
ISNUMBER(SEARCH("rn""&gt;United Arab Emirates",S2829)),"United Arab Emirates",
ISNUMBER(SEARCH("rn""&gt;Republic of Ireland",S2829)),"Ireland",
ISNUMBER(SEARCH("rn""&gt;Bosnia and Herzegovina",S2829)),"Bosnia and Herzegovina",
ISNUMBER(SEARCH("rn""&gt;Trinidad and Tobago",S2829)),"Trinidad and Tobago",
ISNUMBER(SEARCH("rn""&gt;Serbia and Montenegro",S2829)),"Serbia and Montenegro",
ISNUMBER(SEARCH(_xlfn.UNICHAR(65533),S2829)),"Côte d'Ivoire",
TRUE,""
)</f>
        <v>FR Germany</v>
      </c>
      <c r="W2829" s="40" t="str">
        <f t="shared" si="207"/>
        <v>FR Germany</v>
      </c>
    </row>
    <row r="2830" spans="19:23">
      <c r="S2830" s="40" t="str">
        <v>England</v>
      </c>
      <c r="T2830" s="40" t="str">
        <f t="shared" si="205"/>
        <v>ERREUR</v>
      </c>
      <c r="U2830" s="40" t="str">
        <f t="shared" si="206"/>
        <v>AUCUNE</v>
      </c>
      <c r="V2830" s="40" t="str" cm="1">
        <f t="array" ref="V2830">_xlfn.IFS(
ISNUMBER(SEARCH("USA",S2830)),"United States",
ISNUMBER(SEARCH("Republic of Ireland",S2830)),"Ireland",
ISNUMBER(SEARCH("Republic of Korea",S2830)),"South Korea",
ISNUMBER(SEARCH("Cape Verde",S2830)),"Cabo Verde",
ISNUMBER(SEARCH("Czechia",S2830)),"Czech Republic",
ISNUMBER(SEARCH("Türkiye",S2830)),"Turkey",
ISNUMBER(SEARCH("Ivory Coast",S2830)),"Côte d'Ivoire",
ISNUMBER(SEARCH("Korea Republic",S2830)),"South Korea",
ISNUMBER(SEARCH("Germany FR",S2830)),"FR Germany",
ISNUMBER(SEARCH("West Germany",S2830)),"FR Germany",
ISNUMBER(SEARCH("Germany DR",S2830)),"DR Germany",
ISNUMBER(SEARCH("Korea DPR",S2830)),"North Korea",
ISNUMBER(SEARCH("China PR",S2830)),"China",
ISNUMBER(SEARCH("IR Iran",S2830)),"Iran",
ISNUMBER(SEARCH("Congo DR",S2830)),"Democratic Republic of the Congo",
ISNUMBER(SEARCH("DR Congo",S2830)),"Democratic Republic of the Congo",
ISNUMBER(SEARCH("German DR",S2830)),"DR Germany",
ISNUMBER(SEARCH("rn""&gt;United Arab Emirates",S2830)),"United Arab Emirates",
ISNUMBER(SEARCH("rn""&gt;Republic of Ireland",S2830)),"Ireland",
ISNUMBER(SEARCH("rn""&gt;Bosnia and Herzegovina",S2830)),"Bosnia and Herzegovina",
ISNUMBER(SEARCH("rn""&gt;Trinidad and Tobago",S2830)),"Trinidad and Tobago",
ISNUMBER(SEARCH("rn""&gt;Serbia and Montenegro",S2830)),"Serbia and Montenegro",
ISNUMBER(SEARCH(_xlfn.UNICHAR(65533),S2830)),"Côte d'Ivoire",
TRUE,""
)</f>
        <v/>
      </c>
      <c r="W2830" s="40" t="str">
        <f t="shared" si="207"/>
        <v>England</v>
      </c>
    </row>
    <row r="2831" spans="19:23">
      <c r="S2831" s="40" t="str">
        <v>Italy</v>
      </c>
      <c r="T2831" s="40" t="str">
        <f t="shared" si="205"/>
        <v>OK</v>
      </c>
      <c r="U2831" s="40" t="str">
        <f t="shared" si="206"/>
        <v>-</v>
      </c>
      <c r="V2831" s="40" t="str" cm="1">
        <f t="array" ref="V2831">_xlfn.IFS(
ISNUMBER(SEARCH("USA",S2831)),"United States",
ISNUMBER(SEARCH("Republic of Ireland",S2831)),"Ireland",
ISNUMBER(SEARCH("Republic of Korea",S2831)),"South Korea",
ISNUMBER(SEARCH("Cape Verde",S2831)),"Cabo Verde",
ISNUMBER(SEARCH("Czechia",S2831)),"Czech Republic",
ISNUMBER(SEARCH("Türkiye",S2831)),"Turkey",
ISNUMBER(SEARCH("Ivory Coast",S2831)),"Côte d'Ivoire",
ISNUMBER(SEARCH("Korea Republic",S2831)),"South Korea",
ISNUMBER(SEARCH("Germany FR",S2831)),"FR Germany",
ISNUMBER(SEARCH("West Germany",S2831)),"FR Germany",
ISNUMBER(SEARCH("Germany DR",S2831)),"DR Germany",
ISNUMBER(SEARCH("Korea DPR",S2831)),"North Korea",
ISNUMBER(SEARCH("China PR",S2831)),"China",
ISNUMBER(SEARCH("IR Iran",S2831)),"Iran",
ISNUMBER(SEARCH("Congo DR",S2831)),"Democratic Republic of the Congo",
ISNUMBER(SEARCH("DR Congo",S2831)),"Democratic Republic of the Congo",
ISNUMBER(SEARCH("German DR",S2831)),"DR Germany",
ISNUMBER(SEARCH("rn""&gt;United Arab Emirates",S2831)),"United Arab Emirates",
ISNUMBER(SEARCH("rn""&gt;Republic of Ireland",S2831)),"Ireland",
ISNUMBER(SEARCH("rn""&gt;Bosnia and Herzegovina",S2831)),"Bosnia and Herzegovina",
ISNUMBER(SEARCH("rn""&gt;Trinidad and Tobago",S2831)),"Trinidad and Tobago",
ISNUMBER(SEARCH("rn""&gt;Serbia and Montenegro",S2831)),"Serbia and Montenegro",
ISNUMBER(SEARCH(_xlfn.UNICHAR(65533),S2831)),"Côte d'Ivoire",
TRUE,""
)</f>
        <v/>
      </c>
      <c r="W2831" s="40" t="str">
        <f t="shared" si="207"/>
        <v>Italy</v>
      </c>
    </row>
    <row r="2832" spans="19:23">
      <c r="S2832" s="40" t="str">
        <v>Germany FR</v>
      </c>
      <c r="T2832" s="40" t="str">
        <f t="shared" si="205"/>
        <v>ERREUR</v>
      </c>
      <c r="U2832" s="40" t="str">
        <f t="shared" si="206"/>
        <v>RENOMMER</v>
      </c>
      <c r="V2832" s="40" t="str" cm="1">
        <f t="array" ref="V2832">_xlfn.IFS(
ISNUMBER(SEARCH("USA",S2832)),"United States",
ISNUMBER(SEARCH("Republic of Ireland",S2832)),"Ireland",
ISNUMBER(SEARCH("Republic of Korea",S2832)),"South Korea",
ISNUMBER(SEARCH("Cape Verde",S2832)),"Cabo Verde",
ISNUMBER(SEARCH("Czechia",S2832)),"Czech Republic",
ISNUMBER(SEARCH("Türkiye",S2832)),"Turkey",
ISNUMBER(SEARCH("Ivory Coast",S2832)),"Côte d'Ivoire",
ISNUMBER(SEARCH("Korea Republic",S2832)),"South Korea",
ISNUMBER(SEARCH("Germany FR",S2832)),"FR Germany",
ISNUMBER(SEARCH("West Germany",S2832)),"FR Germany",
ISNUMBER(SEARCH("Germany DR",S2832)),"DR Germany",
ISNUMBER(SEARCH("Korea DPR",S2832)),"North Korea",
ISNUMBER(SEARCH("China PR",S2832)),"China",
ISNUMBER(SEARCH("IR Iran",S2832)),"Iran",
ISNUMBER(SEARCH("Congo DR",S2832)),"Democratic Republic of the Congo",
ISNUMBER(SEARCH("DR Congo",S2832)),"Democratic Republic of the Congo",
ISNUMBER(SEARCH("German DR",S2832)),"DR Germany",
ISNUMBER(SEARCH("rn""&gt;United Arab Emirates",S2832)),"United Arab Emirates",
ISNUMBER(SEARCH("rn""&gt;Republic of Ireland",S2832)),"Ireland",
ISNUMBER(SEARCH("rn""&gt;Bosnia and Herzegovina",S2832)),"Bosnia and Herzegovina",
ISNUMBER(SEARCH("rn""&gt;Trinidad and Tobago",S2832)),"Trinidad and Tobago",
ISNUMBER(SEARCH("rn""&gt;Serbia and Montenegro",S2832)),"Serbia and Montenegro",
ISNUMBER(SEARCH(_xlfn.UNICHAR(65533),S2832)),"Côte d'Ivoire",
TRUE,""
)</f>
        <v>FR Germany</v>
      </c>
      <c r="W2832" s="40" t="str">
        <f t="shared" si="207"/>
        <v>FR Germany</v>
      </c>
    </row>
    <row r="2833" spans="19:23">
      <c r="S2833" s="40" t="str">
        <v>Italy</v>
      </c>
      <c r="T2833" s="40" t="str">
        <f t="shared" si="205"/>
        <v>OK</v>
      </c>
      <c r="U2833" s="40" t="str">
        <f t="shared" si="206"/>
        <v>-</v>
      </c>
      <c r="V2833" s="40" t="str" cm="1">
        <f t="array" ref="V2833">_xlfn.IFS(
ISNUMBER(SEARCH("USA",S2833)),"United States",
ISNUMBER(SEARCH("Republic of Ireland",S2833)),"Ireland",
ISNUMBER(SEARCH("Republic of Korea",S2833)),"South Korea",
ISNUMBER(SEARCH("Cape Verde",S2833)),"Cabo Verde",
ISNUMBER(SEARCH("Czechia",S2833)),"Czech Republic",
ISNUMBER(SEARCH("Türkiye",S2833)),"Turkey",
ISNUMBER(SEARCH("Ivory Coast",S2833)),"Côte d'Ivoire",
ISNUMBER(SEARCH("Korea Republic",S2833)),"South Korea",
ISNUMBER(SEARCH("Germany FR",S2833)),"FR Germany",
ISNUMBER(SEARCH("West Germany",S2833)),"FR Germany",
ISNUMBER(SEARCH("Germany DR",S2833)),"DR Germany",
ISNUMBER(SEARCH("Korea DPR",S2833)),"North Korea",
ISNUMBER(SEARCH("China PR",S2833)),"China",
ISNUMBER(SEARCH("IR Iran",S2833)),"Iran",
ISNUMBER(SEARCH("Congo DR",S2833)),"Democratic Republic of the Congo",
ISNUMBER(SEARCH("DR Congo",S2833)),"Democratic Republic of the Congo",
ISNUMBER(SEARCH("German DR",S2833)),"DR Germany",
ISNUMBER(SEARCH("rn""&gt;United Arab Emirates",S2833)),"United Arab Emirates",
ISNUMBER(SEARCH("rn""&gt;Republic of Ireland",S2833)),"Ireland",
ISNUMBER(SEARCH("rn""&gt;Bosnia and Herzegovina",S2833)),"Bosnia and Herzegovina",
ISNUMBER(SEARCH("rn""&gt;Trinidad and Tobago",S2833)),"Trinidad and Tobago",
ISNUMBER(SEARCH("rn""&gt;Serbia and Montenegro",S2833)),"Serbia and Montenegro",
ISNUMBER(SEARCH(_xlfn.UNICHAR(65533),S2833)),"Côte d'Ivoire",
TRUE,""
)</f>
        <v/>
      </c>
      <c r="W2833" s="40" t="str">
        <f t="shared" si="207"/>
        <v>Italy</v>
      </c>
    </row>
    <row r="2834" spans="19:23">
      <c r="S2834" s="40" t="str">
        <v>Germany FR</v>
      </c>
      <c r="T2834" s="40" t="str">
        <f t="shared" si="205"/>
        <v>ERREUR</v>
      </c>
      <c r="U2834" s="40" t="str">
        <f t="shared" si="206"/>
        <v>RENOMMER</v>
      </c>
      <c r="V2834" s="40" t="str" cm="1">
        <f t="array" ref="V2834">_xlfn.IFS(
ISNUMBER(SEARCH("USA",S2834)),"United States",
ISNUMBER(SEARCH("Republic of Ireland",S2834)),"Ireland",
ISNUMBER(SEARCH("Republic of Korea",S2834)),"South Korea",
ISNUMBER(SEARCH("Cape Verde",S2834)),"Cabo Verde",
ISNUMBER(SEARCH("Czechia",S2834)),"Czech Republic",
ISNUMBER(SEARCH("Türkiye",S2834)),"Turkey",
ISNUMBER(SEARCH("Ivory Coast",S2834)),"Côte d'Ivoire",
ISNUMBER(SEARCH("Korea Republic",S2834)),"South Korea",
ISNUMBER(SEARCH("Germany FR",S2834)),"FR Germany",
ISNUMBER(SEARCH("West Germany",S2834)),"FR Germany",
ISNUMBER(SEARCH("Germany DR",S2834)),"DR Germany",
ISNUMBER(SEARCH("Korea DPR",S2834)),"North Korea",
ISNUMBER(SEARCH("China PR",S2834)),"China",
ISNUMBER(SEARCH("IR Iran",S2834)),"Iran",
ISNUMBER(SEARCH("Congo DR",S2834)),"Democratic Republic of the Congo",
ISNUMBER(SEARCH("DR Congo",S2834)),"Democratic Republic of the Congo",
ISNUMBER(SEARCH("German DR",S2834)),"DR Germany",
ISNUMBER(SEARCH("rn""&gt;United Arab Emirates",S2834)),"United Arab Emirates",
ISNUMBER(SEARCH("rn""&gt;Republic of Ireland",S2834)),"Ireland",
ISNUMBER(SEARCH("rn""&gt;Bosnia and Herzegovina",S2834)),"Bosnia and Herzegovina",
ISNUMBER(SEARCH("rn""&gt;Trinidad and Tobago",S2834)),"Trinidad and Tobago",
ISNUMBER(SEARCH("rn""&gt;Serbia and Montenegro",S2834)),"Serbia and Montenegro",
ISNUMBER(SEARCH(_xlfn.UNICHAR(65533),S2834)),"Côte d'Ivoire",
TRUE,""
)</f>
        <v>FR Germany</v>
      </c>
      <c r="W2834" s="40" t="str">
        <f t="shared" si="207"/>
        <v>FR Germany</v>
      </c>
    </row>
    <row r="2835" spans="19:23">
      <c r="S2835" s="40" t="str">
        <v>Spain</v>
      </c>
      <c r="T2835" s="40" t="str">
        <f t="shared" si="205"/>
        <v>OK</v>
      </c>
      <c r="U2835" s="40" t="str">
        <f t="shared" si="206"/>
        <v>-</v>
      </c>
      <c r="V2835" s="40" t="str" cm="1">
        <f t="array" ref="V2835">_xlfn.IFS(
ISNUMBER(SEARCH("USA",S2835)),"United States",
ISNUMBER(SEARCH("Republic of Ireland",S2835)),"Ireland",
ISNUMBER(SEARCH("Republic of Korea",S2835)),"South Korea",
ISNUMBER(SEARCH("Cape Verde",S2835)),"Cabo Verde",
ISNUMBER(SEARCH("Czechia",S2835)),"Czech Republic",
ISNUMBER(SEARCH("Türkiye",S2835)),"Turkey",
ISNUMBER(SEARCH("Ivory Coast",S2835)),"Côte d'Ivoire",
ISNUMBER(SEARCH("Korea Republic",S2835)),"South Korea",
ISNUMBER(SEARCH("Germany FR",S2835)),"FR Germany",
ISNUMBER(SEARCH("West Germany",S2835)),"FR Germany",
ISNUMBER(SEARCH("Germany DR",S2835)),"DR Germany",
ISNUMBER(SEARCH("Korea DPR",S2835)),"North Korea",
ISNUMBER(SEARCH("China PR",S2835)),"China",
ISNUMBER(SEARCH("IR Iran",S2835)),"Iran",
ISNUMBER(SEARCH("Congo DR",S2835)),"Democratic Republic of the Congo",
ISNUMBER(SEARCH("DR Congo",S2835)),"Democratic Republic of the Congo",
ISNUMBER(SEARCH("German DR",S2835)),"DR Germany",
ISNUMBER(SEARCH("rn""&gt;United Arab Emirates",S2835)),"United Arab Emirates",
ISNUMBER(SEARCH("rn""&gt;Republic of Ireland",S2835)),"Ireland",
ISNUMBER(SEARCH("rn""&gt;Bosnia and Herzegovina",S2835)),"Bosnia and Herzegovina",
ISNUMBER(SEARCH("rn""&gt;Trinidad and Tobago",S2835)),"Trinidad and Tobago",
ISNUMBER(SEARCH("rn""&gt;Serbia and Montenegro",S2835)),"Serbia and Montenegro",
ISNUMBER(SEARCH(_xlfn.UNICHAR(65533),S2835)),"Côte d'Ivoire",
TRUE,""
)</f>
        <v/>
      </c>
      <c r="W2835" s="40" t="str">
        <f t="shared" si="207"/>
        <v>Spain</v>
      </c>
    </row>
    <row r="2836" spans="19:23">
      <c r="S2836" s="40" t="str">
        <v>Germany</v>
      </c>
      <c r="T2836" s="40" t="str">
        <f t="shared" si="205"/>
        <v>OK</v>
      </c>
      <c r="U2836" s="40" t="str">
        <f t="shared" si="206"/>
        <v>-</v>
      </c>
      <c r="V2836" s="40" t="str" cm="1">
        <f t="array" ref="V2836">_xlfn.IFS(
ISNUMBER(SEARCH("USA",S2836)),"United States",
ISNUMBER(SEARCH("Republic of Ireland",S2836)),"Ireland",
ISNUMBER(SEARCH("Republic of Korea",S2836)),"South Korea",
ISNUMBER(SEARCH("Cape Verde",S2836)),"Cabo Verde",
ISNUMBER(SEARCH("Czechia",S2836)),"Czech Republic",
ISNUMBER(SEARCH("Türkiye",S2836)),"Turkey",
ISNUMBER(SEARCH("Ivory Coast",S2836)),"Côte d'Ivoire",
ISNUMBER(SEARCH("Korea Republic",S2836)),"South Korea",
ISNUMBER(SEARCH("Germany FR",S2836)),"FR Germany",
ISNUMBER(SEARCH("West Germany",S2836)),"FR Germany",
ISNUMBER(SEARCH("Germany DR",S2836)),"DR Germany",
ISNUMBER(SEARCH("Korea DPR",S2836)),"North Korea",
ISNUMBER(SEARCH("China PR",S2836)),"China",
ISNUMBER(SEARCH("IR Iran",S2836)),"Iran",
ISNUMBER(SEARCH("Congo DR",S2836)),"Democratic Republic of the Congo",
ISNUMBER(SEARCH("DR Congo",S2836)),"Democratic Republic of the Congo",
ISNUMBER(SEARCH("German DR",S2836)),"DR Germany",
ISNUMBER(SEARCH("rn""&gt;United Arab Emirates",S2836)),"United Arab Emirates",
ISNUMBER(SEARCH("rn""&gt;Republic of Ireland",S2836)),"Ireland",
ISNUMBER(SEARCH("rn""&gt;Bosnia and Herzegovina",S2836)),"Bosnia and Herzegovina",
ISNUMBER(SEARCH("rn""&gt;Trinidad and Tobago",S2836)),"Trinidad and Tobago",
ISNUMBER(SEARCH("rn""&gt;Serbia and Montenegro",S2836)),"Serbia and Montenegro",
ISNUMBER(SEARCH(_xlfn.UNICHAR(65533),S2836)),"Côte d'Ivoire",
TRUE,""
)</f>
        <v/>
      </c>
      <c r="W2836" s="40" t="str">
        <f t="shared" si="207"/>
        <v>Germany</v>
      </c>
    </row>
    <row r="2837" spans="19:23">
      <c r="S2837" s="40" t="str">
        <v>USA</v>
      </c>
      <c r="T2837" s="40" t="str">
        <f t="shared" si="205"/>
        <v>ERREUR</v>
      </c>
      <c r="U2837" s="40" t="str">
        <f t="shared" si="206"/>
        <v>RENOMMER</v>
      </c>
      <c r="V2837" s="40" t="str" cm="1">
        <f t="array" ref="V2837">_xlfn.IFS(
ISNUMBER(SEARCH("USA",S2837)),"United States",
ISNUMBER(SEARCH("Republic of Ireland",S2837)),"Ireland",
ISNUMBER(SEARCH("Republic of Korea",S2837)),"South Korea",
ISNUMBER(SEARCH("Cape Verde",S2837)),"Cabo Verde",
ISNUMBER(SEARCH("Czechia",S2837)),"Czech Republic",
ISNUMBER(SEARCH("Türkiye",S2837)),"Turkey",
ISNUMBER(SEARCH("Ivory Coast",S2837)),"Côte d'Ivoire",
ISNUMBER(SEARCH("Korea Republic",S2837)),"South Korea",
ISNUMBER(SEARCH("Germany FR",S2837)),"FR Germany",
ISNUMBER(SEARCH("West Germany",S2837)),"FR Germany",
ISNUMBER(SEARCH("Germany DR",S2837)),"DR Germany",
ISNUMBER(SEARCH("Korea DPR",S2837)),"North Korea",
ISNUMBER(SEARCH("China PR",S2837)),"China",
ISNUMBER(SEARCH("IR Iran",S2837)),"Iran",
ISNUMBER(SEARCH("Congo DR",S2837)),"Democratic Republic of the Congo",
ISNUMBER(SEARCH("DR Congo",S2837)),"Democratic Republic of the Congo",
ISNUMBER(SEARCH("German DR",S2837)),"DR Germany",
ISNUMBER(SEARCH("rn""&gt;United Arab Emirates",S2837)),"United Arab Emirates",
ISNUMBER(SEARCH("rn""&gt;Republic of Ireland",S2837)),"Ireland",
ISNUMBER(SEARCH("rn""&gt;Bosnia and Herzegovina",S2837)),"Bosnia and Herzegovina",
ISNUMBER(SEARCH("rn""&gt;Trinidad and Tobago",S2837)),"Trinidad and Tobago",
ISNUMBER(SEARCH("rn""&gt;Serbia and Montenegro",S2837)),"Serbia and Montenegro",
ISNUMBER(SEARCH(_xlfn.UNICHAR(65533),S2837)),"Côte d'Ivoire",
TRUE,""
)</f>
        <v>United States</v>
      </c>
      <c r="W2837" s="40" t="str">
        <f t="shared" si="207"/>
        <v>United States</v>
      </c>
    </row>
    <row r="2838" spans="19:23">
      <c r="S2838" s="40" t="str">
        <v>Italy</v>
      </c>
      <c r="T2838" s="40" t="str">
        <f t="shared" si="205"/>
        <v>OK</v>
      </c>
      <c r="U2838" s="40" t="str">
        <f t="shared" si="206"/>
        <v>-</v>
      </c>
      <c r="V2838" s="40" t="str" cm="1">
        <f t="array" ref="V2838">_xlfn.IFS(
ISNUMBER(SEARCH("USA",S2838)),"United States",
ISNUMBER(SEARCH("Republic of Ireland",S2838)),"Ireland",
ISNUMBER(SEARCH("Republic of Korea",S2838)),"South Korea",
ISNUMBER(SEARCH("Cape Verde",S2838)),"Cabo Verde",
ISNUMBER(SEARCH("Czechia",S2838)),"Czech Republic",
ISNUMBER(SEARCH("Türkiye",S2838)),"Turkey",
ISNUMBER(SEARCH("Ivory Coast",S2838)),"Côte d'Ivoire",
ISNUMBER(SEARCH("Korea Republic",S2838)),"South Korea",
ISNUMBER(SEARCH("Germany FR",S2838)),"FR Germany",
ISNUMBER(SEARCH("West Germany",S2838)),"FR Germany",
ISNUMBER(SEARCH("Germany DR",S2838)),"DR Germany",
ISNUMBER(SEARCH("Korea DPR",S2838)),"North Korea",
ISNUMBER(SEARCH("China PR",S2838)),"China",
ISNUMBER(SEARCH("IR Iran",S2838)),"Iran",
ISNUMBER(SEARCH("Congo DR",S2838)),"Democratic Republic of the Congo",
ISNUMBER(SEARCH("DR Congo",S2838)),"Democratic Republic of the Congo",
ISNUMBER(SEARCH("German DR",S2838)),"DR Germany",
ISNUMBER(SEARCH("rn""&gt;United Arab Emirates",S2838)),"United Arab Emirates",
ISNUMBER(SEARCH("rn""&gt;Republic of Ireland",S2838)),"Ireland",
ISNUMBER(SEARCH("rn""&gt;Bosnia and Herzegovina",S2838)),"Bosnia and Herzegovina",
ISNUMBER(SEARCH("rn""&gt;Trinidad and Tobago",S2838)),"Trinidad and Tobago",
ISNUMBER(SEARCH("rn""&gt;Serbia and Montenegro",S2838)),"Serbia and Montenegro",
ISNUMBER(SEARCH(_xlfn.UNICHAR(65533),S2838)),"Côte d'Ivoire",
TRUE,""
)</f>
        <v/>
      </c>
      <c r="W2838" s="40" t="str">
        <f t="shared" si="207"/>
        <v>Italy</v>
      </c>
    </row>
    <row r="2839" spans="19:23">
      <c r="S2839" s="40" t="str">
        <v>Colombia</v>
      </c>
      <c r="T2839" s="40" t="str">
        <f t="shared" si="205"/>
        <v>OK</v>
      </c>
      <c r="U2839" s="40" t="str">
        <f t="shared" si="206"/>
        <v>-</v>
      </c>
      <c r="V2839" s="40" t="str" cm="1">
        <f t="array" ref="V2839">_xlfn.IFS(
ISNUMBER(SEARCH("USA",S2839)),"United States",
ISNUMBER(SEARCH("Republic of Ireland",S2839)),"Ireland",
ISNUMBER(SEARCH("Republic of Korea",S2839)),"South Korea",
ISNUMBER(SEARCH("Cape Verde",S2839)),"Cabo Verde",
ISNUMBER(SEARCH("Czechia",S2839)),"Czech Republic",
ISNUMBER(SEARCH("Türkiye",S2839)),"Turkey",
ISNUMBER(SEARCH("Ivory Coast",S2839)),"Côte d'Ivoire",
ISNUMBER(SEARCH("Korea Republic",S2839)),"South Korea",
ISNUMBER(SEARCH("Germany FR",S2839)),"FR Germany",
ISNUMBER(SEARCH("West Germany",S2839)),"FR Germany",
ISNUMBER(SEARCH("Germany DR",S2839)),"DR Germany",
ISNUMBER(SEARCH("Korea DPR",S2839)),"North Korea",
ISNUMBER(SEARCH("China PR",S2839)),"China",
ISNUMBER(SEARCH("IR Iran",S2839)),"Iran",
ISNUMBER(SEARCH("Congo DR",S2839)),"Democratic Republic of the Congo",
ISNUMBER(SEARCH("DR Congo",S2839)),"Democratic Republic of the Congo",
ISNUMBER(SEARCH("German DR",S2839)),"DR Germany",
ISNUMBER(SEARCH("rn""&gt;United Arab Emirates",S2839)),"United Arab Emirates",
ISNUMBER(SEARCH("rn""&gt;Republic of Ireland",S2839)),"Ireland",
ISNUMBER(SEARCH("rn""&gt;Bosnia and Herzegovina",S2839)),"Bosnia and Herzegovina",
ISNUMBER(SEARCH("rn""&gt;Trinidad and Tobago",S2839)),"Trinidad and Tobago",
ISNUMBER(SEARCH("rn""&gt;Serbia and Montenegro",S2839)),"Serbia and Montenegro",
ISNUMBER(SEARCH(_xlfn.UNICHAR(65533),S2839)),"Côte d'Ivoire",
TRUE,""
)</f>
        <v/>
      </c>
      <c r="W2839" s="40" t="str">
        <f t="shared" si="207"/>
        <v>Colombia</v>
      </c>
    </row>
    <row r="2840" spans="19:23">
      <c r="S2840" s="40" t="str">
        <v>Belgium</v>
      </c>
      <c r="T2840" s="40" t="str">
        <f t="shared" si="205"/>
        <v>OK</v>
      </c>
      <c r="U2840" s="40" t="str">
        <f t="shared" si="206"/>
        <v>-</v>
      </c>
      <c r="V2840" s="40" t="str" cm="1">
        <f t="array" ref="V2840">_xlfn.IFS(
ISNUMBER(SEARCH("USA",S2840)),"United States",
ISNUMBER(SEARCH("Republic of Ireland",S2840)),"Ireland",
ISNUMBER(SEARCH("Republic of Korea",S2840)),"South Korea",
ISNUMBER(SEARCH("Cape Verde",S2840)),"Cabo Verde",
ISNUMBER(SEARCH("Czechia",S2840)),"Czech Republic",
ISNUMBER(SEARCH("Türkiye",S2840)),"Turkey",
ISNUMBER(SEARCH("Ivory Coast",S2840)),"Côte d'Ivoire",
ISNUMBER(SEARCH("Korea Republic",S2840)),"South Korea",
ISNUMBER(SEARCH("Germany FR",S2840)),"FR Germany",
ISNUMBER(SEARCH("West Germany",S2840)),"FR Germany",
ISNUMBER(SEARCH("Germany DR",S2840)),"DR Germany",
ISNUMBER(SEARCH("Korea DPR",S2840)),"North Korea",
ISNUMBER(SEARCH("China PR",S2840)),"China",
ISNUMBER(SEARCH("IR Iran",S2840)),"Iran",
ISNUMBER(SEARCH("Congo DR",S2840)),"Democratic Republic of the Congo",
ISNUMBER(SEARCH("DR Congo",S2840)),"Democratic Republic of the Congo",
ISNUMBER(SEARCH("German DR",S2840)),"DR Germany",
ISNUMBER(SEARCH("rn""&gt;United Arab Emirates",S2840)),"United Arab Emirates",
ISNUMBER(SEARCH("rn""&gt;Republic of Ireland",S2840)),"Ireland",
ISNUMBER(SEARCH("rn""&gt;Bosnia and Herzegovina",S2840)),"Bosnia and Herzegovina",
ISNUMBER(SEARCH("rn""&gt;Trinidad and Tobago",S2840)),"Trinidad and Tobago",
ISNUMBER(SEARCH("rn""&gt;Serbia and Montenegro",S2840)),"Serbia and Montenegro",
ISNUMBER(SEARCH(_xlfn.UNICHAR(65533),S2840)),"Côte d'Ivoire",
TRUE,""
)</f>
        <v/>
      </c>
      <c r="W2840" s="40" t="str">
        <f t="shared" si="207"/>
        <v>Belgium</v>
      </c>
    </row>
    <row r="2841" spans="19:23">
      <c r="S2841" s="40" t="str">
        <v>Norway</v>
      </c>
      <c r="T2841" s="40" t="str">
        <f t="shared" si="205"/>
        <v>OK</v>
      </c>
      <c r="U2841" s="40" t="str">
        <f t="shared" si="206"/>
        <v>-</v>
      </c>
      <c r="V2841" s="40" t="str" cm="1">
        <f t="array" ref="V2841">_xlfn.IFS(
ISNUMBER(SEARCH("USA",S2841)),"United States",
ISNUMBER(SEARCH("Republic of Ireland",S2841)),"Ireland",
ISNUMBER(SEARCH("Republic of Korea",S2841)),"South Korea",
ISNUMBER(SEARCH("Cape Verde",S2841)),"Cabo Verde",
ISNUMBER(SEARCH("Czechia",S2841)),"Czech Republic",
ISNUMBER(SEARCH("Türkiye",S2841)),"Turkey",
ISNUMBER(SEARCH("Ivory Coast",S2841)),"Côte d'Ivoire",
ISNUMBER(SEARCH("Korea Republic",S2841)),"South Korea",
ISNUMBER(SEARCH("Germany FR",S2841)),"FR Germany",
ISNUMBER(SEARCH("West Germany",S2841)),"FR Germany",
ISNUMBER(SEARCH("Germany DR",S2841)),"DR Germany",
ISNUMBER(SEARCH("Korea DPR",S2841)),"North Korea",
ISNUMBER(SEARCH("China PR",S2841)),"China",
ISNUMBER(SEARCH("IR Iran",S2841)),"Iran",
ISNUMBER(SEARCH("Congo DR",S2841)),"Democratic Republic of the Congo",
ISNUMBER(SEARCH("DR Congo",S2841)),"Democratic Republic of the Congo",
ISNUMBER(SEARCH("German DR",S2841)),"DR Germany",
ISNUMBER(SEARCH("rn""&gt;United Arab Emirates",S2841)),"United Arab Emirates",
ISNUMBER(SEARCH("rn""&gt;Republic of Ireland",S2841)),"Ireland",
ISNUMBER(SEARCH("rn""&gt;Bosnia and Herzegovina",S2841)),"Bosnia and Herzegovina",
ISNUMBER(SEARCH("rn""&gt;Trinidad and Tobago",S2841)),"Trinidad and Tobago",
ISNUMBER(SEARCH("rn""&gt;Serbia and Montenegro",S2841)),"Serbia and Montenegro",
ISNUMBER(SEARCH(_xlfn.UNICHAR(65533),S2841)),"Côte d'Ivoire",
TRUE,""
)</f>
        <v/>
      </c>
      <c r="W2841" s="40" t="str">
        <f t="shared" si="207"/>
        <v>Norway</v>
      </c>
    </row>
    <row r="2842" spans="19:23">
      <c r="S2842" s="40" t="str">
        <v>Cameroon</v>
      </c>
      <c r="T2842" s="40" t="str">
        <f t="shared" si="205"/>
        <v>OK</v>
      </c>
      <c r="U2842" s="40" t="str">
        <f t="shared" si="206"/>
        <v>-</v>
      </c>
      <c r="V2842" s="40" t="str" cm="1">
        <f t="array" ref="V2842">_xlfn.IFS(
ISNUMBER(SEARCH("USA",S2842)),"United States",
ISNUMBER(SEARCH("Republic of Ireland",S2842)),"Ireland",
ISNUMBER(SEARCH("Republic of Korea",S2842)),"South Korea",
ISNUMBER(SEARCH("Cape Verde",S2842)),"Cabo Verde",
ISNUMBER(SEARCH("Czechia",S2842)),"Czech Republic",
ISNUMBER(SEARCH("Türkiye",S2842)),"Turkey",
ISNUMBER(SEARCH("Ivory Coast",S2842)),"Côte d'Ivoire",
ISNUMBER(SEARCH("Korea Republic",S2842)),"South Korea",
ISNUMBER(SEARCH("Germany FR",S2842)),"FR Germany",
ISNUMBER(SEARCH("West Germany",S2842)),"FR Germany",
ISNUMBER(SEARCH("Germany DR",S2842)),"DR Germany",
ISNUMBER(SEARCH("Korea DPR",S2842)),"North Korea",
ISNUMBER(SEARCH("China PR",S2842)),"China",
ISNUMBER(SEARCH("IR Iran",S2842)),"Iran",
ISNUMBER(SEARCH("Congo DR",S2842)),"Democratic Republic of the Congo",
ISNUMBER(SEARCH("DR Congo",S2842)),"Democratic Republic of the Congo",
ISNUMBER(SEARCH("German DR",S2842)),"DR Germany",
ISNUMBER(SEARCH("rn""&gt;United Arab Emirates",S2842)),"United Arab Emirates",
ISNUMBER(SEARCH("rn""&gt;Republic of Ireland",S2842)),"Ireland",
ISNUMBER(SEARCH("rn""&gt;Bosnia and Herzegovina",S2842)),"Bosnia and Herzegovina",
ISNUMBER(SEARCH("rn""&gt;Trinidad and Tobago",S2842)),"Trinidad and Tobago",
ISNUMBER(SEARCH("rn""&gt;Serbia and Montenegro",S2842)),"Serbia and Montenegro",
ISNUMBER(SEARCH(_xlfn.UNICHAR(65533),S2842)),"Côte d'Ivoire",
TRUE,""
)</f>
        <v/>
      </c>
      <c r="W2842" s="40" t="str">
        <f t="shared" si="207"/>
        <v>Cameroon</v>
      </c>
    </row>
    <row r="2843" spans="19:23">
      <c r="S2843" s="40" t="str">
        <v>Netherlands</v>
      </c>
      <c r="T2843" s="40" t="str">
        <f t="shared" si="205"/>
        <v>OK</v>
      </c>
      <c r="U2843" s="40" t="str">
        <f t="shared" si="206"/>
        <v>-</v>
      </c>
      <c r="V2843" s="40" t="str" cm="1">
        <f t="array" ref="V2843">_xlfn.IFS(
ISNUMBER(SEARCH("USA",S2843)),"United States",
ISNUMBER(SEARCH("Republic of Ireland",S2843)),"Ireland",
ISNUMBER(SEARCH("Republic of Korea",S2843)),"South Korea",
ISNUMBER(SEARCH("Cape Verde",S2843)),"Cabo Verde",
ISNUMBER(SEARCH("Czechia",S2843)),"Czech Republic",
ISNUMBER(SEARCH("Türkiye",S2843)),"Turkey",
ISNUMBER(SEARCH("Ivory Coast",S2843)),"Côte d'Ivoire",
ISNUMBER(SEARCH("Korea Republic",S2843)),"South Korea",
ISNUMBER(SEARCH("Germany FR",S2843)),"FR Germany",
ISNUMBER(SEARCH("West Germany",S2843)),"FR Germany",
ISNUMBER(SEARCH("Germany DR",S2843)),"DR Germany",
ISNUMBER(SEARCH("Korea DPR",S2843)),"North Korea",
ISNUMBER(SEARCH("China PR",S2843)),"China",
ISNUMBER(SEARCH("IR Iran",S2843)),"Iran",
ISNUMBER(SEARCH("Congo DR",S2843)),"Democratic Republic of the Congo",
ISNUMBER(SEARCH("DR Congo",S2843)),"Democratic Republic of the Congo",
ISNUMBER(SEARCH("German DR",S2843)),"DR Germany",
ISNUMBER(SEARCH("rn""&gt;United Arab Emirates",S2843)),"United Arab Emirates",
ISNUMBER(SEARCH("rn""&gt;Republic of Ireland",S2843)),"Ireland",
ISNUMBER(SEARCH("rn""&gt;Bosnia and Herzegovina",S2843)),"Bosnia and Herzegovina",
ISNUMBER(SEARCH("rn""&gt;Trinidad and Tobago",S2843)),"Trinidad and Tobago",
ISNUMBER(SEARCH("rn""&gt;Serbia and Montenegro",S2843)),"Serbia and Montenegro",
ISNUMBER(SEARCH(_xlfn.UNICHAR(65533),S2843)),"Côte d'Ivoire",
TRUE,""
)</f>
        <v/>
      </c>
      <c r="W2843" s="40" t="str">
        <f t="shared" si="207"/>
        <v>Netherlands</v>
      </c>
    </row>
    <row r="2844" spans="19:23">
      <c r="S2844" s="40" t="str">
        <v>Brazil</v>
      </c>
      <c r="T2844" s="40" t="str">
        <f t="shared" si="205"/>
        <v>OK</v>
      </c>
      <c r="U2844" s="40" t="str">
        <f t="shared" si="206"/>
        <v>-</v>
      </c>
      <c r="V2844" s="40" t="str" cm="1">
        <f t="array" ref="V2844">_xlfn.IFS(
ISNUMBER(SEARCH("USA",S2844)),"United States",
ISNUMBER(SEARCH("Republic of Ireland",S2844)),"Ireland",
ISNUMBER(SEARCH("Republic of Korea",S2844)),"South Korea",
ISNUMBER(SEARCH("Cape Verde",S2844)),"Cabo Verde",
ISNUMBER(SEARCH("Czechia",S2844)),"Czech Republic",
ISNUMBER(SEARCH("Türkiye",S2844)),"Turkey",
ISNUMBER(SEARCH("Ivory Coast",S2844)),"Côte d'Ivoire",
ISNUMBER(SEARCH("Korea Republic",S2844)),"South Korea",
ISNUMBER(SEARCH("Germany FR",S2844)),"FR Germany",
ISNUMBER(SEARCH("West Germany",S2844)),"FR Germany",
ISNUMBER(SEARCH("Germany DR",S2844)),"DR Germany",
ISNUMBER(SEARCH("Korea DPR",S2844)),"North Korea",
ISNUMBER(SEARCH("China PR",S2844)),"China",
ISNUMBER(SEARCH("IR Iran",S2844)),"Iran",
ISNUMBER(SEARCH("Congo DR",S2844)),"Democratic Republic of the Congo",
ISNUMBER(SEARCH("DR Congo",S2844)),"Democratic Republic of the Congo",
ISNUMBER(SEARCH("German DR",S2844)),"DR Germany",
ISNUMBER(SEARCH("rn""&gt;United Arab Emirates",S2844)),"United Arab Emirates",
ISNUMBER(SEARCH("rn""&gt;Republic of Ireland",S2844)),"Ireland",
ISNUMBER(SEARCH("rn""&gt;Bosnia and Herzegovina",S2844)),"Bosnia and Herzegovina",
ISNUMBER(SEARCH("rn""&gt;Trinidad and Tobago",S2844)),"Trinidad and Tobago",
ISNUMBER(SEARCH("rn""&gt;Serbia and Montenegro",S2844)),"Serbia and Montenegro",
ISNUMBER(SEARCH(_xlfn.UNICHAR(65533),S2844)),"Côte d'Ivoire",
TRUE,""
)</f>
        <v/>
      </c>
      <c r="W2844" s="40" t="str">
        <f t="shared" si="207"/>
        <v>Brazil</v>
      </c>
    </row>
    <row r="2845" spans="19:23">
      <c r="S2845" s="40" t="str">
        <v>Argentina</v>
      </c>
      <c r="T2845" s="40" t="str">
        <f t="shared" si="205"/>
        <v>OK</v>
      </c>
      <c r="U2845" s="40" t="str">
        <f t="shared" si="206"/>
        <v>-</v>
      </c>
      <c r="V2845" s="40" t="str" cm="1">
        <f t="array" ref="V2845">_xlfn.IFS(
ISNUMBER(SEARCH("USA",S2845)),"United States",
ISNUMBER(SEARCH("Republic of Ireland",S2845)),"Ireland",
ISNUMBER(SEARCH("Republic of Korea",S2845)),"South Korea",
ISNUMBER(SEARCH("Cape Verde",S2845)),"Cabo Verde",
ISNUMBER(SEARCH("Czechia",S2845)),"Czech Republic",
ISNUMBER(SEARCH("Türkiye",S2845)),"Turkey",
ISNUMBER(SEARCH("Ivory Coast",S2845)),"Côte d'Ivoire",
ISNUMBER(SEARCH("Korea Republic",S2845)),"South Korea",
ISNUMBER(SEARCH("Germany FR",S2845)),"FR Germany",
ISNUMBER(SEARCH("West Germany",S2845)),"FR Germany",
ISNUMBER(SEARCH("Germany DR",S2845)),"DR Germany",
ISNUMBER(SEARCH("Korea DPR",S2845)),"North Korea",
ISNUMBER(SEARCH("China PR",S2845)),"China",
ISNUMBER(SEARCH("IR Iran",S2845)),"Iran",
ISNUMBER(SEARCH("Congo DR",S2845)),"Democratic Republic of the Congo",
ISNUMBER(SEARCH("DR Congo",S2845)),"Democratic Republic of the Congo",
ISNUMBER(SEARCH("German DR",S2845)),"DR Germany",
ISNUMBER(SEARCH("rn""&gt;United Arab Emirates",S2845)),"United Arab Emirates",
ISNUMBER(SEARCH("rn""&gt;Republic of Ireland",S2845)),"Ireland",
ISNUMBER(SEARCH("rn""&gt;Bosnia and Herzegovina",S2845)),"Bosnia and Herzegovina",
ISNUMBER(SEARCH("rn""&gt;Trinidad and Tobago",S2845)),"Trinidad and Tobago",
ISNUMBER(SEARCH("rn""&gt;Serbia and Montenegro",S2845)),"Serbia and Montenegro",
ISNUMBER(SEARCH(_xlfn.UNICHAR(65533),S2845)),"Côte d'Ivoire",
TRUE,""
)</f>
        <v/>
      </c>
      <c r="W2845" s="40" t="str">
        <f t="shared" si="207"/>
        <v>Argentina</v>
      </c>
    </row>
    <row r="2846" spans="19:23">
      <c r="S2846" s="40" t="str">
        <v>Nigeria</v>
      </c>
      <c r="T2846" s="40" t="str">
        <f t="shared" si="205"/>
        <v>OK</v>
      </c>
      <c r="U2846" s="40" t="str">
        <f t="shared" si="206"/>
        <v>-</v>
      </c>
      <c r="V2846" s="40" t="str" cm="1">
        <f t="array" ref="V2846">_xlfn.IFS(
ISNUMBER(SEARCH("USA",S2846)),"United States",
ISNUMBER(SEARCH("Republic of Ireland",S2846)),"Ireland",
ISNUMBER(SEARCH("Republic of Korea",S2846)),"South Korea",
ISNUMBER(SEARCH("Cape Verde",S2846)),"Cabo Verde",
ISNUMBER(SEARCH("Czechia",S2846)),"Czech Republic",
ISNUMBER(SEARCH("Türkiye",S2846)),"Turkey",
ISNUMBER(SEARCH("Ivory Coast",S2846)),"Côte d'Ivoire",
ISNUMBER(SEARCH("Korea Republic",S2846)),"South Korea",
ISNUMBER(SEARCH("Germany FR",S2846)),"FR Germany",
ISNUMBER(SEARCH("West Germany",S2846)),"FR Germany",
ISNUMBER(SEARCH("Germany DR",S2846)),"DR Germany",
ISNUMBER(SEARCH("Korea DPR",S2846)),"North Korea",
ISNUMBER(SEARCH("China PR",S2846)),"China",
ISNUMBER(SEARCH("IR Iran",S2846)),"Iran",
ISNUMBER(SEARCH("Congo DR",S2846)),"Democratic Republic of the Congo",
ISNUMBER(SEARCH("DR Congo",S2846)),"Democratic Republic of the Congo",
ISNUMBER(SEARCH("German DR",S2846)),"DR Germany",
ISNUMBER(SEARCH("rn""&gt;United Arab Emirates",S2846)),"United Arab Emirates",
ISNUMBER(SEARCH("rn""&gt;Republic of Ireland",S2846)),"Ireland",
ISNUMBER(SEARCH("rn""&gt;Bosnia and Herzegovina",S2846)),"Bosnia and Herzegovina",
ISNUMBER(SEARCH("rn""&gt;Trinidad and Tobago",S2846)),"Trinidad and Tobago",
ISNUMBER(SEARCH("rn""&gt;Serbia and Montenegro",S2846)),"Serbia and Montenegro",
ISNUMBER(SEARCH(_xlfn.UNICHAR(65533),S2846)),"Côte d'Ivoire",
TRUE,""
)</f>
        <v/>
      </c>
      <c r="W2846" s="40" t="str">
        <f t="shared" si="207"/>
        <v>Nigeria</v>
      </c>
    </row>
    <row r="2847" spans="19:23">
      <c r="S2847" s="40" t="str">
        <v>Germany</v>
      </c>
      <c r="T2847" s="40" t="str">
        <f t="shared" si="205"/>
        <v>OK</v>
      </c>
      <c r="U2847" s="40" t="str">
        <f t="shared" si="206"/>
        <v>-</v>
      </c>
      <c r="V2847" s="40" t="str" cm="1">
        <f t="array" ref="V2847">_xlfn.IFS(
ISNUMBER(SEARCH("USA",S2847)),"United States",
ISNUMBER(SEARCH("Republic of Ireland",S2847)),"Ireland",
ISNUMBER(SEARCH("Republic of Korea",S2847)),"South Korea",
ISNUMBER(SEARCH("Cape Verde",S2847)),"Cabo Verde",
ISNUMBER(SEARCH("Czechia",S2847)),"Czech Republic",
ISNUMBER(SEARCH("Türkiye",S2847)),"Turkey",
ISNUMBER(SEARCH("Ivory Coast",S2847)),"Côte d'Ivoire",
ISNUMBER(SEARCH("Korea Republic",S2847)),"South Korea",
ISNUMBER(SEARCH("Germany FR",S2847)),"FR Germany",
ISNUMBER(SEARCH("West Germany",S2847)),"FR Germany",
ISNUMBER(SEARCH("Germany DR",S2847)),"DR Germany",
ISNUMBER(SEARCH("Korea DPR",S2847)),"North Korea",
ISNUMBER(SEARCH("China PR",S2847)),"China",
ISNUMBER(SEARCH("IR Iran",S2847)),"Iran",
ISNUMBER(SEARCH("Congo DR",S2847)),"Democratic Republic of the Congo",
ISNUMBER(SEARCH("DR Congo",S2847)),"Democratic Republic of the Congo",
ISNUMBER(SEARCH("German DR",S2847)),"DR Germany",
ISNUMBER(SEARCH("rn""&gt;United Arab Emirates",S2847)),"United Arab Emirates",
ISNUMBER(SEARCH("rn""&gt;Republic of Ireland",S2847)),"Ireland",
ISNUMBER(SEARCH("rn""&gt;Bosnia and Herzegovina",S2847)),"Bosnia and Herzegovina",
ISNUMBER(SEARCH("rn""&gt;Trinidad and Tobago",S2847)),"Trinidad and Tobago",
ISNUMBER(SEARCH("rn""&gt;Serbia and Montenegro",S2847)),"Serbia and Montenegro",
ISNUMBER(SEARCH(_xlfn.UNICHAR(65533),S2847)),"Côte d'Ivoire",
TRUE,""
)</f>
        <v/>
      </c>
      <c r="W2847" s="40" t="str">
        <f t="shared" si="207"/>
        <v>Germany</v>
      </c>
    </row>
    <row r="2848" spans="19:23">
      <c r="S2848" s="40" t="str">
        <v>Romania</v>
      </c>
      <c r="T2848" s="40" t="str">
        <f t="shared" si="205"/>
        <v>OK</v>
      </c>
      <c r="U2848" s="40" t="str">
        <f t="shared" si="206"/>
        <v>-</v>
      </c>
      <c r="V2848" s="40" t="str" cm="1">
        <f t="array" ref="V2848">_xlfn.IFS(
ISNUMBER(SEARCH("USA",S2848)),"United States",
ISNUMBER(SEARCH("Republic of Ireland",S2848)),"Ireland",
ISNUMBER(SEARCH("Republic of Korea",S2848)),"South Korea",
ISNUMBER(SEARCH("Cape Verde",S2848)),"Cabo Verde",
ISNUMBER(SEARCH("Czechia",S2848)),"Czech Republic",
ISNUMBER(SEARCH("Türkiye",S2848)),"Turkey",
ISNUMBER(SEARCH("Ivory Coast",S2848)),"Côte d'Ivoire",
ISNUMBER(SEARCH("Korea Republic",S2848)),"South Korea",
ISNUMBER(SEARCH("Germany FR",S2848)),"FR Germany",
ISNUMBER(SEARCH("West Germany",S2848)),"FR Germany",
ISNUMBER(SEARCH("Germany DR",S2848)),"DR Germany",
ISNUMBER(SEARCH("Korea DPR",S2848)),"North Korea",
ISNUMBER(SEARCH("China PR",S2848)),"China",
ISNUMBER(SEARCH("IR Iran",S2848)),"Iran",
ISNUMBER(SEARCH("Congo DR",S2848)),"Democratic Republic of the Congo",
ISNUMBER(SEARCH("DR Congo",S2848)),"Democratic Republic of the Congo",
ISNUMBER(SEARCH("German DR",S2848)),"DR Germany",
ISNUMBER(SEARCH("rn""&gt;United Arab Emirates",S2848)),"United Arab Emirates",
ISNUMBER(SEARCH("rn""&gt;Republic of Ireland",S2848)),"Ireland",
ISNUMBER(SEARCH("rn""&gt;Bosnia and Herzegovina",S2848)),"Bosnia and Herzegovina",
ISNUMBER(SEARCH("rn""&gt;Trinidad and Tobago",S2848)),"Trinidad and Tobago",
ISNUMBER(SEARCH("rn""&gt;Serbia and Montenegro",S2848)),"Serbia and Montenegro",
ISNUMBER(SEARCH(_xlfn.UNICHAR(65533),S2848)),"Côte d'Ivoire",
TRUE,""
)</f>
        <v/>
      </c>
      <c r="W2848" s="40" t="str">
        <f t="shared" si="207"/>
        <v>Romania</v>
      </c>
    </row>
    <row r="2849" spans="19:23">
      <c r="S2849" s="40" t="str">
        <v>USA</v>
      </c>
      <c r="T2849" s="40" t="str">
        <f t="shared" si="205"/>
        <v>ERREUR</v>
      </c>
      <c r="U2849" s="40" t="str">
        <f t="shared" si="206"/>
        <v>RENOMMER</v>
      </c>
      <c r="V2849" s="40" t="str" cm="1">
        <f t="array" ref="V2849">_xlfn.IFS(
ISNUMBER(SEARCH("USA",S2849)),"United States",
ISNUMBER(SEARCH("Republic of Ireland",S2849)),"Ireland",
ISNUMBER(SEARCH("Republic of Korea",S2849)),"South Korea",
ISNUMBER(SEARCH("Cape Verde",S2849)),"Cabo Verde",
ISNUMBER(SEARCH("Czechia",S2849)),"Czech Republic",
ISNUMBER(SEARCH("Türkiye",S2849)),"Turkey",
ISNUMBER(SEARCH("Ivory Coast",S2849)),"Côte d'Ivoire",
ISNUMBER(SEARCH("Korea Republic",S2849)),"South Korea",
ISNUMBER(SEARCH("Germany FR",S2849)),"FR Germany",
ISNUMBER(SEARCH("West Germany",S2849)),"FR Germany",
ISNUMBER(SEARCH("Germany DR",S2849)),"DR Germany",
ISNUMBER(SEARCH("Korea DPR",S2849)),"North Korea",
ISNUMBER(SEARCH("China PR",S2849)),"China",
ISNUMBER(SEARCH("IR Iran",S2849)),"Iran",
ISNUMBER(SEARCH("Congo DR",S2849)),"Democratic Republic of the Congo",
ISNUMBER(SEARCH("DR Congo",S2849)),"Democratic Republic of the Congo",
ISNUMBER(SEARCH("German DR",S2849)),"DR Germany",
ISNUMBER(SEARCH("rn""&gt;United Arab Emirates",S2849)),"United Arab Emirates",
ISNUMBER(SEARCH("rn""&gt;Republic of Ireland",S2849)),"Ireland",
ISNUMBER(SEARCH("rn""&gt;Bosnia and Herzegovina",S2849)),"Bosnia and Herzegovina",
ISNUMBER(SEARCH("rn""&gt;Trinidad and Tobago",S2849)),"Trinidad and Tobago",
ISNUMBER(SEARCH("rn""&gt;Serbia and Montenegro",S2849)),"Serbia and Montenegro",
ISNUMBER(SEARCH(_xlfn.UNICHAR(65533),S2849)),"Côte d'Ivoire",
TRUE,""
)</f>
        <v>United States</v>
      </c>
      <c r="W2849" s="40" t="str">
        <f t="shared" si="207"/>
        <v>United States</v>
      </c>
    </row>
    <row r="2850" spans="19:23">
      <c r="S2850" s="40" t="str">
        <v>Italy</v>
      </c>
      <c r="T2850" s="40" t="str">
        <f t="shared" si="205"/>
        <v>OK</v>
      </c>
      <c r="U2850" s="40" t="str">
        <f t="shared" si="206"/>
        <v>-</v>
      </c>
      <c r="V2850" s="40" t="str" cm="1">
        <f t="array" ref="V2850">_xlfn.IFS(
ISNUMBER(SEARCH("USA",S2850)),"United States",
ISNUMBER(SEARCH("Republic of Ireland",S2850)),"Ireland",
ISNUMBER(SEARCH("Republic of Korea",S2850)),"South Korea",
ISNUMBER(SEARCH("Cape Verde",S2850)),"Cabo Verde",
ISNUMBER(SEARCH("Czechia",S2850)),"Czech Republic",
ISNUMBER(SEARCH("Türkiye",S2850)),"Turkey",
ISNUMBER(SEARCH("Ivory Coast",S2850)),"Côte d'Ivoire",
ISNUMBER(SEARCH("Korea Republic",S2850)),"South Korea",
ISNUMBER(SEARCH("Germany FR",S2850)),"FR Germany",
ISNUMBER(SEARCH("West Germany",S2850)),"FR Germany",
ISNUMBER(SEARCH("Germany DR",S2850)),"DR Germany",
ISNUMBER(SEARCH("Korea DPR",S2850)),"North Korea",
ISNUMBER(SEARCH("China PR",S2850)),"China",
ISNUMBER(SEARCH("IR Iran",S2850)),"Iran",
ISNUMBER(SEARCH("Congo DR",S2850)),"Democratic Republic of the Congo",
ISNUMBER(SEARCH("DR Congo",S2850)),"Democratic Republic of the Congo",
ISNUMBER(SEARCH("German DR",S2850)),"DR Germany",
ISNUMBER(SEARCH("rn""&gt;United Arab Emirates",S2850)),"United Arab Emirates",
ISNUMBER(SEARCH("rn""&gt;Republic of Ireland",S2850)),"Ireland",
ISNUMBER(SEARCH("rn""&gt;Bosnia and Herzegovina",S2850)),"Bosnia and Herzegovina",
ISNUMBER(SEARCH("rn""&gt;Trinidad and Tobago",S2850)),"Trinidad and Tobago",
ISNUMBER(SEARCH("rn""&gt;Serbia and Montenegro",S2850)),"Serbia and Montenegro",
ISNUMBER(SEARCH(_xlfn.UNICHAR(65533),S2850)),"Côte d'Ivoire",
TRUE,""
)</f>
        <v/>
      </c>
      <c r="W2850" s="40" t="str">
        <f t="shared" si="207"/>
        <v>Italy</v>
      </c>
    </row>
    <row r="2851" spans="19:23">
      <c r="S2851" s="40" t="str">
        <v>Korea Republic</v>
      </c>
      <c r="T2851" s="40" t="str">
        <f t="shared" si="205"/>
        <v>ERREUR</v>
      </c>
      <c r="U2851" s="40" t="str">
        <f t="shared" si="206"/>
        <v>RENOMMER</v>
      </c>
      <c r="V2851" s="40" t="str" cm="1">
        <f t="array" ref="V2851">_xlfn.IFS(
ISNUMBER(SEARCH("USA",S2851)),"United States",
ISNUMBER(SEARCH("Republic of Ireland",S2851)),"Ireland",
ISNUMBER(SEARCH("Republic of Korea",S2851)),"South Korea",
ISNUMBER(SEARCH("Cape Verde",S2851)),"Cabo Verde",
ISNUMBER(SEARCH("Czechia",S2851)),"Czech Republic",
ISNUMBER(SEARCH("Türkiye",S2851)),"Turkey",
ISNUMBER(SEARCH("Ivory Coast",S2851)),"Côte d'Ivoire",
ISNUMBER(SEARCH("Korea Republic",S2851)),"South Korea",
ISNUMBER(SEARCH("Germany FR",S2851)),"FR Germany",
ISNUMBER(SEARCH("West Germany",S2851)),"FR Germany",
ISNUMBER(SEARCH("Germany DR",S2851)),"DR Germany",
ISNUMBER(SEARCH("Korea DPR",S2851)),"North Korea",
ISNUMBER(SEARCH("China PR",S2851)),"China",
ISNUMBER(SEARCH("IR Iran",S2851)),"Iran",
ISNUMBER(SEARCH("Congo DR",S2851)),"Democratic Republic of the Congo",
ISNUMBER(SEARCH("DR Congo",S2851)),"Democratic Republic of the Congo",
ISNUMBER(SEARCH("German DR",S2851)),"DR Germany",
ISNUMBER(SEARCH("rn""&gt;United Arab Emirates",S2851)),"United Arab Emirates",
ISNUMBER(SEARCH("rn""&gt;Republic of Ireland",S2851)),"Ireland",
ISNUMBER(SEARCH("rn""&gt;Bosnia and Herzegovina",S2851)),"Bosnia and Herzegovina",
ISNUMBER(SEARCH("rn""&gt;Trinidad and Tobago",S2851)),"Trinidad and Tobago",
ISNUMBER(SEARCH("rn""&gt;Serbia and Montenegro",S2851)),"Serbia and Montenegro",
ISNUMBER(SEARCH(_xlfn.UNICHAR(65533),S2851)),"Côte d'Ivoire",
TRUE,""
)</f>
        <v>South Korea</v>
      </c>
      <c r="W2851" s="40" t="str">
        <f t="shared" si="207"/>
        <v>South Korea</v>
      </c>
    </row>
    <row r="2852" spans="19:23">
      <c r="S2852" s="40" t="str">
        <v>Mexico</v>
      </c>
      <c r="T2852" s="40" t="str">
        <f t="shared" si="205"/>
        <v>OK</v>
      </c>
      <c r="U2852" s="40" t="str">
        <f t="shared" si="206"/>
        <v>-</v>
      </c>
      <c r="V2852" s="40" t="str" cm="1">
        <f t="array" ref="V2852">_xlfn.IFS(
ISNUMBER(SEARCH("USA",S2852)),"United States",
ISNUMBER(SEARCH("Republic of Ireland",S2852)),"Ireland",
ISNUMBER(SEARCH("Republic of Korea",S2852)),"South Korea",
ISNUMBER(SEARCH("Cape Verde",S2852)),"Cabo Verde",
ISNUMBER(SEARCH("Czechia",S2852)),"Czech Republic",
ISNUMBER(SEARCH("Türkiye",S2852)),"Turkey",
ISNUMBER(SEARCH("Ivory Coast",S2852)),"Côte d'Ivoire",
ISNUMBER(SEARCH("Korea Republic",S2852)),"South Korea",
ISNUMBER(SEARCH("Germany FR",S2852)),"FR Germany",
ISNUMBER(SEARCH("West Germany",S2852)),"FR Germany",
ISNUMBER(SEARCH("Germany DR",S2852)),"DR Germany",
ISNUMBER(SEARCH("Korea DPR",S2852)),"North Korea",
ISNUMBER(SEARCH("China PR",S2852)),"China",
ISNUMBER(SEARCH("IR Iran",S2852)),"Iran",
ISNUMBER(SEARCH("Congo DR",S2852)),"Democratic Republic of the Congo",
ISNUMBER(SEARCH("DR Congo",S2852)),"Democratic Republic of the Congo",
ISNUMBER(SEARCH("German DR",S2852)),"DR Germany",
ISNUMBER(SEARCH("rn""&gt;United Arab Emirates",S2852)),"United Arab Emirates",
ISNUMBER(SEARCH("rn""&gt;Republic of Ireland",S2852)),"Ireland",
ISNUMBER(SEARCH("rn""&gt;Bosnia and Herzegovina",S2852)),"Bosnia and Herzegovina",
ISNUMBER(SEARCH("rn""&gt;Trinidad and Tobago",S2852)),"Trinidad and Tobago",
ISNUMBER(SEARCH("rn""&gt;Serbia and Montenegro",S2852)),"Serbia and Montenegro",
ISNUMBER(SEARCH(_xlfn.UNICHAR(65533),S2852)),"Côte d'Ivoire",
TRUE,""
)</f>
        <v/>
      </c>
      <c r="W2852" s="40" t="str">
        <f t="shared" si="207"/>
        <v>Mexico</v>
      </c>
    </row>
    <row r="2853" spans="19:23">
      <c r="S2853" s="40" t="str">
        <v>Sweden</v>
      </c>
      <c r="T2853" s="40" t="str">
        <f t="shared" si="205"/>
        <v>OK</v>
      </c>
      <c r="U2853" s="40" t="str">
        <f t="shared" si="206"/>
        <v>-</v>
      </c>
      <c r="V2853" s="40" t="str" cm="1">
        <f t="array" ref="V2853">_xlfn.IFS(
ISNUMBER(SEARCH("USA",S2853)),"United States",
ISNUMBER(SEARCH("Republic of Ireland",S2853)),"Ireland",
ISNUMBER(SEARCH("Republic of Korea",S2853)),"South Korea",
ISNUMBER(SEARCH("Cape Verde",S2853)),"Cabo Verde",
ISNUMBER(SEARCH("Czechia",S2853)),"Czech Republic",
ISNUMBER(SEARCH("Türkiye",S2853)),"Turkey",
ISNUMBER(SEARCH("Ivory Coast",S2853)),"Côte d'Ivoire",
ISNUMBER(SEARCH("Korea Republic",S2853)),"South Korea",
ISNUMBER(SEARCH("Germany FR",S2853)),"FR Germany",
ISNUMBER(SEARCH("West Germany",S2853)),"FR Germany",
ISNUMBER(SEARCH("Germany DR",S2853)),"DR Germany",
ISNUMBER(SEARCH("Korea DPR",S2853)),"North Korea",
ISNUMBER(SEARCH("China PR",S2853)),"China",
ISNUMBER(SEARCH("IR Iran",S2853)),"Iran",
ISNUMBER(SEARCH("Congo DR",S2853)),"Democratic Republic of the Congo",
ISNUMBER(SEARCH("DR Congo",S2853)),"Democratic Republic of the Congo",
ISNUMBER(SEARCH("German DR",S2853)),"DR Germany",
ISNUMBER(SEARCH("rn""&gt;United Arab Emirates",S2853)),"United Arab Emirates",
ISNUMBER(SEARCH("rn""&gt;Republic of Ireland",S2853)),"Ireland",
ISNUMBER(SEARCH("rn""&gt;Bosnia and Herzegovina",S2853)),"Bosnia and Herzegovina",
ISNUMBER(SEARCH("rn""&gt;Trinidad and Tobago",S2853)),"Trinidad and Tobago",
ISNUMBER(SEARCH("rn""&gt;Serbia and Montenegro",S2853)),"Serbia and Montenegro",
ISNUMBER(SEARCH(_xlfn.UNICHAR(65533),S2853)),"Côte d'Ivoire",
TRUE,""
)</f>
        <v/>
      </c>
      <c r="W2853" s="40" t="str">
        <f t="shared" si="207"/>
        <v>Sweden</v>
      </c>
    </row>
    <row r="2854" spans="19:23">
      <c r="S2854" s="40" t="str">
        <v>Brazil</v>
      </c>
      <c r="T2854" s="40" t="str">
        <f t="shared" si="205"/>
        <v>OK</v>
      </c>
      <c r="U2854" s="40" t="str">
        <f t="shared" si="206"/>
        <v>-</v>
      </c>
      <c r="V2854" s="40" t="str" cm="1">
        <f t="array" ref="V2854">_xlfn.IFS(
ISNUMBER(SEARCH("USA",S2854)),"United States",
ISNUMBER(SEARCH("Republic of Ireland",S2854)),"Ireland",
ISNUMBER(SEARCH("Republic of Korea",S2854)),"South Korea",
ISNUMBER(SEARCH("Cape Verde",S2854)),"Cabo Verde",
ISNUMBER(SEARCH("Czechia",S2854)),"Czech Republic",
ISNUMBER(SEARCH("Türkiye",S2854)),"Turkey",
ISNUMBER(SEARCH("Ivory Coast",S2854)),"Côte d'Ivoire",
ISNUMBER(SEARCH("Korea Republic",S2854)),"South Korea",
ISNUMBER(SEARCH("Germany FR",S2854)),"FR Germany",
ISNUMBER(SEARCH("West Germany",S2854)),"FR Germany",
ISNUMBER(SEARCH("Germany DR",S2854)),"DR Germany",
ISNUMBER(SEARCH("Korea DPR",S2854)),"North Korea",
ISNUMBER(SEARCH("China PR",S2854)),"China",
ISNUMBER(SEARCH("IR Iran",S2854)),"Iran",
ISNUMBER(SEARCH("Congo DR",S2854)),"Democratic Republic of the Congo",
ISNUMBER(SEARCH("DR Congo",S2854)),"Democratic Republic of the Congo",
ISNUMBER(SEARCH("German DR",S2854)),"DR Germany",
ISNUMBER(SEARCH("rn""&gt;United Arab Emirates",S2854)),"United Arab Emirates",
ISNUMBER(SEARCH("rn""&gt;Republic of Ireland",S2854)),"Ireland",
ISNUMBER(SEARCH("rn""&gt;Bosnia and Herzegovina",S2854)),"Bosnia and Herzegovina",
ISNUMBER(SEARCH("rn""&gt;Trinidad and Tobago",S2854)),"Trinidad and Tobago",
ISNUMBER(SEARCH("rn""&gt;Serbia and Montenegro",S2854)),"Serbia and Montenegro",
ISNUMBER(SEARCH(_xlfn.UNICHAR(65533),S2854)),"Côte d'Ivoire",
TRUE,""
)</f>
        <v/>
      </c>
      <c r="W2854" s="40" t="str">
        <f t="shared" si="207"/>
        <v>Brazil</v>
      </c>
    </row>
    <row r="2855" spans="19:23">
      <c r="S2855" s="40" t="str">
        <v>Belgium</v>
      </c>
      <c r="T2855" s="40" t="str">
        <f t="shared" si="205"/>
        <v>OK</v>
      </c>
      <c r="U2855" s="40" t="str">
        <f t="shared" si="206"/>
        <v>-</v>
      </c>
      <c r="V2855" s="40" t="str" cm="1">
        <f t="array" ref="V2855">_xlfn.IFS(
ISNUMBER(SEARCH("USA",S2855)),"United States",
ISNUMBER(SEARCH("Republic of Ireland",S2855)),"Ireland",
ISNUMBER(SEARCH("Republic of Korea",S2855)),"South Korea",
ISNUMBER(SEARCH("Cape Verde",S2855)),"Cabo Verde",
ISNUMBER(SEARCH("Czechia",S2855)),"Czech Republic",
ISNUMBER(SEARCH("Türkiye",S2855)),"Turkey",
ISNUMBER(SEARCH("Ivory Coast",S2855)),"Côte d'Ivoire",
ISNUMBER(SEARCH("Korea Republic",S2855)),"South Korea",
ISNUMBER(SEARCH("Germany FR",S2855)),"FR Germany",
ISNUMBER(SEARCH("West Germany",S2855)),"FR Germany",
ISNUMBER(SEARCH("Germany DR",S2855)),"DR Germany",
ISNUMBER(SEARCH("Korea DPR",S2855)),"North Korea",
ISNUMBER(SEARCH("China PR",S2855)),"China",
ISNUMBER(SEARCH("IR Iran",S2855)),"Iran",
ISNUMBER(SEARCH("Congo DR",S2855)),"Democratic Republic of the Congo",
ISNUMBER(SEARCH("DR Congo",S2855)),"Democratic Republic of the Congo",
ISNUMBER(SEARCH("German DR",S2855)),"DR Germany",
ISNUMBER(SEARCH("rn""&gt;United Arab Emirates",S2855)),"United Arab Emirates",
ISNUMBER(SEARCH("rn""&gt;Republic of Ireland",S2855)),"Ireland",
ISNUMBER(SEARCH("rn""&gt;Bosnia and Herzegovina",S2855)),"Bosnia and Herzegovina",
ISNUMBER(SEARCH("rn""&gt;Trinidad and Tobago",S2855)),"Trinidad and Tobago",
ISNUMBER(SEARCH("rn""&gt;Serbia and Montenegro",S2855)),"Serbia and Montenegro",
ISNUMBER(SEARCH(_xlfn.UNICHAR(65533),S2855)),"Côte d'Ivoire",
TRUE,""
)</f>
        <v/>
      </c>
      <c r="W2855" s="40" t="str">
        <f t="shared" si="207"/>
        <v>Belgium</v>
      </c>
    </row>
    <row r="2856" spans="19:23">
      <c r="S2856" s="40" t="str">
        <v>Saudi Arabia</v>
      </c>
      <c r="T2856" s="40" t="str">
        <f t="shared" si="205"/>
        <v>OK</v>
      </c>
      <c r="U2856" s="40" t="str">
        <f t="shared" si="206"/>
        <v>-</v>
      </c>
      <c r="V2856" s="40" t="str" cm="1">
        <f t="array" ref="V2856">_xlfn.IFS(
ISNUMBER(SEARCH("USA",S2856)),"United States",
ISNUMBER(SEARCH("Republic of Ireland",S2856)),"Ireland",
ISNUMBER(SEARCH("Republic of Korea",S2856)),"South Korea",
ISNUMBER(SEARCH("Cape Verde",S2856)),"Cabo Verde",
ISNUMBER(SEARCH("Czechia",S2856)),"Czech Republic",
ISNUMBER(SEARCH("Türkiye",S2856)),"Turkey",
ISNUMBER(SEARCH("Ivory Coast",S2856)),"Côte d'Ivoire",
ISNUMBER(SEARCH("Korea Republic",S2856)),"South Korea",
ISNUMBER(SEARCH("Germany FR",S2856)),"FR Germany",
ISNUMBER(SEARCH("West Germany",S2856)),"FR Germany",
ISNUMBER(SEARCH("Germany DR",S2856)),"DR Germany",
ISNUMBER(SEARCH("Korea DPR",S2856)),"North Korea",
ISNUMBER(SEARCH("China PR",S2856)),"China",
ISNUMBER(SEARCH("IR Iran",S2856)),"Iran",
ISNUMBER(SEARCH("Congo DR",S2856)),"Democratic Republic of the Congo",
ISNUMBER(SEARCH("DR Congo",S2856)),"Democratic Republic of the Congo",
ISNUMBER(SEARCH("German DR",S2856)),"DR Germany",
ISNUMBER(SEARCH("rn""&gt;United Arab Emirates",S2856)),"United Arab Emirates",
ISNUMBER(SEARCH("rn""&gt;Republic of Ireland",S2856)),"Ireland",
ISNUMBER(SEARCH("rn""&gt;Bosnia and Herzegovina",S2856)),"Bosnia and Herzegovina",
ISNUMBER(SEARCH("rn""&gt;Trinidad and Tobago",S2856)),"Trinidad and Tobago",
ISNUMBER(SEARCH("rn""&gt;Serbia and Montenegro",S2856)),"Serbia and Montenegro",
ISNUMBER(SEARCH(_xlfn.UNICHAR(65533),S2856)),"Côte d'Ivoire",
TRUE,""
)</f>
        <v/>
      </c>
      <c r="W2856" s="40" t="str">
        <f t="shared" si="207"/>
        <v>Saudi Arabia</v>
      </c>
    </row>
    <row r="2857" spans="19:23">
      <c r="S2857" s="40" t="str">
        <v>Argentina</v>
      </c>
      <c r="T2857" s="40" t="str">
        <f t="shared" si="205"/>
        <v>OK</v>
      </c>
      <c r="U2857" s="40" t="str">
        <f t="shared" si="206"/>
        <v>-</v>
      </c>
      <c r="V2857" s="40" t="str" cm="1">
        <f t="array" ref="V2857">_xlfn.IFS(
ISNUMBER(SEARCH("USA",S2857)),"United States",
ISNUMBER(SEARCH("Republic of Ireland",S2857)),"Ireland",
ISNUMBER(SEARCH("Republic of Korea",S2857)),"South Korea",
ISNUMBER(SEARCH("Cape Verde",S2857)),"Cabo Verde",
ISNUMBER(SEARCH("Czechia",S2857)),"Czech Republic",
ISNUMBER(SEARCH("Türkiye",S2857)),"Turkey",
ISNUMBER(SEARCH("Ivory Coast",S2857)),"Côte d'Ivoire",
ISNUMBER(SEARCH("Korea Republic",S2857)),"South Korea",
ISNUMBER(SEARCH("Germany FR",S2857)),"FR Germany",
ISNUMBER(SEARCH("West Germany",S2857)),"FR Germany",
ISNUMBER(SEARCH("Germany DR",S2857)),"DR Germany",
ISNUMBER(SEARCH("Korea DPR",S2857)),"North Korea",
ISNUMBER(SEARCH("China PR",S2857)),"China",
ISNUMBER(SEARCH("IR Iran",S2857)),"Iran",
ISNUMBER(SEARCH("Congo DR",S2857)),"Democratic Republic of the Congo",
ISNUMBER(SEARCH("DR Congo",S2857)),"Democratic Republic of the Congo",
ISNUMBER(SEARCH("German DR",S2857)),"DR Germany",
ISNUMBER(SEARCH("rn""&gt;United Arab Emirates",S2857)),"United Arab Emirates",
ISNUMBER(SEARCH("rn""&gt;Republic of Ireland",S2857)),"Ireland",
ISNUMBER(SEARCH("rn""&gt;Bosnia and Herzegovina",S2857)),"Bosnia and Herzegovina",
ISNUMBER(SEARCH("rn""&gt;Trinidad and Tobago",S2857)),"Trinidad and Tobago",
ISNUMBER(SEARCH("rn""&gt;Serbia and Montenegro",S2857)),"Serbia and Montenegro",
ISNUMBER(SEARCH(_xlfn.UNICHAR(65533),S2857)),"Côte d'Ivoire",
TRUE,""
)</f>
        <v/>
      </c>
      <c r="W2857" s="40" t="str">
        <f t="shared" si="207"/>
        <v>Argentina</v>
      </c>
    </row>
    <row r="2858" spans="19:23">
      <c r="S2858" s="40" t="str">
        <v>Bulgaria</v>
      </c>
      <c r="T2858" s="40" t="str">
        <f t="shared" si="205"/>
        <v>OK</v>
      </c>
      <c r="U2858" s="40" t="str">
        <f t="shared" si="206"/>
        <v>-</v>
      </c>
      <c r="V2858" s="40" t="str" cm="1">
        <f t="array" ref="V2858">_xlfn.IFS(
ISNUMBER(SEARCH("USA",S2858)),"United States",
ISNUMBER(SEARCH("Republic of Ireland",S2858)),"Ireland",
ISNUMBER(SEARCH("Republic of Korea",S2858)),"South Korea",
ISNUMBER(SEARCH("Cape Verde",S2858)),"Cabo Verde",
ISNUMBER(SEARCH("Czechia",S2858)),"Czech Republic",
ISNUMBER(SEARCH("Türkiye",S2858)),"Turkey",
ISNUMBER(SEARCH("Ivory Coast",S2858)),"Côte d'Ivoire",
ISNUMBER(SEARCH("Korea Republic",S2858)),"South Korea",
ISNUMBER(SEARCH("Germany FR",S2858)),"FR Germany",
ISNUMBER(SEARCH("West Germany",S2858)),"FR Germany",
ISNUMBER(SEARCH("Germany DR",S2858)),"DR Germany",
ISNUMBER(SEARCH("Korea DPR",S2858)),"North Korea",
ISNUMBER(SEARCH("China PR",S2858)),"China",
ISNUMBER(SEARCH("IR Iran",S2858)),"Iran",
ISNUMBER(SEARCH("Congo DR",S2858)),"Democratic Republic of the Congo",
ISNUMBER(SEARCH("DR Congo",S2858)),"Democratic Republic of the Congo",
ISNUMBER(SEARCH("German DR",S2858)),"DR Germany",
ISNUMBER(SEARCH("rn""&gt;United Arab Emirates",S2858)),"United Arab Emirates",
ISNUMBER(SEARCH("rn""&gt;Republic of Ireland",S2858)),"Ireland",
ISNUMBER(SEARCH("rn""&gt;Bosnia and Herzegovina",S2858)),"Bosnia and Herzegovina",
ISNUMBER(SEARCH("rn""&gt;Trinidad and Tobago",S2858)),"Trinidad and Tobago",
ISNUMBER(SEARCH("rn""&gt;Serbia and Montenegro",S2858)),"Serbia and Montenegro",
ISNUMBER(SEARCH(_xlfn.UNICHAR(65533),S2858)),"Côte d'Ivoire",
TRUE,""
)</f>
        <v/>
      </c>
      <c r="W2858" s="40" t="str">
        <f t="shared" si="207"/>
        <v>Bulgaria</v>
      </c>
    </row>
    <row r="2859" spans="19:23">
      <c r="S2859" s="40" t="str">
        <v>USA</v>
      </c>
      <c r="T2859" s="40" t="str">
        <f t="shared" si="205"/>
        <v>ERREUR</v>
      </c>
      <c r="U2859" s="40" t="str">
        <f t="shared" si="206"/>
        <v>RENOMMER</v>
      </c>
      <c r="V2859" s="40" t="str" cm="1">
        <f t="array" ref="V2859">_xlfn.IFS(
ISNUMBER(SEARCH("USA",S2859)),"United States",
ISNUMBER(SEARCH("Republic of Ireland",S2859)),"Ireland",
ISNUMBER(SEARCH("Republic of Korea",S2859)),"South Korea",
ISNUMBER(SEARCH("Cape Verde",S2859)),"Cabo Verde",
ISNUMBER(SEARCH("Czechia",S2859)),"Czech Republic",
ISNUMBER(SEARCH("Türkiye",S2859)),"Turkey",
ISNUMBER(SEARCH("Ivory Coast",S2859)),"Côte d'Ivoire",
ISNUMBER(SEARCH("Korea Republic",S2859)),"South Korea",
ISNUMBER(SEARCH("Germany FR",S2859)),"FR Germany",
ISNUMBER(SEARCH("West Germany",S2859)),"FR Germany",
ISNUMBER(SEARCH("Germany DR",S2859)),"DR Germany",
ISNUMBER(SEARCH("Korea DPR",S2859)),"North Korea",
ISNUMBER(SEARCH("China PR",S2859)),"China",
ISNUMBER(SEARCH("IR Iran",S2859)),"Iran",
ISNUMBER(SEARCH("Congo DR",S2859)),"Democratic Republic of the Congo",
ISNUMBER(SEARCH("DR Congo",S2859)),"Democratic Republic of the Congo",
ISNUMBER(SEARCH("German DR",S2859)),"DR Germany",
ISNUMBER(SEARCH("rn""&gt;United Arab Emirates",S2859)),"United Arab Emirates",
ISNUMBER(SEARCH("rn""&gt;Republic of Ireland",S2859)),"Ireland",
ISNUMBER(SEARCH("rn""&gt;Bosnia and Herzegovina",S2859)),"Bosnia and Herzegovina",
ISNUMBER(SEARCH("rn""&gt;Trinidad and Tobago",S2859)),"Trinidad and Tobago",
ISNUMBER(SEARCH("rn""&gt;Serbia and Montenegro",S2859)),"Serbia and Montenegro",
ISNUMBER(SEARCH(_xlfn.UNICHAR(65533),S2859)),"Côte d'Ivoire",
TRUE,""
)</f>
        <v>United States</v>
      </c>
      <c r="W2859" s="40" t="str">
        <f t="shared" si="207"/>
        <v>United States</v>
      </c>
    </row>
    <row r="2860" spans="19:23">
      <c r="S2860" s="40" t="str">
        <v>Switzerland</v>
      </c>
      <c r="T2860" s="40" t="str">
        <f t="shared" si="205"/>
        <v>OK</v>
      </c>
      <c r="U2860" s="40" t="str">
        <f t="shared" si="206"/>
        <v>-</v>
      </c>
      <c r="V2860" s="40" t="str" cm="1">
        <f t="array" ref="V2860">_xlfn.IFS(
ISNUMBER(SEARCH("USA",S2860)),"United States",
ISNUMBER(SEARCH("Republic of Ireland",S2860)),"Ireland",
ISNUMBER(SEARCH("Republic of Korea",S2860)),"South Korea",
ISNUMBER(SEARCH("Cape Verde",S2860)),"Cabo Verde",
ISNUMBER(SEARCH("Czechia",S2860)),"Czech Republic",
ISNUMBER(SEARCH("Türkiye",S2860)),"Turkey",
ISNUMBER(SEARCH("Ivory Coast",S2860)),"Côte d'Ivoire",
ISNUMBER(SEARCH("Korea Republic",S2860)),"South Korea",
ISNUMBER(SEARCH("Germany FR",S2860)),"FR Germany",
ISNUMBER(SEARCH("West Germany",S2860)),"FR Germany",
ISNUMBER(SEARCH("Germany DR",S2860)),"DR Germany",
ISNUMBER(SEARCH("Korea DPR",S2860)),"North Korea",
ISNUMBER(SEARCH("China PR",S2860)),"China",
ISNUMBER(SEARCH("IR Iran",S2860)),"Iran",
ISNUMBER(SEARCH("Congo DR",S2860)),"Democratic Republic of the Congo",
ISNUMBER(SEARCH("DR Congo",S2860)),"Democratic Republic of the Congo",
ISNUMBER(SEARCH("German DR",S2860)),"DR Germany",
ISNUMBER(SEARCH("rn""&gt;United Arab Emirates",S2860)),"United Arab Emirates",
ISNUMBER(SEARCH("rn""&gt;Republic of Ireland",S2860)),"Ireland",
ISNUMBER(SEARCH("rn""&gt;Bosnia and Herzegovina",S2860)),"Bosnia and Herzegovina",
ISNUMBER(SEARCH("rn""&gt;Trinidad and Tobago",S2860)),"Trinidad and Tobago",
ISNUMBER(SEARCH("rn""&gt;Serbia and Montenegro",S2860)),"Serbia and Montenegro",
ISNUMBER(SEARCH(_xlfn.UNICHAR(65533),S2860)),"Côte d'Ivoire",
TRUE,""
)</f>
        <v/>
      </c>
      <c r="W2860" s="40" t="str">
        <f t="shared" si="207"/>
        <v>Switzerland</v>
      </c>
    </row>
    <row r="2861" spans="19:23">
      <c r="S2861" s="40" t="str">
        <v>Germany</v>
      </c>
      <c r="T2861" s="40" t="str">
        <f t="shared" si="205"/>
        <v>OK</v>
      </c>
      <c r="U2861" s="40" t="str">
        <f t="shared" si="206"/>
        <v>-</v>
      </c>
      <c r="V2861" s="40" t="str" cm="1">
        <f t="array" ref="V2861">_xlfn.IFS(
ISNUMBER(SEARCH("USA",S2861)),"United States",
ISNUMBER(SEARCH("Republic of Ireland",S2861)),"Ireland",
ISNUMBER(SEARCH("Republic of Korea",S2861)),"South Korea",
ISNUMBER(SEARCH("Cape Verde",S2861)),"Cabo Verde",
ISNUMBER(SEARCH("Czechia",S2861)),"Czech Republic",
ISNUMBER(SEARCH("Türkiye",S2861)),"Turkey",
ISNUMBER(SEARCH("Ivory Coast",S2861)),"Côte d'Ivoire",
ISNUMBER(SEARCH("Korea Republic",S2861)),"South Korea",
ISNUMBER(SEARCH("Germany FR",S2861)),"FR Germany",
ISNUMBER(SEARCH("West Germany",S2861)),"FR Germany",
ISNUMBER(SEARCH("Germany DR",S2861)),"DR Germany",
ISNUMBER(SEARCH("Korea DPR",S2861)),"North Korea",
ISNUMBER(SEARCH("China PR",S2861)),"China",
ISNUMBER(SEARCH("IR Iran",S2861)),"Iran",
ISNUMBER(SEARCH("Congo DR",S2861)),"Democratic Republic of the Congo",
ISNUMBER(SEARCH("DR Congo",S2861)),"Democratic Republic of the Congo",
ISNUMBER(SEARCH("German DR",S2861)),"DR Germany",
ISNUMBER(SEARCH("rn""&gt;United Arab Emirates",S2861)),"United Arab Emirates",
ISNUMBER(SEARCH("rn""&gt;Republic of Ireland",S2861)),"Ireland",
ISNUMBER(SEARCH("rn""&gt;Bosnia and Herzegovina",S2861)),"Bosnia and Herzegovina",
ISNUMBER(SEARCH("rn""&gt;Trinidad and Tobago",S2861)),"Trinidad and Tobago",
ISNUMBER(SEARCH("rn""&gt;Serbia and Montenegro",S2861)),"Serbia and Montenegro",
ISNUMBER(SEARCH(_xlfn.UNICHAR(65533),S2861)),"Côte d'Ivoire",
TRUE,""
)</f>
        <v/>
      </c>
      <c r="W2861" s="40" t="str">
        <f t="shared" si="207"/>
        <v>Germany</v>
      </c>
    </row>
    <row r="2862" spans="19:23">
      <c r="S2862" s="40" t="str">
        <v>Bolivia</v>
      </c>
      <c r="T2862" s="40" t="str">
        <f t="shared" si="205"/>
        <v>OK</v>
      </c>
      <c r="U2862" s="40" t="str">
        <f t="shared" si="206"/>
        <v>-</v>
      </c>
      <c r="V2862" s="40" t="str" cm="1">
        <f t="array" ref="V2862">_xlfn.IFS(
ISNUMBER(SEARCH("USA",S2862)),"United States",
ISNUMBER(SEARCH("Republic of Ireland",S2862)),"Ireland",
ISNUMBER(SEARCH("Republic of Korea",S2862)),"South Korea",
ISNUMBER(SEARCH("Cape Verde",S2862)),"Cabo Verde",
ISNUMBER(SEARCH("Czechia",S2862)),"Czech Republic",
ISNUMBER(SEARCH("Türkiye",S2862)),"Turkey",
ISNUMBER(SEARCH("Ivory Coast",S2862)),"Côte d'Ivoire",
ISNUMBER(SEARCH("Korea Republic",S2862)),"South Korea",
ISNUMBER(SEARCH("Germany FR",S2862)),"FR Germany",
ISNUMBER(SEARCH("West Germany",S2862)),"FR Germany",
ISNUMBER(SEARCH("Germany DR",S2862)),"DR Germany",
ISNUMBER(SEARCH("Korea DPR",S2862)),"North Korea",
ISNUMBER(SEARCH("China PR",S2862)),"China",
ISNUMBER(SEARCH("IR Iran",S2862)),"Iran",
ISNUMBER(SEARCH("Congo DR",S2862)),"Democratic Republic of the Congo",
ISNUMBER(SEARCH("DR Congo",S2862)),"Democratic Republic of the Congo",
ISNUMBER(SEARCH("German DR",S2862)),"DR Germany",
ISNUMBER(SEARCH("rn""&gt;United Arab Emirates",S2862)),"United Arab Emirates",
ISNUMBER(SEARCH("rn""&gt;Republic of Ireland",S2862)),"Ireland",
ISNUMBER(SEARCH("rn""&gt;Bosnia and Herzegovina",S2862)),"Bosnia and Herzegovina",
ISNUMBER(SEARCH("rn""&gt;Trinidad and Tobago",S2862)),"Trinidad and Tobago",
ISNUMBER(SEARCH("rn""&gt;Serbia and Montenegro",S2862)),"Serbia and Montenegro",
ISNUMBER(SEARCH(_xlfn.UNICHAR(65533),S2862)),"Côte d'Ivoire",
TRUE,""
)</f>
        <v/>
      </c>
      <c r="W2862" s="40" t="str">
        <f t="shared" si="207"/>
        <v>Bolivia</v>
      </c>
    </row>
    <row r="2863" spans="19:23">
      <c r="S2863" s="40" t="str">
        <v>rn"&gt;Republic of Ireland</v>
      </c>
      <c r="T2863" s="40" t="str">
        <f t="shared" si="205"/>
        <v>ERREUR</v>
      </c>
      <c r="U2863" s="40" t="str">
        <f t="shared" si="206"/>
        <v>RENOMMER</v>
      </c>
      <c r="V2863" s="40" t="str" cm="1">
        <f t="array" ref="V2863">_xlfn.IFS(
ISNUMBER(SEARCH("USA",S2863)),"United States",
ISNUMBER(SEARCH("Republic of Ireland",S2863)),"Ireland",
ISNUMBER(SEARCH("Republic of Korea",S2863)),"South Korea",
ISNUMBER(SEARCH("Cape Verde",S2863)),"Cabo Verde",
ISNUMBER(SEARCH("Czechia",S2863)),"Czech Republic",
ISNUMBER(SEARCH("Türkiye",S2863)),"Turkey",
ISNUMBER(SEARCH("Ivory Coast",S2863)),"Côte d'Ivoire",
ISNUMBER(SEARCH("Korea Republic",S2863)),"South Korea",
ISNUMBER(SEARCH("Germany FR",S2863)),"FR Germany",
ISNUMBER(SEARCH("West Germany",S2863)),"FR Germany",
ISNUMBER(SEARCH("Germany DR",S2863)),"DR Germany",
ISNUMBER(SEARCH("Korea DPR",S2863)),"North Korea",
ISNUMBER(SEARCH("China PR",S2863)),"China",
ISNUMBER(SEARCH("IR Iran",S2863)),"Iran",
ISNUMBER(SEARCH("Congo DR",S2863)),"Democratic Republic of the Congo",
ISNUMBER(SEARCH("DR Congo",S2863)),"Democratic Republic of the Congo",
ISNUMBER(SEARCH("German DR",S2863)),"DR Germany",
ISNUMBER(SEARCH("rn""&gt;United Arab Emirates",S2863)),"United Arab Emirates",
ISNUMBER(SEARCH("rn""&gt;Republic of Ireland",S2863)),"Ireland",
ISNUMBER(SEARCH("rn""&gt;Bosnia and Herzegovina",S2863)),"Bosnia and Herzegovina",
ISNUMBER(SEARCH("rn""&gt;Trinidad and Tobago",S2863)),"Trinidad and Tobago",
ISNUMBER(SEARCH("rn""&gt;Serbia and Montenegro",S2863)),"Serbia and Montenegro",
ISNUMBER(SEARCH(_xlfn.UNICHAR(65533),S2863)),"Côte d'Ivoire",
TRUE,""
)</f>
        <v>Ireland</v>
      </c>
      <c r="W2863" s="40" t="str">
        <f t="shared" si="207"/>
        <v>Ireland</v>
      </c>
    </row>
    <row r="2864" spans="19:23">
      <c r="S2864" s="40" t="str">
        <v>Brazil</v>
      </c>
      <c r="T2864" s="40" t="str">
        <f t="shared" si="205"/>
        <v>OK</v>
      </c>
      <c r="U2864" s="40" t="str">
        <f t="shared" si="206"/>
        <v>-</v>
      </c>
      <c r="V2864" s="40" t="str" cm="1">
        <f t="array" ref="V2864">_xlfn.IFS(
ISNUMBER(SEARCH("USA",S2864)),"United States",
ISNUMBER(SEARCH("Republic of Ireland",S2864)),"Ireland",
ISNUMBER(SEARCH("Republic of Korea",S2864)),"South Korea",
ISNUMBER(SEARCH("Cape Verde",S2864)),"Cabo Verde",
ISNUMBER(SEARCH("Czechia",S2864)),"Czech Republic",
ISNUMBER(SEARCH("Türkiye",S2864)),"Turkey",
ISNUMBER(SEARCH("Ivory Coast",S2864)),"Côte d'Ivoire",
ISNUMBER(SEARCH("Korea Republic",S2864)),"South Korea",
ISNUMBER(SEARCH("Germany FR",S2864)),"FR Germany",
ISNUMBER(SEARCH("West Germany",S2864)),"FR Germany",
ISNUMBER(SEARCH("Germany DR",S2864)),"DR Germany",
ISNUMBER(SEARCH("Korea DPR",S2864)),"North Korea",
ISNUMBER(SEARCH("China PR",S2864)),"China",
ISNUMBER(SEARCH("IR Iran",S2864)),"Iran",
ISNUMBER(SEARCH("Congo DR",S2864)),"Democratic Republic of the Congo",
ISNUMBER(SEARCH("DR Congo",S2864)),"Democratic Republic of the Congo",
ISNUMBER(SEARCH("German DR",S2864)),"DR Germany",
ISNUMBER(SEARCH("rn""&gt;United Arab Emirates",S2864)),"United Arab Emirates",
ISNUMBER(SEARCH("rn""&gt;Republic of Ireland",S2864)),"Ireland",
ISNUMBER(SEARCH("rn""&gt;Bosnia and Herzegovina",S2864)),"Bosnia and Herzegovina",
ISNUMBER(SEARCH("rn""&gt;Trinidad and Tobago",S2864)),"Trinidad and Tobago",
ISNUMBER(SEARCH("rn""&gt;Serbia and Montenegro",S2864)),"Serbia and Montenegro",
ISNUMBER(SEARCH(_xlfn.UNICHAR(65533),S2864)),"Côte d'Ivoire",
TRUE,""
)</f>
        <v/>
      </c>
      <c r="W2864" s="40" t="str">
        <f t="shared" si="207"/>
        <v>Brazil</v>
      </c>
    </row>
    <row r="2865" spans="19:23">
      <c r="S2865" s="40" t="str">
        <v>Italy</v>
      </c>
      <c r="T2865" s="40" t="str">
        <f t="shared" si="205"/>
        <v>OK</v>
      </c>
      <c r="U2865" s="40" t="str">
        <f t="shared" si="206"/>
        <v>-</v>
      </c>
      <c r="V2865" s="40" t="str" cm="1">
        <f t="array" ref="V2865">_xlfn.IFS(
ISNUMBER(SEARCH("USA",S2865)),"United States",
ISNUMBER(SEARCH("Republic of Ireland",S2865)),"Ireland",
ISNUMBER(SEARCH("Republic of Korea",S2865)),"South Korea",
ISNUMBER(SEARCH("Cape Verde",S2865)),"Cabo Verde",
ISNUMBER(SEARCH("Czechia",S2865)),"Czech Republic",
ISNUMBER(SEARCH("Türkiye",S2865)),"Turkey",
ISNUMBER(SEARCH("Ivory Coast",S2865)),"Côte d'Ivoire",
ISNUMBER(SEARCH("Korea Republic",S2865)),"South Korea",
ISNUMBER(SEARCH("Germany FR",S2865)),"FR Germany",
ISNUMBER(SEARCH("West Germany",S2865)),"FR Germany",
ISNUMBER(SEARCH("Germany DR",S2865)),"DR Germany",
ISNUMBER(SEARCH("Korea DPR",S2865)),"North Korea",
ISNUMBER(SEARCH("China PR",S2865)),"China",
ISNUMBER(SEARCH("IR Iran",S2865)),"Iran",
ISNUMBER(SEARCH("Congo DR",S2865)),"Democratic Republic of the Congo",
ISNUMBER(SEARCH("DR Congo",S2865)),"Democratic Republic of the Congo",
ISNUMBER(SEARCH("German DR",S2865)),"DR Germany",
ISNUMBER(SEARCH("rn""&gt;United Arab Emirates",S2865)),"United Arab Emirates",
ISNUMBER(SEARCH("rn""&gt;Republic of Ireland",S2865)),"Ireland",
ISNUMBER(SEARCH("rn""&gt;Bosnia and Herzegovina",S2865)),"Bosnia and Herzegovina",
ISNUMBER(SEARCH("rn""&gt;Trinidad and Tobago",S2865)),"Trinidad and Tobago",
ISNUMBER(SEARCH("rn""&gt;Serbia and Montenegro",S2865)),"Serbia and Montenegro",
ISNUMBER(SEARCH(_xlfn.UNICHAR(65533),S2865)),"Côte d'Ivoire",
TRUE,""
)</f>
        <v/>
      </c>
      <c r="W2865" s="40" t="str">
        <f t="shared" si="207"/>
        <v>Italy</v>
      </c>
    </row>
    <row r="2866" spans="19:23">
      <c r="S2866" s="40" t="str">
        <v>Russia</v>
      </c>
      <c r="T2866" s="40" t="str">
        <f t="shared" si="205"/>
        <v>OK</v>
      </c>
      <c r="U2866" s="40" t="str">
        <f t="shared" si="206"/>
        <v>-</v>
      </c>
      <c r="V2866" s="40" t="str" cm="1">
        <f t="array" ref="V2866">_xlfn.IFS(
ISNUMBER(SEARCH("USA",S2866)),"United States",
ISNUMBER(SEARCH("Republic of Ireland",S2866)),"Ireland",
ISNUMBER(SEARCH("Republic of Korea",S2866)),"South Korea",
ISNUMBER(SEARCH("Cape Verde",S2866)),"Cabo Verde",
ISNUMBER(SEARCH("Czechia",S2866)),"Czech Republic",
ISNUMBER(SEARCH("Türkiye",S2866)),"Turkey",
ISNUMBER(SEARCH("Ivory Coast",S2866)),"Côte d'Ivoire",
ISNUMBER(SEARCH("Korea Republic",S2866)),"South Korea",
ISNUMBER(SEARCH("Germany FR",S2866)),"FR Germany",
ISNUMBER(SEARCH("West Germany",S2866)),"FR Germany",
ISNUMBER(SEARCH("Germany DR",S2866)),"DR Germany",
ISNUMBER(SEARCH("Korea DPR",S2866)),"North Korea",
ISNUMBER(SEARCH("China PR",S2866)),"China",
ISNUMBER(SEARCH("IR Iran",S2866)),"Iran",
ISNUMBER(SEARCH("Congo DR",S2866)),"Democratic Republic of the Congo",
ISNUMBER(SEARCH("DR Congo",S2866)),"Democratic Republic of the Congo",
ISNUMBER(SEARCH("German DR",S2866)),"DR Germany",
ISNUMBER(SEARCH("rn""&gt;United Arab Emirates",S2866)),"United Arab Emirates",
ISNUMBER(SEARCH("rn""&gt;Republic of Ireland",S2866)),"Ireland",
ISNUMBER(SEARCH("rn""&gt;Bosnia and Herzegovina",S2866)),"Bosnia and Herzegovina",
ISNUMBER(SEARCH("rn""&gt;Trinidad and Tobago",S2866)),"Trinidad and Tobago",
ISNUMBER(SEARCH("rn""&gt;Serbia and Montenegro",S2866)),"Serbia and Montenegro",
ISNUMBER(SEARCH(_xlfn.UNICHAR(65533),S2866)),"Côte d'Ivoire",
TRUE,""
)</f>
        <v/>
      </c>
      <c r="W2866" s="40" t="str">
        <f t="shared" si="207"/>
        <v>Russia</v>
      </c>
    </row>
    <row r="2867" spans="19:23">
      <c r="S2867" s="40" t="str">
        <v>Morocco</v>
      </c>
      <c r="T2867" s="40" t="str">
        <f t="shared" si="205"/>
        <v>OK</v>
      </c>
      <c r="U2867" s="40" t="str">
        <f t="shared" si="206"/>
        <v>-</v>
      </c>
      <c r="V2867" s="40" t="str" cm="1">
        <f t="array" ref="V2867">_xlfn.IFS(
ISNUMBER(SEARCH("USA",S2867)),"United States",
ISNUMBER(SEARCH("Republic of Ireland",S2867)),"Ireland",
ISNUMBER(SEARCH("Republic of Korea",S2867)),"South Korea",
ISNUMBER(SEARCH("Cape Verde",S2867)),"Cabo Verde",
ISNUMBER(SEARCH("Czechia",S2867)),"Czech Republic",
ISNUMBER(SEARCH("Türkiye",S2867)),"Turkey",
ISNUMBER(SEARCH("Ivory Coast",S2867)),"Côte d'Ivoire",
ISNUMBER(SEARCH("Korea Republic",S2867)),"South Korea",
ISNUMBER(SEARCH("Germany FR",S2867)),"FR Germany",
ISNUMBER(SEARCH("West Germany",S2867)),"FR Germany",
ISNUMBER(SEARCH("Germany DR",S2867)),"DR Germany",
ISNUMBER(SEARCH("Korea DPR",S2867)),"North Korea",
ISNUMBER(SEARCH("China PR",S2867)),"China",
ISNUMBER(SEARCH("IR Iran",S2867)),"Iran",
ISNUMBER(SEARCH("Congo DR",S2867)),"Democratic Republic of the Congo",
ISNUMBER(SEARCH("DR Congo",S2867)),"Democratic Republic of the Congo",
ISNUMBER(SEARCH("German DR",S2867)),"DR Germany",
ISNUMBER(SEARCH("rn""&gt;United Arab Emirates",S2867)),"United Arab Emirates",
ISNUMBER(SEARCH("rn""&gt;Republic of Ireland",S2867)),"Ireland",
ISNUMBER(SEARCH("rn""&gt;Bosnia and Herzegovina",S2867)),"Bosnia and Herzegovina",
ISNUMBER(SEARCH("rn""&gt;Trinidad and Tobago",S2867)),"Trinidad and Tobago",
ISNUMBER(SEARCH("rn""&gt;Serbia and Montenegro",S2867)),"Serbia and Montenegro",
ISNUMBER(SEARCH(_xlfn.UNICHAR(65533),S2867)),"Côte d'Ivoire",
TRUE,""
)</f>
        <v/>
      </c>
      <c r="W2867" s="40" t="str">
        <f t="shared" si="207"/>
        <v>Morocco</v>
      </c>
    </row>
    <row r="2868" spans="19:23">
      <c r="S2868" s="40" t="str">
        <v>Belgium</v>
      </c>
      <c r="T2868" s="40" t="str">
        <f t="shared" si="205"/>
        <v>OK</v>
      </c>
      <c r="U2868" s="40" t="str">
        <f t="shared" si="206"/>
        <v>-</v>
      </c>
      <c r="V2868" s="40" t="str" cm="1">
        <f t="array" ref="V2868">_xlfn.IFS(
ISNUMBER(SEARCH("USA",S2868)),"United States",
ISNUMBER(SEARCH("Republic of Ireland",S2868)),"Ireland",
ISNUMBER(SEARCH("Republic of Korea",S2868)),"South Korea",
ISNUMBER(SEARCH("Cape Verde",S2868)),"Cabo Verde",
ISNUMBER(SEARCH("Czechia",S2868)),"Czech Republic",
ISNUMBER(SEARCH("Türkiye",S2868)),"Turkey",
ISNUMBER(SEARCH("Ivory Coast",S2868)),"Côte d'Ivoire",
ISNUMBER(SEARCH("Korea Republic",S2868)),"South Korea",
ISNUMBER(SEARCH("Germany FR",S2868)),"FR Germany",
ISNUMBER(SEARCH("West Germany",S2868)),"FR Germany",
ISNUMBER(SEARCH("Germany DR",S2868)),"DR Germany",
ISNUMBER(SEARCH("Korea DPR",S2868)),"North Korea",
ISNUMBER(SEARCH("China PR",S2868)),"China",
ISNUMBER(SEARCH("IR Iran",S2868)),"Iran",
ISNUMBER(SEARCH("Congo DR",S2868)),"Democratic Republic of the Congo",
ISNUMBER(SEARCH("DR Congo",S2868)),"Democratic Republic of the Congo",
ISNUMBER(SEARCH("German DR",S2868)),"DR Germany",
ISNUMBER(SEARCH("rn""&gt;United Arab Emirates",S2868)),"United Arab Emirates",
ISNUMBER(SEARCH("rn""&gt;Republic of Ireland",S2868)),"Ireland",
ISNUMBER(SEARCH("rn""&gt;Bosnia and Herzegovina",S2868)),"Bosnia and Herzegovina",
ISNUMBER(SEARCH("rn""&gt;Trinidad and Tobago",S2868)),"Trinidad and Tobago",
ISNUMBER(SEARCH("rn""&gt;Serbia and Montenegro",S2868)),"Serbia and Montenegro",
ISNUMBER(SEARCH(_xlfn.UNICHAR(65533),S2868)),"Côte d'Ivoire",
TRUE,""
)</f>
        <v/>
      </c>
      <c r="W2868" s="40" t="str">
        <f t="shared" si="207"/>
        <v>Belgium</v>
      </c>
    </row>
    <row r="2869" spans="19:23">
      <c r="S2869" s="40" t="str">
        <v>Greece</v>
      </c>
      <c r="T2869" s="40" t="str">
        <f t="shared" si="205"/>
        <v>OK</v>
      </c>
      <c r="U2869" s="40" t="str">
        <f t="shared" si="206"/>
        <v>-</v>
      </c>
      <c r="V2869" s="40" t="str" cm="1">
        <f t="array" ref="V2869">_xlfn.IFS(
ISNUMBER(SEARCH("USA",S2869)),"United States",
ISNUMBER(SEARCH("Republic of Ireland",S2869)),"Ireland",
ISNUMBER(SEARCH("Republic of Korea",S2869)),"South Korea",
ISNUMBER(SEARCH("Cape Verde",S2869)),"Cabo Verde",
ISNUMBER(SEARCH("Czechia",S2869)),"Czech Republic",
ISNUMBER(SEARCH("Türkiye",S2869)),"Turkey",
ISNUMBER(SEARCH("Ivory Coast",S2869)),"Côte d'Ivoire",
ISNUMBER(SEARCH("Korea Republic",S2869)),"South Korea",
ISNUMBER(SEARCH("Germany FR",S2869)),"FR Germany",
ISNUMBER(SEARCH("West Germany",S2869)),"FR Germany",
ISNUMBER(SEARCH("Germany DR",S2869)),"DR Germany",
ISNUMBER(SEARCH("Korea DPR",S2869)),"North Korea",
ISNUMBER(SEARCH("China PR",S2869)),"China",
ISNUMBER(SEARCH("IR Iran",S2869)),"Iran",
ISNUMBER(SEARCH("Congo DR",S2869)),"Democratic Republic of the Congo",
ISNUMBER(SEARCH("DR Congo",S2869)),"Democratic Republic of the Congo",
ISNUMBER(SEARCH("German DR",S2869)),"DR Germany",
ISNUMBER(SEARCH("rn""&gt;United Arab Emirates",S2869)),"United Arab Emirates",
ISNUMBER(SEARCH("rn""&gt;Republic of Ireland",S2869)),"Ireland",
ISNUMBER(SEARCH("rn""&gt;Bosnia and Herzegovina",S2869)),"Bosnia and Herzegovina",
ISNUMBER(SEARCH("rn""&gt;Trinidad and Tobago",S2869)),"Trinidad and Tobago",
ISNUMBER(SEARCH("rn""&gt;Serbia and Montenegro",S2869)),"Serbia and Montenegro",
ISNUMBER(SEARCH(_xlfn.UNICHAR(65533),S2869)),"Côte d'Ivoire",
TRUE,""
)</f>
        <v/>
      </c>
      <c r="W2869" s="40" t="str">
        <f t="shared" si="207"/>
        <v>Greece</v>
      </c>
    </row>
    <row r="2870" spans="19:23">
      <c r="S2870" s="40" t="str">
        <v>Argentina</v>
      </c>
      <c r="T2870" s="40" t="str">
        <f t="shared" si="205"/>
        <v>OK</v>
      </c>
      <c r="U2870" s="40" t="str">
        <f t="shared" si="206"/>
        <v>-</v>
      </c>
      <c r="V2870" s="40" t="str" cm="1">
        <f t="array" ref="V2870">_xlfn.IFS(
ISNUMBER(SEARCH("USA",S2870)),"United States",
ISNUMBER(SEARCH("Republic of Ireland",S2870)),"Ireland",
ISNUMBER(SEARCH("Republic of Korea",S2870)),"South Korea",
ISNUMBER(SEARCH("Cape Verde",S2870)),"Cabo Verde",
ISNUMBER(SEARCH("Czechia",S2870)),"Czech Republic",
ISNUMBER(SEARCH("Türkiye",S2870)),"Turkey",
ISNUMBER(SEARCH("Ivory Coast",S2870)),"Côte d'Ivoire",
ISNUMBER(SEARCH("Korea Republic",S2870)),"South Korea",
ISNUMBER(SEARCH("Germany FR",S2870)),"FR Germany",
ISNUMBER(SEARCH("West Germany",S2870)),"FR Germany",
ISNUMBER(SEARCH("Germany DR",S2870)),"DR Germany",
ISNUMBER(SEARCH("Korea DPR",S2870)),"North Korea",
ISNUMBER(SEARCH("China PR",S2870)),"China",
ISNUMBER(SEARCH("IR Iran",S2870)),"Iran",
ISNUMBER(SEARCH("Congo DR",S2870)),"Democratic Republic of the Congo",
ISNUMBER(SEARCH("DR Congo",S2870)),"Democratic Republic of the Congo",
ISNUMBER(SEARCH("German DR",S2870)),"DR Germany",
ISNUMBER(SEARCH("rn""&gt;United Arab Emirates",S2870)),"United Arab Emirates",
ISNUMBER(SEARCH("rn""&gt;Republic of Ireland",S2870)),"Ireland",
ISNUMBER(SEARCH("rn""&gt;Bosnia and Herzegovina",S2870)),"Bosnia and Herzegovina",
ISNUMBER(SEARCH("rn""&gt;Trinidad and Tobago",S2870)),"Trinidad and Tobago",
ISNUMBER(SEARCH("rn""&gt;Serbia and Montenegro",S2870)),"Serbia and Montenegro",
ISNUMBER(SEARCH(_xlfn.UNICHAR(65533),S2870)),"Côte d'Ivoire",
TRUE,""
)</f>
        <v/>
      </c>
      <c r="W2870" s="40" t="str">
        <f t="shared" si="207"/>
        <v>Argentina</v>
      </c>
    </row>
    <row r="2871" spans="19:23">
      <c r="S2871" s="40" t="str">
        <v>Germany</v>
      </c>
      <c r="T2871" s="40" t="str">
        <f t="shared" si="205"/>
        <v>OK</v>
      </c>
      <c r="U2871" s="40" t="str">
        <f t="shared" si="206"/>
        <v>-</v>
      </c>
      <c r="V2871" s="40" t="str" cm="1">
        <f t="array" ref="V2871">_xlfn.IFS(
ISNUMBER(SEARCH("USA",S2871)),"United States",
ISNUMBER(SEARCH("Republic of Ireland",S2871)),"Ireland",
ISNUMBER(SEARCH("Republic of Korea",S2871)),"South Korea",
ISNUMBER(SEARCH("Cape Verde",S2871)),"Cabo Verde",
ISNUMBER(SEARCH("Czechia",S2871)),"Czech Republic",
ISNUMBER(SEARCH("Türkiye",S2871)),"Turkey",
ISNUMBER(SEARCH("Ivory Coast",S2871)),"Côte d'Ivoire",
ISNUMBER(SEARCH("Korea Republic",S2871)),"South Korea",
ISNUMBER(SEARCH("Germany FR",S2871)),"FR Germany",
ISNUMBER(SEARCH("West Germany",S2871)),"FR Germany",
ISNUMBER(SEARCH("Germany DR",S2871)),"DR Germany",
ISNUMBER(SEARCH("Korea DPR",S2871)),"North Korea",
ISNUMBER(SEARCH("China PR",S2871)),"China",
ISNUMBER(SEARCH("IR Iran",S2871)),"Iran",
ISNUMBER(SEARCH("Congo DR",S2871)),"Democratic Republic of the Congo",
ISNUMBER(SEARCH("DR Congo",S2871)),"Democratic Republic of the Congo",
ISNUMBER(SEARCH("German DR",S2871)),"DR Germany",
ISNUMBER(SEARCH("rn""&gt;United Arab Emirates",S2871)),"United Arab Emirates",
ISNUMBER(SEARCH("rn""&gt;Republic of Ireland",S2871)),"Ireland",
ISNUMBER(SEARCH("rn""&gt;Bosnia and Herzegovina",S2871)),"Bosnia and Herzegovina",
ISNUMBER(SEARCH("rn""&gt;Trinidad and Tobago",S2871)),"Trinidad and Tobago",
ISNUMBER(SEARCH("rn""&gt;Serbia and Montenegro",S2871)),"Serbia and Montenegro",
ISNUMBER(SEARCH(_xlfn.UNICHAR(65533),S2871)),"Côte d'Ivoire",
TRUE,""
)</f>
        <v/>
      </c>
      <c r="W2871" s="40" t="str">
        <f t="shared" si="207"/>
        <v>Germany</v>
      </c>
    </row>
    <row r="2872" spans="19:23">
      <c r="S2872" s="40" t="str">
        <v>Spain</v>
      </c>
      <c r="T2872" s="40" t="str">
        <f t="shared" si="205"/>
        <v>OK</v>
      </c>
      <c r="U2872" s="40" t="str">
        <f t="shared" si="206"/>
        <v>-</v>
      </c>
      <c r="V2872" s="40" t="str" cm="1">
        <f t="array" ref="V2872">_xlfn.IFS(
ISNUMBER(SEARCH("USA",S2872)),"United States",
ISNUMBER(SEARCH("Republic of Ireland",S2872)),"Ireland",
ISNUMBER(SEARCH("Republic of Korea",S2872)),"South Korea",
ISNUMBER(SEARCH("Cape Verde",S2872)),"Cabo Verde",
ISNUMBER(SEARCH("Czechia",S2872)),"Czech Republic",
ISNUMBER(SEARCH("Türkiye",S2872)),"Turkey",
ISNUMBER(SEARCH("Ivory Coast",S2872)),"Côte d'Ivoire",
ISNUMBER(SEARCH("Korea Republic",S2872)),"South Korea",
ISNUMBER(SEARCH("Germany FR",S2872)),"FR Germany",
ISNUMBER(SEARCH("West Germany",S2872)),"FR Germany",
ISNUMBER(SEARCH("Germany DR",S2872)),"DR Germany",
ISNUMBER(SEARCH("Korea DPR",S2872)),"North Korea",
ISNUMBER(SEARCH("China PR",S2872)),"China",
ISNUMBER(SEARCH("IR Iran",S2872)),"Iran",
ISNUMBER(SEARCH("Congo DR",S2872)),"Democratic Republic of the Congo",
ISNUMBER(SEARCH("DR Congo",S2872)),"Democratic Republic of the Congo",
ISNUMBER(SEARCH("German DR",S2872)),"DR Germany",
ISNUMBER(SEARCH("rn""&gt;United Arab Emirates",S2872)),"United Arab Emirates",
ISNUMBER(SEARCH("rn""&gt;Republic of Ireland",S2872)),"Ireland",
ISNUMBER(SEARCH("rn""&gt;Bosnia and Herzegovina",S2872)),"Bosnia and Herzegovina",
ISNUMBER(SEARCH("rn""&gt;Trinidad and Tobago",S2872)),"Trinidad and Tobago",
ISNUMBER(SEARCH("rn""&gt;Serbia and Montenegro",S2872)),"Serbia and Montenegro",
ISNUMBER(SEARCH(_xlfn.UNICHAR(65533),S2872)),"Côte d'Ivoire",
TRUE,""
)</f>
        <v/>
      </c>
      <c r="W2872" s="40" t="str">
        <f t="shared" si="207"/>
        <v>Spain</v>
      </c>
    </row>
    <row r="2873" spans="19:23">
      <c r="S2873" s="40" t="str">
        <v>Saudi Arabia</v>
      </c>
      <c r="T2873" s="40" t="str">
        <f t="shared" si="205"/>
        <v>OK</v>
      </c>
      <c r="U2873" s="40" t="str">
        <f t="shared" si="206"/>
        <v>-</v>
      </c>
      <c r="V2873" s="40" t="str" cm="1">
        <f t="array" ref="V2873">_xlfn.IFS(
ISNUMBER(SEARCH("USA",S2873)),"United States",
ISNUMBER(SEARCH("Republic of Ireland",S2873)),"Ireland",
ISNUMBER(SEARCH("Republic of Korea",S2873)),"South Korea",
ISNUMBER(SEARCH("Cape Verde",S2873)),"Cabo Verde",
ISNUMBER(SEARCH("Czechia",S2873)),"Czech Republic",
ISNUMBER(SEARCH("Türkiye",S2873)),"Turkey",
ISNUMBER(SEARCH("Ivory Coast",S2873)),"Côte d'Ivoire",
ISNUMBER(SEARCH("Korea Republic",S2873)),"South Korea",
ISNUMBER(SEARCH("Germany FR",S2873)),"FR Germany",
ISNUMBER(SEARCH("West Germany",S2873)),"FR Germany",
ISNUMBER(SEARCH("Germany DR",S2873)),"DR Germany",
ISNUMBER(SEARCH("Korea DPR",S2873)),"North Korea",
ISNUMBER(SEARCH("China PR",S2873)),"China",
ISNUMBER(SEARCH("IR Iran",S2873)),"Iran",
ISNUMBER(SEARCH("Congo DR",S2873)),"Democratic Republic of the Congo",
ISNUMBER(SEARCH("DR Congo",S2873)),"Democratic Republic of the Congo",
ISNUMBER(SEARCH("German DR",S2873)),"DR Germany",
ISNUMBER(SEARCH("rn""&gt;United Arab Emirates",S2873)),"United Arab Emirates",
ISNUMBER(SEARCH("rn""&gt;Republic of Ireland",S2873)),"Ireland",
ISNUMBER(SEARCH("rn""&gt;Bosnia and Herzegovina",S2873)),"Bosnia and Herzegovina",
ISNUMBER(SEARCH("rn""&gt;Trinidad and Tobago",S2873)),"Trinidad and Tobago",
ISNUMBER(SEARCH("rn""&gt;Serbia and Montenegro",S2873)),"Serbia and Montenegro",
ISNUMBER(SEARCH(_xlfn.UNICHAR(65533),S2873)),"Côte d'Ivoire",
TRUE,""
)</f>
        <v/>
      </c>
      <c r="W2873" s="40" t="str">
        <f t="shared" si="207"/>
        <v>Saudi Arabia</v>
      </c>
    </row>
    <row r="2874" spans="19:23">
      <c r="S2874" s="40" t="str">
        <v>Romania</v>
      </c>
      <c r="T2874" s="40" t="str">
        <f t="shared" si="205"/>
        <v>OK</v>
      </c>
      <c r="U2874" s="40" t="str">
        <f t="shared" si="206"/>
        <v>-</v>
      </c>
      <c r="V2874" s="40" t="str" cm="1">
        <f t="array" ref="V2874">_xlfn.IFS(
ISNUMBER(SEARCH("USA",S2874)),"United States",
ISNUMBER(SEARCH("Republic of Ireland",S2874)),"Ireland",
ISNUMBER(SEARCH("Republic of Korea",S2874)),"South Korea",
ISNUMBER(SEARCH("Cape Verde",S2874)),"Cabo Verde",
ISNUMBER(SEARCH("Czechia",S2874)),"Czech Republic",
ISNUMBER(SEARCH("Türkiye",S2874)),"Turkey",
ISNUMBER(SEARCH("Ivory Coast",S2874)),"Côte d'Ivoire",
ISNUMBER(SEARCH("Korea Republic",S2874)),"South Korea",
ISNUMBER(SEARCH("Germany FR",S2874)),"FR Germany",
ISNUMBER(SEARCH("West Germany",S2874)),"FR Germany",
ISNUMBER(SEARCH("Germany DR",S2874)),"DR Germany",
ISNUMBER(SEARCH("Korea DPR",S2874)),"North Korea",
ISNUMBER(SEARCH("China PR",S2874)),"China",
ISNUMBER(SEARCH("IR Iran",S2874)),"Iran",
ISNUMBER(SEARCH("Congo DR",S2874)),"Democratic Republic of the Congo",
ISNUMBER(SEARCH("DR Congo",S2874)),"Democratic Republic of the Congo",
ISNUMBER(SEARCH("German DR",S2874)),"DR Germany",
ISNUMBER(SEARCH("rn""&gt;United Arab Emirates",S2874)),"United Arab Emirates",
ISNUMBER(SEARCH("rn""&gt;Republic of Ireland",S2874)),"Ireland",
ISNUMBER(SEARCH("rn""&gt;Bosnia and Herzegovina",S2874)),"Bosnia and Herzegovina",
ISNUMBER(SEARCH("rn""&gt;Trinidad and Tobago",S2874)),"Trinidad and Tobago",
ISNUMBER(SEARCH("rn""&gt;Serbia and Montenegro",S2874)),"Serbia and Montenegro",
ISNUMBER(SEARCH(_xlfn.UNICHAR(65533),S2874)),"Côte d'Ivoire",
TRUE,""
)</f>
        <v/>
      </c>
      <c r="W2874" s="40" t="str">
        <f t="shared" si="207"/>
        <v>Romania</v>
      </c>
    </row>
    <row r="2875" spans="19:23">
      <c r="S2875" s="40" t="str">
        <v>Netherlands</v>
      </c>
      <c r="T2875" s="40" t="str">
        <f t="shared" si="205"/>
        <v>OK</v>
      </c>
      <c r="U2875" s="40" t="str">
        <f t="shared" si="206"/>
        <v>-</v>
      </c>
      <c r="V2875" s="40" t="str" cm="1">
        <f t="array" ref="V2875">_xlfn.IFS(
ISNUMBER(SEARCH("USA",S2875)),"United States",
ISNUMBER(SEARCH("Republic of Ireland",S2875)),"Ireland",
ISNUMBER(SEARCH("Republic of Korea",S2875)),"South Korea",
ISNUMBER(SEARCH("Cape Verde",S2875)),"Cabo Verde",
ISNUMBER(SEARCH("Czechia",S2875)),"Czech Republic",
ISNUMBER(SEARCH("Türkiye",S2875)),"Turkey",
ISNUMBER(SEARCH("Ivory Coast",S2875)),"Côte d'Ivoire",
ISNUMBER(SEARCH("Korea Republic",S2875)),"South Korea",
ISNUMBER(SEARCH("Germany FR",S2875)),"FR Germany",
ISNUMBER(SEARCH("West Germany",S2875)),"FR Germany",
ISNUMBER(SEARCH("Germany DR",S2875)),"DR Germany",
ISNUMBER(SEARCH("Korea DPR",S2875)),"North Korea",
ISNUMBER(SEARCH("China PR",S2875)),"China",
ISNUMBER(SEARCH("IR Iran",S2875)),"Iran",
ISNUMBER(SEARCH("Congo DR",S2875)),"Democratic Republic of the Congo",
ISNUMBER(SEARCH("DR Congo",S2875)),"Democratic Republic of the Congo",
ISNUMBER(SEARCH("German DR",S2875)),"DR Germany",
ISNUMBER(SEARCH("rn""&gt;United Arab Emirates",S2875)),"United Arab Emirates",
ISNUMBER(SEARCH("rn""&gt;Republic of Ireland",S2875)),"Ireland",
ISNUMBER(SEARCH("rn""&gt;Bosnia and Herzegovina",S2875)),"Bosnia and Herzegovina",
ISNUMBER(SEARCH("rn""&gt;Trinidad and Tobago",S2875)),"Trinidad and Tobago",
ISNUMBER(SEARCH("rn""&gt;Serbia and Montenegro",S2875)),"Serbia and Montenegro",
ISNUMBER(SEARCH(_xlfn.UNICHAR(65533),S2875)),"Côte d'Ivoire",
TRUE,""
)</f>
        <v/>
      </c>
      <c r="W2875" s="40" t="str">
        <f t="shared" si="207"/>
        <v>Netherlands</v>
      </c>
    </row>
    <row r="2876" spans="19:23">
      <c r="S2876" s="40" t="str">
        <v>Brazil</v>
      </c>
      <c r="T2876" s="40" t="str">
        <f t="shared" si="205"/>
        <v>OK</v>
      </c>
      <c r="U2876" s="40" t="str">
        <f t="shared" si="206"/>
        <v>-</v>
      </c>
      <c r="V2876" s="40" t="str" cm="1">
        <f t="array" ref="V2876">_xlfn.IFS(
ISNUMBER(SEARCH("USA",S2876)),"United States",
ISNUMBER(SEARCH("Republic of Ireland",S2876)),"Ireland",
ISNUMBER(SEARCH("Republic of Korea",S2876)),"South Korea",
ISNUMBER(SEARCH("Cape Verde",S2876)),"Cabo Verde",
ISNUMBER(SEARCH("Czechia",S2876)),"Czech Republic",
ISNUMBER(SEARCH("Türkiye",S2876)),"Turkey",
ISNUMBER(SEARCH("Ivory Coast",S2876)),"Côte d'Ivoire",
ISNUMBER(SEARCH("Korea Republic",S2876)),"South Korea",
ISNUMBER(SEARCH("Germany FR",S2876)),"FR Germany",
ISNUMBER(SEARCH("West Germany",S2876)),"FR Germany",
ISNUMBER(SEARCH("Germany DR",S2876)),"DR Germany",
ISNUMBER(SEARCH("Korea DPR",S2876)),"North Korea",
ISNUMBER(SEARCH("China PR",S2876)),"China",
ISNUMBER(SEARCH("IR Iran",S2876)),"Iran",
ISNUMBER(SEARCH("Congo DR",S2876)),"Democratic Republic of the Congo",
ISNUMBER(SEARCH("DR Congo",S2876)),"Democratic Republic of the Congo",
ISNUMBER(SEARCH("German DR",S2876)),"DR Germany",
ISNUMBER(SEARCH("rn""&gt;United Arab Emirates",S2876)),"United Arab Emirates",
ISNUMBER(SEARCH("rn""&gt;Republic of Ireland",S2876)),"Ireland",
ISNUMBER(SEARCH("rn""&gt;Bosnia and Herzegovina",S2876)),"Bosnia and Herzegovina",
ISNUMBER(SEARCH("rn""&gt;Trinidad and Tobago",S2876)),"Trinidad and Tobago",
ISNUMBER(SEARCH("rn""&gt;Serbia and Montenegro",S2876)),"Serbia and Montenegro",
ISNUMBER(SEARCH(_xlfn.UNICHAR(65533),S2876)),"Côte d'Ivoire",
TRUE,""
)</f>
        <v/>
      </c>
      <c r="W2876" s="40" t="str">
        <f t="shared" si="207"/>
        <v>Brazil</v>
      </c>
    </row>
    <row r="2877" spans="19:23">
      <c r="S2877" s="40" t="str">
        <v>Nigeria</v>
      </c>
      <c r="T2877" s="40" t="str">
        <f t="shared" si="205"/>
        <v>OK</v>
      </c>
      <c r="U2877" s="40" t="str">
        <f t="shared" si="206"/>
        <v>-</v>
      </c>
      <c r="V2877" s="40" t="str" cm="1">
        <f t="array" ref="V2877">_xlfn.IFS(
ISNUMBER(SEARCH("USA",S2877)),"United States",
ISNUMBER(SEARCH("Republic of Ireland",S2877)),"Ireland",
ISNUMBER(SEARCH("Republic of Korea",S2877)),"South Korea",
ISNUMBER(SEARCH("Cape Verde",S2877)),"Cabo Verde",
ISNUMBER(SEARCH("Czechia",S2877)),"Czech Republic",
ISNUMBER(SEARCH("Türkiye",S2877)),"Turkey",
ISNUMBER(SEARCH("Ivory Coast",S2877)),"Côte d'Ivoire",
ISNUMBER(SEARCH("Korea Republic",S2877)),"South Korea",
ISNUMBER(SEARCH("Germany FR",S2877)),"FR Germany",
ISNUMBER(SEARCH("West Germany",S2877)),"FR Germany",
ISNUMBER(SEARCH("Germany DR",S2877)),"DR Germany",
ISNUMBER(SEARCH("Korea DPR",S2877)),"North Korea",
ISNUMBER(SEARCH("China PR",S2877)),"China",
ISNUMBER(SEARCH("IR Iran",S2877)),"Iran",
ISNUMBER(SEARCH("Congo DR",S2877)),"Democratic Republic of the Congo",
ISNUMBER(SEARCH("DR Congo",S2877)),"Democratic Republic of the Congo",
ISNUMBER(SEARCH("German DR",S2877)),"DR Germany",
ISNUMBER(SEARCH("rn""&gt;United Arab Emirates",S2877)),"United Arab Emirates",
ISNUMBER(SEARCH("rn""&gt;Republic of Ireland",S2877)),"Ireland",
ISNUMBER(SEARCH("rn""&gt;Bosnia and Herzegovina",S2877)),"Bosnia and Herzegovina",
ISNUMBER(SEARCH("rn""&gt;Trinidad and Tobago",S2877)),"Trinidad and Tobago",
ISNUMBER(SEARCH("rn""&gt;Serbia and Montenegro",S2877)),"Serbia and Montenegro",
ISNUMBER(SEARCH(_xlfn.UNICHAR(65533),S2877)),"Côte d'Ivoire",
TRUE,""
)</f>
        <v/>
      </c>
      <c r="W2877" s="40" t="str">
        <f t="shared" si="207"/>
        <v>Nigeria</v>
      </c>
    </row>
    <row r="2878" spans="19:23">
      <c r="S2878" s="40" t="str">
        <v>Mexico</v>
      </c>
      <c r="T2878" s="40" t="str">
        <f t="shared" si="205"/>
        <v>OK</v>
      </c>
      <c r="U2878" s="40" t="str">
        <f t="shared" si="206"/>
        <v>-</v>
      </c>
      <c r="V2878" s="40" t="str" cm="1">
        <f t="array" ref="V2878">_xlfn.IFS(
ISNUMBER(SEARCH("USA",S2878)),"United States",
ISNUMBER(SEARCH("Republic of Ireland",S2878)),"Ireland",
ISNUMBER(SEARCH("Republic of Korea",S2878)),"South Korea",
ISNUMBER(SEARCH("Cape Verde",S2878)),"Cabo Verde",
ISNUMBER(SEARCH("Czechia",S2878)),"Czech Republic",
ISNUMBER(SEARCH("Türkiye",S2878)),"Turkey",
ISNUMBER(SEARCH("Ivory Coast",S2878)),"Côte d'Ivoire",
ISNUMBER(SEARCH("Korea Republic",S2878)),"South Korea",
ISNUMBER(SEARCH("Germany FR",S2878)),"FR Germany",
ISNUMBER(SEARCH("West Germany",S2878)),"FR Germany",
ISNUMBER(SEARCH("Germany DR",S2878)),"DR Germany",
ISNUMBER(SEARCH("Korea DPR",S2878)),"North Korea",
ISNUMBER(SEARCH("China PR",S2878)),"China",
ISNUMBER(SEARCH("IR Iran",S2878)),"Iran",
ISNUMBER(SEARCH("Congo DR",S2878)),"Democratic Republic of the Congo",
ISNUMBER(SEARCH("DR Congo",S2878)),"Democratic Republic of the Congo",
ISNUMBER(SEARCH("German DR",S2878)),"DR Germany",
ISNUMBER(SEARCH("rn""&gt;United Arab Emirates",S2878)),"United Arab Emirates",
ISNUMBER(SEARCH("rn""&gt;Republic of Ireland",S2878)),"Ireland",
ISNUMBER(SEARCH("rn""&gt;Bosnia and Herzegovina",S2878)),"Bosnia and Herzegovina",
ISNUMBER(SEARCH("rn""&gt;Trinidad and Tobago",S2878)),"Trinidad and Tobago",
ISNUMBER(SEARCH("rn""&gt;Serbia and Montenegro",S2878)),"Serbia and Montenegro",
ISNUMBER(SEARCH(_xlfn.UNICHAR(65533),S2878)),"Côte d'Ivoire",
TRUE,""
)</f>
        <v/>
      </c>
      <c r="W2878" s="40" t="str">
        <f t="shared" si="207"/>
        <v>Mexico</v>
      </c>
    </row>
    <row r="2879" spans="19:23">
      <c r="S2879" s="40" t="str">
        <v>Italy</v>
      </c>
      <c r="T2879" s="40" t="str">
        <f t="shared" si="205"/>
        <v>OK</v>
      </c>
      <c r="U2879" s="40" t="str">
        <f t="shared" si="206"/>
        <v>-</v>
      </c>
      <c r="V2879" s="40" t="str" cm="1">
        <f t="array" ref="V2879">_xlfn.IFS(
ISNUMBER(SEARCH("USA",S2879)),"United States",
ISNUMBER(SEARCH("Republic of Ireland",S2879)),"Ireland",
ISNUMBER(SEARCH("Republic of Korea",S2879)),"South Korea",
ISNUMBER(SEARCH("Cape Verde",S2879)),"Cabo Verde",
ISNUMBER(SEARCH("Czechia",S2879)),"Czech Republic",
ISNUMBER(SEARCH("Türkiye",S2879)),"Turkey",
ISNUMBER(SEARCH("Ivory Coast",S2879)),"Côte d'Ivoire",
ISNUMBER(SEARCH("Korea Republic",S2879)),"South Korea",
ISNUMBER(SEARCH("Germany FR",S2879)),"FR Germany",
ISNUMBER(SEARCH("West Germany",S2879)),"FR Germany",
ISNUMBER(SEARCH("Germany DR",S2879)),"DR Germany",
ISNUMBER(SEARCH("Korea DPR",S2879)),"North Korea",
ISNUMBER(SEARCH("China PR",S2879)),"China",
ISNUMBER(SEARCH("IR Iran",S2879)),"Iran",
ISNUMBER(SEARCH("Congo DR",S2879)),"Democratic Republic of the Congo",
ISNUMBER(SEARCH("DR Congo",S2879)),"Democratic Republic of the Congo",
ISNUMBER(SEARCH("German DR",S2879)),"DR Germany",
ISNUMBER(SEARCH("rn""&gt;United Arab Emirates",S2879)),"United Arab Emirates",
ISNUMBER(SEARCH("rn""&gt;Republic of Ireland",S2879)),"Ireland",
ISNUMBER(SEARCH("rn""&gt;Bosnia and Herzegovina",S2879)),"Bosnia and Herzegovina",
ISNUMBER(SEARCH("rn""&gt;Trinidad and Tobago",S2879)),"Trinidad and Tobago",
ISNUMBER(SEARCH("rn""&gt;Serbia and Montenegro",S2879)),"Serbia and Montenegro",
ISNUMBER(SEARCH(_xlfn.UNICHAR(65533),S2879)),"Côte d'Ivoire",
TRUE,""
)</f>
        <v/>
      </c>
      <c r="W2879" s="40" t="str">
        <f t="shared" si="207"/>
        <v>Italy</v>
      </c>
    </row>
    <row r="2880" spans="19:23">
      <c r="S2880" s="40" t="str">
        <v>Netherlands</v>
      </c>
      <c r="T2880" s="40" t="str">
        <f t="shared" si="205"/>
        <v>OK</v>
      </c>
      <c r="U2880" s="40" t="str">
        <f t="shared" si="206"/>
        <v>-</v>
      </c>
      <c r="V2880" s="40" t="str" cm="1">
        <f t="array" ref="V2880">_xlfn.IFS(
ISNUMBER(SEARCH("USA",S2880)),"United States",
ISNUMBER(SEARCH("Republic of Ireland",S2880)),"Ireland",
ISNUMBER(SEARCH("Republic of Korea",S2880)),"South Korea",
ISNUMBER(SEARCH("Cape Verde",S2880)),"Cabo Verde",
ISNUMBER(SEARCH("Czechia",S2880)),"Czech Republic",
ISNUMBER(SEARCH("Türkiye",S2880)),"Turkey",
ISNUMBER(SEARCH("Ivory Coast",S2880)),"Côte d'Ivoire",
ISNUMBER(SEARCH("Korea Republic",S2880)),"South Korea",
ISNUMBER(SEARCH("Germany FR",S2880)),"FR Germany",
ISNUMBER(SEARCH("West Germany",S2880)),"FR Germany",
ISNUMBER(SEARCH("Germany DR",S2880)),"DR Germany",
ISNUMBER(SEARCH("Korea DPR",S2880)),"North Korea",
ISNUMBER(SEARCH("China PR",S2880)),"China",
ISNUMBER(SEARCH("IR Iran",S2880)),"Iran",
ISNUMBER(SEARCH("Congo DR",S2880)),"Democratic Republic of the Congo",
ISNUMBER(SEARCH("DR Congo",S2880)),"Democratic Republic of the Congo",
ISNUMBER(SEARCH("German DR",S2880)),"DR Germany",
ISNUMBER(SEARCH("rn""&gt;United Arab Emirates",S2880)),"United Arab Emirates",
ISNUMBER(SEARCH("rn""&gt;Republic of Ireland",S2880)),"Ireland",
ISNUMBER(SEARCH("rn""&gt;Bosnia and Herzegovina",S2880)),"Bosnia and Herzegovina",
ISNUMBER(SEARCH("rn""&gt;Trinidad and Tobago",S2880)),"Trinidad and Tobago",
ISNUMBER(SEARCH("rn""&gt;Serbia and Montenegro",S2880)),"Serbia and Montenegro",
ISNUMBER(SEARCH(_xlfn.UNICHAR(65533),S2880)),"Côte d'Ivoire",
TRUE,""
)</f>
        <v/>
      </c>
      <c r="W2880" s="40" t="str">
        <f t="shared" si="207"/>
        <v>Netherlands</v>
      </c>
    </row>
    <row r="2881" spans="19:23">
      <c r="S2881" s="40" t="str">
        <v>Bulgaria</v>
      </c>
      <c r="T2881" s="40" t="str">
        <f t="shared" si="205"/>
        <v>OK</v>
      </c>
      <c r="U2881" s="40" t="str">
        <f t="shared" si="206"/>
        <v>-</v>
      </c>
      <c r="V2881" s="40" t="str" cm="1">
        <f t="array" ref="V2881">_xlfn.IFS(
ISNUMBER(SEARCH("USA",S2881)),"United States",
ISNUMBER(SEARCH("Republic of Ireland",S2881)),"Ireland",
ISNUMBER(SEARCH("Republic of Korea",S2881)),"South Korea",
ISNUMBER(SEARCH("Cape Verde",S2881)),"Cabo Verde",
ISNUMBER(SEARCH("Czechia",S2881)),"Czech Republic",
ISNUMBER(SEARCH("Türkiye",S2881)),"Turkey",
ISNUMBER(SEARCH("Ivory Coast",S2881)),"Côte d'Ivoire",
ISNUMBER(SEARCH("Korea Republic",S2881)),"South Korea",
ISNUMBER(SEARCH("Germany FR",S2881)),"FR Germany",
ISNUMBER(SEARCH("West Germany",S2881)),"FR Germany",
ISNUMBER(SEARCH("Germany DR",S2881)),"DR Germany",
ISNUMBER(SEARCH("Korea DPR",S2881)),"North Korea",
ISNUMBER(SEARCH("China PR",S2881)),"China",
ISNUMBER(SEARCH("IR Iran",S2881)),"Iran",
ISNUMBER(SEARCH("Congo DR",S2881)),"Democratic Republic of the Congo",
ISNUMBER(SEARCH("DR Congo",S2881)),"Democratic Republic of the Congo",
ISNUMBER(SEARCH("German DR",S2881)),"DR Germany",
ISNUMBER(SEARCH("rn""&gt;United Arab Emirates",S2881)),"United Arab Emirates",
ISNUMBER(SEARCH("rn""&gt;Republic of Ireland",S2881)),"Ireland",
ISNUMBER(SEARCH("rn""&gt;Bosnia and Herzegovina",S2881)),"Bosnia and Herzegovina",
ISNUMBER(SEARCH("rn""&gt;Trinidad and Tobago",S2881)),"Trinidad and Tobago",
ISNUMBER(SEARCH("rn""&gt;Serbia and Montenegro",S2881)),"Serbia and Montenegro",
ISNUMBER(SEARCH(_xlfn.UNICHAR(65533),S2881)),"Côte d'Ivoire",
TRUE,""
)</f>
        <v/>
      </c>
      <c r="W2881" s="40" t="str">
        <f t="shared" si="207"/>
        <v>Bulgaria</v>
      </c>
    </row>
    <row r="2882" spans="19:23">
      <c r="S2882" s="40" t="str">
        <v>Romania</v>
      </c>
      <c r="T2882" s="40" t="str">
        <f t="shared" si="205"/>
        <v>OK</v>
      </c>
      <c r="U2882" s="40" t="str">
        <f t="shared" si="206"/>
        <v>-</v>
      </c>
      <c r="V2882" s="40" t="str" cm="1">
        <f t="array" ref="V2882">_xlfn.IFS(
ISNUMBER(SEARCH("USA",S2882)),"United States",
ISNUMBER(SEARCH("Republic of Ireland",S2882)),"Ireland",
ISNUMBER(SEARCH("Republic of Korea",S2882)),"South Korea",
ISNUMBER(SEARCH("Cape Verde",S2882)),"Cabo Verde",
ISNUMBER(SEARCH("Czechia",S2882)),"Czech Republic",
ISNUMBER(SEARCH("Türkiye",S2882)),"Turkey",
ISNUMBER(SEARCH("Ivory Coast",S2882)),"Côte d'Ivoire",
ISNUMBER(SEARCH("Korea Republic",S2882)),"South Korea",
ISNUMBER(SEARCH("Germany FR",S2882)),"FR Germany",
ISNUMBER(SEARCH("West Germany",S2882)),"FR Germany",
ISNUMBER(SEARCH("Germany DR",S2882)),"DR Germany",
ISNUMBER(SEARCH("Korea DPR",S2882)),"North Korea",
ISNUMBER(SEARCH("China PR",S2882)),"China",
ISNUMBER(SEARCH("IR Iran",S2882)),"Iran",
ISNUMBER(SEARCH("Congo DR",S2882)),"Democratic Republic of the Congo",
ISNUMBER(SEARCH("DR Congo",S2882)),"Democratic Republic of the Congo",
ISNUMBER(SEARCH("German DR",S2882)),"DR Germany",
ISNUMBER(SEARCH("rn""&gt;United Arab Emirates",S2882)),"United Arab Emirates",
ISNUMBER(SEARCH("rn""&gt;Republic of Ireland",S2882)),"Ireland",
ISNUMBER(SEARCH("rn""&gt;Bosnia and Herzegovina",S2882)),"Bosnia and Herzegovina",
ISNUMBER(SEARCH("rn""&gt;Trinidad and Tobago",S2882)),"Trinidad and Tobago",
ISNUMBER(SEARCH("rn""&gt;Serbia and Montenegro",S2882)),"Serbia and Montenegro",
ISNUMBER(SEARCH(_xlfn.UNICHAR(65533),S2882)),"Côte d'Ivoire",
TRUE,""
)</f>
        <v/>
      </c>
      <c r="W2882" s="40" t="str">
        <f t="shared" si="207"/>
        <v>Romania</v>
      </c>
    </row>
    <row r="2883" spans="19:23">
      <c r="S2883" s="40" t="str">
        <v>Bulgaria</v>
      </c>
      <c r="T2883" s="40" t="str">
        <f t="shared" ref="T2883:T2946" si="208">IF(COUNTIF(R$13:R$250,S2883)=1,"OK","ERREUR")</f>
        <v>OK</v>
      </c>
      <c r="U2883" s="40" t="str">
        <f t="shared" si="206"/>
        <v>-</v>
      </c>
      <c r="V2883" s="40" t="str" cm="1">
        <f t="array" ref="V2883">_xlfn.IFS(
ISNUMBER(SEARCH("USA",S2883)),"United States",
ISNUMBER(SEARCH("Republic of Ireland",S2883)),"Ireland",
ISNUMBER(SEARCH("Republic of Korea",S2883)),"South Korea",
ISNUMBER(SEARCH("Cape Verde",S2883)),"Cabo Verde",
ISNUMBER(SEARCH("Czechia",S2883)),"Czech Republic",
ISNUMBER(SEARCH("Türkiye",S2883)),"Turkey",
ISNUMBER(SEARCH("Ivory Coast",S2883)),"Côte d'Ivoire",
ISNUMBER(SEARCH("Korea Republic",S2883)),"South Korea",
ISNUMBER(SEARCH("Germany FR",S2883)),"FR Germany",
ISNUMBER(SEARCH("West Germany",S2883)),"FR Germany",
ISNUMBER(SEARCH("Germany DR",S2883)),"DR Germany",
ISNUMBER(SEARCH("Korea DPR",S2883)),"North Korea",
ISNUMBER(SEARCH("China PR",S2883)),"China",
ISNUMBER(SEARCH("IR Iran",S2883)),"Iran",
ISNUMBER(SEARCH("Congo DR",S2883)),"Democratic Republic of the Congo",
ISNUMBER(SEARCH("DR Congo",S2883)),"Democratic Republic of the Congo",
ISNUMBER(SEARCH("German DR",S2883)),"DR Germany",
ISNUMBER(SEARCH("rn""&gt;United Arab Emirates",S2883)),"United Arab Emirates",
ISNUMBER(SEARCH("rn""&gt;Republic of Ireland",S2883)),"Ireland",
ISNUMBER(SEARCH("rn""&gt;Bosnia and Herzegovina",S2883)),"Bosnia and Herzegovina",
ISNUMBER(SEARCH("rn""&gt;Trinidad and Tobago",S2883)),"Trinidad and Tobago",
ISNUMBER(SEARCH("rn""&gt;Serbia and Montenegro",S2883)),"Serbia and Montenegro",
ISNUMBER(SEARCH(_xlfn.UNICHAR(65533),S2883)),"Côte d'Ivoire",
TRUE,""
)</f>
        <v/>
      </c>
      <c r="W2883" s="40" t="str">
        <f t="shared" si="207"/>
        <v>Bulgaria</v>
      </c>
    </row>
    <row r="2884" spans="19:23">
      <c r="S2884" s="40" t="str">
        <v>Sweden</v>
      </c>
      <c r="T2884" s="40" t="str">
        <f t="shared" si="208"/>
        <v>OK</v>
      </c>
      <c r="U2884" s="40" t="str">
        <f t="shared" ref="U2884:U2947" si="209">IF(OR(S2884="Scotland",S2884="England",S2884="Wales",S2884="Yugoslavia",S2884="Czechoslovakia",S2884="Northern Ireland",S2884="Soviet Union",S2884="Zaire",S2884="Dutch East Indies"),"AUCUNE",IF(OR(S2884="Cape Verde",S2884="USA",S2884="DR Congo",S2884="Republic of Korea",S2884="Germany FR",S2884="Germany DR",S2884="Czechia",S2884="Ivory Coast",S2884="Korea DPR",S2884="China PR",S2884="IR Iran",S2884="Türkiye",S2884="Congo DR",S2884="German DR",S2884="West Germany",S2884="Republic of Ireland",ISNUMBER(SEARCH(_xlfn.UNICHAR(65533),S2884)),S2884="Korea Republic",ISNUMBER(SEARCH("rn""&gt;United Arab Emirates",S2884)),ISNUMBER(SEARCH("rn""&gt;Republic of Ireland",S2884)),ISNUMBER(SEARCH("rn""&gt;Bosnia and Herzegovina",S2884)),ISNUMBER(SEARCH("rn""&gt;Trinidad and Tobago",S2884)),ISNUMBER(SEARCH("rn""&gt;Serbia and Montenegro",S2884)),ISNUMBER(SEARCH(_xlfn.UNICHAR(65533),S2884))),"RENOMMER","-"))</f>
        <v>-</v>
      </c>
      <c r="V2884" s="40" t="str" cm="1">
        <f t="array" ref="V2884">_xlfn.IFS(
ISNUMBER(SEARCH("USA",S2884)),"United States",
ISNUMBER(SEARCH("Republic of Ireland",S2884)),"Ireland",
ISNUMBER(SEARCH("Republic of Korea",S2884)),"South Korea",
ISNUMBER(SEARCH("Cape Verde",S2884)),"Cabo Verde",
ISNUMBER(SEARCH("Czechia",S2884)),"Czech Republic",
ISNUMBER(SEARCH("Türkiye",S2884)),"Turkey",
ISNUMBER(SEARCH("Ivory Coast",S2884)),"Côte d'Ivoire",
ISNUMBER(SEARCH("Korea Republic",S2884)),"South Korea",
ISNUMBER(SEARCH("Germany FR",S2884)),"FR Germany",
ISNUMBER(SEARCH("West Germany",S2884)),"FR Germany",
ISNUMBER(SEARCH("Germany DR",S2884)),"DR Germany",
ISNUMBER(SEARCH("Korea DPR",S2884)),"North Korea",
ISNUMBER(SEARCH("China PR",S2884)),"China",
ISNUMBER(SEARCH("IR Iran",S2884)),"Iran",
ISNUMBER(SEARCH("Congo DR",S2884)),"Democratic Republic of the Congo",
ISNUMBER(SEARCH("DR Congo",S2884)),"Democratic Republic of the Congo",
ISNUMBER(SEARCH("German DR",S2884)),"DR Germany",
ISNUMBER(SEARCH("rn""&gt;United Arab Emirates",S2884)),"United Arab Emirates",
ISNUMBER(SEARCH("rn""&gt;Republic of Ireland",S2884)),"Ireland",
ISNUMBER(SEARCH("rn""&gt;Bosnia and Herzegovina",S2884)),"Bosnia and Herzegovina",
ISNUMBER(SEARCH("rn""&gt;Trinidad and Tobago",S2884)),"Trinidad and Tobago",
ISNUMBER(SEARCH("rn""&gt;Serbia and Montenegro",S2884)),"Serbia and Montenegro",
ISNUMBER(SEARCH(_xlfn.UNICHAR(65533),S2884)),"Côte d'Ivoire",
TRUE,""
)</f>
        <v/>
      </c>
      <c r="W2884" s="40" t="str">
        <f t="shared" ref="W2884:W2947" si="210">IF(V2884="",S2884,V2884)</f>
        <v>Sweden</v>
      </c>
    </row>
    <row r="2885" spans="19:23">
      <c r="S2885" s="40" t="str">
        <v>Sweden</v>
      </c>
      <c r="T2885" s="40" t="str">
        <f t="shared" si="208"/>
        <v>OK</v>
      </c>
      <c r="U2885" s="40" t="str">
        <f t="shared" si="209"/>
        <v>-</v>
      </c>
      <c r="V2885" s="40" t="str" cm="1">
        <f t="array" ref="V2885">_xlfn.IFS(
ISNUMBER(SEARCH("USA",S2885)),"United States",
ISNUMBER(SEARCH("Republic of Ireland",S2885)),"Ireland",
ISNUMBER(SEARCH("Republic of Korea",S2885)),"South Korea",
ISNUMBER(SEARCH("Cape Verde",S2885)),"Cabo Verde",
ISNUMBER(SEARCH("Czechia",S2885)),"Czech Republic",
ISNUMBER(SEARCH("Türkiye",S2885)),"Turkey",
ISNUMBER(SEARCH("Ivory Coast",S2885)),"Côte d'Ivoire",
ISNUMBER(SEARCH("Korea Republic",S2885)),"South Korea",
ISNUMBER(SEARCH("Germany FR",S2885)),"FR Germany",
ISNUMBER(SEARCH("West Germany",S2885)),"FR Germany",
ISNUMBER(SEARCH("Germany DR",S2885)),"DR Germany",
ISNUMBER(SEARCH("Korea DPR",S2885)),"North Korea",
ISNUMBER(SEARCH("China PR",S2885)),"China",
ISNUMBER(SEARCH("IR Iran",S2885)),"Iran",
ISNUMBER(SEARCH("Congo DR",S2885)),"Democratic Republic of the Congo",
ISNUMBER(SEARCH("DR Congo",S2885)),"Democratic Republic of the Congo",
ISNUMBER(SEARCH("German DR",S2885)),"DR Germany",
ISNUMBER(SEARCH("rn""&gt;United Arab Emirates",S2885)),"United Arab Emirates",
ISNUMBER(SEARCH("rn""&gt;Republic of Ireland",S2885)),"Ireland",
ISNUMBER(SEARCH("rn""&gt;Bosnia and Herzegovina",S2885)),"Bosnia and Herzegovina",
ISNUMBER(SEARCH("rn""&gt;Trinidad and Tobago",S2885)),"Trinidad and Tobago",
ISNUMBER(SEARCH("rn""&gt;Serbia and Montenegro",S2885)),"Serbia and Montenegro",
ISNUMBER(SEARCH(_xlfn.UNICHAR(65533),S2885)),"Côte d'Ivoire",
TRUE,""
)</f>
        <v/>
      </c>
      <c r="W2885" s="40" t="str">
        <f t="shared" si="210"/>
        <v>Sweden</v>
      </c>
    </row>
    <row r="2886" spans="19:23">
      <c r="S2886" s="40" t="str">
        <v>Brazil</v>
      </c>
      <c r="T2886" s="40" t="str">
        <f t="shared" si="208"/>
        <v>OK</v>
      </c>
      <c r="U2886" s="40" t="str">
        <f t="shared" si="209"/>
        <v>-</v>
      </c>
      <c r="V2886" s="40" t="str" cm="1">
        <f t="array" ref="V2886">_xlfn.IFS(
ISNUMBER(SEARCH("USA",S2886)),"United States",
ISNUMBER(SEARCH("Republic of Ireland",S2886)),"Ireland",
ISNUMBER(SEARCH("Republic of Korea",S2886)),"South Korea",
ISNUMBER(SEARCH("Cape Verde",S2886)),"Cabo Verde",
ISNUMBER(SEARCH("Czechia",S2886)),"Czech Republic",
ISNUMBER(SEARCH("Türkiye",S2886)),"Turkey",
ISNUMBER(SEARCH("Ivory Coast",S2886)),"Côte d'Ivoire",
ISNUMBER(SEARCH("Korea Republic",S2886)),"South Korea",
ISNUMBER(SEARCH("Germany FR",S2886)),"FR Germany",
ISNUMBER(SEARCH("West Germany",S2886)),"FR Germany",
ISNUMBER(SEARCH("Germany DR",S2886)),"DR Germany",
ISNUMBER(SEARCH("Korea DPR",S2886)),"North Korea",
ISNUMBER(SEARCH("China PR",S2886)),"China",
ISNUMBER(SEARCH("IR Iran",S2886)),"Iran",
ISNUMBER(SEARCH("Congo DR",S2886)),"Democratic Republic of the Congo",
ISNUMBER(SEARCH("DR Congo",S2886)),"Democratic Republic of the Congo",
ISNUMBER(SEARCH("German DR",S2886)),"DR Germany",
ISNUMBER(SEARCH("rn""&gt;United Arab Emirates",S2886)),"United Arab Emirates",
ISNUMBER(SEARCH("rn""&gt;Republic of Ireland",S2886)),"Ireland",
ISNUMBER(SEARCH("rn""&gt;Bosnia and Herzegovina",S2886)),"Bosnia and Herzegovina",
ISNUMBER(SEARCH("rn""&gt;Trinidad and Tobago",S2886)),"Trinidad and Tobago",
ISNUMBER(SEARCH("rn""&gt;Serbia and Montenegro",S2886)),"Serbia and Montenegro",
ISNUMBER(SEARCH(_xlfn.UNICHAR(65533),S2886)),"Côte d'Ivoire",
TRUE,""
)</f>
        <v/>
      </c>
      <c r="W2886" s="40" t="str">
        <f t="shared" si="210"/>
        <v>Brazil</v>
      </c>
    </row>
    <row r="2887" spans="19:23">
      <c r="S2887" s="40" t="str">
        <v>Brazil</v>
      </c>
      <c r="T2887" s="40" t="str">
        <f t="shared" si="208"/>
        <v>OK</v>
      </c>
      <c r="U2887" s="40" t="str">
        <f t="shared" si="209"/>
        <v>-</v>
      </c>
      <c r="V2887" s="40" t="str" cm="1">
        <f t="array" ref="V2887">_xlfn.IFS(
ISNUMBER(SEARCH("USA",S2887)),"United States",
ISNUMBER(SEARCH("Republic of Ireland",S2887)),"Ireland",
ISNUMBER(SEARCH("Republic of Korea",S2887)),"South Korea",
ISNUMBER(SEARCH("Cape Verde",S2887)),"Cabo Verde",
ISNUMBER(SEARCH("Czechia",S2887)),"Czech Republic",
ISNUMBER(SEARCH("Türkiye",S2887)),"Turkey",
ISNUMBER(SEARCH("Ivory Coast",S2887)),"Côte d'Ivoire",
ISNUMBER(SEARCH("Korea Republic",S2887)),"South Korea",
ISNUMBER(SEARCH("Germany FR",S2887)),"FR Germany",
ISNUMBER(SEARCH("West Germany",S2887)),"FR Germany",
ISNUMBER(SEARCH("Germany DR",S2887)),"DR Germany",
ISNUMBER(SEARCH("Korea DPR",S2887)),"North Korea",
ISNUMBER(SEARCH("China PR",S2887)),"China",
ISNUMBER(SEARCH("IR Iran",S2887)),"Iran",
ISNUMBER(SEARCH("Congo DR",S2887)),"Democratic Republic of the Congo",
ISNUMBER(SEARCH("DR Congo",S2887)),"Democratic Republic of the Congo",
ISNUMBER(SEARCH("German DR",S2887)),"DR Germany",
ISNUMBER(SEARCH("rn""&gt;United Arab Emirates",S2887)),"United Arab Emirates",
ISNUMBER(SEARCH("rn""&gt;Republic of Ireland",S2887)),"Ireland",
ISNUMBER(SEARCH("rn""&gt;Bosnia and Herzegovina",S2887)),"Bosnia and Herzegovina",
ISNUMBER(SEARCH("rn""&gt;Trinidad and Tobago",S2887)),"Trinidad and Tobago",
ISNUMBER(SEARCH("rn""&gt;Serbia and Montenegro",S2887)),"Serbia and Montenegro",
ISNUMBER(SEARCH(_xlfn.UNICHAR(65533),S2887)),"Côte d'Ivoire",
TRUE,""
)</f>
        <v/>
      </c>
      <c r="W2887" s="40" t="str">
        <f t="shared" si="210"/>
        <v>Brazil</v>
      </c>
    </row>
    <row r="2888" spans="19:23">
      <c r="S2888" s="40" t="str">
        <v>Morocco</v>
      </c>
      <c r="T2888" s="40" t="str">
        <f t="shared" si="208"/>
        <v>OK</v>
      </c>
      <c r="U2888" s="40" t="str">
        <f t="shared" si="209"/>
        <v>-</v>
      </c>
      <c r="V2888" s="40" t="str" cm="1">
        <f t="array" ref="V2888">_xlfn.IFS(
ISNUMBER(SEARCH("USA",S2888)),"United States",
ISNUMBER(SEARCH("Republic of Ireland",S2888)),"Ireland",
ISNUMBER(SEARCH("Republic of Korea",S2888)),"South Korea",
ISNUMBER(SEARCH("Cape Verde",S2888)),"Cabo Verde",
ISNUMBER(SEARCH("Czechia",S2888)),"Czech Republic",
ISNUMBER(SEARCH("Türkiye",S2888)),"Turkey",
ISNUMBER(SEARCH("Ivory Coast",S2888)),"Côte d'Ivoire",
ISNUMBER(SEARCH("Korea Republic",S2888)),"South Korea",
ISNUMBER(SEARCH("Germany FR",S2888)),"FR Germany",
ISNUMBER(SEARCH("West Germany",S2888)),"FR Germany",
ISNUMBER(SEARCH("Germany DR",S2888)),"DR Germany",
ISNUMBER(SEARCH("Korea DPR",S2888)),"North Korea",
ISNUMBER(SEARCH("China PR",S2888)),"China",
ISNUMBER(SEARCH("IR Iran",S2888)),"Iran",
ISNUMBER(SEARCH("Congo DR",S2888)),"Democratic Republic of the Congo",
ISNUMBER(SEARCH("DR Congo",S2888)),"Democratic Republic of the Congo",
ISNUMBER(SEARCH("German DR",S2888)),"DR Germany",
ISNUMBER(SEARCH("rn""&gt;United Arab Emirates",S2888)),"United Arab Emirates",
ISNUMBER(SEARCH("rn""&gt;Republic of Ireland",S2888)),"Ireland",
ISNUMBER(SEARCH("rn""&gt;Bosnia and Herzegovina",S2888)),"Bosnia and Herzegovina",
ISNUMBER(SEARCH("rn""&gt;Trinidad and Tobago",S2888)),"Trinidad and Tobago",
ISNUMBER(SEARCH("rn""&gt;Serbia and Montenegro",S2888)),"Serbia and Montenegro",
ISNUMBER(SEARCH(_xlfn.UNICHAR(65533),S2888)),"Côte d'Ivoire",
TRUE,""
)</f>
        <v/>
      </c>
      <c r="W2888" s="40" t="str">
        <f t="shared" si="210"/>
        <v>Morocco</v>
      </c>
    </row>
    <row r="2889" spans="19:23">
      <c r="S2889" s="40" t="str">
        <v>Italy</v>
      </c>
      <c r="T2889" s="40" t="str">
        <f t="shared" si="208"/>
        <v>OK</v>
      </c>
      <c r="U2889" s="40" t="str">
        <f t="shared" si="209"/>
        <v>-</v>
      </c>
      <c r="V2889" s="40" t="str" cm="1">
        <f t="array" ref="V2889">_xlfn.IFS(
ISNUMBER(SEARCH("USA",S2889)),"United States",
ISNUMBER(SEARCH("Republic of Ireland",S2889)),"Ireland",
ISNUMBER(SEARCH("Republic of Korea",S2889)),"South Korea",
ISNUMBER(SEARCH("Cape Verde",S2889)),"Cabo Verde",
ISNUMBER(SEARCH("Czechia",S2889)),"Czech Republic",
ISNUMBER(SEARCH("Türkiye",S2889)),"Turkey",
ISNUMBER(SEARCH("Ivory Coast",S2889)),"Côte d'Ivoire",
ISNUMBER(SEARCH("Korea Republic",S2889)),"South Korea",
ISNUMBER(SEARCH("Germany FR",S2889)),"FR Germany",
ISNUMBER(SEARCH("West Germany",S2889)),"FR Germany",
ISNUMBER(SEARCH("Germany DR",S2889)),"DR Germany",
ISNUMBER(SEARCH("Korea DPR",S2889)),"North Korea",
ISNUMBER(SEARCH("China PR",S2889)),"China",
ISNUMBER(SEARCH("IR Iran",S2889)),"Iran",
ISNUMBER(SEARCH("Congo DR",S2889)),"Democratic Republic of the Congo",
ISNUMBER(SEARCH("DR Congo",S2889)),"Democratic Republic of the Congo",
ISNUMBER(SEARCH("German DR",S2889)),"DR Germany",
ISNUMBER(SEARCH("rn""&gt;United Arab Emirates",S2889)),"United Arab Emirates",
ISNUMBER(SEARCH("rn""&gt;Republic of Ireland",S2889)),"Ireland",
ISNUMBER(SEARCH("rn""&gt;Bosnia and Herzegovina",S2889)),"Bosnia and Herzegovina",
ISNUMBER(SEARCH("rn""&gt;Trinidad and Tobago",S2889)),"Trinidad and Tobago",
ISNUMBER(SEARCH("rn""&gt;Serbia and Montenegro",S2889)),"Serbia and Montenegro",
ISNUMBER(SEARCH(_xlfn.UNICHAR(65533),S2889)),"Côte d'Ivoire",
TRUE,""
)</f>
        <v/>
      </c>
      <c r="W2889" s="40" t="str">
        <f t="shared" si="210"/>
        <v>Italy</v>
      </c>
    </row>
    <row r="2890" spans="19:23">
      <c r="S2890" s="40" t="str">
        <v>Cameroon</v>
      </c>
      <c r="T2890" s="40" t="str">
        <f t="shared" si="208"/>
        <v>OK</v>
      </c>
      <c r="U2890" s="40" t="str">
        <f t="shared" si="209"/>
        <v>-</v>
      </c>
      <c r="V2890" s="40" t="str" cm="1">
        <f t="array" ref="V2890">_xlfn.IFS(
ISNUMBER(SEARCH("USA",S2890)),"United States",
ISNUMBER(SEARCH("Republic of Ireland",S2890)),"Ireland",
ISNUMBER(SEARCH("Republic of Korea",S2890)),"South Korea",
ISNUMBER(SEARCH("Cape Verde",S2890)),"Cabo Verde",
ISNUMBER(SEARCH("Czechia",S2890)),"Czech Republic",
ISNUMBER(SEARCH("Türkiye",S2890)),"Turkey",
ISNUMBER(SEARCH("Ivory Coast",S2890)),"Côte d'Ivoire",
ISNUMBER(SEARCH("Korea Republic",S2890)),"South Korea",
ISNUMBER(SEARCH("Germany FR",S2890)),"FR Germany",
ISNUMBER(SEARCH("West Germany",S2890)),"FR Germany",
ISNUMBER(SEARCH("Germany DR",S2890)),"DR Germany",
ISNUMBER(SEARCH("Korea DPR",S2890)),"North Korea",
ISNUMBER(SEARCH("China PR",S2890)),"China",
ISNUMBER(SEARCH("IR Iran",S2890)),"Iran",
ISNUMBER(SEARCH("Congo DR",S2890)),"Democratic Republic of the Congo",
ISNUMBER(SEARCH("DR Congo",S2890)),"Democratic Republic of the Congo",
ISNUMBER(SEARCH("German DR",S2890)),"DR Germany",
ISNUMBER(SEARCH("rn""&gt;United Arab Emirates",S2890)),"United Arab Emirates",
ISNUMBER(SEARCH("rn""&gt;Republic of Ireland",S2890)),"Ireland",
ISNUMBER(SEARCH("rn""&gt;Bosnia and Herzegovina",S2890)),"Bosnia and Herzegovina",
ISNUMBER(SEARCH("rn""&gt;Trinidad and Tobago",S2890)),"Trinidad and Tobago",
ISNUMBER(SEARCH("rn""&gt;Serbia and Montenegro",S2890)),"Serbia and Montenegro",
ISNUMBER(SEARCH(_xlfn.UNICHAR(65533),S2890)),"Côte d'Ivoire",
TRUE,""
)</f>
        <v/>
      </c>
      <c r="W2890" s="40" t="str">
        <f t="shared" si="210"/>
        <v>Cameroon</v>
      </c>
    </row>
    <row r="2891" spans="19:23">
      <c r="S2891" s="40" t="str">
        <v>Paraguay</v>
      </c>
      <c r="T2891" s="40" t="str">
        <f t="shared" si="208"/>
        <v>OK</v>
      </c>
      <c r="U2891" s="40" t="str">
        <f t="shared" si="209"/>
        <v>-</v>
      </c>
      <c r="V2891" s="40" t="str" cm="1">
        <f t="array" ref="V2891">_xlfn.IFS(
ISNUMBER(SEARCH("USA",S2891)),"United States",
ISNUMBER(SEARCH("Republic of Ireland",S2891)),"Ireland",
ISNUMBER(SEARCH("Republic of Korea",S2891)),"South Korea",
ISNUMBER(SEARCH("Cape Verde",S2891)),"Cabo Verde",
ISNUMBER(SEARCH("Czechia",S2891)),"Czech Republic",
ISNUMBER(SEARCH("Türkiye",S2891)),"Turkey",
ISNUMBER(SEARCH("Ivory Coast",S2891)),"Côte d'Ivoire",
ISNUMBER(SEARCH("Korea Republic",S2891)),"South Korea",
ISNUMBER(SEARCH("Germany FR",S2891)),"FR Germany",
ISNUMBER(SEARCH("West Germany",S2891)),"FR Germany",
ISNUMBER(SEARCH("Germany DR",S2891)),"DR Germany",
ISNUMBER(SEARCH("Korea DPR",S2891)),"North Korea",
ISNUMBER(SEARCH("China PR",S2891)),"China",
ISNUMBER(SEARCH("IR Iran",S2891)),"Iran",
ISNUMBER(SEARCH("Congo DR",S2891)),"Democratic Republic of the Congo",
ISNUMBER(SEARCH("DR Congo",S2891)),"Democratic Republic of the Congo",
ISNUMBER(SEARCH("German DR",S2891)),"DR Germany",
ISNUMBER(SEARCH("rn""&gt;United Arab Emirates",S2891)),"United Arab Emirates",
ISNUMBER(SEARCH("rn""&gt;Republic of Ireland",S2891)),"Ireland",
ISNUMBER(SEARCH("rn""&gt;Bosnia and Herzegovina",S2891)),"Bosnia and Herzegovina",
ISNUMBER(SEARCH("rn""&gt;Trinidad and Tobago",S2891)),"Trinidad and Tobago",
ISNUMBER(SEARCH("rn""&gt;Serbia and Montenegro",S2891)),"Serbia and Montenegro",
ISNUMBER(SEARCH(_xlfn.UNICHAR(65533),S2891)),"Côte d'Ivoire",
TRUE,""
)</f>
        <v/>
      </c>
      <c r="W2891" s="40" t="str">
        <f t="shared" si="210"/>
        <v>Paraguay</v>
      </c>
    </row>
    <row r="2892" spans="19:23">
      <c r="S2892" s="40" t="str">
        <v>Saudi Arabia</v>
      </c>
      <c r="T2892" s="40" t="str">
        <f t="shared" si="208"/>
        <v>OK</v>
      </c>
      <c r="U2892" s="40" t="str">
        <f t="shared" si="209"/>
        <v>-</v>
      </c>
      <c r="V2892" s="40" t="str" cm="1">
        <f t="array" ref="V2892">_xlfn.IFS(
ISNUMBER(SEARCH("USA",S2892)),"United States",
ISNUMBER(SEARCH("Republic of Ireland",S2892)),"Ireland",
ISNUMBER(SEARCH("Republic of Korea",S2892)),"South Korea",
ISNUMBER(SEARCH("Cape Verde",S2892)),"Cabo Verde",
ISNUMBER(SEARCH("Czechia",S2892)),"Czech Republic",
ISNUMBER(SEARCH("Türkiye",S2892)),"Turkey",
ISNUMBER(SEARCH("Ivory Coast",S2892)),"Côte d'Ivoire",
ISNUMBER(SEARCH("Korea Republic",S2892)),"South Korea",
ISNUMBER(SEARCH("Germany FR",S2892)),"FR Germany",
ISNUMBER(SEARCH("West Germany",S2892)),"FR Germany",
ISNUMBER(SEARCH("Germany DR",S2892)),"DR Germany",
ISNUMBER(SEARCH("Korea DPR",S2892)),"North Korea",
ISNUMBER(SEARCH("China PR",S2892)),"China",
ISNUMBER(SEARCH("IR Iran",S2892)),"Iran",
ISNUMBER(SEARCH("Congo DR",S2892)),"Democratic Republic of the Congo",
ISNUMBER(SEARCH("DR Congo",S2892)),"Democratic Republic of the Congo",
ISNUMBER(SEARCH("German DR",S2892)),"DR Germany",
ISNUMBER(SEARCH("rn""&gt;United Arab Emirates",S2892)),"United Arab Emirates",
ISNUMBER(SEARCH("rn""&gt;Republic of Ireland",S2892)),"Ireland",
ISNUMBER(SEARCH("rn""&gt;Bosnia and Herzegovina",S2892)),"Bosnia and Herzegovina",
ISNUMBER(SEARCH("rn""&gt;Trinidad and Tobago",S2892)),"Trinidad and Tobago",
ISNUMBER(SEARCH("rn""&gt;Serbia and Montenegro",S2892)),"Serbia and Montenegro",
ISNUMBER(SEARCH(_xlfn.UNICHAR(65533),S2892)),"Côte d'Ivoire",
TRUE,""
)</f>
        <v/>
      </c>
      <c r="W2892" s="40" t="str">
        <f t="shared" si="210"/>
        <v>Saudi Arabia</v>
      </c>
    </row>
    <row r="2893" spans="19:23">
      <c r="S2893" s="40" t="str">
        <v>France</v>
      </c>
      <c r="T2893" s="40" t="str">
        <f t="shared" si="208"/>
        <v>OK</v>
      </c>
      <c r="U2893" s="40" t="str">
        <f t="shared" si="209"/>
        <v>-</v>
      </c>
      <c r="V2893" s="40" t="str" cm="1">
        <f t="array" ref="V2893">_xlfn.IFS(
ISNUMBER(SEARCH("USA",S2893)),"United States",
ISNUMBER(SEARCH("Republic of Ireland",S2893)),"Ireland",
ISNUMBER(SEARCH("Republic of Korea",S2893)),"South Korea",
ISNUMBER(SEARCH("Cape Verde",S2893)),"Cabo Verde",
ISNUMBER(SEARCH("Czechia",S2893)),"Czech Republic",
ISNUMBER(SEARCH("Türkiye",S2893)),"Turkey",
ISNUMBER(SEARCH("Ivory Coast",S2893)),"Côte d'Ivoire",
ISNUMBER(SEARCH("Korea Republic",S2893)),"South Korea",
ISNUMBER(SEARCH("Germany FR",S2893)),"FR Germany",
ISNUMBER(SEARCH("West Germany",S2893)),"FR Germany",
ISNUMBER(SEARCH("Germany DR",S2893)),"DR Germany",
ISNUMBER(SEARCH("Korea DPR",S2893)),"North Korea",
ISNUMBER(SEARCH("China PR",S2893)),"China",
ISNUMBER(SEARCH("IR Iran",S2893)),"Iran",
ISNUMBER(SEARCH("Congo DR",S2893)),"Democratic Republic of the Congo",
ISNUMBER(SEARCH("DR Congo",S2893)),"Democratic Republic of the Congo",
ISNUMBER(SEARCH("German DR",S2893)),"DR Germany",
ISNUMBER(SEARCH("rn""&gt;United Arab Emirates",S2893)),"United Arab Emirates",
ISNUMBER(SEARCH("rn""&gt;Republic of Ireland",S2893)),"Ireland",
ISNUMBER(SEARCH("rn""&gt;Bosnia and Herzegovina",S2893)),"Bosnia and Herzegovina",
ISNUMBER(SEARCH("rn""&gt;Trinidad and Tobago",S2893)),"Trinidad and Tobago",
ISNUMBER(SEARCH("rn""&gt;Serbia and Montenegro",S2893)),"Serbia and Montenegro",
ISNUMBER(SEARCH(_xlfn.UNICHAR(65533),S2893)),"Côte d'Ivoire",
TRUE,""
)</f>
        <v/>
      </c>
      <c r="W2893" s="40" t="str">
        <f t="shared" si="210"/>
        <v>France</v>
      </c>
    </row>
    <row r="2894" spans="19:23">
      <c r="S2894" s="40" t="str">
        <v>Spain</v>
      </c>
      <c r="T2894" s="40" t="str">
        <f t="shared" si="208"/>
        <v>OK</v>
      </c>
      <c r="U2894" s="40" t="str">
        <f t="shared" si="209"/>
        <v>-</v>
      </c>
      <c r="V2894" s="40" t="str" cm="1">
        <f t="array" ref="V2894">_xlfn.IFS(
ISNUMBER(SEARCH("USA",S2894)),"United States",
ISNUMBER(SEARCH("Republic of Ireland",S2894)),"Ireland",
ISNUMBER(SEARCH("Republic of Korea",S2894)),"South Korea",
ISNUMBER(SEARCH("Cape Verde",S2894)),"Cabo Verde",
ISNUMBER(SEARCH("Czechia",S2894)),"Czech Republic",
ISNUMBER(SEARCH("Türkiye",S2894)),"Turkey",
ISNUMBER(SEARCH("Ivory Coast",S2894)),"Côte d'Ivoire",
ISNUMBER(SEARCH("Korea Republic",S2894)),"South Korea",
ISNUMBER(SEARCH("Germany FR",S2894)),"FR Germany",
ISNUMBER(SEARCH("West Germany",S2894)),"FR Germany",
ISNUMBER(SEARCH("Germany DR",S2894)),"DR Germany",
ISNUMBER(SEARCH("Korea DPR",S2894)),"North Korea",
ISNUMBER(SEARCH("China PR",S2894)),"China",
ISNUMBER(SEARCH("IR Iran",S2894)),"Iran",
ISNUMBER(SEARCH("Congo DR",S2894)),"Democratic Republic of the Congo",
ISNUMBER(SEARCH("DR Congo",S2894)),"Democratic Republic of the Congo",
ISNUMBER(SEARCH("German DR",S2894)),"DR Germany",
ISNUMBER(SEARCH("rn""&gt;United Arab Emirates",S2894)),"United Arab Emirates",
ISNUMBER(SEARCH("rn""&gt;Republic of Ireland",S2894)),"Ireland",
ISNUMBER(SEARCH("rn""&gt;Bosnia and Herzegovina",S2894)),"Bosnia and Herzegovina",
ISNUMBER(SEARCH("rn""&gt;Trinidad and Tobago",S2894)),"Trinidad and Tobago",
ISNUMBER(SEARCH("rn""&gt;Serbia and Montenegro",S2894)),"Serbia and Montenegro",
ISNUMBER(SEARCH(_xlfn.UNICHAR(65533),S2894)),"Côte d'Ivoire",
TRUE,""
)</f>
        <v/>
      </c>
      <c r="W2894" s="40" t="str">
        <f t="shared" si="210"/>
        <v>Spain</v>
      </c>
    </row>
    <row r="2895" spans="19:23">
      <c r="S2895" s="40" t="str">
        <v>Korea Republic</v>
      </c>
      <c r="T2895" s="40" t="str">
        <f t="shared" si="208"/>
        <v>ERREUR</v>
      </c>
      <c r="U2895" s="40" t="str">
        <f t="shared" si="209"/>
        <v>RENOMMER</v>
      </c>
      <c r="V2895" s="40" t="str" cm="1">
        <f t="array" ref="V2895">_xlfn.IFS(
ISNUMBER(SEARCH("USA",S2895)),"United States",
ISNUMBER(SEARCH("Republic of Ireland",S2895)),"Ireland",
ISNUMBER(SEARCH("Republic of Korea",S2895)),"South Korea",
ISNUMBER(SEARCH("Cape Verde",S2895)),"Cabo Verde",
ISNUMBER(SEARCH("Czechia",S2895)),"Czech Republic",
ISNUMBER(SEARCH("Türkiye",S2895)),"Turkey",
ISNUMBER(SEARCH("Ivory Coast",S2895)),"Côte d'Ivoire",
ISNUMBER(SEARCH("Korea Republic",S2895)),"South Korea",
ISNUMBER(SEARCH("Germany FR",S2895)),"FR Germany",
ISNUMBER(SEARCH("West Germany",S2895)),"FR Germany",
ISNUMBER(SEARCH("Germany DR",S2895)),"DR Germany",
ISNUMBER(SEARCH("Korea DPR",S2895)),"North Korea",
ISNUMBER(SEARCH("China PR",S2895)),"China",
ISNUMBER(SEARCH("IR Iran",S2895)),"Iran",
ISNUMBER(SEARCH("Congo DR",S2895)),"Democratic Republic of the Congo",
ISNUMBER(SEARCH("DR Congo",S2895)),"Democratic Republic of the Congo",
ISNUMBER(SEARCH("German DR",S2895)),"DR Germany",
ISNUMBER(SEARCH("rn""&gt;United Arab Emirates",S2895)),"United Arab Emirates",
ISNUMBER(SEARCH("rn""&gt;Republic of Ireland",S2895)),"Ireland",
ISNUMBER(SEARCH("rn""&gt;Bosnia and Herzegovina",S2895)),"Bosnia and Herzegovina",
ISNUMBER(SEARCH("rn""&gt;Trinidad and Tobago",S2895)),"Trinidad and Tobago",
ISNUMBER(SEARCH("rn""&gt;Serbia and Montenegro",S2895)),"Serbia and Montenegro",
ISNUMBER(SEARCH(_xlfn.UNICHAR(65533),S2895)),"Côte d'Ivoire",
TRUE,""
)</f>
        <v>South Korea</v>
      </c>
      <c r="W2895" s="40" t="str">
        <f t="shared" si="210"/>
        <v>South Korea</v>
      </c>
    </row>
    <row r="2896" spans="19:23">
      <c r="S2896" s="40" t="str">
        <v>Netherlands</v>
      </c>
      <c r="T2896" s="40" t="str">
        <f t="shared" si="208"/>
        <v>OK</v>
      </c>
      <c r="U2896" s="40" t="str">
        <f t="shared" si="209"/>
        <v>-</v>
      </c>
      <c r="V2896" s="40" t="str" cm="1">
        <f t="array" ref="V2896">_xlfn.IFS(
ISNUMBER(SEARCH("USA",S2896)),"United States",
ISNUMBER(SEARCH("Republic of Ireland",S2896)),"Ireland",
ISNUMBER(SEARCH("Republic of Korea",S2896)),"South Korea",
ISNUMBER(SEARCH("Cape Verde",S2896)),"Cabo Verde",
ISNUMBER(SEARCH("Czechia",S2896)),"Czech Republic",
ISNUMBER(SEARCH("Türkiye",S2896)),"Turkey",
ISNUMBER(SEARCH("Ivory Coast",S2896)),"Côte d'Ivoire",
ISNUMBER(SEARCH("Korea Republic",S2896)),"South Korea",
ISNUMBER(SEARCH("Germany FR",S2896)),"FR Germany",
ISNUMBER(SEARCH("West Germany",S2896)),"FR Germany",
ISNUMBER(SEARCH("Germany DR",S2896)),"DR Germany",
ISNUMBER(SEARCH("Korea DPR",S2896)),"North Korea",
ISNUMBER(SEARCH("China PR",S2896)),"China",
ISNUMBER(SEARCH("IR Iran",S2896)),"Iran",
ISNUMBER(SEARCH("Congo DR",S2896)),"Democratic Republic of the Congo",
ISNUMBER(SEARCH("DR Congo",S2896)),"Democratic Republic of the Congo",
ISNUMBER(SEARCH("German DR",S2896)),"DR Germany",
ISNUMBER(SEARCH("rn""&gt;United Arab Emirates",S2896)),"United Arab Emirates",
ISNUMBER(SEARCH("rn""&gt;Republic of Ireland",S2896)),"Ireland",
ISNUMBER(SEARCH("rn""&gt;Bosnia and Herzegovina",S2896)),"Bosnia and Herzegovina",
ISNUMBER(SEARCH("rn""&gt;Trinidad and Tobago",S2896)),"Trinidad and Tobago",
ISNUMBER(SEARCH("rn""&gt;Serbia and Montenegro",S2896)),"Serbia and Montenegro",
ISNUMBER(SEARCH(_xlfn.UNICHAR(65533),S2896)),"Côte d'Ivoire",
TRUE,""
)</f>
        <v/>
      </c>
      <c r="W2896" s="40" t="str">
        <f t="shared" si="210"/>
        <v>Netherlands</v>
      </c>
    </row>
    <row r="2897" spans="19:23">
      <c r="S2897" s="40" t="str">
        <v>Argentina</v>
      </c>
      <c r="T2897" s="40" t="str">
        <f t="shared" si="208"/>
        <v>OK</v>
      </c>
      <c r="U2897" s="40" t="str">
        <f t="shared" si="209"/>
        <v>-</v>
      </c>
      <c r="V2897" s="40" t="str" cm="1">
        <f t="array" ref="V2897">_xlfn.IFS(
ISNUMBER(SEARCH("USA",S2897)),"United States",
ISNUMBER(SEARCH("Republic of Ireland",S2897)),"Ireland",
ISNUMBER(SEARCH("Republic of Korea",S2897)),"South Korea",
ISNUMBER(SEARCH("Cape Verde",S2897)),"Cabo Verde",
ISNUMBER(SEARCH("Czechia",S2897)),"Czech Republic",
ISNUMBER(SEARCH("Türkiye",S2897)),"Turkey",
ISNUMBER(SEARCH("Ivory Coast",S2897)),"Côte d'Ivoire",
ISNUMBER(SEARCH("Korea Republic",S2897)),"South Korea",
ISNUMBER(SEARCH("Germany FR",S2897)),"FR Germany",
ISNUMBER(SEARCH("West Germany",S2897)),"FR Germany",
ISNUMBER(SEARCH("Germany DR",S2897)),"DR Germany",
ISNUMBER(SEARCH("Korea DPR",S2897)),"North Korea",
ISNUMBER(SEARCH("China PR",S2897)),"China",
ISNUMBER(SEARCH("IR Iran",S2897)),"Iran",
ISNUMBER(SEARCH("Congo DR",S2897)),"Democratic Republic of the Congo",
ISNUMBER(SEARCH("DR Congo",S2897)),"Democratic Republic of the Congo",
ISNUMBER(SEARCH("German DR",S2897)),"DR Germany",
ISNUMBER(SEARCH("rn""&gt;United Arab Emirates",S2897)),"United Arab Emirates",
ISNUMBER(SEARCH("rn""&gt;Republic of Ireland",S2897)),"Ireland",
ISNUMBER(SEARCH("rn""&gt;Bosnia and Herzegovina",S2897)),"Bosnia and Herzegovina",
ISNUMBER(SEARCH("rn""&gt;Trinidad and Tobago",S2897)),"Trinidad and Tobago",
ISNUMBER(SEARCH("rn""&gt;Serbia and Montenegro",S2897)),"Serbia and Montenegro",
ISNUMBER(SEARCH(_xlfn.UNICHAR(65533),S2897)),"Côte d'Ivoire",
TRUE,""
)</f>
        <v/>
      </c>
      <c r="W2897" s="40" t="str">
        <f t="shared" si="210"/>
        <v>Argentina</v>
      </c>
    </row>
    <row r="2898" spans="19:23">
      <c r="S2898" s="40" t="str">
        <v>Yugoslavia</v>
      </c>
      <c r="T2898" s="40" t="str">
        <f t="shared" si="208"/>
        <v>ERREUR</v>
      </c>
      <c r="U2898" s="40" t="str">
        <f t="shared" si="209"/>
        <v>AUCUNE</v>
      </c>
      <c r="V2898" s="40" t="str" cm="1">
        <f t="array" ref="V2898">_xlfn.IFS(
ISNUMBER(SEARCH("USA",S2898)),"United States",
ISNUMBER(SEARCH("Republic of Ireland",S2898)),"Ireland",
ISNUMBER(SEARCH("Republic of Korea",S2898)),"South Korea",
ISNUMBER(SEARCH("Cape Verde",S2898)),"Cabo Verde",
ISNUMBER(SEARCH("Czechia",S2898)),"Czech Republic",
ISNUMBER(SEARCH("Türkiye",S2898)),"Turkey",
ISNUMBER(SEARCH("Ivory Coast",S2898)),"Côte d'Ivoire",
ISNUMBER(SEARCH("Korea Republic",S2898)),"South Korea",
ISNUMBER(SEARCH("Germany FR",S2898)),"FR Germany",
ISNUMBER(SEARCH("West Germany",S2898)),"FR Germany",
ISNUMBER(SEARCH("Germany DR",S2898)),"DR Germany",
ISNUMBER(SEARCH("Korea DPR",S2898)),"North Korea",
ISNUMBER(SEARCH("China PR",S2898)),"China",
ISNUMBER(SEARCH("IR Iran",S2898)),"Iran",
ISNUMBER(SEARCH("Congo DR",S2898)),"Democratic Republic of the Congo",
ISNUMBER(SEARCH("DR Congo",S2898)),"Democratic Republic of the Congo",
ISNUMBER(SEARCH("German DR",S2898)),"DR Germany",
ISNUMBER(SEARCH("rn""&gt;United Arab Emirates",S2898)),"United Arab Emirates",
ISNUMBER(SEARCH("rn""&gt;Republic of Ireland",S2898)),"Ireland",
ISNUMBER(SEARCH("rn""&gt;Bosnia and Herzegovina",S2898)),"Bosnia and Herzegovina",
ISNUMBER(SEARCH("rn""&gt;Trinidad and Tobago",S2898)),"Trinidad and Tobago",
ISNUMBER(SEARCH("rn""&gt;Serbia and Montenegro",S2898)),"Serbia and Montenegro",
ISNUMBER(SEARCH(_xlfn.UNICHAR(65533),S2898)),"Côte d'Ivoire",
TRUE,""
)</f>
        <v/>
      </c>
      <c r="W2898" s="40" t="str">
        <f t="shared" si="210"/>
        <v>Yugoslavia</v>
      </c>
    </row>
    <row r="2899" spans="19:23">
      <c r="S2899" s="40" t="str">
        <v>Jamaica</v>
      </c>
      <c r="T2899" s="40" t="str">
        <f t="shared" si="208"/>
        <v>OK</v>
      </c>
      <c r="U2899" s="40" t="str">
        <f t="shared" si="209"/>
        <v>-</v>
      </c>
      <c r="V2899" s="40" t="str" cm="1">
        <f t="array" ref="V2899">_xlfn.IFS(
ISNUMBER(SEARCH("USA",S2899)),"United States",
ISNUMBER(SEARCH("Republic of Ireland",S2899)),"Ireland",
ISNUMBER(SEARCH("Republic of Korea",S2899)),"South Korea",
ISNUMBER(SEARCH("Cape Verde",S2899)),"Cabo Verde",
ISNUMBER(SEARCH("Czechia",S2899)),"Czech Republic",
ISNUMBER(SEARCH("Türkiye",S2899)),"Turkey",
ISNUMBER(SEARCH("Ivory Coast",S2899)),"Côte d'Ivoire",
ISNUMBER(SEARCH("Korea Republic",S2899)),"South Korea",
ISNUMBER(SEARCH("Germany FR",S2899)),"FR Germany",
ISNUMBER(SEARCH("West Germany",S2899)),"FR Germany",
ISNUMBER(SEARCH("Germany DR",S2899)),"DR Germany",
ISNUMBER(SEARCH("Korea DPR",S2899)),"North Korea",
ISNUMBER(SEARCH("China PR",S2899)),"China",
ISNUMBER(SEARCH("IR Iran",S2899)),"Iran",
ISNUMBER(SEARCH("Congo DR",S2899)),"Democratic Republic of the Congo",
ISNUMBER(SEARCH("DR Congo",S2899)),"Democratic Republic of the Congo",
ISNUMBER(SEARCH("German DR",S2899)),"DR Germany",
ISNUMBER(SEARCH("rn""&gt;United Arab Emirates",S2899)),"United Arab Emirates",
ISNUMBER(SEARCH("rn""&gt;Republic of Ireland",S2899)),"Ireland",
ISNUMBER(SEARCH("rn""&gt;Bosnia and Herzegovina",S2899)),"Bosnia and Herzegovina",
ISNUMBER(SEARCH("rn""&gt;Trinidad and Tobago",S2899)),"Trinidad and Tobago",
ISNUMBER(SEARCH("rn""&gt;Serbia and Montenegro",S2899)),"Serbia and Montenegro",
ISNUMBER(SEARCH(_xlfn.UNICHAR(65533),S2899)),"Côte d'Ivoire",
TRUE,""
)</f>
        <v/>
      </c>
      <c r="W2899" s="40" t="str">
        <f t="shared" si="210"/>
        <v>Jamaica</v>
      </c>
    </row>
    <row r="2900" spans="19:23">
      <c r="S2900" s="40" t="str">
        <v>England</v>
      </c>
      <c r="T2900" s="40" t="str">
        <f t="shared" si="208"/>
        <v>ERREUR</v>
      </c>
      <c r="U2900" s="40" t="str">
        <f t="shared" si="209"/>
        <v>AUCUNE</v>
      </c>
      <c r="V2900" s="40" t="str" cm="1">
        <f t="array" ref="V2900">_xlfn.IFS(
ISNUMBER(SEARCH("USA",S2900)),"United States",
ISNUMBER(SEARCH("Republic of Ireland",S2900)),"Ireland",
ISNUMBER(SEARCH("Republic of Korea",S2900)),"South Korea",
ISNUMBER(SEARCH("Cape Verde",S2900)),"Cabo Verde",
ISNUMBER(SEARCH("Czechia",S2900)),"Czech Republic",
ISNUMBER(SEARCH("Türkiye",S2900)),"Turkey",
ISNUMBER(SEARCH("Ivory Coast",S2900)),"Côte d'Ivoire",
ISNUMBER(SEARCH("Korea Republic",S2900)),"South Korea",
ISNUMBER(SEARCH("Germany FR",S2900)),"FR Germany",
ISNUMBER(SEARCH("West Germany",S2900)),"FR Germany",
ISNUMBER(SEARCH("Germany DR",S2900)),"DR Germany",
ISNUMBER(SEARCH("Korea DPR",S2900)),"North Korea",
ISNUMBER(SEARCH("China PR",S2900)),"China",
ISNUMBER(SEARCH("IR Iran",S2900)),"Iran",
ISNUMBER(SEARCH("Congo DR",S2900)),"Democratic Republic of the Congo",
ISNUMBER(SEARCH("DR Congo",S2900)),"Democratic Republic of the Congo",
ISNUMBER(SEARCH("German DR",S2900)),"DR Germany",
ISNUMBER(SEARCH("rn""&gt;United Arab Emirates",S2900)),"United Arab Emirates",
ISNUMBER(SEARCH("rn""&gt;Republic of Ireland",S2900)),"Ireland",
ISNUMBER(SEARCH("rn""&gt;Bosnia and Herzegovina",S2900)),"Bosnia and Herzegovina",
ISNUMBER(SEARCH("rn""&gt;Trinidad and Tobago",S2900)),"Trinidad and Tobago",
ISNUMBER(SEARCH("rn""&gt;Serbia and Montenegro",S2900)),"Serbia and Montenegro",
ISNUMBER(SEARCH(_xlfn.UNICHAR(65533),S2900)),"Côte d'Ivoire",
TRUE,""
)</f>
        <v/>
      </c>
      <c r="W2900" s="40" t="str">
        <f t="shared" si="210"/>
        <v>England</v>
      </c>
    </row>
    <row r="2901" spans="19:23">
      <c r="S2901" s="40" t="str">
        <v>Romania</v>
      </c>
      <c r="T2901" s="40" t="str">
        <f t="shared" si="208"/>
        <v>OK</v>
      </c>
      <c r="U2901" s="40" t="str">
        <f t="shared" si="209"/>
        <v>-</v>
      </c>
      <c r="V2901" s="40" t="str" cm="1">
        <f t="array" ref="V2901">_xlfn.IFS(
ISNUMBER(SEARCH("USA",S2901)),"United States",
ISNUMBER(SEARCH("Republic of Ireland",S2901)),"Ireland",
ISNUMBER(SEARCH("Republic of Korea",S2901)),"South Korea",
ISNUMBER(SEARCH("Cape Verde",S2901)),"Cabo Verde",
ISNUMBER(SEARCH("Czechia",S2901)),"Czech Republic",
ISNUMBER(SEARCH("Türkiye",S2901)),"Turkey",
ISNUMBER(SEARCH("Ivory Coast",S2901)),"Côte d'Ivoire",
ISNUMBER(SEARCH("Korea Republic",S2901)),"South Korea",
ISNUMBER(SEARCH("Germany FR",S2901)),"FR Germany",
ISNUMBER(SEARCH("West Germany",S2901)),"FR Germany",
ISNUMBER(SEARCH("Germany DR",S2901)),"DR Germany",
ISNUMBER(SEARCH("Korea DPR",S2901)),"North Korea",
ISNUMBER(SEARCH("China PR",S2901)),"China",
ISNUMBER(SEARCH("IR Iran",S2901)),"Iran",
ISNUMBER(SEARCH("Congo DR",S2901)),"Democratic Republic of the Congo",
ISNUMBER(SEARCH("DR Congo",S2901)),"Democratic Republic of the Congo",
ISNUMBER(SEARCH("German DR",S2901)),"DR Germany",
ISNUMBER(SEARCH("rn""&gt;United Arab Emirates",S2901)),"United Arab Emirates",
ISNUMBER(SEARCH("rn""&gt;Republic of Ireland",S2901)),"Ireland",
ISNUMBER(SEARCH("rn""&gt;Bosnia and Herzegovina",S2901)),"Bosnia and Herzegovina",
ISNUMBER(SEARCH("rn""&gt;Trinidad and Tobago",S2901)),"Trinidad and Tobago",
ISNUMBER(SEARCH("rn""&gt;Serbia and Montenegro",S2901)),"Serbia and Montenegro",
ISNUMBER(SEARCH(_xlfn.UNICHAR(65533),S2901)),"Côte d'Ivoire",
TRUE,""
)</f>
        <v/>
      </c>
      <c r="W2901" s="40" t="str">
        <f t="shared" si="210"/>
        <v>Romania</v>
      </c>
    </row>
    <row r="2902" spans="19:23">
      <c r="S2902" s="40" t="str">
        <v>Germany</v>
      </c>
      <c r="T2902" s="40" t="str">
        <f t="shared" si="208"/>
        <v>OK</v>
      </c>
      <c r="U2902" s="40" t="str">
        <f t="shared" si="209"/>
        <v>-</v>
      </c>
      <c r="V2902" s="40" t="str" cm="1">
        <f t="array" ref="V2902">_xlfn.IFS(
ISNUMBER(SEARCH("USA",S2902)),"United States",
ISNUMBER(SEARCH("Republic of Ireland",S2902)),"Ireland",
ISNUMBER(SEARCH("Republic of Korea",S2902)),"South Korea",
ISNUMBER(SEARCH("Cape Verde",S2902)),"Cabo Verde",
ISNUMBER(SEARCH("Czechia",S2902)),"Czech Republic",
ISNUMBER(SEARCH("Türkiye",S2902)),"Turkey",
ISNUMBER(SEARCH("Ivory Coast",S2902)),"Côte d'Ivoire",
ISNUMBER(SEARCH("Korea Republic",S2902)),"South Korea",
ISNUMBER(SEARCH("Germany FR",S2902)),"FR Germany",
ISNUMBER(SEARCH("West Germany",S2902)),"FR Germany",
ISNUMBER(SEARCH("Germany DR",S2902)),"DR Germany",
ISNUMBER(SEARCH("Korea DPR",S2902)),"North Korea",
ISNUMBER(SEARCH("China PR",S2902)),"China",
ISNUMBER(SEARCH("IR Iran",S2902)),"Iran",
ISNUMBER(SEARCH("Congo DR",S2902)),"Democratic Republic of the Congo",
ISNUMBER(SEARCH("DR Congo",S2902)),"Democratic Republic of the Congo",
ISNUMBER(SEARCH("German DR",S2902)),"DR Germany",
ISNUMBER(SEARCH("rn""&gt;United Arab Emirates",S2902)),"United Arab Emirates",
ISNUMBER(SEARCH("rn""&gt;Republic of Ireland",S2902)),"Ireland",
ISNUMBER(SEARCH("rn""&gt;Bosnia and Herzegovina",S2902)),"Bosnia and Herzegovina",
ISNUMBER(SEARCH("rn""&gt;Trinidad and Tobago",S2902)),"Trinidad and Tobago",
ISNUMBER(SEARCH("rn""&gt;Serbia and Montenegro",S2902)),"Serbia and Montenegro",
ISNUMBER(SEARCH(_xlfn.UNICHAR(65533),S2902)),"Côte d'Ivoire",
TRUE,""
)</f>
        <v/>
      </c>
      <c r="W2902" s="40" t="str">
        <f t="shared" si="210"/>
        <v>Germany</v>
      </c>
    </row>
    <row r="2903" spans="19:23">
      <c r="S2903" s="40" t="str">
        <v>Scotland</v>
      </c>
      <c r="T2903" s="40" t="str">
        <f t="shared" si="208"/>
        <v>ERREUR</v>
      </c>
      <c r="U2903" s="40" t="str">
        <f t="shared" si="209"/>
        <v>AUCUNE</v>
      </c>
      <c r="V2903" s="40" t="str" cm="1">
        <f t="array" ref="V2903">_xlfn.IFS(
ISNUMBER(SEARCH("USA",S2903)),"United States",
ISNUMBER(SEARCH("Republic of Ireland",S2903)),"Ireland",
ISNUMBER(SEARCH("Republic of Korea",S2903)),"South Korea",
ISNUMBER(SEARCH("Cape Verde",S2903)),"Cabo Verde",
ISNUMBER(SEARCH("Czechia",S2903)),"Czech Republic",
ISNUMBER(SEARCH("Türkiye",S2903)),"Turkey",
ISNUMBER(SEARCH("Ivory Coast",S2903)),"Côte d'Ivoire",
ISNUMBER(SEARCH("Korea Republic",S2903)),"South Korea",
ISNUMBER(SEARCH("Germany FR",S2903)),"FR Germany",
ISNUMBER(SEARCH("West Germany",S2903)),"FR Germany",
ISNUMBER(SEARCH("Germany DR",S2903)),"DR Germany",
ISNUMBER(SEARCH("Korea DPR",S2903)),"North Korea",
ISNUMBER(SEARCH("China PR",S2903)),"China",
ISNUMBER(SEARCH("IR Iran",S2903)),"Iran",
ISNUMBER(SEARCH("Congo DR",S2903)),"Democratic Republic of the Congo",
ISNUMBER(SEARCH("DR Congo",S2903)),"Democratic Republic of the Congo",
ISNUMBER(SEARCH("German DR",S2903)),"DR Germany",
ISNUMBER(SEARCH("rn""&gt;United Arab Emirates",S2903)),"United Arab Emirates",
ISNUMBER(SEARCH("rn""&gt;Republic of Ireland",S2903)),"Ireland",
ISNUMBER(SEARCH("rn""&gt;Bosnia and Herzegovina",S2903)),"Bosnia and Herzegovina",
ISNUMBER(SEARCH("rn""&gt;Trinidad and Tobago",S2903)),"Trinidad and Tobago",
ISNUMBER(SEARCH("rn""&gt;Serbia and Montenegro",S2903)),"Serbia and Montenegro",
ISNUMBER(SEARCH(_xlfn.UNICHAR(65533),S2903)),"Côte d'Ivoire",
TRUE,""
)</f>
        <v/>
      </c>
      <c r="W2903" s="40" t="str">
        <f t="shared" si="210"/>
        <v>Scotland</v>
      </c>
    </row>
    <row r="2904" spans="19:23">
      <c r="S2904" s="40" t="str">
        <v>Brazil</v>
      </c>
      <c r="T2904" s="40" t="str">
        <f t="shared" si="208"/>
        <v>OK</v>
      </c>
      <c r="U2904" s="40" t="str">
        <f t="shared" si="209"/>
        <v>-</v>
      </c>
      <c r="V2904" s="40" t="str" cm="1">
        <f t="array" ref="V2904">_xlfn.IFS(
ISNUMBER(SEARCH("USA",S2904)),"United States",
ISNUMBER(SEARCH("Republic of Ireland",S2904)),"Ireland",
ISNUMBER(SEARCH("Republic of Korea",S2904)),"South Korea",
ISNUMBER(SEARCH("Cape Verde",S2904)),"Cabo Verde",
ISNUMBER(SEARCH("Czechia",S2904)),"Czech Republic",
ISNUMBER(SEARCH("Türkiye",S2904)),"Turkey",
ISNUMBER(SEARCH("Ivory Coast",S2904)),"Côte d'Ivoire",
ISNUMBER(SEARCH("Korea Republic",S2904)),"South Korea",
ISNUMBER(SEARCH("Germany FR",S2904)),"FR Germany",
ISNUMBER(SEARCH("West Germany",S2904)),"FR Germany",
ISNUMBER(SEARCH("Germany DR",S2904)),"DR Germany",
ISNUMBER(SEARCH("Korea DPR",S2904)),"North Korea",
ISNUMBER(SEARCH("China PR",S2904)),"China",
ISNUMBER(SEARCH("IR Iran",S2904)),"Iran",
ISNUMBER(SEARCH("Congo DR",S2904)),"Democratic Republic of the Congo",
ISNUMBER(SEARCH("DR Congo",S2904)),"Democratic Republic of the Congo",
ISNUMBER(SEARCH("German DR",S2904)),"DR Germany",
ISNUMBER(SEARCH("rn""&gt;United Arab Emirates",S2904)),"United Arab Emirates",
ISNUMBER(SEARCH("rn""&gt;Republic of Ireland",S2904)),"Ireland",
ISNUMBER(SEARCH("rn""&gt;Bosnia and Herzegovina",S2904)),"Bosnia and Herzegovina",
ISNUMBER(SEARCH("rn""&gt;Trinidad and Tobago",S2904)),"Trinidad and Tobago",
ISNUMBER(SEARCH("rn""&gt;Serbia and Montenegro",S2904)),"Serbia and Montenegro",
ISNUMBER(SEARCH(_xlfn.UNICHAR(65533),S2904)),"Côte d'Ivoire",
TRUE,""
)</f>
        <v/>
      </c>
      <c r="W2904" s="40" t="str">
        <f t="shared" si="210"/>
        <v>Brazil</v>
      </c>
    </row>
    <row r="2905" spans="19:23">
      <c r="S2905" s="40" t="str">
        <v>Chile</v>
      </c>
      <c r="T2905" s="40" t="str">
        <f t="shared" si="208"/>
        <v>OK</v>
      </c>
      <c r="U2905" s="40" t="str">
        <f t="shared" si="209"/>
        <v>-</v>
      </c>
      <c r="V2905" s="40" t="str" cm="1">
        <f t="array" ref="V2905">_xlfn.IFS(
ISNUMBER(SEARCH("USA",S2905)),"United States",
ISNUMBER(SEARCH("Republic of Ireland",S2905)),"Ireland",
ISNUMBER(SEARCH("Republic of Korea",S2905)),"South Korea",
ISNUMBER(SEARCH("Cape Verde",S2905)),"Cabo Verde",
ISNUMBER(SEARCH("Czechia",S2905)),"Czech Republic",
ISNUMBER(SEARCH("Türkiye",S2905)),"Turkey",
ISNUMBER(SEARCH("Ivory Coast",S2905)),"Côte d'Ivoire",
ISNUMBER(SEARCH("Korea Republic",S2905)),"South Korea",
ISNUMBER(SEARCH("Germany FR",S2905)),"FR Germany",
ISNUMBER(SEARCH("West Germany",S2905)),"FR Germany",
ISNUMBER(SEARCH("Germany DR",S2905)),"DR Germany",
ISNUMBER(SEARCH("Korea DPR",S2905)),"North Korea",
ISNUMBER(SEARCH("China PR",S2905)),"China",
ISNUMBER(SEARCH("IR Iran",S2905)),"Iran",
ISNUMBER(SEARCH("Congo DR",S2905)),"Democratic Republic of the Congo",
ISNUMBER(SEARCH("DR Congo",S2905)),"Democratic Republic of the Congo",
ISNUMBER(SEARCH("German DR",S2905)),"DR Germany",
ISNUMBER(SEARCH("rn""&gt;United Arab Emirates",S2905)),"United Arab Emirates",
ISNUMBER(SEARCH("rn""&gt;Republic of Ireland",S2905)),"Ireland",
ISNUMBER(SEARCH("rn""&gt;Bosnia and Herzegovina",S2905)),"Bosnia and Herzegovina",
ISNUMBER(SEARCH("rn""&gt;Trinidad and Tobago",S2905)),"Trinidad and Tobago",
ISNUMBER(SEARCH("rn""&gt;Serbia and Montenegro",S2905)),"Serbia and Montenegro",
ISNUMBER(SEARCH(_xlfn.UNICHAR(65533),S2905)),"Côte d'Ivoire",
TRUE,""
)</f>
        <v/>
      </c>
      <c r="W2905" s="40" t="str">
        <f t="shared" si="210"/>
        <v>Chile</v>
      </c>
    </row>
    <row r="2906" spans="19:23">
      <c r="S2906" s="40" t="str">
        <v>Italy</v>
      </c>
      <c r="T2906" s="40" t="str">
        <f t="shared" si="208"/>
        <v>OK</v>
      </c>
      <c r="U2906" s="40" t="str">
        <f t="shared" si="209"/>
        <v>-</v>
      </c>
      <c r="V2906" s="40" t="str" cm="1">
        <f t="array" ref="V2906">_xlfn.IFS(
ISNUMBER(SEARCH("USA",S2906)),"United States",
ISNUMBER(SEARCH("Republic of Ireland",S2906)),"Ireland",
ISNUMBER(SEARCH("Republic of Korea",S2906)),"South Korea",
ISNUMBER(SEARCH("Cape Verde",S2906)),"Cabo Verde",
ISNUMBER(SEARCH("Czechia",S2906)),"Czech Republic",
ISNUMBER(SEARCH("Türkiye",S2906)),"Turkey",
ISNUMBER(SEARCH("Ivory Coast",S2906)),"Côte d'Ivoire",
ISNUMBER(SEARCH("Korea Republic",S2906)),"South Korea",
ISNUMBER(SEARCH("Germany FR",S2906)),"FR Germany",
ISNUMBER(SEARCH("West Germany",S2906)),"FR Germany",
ISNUMBER(SEARCH("Germany DR",S2906)),"DR Germany",
ISNUMBER(SEARCH("Korea DPR",S2906)),"North Korea",
ISNUMBER(SEARCH("China PR",S2906)),"China",
ISNUMBER(SEARCH("IR Iran",S2906)),"Iran",
ISNUMBER(SEARCH("Congo DR",S2906)),"Democratic Republic of the Congo",
ISNUMBER(SEARCH("DR Congo",S2906)),"Democratic Republic of the Congo",
ISNUMBER(SEARCH("German DR",S2906)),"DR Germany",
ISNUMBER(SEARCH("rn""&gt;United Arab Emirates",S2906)),"United Arab Emirates",
ISNUMBER(SEARCH("rn""&gt;Republic of Ireland",S2906)),"Ireland",
ISNUMBER(SEARCH("rn""&gt;Bosnia and Herzegovina",S2906)),"Bosnia and Herzegovina",
ISNUMBER(SEARCH("rn""&gt;Trinidad and Tobago",S2906)),"Trinidad and Tobago",
ISNUMBER(SEARCH("rn""&gt;Serbia and Montenegro",S2906)),"Serbia and Montenegro",
ISNUMBER(SEARCH(_xlfn.UNICHAR(65533),S2906)),"Côte d'Ivoire",
TRUE,""
)</f>
        <v/>
      </c>
      <c r="W2906" s="40" t="str">
        <f t="shared" si="210"/>
        <v>Italy</v>
      </c>
    </row>
    <row r="2907" spans="19:23">
      <c r="S2907" s="40" t="str">
        <v>South Africa</v>
      </c>
      <c r="T2907" s="40" t="str">
        <f t="shared" si="208"/>
        <v>OK</v>
      </c>
      <c r="U2907" s="40" t="str">
        <f t="shared" si="209"/>
        <v>-</v>
      </c>
      <c r="V2907" s="40" t="str" cm="1">
        <f t="array" ref="V2907">_xlfn.IFS(
ISNUMBER(SEARCH("USA",S2907)),"United States",
ISNUMBER(SEARCH("Republic of Ireland",S2907)),"Ireland",
ISNUMBER(SEARCH("Republic of Korea",S2907)),"South Korea",
ISNUMBER(SEARCH("Cape Verde",S2907)),"Cabo Verde",
ISNUMBER(SEARCH("Czechia",S2907)),"Czech Republic",
ISNUMBER(SEARCH("Türkiye",S2907)),"Turkey",
ISNUMBER(SEARCH("Ivory Coast",S2907)),"Côte d'Ivoire",
ISNUMBER(SEARCH("Korea Republic",S2907)),"South Korea",
ISNUMBER(SEARCH("Germany FR",S2907)),"FR Germany",
ISNUMBER(SEARCH("West Germany",S2907)),"FR Germany",
ISNUMBER(SEARCH("Germany DR",S2907)),"DR Germany",
ISNUMBER(SEARCH("Korea DPR",S2907)),"North Korea",
ISNUMBER(SEARCH("China PR",S2907)),"China",
ISNUMBER(SEARCH("IR Iran",S2907)),"Iran",
ISNUMBER(SEARCH("Congo DR",S2907)),"Democratic Republic of the Congo",
ISNUMBER(SEARCH("DR Congo",S2907)),"Democratic Republic of the Congo",
ISNUMBER(SEARCH("German DR",S2907)),"DR Germany",
ISNUMBER(SEARCH("rn""&gt;United Arab Emirates",S2907)),"United Arab Emirates",
ISNUMBER(SEARCH("rn""&gt;Republic of Ireland",S2907)),"Ireland",
ISNUMBER(SEARCH("rn""&gt;Bosnia and Herzegovina",S2907)),"Bosnia and Herzegovina",
ISNUMBER(SEARCH("rn""&gt;Trinidad and Tobago",S2907)),"Trinidad and Tobago",
ISNUMBER(SEARCH("rn""&gt;Serbia and Montenegro",S2907)),"Serbia and Montenegro",
ISNUMBER(SEARCH(_xlfn.UNICHAR(65533),S2907)),"Côte d'Ivoire",
TRUE,""
)</f>
        <v/>
      </c>
      <c r="W2907" s="40" t="str">
        <f t="shared" si="210"/>
        <v>South Africa</v>
      </c>
    </row>
    <row r="2908" spans="19:23">
      <c r="S2908" s="40" t="str">
        <v>France</v>
      </c>
      <c r="T2908" s="40" t="str">
        <f t="shared" si="208"/>
        <v>OK</v>
      </c>
      <c r="U2908" s="40" t="str">
        <f t="shared" si="209"/>
        <v>-</v>
      </c>
      <c r="V2908" s="40" t="str" cm="1">
        <f t="array" ref="V2908">_xlfn.IFS(
ISNUMBER(SEARCH("USA",S2908)),"United States",
ISNUMBER(SEARCH("Republic of Ireland",S2908)),"Ireland",
ISNUMBER(SEARCH("Republic of Korea",S2908)),"South Korea",
ISNUMBER(SEARCH("Cape Verde",S2908)),"Cabo Verde",
ISNUMBER(SEARCH("Czechia",S2908)),"Czech Republic",
ISNUMBER(SEARCH("Türkiye",S2908)),"Turkey",
ISNUMBER(SEARCH("Ivory Coast",S2908)),"Côte d'Ivoire",
ISNUMBER(SEARCH("Korea Republic",S2908)),"South Korea",
ISNUMBER(SEARCH("Germany FR",S2908)),"FR Germany",
ISNUMBER(SEARCH("West Germany",S2908)),"FR Germany",
ISNUMBER(SEARCH("Germany DR",S2908)),"DR Germany",
ISNUMBER(SEARCH("Korea DPR",S2908)),"North Korea",
ISNUMBER(SEARCH("China PR",S2908)),"China",
ISNUMBER(SEARCH("IR Iran",S2908)),"Iran",
ISNUMBER(SEARCH("Congo DR",S2908)),"Democratic Republic of the Congo",
ISNUMBER(SEARCH("DR Congo",S2908)),"Democratic Republic of the Congo",
ISNUMBER(SEARCH("German DR",S2908)),"DR Germany",
ISNUMBER(SEARCH("rn""&gt;United Arab Emirates",S2908)),"United Arab Emirates",
ISNUMBER(SEARCH("rn""&gt;Republic of Ireland",S2908)),"Ireland",
ISNUMBER(SEARCH("rn""&gt;Bosnia and Herzegovina",S2908)),"Bosnia and Herzegovina",
ISNUMBER(SEARCH("rn""&gt;Trinidad and Tobago",S2908)),"Trinidad and Tobago",
ISNUMBER(SEARCH("rn""&gt;Serbia and Montenegro",S2908)),"Serbia and Montenegro",
ISNUMBER(SEARCH(_xlfn.UNICHAR(65533),S2908)),"Côte d'Ivoire",
TRUE,""
)</f>
        <v/>
      </c>
      <c r="W2908" s="40" t="str">
        <f t="shared" si="210"/>
        <v>France</v>
      </c>
    </row>
    <row r="2909" spans="19:23">
      <c r="S2909" s="40" t="str">
        <v>Nigeria</v>
      </c>
      <c r="T2909" s="40" t="str">
        <f t="shared" si="208"/>
        <v>OK</v>
      </c>
      <c r="U2909" s="40" t="str">
        <f t="shared" si="209"/>
        <v>-</v>
      </c>
      <c r="V2909" s="40" t="str" cm="1">
        <f t="array" ref="V2909">_xlfn.IFS(
ISNUMBER(SEARCH("USA",S2909)),"United States",
ISNUMBER(SEARCH("Republic of Ireland",S2909)),"Ireland",
ISNUMBER(SEARCH("Republic of Korea",S2909)),"South Korea",
ISNUMBER(SEARCH("Cape Verde",S2909)),"Cabo Verde",
ISNUMBER(SEARCH("Czechia",S2909)),"Czech Republic",
ISNUMBER(SEARCH("Türkiye",S2909)),"Turkey",
ISNUMBER(SEARCH("Ivory Coast",S2909)),"Côte d'Ivoire",
ISNUMBER(SEARCH("Korea Republic",S2909)),"South Korea",
ISNUMBER(SEARCH("Germany FR",S2909)),"FR Germany",
ISNUMBER(SEARCH("West Germany",S2909)),"FR Germany",
ISNUMBER(SEARCH("Germany DR",S2909)),"DR Germany",
ISNUMBER(SEARCH("Korea DPR",S2909)),"North Korea",
ISNUMBER(SEARCH("China PR",S2909)),"China",
ISNUMBER(SEARCH("IR Iran",S2909)),"Iran",
ISNUMBER(SEARCH("Congo DR",S2909)),"Democratic Republic of the Congo",
ISNUMBER(SEARCH("DR Congo",S2909)),"Democratic Republic of the Congo",
ISNUMBER(SEARCH("German DR",S2909)),"DR Germany",
ISNUMBER(SEARCH("rn""&gt;United Arab Emirates",S2909)),"United Arab Emirates",
ISNUMBER(SEARCH("rn""&gt;Republic of Ireland",S2909)),"Ireland",
ISNUMBER(SEARCH("rn""&gt;Bosnia and Herzegovina",S2909)),"Bosnia and Herzegovina",
ISNUMBER(SEARCH("rn""&gt;Trinidad and Tobago",S2909)),"Trinidad and Tobago",
ISNUMBER(SEARCH("rn""&gt;Serbia and Montenegro",S2909)),"Serbia and Montenegro",
ISNUMBER(SEARCH(_xlfn.UNICHAR(65533),S2909)),"Côte d'Ivoire",
TRUE,""
)</f>
        <v/>
      </c>
      <c r="W2909" s="40" t="str">
        <f t="shared" si="210"/>
        <v>Nigeria</v>
      </c>
    </row>
    <row r="2910" spans="19:23">
      <c r="S2910" s="40" t="str">
        <v>Spain</v>
      </c>
      <c r="T2910" s="40" t="str">
        <f t="shared" si="208"/>
        <v>OK</v>
      </c>
      <c r="U2910" s="40" t="str">
        <f t="shared" si="209"/>
        <v>-</v>
      </c>
      <c r="V2910" s="40" t="str" cm="1">
        <f t="array" ref="V2910">_xlfn.IFS(
ISNUMBER(SEARCH("USA",S2910)),"United States",
ISNUMBER(SEARCH("Republic of Ireland",S2910)),"Ireland",
ISNUMBER(SEARCH("Republic of Korea",S2910)),"South Korea",
ISNUMBER(SEARCH("Cape Verde",S2910)),"Cabo Verde",
ISNUMBER(SEARCH("Czechia",S2910)),"Czech Republic",
ISNUMBER(SEARCH("Türkiye",S2910)),"Turkey",
ISNUMBER(SEARCH("Ivory Coast",S2910)),"Côte d'Ivoire",
ISNUMBER(SEARCH("Korea Republic",S2910)),"South Korea",
ISNUMBER(SEARCH("Germany FR",S2910)),"FR Germany",
ISNUMBER(SEARCH("West Germany",S2910)),"FR Germany",
ISNUMBER(SEARCH("Germany DR",S2910)),"DR Germany",
ISNUMBER(SEARCH("Korea DPR",S2910)),"North Korea",
ISNUMBER(SEARCH("China PR",S2910)),"China",
ISNUMBER(SEARCH("IR Iran",S2910)),"Iran",
ISNUMBER(SEARCH("Congo DR",S2910)),"Democratic Republic of the Congo",
ISNUMBER(SEARCH("DR Congo",S2910)),"Democratic Republic of the Congo",
ISNUMBER(SEARCH("German DR",S2910)),"DR Germany",
ISNUMBER(SEARCH("rn""&gt;United Arab Emirates",S2910)),"United Arab Emirates",
ISNUMBER(SEARCH("rn""&gt;Republic of Ireland",S2910)),"Ireland",
ISNUMBER(SEARCH("rn""&gt;Bosnia and Herzegovina",S2910)),"Bosnia and Herzegovina",
ISNUMBER(SEARCH("rn""&gt;Trinidad and Tobago",S2910)),"Trinidad and Tobago",
ISNUMBER(SEARCH("rn""&gt;Serbia and Montenegro",S2910)),"Serbia and Montenegro",
ISNUMBER(SEARCH(_xlfn.UNICHAR(65533),S2910)),"Côte d'Ivoire",
TRUE,""
)</f>
        <v/>
      </c>
      <c r="W2910" s="40" t="str">
        <f t="shared" si="210"/>
        <v>Spain</v>
      </c>
    </row>
    <row r="2911" spans="19:23">
      <c r="S2911" s="40" t="str">
        <v>Japan</v>
      </c>
      <c r="T2911" s="40" t="str">
        <f t="shared" si="208"/>
        <v>OK</v>
      </c>
      <c r="U2911" s="40" t="str">
        <f t="shared" si="209"/>
        <v>-</v>
      </c>
      <c r="V2911" s="40" t="str" cm="1">
        <f t="array" ref="V2911">_xlfn.IFS(
ISNUMBER(SEARCH("USA",S2911)),"United States",
ISNUMBER(SEARCH("Republic of Ireland",S2911)),"Ireland",
ISNUMBER(SEARCH("Republic of Korea",S2911)),"South Korea",
ISNUMBER(SEARCH("Cape Verde",S2911)),"Cabo Verde",
ISNUMBER(SEARCH("Czechia",S2911)),"Czech Republic",
ISNUMBER(SEARCH("Türkiye",S2911)),"Turkey",
ISNUMBER(SEARCH("Ivory Coast",S2911)),"Côte d'Ivoire",
ISNUMBER(SEARCH("Korea Republic",S2911)),"South Korea",
ISNUMBER(SEARCH("Germany FR",S2911)),"FR Germany",
ISNUMBER(SEARCH("West Germany",S2911)),"FR Germany",
ISNUMBER(SEARCH("Germany DR",S2911)),"DR Germany",
ISNUMBER(SEARCH("Korea DPR",S2911)),"North Korea",
ISNUMBER(SEARCH("China PR",S2911)),"China",
ISNUMBER(SEARCH("IR Iran",S2911)),"Iran",
ISNUMBER(SEARCH("Congo DR",S2911)),"Democratic Republic of the Congo",
ISNUMBER(SEARCH("DR Congo",S2911)),"Democratic Republic of the Congo",
ISNUMBER(SEARCH("German DR",S2911)),"DR Germany",
ISNUMBER(SEARCH("rn""&gt;United Arab Emirates",S2911)),"United Arab Emirates",
ISNUMBER(SEARCH("rn""&gt;Republic of Ireland",S2911)),"Ireland",
ISNUMBER(SEARCH("rn""&gt;Bosnia and Herzegovina",S2911)),"Bosnia and Herzegovina",
ISNUMBER(SEARCH("rn""&gt;Trinidad and Tobago",S2911)),"Trinidad and Tobago",
ISNUMBER(SEARCH("rn""&gt;Serbia and Montenegro",S2911)),"Serbia and Montenegro",
ISNUMBER(SEARCH(_xlfn.UNICHAR(65533),S2911)),"Côte d'Ivoire",
TRUE,""
)</f>
        <v/>
      </c>
      <c r="W2911" s="40" t="str">
        <f t="shared" si="210"/>
        <v>Japan</v>
      </c>
    </row>
    <row r="2912" spans="19:23">
      <c r="S2912" s="40" t="str">
        <v>Belgium</v>
      </c>
      <c r="T2912" s="40" t="str">
        <f t="shared" si="208"/>
        <v>OK</v>
      </c>
      <c r="U2912" s="40" t="str">
        <f t="shared" si="209"/>
        <v>-</v>
      </c>
      <c r="V2912" s="40" t="str" cm="1">
        <f t="array" ref="V2912">_xlfn.IFS(
ISNUMBER(SEARCH("USA",S2912)),"United States",
ISNUMBER(SEARCH("Republic of Ireland",S2912)),"Ireland",
ISNUMBER(SEARCH("Republic of Korea",S2912)),"South Korea",
ISNUMBER(SEARCH("Cape Verde",S2912)),"Cabo Verde",
ISNUMBER(SEARCH("Czechia",S2912)),"Czech Republic",
ISNUMBER(SEARCH("Türkiye",S2912)),"Turkey",
ISNUMBER(SEARCH("Ivory Coast",S2912)),"Côte d'Ivoire",
ISNUMBER(SEARCH("Korea Republic",S2912)),"South Korea",
ISNUMBER(SEARCH("Germany FR",S2912)),"FR Germany",
ISNUMBER(SEARCH("West Germany",S2912)),"FR Germany",
ISNUMBER(SEARCH("Germany DR",S2912)),"DR Germany",
ISNUMBER(SEARCH("Korea DPR",S2912)),"North Korea",
ISNUMBER(SEARCH("China PR",S2912)),"China",
ISNUMBER(SEARCH("IR Iran",S2912)),"Iran",
ISNUMBER(SEARCH("Congo DR",S2912)),"Democratic Republic of the Congo",
ISNUMBER(SEARCH("DR Congo",S2912)),"Democratic Republic of the Congo",
ISNUMBER(SEARCH("German DR",S2912)),"DR Germany",
ISNUMBER(SEARCH("rn""&gt;United Arab Emirates",S2912)),"United Arab Emirates",
ISNUMBER(SEARCH("rn""&gt;Republic of Ireland",S2912)),"Ireland",
ISNUMBER(SEARCH("rn""&gt;Bosnia and Herzegovina",S2912)),"Bosnia and Herzegovina",
ISNUMBER(SEARCH("rn""&gt;Trinidad and Tobago",S2912)),"Trinidad and Tobago",
ISNUMBER(SEARCH("rn""&gt;Serbia and Montenegro",S2912)),"Serbia and Montenegro",
ISNUMBER(SEARCH(_xlfn.UNICHAR(65533),S2912)),"Côte d'Ivoire",
TRUE,""
)</f>
        <v/>
      </c>
      <c r="W2912" s="40" t="str">
        <f t="shared" si="210"/>
        <v>Belgium</v>
      </c>
    </row>
    <row r="2913" spans="19:23">
      <c r="S2913" s="40" t="str">
        <v>Netherlands</v>
      </c>
      <c r="T2913" s="40" t="str">
        <f t="shared" si="208"/>
        <v>OK</v>
      </c>
      <c r="U2913" s="40" t="str">
        <f t="shared" si="209"/>
        <v>-</v>
      </c>
      <c r="V2913" s="40" t="str" cm="1">
        <f t="array" ref="V2913">_xlfn.IFS(
ISNUMBER(SEARCH("USA",S2913)),"United States",
ISNUMBER(SEARCH("Republic of Ireland",S2913)),"Ireland",
ISNUMBER(SEARCH("Republic of Korea",S2913)),"South Korea",
ISNUMBER(SEARCH("Cape Verde",S2913)),"Cabo Verde",
ISNUMBER(SEARCH("Czechia",S2913)),"Czech Republic",
ISNUMBER(SEARCH("Türkiye",S2913)),"Turkey",
ISNUMBER(SEARCH("Ivory Coast",S2913)),"Côte d'Ivoire",
ISNUMBER(SEARCH("Korea Republic",S2913)),"South Korea",
ISNUMBER(SEARCH("Germany FR",S2913)),"FR Germany",
ISNUMBER(SEARCH("West Germany",S2913)),"FR Germany",
ISNUMBER(SEARCH("Germany DR",S2913)),"DR Germany",
ISNUMBER(SEARCH("Korea DPR",S2913)),"North Korea",
ISNUMBER(SEARCH("China PR",S2913)),"China",
ISNUMBER(SEARCH("IR Iran",S2913)),"Iran",
ISNUMBER(SEARCH("Congo DR",S2913)),"Democratic Republic of the Congo",
ISNUMBER(SEARCH("DR Congo",S2913)),"Democratic Republic of the Congo",
ISNUMBER(SEARCH("German DR",S2913)),"DR Germany",
ISNUMBER(SEARCH("rn""&gt;United Arab Emirates",S2913)),"United Arab Emirates",
ISNUMBER(SEARCH("rn""&gt;Republic of Ireland",S2913)),"Ireland",
ISNUMBER(SEARCH("rn""&gt;Bosnia and Herzegovina",S2913)),"Bosnia and Herzegovina",
ISNUMBER(SEARCH("rn""&gt;Trinidad and Tobago",S2913)),"Trinidad and Tobago",
ISNUMBER(SEARCH("rn""&gt;Serbia and Montenegro",S2913)),"Serbia and Montenegro",
ISNUMBER(SEARCH(_xlfn.UNICHAR(65533),S2913)),"Côte d'Ivoire",
TRUE,""
)</f>
        <v/>
      </c>
      <c r="W2913" s="40" t="str">
        <f t="shared" si="210"/>
        <v>Netherlands</v>
      </c>
    </row>
    <row r="2914" spans="19:23">
      <c r="S2914" s="40" t="str">
        <v>Germany</v>
      </c>
      <c r="T2914" s="40" t="str">
        <f t="shared" si="208"/>
        <v>OK</v>
      </c>
      <c r="U2914" s="40" t="str">
        <f t="shared" si="209"/>
        <v>-</v>
      </c>
      <c r="V2914" s="40" t="str" cm="1">
        <f t="array" ref="V2914">_xlfn.IFS(
ISNUMBER(SEARCH("USA",S2914)),"United States",
ISNUMBER(SEARCH("Republic of Ireland",S2914)),"Ireland",
ISNUMBER(SEARCH("Republic of Korea",S2914)),"South Korea",
ISNUMBER(SEARCH("Cape Verde",S2914)),"Cabo Verde",
ISNUMBER(SEARCH("Czechia",S2914)),"Czech Republic",
ISNUMBER(SEARCH("Türkiye",S2914)),"Turkey",
ISNUMBER(SEARCH("Ivory Coast",S2914)),"Côte d'Ivoire",
ISNUMBER(SEARCH("Korea Republic",S2914)),"South Korea",
ISNUMBER(SEARCH("Germany FR",S2914)),"FR Germany",
ISNUMBER(SEARCH("West Germany",S2914)),"FR Germany",
ISNUMBER(SEARCH("Germany DR",S2914)),"DR Germany",
ISNUMBER(SEARCH("Korea DPR",S2914)),"North Korea",
ISNUMBER(SEARCH("China PR",S2914)),"China",
ISNUMBER(SEARCH("IR Iran",S2914)),"Iran",
ISNUMBER(SEARCH("Congo DR",S2914)),"Democratic Republic of the Congo",
ISNUMBER(SEARCH("DR Congo",S2914)),"Democratic Republic of the Congo",
ISNUMBER(SEARCH("German DR",S2914)),"DR Germany",
ISNUMBER(SEARCH("rn""&gt;United Arab Emirates",S2914)),"United Arab Emirates",
ISNUMBER(SEARCH("rn""&gt;Republic of Ireland",S2914)),"Ireland",
ISNUMBER(SEARCH("rn""&gt;Bosnia and Herzegovina",S2914)),"Bosnia and Herzegovina",
ISNUMBER(SEARCH("rn""&gt;Trinidad and Tobago",S2914)),"Trinidad and Tobago",
ISNUMBER(SEARCH("rn""&gt;Serbia and Montenegro",S2914)),"Serbia and Montenegro",
ISNUMBER(SEARCH(_xlfn.UNICHAR(65533),S2914)),"Côte d'Ivoire",
TRUE,""
)</f>
        <v/>
      </c>
      <c r="W2914" s="40" t="str">
        <f t="shared" si="210"/>
        <v>Germany</v>
      </c>
    </row>
    <row r="2915" spans="19:23">
      <c r="S2915" s="40" t="str">
        <v>Argentina</v>
      </c>
      <c r="T2915" s="40" t="str">
        <f t="shared" si="208"/>
        <v>OK</v>
      </c>
      <c r="U2915" s="40" t="str">
        <f t="shared" si="209"/>
        <v>-</v>
      </c>
      <c r="V2915" s="40" t="str" cm="1">
        <f t="array" ref="V2915">_xlfn.IFS(
ISNUMBER(SEARCH("USA",S2915)),"United States",
ISNUMBER(SEARCH("Republic of Ireland",S2915)),"Ireland",
ISNUMBER(SEARCH("Republic of Korea",S2915)),"South Korea",
ISNUMBER(SEARCH("Cape Verde",S2915)),"Cabo Verde",
ISNUMBER(SEARCH("Czechia",S2915)),"Czech Republic",
ISNUMBER(SEARCH("Türkiye",S2915)),"Turkey",
ISNUMBER(SEARCH("Ivory Coast",S2915)),"Côte d'Ivoire",
ISNUMBER(SEARCH("Korea Republic",S2915)),"South Korea",
ISNUMBER(SEARCH("Germany FR",S2915)),"FR Germany",
ISNUMBER(SEARCH("West Germany",S2915)),"FR Germany",
ISNUMBER(SEARCH("Germany DR",S2915)),"DR Germany",
ISNUMBER(SEARCH("Korea DPR",S2915)),"North Korea",
ISNUMBER(SEARCH("China PR",S2915)),"China",
ISNUMBER(SEARCH("IR Iran",S2915)),"Iran",
ISNUMBER(SEARCH("Congo DR",S2915)),"Democratic Republic of the Congo",
ISNUMBER(SEARCH("DR Congo",S2915)),"Democratic Republic of the Congo",
ISNUMBER(SEARCH("German DR",S2915)),"DR Germany",
ISNUMBER(SEARCH("rn""&gt;United Arab Emirates",S2915)),"United Arab Emirates",
ISNUMBER(SEARCH("rn""&gt;Republic of Ireland",S2915)),"Ireland",
ISNUMBER(SEARCH("rn""&gt;Bosnia and Herzegovina",S2915)),"Bosnia and Herzegovina",
ISNUMBER(SEARCH("rn""&gt;Trinidad and Tobago",S2915)),"Trinidad and Tobago",
ISNUMBER(SEARCH("rn""&gt;Serbia and Montenegro",S2915)),"Serbia and Montenegro",
ISNUMBER(SEARCH(_xlfn.UNICHAR(65533),S2915)),"Côte d'Ivoire",
TRUE,""
)</f>
        <v/>
      </c>
      <c r="W2915" s="40" t="str">
        <f t="shared" si="210"/>
        <v>Argentina</v>
      </c>
    </row>
    <row r="2916" spans="19:23">
      <c r="S2916" s="40" t="str">
        <v>USA</v>
      </c>
      <c r="T2916" s="40" t="str">
        <f t="shared" si="208"/>
        <v>ERREUR</v>
      </c>
      <c r="U2916" s="40" t="str">
        <f t="shared" si="209"/>
        <v>RENOMMER</v>
      </c>
      <c r="V2916" s="40" t="str" cm="1">
        <f t="array" ref="V2916">_xlfn.IFS(
ISNUMBER(SEARCH("USA",S2916)),"United States",
ISNUMBER(SEARCH("Republic of Ireland",S2916)),"Ireland",
ISNUMBER(SEARCH("Republic of Korea",S2916)),"South Korea",
ISNUMBER(SEARCH("Cape Verde",S2916)),"Cabo Verde",
ISNUMBER(SEARCH("Czechia",S2916)),"Czech Republic",
ISNUMBER(SEARCH("Türkiye",S2916)),"Turkey",
ISNUMBER(SEARCH("Ivory Coast",S2916)),"Côte d'Ivoire",
ISNUMBER(SEARCH("Korea Republic",S2916)),"South Korea",
ISNUMBER(SEARCH("Germany FR",S2916)),"FR Germany",
ISNUMBER(SEARCH("West Germany",S2916)),"FR Germany",
ISNUMBER(SEARCH("Germany DR",S2916)),"DR Germany",
ISNUMBER(SEARCH("Korea DPR",S2916)),"North Korea",
ISNUMBER(SEARCH("China PR",S2916)),"China",
ISNUMBER(SEARCH("IR Iran",S2916)),"Iran",
ISNUMBER(SEARCH("Congo DR",S2916)),"Democratic Republic of the Congo",
ISNUMBER(SEARCH("DR Congo",S2916)),"Democratic Republic of the Congo",
ISNUMBER(SEARCH("German DR",S2916)),"DR Germany",
ISNUMBER(SEARCH("rn""&gt;United Arab Emirates",S2916)),"United Arab Emirates",
ISNUMBER(SEARCH("rn""&gt;Republic of Ireland",S2916)),"Ireland",
ISNUMBER(SEARCH("rn""&gt;Bosnia and Herzegovina",S2916)),"Bosnia and Herzegovina",
ISNUMBER(SEARCH("rn""&gt;Trinidad and Tobago",S2916)),"Trinidad and Tobago",
ISNUMBER(SEARCH("rn""&gt;Serbia and Montenegro",S2916)),"Serbia and Montenegro",
ISNUMBER(SEARCH(_xlfn.UNICHAR(65533),S2916)),"Côte d'Ivoire",
TRUE,""
)</f>
        <v>United States</v>
      </c>
      <c r="W2916" s="40" t="str">
        <f t="shared" si="210"/>
        <v>United States</v>
      </c>
    </row>
    <row r="2917" spans="19:23">
      <c r="S2917" s="40" t="str">
        <v>Colombia</v>
      </c>
      <c r="T2917" s="40" t="str">
        <f t="shared" si="208"/>
        <v>OK</v>
      </c>
      <c r="U2917" s="40" t="str">
        <f t="shared" si="209"/>
        <v>-</v>
      </c>
      <c r="V2917" s="40" t="str" cm="1">
        <f t="array" ref="V2917">_xlfn.IFS(
ISNUMBER(SEARCH("USA",S2917)),"United States",
ISNUMBER(SEARCH("Republic of Ireland",S2917)),"Ireland",
ISNUMBER(SEARCH("Republic of Korea",S2917)),"South Korea",
ISNUMBER(SEARCH("Cape Verde",S2917)),"Cabo Verde",
ISNUMBER(SEARCH("Czechia",S2917)),"Czech Republic",
ISNUMBER(SEARCH("Türkiye",S2917)),"Turkey",
ISNUMBER(SEARCH("Ivory Coast",S2917)),"Côte d'Ivoire",
ISNUMBER(SEARCH("Korea Republic",S2917)),"South Korea",
ISNUMBER(SEARCH("Germany FR",S2917)),"FR Germany",
ISNUMBER(SEARCH("West Germany",S2917)),"FR Germany",
ISNUMBER(SEARCH("Germany DR",S2917)),"DR Germany",
ISNUMBER(SEARCH("Korea DPR",S2917)),"North Korea",
ISNUMBER(SEARCH("China PR",S2917)),"China",
ISNUMBER(SEARCH("IR Iran",S2917)),"Iran",
ISNUMBER(SEARCH("Congo DR",S2917)),"Democratic Republic of the Congo",
ISNUMBER(SEARCH("DR Congo",S2917)),"Democratic Republic of the Congo",
ISNUMBER(SEARCH("German DR",S2917)),"DR Germany",
ISNUMBER(SEARCH("rn""&gt;United Arab Emirates",S2917)),"United Arab Emirates",
ISNUMBER(SEARCH("rn""&gt;Republic of Ireland",S2917)),"Ireland",
ISNUMBER(SEARCH("rn""&gt;Bosnia and Herzegovina",S2917)),"Bosnia and Herzegovina",
ISNUMBER(SEARCH("rn""&gt;Trinidad and Tobago",S2917)),"Trinidad and Tobago",
ISNUMBER(SEARCH("rn""&gt;Serbia and Montenegro",S2917)),"Serbia and Montenegro",
ISNUMBER(SEARCH(_xlfn.UNICHAR(65533),S2917)),"Côte d'Ivoire",
TRUE,""
)</f>
        <v/>
      </c>
      <c r="W2917" s="40" t="str">
        <f t="shared" si="210"/>
        <v>Colombia</v>
      </c>
    </row>
    <row r="2918" spans="19:23">
      <c r="S2918" s="40" t="str">
        <v>Romania</v>
      </c>
      <c r="T2918" s="40" t="str">
        <f t="shared" si="208"/>
        <v>OK</v>
      </c>
      <c r="U2918" s="40" t="str">
        <f t="shared" si="209"/>
        <v>-</v>
      </c>
      <c r="V2918" s="40" t="str" cm="1">
        <f t="array" ref="V2918">_xlfn.IFS(
ISNUMBER(SEARCH("USA",S2918)),"United States",
ISNUMBER(SEARCH("Republic of Ireland",S2918)),"Ireland",
ISNUMBER(SEARCH("Republic of Korea",S2918)),"South Korea",
ISNUMBER(SEARCH("Cape Verde",S2918)),"Cabo Verde",
ISNUMBER(SEARCH("Czechia",S2918)),"Czech Republic",
ISNUMBER(SEARCH("Türkiye",S2918)),"Turkey",
ISNUMBER(SEARCH("Ivory Coast",S2918)),"Côte d'Ivoire",
ISNUMBER(SEARCH("Korea Republic",S2918)),"South Korea",
ISNUMBER(SEARCH("Germany FR",S2918)),"FR Germany",
ISNUMBER(SEARCH("West Germany",S2918)),"FR Germany",
ISNUMBER(SEARCH("Germany DR",S2918)),"DR Germany",
ISNUMBER(SEARCH("Korea DPR",S2918)),"North Korea",
ISNUMBER(SEARCH("China PR",S2918)),"China",
ISNUMBER(SEARCH("IR Iran",S2918)),"Iran",
ISNUMBER(SEARCH("Congo DR",S2918)),"Democratic Republic of the Congo",
ISNUMBER(SEARCH("DR Congo",S2918)),"Democratic Republic of the Congo",
ISNUMBER(SEARCH("German DR",S2918)),"DR Germany",
ISNUMBER(SEARCH("rn""&gt;United Arab Emirates",S2918)),"United Arab Emirates",
ISNUMBER(SEARCH("rn""&gt;Republic of Ireland",S2918)),"Ireland",
ISNUMBER(SEARCH("rn""&gt;Bosnia and Herzegovina",S2918)),"Bosnia and Herzegovina",
ISNUMBER(SEARCH("rn""&gt;Trinidad and Tobago",S2918)),"Trinidad and Tobago",
ISNUMBER(SEARCH("rn""&gt;Serbia and Montenegro",S2918)),"Serbia and Montenegro",
ISNUMBER(SEARCH(_xlfn.UNICHAR(65533),S2918)),"Côte d'Ivoire",
TRUE,""
)</f>
        <v/>
      </c>
      <c r="W2918" s="40" t="str">
        <f t="shared" si="210"/>
        <v>Romania</v>
      </c>
    </row>
    <row r="2919" spans="19:23">
      <c r="S2919" s="40" t="str">
        <v>Italy</v>
      </c>
      <c r="T2919" s="40" t="str">
        <f t="shared" si="208"/>
        <v>OK</v>
      </c>
      <c r="U2919" s="40" t="str">
        <f t="shared" si="209"/>
        <v>-</v>
      </c>
      <c r="V2919" s="40" t="str" cm="1">
        <f t="array" ref="V2919">_xlfn.IFS(
ISNUMBER(SEARCH("USA",S2919)),"United States",
ISNUMBER(SEARCH("Republic of Ireland",S2919)),"Ireland",
ISNUMBER(SEARCH("Republic of Korea",S2919)),"South Korea",
ISNUMBER(SEARCH("Cape Verde",S2919)),"Cabo Verde",
ISNUMBER(SEARCH("Czechia",S2919)),"Czech Republic",
ISNUMBER(SEARCH("Türkiye",S2919)),"Turkey",
ISNUMBER(SEARCH("Ivory Coast",S2919)),"Côte d'Ivoire",
ISNUMBER(SEARCH("Korea Republic",S2919)),"South Korea",
ISNUMBER(SEARCH("Germany FR",S2919)),"FR Germany",
ISNUMBER(SEARCH("West Germany",S2919)),"FR Germany",
ISNUMBER(SEARCH("Germany DR",S2919)),"DR Germany",
ISNUMBER(SEARCH("Korea DPR",S2919)),"North Korea",
ISNUMBER(SEARCH("China PR",S2919)),"China",
ISNUMBER(SEARCH("IR Iran",S2919)),"Iran",
ISNUMBER(SEARCH("Congo DR",S2919)),"Democratic Republic of the Congo",
ISNUMBER(SEARCH("DR Congo",S2919)),"Democratic Republic of the Congo",
ISNUMBER(SEARCH("German DR",S2919)),"DR Germany",
ISNUMBER(SEARCH("rn""&gt;United Arab Emirates",S2919)),"United Arab Emirates",
ISNUMBER(SEARCH("rn""&gt;Republic of Ireland",S2919)),"Ireland",
ISNUMBER(SEARCH("rn""&gt;Bosnia and Herzegovina",S2919)),"Bosnia and Herzegovina",
ISNUMBER(SEARCH("rn""&gt;Trinidad and Tobago",S2919)),"Trinidad and Tobago",
ISNUMBER(SEARCH("rn""&gt;Serbia and Montenegro",S2919)),"Serbia and Montenegro",
ISNUMBER(SEARCH(_xlfn.UNICHAR(65533),S2919)),"Côte d'Ivoire",
TRUE,""
)</f>
        <v/>
      </c>
      <c r="W2919" s="40" t="str">
        <f t="shared" si="210"/>
        <v>Italy</v>
      </c>
    </row>
    <row r="2920" spans="19:23">
      <c r="S2920" s="40" t="str">
        <v>Chile</v>
      </c>
      <c r="T2920" s="40" t="str">
        <f t="shared" si="208"/>
        <v>OK</v>
      </c>
      <c r="U2920" s="40" t="str">
        <f t="shared" si="209"/>
        <v>-</v>
      </c>
      <c r="V2920" s="40" t="str" cm="1">
        <f t="array" ref="V2920">_xlfn.IFS(
ISNUMBER(SEARCH("USA",S2920)),"United States",
ISNUMBER(SEARCH("Republic of Ireland",S2920)),"Ireland",
ISNUMBER(SEARCH("Republic of Korea",S2920)),"South Korea",
ISNUMBER(SEARCH("Cape Verde",S2920)),"Cabo Verde",
ISNUMBER(SEARCH("Czechia",S2920)),"Czech Republic",
ISNUMBER(SEARCH("Türkiye",S2920)),"Turkey",
ISNUMBER(SEARCH("Ivory Coast",S2920)),"Côte d'Ivoire",
ISNUMBER(SEARCH("Korea Republic",S2920)),"South Korea",
ISNUMBER(SEARCH("Germany FR",S2920)),"FR Germany",
ISNUMBER(SEARCH("West Germany",S2920)),"FR Germany",
ISNUMBER(SEARCH("Germany DR",S2920)),"DR Germany",
ISNUMBER(SEARCH("Korea DPR",S2920)),"North Korea",
ISNUMBER(SEARCH("China PR",S2920)),"China",
ISNUMBER(SEARCH("IR Iran",S2920)),"Iran",
ISNUMBER(SEARCH("Congo DR",S2920)),"Democratic Republic of the Congo",
ISNUMBER(SEARCH("DR Congo",S2920)),"Democratic Republic of the Congo",
ISNUMBER(SEARCH("German DR",S2920)),"DR Germany",
ISNUMBER(SEARCH("rn""&gt;United Arab Emirates",S2920)),"United Arab Emirates",
ISNUMBER(SEARCH("rn""&gt;Republic of Ireland",S2920)),"Ireland",
ISNUMBER(SEARCH("rn""&gt;Bosnia and Herzegovina",S2920)),"Bosnia and Herzegovina",
ISNUMBER(SEARCH("rn""&gt;Trinidad and Tobago",S2920)),"Trinidad and Tobago",
ISNUMBER(SEARCH("rn""&gt;Serbia and Montenegro",S2920)),"Serbia and Montenegro",
ISNUMBER(SEARCH(_xlfn.UNICHAR(65533),S2920)),"Côte d'Ivoire",
TRUE,""
)</f>
        <v/>
      </c>
      <c r="W2920" s="40" t="str">
        <f t="shared" si="210"/>
        <v>Chile</v>
      </c>
    </row>
    <row r="2921" spans="19:23">
      <c r="S2921" s="40" t="str">
        <v>Scotland</v>
      </c>
      <c r="T2921" s="40" t="str">
        <f t="shared" si="208"/>
        <v>ERREUR</v>
      </c>
      <c r="U2921" s="40" t="str">
        <f t="shared" si="209"/>
        <v>AUCUNE</v>
      </c>
      <c r="V2921" s="40" t="str" cm="1">
        <f t="array" ref="V2921">_xlfn.IFS(
ISNUMBER(SEARCH("USA",S2921)),"United States",
ISNUMBER(SEARCH("Republic of Ireland",S2921)),"Ireland",
ISNUMBER(SEARCH("Republic of Korea",S2921)),"South Korea",
ISNUMBER(SEARCH("Cape Verde",S2921)),"Cabo Verde",
ISNUMBER(SEARCH("Czechia",S2921)),"Czech Republic",
ISNUMBER(SEARCH("Türkiye",S2921)),"Turkey",
ISNUMBER(SEARCH("Ivory Coast",S2921)),"Côte d'Ivoire",
ISNUMBER(SEARCH("Korea Republic",S2921)),"South Korea",
ISNUMBER(SEARCH("Germany FR",S2921)),"FR Germany",
ISNUMBER(SEARCH("West Germany",S2921)),"FR Germany",
ISNUMBER(SEARCH("Germany DR",S2921)),"DR Germany",
ISNUMBER(SEARCH("Korea DPR",S2921)),"North Korea",
ISNUMBER(SEARCH("China PR",S2921)),"China",
ISNUMBER(SEARCH("IR Iran",S2921)),"Iran",
ISNUMBER(SEARCH("Congo DR",S2921)),"Democratic Republic of the Congo",
ISNUMBER(SEARCH("DR Congo",S2921)),"Democratic Republic of the Congo",
ISNUMBER(SEARCH("German DR",S2921)),"DR Germany",
ISNUMBER(SEARCH("rn""&gt;United Arab Emirates",S2921)),"United Arab Emirates",
ISNUMBER(SEARCH("rn""&gt;Republic of Ireland",S2921)),"Ireland",
ISNUMBER(SEARCH("rn""&gt;Bosnia and Herzegovina",S2921)),"Bosnia and Herzegovina",
ISNUMBER(SEARCH("rn""&gt;Trinidad and Tobago",S2921)),"Trinidad and Tobago",
ISNUMBER(SEARCH("rn""&gt;Serbia and Montenegro",S2921)),"Serbia and Montenegro",
ISNUMBER(SEARCH(_xlfn.UNICHAR(65533),S2921)),"Côte d'Ivoire",
TRUE,""
)</f>
        <v/>
      </c>
      <c r="W2921" s="40" t="str">
        <f t="shared" si="210"/>
        <v>Scotland</v>
      </c>
    </row>
    <row r="2922" spans="19:23">
      <c r="S2922" s="40" t="str">
        <v>Brazil</v>
      </c>
      <c r="T2922" s="40" t="str">
        <f t="shared" si="208"/>
        <v>OK</v>
      </c>
      <c r="U2922" s="40" t="str">
        <f t="shared" si="209"/>
        <v>-</v>
      </c>
      <c r="V2922" s="40" t="str" cm="1">
        <f t="array" ref="V2922">_xlfn.IFS(
ISNUMBER(SEARCH("USA",S2922)),"United States",
ISNUMBER(SEARCH("Republic of Ireland",S2922)),"Ireland",
ISNUMBER(SEARCH("Republic of Korea",S2922)),"South Korea",
ISNUMBER(SEARCH("Cape Verde",S2922)),"Cabo Verde",
ISNUMBER(SEARCH("Czechia",S2922)),"Czech Republic",
ISNUMBER(SEARCH("Türkiye",S2922)),"Turkey",
ISNUMBER(SEARCH("Ivory Coast",S2922)),"Côte d'Ivoire",
ISNUMBER(SEARCH("Korea Republic",S2922)),"South Korea",
ISNUMBER(SEARCH("Germany FR",S2922)),"FR Germany",
ISNUMBER(SEARCH("West Germany",S2922)),"FR Germany",
ISNUMBER(SEARCH("Germany DR",S2922)),"DR Germany",
ISNUMBER(SEARCH("Korea DPR",S2922)),"North Korea",
ISNUMBER(SEARCH("China PR",S2922)),"China",
ISNUMBER(SEARCH("IR Iran",S2922)),"Iran",
ISNUMBER(SEARCH("Congo DR",S2922)),"Democratic Republic of the Congo",
ISNUMBER(SEARCH("DR Congo",S2922)),"Democratic Republic of the Congo",
ISNUMBER(SEARCH("German DR",S2922)),"DR Germany",
ISNUMBER(SEARCH("rn""&gt;United Arab Emirates",S2922)),"United Arab Emirates",
ISNUMBER(SEARCH("rn""&gt;Republic of Ireland",S2922)),"Ireland",
ISNUMBER(SEARCH("rn""&gt;Bosnia and Herzegovina",S2922)),"Bosnia and Herzegovina",
ISNUMBER(SEARCH("rn""&gt;Trinidad and Tobago",S2922)),"Trinidad and Tobago",
ISNUMBER(SEARCH("rn""&gt;Serbia and Montenegro",S2922)),"Serbia and Montenegro",
ISNUMBER(SEARCH(_xlfn.UNICHAR(65533),S2922)),"Côte d'Ivoire",
TRUE,""
)</f>
        <v/>
      </c>
      <c r="W2922" s="40" t="str">
        <f t="shared" si="210"/>
        <v>Brazil</v>
      </c>
    </row>
    <row r="2923" spans="19:23">
      <c r="S2923" s="40" t="str">
        <v>France</v>
      </c>
      <c r="T2923" s="40" t="str">
        <f t="shared" si="208"/>
        <v>OK</v>
      </c>
      <c r="U2923" s="40" t="str">
        <f t="shared" si="209"/>
        <v>-</v>
      </c>
      <c r="V2923" s="40" t="str" cm="1">
        <f t="array" ref="V2923">_xlfn.IFS(
ISNUMBER(SEARCH("USA",S2923)),"United States",
ISNUMBER(SEARCH("Republic of Ireland",S2923)),"Ireland",
ISNUMBER(SEARCH("Republic of Korea",S2923)),"South Korea",
ISNUMBER(SEARCH("Cape Verde",S2923)),"Cabo Verde",
ISNUMBER(SEARCH("Czechia",S2923)),"Czech Republic",
ISNUMBER(SEARCH("Türkiye",S2923)),"Turkey",
ISNUMBER(SEARCH("Ivory Coast",S2923)),"Côte d'Ivoire",
ISNUMBER(SEARCH("Korea Republic",S2923)),"South Korea",
ISNUMBER(SEARCH("Germany FR",S2923)),"FR Germany",
ISNUMBER(SEARCH("West Germany",S2923)),"FR Germany",
ISNUMBER(SEARCH("Germany DR",S2923)),"DR Germany",
ISNUMBER(SEARCH("Korea DPR",S2923)),"North Korea",
ISNUMBER(SEARCH("China PR",S2923)),"China",
ISNUMBER(SEARCH("IR Iran",S2923)),"Iran",
ISNUMBER(SEARCH("Congo DR",S2923)),"Democratic Republic of the Congo",
ISNUMBER(SEARCH("DR Congo",S2923)),"Democratic Republic of the Congo",
ISNUMBER(SEARCH("German DR",S2923)),"DR Germany",
ISNUMBER(SEARCH("rn""&gt;United Arab Emirates",S2923)),"United Arab Emirates",
ISNUMBER(SEARCH("rn""&gt;Republic of Ireland",S2923)),"Ireland",
ISNUMBER(SEARCH("rn""&gt;Bosnia and Herzegovina",S2923)),"Bosnia and Herzegovina",
ISNUMBER(SEARCH("rn""&gt;Trinidad and Tobago",S2923)),"Trinidad and Tobago",
ISNUMBER(SEARCH("rn""&gt;Serbia and Montenegro",S2923)),"Serbia and Montenegro",
ISNUMBER(SEARCH(_xlfn.UNICHAR(65533),S2923)),"Côte d'Ivoire",
TRUE,""
)</f>
        <v/>
      </c>
      <c r="W2923" s="40" t="str">
        <f t="shared" si="210"/>
        <v>France</v>
      </c>
    </row>
    <row r="2924" spans="19:23">
      <c r="S2924" s="40" t="str">
        <v>South Africa</v>
      </c>
      <c r="T2924" s="40" t="str">
        <f t="shared" si="208"/>
        <v>OK</v>
      </c>
      <c r="U2924" s="40" t="str">
        <f t="shared" si="209"/>
        <v>-</v>
      </c>
      <c r="V2924" s="40" t="str" cm="1">
        <f t="array" ref="V2924">_xlfn.IFS(
ISNUMBER(SEARCH("USA",S2924)),"United States",
ISNUMBER(SEARCH("Republic of Ireland",S2924)),"Ireland",
ISNUMBER(SEARCH("Republic of Korea",S2924)),"South Korea",
ISNUMBER(SEARCH("Cape Verde",S2924)),"Cabo Verde",
ISNUMBER(SEARCH("Czechia",S2924)),"Czech Republic",
ISNUMBER(SEARCH("Türkiye",S2924)),"Turkey",
ISNUMBER(SEARCH("Ivory Coast",S2924)),"Côte d'Ivoire",
ISNUMBER(SEARCH("Korea Republic",S2924)),"South Korea",
ISNUMBER(SEARCH("Germany FR",S2924)),"FR Germany",
ISNUMBER(SEARCH("West Germany",S2924)),"FR Germany",
ISNUMBER(SEARCH("Germany DR",S2924)),"DR Germany",
ISNUMBER(SEARCH("Korea DPR",S2924)),"North Korea",
ISNUMBER(SEARCH("China PR",S2924)),"China",
ISNUMBER(SEARCH("IR Iran",S2924)),"Iran",
ISNUMBER(SEARCH("Congo DR",S2924)),"Democratic Republic of the Congo",
ISNUMBER(SEARCH("DR Congo",S2924)),"Democratic Republic of the Congo",
ISNUMBER(SEARCH("German DR",S2924)),"DR Germany",
ISNUMBER(SEARCH("rn""&gt;United Arab Emirates",S2924)),"United Arab Emirates",
ISNUMBER(SEARCH("rn""&gt;Republic of Ireland",S2924)),"Ireland",
ISNUMBER(SEARCH("rn""&gt;Bosnia and Herzegovina",S2924)),"Bosnia and Herzegovina",
ISNUMBER(SEARCH("rn""&gt;Trinidad and Tobago",S2924)),"Trinidad and Tobago",
ISNUMBER(SEARCH("rn""&gt;Serbia and Montenegro",S2924)),"Serbia and Montenegro",
ISNUMBER(SEARCH(_xlfn.UNICHAR(65533),S2924)),"Côte d'Ivoire",
TRUE,""
)</f>
        <v/>
      </c>
      <c r="W2924" s="40" t="str">
        <f t="shared" si="210"/>
        <v>South Africa</v>
      </c>
    </row>
    <row r="2925" spans="19:23">
      <c r="S2925" s="40" t="str">
        <v>Spain</v>
      </c>
      <c r="T2925" s="40" t="str">
        <f t="shared" si="208"/>
        <v>OK</v>
      </c>
      <c r="U2925" s="40" t="str">
        <f t="shared" si="209"/>
        <v>-</v>
      </c>
      <c r="V2925" s="40" t="str" cm="1">
        <f t="array" ref="V2925">_xlfn.IFS(
ISNUMBER(SEARCH("USA",S2925)),"United States",
ISNUMBER(SEARCH("Republic of Ireland",S2925)),"Ireland",
ISNUMBER(SEARCH("Republic of Korea",S2925)),"South Korea",
ISNUMBER(SEARCH("Cape Verde",S2925)),"Cabo Verde",
ISNUMBER(SEARCH("Czechia",S2925)),"Czech Republic",
ISNUMBER(SEARCH("Türkiye",S2925)),"Turkey",
ISNUMBER(SEARCH("Ivory Coast",S2925)),"Côte d'Ivoire",
ISNUMBER(SEARCH("Korea Republic",S2925)),"South Korea",
ISNUMBER(SEARCH("Germany FR",S2925)),"FR Germany",
ISNUMBER(SEARCH("West Germany",S2925)),"FR Germany",
ISNUMBER(SEARCH("Germany DR",S2925)),"DR Germany",
ISNUMBER(SEARCH("Korea DPR",S2925)),"North Korea",
ISNUMBER(SEARCH("China PR",S2925)),"China",
ISNUMBER(SEARCH("IR Iran",S2925)),"Iran",
ISNUMBER(SEARCH("Congo DR",S2925)),"Democratic Republic of the Congo",
ISNUMBER(SEARCH("DR Congo",S2925)),"Democratic Republic of the Congo",
ISNUMBER(SEARCH("German DR",S2925)),"DR Germany",
ISNUMBER(SEARCH("rn""&gt;United Arab Emirates",S2925)),"United Arab Emirates",
ISNUMBER(SEARCH("rn""&gt;Republic of Ireland",S2925)),"Ireland",
ISNUMBER(SEARCH("rn""&gt;Bosnia and Herzegovina",S2925)),"Bosnia and Herzegovina",
ISNUMBER(SEARCH("rn""&gt;Trinidad and Tobago",S2925)),"Trinidad and Tobago",
ISNUMBER(SEARCH("rn""&gt;Serbia and Montenegro",S2925)),"Serbia and Montenegro",
ISNUMBER(SEARCH(_xlfn.UNICHAR(65533),S2925)),"Côte d'Ivoire",
TRUE,""
)</f>
        <v/>
      </c>
      <c r="W2925" s="40" t="str">
        <f t="shared" si="210"/>
        <v>Spain</v>
      </c>
    </row>
    <row r="2926" spans="19:23">
      <c r="S2926" s="40" t="str">
        <v>Nigeria</v>
      </c>
      <c r="T2926" s="40" t="str">
        <f t="shared" si="208"/>
        <v>OK</v>
      </c>
      <c r="U2926" s="40" t="str">
        <f t="shared" si="209"/>
        <v>-</v>
      </c>
      <c r="V2926" s="40" t="str" cm="1">
        <f t="array" ref="V2926">_xlfn.IFS(
ISNUMBER(SEARCH("USA",S2926)),"United States",
ISNUMBER(SEARCH("Republic of Ireland",S2926)),"Ireland",
ISNUMBER(SEARCH("Republic of Korea",S2926)),"South Korea",
ISNUMBER(SEARCH("Cape Verde",S2926)),"Cabo Verde",
ISNUMBER(SEARCH("Czechia",S2926)),"Czech Republic",
ISNUMBER(SEARCH("Türkiye",S2926)),"Turkey",
ISNUMBER(SEARCH("Ivory Coast",S2926)),"Côte d'Ivoire",
ISNUMBER(SEARCH("Korea Republic",S2926)),"South Korea",
ISNUMBER(SEARCH("Germany FR",S2926)),"FR Germany",
ISNUMBER(SEARCH("West Germany",S2926)),"FR Germany",
ISNUMBER(SEARCH("Germany DR",S2926)),"DR Germany",
ISNUMBER(SEARCH("Korea DPR",S2926)),"North Korea",
ISNUMBER(SEARCH("China PR",S2926)),"China",
ISNUMBER(SEARCH("IR Iran",S2926)),"Iran",
ISNUMBER(SEARCH("Congo DR",S2926)),"Democratic Republic of the Congo",
ISNUMBER(SEARCH("DR Congo",S2926)),"Democratic Republic of the Congo",
ISNUMBER(SEARCH("German DR",S2926)),"DR Germany",
ISNUMBER(SEARCH("rn""&gt;United Arab Emirates",S2926)),"United Arab Emirates",
ISNUMBER(SEARCH("rn""&gt;Republic of Ireland",S2926)),"Ireland",
ISNUMBER(SEARCH("rn""&gt;Bosnia and Herzegovina",S2926)),"Bosnia and Herzegovina",
ISNUMBER(SEARCH("rn""&gt;Trinidad and Tobago",S2926)),"Trinidad and Tobago",
ISNUMBER(SEARCH("rn""&gt;Serbia and Montenegro",S2926)),"Serbia and Montenegro",
ISNUMBER(SEARCH(_xlfn.UNICHAR(65533),S2926)),"Côte d'Ivoire",
TRUE,""
)</f>
        <v/>
      </c>
      <c r="W2926" s="40" t="str">
        <f t="shared" si="210"/>
        <v>Nigeria</v>
      </c>
    </row>
    <row r="2927" spans="19:23">
      <c r="S2927" s="40" t="str">
        <v>Belgium</v>
      </c>
      <c r="T2927" s="40" t="str">
        <f t="shared" si="208"/>
        <v>OK</v>
      </c>
      <c r="U2927" s="40" t="str">
        <f t="shared" si="209"/>
        <v>-</v>
      </c>
      <c r="V2927" s="40" t="str" cm="1">
        <f t="array" ref="V2927">_xlfn.IFS(
ISNUMBER(SEARCH("USA",S2927)),"United States",
ISNUMBER(SEARCH("Republic of Ireland",S2927)),"Ireland",
ISNUMBER(SEARCH("Republic of Korea",S2927)),"South Korea",
ISNUMBER(SEARCH("Cape Verde",S2927)),"Cabo Verde",
ISNUMBER(SEARCH("Czechia",S2927)),"Czech Republic",
ISNUMBER(SEARCH("Türkiye",S2927)),"Turkey",
ISNUMBER(SEARCH("Ivory Coast",S2927)),"Côte d'Ivoire",
ISNUMBER(SEARCH("Korea Republic",S2927)),"South Korea",
ISNUMBER(SEARCH("Germany FR",S2927)),"FR Germany",
ISNUMBER(SEARCH("West Germany",S2927)),"FR Germany",
ISNUMBER(SEARCH("Germany DR",S2927)),"DR Germany",
ISNUMBER(SEARCH("Korea DPR",S2927)),"North Korea",
ISNUMBER(SEARCH("China PR",S2927)),"China",
ISNUMBER(SEARCH("IR Iran",S2927)),"Iran",
ISNUMBER(SEARCH("Congo DR",S2927)),"Democratic Republic of the Congo",
ISNUMBER(SEARCH("DR Congo",S2927)),"Democratic Republic of the Congo",
ISNUMBER(SEARCH("German DR",S2927)),"DR Germany",
ISNUMBER(SEARCH("rn""&gt;United Arab Emirates",S2927)),"United Arab Emirates",
ISNUMBER(SEARCH("rn""&gt;Republic of Ireland",S2927)),"Ireland",
ISNUMBER(SEARCH("rn""&gt;Bosnia and Herzegovina",S2927)),"Bosnia and Herzegovina",
ISNUMBER(SEARCH("rn""&gt;Trinidad and Tobago",S2927)),"Trinidad and Tobago",
ISNUMBER(SEARCH("rn""&gt;Serbia and Montenegro",S2927)),"Serbia and Montenegro",
ISNUMBER(SEARCH(_xlfn.UNICHAR(65533),S2927)),"Côte d'Ivoire",
TRUE,""
)</f>
        <v/>
      </c>
      <c r="W2927" s="40" t="str">
        <f t="shared" si="210"/>
        <v>Belgium</v>
      </c>
    </row>
    <row r="2928" spans="19:23">
      <c r="S2928" s="40" t="str">
        <v>Netherlands</v>
      </c>
      <c r="T2928" s="40" t="str">
        <f t="shared" si="208"/>
        <v>OK</v>
      </c>
      <c r="U2928" s="40" t="str">
        <f t="shared" si="209"/>
        <v>-</v>
      </c>
      <c r="V2928" s="40" t="str" cm="1">
        <f t="array" ref="V2928">_xlfn.IFS(
ISNUMBER(SEARCH("USA",S2928)),"United States",
ISNUMBER(SEARCH("Republic of Ireland",S2928)),"Ireland",
ISNUMBER(SEARCH("Republic of Korea",S2928)),"South Korea",
ISNUMBER(SEARCH("Cape Verde",S2928)),"Cabo Verde",
ISNUMBER(SEARCH("Czechia",S2928)),"Czech Republic",
ISNUMBER(SEARCH("Türkiye",S2928)),"Turkey",
ISNUMBER(SEARCH("Ivory Coast",S2928)),"Côte d'Ivoire",
ISNUMBER(SEARCH("Korea Republic",S2928)),"South Korea",
ISNUMBER(SEARCH("Germany FR",S2928)),"FR Germany",
ISNUMBER(SEARCH("West Germany",S2928)),"FR Germany",
ISNUMBER(SEARCH("Germany DR",S2928)),"DR Germany",
ISNUMBER(SEARCH("Korea DPR",S2928)),"North Korea",
ISNUMBER(SEARCH("China PR",S2928)),"China",
ISNUMBER(SEARCH("IR Iran",S2928)),"Iran",
ISNUMBER(SEARCH("Congo DR",S2928)),"Democratic Republic of the Congo",
ISNUMBER(SEARCH("DR Congo",S2928)),"Democratic Republic of the Congo",
ISNUMBER(SEARCH("German DR",S2928)),"DR Germany",
ISNUMBER(SEARCH("rn""&gt;United Arab Emirates",S2928)),"United Arab Emirates",
ISNUMBER(SEARCH("rn""&gt;Republic of Ireland",S2928)),"Ireland",
ISNUMBER(SEARCH("rn""&gt;Bosnia and Herzegovina",S2928)),"Bosnia and Herzegovina",
ISNUMBER(SEARCH("rn""&gt;Trinidad and Tobago",S2928)),"Trinidad and Tobago",
ISNUMBER(SEARCH("rn""&gt;Serbia and Montenegro",S2928)),"Serbia and Montenegro",
ISNUMBER(SEARCH(_xlfn.UNICHAR(65533),S2928)),"Côte d'Ivoire",
TRUE,""
)</f>
        <v/>
      </c>
      <c r="W2928" s="40" t="str">
        <f t="shared" si="210"/>
        <v>Netherlands</v>
      </c>
    </row>
    <row r="2929" spans="19:23">
      <c r="S2929" s="40" t="str">
        <v>Germany</v>
      </c>
      <c r="T2929" s="40" t="str">
        <f t="shared" si="208"/>
        <v>OK</v>
      </c>
      <c r="U2929" s="40" t="str">
        <f t="shared" si="209"/>
        <v>-</v>
      </c>
      <c r="V2929" s="40" t="str" cm="1">
        <f t="array" ref="V2929">_xlfn.IFS(
ISNUMBER(SEARCH("USA",S2929)),"United States",
ISNUMBER(SEARCH("Republic of Ireland",S2929)),"Ireland",
ISNUMBER(SEARCH("Republic of Korea",S2929)),"South Korea",
ISNUMBER(SEARCH("Cape Verde",S2929)),"Cabo Verde",
ISNUMBER(SEARCH("Czechia",S2929)),"Czech Republic",
ISNUMBER(SEARCH("Türkiye",S2929)),"Turkey",
ISNUMBER(SEARCH("Ivory Coast",S2929)),"Côte d'Ivoire",
ISNUMBER(SEARCH("Korea Republic",S2929)),"South Korea",
ISNUMBER(SEARCH("Germany FR",S2929)),"FR Germany",
ISNUMBER(SEARCH("West Germany",S2929)),"FR Germany",
ISNUMBER(SEARCH("Germany DR",S2929)),"DR Germany",
ISNUMBER(SEARCH("Korea DPR",S2929)),"North Korea",
ISNUMBER(SEARCH("China PR",S2929)),"China",
ISNUMBER(SEARCH("IR Iran",S2929)),"Iran",
ISNUMBER(SEARCH("Congo DR",S2929)),"Democratic Republic of the Congo",
ISNUMBER(SEARCH("DR Congo",S2929)),"Democratic Republic of the Congo",
ISNUMBER(SEARCH("German DR",S2929)),"DR Germany",
ISNUMBER(SEARCH("rn""&gt;United Arab Emirates",S2929)),"United Arab Emirates",
ISNUMBER(SEARCH("rn""&gt;Republic of Ireland",S2929)),"Ireland",
ISNUMBER(SEARCH("rn""&gt;Bosnia and Herzegovina",S2929)),"Bosnia and Herzegovina",
ISNUMBER(SEARCH("rn""&gt;Trinidad and Tobago",S2929)),"Trinidad and Tobago",
ISNUMBER(SEARCH("rn""&gt;Serbia and Montenegro",S2929)),"Serbia and Montenegro",
ISNUMBER(SEARCH(_xlfn.UNICHAR(65533),S2929)),"Côte d'Ivoire",
TRUE,""
)</f>
        <v/>
      </c>
      <c r="W2929" s="40" t="str">
        <f t="shared" si="210"/>
        <v>Germany</v>
      </c>
    </row>
    <row r="2930" spans="19:23">
      <c r="S2930" s="40" t="str">
        <v>USA</v>
      </c>
      <c r="T2930" s="40" t="str">
        <f t="shared" si="208"/>
        <v>ERREUR</v>
      </c>
      <c r="U2930" s="40" t="str">
        <f t="shared" si="209"/>
        <v>RENOMMER</v>
      </c>
      <c r="V2930" s="40" t="str" cm="1">
        <f t="array" ref="V2930">_xlfn.IFS(
ISNUMBER(SEARCH("USA",S2930)),"United States",
ISNUMBER(SEARCH("Republic of Ireland",S2930)),"Ireland",
ISNUMBER(SEARCH("Republic of Korea",S2930)),"South Korea",
ISNUMBER(SEARCH("Cape Verde",S2930)),"Cabo Verde",
ISNUMBER(SEARCH("Czechia",S2930)),"Czech Republic",
ISNUMBER(SEARCH("Türkiye",S2930)),"Turkey",
ISNUMBER(SEARCH("Ivory Coast",S2930)),"Côte d'Ivoire",
ISNUMBER(SEARCH("Korea Republic",S2930)),"South Korea",
ISNUMBER(SEARCH("Germany FR",S2930)),"FR Germany",
ISNUMBER(SEARCH("West Germany",S2930)),"FR Germany",
ISNUMBER(SEARCH("Germany DR",S2930)),"DR Germany",
ISNUMBER(SEARCH("Korea DPR",S2930)),"North Korea",
ISNUMBER(SEARCH("China PR",S2930)),"China",
ISNUMBER(SEARCH("IR Iran",S2930)),"Iran",
ISNUMBER(SEARCH("Congo DR",S2930)),"Democratic Republic of the Congo",
ISNUMBER(SEARCH("DR Congo",S2930)),"Democratic Republic of the Congo",
ISNUMBER(SEARCH("German DR",S2930)),"DR Germany",
ISNUMBER(SEARCH("rn""&gt;United Arab Emirates",S2930)),"United Arab Emirates",
ISNUMBER(SEARCH("rn""&gt;Republic of Ireland",S2930)),"Ireland",
ISNUMBER(SEARCH("rn""&gt;Bosnia and Herzegovina",S2930)),"Bosnia and Herzegovina",
ISNUMBER(SEARCH("rn""&gt;Trinidad and Tobago",S2930)),"Trinidad and Tobago",
ISNUMBER(SEARCH("rn""&gt;Serbia and Montenegro",S2930)),"Serbia and Montenegro",
ISNUMBER(SEARCH(_xlfn.UNICHAR(65533),S2930)),"Côte d'Ivoire",
TRUE,""
)</f>
        <v>United States</v>
      </c>
      <c r="W2930" s="40" t="str">
        <f t="shared" si="210"/>
        <v>United States</v>
      </c>
    </row>
    <row r="2931" spans="19:23">
      <c r="S2931" s="40" t="str">
        <v>Japan</v>
      </c>
      <c r="T2931" s="40" t="str">
        <f t="shared" si="208"/>
        <v>OK</v>
      </c>
      <c r="U2931" s="40" t="str">
        <f t="shared" si="209"/>
        <v>-</v>
      </c>
      <c r="V2931" s="40" t="str" cm="1">
        <f t="array" ref="V2931">_xlfn.IFS(
ISNUMBER(SEARCH("USA",S2931)),"United States",
ISNUMBER(SEARCH("Republic of Ireland",S2931)),"Ireland",
ISNUMBER(SEARCH("Republic of Korea",S2931)),"South Korea",
ISNUMBER(SEARCH("Cape Verde",S2931)),"Cabo Verde",
ISNUMBER(SEARCH("Czechia",S2931)),"Czech Republic",
ISNUMBER(SEARCH("Türkiye",S2931)),"Turkey",
ISNUMBER(SEARCH("Ivory Coast",S2931)),"Côte d'Ivoire",
ISNUMBER(SEARCH("Korea Republic",S2931)),"South Korea",
ISNUMBER(SEARCH("Germany FR",S2931)),"FR Germany",
ISNUMBER(SEARCH("West Germany",S2931)),"FR Germany",
ISNUMBER(SEARCH("Germany DR",S2931)),"DR Germany",
ISNUMBER(SEARCH("Korea DPR",S2931)),"North Korea",
ISNUMBER(SEARCH("China PR",S2931)),"China",
ISNUMBER(SEARCH("IR Iran",S2931)),"Iran",
ISNUMBER(SEARCH("Congo DR",S2931)),"Democratic Republic of the Congo",
ISNUMBER(SEARCH("DR Congo",S2931)),"Democratic Republic of the Congo",
ISNUMBER(SEARCH("German DR",S2931)),"DR Germany",
ISNUMBER(SEARCH("rn""&gt;United Arab Emirates",S2931)),"United Arab Emirates",
ISNUMBER(SEARCH("rn""&gt;Republic of Ireland",S2931)),"Ireland",
ISNUMBER(SEARCH("rn""&gt;Bosnia and Herzegovina",S2931)),"Bosnia and Herzegovina",
ISNUMBER(SEARCH("rn""&gt;Trinidad and Tobago",S2931)),"Trinidad and Tobago",
ISNUMBER(SEARCH("rn""&gt;Serbia and Montenegro",S2931)),"Serbia and Montenegro",
ISNUMBER(SEARCH(_xlfn.UNICHAR(65533),S2931)),"Côte d'Ivoire",
TRUE,""
)</f>
        <v/>
      </c>
      <c r="W2931" s="40" t="str">
        <f t="shared" si="210"/>
        <v>Japan</v>
      </c>
    </row>
    <row r="2932" spans="19:23">
      <c r="S2932" s="40" t="str">
        <v>Argentina</v>
      </c>
      <c r="T2932" s="40" t="str">
        <f t="shared" si="208"/>
        <v>OK</v>
      </c>
      <c r="U2932" s="40" t="str">
        <f t="shared" si="209"/>
        <v>-</v>
      </c>
      <c r="V2932" s="40" t="str" cm="1">
        <f t="array" ref="V2932">_xlfn.IFS(
ISNUMBER(SEARCH("USA",S2932)),"United States",
ISNUMBER(SEARCH("Republic of Ireland",S2932)),"Ireland",
ISNUMBER(SEARCH("Republic of Korea",S2932)),"South Korea",
ISNUMBER(SEARCH("Cape Verde",S2932)),"Cabo Verde",
ISNUMBER(SEARCH("Czechia",S2932)),"Czech Republic",
ISNUMBER(SEARCH("Türkiye",S2932)),"Turkey",
ISNUMBER(SEARCH("Ivory Coast",S2932)),"Côte d'Ivoire",
ISNUMBER(SEARCH("Korea Republic",S2932)),"South Korea",
ISNUMBER(SEARCH("Germany FR",S2932)),"FR Germany",
ISNUMBER(SEARCH("West Germany",S2932)),"FR Germany",
ISNUMBER(SEARCH("Germany DR",S2932)),"DR Germany",
ISNUMBER(SEARCH("Korea DPR",S2932)),"North Korea",
ISNUMBER(SEARCH("China PR",S2932)),"China",
ISNUMBER(SEARCH("IR Iran",S2932)),"Iran",
ISNUMBER(SEARCH("Congo DR",S2932)),"Democratic Republic of the Congo",
ISNUMBER(SEARCH("DR Congo",S2932)),"Democratic Republic of the Congo",
ISNUMBER(SEARCH("German DR",S2932)),"DR Germany",
ISNUMBER(SEARCH("rn""&gt;United Arab Emirates",S2932)),"United Arab Emirates",
ISNUMBER(SEARCH("rn""&gt;Republic of Ireland",S2932)),"Ireland",
ISNUMBER(SEARCH("rn""&gt;Bosnia and Herzegovina",S2932)),"Bosnia and Herzegovina",
ISNUMBER(SEARCH("rn""&gt;Trinidad and Tobago",S2932)),"Trinidad and Tobago",
ISNUMBER(SEARCH("rn""&gt;Serbia and Montenegro",S2932)),"Serbia and Montenegro",
ISNUMBER(SEARCH(_xlfn.UNICHAR(65533),S2932)),"Côte d'Ivoire",
TRUE,""
)</f>
        <v/>
      </c>
      <c r="W2932" s="40" t="str">
        <f t="shared" si="210"/>
        <v>Argentina</v>
      </c>
    </row>
    <row r="2933" spans="19:23">
      <c r="S2933" s="40" t="str">
        <v>Romania</v>
      </c>
      <c r="T2933" s="40" t="str">
        <f t="shared" si="208"/>
        <v>OK</v>
      </c>
      <c r="U2933" s="40" t="str">
        <f t="shared" si="209"/>
        <v>-</v>
      </c>
      <c r="V2933" s="40" t="str" cm="1">
        <f t="array" ref="V2933">_xlfn.IFS(
ISNUMBER(SEARCH("USA",S2933)),"United States",
ISNUMBER(SEARCH("Republic of Ireland",S2933)),"Ireland",
ISNUMBER(SEARCH("Republic of Korea",S2933)),"South Korea",
ISNUMBER(SEARCH("Cape Verde",S2933)),"Cabo Verde",
ISNUMBER(SEARCH("Czechia",S2933)),"Czech Republic",
ISNUMBER(SEARCH("Türkiye",S2933)),"Turkey",
ISNUMBER(SEARCH("Ivory Coast",S2933)),"Côte d'Ivoire",
ISNUMBER(SEARCH("Korea Republic",S2933)),"South Korea",
ISNUMBER(SEARCH("Germany FR",S2933)),"FR Germany",
ISNUMBER(SEARCH("West Germany",S2933)),"FR Germany",
ISNUMBER(SEARCH("Germany DR",S2933)),"DR Germany",
ISNUMBER(SEARCH("Korea DPR",S2933)),"North Korea",
ISNUMBER(SEARCH("China PR",S2933)),"China",
ISNUMBER(SEARCH("IR Iran",S2933)),"Iran",
ISNUMBER(SEARCH("Congo DR",S2933)),"Democratic Republic of the Congo",
ISNUMBER(SEARCH("DR Congo",S2933)),"Democratic Republic of the Congo",
ISNUMBER(SEARCH("German DR",S2933)),"DR Germany",
ISNUMBER(SEARCH("rn""&gt;United Arab Emirates",S2933)),"United Arab Emirates",
ISNUMBER(SEARCH("rn""&gt;Republic of Ireland",S2933)),"Ireland",
ISNUMBER(SEARCH("rn""&gt;Bosnia and Herzegovina",S2933)),"Bosnia and Herzegovina",
ISNUMBER(SEARCH("rn""&gt;Trinidad and Tobago",S2933)),"Trinidad and Tobago",
ISNUMBER(SEARCH("rn""&gt;Serbia and Montenegro",S2933)),"Serbia and Montenegro",
ISNUMBER(SEARCH(_xlfn.UNICHAR(65533),S2933)),"Côte d'Ivoire",
TRUE,""
)</f>
        <v/>
      </c>
      <c r="W2933" s="40" t="str">
        <f t="shared" si="210"/>
        <v>Romania</v>
      </c>
    </row>
    <row r="2934" spans="19:23">
      <c r="S2934" s="40" t="str">
        <v>Colombia</v>
      </c>
      <c r="T2934" s="40" t="str">
        <f t="shared" si="208"/>
        <v>OK</v>
      </c>
      <c r="U2934" s="40" t="str">
        <f t="shared" si="209"/>
        <v>-</v>
      </c>
      <c r="V2934" s="40" t="str" cm="1">
        <f t="array" ref="V2934">_xlfn.IFS(
ISNUMBER(SEARCH("USA",S2934)),"United States",
ISNUMBER(SEARCH("Republic of Ireland",S2934)),"Ireland",
ISNUMBER(SEARCH("Republic of Korea",S2934)),"South Korea",
ISNUMBER(SEARCH("Cape Verde",S2934)),"Cabo Verde",
ISNUMBER(SEARCH("Czechia",S2934)),"Czech Republic",
ISNUMBER(SEARCH("Türkiye",S2934)),"Turkey",
ISNUMBER(SEARCH("Ivory Coast",S2934)),"Côte d'Ivoire",
ISNUMBER(SEARCH("Korea Republic",S2934)),"South Korea",
ISNUMBER(SEARCH("Germany FR",S2934)),"FR Germany",
ISNUMBER(SEARCH("West Germany",S2934)),"FR Germany",
ISNUMBER(SEARCH("Germany DR",S2934)),"DR Germany",
ISNUMBER(SEARCH("Korea DPR",S2934)),"North Korea",
ISNUMBER(SEARCH("China PR",S2934)),"China",
ISNUMBER(SEARCH("IR Iran",S2934)),"Iran",
ISNUMBER(SEARCH("Congo DR",S2934)),"Democratic Republic of the Congo",
ISNUMBER(SEARCH("DR Congo",S2934)),"Democratic Republic of the Congo",
ISNUMBER(SEARCH("German DR",S2934)),"DR Germany",
ISNUMBER(SEARCH("rn""&gt;United Arab Emirates",S2934)),"United Arab Emirates",
ISNUMBER(SEARCH("rn""&gt;Republic of Ireland",S2934)),"Ireland",
ISNUMBER(SEARCH("rn""&gt;Bosnia and Herzegovina",S2934)),"Bosnia and Herzegovina",
ISNUMBER(SEARCH("rn""&gt;Trinidad and Tobago",S2934)),"Trinidad and Tobago",
ISNUMBER(SEARCH("rn""&gt;Serbia and Montenegro",S2934)),"Serbia and Montenegro",
ISNUMBER(SEARCH(_xlfn.UNICHAR(65533),S2934)),"Côte d'Ivoire",
TRUE,""
)</f>
        <v/>
      </c>
      <c r="W2934" s="40" t="str">
        <f t="shared" si="210"/>
        <v>Colombia</v>
      </c>
    </row>
    <row r="2935" spans="19:23">
      <c r="S2935" s="40" t="str">
        <v>Italy</v>
      </c>
      <c r="T2935" s="40" t="str">
        <f t="shared" si="208"/>
        <v>OK</v>
      </c>
      <c r="U2935" s="40" t="str">
        <f t="shared" si="209"/>
        <v>-</v>
      </c>
      <c r="V2935" s="40" t="str" cm="1">
        <f t="array" ref="V2935">_xlfn.IFS(
ISNUMBER(SEARCH("USA",S2935)),"United States",
ISNUMBER(SEARCH("Republic of Ireland",S2935)),"Ireland",
ISNUMBER(SEARCH("Republic of Korea",S2935)),"South Korea",
ISNUMBER(SEARCH("Cape Verde",S2935)),"Cabo Verde",
ISNUMBER(SEARCH("Czechia",S2935)),"Czech Republic",
ISNUMBER(SEARCH("Türkiye",S2935)),"Turkey",
ISNUMBER(SEARCH("Ivory Coast",S2935)),"Côte d'Ivoire",
ISNUMBER(SEARCH("Korea Republic",S2935)),"South Korea",
ISNUMBER(SEARCH("Germany FR",S2935)),"FR Germany",
ISNUMBER(SEARCH("West Germany",S2935)),"FR Germany",
ISNUMBER(SEARCH("Germany DR",S2935)),"DR Germany",
ISNUMBER(SEARCH("Korea DPR",S2935)),"North Korea",
ISNUMBER(SEARCH("China PR",S2935)),"China",
ISNUMBER(SEARCH("IR Iran",S2935)),"Iran",
ISNUMBER(SEARCH("Congo DR",S2935)),"Democratic Republic of the Congo",
ISNUMBER(SEARCH("DR Congo",S2935)),"Democratic Republic of the Congo",
ISNUMBER(SEARCH("German DR",S2935)),"DR Germany",
ISNUMBER(SEARCH("rn""&gt;United Arab Emirates",S2935)),"United Arab Emirates",
ISNUMBER(SEARCH("rn""&gt;Republic of Ireland",S2935)),"Ireland",
ISNUMBER(SEARCH("rn""&gt;Bosnia and Herzegovina",S2935)),"Bosnia and Herzegovina",
ISNUMBER(SEARCH("rn""&gt;Trinidad and Tobago",S2935)),"Trinidad and Tobago",
ISNUMBER(SEARCH("rn""&gt;Serbia and Montenegro",S2935)),"Serbia and Montenegro",
ISNUMBER(SEARCH(_xlfn.UNICHAR(65533),S2935)),"Côte d'Ivoire",
TRUE,""
)</f>
        <v/>
      </c>
      <c r="W2935" s="40" t="str">
        <f t="shared" si="210"/>
        <v>Italy</v>
      </c>
    </row>
    <row r="2936" spans="19:23">
      <c r="S2936" s="40" t="str">
        <v>Brazil</v>
      </c>
      <c r="T2936" s="40" t="str">
        <f t="shared" si="208"/>
        <v>OK</v>
      </c>
      <c r="U2936" s="40" t="str">
        <f t="shared" si="209"/>
        <v>-</v>
      </c>
      <c r="V2936" s="40" t="str" cm="1">
        <f t="array" ref="V2936">_xlfn.IFS(
ISNUMBER(SEARCH("USA",S2936)),"United States",
ISNUMBER(SEARCH("Republic of Ireland",S2936)),"Ireland",
ISNUMBER(SEARCH("Republic of Korea",S2936)),"South Korea",
ISNUMBER(SEARCH("Cape Verde",S2936)),"Cabo Verde",
ISNUMBER(SEARCH("Czechia",S2936)),"Czech Republic",
ISNUMBER(SEARCH("Türkiye",S2936)),"Turkey",
ISNUMBER(SEARCH("Ivory Coast",S2936)),"Côte d'Ivoire",
ISNUMBER(SEARCH("Korea Republic",S2936)),"South Korea",
ISNUMBER(SEARCH("Germany FR",S2936)),"FR Germany",
ISNUMBER(SEARCH("West Germany",S2936)),"FR Germany",
ISNUMBER(SEARCH("Germany DR",S2936)),"DR Germany",
ISNUMBER(SEARCH("Korea DPR",S2936)),"North Korea",
ISNUMBER(SEARCH("China PR",S2936)),"China",
ISNUMBER(SEARCH("IR Iran",S2936)),"Iran",
ISNUMBER(SEARCH("Congo DR",S2936)),"Democratic Republic of the Congo",
ISNUMBER(SEARCH("DR Congo",S2936)),"Democratic Republic of the Congo",
ISNUMBER(SEARCH("German DR",S2936)),"DR Germany",
ISNUMBER(SEARCH("rn""&gt;United Arab Emirates",S2936)),"United Arab Emirates",
ISNUMBER(SEARCH("rn""&gt;Republic of Ireland",S2936)),"Ireland",
ISNUMBER(SEARCH("rn""&gt;Bosnia and Herzegovina",S2936)),"Bosnia and Herzegovina",
ISNUMBER(SEARCH("rn""&gt;Trinidad and Tobago",S2936)),"Trinidad and Tobago",
ISNUMBER(SEARCH("rn""&gt;Serbia and Montenegro",S2936)),"Serbia and Montenegro",
ISNUMBER(SEARCH(_xlfn.UNICHAR(65533),S2936)),"Côte d'Ivoire",
TRUE,""
)</f>
        <v/>
      </c>
      <c r="W2936" s="40" t="str">
        <f t="shared" si="210"/>
        <v>Brazil</v>
      </c>
    </row>
    <row r="2937" spans="19:23">
      <c r="S2937" s="40" t="str">
        <v>France</v>
      </c>
      <c r="T2937" s="40" t="str">
        <f t="shared" si="208"/>
        <v>OK</v>
      </c>
      <c r="U2937" s="40" t="str">
        <f t="shared" si="209"/>
        <v>-</v>
      </c>
      <c r="V2937" s="40" t="str" cm="1">
        <f t="array" ref="V2937">_xlfn.IFS(
ISNUMBER(SEARCH("USA",S2937)),"United States",
ISNUMBER(SEARCH("Republic of Ireland",S2937)),"Ireland",
ISNUMBER(SEARCH("Republic of Korea",S2937)),"South Korea",
ISNUMBER(SEARCH("Cape Verde",S2937)),"Cabo Verde",
ISNUMBER(SEARCH("Czechia",S2937)),"Czech Republic",
ISNUMBER(SEARCH("Türkiye",S2937)),"Turkey",
ISNUMBER(SEARCH("Ivory Coast",S2937)),"Côte d'Ivoire",
ISNUMBER(SEARCH("Korea Republic",S2937)),"South Korea",
ISNUMBER(SEARCH("Germany FR",S2937)),"FR Germany",
ISNUMBER(SEARCH("West Germany",S2937)),"FR Germany",
ISNUMBER(SEARCH("Germany DR",S2937)),"DR Germany",
ISNUMBER(SEARCH("Korea DPR",S2937)),"North Korea",
ISNUMBER(SEARCH("China PR",S2937)),"China",
ISNUMBER(SEARCH("IR Iran",S2937)),"Iran",
ISNUMBER(SEARCH("Congo DR",S2937)),"Democratic Republic of the Congo",
ISNUMBER(SEARCH("DR Congo",S2937)),"Democratic Republic of the Congo",
ISNUMBER(SEARCH("German DR",S2937)),"DR Germany",
ISNUMBER(SEARCH("rn""&gt;United Arab Emirates",S2937)),"United Arab Emirates",
ISNUMBER(SEARCH("rn""&gt;Republic of Ireland",S2937)),"Ireland",
ISNUMBER(SEARCH("rn""&gt;Bosnia and Herzegovina",S2937)),"Bosnia and Herzegovina",
ISNUMBER(SEARCH("rn""&gt;Trinidad and Tobago",S2937)),"Trinidad and Tobago",
ISNUMBER(SEARCH("rn""&gt;Serbia and Montenegro",S2937)),"Serbia and Montenegro",
ISNUMBER(SEARCH(_xlfn.UNICHAR(65533),S2937)),"Côte d'Ivoire",
TRUE,""
)</f>
        <v/>
      </c>
      <c r="W2937" s="40" t="str">
        <f t="shared" si="210"/>
        <v>France</v>
      </c>
    </row>
    <row r="2938" spans="19:23">
      <c r="S2938" s="40" t="str">
        <v>Nigeria</v>
      </c>
      <c r="T2938" s="40" t="str">
        <f t="shared" si="208"/>
        <v>OK</v>
      </c>
      <c r="U2938" s="40" t="str">
        <f t="shared" si="209"/>
        <v>-</v>
      </c>
      <c r="V2938" s="40" t="str" cm="1">
        <f t="array" ref="V2938">_xlfn.IFS(
ISNUMBER(SEARCH("USA",S2938)),"United States",
ISNUMBER(SEARCH("Republic of Ireland",S2938)),"Ireland",
ISNUMBER(SEARCH("Republic of Korea",S2938)),"South Korea",
ISNUMBER(SEARCH("Cape Verde",S2938)),"Cabo Verde",
ISNUMBER(SEARCH("Czechia",S2938)),"Czech Republic",
ISNUMBER(SEARCH("Türkiye",S2938)),"Turkey",
ISNUMBER(SEARCH("Ivory Coast",S2938)),"Côte d'Ivoire",
ISNUMBER(SEARCH("Korea Republic",S2938)),"South Korea",
ISNUMBER(SEARCH("Germany FR",S2938)),"FR Germany",
ISNUMBER(SEARCH("West Germany",S2938)),"FR Germany",
ISNUMBER(SEARCH("Germany DR",S2938)),"DR Germany",
ISNUMBER(SEARCH("Korea DPR",S2938)),"North Korea",
ISNUMBER(SEARCH("China PR",S2938)),"China",
ISNUMBER(SEARCH("IR Iran",S2938)),"Iran",
ISNUMBER(SEARCH("Congo DR",S2938)),"Democratic Republic of the Congo",
ISNUMBER(SEARCH("DR Congo",S2938)),"Democratic Republic of the Congo",
ISNUMBER(SEARCH("German DR",S2938)),"DR Germany",
ISNUMBER(SEARCH("rn""&gt;United Arab Emirates",S2938)),"United Arab Emirates",
ISNUMBER(SEARCH("rn""&gt;Republic of Ireland",S2938)),"Ireland",
ISNUMBER(SEARCH("rn""&gt;Bosnia and Herzegovina",S2938)),"Bosnia and Herzegovina",
ISNUMBER(SEARCH("rn""&gt;Trinidad and Tobago",S2938)),"Trinidad and Tobago",
ISNUMBER(SEARCH("rn""&gt;Serbia and Montenegro",S2938)),"Serbia and Montenegro",
ISNUMBER(SEARCH(_xlfn.UNICHAR(65533),S2938)),"Côte d'Ivoire",
TRUE,""
)</f>
        <v/>
      </c>
      <c r="W2938" s="40" t="str">
        <f t="shared" si="210"/>
        <v>Nigeria</v>
      </c>
    </row>
    <row r="2939" spans="19:23">
      <c r="S2939" s="40" t="str">
        <v>Germany</v>
      </c>
      <c r="T2939" s="40" t="str">
        <f t="shared" si="208"/>
        <v>OK</v>
      </c>
      <c r="U2939" s="40" t="str">
        <f t="shared" si="209"/>
        <v>-</v>
      </c>
      <c r="V2939" s="40" t="str" cm="1">
        <f t="array" ref="V2939">_xlfn.IFS(
ISNUMBER(SEARCH("USA",S2939)),"United States",
ISNUMBER(SEARCH("Republic of Ireland",S2939)),"Ireland",
ISNUMBER(SEARCH("Republic of Korea",S2939)),"South Korea",
ISNUMBER(SEARCH("Cape Verde",S2939)),"Cabo Verde",
ISNUMBER(SEARCH("Czechia",S2939)),"Czech Republic",
ISNUMBER(SEARCH("Türkiye",S2939)),"Turkey",
ISNUMBER(SEARCH("Ivory Coast",S2939)),"Côte d'Ivoire",
ISNUMBER(SEARCH("Korea Republic",S2939)),"South Korea",
ISNUMBER(SEARCH("Germany FR",S2939)),"FR Germany",
ISNUMBER(SEARCH("West Germany",S2939)),"FR Germany",
ISNUMBER(SEARCH("Germany DR",S2939)),"DR Germany",
ISNUMBER(SEARCH("Korea DPR",S2939)),"North Korea",
ISNUMBER(SEARCH("China PR",S2939)),"China",
ISNUMBER(SEARCH("IR Iran",S2939)),"Iran",
ISNUMBER(SEARCH("Congo DR",S2939)),"Democratic Republic of the Congo",
ISNUMBER(SEARCH("DR Congo",S2939)),"Democratic Republic of the Congo",
ISNUMBER(SEARCH("German DR",S2939)),"DR Germany",
ISNUMBER(SEARCH("rn""&gt;United Arab Emirates",S2939)),"United Arab Emirates",
ISNUMBER(SEARCH("rn""&gt;Republic of Ireland",S2939)),"Ireland",
ISNUMBER(SEARCH("rn""&gt;Bosnia and Herzegovina",S2939)),"Bosnia and Herzegovina",
ISNUMBER(SEARCH("rn""&gt;Trinidad and Tobago",S2939)),"Trinidad and Tobago",
ISNUMBER(SEARCH("rn""&gt;Serbia and Montenegro",S2939)),"Serbia and Montenegro",
ISNUMBER(SEARCH(_xlfn.UNICHAR(65533),S2939)),"Côte d'Ivoire",
TRUE,""
)</f>
        <v/>
      </c>
      <c r="W2939" s="40" t="str">
        <f t="shared" si="210"/>
        <v>Germany</v>
      </c>
    </row>
    <row r="2940" spans="19:23">
      <c r="S2940" s="40" t="str">
        <v>Netherlands</v>
      </c>
      <c r="T2940" s="40" t="str">
        <f t="shared" si="208"/>
        <v>OK</v>
      </c>
      <c r="U2940" s="40" t="str">
        <f t="shared" si="209"/>
        <v>-</v>
      </c>
      <c r="V2940" s="40" t="str" cm="1">
        <f t="array" ref="V2940">_xlfn.IFS(
ISNUMBER(SEARCH("USA",S2940)),"United States",
ISNUMBER(SEARCH("Republic of Ireland",S2940)),"Ireland",
ISNUMBER(SEARCH("Republic of Korea",S2940)),"South Korea",
ISNUMBER(SEARCH("Cape Verde",S2940)),"Cabo Verde",
ISNUMBER(SEARCH("Czechia",S2940)),"Czech Republic",
ISNUMBER(SEARCH("Türkiye",S2940)),"Turkey",
ISNUMBER(SEARCH("Ivory Coast",S2940)),"Côte d'Ivoire",
ISNUMBER(SEARCH("Korea Republic",S2940)),"South Korea",
ISNUMBER(SEARCH("Germany FR",S2940)),"FR Germany",
ISNUMBER(SEARCH("West Germany",S2940)),"FR Germany",
ISNUMBER(SEARCH("Germany DR",S2940)),"DR Germany",
ISNUMBER(SEARCH("Korea DPR",S2940)),"North Korea",
ISNUMBER(SEARCH("China PR",S2940)),"China",
ISNUMBER(SEARCH("IR Iran",S2940)),"Iran",
ISNUMBER(SEARCH("Congo DR",S2940)),"Democratic Republic of the Congo",
ISNUMBER(SEARCH("DR Congo",S2940)),"Democratic Republic of the Congo",
ISNUMBER(SEARCH("German DR",S2940)),"DR Germany",
ISNUMBER(SEARCH("rn""&gt;United Arab Emirates",S2940)),"United Arab Emirates",
ISNUMBER(SEARCH("rn""&gt;Republic of Ireland",S2940)),"Ireland",
ISNUMBER(SEARCH("rn""&gt;Bosnia and Herzegovina",S2940)),"Bosnia and Herzegovina",
ISNUMBER(SEARCH("rn""&gt;Trinidad and Tobago",S2940)),"Trinidad and Tobago",
ISNUMBER(SEARCH("rn""&gt;Serbia and Montenegro",S2940)),"Serbia and Montenegro",
ISNUMBER(SEARCH(_xlfn.UNICHAR(65533),S2940)),"Côte d'Ivoire",
TRUE,""
)</f>
        <v/>
      </c>
      <c r="W2940" s="40" t="str">
        <f t="shared" si="210"/>
        <v>Netherlands</v>
      </c>
    </row>
    <row r="2941" spans="19:23">
      <c r="S2941" s="40" t="str">
        <v>Romania</v>
      </c>
      <c r="T2941" s="40" t="str">
        <f t="shared" si="208"/>
        <v>OK</v>
      </c>
      <c r="U2941" s="40" t="str">
        <f t="shared" si="209"/>
        <v>-</v>
      </c>
      <c r="V2941" s="40" t="str" cm="1">
        <f t="array" ref="V2941">_xlfn.IFS(
ISNUMBER(SEARCH("USA",S2941)),"United States",
ISNUMBER(SEARCH("Republic of Ireland",S2941)),"Ireland",
ISNUMBER(SEARCH("Republic of Korea",S2941)),"South Korea",
ISNUMBER(SEARCH("Cape Verde",S2941)),"Cabo Verde",
ISNUMBER(SEARCH("Czechia",S2941)),"Czech Republic",
ISNUMBER(SEARCH("Türkiye",S2941)),"Turkey",
ISNUMBER(SEARCH("Ivory Coast",S2941)),"Côte d'Ivoire",
ISNUMBER(SEARCH("Korea Republic",S2941)),"South Korea",
ISNUMBER(SEARCH("Germany FR",S2941)),"FR Germany",
ISNUMBER(SEARCH("West Germany",S2941)),"FR Germany",
ISNUMBER(SEARCH("Germany DR",S2941)),"DR Germany",
ISNUMBER(SEARCH("Korea DPR",S2941)),"North Korea",
ISNUMBER(SEARCH("China PR",S2941)),"China",
ISNUMBER(SEARCH("IR Iran",S2941)),"Iran",
ISNUMBER(SEARCH("Congo DR",S2941)),"Democratic Republic of the Congo",
ISNUMBER(SEARCH("DR Congo",S2941)),"Democratic Republic of the Congo",
ISNUMBER(SEARCH("German DR",S2941)),"DR Germany",
ISNUMBER(SEARCH("rn""&gt;United Arab Emirates",S2941)),"United Arab Emirates",
ISNUMBER(SEARCH("rn""&gt;Republic of Ireland",S2941)),"Ireland",
ISNUMBER(SEARCH("rn""&gt;Bosnia and Herzegovina",S2941)),"Bosnia and Herzegovina",
ISNUMBER(SEARCH("rn""&gt;Trinidad and Tobago",S2941)),"Trinidad and Tobago",
ISNUMBER(SEARCH("rn""&gt;Serbia and Montenegro",S2941)),"Serbia and Montenegro",
ISNUMBER(SEARCH(_xlfn.UNICHAR(65533),S2941)),"Côte d'Ivoire",
TRUE,""
)</f>
        <v/>
      </c>
      <c r="W2941" s="40" t="str">
        <f t="shared" si="210"/>
        <v>Romania</v>
      </c>
    </row>
    <row r="2942" spans="19:23">
      <c r="S2942" s="40" t="str">
        <v>Argentina</v>
      </c>
      <c r="T2942" s="40" t="str">
        <f t="shared" si="208"/>
        <v>OK</v>
      </c>
      <c r="U2942" s="40" t="str">
        <f t="shared" si="209"/>
        <v>-</v>
      </c>
      <c r="V2942" s="40" t="str" cm="1">
        <f t="array" ref="V2942">_xlfn.IFS(
ISNUMBER(SEARCH("USA",S2942)),"United States",
ISNUMBER(SEARCH("Republic of Ireland",S2942)),"Ireland",
ISNUMBER(SEARCH("Republic of Korea",S2942)),"South Korea",
ISNUMBER(SEARCH("Cape Verde",S2942)),"Cabo Verde",
ISNUMBER(SEARCH("Czechia",S2942)),"Czech Republic",
ISNUMBER(SEARCH("Türkiye",S2942)),"Turkey",
ISNUMBER(SEARCH("Ivory Coast",S2942)),"Côte d'Ivoire",
ISNUMBER(SEARCH("Korea Republic",S2942)),"South Korea",
ISNUMBER(SEARCH("Germany FR",S2942)),"FR Germany",
ISNUMBER(SEARCH("West Germany",S2942)),"FR Germany",
ISNUMBER(SEARCH("Germany DR",S2942)),"DR Germany",
ISNUMBER(SEARCH("Korea DPR",S2942)),"North Korea",
ISNUMBER(SEARCH("China PR",S2942)),"China",
ISNUMBER(SEARCH("IR Iran",S2942)),"Iran",
ISNUMBER(SEARCH("Congo DR",S2942)),"Democratic Republic of the Congo",
ISNUMBER(SEARCH("DR Congo",S2942)),"Democratic Republic of the Congo",
ISNUMBER(SEARCH("German DR",S2942)),"DR Germany",
ISNUMBER(SEARCH("rn""&gt;United Arab Emirates",S2942)),"United Arab Emirates",
ISNUMBER(SEARCH("rn""&gt;Republic of Ireland",S2942)),"Ireland",
ISNUMBER(SEARCH("rn""&gt;Bosnia and Herzegovina",S2942)),"Bosnia and Herzegovina",
ISNUMBER(SEARCH("rn""&gt;Trinidad and Tobago",S2942)),"Trinidad and Tobago",
ISNUMBER(SEARCH("rn""&gt;Serbia and Montenegro",S2942)),"Serbia and Montenegro",
ISNUMBER(SEARCH(_xlfn.UNICHAR(65533),S2942)),"Côte d'Ivoire",
TRUE,""
)</f>
        <v/>
      </c>
      <c r="W2942" s="40" t="str">
        <f t="shared" si="210"/>
        <v>Argentina</v>
      </c>
    </row>
    <row r="2943" spans="19:23">
      <c r="S2943" s="40" t="str">
        <v>Italy</v>
      </c>
      <c r="T2943" s="40" t="str">
        <f t="shared" si="208"/>
        <v>OK</v>
      </c>
      <c r="U2943" s="40" t="str">
        <f t="shared" si="209"/>
        <v>-</v>
      </c>
      <c r="V2943" s="40" t="str" cm="1">
        <f t="array" ref="V2943">_xlfn.IFS(
ISNUMBER(SEARCH("USA",S2943)),"United States",
ISNUMBER(SEARCH("Republic of Ireland",S2943)),"Ireland",
ISNUMBER(SEARCH("Republic of Korea",S2943)),"South Korea",
ISNUMBER(SEARCH("Cape Verde",S2943)),"Cabo Verde",
ISNUMBER(SEARCH("Czechia",S2943)),"Czech Republic",
ISNUMBER(SEARCH("Türkiye",S2943)),"Turkey",
ISNUMBER(SEARCH("Ivory Coast",S2943)),"Côte d'Ivoire",
ISNUMBER(SEARCH("Korea Republic",S2943)),"South Korea",
ISNUMBER(SEARCH("Germany FR",S2943)),"FR Germany",
ISNUMBER(SEARCH("West Germany",S2943)),"FR Germany",
ISNUMBER(SEARCH("Germany DR",S2943)),"DR Germany",
ISNUMBER(SEARCH("Korea DPR",S2943)),"North Korea",
ISNUMBER(SEARCH("China PR",S2943)),"China",
ISNUMBER(SEARCH("IR Iran",S2943)),"Iran",
ISNUMBER(SEARCH("Congo DR",S2943)),"Democratic Republic of the Congo",
ISNUMBER(SEARCH("DR Congo",S2943)),"Democratic Republic of the Congo",
ISNUMBER(SEARCH("German DR",S2943)),"DR Germany",
ISNUMBER(SEARCH("rn""&gt;United Arab Emirates",S2943)),"United Arab Emirates",
ISNUMBER(SEARCH("rn""&gt;Republic of Ireland",S2943)),"Ireland",
ISNUMBER(SEARCH("rn""&gt;Bosnia and Herzegovina",S2943)),"Bosnia and Herzegovina",
ISNUMBER(SEARCH("rn""&gt;Trinidad and Tobago",S2943)),"Trinidad and Tobago",
ISNUMBER(SEARCH("rn""&gt;Serbia and Montenegro",S2943)),"Serbia and Montenegro",
ISNUMBER(SEARCH(_xlfn.UNICHAR(65533),S2943)),"Côte d'Ivoire",
TRUE,""
)</f>
        <v/>
      </c>
      <c r="W2943" s="40" t="str">
        <f t="shared" si="210"/>
        <v>Italy</v>
      </c>
    </row>
    <row r="2944" spans="19:23">
      <c r="S2944" s="40" t="str">
        <v>Brazil</v>
      </c>
      <c r="T2944" s="40" t="str">
        <f t="shared" si="208"/>
        <v>OK</v>
      </c>
      <c r="U2944" s="40" t="str">
        <f t="shared" si="209"/>
        <v>-</v>
      </c>
      <c r="V2944" s="40" t="str" cm="1">
        <f t="array" ref="V2944">_xlfn.IFS(
ISNUMBER(SEARCH("USA",S2944)),"United States",
ISNUMBER(SEARCH("Republic of Ireland",S2944)),"Ireland",
ISNUMBER(SEARCH("Republic of Korea",S2944)),"South Korea",
ISNUMBER(SEARCH("Cape Verde",S2944)),"Cabo Verde",
ISNUMBER(SEARCH("Czechia",S2944)),"Czech Republic",
ISNUMBER(SEARCH("Türkiye",S2944)),"Turkey",
ISNUMBER(SEARCH("Ivory Coast",S2944)),"Côte d'Ivoire",
ISNUMBER(SEARCH("Korea Republic",S2944)),"South Korea",
ISNUMBER(SEARCH("Germany FR",S2944)),"FR Germany",
ISNUMBER(SEARCH("West Germany",S2944)),"FR Germany",
ISNUMBER(SEARCH("Germany DR",S2944)),"DR Germany",
ISNUMBER(SEARCH("Korea DPR",S2944)),"North Korea",
ISNUMBER(SEARCH("China PR",S2944)),"China",
ISNUMBER(SEARCH("IR Iran",S2944)),"Iran",
ISNUMBER(SEARCH("Congo DR",S2944)),"Democratic Republic of the Congo",
ISNUMBER(SEARCH("DR Congo",S2944)),"Democratic Republic of the Congo",
ISNUMBER(SEARCH("German DR",S2944)),"DR Germany",
ISNUMBER(SEARCH("rn""&gt;United Arab Emirates",S2944)),"United Arab Emirates",
ISNUMBER(SEARCH("rn""&gt;Republic of Ireland",S2944)),"Ireland",
ISNUMBER(SEARCH("rn""&gt;Bosnia and Herzegovina",S2944)),"Bosnia and Herzegovina",
ISNUMBER(SEARCH("rn""&gt;Trinidad and Tobago",S2944)),"Trinidad and Tobago",
ISNUMBER(SEARCH("rn""&gt;Serbia and Montenegro",S2944)),"Serbia and Montenegro",
ISNUMBER(SEARCH(_xlfn.UNICHAR(65533),S2944)),"Côte d'Ivoire",
TRUE,""
)</f>
        <v/>
      </c>
      <c r="W2944" s="40" t="str">
        <f t="shared" si="210"/>
        <v>Brazil</v>
      </c>
    </row>
    <row r="2945" spans="19:23">
      <c r="S2945" s="40" t="str">
        <v>Netherlands</v>
      </c>
      <c r="T2945" s="40" t="str">
        <f t="shared" si="208"/>
        <v>OK</v>
      </c>
      <c r="U2945" s="40" t="str">
        <f t="shared" si="209"/>
        <v>-</v>
      </c>
      <c r="V2945" s="40" t="str" cm="1">
        <f t="array" ref="V2945">_xlfn.IFS(
ISNUMBER(SEARCH("USA",S2945)),"United States",
ISNUMBER(SEARCH("Republic of Ireland",S2945)),"Ireland",
ISNUMBER(SEARCH("Republic of Korea",S2945)),"South Korea",
ISNUMBER(SEARCH("Cape Verde",S2945)),"Cabo Verde",
ISNUMBER(SEARCH("Czechia",S2945)),"Czech Republic",
ISNUMBER(SEARCH("Türkiye",S2945)),"Turkey",
ISNUMBER(SEARCH("Ivory Coast",S2945)),"Côte d'Ivoire",
ISNUMBER(SEARCH("Korea Republic",S2945)),"South Korea",
ISNUMBER(SEARCH("Germany FR",S2945)),"FR Germany",
ISNUMBER(SEARCH("West Germany",S2945)),"FR Germany",
ISNUMBER(SEARCH("Germany DR",S2945)),"DR Germany",
ISNUMBER(SEARCH("Korea DPR",S2945)),"North Korea",
ISNUMBER(SEARCH("China PR",S2945)),"China",
ISNUMBER(SEARCH("IR Iran",S2945)),"Iran",
ISNUMBER(SEARCH("Congo DR",S2945)),"Democratic Republic of the Congo",
ISNUMBER(SEARCH("DR Congo",S2945)),"Democratic Republic of the Congo",
ISNUMBER(SEARCH("German DR",S2945)),"DR Germany",
ISNUMBER(SEARCH("rn""&gt;United Arab Emirates",S2945)),"United Arab Emirates",
ISNUMBER(SEARCH("rn""&gt;Republic of Ireland",S2945)),"Ireland",
ISNUMBER(SEARCH("rn""&gt;Bosnia and Herzegovina",S2945)),"Bosnia and Herzegovina",
ISNUMBER(SEARCH("rn""&gt;Trinidad and Tobago",S2945)),"Trinidad and Tobago",
ISNUMBER(SEARCH("rn""&gt;Serbia and Montenegro",S2945)),"Serbia and Montenegro",
ISNUMBER(SEARCH(_xlfn.UNICHAR(65533),S2945)),"Côte d'Ivoire",
TRUE,""
)</f>
        <v/>
      </c>
      <c r="W2945" s="40" t="str">
        <f t="shared" si="210"/>
        <v>Netherlands</v>
      </c>
    </row>
    <row r="2946" spans="19:23">
      <c r="S2946" s="40" t="str">
        <v>Germany</v>
      </c>
      <c r="T2946" s="40" t="str">
        <f t="shared" si="208"/>
        <v>OK</v>
      </c>
      <c r="U2946" s="40" t="str">
        <f t="shared" si="209"/>
        <v>-</v>
      </c>
      <c r="V2946" s="40" t="str" cm="1">
        <f t="array" ref="V2946">_xlfn.IFS(
ISNUMBER(SEARCH("USA",S2946)),"United States",
ISNUMBER(SEARCH("Republic of Ireland",S2946)),"Ireland",
ISNUMBER(SEARCH("Republic of Korea",S2946)),"South Korea",
ISNUMBER(SEARCH("Cape Verde",S2946)),"Cabo Verde",
ISNUMBER(SEARCH("Czechia",S2946)),"Czech Republic",
ISNUMBER(SEARCH("Türkiye",S2946)),"Turkey",
ISNUMBER(SEARCH("Ivory Coast",S2946)),"Côte d'Ivoire",
ISNUMBER(SEARCH("Korea Republic",S2946)),"South Korea",
ISNUMBER(SEARCH("Germany FR",S2946)),"FR Germany",
ISNUMBER(SEARCH("West Germany",S2946)),"FR Germany",
ISNUMBER(SEARCH("Germany DR",S2946)),"DR Germany",
ISNUMBER(SEARCH("Korea DPR",S2946)),"North Korea",
ISNUMBER(SEARCH("China PR",S2946)),"China",
ISNUMBER(SEARCH("IR Iran",S2946)),"Iran",
ISNUMBER(SEARCH("Congo DR",S2946)),"Democratic Republic of the Congo",
ISNUMBER(SEARCH("DR Congo",S2946)),"Democratic Republic of the Congo",
ISNUMBER(SEARCH("German DR",S2946)),"DR Germany",
ISNUMBER(SEARCH("rn""&gt;United Arab Emirates",S2946)),"United Arab Emirates",
ISNUMBER(SEARCH("rn""&gt;Republic of Ireland",S2946)),"Ireland",
ISNUMBER(SEARCH("rn""&gt;Bosnia and Herzegovina",S2946)),"Bosnia and Herzegovina",
ISNUMBER(SEARCH("rn""&gt;Trinidad and Tobago",S2946)),"Trinidad and Tobago",
ISNUMBER(SEARCH("rn""&gt;Serbia and Montenegro",S2946)),"Serbia and Montenegro",
ISNUMBER(SEARCH(_xlfn.UNICHAR(65533),S2946)),"Côte d'Ivoire",
TRUE,""
)</f>
        <v/>
      </c>
      <c r="W2946" s="40" t="str">
        <f t="shared" si="210"/>
        <v>Germany</v>
      </c>
    </row>
    <row r="2947" spans="19:23">
      <c r="S2947" s="40" t="str">
        <v>Brazil</v>
      </c>
      <c r="T2947" s="40" t="str">
        <f t="shared" ref="T2947:T3010" si="211">IF(COUNTIF(R$13:R$250,S2947)=1,"OK","ERREUR")</f>
        <v>OK</v>
      </c>
      <c r="U2947" s="40" t="str">
        <f t="shared" si="209"/>
        <v>-</v>
      </c>
      <c r="V2947" s="40" t="str" cm="1">
        <f t="array" ref="V2947">_xlfn.IFS(
ISNUMBER(SEARCH("USA",S2947)),"United States",
ISNUMBER(SEARCH("Republic of Ireland",S2947)),"Ireland",
ISNUMBER(SEARCH("Republic of Korea",S2947)),"South Korea",
ISNUMBER(SEARCH("Cape Verde",S2947)),"Cabo Verde",
ISNUMBER(SEARCH("Czechia",S2947)),"Czech Republic",
ISNUMBER(SEARCH("Türkiye",S2947)),"Turkey",
ISNUMBER(SEARCH("Ivory Coast",S2947)),"Côte d'Ivoire",
ISNUMBER(SEARCH("Korea Republic",S2947)),"South Korea",
ISNUMBER(SEARCH("Germany FR",S2947)),"FR Germany",
ISNUMBER(SEARCH("West Germany",S2947)),"FR Germany",
ISNUMBER(SEARCH("Germany DR",S2947)),"DR Germany",
ISNUMBER(SEARCH("Korea DPR",S2947)),"North Korea",
ISNUMBER(SEARCH("China PR",S2947)),"China",
ISNUMBER(SEARCH("IR Iran",S2947)),"Iran",
ISNUMBER(SEARCH("Congo DR",S2947)),"Democratic Republic of the Congo",
ISNUMBER(SEARCH("DR Congo",S2947)),"Democratic Republic of the Congo",
ISNUMBER(SEARCH("German DR",S2947)),"DR Germany",
ISNUMBER(SEARCH("rn""&gt;United Arab Emirates",S2947)),"United Arab Emirates",
ISNUMBER(SEARCH("rn""&gt;Republic of Ireland",S2947)),"Ireland",
ISNUMBER(SEARCH("rn""&gt;Bosnia and Herzegovina",S2947)),"Bosnia and Herzegovina",
ISNUMBER(SEARCH("rn""&gt;Trinidad and Tobago",S2947)),"Trinidad and Tobago",
ISNUMBER(SEARCH("rn""&gt;Serbia and Montenegro",S2947)),"Serbia and Montenegro",
ISNUMBER(SEARCH(_xlfn.UNICHAR(65533),S2947)),"Côte d'Ivoire",
TRUE,""
)</f>
        <v/>
      </c>
      <c r="W2947" s="40" t="str">
        <f t="shared" si="210"/>
        <v>Brazil</v>
      </c>
    </row>
    <row r="2948" spans="19:23">
      <c r="S2948" s="40" t="str">
        <v>France</v>
      </c>
      <c r="T2948" s="40" t="str">
        <f t="shared" si="211"/>
        <v>OK</v>
      </c>
      <c r="U2948" s="40" t="str">
        <f t="shared" ref="U2948:U3011" si="212">IF(OR(S2948="Scotland",S2948="England",S2948="Wales",S2948="Yugoslavia",S2948="Czechoslovakia",S2948="Northern Ireland",S2948="Soviet Union",S2948="Zaire",S2948="Dutch East Indies"),"AUCUNE",IF(OR(S2948="Cape Verde",S2948="USA",S2948="DR Congo",S2948="Republic of Korea",S2948="Germany FR",S2948="Germany DR",S2948="Czechia",S2948="Ivory Coast",S2948="Korea DPR",S2948="China PR",S2948="IR Iran",S2948="Türkiye",S2948="Congo DR",S2948="German DR",S2948="West Germany",S2948="Republic of Ireland",ISNUMBER(SEARCH(_xlfn.UNICHAR(65533),S2948)),S2948="Korea Republic",ISNUMBER(SEARCH("rn""&gt;United Arab Emirates",S2948)),ISNUMBER(SEARCH("rn""&gt;Republic of Ireland",S2948)),ISNUMBER(SEARCH("rn""&gt;Bosnia and Herzegovina",S2948)),ISNUMBER(SEARCH("rn""&gt;Trinidad and Tobago",S2948)),ISNUMBER(SEARCH("rn""&gt;Serbia and Montenegro",S2948)),ISNUMBER(SEARCH(_xlfn.UNICHAR(65533),S2948))),"RENOMMER","-"))</f>
        <v>-</v>
      </c>
      <c r="V2948" s="40" t="str" cm="1">
        <f t="array" ref="V2948">_xlfn.IFS(
ISNUMBER(SEARCH("USA",S2948)),"United States",
ISNUMBER(SEARCH("Republic of Ireland",S2948)),"Ireland",
ISNUMBER(SEARCH("Republic of Korea",S2948)),"South Korea",
ISNUMBER(SEARCH("Cape Verde",S2948)),"Cabo Verde",
ISNUMBER(SEARCH("Czechia",S2948)),"Czech Republic",
ISNUMBER(SEARCH("Türkiye",S2948)),"Turkey",
ISNUMBER(SEARCH("Ivory Coast",S2948)),"Côte d'Ivoire",
ISNUMBER(SEARCH("Korea Republic",S2948)),"South Korea",
ISNUMBER(SEARCH("Germany FR",S2948)),"FR Germany",
ISNUMBER(SEARCH("West Germany",S2948)),"FR Germany",
ISNUMBER(SEARCH("Germany DR",S2948)),"DR Germany",
ISNUMBER(SEARCH("Korea DPR",S2948)),"North Korea",
ISNUMBER(SEARCH("China PR",S2948)),"China",
ISNUMBER(SEARCH("IR Iran",S2948)),"Iran",
ISNUMBER(SEARCH("Congo DR",S2948)),"Democratic Republic of the Congo",
ISNUMBER(SEARCH("DR Congo",S2948)),"Democratic Republic of the Congo",
ISNUMBER(SEARCH("German DR",S2948)),"DR Germany",
ISNUMBER(SEARCH("rn""&gt;United Arab Emirates",S2948)),"United Arab Emirates",
ISNUMBER(SEARCH("rn""&gt;Republic of Ireland",S2948)),"Ireland",
ISNUMBER(SEARCH("rn""&gt;Bosnia and Herzegovina",S2948)),"Bosnia and Herzegovina",
ISNUMBER(SEARCH("rn""&gt;Trinidad and Tobago",S2948)),"Trinidad and Tobago",
ISNUMBER(SEARCH("rn""&gt;Serbia and Montenegro",S2948)),"Serbia and Montenegro",
ISNUMBER(SEARCH(_xlfn.UNICHAR(65533),S2948)),"Côte d'Ivoire",
TRUE,""
)</f>
        <v/>
      </c>
      <c r="W2948" s="40" t="str">
        <f t="shared" ref="W2948:W3011" si="213">IF(V2948="",S2948,V2948)</f>
        <v>France</v>
      </c>
    </row>
    <row r="2949" spans="19:23">
      <c r="S2949" s="40" t="str">
        <v>Netherlands</v>
      </c>
      <c r="T2949" s="40" t="str">
        <f t="shared" si="211"/>
        <v>OK</v>
      </c>
      <c r="U2949" s="40" t="str">
        <f t="shared" si="212"/>
        <v>-</v>
      </c>
      <c r="V2949" s="40" t="str" cm="1">
        <f t="array" ref="V2949">_xlfn.IFS(
ISNUMBER(SEARCH("USA",S2949)),"United States",
ISNUMBER(SEARCH("Republic of Ireland",S2949)),"Ireland",
ISNUMBER(SEARCH("Republic of Korea",S2949)),"South Korea",
ISNUMBER(SEARCH("Cape Verde",S2949)),"Cabo Verde",
ISNUMBER(SEARCH("Czechia",S2949)),"Czech Republic",
ISNUMBER(SEARCH("Türkiye",S2949)),"Turkey",
ISNUMBER(SEARCH("Ivory Coast",S2949)),"Côte d'Ivoire",
ISNUMBER(SEARCH("Korea Republic",S2949)),"South Korea",
ISNUMBER(SEARCH("Germany FR",S2949)),"FR Germany",
ISNUMBER(SEARCH("West Germany",S2949)),"FR Germany",
ISNUMBER(SEARCH("Germany DR",S2949)),"DR Germany",
ISNUMBER(SEARCH("Korea DPR",S2949)),"North Korea",
ISNUMBER(SEARCH("China PR",S2949)),"China",
ISNUMBER(SEARCH("IR Iran",S2949)),"Iran",
ISNUMBER(SEARCH("Congo DR",S2949)),"Democratic Republic of the Congo",
ISNUMBER(SEARCH("DR Congo",S2949)),"Democratic Republic of the Congo",
ISNUMBER(SEARCH("German DR",S2949)),"DR Germany",
ISNUMBER(SEARCH("rn""&gt;United Arab Emirates",S2949)),"United Arab Emirates",
ISNUMBER(SEARCH("rn""&gt;Republic of Ireland",S2949)),"Ireland",
ISNUMBER(SEARCH("rn""&gt;Bosnia and Herzegovina",S2949)),"Bosnia and Herzegovina",
ISNUMBER(SEARCH("rn""&gt;Trinidad and Tobago",S2949)),"Trinidad and Tobago",
ISNUMBER(SEARCH("rn""&gt;Serbia and Montenegro",S2949)),"Serbia and Montenegro",
ISNUMBER(SEARCH(_xlfn.UNICHAR(65533),S2949)),"Côte d'Ivoire",
TRUE,""
)</f>
        <v/>
      </c>
      <c r="W2949" s="40" t="str">
        <f t="shared" si="213"/>
        <v>Netherlands</v>
      </c>
    </row>
    <row r="2950" spans="19:23">
      <c r="S2950" s="40" t="str">
        <v>Brazil</v>
      </c>
      <c r="T2950" s="40" t="str">
        <f t="shared" si="211"/>
        <v>OK</v>
      </c>
      <c r="U2950" s="40" t="str">
        <f t="shared" si="212"/>
        <v>-</v>
      </c>
      <c r="V2950" s="40" t="str" cm="1">
        <f t="array" ref="V2950">_xlfn.IFS(
ISNUMBER(SEARCH("USA",S2950)),"United States",
ISNUMBER(SEARCH("Republic of Ireland",S2950)),"Ireland",
ISNUMBER(SEARCH("Republic of Korea",S2950)),"South Korea",
ISNUMBER(SEARCH("Cape Verde",S2950)),"Cabo Verde",
ISNUMBER(SEARCH("Czechia",S2950)),"Czech Republic",
ISNUMBER(SEARCH("Türkiye",S2950)),"Turkey",
ISNUMBER(SEARCH("Ivory Coast",S2950)),"Côte d'Ivoire",
ISNUMBER(SEARCH("Korea Republic",S2950)),"South Korea",
ISNUMBER(SEARCH("Germany FR",S2950)),"FR Germany",
ISNUMBER(SEARCH("West Germany",S2950)),"FR Germany",
ISNUMBER(SEARCH("Germany DR",S2950)),"DR Germany",
ISNUMBER(SEARCH("Korea DPR",S2950)),"North Korea",
ISNUMBER(SEARCH("China PR",S2950)),"China",
ISNUMBER(SEARCH("IR Iran",S2950)),"Iran",
ISNUMBER(SEARCH("Congo DR",S2950)),"Democratic Republic of the Congo",
ISNUMBER(SEARCH("DR Congo",S2950)),"Democratic Republic of the Congo",
ISNUMBER(SEARCH("German DR",S2950)),"DR Germany",
ISNUMBER(SEARCH("rn""&gt;United Arab Emirates",S2950)),"United Arab Emirates",
ISNUMBER(SEARCH("rn""&gt;Republic of Ireland",S2950)),"Ireland",
ISNUMBER(SEARCH("rn""&gt;Bosnia and Herzegovina",S2950)),"Bosnia and Herzegovina",
ISNUMBER(SEARCH("rn""&gt;Trinidad and Tobago",S2950)),"Trinidad and Tobago",
ISNUMBER(SEARCH("rn""&gt;Serbia and Montenegro",S2950)),"Serbia and Montenegro",
ISNUMBER(SEARCH(_xlfn.UNICHAR(65533),S2950)),"Côte d'Ivoire",
TRUE,""
)</f>
        <v/>
      </c>
      <c r="W2950" s="40" t="str">
        <f t="shared" si="213"/>
        <v>Brazil</v>
      </c>
    </row>
    <row r="2951" spans="19:23">
      <c r="S2951" s="40" t="str">
        <v>France</v>
      </c>
      <c r="T2951" s="40" t="str">
        <f t="shared" si="211"/>
        <v>OK</v>
      </c>
      <c r="U2951" s="40" t="str">
        <f t="shared" si="212"/>
        <v>-</v>
      </c>
      <c r="V2951" s="40" t="str" cm="1">
        <f t="array" ref="V2951">_xlfn.IFS(
ISNUMBER(SEARCH("USA",S2951)),"United States",
ISNUMBER(SEARCH("Republic of Ireland",S2951)),"Ireland",
ISNUMBER(SEARCH("Republic of Korea",S2951)),"South Korea",
ISNUMBER(SEARCH("Cape Verde",S2951)),"Cabo Verde",
ISNUMBER(SEARCH("Czechia",S2951)),"Czech Republic",
ISNUMBER(SEARCH("Türkiye",S2951)),"Turkey",
ISNUMBER(SEARCH("Ivory Coast",S2951)),"Côte d'Ivoire",
ISNUMBER(SEARCH("Korea Republic",S2951)),"South Korea",
ISNUMBER(SEARCH("Germany FR",S2951)),"FR Germany",
ISNUMBER(SEARCH("West Germany",S2951)),"FR Germany",
ISNUMBER(SEARCH("Germany DR",S2951)),"DR Germany",
ISNUMBER(SEARCH("Korea DPR",S2951)),"North Korea",
ISNUMBER(SEARCH("China PR",S2951)),"China",
ISNUMBER(SEARCH("IR Iran",S2951)),"Iran",
ISNUMBER(SEARCH("Congo DR",S2951)),"Democratic Republic of the Congo",
ISNUMBER(SEARCH("DR Congo",S2951)),"Democratic Republic of the Congo",
ISNUMBER(SEARCH("German DR",S2951)),"DR Germany",
ISNUMBER(SEARCH("rn""&gt;United Arab Emirates",S2951)),"United Arab Emirates",
ISNUMBER(SEARCH("rn""&gt;Republic of Ireland",S2951)),"Ireland",
ISNUMBER(SEARCH("rn""&gt;Bosnia and Herzegovina",S2951)),"Bosnia and Herzegovina",
ISNUMBER(SEARCH("rn""&gt;Trinidad and Tobago",S2951)),"Trinidad and Tobago",
ISNUMBER(SEARCH("rn""&gt;Serbia and Montenegro",S2951)),"Serbia and Montenegro",
ISNUMBER(SEARCH(_xlfn.UNICHAR(65533),S2951)),"Côte d'Ivoire",
TRUE,""
)</f>
        <v/>
      </c>
      <c r="W2951" s="40" t="str">
        <f t="shared" si="213"/>
        <v>France</v>
      </c>
    </row>
    <row r="2952" spans="19:23">
      <c r="S2952" s="40" t="str">
        <v>Uruguay</v>
      </c>
      <c r="T2952" s="40" t="str">
        <f t="shared" si="211"/>
        <v>OK</v>
      </c>
      <c r="U2952" s="40" t="str">
        <f t="shared" si="212"/>
        <v>-</v>
      </c>
      <c r="V2952" s="40" t="str" cm="1">
        <f t="array" ref="V2952">_xlfn.IFS(
ISNUMBER(SEARCH("USA",S2952)),"United States",
ISNUMBER(SEARCH("Republic of Ireland",S2952)),"Ireland",
ISNUMBER(SEARCH("Republic of Korea",S2952)),"South Korea",
ISNUMBER(SEARCH("Cape Verde",S2952)),"Cabo Verde",
ISNUMBER(SEARCH("Czechia",S2952)),"Czech Republic",
ISNUMBER(SEARCH("Türkiye",S2952)),"Turkey",
ISNUMBER(SEARCH("Ivory Coast",S2952)),"Côte d'Ivoire",
ISNUMBER(SEARCH("Korea Republic",S2952)),"South Korea",
ISNUMBER(SEARCH("Germany FR",S2952)),"FR Germany",
ISNUMBER(SEARCH("West Germany",S2952)),"FR Germany",
ISNUMBER(SEARCH("Germany DR",S2952)),"DR Germany",
ISNUMBER(SEARCH("Korea DPR",S2952)),"North Korea",
ISNUMBER(SEARCH("China PR",S2952)),"China",
ISNUMBER(SEARCH("IR Iran",S2952)),"Iran",
ISNUMBER(SEARCH("Congo DR",S2952)),"Democratic Republic of the Congo",
ISNUMBER(SEARCH("DR Congo",S2952)),"Democratic Republic of the Congo",
ISNUMBER(SEARCH("German DR",S2952)),"DR Germany",
ISNUMBER(SEARCH("rn""&gt;United Arab Emirates",S2952)),"United Arab Emirates",
ISNUMBER(SEARCH("rn""&gt;Republic of Ireland",S2952)),"Ireland",
ISNUMBER(SEARCH("rn""&gt;Bosnia and Herzegovina",S2952)),"Bosnia and Herzegovina",
ISNUMBER(SEARCH("rn""&gt;Trinidad and Tobago",S2952)),"Trinidad and Tobago",
ISNUMBER(SEARCH("rn""&gt;Serbia and Montenegro",S2952)),"Serbia and Montenegro",
ISNUMBER(SEARCH(_xlfn.UNICHAR(65533),S2952)),"Côte d'Ivoire",
TRUE,""
)</f>
        <v/>
      </c>
      <c r="W2952" s="40" t="str">
        <f t="shared" si="213"/>
        <v>Uruguay</v>
      </c>
    </row>
    <row r="2953" spans="19:23">
      <c r="S2953" s="40" t="str">
        <v>rn"&gt;Republic of Ireland</v>
      </c>
      <c r="T2953" s="40" t="str">
        <f t="shared" si="211"/>
        <v>ERREUR</v>
      </c>
      <c r="U2953" s="40" t="str">
        <f t="shared" si="212"/>
        <v>RENOMMER</v>
      </c>
      <c r="V2953" s="40" t="str" cm="1">
        <f t="array" ref="V2953">_xlfn.IFS(
ISNUMBER(SEARCH("USA",S2953)),"United States",
ISNUMBER(SEARCH("Republic of Ireland",S2953)),"Ireland",
ISNUMBER(SEARCH("Republic of Korea",S2953)),"South Korea",
ISNUMBER(SEARCH("Cape Verde",S2953)),"Cabo Verde",
ISNUMBER(SEARCH("Czechia",S2953)),"Czech Republic",
ISNUMBER(SEARCH("Türkiye",S2953)),"Turkey",
ISNUMBER(SEARCH("Ivory Coast",S2953)),"Côte d'Ivoire",
ISNUMBER(SEARCH("Korea Republic",S2953)),"South Korea",
ISNUMBER(SEARCH("Germany FR",S2953)),"FR Germany",
ISNUMBER(SEARCH("West Germany",S2953)),"FR Germany",
ISNUMBER(SEARCH("Germany DR",S2953)),"DR Germany",
ISNUMBER(SEARCH("Korea DPR",S2953)),"North Korea",
ISNUMBER(SEARCH("China PR",S2953)),"China",
ISNUMBER(SEARCH("IR Iran",S2953)),"Iran",
ISNUMBER(SEARCH("Congo DR",S2953)),"Democratic Republic of the Congo",
ISNUMBER(SEARCH("DR Congo",S2953)),"Democratic Republic of the Congo",
ISNUMBER(SEARCH("German DR",S2953)),"DR Germany",
ISNUMBER(SEARCH("rn""&gt;United Arab Emirates",S2953)),"United Arab Emirates",
ISNUMBER(SEARCH("rn""&gt;Republic of Ireland",S2953)),"Ireland",
ISNUMBER(SEARCH("rn""&gt;Bosnia and Herzegovina",S2953)),"Bosnia and Herzegovina",
ISNUMBER(SEARCH("rn""&gt;Trinidad and Tobago",S2953)),"Trinidad and Tobago",
ISNUMBER(SEARCH("rn""&gt;Serbia and Montenegro",S2953)),"Serbia and Montenegro",
ISNUMBER(SEARCH(_xlfn.UNICHAR(65533),S2953)),"Côte d'Ivoire",
TRUE,""
)</f>
        <v>Ireland</v>
      </c>
      <c r="W2953" s="40" t="str">
        <f t="shared" si="213"/>
        <v>Ireland</v>
      </c>
    </row>
    <row r="2954" spans="19:23">
      <c r="S2954" s="40" t="str">
        <v>Germany</v>
      </c>
      <c r="T2954" s="40" t="str">
        <f t="shared" si="211"/>
        <v>OK</v>
      </c>
      <c r="U2954" s="40" t="str">
        <f t="shared" si="212"/>
        <v>-</v>
      </c>
      <c r="V2954" s="40" t="str" cm="1">
        <f t="array" ref="V2954">_xlfn.IFS(
ISNUMBER(SEARCH("USA",S2954)),"United States",
ISNUMBER(SEARCH("Republic of Ireland",S2954)),"Ireland",
ISNUMBER(SEARCH("Republic of Korea",S2954)),"South Korea",
ISNUMBER(SEARCH("Cape Verde",S2954)),"Cabo Verde",
ISNUMBER(SEARCH("Czechia",S2954)),"Czech Republic",
ISNUMBER(SEARCH("Türkiye",S2954)),"Turkey",
ISNUMBER(SEARCH("Ivory Coast",S2954)),"Côte d'Ivoire",
ISNUMBER(SEARCH("Korea Republic",S2954)),"South Korea",
ISNUMBER(SEARCH("Germany FR",S2954)),"FR Germany",
ISNUMBER(SEARCH("West Germany",S2954)),"FR Germany",
ISNUMBER(SEARCH("Germany DR",S2954)),"DR Germany",
ISNUMBER(SEARCH("Korea DPR",S2954)),"North Korea",
ISNUMBER(SEARCH("China PR",S2954)),"China",
ISNUMBER(SEARCH("IR Iran",S2954)),"Iran",
ISNUMBER(SEARCH("Congo DR",S2954)),"Democratic Republic of the Congo",
ISNUMBER(SEARCH("DR Congo",S2954)),"Democratic Republic of the Congo",
ISNUMBER(SEARCH("German DR",S2954)),"DR Germany",
ISNUMBER(SEARCH("rn""&gt;United Arab Emirates",S2954)),"United Arab Emirates",
ISNUMBER(SEARCH("rn""&gt;Republic of Ireland",S2954)),"Ireland",
ISNUMBER(SEARCH("rn""&gt;Bosnia and Herzegovina",S2954)),"Bosnia and Herzegovina",
ISNUMBER(SEARCH("rn""&gt;Trinidad and Tobago",S2954)),"Trinidad and Tobago",
ISNUMBER(SEARCH("rn""&gt;Serbia and Montenegro",S2954)),"Serbia and Montenegro",
ISNUMBER(SEARCH(_xlfn.UNICHAR(65533),S2954)),"Côte d'Ivoire",
TRUE,""
)</f>
        <v/>
      </c>
      <c r="W2954" s="40" t="str">
        <f t="shared" si="213"/>
        <v>Germany</v>
      </c>
    </row>
    <row r="2955" spans="19:23">
      <c r="S2955" s="40" t="str">
        <v>Argentina</v>
      </c>
      <c r="T2955" s="40" t="str">
        <f t="shared" si="211"/>
        <v>OK</v>
      </c>
      <c r="U2955" s="40" t="str">
        <f t="shared" si="212"/>
        <v>-</v>
      </c>
      <c r="V2955" s="40" t="str" cm="1">
        <f t="array" ref="V2955">_xlfn.IFS(
ISNUMBER(SEARCH("USA",S2955)),"United States",
ISNUMBER(SEARCH("Republic of Ireland",S2955)),"Ireland",
ISNUMBER(SEARCH("Republic of Korea",S2955)),"South Korea",
ISNUMBER(SEARCH("Cape Verde",S2955)),"Cabo Verde",
ISNUMBER(SEARCH("Czechia",S2955)),"Czech Republic",
ISNUMBER(SEARCH("Türkiye",S2955)),"Turkey",
ISNUMBER(SEARCH("Ivory Coast",S2955)),"Côte d'Ivoire",
ISNUMBER(SEARCH("Korea Republic",S2955)),"South Korea",
ISNUMBER(SEARCH("Germany FR",S2955)),"FR Germany",
ISNUMBER(SEARCH("West Germany",S2955)),"FR Germany",
ISNUMBER(SEARCH("Germany DR",S2955)),"DR Germany",
ISNUMBER(SEARCH("Korea DPR",S2955)),"North Korea",
ISNUMBER(SEARCH("China PR",S2955)),"China",
ISNUMBER(SEARCH("IR Iran",S2955)),"Iran",
ISNUMBER(SEARCH("Congo DR",S2955)),"Democratic Republic of the Congo",
ISNUMBER(SEARCH("DR Congo",S2955)),"Democratic Republic of the Congo",
ISNUMBER(SEARCH("German DR",S2955)),"DR Germany",
ISNUMBER(SEARCH("rn""&gt;United Arab Emirates",S2955)),"United Arab Emirates",
ISNUMBER(SEARCH("rn""&gt;Republic of Ireland",S2955)),"Ireland",
ISNUMBER(SEARCH("rn""&gt;Bosnia and Herzegovina",S2955)),"Bosnia and Herzegovina",
ISNUMBER(SEARCH("rn""&gt;Trinidad and Tobago",S2955)),"Trinidad and Tobago",
ISNUMBER(SEARCH("rn""&gt;Serbia and Montenegro",S2955)),"Serbia and Montenegro",
ISNUMBER(SEARCH(_xlfn.UNICHAR(65533),S2955)),"Côte d'Ivoire",
TRUE,""
)</f>
        <v/>
      </c>
      <c r="W2955" s="40" t="str">
        <f t="shared" si="213"/>
        <v>Argentina</v>
      </c>
    </row>
    <row r="2956" spans="19:23">
      <c r="S2956" s="40" t="str">
        <v>Paraguay</v>
      </c>
      <c r="T2956" s="40" t="str">
        <f t="shared" si="211"/>
        <v>OK</v>
      </c>
      <c r="U2956" s="40" t="str">
        <f t="shared" si="212"/>
        <v>-</v>
      </c>
      <c r="V2956" s="40" t="str" cm="1">
        <f t="array" ref="V2956">_xlfn.IFS(
ISNUMBER(SEARCH("USA",S2956)),"United States",
ISNUMBER(SEARCH("Republic of Ireland",S2956)),"Ireland",
ISNUMBER(SEARCH("Republic of Korea",S2956)),"South Korea",
ISNUMBER(SEARCH("Cape Verde",S2956)),"Cabo Verde",
ISNUMBER(SEARCH("Czechia",S2956)),"Czech Republic",
ISNUMBER(SEARCH("Türkiye",S2956)),"Turkey",
ISNUMBER(SEARCH("Ivory Coast",S2956)),"Côte d'Ivoire",
ISNUMBER(SEARCH("Korea Republic",S2956)),"South Korea",
ISNUMBER(SEARCH("Germany FR",S2956)),"FR Germany",
ISNUMBER(SEARCH("West Germany",S2956)),"FR Germany",
ISNUMBER(SEARCH("Germany DR",S2956)),"DR Germany",
ISNUMBER(SEARCH("Korea DPR",S2956)),"North Korea",
ISNUMBER(SEARCH("China PR",S2956)),"China",
ISNUMBER(SEARCH("IR Iran",S2956)),"Iran",
ISNUMBER(SEARCH("Congo DR",S2956)),"Democratic Republic of the Congo",
ISNUMBER(SEARCH("DR Congo",S2956)),"Democratic Republic of the Congo",
ISNUMBER(SEARCH("German DR",S2956)),"DR Germany",
ISNUMBER(SEARCH("rn""&gt;United Arab Emirates",S2956)),"United Arab Emirates",
ISNUMBER(SEARCH("rn""&gt;Republic of Ireland",S2956)),"Ireland",
ISNUMBER(SEARCH("rn""&gt;Bosnia and Herzegovina",S2956)),"Bosnia and Herzegovina",
ISNUMBER(SEARCH("rn""&gt;Trinidad and Tobago",S2956)),"Trinidad and Tobago",
ISNUMBER(SEARCH("rn""&gt;Serbia and Montenegro",S2956)),"Serbia and Montenegro",
ISNUMBER(SEARCH(_xlfn.UNICHAR(65533),S2956)),"Côte d'Ivoire",
TRUE,""
)</f>
        <v/>
      </c>
      <c r="W2956" s="40" t="str">
        <f t="shared" si="213"/>
        <v>Paraguay</v>
      </c>
    </row>
    <row r="2957" spans="19:23">
      <c r="S2957" s="40" t="str">
        <v>England</v>
      </c>
      <c r="T2957" s="40" t="str">
        <f t="shared" si="211"/>
        <v>ERREUR</v>
      </c>
      <c r="U2957" s="40" t="str">
        <f t="shared" si="212"/>
        <v>AUCUNE</v>
      </c>
      <c r="V2957" s="40" t="str" cm="1">
        <f t="array" ref="V2957">_xlfn.IFS(
ISNUMBER(SEARCH("USA",S2957)),"United States",
ISNUMBER(SEARCH("Republic of Ireland",S2957)),"Ireland",
ISNUMBER(SEARCH("Republic of Korea",S2957)),"South Korea",
ISNUMBER(SEARCH("Cape Verde",S2957)),"Cabo Verde",
ISNUMBER(SEARCH("Czechia",S2957)),"Czech Republic",
ISNUMBER(SEARCH("Türkiye",S2957)),"Turkey",
ISNUMBER(SEARCH("Ivory Coast",S2957)),"Côte d'Ivoire",
ISNUMBER(SEARCH("Korea Republic",S2957)),"South Korea",
ISNUMBER(SEARCH("Germany FR",S2957)),"FR Germany",
ISNUMBER(SEARCH("West Germany",S2957)),"FR Germany",
ISNUMBER(SEARCH("Germany DR",S2957)),"DR Germany",
ISNUMBER(SEARCH("Korea DPR",S2957)),"North Korea",
ISNUMBER(SEARCH("China PR",S2957)),"China",
ISNUMBER(SEARCH("IR Iran",S2957)),"Iran",
ISNUMBER(SEARCH("Congo DR",S2957)),"Democratic Republic of the Congo",
ISNUMBER(SEARCH("DR Congo",S2957)),"Democratic Republic of the Congo",
ISNUMBER(SEARCH("German DR",S2957)),"DR Germany",
ISNUMBER(SEARCH("rn""&gt;United Arab Emirates",S2957)),"United Arab Emirates",
ISNUMBER(SEARCH("rn""&gt;Republic of Ireland",S2957)),"Ireland",
ISNUMBER(SEARCH("rn""&gt;Bosnia and Herzegovina",S2957)),"Bosnia and Herzegovina",
ISNUMBER(SEARCH("rn""&gt;Trinidad and Tobago",S2957)),"Trinidad and Tobago",
ISNUMBER(SEARCH("rn""&gt;Serbia and Montenegro",S2957)),"Serbia and Montenegro",
ISNUMBER(SEARCH(_xlfn.UNICHAR(65533),S2957)),"Côte d'Ivoire",
TRUE,""
)</f>
        <v/>
      </c>
      <c r="W2957" s="40" t="str">
        <f t="shared" si="213"/>
        <v>England</v>
      </c>
    </row>
    <row r="2958" spans="19:23">
      <c r="S2958" s="40" t="str">
        <v>Spain</v>
      </c>
      <c r="T2958" s="40" t="str">
        <f t="shared" si="211"/>
        <v>OK</v>
      </c>
      <c r="U2958" s="40" t="str">
        <f t="shared" si="212"/>
        <v>-</v>
      </c>
      <c r="V2958" s="40" t="str" cm="1">
        <f t="array" ref="V2958">_xlfn.IFS(
ISNUMBER(SEARCH("USA",S2958)),"United States",
ISNUMBER(SEARCH("Republic of Ireland",S2958)),"Ireland",
ISNUMBER(SEARCH("Republic of Korea",S2958)),"South Korea",
ISNUMBER(SEARCH("Cape Verde",S2958)),"Cabo Verde",
ISNUMBER(SEARCH("Czechia",S2958)),"Czech Republic",
ISNUMBER(SEARCH("Türkiye",S2958)),"Turkey",
ISNUMBER(SEARCH("Ivory Coast",S2958)),"Côte d'Ivoire",
ISNUMBER(SEARCH("Korea Republic",S2958)),"South Korea",
ISNUMBER(SEARCH("Germany FR",S2958)),"FR Germany",
ISNUMBER(SEARCH("West Germany",S2958)),"FR Germany",
ISNUMBER(SEARCH("Germany DR",S2958)),"DR Germany",
ISNUMBER(SEARCH("Korea DPR",S2958)),"North Korea",
ISNUMBER(SEARCH("China PR",S2958)),"China",
ISNUMBER(SEARCH("IR Iran",S2958)),"Iran",
ISNUMBER(SEARCH("Congo DR",S2958)),"Democratic Republic of the Congo",
ISNUMBER(SEARCH("DR Congo",S2958)),"Democratic Republic of the Congo",
ISNUMBER(SEARCH("German DR",S2958)),"DR Germany",
ISNUMBER(SEARCH("rn""&gt;United Arab Emirates",S2958)),"United Arab Emirates",
ISNUMBER(SEARCH("rn""&gt;Republic of Ireland",S2958)),"Ireland",
ISNUMBER(SEARCH("rn""&gt;Bosnia and Herzegovina",S2958)),"Bosnia and Herzegovina",
ISNUMBER(SEARCH("rn""&gt;Trinidad and Tobago",S2958)),"Trinidad and Tobago",
ISNUMBER(SEARCH("rn""&gt;Serbia and Montenegro",S2958)),"Serbia and Montenegro",
ISNUMBER(SEARCH(_xlfn.UNICHAR(65533),S2958)),"Côte d'Ivoire",
TRUE,""
)</f>
        <v/>
      </c>
      <c r="W2958" s="40" t="str">
        <f t="shared" si="213"/>
        <v>Spain</v>
      </c>
    </row>
    <row r="2959" spans="19:23">
      <c r="S2959" s="40" t="str">
        <v>Brazil</v>
      </c>
      <c r="T2959" s="40" t="str">
        <f t="shared" si="211"/>
        <v>OK</v>
      </c>
      <c r="U2959" s="40" t="str">
        <f t="shared" si="212"/>
        <v>-</v>
      </c>
      <c r="V2959" s="40" t="str" cm="1">
        <f t="array" ref="V2959">_xlfn.IFS(
ISNUMBER(SEARCH("USA",S2959)),"United States",
ISNUMBER(SEARCH("Republic of Ireland",S2959)),"Ireland",
ISNUMBER(SEARCH("Republic of Korea",S2959)),"South Korea",
ISNUMBER(SEARCH("Cape Verde",S2959)),"Cabo Verde",
ISNUMBER(SEARCH("Czechia",S2959)),"Czech Republic",
ISNUMBER(SEARCH("Türkiye",S2959)),"Turkey",
ISNUMBER(SEARCH("Ivory Coast",S2959)),"Côte d'Ivoire",
ISNUMBER(SEARCH("Korea Republic",S2959)),"South Korea",
ISNUMBER(SEARCH("Germany FR",S2959)),"FR Germany",
ISNUMBER(SEARCH("West Germany",S2959)),"FR Germany",
ISNUMBER(SEARCH("Germany DR",S2959)),"DR Germany",
ISNUMBER(SEARCH("Korea DPR",S2959)),"North Korea",
ISNUMBER(SEARCH("China PR",S2959)),"China",
ISNUMBER(SEARCH("IR Iran",S2959)),"Iran",
ISNUMBER(SEARCH("Congo DR",S2959)),"Democratic Republic of the Congo",
ISNUMBER(SEARCH("DR Congo",S2959)),"Democratic Republic of the Congo",
ISNUMBER(SEARCH("German DR",S2959)),"DR Germany",
ISNUMBER(SEARCH("rn""&gt;United Arab Emirates",S2959)),"United Arab Emirates",
ISNUMBER(SEARCH("rn""&gt;Republic of Ireland",S2959)),"Ireland",
ISNUMBER(SEARCH("rn""&gt;Bosnia and Herzegovina",S2959)),"Bosnia and Herzegovina",
ISNUMBER(SEARCH("rn""&gt;Trinidad and Tobago",S2959)),"Trinidad and Tobago",
ISNUMBER(SEARCH("rn""&gt;Serbia and Montenegro",S2959)),"Serbia and Montenegro",
ISNUMBER(SEARCH(_xlfn.UNICHAR(65533),S2959)),"Côte d'Ivoire",
TRUE,""
)</f>
        <v/>
      </c>
      <c r="W2959" s="40" t="str">
        <f t="shared" si="213"/>
        <v>Brazil</v>
      </c>
    </row>
    <row r="2960" spans="19:23">
      <c r="S2960" s="40" t="str">
        <v>Italy</v>
      </c>
      <c r="T2960" s="40" t="str">
        <f t="shared" si="211"/>
        <v>OK</v>
      </c>
      <c r="U2960" s="40" t="str">
        <f t="shared" si="212"/>
        <v>-</v>
      </c>
      <c r="V2960" s="40" t="str" cm="1">
        <f t="array" ref="V2960">_xlfn.IFS(
ISNUMBER(SEARCH("USA",S2960)),"United States",
ISNUMBER(SEARCH("Republic of Ireland",S2960)),"Ireland",
ISNUMBER(SEARCH("Republic of Korea",S2960)),"South Korea",
ISNUMBER(SEARCH("Cape Verde",S2960)),"Cabo Verde",
ISNUMBER(SEARCH("Czechia",S2960)),"Czech Republic",
ISNUMBER(SEARCH("Türkiye",S2960)),"Turkey",
ISNUMBER(SEARCH("Ivory Coast",S2960)),"Côte d'Ivoire",
ISNUMBER(SEARCH("Korea Republic",S2960)),"South Korea",
ISNUMBER(SEARCH("Germany FR",S2960)),"FR Germany",
ISNUMBER(SEARCH("West Germany",S2960)),"FR Germany",
ISNUMBER(SEARCH("Germany DR",S2960)),"DR Germany",
ISNUMBER(SEARCH("Korea DPR",S2960)),"North Korea",
ISNUMBER(SEARCH("China PR",S2960)),"China",
ISNUMBER(SEARCH("IR Iran",S2960)),"Iran",
ISNUMBER(SEARCH("Congo DR",S2960)),"Democratic Republic of the Congo",
ISNUMBER(SEARCH("DR Congo",S2960)),"Democratic Republic of the Congo",
ISNUMBER(SEARCH("German DR",S2960)),"DR Germany",
ISNUMBER(SEARCH("rn""&gt;United Arab Emirates",S2960)),"United Arab Emirates",
ISNUMBER(SEARCH("rn""&gt;Republic of Ireland",S2960)),"Ireland",
ISNUMBER(SEARCH("rn""&gt;Bosnia and Herzegovina",S2960)),"Bosnia and Herzegovina",
ISNUMBER(SEARCH("rn""&gt;Trinidad and Tobago",S2960)),"Trinidad and Tobago",
ISNUMBER(SEARCH("rn""&gt;Serbia and Montenegro",S2960)),"Serbia and Montenegro",
ISNUMBER(SEARCH(_xlfn.UNICHAR(65533),S2960)),"Côte d'Ivoire",
TRUE,""
)</f>
        <v/>
      </c>
      <c r="W2960" s="40" t="str">
        <f t="shared" si="213"/>
        <v>Italy</v>
      </c>
    </row>
    <row r="2961" spans="19:23">
      <c r="S2961" s="40" t="str">
        <v>Croatia</v>
      </c>
      <c r="T2961" s="40" t="str">
        <f t="shared" si="211"/>
        <v>OK</v>
      </c>
      <c r="U2961" s="40" t="str">
        <f t="shared" si="212"/>
        <v>-</v>
      </c>
      <c r="V2961" s="40" t="str" cm="1">
        <f t="array" ref="V2961">_xlfn.IFS(
ISNUMBER(SEARCH("USA",S2961)),"United States",
ISNUMBER(SEARCH("Republic of Ireland",S2961)),"Ireland",
ISNUMBER(SEARCH("Republic of Korea",S2961)),"South Korea",
ISNUMBER(SEARCH("Cape Verde",S2961)),"Cabo Verde",
ISNUMBER(SEARCH("Czechia",S2961)),"Czech Republic",
ISNUMBER(SEARCH("Türkiye",S2961)),"Turkey",
ISNUMBER(SEARCH("Ivory Coast",S2961)),"Côte d'Ivoire",
ISNUMBER(SEARCH("Korea Republic",S2961)),"South Korea",
ISNUMBER(SEARCH("Germany FR",S2961)),"FR Germany",
ISNUMBER(SEARCH("West Germany",S2961)),"FR Germany",
ISNUMBER(SEARCH("Germany DR",S2961)),"DR Germany",
ISNUMBER(SEARCH("Korea DPR",S2961)),"North Korea",
ISNUMBER(SEARCH("China PR",S2961)),"China",
ISNUMBER(SEARCH("IR Iran",S2961)),"Iran",
ISNUMBER(SEARCH("Congo DR",S2961)),"Democratic Republic of the Congo",
ISNUMBER(SEARCH("DR Congo",S2961)),"Democratic Republic of the Congo",
ISNUMBER(SEARCH("German DR",S2961)),"DR Germany",
ISNUMBER(SEARCH("rn""&gt;United Arab Emirates",S2961)),"United Arab Emirates",
ISNUMBER(SEARCH("rn""&gt;Republic of Ireland",S2961)),"Ireland",
ISNUMBER(SEARCH("rn""&gt;Bosnia and Herzegovina",S2961)),"Bosnia and Herzegovina",
ISNUMBER(SEARCH("rn""&gt;Trinidad and Tobago",S2961)),"Trinidad and Tobago",
ISNUMBER(SEARCH("rn""&gt;Serbia and Montenegro",S2961)),"Serbia and Montenegro",
ISNUMBER(SEARCH(_xlfn.UNICHAR(65533),S2961)),"Côte d'Ivoire",
TRUE,""
)</f>
        <v/>
      </c>
      <c r="W2961" s="40" t="str">
        <f t="shared" si="213"/>
        <v>Croatia</v>
      </c>
    </row>
    <row r="2962" spans="19:23">
      <c r="S2962" s="40" t="str">
        <v>China PR</v>
      </c>
      <c r="T2962" s="40" t="str">
        <f t="shared" si="211"/>
        <v>ERREUR</v>
      </c>
      <c r="U2962" s="40" t="str">
        <f t="shared" si="212"/>
        <v>RENOMMER</v>
      </c>
      <c r="V2962" s="40" t="str" cm="1">
        <f t="array" ref="V2962">_xlfn.IFS(
ISNUMBER(SEARCH("USA",S2962)),"United States",
ISNUMBER(SEARCH("Republic of Ireland",S2962)),"Ireland",
ISNUMBER(SEARCH("Republic of Korea",S2962)),"South Korea",
ISNUMBER(SEARCH("Cape Verde",S2962)),"Cabo Verde",
ISNUMBER(SEARCH("Czechia",S2962)),"Czech Republic",
ISNUMBER(SEARCH("Türkiye",S2962)),"Turkey",
ISNUMBER(SEARCH("Ivory Coast",S2962)),"Côte d'Ivoire",
ISNUMBER(SEARCH("Korea Republic",S2962)),"South Korea",
ISNUMBER(SEARCH("Germany FR",S2962)),"FR Germany",
ISNUMBER(SEARCH("West Germany",S2962)),"FR Germany",
ISNUMBER(SEARCH("Germany DR",S2962)),"DR Germany",
ISNUMBER(SEARCH("Korea DPR",S2962)),"North Korea",
ISNUMBER(SEARCH("China PR",S2962)),"China",
ISNUMBER(SEARCH("IR Iran",S2962)),"Iran",
ISNUMBER(SEARCH("Congo DR",S2962)),"Democratic Republic of the Congo",
ISNUMBER(SEARCH("DR Congo",S2962)),"Democratic Republic of the Congo",
ISNUMBER(SEARCH("German DR",S2962)),"DR Germany",
ISNUMBER(SEARCH("rn""&gt;United Arab Emirates",S2962)),"United Arab Emirates",
ISNUMBER(SEARCH("rn""&gt;Republic of Ireland",S2962)),"Ireland",
ISNUMBER(SEARCH("rn""&gt;Bosnia and Herzegovina",S2962)),"Bosnia and Herzegovina",
ISNUMBER(SEARCH("rn""&gt;Trinidad and Tobago",S2962)),"Trinidad and Tobago",
ISNUMBER(SEARCH("rn""&gt;Serbia and Montenegro",S2962)),"Serbia and Montenegro",
ISNUMBER(SEARCH(_xlfn.UNICHAR(65533),S2962)),"Côte d'Ivoire",
TRUE,""
)</f>
        <v>China</v>
      </c>
      <c r="W2962" s="40" t="str">
        <f t="shared" si="213"/>
        <v>China</v>
      </c>
    </row>
    <row r="2963" spans="19:23">
      <c r="S2963" s="40" t="str">
        <v>Japan</v>
      </c>
      <c r="T2963" s="40" t="str">
        <f t="shared" si="211"/>
        <v>OK</v>
      </c>
      <c r="U2963" s="40" t="str">
        <f t="shared" si="212"/>
        <v>-</v>
      </c>
      <c r="V2963" s="40" t="str" cm="1">
        <f t="array" ref="V2963">_xlfn.IFS(
ISNUMBER(SEARCH("USA",S2963)),"United States",
ISNUMBER(SEARCH("Republic of Ireland",S2963)),"Ireland",
ISNUMBER(SEARCH("Republic of Korea",S2963)),"South Korea",
ISNUMBER(SEARCH("Cape Verde",S2963)),"Cabo Verde",
ISNUMBER(SEARCH("Czechia",S2963)),"Czech Republic",
ISNUMBER(SEARCH("Türkiye",S2963)),"Turkey",
ISNUMBER(SEARCH("Ivory Coast",S2963)),"Côte d'Ivoire",
ISNUMBER(SEARCH("Korea Republic",S2963)),"South Korea",
ISNUMBER(SEARCH("Germany FR",S2963)),"FR Germany",
ISNUMBER(SEARCH("West Germany",S2963)),"FR Germany",
ISNUMBER(SEARCH("Germany DR",S2963)),"DR Germany",
ISNUMBER(SEARCH("Korea DPR",S2963)),"North Korea",
ISNUMBER(SEARCH("China PR",S2963)),"China",
ISNUMBER(SEARCH("IR Iran",S2963)),"Iran",
ISNUMBER(SEARCH("Congo DR",S2963)),"Democratic Republic of the Congo",
ISNUMBER(SEARCH("DR Congo",S2963)),"Democratic Republic of the Congo",
ISNUMBER(SEARCH("German DR",S2963)),"DR Germany",
ISNUMBER(SEARCH("rn""&gt;United Arab Emirates",S2963)),"United Arab Emirates",
ISNUMBER(SEARCH("rn""&gt;Republic of Ireland",S2963)),"Ireland",
ISNUMBER(SEARCH("rn""&gt;Bosnia and Herzegovina",S2963)),"Bosnia and Herzegovina",
ISNUMBER(SEARCH("rn""&gt;Trinidad and Tobago",S2963)),"Trinidad and Tobago",
ISNUMBER(SEARCH("rn""&gt;Serbia and Montenegro",S2963)),"Serbia and Montenegro",
ISNUMBER(SEARCH(_xlfn.UNICHAR(65533),S2963)),"Côte d'Ivoire",
TRUE,""
)</f>
        <v/>
      </c>
      <c r="W2963" s="40" t="str">
        <f t="shared" si="213"/>
        <v>Japan</v>
      </c>
    </row>
    <row r="2964" spans="19:23">
      <c r="S2964" s="40" t="str">
        <v>Korea Republic</v>
      </c>
      <c r="T2964" s="40" t="str">
        <f t="shared" si="211"/>
        <v>ERREUR</v>
      </c>
      <c r="U2964" s="40" t="str">
        <f t="shared" si="212"/>
        <v>RENOMMER</v>
      </c>
      <c r="V2964" s="40" t="str" cm="1">
        <f t="array" ref="V2964">_xlfn.IFS(
ISNUMBER(SEARCH("USA",S2964)),"United States",
ISNUMBER(SEARCH("Republic of Ireland",S2964)),"Ireland",
ISNUMBER(SEARCH("Republic of Korea",S2964)),"South Korea",
ISNUMBER(SEARCH("Cape Verde",S2964)),"Cabo Verde",
ISNUMBER(SEARCH("Czechia",S2964)),"Czech Republic",
ISNUMBER(SEARCH("Türkiye",S2964)),"Turkey",
ISNUMBER(SEARCH("Ivory Coast",S2964)),"Côte d'Ivoire",
ISNUMBER(SEARCH("Korea Republic",S2964)),"South Korea",
ISNUMBER(SEARCH("Germany FR",S2964)),"FR Germany",
ISNUMBER(SEARCH("West Germany",S2964)),"FR Germany",
ISNUMBER(SEARCH("Germany DR",S2964)),"DR Germany",
ISNUMBER(SEARCH("Korea DPR",S2964)),"North Korea",
ISNUMBER(SEARCH("China PR",S2964)),"China",
ISNUMBER(SEARCH("IR Iran",S2964)),"Iran",
ISNUMBER(SEARCH("Congo DR",S2964)),"Democratic Republic of the Congo",
ISNUMBER(SEARCH("DR Congo",S2964)),"Democratic Republic of the Congo",
ISNUMBER(SEARCH("German DR",S2964)),"DR Germany",
ISNUMBER(SEARCH("rn""&gt;United Arab Emirates",S2964)),"United Arab Emirates",
ISNUMBER(SEARCH("rn""&gt;Republic of Ireland",S2964)),"Ireland",
ISNUMBER(SEARCH("rn""&gt;Bosnia and Herzegovina",S2964)),"Bosnia and Herzegovina",
ISNUMBER(SEARCH("rn""&gt;Trinidad and Tobago",S2964)),"Trinidad and Tobago",
ISNUMBER(SEARCH("rn""&gt;Serbia and Montenegro",S2964)),"Serbia and Montenegro",
ISNUMBER(SEARCH(_xlfn.UNICHAR(65533),S2964)),"Côte d'Ivoire",
TRUE,""
)</f>
        <v>South Korea</v>
      </c>
      <c r="W2964" s="40" t="str">
        <f t="shared" si="213"/>
        <v>South Korea</v>
      </c>
    </row>
    <row r="2965" spans="19:23">
      <c r="S2965" s="40" t="str">
        <v>Russia</v>
      </c>
      <c r="T2965" s="40" t="str">
        <f t="shared" si="211"/>
        <v>OK</v>
      </c>
      <c r="U2965" s="40" t="str">
        <f t="shared" si="212"/>
        <v>-</v>
      </c>
      <c r="V2965" s="40" t="str" cm="1">
        <f t="array" ref="V2965">_xlfn.IFS(
ISNUMBER(SEARCH("USA",S2965)),"United States",
ISNUMBER(SEARCH("Republic of Ireland",S2965)),"Ireland",
ISNUMBER(SEARCH("Republic of Korea",S2965)),"South Korea",
ISNUMBER(SEARCH("Cape Verde",S2965)),"Cabo Verde",
ISNUMBER(SEARCH("Czechia",S2965)),"Czech Republic",
ISNUMBER(SEARCH("Türkiye",S2965)),"Turkey",
ISNUMBER(SEARCH("Ivory Coast",S2965)),"Côte d'Ivoire",
ISNUMBER(SEARCH("Korea Republic",S2965)),"South Korea",
ISNUMBER(SEARCH("Germany FR",S2965)),"FR Germany",
ISNUMBER(SEARCH("West Germany",S2965)),"FR Germany",
ISNUMBER(SEARCH("Germany DR",S2965)),"DR Germany",
ISNUMBER(SEARCH("Korea DPR",S2965)),"North Korea",
ISNUMBER(SEARCH("China PR",S2965)),"China",
ISNUMBER(SEARCH("IR Iran",S2965)),"Iran",
ISNUMBER(SEARCH("Congo DR",S2965)),"Democratic Republic of the Congo",
ISNUMBER(SEARCH("DR Congo",S2965)),"Democratic Republic of the Congo",
ISNUMBER(SEARCH("German DR",S2965)),"DR Germany",
ISNUMBER(SEARCH("rn""&gt;United Arab Emirates",S2965)),"United Arab Emirates",
ISNUMBER(SEARCH("rn""&gt;Republic of Ireland",S2965)),"Ireland",
ISNUMBER(SEARCH("rn""&gt;Bosnia and Herzegovina",S2965)),"Bosnia and Herzegovina",
ISNUMBER(SEARCH("rn""&gt;Trinidad and Tobago",S2965)),"Trinidad and Tobago",
ISNUMBER(SEARCH("rn""&gt;Serbia and Montenegro",S2965)),"Serbia and Montenegro",
ISNUMBER(SEARCH(_xlfn.UNICHAR(65533),S2965)),"Côte d'Ivoire",
TRUE,""
)</f>
        <v/>
      </c>
      <c r="W2965" s="40" t="str">
        <f t="shared" si="213"/>
        <v>Russia</v>
      </c>
    </row>
    <row r="2966" spans="19:23">
      <c r="S2966" s="40" t="str">
        <v>USA</v>
      </c>
      <c r="T2966" s="40" t="str">
        <f t="shared" si="211"/>
        <v>ERREUR</v>
      </c>
      <c r="U2966" s="40" t="str">
        <f t="shared" si="212"/>
        <v>RENOMMER</v>
      </c>
      <c r="V2966" s="40" t="str" cm="1">
        <f t="array" ref="V2966">_xlfn.IFS(
ISNUMBER(SEARCH("USA",S2966)),"United States",
ISNUMBER(SEARCH("Republic of Ireland",S2966)),"Ireland",
ISNUMBER(SEARCH("Republic of Korea",S2966)),"South Korea",
ISNUMBER(SEARCH("Cape Verde",S2966)),"Cabo Verde",
ISNUMBER(SEARCH("Czechia",S2966)),"Czech Republic",
ISNUMBER(SEARCH("Türkiye",S2966)),"Turkey",
ISNUMBER(SEARCH("Ivory Coast",S2966)),"Côte d'Ivoire",
ISNUMBER(SEARCH("Korea Republic",S2966)),"South Korea",
ISNUMBER(SEARCH("Germany FR",S2966)),"FR Germany",
ISNUMBER(SEARCH("West Germany",S2966)),"FR Germany",
ISNUMBER(SEARCH("Germany DR",S2966)),"DR Germany",
ISNUMBER(SEARCH("Korea DPR",S2966)),"North Korea",
ISNUMBER(SEARCH("China PR",S2966)),"China",
ISNUMBER(SEARCH("IR Iran",S2966)),"Iran",
ISNUMBER(SEARCH("Congo DR",S2966)),"Democratic Republic of the Congo",
ISNUMBER(SEARCH("DR Congo",S2966)),"Democratic Republic of the Congo",
ISNUMBER(SEARCH("German DR",S2966)),"DR Germany",
ISNUMBER(SEARCH("rn""&gt;United Arab Emirates",S2966)),"United Arab Emirates",
ISNUMBER(SEARCH("rn""&gt;Republic of Ireland",S2966)),"Ireland",
ISNUMBER(SEARCH("rn""&gt;Bosnia and Herzegovina",S2966)),"Bosnia and Herzegovina",
ISNUMBER(SEARCH("rn""&gt;Trinidad and Tobago",S2966)),"Trinidad and Tobago",
ISNUMBER(SEARCH("rn""&gt;Serbia and Montenegro",S2966)),"Serbia and Montenegro",
ISNUMBER(SEARCH(_xlfn.UNICHAR(65533),S2966)),"Côte d'Ivoire",
TRUE,""
)</f>
        <v>United States</v>
      </c>
      <c r="W2966" s="40" t="str">
        <f t="shared" si="213"/>
        <v>United States</v>
      </c>
    </row>
    <row r="2967" spans="19:23">
      <c r="S2967" s="40" t="str">
        <v>Germany</v>
      </c>
      <c r="T2967" s="40" t="str">
        <f t="shared" si="211"/>
        <v>OK</v>
      </c>
      <c r="U2967" s="40" t="str">
        <f t="shared" si="212"/>
        <v>-</v>
      </c>
      <c r="V2967" s="40" t="str" cm="1">
        <f t="array" ref="V2967">_xlfn.IFS(
ISNUMBER(SEARCH("USA",S2967)),"United States",
ISNUMBER(SEARCH("Republic of Ireland",S2967)),"Ireland",
ISNUMBER(SEARCH("Republic of Korea",S2967)),"South Korea",
ISNUMBER(SEARCH("Cape Verde",S2967)),"Cabo Verde",
ISNUMBER(SEARCH("Czechia",S2967)),"Czech Republic",
ISNUMBER(SEARCH("Türkiye",S2967)),"Turkey",
ISNUMBER(SEARCH("Ivory Coast",S2967)),"Côte d'Ivoire",
ISNUMBER(SEARCH("Korea Republic",S2967)),"South Korea",
ISNUMBER(SEARCH("Germany FR",S2967)),"FR Germany",
ISNUMBER(SEARCH("West Germany",S2967)),"FR Germany",
ISNUMBER(SEARCH("Germany DR",S2967)),"DR Germany",
ISNUMBER(SEARCH("Korea DPR",S2967)),"North Korea",
ISNUMBER(SEARCH("China PR",S2967)),"China",
ISNUMBER(SEARCH("IR Iran",S2967)),"Iran",
ISNUMBER(SEARCH("Congo DR",S2967)),"Democratic Republic of the Congo",
ISNUMBER(SEARCH("DR Congo",S2967)),"Democratic Republic of the Congo",
ISNUMBER(SEARCH("German DR",S2967)),"DR Germany",
ISNUMBER(SEARCH("rn""&gt;United Arab Emirates",S2967)),"United Arab Emirates",
ISNUMBER(SEARCH("rn""&gt;Republic of Ireland",S2967)),"Ireland",
ISNUMBER(SEARCH("rn""&gt;Bosnia and Herzegovina",S2967)),"Bosnia and Herzegovina",
ISNUMBER(SEARCH("rn""&gt;Trinidad and Tobago",S2967)),"Trinidad and Tobago",
ISNUMBER(SEARCH("rn""&gt;Serbia and Montenegro",S2967)),"Serbia and Montenegro",
ISNUMBER(SEARCH(_xlfn.UNICHAR(65533),S2967)),"Côte d'Ivoire",
TRUE,""
)</f>
        <v/>
      </c>
      <c r="W2967" s="40" t="str">
        <f t="shared" si="213"/>
        <v>Germany</v>
      </c>
    </row>
    <row r="2968" spans="19:23">
      <c r="S2968" s="40" t="str">
        <v>Denmark</v>
      </c>
      <c r="T2968" s="40" t="str">
        <f t="shared" si="211"/>
        <v>OK</v>
      </c>
      <c r="U2968" s="40" t="str">
        <f t="shared" si="212"/>
        <v>-</v>
      </c>
      <c r="V2968" s="40" t="str" cm="1">
        <f t="array" ref="V2968">_xlfn.IFS(
ISNUMBER(SEARCH("USA",S2968)),"United States",
ISNUMBER(SEARCH("Republic of Ireland",S2968)),"Ireland",
ISNUMBER(SEARCH("Republic of Korea",S2968)),"South Korea",
ISNUMBER(SEARCH("Cape Verde",S2968)),"Cabo Verde",
ISNUMBER(SEARCH("Czechia",S2968)),"Czech Republic",
ISNUMBER(SEARCH("Türkiye",S2968)),"Turkey",
ISNUMBER(SEARCH("Ivory Coast",S2968)),"Côte d'Ivoire",
ISNUMBER(SEARCH("Korea Republic",S2968)),"South Korea",
ISNUMBER(SEARCH("Germany FR",S2968)),"FR Germany",
ISNUMBER(SEARCH("West Germany",S2968)),"FR Germany",
ISNUMBER(SEARCH("Germany DR",S2968)),"DR Germany",
ISNUMBER(SEARCH("Korea DPR",S2968)),"North Korea",
ISNUMBER(SEARCH("China PR",S2968)),"China",
ISNUMBER(SEARCH("IR Iran",S2968)),"Iran",
ISNUMBER(SEARCH("Congo DR",S2968)),"Democratic Republic of the Congo",
ISNUMBER(SEARCH("DR Congo",S2968)),"Democratic Republic of the Congo",
ISNUMBER(SEARCH("German DR",S2968)),"DR Germany",
ISNUMBER(SEARCH("rn""&gt;United Arab Emirates",S2968)),"United Arab Emirates",
ISNUMBER(SEARCH("rn""&gt;Republic of Ireland",S2968)),"Ireland",
ISNUMBER(SEARCH("rn""&gt;Bosnia and Herzegovina",S2968)),"Bosnia and Herzegovina",
ISNUMBER(SEARCH("rn""&gt;Trinidad and Tobago",S2968)),"Trinidad and Tobago",
ISNUMBER(SEARCH("rn""&gt;Serbia and Montenegro",S2968)),"Serbia and Montenegro",
ISNUMBER(SEARCH(_xlfn.UNICHAR(65533),S2968)),"Côte d'Ivoire",
TRUE,""
)</f>
        <v/>
      </c>
      <c r="W2968" s="40" t="str">
        <f t="shared" si="213"/>
        <v>Denmark</v>
      </c>
    </row>
    <row r="2969" spans="19:23">
      <c r="S2969" s="40" t="str">
        <v>Cameroon</v>
      </c>
      <c r="T2969" s="40" t="str">
        <f t="shared" si="211"/>
        <v>OK</v>
      </c>
      <c r="U2969" s="40" t="str">
        <f t="shared" si="212"/>
        <v>-</v>
      </c>
      <c r="V2969" s="40" t="str" cm="1">
        <f t="array" ref="V2969">_xlfn.IFS(
ISNUMBER(SEARCH("USA",S2969)),"United States",
ISNUMBER(SEARCH("Republic of Ireland",S2969)),"Ireland",
ISNUMBER(SEARCH("Republic of Korea",S2969)),"South Korea",
ISNUMBER(SEARCH("Cape Verde",S2969)),"Cabo Verde",
ISNUMBER(SEARCH("Czechia",S2969)),"Czech Republic",
ISNUMBER(SEARCH("Türkiye",S2969)),"Turkey",
ISNUMBER(SEARCH("Ivory Coast",S2969)),"Côte d'Ivoire",
ISNUMBER(SEARCH("Korea Republic",S2969)),"South Korea",
ISNUMBER(SEARCH("Germany FR",S2969)),"FR Germany",
ISNUMBER(SEARCH("West Germany",S2969)),"FR Germany",
ISNUMBER(SEARCH("Germany DR",S2969)),"DR Germany",
ISNUMBER(SEARCH("Korea DPR",S2969)),"North Korea",
ISNUMBER(SEARCH("China PR",S2969)),"China",
ISNUMBER(SEARCH("IR Iran",S2969)),"Iran",
ISNUMBER(SEARCH("Congo DR",S2969)),"Democratic Republic of the Congo",
ISNUMBER(SEARCH("DR Congo",S2969)),"Democratic Republic of the Congo",
ISNUMBER(SEARCH("German DR",S2969)),"DR Germany",
ISNUMBER(SEARCH("rn""&gt;United Arab Emirates",S2969)),"United Arab Emirates",
ISNUMBER(SEARCH("rn""&gt;Republic of Ireland",S2969)),"Ireland",
ISNUMBER(SEARCH("rn""&gt;Bosnia and Herzegovina",S2969)),"Bosnia and Herzegovina",
ISNUMBER(SEARCH("rn""&gt;Trinidad and Tobago",S2969)),"Trinidad and Tobago",
ISNUMBER(SEARCH("rn""&gt;Serbia and Montenegro",S2969)),"Serbia and Montenegro",
ISNUMBER(SEARCH(_xlfn.UNICHAR(65533),S2969)),"Côte d'Ivoire",
TRUE,""
)</f>
        <v/>
      </c>
      <c r="W2969" s="40" t="str">
        <f t="shared" si="213"/>
        <v>Cameroon</v>
      </c>
    </row>
    <row r="2970" spans="19:23">
      <c r="S2970" s="40" t="str">
        <v>France</v>
      </c>
      <c r="T2970" s="40" t="str">
        <f t="shared" si="211"/>
        <v>OK</v>
      </c>
      <c r="U2970" s="40" t="str">
        <f t="shared" si="212"/>
        <v>-</v>
      </c>
      <c r="V2970" s="40" t="str" cm="1">
        <f t="array" ref="V2970">_xlfn.IFS(
ISNUMBER(SEARCH("USA",S2970)),"United States",
ISNUMBER(SEARCH("Republic of Ireland",S2970)),"Ireland",
ISNUMBER(SEARCH("Republic of Korea",S2970)),"South Korea",
ISNUMBER(SEARCH("Cape Verde",S2970)),"Cabo Verde",
ISNUMBER(SEARCH("Czechia",S2970)),"Czech Republic",
ISNUMBER(SEARCH("Türkiye",S2970)),"Turkey",
ISNUMBER(SEARCH("Ivory Coast",S2970)),"Côte d'Ivoire",
ISNUMBER(SEARCH("Korea Republic",S2970)),"South Korea",
ISNUMBER(SEARCH("Germany FR",S2970)),"FR Germany",
ISNUMBER(SEARCH("West Germany",S2970)),"FR Germany",
ISNUMBER(SEARCH("Germany DR",S2970)),"DR Germany",
ISNUMBER(SEARCH("Korea DPR",S2970)),"North Korea",
ISNUMBER(SEARCH("China PR",S2970)),"China",
ISNUMBER(SEARCH("IR Iran",S2970)),"Iran",
ISNUMBER(SEARCH("Congo DR",S2970)),"Democratic Republic of the Congo",
ISNUMBER(SEARCH("DR Congo",S2970)),"Democratic Republic of the Congo",
ISNUMBER(SEARCH("German DR",S2970)),"DR Germany",
ISNUMBER(SEARCH("rn""&gt;United Arab Emirates",S2970)),"United Arab Emirates",
ISNUMBER(SEARCH("rn""&gt;Republic of Ireland",S2970)),"Ireland",
ISNUMBER(SEARCH("rn""&gt;Bosnia and Herzegovina",S2970)),"Bosnia and Herzegovina",
ISNUMBER(SEARCH("rn""&gt;Trinidad and Tobago",S2970)),"Trinidad and Tobago",
ISNUMBER(SEARCH("rn""&gt;Serbia and Montenegro",S2970)),"Serbia and Montenegro",
ISNUMBER(SEARCH(_xlfn.UNICHAR(65533),S2970)),"Côte d'Ivoire",
TRUE,""
)</f>
        <v/>
      </c>
      <c r="W2970" s="40" t="str">
        <f t="shared" si="213"/>
        <v>France</v>
      </c>
    </row>
    <row r="2971" spans="19:23">
      <c r="S2971" s="40" t="str">
        <v>Sweden</v>
      </c>
      <c r="T2971" s="40" t="str">
        <f t="shared" si="211"/>
        <v>OK</v>
      </c>
      <c r="U2971" s="40" t="str">
        <f t="shared" si="212"/>
        <v>-</v>
      </c>
      <c r="V2971" s="40" t="str" cm="1">
        <f t="array" ref="V2971">_xlfn.IFS(
ISNUMBER(SEARCH("USA",S2971)),"United States",
ISNUMBER(SEARCH("Republic of Ireland",S2971)),"Ireland",
ISNUMBER(SEARCH("Republic of Korea",S2971)),"South Korea",
ISNUMBER(SEARCH("Cape Verde",S2971)),"Cabo Verde",
ISNUMBER(SEARCH("Czechia",S2971)),"Czech Republic",
ISNUMBER(SEARCH("Türkiye",S2971)),"Turkey",
ISNUMBER(SEARCH("Ivory Coast",S2971)),"Côte d'Ivoire",
ISNUMBER(SEARCH("Korea Republic",S2971)),"South Korea",
ISNUMBER(SEARCH("Germany FR",S2971)),"FR Germany",
ISNUMBER(SEARCH("West Germany",S2971)),"FR Germany",
ISNUMBER(SEARCH("Germany DR",S2971)),"DR Germany",
ISNUMBER(SEARCH("Korea DPR",S2971)),"North Korea",
ISNUMBER(SEARCH("China PR",S2971)),"China",
ISNUMBER(SEARCH("IR Iran",S2971)),"Iran",
ISNUMBER(SEARCH("Congo DR",S2971)),"Democratic Republic of the Congo",
ISNUMBER(SEARCH("DR Congo",S2971)),"Democratic Republic of the Congo",
ISNUMBER(SEARCH("German DR",S2971)),"DR Germany",
ISNUMBER(SEARCH("rn""&gt;United Arab Emirates",S2971)),"United Arab Emirates",
ISNUMBER(SEARCH("rn""&gt;Republic of Ireland",S2971)),"Ireland",
ISNUMBER(SEARCH("rn""&gt;Bosnia and Herzegovina",S2971)),"Bosnia and Herzegovina",
ISNUMBER(SEARCH("rn""&gt;Trinidad and Tobago",S2971)),"Trinidad and Tobago",
ISNUMBER(SEARCH("rn""&gt;Serbia and Montenegro",S2971)),"Serbia and Montenegro",
ISNUMBER(SEARCH(_xlfn.UNICHAR(65533),S2971)),"Côte d'Ivoire",
TRUE,""
)</f>
        <v/>
      </c>
      <c r="W2971" s="40" t="str">
        <f t="shared" si="213"/>
        <v>Sweden</v>
      </c>
    </row>
    <row r="2972" spans="19:23">
      <c r="S2972" s="40" t="str">
        <v>Argentina</v>
      </c>
      <c r="T2972" s="40" t="str">
        <f t="shared" si="211"/>
        <v>OK</v>
      </c>
      <c r="U2972" s="40" t="str">
        <f t="shared" si="212"/>
        <v>-</v>
      </c>
      <c r="V2972" s="40" t="str" cm="1">
        <f t="array" ref="V2972">_xlfn.IFS(
ISNUMBER(SEARCH("USA",S2972)),"United States",
ISNUMBER(SEARCH("Republic of Ireland",S2972)),"Ireland",
ISNUMBER(SEARCH("Republic of Korea",S2972)),"South Korea",
ISNUMBER(SEARCH("Cape Verde",S2972)),"Cabo Verde",
ISNUMBER(SEARCH("Czechia",S2972)),"Czech Republic",
ISNUMBER(SEARCH("Türkiye",S2972)),"Turkey",
ISNUMBER(SEARCH("Ivory Coast",S2972)),"Côte d'Ivoire",
ISNUMBER(SEARCH("Korea Republic",S2972)),"South Korea",
ISNUMBER(SEARCH("Germany FR",S2972)),"FR Germany",
ISNUMBER(SEARCH("West Germany",S2972)),"FR Germany",
ISNUMBER(SEARCH("Germany DR",S2972)),"DR Germany",
ISNUMBER(SEARCH("Korea DPR",S2972)),"North Korea",
ISNUMBER(SEARCH("China PR",S2972)),"China",
ISNUMBER(SEARCH("IR Iran",S2972)),"Iran",
ISNUMBER(SEARCH("Congo DR",S2972)),"Democratic Republic of the Congo",
ISNUMBER(SEARCH("DR Congo",S2972)),"Democratic Republic of the Congo",
ISNUMBER(SEARCH("German DR",S2972)),"DR Germany",
ISNUMBER(SEARCH("rn""&gt;United Arab Emirates",S2972)),"United Arab Emirates",
ISNUMBER(SEARCH("rn""&gt;Republic of Ireland",S2972)),"Ireland",
ISNUMBER(SEARCH("rn""&gt;Bosnia and Herzegovina",S2972)),"Bosnia and Herzegovina",
ISNUMBER(SEARCH("rn""&gt;Trinidad and Tobago",S2972)),"Trinidad and Tobago",
ISNUMBER(SEARCH("rn""&gt;Serbia and Montenegro",S2972)),"Serbia and Montenegro",
ISNUMBER(SEARCH(_xlfn.UNICHAR(65533),S2972)),"Côte d'Ivoire",
TRUE,""
)</f>
        <v/>
      </c>
      <c r="W2972" s="40" t="str">
        <f t="shared" si="213"/>
        <v>Argentina</v>
      </c>
    </row>
    <row r="2973" spans="19:23">
      <c r="S2973" s="40" t="str">
        <v>Spain</v>
      </c>
      <c r="T2973" s="40" t="str">
        <f t="shared" si="211"/>
        <v>OK</v>
      </c>
      <c r="U2973" s="40" t="str">
        <f t="shared" si="212"/>
        <v>-</v>
      </c>
      <c r="V2973" s="40" t="str" cm="1">
        <f t="array" ref="V2973">_xlfn.IFS(
ISNUMBER(SEARCH("USA",S2973)),"United States",
ISNUMBER(SEARCH("Republic of Ireland",S2973)),"Ireland",
ISNUMBER(SEARCH("Republic of Korea",S2973)),"South Korea",
ISNUMBER(SEARCH("Cape Verde",S2973)),"Cabo Verde",
ISNUMBER(SEARCH("Czechia",S2973)),"Czech Republic",
ISNUMBER(SEARCH("Türkiye",S2973)),"Turkey",
ISNUMBER(SEARCH("Ivory Coast",S2973)),"Côte d'Ivoire",
ISNUMBER(SEARCH("Korea Republic",S2973)),"South Korea",
ISNUMBER(SEARCH("Germany FR",S2973)),"FR Germany",
ISNUMBER(SEARCH("West Germany",S2973)),"FR Germany",
ISNUMBER(SEARCH("Germany DR",S2973)),"DR Germany",
ISNUMBER(SEARCH("Korea DPR",S2973)),"North Korea",
ISNUMBER(SEARCH("China PR",S2973)),"China",
ISNUMBER(SEARCH("IR Iran",S2973)),"Iran",
ISNUMBER(SEARCH("Congo DR",S2973)),"Democratic Republic of the Congo",
ISNUMBER(SEARCH("DR Congo",S2973)),"Democratic Republic of the Congo",
ISNUMBER(SEARCH("German DR",S2973)),"DR Germany",
ISNUMBER(SEARCH("rn""&gt;United Arab Emirates",S2973)),"United Arab Emirates",
ISNUMBER(SEARCH("rn""&gt;Republic of Ireland",S2973)),"Ireland",
ISNUMBER(SEARCH("rn""&gt;Bosnia and Herzegovina",S2973)),"Bosnia and Herzegovina",
ISNUMBER(SEARCH("rn""&gt;Trinidad and Tobago",S2973)),"Trinidad and Tobago",
ISNUMBER(SEARCH("rn""&gt;Serbia and Montenegro",S2973)),"Serbia and Montenegro",
ISNUMBER(SEARCH(_xlfn.UNICHAR(65533),S2973)),"Côte d'Ivoire",
TRUE,""
)</f>
        <v/>
      </c>
      <c r="W2973" s="40" t="str">
        <f t="shared" si="213"/>
        <v>Spain</v>
      </c>
    </row>
    <row r="2974" spans="19:23">
      <c r="S2974" s="40" t="str">
        <v>South Africa</v>
      </c>
      <c r="T2974" s="40" t="str">
        <f t="shared" si="211"/>
        <v>OK</v>
      </c>
      <c r="U2974" s="40" t="str">
        <f t="shared" si="212"/>
        <v>-</v>
      </c>
      <c r="V2974" s="40" t="str" cm="1">
        <f t="array" ref="V2974">_xlfn.IFS(
ISNUMBER(SEARCH("USA",S2974)),"United States",
ISNUMBER(SEARCH("Republic of Ireland",S2974)),"Ireland",
ISNUMBER(SEARCH("Republic of Korea",S2974)),"South Korea",
ISNUMBER(SEARCH("Cape Verde",S2974)),"Cabo Verde",
ISNUMBER(SEARCH("Czechia",S2974)),"Czech Republic",
ISNUMBER(SEARCH("Türkiye",S2974)),"Turkey",
ISNUMBER(SEARCH("Ivory Coast",S2974)),"Côte d'Ivoire",
ISNUMBER(SEARCH("Korea Republic",S2974)),"South Korea",
ISNUMBER(SEARCH("Germany FR",S2974)),"FR Germany",
ISNUMBER(SEARCH("West Germany",S2974)),"FR Germany",
ISNUMBER(SEARCH("Germany DR",S2974)),"DR Germany",
ISNUMBER(SEARCH("Korea DPR",S2974)),"North Korea",
ISNUMBER(SEARCH("China PR",S2974)),"China",
ISNUMBER(SEARCH("IR Iran",S2974)),"Iran",
ISNUMBER(SEARCH("Congo DR",S2974)),"Democratic Republic of the Congo",
ISNUMBER(SEARCH("DR Congo",S2974)),"Democratic Republic of the Congo",
ISNUMBER(SEARCH("German DR",S2974)),"DR Germany",
ISNUMBER(SEARCH("rn""&gt;United Arab Emirates",S2974)),"United Arab Emirates",
ISNUMBER(SEARCH("rn""&gt;Republic of Ireland",S2974)),"Ireland",
ISNUMBER(SEARCH("rn""&gt;Bosnia and Herzegovina",S2974)),"Bosnia and Herzegovina",
ISNUMBER(SEARCH("rn""&gt;Trinidad and Tobago",S2974)),"Trinidad and Tobago",
ISNUMBER(SEARCH("rn""&gt;Serbia and Montenegro",S2974)),"Serbia and Montenegro",
ISNUMBER(SEARCH(_xlfn.UNICHAR(65533),S2974)),"Côte d'Ivoire",
TRUE,""
)</f>
        <v/>
      </c>
      <c r="W2974" s="40" t="str">
        <f t="shared" si="213"/>
        <v>South Africa</v>
      </c>
    </row>
    <row r="2975" spans="19:23">
      <c r="S2975" s="40" t="str">
        <v>Brazil</v>
      </c>
      <c r="T2975" s="40" t="str">
        <f t="shared" si="211"/>
        <v>OK</v>
      </c>
      <c r="U2975" s="40" t="str">
        <f t="shared" si="212"/>
        <v>-</v>
      </c>
      <c r="V2975" s="40" t="str" cm="1">
        <f t="array" ref="V2975">_xlfn.IFS(
ISNUMBER(SEARCH("USA",S2975)),"United States",
ISNUMBER(SEARCH("Republic of Ireland",S2975)),"Ireland",
ISNUMBER(SEARCH("Republic of Korea",S2975)),"South Korea",
ISNUMBER(SEARCH("Cape Verde",S2975)),"Cabo Verde",
ISNUMBER(SEARCH("Czechia",S2975)),"Czech Republic",
ISNUMBER(SEARCH("Türkiye",S2975)),"Turkey",
ISNUMBER(SEARCH("Ivory Coast",S2975)),"Côte d'Ivoire",
ISNUMBER(SEARCH("Korea Republic",S2975)),"South Korea",
ISNUMBER(SEARCH("Germany FR",S2975)),"FR Germany",
ISNUMBER(SEARCH("West Germany",S2975)),"FR Germany",
ISNUMBER(SEARCH("Germany DR",S2975)),"DR Germany",
ISNUMBER(SEARCH("Korea DPR",S2975)),"North Korea",
ISNUMBER(SEARCH("China PR",S2975)),"China",
ISNUMBER(SEARCH("IR Iran",S2975)),"Iran",
ISNUMBER(SEARCH("Congo DR",S2975)),"Democratic Republic of the Congo",
ISNUMBER(SEARCH("DR Congo",S2975)),"Democratic Republic of the Congo",
ISNUMBER(SEARCH("German DR",S2975)),"DR Germany",
ISNUMBER(SEARCH("rn""&gt;United Arab Emirates",S2975)),"United Arab Emirates",
ISNUMBER(SEARCH("rn""&gt;Republic of Ireland",S2975)),"Ireland",
ISNUMBER(SEARCH("rn""&gt;Bosnia and Herzegovina",S2975)),"Bosnia and Herzegovina",
ISNUMBER(SEARCH("rn""&gt;Trinidad and Tobago",S2975)),"Trinidad and Tobago",
ISNUMBER(SEARCH("rn""&gt;Serbia and Montenegro",S2975)),"Serbia and Montenegro",
ISNUMBER(SEARCH(_xlfn.UNICHAR(65533),S2975)),"Côte d'Ivoire",
TRUE,""
)</f>
        <v/>
      </c>
      <c r="W2975" s="40" t="str">
        <f t="shared" si="213"/>
        <v>Brazil</v>
      </c>
    </row>
    <row r="2976" spans="19:23">
      <c r="S2976" s="40" t="str">
        <v>Italy</v>
      </c>
      <c r="T2976" s="40" t="str">
        <f t="shared" si="211"/>
        <v>OK</v>
      </c>
      <c r="U2976" s="40" t="str">
        <f t="shared" si="212"/>
        <v>-</v>
      </c>
      <c r="V2976" s="40" t="str" cm="1">
        <f t="array" ref="V2976">_xlfn.IFS(
ISNUMBER(SEARCH("USA",S2976)),"United States",
ISNUMBER(SEARCH("Republic of Ireland",S2976)),"Ireland",
ISNUMBER(SEARCH("Republic of Korea",S2976)),"South Korea",
ISNUMBER(SEARCH("Cape Verde",S2976)),"Cabo Verde",
ISNUMBER(SEARCH("Czechia",S2976)),"Czech Republic",
ISNUMBER(SEARCH("Türkiye",S2976)),"Turkey",
ISNUMBER(SEARCH("Ivory Coast",S2976)),"Côte d'Ivoire",
ISNUMBER(SEARCH("Korea Republic",S2976)),"South Korea",
ISNUMBER(SEARCH("Germany FR",S2976)),"FR Germany",
ISNUMBER(SEARCH("West Germany",S2976)),"FR Germany",
ISNUMBER(SEARCH("Germany DR",S2976)),"DR Germany",
ISNUMBER(SEARCH("Korea DPR",S2976)),"North Korea",
ISNUMBER(SEARCH("China PR",S2976)),"China",
ISNUMBER(SEARCH("IR Iran",S2976)),"Iran",
ISNUMBER(SEARCH("Congo DR",S2976)),"Democratic Republic of the Congo",
ISNUMBER(SEARCH("DR Congo",S2976)),"Democratic Republic of the Congo",
ISNUMBER(SEARCH("German DR",S2976)),"DR Germany",
ISNUMBER(SEARCH("rn""&gt;United Arab Emirates",S2976)),"United Arab Emirates",
ISNUMBER(SEARCH("rn""&gt;Republic of Ireland",S2976)),"Ireland",
ISNUMBER(SEARCH("rn""&gt;Bosnia and Herzegovina",S2976)),"Bosnia and Herzegovina",
ISNUMBER(SEARCH("rn""&gt;Trinidad and Tobago",S2976)),"Trinidad and Tobago",
ISNUMBER(SEARCH("rn""&gt;Serbia and Montenegro",S2976)),"Serbia and Montenegro",
ISNUMBER(SEARCH(_xlfn.UNICHAR(65533),S2976)),"Côte d'Ivoire",
TRUE,""
)</f>
        <v/>
      </c>
      <c r="W2976" s="40" t="str">
        <f t="shared" si="213"/>
        <v>Italy</v>
      </c>
    </row>
    <row r="2977" spans="19:23">
      <c r="S2977" s="40" t="str">
        <v>Costa Rica</v>
      </c>
      <c r="T2977" s="40" t="str">
        <f t="shared" si="211"/>
        <v>OK</v>
      </c>
      <c r="U2977" s="40" t="str">
        <f t="shared" si="212"/>
        <v>-</v>
      </c>
      <c r="V2977" s="40" t="str" cm="1">
        <f t="array" ref="V2977">_xlfn.IFS(
ISNUMBER(SEARCH("USA",S2977)),"United States",
ISNUMBER(SEARCH("Republic of Ireland",S2977)),"Ireland",
ISNUMBER(SEARCH("Republic of Korea",S2977)),"South Korea",
ISNUMBER(SEARCH("Cape Verde",S2977)),"Cabo Verde",
ISNUMBER(SEARCH("Czechia",S2977)),"Czech Republic",
ISNUMBER(SEARCH("Türkiye",S2977)),"Turkey",
ISNUMBER(SEARCH("Ivory Coast",S2977)),"Côte d'Ivoire",
ISNUMBER(SEARCH("Korea Republic",S2977)),"South Korea",
ISNUMBER(SEARCH("Germany FR",S2977)),"FR Germany",
ISNUMBER(SEARCH("West Germany",S2977)),"FR Germany",
ISNUMBER(SEARCH("Germany DR",S2977)),"DR Germany",
ISNUMBER(SEARCH("Korea DPR",S2977)),"North Korea",
ISNUMBER(SEARCH("China PR",S2977)),"China",
ISNUMBER(SEARCH("IR Iran",S2977)),"Iran",
ISNUMBER(SEARCH("Congo DR",S2977)),"Democratic Republic of the Congo",
ISNUMBER(SEARCH("DR Congo",S2977)),"Democratic Republic of the Congo",
ISNUMBER(SEARCH("German DR",S2977)),"DR Germany",
ISNUMBER(SEARCH("rn""&gt;United Arab Emirates",S2977)),"United Arab Emirates",
ISNUMBER(SEARCH("rn""&gt;Republic of Ireland",S2977)),"Ireland",
ISNUMBER(SEARCH("rn""&gt;Bosnia and Herzegovina",S2977)),"Bosnia and Herzegovina",
ISNUMBER(SEARCH("rn""&gt;Trinidad and Tobago",S2977)),"Trinidad and Tobago",
ISNUMBER(SEARCH("rn""&gt;Serbia and Montenegro",S2977)),"Serbia and Montenegro",
ISNUMBER(SEARCH(_xlfn.UNICHAR(65533),S2977)),"Côte d'Ivoire",
TRUE,""
)</f>
        <v/>
      </c>
      <c r="W2977" s="40" t="str">
        <f t="shared" si="213"/>
        <v>Costa Rica</v>
      </c>
    </row>
    <row r="2978" spans="19:23">
      <c r="S2978" s="40" t="str">
        <v>Japan</v>
      </c>
      <c r="T2978" s="40" t="str">
        <f t="shared" si="211"/>
        <v>OK</v>
      </c>
      <c r="U2978" s="40" t="str">
        <f t="shared" si="212"/>
        <v>-</v>
      </c>
      <c r="V2978" s="40" t="str" cm="1">
        <f t="array" ref="V2978">_xlfn.IFS(
ISNUMBER(SEARCH("USA",S2978)),"United States",
ISNUMBER(SEARCH("Republic of Ireland",S2978)),"Ireland",
ISNUMBER(SEARCH("Republic of Korea",S2978)),"South Korea",
ISNUMBER(SEARCH("Cape Verde",S2978)),"Cabo Verde",
ISNUMBER(SEARCH("Czechia",S2978)),"Czech Republic",
ISNUMBER(SEARCH("Türkiye",S2978)),"Turkey",
ISNUMBER(SEARCH("Ivory Coast",S2978)),"Côte d'Ivoire",
ISNUMBER(SEARCH("Korea Republic",S2978)),"South Korea",
ISNUMBER(SEARCH("Germany FR",S2978)),"FR Germany",
ISNUMBER(SEARCH("West Germany",S2978)),"FR Germany",
ISNUMBER(SEARCH("Germany DR",S2978)),"DR Germany",
ISNUMBER(SEARCH("Korea DPR",S2978)),"North Korea",
ISNUMBER(SEARCH("China PR",S2978)),"China",
ISNUMBER(SEARCH("IR Iran",S2978)),"Iran",
ISNUMBER(SEARCH("Congo DR",S2978)),"Democratic Republic of the Congo",
ISNUMBER(SEARCH("DR Congo",S2978)),"Democratic Republic of the Congo",
ISNUMBER(SEARCH("German DR",S2978)),"DR Germany",
ISNUMBER(SEARCH("rn""&gt;United Arab Emirates",S2978)),"United Arab Emirates",
ISNUMBER(SEARCH("rn""&gt;Republic of Ireland",S2978)),"Ireland",
ISNUMBER(SEARCH("rn""&gt;Bosnia and Herzegovina",S2978)),"Bosnia and Herzegovina",
ISNUMBER(SEARCH("rn""&gt;Trinidad and Tobago",S2978)),"Trinidad and Tobago",
ISNUMBER(SEARCH("rn""&gt;Serbia and Montenegro",S2978)),"Serbia and Montenegro",
ISNUMBER(SEARCH(_xlfn.UNICHAR(65533),S2978)),"Côte d'Ivoire",
TRUE,""
)</f>
        <v/>
      </c>
      <c r="W2978" s="40" t="str">
        <f t="shared" si="213"/>
        <v>Japan</v>
      </c>
    </row>
    <row r="2979" spans="19:23">
      <c r="S2979" s="40" t="str">
        <v>Mexico</v>
      </c>
      <c r="T2979" s="40" t="str">
        <f t="shared" si="211"/>
        <v>OK</v>
      </c>
      <c r="U2979" s="40" t="str">
        <f t="shared" si="212"/>
        <v>-</v>
      </c>
      <c r="V2979" s="40" t="str" cm="1">
        <f t="array" ref="V2979">_xlfn.IFS(
ISNUMBER(SEARCH("USA",S2979)),"United States",
ISNUMBER(SEARCH("Republic of Ireland",S2979)),"Ireland",
ISNUMBER(SEARCH("Republic of Korea",S2979)),"South Korea",
ISNUMBER(SEARCH("Cape Verde",S2979)),"Cabo Verde",
ISNUMBER(SEARCH("Czechia",S2979)),"Czech Republic",
ISNUMBER(SEARCH("Türkiye",S2979)),"Turkey",
ISNUMBER(SEARCH("Ivory Coast",S2979)),"Côte d'Ivoire",
ISNUMBER(SEARCH("Korea Republic",S2979)),"South Korea",
ISNUMBER(SEARCH("Germany FR",S2979)),"FR Germany",
ISNUMBER(SEARCH("West Germany",S2979)),"FR Germany",
ISNUMBER(SEARCH("Germany DR",S2979)),"DR Germany",
ISNUMBER(SEARCH("Korea DPR",S2979)),"North Korea",
ISNUMBER(SEARCH("China PR",S2979)),"China",
ISNUMBER(SEARCH("IR Iran",S2979)),"Iran",
ISNUMBER(SEARCH("Congo DR",S2979)),"Democratic Republic of the Congo",
ISNUMBER(SEARCH("DR Congo",S2979)),"Democratic Republic of the Congo",
ISNUMBER(SEARCH("German DR",S2979)),"DR Germany",
ISNUMBER(SEARCH("rn""&gt;United Arab Emirates",S2979)),"United Arab Emirates",
ISNUMBER(SEARCH("rn""&gt;Republic of Ireland",S2979)),"Ireland",
ISNUMBER(SEARCH("rn""&gt;Bosnia and Herzegovina",S2979)),"Bosnia and Herzegovina",
ISNUMBER(SEARCH("rn""&gt;Trinidad and Tobago",S2979)),"Trinidad and Tobago",
ISNUMBER(SEARCH("rn""&gt;Serbia and Montenegro",S2979)),"Serbia and Montenegro",
ISNUMBER(SEARCH(_xlfn.UNICHAR(65533),S2979)),"Côte d'Ivoire",
TRUE,""
)</f>
        <v/>
      </c>
      <c r="W2979" s="40" t="str">
        <f t="shared" si="213"/>
        <v>Mexico</v>
      </c>
    </row>
    <row r="2980" spans="19:23">
      <c r="S2980" s="40" t="str">
        <v>Korea Republic</v>
      </c>
      <c r="T2980" s="40" t="str">
        <f t="shared" si="211"/>
        <v>ERREUR</v>
      </c>
      <c r="U2980" s="40" t="str">
        <f t="shared" si="212"/>
        <v>RENOMMER</v>
      </c>
      <c r="V2980" s="40" t="str" cm="1">
        <f t="array" ref="V2980">_xlfn.IFS(
ISNUMBER(SEARCH("USA",S2980)),"United States",
ISNUMBER(SEARCH("Republic of Ireland",S2980)),"Ireland",
ISNUMBER(SEARCH("Republic of Korea",S2980)),"South Korea",
ISNUMBER(SEARCH("Cape Verde",S2980)),"Cabo Verde",
ISNUMBER(SEARCH("Czechia",S2980)),"Czech Republic",
ISNUMBER(SEARCH("Türkiye",S2980)),"Turkey",
ISNUMBER(SEARCH("Ivory Coast",S2980)),"Côte d'Ivoire",
ISNUMBER(SEARCH("Korea Republic",S2980)),"South Korea",
ISNUMBER(SEARCH("Germany FR",S2980)),"FR Germany",
ISNUMBER(SEARCH("West Germany",S2980)),"FR Germany",
ISNUMBER(SEARCH("Germany DR",S2980)),"DR Germany",
ISNUMBER(SEARCH("Korea DPR",S2980)),"North Korea",
ISNUMBER(SEARCH("China PR",S2980)),"China",
ISNUMBER(SEARCH("IR Iran",S2980)),"Iran",
ISNUMBER(SEARCH("Congo DR",S2980)),"Democratic Republic of the Congo",
ISNUMBER(SEARCH("DR Congo",S2980)),"Democratic Republic of the Congo",
ISNUMBER(SEARCH("German DR",S2980)),"DR Germany",
ISNUMBER(SEARCH("rn""&gt;United Arab Emirates",S2980)),"United Arab Emirates",
ISNUMBER(SEARCH("rn""&gt;Republic of Ireland",S2980)),"Ireland",
ISNUMBER(SEARCH("rn""&gt;Bosnia and Herzegovina",S2980)),"Bosnia and Herzegovina",
ISNUMBER(SEARCH("rn""&gt;Trinidad and Tobago",S2980)),"Trinidad and Tobago",
ISNUMBER(SEARCH("rn""&gt;Serbia and Montenegro",S2980)),"Serbia and Montenegro",
ISNUMBER(SEARCH(_xlfn.UNICHAR(65533),S2980)),"Côte d'Ivoire",
TRUE,""
)</f>
        <v>South Korea</v>
      </c>
      <c r="W2980" s="40" t="str">
        <f t="shared" si="213"/>
        <v>South Korea</v>
      </c>
    </row>
    <row r="2981" spans="19:23">
      <c r="S2981" s="40" t="str">
        <v>Portugal</v>
      </c>
      <c r="T2981" s="40" t="str">
        <f t="shared" si="211"/>
        <v>OK</v>
      </c>
      <c r="U2981" s="40" t="str">
        <f t="shared" si="212"/>
        <v>-</v>
      </c>
      <c r="V2981" s="40" t="str" cm="1">
        <f t="array" ref="V2981">_xlfn.IFS(
ISNUMBER(SEARCH("USA",S2981)),"United States",
ISNUMBER(SEARCH("Republic of Ireland",S2981)),"Ireland",
ISNUMBER(SEARCH("Republic of Korea",S2981)),"South Korea",
ISNUMBER(SEARCH("Cape Verde",S2981)),"Cabo Verde",
ISNUMBER(SEARCH("Czechia",S2981)),"Czech Republic",
ISNUMBER(SEARCH("Türkiye",S2981)),"Turkey",
ISNUMBER(SEARCH("Ivory Coast",S2981)),"Côte d'Ivoire",
ISNUMBER(SEARCH("Korea Republic",S2981)),"South Korea",
ISNUMBER(SEARCH("Germany FR",S2981)),"FR Germany",
ISNUMBER(SEARCH("West Germany",S2981)),"FR Germany",
ISNUMBER(SEARCH("Germany DR",S2981)),"DR Germany",
ISNUMBER(SEARCH("Korea DPR",S2981)),"North Korea",
ISNUMBER(SEARCH("China PR",S2981)),"China",
ISNUMBER(SEARCH("IR Iran",S2981)),"Iran",
ISNUMBER(SEARCH("Congo DR",S2981)),"Democratic Republic of the Congo",
ISNUMBER(SEARCH("DR Congo",S2981)),"Democratic Republic of the Congo",
ISNUMBER(SEARCH("German DR",S2981)),"DR Germany",
ISNUMBER(SEARCH("rn""&gt;United Arab Emirates",S2981)),"United Arab Emirates",
ISNUMBER(SEARCH("rn""&gt;Republic of Ireland",S2981)),"Ireland",
ISNUMBER(SEARCH("rn""&gt;Bosnia and Herzegovina",S2981)),"Bosnia and Herzegovina",
ISNUMBER(SEARCH("rn""&gt;Trinidad and Tobago",S2981)),"Trinidad and Tobago",
ISNUMBER(SEARCH("rn""&gt;Serbia and Montenegro",S2981)),"Serbia and Montenegro",
ISNUMBER(SEARCH(_xlfn.UNICHAR(65533),S2981)),"Côte d'Ivoire",
TRUE,""
)</f>
        <v/>
      </c>
      <c r="W2981" s="40" t="str">
        <f t="shared" si="213"/>
        <v>Portugal</v>
      </c>
    </row>
    <row r="2982" spans="19:23">
      <c r="S2982" s="40" t="str">
        <v>Tunisia</v>
      </c>
      <c r="T2982" s="40" t="str">
        <f t="shared" si="211"/>
        <v>OK</v>
      </c>
      <c r="U2982" s="40" t="str">
        <f t="shared" si="212"/>
        <v>-</v>
      </c>
      <c r="V2982" s="40" t="str" cm="1">
        <f t="array" ref="V2982">_xlfn.IFS(
ISNUMBER(SEARCH("USA",S2982)),"United States",
ISNUMBER(SEARCH("Republic of Ireland",S2982)),"Ireland",
ISNUMBER(SEARCH("Republic of Korea",S2982)),"South Korea",
ISNUMBER(SEARCH("Cape Verde",S2982)),"Cabo Verde",
ISNUMBER(SEARCH("Czechia",S2982)),"Czech Republic",
ISNUMBER(SEARCH("Türkiye",S2982)),"Turkey",
ISNUMBER(SEARCH("Ivory Coast",S2982)),"Côte d'Ivoire",
ISNUMBER(SEARCH("Korea Republic",S2982)),"South Korea",
ISNUMBER(SEARCH("Germany FR",S2982)),"FR Germany",
ISNUMBER(SEARCH("West Germany",S2982)),"FR Germany",
ISNUMBER(SEARCH("Germany DR",S2982)),"DR Germany",
ISNUMBER(SEARCH("Korea DPR",S2982)),"North Korea",
ISNUMBER(SEARCH("China PR",S2982)),"China",
ISNUMBER(SEARCH("IR Iran",S2982)),"Iran",
ISNUMBER(SEARCH("Congo DR",S2982)),"Democratic Republic of the Congo",
ISNUMBER(SEARCH("DR Congo",S2982)),"Democratic Republic of the Congo",
ISNUMBER(SEARCH("German DR",S2982)),"DR Germany",
ISNUMBER(SEARCH("rn""&gt;United Arab Emirates",S2982)),"United Arab Emirates",
ISNUMBER(SEARCH("rn""&gt;Republic of Ireland",S2982)),"Ireland",
ISNUMBER(SEARCH("rn""&gt;Bosnia and Herzegovina",S2982)),"Bosnia and Herzegovina",
ISNUMBER(SEARCH("rn""&gt;Trinidad and Tobago",S2982)),"Trinidad and Tobago",
ISNUMBER(SEARCH("rn""&gt;Serbia and Montenegro",S2982)),"Serbia and Montenegro",
ISNUMBER(SEARCH(_xlfn.UNICHAR(65533),S2982)),"Côte d'Ivoire",
TRUE,""
)</f>
        <v/>
      </c>
      <c r="W2982" s="40" t="str">
        <f t="shared" si="213"/>
        <v>Tunisia</v>
      </c>
    </row>
    <row r="2983" spans="19:23">
      <c r="S2983" s="40" t="str">
        <v>Denmark</v>
      </c>
      <c r="T2983" s="40" t="str">
        <f t="shared" si="211"/>
        <v>OK</v>
      </c>
      <c r="U2983" s="40" t="str">
        <f t="shared" si="212"/>
        <v>-</v>
      </c>
      <c r="V2983" s="40" t="str" cm="1">
        <f t="array" ref="V2983">_xlfn.IFS(
ISNUMBER(SEARCH("USA",S2983)),"United States",
ISNUMBER(SEARCH("Republic of Ireland",S2983)),"Ireland",
ISNUMBER(SEARCH("Republic of Korea",S2983)),"South Korea",
ISNUMBER(SEARCH("Cape Verde",S2983)),"Cabo Verde",
ISNUMBER(SEARCH("Czechia",S2983)),"Czech Republic",
ISNUMBER(SEARCH("Türkiye",S2983)),"Turkey",
ISNUMBER(SEARCH("Ivory Coast",S2983)),"Côte d'Ivoire",
ISNUMBER(SEARCH("Korea Republic",S2983)),"South Korea",
ISNUMBER(SEARCH("Germany FR",S2983)),"FR Germany",
ISNUMBER(SEARCH("West Germany",S2983)),"FR Germany",
ISNUMBER(SEARCH("Germany DR",S2983)),"DR Germany",
ISNUMBER(SEARCH("Korea DPR",S2983)),"North Korea",
ISNUMBER(SEARCH("China PR",S2983)),"China",
ISNUMBER(SEARCH("IR Iran",S2983)),"Iran",
ISNUMBER(SEARCH("Congo DR",S2983)),"Democratic Republic of the Congo",
ISNUMBER(SEARCH("DR Congo",S2983)),"Democratic Republic of the Congo",
ISNUMBER(SEARCH("German DR",S2983)),"DR Germany",
ISNUMBER(SEARCH("rn""&gt;United Arab Emirates",S2983)),"United Arab Emirates",
ISNUMBER(SEARCH("rn""&gt;Republic of Ireland",S2983)),"Ireland",
ISNUMBER(SEARCH("rn""&gt;Bosnia and Herzegovina",S2983)),"Bosnia and Herzegovina",
ISNUMBER(SEARCH("rn""&gt;Trinidad and Tobago",S2983)),"Trinidad and Tobago",
ISNUMBER(SEARCH("rn""&gt;Serbia and Montenegro",S2983)),"Serbia and Montenegro",
ISNUMBER(SEARCH(_xlfn.UNICHAR(65533),S2983)),"Côte d'Ivoire",
TRUE,""
)</f>
        <v/>
      </c>
      <c r="W2983" s="40" t="str">
        <f t="shared" si="213"/>
        <v>Denmark</v>
      </c>
    </row>
    <row r="2984" spans="19:23">
      <c r="S2984" s="40" t="str">
        <v>Senegal</v>
      </c>
      <c r="T2984" s="40" t="str">
        <f t="shared" si="211"/>
        <v>OK</v>
      </c>
      <c r="U2984" s="40" t="str">
        <f t="shared" si="212"/>
        <v>-</v>
      </c>
      <c r="V2984" s="40" t="str" cm="1">
        <f t="array" ref="V2984">_xlfn.IFS(
ISNUMBER(SEARCH("USA",S2984)),"United States",
ISNUMBER(SEARCH("Republic of Ireland",S2984)),"Ireland",
ISNUMBER(SEARCH("Republic of Korea",S2984)),"South Korea",
ISNUMBER(SEARCH("Cape Verde",S2984)),"Cabo Verde",
ISNUMBER(SEARCH("Czechia",S2984)),"Czech Republic",
ISNUMBER(SEARCH("Türkiye",S2984)),"Turkey",
ISNUMBER(SEARCH("Ivory Coast",S2984)),"Côte d'Ivoire",
ISNUMBER(SEARCH("Korea Republic",S2984)),"South Korea",
ISNUMBER(SEARCH("Germany FR",S2984)),"FR Germany",
ISNUMBER(SEARCH("West Germany",S2984)),"FR Germany",
ISNUMBER(SEARCH("Germany DR",S2984)),"DR Germany",
ISNUMBER(SEARCH("Korea DPR",S2984)),"North Korea",
ISNUMBER(SEARCH("China PR",S2984)),"China",
ISNUMBER(SEARCH("IR Iran",S2984)),"Iran",
ISNUMBER(SEARCH("Congo DR",S2984)),"Democratic Republic of the Congo",
ISNUMBER(SEARCH("DR Congo",S2984)),"Democratic Republic of the Congo",
ISNUMBER(SEARCH("German DR",S2984)),"DR Germany",
ISNUMBER(SEARCH("rn""&gt;United Arab Emirates",S2984)),"United Arab Emirates",
ISNUMBER(SEARCH("rn""&gt;Republic of Ireland",S2984)),"Ireland",
ISNUMBER(SEARCH("rn""&gt;Bosnia and Herzegovina",S2984)),"Bosnia and Herzegovina",
ISNUMBER(SEARCH("rn""&gt;Trinidad and Tobago",S2984)),"Trinidad and Tobago",
ISNUMBER(SEARCH("rn""&gt;Serbia and Montenegro",S2984)),"Serbia and Montenegro",
ISNUMBER(SEARCH(_xlfn.UNICHAR(65533),S2984)),"Côte d'Ivoire",
TRUE,""
)</f>
        <v/>
      </c>
      <c r="W2984" s="40" t="str">
        <f t="shared" si="213"/>
        <v>Senegal</v>
      </c>
    </row>
    <row r="2985" spans="19:23">
      <c r="S2985" s="40" t="str">
        <v>Saudi Arabia</v>
      </c>
      <c r="T2985" s="40" t="str">
        <f t="shared" si="211"/>
        <v>OK</v>
      </c>
      <c r="U2985" s="40" t="str">
        <f t="shared" si="212"/>
        <v>-</v>
      </c>
      <c r="V2985" s="40" t="str" cm="1">
        <f t="array" ref="V2985">_xlfn.IFS(
ISNUMBER(SEARCH("USA",S2985)),"United States",
ISNUMBER(SEARCH("Republic of Ireland",S2985)),"Ireland",
ISNUMBER(SEARCH("Republic of Korea",S2985)),"South Korea",
ISNUMBER(SEARCH("Cape Verde",S2985)),"Cabo Verde",
ISNUMBER(SEARCH("Czechia",S2985)),"Czech Republic",
ISNUMBER(SEARCH("Türkiye",S2985)),"Turkey",
ISNUMBER(SEARCH("Ivory Coast",S2985)),"Côte d'Ivoire",
ISNUMBER(SEARCH("Korea Republic",S2985)),"South Korea",
ISNUMBER(SEARCH("Germany FR",S2985)),"FR Germany",
ISNUMBER(SEARCH("West Germany",S2985)),"FR Germany",
ISNUMBER(SEARCH("Germany DR",S2985)),"DR Germany",
ISNUMBER(SEARCH("Korea DPR",S2985)),"North Korea",
ISNUMBER(SEARCH("China PR",S2985)),"China",
ISNUMBER(SEARCH("IR Iran",S2985)),"Iran",
ISNUMBER(SEARCH("Congo DR",S2985)),"Democratic Republic of the Congo",
ISNUMBER(SEARCH("DR Congo",S2985)),"Democratic Republic of the Congo",
ISNUMBER(SEARCH("German DR",S2985)),"DR Germany",
ISNUMBER(SEARCH("rn""&gt;United Arab Emirates",S2985)),"United Arab Emirates",
ISNUMBER(SEARCH("rn""&gt;Republic of Ireland",S2985)),"Ireland",
ISNUMBER(SEARCH("rn""&gt;Bosnia and Herzegovina",S2985)),"Bosnia and Herzegovina",
ISNUMBER(SEARCH("rn""&gt;Trinidad and Tobago",S2985)),"Trinidad and Tobago",
ISNUMBER(SEARCH("rn""&gt;Serbia and Montenegro",S2985)),"Serbia and Montenegro",
ISNUMBER(SEARCH(_xlfn.UNICHAR(65533),S2985)),"Côte d'Ivoire",
TRUE,""
)</f>
        <v/>
      </c>
      <c r="W2985" s="40" t="str">
        <f t="shared" si="213"/>
        <v>Saudi Arabia</v>
      </c>
    </row>
    <row r="2986" spans="19:23">
      <c r="S2986" s="40" t="str">
        <v>Cameroon</v>
      </c>
      <c r="T2986" s="40" t="str">
        <f t="shared" si="211"/>
        <v>OK</v>
      </c>
      <c r="U2986" s="40" t="str">
        <f t="shared" si="212"/>
        <v>-</v>
      </c>
      <c r="V2986" s="40" t="str" cm="1">
        <f t="array" ref="V2986">_xlfn.IFS(
ISNUMBER(SEARCH("USA",S2986)),"United States",
ISNUMBER(SEARCH("Republic of Ireland",S2986)),"Ireland",
ISNUMBER(SEARCH("Republic of Korea",S2986)),"South Korea",
ISNUMBER(SEARCH("Cape Verde",S2986)),"Cabo Verde",
ISNUMBER(SEARCH("Czechia",S2986)),"Czech Republic",
ISNUMBER(SEARCH("Türkiye",S2986)),"Turkey",
ISNUMBER(SEARCH("Ivory Coast",S2986)),"Côte d'Ivoire",
ISNUMBER(SEARCH("Korea Republic",S2986)),"South Korea",
ISNUMBER(SEARCH("Germany FR",S2986)),"FR Germany",
ISNUMBER(SEARCH("West Germany",S2986)),"FR Germany",
ISNUMBER(SEARCH("Germany DR",S2986)),"DR Germany",
ISNUMBER(SEARCH("Korea DPR",S2986)),"North Korea",
ISNUMBER(SEARCH("China PR",S2986)),"China",
ISNUMBER(SEARCH("IR Iran",S2986)),"Iran",
ISNUMBER(SEARCH("Congo DR",S2986)),"Democratic Republic of the Congo",
ISNUMBER(SEARCH("DR Congo",S2986)),"Democratic Republic of the Congo",
ISNUMBER(SEARCH("German DR",S2986)),"DR Germany",
ISNUMBER(SEARCH("rn""&gt;United Arab Emirates",S2986)),"United Arab Emirates",
ISNUMBER(SEARCH("rn""&gt;Republic of Ireland",S2986)),"Ireland",
ISNUMBER(SEARCH("rn""&gt;Bosnia and Herzegovina",S2986)),"Bosnia and Herzegovina",
ISNUMBER(SEARCH("rn""&gt;Trinidad and Tobago",S2986)),"Trinidad and Tobago",
ISNUMBER(SEARCH("rn""&gt;Serbia and Montenegro",S2986)),"Serbia and Montenegro",
ISNUMBER(SEARCH(_xlfn.UNICHAR(65533),S2986)),"Côte d'Ivoire",
TRUE,""
)</f>
        <v/>
      </c>
      <c r="W2986" s="40" t="str">
        <f t="shared" si="213"/>
        <v>Cameroon</v>
      </c>
    </row>
    <row r="2987" spans="19:23">
      <c r="S2987" s="40" t="str">
        <v>Sweden</v>
      </c>
      <c r="T2987" s="40" t="str">
        <f t="shared" si="211"/>
        <v>OK</v>
      </c>
      <c r="U2987" s="40" t="str">
        <f t="shared" si="212"/>
        <v>-</v>
      </c>
      <c r="V2987" s="40" t="str" cm="1">
        <f t="array" ref="V2987">_xlfn.IFS(
ISNUMBER(SEARCH("USA",S2987)),"United States",
ISNUMBER(SEARCH("Republic of Ireland",S2987)),"Ireland",
ISNUMBER(SEARCH("Republic of Korea",S2987)),"South Korea",
ISNUMBER(SEARCH("Cape Verde",S2987)),"Cabo Verde",
ISNUMBER(SEARCH("Czechia",S2987)),"Czech Republic",
ISNUMBER(SEARCH("Türkiye",S2987)),"Turkey",
ISNUMBER(SEARCH("Ivory Coast",S2987)),"Côte d'Ivoire",
ISNUMBER(SEARCH("Korea Republic",S2987)),"South Korea",
ISNUMBER(SEARCH("Germany FR",S2987)),"FR Germany",
ISNUMBER(SEARCH("West Germany",S2987)),"FR Germany",
ISNUMBER(SEARCH("Germany DR",S2987)),"DR Germany",
ISNUMBER(SEARCH("Korea DPR",S2987)),"North Korea",
ISNUMBER(SEARCH("China PR",S2987)),"China",
ISNUMBER(SEARCH("IR Iran",S2987)),"Iran",
ISNUMBER(SEARCH("Congo DR",S2987)),"Democratic Republic of the Congo",
ISNUMBER(SEARCH("DR Congo",S2987)),"Democratic Republic of the Congo",
ISNUMBER(SEARCH("German DR",S2987)),"DR Germany",
ISNUMBER(SEARCH("rn""&gt;United Arab Emirates",S2987)),"United Arab Emirates",
ISNUMBER(SEARCH("rn""&gt;Republic of Ireland",S2987)),"Ireland",
ISNUMBER(SEARCH("rn""&gt;Bosnia and Herzegovina",S2987)),"Bosnia and Herzegovina",
ISNUMBER(SEARCH("rn""&gt;Trinidad and Tobago",S2987)),"Trinidad and Tobago",
ISNUMBER(SEARCH("rn""&gt;Serbia and Montenegro",S2987)),"Serbia and Montenegro",
ISNUMBER(SEARCH(_xlfn.UNICHAR(65533),S2987)),"Côte d'Ivoire",
TRUE,""
)</f>
        <v/>
      </c>
      <c r="W2987" s="40" t="str">
        <f t="shared" si="213"/>
        <v>Sweden</v>
      </c>
    </row>
    <row r="2988" spans="19:23">
      <c r="S2988" s="40" t="str">
        <v>Nigeria</v>
      </c>
      <c r="T2988" s="40" t="str">
        <f t="shared" si="211"/>
        <v>OK</v>
      </c>
      <c r="U2988" s="40" t="str">
        <f t="shared" si="212"/>
        <v>-</v>
      </c>
      <c r="V2988" s="40" t="str" cm="1">
        <f t="array" ref="V2988">_xlfn.IFS(
ISNUMBER(SEARCH("USA",S2988)),"United States",
ISNUMBER(SEARCH("Republic of Ireland",S2988)),"Ireland",
ISNUMBER(SEARCH("Republic of Korea",S2988)),"South Korea",
ISNUMBER(SEARCH("Cape Verde",S2988)),"Cabo Verde",
ISNUMBER(SEARCH("Czechia",S2988)),"Czech Republic",
ISNUMBER(SEARCH("Türkiye",S2988)),"Turkey",
ISNUMBER(SEARCH("Ivory Coast",S2988)),"Côte d'Ivoire",
ISNUMBER(SEARCH("Korea Republic",S2988)),"South Korea",
ISNUMBER(SEARCH("Germany FR",S2988)),"FR Germany",
ISNUMBER(SEARCH("West Germany",S2988)),"FR Germany",
ISNUMBER(SEARCH("Germany DR",S2988)),"DR Germany",
ISNUMBER(SEARCH("Korea DPR",S2988)),"North Korea",
ISNUMBER(SEARCH("China PR",S2988)),"China",
ISNUMBER(SEARCH("IR Iran",S2988)),"Iran",
ISNUMBER(SEARCH("Congo DR",S2988)),"Democratic Republic of the Congo",
ISNUMBER(SEARCH("DR Congo",S2988)),"Democratic Republic of the Congo",
ISNUMBER(SEARCH("German DR",S2988)),"DR Germany",
ISNUMBER(SEARCH("rn""&gt;United Arab Emirates",S2988)),"United Arab Emirates",
ISNUMBER(SEARCH("rn""&gt;Republic of Ireland",S2988)),"Ireland",
ISNUMBER(SEARCH("rn""&gt;Bosnia and Herzegovina",S2988)),"Bosnia and Herzegovina",
ISNUMBER(SEARCH("rn""&gt;Trinidad and Tobago",S2988)),"Trinidad and Tobago",
ISNUMBER(SEARCH("rn""&gt;Serbia and Montenegro",S2988)),"Serbia and Montenegro",
ISNUMBER(SEARCH(_xlfn.UNICHAR(65533),S2988)),"Côte d'Ivoire",
TRUE,""
)</f>
        <v/>
      </c>
      <c r="W2988" s="40" t="str">
        <f t="shared" si="213"/>
        <v>Nigeria</v>
      </c>
    </row>
    <row r="2989" spans="19:23">
      <c r="S2989" s="40" t="str">
        <v>Slovenia</v>
      </c>
      <c r="T2989" s="40" t="str">
        <f t="shared" si="211"/>
        <v>OK</v>
      </c>
      <c r="U2989" s="40" t="str">
        <f t="shared" si="212"/>
        <v>-</v>
      </c>
      <c r="V2989" s="40" t="str" cm="1">
        <f t="array" ref="V2989">_xlfn.IFS(
ISNUMBER(SEARCH("USA",S2989)),"United States",
ISNUMBER(SEARCH("Republic of Ireland",S2989)),"Ireland",
ISNUMBER(SEARCH("Republic of Korea",S2989)),"South Korea",
ISNUMBER(SEARCH("Cape Verde",S2989)),"Cabo Verde",
ISNUMBER(SEARCH("Czechia",S2989)),"Czech Republic",
ISNUMBER(SEARCH("Türkiye",S2989)),"Turkey",
ISNUMBER(SEARCH("Ivory Coast",S2989)),"Côte d'Ivoire",
ISNUMBER(SEARCH("Korea Republic",S2989)),"South Korea",
ISNUMBER(SEARCH("Germany FR",S2989)),"FR Germany",
ISNUMBER(SEARCH("West Germany",S2989)),"FR Germany",
ISNUMBER(SEARCH("Germany DR",S2989)),"DR Germany",
ISNUMBER(SEARCH("Korea DPR",S2989)),"North Korea",
ISNUMBER(SEARCH("China PR",S2989)),"China",
ISNUMBER(SEARCH("IR Iran",S2989)),"Iran",
ISNUMBER(SEARCH("Congo DR",S2989)),"Democratic Republic of the Congo",
ISNUMBER(SEARCH("DR Congo",S2989)),"Democratic Republic of the Congo",
ISNUMBER(SEARCH("German DR",S2989)),"DR Germany",
ISNUMBER(SEARCH("rn""&gt;United Arab Emirates",S2989)),"United Arab Emirates",
ISNUMBER(SEARCH("rn""&gt;Republic of Ireland",S2989)),"Ireland",
ISNUMBER(SEARCH("rn""&gt;Bosnia and Herzegovina",S2989)),"Bosnia and Herzegovina",
ISNUMBER(SEARCH("rn""&gt;Trinidad and Tobago",S2989)),"Trinidad and Tobago",
ISNUMBER(SEARCH("rn""&gt;Serbia and Montenegro",S2989)),"Serbia and Montenegro",
ISNUMBER(SEARCH(_xlfn.UNICHAR(65533),S2989)),"Côte d'Ivoire",
TRUE,""
)</f>
        <v/>
      </c>
      <c r="W2989" s="40" t="str">
        <f t="shared" si="213"/>
        <v>Slovenia</v>
      </c>
    </row>
    <row r="2990" spans="19:23">
      <c r="S2990" s="40" t="str">
        <v>South Africa</v>
      </c>
      <c r="T2990" s="40" t="str">
        <f t="shared" si="211"/>
        <v>OK</v>
      </c>
      <c r="U2990" s="40" t="str">
        <f t="shared" si="212"/>
        <v>-</v>
      </c>
      <c r="V2990" s="40" t="str" cm="1">
        <f t="array" ref="V2990">_xlfn.IFS(
ISNUMBER(SEARCH("USA",S2990)),"United States",
ISNUMBER(SEARCH("Republic of Ireland",S2990)),"Ireland",
ISNUMBER(SEARCH("Republic of Korea",S2990)),"South Korea",
ISNUMBER(SEARCH("Cape Verde",S2990)),"Cabo Verde",
ISNUMBER(SEARCH("Czechia",S2990)),"Czech Republic",
ISNUMBER(SEARCH("Türkiye",S2990)),"Turkey",
ISNUMBER(SEARCH("Ivory Coast",S2990)),"Côte d'Ivoire",
ISNUMBER(SEARCH("Korea Republic",S2990)),"South Korea",
ISNUMBER(SEARCH("Germany FR",S2990)),"FR Germany",
ISNUMBER(SEARCH("West Germany",S2990)),"FR Germany",
ISNUMBER(SEARCH("Germany DR",S2990)),"DR Germany",
ISNUMBER(SEARCH("Korea DPR",S2990)),"North Korea",
ISNUMBER(SEARCH("China PR",S2990)),"China",
ISNUMBER(SEARCH("IR Iran",S2990)),"Iran",
ISNUMBER(SEARCH("Congo DR",S2990)),"Democratic Republic of the Congo",
ISNUMBER(SEARCH("DR Congo",S2990)),"Democratic Republic of the Congo",
ISNUMBER(SEARCH("German DR",S2990)),"DR Germany",
ISNUMBER(SEARCH("rn""&gt;United Arab Emirates",S2990)),"United Arab Emirates",
ISNUMBER(SEARCH("rn""&gt;Republic of Ireland",S2990)),"Ireland",
ISNUMBER(SEARCH("rn""&gt;Bosnia and Herzegovina",S2990)),"Bosnia and Herzegovina",
ISNUMBER(SEARCH("rn""&gt;Trinidad and Tobago",S2990)),"Trinidad and Tobago",
ISNUMBER(SEARCH("rn""&gt;Serbia and Montenegro",S2990)),"Serbia and Montenegro",
ISNUMBER(SEARCH(_xlfn.UNICHAR(65533),S2990)),"Côte d'Ivoire",
TRUE,""
)</f>
        <v/>
      </c>
      <c r="W2990" s="40" t="str">
        <f t="shared" si="213"/>
        <v>South Africa</v>
      </c>
    </row>
    <row r="2991" spans="19:23">
      <c r="S2991" s="40" t="str">
        <v>Costa Rica</v>
      </c>
      <c r="T2991" s="40" t="str">
        <f t="shared" si="211"/>
        <v>OK</v>
      </c>
      <c r="U2991" s="40" t="str">
        <f t="shared" si="212"/>
        <v>-</v>
      </c>
      <c r="V2991" s="40" t="str" cm="1">
        <f t="array" ref="V2991">_xlfn.IFS(
ISNUMBER(SEARCH("USA",S2991)),"United States",
ISNUMBER(SEARCH("Republic of Ireland",S2991)),"Ireland",
ISNUMBER(SEARCH("Republic of Korea",S2991)),"South Korea",
ISNUMBER(SEARCH("Cape Verde",S2991)),"Cabo Verde",
ISNUMBER(SEARCH("Czechia",S2991)),"Czech Republic",
ISNUMBER(SEARCH("Türkiye",S2991)),"Turkey",
ISNUMBER(SEARCH("Ivory Coast",S2991)),"Côte d'Ivoire",
ISNUMBER(SEARCH("Korea Republic",S2991)),"South Korea",
ISNUMBER(SEARCH("Germany FR",S2991)),"FR Germany",
ISNUMBER(SEARCH("West Germany",S2991)),"FR Germany",
ISNUMBER(SEARCH("Germany DR",S2991)),"DR Germany",
ISNUMBER(SEARCH("Korea DPR",S2991)),"North Korea",
ISNUMBER(SEARCH("China PR",S2991)),"China",
ISNUMBER(SEARCH("IR Iran",S2991)),"Iran",
ISNUMBER(SEARCH("Congo DR",S2991)),"Democratic Republic of the Congo",
ISNUMBER(SEARCH("DR Congo",S2991)),"Democratic Republic of the Congo",
ISNUMBER(SEARCH("German DR",S2991)),"DR Germany",
ISNUMBER(SEARCH("rn""&gt;United Arab Emirates",S2991)),"United Arab Emirates",
ISNUMBER(SEARCH("rn""&gt;Republic of Ireland",S2991)),"Ireland",
ISNUMBER(SEARCH("rn""&gt;Bosnia and Herzegovina",S2991)),"Bosnia and Herzegovina",
ISNUMBER(SEARCH("rn""&gt;Trinidad and Tobago",S2991)),"Trinidad and Tobago",
ISNUMBER(SEARCH("rn""&gt;Serbia and Montenegro",S2991)),"Serbia and Montenegro",
ISNUMBER(SEARCH(_xlfn.UNICHAR(65533),S2991)),"Côte d'Ivoire",
TRUE,""
)</f>
        <v/>
      </c>
      <c r="W2991" s="40" t="str">
        <f t="shared" si="213"/>
        <v>Costa Rica</v>
      </c>
    </row>
    <row r="2992" spans="19:23">
      <c r="S2992" s="40" t="str">
        <v>Turkey</v>
      </c>
      <c r="T2992" s="40" t="str">
        <f t="shared" si="211"/>
        <v>OK</v>
      </c>
      <c r="U2992" s="40" t="str">
        <f t="shared" si="212"/>
        <v>-</v>
      </c>
      <c r="V2992" s="40" t="str" cm="1">
        <f t="array" ref="V2992">_xlfn.IFS(
ISNUMBER(SEARCH("USA",S2992)),"United States",
ISNUMBER(SEARCH("Republic of Ireland",S2992)),"Ireland",
ISNUMBER(SEARCH("Republic of Korea",S2992)),"South Korea",
ISNUMBER(SEARCH("Cape Verde",S2992)),"Cabo Verde",
ISNUMBER(SEARCH("Czechia",S2992)),"Czech Republic",
ISNUMBER(SEARCH("Türkiye",S2992)),"Turkey",
ISNUMBER(SEARCH("Ivory Coast",S2992)),"Côte d'Ivoire",
ISNUMBER(SEARCH("Korea Republic",S2992)),"South Korea",
ISNUMBER(SEARCH("Germany FR",S2992)),"FR Germany",
ISNUMBER(SEARCH("West Germany",S2992)),"FR Germany",
ISNUMBER(SEARCH("Germany DR",S2992)),"DR Germany",
ISNUMBER(SEARCH("Korea DPR",S2992)),"North Korea",
ISNUMBER(SEARCH("China PR",S2992)),"China",
ISNUMBER(SEARCH("IR Iran",S2992)),"Iran",
ISNUMBER(SEARCH("Congo DR",S2992)),"Democratic Republic of the Congo",
ISNUMBER(SEARCH("DR Congo",S2992)),"Democratic Republic of the Congo",
ISNUMBER(SEARCH("German DR",S2992)),"DR Germany",
ISNUMBER(SEARCH("rn""&gt;United Arab Emirates",S2992)),"United Arab Emirates",
ISNUMBER(SEARCH("rn""&gt;Republic of Ireland",S2992)),"Ireland",
ISNUMBER(SEARCH("rn""&gt;Bosnia and Herzegovina",S2992)),"Bosnia and Herzegovina",
ISNUMBER(SEARCH("rn""&gt;Trinidad and Tobago",S2992)),"Trinidad and Tobago",
ISNUMBER(SEARCH("rn""&gt;Serbia and Montenegro",S2992)),"Serbia and Montenegro",
ISNUMBER(SEARCH(_xlfn.UNICHAR(65533),S2992)),"Côte d'Ivoire",
TRUE,""
)</f>
        <v/>
      </c>
      <c r="W2992" s="40" t="str">
        <f t="shared" si="213"/>
        <v>Turkey</v>
      </c>
    </row>
    <row r="2993" spans="19:23">
      <c r="S2993" s="40" t="str">
        <v>Ecuador</v>
      </c>
      <c r="T2993" s="40" t="str">
        <f t="shared" si="211"/>
        <v>OK</v>
      </c>
      <c r="U2993" s="40" t="str">
        <f t="shared" si="212"/>
        <v>-</v>
      </c>
      <c r="V2993" s="40" t="str" cm="1">
        <f t="array" ref="V2993">_xlfn.IFS(
ISNUMBER(SEARCH("USA",S2993)),"United States",
ISNUMBER(SEARCH("Republic of Ireland",S2993)),"Ireland",
ISNUMBER(SEARCH("Republic of Korea",S2993)),"South Korea",
ISNUMBER(SEARCH("Cape Verde",S2993)),"Cabo Verde",
ISNUMBER(SEARCH("Czechia",S2993)),"Czech Republic",
ISNUMBER(SEARCH("Türkiye",S2993)),"Turkey",
ISNUMBER(SEARCH("Ivory Coast",S2993)),"Côte d'Ivoire",
ISNUMBER(SEARCH("Korea Republic",S2993)),"South Korea",
ISNUMBER(SEARCH("Germany FR",S2993)),"FR Germany",
ISNUMBER(SEARCH("West Germany",S2993)),"FR Germany",
ISNUMBER(SEARCH("Germany DR",S2993)),"DR Germany",
ISNUMBER(SEARCH("Korea DPR",S2993)),"North Korea",
ISNUMBER(SEARCH("China PR",S2993)),"China",
ISNUMBER(SEARCH("IR Iran",S2993)),"Iran",
ISNUMBER(SEARCH("Congo DR",S2993)),"Democratic Republic of the Congo",
ISNUMBER(SEARCH("DR Congo",S2993)),"Democratic Republic of the Congo",
ISNUMBER(SEARCH("German DR",S2993)),"DR Germany",
ISNUMBER(SEARCH("rn""&gt;United Arab Emirates",S2993)),"United Arab Emirates",
ISNUMBER(SEARCH("rn""&gt;Republic of Ireland",S2993)),"Ireland",
ISNUMBER(SEARCH("rn""&gt;Bosnia and Herzegovina",S2993)),"Bosnia and Herzegovina",
ISNUMBER(SEARCH("rn""&gt;Trinidad and Tobago",S2993)),"Trinidad and Tobago",
ISNUMBER(SEARCH("rn""&gt;Serbia and Montenegro",S2993)),"Serbia and Montenegro",
ISNUMBER(SEARCH(_xlfn.UNICHAR(65533),S2993)),"Côte d'Ivoire",
TRUE,""
)</f>
        <v/>
      </c>
      <c r="W2993" s="40" t="str">
        <f t="shared" si="213"/>
        <v>Ecuador</v>
      </c>
    </row>
    <row r="2994" spans="19:23">
      <c r="S2994" s="40" t="str">
        <v>Mexico</v>
      </c>
      <c r="T2994" s="40" t="str">
        <f t="shared" si="211"/>
        <v>OK</v>
      </c>
      <c r="U2994" s="40" t="str">
        <f t="shared" si="212"/>
        <v>-</v>
      </c>
      <c r="V2994" s="40" t="str" cm="1">
        <f t="array" ref="V2994">_xlfn.IFS(
ISNUMBER(SEARCH("USA",S2994)),"United States",
ISNUMBER(SEARCH("Republic of Ireland",S2994)),"Ireland",
ISNUMBER(SEARCH("Republic of Korea",S2994)),"South Korea",
ISNUMBER(SEARCH("Cape Verde",S2994)),"Cabo Verde",
ISNUMBER(SEARCH("Czechia",S2994)),"Czech Republic",
ISNUMBER(SEARCH("Türkiye",S2994)),"Turkey",
ISNUMBER(SEARCH("Ivory Coast",S2994)),"Côte d'Ivoire",
ISNUMBER(SEARCH("Korea Republic",S2994)),"South Korea",
ISNUMBER(SEARCH("Germany FR",S2994)),"FR Germany",
ISNUMBER(SEARCH("West Germany",S2994)),"FR Germany",
ISNUMBER(SEARCH("Germany DR",S2994)),"DR Germany",
ISNUMBER(SEARCH("Korea DPR",S2994)),"North Korea",
ISNUMBER(SEARCH("China PR",S2994)),"China",
ISNUMBER(SEARCH("IR Iran",S2994)),"Iran",
ISNUMBER(SEARCH("Congo DR",S2994)),"Democratic Republic of the Congo",
ISNUMBER(SEARCH("DR Congo",S2994)),"Democratic Republic of the Congo",
ISNUMBER(SEARCH("German DR",S2994)),"DR Germany",
ISNUMBER(SEARCH("rn""&gt;United Arab Emirates",S2994)),"United Arab Emirates",
ISNUMBER(SEARCH("rn""&gt;Republic of Ireland",S2994)),"Ireland",
ISNUMBER(SEARCH("rn""&gt;Bosnia and Herzegovina",S2994)),"Bosnia and Herzegovina",
ISNUMBER(SEARCH("rn""&gt;Trinidad and Tobago",S2994)),"Trinidad and Tobago",
ISNUMBER(SEARCH("rn""&gt;Serbia and Montenegro",S2994)),"Serbia and Montenegro",
ISNUMBER(SEARCH(_xlfn.UNICHAR(65533),S2994)),"Côte d'Ivoire",
TRUE,""
)</f>
        <v/>
      </c>
      <c r="W2994" s="40" t="str">
        <f t="shared" si="213"/>
        <v>Mexico</v>
      </c>
    </row>
    <row r="2995" spans="19:23">
      <c r="S2995" s="40" t="str">
        <v>Tunisia</v>
      </c>
      <c r="T2995" s="40" t="str">
        <f t="shared" si="211"/>
        <v>OK</v>
      </c>
      <c r="U2995" s="40" t="str">
        <f t="shared" si="212"/>
        <v>-</v>
      </c>
      <c r="V2995" s="40" t="str" cm="1">
        <f t="array" ref="V2995">_xlfn.IFS(
ISNUMBER(SEARCH("USA",S2995)),"United States",
ISNUMBER(SEARCH("Republic of Ireland",S2995)),"Ireland",
ISNUMBER(SEARCH("Republic of Korea",S2995)),"South Korea",
ISNUMBER(SEARCH("Cape Verde",S2995)),"Cabo Verde",
ISNUMBER(SEARCH("Czechia",S2995)),"Czech Republic",
ISNUMBER(SEARCH("Türkiye",S2995)),"Turkey",
ISNUMBER(SEARCH("Ivory Coast",S2995)),"Côte d'Ivoire",
ISNUMBER(SEARCH("Korea Republic",S2995)),"South Korea",
ISNUMBER(SEARCH("Germany FR",S2995)),"FR Germany",
ISNUMBER(SEARCH("West Germany",S2995)),"FR Germany",
ISNUMBER(SEARCH("Germany DR",S2995)),"DR Germany",
ISNUMBER(SEARCH("Korea DPR",S2995)),"North Korea",
ISNUMBER(SEARCH("China PR",S2995)),"China",
ISNUMBER(SEARCH("IR Iran",S2995)),"Iran",
ISNUMBER(SEARCH("Congo DR",S2995)),"Democratic Republic of the Congo",
ISNUMBER(SEARCH("DR Congo",S2995)),"Democratic Republic of the Congo",
ISNUMBER(SEARCH("German DR",S2995)),"DR Germany",
ISNUMBER(SEARCH("rn""&gt;United Arab Emirates",S2995)),"United Arab Emirates",
ISNUMBER(SEARCH("rn""&gt;Republic of Ireland",S2995)),"Ireland",
ISNUMBER(SEARCH("rn""&gt;Bosnia and Herzegovina",S2995)),"Bosnia and Herzegovina",
ISNUMBER(SEARCH("rn""&gt;Trinidad and Tobago",S2995)),"Trinidad and Tobago",
ISNUMBER(SEARCH("rn""&gt;Serbia and Montenegro",S2995)),"Serbia and Montenegro",
ISNUMBER(SEARCH(_xlfn.UNICHAR(65533),S2995)),"Côte d'Ivoire",
TRUE,""
)</f>
        <v/>
      </c>
      <c r="W2995" s="40" t="str">
        <f t="shared" si="213"/>
        <v>Tunisia</v>
      </c>
    </row>
    <row r="2996" spans="19:23">
      <c r="S2996" s="40" t="str">
        <v>Portugal</v>
      </c>
      <c r="T2996" s="40" t="str">
        <f t="shared" si="211"/>
        <v>OK</v>
      </c>
      <c r="U2996" s="40" t="str">
        <f t="shared" si="212"/>
        <v>-</v>
      </c>
      <c r="V2996" s="40" t="str" cm="1">
        <f t="array" ref="V2996">_xlfn.IFS(
ISNUMBER(SEARCH("USA",S2996)),"United States",
ISNUMBER(SEARCH("Republic of Ireland",S2996)),"Ireland",
ISNUMBER(SEARCH("Republic of Korea",S2996)),"South Korea",
ISNUMBER(SEARCH("Cape Verde",S2996)),"Cabo Verde",
ISNUMBER(SEARCH("Czechia",S2996)),"Czech Republic",
ISNUMBER(SEARCH("Türkiye",S2996)),"Turkey",
ISNUMBER(SEARCH("Ivory Coast",S2996)),"Côte d'Ivoire",
ISNUMBER(SEARCH("Korea Republic",S2996)),"South Korea",
ISNUMBER(SEARCH("Germany FR",S2996)),"FR Germany",
ISNUMBER(SEARCH("West Germany",S2996)),"FR Germany",
ISNUMBER(SEARCH("Germany DR",S2996)),"DR Germany",
ISNUMBER(SEARCH("Korea DPR",S2996)),"North Korea",
ISNUMBER(SEARCH("China PR",S2996)),"China",
ISNUMBER(SEARCH("IR Iran",S2996)),"Iran",
ISNUMBER(SEARCH("Congo DR",S2996)),"Democratic Republic of the Congo",
ISNUMBER(SEARCH("DR Congo",S2996)),"Democratic Republic of the Congo",
ISNUMBER(SEARCH("German DR",S2996)),"DR Germany",
ISNUMBER(SEARCH("rn""&gt;United Arab Emirates",S2996)),"United Arab Emirates",
ISNUMBER(SEARCH("rn""&gt;Republic of Ireland",S2996)),"Ireland",
ISNUMBER(SEARCH("rn""&gt;Bosnia and Herzegovina",S2996)),"Bosnia and Herzegovina",
ISNUMBER(SEARCH("rn""&gt;Trinidad and Tobago",S2996)),"Trinidad and Tobago",
ISNUMBER(SEARCH("rn""&gt;Serbia and Montenegro",S2996)),"Serbia and Montenegro",
ISNUMBER(SEARCH(_xlfn.UNICHAR(65533),S2996)),"Côte d'Ivoire",
TRUE,""
)</f>
        <v/>
      </c>
      <c r="W2996" s="40" t="str">
        <f t="shared" si="213"/>
        <v>Portugal</v>
      </c>
    </row>
    <row r="2997" spans="19:23">
      <c r="S2997" s="40" t="str">
        <v>Poland</v>
      </c>
      <c r="T2997" s="40" t="str">
        <f t="shared" si="211"/>
        <v>OK</v>
      </c>
      <c r="U2997" s="40" t="str">
        <f t="shared" si="212"/>
        <v>-</v>
      </c>
      <c r="V2997" s="40" t="str" cm="1">
        <f t="array" ref="V2997">_xlfn.IFS(
ISNUMBER(SEARCH("USA",S2997)),"United States",
ISNUMBER(SEARCH("Republic of Ireland",S2997)),"Ireland",
ISNUMBER(SEARCH("Republic of Korea",S2997)),"South Korea",
ISNUMBER(SEARCH("Cape Verde",S2997)),"Cabo Verde",
ISNUMBER(SEARCH("Czechia",S2997)),"Czech Republic",
ISNUMBER(SEARCH("Türkiye",S2997)),"Turkey",
ISNUMBER(SEARCH("Ivory Coast",S2997)),"Côte d'Ivoire",
ISNUMBER(SEARCH("Korea Republic",S2997)),"South Korea",
ISNUMBER(SEARCH("Germany FR",S2997)),"FR Germany",
ISNUMBER(SEARCH("West Germany",S2997)),"FR Germany",
ISNUMBER(SEARCH("Germany DR",S2997)),"DR Germany",
ISNUMBER(SEARCH("Korea DPR",S2997)),"North Korea",
ISNUMBER(SEARCH("China PR",S2997)),"China",
ISNUMBER(SEARCH("IR Iran",S2997)),"Iran",
ISNUMBER(SEARCH("Congo DR",S2997)),"Democratic Republic of the Congo",
ISNUMBER(SEARCH("DR Congo",S2997)),"Democratic Republic of the Congo",
ISNUMBER(SEARCH("German DR",S2997)),"DR Germany",
ISNUMBER(SEARCH("rn""&gt;United Arab Emirates",S2997)),"United Arab Emirates",
ISNUMBER(SEARCH("rn""&gt;Republic of Ireland",S2997)),"Ireland",
ISNUMBER(SEARCH("rn""&gt;Bosnia and Herzegovina",S2997)),"Bosnia and Herzegovina",
ISNUMBER(SEARCH("rn""&gt;Trinidad and Tobago",S2997)),"Trinidad and Tobago",
ISNUMBER(SEARCH("rn""&gt;Serbia and Montenegro",S2997)),"Serbia and Montenegro",
ISNUMBER(SEARCH(_xlfn.UNICHAR(65533),S2997)),"Côte d'Ivoire",
TRUE,""
)</f>
        <v/>
      </c>
      <c r="W2997" s="40" t="str">
        <f t="shared" si="213"/>
        <v>Poland</v>
      </c>
    </row>
    <row r="2998" spans="19:23">
      <c r="S2998" s="40" t="str">
        <v>Belgium</v>
      </c>
      <c r="T2998" s="40" t="str">
        <f t="shared" si="211"/>
        <v>OK</v>
      </c>
      <c r="U2998" s="40" t="str">
        <f t="shared" si="212"/>
        <v>-</v>
      </c>
      <c r="V2998" s="40" t="str" cm="1">
        <f t="array" ref="V2998">_xlfn.IFS(
ISNUMBER(SEARCH("USA",S2998)),"United States",
ISNUMBER(SEARCH("Republic of Ireland",S2998)),"Ireland",
ISNUMBER(SEARCH("Republic of Korea",S2998)),"South Korea",
ISNUMBER(SEARCH("Cape Verde",S2998)),"Cabo Verde",
ISNUMBER(SEARCH("Czechia",S2998)),"Czech Republic",
ISNUMBER(SEARCH("Türkiye",S2998)),"Turkey",
ISNUMBER(SEARCH("Ivory Coast",S2998)),"Côte d'Ivoire",
ISNUMBER(SEARCH("Korea Republic",S2998)),"South Korea",
ISNUMBER(SEARCH("Germany FR",S2998)),"FR Germany",
ISNUMBER(SEARCH("West Germany",S2998)),"FR Germany",
ISNUMBER(SEARCH("Germany DR",S2998)),"DR Germany",
ISNUMBER(SEARCH("Korea DPR",S2998)),"North Korea",
ISNUMBER(SEARCH("China PR",S2998)),"China",
ISNUMBER(SEARCH("IR Iran",S2998)),"Iran",
ISNUMBER(SEARCH("Congo DR",S2998)),"Democratic Republic of the Congo",
ISNUMBER(SEARCH("DR Congo",S2998)),"Democratic Republic of the Congo",
ISNUMBER(SEARCH("German DR",S2998)),"DR Germany",
ISNUMBER(SEARCH("rn""&gt;United Arab Emirates",S2998)),"United Arab Emirates",
ISNUMBER(SEARCH("rn""&gt;Republic of Ireland",S2998)),"Ireland",
ISNUMBER(SEARCH("rn""&gt;Bosnia and Herzegovina",S2998)),"Bosnia and Herzegovina",
ISNUMBER(SEARCH("rn""&gt;Trinidad and Tobago",S2998)),"Trinidad and Tobago",
ISNUMBER(SEARCH("rn""&gt;Serbia and Montenegro",S2998)),"Serbia and Montenegro",
ISNUMBER(SEARCH(_xlfn.UNICHAR(65533),S2998)),"Côte d'Ivoire",
TRUE,""
)</f>
        <v/>
      </c>
      <c r="W2998" s="40" t="str">
        <f t="shared" si="213"/>
        <v>Belgium</v>
      </c>
    </row>
    <row r="2999" spans="19:23">
      <c r="S2999" s="40" t="str">
        <v>Denmark</v>
      </c>
      <c r="T2999" s="40" t="str">
        <f t="shared" si="211"/>
        <v>OK</v>
      </c>
      <c r="U2999" s="40" t="str">
        <f t="shared" si="212"/>
        <v>-</v>
      </c>
      <c r="V2999" s="40" t="str" cm="1">
        <f t="array" ref="V2999">_xlfn.IFS(
ISNUMBER(SEARCH("USA",S2999)),"United States",
ISNUMBER(SEARCH("Republic of Ireland",S2999)),"Ireland",
ISNUMBER(SEARCH("Republic of Korea",S2999)),"South Korea",
ISNUMBER(SEARCH("Cape Verde",S2999)),"Cabo Verde",
ISNUMBER(SEARCH("Czechia",S2999)),"Czech Republic",
ISNUMBER(SEARCH("Türkiye",S2999)),"Turkey",
ISNUMBER(SEARCH("Ivory Coast",S2999)),"Côte d'Ivoire",
ISNUMBER(SEARCH("Korea Republic",S2999)),"South Korea",
ISNUMBER(SEARCH("Germany FR",S2999)),"FR Germany",
ISNUMBER(SEARCH("West Germany",S2999)),"FR Germany",
ISNUMBER(SEARCH("Germany DR",S2999)),"DR Germany",
ISNUMBER(SEARCH("Korea DPR",S2999)),"North Korea",
ISNUMBER(SEARCH("China PR",S2999)),"China",
ISNUMBER(SEARCH("IR Iran",S2999)),"Iran",
ISNUMBER(SEARCH("Congo DR",S2999)),"Democratic Republic of the Congo",
ISNUMBER(SEARCH("DR Congo",S2999)),"Democratic Republic of the Congo",
ISNUMBER(SEARCH("German DR",S2999)),"DR Germany",
ISNUMBER(SEARCH("rn""&gt;United Arab Emirates",S2999)),"United Arab Emirates",
ISNUMBER(SEARCH("rn""&gt;Republic of Ireland",S2999)),"Ireland",
ISNUMBER(SEARCH("rn""&gt;Bosnia and Herzegovina",S2999)),"Bosnia and Herzegovina",
ISNUMBER(SEARCH("rn""&gt;Trinidad and Tobago",S2999)),"Trinidad and Tobago",
ISNUMBER(SEARCH("rn""&gt;Serbia and Montenegro",S2999)),"Serbia and Montenegro",
ISNUMBER(SEARCH(_xlfn.UNICHAR(65533),S2999)),"Côte d'Ivoire",
TRUE,""
)</f>
        <v/>
      </c>
      <c r="W2999" s="40" t="str">
        <f t="shared" si="213"/>
        <v>Denmark</v>
      </c>
    </row>
    <row r="3000" spans="19:23">
      <c r="S3000" s="40" t="str">
        <v>Germany</v>
      </c>
      <c r="T3000" s="40" t="str">
        <f t="shared" si="211"/>
        <v>OK</v>
      </c>
      <c r="U3000" s="40" t="str">
        <f t="shared" si="212"/>
        <v>-</v>
      </c>
      <c r="V3000" s="40" t="str" cm="1">
        <f t="array" ref="V3000">_xlfn.IFS(
ISNUMBER(SEARCH("USA",S3000)),"United States",
ISNUMBER(SEARCH("Republic of Ireland",S3000)),"Ireland",
ISNUMBER(SEARCH("Republic of Korea",S3000)),"South Korea",
ISNUMBER(SEARCH("Cape Verde",S3000)),"Cabo Verde",
ISNUMBER(SEARCH("Czechia",S3000)),"Czech Republic",
ISNUMBER(SEARCH("Türkiye",S3000)),"Turkey",
ISNUMBER(SEARCH("Ivory Coast",S3000)),"Côte d'Ivoire",
ISNUMBER(SEARCH("Korea Republic",S3000)),"South Korea",
ISNUMBER(SEARCH("Germany FR",S3000)),"FR Germany",
ISNUMBER(SEARCH("West Germany",S3000)),"FR Germany",
ISNUMBER(SEARCH("Germany DR",S3000)),"DR Germany",
ISNUMBER(SEARCH("Korea DPR",S3000)),"North Korea",
ISNUMBER(SEARCH("China PR",S3000)),"China",
ISNUMBER(SEARCH("IR Iran",S3000)),"Iran",
ISNUMBER(SEARCH("Congo DR",S3000)),"Democratic Republic of the Congo",
ISNUMBER(SEARCH("DR Congo",S3000)),"Democratic Republic of the Congo",
ISNUMBER(SEARCH("German DR",S3000)),"DR Germany",
ISNUMBER(SEARCH("rn""&gt;United Arab Emirates",S3000)),"United Arab Emirates",
ISNUMBER(SEARCH("rn""&gt;Republic of Ireland",S3000)),"Ireland",
ISNUMBER(SEARCH("rn""&gt;Bosnia and Herzegovina",S3000)),"Bosnia and Herzegovina",
ISNUMBER(SEARCH("rn""&gt;Trinidad and Tobago",S3000)),"Trinidad and Tobago",
ISNUMBER(SEARCH("rn""&gt;Serbia and Montenegro",S3000)),"Serbia and Montenegro",
ISNUMBER(SEARCH(_xlfn.UNICHAR(65533),S3000)),"Côte d'Ivoire",
TRUE,""
)</f>
        <v/>
      </c>
      <c r="W3000" s="40" t="str">
        <f t="shared" si="213"/>
        <v>Germany</v>
      </c>
    </row>
    <row r="3001" spans="19:23">
      <c r="S3001" s="40" t="str">
        <v>Spain</v>
      </c>
      <c r="T3001" s="40" t="str">
        <f t="shared" si="211"/>
        <v>OK</v>
      </c>
      <c r="U3001" s="40" t="str">
        <f t="shared" si="212"/>
        <v>-</v>
      </c>
      <c r="V3001" s="40" t="str" cm="1">
        <f t="array" ref="V3001">_xlfn.IFS(
ISNUMBER(SEARCH("USA",S3001)),"United States",
ISNUMBER(SEARCH("Republic of Ireland",S3001)),"Ireland",
ISNUMBER(SEARCH("Republic of Korea",S3001)),"South Korea",
ISNUMBER(SEARCH("Cape Verde",S3001)),"Cabo Verde",
ISNUMBER(SEARCH("Czechia",S3001)),"Czech Republic",
ISNUMBER(SEARCH("Türkiye",S3001)),"Turkey",
ISNUMBER(SEARCH("Ivory Coast",S3001)),"Côte d'Ivoire",
ISNUMBER(SEARCH("Korea Republic",S3001)),"South Korea",
ISNUMBER(SEARCH("Germany FR",S3001)),"FR Germany",
ISNUMBER(SEARCH("West Germany",S3001)),"FR Germany",
ISNUMBER(SEARCH("Germany DR",S3001)),"DR Germany",
ISNUMBER(SEARCH("Korea DPR",S3001)),"North Korea",
ISNUMBER(SEARCH("China PR",S3001)),"China",
ISNUMBER(SEARCH("IR Iran",S3001)),"Iran",
ISNUMBER(SEARCH("Congo DR",S3001)),"Democratic Republic of the Congo",
ISNUMBER(SEARCH("DR Congo",S3001)),"Democratic Republic of the Congo",
ISNUMBER(SEARCH("German DR",S3001)),"DR Germany",
ISNUMBER(SEARCH("rn""&gt;United Arab Emirates",S3001)),"United Arab Emirates",
ISNUMBER(SEARCH("rn""&gt;Republic of Ireland",S3001)),"Ireland",
ISNUMBER(SEARCH("rn""&gt;Bosnia and Herzegovina",S3001)),"Bosnia and Herzegovina",
ISNUMBER(SEARCH("rn""&gt;Trinidad and Tobago",S3001)),"Trinidad and Tobago",
ISNUMBER(SEARCH("rn""&gt;Serbia and Montenegro",S3001)),"Serbia and Montenegro",
ISNUMBER(SEARCH(_xlfn.UNICHAR(65533),S3001)),"Côte d'Ivoire",
TRUE,""
)</f>
        <v/>
      </c>
      <c r="W3001" s="40" t="str">
        <f t="shared" si="213"/>
        <v>Spain</v>
      </c>
    </row>
    <row r="3002" spans="19:23">
      <c r="S3002" s="40" t="str">
        <v>Sweden</v>
      </c>
      <c r="T3002" s="40" t="str">
        <f t="shared" si="211"/>
        <v>OK</v>
      </c>
      <c r="U3002" s="40" t="str">
        <f t="shared" si="212"/>
        <v>-</v>
      </c>
      <c r="V3002" s="40" t="str" cm="1">
        <f t="array" ref="V3002">_xlfn.IFS(
ISNUMBER(SEARCH("USA",S3002)),"United States",
ISNUMBER(SEARCH("Republic of Ireland",S3002)),"Ireland",
ISNUMBER(SEARCH("Republic of Korea",S3002)),"South Korea",
ISNUMBER(SEARCH("Cape Verde",S3002)),"Cabo Verde",
ISNUMBER(SEARCH("Czechia",S3002)),"Czech Republic",
ISNUMBER(SEARCH("Türkiye",S3002)),"Turkey",
ISNUMBER(SEARCH("Ivory Coast",S3002)),"Côte d'Ivoire",
ISNUMBER(SEARCH("Korea Republic",S3002)),"South Korea",
ISNUMBER(SEARCH("Germany FR",S3002)),"FR Germany",
ISNUMBER(SEARCH("West Germany",S3002)),"FR Germany",
ISNUMBER(SEARCH("Germany DR",S3002)),"DR Germany",
ISNUMBER(SEARCH("Korea DPR",S3002)),"North Korea",
ISNUMBER(SEARCH("China PR",S3002)),"China",
ISNUMBER(SEARCH("IR Iran",S3002)),"Iran",
ISNUMBER(SEARCH("Congo DR",S3002)),"Democratic Republic of the Congo",
ISNUMBER(SEARCH("DR Congo",S3002)),"Democratic Republic of the Congo",
ISNUMBER(SEARCH("German DR",S3002)),"DR Germany",
ISNUMBER(SEARCH("rn""&gt;United Arab Emirates",S3002)),"United Arab Emirates",
ISNUMBER(SEARCH("rn""&gt;Republic of Ireland",S3002)),"Ireland",
ISNUMBER(SEARCH("rn""&gt;Bosnia and Herzegovina",S3002)),"Bosnia and Herzegovina",
ISNUMBER(SEARCH("rn""&gt;Trinidad and Tobago",S3002)),"Trinidad and Tobago",
ISNUMBER(SEARCH("rn""&gt;Serbia and Montenegro",S3002)),"Serbia and Montenegro",
ISNUMBER(SEARCH(_xlfn.UNICHAR(65533),S3002)),"Côte d'Ivoire",
TRUE,""
)</f>
        <v/>
      </c>
      <c r="W3002" s="40" t="str">
        <f t="shared" si="213"/>
        <v>Sweden</v>
      </c>
    </row>
    <row r="3003" spans="19:23">
      <c r="S3003" s="40" t="str">
        <v>Brazil</v>
      </c>
      <c r="T3003" s="40" t="str">
        <f t="shared" si="211"/>
        <v>OK</v>
      </c>
      <c r="U3003" s="40" t="str">
        <f t="shared" si="212"/>
        <v>-</v>
      </c>
      <c r="V3003" s="40" t="str" cm="1">
        <f t="array" ref="V3003">_xlfn.IFS(
ISNUMBER(SEARCH("USA",S3003)),"United States",
ISNUMBER(SEARCH("Republic of Ireland",S3003)),"Ireland",
ISNUMBER(SEARCH("Republic of Korea",S3003)),"South Korea",
ISNUMBER(SEARCH("Cape Verde",S3003)),"Cabo Verde",
ISNUMBER(SEARCH("Czechia",S3003)),"Czech Republic",
ISNUMBER(SEARCH("Türkiye",S3003)),"Turkey",
ISNUMBER(SEARCH("Ivory Coast",S3003)),"Côte d'Ivoire",
ISNUMBER(SEARCH("Korea Republic",S3003)),"South Korea",
ISNUMBER(SEARCH("Germany FR",S3003)),"FR Germany",
ISNUMBER(SEARCH("West Germany",S3003)),"FR Germany",
ISNUMBER(SEARCH("Germany DR",S3003)),"DR Germany",
ISNUMBER(SEARCH("Korea DPR",S3003)),"North Korea",
ISNUMBER(SEARCH("China PR",S3003)),"China",
ISNUMBER(SEARCH("IR Iran",S3003)),"Iran",
ISNUMBER(SEARCH("Congo DR",S3003)),"Democratic Republic of the Congo",
ISNUMBER(SEARCH("DR Congo",S3003)),"Democratic Republic of the Congo",
ISNUMBER(SEARCH("German DR",S3003)),"DR Germany",
ISNUMBER(SEARCH("rn""&gt;United Arab Emirates",S3003)),"United Arab Emirates",
ISNUMBER(SEARCH("rn""&gt;Republic of Ireland",S3003)),"Ireland",
ISNUMBER(SEARCH("rn""&gt;Bosnia and Herzegovina",S3003)),"Bosnia and Herzegovina",
ISNUMBER(SEARCH("rn""&gt;Trinidad and Tobago",S3003)),"Trinidad and Tobago",
ISNUMBER(SEARCH("rn""&gt;Serbia and Montenegro",S3003)),"Serbia and Montenegro",
ISNUMBER(SEARCH(_xlfn.UNICHAR(65533),S3003)),"Côte d'Ivoire",
TRUE,""
)</f>
        <v/>
      </c>
      <c r="W3003" s="40" t="str">
        <f t="shared" si="213"/>
        <v>Brazil</v>
      </c>
    </row>
    <row r="3004" spans="19:23">
      <c r="S3004" s="40" t="str">
        <v>Mexico</v>
      </c>
      <c r="T3004" s="40" t="str">
        <f t="shared" si="211"/>
        <v>OK</v>
      </c>
      <c r="U3004" s="40" t="str">
        <f t="shared" si="212"/>
        <v>-</v>
      </c>
      <c r="V3004" s="40" t="str" cm="1">
        <f t="array" ref="V3004">_xlfn.IFS(
ISNUMBER(SEARCH("USA",S3004)),"United States",
ISNUMBER(SEARCH("Republic of Ireland",S3004)),"Ireland",
ISNUMBER(SEARCH("Republic of Korea",S3004)),"South Korea",
ISNUMBER(SEARCH("Cape Verde",S3004)),"Cabo Verde",
ISNUMBER(SEARCH("Czechia",S3004)),"Czech Republic",
ISNUMBER(SEARCH("Türkiye",S3004)),"Turkey",
ISNUMBER(SEARCH("Ivory Coast",S3004)),"Côte d'Ivoire",
ISNUMBER(SEARCH("Korea Republic",S3004)),"South Korea",
ISNUMBER(SEARCH("Germany FR",S3004)),"FR Germany",
ISNUMBER(SEARCH("West Germany",S3004)),"FR Germany",
ISNUMBER(SEARCH("Germany DR",S3004)),"DR Germany",
ISNUMBER(SEARCH("Korea DPR",S3004)),"North Korea",
ISNUMBER(SEARCH("China PR",S3004)),"China",
ISNUMBER(SEARCH("IR Iran",S3004)),"Iran",
ISNUMBER(SEARCH("Congo DR",S3004)),"Democratic Republic of the Congo",
ISNUMBER(SEARCH("DR Congo",S3004)),"Democratic Republic of the Congo",
ISNUMBER(SEARCH("German DR",S3004)),"DR Germany",
ISNUMBER(SEARCH("rn""&gt;United Arab Emirates",S3004)),"United Arab Emirates",
ISNUMBER(SEARCH("rn""&gt;Republic of Ireland",S3004)),"Ireland",
ISNUMBER(SEARCH("rn""&gt;Bosnia and Herzegovina",S3004)),"Bosnia and Herzegovina",
ISNUMBER(SEARCH("rn""&gt;Trinidad and Tobago",S3004)),"Trinidad and Tobago",
ISNUMBER(SEARCH("rn""&gt;Serbia and Montenegro",S3004)),"Serbia and Montenegro",
ISNUMBER(SEARCH(_xlfn.UNICHAR(65533),S3004)),"Côte d'Ivoire",
TRUE,""
)</f>
        <v/>
      </c>
      <c r="W3004" s="40" t="str">
        <f t="shared" si="213"/>
        <v>Mexico</v>
      </c>
    </row>
    <row r="3005" spans="19:23">
      <c r="S3005" s="40" t="str">
        <v>Japan</v>
      </c>
      <c r="T3005" s="40" t="str">
        <f t="shared" si="211"/>
        <v>OK</v>
      </c>
      <c r="U3005" s="40" t="str">
        <f t="shared" si="212"/>
        <v>-</v>
      </c>
      <c r="V3005" s="40" t="str" cm="1">
        <f t="array" ref="V3005">_xlfn.IFS(
ISNUMBER(SEARCH("USA",S3005)),"United States",
ISNUMBER(SEARCH("Republic of Ireland",S3005)),"Ireland",
ISNUMBER(SEARCH("Republic of Korea",S3005)),"South Korea",
ISNUMBER(SEARCH("Cape Verde",S3005)),"Cabo Verde",
ISNUMBER(SEARCH("Czechia",S3005)),"Czech Republic",
ISNUMBER(SEARCH("Türkiye",S3005)),"Turkey",
ISNUMBER(SEARCH("Ivory Coast",S3005)),"Côte d'Ivoire",
ISNUMBER(SEARCH("Korea Republic",S3005)),"South Korea",
ISNUMBER(SEARCH("Germany FR",S3005)),"FR Germany",
ISNUMBER(SEARCH("West Germany",S3005)),"FR Germany",
ISNUMBER(SEARCH("Germany DR",S3005)),"DR Germany",
ISNUMBER(SEARCH("Korea DPR",S3005)),"North Korea",
ISNUMBER(SEARCH("China PR",S3005)),"China",
ISNUMBER(SEARCH("IR Iran",S3005)),"Iran",
ISNUMBER(SEARCH("Congo DR",S3005)),"Democratic Republic of the Congo",
ISNUMBER(SEARCH("DR Congo",S3005)),"Democratic Republic of the Congo",
ISNUMBER(SEARCH("German DR",S3005)),"DR Germany",
ISNUMBER(SEARCH("rn""&gt;United Arab Emirates",S3005)),"United Arab Emirates",
ISNUMBER(SEARCH("rn""&gt;Republic of Ireland",S3005)),"Ireland",
ISNUMBER(SEARCH("rn""&gt;Bosnia and Herzegovina",S3005)),"Bosnia and Herzegovina",
ISNUMBER(SEARCH("rn""&gt;Trinidad and Tobago",S3005)),"Trinidad and Tobago",
ISNUMBER(SEARCH("rn""&gt;Serbia and Montenegro",S3005)),"Serbia and Montenegro",
ISNUMBER(SEARCH(_xlfn.UNICHAR(65533),S3005)),"Côte d'Ivoire",
TRUE,""
)</f>
        <v/>
      </c>
      <c r="W3005" s="40" t="str">
        <f t="shared" si="213"/>
        <v>Japan</v>
      </c>
    </row>
    <row r="3006" spans="19:23">
      <c r="S3006" s="40" t="str">
        <v>Korea Republic</v>
      </c>
      <c r="T3006" s="40" t="str">
        <f t="shared" si="211"/>
        <v>ERREUR</v>
      </c>
      <c r="U3006" s="40" t="str">
        <f t="shared" si="212"/>
        <v>RENOMMER</v>
      </c>
      <c r="V3006" s="40" t="str" cm="1">
        <f t="array" ref="V3006">_xlfn.IFS(
ISNUMBER(SEARCH("USA",S3006)),"United States",
ISNUMBER(SEARCH("Republic of Ireland",S3006)),"Ireland",
ISNUMBER(SEARCH("Republic of Korea",S3006)),"South Korea",
ISNUMBER(SEARCH("Cape Verde",S3006)),"Cabo Verde",
ISNUMBER(SEARCH("Czechia",S3006)),"Czech Republic",
ISNUMBER(SEARCH("Türkiye",S3006)),"Turkey",
ISNUMBER(SEARCH("Ivory Coast",S3006)),"Côte d'Ivoire",
ISNUMBER(SEARCH("Korea Republic",S3006)),"South Korea",
ISNUMBER(SEARCH("Germany FR",S3006)),"FR Germany",
ISNUMBER(SEARCH("West Germany",S3006)),"FR Germany",
ISNUMBER(SEARCH("Germany DR",S3006)),"DR Germany",
ISNUMBER(SEARCH("Korea DPR",S3006)),"North Korea",
ISNUMBER(SEARCH("China PR",S3006)),"China",
ISNUMBER(SEARCH("IR Iran",S3006)),"Iran",
ISNUMBER(SEARCH("Congo DR",S3006)),"Democratic Republic of the Congo",
ISNUMBER(SEARCH("DR Congo",S3006)),"Democratic Republic of the Congo",
ISNUMBER(SEARCH("German DR",S3006)),"DR Germany",
ISNUMBER(SEARCH("rn""&gt;United Arab Emirates",S3006)),"United Arab Emirates",
ISNUMBER(SEARCH("rn""&gt;Republic of Ireland",S3006)),"Ireland",
ISNUMBER(SEARCH("rn""&gt;Bosnia and Herzegovina",S3006)),"Bosnia and Herzegovina",
ISNUMBER(SEARCH("rn""&gt;Trinidad and Tobago",S3006)),"Trinidad and Tobago",
ISNUMBER(SEARCH("rn""&gt;Serbia and Montenegro",S3006)),"Serbia and Montenegro",
ISNUMBER(SEARCH(_xlfn.UNICHAR(65533),S3006)),"Côte d'Ivoire",
TRUE,""
)</f>
        <v>South Korea</v>
      </c>
      <c r="W3006" s="40" t="str">
        <f t="shared" si="213"/>
        <v>South Korea</v>
      </c>
    </row>
    <row r="3007" spans="19:23">
      <c r="S3007" s="40" t="str">
        <v>England</v>
      </c>
      <c r="T3007" s="40" t="str">
        <f t="shared" si="211"/>
        <v>ERREUR</v>
      </c>
      <c r="U3007" s="40" t="str">
        <f t="shared" si="212"/>
        <v>AUCUNE</v>
      </c>
      <c r="V3007" s="40" t="str" cm="1">
        <f t="array" ref="V3007">_xlfn.IFS(
ISNUMBER(SEARCH("USA",S3007)),"United States",
ISNUMBER(SEARCH("Republic of Ireland",S3007)),"Ireland",
ISNUMBER(SEARCH("Republic of Korea",S3007)),"South Korea",
ISNUMBER(SEARCH("Cape Verde",S3007)),"Cabo Verde",
ISNUMBER(SEARCH("Czechia",S3007)),"Czech Republic",
ISNUMBER(SEARCH("Türkiye",S3007)),"Turkey",
ISNUMBER(SEARCH("Ivory Coast",S3007)),"Côte d'Ivoire",
ISNUMBER(SEARCH("Korea Republic",S3007)),"South Korea",
ISNUMBER(SEARCH("Germany FR",S3007)),"FR Germany",
ISNUMBER(SEARCH("West Germany",S3007)),"FR Germany",
ISNUMBER(SEARCH("Germany DR",S3007)),"DR Germany",
ISNUMBER(SEARCH("Korea DPR",S3007)),"North Korea",
ISNUMBER(SEARCH("China PR",S3007)),"China",
ISNUMBER(SEARCH("IR Iran",S3007)),"Iran",
ISNUMBER(SEARCH("Congo DR",S3007)),"Democratic Republic of the Congo",
ISNUMBER(SEARCH("DR Congo",S3007)),"Democratic Republic of the Congo",
ISNUMBER(SEARCH("German DR",S3007)),"DR Germany",
ISNUMBER(SEARCH("rn""&gt;United Arab Emirates",S3007)),"United Arab Emirates",
ISNUMBER(SEARCH("rn""&gt;Republic of Ireland",S3007)),"Ireland",
ISNUMBER(SEARCH("rn""&gt;Bosnia and Herzegovina",S3007)),"Bosnia and Herzegovina",
ISNUMBER(SEARCH("rn""&gt;Trinidad and Tobago",S3007)),"Trinidad and Tobago",
ISNUMBER(SEARCH("rn""&gt;Serbia and Montenegro",S3007)),"Serbia and Montenegro",
ISNUMBER(SEARCH(_xlfn.UNICHAR(65533),S3007)),"Côte d'Ivoire",
TRUE,""
)</f>
        <v/>
      </c>
      <c r="W3007" s="40" t="str">
        <f t="shared" si="213"/>
        <v>England</v>
      </c>
    </row>
    <row r="3008" spans="19:23">
      <c r="S3008" s="40" t="str">
        <v>Germany</v>
      </c>
      <c r="T3008" s="40" t="str">
        <f t="shared" si="211"/>
        <v>OK</v>
      </c>
      <c r="U3008" s="40" t="str">
        <f t="shared" si="212"/>
        <v>-</v>
      </c>
      <c r="V3008" s="40" t="str" cm="1">
        <f t="array" ref="V3008">_xlfn.IFS(
ISNUMBER(SEARCH("USA",S3008)),"United States",
ISNUMBER(SEARCH("Republic of Ireland",S3008)),"Ireland",
ISNUMBER(SEARCH("Republic of Korea",S3008)),"South Korea",
ISNUMBER(SEARCH("Cape Verde",S3008)),"Cabo Verde",
ISNUMBER(SEARCH("Czechia",S3008)),"Czech Republic",
ISNUMBER(SEARCH("Türkiye",S3008)),"Turkey",
ISNUMBER(SEARCH("Ivory Coast",S3008)),"Côte d'Ivoire",
ISNUMBER(SEARCH("Korea Republic",S3008)),"South Korea",
ISNUMBER(SEARCH("Germany FR",S3008)),"FR Germany",
ISNUMBER(SEARCH("West Germany",S3008)),"FR Germany",
ISNUMBER(SEARCH("Germany DR",S3008)),"DR Germany",
ISNUMBER(SEARCH("Korea DPR",S3008)),"North Korea",
ISNUMBER(SEARCH("China PR",S3008)),"China",
ISNUMBER(SEARCH("IR Iran",S3008)),"Iran",
ISNUMBER(SEARCH("Congo DR",S3008)),"Democratic Republic of the Congo",
ISNUMBER(SEARCH("DR Congo",S3008)),"Democratic Republic of the Congo",
ISNUMBER(SEARCH("German DR",S3008)),"DR Germany",
ISNUMBER(SEARCH("rn""&gt;United Arab Emirates",S3008)),"United Arab Emirates",
ISNUMBER(SEARCH("rn""&gt;Republic of Ireland",S3008)),"Ireland",
ISNUMBER(SEARCH("rn""&gt;Bosnia and Herzegovina",S3008)),"Bosnia and Herzegovina",
ISNUMBER(SEARCH("rn""&gt;Trinidad and Tobago",S3008)),"Trinidad and Tobago",
ISNUMBER(SEARCH("rn""&gt;Serbia and Montenegro",S3008)),"Serbia and Montenegro",
ISNUMBER(SEARCH(_xlfn.UNICHAR(65533),S3008)),"Côte d'Ivoire",
TRUE,""
)</f>
        <v/>
      </c>
      <c r="W3008" s="40" t="str">
        <f t="shared" si="213"/>
        <v>Germany</v>
      </c>
    </row>
    <row r="3009" spans="19:23">
      <c r="S3009" s="40" t="str">
        <v>Senegal</v>
      </c>
      <c r="T3009" s="40" t="str">
        <f t="shared" si="211"/>
        <v>OK</v>
      </c>
      <c r="U3009" s="40" t="str">
        <f t="shared" si="212"/>
        <v>-</v>
      </c>
      <c r="V3009" s="40" t="str" cm="1">
        <f t="array" ref="V3009">_xlfn.IFS(
ISNUMBER(SEARCH("USA",S3009)),"United States",
ISNUMBER(SEARCH("Republic of Ireland",S3009)),"Ireland",
ISNUMBER(SEARCH("Republic of Korea",S3009)),"South Korea",
ISNUMBER(SEARCH("Cape Verde",S3009)),"Cabo Verde",
ISNUMBER(SEARCH("Czechia",S3009)),"Czech Republic",
ISNUMBER(SEARCH("Türkiye",S3009)),"Turkey",
ISNUMBER(SEARCH("Ivory Coast",S3009)),"Côte d'Ivoire",
ISNUMBER(SEARCH("Korea Republic",S3009)),"South Korea",
ISNUMBER(SEARCH("Germany FR",S3009)),"FR Germany",
ISNUMBER(SEARCH("West Germany",S3009)),"FR Germany",
ISNUMBER(SEARCH("Germany DR",S3009)),"DR Germany",
ISNUMBER(SEARCH("Korea DPR",S3009)),"North Korea",
ISNUMBER(SEARCH("China PR",S3009)),"China",
ISNUMBER(SEARCH("IR Iran",S3009)),"Iran",
ISNUMBER(SEARCH("Congo DR",S3009)),"Democratic Republic of the Congo",
ISNUMBER(SEARCH("DR Congo",S3009)),"Democratic Republic of the Congo",
ISNUMBER(SEARCH("German DR",S3009)),"DR Germany",
ISNUMBER(SEARCH("rn""&gt;United Arab Emirates",S3009)),"United Arab Emirates",
ISNUMBER(SEARCH("rn""&gt;Republic of Ireland",S3009)),"Ireland",
ISNUMBER(SEARCH("rn""&gt;Bosnia and Herzegovina",S3009)),"Bosnia and Herzegovina",
ISNUMBER(SEARCH("rn""&gt;Trinidad and Tobago",S3009)),"Trinidad and Tobago",
ISNUMBER(SEARCH("rn""&gt;Serbia and Montenegro",S3009)),"Serbia and Montenegro",
ISNUMBER(SEARCH(_xlfn.UNICHAR(65533),S3009)),"Côte d'Ivoire",
TRUE,""
)</f>
        <v/>
      </c>
      <c r="W3009" s="40" t="str">
        <f t="shared" si="213"/>
        <v>Senegal</v>
      </c>
    </row>
    <row r="3010" spans="19:23">
      <c r="S3010" s="40" t="str">
        <v>Spain</v>
      </c>
      <c r="T3010" s="40" t="str">
        <f t="shared" si="211"/>
        <v>OK</v>
      </c>
      <c r="U3010" s="40" t="str">
        <f t="shared" si="212"/>
        <v>-</v>
      </c>
      <c r="V3010" s="40" t="str" cm="1">
        <f t="array" ref="V3010">_xlfn.IFS(
ISNUMBER(SEARCH("USA",S3010)),"United States",
ISNUMBER(SEARCH("Republic of Ireland",S3010)),"Ireland",
ISNUMBER(SEARCH("Republic of Korea",S3010)),"South Korea",
ISNUMBER(SEARCH("Cape Verde",S3010)),"Cabo Verde",
ISNUMBER(SEARCH("Czechia",S3010)),"Czech Republic",
ISNUMBER(SEARCH("Türkiye",S3010)),"Turkey",
ISNUMBER(SEARCH("Ivory Coast",S3010)),"Côte d'Ivoire",
ISNUMBER(SEARCH("Korea Republic",S3010)),"South Korea",
ISNUMBER(SEARCH("Germany FR",S3010)),"FR Germany",
ISNUMBER(SEARCH("West Germany",S3010)),"FR Germany",
ISNUMBER(SEARCH("Germany DR",S3010)),"DR Germany",
ISNUMBER(SEARCH("Korea DPR",S3010)),"North Korea",
ISNUMBER(SEARCH("China PR",S3010)),"China",
ISNUMBER(SEARCH("IR Iran",S3010)),"Iran",
ISNUMBER(SEARCH("Congo DR",S3010)),"Democratic Republic of the Congo",
ISNUMBER(SEARCH("DR Congo",S3010)),"Democratic Republic of the Congo",
ISNUMBER(SEARCH("German DR",S3010)),"DR Germany",
ISNUMBER(SEARCH("rn""&gt;United Arab Emirates",S3010)),"United Arab Emirates",
ISNUMBER(SEARCH("rn""&gt;Republic of Ireland",S3010)),"Ireland",
ISNUMBER(SEARCH("rn""&gt;Bosnia and Herzegovina",S3010)),"Bosnia and Herzegovina",
ISNUMBER(SEARCH("rn""&gt;Trinidad and Tobago",S3010)),"Trinidad and Tobago",
ISNUMBER(SEARCH("rn""&gt;Serbia and Montenegro",S3010)),"Serbia and Montenegro",
ISNUMBER(SEARCH(_xlfn.UNICHAR(65533),S3010)),"Côte d'Ivoire",
TRUE,""
)</f>
        <v/>
      </c>
      <c r="W3010" s="40" t="str">
        <f t="shared" si="213"/>
        <v>Spain</v>
      </c>
    </row>
    <row r="3011" spans="19:23">
      <c r="S3011" s="40" t="str">
        <v>Germany</v>
      </c>
      <c r="T3011" s="40" t="str">
        <f t="shared" ref="T3011:T3074" si="214">IF(COUNTIF(R$13:R$250,S3011)=1,"OK","ERREUR")</f>
        <v>OK</v>
      </c>
      <c r="U3011" s="40" t="str">
        <f t="shared" si="212"/>
        <v>-</v>
      </c>
      <c r="V3011" s="40" t="str" cm="1">
        <f t="array" ref="V3011">_xlfn.IFS(
ISNUMBER(SEARCH("USA",S3011)),"United States",
ISNUMBER(SEARCH("Republic of Ireland",S3011)),"Ireland",
ISNUMBER(SEARCH("Republic of Korea",S3011)),"South Korea",
ISNUMBER(SEARCH("Cape Verde",S3011)),"Cabo Verde",
ISNUMBER(SEARCH("Czechia",S3011)),"Czech Republic",
ISNUMBER(SEARCH("Türkiye",S3011)),"Turkey",
ISNUMBER(SEARCH("Ivory Coast",S3011)),"Côte d'Ivoire",
ISNUMBER(SEARCH("Korea Republic",S3011)),"South Korea",
ISNUMBER(SEARCH("Germany FR",S3011)),"FR Germany",
ISNUMBER(SEARCH("West Germany",S3011)),"FR Germany",
ISNUMBER(SEARCH("Germany DR",S3011)),"DR Germany",
ISNUMBER(SEARCH("Korea DPR",S3011)),"North Korea",
ISNUMBER(SEARCH("China PR",S3011)),"China",
ISNUMBER(SEARCH("IR Iran",S3011)),"Iran",
ISNUMBER(SEARCH("Congo DR",S3011)),"Democratic Republic of the Congo",
ISNUMBER(SEARCH("DR Congo",S3011)),"Democratic Republic of the Congo",
ISNUMBER(SEARCH("German DR",S3011)),"DR Germany",
ISNUMBER(SEARCH("rn""&gt;United Arab Emirates",S3011)),"United Arab Emirates",
ISNUMBER(SEARCH("rn""&gt;Republic of Ireland",S3011)),"Ireland",
ISNUMBER(SEARCH("rn""&gt;Bosnia and Herzegovina",S3011)),"Bosnia and Herzegovina",
ISNUMBER(SEARCH("rn""&gt;Trinidad and Tobago",S3011)),"Trinidad and Tobago",
ISNUMBER(SEARCH("rn""&gt;Serbia and Montenegro",S3011)),"Serbia and Montenegro",
ISNUMBER(SEARCH(_xlfn.UNICHAR(65533),S3011)),"Côte d'Ivoire",
TRUE,""
)</f>
        <v/>
      </c>
      <c r="W3011" s="40" t="str">
        <f t="shared" si="213"/>
        <v>Germany</v>
      </c>
    </row>
    <row r="3012" spans="19:23">
      <c r="S3012" s="40" t="str">
        <v>Brazil</v>
      </c>
      <c r="T3012" s="40" t="str">
        <f t="shared" si="214"/>
        <v>OK</v>
      </c>
      <c r="U3012" s="40" t="str">
        <f t="shared" ref="U3012:U3075" si="215">IF(OR(S3012="Scotland",S3012="England",S3012="Wales",S3012="Yugoslavia",S3012="Czechoslovakia",S3012="Northern Ireland",S3012="Soviet Union",S3012="Zaire",S3012="Dutch East Indies"),"AUCUNE",IF(OR(S3012="Cape Verde",S3012="USA",S3012="DR Congo",S3012="Republic of Korea",S3012="Germany FR",S3012="Germany DR",S3012="Czechia",S3012="Ivory Coast",S3012="Korea DPR",S3012="China PR",S3012="IR Iran",S3012="Türkiye",S3012="Congo DR",S3012="German DR",S3012="West Germany",S3012="Republic of Ireland",ISNUMBER(SEARCH(_xlfn.UNICHAR(65533),S3012)),S3012="Korea Republic",ISNUMBER(SEARCH("rn""&gt;United Arab Emirates",S3012)),ISNUMBER(SEARCH("rn""&gt;Republic of Ireland",S3012)),ISNUMBER(SEARCH("rn""&gt;Bosnia and Herzegovina",S3012)),ISNUMBER(SEARCH("rn""&gt;Trinidad and Tobago",S3012)),ISNUMBER(SEARCH("rn""&gt;Serbia and Montenegro",S3012)),ISNUMBER(SEARCH(_xlfn.UNICHAR(65533),S3012))),"RENOMMER","-"))</f>
        <v>-</v>
      </c>
      <c r="V3012" s="40" t="str" cm="1">
        <f t="array" ref="V3012">_xlfn.IFS(
ISNUMBER(SEARCH("USA",S3012)),"United States",
ISNUMBER(SEARCH("Republic of Ireland",S3012)),"Ireland",
ISNUMBER(SEARCH("Republic of Korea",S3012)),"South Korea",
ISNUMBER(SEARCH("Cape Verde",S3012)),"Cabo Verde",
ISNUMBER(SEARCH("Czechia",S3012)),"Czech Republic",
ISNUMBER(SEARCH("Türkiye",S3012)),"Turkey",
ISNUMBER(SEARCH("Ivory Coast",S3012)),"Côte d'Ivoire",
ISNUMBER(SEARCH("Korea Republic",S3012)),"South Korea",
ISNUMBER(SEARCH("Germany FR",S3012)),"FR Germany",
ISNUMBER(SEARCH("West Germany",S3012)),"FR Germany",
ISNUMBER(SEARCH("Germany DR",S3012)),"DR Germany",
ISNUMBER(SEARCH("Korea DPR",S3012)),"North Korea",
ISNUMBER(SEARCH("China PR",S3012)),"China",
ISNUMBER(SEARCH("IR Iran",S3012)),"Iran",
ISNUMBER(SEARCH("Congo DR",S3012)),"Democratic Republic of the Congo",
ISNUMBER(SEARCH("DR Congo",S3012)),"Democratic Republic of the Congo",
ISNUMBER(SEARCH("German DR",S3012)),"DR Germany",
ISNUMBER(SEARCH("rn""&gt;United Arab Emirates",S3012)),"United Arab Emirates",
ISNUMBER(SEARCH("rn""&gt;Republic of Ireland",S3012)),"Ireland",
ISNUMBER(SEARCH("rn""&gt;Bosnia and Herzegovina",S3012)),"Bosnia and Herzegovina",
ISNUMBER(SEARCH("rn""&gt;Trinidad and Tobago",S3012)),"Trinidad and Tobago",
ISNUMBER(SEARCH("rn""&gt;Serbia and Montenegro",S3012)),"Serbia and Montenegro",
ISNUMBER(SEARCH(_xlfn.UNICHAR(65533),S3012)),"Côte d'Ivoire",
TRUE,""
)</f>
        <v/>
      </c>
      <c r="W3012" s="40" t="str">
        <f t="shared" ref="W3012:W3075" si="216">IF(V3012="",S3012,V3012)</f>
        <v>Brazil</v>
      </c>
    </row>
    <row r="3013" spans="19:23">
      <c r="S3013" s="40" t="str">
        <v>Korea Republic</v>
      </c>
      <c r="T3013" s="40" t="str">
        <f t="shared" si="214"/>
        <v>ERREUR</v>
      </c>
      <c r="U3013" s="40" t="str">
        <f t="shared" si="215"/>
        <v>RENOMMER</v>
      </c>
      <c r="V3013" s="40" t="str" cm="1">
        <f t="array" ref="V3013">_xlfn.IFS(
ISNUMBER(SEARCH("USA",S3013)),"United States",
ISNUMBER(SEARCH("Republic of Ireland",S3013)),"Ireland",
ISNUMBER(SEARCH("Republic of Korea",S3013)),"South Korea",
ISNUMBER(SEARCH("Cape Verde",S3013)),"Cabo Verde",
ISNUMBER(SEARCH("Czechia",S3013)),"Czech Republic",
ISNUMBER(SEARCH("Türkiye",S3013)),"Turkey",
ISNUMBER(SEARCH("Ivory Coast",S3013)),"Côte d'Ivoire",
ISNUMBER(SEARCH("Korea Republic",S3013)),"South Korea",
ISNUMBER(SEARCH("Germany FR",S3013)),"FR Germany",
ISNUMBER(SEARCH("West Germany",S3013)),"FR Germany",
ISNUMBER(SEARCH("Germany DR",S3013)),"DR Germany",
ISNUMBER(SEARCH("Korea DPR",S3013)),"North Korea",
ISNUMBER(SEARCH("China PR",S3013)),"China",
ISNUMBER(SEARCH("IR Iran",S3013)),"Iran",
ISNUMBER(SEARCH("Congo DR",S3013)),"Democratic Republic of the Congo",
ISNUMBER(SEARCH("DR Congo",S3013)),"Democratic Republic of the Congo",
ISNUMBER(SEARCH("German DR",S3013)),"DR Germany",
ISNUMBER(SEARCH("rn""&gt;United Arab Emirates",S3013)),"United Arab Emirates",
ISNUMBER(SEARCH("rn""&gt;Republic of Ireland",S3013)),"Ireland",
ISNUMBER(SEARCH("rn""&gt;Bosnia and Herzegovina",S3013)),"Bosnia and Herzegovina",
ISNUMBER(SEARCH("rn""&gt;Trinidad and Tobago",S3013)),"Trinidad and Tobago",
ISNUMBER(SEARCH("rn""&gt;Serbia and Montenegro",S3013)),"Serbia and Montenegro",
ISNUMBER(SEARCH(_xlfn.UNICHAR(65533),S3013)),"Côte d'Ivoire",
TRUE,""
)</f>
        <v>South Korea</v>
      </c>
      <c r="W3013" s="40" t="str">
        <f t="shared" si="216"/>
        <v>South Korea</v>
      </c>
    </row>
    <row r="3014" spans="19:23">
      <c r="S3014" s="40" t="str">
        <v>Germany</v>
      </c>
      <c r="T3014" s="40" t="str">
        <f t="shared" si="214"/>
        <v>OK</v>
      </c>
      <c r="U3014" s="40" t="str">
        <f t="shared" si="215"/>
        <v>-</v>
      </c>
      <c r="V3014" s="40" t="str" cm="1">
        <f t="array" ref="V3014">_xlfn.IFS(
ISNUMBER(SEARCH("USA",S3014)),"United States",
ISNUMBER(SEARCH("Republic of Ireland",S3014)),"Ireland",
ISNUMBER(SEARCH("Republic of Korea",S3014)),"South Korea",
ISNUMBER(SEARCH("Cape Verde",S3014)),"Cabo Verde",
ISNUMBER(SEARCH("Czechia",S3014)),"Czech Republic",
ISNUMBER(SEARCH("Türkiye",S3014)),"Turkey",
ISNUMBER(SEARCH("Ivory Coast",S3014)),"Côte d'Ivoire",
ISNUMBER(SEARCH("Korea Republic",S3014)),"South Korea",
ISNUMBER(SEARCH("Germany FR",S3014)),"FR Germany",
ISNUMBER(SEARCH("West Germany",S3014)),"FR Germany",
ISNUMBER(SEARCH("Germany DR",S3014)),"DR Germany",
ISNUMBER(SEARCH("Korea DPR",S3014)),"North Korea",
ISNUMBER(SEARCH("China PR",S3014)),"China",
ISNUMBER(SEARCH("IR Iran",S3014)),"Iran",
ISNUMBER(SEARCH("Congo DR",S3014)),"Democratic Republic of the Congo",
ISNUMBER(SEARCH("DR Congo",S3014)),"Democratic Republic of the Congo",
ISNUMBER(SEARCH("German DR",S3014)),"DR Germany",
ISNUMBER(SEARCH("rn""&gt;United Arab Emirates",S3014)),"United Arab Emirates",
ISNUMBER(SEARCH("rn""&gt;Republic of Ireland",S3014)),"Ireland",
ISNUMBER(SEARCH("rn""&gt;Bosnia and Herzegovina",S3014)),"Bosnia and Herzegovina",
ISNUMBER(SEARCH("rn""&gt;Trinidad and Tobago",S3014)),"Trinidad and Tobago",
ISNUMBER(SEARCH("rn""&gt;Serbia and Montenegro",S3014)),"Serbia and Montenegro",
ISNUMBER(SEARCH(_xlfn.UNICHAR(65533),S3014)),"Côte d'Ivoire",
TRUE,""
)</f>
        <v/>
      </c>
      <c r="W3014" s="40" t="str">
        <f t="shared" si="216"/>
        <v>Germany</v>
      </c>
    </row>
    <row r="3015" spans="19:23">
      <c r="S3015" s="40" t="str">
        <v>Germany</v>
      </c>
      <c r="T3015" s="40" t="str">
        <f t="shared" si="214"/>
        <v>OK</v>
      </c>
      <c r="U3015" s="40" t="str">
        <f t="shared" si="215"/>
        <v>-</v>
      </c>
      <c r="V3015" s="40" t="str" cm="1">
        <f t="array" ref="V3015">_xlfn.IFS(
ISNUMBER(SEARCH("USA",S3015)),"United States",
ISNUMBER(SEARCH("Republic of Ireland",S3015)),"Ireland",
ISNUMBER(SEARCH("Republic of Korea",S3015)),"South Korea",
ISNUMBER(SEARCH("Cape Verde",S3015)),"Cabo Verde",
ISNUMBER(SEARCH("Czechia",S3015)),"Czech Republic",
ISNUMBER(SEARCH("Türkiye",S3015)),"Turkey",
ISNUMBER(SEARCH("Ivory Coast",S3015)),"Côte d'Ivoire",
ISNUMBER(SEARCH("Korea Republic",S3015)),"South Korea",
ISNUMBER(SEARCH("Germany FR",S3015)),"FR Germany",
ISNUMBER(SEARCH("West Germany",S3015)),"FR Germany",
ISNUMBER(SEARCH("Germany DR",S3015)),"DR Germany",
ISNUMBER(SEARCH("Korea DPR",S3015)),"North Korea",
ISNUMBER(SEARCH("China PR",S3015)),"China",
ISNUMBER(SEARCH("IR Iran",S3015)),"Iran",
ISNUMBER(SEARCH("Congo DR",S3015)),"Democratic Republic of the Congo",
ISNUMBER(SEARCH("DR Congo",S3015)),"Democratic Republic of the Congo",
ISNUMBER(SEARCH("German DR",S3015)),"DR Germany",
ISNUMBER(SEARCH("rn""&gt;United Arab Emirates",S3015)),"United Arab Emirates",
ISNUMBER(SEARCH("rn""&gt;Republic of Ireland",S3015)),"Ireland",
ISNUMBER(SEARCH("rn""&gt;Bosnia and Herzegovina",S3015)),"Bosnia and Herzegovina",
ISNUMBER(SEARCH("rn""&gt;Trinidad and Tobago",S3015)),"Trinidad and Tobago",
ISNUMBER(SEARCH("rn""&gt;Serbia and Montenegro",S3015)),"Serbia and Montenegro",
ISNUMBER(SEARCH(_xlfn.UNICHAR(65533),S3015)),"Côte d'Ivoire",
TRUE,""
)</f>
        <v/>
      </c>
      <c r="W3015" s="40" t="str">
        <f t="shared" si="216"/>
        <v>Germany</v>
      </c>
    </row>
    <row r="3016" spans="19:23">
      <c r="S3016" s="40" t="str">
        <v>Poland</v>
      </c>
      <c r="T3016" s="40" t="str">
        <f t="shared" si="214"/>
        <v>OK</v>
      </c>
      <c r="U3016" s="40" t="str">
        <f t="shared" si="215"/>
        <v>-</v>
      </c>
      <c r="V3016" s="40" t="str" cm="1">
        <f t="array" ref="V3016">_xlfn.IFS(
ISNUMBER(SEARCH("USA",S3016)),"United States",
ISNUMBER(SEARCH("Republic of Ireland",S3016)),"Ireland",
ISNUMBER(SEARCH("Republic of Korea",S3016)),"South Korea",
ISNUMBER(SEARCH("Cape Verde",S3016)),"Cabo Verde",
ISNUMBER(SEARCH("Czechia",S3016)),"Czech Republic",
ISNUMBER(SEARCH("Türkiye",S3016)),"Turkey",
ISNUMBER(SEARCH("Ivory Coast",S3016)),"Côte d'Ivoire",
ISNUMBER(SEARCH("Korea Republic",S3016)),"South Korea",
ISNUMBER(SEARCH("Germany FR",S3016)),"FR Germany",
ISNUMBER(SEARCH("West Germany",S3016)),"FR Germany",
ISNUMBER(SEARCH("Germany DR",S3016)),"DR Germany",
ISNUMBER(SEARCH("Korea DPR",S3016)),"North Korea",
ISNUMBER(SEARCH("China PR",S3016)),"China",
ISNUMBER(SEARCH("IR Iran",S3016)),"Iran",
ISNUMBER(SEARCH("Congo DR",S3016)),"Democratic Republic of the Congo",
ISNUMBER(SEARCH("DR Congo",S3016)),"Democratic Republic of the Congo",
ISNUMBER(SEARCH("German DR",S3016)),"DR Germany",
ISNUMBER(SEARCH("rn""&gt;United Arab Emirates",S3016)),"United Arab Emirates",
ISNUMBER(SEARCH("rn""&gt;Republic of Ireland",S3016)),"Ireland",
ISNUMBER(SEARCH("rn""&gt;Bosnia and Herzegovina",S3016)),"Bosnia and Herzegovina",
ISNUMBER(SEARCH("rn""&gt;Trinidad and Tobago",S3016)),"Trinidad and Tobago",
ISNUMBER(SEARCH("rn""&gt;Serbia and Montenegro",S3016)),"Serbia and Montenegro",
ISNUMBER(SEARCH(_xlfn.UNICHAR(65533),S3016)),"Côte d'Ivoire",
TRUE,""
)</f>
        <v/>
      </c>
      <c r="W3016" s="40" t="str">
        <f t="shared" si="216"/>
        <v>Poland</v>
      </c>
    </row>
    <row r="3017" spans="19:23">
      <c r="S3017" s="40" t="str">
        <v>England</v>
      </c>
      <c r="T3017" s="40" t="str">
        <f t="shared" si="214"/>
        <v>ERREUR</v>
      </c>
      <c r="U3017" s="40" t="str">
        <f t="shared" si="215"/>
        <v>AUCUNE</v>
      </c>
      <c r="V3017" s="40" t="str" cm="1">
        <f t="array" ref="V3017">_xlfn.IFS(
ISNUMBER(SEARCH("USA",S3017)),"United States",
ISNUMBER(SEARCH("Republic of Ireland",S3017)),"Ireland",
ISNUMBER(SEARCH("Republic of Korea",S3017)),"South Korea",
ISNUMBER(SEARCH("Cape Verde",S3017)),"Cabo Verde",
ISNUMBER(SEARCH("Czechia",S3017)),"Czech Republic",
ISNUMBER(SEARCH("Türkiye",S3017)),"Turkey",
ISNUMBER(SEARCH("Ivory Coast",S3017)),"Côte d'Ivoire",
ISNUMBER(SEARCH("Korea Republic",S3017)),"South Korea",
ISNUMBER(SEARCH("Germany FR",S3017)),"FR Germany",
ISNUMBER(SEARCH("West Germany",S3017)),"FR Germany",
ISNUMBER(SEARCH("Germany DR",S3017)),"DR Germany",
ISNUMBER(SEARCH("Korea DPR",S3017)),"North Korea",
ISNUMBER(SEARCH("China PR",S3017)),"China",
ISNUMBER(SEARCH("IR Iran",S3017)),"Iran",
ISNUMBER(SEARCH("Congo DR",S3017)),"Democratic Republic of the Congo",
ISNUMBER(SEARCH("DR Congo",S3017)),"Democratic Republic of the Congo",
ISNUMBER(SEARCH("German DR",S3017)),"DR Germany",
ISNUMBER(SEARCH("rn""&gt;United Arab Emirates",S3017)),"United Arab Emirates",
ISNUMBER(SEARCH("rn""&gt;Republic of Ireland",S3017)),"Ireland",
ISNUMBER(SEARCH("rn""&gt;Bosnia and Herzegovina",S3017)),"Bosnia and Herzegovina",
ISNUMBER(SEARCH("rn""&gt;Trinidad and Tobago",S3017)),"Trinidad and Tobago",
ISNUMBER(SEARCH("rn""&gt;Serbia and Montenegro",S3017)),"Serbia and Montenegro",
ISNUMBER(SEARCH(_xlfn.UNICHAR(65533),S3017)),"Côte d'Ivoire",
TRUE,""
)</f>
        <v/>
      </c>
      <c r="W3017" s="40" t="str">
        <f t="shared" si="216"/>
        <v>England</v>
      </c>
    </row>
    <row r="3018" spans="19:23">
      <c r="S3018" s="40" t="str">
        <v>rn"&gt;Trinidad and Tobago</v>
      </c>
      <c r="T3018" s="40" t="str">
        <f t="shared" si="214"/>
        <v>ERREUR</v>
      </c>
      <c r="U3018" s="40" t="str">
        <f t="shared" si="215"/>
        <v>RENOMMER</v>
      </c>
      <c r="V3018" s="40" t="str" cm="1">
        <f t="array" ref="V3018">_xlfn.IFS(
ISNUMBER(SEARCH("USA",S3018)),"United States",
ISNUMBER(SEARCH("Republic of Ireland",S3018)),"Ireland",
ISNUMBER(SEARCH("Republic of Korea",S3018)),"South Korea",
ISNUMBER(SEARCH("Cape Verde",S3018)),"Cabo Verde",
ISNUMBER(SEARCH("Czechia",S3018)),"Czech Republic",
ISNUMBER(SEARCH("Türkiye",S3018)),"Turkey",
ISNUMBER(SEARCH("Ivory Coast",S3018)),"Côte d'Ivoire",
ISNUMBER(SEARCH("Korea Republic",S3018)),"South Korea",
ISNUMBER(SEARCH("Germany FR",S3018)),"FR Germany",
ISNUMBER(SEARCH("West Germany",S3018)),"FR Germany",
ISNUMBER(SEARCH("Germany DR",S3018)),"DR Germany",
ISNUMBER(SEARCH("Korea DPR",S3018)),"North Korea",
ISNUMBER(SEARCH("China PR",S3018)),"China",
ISNUMBER(SEARCH("IR Iran",S3018)),"Iran",
ISNUMBER(SEARCH("Congo DR",S3018)),"Democratic Republic of the Congo",
ISNUMBER(SEARCH("DR Congo",S3018)),"Democratic Republic of the Congo",
ISNUMBER(SEARCH("German DR",S3018)),"DR Germany",
ISNUMBER(SEARCH("rn""&gt;United Arab Emirates",S3018)),"United Arab Emirates",
ISNUMBER(SEARCH("rn""&gt;Republic of Ireland",S3018)),"Ireland",
ISNUMBER(SEARCH("rn""&gt;Bosnia and Herzegovina",S3018)),"Bosnia and Herzegovina",
ISNUMBER(SEARCH("rn""&gt;Trinidad and Tobago",S3018)),"Trinidad and Tobago",
ISNUMBER(SEARCH("rn""&gt;Serbia and Montenegro",S3018)),"Serbia and Montenegro",
ISNUMBER(SEARCH(_xlfn.UNICHAR(65533),S3018)),"Côte d'Ivoire",
TRUE,""
)</f>
        <v>Trinidad and Tobago</v>
      </c>
      <c r="W3018" s="40" t="str">
        <f t="shared" si="216"/>
        <v>Trinidad and Tobago</v>
      </c>
    </row>
    <row r="3019" spans="19:23">
      <c r="S3019" s="40" t="str">
        <v>Argentina</v>
      </c>
      <c r="T3019" s="40" t="str">
        <f t="shared" si="214"/>
        <v>OK</v>
      </c>
      <c r="U3019" s="40" t="str">
        <f t="shared" si="215"/>
        <v>-</v>
      </c>
      <c r="V3019" s="40" t="str" cm="1">
        <f t="array" ref="V3019">_xlfn.IFS(
ISNUMBER(SEARCH("USA",S3019)),"United States",
ISNUMBER(SEARCH("Republic of Ireland",S3019)),"Ireland",
ISNUMBER(SEARCH("Republic of Korea",S3019)),"South Korea",
ISNUMBER(SEARCH("Cape Verde",S3019)),"Cabo Verde",
ISNUMBER(SEARCH("Czechia",S3019)),"Czech Republic",
ISNUMBER(SEARCH("Türkiye",S3019)),"Turkey",
ISNUMBER(SEARCH("Ivory Coast",S3019)),"Côte d'Ivoire",
ISNUMBER(SEARCH("Korea Republic",S3019)),"South Korea",
ISNUMBER(SEARCH("Germany FR",S3019)),"FR Germany",
ISNUMBER(SEARCH("West Germany",S3019)),"FR Germany",
ISNUMBER(SEARCH("Germany DR",S3019)),"DR Germany",
ISNUMBER(SEARCH("Korea DPR",S3019)),"North Korea",
ISNUMBER(SEARCH("China PR",S3019)),"China",
ISNUMBER(SEARCH("IR Iran",S3019)),"Iran",
ISNUMBER(SEARCH("Congo DR",S3019)),"Democratic Republic of the Congo",
ISNUMBER(SEARCH("DR Congo",S3019)),"Democratic Republic of the Congo",
ISNUMBER(SEARCH("German DR",S3019)),"DR Germany",
ISNUMBER(SEARCH("rn""&gt;United Arab Emirates",S3019)),"United Arab Emirates",
ISNUMBER(SEARCH("rn""&gt;Republic of Ireland",S3019)),"Ireland",
ISNUMBER(SEARCH("rn""&gt;Bosnia and Herzegovina",S3019)),"Bosnia and Herzegovina",
ISNUMBER(SEARCH("rn""&gt;Trinidad and Tobago",S3019)),"Trinidad and Tobago",
ISNUMBER(SEARCH("rn""&gt;Serbia and Montenegro",S3019)),"Serbia and Montenegro",
ISNUMBER(SEARCH(_xlfn.UNICHAR(65533),S3019)),"Côte d'Ivoire",
TRUE,""
)</f>
        <v/>
      </c>
      <c r="W3019" s="40" t="str">
        <f t="shared" si="216"/>
        <v>Argentina</v>
      </c>
    </row>
    <row r="3020" spans="19:23">
      <c r="S3020" s="40" t="str">
        <v>rn"&gt;Serbia and Montenegro</v>
      </c>
      <c r="T3020" s="40" t="str">
        <f t="shared" si="214"/>
        <v>ERREUR</v>
      </c>
      <c r="U3020" s="40" t="str">
        <f t="shared" si="215"/>
        <v>RENOMMER</v>
      </c>
      <c r="V3020" s="40" t="str" cm="1">
        <f t="array" ref="V3020">_xlfn.IFS(
ISNUMBER(SEARCH("USA",S3020)),"United States",
ISNUMBER(SEARCH("Republic of Ireland",S3020)),"Ireland",
ISNUMBER(SEARCH("Republic of Korea",S3020)),"South Korea",
ISNUMBER(SEARCH("Cape Verde",S3020)),"Cabo Verde",
ISNUMBER(SEARCH("Czechia",S3020)),"Czech Republic",
ISNUMBER(SEARCH("Türkiye",S3020)),"Turkey",
ISNUMBER(SEARCH("Ivory Coast",S3020)),"Côte d'Ivoire",
ISNUMBER(SEARCH("Korea Republic",S3020)),"South Korea",
ISNUMBER(SEARCH("Germany FR",S3020)),"FR Germany",
ISNUMBER(SEARCH("West Germany",S3020)),"FR Germany",
ISNUMBER(SEARCH("Germany DR",S3020)),"DR Germany",
ISNUMBER(SEARCH("Korea DPR",S3020)),"North Korea",
ISNUMBER(SEARCH("China PR",S3020)),"China",
ISNUMBER(SEARCH("IR Iran",S3020)),"Iran",
ISNUMBER(SEARCH("Congo DR",S3020)),"Democratic Republic of the Congo",
ISNUMBER(SEARCH("DR Congo",S3020)),"Democratic Republic of the Congo",
ISNUMBER(SEARCH("German DR",S3020)),"DR Germany",
ISNUMBER(SEARCH("rn""&gt;United Arab Emirates",S3020)),"United Arab Emirates",
ISNUMBER(SEARCH("rn""&gt;Republic of Ireland",S3020)),"Ireland",
ISNUMBER(SEARCH("rn""&gt;Bosnia and Herzegovina",S3020)),"Bosnia and Herzegovina",
ISNUMBER(SEARCH("rn""&gt;Trinidad and Tobago",S3020)),"Trinidad and Tobago",
ISNUMBER(SEARCH("rn""&gt;Serbia and Montenegro",S3020)),"Serbia and Montenegro",
ISNUMBER(SEARCH(_xlfn.UNICHAR(65533),S3020)),"Côte d'Ivoire",
TRUE,""
)</f>
        <v>Serbia and Montenegro</v>
      </c>
      <c r="W3020" s="40" t="str">
        <f t="shared" si="216"/>
        <v>Serbia and Montenegro</v>
      </c>
    </row>
    <row r="3021" spans="19:23">
      <c r="S3021" s="40" t="str">
        <v>Mexico</v>
      </c>
      <c r="T3021" s="40" t="str">
        <f t="shared" si="214"/>
        <v>OK</v>
      </c>
      <c r="U3021" s="40" t="str">
        <f t="shared" si="215"/>
        <v>-</v>
      </c>
      <c r="V3021" s="40" t="str" cm="1">
        <f t="array" ref="V3021">_xlfn.IFS(
ISNUMBER(SEARCH("USA",S3021)),"United States",
ISNUMBER(SEARCH("Republic of Ireland",S3021)),"Ireland",
ISNUMBER(SEARCH("Republic of Korea",S3021)),"South Korea",
ISNUMBER(SEARCH("Cape Verde",S3021)),"Cabo Verde",
ISNUMBER(SEARCH("Czechia",S3021)),"Czech Republic",
ISNUMBER(SEARCH("Türkiye",S3021)),"Turkey",
ISNUMBER(SEARCH("Ivory Coast",S3021)),"Côte d'Ivoire",
ISNUMBER(SEARCH("Korea Republic",S3021)),"South Korea",
ISNUMBER(SEARCH("Germany FR",S3021)),"FR Germany",
ISNUMBER(SEARCH("West Germany",S3021)),"FR Germany",
ISNUMBER(SEARCH("Germany DR",S3021)),"DR Germany",
ISNUMBER(SEARCH("Korea DPR",S3021)),"North Korea",
ISNUMBER(SEARCH("China PR",S3021)),"China",
ISNUMBER(SEARCH("IR Iran",S3021)),"Iran",
ISNUMBER(SEARCH("Congo DR",S3021)),"Democratic Republic of the Congo",
ISNUMBER(SEARCH("DR Congo",S3021)),"Democratic Republic of the Congo",
ISNUMBER(SEARCH("German DR",S3021)),"DR Germany",
ISNUMBER(SEARCH("rn""&gt;United Arab Emirates",S3021)),"United Arab Emirates",
ISNUMBER(SEARCH("rn""&gt;Republic of Ireland",S3021)),"Ireland",
ISNUMBER(SEARCH("rn""&gt;Bosnia and Herzegovina",S3021)),"Bosnia and Herzegovina",
ISNUMBER(SEARCH("rn""&gt;Trinidad and Tobago",S3021)),"Trinidad and Tobago",
ISNUMBER(SEARCH("rn""&gt;Serbia and Montenegro",S3021)),"Serbia and Montenegro",
ISNUMBER(SEARCH(_xlfn.UNICHAR(65533),S3021)),"Côte d'Ivoire",
TRUE,""
)</f>
        <v/>
      </c>
      <c r="W3021" s="40" t="str">
        <f t="shared" si="216"/>
        <v>Mexico</v>
      </c>
    </row>
    <row r="3022" spans="19:23">
      <c r="S3022" s="40" t="str">
        <v>Angola</v>
      </c>
      <c r="T3022" s="40" t="str">
        <f t="shared" si="214"/>
        <v>OK</v>
      </c>
      <c r="U3022" s="40" t="str">
        <f t="shared" si="215"/>
        <v>-</v>
      </c>
      <c r="V3022" s="40" t="str" cm="1">
        <f t="array" ref="V3022">_xlfn.IFS(
ISNUMBER(SEARCH("USA",S3022)),"United States",
ISNUMBER(SEARCH("Republic of Ireland",S3022)),"Ireland",
ISNUMBER(SEARCH("Republic of Korea",S3022)),"South Korea",
ISNUMBER(SEARCH("Cape Verde",S3022)),"Cabo Verde",
ISNUMBER(SEARCH("Czechia",S3022)),"Czech Republic",
ISNUMBER(SEARCH("Türkiye",S3022)),"Turkey",
ISNUMBER(SEARCH("Ivory Coast",S3022)),"Côte d'Ivoire",
ISNUMBER(SEARCH("Korea Republic",S3022)),"South Korea",
ISNUMBER(SEARCH("Germany FR",S3022)),"FR Germany",
ISNUMBER(SEARCH("West Germany",S3022)),"FR Germany",
ISNUMBER(SEARCH("Germany DR",S3022)),"DR Germany",
ISNUMBER(SEARCH("Korea DPR",S3022)),"North Korea",
ISNUMBER(SEARCH("China PR",S3022)),"China",
ISNUMBER(SEARCH("IR Iran",S3022)),"Iran",
ISNUMBER(SEARCH("Congo DR",S3022)),"Democratic Republic of the Congo",
ISNUMBER(SEARCH("DR Congo",S3022)),"Democratic Republic of the Congo",
ISNUMBER(SEARCH("German DR",S3022)),"DR Germany",
ISNUMBER(SEARCH("rn""&gt;United Arab Emirates",S3022)),"United Arab Emirates",
ISNUMBER(SEARCH("rn""&gt;Republic of Ireland",S3022)),"Ireland",
ISNUMBER(SEARCH("rn""&gt;Bosnia and Herzegovina",S3022)),"Bosnia and Herzegovina",
ISNUMBER(SEARCH("rn""&gt;Trinidad and Tobago",S3022)),"Trinidad and Tobago",
ISNUMBER(SEARCH("rn""&gt;Serbia and Montenegro",S3022)),"Serbia and Montenegro",
ISNUMBER(SEARCH(_xlfn.UNICHAR(65533),S3022)),"Côte d'Ivoire",
TRUE,""
)</f>
        <v/>
      </c>
      <c r="W3022" s="40" t="str">
        <f t="shared" si="216"/>
        <v>Angola</v>
      </c>
    </row>
    <row r="3023" spans="19:23">
      <c r="S3023" s="40" t="str">
        <v>Australia</v>
      </c>
      <c r="T3023" s="40" t="str">
        <f t="shared" si="214"/>
        <v>OK</v>
      </c>
      <c r="U3023" s="40" t="str">
        <f t="shared" si="215"/>
        <v>-</v>
      </c>
      <c r="V3023" s="40" t="str" cm="1">
        <f t="array" ref="V3023">_xlfn.IFS(
ISNUMBER(SEARCH("USA",S3023)),"United States",
ISNUMBER(SEARCH("Republic of Ireland",S3023)),"Ireland",
ISNUMBER(SEARCH("Republic of Korea",S3023)),"South Korea",
ISNUMBER(SEARCH("Cape Verde",S3023)),"Cabo Verde",
ISNUMBER(SEARCH("Czechia",S3023)),"Czech Republic",
ISNUMBER(SEARCH("Türkiye",S3023)),"Turkey",
ISNUMBER(SEARCH("Ivory Coast",S3023)),"Côte d'Ivoire",
ISNUMBER(SEARCH("Korea Republic",S3023)),"South Korea",
ISNUMBER(SEARCH("Germany FR",S3023)),"FR Germany",
ISNUMBER(SEARCH("West Germany",S3023)),"FR Germany",
ISNUMBER(SEARCH("Germany DR",S3023)),"DR Germany",
ISNUMBER(SEARCH("Korea DPR",S3023)),"North Korea",
ISNUMBER(SEARCH("China PR",S3023)),"China",
ISNUMBER(SEARCH("IR Iran",S3023)),"Iran",
ISNUMBER(SEARCH("Congo DR",S3023)),"Democratic Republic of the Congo",
ISNUMBER(SEARCH("DR Congo",S3023)),"Democratic Republic of the Congo",
ISNUMBER(SEARCH("German DR",S3023)),"DR Germany",
ISNUMBER(SEARCH("rn""&gt;United Arab Emirates",S3023)),"United Arab Emirates",
ISNUMBER(SEARCH("rn""&gt;Republic of Ireland",S3023)),"Ireland",
ISNUMBER(SEARCH("rn""&gt;Bosnia and Herzegovina",S3023)),"Bosnia and Herzegovina",
ISNUMBER(SEARCH("rn""&gt;Trinidad and Tobago",S3023)),"Trinidad and Tobago",
ISNUMBER(SEARCH("rn""&gt;Serbia and Montenegro",S3023)),"Serbia and Montenegro",
ISNUMBER(SEARCH(_xlfn.UNICHAR(65533),S3023)),"Côte d'Ivoire",
TRUE,""
)</f>
        <v/>
      </c>
      <c r="W3023" s="40" t="str">
        <f t="shared" si="216"/>
        <v>Australia</v>
      </c>
    </row>
    <row r="3024" spans="19:23">
      <c r="S3024" s="40" t="str">
        <v>USA</v>
      </c>
      <c r="T3024" s="40" t="str">
        <f t="shared" si="214"/>
        <v>ERREUR</v>
      </c>
      <c r="U3024" s="40" t="str">
        <f t="shared" si="215"/>
        <v>RENOMMER</v>
      </c>
      <c r="V3024" s="40" t="str" cm="1">
        <f t="array" ref="V3024">_xlfn.IFS(
ISNUMBER(SEARCH("USA",S3024)),"United States",
ISNUMBER(SEARCH("Republic of Ireland",S3024)),"Ireland",
ISNUMBER(SEARCH("Republic of Korea",S3024)),"South Korea",
ISNUMBER(SEARCH("Cape Verde",S3024)),"Cabo Verde",
ISNUMBER(SEARCH("Czechia",S3024)),"Czech Republic",
ISNUMBER(SEARCH("Türkiye",S3024)),"Turkey",
ISNUMBER(SEARCH("Ivory Coast",S3024)),"Côte d'Ivoire",
ISNUMBER(SEARCH("Korea Republic",S3024)),"South Korea",
ISNUMBER(SEARCH("Germany FR",S3024)),"FR Germany",
ISNUMBER(SEARCH("West Germany",S3024)),"FR Germany",
ISNUMBER(SEARCH("Germany DR",S3024)),"DR Germany",
ISNUMBER(SEARCH("Korea DPR",S3024)),"North Korea",
ISNUMBER(SEARCH("China PR",S3024)),"China",
ISNUMBER(SEARCH("IR Iran",S3024)),"Iran",
ISNUMBER(SEARCH("Congo DR",S3024)),"Democratic Republic of the Congo",
ISNUMBER(SEARCH("DR Congo",S3024)),"Democratic Republic of the Congo",
ISNUMBER(SEARCH("German DR",S3024)),"DR Germany",
ISNUMBER(SEARCH("rn""&gt;United Arab Emirates",S3024)),"United Arab Emirates",
ISNUMBER(SEARCH("rn""&gt;Republic of Ireland",S3024)),"Ireland",
ISNUMBER(SEARCH("rn""&gt;Bosnia and Herzegovina",S3024)),"Bosnia and Herzegovina",
ISNUMBER(SEARCH("rn""&gt;Trinidad and Tobago",S3024)),"Trinidad and Tobago",
ISNUMBER(SEARCH("rn""&gt;Serbia and Montenegro",S3024)),"Serbia and Montenegro",
ISNUMBER(SEARCH(_xlfn.UNICHAR(65533),S3024)),"Côte d'Ivoire",
TRUE,""
)</f>
        <v>United States</v>
      </c>
      <c r="W3024" s="40" t="str">
        <f t="shared" si="216"/>
        <v>United States</v>
      </c>
    </row>
    <row r="3025" spans="19:23">
      <c r="S3025" s="40" t="str">
        <v>Italy</v>
      </c>
      <c r="T3025" s="40" t="str">
        <f t="shared" si="214"/>
        <v>OK</v>
      </c>
      <c r="U3025" s="40" t="str">
        <f t="shared" si="215"/>
        <v>-</v>
      </c>
      <c r="V3025" s="40" t="str" cm="1">
        <f t="array" ref="V3025">_xlfn.IFS(
ISNUMBER(SEARCH("USA",S3025)),"United States",
ISNUMBER(SEARCH("Republic of Ireland",S3025)),"Ireland",
ISNUMBER(SEARCH("Republic of Korea",S3025)),"South Korea",
ISNUMBER(SEARCH("Cape Verde",S3025)),"Cabo Verde",
ISNUMBER(SEARCH("Czechia",S3025)),"Czech Republic",
ISNUMBER(SEARCH("Türkiye",S3025)),"Turkey",
ISNUMBER(SEARCH("Ivory Coast",S3025)),"Côte d'Ivoire",
ISNUMBER(SEARCH("Korea Republic",S3025)),"South Korea",
ISNUMBER(SEARCH("Germany FR",S3025)),"FR Germany",
ISNUMBER(SEARCH("West Germany",S3025)),"FR Germany",
ISNUMBER(SEARCH("Germany DR",S3025)),"DR Germany",
ISNUMBER(SEARCH("Korea DPR",S3025)),"North Korea",
ISNUMBER(SEARCH("China PR",S3025)),"China",
ISNUMBER(SEARCH("IR Iran",S3025)),"Iran",
ISNUMBER(SEARCH("Congo DR",S3025)),"Democratic Republic of the Congo",
ISNUMBER(SEARCH("DR Congo",S3025)),"Democratic Republic of the Congo",
ISNUMBER(SEARCH("German DR",S3025)),"DR Germany",
ISNUMBER(SEARCH("rn""&gt;United Arab Emirates",S3025)),"United Arab Emirates",
ISNUMBER(SEARCH("rn""&gt;Republic of Ireland",S3025)),"Ireland",
ISNUMBER(SEARCH("rn""&gt;Bosnia and Herzegovina",S3025)),"Bosnia and Herzegovina",
ISNUMBER(SEARCH("rn""&gt;Trinidad and Tobago",S3025)),"Trinidad and Tobago",
ISNUMBER(SEARCH("rn""&gt;Serbia and Montenegro",S3025)),"Serbia and Montenegro",
ISNUMBER(SEARCH(_xlfn.UNICHAR(65533),S3025)),"Côte d'Ivoire",
TRUE,""
)</f>
        <v/>
      </c>
      <c r="W3025" s="40" t="str">
        <f t="shared" si="216"/>
        <v>Italy</v>
      </c>
    </row>
    <row r="3026" spans="19:23">
      <c r="S3026" s="40" t="str">
        <v>Korea Republic</v>
      </c>
      <c r="T3026" s="40" t="str">
        <f t="shared" si="214"/>
        <v>ERREUR</v>
      </c>
      <c r="U3026" s="40" t="str">
        <f t="shared" si="215"/>
        <v>RENOMMER</v>
      </c>
      <c r="V3026" s="40" t="str" cm="1">
        <f t="array" ref="V3026">_xlfn.IFS(
ISNUMBER(SEARCH("USA",S3026)),"United States",
ISNUMBER(SEARCH("Republic of Ireland",S3026)),"Ireland",
ISNUMBER(SEARCH("Republic of Korea",S3026)),"South Korea",
ISNUMBER(SEARCH("Cape Verde",S3026)),"Cabo Verde",
ISNUMBER(SEARCH("Czechia",S3026)),"Czech Republic",
ISNUMBER(SEARCH("Türkiye",S3026)),"Turkey",
ISNUMBER(SEARCH("Ivory Coast",S3026)),"Côte d'Ivoire",
ISNUMBER(SEARCH("Korea Republic",S3026)),"South Korea",
ISNUMBER(SEARCH("Germany FR",S3026)),"FR Germany",
ISNUMBER(SEARCH("West Germany",S3026)),"FR Germany",
ISNUMBER(SEARCH("Germany DR",S3026)),"DR Germany",
ISNUMBER(SEARCH("Korea DPR",S3026)),"North Korea",
ISNUMBER(SEARCH("China PR",S3026)),"China",
ISNUMBER(SEARCH("IR Iran",S3026)),"Iran",
ISNUMBER(SEARCH("Congo DR",S3026)),"Democratic Republic of the Congo",
ISNUMBER(SEARCH("DR Congo",S3026)),"Democratic Republic of the Congo",
ISNUMBER(SEARCH("German DR",S3026)),"DR Germany",
ISNUMBER(SEARCH("rn""&gt;United Arab Emirates",S3026)),"United Arab Emirates",
ISNUMBER(SEARCH("rn""&gt;Republic of Ireland",S3026)),"Ireland",
ISNUMBER(SEARCH("rn""&gt;Bosnia and Herzegovina",S3026)),"Bosnia and Herzegovina",
ISNUMBER(SEARCH("rn""&gt;Trinidad and Tobago",S3026)),"Trinidad and Tobago",
ISNUMBER(SEARCH("rn""&gt;Serbia and Montenegro",S3026)),"Serbia and Montenegro",
ISNUMBER(SEARCH(_xlfn.UNICHAR(65533),S3026)),"Côte d'Ivoire",
TRUE,""
)</f>
        <v>South Korea</v>
      </c>
      <c r="W3026" s="40" t="str">
        <f t="shared" si="216"/>
        <v>South Korea</v>
      </c>
    </row>
    <row r="3027" spans="19:23">
      <c r="S3027" s="40" t="str">
        <v>France</v>
      </c>
      <c r="T3027" s="40" t="str">
        <f t="shared" si="214"/>
        <v>OK</v>
      </c>
      <c r="U3027" s="40" t="str">
        <f t="shared" si="215"/>
        <v>-</v>
      </c>
      <c r="V3027" s="40" t="str" cm="1">
        <f t="array" ref="V3027">_xlfn.IFS(
ISNUMBER(SEARCH("USA",S3027)),"United States",
ISNUMBER(SEARCH("Republic of Ireland",S3027)),"Ireland",
ISNUMBER(SEARCH("Republic of Korea",S3027)),"South Korea",
ISNUMBER(SEARCH("Cape Verde",S3027)),"Cabo Verde",
ISNUMBER(SEARCH("Czechia",S3027)),"Czech Republic",
ISNUMBER(SEARCH("Türkiye",S3027)),"Turkey",
ISNUMBER(SEARCH("Ivory Coast",S3027)),"Côte d'Ivoire",
ISNUMBER(SEARCH("Korea Republic",S3027)),"South Korea",
ISNUMBER(SEARCH("Germany FR",S3027)),"FR Germany",
ISNUMBER(SEARCH("West Germany",S3027)),"FR Germany",
ISNUMBER(SEARCH("Germany DR",S3027)),"DR Germany",
ISNUMBER(SEARCH("Korea DPR",S3027)),"North Korea",
ISNUMBER(SEARCH("China PR",S3027)),"China",
ISNUMBER(SEARCH("IR Iran",S3027)),"Iran",
ISNUMBER(SEARCH("Congo DR",S3027)),"Democratic Republic of the Congo",
ISNUMBER(SEARCH("DR Congo",S3027)),"Democratic Republic of the Congo",
ISNUMBER(SEARCH("German DR",S3027)),"DR Germany",
ISNUMBER(SEARCH("rn""&gt;United Arab Emirates",S3027)),"United Arab Emirates",
ISNUMBER(SEARCH("rn""&gt;Republic of Ireland",S3027)),"Ireland",
ISNUMBER(SEARCH("rn""&gt;Bosnia and Herzegovina",S3027)),"Bosnia and Herzegovina",
ISNUMBER(SEARCH("rn""&gt;Trinidad and Tobago",S3027)),"Trinidad and Tobago",
ISNUMBER(SEARCH("rn""&gt;Serbia and Montenegro",S3027)),"Serbia and Montenegro",
ISNUMBER(SEARCH(_xlfn.UNICHAR(65533),S3027)),"Côte d'Ivoire",
TRUE,""
)</f>
        <v/>
      </c>
      <c r="W3027" s="40" t="str">
        <f t="shared" si="216"/>
        <v>France</v>
      </c>
    </row>
    <row r="3028" spans="19:23">
      <c r="S3028" s="40" t="str">
        <v>Brazil</v>
      </c>
      <c r="T3028" s="40" t="str">
        <f t="shared" si="214"/>
        <v>OK</v>
      </c>
      <c r="U3028" s="40" t="str">
        <f t="shared" si="215"/>
        <v>-</v>
      </c>
      <c r="V3028" s="40" t="str" cm="1">
        <f t="array" ref="V3028">_xlfn.IFS(
ISNUMBER(SEARCH("USA",S3028)),"United States",
ISNUMBER(SEARCH("Republic of Ireland",S3028)),"Ireland",
ISNUMBER(SEARCH("Republic of Korea",S3028)),"South Korea",
ISNUMBER(SEARCH("Cape Verde",S3028)),"Cabo Verde",
ISNUMBER(SEARCH("Czechia",S3028)),"Czech Republic",
ISNUMBER(SEARCH("Türkiye",S3028)),"Turkey",
ISNUMBER(SEARCH("Ivory Coast",S3028)),"Côte d'Ivoire",
ISNUMBER(SEARCH("Korea Republic",S3028)),"South Korea",
ISNUMBER(SEARCH("Germany FR",S3028)),"FR Germany",
ISNUMBER(SEARCH("West Germany",S3028)),"FR Germany",
ISNUMBER(SEARCH("Germany DR",S3028)),"DR Germany",
ISNUMBER(SEARCH("Korea DPR",S3028)),"North Korea",
ISNUMBER(SEARCH("China PR",S3028)),"China",
ISNUMBER(SEARCH("IR Iran",S3028)),"Iran",
ISNUMBER(SEARCH("Congo DR",S3028)),"Democratic Republic of the Congo",
ISNUMBER(SEARCH("DR Congo",S3028)),"Democratic Republic of the Congo",
ISNUMBER(SEARCH("German DR",S3028)),"DR Germany",
ISNUMBER(SEARCH("rn""&gt;United Arab Emirates",S3028)),"United Arab Emirates",
ISNUMBER(SEARCH("rn""&gt;Republic of Ireland",S3028)),"Ireland",
ISNUMBER(SEARCH("rn""&gt;Bosnia and Herzegovina",S3028)),"Bosnia and Herzegovina",
ISNUMBER(SEARCH("rn""&gt;Trinidad and Tobago",S3028)),"Trinidad and Tobago",
ISNUMBER(SEARCH("rn""&gt;Serbia and Montenegro",S3028)),"Serbia and Montenegro",
ISNUMBER(SEARCH(_xlfn.UNICHAR(65533),S3028)),"Côte d'Ivoire",
TRUE,""
)</f>
        <v/>
      </c>
      <c r="W3028" s="40" t="str">
        <f t="shared" si="216"/>
        <v>Brazil</v>
      </c>
    </row>
    <row r="3029" spans="19:23">
      <c r="S3029" s="40" t="str">
        <v>Spain</v>
      </c>
      <c r="T3029" s="40" t="str">
        <f t="shared" si="214"/>
        <v>OK</v>
      </c>
      <c r="U3029" s="40" t="str">
        <f t="shared" si="215"/>
        <v>-</v>
      </c>
      <c r="V3029" s="40" t="str" cm="1">
        <f t="array" ref="V3029">_xlfn.IFS(
ISNUMBER(SEARCH("USA",S3029)),"United States",
ISNUMBER(SEARCH("Republic of Ireland",S3029)),"Ireland",
ISNUMBER(SEARCH("Republic of Korea",S3029)),"South Korea",
ISNUMBER(SEARCH("Cape Verde",S3029)),"Cabo Verde",
ISNUMBER(SEARCH("Czechia",S3029)),"Czech Republic",
ISNUMBER(SEARCH("Türkiye",S3029)),"Turkey",
ISNUMBER(SEARCH("Ivory Coast",S3029)),"Côte d'Ivoire",
ISNUMBER(SEARCH("Korea Republic",S3029)),"South Korea",
ISNUMBER(SEARCH("Germany FR",S3029)),"FR Germany",
ISNUMBER(SEARCH("West Germany",S3029)),"FR Germany",
ISNUMBER(SEARCH("Germany DR",S3029)),"DR Germany",
ISNUMBER(SEARCH("Korea DPR",S3029)),"North Korea",
ISNUMBER(SEARCH("China PR",S3029)),"China",
ISNUMBER(SEARCH("IR Iran",S3029)),"Iran",
ISNUMBER(SEARCH("Congo DR",S3029)),"Democratic Republic of the Congo",
ISNUMBER(SEARCH("DR Congo",S3029)),"Democratic Republic of the Congo",
ISNUMBER(SEARCH("German DR",S3029)),"DR Germany",
ISNUMBER(SEARCH("rn""&gt;United Arab Emirates",S3029)),"United Arab Emirates",
ISNUMBER(SEARCH("rn""&gt;Republic of Ireland",S3029)),"Ireland",
ISNUMBER(SEARCH("rn""&gt;Bosnia and Herzegovina",S3029)),"Bosnia and Herzegovina",
ISNUMBER(SEARCH("rn""&gt;Trinidad and Tobago",S3029)),"Trinidad and Tobago",
ISNUMBER(SEARCH("rn""&gt;Serbia and Montenegro",S3029)),"Serbia and Montenegro",
ISNUMBER(SEARCH(_xlfn.UNICHAR(65533),S3029)),"Côte d'Ivoire",
TRUE,""
)</f>
        <v/>
      </c>
      <c r="W3029" s="40" t="str">
        <f t="shared" si="216"/>
        <v>Spain</v>
      </c>
    </row>
    <row r="3030" spans="19:23">
      <c r="S3030" s="40" t="str">
        <v>Tunisia</v>
      </c>
      <c r="T3030" s="40" t="str">
        <f t="shared" si="214"/>
        <v>OK</v>
      </c>
      <c r="U3030" s="40" t="str">
        <f t="shared" si="215"/>
        <v>-</v>
      </c>
      <c r="V3030" s="40" t="str" cm="1">
        <f t="array" ref="V3030">_xlfn.IFS(
ISNUMBER(SEARCH("USA",S3030)),"United States",
ISNUMBER(SEARCH("Republic of Ireland",S3030)),"Ireland",
ISNUMBER(SEARCH("Republic of Korea",S3030)),"South Korea",
ISNUMBER(SEARCH("Cape Verde",S3030)),"Cabo Verde",
ISNUMBER(SEARCH("Czechia",S3030)),"Czech Republic",
ISNUMBER(SEARCH("Türkiye",S3030)),"Turkey",
ISNUMBER(SEARCH("Ivory Coast",S3030)),"Côte d'Ivoire",
ISNUMBER(SEARCH("Korea Republic",S3030)),"South Korea",
ISNUMBER(SEARCH("Germany FR",S3030)),"FR Germany",
ISNUMBER(SEARCH("West Germany",S3030)),"FR Germany",
ISNUMBER(SEARCH("Germany DR",S3030)),"DR Germany",
ISNUMBER(SEARCH("Korea DPR",S3030)),"North Korea",
ISNUMBER(SEARCH("China PR",S3030)),"China",
ISNUMBER(SEARCH("IR Iran",S3030)),"Iran",
ISNUMBER(SEARCH("Congo DR",S3030)),"Democratic Republic of the Congo",
ISNUMBER(SEARCH("DR Congo",S3030)),"Democratic Republic of the Congo",
ISNUMBER(SEARCH("German DR",S3030)),"DR Germany",
ISNUMBER(SEARCH("rn""&gt;United Arab Emirates",S3030)),"United Arab Emirates",
ISNUMBER(SEARCH("rn""&gt;Republic of Ireland",S3030)),"Ireland",
ISNUMBER(SEARCH("rn""&gt;Bosnia and Herzegovina",S3030)),"Bosnia and Herzegovina",
ISNUMBER(SEARCH("rn""&gt;Trinidad and Tobago",S3030)),"Trinidad and Tobago",
ISNUMBER(SEARCH("rn""&gt;Serbia and Montenegro",S3030)),"Serbia and Montenegro",
ISNUMBER(SEARCH(_xlfn.UNICHAR(65533),S3030)),"Côte d'Ivoire",
TRUE,""
)</f>
        <v/>
      </c>
      <c r="W3030" s="40" t="str">
        <f t="shared" si="216"/>
        <v>Tunisia</v>
      </c>
    </row>
    <row r="3031" spans="19:23">
      <c r="S3031" s="40" t="str">
        <v>Germany</v>
      </c>
      <c r="T3031" s="40" t="str">
        <f t="shared" si="214"/>
        <v>OK</v>
      </c>
      <c r="U3031" s="40" t="str">
        <f t="shared" si="215"/>
        <v>-</v>
      </c>
      <c r="V3031" s="40" t="str" cm="1">
        <f t="array" ref="V3031">_xlfn.IFS(
ISNUMBER(SEARCH("USA",S3031)),"United States",
ISNUMBER(SEARCH("Republic of Ireland",S3031)),"Ireland",
ISNUMBER(SEARCH("Republic of Korea",S3031)),"South Korea",
ISNUMBER(SEARCH("Cape Verde",S3031)),"Cabo Verde",
ISNUMBER(SEARCH("Czechia",S3031)),"Czech Republic",
ISNUMBER(SEARCH("Türkiye",S3031)),"Turkey",
ISNUMBER(SEARCH("Ivory Coast",S3031)),"Côte d'Ivoire",
ISNUMBER(SEARCH("Korea Republic",S3031)),"South Korea",
ISNUMBER(SEARCH("Germany FR",S3031)),"FR Germany",
ISNUMBER(SEARCH("West Germany",S3031)),"FR Germany",
ISNUMBER(SEARCH("Germany DR",S3031)),"DR Germany",
ISNUMBER(SEARCH("Korea DPR",S3031)),"North Korea",
ISNUMBER(SEARCH("China PR",S3031)),"China",
ISNUMBER(SEARCH("IR Iran",S3031)),"Iran",
ISNUMBER(SEARCH("Congo DR",S3031)),"Democratic Republic of the Congo",
ISNUMBER(SEARCH("DR Congo",S3031)),"Democratic Republic of the Congo",
ISNUMBER(SEARCH("German DR",S3031)),"DR Germany",
ISNUMBER(SEARCH("rn""&gt;United Arab Emirates",S3031)),"United Arab Emirates",
ISNUMBER(SEARCH("rn""&gt;Republic of Ireland",S3031)),"Ireland",
ISNUMBER(SEARCH("rn""&gt;Bosnia and Herzegovina",S3031)),"Bosnia and Herzegovina",
ISNUMBER(SEARCH("rn""&gt;Trinidad and Tobago",S3031)),"Trinidad and Tobago",
ISNUMBER(SEARCH("rn""&gt;Serbia and Montenegro",S3031)),"Serbia and Montenegro",
ISNUMBER(SEARCH(_xlfn.UNICHAR(65533),S3031)),"Côte d'Ivoire",
TRUE,""
)</f>
        <v/>
      </c>
      <c r="W3031" s="40" t="str">
        <f t="shared" si="216"/>
        <v>Germany</v>
      </c>
    </row>
    <row r="3032" spans="19:23">
      <c r="S3032" s="40" t="str">
        <v>Ecuador</v>
      </c>
      <c r="T3032" s="40" t="str">
        <f t="shared" si="214"/>
        <v>OK</v>
      </c>
      <c r="U3032" s="40" t="str">
        <f t="shared" si="215"/>
        <v>-</v>
      </c>
      <c r="V3032" s="40" t="str" cm="1">
        <f t="array" ref="V3032">_xlfn.IFS(
ISNUMBER(SEARCH("USA",S3032)),"United States",
ISNUMBER(SEARCH("Republic of Ireland",S3032)),"Ireland",
ISNUMBER(SEARCH("Republic of Korea",S3032)),"South Korea",
ISNUMBER(SEARCH("Cape Verde",S3032)),"Cabo Verde",
ISNUMBER(SEARCH("Czechia",S3032)),"Czech Republic",
ISNUMBER(SEARCH("Türkiye",S3032)),"Turkey",
ISNUMBER(SEARCH("Ivory Coast",S3032)),"Côte d'Ivoire",
ISNUMBER(SEARCH("Korea Republic",S3032)),"South Korea",
ISNUMBER(SEARCH("Germany FR",S3032)),"FR Germany",
ISNUMBER(SEARCH("West Germany",S3032)),"FR Germany",
ISNUMBER(SEARCH("Germany DR",S3032)),"DR Germany",
ISNUMBER(SEARCH("Korea DPR",S3032)),"North Korea",
ISNUMBER(SEARCH("China PR",S3032)),"China",
ISNUMBER(SEARCH("IR Iran",S3032)),"Iran",
ISNUMBER(SEARCH("Congo DR",S3032)),"Democratic Republic of the Congo",
ISNUMBER(SEARCH("DR Congo",S3032)),"Democratic Republic of the Congo",
ISNUMBER(SEARCH("German DR",S3032)),"DR Germany",
ISNUMBER(SEARCH("rn""&gt;United Arab Emirates",S3032)),"United Arab Emirates",
ISNUMBER(SEARCH("rn""&gt;Republic of Ireland",S3032)),"Ireland",
ISNUMBER(SEARCH("rn""&gt;Bosnia and Herzegovina",S3032)),"Bosnia and Herzegovina",
ISNUMBER(SEARCH("rn""&gt;Trinidad and Tobago",S3032)),"Trinidad and Tobago",
ISNUMBER(SEARCH("rn""&gt;Serbia and Montenegro",S3032)),"Serbia and Montenegro",
ISNUMBER(SEARCH(_xlfn.UNICHAR(65533),S3032)),"Côte d'Ivoire",
TRUE,""
)</f>
        <v/>
      </c>
      <c r="W3032" s="40" t="str">
        <f t="shared" si="216"/>
        <v>Ecuador</v>
      </c>
    </row>
    <row r="3033" spans="19:23">
      <c r="S3033" s="40" t="str">
        <v>England</v>
      </c>
      <c r="T3033" s="40" t="str">
        <f t="shared" si="214"/>
        <v>ERREUR</v>
      </c>
      <c r="U3033" s="40" t="str">
        <f t="shared" si="215"/>
        <v>AUCUNE</v>
      </c>
      <c r="V3033" s="40" t="str" cm="1">
        <f t="array" ref="V3033">_xlfn.IFS(
ISNUMBER(SEARCH("USA",S3033)),"United States",
ISNUMBER(SEARCH("Republic of Ireland",S3033)),"Ireland",
ISNUMBER(SEARCH("Republic of Korea",S3033)),"South Korea",
ISNUMBER(SEARCH("Cape Verde",S3033)),"Cabo Verde",
ISNUMBER(SEARCH("Czechia",S3033)),"Czech Republic",
ISNUMBER(SEARCH("Türkiye",S3033)),"Turkey",
ISNUMBER(SEARCH("Ivory Coast",S3033)),"Côte d'Ivoire",
ISNUMBER(SEARCH("Korea Republic",S3033)),"South Korea",
ISNUMBER(SEARCH("Germany FR",S3033)),"FR Germany",
ISNUMBER(SEARCH("West Germany",S3033)),"FR Germany",
ISNUMBER(SEARCH("Germany DR",S3033)),"DR Germany",
ISNUMBER(SEARCH("Korea DPR",S3033)),"North Korea",
ISNUMBER(SEARCH("China PR",S3033)),"China",
ISNUMBER(SEARCH("IR Iran",S3033)),"Iran",
ISNUMBER(SEARCH("Congo DR",S3033)),"Democratic Republic of the Congo",
ISNUMBER(SEARCH("DR Congo",S3033)),"Democratic Republic of the Congo",
ISNUMBER(SEARCH("German DR",S3033)),"DR Germany",
ISNUMBER(SEARCH("rn""&gt;United Arab Emirates",S3033)),"United Arab Emirates",
ISNUMBER(SEARCH("rn""&gt;Republic of Ireland",S3033)),"Ireland",
ISNUMBER(SEARCH("rn""&gt;Bosnia and Herzegovina",S3033)),"Bosnia and Herzegovina",
ISNUMBER(SEARCH("rn""&gt;Trinidad and Tobago",S3033)),"Trinidad and Tobago",
ISNUMBER(SEARCH("rn""&gt;Serbia and Montenegro",S3033)),"Serbia and Montenegro",
ISNUMBER(SEARCH(_xlfn.UNICHAR(65533),S3033)),"Côte d'Ivoire",
TRUE,""
)</f>
        <v/>
      </c>
      <c r="W3033" s="40" t="str">
        <f t="shared" si="216"/>
        <v>England</v>
      </c>
    </row>
    <row r="3034" spans="19:23">
      <c r="S3034" s="40" t="str">
        <v>Sweden</v>
      </c>
      <c r="T3034" s="40" t="str">
        <f t="shared" si="214"/>
        <v>OK</v>
      </c>
      <c r="U3034" s="40" t="str">
        <f t="shared" si="215"/>
        <v>-</v>
      </c>
      <c r="V3034" s="40" t="str" cm="1">
        <f t="array" ref="V3034">_xlfn.IFS(
ISNUMBER(SEARCH("USA",S3034)),"United States",
ISNUMBER(SEARCH("Republic of Ireland",S3034)),"Ireland",
ISNUMBER(SEARCH("Republic of Korea",S3034)),"South Korea",
ISNUMBER(SEARCH("Cape Verde",S3034)),"Cabo Verde",
ISNUMBER(SEARCH("Czechia",S3034)),"Czech Republic",
ISNUMBER(SEARCH("Türkiye",S3034)),"Turkey",
ISNUMBER(SEARCH("Ivory Coast",S3034)),"Côte d'Ivoire",
ISNUMBER(SEARCH("Korea Republic",S3034)),"South Korea",
ISNUMBER(SEARCH("Germany FR",S3034)),"FR Germany",
ISNUMBER(SEARCH("West Germany",S3034)),"FR Germany",
ISNUMBER(SEARCH("Germany DR",S3034)),"DR Germany",
ISNUMBER(SEARCH("Korea DPR",S3034)),"North Korea",
ISNUMBER(SEARCH("China PR",S3034)),"China",
ISNUMBER(SEARCH("IR Iran",S3034)),"Iran",
ISNUMBER(SEARCH("Congo DR",S3034)),"Democratic Republic of the Congo",
ISNUMBER(SEARCH("DR Congo",S3034)),"Democratic Republic of the Congo",
ISNUMBER(SEARCH("German DR",S3034)),"DR Germany",
ISNUMBER(SEARCH("rn""&gt;United Arab Emirates",S3034)),"United Arab Emirates",
ISNUMBER(SEARCH("rn""&gt;Republic of Ireland",S3034)),"Ireland",
ISNUMBER(SEARCH("rn""&gt;Bosnia and Herzegovina",S3034)),"Bosnia and Herzegovina",
ISNUMBER(SEARCH("rn""&gt;Trinidad and Tobago",S3034)),"Trinidad and Tobago",
ISNUMBER(SEARCH("rn""&gt;Serbia and Montenegro",S3034)),"Serbia and Montenegro",
ISNUMBER(SEARCH(_xlfn.UNICHAR(65533),S3034)),"Côte d'Ivoire",
TRUE,""
)</f>
        <v/>
      </c>
      <c r="W3034" s="40" t="str">
        <f t="shared" si="216"/>
        <v>Sweden</v>
      </c>
    </row>
    <row r="3035" spans="19:23">
      <c r="S3035" s="40" t="str">
        <v>Argentina</v>
      </c>
      <c r="T3035" s="40" t="str">
        <f t="shared" si="214"/>
        <v>OK</v>
      </c>
      <c r="U3035" s="40" t="str">
        <f t="shared" si="215"/>
        <v>-</v>
      </c>
      <c r="V3035" s="40" t="str" cm="1">
        <f t="array" ref="V3035">_xlfn.IFS(
ISNUMBER(SEARCH("USA",S3035)),"United States",
ISNUMBER(SEARCH("Republic of Ireland",S3035)),"Ireland",
ISNUMBER(SEARCH("Republic of Korea",S3035)),"South Korea",
ISNUMBER(SEARCH("Cape Verde",S3035)),"Cabo Verde",
ISNUMBER(SEARCH("Czechia",S3035)),"Czech Republic",
ISNUMBER(SEARCH("Türkiye",S3035)),"Turkey",
ISNUMBER(SEARCH("Ivory Coast",S3035)),"Côte d'Ivoire",
ISNUMBER(SEARCH("Korea Republic",S3035)),"South Korea",
ISNUMBER(SEARCH("Germany FR",S3035)),"FR Germany",
ISNUMBER(SEARCH("West Germany",S3035)),"FR Germany",
ISNUMBER(SEARCH("Germany DR",S3035)),"DR Germany",
ISNUMBER(SEARCH("Korea DPR",S3035)),"North Korea",
ISNUMBER(SEARCH("China PR",S3035)),"China",
ISNUMBER(SEARCH("IR Iran",S3035)),"Iran",
ISNUMBER(SEARCH("Congo DR",S3035)),"Democratic Republic of the Congo",
ISNUMBER(SEARCH("DR Congo",S3035)),"Democratic Republic of the Congo",
ISNUMBER(SEARCH("German DR",S3035)),"DR Germany",
ISNUMBER(SEARCH("rn""&gt;United Arab Emirates",S3035)),"United Arab Emirates",
ISNUMBER(SEARCH("rn""&gt;Republic of Ireland",S3035)),"Ireland",
ISNUMBER(SEARCH("rn""&gt;Bosnia and Herzegovina",S3035)),"Bosnia and Herzegovina",
ISNUMBER(SEARCH("rn""&gt;Trinidad and Tobago",S3035)),"Trinidad and Tobago",
ISNUMBER(SEARCH("rn""&gt;Serbia and Montenegro",S3035)),"Serbia and Montenegro",
ISNUMBER(SEARCH(_xlfn.UNICHAR(65533),S3035)),"Côte d'Ivoire",
TRUE,""
)</f>
        <v/>
      </c>
      <c r="W3035" s="40" t="str">
        <f t="shared" si="216"/>
        <v>Argentina</v>
      </c>
    </row>
    <row r="3036" spans="19:23">
      <c r="S3036" s="40" t="str">
        <v>Netherlands</v>
      </c>
      <c r="T3036" s="40" t="str">
        <f t="shared" si="214"/>
        <v>OK</v>
      </c>
      <c r="U3036" s="40" t="str">
        <f t="shared" si="215"/>
        <v>-</v>
      </c>
      <c r="V3036" s="40" t="str" cm="1">
        <f t="array" ref="V3036">_xlfn.IFS(
ISNUMBER(SEARCH("USA",S3036)),"United States",
ISNUMBER(SEARCH("Republic of Ireland",S3036)),"Ireland",
ISNUMBER(SEARCH("Republic of Korea",S3036)),"South Korea",
ISNUMBER(SEARCH("Cape Verde",S3036)),"Cabo Verde",
ISNUMBER(SEARCH("Czechia",S3036)),"Czech Republic",
ISNUMBER(SEARCH("Türkiye",S3036)),"Turkey",
ISNUMBER(SEARCH("Ivory Coast",S3036)),"Côte d'Ivoire",
ISNUMBER(SEARCH("Korea Republic",S3036)),"South Korea",
ISNUMBER(SEARCH("Germany FR",S3036)),"FR Germany",
ISNUMBER(SEARCH("West Germany",S3036)),"FR Germany",
ISNUMBER(SEARCH("Germany DR",S3036)),"DR Germany",
ISNUMBER(SEARCH("Korea DPR",S3036)),"North Korea",
ISNUMBER(SEARCH("China PR",S3036)),"China",
ISNUMBER(SEARCH("IR Iran",S3036)),"Iran",
ISNUMBER(SEARCH("Congo DR",S3036)),"Democratic Republic of the Congo",
ISNUMBER(SEARCH("DR Congo",S3036)),"Democratic Republic of the Congo",
ISNUMBER(SEARCH("German DR",S3036)),"DR Germany",
ISNUMBER(SEARCH("rn""&gt;United Arab Emirates",S3036)),"United Arab Emirates",
ISNUMBER(SEARCH("rn""&gt;Republic of Ireland",S3036)),"Ireland",
ISNUMBER(SEARCH("rn""&gt;Bosnia and Herzegovina",S3036)),"Bosnia and Herzegovina",
ISNUMBER(SEARCH("rn""&gt;Trinidad and Tobago",S3036)),"Trinidad and Tobago",
ISNUMBER(SEARCH("rn""&gt;Serbia and Montenegro",S3036)),"Serbia and Montenegro",
ISNUMBER(SEARCH(_xlfn.UNICHAR(65533),S3036)),"Côte d'Ivoire",
TRUE,""
)</f>
        <v/>
      </c>
      <c r="W3036" s="40" t="str">
        <f t="shared" si="216"/>
        <v>Netherlands</v>
      </c>
    </row>
    <row r="3037" spans="19:23">
      <c r="S3037" s="40" t="str">
        <v>Mexico</v>
      </c>
      <c r="T3037" s="40" t="str">
        <f t="shared" si="214"/>
        <v>OK</v>
      </c>
      <c r="U3037" s="40" t="str">
        <f t="shared" si="215"/>
        <v>-</v>
      </c>
      <c r="V3037" s="40" t="str" cm="1">
        <f t="array" ref="V3037">_xlfn.IFS(
ISNUMBER(SEARCH("USA",S3037)),"United States",
ISNUMBER(SEARCH("Republic of Ireland",S3037)),"Ireland",
ISNUMBER(SEARCH("Republic of Korea",S3037)),"South Korea",
ISNUMBER(SEARCH("Cape Verde",S3037)),"Cabo Verde",
ISNUMBER(SEARCH("Czechia",S3037)),"Czech Republic",
ISNUMBER(SEARCH("Türkiye",S3037)),"Turkey",
ISNUMBER(SEARCH("Ivory Coast",S3037)),"Côte d'Ivoire",
ISNUMBER(SEARCH("Korea Republic",S3037)),"South Korea",
ISNUMBER(SEARCH("Germany FR",S3037)),"FR Germany",
ISNUMBER(SEARCH("West Germany",S3037)),"FR Germany",
ISNUMBER(SEARCH("Germany DR",S3037)),"DR Germany",
ISNUMBER(SEARCH("Korea DPR",S3037)),"North Korea",
ISNUMBER(SEARCH("China PR",S3037)),"China",
ISNUMBER(SEARCH("IR Iran",S3037)),"Iran",
ISNUMBER(SEARCH("Congo DR",S3037)),"Democratic Republic of the Congo",
ISNUMBER(SEARCH("DR Congo",S3037)),"Democratic Republic of the Congo",
ISNUMBER(SEARCH("German DR",S3037)),"DR Germany",
ISNUMBER(SEARCH("rn""&gt;United Arab Emirates",S3037)),"United Arab Emirates",
ISNUMBER(SEARCH("rn""&gt;Republic of Ireland",S3037)),"Ireland",
ISNUMBER(SEARCH("rn""&gt;Bosnia and Herzegovina",S3037)),"Bosnia and Herzegovina",
ISNUMBER(SEARCH("rn""&gt;Trinidad and Tobago",S3037)),"Trinidad and Tobago",
ISNUMBER(SEARCH("rn""&gt;Serbia and Montenegro",S3037)),"Serbia and Montenegro",
ISNUMBER(SEARCH(_xlfn.UNICHAR(65533),S3037)),"Côte d'Ivoire",
TRUE,""
)</f>
        <v/>
      </c>
      <c r="W3037" s="40" t="str">
        <f t="shared" si="216"/>
        <v>Mexico</v>
      </c>
    </row>
    <row r="3038" spans="19:23">
      <c r="S3038" s="40" t="str">
        <v>Portugal</v>
      </c>
      <c r="T3038" s="40" t="str">
        <f t="shared" si="214"/>
        <v>OK</v>
      </c>
      <c r="U3038" s="40" t="str">
        <f t="shared" si="215"/>
        <v>-</v>
      </c>
      <c r="V3038" s="40" t="str" cm="1">
        <f t="array" ref="V3038">_xlfn.IFS(
ISNUMBER(SEARCH("USA",S3038)),"United States",
ISNUMBER(SEARCH("Republic of Ireland",S3038)),"Ireland",
ISNUMBER(SEARCH("Republic of Korea",S3038)),"South Korea",
ISNUMBER(SEARCH("Cape Verde",S3038)),"Cabo Verde",
ISNUMBER(SEARCH("Czechia",S3038)),"Czech Republic",
ISNUMBER(SEARCH("Türkiye",S3038)),"Turkey",
ISNUMBER(SEARCH("Ivory Coast",S3038)),"Côte d'Ivoire",
ISNUMBER(SEARCH("Korea Republic",S3038)),"South Korea",
ISNUMBER(SEARCH("Germany FR",S3038)),"FR Germany",
ISNUMBER(SEARCH("West Germany",S3038)),"FR Germany",
ISNUMBER(SEARCH("Germany DR",S3038)),"DR Germany",
ISNUMBER(SEARCH("Korea DPR",S3038)),"North Korea",
ISNUMBER(SEARCH("China PR",S3038)),"China",
ISNUMBER(SEARCH("IR Iran",S3038)),"Iran",
ISNUMBER(SEARCH("Congo DR",S3038)),"Democratic Republic of the Congo",
ISNUMBER(SEARCH("DR Congo",S3038)),"Democratic Republic of the Congo",
ISNUMBER(SEARCH("German DR",S3038)),"DR Germany",
ISNUMBER(SEARCH("rn""&gt;United Arab Emirates",S3038)),"United Arab Emirates",
ISNUMBER(SEARCH("rn""&gt;Republic of Ireland",S3038)),"Ireland",
ISNUMBER(SEARCH("rn""&gt;Bosnia and Herzegovina",S3038)),"Bosnia and Herzegovina",
ISNUMBER(SEARCH("rn""&gt;Trinidad and Tobago",S3038)),"Trinidad and Tobago",
ISNUMBER(SEARCH("rn""&gt;Serbia and Montenegro",S3038)),"Serbia and Montenegro",
ISNUMBER(SEARCH(_xlfn.UNICHAR(65533),S3038)),"Côte d'Ivoire",
TRUE,""
)</f>
        <v/>
      </c>
      <c r="W3038" s="40" t="str">
        <f t="shared" si="216"/>
        <v>Portugal</v>
      </c>
    </row>
    <row r="3039" spans="19:23">
      <c r="S3039" s="40" t="str">
        <v>Czech Republic</v>
      </c>
      <c r="T3039" s="40" t="str">
        <f t="shared" si="214"/>
        <v>OK</v>
      </c>
      <c r="U3039" s="40" t="str">
        <f t="shared" si="215"/>
        <v>-</v>
      </c>
      <c r="V3039" s="40" t="str" cm="1">
        <f t="array" ref="V3039">_xlfn.IFS(
ISNUMBER(SEARCH("USA",S3039)),"United States",
ISNUMBER(SEARCH("Republic of Ireland",S3039)),"Ireland",
ISNUMBER(SEARCH("Republic of Korea",S3039)),"South Korea",
ISNUMBER(SEARCH("Cape Verde",S3039)),"Cabo Verde",
ISNUMBER(SEARCH("Czechia",S3039)),"Czech Republic",
ISNUMBER(SEARCH("Türkiye",S3039)),"Turkey",
ISNUMBER(SEARCH("Ivory Coast",S3039)),"Côte d'Ivoire",
ISNUMBER(SEARCH("Korea Republic",S3039)),"South Korea",
ISNUMBER(SEARCH("Germany FR",S3039)),"FR Germany",
ISNUMBER(SEARCH("West Germany",S3039)),"FR Germany",
ISNUMBER(SEARCH("Germany DR",S3039)),"DR Germany",
ISNUMBER(SEARCH("Korea DPR",S3039)),"North Korea",
ISNUMBER(SEARCH("China PR",S3039)),"China",
ISNUMBER(SEARCH("IR Iran",S3039)),"Iran",
ISNUMBER(SEARCH("Congo DR",S3039)),"Democratic Republic of the Congo",
ISNUMBER(SEARCH("DR Congo",S3039)),"Democratic Republic of the Congo",
ISNUMBER(SEARCH("German DR",S3039)),"DR Germany",
ISNUMBER(SEARCH("rn""&gt;United Arab Emirates",S3039)),"United Arab Emirates",
ISNUMBER(SEARCH("rn""&gt;Republic of Ireland",S3039)),"Ireland",
ISNUMBER(SEARCH("rn""&gt;Bosnia and Herzegovina",S3039)),"Bosnia and Herzegovina",
ISNUMBER(SEARCH("rn""&gt;Trinidad and Tobago",S3039)),"Trinidad and Tobago",
ISNUMBER(SEARCH("rn""&gt;Serbia and Montenegro",S3039)),"Serbia and Montenegro",
ISNUMBER(SEARCH(_xlfn.UNICHAR(65533),S3039)),"Côte d'Ivoire",
TRUE,""
)</f>
        <v/>
      </c>
      <c r="W3039" s="40" t="str">
        <f t="shared" si="216"/>
        <v>Czech Republic</v>
      </c>
    </row>
    <row r="3040" spans="19:23">
      <c r="S3040" s="40" t="str">
        <v>Italy</v>
      </c>
      <c r="T3040" s="40" t="str">
        <f t="shared" si="214"/>
        <v>OK</v>
      </c>
      <c r="U3040" s="40" t="str">
        <f t="shared" si="215"/>
        <v>-</v>
      </c>
      <c r="V3040" s="40" t="str" cm="1">
        <f t="array" ref="V3040">_xlfn.IFS(
ISNUMBER(SEARCH("USA",S3040)),"United States",
ISNUMBER(SEARCH("Republic of Ireland",S3040)),"Ireland",
ISNUMBER(SEARCH("Republic of Korea",S3040)),"South Korea",
ISNUMBER(SEARCH("Cape Verde",S3040)),"Cabo Verde",
ISNUMBER(SEARCH("Czechia",S3040)),"Czech Republic",
ISNUMBER(SEARCH("Türkiye",S3040)),"Turkey",
ISNUMBER(SEARCH("Ivory Coast",S3040)),"Côte d'Ivoire",
ISNUMBER(SEARCH("Korea Republic",S3040)),"South Korea",
ISNUMBER(SEARCH("Germany FR",S3040)),"FR Germany",
ISNUMBER(SEARCH("West Germany",S3040)),"FR Germany",
ISNUMBER(SEARCH("Germany DR",S3040)),"DR Germany",
ISNUMBER(SEARCH("Korea DPR",S3040)),"North Korea",
ISNUMBER(SEARCH("China PR",S3040)),"China",
ISNUMBER(SEARCH("IR Iran",S3040)),"Iran",
ISNUMBER(SEARCH("Congo DR",S3040)),"Democratic Republic of the Congo",
ISNUMBER(SEARCH("DR Congo",S3040)),"Democratic Republic of the Congo",
ISNUMBER(SEARCH("German DR",S3040)),"DR Germany",
ISNUMBER(SEARCH("rn""&gt;United Arab Emirates",S3040)),"United Arab Emirates",
ISNUMBER(SEARCH("rn""&gt;Republic of Ireland",S3040)),"Ireland",
ISNUMBER(SEARCH("rn""&gt;Bosnia and Herzegovina",S3040)),"Bosnia and Herzegovina",
ISNUMBER(SEARCH("rn""&gt;Trinidad and Tobago",S3040)),"Trinidad and Tobago",
ISNUMBER(SEARCH("rn""&gt;Serbia and Montenegro",S3040)),"Serbia and Montenegro",
ISNUMBER(SEARCH(_xlfn.UNICHAR(65533),S3040)),"Côte d'Ivoire",
TRUE,""
)</f>
        <v/>
      </c>
      <c r="W3040" s="40" t="str">
        <f t="shared" si="216"/>
        <v>Italy</v>
      </c>
    </row>
    <row r="3041" spans="19:23">
      <c r="S3041" s="40" t="str">
        <v>Japan</v>
      </c>
      <c r="T3041" s="40" t="str">
        <f t="shared" si="214"/>
        <v>OK</v>
      </c>
      <c r="U3041" s="40" t="str">
        <f t="shared" si="215"/>
        <v>-</v>
      </c>
      <c r="V3041" s="40" t="str" cm="1">
        <f t="array" ref="V3041">_xlfn.IFS(
ISNUMBER(SEARCH("USA",S3041)),"United States",
ISNUMBER(SEARCH("Republic of Ireland",S3041)),"Ireland",
ISNUMBER(SEARCH("Republic of Korea",S3041)),"South Korea",
ISNUMBER(SEARCH("Cape Verde",S3041)),"Cabo Verde",
ISNUMBER(SEARCH("Czechia",S3041)),"Czech Republic",
ISNUMBER(SEARCH("Türkiye",S3041)),"Turkey",
ISNUMBER(SEARCH("Ivory Coast",S3041)),"Côte d'Ivoire",
ISNUMBER(SEARCH("Korea Republic",S3041)),"South Korea",
ISNUMBER(SEARCH("Germany FR",S3041)),"FR Germany",
ISNUMBER(SEARCH("West Germany",S3041)),"FR Germany",
ISNUMBER(SEARCH("Germany DR",S3041)),"DR Germany",
ISNUMBER(SEARCH("Korea DPR",S3041)),"North Korea",
ISNUMBER(SEARCH("China PR",S3041)),"China",
ISNUMBER(SEARCH("IR Iran",S3041)),"Iran",
ISNUMBER(SEARCH("Congo DR",S3041)),"Democratic Republic of the Congo",
ISNUMBER(SEARCH("DR Congo",S3041)),"Democratic Republic of the Congo",
ISNUMBER(SEARCH("German DR",S3041)),"DR Germany",
ISNUMBER(SEARCH("rn""&gt;United Arab Emirates",S3041)),"United Arab Emirates",
ISNUMBER(SEARCH("rn""&gt;Republic of Ireland",S3041)),"Ireland",
ISNUMBER(SEARCH("rn""&gt;Bosnia and Herzegovina",S3041)),"Bosnia and Herzegovina",
ISNUMBER(SEARCH("rn""&gt;Trinidad and Tobago",S3041)),"Trinidad and Tobago",
ISNUMBER(SEARCH("rn""&gt;Serbia and Montenegro",S3041)),"Serbia and Montenegro",
ISNUMBER(SEARCH(_xlfn.UNICHAR(65533),S3041)),"Côte d'Ivoire",
TRUE,""
)</f>
        <v/>
      </c>
      <c r="W3041" s="40" t="str">
        <f t="shared" si="216"/>
        <v>Japan</v>
      </c>
    </row>
    <row r="3042" spans="19:23">
      <c r="S3042" s="40" t="str">
        <v>Brazil</v>
      </c>
      <c r="T3042" s="40" t="str">
        <f t="shared" si="214"/>
        <v>OK</v>
      </c>
      <c r="U3042" s="40" t="str">
        <f t="shared" si="215"/>
        <v>-</v>
      </c>
      <c r="V3042" s="40" t="str" cm="1">
        <f t="array" ref="V3042">_xlfn.IFS(
ISNUMBER(SEARCH("USA",S3042)),"United States",
ISNUMBER(SEARCH("Republic of Ireland",S3042)),"Ireland",
ISNUMBER(SEARCH("Republic of Korea",S3042)),"South Korea",
ISNUMBER(SEARCH("Cape Verde",S3042)),"Cabo Verde",
ISNUMBER(SEARCH("Czechia",S3042)),"Czech Republic",
ISNUMBER(SEARCH("Türkiye",S3042)),"Turkey",
ISNUMBER(SEARCH("Ivory Coast",S3042)),"Côte d'Ivoire",
ISNUMBER(SEARCH("Korea Republic",S3042)),"South Korea",
ISNUMBER(SEARCH("Germany FR",S3042)),"FR Germany",
ISNUMBER(SEARCH("West Germany",S3042)),"FR Germany",
ISNUMBER(SEARCH("Germany DR",S3042)),"DR Germany",
ISNUMBER(SEARCH("Korea DPR",S3042)),"North Korea",
ISNUMBER(SEARCH("China PR",S3042)),"China",
ISNUMBER(SEARCH("IR Iran",S3042)),"Iran",
ISNUMBER(SEARCH("Congo DR",S3042)),"Democratic Republic of the Congo",
ISNUMBER(SEARCH("DR Congo",S3042)),"Democratic Republic of the Congo",
ISNUMBER(SEARCH("German DR",S3042)),"DR Germany",
ISNUMBER(SEARCH("rn""&gt;United Arab Emirates",S3042)),"United Arab Emirates",
ISNUMBER(SEARCH("rn""&gt;Republic of Ireland",S3042)),"Ireland",
ISNUMBER(SEARCH("rn""&gt;Bosnia and Herzegovina",S3042)),"Bosnia and Herzegovina",
ISNUMBER(SEARCH("rn""&gt;Trinidad and Tobago",S3042)),"Trinidad and Tobago",
ISNUMBER(SEARCH("rn""&gt;Serbia and Montenegro",S3042)),"Serbia and Montenegro",
ISNUMBER(SEARCH(_xlfn.UNICHAR(65533),S3042)),"Côte d'Ivoire",
TRUE,""
)</f>
        <v/>
      </c>
      <c r="W3042" s="40" t="str">
        <f t="shared" si="216"/>
        <v>Brazil</v>
      </c>
    </row>
    <row r="3043" spans="19:23">
      <c r="S3043" s="40" t="str">
        <v>France</v>
      </c>
      <c r="T3043" s="40" t="str">
        <f t="shared" si="214"/>
        <v>OK</v>
      </c>
      <c r="U3043" s="40" t="str">
        <f t="shared" si="215"/>
        <v>-</v>
      </c>
      <c r="V3043" s="40" t="str" cm="1">
        <f t="array" ref="V3043">_xlfn.IFS(
ISNUMBER(SEARCH("USA",S3043)),"United States",
ISNUMBER(SEARCH("Republic of Ireland",S3043)),"Ireland",
ISNUMBER(SEARCH("Republic of Korea",S3043)),"South Korea",
ISNUMBER(SEARCH("Cape Verde",S3043)),"Cabo Verde",
ISNUMBER(SEARCH("Czechia",S3043)),"Czech Republic",
ISNUMBER(SEARCH("Türkiye",S3043)),"Turkey",
ISNUMBER(SEARCH("Ivory Coast",S3043)),"Côte d'Ivoire",
ISNUMBER(SEARCH("Korea Republic",S3043)),"South Korea",
ISNUMBER(SEARCH("Germany FR",S3043)),"FR Germany",
ISNUMBER(SEARCH("West Germany",S3043)),"FR Germany",
ISNUMBER(SEARCH("Germany DR",S3043)),"DR Germany",
ISNUMBER(SEARCH("Korea DPR",S3043)),"North Korea",
ISNUMBER(SEARCH("China PR",S3043)),"China",
ISNUMBER(SEARCH("IR Iran",S3043)),"Iran",
ISNUMBER(SEARCH("Congo DR",S3043)),"Democratic Republic of the Congo",
ISNUMBER(SEARCH("DR Congo",S3043)),"Democratic Republic of the Congo",
ISNUMBER(SEARCH("German DR",S3043)),"DR Germany",
ISNUMBER(SEARCH("rn""&gt;United Arab Emirates",S3043)),"United Arab Emirates",
ISNUMBER(SEARCH("rn""&gt;Republic of Ireland",S3043)),"Ireland",
ISNUMBER(SEARCH("rn""&gt;Bosnia and Herzegovina",S3043)),"Bosnia and Herzegovina",
ISNUMBER(SEARCH("rn""&gt;Trinidad and Tobago",S3043)),"Trinidad and Tobago",
ISNUMBER(SEARCH("rn""&gt;Serbia and Montenegro",S3043)),"Serbia and Montenegro",
ISNUMBER(SEARCH(_xlfn.UNICHAR(65533),S3043)),"Côte d'Ivoire",
TRUE,""
)</f>
        <v/>
      </c>
      <c r="W3043" s="40" t="str">
        <f t="shared" si="216"/>
        <v>France</v>
      </c>
    </row>
    <row r="3044" spans="19:23">
      <c r="S3044" s="40" t="str">
        <v>Togo</v>
      </c>
      <c r="T3044" s="40" t="str">
        <f t="shared" si="214"/>
        <v>OK</v>
      </c>
      <c r="U3044" s="40" t="str">
        <f t="shared" si="215"/>
        <v>-</v>
      </c>
      <c r="V3044" s="40" t="str" cm="1">
        <f t="array" ref="V3044">_xlfn.IFS(
ISNUMBER(SEARCH("USA",S3044)),"United States",
ISNUMBER(SEARCH("Republic of Ireland",S3044)),"Ireland",
ISNUMBER(SEARCH("Republic of Korea",S3044)),"South Korea",
ISNUMBER(SEARCH("Cape Verde",S3044)),"Cabo Verde",
ISNUMBER(SEARCH("Czechia",S3044)),"Czech Republic",
ISNUMBER(SEARCH("Türkiye",S3044)),"Turkey",
ISNUMBER(SEARCH("Ivory Coast",S3044)),"Côte d'Ivoire",
ISNUMBER(SEARCH("Korea Republic",S3044)),"South Korea",
ISNUMBER(SEARCH("Germany FR",S3044)),"FR Germany",
ISNUMBER(SEARCH("West Germany",S3044)),"FR Germany",
ISNUMBER(SEARCH("Germany DR",S3044)),"DR Germany",
ISNUMBER(SEARCH("Korea DPR",S3044)),"North Korea",
ISNUMBER(SEARCH("China PR",S3044)),"China",
ISNUMBER(SEARCH("IR Iran",S3044)),"Iran",
ISNUMBER(SEARCH("Congo DR",S3044)),"Democratic Republic of the Congo",
ISNUMBER(SEARCH("DR Congo",S3044)),"Democratic Republic of the Congo",
ISNUMBER(SEARCH("German DR",S3044)),"DR Germany",
ISNUMBER(SEARCH("rn""&gt;United Arab Emirates",S3044)),"United Arab Emirates",
ISNUMBER(SEARCH("rn""&gt;Republic of Ireland",S3044)),"Ireland",
ISNUMBER(SEARCH("rn""&gt;Bosnia and Herzegovina",S3044)),"Bosnia and Herzegovina",
ISNUMBER(SEARCH("rn""&gt;Trinidad and Tobago",S3044)),"Trinidad and Tobago",
ISNUMBER(SEARCH("rn""&gt;Serbia and Montenegro",S3044)),"Serbia and Montenegro",
ISNUMBER(SEARCH(_xlfn.UNICHAR(65533),S3044)),"Côte d'Ivoire",
TRUE,""
)</f>
        <v/>
      </c>
      <c r="W3044" s="40" t="str">
        <f t="shared" si="216"/>
        <v>Togo</v>
      </c>
    </row>
    <row r="3045" spans="19:23">
      <c r="S3045" s="40" t="str">
        <v>Saudi Arabia</v>
      </c>
      <c r="T3045" s="40" t="str">
        <f t="shared" si="214"/>
        <v>OK</v>
      </c>
      <c r="U3045" s="40" t="str">
        <f t="shared" si="215"/>
        <v>-</v>
      </c>
      <c r="V3045" s="40" t="str" cm="1">
        <f t="array" ref="V3045">_xlfn.IFS(
ISNUMBER(SEARCH("USA",S3045)),"United States",
ISNUMBER(SEARCH("Republic of Ireland",S3045)),"Ireland",
ISNUMBER(SEARCH("Republic of Korea",S3045)),"South Korea",
ISNUMBER(SEARCH("Cape Verde",S3045)),"Cabo Verde",
ISNUMBER(SEARCH("Czechia",S3045)),"Czech Republic",
ISNUMBER(SEARCH("Türkiye",S3045)),"Turkey",
ISNUMBER(SEARCH("Ivory Coast",S3045)),"Côte d'Ivoire",
ISNUMBER(SEARCH("Korea Republic",S3045)),"South Korea",
ISNUMBER(SEARCH("Germany FR",S3045)),"FR Germany",
ISNUMBER(SEARCH("West Germany",S3045)),"FR Germany",
ISNUMBER(SEARCH("Germany DR",S3045)),"DR Germany",
ISNUMBER(SEARCH("Korea DPR",S3045)),"North Korea",
ISNUMBER(SEARCH("China PR",S3045)),"China",
ISNUMBER(SEARCH("IR Iran",S3045)),"Iran",
ISNUMBER(SEARCH("Congo DR",S3045)),"Democratic Republic of the Congo",
ISNUMBER(SEARCH("DR Congo",S3045)),"Democratic Republic of the Congo",
ISNUMBER(SEARCH("German DR",S3045)),"DR Germany",
ISNUMBER(SEARCH("rn""&gt;United Arab Emirates",S3045)),"United Arab Emirates",
ISNUMBER(SEARCH("rn""&gt;Republic of Ireland",S3045)),"Ireland",
ISNUMBER(SEARCH("rn""&gt;Bosnia and Herzegovina",S3045)),"Bosnia and Herzegovina",
ISNUMBER(SEARCH("rn""&gt;Trinidad and Tobago",S3045)),"Trinidad and Tobago",
ISNUMBER(SEARCH("rn""&gt;Serbia and Montenegro",S3045)),"Serbia and Montenegro",
ISNUMBER(SEARCH(_xlfn.UNICHAR(65533),S3045)),"Côte d'Ivoire",
TRUE,""
)</f>
        <v/>
      </c>
      <c r="W3045" s="40" t="str">
        <f t="shared" si="216"/>
        <v>Saudi Arabia</v>
      </c>
    </row>
    <row r="3046" spans="19:23">
      <c r="S3046" s="40" t="str">
        <v>Spain</v>
      </c>
      <c r="T3046" s="40" t="str">
        <f t="shared" si="214"/>
        <v>OK</v>
      </c>
      <c r="U3046" s="40" t="str">
        <f t="shared" si="215"/>
        <v>-</v>
      </c>
      <c r="V3046" s="40" t="str" cm="1">
        <f t="array" ref="V3046">_xlfn.IFS(
ISNUMBER(SEARCH("USA",S3046)),"United States",
ISNUMBER(SEARCH("Republic of Ireland",S3046)),"Ireland",
ISNUMBER(SEARCH("Republic of Korea",S3046)),"South Korea",
ISNUMBER(SEARCH("Cape Verde",S3046)),"Cabo Verde",
ISNUMBER(SEARCH("Czechia",S3046)),"Czech Republic",
ISNUMBER(SEARCH("Türkiye",S3046)),"Turkey",
ISNUMBER(SEARCH("Ivory Coast",S3046)),"Côte d'Ivoire",
ISNUMBER(SEARCH("Korea Republic",S3046)),"South Korea",
ISNUMBER(SEARCH("Germany FR",S3046)),"FR Germany",
ISNUMBER(SEARCH("West Germany",S3046)),"FR Germany",
ISNUMBER(SEARCH("Germany DR",S3046)),"DR Germany",
ISNUMBER(SEARCH("Korea DPR",S3046)),"North Korea",
ISNUMBER(SEARCH("China PR",S3046)),"China",
ISNUMBER(SEARCH("IR Iran",S3046)),"Iran",
ISNUMBER(SEARCH("Congo DR",S3046)),"Democratic Republic of the Congo",
ISNUMBER(SEARCH("DR Congo",S3046)),"Democratic Republic of the Congo",
ISNUMBER(SEARCH("German DR",S3046)),"DR Germany",
ISNUMBER(SEARCH("rn""&gt;United Arab Emirates",S3046)),"United Arab Emirates",
ISNUMBER(SEARCH("rn""&gt;Republic of Ireland",S3046)),"Ireland",
ISNUMBER(SEARCH("rn""&gt;Bosnia and Herzegovina",S3046)),"Bosnia and Herzegovina",
ISNUMBER(SEARCH("rn""&gt;Trinidad and Tobago",S3046)),"Trinidad and Tobago",
ISNUMBER(SEARCH("rn""&gt;Serbia and Montenegro",S3046)),"Serbia and Montenegro",
ISNUMBER(SEARCH(_xlfn.UNICHAR(65533),S3046)),"Côte d'Ivoire",
TRUE,""
)</f>
        <v/>
      </c>
      <c r="W3046" s="40" t="str">
        <f t="shared" si="216"/>
        <v>Spain</v>
      </c>
    </row>
    <row r="3047" spans="19:23">
      <c r="S3047" s="40" t="str">
        <v>Ecuador</v>
      </c>
      <c r="T3047" s="40" t="str">
        <f t="shared" si="214"/>
        <v>OK</v>
      </c>
      <c r="U3047" s="40" t="str">
        <f t="shared" si="215"/>
        <v>-</v>
      </c>
      <c r="V3047" s="40" t="str" cm="1">
        <f t="array" ref="V3047">_xlfn.IFS(
ISNUMBER(SEARCH("USA",S3047)),"United States",
ISNUMBER(SEARCH("Republic of Ireland",S3047)),"Ireland",
ISNUMBER(SEARCH("Republic of Korea",S3047)),"South Korea",
ISNUMBER(SEARCH("Cape Verde",S3047)),"Cabo Verde",
ISNUMBER(SEARCH("Czechia",S3047)),"Czech Republic",
ISNUMBER(SEARCH("Türkiye",S3047)),"Turkey",
ISNUMBER(SEARCH("Ivory Coast",S3047)),"Côte d'Ivoire",
ISNUMBER(SEARCH("Korea Republic",S3047)),"South Korea",
ISNUMBER(SEARCH("Germany FR",S3047)),"FR Germany",
ISNUMBER(SEARCH("West Germany",S3047)),"FR Germany",
ISNUMBER(SEARCH("Germany DR",S3047)),"DR Germany",
ISNUMBER(SEARCH("Korea DPR",S3047)),"North Korea",
ISNUMBER(SEARCH("China PR",S3047)),"China",
ISNUMBER(SEARCH("IR Iran",S3047)),"Iran",
ISNUMBER(SEARCH("Congo DR",S3047)),"Democratic Republic of the Congo",
ISNUMBER(SEARCH("DR Congo",S3047)),"Democratic Republic of the Congo",
ISNUMBER(SEARCH("German DR",S3047)),"DR Germany",
ISNUMBER(SEARCH("rn""&gt;United Arab Emirates",S3047)),"United Arab Emirates",
ISNUMBER(SEARCH("rn""&gt;Republic of Ireland",S3047)),"Ireland",
ISNUMBER(SEARCH("rn""&gt;Bosnia and Herzegovina",S3047)),"Bosnia and Herzegovina",
ISNUMBER(SEARCH("rn""&gt;Trinidad and Tobago",S3047)),"Trinidad and Tobago",
ISNUMBER(SEARCH("rn""&gt;Serbia and Montenegro",S3047)),"Serbia and Montenegro",
ISNUMBER(SEARCH(_xlfn.UNICHAR(65533),S3047)),"Côte d'Ivoire",
TRUE,""
)</f>
        <v/>
      </c>
      <c r="W3047" s="40" t="str">
        <f t="shared" si="216"/>
        <v>Ecuador</v>
      </c>
    </row>
    <row r="3048" spans="19:23">
      <c r="S3048" s="40" t="str">
        <v>Costa Rica</v>
      </c>
      <c r="T3048" s="40" t="str">
        <f t="shared" si="214"/>
        <v>OK</v>
      </c>
      <c r="U3048" s="40" t="str">
        <f t="shared" si="215"/>
        <v>-</v>
      </c>
      <c r="V3048" s="40" t="str" cm="1">
        <f t="array" ref="V3048">_xlfn.IFS(
ISNUMBER(SEARCH("USA",S3048)),"United States",
ISNUMBER(SEARCH("Republic of Ireland",S3048)),"Ireland",
ISNUMBER(SEARCH("Republic of Korea",S3048)),"South Korea",
ISNUMBER(SEARCH("Cape Verde",S3048)),"Cabo Verde",
ISNUMBER(SEARCH("Czechia",S3048)),"Czech Republic",
ISNUMBER(SEARCH("Türkiye",S3048)),"Turkey",
ISNUMBER(SEARCH("Ivory Coast",S3048)),"Côte d'Ivoire",
ISNUMBER(SEARCH("Korea Republic",S3048)),"South Korea",
ISNUMBER(SEARCH("Germany FR",S3048)),"FR Germany",
ISNUMBER(SEARCH("West Germany",S3048)),"FR Germany",
ISNUMBER(SEARCH("Germany DR",S3048)),"DR Germany",
ISNUMBER(SEARCH("Korea DPR",S3048)),"North Korea",
ISNUMBER(SEARCH("China PR",S3048)),"China",
ISNUMBER(SEARCH("IR Iran",S3048)),"Iran",
ISNUMBER(SEARCH("Congo DR",S3048)),"Democratic Republic of the Congo",
ISNUMBER(SEARCH("DR Congo",S3048)),"Democratic Republic of the Congo",
ISNUMBER(SEARCH("German DR",S3048)),"DR Germany",
ISNUMBER(SEARCH("rn""&gt;United Arab Emirates",S3048)),"United Arab Emirates",
ISNUMBER(SEARCH("rn""&gt;Republic of Ireland",S3048)),"Ireland",
ISNUMBER(SEARCH("rn""&gt;Bosnia and Herzegovina",S3048)),"Bosnia and Herzegovina",
ISNUMBER(SEARCH("rn""&gt;Trinidad and Tobago",S3048)),"Trinidad and Tobago",
ISNUMBER(SEARCH("rn""&gt;Serbia and Montenegro",S3048)),"Serbia and Montenegro",
ISNUMBER(SEARCH(_xlfn.UNICHAR(65533),S3048)),"Côte d'Ivoire",
TRUE,""
)</f>
        <v/>
      </c>
      <c r="W3048" s="40" t="str">
        <f t="shared" si="216"/>
        <v>Costa Rica</v>
      </c>
    </row>
    <row r="3049" spans="19:23">
      <c r="S3049" s="40" t="str">
        <v>Sweden</v>
      </c>
      <c r="T3049" s="40" t="str">
        <f t="shared" si="214"/>
        <v>OK</v>
      </c>
      <c r="U3049" s="40" t="str">
        <f t="shared" si="215"/>
        <v>-</v>
      </c>
      <c r="V3049" s="40" t="str" cm="1">
        <f t="array" ref="V3049">_xlfn.IFS(
ISNUMBER(SEARCH("USA",S3049)),"United States",
ISNUMBER(SEARCH("Republic of Ireland",S3049)),"Ireland",
ISNUMBER(SEARCH("Republic of Korea",S3049)),"South Korea",
ISNUMBER(SEARCH("Cape Verde",S3049)),"Cabo Verde",
ISNUMBER(SEARCH("Czechia",S3049)),"Czech Republic",
ISNUMBER(SEARCH("Türkiye",S3049)),"Turkey",
ISNUMBER(SEARCH("Ivory Coast",S3049)),"Côte d'Ivoire",
ISNUMBER(SEARCH("Korea Republic",S3049)),"South Korea",
ISNUMBER(SEARCH("Germany FR",S3049)),"FR Germany",
ISNUMBER(SEARCH("West Germany",S3049)),"FR Germany",
ISNUMBER(SEARCH("Germany DR",S3049)),"DR Germany",
ISNUMBER(SEARCH("Korea DPR",S3049)),"North Korea",
ISNUMBER(SEARCH("China PR",S3049)),"China",
ISNUMBER(SEARCH("IR Iran",S3049)),"Iran",
ISNUMBER(SEARCH("Congo DR",S3049)),"Democratic Republic of the Congo",
ISNUMBER(SEARCH("DR Congo",S3049)),"Democratic Republic of the Congo",
ISNUMBER(SEARCH("German DR",S3049)),"DR Germany",
ISNUMBER(SEARCH("rn""&gt;United Arab Emirates",S3049)),"United Arab Emirates",
ISNUMBER(SEARCH("rn""&gt;Republic of Ireland",S3049)),"Ireland",
ISNUMBER(SEARCH("rn""&gt;Bosnia and Herzegovina",S3049)),"Bosnia and Herzegovina",
ISNUMBER(SEARCH("rn""&gt;Trinidad and Tobago",S3049)),"Trinidad and Tobago",
ISNUMBER(SEARCH("rn""&gt;Serbia and Montenegro",S3049)),"Serbia and Montenegro",
ISNUMBER(SEARCH(_xlfn.UNICHAR(65533),S3049)),"Côte d'Ivoire",
TRUE,""
)</f>
        <v/>
      </c>
      <c r="W3049" s="40" t="str">
        <f t="shared" si="216"/>
        <v>Sweden</v>
      </c>
    </row>
    <row r="3050" spans="19:23">
      <c r="S3050" s="40" t="str">
        <v>Paraguay</v>
      </c>
      <c r="T3050" s="40" t="str">
        <f t="shared" si="214"/>
        <v>OK</v>
      </c>
      <c r="U3050" s="40" t="str">
        <f t="shared" si="215"/>
        <v>-</v>
      </c>
      <c r="V3050" s="40" t="str" cm="1">
        <f t="array" ref="V3050">_xlfn.IFS(
ISNUMBER(SEARCH("USA",S3050)),"United States",
ISNUMBER(SEARCH("Republic of Ireland",S3050)),"Ireland",
ISNUMBER(SEARCH("Republic of Korea",S3050)),"South Korea",
ISNUMBER(SEARCH("Cape Verde",S3050)),"Cabo Verde",
ISNUMBER(SEARCH("Czechia",S3050)),"Czech Republic",
ISNUMBER(SEARCH("Türkiye",S3050)),"Turkey",
ISNUMBER(SEARCH("Ivory Coast",S3050)),"Côte d'Ivoire",
ISNUMBER(SEARCH("Korea Republic",S3050)),"South Korea",
ISNUMBER(SEARCH("Germany FR",S3050)),"FR Germany",
ISNUMBER(SEARCH("West Germany",S3050)),"FR Germany",
ISNUMBER(SEARCH("Germany DR",S3050)),"DR Germany",
ISNUMBER(SEARCH("Korea DPR",S3050)),"North Korea",
ISNUMBER(SEARCH("China PR",S3050)),"China",
ISNUMBER(SEARCH("IR Iran",S3050)),"Iran",
ISNUMBER(SEARCH("Congo DR",S3050)),"Democratic Republic of the Congo",
ISNUMBER(SEARCH("DR Congo",S3050)),"Democratic Republic of the Congo",
ISNUMBER(SEARCH("German DR",S3050)),"DR Germany",
ISNUMBER(SEARCH("rn""&gt;United Arab Emirates",S3050)),"United Arab Emirates",
ISNUMBER(SEARCH("rn""&gt;Republic of Ireland",S3050)),"Ireland",
ISNUMBER(SEARCH("rn""&gt;Bosnia and Herzegovina",S3050)),"Bosnia and Herzegovina",
ISNUMBER(SEARCH("rn""&gt;Trinidad and Tobago",S3050)),"Trinidad and Tobago",
ISNUMBER(SEARCH("rn""&gt;Serbia and Montenegro",S3050)),"Serbia and Montenegro",
ISNUMBER(SEARCH(_xlfn.UNICHAR(65533),S3050)),"Côte d'Ivoire",
TRUE,""
)</f>
        <v/>
      </c>
      <c r="W3050" s="40" t="str">
        <f t="shared" si="216"/>
        <v>Paraguay</v>
      </c>
    </row>
    <row r="3051" spans="19:23">
      <c r="S3051" s="40" t="str">
        <v>Iran</v>
      </c>
      <c r="T3051" s="40" t="str">
        <f t="shared" si="214"/>
        <v>OK</v>
      </c>
      <c r="U3051" s="40" t="str">
        <f t="shared" si="215"/>
        <v>-</v>
      </c>
      <c r="V3051" s="40" t="str" cm="1">
        <f t="array" ref="V3051">_xlfn.IFS(
ISNUMBER(SEARCH("USA",S3051)),"United States",
ISNUMBER(SEARCH("Republic of Ireland",S3051)),"Ireland",
ISNUMBER(SEARCH("Republic of Korea",S3051)),"South Korea",
ISNUMBER(SEARCH("Cape Verde",S3051)),"Cabo Verde",
ISNUMBER(SEARCH("Czechia",S3051)),"Czech Republic",
ISNUMBER(SEARCH("Türkiye",S3051)),"Turkey",
ISNUMBER(SEARCH("Ivory Coast",S3051)),"Côte d'Ivoire",
ISNUMBER(SEARCH("Korea Republic",S3051)),"South Korea",
ISNUMBER(SEARCH("Germany FR",S3051)),"FR Germany",
ISNUMBER(SEARCH("West Germany",S3051)),"FR Germany",
ISNUMBER(SEARCH("Germany DR",S3051)),"DR Germany",
ISNUMBER(SEARCH("Korea DPR",S3051)),"North Korea",
ISNUMBER(SEARCH("China PR",S3051)),"China",
ISNUMBER(SEARCH("IR Iran",S3051)),"Iran",
ISNUMBER(SEARCH("Congo DR",S3051)),"Democratic Republic of the Congo",
ISNUMBER(SEARCH("DR Congo",S3051)),"Democratic Republic of the Congo",
ISNUMBER(SEARCH("German DR",S3051)),"DR Germany",
ISNUMBER(SEARCH("rn""&gt;United Arab Emirates",S3051)),"United Arab Emirates",
ISNUMBER(SEARCH("rn""&gt;Republic of Ireland",S3051)),"Ireland",
ISNUMBER(SEARCH("rn""&gt;Bosnia and Herzegovina",S3051)),"Bosnia and Herzegovina",
ISNUMBER(SEARCH("rn""&gt;Trinidad and Tobago",S3051)),"Trinidad and Tobago",
ISNUMBER(SEARCH("rn""&gt;Serbia and Montenegro",S3051)),"Serbia and Montenegro",
ISNUMBER(SEARCH(_xlfn.UNICHAR(65533),S3051)),"Côte d'Ivoire",
TRUE,""
)</f>
        <v/>
      </c>
      <c r="W3051" s="40" t="str">
        <f t="shared" si="216"/>
        <v>Iran</v>
      </c>
    </row>
    <row r="3052" spans="19:23">
      <c r="S3052" s="40" t="str">
        <v>Portugal</v>
      </c>
      <c r="T3052" s="40" t="str">
        <f t="shared" si="214"/>
        <v>OK</v>
      </c>
      <c r="U3052" s="40" t="str">
        <f t="shared" si="215"/>
        <v>-</v>
      </c>
      <c r="V3052" s="40" t="str" cm="1">
        <f t="array" ref="V3052">_xlfn.IFS(
ISNUMBER(SEARCH("USA",S3052)),"United States",
ISNUMBER(SEARCH("Republic of Ireland",S3052)),"Ireland",
ISNUMBER(SEARCH("Republic of Korea",S3052)),"South Korea",
ISNUMBER(SEARCH("Cape Verde",S3052)),"Cabo Verde",
ISNUMBER(SEARCH("Czechia",S3052)),"Czech Republic",
ISNUMBER(SEARCH("Türkiye",S3052)),"Turkey",
ISNUMBER(SEARCH("Ivory Coast",S3052)),"Côte d'Ivoire",
ISNUMBER(SEARCH("Korea Republic",S3052)),"South Korea",
ISNUMBER(SEARCH("Germany FR",S3052)),"FR Germany",
ISNUMBER(SEARCH("West Germany",S3052)),"FR Germany",
ISNUMBER(SEARCH("Germany DR",S3052)),"DR Germany",
ISNUMBER(SEARCH("Korea DPR",S3052)),"North Korea",
ISNUMBER(SEARCH("China PR",S3052)),"China",
ISNUMBER(SEARCH("IR Iran",S3052)),"Iran",
ISNUMBER(SEARCH("Congo DR",S3052)),"Democratic Republic of the Congo",
ISNUMBER(SEARCH("DR Congo",S3052)),"Democratic Republic of the Congo",
ISNUMBER(SEARCH("German DR",S3052)),"DR Germany",
ISNUMBER(SEARCH("rn""&gt;United Arab Emirates",S3052)),"United Arab Emirates",
ISNUMBER(SEARCH("rn""&gt;Republic of Ireland",S3052)),"Ireland",
ISNUMBER(SEARCH("rn""&gt;Bosnia and Herzegovina",S3052)),"Bosnia and Herzegovina",
ISNUMBER(SEARCH("rn""&gt;Trinidad and Tobago",S3052)),"Trinidad and Tobago",
ISNUMBER(SEARCH("rn""&gt;Serbia and Montenegro",S3052)),"Serbia and Montenegro",
ISNUMBER(SEARCH(_xlfn.UNICHAR(65533),S3052)),"Côte d'Ivoire",
TRUE,""
)</f>
        <v/>
      </c>
      <c r="W3052" s="40" t="str">
        <f t="shared" si="216"/>
        <v>Portugal</v>
      </c>
    </row>
    <row r="3053" spans="19:23">
      <c r="S3053" s="40" t="str">
        <v>Netherlands</v>
      </c>
      <c r="T3053" s="40" t="str">
        <f t="shared" si="214"/>
        <v>OK</v>
      </c>
      <c r="U3053" s="40" t="str">
        <f t="shared" si="215"/>
        <v>-</v>
      </c>
      <c r="V3053" s="40" t="str" cm="1">
        <f t="array" ref="V3053">_xlfn.IFS(
ISNUMBER(SEARCH("USA",S3053)),"United States",
ISNUMBER(SEARCH("Republic of Ireland",S3053)),"Ireland",
ISNUMBER(SEARCH("Republic of Korea",S3053)),"South Korea",
ISNUMBER(SEARCH("Cape Verde",S3053)),"Cabo Verde",
ISNUMBER(SEARCH("Czechia",S3053)),"Czech Republic",
ISNUMBER(SEARCH("Türkiye",S3053)),"Turkey",
ISNUMBER(SEARCH("Ivory Coast",S3053)),"Côte d'Ivoire",
ISNUMBER(SEARCH("Korea Republic",S3053)),"South Korea",
ISNUMBER(SEARCH("Germany FR",S3053)),"FR Germany",
ISNUMBER(SEARCH("West Germany",S3053)),"FR Germany",
ISNUMBER(SEARCH("Germany DR",S3053)),"DR Germany",
ISNUMBER(SEARCH("Korea DPR",S3053)),"North Korea",
ISNUMBER(SEARCH("China PR",S3053)),"China",
ISNUMBER(SEARCH("IR Iran",S3053)),"Iran",
ISNUMBER(SEARCH("Congo DR",S3053)),"Democratic Republic of the Congo",
ISNUMBER(SEARCH("DR Congo",S3053)),"Democratic Republic of the Congo",
ISNUMBER(SEARCH("German DR",S3053)),"DR Germany",
ISNUMBER(SEARCH("rn""&gt;United Arab Emirates",S3053)),"United Arab Emirates",
ISNUMBER(SEARCH("rn""&gt;Republic of Ireland",S3053)),"Ireland",
ISNUMBER(SEARCH("rn""&gt;Bosnia and Herzegovina",S3053)),"Bosnia and Herzegovina",
ISNUMBER(SEARCH("rn""&gt;Trinidad and Tobago",S3053)),"Trinidad and Tobago",
ISNUMBER(SEARCH("rn""&gt;Serbia and Montenegro",S3053)),"Serbia and Montenegro",
ISNUMBER(SEARCH(_xlfn.UNICHAR(65533),S3053)),"Côte d'Ivoire",
TRUE,""
)</f>
        <v/>
      </c>
      <c r="W3053" s="40" t="str">
        <f t="shared" si="216"/>
        <v>Netherlands</v>
      </c>
    </row>
    <row r="3054" spans="19:23">
      <c r="S3054" s="40" t="str">
        <v>C�te d'Ivoire</v>
      </c>
      <c r="T3054" s="40" t="str">
        <f t="shared" si="214"/>
        <v>ERREUR</v>
      </c>
      <c r="U3054" s="40" t="str">
        <f t="shared" si="215"/>
        <v>RENOMMER</v>
      </c>
      <c r="V3054" s="40" t="str" cm="1">
        <f t="array" ref="V3054">_xlfn.IFS(
ISNUMBER(SEARCH("USA",S3054)),"United States",
ISNUMBER(SEARCH("Republic of Ireland",S3054)),"Ireland",
ISNUMBER(SEARCH("Republic of Korea",S3054)),"South Korea",
ISNUMBER(SEARCH("Cape Verde",S3054)),"Cabo Verde",
ISNUMBER(SEARCH("Czechia",S3054)),"Czech Republic",
ISNUMBER(SEARCH("Türkiye",S3054)),"Turkey",
ISNUMBER(SEARCH("Ivory Coast",S3054)),"Côte d'Ivoire",
ISNUMBER(SEARCH("Korea Republic",S3054)),"South Korea",
ISNUMBER(SEARCH("Germany FR",S3054)),"FR Germany",
ISNUMBER(SEARCH("West Germany",S3054)),"FR Germany",
ISNUMBER(SEARCH("Germany DR",S3054)),"DR Germany",
ISNUMBER(SEARCH("Korea DPR",S3054)),"North Korea",
ISNUMBER(SEARCH("China PR",S3054)),"China",
ISNUMBER(SEARCH("IR Iran",S3054)),"Iran",
ISNUMBER(SEARCH("Congo DR",S3054)),"Democratic Republic of the Congo",
ISNUMBER(SEARCH("DR Congo",S3054)),"Democratic Republic of the Congo",
ISNUMBER(SEARCH("German DR",S3054)),"DR Germany",
ISNUMBER(SEARCH("rn""&gt;United Arab Emirates",S3054)),"United Arab Emirates",
ISNUMBER(SEARCH("rn""&gt;Republic of Ireland",S3054)),"Ireland",
ISNUMBER(SEARCH("rn""&gt;Bosnia and Herzegovina",S3054)),"Bosnia and Herzegovina",
ISNUMBER(SEARCH("rn""&gt;Trinidad and Tobago",S3054)),"Trinidad and Tobago",
ISNUMBER(SEARCH("rn""&gt;Serbia and Montenegro",S3054)),"Serbia and Montenegro",
ISNUMBER(SEARCH(_xlfn.UNICHAR(65533),S3054)),"Côte d'Ivoire",
TRUE,""
)</f>
        <v>Côte d'Ivoire</v>
      </c>
      <c r="W3054" s="40" t="str">
        <f t="shared" si="216"/>
        <v>Côte d'Ivoire</v>
      </c>
    </row>
    <row r="3055" spans="19:23">
      <c r="S3055" s="40" t="str">
        <v>Czech Republic</v>
      </c>
      <c r="T3055" s="40" t="str">
        <f t="shared" si="214"/>
        <v>OK</v>
      </c>
      <c r="U3055" s="40" t="str">
        <f t="shared" si="215"/>
        <v>-</v>
      </c>
      <c r="V3055" s="40" t="str" cm="1">
        <f t="array" ref="V3055">_xlfn.IFS(
ISNUMBER(SEARCH("USA",S3055)),"United States",
ISNUMBER(SEARCH("Republic of Ireland",S3055)),"Ireland",
ISNUMBER(SEARCH("Republic of Korea",S3055)),"South Korea",
ISNUMBER(SEARCH("Cape Verde",S3055)),"Cabo Verde",
ISNUMBER(SEARCH("Czechia",S3055)),"Czech Republic",
ISNUMBER(SEARCH("Türkiye",S3055)),"Turkey",
ISNUMBER(SEARCH("Ivory Coast",S3055)),"Côte d'Ivoire",
ISNUMBER(SEARCH("Korea Republic",S3055)),"South Korea",
ISNUMBER(SEARCH("Germany FR",S3055)),"FR Germany",
ISNUMBER(SEARCH("West Germany",S3055)),"FR Germany",
ISNUMBER(SEARCH("Germany DR",S3055)),"DR Germany",
ISNUMBER(SEARCH("Korea DPR",S3055)),"North Korea",
ISNUMBER(SEARCH("China PR",S3055)),"China",
ISNUMBER(SEARCH("IR Iran",S3055)),"Iran",
ISNUMBER(SEARCH("Congo DR",S3055)),"Democratic Republic of the Congo",
ISNUMBER(SEARCH("DR Congo",S3055)),"Democratic Republic of the Congo",
ISNUMBER(SEARCH("German DR",S3055)),"DR Germany",
ISNUMBER(SEARCH("rn""&gt;United Arab Emirates",S3055)),"United Arab Emirates",
ISNUMBER(SEARCH("rn""&gt;Republic of Ireland",S3055)),"Ireland",
ISNUMBER(SEARCH("rn""&gt;Bosnia and Herzegovina",S3055)),"Bosnia and Herzegovina",
ISNUMBER(SEARCH("rn""&gt;Trinidad and Tobago",S3055)),"Trinidad and Tobago",
ISNUMBER(SEARCH("rn""&gt;Serbia and Montenegro",S3055)),"Serbia and Montenegro",
ISNUMBER(SEARCH(_xlfn.UNICHAR(65533),S3055)),"Côte d'Ivoire",
TRUE,""
)</f>
        <v/>
      </c>
      <c r="W3055" s="40" t="str">
        <f t="shared" si="216"/>
        <v>Czech Republic</v>
      </c>
    </row>
    <row r="3056" spans="19:23">
      <c r="S3056" s="40" t="str">
        <v>Ghana</v>
      </c>
      <c r="T3056" s="40" t="str">
        <f t="shared" si="214"/>
        <v>OK</v>
      </c>
      <c r="U3056" s="40" t="str">
        <f t="shared" si="215"/>
        <v>-</v>
      </c>
      <c r="V3056" s="40" t="str" cm="1">
        <f t="array" ref="V3056">_xlfn.IFS(
ISNUMBER(SEARCH("USA",S3056)),"United States",
ISNUMBER(SEARCH("Republic of Ireland",S3056)),"Ireland",
ISNUMBER(SEARCH("Republic of Korea",S3056)),"South Korea",
ISNUMBER(SEARCH("Cape Verde",S3056)),"Cabo Verde",
ISNUMBER(SEARCH("Czechia",S3056)),"Czech Republic",
ISNUMBER(SEARCH("Türkiye",S3056)),"Turkey",
ISNUMBER(SEARCH("Ivory Coast",S3056)),"Côte d'Ivoire",
ISNUMBER(SEARCH("Korea Republic",S3056)),"South Korea",
ISNUMBER(SEARCH("Germany FR",S3056)),"FR Germany",
ISNUMBER(SEARCH("West Germany",S3056)),"FR Germany",
ISNUMBER(SEARCH("Germany DR",S3056)),"DR Germany",
ISNUMBER(SEARCH("Korea DPR",S3056)),"North Korea",
ISNUMBER(SEARCH("China PR",S3056)),"China",
ISNUMBER(SEARCH("IR Iran",S3056)),"Iran",
ISNUMBER(SEARCH("Congo DR",S3056)),"Democratic Republic of the Congo",
ISNUMBER(SEARCH("DR Congo",S3056)),"Democratic Republic of the Congo",
ISNUMBER(SEARCH("German DR",S3056)),"DR Germany",
ISNUMBER(SEARCH("rn""&gt;United Arab Emirates",S3056)),"United Arab Emirates",
ISNUMBER(SEARCH("rn""&gt;Republic of Ireland",S3056)),"Ireland",
ISNUMBER(SEARCH("rn""&gt;Bosnia and Herzegovina",S3056)),"Bosnia and Herzegovina",
ISNUMBER(SEARCH("rn""&gt;Trinidad and Tobago",S3056)),"Trinidad and Tobago",
ISNUMBER(SEARCH("rn""&gt;Serbia and Montenegro",S3056)),"Serbia and Montenegro",
ISNUMBER(SEARCH(_xlfn.UNICHAR(65533),S3056)),"Côte d'Ivoire",
TRUE,""
)</f>
        <v/>
      </c>
      <c r="W3056" s="40" t="str">
        <f t="shared" si="216"/>
        <v>Ghana</v>
      </c>
    </row>
    <row r="3057" spans="19:23">
      <c r="S3057" s="40" t="str">
        <v>Japan</v>
      </c>
      <c r="T3057" s="40" t="str">
        <f t="shared" si="214"/>
        <v>OK</v>
      </c>
      <c r="U3057" s="40" t="str">
        <f t="shared" si="215"/>
        <v>-</v>
      </c>
      <c r="V3057" s="40" t="str" cm="1">
        <f t="array" ref="V3057">_xlfn.IFS(
ISNUMBER(SEARCH("USA",S3057)),"United States",
ISNUMBER(SEARCH("Republic of Ireland",S3057)),"Ireland",
ISNUMBER(SEARCH("Republic of Korea",S3057)),"South Korea",
ISNUMBER(SEARCH("Cape Verde",S3057)),"Cabo Verde",
ISNUMBER(SEARCH("Czechia",S3057)),"Czech Republic",
ISNUMBER(SEARCH("Türkiye",S3057)),"Turkey",
ISNUMBER(SEARCH("Ivory Coast",S3057)),"Côte d'Ivoire",
ISNUMBER(SEARCH("Korea Republic",S3057)),"South Korea",
ISNUMBER(SEARCH("Germany FR",S3057)),"FR Germany",
ISNUMBER(SEARCH("West Germany",S3057)),"FR Germany",
ISNUMBER(SEARCH("Germany DR",S3057)),"DR Germany",
ISNUMBER(SEARCH("Korea DPR",S3057)),"North Korea",
ISNUMBER(SEARCH("China PR",S3057)),"China",
ISNUMBER(SEARCH("IR Iran",S3057)),"Iran",
ISNUMBER(SEARCH("Congo DR",S3057)),"Democratic Republic of the Congo",
ISNUMBER(SEARCH("DR Congo",S3057)),"Democratic Republic of the Congo",
ISNUMBER(SEARCH("German DR",S3057)),"DR Germany",
ISNUMBER(SEARCH("rn""&gt;United Arab Emirates",S3057)),"United Arab Emirates",
ISNUMBER(SEARCH("rn""&gt;Republic of Ireland",S3057)),"Ireland",
ISNUMBER(SEARCH("rn""&gt;Bosnia and Herzegovina",S3057)),"Bosnia and Herzegovina",
ISNUMBER(SEARCH("rn""&gt;Trinidad and Tobago",S3057)),"Trinidad and Tobago",
ISNUMBER(SEARCH("rn""&gt;Serbia and Montenegro",S3057)),"Serbia and Montenegro",
ISNUMBER(SEARCH(_xlfn.UNICHAR(65533),S3057)),"Côte d'Ivoire",
TRUE,""
)</f>
        <v/>
      </c>
      <c r="W3057" s="40" t="str">
        <f t="shared" si="216"/>
        <v>Japan</v>
      </c>
    </row>
    <row r="3058" spans="19:23">
      <c r="S3058" s="40" t="str">
        <v>Croatia</v>
      </c>
      <c r="T3058" s="40" t="str">
        <f t="shared" si="214"/>
        <v>OK</v>
      </c>
      <c r="U3058" s="40" t="str">
        <f t="shared" si="215"/>
        <v>-</v>
      </c>
      <c r="V3058" s="40" t="str" cm="1">
        <f t="array" ref="V3058">_xlfn.IFS(
ISNUMBER(SEARCH("USA",S3058)),"United States",
ISNUMBER(SEARCH("Republic of Ireland",S3058)),"Ireland",
ISNUMBER(SEARCH("Republic of Korea",S3058)),"South Korea",
ISNUMBER(SEARCH("Cape Verde",S3058)),"Cabo Verde",
ISNUMBER(SEARCH("Czechia",S3058)),"Czech Republic",
ISNUMBER(SEARCH("Türkiye",S3058)),"Turkey",
ISNUMBER(SEARCH("Ivory Coast",S3058)),"Côte d'Ivoire",
ISNUMBER(SEARCH("Korea Republic",S3058)),"South Korea",
ISNUMBER(SEARCH("Germany FR",S3058)),"FR Germany",
ISNUMBER(SEARCH("West Germany",S3058)),"FR Germany",
ISNUMBER(SEARCH("Germany DR",S3058)),"DR Germany",
ISNUMBER(SEARCH("Korea DPR",S3058)),"North Korea",
ISNUMBER(SEARCH("China PR",S3058)),"China",
ISNUMBER(SEARCH("IR Iran",S3058)),"Iran",
ISNUMBER(SEARCH("Congo DR",S3058)),"Democratic Republic of the Congo",
ISNUMBER(SEARCH("DR Congo",S3058)),"Democratic Republic of the Congo",
ISNUMBER(SEARCH("German DR",S3058)),"DR Germany",
ISNUMBER(SEARCH("rn""&gt;United Arab Emirates",S3058)),"United Arab Emirates",
ISNUMBER(SEARCH("rn""&gt;Republic of Ireland",S3058)),"Ireland",
ISNUMBER(SEARCH("rn""&gt;Bosnia and Herzegovina",S3058)),"Bosnia and Herzegovina",
ISNUMBER(SEARCH("rn""&gt;Trinidad and Tobago",S3058)),"Trinidad and Tobago",
ISNUMBER(SEARCH("rn""&gt;Serbia and Montenegro",S3058)),"Serbia and Montenegro",
ISNUMBER(SEARCH(_xlfn.UNICHAR(65533),S3058)),"Côte d'Ivoire",
TRUE,""
)</f>
        <v/>
      </c>
      <c r="W3058" s="40" t="str">
        <f t="shared" si="216"/>
        <v>Croatia</v>
      </c>
    </row>
    <row r="3059" spans="19:23">
      <c r="S3059" s="40" t="str">
        <v>Ukraine</v>
      </c>
      <c r="T3059" s="40" t="str">
        <f t="shared" si="214"/>
        <v>OK</v>
      </c>
      <c r="U3059" s="40" t="str">
        <f t="shared" si="215"/>
        <v>-</v>
      </c>
      <c r="V3059" s="40" t="str" cm="1">
        <f t="array" ref="V3059">_xlfn.IFS(
ISNUMBER(SEARCH("USA",S3059)),"United States",
ISNUMBER(SEARCH("Republic of Ireland",S3059)),"Ireland",
ISNUMBER(SEARCH("Republic of Korea",S3059)),"South Korea",
ISNUMBER(SEARCH("Cape Verde",S3059)),"Cabo Verde",
ISNUMBER(SEARCH("Czechia",S3059)),"Czech Republic",
ISNUMBER(SEARCH("Türkiye",S3059)),"Turkey",
ISNUMBER(SEARCH("Ivory Coast",S3059)),"Côte d'Ivoire",
ISNUMBER(SEARCH("Korea Republic",S3059)),"South Korea",
ISNUMBER(SEARCH("Germany FR",S3059)),"FR Germany",
ISNUMBER(SEARCH("West Germany",S3059)),"FR Germany",
ISNUMBER(SEARCH("Germany DR",S3059)),"DR Germany",
ISNUMBER(SEARCH("Korea DPR",S3059)),"North Korea",
ISNUMBER(SEARCH("China PR",S3059)),"China",
ISNUMBER(SEARCH("IR Iran",S3059)),"Iran",
ISNUMBER(SEARCH("Congo DR",S3059)),"Democratic Republic of the Congo",
ISNUMBER(SEARCH("DR Congo",S3059)),"Democratic Republic of the Congo",
ISNUMBER(SEARCH("German DR",S3059)),"DR Germany",
ISNUMBER(SEARCH("rn""&gt;United Arab Emirates",S3059)),"United Arab Emirates",
ISNUMBER(SEARCH("rn""&gt;Republic of Ireland",S3059)),"Ireland",
ISNUMBER(SEARCH("rn""&gt;Bosnia and Herzegovina",S3059)),"Bosnia and Herzegovina",
ISNUMBER(SEARCH("rn""&gt;Trinidad and Tobago",S3059)),"Trinidad and Tobago",
ISNUMBER(SEARCH("rn""&gt;Serbia and Montenegro",S3059)),"Serbia and Montenegro",
ISNUMBER(SEARCH(_xlfn.UNICHAR(65533),S3059)),"Côte d'Ivoire",
TRUE,""
)</f>
        <v/>
      </c>
      <c r="W3059" s="40" t="str">
        <f t="shared" si="216"/>
        <v>Ukraine</v>
      </c>
    </row>
    <row r="3060" spans="19:23">
      <c r="S3060" s="40" t="str">
        <v>Saudi Arabia</v>
      </c>
      <c r="T3060" s="40" t="str">
        <f t="shared" si="214"/>
        <v>OK</v>
      </c>
      <c r="U3060" s="40" t="str">
        <f t="shared" si="215"/>
        <v>-</v>
      </c>
      <c r="V3060" s="40" t="str" cm="1">
        <f t="array" ref="V3060">_xlfn.IFS(
ISNUMBER(SEARCH("USA",S3060)),"United States",
ISNUMBER(SEARCH("Republic of Ireland",S3060)),"Ireland",
ISNUMBER(SEARCH("Republic of Korea",S3060)),"South Korea",
ISNUMBER(SEARCH("Cape Verde",S3060)),"Cabo Verde",
ISNUMBER(SEARCH("Czechia",S3060)),"Czech Republic",
ISNUMBER(SEARCH("Türkiye",S3060)),"Turkey",
ISNUMBER(SEARCH("Ivory Coast",S3060)),"Côte d'Ivoire",
ISNUMBER(SEARCH("Korea Republic",S3060)),"South Korea",
ISNUMBER(SEARCH("Germany FR",S3060)),"FR Germany",
ISNUMBER(SEARCH("West Germany",S3060)),"FR Germany",
ISNUMBER(SEARCH("Germany DR",S3060)),"DR Germany",
ISNUMBER(SEARCH("Korea DPR",S3060)),"North Korea",
ISNUMBER(SEARCH("China PR",S3060)),"China",
ISNUMBER(SEARCH("IR Iran",S3060)),"Iran",
ISNUMBER(SEARCH("Congo DR",S3060)),"Democratic Republic of the Congo",
ISNUMBER(SEARCH("DR Congo",S3060)),"Democratic Republic of the Congo",
ISNUMBER(SEARCH("German DR",S3060)),"DR Germany",
ISNUMBER(SEARCH("rn""&gt;United Arab Emirates",S3060)),"United Arab Emirates",
ISNUMBER(SEARCH("rn""&gt;Republic of Ireland",S3060)),"Ireland",
ISNUMBER(SEARCH("rn""&gt;Bosnia and Herzegovina",S3060)),"Bosnia and Herzegovina",
ISNUMBER(SEARCH("rn""&gt;Trinidad and Tobago",S3060)),"Trinidad and Tobago",
ISNUMBER(SEARCH("rn""&gt;Serbia and Montenegro",S3060)),"Serbia and Montenegro",
ISNUMBER(SEARCH(_xlfn.UNICHAR(65533),S3060)),"Côte d'Ivoire",
TRUE,""
)</f>
        <v/>
      </c>
      <c r="W3060" s="40" t="str">
        <f t="shared" si="216"/>
        <v>Saudi Arabia</v>
      </c>
    </row>
    <row r="3061" spans="19:23">
      <c r="S3061" s="40" t="str">
        <v>Togo</v>
      </c>
      <c r="T3061" s="40" t="str">
        <f t="shared" si="214"/>
        <v>OK</v>
      </c>
      <c r="U3061" s="40" t="str">
        <f t="shared" si="215"/>
        <v>-</v>
      </c>
      <c r="V3061" s="40" t="str" cm="1">
        <f t="array" ref="V3061">_xlfn.IFS(
ISNUMBER(SEARCH("USA",S3061)),"United States",
ISNUMBER(SEARCH("Republic of Ireland",S3061)),"Ireland",
ISNUMBER(SEARCH("Republic of Korea",S3061)),"South Korea",
ISNUMBER(SEARCH("Cape Verde",S3061)),"Cabo Verde",
ISNUMBER(SEARCH("Czechia",S3061)),"Czech Republic",
ISNUMBER(SEARCH("Türkiye",S3061)),"Turkey",
ISNUMBER(SEARCH("Ivory Coast",S3061)),"Côte d'Ivoire",
ISNUMBER(SEARCH("Korea Republic",S3061)),"South Korea",
ISNUMBER(SEARCH("Germany FR",S3061)),"FR Germany",
ISNUMBER(SEARCH("West Germany",S3061)),"FR Germany",
ISNUMBER(SEARCH("Germany DR",S3061)),"DR Germany",
ISNUMBER(SEARCH("Korea DPR",S3061)),"North Korea",
ISNUMBER(SEARCH("China PR",S3061)),"China",
ISNUMBER(SEARCH("IR Iran",S3061)),"Iran",
ISNUMBER(SEARCH("Congo DR",S3061)),"Democratic Republic of the Congo",
ISNUMBER(SEARCH("DR Congo",S3061)),"Democratic Republic of the Congo",
ISNUMBER(SEARCH("German DR",S3061)),"DR Germany",
ISNUMBER(SEARCH("rn""&gt;United Arab Emirates",S3061)),"United Arab Emirates",
ISNUMBER(SEARCH("rn""&gt;Republic of Ireland",S3061)),"Ireland",
ISNUMBER(SEARCH("rn""&gt;Bosnia and Herzegovina",S3061)),"Bosnia and Herzegovina",
ISNUMBER(SEARCH("rn""&gt;Trinidad and Tobago",S3061)),"Trinidad and Tobago",
ISNUMBER(SEARCH("rn""&gt;Serbia and Montenegro",S3061)),"Serbia and Montenegro",
ISNUMBER(SEARCH(_xlfn.UNICHAR(65533),S3061)),"Côte d'Ivoire",
TRUE,""
)</f>
        <v/>
      </c>
      <c r="W3061" s="40" t="str">
        <f t="shared" si="216"/>
        <v>Togo</v>
      </c>
    </row>
    <row r="3062" spans="19:23">
      <c r="S3062" s="40" t="str">
        <v>Switzerland</v>
      </c>
      <c r="T3062" s="40" t="str">
        <f t="shared" si="214"/>
        <v>OK</v>
      </c>
      <c r="U3062" s="40" t="str">
        <f t="shared" si="215"/>
        <v>-</v>
      </c>
      <c r="V3062" s="40" t="str" cm="1">
        <f t="array" ref="V3062">_xlfn.IFS(
ISNUMBER(SEARCH("USA",S3062)),"United States",
ISNUMBER(SEARCH("Republic of Ireland",S3062)),"Ireland",
ISNUMBER(SEARCH("Republic of Korea",S3062)),"South Korea",
ISNUMBER(SEARCH("Cape Verde",S3062)),"Cabo Verde",
ISNUMBER(SEARCH("Czechia",S3062)),"Czech Republic",
ISNUMBER(SEARCH("Türkiye",S3062)),"Turkey",
ISNUMBER(SEARCH("Ivory Coast",S3062)),"Côte d'Ivoire",
ISNUMBER(SEARCH("Korea Republic",S3062)),"South Korea",
ISNUMBER(SEARCH("Germany FR",S3062)),"FR Germany",
ISNUMBER(SEARCH("West Germany",S3062)),"FR Germany",
ISNUMBER(SEARCH("Germany DR",S3062)),"DR Germany",
ISNUMBER(SEARCH("Korea DPR",S3062)),"North Korea",
ISNUMBER(SEARCH("China PR",S3062)),"China",
ISNUMBER(SEARCH("IR Iran",S3062)),"Iran",
ISNUMBER(SEARCH("Congo DR",S3062)),"Democratic Republic of the Congo",
ISNUMBER(SEARCH("DR Congo",S3062)),"Democratic Republic of the Congo",
ISNUMBER(SEARCH("German DR",S3062)),"DR Germany",
ISNUMBER(SEARCH("rn""&gt;United Arab Emirates",S3062)),"United Arab Emirates",
ISNUMBER(SEARCH("rn""&gt;Republic of Ireland",S3062)),"Ireland",
ISNUMBER(SEARCH("rn""&gt;Bosnia and Herzegovina",S3062)),"Bosnia and Herzegovina",
ISNUMBER(SEARCH("rn""&gt;Trinidad and Tobago",S3062)),"Trinidad and Tobago",
ISNUMBER(SEARCH("rn""&gt;Serbia and Montenegro",S3062)),"Serbia and Montenegro",
ISNUMBER(SEARCH(_xlfn.UNICHAR(65533),S3062)),"Côte d'Ivoire",
TRUE,""
)</f>
        <v/>
      </c>
      <c r="W3062" s="40" t="str">
        <f t="shared" si="216"/>
        <v>Switzerland</v>
      </c>
    </row>
    <row r="3063" spans="19:23">
      <c r="S3063" s="40" t="str">
        <v>Germany</v>
      </c>
      <c r="T3063" s="40" t="str">
        <f t="shared" si="214"/>
        <v>OK</v>
      </c>
      <c r="U3063" s="40" t="str">
        <f t="shared" si="215"/>
        <v>-</v>
      </c>
      <c r="V3063" s="40" t="str" cm="1">
        <f t="array" ref="V3063">_xlfn.IFS(
ISNUMBER(SEARCH("USA",S3063)),"United States",
ISNUMBER(SEARCH("Republic of Ireland",S3063)),"Ireland",
ISNUMBER(SEARCH("Republic of Korea",S3063)),"South Korea",
ISNUMBER(SEARCH("Cape Verde",S3063)),"Cabo Verde",
ISNUMBER(SEARCH("Czechia",S3063)),"Czech Republic",
ISNUMBER(SEARCH("Türkiye",S3063)),"Turkey",
ISNUMBER(SEARCH("Ivory Coast",S3063)),"Côte d'Ivoire",
ISNUMBER(SEARCH("Korea Republic",S3063)),"South Korea",
ISNUMBER(SEARCH("Germany FR",S3063)),"FR Germany",
ISNUMBER(SEARCH("West Germany",S3063)),"FR Germany",
ISNUMBER(SEARCH("Germany DR",S3063)),"DR Germany",
ISNUMBER(SEARCH("Korea DPR",S3063)),"North Korea",
ISNUMBER(SEARCH("China PR",S3063)),"China",
ISNUMBER(SEARCH("IR Iran",S3063)),"Iran",
ISNUMBER(SEARCH("Congo DR",S3063)),"Democratic Republic of the Congo",
ISNUMBER(SEARCH("DR Congo",S3063)),"Democratic Republic of the Congo",
ISNUMBER(SEARCH("German DR",S3063)),"DR Germany",
ISNUMBER(SEARCH("rn""&gt;United Arab Emirates",S3063)),"United Arab Emirates",
ISNUMBER(SEARCH("rn""&gt;Republic of Ireland",S3063)),"Ireland",
ISNUMBER(SEARCH("rn""&gt;Bosnia and Herzegovina",S3063)),"Bosnia and Herzegovina",
ISNUMBER(SEARCH("rn""&gt;Trinidad and Tobago",S3063)),"Trinidad and Tobago",
ISNUMBER(SEARCH("rn""&gt;Serbia and Montenegro",S3063)),"Serbia and Montenegro",
ISNUMBER(SEARCH(_xlfn.UNICHAR(65533),S3063)),"Côte d'Ivoire",
TRUE,""
)</f>
        <v/>
      </c>
      <c r="W3063" s="40" t="str">
        <f t="shared" si="216"/>
        <v>Germany</v>
      </c>
    </row>
    <row r="3064" spans="19:23">
      <c r="S3064" s="40" t="str">
        <v>Argentina</v>
      </c>
      <c r="T3064" s="40" t="str">
        <f t="shared" si="214"/>
        <v>OK</v>
      </c>
      <c r="U3064" s="40" t="str">
        <f t="shared" si="215"/>
        <v>-</v>
      </c>
      <c r="V3064" s="40" t="str" cm="1">
        <f t="array" ref="V3064">_xlfn.IFS(
ISNUMBER(SEARCH("USA",S3064)),"United States",
ISNUMBER(SEARCH("Republic of Ireland",S3064)),"Ireland",
ISNUMBER(SEARCH("Republic of Korea",S3064)),"South Korea",
ISNUMBER(SEARCH("Cape Verde",S3064)),"Cabo Verde",
ISNUMBER(SEARCH("Czechia",S3064)),"Czech Republic",
ISNUMBER(SEARCH("Türkiye",S3064)),"Turkey",
ISNUMBER(SEARCH("Ivory Coast",S3064)),"Côte d'Ivoire",
ISNUMBER(SEARCH("Korea Republic",S3064)),"South Korea",
ISNUMBER(SEARCH("Germany FR",S3064)),"FR Germany",
ISNUMBER(SEARCH("West Germany",S3064)),"FR Germany",
ISNUMBER(SEARCH("Germany DR",S3064)),"DR Germany",
ISNUMBER(SEARCH("Korea DPR",S3064)),"North Korea",
ISNUMBER(SEARCH("China PR",S3064)),"China",
ISNUMBER(SEARCH("IR Iran",S3064)),"Iran",
ISNUMBER(SEARCH("Congo DR",S3064)),"Democratic Republic of the Congo",
ISNUMBER(SEARCH("DR Congo",S3064)),"Democratic Republic of the Congo",
ISNUMBER(SEARCH("German DR",S3064)),"DR Germany",
ISNUMBER(SEARCH("rn""&gt;United Arab Emirates",S3064)),"United Arab Emirates",
ISNUMBER(SEARCH("rn""&gt;Republic of Ireland",S3064)),"Ireland",
ISNUMBER(SEARCH("rn""&gt;Bosnia and Herzegovina",S3064)),"Bosnia and Herzegovina",
ISNUMBER(SEARCH("rn""&gt;Trinidad and Tobago",S3064)),"Trinidad and Tobago",
ISNUMBER(SEARCH("rn""&gt;Serbia and Montenegro",S3064)),"Serbia and Montenegro",
ISNUMBER(SEARCH(_xlfn.UNICHAR(65533),S3064)),"Côte d'Ivoire",
TRUE,""
)</f>
        <v/>
      </c>
      <c r="W3064" s="40" t="str">
        <f t="shared" si="216"/>
        <v>Argentina</v>
      </c>
    </row>
    <row r="3065" spans="19:23">
      <c r="S3065" s="40" t="str">
        <v>England</v>
      </c>
      <c r="T3065" s="40" t="str">
        <f t="shared" si="214"/>
        <v>ERREUR</v>
      </c>
      <c r="U3065" s="40" t="str">
        <f t="shared" si="215"/>
        <v>AUCUNE</v>
      </c>
      <c r="V3065" s="40" t="str" cm="1">
        <f t="array" ref="V3065">_xlfn.IFS(
ISNUMBER(SEARCH("USA",S3065)),"United States",
ISNUMBER(SEARCH("Republic of Ireland",S3065)),"Ireland",
ISNUMBER(SEARCH("Republic of Korea",S3065)),"South Korea",
ISNUMBER(SEARCH("Cape Verde",S3065)),"Cabo Verde",
ISNUMBER(SEARCH("Czechia",S3065)),"Czech Republic",
ISNUMBER(SEARCH("Türkiye",S3065)),"Turkey",
ISNUMBER(SEARCH("Ivory Coast",S3065)),"Côte d'Ivoire",
ISNUMBER(SEARCH("Korea Republic",S3065)),"South Korea",
ISNUMBER(SEARCH("Germany FR",S3065)),"FR Germany",
ISNUMBER(SEARCH("West Germany",S3065)),"FR Germany",
ISNUMBER(SEARCH("Germany DR",S3065)),"DR Germany",
ISNUMBER(SEARCH("Korea DPR",S3065)),"North Korea",
ISNUMBER(SEARCH("China PR",S3065)),"China",
ISNUMBER(SEARCH("IR Iran",S3065)),"Iran",
ISNUMBER(SEARCH("Congo DR",S3065)),"Democratic Republic of the Congo",
ISNUMBER(SEARCH("DR Congo",S3065)),"Democratic Republic of the Congo",
ISNUMBER(SEARCH("German DR",S3065)),"DR Germany",
ISNUMBER(SEARCH("rn""&gt;United Arab Emirates",S3065)),"United Arab Emirates",
ISNUMBER(SEARCH("rn""&gt;Republic of Ireland",S3065)),"Ireland",
ISNUMBER(SEARCH("rn""&gt;Bosnia and Herzegovina",S3065)),"Bosnia and Herzegovina",
ISNUMBER(SEARCH("rn""&gt;Trinidad and Tobago",S3065)),"Trinidad and Tobago",
ISNUMBER(SEARCH("rn""&gt;Serbia and Montenegro",S3065)),"Serbia and Montenegro",
ISNUMBER(SEARCH(_xlfn.UNICHAR(65533),S3065)),"Côte d'Ivoire",
TRUE,""
)</f>
        <v/>
      </c>
      <c r="W3065" s="40" t="str">
        <f t="shared" si="216"/>
        <v>England</v>
      </c>
    </row>
    <row r="3066" spans="19:23">
      <c r="S3066" s="40" t="str">
        <v>Portugal</v>
      </c>
      <c r="T3066" s="40" t="str">
        <f t="shared" si="214"/>
        <v>OK</v>
      </c>
      <c r="U3066" s="40" t="str">
        <f t="shared" si="215"/>
        <v>-</v>
      </c>
      <c r="V3066" s="40" t="str" cm="1">
        <f t="array" ref="V3066">_xlfn.IFS(
ISNUMBER(SEARCH("USA",S3066)),"United States",
ISNUMBER(SEARCH("Republic of Ireland",S3066)),"Ireland",
ISNUMBER(SEARCH("Republic of Korea",S3066)),"South Korea",
ISNUMBER(SEARCH("Cape Verde",S3066)),"Cabo Verde",
ISNUMBER(SEARCH("Czechia",S3066)),"Czech Republic",
ISNUMBER(SEARCH("Türkiye",S3066)),"Turkey",
ISNUMBER(SEARCH("Ivory Coast",S3066)),"Côte d'Ivoire",
ISNUMBER(SEARCH("Korea Republic",S3066)),"South Korea",
ISNUMBER(SEARCH("Germany FR",S3066)),"FR Germany",
ISNUMBER(SEARCH("West Germany",S3066)),"FR Germany",
ISNUMBER(SEARCH("Germany DR",S3066)),"DR Germany",
ISNUMBER(SEARCH("Korea DPR",S3066)),"North Korea",
ISNUMBER(SEARCH("China PR",S3066)),"China",
ISNUMBER(SEARCH("IR Iran",S3066)),"Iran",
ISNUMBER(SEARCH("Congo DR",S3066)),"Democratic Republic of the Congo",
ISNUMBER(SEARCH("DR Congo",S3066)),"Democratic Republic of the Congo",
ISNUMBER(SEARCH("German DR",S3066)),"DR Germany",
ISNUMBER(SEARCH("rn""&gt;United Arab Emirates",S3066)),"United Arab Emirates",
ISNUMBER(SEARCH("rn""&gt;Republic of Ireland",S3066)),"Ireland",
ISNUMBER(SEARCH("rn""&gt;Bosnia and Herzegovina",S3066)),"Bosnia and Herzegovina",
ISNUMBER(SEARCH("rn""&gt;Trinidad and Tobago",S3066)),"Trinidad and Tobago",
ISNUMBER(SEARCH("rn""&gt;Serbia and Montenegro",S3066)),"Serbia and Montenegro",
ISNUMBER(SEARCH(_xlfn.UNICHAR(65533),S3066)),"Côte d'Ivoire",
TRUE,""
)</f>
        <v/>
      </c>
      <c r="W3066" s="40" t="str">
        <f t="shared" si="216"/>
        <v>Portugal</v>
      </c>
    </row>
    <row r="3067" spans="19:23">
      <c r="S3067" s="40" t="str">
        <v>Italy</v>
      </c>
      <c r="T3067" s="40" t="str">
        <f t="shared" si="214"/>
        <v>OK</v>
      </c>
      <c r="U3067" s="40" t="str">
        <f t="shared" si="215"/>
        <v>-</v>
      </c>
      <c r="V3067" s="40" t="str" cm="1">
        <f t="array" ref="V3067">_xlfn.IFS(
ISNUMBER(SEARCH("USA",S3067)),"United States",
ISNUMBER(SEARCH("Republic of Ireland",S3067)),"Ireland",
ISNUMBER(SEARCH("Republic of Korea",S3067)),"South Korea",
ISNUMBER(SEARCH("Cape Verde",S3067)),"Cabo Verde",
ISNUMBER(SEARCH("Czechia",S3067)),"Czech Republic",
ISNUMBER(SEARCH("Türkiye",S3067)),"Turkey",
ISNUMBER(SEARCH("Ivory Coast",S3067)),"Côte d'Ivoire",
ISNUMBER(SEARCH("Korea Republic",S3067)),"South Korea",
ISNUMBER(SEARCH("Germany FR",S3067)),"FR Germany",
ISNUMBER(SEARCH("West Germany",S3067)),"FR Germany",
ISNUMBER(SEARCH("Germany DR",S3067)),"DR Germany",
ISNUMBER(SEARCH("Korea DPR",S3067)),"North Korea",
ISNUMBER(SEARCH("China PR",S3067)),"China",
ISNUMBER(SEARCH("IR Iran",S3067)),"Iran",
ISNUMBER(SEARCH("Congo DR",S3067)),"Democratic Republic of the Congo",
ISNUMBER(SEARCH("DR Congo",S3067)),"Democratic Republic of the Congo",
ISNUMBER(SEARCH("German DR",S3067)),"DR Germany",
ISNUMBER(SEARCH("rn""&gt;United Arab Emirates",S3067)),"United Arab Emirates",
ISNUMBER(SEARCH("rn""&gt;Republic of Ireland",S3067)),"Ireland",
ISNUMBER(SEARCH("rn""&gt;Bosnia and Herzegovina",S3067)),"Bosnia and Herzegovina",
ISNUMBER(SEARCH("rn""&gt;Trinidad and Tobago",S3067)),"Trinidad and Tobago",
ISNUMBER(SEARCH("rn""&gt;Serbia and Montenegro",S3067)),"Serbia and Montenegro",
ISNUMBER(SEARCH(_xlfn.UNICHAR(65533),S3067)),"Côte d'Ivoire",
TRUE,""
)</f>
        <v/>
      </c>
      <c r="W3067" s="40" t="str">
        <f t="shared" si="216"/>
        <v>Italy</v>
      </c>
    </row>
    <row r="3068" spans="19:23">
      <c r="S3068" s="40" t="str">
        <v>Switzerland</v>
      </c>
      <c r="T3068" s="40" t="str">
        <f t="shared" si="214"/>
        <v>OK</v>
      </c>
      <c r="U3068" s="40" t="str">
        <f t="shared" si="215"/>
        <v>-</v>
      </c>
      <c r="V3068" s="40" t="str" cm="1">
        <f t="array" ref="V3068">_xlfn.IFS(
ISNUMBER(SEARCH("USA",S3068)),"United States",
ISNUMBER(SEARCH("Republic of Ireland",S3068)),"Ireland",
ISNUMBER(SEARCH("Republic of Korea",S3068)),"South Korea",
ISNUMBER(SEARCH("Cape Verde",S3068)),"Cabo Verde",
ISNUMBER(SEARCH("Czechia",S3068)),"Czech Republic",
ISNUMBER(SEARCH("Türkiye",S3068)),"Turkey",
ISNUMBER(SEARCH("Ivory Coast",S3068)),"Côte d'Ivoire",
ISNUMBER(SEARCH("Korea Republic",S3068)),"South Korea",
ISNUMBER(SEARCH("Germany FR",S3068)),"FR Germany",
ISNUMBER(SEARCH("West Germany",S3068)),"FR Germany",
ISNUMBER(SEARCH("Germany DR",S3068)),"DR Germany",
ISNUMBER(SEARCH("Korea DPR",S3068)),"North Korea",
ISNUMBER(SEARCH("China PR",S3068)),"China",
ISNUMBER(SEARCH("IR Iran",S3068)),"Iran",
ISNUMBER(SEARCH("Congo DR",S3068)),"Democratic Republic of the Congo",
ISNUMBER(SEARCH("DR Congo",S3068)),"Democratic Republic of the Congo",
ISNUMBER(SEARCH("German DR",S3068)),"DR Germany",
ISNUMBER(SEARCH("rn""&gt;United Arab Emirates",S3068)),"United Arab Emirates",
ISNUMBER(SEARCH("rn""&gt;Republic of Ireland",S3068)),"Ireland",
ISNUMBER(SEARCH("rn""&gt;Bosnia and Herzegovina",S3068)),"Bosnia and Herzegovina",
ISNUMBER(SEARCH("rn""&gt;Trinidad and Tobago",S3068)),"Trinidad and Tobago",
ISNUMBER(SEARCH("rn""&gt;Serbia and Montenegro",S3068)),"Serbia and Montenegro",
ISNUMBER(SEARCH(_xlfn.UNICHAR(65533),S3068)),"Côte d'Ivoire",
TRUE,""
)</f>
        <v/>
      </c>
      <c r="W3068" s="40" t="str">
        <f t="shared" si="216"/>
        <v>Switzerland</v>
      </c>
    </row>
    <row r="3069" spans="19:23">
      <c r="S3069" s="40" t="str">
        <v>Brazil</v>
      </c>
      <c r="T3069" s="40" t="str">
        <f t="shared" si="214"/>
        <v>OK</v>
      </c>
      <c r="U3069" s="40" t="str">
        <f t="shared" si="215"/>
        <v>-</v>
      </c>
      <c r="V3069" s="40" t="str" cm="1">
        <f t="array" ref="V3069">_xlfn.IFS(
ISNUMBER(SEARCH("USA",S3069)),"United States",
ISNUMBER(SEARCH("Republic of Ireland",S3069)),"Ireland",
ISNUMBER(SEARCH("Republic of Korea",S3069)),"South Korea",
ISNUMBER(SEARCH("Cape Verde",S3069)),"Cabo Verde",
ISNUMBER(SEARCH("Czechia",S3069)),"Czech Republic",
ISNUMBER(SEARCH("Türkiye",S3069)),"Turkey",
ISNUMBER(SEARCH("Ivory Coast",S3069)),"Côte d'Ivoire",
ISNUMBER(SEARCH("Korea Republic",S3069)),"South Korea",
ISNUMBER(SEARCH("Germany FR",S3069)),"FR Germany",
ISNUMBER(SEARCH("West Germany",S3069)),"FR Germany",
ISNUMBER(SEARCH("Germany DR",S3069)),"DR Germany",
ISNUMBER(SEARCH("Korea DPR",S3069)),"North Korea",
ISNUMBER(SEARCH("China PR",S3069)),"China",
ISNUMBER(SEARCH("IR Iran",S3069)),"Iran",
ISNUMBER(SEARCH("Congo DR",S3069)),"Democratic Republic of the Congo",
ISNUMBER(SEARCH("DR Congo",S3069)),"Democratic Republic of the Congo",
ISNUMBER(SEARCH("German DR",S3069)),"DR Germany",
ISNUMBER(SEARCH("rn""&gt;United Arab Emirates",S3069)),"United Arab Emirates",
ISNUMBER(SEARCH("rn""&gt;Republic of Ireland",S3069)),"Ireland",
ISNUMBER(SEARCH("rn""&gt;Bosnia and Herzegovina",S3069)),"Bosnia and Herzegovina",
ISNUMBER(SEARCH("rn""&gt;Trinidad and Tobago",S3069)),"Trinidad and Tobago",
ISNUMBER(SEARCH("rn""&gt;Serbia and Montenegro",S3069)),"Serbia and Montenegro",
ISNUMBER(SEARCH(_xlfn.UNICHAR(65533),S3069)),"Côte d'Ivoire",
TRUE,""
)</f>
        <v/>
      </c>
      <c r="W3069" s="40" t="str">
        <f t="shared" si="216"/>
        <v>Brazil</v>
      </c>
    </row>
    <row r="3070" spans="19:23">
      <c r="S3070" s="40" t="str">
        <v>Spain</v>
      </c>
      <c r="T3070" s="40" t="str">
        <f t="shared" si="214"/>
        <v>OK</v>
      </c>
      <c r="U3070" s="40" t="str">
        <f t="shared" si="215"/>
        <v>-</v>
      </c>
      <c r="V3070" s="40" t="str" cm="1">
        <f t="array" ref="V3070">_xlfn.IFS(
ISNUMBER(SEARCH("USA",S3070)),"United States",
ISNUMBER(SEARCH("Republic of Ireland",S3070)),"Ireland",
ISNUMBER(SEARCH("Republic of Korea",S3070)),"South Korea",
ISNUMBER(SEARCH("Cape Verde",S3070)),"Cabo Verde",
ISNUMBER(SEARCH("Czechia",S3070)),"Czech Republic",
ISNUMBER(SEARCH("Türkiye",S3070)),"Turkey",
ISNUMBER(SEARCH("Ivory Coast",S3070)),"Côte d'Ivoire",
ISNUMBER(SEARCH("Korea Republic",S3070)),"South Korea",
ISNUMBER(SEARCH("Germany FR",S3070)),"FR Germany",
ISNUMBER(SEARCH("West Germany",S3070)),"FR Germany",
ISNUMBER(SEARCH("Germany DR",S3070)),"DR Germany",
ISNUMBER(SEARCH("Korea DPR",S3070)),"North Korea",
ISNUMBER(SEARCH("China PR",S3070)),"China",
ISNUMBER(SEARCH("IR Iran",S3070)),"Iran",
ISNUMBER(SEARCH("Congo DR",S3070)),"Democratic Republic of the Congo",
ISNUMBER(SEARCH("DR Congo",S3070)),"Democratic Republic of the Congo",
ISNUMBER(SEARCH("German DR",S3070)),"DR Germany",
ISNUMBER(SEARCH("rn""&gt;United Arab Emirates",S3070)),"United Arab Emirates",
ISNUMBER(SEARCH("rn""&gt;Republic of Ireland",S3070)),"Ireland",
ISNUMBER(SEARCH("rn""&gt;Bosnia and Herzegovina",S3070)),"Bosnia and Herzegovina",
ISNUMBER(SEARCH("rn""&gt;Trinidad and Tobago",S3070)),"Trinidad and Tobago",
ISNUMBER(SEARCH("rn""&gt;Serbia and Montenegro",S3070)),"Serbia and Montenegro",
ISNUMBER(SEARCH(_xlfn.UNICHAR(65533),S3070)),"Côte d'Ivoire",
TRUE,""
)</f>
        <v/>
      </c>
      <c r="W3070" s="40" t="str">
        <f t="shared" si="216"/>
        <v>Spain</v>
      </c>
    </row>
    <row r="3071" spans="19:23">
      <c r="S3071" s="40" t="str">
        <v>Germany</v>
      </c>
      <c r="T3071" s="40" t="str">
        <f t="shared" si="214"/>
        <v>OK</v>
      </c>
      <c r="U3071" s="40" t="str">
        <f t="shared" si="215"/>
        <v>-</v>
      </c>
      <c r="V3071" s="40" t="str" cm="1">
        <f t="array" ref="V3071">_xlfn.IFS(
ISNUMBER(SEARCH("USA",S3071)),"United States",
ISNUMBER(SEARCH("Republic of Ireland",S3071)),"Ireland",
ISNUMBER(SEARCH("Republic of Korea",S3071)),"South Korea",
ISNUMBER(SEARCH("Cape Verde",S3071)),"Cabo Verde",
ISNUMBER(SEARCH("Czechia",S3071)),"Czech Republic",
ISNUMBER(SEARCH("Türkiye",S3071)),"Turkey",
ISNUMBER(SEARCH("Ivory Coast",S3071)),"Côte d'Ivoire",
ISNUMBER(SEARCH("Korea Republic",S3071)),"South Korea",
ISNUMBER(SEARCH("Germany FR",S3071)),"FR Germany",
ISNUMBER(SEARCH("West Germany",S3071)),"FR Germany",
ISNUMBER(SEARCH("Germany DR",S3071)),"DR Germany",
ISNUMBER(SEARCH("Korea DPR",S3071)),"North Korea",
ISNUMBER(SEARCH("China PR",S3071)),"China",
ISNUMBER(SEARCH("IR Iran",S3071)),"Iran",
ISNUMBER(SEARCH("Congo DR",S3071)),"Democratic Republic of the Congo",
ISNUMBER(SEARCH("DR Congo",S3071)),"Democratic Republic of the Congo",
ISNUMBER(SEARCH("German DR",S3071)),"DR Germany",
ISNUMBER(SEARCH("rn""&gt;United Arab Emirates",S3071)),"United Arab Emirates",
ISNUMBER(SEARCH("rn""&gt;Republic of Ireland",S3071)),"Ireland",
ISNUMBER(SEARCH("rn""&gt;Bosnia and Herzegovina",S3071)),"Bosnia and Herzegovina",
ISNUMBER(SEARCH("rn""&gt;Trinidad and Tobago",S3071)),"Trinidad and Tobago",
ISNUMBER(SEARCH("rn""&gt;Serbia and Montenegro",S3071)),"Serbia and Montenegro",
ISNUMBER(SEARCH(_xlfn.UNICHAR(65533),S3071)),"Côte d'Ivoire",
TRUE,""
)</f>
        <v/>
      </c>
      <c r="W3071" s="40" t="str">
        <f t="shared" si="216"/>
        <v>Germany</v>
      </c>
    </row>
    <row r="3072" spans="19:23">
      <c r="S3072" s="40" t="str">
        <v>Italy</v>
      </c>
      <c r="T3072" s="40" t="str">
        <f t="shared" si="214"/>
        <v>OK</v>
      </c>
      <c r="U3072" s="40" t="str">
        <f t="shared" si="215"/>
        <v>-</v>
      </c>
      <c r="V3072" s="40" t="str" cm="1">
        <f t="array" ref="V3072">_xlfn.IFS(
ISNUMBER(SEARCH("USA",S3072)),"United States",
ISNUMBER(SEARCH("Republic of Ireland",S3072)),"Ireland",
ISNUMBER(SEARCH("Republic of Korea",S3072)),"South Korea",
ISNUMBER(SEARCH("Cape Verde",S3072)),"Cabo Verde",
ISNUMBER(SEARCH("Czechia",S3072)),"Czech Republic",
ISNUMBER(SEARCH("Türkiye",S3072)),"Turkey",
ISNUMBER(SEARCH("Ivory Coast",S3072)),"Côte d'Ivoire",
ISNUMBER(SEARCH("Korea Republic",S3072)),"South Korea",
ISNUMBER(SEARCH("Germany FR",S3072)),"FR Germany",
ISNUMBER(SEARCH("West Germany",S3072)),"FR Germany",
ISNUMBER(SEARCH("Germany DR",S3072)),"DR Germany",
ISNUMBER(SEARCH("Korea DPR",S3072)),"North Korea",
ISNUMBER(SEARCH("China PR",S3072)),"China",
ISNUMBER(SEARCH("IR Iran",S3072)),"Iran",
ISNUMBER(SEARCH("Congo DR",S3072)),"Democratic Republic of the Congo",
ISNUMBER(SEARCH("DR Congo",S3072)),"Democratic Republic of the Congo",
ISNUMBER(SEARCH("German DR",S3072)),"DR Germany",
ISNUMBER(SEARCH("rn""&gt;United Arab Emirates",S3072)),"United Arab Emirates",
ISNUMBER(SEARCH("rn""&gt;Republic of Ireland",S3072)),"Ireland",
ISNUMBER(SEARCH("rn""&gt;Bosnia and Herzegovina",S3072)),"Bosnia and Herzegovina",
ISNUMBER(SEARCH("rn""&gt;Trinidad and Tobago",S3072)),"Trinidad and Tobago",
ISNUMBER(SEARCH("rn""&gt;Serbia and Montenegro",S3072)),"Serbia and Montenegro",
ISNUMBER(SEARCH(_xlfn.UNICHAR(65533),S3072)),"Côte d'Ivoire",
TRUE,""
)</f>
        <v/>
      </c>
      <c r="W3072" s="40" t="str">
        <f t="shared" si="216"/>
        <v>Italy</v>
      </c>
    </row>
    <row r="3073" spans="19:23">
      <c r="S3073" s="40" t="str">
        <v>England</v>
      </c>
      <c r="T3073" s="40" t="str">
        <f t="shared" si="214"/>
        <v>ERREUR</v>
      </c>
      <c r="U3073" s="40" t="str">
        <f t="shared" si="215"/>
        <v>AUCUNE</v>
      </c>
      <c r="V3073" s="40" t="str" cm="1">
        <f t="array" ref="V3073">_xlfn.IFS(
ISNUMBER(SEARCH("USA",S3073)),"United States",
ISNUMBER(SEARCH("Republic of Ireland",S3073)),"Ireland",
ISNUMBER(SEARCH("Republic of Korea",S3073)),"South Korea",
ISNUMBER(SEARCH("Cape Verde",S3073)),"Cabo Verde",
ISNUMBER(SEARCH("Czechia",S3073)),"Czech Republic",
ISNUMBER(SEARCH("Türkiye",S3073)),"Turkey",
ISNUMBER(SEARCH("Ivory Coast",S3073)),"Côte d'Ivoire",
ISNUMBER(SEARCH("Korea Republic",S3073)),"South Korea",
ISNUMBER(SEARCH("Germany FR",S3073)),"FR Germany",
ISNUMBER(SEARCH("West Germany",S3073)),"FR Germany",
ISNUMBER(SEARCH("Germany DR",S3073)),"DR Germany",
ISNUMBER(SEARCH("Korea DPR",S3073)),"North Korea",
ISNUMBER(SEARCH("China PR",S3073)),"China",
ISNUMBER(SEARCH("IR Iran",S3073)),"Iran",
ISNUMBER(SEARCH("Congo DR",S3073)),"Democratic Republic of the Congo",
ISNUMBER(SEARCH("DR Congo",S3073)),"Democratic Republic of the Congo",
ISNUMBER(SEARCH("German DR",S3073)),"DR Germany",
ISNUMBER(SEARCH("rn""&gt;United Arab Emirates",S3073)),"United Arab Emirates",
ISNUMBER(SEARCH("rn""&gt;Republic of Ireland",S3073)),"Ireland",
ISNUMBER(SEARCH("rn""&gt;Bosnia and Herzegovina",S3073)),"Bosnia and Herzegovina",
ISNUMBER(SEARCH("rn""&gt;Trinidad and Tobago",S3073)),"Trinidad and Tobago",
ISNUMBER(SEARCH("rn""&gt;Serbia and Montenegro",S3073)),"Serbia and Montenegro",
ISNUMBER(SEARCH(_xlfn.UNICHAR(65533),S3073)),"Côte d'Ivoire",
TRUE,""
)</f>
        <v/>
      </c>
      <c r="W3073" s="40" t="str">
        <f t="shared" si="216"/>
        <v>England</v>
      </c>
    </row>
    <row r="3074" spans="19:23">
      <c r="S3074" s="40" t="str">
        <v>Brazil</v>
      </c>
      <c r="T3074" s="40" t="str">
        <f t="shared" si="214"/>
        <v>OK</v>
      </c>
      <c r="U3074" s="40" t="str">
        <f t="shared" si="215"/>
        <v>-</v>
      </c>
      <c r="V3074" s="40" t="str" cm="1">
        <f t="array" ref="V3074">_xlfn.IFS(
ISNUMBER(SEARCH("USA",S3074)),"United States",
ISNUMBER(SEARCH("Republic of Ireland",S3074)),"Ireland",
ISNUMBER(SEARCH("Republic of Korea",S3074)),"South Korea",
ISNUMBER(SEARCH("Cape Verde",S3074)),"Cabo Verde",
ISNUMBER(SEARCH("Czechia",S3074)),"Czech Republic",
ISNUMBER(SEARCH("Türkiye",S3074)),"Turkey",
ISNUMBER(SEARCH("Ivory Coast",S3074)),"Côte d'Ivoire",
ISNUMBER(SEARCH("Korea Republic",S3074)),"South Korea",
ISNUMBER(SEARCH("Germany FR",S3074)),"FR Germany",
ISNUMBER(SEARCH("West Germany",S3074)),"FR Germany",
ISNUMBER(SEARCH("Germany DR",S3074)),"DR Germany",
ISNUMBER(SEARCH("Korea DPR",S3074)),"North Korea",
ISNUMBER(SEARCH("China PR",S3074)),"China",
ISNUMBER(SEARCH("IR Iran",S3074)),"Iran",
ISNUMBER(SEARCH("Congo DR",S3074)),"Democratic Republic of the Congo",
ISNUMBER(SEARCH("DR Congo",S3074)),"Democratic Republic of the Congo",
ISNUMBER(SEARCH("German DR",S3074)),"DR Germany",
ISNUMBER(SEARCH("rn""&gt;United Arab Emirates",S3074)),"United Arab Emirates",
ISNUMBER(SEARCH("rn""&gt;Republic of Ireland",S3074)),"Ireland",
ISNUMBER(SEARCH("rn""&gt;Bosnia and Herzegovina",S3074)),"Bosnia and Herzegovina",
ISNUMBER(SEARCH("rn""&gt;Trinidad and Tobago",S3074)),"Trinidad and Tobago",
ISNUMBER(SEARCH("rn""&gt;Serbia and Montenegro",S3074)),"Serbia and Montenegro",
ISNUMBER(SEARCH(_xlfn.UNICHAR(65533),S3074)),"Côte d'Ivoire",
TRUE,""
)</f>
        <v/>
      </c>
      <c r="W3074" s="40" t="str">
        <f t="shared" si="216"/>
        <v>Brazil</v>
      </c>
    </row>
    <row r="3075" spans="19:23">
      <c r="S3075" s="40" t="str">
        <v>Germany</v>
      </c>
      <c r="T3075" s="40" t="str">
        <f t="shared" ref="T3075:T3138" si="217">IF(COUNTIF(R$13:R$250,S3075)=1,"OK","ERREUR")</f>
        <v>OK</v>
      </c>
      <c r="U3075" s="40" t="str">
        <f t="shared" si="215"/>
        <v>-</v>
      </c>
      <c r="V3075" s="40" t="str" cm="1">
        <f t="array" ref="V3075">_xlfn.IFS(
ISNUMBER(SEARCH("USA",S3075)),"United States",
ISNUMBER(SEARCH("Republic of Ireland",S3075)),"Ireland",
ISNUMBER(SEARCH("Republic of Korea",S3075)),"South Korea",
ISNUMBER(SEARCH("Cape Verde",S3075)),"Cabo Verde",
ISNUMBER(SEARCH("Czechia",S3075)),"Czech Republic",
ISNUMBER(SEARCH("Türkiye",S3075)),"Turkey",
ISNUMBER(SEARCH("Ivory Coast",S3075)),"Côte d'Ivoire",
ISNUMBER(SEARCH("Korea Republic",S3075)),"South Korea",
ISNUMBER(SEARCH("Germany FR",S3075)),"FR Germany",
ISNUMBER(SEARCH("West Germany",S3075)),"FR Germany",
ISNUMBER(SEARCH("Germany DR",S3075)),"DR Germany",
ISNUMBER(SEARCH("Korea DPR",S3075)),"North Korea",
ISNUMBER(SEARCH("China PR",S3075)),"China",
ISNUMBER(SEARCH("IR Iran",S3075)),"Iran",
ISNUMBER(SEARCH("Congo DR",S3075)),"Democratic Republic of the Congo",
ISNUMBER(SEARCH("DR Congo",S3075)),"Democratic Republic of the Congo",
ISNUMBER(SEARCH("German DR",S3075)),"DR Germany",
ISNUMBER(SEARCH("rn""&gt;United Arab Emirates",S3075)),"United Arab Emirates",
ISNUMBER(SEARCH("rn""&gt;Republic of Ireland",S3075)),"Ireland",
ISNUMBER(SEARCH("rn""&gt;Bosnia and Herzegovina",S3075)),"Bosnia and Herzegovina",
ISNUMBER(SEARCH("rn""&gt;Trinidad and Tobago",S3075)),"Trinidad and Tobago",
ISNUMBER(SEARCH("rn""&gt;Serbia and Montenegro",S3075)),"Serbia and Montenegro",
ISNUMBER(SEARCH(_xlfn.UNICHAR(65533),S3075)),"Côte d'Ivoire",
TRUE,""
)</f>
        <v/>
      </c>
      <c r="W3075" s="40" t="str">
        <f t="shared" si="216"/>
        <v>Germany</v>
      </c>
    </row>
    <row r="3076" spans="19:23">
      <c r="S3076" s="40" t="str">
        <v>Portugal</v>
      </c>
      <c r="T3076" s="40" t="str">
        <f t="shared" si="217"/>
        <v>OK</v>
      </c>
      <c r="U3076" s="40" t="str">
        <f t="shared" ref="U3076:U3139" si="218">IF(OR(S3076="Scotland",S3076="England",S3076="Wales",S3076="Yugoslavia",S3076="Czechoslovakia",S3076="Northern Ireland",S3076="Soviet Union",S3076="Zaire",S3076="Dutch East Indies"),"AUCUNE",IF(OR(S3076="Cape Verde",S3076="USA",S3076="DR Congo",S3076="Republic of Korea",S3076="Germany FR",S3076="Germany DR",S3076="Czechia",S3076="Ivory Coast",S3076="Korea DPR",S3076="China PR",S3076="IR Iran",S3076="Türkiye",S3076="Congo DR",S3076="German DR",S3076="West Germany",S3076="Republic of Ireland",ISNUMBER(SEARCH(_xlfn.UNICHAR(65533),S3076)),S3076="Korea Republic",ISNUMBER(SEARCH("rn""&gt;United Arab Emirates",S3076)),ISNUMBER(SEARCH("rn""&gt;Republic of Ireland",S3076)),ISNUMBER(SEARCH("rn""&gt;Bosnia and Herzegovina",S3076)),ISNUMBER(SEARCH("rn""&gt;Trinidad and Tobago",S3076)),ISNUMBER(SEARCH("rn""&gt;Serbia and Montenegro",S3076)),ISNUMBER(SEARCH(_xlfn.UNICHAR(65533),S3076))),"RENOMMER","-"))</f>
        <v>-</v>
      </c>
      <c r="V3076" s="40" t="str" cm="1">
        <f t="array" ref="V3076">_xlfn.IFS(
ISNUMBER(SEARCH("USA",S3076)),"United States",
ISNUMBER(SEARCH("Republic of Ireland",S3076)),"Ireland",
ISNUMBER(SEARCH("Republic of Korea",S3076)),"South Korea",
ISNUMBER(SEARCH("Cape Verde",S3076)),"Cabo Verde",
ISNUMBER(SEARCH("Czechia",S3076)),"Czech Republic",
ISNUMBER(SEARCH("Türkiye",S3076)),"Turkey",
ISNUMBER(SEARCH("Ivory Coast",S3076)),"Côte d'Ivoire",
ISNUMBER(SEARCH("Korea Republic",S3076)),"South Korea",
ISNUMBER(SEARCH("Germany FR",S3076)),"FR Germany",
ISNUMBER(SEARCH("West Germany",S3076)),"FR Germany",
ISNUMBER(SEARCH("Germany DR",S3076)),"DR Germany",
ISNUMBER(SEARCH("Korea DPR",S3076)),"North Korea",
ISNUMBER(SEARCH("China PR",S3076)),"China",
ISNUMBER(SEARCH("IR Iran",S3076)),"Iran",
ISNUMBER(SEARCH("Congo DR",S3076)),"Democratic Republic of the Congo",
ISNUMBER(SEARCH("DR Congo",S3076)),"Democratic Republic of the Congo",
ISNUMBER(SEARCH("German DR",S3076)),"DR Germany",
ISNUMBER(SEARCH("rn""&gt;United Arab Emirates",S3076)),"United Arab Emirates",
ISNUMBER(SEARCH("rn""&gt;Republic of Ireland",S3076)),"Ireland",
ISNUMBER(SEARCH("rn""&gt;Bosnia and Herzegovina",S3076)),"Bosnia and Herzegovina",
ISNUMBER(SEARCH("rn""&gt;Trinidad and Tobago",S3076)),"Trinidad and Tobago",
ISNUMBER(SEARCH("rn""&gt;Serbia and Montenegro",S3076)),"Serbia and Montenegro",
ISNUMBER(SEARCH(_xlfn.UNICHAR(65533),S3076)),"Côte d'Ivoire",
TRUE,""
)</f>
        <v/>
      </c>
      <c r="W3076" s="40" t="str">
        <f t="shared" ref="W3076:W3139" si="219">IF(V3076="",S3076,V3076)</f>
        <v>Portugal</v>
      </c>
    </row>
    <row r="3077" spans="19:23">
      <c r="S3077" s="40" t="str">
        <v>Germany</v>
      </c>
      <c r="T3077" s="40" t="str">
        <f t="shared" si="217"/>
        <v>OK</v>
      </c>
      <c r="U3077" s="40" t="str">
        <f t="shared" si="218"/>
        <v>-</v>
      </c>
      <c r="V3077" s="40" t="str" cm="1">
        <f t="array" ref="V3077">_xlfn.IFS(
ISNUMBER(SEARCH("USA",S3077)),"United States",
ISNUMBER(SEARCH("Republic of Ireland",S3077)),"Ireland",
ISNUMBER(SEARCH("Republic of Korea",S3077)),"South Korea",
ISNUMBER(SEARCH("Cape Verde",S3077)),"Cabo Verde",
ISNUMBER(SEARCH("Czechia",S3077)),"Czech Republic",
ISNUMBER(SEARCH("Türkiye",S3077)),"Turkey",
ISNUMBER(SEARCH("Ivory Coast",S3077)),"Côte d'Ivoire",
ISNUMBER(SEARCH("Korea Republic",S3077)),"South Korea",
ISNUMBER(SEARCH("Germany FR",S3077)),"FR Germany",
ISNUMBER(SEARCH("West Germany",S3077)),"FR Germany",
ISNUMBER(SEARCH("Germany DR",S3077)),"DR Germany",
ISNUMBER(SEARCH("Korea DPR",S3077)),"North Korea",
ISNUMBER(SEARCH("China PR",S3077)),"China",
ISNUMBER(SEARCH("IR Iran",S3077)),"Iran",
ISNUMBER(SEARCH("Congo DR",S3077)),"Democratic Republic of the Congo",
ISNUMBER(SEARCH("DR Congo",S3077)),"Democratic Republic of the Congo",
ISNUMBER(SEARCH("German DR",S3077)),"DR Germany",
ISNUMBER(SEARCH("rn""&gt;United Arab Emirates",S3077)),"United Arab Emirates",
ISNUMBER(SEARCH("rn""&gt;Republic of Ireland",S3077)),"Ireland",
ISNUMBER(SEARCH("rn""&gt;Bosnia and Herzegovina",S3077)),"Bosnia and Herzegovina",
ISNUMBER(SEARCH("rn""&gt;Trinidad and Tobago",S3077)),"Trinidad and Tobago",
ISNUMBER(SEARCH("rn""&gt;Serbia and Montenegro",S3077)),"Serbia and Montenegro",
ISNUMBER(SEARCH(_xlfn.UNICHAR(65533),S3077)),"Côte d'Ivoire",
TRUE,""
)</f>
        <v/>
      </c>
      <c r="W3077" s="40" t="str">
        <f t="shared" si="219"/>
        <v>Germany</v>
      </c>
    </row>
    <row r="3078" spans="19:23">
      <c r="S3078" s="40" t="str">
        <v>Italy</v>
      </c>
      <c r="T3078" s="40" t="str">
        <f t="shared" si="217"/>
        <v>OK</v>
      </c>
      <c r="U3078" s="40" t="str">
        <f t="shared" si="218"/>
        <v>-</v>
      </c>
      <c r="V3078" s="40" t="str" cm="1">
        <f t="array" ref="V3078">_xlfn.IFS(
ISNUMBER(SEARCH("USA",S3078)),"United States",
ISNUMBER(SEARCH("Republic of Ireland",S3078)),"Ireland",
ISNUMBER(SEARCH("Republic of Korea",S3078)),"South Korea",
ISNUMBER(SEARCH("Cape Verde",S3078)),"Cabo Verde",
ISNUMBER(SEARCH("Czechia",S3078)),"Czech Republic",
ISNUMBER(SEARCH("Türkiye",S3078)),"Turkey",
ISNUMBER(SEARCH("Ivory Coast",S3078)),"Côte d'Ivoire",
ISNUMBER(SEARCH("Korea Republic",S3078)),"South Korea",
ISNUMBER(SEARCH("Germany FR",S3078)),"FR Germany",
ISNUMBER(SEARCH("West Germany",S3078)),"FR Germany",
ISNUMBER(SEARCH("Germany DR",S3078)),"DR Germany",
ISNUMBER(SEARCH("Korea DPR",S3078)),"North Korea",
ISNUMBER(SEARCH("China PR",S3078)),"China",
ISNUMBER(SEARCH("IR Iran",S3078)),"Iran",
ISNUMBER(SEARCH("Congo DR",S3078)),"Democratic Republic of the Congo",
ISNUMBER(SEARCH("DR Congo",S3078)),"Democratic Republic of the Congo",
ISNUMBER(SEARCH("German DR",S3078)),"DR Germany",
ISNUMBER(SEARCH("rn""&gt;United Arab Emirates",S3078)),"United Arab Emirates",
ISNUMBER(SEARCH("rn""&gt;Republic of Ireland",S3078)),"Ireland",
ISNUMBER(SEARCH("rn""&gt;Bosnia and Herzegovina",S3078)),"Bosnia and Herzegovina",
ISNUMBER(SEARCH("rn""&gt;Trinidad and Tobago",S3078)),"Trinidad and Tobago",
ISNUMBER(SEARCH("rn""&gt;Serbia and Montenegro",S3078)),"Serbia and Montenegro",
ISNUMBER(SEARCH(_xlfn.UNICHAR(65533),S3078)),"Côte d'Ivoire",
TRUE,""
)</f>
        <v/>
      </c>
      <c r="W3078" s="40" t="str">
        <f t="shared" si="219"/>
        <v>Italy</v>
      </c>
    </row>
    <row r="3079" spans="19:23">
      <c r="S3079" s="40" t="str">
        <v>South Africa</v>
      </c>
      <c r="T3079" s="40" t="str">
        <f t="shared" si="217"/>
        <v>OK</v>
      </c>
      <c r="U3079" s="40" t="str">
        <f t="shared" si="218"/>
        <v>-</v>
      </c>
      <c r="V3079" s="40" t="str" cm="1">
        <f t="array" ref="V3079">_xlfn.IFS(
ISNUMBER(SEARCH("USA",S3079)),"United States",
ISNUMBER(SEARCH("Republic of Ireland",S3079)),"Ireland",
ISNUMBER(SEARCH("Republic of Korea",S3079)),"South Korea",
ISNUMBER(SEARCH("Cape Verde",S3079)),"Cabo Verde",
ISNUMBER(SEARCH("Czechia",S3079)),"Czech Republic",
ISNUMBER(SEARCH("Türkiye",S3079)),"Turkey",
ISNUMBER(SEARCH("Ivory Coast",S3079)),"Côte d'Ivoire",
ISNUMBER(SEARCH("Korea Republic",S3079)),"South Korea",
ISNUMBER(SEARCH("Germany FR",S3079)),"FR Germany",
ISNUMBER(SEARCH("West Germany",S3079)),"FR Germany",
ISNUMBER(SEARCH("Germany DR",S3079)),"DR Germany",
ISNUMBER(SEARCH("Korea DPR",S3079)),"North Korea",
ISNUMBER(SEARCH("China PR",S3079)),"China",
ISNUMBER(SEARCH("IR Iran",S3079)),"Iran",
ISNUMBER(SEARCH("Congo DR",S3079)),"Democratic Republic of the Congo",
ISNUMBER(SEARCH("DR Congo",S3079)),"Democratic Republic of the Congo",
ISNUMBER(SEARCH("German DR",S3079)),"DR Germany",
ISNUMBER(SEARCH("rn""&gt;United Arab Emirates",S3079)),"United Arab Emirates",
ISNUMBER(SEARCH("rn""&gt;Republic of Ireland",S3079)),"Ireland",
ISNUMBER(SEARCH("rn""&gt;Bosnia and Herzegovina",S3079)),"Bosnia and Herzegovina",
ISNUMBER(SEARCH("rn""&gt;Trinidad and Tobago",S3079)),"Trinidad and Tobago",
ISNUMBER(SEARCH("rn""&gt;Serbia and Montenegro",S3079)),"Serbia and Montenegro",
ISNUMBER(SEARCH(_xlfn.UNICHAR(65533),S3079)),"Côte d'Ivoire",
TRUE,""
)</f>
        <v/>
      </c>
      <c r="W3079" s="40" t="str">
        <f t="shared" si="219"/>
        <v>South Africa</v>
      </c>
    </row>
    <row r="3080" spans="19:23">
      <c r="S3080" s="40" t="str">
        <v>Uruguay</v>
      </c>
      <c r="T3080" s="40" t="str">
        <f t="shared" si="217"/>
        <v>OK</v>
      </c>
      <c r="U3080" s="40" t="str">
        <f t="shared" si="218"/>
        <v>-</v>
      </c>
      <c r="V3080" s="40" t="str" cm="1">
        <f t="array" ref="V3080">_xlfn.IFS(
ISNUMBER(SEARCH("USA",S3080)),"United States",
ISNUMBER(SEARCH("Republic of Ireland",S3080)),"Ireland",
ISNUMBER(SEARCH("Republic of Korea",S3080)),"South Korea",
ISNUMBER(SEARCH("Cape Verde",S3080)),"Cabo Verde",
ISNUMBER(SEARCH("Czechia",S3080)),"Czech Republic",
ISNUMBER(SEARCH("Türkiye",S3080)),"Turkey",
ISNUMBER(SEARCH("Ivory Coast",S3080)),"Côte d'Ivoire",
ISNUMBER(SEARCH("Korea Republic",S3080)),"South Korea",
ISNUMBER(SEARCH("Germany FR",S3080)),"FR Germany",
ISNUMBER(SEARCH("West Germany",S3080)),"FR Germany",
ISNUMBER(SEARCH("Germany DR",S3080)),"DR Germany",
ISNUMBER(SEARCH("Korea DPR",S3080)),"North Korea",
ISNUMBER(SEARCH("China PR",S3080)),"China",
ISNUMBER(SEARCH("IR Iran",S3080)),"Iran",
ISNUMBER(SEARCH("Congo DR",S3080)),"Democratic Republic of the Congo",
ISNUMBER(SEARCH("DR Congo",S3080)),"Democratic Republic of the Congo",
ISNUMBER(SEARCH("German DR",S3080)),"DR Germany",
ISNUMBER(SEARCH("rn""&gt;United Arab Emirates",S3080)),"United Arab Emirates",
ISNUMBER(SEARCH("rn""&gt;Republic of Ireland",S3080)),"Ireland",
ISNUMBER(SEARCH("rn""&gt;Bosnia and Herzegovina",S3080)),"Bosnia and Herzegovina",
ISNUMBER(SEARCH("rn""&gt;Trinidad and Tobago",S3080)),"Trinidad and Tobago",
ISNUMBER(SEARCH("rn""&gt;Serbia and Montenegro",S3080)),"Serbia and Montenegro",
ISNUMBER(SEARCH(_xlfn.UNICHAR(65533),S3080)),"Côte d'Ivoire",
TRUE,""
)</f>
        <v/>
      </c>
      <c r="W3080" s="40" t="str">
        <f t="shared" si="219"/>
        <v>Uruguay</v>
      </c>
    </row>
    <row r="3081" spans="19:23">
      <c r="S3081" s="40" t="str">
        <v>Korea Republic</v>
      </c>
      <c r="T3081" s="40" t="str">
        <f t="shared" si="217"/>
        <v>ERREUR</v>
      </c>
      <c r="U3081" s="40" t="str">
        <f t="shared" si="218"/>
        <v>RENOMMER</v>
      </c>
      <c r="V3081" s="40" t="str" cm="1">
        <f t="array" ref="V3081">_xlfn.IFS(
ISNUMBER(SEARCH("USA",S3081)),"United States",
ISNUMBER(SEARCH("Republic of Ireland",S3081)),"Ireland",
ISNUMBER(SEARCH("Republic of Korea",S3081)),"South Korea",
ISNUMBER(SEARCH("Cape Verde",S3081)),"Cabo Verde",
ISNUMBER(SEARCH("Czechia",S3081)),"Czech Republic",
ISNUMBER(SEARCH("Türkiye",S3081)),"Turkey",
ISNUMBER(SEARCH("Ivory Coast",S3081)),"Côte d'Ivoire",
ISNUMBER(SEARCH("Korea Republic",S3081)),"South Korea",
ISNUMBER(SEARCH("Germany FR",S3081)),"FR Germany",
ISNUMBER(SEARCH("West Germany",S3081)),"FR Germany",
ISNUMBER(SEARCH("Germany DR",S3081)),"DR Germany",
ISNUMBER(SEARCH("Korea DPR",S3081)),"North Korea",
ISNUMBER(SEARCH("China PR",S3081)),"China",
ISNUMBER(SEARCH("IR Iran",S3081)),"Iran",
ISNUMBER(SEARCH("Congo DR",S3081)),"Democratic Republic of the Congo",
ISNUMBER(SEARCH("DR Congo",S3081)),"Democratic Republic of the Congo",
ISNUMBER(SEARCH("German DR",S3081)),"DR Germany",
ISNUMBER(SEARCH("rn""&gt;United Arab Emirates",S3081)),"United Arab Emirates",
ISNUMBER(SEARCH("rn""&gt;Republic of Ireland",S3081)),"Ireland",
ISNUMBER(SEARCH("rn""&gt;Bosnia and Herzegovina",S3081)),"Bosnia and Herzegovina",
ISNUMBER(SEARCH("rn""&gt;Trinidad and Tobago",S3081)),"Trinidad and Tobago",
ISNUMBER(SEARCH("rn""&gt;Serbia and Montenegro",S3081)),"Serbia and Montenegro",
ISNUMBER(SEARCH(_xlfn.UNICHAR(65533),S3081)),"Côte d'Ivoire",
TRUE,""
)</f>
        <v>South Korea</v>
      </c>
      <c r="W3081" s="40" t="str">
        <f t="shared" si="219"/>
        <v>South Korea</v>
      </c>
    </row>
    <row r="3082" spans="19:23">
      <c r="S3082" s="40" t="str">
        <v>Argentina</v>
      </c>
      <c r="T3082" s="40" t="str">
        <f t="shared" si="217"/>
        <v>OK</v>
      </c>
      <c r="U3082" s="40" t="str">
        <f t="shared" si="218"/>
        <v>-</v>
      </c>
      <c r="V3082" s="40" t="str" cm="1">
        <f t="array" ref="V3082">_xlfn.IFS(
ISNUMBER(SEARCH("USA",S3082)),"United States",
ISNUMBER(SEARCH("Republic of Ireland",S3082)),"Ireland",
ISNUMBER(SEARCH("Republic of Korea",S3082)),"South Korea",
ISNUMBER(SEARCH("Cape Verde",S3082)),"Cabo Verde",
ISNUMBER(SEARCH("Czechia",S3082)),"Czech Republic",
ISNUMBER(SEARCH("Türkiye",S3082)),"Turkey",
ISNUMBER(SEARCH("Ivory Coast",S3082)),"Côte d'Ivoire",
ISNUMBER(SEARCH("Korea Republic",S3082)),"South Korea",
ISNUMBER(SEARCH("Germany FR",S3082)),"FR Germany",
ISNUMBER(SEARCH("West Germany",S3082)),"FR Germany",
ISNUMBER(SEARCH("Germany DR",S3082)),"DR Germany",
ISNUMBER(SEARCH("Korea DPR",S3082)),"North Korea",
ISNUMBER(SEARCH("China PR",S3082)),"China",
ISNUMBER(SEARCH("IR Iran",S3082)),"Iran",
ISNUMBER(SEARCH("Congo DR",S3082)),"Democratic Republic of the Congo",
ISNUMBER(SEARCH("DR Congo",S3082)),"Democratic Republic of the Congo",
ISNUMBER(SEARCH("German DR",S3082)),"DR Germany",
ISNUMBER(SEARCH("rn""&gt;United Arab Emirates",S3082)),"United Arab Emirates",
ISNUMBER(SEARCH("rn""&gt;Republic of Ireland",S3082)),"Ireland",
ISNUMBER(SEARCH("rn""&gt;Bosnia and Herzegovina",S3082)),"Bosnia and Herzegovina",
ISNUMBER(SEARCH("rn""&gt;Trinidad and Tobago",S3082)),"Trinidad and Tobago",
ISNUMBER(SEARCH("rn""&gt;Serbia and Montenegro",S3082)),"Serbia and Montenegro",
ISNUMBER(SEARCH(_xlfn.UNICHAR(65533),S3082)),"Côte d'Ivoire",
TRUE,""
)</f>
        <v/>
      </c>
      <c r="W3082" s="40" t="str">
        <f t="shared" si="219"/>
        <v>Argentina</v>
      </c>
    </row>
    <row r="3083" spans="19:23">
      <c r="S3083" s="40" t="str">
        <v>England</v>
      </c>
      <c r="T3083" s="40" t="str">
        <f t="shared" si="217"/>
        <v>ERREUR</v>
      </c>
      <c r="U3083" s="40" t="str">
        <f t="shared" si="218"/>
        <v>AUCUNE</v>
      </c>
      <c r="V3083" s="40" t="str" cm="1">
        <f t="array" ref="V3083">_xlfn.IFS(
ISNUMBER(SEARCH("USA",S3083)),"United States",
ISNUMBER(SEARCH("Republic of Ireland",S3083)),"Ireland",
ISNUMBER(SEARCH("Republic of Korea",S3083)),"South Korea",
ISNUMBER(SEARCH("Cape Verde",S3083)),"Cabo Verde",
ISNUMBER(SEARCH("Czechia",S3083)),"Czech Republic",
ISNUMBER(SEARCH("Türkiye",S3083)),"Turkey",
ISNUMBER(SEARCH("Ivory Coast",S3083)),"Côte d'Ivoire",
ISNUMBER(SEARCH("Korea Republic",S3083)),"South Korea",
ISNUMBER(SEARCH("Germany FR",S3083)),"FR Germany",
ISNUMBER(SEARCH("West Germany",S3083)),"FR Germany",
ISNUMBER(SEARCH("Germany DR",S3083)),"DR Germany",
ISNUMBER(SEARCH("Korea DPR",S3083)),"North Korea",
ISNUMBER(SEARCH("China PR",S3083)),"China",
ISNUMBER(SEARCH("IR Iran",S3083)),"Iran",
ISNUMBER(SEARCH("Congo DR",S3083)),"Democratic Republic of the Congo",
ISNUMBER(SEARCH("DR Congo",S3083)),"Democratic Republic of the Congo",
ISNUMBER(SEARCH("German DR",S3083)),"DR Germany",
ISNUMBER(SEARCH("rn""&gt;United Arab Emirates",S3083)),"United Arab Emirates",
ISNUMBER(SEARCH("rn""&gt;Republic of Ireland",S3083)),"Ireland",
ISNUMBER(SEARCH("rn""&gt;Bosnia and Herzegovina",S3083)),"Bosnia and Herzegovina",
ISNUMBER(SEARCH("rn""&gt;Trinidad and Tobago",S3083)),"Trinidad and Tobago",
ISNUMBER(SEARCH("rn""&gt;Serbia and Montenegro",S3083)),"Serbia and Montenegro",
ISNUMBER(SEARCH(_xlfn.UNICHAR(65533),S3083)),"Côte d'Ivoire",
TRUE,""
)</f>
        <v/>
      </c>
      <c r="W3083" s="40" t="str">
        <f t="shared" si="219"/>
        <v>England</v>
      </c>
    </row>
    <row r="3084" spans="19:23">
      <c r="S3084" s="40" t="str">
        <v>Algeria</v>
      </c>
      <c r="T3084" s="40" t="str">
        <f t="shared" si="217"/>
        <v>OK</v>
      </c>
      <c r="U3084" s="40" t="str">
        <f t="shared" si="218"/>
        <v>-</v>
      </c>
      <c r="V3084" s="40" t="str" cm="1">
        <f t="array" ref="V3084">_xlfn.IFS(
ISNUMBER(SEARCH("USA",S3084)),"United States",
ISNUMBER(SEARCH("Republic of Ireland",S3084)),"Ireland",
ISNUMBER(SEARCH("Republic of Korea",S3084)),"South Korea",
ISNUMBER(SEARCH("Cape Verde",S3084)),"Cabo Verde",
ISNUMBER(SEARCH("Czechia",S3084)),"Czech Republic",
ISNUMBER(SEARCH("Türkiye",S3084)),"Turkey",
ISNUMBER(SEARCH("Ivory Coast",S3084)),"Côte d'Ivoire",
ISNUMBER(SEARCH("Korea Republic",S3084)),"South Korea",
ISNUMBER(SEARCH("Germany FR",S3084)),"FR Germany",
ISNUMBER(SEARCH("West Germany",S3084)),"FR Germany",
ISNUMBER(SEARCH("Germany DR",S3084)),"DR Germany",
ISNUMBER(SEARCH("Korea DPR",S3084)),"North Korea",
ISNUMBER(SEARCH("China PR",S3084)),"China",
ISNUMBER(SEARCH("IR Iran",S3084)),"Iran",
ISNUMBER(SEARCH("Congo DR",S3084)),"Democratic Republic of the Congo",
ISNUMBER(SEARCH("DR Congo",S3084)),"Democratic Republic of the Congo",
ISNUMBER(SEARCH("German DR",S3084)),"DR Germany",
ISNUMBER(SEARCH("rn""&gt;United Arab Emirates",S3084)),"United Arab Emirates",
ISNUMBER(SEARCH("rn""&gt;Republic of Ireland",S3084)),"Ireland",
ISNUMBER(SEARCH("rn""&gt;Bosnia and Herzegovina",S3084)),"Bosnia and Herzegovina",
ISNUMBER(SEARCH("rn""&gt;Trinidad and Tobago",S3084)),"Trinidad and Tobago",
ISNUMBER(SEARCH("rn""&gt;Serbia and Montenegro",S3084)),"Serbia and Montenegro",
ISNUMBER(SEARCH(_xlfn.UNICHAR(65533),S3084)),"Côte d'Ivoire",
TRUE,""
)</f>
        <v/>
      </c>
      <c r="W3084" s="40" t="str">
        <f t="shared" si="219"/>
        <v>Algeria</v>
      </c>
    </row>
    <row r="3085" spans="19:23">
      <c r="S3085" s="40" t="str">
        <v>Serbia</v>
      </c>
      <c r="T3085" s="40" t="str">
        <f t="shared" si="217"/>
        <v>OK</v>
      </c>
      <c r="U3085" s="40" t="str">
        <f t="shared" si="218"/>
        <v>-</v>
      </c>
      <c r="V3085" s="40" t="str" cm="1">
        <f t="array" ref="V3085">_xlfn.IFS(
ISNUMBER(SEARCH("USA",S3085)),"United States",
ISNUMBER(SEARCH("Republic of Ireland",S3085)),"Ireland",
ISNUMBER(SEARCH("Republic of Korea",S3085)),"South Korea",
ISNUMBER(SEARCH("Cape Verde",S3085)),"Cabo Verde",
ISNUMBER(SEARCH("Czechia",S3085)),"Czech Republic",
ISNUMBER(SEARCH("Türkiye",S3085)),"Turkey",
ISNUMBER(SEARCH("Ivory Coast",S3085)),"Côte d'Ivoire",
ISNUMBER(SEARCH("Korea Republic",S3085)),"South Korea",
ISNUMBER(SEARCH("Germany FR",S3085)),"FR Germany",
ISNUMBER(SEARCH("West Germany",S3085)),"FR Germany",
ISNUMBER(SEARCH("Germany DR",S3085)),"DR Germany",
ISNUMBER(SEARCH("Korea DPR",S3085)),"North Korea",
ISNUMBER(SEARCH("China PR",S3085)),"China",
ISNUMBER(SEARCH("IR Iran",S3085)),"Iran",
ISNUMBER(SEARCH("Congo DR",S3085)),"Democratic Republic of the Congo",
ISNUMBER(SEARCH("DR Congo",S3085)),"Democratic Republic of the Congo",
ISNUMBER(SEARCH("German DR",S3085)),"DR Germany",
ISNUMBER(SEARCH("rn""&gt;United Arab Emirates",S3085)),"United Arab Emirates",
ISNUMBER(SEARCH("rn""&gt;Republic of Ireland",S3085)),"Ireland",
ISNUMBER(SEARCH("rn""&gt;Bosnia and Herzegovina",S3085)),"Bosnia and Herzegovina",
ISNUMBER(SEARCH("rn""&gt;Trinidad and Tobago",S3085)),"Trinidad and Tobago",
ISNUMBER(SEARCH("rn""&gt;Serbia and Montenegro",S3085)),"Serbia and Montenegro",
ISNUMBER(SEARCH(_xlfn.UNICHAR(65533),S3085)),"Côte d'Ivoire",
TRUE,""
)</f>
        <v/>
      </c>
      <c r="W3085" s="40" t="str">
        <f t="shared" si="219"/>
        <v>Serbia</v>
      </c>
    </row>
    <row r="3086" spans="19:23">
      <c r="S3086" s="40" t="str">
        <v>Germany</v>
      </c>
      <c r="T3086" s="40" t="str">
        <f t="shared" si="217"/>
        <v>OK</v>
      </c>
      <c r="U3086" s="40" t="str">
        <f t="shared" si="218"/>
        <v>-</v>
      </c>
      <c r="V3086" s="40" t="str" cm="1">
        <f t="array" ref="V3086">_xlfn.IFS(
ISNUMBER(SEARCH("USA",S3086)),"United States",
ISNUMBER(SEARCH("Republic of Ireland",S3086)),"Ireland",
ISNUMBER(SEARCH("Republic of Korea",S3086)),"South Korea",
ISNUMBER(SEARCH("Cape Verde",S3086)),"Cabo Verde",
ISNUMBER(SEARCH("Czechia",S3086)),"Czech Republic",
ISNUMBER(SEARCH("Türkiye",S3086)),"Turkey",
ISNUMBER(SEARCH("Ivory Coast",S3086)),"Côte d'Ivoire",
ISNUMBER(SEARCH("Korea Republic",S3086)),"South Korea",
ISNUMBER(SEARCH("Germany FR",S3086)),"FR Germany",
ISNUMBER(SEARCH("West Germany",S3086)),"FR Germany",
ISNUMBER(SEARCH("Germany DR",S3086)),"DR Germany",
ISNUMBER(SEARCH("Korea DPR",S3086)),"North Korea",
ISNUMBER(SEARCH("China PR",S3086)),"China",
ISNUMBER(SEARCH("IR Iran",S3086)),"Iran",
ISNUMBER(SEARCH("Congo DR",S3086)),"Democratic Republic of the Congo",
ISNUMBER(SEARCH("DR Congo",S3086)),"Democratic Republic of the Congo",
ISNUMBER(SEARCH("German DR",S3086)),"DR Germany",
ISNUMBER(SEARCH("rn""&gt;United Arab Emirates",S3086)),"United Arab Emirates",
ISNUMBER(SEARCH("rn""&gt;Republic of Ireland",S3086)),"Ireland",
ISNUMBER(SEARCH("rn""&gt;Bosnia and Herzegovina",S3086)),"Bosnia and Herzegovina",
ISNUMBER(SEARCH("rn""&gt;Trinidad and Tobago",S3086)),"Trinidad and Tobago",
ISNUMBER(SEARCH("rn""&gt;Serbia and Montenegro",S3086)),"Serbia and Montenegro",
ISNUMBER(SEARCH(_xlfn.UNICHAR(65533),S3086)),"Côte d'Ivoire",
TRUE,""
)</f>
        <v/>
      </c>
      <c r="W3086" s="40" t="str">
        <f t="shared" si="219"/>
        <v>Germany</v>
      </c>
    </row>
    <row r="3087" spans="19:23">
      <c r="S3087" s="40" t="str">
        <v>Netherlands</v>
      </c>
      <c r="T3087" s="40" t="str">
        <f t="shared" si="217"/>
        <v>OK</v>
      </c>
      <c r="U3087" s="40" t="str">
        <f t="shared" si="218"/>
        <v>-</v>
      </c>
      <c r="V3087" s="40" t="str" cm="1">
        <f t="array" ref="V3087">_xlfn.IFS(
ISNUMBER(SEARCH("USA",S3087)),"United States",
ISNUMBER(SEARCH("Republic of Ireland",S3087)),"Ireland",
ISNUMBER(SEARCH("Republic of Korea",S3087)),"South Korea",
ISNUMBER(SEARCH("Cape Verde",S3087)),"Cabo Verde",
ISNUMBER(SEARCH("Czechia",S3087)),"Czech Republic",
ISNUMBER(SEARCH("Türkiye",S3087)),"Turkey",
ISNUMBER(SEARCH("Ivory Coast",S3087)),"Côte d'Ivoire",
ISNUMBER(SEARCH("Korea Republic",S3087)),"South Korea",
ISNUMBER(SEARCH("Germany FR",S3087)),"FR Germany",
ISNUMBER(SEARCH("West Germany",S3087)),"FR Germany",
ISNUMBER(SEARCH("Germany DR",S3087)),"DR Germany",
ISNUMBER(SEARCH("Korea DPR",S3087)),"North Korea",
ISNUMBER(SEARCH("China PR",S3087)),"China",
ISNUMBER(SEARCH("IR Iran",S3087)),"Iran",
ISNUMBER(SEARCH("Congo DR",S3087)),"Democratic Republic of the Congo",
ISNUMBER(SEARCH("DR Congo",S3087)),"Democratic Republic of the Congo",
ISNUMBER(SEARCH("German DR",S3087)),"DR Germany",
ISNUMBER(SEARCH("rn""&gt;United Arab Emirates",S3087)),"United Arab Emirates",
ISNUMBER(SEARCH("rn""&gt;Republic of Ireland",S3087)),"Ireland",
ISNUMBER(SEARCH("rn""&gt;Bosnia and Herzegovina",S3087)),"Bosnia and Herzegovina",
ISNUMBER(SEARCH("rn""&gt;Trinidad and Tobago",S3087)),"Trinidad and Tobago",
ISNUMBER(SEARCH("rn""&gt;Serbia and Montenegro",S3087)),"Serbia and Montenegro",
ISNUMBER(SEARCH(_xlfn.UNICHAR(65533),S3087)),"Côte d'Ivoire",
TRUE,""
)</f>
        <v/>
      </c>
      <c r="W3087" s="40" t="str">
        <f t="shared" si="219"/>
        <v>Netherlands</v>
      </c>
    </row>
    <row r="3088" spans="19:23">
      <c r="S3088" s="40" t="str">
        <v>Japan</v>
      </c>
      <c r="T3088" s="40" t="str">
        <f t="shared" si="217"/>
        <v>OK</v>
      </c>
      <c r="U3088" s="40" t="str">
        <f t="shared" si="218"/>
        <v>-</v>
      </c>
      <c r="V3088" s="40" t="str" cm="1">
        <f t="array" ref="V3088">_xlfn.IFS(
ISNUMBER(SEARCH("USA",S3088)),"United States",
ISNUMBER(SEARCH("Republic of Ireland",S3088)),"Ireland",
ISNUMBER(SEARCH("Republic of Korea",S3088)),"South Korea",
ISNUMBER(SEARCH("Cape Verde",S3088)),"Cabo Verde",
ISNUMBER(SEARCH("Czechia",S3088)),"Czech Republic",
ISNUMBER(SEARCH("Türkiye",S3088)),"Turkey",
ISNUMBER(SEARCH("Ivory Coast",S3088)),"Côte d'Ivoire",
ISNUMBER(SEARCH("Korea Republic",S3088)),"South Korea",
ISNUMBER(SEARCH("Germany FR",S3088)),"FR Germany",
ISNUMBER(SEARCH("West Germany",S3088)),"FR Germany",
ISNUMBER(SEARCH("Germany DR",S3088)),"DR Germany",
ISNUMBER(SEARCH("Korea DPR",S3088)),"North Korea",
ISNUMBER(SEARCH("China PR",S3088)),"China",
ISNUMBER(SEARCH("IR Iran",S3088)),"Iran",
ISNUMBER(SEARCH("Congo DR",S3088)),"Democratic Republic of the Congo",
ISNUMBER(SEARCH("DR Congo",S3088)),"Democratic Republic of the Congo",
ISNUMBER(SEARCH("German DR",S3088)),"DR Germany",
ISNUMBER(SEARCH("rn""&gt;United Arab Emirates",S3088)),"United Arab Emirates",
ISNUMBER(SEARCH("rn""&gt;Republic of Ireland",S3088)),"Ireland",
ISNUMBER(SEARCH("rn""&gt;Bosnia and Herzegovina",S3088)),"Bosnia and Herzegovina",
ISNUMBER(SEARCH("rn""&gt;Trinidad and Tobago",S3088)),"Trinidad and Tobago",
ISNUMBER(SEARCH("rn""&gt;Serbia and Montenegro",S3088)),"Serbia and Montenegro",
ISNUMBER(SEARCH(_xlfn.UNICHAR(65533),S3088)),"Côte d'Ivoire",
TRUE,""
)</f>
        <v/>
      </c>
      <c r="W3088" s="40" t="str">
        <f t="shared" si="219"/>
        <v>Japan</v>
      </c>
    </row>
    <row r="3089" spans="19:23">
      <c r="S3089" s="40" t="str">
        <v>Italy</v>
      </c>
      <c r="T3089" s="40" t="str">
        <f t="shared" si="217"/>
        <v>OK</v>
      </c>
      <c r="U3089" s="40" t="str">
        <f t="shared" si="218"/>
        <v>-</v>
      </c>
      <c r="V3089" s="40" t="str" cm="1">
        <f t="array" ref="V3089">_xlfn.IFS(
ISNUMBER(SEARCH("USA",S3089)),"United States",
ISNUMBER(SEARCH("Republic of Ireland",S3089)),"Ireland",
ISNUMBER(SEARCH("Republic of Korea",S3089)),"South Korea",
ISNUMBER(SEARCH("Cape Verde",S3089)),"Cabo Verde",
ISNUMBER(SEARCH("Czechia",S3089)),"Czech Republic",
ISNUMBER(SEARCH("Türkiye",S3089)),"Turkey",
ISNUMBER(SEARCH("Ivory Coast",S3089)),"Côte d'Ivoire",
ISNUMBER(SEARCH("Korea Republic",S3089)),"South Korea",
ISNUMBER(SEARCH("Germany FR",S3089)),"FR Germany",
ISNUMBER(SEARCH("West Germany",S3089)),"FR Germany",
ISNUMBER(SEARCH("Germany DR",S3089)),"DR Germany",
ISNUMBER(SEARCH("Korea DPR",S3089)),"North Korea",
ISNUMBER(SEARCH("China PR",S3089)),"China",
ISNUMBER(SEARCH("IR Iran",S3089)),"Iran",
ISNUMBER(SEARCH("Congo DR",S3089)),"Democratic Republic of the Congo",
ISNUMBER(SEARCH("DR Congo",S3089)),"Democratic Republic of the Congo",
ISNUMBER(SEARCH("German DR",S3089)),"DR Germany",
ISNUMBER(SEARCH("rn""&gt;United Arab Emirates",S3089)),"United Arab Emirates",
ISNUMBER(SEARCH("rn""&gt;Republic of Ireland",S3089)),"Ireland",
ISNUMBER(SEARCH("rn""&gt;Bosnia and Herzegovina",S3089)),"Bosnia and Herzegovina",
ISNUMBER(SEARCH("rn""&gt;Trinidad and Tobago",S3089)),"Trinidad and Tobago",
ISNUMBER(SEARCH("rn""&gt;Serbia and Montenegro",S3089)),"Serbia and Montenegro",
ISNUMBER(SEARCH(_xlfn.UNICHAR(65533),S3089)),"Côte d'Ivoire",
TRUE,""
)</f>
        <v/>
      </c>
      <c r="W3089" s="40" t="str">
        <f t="shared" si="219"/>
        <v>Italy</v>
      </c>
    </row>
    <row r="3090" spans="19:23">
      <c r="S3090" s="40" t="str">
        <v>New Zealand</v>
      </c>
      <c r="T3090" s="40" t="str">
        <f t="shared" si="217"/>
        <v>OK</v>
      </c>
      <c r="U3090" s="40" t="str">
        <f t="shared" si="218"/>
        <v>-</v>
      </c>
      <c r="V3090" s="40" t="str" cm="1">
        <f t="array" ref="V3090">_xlfn.IFS(
ISNUMBER(SEARCH("USA",S3090)),"United States",
ISNUMBER(SEARCH("Republic of Ireland",S3090)),"Ireland",
ISNUMBER(SEARCH("Republic of Korea",S3090)),"South Korea",
ISNUMBER(SEARCH("Cape Verde",S3090)),"Cabo Verde",
ISNUMBER(SEARCH("Czechia",S3090)),"Czech Republic",
ISNUMBER(SEARCH("Türkiye",S3090)),"Turkey",
ISNUMBER(SEARCH("Ivory Coast",S3090)),"Côte d'Ivoire",
ISNUMBER(SEARCH("Korea Republic",S3090)),"South Korea",
ISNUMBER(SEARCH("Germany FR",S3090)),"FR Germany",
ISNUMBER(SEARCH("West Germany",S3090)),"FR Germany",
ISNUMBER(SEARCH("Germany DR",S3090)),"DR Germany",
ISNUMBER(SEARCH("Korea DPR",S3090)),"North Korea",
ISNUMBER(SEARCH("China PR",S3090)),"China",
ISNUMBER(SEARCH("IR Iran",S3090)),"Iran",
ISNUMBER(SEARCH("Congo DR",S3090)),"Democratic Republic of the Congo",
ISNUMBER(SEARCH("DR Congo",S3090)),"Democratic Republic of the Congo",
ISNUMBER(SEARCH("German DR",S3090)),"DR Germany",
ISNUMBER(SEARCH("rn""&gt;United Arab Emirates",S3090)),"United Arab Emirates",
ISNUMBER(SEARCH("rn""&gt;Republic of Ireland",S3090)),"Ireland",
ISNUMBER(SEARCH("rn""&gt;Bosnia and Herzegovina",S3090)),"Bosnia and Herzegovina",
ISNUMBER(SEARCH("rn""&gt;Trinidad and Tobago",S3090)),"Trinidad and Tobago",
ISNUMBER(SEARCH("rn""&gt;Serbia and Montenegro",S3090)),"Serbia and Montenegro",
ISNUMBER(SEARCH(_xlfn.UNICHAR(65533),S3090)),"Côte d'Ivoire",
TRUE,""
)</f>
        <v/>
      </c>
      <c r="W3090" s="40" t="str">
        <f t="shared" si="219"/>
        <v>New Zealand</v>
      </c>
    </row>
    <row r="3091" spans="19:23">
      <c r="S3091" s="40" t="str">
        <v>C�te d'Ivoire</v>
      </c>
      <c r="T3091" s="40" t="str">
        <f t="shared" si="217"/>
        <v>ERREUR</v>
      </c>
      <c r="U3091" s="40" t="str">
        <f t="shared" si="218"/>
        <v>RENOMMER</v>
      </c>
      <c r="V3091" s="40" t="str" cm="1">
        <f t="array" ref="V3091">_xlfn.IFS(
ISNUMBER(SEARCH("USA",S3091)),"United States",
ISNUMBER(SEARCH("Republic of Ireland",S3091)),"Ireland",
ISNUMBER(SEARCH("Republic of Korea",S3091)),"South Korea",
ISNUMBER(SEARCH("Cape Verde",S3091)),"Cabo Verde",
ISNUMBER(SEARCH("Czechia",S3091)),"Czech Republic",
ISNUMBER(SEARCH("Türkiye",S3091)),"Turkey",
ISNUMBER(SEARCH("Ivory Coast",S3091)),"Côte d'Ivoire",
ISNUMBER(SEARCH("Korea Republic",S3091)),"South Korea",
ISNUMBER(SEARCH("Germany FR",S3091)),"FR Germany",
ISNUMBER(SEARCH("West Germany",S3091)),"FR Germany",
ISNUMBER(SEARCH("Germany DR",S3091)),"DR Germany",
ISNUMBER(SEARCH("Korea DPR",S3091)),"North Korea",
ISNUMBER(SEARCH("China PR",S3091)),"China",
ISNUMBER(SEARCH("IR Iran",S3091)),"Iran",
ISNUMBER(SEARCH("Congo DR",S3091)),"Democratic Republic of the Congo",
ISNUMBER(SEARCH("DR Congo",S3091)),"Democratic Republic of the Congo",
ISNUMBER(SEARCH("German DR",S3091)),"DR Germany",
ISNUMBER(SEARCH("rn""&gt;United Arab Emirates",S3091)),"United Arab Emirates",
ISNUMBER(SEARCH("rn""&gt;Republic of Ireland",S3091)),"Ireland",
ISNUMBER(SEARCH("rn""&gt;Bosnia and Herzegovina",S3091)),"Bosnia and Herzegovina",
ISNUMBER(SEARCH("rn""&gt;Trinidad and Tobago",S3091)),"Trinidad and Tobago",
ISNUMBER(SEARCH("rn""&gt;Serbia and Montenegro",S3091)),"Serbia and Montenegro",
ISNUMBER(SEARCH(_xlfn.UNICHAR(65533),S3091)),"Côte d'Ivoire",
TRUE,""
)</f>
        <v>Côte d'Ivoire</v>
      </c>
      <c r="W3091" s="40" t="str">
        <f t="shared" si="219"/>
        <v>Côte d'Ivoire</v>
      </c>
    </row>
    <row r="3092" spans="19:23">
      <c r="S3092" s="40" t="str">
        <v>Brazil</v>
      </c>
      <c r="T3092" s="40" t="str">
        <f t="shared" si="217"/>
        <v>OK</v>
      </c>
      <c r="U3092" s="40" t="str">
        <f t="shared" si="218"/>
        <v>-</v>
      </c>
      <c r="V3092" s="40" t="str" cm="1">
        <f t="array" ref="V3092">_xlfn.IFS(
ISNUMBER(SEARCH("USA",S3092)),"United States",
ISNUMBER(SEARCH("Republic of Ireland",S3092)),"Ireland",
ISNUMBER(SEARCH("Republic of Korea",S3092)),"South Korea",
ISNUMBER(SEARCH("Cape Verde",S3092)),"Cabo Verde",
ISNUMBER(SEARCH("Czechia",S3092)),"Czech Republic",
ISNUMBER(SEARCH("Türkiye",S3092)),"Turkey",
ISNUMBER(SEARCH("Ivory Coast",S3092)),"Côte d'Ivoire",
ISNUMBER(SEARCH("Korea Republic",S3092)),"South Korea",
ISNUMBER(SEARCH("Germany FR",S3092)),"FR Germany",
ISNUMBER(SEARCH("West Germany",S3092)),"FR Germany",
ISNUMBER(SEARCH("Germany DR",S3092)),"DR Germany",
ISNUMBER(SEARCH("Korea DPR",S3092)),"North Korea",
ISNUMBER(SEARCH("China PR",S3092)),"China",
ISNUMBER(SEARCH("IR Iran",S3092)),"Iran",
ISNUMBER(SEARCH("Congo DR",S3092)),"Democratic Republic of the Congo",
ISNUMBER(SEARCH("DR Congo",S3092)),"Democratic Republic of the Congo",
ISNUMBER(SEARCH("German DR",S3092)),"DR Germany",
ISNUMBER(SEARCH("rn""&gt;United Arab Emirates",S3092)),"United Arab Emirates",
ISNUMBER(SEARCH("rn""&gt;Republic of Ireland",S3092)),"Ireland",
ISNUMBER(SEARCH("rn""&gt;Bosnia and Herzegovina",S3092)),"Bosnia and Herzegovina",
ISNUMBER(SEARCH("rn""&gt;Trinidad and Tobago",S3092)),"Trinidad and Tobago",
ISNUMBER(SEARCH("rn""&gt;Serbia and Montenegro",S3092)),"Serbia and Montenegro",
ISNUMBER(SEARCH(_xlfn.UNICHAR(65533),S3092)),"Côte d'Ivoire",
TRUE,""
)</f>
        <v/>
      </c>
      <c r="W3092" s="40" t="str">
        <f t="shared" si="219"/>
        <v>Brazil</v>
      </c>
    </row>
    <row r="3093" spans="19:23">
      <c r="S3093" s="40" t="str">
        <v>Honduras</v>
      </c>
      <c r="T3093" s="40" t="str">
        <f t="shared" si="217"/>
        <v>OK</v>
      </c>
      <c r="U3093" s="40" t="str">
        <f t="shared" si="218"/>
        <v>-</v>
      </c>
      <c r="V3093" s="40" t="str" cm="1">
        <f t="array" ref="V3093">_xlfn.IFS(
ISNUMBER(SEARCH("USA",S3093)),"United States",
ISNUMBER(SEARCH("Republic of Ireland",S3093)),"Ireland",
ISNUMBER(SEARCH("Republic of Korea",S3093)),"South Korea",
ISNUMBER(SEARCH("Cape Verde",S3093)),"Cabo Verde",
ISNUMBER(SEARCH("Czechia",S3093)),"Czech Republic",
ISNUMBER(SEARCH("Türkiye",S3093)),"Turkey",
ISNUMBER(SEARCH("Ivory Coast",S3093)),"Côte d'Ivoire",
ISNUMBER(SEARCH("Korea Republic",S3093)),"South Korea",
ISNUMBER(SEARCH("Germany FR",S3093)),"FR Germany",
ISNUMBER(SEARCH("West Germany",S3093)),"FR Germany",
ISNUMBER(SEARCH("Germany DR",S3093)),"DR Germany",
ISNUMBER(SEARCH("Korea DPR",S3093)),"North Korea",
ISNUMBER(SEARCH("China PR",S3093)),"China",
ISNUMBER(SEARCH("IR Iran",S3093)),"Iran",
ISNUMBER(SEARCH("Congo DR",S3093)),"Democratic Republic of the Congo",
ISNUMBER(SEARCH("DR Congo",S3093)),"Democratic Republic of the Congo",
ISNUMBER(SEARCH("German DR",S3093)),"DR Germany",
ISNUMBER(SEARCH("rn""&gt;United Arab Emirates",S3093)),"United Arab Emirates",
ISNUMBER(SEARCH("rn""&gt;Republic of Ireland",S3093)),"Ireland",
ISNUMBER(SEARCH("rn""&gt;Bosnia and Herzegovina",S3093)),"Bosnia and Herzegovina",
ISNUMBER(SEARCH("rn""&gt;Trinidad and Tobago",S3093)),"Trinidad and Tobago",
ISNUMBER(SEARCH("rn""&gt;Serbia and Montenegro",S3093)),"Serbia and Montenegro",
ISNUMBER(SEARCH(_xlfn.UNICHAR(65533),S3093)),"Côte d'Ivoire",
TRUE,""
)</f>
        <v/>
      </c>
      <c r="W3093" s="40" t="str">
        <f t="shared" si="219"/>
        <v>Honduras</v>
      </c>
    </row>
    <row r="3094" spans="19:23">
      <c r="S3094" s="40" t="str">
        <v>Spain</v>
      </c>
      <c r="T3094" s="40" t="str">
        <f t="shared" si="217"/>
        <v>OK</v>
      </c>
      <c r="U3094" s="40" t="str">
        <f t="shared" si="218"/>
        <v>-</v>
      </c>
      <c r="V3094" s="40" t="str" cm="1">
        <f t="array" ref="V3094">_xlfn.IFS(
ISNUMBER(SEARCH("USA",S3094)),"United States",
ISNUMBER(SEARCH("Republic of Ireland",S3094)),"Ireland",
ISNUMBER(SEARCH("Republic of Korea",S3094)),"South Korea",
ISNUMBER(SEARCH("Cape Verde",S3094)),"Cabo Verde",
ISNUMBER(SEARCH("Czechia",S3094)),"Czech Republic",
ISNUMBER(SEARCH("Türkiye",S3094)),"Turkey",
ISNUMBER(SEARCH("Ivory Coast",S3094)),"Côte d'Ivoire",
ISNUMBER(SEARCH("Korea Republic",S3094)),"South Korea",
ISNUMBER(SEARCH("Germany FR",S3094)),"FR Germany",
ISNUMBER(SEARCH("West Germany",S3094)),"FR Germany",
ISNUMBER(SEARCH("Germany DR",S3094)),"DR Germany",
ISNUMBER(SEARCH("Korea DPR",S3094)),"North Korea",
ISNUMBER(SEARCH("China PR",S3094)),"China",
ISNUMBER(SEARCH("IR Iran",S3094)),"Iran",
ISNUMBER(SEARCH("Congo DR",S3094)),"Democratic Republic of the Congo",
ISNUMBER(SEARCH("DR Congo",S3094)),"Democratic Republic of the Congo",
ISNUMBER(SEARCH("German DR",S3094)),"DR Germany",
ISNUMBER(SEARCH("rn""&gt;United Arab Emirates",S3094)),"United Arab Emirates",
ISNUMBER(SEARCH("rn""&gt;Republic of Ireland",S3094)),"Ireland",
ISNUMBER(SEARCH("rn""&gt;Bosnia and Herzegovina",S3094)),"Bosnia and Herzegovina",
ISNUMBER(SEARCH("rn""&gt;Trinidad and Tobago",S3094)),"Trinidad and Tobago",
ISNUMBER(SEARCH("rn""&gt;Serbia and Montenegro",S3094)),"Serbia and Montenegro",
ISNUMBER(SEARCH(_xlfn.UNICHAR(65533),S3094)),"Côte d'Ivoire",
TRUE,""
)</f>
        <v/>
      </c>
      <c r="W3094" s="40" t="str">
        <f t="shared" si="219"/>
        <v>Spain</v>
      </c>
    </row>
    <row r="3095" spans="19:23">
      <c r="S3095" s="40" t="str">
        <v>South Africa</v>
      </c>
      <c r="T3095" s="40" t="str">
        <f t="shared" si="217"/>
        <v>OK</v>
      </c>
      <c r="U3095" s="40" t="str">
        <f t="shared" si="218"/>
        <v>-</v>
      </c>
      <c r="V3095" s="40" t="str" cm="1">
        <f t="array" ref="V3095">_xlfn.IFS(
ISNUMBER(SEARCH("USA",S3095)),"United States",
ISNUMBER(SEARCH("Republic of Ireland",S3095)),"Ireland",
ISNUMBER(SEARCH("Republic of Korea",S3095)),"South Korea",
ISNUMBER(SEARCH("Cape Verde",S3095)),"Cabo Verde",
ISNUMBER(SEARCH("Czechia",S3095)),"Czech Republic",
ISNUMBER(SEARCH("Türkiye",S3095)),"Turkey",
ISNUMBER(SEARCH("Ivory Coast",S3095)),"Côte d'Ivoire",
ISNUMBER(SEARCH("Korea Republic",S3095)),"South Korea",
ISNUMBER(SEARCH("Germany FR",S3095)),"FR Germany",
ISNUMBER(SEARCH("West Germany",S3095)),"FR Germany",
ISNUMBER(SEARCH("Germany DR",S3095)),"DR Germany",
ISNUMBER(SEARCH("Korea DPR",S3095)),"North Korea",
ISNUMBER(SEARCH("China PR",S3095)),"China",
ISNUMBER(SEARCH("IR Iran",S3095)),"Iran",
ISNUMBER(SEARCH("Congo DR",S3095)),"Democratic Republic of the Congo",
ISNUMBER(SEARCH("DR Congo",S3095)),"Democratic Republic of the Congo",
ISNUMBER(SEARCH("German DR",S3095)),"DR Germany",
ISNUMBER(SEARCH("rn""&gt;United Arab Emirates",S3095)),"United Arab Emirates",
ISNUMBER(SEARCH("rn""&gt;Republic of Ireland",S3095)),"Ireland",
ISNUMBER(SEARCH("rn""&gt;Bosnia and Herzegovina",S3095)),"Bosnia and Herzegovina",
ISNUMBER(SEARCH("rn""&gt;Trinidad and Tobago",S3095)),"Trinidad and Tobago",
ISNUMBER(SEARCH("rn""&gt;Serbia and Montenegro",S3095)),"Serbia and Montenegro",
ISNUMBER(SEARCH(_xlfn.UNICHAR(65533),S3095)),"Côte d'Ivoire",
TRUE,""
)</f>
        <v/>
      </c>
      <c r="W3095" s="40" t="str">
        <f t="shared" si="219"/>
        <v>South Africa</v>
      </c>
    </row>
    <row r="3096" spans="19:23">
      <c r="S3096" s="40" t="str">
        <v>Argentina</v>
      </c>
      <c r="T3096" s="40" t="str">
        <f t="shared" si="217"/>
        <v>OK</v>
      </c>
      <c r="U3096" s="40" t="str">
        <f t="shared" si="218"/>
        <v>-</v>
      </c>
      <c r="V3096" s="40" t="str" cm="1">
        <f t="array" ref="V3096">_xlfn.IFS(
ISNUMBER(SEARCH("USA",S3096)),"United States",
ISNUMBER(SEARCH("Republic of Ireland",S3096)),"Ireland",
ISNUMBER(SEARCH("Republic of Korea",S3096)),"South Korea",
ISNUMBER(SEARCH("Cape Verde",S3096)),"Cabo Verde",
ISNUMBER(SEARCH("Czechia",S3096)),"Czech Republic",
ISNUMBER(SEARCH("Türkiye",S3096)),"Turkey",
ISNUMBER(SEARCH("Ivory Coast",S3096)),"Côte d'Ivoire",
ISNUMBER(SEARCH("Korea Republic",S3096)),"South Korea",
ISNUMBER(SEARCH("Germany FR",S3096)),"FR Germany",
ISNUMBER(SEARCH("West Germany",S3096)),"FR Germany",
ISNUMBER(SEARCH("Germany DR",S3096)),"DR Germany",
ISNUMBER(SEARCH("Korea DPR",S3096)),"North Korea",
ISNUMBER(SEARCH("China PR",S3096)),"China",
ISNUMBER(SEARCH("IR Iran",S3096)),"Iran",
ISNUMBER(SEARCH("Congo DR",S3096)),"Democratic Republic of the Congo",
ISNUMBER(SEARCH("DR Congo",S3096)),"Democratic Republic of the Congo",
ISNUMBER(SEARCH("German DR",S3096)),"DR Germany",
ISNUMBER(SEARCH("rn""&gt;United Arab Emirates",S3096)),"United Arab Emirates",
ISNUMBER(SEARCH("rn""&gt;Republic of Ireland",S3096)),"Ireland",
ISNUMBER(SEARCH("rn""&gt;Bosnia and Herzegovina",S3096)),"Bosnia and Herzegovina",
ISNUMBER(SEARCH("rn""&gt;Trinidad and Tobago",S3096)),"Trinidad and Tobago",
ISNUMBER(SEARCH("rn""&gt;Serbia and Montenegro",S3096)),"Serbia and Montenegro",
ISNUMBER(SEARCH(_xlfn.UNICHAR(65533),S3096)),"Côte d'Ivoire",
TRUE,""
)</f>
        <v/>
      </c>
      <c r="W3096" s="40" t="str">
        <f t="shared" si="219"/>
        <v>Argentina</v>
      </c>
    </row>
    <row r="3097" spans="19:23">
      <c r="S3097" s="40" t="str">
        <v>Greece</v>
      </c>
      <c r="T3097" s="40" t="str">
        <f t="shared" si="217"/>
        <v>OK</v>
      </c>
      <c r="U3097" s="40" t="str">
        <f t="shared" si="218"/>
        <v>-</v>
      </c>
      <c r="V3097" s="40" t="str" cm="1">
        <f t="array" ref="V3097">_xlfn.IFS(
ISNUMBER(SEARCH("USA",S3097)),"United States",
ISNUMBER(SEARCH("Republic of Ireland",S3097)),"Ireland",
ISNUMBER(SEARCH("Republic of Korea",S3097)),"South Korea",
ISNUMBER(SEARCH("Cape Verde",S3097)),"Cabo Verde",
ISNUMBER(SEARCH("Czechia",S3097)),"Czech Republic",
ISNUMBER(SEARCH("Türkiye",S3097)),"Turkey",
ISNUMBER(SEARCH("Ivory Coast",S3097)),"Côte d'Ivoire",
ISNUMBER(SEARCH("Korea Republic",S3097)),"South Korea",
ISNUMBER(SEARCH("Germany FR",S3097)),"FR Germany",
ISNUMBER(SEARCH("West Germany",S3097)),"FR Germany",
ISNUMBER(SEARCH("Germany DR",S3097)),"DR Germany",
ISNUMBER(SEARCH("Korea DPR",S3097)),"North Korea",
ISNUMBER(SEARCH("China PR",S3097)),"China",
ISNUMBER(SEARCH("IR Iran",S3097)),"Iran",
ISNUMBER(SEARCH("Congo DR",S3097)),"Democratic Republic of the Congo",
ISNUMBER(SEARCH("DR Congo",S3097)),"Democratic Republic of the Congo",
ISNUMBER(SEARCH("German DR",S3097)),"DR Germany",
ISNUMBER(SEARCH("rn""&gt;United Arab Emirates",S3097)),"United Arab Emirates",
ISNUMBER(SEARCH("rn""&gt;Republic of Ireland",S3097)),"Ireland",
ISNUMBER(SEARCH("rn""&gt;Bosnia and Herzegovina",S3097)),"Bosnia and Herzegovina",
ISNUMBER(SEARCH("rn""&gt;Trinidad and Tobago",S3097)),"Trinidad and Tobago",
ISNUMBER(SEARCH("rn""&gt;Serbia and Montenegro",S3097)),"Serbia and Montenegro",
ISNUMBER(SEARCH(_xlfn.UNICHAR(65533),S3097)),"Côte d'Ivoire",
TRUE,""
)</f>
        <v/>
      </c>
      <c r="W3097" s="40" t="str">
        <f t="shared" si="219"/>
        <v>Greece</v>
      </c>
    </row>
    <row r="3098" spans="19:23">
      <c r="S3098" s="40" t="str">
        <v>France</v>
      </c>
      <c r="T3098" s="40" t="str">
        <f t="shared" si="217"/>
        <v>OK</v>
      </c>
      <c r="U3098" s="40" t="str">
        <f t="shared" si="218"/>
        <v>-</v>
      </c>
      <c r="V3098" s="40" t="str" cm="1">
        <f t="array" ref="V3098">_xlfn.IFS(
ISNUMBER(SEARCH("USA",S3098)),"United States",
ISNUMBER(SEARCH("Republic of Ireland",S3098)),"Ireland",
ISNUMBER(SEARCH("Republic of Korea",S3098)),"South Korea",
ISNUMBER(SEARCH("Cape Verde",S3098)),"Cabo Verde",
ISNUMBER(SEARCH("Czechia",S3098)),"Czech Republic",
ISNUMBER(SEARCH("Türkiye",S3098)),"Turkey",
ISNUMBER(SEARCH("Ivory Coast",S3098)),"Côte d'Ivoire",
ISNUMBER(SEARCH("Korea Republic",S3098)),"South Korea",
ISNUMBER(SEARCH("Germany FR",S3098)),"FR Germany",
ISNUMBER(SEARCH("West Germany",S3098)),"FR Germany",
ISNUMBER(SEARCH("Germany DR",S3098)),"DR Germany",
ISNUMBER(SEARCH("Korea DPR",S3098)),"North Korea",
ISNUMBER(SEARCH("China PR",S3098)),"China",
ISNUMBER(SEARCH("IR Iran",S3098)),"Iran",
ISNUMBER(SEARCH("Congo DR",S3098)),"Democratic Republic of the Congo",
ISNUMBER(SEARCH("DR Congo",S3098)),"Democratic Republic of the Congo",
ISNUMBER(SEARCH("German DR",S3098)),"DR Germany",
ISNUMBER(SEARCH("rn""&gt;United Arab Emirates",S3098)),"United Arab Emirates",
ISNUMBER(SEARCH("rn""&gt;Republic of Ireland",S3098)),"Ireland",
ISNUMBER(SEARCH("rn""&gt;Bosnia and Herzegovina",S3098)),"Bosnia and Herzegovina",
ISNUMBER(SEARCH("rn""&gt;Trinidad and Tobago",S3098)),"Trinidad and Tobago",
ISNUMBER(SEARCH("rn""&gt;Serbia and Montenegro",S3098)),"Serbia and Montenegro",
ISNUMBER(SEARCH(_xlfn.UNICHAR(65533),S3098)),"Côte d'Ivoire",
TRUE,""
)</f>
        <v/>
      </c>
      <c r="W3098" s="40" t="str">
        <f t="shared" si="219"/>
        <v>France</v>
      </c>
    </row>
    <row r="3099" spans="19:23">
      <c r="S3099" s="40" t="str">
        <v>Germany</v>
      </c>
      <c r="T3099" s="40" t="str">
        <f t="shared" si="217"/>
        <v>OK</v>
      </c>
      <c r="U3099" s="40" t="str">
        <f t="shared" si="218"/>
        <v>-</v>
      </c>
      <c r="V3099" s="40" t="str" cm="1">
        <f t="array" ref="V3099">_xlfn.IFS(
ISNUMBER(SEARCH("USA",S3099)),"United States",
ISNUMBER(SEARCH("Republic of Ireland",S3099)),"Ireland",
ISNUMBER(SEARCH("Republic of Korea",S3099)),"South Korea",
ISNUMBER(SEARCH("Cape Verde",S3099)),"Cabo Verde",
ISNUMBER(SEARCH("Czechia",S3099)),"Czech Republic",
ISNUMBER(SEARCH("Türkiye",S3099)),"Turkey",
ISNUMBER(SEARCH("Ivory Coast",S3099)),"Côte d'Ivoire",
ISNUMBER(SEARCH("Korea Republic",S3099)),"South Korea",
ISNUMBER(SEARCH("Germany FR",S3099)),"FR Germany",
ISNUMBER(SEARCH("West Germany",S3099)),"FR Germany",
ISNUMBER(SEARCH("Germany DR",S3099)),"DR Germany",
ISNUMBER(SEARCH("Korea DPR",S3099)),"North Korea",
ISNUMBER(SEARCH("China PR",S3099)),"China",
ISNUMBER(SEARCH("IR Iran",S3099)),"Iran",
ISNUMBER(SEARCH("Congo DR",S3099)),"Democratic Republic of the Congo",
ISNUMBER(SEARCH("DR Congo",S3099)),"Democratic Republic of the Congo",
ISNUMBER(SEARCH("German DR",S3099)),"DR Germany",
ISNUMBER(SEARCH("rn""&gt;United Arab Emirates",S3099)),"United Arab Emirates",
ISNUMBER(SEARCH("rn""&gt;Republic of Ireland",S3099)),"Ireland",
ISNUMBER(SEARCH("rn""&gt;Bosnia and Herzegovina",S3099)),"Bosnia and Herzegovina",
ISNUMBER(SEARCH("rn""&gt;Trinidad and Tobago",S3099)),"Trinidad and Tobago",
ISNUMBER(SEARCH("rn""&gt;Serbia and Montenegro",S3099)),"Serbia and Montenegro",
ISNUMBER(SEARCH(_xlfn.UNICHAR(65533),S3099)),"Côte d'Ivoire",
TRUE,""
)</f>
        <v/>
      </c>
      <c r="W3099" s="40" t="str">
        <f t="shared" si="219"/>
        <v>Germany</v>
      </c>
    </row>
    <row r="3100" spans="19:23">
      <c r="S3100" s="40" t="str">
        <v>Slovenia</v>
      </c>
      <c r="T3100" s="40" t="str">
        <f t="shared" si="217"/>
        <v>OK</v>
      </c>
      <c r="U3100" s="40" t="str">
        <f t="shared" si="218"/>
        <v>-</v>
      </c>
      <c r="V3100" s="40" t="str" cm="1">
        <f t="array" ref="V3100">_xlfn.IFS(
ISNUMBER(SEARCH("USA",S3100)),"United States",
ISNUMBER(SEARCH("Republic of Ireland",S3100)),"Ireland",
ISNUMBER(SEARCH("Republic of Korea",S3100)),"South Korea",
ISNUMBER(SEARCH("Cape Verde",S3100)),"Cabo Verde",
ISNUMBER(SEARCH("Czechia",S3100)),"Czech Republic",
ISNUMBER(SEARCH("Türkiye",S3100)),"Turkey",
ISNUMBER(SEARCH("Ivory Coast",S3100)),"Côte d'Ivoire",
ISNUMBER(SEARCH("Korea Republic",S3100)),"South Korea",
ISNUMBER(SEARCH("Germany FR",S3100)),"FR Germany",
ISNUMBER(SEARCH("West Germany",S3100)),"FR Germany",
ISNUMBER(SEARCH("Germany DR",S3100)),"DR Germany",
ISNUMBER(SEARCH("Korea DPR",S3100)),"North Korea",
ISNUMBER(SEARCH("China PR",S3100)),"China",
ISNUMBER(SEARCH("IR Iran",S3100)),"Iran",
ISNUMBER(SEARCH("Congo DR",S3100)),"Democratic Republic of the Congo",
ISNUMBER(SEARCH("DR Congo",S3100)),"Democratic Republic of the Congo",
ISNUMBER(SEARCH("German DR",S3100)),"DR Germany",
ISNUMBER(SEARCH("rn""&gt;United Arab Emirates",S3100)),"United Arab Emirates",
ISNUMBER(SEARCH("rn""&gt;Republic of Ireland",S3100)),"Ireland",
ISNUMBER(SEARCH("rn""&gt;Bosnia and Herzegovina",S3100)),"Bosnia and Herzegovina",
ISNUMBER(SEARCH("rn""&gt;Trinidad and Tobago",S3100)),"Trinidad and Tobago",
ISNUMBER(SEARCH("rn""&gt;Serbia and Montenegro",S3100)),"Serbia and Montenegro",
ISNUMBER(SEARCH(_xlfn.UNICHAR(65533),S3100)),"Côte d'Ivoire",
TRUE,""
)</f>
        <v/>
      </c>
      <c r="W3100" s="40" t="str">
        <f t="shared" si="219"/>
        <v>Slovenia</v>
      </c>
    </row>
    <row r="3101" spans="19:23">
      <c r="S3101" s="40" t="str">
        <v>England</v>
      </c>
      <c r="T3101" s="40" t="str">
        <f t="shared" si="217"/>
        <v>ERREUR</v>
      </c>
      <c r="U3101" s="40" t="str">
        <f t="shared" si="218"/>
        <v>AUCUNE</v>
      </c>
      <c r="V3101" s="40" t="str" cm="1">
        <f t="array" ref="V3101">_xlfn.IFS(
ISNUMBER(SEARCH("USA",S3101)),"United States",
ISNUMBER(SEARCH("Republic of Ireland",S3101)),"Ireland",
ISNUMBER(SEARCH("Republic of Korea",S3101)),"South Korea",
ISNUMBER(SEARCH("Cape Verde",S3101)),"Cabo Verde",
ISNUMBER(SEARCH("Czechia",S3101)),"Czech Republic",
ISNUMBER(SEARCH("Türkiye",S3101)),"Turkey",
ISNUMBER(SEARCH("Ivory Coast",S3101)),"Côte d'Ivoire",
ISNUMBER(SEARCH("Korea Republic",S3101)),"South Korea",
ISNUMBER(SEARCH("Germany FR",S3101)),"FR Germany",
ISNUMBER(SEARCH("West Germany",S3101)),"FR Germany",
ISNUMBER(SEARCH("Germany DR",S3101)),"DR Germany",
ISNUMBER(SEARCH("Korea DPR",S3101)),"North Korea",
ISNUMBER(SEARCH("China PR",S3101)),"China",
ISNUMBER(SEARCH("IR Iran",S3101)),"Iran",
ISNUMBER(SEARCH("Congo DR",S3101)),"Democratic Republic of the Congo",
ISNUMBER(SEARCH("DR Congo",S3101)),"Democratic Republic of the Congo",
ISNUMBER(SEARCH("German DR",S3101)),"DR Germany",
ISNUMBER(SEARCH("rn""&gt;United Arab Emirates",S3101)),"United Arab Emirates",
ISNUMBER(SEARCH("rn""&gt;Republic of Ireland",S3101)),"Ireland",
ISNUMBER(SEARCH("rn""&gt;Bosnia and Herzegovina",S3101)),"Bosnia and Herzegovina",
ISNUMBER(SEARCH("rn""&gt;Trinidad and Tobago",S3101)),"Trinidad and Tobago",
ISNUMBER(SEARCH("rn""&gt;Serbia and Montenegro",S3101)),"Serbia and Montenegro",
ISNUMBER(SEARCH(_xlfn.UNICHAR(65533),S3101)),"Côte d'Ivoire",
TRUE,""
)</f>
        <v/>
      </c>
      <c r="W3101" s="40" t="str">
        <f t="shared" si="219"/>
        <v>England</v>
      </c>
    </row>
    <row r="3102" spans="19:23">
      <c r="S3102" s="40" t="str">
        <v>Netherlands</v>
      </c>
      <c r="T3102" s="40" t="str">
        <f t="shared" si="217"/>
        <v>OK</v>
      </c>
      <c r="U3102" s="40" t="str">
        <f t="shared" si="218"/>
        <v>-</v>
      </c>
      <c r="V3102" s="40" t="str" cm="1">
        <f t="array" ref="V3102">_xlfn.IFS(
ISNUMBER(SEARCH("USA",S3102)),"United States",
ISNUMBER(SEARCH("Republic of Ireland",S3102)),"Ireland",
ISNUMBER(SEARCH("Republic of Korea",S3102)),"South Korea",
ISNUMBER(SEARCH("Cape Verde",S3102)),"Cabo Verde",
ISNUMBER(SEARCH("Czechia",S3102)),"Czech Republic",
ISNUMBER(SEARCH("Türkiye",S3102)),"Turkey",
ISNUMBER(SEARCH("Ivory Coast",S3102)),"Côte d'Ivoire",
ISNUMBER(SEARCH("Korea Republic",S3102)),"South Korea",
ISNUMBER(SEARCH("Germany FR",S3102)),"FR Germany",
ISNUMBER(SEARCH("West Germany",S3102)),"FR Germany",
ISNUMBER(SEARCH("Germany DR",S3102)),"DR Germany",
ISNUMBER(SEARCH("Korea DPR",S3102)),"North Korea",
ISNUMBER(SEARCH("China PR",S3102)),"China",
ISNUMBER(SEARCH("IR Iran",S3102)),"Iran",
ISNUMBER(SEARCH("Congo DR",S3102)),"Democratic Republic of the Congo",
ISNUMBER(SEARCH("DR Congo",S3102)),"Democratic Republic of the Congo",
ISNUMBER(SEARCH("German DR",S3102)),"DR Germany",
ISNUMBER(SEARCH("rn""&gt;United Arab Emirates",S3102)),"United Arab Emirates",
ISNUMBER(SEARCH("rn""&gt;Republic of Ireland",S3102)),"Ireland",
ISNUMBER(SEARCH("rn""&gt;Bosnia and Herzegovina",S3102)),"Bosnia and Herzegovina",
ISNUMBER(SEARCH("rn""&gt;Trinidad and Tobago",S3102)),"Trinidad and Tobago",
ISNUMBER(SEARCH("rn""&gt;Serbia and Montenegro",S3102)),"Serbia and Montenegro",
ISNUMBER(SEARCH(_xlfn.UNICHAR(65533),S3102)),"Côte d'Ivoire",
TRUE,""
)</f>
        <v/>
      </c>
      <c r="W3102" s="40" t="str">
        <f t="shared" si="219"/>
        <v>Netherlands</v>
      </c>
    </row>
    <row r="3103" spans="19:23">
      <c r="S3103" s="40" t="str">
        <v>Ghana</v>
      </c>
      <c r="T3103" s="40" t="str">
        <f t="shared" si="217"/>
        <v>OK</v>
      </c>
      <c r="U3103" s="40" t="str">
        <f t="shared" si="218"/>
        <v>-</v>
      </c>
      <c r="V3103" s="40" t="str" cm="1">
        <f t="array" ref="V3103">_xlfn.IFS(
ISNUMBER(SEARCH("USA",S3103)),"United States",
ISNUMBER(SEARCH("Republic of Ireland",S3103)),"Ireland",
ISNUMBER(SEARCH("Republic of Korea",S3103)),"South Korea",
ISNUMBER(SEARCH("Cape Verde",S3103)),"Cabo Verde",
ISNUMBER(SEARCH("Czechia",S3103)),"Czech Republic",
ISNUMBER(SEARCH("Türkiye",S3103)),"Turkey",
ISNUMBER(SEARCH("Ivory Coast",S3103)),"Côte d'Ivoire",
ISNUMBER(SEARCH("Korea Republic",S3103)),"South Korea",
ISNUMBER(SEARCH("Germany FR",S3103)),"FR Germany",
ISNUMBER(SEARCH("West Germany",S3103)),"FR Germany",
ISNUMBER(SEARCH("Germany DR",S3103)),"DR Germany",
ISNUMBER(SEARCH("Korea DPR",S3103)),"North Korea",
ISNUMBER(SEARCH("China PR",S3103)),"China",
ISNUMBER(SEARCH("IR Iran",S3103)),"Iran",
ISNUMBER(SEARCH("Congo DR",S3103)),"Democratic Republic of the Congo",
ISNUMBER(SEARCH("DR Congo",S3103)),"Democratic Republic of the Congo",
ISNUMBER(SEARCH("German DR",S3103)),"DR Germany",
ISNUMBER(SEARCH("rn""&gt;United Arab Emirates",S3103)),"United Arab Emirates",
ISNUMBER(SEARCH("rn""&gt;Republic of Ireland",S3103)),"Ireland",
ISNUMBER(SEARCH("rn""&gt;Bosnia and Herzegovina",S3103)),"Bosnia and Herzegovina",
ISNUMBER(SEARCH("rn""&gt;Trinidad and Tobago",S3103)),"Trinidad and Tobago",
ISNUMBER(SEARCH("rn""&gt;Serbia and Montenegro",S3103)),"Serbia and Montenegro",
ISNUMBER(SEARCH(_xlfn.UNICHAR(65533),S3103)),"Côte d'Ivoire",
TRUE,""
)</f>
        <v/>
      </c>
      <c r="W3103" s="40" t="str">
        <f t="shared" si="219"/>
        <v>Ghana</v>
      </c>
    </row>
    <row r="3104" spans="19:23">
      <c r="S3104" s="40" t="str">
        <v>Cameroon</v>
      </c>
      <c r="T3104" s="40" t="str">
        <f t="shared" si="217"/>
        <v>OK</v>
      </c>
      <c r="U3104" s="40" t="str">
        <f t="shared" si="218"/>
        <v>-</v>
      </c>
      <c r="V3104" s="40" t="str" cm="1">
        <f t="array" ref="V3104">_xlfn.IFS(
ISNUMBER(SEARCH("USA",S3104)),"United States",
ISNUMBER(SEARCH("Republic of Ireland",S3104)),"Ireland",
ISNUMBER(SEARCH("Republic of Korea",S3104)),"South Korea",
ISNUMBER(SEARCH("Cape Verde",S3104)),"Cabo Verde",
ISNUMBER(SEARCH("Czechia",S3104)),"Czech Republic",
ISNUMBER(SEARCH("Türkiye",S3104)),"Turkey",
ISNUMBER(SEARCH("Ivory Coast",S3104)),"Côte d'Ivoire",
ISNUMBER(SEARCH("Korea Republic",S3104)),"South Korea",
ISNUMBER(SEARCH("Germany FR",S3104)),"FR Germany",
ISNUMBER(SEARCH("West Germany",S3104)),"FR Germany",
ISNUMBER(SEARCH("Germany DR",S3104)),"DR Germany",
ISNUMBER(SEARCH("Korea DPR",S3104)),"North Korea",
ISNUMBER(SEARCH("China PR",S3104)),"China",
ISNUMBER(SEARCH("IR Iran",S3104)),"Iran",
ISNUMBER(SEARCH("Congo DR",S3104)),"Democratic Republic of the Congo",
ISNUMBER(SEARCH("DR Congo",S3104)),"Democratic Republic of the Congo",
ISNUMBER(SEARCH("German DR",S3104)),"DR Germany",
ISNUMBER(SEARCH("rn""&gt;United Arab Emirates",S3104)),"United Arab Emirates",
ISNUMBER(SEARCH("rn""&gt;Republic of Ireland",S3104)),"Ireland",
ISNUMBER(SEARCH("rn""&gt;Bosnia and Herzegovina",S3104)),"Bosnia and Herzegovina",
ISNUMBER(SEARCH("rn""&gt;Trinidad and Tobago",S3104)),"Trinidad and Tobago",
ISNUMBER(SEARCH("rn""&gt;Serbia and Montenegro",S3104)),"Serbia and Montenegro",
ISNUMBER(SEARCH(_xlfn.UNICHAR(65533),S3104)),"Côte d'Ivoire",
TRUE,""
)</f>
        <v/>
      </c>
      <c r="W3104" s="40" t="str">
        <f t="shared" si="219"/>
        <v>Cameroon</v>
      </c>
    </row>
    <row r="3105" spans="19:23">
      <c r="S3105" s="40" t="str">
        <v>Slovakia</v>
      </c>
      <c r="T3105" s="40" t="str">
        <f t="shared" si="217"/>
        <v>OK</v>
      </c>
      <c r="U3105" s="40" t="str">
        <f t="shared" si="218"/>
        <v>-</v>
      </c>
      <c r="V3105" s="40" t="str" cm="1">
        <f t="array" ref="V3105">_xlfn.IFS(
ISNUMBER(SEARCH("USA",S3105)),"United States",
ISNUMBER(SEARCH("Republic of Ireland",S3105)),"Ireland",
ISNUMBER(SEARCH("Republic of Korea",S3105)),"South Korea",
ISNUMBER(SEARCH("Cape Verde",S3105)),"Cabo Verde",
ISNUMBER(SEARCH("Czechia",S3105)),"Czech Republic",
ISNUMBER(SEARCH("Türkiye",S3105)),"Turkey",
ISNUMBER(SEARCH("Ivory Coast",S3105)),"Côte d'Ivoire",
ISNUMBER(SEARCH("Korea Republic",S3105)),"South Korea",
ISNUMBER(SEARCH("Germany FR",S3105)),"FR Germany",
ISNUMBER(SEARCH("West Germany",S3105)),"FR Germany",
ISNUMBER(SEARCH("Germany DR",S3105)),"DR Germany",
ISNUMBER(SEARCH("Korea DPR",S3105)),"North Korea",
ISNUMBER(SEARCH("China PR",S3105)),"China",
ISNUMBER(SEARCH("IR Iran",S3105)),"Iran",
ISNUMBER(SEARCH("Congo DR",S3105)),"Democratic Republic of the Congo",
ISNUMBER(SEARCH("DR Congo",S3105)),"Democratic Republic of the Congo",
ISNUMBER(SEARCH("German DR",S3105)),"DR Germany",
ISNUMBER(SEARCH("rn""&gt;United Arab Emirates",S3105)),"United Arab Emirates",
ISNUMBER(SEARCH("rn""&gt;Republic of Ireland",S3105)),"Ireland",
ISNUMBER(SEARCH("rn""&gt;Bosnia and Herzegovina",S3105)),"Bosnia and Herzegovina",
ISNUMBER(SEARCH("rn""&gt;Trinidad and Tobago",S3105)),"Trinidad and Tobago",
ISNUMBER(SEARCH("rn""&gt;Serbia and Montenegro",S3105)),"Serbia and Montenegro",
ISNUMBER(SEARCH(_xlfn.UNICHAR(65533),S3105)),"Côte d'Ivoire",
TRUE,""
)</f>
        <v/>
      </c>
      <c r="W3105" s="40" t="str">
        <f t="shared" si="219"/>
        <v>Slovakia</v>
      </c>
    </row>
    <row r="3106" spans="19:23">
      <c r="S3106" s="40" t="str">
        <v>Italy</v>
      </c>
      <c r="T3106" s="40" t="str">
        <f t="shared" si="217"/>
        <v>OK</v>
      </c>
      <c r="U3106" s="40" t="str">
        <f t="shared" si="218"/>
        <v>-</v>
      </c>
      <c r="V3106" s="40" t="str" cm="1">
        <f t="array" ref="V3106">_xlfn.IFS(
ISNUMBER(SEARCH("USA",S3106)),"United States",
ISNUMBER(SEARCH("Republic of Ireland",S3106)),"Ireland",
ISNUMBER(SEARCH("Republic of Korea",S3106)),"South Korea",
ISNUMBER(SEARCH("Cape Verde",S3106)),"Cabo Verde",
ISNUMBER(SEARCH("Czechia",S3106)),"Czech Republic",
ISNUMBER(SEARCH("Türkiye",S3106)),"Turkey",
ISNUMBER(SEARCH("Ivory Coast",S3106)),"Côte d'Ivoire",
ISNUMBER(SEARCH("Korea Republic",S3106)),"South Korea",
ISNUMBER(SEARCH("Germany FR",S3106)),"FR Germany",
ISNUMBER(SEARCH("West Germany",S3106)),"FR Germany",
ISNUMBER(SEARCH("Germany DR",S3106)),"DR Germany",
ISNUMBER(SEARCH("Korea DPR",S3106)),"North Korea",
ISNUMBER(SEARCH("China PR",S3106)),"China",
ISNUMBER(SEARCH("IR Iran",S3106)),"Iran",
ISNUMBER(SEARCH("Congo DR",S3106)),"Democratic Republic of the Congo",
ISNUMBER(SEARCH("DR Congo",S3106)),"Democratic Republic of the Congo",
ISNUMBER(SEARCH("German DR",S3106)),"DR Germany",
ISNUMBER(SEARCH("rn""&gt;United Arab Emirates",S3106)),"United Arab Emirates",
ISNUMBER(SEARCH("rn""&gt;Republic of Ireland",S3106)),"Ireland",
ISNUMBER(SEARCH("rn""&gt;Bosnia and Herzegovina",S3106)),"Bosnia and Herzegovina",
ISNUMBER(SEARCH("rn""&gt;Trinidad and Tobago",S3106)),"Trinidad and Tobago",
ISNUMBER(SEARCH("rn""&gt;Serbia and Montenegro",S3106)),"Serbia and Montenegro",
ISNUMBER(SEARCH(_xlfn.UNICHAR(65533),S3106)),"Côte d'Ivoire",
TRUE,""
)</f>
        <v/>
      </c>
      <c r="W3106" s="40" t="str">
        <f t="shared" si="219"/>
        <v>Italy</v>
      </c>
    </row>
    <row r="3107" spans="19:23">
      <c r="S3107" s="40" t="str">
        <v>Brazil</v>
      </c>
      <c r="T3107" s="40" t="str">
        <f t="shared" si="217"/>
        <v>OK</v>
      </c>
      <c r="U3107" s="40" t="str">
        <f t="shared" si="218"/>
        <v>-</v>
      </c>
      <c r="V3107" s="40" t="str" cm="1">
        <f t="array" ref="V3107">_xlfn.IFS(
ISNUMBER(SEARCH("USA",S3107)),"United States",
ISNUMBER(SEARCH("Republic of Ireland",S3107)),"Ireland",
ISNUMBER(SEARCH("Republic of Korea",S3107)),"South Korea",
ISNUMBER(SEARCH("Cape Verde",S3107)),"Cabo Verde",
ISNUMBER(SEARCH("Czechia",S3107)),"Czech Republic",
ISNUMBER(SEARCH("Türkiye",S3107)),"Turkey",
ISNUMBER(SEARCH("Ivory Coast",S3107)),"Côte d'Ivoire",
ISNUMBER(SEARCH("Korea Republic",S3107)),"South Korea",
ISNUMBER(SEARCH("Germany FR",S3107)),"FR Germany",
ISNUMBER(SEARCH("West Germany",S3107)),"FR Germany",
ISNUMBER(SEARCH("Germany DR",S3107)),"DR Germany",
ISNUMBER(SEARCH("Korea DPR",S3107)),"North Korea",
ISNUMBER(SEARCH("China PR",S3107)),"China",
ISNUMBER(SEARCH("IR Iran",S3107)),"Iran",
ISNUMBER(SEARCH("Congo DR",S3107)),"Democratic Republic of the Congo",
ISNUMBER(SEARCH("DR Congo",S3107)),"Democratic Republic of the Congo",
ISNUMBER(SEARCH("German DR",S3107)),"DR Germany",
ISNUMBER(SEARCH("rn""&gt;United Arab Emirates",S3107)),"United Arab Emirates",
ISNUMBER(SEARCH("rn""&gt;Republic of Ireland",S3107)),"Ireland",
ISNUMBER(SEARCH("rn""&gt;Bosnia and Herzegovina",S3107)),"Bosnia and Herzegovina",
ISNUMBER(SEARCH("rn""&gt;Trinidad and Tobago",S3107)),"Trinidad and Tobago",
ISNUMBER(SEARCH("rn""&gt;Serbia and Montenegro",S3107)),"Serbia and Montenegro",
ISNUMBER(SEARCH(_xlfn.UNICHAR(65533),S3107)),"Côte d'Ivoire",
TRUE,""
)</f>
        <v/>
      </c>
      <c r="W3107" s="40" t="str">
        <f t="shared" si="219"/>
        <v>Brazil</v>
      </c>
    </row>
    <row r="3108" spans="19:23">
      <c r="S3108" s="40" t="str">
        <v>Portugal</v>
      </c>
      <c r="T3108" s="40" t="str">
        <f t="shared" si="217"/>
        <v>OK</v>
      </c>
      <c r="U3108" s="40" t="str">
        <f t="shared" si="218"/>
        <v>-</v>
      </c>
      <c r="V3108" s="40" t="str" cm="1">
        <f t="array" ref="V3108">_xlfn.IFS(
ISNUMBER(SEARCH("USA",S3108)),"United States",
ISNUMBER(SEARCH("Republic of Ireland",S3108)),"Ireland",
ISNUMBER(SEARCH("Republic of Korea",S3108)),"South Korea",
ISNUMBER(SEARCH("Cape Verde",S3108)),"Cabo Verde",
ISNUMBER(SEARCH("Czechia",S3108)),"Czech Republic",
ISNUMBER(SEARCH("Türkiye",S3108)),"Turkey",
ISNUMBER(SEARCH("Ivory Coast",S3108)),"Côte d'Ivoire",
ISNUMBER(SEARCH("Korea Republic",S3108)),"South Korea",
ISNUMBER(SEARCH("Germany FR",S3108)),"FR Germany",
ISNUMBER(SEARCH("West Germany",S3108)),"FR Germany",
ISNUMBER(SEARCH("Germany DR",S3108)),"DR Germany",
ISNUMBER(SEARCH("Korea DPR",S3108)),"North Korea",
ISNUMBER(SEARCH("China PR",S3108)),"China",
ISNUMBER(SEARCH("IR Iran",S3108)),"Iran",
ISNUMBER(SEARCH("Congo DR",S3108)),"Democratic Republic of the Congo",
ISNUMBER(SEARCH("DR Congo",S3108)),"Democratic Republic of the Congo",
ISNUMBER(SEARCH("German DR",S3108)),"DR Germany",
ISNUMBER(SEARCH("rn""&gt;United Arab Emirates",S3108)),"United Arab Emirates",
ISNUMBER(SEARCH("rn""&gt;Republic of Ireland",S3108)),"Ireland",
ISNUMBER(SEARCH("rn""&gt;Bosnia and Herzegovina",S3108)),"Bosnia and Herzegovina",
ISNUMBER(SEARCH("rn""&gt;Trinidad and Tobago",S3108)),"Trinidad and Tobago",
ISNUMBER(SEARCH("rn""&gt;Serbia and Montenegro",S3108)),"Serbia and Montenegro",
ISNUMBER(SEARCH(_xlfn.UNICHAR(65533),S3108)),"Côte d'Ivoire",
TRUE,""
)</f>
        <v/>
      </c>
      <c r="W3108" s="40" t="str">
        <f t="shared" si="219"/>
        <v>Portugal</v>
      </c>
    </row>
    <row r="3109" spans="19:23">
      <c r="S3109" s="40" t="str">
        <v>Chile</v>
      </c>
      <c r="T3109" s="40" t="str">
        <f t="shared" si="217"/>
        <v>OK</v>
      </c>
      <c r="U3109" s="40" t="str">
        <f t="shared" si="218"/>
        <v>-</v>
      </c>
      <c r="V3109" s="40" t="str" cm="1">
        <f t="array" ref="V3109">_xlfn.IFS(
ISNUMBER(SEARCH("USA",S3109)),"United States",
ISNUMBER(SEARCH("Republic of Ireland",S3109)),"Ireland",
ISNUMBER(SEARCH("Republic of Korea",S3109)),"South Korea",
ISNUMBER(SEARCH("Cape Verde",S3109)),"Cabo Verde",
ISNUMBER(SEARCH("Czechia",S3109)),"Czech Republic",
ISNUMBER(SEARCH("Türkiye",S3109)),"Turkey",
ISNUMBER(SEARCH("Ivory Coast",S3109)),"Côte d'Ivoire",
ISNUMBER(SEARCH("Korea Republic",S3109)),"South Korea",
ISNUMBER(SEARCH("Germany FR",S3109)),"FR Germany",
ISNUMBER(SEARCH("West Germany",S3109)),"FR Germany",
ISNUMBER(SEARCH("Germany DR",S3109)),"DR Germany",
ISNUMBER(SEARCH("Korea DPR",S3109)),"North Korea",
ISNUMBER(SEARCH("China PR",S3109)),"China",
ISNUMBER(SEARCH("IR Iran",S3109)),"Iran",
ISNUMBER(SEARCH("Congo DR",S3109)),"Democratic Republic of the Congo",
ISNUMBER(SEARCH("DR Congo",S3109)),"Democratic Republic of the Congo",
ISNUMBER(SEARCH("German DR",S3109)),"DR Germany",
ISNUMBER(SEARCH("rn""&gt;United Arab Emirates",S3109)),"United Arab Emirates",
ISNUMBER(SEARCH("rn""&gt;Republic of Ireland",S3109)),"Ireland",
ISNUMBER(SEARCH("rn""&gt;Bosnia and Herzegovina",S3109)),"Bosnia and Herzegovina",
ISNUMBER(SEARCH("rn""&gt;Trinidad and Tobago",S3109)),"Trinidad and Tobago",
ISNUMBER(SEARCH("rn""&gt;Serbia and Montenegro",S3109)),"Serbia and Montenegro",
ISNUMBER(SEARCH(_xlfn.UNICHAR(65533),S3109)),"Côte d'Ivoire",
TRUE,""
)</f>
        <v/>
      </c>
      <c r="W3109" s="40" t="str">
        <f t="shared" si="219"/>
        <v>Chile</v>
      </c>
    </row>
    <row r="3110" spans="19:23">
      <c r="S3110" s="40" t="str">
        <v>Spain</v>
      </c>
      <c r="T3110" s="40" t="str">
        <f t="shared" si="217"/>
        <v>OK</v>
      </c>
      <c r="U3110" s="40" t="str">
        <f t="shared" si="218"/>
        <v>-</v>
      </c>
      <c r="V3110" s="40" t="str" cm="1">
        <f t="array" ref="V3110">_xlfn.IFS(
ISNUMBER(SEARCH("USA",S3110)),"United States",
ISNUMBER(SEARCH("Republic of Ireland",S3110)),"Ireland",
ISNUMBER(SEARCH("Republic of Korea",S3110)),"South Korea",
ISNUMBER(SEARCH("Cape Verde",S3110)),"Cabo Verde",
ISNUMBER(SEARCH("Czechia",S3110)),"Czech Republic",
ISNUMBER(SEARCH("Türkiye",S3110)),"Turkey",
ISNUMBER(SEARCH("Ivory Coast",S3110)),"Côte d'Ivoire",
ISNUMBER(SEARCH("Korea Republic",S3110)),"South Korea",
ISNUMBER(SEARCH("Germany FR",S3110)),"FR Germany",
ISNUMBER(SEARCH("West Germany",S3110)),"FR Germany",
ISNUMBER(SEARCH("Germany DR",S3110)),"DR Germany",
ISNUMBER(SEARCH("Korea DPR",S3110)),"North Korea",
ISNUMBER(SEARCH("China PR",S3110)),"China",
ISNUMBER(SEARCH("IR Iran",S3110)),"Iran",
ISNUMBER(SEARCH("Congo DR",S3110)),"Democratic Republic of the Congo",
ISNUMBER(SEARCH("DR Congo",S3110)),"Democratic Republic of the Congo",
ISNUMBER(SEARCH("German DR",S3110)),"DR Germany",
ISNUMBER(SEARCH("rn""&gt;United Arab Emirates",S3110)),"United Arab Emirates",
ISNUMBER(SEARCH("rn""&gt;Republic of Ireland",S3110)),"Ireland",
ISNUMBER(SEARCH("rn""&gt;Bosnia and Herzegovina",S3110)),"Bosnia and Herzegovina",
ISNUMBER(SEARCH("rn""&gt;Trinidad and Tobago",S3110)),"Trinidad and Tobago",
ISNUMBER(SEARCH("rn""&gt;Serbia and Montenegro",S3110)),"Serbia and Montenegro",
ISNUMBER(SEARCH(_xlfn.UNICHAR(65533),S3110)),"Côte d'Ivoire",
TRUE,""
)</f>
        <v/>
      </c>
      <c r="W3110" s="40" t="str">
        <f t="shared" si="219"/>
        <v>Spain</v>
      </c>
    </row>
    <row r="3111" spans="19:23">
      <c r="S3111" s="40" t="str">
        <v>Mexico</v>
      </c>
      <c r="T3111" s="40" t="str">
        <f t="shared" si="217"/>
        <v>OK</v>
      </c>
      <c r="U3111" s="40" t="str">
        <f t="shared" si="218"/>
        <v>-</v>
      </c>
      <c r="V3111" s="40" t="str" cm="1">
        <f t="array" ref="V3111">_xlfn.IFS(
ISNUMBER(SEARCH("USA",S3111)),"United States",
ISNUMBER(SEARCH("Republic of Ireland",S3111)),"Ireland",
ISNUMBER(SEARCH("Republic of Korea",S3111)),"South Korea",
ISNUMBER(SEARCH("Cape Verde",S3111)),"Cabo Verde",
ISNUMBER(SEARCH("Czechia",S3111)),"Czech Republic",
ISNUMBER(SEARCH("Türkiye",S3111)),"Turkey",
ISNUMBER(SEARCH("Ivory Coast",S3111)),"Côte d'Ivoire",
ISNUMBER(SEARCH("Korea Republic",S3111)),"South Korea",
ISNUMBER(SEARCH("Germany FR",S3111)),"FR Germany",
ISNUMBER(SEARCH("West Germany",S3111)),"FR Germany",
ISNUMBER(SEARCH("Germany DR",S3111)),"DR Germany",
ISNUMBER(SEARCH("Korea DPR",S3111)),"North Korea",
ISNUMBER(SEARCH("China PR",S3111)),"China",
ISNUMBER(SEARCH("IR Iran",S3111)),"Iran",
ISNUMBER(SEARCH("Congo DR",S3111)),"Democratic Republic of the Congo",
ISNUMBER(SEARCH("DR Congo",S3111)),"Democratic Republic of the Congo",
ISNUMBER(SEARCH("German DR",S3111)),"DR Germany",
ISNUMBER(SEARCH("rn""&gt;United Arab Emirates",S3111)),"United Arab Emirates",
ISNUMBER(SEARCH("rn""&gt;Republic of Ireland",S3111)),"Ireland",
ISNUMBER(SEARCH("rn""&gt;Bosnia and Herzegovina",S3111)),"Bosnia and Herzegovina",
ISNUMBER(SEARCH("rn""&gt;Trinidad and Tobago",S3111)),"Trinidad and Tobago",
ISNUMBER(SEARCH("rn""&gt;Serbia and Montenegro",S3111)),"Serbia and Montenegro",
ISNUMBER(SEARCH(_xlfn.UNICHAR(65533),S3111)),"Côte d'Ivoire",
TRUE,""
)</f>
        <v/>
      </c>
      <c r="W3111" s="40" t="str">
        <f t="shared" si="219"/>
        <v>Mexico</v>
      </c>
    </row>
    <row r="3112" spans="19:23">
      <c r="S3112" s="40" t="str">
        <v>France</v>
      </c>
      <c r="T3112" s="40" t="str">
        <f t="shared" si="217"/>
        <v>OK</v>
      </c>
      <c r="U3112" s="40" t="str">
        <f t="shared" si="218"/>
        <v>-</v>
      </c>
      <c r="V3112" s="40" t="str" cm="1">
        <f t="array" ref="V3112">_xlfn.IFS(
ISNUMBER(SEARCH("USA",S3112)),"United States",
ISNUMBER(SEARCH("Republic of Ireland",S3112)),"Ireland",
ISNUMBER(SEARCH("Republic of Korea",S3112)),"South Korea",
ISNUMBER(SEARCH("Cape Verde",S3112)),"Cabo Verde",
ISNUMBER(SEARCH("Czechia",S3112)),"Czech Republic",
ISNUMBER(SEARCH("Türkiye",S3112)),"Turkey",
ISNUMBER(SEARCH("Ivory Coast",S3112)),"Côte d'Ivoire",
ISNUMBER(SEARCH("Korea Republic",S3112)),"South Korea",
ISNUMBER(SEARCH("Germany FR",S3112)),"FR Germany",
ISNUMBER(SEARCH("West Germany",S3112)),"FR Germany",
ISNUMBER(SEARCH("Germany DR",S3112)),"DR Germany",
ISNUMBER(SEARCH("Korea DPR",S3112)),"North Korea",
ISNUMBER(SEARCH("China PR",S3112)),"China",
ISNUMBER(SEARCH("IR Iran",S3112)),"Iran",
ISNUMBER(SEARCH("Congo DR",S3112)),"Democratic Republic of the Congo",
ISNUMBER(SEARCH("DR Congo",S3112)),"Democratic Republic of the Congo",
ISNUMBER(SEARCH("German DR",S3112)),"DR Germany",
ISNUMBER(SEARCH("rn""&gt;United Arab Emirates",S3112)),"United Arab Emirates",
ISNUMBER(SEARCH("rn""&gt;Republic of Ireland",S3112)),"Ireland",
ISNUMBER(SEARCH("rn""&gt;Bosnia and Herzegovina",S3112)),"Bosnia and Herzegovina",
ISNUMBER(SEARCH("rn""&gt;Trinidad and Tobago",S3112)),"Trinidad and Tobago",
ISNUMBER(SEARCH("rn""&gt;Serbia and Montenegro",S3112)),"Serbia and Montenegro",
ISNUMBER(SEARCH(_xlfn.UNICHAR(65533),S3112)),"Côte d'Ivoire",
TRUE,""
)</f>
        <v/>
      </c>
      <c r="W3112" s="40" t="str">
        <f t="shared" si="219"/>
        <v>France</v>
      </c>
    </row>
    <row r="3113" spans="19:23">
      <c r="S3113" s="40" t="str">
        <v>Nigeria</v>
      </c>
      <c r="T3113" s="40" t="str">
        <f t="shared" si="217"/>
        <v>OK</v>
      </c>
      <c r="U3113" s="40" t="str">
        <f t="shared" si="218"/>
        <v>-</v>
      </c>
      <c r="V3113" s="40" t="str" cm="1">
        <f t="array" ref="V3113">_xlfn.IFS(
ISNUMBER(SEARCH("USA",S3113)),"United States",
ISNUMBER(SEARCH("Republic of Ireland",S3113)),"Ireland",
ISNUMBER(SEARCH("Republic of Korea",S3113)),"South Korea",
ISNUMBER(SEARCH("Cape Verde",S3113)),"Cabo Verde",
ISNUMBER(SEARCH("Czechia",S3113)),"Czech Republic",
ISNUMBER(SEARCH("Türkiye",S3113)),"Turkey",
ISNUMBER(SEARCH("Ivory Coast",S3113)),"Côte d'Ivoire",
ISNUMBER(SEARCH("Korea Republic",S3113)),"South Korea",
ISNUMBER(SEARCH("Germany FR",S3113)),"FR Germany",
ISNUMBER(SEARCH("West Germany",S3113)),"FR Germany",
ISNUMBER(SEARCH("Germany DR",S3113)),"DR Germany",
ISNUMBER(SEARCH("Korea DPR",S3113)),"North Korea",
ISNUMBER(SEARCH("China PR",S3113)),"China",
ISNUMBER(SEARCH("IR Iran",S3113)),"Iran",
ISNUMBER(SEARCH("Congo DR",S3113)),"Democratic Republic of the Congo",
ISNUMBER(SEARCH("DR Congo",S3113)),"Democratic Republic of the Congo",
ISNUMBER(SEARCH("German DR",S3113)),"DR Germany",
ISNUMBER(SEARCH("rn""&gt;United Arab Emirates",S3113)),"United Arab Emirates",
ISNUMBER(SEARCH("rn""&gt;Republic of Ireland",S3113)),"Ireland",
ISNUMBER(SEARCH("rn""&gt;Bosnia and Herzegovina",S3113)),"Bosnia and Herzegovina",
ISNUMBER(SEARCH("rn""&gt;Trinidad and Tobago",S3113)),"Trinidad and Tobago",
ISNUMBER(SEARCH("rn""&gt;Serbia and Montenegro",S3113)),"Serbia and Montenegro",
ISNUMBER(SEARCH(_xlfn.UNICHAR(65533),S3113)),"Côte d'Ivoire",
TRUE,""
)</f>
        <v/>
      </c>
      <c r="W3113" s="40" t="str">
        <f t="shared" si="219"/>
        <v>Nigeria</v>
      </c>
    </row>
    <row r="3114" spans="19:23">
      <c r="S3114" s="40" t="str">
        <v>Greece</v>
      </c>
      <c r="T3114" s="40" t="str">
        <f t="shared" si="217"/>
        <v>OK</v>
      </c>
      <c r="U3114" s="40" t="str">
        <f t="shared" si="218"/>
        <v>-</v>
      </c>
      <c r="V3114" s="40" t="str" cm="1">
        <f t="array" ref="V3114">_xlfn.IFS(
ISNUMBER(SEARCH("USA",S3114)),"United States",
ISNUMBER(SEARCH("Republic of Ireland",S3114)),"Ireland",
ISNUMBER(SEARCH("Republic of Korea",S3114)),"South Korea",
ISNUMBER(SEARCH("Cape Verde",S3114)),"Cabo Verde",
ISNUMBER(SEARCH("Czechia",S3114)),"Czech Republic",
ISNUMBER(SEARCH("Türkiye",S3114)),"Turkey",
ISNUMBER(SEARCH("Ivory Coast",S3114)),"Côte d'Ivoire",
ISNUMBER(SEARCH("Korea Republic",S3114)),"South Korea",
ISNUMBER(SEARCH("Germany FR",S3114)),"FR Germany",
ISNUMBER(SEARCH("West Germany",S3114)),"FR Germany",
ISNUMBER(SEARCH("Germany DR",S3114)),"DR Germany",
ISNUMBER(SEARCH("Korea DPR",S3114)),"North Korea",
ISNUMBER(SEARCH("China PR",S3114)),"China",
ISNUMBER(SEARCH("IR Iran",S3114)),"Iran",
ISNUMBER(SEARCH("Congo DR",S3114)),"Democratic Republic of the Congo",
ISNUMBER(SEARCH("DR Congo",S3114)),"Democratic Republic of the Congo",
ISNUMBER(SEARCH("German DR",S3114)),"DR Germany",
ISNUMBER(SEARCH("rn""&gt;United Arab Emirates",S3114)),"United Arab Emirates",
ISNUMBER(SEARCH("rn""&gt;Republic of Ireland",S3114)),"Ireland",
ISNUMBER(SEARCH("rn""&gt;Bosnia and Herzegovina",S3114)),"Bosnia and Herzegovina",
ISNUMBER(SEARCH("rn""&gt;Trinidad and Tobago",S3114)),"Trinidad and Tobago",
ISNUMBER(SEARCH("rn""&gt;Serbia and Montenegro",S3114)),"Serbia and Montenegro",
ISNUMBER(SEARCH(_xlfn.UNICHAR(65533),S3114)),"Côte d'Ivoire",
TRUE,""
)</f>
        <v/>
      </c>
      <c r="W3114" s="40" t="str">
        <f t="shared" si="219"/>
        <v>Greece</v>
      </c>
    </row>
    <row r="3115" spans="19:23">
      <c r="S3115" s="40" t="str">
        <v>Slovenia</v>
      </c>
      <c r="T3115" s="40" t="str">
        <f t="shared" si="217"/>
        <v>OK</v>
      </c>
      <c r="U3115" s="40" t="str">
        <f t="shared" si="218"/>
        <v>-</v>
      </c>
      <c r="V3115" s="40" t="str" cm="1">
        <f t="array" ref="V3115">_xlfn.IFS(
ISNUMBER(SEARCH("USA",S3115)),"United States",
ISNUMBER(SEARCH("Republic of Ireland",S3115)),"Ireland",
ISNUMBER(SEARCH("Republic of Korea",S3115)),"South Korea",
ISNUMBER(SEARCH("Cape Verde",S3115)),"Cabo Verde",
ISNUMBER(SEARCH("Czechia",S3115)),"Czech Republic",
ISNUMBER(SEARCH("Türkiye",S3115)),"Turkey",
ISNUMBER(SEARCH("Ivory Coast",S3115)),"Côte d'Ivoire",
ISNUMBER(SEARCH("Korea Republic",S3115)),"South Korea",
ISNUMBER(SEARCH("Germany FR",S3115)),"FR Germany",
ISNUMBER(SEARCH("West Germany",S3115)),"FR Germany",
ISNUMBER(SEARCH("Germany DR",S3115)),"DR Germany",
ISNUMBER(SEARCH("Korea DPR",S3115)),"North Korea",
ISNUMBER(SEARCH("China PR",S3115)),"China",
ISNUMBER(SEARCH("IR Iran",S3115)),"Iran",
ISNUMBER(SEARCH("Congo DR",S3115)),"Democratic Republic of the Congo",
ISNUMBER(SEARCH("DR Congo",S3115)),"Democratic Republic of the Congo",
ISNUMBER(SEARCH("German DR",S3115)),"DR Germany",
ISNUMBER(SEARCH("rn""&gt;United Arab Emirates",S3115)),"United Arab Emirates",
ISNUMBER(SEARCH("rn""&gt;Republic of Ireland",S3115)),"Ireland",
ISNUMBER(SEARCH("rn""&gt;Bosnia and Herzegovina",S3115)),"Bosnia and Herzegovina",
ISNUMBER(SEARCH("rn""&gt;Trinidad and Tobago",S3115)),"Trinidad and Tobago",
ISNUMBER(SEARCH("rn""&gt;Serbia and Montenegro",S3115)),"Serbia and Montenegro",
ISNUMBER(SEARCH(_xlfn.UNICHAR(65533),S3115)),"Côte d'Ivoire",
TRUE,""
)</f>
        <v/>
      </c>
      <c r="W3115" s="40" t="str">
        <f t="shared" si="219"/>
        <v>Slovenia</v>
      </c>
    </row>
    <row r="3116" spans="19:23">
      <c r="S3116" s="40" t="str">
        <v>USA</v>
      </c>
      <c r="T3116" s="40" t="str">
        <f t="shared" si="217"/>
        <v>ERREUR</v>
      </c>
      <c r="U3116" s="40" t="str">
        <f t="shared" si="218"/>
        <v>RENOMMER</v>
      </c>
      <c r="V3116" s="40" t="str" cm="1">
        <f t="array" ref="V3116">_xlfn.IFS(
ISNUMBER(SEARCH("USA",S3116)),"United States",
ISNUMBER(SEARCH("Republic of Ireland",S3116)),"Ireland",
ISNUMBER(SEARCH("Republic of Korea",S3116)),"South Korea",
ISNUMBER(SEARCH("Cape Verde",S3116)),"Cabo Verde",
ISNUMBER(SEARCH("Czechia",S3116)),"Czech Republic",
ISNUMBER(SEARCH("Türkiye",S3116)),"Turkey",
ISNUMBER(SEARCH("Ivory Coast",S3116)),"Côte d'Ivoire",
ISNUMBER(SEARCH("Korea Republic",S3116)),"South Korea",
ISNUMBER(SEARCH("Germany FR",S3116)),"FR Germany",
ISNUMBER(SEARCH("West Germany",S3116)),"FR Germany",
ISNUMBER(SEARCH("Germany DR",S3116)),"DR Germany",
ISNUMBER(SEARCH("Korea DPR",S3116)),"North Korea",
ISNUMBER(SEARCH("China PR",S3116)),"China",
ISNUMBER(SEARCH("IR Iran",S3116)),"Iran",
ISNUMBER(SEARCH("Congo DR",S3116)),"Democratic Republic of the Congo",
ISNUMBER(SEARCH("DR Congo",S3116)),"Democratic Republic of the Congo",
ISNUMBER(SEARCH("German DR",S3116)),"DR Germany",
ISNUMBER(SEARCH("rn""&gt;United Arab Emirates",S3116)),"United Arab Emirates",
ISNUMBER(SEARCH("rn""&gt;Republic of Ireland",S3116)),"Ireland",
ISNUMBER(SEARCH("rn""&gt;Bosnia and Herzegovina",S3116)),"Bosnia and Herzegovina",
ISNUMBER(SEARCH("rn""&gt;Trinidad and Tobago",S3116)),"Trinidad and Tobago",
ISNUMBER(SEARCH("rn""&gt;Serbia and Montenegro",S3116)),"Serbia and Montenegro",
ISNUMBER(SEARCH(_xlfn.UNICHAR(65533),S3116)),"Côte d'Ivoire",
TRUE,""
)</f>
        <v>United States</v>
      </c>
      <c r="W3116" s="40" t="str">
        <f t="shared" si="219"/>
        <v>United States</v>
      </c>
    </row>
    <row r="3117" spans="19:23">
      <c r="S3117" s="40" t="str">
        <v>Ghana</v>
      </c>
      <c r="T3117" s="40" t="str">
        <f t="shared" si="217"/>
        <v>OK</v>
      </c>
      <c r="U3117" s="40" t="str">
        <f t="shared" si="218"/>
        <v>-</v>
      </c>
      <c r="V3117" s="40" t="str" cm="1">
        <f t="array" ref="V3117">_xlfn.IFS(
ISNUMBER(SEARCH("USA",S3117)),"United States",
ISNUMBER(SEARCH("Republic of Ireland",S3117)),"Ireland",
ISNUMBER(SEARCH("Republic of Korea",S3117)),"South Korea",
ISNUMBER(SEARCH("Cape Verde",S3117)),"Cabo Verde",
ISNUMBER(SEARCH("Czechia",S3117)),"Czech Republic",
ISNUMBER(SEARCH("Türkiye",S3117)),"Turkey",
ISNUMBER(SEARCH("Ivory Coast",S3117)),"Côte d'Ivoire",
ISNUMBER(SEARCH("Korea Republic",S3117)),"South Korea",
ISNUMBER(SEARCH("Germany FR",S3117)),"FR Germany",
ISNUMBER(SEARCH("West Germany",S3117)),"FR Germany",
ISNUMBER(SEARCH("Germany DR",S3117)),"DR Germany",
ISNUMBER(SEARCH("Korea DPR",S3117)),"North Korea",
ISNUMBER(SEARCH("China PR",S3117)),"China",
ISNUMBER(SEARCH("IR Iran",S3117)),"Iran",
ISNUMBER(SEARCH("Congo DR",S3117)),"Democratic Republic of the Congo",
ISNUMBER(SEARCH("DR Congo",S3117)),"Democratic Republic of the Congo",
ISNUMBER(SEARCH("German DR",S3117)),"DR Germany",
ISNUMBER(SEARCH("rn""&gt;United Arab Emirates",S3117)),"United Arab Emirates",
ISNUMBER(SEARCH("rn""&gt;Republic of Ireland",S3117)),"Ireland",
ISNUMBER(SEARCH("rn""&gt;Bosnia and Herzegovina",S3117)),"Bosnia and Herzegovina",
ISNUMBER(SEARCH("rn""&gt;Trinidad and Tobago",S3117)),"Trinidad and Tobago",
ISNUMBER(SEARCH("rn""&gt;Serbia and Montenegro",S3117)),"Serbia and Montenegro",
ISNUMBER(SEARCH(_xlfn.UNICHAR(65533),S3117)),"Côte d'Ivoire",
TRUE,""
)</f>
        <v/>
      </c>
      <c r="W3117" s="40" t="str">
        <f t="shared" si="219"/>
        <v>Ghana</v>
      </c>
    </row>
    <row r="3118" spans="19:23">
      <c r="S3118" s="40" t="str">
        <v>Australia</v>
      </c>
      <c r="T3118" s="40" t="str">
        <f t="shared" si="217"/>
        <v>OK</v>
      </c>
      <c r="U3118" s="40" t="str">
        <f t="shared" si="218"/>
        <v>-</v>
      </c>
      <c r="V3118" s="40" t="str" cm="1">
        <f t="array" ref="V3118">_xlfn.IFS(
ISNUMBER(SEARCH("USA",S3118)),"United States",
ISNUMBER(SEARCH("Republic of Ireland",S3118)),"Ireland",
ISNUMBER(SEARCH("Republic of Korea",S3118)),"South Korea",
ISNUMBER(SEARCH("Cape Verde",S3118)),"Cabo Verde",
ISNUMBER(SEARCH("Czechia",S3118)),"Czech Republic",
ISNUMBER(SEARCH("Türkiye",S3118)),"Turkey",
ISNUMBER(SEARCH("Ivory Coast",S3118)),"Côte d'Ivoire",
ISNUMBER(SEARCH("Korea Republic",S3118)),"South Korea",
ISNUMBER(SEARCH("Germany FR",S3118)),"FR Germany",
ISNUMBER(SEARCH("West Germany",S3118)),"FR Germany",
ISNUMBER(SEARCH("Germany DR",S3118)),"DR Germany",
ISNUMBER(SEARCH("Korea DPR",S3118)),"North Korea",
ISNUMBER(SEARCH("China PR",S3118)),"China",
ISNUMBER(SEARCH("IR Iran",S3118)),"Iran",
ISNUMBER(SEARCH("Congo DR",S3118)),"Democratic Republic of the Congo",
ISNUMBER(SEARCH("DR Congo",S3118)),"Democratic Republic of the Congo",
ISNUMBER(SEARCH("German DR",S3118)),"DR Germany",
ISNUMBER(SEARCH("rn""&gt;United Arab Emirates",S3118)),"United Arab Emirates",
ISNUMBER(SEARCH("rn""&gt;Republic of Ireland",S3118)),"Ireland",
ISNUMBER(SEARCH("rn""&gt;Bosnia and Herzegovina",S3118)),"Bosnia and Herzegovina",
ISNUMBER(SEARCH("rn""&gt;Trinidad and Tobago",S3118)),"Trinidad and Tobago",
ISNUMBER(SEARCH("rn""&gt;Serbia and Montenegro",S3118)),"Serbia and Montenegro",
ISNUMBER(SEARCH(_xlfn.UNICHAR(65533),S3118)),"Côte d'Ivoire",
TRUE,""
)</f>
        <v/>
      </c>
      <c r="W3118" s="40" t="str">
        <f t="shared" si="219"/>
        <v>Australia</v>
      </c>
    </row>
    <row r="3119" spans="19:23">
      <c r="S3119" s="40" t="str">
        <v>Slovakia</v>
      </c>
      <c r="T3119" s="40" t="str">
        <f t="shared" si="217"/>
        <v>OK</v>
      </c>
      <c r="U3119" s="40" t="str">
        <f t="shared" si="218"/>
        <v>-</v>
      </c>
      <c r="V3119" s="40" t="str" cm="1">
        <f t="array" ref="V3119">_xlfn.IFS(
ISNUMBER(SEARCH("USA",S3119)),"United States",
ISNUMBER(SEARCH("Republic of Ireland",S3119)),"Ireland",
ISNUMBER(SEARCH("Republic of Korea",S3119)),"South Korea",
ISNUMBER(SEARCH("Cape Verde",S3119)),"Cabo Verde",
ISNUMBER(SEARCH("Czechia",S3119)),"Czech Republic",
ISNUMBER(SEARCH("Türkiye",S3119)),"Turkey",
ISNUMBER(SEARCH("Ivory Coast",S3119)),"Côte d'Ivoire",
ISNUMBER(SEARCH("Korea Republic",S3119)),"South Korea",
ISNUMBER(SEARCH("Germany FR",S3119)),"FR Germany",
ISNUMBER(SEARCH("West Germany",S3119)),"FR Germany",
ISNUMBER(SEARCH("Germany DR",S3119)),"DR Germany",
ISNUMBER(SEARCH("Korea DPR",S3119)),"North Korea",
ISNUMBER(SEARCH("China PR",S3119)),"China",
ISNUMBER(SEARCH("IR Iran",S3119)),"Iran",
ISNUMBER(SEARCH("Congo DR",S3119)),"Democratic Republic of the Congo",
ISNUMBER(SEARCH("DR Congo",S3119)),"Democratic Republic of the Congo",
ISNUMBER(SEARCH("German DR",S3119)),"DR Germany",
ISNUMBER(SEARCH("rn""&gt;United Arab Emirates",S3119)),"United Arab Emirates",
ISNUMBER(SEARCH("rn""&gt;Republic of Ireland",S3119)),"Ireland",
ISNUMBER(SEARCH("rn""&gt;Bosnia and Herzegovina",S3119)),"Bosnia and Herzegovina",
ISNUMBER(SEARCH("rn""&gt;Trinidad and Tobago",S3119)),"Trinidad and Tobago",
ISNUMBER(SEARCH("rn""&gt;Serbia and Montenegro",S3119)),"Serbia and Montenegro",
ISNUMBER(SEARCH(_xlfn.UNICHAR(65533),S3119)),"Côte d'Ivoire",
TRUE,""
)</f>
        <v/>
      </c>
      <c r="W3119" s="40" t="str">
        <f t="shared" si="219"/>
        <v>Slovakia</v>
      </c>
    </row>
    <row r="3120" spans="19:23">
      <c r="S3120" s="40" t="str">
        <v>Paraguay</v>
      </c>
      <c r="T3120" s="40" t="str">
        <f t="shared" si="217"/>
        <v>OK</v>
      </c>
      <c r="U3120" s="40" t="str">
        <f t="shared" si="218"/>
        <v>-</v>
      </c>
      <c r="V3120" s="40" t="str" cm="1">
        <f t="array" ref="V3120">_xlfn.IFS(
ISNUMBER(SEARCH("USA",S3120)),"United States",
ISNUMBER(SEARCH("Republic of Ireland",S3120)),"Ireland",
ISNUMBER(SEARCH("Republic of Korea",S3120)),"South Korea",
ISNUMBER(SEARCH("Cape Verde",S3120)),"Cabo Verde",
ISNUMBER(SEARCH("Czechia",S3120)),"Czech Republic",
ISNUMBER(SEARCH("Türkiye",S3120)),"Turkey",
ISNUMBER(SEARCH("Ivory Coast",S3120)),"Côte d'Ivoire",
ISNUMBER(SEARCH("Korea Republic",S3120)),"South Korea",
ISNUMBER(SEARCH("Germany FR",S3120)),"FR Germany",
ISNUMBER(SEARCH("West Germany",S3120)),"FR Germany",
ISNUMBER(SEARCH("Germany DR",S3120)),"DR Germany",
ISNUMBER(SEARCH("Korea DPR",S3120)),"North Korea",
ISNUMBER(SEARCH("China PR",S3120)),"China",
ISNUMBER(SEARCH("IR Iran",S3120)),"Iran",
ISNUMBER(SEARCH("Congo DR",S3120)),"Democratic Republic of the Congo",
ISNUMBER(SEARCH("DR Congo",S3120)),"Democratic Republic of the Congo",
ISNUMBER(SEARCH("German DR",S3120)),"DR Germany",
ISNUMBER(SEARCH("rn""&gt;United Arab Emirates",S3120)),"United Arab Emirates",
ISNUMBER(SEARCH("rn""&gt;Republic of Ireland",S3120)),"Ireland",
ISNUMBER(SEARCH("rn""&gt;Bosnia and Herzegovina",S3120)),"Bosnia and Herzegovina",
ISNUMBER(SEARCH("rn""&gt;Trinidad and Tobago",S3120)),"Trinidad and Tobago",
ISNUMBER(SEARCH("rn""&gt;Serbia and Montenegro",S3120)),"Serbia and Montenegro",
ISNUMBER(SEARCH(_xlfn.UNICHAR(65533),S3120)),"Côte d'Ivoire",
TRUE,""
)</f>
        <v/>
      </c>
      <c r="W3120" s="40" t="str">
        <f t="shared" si="219"/>
        <v>Paraguay</v>
      </c>
    </row>
    <row r="3121" spans="19:23">
      <c r="S3121" s="40" t="str">
        <v>Denmark</v>
      </c>
      <c r="T3121" s="40" t="str">
        <f t="shared" si="217"/>
        <v>OK</v>
      </c>
      <c r="U3121" s="40" t="str">
        <f t="shared" si="218"/>
        <v>-</v>
      </c>
      <c r="V3121" s="40" t="str" cm="1">
        <f t="array" ref="V3121">_xlfn.IFS(
ISNUMBER(SEARCH("USA",S3121)),"United States",
ISNUMBER(SEARCH("Republic of Ireland",S3121)),"Ireland",
ISNUMBER(SEARCH("Republic of Korea",S3121)),"South Korea",
ISNUMBER(SEARCH("Cape Verde",S3121)),"Cabo Verde",
ISNUMBER(SEARCH("Czechia",S3121)),"Czech Republic",
ISNUMBER(SEARCH("Türkiye",S3121)),"Turkey",
ISNUMBER(SEARCH("Ivory Coast",S3121)),"Côte d'Ivoire",
ISNUMBER(SEARCH("Korea Republic",S3121)),"South Korea",
ISNUMBER(SEARCH("Germany FR",S3121)),"FR Germany",
ISNUMBER(SEARCH("West Germany",S3121)),"FR Germany",
ISNUMBER(SEARCH("Germany DR",S3121)),"DR Germany",
ISNUMBER(SEARCH("Korea DPR",S3121)),"North Korea",
ISNUMBER(SEARCH("China PR",S3121)),"China",
ISNUMBER(SEARCH("IR Iran",S3121)),"Iran",
ISNUMBER(SEARCH("Congo DR",S3121)),"Democratic Republic of the Congo",
ISNUMBER(SEARCH("DR Congo",S3121)),"Democratic Republic of the Congo",
ISNUMBER(SEARCH("German DR",S3121)),"DR Germany",
ISNUMBER(SEARCH("rn""&gt;United Arab Emirates",S3121)),"United Arab Emirates",
ISNUMBER(SEARCH("rn""&gt;Republic of Ireland",S3121)),"Ireland",
ISNUMBER(SEARCH("rn""&gt;Bosnia and Herzegovina",S3121)),"Bosnia and Herzegovina",
ISNUMBER(SEARCH("rn""&gt;Trinidad and Tobago",S3121)),"Trinidad and Tobago",
ISNUMBER(SEARCH("rn""&gt;Serbia and Montenegro",S3121)),"Serbia and Montenegro",
ISNUMBER(SEARCH(_xlfn.UNICHAR(65533),S3121)),"Côte d'Ivoire",
TRUE,""
)</f>
        <v/>
      </c>
      <c r="W3121" s="40" t="str">
        <f t="shared" si="219"/>
        <v>Denmark</v>
      </c>
    </row>
    <row r="3122" spans="19:23">
      <c r="S3122" s="40" t="str">
        <v>Cameroon</v>
      </c>
      <c r="T3122" s="40" t="str">
        <f t="shared" si="217"/>
        <v>OK</v>
      </c>
      <c r="U3122" s="40" t="str">
        <f t="shared" si="218"/>
        <v>-</v>
      </c>
      <c r="V3122" s="40" t="str" cm="1">
        <f t="array" ref="V3122">_xlfn.IFS(
ISNUMBER(SEARCH("USA",S3122)),"United States",
ISNUMBER(SEARCH("Republic of Ireland",S3122)),"Ireland",
ISNUMBER(SEARCH("Republic of Korea",S3122)),"South Korea",
ISNUMBER(SEARCH("Cape Verde",S3122)),"Cabo Verde",
ISNUMBER(SEARCH("Czechia",S3122)),"Czech Republic",
ISNUMBER(SEARCH("Türkiye",S3122)),"Turkey",
ISNUMBER(SEARCH("Ivory Coast",S3122)),"Côte d'Ivoire",
ISNUMBER(SEARCH("Korea Republic",S3122)),"South Korea",
ISNUMBER(SEARCH("Germany FR",S3122)),"FR Germany",
ISNUMBER(SEARCH("West Germany",S3122)),"FR Germany",
ISNUMBER(SEARCH("Germany DR",S3122)),"DR Germany",
ISNUMBER(SEARCH("Korea DPR",S3122)),"North Korea",
ISNUMBER(SEARCH("China PR",S3122)),"China",
ISNUMBER(SEARCH("IR Iran",S3122)),"Iran",
ISNUMBER(SEARCH("Congo DR",S3122)),"Democratic Republic of the Congo",
ISNUMBER(SEARCH("DR Congo",S3122)),"Democratic Republic of the Congo",
ISNUMBER(SEARCH("German DR",S3122)),"DR Germany",
ISNUMBER(SEARCH("rn""&gt;United Arab Emirates",S3122)),"United Arab Emirates",
ISNUMBER(SEARCH("rn""&gt;Republic of Ireland",S3122)),"Ireland",
ISNUMBER(SEARCH("rn""&gt;Bosnia and Herzegovina",S3122)),"Bosnia and Herzegovina",
ISNUMBER(SEARCH("rn""&gt;Trinidad and Tobago",S3122)),"Trinidad and Tobago",
ISNUMBER(SEARCH("rn""&gt;Serbia and Montenegro",S3122)),"Serbia and Montenegro",
ISNUMBER(SEARCH(_xlfn.UNICHAR(65533),S3122)),"Côte d'Ivoire",
TRUE,""
)</f>
        <v/>
      </c>
      <c r="W3122" s="40" t="str">
        <f t="shared" si="219"/>
        <v>Cameroon</v>
      </c>
    </row>
    <row r="3123" spans="19:23">
      <c r="S3123" s="40" t="str">
        <v>Portugal</v>
      </c>
      <c r="T3123" s="40" t="str">
        <f t="shared" si="217"/>
        <v>OK</v>
      </c>
      <c r="U3123" s="40" t="str">
        <f t="shared" si="218"/>
        <v>-</v>
      </c>
      <c r="V3123" s="40" t="str" cm="1">
        <f t="array" ref="V3123">_xlfn.IFS(
ISNUMBER(SEARCH("USA",S3123)),"United States",
ISNUMBER(SEARCH("Republic of Ireland",S3123)),"Ireland",
ISNUMBER(SEARCH("Republic of Korea",S3123)),"South Korea",
ISNUMBER(SEARCH("Cape Verde",S3123)),"Cabo Verde",
ISNUMBER(SEARCH("Czechia",S3123)),"Czech Republic",
ISNUMBER(SEARCH("Türkiye",S3123)),"Turkey",
ISNUMBER(SEARCH("Ivory Coast",S3123)),"Côte d'Ivoire",
ISNUMBER(SEARCH("Korea Republic",S3123)),"South Korea",
ISNUMBER(SEARCH("Germany FR",S3123)),"FR Germany",
ISNUMBER(SEARCH("West Germany",S3123)),"FR Germany",
ISNUMBER(SEARCH("Germany DR",S3123)),"DR Germany",
ISNUMBER(SEARCH("Korea DPR",S3123)),"North Korea",
ISNUMBER(SEARCH("China PR",S3123)),"China",
ISNUMBER(SEARCH("IR Iran",S3123)),"Iran",
ISNUMBER(SEARCH("Congo DR",S3123)),"Democratic Republic of the Congo",
ISNUMBER(SEARCH("DR Congo",S3123)),"Democratic Republic of the Congo",
ISNUMBER(SEARCH("German DR",S3123)),"DR Germany",
ISNUMBER(SEARCH("rn""&gt;United Arab Emirates",S3123)),"United Arab Emirates",
ISNUMBER(SEARCH("rn""&gt;Republic of Ireland",S3123)),"Ireland",
ISNUMBER(SEARCH("rn""&gt;Bosnia and Herzegovina",S3123)),"Bosnia and Herzegovina",
ISNUMBER(SEARCH("rn""&gt;Trinidad and Tobago",S3123)),"Trinidad and Tobago",
ISNUMBER(SEARCH("rn""&gt;Serbia and Montenegro",S3123)),"Serbia and Montenegro",
ISNUMBER(SEARCH(_xlfn.UNICHAR(65533),S3123)),"Côte d'Ivoire",
TRUE,""
)</f>
        <v/>
      </c>
      <c r="W3123" s="40" t="str">
        <f t="shared" si="219"/>
        <v>Portugal</v>
      </c>
    </row>
    <row r="3124" spans="19:23">
      <c r="S3124" s="40" t="str">
        <v>Korea DPR</v>
      </c>
      <c r="T3124" s="40" t="str">
        <f t="shared" si="217"/>
        <v>ERREUR</v>
      </c>
      <c r="U3124" s="40" t="str">
        <f t="shared" si="218"/>
        <v>RENOMMER</v>
      </c>
      <c r="V3124" s="40" t="str" cm="1">
        <f t="array" ref="V3124">_xlfn.IFS(
ISNUMBER(SEARCH("USA",S3124)),"United States",
ISNUMBER(SEARCH("Republic of Ireland",S3124)),"Ireland",
ISNUMBER(SEARCH("Republic of Korea",S3124)),"South Korea",
ISNUMBER(SEARCH("Cape Verde",S3124)),"Cabo Verde",
ISNUMBER(SEARCH("Czechia",S3124)),"Czech Republic",
ISNUMBER(SEARCH("Türkiye",S3124)),"Turkey",
ISNUMBER(SEARCH("Ivory Coast",S3124)),"Côte d'Ivoire",
ISNUMBER(SEARCH("Korea Republic",S3124)),"South Korea",
ISNUMBER(SEARCH("Germany FR",S3124)),"FR Germany",
ISNUMBER(SEARCH("West Germany",S3124)),"FR Germany",
ISNUMBER(SEARCH("Germany DR",S3124)),"DR Germany",
ISNUMBER(SEARCH("Korea DPR",S3124)),"North Korea",
ISNUMBER(SEARCH("China PR",S3124)),"China",
ISNUMBER(SEARCH("IR Iran",S3124)),"Iran",
ISNUMBER(SEARCH("Congo DR",S3124)),"Democratic Republic of the Congo",
ISNUMBER(SEARCH("DR Congo",S3124)),"Democratic Republic of the Congo",
ISNUMBER(SEARCH("German DR",S3124)),"DR Germany",
ISNUMBER(SEARCH("rn""&gt;United Arab Emirates",S3124)),"United Arab Emirates",
ISNUMBER(SEARCH("rn""&gt;Republic of Ireland",S3124)),"Ireland",
ISNUMBER(SEARCH("rn""&gt;Bosnia and Herzegovina",S3124)),"Bosnia and Herzegovina",
ISNUMBER(SEARCH("rn""&gt;Trinidad and Tobago",S3124)),"Trinidad and Tobago",
ISNUMBER(SEARCH("rn""&gt;Serbia and Montenegro",S3124)),"Serbia and Montenegro",
ISNUMBER(SEARCH(_xlfn.UNICHAR(65533),S3124)),"Côte d'Ivoire",
TRUE,""
)</f>
        <v>North Korea</v>
      </c>
      <c r="W3124" s="40" t="str">
        <f t="shared" si="219"/>
        <v>North Korea</v>
      </c>
    </row>
    <row r="3125" spans="19:23">
      <c r="S3125" s="40" t="str">
        <v>Chile</v>
      </c>
      <c r="T3125" s="40" t="str">
        <f t="shared" si="217"/>
        <v>OK</v>
      </c>
      <c r="U3125" s="40" t="str">
        <f t="shared" si="218"/>
        <v>-</v>
      </c>
      <c r="V3125" s="40" t="str" cm="1">
        <f t="array" ref="V3125">_xlfn.IFS(
ISNUMBER(SEARCH("USA",S3125)),"United States",
ISNUMBER(SEARCH("Republic of Ireland",S3125)),"Ireland",
ISNUMBER(SEARCH("Republic of Korea",S3125)),"South Korea",
ISNUMBER(SEARCH("Cape Verde",S3125)),"Cabo Verde",
ISNUMBER(SEARCH("Czechia",S3125)),"Czech Republic",
ISNUMBER(SEARCH("Türkiye",S3125)),"Turkey",
ISNUMBER(SEARCH("Ivory Coast",S3125)),"Côte d'Ivoire",
ISNUMBER(SEARCH("Korea Republic",S3125)),"South Korea",
ISNUMBER(SEARCH("Germany FR",S3125)),"FR Germany",
ISNUMBER(SEARCH("West Germany",S3125)),"FR Germany",
ISNUMBER(SEARCH("Germany DR",S3125)),"DR Germany",
ISNUMBER(SEARCH("Korea DPR",S3125)),"North Korea",
ISNUMBER(SEARCH("China PR",S3125)),"China",
ISNUMBER(SEARCH("IR Iran",S3125)),"Iran",
ISNUMBER(SEARCH("Congo DR",S3125)),"Democratic Republic of the Congo",
ISNUMBER(SEARCH("DR Congo",S3125)),"Democratic Republic of the Congo",
ISNUMBER(SEARCH("German DR",S3125)),"DR Germany",
ISNUMBER(SEARCH("rn""&gt;United Arab Emirates",S3125)),"United Arab Emirates",
ISNUMBER(SEARCH("rn""&gt;Republic of Ireland",S3125)),"Ireland",
ISNUMBER(SEARCH("rn""&gt;Bosnia and Herzegovina",S3125)),"Bosnia and Herzegovina",
ISNUMBER(SEARCH("rn""&gt;Trinidad and Tobago",S3125)),"Trinidad and Tobago",
ISNUMBER(SEARCH("rn""&gt;Serbia and Montenegro",S3125)),"Serbia and Montenegro",
ISNUMBER(SEARCH(_xlfn.UNICHAR(65533),S3125)),"Côte d'Ivoire",
TRUE,""
)</f>
        <v/>
      </c>
      <c r="W3125" s="40" t="str">
        <f t="shared" si="219"/>
        <v>Chile</v>
      </c>
    </row>
    <row r="3126" spans="19:23">
      <c r="S3126" s="40" t="str">
        <v>Switzerland</v>
      </c>
      <c r="T3126" s="40" t="str">
        <f t="shared" si="217"/>
        <v>OK</v>
      </c>
      <c r="U3126" s="40" t="str">
        <f t="shared" si="218"/>
        <v>-</v>
      </c>
      <c r="V3126" s="40" t="str" cm="1">
        <f t="array" ref="V3126">_xlfn.IFS(
ISNUMBER(SEARCH("USA",S3126)),"United States",
ISNUMBER(SEARCH("Republic of Ireland",S3126)),"Ireland",
ISNUMBER(SEARCH("Republic of Korea",S3126)),"South Korea",
ISNUMBER(SEARCH("Cape Verde",S3126)),"Cabo Verde",
ISNUMBER(SEARCH("Czechia",S3126)),"Czech Republic",
ISNUMBER(SEARCH("Türkiye",S3126)),"Turkey",
ISNUMBER(SEARCH("Ivory Coast",S3126)),"Côte d'Ivoire",
ISNUMBER(SEARCH("Korea Republic",S3126)),"South Korea",
ISNUMBER(SEARCH("Germany FR",S3126)),"FR Germany",
ISNUMBER(SEARCH("West Germany",S3126)),"FR Germany",
ISNUMBER(SEARCH("Germany DR",S3126)),"DR Germany",
ISNUMBER(SEARCH("Korea DPR",S3126)),"North Korea",
ISNUMBER(SEARCH("China PR",S3126)),"China",
ISNUMBER(SEARCH("IR Iran",S3126)),"Iran",
ISNUMBER(SEARCH("Congo DR",S3126)),"Democratic Republic of the Congo",
ISNUMBER(SEARCH("DR Congo",S3126)),"Democratic Republic of the Congo",
ISNUMBER(SEARCH("German DR",S3126)),"DR Germany",
ISNUMBER(SEARCH("rn""&gt;United Arab Emirates",S3126)),"United Arab Emirates",
ISNUMBER(SEARCH("rn""&gt;Republic of Ireland",S3126)),"Ireland",
ISNUMBER(SEARCH("rn""&gt;Bosnia and Herzegovina",S3126)),"Bosnia and Herzegovina",
ISNUMBER(SEARCH("rn""&gt;Trinidad and Tobago",S3126)),"Trinidad and Tobago",
ISNUMBER(SEARCH("rn""&gt;Serbia and Montenegro",S3126)),"Serbia and Montenegro",
ISNUMBER(SEARCH(_xlfn.UNICHAR(65533),S3126)),"Côte d'Ivoire",
TRUE,""
)</f>
        <v/>
      </c>
      <c r="W3126" s="40" t="str">
        <f t="shared" si="219"/>
        <v>Switzerland</v>
      </c>
    </row>
    <row r="3127" spans="19:23">
      <c r="S3127" s="40" t="str">
        <v>Uruguay</v>
      </c>
      <c r="T3127" s="40" t="str">
        <f t="shared" si="217"/>
        <v>OK</v>
      </c>
      <c r="U3127" s="40" t="str">
        <f t="shared" si="218"/>
        <v>-</v>
      </c>
      <c r="V3127" s="40" t="str" cm="1">
        <f t="array" ref="V3127">_xlfn.IFS(
ISNUMBER(SEARCH("USA",S3127)),"United States",
ISNUMBER(SEARCH("Republic of Ireland",S3127)),"Ireland",
ISNUMBER(SEARCH("Republic of Korea",S3127)),"South Korea",
ISNUMBER(SEARCH("Cape Verde",S3127)),"Cabo Verde",
ISNUMBER(SEARCH("Czechia",S3127)),"Czech Republic",
ISNUMBER(SEARCH("Türkiye",S3127)),"Turkey",
ISNUMBER(SEARCH("Ivory Coast",S3127)),"Côte d'Ivoire",
ISNUMBER(SEARCH("Korea Republic",S3127)),"South Korea",
ISNUMBER(SEARCH("Germany FR",S3127)),"FR Germany",
ISNUMBER(SEARCH("West Germany",S3127)),"FR Germany",
ISNUMBER(SEARCH("Germany DR",S3127)),"DR Germany",
ISNUMBER(SEARCH("Korea DPR",S3127)),"North Korea",
ISNUMBER(SEARCH("China PR",S3127)),"China",
ISNUMBER(SEARCH("IR Iran",S3127)),"Iran",
ISNUMBER(SEARCH("Congo DR",S3127)),"Democratic Republic of the Congo",
ISNUMBER(SEARCH("DR Congo",S3127)),"Democratic Republic of the Congo",
ISNUMBER(SEARCH("German DR",S3127)),"DR Germany",
ISNUMBER(SEARCH("rn""&gt;United Arab Emirates",S3127)),"United Arab Emirates",
ISNUMBER(SEARCH("rn""&gt;Republic of Ireland",S3127)),"Ireland",
ISNUMBER(SEARCH("rn""&gt;Bosnia and Herzegovina",S3127)),"Bosnia and Herzegovina",
ISNUMBER(SEARCH("rn""&gt;Trinidad and Tobago",S3127)),"Trinidad and Tobago",
ISNUMBER(SEARCH("rn""&gt;Serbia and Montenegro",S3127)),"Serbia and Montenegro",
ISNUMBER(SEARCH(_xlfn.UNICHAR(65533),S3127)),"Côte d'Ivoire",
TRUE,""
)</f>
        <v/>
      </c>
      <c r="W3127" s="40" t="str">
        <f t="shared" si="219"/>
        <v>Uruguay</v>
      </c>
    </row>
    <row r="3128" spans="19:23">
      <c r="S3128" s="40" t="str">
        <v>USA</v>
      </c>
      <c r="T3128" s="40" t="str">
        <f t="shared" si="217"/>
        <v>ERREUR</v>
      </c>
      <c r="U3128" s="40" t="str">
        <f t="shared" si="218"/>
        <v>RENOMMER</v>
      </c>
      <c r="V3128" s="40" t="str" cm="1">
        <f t="array" ref="V3128">_xlfn.IFS(
ISNUMBER(SEARCH("USA",S3128)),"United States",
ISNUMBER(SEARCH("Republic of Ireland",S3128)),"Ireland",
ISNUMBER(SEARCH("Republic of Korea",S3128)),"South Korea",
ISNUMBER(SEARCH("Cape Verde",S3128)),"Cabo Verde",
ISNUMBER(SEARCH("Czechia",S3128)),"Czech Republic",
ISNUMBER(SEARCH("Türkiye",S3128)),"Turkey",
ISNUMBER(SEARCH("Ivory Coast",S3128)),"Côte d'Ivoire",
ISNUMBER(SEARCH("Korea Republic",S3128)),"South Korea",
ISNUMBER(SEARCH("Germany FR",S3128)),"FR Germany",
ISNUMBER(SEARCH("West Germany",S3128)),"FR Germany",
ISNUMBER(SEARCH("Germany DR",S3128)),"DR Germany",
ISNUMBER(SEARCH("Korea DPR",S3128)),"North Korea",
ISNUMBER(SEARCH("China PR",S3128)),"China",
ISNUMBER(SEARCH("IR Iran",S3128)),"Iran",
ISNUMBER(SEARCH("Congo DR",S3128)),"Democratic Republic of the Congo",
ISNUMBER(SEARCH("DR Congo",S3128)),"Democratic Republic of the Congo",
ISNUMBER(SEARCH("German DR",S3128)),"DR Germany",
ISNUMBER(SEARCH("rn""&gt;United Arab Emirates",S3128)),"United Arab Emirates",
ISNUMBER(SEARCH("rn""&gt;Republic of Ireland",S3128)),"Ireland",
ISNUMBER(SEARCH("rn""&gt;Bosnia and Herzegovina",S3128)),"Bosnia and Herzegovina",
ISNUMBER(SEARCH("rn""&gt;Trinidad and Tobago",S3128)),"Trinidad and Tobago",
ISNUMBER(SEARCH("rn""&gt;Serbia and Montenegro",S3128)),"Serbia and Montenegro",
ISNUMBER(SEARCH(_xlfn.UNICHAR(65533),S3128)),"Côte d'Ivoire",
TRUE,""
)</f>
        <v>United States</v>
      </c>
      <c r="W3128" s="40" t="str">
        <f t="shared" si="219"/>
        <v>United States</v>
      </c>
    </row>
    <row r="3129" spans="19:23">
      <c r="S3129" s="40" t="str">
        <v>Germany</v>
      </c>
      <c r="T3129" s="40" t="str">
        <f t="shared" si="217"/>
        <v>OK</v>
      </c>
      <c r="U3129" s="40" t="str">
        <f t="shared" si="218"/>
        <v>-</v>
      </c>
      <c r="V3129" s="40" t="str" cm="1">
        <f t="array" ref="V3129">_xlfn.IFS(
ISNUMBER(SEARCH("USA",S3129)),"United States",
ISNUMBER(SEARCH("Republic of Ireland",S3129)),"Ireland",
ISNUMBER(SEARCH("Republic of Korea",S3129)),"South Korea",
ISNUMBER(SEARCH("Cape Verde",S3129)),"Cabo Verde",
ISNUMBER(SEARCH("Czechia",S3129)),"Czech Republic",
ISNUMBER(SEARCH("Türkiye",S3129)),"Turkey",
ISNUMBER(SEARCH("Ivory Coast",S3129)),"Côte d'Ivoire",
ISNUMBER(SEARCH("Korea Republic",S3129)),"South Korea",
ISNUMBER(SEARCH("Germany FR",S3129)),"FR Germany",
ISNUMBER(SEARCH("West Germany",S3129)),"FR Germany",
ISNUMBER(SEARCH("Germany DR",S3129)),"DR Germany",
ISNUMBER(SEARCH("Korea DPR",S3129)),"North Korea",
ISNUMBER(SEARCH("China PR",S3129)),"China",
ISNUMBER(SEARCH("IR Iran",S3129)),"Iran",
ISNUMBER(SEARCH("Congo DR",S3129)),"Democratic Republic of the Congo",
ISNUMBER(SEARCH("DR Congo",S3129)),"Democratic Republic of the Congo",
ISNUMBER(SEARCH("German DR",S3129)),"DR Germany",
ISNUMBER(SEARCH("rn""&gt;United Arab Emirates",S3129)),"United Arab Emirates",
ISNUMBER(SEARCH("rn""&gt;Republic of Ireland",S3129)),"Ireland",
ISNUMBER(SEARCH("rn""&gt;Bosnia and Herzegovina",S3129)),"Bosnia and Herzegovina",
ISNUMBER(SEARCH("rn""&gt;Trinidad and Tobago",S3129)),"Trinidad and Tobago",
ISNUMBER(SEARCH("rn""&gt;Serbia and Montenegro",S3129)),"Serbia and Montenegro",
ISNUMBER(SEARCH(_xlfn.UNICHAR(65533),S3129)),"Côte d'Ivoire",
TRUE,""
)</f>
        <v/>
      </c>
      <c r="W3129" s="40" t="str">
        <f t="shared" si="219"/>
        <v>Germany</v>
      </c>
    </row>
    <row r="3130" spans="19:23">
      <c r="S3130" s="40" t="str">
        <v>Argentina</v>
      </c>
      <c r="T3130" s="40" t="str">
        <f t="shared" si="217"/>
        <v>OK</v>
      </c>
      <c r="U3130" s="40" t="str">
        <f t="shared" si="218"/>
        <v>-</v>
      </c>
      <c r="V3130" s="40" t="str" cm="1">
        <f t="array" ref="V3130">_xlfn.IFS(
ISNUMBER(SEARCH("USA",S3130)),"United States",
ISNUMBER(SEARCH("Republic of Ireland",S3130)),"Ireland",
ISNUMBER(SEARCH("Republic of Korea",S3130)),"South Korea",
ISNUMBER(SEARCH("Cape Verde",S3130)),"Cabo Verde",
ISNUMBER(SEARCH("Czechia",S3130)),"Czech Republic",
ISNUMBER(SEARCH("Türkiye",S3130)),"Turkey",
ISNUMBER(SEARCH("Ivory Coast",S3130)),"Côte d'Ivoire",
ISNUMBER(SEARCH("Korea Republic",S3130)),"South Korea",
ISNUMBER(SEARCH("Germany FR",S3130)),"FR Germany",
ISNUMBER(SEARCH("West Germany",S3130)),"FR Germany",
ISNUMBER(SEARCH("Germany DR",S3130)),"DR Germany",
ISNUMBER(SEARCH("Korea DPR",S3130)),"North Korea",
ISNUMBER(SEARCH("China PR",S3130)),"China",
ISNUMBER(SEARCH("IR Iran",S3130)),"Iran",
ISNUMBER(SEARCH("Congo DR",S3130)),"Democratic Republic of the Congo",
ISNUMBER(SEARCH("DR Congo",S3130)),"Democratic Republic of the Congo",
ISNUMBER(SEARCH("German DR",S3130)),"DR Germany",
ISNUMBER(SEARCH("rn""&gt;United Arab Emirates",S3130)),"United Arab Emirates",
ISNUMBER(SEARCH("rn""&gt;Republic of Ireland",S3130)),"Ireland",
ISNUMBER(SEARCH("rn""&gt;Bosnia and Herzegovina",S3130)),"Bosnia and Herzegovina",
ISNUMBER(SEARCH("rn""&gt;Trinidad and Tobago",S3130)),"Trinidad and Tobago",
ISNUMBER(SEARCH("rn""&gt;Serbia and Montenegro",S3130)),"Serbia and Montenegro",
ISNUMBER(SEARCH(_xlfn.UNICHAR(65533),S3130)),"Côte d'Ivoire",
TRUE,""
)</f>
        <v/>
      </c>
      <c r="W3130" s="40" t="str">
        <f t="shared" si="219"/>
        <v>Argentina</v>
      </c>
    </row>
    <row r="3131" spans="19:23">
      <c r="S3131" s="40" t="str">
        <v>Netherlands</v>
      </c>
      <c r="T3131" s="40" t="str">
        <f t="shared" si="217"/>
        <v>OK</v>
      </c>
      <c r="U3131" s="40" t="str">
        <f t="shared" si="218"/>
        <v>-</v>
      </c>
      <c r="V3131" s="40" t="str" cm="1">
        <f t="array" ref="V3131">_xlfn.IFS(
ISNUMBER(SEARCH("USA",S3131)),"United States",
ISNUMBER(SEARCH("Republic of Ireland",S3131)),"Ireland",
ISNUMBER(SEARCH("Republic of Korea",S3131)),"South Korea",
ISNUMBER(SEARCH("Cape Verde",S3131)),"Cabo Verde",
ISNUMBER(SEARCH("Czechia",S3131)),"Czech Republic",
ISNUMBER(SEARCH("Türkiye",S3131)),"Turkey",
ISNUMBER(SEARCH("Ivory Coast",S3131)),"Côte d'Ivoire",
ISNUMBER(SEARCH("Korea Republic",S3131)),"South Korea",
ISNUMBER(SEARCH("Germany FR",S3131)),"FR Germany",
ISNUMBER(SEARCH("West Germany",S3131)),"FR Germany",
ISNUMBER(SEARCH("Germany DR",S3131)),"DR Germany",
ISNUMBER(SEARCH("Korea DPR",S3131)),"North Korea",
ISNUMBER(SEARCH("China PR",S3131)),"China",
ISNUMBER(SEARCH("IR Iran",S3131)),"Iran",
ISNUMBER(SEARCH("Congo DR",S3131)),"Democratic Republic of the Congo",
ISNUMBER(SEARCH("DR Congo",S3131)),"Democratic Republic of the Congo",
ISNUMBER(SEARCH("German DR",S3131)),"DR Germany",
ISNUMBER(SEARCH("rn""&gt;United Arab Emirates",S3131)),"United Arab Emirates",
ISNUMBER(SEARCH("rn""&gt;Republic of Ireland",S3131)),"Ireland",
ISNUMBER(SEARCH("rn""&gt;Bosnia and Herzegovina",S3131)),"Bosnia and Herzegovina",
ISNUMBER(SEARCH("rn""&gt;Trinidad and Tobago",S3131)),"Trinidad and Tobago",
ISNUMBER(SEARCH("rn""&gt;Serbia and Montenegro",S3131)),"Serbia and Montenegro",
ISNUMBER(SEARCH(_xlfn.UNICHAR(65533),S3131)),"Côte d'Ivoire",
TRUE,""
)</f>
        <v/>
      </c>
      <c r="W3131" s="40" t="str">
        <f t="shared" si="219"/>
        <v>Netherlands</v>
      </c>
    </row>
    <row r="3132" spans="19:23">
      <c r="S3132" s="40" t="str">
        <v>Brazil</v>
      </c>
      <c r="T3132" s="40" t="str">
        <f t="shared" si="217"/>
        <v>OK</v>
      </c>
      <c r="U3132" s="40" t="str">
        <f t="shared" si="218"/>
        <v>-</v>
      </c>
      <c r="V3132" s="40" t="str" cm="1">
        <f t="array" ref="V3132">_xlfn.IFS(
ISNUMBER(SEARCH("USA",S3132)),"United States",
ISNUMBER(SEARCH("Republic of Ireland",S3132)),"Ireland",
ISNUMBER(SEARCH("Republic of Korea",S3132)),"South Korea",
ISNUMBER(SEARCH("Cape Verde",S3132)),"Cabo Verde",
ISNUMBER(SEARCH("Czechia",S3132)),"Czech Republic",
ISNUMBER(SEARCH("Türkiye",S3132)),"Turkey",
ISNUMBER(SEARCH("Ivory Coast",S3132)),"Côte d'Ivoire",
ISNUMBER(SEARCH("Korea Republic",S3132)),"South Korea",
ISNUMBER(SEARCH("Germany FR",S3132)),"FR Germany",
ISNUMBER(SEARCH("West Germany",S3132)),"FR Germany",
ISNUMBER(SEARCH("Germany DR",S3132)),"DR Germany",
ISNUMBER(SEARCH("Korea DPR",S3132)),"North Korea",
ISNUMBER(SEARCH("China PR",S3132)),"China",
ISNUMBER(SEARCH("IR Iran",S3132)),"Iran",
ISNUMBER(SEARCH("Congo DR",S3132)),"Democratic Republic of the Congo",
ISNUMBER(SEARCH("DR Congo",S3132)),"Democratic Republic of the Congo",
ISNUMBER(SEARCH("German DR",S3132)),"DR Germany",
ISNUMBER(SEARCH("rn""&gt;United Arab Emirates",S3132)),"United Arab Emirates",
ISNUMBER(SEARCH("rn""&gt;Republic of Ireland",S3132)),"Ireland",
ISNUMBER(SEARCH("rn""&gt;Bosnia and Herzegovina",S3132)),"Bosnia and Herzegovina",
ISNUMBER(SEARCH("rn""&gt;Trinidad and Tobago",S3132)),"Trinidad and Tobago",
ISNUMBER(SEARCH("rn""&gt;Serbia and Montenegro",S3132)),"Serbia and Montenegro",
ISNUMBER(SEARCH(_xlfn.UNICHAR(65533),S3132)),"Côte d'Ivoire",
TRUE,""
)</f>
        <v/>
      </c>
      <c r="W3132" s="40" t="str">
        <f t="shared" si="219"/>
        <v>Brazil</v>
      </c>
    </row>
    <row r="3133" spans="19:23">
      <c r="S3133" s="40" t="str">
        <v>Paraguay</v>
      </c>
      <c r="T3133" s="40" t="str">
        <f t="shared" si="217"/>
        <v>OK</v>
      </c>
      <c r="U3133" s="40" t="str">
        <f t="shared" si="218"/>
        <v>-</v>
      </c>
      <c r="V3133" s="40" t="str" cm="1">
        <f t="array" ref="V3133">_xlfn.IFS(
ISNUMBER(SEARCH("USA",S3133)),"United States",
ISNUMBER(SEARCH("Republic of Ireland",S3133)),"Ireland",
ISNUMBER(SEARCH("Republic of Korea",S3133)),"South Korea",
ISNUMBER(SEARCH("Cape Verde",S3133)),"Cabo Verde",
ISNUMBER(SEARCH("Czechia",S3133)),"Czech Republic",
ISNUMBER(SEARCH("Türkiye",S3133)),"Turkey",
ISNUMBER(SEARCH("Ivory Coast",S3133)),"Côte d'Ivoire",
ISNUMBER(SEARCH("Korea Republic",S3133)),"South Korea",
ISNUMBER(SEARCH("Germany FR",S3133)),"FR Germany",
ISNUMBER(SEARCH("West Germany",S3133)),"FR Germany",
ISNUMBER(SEARCH("Germany DR",S3133)),"DR Germany",
ISNUMBER(SEARCH("Korea DPR",S3133)),"North Korea",
ISNUMBER(SEARCH("China PR",S3133)),"China",
ISNUMBER(SEARCH("IR Iran",S3133)),"Iran",
ISNUMBER(SEARCH("Congo DR",S3133)),"Democratic Republic of the Congo",
ISNUMBER(SEARCH("DR Congo",S3133)),"Democratic Republic of the Congo",
ISNUMBER(SEARCH("German DR",S3133)),"DR Germany",
ISNUMBER(SEARCH("rn""&gt;United Arab Emirates",S3133)),"United Arab Emirates",
ISNUMBER(SEARCH("rn""&gt;Republic of Ireland",S3133)),"Ireland",
ISNUMBER(SEARCH("rn""&gt;Bosnia and Herzegovina",S3133)),"Bosnia and Herzegovina",
ISNUMBER(SEARCH("rn""&gt;Trinidad and Tobago",S3133)),"Trinidad and Tobago",
ISNUMBER(SEARCH("rn""&gt;Serbia and Montenegro",S3133)),"Serbia and Montenegro",
ISNUMBER(SEARCH(_xlfn.UNICHAR(65533),S3133)),"Côte d'Ivoire",
TRUE,""
)</f>
        <v/>
      </c>
      <c r="W3133" s="40" t="str">
        <f t="shared" si="219"/>
        <v>Paraguay</v>
      </c>
    </row>
    <row r="3134" spans="19:23">
      <c r="S3134" s="40" t="str">
        <v>Spain</v>
      </c>
      <c r="T3134" s="40" t="str">
        <f t="shared" si="217"/>
        <v>OK</v>
      </c>
      <c r="U3134" s="40" t="str">
        <f t="shared" si="218"/>
        <v>-</v>
      </c>
      <c r="V3134" s="40" t="str" cm="1">
        <f t="array" ref="V3134">_xlfn.IFS(
ISNUMBER(SEARCH("USA",S3134)),"United States",
ISNUMBER(SEARCH("Republic of Ireland",S3134)),"Ireland",
ISNUMBER(SEARCH("Republic of Korea",S3134)),"South Korea",
ISNUMBER(SEARCH("Cape Verde",S3134)),"Cabo Verde",
ISNUMBER(SEARCH("Czechia",S3134)),"Czech Republic",
ISNUMBER(SEARCH("Türkiye",S3134)),"Turkey",
ISNUMBER(SEARCH("Ivory Coast",S3134)),"Côte d'Ivoire",
ISNUMBER(SEARCH("Korea Republic",S3134)),"South Korea",
ISNUMBER(SEARCH("Germany FR",S3134)),"FR Germany",
ISNUMBER(SEARCH("West Germany",S3134)),"FR Germany",
ISNUMBER(SEARCH("Germany DR",S3134)),"DR Germany",
ISNUMBER(SEARCH("Korea DPR",S3134)),"North Korea",
ISNUMBER(SEARCH("China PR",S3134)),"China",
ISNUMBER(SEARCH("IR Iran",S3134)),"Iran",
ISNUMBER(SEARCH("Congo DR",S3134)),"Democratic Republic of the Congo",
ISNUMBER(SEARCH("DR Congo",S3134)),"Democratic Republic of the Congo",
ISNUMBER(SEARCH("German DR",S3134)),"DR Germany",
ISNUMBER(SEARCH("rn""&gt;United Arab Emirates",S3134)),"United Arab Emirates",
ISNUMBER(SEARCH("rn""&gt;Republic of Ireland",S3134)),"Ireland",
ISNUMBER(SEARCH("rn""&gt;Bosnia and Herzegovina",S3134)),"Bosnia and Herzegovina",
ISNUMBER(SEARCH("rn""&gt;Trinidad and Tobago",S3134)),"Trinidad and Tobago",
ISNUMBER(SEARCH("rn""&gt;Serbia and Montenegro",S3134)),"Serbia and Montenegro",
ISNUMBER(SEARCH(_xlfn.UNICHAR(65533),S3134)),"Côte d'Ivoire",
TRUE,""
)</f>
        <v/>
      </c>
      <c r="W3134" s="40" t="str">
        <f t="shared" si="219"/>
        <v>Spain</v>
      </c>
    </row>
    <row r="3135" spans="19:23">
      <c r="S3135" s="40" t="str">
        <v>Netherlands</v>
      </c>
      <c r="T3135" s="40" t="str">
        <f t="shared" si="217"/>
        <v>OK</v>
      </c>
      <c r="U3135" s="40" t="str">
        <f t="shared" si="218"/>
        <v>-</v>
      </c>
      <c r="V3135" s="40" t="str" cm="1">
        <f t="array" ref="V3135">_xlfn.IFS(
ISNUMBER(SEARCH("USA",S3135)),"United States",
ISNUMBER(SEARCH("Republic of Ireland",S3135)),"Ireland",
ISNUMBER(SEARCH("Republic of Korea",S3135)),"South Korea",
ISNUMBER(SEARCH("Cape Verde",S3135)),"Cabo Verde",
ISNUMBER(SEARCH("Czechia",S3135)),"Czech Republic",
ISNUMBER(SEARCH("Türkiye",S3135)),"Turkey",
ISNUMBER(SEARCH("Ivory Coast",S3135)),"Côte d'Ivoire",
ISNUMBER(SEARCH("Korea Republic",S3135)),"South Korea",
ISNUMBER(SEARCH("Germany FR",S3135)),"FR Germany",
ISNUMBER(SEARCH("West Germany",S3135)),"FR Germany",
ISNUMBER(SEARCH("Germany DR",S3135)),"DR Germany",
ISNUMBER(SEARCH("Korea DPR",S3135)),"North Korea",
ISNUMBER(SEARCH("China PR",S3135)),"China",
ISNUMBER(SEARCH("IR Iran",S3135)),"Iran",
ISNUMBER(SEARCH("Congo DR",S3135)),"Democratic Republic of the Congo",
ISNUMBER(SEARCH("DR Congo",S3135)),"Democratic Republic of the Congo",
ISNUMBER(SEARCH("German DR",S3135)),"DR Germany",
ISNUMBER(SEARCH("rn""&gt;United Arab Emirates",S3135)),"United Arab Emirates",
ISNUMBER(SEARCH("rn""&gt;Republic of Ireland",S3135)),"Ireland",
ISNUMBER(SEARCH("rn""&gt;Bosnia and Herzegovina",S3135)),"Bosnia and Herzegovina",
ISNUMBER(SEARCH("rn""&gt;Trinidad and Tobago",S3135)),"Trinidad and Tobago",
ISNUMBER(SEARCH("rn""&gt;Serbia and Montenegro",S3135)),"Serbia and Montenegro",
ISNUMBER(SEARCH(_xlfn.UNICHAR(65533),S3135)),"Côte d'Ivoire",
TRUE,""
)</f>
        <v/>
      </c>
      <c r="W3135" s="40" t="str">
        <f t="shared" si="219"/>
        <v>Netherlands</v>
      </c>
    </row>
    <row r="3136" spans="19:23">
      <c r="S3136" s="40" t="str">
        <v>Uruguay</v>
      </c>
      <c r="T3136" s="40" t="str">
        <f t="shared" si="217"/>
        <v>OK</v>
      </c>
      <c r="U3136" s="40" t="str">
        <f t="shared" si="218"/>
        <v>-</v>
      </c>
      <c r="V3136" s="40" t="str" cm="1">
        <f t="array" ref="V3136">_xlfn.IFS(
ISNUMBER(SEARCH("USA",S3136)),"United States",
ISNUMBER(SEARCH("Republic of Ireland",S3136)),"Ireland",
ISNUMBER(SEARCH("Republic of Korea",S3136)),"South Korea",
ISNUMBER(SEARCH("Cape Verde",S3136)),"Cabo Verde",
ISNUMBER(SEARCH("Czechia",S3136)),"Czech Republic",
ISNUMBER(SEARCH("Türkiye",S3136)),"Turkey",
ISNUMBER(SEARCH("Ivory Coast",S3136)),"Côte d'Ivoire",
ISNUMBER(SEARCH("Korea Republic",S3136)),"South Korea",
ISNUMBER(SEARCH("Germany FR",S3136)),"FR Germany",
ISNUMBER(SEARCH("West Germany",S3136)),"FR Germany",
ISNUMBER(SEARCH("Germany DR",S3136)),"DR Germany",
ISNUMBER(SEARCH("Korea DPR",S3136)),"North Korea",
ISNUMBER(SEARCH("China PR",S3136)),"China",
ISNUMBER(SEARCH("IR Iran",S3136)),"Iran",
ISNUMBER(SEARCH("Congo DR",S3136)),"Democratic Republic of the Congo",
ISNUMBER(SEARCH("DR Congo",S3136)),"Democratic Republic of the Congo",
ISNUMBER(SEARCH("German DR",S3136)),"DR Germany",
ISNUMBER(SEARCH("rn""&gt;United Arab Emirates",S3136)),"United Arab Emirates",
ISNUMBER(SEARCH("rn""&gt;Republic of Ireland",S3136)),"Ireland",
ISNUMBER(SEARCH("rn""&gt;Bosnia and Herzegovina",S3136)),"Bosnia and Herzegovina",
ISNUMBER(SEARCH("rn""&gt;Trinidad and Tobago",S3136)),"Trinidad and Tobago",
ISNUMBER(SEARCH("rn""&gt;Serbia and Montenegro",S3136)),"Serbia and Montenegro",
ISNUMBER(SEARCH(_xlfn.UNICHAR(65533),S3136)),"Côte d'Ivoire",
TRUE,""
)</f>
        <v/>
      </c>
      <c r="W3136" s="40" t="str">
        <f t="shared" si="219"/>
        <v>Uruguay</v>
      </c>
    </row>
    <row r="3137" spans="19:23">
      <c r="S3137" s="40" t="str">
        <v>Argentina</v>
      </c>
      <c r="T3137" s="40" t="str">
        <f t="shared" si="217"/>
        <v>OK</v>
      </c>
      <c r="U3137" s="40" t="str">
        <f t="shared" si="218"/>
        <v>-</v>
      </c>
      <c r="V3137" s="40" t="str" cm="1">
        <f t="array" ref="V3137">_xlfn.IFS(
ISNUMBER(SEARCH("USA",S3137)),"United States",
ISNUMBER(SEARCH("Republic of Ireland",S3137)),"Ireland",
ISNUMBER(SEARCH("Republic of Korea",S3137)),"South Korea",
ISNUMBER(SEARCH("Cape Verde",S3137)),"Cabo Verde",
ISNUMBER(SEARCH("Czechia",S3137)),"Czech Republic",
ISNUMBER(SEARCH("Türkiye",S3137)),"Turkey",
ISNUMBER(SEARCH("Ivory Coast",S3137)),"Côte d'Ivoire",
ISNUMBER(SEARCH("Korea Republic",S3137)),"South Korea",
ISNUMBER(SEARCH("Germany FR",S3137)),"FR Germany",
ISNUMBER(SEARCH("West Germany",S3137)),"FR Germany",
ISNUMBER(SEARCH("Germany DR",S3137)),"DR Germany",
ISNUMBER(SEARCH("Korea DPR",S3137)),"North Korea",
ISNUMBER(SEARCH("China PR",S3137)),"China",
ISNUMBER(SEARCH("IR Iran",S3137)),"Iran",
ISNUMBER(SEARCH("Congo DR",S3137)),"Democratic Republic of the Congo",
ISNUMBER(SEARCH("DR Congo",S3137)),"Democratic Republic of the Congo",
ISNUMBER(SEARCH("German DR",S3137)),"DR Germany",
ISNUMBER(SEARCH("rn""&gt;United Arab Emirates",S3137)),"United Arab Emirates",
ISNUMBER(SEARCH("rn""&gt;Republic of Ireland",S3137)),"Ireland",
ISNUMBER(SEARCH("rn""&gt;Bosnia and Herzegovina",S3137)),"Bosnia and Herzegovina",
ISNUMBER(SEARCH("rn""&gt;Trinidad and Tobago",S3137)),"Trinidad and Tobago",
ISNUMBER(SEARCH("rn""&gt;Serbia and Montenegro",S3137)),"Serbia and Montenegro",
ISNUMBER(SEARCH(_xlfn.UNICHAR(65533),S3137)),"Côte d'Ivoire",
TRUE,""
)</f>
        <v/>
      </c>
      <c r="W3137" s="40" t="str">
        <f t="shared" si="219"/>
        <v>Argentina</v>
      </c>
    </row>
    <row r="3138" spans="19:23">
      <c r="S3138" s="40" t="str">
        <v>Paraguay</v>
      </c>
      <c r="T3138" s="40" t="str">
        <f t="shared" si="217"/>
        <v>OK</v>
      </c>
      <c r="U3138" s="40" t="str">
        <f t="shared" si="218"/>
        <v>-</v>
      </c>
      <c r="V3138" s="40" t="str" cm="1">
        <f t="array" ref="V3138">_xlfn.IFS(
ISNUMBER(SEARCH("USA",S3138)),"United States",
ISNUMBER(SEARCH("Republic of Ireland",S3138)),"Ireland",
ISNUMBER(SEARCH("Republic of Korea",S3138)),"South Korea",
ISNUMBER(SEARCH("Cape Verde",S3138)),"Cabo Verde",
ISNUMBER(SEARCH("Czechia",S3138)),"Czech Republic",
ISNUMBER(SEARCH("Türkiye",S3138)),"Turkey",
ISNUMBER(SEARCH("Ivory Coast",S3138)),"Côte d'Ivoire",
ISNUMBER(SEARCH("Korea Republic",S3138)),"South Korea",
ISNUMBER(SEARCH("Germany FR",S3138)),"FR Germany",
ISNUMBER(SEARCH("West Germany",S3138)),"FR Germany",
ISNUMBER(SEARCH("Germany DR",S3138)),"DR Germany",
ISNUMBER(SEARCH("Korea DPR",S3138)),"North Korea",
ISNUMBER(SEARCH("China PR",S3138)),"China",
ISNUMBER(SEARCH("IR Iran",S3138)),"Iran",
ISNUMBER(SEARCH("Congo DR",S3138)),"Democratic Republic of the Congo",
ISNUMBER(SEARCH("DR Congo",S3138)),"Democratic Republic of the Congo",
ISNUMBER(SEARCH("German DR",S3138)),"DR Germany",
ISNUMBER(SEARCH("rn""&gt;United Arab Emirates",S3138)),"United Arab Emirates",
ISNUMBER(SEARCH("rn""&gt;Republic of Ireland",S3138)),"Ireland",
ISNUMBER(SEARCH("rn""&gt;Bosnia and Herzegovina",S3138)),"Bosnia and Herzegovina",
ISNUMBER(SEARCH("rn""&gt;Trinidad and Tobago",S3138)),"Trinidad and Tobago",
ISNUMBER(SEARCH("rn""&gt;Serbia and Montenegro",S3138)),"Serbia and Montenegro",
ISNUMBER(SEARCH(_xlfn.UNICHAR(65533),S3138)),"Côte d'Ivoire",
TRUE,""
)</f>
        <v/>
      </c>
      <c r="W3138" s="40" t="str">
        <f t="shared" si="219"/>
        <v>Paraguay</v>
      </c>
    </row>
    <row r="3139" spans="19:23">
      <c r="S3139" s="40" t="str">
        <v>Uruguay</v>
      </c>
      <c r="T3139" s="40" t="str">
        <f t="shared" ref="T3139:T3202" si="220">IF(COUNTIF(R$13:R$250,S3139)=1,"OK","ERREUR")</f>
        <v>OK</v>
      </c>
      <c r="U3139" s="40" t="str">
        <f t="shared" si="218"/>
        <v>-</v>
      </c>
      <c r="V3139" s="40" t="str" cm="1">
        <f t="array" ref="V3139">_xlfn.IFS(
ISNUMBER(SEARCH("USA",S3139)),"United States",
ISNUMBER(SEARCH("Republic of Ireland",S3139)),"Ireland",
ISNUMBER(SEARCH("Republic of Korea",S3139)),"South Korea",
ISNUMBER(SEARCH("Cape Verde",S3139)),"Cabo Verde",
ISNUMBER(SEARCH("Czechia",S3139)),"Czech Republic",
ISNUMBER(SEARCH("Türkiye",S3139)),"Turkey",
ISNUMBER(SEARCH("Ivory Coast",S3139)),"Côte d'Ivoire",
ISNUMBER(SEARCH("Korea Republic",S3139)),"South Korea",
ISNUMBER(SEARCH("Germany FR",S3139)),"FR Germany",
ISNUMBER(SEARCH("West Germany",S3139)),"FR Germany",
ISNUMBER(SEARCH("Germany DR",S3139)),"DR Germany",
ISNUMBER(SEARCH("Korea DPR",S3139)),"North Korea",
ISNUMBER(SEARCH("China PR",S3139)),"China",
ISNUMBER(SEARCH("IR Iran",S3139)),"Iran",
ISNUMBER(SEARCH("Congo DR",S3139)),"Democratic Republic of the Congo",
ISNUMBER(SEARCH("DR Congo",S3139)),"Democratic Republic of the Congo",
ISNUMBER(SEARCH("German DR",S3139)),"DR Germany",
ISNUMBER(SEARCH("rn""&gt;United Arab Emirates",S3139)),"United Arab Emirates",
ISNUMBER(SEARCH("rn""&gt;Republic of Ireland",S3139)),"Ireland",
ISNUMBER(SEARCH("rn""&gt;Bosnia and Herzegovina",S3139)),"Bosnia and Herzegovina",
ISNUMBER(SEARCH("rn""&gt;Trinidad and Tobago",S3139)),"Trinidad and Tobago",
ISNUMBER(SEARCH("rn""&gt;Serbia and Montenegro",S3139)),"Serbia and Montenegro",
ISNUMBER(SEARCH(_xlfn.UNICHAR(65533),S3139)),"Côte d'Ivoire",
TRUE,""
)</f>
        <v/>
      </c>
      <c r="W3139" s="40" t="str">
        <f t="shared" si="219"/>
        <v>Uruguay</v>
      </c>
    </row>
    <row r="3140" spans="19:23">
      <c r="S3140" s="40" t="str">
        <v>Germany</v>
      </c>
      <c r="T3140" s="40" t="str">
        <f t="shared" si="220"/>
        <v>OK</v>
      </c>
      <c r="U3140" s="40" t="str">
        <f t="shared" ref="U3140:U3203" si="221">IF(OR(S3140="Scotland",S3140="England",S3140="Wales",S3140="Yugoslavia",S3140="Czechoslovakia",S3140="Northern Ireland",S3140="Soviet Union",S3140="Zaire",S3140="Dutch East Indies"),"AUCUNE",IF(OR(S3140="Cape Verde",S3140="USA",S3140="DR Congo",S3140="Republic of Korea",S3140="Germany FR",S3140="Germany DR",S3140="Czechia",S3140="Ivory Coast",S3140="Korea DPR",S3140="China PR",S3140="IR Iran",S3140="Türkiye",S3140="Congo DR",S3140="German DR",S3140="West Germany",S3140="Republic of Ireland",ISNUMBER(SEARCH(_xlfn.UNICHAR(65533),S3140)),S3140="Korea Republic",ISNUMBER(SEARCH("rn""&gt;United Arab Emirates",S3140)),ISNUMBER(SEARCH("rn""&gt;Republic of Ireland",S3140)),ISNUMBER(SEARCH("rn""&gt;Bosnia and Herzegovina",S3140)),ISNUMBER(SEARCH("rn""&gt;Trinidad and Tobago",S3140)),ISNUMBER(SEARCH("rn""&gt;Serbia and Montenegro",S3140)),ISNUMBER(SEARCH(_xlfn.UNICHAR(65533),S3140))),"RENOMMER","-"))</f>
        <v>-</v>
      </c>
      <c r="V3140" s="40" t="str" cm="1">
        <f t="array" ref="V3140">_xlfn.IFS(
ISNUMBER(SEARCH("USA",S3140)),"United States",
ISNUMBER(SEARCH("Republic of Ireland",S3140)),"Ireland",
ISNUMBER(SEARCH("Republic of Korea",S3140)),"South Korea",
ISNUMBER(SEARCH("Cape Verde",S3140)),"Cabo Verde",
ISNUMBER(SEARCH("Czechia",S3140)),"Czech Republic",
ISNUMBER(SEARCH("Türkiye",S3140)),"Turkey",
ISNUMBER(SEARCH("Ivory Coast",S3140)),"Côte d'Ivoire",
ISNUMBER(SEARCH("Korea Republic",S3140)),"South Korea",
ISNUMBER(SEARCH("Germany FR",S3140)),"FR Germany",
ISNUMBER(SEARCH("West Germany",S3140)),"FR Germany",
ISNUMBER(SEARCH("Germany DR",S3140)),"DR Germany",
ISNUMBER(SEARCH("Korea DPR",S3140)),"North Korea",
ISNUMBER(SEARCH("China PR",S3140)),"China",
ISNUMBER(SEARCH("IR Iran",S3140)),"Iran",
ISNUMBER(SEARCH("Congo DR",S3140)),"Democratic Republic of the Congo",
ISNUMBER(SEARCH("DR Congo",S3140)),"Democratic Republic of the Congo",
ISNUMBER(SEARCH("German DR",S3140)),"DR Germany",
ISNUMBER(SEARCH("rn""&gt;United Arab Emirates",S3140)),"United Arab Emirates",
ISNUMBER(SEARCH("rn""&gt;Republic of Ireland",S3140)),"Ireland",
ISNUMBER(SEARCH("rn""&gt;Bosnia and Herzegovina",S3140)),"Bosnia and Herzegovina",
ISNUMBER(SEARCH("rn""&gt;Trinidad and Tobago",S3140)),"Trinidad and Tobago",
ISNUMBER(SEARCH("rn""&gt;Serbia and Montenegro",S3140)),"Serbia and Montenegro",
ISNUMBER(SEARCH(_xlfn.UNICHAR(65533),S3140)),"Côte d'Ivoire",
TRUE,""
)</f>
        <v/>
      </c>
      <c r="W3140" s="40" t="str">
        <f t="shared" ref="W3140:W3203" si="222">IF(V3140="",S3140,V3140)</f>
        <v>Germany</v>
      </c>
    </row>
    <row r="3141" spans="19:23">
      <c r="S3141" s="40" t="str">
        <v>Uruguay</v>
      </c>
      <c r="T3141" s="40" t="str">
        <f t="shared" si="220"/>
        <v>OK</v>
      </c>
      <c r="U3141" s="40" t="str">
        <f t="shared" si="221"/>
        <v>-</v>
      </c>
      <c r="V3141" s="40" t="str" cm="1">
        <f t="array" ref="V3141">_xlfn.IFS(
ISNUMBER(SEARCH("USA",S3141)),"United States",
ISNUMBER(SEARCH("Republic of Ireland",S3141)),"Ireland",
ISNUMBER(SEARCH("Republic of Korea",S3141)),"South Korea",
ISNUMBER(SEARCH("Cape Verde",S3141)),"Cabo Verde",
ISNUMBER(SEARCH("Czechia",S3141)),"Czech Republic",
ISNUMBER(SEARCH("Türkiye",S3141)),"Turkey",
ISNUMBER(SEARCH("Ivory Coast",S3141)),"Côte d'Ivoire",
ISNUMBER(SEARCH("Korea Republic",S3141)),"South Korea",
ISNUMBER(SEARCH("Germany FR",S3141)),"FR Germany",
ISNUMBER(SEARCH("West Germany",S3141)),"FR Germany",
ISNUMBER(SEARCH("Germany DR",S3141)),"DR Germany",
ISNUMBER(SEARCH("Korea DPR",S3141)),"North Korea",
ISNUMBER(SEARCH("China PR",S3141)),"China",
ISNUMBER(SEARCH("IR Iran",S3141)),"Iran",
ISNUMBER(SEARCH("Congo DR",S3141)),"Democratic Republic of the Congo",
ISNUMBER(SEARCH("DR Congo",S3141)),"Democratic Republic of the Congo",
ISNUMBER(SEARCH("German DR",S3141)),"DR Germany",
ISNUMBER(SEARCH("rn""&gt;United Arab Emirates",S3141)),"United Arab Emirates",
ISNUMBER(SEARCH("rn""&gt;Republic of Ireland",S3141)),"Ireland",
ISNUMBER(SEARCH("rn""&gt;Bosnia and Herzegovina",S3141)),"Bosnia and Herzegovina",
ISNUMBER(SEARCH("rn""&gt;Trinidad and Tobago",S3141)),"Trinidad and Tobago",
ISNUMBER(SEARCH("rn""&gt;Serbia and Montenegro",S3141)),"Serbia and Montenegro",
ISNUMBER(SEARCH(_xlfn.UNICHAR(65533),S3141)),"Côte d'Ivoire",
TRUE,""
)</f>
        <v/>
      </c>
      <c r="W3141" s="40" t="str">
        <f t="shared" si="222"/>
        <v>Uruguay</v>
      </c>
    </row>
    <row r="3142" spans="19:23">
      <c r="S3142" s="40" t="str">
        <v>Netherlands</v>
      </c>
      <c r="T3142" s="40" t="str">
        <f t="shared" si="220"/>
        <v>OK</v>
      </c>
      <c r="U3142" s="40" t="str">
        <f t="shared" si="221"/>
        <v>-</v>
      </c>
      <c r="V3142" s="40" t="str" cm="1">
        <f t="array" ref="V3142">_xlfn.IFS(
ISNUMBER(SEARCH("USA",S3142)),"United States",
ISNUMBER(SEARCH("Republic of Ireland",S3142)),"Ireland",
ISNUMBER(SEARCH("Republic of Korea",S3142)),"South Korea",
ISNUMBER(SEARCH("Cape Verde",S3142)),"Cabo Verde",
ISNUMBER(SEARCH("Czechia",S3142)),"Czech Republic",
ISNUMBER(SEARCH("Türkiye",S3142)),"Turkey",
ISNUMBER(SEARCH("Ivory Coast",S3142)),"Côte d'Ivoire",
ISNUMBER(SEARCH("Korea Republic",S3142)),"South Korea",
ISNUMBER(SEARCH("Germany FR",S3142)),"FR Germany",
ISNUMBER(SEARCH("West Germany",S3142)),"FR Germany",
ISNUMBER(SEARCH("Germany DR",S3142)),"DR Germany",
ISNUMBER(SEARCH("Korea DPR",S3142)),"North Korea",
ISNUMBER(SEARCH("China PR",S3142)),"China",
ISNUMBER(SEARCH("IR Iran",S3142)),"Iran",
ISNUMBER(SEARCH("Congo DR",S3142)),"Democratic Republic of the Congo",
ISNUMBER(SEARCH("DR Congo",S3142)),"Democratic Republic of the Congo",
ISNUMBER(SEARCH("German DR",S3142)),"DR Germany",
ISNUMBER(SEARCH("rn""&gt;United Arab Emirates",S3142)),"United Arab Emirates",
ISNUMBER(SEARCH("rn""&gt;Republic of Ireland",S3142)),"Ireland",
ISNUMBER(SEARCH("rn""&gt;Bosnia and Herzegovina",S3142)),"Bosnia and Herzegovina",
ISNUMBER(SEARCH("rn""&gt;Trinidad and Tobago",S3142)),"Trinidad and Tobago",
ISNUMBER(SEARCH("rn""&gt;Serbia and Montenegro",S3142)),"Serbia and Montenegro",
ISNUMBER(SEARCH(_xlfn.UNICHAR(65533),S3142)),"Côte d'Ivoire",
TRUE,""
)</f>
        <v/>
      </c>
      <c r="W3142" s="40" t="str">
        <f t="shared" si="222"/>
        <v>Netherlands</v>
      </c>
    </row>
    <row r="3143" spans="19:23">
      <c r="S3143" s="40" t="str">
        <v>Brazil</v>
      </c>
      <c r="T3143" s="40" t="str">
        <f t="shared" si="220"/>
        <v>OK</v>
      </c>
      <c r="U3143" s="40" t="str">
        <f t="shared" si="221"/>
        <v>-</v>
      </c>
      <c r="V3143" s="40" t="str" cm="1">
        <f t="array" ref="V3143">_xlfn.IFS(
ISNUMBER(SEARCH("USA",S3143)),"United States",
ISNUMBER(SEARCH("Republic of Ireland",S3143)),"Ireland",
ISNUMBER(SEARCH("Republic of Korea",S3143)),"South Korea",
ISNUMBER(SEARCH("Cape Verde",S3143)),"Cabo Verde",
ISNUMBER(SEARCH("Czechia",S3143)),"Czech Republic",
ISNUMBER(SEARCH("Türkiye",S3143)),"Turkey",
ISNUMBER(SEARCH("Ivory Coast",S3143)),"Côte d'Ivoire",
ISNUMBER(SEARCH("Korea Republic",S3143)),"South Korea",
ISNUMBER(SEARCH("Germany FR",S3143)),"FR Germany",
ISNUMBER(SEARCH("West Germany",S3143)),"FR Germany",
ISNUMBER(SEARCH("Germany DR",S3143)),"DR Germany",
ISNUMBER(SEARCH("Korea DPR",S3143)),"North Korea",
ISNUMBER(SEARCH("China PR",S3143)),"China",
ISNUMBER(SEARCH("IR Iran",S3143)),"Iran",
ISNUMBER(SEARCH("Congo DR",S3143)),"Democratic Republic of the Congo",
ISNUMBER(SEARCH("DR Congo",S3143)),"Democratic Republic of the Congo",
ISNUMBER(SEARCH("German DR",S3143)),"DR Germany",
ISNUMBER(SEARCH("rn""&gt;United Arab Emirates",S3143)),"United Arab Emirates",
ISNUMBER(SEARCH("rn""&gt;Republic of Ireland",S3143)),"Ireland",
ISNUMBER(SEARCH("rn""&gt;Bosnia and Herzegovina",S3143)),"Bosnia and Herzegovina",
ISNUMBER(SEARCH("rn""&gt;Trinidad and Tobago",S3143)),"Trinidad and Tobago",
ISNUMBER(SEARCH("rn""&gt;Serbia and Montenegro",S3143)),"Serbia and Montenegro",
ISNUMBER(SEARCH(_xlfn.UNICHAR(65533),S3143)),"Côte d'Ivoire",
TRUE,""
)</f>
        <v/>
      </c>
      <c r="W3143" s="40" t="str">
        <f t="shared" si="222"/>
        <v>Brazil</v>
      </c>
    </row>
    <row r="3144" spans="19:23">
      <c r="S3144" s="40" t="str">
        <v>Mexico</v>
      </c>
      <c r="T3144" s="40" t="str">
        <f t="shared" si="220"/>
        <v>OK</v>
      </c>
      <c r="U3144" s="40" t="str">
        <f t="shared" si="221"/>
        <v>-</v>
      </c>
      <c r="V3144" s="40" t="str" cm="1">
        <f t="array" ref="V3144">_xlfn.IFS(
ISNUMBER(SEARCH("USA",S3144)),"United States",
ISNUMBER(SEARCH("Republic of Ireland",S3144)),"Ireland",
ISNUMBER(SEARCH("Republic of Korea",S3144)),"South Korea",
ISNUMBER(SEARCH("Cape Verde",S3144)),"Cabo Verde",
ISNUMBER(SEARCH("Czechia",S3144)),"Czech Republic",
ISNUMBER(SEARCH("Türkiye",S3144)),"Turkey",
ISNUMBER(SEARCH("Ivory Coast",S3144)),"Côte d'Ivoire",
ISNUMBER(SEARCH("Korea Republic",S3144)),"South Korea",
ISNUMBER(SEARCH("Germany FR",S3144)),"FR Germany",
ISNUMBER(SEARCH("West Germany",S3144)),"FR Germany",
ISNUMBER(SEARCH("Germany DR",S3144)),"DR Germany",
ISNUMBER(SEARCH("Korea DPR",S3144)),"North Korea",
ISNUMBER(SEARCH("China PR",S3144)),"China",
ISNUMBER(SEARCH("IR Iran",S3144)),"Iran",
ISNUMBER(SEARCH("Congo DR",S3144)),"Democratic Republic of the Congo",
ISNUMBER(SEARCH("DR Congo",S3144)),"Democratic Republic of the Congo",
ISNUMBER(SEARCH("German DR",S3144)),"DR Germany",
ISNUMBER(SEARCH("rn""&gt;United Arab Emirates",S3144)),"United Arab Emirates",
ISNUMBER(SEARCH("rn""&gt;Republic of Ireland",S3144)),"Ireland",
ISNUMBER(SEARCH("rn""&gt;Bosnia and Herzegovina",S3144)),"Bosnia and Herzegovina",
ISNUMBER(SEARCH("rn""&gt;Trinidad and Tobago",S3144)),"Trinidad and Tobago",
ISNUMBER(SEARCH("rn""&gt;Serbia and Montenegro",S3144)),"Serbia and Montenegro",
ISNUMBER(SEARCH(_xlfn.UNICHAR(65533),S3144)),"Côte d'Ivoire",
TRUE,""
)</f>
        <v/>
      </c>
      <c r="W3144" s="40" t="str">
        <f t="shared" si="222"/>
        <v>Mexico</v>
      </c>
    </row>
    <row r="3145" spans="19:23">
      <c r="S3145" s="40" t="str">
        <v>Spain</v>
      </c>
      <c r="T3145" s="40" t="str">
        <f t="shared" si="220"/>
        <v>OK</v>
      </c>
      <c r="U3145" s="40" t="str">
        <f t="shared" si="221"/>
        <v>-</v>
      </c>
      <c r="V3145" s="40" t="str" cm="1">
        <f t="array" ref="V3145">_xlfn.IFS(
ISNUMBER(SEARCH("USA",S3145)),"United States",
ISNUMBER(SEARCH("Republic of Ireland",S3145)),"Ireland",
ISNUMBER(SEARCH("Republic of Korea",S3145)),"South Korea",
ISNUMBER(SEARCH("Cape Verde",S3145)),"Cabo Verde",
ISNUMBER(SEARCH("Czechia",S3145)),"Czech Republic",
ISNUMBER(SEARCH("Türkiye",S3145)),"Turkey",
ISNUMBER(SEARCH("Ivory Coast",S3145)),"Côte d'Ivoire",
ISNUMBER(SEARCH("Korea Republic",S3145)),"South Korea",
ISNUMBER(SEARCH("Germany FR",S3145)),"FR Germany",
ISNUMBER(SEARCH("West Germany",S3145)),"FR Germany",
ISNUMBER(SEARCH("Germany DR",S3145)),"DR Germany",
ISNUMBER(SEARCH("Korea DPR",S3145)),"North Korea",
ISNUMBER(SEARCH("China PR",S3145)),"China",
ISNUMBER(SEARCH("IR Iran",S3145)),"Iran",
ISNUMBER(SEARCH("Congo DR",S3145)),"Democratic Republic of the Congo",
ISNUMBER(SEARCH("DR Congo",S3145)),"Democratic Republic of the Congo",
ISNUMBER(SEARCH("German DR",S3145)),"DR Germany",
ISNUMBER(SEARCH("rn""&gt;United Arab Emirates",S3145)),"United Arab Emirates",
ISNUMBER(SEARCH("rn""&gt;Republic of Ireland",S3145)),"Ireland",
ISNUMBER(SEARCH("rn""&gt;Bosnia and Herzegovina",S3145)),"Bosnia and Herzegovina",
ISNUMBER(SEARCH("rn""&gt;Trinidad and Tobago",S3145)),"Trinidad and Tobago",
ISNUMBER(SEARCH("rn""&gt;Serbia and Montenegro",S3145)),"Serbia and Montenegro",
ISNUMBER(SEARCH(_xlfn.UNICHAR(65533),S3145)),"Côte d'Ivoire",
TRUE,""
)</f>
        <v/>
      </c>
      <c r="W3145" s="40" t="str">
        <f t="shared" si="222"/>
        <v>Spain</v>
      </c>
    </row>
    <row r="3146" spans="19:23">
      <c r="S3146" s="40" t="str">
        <v>Chile</v>
      </c>
      <c r="T3146" s="40" t="str">
        <f t="shared" si="220"/>
        <v>OK</v>
      </c>
      <c r="U3146" s="40" t="str">
        <f t="shared" si="221"/>
        <v>-</v>
      </c>
      <c r="V3146" s="40" t="str" cm="1">
        <f t="array" ref="V3146">_xlfn.IFS(
ISNUMBER(SEARCH("USA",S3146)),"United States",
ISNUMBER(SEARCH("Republic of Ireland",S3146)),"Ireland",
ISNUMBER(SEARCH("Republic of Korea",S3146)),"South Korea",
ISNUMBER(SEARCH("Cape Verde",S3146)),"Cabo Verde",
ISNUMBER(SEARCH("Czechia",S3146)),"Czech Republic",
ISNUMBER(SEARCH("Türkiye",S3146)),"Turkey",
ISNUMBER(SEARCH("Ivory Coast",S3146)),"Côte d'Ivoire",
ISNUMBER(SEARCH("Korea Republic",S3146)),"South Korea",
ISNUMBER(SEARCH("Germany FR",S3146)),"FR Germany",
ISNUMBER(SEARCH("West Germany",S3146)),"FR Germany",
ISNUMBER(SEARCH("Germany DR",S3146)),"DR Germany",
ISNUMBER(SEARCH("Korea DPR",S3146)),"North Korea",
ISNUMBER(SEARCH("China PR",S3146)),"China",
ISNUMBER(SEARCH("IR Iran",S3146)),"Iran",
ISNUMBER(SEARCH("Congo DR",S3146)),"Democratic Republic of the Congo",
ISNUMBER(SEARCH("DR Congo",S3146)),"Democratic Republic of the Congo",
ISNUMBER(SEARCH("German DR",S3146)),"DR Germany",
ISNUMBER(SEARCH("rn""&gt;United Arab Emirates",S3146)),"United Arab Emirates",
ISNUMBER(SEARCH("rn""&gt;Republic of Ireland",S3146)),"Ireland",
ISNUMBER(SEARCH("rn""&gt;Bosnia and Herzegovina",S3146)),"Bosnia and Herzegovina",
ISNUMBER(SEARCH("rn""&gt;Trinidad and Tobago",S3146)),"Trinidad and Tobago",
ISNUMBER(SEARCH("rn""&gt;Serbia and Montenegro",S3146)),"Serbia and Montenegro",
ISNUMBER(SEARCH(_xlfn.UNICHAR(65533),S3146)),"Côte d'Ivoire",
TRUE,""
)</f>
        <v/>
      </c>
      <c r="W3146" s="40" t="str">
        <f t="shared" si="222"/>
        <v>Chile</v>
      </c>
    </row>
    <row r="3147" spans="19:23">
      <c r="S3147" s="40" t="str">
        <v>Colombia</v>
      </c>
      <c r="T3147" s="40" t="str">
        <f t="shared" si="220"/>
        <v>OK</v>
      </c>
      <c r="U3147" s="40" t="str">
        <f t="shared" si="221"/>
        <v>-</v>
      </c>
      <c r="V3147" s="40" t="str" cm="1">
        <f t="array" ref="V3147">_xlfn.IFS(
ISNUMBER(SEARCH("USA",S3147)),"United States",
ISNUMBER(SEARCH("Republic of Ireland",S3147)),"Ireland",
ISNUMBER(SEARCH("Republic of Korea",S3147)),"South Korea",
ISNUMBER(SEARCH("Cape Verde",S3147)),"Cabo Verde",
ISNUMBER(SEARCH("Czechia",S3147)),"Czech Republic",
ISNUMBER(SEARCH("Türkiye",S3147)),"Turkey",
ISNUMBER(SEARCH("Ivory Coast",S3147)),"Côte d'Ivoire",
ISNUMBER(SEARCH("Korea Republic",S3147)),"South Korea",
ISNUMBER(SEARCH("Germany FR",S3147)),"FR Germany",
ISNUMBER(SEARCH("West Germany",S3147)),"FR Germany",
ISNUMBER(SEARCH("Germany DR",S3147)),"DR Germany",
ISNUMBER(SEARCH("Korea DPR",S3147)),"North Korea",
ISNUMBER(SEARCH("China PR",S3147)),"China",
ISNUMBER(SEARCH("IR Iran",S3147)),"Iran",
ISNUMBER(SEARCH("Congo DR",S3147)),"Democratic Republic of the Congo",
ISNUMBER(SEARCH("DR Congo",S3147)),"Democratic Republic of the Congo",
ISNUMBER(SEARCH("German DR",S3147)),"DR Germany",
ISNUMBER(SEARCH("rn""&gt;United Arab Emirates",S3147)),"United Arab Emirates",
ISNUMBER(SEARCH("rn""&gt;Republic of Ireland",S3147)),"Ireland",
ISNUMBER(SEARCH("rn""&gt;Bosnia and Herzegovina",S3147)),"Bosnia and Herzegovina",
ISNUMBER(SEARCH("rn""&gt;Trinidad and Tobago",S3147)),"Trinidad and Tobago",
ISNUMBER(SEARCH("rn""&gt;Serbia and Montenegro",S3147)),"Serbia and Montenegro",
ISNUMBER(SEARCH(_xlfn.UNICHAR(65533),S3147)),"Côte d'Ivoire",
TRUE,""
)</f>
        <v/>
      </c>
      <c r="W3147" s="40" t="str">
        <f t="shared" si="222"/>
        <v>Colombia</v>
      </c>
    </row>
    <row r="3148" spans="19:23">
      <c r="S3148" s="40" t="str">
        <v>Uruguay</v>
      </c>
      <c r="T3148" s="40" t="str">
        <f t="shared" si="220"/>
        <v>OK</v>
      </c>
      <c r="U3148" s="40" t="str">
        <f t="shared" si="221"/>
        <v>-</v>
      </c>
      <c r="V3148" s="40" t="str" cm="1">
        <f t="array" ref="V3148">_xlfn.IFS(
ISNUMBER(SEARCH("USA",S3148)),"United States",
ISNUMBER(SEARCH("Republic of Ireland",S3148)),"Ireland",
ISNUMBER(SEARCH("Republic of Korea",S3148)),"South Korea",
ISNUMBER(SEARCH("Cape Verde",S3148)),"Cabo Verde",
ISNUMBER(SEARCH("Czechia",S3148)),"Czech Republic",
ISNUMBER(SEARCH("Türkiye",S3148)),"Turkey",
ISNUMBER(SEARCH("Ivory Coast",S3148)),"Côte d'Ivoire",
ISNUMBER(SEARCH("Korea Republic",S3148)),"South Korea",
ISNUMBER(SEARCH("Germany FR",S3148)),"FR Germany",
ISNUMBER(SEARCH("West Germany",S3148)),"FR Germany",
ISNUMBER(SEARCH("Germany DR",S3148)),"DR Germany",
ISNUMBER(SEARCH("Korea DPR",S3148)),"North Korea",
ISNUMBER(SEARCH("China PR",S3148)),"China",
ISNUMBER(SEARCH("IR Iran",S3148)),"Iran",
ISNUMBER(SEARCH("Congo DR",S3148)),"Democratic Republic of the Congo",
ISNUMBER(SEARCH("DR Congo",S3148)),"Democratic Republic of the Congo",
ISNUMBER(SEARCH("German DR",S3148)),"DR Germany",
ISNUMBER(SEARCH("rn""&gt;United Arab Emirates",S3148)),"United Arab Emirates",
ISNUMBER(SEARCH("rn""&gt;Republic of Ireland",S3148)),"Ireland",
ISNUMBER(SEARCH("rn""&gt;Bosnia and Herzegovina",S3148)),"Bosnia and Herzegovina",
ISNUMBER(SEARCH("rn""&gt;Trinidad and Tobago",S3148)),"Trinidad and Tobago",
ISNUMBER(SEARCH("rn""&gt;Serbia and Montenegro",S3148)),"Serbia and Montenegro",
ISNUMBER(SEARCH(_xlfn.UNICHAR(65533),S3148)),"Côte d'Ivoire",
TRUE,""
)</f>
        <v/>
      </c>
      <c r="W3148" s="40" t="str">
        <f t="shared" si="222"/>
        <v>Uruguay</v>
      </c>
    </row>
    <row r="3149" spans="19:23">
      <c r="S3149" s="40" t="str">
        <v>England</v>
      </c>
      <c r="T3149" s="40" t="str">
        <f t="shared" si="220"/>
        <v>ERREUR</v>
      </c>
      <c r="U3149" s="40" t="str">
        <f t="shared" si="221"/>
        <v>AUCUNE</v>
      </c>
      <c r="V3149" s="40" t="str" cm="1">
        <f t="array" ref="V3149">_xlfn.IFS(
ISNUMBER(SEARCH("USA",S3149)),"United States",
ISNUMBER(SEARCH("Republic of Ireland",S3149)),"Ireland",
ISNUMBER(SEARCH("Republic of Korea",S3149)),"South Korea",
ISNUMBER(SEARCH("Cape Verde",S3149)),"Cabo Verde",
ISNUMBER(SEARCH("Czechia",S3149)),"Czech Republic",
ISNUMBER(SEARCH("Türkiye",S3149)),"Turkey",
ISNUMBER(SEARCH("Ivory Coast",S3149)),"Côte d'Ivoire",
ISNUMBER(SEARCH("Korea Republic",S3149)),"South Korea",
ISNUMBER(SEARCH("Germany FR",S3149)),"FR Germany",
ISNUMBER(SEARCH("West Germany",S3149)),"FR Germany",
ISNUMBER(SEARCH("Germany DR",S3149)),"DR Germany",
ISNUMBER(SEARCH("Korea DPR",S3149)),"North Korea",
ISNUMBER(SEARCH("China PR",S3149)),"China",
ISNUMBER(SEARCH("IR Iran",S3149)),"Iran",
ISNUMBER(SEARCH("Congo DR",S3149)),"Democratic Republic of the Congo",
ISNUMBER(SEARCH("DR Congo",S3149)),"Democratic Republic of the Congo",
ISNUMBER(SEARCH("German DR",S3149)),"DR Germany",
ISNUMBER(SEARCH("rn""&gt;United Arab Emirates",S3149)),"United Arab Emirates",
ISNUMBER(SEARCH("rn""&gt;Republic of Ireland",S3149)),"Ireland",
ISNUMBER(SEARCH("rn""&gt;Bosnia and Herzegovina",S3149)),"Bosnia and Herzegovina",
ISNUMBER(SEARCH("rn""&gt;Trinidad and Tobago",S3149)),"Trinidad and Tobago",
ISNUMBER(SEARCH("rn""&gt;Serbia and Montenegro",S3149)),"Serbia and Montenegro",
ISNUMBER(SEARCH(_xlfn.UNICHAR(65533),S3149)),"Côte d'Ivoire",
TRUE,""
)</f>
        <v/>
      </c>
      <c r="W3149" s="40" t="str">
        <f t="shared" si="222"/>
        <v>England</v>
      </c>
    </row>
    <row r="3150" spans="19:23">
      <c r="S3150" s="40" t="str">
        <v>C�te d'Ivoire</v>
      </c>
      <c r="T3150" s="40" t="str">
        <f t="shared" si="220"/>
        <v>ERREUR</v>
      </c>
      <c r="U3150" s="40" t="str">
        <f t="shared" si="221"/>
        <v>RENOMMER</v>
      </c>
      <c r="V3150" s="40" t="str" cm="1">
        <f t="array" ref="V3150">_xlfn.IFS(
ISNUMBER(SEARCH("USA",S3150)),"United States",
ISNUMBER(SEARCH("Republic of Ireland",S3150)),"Ireland",
ISNUMBER(SEARCH("Republic of Korea",S3150)),"South Korea",
ISNUMBER(SEARCH("Cape Verde",S3150)),"Cabo Verde",
ISNUMBER(SEARCH("Czechia",S3150)),"Czech Republic",
ISNUMBER(SEARCH("Türkiye",S3150)),"Turkey",
ISNUMBER(SEARCH("Ivory Coast",S3150)),"Côte d'Ivoire",
ISNUMBER(SEARCH("Korea Republic",S3150)),"South Korea",
ISNUMBER(SEARCH("Germany FR",S3150)),"FR Germany",
ISNUMBER(SEARCH("West Germany",S3150)),"FR Germany",
ISNUMBER(SEARCH("Germany DR",S3150)),"DR Germany",
ISNUMBER(SEARCH("Korea DPR",S3150)),"North Korea",
ISNUMBER(SEARCH("China PR",S3150)),"China",
ISNUMBER(SEARCH("IR Iran",S3150)),"Iran",
ISNUMBER(SEARCH("Congo DR",S3150)),"Democratic Republic of the Congo",
ISNUMBER(SEARCH("DR Congo",S3150)),"Democratic Republic of the Congo",
ISNUMBER(SEARCH("German DR",S3150)),"DR Germany",
ISNUMBER(SEARCH("rn""&gt;United Arab Emirates",S3150)),"United Arab Emirates",
ISNUMBER(SEARCH("rn""&gt;Republic of Ireland",S3150)),"Ireland",
ISNUMBER(SEARCH("rn""&gt;Bosnia and Herzegovina",S3150)),"Bosnia and Herzegovina",
ISNUMBER(SEARCH("rn""&gt;Trinidad and Tobago",S3150)),"Trinidad and Tobago",
ISNUMBER(SEARCH("rn""&gt;Serbia and Montenegro",S3150)),"Serbia and Montenegro",
ISNUMBER(SEARCH(_xlfn.UNICHAR(65533),S3150)),"Côte d'Ivoire",
TRUE,""
)</f>
        <v>Côte d'Ivoire</v>
      </c>
      <c r="W3150" s="40" t="str">
        <f t="shared" si="222"/>
        <v>Côte d'Ivoire</v>
      </c>
    </row>
    <row r="3151" spans="19:23">
      <c r="S3151" s="40" t="str">
        <v>Switzerland</v>
      </c>
      <c r="T3151" s="40" t="str">
        <f t="shared" si="220"/>
        <v>OK</v>
      </c>
      <c r="U3151" s="40" t="str">
        <f t="shared" si="221"/>
        <v>-</v>
      </c>
      <c r="V3151" s="40" t="str" cm="1">
        <f t="array" ref="V3151">_xlfn.IFS(
ISNUMBER(SEARCH("USA",S3151)),"United States",
ISNUMBER(SEARCH("Republic of Ireland",S3151)),"Ireland",
ISNUMBER(SEARCH("Republic of Korea",S3151)),"South Korea",
ISNUMBER(SEARCH("Cape Verde",S3151)),"Cabo Verde",
ISNUMBER(SEARCH("Czechia",S3151)),"Czech Republic",
ISNUMBER(SEARCH("Türkiye",S3151)),"Turkey",
ISNUMBER(SEARCH("Ivory Coast",S3151)),"Côte d'Ivoire",
ISNUMBER(SEARCH("Korea Republic",S3151)),"South Korea",
ISNUMBER(SEARCH("Germany FR",S3151)),"FR Germany",
ISNUMBER(SEARCH("West Germany",S3151)),"FR Germany",
ISNUMBER(SEARCH("Germany DR",S3151)),"DR Germany",
ISNUMBER(SEARCH("Korea DPR",S3151)),"North Korea",
ISNUMBER(SEARCH("China PR",S3151)),"China",
ISNUMBER(SEARCH("IR Iran",S3151)),"Iran",
ISNUMBER(SEARCH("Congo DR",S3151)),"Democratic Republic of the Congo",
ISNUMBER(SEARCH("DR Congo",S3151)),"Democratic Republic of the Congo",
ISNUMBER(SEARCH("German DR",S3151)),"DR Germany",
ISNUMBER(SEARCH("rn""&gt;United Arab Emirates",S3151)),"United Arab Emirates",
ISNUMBER(SEARCH("rn""&gt;Republic of Ireland",S3151)),"Ireland",
ISNUMBER(SEARCH("rn""&gt;Bosnia and Herzegovina",S3151)),"Bosnia and Herzegovina",
ISNUMBER(SEARCH("rn""&gt;Trinidad and Tobago",S3151)),"Trinidad and Tobago",
ISNUMBER(SEARCH("rn""&gt;Serbia and Montenegro",S3151)),"Serbia and Montenegro",
ISNUMBER(SEARCH(_xlfn.UNICHAR(65533),S3151)),"Côte d'Ivoire",
TRUE,""
)</f>
        <v/>
      </c>
      <c r="W3151" s="40" t="str">
        <f t="shared" si="222"/>
        <v>Switzerland</v>
      </c>
    </row>
    <row r="3152" spans="19:23">
      <c r="S3152" s="40" t="str">
        <v>France</v>
      </c>
      <c r="T3152" s="40" t="str">
        <f t="shared" si="220"/>
        <v>OK</v>
      </c>
      <c r="U3152" s="40" t="str">
        <f t="shared" si="221"/>
        <v>-</v>
      </c>
      <c r="V3152" s="40" t="str" cm="1">
        <f t="array" ref="V3152">_xlfn.IFS(
ISNUMBER(SEARCH("USA",S3152)),"United States",
ISNUMBER(SEARCH("Republic of Ireland",S3152)),"Ireland",
ISNUMBER(SEARCH("Republic of Korea",S3152)),"South Korea",
ISNUMBER(SEARCH("Cape Verde",S3152)),"Cabo Verde",
ISNUMBER(SEARCH("Czechia",S3152)),"Czech Republic",
ISNUMBER(SEARCH("Türkiye",S3152)),"Turkey",
ISNUMBER(SEARCH("Ivory Coast",S3152)),"Côte d'Ivoire",
ISNUMBER(SEARCH("Korea Republic",S3152)),"South Korea",
ISNUMBER(SEARCH("Germany FR",S3152)),"FR Germany",
ISNUMBER(SEARCH("West Germany",S3152)),"FR Germany",
ISNUMBER(SEARCH("Germany DR",S3152)),"DR Germany",
ISNUMBER(SEARCH("Korea DPR",S3152)),"North Korea",
ISNUMBER(SEARCH("China PR",S3152)),"China",
ISNUMBER(SEARCH("IR Iran",S3152)),"Iran",
ISNUMBER(SEARCH("Congo DR",S3152)),"Democratic Republic of the Congo",
ISNUMBER(SEARCH("DR Congo",S3152)),"Democratic Republic of the Congo",
ISNUMBER(SEARCH("German DR",S3152)),"DR Germany",
ISNUMBER(SEARCH("rn""&gt;United Arab Emirates",S3152)),"United Arab Emirates",
ISNUMBER(SEARCH("rn""&gt;Republic of Ireland",S3152)),"Ireland",
ISNUMBER(SEARCH("rn""&gt;Bosnia and Herzegovina",S3152)),"Bosnia and Herzegovina",
ISNUMBER(SEARCH("rn""&gt;Trinidad and Tobago",S3152)),"Trinidad and Tobago",
ISNUMBER(SEARCH("rn""&gt;Serbia and Montenegro",S3152)),"Serbia and Montenegro",
ISNUMBER(SEARCH(_xlfn.UNICHAR(65533),S3152)),"Côte d'Ivoire",
TRUE,""
)</f>
        <v/>
      </c>
      <c r="W3152" s="40" t="str">
        <f t="shared" si="222"/>
        <v>France</v>
      </c>
    </row>
    <row r="3153" spans="19:23">
      <c r="S3153" s="40" t="str">
        <v>Argentina</v>
      </c>
      <c r="T3153" s="40" t="str">
        <f t="shared" si="220"/>
        <v>OK</v>
      </c>
      <c r="U3153" s="40" t="str">
        <f t="shared" si="221"/>
        <v>-</v>
      </c>
      <c r="V3153" s="40" t="str" cm="1">
        <f t="array" ref="V3153">_xlfn.IFS(
ISNUMBER(SEARCH("USA",S3153)),"United States",
ISNUMBER(SEARCH("Republic of Ireland",S3153)),"Ireland",
ISNUMBER(SEARCH("Republic of Korea",S3153)),"South Korea",
ISNUMBER(SEARCH("Cape Verde",S3153)),"Cabo Verde",
ISNUMBER(SEARCH("Czechia",S3153)),"Czech Republic",
ISNUMBER(SEARCH("Türkiye",S3153)),"Turkey",
ISNUMBER(SEARCH("Ivory Coast",S3153)),"Côte d'Ivoire",
ISNUMBER(SEARCH("Korea Republic",S3153)),"South Korea",
ISNUMBER(SEARCH("Germany FR",S3153)),"FR Germany",
ISNUMBER(SEARCH("West Germany",S3153)),"FR Germany",
ISNUMBER(SEARCH("Germany DR",S3153)),"DR Germany",
ISNUMBER(SEARCH("Korea DPR",S3153)),"North Korea",
ISNUMBER(SEARCH("China PR",S3153)),"China",
ISNUMBER(SEARCH("IR Iran",S3153)),"Iran",
ISNUMBER(SEARCH("Congo DR",S3153)),"Democratic Republic of the Congo",
ISNUMBER(SEARCH("DR Congo",S3153)),"Democratic Republic of the Congo",
ISNUMBER(SEARCH("German DR",S3153)),"DR Germany",
ISNUMBER(SEARCH("rn""&gt;United Arab Emirates",S3153)),"United Arab Emirates",
ISNUMBER(SEARCH("rn""&gt;Republic of Ireland",S3153)),"Ireland",
ISNUMBER(SEARCH("rn""&gt;Bosnia and Herzegovina",S3153)),"Bosnia and Herzegovina",
ISNUMBER(SEARCH("rn""&gt;Trinidad and Tobago",S3153)),"Trinidad and Tobago",
ISNUMBER(SEARCH("rn""&gt;Serbia and Montenegro",S3153)),"Serbia and Montenegro",
ISNUMBER(SEARCH(_xlfn.UNICHAR(65533),S3153)),"Côte d'Ivoire",
TRUE,""
)</f>
        <v/>
      </c>
      <c r="W3153" s="40" t="str">
        <f t="shared" si="222"/>
        <v>Argentina</v>
      </c>
    </row>
    <row r="3154" spans="19:23">
      <c r="S3154" s="40" t="str">
        <v>Germany</v>
      </c>
      <c r="T3154" s="40" t="str">
        <f t="shared" si="220"/>
        <v>OK</v>
      </c>
      <c r="U3154" s="40" t="str">
        <f t="shared" si="221"/>
        <v>-</v>
      </c>
      <c r="V3154" s="40" t="str" cm="1">
        <f t="array" ref="V3154">_xlfn.IFS(
ISNUMBER(SEARCH("USA",S3154)),"United States",
ISNUMBER(SEARCH("Republic of Ireland",S3154)),"Ireland",
ISNUMBER(SEARCH("Republic of Korea",S3154)),"South Korea",
ISNUMBER(SEARCH("Cape Verde",S3154)),"Cabo Verde",
ISNUMBER(SEARCH("Czechia",S3154)),"Czech Republic",
ISNUMBER(SEARCH("Türkiye",S3154)),"Turkey",
ISNUMBER(SEARCH("Ivory Coast",S3154)),"Côte d'Ivoire",
ISNUMBER(SEARCH("Korea Republic",S3154)),"South Korea",
ISNUMBER(SEARCH("Germany FR",S3154)),"FR Germany",
ISNUMBER(SEARCH("West Germany",S3154)),"FR Germany",
ISNUMBER(SEARCH("Germany DR",S3154)),"DR Germany",
ISNUMBER(SEARCH("Korea DPR",S3154)),"North Korea",
ISNUMBER(SEARCH("China PR",S3154)),"China",
ISNUMBER(SEARCH("IR Iran",S3154)),"Iran",
ISNUMBER(SEARCH("Congo DR",S3154)),"Democratic Republic of the Congo",
ISNUMBER(SEARCH("DR Congo",S3154)),"Democratic Republic of the Congo",
ISNUMBER(SEARCH("German DR",S3154)),"DR Germany",
ISNUMBER(SEARCH("rn""&gt;United Arab Emirates",S3154)),"United Arab Emirates",
ISNUMBER(SEARCH("rn""&gt;Republic of Ireland",S3154)),"Ireland",
ISNUMBER(SEARCH("rn""&gt;Bosnia and Herzegovina",S3154)),"Bosnia and Herzegovina",
ISNUMBER(SEARCH("rn""&gt;Trinidad and Tobago",S3154)),"Trinidad and Tobago",
ISNUMBER(SEARCH("rn""&gt;Serbia and Montenegro",S3154)),"Serbia and Montenegro",
ISNUMBER(SEARCH(_xlfn.UNICHAR(65533),S3154)),"Côte d'Ivoire",
TRUE,""
)</f>
        <v/>
      </c>
      <c r="W3154" s="40" t="str">
        <f t="shared" si="222"/>
        <v>Germany</v>
      </c>
    </row>
    <row r="3155" spans="19:23">
      <c r="S3155" s="40" t="str">
        <v>IR Iran</v>
      </c>
      <c r="T3155" s="40" t="str">
        <f t="shared" si="220"/>
        <v>ERREUR</v>
      </c>
      <c r="U3155" s="40" t="str">
        <f t="shared" si="221"/>
        <v>RENOMMER</v>
      </c>
      <c r="V3155" s="40" t="str" cm="1">
        <f t="array" ref="V3155">_xlfn.IFS(
ISNUMBER(SEARCH("USA",S3155)),"United States",
ISNUMBER(SEARCH("Republic of Ireland",S3155)),"Ireland",
ISNUMBER(SEARCH("Republic of Korea",S3155)),"South Korea",
ISNUMBER(SEARCH("Cape Verde",S3155)),"Cabo Verde",
ISNUMBER(SEARCH("Czechia",S3155)),"Czech Republic",
ISNUMBER(SEARCH("Türkiye",S3155)),"Turkey",
ISNUMBER(SEARCH("Ivory Coast",S3155)),"Côte d'Ivoire",
ISNUMBER(SEARCH("Korea Republic",S3155)),"South Korea",
ISNUMBER(SEARCH("Germany FR",S3155)),"FR Germany",
ISNUMBER(SEARCH("West Germany",S3155)),"FR Germany",
ISNUMBER(SEARCH("Germany DR",S3155)),"DR Germany",
ISNUMBER(SEARCH("Korea DPR",S3155)),"North Korea",
ISNUMBER(SEARCH("China PR",S3155)),"China",
ISNUMBER(SEARCH("IR Iran",S3155)),"Iran",
ISNUMBER(SEARCH("Congo DR",S3155)),"Democratic Republic of the Congo",
ISNUMBER(SEARCH("DR Congo",S3155)),"Democratic Republic of the Congo",
ISNUMBER(SEARCH("German DR",S3155)),"DR Germany",
ISNUMBER(SEARCH("rn""&gt;United Arab Emirates",S3155)),"United Arab Emirates",
ISNUMBER(SEARCH("rn""&gt;Republic of Ireland",S3155)),"Ireland",
ISNUMBER(SEARCH("rn""&gt;Bosnia and Herzegovina",S3155)),"Bosnia and Herzegovina",
ISNUMBER(SEARCH("rn""&gt;Trinidad and Tobago",S3155)),"Trinidad and Tobago",
ISNUMBER(SEARCH("rn""&gt;Serbia and Montenegro",S3155)),"Serbia and Montenegro",
ISNUMBER(SEARCH(_xlfn.UNICHAR(65533),S3155)),"Côte d'Ivoire",
TRUE,""
)</f>
        <v>Iran</v>
      </c>
      <c r="W3155" s="40" t="str">
        <f t="shared" si="222"/>
        <v>Iran</v>
      </c>
    </row>
    <row r="3156" spans="19:23">
      <c r="S3156" s="40" t="str">
        <v>Ghana</v>
      </c>
      <c r="T3156" s="40" t="str">
        <f t="shared" si="220"/>
        <v>OK</v>
      </c>
      <c r="U3156" s="40" t="str">
        <f t="shared" si="221"/>
        <v>-</v>
      </c>
      <c r="V3156" s="40" t="str" cm="1">
        <f t="array" ref="V3156">_xlfn.IFS(
ISNUMBER(SEARCH("USA",S3156)),"United States",
ISNUMBER(SEARCH("Republic of Ireland",S3156)),"Ireland",
ISNUMBER(SEARCH("Republic of Korea",S3156)),"South Korea",
ISNUMBER(SEARCH("Cape Verde",S3156)),"Cabo Verde",
ISNUMBER(SEARCH("Czechia",S3156)),"Czech Republic",
ISNUMBER(SEARCH("Türkiye",S3156)),"Turkey",
ISNUMBER(SEARCH("Ivory Coast",S3156)),"Côte d'Ivoire",
ISNUMBER(SEARCH("Korea Republic",S3156)),"South Korea",
ISNUMBER(SEARCH("Germany FR",S3156)),"FR Germany",
ISNUMBER(SEARCH("West Germany",S3156)),"FR Germany",
ISNUMBER(SEARCH("Germany DR",S3156)),"DR Germany",
ISNUMBER(SEARCH("Korea DPR",S3156)),"North Korea",
ISNUMBER(SEARCH("China PR",S3156)),"China",
ISNUMBER(SEARCH("IR Iran",S3156)),"Iran",
ISNUMBER(SEARCH("Congo DR",S3156)),"Democratic Republic of the Congo",
ISNUMBER(SEARCH("DR Congo",S3156)),"Democratic Republic of the Congo",
ISNUMBER(SEARCH("German DR",S3156)),"DR Germany",
ISNUMBER(SEARCH("rn""&gt;United Arab Emirates",S3156)),"United Arab Emirates",
ISNUMBER(SEARCH("rn""&gt;Republic of Ireland",S3156)),"Ireland",
ISNUMBER(SEARCH("rn""&gt;Bosnia and Herzegovina",S3156)),"Bosnia and Herzegovina",
ISNUMBER(SEARCH("rn""&gt;Trinidad and Tobago",S3156)),"Trinidad and Tobago",
ISNUMBER(SEARCH("rn""&gt;Serbia and Montenegro",S3156)),"Serbia and Montenegro",
ISNUMBER(SEARCH(_xlfn.UNICHAR(65533),S3156)),"Côte d'Ivoire",
TRUE,""
)</f>
        <v/>
      </c>
      <c r="W3156" s="40" t="str">
        <f t="shared" si="222"/>
        <v>Ghana</v>
      </c>
    </row>
    <row r="3157" spans="19:23">
      <c r="S3157" s="40" t="str">
        <v>Belgium</v>
      </c>
      <c r="T3157" s="40" t="str">
        <f t="shared" si="220"/>
        <v>OK</v>
      </c>
      <c r="U3157" s="40" t="str">
        <f t="shared" si="221"/>
        <v>-</v>
      </c>
      <c r="V3157" s="40" t="str" cm="1">
        <f t="array" ref="V3157">_xlfn.IFS(
ISNUMBER(SEARCH("USA",S3157)),"United States",
ISNUMBER(SEARCH("Republic of Ireland",S3157)),"Ireland",
ISNUMBER(SEARCH("Republic of Korea",S3157)),"South Korea",
ISNUMBER(SEARCH("Cape Verde",S3157)),"Cabo Verde",
ISNUMBER(SEARCH("Czechia",S3157)),"Czech Republic",
ISNUMBER(SEARCH("Türkiye",S3157)),"Turkey",
ISNUMBER(SEARCH("Ivory Coast",S3157)),"Côte d'Ivoire",
ISNUMBER(SEARCH("Korea Republic",S3157)),"South Korea",
ISNUMBER(SEARCH("Germany FR",S3157)),"FR Germany",
ISNUMBER(SEARCH("West Germany",S3157)),"FR Germany",
ISNUMBER(SEARCH("Germany DR",S3157)),"DR Germany",
ISNUMBER(SEARCH("Korea DPR",S3157)),"North Korea",
ISNUMBER(SEARCH("China PR",S3157)),"China",
ISNUMBER(SEARCH("IR Iran",S3157)),"Iran",
ISNUMBER(SEARCH("Congo DR",S3157)),"Democratic Republic of the Congo",
ISNUMBER(SEARCH("DR Congo",S3157)),"Democratic Republic of the Congo",
ISNUMBER(SEARCH("German DR",S3157)),"DR Germany",
ISNUMBER(SEARCH("rn""&gt;United Arab Emirates",S3157)),"United Arab Emirates",
ISNUMBER(SEARCH("rn""&gt;Republic of Ireland",S3157)),"Ireland",
ISNUMBER(SEARCH("rn""&gt;Bosnia and Herzegovina",S3157)),"Bosnia and Herzegovina",
ISNUMBER(SEARCH("rn""&gt;Trinidad and Tobago",S3157)),"Trinidad and Tobago",
ISNUMBER(SEARCH("rn""&gt;Serbia and Montenegro",S3157)),"Serbia and Montenegro",
ISNUMBER(SEARCH(_xlfn.UNICHAR(65533),S3157)),"Côte d'Ivoire",
TRUE,""
)</f>
        <v/>
      </c>
      <c r="W3157" s="40" t="str">
        <f t="shared" si="222"/>
        <v>Belgium</v>
      </c>
    </row>
    <row r="3158" spans="19:23">
      <c r="S3158" s="40" t="str">
        <v>Brazil</v>
      </c>
      <c r="T3158" s="40" t="str">
        <f t="shared" si="220"/>
        <v>OK</v>
      </c>
      <c r="U3158" s="40" t="str">
        <f t="shared" si="221"/>
        <v>-</v>
      </c>
      <c r="V3158" s="40" t="str" cm="1">
        <f t="array" ref="V3158">_xlfn.IFS(
ISNUMBER(SEARCH("USA",S3158)),"United States",
ISNUMBER(SEARCH("Republic of Ireland",S3158)),"Ireland",
ISNUMBER(SEARCH("Republic of Korea",S3158)),"South Korea",
ISNUMBER(SEARCH("Cape Verde",S3158)),"Cabo Verde",
ISNUMBER(SEARCH("Czechia",S3158)),"Czech Republic",
ISNUMBER(SEARCH("Türkiye",S3158)),"Turkey",
ISNUMBER(SEARCH("Ivory Coast",S3158)),"Côte d'Ivoire",
ISNUMBER(SEARCH("Korea Republic",S3158)),"South Korea",
ISNUMBER(SEARCH("Germany FR",S3158)),"FR Germany",
ISNUMBER(SEARCH("West Germany",S3158)),"FR Germany",
ISNUMBER(SEARCH("Germany DR",S3158)),"DR Germany",
ISNUMBER(SEARCH("Korea DPR",S3158)),"North Korea",
ISNUMBER(SEARCH("China PR",S3158)),"China",
ISNUMBER(SEARCH("IR Iran",S3158)),"Iran",
ISNUMBER(SEARCH("Congo DR",S3158)),"Democratic Republic of the Congo",
ISNUMBER(SEARCH("DR Congo",S3158)),"Democratic Republic of the Congo",
ISNUMBER(SEARCH("German DR",S3158)),"DR Germany",
ISNUMBER(SEARCH("rn""&gt;United Arab Emirates",S3158)),"United Arab Emirates",
ISNUMBER(SEARCH("rn""&gt;Republic of Ireland",S3158)),"Ireland",
ISNUMBER(SEARCH("rn""&gt;Bosnia and Herzegovina",S3158)),"Bosnia and Herzegovina",
ISNUMBER(SEARCH("rn""&gt;Trinidad and Tobago",S3158)),"Trinidad and Tobago",
ISNUMBER(SEARCH("rn""&gt;Serbia and Montenegro",S3158)),"Serbia and Montenegro",
ISNUMBER(SEARCH(_xlfn.UNICHAR(65533),S3158)),"Côte d'Ivoire",
TRUE,""
)</f>
        <v/>
      </c>
      <c r="W3158" s="40" t="str">
        <f t="shared" si="222"/>
        <v>Brazil</v>
      </c>
    </row>
    <row r="3159" spans="19:23">
      <c r="S3159" s="40" t="str">
        <v>Russia</v>
      </c>
      <c r="T3159" s="40" t="str">
        <f t="shared" si="220"/>
        <v>OK</v>
      </c>
      <c r="U3159" s="40" t="str">
        <f t="shared" si="221"/>
        <v>-</v>
      </c>
      <c r="V3159" s="40" t="str" cm="1">
        <f t="array" ref="V3159">_xlfn.IFS(
ISNUMBER(SEARCH("USA",S3159)),"United States",
ISNUMBER(SEARCH("Republic of Ireland",S3159)),"Ireland",
ISNUMBER(SEARCH("Republic of Korea",S3159)),"South Korea",
ISNUMBER(SEARCH("Cape Verde",S3159)),"Cabo Verde",
ISNUMBER(SEARCH("Czechia",S3159)),"Czech Republic",
ISNUMBER(SEARCH("Türkiye",S3159)),"Turkey",
ISNUMBER(SEARCH("Ivory Coast",S3159)),"Côte d'Ivoire",
ISNUMBER(SEARCH("Korea Republic",S3159)),"South Korea",
ISNUMBER(SEARCH("Germany FR",S3159)),"FR Germany",
ISNUMBER(SEARCH("West Germany",S3159)),"FR Germany",
ISNUMBER(SEARCH("Germany DR",S3159)),"DR Germany",
ISNUMBER(SEARCH("Korea DPR",S3159)),"North Korea",
ISNUMBER(SEARCH("China PR",S3159)),"China",
ISNUMBER(SEARCH("IR Iran",S3159)),"Iran",
ISNUMBER(SEARCH("Congo DR",S3159)),"Democratic Republic of the Congo",
ISNUMBER(SEARCH("DR Congo",S3159)),"Democratic Republic of the Congo",
ISNUMBER(SEARCH("German DR",S3159)),"DR Germany",
ISNUMBER(SEARCH("rn""&gt;United Arab Emirates",S3159)),"United Arab Emirates",
ISNUMBER(SEARCH("rn""&gt;Republic of Ireland",S3159)),"Ireland",
ISNUMBER(SEARCH("rn""&gt;Bosnia and Herzegovina",S3159)),"Bosnia and Herzegovina",
ISNUMBER(SEARCH("rn""&gt;Trinidad and Tobago",S3159)),"Trinidad and Tobago",
ISNUMBER(SEARCH("rn""&gt;Serbia and Montenegro",S3159)),"Serbia and Montenegro",
ISNUMBER(SEARCH(_xlfn.UNICHAR(65533),S3159)),"Côte d'Ivoire",
TRUE,""
)</f>
        <v/>
      </c>
      <c r="W3159" s="40" t="str">
        <f t="shared" si="222"/>
        <v>Russia</v>
      </c>
    </row>
    <row r="3160" spans="19:23">
      <c r="S3160" s="40" t="str">
        <v>Australia</v>
      </c>
      <c r="T3160" s="40" t="str">
        <f t="shared" si="220"/>
        <v>OK</v>
      </c>
      <c r="U3160" s="40" t="str">
        <f t="shared" si="221"/>
        <v>-</v>
      </c>
      <c r="V3160" s="40" t="str" cm="1">
        <f t="array" ref="V3160">_xlfn.IFS(
ISNUMBER(SEARCH("USA",S3160)),"United States",
ISNUMBER(SEARCH("Republic of Ireland",S3160)),"Ireland",
ISNUMBER(SEARCH("Republic of Korea",S3160)),"South Korea",
ISNUMBER(SEARCH("Cape Verde",S3160)),"Cabo Verde",
ISNUMBER(SEARCH("Czechia",S3160)),"Czech Republic",
ISNUMBER(SEARCH("Türkiye",S3160)),"Turkey",
ISNUMBER(SEARCH("Ivory Coast",S3160)),"Côte d'Ivoire",
ISNUMBER(SEARCH("Korea Republic",S3160)),"South Korea",
ISNUMBER(SEARCH("Germany FR",S3160)),"FR Germany",
ISNUMBER(SEARCH("West Germany",S3160)),"FR Germany",
ISNUMBER(SEARCH("Germany DR",S3160)),"DR Germany",
ISNUMBER(SEARCH("Korea DPR",S3160)),"North Korea",
ISNUMBER(SEARCH("China PR",S3160)),"China",
ISNUMBER(SEARCH("IR Iran",S3160)),"Iran",
ISNUMBER(SEARCH("Congo DR",S3160)),"Democratic Republic of the Congo",
ISNUMBER(SEARCH("DR Congo",S3160)),"Democratic Republic of the Congo",
ISNUMBER(SEARCH("German DR",S3160)),"DR Germany",
ISNUMBER(SEARCH("rn""&gt;United Arab Emirates",S3160)),"United Arab Emirates",
ISNUMBER(SEARCH("rn""&gt;Republic of Ireland",S3160)),"Ireland",
ISNUMBER(SEARCH("rn""&gt;Bosnia and Herzegovina",S3160)),"Bosnia and Herzegovina",
ISNUMBER(SEARCH("rn""&gt;Trinidad and Tobago",S3160)),"Trinidad and Tobago",
ISNUMBER(SEARCH("rn""&gt;Serbia and Montenegro",S3160)),"Serbia and Montenegro",
ISNUMBER(SEARCH(_xlfn.UNICHAR(65533),S3160)),"Côte d'Ivoire",
TRUE,""
)</f>
        <v/>
      </c>
      <c r="W3160" s="40" t="str">
        <f t="shared" si="222"/>
        <v>Australia</v>
      </c>
    </row>
    <row r="3161" spans="19:23">
      <c r="S3161" s="40" t="str">
        <v>Spain</v>
      </c>
      <c r="T3161" s="40" t="str">
        <f t="shared" si="220"/>
        <v>OK</v>
      </c>
      <c r="U3161" s="40" t="str">
        <f t="shared" si="221"/>
        <v>-</v>
      </c>
      <c r="V3161" s="40" t="str" cm="1">
        <f t="array" ref="V3161">_xlfn.IFS(
ISNUMBER(SEARCH("USA",S3161)),"United States",
ISNUMBER(SEARCH("Republic of Ireland",S3161)),"Ireland",
ISNUMBER(SEARCH("Republic of Korea",S3161)),"South Korea",
ISNUMBER(SEARCH("Cape Verde",S3161)),"Cabo Verde",
ISNUMBER(SEARCH("Czechia",S3161)),"Czech Republic",
ISNUMBER(SEARCH("Türkiye",S3161)),"Turkey",
ISNUMBER(SEARCH("Ivory Coast",S3161)),"Côte d'Ivoire",
ISNUMBER(SEARCH("Korea Republic",S3161)),"South Korea",
ISNUMBER(SEARCH("Germany FR",S3161)),"FR Germany",
ISNUMBER(SEARCH("West Germany",S3161)),"FR Germany",
ISNUMBER(SEARCH("Germany DR",S3161)),"DR Germany",
ISNUMBER(SEARCH("Korea DPR",S3161)),"North Korea",
ISNUMBER(SEARCH("China PR",S3161)),"China",
ISNUMBER(SEARCH("IR Iran",S3161)),"Iran",
ISNUMBER(SEARCH("Congo DR",S3161)),"Democratic Republic of the Congo",
ISNUMBER(SEARCH("DR Congo",S3161)),"Democratic Republic of the Congo",
ISNUMBER(SEARCH("German DR",S3161)),"DR Germany",
ISNUMBER(SEARCH("rn""&gt;United Arab Emirates",S3161)),"United Arab Emirates",
ISNUMBER(SEARCH("rn""&gt;Republic of Ireland",S3161)),"Ireland",
ISNUMBER(SEARCH("rn""&gt;Bosnia and Herzegovina",S3161)),"Bosnia and Herzegovina",
ISNUMBER(SEARCH("rn""&gt;Trinidad and Tobago",S3161)),"Trinidad and Tobago",
ISNUMBER(SEARCH("rn""&gt;Serbia and Montenegro",S3161)),"Serbia and Montenegro",
ISNUMBER(SEARCH(_xlfn.UNICHAR(65533),S3161)),"Côte d'Ivoire",
TRUE,""
)</f>
        <v/>
      </c>
      <c r="W3161" s="40" t="str">
        <f t="shared" si="222"/>
        <v>Spain</v>
      </c>
    </row>
    <row r="3162" spans="19:23">
      <c r="S3162" s="40" t="str">
        <v>Cameroon</v>
      </c>
      <c r="T3162" s="40" t="str">
        <f t="shared" si="220"/>
        <v>OK</v>
      </c>
      <c r="U3162" s="40" t="str">
        <f t="shared" si="221"/>
        <v>-</v>
      </c>
      <c r="V3162" s="40" t="str" cm="1">
        <f t="array" ref="V3162">_xlfn.IFS(
ISNUMBER(SEARCH("USA",S3162)),"United States",
ISNUMBER(SEARCH("Republic of Ireland",S3162)),"Ireland",
ISNUMBER(SEARCH("Republic of Korea",S3162)),"South Korea",
ISNUMBER(SEARCH("Cape Verde",S3162)),"Cabo Verde",
ISNUMBER(SEARCH("Czechia",S3162)),"Czech Republic",
ISNUMBER(SEARCH("Türkiye",S3162)),"Turkey",
ISNUMBER(SEARCH("Ivory Coast",S3162)),"Côte d'Ivoire",
ISNUMBER(SEARCH("Korea Republic",S3162)),"South Korea",
ISNUMBER(SEARCH("Germany FR",S3162)),"FR Germany",
ISNUMBER(SEARCH("West Germany",S3162)),"FR Germany",
ISNUMBER(SEARCH("Germany DR",S3162)),"DR Germany",
ISNUMBER(SEARCH("Korea DPR",S3162)),"North Korea",
ISNUMBER(SEARCH("China PR",S3162)),"China",
ISNUMBER(SEARCH("IR Iran",S3162)),"Iran",
ISNUMBER(SEARCH("Congo DR",S3162)),"Democratic Republic of the Congo",
ISNUMBER(SEARCH("DR Congo",S3162)),"Democratic Republic of the Congo",
ISNUMBER(SEARCH("German DR",S3162)),"DR Germany",
ISNUMBER(SEARCH("rn""&gt;United Arab Emirates",S3162)),"United Arab Emirates",
ISNUMBER(SEARCH("rn""&gt;Republic of Ireland",S3162)),"Ireland",
ISNUMBER(SEARCH("rn""&gt;Bosnia and Herzegovina",S3162)),"Bosnia and Herzegovina",
ISNUMBER(SEARCH("rn""&gt;Trinidad and Tobago",S3162)),"Trinidad and Tobago",
ISNUMBER(SEARCH("rn""&gt;Serbia and Montenegro",S3162)),"Serbia and Montenegro",
ISNUMBER(SEARCH(_xlfn.UNICHAR(65533),S3162)),"Côte d'Ivoire",
TRUE,""
)</f>
        <v/>
      </c>
      <c r="W3162" s="40" t="str">
        <f t="shared" si="222"/>
        <v>Cameroon</v>
      </c>
    </row>
    <row r="3163" spans="19:23">
      <c r="S3163" s="40" t="str">
        <v>Colombia</v>
      </c>
      <c r="T3163" s="40" t="str">
        <f t="shared" si="220"/>
        <v>OK</v>
      </c>
      <c r="U3163" s="40" t="str">
        <f t="shared" si="221"/>
        <v>-</v>
      </c>
      <c r="V3163" s="40" t="str" cm="1">
        <f t="array" ref="V3163">_xlfn.IFS(
ISNUMBER(SEARCH("USA",S3163)),"United States",
ISNUMBER(SEARCH("Republic of Ireland",S3163)),"Ireland",
ISNUMBER(SEARCH("Republic of Korea",S3163)),"South Korea",
ISNUMBER(SEARCH("Cape Verde",S3163)),"Cabo Verde",
ISNUMBER(SEARCH("Czechia",S3163)),"Czech Republic",
ISNUMBER(SEARCH("Türkiye",S3163)),"Turkey",
ISNUMBER(SEARCH("Ivory Coast",S3163)),"Côte d'Ivoire",
ISNUMBER(SEARCH("Korea Republic",S3163)),"South Korea",
ISNUMBER(SEARCH("Germany FR",S3163)),"FR Germany",
ISNUMBER(SEARCH("West Germany",S3163)),"FR Germany",
ISNUMBER(SEARCH("Germany DR",S3163)),"DR Germany",
ISNUMBER(SEARCH("Korea DPR",S3163)),"North Korea",
ISNUMBER(SEARCH("China PR",S3163)),"China",
ISNUMBER(SEARCH("IR Iran",S3163)),"Iran",
ISNUMBER(SEARCH("Congo DR",S3163)),"Democratic Republic of the Congo",
ISNUMBER(SEARCH("DR Congo",S3163)),"Democratic Republic of the Congo",
ISNUMBER(SEARCH("German DR",S3163)),"DR Germany",
ISNUMBER(SEARCH("rn""&gt;United Arab Emirates",S3163)),"United Arab Emirates",
ISNUMBER(SEARCH("rn""&gt;Republic of Ireland",S3163)),"Ireland",
ISNUMBER(SEARCH("rn""&gt;Bosnia and Herzegovina",S3163)),"Bosnia and Herzegovina",
ISNUMBER(SEARCH("rn""&gt;Trinidad and Tobago",S3163)),"Trinidad and Tobago",
ISNUMBER(SEARCH("rn""&gt;Serbia and Montenegro",S3163)),"Serbia and Montenegro",
ISNUMBER(SEARCH(_xlfn.UNICHAR(65533),S3163)),"Côte d'Ivoire",
TRUE,""
)</f>
        <v/>
      </c>
      <c r="W3163" s="40" t="str">
        <f t="shared" si="222"/>
        <v>Colombia</v>
      </c>
    </row>
    <row r="3164" spans="19:23">
      <c r="S3164" s="40" t="str">
        <v>Uruguay</v>
      </c>
      <c r="T3164" s="40" t="str">
        <f t="shared" si="220"/>
        <v>OK</v>
      </c>
      <c r="U3164" s="40" t="str">
        <f t="shared" si="221"/>
        <v>-</v>
      </c>
      <c r="V3164" s="40" t="str" cm="1">
        <f t="array" ref="V3164">_xlfn.IFS(
ISNUMBER(SEARCH("USA",S3164)),"United States",
ISNUMBER(SEARCH("Republic of Ireland",S3164)),"Ireland",
ISNUMBER(SEARCH("Republic of Korea",S3164)),"South Korea",
ISNUMBER(SEARCH("Cape Verde",S3164)),"Cabo Verde",
ISNUMBER(SEARCH("Czechia",S3164)),"Czech Republic",
ISNUMBER(SEARCH("Türkiye",S3164)),"Turkey",
ISNUMBER(SEARCH("Ivory Coast",S3164)),"Côte d'Ivoire",
ISNUMBER(SEARCH("Korea Republic",S3164)),"South Korea",
ISNUMBER(SEARCH("Germany FR",S3164)),"FR Germany",
ISNUMBER(SEARCH("West Germany",S3164)),"FR Germany",
ISNUMBER(SEARCH("Germany DR",S3164)),"DR Germany",
ISNUMBER(SEARCH("Korea DPR",S3164)),"North Korea",
ISNUMBER(SEARCH("China PR",S3164)),"China",
ISNUMBER(SEARCH("IR Iran",S3164)),"Iran",
ISNUMBER(SEARCH("Congo DR",S3164)),"Democratic Republic of the Congo",
ISNUMBER(SEARCH("DR Congo",S3164)),"Democratic Republic of the Congo",
ISNUMBER(SEARCH("German DR",S3164)),"DR Germany",
ISNUMBER(SEARCH("rn""&gt;United Arab Emirates",S3164)),"United Arab Emirates",
ISNUMBER(SEARCH("rn""&gt;Republic of Ireland",S3164)),"Ireland",
ISNUMBER(SEARCH("rn""&gt;Bosnia and Herzegovina",S3164)),"Bosnia and Herzegovina",
ISNUMBER(SEARCH("rn""&gt;Trinidad and Tobago",S3164)),"Trinidad and Tobago",
ISNUMBER(SEARCH("rn""&gt;Serbia and Montenegro",S3164)),"Serbia and Montenegro",
ISNUMBER(SEARCH(_xlfn.UNICHAR(65533),S3164)),"Côte d'Ivoire",
TRUE,""
)</f>
        <v/>
      </c>
      <c r="W3164" s="40" t="str">
        <f t="shared" si="222"/>
        <v>Uruguay</v>
      </c>
    </row>
    <row r="3165" spans="19:23">
      <c r="S3165" s="40" t="str">
        <v>Japan</v>
      </c>
      <c r="T3165" s="40" t="str">
        <f t="shared" si="220"/>
        <v>OK</v>
      </c>
      <c r="U3165" s="40" t="str">
        <f t="shared" si="221"/>
        <v>-</v>
      </c>
      <c r="V3165" s="40" t="str" cm="1">
        <f t="array" ref="V3165">_xlfn.IFS(
ISNUMBER(SEARCH("USA",S3165)),"United States",
ISNUMBER(SEARCH("Republic of Ireland",S3165)),"Ireland",
ISNUMBER(SEARCH("Republic of Korea",S3165)),"South Korea",
ISNUMBER(SEARCH("Cape Verde",S3165)),"Cabo Verde",
ISNUMBER(SEARCH("Czechia",S3165)),"Czech Republic",
ISNUMBER(SEARCH("Türkiye",S3165)),"Turkey",
ISNUMBER(SEARCH("Ivory Coast",S3165)),"Côte d'Ivoire",
ISNUMBER(SEARCH("Korea Republic",S3165)),"South Korea",
ISNUMBER(SEARCH("Germany FR",S3165)),"FR Germany",
ISNUMBER(SEARCH("West Germany",S3165)),"FR Germany",
ISNUMBER(SEARCH("Germany DR",S3165)),"DR Germany",
ISNUMBER(SEARCH("Korea DPR",S3165)),"North Korea",
ISNUMBER(SEARCH("China PR",S3165)),"China",
ISNUMBER(SEARCH("IR Iran",S3165)),"Iran",
ISNUMBER(SEARCH("Congo DR",S3165)),"Democratic Republic of the Congo",
ISNUMBER(SEARCH("DR Congo",S3165)),"Democratic Republic of the Congo",
ISNUMBER(SEARCH("German DR",S3165)),"DR Germany",
ISNUMBER(SEARCH("rn""&gt;United Arab Emirates",S3165)),"United Arab Emirates",
ISNUMBER(SEARCH("rn""&gt;Republic of Ireland",S3165)),"Ireland",
ISNUMBER(SEARCH("rn""&gt;Bosnia and Herzegovina",S3165)),"Bosnia and Herzegovina",
ISNUMBER(SEARCH("rn""&gt;Trinidad and Tobago",S3165)),"Trinidad and Tobago",
ISNUMBER(SEARCH("rn""&gt;Serbia and Montenegro",S3165)),"Serbia and Montenegro",
ISNUMBER(SEARCH(_xlfn.UNICHAR(65533),S3165)),"Côte d'Ivoire",
TRUE,""
)</f>
        <v/>
      </c>
      <c r="W3165" s="40" t="str">
        <f t="shared" si="222"/>
        <v>Japan</v>
      </c>
    </row>
    <row r="3166" spans="19:23">
      <c r="S3166" s="40" t="str">
        <v>Italy</v>
      </c>
      <c r="T3166" s="40" t="str">
        <f t="shared" si="220"/>
        <v>OK</v>
      </c>
      <c r="U3166" s="40" t="str">
        <f t="shared" si="221"/>
        <v>-</v>
      </c>
      <c r="V3166" s="40" t="str" cm="1">
        <f t="array" ref="V3166">_xlfn.IFS(
ISNUMBER(SEARCH("USA",S3166)),"United States",
ISNUMBER(SEARCH("Republic of Ireland",S3166)),"Ireland",
ISNUMBER(SEARCH("Republic of Korea",S3166)),"South Korea",
ISNUMBER(SEARCH("Cape Verde",S3166)),"Cabo Verde",
ISNUMBER(SEARCH("Czechia",S3166)),"Czech Republic",
ISNUMBER(SEARCH("Türkiye",S3166)),"Turkey",
ISNUMBER(SEARCH("Ivory Coast",S3166)),"Côte d'Ivoire",
ISNUMBER(SEARCH("Korea Republic",S3166)),"South Korea",
ISNUMBER(SEARCH("Germany FR",S3166)),"FR Germany",
ISNUMBER(SEARCH("West Germany",S3166)),"FR Germany",
ISNUMBER(SEARCH("Germany DR",S3166)),"DR Germany",
ISNUMBER(SEARCH("Korea DPR",S3166)),"North Korea",
ISNUMBER(SEARCH("China PR",S3166)),"China",
ISNUMBER(SEARCH("IR Iran",S3166)),"Iran",
ISNUMBER(SEARCH("Congo DR",S3166)),"Democratic Republic of the Congo",
ISNUMBER(SEARCH("DR Congo",S3166)),"Democratic Republic of the Congo",
ISNUMBER(SEARCH("German DR",S3166)),"DR Germany",
ISNUMBER(SEARCH("rn""&gt;United Arab Emirates",S3166)),"United Arab Emirates",
ISNUMBER(SEARCH("rn""&gt;Republic of Ireland",S3166)),"Ireland",
ISNUMBER(SEARCH("rn""&gt;Bosnia and Herzegovina",S3166)),"Bosnia and Herzegovina",
ISNUMBER(SEARCH("rn""&gt;Trinidad and Tobago",S3166)),"Trinidad and Tobago",
ISNUMBER(SEARCH("rn""&gt;Serbia and Montenegro",S3166)),"Serbia and Montenegro",
ISNUMBER(SEARCH(_xlfn.UNICHAR(65533),S3166)),"Côte d'Ivoire",
TRUE,""
)</f>
        <v/>
      </c>
      <c r="W3166" s="40" t="str">
        <f t="shared" si="222"/>
        <v>Italy</v>
      </c>
    </row>
    <row r="3167" spans="19:23">
      <c r="S3167" s="40" t="str">
        <v>Switzerland</v>
      </c>
      <c r="T3167" s="40" t="str">
        <f t="shared" si="220"/>
        <v>OK</v>
      </c>
      <c r="U3167" s="40" t="str">
        <f t="shared" si="221"/>
        <v>-</v>
      </c>
      <c r="V3167" s="40" t="str" cm="1">
        <f t="array" ref="V3167">_xlfn.IFS(
ISNUMBER(SEARCH("USA",S3167)),"United States",
ISNUMBER(SEARCH("Republic of Ireland",S3167)),"Ireland",
ISNUMBER(SEARCH("Republic of Korea",S3167)),"South Korea",
ISNUMBER(SEARCH("Cape Verde",S3167)),"Cabo Verde",
ISNUMBER(SEARCH("Czechia",S3167)),"Czech Republic",
ISNUMBER(SEARCH("Türkiye",S3167)),"Turkey",
ISNUMBER(SEARCH("Ivory Coast",S3167)),"Côte d'Ivoire",
ISNUMBER(SEARCH("Korea Republic",S3167)),"South Korea",
ISNUMBER(SEARCH("Germany FR",S3167)),"FR Germany",
ISNUMBER(SEARCH("West Germany",S3167)),"FR Germany",
ISNUMBER(SEARCH("Germany DR",S3167)),"DR Germany",
ISNUMBER(SEARCH("Korea DPR",S3167)),"North Korea",
ISNUMBER(SEARCH("China PR",S3167)),"China",
ISNUMBER(SEARCH("IR Iran",S3167)),"Iran",
ISNUMBER(SEARCH("Congo DR",S3167)),"Democratic Republic of the Congo",
ISNUMBER(SEARCH("DR Congo",S3167)),"Democratic Republic of the Congo",
ISNUMBER(SEARCH("German DR",S3167)),"DR Germany",
ISNUMBER(SEARCH("rn""&gt;United Arab Emirates",S3167)),"United Arab Emirates",
ISNUMBER(SEARCH("rn""&gt;Republic of Ireland",S3167)),"Ireland",
ISNUMBER(SEARCH("rn""&gt;Bosnia and Herzegovina",S3167)),"Bosnia and Herzegovina",
ISNUMBER(SEARCH("rn""&gt;Trinidad and Tobago",S3167)),"Trinidad and Tobago",
ISNUMBER(SEARCH("rn""&gt;Serbia and Montenegro",S3167)),"Serbia and Montenegro",
ISNUMBER(SEARCH(_xlfn.UNICHAR(65533),S3167)),"Côte d'Ivoire",
TRUE,""
)</f>
        <v/>
      </c>
      <c r="W3167" s="40" t="str">
        <f t="shared" si="222"/>
        <v>Switzerland</v>
      </c>
    </row>
    <row r="3168" spans="19:23">
      <c r="S3168" s="40" t="str">
        <v>Honduras</v>
      </c>
      <c r="T3168" s="40" t="str">
        <f t="shared" si="220"/>
        <v>OK</v>
      </c>
      <c r="U3168" s="40" t="str">
        <f t="shared" si="221"/>
        <v>-</v>
      </c>
      <c r="V3168" s="40" t="str" cm="1">
        <f t="array" ref="V3168">_xlfn.IFS(
ISNUMBER(SEARCH("USA",S3168)),"United States",
ISNUMBER(SEARCH("Republic of Ireland",S3168)),"Ireland",
ISNUMBER(SEARCH("Republic of Korea",S3168)),"South Korea",
ISNUMBER(SEARCH("Cape Verde",S3168)),"Cabo Verde",
ISNUMBER(SEARCH("Czechia",S3168)),"Czech Republic",
ISNUMBER(SEARCH("Türkiye",S3168)),"Turkey",
ISNUMBER(SEARCH("Ivory Coast",S3168)),"Côte d'Ivoire",
ISNUMBER(SEARCH("Korea Republic",S3168)),"South Korea",
ISNUMBER(SEARCH("Germany FR",S3168)),"FR Germany",
ISNUMBER(SEARCH("West Germany",S3168)),"FR Germany",
ISNUMBER(SEARCH("Germany DR",S3168)),"DR Germany",
ISNUMBER(SEARCH("Korea DPR",S3168)),"North Korea",
ISNUMBER(SEARCH("China PR",S3168)),"China",
ISNUMBER(SEARCH("IR Iran",S3168)),"Iran",
ISNUMBER(SEARCH("Congo DR",S3168)),"Democratic Republic of the Congo",
ISNUMBER(SEARCH("DR Congo",S3168)),"Democratic Republic of the Congo",
ISNUMBER(SEARCH("German DR",S3168)),"DR Germany",
ISNUMBER(SEARCH("rn""&gt;United Arab Emirates",S3168)),"United Arab Emirates",
ISNUMBER(SEARCH("rn""&gt;Republic of Ireland",S3168)),"Ireland",
ISNUMBER(SEARCH("rn""&gt;Bosnia and Herzegovina",S3168)),"Bosnia and Herzegovina",
ISNUMBER(SEARCH("rn""&gt;Trinidad and Tobago",S3168)),"Trinidad and Tobago",
ISNUMBER(SEARCH("rn""&gt;Serbia and Montenegro",S3168)),"Serbia and Montenegro",
ISNUMBER(SEARCH(_xlfn.UNICHAR(65533),S3168)),"Côte d'Ivoire",
TRUE,""
)</f>
        <v/>
      </c>
      <c r="W3168" s="40" t="str">
        <f t="shared" si="222"/>
        <v>Honduras</v>
      </c>
    </row>
    <row r="3169" spans="19:23">
      <c r="S3169" s="40" t="str">
        <v>Argentina</v>
      </c>
      <c r="T3169" s="40" t="str">
        <f t="shared" si="220"/>
        <v>OK</v>
      </c>
      <c r="U3169" s="40" t="str">
        <f t="shared" si="221"/>
        <v>-</v>
      </c>
      <c r="V3169" s="40" t="str" cm="1">
        <f t="array" ref="V3169">_xlfn.IFS(
ISNUMBER(SEARCH("USA",S3169)),"United States",
ISNUMBER(SEARCH("Republic of Ireland",S3169)),"Ireland",
ISNUMBER(SEARCH("Republic of Korea",S3169)),"South Korea",
ISNUMBER(SEARCH("Cape Verde",S3169)),"Cabo Verde",
ISNUMBER(SEARCH("Czechia",S3169)),"Czech Republic",
ISNUMBER(SEARCH("Türkiye",S3169)),"Turkey",
ISNUMBER(SEARCH("Ivory Coast",S3169)),"Côte d'Ivoire",
ISNUMBER(SEARCH("Korea Republic",S3169)),"South Korea",
ISNUMBER(SEARCH("Germany FR",S3169)),"FR Germany",
ISNUMBER(SEARCH("West Germany",S3169)),"FR Germany",
ISNUMBER(SEARCH("Germany DR",S3169)),"DR Germany",
ISNUMBER(SEARCH("Korea DPR",S3169)),"North Korea",
ISNUMBER(SEARCH("China PR",S3169)),"China",
ISNUMBER(SEARCH("IR Iran",S3169)),"Iran",
ISNUMBER(SEARCH("Congo DR",S3169)),"Democratic Republic of the Congo",
ISNUMBER(SEARCH("DR Congo",S3169)),"Democratic Republic of the Congo",
ISNUMBER(SEARCH("German DR",S3169)),"DR Germany",
ISNUMBER(SEARCH("rn""&gt;United Arab Emirates",S3169)),"United Arab Emirates",
ISNUMBER(SEARCH("rn""&gt;Republic of Ireland",S3169)),"Ireland",
ISNUMBER(SEARCH("rn""&gt;Bosnia and Herzegovina",S3169)),"Bosnia and Herzegovina",
ISNUMBER(SEARCH("rn""&gt;Trinidad and Tobago",S3169)),"Trinidad and Tobago",
ISNUMBER(SEARCH("rn""&gt;Serbia and Montenegro",S3169)),"Serbia and Montenegro",
ISNUMBER(SEARCH(_xlfn.UNICHAR(65533),S3169)),"Côte d'Ivoire",
TRUE,""
)</f>
        <v/>
      </c>
      <c r="W3169" s="40" t="str">
        <f t="shared" si="222"/>
        <v>Argentina</v>
      </c>
    </row>
    <row r="3170" spans="19:23">
      <c r="S3170" s="40" t="str">
        <v>Germany</v>
      </c>
      <c r="T3170" s="40" t="str">
        <f t="shared" si="220"/>
        <v>OK</v>
      </c>
      <c r="U3170" s="40" t="str">
        <f t="shared" si="221"/>
        <v>-</v>
      </c>
      <c r="V3170" s="40" t="str" cm="1">
        <f t="array" ref="V3170">_xlfn.IFS(
ISNUMBER(SEARCH("USA",S3170)),"United States",
ISNUMBER(SEARCH("Republic of Ireland",S3170)),"Ireland",
ISNUMBER(SEARCH("Republic of Korea",S3170)),"South Korea",
ISNUMBER(SEARCH("Cape Verde",S3170)),"Cabo Verde",
ISNUMBER(SEARCH("Czechia",S3170)),"Czech Republic",
ISNUMBER(SEARCH("Türkiye",S3170)),"Turkey",
ISNUMBER(SEARCH("Ivory Coast",S3170)),"Côte d'Ivoire",
ISNUMBER(SEARCH("Korea Republic",S3170)),"South Korea",
ISNUMBER(SEARCH("Germany FR",S3170)),"FR Germany",
ISNUMBER(SEARCH("West Germany",S3170)),"FR Germany",
ISNUMBER(SEARCH("Germany DR",S3170)),"DR Germany",
ISNUMBER(SEARCH("Korea DPR",S3170)),"North Korea",
ISNUMBER(SEARCH("China PR",S3170)),"China",
ISNUMBER(SEARCH("IR Iran",S3170)),"Iran",
ISNUMBER(SEARCH("Congo DR",S3170)),"Democratic Republic of the Congo",
ISNUMBER(SEARCH("DR Congo",S3170)),"Democratic Republic of the Congo",
ISNUMBER(SEARCH("German DR",S3170)),"DR Germany",
ISNUMBER(SEARCH("rn""&gt;United Arab Emirates",S3170)),"United Arab Emirates",
ISNUMBER(SEARCH("rn""&gt;Republic of Ireland",S3170)),"Ireland",
ISNUMBER(SEARCH("rn""&gt;Bosnia and Herzegovina",S3170)),"Bosnia and Herzegovina",
ISNUMBER(SEARCH("rn""&gt;Trinidad and Tobago",S3170)),"Trinidad and Tobago",
ISNUMBER(SEARCH("rn""&gt;Serbia and Montenegro",S3170)),"Serbia and Montenegro",
ISNUMBER(SEARCH(_xlfn.UNICHAR(65533),S3170)),"Côte d'Ivoire",
TRUE,""
)</f>
        <v/>
      </c>
      <c r="W3170" s="40" t="str">
        <f t="shared" si="222"/>
        <v>Germany</v>
      </c>
    </row>
    <row r="3171" spans="19:23">
      <c r="S3171" s="40" t="str">
        <v>Nigeria</v>
      </c>
      <c r="T3171" s="40" t="str">
        <f t="shared" si="220"/>
        <v>OK</v>
      </c>
      <c r="U3171" s="40" t="str">
        <f t="shared" si="221"/>
        <v>-</v>
      </c>
      <c r="V3171" s="40" t="str" cm="1">
        <f t="array" ref="V3171">_xlfn.IFS(
ISNUMBER(SEARCH("USA",S3171)),"United States",
ISNUMBER(SEARCH("Republic of Ireland",S3171)),"Ireland",
ISNUMBER(SEARCH("Republic of Korea",S3171)),"South Korea",
ISNUMBER(SEARCH("Cape Verde",S3171)),"Cabo Verde",
ISNUMBER(SEARCH("Czechia",S3171)),"Czech Republic",
ISNUMBER(SEARCH("Türkiye",S3171)),"Turkey",
ISNUMBER(SEARCH("Ivory Coast",S3171)),"Côte d'Ivoire",
ISNUMBER(SEARCH("Korea Republic",S3171)),"South Korea",
ISNUMBER(SEARCH("Germany FR",S3171)),"FR Germany",
ISNUMBER(SEARCH("West Germany",S3171)),"FR Germany",
ISNUMBER(SEARCH("Germany DR",S3171)),"DR Germany",
ISNUMBER(SEARCH("Korea DPR",S3171)),"North Korea",
ISNUMBER(SEARCH("China PR",S3171)),"China",
ISNUMBER(SEARCH("IR Iran",S3171)),"Iran",
ISNUMBER(SEARCH("Congo DR",S3171)),"Democratic Republic of the Congo",
ISNUMBER(SEARCH("DR Congo",S3171)),"Democratic Republic of the Congo",
ISNUMBER(SEARCH("German DR",S3171)),"DR Germany",
ISNUMBER(SEARCH("rn""&gt;United Arab Emirates",S3171)),"United Arab Emirates",
ISNUMBER(SEARCH("rn""&gt;Republic of Ireland",S3171)),"Ireland",
ISNUMBER(SEARCH("rn""&gt;Bosnia and Herzegovina",S3171)),"Bosnia and Herzegovina",
ISNUMBER(SEARCH("rn""&gt;Trinidad and Tobago",S3171)),"Trinidad and Tobago",
ISNUMBER(SEARCH("rn""&gt;Serbia and Montenegro",S3171)),"Serbia and Montenegro",
ISNUMBER(SEARCH(_xlfn.UNICHAR(65533),S3171)),"Côte d'Ivoire",
TRUE,""
)</f>
        <v/>
      </c>
      <c r="W3171" s="40" t="str">
        <f t="shared" si="222"/>
        <v>Nigeria</v>
      </c>
    </row>
    <row r="3172" spans="19:23">
      <c r="S3172" s="40" t="str">
        <v>Belgium</v>
      </c>
      <c r="T3172" s="40" t="str">
        <f t="shared" si="220"/>
        <v>OK</v>
      </c>
      <c r="U3172" s="40" t="str">
        <f t="shared" si="221"/>
        <v>-</v>
      </c>
      <c r="V3172" s="40" t="str" cm="1">
        <f t="array" ref="V3172">_xlfn.IFS(
ISNUMBER(SEARCH("USA",S3172)),"United States",
ISNUMBER(SEARCH("Republic of Ireland",S3172)),"Ireland",
ISNUMBER(SEARCH("Republic of Korea",S3172)),"South Korea",
ISNUMBER(SEARCH("Cape Verde",S3172)),"Cabo Verde",
ISNUMBER(SEARCH("Czechia",S3172)),"Czech Republic",
ISNUMBER(SEARCH("Türkiye",S3172)),"Turkey",
ISNUMBER(SEARCH("Ivory Coast",S3172)),"Côte d'Ivoire",
ISNUMBER(SEARCH("Korea Republic",S3172)),"South Korea",
ISNUMBER(SEARCH("Germany FR",S3172)),"FR Germany",
ISNUMBER(SEARCH("West Germany",S3172)),"FR Germany",
ISNUMBER(SEARCH("Germany DR",S3172)),"DR Germany",
ISNUMBER(SEARCH("Korea DPR",S3172)),"North Korea",
ISNUMBER(SEARCH("China PR",S3172)),"China",
ISNUMBER(SEARCH("IR Iran",S3172)),"Iran",
ISNUMBER(SEARCH("Congo DR",S3172)),"Democratic Republic of the Congo",
ISNUMBER(SEARCH("DR Congo",S3172)),"Democratic Republic of the Congo",
ISNUMBER(SEARCH("German DR",S3172)),"DR Germany",
ISNUMBER(SEARCH("rn""&gt;United Arab Emirates",S3172)),"United Arab Emirates",
ISNUMBER(SEARCH("rn""&gt;Republic of Ireland",S3172)),"Ireland",
ISNUMBER(SEARCH("rn""&gt;Bosnia and Herzegovina",S3172)),"Bosnia and Herzegovina",
ISNUMBER(SEARCH("rn""&gt;Trinidad and Tobago",S3172)),"Trinidad and Tobago",
ISNUMBER(SEARCH("rn""&gt;Serbia and Montenegro",S3172)),"Serbia and Montenegro",
ISNUMBER(SEARCH(_xlfn.UNICHAR(65533),S3172)),"Côte d'Ivoire",
TRUE,""
)</f>
        <v/>
      </c>
      <c r="W3172" s="40" t="str">
        <f t="shared" si="222"/>
        <v>Belgium</v>
      </c>
    </row>
    <row r="3173" spans="19:23">
      <c r="S3173" s="40" t="str">
        <v>Korea Republic</v>
      </c>
      <c r="T3173" s="40" t="str">
        <f t="shared" si="220"/>
        <v>ERREUR</v>
      </c>
      <c r="U3173" s="40" t="str">
        <f t="shared" si="221"/>
        <v>RENOMMER</v>
      </c>
      <c r="V3173" s="40" t="str" cm="1">
        <f t="array" ref="V3173">_xlfn.IFS(
ISNUMBER(SEARCH("USA",S3173)),"United States",
ISNUMBER(SEARCH("Republic of Ireland",S3173)),"Ireland",
ISNUMBER(SEARCH("Republic of Korea",S3173)),"South Korea",
ISNUMBER(SEARCH("Cape Verde",S3173)),"Cabo Verde",
ISNUMBER(SEARCH("Czechia",S3173)),"Czech Republic",
ISNUMBER(SEARCH("Türkiye",S3173)),"Turkey",
ISNUMBER(SEARCH("Ivory Coast",S3173)),"Côte d'Ivoire",
ISNUMBER(SEARCH("Korea Republic",S3173)),"South Korea",
ISNUMBER(SEARCH("Germany FR",S3173)),"FR Germany",
ISNUMBER(SEARCH("West Germany",S3173)),"FR Germany",
ISNUMBER(SEARCH("Germany DR",S3173)),"DR Germany",
ISNUMBER(SEARCH("Korea DPR",S3173)),"North Korea",
ISNUMBER(SEARCH("China PR",S3173)),"China",
ISNUMBER(SEARCH("IR Iran",S3173)),"Iran",
ISNUMBER(SEARCH("Congo DR",S3173)),"Democratic Republic of the Congo",
ISNUMBER(SEARCH("DR Congo",S3173)),"Democratic Republic of the Congo",
ISNUMBER(SEARCH("German DR",S3173)),"DR Germany",
ISNUMBER(SEARCH("rn""&gt;United Arab Emirates",S3173)),"United Arab Emirates",
ISNUMBER(SEARCH("rn""&gt;Republic of Ireland",S3173)),"Ireland",
ISNUMBER(SEARCH("rn""&gt;Bosnia and Herzegovina",S3173)),"Bosnia and Herzegovina",
ISNUMBER(SEARCH("rn""&gt;Trinidad and Tobago",S3173)),"Trinidad and Tobago",
ISNUMBER(SEARCH("rn""&gt;Serbia and Montenegro",S3173)),"Serbia and Montenegro",
ISNUMBER(SEARCH(_xlfn.UNICHAR(65533),S3173)),"Côte d'Ivoire",
TRUE,""
)</f>
        <v>South Korea</v>
      </c>
      <c r="W3173" s="40" t="str">
        <f t="shared" si="222"/>
        <v>South Korea</v>
      </c>
    </row>
    <row r="3174" spans="19:23">
      <c r="S3174" s="40" t="str">
        <v>USA</v>
      </c>
      <c r="T3174" s="40" t="str">
        <f t="shared" si="220"/>
        <v>ERREUR</v>
      </c>
      <c r="U3174" s="40" t="str">
        <f t="shared" si="221"/>
        <v>RENOMMER</v>
      </c>
      <c r="V3174" s="40" t="str" cm="1">
        <f t="array" ref="V3174">_xlfn.IFS(
ISNUMBER(SEARCH("USA",S3174)),"United States",
ISNUMBER(SEARCH("Republic of Ireland",S3174)),"Ireland",
ISNUMBER(SEARCH("Republic of Korea",S3174)),"South Korea",
ISNUMBER(SEARCH("Cape Verde",S3174)),"Cabo Verde",
ISNUMBER(SEARCH("Czechia",S3174)),"Czech Republic",
ISNUMBER(SEARCH("Türkiye",S3174)),"Turkey",
ISNUMBER(SEARCH("Ivory Coast",S3174)),"Côte d'Ivoire",
ISNUMBER(SEARCH("Korea Republic",S3174)),"South Korea",
ISNUMBER(SEARCH("Germany FR",S3174)),"FR Germany",
ISNUMBER(SEARCH("West Germany",S3174)),"FR Germany",
ISNUMBER(SEARCH("Germany DR",S3174)),"DR Germany",
ISNUMBER(SEARCH("Korea DPR",S3174)),"North Korea",
ISNUMBER(SEARCH("China PR",S3174)),"China",
ISNUMBER(SEARCH("IR Iran",S3174)),"Iran",
ISNUMBER(SEARCH("Congo DR",S3174)),"Democratic Republic of the Congo",
ISNUMBER(SEARCH("DR Congo",S3174)),"Democratic Republic of the Congo",
ISNUMBER(SEARCH("German DR",S3174)),"DR Germany",
ISNUMBER(SEARCH("rn""&gt;United Arab Emirates",S3174)),"United Arab Emirates",
ISNUMBER(SEARCH("rn""&gt;Republic of Ireland",S3174)),"Ireland",
ISNUMBER(SEARCH("rn""&gt;Bosnia and Herzegovina",S3174)),"Bosnia and Herzegovina",
ISNUMBER(SEARCH("rn""&gt;Trinidad and Tobago",S3174)),"Trinidad and Tobago",
ISNUMBER(SEARCH("rn""&gt;Serbia and Montenegro",S3174)),"Serbia and Montenegro",
ISNUMBER(SEARCH(_xlfn.UNICHAR(65533),S3174)),"Côte d'Ivoire",
TRUE,""
)</f>
        <v>United States</v>
      </c>
      <c r="W3174" s="40" t="str">
        <f t="shared" si="222"/>
        <v>United States</v>
      </c>
    </row>
    <row r="3175" spans="19:23">
      <c r="S3175" s="40" t="str">
        <v>Australia</v>
      </c>
      <c r="T3175" s="40" t="str">
        <f t="shared" si="220"/>
        <v>OK</v>
      </c>
      <c r="U3175" s="40" t="str">
        <f t="shared" si="221"/>
        <v>-</v>
      </c>
      <c r="V3175" s="40" t="str" cm="1">
        <f t="array" ref="V3175">_xlfn.IFS(
ISNUMBER(SEARCH("USA",S3175)),"United States",
ISNUMBER(SEARCH("Republic of Ireland",S3175)),"Ireland",
ISNUMBER(SEARCH("Republic of Korea",S3175)),"South Korea",
ISNUMBER(SEARCH("Cape Verde",S3175)),"Cabo Verde",
ISNUMBER(SEARCH("Czechia",S3175)),"Czech Republic",
ISNUMBER(SEARCH("Türkiye",S3175)),"Turkey",
ISNUMBER(SEARCH("Ivory Coast",S3175)),"Côte d'Ivoire",
ISNUMBER(SEARCH("Korea Republic",S3175)),"South Korea",
ISNUMBER(SEARCH("Germany FR",S3175)),"FR Germany",
ISNUMBER(SEARCH("West Germany",S3175)),"FR Germany",
ISNUMBER(SEARCH("Germany DR",S3175)),"DR Germany",
ISNUMBER(SEARCH("Korea DPR",S3175)),"North Korea",
ISNUMBER(SEARCH("China PR",S3175)),"China",
ISNUMBER(SEARCH("IR Iran",S3175)),"Iran",
ISNUMBER(SEARCH("Congo DR",S3175)),"Democratic Republic of the Congo",
ISNUMBER(SEARCH("DR Congo",S3175)),"Democratic Republic of the Congo",
ISNUMBER(SEARCH("German DR",S3175)),"DR Germany",
ISNUMBER(SEARCH("rn""&gt;United Arab Emirates",S3175)),"United Arab Emirates",
ISNUMBER(SEARCH("rn""&gt;Republic of Ireland",S3175)),"Ireland",
ISNUMBER(SEARCH("rn""&gt;Bosnia and Herzegovina",S3175)),"Bosnia and Herzegovina",
ISNUMBER(SEARCH("rn""&gt;Trinidad and Tobago",S3175)),"Trinidad and Tobago",
ISNUMBER(SEARCH("rn""&gt;Serbia and Montenegro",S3175)),"Serbia and Montenegro",
ISNUMBER(SEARCH(_xlfn.UNICHAR(65533),S3175)),"Côte d'Ivoire",
TRUE,""
)</f>
        <v/>
      </c>
      <c r="W3175" s="40" t="str">
        <f t="shared" si="222"/>
        <v>Australia</v>
      </c>
    </row>
    <row r="3176" spans="19:23">
      <c r="S3176" s="40" t="str">
        <v>Netherlands</v>
      </c>
      <c r="T3176" s="40" t="str">
        <f t="shared" si="220"/>
        <v>OK</v>
      </c>
      <c r="U3176" s="40" t="str">
        <f t="shared" si="221"/>
        <v>-</v>
      </c>
      <c r="V3176" s="40" t="str" cm="1">
        <f t="array" ref="V3176">_xlfn.IFS(
ISNUMBER(SEARCH("USA",S3176)),"United States",
ISNUMBER(SEARCH("Republic of Ireland",S3176)),"Ireland",
ISNUMBER(SEARCH("Republic of Korea",S3176)),"South Korea",
ISNUMBER(SEARCH("Cape Verde",S3176)),"Cabo Verde",
ISNUMBER(SEARCH("Czechia",S3176)),"Czech Republic",
ISNUMBER(SEARCH("Türkiye",S3176)),"Turkey",
ISNUMBER(SEARCH("Ivory Coast",S3176)),"Côte d'Ivoire",
ISNUMBER(SEARCH("Korea Republic",S3176)),"South Korea",
ISNUMBER(SEARCH("Germany FR",S3176)),"FR Germany",
ISNUMBER(SEARCH("West Germany",S3176)),"FR Germany",
ISNUMBER(SEARCH("Germany DR",S3176)),"DR Germany",
ISNUMBER(SEARCH("Korea DPR",S3176)),"North Korea",
ISNUMBER(SEARCH("China PR",S3176)),"China",
ISNUMBER(SEARCH("IR Iran",S3176)),"Iran",
ISNUMBER(SEARCH("Congo DR",S3176)),"Democratic Republic of the Congo",
ISNUMBER(SEARCH("DR Congo",S3176)),"Democratic Republic of the Congo",
ISNUMBER(SEARCH("German DR",S3176)),"DR Germany",
ISNUMBER(SEARCH("rn""&gt;United Arab Emirates",S3176)),"United Arab Emirates",
ISNUMBER(SEARCH("rn""&gt;Republic of Ireland",S3176)),"Ireland",
ISNUMBER(SEARCH("rn""&gt;Bosnia and Herzegovina",S3176)),"Bosnia and Herzegovina",
ISNUMBER(SEARCH("rn""&gt;Trinidad and Tobago",S3176)),"Trinidad and Tobago",
ISNUMBER(SEARCH("rn""&gt;Serbia and Montenegro",S3176)),"Serbia and Montenegro",
ISNUMBER(SEARCH(_xlfn.UNICHAR(65533),S3176)),"Côte d'Ivoire",
TRUE,""
)</f>
        <v/>
      </c>
      <c r="W3176" s="40" t="str">
        <f t="shared" si="222"/>
        <v>Netherlands</v>
      </c>
    </row>
    <row r="3177" spans="19:23">
      <c r="S3177" s="40" t="str">
        <v>Cameroon</v>
      </c>
      <c r="T3177" s="40" t="str">
        <f t="shared" si="220"/>
        <v>OK</v>
      </c>
      <c r="U3177" s="40" t="str">
        <f t="shared" si="221"/>
        <v>-</v>
      </c>
      <c r="V3177" s="40" t="str" cm="1">
        <f t="array" ref="V3177">_xlfn.IFS(
ISNUMBER(SEARCH("USA",S3177)),"United States",
ISNUMBER(SEARCH("Republic of Ireland",S3177)),"Ireland",
ISNUMBER(SEARCH("Republic of Korea",S3177)),"South Korea",
ISNUMBER(SEARCH("Cape Verde",S3177)),"Cabo Verde",
ISNUMBER(SEARCH("Czechia",S3177)),"Czech Republic",
ISNUMBER(SEARCH("Türkiye",S3177)),"Turkey",
ISNUMBER(SEARCH("Ivory Coast",S3177)),"Côte d'Ivoire",
ISNUMBER(SEARCH("Korea Republic",S3177)),"South Korea",
ISNUMBER(SEARCH("Germany FR",S3177)),"FR Germany",
ISNUMBER(SEARCH("West Germany",S3177)),"FR Germany",
ISNUMBER(SEARCH("Germany DR",S3177)),"DR Germany",
ISNUMBER(SEARCH("Korea DPR",S3177)),"North Korea",
ISNUMBER(SEARCH("China PR",S3177)),"China",
ISNUMBER(SEARCH("IR Iran",S3177)),"Iran",
ISNUMBER(SEARCH("Congo DR",S3177)),"Democratic Republic of the Congo",
ISNUMBER(SEARCH("DR Congo",S3177)),"Democratic Republic of the Congo",
ISNUMBER(SEARCH("German DR",S3177)),"DR Germany",
ISNUMBER(SEARCH("rn""&gt;United Arab Emirates",S3177)),"United Arab Emirates",
ISNUMBER(SEARCH("rn""&gt;Republic of Ireland",S3177)),"Ireland",
ISNUMBER(SEARCH("rn""&gt;Bosnia and Herzegovina",S3177)),"Bosnia and Herzegovina",
ISNUMBER(SEARCH("rn""&gt;Trinidad and Tobago",S3177)),"Trinidad and Tobago",
ISNUMBER(SEARCH("rn""&gt;Serbia and Montenegro",S3177)),"Serbia and Montenegro",
ISNUMBER(SEARCH(_xlfn.UNICHAR(65533),S3177)),"Côte d'Ivoire",
TRUE,""
)</f>
        <v/>
      </c>
      <c r="W3177" s="40" t="str">
        <f t="shared" si="222"/>
        <v>Cameroon</v>
      </c>
    </row>
    <row r="3178" spans="19:23">
      <c r="S3178" s="40" t="str">
        <v>Croatia</v>
      </c>
      <c r="T3178" s="40" t="str">
        <f t="shared" si="220"/>
        <v>OK</v>
      </c>
      <c r="U3178" s="40" t="str">
        <f t="shared" si="221"/>
        <v>-</v>
      </c>
      <c r="V3178" s="40" t="str" cm="1">
        <f t="array" ref="V3178">_xlfn.IFS(
ISNUMBER(SEARCH("USA",S3178)),"United States",
ISNUMBER(SEARCH("Republic of Ireland",S3178)),"Ireland",
ISNUMBER(SEARCH("Republic of Korea",S3178)),"South Korea",
ISNUMBER(SEARCH("Cape Verde",S3178)),"Cabo Verde",
ISNUMBER(SEARCH("Czechia",S3178)),"Czech Republic",
ISNUMBER(SEARCH("Türkiye",S3178)),"Turkey",
ISNUMBER(SEARCH("Ivory Coast",S3178)),"Côte d'Ivoire",
ISNUMBER(SEARCH("Korea Republic",S3178)),"South Korea",
ISNUMBER(SEARCH("Germany FR",S3178)),"FR Germany",
ISNUMBER(SEARCH("West Germany",S3178)),"FR Germany",
ISNUMBER(SEARCH("Germany DR",S3178)),"DR Germany",
ISNUMBER(SEARCH("Korea DPR",S3178)),"North Korea",
ISNUMBER(SEARCH("China PR",S3178)),"China",
ISNUMBER(SEARCH("IR Iran",S3178)),"Iran",
ISNUMBER(SEARCH("Congo DR",S3178)),"Democratic Republic of the Congo",
ISNUMBER(SEARCH("DR Congo",S3178)),"Democratic Republic of the Congo",
ISNUMBER(SEARCH("German DR",S3178)),"DR Germany",
ISNUMBER(SEARCH("rn""&gt;United Arab Emirates",S3178)),"United Arab Emirates",
ISNUMBER(SEARCH("rn""&gt;Republic of Ireland",S3178)),"Ireland",
ISNUMBER(SEARCH("rn""&gt;Bosnia and Herzegovina",S3178)),"Bosnia and Herzegovina",
ISNUMBER(SEARCH("rn""&gt;Trinidad and Tobago",S3178)),"Trinidad and Tobago",
ISNUMBER(SEARCH("rn""&gt;Serbia and Montenegro",S3178)),"Serbia and Montenegro",
ISNUMBER(SEARCH(_xlfn.UNICHAR(65533),S3178)),"Côte d'Ivoire",
TRUE,""
)</f>
        <v/>
      </c>
      <c r="W3178" s="40" t="str">
        <f t="shared" si="222"/>
        <v>Croatia</v>
      </c>
    </row>
    <row r="3179" spans="19:23">
      <c r="S3179" s="40" t="str">
        <v>Italy</v>
      </c>
      <c r="T3179" s="40" t="str">
        <f t="shared" si="220"/>
        <v>OK</v>
      </c>
      <c r="U3179" s="40" t="str">
        <f t="shared" si="221"/>
        <v>-</v>
      </c>
      <c r="V3179" s="40" t="str" cm="1">
        <f t="array" ref="V3179">_xlfn.IFS(
ISNUMBER(SEARCH("USA",S3179)),"United States",
ISNUMBER(SEARCH("Republic of Ireland",S3179)),"Ireland",
ISNUMBER(SEARCH("Republic of Korea",S3179)),"South Korea",
ISNUMBER(SEARCH("Cape Verde",S3179)),"Cabo Verde",
ISNUMBER(SEARCH("Czechia",S3179)),"Czech Republic",
ISNUMBER(SEARCH("Türkiye",S3179)),"Turkey",
ISNUMBER(SEARCH("Ivory Coast",S3179)),"Côte d'Ivoire",
ISNUMBER(SEARCH("Korea Republic",S3179)),"South Korea",
ISNUMBER(SEARCH("Germany FR",S3179)),"FR Germany",
ISNUMBER(SEARCH("West Germany",S3179)),"FR Germany",
ISNUMBER(SEARCH("Germany DR",S3179)),"DR Germany",
ISNUMBER(SEARCH("Korea DPR",S3179)),"North Korea",
ISNUMBER(SEARCH("China PR",S3179)),"China",
ISNUMBER(SEARCH("IR Iran",S3179)),"Iran",
ISNUMBER(SEARCH("Congo DR",S3179)),"Democratic Republic of the Congo",
ISNUMBER(SEARCH("DR Congo",S3179)),"Democratic Republic of the Congo",
ISNUMBER(SEARCH("German DR",S3179)),"DR Germany",
ISNUMBER(SEARCH("rn""&gt;United Arab Emirates",S3179)),"United Arab Emirates",
ISNUMBER(SEARCH("rn""&gt;Republic of Ireland",S3179)),"Ireland",
ISNUMBER(SEARCH("rn""&gt;Bosnia and Herzegovina",S3179)),"Bosnia and Herzegovina",
ISNUMBER(SEARCH("rn""&gt;Trinidad and Tobago",S3179)),"Trinidad and Tobago",
ISNUMBER(SEARCH("rn""&gt;Serbia and Montenegro",S3179)),"Serbia and Montenegro",
ISNUMBER(SEARCH(_xlfn.UNICHAR(65533),S3179)),"Côte d'Ivoire",
TRUE,""
)</f>
        <v/>
      </c>
      <c r="W3179" s="40" t="str">
        <f t="shared" si="222"/>
        <v>Italy</v>
      </c>
    </row>
    <row r="3180" spans="19:23">
      <c r="S3180" s="40" t="str">
        <v>Costa Rica</v>
      </c>
      <c r="T3180" s="40" t="str">
        <f t="shared" si="220"/>
        <v>OK</v>
      </c>
      <c r="U3180" s="40" t="str">
        <f t="shared" si="221"/>
        <v>-</v>
      </c>
      <c r="V3180" s="40" t="str" cm="1">
        <f t="array" ref="V3180">_xlfn.IFS(
ISNUMBER(SEARCH("USA",S3180)),"United States",
ISNUMBER(SEARCH("Republic of Ireland",S3180)),"Ireland",
ISNUMBER(SEARCH("Republic of Korea",S3180)),"South Korea",
ISNUMBER(SEARCH("Cape Verde",S3180)),"Cabo Verde",
ISNUMBER(SEARCH("Czechia",S3180)),"Czech Republic",
ISNUMBER(SEARCH("Türkiye",S3180)),"Turkey",
ISNUMBER(SEARCH("Ivory Coast",S3180)),"Côte d'Ivoire",
ISNUMBER(SEARCH("Korea Republic",S3180)),"South Korea",
ISNUMBER(SEARCH("Germany FR",S3180)),"FR Germany",
ISNUMBER(SEARCH("West Germany",S3180)),"FR Germany",
ISNUMBER(SEARCH("Germany DR",S3180)),"DR Germany",
ISNUMBER(SEARCH("Korea DPR",S3180)),"North Korea",
ISNUMBER(SEARCH("China PR",S3180)),"China",
ISNUMBER(SEARCH("IR Iran",S3180)),"Iran",
ISNUMBER(SEARCH("Congo DR",S3180)),"Democratic Republic of the Congo",
ISNUMBER(SEARCH("DR Congo",S3180)),"Democratic Republic of the Congo",
ISNUMBER(SEARCH("German DR",S3180)),"DR Germany",
ISNUMBER(SEARCH("rn""&gt;United Arab Emirates",S3180)),"United Arab Emirates",
ISNUMBER(SEARCH("rn""&gt;Republic of Ireland",S3180)),"Ireland",
ISNUMBER(SEARCH("rn""&gt;Bosnia and Herzegovina",S3180)),"Bosnia and Herzegovina",
ISNUMBER(SEARCH("rn""&gt;Trinidad and Tobago",S3180)),"Trinidad and Tobago",
ISNUMBER(SEARCH("rn""&gt;Serbia and Montenegro",S3180)),"Serbia and Montenegro",
ISNUMBER(SEARCH(_xlfn.UNICHAR(65533),S3180)),"Côte d'Ivoire",
TRUE,""
)</f>
        <v/>
      </c>
      <c r="W3180" s="40" t="str">
        <f t="shared" si="222"/>
        <v>Costa Rica</v>
      </c>
    </row>
    <row r="3181" spans="19:23">
      <c r="S3181" s="40" t="str">
        <v>Japan</v>
      </c>
      <c r="T3181" s="40" t="str">
        <f t="shared" si="220"/>
        <v>OK</v>
      </c>
      <c r="U3181" s="40" t="str">
        <f t="shared" si="221"/>
        <v>-</v>
      </c>
      <c r="V3181" s="40" t="str" cm="1">
        <f t="array" ref="V3181">_xlfn.IFS(
ISNUMBER(SEARCH("USA",S3181)),"United States",
ISNUMBER(SEARCH("Republic of Ireland",S3181)),"Ireland",
ISNUMBER(SEARCH("Republic of Korea",S3181)),"South Korea",
ISNUMBER(SEARCH("Cape Verde",S3181)),"Cabo Verde",
ISNUMBER(SEARCH("Czechia",S3181)),"Czech Republic",
ISNUMBER(SEARCH("Türkiye",S3181)),"Turkey",
ISNUMBER(SEARCH("Ivory Coast",S3181)),"Côte d'Ivoire",
ISNUMBER(SEARCH("Korea Republic",S3181)),"South Korea",
ISNUMBER(SEARCH("Germany FR",S3181)),"FR Germany",
ISNUMBER(SEARCH("West Germany",S3181)),"FR Germany",
ISNUMBER(SEARCH("Germany DR",S3181)),"DR Germany",
ISNUMBER(SEARCH("Korea DPR",S3181)),"North Korea",
ISNUMBER(SEARCH("China PR",S3181)),"China",
ISNUMBER(SEARCH("IR Iran",S3181)),"Iran",
ISNUMBER(SEARCH("Congo DR",S3181)),"Democratic Republic of the Congo",
ISNUMBER(SEARCH("DR Congo",S3181)),"Democratic Republic of the Congo",
ISNUMBER(SEARCH("German DR",S3181)),"DR Germany",
ISNUMBER(SEARCH("rn""&gt;United Arab Emirates",S3181)),"United Arab Emirates",
ISNUMBER(SEARCH("rn""&gt;Republic of Ireland",S3181)),"Ireland",
ISNUMBER(SEARCH("rn""&gt;Bosnia and Herzegovina",S3181)),"Bosnia and Herzegovina",
ISNUMBER(SEARCH("rn""&gt;Trinidad and Tobago",S3181)),"Trinidad and Tobago",
ISNUMBER(SEARCH("rn""&gt;Serbia and Montenegro",S3181)),"Serbia and Montenegro",
ISNUMBER(SEARCH(_xlfn.UNICHAR(65533),S3181)),"Côte d'Ivoire",
TRUE,""
)</f>
        <v/>
      </c>
      <c r="W3181" s="40" t="str">
        <f t="shared" si="222"/>
        <v>Japan</v>
      </c>
    </row>
    <row r="3182" spans="19:23">
      <c r="S3182" s="40" t="str">
        <v>Greece</v>
      </c>
      <c r="T3182" s="40" t="str">
        <f t="shared" si="220"/>
        <v>OK</v>
      </c>
      <c r="U3182" s="40" t="str">
        <f t="shared" si="221"/>
        <v>-</v>
      </c>
      <c r="V3182" s="40" t="str" cm="1">
        <f t="array" ref="V3182">_xlfn.IFS(
ISNUMBER(SEARCH("USA",S3182)),"United States",
ISNUMBER(SEARCH("Republic of Ireland",S3182)),"Ireland",
ISNUMBER(SEARCH("Republic of Korea",S3182)),"South Korea",
ISNUMBER(SEARCH("Cape Verde",S3182)),"Cabo Verde",
ISNUMBER(SEARCH("Czechia",S3182)),"Czech Republic",
ISNUMBER(SEARCH("Türkiye",S3182)),"Turkey",
ISNUMBER(SEARCH("Ivory Coast",S3182)),"Côte d'Ivoire",
ISNUMBER(SEARCH("Korea Republic",S3182)),"South Korea",
ISNUMBER(SEARCH("Germany FR",S3182)),"FR Germany",
ISNUMBER(SEARCH("West Germany",S3182)),"FR Germany",
ISNUMBER(SEARCH("Germany DR",S3182)),"DR Germany",
ISNUMBER(SEARCH("Korea DPR",S3182)),"North Korea",
ISNUMBER(SEARCH("China PR",S3182)),"China",
ISNUMBER(SEARCH("IR Iran",S3182)),"Iran",
ISNUMBER(SEARCH("Congo DR",S3182)),"Democratic Republic of the Congo",
ISNUMBER(SEARCH("DR Congo",S3182)),"Democratic Republic of the Congo",
ISNUMBER(SEARCH("German DR",S3182)),"DR Germany",
ISNUMBER(SEARCH("rn""&gt;United Arab Emirates",S3182)),"United Arab Emirates",
ISNUMBER(SEARCH("rn""&gt;Republic of Ireland",S3182)),"Ireland",
ISNUMBER(SEARCH("rn""&gt;Bosnia and Herzegovina",S3182)),"Bosnia and Herzegovina",
ISNUMBER(SEARCH("rn""&gt;Trinidad and Tobago",S3182)),"Trinidad and Tobago",
ISNUMBER(SEARCH("rn""&gt;Serbia and Montenegro",S3182)),"Serbia and Montenegro",
ISNUMBER(SEARCH(_xlfn.UNICHAR(65533),S3182)),"Côte d'Ivoire",
TRUE,""
)</f>
        <v/>
      </c>
      <c r="W3182" s="40" t="str">
        <f t="shared" si="222"/>
        <v>Greece</v>
      </c>
    </row>
    <row r="3183" spans="19:23">
      <c r="S3183" s="40" t="str">
        <v>Nigeria</v>
      </c>
      <c r="T3183" s="40" t="str">
        <f t="shared" si="220"/>
        <v>OK</v>
      </c>
      <c r="U3183" s="40" t="str">
        <f t="shared" si="221"/>
        <v>-</v>
      </c>
      <c r="V3183" s="40" t="str" cm="1">
        <f t="array" ref="V3183">_xlfn.IFS(
ISNUMBER(SEARCH("USA",S3183)),"United States",
ISNUMBER(SEARCH("Republic of Ireland",S3183)),"Ireland",
ISNUMBER(SEARCH("Republic of Korea",S3183)),"South Korea",
ISNUMBER(SEARCH("Cape Verde",S3183)),"Cabo Verde",
ISNUMBER(SEARCH("Czechia",S3183)),"Czech Republic",
ISNUMBER(SEARCH("Türkiye",S3183)),"Turkey",
ISNUMBER(SEARCH("Ivory Coast",S3183)),"Côte d'Ivoire",
ISNUMBER(SEARCH("Korea Republic",S3183)),"South Korea",
ISNUMBER(SEARCH("Germany FR",S3183)),"FR Germany",
ISNUMBER(SEARCH("West Germany",S3183)),"FR Germany",
ISNUMBER(SEARCH("Germany DR",S3183)),"DR Germany",
ISNUMBER(SEARCH("Korea DPR",S3183)),"North Korea",
ISNUMBER(SEARCH("China PR",S3183)),"China",
ISNUMBER(SEARCH("IR Iran",S3183)),"Iran",
ISNUMBER(SEARCH("Congo DR",S3183)),"Democratic Republic of the Congo",
ISNUMBER(SEARCH("DR Congo",S3183)),"Democratic Republic of the Congo",
ISNUMBER(SEARCH("German DR",S3183)),"DR Germany",
ISNUMBER(SEARCH("rn""&gt;United Arab Emirates",S3183)),"United Arab Emirates",
ISNUMBER(SEARCH("rn""&gt;Republic of Ireland",S3183)),"Ireland",
ISNUMBER(SEARCH("rn""&gt;Bosnia and Herzegovina",S3183)),"Bosnia and Herzegovina",
ISNUMBER(SEARCH("rn""&gt;Trinidad and Tobago",S3183)),"Trinidad and Tobago",
ISNUMBER(SEARCH("rn""&gt;Serbia and Montenegro",S3183)),"Serbia and Montenegro",
ISNUMBER(SEARCH(_xlfn.UNICHAR(65533),S3183)),"Côte d'Ivoire",
TRUE,""
)</f>
        <v/>
      </c>
      <c r="W3183" s="40" t="str">
        <f t="shared" si="222"/>
        <v>Nigeria</v>
      </c>
    </row>
    <row r="3184" spans="19:23">
      <c r="S3184" s="40" t="str">
        <v>rn"&gt;Bosnia and Herzegovina</v>
      </c>
      <c r="T3184" s="40" t="str">
        <f t="shared" si="220"/>
        <v>ERREUR</v>
      </c>
      <c r="U3184" s="40" t="str">
        <f t="shared" si="221"/>
        <v>RENOMMER</v>
      </c>
      <c r="V3184" s="40" t="str" cm="1">
        <f t="array" ref="V3184">_xlfn.IFS(
ISNUMBER(SEARCH("USA",S3184)),"United States",
ISNUMBER(SEARCH("Republic of Ireland",S3184)),"Ireland",
ISNUMBER(SEARCH("Republic of Korea",S3184)),"South Korea",
ISNUMBER(SEARCH("Cape Verde",S3184)),"Cabo Verde",
ISNUMBER(SEARCH("Czechia",S3184)),"Czech Republic",
ISNUMBER(SEARCH("Türkiye",S3184)),"Turkey",
ISNUMBER(SEARCH("Ivory Coast",S3184)),"Côte d'Ivoire",
ISNUMBER(SEARCH("Korea Republic",S3184)),"South Korea",
ISNUMBER(SEARCH("Germany FR",S3184)),"FR Germany",
ISNUMBER(SEARCH("West Germany",S3184)),"FR Germany",
ISNUMBER(SEARCH("Germany DR",S3184)),"DR Germany",
ISNUMBER(SEARCH("Korea DPR",S3184)),"North Korea",
ISNUMBER(SEARCH("China PR",S3184)),"China",
ISNUMBER(SEARCH("IR Iran",S3184)),"Iran",
ISNUMBER(SEARCH("Congo DR",S3184)),"Democratic Republic of the Congo",
ISNUMBER(SEARCH("DR Congo",S3184)),"Democratic Republic of the Congo",
ISNUMBER(SEARCH("German DR",S3184)),"DR Germany",
ISNUMBER(SEARCH("rn""&gt;United Arab Emirates",S3184)),"United Arab Emirates",
ISNUMBER(SEARCH("rn""&gt;Republic of Ireland",S3184)),"Ireland",
ISNUMBER(SEARCH("rn""&gt;Bosnia and Herzegovina",S3184)),"Bosnia and Herzegovina",
ISNUMBER(SEARCH("rn""&gt;Trinidad and Tobago",S3184)),"Trinidad and Tobago",
ISNUMBER(SEARCH("rn""&gt;Serbia and Montenegro",S3184)),"Serbia and Montenegro",
ISNUMBER(SEARCH(_xlfn.UNICHAR(65533),S3184)),"Côte d'Ivoire",
TRUE,""
)</f>
        <v>Bosnia and Herzegovina</v>
      </c>
      <c r="W3184" s="40" t="str">
        <f t="shared" si="222"/>
        <v>Bosnia and Herzegovina</v>
      </c>
    </row>
    <row r="3185" spans="19:23">
      <c r="S3185" s="40" t="str">
        <v>Honduras</v>
      </c>
      <c r="T3185" s="40" t="str">
        <f t="shared" si="220"/>
        <v>OK</v>
      </c>
      <c r="U3185" s="40" t="str">
        <f t="shared" si="221"/>
        <v>-</v>
      </c>
      <c r="V3185" s="40" t="str" cm="1">
        <f t="array" ref="V3185">_xlfn.IFS(
ISNUMBER(SEARCH("USA",S3185)),"United States",
ISNUMBER(SEARCH("Republic of Ireland",S3185)),"Ireland",
ISNUMBER(SEARCH("Republic of Korea",S3185)),"South Korea",
ISNUMBER(SEARCH("Cape Verde",S3185)),"Cabo Verde",
ISNUMBER(SEARCH("Czechia",S3185)),"Czech Republic",
ISNUMBER(SEARCH("Türkiye",S3185)),"Turkey",
ISNUMBER(SEARCH("Ivory Coast",S3185)),"Côte d'Ivoire",
ISNUMBER(SEARCH("Korea Republic",S3185)),"South Korea",
ISNUMBER(SEARCH("Germany FR",S3185)),"FR Germany",
ISNUMBER(SEARCH("West Germany",S3185)),"FR Germany",
ISNUMBER(SEARCH("Germany DR",S3185)),"DR Germany",
ISNUMBER(SEARCH("Korea DPR",S3185)),"North Korea",
ISNUMBER(SEARCH("China PR",S3185)),"China",
ISNUMBER(SEARCH("IR Iran",S3185)),"Iran",
ISNUMBER(SEARCH("Congo DR",S3185)),"Democratic Republic of the Congo",
ISNUMBER(SEARCH("DR Congo",S3185)),"Democratic Republic of the Congo",
ISNUMBER(SEARCH("German DR",S3185)),"DR Germany",
ISNUMBER(SEARCH("rn""&gt;United Arab Emirates",S3185)),"United Arab Emirates",
ISNUMBER(SEARCH("rn""&gt;Republic of Ireland",S3185)),"Ireland",
ISNUMBER(SEARCH("rn""&gt;Bosnia and Herzegovina",S3185)),"Bosnia and Herzegovina",
ISNUMBER(SEARCH("rn""&gt;Trinidad and Tobago",S3185)),"Trinidad and Tobago",
ISNUMBER(SEARCH("rn""&gt;Serbia and Montenegro",S3185)),"Serbia and Montenegro",
ISNUMBER(SEARCH(_xlfn.UNICHAR(65533),S3185)),"Côte d'Ivoire",
TRUE,""
)</f>
        <v/>
      </c>
      <c r="W3185" s="40" t="str">
        <f t="shared" si="222"/>
        <v>Honduras</v>
      </c>
    </row>
    <row r="3186" spans="19:23">
      <c r="S3186" s="40" t="str">
        <v>Ecuador</v>
      </c>
      <c r="T3186" s="40" t="str">
        <f t="shared" si="220"/>
        <v>OK</v>
      </c>
      <c r="U3186" s="40" t="str">
        <f t="shared" si="221"/>
        <v>-</v>
      </c>
      <c r="V3186" s="40" t="str" cm="1">
        <f t="array" ref="V3186">_xlfn.IFS(
ISNUMBER(SEARCH("USA",S3186)),"United States",
ISNUMBER(SEARCH("Republic of Ireland",S3186)),"Ireland",
ISNUMBER(SEARCH("Republic of Korea",S3186)),"South Korea",
ISNUMBER(SEARCH("Cape Verde",S3186)),"Cabo Verde",
ISNUMBER(SEARCH("Czechia",S3186)),"Czech Republic",
ISNUMBER(SEARCH("Türkiye",S3186)),"Turkey",
ISNUMBER(SEARCH("Ivory Coast",S3186)),"Côte d'Ivoire",
ISNUMBER(SEARCH("Korea Republic",S3186)),"South Korea",
ISNUMBER(SEARCH("Germany FR",S3186)),"FR Germany",
ISNUMBER(SEARCH("West Germany",S3186)),"FR Germany",
ISNUMBER(SEARCH("Germany DR",S3186)),"DR Germany",
ISNUMBER(SEARCH("Korea DPR",S3186)),"North Korea",
ISNUMBER(SEARCH("China PR",S3186)),"China",
ISNUMBER(SEARCH("IR Iran",S3186)),"Iran",
ISNUMBER(SEARCH("Congo DR",S3186)),"Democratic Republic of the Congo",
ISNUMBER(SEARCH("DR Congo",S3186)),"Democratic Republic of the Congo",
ISNUMBER(SEARCH("German DR",S3186)),"DR Germany",
ISNUMBER(SEARCH("rn""&gt;United Arab Emirates",S3186)),"United Arab Emirates",
ISNUMBER(SEARCH("rn""&gt;Republic of Ireland",S3186)),"Ireland",
ISNUMBER(SEARCH("rn""&gt;Bosnia and Herzegovina",S3186)),"Bosnia and Herzegovina",
ISNUMBER(SEARCH("rn""&gt;Trinidad and Tobago",S3186)),"Trinidad and Tobago",
ISNUMBER(SEARCH("rn""&gt;Serbia and Montenegro",S3186)),"Serbia and Montenegro",
ISNUMBER(SEARCH(_xlfn.UNICHAR(65533),S3186)),"Côte d'Ivoire",
TRUE,""
)</f>
        <v/>
      </c>
      <c r="W3186" s="40" t="str">
        <f t="shared" si="222"/>
        <v>Ecuador</v>
      </c>
    </row>
    <row r="3187" spans="19:23">
      <c r="S3187" s="40" t="str">
        <v>USA</v>
      </c>
      <c r="T3187" s="40" t="str">
        <f t="shared" si="220"/>
        <v>ERREUR</v>
      </c>
      <c r="U3187" s="40" t="str">
        <f t="shared" si="221"/>
        <v>RENOMMER</v>
      </c>
      <c r="V3187" s="40" t="str" cm="1">
        <f t="array" ref="V3187">_xlfn.IFS(
ISNUMBER(SEARCH("USA",S3187)),"United States",
ISNUMBER(SEARCH("Republic of Ireland",S3187)),"Ireland",
ISNUMBER(SEARCH("Republic of Korea",S3187)),"South Korea",
ISNUMBER(SEARCH("Cape Verde",S3187)),"Cabo Verde",
ISNUMBER(SEARCH("Czechia",S3187)),"Czech Republic",
ISNUMBER(SEARCH("Türkiye",S3187)),"Turkey",
ISNUMBER(SEARCH("Ivory Coast",S3187)),"Côte d'Ivoire",
ISNUMBER(SEARCH("Korea Republic",S3187)),"South Korea",
ISNUMBER(SEARCH("Germany FR",S3187)),"FR Germany",
ISNUMBER(SEARCH("West Germany",S3187)),"FR Germany",
ISNUMBER(SEARCH("Germany DR",S3187)),"DR Germany",
ISNUMBER(SEARCH("Korea DPR",S3187)),"North Korea",
ISNUMBER(SEARCH("China PR",S3187)),"China",
ISNUMBER(SEARCH("IR Iran",S3187)),"Iran",
ISNUMBER(SEARCH("Congo DR",S3187)),"Democratic Republic of the Congo",
ISNUMBER(SEARCH("DR Congo",S3187)),"Democratic Republic of the Congo",
ISNUMBER(SEARCH("German DR",S3187)),"DR Germany",
ISNUMBER(SEARCH("rn""&gt;United Arab Emirates",S3187)),"United Arab Emirates",
ISNUMBER(SEARCH("rn""&gt;Republic of Ireland",S3187)),"Ireland",
ISNUMBER(SEARCH("rn""&gt;Bosnia and Herzegovina",S3187)),"Bosnia and Herzegovina",
ISNUMBER(SEARCH("rn""&gt;Trinidad and Tobago",S3187)),"Trinidad and Tobago",
ISNUMBER(SEARCH("rn""&gt;Serbia and Montenegro",S3187)),"Serbia and Montenegro",
ISNUMBER(SEARCH(_xlfn.UNICHAR(65533),S3187)),"Côte d'Ivoire",
TRUE,""
)</f>
        <v>United States</v>
      </c>
      <c r="W3187" s="40" t="str">
        <f t="shared" si="222"/>
        <v>United States</v>
      </c>
    </row>
    <row r="3188" spans="19:23">
      <c r="S3188" s="40" t="str">
        <v>Portugal</v>
      </c>
      <c r="T3188" s="40" t="str">
        <f t="shared" si="220"/>
        <v>OK</v>
      </c>
      <c r="U3188" s="40" t="str">
        <f t="shared" si="221"/>
        <v>-</v>
      </c>
      <c r="V3188" s="40" t="str" cm="1">
        <f t="array" ref="V3188">_xlfn.IFS(
ISNUMBER(SEARCH("USA",S3188)),"United States",
ISNUMBER(SEARCH("Republic of Ireland",S3188)),"Ireland",
ISNUMBER(SEARCH("Republic of Korea",S3188)),"South Korea",
ISNUMBER(SEARCH("Cape Verde",S3188)),"Cabo Verde",
ISNUMBER(SEARCH("Czechia",S3188)),"Czech Republic",
ISNUMBER(SEARCH("Türkiye",S3188)),"Turkey",
ISNUMBER(SEARCH("Ivory Coast",S3188)),"Côte d'Ivoire",
ISNUMBER(SEARCH("Korea Republic",S3188)),"South Korea",
ISNUMBER(SEARCH("Germany FR",S3188)),"FR Germany",
ISNUMBER(SEARCH("West Germany",S3188)),"FR Germany",
ISNUMBER(SEARCH("Germany DR",S3188)),"DR Germany",
ISNUMBER(SEARCH("Korea DPR",S3188)),"North Korea",
ISNUMBER(SEARCH("China PR",S3188)),"China",
ISNUMBER(SEARCH("IR Iran",S3188)),"Iran",
ISNUMBER(SEARCH("Congo DR",S3188)),"Democratic Republic of the Congo",
ISNUMBER(SEARCH("DR Congo",S3188)),"Democratic Republic of the Congo",
ISNUMBER(SEARCH("German DR",S3188)),"DR Germany",
ISNUMBER(SEARCH("rn""&gt;United Arab Emirates",S3188)),"United Arab Emirates",
ISNUMBER(SEARCH("rn""&gt;Republic of Ireland",S3188)),"Ireland",
ISNUMBER(SEARCH("rn""&gt;Bosnia and Herzegovina",S3188)),"Bosnia and Herzegovina",
ISNUMBER(SEARCH("rn""&gt;Trinidad and Tobago",S3188)),"Trinidad and Tobago",
ISNUMBER(SEARCH("rn""&gt;Serbia and Montenegro",S3188)),"Serbia and Montenegro",
ISNUMBER(SEARCH(_xlfn.UNICHAR(65533),S3188)),"Côte d'Ivoire",
TRUE,""
)</f>
        <v/>
      </c>
      <c r="W3188" s="40" t="str">
        <f t="shared" si="222"/>
        <v>Portugal</v>
      </c>
    </row>
    <row r="3189" spans="19:23">
      <c r="S3189" s="40" t="str">
        <v>Korea Republic</v>
      </c>
      <c r="T3189" s="40" t="str">
        <f t="shared" si="220"/>
        <v>ERREUR</v>
      </c>
      <c r="U3189" s="40" t="str">
        <f t="shared" si="221"/>
        <v>RENOMMER</v>
      </c>
      <c r="V3189" s="40" t="str" cm="1">
        <f t="array" ref="V3189">_xlfn.IFS(
ISNUMBER(SEARCH("USA",S3189)),"United States",
ISNUMBER(SEARCH("Republic of Ireland",S3189)),"Ireland",
ISNUMBER(SEARCH("Republic of Korea",S3189)),"South Korea",
ISNUMBER(SEARCH("Cape Verde",S3189)),"Cabo Verde",
ISNUMBER(SEARCH("Czechia",S3189)),"Czech Republic",
ISNUMBER(SEARCH("Türkiye",S3189)),"Turkey",
ISNUMBER(SEARCH("Ivory Coast",S3189)),"Côte d'Ivoire",
ISNUMBER(SEARCH("Korea Republic",S3189)),"South Korea",
ISNUMBER(SEARCH("Germany FR",S3189)),"FR Germany",
ISNUMBER(SEARCH("West Germany",S3189)),"FR Germany",
ISNUMBER(SEARCH("Germany DR",S3189)),"DR Germany",
ISNUMBER(SEARCH("Korea DPR",S3189)),"North Korea",
ISNUMBER(SEARCH("China PR",S3189)),"China",
ISNUMBER(SEARCH("IR Iran",S3189)),"Iran",
ISNUMBER(SEARCH("Congo DR",S3189)),"Democratic Republic of the Congo",
ISNUMBER(SEARCH("DR Congo",S3189)),"Democratic Republic of the Congo",
ISNUMBER(SEARCH("German DR",S3189)),"DR Germany",
ISNUMBER(SEARCH("rn""&gt;United Arab Emirates",S3189)),"United Arab Emirates",
ISNUMBER(SEARCH("rn""&gt;Republic of Ireland",S3189)),"Ireland",
ISNUMBER(SEARCH("rn""&gt;Bosnia and Herzegovina",S3189)),"Bosnia and Herzegovina",
ISNUMBER(SEARCH("rn""&gt;Trinidad and Tobago",S3189)),"Trinidad and Tobago",
ISNUMBER(SEARCH("rn""&gt;Serbia and Montenegro",S3189)),"Serbia and Montenegro",
ISNUMBER(SEARCH(_xlfn.UNICHAR(65533),S3189)),"Côte d'Ivoire",
TRUE,""
)</f>
        <v>South Korea</v>
      </c>
      <c r="W3189" s="40" t="str">
        <f t="shared" si="222"/>
        <v>South Korea</v>
      </c>
    </row>
    <row r="3190" spans="19:23">
      <c r="S3190" s="40" t="str">
        <v>Algeria</v>
      </c>
      <c r="T3190" s="40" t="str">
        <f t="shared" si="220"/>
        <v>OK</v>
      </c>
      <c r="U3190" s="40" t="str">
        <f t="shared" si="221"/>
        <v>-</v>
      </c>
      <c r="V3190" s="40" t="str" cm="1">
        <f t="array" ref="V3190">_xlfn.IFS(
ISNUMBER(SEARCH("USA",S3190)),"United States",
ISNUMBER(SEARCH("Republic of Ireland",S3190)),"Ireland",
ISNUMBER(SEARCH("Republic of Korea",S3190)),"South Korea",
ISNUMBER(SEARCH("Cape Verde",S3190)),"Cabo Verde",
ISNUMBER(SEARCH("Czechia",S3190)),"Czech Republic",
ISNUMBER(SEARCH("Türkiye",S3190)),"Turkey",
ISNUMBER(SEARCH("Ivory Coast",S3190)),"Côte d'Ivoire",
ISNUMBER(SEARCH("Korea Republic",S3190)),"South Korea",
ISNUMBER(SEARCH("Germany FR",S3190)),"FR Germany",
ISNUMBER(SEARCH("West Germany",S3190)),"FR Germany",
ISNUMBER(SEARCH("Germany DR",S3190)),"DR Germany",
ISNUMBER(SEARCH("Korea DPR",S3190)),"North Korea",
ISNUMBER(SEARCH("China PR",S3190)),"China",
ISNUMBER(SEARCH("IR Iran",S3190)),"Iran",
ISNUMBER(SEARCH("Congo DR",S3190)),"Democratic Republic of the Congo",
ISNUMBER(SEARCH("DR Congo",S3190)),"Democratic Republic of the Congo",
ISNUMBER(SEARCH("German DR",S3190)),"DR Germany",
ISNUMBER(SEARCH("rn""&gt;United Arab Emirates",S3190)),"United Arab Emirates",
ISNUMBER(SEARCH("rn""&gt;Republic of Ireland",S3190)),"Ireland",
ISNUMBER(SEARCH("rn""&gt;Bosnia and Herzegovina",S3190)),"Bosnia and Herzegovina",
ISNUMBER(SEARCH("rn""&gt;Trinidad and Tobago",S3190)),"Trinidad and Tobago",
ISNUMBER(SEARCH("rn""&gt;Serbia and Montenegro",S3190)),"Serbia and Montenegro",
ISNUMBER(SEARCH(_xlfn.UNICHAR(65533),S3190)),"Côte d'Ivoire",
TRUE,""
)</f>
        <v/>
      </c>
      <c r="W3190" s="40" t="str">
        <f t="shared" si="222"/>
        <v>Algeria</v>
      </c>
    </row>
    <row r="3191" spans="19:23">
      <c r="S3191" s="40" t="str">
        <v>Brazil</v>
      </c>
      <c r="T3191" s="40" t="str">
        <f t="shared" si="220"/>
        <v>OK</v>
      </c>
      <c r="U3191" s="40" t="str">
        <f t="shared" si="221"/>
        <v>-</v>
      </c>
      <c r="V3191" s="40" t="str" cm="1">
        <f t="array" ref="V3191">_xlfn.IFS(
ISNUMBER(SEARCH("USA",S3191)),"United States",
ISNUMBER(SEARCH("Republic of Ireland",S3191)),"Ireland",
ISNUMBER(SEARCH("Republic of Korea",S3191)),"South Korea",
ISNUMBER(SEARCH("Cape Verde",S3191)),"Cabo Verde",
ISNUMBER(SEARCH("Czechia",S3191)),"Czech Republic",
ISNUMBER(SEARCH("Türkiye",S3191)),"Turkey",
ISNUMBER(SEARCH("Ivory Coast",S3191)),"Côte d'Ivoire",
ISNUMBER(SEARCH("Korea Republic",S3191)),"South Korea",
ISNUMBER(SEARCH("Germany FR",S3191)),"FR Germany",
ISNUMBER(SEARCH("West Germany",S3191)),"FR Germany",
ISNUMBER(SEARCH("Germany DR",S3191)),"DR Germany",
ISNUMBER(SEARCH("Korea DPR",S3191)),"North Korea",
ISNUMBER(SEARCH("China PR",S3191)),"China",
ISNUMBER(SEARCH("IR Iran",S3191)),"Iran",
ISNUMBER(SEARCH("Congo DR",S3191)),"Democratic Republic of the Congo",
ISNUMBER(SEARCH("DR Congo",S3191)),"Democratic Republic of the Congo",
ISNUMBER(SEARCH("German DR",S3191)),"DR Germany",
ISNUMBER(SEARCH("rn""&gt;United Arab Emirates",S3191)),"United Arab Emirates",
ISNUMBER(SEARCH("rn""&gt;Republic of Ireland",S3191)),"Ireland",
ISNUMBER(SEARCH("rn""&gt;Bosnia and Herzegovina",S3191)),"Bosnia and Herzegovina",
ISNUMBER(SEARCH("rn""&gt;Trinidad and Tobago",S3191)),"Trinidad and Tobago",
ISNUMBER(SEARCH("rn""&gt;Serbia and Montenegro",S3191)),"Serbia and Montenegro",
ISNUMBER(SEARCH(_xlfn.UNICHAR(65533),S3191)),"Côte d'Ivoire",
TRUE,""
)</f>
        <v/>
      </c>
      <c r="W3191" s="40" t="str">
        <f t="shared" si="222"/>
        <v>Brazil</v>
      </c>
    </row>
    <row r="3192" spans="19:23">
      <c r="S3192" s="40" t="str">
        <v>Colombia</v>
      </c>
      <c r="T3192" s="40" t="str">
        <f t="shared" si="220"/>
        <v>OK</v>
      </c>
      <c r="U3192" s="40" t="str">
        <f t="shared" si="221"/>
        <v>-</v>
      </c>
      <c r="V3192" s="40" t="str" cm="1">
        <f t="array" ref="V3192">_xlfn.IFS(
ISNUMBER(SEARCH("USA",S3192)),"United States",
ISNUMBER(SEARCH("Republic of Ireland",S3192)),"Ireland",
ISNUMBER(SEARCH("Republic of Korea",S3192)),"South Korea",
ISNUMBER(SEARCH("Cape Verde",S3192)),"Cabo Verde",
ISNUMBER(SEARCH("Czechia",S3192)),"Czech Republic",
ISNUMBER(SEARCH("Türkiye",S3192)),"Turkey",
ISNUMBER(SEARCH("Ivory Coast",S3192)),"Côte d'Ivoire",
ISNUMBER(SEARCH("Korea Republic",S3192)),"South Korea",
ISNUMBER(SEARCH("Germany FR",S3192)),"FR Germany",
ISNUMBER(SEARCH("West Germany",S3192)),"FR Germany",
ISNUMBER(SEARCH("Germany DR",S3192)),"DR Germany",
ISNUMBER(SEARCH("Korea DPR",S3192)),"North Korea",
ISNUMBER(SEARCH("China PR",S3192)),"China",
ISNUMBER(SEARCH("IR Iran",S3192)),"Iran",
ISNUMBER(SEARCH("Congo DR",S3192)),"Democratic Republic of the Congo",
ISNUMBER(SEARCH("DR Congo",S3192)),"Democratic Republic of the Congo",
ISNUMBER(SEARCH("German DR",S3192)),"DR Germany",
ISNUMBER(SEARCH("rn""&gt;United Arab Emirates",S3192)),"United Arab Emirates",
ISNUMBER(SEARCH("rn""&gt;Republic of Ireland",S3192)),"Ireland",
ISNUMBER(SEARCH("rn""&gt;Bosnia and Herzegovina",S3192)),"Bosnia and Herzegovina",
ISNUMBER(SEARCH("rn""&gt;Trinidad and Tobago",S3192)),"Trinidad and Tobago",
ISNUMBER(SEARCH("rn""&gt;Serbia and Montenegro",S3192)),"Serbia and Montenegro",
ISNUMBER(SEARCH(_xlfn.UNICHAR(65533),S3192)),"Côte d'Ivoire",
TRUE,""
)</f>
        <v/>
      </c>
      <c r="W3192" s="40" t="str">
        <f t="shared" si="222"/>
        <v>Colombia</v>
      </c>
    </row>
    <row r="3193" spans="19:23">
      <c r="S3193" s="40" t="str">
        <v>France</v>
      </c>
      <c r="T3193" s="40" t="str">
        <f t="shared" si="220"/>
        <v>OK</v>
      </c>
      <c r="U3193" s="40" t="str">
        <f t="shared" si="221"/>
        <v>-</v>
      </c>
      <c r="V3193" s="40" t="str" cm="1">
        <f t="array" ref="V3193">_xlfn.IFS(
ISNUMBER(SEARCH("USA",S3193)),"United States",
ISNUMBER(SEARCH("Republic of Ireland",S3193)),"Ireland",
ISNUMBER(SEARCH("Republic of Korea",S3193)),"South Korea",
ISNUMBER(SEARCH("Cape Verde",S3193)),"Cabo Verde",
ISNUMBER(SEARCH("Czechia",S3193)),"Czech Republic",
ISNUMBER(SEARCH("Türkiye",S3193)),"Turkey",
ISNUMBER(SEARCH("Ivory Coast",S3193)),"Côte d'Ivoire",
ISNUMBER(SEARCH("Korea Republic",S3193)),"South Korea",
ISNUMBER(SEARCH("Germany FR",S3193)),"FR Germany",
ISNUMBER(SEARCH("West Germany",S3193)),"FR Germany",
ISNUMBER(SEARCH("Germany DR",S3193)),"DR Germany",
ISNUMBER(SEARCH("Korea DPR",S3193)),"North Korea",
ISNUMBER(SEARCH("China PR",S3193)),"China",
ISNUMBER(SEARCH("IR Iran",S3193)),"Iran",
ISNUMBER(SEARCH("Congo DR",S3193)),"Democratic Republic of the Congo",
ISNUMBER(SEARCH("DR Congo",S3193)),"Democratic Republic of the Congo",
ISNUMBER(SEARCH("German DR",S3193)),"DR Germany",
ISNUMBER(SEARCH("rn""&gt;United Arab Emirates",S3193)),"United Arab Emirates",
ISNUMBER(SEARCH("rn""&gt;Republic of Ireland",S3193)),"Ireland",
ISNUMBER(SEARCH("rn""&gt;Bosnia and Herzegovina",S3193)),"Bosnia and Herzegovina",
ISNUMBER(SEARCH("rn""&gt;Trinidad and Tobago",S3193)),"Trinidad and Tobago",
ISNUMBER(SEARCH("rn""&gt;Serbia and Montenegro",S3193)),"Serbia and Montenegro",
ISNUMBER(SEARCH(_xlfn.UNICHAR(65533),S3193)),"Côte d'Ivoire",
TRUE,""
)</f>
        <v/>
      </c>
      <c r="W3193" s="40" t="str">
        <f t="shared" si="222"/>
        <v>France</v>
      </c>
    </row>
    <row r="3194" spans="19:23">
      <c r="S3194" s="40" t="str">
        <v>Germany</v>
      </c>
      <c r="T3194" s="40" t="str">
        <f t="shared" si="220"/>
        <v>OK</v>
      </c>
      <c r="U3194" s="40" t="str">
        <f t="shared" si="221"/>
        <v>-</v>
      </c>
      <c r="V3194" s="40" t="str" cm="1">
        <f t="array" ref="V3194">_xlfn.IFS(
ISNUMBER(SEARCH("USA",S3194)),"United States",
ISNUMBER(SEARCH("Republic of Ireland",S3194)),"Ireland",
ISNUMBER(SEARCH("Republic of Korea",S3194)),"South Korea",
ISNUMBER(SEARCH("Cape Verde",S3194)),"Cabo Verde",
ISNUMBER(SEARCH("Czechia",S3194)),"Czech Republic",
ISNUMBER(SEARCH("Türkiye",S3194)),"Turkey",
ISNUMBER(SEARCH("Ivory Coast",S3194)),"Côte d'Ivoire",
ISNUMBER(SEARCH("Korea Republic",S3194)),"South Korea",
ISNUMBER(SEARCH("Germany FR",S3194)),"FR Germany",
ISNUMBER(SEARCH("West Germany",S3194)),"FR Germany",
ISNUMBER(SEARCH("Germany DR",S3194)),"DR Germany",
ISNUMBER(SEARCH("Korea DPR",S3194)),"North Korea",
ISNUMBER(SEARCH("China PR",S3194)),"China",
ISNUMBER(SEARCH("IR Iran",S3194)),"Iran",
ISNUMBER(SEARCH("Congo DR",S3194)),"Democratic Republic of the Congo",
ISNUMBER(SEARCH("DR Congo",S3194)),"Democratic Republic of the Congo",
ISNUMBER(SEARCH("German DR",S3194)),"DR Germany",
ISNUMBER(SEARCH("rn""&gt;United Arab Emirates",S3194)),"United Arab Emirates",
ISNUMBER(SEARCH("rn""&gt;Republic of Ireland",S3194)),"Ireland",
ISNUMBER(SEARCH("rn""&gt;Bosnia and Herzegovina",S3194)),"Bosnia and Herzegovina",
ISNUMBER(SEARCH("rn""&gt;Trinidad and Tobago",S3194)),"Trinidad and Tobago",
ISNUMBER(SEARCH("rn""&gt;Serbia and Montenegro",S3194)),"Serbia and Montenegro",
ISNUMBER(SEARCH(_xlfn.UNICHAR(65533),S3194)),"Côte d'Ivoire",
TRUE,""
)</f>
        <v/>
      </c>
      <c r="W3194" s="40" t="str">
        <f t="shared" si="222"/>
        <v>Germany</v>
      </c>
    </row>
    <row r="3195" spans="19:23">
      <c r="S3195" s="40" t="str">
        <v>Brazil</v>
      </c>
      <c r="T3195" s="40" t="str">
        <f t="shared" si="220"/>
        <v>OK</v>
      </c>
      <c r="U3195" s="40" t="str">
        <f t="shared" si="221"/>
        <v>-</v>
      </c>
      <c r="V3195" s="40" t="str" cm="1">
        <f t="array" ref="V3195">_xlfn.IFS(
ISNUMBER(SEARCH("USA",S3195)),"United States",
ISNUMBER(SEARCH("Republic of Ireland",S3195)),"Ireland",
ISNUMBER(SEARCH("Republic of Korea",S3195)),"South Korea",
ISNUMBER(SEARCH("Cape Verde",S3195)),"Cabo Verde",
ISNUMBER(SEARCH("Czechia",S3195)),"Czech Republic",
ISNUMBER(SEARCH("Türkiye",S3195)),"Turkey",
ISNUMBER(SEARCH("Ivory Coast",S3195)),"Côte d'Ivoire",
ISNUMBER(SEARCH("Korea Republic",S3195)),"South Korea",
ISNUMBER(SEARCH("Germany FR",S3195)),"FR Germany",
ISNUMBER(SEARCH("West Germany",S3195)),"FR Germany",
ISNUMBER(SEARCH("Germany DR",S3195)),"DR Germany",
ISNUMBER(SEARCH("Korea DPR",S3195)),"North Korea",
ISNUMBER(SEARCH("China PR",S3195)),"China",
ISNUMBER(SEARCH("IR Iran",S3195)),"Iran",
ISNUMBER(SEARCH("Congo DR",S3195)),"Democratic Republic of the Congo",
ISNUMBER(SEARCH("DR Congo",S3195)),"Democratic Republic of the Congo",
ISNUMBER(SEARCH("German DR",S3195)),"DR Germany",
ISNUMBER(SEARCH("rn""&gt;United Arab Emirates",S3195)),"United Arab Emirates",
ISNUMBER(SEARCH("rn""&gt;Republic of Ireland",S3195)),"Ireland",
ISNUMBER(SEARCH("rn""&gt;Bosnia and Herzegovina",S3195)),"Bosnia and Herzegovina",
ISNUMBER(SEARCH("rn""&gt;Trinidad and Tobago",S3195)),"Trinidad and Tobago",
ISNUMBER(SEARCH("rn""&gt;Serbia and Montenegro",S3195)),"Serbia and Montenegro",
ISNUMBER(SEARCH(_xlfn.UNICHAR(65533),S3195)),"Côte d'Ivoire",
TRUE,""
)</f>
        <v/>
      </c>
      <c r="W3195" s="40" t="str">
        <f t="shared" si="222"/>
        <v>Brazil</v>
      </c>
    </row>
    <row r="3196" spans="19:23">
      <c r="S3196" s="40" t="str">
        <v>France</v>
      </c>
      <c r="T3196" s="40" t="str">
        <f t="shared" si="220"/>
        <v>OK</v>
      </c>
      <c r="U3196" s="40" t="str">
        <f t="shared" si="221"/>
        <v>-</v>
      </c>
      <c r="V3196" s="40" t="str" cm="1">
        <f t="array" ref="V3196">_xlfn.IFS(
ISNUMBER(SEARCH("USA",S3196)),"United States",
ISNUMBER(SEARCH("Republic of Ireland",S3196)),"Ireland",
ISNUMBER(SEARCH("Republic of Korea",S3196)),"South Korea",
ISNUMBER(SEARCH("Cape Verde",S3196)),"Cabo Verde",
ISNUMBER(SEARCH("Czechia",S3196)),"Czech Republic",
ISNUMBER(SEARCH("Türkiye",S3196)),"Turkey",
ISNUMBER(SEARCH("Ivory Coast",S3196)),"Côte d'Ivoire",
ISNUMBER(SEARCH("Korea Republic",S3196)),"South Korea",
ISNUMBER(SEARCH("Germany FR",S3196)),"FR Germany",
ISNUMBER(SEARCH("West Germany",S3196)),"FR Germany",
ISNUMBER(SEARCH("Germany DR",S3196)),"DR Germany",
ISNUMBER(SEARCH("Korea DPR",S3196)),"North Korea",
ISNUMBER(SEARCH("China PR",S3196)),"China",
ISNUMBER(SEARCH("IR Iran",S3196)),"Iran",
ISNUMBER(SEARCH("Congo DR",S3196)),"Democratic Republic of the Congo",
ISNUMBER(SEARCH("DR Congo",S3196)),"Democratic Republic of the Congo",
ISNUMBER(SEARCH("German DR",S3196)),"DR Germany",
ISNUMBER(SEARCH("rn""&gt;United Arab Emirates",S3196)),"United Arab Emirates",
ISNUMBER(SEARCH("rn""&gt;Republic of Ireland",S3196)),"Ireland",
ISNUMBER(SEARCH("rn""&gt;Bosnia and Herzegovina",S3196)),"Bosnia and Herzegovina",
ISNUMBER(SEARCH("rn""&gt;Trinidad and Tobago",S3196)),"Trinidad and Tobago",
ISNUMBER(SEARCH("rn""&gt;Serbia and Montenegro",S3196)),"Serbia and Montenegro",
ISNUMBER(SEARCH(_xlfn.UNICHAR(65533),S3196)),"Côte d'Ivoire",
TRUE,""
)</f>
        <v/>
      </c>
      <c r="W3196" s="40" t="str">
        <f t="shared" si="222"/>
        <v>France</v>
      </c>
    </row>
    <row r="3197" spans="19:23">
      <c r="S3197" s="40" t="str">
        <v>Brazil</v>
      </c>
      <c r="T3197" s="40" t="str">
        <f t="shared" si="220"/>
        <v>OK</v>
      </c>
      <c r="U3197" s="40" t="str">
        <f t="shared" si="221"/>
        <v>-</v>
      </c>
      <c r="V3197" s="40" t="str" cm="1">
        <f t="array" ref="V3197">_xlfn.IFS(
ISNUMBER(SEARCH("USA",S3197)),"United States",
ISNUMBER(SEARCH("Republic of Ireland",S3197)),"Ireland",
ISNUMBER(SEARCH("Republic of Korea",S3197)),"South Korea",
ISNUMBER(SEARCH("Cape Verde",S3197)),"Cabo Verde",
ISNUMBER(SEARCH("Czechia",S3197)),"Czech Republic",
ISNUMBER(SEARCH("Türkiye",S3197)),"Turkey",
ISNUMBER(SEARCH("Ivory Coast",S3197)),"Côte d'Ivoire",
ISNUMBER(SEARCH("Korea Republic",S3197)),"South Korea",
ISNUMBER(SEARCH("Germany FR",S3197)),"FR Germany",
ISNUMBER(SEARCH("West Germany",S3197)),"FR Germany",
ISNUMBER(SEARCH("Germany DR",S3197)),"DR Germany",
ISNUMBER(SEARCH("Korea DPR",S3197)),"North Korea",
ISNUMBER(SEARCH("China PR",S3197)),"China",
ISNUMBER(SEARCH("IR Iran",S3197)),"Iran",
ISNUMBER(SEARCH("Congo DR",S3197)),"Democratic Republic of the Congo",
ISNUMBER(SEARCH("DR Congo",S3197)),"Democratic Republic of the Congo",
ISNUMBER(SEARCH("German DR",S3197)),"DR Germany",
ISNUMBER(SEARCH("rn""&gt;United Arab Emirates",S3197)),"United Arab Emirates",
ISNUMBER(SEARCH("rn""&gt;Republic of Ireland",S3197)),"Ireland",
ISNUMBER(SEARCH("rn""&gt;Bosnia and Herzegovina",S3197)),"Bosnia and Herzegovina",
ISNUMBER(SEARCH("rn""&gt;Trinidad and Tobago",S3197)),"Trinidad and Tobago",
ISNUMBER(SEARCH("rn""&gt;Serbia and Montenegro",S3197)),"Serbia and Montenegro",
ISNUMBER(SEARCH(_xlfn.UNICHAR(65533),S3197)),"Côte d'Ivoire",
TRUE,""
)</f>
        <v/>
      </c>
      <c r="W3197" s="40" t="str">
        <f t="shared" si="222"/>
        <v>Brazil</v>
      </c>
    </row>
    <row r="3198" spans="19:23">
      <c r="S3198" s="40" t="str">
        <v>Brazil</v>
      </c>
      <c r="T3198" s="40" t="str">
        <f t="shared" si="220"/>
        <v>OK</v>
      </c>
      <c r="U3198" s="40" t="str">
        <f t="shared" si="221"/>
        <v>-</v>
      </c>
      <c r="V3198" s="40" t="str" cm="1">
        <f t="array" ref="V3198">_xlfn.IFS(
ISNUMBER(SEARCH("USA",S3198)),"United States",
ISNUMBER(SEARCH("Republic of Ireland",S3198)),"Ireland",
ISNUMBER(SEARCH("Republic of Korea",S3198)),"South Korea",
ISNUMBER(SEARCH("Cape Verde",S3198)),"Cabo Verde",
ISNUMBER(SEARCH("Czechia",S3198)),"Czech Republic",
ISNUMBER(SEARCH("Türkiye",S3198)),"Turkey",
ISNUMBER(SEARCH("Ivory Coast",S3198)),"Côte d'Ivoire",
ISNUMBER(SEARCH("Korea Republic",S3198)),"South Korea",
ISNUMBER(SEARCH("Germany FR",S3198)),"FR Germany",
ISNUMBER(SEARCH("West Germany",S3198)),"FR Germany",
ISNUMBER(SEARCH("Germany DR",S3198)),"DR Germany",
ISNUMBER(SEARCH("Korea DPR",S3198)),"North Korea",
ISNUMBER(SEARCH("China PR",S3198)),"China",
ISNUMBER(SEARCH("IR Iran",S3198)),"Iran",
ISNUMBER(SEARCH("Congo DR",S3198)),"Democratic Republic of the Congo",
ISNUMBER(SEARCH("DR Congo",S3198)),"Democratic Republic of the Congo",
ISNUMBER(SEARCH("German DR",S3198)),"DR Germany",
ISNUMBER(SEARCH("rn""&gt;United Arab Emirates",S3198)),"United Arab Emirates",
ISNUMBER(SEARCH("rn""&gt;Republic of Ireland",S3198)),"Ireland",
ISNUMBER(SEARCH("rn""&gt;Bosnia and Herzegovina",S3198)),"Bosnia and Herzegovina",
ISNUMBER(SEARCH("rn""&gt;Trinidad and Tobago",S3198)),"Trinidad and Tobago",
ISNUMBER(SEARCH("rn""&gt;Serbia and Montenegro",S3198)),"Serbia and Montenegro",
ISNUMBER(SEARCH(_xlfn.UNICHAR(65533),S3198)),"Côte d'Ivoire",
TRUE,""
)</f>
        <v/>
      </c>
      <c r="W3198" s="40" t="str">
        <f t="shared" si="222"/>
        <v>Brazil</v>
      </c>
    </row>
    <row r="3199" spans="19:23">
      <c r="S3199" s="40" t="str">
        <v>Germany</v>
      </c>
      <c r="T3199" s="40" t="str">
        <f t="shared" si="220"/>
        <v>OK</v>
      </c>
      <c r="U3199" s="40" t="str">
        <f t="shared" si="221"/>
        <v>-</v>
      </c>
      <c r="V3199" s="40" t="str" cm="1">
        <f t="array" ref="V3199">_xlfn.IFS(
ISNUMBER(SEARCH("USA",S3199)),"United States",
ISNUMBER(SEARCH("Republic of Ireland",S3199)),"Ireland",
ISNUMBER(SEARCH("Republic of Korea",S3199)),"South Korea",
ISNUMBER(SEARCH("Cape Verde",S3199)),"Cabo Verde",
ISNUMBER(SEARCH("Czechia",S3199)),"Czech Republic",
ISNUMBER(SEARCH("Türkiye",S3199)),"Turkey",
ISNUMBER(SEARCH("Ivory Coast",S3199)),"Côte d'Ivoire",
ISNUMBER(SEARCH("Korea Republic",S3199)),"South Korea",
ISNUMBER(SEARCH("Germany FR",S3199)),"FR Germany",
ISNUMBER(SEARCH("West Germany",S3199)),"FR Germany",
ISNUMBER(SEARCH("Germany DR",S3199)),"DR Germany",
ISNUMBER(SEARCH("Korea DPR",S3199)),"North Korea",
ISNUMBER(SEARCH("China PR",S3199)),"China",
ISNUMBER(SEARCH("IR Iran",S3199)),"Iran",
ISNUMBER(SEARCH("Congo DR",S3199)),"Democratic Republic of the Congo",
ISNUMBER(SEARCH("DR Congo",S3199)),"Democratic Republic of the Congo",
ISNUMBER(SEARCH("German DR",S3199)),"DR Germany",
ISNUMBER(SEARCH("rn""&gt;United Arab Emirates",S3199)),"United Arab Emirates",
ISNUMBER(SEARCH("rn""&gt;Republic of Ireland",S3199)),"Ireland",
ISNUMBER(SEARCH("rn""&gt;Bosnia and Herzegovina",S3199)),"Bosnia and Herzegovina",
ISNUMBER(SEARCH("rn""&gt;Trinidad and Tobago",S3199)),"Trinidad and Tobago",
ISNUMBER(SEARCH("rn""&gt;Serbia and Montenegro",S3199)),"Serbia and Montenegro",
ISNUMBER(SEARCH(_xlfn.UNICHAR(65533),S3199)),"Côte d'Ivoire",
TRUE,""
)</f>
        <v/>
      </c>
      <c r="W3199" s="40" t="str">
        <f t="shared" si="222"/>
        <v>Germany</v>
      </c>
    </row>
    <row r="3200" spans="19:23">
      <c r="S3200" s="40" t="str">
        <v>Netherlands</v>
      </c>
      <c r="T3200" s="40" t="str">
        <f t="shared" si="220"/>
        <v>OK</v>
      </c>
      <c r="U3200" s="40" t="str">
        <f t="shared" si="221"/>
        <v>-</v>
      </c>
      <c r="V3200" s="40" t="str" cm="1">
        <f t="array" ref="V3200">_xlfn.IFS(
ISNUMBER(SEARCH("USA",S3200)),"United States",
ISNUMBER(SEARCH("Republic of Ireland",S3200)),"Ireland",
ISNUMBER(SEARCH("Republic of Korea",S3200)),"South Korea",
ISNUMBER(SEARCH("Cape Verde",S3200)),"Cabo Verde",
ISNUMBER(SEARCH("Czechia",S3200)),"Czech Republic",
ISNUMBER(SEARCH("Türkiye",S3200)),"Turkey",
ISNUMBER(SEARCH("Ivory Coast",S3200)),"Côte d'Ivoire",
ISNUMBER(SEARCH("Korea Republic",S3200)),"South Korea",
ISNUMBER(SEARCH("Germany FR",S3200)),"FR Germany",
ISNUMBER(SEARCH("West Germany",S3200)),"FR Germany",
ISNUMBER(SEARCH("Germany DR",S3200)),"DR Germany",
ISNUMBER(SEARCH("Korea DPR",S3200)),"North Korea",
ISNUMBER(SEARCH("China PR",S3200)),"China",
ISNUMBER(SEARCH("IR Iran",S3200)),"Iran",
ISNUMBER(SEARCH("Congo DR",S3200)),"Democratic Republic of the Congo",
ISNUMBER(SEARCH("DR Congo",S3200)),"Democratic Republic of the Congo",
ISNUMBER(SEARCH("German DR",S3200)),"DR Germany",
ISNUMBER(SEARCH("rn""&gt;United Arab Emirates",S3200)),"United Arab Emirates",
ISNUMBER(SEARCH("rn""&gt;Republic of Ireland",S3200)),"Ireland",
ISNUMBER(SEARCH("rn""&gt;Bosnia and Herzegovina",S3200)),"Bosnia and Herzegovina",
ISNUMBER(SEARCH("rn""&gt;Trinidad and Tobago",S3200)),"Trinidad and Tobago",
ISNUMBER(SEARCH("rn""&gt;Serbia and Montenegro",S3200)),"Serbia and Montenegro",
ISNUMBER(SEARCH(_xlfn.UNICHAR(65533),S3200)),"Côte d'Ivoire",
TRUE,""
)</f>
        <v/>
      </c>
      <c r="W3200" s="40" t="str">
        <f t="shared" si="222"/>
        <v>Netherlands</v>
      </c>
    </row>
    <row r="3201" spans="19:23">
      <c r="S3201" s="40" t="str">
        <v>Netherlands</v>
      </c>
      <c r="T3201" s="40" t="str">
        <f t="shared" si="220"/>
        <v>OK</v>
      </c>
      <c r="U3201" s="40" t="str">
        <f t="shared" si="221"/>
        <v>-</v>
      </c>
      <c r="V3201" s="40" t="str" cm="1">
        <f t="array" ref="V3201">_xlfn.IFS(
ISNUMBER(SEARCH("USA",S3201)),"United States",
ISNUMBER(SEARCH("Republic of Ireland",S3201)),"Ireland",
ISNUMBER(SEARCH("Republic of Korea",S3201)),"South Korea",
ISNUMBER(SEARCH("Cape Verde",S3201)),"Cabo Verde",
ISNUMBER(SEARCH("Czechia",S3201)),"Czech Republic",
ISNUMBER(SEARCH("Türkiye",S3201)),"Turkey",
ISNUMBER(SEARCH("Ivory Coast",S3201)),"Côte d'Ivoire",
ISNUMBER(SEARCH("Korea Republic",S3201)),"South Korea",
ISNUMBER(SEARCH("Germany FR",S3201)),"FR Germany",
ISNUMBER(SEARCH("West Germany",S3201)),"FR Germany",
ISNUMBER(SEARCH("Germany DR",S3201)),"DR Germany",
ISNUMBER(SEARCH("Korea DPR",S3201)),"North Korea",
ISNUMBER(SEARCH("China PR",S3201)),"China",
ISNUMBER(SEARCH("IR Iran",S3201)),"Iran",
ISNUMBER(SEARCH("Congo DR",S3201)),"Democratic Republic of the Congo",
ISNUMBER(SEARCH("DR Congo",S3201)),"Democratic Republic of the Congo",
ISNUMBER(SEARCH("German DR",S3201)),"DR Germany",
ISNUMBER(SEARCH("rn""&gt;United Arab Emirates",S3201)),"United Arab Emirates",
ISNUMBER(SEARCH("rn""&gt;Republic of Ireland",S3201)),"Ireland",
ISNUMBER(SEARCH("rn""&gt;Bosnia and Herzegovina",S3201)),"Bosnia and Herzegovina",
ISNUMBER(SEARCH("rn""&gt;Trinidad and Tobago",S3201)),"Trinidad and Tobago",
ISNUMBER(SEARCH("rn""&gt;Serbia and Montenegro",S3201)),"Serbia and Montenegro",
ISNUMBER(SEARCH(_xlfn.UNICHAR(65533),S3201)),"Côte d'Ivoire",
TRUE,""
)</f>
        <v/>
      </c>
      <c r="W3201" s="40" t="str">
        <f t="shared" si="222"/>
        <v>Netherlands</v>
      </c>
    </row>
    <row r="3202" spans="19:23">
      <c r="S3202" s="40" t="str">
        <v>Argentina</v>
      </c>
      <c r="T3202" s="40" t="str">
        <f t="shared" si="220"/>
        <v>OK</v>
      </c>
      <c r="U3202" s="40" t="str">
        <f t="shared" si="221"/>
        <v>-</v>
      </c>
      <c r="V3202" s="40" t="str" cm="1">
        <f t="array" ref="V3202">_xlfn.IFS(
ISNUMBER(SEARCH("USA",S3202)),"United States",
ISNUMBER(SEARCH("Republic of Ireland",S3202)),"Ireland",
ISNUMBER(SEARCH("Republic of Korea",S3202)),"South Korea",
ISNUMBER(SEARCH("Cape Verde",S3202)),"Cabo Verde",
ISNUMBER(SEARCH("Czechia",S3202)),"Czech Republic",
ISNUMBER(SEARCH("Türkiye",S3202)),"Turkey",
ISNUMBER(SEARCH("Ivory Coast",S3202)),"Côte d'Ivoire",
ISNUMBER(SEARCH("Korea Republic",S3202)),"South Korea",
ISNUMBER(SEARCH("Germany FR",S3202)),"FR Germany",
ISNUMBER(SEARCH("West Germany",S3202)),"FR Germany",
ISNUMBER(SEARCH("Germany DR",S3202)),"DR Germany",
ISNUMBER(SEARCH("Korea DPR",S3202)),"North Korea",
ISNUMBER(SEARCH("China PR",S3202)),"China",
ISNUMBER(SEARCH("IR Iran",S3202)),"Iran",
ISNUMBER(SEARCH("Congo DR",S3202)),"Democratic Republic of the Congo",
ISNUMBER(SEARCH("DR Congo",S3202)),"Democratic Republic of the Congo",
ISNUMBER(SEARCH("German DR",S3202)),"DR Germany",
ISNUMBER(SEARCH("rn""&gt;United Arab Emirates",S3202)),"United Arab Emirates",
ISNUMBER(SEARCH("rn""&gt;Republic of Ireland",S3202)),"Ireland",
ISNUMBER(SEARCH("rn""&gt;Bosnia and Herzegovina",S3202)),"Bosnia and Herzegovina",
ISNUMBER(SEARCH("rn""&gt;Trinidad and Tobago",S3202)),"Trinidad and Tobago",
ISNUMBER(SEARCH("rn""&gt;Serbia and Montenegro",S3202)),"Serbia and Montenegro",
ISNUMBER(SEARCH(_xlfn.UNICHAR(65533),S3202)),"Côte d'Ivoire",
TRUE,""
)</f>
        <v/>
      </c>
      <c r="W3202" s="40" t="str">
        <f t="shared" si="222"/>
        <v>Argentina</v>
      </c>
    </row>
    <row r="3203" spans="19:23">
      <c r="S3203" s="40" t="str">
        <v>Netherlands</v>
      </c>
      <c r="T3203" s="40" t="str">
        <f t="shared" ref="T3203:T3266" si="223">IF(COUNTIF(R$13:R$250,S3203)=1,"OK","ERREUR")</f>
        <v>OK</v>
      </c>
      <c r="U3203" s="40" t="str">
        <f t="shared" si="221"/>
        <v>-</v>
      </c>
      <c r="V3203" s="40" t="str" cm="1">
        <f t="array" ref="V3203">_xlfn.IFS(
ISNUMBER(SEARCH("USA",S3203)),"United States",
ISNUMBER(SEARCH("Republic of Ireland",S3203)),"Ireland",
ISNUMBER(SEARCH("Republic of Korea",S3203)),"South Korea",
ISNUMBER(SEARCH("Cape Verde",S3203)),"Cabo Verde",
ISNUMBER(SEARCH("Czechia",S3203)),"Czech Republic",
ISNUMBER(SEARCH("Türkiye",S3203)),"Turkey",
ISNUMBER(SEARCH("Ivory Coast",S3203)),"Côte d'Ivoire",
ISNUMBER(SEARCH("Korea Republic",S3203)),"South Korea",
ISNUMBER(SEARCH("Germany FR",S3203)),"FR Germany",
ISNUMBER(SEARCH("West Germany",S3203)),"FR Germany",
ISNUMBER(SEARCH("Germany DR",S3203)),"DR Germany",
ISNUMBER(SEARCH("Korea DPR",S3203)),"North Korea",
ISNUMBER(SEARCH("China PR",S3203)),"China",
ISNUMBER(SEARCH("IR Iran",S3203)),"Iran",
ISNUMBER(SEARCH("Congo DR",S3203)),"Democratic Republic of the Congo",
ISNUMBER(SEARCH("DR Congo",S3203)),"Democratic Republic of the Congo",
ISNUMBER(SEARCH("German DR",S3203)),"DR Germany",
ISNUMBER(SEARCH("rn""&gt;United Arab Emirates",S3203)),"United Arab Emirates",
ISNUMBER(SEARCH("rn""&gt;Republic of Ireland",S3203)),"Ireland",
ISNUMBER(SEARCH("rn""&gt;Bosnia and Herzegovina",S3203)),"Bosnia and Herzegovina",
ISNUMBER(SEARCH("rn""&gt;Trinidad and Tobago",S3203)),"Trinidad and Tobago",
ISNUMBER(SEARCH("rn""&gt;Serbia and Montenegro",S3203)),"Serbia and Montenegro",
ISNUMBER(SEARCH(_xlfn.UNICHAR(65533),S3203)),"Côte d'Ivoire",
TRUE,""
)</f>
        <v/>
      </c>
      <c r="W3203" s="40" t="str">
        <f t="shared" si="222"/>
        <v>Netherlands</v>
      </c>
    </row>
    <row r="3204" spans="19:23">
      <c r="S3204" s="40" t="str">
        <v>Costa Rica</v>
      </c>
      <c r="T3204" s="40" t="str">
        <f t="shared" si="223"/>
        <v>OK</v>
      </c>
      <c r="U3204" s="40" t="str">
        <f t="shared" ref="U3204:U3267" si="224">IF(OR(S3204="Scotland",S3204="England",S3204="Wales",S3204="Yugoslavia",S3204="Czechoslovakia",S3204="Northern Ireland",S3204="Soviet Union",S3204="Zaire",S3204="Dutch East Indies"),"AUCUNE",IF(OR(S3204="Cape Verde",S3204="USA",S3204="DR Congo",S3204="Republic of Korea",S3204="Germany FR",S3204="Germany DR",S3204="Czechia",S3204="Ivory Coast",S3204="Korea DPR",S3204="China PR",S3204="IR Iran",S3204="Türkiye",S3204="Congo DR",S3204="German DR",S3204="West Germany",S3204="Republic of Ireland",ISNUMBER(SEARCH(_xlfn.UNICHAR(65533),S3204)),S3204="Korea Republic",ISNUMBER(SEARCH("rn""&gt;United Arab Emirates",S3204)),ISNUMBER(SEARCH("rn""&gt;Republic of Ireland",S3204)),ISNUMBER(SEARCH("rn""&gt;Bosnia and Herzegovina",S3204)),ISNUMBER(SEARCH("rn""&gt;Trinidad and Tobago",S3204)),ISNUMBER(SEARCH("rn""&gt;Serbia and Montenegro",S3204)),ISNUMBER(SEARCH(_xlfn.UNICHAR(65533),S3204))),"RENOMMER","-"))</f>
        <v>-</v>
      </c>
      <c r="V3204" s="40" t="str" cm="1">
        <f t="array" ref="V3204">_xlfn.IFS(
ISNUMBER(SEARCH("USA",S3204)),"United States",
ISNUMBER(SEARCH("Republic of Ireland",S3204)),"Ireland",
ISNUMBER(SEARCH("Republic of Korea",S3204)),"South Korea",
ISNUMBER(SEARCH("Cape Verde",S3204)),"Cabo Verde",
ISNUMBER(SEARCH("Czechia",S3204)),"Czech Republic",
ISNUMBER(SEARCH("Türkiye",S3204)),"Turkey",
ISNUMBER(SEARCH("Ivory Coast",S3204)),"Côte d'Ivoire",
ISNUMBER(SEARCH("Korea Republic",S3204)),"South Korea",
ISNUMBER(SEARCH("Germany FR",S3204)),"FR Germany",
ISNUMBER(SEARCH("West Germany",S3204)),"FR Germany",
ISNUMBER(SEARCH("Germany DR",S3204)),"DR Germany",
ISNUMBER(SEARCH("Korea DPR",S3204)),"North Korea",
ISNUMBER(SEARCH("China PR",S3204)),"China",
ISNUMBER(SEARCH("IR Iran",S3204)),"Iran",
ISNUMBER(SEARCH("Congo DR",S3204)),"Democratic Republic of the Congo",
ISNUMBER(SEARCH("DR Congo",S3204)),"Democratic Republic of the Congo",
ISNUMBER(SEARCH("German DR",S3204)),"DR Germany",
ISNUMBER(SEARCH("rn""&gt;United Arab Emirates",S3204)),"United Arab Emirates",
ISNUMBER(SEARCH("rn""&gt;Republic of Ireland",S3204)),"Ireland",
ISNUMBER(SEARCH("rn""&gt;Bosnia and Herzegovina",S3204)),"Bosnia and Herzegovina",
ISNUMBER(SEARCH("rn""&gt;Trinidad and Tobago",S3204)),"Trinidad and Tobago",
ISNUMBER(SEARCH("rn""&gt;Serbia and Montenegro",S3204)),"Serbia and Montenegro",
ISNUMBER(SEARCH(_xlfn.UNICHAR(65533),S3204)),"Côte d'Ivoire",
TRUE,""
)</f>
        <v/>
      </c>
      <c r="W3204" s="40" t="str">
        <f t="shared" ref="W3204:W3267" si="225">IF(V3204="",S3204,V3204)</f>
        <v>Costa Rica</v>
      </c>
    </row>
    <row r="3205" spans="19:23">
      <c r="S3205" s="40" t="str">
        <v>Argentina</v>
      </c>
      <c r="T3205" s="40" t="str">
        <f t="shared" si="223"/>
        <v>OK</v>
      </c>
      <c r="U3205" s="40" t="str">
        <f t="shared" si="224"/>
        <v>-</v>
      </c>
      <c r="V3205" s="40" t="str" cm="1">
        <f t="array" ref="V3205">_xlfn.IFS(
ISNUMBER(SEARCH("USA",S3205)),"United States",
ISNUMBER(SEARCH("Republic of Ireland",S3205)),"Ireland",
ISNUMBER(SEARCH("Republic of Korea",S3205)),"South Korea",
ISNUMBER(SEARCH("Cape Verde",S3205)),"Cabo Verde",
ISNUMBER(SEARCH("Czechia",S3205)),"Czech Republic",
ISNUMBER(SEARCH("Türkiye",S3205)),"Turkey",
ISNUMBER(SEARCH("Ivory Coast",S3205)),"Côte d'Ivoire",
ISNUMBER(SEARCH("Korea Republic",S3205)),"South Korea",
ISNUMBER(SEARCH("Germany FR",S3205)),"FR Germany",
ISNUMBER(SEARCH("West Germany",S3205)),"FR Germany",
ISNUMBER(SEARCH("Germany DR",S3205)),"DR Germany",
ISNUMBER(SEARCH("Korea DPR",S3205)),"North Korea",
ISNUMBER(SEARCH("China PR",S3205)),"China",
ISNUMBER(SEARCH("IR Iran",S3205)),"Iran",
ISNUMBER(SEARCH("Congo DR",S3205)),"Democratic Republic of the Congo",
ISNUMBER(SEARCH("DR Congo",S3205)),"Democratic Republic of the Congo",
ISNUMBER(SEARCH("German DR",S3205)),"DR Germany",
ISNUMBER(SEARCH("rn""&gt;United Arab Emirates",S3205)),"United Arab Emirates",
ISNUMBER(SEARCH("rn""&gt;Republic of Ireland",S3205)),"Ireland",
ISNUMBER(SEARCH("rn""&gt;Bosnia and Herzegovina",S3205)),"Bosnia and Herzegovina",
ISNUMBER(SEARCH("rn""&gt;Trinidad and Tobago",S3205)),"Trinidad and Tobago",
ISNUMBER(SEARCH("rn""&gt;Serbia and Montenegro",S3205)),"Serbia and Montenegro",
ISNUMBER(SEARCH(_xlfn.UNICHAR(65533),S3205)),"Côte d'Ivoire",
TRUE,""
)</f>
        <v/>
      </c>
      <c r="W3205" s="40" t="str">
        <f t="shared" si="225"/>
        <v>Argentina</v>
      </c>
    </row>
    <row r="3206" spans="19:23">
      <c r="S3206" s="40" t="str">
        <v>Belgium</v>
      </c>
      <c r="T3206" s="40" t="str">
        <f t="shared" si="223"/>
        <v>OK</v>
      </c>
      <c r="U3206" s="40" t="str">
        <f t="shared" si="224"/>
        <v>-</v>
      </c>
      <c r="V3206" s="40" t="str" cm="1">
        <f t="array" ref="V3206">_xlfn.IFS(
ISNUMBER(SEARCH("USA",S3206)),"United States",
ISNUMBER(SEARCH("Republic of Ireland",S3206)),"Ireland",
ISNUMBER(SEARCH("Republic of Korea",S3206)),"South Korea",
ISNUMBER(SEARCH("Cape Verde",S3206)),"Cabo Verde",
ISNUMBER(SEARCH("Czechia",S3206)),"Czech Republic",
ISNUMBER(SEARCH("Türkiye",S3206)),"Turkey",
ISNUMBER(SEARCH("Ivory Coast",S3206)),"Côte d'Ivoire",
ISNUMBER(SEARCH("Korea Republic",S3206)),"South Korea",
ISNUMBER(SEARCH("Germany FR",S3206)),"FR Germany",
ISNUMBER(SEARCH("West Germany",S3206)),"FR Germany",
ISNUMBER(SEARCH("Germany DR",S3206)),"DR Germany",
ISNUMBER(SEARCH("Korea DPR",S3206)),"North Korea",
ISNUMBER(SEARCH("China PR",S3206)),"China",
ISNUMBER(SEARCH("IR Iran",S3206)),"Iran",
ISNUMBER(SEARCH("Congo DR",S3206)),"Democratic Republic of the Congo",
ISNUMBER(SEARCH("DR Congo",S3206)),"Democratic Republic of the Congo",
ISNUMBER(SEARCH("German DR",S3206)),"DR Germany",
ISNUMBER(SEARCH("rn""&gt;United Arab Emirates",S3206)),"United Arab Emirates",
ISNUMBER(SEARCH("rn""&gt;Republic of Ireland",S3206)),"Ireland",
ISNUMBER(SEARCH("rn""&gt;Bosnia and Herzegovina",S3206)),"Bosnia and Herzegovina",
ISNUMBER(SEARCH("rn""&gt;Trinidad and Tobago",S3206)),"Trinidad and Tobago",
ISNUMBER(SEARCH("rn""&gt;Serbia and Montenegro",S3206)),"Serbia and Montenegro",
ISNUMBER(SEARCH(_xlfn.UNICHAR(65533),S3206)),"Côte d'Ivoire",
TRUE,""
)</f>
        <v/>
      </c>
      <c r="W3206" s="40" t="str">
        <f t="shared" si="225"/>
        <v>Belgium</v>
      </c>
    </row>
    <row r="3207" spans="19:23">
      <c r="S3207" s="40" t="str">
        <v>Russia</v>
      </c>
      <c r="T3207" s="40" t="str">
        <f t="shared" si="223"/>
        <v>OK</v>
      </c>
      <c r="U3207" s="40" t="str">
        <f t="shared" si="224"/>
        <v>-</v>
      </c>
      <c r="V3207" s="40" t="str" cm="1">
        <f t="array" ref="V3207">_xlfn.IFS(
ISNUMBER(SEARCH("USA",S3207)),"United States",
ISNUMBER(SEARCH("Republic of Ireland",S3207)),"Ireland",
ISNUMBER(SEARCH("Republic of Korea",S3207)),"South Korea",
ISNUMBER(SEARCH("Cape Verde",S3207)),"Cabo Verde",
ISNUMBER(SEARCH("Czechia",S3207)),"Czech Republic",
ISNUMBER(SEARCH("Türkiye",S3207)),"Turkey",
ISNUMBER(SEARCH("Ivory Coast",S3207)),"Côte d'Ivoire",
ISNUMBER(SEARCH("Korea Republic",S3207)),"South Korea",
ISNUMBER(SEARCH("Germany FR",S3207)),"FR Germany",
ISNUMBER(SEARCH("West Germany",S3207)),"FR Germany",
ISNUMBER(SEARCH("Germany DR",S3207)),"DR Germany",
ISNUMBER(SEARCH("Korea DPR",S3207)),"North Korea",
ISNUMBER(SEARCH("China PR",S3207)),"China",
ISNUMBER(SEARCH("IR Iran",S3207)),"Iran",
ISNUMBER(SEARCH("Congo DR",S3207)),"Democratic Republic of the Congo",
ISNUMBER(SEARCH("DR Congo",S3207)),"Democratic Republic of the Congo",
ISNUMBER(SEARCH("German DR",S3207)),"DR Germany",
ISNUMBER(SEARCH("rn""&gt;United Arab Emirates",S3207)),"United Arab Emirates",
ISNUMBER(SEARCH("rn""&gt;Republic of Ireland",S3207)),"Ireland",
ISNUMBER(SEARCH("rn""&gt;Bosnia and Herzegovina",S3207)),"Bosnia and Herzegovina",
ISNUMBER(SEARCH("rn""&gt;Trinidad and Tobago",S3207)),"Trinidad and Tobago",
ISNUMBER(SEARCH("rn""&gt;Serbia and Montenegro",S3207)),"Serbia and Montenegro",
ISNUMBER(SEARCH(_xlfn.UNICHAR(65533),S3207)),"Côte d'Ivoire",
TRUE,""
)</f>
        <v/>
      </c>
      <c r="W3207" s="40" t="str">
        <f t="shared" si="225"/>
        <v>Russia</v>
      </c>
    </row>
    <row r="3208" spans="19:23">
      <c r="S3208" s="40" t="str">
        <v>Egypt</v>
      </c>
      <c r="T3208" s="40" t="str">
        <f t="shared" si="223"/>
        <v>OK</v>
      </c>
      <c r="U3208" s="40" t="str">
        <f t="shared" si="224"/>
        <v>-</v>
      </c>
      <c r="V3208" s="40" t="str" cm="1">
        <f t="array" ref="V3208">_xlfn.IFS(
ISNUMBER(SEARCH("USA",S3208)),"United States",
ISNUMBER(SEARCH("Republic of Ireland",S3208)),"Ireland",
ISNUMBER(SEARCH("Republic of Korea",S3208)),"South Korea",
ISNUMBER(SEARCH("Cape Verde",S3208)),"Cabo Verde",
ISNUMBER(SEARCH("Czechia",S3208)),"Czech Republic",
ISNUMBER(SEARCH("Türkiye",S3208)),"Turkey",
ISNUMBER(SEARCH("Ivory Coast",S3208)),"Côte d'Ivoire",
ISNUMBER(SEARCH("Korea Republic",S3208)),"South Korea",
ISNUMBER(SEARCH("Germany FR",S3208)),"FR Germany",
ISNUMBER(SEARCH("West Germany",S3208)),"FR Germany",
ISNUMBER(SEARCH("Germany DR",S3208)),"DR Germany",
ISNUMBER(SEARCH("Korea DPR",S3208)),"North Korea",
ISNUMBER(SEARCH("China PR",S3208)),"China",
ISNUMBER(SEARCH("IR Iran",S3208)),"Iran",
ISNUMBER(SEARCH("Congo DR",S3208)),"Democratic Republic of the Congo",
ISNUMBER(SEARCH("DR Congo",S3208)),"Democratic Republic of the Congo",
ISNUMBER(SEARCH("German DR",S3208)),"DR Germany",
ISNUMBER(SEARCH("rn""&gt;United Arab Emirates",S3208)),"United Arab Emirates",
ISNUMBER(SEARCH("rn""&gt;Republic of Ireland",S3208)),"Ireland",
ISNUMBER(SEARCH("rn""&gt;Bosnia and Herzegovina",S3208)),"Bosnia and Herzegovina",
ISNUMBER(SEARCH("rn""&gt;Trinidad and Tobago",S3208)),"Trinidad and Tobago",
ISNUMBER(SEARCH("rn""&gt;Serbia and Montenegro",S3208)),"Serbia and Montenegro",
ISNUMBER(SEARCH(_xlfn.UNICHAR(65533),S3208)),"Côte d'Ivoire",
TRUE,""
)</f>
        <v/>
      </c>
      <c r="W3208" s="40" t="str">
        <f t="shared" si="225"/>
        <v>Egypt</v>
      </c>
    </row>
    <row r="3209" spans="19:23">
      <c r="S3209" s="40" t="str">
        <v>Morocco</v>
      </c>
      <c r="T3209" s="40" t="str">
        <f t="shared" si="223"/>
        <v>OK</v>
      </c>
      <c r="U3209" s="40" t="str">
        <f t="shared" si="224"/>
        <v>-</v>
      </c>
      <c r="V3209" s="40" t="str" cm="1">
        <f t="array" ref="V3209">_xlfn.IFS(
ISNUMBER(SEARCH("USA",S3209)),"United States",
ISNUMBER(SEARCH("Republic of Ireland",S3209)),"Ireland",
ISNUMBER(SEARCH("Republic of Korea",S3209)),"South Korea",
ISNUMBER(SEARCH("Cape Verde",S3209)),"Cabo Verde",
ISNUMBER(SEARCH("Czechia",S3209)),"Czech Republic",
ISNUMBER(SEARCH("Türkiye",S3209)),"Turkey",
ISNUMBER(SEARCH("Ivory Coast",S3209)),"Côte d'Ivoire",
ISNUMBER(SEARCH("Korea Republic",S3209)),"South Korea",
ISNUMBER(SEARCH("Germany FR",S3209)),"FR Germany",
ISNUMBER(SEARCH("West Germany",S3209)),"FR Germany",
ISNUMBER(SEARCH("Germany DR",S3209)),"DR Germany",
ISNUMBER(SEARCH("Korea DPR",S3209)),"North Korea",
ISNUMBER(SEARCH("China PR",S3209)),"China",
ISNUMBER(SEARCH("IR Iran",S3209)),"Iran",
ISNUMBER(SEARCH("Congo DR",S3209)),"Democratic Republic of the Congo",
ISNUMBER(SEARCH("DR Congo",S3209)),"Democratic Republic of the Congo",
ISNUMBER(SEARCH("German DR",S3209)),"DR Germany",
ISNUMBER(SEARCH("rn""&gt;United Arab Emirates",S3209)),"United Arab Emirates",
ISNUMBER(SEARCH("rn""&gt;Republic of Ireland",S3209)),"Ireland",
ISNUMBER(SEARCH("rn""&gt;Bosnia and Herzegovina",S3209)),"Bosnia and Herzegovina",
ISNUMBER(SEARCH("rn""&gt;Trinidad and Tobago",S3209)),"Trinidad and Tobago",
ISNUMBER(SEARCH("rn""&gt;Serbia and Montenegro",S3209)),"Serbia and Montenegro",
ISNUMBER(SEARCH(_xlfn.UNICHAR(65533),S3209)),"Côte d'Ivoire",
TRUE,""
)</f>
        <v/>
      </c>
      <c r="W3209" s="40" t="str">
        <f t="shared" si="225"/>
        <v>Morocco</v>
      </c>
    </row>
    <row r="3210" spans="19:23">
      <c r="S3210" s="40" t="str">
        <v>Portugal</v>
      </c>
      <c r="T3210" s="40" t="str">
        <f t="shared" si="223"/>
        <v>OK</v>
      </c>
      <c r="U3210" s="40" t="str">
        <f t="shared" si="224"/>
        <v>-</v>
      </c>
      <c r="V3210" s="40" t="str" cm="1">
        <f t="array" ref="V3210">_xlfn.IFS(
ISNUMBER(SEARCH("USA",S3210)),"United States",
ISNUMBER(SEARCH("Republic of Ireland",S3210)),"Ireland",
ISNUMBER(SEARCH("Republic of Korea",S3210)),"South Korea",
ISNUMBER(SEARCH("Cape Verde",S3210)),"Cabo Verde",
ISNUMBER(SEARCH("Czechia",S3210)),"Czech Republic",
ISNUMBER(SEARCH("Türkiye",S3210)),"Turkey",
ISNUMBER(SEARCH("Ivory Coast",S3210)),"Côte d'Ivoire",
ISNUMBER(SEARCH("Korea Republic",S3210)),"South Korea",
ISNUMBER(SEARCH("Germany FR",S3210)),"FR Germany",
ISNUMBER(SEARCH("West Germany",S3210)),"FR Germany",
ISNUMBER(SEARCH("Germany DR",S3210)),"DR Germany",
ISNUMBER(SEARCH("Korea DPR",S3210)),"North Korea",
ISNUMBER(SEARCH("China PR",S3210)),"China",
ISNUMBER(SEARCH("IR Iran",S3210)),"Iran",
ISNUMBER(SEARCH("Congo DR",S3210)),"Democratic Republic of the Congo",
ISNUMBER(SEARCH("DR Congo",S3210)),"Democratic Republic of the Congo",
ISNUMBER(SEARCH("German DR",S3210)),"DR Germany",
ISNUMBER(SEARCH("rn""&gt;United Arab Emirates",S3210)),"United Arab Emirates",
ISNUMBER(SEARCH("rn""&gt;Republic of Ireland",S3210)),"Ireland",
ISNUMBER(SEARCH("rn""&gt;Bosnia and Herzegovina",S3210)),"Bosnia and Herzegovina",
ISNUMBER(SEARCH("rn""&gt;Trinidad and Tobago",S3210)),"Trinidad and Tobago",
ISNUMBER(SEARCH("rn""&gt;Serbia and Montenegro",S3210)),"Serbia and Montenegro",
ISNUMBER(SEARCH(_xlfn.UNICHAR(65533),S3210)),"Côte d'Ivoire",
TRUE,""
)</f>
        <v/>
      </c>
      <c r="W3210" s="40" t="str">
        <f t="shared" si="225"/>
        <v>Portugal</v>
      </c>
    </row>
    <row r="3211" spans="19:23">
      <c r="S3211" s="40" t="str">
        <v>France</v>
      </c>
      <c r="T3211" s="40" t="str">
        <f t="shared" si="223"/>
        <v>OK</v>
      </c>
      <c r="U3211" s="40" t="str">
        <f t="shared" si="224"/>
        <v>-</v>
      </c>
      <c r="V3211" s="40" t="str" cm="1">
        <f t="array" ref="V3211">_xlfn.IFS(
ISNUMBER(SEARCH("USA",S3211)),"United States",
ISNUMBER(SEARCH("Republic of Ireland",S3211)),"Ireland",
ISNUMBER(SEARCH("Republic of Korea",S3211)),"South Korea",
ISNUMBER(SEARCH("Cape Verde",S3211)),"Cabo Verde",
ISNUMBER(SEARCH("Czechia",S3211)),"Czech Republic",
ISNUMBER(SEARCH("Türkiye",S3211)),"Turkey",
ISNUMBER(SEARCH("Ivory Coast",S3211)),"Côte d'Ivoire",
ISNUMBER(SEARCH("Korea Republic",S3211)),"South Korea",
ISNUMBER(SEARCH("Germany FR",S3211)),"FR Germany",
ISNUMBER(SEARCH("West Germany",S3211)),"FR Germany",
ISNUMBER(SEARCH("Germany DR",S3211)),"DR Germany",
ISNUMBER(SEARCH("Korea DPR",S3211)),"North Korea",
ISNUMBER(SEARCH("China PR",S3211)),"China",
ISNUMBER(SEARCH("IR Iran",S3211)),"Iran",
ISNUMBER(SEARCH("Congo DR",S3211)),"Democratic Republic of the Congo",
ISNUMBER(SEARCH("DR Congo",S3211)),"Democratic Republic of the Congo",
ISNUMBER(SEARCH("German DR",S3211)),"DR Germany",
ISNUMBER(SEARCH("rn""&gt;United Arab Emirates",S3211)),"United Arab Emirates",
ISNUMBER(SEARCH("rn""&gt;Republic of Ireland",S3211)),"Ireland",
ISNUMBER(SEARCH("rn""&gt;Bosnia and Herzegovina",S3211)),"Bosnia and Herzegovina",
ISNUMBER(SEARCH("rn""&gt;Trinidad and Tobago",S3211)),"Trinidad and Tobago",
ISNUMBER(SEARCH("rn""&gt;Serbia and Montenegro",S3211)),"Serbia and Montenegro",
ISNUMBER(SEARCH(_xlfn.UNICHAR(65533),S3211)),"Côte d'Ivoire",
TRUE,""
)</f>
        <v/>
      </c>
      <c r="W3211" s="40" t="str">
        <f t="shared" si="225"/>
        <v>France</v>
      </c>
    </row>
    <row r="3212" spans="19:23">
      <c r="S3212" s="40" t="str">
        <v>Argentina</v>
      </c>
      <c r="T3212" s="40" t="str">
        <f t="shared" si="223"/>
        <v>OK</v>
      </c>
      <c r="U3212" s="40" t="str">
        <f t="shared" si="224"/>
        <v>-</v>
      </c>
      <c r="V3212" s="40" t="str" cm="1">
        <f t="array" ref="V3212">_xlfn.IFS(
ISNUMBER(SEARCH("USA",S3212)),"United States",
ISNUMBER(SEARCH("Republic of Ireland",S3212)),"Ireland",
ISNUMBER(SEARCH("Republic of Korea",S3212)),"South Korea",
ISNUMBER(SEARCH("Cape Verde",S3212)),"Cabo Verde",
ISNUMBER(SEARCH("Czechia",S3212)),"Czech Republic",
ISNUMBER(SEARCH("Türkiye",S3212)),"Turkey",
ISNUMBER(SEARCH("Ivory Coast",S3212)),"Côte d'Ivoire",
ISNUMBER(SEARCH("Korea Republic",S3212)),"South Korea",
ISNUMBER(SEARCH("Germany FR",S3212)),"FR Germany",
ISNUMBER(SEARCH("West Germany",S3212)),"FR Germany",
ISNUMBER(SEARCH("Germany DR",S3212)),"DR Germany",
ISNUMBER(SEARCH("Korea DPR",S3212)),"North Korea",
ISNUMBER(SEARCH("China PR",S3212)),"China",
ISNUMBER(SEARCH("IR Iran",S3212)),"Iran",
ISNUMBER(SEARCH("Congo DR",S3212)),"Democratic Republic of the Congo",
ISNUMBER(SEARCH("DR Congo",S3212)),"Democratic Republic of the Congo",
ISNUMBER(SEARCH("German DR",S3212)),"DR Germany",
ISNUMBER(SEARCH("rn""&gt;United Arab Emirates",S3212)),"United Arab Emirates",
ISNUMBER(SEARCH("rn""&gt;Republic of Ireland",S3212)),"Ireland",
ISNUMBER(SEARCH("rn""&gt;Bosnia and Herzegovina",S3212)),"Bosnia and Herzegovina",
ISNUMBER(SEARCH("rn""&gt;Trinidad and Tobago",S3212)),"Trinidad and Tobago",
ISNUMBER(SEARCH("rn""&gt;Serbia and Montenegro",S3212)),"Serbia and Montenegro",
ISNUMBER(SEARCH(_xlfn.UNICHAR(65533),S3212)),"Côte d'Ivoire",
TRUE,""
)</f>
        <v/>
      </c>
      <c r="W3212" s="40" t="str">
        <f t="shared" si="225"/>
        <v>Argentina</v>
      </c>
    </row>
    <row r="3213" spans="19:23">
      <c r="S3213" s="40" t="str">
        <v>Peru</v>
      </c>
      <c r="T3213" s="40" t="str">
        <f t="shared" si="223"/>
        <v>OK</v>
      </c>
      <c r="U3213" s="40" t="str">
        <f t="shared" si="224"/>
        <v>-</v>
      </c>
      <c r="V3213" s="40" t="str" cm="1">
        <f t="array" ref="V3213">_xlfn.IFS(
ISNUMBER(SEARCH("USA",S3213)),"United States",
ISNUMBER(SEARCH("Republic of Ireland",S3213)),"Ireland",
ISNUMBER(SEARCH("Republic of Korea",S3213)),"South Korea",
ISNUMBER(SEARCH("Cape Verde",S3213)),"Cabo Verde",
ISNUMBER(SEARCH("Czechia",S3213)),"Czech Republic",
ISNUMBER(SEARCH("Türkiye",S3213)),"Turkey",
ISNUMBER(SEARCH("Ivory Coast",S3213)),"Côte d'Ivoire",
ISNUMBER(SEARCH("Korea Republic",S3213)),"South Korea",
ISNUMBER(SEARCH("Germany FR",S3213)),"FR Germany",
ISNUMBER(SEARCH("West Germany",S3213)),"FR Germany",
ISNUMBER(SEARCH("Germany DR",S3213)),"DR Germany",
ISNUMBER(SEARCH("Korea DPR",S3213)),"North Korea",
ISNUMBER(SEARCH("China PR",S3213)),"China",
ISNUMBER(SEARCH("IR Iran",S3213)),"Iran",
ISNUMBER(SEARCH("Congo DR",S3213)),"Democratic Republic of the Congo",
ISNUMBER(SEARCH("DR Congo",S3213)),"Democratic Republic of the Congo",
ISNUMBER(SEARCH("German DR",S3213)),"DR Germany",
ISNUMBER(SEARCH("rn""&gt;United Arab Emirates",S3213)),"United Arab Emirates",
ISNUMBER(SEARCH("rn""&gt;Republic of Ireland",S3213)),"Ireland",
ISNUMBER(SEARCH("rn""&gt;Bosnia and Herzegovina",S3213)),"Bosnia and Herzegovina",
ISNUMBER(SEARCH("rn""&gt;Trinidad and Tobago",S3213)),"Trinidad and Tobago",
ISNUMBER(SEARCH("rn""&gt;Serbia and Montenegro",S3213)),"Serbia and Montenegro",
ISNUMBER(SEARCH(_xlfn.UNICHAR(65533),S3213)),"Côte d'Ivoire",
TRUE,""
)</f>
        <v/>
      </c>
      <c r="W3213" s="40" t="str">
        <f t="shared" si="225"/>
        <v>Peru</v>
      </c>
    </row>
    <row r="3214" spans="19:23">
      <c r="S3214" s="40" t="str">
        <v>Croatia</v>
      </c>
      <c r="T3214" s="40" t="str">
        <f t="shared" si="223"/>
        <v>OK</v>
      </c>
      <c r="U3214" s="40" t="str">
        <f t="shared" si="224"/>
        <v>-</v>
      </c>
      <c r="V3214" s="40" t="str" cm="1">
        <f t="array" ref="V3214">_xlfn.IFS(
ISNUMBER(SEARCH("USA",S3214)),"United States",
ISNUMBER(SEARCH("Republic of Ireland",S3214)),"Ireland",
ISNUMBER(SEARCH("Republic of Korea",S3214)),"South Korea",
ISNUMBER(SEARCH("Cape Verde",S3214)),"Cabo Verde",
ISNUMBER(SEARCH("Czechia",S3214)),"Czech Republic",
ISNUMBER(SEARCH("Türkiye",S3214)),"Turkey",
ISNUMBER(SEARCH("Ivory Coast",S3214)),"Côte d'Ivoire",
ISNUMBER(SEARCH("Korea Republic",S3214)),"South Korea",
ISNUMBER(SEARCH("Germany FR",S3214)),"FR Germany",
ISNUMBER(SEARCH("West Germany",S3214)),"FR Germany",
ISNUMBER(SEARCH("Germany DR",S3214)),"DR Germany",
ISNUMBER(SEARCH("Korea DPR",S3214)),"North Korea",
ISNUMBER(SEARCH("China PR",S3214)),"China",
ISNUMBER(SEARCH("IR Iran",S3214)),"Iran",
ISNUMBER(SEARCH("Congo DR",S3214)),"Democratic Republic of the Congo",
ISNUMBER(SEARCH("DR Congo",S3214)),"Democratic Republic of the Congo",
ISNUMBER(SEARCH("German DR",S3214)),"DR Germany",
ISNUMBER(SEARCH("rn""&gt;United Arab Emirates",S3214)),"United Arab Emirates",
ISNUMBER(SEARCH("rn""&gt;Republic of Ireland",S3214)),"Ireland",
ISNUMBER(SEARCH("rn""&gt;Bosnia and Herzegovina",S3214)),"Bosnia and Herzegovina",
ISNUMBER(SEARCH("rn""&gt;Trinidad and Tobago",S3214)),"Trinidad and Tobago",
ISNUMBER(SEARCH("rn""&gt;Serbia and Montenegro",S3214)),"Serbia and Montenegro",
ISNUMBER(SEARCH(_xlfn.UNICHAR(65533),S3214)),"Côte d'Ivoire",
TRUE,""
)</f>
        <v/>
      </c>
      <c r="W3214" s="40" t="str">
        <f t="shared" si="225"/>
        <v>Croatia</v>
      </c>
    </row>
    <row r="3215" spans="19:23">
      <c r="S3215" s="40" t="str">
        <v>Costa Rica</v>
      </c>
      <c r="T3215" s="40" t="str">
        <f t="shared" si="223"/>
        <v>OK</v>
      </c>
      <c r="U3215" s="40" t="str">
        <f t="shared" si="224"/>
        <v>-</v>
      </c>
      <c r="V3215" s="40" t="str" cm="1">
        <f t="array" ref="V3215">_xlfn.IFS(
ISNUMBER(SEARCH("USA",S3215)),"United States",
ISNUMBER(SEARCH("Republic of Ireland",S3215)),"Ireland",
ISNUMBER(SEARCH("Republic of Korea",S3215)),"South Korea",
ISNUMBER(SEARCH("Cape Verde",S3215)),"Cabo Verde",
ISNUMBER(SEARCH("Czechia",S3215)),"Czech Republic",
ISNUMBER(SEARCH("Türkiye",S3215)),"Turkey",
ISNUMBER(SEARCH("Ivory Coast",S3215)),"Côte d'Ivoire",
ISNUMBER(SEARCH("Korea Republic",S3215)),"South Korea",
ISNUMBER(SEARCH("Germany FR",S3215)),"FR Germany",
ISNUMBER(SEARCH("West Germany",S3215)),"FR Germany",
ISNUMBER(SEARCH("Germany DR",S3215)),"DR Germany",
ISNUMBER(SEARCH("Korea DPR",S3215)),"North Korea",
ISNUMBER(SEARCH("China PR",S3215)),"China",
ISNUMBER(SEARCH("IR Iran",S3215)),"Iran",
ISNUMBER(SEARCH("Congo DR",S3215)),"Democratic Republic of the Congo",
ISNUMBER(SEARCH("DR Congo",S3215)),"Democratic Republic of the Congo",
ISNUMBER(SEARCH("German DR",S3215)),"DR Germany",
ISNUMBER(SEARCH("rn""&gt;United Arab Emirates",S3215)),"United Arab Emirates",
ISNUMBER(SEARCH("rn""&gt;Republic of Ireland",S3215)),"Ireland",
ISNUMBER(SEARCH("rn""&gt;Bosnia and Herzegovina",S3215)),"Bosnia and Herzegovina",
ISNUMBER(SEARCH("rn""&gt;Trinidad and Tobago",S3215)),"Trinidad and Tobago",
ISNUMBER(SEARCH("rn""&gt;Serbia and Montenegro",S3215)),"Serbia and Montenegro",
ISNUMBER(SEARCH(_xlfn.UNICHAR(65533),S3215)),"Côte d'Ivoire",
TRUE,""
)</f>
        <v/>
      </c>
      <c r="W3215" s="40" t="str">
        <f t="shared" si="225"/>
        <v>Costa Rica</v>
      </c>
    </row>
    <row r="3216" spans="19:23">
      <c r="S3216" s="40" t="str">
        <v>Germany</v>
      </c>
      <c r="T3216" s="40" t="str">
        <f t="shared" si="223"/>
        <v>OK</v>
      </c>
      <c r="U3216" s="40" t="str">
        <f t="shared" si="224"/>
        <v>-</v>
      </c>
      <c r="V3216" s="40" t="str" cm="1">
        <f t="array" ref="V3216">_xlfn.IFS(
ISNUMBER(SEARCH("USA",S3216)),"United States",
ISNUMBER(SEARCH("Republic of Ireland",S3216)),"Ireland",
ISNUMBER(SEARCH("Republic of Korea",S3216)),"South Korea",
ISNUMBER(SEARCH("Cape Verde",S3216)),"Cabo Verde",
ISNUMBER(SEARCH("Czechia",S3216)),"Czech Republic",
ISNUMBER(SEARCH("Türkiye",S3216)),"Turkey",
ISNUMBER(SEARCH("Ivory Coast",S3216)),"Côte d'Ivoire",
ISNUMBER(SEARCH("Korea Republic",S3216)),"South Korea",
ISNUMBER(SEARCH("Germany FR",S3216)),"FR Germany",
ISNUMBER(SEARCH("West Germany",S3216)),"FR Germany",
ISNUMBER(SEARCH("Germany DR",S3216)),"DR Germany",
ISNUMBER(SEARCH("Korea DPR",S3216)),"North Korea",
ISNUMBER(SEARCH("China PR",S3216)),"China",
ISNUMBER(SEARCH("IR Iran",S3216)),"Iran",
ISNUMBER(SEARCH("Congo DR",S3216)),"Democratic Republic of the Congo",
ISNUMBER(SEARCH("DR Congo",S3216)),"Democratic Republic of the Congo",
ISNUMBER(SEARCH("German DR",S3216)),"DR Germany",
ISNUMBER(SEARCH("rn""&gt;United Arab Emirates",S3216)),"United Arab Emirates",
ISNUMBER(SEARCH("rn""&gt;Republic of Ireland",S3216)),"Ireland",
ISNUMBER(SEARCH("rn""&gt;Bosnia and Herzegovina",S3216)),"Bosnia and Herzegovina",
ISNUMBER(SEARCH("rn""&gt;Trinidad and Tobago",S3216)),"Trinidad and Tobago",
ISNUMBER(SEARCH("rn""&gt;Serbia and Montenegro",S3216)),"Serbia and Montenegro",
ISNUMBER(SEARCH(_xlfn.UNICHAR(65533),S3216)),"Côte d'Ivoire",
TRUE,""
)</f>
        <v/>
      </c>
      <c r="W3216" s="40" t="str">
        <f t="shared" si="225"/>
        <v>Germany</v>
      </c>
    </row>
    <row r="3217" spans="19:23">
      <c r="S3217" s="40" t="str">
        <v>Brazil</v>
      </c>
      <c r="T3217" s="40" t="str">
        <f t="shared" si="223"/>
        <v>OK</v>
      </c>
      <c r="U3217" s="40" t="str">
        <f t="shared" si="224"/>
        <v>-</v>
      </c>
      <c r="V3217" s="40" t="str" cm="1">
        <f t="array" ref="V3217">_xlfn.IFS(
ISNUMBER(SEARCH("USA",S3217)),"United States",
ISNUMBER(SEARCH("Republic of Ireland",S3217)),"Ireland",
ISNUMBER(SEARCH("Republic of Korea",S3217)),"South Korea",
ISNUMBER(SEARCH("Cape Verde",S3217)),"Cabo Verde",
ISNUMBER(SEARCH("Czechia",S3217)),"Czech Republic",
ISNUMBER(SEARCH("Türkiye",S3217)),"Turkey",
ISNUMBER(SEARCH("Ivory Coast",S3217)),"Côte d'Ivoire",
ISNUMBER(SEARCH("Korea Republic",S3217)),"South Korea",
ISNUMBER(SEARCH("Germany FR",S3217)),"FR Germany",
ISNUMBER(SEARCH("West Germany",S3217)),"FR Germany",
ISNUMBER(SEARCH("Germany DR",S3217)),"DR Germany",
ISNUMBER(SEARCH("Korea DPR",S3217)),"North Korea",
ISNUMBER(SEARCH("China PR",S3217)),"China",
ISNUMBER(SEARCH("IR Iran",S3217)),"Iran",
ISNUMBER(SEARCH("Congo DR",S3217)),"Democratic Republic of the Congo",
ISNUMBER(SEARCH("DR Congo",S3217)),"Democratic Republic of the Congo",
ISNUMBER(SEARCH("German DR",S3217)),"DR Germany",
ISNUMBER(SEARCH("rn""&gt;United Arab Emirates",S3217)),"United Arab Emirates",
ISNUMBER(SEARCH("rn""&gt;Republic of Ireland",S3217)),"Ireland",
ISNUMBER(SEARCH("rn""&gt;Bosnia and Herzegovina",S3217)),"Bosnia and Herzegovina",
ISNUMBER(SEARCH("rn""&gt;Trinidad and Tobago",S3217)),"Trinidad and Tobago",
ISNUMBER(SEARCH("rn""&gt;Serbia and Montenegro",S3217)),"Serbia and Montenegro",
ISNUMBER(SEARCH(_xlfn.UNICHAR(65533),S3217)),"Côte d'Ivoire",
TRUE,""
)</f>
        <v/>
      </c>
      <c r="W3217" s="40" t="str">
        <f t="shared" si="225"/>
        <v>Brazil</v>
      </c>
    </row>
    <row r="3218" spans="19:23">
      <c r="S3218" s="40" t="str">
        <v>Sweden</v>
      </c>
      <c r="T3218" s="40" t="str">
        <f t="shared" si="223"/>
        <v>OK</v>
      </c>
      <c r="U3218" s="40" t="str">
        <f t="shared" si="224"/>
        <v>-</v>
      </c>
      <c r="V3218" s="40" t="str" cm="1">
        <f t="array" ref="V3218">_xlfn.IFS(
ISNUMBER(SEARCH("USA",S3218)),"United States",
ISNUMBER(SEARCH("Republic of Ireland",S3218)),"Ireland",
ISNUMBER(SEARCH("Republic of Korea",S3218)),"South Korea",
ISNUMBER(SEARCH("Cape Verde",S3218)),"Cabo Verde",
ISNUMBER(SEARCH("Czechia",S3218)),"Czech Republic",
ISNUMBER(SEARCH("Türkiye",S3218)),"Turkey",
ISNUMBER(SEARCH("Ivory Coast",S3218)),"Côte d'Ivoire",
ISNUMBER(SEARCH("Korea Republic",S3218)),"South Korea",
ISNUMBER(SEARCH("Germany FR",S3218)),"FR Germany",
ISNUMBER(SEARCH("West Germany",S3218)),"FR Germany",
ISNUMBER(SEARCH("Germany DR",S3218)),"DR Germany",
ISNUMBER(SEARCH("Korea DPR",S3218)),"North Korea",
ISNUMBER(SEARCH("China PR",S3218)),"China",
ISNUMBER(SEARCH("IR Iran",S3218)),"Iran",
ISNUMBER(SEARCH("Congo DR",S3218)),"Democratic Republic of the Congo",
ISNUMBER(SEARCH("DR Congo",S3218)),"Democratic Republic of the Congo",
ISNUMBER(SEARCH("German DR",S3218)),"DR Germany",
ISNUMBER(SEARCH("rn""&gt;United Arab Emirates",S3218)),"United Arab Emirates",
ISNUMBER(SEARCH("rn""&gt;Republic of Ireland",S3218)),"Ireland",
ISNUMBER(SEARCH("rn""&gt;Bosnia and Herzegovina",S3218)),"Bosnia and Herzegovina",
ISNUMBER(SEARCH("rn""&gt;Trinidad and Tobago",S3218)),"Trinidad and Tobago",
ISNUMBER(SEARCH("rn""&gt;Serbia and Montenegro",S3218)),"Serbia and Montenegro",
ISNUMBER(SEARCH(_xlfn.UNICHAR(65533),S3218)),"Côte d'Ivoire",
TRUE,""
)</f>
        <v/>
      </c>
      <c r="W3218" s="40" t="str">
        <f t="shared" si="225"/>
        <v>Sweden</v>
      </c>
    </row>
    <row r="3219" spans="19:23">
      <c r="S3219" s="40" t="str">
        <v>Belgium</v>
      </c>
      <c r="T3219" s="40" t="str">
        <f t="shared" si="223"/>
        <v>OK</v>
      </c>
      <c r="U3219" s="40" t="str">
        <f t="shared" si="224"/>
        <v>-</v>
      </c>
      <c r="V3219" s="40" t="str" cm="1">
        <f t="array" ref="V3219">_xlfn.IFS(
ISNUMBER(SEARCH("USA",S3219)),"United States",
ISNUMBER(SEARCH("Republic of Ireland",S3219)),"Ireland",
ISNUMBER(SEARCH("Republic of Korea",S3219)),"South Korea",
ISNUMBER(SEARCH("Cape Verde",S3219)),"Cabo Verde",
ISNUMBER(SEARCH("Czechia",S3219)),"Czech Republic",
ISNUMBER(SEARCH("Türkiye",S3219)),"Turkey",
ISNUMBER(SEARCH("Ivory Coast",S3219)),"Côte d'Ivoire",
ISNUMBER(SEARCH("Korea Republic",S3219)),"South Korea",
ISNUMBER(SEARCH("Germany FR",S3219)),"FR Germany",
ISNUMBER(SEARCH("West Germany",S3219)),"FR Germany",
ISNUMBER(SEARCH("Germany DR",S3219)),"DR Germany",
ISNUMBER(SEARCH("Korea DPR",S3219)),"North Korea",
ISNUMBER(SEARCH("China PR",S3219)),"China",
ISNUMBER(SEARCH("IR Iran",S3219)),"Iran",
ISNUMBER(SEARCH("Congo DR",S3219)),"Democratic Republic of the Congo",
ISNUMBER(SEARCH("DR Congo",S3219)),"Democratic Republic of the Congo",
ISNUMBER(SEARCH("German DR",S3219)),"DR Germany",
ISNUMBER(SEARCH("rn""&gt;United Arab Emirates",S3219)),"United Arab Emirates",
ISNUMBER(SEARCH("rn""&gt;Republic of Ireland",S3219)),"Ireland",
ISNUMBER(SEARCH("rn""&gt;Bosnia and Herzegovina",S3219)),"Bosnia and Herzegovina",
ISNUMBER(SEARCH("rn""&gt;Trinidad and Tobago",S3219)),"Trinidad and Tobago",
ISNUMBER(SEARCH("rn""&gt;Serbia and Montenegro",S3219)),"Serbia and Montenegro",
ISNUMBER(SEARCH(_xlfn.UNICHAR(65533),S3219)),"Côte d'Ivoire",
TRUE,""
)</f>
        <v/>
      </c>
      <c r="W3219" s="40" t="str">
        <f t="shared" si="225"/>
        <v>Belgium</v>
      </c>
    </row>
    <row r="3220" spans="19:23">
      <c r="S3220" s="40" t="str">
        <v>Tunisia</v>
      </c>
      <c r="T3220" s="40" t="str">
        <f t="shared" si="223"/>
        <v>OK</v>
      </c>
      <c r="U3220" s="40" t="str">
        <f t="shared" si="224"/>
        <v>-</v>
      </c>
      <c r="V3220" s="40" t="str" cm="1">
        <f t="array" ref="V3220">_xlfn.IFS(
ISNUMBER(SEARCH("USA",S3220)),"United States",
ISNUMBER(SEARCH("Republic of Ireland",S3220)),"Ireland",
ISNUMBER(SEARCH("Republic of Korea",S3220)),"South Korea",
ISNUMBER(SEARCH("Cape Verde",S3220)),"Cabo Verde",
ISNUMBER(SEARCH("Czechia",S3220)),"Czech Republic",
ISNUMBER(SEARCH("Türkiye",S3220)),"Turkey",
ISNUMBER(SEARCH("Ivory Coast",S3220)),"Côte d'Ivoire",
ISNUMBER(SEARCH("Korea Republic",S3220)),"South Korea",
ISNUMBER(SEARCH("Germany FR",S3220)),"FR Germany",
ISNUMBER(SEARCH("West Germany",S3220)),"FR Germany",
ISNUMBER(SEARCH("Germany DR",S3220)),"DR Germany",
ISNUMBER(SEARCH("Korea DPR",S3220)),"North Korea",
ISNUMBER(SEARCH("China PR",S3220)),"China",
ISNUMBER(SEARCH("IR Iran",S3220)),"Iran",
ISNUMBER(SEARCH("Congo DR",S3220)),"Democratic Republic of the Congo",
ISNUMBER(SEARCH("DR Congo",S3220)),"Democratic Republic of the Congo",
ISNUMBER(SEARCH("German DR",S3220)),"DR Germany",
ISNUMBER(SEARCH("rn""&gt;United Arab Emirates",S3220)),"United Arab Emirates",
ISNUMBER(SEARCH("rn""&gt;Republic of Ireland",S3220)),"Ireland",
ISNUMBER(SEARCH("rn""&gt;Bosnia and Herzegovina",S3220)),"Bosnia and Herzegovina",
ISNUMBER(SEARCH("rn""&gt;Trinidad and Tobago",S3220)),"Trinidad and Tobago",
ISNUMBER(SEARCH("rn""&gt;Serbia and Montenegro",S3220)),"Serbia and Montenegro",
ISNUMBER(SEARCH(_xlfn.UNICHAR(65533),S3220)),"Côte d'Ivoire",
TRUE,""
)</f>
        <v/>
      </c>
      <c r="W3220" s="40" t="str">
        <f t="shared" si="225"/>
        <v>Tunisia</v>
      </c>
    </row>
    <row r="3221" spans="19:23">
      <c r="S3221" s="40" t="str">
        <v>Colombia</v>
      </c>
      <c r="T3221" s="40" t="str">
        <f t="shared" si="223"/>
        <v>OK</v>
      </c>
      <c r="U3221" s="40" t="str">
        <f t="shared" si="224"/>
        <v>-</v>
      </c>
      <c r="V3221" s="40" t="str" cm="1">
        <f t="array" ref="V3221">_xlfn.IFS(
ISNUMBER(SEARCH("USA",S3221)),"United States",
ISNUMBER(SEARCH("Republic of Ireland",S3221)),"Ireland",
ISNUMBER(SEARCH("Republic of Korea",S3221)),"South Korea",
ISNUMBER(SEARCH("Cape Verde",S3221)),"Cabo Verde",
ISNUMBER(SEARCH("Czechia",S3221)),"Czech Republic",
ISNUMBER(SEARCH("Türkiye",S3221)),"Turkey",
ISNUMBER(SEARCH("Ivory Coast",S3221)),"Côte d'Ivoire",
ISNUMBER(SEARCH("Korea Republic",S3221)),"South Korea",
ISNUMBER(SEARCH("Germany FR",S3221)),"FR Germany",
ISNUMBER(SEARCH("West Germany",S3221)),"FR Germany",
ISNUMBER(SEARCH("Germany DR",S3221)),"DR Germany",
ISNUMBER(SEARCH("Korea DPR",S3221)),"North Korea",
ISNUMBER(SEARCH("China PR",S3221)),"China",
ISNUMBER(SEARCH("IR Iran",S3221)),"Iran",
ISNUMBER(SEARCH("Congo DR",S3221)),"Democratic Republic of the Congo",
ISNUMBER(SEARCH("DR Congo",S3221)),"Democratic Republic of the Congo",
ISNUMBER(SEARCH("German DR",S3221)),"DR Germany",
ISNUMBER(SEARCH("rn""&gt;United Arab Emirates",S3221)),"United Arab Emirates",
ISNUMBER(SEARCH("rn""&gt;Republic of Ireland",S3221)),"Ireland",
ISNUMBER(SEARCH("rn""&gt;Bosnia and Herzegovina",S3221)),"Bosnia and Herzegovina",
ISNUMBER(SEARCH("rn""&gt;Trinidad and Tobago",S3221)),"Trinidad and Tobago",
ISNUMBER(SEARCH("rn""&gt;Serbia and Montenegro",S3221)),"Serbia and Montenegro",
ISNUMBER(SEARCH(_xlfn.UNICHAR(65533),S3221)),"Côte d'Ivoire",
TRUE,""
)</f>
        <v/>
      </c>
      <c r="W3221" s="40" t="str">
        <f t="shared" si="225"/>
        <v>Colombia</v>
      </c>
    </row>
    <row r="3222" spans="19:23">
      <c r="S3222" s="40" t="str">
        <v>Poland</v>
      </c>
      <c r="T3222" s="40" t="str">
        <f t="shared" si="223"/>
        <v>OK</v>
      </c>
      <c r="U3222" s="40" t="str">
        <f t="shared" si="224"/>
        <v>-</v>
      </c>
      <c r="V3222" s="40" t="str" cm="1">
        <f t="array" ref="V3222">_xlfn.IFS(
ISNUMBER(SEARCH("USA",S3222)),"United States",
ISNUMBER(SEARCH("Republic of Ireland",S3222)),"Ireland",
ISNUMBER(SEARCH("Republic of Korea",S3222)),"South Korea",
ISNUMBER(SEARCH("Cape Verde",S3222)),"Cabo Verde",
ISNUMBER(SEARCH("Czechia",S3222)),"Czech Republic",
ISNUMBER(SEARCH("Türkiye",S3222)),"Turkey",
ISNUMBER(SEARCH("Ivory Coast",S3222)),"Côte d'Ivoire",
ISNUMBER(SEARCH("Korea Republic",S3222)),"South Korea",
ISNUMBER(SEARCH("Germany FR",S3222)),"FR Germany",
ISNUMBER(SEARCH("West Germany",S3222)),"FR Germany",
ISNUMBER(SEARCH("Germany DR",S3222)),"DR Germany",
ISNUMBER(SEARCH("Korea DPR",S3222)),"North Korea",
ISNUMBER(SEARCH("China PR",S3222)),"China",
ISNUMBER(SEARCH("IR Iran",S3222)),"Iran",
ISNUMBER(SEARCH("Congo DR",S3222)),"Democratic Republic of the Congo",
ISNUMBER(SEARCH("DR Congo",S3222)),"Democratic Republic of the Congo",
ISNUMBER(SEARCH("German DR",S3222)),"DR Germany",
ISNUMBER(SEARCH("rn""&gt;United Arab Emirates",S3222)),"United Arab Emirates",
ISNUMBER(SEARCH("rn""&gt;Republic of Ireland",S3222)),"Ireland",
ISNUMBER(SEARCH("rn""&gt;Bosnia and Herzegovina",S3222)),"Bosnia and Herzegovina",
ISNUMBER(SEARCH("rn""&gt;Trinidad and Tobago",S3222)),"Trinidad and Tobago",
ISNUMBER(SEARCH("rn""&gt;Serbia and Montenegro",S3222)),"Serbia and Montenegro",
ISNUMBER(SEARCH(_xlfn.UNICHAR(65533),S3222)),"Côte d'Ivoire",
TRUE,""
)</f>
        <v/>
      </c>
      <c r="W3222" s="40" t="str">
        <f t="shared" si="225"/>
        <v>Poland</v>
      </c>
    </row>
    <row r="3223" spans="19:23">
      <c r="S3223" s="40" t="str">
        <v>Russia</v>
      </c>
      <c r="T3223" s="40" t="str">
        <f t="shared" si="223"/>
        <v>OK</v>
      </c>
      <c r="U3223" s="40" t="str">
        <f t="shared" si="224"/>
        <v>-</v>
      </c>
      <c r="V3223" s="40" t="str" cm="1">
        <f t="array" ref="V3223">_xlfn.IFS(
ISNUMBER(SEARCH("USA",S3223)),"United States",
ISNUMBER(SEARCH("Republic of Ireland",S3223)),"Ireland",
ISNUMBER(SEARCH("Republic of Korea",S3223)),"South Korea",
ISNUMBER(SEARCH("Cape Verde",S3223)),"Cabo Verde",
ISNUMBER(SEARCH("Czechia",S3223)),"Czech Republic",
ISNUMBER(SEARCH("Türkiye",S3223)),"Turkey",
ISNUMBER(SEARCH("Ivory Coast",S3223)),"Côte d'Ivoire",
ISNUMBER(SEARCH("Korea Republic",S3223)),"South Korea",
ISNUMBER(SEARCH("Germany FR",S3223)),"FR Germany",
ISNUMBER(SEARCH("West Germany",S3223)),"FR Germany",
ISNUMBER(SEARCH("Germany DR",S3223)),"DR Germany",
ISNUMBER(SEARCH("Korea DPR",S3223)),"North Korea",
ISNUMBER(SEARCH("China PR",S3223)),"China",
ISNUMBER(SEARCH("IR Iran",S3223)),"Iran",
ISNUMBER(SEARCH("Congo DR",S3223)),"Democratic Republic of the Congo",
ISNUMBER(SEARCH("DR Congo",S3223)),"Democratic Republic of the Congo",
ISNUMBER(SEARCH("German DR",S3223)),"DR Germany",
ISNUMBER(SEARCH("rn""&gt;United Arab Emirates",S3223)),"United Arab Emirates",
ISNUMBER(SEARCH("rn""&gt;Republic of Ireland",S3223)),"Ireland",
ISNUMBER(SEARCH("rn""&gt;Bosnia and Herzegovina",S3223)),"Bosnia and Herzegovina",
ISNUMBER(SEARCH("rn""&gt;Trinidad and Tobago",S3223)),"Trinidad and Tobago",
ISNUMBER(SEARCH("rn""&gt;Serbia and Montenegro",S3223)),"Serbia and Montenegro",
ISNUMBER(SEARCH(_xlfn.UNICHAR(65533),S3223)),"Côte d'Ivoire",
TRUE,""
)</f>
        <v/>
      </c>
      <c r="W3223" s="40" t="str">
        <f t="shared" si="225"/>
        <v>Russia</v>
      </c>
    </row>
    <row r="3224" spans="19:23">
      <c r="S3224" s="40" t="str">
        <v>Portugal</v>
      </c>
      <c r="T3224" s="40" t="str">
        <f t="shared" si="223"/>
        <v>OK</v>
      </c>
      <c r="U3224" s="40" t="str">
        <f t="shared" si="224"/>
        <v>-</v>
      </c>
      <c r="V3224" s="40" t="str" cm="1">
        <f t="array" ref="V3224">_xlfn.IFS(
ISNUMBER(SEARCH("USA",S3224)),"United States",
ISNUMBER(SEARCH("Republic of Ireland",S3224)),"Ireland",
ISNUMBER(SEARCH("Republic of Korea",S3224)),"South Korea",
ISNUMBER(SEARCH("Cape Verde",S3224)),"Cabo Verde",
ISNUMBER(SEARCH("Czechia",S3224)),"Czech Republic",
ISNUMBER(SEARCH("Türkiye",S3224)),"Turkey",
ISNUMBER(SEARCH("Ivory Coast",S3224)),"Côte d'Ivoire",
ISNUMBER(SEARCH("Korea Republic",S3224)),"South Korea",
ISNUMBER(SEARCH("Germany FR",S3224)),"FR Germany",
ISNUMBER(SEARCH("West Germany",S3224)),"FR Germany",
ISNUMBER(SEARCH("Germany DR",S3224)),"DR Germany",
ISNUMBER(SEARCH("Korea DPR",S3224)),"North Korea",
ISNUMBER(SEARCH("China PR",S3224)),"China",
ISNUMBER(SEARCH("IR Iran",S3224)),"Iran",
ISNUMBER(SEARCH("Congo DR",S3224)),"Democratic Republic of the Congo",
ISNUMBER(SEARCH("DR Congo",S3224)),"Democratic Republic of the Congo",
ISNUMBER(SEARCH("German DR",S3224)),"DR Germany",
ISNUMBER(SEARCH("rn""&gt;United Arab Emirates",S3224)),"United Arab Emirates",
ISNUMBER(SEARCH("rn""&gt;Republic of Ireland",S3224)),"Ireland",
ISNUMBER(SEARCH("rn""&gt;Bosnia and Herzegovina",S3224)),"Bosnia and Herzegovina",
ISNUMBER(SEARCH("rn""&gt;Trinidad and Tobago",S3224)),"Trinidad and Tobago",
ISNUMBER(SEARCH("rn""&gt;Serbia and Montenegro",S3224)),"Serbia and Montenegro",
ISNUMBER(SEARCH(_xlfn.UNICHAR(65533),S3224)),"Côte d'Ivoire",
TRUE,""
)</f>
        <v/>
      </c>
      <c r="W3224" s="40" t="str">
        <f t="shared" si="225"/>
        <v>Portugal</v>
      </c>
    </row>
    <row r="3225" spans="19:23">
      <c r="S3225" s="40" t="str">
        <v>Uruguay</v>
      </c>
      <c r="T3225" s="40" t="str">
        <f t="shared" si="223"/>
        <v>OK</v>
      </c>
      <c r="U3225" s="40" t="str">
        <f t="shared" si="224"/>
        <v>-</v>
      </c>
      <c r="V3225" s="40" t="str" cm="1">
        <f t="array" ref="V3225">_xlfn.IFS(
ISNUMBER(SEARCH("USA",S3225)),"United States",
ISNUMBER(SEARCH("Republic of Ireland",S3225)),"Ireland",
ISNUMBER(SEARCH("Republic of Korea",S3225)),"South Korea",
ISNUMBER(SEARCH("Cape Verde",S3225)),"Cabo Verde",
ISNUMBER(SEARCH("Czechia",S3225)),"Czech Republic",
ISNUMBER(SEARCH("Türkiye",S3225)),"Turkey",
ISNUMBER(SEARCH("Ivory Coast",S3225)),"Côte d'Ivoire",
ISNUMBER(SEARCH("Korea Republic",S3225)),"South Korea",
ISNUMBER(SEARCH("Germany FR",S3225)),"FR Germany",
ISNUMBER(SEARCH("West Germany",S3225)),"FR Germany",
ISNUMBER(SEARCH("Germany DR",S3225)),"DR Germany",
ISNUMBER(SEARCH("Korea DPR",S3225)),"North Korea",
ISNUMBER(SEARCH("China PR",S3225)),"China",
ISNUMBER(SEARCH("IR Iran",S3225)),"Iran",
ISNUMBER(SEARCH("Congo DR",S3225)),"Democratic Republic of the Congo",
ISNUMBER(SEARCH("DR Congo",S3225)),"Democratic Republic of the Congo",
ISNUMBER(SEARCH("German DR",S3225)),"DR Germany",
ISNUMBER(SEARCH("rn""&gt;United Arab Emirates",S3225)),"United Arab Emirates",
ISNUMBER(SEARCH("rn""&gt;Republic of Ireland",S3225)),"Ireland",
ISNUMBER(SEARCH("rn""&gt;Bosnia and Herzegovina",S3225)),"Bosnia and Herzegovina",
ISNUMBER(SEARCH("rn""&gt;Trinidad and Tobago",S3225)),"Trinidad and Tobago",
ISNUMBER(SEARCH("rn""&gt;Serbia and Montenegro",S3225)),"Serbia and Montenegro",
ISNUMBER(SEARCH(_xlfn.UNICHAR(65533),S3225)),"Côte d'Ivoire",
TRUE,""
)</f>
        <v/>
      </c>
      <c r="W3225" s="40" t="str">
        <f t="shared" si="225"/>
        <v>Uruguay</v>
      </c>
    </row>
    <row r="3226" spans="19:23">
      <c r="S3226" s="40" t="str">
        <v>Iran</v>
      </c>
      <c r="T3226" s="40" t="str">
        <f t="shared" si="223"/>
        <v>OK</v>
      </c>
      <c r="U3226" s="40" t="str">
        <f t="shared" si="224"/>
        <v>-</v>
      </c>
      <c r="V3226" s="40" t="str" cm="1">
        <f t="array" ref="V3226">_xlfn.IFS(
ISNUMBER(SEARCH("USA",S3226)),"United States",
ISNUMBER(SEARCH("Republic of Ireland",S3226)),"Ireland",
ISNUMBER(SEARCH("Republic of Korea",S3226)),"South Korea",
ISNUMBER(SEARCH("Cape Verde",S3226)),"Cabo Verde",
ISNUMBER(SEARCH("Czechia",S3226)),"Czech Republic",
ISNUMBER(SEARCH("Türkiye",S3226)),"Turkey",
ISNUMBER(SEARCH("Ivory Coast",S3226)),"Côte d'Ivoire",
ISNUMBER(SEARCH("Korea Republic",S3226)),"South Korea",
ISNUMBER(SEARCH("Germany FR",S3226)),"FR Germany",
ISNUMBER(SEARCH("West Germany",S3226)),"FR Germany",
ISNUMBER(SEARCH("Germany DR",S3226)),"DR Germany",
ISNUMBER(SEARCH("Korea DPR",S3226)),"North Korea",
ISNUMBER(SEARCH("China PR",S3226)),"China",
ISNUMBER(SEARCH("IR Iran",S3226)),"Iran",
ISNUMBER(SEARCH("Congo DR",S3226)),"Democratic Republic of the Congo",
ISNUMBER(SEARCH("DR Congo",S3226)),"Democratic Republic of the Congo",
ISNUMBER(SEARCH("German DR",S3226)),"DR Germany",
ISNUMBER(SEARCH("rn""&gt;United Arab Emirates",S3226)),"United Arab Emirates",
ISNUMBER(SEARCH("rn""&gt;Republic of Ireland",S3226)),"Ireland",
ISNUMBER(SEARCH("rn""&gt;Bosnia and Herzegovina",S3226)),"Bosnia and Herzegovina",
ISNUMBER(SEARCH("rn""&gt;Trinidad and Tobago",S3226)),"Trinidad and Tobago",
ISNUMBER(SEARCH("rn""&gt;Serbia and Montenegro",S3226)),"Serbia and Montenegro",
ISNUMBER(SEARCH(_xlfn.UNICHAR(65533),S3226)),"Côte d'Ivoire",
TRUE,""
)</f>
        <v/>
      </c>
      <c r="W3226" s="40" t="str">
        <f t="shared" si="225"/>
        <v>Iran</v>
      </c>
    </row>
    <row r="3227" spans="19:23">
      <c r="S3227" s="40" t="str">
        <v>Denmark</v>
      </c>
      <c r="T3227" s="40" t="str">
        <f t="shared" si="223"/>
        <v>OK</v>
      </c>
      <c r="U3227" s="40" t="str">
        <f t="shared" si="224"/>
        <v>-</v>
      </c>
      <c r="V3227" s="40" t="str" cm="1">
        <f t="array" ref="V3227">_xlfn.IFS(
ISNUMBER(SEARCH("USA",S3227)),"United States",
ISNUMBER(SEARCH("Republic of Ireland",S3227)),"Ireland",
ISNUMBER(SEARCH("Republic of Korea",S3227)),"South Korea",
ISNUMBER(SEARCH("Cape Verde",S3227)),"Cabo Verde",
ISNUMBER(SEARCH("Czechia",S3227)),"Czech Republic",
ISNUMBER(SEARCH("Türkiye",S3227)),"Turkey",
ISNUMBER(SEARCH("Ivory Coast",S3227)),"Côte d'Ivoire",
ISNUMBER(SEARCH("Korea Republic",S3227)),"South Korea",
ISNUMBER(SEARCH("Germany FR",S3227)),"FR Germany",
ISNUMBER(SEARCH("West Germany",S3227)),"FR Germany",
ISNUMBER(SEARCH("Germany DR",S3227)),"DR Germany",
ISNUMBER(SEARCH("Korea DPR",S3227)),"North Korea",
ISNUMBER(SEARCH("China PR",S3227)),"China",
ISNUMBER(SEARCH("IR Iran",S3227)),"Iran",
ISNUMBER(SEARCH("Congo DR",S3227)),"Democratic Republic of the Congo",
ISNUMBER(SEARCH("DR Congo",S3227)),"Democratic Republic of the Congo",
ISNUMBER(SEARCH("German DR",S3227)),"DR Germany",
ISNUMBER(SEARCH("rn""&gt;United Arab Emirates",S3227)),"United Arab Emirates",
ISNUMBER(SEARCH("rn""&gt;Republic of Ireland",S3227)),"Ireland",
ISNUMBER(SEARCH("rn""&gt;Bosnia and Herzegovina",S3227)),"Bosnia and Herzegovina",
ISNUMBER(SEARCH("rn""&gt;Trinidad and Tobago",S3227)),"Trinidad and Tobago",
ISNUMBER(SEARCH("rn""&gt;Serbia and Montenegro",S3227)),"Serbia and Montenegro",
ISNUMBER(SEARCH(_xlfn.UNICHAR(65533),S3227)),"Côte d'Ivoire",
TRUE,""
)</f>
        <v/>
      </c>
      <c r="W3227" s="40" t="str">
        <f t="shared" si="225"/>
        <v>Denmark</v>
      </c>
    </row>
    <row r="3228" spans="19:23">
      <c r="S3228" s="40" t="str">
        <v>France</v>
      </c>
      <c r="T3228" s="40" t="str">
        <f t="shared" si="223"/>
        <v>OK</v>
      </c>
      <c r="U3228" s="40" t="str">
        <f t="shared" si="224"/>
        <v>-</v>
      </c>
      <c r="V3228" s="40" t="str" cm="1">
        <f t="array" ref="V3228">_xlfn.IFS(
ISNUMBER(SEARCH("USA",S3228)),"United States",
ISNUMBER(SEARCH("Republic of Ireland",S3228)),"Ireland",
ISNUMBER(SEARCH("Republic of Korea",S3228)),"South Korea",
ISNUMBER(SEARCH("Cape Verde",S3228)),"Cabo Verde",
ISNUMBER(SEARCH("Czechia",S3228)),"Czech Republic",
ISNUMBER(SEARCH("Türkiye",S3228)),"Turkey",
ISNUMBER(SEARCH("Ivory Coast",S3228)),"Côte d'Ivoire",
ISNUMBER(SEARCH("Korea Republic",S3228)),"South Korea",
ISNUMBER(SEARCH("Germany FR",S3228)),"FR Germany",
ISNUMBER(SEARCH("West Germany",S3228)),"FR Germany",
ISNUMBER(SEARCH("Germany DR",S3228)),"DR Germany",
ISNUMBER(SEARCH("Korea DPR",S3228)),"North Korea",
ISNUMBER(SEARCH("China PR",S3228)),"China",
ISNUMBER(SEARCH("IR Iran",S3228)),"Iran",
ISNUMBER(SEARCH("Congo DR",S3228)),"Democratic Republic of the Congo",
ISNUMBER(SEARCH("DR Congo",S3228)),"Democratic Republic of the Congo",
ISNUMBER(SEARCH("German DR",S3228)),"DR Germany",
ISNUMBER(SEARCH("rn""&gt;United Arab Emirates",S3228)),"United Arab Emirates",
ISNUMBER(SEARCH("rn""&gt;Republic of Ireland",S3228)),"Ireland",
ISNUMBER(SEARCH("rn""&gt;Bosnia and Herzegovina",S3228)),"Bosnia and Herzegovina",
ISNUMBER(SEARCH("rn""&gt;Trinidad and Tobago",S3228)),"Trinidad and Tobago",
ISNUMBER(SEARCH("rn""&gt;Serbia and Montenegro",S3228)),"Serbia and Montenegro",
ISNUMBER(SEARCH(_xlfn.UNICHAR(65533),S3228)),"Côte d'Ivoire",
TRUE,""
)</f>
        <v/>
      </c>
      <c r="W3228" s="40" t="str">
        <f t="shared" si="225"/>
        <v>France</v>
      </c>
    </row>
    <row r="3229" spans="19:23">
      <c r="S3229" s="40" t="str">
        <v>Argentina</v>
      </c>
      <c r="T3229" s="40" t="str">
        <f t="shared" si="223"/>
        <v>OK</v>
      </c>
      <c r="U3229" s="40" t="str">
        <f t="shared" si="224"/>
        <v>-</v>
      </c>
      <c r="V3229" s="40" t="str" cm="1">
        <f t="array" ref="V3229">_xlfn.IFS(
ISNUMBER(SEARCH("USA",S3229)),"United States",
ISNUMBER(SEARCH("Republic of Ireland",S3229)),"Ireland",
ISNUMBER(SEARCH("Republic of Korea",S3229)),"South Korea",
ISNUMBER(SEARCH("Cape Verde",S3229)),"Cabo Verde",
ISNUMBER(SEARCH("Czechia",S3229)),"Czech Republic",
ISNUMBER(SEARCH("Türkiye",S3229)),"Turkey",
ISNUMBER(SEARCH("Ivory Coast",S3229)),"Côte d'Ivoire",
ISNUMBER(SEARCH("Korea Republic",S3229)),"South Korea",
ISNUMBER(SEARCH("Germany FR",S3229)),"FR Germany",
ISNUMBER(SEARCH("West Germany",S3229)),"FR Germany",
ISNUMBER(SEARCH("Germany DR",S3229)),"DR Germany",
ISNUMBER(SEARCH("Korea DPR",S3229)),"North Korea",
ISNUMBER(SEARCH("China PR",S3229)),"China",
ISNUMBER(SEARCH("IR Iran",S3229)),"Iran",
ISNUMBER(SEARCH("Congo DR",S3229)),"Democratic Republic of the Congo",
ISNUMBER(SEARCH("DR Congo",S3229)),"Democratic Republic of the Congo",
ISNUMBER(SEARCH("German DR",S3229)),"DR Germany",
ISNUMBER(SEARCH("rn""&gt;United Arab Emirates",S3229)),"United Arab Emirates",
ISNUMBER(SEARCH("rn""&gt;Republic of Ireland",S3229)),"Ireland",
ISNUMBER(SEARCH("rn""&gt;Bosnia and Herzegovina",S3229)),"Bosnia and Herzegovina",
ISNUMBER(SEARCH("rn""&gt;Trinidad and Tobago",S3229)),"Trinidad and Tobago",
ISNUMBER(SEARCH("rn""&gt;Serbia and Montenegro",S3229)),"Serbia and Montenegro",
ISNUMBER(SEARCH(_xlfn.UNICHAR(65533),S3229)),"Côte d'Ivoire",
TRUE,""
)</f>
        <v/>
      </c>
      <c r="W3229" s="40" t="str">
        <f t="shared" si="225"/>
        <v>Argentina</v>
      </c>
    </row>
    <row r="3230" spans="19:23">
      <c r="S3230" s="40" t="str">
        <v>Brazil</v>
      </c>
      <c r="T3230" s="40" t="str">
        <f t="shared" si="223"/>
        <v>OK</v>
      </c>
      <c r="U3230" s="40" t="str">
        <f t="shared" si="224"/>
        <v>-</v>
      </c>
      <c r="V3230" s="40" t="str" cm="1">
        <f t="array" ref="V3230">_xlfn.IFS(
ISNUMBER(SEARCH("USA",S3230)),"United States",
ISNUMBER(SEARCH("Republic of Ireland",S3230)),"Ireland",
ISNUMBER(SEARCH("Republic of Korea",S3230)),"South Korea",
ISNUMBER(SEARCH("Cape Verde",S3230)),"Cabo Verde",
ISNUMBER(SEARCH("Czechia",S3230)),"Czech Republic",
ISNUMBER(SEARCH("Türkiye",S3230)),"Turkey",
ISNUMBER(SEARCH("Ivory Coast",S3230)),"Côte d'Ivoire",
ISNUMBER(SEARCH("Korea Republic",S3230)),"South Korea",
ISNUMBER(SEARCH("Germany FR",S3230)),"FR Germany",
ISNUMBER(SEARCH("West Germany",S3230)),"FR Germany",
ISNUMBER(SEARCH("Germany DR",S3230)),"DR Germany",
ISNUMBER(SEARCH("Korea DPR",S3230)),"North Korea",
ISNUMBER(SEARCH("China PR",S3230)),"China",
ISNUMBER(SEARCH("IR Iran",S3230)),"Iran",
ISNUMBER(SEARCH("Congo DR",S3230)),"Democratic Republic of the Congo",
ISNUMBER(SEARCH("DR Congo",S3230)),"Democratic Republic of the Congo",
ISNUMBER(SEARCH("German DR",S3230)),"DR Germany",
ISNUMBER(SEARCH("rn""&gt;United Arab Emirates",S3230)),"United Arab Emirates",
ISNUMBER(SEARCH("rn""&gt;Republic of Ireland",S3230)),"Ireland",
ISNUMBER(SEARCH("rn""&gt;Bosnia and Herzegovina",S3230)),"Bosnia and Herzegovina",
ISNUMBER(SEARCH("rn""&gt;Trinidad and Tobago",S3230)),"Trinidad and Tobago",
ISNUMBER(SEARCH("rn""&gt;Serbia and Montenegro",S3230)),"Serbia and Montenegro",
ISNUMBER(SEARCH(_xlfn.UNICHAR(65533),S3230)),"Côte d'Ivoire",
TRUE,""
)</f>
        <v/>
      </c>
      <c r="W3230" s="40" t="str">
        <f t="shared" si="225"/>
        <v>Brazil</v>
      </c>
    </row>
    <row r="3231" spans="19:23">
      <c r="S3231" s="40" t="str">
        <v>Nigeria</v>
      </c>
      <c r="T3231" s="40" t="str">
        <f t="shared" si="223"/>
        <v>OK</v>
      </c>
      <c r="U3231" s="40" t="str">
        <f t="shared" si="224"/>
        <v>-</v>
      </c>
      <c r="V3231" s="40" t="str" cm="1">
        <f t="array" ref="V3231">_xlfn.IFS(
ISNUMBER(SEARCH("USA",S3231)),"United States",
ISNUMBER(SEARCH("Republic of Ireland",S3231)),"Ireland",
ISNUMBER(SEARCH("Republic of Korea",S3231)),"South Korea",
ISNUMBER(SEARCH("Cape Verde",S3231)),"Cabo Verde",
ISNUMBER(SEARCH("Czechia",S3231)),"Czech Republic",
ISNUMBER(SEARCH("Türkiye",S3231)),"Turkey",
ISNUMBER(SEARCH("Ivory Coast",S3231)),"Côte d'Ivoire",
ISNUMBER(SEARCH("Korea Republic",S3231)),"South Korea",
ISNUMBER(SEARCH("Germany FR",S3231)),"FR Germany",
ISNUMBER(SEARCH("West Germany",S3231)),"FR Germany",
ISNUMBER(SEARCH("Germany DR",S3231)),"DR Germany",
ISNUMBER(SEARCH("Korea DPR",S3231)),"North Korea",
ISNUMBER(SEARCH("China PR",S3231)),"China",
ISNUMBER(SEARCH("IR Iran",S3231)),"Iran",
ISNUMBER(SEARCH("Congo DR",S3231)),"Democratic Republic of the Congo",
ISNUMBER(SEARCH("DR Congo",S3231)),"Democratic Republic of the Congo",
ISNUMBER(SEARCH("German DR",S3231)),"DR Germany",
ISNUMBER(SEARCH("rn""&gt;United Arab Emirates",S3231)),"United Arab Emirates",
ISNUMBER(SEARCH("rn""&gt;Republic of Ireland",S3231)),"Ireland",
ISNUMBER(SEARCH("rn""&gt;Bosnia and Herzegovina",S3231)),"Bosnia and Herzegovina",
ISNUMBER(SEARCH("rn""&gt;Trinidad and Tobago",S3231)),"Trinidad and Tobago",
ISNUMBER(SEARCH("rn""&gt;Serbia and Montenegro",S3231)),"Serbia and Montenegro",
ISNUMBER(SEARCH(_xlfn.UNICHAR(65533),S3231)),"Côte d'Ivoire",
TRUE,""
)</f>
        <v/>
      </c>
      <c r="W3231" s="40" t="str">
        <f t="shared" si="225"/>
        <v>Nigeria</v>
      </c>
    </row>
    <row r="3232" spans="19:23">
      <c r="S3232" s="40" t="str">
        <v>Serbia</v>
      </c>
      <c r="T3232" s="40" t="str">
        <f t="shared" si="223"/>
        <v>OK</v>
      </c>
      <c r="U3232" s="40" t="str">
        <f t="shared" si="224"/>
        <v>-</v>
      </c>
      <c r="V3232" s="40" t="str" cm="1">
        <f t="array" ref="V3232">_xlfn.IFS(
ISNUMBER(SEARCH("USA",S3232)),"United States",
ISNUMBER(SEARCH("Republic of Ireland",S3232)),"Ireland",
ISNUMBER(SEARCH("Republic of Korea",S3232)),"South Korea",
ISNUMBER(SEARCH("Cape Verde",S3232)),"Cabo Verde",
ISNUMBER(SEARCH("Czechia",S3232)),"Czech Republic",
ISNUMBER(SEARCH("Türkiye",S3232)),"Turkey",
ISNUMBER(SEARCH("Ivory Coast",S3232)),"Côte d'Ivoire",
ISNUMBER(SEARCH("Korea Republic",S3232)),"South Korea",
ISNUMBER(SEARCH("Germany FR",S3232)),"FR Germany",
ISNUMBER(SEARCH("West Germany",S3232)),"FR Germany",
ISNUMBER(SEARCH("Germany DR",S3232)),"DR Germany",
ISNUMBER(SEARCH("Korea DPR",S3232)),"North Korea",
ISNUMBER(SEARCH("China PR",S3232)),"China",
ISNUMBER(SEARCH("IR Iran",S3232)),"Iran",
ISNUMBER(SEARCH("Congo DR",S3232)),"Democratic Republic of the Congo",
ISNUMBER(SEARCH("DR Congo",S3232)),"Democratic Republic of the Congo",
ISNUMBER(SEARCH("German DR",S3232)),"DR Germany",
ISNUMBER(SEARCH("rn""&gt;United Arab Emirates",S3232)),"United Arab Emirates",
ISNUMBER(SEARCH("rn""&gt;Republic of Ireland",S3232)),"Ireland",
ISNUMBER(SEARCH("rn""&gt;Bosnia and Herzegovina",S3232)),"Bosnia and Herzegovina",
ISNUMBER(SEARCH("rn""&gt;Trinidad and Tobago",S3232)),"Trinidad and Tobago",
ISNUMBER(SEARCH("rn""&gt;Serbia and Montenegro",S3232)),"Serbia and Montenegro",
ISNUMBER(SEARCH(_xlfn.UNICHAR(65533),S3232)),"Côte d'Ivoire",
TRUE,""
)</f>
        <v/>
      </c>
      <c r="W3232" s="40" t="str">
        <f t="shared" si="225"/>
        <v>Serbia</v>
      </c>
    </row>
    <row r="3233" spans="19:23">
      <c r="S3233" s="40" t="str">
        <v>Belgium</v>
      </c>
      <c r="T3233" s="40" t="str">
        <f t="shared" si="223"/>
        <v>OK</v>
      </c>
      <c r="U3233" s="40" t="str">
        <f t="shared" si="224"/>
        <v>-</v>
      </c>
      <c r="V3233" s="40" t="str" cm="1">
        <f t="array" ref="V3233">_xlfn.IFS(
ISNUMBER(SEARCH("USA",S3233)),"United States",
ISNUMBER(SEARCH("Republic of Ireland",S3233)),"Ireland",
ISNUMBER(SEARCH("Republic of Korea",S3233)),"South Korea",
ISNUMBER(SEARCH("Cape Verde",S3233)),"Cabo Verde",
ISNUMBER(SEARCH("Czechia",S3233)),"Czech Republic",
ISNUMBER(SEARCH("Türkiye",S3233)),"Turkey",
ISNUMBER(SEARCH("Ivory Coast",S3233)),"Côte d'Ivoire",
ISNUMBER(SEARCH("Korea Republic",S3233)),"South Korea",
ISNUMBER(SEARCH("Germany FR",S3233)),"FR Germany",
ISNUMBER(SEARCH("West Germany",S3233)),"FR Germany",
ISNUMBER(SEARCH("Germany DR",S3233)),"DR Germany",
ISNUMBER(SEARCH("Korea DPR",S3233)),"North Korea",
ISNUMBER(SEARCH("China PR",S3233)),"China",
ISNUMBER(SEARCH("IR Iran",S3233)),"Iran",
ISNUMBER(SEARCH("Congo DR",S3233)),"Democratic Republic of the Congo",
ISNUMBER(SEARCH("DR Congo",S3233)),"Democratic Republic of the Congo",
ISNUMBER(SEARCH("German DR",S3233)),"DR Germany",
ISNUMBER(SEARCH("rn""&gt;United Arab Emirates",S3233)),"United Arab Emirates",
ISNUMBER(SEARCH("rn""&gt;Republic of Ireland",S3233)),"Ireland",
ISNUMBER(SEARCH("rn""&gt;Bosnia and Herzegovina",S3233)),"Bosnia and Herzegovina",
ISNUMBER(SEARCH("rn""&gt;Trinidad and Tobago",S3233)),"Trinidad and Tobago",
ISNUMBER(SEARCH("rn""&gt;Serbia and Montenegro",S3233)),"Serbia and Montenegro",
ISNUMBER(SEARCH(_xlfn.UNICHAR(65533),S3233)),"Côte d'Ivoire",
TRUE,""
)</f>
        <v/>
      </c>
      <c r="W3233" s="40" t="str">
        <f t="shared" si="225"/>
        <v>Belgium</v>
      </c>
    </row>
    <row r="3234" spans="19:23">
      <c r="S3234" s="40" t="str">
        <v>South Korea</v>
      </c>
      <c r="T3234" s="40" t="str">
        <f t="shared" si="223"/>
        <v>OK</v>
      </c>
      <c r="U3234" s="40" t="str">
        <f t="shared" si="224"/>
        <v>-</v>
      </c>
      <c r="V3234" s="40" t="str" cm="1">
        <f t="array" ref="V3234">_xlfn.IFS(
ISNUMBER(SEARCH("USA",S3234)),"United States",
ISNUMBER(SEARCH("Republic of Ireland",S3234)),"Ireland",
ISNUMBER(SEARCH("Republic of Korea",S3234)),"South Korea",
ISNUMBER(SEARCH("Cape Verde",S3234)),"Cabo Verde",
ISNUMBER(SEARCH("Czechia",S3234)),"Czech Republic",
ISNUMBER(SEARCH("Türkiye",S3234)),"Turkey",
ISNUMBER(SEARCH("Ivory Coast",S3234)),"Côte d'Ivoire",
ISNUMBER(SEARCH("Korea Republic",S3234)),"South Korea",
ISNUMBER(SEARCH("Germany FR",S3234)),"FR Germany",
ISNUMBER(SEARCH("West Germany",S3234)),"FR Germany",
ISNUMBER(SEARCH("Germany DR",S3234)),"DR Germany",
ISNUMBER(SEARCH("Korea DPR",S3234)),"North Korea",
ISNUMBER(SEARCH("China PR",S3234)),"China",
ISNUMBER(SEARCH("IR Iran",S3234)),"Iran",
ISNUMBER(SEARCH("Congo DR",S3234)),"Democratic Republic of the Congo",
ISNUMBER(SEARCH("DR Congo",S3234)),"Democratic Republic of the Congo",
ISNUMBER(SEARCH("German DR",S3234)),"DR Germany",
ISNUMBER(SEARCH("rn""&gt;United Arab Emirates",S3234)),"United Arab Emirates",
ISNUMBER(SEARCH("rn""&gt;Republic of Ireland",S3234)),"Ireland",
ISNUMBER(SEARCH("rn""&gt;Bosnia and Herzegovina",S3234)),"Bosnia and Herzegovina",
ISNUMBER(SEARCH("rn""&gt;Trinidad and Tobago",S3234)),"Trinidad and Tobago",
ISNUMBER(SEARCH("rn""&gt;Serbia and Montenegro",S3234)),"Serbia and Montenegro",
ISNUMBER(SEARCH(_xlfn.UNICHAR(65533),S3234)),"Côte d'Ivoire",
TRUE,""
)</f>
        <v/>
      </c>
      <c r="W3234" s="40" t="str">
        <f t="shared" si="225"/>
        <v>South Korea</v>
      </c>
    </row>
    <row r="3235" spans="19:23">
      <c r="S3235" s="40" t="str">
        <v>Germany</v>
      </c>
      <c r="T3235" s="40" t="str">
        <f t="shared" si="223"/>
        <v>OK</v>
      </c>
      <c r="U3235" s="40" t="str">
        <f t="shared" si="224"/>
        <v>-</v>
      </c>
      <c r="V3235" s="40" t="str" cm="1">
        <f t="array" ref="V3235">_xlfn.IFS(
ISNUMBER(SEARCH("USA",S3235)),"United States",
ISNUMBER(SEARCH("Republic of Ireland",S3235)),"Ireland",
ISNUMBER(SEARCH("Republic of Korea",S3235)),"South Korea",
ISNUMBER(SEARCH("Cape Verde",S3235)),"Cabo Verde",
ISNUMBER(SEARCH("Czechia",S3235)),"Czech Republic",
ISNUMBER(SEARCH("Türkiye",S3235)),"Turkey",
ISNUMBER(SEARCH("Ivory Coast",S3235)),"Côte d'Ivoire",
ISNUMBER(SEARCH("Korea Republic",S3235)),"South Korea",
ISNUMBER(SEARCH("Germany FR",S3235)),"FR Germany",
ISNUMBER(SEARCH("West Germany",S3235)),"FR Germany",
ISNUMBER(SEARCH("Germany DR",S3235)),"DR Germany",
ISNUMBER(SEARCH("Korea DPR",S3235)),"North Korea",
ISNUMBER(SEARCH("China PR",S3235)),"China",
ISNUMBER(SEARCH("IR Iran",S3235)),"Iran",
ISNUMBER(SEARCH("Congo DR",S3235)),"Democratic Republic of the Congo",
ISNUMBER(SEARCH("DR Congo",S3235)),"Democratic Republic of the Congo",
ISNUMBER(SEARCH("German DR",S3235)),"DR Germany",
ISNUMBER(SEARCH("rn""&gt;United Arab Emirates",S3235)),"United Arab Emirates",
ISNUMBER(SEARCH("rn""&gt;Republic of Ireland",S3235)),"Ireland",
ISNUMBER(SEARCH("rn""&gt;Bosnia and Herzegovina",S3235)),"Bosnia and Herzegovina",
ISNUMBER(SEARCH("rn""&gt;Trinidad and Tobago",S3235)),"Trinidad and Tobago",
ISNUMBER(SEARCH("rn""&gt;Serbia and Montenegro",S3235)),"Serbia and Montenegro",
ISNUMBER(SEARCH(_xlfn.UNICHAR(65533),S3235)),"Côte d'Ivoire",
TRUE,""
)</f>
        <v/>
      </c>
      <c r="W3235" s="40" t="str">
        <f t="shared" si="225"/>
        <v>Germany</v>
      </c>
    </row>
    <row r="3236" spans="19:23">
      <c r="S3236" s="40" t="str">
        <v>England</v>
      </c>
      <c r="T3236" s="40" t="str">
        <f t="shared" si="223"/>
        <v>ERREUR</v>
      </c>
      <c r="U3236" s="40" t="str">
        <f t="shared" si="224"/>
        <v>AUCUNE</v>
      </c>
      <c r="V3236" s="40" t="str" cm="1">
        <f t="array" ref="V3236">_xlfn.IFS(
ISNUMBER(SEARCH("USA",S3236)),"United States",
ISNUMBER(SEARCH("Republic of Ireland",S3236)),"Ireland",
ISNUMBER(SEARCH("Republic of Korea",S3236)),"South Korea",
ISNUMBER(SEARCH("Cape Verde",S3236)),"Cabo Verde",
ISNUMBER(SEARCH("Czechia",S3236)),"Czech Republic",
ISNUMBER(SEARCH("Türkiye",S3236)),"Turkey",
ISNUMBER(SEARCH("Ivory Coast",S3236)),"Côte d'Ivoire",
ISNUMBER(SEARCH("Korea Republic",S3236)),"South Korea",
ISNUMBER(SEARCH("Germany FR",S3236)),"FR Germany",
ISNUMBER(SEARCH("West Germany",S3236)),"FR Germany",
ISNUMBER(SEARCH("Germany DR",S3236)),"DR Germany",
ISNUMBER(SEARCH("Korea DPR",S3236)),"North Korea",
ISNUMBER(SEARCH("China PR",S3236)),"China",
ISNUMBER(SEARCH("IR Iran",S3236)),"Iran",
ISNUMBER(SEARCH("Congo DR",S3236)),"Democratic Republic of the Congo",
ISNUMBER(SEARCH("DR Congo",S3236)),"Democratic Republic of the Congo",
ISNUMBER(SEARCH("German DR",S3236)),"DR Germany",
ISNUMBER(SEARCH("rn""&gt;United Arab Emirates",S3236)),"United Arab Emirates",
ISNUMBER(SEARCH("rn""&gt;Republic of Ireland",S3236)),"Ireland",
ISNUMBER(SEARCH("rn""&gt;Bosnia and Herzegovina",S3236)),"Bosnia and Herzegovina",
ISNUMBER(SEARCH("rn""&gt;Trinidad and Tobago",S3236)),"Trinidad and Tobago",
ISNUMBER(SEARCH("rn""&gt;Serbia and Montenegro",S3236)),"Serbia and Montenegro",
ISNUMBER(SEARCH(_xlfn.UNICHAR(65533),S3236)),"Côte d'Ivoire",
TRUE,""
)</f>
        <v/>
      </c>
      <c r="W3236" s="40" t="str">
        <f t="shared" si="225"/>
        <v>England</v>
      </c>
    </row>
    <row r="3237" spans="19:23">
      <c r="S3237" s="40" t="str">
        <v>Japan</v>
      </c>
      <c r="T3237" s="40" t="str">
        <f t="shared" si="223"/>
        <v>OK</v>
      </c>
      <c r="U3237" s="40" t="str">
        <f t="shared" si="224"/>
        <v>-</v>
      </c>
      <c r="V3237" s="40" t="str" cm="1">
        <f t="array" ref="V3237">_xlfn.IFS(
ISNUMBER(SEARCH("USA",S3237)),"United States",
ISNUMBER(SEARCH("Republic of Ireland",S3237)),"Ireland",
ISNUMBER(SEARCH("Republic of Korea",S3237)),"South Korea",
ISNUMBER(SEARCH("Cape Verde",S3237)),"Cabo Verde",
ISNUMBER(SEARCH("Czechia",S3237)),"Czech Republic",
ISNUMBER(SEARCH("Türkiye",S3237)),"Turkey",
ISNUMBER(SEARCH("Ivory Coast",S3237)),"Côte d'Ivoire",
ISNUMBER(SEARCH("Korea Republic",S3237)),"South Korea",
ISNUMBER(SEARCH("Germany FR",S3237)),"FR Germany",
ISNUMBER(SEARCH("West Germany",S3237)),"FR Germany",
ISNUMBER(SEARCH("Germany DR",S3237)),"DR Germany",
ISNUMBER(SEARCH("Korea DPR",S3237)),"North Korea",
ISNUMBER(SEARCH("China PR",S3237)),"China",
ISNUMBER(SEARCH("IR Iran",S3237)),"Iran",
ISNUMBER(SEARCH("Congo DR",S3237)),"Democratic Republic of the Congo",
ISNUMBER(SEARCH("DR Congo",S3237)),"Democratic Republic of the Congo",
ISNUMBER(SEARCH("German DR",S3237)),"DR Germany",
ISNUMBER(SEARCH("rn""&gt;United Arab Emirates",S3237)),"United Arab Emirates",
ISNUMBER(SEARCH("rn""&gt;Republic of Ireland",S3237)),"Ireland",
ISNUMBER(SEARCH("rn""&gt;Bosnia and Herzegovina",S3237)),"Bosnia and Herzegovina",
ISNUMBER(SEARCH("rn""&gt;Trinidad and Tobago",S3237)),"Trinidad and Tobago",
ISNUMBER(SEARCH("rn""&gt;Serbia and Montenegro",S3237)),"Serbia and Montenegro",
ISNUMBER(SEARCH(_xlfn.UNICHAR(65533),S3237)),"Côte d'Ivoire",
TRUE,""
)</f>
        <v/>
      </c>
      <c r="W3237" s="40" t="str">
        <f t="shared" si="225"/>
        <v>Japan</v>
      </c>
    </row>
    <row r="3238" spans="19:23">
      <c r="S3238" s="40" t="str">
        <v>Poland</v>
      </c>
      <c r="T3238" s="40" t="str">
        <f t="shared" si="223"/>
        <v>OK</v>
      </c>
      <c r="U3238" s="40" t="str">
        <f t="shared" si="224"/>
        <v>-</v>
      </c>
      <c r="V3238" s="40" t="str" cm="1">
        <f t="array" ref="V3238">_xlfn.IFS(
ISNUMBER(SEARCH("USA",S3238)),"United States",
ISNUMBER(SEARCH("Republic of Ireland",S3238)),"Ireland",
ISNUMBER(SEARCH("Republic of Korea",S3238)),"South Korea",
ISNUMBER(SEARCH("Cape Verde",S3238)),"Cabo Verde",
ISNUMBER(SEARCH("Czechia",S3238)),"Czech Republic",
ISNUMBER(SEARCH("Türkiye",S3238)),"Turkey",
ISNUMBER(SEARCH("Ivory Coast",S3238)),"Côte d'Ivoire",
ISNUMBER(SEARCH("Korea Republic",S3238)),"South Korea",
ISNUMBER(SEARCH("Germany FR",S3238)),"FR Germany",
ISNUMBER(SEARCH("West Germany",S3238)),"FR Germany",
ISNUMBER(SEARCH("Germany DR",S3238)),"DR Germany",
ISNUMBER(SEARCH("Korea DPR",S3238)),"North Korea",
ISNUMBER(SEARCH("China PR",S3238)),"China",
ISNUMBER(SEARCH("IR Iran",S3238)),"Iran",
ISNUMBER(SEARCH("Congo DR",S3238)),"Democratic Republic of the Congo",
ISNUMBER(SEARCH("DR Congo",S3238)),"Democratic Republic of the Congo",
ISNUMBER(SEARCH("German DR",S3238)),"DR Germany",
ISNUMBER(SEARCH("rn""&gt;United Arab Emirates",S3238)),"United Arab Emirates",
ISNUMBER(SEARCH("rn""&gt;Republic of Ireland",S3238)),"Ireland",
ISNUMBER(SEARCH("rn""&gt;Bosnia and Herzegovina",S3238)),"Bosnia and Herzegovina",
ISNUMBER(SEARCH("rn""&gt;Trinidad and Tobago",S3238)),"Trinidad and Tobago",
ISNUMBER(SEARCH("rn""&gt;Serbia and Montenegro",S3238)),"Serbia and Montenegro",
ISNUMBER(SEARCH(_xlfn.UNICHAR(65533),S3238)),"Côte d'Ivoire",
TRUE,""
)</f>
        <v/>
      </c>
      <c r="W3238" s="40" t="str">
        <f t="shared" si="225"/>
        <v>Poland</v>
      </c>
    </row>
    <row r="3239" spans="19:23">
      <c r="S3239" s="40" t="str">
        <v>Saudi Arabia</v>
      </c>
      <c r="T3239" s="40" t="str">
        <f t="shared" si="223"/>
        <v>OK</v>
      </c>
      <c r="U3239" s="40" t="str">
        <f t="shared" si="224"/>
        <v>-</v>
      </c>
      <c r="V3239" s="40" t="str" cm="1">
        <f t="array" ref="V3239">_xlfn.IFS(
ISNUMBER(SEARCH("USA",S3239)),"United States",
ISNUMBER(SEARCH("Republic of Ireland",S3239)),"Ireland",
ISNUMBER(SEARCH("Republic of Korea",S3239)),"South Korea",
ISNUMBER(SEARCH("Cape Verde",S3239)),"Cabo Verde",
ISNUMBER(SEARCH("Czechia",S3239)),"Czech Republic",
ISNUMBER(SEARCH("Türkiye",S3239)),"Turkey",
ISNUMBER(SEARCH("Ivory Coast",S3239)),"Côte d'Ivoire",
ISNUMBER(SEARCH("Korea Republic",S3239)),"South Korea",
ISNUMBER(SEARCH("Germany FR",S3239)),"FR Germany",
ISNUMBER(SEARCH("West Germany",S3239)),"FR Germany",
ISNUMBER(SEARCH("Germany DR",S3239)),"DR Germany",
ISNUMBER(SEARCH("Korea DPR",S3239)),"North Korea",
ISNUMBER(SEARCH("China PR",S3239)),"China",
ISNUMBER(SEARCH("IR Iran",S3239)),"Iran",
ISNUMBER(SEARCH("Congo DR",S3239)),"Democratic Republic of the Congo",
ISNUMBER(SEARCH("DR Congo",S3239)),"Democratic Republic of the Congo",
ISNUMBER(SEARCH("German DR",S3239)),"DR Germany",
ISNUMBER(SEARCH("rn""&gt;United Arab Emirates",S3239)),"United Arab Emirates",
ISNUMBER(SEARCH("rn""&gt;Republic of Ireland",S3239)),"Ireland",
ISNUMBER(SEARCH("rn""&gt;Bosnia and Herzegovina",S3239)),"Bosnia and Herzegovina",
ISNUMBER(SEARCH("rn""&gt;Trinidad and Tobago",S3239)),"Trinidad and Tobago",
ISNUMBER(SEARCH("rn""&gt;Serbia and Montenegro",S3239)),"Serbia and Montenegro",
ISNUMBER(SEARCH(_xlfn.UNICHAR(65533),S3239)),"Côte d'Ivoire",
TRUE,""
)</f>
        <v/>
      </c>
      <c r="W3239" s="40" t="str">
        <f t="shared" si="225"/>
        <v>Saudi Arabia</v>
      </c>
    </row>
    <row r="3240" spans="19:23">
      <c r="S3240" s="40" t="str">
        <v>Uruguay</v>
      </c>
      <c r="T3240" s="40" t="str">
        <f t="shared" si="223"/>
        <v>OK</v>
      </c>
      <c r="U3240" s="40" t="str">
        <f t="shared" si="224"/>
        <v>-</v>
      </c>
      <c r="V3240" s="40" t="str" cm="1">
        <f t="array" ref="V3240">_xlfn.IFS(
ISNUMBER(SEARCH("USA",S3240)),"United States",
ISNUMBER(SEARCH("Republic of Ireland",S3240)),"Ireland",
ISNUMBER(SEARCH("Republic of Korea",S3240)),"South Korea",
ISNUMBER(SEARCH("Cape Verde",S3240)),"Cabo Verde",
ISNUMBER(SEARCH("Czechia",S3240)),"Czech Republic",
ISNUMBER(SEARCH("Türkiye",S3240)),"Turkey",
ISNUMBER(SEARCH("Ivory Coast",S3240)),"Côte d'Ivoire",
ISNUMBER(SEARCH("Korea Republic",S3240)),"South Korea",
ISNUMBER(SEARCH("Germany FR",S3240)),"FR Germany",
ISNUMBER(SEARCH("West Germany",S3240)),"FR Germany",
ISNUMBER(SEARCH("Germany DR",S3240)),"DR Germany",
ISNUMBER(SEARCH("Korea DPR",S3240)),"North Korea",
ISNUMBER(SEARCH("China PR",S3240)),"China",
ISNUMBER(SEARCH("IR Iran",S3240)),"Iran",
ISNUMBER(SEARCH("Congo DR",S3240)),"Democratic Republic of the Congo",
ISNUMBER(SEARCH("DR Congo",S3240)),"Democratic Republic of the Congo",
ISNUMBER(SEARCH("German DR",S3240)),"DR Germany",
ISNUMBER(SEARCH("rn""&gt;United Arab Emirates",S3240)),"United Arab Emirates",
ISNUMBER(SEARCH("rn""&gt;Republic of Ireland",S3240)),"Ireland",
ISNUMBER(SEARCH("rn""&gt;Bosnia and Herzegovina",S3240)),"Bosnia and Herzegovina",
ISNUMBER(SEARCH("rn""&gt;Trinidad and Tobago",S3240)),"Trinidad and Tobago",
ISNUMBER(SEARCH("rn""&gt;Serbia and Montenegro",S3240)),"Serbia and Montenegro",
ISNUMBER(SEARCH(_xlfn.UNICHAR(65533),S3240)),"Côte d'Ivoire",
TRUE,""
)</f>
        <v/>
      </c>
      <c r="W3240" s="40" t="str">
        <f t="shared" si="225"/>
        <v>Uruguay</v>
      </c>
    </row>
    <row r="3241" spans="19:23">
      <c r="S3241" s="40" t="str">
        <v>Spain</v>
      </c>
      <c r="T3241" s="40" t="str">
        <f t="shared" si="223"/>
        <v>OK</v>
      </c>
      <c r="U3241" s="40" t="str">
        <f t="shared" si="224"/>
        <v>-</v>
      </c>
      <c r="V3241" s="40" t="str" cm="1">
        <f t="array" ref="V3241">_xlfn.IFS(
ISNUMBER(SEARCH("USA",S3241)),"United States",
ISNUMBER(SEARCH("Republic of Ireland",S3241)),"Ireland",
ISNUMBER(SEARCH("Republic of Korea",S3241)),"South Korea",
ISNUMBER(SEARCH("Cape Verde",S3241)),"Cabo Verde",
ISNUMBER(SEARCH("Czechia",S3241)),"Czech Republic",
ISNUMBER(SEARCH("Türkiye",S3241)),"Turkey",
ISNUMBER(SEARCH("Ivory Coast",S3241)),"Côte d'Ivoire",
ISNUMBER(SEARCH("Korea Republic",S3241)),"South Korea",
ISNUMBER(SEARCH("Germany FR",S3241)),"FR Germany",
ISNUMBER(SEARCH("West Germany",S3241)),"FR Germany",
ISNUMBER(SEARCH("Germany DR",S3241)),"DR Germany",
ISNUMBER(SEARCH("Korea DPR",S3241)),"North Korea",
ISNUMBER(SEARCH("China PR",S3241)),"China",
ISNUMBER(SEARCH("IR Iran",S3241)),"Iran",
ISNUMBER(SEARCH("Congo DR",S3241)),"Democratic Republic of the Congo",
ISNUMBER(SEARCH("DR Congo",S3241)),"Democratic Republic of the Congo",
ISNUMBER(SEARCH("German DR",S3241)),"DR Germany",
ISNUMBER(SEARCH("rn""&gt;United Arab Emirates",S3241)),"United Arab Emirates",
ISNUMBER(SEARCH("rn""&gt;Republic of Ireland",S3241)),"Ireland",
ISNUMBER(SEARCH("rn""&gt;Bosnia and Herzegovina",S3241)),"Bosnia and Herzegovina",
ISNUMBER(SEARCH("rn""&gt;Trinidad and Tobago",S3241)),"Trinidad and Tobago",
ISNUMBER(SEARCH("rn""&gt;Serbia and Montenegro",S3241)),"Serbia and Montenegro",
ISNUMBER(SEARCH(_xlfn.UNICHAR(65533),S3241)),"Côte d'Ivoire",
TRUE,""
)</f>
        <v/>
      </c>
      <c r="W3241" s="40" t="str">
        <f t="shared" si="225"/>
        <v>Spain</v>
      </c>
    </row>
    <row r="3242" spans="19:23">
      <c r="S3242" s="40" t="str">
        <v>Iran</v>
      </c>
      <c r="T3242" s="40" t="str">
        <f t="shared" si="223"/>
        <v>OK</v>
      </c>
      <c r="U3242" s="40" t="str">
        <f t="shared" si="224"/>
        <v>-</v>
      </c>
      <c r="V3242" s="40" t="str" cm="1">
        <f t="array" ref="V3242">_xlfn.IFS(
ISNUMBER(SEARCH("USA",S3242)),"United States",
ISNUMBER(SEARCH("Republic of Ireland",S3242)),"Ireland",
ISNUMBER(SEARCH("Republic of Korea",S3242)),"South Korea",
ISNUMBER(SEARCH("Cape Verde",S3242)),"Cabo Verde",
ISNUMBER(SEARCH("Czechia",S3242)),"Czech Republic",
ISNUMBER(SEARCH("Türkiye",S3242)),"Turkey",
ISNUMBER(SEARCH("Ivory Coast",S3242)),"Côte d'Ivoire",
ISNUMBER(SEARCH("Korea Republic",S3242)),"South Korea",
ISNUMBER(SEARCH("Germany FR",S3242)),"FR Germany",
ISNUMBER(SEARCH("West Germany",S3242)),"FR Germany",
ISNUMBER(SEARCH("Germany DR",S3242)),"DR Germany",
ISNUMBER(SEARCH("Korea DPR",S3242)),"North Korea",
ISNUMBER(SEARCH("China PR",S3242)),"China",
ISNUMBER(SEARCH("IR Iran",S3242)),"Iran",
ISNUMBER(SEARCH("Congo DR",S3242)),"Democratic Republic of the Congo",
ISNUMBER(SEARCH("DR Congo",S3242)),"Democratic Republic of the Congo",
ISNUMBER(SEARCH("German DR",S3242)),"DR Germany",
ISNUMBER(SEARCH("rn""&gt;United Arab Emirates",S3242)),"United Arab Emirates",
ISNUMBER(SEARCH("rn""&gt;Republic of Ireland",S3242)),"Ireland",
ISNUMBER(SEARCH("rn""&gt;Bosnia and Herzegovina",S3242)),"Bosnia and Herzegovina",
ISNUMBER(SEARCH("rn""&gt;Trinidad and Tobago",S3242)),"Trinidad and Tobago",
ISNUMBER(SEARCH("rn""&gt;Serbia and Montenegro",S3242)),"Serbia and Montenegro",
ISNUMBER(SEARCH(_xlfn.UNICHAR(65533),S3242)),"Côte d'Ivoire",
TRUE,""
)</f>
        <v/>
      </c>
      <c r="W3242" s="40" t="str">
        <f t="shared" si="225"/>
        <v>Iran</v>
      </c>
    </row>
    <row r="3243" spans="19:23">
      <c r="S3243" s="40" t="str">
        <v>Australia</v>
      </c>
      <c r="T3243" s="40" t="str">
        <f t="shared" si="223"/>
        <v>OK</v>
      </c>
      <c r="U3243" s="40" t="str">
        <f t="shared" si="224"/>
        <v>-</v>
      </c>
      <c r="V3243" s="40" t="str" cm="1">
        <f t="array" ref="V3243">_xlfn.IFS(
ISNUMBER(SEARCH("USA",S3243)),"United States",
ISNUMBER(SEARCH("Republic of Ireland",S3243)),"Ireland",
ISNUMBER(SEARCH("Republic of Korea",S3243)),"South Korea",
ISNUMBER(SEARCH("Cape Verde",S3243)),"Cabo Verde",
ISNUMBER(SEARCH("Czechia",S3243)),"Czech Republic",
ISNUMBER(SEARCH("Türkiye",S3243)),"Turkey",
ISNUMBER(SEARCH("Ivory Coast",S3243)),"Côte d'Ivoire",
ISNUMBER(SEARCH("Korea Republic",S3243)),"South Korea",
ISNUMBER(SEARCH("Germany FR",S3243)),"FR Germany",
ISNUMBER(SEARCH("West Germany",S3243)),"FR Germany",
ISNUMBER(SEARCH("Germany DR",S3243)),"DR Germany",
ISNUMBER(SEARCH("Korea DPR",S3243)),"North Korea",
ISNUMBER(SEARCH("China PR",S3243)),"China",
ISNUMBER(SEARCH("IR Iran",S3243)),"Iran",
ISNUMBER(SEARCH("Congo DR",S3243)),"Democratic Republic of the Congo",
ISNUMBER(SEARCH("DR Congo",S3243)),"Democratic Republic of the Congo",
ISNUMBER(SEARCH("German DR",S3243)),"DR Germany",
ISNUMBER(SEARCH("rn""&gt;United Arab Emirates",S3243)),"United Arab Emirates",
ISNUMBER(SEARCH("rn""&gt;Republic of Ireland",S3243)),"Ireland",
ISNUMBER(SEARCH("rn""&gt;Bosnia and Herzegovina",S3243)),"Bosnia and Herzegovina",
ISNUMBER(SEARCH("rn""&gt;Trinidad and Tobago",S3243)),"Trinidad and Tobago",
ISNUMBER(SEARCH("rn""&gt;Serbia and Montenegro",S3243)),"Serbia and Montenegro",
ISNUMBER(SEARCH(_xlfn.UNICHAR(65533),S3243)),"Côte d'Ivoire",
TRUE,""
)</f>
        <v/>
      </c>
      <c r="W3243" s="40" t="str">
        <f t="shared" si="225"/>
        <v>Australia</v>
      </c>
    </row>
    <row r="3244" spans="19:23">
      <c r="S3244" s="40" t="str">
        <v>Denmark</v>
      </c>
      <c r="T3244" s="40" t="str">
        <f t="shared" si="223"/>
        <v>OK</v>
      </c>
      <c r="U3244" s="40" t="str">
        <f t="shared" si="224"/>
        <v>-</v>
      </c>
      <c r="V3244" s="40" t="str" cm="1">
        <f t="array" ref="V3244">_xlfn.IFS(
ISNUMBER(SEARCH("USA",S3244)),"United States",
ISNUMBER(SEARCH("Republic of Ireland",S3244)),"Ireland",
ISNUMBER(SEARCH("Republic of Korea",S3244)),"South Korea",
ISNUMBER(SEARCH("Cape Verde",S3244)),"Cabo Verde",
ISNUMBER(SEARCH("Czechia",S3244)),"Czech Republic",
ISNUMBER(SEARCH("Türkiye",S3244)),"Turkey",
ISNUMBER(SEARCH("Ivory Coast",S3244)),"Côte d'Ivoire",
ISNUMBER(SEARCH("Korea Republic",S3244)),"South Korea",
ISNUMBER(SEARCH("Germany FR",S3244)),"FR Germany",
ISNUMBER(SEARCH("West Germany",S3244)),"FR Germany",
ISNUMBER(SEARCH("Germany DR",S3244)),"DR Germany",
ISNUMBER(SEARCH("Korea DPR",S3244)),"North Korea",
ISNUMBER(SEARCH("China PR",S3244)),"China",
ISNUMBER(SEARCH("IR Iran",S3244)),"Iran",
ISNUMBER(SEARCH("Congo DR",S3244)),"Democratic Republic of the Congo",
ISNUMBER(SEARCH("DR Congo",S3244)),"Democratic Republic of the Congo",
ISNUMBER(SEARCH("German DR",S3244)),"DR Germany",
ISNUMBER(SEARCH("rn""&gt;United Arab Emirates",S3244)),"United Arab Emirates",
ISNUMBER(SEARCH("rn""&gt;Republic of Ireland",S3244)),"Ireland",
ISNUMBER(SEARCH("rn""&gt;Bosnia and Herzegovina",S3244)),"Bosnia and Herzegovina",
ISNUMBER(SEARCH("rn""&gt;Trinidad and Tobago",S3244)),"Trinidad and Tobago",
ISNUMBER(SEARCH("rn""&gt;Serbia and Montenegro",S3244)),"Serbia and Montenegro",
ISNUMBER(SEARCH(_xlfn.UNICHAR(65533),S3244)),"Côte d'Ivoire",
TRUE,""
)</f>
        <v/>
      </c>
      <c r="W3244" s="40" t="str">
        <f t="shared" si="225"/>
        <v>Denmark</v>
      </c>
    </row>
    <row r="3245" spans="19:23">
      <c r="S3245" s="40" t="str">
        <v>Iceland</v>
      </c>
      <c r="T3245" s="40" t="str">
        <f t="shared" si="223"/>
        <v>OK</v>
      </c>
      <c r="U3245" s="40" t="str">
        <f t="shared" si="224"/>
        <v>-</v>
      </c>
      <c r="V3245" s="40" t="str" cm="1">
        <f t="array" ref="V3245">_xlfn.IFS(
ISNUMBER(SEARCH("USA",S3245)),"United States",
ISNUMBER(SEARCH("Republic of Ireland",S3245)),"Ireland",
ISNUMBER(SEARCH("Republic of Korea",S3245)),"South Korea",
ISNUMBER(SEARCH("Cape Verde",S3245)),"Cabo Verde",
ISNUMBER(SEARCH("Czechia",S3245)),"Czech Republic",
ISNUMBER(SEARCH("Türkiye",S3245)),"Turkey",
ISNUMBER(SEARCH("Ivory Coast",S3245)),"Côte d'Ivoire",
ISNUMBER(SEARCH("Korea Republic",S3245)),"South Korea",
ISNUMBER(SEARCH("Germany FR",S3245)),"FR Germany",
ISNUMBER(SEARCH("West Germany",S3245)),"FR Germany",
ISNUMBER(SEARCH("Germany DR",S3245)),"DR Germany",
ISNUMBER(SEARCH("Korea DPR",S3245)),"North Korea",
ISNUMBER(SEARCH("China PR",S3245)),"China",
ISNUMBER(SEARCH("IR Iran",S3245)),"Iran",
ISNUMBER(SEARCH("Congo DR",S3245)),"Democratic Republic of the Congo",
ISNUMBER(SEARCH("DR Congo",S3245)),"Democratic Republic of the Congo",
ISNUMBER(SEARCH("German DR",S3245)),"DR Germany",
ISNUMBER(SEARCH("rn""&gt;United Arab Emirates",S3245)),"United Arab Emirates",
ISNUMBER(SEARCH("rn""&gt;Republic of Ireland",S3245)),"Ireland",
ISNUMBER(SEARCH("rn""&gt;Bosnia and Herzegovina",S3245)),"Bosnia and Herzegovina",
ISNUMBER(SEARCH("rn""&gt;Trinidad and Tobago",S3245)),"Trinidad and Tobago",
ISNUMBER(SEARCH("rn""&gt;Serbia and Montenegro",S3245)),"Serbia and Montenegro",
ISNUMBER(SEARCH(_xlfn.UNICHAR(65533),S3245)),"Côte d'Ivoire",
TRUE,""
)</f>
        <v/>
      </c>
      <c r="W3245" s="40" t="str">
        <f t="shared" si="225"/>
        <v>Iceland</v>
      </c>
    </row>
    <row r="3246" spans="19:23">
      <c r="S3246" s="40" t="str">
        <v>Nigeria</v>
      </c>
      <c r="T3246" s="40" t="str">
        <f t="shared" si="223"/>
        <v>OK</v>
      </c>
      <c r="U3246" s="40" t="str">
        <f t="shared" si="224"/>
        <v>-</v>
      </c>
      <c r="V3246" s="40" t="str" cm="1">
        <f t="array" ref="V3246">_xlfn.IFS(
ISNUMBER(SEARCH("USA",S3246)),"United States",
ISNUMBER(SEARCH("Republic of Ireland",S3246)),"Ireland",
ISNUMBER(SEARCH("Republic of Korea",S3246)),"South Korea",
ISNUMBER(SEARCH("Cape Verde",S3246)),"Cabo Verde",
ISNUMBER(SEARCH("Czechia",S3246)),"Czech Republic",
ISNUMBER(SEARCH("Türkiye",S3246)),"Turkey",
ISNUMBER(SEARCH("Ivory Coast",S3246)),"Côte d'Ivoire",
ISNUMBER(SEARCH("Korea Republic",S3246)),"South Korea",
ISNUMBER(SEARCH("Germany FR",S3246)),"FR Germany",
ISNUMBER(SEARCH("West Germany",S3246)),"FR Germany",
ISNUMBER(SEARCH("Germany DR",S3246)),"DR Germany",
ISNUMBER(SEARCH("Korea DPR",S3246)),"North Korea",
ISNUMBER(SEARCH("China PR",S3246)),"China",
ISNUMBER(SEARCH("IR Iran",S3246)),"Iran",
ISNUMBER(SEARCH("Congo DR",S3246)),"Democratic Republic of the Congo",
ISNUMBER(SEARCH("DR Congo",S3246)),"Democratic Republic of the Congo",
ISNUMBER(SEARCH("German DR",S3246)),"DR Germany",
ISNUMBER(SEARCH("rn""&gt;United Arab Emirates",S3246)),"United Arab Emirates",
ISNUMBER(SEARCH("rn""&gt;Republic of Ireland",S3246)),"Ireland",
ISNUMBER(SEARCH("rn""&gt;Bosnia and Herzegovina",S3246)),"Bosnia and Herzegovina",
ISNUMBER(SEARCH("rn""&gt;Trinidad and Tobago",S3246)),"Trinidad and Tobago",
ISNUMBER(SEARCH("rn""&gt;Serbia and Montenegro",S3246)),"Serbia and Montenegro",
ISNUMBER(SEARCH(_xlfn.UNICHAR(65533),S3246)),"Côte d'Ivoire",
TRUE,""
)</f>
        <v/>
      </c>
      <c r="W3246" s="40" t="str">
        <f t="shared" si="225"/>
        <v>Nigeria</v>
      </c>
    </row>
    <row r="3247" spans="19:23">
      <c r="S3247" s="40" t="str">
        <v>South Korea</v>
      </c>
      <c r="T3247" s="40" t="str">
        <f t="shared" si="223"/>
        <v>OK</v>
      </c>
      <c r="U3247" s="40" t="str">
        <f t="shared" si="224"/>
        <v>-</v>
      </c>
      <c r="V3247" s="40" t="str" cm="1">
        <f t="array" ref="V3247">_xlfn.IFS(
ISNUMBER(SEARCH("USA",S3247)),"United States",
ISNUMBER(SEARCH("Republic of Ireland",S3247)),"Ireland",
ISNUMBER(SEARCH("Republic of Korea",S3247)),"South Korea",
ISNUMBER(SEARCH("Cape Verde",S3247)),"Cabo Verde",
ISNUMBER(SEARCH("Czechia",S3247)),"Czech Republic",
ISNUMBER(SEARCH("Türkiye",S3247)),"Turkey",
ISNUMBER(SEARCH("Ivory Coast",S3247)),"Côte d'Ivoire",
ISNUMBER(SEARCH("Korea Republic",S3247)),"South Korea",
ISNUMBER(SEARCH("Germany FR",S3247)),"FR Germany",
ISNUMBER(SEARCH("West Germany",S3247)),"FR Germany",
ISNUMBER(SEARCH("Germany DR",S3247)),"DR Germany",
ISNUMBER(SEARCH("Korea DPR",S3247)),"North Korea",
ISNUMBER(SEARCH("China PR",S3247)),"China",
ISNUMBER(SEARCH("IR Iran",S3247)),"Iran",
ISNUMBER(SEARCH("Congo DR",S3247)),"Democratic Republic of the Congo",
ISNUMBER(SEARCH("DR Congo",S3247)),"Democratic Republic of the Congo",
ISNUMBER(SEARCH("German DR",S3247)),"DR Germany",
ISNUMBER(SEARCH("rn""&gt;United Arab Emirates",S3247)),"United Arab Emirates",
ISNUMBER(SEARCH("rn""&gt;Republic of Ireland",S3247)),"Ireland",
ISNUMBER(SEARCH("rn""&gt;Bosnia and Herzegovina",S3247)),"Bosnia and Herzegovina",
ISNUMBER(SEARCH("rn""&gt;Trinidad and Tobago",S3247)),"Trinidad and Tobago",
ISNUMBER(SEARCH("rn""&gt;Serbia and Montenegro",S3247)),"Serbia and Montenegro",
ISNUMBER(SEARCH(_xlfn.UNICHAR(65533),S3247)),"Côte d'Ivoire",
TRUE,""
)</f>
        <v/>
      </c>
      <c r="W3247" s="40" t="str">
        <f t="shared" si="225"/>
        <v>South Korea</v>
      </c>
    </row>
    <row r="3248" spans="19:23">
      <c r="S3248" s="40" t="str">
        <v>Mexico</v>
      </c>
      <c r="T3248" s="40" t="str">
        <f t="shared" si="223"/>
        <v>OK</v>
      </c>
      <c r="U3248" s="40" t="str">
        <f t="shared" si="224"/>
        <v>-</v>
      </c>
      <c r="V3248" s="40" t="str" cm="1">
        <f t="array" ref="V3248">_xlfn.IFS(
ISNUMBER(SEARCH("USA",S3248)),"United States",
ISNUMBER(SEARCH("Republic of Ireland",S3248)),"Ireland",
ISNUMBER(SEARCH("Republic of Korea",S3248)),"South Korea",
ISNUMBER(SEARCH("Cape Verde",S3248)),"Cabo Verde",
ISNUMBER(SEARCH("Czechia",S3248)),"Czech Republic",
ISNUMBER(SEARCH("Türkiye",S3248)),"Turkey",
ISNUMBER(SEARCH("Ivory Coast",S3248)),"Côte d'Ivoire",
ISNUMBER(SEARCH("Korea Republic",S3248)),"South Korea",
ISNUMBER(SEARCH("Germany FR",S3248)),"FR Germany",
ISNUMBER(SEARCH("West Germany",S3248)),"FR Germany",
ISNUMBER(SEARCH("Germany DR",S3248)),"DR Germany",
ISNUMBER(SEARCH("Korea DPR",S3248)),"North Korea",
ISNUMBER(SEARCH("China PR",S3248)),"China",
ISNUMBER(SEARCH("IR Iran",S3248)),"Iran",
ISNUMBER(SEARCH("Congo DR",S3248)),"Democratic Republic of the Congo",
ISNUMBER(SEARCH("DR Congo",S3248)),"Democratic Republic of the Congo",
ISNUMBER(SEARCH("German DR",S3248)),"DR Germany",
ISNUMBER(SEARCH("rn""&gt;United Arab Emirates",S3248)),"United Arab Emirates",
ISNUMBER(SEARCH("rn""&gt;Republic of Ireland",S3248)),"Ireland",
ISNUMBER(SEARCH("rn""&gt;Bosnia and Herzegovina",S3248)),"Bosnia and Herzegovina",
ISNUMBER(SEARCH("rn""&gt;Trinidad and Tobago",S3248)),"Trinidad and Tobago",
ISNUMBER(SEARCH("rn""&gt;Serbia and Montenegro",S3248)),"Serbia and Montenegro",
ISNUMBER(SEARCH(_xlfn.UNICHAR(65533),S3248)),"Côte d'Ivoire",
TRUE,""
)</f>
        <v/>
      </c>
      <c r="W3248" s="40" t="str">
        <f t="shared" si="225"/>
        <v>Mexico</v>
      </c>
    </row>
    <row r="3249" spans="19:23">
      <c r="S3249" s="40" t="str">
        <v>Serbia</v>
      </c>
      <c r="T3249" s="40" t="str">
        <f t="shared" si="223"/>
        <v>OK</v>
      </c>
      <c r="U3249" s="40" t="str">
        <f t="shared" si="224"/>
        <v>-</v>
      </c>
      <c r="V3249" s="40" t="str" cm="1">
        <f t="array" ref="V3249">_xlfn.IFS(
ISNUMBER(SEARCH("USA",S3249)),"United States",
ISNUMBER(SEARCH("Republic of Ireland",S3249)),"Ireland",
ISNUMBER(SEARCH("Republic of Korea",S3249)),"South Korea",
ISNUMBER(SEARCH("Cape Verde",S3249)),"Cabo Verde",
ISNUMBER(SEARCH("Czechia",S3249)),"Czech Republic",
ISNUMBER(SEARCH("Türkiye",S3249)),"Turkey",
ISNUMBER(SEARCH("Ivory Coast",S3249)),"Côte d'Ivoire",
ISNUMBER(SEARCH("Korea Republic",S3249)),"South Korea",
ISNUMBER(SEARCH("Germany FR",S3249)),"FR Germany",
ISNUMBER(SEARCH("West Germany",S3249)),"FR Germany",
ISNUMBER(SEARCH("Germany DR",S3249)),"DR Germany",
ISNUMBER(SEARCH("Korea DPR",S3249)),"North Korea",
ISNUMBER(SEARCH("China PR",S3249)),"China",
ISNUMBER(SEARCH("IR Iran",S3249)),"Iran",
ISNUMBER(SEARCH("Congo DR",S3249)),"Democratic Republic of the Congo",
ISNUMBER(SEARCH("DR Congo",S3249)),"Democratic Republic of the Congo",
ISNUMBER(SEARCH("German DR",S3249)),"DR Germany",
ISNUMBER(SEARCH("rn""&gt;United Arab Emirates",S3249)),"United Arab Emirates",
ISNUMBER(SEARCH("rn""&gt;Republic of Ireland",S3249)),"Ireland",
ISNUMBER(SEARCH("rn""&gt;Bosnia and Herzegovina",S3249)),"Bosnia and Herzegovina",
ISNUMBER(SEARCH("rn""&gt;Trinidad and Tobago",S3249)),"Trinidad and Tobago",
ISNUMBER(SEARCH("rn""&gt;Serbia and Montenegro",S3249)),"Serbia and Montenegro",
ISNUMBER(SEARCH(_xlfn.UNICHAR(65533),S3249)),"Côte d'Ivoire",
TRUE,""
)</f>
        <v/>
      </c>
      <c r="W3249" s="40" t="str">
        <f t="shared" si="225"/>
        <v>Serbia</v>
      </c>
    </row>
    <row r="3250" spans="19:23">
      <c r="S3250" s="40" t="str">
        <v>Switzerland</v>
      </c>
      <c r="T3250" s="40" t="str">
        <f t="shared" si="223"/>
        <v>OK</v>
      </c>
      <c r="U3250" s="40" t="str">
        <f t="shared" si="224"/>
        <v>-</v>
      </c>
      <c r="V3250" s="40" t="str" cm="1">
        <f t="array" ref="V3250">_xlfn.IFS(
ISNUMBER(SEARCH("USA",S3250)),"United States",
ISNUMBER(SEARCH("Republic of Ireland",S3250)),"Ireland",
ISNUMBER(SEARCH("Republic of Korea",S3250)),"South Korea",
ISNUMBER(SEARCH("Cape Verde",S3250)),"Cabo Verde",
ISNUMBER(SEARCH("Czechia",S3250)),"Czech Republic",
ISNUMBER(SEARCH("Türkiye",S3250)),"Turkey",
ISNUMBER(SEARCH("Ivory Coast",S3250)),"Côte d'Ivoire",
ISNUMBER(SEARCH("Korea Republic",S3250)),"South Korea",
ISNUMBER(SEARCH("Germany FR",S3250)),"FR Germany",
ISNUMBER(SEARCH("West Germany",S3250)),"FR Germany",
ISNUMBER(SEARCH("Germany DR",S3250)),"DR Germany",
ISNUMBER(SEARCH("Korea DPR",S3250)),"North Korea",
ISNUMBER(SEARCH("China PR",S3250)),"China",
ISNUMBER(SEARCH("IR Iran",S3250)),"Iran",
ISNUMBER(SEARCH("Congo DR",S3250)),"Democratic Republic of the Congo",
ISNUMBER(SEARCH("DR Congo",S3250)),"Democratic Republic of the Congo",
ISNUMBER(SEARCH("German DR",S3250)),"DR Germany",
ISNUMBER(SEARCH("rn""&gt;United Arab Emirates",S3250)),"United Arab Emirates",
ISNUMBER(SEARCH("rn""&gt;Republic of Ireland",S3250)),"Ireland",
ISNUMBER(SEARCH("rn""&gt;Bosnia and Herzegovina",S3250)),"Bosnia and Herzegovina",
ISNUMBER(SEARCH("rn""&gt;Trinidad and Tobago",S3250)),"Trinidad and Tobago",
ISNUMBER(SEARCH("rn""&gt;Serbia and Montenegro",S3250)),"Serbia and Montenegro",
ISNUMBER(SEARCH(_xlfn.UNICHAR(65533),S3250)),"Côte d'Ivoire",
TRUE,""
)</f>
        <v/>
      </c>
      <c r="W3250" s="40" t="str">
        <f t="shared" si="225"/>
        <v>Switzerland</v>
      </c>
    </row>
    <row r="3251" spans="19:23">
      <c r="S3251" s="40" t="str">
        <v>Japan</v>
      </c>
      <c r="T3251" s="40" t="str">
        <f t="shared" si="223"/>
        <v>OK</v>
      </c>
      <c r="U3251" s="40" t="str">
        <f t="shared" si="224"/>
        <v>-</v>
      </c>
      <c r="V3251" s="40" t="str" cm="1">
        <f t="array" ref="V3251">_xlfn.IFS(
ISNUMBER(SEARCH("USA",S3251)),"United States",
ISNUMBER(SEARCH("Republic of Ireland",S3251)),"Ireland",
ISNUMBER(SEARCH("Republic of Korea",S3251)),"South Korea",
ISNUMBER(SEARCH("Cape Verde",S3251)),"Cabo Verde",
ISNUMBER(SEARCH("Czechia",S3251)),"Czech Republic",
ISNUMBER(SEARCH("Türkiye",S3251)),"Turkey",
ISNUMBER(SEARCH("Ivory Coast",S3251)),"Côte d'Ivoire",
ISNUMBER(SEARCH("Korea Republic",S3251)),"South Korea",
ISNUMBER(SEARCH("Germany FR",S3251)),"FR Germany",
ISNUMBER(SEARCH("West Germany",S3251)),"FR Germany",
ISNUMBER(SEARCH("Germany DR",S3251)),"DR Germany",
ISNUMBER(SEARCH("Korea DPR",S3251)),"North Korea",
ISNUMBER(SEARCH("China PR",S3251)),"China",
ISNUMBER(SEARCH("IR Iran",S3251)),"Iran",
ISNUMBER(SEARCH("Congo DR",S3251)),"Democratic Republic of the Congo",
ISNUMBER(SEARCH("DR Congo",S3251)),"Democratic Republic of the Congo",
ISNUMBER(SEARCH("German DR",S3251)),"DR Germany",
ISNUMBER(SEARCH("rn""&gt;United Arab Emirates",S3251)),"United Arab Emirates",
ISNUMBER(SEARCH("rn""&gt;Republic of Ireland",S3251)),"Ireland",
ISNUMBER(SEARCH("rn""&gt;Bosnia and Herzegovina",S3251)),"Bosnia and Herzegovina",
ISNUMBER(SEARCH("rn""&gt;Trinidad and Tobago",S3251)),"Trinidad and Tobago",
ISNUMBER(SEARCH("rn""&gt;Serbia and Montenegro",S3251)),"Serbia and Montenegro",
ISNUMBER(SEARCH(_xlfn.UNICHAR(65533),S3251)),"Côte d'Ivoire",
TRUE,""
)</f>
        <v/>
      </c>
      <c r="W3251" s="40" t="str">
        <f t="shared" si="225"/>
        <v>Japan</v>
      </c>
    </row>
    <row r="3252" spans="19:23">
      <c r="S3252" s="40" t="str">
        <v>Senegal</v>
      </c>
      <c r="T3252" s="40" t="str">
        <f t="shared" si="223"/>
        <v>OK</v>
      </c>
      <c r="U3252" s="40" t="str">
        <f t="shared" si="224"/>
        <v>-</v>
      </c>
      <c r="V3252" s="40" t="str" cm="1">
        <f t="array" ref="V3252">_xlfn.IFS(
ISNUMBER(SEARCH("USA",S3252)),"United States",
ISNUMBER(SEARCH("Republic of Ireland",S3252)),"Ireland",
ISNUMBER(SEARCH("Republic of Korea",S3252)),"South Korea",
ISNUMBER(SEARCH("Cape Verde",S3252)),"Cabo Verde",
ISNUMBER(SEARCH("Czechia",S3252)),"Czech Republic",
ISNUMBER(SEARCH("Türkiye",S3252)),"Turkey",
ISNUMBER(SEARCH("Ivory Coast",S3252)),"Côte d'Ivoire",
ISNUMBER(SEARCH("Korea Republic",S3252)),"South Korea",
ISNUMBER(SEARCH("Germany FR",S3252)),"FR Germany",
ISNUMBER(SEARCH("West Germany",S3252)),"FR Germany",
ISNUMBER(SEARCH("Germany DR",S3252)),"DR Germany",
ISNUMBER(SEARCH("Korea DPR",S3252)),"North Korea",
ISNUMBER(SEARCH("China PR",S3252)),"China",
ISNUMBER(SEARCH("IR Iran",S3252)),"Iran",
ISNUMBER(SEARCH("Congo DR",S3252)),"Democratic Republic of the Congo",
ISNUMBER(SEARCH("DR Congo",S3252)),"Democratic Republic of the Congo",
ISNUMBER(SEARCH("German DR",S3252)),"DR Germany",
ISNUMBER(SEARCH("rn""&gt;United Arab Emirates",S3252)),"United Arab Emirates",
ISNUMBER(SEARCH("rn""&gt;Republic of Ireland",S3252)),"Ireland",
ISNUMBER(SEARCH("rn""&gt;Bosnia and Herzegovina",S3252)),"Bosnia and Herzegovina",
ISNUMBER(SEARCH("rn""&gt;Trinidad and Tobago",S3252)),"Trinidad and Tobago",
ISNUMBER(SEARCH("rn""&gt;Serbia and Montenegro",S3252)),"Serbia and Montenegro",
ISNUMBER(SEARCH(_xlfn.UNICHAR(65533),S3252)),"Côte d'Ivoire",
TRUE,""
)</f>
        <v/>
      </c>
      <c r="W3252" s="40" t="str">
        <f t="shared" si="225"/>
        <v>Senegal</v>
      </c>
    </row>
    <row r="3253" spans="19:23">
      <c r="S3253" s="40" t="str">
        <v>England</v>
      </c>
      <c r="T3253" s="40" t="str">
        <f t="shared" si="223"/>
        <v>ERREUR</v>
      </c>
      <c r="U3253" s="40" t="str">
        <f t="shared" si="224"/>
        <v>AUCUNE</v>
      </c>
      <c r="V3253" s="40" t="str" cm="1">
        <f t="array" ref="V3253">_xlfn.IFS(
ISNUMBER(SEARCH("USA",S3253)),"United States",
ISNUMBER(SEARCH("Republic of Ireland",S3253)),"Ireland",
ISNUMBER(SEARCH("Republic of Korea",S3253)),"South Korea",
ISNUMBER(SEARCH("Cape Verde",S3253)),"Cabo Verde",
ISNUMBER(SEARCH("Czechia",S3253)),"Czech Republic",
ISNUMBER(SEARCH("Türkiye",S3253)),"Turkey",
ISNUMBER(SEARCH("Ivory Coast",S3253)),"Côte d'Ivoire",
ISNUMBER(SEARCH("Korea Republic",S3253)),"South Korea",
ISNUMBER(SEARCH("Germany FR",S3253)),"FR Germany",
ISNUMBER(SEARCH("West Germany",S3253)),"FR Germany",
ISNUMBER(SEARCH("Germany DR",S3253)),"DR Germany",
ISNUMBER(SEARCH("Korea DPR",S3253)),"North Korea",
ISNUMBER(SEARCH("China PR",S3253)),"China",
ISNUMBER(SEARCH("IR Iran",S3253)),"Iran",
ISNUMBER(SEARCH("Congo DR",S3253)),"Democratic Republic of the Congo",
ISNUMBER(SEARCH("DR Congo",S3253)),"Democratic Republic of the Congo",
ISNUMBER(SEARCH("German DR",S3253)),"DR Germany",
ISNUMBER(SEARCH("rn""&gt;United Arab Emirates",S3253)),"United Arab Emirates",
ISNUMBER(SEARCH("rn""&gt;Republic of Ireland",S3253)),"Ireland",
ISNUMBER(SEARCH("rn""&gt;Bosnia and Herzegovina",S3253)),"Bosnia and Herzegovina",
ISNUMBER(SEARCH("rn""&gt;Trinidad and Tobago",S3253)),"Trinidad and Tobago",
ISNUMBER(SEARCH("rn""&gt;Serbia and Montenegro",S3253)),"Serbia and Montenegro",
ISNUMBER(SEARCH(_xlfn.UNICHAR(65533),S3253)),"Côte d'Ivoire",
TRUE,""
)</f>
        <v/>
      </c>
      <c r="W3253" s="40" t="str">
        <f t="shared" si="225"/>
        <v>England</v>
      </c>
    </row>
    <row r="3254" spans="19:23">
      <c r="S3254" s="40" t="str">
        <v>Panama</v>
      </c>
      <c r="T3254" s="40" t="str">
        <f t="shared" si="223"/>
        <v>OK</v>
      </c>
      <c r="U3254" s="40" t="str">
        <f t="shared" si="224"/>
        <v>-</v>
      </c>
      <c r="V3254" s="40" t="str" cm="1">
        <f t="array" ref="V3254">_xlfn.IFS(
ISNUMBER(SEARCH("USA",S3254)),"United States",
ISNUMBER(SEARCH("Republic of Ireland",S3254)),"Ireland",
ISNUMBER(SEARCH("Republic of Korea",S3254)),"South Korea",
ISNUMBER(SEARCH("Cape Verde",S3254)),"Cabo Verde",
ISNUMBER(SEARCH("Czechia",S3254)),"Czech Republic",
ISNUMBER(SEARCH("Türkiye",S3254)),"Turkey",
ISNUMBER(SEARCH("Ivory Coast",S3254)),"Côte d'Ivoire",
ISNUMBER(SEARCH("Korea Republic",S3254)),"South Korea",
ISNUMBER(SEARCH("Germany FR",S3254)),"FR Germany",
ISNUMBER(SEARCH("West Germany",S3254)),"FR Germany",
ISNUMBER(SEARCH("Germany DR",S3254)),"DR Germany",
ISNUMBER(SEARCH("Korea DPR",S3254)),"North Korea",
ISNUMBER(SEARCH("China PR",S3254)),"China",
ISNUMBER(SEARCH("IR Iran",S3254)),"Iran",
ISNUMBER(SEARCH("Congo DR",S3254)),"Democratic Republic of the Congo",
ISNUMBER(SEARCH("DR Congo",S3254)),"Democratic Republic of the Congo",
ISNUMBER(SEARCH("German DR",S3254)),"DR Germany",
ISNUMBER(SEARCH("rn""&gt;United Arab Emirates",S3254)),"United Arab Emirates",
ISNUMBER(SEARCH("rn""&gt;Republic of Ireland",S3254)),"Ireland",
ISNUMBER(SEARCH("rn""&gt;Bosnia and Herzegovina",S3254)),"Bosnia and Herzegovina",
ISNUMBER(SEARCH("rn""&gt;Trinidad and Tobago",S3254)),"Trinidad and Tobago",
ISNUMBER(SEARCH("rn""&gt;Serbia and Montenegro",S3254)),"Serbia and Montenegro",
ISNUMBER(SEARCH(_xlfn.UNICHAR(65533),S3254)),"Côte d'Ivoire",
TRUE,""
)</f>
        <v/>
      </c>
      <c r="W3254" s="40" t="str">
        <f t="shared" si="225"/>
        <v>Panama</v>
      </c>
    </row>
    <row r="3255" spans="19:23">
      <c r="S3255" s="40" t="str">
        <v>France</v>
      </c>
      <c r="T3255" s="40" t="str">
        <f t="shared" si="223"/>
        <v>OK</v>
      </c>
      <c r="U3255" s="40" t="str">
        <f t="shared" si="224"/>
        <v>-</v>
      </c>
      <c r="V3255" s="40" t="str" cm="1">
        <f t="array" ref="V3255">_xlfn.IFS(
ISNUMBER(SEARCH("USA",S3255)),"United States",
ISNUMBER(SEARCH("Republic of Ireland",S3255)),"Ireland",
ISNUMBER(SEARCH("Republic of Korea",S3255)),"South Korea",
ISNUMBER(SEARCH("Cape Verde",S3255)),"Cabo Verde",
ISNUMBER(SEARCH("Czechia",S3255)),"Czech Republic",
ISNUMBER(SEARCH("Türkiye",S3255)),"Turkey",
ISNUMBER(SEARCH("Ivory Coast",S3255)),"Côte d'Ivoire",
ISNUMBER(SEARCH("Korea Republic",S3255)),"South Korea",
ISNUMBER(SEARCH("Germany FR",S3255)),"FR Germany",
ISNUMBER(SEARCH("West Germany",S3255)),"FR Germany",
ISNUMBER(SEARCH("Germany DR",S3255)),"DR Germany",
ISNUMBER(SEARCH("Korea DPR",S3255)),"North Korea",
ISNUMBER(SEARCH("China PR",S3255)),"China",
ISNUMBER(SEARCH("IR Iran",S3255)),"Iran",
ISNUMBER(SEARCH("Congo DR",S3255)),"Democratic Republic of the Congo",
ISNUMBER(SEARCH("DR Congo",S3255)),"Democratic Republic of the Congo",
ISNUMBER(SEARCH("German DR",S3255)),"DR Germany",
ISNUMBER(SEARCH("rn""&gt;United Arab Emirates",S3255)),"United Arab Emirates",
ISNUMBER(SEARCH("rn""&gt;Republic of Ireland",S3255)),"Ireland",
ISNUMBER(SEARCH("rn""&gt;Bosnia and Herzegovina",S3255)),"Bosnia and Herzegovina",
ISNUMBER(SEARCH("rn""&gt;Trinidad and Tobago",S3255)),"Trinidad and Tobago",
ISNUMBER(SEARCH("rn""&gt;Serbia and Montenegro",S3255)),"Serbia and Montenegro",
ISNUMBER(SEARCH(_xlfn.UNICHAR(65533),S3255)),"Côte d'Ivoire",
TRUE,""
)</f>
        <v/>
      </c>
      <c r="W3255" s="40" t="str">
        <f t="shared" si="225"/>
        <v>France</v>
      </c>
    </row>
    <row r="3256" spans="19:23">
      <c r="S3256" s="40" t="str">
        <v>Uruguay</v>
      </c>
      <c r="T3256" s="40" t="str">
        <f t="shared" si="223"/>
        <v>OK</v>
      </c>
      <c r="U3256" s="40" t="str">
        <f t="shared" si="224"/>
        <v>-</v>
      </c>
      <c r="V3256" s="40" t="str" cm="1">
        <f t="array" ref="V3256">_xlfn.IFS(
ISNUMBER(SEARCH("USA",S3256)),"United States",
ISNUMBER(SEARCH("Republic of Ireland",S3256)),"Ireland",
ISNUMBER(SEARCH("Republic of Korea",S3256)),"South Korea",
ISNUMBER(SEARCH("Cape Verde",S3256)),"Cabo Verde",
ISNUMBER(SEARCH("Czechia",S3256)),"Czech Republic",
ISNUMBER(SEARCH("Türkiye",S3256)),"Turkey",
ISNUMBER(SEARCH("Ivory Coast",S3256)),"Côte d'Ivoire",
ISNUMBER(SEARCH("Korea Republic",S3256)),"South Korea",
ISNUMBER(SEARCH("Germany FR",S3256)),"FR Germany",
ISNUMBER(SEARCH("West Germany",S3256)),"FR Germany",
ISNUMBER(SEARCH("Germany DR",S3256)),"DR Germany",
ISNUMBER(SEARCH("Korea DPR",S3256)),"North Korea",
ISNUMBER(SEARCH("China PR",S3256)),"China",
ISNUMBER(SEARCH("IR Iran",S3256)),"Iran",
ISNUMBER(SEARCH("Congo DR",S3256)),"Democratic Republic of the Congo",
ISNUMBER(SEARCH("DR Congo",S3256)),"Democratic Republic of the Congo",
ISNUMBER(SEARCH("German DR",S3256)),"DR Germany",
ISNUMBER(SEARCH("rn""&gt;United Arab Emirates",S3256)),"United Arab Emirates",
ISNUMBER(SEARCH("rn""&gt;Republic of Ireland",S3256)),"Ireland",
ISNUMBER(SEARCH("rn""&gt;Bosnia and Herzegovina",S3256)),"Bosnia and Herzegovina",
ISNUMBER(SEARCH("rn""&gt;Trinidad and Tobago",S3256)),"Trinidad and Tobago",
ISNUMBER(SEARCH("rn""&gt;Serbia and Montenegro",S3256)),"Serbia and Montenegro",
ISNUMBER(SEARCH(_xlfn.UNICHAR(65533),S3256)),"Côte d'Ivoire",
TRUE,""
)</f>
        <v/>
      </c>
      <c r="W3256" s="40" t="str">
        <f t="shared" si="225"/>
        <v>Uruguay</v>
      </c>
    </row>
    <row r="3257" spans="19:23">
      <c r="S3257" s="40" t="str">
        <v>Spain</v>
      </c>
      <c r="T3257" s="40" t="str">
        <f t="shared" si="223"/>
        <v>OK</v>
      </c>
      <c r="U3257" s="40" t="str">
        <f t="shared" si="224"/>
        <v>-</v>
      </c>
      <c r="V3257" s="40" t="str" cm="1">
        <f t="array" ref="V3257">_xlfn.IFS(
ISNUMBER(SEARCH("USA",S3257)),"United States",
ISNUMBER(SEARCH("Republic of Ireland",S3257)),"Ireland",
ISNUMBER(SEARCH("Republic of Korea",S3257)),"South Korea",
ISNUMBER(SEARCH("Cape Verde",S3257)),"Cabo Verde",
ISNUMBER(SEARCH("Czechia",S3257)),"Czech Republic",
ISNUMBER(SEARCH("Türkiye",S3257)),"Turkey",
ISNUMBER(SEARCH("Ivory Coast",S3257)),"Côte d'Ivoire",
ISNUMBER(SEARCH("Korea Republic",S3257)),"South Korea",
ISNUMBER(SEARCH("Germany FR",S3257)),"FR Germany",
ISNUMBER(SEARCH("West Germany",S3257)),"FR Germany",
ISNUMBER(SEARCH("Germany DR",S3257)),"DR Germany",
ISNUMBER(SEARCH("Korea DPR",S3257)),"North Korea",
ISNUMBER(SEARCH("China PR",S3257)),"China",
ISNUMBER(SEARCH("IR Iran",S3257)),"Iran",
ISNUMBER(SEARCH("Congo DR",S3257)),"Democratic Republic of the Congo",
ISNUMBER(SEARCH("DR Congo",S3257)),"Democratic Republic of the Congo",
ISNUMBER(SEARCH("German DR",S3257)),"DR Germany",
ISNUMBER(SEARCH("rn""&gt;United Arab Emirates",S3257)),"United Arab Emirates",
ISNUMBER(SEARCH("rn""&gt;Republic of Ireland",S3257)),"Ireland",
ISNUMBER(SEARCH("rn""&gt;Bosnia and Herzegovina",S3257)),"Bosnia and Herzegovina",
ISNUMBER(SEARCH("rn""&gt;Trinidad and Tobago",S3257)),"Trinidad and Tobago",
ISNUMBER(SEARCH("rn""&gt;Serbia and Montenegro",S3257)),"Serbia and Montenegro",
ISNUMBER(SEARCH(_xlfn.UNICHAR(65533),S3257)),"Côte d'Ivoire",
TRUE,""
)</f>
        <v/>
      </c>
      <c r="W3257" s="40" t="str">
        <f t="shared" si="225"/>
        <v>Spain</v>
      </c>
    </row>
    <row r="3258" spans="19:23">
      <c r="S3258" s="40" t="str">
        <v>Croatia</v>
      </c>
      <c r="T3258" s="40" t="str">
        <f t="shared" si="223"/>
        <v>OK</v>
      </c>
      <c r="U3258" s="40" t="str">
        <f t="shared" si="224"/>
        <v>-</v>
      </c>
      <c r="V3258" s="40" t="str" cm="1">
        <f t="array" ref="V3258">_xlfn.IFS(
ISNUMBER(SEARCH("USA",S3258)),"United States",
ISNUMBER(SEARCH("Republic of Ireland",S3258)),"Ireland",
ISNUMBER(SEARCH("Republic of Korea",S3258)),"South Korea",
ISNUMBER(SEARCH("Cape Verde",S3258)),"Cabo Verde",
ISNUMBER(SEARCH("Czechia",S3258)),"Czech Republic",
ISNUMBER(SEARCH("Türkiye",S3258)),"Turkey",
ISNUMBER(SEARCH("Ivory Coast",S3258)),"Côte d'Ivoire",
ISNUMBER(SEARCH("Korea Republic",S3258)),"South Korea",
ISNUMBER(SEARCH("Germany FR",S3258)),"FR Germany",
ISNUMBER(SEARCH("West Germany",S3258)),"FR Germany",
ISNUMBER(SEARCH("Germany DR",S3258)),"DR Germany",
ISNUMBER(SEARCH("Korea DPR",S3258)),"North Korea",
ISNUMBER(SEARCH("China PR",S3258)),"China",
ISNUMBER(SEARCH("IR Iran",S3258)),"Iran",
ISNUMBER(SEARCH("Congo DR",S3258)),"Democratic Republic of the Congo",
ISNUMBER(SEARCH("DR Congo",S3258)),"Democratic Republic of the Congo",
ISNUMBER(SEARCH("German DR",S3258)),"DR Germany",
ISNUMBER(SEARCH("rn""&gt;United Arab Emirates",S3258)),"United Arab Emirates",
ISNUMBER(SEARCH("rn""&gt;Republic of Ireland",S3258)),"Ireland",
ISNUMBER(SEARCH("rn""&gt;Bosnia and Herzegovina",S3258)),"Bosnia and Herzegovina",
ISNUMBER(SEARCH("rn""&gt;Trinidad and Tobago",S3258)),"Trinidad and Tobago",
ISNUMBER(SEARCH("rn""&gt;Serbia and Montenegro",S3258)),"Serbia and Montenegro",
ISNUMBER(SEARCH(_xlfn.UNICHAR(65533),S3258)),"Côte d'Ivoire",
TRUE,""
)</f>
        <v/>
      </c>
      <c r="W3258" s="40" t="str">
        <f t="shared" si="225"/>
        <v>Croatia</v>
      </c>
    </row>
    <row r="3259" spans="19:23">
      <c r="S3259" s="40" t="str">
        <v>Brazil</v>
      </c>
      <c r="T3259" s="40" t="str">
        <f t="shared" si="223"/>
        <v>OK</v>
      </c>
      <c r="U3259" s="40" t="str">
        <f t="shared" si="224"/>
        <v>-</v>
      </c>
      <c r="V3259" s="40" t="str" cm="1">
        <f t="array" ref="V3259">_xlfn.IFS(
ISNUMBER(SEARCH("USA",S3259)),"United States",
ISNUMBER(SEARCH("Republic of Ireland",S3259)),"Ireland",
ISNUMBER(SEARCH("Republic of Korea",S3259)),"South Korea",
ISNUMBER(SEARCH("Cape Verde",S3259)),"Cabo Verde",
ISNUMBER(SEARCH("Czechia",S3259)),"Czech Republic",
ISNUMBER(SEARCH("Türkiye",S3259)),"Turkey",
ISNUMBER(SEARCH("Ivory Coast",S3259)),"Côte d'Ivoire",
ISNUMBER(SEARCH("Korea Republic",S3259)),"South Korea",
ISNUMBER(SEARCH("Germany FR",S3259)),"FR Germany",
ISNUMBER(SEARCH("West Germany",S3259)),"FR Germany",
ISNUMBER(SEARCH("Germany DR",S3259)),"DR Germany",
ISNUMBER(SEARCH("Korea DPR",S3259)),"North Korea",
ISNUMBER(SEARCH("China PR",S3259)),"China",
ISNUMBER(SEARCH("IR Iran",S3259)),"Iran",
ISNUMBER(SEARCH("Congo DR",S3259)),"Democratic Republic of the Congo",
ISNUMBER(SEARCH("DR Congo",S3259)),"Democratic Republic of the Congo",
ISNUMBER(SEARCH("German DR",S3259)),"DR Germany",
ISNUMBER(SEARCH("rn""&gt;United Arab Emirates",S3259)),"United Arab Emirates",
ISNUMBER(SEARCH("rn""&gt;Republic of Ireland",S3259)),"Ireland",
ISNUMBER(SEARCH("rn""&gt;Bosnia and Herzegovina",S3259)),"Bosnia and Herzegovina",
ISNUMBER(SEARCH("rn""&gt;Trinidad and Tobago",S3259)),"Trinidad and Tobago",
ISNUMBER(SEARCH("rn""&gt;Serbia and Montenegro",S3259)),"Serbia and Montenegro",
ISNUMBER(SEARCH(_xlfn.UNICHAR(65533),S3259)),"Côte d'Ivoire",
TRUE,""
)</f>
        <v/>
      </c>
      <c r="W3259" s="40" t="str">
        <f t="shared" si="225"/>
        <v>Brazil</v>
      </c>
    </row>
    <row r="3260" spans="19:23">
      <c r="S3260" s="40" t="str">
        <v>Belgium</v>
      </c>
      <c r="T3260" s="40" t="str">
        <f t="shared" si="223"/>
        <v>OK</v>
      </c>
      <c r="U3260" s="40" t="str">
        <f t="shared" si="224"/>
        <v>-</v>
      </c>
      <c r="V3260" s="40" t="str" cm="1">
        <f t="array" ref="V3260">_xlfn.IFS(
ISNUMBER(SEARCH("USA",S3260)),"United States",
ISNUMBER(SEARCH("Republic of Ireland",S3260)),"Ireland",
ISNUMBER(SEARCH("Republic of Korea",S3260)),"South Korea",
ISNUMBER(SEARCH("Cape Verde",S3260)),"Cabo Verde",
ISNUMBER(SEARCH("Czechia",S3260)),"Czech Republic",
ISNUMBER(SEARCH("Türkiye",S3260)),"Turkey",
ISNUMBER(SEARCH("Ivory Coast",S3260)),"Côte d'Ivoire",
ISNUMBER(SEARCH("Korea Republic",S3260)),"South Korea",
ISNUMBER(SEARCH("Germany FR",S3260)),"FR Germany",
ISNUMBER(SEARCH("West Germany",S3260)),"FR Germany",
ISNUMBER(SEARCH("Germany DR",S3260)),"DR Germany",
ISNUMBER(SEARCH("Korea DPR",S3260)),"North Korea",
ISNUMBER(SEARCH("China PR",S3260)),"China",
ISNUMBER(SEARCH("IR Iran",S3260)),"Iran",
ISNUMBER(SEARCH("Congo DR",S3260)),"Democratic Republic of the Congo",
ISNUMBER(SEARCH("DR Congo",S3260)),"Democratic Republic of the Congo",
ISNUMBER(SEARCH("German DR",S3260)),"DR Germany",
ISNUMBER(SEARCH("rn""&gt;United Arab Emirates",S3260)),"United Arab Emirates",
ISNUMBER(SEARCH("rn""&gt;Republic of Ireland",S3260)),"Ireland",
ISNUMBER(SEARCH("rn""&gt;Bosnia and Herzegovina",S3260)),"Bosnia and Herzegovina",
ISNUMBER(SEARCH("rn""&gt;Trinidad and Tobago",S3260)),"Trinidad and Tobago",
ISNUMBER(SEARCH("rn""&gt;Serbia and Montenegro",S3260)),"Serbia and Montenegro",
ISNUMBER(SEARCH(_xlfn.UNICHAR(65533),S3260)),"Côte d'Ivoire",
TRUE,""
)</f>
        <v/>
      </c>
      <c r="W3260" s="40" t="str">
        <f t="shared" si="225"/>
        <v>Belgium</v>
      </c>
    </row>
    <row r="3261" spans="19:23">
      <c r="S3261" s="40" t="str">
        <v>Sweden</v>
      </c>
      <c r="T3261" s="40" t="str">
        <f t="shared" si="223"/>
        <v>OK</v>
      </c>
      <c r="U3261" s="40" t="str">
        <f t="shared" si="224"/>
        <v>-</v>
      </c>
      <c r="V3261" s="40" t="str" cm="1">
        <f t="array" ref="V3261">_xlfn.IFS(
ISNUMBER(SEARCH("USA",S3261)),"United States",
ISNUMBER(SEARCH("Republic of Ireland",S3261)),"Ireland",
ISNUMBER(SEARCH("Republic of Korea",S3261)),"South Korea",
ISNUMBER(SEARCH("Cape Verde",S3261)),"Cabo Verde",
ISNUMBER(SEARCH("Czechia",S3261)),"Czech Republic",
ISNUMBER(SEARCH("Türkiye",S3261)),"Turkey",
ISNUMBER(SEARCH("Ivory Coast",S3261)),"Côte d'Ivoire",
ISNUMBER(SEARCH("Korea Republic",S3261)),"South Korea",
ISNUMBER(SEARCH("Germany FR",S3261)),"FR Germany",
ISNUMBER(SEARCH("West Germany",S3261)),"FR Germany",
ISNUMBER(SEARCH("Germany DR",S3261)),"DR Germany",
ISNUMBER(SEARCH("Korea DPR",S3261)),"North Korea",
ISNUMBER(SEARCH("China PR",S3261)),"China",
ISNUMBER(SEARCH("IR Iran",S3261)),"Iran",
ISNUMBER(SEARCH("Congo DR",S3261)),"Democratic Republic of the Congo",
ISNUMBER(SEARCH("DR Congo",S3261)),"Democratic Republic of the Congo",
ISNUMBER(SEARCH("German DR",S3261)),"DR Germany",
ISNUMBER(SEARCH("rn""&gt;United Arab Emirates",S3261)),"United Arab Emirates",
ISNUMBER(SEARCH("rn""&gt;Republic of Ireland",S3261)),"Ireland",
ISNUMBER(SEARCH("rn""&gt;Bosnia and Herzegovina",S3261)),"Bosnia and Herzegovina",
ISNUMBER(SEARCH("rn""&gt;Trinidad and Tobago",S3261)),"Trinidad and Tobago",
ISNUMBER(SEARCH("rn""&gt;Serbia and Montenegro",S3261)),"Serbia and Montenegro",
ISNUMBER(SEARCH(_xlfn.UNICHAR(65533),S3261)),"Côte d'Ivoire",
TRUE,""
)</f>
        <v/>
      </c>
      <c r="W3261" s="40" t="str">
        <f t="shared" si="225"/>
        <v>Sweden</v>
      </c>
    </row>
    <row r="3262" spans="19:23">
      <c r="S3262" s="40" t="str">
        <v>Colombia</v>
      </c>
      <c r="T3262" s="40" t="str">
        <f t="shared" si="223"/>
        <v>OK</v>
      </c>
      <c r="U3262" s="40" t="str">
        <f t="shared" si="224"/>
        <v>-</v>
      </c>
      <c r="V3262" s="40" t="str" cm="1">
        <f t="array" ref="V3262">_xlfn.IFS(
ISNUMBER(SEARCH("USA",S3262)),"United States",
ISNUMBER(SEARCH("Republic of Ireland",S3262)),"Ireland",
ISNUMBER(SEARCH("Republic of Korea",S3262)),"South Korea",
ISNUMBER(SEARCH("Cape Verde",S3262)),"Cabo Verde",
ISNUMBER(SEARCH("Czechia",S3262)),"Czech Republic",
ISNUMBER(SEARCH("Türkiye",S3262)),"Turkey",
ISNUMBER(SEARCH("Ivory Coast",S3262)),"Côte d'Ivoire",
ISNUMBER(SEARCH("Korea Republic",S3262)),"South Korea",
ISNUMBER(SEARCH("Germany FR",S3262)),"FR Germany",
ISNUMBER(SEARCH("West Germany",S3262)),"FR Germany",
ISNUMBER(SEARCH("Germany DR",S3262)),"DR Germany",
ISNUMBER(SEARCH("Korea DPR",S3262)),"North Korea",
ISNUMBER(SEARCH("China PR",S3262)),"China",
ISNUMBER(SEARCH("IR Iran",S3262)),"Iran",
ISNUMBER(SEARCH("Congo DR",S3262)),"Democratic Republic of the Congo",
ISNUMBER(SEARCH("DR Congo",S3262)),"Democratic Republic of the Congo",
ISNUMBER(SEARCH("German DR",S3262)),"DR Germany",
ISNUMBER(SEARCH("rn""&gt;United Arab Emirates",S3262)),"United Arab Emirates",
ISNUMBER(SEARCH("rn""&gt;Republic of Ireland",S3262)),"Ireland",
ISNUMBER(SEARCH("rn""&gt;Bosnia and Herzegovina",S3262)),"Bosnia and Herzegovina",
ISNUMBER(SEARCH("rn""&gt;Trinidad and Tobago",S3262)),"Trinidad and Tobago",
ISNUMBER(SEARCH("rn""&gt;Serbia and Montenegro",S3262)),"Serbia and Montenegro",
ISNUMBER(SEARCH(_xlfn.UNICHAR(65533),S3262)),"Côte d'Ivoire",
TRUE,""
)</f>
        <v/>
      </c>
      <c r="W3262" s="40" t="str">
        <f t="shared" si="225"/>
        <v>Colombia</v>
      </c>
    </row>
    <row r="3263" spans="19:23">
      <c r="S3263" s="40" t="str">
        <v>Uruguay</v>
      </c>
      <c r="T3263" s="40" t="str">
        <f t="shared" si="223"/>
        <v>OK</v>
      </c>
      <c r="U3263" s="40" t="str">
        <f t="shared" si="224"/>
        <v>-</v>
      </c>
      <c r="V3263" s="40" t="str" cm="1">
        <f t="array" ref="V3263">_xlfn.IFS(
ISNUMBER(SEARCH("USA",S3263)),"United States",
ISNUMBER(SEARCH("Republic of Ireland",S3263)),"Ireland",
ISNUMBER(SEARCH("Republic of Korea",S3263)),"South Korea",
ISNUMBER(SEARCH("Cape Verde",S3263)),"Cabo Verde",
ISNUMBER(SEARCH("Czechia",S3263)),"Czech Republic",
ISNUMBER(SEARCH("Türkiye",S3263)),"Turkey",
ISNUMBER(SEARCH("Ivory Coast",S3263)),"Côte d'Ivoire",
ISNUMBER(SEARCH("Korea Republic",S3263)),"South Korea",
ISNUMBER(SEARCH("Germany FR",S3263)),"FR Germany",
ISNUMBER(SEARCH("West Germany",S3263)),"FR Germany",
ISNUMBER(SEARCH("Germany DR",S3263)),"DR Germany",
ISNUMBER(SEARCH("Korea DPR",S3263)),"North Korea",
ISNUMBER(SEARCH("China PR",S3263)),"China",
ISNUMBER(SEARCH("IR Iran",S3263)),"Iran",
ISNUMBER(SEARCH("Congo DR",S3263)),"Democratic Republic of the Congo",
ISNUMBER(SEARCH("DR Congo",S3263)),"Democratic Republic of the Congo",
ISNUMBER(SEARCH("German DR",S3263)),"DR Germany",
ISNUMBER(SEARCH("rn""&gt;United Arab Emirates",S3263)),"United Arab Emirates",
ISNUMBER(SEARCH("rn""&gt;Republic of Ireland",S3263)),"Ireland",
ISNUMBER(SEARCH("rn""&gt;Bosnia and Herzegovina",S3263)),"Bosnia and Herzegovina",
ISNUMBER(SEARCH("rn""&gt;Trinidad and Tobago",S3263)),"Trinidad and Tobago",
ISNUMBER(SEARCH("rn""&gt;Serbia and Montenegro",S3263)),"Serbia and Montenegro",
ISNUMBER(SEARCH(_xlfn.UNICHAR(65533),S3263)),"Côte d'Ivoire",
TRUE,""
)</f>
        <v/>
      </c>
      <c r="W3263" s="40" t="str">
        <f t="shared" si="225"/>
        <v>Uruguay</v>
      </c>
    </row>
    <row r="3264" spans="19:23">
      <c r="S3264" s="40" t="str">
        <v>Brazil</v>
      </c>
      <c r="T3264" s="40" t="str">
        <f t="shared" si="223"/>
        <v>OK</v>
      </c>
      <c r="U3264" s="40" t="str">
        <f t="shared" si="224"/>
        <v>-</v>
      </c>
      <c r="V3264" s="40" t="str" cm="1">
        <f t="array" ref="V3264">_xlfn.IFS(
ISNUMBER(SEARCH("USA",S3264)),"United States",
ISNUMBER(SEARCH("Republic of Ireland",S3264)),"Ireland",
ISNUMBER(SEARCH("Republic of Korea",S3264)),"South Korea",
ISNUMBER(SEARCH("Cape Verde",S3264)),"Cabo Verde",
ISNUMBER(SEARCH("Czechia",S3264)),"Czech Republic",
ISNUMBER(SEARCH("Türkiye",S3264)),"Turkey",
ISNUMBER(SEARCH("Ivory Coast",S3264)),"Côte d'Ivoire",
ISNUMBER(SEARCH("Korea Republic",S3264)),"South Korea",
ISNUMBER(SEARCH("Germany FR",S3264)),"FR Germany",
ISNUMBER(SEARCH("West Germany",S3264)),"FR Germany",
ISNUMBER(SEARCH("Germany DR",S3264)),"DR Germany",
ISNUMBER(SEARCH("Korea DPR",S3264)),"North Korea",
ISNUMBER(SEARCH("China PR",S3264)),"China",
ISNUMBER(SEARCH("IR Iran",S3264)),"Iran",
ISNUMBER(SEARCH("Congo DR",S3264)),"Democratic Republic of the Congo",
ISNUMBER(SEARCH("DR Congo",S3264)),"Democratic Republic of the Congo",
ISNUMBER(SEARCH("German DR",S3264)),"DR Germany",
ISNUMBER(SEARCH("rn""&gt;United Arab Emirates",S3264)),"United Arab Emirates",
ISNUMBER(SEARCH("rn""&gt;Republic of Ireland",S3264)),"Ireland",
ISNUMBER(SEARCH("rn""&gt;Bosnia and Herzegovina",S3264)),"Bosnia and Herzegovina",
ISNUMBER(SEARCH("rn""&gt;Trinidad and Tobago",S3264)),"Trinidad and Tobago",
ISNUMBER(SEARCH("rn""&gt;Serbia and Montenegro",S3264)),"Serbia and Montenegro",
ISNUMBER(SEARCH(_xlfn.UNICHAR(65533),S3264)),"Côte d'Ivoire",
TRUE,""
)</f>
        <v/>
      </c>
      <c r="W3264" s="40" t="str">
        <f t="shared" si="225"/>
        <v>Brazil</v>
      </c>
    </row>
    <row r="3265" spans="19:23">
      <c r="S3265" s="40" t="str">
        <v>Sweden</v>
      </c>
      <c r="T3265" s="40" t="str">
        <f t="shared" si="223"/>
        <v>OK</v>
      </c>
      <c r="U3265" s="40" t="str">
        <f t="shared" si="224"/>
        <v>-</v>
      </c>
      <c r="V3265" s="40" t="str" cm="1">
        <f t="array" ref="V3265">_xlfn.IFS(
ISNUMBER(SEARCH("USA",S3265)),"United States",
ISNUMBER(SEARCH("Republic of Ireland",S3265)),"Ireland",
ISNUMBER(SEARCH("Republic of Korea",S3265)),"South Korea",
ISNUMBER(SEARCH("Cape Verde",S3265)),"Cabo Verde",
ISNUMBER(SEARCH("Czechia",S3265)),"Czech Republic",
ISNUMBER(SEARCH("Türkiye",S3265)),"Turkey",
ISNUMBER(SEARCH("Ivory Coast",S3265)),"Côte d'Ivoire",
ISNUMBER(SEARCH("Korea Republic",S3265)),"South Korea",
ISNUMBER(SEARCH("Germany FR",S3265)),"FR Germany",
ISNUMBER(SEARCH("West Germany",S3265)),"FR Germany",
ISNUMBER(SEARCH("Germany DR",S3265)),"DR Germany",
ISNUMBER(SEARCH("Korea DPR",S3265)),"North Korea",
ISNUMBER(SEARCH("China PR",S3265)),"China",
ISNUMBER(SEARCH("IR Iran",S3265)),"Iran",
ISNUMBER(SEARCH("Congo DR",S3265)),"Democratic Republic of the Congo",
ISNUMBER(SEARCH("DR Congo",S3265)),"Democratic Republic of the Congo",
ISNUMBER(SEARCH("German DR",S3265)),"DR Germany",
ISNUMBER(SEARCH("rn""&gt;United Arab Emirates",S3265)),"United Arab Emirates",
ISNUMBER(SEARCH("rn""&gt;Republic of Ireland",S3265)),"Ireland",
ISNUMBER(SEARCH("rn""&gt;Bosnia and Herzegovina",S3265)),"Bosnia and Herzegovina",
ISNUMBER(SEARCH("rn""&gt;Trinidad and Tobago",S3265)),"Trinidad and Tobago",
ISNUMBER(SEARCH("rn""&gt;Serbia and Montenegro",S3265)),"Serbia and Montenegro",
ISNUMBER(SEARCH(_xlfn.UNICHAR(65533),S3265)),"Côte d'Ivoire",
TRUE,""
)</f>
        <v/>
      </c>
      <c r="W3265" s="40" t="str">
        <f t="shared" si="225"/>
        <v>Sweden</v>
      </c>
    </row>
    <row r="3266" spans="19:23">
      <c r="S3266" s="40" t="str">
        <v>Russia</v>
      </c>
      <c r="T3266" s="40" t="str">
        <f t="shared" si="223"/>
        <v>OK</v>
      </c>
      <c r="U3266" s="40" t="str">
        <f t="shared" si="224"/>
        <v>-</v>
      </c>
      <c r="V3266" s="40" t="str" cm="1">
        <f t="array" ref="V3266">_xlfn.IFS(
ISNUMBER(SEARCH("USA",S3266)),"United States",
ISNUMBER(SEARCH("Republic of Ireland",S3266)),"Ireland",
ISNUMBER(SEARCH("Republic of Korea",S3266)),"South Korea",
ISNUMBER(SEARCH("Cape Verde",S3266)),"Cabo Verde",
ISNUMBER(SEARCH("Czechia",S3266)),"Czech Republic",
ISNUMBER(SEARCH("Türkiye",S3266)),"Turkey",
ISNUMBER(SEARCH("Ivory Coast",S3266)),"Côte d'Ivoire",
ISNUMBER(SEARCH("Korea Republic",S3266)),"South Korea",
ISNUMBER(SEARCH("Germany FR",S3266)),"FR Germany",
ISNUMBER(SEARCH("West Germany",S3266)),"FR Germany",
ISNUMBER(SEARCH("Germany DR",S3266)),"DR Germany",
ISNUMBER(SEARCH("Korea DPR",S3266)),"North Korea",
ISNUMBER(SEARCH("China PR",S3266)),"China",
ISNUMBER(SEARCH("IR Iran",S3266)),"Iran",
ISNUMBER(SEARCH("Congo DR",S3266)),"Democratic Republic of the Congo",
ISNUMBER(SEARCH("DR Congo",S3266)),"Democratic Republic of the Congo",
ISNUMBER(SEARCH("German DR",S3266)),"DR Germany",
ISNUMBER(SEARCH("rn""&gt;United Arab Emirates",S3266)),"United Arab Emirates",
ISNUMBER(SEARCH("rn""&gt;Republic of Ireland",S3266)),"Ireland",
ISNUMBER(SEARCH("rn""&gt;Bosnia and Herzegovina",S3266)),"Bosnia and Herzegovina",
ISNUMBER(SEARCH("rn""&gt;Trinidad and Tobago",S3266)),"Trinidad and Tobago",
ISNUMBER(SEARCH("rn""&gt;Serbia and Montenegro",S3266)),"Serbia and Montenegro",
ISNUMBER(SEARCH(_xlfn.UNICHAR(65533),S3266)),"Côte d'Ivoire",
TRUE,""
)</f>
        <v/>
      </c>
      <c r="W3266" s="40" t="str">
        <f t="shared" si="225"/>
        <v>Russia</v>
      </c>
    </row>
    <row r="3267" spans="19:23">
      <c r="S3267" s="40" t="str">
        <v>France</v>
      </c>
      <c r="T3267" s="40" t="str">
        <f t="shared" ref="T3267:T3330" si="226">IF(COUNTIF(R$13:R$250,S3267)=1,"OK","ERREUR")</f>
        <v>OK</v>
      </c>
      <c r="U3267" s="40" t="str">
        <f t="shared" si="224"/>
        <v>-</v>
      </c>
      <c r="V3267" s="40" t="str" cm="1">
        <f t="array" ref="V3267">_xlfn.IFS(
ISNUMBER(SEARCH("USA",S3267)),"United States",
ISNUMBER(SEARCH("Republic of Ireland",S3267)),"Ireland",
ISNUMBER(SEARCH("Republic of Korea",S3267)),"South Korea",
ISNUMBER(SEARCH("Cape Verde",S3267)),"Cabo Verde",
ISNUMBER(SEARCH("Czechia",S3267)),"Czech Republic",
ISNUMBER(SEARCH("Türkiye",S3267)),"Turkey",
ISNUMBER(SEARCH("Ivory Coast",S3267)),"Côte d'Ivoire",
ISNUMBER(SEARCH("Korea Republic",S3267)),"South Korea",
ISNUMBER(SEARCH("Germany FR",S3267)),"FR Germany",
ISNUMBER(SEARCH("West Germany",S3267)),"FR Germany",
ISNUMBER(SEARCH("Germany DR",S3267)),"DR Germany",
ISNUMBER(SEARCH("Korea DPR",S3267)),"North Korea",
ISNUMBER(SEARCH("China PR",S3267)),"China",
ISNUMBER(SEARCH("IR Iran",S3267)),"Iran",
ISNUMBER(SEARCH("Congo DR",S3267)),"Democratic Republic of the Congo",
ISNUMBER(SEARCH("DR Congo",S3267)),"Democratic Republic of the Congo",
ISNUMBER(SEARCH("German DR",S3267)),"DR Germany",
ISNUMBER(SEARCH("rn""&gt;United Arab Emirates",S3267)),"United Arab Emirates",
ISNUMBER(SEARCH("rn""&gt;Republic of Ireland",S3267)),"Ireland",
ISNUMBER(SEARCH("rn""&gt;Bosnia and Herzegovina",S3267)),"Bosnia and Herzegovina",
ISNUMBER(SEARCH("rn""&gt;Trinidad and Tobago",S3267)),"Trinidad and Tobago",
ISNUMBER(SEARCH("rn""&gt;Serbia and Montenegro",S3267)),"Serbia and Montenegro",
ISNUMBER(SEARCH(_xlfn.UNICHAR(65533),S3267)),"Côte d'Ivoire",
TRUE,""
)</f>
        <v/>
      </c>
      <c r="W3267" s="40" t="str">
        <f t="shared" si="225"/>
        <v>France</v>
      </c>
    </row>
    <row r="3268" spans="19:23">
      <c r="S3268" s="40" t="str">
        <v>Croatia</v>
      </c>
      <c r="T3268" s="40" t="str">
        <f t="shared" si="226"/>
        <v>OK</v>
      </c>
      <c r="U3268" s="40" t="str">
        <f t="shared" ref="U3268:U3331" si="227">IF(OR(S3268="Scotland",S3268="England",S3268="Wales",S3268="Yugoslavia",S3268="Czechoslovakia",S3268="Northern Ireland",S3268="Soviet Union",S3268="Zaire",S3268="Dutch East Indies"),"AUCUNE",IF(OR(S3268="Cape Verde",S3268="USA",S3268="DR Congo",S3268="Republic of Korea",S3268="Germany FR",S3268="Germany DR",S3268="Czechia",S3268="Ivory Coast",S3268="Korea DPR",S3268="China PR",S3268="IR Iran",S3268="Türkiye",S3268="Congo DR",S3268="German DR",S3268="West Germany",S3268="Republic of Ireland",ISNUMBER(SEARCH(_xlfn.UNICHAR(65533),S3268)),S3268="Korea Republic",ISNUMBER(SEARCH("rn""&gt;United Arab Emirates",S3268)),ISNUMBER(SEARCH("rn""&gt;Republic of Ireland",S3268)),ISNUMBER(SEARCH("rn""&gt;Bosnia and Herzegovina",S3268)),ISNUMBER(SEARCH("rn""&gt;Trinidad and Tobago",S3268)),ISNUMBER(SEARCH("rn""&gt;Serbia and Montenegro",S3268)),ISNUMBER(SEARCH(_xlfn.UNICHAR(65533),S3268))),"RENOMMER","-"))</f>
        <v>-</v>
      </c>
      <c r="V3268" s="40" t="str" cm="1">
        <f t="array" ref="V3268">_xlfn.IFS(
ISNUMBER(SEARCH("USA",S3268)),"United States",
ISNUMBER(SEARCH("Republic of Ireland",S3268)),"Ireland",
ISNUMBER(SEARCH("Republic of Korea",S3268)),"South Korea",
ISNUMBER(SEARCH("Cape Verde",S3268)),"Cabo Verde",
ISNUMBER(SEARCH("Czechia",S3268)),"Czech Republic",
ISNUMBER(SEARCH("Türkiye",S3268)),"Turkey",
ISNUMBER(SEARCH("Ivory Coast",S3268)),"Côte d'Ivoire",
ISNUMBER(SEARCH("Korea Republic",S3268)),"South Korea",
ISNUMBER(SEARCH("Germany FR",S3268)),"FR Germany",
ISNUMBER(SEARCH("West Germany",S3268)),"FR Germany",
ISNUMBER(SEARCH("Germany DR",S3268)),"DR Germany",
ISNUMBER(SEARCH("Korea DPR",S3268)),"North Korea",
ISNUMBER(SEARCH("China PR",S3268)),"China",
ISNUMBER(SEARCH("IR Iran",S3268)),"Iran",
ISNUMBER(SEARCH("Congo DR",S3268)),"Democratic Republic of the Congo",
ISNUMBER(SEARCH("DR Congo",S3268)),"Democratic Republic of the Congo",
ISNUMBER(SEARCH("German DR",S3268)),"DR Germany",
ISNUMBER(SEARCH("rn""&gt;United Arab Emirates",S3268)),"United Arab Emirates",
ISNUMBER(SEARCH("rn""&gt;Republic of Ireland",S3268)),"Ireland",
ISNUMBER(SEARCH("rn""&gt;Bosnia and Herzegovina",S3268)),"Bosnia and Herzegovina",
ISNUMBER(SEARCH("rn""&gt;Trinidad and Tobago",S3268)),"Trinidad and Tobago",
ISNUMBER(SEARCH("rn""&gt;Serbia and Montenegro",S3268)),"Serbia and Montenegro",
ISNUMBER(SEARCH(_xlfn.UNICHAR(65533),S3268)),"Côte d'Ivoire",
TRUE,""
)</f>
        <v/>
      </c>
      <c r="W3268" s="40" t="str">
        <f t="shared" ref="W3268:W3331" si="228">IF(V3268="",S3268,V3268)</f>
        <v>Croatia</v>
      </c>
    </row>
    <row r="3269" spans="19:23">
      <c r="S3269" s="40" t="str">
        <v>Belgium</v>
      </c>
      <c r="T3269" s="40" t="str">
        <f t="shared" si="226"/>
        <v>OK</v>
      </c>
      <c r="U3269" s="40" t="str">
        <f t="shared" si="227"/>
        <v>-</v>
      </c>
      <c r="V3269" s="40" t="str" cm="1">
        <f t="array" ref="V3269">_xlfn.IFS(
ISNUMBER(SEARCH("USA",S3269)),"United States",
ISNUMBER(SEARCH("Republic of Ireland",S3269)),"Ireland",
ISNUMBER(SEARCH("Republic of Korea",S3269)),"South Korea",
ISNUMBER(SEARCH("Cape Verde",S3269)),"Cabo Verde",
ISNUMBER(SEARCH("Czechia",S3269)),"Czech Republic",
ISNUMBER(SEARCH("Türkiye",S3269)),"Turkey",
ISNUMBER(SEARCH("Ivory Coast",S3269)),"Côte d'Ivoire",
ISNUMBER(SEARCH("Korea Republic",S3269)),"South Korea",
ISNUMBER(SEARCH("Germany FR",S3269)),"FR Germany",
ISNUMBER(SEARCH("West Germany",S3269)),"FR Germany",
ISNUMBER(SEARCH("Germany DR",S3269)),"DR Germany",
ISNUMBER(SEARCH("Korea DPR",S3269)),"North Korea",
ISNUMBER(SEARCH("China PR",S3269)),"China",
ISNUMBER(SEARCH("IR Iran",S3269)),"Iran",
ISNUMBER(SEARCH("Congo DR",S3269)),"Democratic Republic of the Congo",
ISNUMBER(SEARCH("DR Congo",S3269)),"Democratic Republic of the Congo",
ISNUMBER(SEARCH("German DR",S3269)),"DR Germany",
ISNUMBER(SEARCH("rn""&gt;United Arab Emirates",S3269)),"United Arab Emirates",
ISNUMBER(SEARCH("rn""&gt;Republic of Ireland",S3269)),"Ireland",
ISNUMBER(SEARCH("rn""&gt;Bosnia and Herzegovina",S3269)),"Bosnia and Herzegovina",
ISNUMBER(SEARCH("rn""&gt;Trinidad and Tobago",S3269)),"Trinidad and Tobago",
ISNUMBER(SEARCH("rn""&gt;Serbia and Montenegro",S3269)),"Serbia and Montenegro",
ISNUMBER(SEARCH(_xlfn.UNICHAR(65533),S3269)),"Côte d'Ivoire",
TRUE,""
)</f>
        <v/>
      </c>
      <c r="W3269" s="40" t="str">
        <f t="shared" si="228"/>
        <v>Belgium</v>
      </c>
    </row>
    <row r="3270" spans="19:23">
      <c r="S3270" s="40" t="str">
        <v>France</v>
      </c>
      <c r="T3270" s="40" t="str">
        <f t="shared" si="226"/>
        <v>OK</v>
      </c>
      <c r="U3270" s="40" t="str">
        <f t="shared" si="227"/>
        <v>-</v>
      </c>
      <c r="V3270" s="40" t="str" cm="1">
        <f t="array" ref="V3270">_xlfn.IFS(
ISNUMBER(SEARCH("USA",S3270)),"United States",
ISNUMBER(SEARCH("Republic of Ireland",S3270)),"Ireland",
ISNUMBER(SEARCH("Republic of Korea",S3270)),"South Korea",
ISNUMBER(SEARCH("Cape Verde",S3270)),"Cabo Verde",
ISNUMBER(SEARCH("Czechia",S3270)),"Czech Republic",
ISNUMBER(SEARCH("Türkiye",S3270)),"Turkey",
ISNUMBER(SEARCH("Ivory Coast",S3270)),"Côte d'Ivoire",
ISNUMBER(SEARCH("Korea Republic",S3270)),"South Korea",
ISNUMBER(SEARCH("Germany FR",S3270)),"FR Germany",
ISNUMBER(SEARCH("West Germany",S3270)),"FR Germany",
ISNUMBER(SEARCH("Germany DR",S3270)),"DR Germany",
ISNUMBER(SEARCH("Korea DPR",S3270)),"North Korea",
ISNUMBER(SEARCH("China PR",S3270)),"China",
ISNUMBER(SEARCH("IR Iran",S3270)),"Iran",
ISNUMBER(SEARCH("Congo DR",S3270)),"Democratic Republic of the Congo",
ISNUMBER(SEARCH("DR Congo",S3270)),"Democratic Republic of the Congo",
ISNUMBER(SEARCH("German DR",S3270)),"DR Germany",
ISNUMBER(SEARCH("rn""&gt;United Arab Emirates",S3270)),"United Arab Emirates",
ISNUMBER(SEARCH("rn""&gt;Republic of Ireland",S3270)),"Ireland",
ISNUMBER(SEARCH("rn""&gt;Bosnia and Herzegovina",S3270)),"Bosnia and Herzegovina",
ISNUMBER(SEARCH("rn""&gt;Trinidad and Tobago",S3270)),"Trinidad and Tobago",
ISNUMBER(SEARCH("rn""&gt;Serbia and Montenegro",S3270)),"Serbia and Montenegro",
ISNUMBER(SEARCH(_xlfn.UNICHAR(65533),S3270)),"Côte d'Ivoire",
TRUE,""
)</f>
        <v/>
      </c>
      <c r="W3270" s="40" t="str">
        <f t="shared" si="228"/>
        <v>France</v>
      </c>
    </row>
    <row r="3271" spans="19:23">
      <c r="S3271" s="40" t="str">
        <v>Qatar</v>
      </c>
      <c r="T3271" s="40" t="str">
        <f t="shared" si="226"/>
        <v>OK</v>
      </c>
      <c r="U3271" s="40" t="str">
        <f t="shared" si="227"/>
        <v>-</v>
      </c>
      <c r="V3271" s="40" t="str" cm="1">
        <f t="array" ref="V3271">_xlfn.IFS(
ISNUMBER(SEARCH("USA",S3271)),"United States",
ISNUMBER(SEARCH("Republic of Ireland",S3271)),"Ireland",
ISNUMBER(SEARCH("Republic of Korea",S3271)),"South Korea",
ISNUMBER(SEARCH("Cape Verde",S3271)),"Cabo Verde",
ISNUMBER(SEARCH("Czechia",S3271)),"Czech Republic",
ISNUMBER(SEARCH("Türkiye",S3271)),"Turkey",
ISNUMBER(SEARCH("Ivory Coast",S3271)),"Côte d'Ivoire",
ISNUMBER(SEARCH("Korea Republic",S3271)),"South Korea",
ISNUMBER(SEARCH("Germany FR",S3271)),"FR Germany",
ISNUMBER(SEARCH("West Germany",S3271)),"FR Germany",
ISNUMBER(SEARCH("Germany DR",S3271)),"DR Germany",
ISNUMBER(SEARCH("Korea DPR",S3271)),"North Korea",
ISNUMBER(SEARCH("China PR",S3271)),"China",
ISNUMBER(SEARCH("IR Iran",S3271)),"Iran",
ISNUMBER(SEARCH("Congo DR",S3271)),"Democratic Republic of the Congo",
ISNUMBER(SEARCH("DR Congo",S3271)),"Democratic Republic of the Congo",
ISNUMBER(SEARCH("German DR",S3271)),"DR Germany",
ISNUMBER(SEARCH("rn""&gt;United Arab Emirates",S3271)),"United Arab Emirates",
ISNUMBER(SEARCH("rn""&gt;Republic of Ireland",S3271)),"Ireland",
ISNUMBER(SEARCH("rn""&gt;Bosnia and Herzegovina",S3271)),"Bosnia and Herzegovina",
ISNUMBER(SEARCH("rn""&gt;Trinidad and Tobago",S3271)),"Trinidad and Tobago",
ISNUMBER(SEARCH("rn""&gt;Serbia and Montenegro",S3271)),"Serbia and Montenegro",
ISNUMBER(SEARCH(_xlfn.UNICHAR(65533),S3271)),"Côte d'Ivoire",
TRUE,""
)</f>
        <v/>
      </c>
      <c r="W3271" s="40" t="str">
        <f t="shared" si="228"/>
        <v>Qatar</v>
      </c>
    </row>
    <row r="3272" spans="19:23">
      <c r="S3272" s="40" t="str">
        <v>England</v>
      </c>
      <c r="T3272" s="40" t="str">
        <f t="shared" si="226"/>
        <v>ERREUR</v>
      </c>
      <c r="U3272" s="40" t="str">
        <f t="shared" si="227"/>
        <v>AUCUNE</v>
      </c>
      <c r="V3272" s="40" t="str" cm="1">
        <f t="array" ref="V3272">_xlfn.IFS(
ISNUMBER(SEARCH("USA",S3272)),"United States",
ISNUMBER(SEARCH("Republic of Ireland",S3272)),"Ireland",
ISNUMBER(SEARCH("Republic of Korea",S3272)),"South Korea",
ISNUMBER(SEARCH("Cape Verde",S3272)),"Cabo Verde",
ISNUMBER(SEARCH("Czechia",S3272)),"Czech Republic",
ISNUMBER(SEARCH("Türkiye",S3272)),"Turkey",
ISNUMBER(SEARCH("Ivory Coast",S3272)),"Côte d'Ivoire",
ISNUMBER(SEARCH("Korea Republic",S3272)),"South Korea",
ISNUMBER(SEARCH("Germany FR",S3272)),"FR Germany",
ISNUMBER(SEARCH("West Germany",S3272)),"FR Germany",
ISNUMBER(SEARCH("Germany DR",S3272)),"DR Germany",
ISNUMBER(SEARCH("Korea DPR",S3272)),"North Korea",
ISNUMBER(SEARCH("China PR",S3272)),"China",
ISNUMBER(SEARCH("IR Iran",S3272)),"Iran",
ISNUMBER(SEARCH("Congo DR",S3272)),"Democratic Republic of the Congo",
ISNUMBER(SEARCH("DR Congo",S3272)),"Democratic Republic of the Congo",
ISNUMBER(SEARCH("German DR",S3272)),"DR Germany",
ISNUMBER(SEARCH("rn""&gt;United Arab Emirates",S3272)),"United Arab Emirates",
ISNUMBER(SEARCH("rn""&gt;Republic of Ireland",S3272)),"Ireland",
ISNUMBER(SEARCH("rn""&gt;Bosnia and Herzegovina",S3272)),"Bosnia and Herzegovina",
ISNUMBER(SEARCH("rn""&gt;Trinidad and Tobago",S3272)),"Trinidad and Tobago",
ISNUMBER(SEARCH("rn""&gt;Serbia and Montenegro",S3272)),"Serbia and Montenegro",
ISNUMBER(SEARCH(_xlfn.UNICHAR(65533),S3272)),"Côte d'Ivoire",
TRUE,""
)</f>
        <v/>
      </c>
      <c r="W3272" s="40" t="str">
        <f t="shared" si="228"/>
        <v>England</v>
      </c>
    </row>
    <row r="3273" spans="19:23">
      <c r="S3273" s="40" t="str">
        <v>Senegal</v>
      </c>
      <c r="T3273" s="40" t="str">
        <f t="shared" si="226"/>
        <v>OK</v>
      </c>
      <c r="U3273" s="40" t="str">
        <f t="shared" si="227"/>
        <v>-</v>
      </c>
      <c r="V3273" s="40" t="str" cm="1">
        <f t="array" ref="V3273">_xlfn.IFS(
ISNUMBER(SEARCH("USA",S3273)),"United States",
ISNUMBER(SEARCH("Republic of Ireland",S3273)),"Ireland",
ISNUMBER(SEARCH("Republic of Korea",S3273)),"South Korea",
ISNUMBER(SEARCH("Cape Verde",S3273)),"Cabo Verde",
ISNUMBER(SEARCH("Czechia",S3273)),"Czech Republic",
ISNUMBER(SEARCH("Türkiye",S3273)),"Turkey",
ISNUMBER(SEARCH("Ivory Coast",S3273)),"Côte d'Ivoire",
ISNUMBER(SEARCH("Korea Republic",S3273)),"South Korea",
ISNUMBER(SEARCH("Germany FR",S3273)),"FR Germany",
ISNUMBER(SEARCH("West Germany",S3273)),"FR Germany",
ISNUMBER(SEARCH("Germany DR",S3273)),"DR Germany",
ISNUMBER(SEARCH("Korea DPR",S3273)),"North Korea",
ISNUMBER(SEARCH("China PR",S3273)),"China",
ISNUMBER(SEARCH("IR Iran",S3273)),"Iran",
ISNUMBER(SEARCH("Congo DR",S3273)),"Democratic Republic of the Congo",
ISNUMBER(SEARCH("DR Congo",S3273)),"Democratic Republic of the Congo",
ISNUMBER(SEARCH("German DR",S3273)),"DR Germany",
ISNUMBER(SEARCH("rn""&gt;United Arab Emirates",S3273)),"United Arab Emirates",
ISNUMBER(SEARCH("rn""&gt;Republic of Ireland",S3273)),"Ireland",
ISNUMBER(SEARCH("rn""&gt;Bosnia and Herzegovina",S3273)),"Bosnia and Herzegovina",
ISNUMBER(SEARCH("rn""&gt;Trinidad and Tobago",S3273)),"Trinidad and Tobago",
ISNUMBER(SEARCH("rn""&gt;Serbia and Montenegro",S3273)),"Serbia and Montenegro",
ISNUMBER(SEARCH(_xlfn.UNICHAR(65533),S3273)),"Côte d'Ivoire",
TRUE,""
)</f>
        <v/>
      </c>
      <c r="W3273" s="40" t="str">
        <f t="shared" si="228"/>
        <v>Senegal</v>
      </c>
    </row>
    <row r="3274" spans="19:23">
      <c r="S3274" s="40" t="str">
        <v>United States</v>
      </c>
      <c r="T3274" s="40" t="str">
        <f t="shared" si="226"/>
        <v>OK</v>
      </c>
      <c r="U3274" s="40" t="str">
        <f t="shared" si="227"/>
        <v>-</v>
      </c>
      <c r="V3274" s="40" t="str" cm="1">
        <f t="array" ref="V3274">_xlfn.IFS(
ISNUMBER(SEARCH("USA",S3274)),"United States",
ISNUMBER(SEARCH("Republic of Ireland",S3274)),"Ireland",
ISNUMBER(SEARCH("Republic of Korea",S3274)),"South Korea",
ISNUMBER(SEARCH("Cape Verde",S3274)),"Cabo Verde",
ISNUMBER(SEARCH("Czechia",S3274)),"Czech Republic",
ISNUMBER(SEARCH("Türkiye",S3274)),"Turkey",
ISNUMBER(SEARCH("Ivory Coast",S3274)),"Côte d'Ivoire",
ISNUMBER(SEARCH("Korea Republic",S3274)),"South Korea",
ISNUMBER(SEARCH("Germany FR",S3274)),"FR Germany",
ISNUMBER(SEARCH("West Germany",S3274)),"FR Germany",
ISNUMBER(SEARCH("Germany DR",S3274)),"DR Germany",
ISNUMBER(SEARCH("Korea DPR",S3274)),"North Korea",
ISNUMBER(SEARCH("China PR",S3274)),"China",
ISNUMBER(SEARCH("IR Iran",S3274)),"Iran",
ISNUMBER(SEARCH("Congo DR",S3274)),"Democratic Republic of the Congo",
ISNUMBER(SEARCH("DR Congo",S3274)),"Democratic Republic of the Congo",
ISNUMBER(SEARCH("German DR",S3274)),"DR Germany",
ISNUMBER(SEARCH("rn""&gt;United Arab Emirates",S3274)),"United Arab Emirates",
ISNUMBER(SEARCH("rn""&gt;Republic of Ireland",S3274)),"Ireland",
ISNUMBER(SEARCH("rn""&gt;Bosnia and Herzegovina",S3274)),"Bosnia and Herzegovina",
ISNUMBER(SEARCH("rn""&gt;Trinidad and Tobago",S3274)),"Trinidad and Tobago",
ISNUMBER(SEARCH("rn""&gt;Serbia and Montenegro",S3274)),"Serbia and Montenegro",
ISNUMBER(SEARCH(_xlfn.UNICHAR(65533),S3274)),"Côte d'Ivoire",
TRUE,""
)</f>
        <v/>
      </c>
      <c r="W3274" s="40" t="str">
        <f t="shared" si="228"/>
        <v>United States</v>
      </c>
    </row>
    <row r="3275" spans="19:23">
      <c r="S3275" s="40" t="str">
        <v>Argentina</v>
      </c>
      <c r="T3275" s="40" t="str">
        <f t="shared" si="226"/>
        <v>OK</v>
      </c>
      <c r="U3275" s="40" t="str">
        <f t="shared" si="227"/>
        <v>-</v>
      </c>
      <c r="V3275" s="40" t="str" cm="1">
        <f t="array" ref="V3275">_xlfn.IFS(
ISNUMBER(SEARCH("USA",S3275)),"United States",
ISNUMBER(SEARCH("Republic of Ireland",S3275)),"Ireland",
ISNUMBER(SEARCH("Republic of Korea",S3275)),"South Korea",
ISNUMBER(SEARCH("Cape Verde",S3275)),"Cabo Verde",
ISNUMBER(SEARCH("Czechia",S3275)),"Czech Republic",
ISNUMBER(SEARCH("Türkiye",S3275)),"Turkey",
ISNUMBER(SEARCH("Ivory Coast",S3275)),"Côte d'Ivoire",
ISNUMBER(SEARCH("Korea Republic",S3275)),"South Korea",
ISNUMBER(SEARCH("Germany FR",S3275)),"FR Germany",
ISNUMBER(SEARCH("West Germany",S3275)),"FR Germany",
ISNUMBER(SEARCH("Germany DR",S3275)),"DR Germany",
ISNUMBER(SEARCH("Korea DPR",S3275)),"North Korea",
ISNUMBER(SEARCH("China PR",S3275)),"China",
ISNUMBER(SEARCH("IR Iran",S3275)),"Iran",
ISNUMBER(SEARCH("Congo DR",S3275)),"Democratic Republic of the Congo",
ISNUMBER(SEARCH("DR Congo",S3275)),"Democratic Republic of the Congo",
ISNUMBER(SEARCH("German DR",S3275)),"DR Germany",
ISNUMBER(SEARCH("rn""&gt;United Arab Emirates",S3275)),"United Arab Emirates",
ISNUMBER(SEARCH("rn""&gt;Republic of Ireland",S3275)),"Ireland",
ISNUMBER(SEARCH("rn""&gt;Bosnia and Herzegovina",S3275)),"Bosnia and Herzegovina",
ISNUMBER(SEARCH("rn""&gt;Trinidad and Tobago",S3275)),"Trinidad and Tobago",
ISNUMBER(SEARCH("rn""&gt;Serbia and Montenegro",S3275)),"Serbia and Montenegro",
ISNUMBER(SEARCH(_xlfn.UNICHAR(65533),S3275)),"Côte d'Ivoire",
TRUE,""
)</f>
        <v/>
      </c>
      <c r="W3275" s="40" t="str">
        <f t="shared" si="228"/>
        <v>Argentina</v>
      </c>
    </row>
    <row r="3276" spans="19:23">
      <c r="S3276" s="40" t="str">
        <v>Denmark</v>
      </c>
      <c r="T3276" s="40" t="str">
        <f t="shared" si="226"/>
        <v>OK</v>
      </c>
      <c r="U3276" s="40" t="str">
        <f t="shared" si="227"/>
        <v>-</v>
      </c>
      <c r="V3276" s="40" t="str" cm="1">
        <f t="array" ref="V3276">_xlfn.IFS(
ISNUMBER(SEARCH("USA",S3276)),"United States",
ISNUMBER(SEARCH("Republic of Ireland",S3276)),"Ireland",
ISNUMBER(SEARCH("Republic of Korea",S3276)),"South Korea",
ISNUMBER(SEARCH("Cape Verde",S3276)),"Cabo Verde",
ISNUMBER(SEARCH("Czechia",S3276)),"Czech Republic",
ISNUMBER(SEARCH("Türkiye",S3276)),"Turkey",
ISNUMBER(SEARCH("Ivory Coast",S3276)),"Côte d'Ivoire",
ISNUMBER(SEARCH("Korea Republic",S3276)),"South Korea",
ISNUMBER(SEARCH("Germany FR",S3276)),"FR Germany",
ISNUMBER(SEARCH("West Germany",S3276)),"FR Germany",
ISNUMBER(SEARCH("Germany DR",S3276)),"DR Germany",
ISNUMBER(SEARCH("Korea DPR",S3276)),"North Korea",
ISNUMBER(SEARCH("China PR",S3276)),"China",
ISNUMBER(SEARCH("IR Iran",S3276)),"Iran",
ISNUMBER(SEARCH("Congo DR",S3276)),"Democratic Republic of the Congo",
ISNUMBER(SEARCH("DR Congo",S3276)),"Democratic Republic of the Congo",
ISNUMBER(SEARCH("German DR",S3276)),"DR Germany",
ISNUMBER(SEARCH("rn""&gt;United Arab Emirates",S3276)),"United Arab Emirates",
ISNUMBER(SEARCH("rn""&gt;Republic of Ireland",S3276)),"Ireland",
ISNUMBER(SEARCH("rn""&gt;Bosnia and Herzegovina",S3276)),"Bosnia and Herzegovina",
ISNUMBER(SEARCH("rn""&gt;Trinidad and Tobago",S3276)),"Trinidad and Tobago",
ISNUMBER(SEARCH("rn""&gt;Serbia and Montenegro",S3276)),"Serbia and Montenegro",
ISNUMBER(SEARCH(_xlfn.UNICHAR(65533),S3276)),"Côte d'Ivoire",
TRUE,""
)</f>
        <v/>
      </c>
      <c r="W3276" s="40" t="str">
        <f t="shared" si="228"/>
        <v>Denmark</v>
      </c>
    </row>
    <row r="3277" spans="19:23">
      <c r="S3277" s="40" t="str">
        <v>Mexico</v>
      </c>
      <c r="T3277" s="40" t="str">
        <f t="shared" si="226"/>
        <v>OK</v>
      </c>
      <c r="U3277" s="40" t="str">
        <f t="shared" si="227"/>
        <v>-</v>
      </c>
      <c r="V3277" s="40" t="str" cm="1">
        <f t="array" ref="V3277">_xlfn.IFS(
ISNUMBER(SEARCH("USA",S3277)),"United States",
ISNUMBER(SEARCH("Republic of Ireland",S3277)),"Ireland",
ISNUMBER(SEARCH("Republic of Korea",S3277)),"South Korea",
ISNUMBER(SEARCH("Cape Verde",S3277)),"Cabo Verde",
ISNUMBER(SEARCH("Czechia",S3277)),"Czech Republic",
ISNUMBER(SEARCH("Türkiye",S3277)),"Turkey",
ISNUMBER(SEARCH("Ivory Coast",S3277)),"Côte d'Ivoire",
ISNUMBER(SEARCH("Korea Republic",S3277)),"South Korea",
ISNUMBER(SEARCH("Germany FR",S3277)),"FR Germany",
ISNUMBER(SEARCH("West Germany",S3277)),"FR Germany",
ISNUMBER(SEARCH("Germany DR",S3277)),"DR Germany",
ISNUMBER(SEARCH("Korea DPR",S3277)),"North Korea",
ISNUMBER(SEARCH("China PR",S3277)),"China",
ISNUMBER(SEARCH("IR Iran",S3277)),"Iran",
ISNUMBER(SEARCH("Congo DR",S3277)),"Democratic Republic of the Congo",
ISNUMBER(SEARCH("DR Congo",S3277)),"Democratic Republic of the Congo",
ISNUMBER(SEARCH("German DR",S3277)),"DR Germany",
ISNUMBER(SEARCH("rn""&gt;United Arab Emirates",S3277)),"United Arab Emirates",
ISNUMBER(SEARCH("rn""&gt;Republic of Ireland",S3277)),"Ireland",
ISNUMBER(SEARCH("rn""&gt;Bosnia and Herzegovina",S3277)),"Bosnia and Herzegovina",
ISNUMBER(SEARCH("rn""&gt;Trinidad and Tobago",S3277)),"Trinidad and Tobago",
ISNUMBER(SEARCH("rn""&gt;Serbia and Montenegro",S3277)),"Serbia and Montenegro",
ISNUMBER(SEARCH(_xlfn.UNICHAR(65533),S3277)),"Côte d'Ivoire",
TRUE,""
)</f>
        <v/>
      </c>
      <c r="W3277" s="40" t="str">
        <f t="shared" si="228"/>
        <v>Mexico</v>
      </c>
    </row>
    <row r="3278" spans="19:23">
      <c r="S3278" s="40" t="str">
        <v>France</v>
      </c>
      <c r="T3278" s="40" t="str">
        <f t="shared" si="226"/>
        <v>OK</v>
      </c>
      <c r="U3278" s="40" t="str">
        <f t="shared" si="227"/>
        <v>-</v>
      </c>
      <c r="V3278" s="40" t="str" cm="1">
        <f t="array" ref="V3278">_xlfn.IFS(
ISNUMBER(SEARCH("USA",S3278)),"United States",
ISNUMBER(SEARCH("Republic of Ireland",S3278)),"Ireland",
ISNUMBER(SEARCH("Republic of Korea",S3278)),"South Korea",
ISNUMBER(SEARCH("Cape Verde",S3278)),"Cabo Verde",
ISNUMBER(SEARCH("Czechia",S3278)),"Czech Republic",
ISNUMBER(SEARCH("Türkiye",S3278)),"Turkey",
ISNUMBER(SEARCH("Ivory Coast",S3278)),"Côte d'Ivoire",
ISNUMBER(SEARCH("Korea Republic",S3278)),"South Korea",
ISNUMBER(SEARCH("Germany FR",S3278)),"FR Germany",
ISNUMBER(SEARCH("West Germany",S3278)),"FR Germany",
ISNUMBER(SEARCH("Germany DR",S3278)),"DR Germany",
ISNUMBER(SEARCH("Korea DPR",S3278)),"North Korea",
ISNUMBER(SEARCH("China PR",S3278)),"China",
ISNUMBER(SEARCH("IR Iran",S3278)),"Iran",
ISNUMBER(SEARCH("Congo DR",S3278)),"Democratic Republic of the Congo",
ISNUMBER(SEARCH("DR Congo",S3278)),"Democratic Republic of the Congo",
ISNUMBER(SEARCH("German DR",S3278)),"DR Germany",
ISNUMBER(SEARCH("rn""&gt;United Arab Emirates",S3278)),"United Arab Emirates",
ISNUMBER(SEARCH("rn""&gt;Republic of Ireland",S3278)),"Ireland",
ISNUMBER(SEARCH("rn""&gt;Bosnia and Herzegovina",S3278)),"Bosnia and Herzegovina",
ISNUMBER(SEARCH("rn""&gt;Trinidad and Tobago",S3278)),"Trinidad and Tobago",
ISNUMBER(SEARCH("rn""&gt;Serbia and Montenegro",S3278)),"Serbia and Montenegro",
ISNUMBER(SEARCH(_xlfn.UNICHAR(65533),S3278)),"Côte d'Ivoire",
TRUE,""
)</f>
        <v/>
      </c>
      <c r="W3278" s="40" t="str">
        <f t="shared" si="228"/>
        <v>France</v>
      </c>
    </row>
    <row r="3279" spans="19:23">
      <c r="S3279" s="40" t="str">
        <v>Morocco</v>
      </c>
      <c r="T3279" s="40" t="str">
        <f t="shared" si="226"/>
        <v>OK</v>
      </c>
      <c r="U3279" s="40" t="str">
        <f t="shared" si="227"/>
        <v>-</v>
      </c>
      <c r="V3279" s="40" t="str" cm="1">
        <f t="array" ref="V3279">_xlfn.IFS(
ISNUMBER(SEARCH("USA",S3279)),"United States",
ISNUMBER(SEARCH("Republic of Ireland",S3279)),"Ireland",
ISNUMBER(SEARCH("Republic of Korea",S3279)),"South Korea",
ISNUMBER(SEARCH("Cape Verde",S3279)),"Cabo Verde",
ISNUMBER(SEARCH("Czechia",S3279)),"Czech Republic",
ISNUMBER(SEARCH("Türkiye",S3279)),"Turkey",
ISNUMBER(SEARCH("Ivory Coast",S3279)),"Côte d'Ivoire",
ISNUMBER(SEARCH("Korea Republic",S3279)),"South Korea",
ISNUMBER(SEARCH("Germany FR",S3279)),"FR Germany",
ISNUMBER(SEARCH("West Germany",S3279)),"FR Germany",
ISNUMBER(SEARCH("Germany DR",S3279)),"DR Germany",
ISNUMBER(SEARCH("Korea DPR",S3279)),"North Korea",
ISNUMBER(SEARCH("China PR",S3279)),"China",
ISNUMBER(SEARCH("IR Iran",S3279)),"Iran",
ISNUMBER(SEARCH("Congo DR",S3279)),"Democratic Republic of the Congo",
ISNUMBER(SEARCH("DR Congo",S3279)),"Democratic Republic of the Congo",
ISNUMBER(SEARCH("German DR",S3279)),"DR Germany",
ISNUMBER(SEARCH("rn""&gt;United Arab Emirates",S3279)),"United Arab Emirates",
ISNUMBER(SEARCH("rn""&gt;Republic of Ireland",S3279)),"Ireland",
ISNUMBER(SEARCH("rn""&gt;Bosnia and Herzegovina",S3279)),"Bosnia and Herzegovina",
ISNUMBER(SEARCH("rn""&gt;Trinidad and Tobago",S3279)),"Trinidad and Tobago",
ISNUMBER(SEARCH("rn""&gt;Serbia and Montenegro",S3279)),"Serbia and Montenegro",
ISNUMBER(SEARCH(_xlfn.UNICHAR(65533),S3279)),"Côte d'Ivoire",
TRUE,""
)</f>
        <v/>
      </c>
      <c r="W3279" s="40" t="str">
        <f t="shared" si="228"/>
        <v>Morocco</v>
      </c>
    </row>
    <row r="3280" spans="19:23">
      <c r="S3280" s="40" t="str">
        <v>Germany</v>
      </c>
      <c r="T3280" s="40" t="str">
        <f t="shared" si="226"/>
        <v>OK</v>
      </c>
      <c r="U3280" s="40" t="str">
        <f t="shared" si="227"/>
        <v>-</v>
      </c>
      <c r="V3280" s="40" t="str" cm="1">
        <f t="array" ref="V3280">_xlfn.IFS(
ISNUMBER(SEARCH("USA",S3280)),"United States",
ISNUMBER(SEARCH("Republic of Ireland",S3280)),"Ireland",
ISNUMBER(SEARCH("Republic of Korea",S3280)),"South Korea",
ISNUMBER(SEARCH("Cape Verde",S3280)),"Cabo Verde",
ISNUMBER(SEARCH("Czechia",S3280)),"Czech Republic",
ISNUMBER(SEARCH("Türkiye",S3280)),"Turkey",
ISNUMBER(SEARCH("Ivory Coast",S3280)),"Côte d'Ivoire",
ISNUMBER(SEARCH("Korea Republic",S3280)),"South Korea",
ISNUMBER(SEARCH("Germany FR",S3280)),"FR Germany",
ISNUMBER(SEARCH("West Germany",S3280)),"FR Germany",
ISNUMBER(SEARCH("Germany DR",S3280)),"DR Germany",
ISNUMBER(SEARCH("Korea DPR",S3280)),"North Korea",
ISNUMBER(SEARCH("China PR",S3280)),"China",
ISNUMBER(SEARCH("IR Iran",S3280)),"Iran",
ISNUMBER(SEARCH("Congo DR",S3280)),"Democratic Republic of the Congo",
ISNUMBER(SEARCH("DR Congo",S3280)),"Democratic Republic of the Congo",
ISNUMBER(SEARCH("German DR",S3280)),"DR Germany",
ISNUMBER(SEARCH("rn""&gt;United Arab Emirates",S3280)),"United Arab Emirates",
ISNUMBER(SEARCH("rn""&gt;Republic of Ireland",S3280)),"Ireland",
ISNUMBER(SEARCH("rn""&gt;Bosnia and Herzegovina",S3280)),"Bosnia and Herzegovina",
ISNUMBER(SEARCH("rn""&gt;Trinidad and Tobago",S3280)),"Trinidad and Tobago",
ISNUMBER(SEARCH("rn""&gt;Serbia and Montenegro",S3280)),"Serbia and Montenegro",
ISNUMBER(SEARCH(_xlfn.UNICHAR(65533),S3280)),"Côte d'Ivoire",
TRUE,""
)</f>
        <v/>
      </c>
      <c r="W3280" s="40" t="str">
        <f t="shared" si="228"/>
        <v>Germany</v>
      </c>
    </row>
    <row r="3281" spans="19:23">
      <c r="S3281" s="40" t="str">
        <v>Spain</v>
      </c>
      <c r="T3281" s="40" t="str">
        <f t="shared" si="226"/>
        <v>OK</v>
      </c>
      <c r="U3281" s="40" t="str">
        <f t="shared" si="227"/>
        <v>-</v>
      </c>
      <c r="V3281" s="40" t="str" cm="1">
        <f t="array" ref="V3281">_xlfn.IFS(
ISNUMBER(SEARCH("USA",S3281)),"United States",
ISNUMBER(SEARCH("Republic of Ireland",S3281)),"Ireland",
ISNUMBER(SEARCH("Republic of Korea",S3281)),"South Korea",
ISNUMBER(SEARCH("Cape Verde",S3281)),"Cabo Verde",
ISNUMBER(SEARCH("Czechia",S3281)),"Czech Republic",
ISNUMBER(SEARCH("Türkiye",S3281)),"Turkey",
ISNUMBER(SEARCH("Ivory Coast",S3281)),"Côte d'Ivoire",
ISNUMBER(SEARCH("Korea Republic",S3281)),"South Korea",
ISNUMBER(SEARCH("Germany FR",S3281)),"FR Germany",
ISNUMBER(SEARCH("West Germany",S3281)),"FR Germany",
ISNUMBER(SEARCH("Germany DR",S3281)),"DR Germany",
ISNUMBER(SEARCH("Korea DPR",S3281)),"North Korea",
ISNUMBER(SEARCH("China PR",S3281)),"China",
ISNUMBER(SEARCH("IR Iran",S3281)),"Iran",
ISNUMBER(SEARCH("Congo DR",S3281)),"Democratic Republic of the Congo",
ISNUMBER(SEARCH("DR Congo",S3281)),"Democratic Republic of the Congo",
ISNUMBER(SEARCH("German DR",S3281)),"DR Germany",
ISNUMBER(SEARCH("rn""&gt;United Arab Emirates",S3281)),"United Arab Emirates",
ISNUMBER(SEARCH("rn""&gt;Republic of Ireland",S3281)),"Ireland",
ISNUMBER(SEARCH("rn""&gt;Bosnia and Herzegovina",S3281)),"Bosnia and Herzegovina",
ISNUMBER(SEARCH("rn""&gt;Trinidad and Tobago",S3281)),"Trinidad and Tobago",
ISNUMBER(SEARCH("rn""&gt;Serbia and Montenegro",S3281)),"Serbia and Montenegro",
ISNUMBER(SEARCH(_xlfn.UNICHAR(65533),S3281)),"Côte d'Ivoire",
TRUE,""
)</f>
        <v/>
      </c>
      <c r="W3281" s="40" t="str">
        <f t="shared" si="228"/>
        <v>Spain</v>
      </c>
    </row>
    <row r="3282" spans="19:23">
      <c r="S3282" s="40" t="str">
        <v>Belgium</v>
      </c>
      <c r="T3282" s="40" t="str">
        <f t="shared" si="226"/>
        <v>OK</v>
      </c>
      <c r="U3282" s="40" t="str">
        <f t="shared" si="227"/>
        <v>-</v>
      </c>
      <c r="V3282" s="40" t="str" cm="1">
        <f t="array" ref="V3282">_xlfn.IFS(
ISNUMBER(SEARCH("USA",S3282)),"United States",
ISNUMBER(SEARCH("Republic of Ireland",S3282)),"Ireland",
ISNUMBER(SEARCH("Republic of Korea",S3282)),"South Korea",
ISNUMBER(SEARCH("Cape Verde",S3282)),"Cabo Verde",
ISNUMBER(SEARCH("Czechia",S3282)),"Czech Republic",
ISNUMBER(SEARCH("Türkiye",S3282)),"Turkey",
ISNUMBER(SEARCH("Ivory Coast",S3282)),"Côte d'Ivoire",
ISNUMBER(SEARCH("Korea Republic",S3282)),"South Korea",
ISNUMBER(SEARCH("Germany FR",S3282)),"FR Germany",
ISNUMBER(SEARCH("West Germany",S3282)),"FR Germany",
ISNUMBER(SEARCH("Germany DR",S3282)),"DR Germany",
ISNUMBER(SEARCH("Korea DPR",S3282)),"North Korea",
ISNUMBER(SEARCH("China PR",S3282)),"China",
ISNUMBER(SEARCH("IR Iran",S3282)),"Iran",
ISNUMBER(SEARCH("Congo DR",S3282)),"Democratic Republic of the Congo",
ISNUMBER(SEARCH("DR Congo",S3282)),"Democratic Republic of the Congo",
ISNUMBER(SEARCH("German DR",S3282)),"DR Germany",
ISNUMBER(SEARCH("rn""&gt;United Arab Emirates",S3282)),"United Arab Emirates",
ISNUMBER(SEARCH("rn""&gt;Republic of Ireland",S3282)),"Ireland",
ISNUMBER(SEARCH("rn""&gt;Bosnia and Herzegovina",S3282)),"Bosnia and Herzegovina",
ISNUMBER(SEARCH("rn""&gt;Trinidad and Tobago",S3282)),"Trinidad and Tobago",
ISNUMBER(SEARCH("rn""&gt;Serbia and Montenegro",S3282)),"Serbia and Montenegro",
ISNUMBER(SEARCH(_xlfn.UNICHAR(65533),S3282)),"Côte d'Ivoire",
TRUE,""
)</f>
        <v/>
      </c>
      <c r="W3282" s="40" t="str">
        <f t="shared" si="228"/>
        <v>Belgium</v>
      </c>
    </row>
    <row r="3283" spans="19:23">
      <c r="S3283" s="40" t="str">
        <v>Switzerland</v>
      </c>
      <c r="T3283" s="40" t="str">
        <f t="shared" si="226"/>
        <v>OK</v>
      </c>
      <c r="U3283" s="40" t="str">
        <f t="shared" si="227"/>
        <v>-</v>
      </c>
      <c r="V3283" s="40" t="str" cm="1">
        <f t="array" ref="V3283">_xlfn.IFS(
ISNUMBER(SEARCH("USA",S3283)),"United States",
ISNUMBER(SEARCH("Republic of Ireland",S3283)),"Ireland",
ISNUMBER(SEARCH("Republic of Korea",S3283)),"South Korea",
ISNUMBER(SEARCH("Cape Verde",S3283)),"Cabo Verde",
ISNUMBER(SEARCH("Czechia",S3283)),"Czech Republic",
ISNUMBER(SEARCH("Türkiye",S3283)),"Turkey",
ISNUMBER(SEARCH("Ivory Coast",S3283)),"Côte d'Ivoire",
ISNUMBER(SEARCH("Korea Republic",S3283)),"South Korea",
ISNUMBER(SEARCH("Germany FR",S3283)),"FR Germany",
ISNUMBER(SEARCH("West Germany",S3283)),"FR Germany",
ISNUMBER(SEARCH("Germany DR",S3283)),"DR Germany",
ISNUMBER(SEARCH("Korea DPR",S3283)),"North Korea",
ISNUMBER(SEARCH("China PR",S3283)),"China",
ISNUMBER(SEARCH("IR Iran",S3283)),"Iran",
ISNUMBER(SEARCH("Congo DR",S3283)),"Democratic Republic of the Congo",
ISNUMBER(SEARCH("DR Congo",S3283)),"Democratic Republic of the Congo",
ISNUMBER(SEARCH("German DR",S3283)),"DR Germany",
ISNUMBER(SEARCH("rn""&gt;United Arab Emirates",S3283)),"United Arab Emirates",
ISNUMBER(SEARCH("rn""&gt;Republic of Ireland",S3283)),"Ireland",
ISNUMBER(SEARCH("rn""&gt;Bosnia and Herzegovina",S3283)),"Bosnia and Herzegovina",
ISNUMBER(SEARCH("rn""&gt;Trinidad and Tobago",S3283)),"Trinidad and Tobago",
ISNUMBER(SEARCH("rn""&gt;Serbia and Montenegro",S3283)),"Serbia and Montenegro",
ISNUMBER(SEARCH(_xlfn.UNICHAR(65533),S3283)),"Côte d'Ivoire",
TRUE,""
)</f>
        <v/>
      </c>
      <c r="W3283" s="40" t="str">
        <f t="shared" si="228"/>
        <v>Switzerland</v>
      </c>
    </row>
    <row r="3284" spans="19:23">
      <c r="S3284" s="40" t="str">
        <v>Uruguay</v>
      </c>
      <c r="T3284" s="40" t="str">
        <f t="shared" si="226"/>
        <v>OK</v>
      </c>
      <c r="U3284" s="40" t="str">
        <f t="shared" si="227"/>
        <v>-</v>
      </c>
      <c r="V3284" s="40" t="str" cm="1">
        <f t="array" ref="V3284">_xlfn.IFS(
ISNUMBER(SEARCH("USA",S3284)),"United States",
ISNUMBER(SEARCH("Republic of Ireland",S3284)),"Ireland",
ISNUMBER(SEARCH("Republic of Korea",S3284)),"South Korea",
ISNUMBER(SEARCH("Cape Verde",S3284)),"Cabo Verde",
ISNUMBER(SEARCH("Czechia",S3284)),"Czech Republic",
ISNUMBER(SEARCH("Türkiye",S3284)),"Turkey",
ISNUMBER(SEARCH("Ivory Coast",S3284)),"Côte d'Ivoire",
ISNUMBER(SEARCH("Korea Republic",S3284)),"South Korea",
ISNUMBER(SEARCH("Germany FR",S3284)),"FR Germany",
ISNUMBER(SEARCH("West Germany",S3284)),"FR Germany",
ISNUMBER(SEARCH("Germany DR",S3284)),"DR Germany",
ISNUMBER(SEARCH("Korea DPR",S3284)),"North Korea",
ISNUMBER(SEARCH("China PR",S3284)),"China",
ISNUMBER(SEARCH("IR Iran",S3284)),"Iran",
ISNUMBER(SEARCH("Congo DR",S3284)),"Democratic Republic of the Congo",
ISNUMBER(SEARCH("DR Congo",S3284)),"Democratic Republic of the Congo",
ISNUMBER(SEARCH("German DR",S3284)),"DR Germany",
ISNUMBER(SEARCH("rn""&gt;United Arab Emirates",S3284)),"United Arab Emirates",
ISNUMBER(SEARCH("rn""&gt;Republic of Ireland",S3284)),"Ireland",
ISNUMBER(SEARCH("rn""&gt;Bosnia and Herzegovina",S3284)),"Bosnia and Herzegovina",
ISNUMBER(SEARCH("rn""&gt;Trinidad and Tobago",S3284)),"Trinidad and Tobago",
ISNUMBER(SEARCH("rn""&gt;Serbia and Montenegro",S3284)),"Serbia and Montenegro",
ISNUMBER(SEARCH(_xlfn.UNICHAR(65533),S3284)),"Côte d'Ivoire",
TRUE,""
)</f>
        <v/>
      </c>
      <c r="W3284" s="40" t="str">
        <f t="shared" si="228"/>
        <v>Uruguay</v>
      </c>
    </row>
    <row r="3285" spans="19:23">
      <c r="S3285" s="40" t="str">
        <v>Portugal</v>
      </c>
      <c r="T3285" s="40" t="str">
        <f t="shared" si="226"/>
        <v>OK</v>
      </c>
      <c r="U3285" s="40" t="str">
        <f t="shared" si="227"/>
        <v>-</v>
      </c>
      <c r="V3285" s="40" t="str" cm="1">
        <f t="array" ref="V3285">_xlfn.IFS(
ISNUMBER(SEARCH("USA",S3285)),"United States",
ISNUMBER(SEARCH("Republic of Ireland",S3285)),"Ireland",
ISNUMBER(SEARCH("Republic of Korea",S3285)),"South Korea",
ISNUMBER(SEARCH("Cape Verde",S3285)),"Cabo Verde",
ISNUMBER(SEARCH("Czechia",S3285)),"Czech Republic",
ISNUMBER(SEARCH("Türkiye",S3285)),"Turkey",
ISNUMBER(SEARCH("Ivory Coast",S3285)),"Côte d'Ivoire",
ISNUMBER(SEARCH("Korea Republic",S3285)),"South Korea",
ISNUMBER(SEARCH("Germany FR",S3285)),"FR Germany",
ISNUMBER(SEARCH("West Germany",S3285)),"FR Germany",
ISNUMBER(SEARCH("Germany DR",S3285)),"DR Germany",
ISNUMBER(SEARCH("Korea DPR",S3285)),"North Korea",
ISNUMBER(SEARCH("China PR",S3285)),"China",
ISNUMBER(SEARCH("IR Iran",S3285)),"Iran",
ISNUMBER(SEARCH("Congo DR",S3285)),"Democratic Republic of the Congo",
ISNUMBER(SEARCH("DR Congo",S3285)),"Democratic Republic of the Congo",
ISNUMBER(SEARCH("German DR",S3285)),"DR Germany",
ISNUMBER(SEARCH("rn""&gt;United Arab Emirates",S3285)),"United Arab Emirates",
ISNUMBER(SEARCH("rn""&gt;Republic of Ireland",S3285)),"Ireland",
ISNUMBER(SEARCH("rn""&gt;Bosnia and Herzegovina",S3285)),"Bosnia and Herzegovina",
ISNUMBER(SEARCH("rn""&gt;Trinidad and Tobago",S3285)),"Trinidad and Tobago",
ISNUMBER(SEARCH("rn""&gt;Serbia and Montenegro",S3285)),"Serbia and Montenegro",
ISNUMBER(SEARCH(_xlfn.UNICHAR(65533),S3285)),"Côte d'Ivoire",
TRUE,""
)</f>
        <v/>
      </c>
      <c r="W3285" s="40" t="str">
        <f t="shared" si="228"/>
        <v>Portugal</v>
      </c>
    </row>
    <row r="3286" spans="19:23">
      <c r="S3286" s="40" t="str">
        <v>Brazil</v>
      </c>
      <c r="T3286" s="40" t="str">
        <f t="shared" si="226"/>
        <v>OK</v>
      </c>
      <c r="U3286" s="40" t="str">
        <f t="shared" si="227"/>
        <v>-</v>
      </c>
      <c r="V3286" s="40" t="str" cm="1">
        <f t="array" ref="V3286">_xlfn.IFS(
ISNUMBER(SEARCH("USA",S3286)),"United States",
ISNUMBER(SEARCH("Republic of Ireland",S3286)),"Ireland",
ISNUMBER(SEARCH("Republic of Korea",S3286)),"South Korea",
ISNUMBER(SEARCH("Cape Verde",S3286)),"Cabo Verde",
ISNUMBER(SEARCH("Czechia",S3286)),"Czech Republic",
ISNUMBER(SEARCH("Türkiye",S3286)),"Turkey",
ISNUMBER(SEARCH("Ivory Coast",S3286)),"Côte d'Ivoire",
ISNUMBER(SEARCH("Korea Republic",S3286)),"South Korea",
ISNUMBER(SEARCH("Germany FR",S3286)),"FR Germany",
ISNUMBER(SEARCH("West Germany",S3286)),"FR Germany",
ISNUMBER(SEARCH("Germany DR",S3286)),"DR Germany",
ISNUMBER(SEARCH("Korea DPR",S3286)),"North Korea",
ISNUMBER(SEARCH("China PR",S3286)),"China",
ISNUMBER(SEARCH("IR Iran",S3286)),"Iran",
ISNUMBER(SEARCH("Congo DR",S3286)),"Democratic Republic of the Congo",
ISNUMBER(SEARCH("DR Congo",S3286)),"Democratic Republic of the Congo",
ISNUMBER(SEARCH("German DR",S3286)),"DR Germany",
ISNUMBER(SEARCH("rn""&gt;United Arab Emirates",S3286)),"United Arab Emirates",
ISNUMBER(SEARCH("rn""&gt;Republic of Ireland",S3286)),"Ireland",
ISNUMBER(SEARCH("rn""&gt;Bosnia and Herzegovina",S3286)),"Bosnia and Herzegovina",
ISNUMBER(SEARCH("rn""&gt;Trinidad and Tobago",S3286)),"Trinidad and Tobago",
ISNUMBER(SEARCH("rn""&gt;Serbia and Montenegro",S3286)),"Serbia and Montenegro",
ISNUMBER(SEARCH(_xlfn.UNICHAR(65533),S3286)),"Côte d'Ivoire",
TRUE,""
)</f>
        <v/>
      </c>
      <c r="W3286" s="40" t="str">
        <f t="shared" si="228"/>
        <v>Brazil</v>
      </c>
    </row>
    <row r="3287" spans="19:23">
      <c r="S3287" s="40" t="str">
        <v>Wales</v>
      </c>
      <c r="T3287" s="40" t="str">
        <f t="shared" si="226"/>
        <v>ERREUR</v>
      </c>
      <c r="U3287" s="40" t="str">
        <f t="shared" si="227"/>
        <v>AUCUNE</v>
      </c>
      <c r="V3287" s="40" t="str" cm="1">
        <f t="array" ref="V3287">_xlfn.IFS(
ISNUMBER(SEARCH("USA",S3287)),"United States",
ISNUMBER(SEARCH("Republic of Ireland",S3287)),"Ireland",
ISNUMBER(SEARCH("Republic of Korea",S3287)),"South Korea",
ISNUMBER(SEARCH("Cape Verde",S3287)),"Cabo Verde",
ISNUMBER(SEARCH("Czechia",S3287)),"Czech Republic",
ISNUMBER(SEARCH("Türkiye",S3287)),"Turkey",
ISNUMBER(SEARCH("Ivory Coast",S3287)),"Côte d'Ivoire",
ISNUMBER(SEARCH("Korea Republic",S3287)),"South Korea",
ISNUMBER(SEARCH("Germany FR",S3287)),"FR Germany",
ISNUMBER(SEARCH("West Germany",S3287)),"FR Germany",
ISNUMBER(SEARCH("Germany DR",S3287)),"DR Germany",
ISNUMBER(SEARCH("Korea DPR",S3287)),"North Korea",
ISNUMBER(SEARCH("China PR",S3287)),"China",
ISNUMBER(SEARCH("IR Iran",S3287)),"Iran",
ISNUMBER(SEARCH("Congo DR",S3287)),"Democratic Republic of the Congo",
ISNUMBER(SEARCH("DR Congo",S3287)),"Democratic Republic of the Congo",
ISNUMBER(SEARCH("German DR",S3287)),"DR Germany",
ISNUMBER(SEARCH("rn""&gt;United Arab Emirates",S3287)),"United Arab Emirates",
ISNUMBER(SEARCH("rn""&gt;Republic of Ireland",S3287)),"Ireland",
ISNUMBER(SEARCH("rn""&gt;Bosnia and Herzegovina",S3287)),"Bosnia and Herzegovina",
ISNUMBER(SEARCH("rn""&gt;Trinidad and Tobago",S3287)),"Trinidad and Tobago",
ISNUMBER(SEARCH("rn""&gt;Serbia and Montenegro",S3287)),"Serbia and Montenegro",
ISNUMBER(SEARCH(_xlfn.UNICHAR(65533),S3287)),"Côte d'Ivoire",
TRUE,""
)</f>
        <v/>
      </c>
      <c r="W3287" s="40" t="str">
        <f t="shared" si="228"/>
        <v>Wales</v>
      </c>
    </row>
    <row r="3288" spans="19:23">
      <c r="S3288" s="40" t="str">
        <v>Qatar</v>
      </c>
      <c r="T3288" s="40" t="str">
        <f t="shared" si="226"/>
        <v>OK</v>
      </c>
      <c r="U3288" s="40" t="str">
        <f t="shared" si="227"/>
        <v>-</v>
      </c>
      <c r="V3288" s="40" t="str" cm="1">
        <f t="array" ref="V3288">_xlfn.IFS(
ISNUMBER(SEARCH("USA",S3288)),"United States",
ISNUMBER(SEARCH("Republic of Ireland",S3288)),"Ireland",
ISNUMBER(SEARCH("Republic of Korea",S3288)),"South Korea",
ISNUMBER(SEARCH("Cape Verde",S3288)),"Cabo Verde",
ISNUMBER(SEARCH("Czechia",S3288)),"Czech Republic",
ISNUMBER(SEARCH("Türkiye",S3288)),"Turkey",
ISNUMBER(SEARCH("Ivory Coast",S3288)),"Côte d'Ivoire",
ISNUMBER(SEARCH("Korea Republic",S3288)),"South Korea",
ISNUMBER(SEARCH("Germany FR",S3288)),"FR Germany",
ISNUMBER(SEARCH("West Germany",S3288)),"FR Germany",
ISNUMBER(SEARCH("Germany DR",S3288)),"DR Germany",
ISNUMBER(SEARCH("Korea DPR",S3288)),"North Korea",
ISNUMBER(SEARCH("China PR",S3288)),"China",
ISNUMBER(SEARCH("IR Iran",S3288)),"Iran",
ISNUMBER(SEARCH("Congo DR",S3288)),"Democratic Republic of the Congo",
ISNUMBER(SEARCH("DR Congo",S3288)),"Democratic Republic of the Congo",
ISNUMBER(SEARCH("German DR",S3288)),"DR Germany",
ISNUMBER(SEARCH("rn""&gt;United Arab Emirates",S3288)),"United Arab Emirates",
ISNUMBER(SEARCH("rn""&gt;Republic of Ireland",S3288)),"Ireland",
ISNUMBER(SEARCH("rn""&gt;Bosnia and Herzegovina",S3288)),"Bosnia and Herzegovina",
ISNUMBER(SEARCH("rn""&gt;Trinidad and Tobago",S3288)),"Trinidad and Tobago",
ISNUMBER(SEARCH("rn""&gt;Serbia and Montenegro",S3288)),"Serbia and Montenegro",
ISNUMBER(SEARCH(_xlfn.UNICHAR(65533),S3288)),"Côte d'Ivoire",
TRUE,""
)</f>
        <v/>
      </c>
      <c r="W3288" s="40" t="str">
        <f t="shared" si="228"/>
        <v>Qatar</v>
      </c>
    </row>
    <row r="3289" spans="19:23">
      <c r="S3289" s="40" t="str">
        <v>Netherlands</v>
      </c>
      <c r="T3289" s="40" t="str">
        <f t="shared" si="226"/>
        <v>OK</v>
      </c>
      <c r="U3289" s="40" t="str">
        <f t="shared" si="227"/>
        <v>-</v>
      </c>
      <c r="V3289" s="40" t="str" cm="1">
        <f t="array" ref="V3289">_xlfn.IFS(
ISNUMBER(SEARCH("USA",S3289)),"United States",
ISNUMBER(SEARCH("Republic of Ireland",S3289)),"Ireland",
ISNUMBER(SEARCH("Republic of Korea",S3289)),"South Korea",
ISNUMBER(SEARCH("Cape Verde",S3289)),"Cabo Verde",
ISNUMBER(SEARCH("Czechia",S3289)),"Czech Republic",
ISNUMBER(SEARCH("Türkiye",S3289)),"Turkey",
ISNUMBER(SEARCH("Ivory Coast",S3289)),"Côte d'Ivoire",
ISNUMBER(SEARCH("Korea Republic",S3289)),"South Korea",
ISNUMBER(SEARCH("Germany FR",S3289)),"FR Germany",
ISNUMBER(SEARCH("West Germany",S3289)),"FR Germany",
ISNUMBER(SEARCH("Germany DR",S3289)),"DR Germany",
ISNUMBER(SEARCH("Korea DPR",S3289)),"North Korea",
ISNUMBER(SEARCH("China PR",S3289)),"China",
ISNUMBER(SEARCH("IR Iran",S3289)),"Iran",
ISNUMBER(SEARCH("Congo DR",S3289)),"Democratic Republic of the Congo",
ISNUMBER(SEARCH("DR Congo",S3289)),"Democratic Republic of the Congo",
ISNUMBER(SEARCH("German DR",S3289)),"DR Germany",
ISNUMBER(SEARCH("rn""&gt;United Arab Emirates",S3289)),"United Arab Emirates",
ISNUMBER(SEARCH("rn""&gt;Republic of Ireland",S3289)),"Ireland",
ISNUMBER(SEARCH("rn""&gt;Bosnia and Herzegovina",S3289)),"Bosnia and Herzegovina",
ISNUMBER(SEARCH("rn""&gt;Trinidad and Tobago",S3289)),"Trinidad and Tobago",
ISNUMBER(SEARCH("rn""&gt;Serbia and Montenegro",S3289)),"Serbia and Montenegro",
ISNUMBER(SEARCH(_xlfn.UNICHAR(65533),S3289)),"Côte d'Ivoire",
TRUE,""
)</f>
        <v/>
      </c>
      <c r="W3289" s="40" t="str">
        <f t="shared" si="228"/>
        <v>Netherlands</v>
      </c>
    </row>
    <row r="3290" spans="19:23">
      <c r="S3290" s="40" t="str">
        <v>England</v>
      </c>
      <c r="T3290" s="40" t="str">
        <f t="shared" si="226"/>
        <v>ERREUR</v>
      </c>
      <c r="U3290" s="40" t="str">
        <f t="shared" si="227"/>
        <v>AUCUNE</v>
      </c>
      <c r="V3290" s="40" t="str" cm="1">
        <f t="array" ref="V3290">_xlfn.IFS(
ISNUMBER(SEARCH("USA",S3290)),"United States",
ISNUMBER(SEARCH("Republic of Ireland",S3290)),"Ireland",
ISNUMBER(SEARCH("Republic of Korea",S3290)),"South Korea",
ISNUMBER(SEARCH("Cape Verde",S3290)),"Cabo Verde",
ISNUMBER(SEARCH("Czechia",S3290)),"Czech Republic",
ISNUMBER(SEARCH("Türkiye",S3290)),"Turkey",
ISNUMBER(SEARCH("Ivory Coast",S3290)),"Côte d'Ivoire",
ISNUMBER(SEARCH("Korea Republic",S3290)),"South Korea",
ISNUMBER(SEARCH("Germany FR",S3290)),"FR Germany",
ISNUMBER(SEARCH("West Germany",S3290)),"FR Germany",
ISNUMBER(SEARCH("Germany DR",S3290)),"DR Germany",
ISNUMBER(SEARCH("Korea DPR",S3290)),"North Korea",
ISNUMBER(SEARCH("China PR",S3290)),"China",
ISNUMBER(SEARCH("IR Iran",S3290)),"Iran",
ISNUMBER(SEARCH("Congo DR",S3290)),"Democratic Republic of the Congo",
ISNUMBER(SEARCH("DR Congo",S3290)),"Democratic Republic of the Congo",
ISNUMBER(SEARCH("German DR",S3290)),"DR Germany",
ISNUMBER(SEARCH("rn""&gt;United Arab Emirates",S3290)),"United Arab Emirates",
ISNUMBER(SEARCH("rn""&gt;Republic of Ireland",S3290)),"Ireland",
ISNUMBER(SEARCH("rn""&gt;Bosnia and Herzegovina",S3290)),"Bosnia and Herzegovina",
ISNUMBER(SEARCH("rn""&gt;Trinidad and Tobago",S3290)),"Trinidad and Tobago",
ISNUMBER(SEARCH("rn""&gt;Serbia and Montenegro",S3290)),"Serbia and Montenegro",
ISNUMBER(SEARCH(_xlfn.UNICHAR(65533),S3290)),"Côte d'Ivoire",
TRUE,""
)</f>
        <v/>
      </c>
      <c r="W3290" s="40" t="str">
        <f t="shared" si="228"/>
        <v>England</v>
      </c>
    </row>
    <row r="3291" spans="19:23">
      <c r="S3291" s="40" t="str">
        <v>Tunisia</v>
      </c>
      <c r="T3291" s="40" t="str">
        <f t="shared" si="226"/>
        <v>OK</v>
      </c>
      <c r="U3291" s="40" t="str">
        <f t="shared" si="227"/>
        <v>-</v>
      </c>
      <c r="V3291" s="40" t="str" cm="1">
        <f t="array" ref="V3291">_xlfn.IFS(
ISNUMBER(SEARCH("USA",S3291)),"United States",
ISNUMBER(SEARCH("Republic of Ireland",S3291)),"Ireland",
ISNUMBER(SEARCH("Republic of Korea",S3291)),"South Korea",
ISNUMBER(SEARCH("Cape Verde",S3291)),"Cabo Verde",
ISNUMBER(SEARCH("Czechia",S3291)),"Czech Republic",
ISNUMBER(SEARCH("Türkiye",S3291)),"Turkey",
ISNUMBER(SEARCH("Ivory Coast",S3291)),"Côte d'Ivoire",
ISNUMBER(SEARCH("Korea Republic",S3291)),"South Korea",
ISNUMBER(SEARCH("Germany FR",S3291)),"FR Germany",
ISNUMBER(SEARCH("West Germany",S3291)),"FR Germany",
ISNUMBER(SEARCH("Germany DR",S3291)),"DR Germany",
ISNUMBER(SEARCH("Korea DPR",S3291)),"North Korea",
ISNUMBER(SEARCH("China PR",S3291)),"China",
ISNUMBER(SEARCH("IR Iran",S3291)),"Iran",
ISNUMBER(SEARCH("Congo DR",S3291)),"Democratic Republic of the Congo",
ISNUMBER(SEARCH("DR Congo",S3291)),"Democratic Republic of the Congo",
ISNUMBER(SEARCH("German DR",S3291)),"DR Germany",
ISNUMBER(SEARCH("rn""&gt;United Arab Emirates",S3291)),"United Arab Emirates",
ISNUMBER(SEARCH("rn""&gt;Republic of Ireland",S3291)),"Ireland",
ISNUMBER(SEARCH("rn""&gt;Bosnia and Herzegovina",S3291)),"Bosnia and Herzegovina",
ISNUMBER(SEARCH("rn""&gt;Trinidad and Tobago",S3291)),"Trinidad and Tobago",
ISNUMBER(SEARCH("rn""&gt;Serbia and Montenegro",S3291)),"Serbia and Montenegro",
ISNUMBER(SEARCH(_xlfn.UNICHAR(65533),S3291)),"Côte d'Ivoire",
TRUE,""
)</f>
        <v/>
      </c>
      <c r="W3291" s="40" t="str">
        <f t="shared" si="228"/>
        <v>Tunisia</v>
      </c>
    </row>
    <row r="3292" spans="19:23">
      <c r="S3292" s="40" t="str">
        <v>Poland</v>
      </c>
      <c r="T3292" s="40" t="str">
        <f t="shared" si="226"/>
        <v>OK</v>
      </c>
      <c r="U3292" s="40" t="str">
        <f t="shared" si="227"/>
        <v>-</v>
      </c>
      <c r="V3292" s="40" t="str" cm="1">
        <f t="array" ref="V3292">_xlfn.IFS(
ISNUMBER(SEARCH("USA",S3292)),"United States",
ISNUMBER(SEARCH("Republic of Ireland",S3292)),"Ireland",
ISNUMBER(SEARCH("Republic of Korea",S3292)),"South Korea",
ISNUMBER(SEARCH("Cape Verde",S3292)),"Cabo Verde",
ISNUMBER(SEARCH("Czechia",S3292)),"Czech Republic",
ISNUMBER(SEARCH("Türkiye",S3292)),"Turkey",
ISNUMBER(SEARCH("Ivory Coast",S3292)),"Côte d'Ivoire",
ISNUMBER(SEARCH("Korea Republic",S3292)),"South Korea",
ISNUMBER(SEARCH("Germany FR",S3292)),"FR Germany",
ISNUMBER(SEARCH("West Germany",S3292)),"FR Germany",
ISNUMBER(SEARCH("Germany DR",S3292)),"DR Germany",
ISNUMBER(SEARCH("Korea DPR",S3292)),"North Korea",
ISNUMBER(SEARCH("China PR",S3292)),"China",
ISNUMBER(SEARCH("IR Iran",S3292)),"Iran",
ISNUMBER(SEARCH("Congo DR",S3292)),"Democratic Republic of the Congo",
ISNUMBER(SEARCH("DR Congo",S3292)),"Democratic Republic of the Congo",
ISNUMBER(SEARCH("German DR",S3292)),"DR Germany",
ISNUMBER(SEARCH("rn""&gt;United Arab Emirates",S3292)),"United Arab Emirates",
ISNUMBER(SEARCH("rn""&gt;Republic of Ireland",S3292)),"Ireland",
ISNUMBER(SEARCH("rn""&gt;Bosnia and Herzegovina",S3292)),"Bosnia and Herzegovina",
ISNUMBER(SEARCH("rn""&gt;Trinidad and Tobago",S3292)),"Trinidad and Tobago",
ISNUMBER(SEARCH("rn""&gt;Serbia and Montenegro",S3292)),"Serbia and Montenegro",
ISNUMBER(SEARCH(_xlfn.UNICHAR(65533),S3292)),"Côte d'Ivoire",
TRUE,""
)</f>
        <v/>
      </c>
      <c r="W3292" s="40" t="str">
        <f t="shared" si="228"/>
        <v>Poland</v>
      </c>
    </row>
    <row r="3293" spans="19:23">
      <c r="S3293" s="40" t="str">
        <v>France</v>
      </c>
      <c r="T3293" s="40" t="str">
        <f t="shared" si="226"/>
        <v>OK</v>
      </c>
      <c r="U3293" s="40" t="str">
        <f t="shared" si="227"/>
        <v>-</v>
      </c>
      <c r="V3293" s="40" t="str" cm="1">
        <f t="array" ref="V3293">_xlfn.IFS(
ISNUMBER(SEARCH("USA",S3293)),"United States",
ISNUMBER(SEARCH("Republic of Ireland",S3293)),"Ireland",
ISNUMBER(SEARCH("Republic of Korea",S3293)),"South Korea",
ISNUMBER(SEARCH("Cape Verde",S3293)),"Cabo Verde",
ISNUMBER(SEARCH("Czechia",S3293)),"Czech Republic",
ISNUMBER(SEARCH("Türkiye",S3293)),"Turkey",
ISNUMBER(SEARCH("Ivory Coast",S3293)),"Côte d'Ivoire",
ISNUMBER(SEARCH("Korea Republic",S3293)),"South Korea",
ISNUMBER(SEARCH("Germany FR",S3293)),"FR Germany",
ISNUMBER(SEARCH("West Germany",S3293)),"FR Germany",
ISNUMBER(SEARCH("Germany DR",S3293)),"DR Germany",
ISNUMBER(SEARCH("Korea DPR",S3293)),"North Korea",
ISNUMBER(SEARCH("China PR",S3293)),"China",
ISNUMBER(SEARCH("IR Iran",S3293)),"Iran",
ISNUMBER(SEARCH("Congo DR",S3293)),"Democratic Republic of the Congo",
ISNUMBER(SEARCH("DR Congo",S3293)),"Democratic Republic of the Congo",
ISNUMBER(SEARCH("German DR",S3293)),"DR Germany",
ISNUMBER(SEARCH("rn""&gt;United Arab Emirates",S3293)),"United Arab Emirates",
ISNUMBER(SEARCH("rn""&gt;Republic of Ireland",S3293)),"Ireland",
ISNUMBER(SEARCH("rn""&gt;Bosnia and Herzegovina",S3293)),"Bosnia and Herzegovina",
ISNUMBER(SEARCH("rn""&gt;Trinidad and Tobago",S3293)),"Trinidad and Tobago",
ISNUMBER(SEARCH("rn""&gt;Serbia and Montenegro",S3293)),"Serbia and Montenegro",
ISNUMBER(SEARCH(_xlfn.UNICHAR(65533),S3293)),"Côte d'Ivoire",
TRUE,""
)</f>
        <v/>
      </c>
      <c r="W3293" s="40" t="str">
        <f t="shared" si="228"/>
        <v>France</v>
      </c>
    </row>
    <row r="3294" spans="19:23">
      <c r="S3294" s="40" t="str">
        <v>Argentina</v>
      </c>
      <c r="T3294" s="40" t="str">
        <f t="shared" si="226"/>
        <v>OK</v>
      </c>
      <c r="U3294" s="40" t="str">
        <f t="shared" si="227"/>
        <v>-</v>
      </c>
      <c r="V3294" s="40" t="str" cm="1">
        <f t="array" ref="V3294">_xlfn.IFS(
ISNUMBER(SEARCH("USA",S3294)),"United States",
ISNUMBER(SEARCH("Republic of Ireland",S3294)),"Ireland",
ISNUMBER(SEARCH("Republic of Korea",S3294)),"South Korea",
ISNUMBER(SEARCH("Cape Verde",S3294)),"Cabo Verde",
ISNUMBER(SEARCH("Czechia",S3294)),"Czech Republic",
ISNUMBER(SEARCH("Türkiye",S3294)),"Turkey",
ISNUMBER(SEARCH("Ivory Coast",S3294)),"Côte d'Ivoire",
ISNUMBER(SEARCH("Korea Republic",S3294)),"South Korea",
ISNUMBER(SEARCH("Germany FR",S3294)),"FR Germany",
ISNUMBER(SEARCH("West Germany",S3294)),"FR Germany",
ISNUMBER(SEARCH("Germany DR",S3294)),"DR Germany",
ISNUMBER(SEARCH("Korea DPR",S3294)),"North Korea",
ISNUMBER(SEARCH("China PR",S3294)),"China",
ISNUMBER(SEARCH("IR Iran",S3294)),"Iran",
ISNUMBER(SEARCH("Congo DR",S3294)),"Democratic Republic of the Congo",
ISNUMBER(SEARCH("DR Congo",S3294)),"Democratic Republic of the Congo",
ISNUMBER(SEARCH("German DR",S3294)),"DR Germany",
ISNUMBER(SEARCH("rn""&gt;United Arab Emirates",S3294)),"United Arab Emirates",
ISNUMBER(SEARCH("rn""&gt;Republic of Ireland",S3294)),"Ireland",
ISNUMBER(SEARCH("rn""&gt;Bosnia and Herzegovina",S3294)),"Bosnia and Herzegovina",
ISNUMBER(SEARCH("rn""&gt;Trinidad and Tobago",S3294)),"Trinidad and Tobago",
ISNUMBER(SEARCH("rn""&gt;Serbia and Montenegro",S3294)),"Serbia and Montenegro",
ISNUMBER(SEARCH(_xlfn.UNICHAR(65533),S3294)),"Côte d'Ivoire",
TRUE,""
)</f>
        <v/>
      </c>
      <c r="W3294" s="40" t="str">
        <f t="shared" si="228"/>
        <v>Argentina</v>
      </c>
    </row>
    <row r="3295" spans="19:23">
      <c r="S3295" s="40" t="str">
        <v>Japan</v>
      </c>
      <c r="T3295" s="40" t="str">
        <f t="shared" si="226"/>
        <v>OK</v>
      </c>
      <c r="U3295" s="40" t="str">
        <f t="shared" si="227"/>
        <v>-</v>
      </c>
      <c r="V3295" s="40" t="str" cm="1">
        <f t="array" ref="V3295">_xlfn.IFS(
ISNUMBER(SEARCH("USA",S3295)),"United States",
ISNUMBER(SEARCH("Republic of Ireland",S3295)),"Ireland",
ISNUMBER(SEARCH("Republic of Korea",S3295)),"South Korea",
ISNUMBER(SEARCH("Cape Verde",S3295)),"Cabo Verde",
ISNUMBER(SEARCH("Czechia",S3295)),"Czech Republic",
ISNUMBER(SEARCH("Türkiye",S3295)),"Turkey",
ISNUMBER(SEARCH("Ivory Coast",S3295)),"Côte d'Ivoire",
ISNUMBER(SEARCH("Korea Republic",S3295)),"South Korea",
ISNUMBER(SEARCH("Germany FR",S3295)),"FR Germany",
ISNUMBER(SEARCH("West Germany",S3295)),"FR Germany",
ISNUMBER(SEARCH("Germany DR",S3295)),"DR Germany",
ISNUMBER(SEARCH("Korea DPR",S3295)),"North Korea",
ISNUMBER(SEARCH("China PR",S3295)),"China",
ISNUMBER(SEARCH("IR Iran",S3295)),"Iran",
ISNUMBER(SEARCH("Congo DR",S3295)),"Democratic Republic of the Congo",
ISNUMBER(SEARCH("DR Congo",S3295)),"Democratic Republic of the Congo",
ISNUMBER(SEARCH("German DR",S3295)),"DR Germany",
ISNUMBER(SEARCH("rn""&gt;United Arab Emirates",S3295)),"United Arab Emirates",
ISNUMBER(SEARCH("rn""&gt;Republic of Ireland",S3295)),"Ireland",
ISNUMBER(SEARCH("rn""&gt;Bosnia and Herzegovina",S3295)),"Bosnia and Herzegovina",
ISNUMBER(SEARCH("rn""&gt;Trinidad and Tobago",S3295)),"Trinidad and Tobago",
ISNUMBER(SEARCH("rn""&gt;Serbia and Montenegro",S3295)),"Serbia and Montenegro",
ISNUMBER(SEARCH(_xlfn.UNICHAR(65533),S3295)),"Côte d'Ivoire",
TRUE,""
)</f>
        <v/>
      </c>
      <c r="W3295" s="40" t="str">
        <f t="shared" si="228"/>
        <v>Japan</v>
      </c>
    </row>
    <row r="3296" spans="19:23">
      <c r="S3296" s="40" t="str">
        <v>Belgium</v>
      </c>
      <c r="T3296" s="40" t="str">
        <f t="shared" si="226"/>
        <v>OK</v>
      </c>
      <c r="U3296" s="40" t="str">
        <f t="shared" si="227"/>
        <v>-</v>
      </c>
      <c r="V3296" s="40" t="str" cm="1">
        <f t="array" ref="V3296">_xlfn.IFS(
ISNUMBER(SEARCH("USA",S3296)),"United States",
ISNUMBER(SEARCH("Republic of Ireland",S3296)),"Ireland",
ISNUMBER(SEARCH("Republic of Korea",S3296)),"South Korea",
ISNUMBER(SEARCH("Cape Verde",S3296)),"Cabo Verde",
ISNUMBER(SEARCH("Czechia",S3296)),"Czech Republic",
ISNUMBER(SEARCH("Türkiye",S3296)),"Turkey",
ISNUMBER(SEARCH("Ivory Coast",S3296)),"Côte d'Ivoire",
ISNUMBER(SEARCH("Korea Republic",S3296)),"South Korea",
ISNUMBER(SEARCH("Germany FR",S3296)),"FR Germany",
ISNUMBER(SEARCH("West Germany",S3296)),"FR Germany",
ISNUMBER(SEARCH("Germany DR",S3296)),"DR Germany",
ISNUMBER(SEARCH("Korea DPR",S3296)),"North Korea",
ISNUMBER(SEARCH("China PR",S3296)),"China",
ISNUMBER(SEARCH("IR Iran",S3296)),"Iran",
ISNUMBER(SEARCH("Congo DR",S3296)),"Democratic Republic of the Congo",
ISNUMBER(SEARCH("DR Congo",S3296)),"Democratic Republic of the Congo",
ISNUMBER(SEARCH("German DR",S3296)),"DR Germany",
ISNUMBER(SEARCH("rn""&gt;United Arab Emirates",S3296)),"United Arab Emirates",
ISNUMBER(SEARCH("rn""&gt;Republic of Ireland",S3296)),"Ireland",
ISNUMBER(SEARCH("rn""&gt;Bosnia and Herzegovina",S3296)),"Bosnia and Herzegovina",
ISNUMBER(SEARCH("rn""&gt;Trinidad and Tobago",S3296)),"Trinidad and Tobago",
ISNUMBER(SEARCH("rn""&gt;Serbia and Montenegro",S3296)),"Serbia and Montenegro",
ISNUMBER(SEARCH(_xlfn.UNICHAR(65533),S3296)),"Côte d'Ivoire",
TRUE,""
)</f>
        <v/>
      </c>
      <c r="W3296" s="40" t="str">
        <f t="shared" si="228"/>
        <v>Belgium</v>
      </c>
    </row>
    <row r="3297" spans="19:23">
      <c r="S3297" s="40" t="str">
        <v>Croatia</v>
      </c>
      <c r="T3297" s="40" t="str">
        <f t="shared" si="226"/>
        <v>OK</v>
      </c>
      <c r="U3297" s="40" t="str">
        <f t="shared" si="227"/>
        <v>-</v>
      </c>
      <c r="V3297" s="40" t="str" cm="1">
        <f t="array" ref="V3297">_xlfn.IFS(
ISNUMBER(SEARCH("USA",S3297)),"United States",
ISNUMBER(SEARCH("Republic of Ireland",S3297)),"Ireland",
ISNUMBER(SEARCH("Republic of Korea",S3297)),"South Korea",
ISNUMBER(SEARCH("Cape Verde",S3297)),"Cabo Verde",
ISNUMBER(SEARCH("Czechia",S3297)),"Czech Republic",
ISNUMBER(SEARCH("Türkiye",S3297)),"Turkey",
ISNUMBER(SEARCH("Ivory Coast",S3297)),"Côte d'Ivoire",
ISNUMBER(SEARCH("Korea Republic",S3297)),"South Korea",
ISNUMBER(SEARCH("Germany FR",S3297)),"FR Germany",
ISNUMBER(SEARCH("West Germany",S3297)),"FR Germany",
ISNUMBER(SEARCH("Germany DR",S3297)),"DR Germany",
ISNUMBER(SEARCH("Korea DPR",S3297)),"North Korea",
ISNUMBER(SEARCH("China PR",S3297)),"China",
ISNUMBER(SEARCH("IR Iran",S3297)),"Iran",
ISNUMBER(SEARCH("Congo DR",S3297)),"Democratic Republic of the Congo",
ISNUMBER(SEARCH("DR Congo",S3297)),"Democratic Republic of the Congo",
ISNUMBER(SEARCH("German DR",S3297)),"DR Germany",
ISNUMBER(SEARCH("rn""&gt;United Arab Emirates",S3297)),"United Arab Emirates",
ISNUMBER(SEARCH("rn""&gt;Republic of Ireland",S3297)),"Ireland",
ISNUMBER(SEARCH("rn""&gt;Bosnia and Herzegovina",S3297)),"Bosnia and Herzegovina",
ISNUMBER(SEARCH("rn""&gt;Trinidad and Tobago",S3297)),"Trinidad and Tobago",
ISNUMBER(SEARCH("rn""&gt;Serbia and Montenegro",S3297)),"Serbia and Montenegro",
ISNUMBER(SEARCH(_xlfn.UNICHAR(65533),S3297)),"Côte d'Ivoire",
TRUE,""
)</f>
        <v/>
      </c>
      <c r="W3297" s="40" t="str">
        <f t="shared" si="228"/>
        <v>Croatia</v>
      </c>
    </row>
    <row r="3298" spans="19:23">
      <c r="S3298" s="40" t="str">
        <v>Spain</v>
      </c>
      <c r="T3298" s="40" t="str">
        <f t="shared" si="226"/>
        <v>OK</v>
      </c>
      <c r="U3298" s="40" t="str">
        <f t="shared" si="227"/>
        <v>-</v>
      </c>
      <c r="V3298" s="40" t="str" cm="1">
        <f t="array" ref="V3298">_xlfn.IFS(
ISNUMBER(SEARCH("USA",S3298)),"United States",
ISNUMBER(SEARCH("Republic of Ireland",S3298)),"Ireland",
ISNUMBER(SEARCH("Republic of Korea",S3298)),"South Korea",
ISNUMBER(SEARCH("Cape Verde",S3298)),"Cabo Verde",
ISNUMBER(SEARCH("Czechia",S3298)),"Czech Republic",
ISNUMBER(SEARCH("Türkiye",S3298)),"Turkey",
ISNUMBER(SEARCH("Ivory Coast",S3298)),"Côte d'Ivoire",
ISNUMBER(SEARCH("Korea Republic",S3298)),"South Korea",
ISNUMBER(SEARCH("Germany FR",S3298)),"FR Germany",
ISNUMBER(SEARCH("West Germany",S3298)),"FR Germany",
ISNUMBER(SEARCH("Germany DR",S3298)),"DR Germany",
ISNUMBER(SEARCH("Korea DPR",S3298)),"North Korea",
ISNUMBER(SEARCH("China PR",S3298)),"China",
ISNUMBER(SEARCH("IR Iran",S3298)),"Iran",
ISNUMBER(SEARCH("Congo DR",S3298)),"Democratic Republic of the Congo",
ISNUMBER(SEARCH("DR Congo",S3298)),"Democratic Republic of the Congo",
ISNUMBER(SEARCH("German DR",S3298)),"DR Germany",
ISNUMBER(SEARCH("rn""&gt;United Arab Emirates",S3298)),"United Arab Emirates",
ISNUMBER(SEARCH("rn""&gt;Republic of Ireland",S3298)),"Ireland",
ISNUMBER(SEARCH("rn""&gt;Bosnia and Herzegovina",S3298)),"Bosnia and Herzegovina",
ISNUMBER(SEARCH("rn""&gt;Trinidad and Tobago",S3298)),"Trinidad and Tobago",
ISNUMBER(SEARCH("rn""&gt;Serbia and Montenegro",S3298)),"Serbia and Montenegro",
ISNUMBER(SEARCH(_xlfn.UNICHAR(65533),S3298)),"Côte d'Ivoire",
TRUE,""
)</f>
        <v/>
      </c>
      <c r="W3298" s="40" t="str">
        <f t="shared" si="228"/>
        <v>Spain</v>
      </c>
    </row>
    <row r="3299" spans="19:23">
      <c r="S3299" s="40" t="str">
        <v>Cameroon</v>
      </c>
      <c r="T3299" s="40" t="str">
        <f t="shared" si="226"/>
        <v>OK</v>
      </c>
      <c r="U3299" s="40" t="str">
        <f t="shared" si="227"/>
        <v>-</v>
      </c>
      <c r="V3299" s="40" t="str" cm="1">
        <f t="array" ref="V3299">_xlfn.IFS(
ISNUMBER(SEARCH("USA",S3299)),"United States",
ISNUMBER(SEARCH("Republic of Ireland",S3299)),"Ireland",
ISNUMBER(SEARCH("Republic of Korea",S3299)),"South Korea",
ISNUMBER(SEARCH("Cape Verde",S3299)),"Cabo Verde",
ISNUMBER(SEARCH("Czechia",S3299)),"Czech Republic",
ISNUMBER(SEARCH("Türkiye",S3299)),"Turkey",
ISNUMBER(SEARCH("Ivory Coast",S3299)),"Côte d'Ivoire",
ISNUMBER(SEARCH("Korea Republic",S3299)),"South Korea",
ISNUMBER(SEARCH("Germany FR",S3299)),"FR Germany",
ISNUMBER(SEARCH("West Germany",S3299)),"FR Germany",
ISNUMBER(SEARCH("Germany DR",S3299)),"DR Germany",
ISNUMBER(SEARCH("Korea DPR",S3299)),"North Korea",
ISNUMBER(SEARCH("China PR",S3299)),"China",
ISNUMBER(SEARCH("IR Iran",S3299)),"Iran",
ISNUMBER(SEARCH("Congo DR",S3299)),"Democratic Republic of the Congo",
ISNUMBER(SEARCH("DR Congo",S3299)),"Democratic Republic of the Congo",
ISNUMBER(SEARCH("German DR",S3299)),"DR Germany",
ISNUMBER(SEARCH("rn""&gt;United Arab Emirates",S3299)),"United Arab Emirates",
ISNUMBER(SEARCH("rn""&gt;Republic of Ireland",S3299)),"Ireland",
ISNUMBER(SEARCH("rn""&gt;Bosnia and Herzegovina",S3299)),"Bosnia and Herzegovina",
ISNUMBER(SEARCH("rn""&gt;Trinidad and Tobago",S3299)),"Trinidad and Tobago",
ISNUMBER(SEARCH("rn""&gt;Serbia and Montenegro",S3299)),"Serbia and Montenegro",
ISNUMBER(SEARCH(_xlfn.UNICHAR(65533),S3299)),"Côte d'Ivoire",
TRUE,""
)</f>
        <v/>
      </c>
      <c r="W3299" s="40" t="str">
        <f t="shared" si="228"/>
        <v>Cameroon</v>
      </c>
    </row>
    <row r="3300" spans="19:23">
      <c r="S3300" s="40" t="str">
        <v>South Korea</v>
      </c>
      <c r="T3300" s="40" t="str">
        <f t="shared" si="226"/>
        <v>OK</v>
      </c>
      <c r="U3300" s="40" t="str">
        <f t="shared" si="227"/>
        <v>-</v>
      </c>
      <c r="V3300" s="40" t="str" cm="1">
        <f t="array" ref="V3300">_xlfn.IFS(
ISNUMBER(SEARCH("USA",S3300)),"United States",
ISNUMBER(SEARCH("Republic of Ireland",S3300)),"Ireland",
ISNUMBER(SEARCH("Republic of Korea",S3300)),"South Korea",
ISNUMBER(SEARCH("Cape Verde",S3300)),"Cabo Verde",
ISNUMBER(SEARCH("Czechia",S3300)),"Czech Republic",
ISNUMBER(SEARCH("Türkiye",S3300)),"Turkey",
ISNUMBER(SEARCH("Ivory Coast",S3300)),"Côte d'Ivoire",
ISNUMBER(SEARCH("Korea Republic",S3300)),"South Korea",
ISNUMBER(SEARCH("Germany FR",S3300)),"FR Germany",
ISNUMBER(SEARCH("West Germany",S3300)),"FR Germany",
ISNUMBER(SEARCH("Germany DR",S3300)),"DR Germany",
ISNUMBER(SEARCH("Korea DPR",S3300)),"North Korea",
ISNUMBER(SEARCH("China PR",S3300)),"China",
ISNUMBER(SEARCH("IR Iran",S3300)),"Iran",
ISNUMBER(SEARCH("Congo DR",S3300)),"Democratic Republic of the Congo",
ISNUMBER(SEARCH("DR Congo",S3300)),"Democratic Republic of the Congo",
ISNUMBER(SEARCH("German DR",S3300)),"DR Germany",
ISNUMBER(SEARCH("rn""&gt;United Arab Emirates",S3300)),"United Arab Emirates",
ISNUMBER(SEARCH("rn""&gt;Republic of Ireland",S3300)),"Ireland",
ISNUMBER(SEARCH("rn""&gt;Bosnia and Herzegovina",S3300)),"Bosnia and Herzegovina",
ISNUMBER(SEARCH("rn""&gt;Trinidad and Tobago",S3300)),"Trinidad and Tobago",
ISNUMBER(SEARCH("rn""&gt;Serbia and Montenegro",S3300)),"Serbia and Montenegro",
ISNUMBER(SEARCH(_xlfn.UNICHAR(65533),S3300)),"Côte d'Ivoire",
TRUE,""
)</f>
        <v/>
      </c>
      <c r="W3300" s="40" t="str">
        <f t="shared" si="228"/>
        <v>South Korea</v>
      </c>
    </row>
    <row r="3301" spans="19:23">
      <c r="S3301" s="40" t="str">
        <v>Brazil</v>
      </c>
      <c r="T3301" s="40" t="str">
        <f t="shared" si="226"/>
        <v>OK</v>
      </c>
      <c r="U3301" s="40" t="str">
        <f t="shared" si="227"/>
        <v>-</v>
      </c>
      <c r="V3301" s="40" t="str" cm="1">
        <f t="array" ref="V3301">_xlfn.IFS(
ISNUMBER(SEARCH("USA",S3301)),"United States",
ISNUMBER(SEARCH("Republic of Ireland",S3301)),"Ireland",
ISNUMBER(SEARCH("Republic of Korea",S3301)),"South Korea",
ISNUMBER(SEARCH("Cape Verde",S3301)),"Cabo Verde",
ISNUMBER(SEARCH("Czechia",S3301)),"Czech Republic",
ISNUMBER(SEARCH("Türkiye",S3301)),"Turkey",
ISNUMBER(SEARCH("Ivory Coast",S3301)),"Côte d'Ivoire",
ISNUMBER(SEARCH("Korea Republic",S3301)),"South Korea",
ISNUMBER(SEARCH("Germany FR",S3301)),"FR Germany",
ISNUMBER(SEARCH("West Germany",S3301)),"FR Germany",
ISNUMBER(SEARCH("Germany DR",S3301)),"DR Germany",
ISNUMBER(SEARCH("Korea DPR",S3301)),"North Korea",
ISNUMBER(SEARCH("China PR",S3301)),"China",
ISNUMBER(SEARCH("IR Iran",S3301)),"Iran",
ISNUMBER(SEARCH("Congo DR",S3301)),"Democratic Republic of the Congo",
ISNUMBER(SEARCH("DR Congo",S3301)),"Democratic Republic of the Congo",
ISNUMBER(SEARCH("German DR",S3301)),"DR Germany",
ISNUMBER(SEARCH("rn""&gt;United Arab Emirates",S3301)),"United Arab Emirates",
ISNUMBER(SEARCH("rn""&gt;Republic of Ireland",S3301)),"Ireland",
ISNUMBER(SEARCH("rn""&gt;Bosnia and Herzegovina",S3301)),"Bosnia and Herzegovina",
ISNUMBER(SEARCH("rn""&gt;Trinidad and Tobago",S3301)),"Trinidad and Tobago",
ISNUMBER(SEARCH("rn""&gt;Serbia and Montenegro",S3301)),"Serbia and Montenegro",
ISNUMBER(SEARCH(_xlfn.UNICHAR(65533),S3301)),"Côte d'Ivoire",
TRUE,""
)</f>
        <v/>
      </c>
      <c r="W3301" s="40" t="str">
        <f t="shared" si="228"/>
        <v>Brazil</v>
      </c>
    </row>
    <row r="3302" spans="19:23">
      <c r="S3302" s="40" t="str">
        <v>Portugal</v>
      </c>
      <c r="T3302" s="40" t="str">
        <f t="shared" si="226"/>
        <v>OK</v>
      </c>
      <c r="U3302" s="40" t="str">
        <f t="shared" si="227"/>
        <v>-</v>
      </c>
      <c r="V3302" s="40" t="str" cm="1">
        <f t="array" ref="V3302">_xlfn.IFS(
ISNUMBER(SEARCH("USA",S3302)),"United States",
ISNUMBER(SEARCH("Republic of Ireland",S3302)),"Ireland",
ISNUMBER(SEARCH("Republic of Korea",S3302)),"South Korea",
ISNUMBER(SEARCH("Cape Verde",S3302)),"Cabo Verde",
ISNUMBER(SEARCH("Czechia",S3302)),"Czech Republic",
ISNUMBER(SEARCH("Türkiye",S3302)),"Turkey",
ISNUMBER(SEARCH("Ivory Coast",S3302)),"Côte d'Ivoire",
ISNUMBER(SEARCH("Korea Republic",S3302)),"South Korea",
ISNUMBER(SEARCH("Germany FR",S3302)),"FR Germany",
ISNUMBER(SEARCH("West Germany",S3302)),"FR Germany",
ISNUMBER(SEARCH("Germany DR",S3302)),"DR Germany",
ISNUMBER(SEARCH("Korea DPR",S3302)),"North Korea",
ISNUMBER(SEARCH("China PR",S3302)),"China",
ISNUMBER(SEARCH("IR Iran",S3302)),"Iran",
ISNUMBER(SEARCH("Congo DR",S3302)),"Democratic Republic of the Congo",
ISNUMBER(SEARCH("DR Congo",S3302)),"Democratic Republic of the Congo",
ISNUMBER(SEARCH("German DR",S3302)),"DR Germany",
ISNUMBER(SEARCH("rn""&gt;United Arab Emirates",S3302)),"United Arab Emirates",
ISNUMBER(SEARCH("rn""&gt;Republic of Ireland",S3302)),"Ireland",
ISNUMBER(SEARCH("rn""&gt;Bosnia and Herzegovina",S3302)),"Bosnia and Herzegovina",
ISNUMBER(SEARCH("rn""&gt;Trinidad and Tobago",S3302)),"Trinidad and Tobago",
ISNUMBER(SEARCH("rn""&gt;Serbia and Montenegro",S3302)),"Serbia and Montenegro",
ISNUMBER(SEARCH(_xlfn.UNICHAR(65533),S3302)),"Côte d'Ivoire",
TRUE,""
)</f>
        <v/>
      </c>
      <c r="W3302" s="40" t="str">
        <f t="shared" si="228"/>
        <v>Portugal</v>
      </c>
    </row>
    <row r="3303" spans="19:23">
      <c r="S3303" s="40" t="str">
        <v>Ecuador</v>
      </c>
      <c r="T3303" s="40" t="str">
        <f t="shared" si="226"/>
        <v>OK</v>
      </c>
      <c r="U3303" s="40" t="str">
        <f t="shared" si="227"/>
        <v>-</v>
      </c>
      <c r="V3303" s="40" t="str" cm="1">
        <f t="array" ref="V3303">_xlfn.IFS(
ISNUMBER(SEARCH("USA",S3303)),"United States",
ISNUMBER(SEARCH("Republic of Ireland",S3303)),"Ireland",
ISNUMBER(SEARCH("Republic of Korea",S3303)),"South Korea",
ISNUMBER(SEARCH("Cape Verde",S3303)),"Cabo Verde",
ISNUMBER(SEARCH("Czechia",S3303)),"Czech Republic",
ISNUMBER(SEARCH("Türkiye",S3303)),"Turkey",
ISNUMBER(SEARCH("Ivory Coast",S3303)),"Côte d'Ivoire",
ISNUMBER(SEARCH("Korea Republic",S3303)),"South Korea",
ISNUMBER(SEARCH("Germany FR",S3303)),"FR Germany",
ISNUMBER(SEARCH("West Germany",S3303)),"FR Germany",
ISNUMBER(SEARCH("Germany DR",S3303)),"DR Germany",
ISNUMBER(SEARCH("Korea DPR",S3303)),"North Korea",
ISNUMBER(SEARCH("China PR",S3303)),"China",
ISNUMBER(SEARCH("IR Iran",S3303)),"Iran",
ISNUMBER(SEARCH("Congo DR",S3303)),"Democratic Republic of the Congo",
ISNUMBER(SEARCH("DR Congo",S3303)),"Democratic Republic of the Congo",
ISNUMBER(SEARCH("German DR",S3303)),"DR Germany",
ISNUMBER(SEARCH("rn""&gt;United Arab Emirates",S3303)),"United Arab Emirates",
ISNUMBER(SEARCH("rn""&gt;Republic of Ireland",S3303)),"Ireland",
ISNUMBER(SEARCH("rn""&gt;Bosnia and Herzegovina",S3303)),"Bosnia and Herzegovina",
ISNUMBER(SEARCH("rn""&gt;Trinidad and Tobago",S3303)),"Trinidad and Tobago",
ISNUMBER(SEARCH("rn""&gt;Serbia and Montenegro",S3303)),"Serbia and Montenegro",
ISNUMBER(SEARCH(_xlfn.UNICHAR(65533),S3303)),"Côte d'Ivoire",
TRUE,""
)</f>
        <v/>
      </c>
      <c r="W3303" s="40" t="str">
        <f t="shared" si="228"/>
        <v>Ecuador</v>
      </c>
    </row>
    <row r="3304" spans="19:23">
      <c r="S3304" s="40" t="str">
        <v>Netherlands</v>
      </c>
      <c r="T3304" s="40" t="str">
        <f t="shared" si="226"/>
        <v>OK</v>
      </c>
      <c r="U3304" s="40" t="str">
        <f t="shared" si="227"/>
        <v>-</v>
      </c>
      <c r="V3304" s="40" t="str" cm="1">
        <f t="array" ref="V3304">_xlfn.IFS(
ISNUMBER(SEARCH("USA",S3304)),"United States",
ISNUMBER(SEARCH("Republic of Ireland",S3304)),"Ireland",
ISNUMBER(SEARCH("Republic of Korea",S3304)),"South Korea",
ISNUMBER(SEARCH("Cape Verde",S3304)),"Cabo Verde",
ISNUMBER(SEARCH("Czechia",S3304)),"Czech Republic",
ISNUMBER(SEARCH("Türkiye",S3304)),"Turkey",
ISNUMBER(SEARCH("Ivory Coast",S3304)),"Côte d'Ivoire",
ISNUMBER(SEARCH("Korea Republic",S3304)),"South Korea",
ISNUMBER(SEARCH("Germany FR",S3304)),"FR Germany",
ISNUMBER(SEARCH("West Germany",S3304)),"FR Germany",
ISNUMBER(SEARCH("Germany DR",S3304)),"DR Germany",
ISNUMBER(SEARCH("Korea DPR",S3304)),"North Korea",
ISNUMBER(SEARCH("China PR",S3304)),"China",
ISNUMBER(SEARCH("IR Iran",S3304)),"Iran",
ISNUMBER(SEARCH("Congo DR",S3304)),"Democratic Republic of the Congo",
ISNUMBER(SEARCH("DR Congo",S3304)),"Democratic Republic of the Congo",
ISNUMBER(SEARCH("German DR",S3304)),"DR Germany",
ISNUMBER(SEARCH("rn""&gt;United Arab Emirates",S3304)),"United Arab Emirates",
ISNUMBER(SEARCH("rn""&gt;Republic of Ireland",S3304)),"Ireland",
ISNUMBER(SEARCH("rn""&gt;Bosnia and Herzegovina",S3304)),"Bosnia and Herzegovina",
ISNUMBER(SEARCH("rn""&gt;Trinidad and Tobago",S3304)),"Trinidad and Tobago",
ISNUMBER(SEARCH("rn""&gt;Serbia and Montenegro",S3304)),"Serbia and Montenegro",
ISNUMBER(SEARCH(_xlfn.UNICHAR(65533),S3304)),"Côte d'Ivoire",
TRUE,""
)</f>
        <v/>
      </c>
      <c r="W3304" s="40" t="str">
        <f t="shared" si="228"/>
        <v>Netherlands</v>
      </c>
    </row>
    <row r="3305" spans="19:23">
      <c r="S3305" s="40" t="str">
        <v>Iran</v>
      </c>
      <c r="T3305" s="40" t="str">
        <f t="shared" si="226"/>
        <v>OK</v>
      </c>
      <c r="U3305" s="40" t="str">
        <f t="shared" si="227"/>
        <v>-</v>
      </c>
      <c r="V3305" s="40" t="str" cm="1">
        <f t="array" ref="V3305">_xlfn.IFS(
ISNUMBER(SEARCH("USA",S3305)),"United States",
ISNUMBER(SEARCH("Republic of Ireland",S3305)),"Ireland",
ISNUMBER(SEARCH("Republic of Korea",S3305)),"South Korea",
ISNUMBER(SEARCH("Cape Verde",S3305)),"Cabo Verde",
ISNUMBER(SEARCH("Czechia",S3305)),"Czech Republic",
ISNUMBER(SEARCH("Türkiye",S3305)),"Turkey",
ISNUMBER(SEARCH("Ivory Coast",S3305)),"Côte d'Ivoire",
ISNUMBER(SEARCH("Korea Republic",S3305)),"South Korea",
ISNUMBER(SEARCH("Germany FR",S3305)),"FR Germany",
ISNUMBER(SEARCH("West Germany",S3305)),"FR Germany",
ISNUMBER(SEARCH("Germany DR",S3305)),"DR Germany",
ISNUMBER(SEARCH("Korea DPR",S3305)),"North Korea",
ISNUMBER(SEARCH("China PR",S3305)),"China",
ISNUMBER(SEARCH("IR Iran",S3305)),"Iran",
ISNUMBER(SEARCH("Congo DR",S3305)),"Democratic Republic of the Congo",
ISNUMBER(SEARCH("DR Congo",S3305)),"Democratic Republic of the Congo",
ISNUMBER(SEARCH("German DR",S3305)),"DR Germany",
ISNUMBER(SEARCH("rn""&gt;United Arab Emirates",S3305)),"United Arab Emirates",
ISNUMBER(SEARCH("rn""&gt;Republic of Ireland",S3305)),"Ireland",
ISNUMBER(SEARCH("rn""&gt;Bosnia and Herzegovina",S3305)),"Bosnia and Herzegovina",
ISNUMBER(SEARCH("rn""&gt;Trinidad and Tobago",S3305)),"Trinidad and Tobago",
ISNUMBER(SEARCH("rn""&gt;Serbia and Montenegro",S3305)),"Serbia and Montenegro",
ISNUMBER(SEARCH(_xlfn.UNICHAR(65533),S3305)),"Côte d'Ivoire",
TRUE,""
)</f>
        <v/>
      </c>
      <c r="W3305" s="40" t="str">
        <f t="shared" si="228"/>
        <v>Iran</v>
      </c>
    </row>
    <row r="3306" spans="19:23">
      <c r="S3306" s="40" t="str">
        <v>Wales</v>
      </c>
      <c r="T3306" s="40" t="str">
        <f t="shared" si="226"/>
        <v>ERREUR</v>
      </c>
      <c r="U3306" s="40" t="str">
        <f t="shared" si="227"/>
        <v>AUCUNE</v>
      </c>
      <c r="V3306" s="40" t="str" cm="1">
        <f t="array" ref="V3306">_xlfn.IFS(
ISNUMBER(SEARCH("USA",S3306)),"United States",
ISNUMBER(SEARCH("Republic of Ireland",S3306)),"Ireland",
ISNUMBER(SEARCH("Republic of Korea",S3306)),"South Korea",
ISNUMBER(SEARCH("Cape Verde",S3306)),"Cabo Verde",
ISNUMBER(SEARCH("Czechia",S3306)),"Czech Republic",
ISNUMBER(SEARCH("Türkiye",S3306)),"Turkey",
ISNUMBER(SEARCH("Ivory Coast",S3306)),"Côte d'Ivoire",
ISNUMBER(SEARCH("Korea Republic",S3306)),"South Korea",
ISNUMBER(SEARCH("Germany FR",S3306)),"FR Germany",
ISNUMBER(SEARCH("West Germany",S3306)),"FR Germany",
ISNUMBER(SEARCH("Germany DR",S3306)),"DR Germany",
ISNUMBER(SEARCH("Korea DPR",S3306)),"North Korea",
ISNUMBER(SEARCH("China PR",S3306)),"China",
ISNUMBER(SEARCH("IR Iran",S3306)),"Iran",
ISNUMBER(SEARCH("Congo DR",S3306)),"Democratic Republic of the Congo",
ISNUMBER(SEARCH("DR Congo",S3306)),"Democratic Republic of the Congo",
ISNUMBER(SEARCH("German DR",S3306)),"DR Germany",
ISNUMBER(SEARCH("rn""&gt;United Arab Emirates",S3306)),"United Arab Emirates",
ISNUMBER(SEARCH("rn""&gt;Republic of Ireland",S3306)),"Ireland",
ISNUMBER(SEARCH("rn""&gt;Bosnia and Herzegovina",S3306)),"Bosnia and Herzegovina",
ISNUMBER(SEARCH("rn""&gt;Trinidad and Tobago",S3306)),"Trinidad and Tobago",
ISNUMBER(SEARCH("rn""&gt;Serbia and Montenegro",S3306)),"Serbia and Montenegro",
ISNUMBER(SEARCH(_xlfn.UNICHAR(65533),S3306)),"Côte d'Ivoire",
TRUE,""
)</f>
        <v/>
      </c>
      <c r="W3306" s="40" t="str">
        <f t="shared" si="228"/>
        <v>Wales</v>
      </c>
    </row>
    <row r="3307" spans="19:23">
      <c r="S3307" s="40" t="str">
        <v>Australia</v>
      </c>
      <c r="T3307" s="40" t="str">
        <f t="shared" si="226"/>
        <v>OK</v>
      </c>
      <c r="U3307" s="40" t="str">
        <f t="shared" si="227"/>
        <v>-</v>
      </c>
      <c r="V3307" s="40" t="str" cm="1">
        <f t="array" ref="V3307">_xlfn.IFS(
ISNUMBER(SEARCH("USA",S3307)),"United States",
ISNUMBER(SEARCH("Republic of Ireland",S3307)),"Ireland",
ISNUMBER(SEARCH("Republic of Korea",S3307)),"South Korea",
ISNUMBER(SEARCH("Cape Verde",S3307)),"Cabo Verde",
ISNUMBER(SEARCH("Czechia",S3307)),"Czech Republic",
ISNUMBER(SEARCH("Türkiye",S3307)),"Turkey",
ISNUMBER(SEARCH("Ivory Coast",S3307)),"Côte d'Ivoire",
ISNUMBER(SEARCH("Korea Republic",S3307)),"South Korea",
ISNUMBER(SEARCH("Germany FR",S3307)),"FR Germany",
ISNUMBER(SEARCH("West Germany",S3307)),"FR Germany",
ISNUMBER(SEARCH("Germany DR",S3307)),"DR Germany",
ISNUMBER(SEARCH("Korea DPR",S3307)),"North Korea",
ISNUMBER(SEARCH("China PR",S3307)),"China",
ISNUMBER(SEARCH("IR Iran",S3307)),"Iran",
ISNUMBER(SEARCH("Congo DR",S3307)),"Democratic Republic of the Congo",
ISNUMBER(SEARCH("DR Congo",S3307)),"Democratic Republic of the Congo",
ISNUMBER(SEARCH("German DR",S3307)),"DR Germany",
ISNUMBER(SEARCH("rn""&gt;United Arab Emirates",S3307)),"United Arab Emirates",
ISNUMBER(SEARCH("rn""&gt;Republic of Ireland",S3307)),"Ireland",
ISNUMBER(SEARCH("rn""&gt;Bosnia and Herzegovina",S3307)),"Bosnia and Herzegovina",
ISNUMBER(SEARCH("rn""&gt;Trinidad and Tobago",S3307)),"Trinidad and Tobago",
ISNUMBER(SEARCH("rn""&gt;Serbia and Montenegro",S3307)),"Serbia and Montenegro",
ISNUMBER(SEARCH(_xlfn.UNICHAR(65533),S3307)),"Côte d'Ivoire",
TRUE,""
)</f>
        <v/>
      </c>
      <c r="W3307" s="40" t="str">
        <f t="shared" si="228"/>
        <v>Australia</v>
      </c>
    </row>
    <row r="3308" spans="19:23">
      <c r="S3308" s="40" t="str">
        <v>Tunisia</v>
      </c>
      <c r="T3308" s="40" t="str">
        <f t="shared" si="226"/>
        <v>OK</v>
      </c>
      <c r="U3308" s="40" t="str">
        <f t="shared" si="227"/>
        <v>-</v>
      </c>
      <c r="V3308" s="40" t="str" cm="1">
        <f t="array" ref="V3308">_xlfn.IFS(
ISNUMBER(SEARCH("USA",S3308)),"United States",
ISNUMBER(SEARCH("Republic of Ireland",S3308)),"Ireland",
ISNUMBER(SEARCH("Republic of Korea",S3308)),"South Korea",
ISNUMBER(SEARCH("Cape Verde",S3308)),"Cabo Verde",
ISNUMBER(SEARCH("Czechia",S3308)),"Czech Republic",
ISNUMBER(SEARCH("Türkiye",S3308)),"Turkey",
ISNUMBER(SEARCH("Ivory Coast",S3308)),"Côte d'Ivoire",
ISNUMBER(SEARCH("Korea Republic",S3308)),"South Korea",
ISNUMBER(SEARCH("Germany FR",S3308)),"FR Germany",
ISNUMBER(SEARCH("West Germany",S3308)),"FR Germany",
ISNUMBER(SEARCH("Germany DR",S3308)),"DR Germany",
ISNUMBER(SEARCH("Korea DPR",S3308)),"North Korea",
ISNUMBER(SEARCH("China PR",S3308)),"China",
ISNUMBER(SEARCH("IR Iran",S3308)),"Iran",
ISNUMBER(SEARCH("Congo DR",S3308)),"Democratic Republic of the Congo",
ISNUMBER(SEARCH("DR Congo",S3308)),"Democratic Republic of the Congo",
ISNUMBER(SEARCH("German DR",S3308)),"DR Germany",
ISNUMBER(SEARCH("rn""&gt;United Arab Emirates",S3308)),"United Arab Emirates",
ISNUMBER(SEARCH("rn""&gt;Republic of Ireland",S3308)),"Ireland",
ISNUMBER(SEARCH("rn""&gt;Bosnia and Herzegovina",S3308)),"Bosnia and Herzegovina",
ISNUMBER(SEARCH("rn""&gt;Trinidad and Tobago",S3308)),"Trinidad and Tobago",
ISNUMBER(SEARCH("rn""&gt;Serbia and Montenegro",S3308)),"Serbia and Montenegro",
ISNUMBER(SEARCH(_xlfn.UNICHAR(65533),S3308)),"Côte d'Ivoire",
TRUE,""
)</f>
        <v/>
      </c>
      <c r="W3308" s="40" t="str">
        <f t="shared" si="228"/>
        <v>Tunisia</v>
      </c>
    </row>
    <row r="3309" spans="19:23">
      <c r="S3309" s="40" t="str">
        <v>Poland</v>
      </c>
      <c r="T3309" s="40" t="str">
        <f t="shared" si="226"/>
        <v>OK</v>
      </c>
      <c r="U3309" s="40" t="str">
        <f t="shared" si="227"/>
        <v>-</v>
      </c>
      <c r="V3309" s="40" t="str" cm="1">
        <f t="array" ref="V3309">_xlfn.IFS(
ISNUMBER(SEARCH("USA",S3309)),"United States",
ISNUMBER(SEARCH("Republic of Ireland",S3309)),"Ireland",
ISNUMBER(SEARCH("Republic of Korea",S3309)),"South Korea",
ISNUMBER(SEARCH("Cape Verde",S3309)),"Cabo Verde",
ISNUMBER(SEARCH("Czechia",S3309)),"Czech Republic",
ISNUMBER(SEARCH("Türkiye",S3309)),"Turkey",
ISNUMBER(SEARCH("Ivory Coast",S3309)),"Côte d'Ivoire",
ISNUMBER(SEARCH("Korea Republic",S3309)),"South Korea",
ISNUMBER(SEARCH("Germany FR",S3309)),"FR Germany",
ISNUMBER(SEARCH("West Germany",S3309)),"FR Germany",
ISNUMBER(SEARCH("Germany DR",S3309)),"DR Germany",
ISNUMBER(SEARCH("Korea DPR",S3309)),"North Korea",
ISNUMBER(SEARCH("China PR",S3309)),"China",
ISNUMBER(SEARCH("IR Iran",S3309)),"Iran",
ISNUMBER(SEARCH("Congo DR",S3309)),"Democratic Republic of the Congo",
ISNUMBER(SEARCH("DR Congo",S3309)),"Democratic Republic of the Congo",
ISNUMBER(SEARCH("German DR",S3309)),"DR Germany",
ISNUMBER(SEARCH("rn""&gt;United Arab Emirates",S3309)),"United Arab Emirates",
ISNUMBER(SEARCH("rn""&gt;Republic of Ireland",S3309)),"Ireland",
ISNUMBER(SEARCH("rn""&gt;Bosnia and Herzegovina",S3309)),"Bosnia and Herzegovina",
ISNUMBER(SEARCH("rn""&gt;Trinidad and Tobago",S3309)),"Trinidad and Tobago",
ISNUMBER(SEARCH("rn""&gt;Serbia and Montenegro",S3309)),"Serbia and Montenegro",
ISNUMBER(SEARCH(_xlfn.UNICHAR(65533),S3309)),"Côte d'Ivoire",
TRUE,""
)</f>
        <v/>
      </c>
      <c r="W3309" s="40" t="str">
        <f t="shared" si="228"/>
        <v>Poland</v>
      </c>
    </row>
    <row r="3310" spans="19:23">
      <c r="S3310" s="40" t="str">
        <v>Saudi Arabia</v>
      </c>
      <c r="T3310" s="40" t="str">
        <f t="shared" si="226"/>
        <v>OK</v>
      </c>
      <c r="U3310" s="40" t="str">
        <f t="shared" si="227"/>
        <v>-</v>
      </c>
      <c r="V3310" s="40" t="str" cm="1">
        <f t="array" ref="V3310">_xlfn.IFS(
ISNUMBER(SEARCH("USA",S3310)),"United States",
ISNUMBER(SEARCH("Republic of Ireland",S3310)),"Ireland",
ISNUMBER(SEARCH("Republic of Korea",S3310)),"South Korea",
ISNUMBER(SEARCH("Cape Verde",S3310)),"Cabo Verde",
ISNUMBER(SEARCH("Czechia",S3310)),"Czech Republic",
ISNUMBER(SEARCH("Türkiye",S3310)),"Turkey",
ISNUMBER(SEARCH("Ivory Coast",S3310)),"Côte d'Ivoire",
ISNUMBER(SEARCH("Korea Republic",S3310)),"South Korea",
ISNUMBER(SEARCH("Germany FR",S3310)),"FR Germany",
ISNUMBER(SEARCH("West Germany",S3310)),"FR Germany",
ISNUMBER(SEARCH("Germany DR",S3310)),"DR Germany",
ISNUMBER(SEARCH("Korea DPR",S3310)),"North Korea",
ISNUMBER(SEARCH("China PR",S3310)),"China",
ISNUMBER(SEARCH("IR Iran",S3310)),"Iran",
ISNUMBER(SEARCH("Congo DR",S3310)),"Democratic Republic of the Congo",
ISNUMBER(SEARCH("DR Congo",S3310)),"Democratic Republic of the Congo",
ISNUMBER(SEARCH("German DR",S3310)),"DR Germany",
ISNUMBER(SEARCH("rn""&gt;United Arab Emirates",S3310)),"United Arab Emirates",
ISNUMBER(SEARCH("rn""&gt;Republic of Ireland",S3310)),"Ireland",
ISNUMBER(SEARCH("rn""&gt;Bosnia and Herzegovina",S3310)),"Bosnia and Herzegovina",
ISNUMBER(SEARCH("rn""&gt;Trinidad and Tobago",S3310)),"Trinidad and Tobago",
ISNUMBER(SEARCH("rn""&gt;Serbia and Montenegro",S3310)),"Serbia and Montenegro",
ISNUMBER(SEARCH(_xlfn.UNICHAR(65533),S3310)),"Côte d'Ivoire",
TRUE,""
)</f>
        <v/>
      </c>
      <c r="W3310" s="40" t="str">
        <f t="shared" si="228"/>
        <v>Saudi Arabia</v>
      </c>
    </row>
    <row r="3311" spans="19:23">
      <c r="S3311" s="40" t="str">
        <v>Canada</v>
      </c>
      <c r="T3311" s="40" t="str">
        <f t="shared" si="226"/>
        <v>OK</v>
      </c>
      <c r="U3311" s="40" t="str">
        <f t="shared" si="227"/>
        <v>-</v>
      </c>
      <c r="V3311" s="40" t="str" cm="1">
        <f t="array" ref="V3311">_xlfn.IFS(
ISNUMBER(SEARCH("USA",S3311)),"United States",
ISNUMBER(SEARCH("Republic of Ireland",S3311)),"Ireland",
ISNUMBER(SEARCH("Republic of Korea",S3311)),"South Korea",
ISNUMBER(SEARCH("Cape Verde",S3311)),"Cabo Verde",
ISNUMBER(SEARCH("Czechia",S3311)),"Czech Republic",
ISNUMBER(SEARCH("Türkiye",S3311)),"Turkey",
ISNUMBER(SEARCH("Ivory Coast",S3311)),"Côte d'Ivoire",
ISNUMBER(SEARCH("Korea Republic",S3311)),"South Korea",
ISNUMBER(SEARCH("Germany FR",S3311)),"FR Germany",
ISNUMBER(SEARCH("West Germany",S3311)),"FR Germany",
ISNUMBER(SEARCH("Germany DR",S3311)),"DR Germany",
ISNUMBER(SEARCH("Korea DPR",S3311)),"North Korea",
ISNUMBER(SEARCH("China PR",S3311)),"China",
ISNUMBER(SEARCH("IR Iran",S3311)),"Iran",
ISNUMBER(SEARCH("Congo DR",S3311)),"Democratic Republic of the Congo",
ISNUMBER(SEARCH("DR Congo",S3311)),"Democratic Republic of the Congo",
ISNUMBER(SEARCH("German DR",S3311)),"DR Germany",
ISNUMBER(SEARCH("rn""&gt;United Arab Emirates",S3311)),"United Arab Emirates",
ISNUMBER(SEARCH("rn""&gt;Republic of Ireland",S3311)),"Ireland",
ISNUMBER(SEARCH("rn""&gt;Bosnia and Herzegovina",S3311)),"Bosnia and Herzegovina",
ISNUMBER(SEARCH("rn""&gt;Trinidad and Tobago",S3311)),"Trinidad and Tobago",
ISNUMBER(SEARCH("rn""&gt;Serbia and Montenegro",S3311)),"Serbia and Montenegro",
ISNUMBER(SEARCH(_xlfn.UNICHAR(65533),S3311)),"Côte d'Ivoire",
TRUE,""
)</f>
        <v/>
      </c>
      <c r="W3311" s="40" t="str">
        <f t="shared" si="228"/>
        <v>Canada</v>
      </c>
    </row>
    <row r="3312" spans="19:23">
      <c r="S3312" s="40" t="str">
        <v>Croatia</v>
      </c>
      <c r="T3312" s="40" t="str">
        <f t="shared" si="226"/>
        <v>OK</v>
      </c>
      <c r="U3312" s="40" t="str">
        <f t="shared" si="227"/>
        <v>-</v>
      </c>
      <c r="V3312" s="40" t="str" cm="1">
        <f t="array" ref="V3312">_xlfn.IFS(
ISNUMBER(SEARCH("USA",S3312)),"United States",
ISNUMBER(SEARCH("Republic of Ireland",S3312)),"Ireland",
ISNUMBER(SEARCH("Republic of Korea",S3312)),"South Korea",
ISNUMBER(SEARCH("Cape Verde",S3312)),"Cabo Verde",
ISNUMBER(SEARCH("Czechia",S3312)),"Czech Republic",
ISNUMBER(SEARCH("Türkiye",S3312)),"Turkey",
ISNUMBER(SEARCH("Ivory Coast",S3312)),"Côte d'Ivoire",
ISNUMBER(SEARCH("Korea Republic",S3312)),"South Korea",
ISNUMBER(SEARCH("Germany FR",S3312)),"FR Germany",
ISNUMBER(SEARCH("West Germany",S3312)),"FR Germany",
ISNUMBER(SEARCH("Germany DR",S3312)),"DR Germany",
ISNUMBER(SEARCH("Korea DPR",S3312)),"North Korea",
ISNUMBER(SEARCH("China PR",S3312)),"China",
ISNUMBER(SEARCH("IR Iran",S3312)),"Iran",
ISNUMBER(SEARCH("Congo DR",S3312)),"Democratic Republic of the Congo",
ISNUMBER(SEARCH("DR Congo",S3312)),"Democratic Republic of the Congo",
ISNUMBER(SEARCH("German DR",S3312)),"DR Germany",
ISNUMBER(SEARCH("rn""&gt;United Arab Emirates",S3312)),"United Arab Emirates",
ISNUMBER(SEARCH("rn""&gt;Republic of Ireland",S3312)),"Ireland",
ISNUMBER(SEARCH("rn""&gt;Bosnia and Herzegovina",S3312)),"Bosnia and Herzegovina",
ISNUMBER(SEARCH("rn""&gt;Trinidad and Tobago",S3312)),"Trinidad and Tobago",
ISNUMBER(SEARCH("rn""&gt;Serbia and Montenegro",S3312)),"Serbia and Montenegro",
ISNUMBER(SEARCH(_xlfn.UNICHAR(65533),S3312)),"Côte d'Ivoire",
TRUE,""
)</f>
        <v/>
      </c>
      <c r="W3312" s="40" t="str">
        <f t="shared" si="228"/>
        <v>Croatia</v>
      </c>
    </row>
    <row r="3313" spans="19:23">
      <c r="S3313" s="40" t="str">
        <v>Costa Rica</v>
      </c>
      <c r="T3313" s="40" t="str">
        <f t="shared" si="226"/>
        <v>OK</v>
      </c>
      <c r="U3313" s="40" t="str">
        <f t="shared" si="227"/>
        <v>-</v>
      </c>
      <c r="V3313" s="40" t="str" cm="1">
        <f t="array" ref="V3313">_xlfn.IFS(
ISNUMBER(SEARCH("USA",S3313)),"United States",
ISNUMBER(SEARCH("Republic of Ireland",S3313)),"Ireland",
ISNUMBER(SEARCH("Republic of Korea",S3313)),"South Korea",
ISNUMBER(SEARCH("Cape Verde",S3313)),"Cabo Verde",
ISNUMBER(SEARCH("Czechia",S3313)),"Czech Republic",
ISNUMBER(SEARCH("Türkiye",S3313)),"Turkey",
ISNUMBER(SEARCH("Ivory Coast",S3313)),"Côte d'Ivoire",
ISNUMBER(SEARCH("Korea Republic",S3313)),"South Korea",
ISNUMBER(SEARCH("Germany FR",S3313)),"FR Germany",
ISNUMBER(SEARCH("West Germany",S3313)),"FR Germany",
ISNUMBER(SEARCH("Germany DR",S3313)),"DR Germany",
ISNUMBER(SEARCH("Korea DPR",S3313)),"North Korea",
ISNUMBER(SEARCH("China PR",S3313)),"China",
ISNUMBER(SEARCH("IR Iran",S3313)),"Iran",
ISNUMBER(SEARCH("Congo DR",S3313)),"Democratic Republic of the Congo",
ISNUMBER(SEARCH("DR Congo",S3313)),"Democratic Republic of the Congo",
ISNUMBER(SEARCH("German DR",S3313)),"DR Germany",
ISNUMBER(SEARCH("rn""&gt;United Arab Emirates",S3313)),"United Arab Emirates",
ISNUMBER(SEARCH("rn""&gt;Republic of Ireland",S3313)),"Ireland",
ISNUMBER(SEARCH("rn""&gt;Bosnia and Herzegovina",S3313)),"Bosnia and Herzegovina",
ISNUMBER(SEARCH("rn""&gt;Trinidad and Tobago",S3313)),"Trinidad and Tobago",
ISNUMBER(SEARCH("rn""&gt;Serbia and Montenegro",S3313)),"Serbia and Montenegro",
ISNUMBER(SEARCH(_xlfn.UNICHAR(65533),S3313)),"Côte d'Ivoire",
TRUE,""
)</f>
        <v/>
      </c>
      <c r="W3313" s="40" t="str">
        <f t="shared" si="228"/>
        <v>Costa Rica</v>
      </c>
    </row>
    <row r="3314" spans="19:23">
      <c r="S3314" s="40" t="str">
        <v>Japan</v>
      </c>
      <c r="T3314" s="40" t="str">
        <f t="shared" si="226"/>
        <v>OK</v>
      </c>
      <c r="U3314" s="40" t="str">
        <f t="shared" si="227"/>
        <v>-</v>
      </c>
      <c r="V3314" s="40" t="str" cm="1">
        <f t="array" ref="V3314">_xlfn.IFS(
ISNUMBER(SEARCH("USA",S3314)),"United States",
ISNUMBER(SEARCH("Republic of Ireland",S3314)),"Ireland",
ISNUMBER(SEARCH("Republic of Korea",S3314)),"South Korea",
ISNUMBER(SEARCH("Cape Verde",S3314)),"Cabo Verde",
ISNUMBER(SEARCH("Czechia",S3314)),"Czech Republic",
ISNUMBER(SEARCH("Türkiye",S3314)),"Turkey",
ISNUMBER(SEARCH("Ivory Coast",S3314)),"Côte d'Ivoire",
ISNUMBER(SEARCH("Korea Republic",S3314)),"South Korea",
ISNUMBER(SEARCH("Germany FR",S3314)),"FR Germany",
ISNUMBER(SEARCH("West Germany",S3314)),"FR Germany",
ISNUMBER(SEARCH("Germany DR",S3314)),"DR Germany",
ISNUMBER(SEARCH("Korea DPR",S3314)),"North Korea",
ISNUMBER(SEARCH("China PR",S3314)),"China",
ISNUMBER(SEARCH("IR Iran",S3314)),"Iran",
ISNUMBER(SEARCH("Congo DR",S3314)),"Democratic Republic of the Congo",
ISNUMBER(SEARCH("DR Congo",S3314)),"Democratic Republic of the Congo",
ISNUMBER(SEARCH("German DR",S3314)),"DR Germany",
ISNUMBER(SEARCH("rn""&gt;United Arab Emirates",S3314)),"United Arab Emirates",
ISNUMBER(SEARCH("rn""&gt;Republic of Ireland",S3314)),"Ireland",
ISNUMBER(SEARCH("rn""&gt;Bosnia and Herzegovina",S3314)),"Bosnia and Herzegovina",
ISNUMBER(SEARCH("rn""&gt;Trinidad and Tobago",S3314)),"Trinidad and Tobago",
ISNUMBER(SEARCH("rn""&gt;Serbia and Montenegro",S3314)),"Serbia and Montenegro",
ISNUMBER(SEARCH(_xlfn.UNICHAR(65533),S3314)),"Côte d'Ivoire",
TRUE,""
)</f>
        <v/>
      </c>
      <c r="W3314" s="40" t="str">
        <f t="shared" si="228"/>
        <v>Japan</v>
      </c>
    </row>
    <row r="3315" spans="19:23">
      <c r="S3315" s="40" t="str">
        <v>Ghana</v>
      </c>
      <c r="T3315" s="40" t="str">
        <f t="shared" si="226"/>
        <v>OK</v>
      </c>
      <c r="U3315" s="40" t="str">
        <f t="shared" si="227"/>
        <v>-</v>
      </c>
      <c r="V3315" s="40" t="str" cm="1">
        <f t="array" ref="V3315">_xlfn.IFS(
ISNUMBER(SEARCH("USA",S3315)),"United States",
ISNUMBER(SEARCH("Republic of Ireland",S3315)),"Ireland",
ISNUMBER(SEARCH("Republic of Korea",S3315)),"South Korea",
ISNUMBER(SEARCH("Cape Verde",S3315)),"Cabo Verde",
ISNUMBER(SEARCH("Czechia",S3315)),"Czech Republic",
ISNUMBER(SEARCH("Türkiye",S3315)),"Turkey",
ISNUMBER(SEARCH("Ivory Coast",S3315)),"Côte d'Ivoire",
ISNUMBER(SEARCH("Korea Republic",S3315)),"South Korea",
ISNUMBER(SEARCH("Germany FR",S3315)),"FR Germany",
ISNUMBER(SEARCH("West Germany",S3315)),"FR Germany",
ISNUMBER(SEARCH("Germany DR",S3315)),"DR Germany",
ISNUMBER(SEARCH("Korea DPR",S3315)),"North Korea",
ISNUMBER(SEARCH("China PR",S3315)),"China",
ISNUMBER(SEARCH("IR Iran",S3315)),"Iran",
ISNUMBER(SEARCH("Congo DR",S3315)),"Democratic Republic of the Congo",
ISNUMBER(SEARCH("DR Congo",S3315)),"Democratic Republic of the Congo",
ISNUMBER(SEARCH("German DR",S3315)),"DR Germany",
ISNUMBER(SEARCH("rn""&gt;United Arab Emirates",S3315)),"United Arab Emirates",
ISNUMBER(SEARCH("rn""&gt;Republic of Ireland",S3315)),"Ireland",
ISNUMBER(SEARCH("rn""&gt;Bosnia and Herzegovina",S3315)),"Bosnia and Herzegovina",
ISNUMBER(SEARCH("rn""&gt;Trinidad and Tobago",S3315)),"Trinidad and Tobago",
ISNUMBER(SEARCH("rn""&gt;Serbia and Montenegro",S3315)),"Serbia and Montenegro",
ISNUMBER(SEARCH(_xlfn.UNICHAR(65533),S3315)),"Côte d'Ivoire",
TRUE,""
)</f>
        <v/>
      </c>
      <c r="W3315" s="40" t="str">
        <f t="shared" si="228"/>
        <v>Ghana</v>
      </c>
    </row>
    <row r="3316" spans="19:23">
      <c r="S3316" s="40" t="str">
        <v>South Korea</v>
      </c>
      <c r="T3316" s="40" t="str">
        <f t="shared" si="226"/>
        <v>OK</v>
      </c>
      <c r="U3316" s="40" t="str">
        <f t="shared" si="227"/>
        <v>-</v>
      </c>
      <c r="V3316" s="40" t="str" cm="1">
        <f t="array" ref="V3316">_xlfn.IFS(
ISNUMBER(SEARCH("USA",S3316)),"United States",
ISNUMBER(SEARCH("Republic of Ireland",S3316)),"Ireland",
ISNUMBER(SEARCH("Republic of Korea",S3316)),"South Korea",
ISNUMBER(SEARCH("Cape Verde",S3316)),"Cabo Verde",
ISNUMBER(SEARCH("Czechia",S3316)),"Czech Republic",
ISNUMBER(SEARCH("Türkiye",S3316)),"Turkey",
ISNUMBER(SEARCH("Ivory Coast",S3316)),"Côte d'Ivoire",
ISNUMBER(SEARCH("Korea Republic",S3316)),"South Korea",
ISNUMBER(SEARCH("Germany FR",S3316)),"FR Germany",
ISNUMBER(SEARCH("West Germany",S3316)),"FR Germany",
ISNUMBER(SEARCH("Germany DR",S3316)),"DR Germany",
ISNUMBER(SEARCH("Korea DPR",S3316)),"North Korea",
ISNUMBER(SEARCH("China PR",S3316)),"China",
ISNUMBER(SEARCH("IR Iran",S3316)),"Iran",
ISNUMBER(SEARCH("Congo DR",S3316)),"Democratic Republic of the Congo",
ISNUMBER(SEARCH("DR Congo",S3316)),"Democratic Republic of the Congo",
ISNUMBER(SEARCH("German DR",S3316)),"DR Germany",
ISNUMBER(SEARCH("rn""&gt;United Arab Emirates",S3316)),"United Arab Emirates",
ISNUMBER(SEARCH("rn""&gt;Republic of Ireland",S3316)),"Ireland",
ISNUMBER(SEARCH("rn""&gt;Bosnia and Herzegovina",S3316)),"Bosnia and Herzegovina",
ISNUMBER(SEARCH("rn""&gt;Trinidad and Tobago",S3316)),"Trinidad and Tobago",
ISNUMBER(SEARCH("rn""&gt;Serbia and Montenegro",S3316)),"Serbia and Montenegro",
ISNUMBER(SEARCH(_xlfn.UNICHAR(65533),S3316)),"Côte d'Ivoire",
TRUE,""
)</f>
        <v/>
      </c>
      <c r="W3316" s="40" t="str">
        <f t="shared" si="228"/>
        <v>South Korea</v>
      </c>
    </row>
    <row r="3317" spans="19:23">
      <c r="S3317" s="40" t="str">
        <v>Cameroon</v>
      </c>
      <c r="T3317" s="40" t="str">
        <f t="shared" si="226"/>
        <v>OK</v>
      </c>
      <c r="U3317" s="40" t="str">
        <f t="shared" si="227"/>
        <v>-</v>
      </c>
      <c r="V3317" s="40" t="str" cm="1">
        <f t="array" ref="V3317">_xlfn.IFS(
ISNUMBER(SEARCH("USA",S3317)),"United States",
ISNUMBER(SEARCH("Republic of Ireland",S3317)),"Ireland",
ISNUMBER(SEARCH("Republic of Korea",S3317)),"South Korea",
ISNUMBER(SEARCH("Cape Verde",S3317)),"Cabo Verde",
ISNUMBER(SEARCH("Czechia",S3317)),"Czech Republic",
ISNUMBER(SEARCH("Türkiye",S3317)),"Turkey",
ISNUMBER(SEARCH("Ivory Coast",S3317)),"Côte d'Ivoire",
ISNUMBER(SEARCH("Korea Republic",S3317)),"South Korea",
ISNUMBER(SEARCH("Germany FR",S3317)),"FR Germany",
ISNUMBER(SEARCH("West Germany",S3317)),"FR Germany",
ISNUMBER(SEARCH("Germany DR",S3317)),"DR Germany",
ISNUMBER(SEARCH("Korea DPR",S3317)),"North Korea",
ISNUMBER(SEARCH("China PR",S3317)),"China",
ISNUMBER(SEARCH("IR Iran",S3317)),"Iran",
ISNUMBER(SEARCH("Congo DR",S3317)),"Democratic Republic of the Congo",
ISNUMBER(SEARCH("DR Congo",S3317)),"Democratic Republic of the Congo",
ISNUMBER(SEARCH("German DR",S3317)),"DR Germany",
ISNUMBER(SEARCH("rn""&gt;United Arab Emirates",S3317)),"United Arab Emirates",
ISNUMBER(SEARCH("rn""&gt;Republic of Ireland",S3317)),"Ireland",
ISNUMBER(SEARCH("rn""&gt;Bosnia and Herzegovina",S3317)),"Bosnia and Herzegovina",
ISNUMBER(SEARCH("rn""&gt;Trinidad and Tobago",S3317)),"Trinidad and Tobago",
ISNUMBER(SEARCH("rn""&gt;Serbia and Montenegro",S3317)),"Serbia and Montenegro",
ISNUMBER(SEARCH(_xlfn.UNICHAR(65533),S3317)),"Côte d'Ivoire",
TRUE,""
)</f>
        <v/>
      </c>
      <c r="W3317" s="40" t="str">
        <f t="shared" si="228"/>
        <v>Cameroon</v>
      </c>
    </row>
    <row r="3318" spans="19:23">
      <c r="S3318" s="40" t="str">
        <v>Serbia</v>
      </c>
      <c r="T3318" s="40" t="str">
        <f t="shared" si="226"/>
        <v>OK</v>
      </c>
      <c r="U3318" s="40" t="str">
        <f t="shared" si="227"/>
        <v>-</v>
      </c>
      <c r="V3318" s="40" t="str" cm="1">
        <f t="array" ref="V3318">_xlfn.IFS(
ISNUMBER(SEARCH("USA",S3318)),"United States",
ISNUMBER(SEARCH("Republic of Ireland",S3318)),"Ireland",
ISNUMBER(SEARCH("Republic of Korea",S3318)),"South Korea",
ISNUMBER(SEARCH("Cape Verde",S3318)),"Cabo Verde",
ISNUMBER(SEARCH("Czechia",S3318)),"Czech Republic",
ISNUMBER(SEARCH("Türkiye",S3318)),"Turkey",
ISNUMBER(SEARCH("Ivory Coast",S3318)),"Côte d'Ivoire",
ISNUMBER(SEARCH("Korea Republic",S3318)),"South Korea",
ISNUMBER(SEARCH("Germany FR",S3318)),"FR Germany",
ISNUMBER(SEARCH("West Germany",S3318)),"FR Germany",
ISNUMBER(SEARCH("Germany DR",S3318)),"DR Germany",
ISNUMBER(SEARCH("Korea DPR",S3318)),"North Korea",
ISNUMBER(SEARCH("China PR",S3318)),"China",
ISNUMBER(SEARCH("IR Iran",S3318)),"Iran",
ISNUMBER(SEARCH("Congo DR",S3318)),"Democratic Republic of the Congo",
ISNUMBER(SEARCH("DR Congo",S3318)),"Democratic Republic of the Congo",
ISNUMBER(SEARCH("German DR",S3318)),"DR Germany",
ISNUMBER(SEARCH("rn""&gt;United Arab Emirates",S3318)),"United Arab Emirates",
ISNUMBER(SEARCH("rn""&gt;Republic of Ireland",S3318)),"Ireland",
ISNUMBER(SEARCH("rn""&gt;Bosnia and Herzegovina",S3318)),"Bosnia and Herzegovina",
ISNUMBER(SEARCH("rn""&gt;Trinidad and Tobago",S3318)),"Trinidad and Tobago",
ISNUMBER(SEARCH("rn""&gt;Serbia and Montenegro",S3318)),"Serbia and Montenegro",
ISNUMBER(SEARCH(_xlfn.UNICHAR(65533),S3318)),"Côte d'Ivoire",
TRUE,""
)</f>
        <v/>
      </c>
      <c r="W3318" s="40" t="str">
        <f t="shared" si="228"/>
        <v>Serbia</v>
      </c>
    </row>
    <row r="3319" spans="19:23">
      <c r="S3319" s="40" t="str">
        <v>Netherlands</v>
      </c>
      <c r="T3319" s="40" t="str">
        <f t="shared" si="226"/>
        <v>OK</v>
      </c>
      <c r="U3319" s="40" t="str">
        <f t="shared" si="227"/>
        <v>-</v>
      </c>
      <c r="V3319" s="40" t="str" cm="1">
        <f t="array" ref="V3319">_xlfn.IFS(
ISNUMBER(SEARCH("USA",S3319)),"United States",
ISNUMBER(SEARCH("Republic of Ireland",S3319)),"Ireland",
ISNUMBER(SEARCH("Republic of Korea",S3319)),"South Korea",
ISNUMBER(SEARCH("Cape Verde",S3319)),"Cabo Verde",
ISNUMBER(SEARCH("Czechia",S3319)),"Czech Republic",
ISNUMBER(SEARCH("Türkiye",S3319)),"Turkey",
ISNUMBER(SEARCH("Ivory Coast",S3319)),"Côte d'Ivoire",
ISNUMBER(SEARCH("Korea Republic",S3319)),"South Korea",
ISNUMBER(SEARCH("Germany FR",S3319)),"FR Germany",
ISNUMBER(SEARCH("West Germany",S3319)),"FR Germany",
ISNUMBER(SEARCH("Germany DR",S3319)),"DR Germany",
ISNUMBER(SEARCH("Korea DPR",S3319)),"North Korea",
ISNUMBER(SEARCH("China PR",S3319)),"China",
ISNUMBER(SEARCH("IR Iran",S3319)),"Iran",
ISNUMBER(SEARCH("Congo DR",S3319)),"Democratic Republic of the Congo",
ISNUMBER(SEARCH("DR Congo",S3319)),"Democratic Republic of the Congo",
ISNUMBER(SEARCH("German DR",S3319)),"DR Germany",
ISNUMBER(SEARCH("rn""&gt;United Arab Emirates",S3319)),"United Arab Emirates",
ISNUMBER(SEARCH("rn""&gt;Republic of Ireland",S3319)),"Ireland",
ISNUMBER(SEARCH("rn""&gt;Bosnia and Herzegovina",S3319)),"Bosnia and Herzegovina",
ISNUMBER(SEARCH("rn""&gt;Trinidad and Tobago",S3319)),"Trinidad and Tobago",
ISNUMBER(SEARCH("rn""&gt;Serbia and Montenegro",S3319)),"Serbia and Montenegro",
ISNUMBER(SEARCH(_xlfn.UNICHAR(65533),S3319)),"Côte d'Ivoire",
TRUE,""
)</f>
        <v/>
      </c>
      <c r="W3319" s="40" t="str">
        <f t="shared" si="228"/>
        <v>Netherlands</v>
      </c>
    </row>
    <row r="3320" spans="19:23">
      <c r="S3320" s="40" t="str">
        <v>Argentina</v>
      </c>
      <c r="T3320" s="40" t="str">
        <f t="shared" si="226"/>
        <v>OK</v>
      </c>
      <c r="U3320" s="40" t="str">
        <f t="shared" si="227"/>
        <v>-</v>
      </c>
      <c r="V3320" s="40" t="str" cm="1">
        <f t="array" ref="V3320">_xlfn.IFS(
ISNUMBER(SEARCH("USA",S3320)),"United States",
ISNUMBER(SEARCH("Republic of Ireland",S3320)),"Ireland",
ISNUMBER(SEARCH("Republic of Korea",S3320)),"South Korea",
ISNUMBER(SEARCH("Cape Verde",S3320)),"Cabo Verde",
ISNUMBER(SEARCH("Czechia",S3320)),"Czech Republic",
ISNUMBER(SEARCH("Türkiye",S3320)),"Turkey",
ISNUMBER(SEARCH("Ivory Coast",S3320)),"Côte d'Ivoire",
ISNUMBER(SEARCH("Korea Republic",S3320)),"South Korea",
ISNUMBER(SEARCH("Germany FR",S3320)),"FR Germany",
ISNUMBER(SEARCH("West Germany",S3320)),"FR Germany",
ISNUMBER(SEARCH("Germany DR",S3320)),"DR Germany",
ISNUMBER(SEARCH("Korea DPR",S3320)),"North Korea",
ISNUMBER(SEARCH("China PR",S3320)),"China",
ISNUMBER(SEARCH("IR Iran",S3320)),"Iran",
ISNUMBER(SEARCH("Congo DR",S3320)),"Democratic Republic of the Congo",
ISNUMBER(SEARCH("DR Congo",S3320)),"Democratic Republic of the Congo",
ISNUMBER(SEARCH("German DR",S3320)),"DR Germany",
ISNUMBER(SEARCH("rn""&gt;United Arab Emirates",S3320)),"United Arab Emirates",
ISNUMBER(SEARCH("rn""&gt;Republic of Ireland",S3320)),"Ireland",
ISNUMBER(SEARCH("rn""&gt;Bosnia and Herzegovina",S3320)),"Bosnia and Herzegovina",
ISNUMBER(SEARCH("rn""&gt;Trinidad and Tobago",S3320)),"Trinidad and Tobago",
ISNUMBER(SEARCH("rn""&gt;Serbia and Montenegro",S3320)),"Serbia and Montenegro",
ISNUMBER(SEARCH(_xlfn.UNICHAR(65533),S3320)),"Côte d'Ivoire",
TRUE,""
)</f>
        <v/>
      </c>
      <c r="W3320" s="40" t="str">
        <f t="shared" si="228"/>
        <v>Argentina</v>
      </c>
    </row>
    <row r="3321" spans="19:23">
      <c r="S3321" s="40" t="str">
        <v>France</v>
      </c>
      <c r="T3321" s="40" t="str">
        <f t="shared" si="226"/>
        <v>OK</v>
      </c>
      <c r="U3321" s="40" t="str">
        <f t="shared" si="227"/>
        <v>-</v>
      </c>
      <c r="V3321" s="40" t="str" cm="1">
        <f t="array" ref="V3321">_xlfn.IFS(
ISNUMBER(SEARCH("USA",S3321)),"United States",
ISNUMBER(SEARCH("Republic of Ireland",S3321)),"Ireland",
ISNUMBER(SEARCH("Republic of Korea",S3321)),"South Korea",
ISNUMBER(SEARCH("Cape Verde",S3321)),"Cabo Verde",
ISNUMBER(SEARCH("Czechia",S3321)),"Czech Republic",
ISNUMBER(SEARCH("Türkiye",S3321)),"Turkey",
ISNUMBER(SEARCH("Ivory Coast",S3321)),"Côte d'Ivoire",
ISNUMBER(SEARCH("Korea Republic",S3321)),"South Korea",
ISNUMBER(SEARCH("Germany FR",S3321)),"FR Germany",
ISNUMBER(SEARCH("West Germany",S3321)),"FR Germany",
ISNUMBER(SEARCH("Germany DR",S3321)),"DR Germany",
ISNUMBER(SEARCH("Korea DPR",S3321)),"North Korea",
ISNUMBER(SEARCH("China PR",S3321)),"China",
ISNUMBER(SEARCH("IR Iran",S3321)),"Iran",
ISNUMBER(SEARCH("Congo DR",S3321)),"Democratic Republic of the Congo",
ISNUMBER(SEARCH("DR Congo",S3321)),"Democratic Republic of the Congo",
ISNUMBER(SEARCH("German DR",S3321)),"DR Germany",
ISNUMBER(SEARCH("rn""&gt;United Arab Emirates",S3321)),"United Arab Emirates",
ISNUMBER(SEARCH("rn""&gt;Republic of Ireland",S3321)),"Ireland",
ISNUMBER(SEARCH("rn""&gt;Bosnia and Herzegovina",S3321)),"Bosnia and Herzegovina",
ISNUMBER(SEARCH("rn""&gt;Trinidad and Tobago",S3321)),"Trinidad and Tobago",
ISNUMBER(SEARCH("rn""&gt;Serbia and Montenegro",S3321)),"Serbia and Montenegro",
ISNUMBER(SEARCH(_xlfn.UNICHAR(65533),S3321)),"Côte d'Ivoire",
TRUE,""
)</f>
        <v/>
      </c>
      <c r="W3321" s="40" t="str">
        <f t="shared" si="228"/>
        <v>France</v>
      </c>
    </row>
    <row r="3322" spans="19:23">
      <c r="S3322" s="40" t="str">
        <v>England</v>
      </c>
      <c r="T3322" s="40" t="str">
        <f t="shared" si="226"/>
        <v>ERREUR</v>
      </c>
      <c r="U3322" s="40" t="str">
        <f t="shared" si="227"/>
        <v>AUCUNE</v>
      </c>
      <c r="V3322" s="40" t="str" cm="1">
        <f t="array" ref="V3322">_xlfn.IFS(
ISNUMBER(SEARCH("USA",S3322)),"United States",
ISNUMBER(SEARCH("Republic of Ireland",S3322)),"Ireland",
ISNUMBER(SEARCH("Republic of Korea",S3322)),"South Korea",
ISNUMBER(SEARCH("Cape Verde",S3322)),"Cabo Verde",
ISNUMBER(SEARCH("Czechia",S3322)),"Czech Republic",
ISNUMBER(SEARCH("Türkiye",S3322)),"Turkey",
ISNUMBER(SEARCH("Ivory Coast",S3322)),"Côte d'Ivoire",
ISNUMBER(SEARCH("Korea Republic",S3322)),"South Korea",
ISNUMBER(SEARCH("Germany FR",S3322)),"FR Germany",
ISNUMBER(SEARCH("West Germany",S3322)),"FR Germany",
ISNUMBER(SEARCH("Germany DR",S3322)),"DR Germany",
ISNUMBER(SEARCH("Korea DPR",S3322)),"North Korea",
ISNUMBER(SEARCH("China PR",S3322)),"China",
ISNUMBER(SEARCH("IR Iran",S3322)),"Iran",
ISNUMBER(SEARCH("Congo DR",S3322)),"Democratic Republic of the Congo",
ISNUMBER(SEARCH("DR Congo",S3322)),"Democratic Republic of the Congo",
ISNUMBER(SEARCH("German DR",S3322)),"DR Germany",
ISNUMBER(SEARCH("rn""&gt;United Arab Emirates",S3322)),"United Arab Emirates",
ISNUMBER(SEARCH("rn""&gt;Republic of Ireland",S3322)),"Ireland",
ISNUMBER(SEARCH("rn""&gt;Bosnia and Herzegovina",S3322)),"Bosnia and Herzegovina",
ISNUMBER(SEARCH("rn""&gt;Trinidad and Tobago",S3322)),"Trinidad and Tobago",
ISNUMBER(SEARCH("rn""&gt;Serbia and Montenegro",S3322)),"Serbia and Montenegro",
ISNUMBER(SEARCH(_xlfn.UNICHAR(65533),S3322)),"Côte d'Ivoire",
TRUE,""
)</f>
        <v/>
      </c>
      <c r="W3322" s="40" t="str">
        <f t="shared" si="228"/>
        <v>England</v>
      </c>
    </row>
    <row r="3323" spans="19:23">
      <c r="S3323" s="40" t="str">
        <v>Japan</v>
      </c>
      <c r="T3323" s="40" t="str">
        <f t="shared" si="226"/>
        <v>OK</v>
      </c>
      <c r="U3323" s="40" t="str">
        <f t="shared" si="227"/>
        <v>-</v>
      </c>
      <c r="V3323" s="40" t="str" cm="1">
        <f t="array" ref="V3323">_xlfn.IFS(
ISNUMBER(SEARCH("USA",S3323)),"United States",
ISNUMBER(SEARCH("Republic of Ireland",S3323)),"Ireland",
ISNUMBER(SEARCH("Republic of Korea",S3323)),"South Korea",
ISNUMBER(SEARCH("Cape Verde",S3323)),"Cabo Verde",
ISNUMBER(SEARCH("Czechia",S3323)),"Czech Republic",
ISNUMBER(SEARCH("Türkiye",S3323)),"Turkey",
ISNUMBER(SEARCH("Ivory Coast",S3323)),"Côte d'Ivoire",
ISNUMBER(SEARCH("Korea Republic",S3323)),"South Korea",
ISNUMBER(SEARCH("Germany FR",S3323)),"FR Germany",
ISNUMBER(SEARCH("West Germany",S3323)),"FR Germany",
ISNUMBER(SEARCH("Germany DR",S3323)),"DR Germany",
ISNUMBER(SEARCH("Korea DPR",S3323)),"North Korea",
ISNUMBER(SEARCH("China PR",S3323)),"China",
ISNUMBER(SEARCH("IR Iran",S3323)),"Iran",
ISNUMBER(SEARCH("Congo DR",S3323)),"Democratic Republic of the Congo",
ISNUMBER(SEARCH("DR Congo",S3323)),"Democratic Republic of the Congo",
ISNUMBER(SEARCH("German DR",S3323)),"DR Germany",
ISNUMBER(SEARCH("rn""&gt;United Arab Emirates",S3323)),"United Arab Emirates",
ISNUMBER(SEARCH("rn""&gt;Republic of Ireland",S3323)),"Ireland",
ISNUMBER(SEARCH("rn""&gt;Bosnia and Herzegovina",S3323)),"Bosnia and Herzegovina",
ISNUMBER(SEARCH("rn""&gt;Trinidad and Tobago",S3323)),"Trinidad and Tobago",
ISNUMBER(SEARCH("rn""&gt;Serbia and Montenegro",S3323)),"Serbia and Montenegro",
ISNUMBER(SEARCH(_xlfn.UNICHAR(65533),S3323)),"Côte d'Ivoire",
TRUE,""
)</f>
        <v/>
      </c>
      <c r="W3323" s="40" t="str">
        <f t="shared" si="228"/>
        <v>Japan</v>
      </c>
    </row>
    <row r="3324" spans="19:23">
      <c r="S3324" s="40" t="str">
        <v>Brazil</v>
      </c>
      <c r="T3324" s="40" t="str">
        <f t="shared" si="226"/>
        <v>OK</v>
      </c>
      <c r="U3324" s="40" t="str">
        <f t="shared" si="227"/>
        <v>-</v>
      </c>
      <c r="V3324" s="40" t="str" cm="1">
        <f t="array" ref="V3324">_xlfn.IFS(
ISNUMBER(SEARCH("USA",S3324)),"United States",
ISNUMBER(SEARCH("Republic of Ireland",S3324)),"Ireland",
ISNUMBER(SEARCH("Republic of Korea",S3324)),"South Korea",
ISNUMBER(SEARCH("Cape Verde",S3324)),"Cabo Verde",
ISNUMBER(SEARCH("Czechia",S3324)),"Czech Republic",
ISNUMBER(SEARCH("Türkiye",S3324)),"Turkey",
ISNUMBER(SEARCH("Ivory Coast",S3324)),"Côte d'Ivoire",
ISNUMBER(SEARCH("Korea Republic",S3324)),"South Korea",
ISNUMBER(SEARCH("Germany FR",S3324)),"FR Germany",
ISNUMBER(SEARCH("West Germany",S3324)),"FR Germany",
ISNUMBER(SEARCH("Germany DR",S3324)),"DR Germany",
ISNUMBER(SEARCH("Korea DPR",S3324)),"North Korea",
ISNUMBER(SEARCH("China PR",S3324)),"China",
ISNUMBER(SEARCH("IR Iran",S3324)),"Iran",
ISNUMBER(SEARCH("Congo DR",S3324)),"Democratic Republic of the Congo",
ISNUMBER(SEARCH("DR Congo",S3324)),"Democratic Republic of the Congo",
ISNUMBER(SEARCH("German DR",S3324)),"DR Germany",
ISNUMBER(SEARCH("rn""&gt;United Arab Emirates",S3324)),"United Arab Emirates",
ISNUMBER(SEARCH("rn""&gt;Republic of Ireland",S3324)),"Ireland",
ISNUMBER(SEARCH("rn""&gt;Bosnia and Herzegovina",S3324)),"Bosnia and Herzegovina",
ISNUMBER(SEARCH("rn""&gt;Trinidad and Tobago",S3324)),"Trinidad and Tobago",
ISNUMBER(SEARCH("rn""&gt;Serbia and Montenegro",S3324)),"Serbia and Montenegro",
ISNUMBER(SEARCH(_xlfn.UNICHAR(65533),S3324)),"Côte d'Ivoire",
TRUE,""
)</f>
        <v/>
      </c>
      <c r="W3324" s="40" t="str">
        <f t="shared" si="228"/>
        <v>Brazil</v>
      </c>
    </row>
    <row r="3325" spans="19:23">
      <c r="S3325" s="40" t="str">
        <v>Morocco</v>
      </c>
      <c r="T3325" s="40" t="str">
        <f t="shared" si="226"/>
        <v>OK</v>
      </c>
      <c r="U3325" s="40" t="str">
        <f t="shared" si="227"/>
        <v>-</v>
      </c>
      <c r="V3325" s="40" t="str" cm="1">
        <f t="array" ref="V3325">_xlfn.IFS(
ISNUMBER(SEARCH("USA",S3325)),"United States",
ISNUMBER(SEARCH("Republic of Ireland",S3325)),"Ireland",
ISNUMBER(SEARCH("Republic of Korea",S3325)),"South Korea",
ISNUMBER(SEARCH("Cape Verde",S3325)),"Cabo Verde",
ISNUMBER(SEARCH("Czechia",S3325)),"Czech Republic",
ISNUMBER(SEARCH("Türkiye",S3325)),"Turkey",
ISNUMBER(SEARCH("Ivory Coast",S3325)),"Côte d'Ivoire",
ISNUMBER(SEARCH("Korea Republic",S3325)),"South Korea",
ISNUMBER(SEARCH("Germany FR",S3325)),"FR Germany",
ISNUMBER(SEARCH("West Germany",S3325)),"FR Germany",
ISNUMBER(SEARCH("Germany DR",S3325)),"DR Germany",
ISNUMBER(SEARCH("Korea DPR",S3325)),"North Korea",
ISNUMBER(SEARCH("China PR",S3325)),"China",
ISNUMBER(SEARCH("IR Iran",S3325)),"Iran",
ISNUMBER(SEARCH("Congo DR",S3325)),"Democratic Republic of the Congo",
ISNUMBER(SEARCH("DR Congo",S3325)),"Democratic Republic of the Congo",
ISNUMBER(SEARCH("German DR",S3325)),"DR Germany",
ISNUMBER(SEARCH("rn""&gt;United Arab Emirates",S3325)),"United Arab Emirates",
ISNUMBER(SEARCH("rn""&gt;Republic of Ireland",S3325)),"Ireland",
ISNUMBER(SEARCH("rn""&gt;Bosnia and Herzegovina",S3325)),"Bosnia and Herzegovina",
ISNUMBER(SEARCH("rn""&gt;Trinidad and Tobago",S3325)),"Trinidad and Tobago",
ISNUMBER(SEARCH("rn""&gt;Serbia and Montenegro",S3325)),"Serbia and Montenegro",
ISNUMBER(SEARCH(_xlfn.UNICHAR(65533),S3325)),"Côte d'Ivoire",
TRUE,""
)</f>
        <v/>
      </c>
      <c r="W3325" s="40" t="str">
        <f t="shared" si="228"/>
        <v>Morocco</v>
      </c>
    </row>
    <row r="3326" spans="19:23">
      <c r="S3326" s="40" t="str">
        <v>Portugal</v>
      </c>
      <c r="T3326" s="40" t="str">
        <f t="shared" si="226"/>
        <v>OK</v>
      </c>
      <c r="U3326" s="40" t="str">
        <f t="shared" si="227"/>
        <v>-</v>
      </c>
      <c r="V3326" s="40" t="str" cm="1">
        <f t="array" ref="V3326">_xlfn.IFS(
ISNUMBER(SEARCH("USA",S3326)),"United States",
ISNUMBER(SEARCH("Republic of Ireland",S3326)),"Ireland",
ISNUMBER(SEARCH("Republic of Korea",S3326)),"South Korea",
ISNUMBER(SEARCH("Cape Verde",S3326)),"Cabo Verde",
ISNUMBER(SEARCH("Czechia",S3326)),"Czech Republic",
ISNUMBER(SEARCH("Türkiye",S3326)),"Turkey",
ISNUMBER(SEARCH("Ivory Coast",S3326)),"Côte d'Ivoire",
ISNUMBER(SEARCH("Korea Republic",S3326)),"South Korea",
ISNUMBER(SEARCH("Germany FR",S3326)),"FR Germany",
ISNUMBER(SEARCH("West Germany",S3326)),"FR Germany",
ISNUMBER(SEARCH("Germany DR",S3326)),"DR Germany",
ISNUMBER(SEARCH("Korea DPR",S3326)),"North Korea",
ISNUMBER(SEARCH("China PR",S3326)),"China",
ISNUMBER(SEARCH("IR Iran",S3326)),"Iran",
ISNUMBER(SEARCH("Congo DR",S3326)),"Democratic Republic of the Congo",
ISNUMBER(SEARCH("DR Congo",S3326)),"Democratic Republic of the Congo",
ISNUMBER(SEARCH("German DR",S3326)),"DR Germany",
ISNUMBER(SEARCH("rn""&gt;United Arab Emirates",S3326)),"United Arab Emirates",
ISNUMBER(SEARCH("rn""&gt;Republic of Ireland",S3326)),"Ireland",
ISNUMBER(SEARCH("rn""&gt;Bosnia and Herzegovina",S3326)),"Bosnia and Herzegovina",
ISNUMBER(SEARCH("rn""&gt;Trinidad and Tobago",S3326)),"Trinidad and Tobago",
ISNUMBER(SEARCH("rn""&gt;Serbia and Montenegro",S3326)),"Serbia and Montenegro",
ISNUMBER(SEARCH(_xlfn.UNICHAR(65533),S3326)),"Côte d'Ivoire",
TRUE,""
)</f>
        <v/>
      </c>
      <c r="W3326" s="40" t="str">
        <f t="shared" si="228"/>
        <v>Portugal</v>
      </c>
    </row>
    <row r="3327" spans="19:23">
      <c r="S3327" s="40" t="str">
        <v>Croatia</v>
      </c>
      <c r="T3327" s="40" t="str">
        <f t="shared" si="226"/>
        <v>OK</v>
      </c>
      <c r="U3327" s="40" t="str">
        <f t="shared" si="227"/>
        <v>-</v>
      </c>
      <c r="V3327" s="40" t="str" cm="1">
        <f t="array" ref="V3327">_xlfn.IFS(
ISNUMBER(SEARCH("USA",S3327)),"United States",
ISNUMBER(SEARCH("Republic of Ireland",S3327)),"Ireland",
ISNUMBER(SEARCH("Republic of Korea",S3327)),"South Korea",
ISNUMBER(SEARCH("Cape Verde",S3327)),"Cabo Verde",
ISNUMBER(SEARCH("Czechia",S3327)),"Czech Republic",
ISNUMBER(SEARCH("Türkiye",S3327)),"Turkey",
ISNUMBER(SEARCH("Ivory Coast",S3327)),"Côte d'Ivoire",
ISNUMBER(SEARCH("Korea Republic",S3327)),"South Korea",
ISNUMBER(SEARCH("Germany FR",S3327)),"FR Germany",
ISNUMBER(SEARCH("West Germany",S3327)),"FR Germany",
ISNUMBER(SEARCH("Germany DR",S3327)),"DR Germany",
ISNUMBER(SEARCH("Korea DPR",S3327)),"North Korea",
ISNUMBER(SEARCH("China PR",S3327)),"China",
ISNUMBER(SEARCH("IR Iran",S3327)),"Iran",
ISNUMBER(SEARCH("Congo DR",S3327)),"Democratic Republic of the Congo",
ISNUMBER(SEARCH("DR Congo",S3327)),"Democratic Republic of the Congo",
ISNUMBER(SEARCH("German DR",S3327)),"DR Germany",
ISNUMBER(SEARCH("rn""&gt;United Arab Emirates",S3327)),"United Arab Emirates",
ISNUMBER(SEARCH("rn""&gt;Republic of Ireland",S3327)),"Ireland",
ISNUMBER(SEARCH("rn""&gt;Bosnia and Herzegovina",S3327)),"Bosnia and Herzegovina",
ISNUMBER(SEARCH("rn""&gt;Trinidad and Tobago",S3327)),"Trinidad and Tobago",
ISNUMBER(SEARCH("rn""&gt;Serbia and Montenegro",S3327)),"Serbia and Montenegro",
ISNUMBER(SEARCH(_xlfn.UNICHAR(65533),S3327)),"Côte d'Ivoire",
TRUE,""
)</f>
        <v/>
      </c>
      <c r="W3327" s="40" t="str">
        <f t="shared" si="228"/>
        <v>Croatia</v>
      </c>
    </row>
    <row r="3328" spans="19:23">
      <c r="S3328" s="40" t="str">
        <v>Netherlands</v>
      </c>
      <c r="T3328" s="40" t="str">
        <f t="shared" si="226"/>
        <v>OK</v>
      </c>
      <c r="U3328" s="40" t="str">
        <f t="shared" si="227"/>
        <v>-</v>
      </c>
      <c r="V3328" s="40" t="str" cm="1">
        <f t="array" ref="V3328">_xlfn.IFS(
ISNUMBER(SEARCH("USA",S3328)),"United States",
ISNUMBER(SEARCH("Republic of Ireland",S3328)),"Ireland",
ISNUMBER(SEARCH("Republic of Korea",S3328)),"South Korea",
ISNUMBER(SEARCH("Cape Verde",S3328)),"Cabo Verde",
ISNUMBER(SEARCH("Czechia",S3328)),"Czech Republic",
ISNUMBER(SEARCH("Türkiye",S3328)),"Turkey",
ISNUMBER(SEARCH("Ivory Coast",S3328)),"Côte d'Ivoire",
ISNUMBER(SEARCH("Korea Republic",S3328)),"South Korea",
ISNUMBER(SEARCH("Germany FR",S3328)),"FR Germany",
ISNUMBER(SEARCH("West Germany",S3328)),"FR Germany",
ISNUMBER(SEARCH("Germany DR",S3328)),"DR Germany",
ISNUMBER(SEARCH("Korea DPR",S3328)),"North Korea",
ISNUMBER(SEARCH("China PR",S3328)),"China",
ISNUMBER(SEARCH("IR Iran",S3328)),"Iran",
ISNUMBER(SEARCH("Congo DR",S3328)),"Democratic Republic of the Congo",
ISNUMBER(SEARCH("DR Congo",S3328)),"Democratic Republic of the Congo",
ISNUMBER(SEARCH("German DR",S3328)),"DR Germany",
ISNUMBER(SEARCH("rn""&gt;United Arab Emirates",S3328)),"United Arab Emirates",
ISNUMBER(SEARCH("rn""&gt;Republic of Ireland",S3328)),"Ireland",
ISNUMBER(SEARCH("rn""&gt;Bosnia and Herzegovina",S3328)),"Bosnia and Herzegovina",
ISNUMBER(SEARCH("rn""&gt;Trinidad and Tobago",S3328)),"Trinidad and Tobago",
ISNUMBER(SEARCH("rn""&gt;Serbia and Montenegro",S3328)),"Serbia and Montenegro",
ISNUMBER(SEARCH(_xlfn.UNICHAR(65533),S3328)),"Côte d'Ivoire",
TRUE,""
)</f>
        <v/>
      </c>
      <c r="W3328" s="40" t="str">
        <f t="shared" si="228"/>
        <v>Netherlands</v>
      </c>
    </row>
    <row r="3329" spans="19:23">
      <c r="S3329" s="40" t="str">
        <v>Morocco</v>
      </c>
      <c r="T3329" s="40" t="str">
        <f t="shared" si="226"/>
        <v>OK</v>
      </c>
      <c r="U3329" s="40" t="str">
        <f t="shared" si="227"/>
        <v>-</v>
      </c>
      <c r="V3329" s="40" t="str" cm="1">
        <f t="array" ref="V3329">_xlfn.IFS(
ISNUMBER(SEARCH("USA",S3329)),"United States",
ISNUMBER(SEARCH("Republic of Ireland",S3329)),"Ireland",
ISNUMBER(SEARCH("Republic of Korea",S3329)),"South Korea",
ISNUMBER(SEARCH("Cape Verde",S3329)),"Cabo Verde",
ISNUMBER(SEARCH("Czechia",S3329)),"Czech Republic",
ISNUMBER(SEARCH("Türkiye",S3329)),"Turkey",
ISNUMBER(SEARCH("Ivory Coast",S3329)),"Côte d'Ivoire",
ISNUMBER(SEARCH("Korea Republic",S3329)),"South Korea",
ISNUMBER(SEARCH("Germany FR",S3329)),"FR Germany",
ISNUMBER(SEARCH("West Germany",S3329)),"FR Germany",
ISNUMBER(SEARCH("Germany DR",S3329)),"DR Germany",
ISNUMBER(SEARCH("Korea DPR",S3329)),"North Korea",
ISNUMBER(SEARCH("China PR",S3329)),"China",
ISNUMBER(SEARCH("IR Iran",S3329)),"Iran",
ISNUMBER(SEARCH("Congo DR",S3329)),"Democratic Republic of the Congo",
ISNUMBER(SEARCH("DR Congo",S3329)),"Democratic Republic of the Congo",
ISNUMBER(SEARCH("German DR",S3329)),"DR Germany",
ISNUMBER(SEARCH("rn""&gt;United Arab Emirates",S3329)),"United Arab Emirates",
ISNUMBER(SEARCH("rn""&gt;Republic of Ireland",S3329)),"Ireland",
ISNUMBER(SEARCH("rn""&gt;Bosnia and Herzegovina",S3329)),"Bosnia and Herzegovina",
ISNUMBER(SEARCH("rn""&gt;Trinidad and Tobago",S3329)),"Trinidad and Tobago",
ISNUMBER(SEARCH("rn""&gt;Serbia and Montenegro",S3329)),"Serbia and Montenegro",
ISNUMBER(SEARCH(_xlfn.UNICHAR(65533),S3329)),"Côte d'Ivoire",
TRUE,""
)</f>
        <v/>
      </c>
      <c r="W3329" s="40" t="str">
        <f t="shared" si="228"/>
        <v>Morocco</v>
      </c>
    </row>
    <row r="3330" spans="19:23">
      <c r="S3330" s="40" t="str">
        <v>England</v>
      </c>
      <c r="T3330" s="40" t="str">
        <f t="shared" si="226"/>
        <v>ERREUR</v>
      </c>
      <c r="U3330" s="40" t="str">
        <f t="shared" si="227"/>
        <v>AUCUNE</v>
      </c>
      <c r="V3330" s="40" t="str" cm="1">
        <f t="array" ref="V3330">_xlfn.IFS(
ISNUMBER(SEARCH("USA",S3330)),"United States",
ISNUMBER(SEARCH("Republic of Ireland",S3330)),"Ireland",
ISNUMBER(SEARCH("Republic of Korea",S3330)),"South Korea",
ISNUMBER(SEARCH("Cape Verde",S3330)),"Cabo Verde",
ISNUMBER(SEARCH("Czechia",S3330)),"Czech Republic",
ISNUMBER(SEARCH("Türkiye",S3330)),"Turkey",
ISNUMBER(SEARCH("Ivory Coast",S3330)),"Côte d'Ivoire",
ISNUMBER(SEARCH("Korea Republic",S3330)),"South Korea",
ISNUMBER(SEARCH("Germany FR",S3330)),"FR Germany",
ISNUMBER(SEARCH("West Germany",S3330)),"FR Germany",
ISNUMBER(SEARCH("Germany DR",S3330)),"DR Germany",
ISNUMBER(SEARCH("Korea DPR",S3330)),"North Korea",
ISNUMBER(SEARCH("China PR",S3330)),"China",
ISNUMBER(SEARCH("IR Iran",S3330)),"Iran",
ISNUMBER(SEARCH("Congo DR",S3330)),"Democratic Republic of the Congo",
ISNUMBER(SEARCH("DR Congo",S3330)),"Democratic Republic of the Congo",
ISNUMBER(SEARCH("German DR",S3330)),"DR Germany",
ISNUMBER(SEARCH("rn""&gt;United Arab Emirates",S3330)),"United Arab Emirates",
ISNUMBER(SEARCH("rn""&gt;Republic of Ireland",S3330)),"Ireland",
ISNUMBER(SEARCH("rn""&gt;Bosnia and Herzegovina",S3330)),"Bosnia and Herzegovina",
ISNUMBER(SEARCH("rn""&gt;Trinidad and Tobago",S3330)),"Trinidad and Tobago",
ISNUMBER(SEARCH("rn""&gt;Serbia and Montenegro",S3330)),"Serbia and Montenegro",
ISNUMBER(SEARCH(_xlfn.UNICHAR(65533),S3330)),"Côte d'Ivoire",
TRUE,""
)</f>
        <v/>
      </c>
      <c r="W3330" s="40" t="str">
        <f t="shared" si="228"/>
        <v>England</v>
      </c>
    </row>
    <row r="3331" spans="19:23">
      <c r="S3331" s="40" t="str">
        <v>Argentina</v>
      </c>
      <c r="T3331" s="40" t="str">
        <f t="shared" ref="T3331:T3394" si="229">IF(COUNTIF(R$13:R$250,S3331)=1,"OK","ERREUR")</f>
        <v>OK</v>
      </c>
      <c r="U3331" s="40" t="str">
        <f t="shared" si="227"/>
        <v>-</v>
      </c>
      <c r="V3331" s="40" t="str" cm="1">
        <f t="array" ref="V3331">_xlfn.IFS(
ISNUMBER(SEARCH("USA",S3331)),"United States",
ISNUMBER(SEARCH("Republic of Ireland",S3331)),"Ireland",
ISNUMBER(SEARCH("Republic of Korea",S3331)),"South Korea",
ISNUMBER(SEARCH("Cape Verde",S3331)),"Cabo Verde",
ISNUMBER(SEARCH("Czechia",S3331)),"Czech Republic",
ISNUMBER(SEARCH("Türkiye",S3331)),"Turkey",
ISNUMBER(SEARCH("Ivory Coast",S3331)),"Côte d'Ivoire",
ISNUMBER(SEARCH("Korea Republic",S3331)),"South Korea",
ISNUMBER(SEARCH("Germany FR",S3331)),"FR Germany",
ISNUMBER(SEARCH("West Germany",S3331)),"FR Germany",
ISNUMBER(SEARCH("Germany DR",S3331)),"DR Germany",
ISNUMBER(SEARCH("Korea DPR",S3331)),"North Korea",
ISNUMBER(SEARCH("China PR",S3331)),"China",
ISNUMBER(SEARCH("IR Iran",S3331)),"Iran",
ISNUMBER(SEARCH("Congo DR",S3331)),"Democratic Republic of the Congo",
ISNUMBER(SEARCH("DR Congo",S3331)),"Democratic Republic of the Congo",
ISNUMBER(SEARCH("German DR",S3331)),"DR Germany",
ISNUMBER(SEARCH("rn""&gt;United Arab Emirates",S3331)),"United Arab Emirates",
ISNUMBER(SEARCH("rn""&gt;Republic of Ireland",S3331)),"Ireland",
ISNUMBER(SEARCH("rn""&gt;Bosnia and Herzegovina",S3331)),"Bosnia and Herzegovina",
ISNUMBER(SEARCH("rn""&gt;Trinidad and Tobago",S3331)),"Trinidad and Tobago",
ISNUMBER(SEARCH("rn""&gt;Serbia and Montenegro",S3331)),"Serbia and Montenegro",
ISNUMBER(SEARCH(_xlfn.UNICHAR(65533),S3331)),"Côte d'Ivoire",
TRUE,""
)</f>
        <v/>
      </c>
      <c r="W3331" s="40" t="str">
        <f t="shared" si="228"/>
        <v>Argentina</v>
      </c>
    </row>
    <row r="3332" spans="19:23">
      <c r="S3332" s="40" t="str">
        <v>France</v>
      </c>
      <c r="T3332" s="40" t="str">
        <f t="shared" si="229"/>
        <v>OK</v>
      </c>
      <c r="U3332" s="40" t="str">
        <f t="shared" ref="U3332:U3395" si="230">IF(OR(S3332="Scotland",S3332="England",S3332="Wales",S3332="Yugoslavia",S3332="Czechoslovakia",S3332="Northern Ireland",S3332="Soviet Union",S3332="Zaire",S3332="Dutch East Indies"),"AUCUNE",IF(OR(S3332="Cape Verde",S3332="USA",S3332="DR Congo",S3332="Republic of Korea",S3332="Germany FR",S3332="Germany DR",S3332="Czechia",S3332="Ivory Coast",S3332="Korea DPR",S3332="China PR",S3332="IR Iran",S3332="Türkiye",S3332="Congo DR",S3332="German DR",S3332="West Germany",S3332="Republic of Ireland",ISNUMBER(SEARCH(_xlfn.UNICHAR(65533),S3332)),S3332="Korea Republic",ISNUMBER(SEARCH("rn""&gt;United Arab Emirates",S3332)),ISNUMBER(SEARCH("rn""&gt;Republic of Ireland",S3332)),ISNUMBER(SEARCH("rn""&gt;Bosnia and Herzegovina",S3332)),ISNUMBER(SEARCH("rn""&gt;Trinidad and Tobago",S3332)),ISNUMBER(SEARCH("rn""&gt;Serbia and Montenegro",S3332)),ISNUMBER(SEARCH(_xlfn.UNICHAR(65533),S3332))),"RENOMMER","-"))</f>
        <v>-</v>
      </c>
      <c r="V3332" s="40" t="str" cm="1">
        <f t="array" ref="V3332">_xlfn.IFS(
ISNUMBER(SEARCH("USA",S3332)),"United States",
ISNUMBER(SEARCH("Republic of Ireland",S3332)),"Ireland",
ISNUMBER(SEARCH("Republic of Korea",S3332)),"South Korea",
ISNUMBER(SEARCH("Cape Verde",S3332)),"Cabo Verde",
ISNUMBER(SEARCH("Czechia",S3332)),"Czech Republic",
ISNUMBER(SEARCH("Türkiye",S3332)),"Turkey",
ISNUMBER(SEARCH("Ivory Coast",S3332)),"Côte d'Ivoire",
ISNUMBER(SEARCH("Korea Republic",S3332)),"South Korea",
ISNUMBER(SEARCH("Germany FR",S3332)),"FR Germany",
ISNUMBER(SEARCH("West Germany",S3332)),"FR Germany",
ISNUMBER(SEARCH("Germany DR",S3332)),"DR Germany",
ISNUMBER(SEARCH("Korea DPR",S3332)),"North Korea",
ISNUMBER(SEARCH("China PR",S3332)),"China",
ISNUMBER(SEARCH("IR Iran",S3332)),"Iran",
ISNUMBER(SEARCH("Congo DR",S3332)),"Democratic Republic of the Congo",
ISNUMBER(SEARCH("DR Congo",S3332)),"Democratic Republic of the Congo",
ISNUMBER(SEARCH("German DR",S3332)),"DR Germany",
ISNUMBER(SEARCH("rn""&gt;United Arab Emirates",S3332)),"United Arab Emirates",
ISNUMBER(SEARCH("rn""&gt;Republic of Ireland",S3332)),"Ireland",
ISNUMBER(SEARCH("rn""&gt;Bosnia and Herzegovina",S3332)),"Bosnia and Herzegovina",
ISNUMBER(SEARCH("rn""&gt;Trinidad and Tobago",S3332)),"Trinidad and Tobago",
ISNUMBER(SEARCH("rn""&gt;Serbia and Montenegro",S3332)),"Serbia and Montenegro",
ISNUMBER(SEARCH(_xlfn.UNICHAR(65533),S3332)),"Côte d'Ivoire",
TRUE,""
)</f>
        <v/>
      </c>
      <c r="W3332" s="40" t="str">
        <f t="shared" ref="W3332:W3395" si="231">IF(V3332="",S3332,V3332)</f>
        <v>France</v>
      </c>
    </row>
    <row r="3333" spans="19:23">
      <c r="S3333" s="40" t="str">
        <v>Croatia</v>
      </c>
      <c r="T3333" s="40" t="str">
        <f t="shared" si="229"/>
        <v>OK</v>
      </c>
      <c r="U3333" s="40" t="str">
        <f t="shared" si="230"/>
        <v>-</v>
      </c>
      <c r="V3333" s="40" t="str" cm="1">
        <f t="array" ref="V3333">_xlfn.IFS(
ISNUMBER(SEARCH("USA",S3333)),"United States",
ISNUMBER(SEARCH("Republic of Ireland",S3333)),"Ireland",
ISNUMBER(SEARCH("Republic of Korea",S3333)),"South Korea",
ISNUMBER(SEARCH("Cape Verde",S3333)),"Cabo Verde",
ISNUMBER(SEARCH("Czechia",S3333)),"Czech Republic",
ISNUMBER(SEARCH("Türkiye",S3333)),"Turkey",
ISNUMBER(SEARCH("Ivory Coast",S3333)),"Côte d'Ivoire",
ISNUMBER(SEARCH("Korea Republic",S3333)),"South Korea",
ISNUMBER(SEARCH("Germany FR",S3333)),"FR Germany",
ISNUMBER(SEARCH("West Germany",S3333)),"FR Germany",
ISNUMBER(SEARCH("Germany DR",S3333)),"DR Germany",
ISNUMBER(SEARCH("Korea DPR",S3333)),"North Korea",
ISNUMBER(SEARCH("China PR",S3333)),"China",
ISNUMBER(SEARCH("IR Iran",S3333)),"Iran",
ISNUMBER(SEARCH("Congo DR",S3333)),"Democratic Republic of the Congo",
ISNUMBER(SEARCH("DR Congo",S3333)),"Democratic Republic of the Congo",
ISNUMBER(SEARCH("German DR",S3333)),"DR Germany",
ISNUMBER(SEARCH("rn""&gt;United Arab Emirates",S3333)),"United Arab Emirates",
ISNUMBER(SEARCH("rn""&gt;Republic of Ireland",S3333)),"Ireland",
ISNUMBER(SEARCH("rn""&gt;Bosnia and Herzegovina",S3333)),"Bosnia and Herzegovina",
ISNUMBER(SEARCH("rn""&gt;Trinidad and Tobago",S3333)),"Trinidad and Tobago",
ISNUMBER(SEARCH("rn""&gt;Serbia and Montenegro",S3333)),"Serbia and Montenegro",
ISNUMBER(SEARCH(_xlfn.UNICHAR(65533),S3333)),"Côte d'Ivoire",
TRUE,""
)</f>
        <v/>
      </c>
      <c r="W3333" s="40" t="str">
        <f t="shared" si="231"/>
        <v>Croatia</v>
      </c>
    </row>
    <row r="3334" spans="19:23">
      <c r="S3334" s="40" t="str">
        <v>Argentina</v>
      </c>
      <c r="T3334" s="40" t="str">
        <f t="shared" si="229"/>
        <v>OK</v>
      </c>
      <c r="U3334" s="40" t="str">
        <f t="shared" si="230"/>
        <v>-</v>
      </c>
      <c r="V3334" s="40" t="str" cm="1">
        <f t="array" ref="V3334">_xlfn.IFS(
ISNUMBER(SEARCH("USA",S3334)),"United States",
ISNUMBER(SEARCH("Republic of Ireland",S3334)),"Ireland",
ISNUMBER(SEARCH("Republic of Korea",S3334)),"South Korea",
ISNUMBER(SEARCH("Cape Verde",S3334)),"Cabo Verde",
ISNUMBER(SEARCH("Czechia",S3334)),"Czech Republic",
ISNUMBER(SEARCH("Türkiye",S3334)),"Turkey",
ISNUMBER(SEARCH("Ivory Coast",S3334)),"Côte d'Ivoire",
ISNUMBER(SEARCH("Korea Republic",S3334)),"South Korea",
ISNUMBER(SEARCH("Germany FR",S3334)),"FR Germany",
ISNUMBER(SEARCH("West Germany",S3334)),"FR Germany",
ISNUMBER(SEARCH("Germany DR",S3334)),"DR Germany",
ISNUMBER(SEARCH("Korea DPR",S3334)),"North Korea",
ISNUMBER(SEARCH("China PR",S3334)),"China",
ISNUMBER(SEARCH("IR Iran",S3334)),"Iran",
ISNUMBER(SEARCH("Congo DR",S3334)),"Democratic Republic of the Congo",
ISNUMBER(SEARCH("DR Congo",S3334)),"Democratic Republic of the Congo",
ISNUMBER(SEARCH("German DR",S3334)),"DR Germany",
ISNUMBER(SEARCH("rn""&gt;United Arab Emirates",S3334)),"United Arab Emirates",
ISNUMBER(SEARCH("rn""&gt;Republic of Ireland",S3334)),"Ireland",
ISNUMBER(SEARCH("rn""&gt;Bosnia and Herzegovina",S3334)),"Bosnia and Herzegovina",
ISNUMBER(SEARCH("rn""&gt;Trinidad and Tobago",S3334)),"Trinidad and Tobago",
ISNUMBER(SEARCH("rn""&gt;Serbia and Montenegro",S3334)),"Serbia and Montenegro",
ISNUMBER(SEARCH(_xlfn.UNICHAR(65533),S3334)),"Côte d'Ivoire",
TRUE,""
)</f>
        <v/>
      </c>
      <c r="W3334" s="40" t="str">
        <f t="shared" si="231"/>
        <v>Argentina</v>
      </c>
    </row>
    <row r="3335" spans="19:23">
      <c r="S3335" s="40" t="str">
        <v>Mexico</v>
      </c>
      <c r="T3335" s="40" t="str">
        <f t="shared" si="229"/>
        <v>OK</v>
      </c>
      <c r="U3335" s="40" t="str">
        <f t="shared" si="230"/>
        <v>-</v>
      </c>
      <c r="V3335" s="40" t="str" cm="1">
        <f t="array" ref="V3335">_xlfn.IFS(
ISNUMBER(SEARCH("USA",S3335)),"United States",
ISNUMBER(SEARCH("Republic of Ireland",S3335)),"Ireland",
ISNUMBER(SEARCH("Republic of Korea",S3335)),"South Korea",
ISNUMBER(SEARCH("Cape Verde",S3335)),"Cabo Verde",
ISNUMBER(SEARCH("Czechia",S3335)),"Czech Republic",
ISNUMBER(SEARCH("Türkiye",S3335)),"Turkey",
ISNUMBER(SEARCH("Ivory Coast",S3335)),"Côte d'Ivoire",
ISNUMBER(SEARCH("Korea Republic",S3335)),"South Korea",
ISNUMBER(SEARCH("Germany FR",S3335)),"FR Germany",
ISNUMBER(SEARCH("West Germany",S3335)),"FR Germany",
ISNUMBER(SEARCH("Germany DR",S3335)),"DR Germany",
ISNUMBER(SEARCH("Korea DPR",S3335)),"North Korea",
ISNUMBER(SEARCH("China PR",S3335)),"China",
ISNUMBER(SEARCH("IR Iran",S3335)),"Iran",
ISNUMBER(SEARCH("Congo DR",S3335)),"Democratic Republic of the Congo",
ISNUMBER(SEARCH("DR Congo",S3335)),"Democratic Republic of the Congo",
ISNUMBER(SEARCH("German DR",S3335)),"DR Germany",
ISNUMBER(SEARCH("rn""&gt;United Arab Emirates",S3335)),"United Arab Emirates",
ISNUMBER(SEARCH("rn""&gt;Republic of Ireland",S3335)),"Ireland",
ISNUMBER(SEARCH("rn""&gt;Bosnia and Herzegovina",S3335)),"Bosnia and Herzegovina",
ISNUMBER(SEARCH("rn""&gt;Trinidad and Tobago",S3335)),"Trinidad and Tobago",
ISNUMBER(SEARCH("rn""&gt;Serbia and Montenegro",S3335)),"Serbia and Montenegro",
ISNUMBER(SEARCH(_xlfn.UNICHAR(65533),S3335)),"Côte d'Ivoire",
TRUE,""
)</f>
        <v/>
      </c>
      <c r="W3335" s="40" t="str">
        <f t="shared" si="231"/>
        <v>Mexico</v>
      </c>
    </row>
    <row r="3336" spans="19:23">
      <c r="S3336" s="40" t="str">
        <v>South Korea</v>
      </c>
      <c r="T3336" s="40" t="str">
        <f t="shared" si="229"/>
        <v>OK</v>
      </c>
      <c r="U3336" s="40" t="str">
        <f t="shared" si="230"/>
        <v>-</v>
      </c>
      <c r="V3336" s="40" t="str" cm="1">
        <f t="array" ref="V3336">_xlfn.IFS(
ISNUMBER(SEARCH("USA",S3336)),"United States",
ISNUMBER(SEARCH("Republic of Ireland",S3336)),"Ireland",
ISNUMBER(SEARCH("Republic of Korea",S3336)),"South Korea",
ISNUMBER(SEARCH("Cape Verde",S3336)),"Cabo Verde",
ISNUMBER(SEARCH("Czechia",S3336)),"Czech Republic",
ISNUMBER(SEARCH("Türkiye",S3336)),"Turkey",
ISNUMBER(SEARCH("Ivory Coast",S3336)),"Côte d'Ivoire",
ISNUMBER(SEARCH("Korea Republic",S3336)),"South Korea",
ISNUMBER(SEARCH("Germany FR",S3336)),"FR Germany",
ISNUMBER(SEARCH("West Germany",S3336)),"FR Germany",
ISNUMBER(SEARCH("Germany DR",S3336)),"DR Germany",
ISNUMBER(SEARCH("Korea DPR",S3336)),"North Korea",
ISNUMBER(SEARCH("China PR",S3336)),"China",
ISNUMBER(SEARCH("IR Iran",S3336)),"Iran",
ISNUMBER(SEARCH("Congo DR",S3336)),"Democratic Republic of the Congo",
ISNUMBER(SEARCH("DR Congo",S3336)),"Democratic Republic of the Congo",
ISNUMBER(SEARCH("German DR",S3336)),"DR Germany",
ISNUMBER(SEARCH("rn""&gt;United Arab Emirates",S3336)),"United Arab Emirates",
ISNUMBER(SEARCH("rn""&gt;Republic of Ireland",S3336)),"Ireland",
ISNUMBER(SEARCH("rn""&gt;Bosnia and Herzegovina",S3336)),"Bosnia and Herzegovina",
ISNUMBER(SEARCH("rn""&gt;Trinidad and Tobago",S3336)),"Trinidad and Tobago",
ISNUMBER(SEARCH("rn""&gt;Serbia and Montenegro",S3336)),"Serbia and Montenegro",
ISNUMBER(SEARCH(_xlfn.UNICHAR(65533),S3336)),"Côte d'Ivoire",
TRUE,""
)</f>
        <v/>
      </c>
      <c r="W3336" s="40" t="str">
        <f t="shared" si="231"/>
        <v>South Korea</v>
      </c>
    </row>
    <row r="3337" spans="19:23">
      <c r="S3337" s="40" t="str">
        <v>Canada</v>
      </c>
      <c r="T3337" s="40" t="str">
        <f t="shared" si="229"/>
        <v>OK</v>
      </c>
      <c r="U3337" s="40" t="str">
        <f t="shared" si="230"/>
        <v>-</v>
      </c>
      <c r="V3337" s="40" t="str" cm="1">
        <f t="array" ref="V3337">_xlfn.IFS(
ISNUMBER(SEARCH("USA",S3337)),"United States",
ISNUMBER(SEARCH("Republic of Ireland",S3337)),"Ireland",
ISNUMBER(SEARCH("Republic of Korea",S3337)),"South Korea",
ISNUMBER(SEARCH("Cape Verde",S3337)),"Cabo Verde",
ISNUMBER(SEARCH("Czechia",S3337)),"Czech Republic",
ISNUMBER(SEARCH("Türkiye",S3337)),"Turkey",
ISNUMBER(SEARCH("Ivory Coast",S3337)),"Côte d'Ivoire",
ISNUMBER(SEARCH("Korea Republic",S3337)),"South Korea",
ISNUMBER(SEARCH("Germany FR",S3337)),"FR Germany",
ISNUMBER(SEARCH("West Germany",S3337)),"FR Germany",
ISNUMBER(SEARCH("Germany DR",S3337)),"DR Germany",
ISNUMBER(SEARCH("Korea DPR",S3337)),"North Korea",
ISNUMBER(SEARCH("China PR",S3337)),"China",
ISNUMBER(SEARCH("IR Iran",S3337)),"Iran",
ISNUMBER(SEARCH("Congo DR",S3337)),"Democratic Republic of the Congo",
ISNUMBER(SEARCH("DR Congo",S3337)),"Democratic Republic of the Congo",
ISNUMBER(SEARCH("German DR",S3337)),"DR Germany",
ISNUMBER(SEARCH("rn""&gt;United Arab Emirates",S3337)),"United Arab Emirates",
ISNUMBER(SEARCH("rn""&gt;Republic of Ireland",S3337)),"Ireland",
ISNUMBER(SEARCH("rn""&gt;Bosnia and Herzegovina",S3337)),"Bosnia and Herzegovina",
ISNUMBER(SEARCH("rn""&gt;Trinidad and Tobago",S3337)),"Trinidad and Tobago",
ISNUMBER(SEARCH("rn""&gt;Serbia and Montenegro",S3337)),"Serbia and Montenegro",
ISNUMBER(SEARCH(_xlfn.UNICHAR(65533),S3337)),"Côte d'Ivoire",
TRUE,""
)</f>
        <v/>
      </c>
      <c r="W3337" s="40" t="str">
        <f t="shared" si="231"/>
        <v>Canada</v>
      </c>
    </row>
    <row r="3338" spans="19:23">
      <c r="S3338" s="40" t="str">
        <v>USA</v>
      </c>
      <c r="T3338" s="40" t="str">
        <f t="shared" si="229"/>
        <v>ERREUR</v>
      </c>
      <c r="U3338" s="40" t="str">
        <f t="shared" si="230"/>
        <v>RENOMMER</v>
      </c>
      <c r="V3338" s="40" t="str" cm="1">
        <f t="array" ref="V3338">_xlfn.IFS(
ISNUMBER(SEARCH("USA",S3338)),"United States",
ISNUMBER(SEARCH("Republic of Ireland",S3338)),"Ireland",
ISNUMBER(SEARCH("Republic of Korea",S3338)),"South Korea",
ISNUMBER(SEARCH("Cape Verde",S3338)),"Cabo Verde",
ISNUMBER(SEARCH("Czechia",S3338)),"Czech Republic",
ISNUMBER(SEARCH("Türkiye",S3338)),"Turkey",
ISNUMBER(SEARCH("Ivory Coast",S3338)),"Côte d'Ivoire",
ISNUMBER(SEARCH("Korea Republic",S3338)),"South Korea",
ISNUMBER(SEARCH("Germany FR",S3338)),"FR Germany",
ISNUMBER(SEARCH("West Germany",S3338)),"FR Germany",
ISNUMBER(SEARCH("Germany DR",S3338)),"DR Germany",
ISNUMBER(SEARCH("Korea DPR",S3338)),"North Korea",
ISNUMBER(SEARCH("China PR",S3338)),"China",
ISNUMBER(SEARCH("IR Iran",S3338)),"Iran",
ISNUMBER(SEARCH("Congo DR",S3338)),"Democratic Republic of the Congo",
ISNUMBER(SEARCH("DR Congo",S3338)),"Democratic Republic of the Congo",
ISNUMBER(SEARCH("German DR",S3338)),"DR Germany",
ISNUMBER(SEARCH("rn""&gt;United Arab Emirates",S3338)),"United Arab Emirates",
ISNUMBER(SEARCH("rn""&gt;Republic of Ireland",S3338)),"Ireland",
ISNUMBER(SEARCH("rn""&gt;Bosnia and Herzegovina",S3338)),"Bosnia and Herzegovina",
ISNUMBER(SEARCH("rn""&gt;Trinidad and Tobago",S3338)),"Trinidad and Tobago",
ISNUMBER(SEARCH("rn""&gt;Serbia and Montenegro",S3338)),"Serbia and Montenegro",
ISNUMBER(SEARCH(_xlfn.UNICHAR(65533),S3338)),"Côte d'Ivoire",
TRUE,""
)</f>
        <v>United States</v>
      </c>
      <c r="W3338" s="40" t="str">
        <f t="shared" si="231"/>
        <v>United States</v>
      </c>
    </row>
    <row r="3339" spans="19:23">
      <c r="S3339" s="40" t="str">
        <v>Haiti</v>
      </c>
      <c r="T3339" s="40" t="str">
        <f t="shared" si="229"/>
        <v>OK</v>
      </c>
      <c r="U3339" s="40" t="str">
        <f t="shared" si="230"/>
        <v>-</v>
      </c>
      <c r="V3339" s="40" t="str" cm="1">
        <f t="array" ref="V3339">_xlfn.IFS(
ISNUMBER(SEARCH("USA",S3339)),"United States",
ISNUMBER(SEARCH("Republic of Ireland",S3339)),"Ireland",
ISNUMBER(SEARCH("Republic of Korea",S3339)),"South Korea",
ISNUMBER(SEARCH("Cape Verde",S3339)),"Cabo Verde",
ISNUMBER(SEARCH("Czechia",S3339)),"Czech Republic",
ISNUMBER(SEARCH("Türkiye",S3339)),"Turkey",
ISNUMBER(SEARCH("Ivory Coast",S3339)),"Côte d'Ivoire",
ISNUMBER(SEARCH("Korea Republic",S3339)),"South Korea",
ISNUMBER(SEARCH("Germany FR",S3339)),"FR Germany",
ISNUMBER(SEARCH("West Germany",S3339)),"FR Germany",
ISNUMBER(SEARCH("Germany DR",S3339)),"DR Germany",
ISNUMBER(SEARCH("Korea DPR",S3339)),"North Korea",
ISNUMBER(SEARCH("China PR",S3339)),"China",
ISNUMBER(SEARCH("IR Iran",S3339)),"Iran",
ISNUMBER(SEARCH("Congo DR",S3339)),"Democratic Republic of the Congo",
ISNUMBER(SEARCH("DR Congo",S3339)),"Democratic Republic of the Congo",
ISNUMBER(SEARCH("German DR",S3339)),"DR Germany",
ISNUMBER(SEARCH("rn""&gt;United Arab Emirates",S3339)),"United Arab Emirates",
ISNUMBER(SEARCH("rn""&gt;Republic of Ireland",S3339)),"Ireland",
ISNUMBER(SEARCH("rn""&gt;Bosnia and Herzegovina",S3339)),"Bosnia and Herzegovina",
ISNUMBER(SEARCH("rn""&gt;Trinidad and Tobago",S3339)),"Trinidad and Tobago",
ISNUMBER(SEARCH("rn""&gt;Serbia and Montenegro",S3339)),"Serbia and Montenegro",
ISNUMBER(SEARCH(_xlfn.UNICHAR(65533),S3339)),"Côte d'Ivoire",
TRUE,""
)</f>
        <v/>
      </c>
      <c r="W3339" s="40" t="str">
        <f t="shared" si="231"/>
        <v>Haiti</v>
      </c>
    </row>
    <row r="3340" spans="19:23">
      <c r="S3340" s="40" t="str">
        <v>Australia</v>
      </c>
      <c r="T3340" s="40" t="str">
        <f t="shared" si="229"/>
        <v>OK</v>
      </c>
      <c r="U3340" s="40" t="str">
        <f t="shared" si="230"/>
        <v>-</v>
      </c>
      <c r="V3340" s="40" t="str" cm="1">
        <f t="array" ref="V3340">_xlfn.IFS(
ISNUMBER(SEARCH("USA",S3340)),"United States",
ISNUMBER(SEARCH("Republic of Ireland",S3340)),"Ireland",
ISNUMBER(SEARCH("Republic of Korea",S3340)),"South Korea",
ISNUMBER(SEARCH("Cape Verde",S3340)),"Cabo Verde",
ISNUMBER(SEARCH("Czechia",S3340)),"Czech Republic",
ISNUMBER(SEARCH("Türkiye",S3340)),"Turkey",
ISNUMBER(SEARCH("Ivory Coast",S3340)),"Côte d'Ivoire",
ISNUMBER(SEARCH("Korea Republic",S3340)),"South Korea",
ISNUMBER(SEARCH("Germany FR",S3340)),"FR Germany",
ISNUMBER(SEARCH("West Germany",S3340)),"FR Germany",
ISNUMBER(SEARCH("Germany DR",S3340)),"DR Germany",
ISNUMBER(SEARCH("Korea DPR",S3340)),"North Korea",
ISNUMBER(SEARCH("China PR",S3340)),"China",
ISNUMBER(SEARCH("IR Iran",S3340)),"Iran",
ISNUMBER(SEARCH("Congo DR",S3340)),"Democratic Republic of the Congo",
ISNUMBER(SEARCH("DR Congo",S3340)),"Democratic Republic of the Congo",
ISNUMBER(SEARCH("German DR",S3340)),"DR Germany",
ISNUMBER(SEARCH("rn""&gt;United Arab Emirates",S3340)),"United Arab Emirates",
ISNUMBER(SEARCH("rn""&gt;Republic of Ireland",S3340)),"Ireland",
ISNUMBER(SEARCH("rn""&gt;Bosnia and Herzegovina",S3340)),"Bosnia and Herzegovina",
ISNUMBER(SEARCH("rn""&gt;Trinidad and Tobago",S3340)),"Trinidad and Tobago",
ISNUMBER(SEARCH("rn""&gt;Serbia and Montenegro",S3340)),"Serbia and Montenegro",
ISNUMBER(SEARCH(_xlfn.UNICHAR(65533),S3340)),"Côte d'Ivoire",
TRUE,""
)</f>
        <v/>
      </c>
      <c r="W3340" s="40" t="str">
        <f t="shared" si="231"/>
        <v>Australia</v>
      </c>
    </row>
    <row r="3341" spans="19:23">
      <c r="S3341" s="40" t="str">
        <v>Brazil</v>
      </c>
      <c r="T3341" s="40" t="str">
        <f t="shared" si="229"/>
        <v>OK</v>
      </c>
      <c r="U3341" s="40" t="str">
        <f t="shared" si="230"/>
        <v>-</v>
      </c>
      <c r="V3341" s="40" t="str" cm="1">
        <f t="array" ref="V3341">_xlfn.IFS(
ISNUMBER(SEARCH("USA",S3341)),"United States",
ISNUMBER(SEARCH("Republic of Ireland",S3341)),"Ireland",
ISNUMBER(SEARCH("Republic of Korea",S3341)),"South Korea",
ISNUMBER(SEARCH("Cape Verde",S3341)),"Cabo Verde",
ISNUMBER(SEARCH("Czechia",S3341)),"Czech Republic",
ISNUMBER(SEARCH("Türkiye",S3341)),"Turkey",
ISNUMBER(SEARCH("Ivory Coast",S3341)),"Côte d'Ivoire",
ISNUMBER(SEARCH("Korea Republic",S3341)),"South Korea",
ISNUMBER(SEARCH("Germany FR",S3341)),"FR Germany",
ISNUMBER(SEARCH("West Germany",S3341)),"FR Germany",
ISNUMBER(SEARCH("Germany DR",S3341)),"DR Germany",
ISNUMBER(SEARCH("Korea DPR",S3341)),"North Korea",
ISNUMBER(SEARCH("China PR",S3341)),"China",
ISNUMBER(SEARCH("IR Iran",S3341)),"Iran",
ISNUMBER(SEARCH("Congo DR",S3341)),"Democratic Republic of the Congo",
ISNUMBER(SEARCH("DR Congo",S3341)),"Democratic Republic of the Congo",
ISNUMBER(SEARCH("German DR",S3341)),"DR Germany",
ISNUMBER(SEARCH("rn""&gt;United Arab Emirates",S3341)),"United Arab Emirates",
ISNUMBER(SEARCH("rn""&gt;Republic of Ireland",S3341)),"Ireland",
ISNUMBER(SEARCH("rn""&gt;Bosnia and Herzegovina",S3341)),"Bosnia and Herzegovina",
ISNUMBER(SEARCH("rn""&gt;Trinidad and Tobago",S3341)),"Trinidad and Tobago",
ISNUMBER(SEARCH("rn""&gt;Serbia and Montenegro",S3341)),"Serbia and Montenegro",
ISNUMBER(SEARCH(_xlfn.UNICHAR(65533),S3341)),"Côte d'Ivoire",
TRUE,""
)</f>
        <v/>
      </c>
      <c r="W3341" s="40" t="str">
        <f t="shared" si="231"/>
        <v>Brazil</v>
      </c>
    </row>
    <row r="3342" spans="19:23">
      <c r="S3342" s="40" t="str">
        <v>Qatar</v>
      </c>
      <c r="T3342" s="40" t="str">
        <f t="shared" si="229"/>
        <v>OK</v>
      </c>
      <c r="U3342" s="40" t="str">
        <f t="shared" si="230"/>
        <v>-</v>
      </c>
      <c r="V3342" s="40" t="str" cm="1">
        <f t="array" ref="V3342">_xlfn.IFS(
ISNUMBER(SEARCH("USA",S3342)),"United States",
ISNUMBER(SEARCH("Republic of Ireland",S3342)),"Ireland",
ISNUMBER(SEARCH("Republic of Korea",S3342)),"South Korea",
ISNUMBER(SEARCH("Cape Verde",S3342)),"Cabo Verde",
ISNUMBER(SEARCH("Czechia",S3342)),"Czech Republic",
ISNUMBER(SEARCH("Türkiye",S3342)),"Turkey",
ISNUMBER(SEARCH("Ivory Coast",S3342)),"Côte d'Ivoire",
ISNUMBER(SEARCH("Korea Republic",S3342)),"South Korea",
ISNUMBER(SEARCH("Germany FR",S3342)),"FR Germany",
ISNUMBER(SEARCH("West Germany",S3342)),"FR Germany",
ISNUMBER(SEARCH("Germany DR",S3342)),"DR Germany",
ISNUMBER(SEARCH("Korea DPR",S3342)),"North Korea",
ISNUMBER(SEARCH("China PR",S3342)),"China",
ISNUMBER(SEARCH("IR Iran",S3342)),"Iran",
ISNUMBER(SEARCH("Congo DR",S3342)),"Democratic Republic of the Congo",
ISNUMBER(SEARCH("DR Congo",S3342)),"Democratic Republic of the Congo",
ISNUMBER(SEARCH("German DR",S3342)),"DR Germany",
ISNUMBER(SEARCH("rn""&gt;United Arab Emirates",S3342)),"United Arab Emirates",
ISNUMBER(SEARCH("rn""&gt;Republic of Ireland",S3342)),"Ireland",
ISNUMBER(SEARCH("rn""&gt;Bosnia and Herzegovina",S3342)),"Bosnia and Herzegovina",
ISNUMBER(SEARCH("rn""&gt;Trinidad and Tobago",S3342)),"Trinidad and Tobago",
ISNUMBER(SEARCH("rn""&gt;Serbia and Montenegro",S3342)),"Serbia and Montenegro",
ISNUMBER(SEARCH(_xlfn.UNICHAR(65533),S3342)),"Côte d'Ivoire",
TRUE,""
)</f>
        <v/>
      </c>
      <c r="W3342" s="40" t="str">
        <f t="shared" si="231"/>
        <v>Qatar</v>
      </c>
    </row>
    <row r="3343" spans="19:23">
      <c r="S3343" s="40" t="str">
        <v>Germany</v>
      </c>
      <c r="T3343" s="40" t="str">
        <f t="shared" si="229"/>
        <v>OK</v>
      </c>
      <c r="U3343" s="40" t="str">
        <f t="shared" si="230"/>
        <v>-</v>
      </c>
      <c r="V3343" s="40" t="str" cm="1">
        <f t="array" ref="V3343">_xlfn.IFS(
ISNUMBER(SEARCH("USA",S3343)),"United States",
ISNUMBER(SEARCH("Republic of Ireland",S3343)),"Ireland",
ISNUMBER(SEARCH("Republic of Korea",S3343)),"South Korea",
ISNUMBER(SEARCH("Cape Verde",S3343)),"Cabo Verde",
ISNUMBER(SEARCH("Czechia",S3343)),"Czech Republic",
ISNUMBER(SEARCH("Türkiye",S3343)),"Turkey",
ISNUMBER(SEARCH("Ivory Coast",S3343)),"Côte d'Ivoire",
ISNUMBER(SEARCH("Korea Republic",S3343)),"South Korea",
ISNUMBER(SEARCH("Germany FR",S3343)),"FR Germany",
ISNUMBER(SEARCH("West Germany",S3343)),"FR Germany",
ISNUMBER(SEARCH("Germany DR",S3343)),"DR Germany",
ISNUMBER(SEARCH("Korea DPR",S3343)),"North Korea",
ISNUMBER(SEARCH("China PR",S3343)),"China",
ISNUMBER(SEARCH("IR Iran",S3343)),"Iran",
ISNUMBER(SEARCH("Congo DR",S3343)),"Democratic Republic of the Congo",
ISNUMBER(SEARCH("DR Congo",S3343)),"Democratic Republic of the Congo",
ISNUMBER(SEARCH("German DR",S3343)),"DR Germany",
ISNUMBER(SEARCH("rn""&gt;United Arab Emirates",S3343)),"United Arab Emirates",
ISNUMBER(SEARCH("rn""&gt;Republic of Ireland",S3343)),"Ireland",
ISNUMBER(SEARCH("rn""&gt;Bosnia and Herzegovina",S3343)),"Bosnia and Herzegovina",
ISNUMBER(SEARCH("rn""&gt;Trinidad and Tobago",S3343)),"Trinidad and Tobago",
ISNUMBER(SEARCH("rn""&gt;Serbia and Montenegro",S3343)),"Serbia and Montenegro",
ISNUMBER(SEARCH(_xlfn.UNICHAR(65533),S3343)),"Côte d'Ivoire",
TRUE,""
)</f>
        <v/>
      </c>
      <c r="W3343" s="40" t="str">
        <f t="shared" si="231"/>
        <v>Germany</v>
      </c>
    </row>
    <row r="3344" spans="19:23">
      <c r="S3344" s="40" t="str">
        <v>Netherlands</v>
      </c>
      <c r="T3344" s="40" t="str">
        <f t="shared" si="229"/>
        <v>OK</v>
      </c>
      <c r="U3344" s="40" t="str">
        <f t="shared" si="230"/>
        <v>-</v>
      </c>
      <c r="V3344" s="40" t="str" cm="1">
        <f t="array" ref="V3344">_xlfn.IFS(
ISNUMBER(SEARCH("USA",S3344)),"United States",
ISNUMBER(SEARCH("Republic of Ireland",S3344)),"Ireland",
ISNUMBER(SEARCH("Republic of Korea",S3344)),"South Korea",
ISNUMBER(SEARCH("Cape Verde",S3344)),"Cabo Verde",
ISNUMBER(SEARCH("Czechia",S3344)),"Czech Republic",
ISNUMBER(SEARCH("Türkiye",S3344)),"Turkey",
ISNUMBER(SEARCH("Ivory Coast",S3344)),"Côte d'Ivoire",
ISNUMBER(SEARCH("Korea Republic",S3344)),"South Korea",
ISNUMBER(SEARCH("Germany FR",S3344)),"FR Germany",
ISNUMBER(SEARCH("West Germany",S3344)),"FR Germany",
ISNUMBER(SEARCH("Germany DR",S3344)),"DR Germany",
ISNUMBER(SEARCH("Korea DPR",S3344)),"North Korea",
ISNUMBER(SEARCH("China PR",S3344)),"China",
ISNUMBER(SEARCH("IR Iran",S3344)),"Iran",
ISNUMBER(SEARCH("Congo DR",S3344)),"Democratic Republic of the Congo",
ISNUMBER(SEARCH("DR Congo",S3344)),"Democratic Republic of the Congo",
ISNUMBER(SEARCH("German DR",S3344)),"DR Germany",
ISNUMBER(SEARCH("rn""&gt;United Arab Emirates",S3344)),"United Arab Emirates",
ISNUMBER(SEARCH("rn""&gt;Republic of Ireland",S3344)),"Ireland",
ISNUMBER(SEARCH("rn""&gt;Bosnia and Herzegovina",S3344)),"Bosnia and Herzegovina",
ISNUMBER(SEARCH("rn""&gt;Trinidad and Tobago",S3344)),"Trinidad and Tobago",
ISNUMBER(SEARCH("rn""&gt;Serbia and Montenegro",S3344)),"Serbia and Montenegro",
ISNUMBER(SEARCH(_xlfn.UNICHAR(65533),S3344)),"Côte d'Ivoire",
TRUE,""
)</f>
        <v/>
      </c>
      <c r="W3344" s="40" t="str">
        <f t="shared" si="231"/>
        <v>Netherlands</v>
      </c>
    </row>
    <row r="3345" spans="19:23">
      <c r="S3345" s="40" t="str">
        <v>Côte d'Ivoire</v>
      </c>
      <c r="T3345" s="40" t="str">
        <f t="shared" si="229"/>
        <v>OK</v>
      </c>
      <c r="U3345" s="40" t="str">
        <f t="shared" si="230"/>
        <v>-</v>
      </c>
      <c r="V3345" s="40" t="str" cm="1">
        <f t="array" ref="V3345">_xlfn.IFS(
ISNUMBER(SEARCH("USA",S3345)),"United States",
ISNUMBER(SEARCH("Republic of Ireland",S3345)),"Ireland",
ISNUMBER(SEARCH("Republic of Korea",S3345)),"South Korea",
ISNUMBER(SEARCH("Cape Verde",S3345)),"Cabo Verde",
ISNUMBER(SEARCH("Czechia",S3345)),"Czech Republic",
ISNUMBER(SEARCH("Türkiye",S3345)),"Turkey",
ISNUMBER(SEARCH("Ivory Coast",S3345)),"Côte d'Ivoire",
ISNUMBER(SEARCH("Korea Republic",S3345)),"South Korea",
ISNUMBER(SEARCH("Germany FR",S3345)),"FR Germany",
ISNUMBER(SEARCH("West Germany",S3345)),"FR Germany",
ISNUMBER(SEARCH("Germany DR",S3345)),"DR Germany",
ISNUMBER(SEARCH("Korea DPR",S3345)),"North Korea",
ISNUMBER(SEARCH("China PR",S3345)),"China",
ISNUMBER(SEARCH("IR Iran",S3345)),"Iran",
ISNUMBER(SEARCH("Congo DR",S3345)),"Democratic Republic of the Congo",
ISNUMBER(SEARCH("DR Congo",S3345)),"Democratic Republic of the Congo",
ISNUMBER(SEARCH("German DR",S3345)),"DR Germany",
ISNUMBER(SEARCH("rn""&gt;United Arab Emirates",S3345)),"United Arab Emirates",
ISNUMBER(SEARCH("rn""&gt;Republic of Ireland",S3345)),"Ireland",
ISNUMBER(SEARCH("rn""&gt;Bosnia and Herzegovina",S3345)),"Bosnia and Herzegovina",
ISNUMBER(SEARCH("rn""&gt;Trinidad and Tobago",S3345)),"Trinidad and Tobago",
ISNUMBER(SEARCH("rn""&gt;Serbia and Montenegro",S3345)),"Serbia and Montenegro",
ISNUMBER(SEARCH(_xlfn.UNICHAR(65533),S3345)),"Côte d'Ivoire",
TRUE,""
)</f>
        <v/>
      </c>
      <c r="W3345" s="40" t="str">
        <f t="shared" si="231"/>
        <v>Côte d'Ivoire</v>
      </c>
    </row>
    <row r="3346" spans="19:23">
      <c r="S3346" s="40" t="str">
        <v>Sweden</v>
      </c>
      <c r="T3346" s="40" t="str">
        <f t="shared" si="229"/>
        <v>OK</v>
      </c>
      <c r="U3346" s="40" t="str">
        <f t="shared" si="230"/>
        <v>-</v>
      </c>
      <c r="V3346" s="40" t="str" cm="1">
        <f t="array" ref="V3346">_xlfn.IFS(
ISNUMBER(SEARCH("USA",S3346)),"United States",
ISNUMBER(SEARCH("Republic of Ireland",S3346)),"Ireland",
ISNUMBER(SEARCH("Republic of Korea",S3346)),"South Korea",
ISNUMBER(SEARCH("Cape Verde",S3346)),"Cabo Verde",
ISNUMBER(SEARCH("Czechia",S3346)),"Czech Republic",
ISNUMBER(SEARCH("Türkiye",S3346)),"Turkey",
ISNUMBER(SEARCH("Ivory Coast",S3346)),"Côte d'Ivoire",
ISNUMBER(SEARCH("Korea Republic",S3346)),"South Korea",
ISNUMBER(SEARCH("Germany FR",S3346)),"FR Germany",
ISNUMBER(SEARCH("West Germany",S3346)),"FR Germany",
ISNUMBER(SEARCH("Germany DR",S3346)),"DR Germany",
ISNUMBER(SEARCH("Korea DPR",S3346)),"North Korea",
ISNUMBER(SEARCH("China PR",S3346)),"China",
ISNUMBER(SEARCH("IR Iran",S3346)),"Iran",
ISNUMBER(SEARCH("Congo DR",S3346)),"Democratic Republic of the Congo",
ISNUMBER(SEARCH("DR Congo",S3346)),"Democratic Republic of the Congo",
ISNUMBER(SEARCH("German DR",S3346)),"DR Germany",
ISNUMBER(SEARCH("rn""&gt;United Arab Emirates",S3346)),"United Arab Emirates",
ISNUMBER(SEARCH("rn""&gt;Republic of Ireland",S3346)),"Ireland",
ISNUMBER(SEARCH("rn""&gt;Bosnia and Herzegovina",S3346)),"Bosnia and Herzegovina",
ISNUMBER(SEARCH("rn""&gt;Trinidad and Tobago",S3346)),"Trinidad and Tobago",
ISNUMBER(SEARCH("rn""&gt;Serbia and Montenegro",S3346)),"Serbia and Montenegro",
ISNUMBER(SEARCH(_xlfn.UNICHAR(65533),S3346)),"Côte d'Ivoire",
TRUE,""
)</f>
        <v/>
      </c>
      <c r="W3346" s="40" t="str">
        <f t="shared" si="231"/>
        <v>Sweden</v>
      </c>
    </row>
    <row r="3347" spans="19:23">
      <c r="S3347" s="40" t="str">
        <v>Spain</v>
      </c>
      <c r="T3347" s="40" t="str">
        <f t="shared" si="229"/>
        <v>OK</v>
      </c>
      <c r="U3347" s="40" t="str">
        <f t="shared" si="230"/>
        <v>-</v>
      </c>
      <c r="V3347" s="40" t="str" cm="1">
        <f t="array" ref="V3347">_xlfn.IFS(
ISNUMBER(SEARCH("USA",S3347)),"United States",
ISNUMBER(SEARCH("Republic of Ireland",S3347)),"Ireland",
ISNUMBER(SEARCH("Republic of Korea",S3347)),"South Korea",
ISNUMBER(SEARCH("Cape Verde",S3347)),"Cabo Verde",
ISNUMBER(SEARCH("Czechia",S3347)),"Czech Republic",
ISNUMBER(SEARCH("Türkiye",S3347)),"Turkey",
ISNUMBER(SEARCH("Ivory Coast",S3347)),"Côte d'Ivoire",
ISNUMBER(SEARCH("Korea Republic",S3347)),"South Korea",
ISNUMBER(SEARCH("Germany FR",S3347)),"FR Germany",
ISNUMBER(SEARCH("West Germany",S3347)),"FR Germany",
ISNUMBER(SEARCH("Germany DR",S3347)),"DR Germany",
ISNUMBER(SEARCH("Korea DPR",S3347)),"North Korea",
ISNUMBER(SEARCH("China PR",S3347)),"China",
ISNUMBER(SEARCH("IR Iran",S3347)),"Iran",
ISNUMBER(SEARCH("Congo DR",S3347)),"Democratic Republic of the Congo",
ISNUMBER(SEARCH("DR Congo",S3347)),"Democratic Republic of the Congo",
ISNUMBER(SEARCH("German DR",S3347)),"DR Germany",
ISNUMBER(SEARCH("rn""&gt;United Arab Emirates",S3347)),"United Arab Emirates",
ISNUMBER(SEARCH("rn""&gt;Republic of Ireland",S3347)),"Ireland",
ISNUMBER(SEARCH("rn""&gt;Bosnia and Herzegovina",S3347)),"Bosnia and Herzegovina",
ISNUMBER(SEARCH("rn""&gt;Trinidad and Tobago",S3347)),"Trinidad and Tobago",
ISNUMBER(SEARCH("rn""&gt;Serbia and Montenegro",S3347)),"Serbia and Montenegro",
ISNUMBER(SEARCH(_xlfn.UNICHAR(65533),S3347)),"Côte d'Ivoire",
TRUE,""
)</f>
        <v/>
      </c>
      <c r="W3347" s="40" t="str">
        <f t="shared" si="231"/>
        <v>Spain</v>
      </c>
    </row>
    <row r="3348" spans="19:23">
      <c r="S3348" s="40" t="str">
        <v>Belgium</v>
      </c>
      <c r="T3348" s="40" t="str">
        <f t="shared" si="229"/>
        <v>OK</v>
      </c>
      <c r="U3348" s="40" t="str">
        <f t="shared" si="230"/>
        <v>-</v>
      </c>
      <c r="V3348" s="40" t="str" cm="1">
        <f t="array" ref="V3348">_xlfn.IFS(
ISNUMBER(SEARCH("USA",S3348)),"United States",
ISNUMBER(SEARCH("Republic of Ireland",S3348)),"Ireland",
ISNUMBER(SEARCH("Republic of Korea",S3348)),"South Korea",
ISNUMBER(SEARCH("Cape Verde",S3348)),"Cabo Verde",
ISNUMBER(SEARCH("Czechia",S3348)),"Czech Republic",
ISNUMBER(SEARCH("Türkiye",S3348)),"Turkey",
ISNUMBER(SEARCH("Ivory Coast",S3348)),"Côte d'Ivoire",
ISNUMBER(SEARCH("Korea Republic",S3348)),"South Korea",
ISNUMBER(SEARCH("Germany FR",S3348)),"FR Germany",
ISNUMBER(SEARCH("West Germany",S3348)),"FR Germany",
ISNUMBER(SEARCH("Germany DR",S3348)),"DR Germany",
ISNUMBER(SEARCH("Korea DPR",S3348)),"North Korea",
ISNUMBER(SEARCH("China PR",S3348)),"China",
ISNUMBER(SEARCH("IR Iran",S3348)),"Iran",
ISNUMBER(SEARCH("Congo DR",S3348)),"Democratic Republic of the Congo",
ISNUMBER(SEARCH("DR Congo",S3348)),"Democratic Republic of the Congo",
ISNUMBER(SEARCH("German DR",S3348)),"DR Germany",
ISNUMBER(SEARCH("rn""&gt;United Arab Emirates",S3348)),"United Arab Emirates",
ISNUMBER(SEARCH("rn""&gt;Republic of Ireland",S3348)),"Ireland",
ISNUMBER(SEARCH("rn""&gt;Bosnia and Herzegovina",S3348)),"Bosnia and Herzegovina",
ISNUMBER(SEARCH("rn""&gt;Trinidad and Tobago",S3348)),"Trinidad and Tobago",
ISNUMBER(SEARCH("rn""&gt;Serbia and Montenegro",S3348)),"Serbia and Montenegro",
ISNUMBER(SEARCH(_xlfn.UNICHAR(65533),S3348)),"Côte d'Ivoire",
TRUE,""
)</f>
        <v/>
      </c>
      <c r="W3348" s="40" t="str">
        <f t="shared" si="231"/>
        <v>Belgium</v>
      </c>
    </row>
    <row r="3349" spans="19:23">
      <c r="S3349" s="40" t="str">
        <v>Saudi Arabia</v>
      </c>
      <c r="T3349" s="40" t="str">
        <f t="shared" si="229"/>
        <v>OK</v>
      </c>
      <c r="U3349" s="40" t="str">
        <f t="shared" si="230"/>
        <v>-</v>
      </c>
      <c r="V3349" s="40" t="str" cm="1">
        <f t="array" ref="V3349">_xlfn.IFS(
ISNUMBER(SEARCH("USA",S3349)),"United States",
ISNUMBER(SEARCH("Republic of Ireland",S3349)),"Ireland",
ISNUMBER(SEARCH("Republic of Korea",S3349)),"South Korea",
ISNUMBER(SEARCH("Cape Verde",S3349)),"Cabo Verde",
ISNUMBER(SEARCH("Czechia",S3349)),"Czech Republic",
ISNUMBER(SEARCH("Türkiye",S3349)),"Turkey",
ISNUMBER(SEARCH("Ivory Coast",S3349)),"Côte d'Ivoire",
ISNUMBER(SEARCH("Korea Republic",S3349)),"South Korea",
ISNUMBER(SEARCH("Germany FR",S3349)),"FR Germany",
ISNUMBER(SEARCH("West Germany",S3349)),"FR Germany",
ISNUMBER(SEARCH("Germany DR",S3349)),"DR Germany",
ISNUMBER(SEARCH("Korea DPR",S3349)),"North Korea",
ISNUMBER(SEARCH("China PR",S3349)),"China",
ISNUMBER(SEARCH("IR Iran",S3349)),"Iran",
ISNUMBER(SEARCH("Congo DR",S3349)),"Democratic Republic of the Congo",
ISNUMBER(SEARCH("DR Congo",S3349)),"Democratic Republic of the Congo",
ISNUMBER(SEARCH("German DR",S3349)),"DR Germany",
ISNUMBER(SEARCH("rn""&gt;United Arab Emirates",S3349)),"United Arab Emirates",
ISNUMBER(SEARCH("rn""&gt;Republic of Ireland",S3349)),"Ireland",
ISNUMBER(SEARCH("rn""&gt;Bosnia and Herzegovina",S3349)),"Bosnia and Herzegovina",
ISNUMBER(SEARCH("rn""&gt;Trinidad and Tobago",S3349)),"Trinidad and Tobago",
ISNUMBER(SEARCH("rn""&gt;Serbia and Montenegro",S3349)),"Serbia and Montenegro",
ISNUMBER(SEARCH(_xlfn.UNICHAR(65533),S3349)),"Côte d'Ivoire",
TRUE,""
)</f>
        <v/>
      </c>
      <c r="W3349" s="40" t="str">
        <f t="shared" si="231"/>
        <v>Saudi Arabia</v>
      </c>
    </row>
    <row r="3350" spans="19:23">
      <c r="S3350" s="40" t="str">
        <v>Iran</v>
      </c>
      <c r="T3350" s="40" t="str">
        <f t="shared" si="229"/>
        <v>OK</v>
      </c>
      <c r="U3350" s="40" t="str">
        <f t="shared" si="230"/>
        <v>-</v>
      </c>
      <c r="V3350" s="40" t="str" cm="1">
        <f t="array" ref="V3350">_xlfn.IFS(
ISNUMBER(SEARCH("USA",S3350)),"United States",
ISNUMBER(SEARCH("Republic of Ireland",S3350)),"Ireland",
ISNUMBER(SEARCH("Republic of Korea",S3350)),"South Korea",
ISNUMBER(SEARCH("Cape Verde",S3350)),"Cabo Verde",
ISNUMBER(SEARCH("Czechia",S3350)),"Czech Republic",
ISNUMBER(SEARCH("Türkiye",S3350)),"Turkey",
ISNUMBER(SEARCH("Ivory Coast",S3350)),"Côte d'Ivoire",
ISNUMBER(SEARCH("Korea Republic",S3350)),"South Korea",
ISNUMBER(SEARCH("Germany FR",S3350)),"FR Germany",
ISNUMBER(SEARCH("West Germany",S3350)),"FR Germany",
ISNUMBER(SEARCH("Germany DR",S3350)),"DR Germany",
ISNUMBER(SEARCH("Korea DPR",S3350)),"North Korea",
ISNUMBER(SEARCH("China PR",S3350)),"China",
ISNUMBER(SEARCH("IR Iran",S3350)),"Iran",
ISNUMBER(SEARCH("Congo DR",S3350)),"Democratic Republic of the Congo",
ISNUMBER(SEARCH("DR Congo",S3350)),"Democratic Republic of the Congo",
ISNUMBER(SEARCH("German DR",S3350)),"DR Germany",
ISNUMBER(SEARCH("rn""&gt;United Arab Emirates",S3350)),"United Arab Emirates",
ISNUMBER(SEARCH("rn""&gt;Republic of Ireland",S3350)),"Ireland",
ISNUMBER(SEARCH("rn""&gt;Bosnia and Herzegovina",S3350)),"Bosnia and Herzegovina",
ISNUMBER(SEARCH("rn""&gt;Trinidad and Tobago",S3350)),"Trinidad and Tobago",
ISNUMBER(SEARCH("rn""&gt;Serbia and Montenegro",S3350)),"Serbia and Montenegro",
ISNUMBER(SEARCH(_xlfn.UNICHAR(65533),S3350)),"Côte d'Ivoire",
TRUE,""
)</f>
        <v/>
      </c>
      <c r="W3350" s="40" t="str">
        <f t="shared" si="231"/>
        <v>Iran</v>
      </c>
    </row>
    <row r="3351" spans="19:23">
      <c r="S3351" s="40" t="str">
        <v>France</v>
      </c>
      <c r="T3351" s="40" t="str">
        <f t="shared" si="229"/>
        <v>OK</v>
      </c>
      <c r="U3351" s="40" t="str">
        <f t="shared" si="230"/>
        <v>-</v>
      </c>
      <c r="V3351" s="40" t="str" cm="1">
        <f t="array" ref="V3351">_xlfn.IFS(
ISNUMBER(SEARCH("USA",S3351)),"United States",
ISNUMBER(SEARCH("Republic of Ireland",S3351)),"Ireland",
ISNUMBER(SEARCH("Republic of Korea",S3351)),"South Korea",
ISNUMBER(SEARCH("Cape Verde",S3351)),"Cabo Verde",
ISNUMBER(SEARCH("Czechia",S3351)),"Czech Republic",
ISNUMBER(SEARCH("Türkiye",S3351)),"Turkey",
ISNUMBER(SEARCH("Ivory Coast",S3351)),"Côte d'Ivoire",
ISNUMBER(SEARCH("Korea Republic",S3351)),"South Korea",
ISNUMBER(SEARCH("Germany FR",S3351)),"FR Germany",
ISNUMBER(SEARCH("West Germany",S3351)),"FR Germany",
ISNUMBER(SEARCH("Germany DR",S3351)),"DR Germany",
ISNUMBER(SEARCH("Korea DPR",S3351)),"North Korea",
ISNUMBER(SEARCH("China PR",S3351)),"China",
ISNUMBER(SEARCH("IR Iran",S3351)),"Iran",
ISNUMBER(SEARCH("Congo DR",S3351)),"Democratic Republic of the Congo",
ISNUMBER(SEARCH("DR Congo",S3351)),"Democratic Republic of the Congo",
ISNUMBER(SEARCH("German DR",S3351)),"DR Germany",
ISNUMBER(SEARCH("rn""&gt;United Arab Emirates",S3351)),"United Arab Emirates",
ISNUMBER(SEARCH("rn""&gt;Republic of Ireland",S3351)),"Ireland",
ISNUMBER(SEARCH("rn""&gt;Bosnia and Herzegovina",S3351)),"Bosnia and Herzegovina",
ISNUMBER(SEARCH("rn""&gt;Trinidad and Tobago",S3351)),"Trinidad and Tobago",
ISNUMBER(SEARCH("rn""&gt;Serbia and Montenegro",S3351)),"Serbia and Montenegro",
ISNUMBER(SEARCH(_xlfn.UNICHAR(65533),S3351)),"Côte d'Ivoire",
TRUE,""
)</f>
        <v/>
      </c>
      <c r="W3351" s="40" t="str">
        <f t="shared" si="231"/>
        <v>France</v>
      </c>
    </row>
    <row r="3352" spans="19:23">
      <c r="S3352" s="40" t="str">
        <v>Iraq</v>
      </c>
      <c r="T3352" s="40" t="str">
        <f t="shared" si="229"/>
        <v>OK</v>
      </c>
      <c r="U3352" s="40" t="str">
        <f t="shared" si="230"/>
        <v>-</v>
      </c>
      <c r="V3352" s="40" t="str" cm="1">
        <f t="array" ref="V3352">_xlfn.IFS(
ISNUMBER(SEARCH("USA",S3352)),"United States",
ISNUMBER(SEARCH("Republic of Ireland",S3352)),"Ireland",
ISNUMBER(SEARCH("Republic of Korea",S3352)),"South Korea",
ISNUMBER(SEARCH("Cape Verde",S3352)),"Cabo Verde",
ISNUMBER(SEARCH("Czechia",S3352)),"Czech Republic",
ISNUMBER(SEARCH("Türkiye",S3352)),"Turkey",
ISNUMBER(SEARCH("Ivory Coast",S3352)),"Côte d'Ivoire",
ISNUMBER(SEARCH("Korea Republic",S3352)),"South Korea",
ISNUMBER(SEARCH("Germany FR",S3352)),"FR Germany",
ISNUMBER(SEARCH("West Germany",S3352)),"FR Germany",
ISNUMBER(SEARCH("Germany DR",S3352)),"DR Germany",
ISNUMBER(SEARCH("Korea DPR",S3352)),"North Korea",
ISNUMBER(SEARCH("China PR",S3352)),"China",
ISNUMBER(SEARCH("IR Iran",S3352)),"Iran",
ISNUMBER(SEARCH("Congo DR",S3352)),"Democratic Republic of the Congo",
ISNUMBER(SEARCH("DR Congo",S3352)),"Democratic Republic of the Congo",
ISNUMBER(SEARCH("German DR",S3352)),"DR Germany",
ISNUMBER(SEARCH("rn""&gt;United Arab Emirates",S3352)),"United Arab Emirates",
ISNUMBER(SEARCH("rn""&gt;Republic of Ireland",S3352)),"Ireland",
ISNUMBER(SEARCH("rn""&gt;Bosnia and Herzegovina",S3352)),"Bosnia and Herzegovina",
ISNUMBER(SEARCH("rn""&gt;Trinidad and Tobago",S3352)),"Trinidad and Tobago",
ISNUMBER(SEARCH("rn""&gt;Serbia and Montenegro",S3352)),"Serbia and Montenegro",
ISNUMBER(SEARCH(_xlfn.UNICHAR(65533),S3352)),"Côte d'Ivoire",
TRUE,""
)</f>
        <v/>
      </c>
      <c r="W3352" s="40" t="str">
        <f t="shared" si="231"/>
        <v>Iraq</v>
      </c>
    </row>
    <row r="3353" spans="19:23">
      <c r="S3353" s="40" t="str">
        <v>Argentina</v>
      </c>
      <c r="T3353" s="40" t="str">
        <f t="shared" si="229"/>
        <v>OK</v>
      </c>
      <c r="U3353" s="40" t="str">
        <f t="shared" si="230"/>
        <v>-</v>
      </c>
      <c r="V3353" s="40" t="str" cm="1">
        <f t="array" ref="V3353">_xlfn.IFS(
ISNUMBER(SEARCH("USA",S3353)),"United States",
ISNUMBER(SEARCH("Republic of Ireland",S3353)),"Ireland",
ISNUMBER(SEARCH("Republic of Korea",S3353)),"South Korea",
ISNUMBER(SEARCH("Cape Verde",S3353)),"Cabo Verde",
ISNUMBER(SEARCH("Czechia",S3353)),"Czech Republic",
ISNUMBER(SEARCH("Türkiye",S3353)),"Turkey",
ISNUMBER(SEARCH("Ivory Coast",S3353)),"Côte d'Ivoire",
ISNUMBER(SEARCH("Korea Republic",S3353)),"South Korea",
ISNUMBER(SEARCH("Germany FR",S3353)),"FR Germany",
ISNUMBER(SEARCH("West Germany",S3353)),"FR Germany",
ISNUMBER(SEARCH("Germany DR",S3353)),"DR Germany",
ISNUMBER(SEARCH("Korea DPR",S3353)),"North Korea",
ISNUMBER(SEARCH("China PR",S3353)),"China",
ISNUMBER(SEARCH("IR Iran",S3353)),"Iran",
ISNUMBER(SEARCH("Congo DR",S3353)),"Democratic Republic of the Congo",
ISNUMBER(SEARCH("DR Congo",S3353)),"Democratic Republic of the Congo",
ISNUMBER(SEARCH("German DR",S3353)),"DR Germany",
ISNUMBER(SEARCH("rn""&gt;United Arab Emirates",S3353)),"United Arab Emirates",
ISNUMBER(SEARCH("rn""&gt;Republic of Ireland",S3353)),"Ireland",
ISNUMBER(SEARCH("rn""&gt;Bosnia and Herzegovina",S3353)),"Bosnia and Herzegovina",
ISNUMBER(SEARCH("rn""&gt;Trinidad and Tobago",S3353)),"Trinidad and Tobago",
ISNUMBER(SEARCH("rn""&gt;Serbia and Montenegro",S3353)),"Serbia and Montenegro",
ISNUMBER(SEARCH(_xlfn.UNICHAR(65533),S3353)),"Côte d'Ivoire",
TRUE,""
)</f>
        <v/>
      </c>
      <c r="W3353" s="40" t="str">
        <f t="shared" si="231"/>
        <v>Argentina</v>
      </c>
    </row>
    <row r="3354" spans="19:23">
      <c r="S3354" s="40" t="str">
        <v>Austria</v>
      </c>
      <c r="T3354" s="40" t="str">
        <f t="shared" si="229"/>
        <v>OK</v>
      </c>
      <c r="U3354" s="40" t="str">
        <f t="shared" si="230"/>
        <v>-</v>
      </c>
      <c r="V3354" s="40" t="str" cm="1">
        <f t="array" ref="V3354">_xlfn.IFS(
ISNUMBER(SEARCH("USA",S3354)),"United States",
ISNUMBER(SEARCH("Republic of Ireland",S3354)),"Ireland",
ISNUMBER(SEARCH("Republic of Korea",S3354)),"South Korea",
ISNUMBER(SEARCH("Cape Verde",S3354)),"Cabo Verde",
ISNUMBER(SEARCH("Czechia",S3354)),"Czech Republic",
ISNUMBER(SEARCH("Türkiye",S3354)),"Turkey",
ISNUMBER(SEARCH("Ivory Coast",S3354)),"Côte d'Ivoire",
ISNUMBER(SEARCH("Korea Republic",S3354)),"South Korea",
ISNUMBER(SEARCH("Germany FR",S3354)),"FR Germany",
ISNUMBER(SEARCH("West Germany",S3354)),"FR Germany",
ISNUMBER(SEARCH("Germany DR",S3354)),"DR Germany",
ISNUMBER(SEARCH("Korea DPR",S3354)),"North Korea",
ISNUMBER(SEARCH("China PR",S3354)),"China",
ISNUMBER(SEARCH("IR Iran",S3354)),"Iran",
ISNUMBER(SEARCH("Congo DR",S3354)),"Democratic Republic of the Congo",
ISNUMBER(SEARCH("DR Congo",S3354)),"Democratic Republic of the Congo",
ISNUMBER(SEARCH("German DR",S3354)),"DR Germany",
ISNUMBER(SEARCH("rn""&gt;United Arab Emirates",S3354)),"United Arab Emirates",
ISNUMBER(SEARCH("rn""&gt;Republic of Ireland",S3354)),"Ireland",
ISNUMBER(SEARCH("rn""&gt;Bosnia and Herzegovina",S3354)),"Bosnia and Herzegovina",
ISNUMBER(SEARCH("rn""&gt;Trinidad and Tobago",S3354)),"Trinidad and Tobago",
ISNUMBER(SEARCH("rn""&gt;Serbia and Montenegro",S3354)),"Serbia and Montenegro",
ISNUMBER(SEARCH(_xlfn.UNICHAR(65533),S3354)),"Côte d'Ivoire",
TRUE,""
)</f>
        <v/>
      </c>
      <c r="W3354" s="40" t="str">
        <f t="shared" si="231"/>
        <v>Austria</v>
      </c>
    </row>
    <row r="3355" spans="19:23">
      <c r="S3355" s="40" t="str">
        <v>Portugal</v>
      </c>
      <c r="T3355" s="40" t="str">
        <f t="shared" si="229"/>
        <v>OK</v>
      </c>
      <c r="U3355" s="40" t="str">
        <f t="shared" si="230"/>
        <v>-</v>
      </c>
      <c r="V3355" s="40" t="str" cm="1">
        <f t="array" ref="V3355">_xlfn.IFS(
ISNUMBER(SEARCH("USA",S3355)),"United States",
ISNUMBER(SEARCH("Republic of Ireland",S3355)),"Ireland",
ISNUMBER(SEARCH("Republic of Korea",S3355)),"South Korea",
ISNUMBER(SEARCH("Cape Verde",S3355)),"Cabo Verde",
ISNUMBER(SEARCH("Czechia",S3355)),"Czech Republic",
ISNUMBER(SEARCH("Türkiye",S3355)),"Turkey",
ISNUMBER(SEARCH("Ivory Coast",S3355)),"Côte d'Ivoire",
ISNUMBER(SEARCH("Korea Republic",S3355)),"South Korea",
ISNUMBER(SEARCH("Germany FR",S3355)),"FR Germany",
ISNUMBER(SEARCH("West Germany",S3355)),"FR Germany",
ISNUMBER(SEARCH("Germany DR",S3355)),"DR Germany",
ISNUMBER(SEARCH("Korea DPR",S3355)),"North Korea",
ISNUMBER(SEARCH("China PR",S3355)),"China",
ISNUMBER(SEARCH("IR Iran",S3355)),"Iran",
ISNUMBER(SEARCH("Congo DR",S3355)),"Democratic Republic of the Congo",
ISNUMBER(SEARCH("DR Congo",S3355)),"Democratic Republic of the Congo",
ISNUMBER(SEARCH("German DR",S3355)),"DR Germany",
ISNUMBER(SEARCH("rn""&gt;United Arab Emirates",S3355)),"United Arab Emirates",
ISNUMBER(SEARCH("rn""&gt;Republic of Ireland",S3355)),"Ireland",
ISNUMBER(SEARCH("rn""&gt;Bosnia and Herzegovina",S3355)),"Bosnia and Herzegovina",
ISNUMBER(SEARCH("rn""&gt;Trinidad and Tobago",S3355)),"Trinidad and Tobago",
ISNUMBER(SEARCH("rn""&gt;Serbia and Montenegro",S3355)),"Serbia and Montenegro",
ISNUMBER(SEARCH(_xlfn.UNICHAR(65533),S3355)),"Côte d'Ivoire",
TRUE,""
)</f>
        <v/>
      </c>
      <c r="W3355" s="40" t="str">
        <f t="shared" si="231"/>
        <v>Portugal</v>
      </c>
    </row>
    <row r="3356" spans="19:23">
      <c r="S3356" s="40" t="str">
        <v>England</v>
      </c>
      <c r="T3356" s="40" t="str">
        <f t="shared" si="229"/>
        <v>ERREUR</v>
      </c>
      <c r="U3356" s="40" t="str">
        <f t="shared" si="230"/>
        <v>AUCUNE</v>
      </c>
      <c r="V3356" s="40" t="str" cm="1">
        <f t="array" ref="V3356">_xlfn.IFS(
ISNUMBER(SEARCH("USA",S3356)),"United States",
ISNUMBER(SEARCH("Republic of Ireland",S3356)),"Ireland",
ISNUMBER(SEARCH("Republic of Korea",S3356)),"South Korea",
ISNUMBER(SEARCH("Cape Verde",S3356)),"Cabo Verde",
ISNUMBER(SEARCH("Czechia",S3356)),"Czech Republic",
ISNUMBER(SEARCH("Türkiye",S3356)),"Turkey",
ISNUMBER(SEARCH("Ivory Coast",S3356)),"Côte d'Ivoire",
ISNUMBER(SEARCH("Korea Republic",S3356)),"South Korea",
ISNUMBER(SEARCH("Germany FR",S3356)),"FR Germany",
ISNUMBER(SEARCH("West Germany",S3356)),"FR Germany",
ISNUMBER(SEARCH("Germany DR",S3356)),"DR Germany",
ISNUMBER(SEARCH("Korea DPR",S3356)),"North Korea",
ISNUMBER(SEARCH("China PR",S3356)),"China",
ISNUMBER(SEARCH("IR Iran",S3356)),"Iran",
ISNUMBER(SEARCH("Congo DR",S3356)),"Democratic Republic of the Congo",
ISNUMBER(SEARCH("DR Congo",S3356)),"Democratic Republic of the Congo",
ISNUMBER(SEARCH("German DR",S3356)),"DR Germany",
ISNUMBER(SEARCH("rn""&gt;United Arab Emirates",S3356)),"United Arab Emirates",
ISNUMBER(SEARCH("rn""&gt;Republic of Ireland",S3356)),"Ireland",
ISNUMBER(SEARCH("rn""&gt;Bosnia and Herzegovina",S3356)),"Bosnia and Herzegovina",
ISNUMBER(SEARCH("rn""&gt;Trinidad and Tobago",S3356)),"Trinidad and Tobago",
ISNUMBER(SEARCH("rn""&gt;Serbia and Montenegro",S3356)),"Serbia and Montenegro",
ISNUMBER(SEARCH(_xlfn.UNICHAR(65533),S3356)),"Côte d'Ivoire",
TRUE,""
)</f>
        <v/>
      </c>
      <c r="W3356" s="40" t="str">
        <f t="shared" si="231"/>
        <v>England</v>
      </c>
    </row>
    <row r="3357" spans="19:23">
      <c r="S3357" s="40" t="str">
        <v>Ghana</v>
      </c>
      <c r="T3357" s="40" t="str">
        <f t="shared" si="229"/>
        <v>OK</v>
      </c>
      <c r="U3357" s="40" t="str">
        <f t="shared" si="230"/>
        <v>-</v>
      </c>
      <c r="V3357" s="40" t="str" cm="1">
        <f t="array" ref="V3357">_xlfn.IFS(
ISNUMBER(SEARCH("USA",S3357)),"United States",
ISNUMBER(SEARCH("Republic of Ireland",S3357)),"Ireland",
ISNUMBER(SEARCH("Republic of Korea",S3357)),"South Korea",
ISNUMBER(SEARCH("Cape Verde",S3357)),"Cabo Verde",
ISNUMBER(SEARCH("Czechia",S3357)),"Czech Republic",
ISNUMBER(SEARCH("Türkiye",S3357)),"Turkey",
ISNUMBER(SEARCH("Ivory Coast",S3357)),"Côte d'Ivoire",
ISNUMBER(SEARCH("Korea Republic",S3357)),"South Korea",
ISNUMBER(SEARCH("Germany FR",S3357)),"FR Germany",
ISNUMBER(SEARCH("West Germany",S3357)),"FR Germany",
ISNUMBER(SEARCH("Germany DR",S3357)),"DR Germany",
ISNUMBER(SEARCH("Korea DPR",S3357)),"North Korea",
ISNUMBER(SEARCH("China PR",S3357)),"China",
ISNUMBER(SEARCH("IR Iran",S3357)),"Iran",
ISNUMBER(SEARCH("Congo DR",S3357)),"Democratic Republic of the Congo",
ISNUMBER(SEARCH("DR Congo",S3357)),"Democratic Republic of the Congo",
ISNUMBER(SEARCH("German DR",S3357)),"DR Germany",
ISNUMBER(SEARCH("rn""&gt;United Arab Emirates",S3357)),"United Arab Emirates",
ISNUMBER(SEARCH("rn""&gt;Republic of Ireland",S3357)),"Ireland",
ISNUMBER(SEARCH("rn""&gt;Bosnia and Herzegovina",S3357)),"Bosnia and Herzegovina",
ISNUMBER(SEARCH("rn""&gt;Trinidad and Tobago",S3357)),"Trinidad and Tobago",
ISNUMBER(SEARCH("rn""&gt;Serbia and Montenegro",S3357)),"Serbia and Montenegro",
ISNUMBER(SEARCH(_xlfn.UNICHAR(65533),S3357)),"Côte d'Ivoire",
TRUE,""
)</f>
        <v/>
      </c>
      <c r="W3357" s="40" t="str">
        <f t="shared" si="231"/>
        <v>Ghana</v>
      </c>
    </row>
    <row r="3358" spans="19:23">
      <c r="S3358" s="40" t="str">
        <v>Uzbekistan</v>
      </c>
      <c r="T3358" s="40" t="str">
        <f t="shared" si="229"/>
        <v>OK</v>
      </c>
      <c r="U3358" s="40" t="str">
        <f t="shared" si="230"/>
        <v>-</v>
      </c>
      <c r="V3358" s="40" t="str" cm="1">
        <f t="array" ref="V3358">_xlfn.IFS(
ISNUMBER(SEARCH("USA",S3358)),"United States",
ISNUMBER(SEARCH("Republic of Ireland",S3358)),"Ireland",
ISNUMBER(SEARCH("Republic of Korea",S3358)),"South Korea",
ISNUMBER(SEARCH("Cape Verde",S3358)),"Cabo Verde",
ISNUMBER(SEARCH("Czechia",S3358)),"Czech Republic",
ISNUMBER(SEARCH("Türkiye",S3358)),"Turkey",
ISNUMBER(SEARCH("Ivory Coast",S3358)),"Côte d'Ivoire",
ISNUMBER(SEARCH("Korea Republic",S3358)),"South Korea",
ISNUMBER(SEARCH("Germany FR",S3358)),"FR Germany",
ISNUMBER(SEARCH("West Germany",S3358)),"FR Germany",
ISNUMBER(SEARCH("Germany DR",S3358)),"DR Germany",
ISNUMBER(SEARCH("Korea DPR",S3358)),"North Korea",
ISNUMBER(SEARCH("China PR",S3358)),"China",
ISNUMBER(SEARCH("IR Iran",S3358)),"Iran",
ISNUMBER(SEARCH("Congo DR",S3358)),"Democratic Republic of the Congo",
ISNUMBER(SEARCH("DR Congo",S3358)),"Democratic Republic of the Congo",
ISNUMBER(SEARCH("German DR",S3358)),"DR Germany",
ISNUMBER(SEARCH("rn""&gt;United Arab Emirates",S3358)),"United Arab Emirates",
ISNUMBER(SEARCH("rn""&gt;Republic of Ireland",S3358)),"Ireland",
ISNUMBER(SEARCH("rn""&gt;Bosnia and Herzegovina",S3358)),"Bosnia and Herzegovina",
ISNUMBER(SEARCH("rn""&gt;Trinidad and Tobago",S3358)),"Trinidad and Tobago",
ISNUMBER(SEARCH("rn""&gt;Serbia and Montenegro",S3358)),"Serbia and Montenegro",
ISNUMBER(SEARCH(_xlfn.UNICHAR(65533),S3358)),"Côte d'Ivoire",
TRUE,""
)</f>
        <v/>
      </c>
      <c r="W3358" s="40" t="str">
        <f t="shared" si="231"/>
        <v>Uzbekistan</v>
      </c>
    </row>
    <row r="3359" spans="19:23">
      <c r="S3359" s="40" t="str">
        <v>Czechia</v>
      </c>
      <c r="T3359" s="40" t="str">
        <f t="shared" si="229"/>
        <v>ERREUR</v>
      </c>
      <c r="U3359" s="40" t="str">
        <f t="shared" si="230"/>
        <v>RENOMMER</v>
      </c>
      <c r="V3359" s="40" t="str" cm="1">
        <f t="array" ref="V3359">_xlfn.IFS(
ISNUMBER(SEARCH("USA",S3359)),"United States",
ISNUMBER(SEARCH("Republic of Ireland",S3359)),"Ireland",
ISNUMBER(SEARCH("Republic of Korea",S3359)),"South Korea",
ISNUMBER(SEARCH("Cape Verde",S3359)),"Cabo Verde",
ISNUMBER(SEARCH("Czechia",S3359)),"Czech Republic",
ISNUMBER(SEARCH("Türkiye",S3359)),"Turkey",
ISNUMBER(SEARCH("Ivory Coast",S3359)),"Côte d'Ivoire",
ISNUMBER(SEARCH("Korea Republic",S3359)),"South Korea",
ISNUMBER(SEARCH("Germany FR",S3359)),"FR Germany",
ISNUMBER(SEARCH("West Germany",S3359)),"FR Germany",
ISNUMBER(SEARCH("Germany DR",S3359)),"DR Germany",
ISNUMBER(SEARCH("Korea DPR",S3359)),"North Korea",
ISNUMBER(SEARCH("China PR",S3359)),"China",
ISNUMBER(SEARCH("IR Iran",S3359)),"Iran",
ISNUMBER(SEARCH("Congo DR",S3359)),"Democratic Republic of the Congo",
ISNUMBER(SEARCH("DR Congo",S3359)),"Democratic Republic of the Congo",
ISNUMBER(SEARCH("German DR",S3359)),"DR Germany",
ISNUMBER(SEARCH("rn""&gt;United Arab Emirates",S3359)),"United Arab Emirates",
ISNUMBER(SEARCH("rn""&gt;Republic of Ireland",S3359)),"Ireland",
ISNUMBER(SEARCH("rn""&gt;Bosnia and Herzegovina",S3359)),"Bosnia and Herzegovina",
ISNUMBER(SEARCH("rn""&gt;Trinidad and Tobago",S3359)),"Trinidad and Tobago",
ISNUMBER(SEARCH("rn""&gt;Serbia and Montenegro",S3359)),"Serbia and Montenegro",
ISNUMBER(SEARCH(_xlfn.UNICHAR(65533),S3359)),"Côte d'Ivoire",
TRUE,""
)</f>
        <v>Czech Republic</v>
      </c>
      <c r="W3359" s="40" t="str">
        <f t="shared" si="231"/>
        <v>Czech Republic</v>
      </c>
    </row>
    <row r="3360" spans="19:23">
      <c r="S3360" s="40" t="str">
        <v>Switzerland</v>
      </c>
      <c r="T3360" s="40" t="str">
        <f t="shared" si="229"/>
        <v>OK</v>
      </c>
      <c r="U3360" s="40" t="str">
        <f t="shared" si="230"/>
        <v>-</v>
      </c>
      <c r="V3360" s="40" t="str" cm="1">
        <f t="array" ref="V3360">_xlfn.IFS(
ISNUMBER(SEARCH("USA",S3360)),"United States",
ISNUMBER(SEARCH("Republic of Ireland",S3360)),"Ireland",
ISNUMBER(SEARCH("Republic of Korea",S3360)),"South Korea",
ISNUMBER(SEARCH("Cape Verde",S3360)),"Cabo Verde",
ISNUMBER(SEARCH("Czechia",S3360)),"Czech Republic",
ISNUMBER(SEARCH("Türkiye",S3360)),"Turkey",
ISNUMBER(SEARCH("Ivory Coast",S3360)),"Côte d'Ivoire",
ISNUMBER(SEARCH("Korea Republic",S3360)),"South Korea",
ISNUMBER(SEARCH("Germany FR",S3360)),"FR Germany",
ISNUMBER(SEARCH("West Germany",S3360)),"FR Germany",
ISNUMBER(SEARCH("Germany DR",S3360)),"DR Germany",
ISNUMBER(SEARCH("Korea DPR",S3360)),"North Korea",
ISNUMBER(SEARCH("China PR",S3360)),"China",
ISNUMBER(SEARCH("IR Iran",S3360)),"Iran",
ISNUMBER(SEARCH("Congo DR",S3360)),"Democratic Republic of the Congo",
ISNUMBER(SEARCH("DR Congo",S3360)),"Democratic Republic of the Congo",
ISNUMBER(SEARCH("German DR",S3360)),"DR Germany",
ISNUMBER(SEARCH("rn""&gt;United Arab Emirates",S3360)),"United Arab Emirates",
ISNUMBER(SEARCH("rn""&gt;Republic of Ireland",S3360)),"Ireland",
ISNUMBER(SEARCH("rn""&gt;Bosnia and Herzegovina",S3360)),"Bosnia and Herzegovina",
ISNUMBER(SEARCH("rn""&gt;Trinidad and Tobago",S3360)),"Trinidad and Tobago",
ISNUMBER(SEARCH("rn""&gt;Serbia and Montenegro",S3360)),"Serbia and Montenegro",
ISNUMBER(SEARCH(_xlfn.UNICHAR(65533),S3360)),"Côte d'Ivoire",
TRUE,""
)</f>
        <v/>
      </c>
      <c r="W3360" s="40" t="str">
        <f t="shared" si="231"/>
        <v>Switzerland</v>
      </c>
    </row>
    <row r="3361" spans="19:23">
      <c r="S3361" s="40" t="str">
        <v>Canada</v>
      </c>
      <c r="T3361" s="40" t="str">
        <f t="shared" si="229"/>
        <v>OK</v>
      </c>
      <c r="U3361" s="40" t="str">
        <f t="shared" si="230"/>
        <v>-</v>
      </c>
      <c r="V3361" s="40" t="str" cm="1">
        <f t="array" ref="V3361">_xlfn.IFS(
ISNUMBER(SEARCH("USA",S3361)),"United States",
ISNUMBER(SEARCH("Republic of Ireland",S3361)),"Ireland",
ISNUMBER(SEARCH("Republic of Korea",S3361)),"South Korea",
ISNUMBER(SEARCH("Cape Verde",S3361)),"Cabo Verde",
ISNUMBER(SEARCH("Czechia",S3361)),"Czech Republic",
ISNUMBER(SEARCH("Türkiye",S3361)),"Turkey",
ISNUMBER(SEARCH("Ivory Coast",S3361)),"Côte d'Ivoire",
ISNUMBER(SEARCH("Korea Republic",S3361)),"South Korea",
ISNUMBER(SEARCH("Germany FR",S3361)),"FR Germany",
ISNUMBER(SEARCH("West Germany",S3361)),"FR Germany",
ISNUMBER(SEARCH("Germany DR",S3361)),"DR Germany",
ISNUMBER(SEARCH("Korea DPR",S3361)),"North Korea",
ISNUMBER(SEARCH("China PR",S3361)),"China",
ISNUMBER(SEARCH("IR Iran",S3361)),"Iran",
ISNUMBER(SEARCH("Congo DR",S3361)),"Democratic Republic of the Congo",
ISNUMBER(SEARCH("DR Congo",S3361)),"Democratic Republic of the Congo",
ISNUMBER(SEARCH("German DR",S3361)),"DR Germany",
ISNUMBER(SEARCH("rn""&gt;United Arab Emirates",S3361)),"United Arab Emirates",
ISNUMBER(SEARCH("rn""&gt;Republic of Ireland",S3361)),"Ireland",
ISNUMBER(SEARCH("rn""&gt;Bosnia and Herzegovina",S3361)),"Bosnia and Herzegovina",
ISNUMBER(SEARCH("rn""&gt;Trinidad and Tobago",S3361)),"Trinidad and Tobago",
ISNUMBER(SEARCH("rn""&gt;Serbia and Montenegro",S3361)),"Serbia and Montenegro",
ISNUMBER(SEARCH(_xlfn.UNICHAR(65533),S3361)),"Côte d'Ivoire",
TRUE,""
)</f>
        <v/>
      </c>
      <c r="W3361" s="40" t="str">
        <f t="shared" si="231"/>
        <v>Canada</v>
      </c>
    </row>
    <row r="3362" spans="19:23">
      <c r="S3362" s="40" t="str">
        <v>Mexico</v>
      </c>
      <c r="T3362" s="40" t="str">
        <f t="shared" si="229"/>
        <v>OK</v>
      </c>
      <c r="U3362" s="40" t="str">
        <f t="shared" si="230"/>
        <v>-</v>
      </c>
      <c r="V3362" s="40" t="str" cm="1">
        <f t="array" ref="V3362">_xlfn.IFS(
ISNUMBER(SEARCH("USA",S3362)),"United States",
ISNUMBER(SEARCH("Republic of Ireland",S3362)),"Ireland",
ISNUMBER(SEARCH("Republic of Korea",S3362)),"South Korea",
ISNUMBER(SEARCH("Cape Verde",S3362)),"Cabo Verde",
ISNUMBER(SEARCH("Czechia",S3362)),"Czech Republic",
ISNUMBER(SEARCH("Türkiye",S3362)),"Turkey",
ISNUMBER(SEARCH("Ivory Coast",S3362)),"Côte d'Ivoire",
ISNUMBER(SEARCH("Korea Republic",S3362)),"South Korea",
ISNUMBER(SEARCH("Germany FR",S3362)),"FR Germany",
ISNUMBER(SEARCH("West Germany",S3362)),"FR Germany",
ISNUMBER(SEARCH("Germany DR",S3362)),"DR Germany",
ISNUMBER(SEARCH("Korea DPR",S3362)),"North Korea",
ISNUMBER(SEARCH("China PR",S3362)),"China",
ISNUMBER(SEARCH("IR Iran",S3362)),"Iran",
ISNUMBER(SEARCH("Congo DR",S3362)),"Democratic Republic of the Congo",
ISNUMBER(SEARCH("DR Congo",S3362)),"Democratic Republic of the Congo",
ISNUMBER(SEARCH("German DR",S3362)),"DR Germany",
ISNUMBER(SEARCH("rn""&gt;United Arab Emirates",S3362)),"United Arab Emirates",
ISNUMBER(SEARCH("rn""&gt;Republic of Ireland",S3362)),"Ireland",
ISNUMBER(SEARCH("rn""&gt;Bosnia and Herzegovina",S3362)),"Bosnia and Herzegovina",
ISNUMBER(SEARCH("rn""&gt;Trinidad and Tobago",S3362)),"Trinidad and Tobago",
ISNUMBER(SEARCH("rn""&gt;Serbia and Montenegro",S3362)),"Serbia and Montenegro",
ISNUMBER(SEARCH(_xlfn.UNICHAR(65533),S3362)),"Côte d'Ivoire",
TRUE,""
)</f>
        <v/>
      </c>
      <c r="W3362" s="40" t="str">
        <f t="shared" si="231"/>
        <v>Mexico</v>
      </c>
    </row>
    <row r="3363" spans="19:23">
      <c r="S3363" s="40" t="str">
        <v>USA</v>
      </c>
      <c r="T3363" s="40" t="str">
        <f t="shared" si="229"/>
        <v>ERREUR</v>
      </c>
      <c r="U3363" s="40" t="str">
        <f t="shared" si="230"/>
        <v>RENOMMER</v>
      </c>
      <c r="V3363" s="40" t="str" cm="1">
        <f t="array" ref="V3363">_xlfn.IFS(
ISNUMBER(SEARCH("USA",S3363)),"United States",
ISNUMBER(SEARCH("Republic of Ireland",S3363)),"Ireland",
ISNUMBER(SEARCH("Republic of Korea",S3363)),"South Korea",
ISNUMBER(SEARCH("Cape Verde",S3363)),"Cabo Verde",
ISNUMBER(SEARCH("Czechia",S3363)),"Czech Republic",
ISNUMBER(SEARCH("Türkiye",S3363)),"Turkey",
ISNUMBER(SEARCH("Ivory Coast",S3363)),"Côte d'Ivoire",
ISNUMBER(SEARCH("Korea Republic",S3363)),"South Korea",
ISNUMBER(SEARCH("Germany FR",S3363)),"FR Germany",
ISNUMBER(SEARCH("West Germany",S3363)),"FR Germany",
ISNUMBER(SEARCH("Germany DR",S3363)),"DR Germany",
ISNUMBER(SEARCH("Korea DPR",S3363)),"North Korea",
ISNUMBER(SEARCH("China PR",S3363)),"China",
ISNUMBER(SEARCH("IR Iran",S3363)),"Iran",
ISNUMBER(SEARCH("Congo DR",S3363)),"Democratic Republic of the Congo",
ISNUMBER(SEARCH("DR Congo",S3363)),"Democratic Republic of the Congo",
ISNUMBER(SEARCH("German DR",S3363)),"DR Germany",
ISNUMBER(SEARCH("rn""&gt;United Arab Emirates",S3363)),"United Arab Emirates",
ISNUMBER(SEARCH("rn""&gt;Republic of Ireland",S3363)),"Ireland",
ISNUMBER(SEARCH("rn""&gt;Bosnia and Herzegovina",S3363)),"Bosnia and Herzegovina",
ISNUMBER(SEARCH("rn""&gt;Trinidad and Tobago",S3363)),"Trinidad and Tobago",
ISNUMBER(SEARCH("rn""&gt;Serbia and Montenegro",S3363)),"Serbia and Montenegro",
ISNUMBER(SEARCH(_xlfn.UNICHAR(65533),S3363)),"Côte d'Ivoire",
TRUE,""
)</f>
        <v>United States</v>
      </c>
      <c r="W3363" s="40" t="str">
        <f t="shared" si="231"/>
        <v>United States</v>
      </c>
    </row>
    <row r="3364" spans="19:23">
      <c r="S3364" s="40" t="str">
        <v>Scotland</v>
      </c>
      <c r="T3364" s="40" t="str">
        <f t="shared" si="229"/>
        <v>ERREUR</v>
      </c>
      <c r="U3364" s="40" t="str">
        <f t="shared" si="230"/>
        <v>AUCUNE</v>
      </c>
      <c r="V3364" s="40" t="str" cm="1">
        <f t="array" ref="V3364">_xlfn.IFS(
ISNUMBER(SEARCH("USA",S3364)),"United States",
ISNUMBER(SEARCH("Republic of Ireland",S3364)),"Ireland",
ISNUMBER(SEARCH("Republic of Korea",S3364)),"South Korea",
ISNUMBER(SEARCH("Cape Verde",S3364)),"Cabo Verde",
ISNUMBER(SEARCH("Czechia",S3364)),"Czech Republic",
ISNUMBER(SEARCH("Türkiye",S3364)),"Turkey",
ISNUMBER(SEARCH("Ivory Coast",S3364)),"Côte d'Ivoire",
ISNUMBER(SEARCH("Korea Republic",S3364)),"South Korea",
ISNUMBER(SEARCH("Germany FR",S3364)),"FR Germany",
ISNUMBER(SEARCH("West Germany",S3364)),"FR Germany",
ISNUMBER(SEARCH("Germany DR",S3364)),"DR Germany",
ISNUMBER(SEARCH("Korea DPR",S3364)),"North Korea",
ISNUMBER(SEARCH("China PR",S3364)),"China",
ISNUMBER(SEARCH("IR Iran",S3364)),"Iran",
ISNUMBER(SEARCH("Congo DR",S3364)),"Democratic Republic of the Congo",
ISNUMBER(SEARCH("DR Congo",S3364)),"Democratic Republic of the Congo",
ISNUMBER(SEARCH("German DR",S3364)),"DR Germany",
ISNUMBER(SEARCH("rn""&gt;United Arab Emirates",S3364)),"United Arab Emirates",
ISNUMBER(SEARCH("rn""&gt;Republic of Ireland",S3364)),"Ireland",
ISNUMBER(SEARCH("rn""&gt;Bosnia and Herzegovina",S3364)),"Bosnia and Herzegovina",
ISNUMBER(SEARCH("rn""&gt;Trinidad and Tobago",S3364)),"Trinidad and Tobago",
ISNUMBER(SEARCH("rn""&gt;Serbia and Montenegro",S3364)),"Serbia and Montenegro",
ISNUMBER(SEARCH(_xlfn.UNICHAR(65533),S3364)),"Côte d'Ivoire",
TRUE,""
)</f>
        <v/>
      </c>
      <c r="W3364" s="40" t="str">
        <f t="shared" si="231"/>
        <v>Scotland</v>
      </c>
    </row>
    <row r="3365" spans="19:23">
      <c r="S3365" s="40" t="str">
        <v>Brazil</v>
      </c>
      <c r="T3365" s="40" t="str">
        <f t="shared" si="229"/>
        <v>OK</v>
      </c>
      <c r="U3365" s="40" t="str">
        <f t="shared" si="230"/>
        <v>-</v>
      </c>
      <c r="V3365" s="40" t="str" cm="1">
        <f t="array" ref="V3365">_xlfn.IFS(
ISNUMBER(SEARCH("USA",S3365)),"United States",
ISNUMBER(SEARCH("Republic of Ireland",S3365)),"Ireland",
ISNUMBER(SEARCH("Republic of Korea",S3365)),"South Korea",
ISNUMBER(SEARCH("Cape Verde",S3365)),"Cabo Verde",
ISNUMBER(SEARCH("Czechia",S3365)),"Czech Republic",
ISNUMBER(SEARCH("Türkiye",S3365)),"Turkey",
ISNUMBER(SEARCH("Ivory Coast",S3365)),"Côte d'Ivoire",
ISNUMBER(SEARCH("Korea Republic",S3365)),"South Korea",
ISNUMBER(SEARCH("Germany FR",S3365)),"FR Germany",
ISNUMBER(SEARCH("West Germany",S3365)),"FR Germany",
ISNUMBER(SEARCH("Germany DR",S3365)),"DR Germany",
ISNUMBER(SEARCH("Korea DPR",S3365)),"North Korea",
ISNUMBER(SEARCH("China PR",S3365)),"China",
ISNUMBER(SEARCH("IR Iran",S3365)),"Iran",
ISNUMBER(SEARCH("Congo DR",S3365)),"Democratic Republic of the Congo",
ISNUMBER(SEARCH("DR Congo",S3365)),"Democratic Republic of the Congo",
ISNUMBER(SEARCH("German DR",S3365)),"DR Germany",
ISNUMBER(SEARCH("rn""&gt;United Arab Emirates",S3365)),"United Arab Emirates",
ISNUMBER(SEARCH("rn""&gt;Republic of Ireland",S3365)),"Ireland",
ISNUMBER(SEARCH("rn""&gt;Bosnia and Herzegovina",S3365)),"Bosnia and Herzegovina",
ISNUMBER(SEARCH("rn""&gt;Trinidad and Tobago",S3365)),"Trinidad and Tobago",
ISNUMBER(SEARCH("rn""&gt;Serbia and Montenegro",S3365)),"Serbia and Montenegro",
ISNUMBER(SEARCH(_xlfn.UNICHAR(65533),S3365)),"Côte d'Ivoire",
TRUE,""
)</f>
        <v/>
      </c>
      <c r="W3365" s="40" t="str">
        <f t="shared" si="231"/>
        <v>Brazil</v>
      </c>
    </row>
    <row r="3366" spans="19:23">
      <c r="S3366" s="40" t="str">
        <v>Türkiye</v>
      </c>
      <c r="T3366" s="40" t="str">
        <f t="shared" si="229"/>
        <v>ERREUR</v>
      </c>
      <c r="U3366" s="40" t="str">
        <f t="shared" si="230"/>
        <v>RENOMMER</v>
      </c>
      <c r="V3366" s="40" t="str" cm="1">
        <f t="array" ref="V3366">_xlfn.IFS(
ISNUMBER(SEARCH("USA",S3366)),"United States",
ISNUMBER(SEARCH("Republic of Ireland",S3366)),"Ireland",
ISNUMBER(SEARCH("Republic of Korea",S3366)),"South Korea",
ISNUMBER(SEARCH("Cape Verde",S3366)),"Cabo Verde",
ISNUMBER(SEARCH("Czechia",S3366)),"Czech Republic",
ISNUMBER(SEARCH("Türkiye",S3366)),"Turkey",
ISNUMBER(SEARCH("Ivory Coast",S3366)),"Côte d'Ivoire",
ISNUMBER(SEARCH("Korea Republic",S3366)),"South Korea",
ISNUMBER(SEARCH("Germany FR",S3366)),"FR Germany",
ISNUMBER(SEARCH("West Germany",S3366)),"FR Germany",
ISNUMBER(SEARCH("Germany DR",S3366)),"DR Germany",
ISNUMBER(SEARCH("Korea DPR",S3366)),"North Korea",
ISNUMBER(SEARCH("China PR",S3366)),"China",
ISNUMBER(SEARCH("IR Iran",S3366)),"Iran",
ISNUMBER(SEARCH("Congo DR",S3366)),"Democratic Republic of the Congo",
ISNUMBER(SEARCH("DR Congo",S3366)),"Democratic Republic of the Congo",
ISNUMBER(SEARCH("German DR",S3366)),"DR Germany",
ISNUMBER(SEARCH("rn""&gt;United Arab Emirates",S3366)),"United Arab Emirates",
ISNUMBER(SEARCH("rn""&gt;Republic of Ireland",S3366)),"Ireland",
ISNUMBER(SEARCH("rn""&gt;Bosnia and Herzegovina",S3366)),"Bosnia and Herzegovina",
ISNUMBER(SEARCH("rn""&gt;Trinidad and Tobago",S3366)),"Trinidad and Tobago",
ISNUMBER(SEARCH("rn""&gt;Serbia and Montenegro",S3366)),"Serbia and Montenegro",
ISNUMBER(SEARCH(_xlfn.UNICHAR(65533),S3366)),"Côte d'Ivoire",
TRUE,""
)</f>
        <v>Turkey</v>
      </c>
      <c r="W3366" s="40" t="str">
        <f t="shared" si="231"/>
        <v>Turkey</v>
      </c>
    </row>
    <row r="3367" spans="19:23">
      <c r="S3367" s="40" t="str">
        <v>Netherlands</v>
      </c>
      <c r="T3367" s="40" t="str">
        <f t="shared" si="229"/>
        <v>OK</v>
      </c>
      <c r="U3367" s="40" t="str">
        <f t="shared" si="230"/>
        <v>-</v>
      </c>
      <c r="V3367" s="40" t="str" cm="1">
        <f t="array" ref="V3367">_xlfn.IFS(
ISNUMBER(SEARCH("USA",S3367)),"United States",
ISNUMBER(SEARCH("Republic of Ireland",S3367)),"Ireland",
ISNUMBER(SEARCH("Republic of Korea",S3367)),"South Korea",
ISNUMBER(SEARCH("Cape Verde",S3367)),"Cabo Verde",
ISNUMBER(SEARCH("Czechia",S3367)),"Czech Republic",
ISNUMBER(SEARCH("Türkiye",S3367)),"Turkey",
ISNUMBER(SEARCH("Ivory Coast",S3367)),"Côte d'Ivoire",
ISNUMBER(SEARCH("Korea Republic",S3367)),"South Korea",
ISNUMBER(SEARCH("Germany FR",S3367)),"FR Germany",
ISNUMBER(SEARCH("West Germany",S3367)),"FR Germany",
ISNUMBER(SEARCH("Germany DR",S3367)),"DR Germany",
ISNUMBER(SEARCH("Korea DPR",S3367)),"North Korea",
ISNUMBER(SEARCH("China PR",S3367)),"China",
ISNUMBER(SEARCH("IR Iran",S3367)),"Iran",
ISNUMBER(SEARCH("Congo DR",S3367)),"Democratic Republic of the Congo",
ISNUMBER(SEARCH("DR Congo",S3367)),"Democratic Republic of the Congo",
ISNUMBER(SEARCH("German DR",S3367)),"DR Germany",
ISNUMBER(SEARCH("rn""&gt;United Arab Emirates",S3367)),"United Arab Emirates",
ISNUMBER(SEARCH("rn""&gt;Republic of Ireland",S3367)),"Ireland",
ISNUMBER(SEARCH("rn""&gt;Bosnia and Herzegovina",S3367)),"Bosnia and Herzegovina",
ISNUMBER(SEARCH("rn""&gt;Trinidad and Tobago",S3367)),"Trinidad and Tobago",
ISNUMBER(SEARCH("rn""&gt;Serbia and Montenegro",S3367)),"Serbia and Montenegro",
ISNUMBER(SEARCH(_xlfn.UNICHAR(65533),S3367)),"Côte d'Ivoire",
TRUE,""
)</f>
        <v/>
      </c>
      <c r="W3367" s="40" t="str">
        <f t="shared" si="231"/>
        <v>Netherlands</v>
      </c>
    </row>
    <row r="3368" spans="19:23">
      <c r="S3368" s="40" t="str">
        <v>Germany</v>
      </c>
      <c r="T3368" s="40" t="str">
        <f t="shared" si="229"/>
        <v>OK</v>
      </c>
      <c r="U3368" s="40" t="str">
        <f t="shared" si="230"/>
        <v>-</v>
      </c>
      <c r="V3368" s="40" t="str" cm="1">
        <f t="array" ref="V3368">_xlfn.IFS(
ISNUMBER(SEARCH("USA",S3368)),"United States",
ISNUMBER(SEARCH("Republic of Ireland",S3368)),"Ireland",
ISNUMBER(SEARCH("Republic of Korea",S3368)),"South Korea",
ISNUMBER(SEARCH("Cape Verde",S3368)),"Cabo Verde",
ISNUMBER(SEARCH("Czechia",S3368)),"Czech Republic",
ISNUMBER(SEARCH("Türkiye",S3368)),"Turkey",
ISNUMBER(SEARCH("Ivory Coast",S3368)),"Côte d'Ivoire",
ISNUMBER(SEARCH("Korea Republic",S3368)),"South Korea",
ISNUMBER(SEARCH("Germany FR",S3368)),"FR Germany",
ISNUMBER(SEARCH("West Germany",S3368)),"FR Germany",
ISNUMBER(SEARCH("Germany DR",S3368)),"DR Germany",
ISNUMBER(SEARCH("Korea DPR",S3368)),"North Korea",
ISNUMBER(SEARCH("China PR",S3368)),"China",
ISNUMBER(SEARCH("IR Iran",S3368)),"Iran",
ISNUMBER(SEARCH("Congo DR",S3368)),"Democratic Republic of the Congo",
ISNUMBER(SEARCH("DR Congo",S3368)),"Democratic Republic of the Congo",
ISNUMBER(SEARCH("German DR",S3368)),"DR Germany",
ISNUMBER(SEARCH("rn""&gt;United Arab Emirates",S3368)),"United Arab Emirates",
ISNUMBER(SEARCH("rn""&gt;Republic of Ireland",S3368)),"Ireland",
ISNUMBER(SEARCH("rn""&gt;Bosnia and Herzegovina",S3368)),"Bosnia and Herzegovina",
ISNUMBER(SEARCH("rn""&gt;Trinidad and Tobago",S3368)),"Trinidad and Tobago",
ISNUMBER(SEARCH("rn""&gt;Serbia and Montenegro",S3368)),"Serbia and Montenegro",
ISNUMBER(SEARCH(_xlfn.UNICHAR(65533),S3368)),"Côte d'Ivoire",
TRUE,""
)</f>
        <v/>
      </c>
      <c r="W3368" s="40" t="str">
        <f t="shared" si="231"/>
        <v>Germany</v>
      </c>
    </row>
    <row r="3369" spans="19:23">
      <c r="S3369" s="40" t="str">
        <v>Ecuador</v>
      </c>
      <c r="T3369" s="40" t="str">
        <f t="shared" si="229"/>
        <v>OK</v>
      </c>
      <c r="U3369" s="40" t="str">
        <f t="shared" si="230"/>
        <v>-</v>
      </c>
      <c r="V3369" s="40" t="str" cm="1">
        <f t="array" ref="V3369">_xlfn.IFS(
ISNUMBER(SEARCH("USA",S3369)),"United States",
ISNUMBER(SEARCH("Republic of Ireland",S3369)),"Ireland",
ISNUMBER(SEARCH("Republic of Korea",S3369)),"South Korea",
ISNUMBER(SEARCH("Cape Verde",S3369)),"Cabo Verde",
ISNUMBER(SEARCH("Czechia",S3369)),"Czech Republic",
ISNUMBER(SEARCH("Türkiye",S3369)),"Turkey",
ISNUMBER(SEARCH("Ivory Coast",S3369)),"Côte d'Ivoire",
ISNUMBER(SEARCH("Korea Republic",S3369)),"South Korea",
ISNUMBER(SEARCH("Germany FR",S3369)),"FR Germany",
ISNUMBER(SEARCH("West Germany",S3369)),"FR Germany",
ISNUMBER(SEARCH("Germany DR",S3369)),"DR Germany",
ISNUMBER(SEARCH("Korea DPR",S3369)),"North Korea",
ISNUMBER(SEARCH("China PR",S3369)),"China",
ISNUMBER(SEARCH("IR Iran",S3369)),"Iran",
ISNUMBER(SEARCH("Congo DR",S3369)),"Democratic Republic of the Congo",
ISNUMBER(SEARCH("DR Congo",S3369)),"Democratic Republic of the Congo",
ISNUMBER(SEARCH("German DR",S3369)),"DR Germany",
ISNUMBER(SEARCH("rn""&gt;United Arab Emirates",S3369)),"United Arab Emirates",
ISNUMBER(SEARCH("rn""&gt;Republic of Ireland",S3369)),"Ireland",
ISNUMBER(SEARCH("rn""&gt;Bosnia and Herzegovina",S3369)),"Bosnia and Herzegovina",
ISNUMBER(SEARCH("rn""&gt;Trinidad and Tobago",S3369)),"Trinidad and Tobago",
ISNUMBER(SEARCH("rn""&gt;Serbia and Montenegro",S3369)),"Serbia and Montenegro",
ISNUMBER(SEARCH(_xlfn.UNICHAR(65533),S3369)),"Côte d'Ivoire",
TRUE,""
)</f>
        <v/>
      </c>
      <c r="W3369" s="40" t="str">
        <f t="shared" si="231"/>
        <v>Ecuador</v>
      </c>
    </row>
    <row r="3370" spans="19:23">
      <c r="S3370" s="40" t="str">
        <v>Tunisia</v>
      </c>
      <c r="T3370" s="40" t="str">
        <f t="shared" si="229"/>
        <v>OK</v>
      </c>
      <c r="U3370" s="40" t="str">
        <f t="shared" si="230"/>
        <v>-</v>
      </c>
      <c r="V3370" s="40" t="str" cm="1">
        <f t="array" ref="V3370">_xlfn.IFS(
ISNUMBER(SEARCH("USA",S3370)),"United States",
ISNUMBER(SEARCH("Republic of Ireland",S3370)),"Ireland",
ISNUMBER(SEARCH("Republic of Korea",S3370)),"South Korea",
ISNUMBER(SEARCH("Cape Verde",S3370)),"Cabo Verde",
ISNUMBER(SEARCH("Czechia",S3370)),"Czech Republic",
ISNUMBER(SEARCH("Türkiye",S3370)),"Turkey",
ISNUMBER(SEARCH("Ivory Coast",S3370)),"Côte d'Ivoire",
ISNUMBER(SEARCH("Korea Republic",S3370)),"South Korea",
ISNUMBER(SEARCH("Germany FR",S3370)),"FR Germany",
ISNUMBER(SEARCH("West Germany",S3370)),"FR Germany",
ISNUMBER(SEARCH("Germany DR",S3370)),"DR Germany",
ISNUMBER(SEARCH("Korea DPR",S3370)),"North Korea",
ISNUMBER(SEARCH("China PR",S3370)),"China",
ISNUMBER(SEARCH("IR Iran",S3370)),"Iran",
ISNUMBER(SEARCH("Congo DR",S3370)),"Democratic Republic of the Congo",
ISNUMBER(SEARCH("DR Congo",S3370)),"Democratic Republic of the Congo",
ISNUMBER(SEARCH("German DR",S3370)),"DR Germany",
ISNUMBER(SEARCH("rn""&gt;United Arab Emirates",S3370)),"United Arab Emirates",
ISNUMBER(SEARCH("rn""&gt;Republic of Ireland",S3370)),"Ireland",
ISNUMBER(SEARCH("rn""&gt;Bosnia and Herzegovina",S3370)),"Bosnia and Herzegovina",
ISNUMBER(SEARCH("rn""&gt;Trinidad and Tobago",S3370)),"Trinidad and Tobago",
ISNUMBER(SEARCH("rn""&gt;Serbia and Montenegro",S3370)),"Serbia and Montenegro",
ISNUMBER(SEARCH(_xlfn.UNICHAR(65533),S3370)),"Côte d'Ivoire",
TRUE,""
)</f>
        <v/>
      </c>
      <c r="W3370" s="40" t="str">
        <f t="shared" si="231"/>
        <v>Tunisia</v>
      </c>
    </row>
    <row r="3371" spans="19:23">
      <c r="S3371" s="40" t="str">
        <v>Spain</v>
      </c>
      <c r="T3371" s="40" t="str">
        <f t="shared" si="229"/>
        <v>OK</v>
      </c>
      <c r="U3371" s="40" t="str">
        <f t="shared" si="230"/>
        <v>-</v>
      </c>
      <c r="V3371" s="40" t="str" cm="1">
        <f t="array" ref="V3371">_xlfn.IFS(
ISNUMBER(SEARCH("USA",S3371)),"United States",
ISNUMBER(SEARCH("Republic of Ireland",S3371)),"Ireland",
ISNUMBER(SEARCH("Republic of Korea",S3371)),"South Korea",
ISNUMBER(SEARCH("Cape Verde",S3371)),"Cabo Verde",
ISNUMBER(SEARCH("Czechia",S3371)),"Czech Republic",
ISNUMBER(SEARCH("Türkiye",S3371)),"Turkey",
ISNUMBER(SEARCH("Ivory Coast",S3371)),"Côte d'Ivoire",
ISNUMBER(SEARCH("Korea Republic",S3371)),"South Korea",
ISNUMBER(SEARCH("Germany FR",S3371)),"FR Germany",
ISNUMBER(SEARCH("West Germany",S3371)),"FR Germany",
ISNUMBER(SEARCH("Germany DR",S3371)),"DR Germany",
ISNUMBER(SEARCH("Korea DPR",S3371)),"North Korea",
ISNUMBER(SEARCH("China PR",S3371)),"China",
ISNUMBER(SEARCH("IR Iran",S3371)),"Iran",
ISNUMBER(SEARCH("Congo DR",S3371)),"Democratic Republic of the Congo",
ISNUMBER(SEARCH("DR Congo",S3371)),"Democratic Republic of the Congo",
ISNUMBER(SEARCH("German DR",S3371)),"DR Germany",
ISNUMBER(SEARCH("rn""&gt;United Arab Emirates",S3371)),"United Arab Emirates",
ISNUMBER(SEARCH("rn""&gt;Republic of Ireland",S3371)),"Ireland",
ISNUMBER(SEARCH("rn""&gt;Bosnia and Herzegovina",S3371)),"Bosnia and Herzegovina",
ISNUMBER(SEARCH("rn""&gt;Trinidad and Tobago",S3371)),"Trinidad and Tobago",
ISNUMBER(SEARCH("rn""&gt;Serbia and Montenegro",S3371)),"Serbia and Montenegro",
ISNUMBER(SEARCH(_xlfn.UNICHAR(65533),S3371)),"Côte d'Ivoire",
TRUE,""
)</f>
        <v/>
      </c>
      <c r="W3371" s="40" t="str">
        <f t="shared" si="231"/>
        <v>Spain</v>
      </c>
    </row>
    <row r="3372" spans="19:23">
      <c r="S3372" s="40" t="str">
        <v>Belgium</v>
      </c>
      <c r="T3372" s="40" t="str">
        <f t="shared" si="229"/>
        <v>OK</v>
      </c>
      <c r="U3372" s="40" t="str">
        <f t="shared" si="230"/>
        <v>-</v>
      </c>
      <c r="V3372" s="40" t="str" cm="1">
        <f t="array" ref="V3372">_xlfn.IFS(
ISNUMBER(SEARCH("USA",S3372)),"United States",
ISNUMBER(SEARCH("Republic of Ireland",S3372)),"Ireland",
ISNUMBER(SEARCH("Republic of Korea",S3372)),"South Korea",
ISNUMBER(SEARCH("Cape Verde",S3372)),"Cabo Verde",
ISNUMBER(SEARCH("Czechia",S3372)),"Czech Republic",
ISNUMBER(SEARCH("Türkiye",S3372)),"Turkey",
ISNUMBER(SEARCH("Ivory Coast",S3372)),"Côte d'Ivoire",
ISNUMBER(SEARCH("Korea Republic",S3372)),"South Korea",
ISNUMBER(SEARCH("Germany FR",S3372)),"FR Germany",
ISNUMBER(SEARCH("West Germany",S3372)),"FR Germany",
ISNUMBER(SEARCH("Germany DR",S3372)),"DR Germany",
ISNUMBER(SEARCH("Korea DPR",S3372)),"North Korea",
ISNUMBER(SEARCH("China PR",S3372)),"China",
ISNUMBER(SEARCH("IR Iran",S3372)),"Iran",
ISNUMBER(SEARCH("Congo DR",S3372)),"Democratic Republic of the Congo",
ISNUMBER(SEARCH("DR Congo",S3372)),"Democratic Republic of the Congo",
ISNUMBER(SEARCH("German DR",S3372)),"DR Germany",
ISNUMBER(SEARCH("rn""&gt;United Arab Emirates",S3372)),"United Arab Emirates",
ISNUMBER(SEARCH("rn""&gt;Republic of Ireland",S3372)),"Ireland",
ISNUMBER(SEARCH("rn""&gt;Bosnia and Herzegovina",S3372)),"Bosnia and Herzegovina",
ISNUMBER(SEARCH("rn""&gt;Trinidad and Tobago",S3372)),"Trinidad and Tobago",
ISNUMBER(SEARCH("rn""&gt;Serbia and Montenegro",S3372)),"Serbia and Montenegro",
ISNUMBER(SEARCH(_xlfn.UNICHAR(65533),S3372)),"Côte d'Ivoire",
TRUE,""
)</f>
        <v/>
      </c>
      <c r="W3372" s="40" t="str">
        <f t="shared" si="231"/>
        <v>Belgium</v>
      </c>
    </row>
    <row r="3373" spans="19:23">
      <c r="S3373" s="40" t="str">
        <v>Uruguay</v>
      </c>
      <c r="T3373" s="40" t="str">
        <f t="shared" si="229"/>
        <v>OK</v>
      </c>
      <c r="U3373" s="40" t="str">
        <f t="shared" si="230"/>
        <v>-</v>
      </c>
      <c r="V3373" s="40" t="str" cm="1">
        <f t="array" ref="V3373">_xlfn.IFS(
ISNUMBER(SEARCH("USA",S3373)),"United States",
ISNUMBER(SEARCH("Republic of Ireland",S3373)),"Ireland",
ISNUMBER(SEARCH("Republic of Korea",S3373)),"South Korea",
ISNUMBER(SEARCH("Cape Verde",S3373)),"Cabo Verde",
ISNUMBER(SEARCH("Czechia",S3373)),"Czech Republic",
ISNUMBER(SEARCH("Türkiye",S3373)),"Turkey",
ISNUMBER(SEARCH("Ivory Coast",S3373)),"Côte d'Ivoire",
ISNUMBER(SEARCH("Korea Republic",S3373)),"South Korea",
ISNUMBER(SEARCH("Germany FR",S3373)),"FR Germany",
ISNUMBER(SEARCH("West Germany",S3373)),"FR Germany",
ISNUMBER(SEARCH("Germany DR",S3373)),"DR Germany",
ISNUMBER(SEARCH("Korea DPR",S3373)),"North Korea",
ISNUMBER(SEARCH("China PR",S3373)),"China",
ISNUMBER(SEARCH("IR Iran",S3373)),"Iran",
ISNUMBER(SEARCH("Congo DR",S3373)),"Democratic Republic of the Congo",
ISNUMBER(SEARCH("DR Congo",S3373)),"Democratic Republic of the Congo",
ISNUMBER(SEARCH("German DR",S3373)),"DR Germany",
ISNUMBER(SEARCH("rn""&gt;United Arab Emirates",S3373)),"United Arab Emirates",
ISNUMBER(SEARCH("rn""&gt;Republic of Ireland",S3373)),"Ireland",
ISNUMBER(SEARCH("rn""&gt;Bosnia and Herzegovina",S3373)),"Bosnia and Herzegovina",
ISNUMBER(SEARCH("rn""&gt;Trinidad and Tobago",S3373)),"Trinidad and Tobago",
ISNUMBER(SEARCH("rn""&gt;Serbia and Montenegro",S3373)),"Serbia and Montenegro",
ISNUMBER(SEARCH(_xlfn.UNICHAR(65533),S3373)),"Côte d'Ivoire",
TRUE,""
)</f>
        <v/>
      </c>
      <c r="W3373" s="40" t="str">
        <f t="shared" si="231"/>
        <v>Uruguay</v>
      </c>
    </row>
    <row r="3374" spans="19:23">
      <c r="S3374" s="40" t="str">
        <v>New Zealand</v>
      </c>
      <c r="T3374" s="40" t="str">
        <f t="shared" si="229"/>
        <v>OK</v>
      </c>
      <c r="U3374" s="40" t="str">
        <f t="shared" si="230"/>
        <v>-</v>
      </c>
      <c r="V3374" s="40" t="str" cm="1">
        <f t="array" ref="V3374">_xlfn.IFS(
ISNUMBER(SEARCH("USA",S3374)),"United States",
ISNUMBER(SEARCH("Republic of Ireland",S3374)),"Ireland",
ISNUMBER(SEARCH("Republic of Korea",S3374)),"South Korea",
ISNUMBER(SEARCH("Cape Verde",S3374)),"Cabo Verde",
ISNUMBER(SEARCH("Czechia",S3374)),"Czech Republic",
ISNUMBER(SEARCH("Türkiye",S3374)),"Turkey",
ISNUMBER(SEARCH("Ivory Coast",S3374)),"Côte d'Ivoire",
ISNUMBER(SEARCH("Korea Republic",S3374)),"South Korea",
ISNUMBER(SEARCH("Germany FR",S3374)),"FR Germany",
ISNUMBER(SEARCH("West Germany",S3374)),"FR Germany",
ISNUMBER(SEARCH("Germany DR",S3374)),"DR Germany",
ISNUMBER(SEARCH("Korea DPR",S3374)),"North Korea",
ISNUMBER(SEARCH("China PR",S3374)),"China",
ISNUMBER(SEARCH("IR Iran",S3374)),"Iran",
ISNUMBER(SEARCH("Congo DR",S3374)),"Democratic Republic of the Congo",
ISNUMBER(SEARCH("DR Congo",S3374)),"Democratic Republic of the Congo",
ISNUMBER(SEARCH("German DR",S3374)),"DR Germany",
ISNUMBER(SEARCH("rn""&gt;United Arab Emirates",S3374)),"United Arab Emirates",
ISNUMBER(SEARCH("rn""&gt;Republic of Ireland",S3374)),"Ireland",
ISNUMBER(SEARCH("rn""&gt;Bosnia and Herzegovina",S3374)),"Bosnia and Herzegovina",
ISNUMBER(SEARCH("rn""&gt;Trinidad and Tobago",S3374)),"Trinidad and Tobago",
ISNUMBER(SEARCH("rn""&gt;Serbia and Montenegro",S3374)),"Serbia and Montenegro",
ISNUMBER(SEARCH(_xlfn.UNICHAR(65533),S3374)),"Côte d'Ivoire",
TRUE,""
)</f>
        <v/>
      </c>
      <c r="W3374" s="40" t="str">
        <f t="shared" si="231"/>
        <v>New Zealand</v>
      </c>
    </row>
    <row r="3375" spans="19:23">
      <c r="S3375" s="40" t="str">
        <v>Panama</v>
      </c>
      <c r="T3375" s="40" t="str">
        <f t="shared" si="229"/>
        <v>OK</v>
      </c>
      <c r="U3375" s="40" t="str">
        <f t="shared" si="230"/>
        <v>-</v>
      </c>
      <c r="V3375" s="40" t="str" cm="1">
        <f t="array" ref="V3375">_xlfn.IFS(
ISNUMBER(SEARCH("USA",S3375)),"United States",
ISNUMBER(SEARCH("Republic of Ireland",S3375)),"Ireland",
ISNUMBER(SEARCH("Republic of Korea",S3375)),"South Korea",
ISNUMBER(SEARCH("Cape Verde",S3375)),"Cabo Verde",
ISNUMBER(SEARCH("Czechia",S3375)),"Czech Republic",
ISNUMBER(SEARCH("Türkiye",S3375)),"Turkey",
ISNUMBER(SEARCH("Ivory Coast",S3375)),"Côte d'Ivoire",
ISNUMBER(SEARCH("Korea Republic",S3375)),"South Korea",
ISNUMBER(SEARCH("Germany FR",S3375)),"FR Germany",
ISNUMBER(SEARCH("West Germany",S3375)),"FR Germany",
ISNUMBER(SEARCH("Germany DR",S3375)),"DR Germany",
ISNUMBER(SEARCH("Korea DPR",S3375)),"North Korea",
ISNUMBER(SEARCH("China PR",S3375)),"China",
ISNUMBER(SEARCH("IR Iran",S3375)),"Iran",
ISNUMBER(SEARCH("Congo DR",S3375)),"Democratic Republic of the Congo",
ISNUMBER(SEARCH("DR Congo",S3375)),"Democratic Republic of the Congo",
ISNUMBER(SEARCH("German DR",S3375)),"DR Germany",
ISNUMBER(SEARCH("rn""&gt;United Arab Emirates",S3375)),"United Arab Emirates",
ISNUMBER(SEARCH("rn""&gt;Republic of Ireland",S3375)),"Ireland",
ISNUMBER(SEARCH("rn""&gt;Bosnia and Herzegovina",S3375)),"Bosnia and Herzegovina",
ISNUMBER(SEARCH("rn""&gt;Trinidad and Tobago",S3375)),"Trinidad and Tobago",
ISNUMBER(SEARCH("rn""&gt;Serbia and Montenegro",S3375)),"Serbia and Montenegro",
ISNUMBER(SEARCH(_xlfn.UNICHAR(65533),S3375)),"Côte d'Ivoire",
TRUE,""
)</f>
        <v/>
      </c>
      <c r="W3375" s="40" t="str">
        <f t="shared" si="231"/>
        <v>Panama</v>
      </c>
    </row>
    <row r="3376" spans="19:23">
      <c r="S3376" s="40" t="str">
        <v>Colombia</v>
      </c>
      <c r="T3376" s="40" t="str">
        <f t="shared" si="229"/>
        <v>OK</v>
      </c>
      <c r="U3376" s="40" t="str">
        <f t="shared" si="230"/>
        <v>-</v>
      </c>
      <c r="V3376" s="40" t="str" cm="1">
        <f t="array" ref="V3376">_xlfn.IFS(
ISNUMBER(SEARCH("USA",S3376)),"United States",
ISNUMBER(SEARCH("Republic of Ireland",S3376)),"Ireland",
ISNUMBER(SEARCH("Republic of Korea",S3376)),"South Korea",
ISNUMBER(SEARCH("Cape Verde",S3376)),"Cabo Verde",
ISNUMBER(SEARCH("Czechia",S3376)),"Czech Republic",
ISNUMBER(SEARCH("Türkiye",S3376)),"Turkey",
ISNUMBER(SEARCH("Ivory Coast",S3376)),"Côte d'Ivoire",
ISNUMBER(SEARCH("Korea Republic",S3376)),"South Korea",
ISNUMBER(SEARCH("Germany FR",S3376)),"FR Germany",
ISNUMBER(SEARCH("West Germany",S3376)),"FR Germany",
ISNUMBER(SEARCH("Germany DR",S3376)),"DR Germany",
ISNUMBER(SEARCH("Korea DPR",S3376)),"North Korea",
ISNUMBER(SEARCH("China PR",S3376)),"China",
ISNUMBER(SEARCH("IR Iran",S3376)),"Iran",
ISNUMBER(SEARCH("Congo DR",S3376)),"Democratic Republic of the Congo",
ISNUMBER(SEARCH("DR Congo",S3376)),"Democratic Republic of the Congo",
ISNUMBER(SEARCH("German DR",S3376)),"DR Germany",
ISNUMBER(SEARCH("rn""&gt;United Arab Emirates",S3376)),"United Arab Emirates",
ISNUMBER(SEARCH("rn""&gt;Republic of Ireland",S3376)),"Ireland",
ISNUMBER(SEARCH("rn""&gt;Bosnia and Herzegovina",S3376)),"Bosnia and Herzegovina",
ISNUMBER(SEARCH("rn""&gt;Trinidad and Tobago",S3376)),"Trinidad and Tobago",
ISNUMBER(SEARCH("rn""&gt;Serbia and Montenegro",S3376)),"Serbia and Montenegro",
ISNUMBER(SEARCH(_xlfn.UNICHAR(65533),S3376)),"Côte d'Ivoire",
TRUE,""
)</f>
        <v/>
      </c>
      <c r="W3376" s="40" t="str">
        <f t="shared" si="231"/>
        <v>Colombia</v>
      </c>
    </row>
    <row r="3377" spans="19:23">
      <c r="S3377" s="40" t="str">
        <v>Switzerland</v>
      </c>
      <c r="T3377" s="40" t="str">
        <f t="shared" si="229"/>
        <v>OK</v>
      </c>
      <c r="U3377" s="40" t="str">
        <f t="shared" si="230"/>
        <v>-</v>
      </c>
      <c r="V3377" s="40" t="str" cm="1">
        <f t="array" ref="V3377">_xlfn.IFS(
ISNUMBER(SEARCH("USA",S3377)),"United States",
ISNUMBER(SEARCH("Republic of Ireland",S3377)),"Ireland",
ISNUMBER(SEARCH("Republic of Korea",S3377)),"South Korea",
ISNUMBER(SEARCH("Cape Verde",S3377)),"Cabo Verde",
ISNUMBER(SEARCH("Czechia",S3377)),"Czech Republic",
ISNUMBER(SEARCH("Türkiye",S3377)),"Turkey",
ISNUMBER(SEARCH("Ivory Coast",S3377)),"Côte d'Ivoire",
ISNUMBER(SEARCH("Korea Republic",S3377)),"South Korea",
ISNUMBER(SEARCH("Germany FR",S3377)),"FR Germany",
ISNUMBER(SEARCH("West Germany",S3377)),"FR Germany",
ISNUMBER(SEARCH("Germany DR",S3377)),"DR Germany",
ISNUMBER(SEARCH("Korea DPR",S3377)),"North Korea",
ISNUMBER(SEARCH("China PR",S3377)),"China",
ISNUMBER(SEARCH("IR Iran",S3377)),"Iran",
ISNUMBER(SEARCH("Congo DR",S3377)),"Democratic Republic of the Congo",
ISNUMBER(SEARCH("DR Congo",S3377)),"Democratic Republic of the Congo",
ISNUMBER(SEARCH("German DR",S3377)),"DR Germany",
ISNUMBER(SEARCH("rn""&gt;United Arab Emirates",S3377)),"United Arab Emirates",
ISNUMBER(SEARCH("rn""&gt;Republic of Ireland",S3377)),"Ireland",
ISNUMBER(SEARCH("rn""&gt;Bosnia and Herzegovina",S3377)),"Bosnia and Herzegovina",
ISNUMBER(SEARCH("rn""&gt;Trinidad and Tobago",S3377)),"Trinidad and Tobago",
ISNUMBER(SEARCH("rn""&gt;Serbia and Montenegro",S3377)),"Serbia and Montenegro",
ISNUMBER(SEARCH(_xlfn.UNICHAR(65533),S3377)),"Côte d'Ivoire",
TRUE,""
)</f>
        <v/>
      </c>
      <c r="W3377" s="40" t="str">
        <f t="shared" si="231"/>
        <v>Switzerland</v>
      </c>
    </row>
    <row r="3378" spans="19:23">
      <c r="S3378" s="40" t="str">
        <v>Bosnia and Herzegovina</v>
      </c>
      <c r="T3378" s="40" t="str">
        <f t="shared" si="229"/>
        <v>OK</v>
      </c>
      <c r="U3378" s="40" t="str">
        <f t="shared" si="230"/>
        <v>-</v>
      </c>
      <c r="V3378" s="40" t="str" cm="1">
        <f t="array" ref="V3378">_xlfn.IFS(
ISNUMBER(SEARCH("USA",S3378)),"United States",
ISNUMBER(SEARCH("Republic of Ireland",S3378)),"Ireland",
ISNUMBER(SEARCH("Republic of Korea",S3378)),"South Korea",
ISNUMBER(SEARCH("Cape Verde",S3378)),"Cabo Verde",
ISNUMBER(SEARCH("Czechia",S3378)),"Czech Republic",
ISNUMBER(SEARCH("Türkiye",S3378)),"Turkey",
ISNUMBER(SEARCH("Ivory Coast",S3378)),"Côte d'Ivoire",
ISNUMBER(SEARCH("Korea Republic",S3378)),"South Korea",
ISNUMBER(SEARCH("Germany FR",S3378)),"FR Germany",
ISNUMBER(SEARCH("West Germany",S3378)),"FR Germany",
ISNUMBER(SEARCH("Germany DR",S3378)),"DR Germany",
ISNUMBER(SEARCH("Korea DPR",S3378)),"North Korea",
ISNUMBER(SEARCH("China PR",S3378)),"China",
ISNUMBER(SEARCH("IR Iran",S3378)),"Iran",
ISNUMBER(SEARCH("Congo DR",S3378)),"Democratic Republic of the Congo",
ISNUMBER(SEARCH("DR Congo",S3378)),"Democratic Republic of the Congo",
ISNUMBER(SEARCH("German DR",S3378)),"DR Germany",
ISNUMBER(SEARCH("rn""&gt;United Arab Emirates",S3378)),"United Arab Emirates",
ISNUMBER(SEARCH("rn""&gt;Republic of Ireland",S3378)),"Ireland",
ISNUMBER(SEARCH("rn""&gt;Bosnia and Herzegovina",S3378)),"Bosnia and Herzegovina",
ISNUMBER(SEARCH("rn""&gt;Trinidad and Tobago",S3378)),"Trinidad and Tobago",
ISNUMBER(SEARCH("rn""&gt;Serbia and Montenegro",S3378)),"Serbia and Montenegro",
ISNUMBER(SEARCH(_xlfn.UNICHAR(65533),S3378)),"Côte d'Ivoire",
TRUE,""
)</f>
        <v/>
      </c>
      <c r="W3378" s="40" t="str">
        <f t="shared" si="231"/>
        <v>Bosnia and Herzegovina</v>
      </c>
    </row>
    <row r="3379" spans="19:23">
      <c r="S3379" s="40" t="str">
        <v>Morocco</v>
      </c>
      <c r="T3379" s="40" t="str">
        <f t="shared" si="229"/>
        <v>OK</v>
      </c>
      <c r="U3379" s="40" t="str">
        <f t="shared" si="230"/>
        <v>-</v>
      </c>
      <c r="V3379" s="40" t="str" cm="1">
        <f t="array" ref="V3379">_xlfn.IFS(
ISNUMBER(SEARCH("USA",S3379)),"United States",
ISNUMBER(SEARCH("Republic of Ireland",S3379)),"Ireland",
ISNUMBER(SEARCH("Republic of Korea",S3379)),"South Korea",
ISNUMBER(SEARCH("Cape Verde",S3379)),"Cabo Verde",
ISNUMBER(SEARCH("Czechia",S3379)),"Czech Republic",
ISNUMBER(SEARCH("Türkiye",S3379)),"Turkey",
ISNUMBER(SEARCH("Ivory Coast",S3379)),"Côte d'Ivoire",
ISNUMBER(SEARCH("Korea Republic",S3379)),"South Korea",
ISNUMBER(SEARCH("Germany FR",S3379)),"FR Germany",
ISNUMBER(SEARCH("West Germany",S3379)),"FR Germany",
ISNUMBER(SEARCH("Germany DR",S3379)),"DR Germany",
ISNUMBER(SEARCH("Korea DPR",S3379)),"North Korea",
ISNUMBER(SEARCH("China PR",S3379)),"China",
ISNUMBER(SEARCH("IR Iran",S3379)),"Iran",
ISNUMBER(SEARCH("Congo DR",S3379)),"Democratic Republic of the Congo",
ISNUMBER(SEARCH("DR Congo",S3379)),"Democratic Republic of the Congo",
ISNUMBER(SEARCH("German DR",S3379)),"DR Germany",
ISNUMBER(SEARCH("rn""&gt;United Arab Emirates",S3379)),"United Arab Emirates",
ISNUMBER(SEARCH("rn""&gt;Republic of Ireland",S3379)),"Ireland",
ISNUMBER(SEARCH("rn""&gt;Bosnia and Herzegovina",S3379)),"Bosnia and Herzegovina",
ISNUMBER(SEARCH("rn""&gt;Trinidad and Tobago",S3379)),"Trinidad and Tobago",
ISNUMBER(SEARCH("rn""&gt;Serbia and Montenegro",S3379)),"Serbia and Montenegro",
ISNUMBER(SEARCH(_xlfn.UNICHAR(65533),S3379)),"Côte d'Ivoire",
TRUE,""
)</f>
        <v/>
      </c>
      <c r="W3379" s="40" t="str">
        <f t="shared" si="231"/>
        <v>Morocco</v>
      </c>
    </row>
    <row r="3380" spans="19:23">
      <c r="S3380" s="40" t="str">
        <v>Scotland</v>
      </c>
      <c r="T3380" s="40" t="str">
        <f t="shared" si="229"/>
        <v>ERREUR</v>
      </c>
      <c r="U3380" s="40" t="str">
        <f t="shared" si="230"/>
        <v>AUCUNE</v>
      </c>
      <c r="V3380" s="40" t="str" cm="1">
        <f t="array" ref="V3380">_xlfn.IFS(
ISNUMBER(SEARCH("USA",S3380)),"United States",
ISNUMBER(SEARCH("Republic of Ireland",S3380)),"Ireland",
ISNUMBER(SEARCH("Republic of Korea",S3380)),"South Korea",
ISNUMBER(SEARCH("Cape Verde",S3380)),"Cabo Verde",
ISNUMBER(SEARCH("Czechia",S3380)),"Czech Republic",
ISNUMBER(SEARCH("Türkiye",S3380)),"Turkey",
ISNUMBER(SEARCH("Ivory Coast",S3380)),"Côte d'Ivoire",
ISNUMBER(SEARCH("Korea Republic",S3380)),"South Korea",
ISNUMBER(SEARCH("Germany FR",S3380)),"FR Germany",
ISNUMBER(SEARCH("West Germany",S3380)),"FR Germany",
ISNUMBER(SEARCH("Germany DR",S3380)),"DR Germany",
ISNUMBER(SEARCH("Korea DPR",S3380)),"North Korea",
ISNUMBER(SEARCH("China PR",S3380)),"China",
ISNUMBER(SEARCH("IR Iran",S3380)),"Iran",
ISNUMBER(SEARCH("Congo DR",S3380)),"Democratic Republic of the Congo",
ISNUMBER(SEARCH("DR Congo",S3380)),"Democratic Republic of the Congo",
ISNUMBER(SEARCH("German DR",S3380)),"DR Germany",
ISNUMBER(SEARCH("rn""&gt;United Arab Emirates",S3380)),"United Arab Emirates",
ISNUMBER(SEARCH("rn""&gt;Republic of Ireland",S3380)),"Ireland",
ISNUMBER(SEARCH("rn""&gt;Bosnia and Herzegovina",S3380)),"Bosnia and Herzegovina",
ISNUMBER(SEARCH("rn""&gt;Trinidad and Tobago",S3380)),"Trinidad and Tobago",
ISNUMBER(SEARCH("rn""&gt;Serbia and Montenegro",S3380)),"Serbia and Montenegro",
ISNUMBER(SEARCH(_xlfn.UNICHAR(65533),S3380)),"Côte d'Ivoire",
TRUE,""
)</f>
        <v/>
      </c>
      <c r="W3380" s="40" t="str">
        <f t="shared" si="231"/>
        <v>Scotland</v>
      </c>
    </row>
    <row r="3381" spans="19:23">
      <c r="S3381" s="40" t="str">
        <v>South Africa</v>
      </c>
      <c r="T3381" s="40" t="str">
        <f t="shared" si="229"/>
        <v>OK</v>
      </c>
      <c r="U3381" s="40" t="str">
        <f t="shared" si="230"/>
        <v>-</v>
      </c>
      <c r="V3381" s="40" t="str" cm="1">
        <f t="array" ref="V3381">_xlfn.IFS(
ISNUMBER(SEARCH("USA",S3381)),"United States",
ISNUMBER(SEARCH("Republic of Ireland",S3381)),"Ireland",
ISNUMBER(SEARCH("Republic of Korea",S3381)),"South Korea",
ISNUMBER(SEARCH("Cape Verde",S3381)),"Cabo Verde",
ISNUMBER(SEARCH("Czechia",S3381)),"Czech Republic",
ISNUMBER(SEARCH("Türkiye",S3381)),"Turkey",
ISNUMBER(SEARCH("Ivory Coast",S3381)),"Côte d'Ivoire",
ISNUMBER(SEARCH("Korea Republic",S3381)),"South Korea",
ISNUMBER(SEARCH("Germany FR",S3381)),"FR Germany",
ISNUMBER(SEARCH("West Germany",S3381)),"FR Germany",
ISNUMBER(SEARCH("Germany DR",S3381)),"DR Germany",
ISNUMBER(SEARCH("Korea DPR",S3381)),"North Korea",
ISNUMBER(SEARCH("China PR",S3381)),"China",
ISNUMBER(SEARCH("IR Iran",S3381)),"Iran",
ISNUMBER(SEARCH("Congo DR",S3381)),"Democratic Republic of the Congo",
ISNUMBER(SEARCH("DR Congo",S3381)),"Democratic Republic of the Congo",
ISNUMBER(SEARCH("German DR",S3381)),"DR Germany",
ISNUMBER(SEARCH("rn""&gt;United Arab Emirates",S3381)),"United Arab Emirates",
ISNUMBER(SEARCH("rn""&gt;Republic of Ireland",S3381)),"Ireland",
ISNUMBER(SEARCH("rn""&gt;Bosnia and Herzegovina",S3381)),"Bosnia and Herzegovina",
ISNUMBER(SEARCH("rn""&gt;Trinidad and Tobago",S3381)),"Trinidad and Tobago",
ISNUMBER(SEARCH("rn""&gt;Serbia and Montenegro",S3381)),"Serbia and Montenegro",
ISNUMBER(SEARCH(_xlfn.UNICHAR(65533),S3381)),"Côte d'Ivoire",
TRUE,""
)</f>
        <v/>
      </c>
      <c r="W3381" s="40" t="str">
        <f t="shared" si="231"/>
        <v>South Africa</v>
      </c>
    </row>
    <row r="3382" spans="19:23">
      <c r="S3382" s="40" t="str">
        <v>Czechia</v>
      </c>
      <c r="T3382" s="40" t="str">
        <f t="shared" si="229"/>
        <v>ERREUR</v>
      </c>
      <c r="U3382" s="40" t="str">
        <f t="shared" si="230"/>
        <v>RENOMMER</v>
      </c>
      <c r="V3382" s="40" t="str" cm="1">
        <f t="array" ref="V3382">_xlfn.IFS(
ISNUMBER(SEARCH("USA",S3382)),"United States",
ISNUMBER(SEARCH("Republic of Ireland",S3382)),"Ireland",
ISNUMBER(SEARCH("Republic of Korea",S3382)),"South Korea",
ISNUMBER(SEARCH("Cape Verde",S3382)),"Cabo Verde",
ISNUMBER(SEARCH("Czechia",S3382)),"Czech Republic",
ISNUMBER(SEARCH("Türkiye",S3382)),"Turkey",
ISNUMBER(SEARCH("Ivory Coast",S3382)),"Côte d'Ivoire",
ISNUMBER(SEARCH("Korea Republic",S3382)),"South Korea",
ISNUMBER(SEARCH("Germany FR",S3382)),"FR Germany",
ISNUMBER(SEARCH("West Germany",S3382)),"FR Germany",
ISNUMBER(SEARCH("Germany DR",S3382)),"DR Germany",
ISNUMBER(SEARCH("Korea DPR",S3382)),"North Korea",
ISNUMBER(SEARCH("China PR",S3382)),"China",
ISNUMBER(SEARCH("IR Iran",S3382)),"Iran",
ISNUMBER(SEARCH("Congo DR",S3382)),"Democratic Republic of the Congo",
ISNUMBER(SEARCH("DR Congo",S3382)),"Democratic Republic of the Congo",
ISNUMBER(SEARCH("German DR",S3382)),"DR Germany",
ISNUMBER(SEARCH("rn""&gt;United Arab Emirates",S3382)),"United Arab Emirates",
ISNUMBER(SEARCH("rn""&gt;Republic of Ireland",S3382)),"Ireland",
ISNUMBER(SEARCH("rn""&gt;Bosnia and Herzegovina",S3382)),"Bosnia and Herzegovina",
ISNUMBER(SEARCH("rn""&gt;Trinidad and Tobago",S3382)),"Trinidad and Tobago",
ISNUMBER(SEARCH("rn""&gt;Serbia and Montenegro",S3382)),"Serbia and Montenegro",
ISNUMBER(SEARCH(_xlfn.UNICHAR(65533),S3382)),"Côte d'Ivoire",
TRUE,""
)</f>
        <v>Czech Republic</v>
      </c>
      <c r="W3382" s="40" t="str">
        <f t="shared" si="231"/>
        <v>Czech Republic</v>
      </c>
    </row>
    <row r="3383" spans="19:23">
      <c r="S3383" s="40" t="str">
        <v>Curaçao</v>
      </c>
      <c r="T3383" s="40" t="str">
        <f t="shared" si="229"/>
        <v>OK</v>
      </c>
      <c r="U3383" s="40" t="str">
        <f t="shared" si="230"/>
        <v>-</v>
      </c>
      <c r="V3383" s="40" t="str" cm="1">
        <f t="array" ref="V3383">_xlfn.IFS(
ISNUMBER(SEARCH("USA",S3383)),"United States",
ISNUMBER(SEARCH("Republic of Ireland",S3383)),"Ireland",
ISNUMBER(SEARCH("Republic of Korea",S3383)),"South Korea",
ISNUMBER(SEARCH("Cape Verde",S3383)),"Cabo Verde",
ISNUMBER(SEARCH("Czechia",S3383)),"Czech Republic",
ISNUMBER(SEARCH("Türkiye",S3383)),"Turkey",
ISNUMBER(SEARCH("Ivory Coast",S3383)),"Côte d'Ivoire",
ISNUMBER(SEARCH("Korea Republic",S3383)),"South Korea",
ISNUMBER(SEARCH("Germany FR",S3383)),"FR Germany",
ISNUMBER(SEARCH("West Germany",S3383)),"FR Germany",
ISNUMBER(SEARCH("Germany DR",S3383)),"DR Germany",
ISNUMBER(SEARCH("Korea DPR",S3383)),"North Korea",
ISNUMBER(SEARCH("China PR",S3383)),"China",
ISNUMBER(SEARCH("IR Iran",S3383)),"Iran",
ISNUMBER(SEARCH("Congo DR",S3383)),"Democratic Republic of the Congo",
ISNUMBER(SEARCH("DR Congo",S3383)),"Democratic Republic of the Congo",
ISNUMBER(SEARCH("German DR",S3383)),"DR Germany",
ISNUMBER(SEARCH("rn""&gt;United Arab Emirates",S3383)),"United Arab Emirates",
ISNUMBER(SEARCH("rn""&gt;Republic of Ireland",S3383)),"Ireland",
ISNUMBER(SEARCH("rn""&gt;Bosnia and Herzegovina",S3383)),"Bosnia and Herzegovina",
ISNUMBER(SEARCH("rn""&gt;Trinidad and Tobago",S3383)),"Trinidad and Tobago",
ISNUMBER(SEARCH("rn""&gt;Serbia and Montenegro",S3383)),"Serbia and Montenegro",
ISNUMBER(SEARCH(_xlfn.UNICHAR(65533),S3383)),"Côte d'Ivoire",
TRUE,""
)</f>
        <v/>
      </c>
      <c r="W3383" s="40" t="str">
        <f t="shared" si="231"/>
        <v>Curaçao</v>
      </c>
    </row>
    <row r="3384" spans="19:23">
      <c r="S3384" s="40" t="str">
        <v>Ecuador</v>
      </c>
      <c r="T3384" s="40" t="str">
        <f t="shared" si="229"/>
        <v>OK</v>
      </c>
      <c r="U3384" s="40" t="str">
        <f t="shared" si="230"/>
        <v>-</v>
      </c>
      <c r="V3384" s="40" t="str" cm="1">
        <f t="array" ref="V3384">_xlfn.IFS(
ISNUMBER(SEARCH("USA",S3384)),"United States",
ISNUMBER(SEARCH("Republic of Ireland",S3384)),"Ireland",
ISNUMBER(SEARCH("Republic of Korea",S3384)),"South Korea",
ISNUMBER(SEARCH("Cape Verde",S3384)),"Cabo Verde",
ISNUMBER(SEARCH("Czechia",S3384)),"Czech Republic",
ISNUMBER(SEARCH("Türkiye",S3384)),"Turkey",
ISNUMBER(SEARCH("Ivory Coast",S3384)),"Côte d'Ivoire",
ISNUMBER(SEARCH("Korea Republic",S3384)),"South Korea",
ISNUMBER(SEARCH("Germany FR",S3384)),"FR Germany",
ISNUMBER(SEARCH("West Germany",S3384)),"FR Germany",
ISNUMBER(SEARCH("Germany DR",S3384)),"DR Germany",
ISNUMBER(SEARCH("Korea DPR",S3384)),"North Korea",
ISNUMBER(SEARCH("China PR",S3384)),"China",
ISNUMBER(SEARCH("IR Iran",S3384)),"Iran",
ISNUMBER(SEARCH("Congo DR",S3384)),"Democratic Republic of the Congo",
ISNUMBER(SEARCH("DR Congo",S3384)),"Democratic Republic of the Congo",
ISNUMBER(SEARCH("German DR",S3384)),"DR Germany",
ISNUMBER(SEARCH("rn""&gt;United Arab Emirates",S3384)),"United Arab Emirates",
ISNUMBER(SEARCH("rn""&gt;Republic of Ireland",S3384)),"Ireland",
ISNUMBER(SEARCH("rn""&gt;Bosnia and Herzegovina",S3384)),"Bosnia and Herzegovina",
ISNUMBER(SEARCH("rn""&gt;Trinidad and Tobago",S3384)),"Trinidad and Tobago",
ISNUMBER(SEARCH("rn""&gt;Serbia and Montenegro",S3384)),"Serbia and Montenegro",
ISNUMBER(SEARCH(_xlfn.UNICHAR(65533),S3384)),"Côte d'Ivoire",
TRUE,""
)</f>
        <v/>
      </c>
      <c r="W3384" s="40" t="str">
        <f t="shared" si="231"/>
        <v>Ecuador</v>
      </c>
    </row>
    <row r="3385" spans="19:23">
      <c r="S3385" s="40" t="str">
        <v>Tunisia</v>
      </c>
      <c r="T3385" s="40" t="str">
        <f t="shared" si="229"/>
        <v>OK</v>
      </c>
      <c r="U3385" s="40" t="str">
        <f t="shared" si="230"/>
        <v>-</v>
      </c>
      <c r="V3385" s="40" t="str" cm="1">
        <f t="array" ref="V3385">_xlfn.IFS(
ISNUMBER(SEARCH("USA",S3385)),"United States",
ISNUMBER(SEARCH("Republic of Ireland",S3385)),"Ireland",
ISNUMBER(SEARCH("Republic of Korea",S3385)),"South Korea",
ISNUMBER(SEARCH("Cape Verde",S3385)),"Cabo Verde",
ISNUMBER(SEARCH("Czechia",S3385)),"Czech Republic",
ISNUMBER(SEARCH("Türkiye",S3385)),"Turkey",
ISNUMBER(SEARCH("Ivory Coast",S3385)),"Côte d'Ivoire",
ISNUMBER(SEARCH("Korea Republic",S3385)),"South Korea",
ISNUMBER(SEARCH("Germany FR",S3385)),"FR Germany",
ISNUMBER(SEARCH("West Germany",S3385)),"FR Germany",
ISNUMBER(SEARCH("Germany DR",S3385)),"DR Germany",
ISNUMBER(SEARCH("Korea DPR",S3385)),"North Korea",
ISNUMBER(SEARCH("China PR",S3385)),"China",
ISNUMBER(SEARCH("IR Iran",S3385)),"Iran",
ISNUMBER(SEARCH("Congo DR",S3385)),"Democratic Republic of the Congo",
ISNUMBER(SEARCH("DR Congo",S3385)),"Democratic Republic of the Congo",
ISNUMBER(SEARCH("German DR",S3385)),"DR Germany",
ISNUMBER(SEARCH("rn""&gt;United Arab Emirates",S3385)),"United Arab Emirates",
ISNUMBER(SEARCH("rn""&gt;Republic of Ireland",S3385)),"Ireland",
ISNUMBER(SEARCH("rn""&gt;Bosnia and Herzegovina",S3385)),"Bosnia and Herzegovina",
ISNUMBER(SEARCH("rn""&gt;Trinidad and Tobago",S3385)),"Trinidad and Tobago",
ISNUMBER(SEARCH("rn""&gt;Serbia and Montenegro",S3385)),"Serbia and Montenegro",
ISNUMBER(SEARCH(_xlfn.UNICHAR(65533),S3385)),"Côte d'Ivoire",
TRUE,""
)</f>
        <v/>
      </c>
      <c r="W3385" s="40" t="str">
        <f t="shared" si="231"/>
        <v>Tunisia</v>
      </c>
    </row>
    <row r="3386" spans="19:23">
      <c r="S3386" s="40" t="str">
        <v>Japan</v>
      </c>
      <c r="T3386" s="40" t="str">
        <f t="shared" si="229"/>
        <v>OK</v>
      </c>
      <c r="U3386" s="40" t="str">
        <f t="shared" si="230"/>
        <v>-</v>
      </c>
      <c r="V3386" s="40" t="str" cm="1">
        <f t="array" ref="V3386">_xlfn.IFS(
ISNUMBER(SEARCH("USA",S3386)),"United States",
ISNUMBER(SEARCH("Republic of Ireland",S3386)),"Ireland",
ISNUMBER(SEARCH("Republic of Korea",S3386)),"South Korea",
ISNUMBER(SEARCH("Cape Verde",S3386)),"Cabo Verde",
ISNUMBER(SEARCH("Czechia",S3386)),"Czech Republic",
ISNUMBER(SEARCH("Türkiye",S3386)),"Turkey",
ISNUMBER(SEARCH("Ivory Coast",S3386)),"Côte d'Ivoire",
ISNUMBER(SEARCH("Korea Republic",S3386)),"South Korea",
ISNUMBER(SEARCH("Germany FR",S3386)),"FR Germany",
ISNUMBER(SEARCH("West Germany",S3386)),"FR Germany",
ISNUMBER(SEARCH("Germany DR",S3386)),"DR Germany",
ISNUMBER(SEARCH("Korea DPR",S3386)),"North Korea",
ISNUMBER(SEARCH("China PR",S3386)),"China",
ISNUMBER(SEARCH("IR Iran",S3386)),"Iran",
ISNUMBER(SEARCH("Congo DR",S3386)),"Democratic Republic of the Congo",
ISNUMBER(SEARCH("DR Congo",S3386)),"Democratic Republic of the Congo",
ISNUMBER(SEARCH("German DR",S3386)),"DR Germany",
ISNUMBER(SEARCH("rn""&gt;United Arab Emirates",S3386)),"United Arab Emirates",
ISNUMBER(SEARCH("rn""&gt;Republic of Ireland",S3386)),"Ireland",
ISNUMBER(SEARCH("rn""&gt;Bosnia and Herzegovina",S3386)),"Bosnia and Herzegovina",
ISNUMBER(SEARCH("rn""&gt;Trinidad and Tobago",S3386)),"Trinidad and Tobago",
ISNUMBER(SEARCH("rn""&gt;Serbia and Montenegro",S3386)),"Serbia and Montenegro",
ISNUMBER(SEARCH(_xlfn.UNICHAR(65533),S3386)),"Côte d'Ivoire",
TRUE,""
)</f>
        <v/>
      </c>
      <c r="W3386" s="40" t="str">
        <f t="shared" si="231"/>
        <v>Japan</v>
      </c>
    </row>
    <row r="3387" spans="19:23">
      <c r="S3387" s="40" t="str">
        <v>Türkiye</v>
      </c>
      <c r="T3387" s="40" t="str">
        <f t="shared" si="229"/>
        <v>ERREUR</v>
      </c>
      <c r="U3387" s="40" t="str">
        <f t="shared" si="230"/>
        <v>RENOMMER</v>
      </c>
      <c r="V3387" s="40" t="str" cm="1">
        <f t="array" ref="V3387">_xlfn.IFS(
ISNUMBER(SEARCH("USA",S3387)),"United States",
ISNUMBER(SEARCH("Republic of Ireland",S3387)),"Ireland",
ISNUMBER(SEARCH("Republic of Korea",S3387)),"South Korea",
ISNUMBER(SEARCH("Cape Verde",S3387)),"Cabo Verde",
ISNUMBER(SEARCH("Czechia",S3387)),"Czech Republic",
ISNUMBER(SEARCH("Türkiye",S3387)),"Turkey",
ISNUMBER(SEARCH("Ivory Coast",S3387)),"Côte d'Ivoire",
ISNUMBER(SEARCH("Korea Republic",S3387)),"South Korea",
ISNUMBER(SEARCH("Germany FR",S3387)),"FR Germany",
ISNUMBER(SEARCH("West Germany",S3387)),"FR Germany",
ISNUMBER(SEARCH("Germany DR",S3387)),"DR Germany",
ISNUMBER(SEARCH("Korea DPR",S3387)),"North Korea",
ISNUMBER(SEARCH("China PR",S3387)),"China",
ISNUMBER(SEARCH("IR Iran",S3387)),"Iran",
ISNUMBER(SEARCH("Congo DR",S3387)),"Democratic Republic of the Congo",
ISNUMBER(SEARCH("DR Congo",S3387)),"Democratic Republic of the Congo",
ISNUMBER(SEARCH("German DR",S3387)),"DR Germany",
ISNUMBER(SEARCH("rn""&gt;United Arab Emirates",S3387)),"United Arab Emirates",
ISNUMBER(SEARCH("rn""&gt;Republic of Ireland",S3387)),"Ireland",
ISNUMBER(SEARCH("rn""&gt;Bosnia and Herzegovina",S3387)),"Bosnia and Herzegovina",
ISNUMBER(SEARCH("rn""&gt;Trinidad and Tobago",S3387)),"Trinidad and Tobago",
ISNUMBER(SEARCH("rn""&gt;Serbia and Montenegro",S3387)),"Serbia and Montenegro",
ISNUMBER(SEARCH(_xlfn.UNICHAR(65533),S3387)),"Côte d'Ivoire",
TRUE,""
)</f>
        <v>Turkey</v>
      </c>
      <c r="W3387" s="40" t="str">
        <f t="shared" si="231"/>
        <v>Turkey</v>
      </c>
    </row>
    <row r="3388" spans="19:23">
      <c r="S3388" s="40" t="str">
        <v>Paraguay</v>
      </c>
      <c r="T3388" s="40" t="str">
        <f t="shared" si="229"/>
        <v>OK</v>
      </c>
      <c r="U3388" s="40" t="str">
        <f t="shared" si="230"/>
        <v>-</v>
      </c>
      <c r="V3388" s="40" t="str" cm="1">
        <f t="array" ref="V3388">_xlfn.IFS(
ISNUMBER(SEARCH("USA",S3388)),"United States",
ISNUMBER(SEARCH("Republic of Ireland",S3388)),"Ireland",
ISNUMBER(SEARCH("Republic of Korea",S3388)),"South Korea",
ISNUMBER(SEARCH("Cape Verde",S3388)),"Cabo Verde",
ISNUMBER(SEARCH("Czechia",S3388)),"Czech Republic",
ISNUMBER(SEARCH("Türkiye",S3388)),"Turkey",
ISNUMBER(SEARCH("Ivory Coast",S3388)),"Côte d'Ivoire",
ISNUMBER(SEARCH("Korea Republic",S3388)),"South Korea",
ISNUMBER(SEARCH("Germany FR",S3388)),"FR Germany",
ISNUMBER(SEARCH("West Germany",S3388)),"FR Germany",
ISNUMBER(SEARCH("Germany DR",S3388)),"DR Germany",
ISNUMBER(SEARCH("Korea DPR",S3388)),"North Korea",
ISNUMBER(SEARCH("China PR",S3388)),"China",
ISNUMBER(SEARCH("IR Iran",S3388)),"Iran",
ISNUMBER(SEARCH("Congo DR",S3388)),"Democratic Republic of the Congo",
ISNUMBER(SEARCH("DR Congo",S3388)),"Democratic Republic of the Congo",
ISNUMBER(SEARCH("German DR",S3388)),"DR Germany",
ISNUMBER(SEARCH("rn""&gt;United Arab Emirates",S3388)),"United Arab Emirates",
ISNUMBER(SEARCH("rn""&gt;Republic of Ireland",S3388)),"Ireland",
ISNUMBER(SEARCH("rn""&gt;Bosnia and Herzegovina",S3388)),"Bosnia and Herzegovina",
ISNUMBER(SEARCH("rn""&gt;Trinidad and Tobago",S3388)),"Trinidad and Tobago",
ISNUMBER(SEARCH("rn""&gt;Serbia and Montenegro",S3388)),"Serbia and Montenegro",
ISNUMBER(SEARCH(_xlfn.UNICHAR(65533),S3388)),"Côte d'Ivoire",
TRUE,""
)</f>
        <v/>
      </c>
      <c r="W3388" s="40" t="str">
        <f t="shared" si="231"/>
        <v>Paraguay</v>
      </c>
    </row>
    <row r="3389" spans="19:23">
      <c r="S3389" s="40" t="str">
        <v>Norway</v>
      </c>
      <c r="T3389" s="40" t="str">
        <f t="shared" si="229"/>
        <v>OK</v>
      </c>
      <c r="U3389" s="40" t="str">
        <f t="shared" si="230"/>
        <v>-</v>
      </c>
      <c r="V3389" s="40" t="str" cm="1">
        <f t="array" ref="V3389">_xlfn.IFS(
ISNUMBER(SEARCH("USA",S3389)),"United States",
ISNUMBER(SEARCH("Republic of Ireland",S3389)),"Ireland",
ISNUMBER(SEARCH("Republic of Korea",S3389)),"South Korea",
ISNUMBER(SEARCH("Cape Verde",S3389)),"Cabo Verde",
ISNUMBER(SEARCH("Czechia",S3389)),"Czech Republic",
ISNUMBER(SEARCH("Türkiye",S3389)),"Turkey",
ISNUMBER(SEARCH("Ivory Coast",S3389)),"Côte d'Ivoire",
ISNUMBER(SEARCH("Korea Republic",S3389)),"South Korea",
ISNUMBER(SEARCH("Germany FR",S3389)),"FR Germany",
ISNUMBER(SEARCH("West Germany",S3389)),"FR Germany",
ISNUMBER(SEARCH("Germany DR",S3389)),"DR Germany",
ISNUMBER(SEARCH("Korea DPR",S3389)),"North Korea",
ISNUMBER(SEARCH("China PR",S3389)),"China",
ISNUMBER(SEARCH("IR Iran",S3389)),"Iran",
ISNUMBER(SEARCH("Congo DR",S3389)),"Democratic Republic of the Congo",
ISNUMBER(SEARCH("DR Congo",S3389)),"Democratic Republic of the Congo",
ISNUMBER(SEARCH("German DR",S3389)),"DR Germany",
ISNUMBER(SEARCH("rn""&gt;United Arab Emirates",S3389)),"United Arab Emirates",
ISNUMBER(SEARCH("rn""&gt;Republic of Ireland",S3389)),"Ireland",
ISNUMBER(SEARCH("rn""&gt;Bosnia and Herzegovina",S3389)),"Bosnia and Herzegovina",
ISNUMBER(SEARCH("rn""&gt;Trinidad and Tobago",S3389)),"Trinidad and Tobago",
ISNUMBER(SEARCH("rn""&gt;Serbia and Montenegro",S3389)),"Serbia and Montenegro",
ISNUMBER(SEARCH(_xlfn.UNICHAR(65533),S3389)),"Côte d'Ivoire",
TRUE,""
)</f>
        <v/>
      </c>
      <c r="W3389" s="40" t="str">
        <f t="shared" si="231"/>
        <v>Norway</v>
      </c>
    </row>
    <row r="3390" spans="19:23">
      <c r="S3390" s="40" t="str">
        <v>Senegal</v>
      </c>
      <c r="T3390" s="40" t="str">
        <f t="shared" si="229"/>
        <v>OK</v>
      </c>
      <c r="U3390" s="40" t="str">
        <f t="shared" si="230"/>
        <v>-</v>
      </c>
      <c r="V3390" s="40" t="str" cm="1">
        <f t="array" ref="V3390">_xlfn.IFS(
ISNUMBER(SEARCH("USA",S3390)),"United States",
ISNUMBER(SEARCH("Republic of Ireland",S3390)),"Ireland",
ISNUMBER(SEARCH("Republic of Korea",S3390)),"South Korea",
ISNUMBER(SEARCH("Cape Verde",S3390)),"Cabo Verde",
ISNUMBER(SEARCH("Czechia",S3390)),"Czech Republic",
ISNUMBER(SEARCH("Türkiye",S3390)),"Turkey",
ISNUMBER(SEARCH("Ivory Coast",S3390)),"Côte d'Ivoire",
ISNUMBER(SEARCH("Korea Republic",S3390)),"South Korea",
ISNUMBER(SEARCH("Germany FR",S3390)),"FR Germany",
ISNUMBER(SEARCH("West Germany",S3390)),"FR Germany",
ISNUMBER(SEARCH("Germany DR",S3390)),"DR Germany",
ISNUMBER(SEARCH("Korea DPR",S3390)),"North Korea",
ISNUMBER(SEARCH("China PR",S3390)),"China",
ISNUMBER(SEARCH("IR Iran",S3390)),"Iran",
ISNUMBER(SEARCH("Congo DR",S3390)),"Democratic Republic of the Congo",
ISNUMBER(SEARCH("DR Congo",S3390)),"Democratic Republic of the Congo",
ISNUMBER(SEARCH("German DR",S3390)),"DR Germany",
ISNUMBER(SEARCH("rn""&gt;United Arab Emirates",S3390)),"United Arab Emirates",
ISNUMBER(SEARCH("rn""&gt;Republic of Ireland",S3390)),"Ireland",
ISNUMBER(SEARCH("rn""&gt;Bosnia and Herzegovina",S3390)),"Bosnia and Herzegovina",
ISNUMBER(SEARCH("rn""&gt;Trinidad and Tobago",S3390)),"Trinidad and Tobago",
ISNUMBER(SEARCH("rn""&gt;Serbia and Montenegro",S3390)),"Serbia and Montenegro",
ISNUMBER(SEARCH(_xlfn.UNICHAR(65533),S3390)),"Côte d'Ivoire",
TRUE,""
)</f>
        <v/>
      </c>
      <c r="W3390" s="40" t="str">
        <f t="shared" si="231"/>
        <v>Senegal</v>
      </c>
    </row>
    <row r="3391" spans="19:23">
      <c r="S3391" s="40" t="str">
        <v>Cabo Verde</v>
      </c>
      <c r="T3391" s="40" t="str">
        <f t="shared" si="229"/>
        <v>OK</v>
      </c>
      <c r="U3391" s="40" t="str">
        <f t="shared" si="230"/>
        <v>-</v>
      </c>
      <c r="V3391" s="40" t="str" cm="1">
        <f t="array" ref="V3391">_xlfn.IFS(
ISNUMBER(SEARCH("USA",S3391)),"United States",
ISNUMBER(SEARCH("Republic of Ireland",S3391)),"Ireland",
ISNUMBER(SEARCH("Republic of Korea",S3391)),"South Korea",
ISNUMBER(SEARCH("Cape Verde",S3391)),"Cabo Verde",
ISNUMBER(SEARCH("Czechia",S3391)),"Czech Republic",
ISNUMBER(SEARCH("Türkiye",S3391)),"Turkey",
ISNUMBER(SEARCH("Ivory Coast",S3391)),"Côte d'Ivoire",
ISNUMBER(SEARCH("Korea Republic",S3391)),"South Korea",
ISNUMBER(SEARCH("Germany FR",S3391)),"FR Germany",
ISNUMBER(SEARCH("West Germany",S3391)),"FR Germany",
ISNUMBER(SEARCH("Germany DR",S3391)),"DR Germany",
ISNUMBER(SEARCH("Korea DPR",S3391)),"North Korea",
ISNUMBER(SEARCH("China PR",S3391)),"China",
ISNUMBER(SEARCH("IR Iran",S3391)),"Iran",
ISNUMBER(SEARCH("Congo DR",S3391)),"Democratic Republic of the Congo",
ISNUMBER(SEARCH("DR Congo",S3391)),"Democratic Republic of the Congo",
ISNUMBER(SEARCH("German DR",S3391)),"DR Germany",
ISNUMBER(SEARCH("rn""&gt;United Arab Emirates",S3391)),"United Arab Emirates",
ISNUMBER(SEARCH("rn""&gt;Republic of Ireland",S3391)),"Ireland",
ISNUMBER(SEARCH("rn""&gt;Bosnia and Herzegovina",S3391)),"Bosnia and Herzegovina",
ISNUMBER(SEARCH("rn""&gt;Trinidad and Tobago",S3391)),"Trinidad and Tobago",
ISNUMBER(SEARCH("rn""&gt;Serbia and Montenegro",S3391)),"Serbia and Montenegro",
ISNUMBER(SEARCH(_xlfn.UNICHAR(65533),S3391)),"Côte d'Ivoire",
TRUE,""
)</f>
        <v/>
      </c>
      <c r="W3391" s="40" t="str">
        <f t="shared" si="231"/>
        <v>Cabo Verde</v>
      </c>
    </row>
    <row r="3392" spans="19:23">
      <c r="S3392" s="40" t="str">
        <v>Uruguay</v>
      </c>
      <c r="T3392" s="40" t="str">
        <f t="shared" si="229"/>
        <v>OK</v>
      </c>
      <c r="U3392" s="40" t="str">
        <f t="shared" si="230"/>
        <v>-</v>
      </c>
      <c r="V3392" s="40" t="str" cm="1">
        <f t="array" ref="V3392">_xlfn.IFS(
ISNUMBER(SEARCH("USA",S3392)),"United States",
ISNUMBER(SEARCH("Republic of Ireland",S3392)),"Ireland",
ISNUMBER(SEARCH("Republic of Korea",S3392)),"South Korea",
ISNUMBER(SEARCH("Cape Verde",S3392)),"Cabo Verde",
ISNUMBER(SEARCH("Czechia",S3392)),"Czech Republic",
ISNUMBER(SEARCH("Türkiye",S3392)),"Turkey",
ISNUMBER(SEARCH("Ivory Coast",S3392)),"Côte d'Ivoire",
ISNUMBER(SEARCH("Korea Republic",S3392)),"South Korea",
ISNUMBER(SEARCH("Germany FR",S3392)),"FR Germany",
ISNUMBER(SEARCH("West Germany",S3392)),"FR Germany",
ISNUMBER(SEARCH("Germany DR",S3392)),"DR Germany",
ISNUMBER(SEARCH("Korea DPR",S3392)),"North Korea",
ISNUMBER(SEARCH("China PR",S3392)),"China",
ISNUMBER(SEARCH("IR Iran",S3392)),"Iran",
ISNUMBER(SEARCH("Congo DR",S3392)),"Democratic Republic of the Congo",
ISNUMBER(SEARCH("DR Congo",S3392)),"Democratic Republic of the Congo",
ISNUMBER(SEARCH("German DR",S3392)),"DR Germany",
ISNUMBER(SEARCH("rn""&gt;United Arab Emirates",S3392)),"United Arab Emirates",
ISNUMBER(SEARCH("rn""&gt;Republic of Ireland",S3392)),"Ireland",
ISNUMBER(SEARCH("rn""&gt;Bosnia and Herzegovina",S3392)),"Bosnia and Herzegovina",
ISNUMBER(SEARCH("rn""&gt;Trinidad and Tobago",S3392)),"Trinidad and Tobago",
ISNUMBER(SEARCH("rn""&gt;Serbia and Montenegro",S3392)),"Serbia and Montenegro",
ISNUMBER(SEARCH(_xlfn.UNICHAR(65533),S3392)),"Côte d'Ivoire",
TRUE,""
)</f>
        <v/>
      </c>
      <c r="W3392" s="40" t="str">
        <f t="shared" si="231"/>
        <v>Uruguay</v>
      </c>
    </row>
    <row r="3393" spans="19:23">
      <c r="S3393" s="40" t="str">
        <v>New Zealand</v>
      </c>
      <c r="T3393" s="40" t="str">
        <f t="shared" si="229"/>
        <v>OK</v>
      </c>
      <c r="U3393" s="40" t="str">
        <f t="shared" si="230"/>
        <v>-</v>
      </c>
      <c r="V3393" s="40" t="str" cm="1">
        <f t="array" ref="V3393">_xlfn.IFS(
ISNUMBER(SEARCH("USA",S3393)),"United States",
ISNUMBER(SEARCH("Republic of Ireland",S3393)),"Ireland",
ISNUMBER(SEARCH("Republic of Korea",S3393)),"South Korea",
ISNUMBER(SEARCH("Cape Verde",S3393)),"Cabo Verde",
ISNUMBER(SEARCH("Czechia",S3393)),"Czech Republic",
ISNUMBER(SEARCH("Türkiye",S3393)),"Turkey",
ISNUMBER(SEARCH("Ivory Coast",S3393)),"Côte d'Ivoire",
ISNUMBER(SEARCH("Korea Republic",S3393)),"South Korea",
ISNUMBER(SEARCH("Germany FR",S3393)),"FR Germany",
ISNUMBER(SEARCH("West Germany",S3393)),"FR Germany",
ISNUMBER(SEARCH("Germany DR",S3393)),"DR Germany",
ISNUMBER(SEARCH("Korea DPR",S3393)),"North Korea",
ISNUMBER(SEARCH("China PR",S3393)),"China",
ISNUMBER(SEARCH("IR Iran",S3393)),"Iran",
ISNUMBER(SEARCH("Congo DR",S3393)),"Democratic Republic of the Congo",
ISNUMBER(SEARCH("DR Congo",S3393)),"Democratic Republic of the Congo",
ISNUMBER(SEARCH("German DR",S3393)),"DR Germany",
ISNUMBER(SEARCH("rn""&gt;United Arab Emirates",S3393)),"United Arab Emirates",
ISNUMBER(SEARCH("rn""&gt;Republic of Ireland",S3393)),"Ireland",
ISNUMBER(SEARCH("rn""&gt;Bosnia and Herzegovina",S3393)),"Bosnia and Herzegovina",
ISNUMBER(SEARCH("rn""&gt;Trinidad and Tobago",S3393)),"Trinidad and Tobago",
ISNUMBER(SEARCH("rn""&gt;Serbia and Montenegro",S3393)),"Serbia and Montenegro",
ISNUMBER(SEARCH(_xlfn.UNICHAR(65533),S3393)),"Côte d'Ivoire",
TRUE,""
)</f>
        <v/>
      </c>
      <c r="W3393" s="40" t="str">
        <f t="shared" si="231"/>
        <v>New Zealand</v>
      </c>
    </row>
    <row r="3394" spans="19:23">
      <c r="S3394" s="40" t="str">
        <v>Egypt</v>
      </c>
      <c r="T3394" s="40" t="str">
        <f t="shared" si="229"/>
        <v>OK</v>
      </c>
      <c r="U3394" s="40" t="str">
        <f t="shared" si="230"/>
        <v>-</v>
      </c>
      <c r="V3394" s="40" t="str" cm="1">
        <f t="array" ref="V3394">_xlfn.IFS(
ISNUMBER(SEARCH("USA",S3394)),"United States",
ISNUMBER(SEARCH("Republic of Ireland",S3394)),"Ireland",
ISNUMBER(SEARCH("Republic of Korea",S3394)),"South Korea",
ISNUMBER(SEARCH("Cape Verde",S3394)),"Cabo Verde",
ISNUMBER(SEARCH("Czechia",S3394)),"Czech Republic",
ISNUMBER(SEARCH("Türkiye",S3394)),"Turkey",
ISNUMBER(SEARCH("Ivory Coast",S3394)),"Côte d'Ivoire",
ISNUMBER(SEARCH("Korea Republic",S3394)),"South Korea",
ISNUMBER(SEARCH("Germany FR",S3394)),"FR Germany",
ISNUMBER(SEARCH("West Germany",S3394)),"FR Germany",
ISNUMBER(SEARCH("Germany DR",S3394)),"DR Germany",
ISNUMBER(SEARCH("Korea DPR",S3394)),"North Korea",
ISNUMBER(SEARCH("China PR",S3394)),"China",
ISNUMBER(SEARCH("IR Iran",S3394)),"Iran",
ISNUMBER(SEARCH("Congo DR",S3394)),"Democratic Republic of the Congo",
ISNUMBER(SEARCH("DR Congo",S3394)),"Democratic Republic of the Congo",
ISNUMBER(SEARCH("German DR",S3394)),"DR Germany",
ISNUMBER(SEARCH("rn""&gt;United Arab Emirates",S3394)),"United Arab Emirates",
ISNUMBER(SEARCH("rn""&gt;Republic of Ireland",S3394)),"Ireland",
ISNUMBER(SEARCH("rn""&gt;Bosnia and Herzegovina",S3394)),"Bosnia and Herzegovina",
ISNUMBER(SEARCH("rn""&gt;Trinidad and Tobago",S3394)),"Trinidad and Tobago",
ISNUMBER(SEARCH("rn""&gt;Serbia and Montenegro",S3394)),"Serbia and Montenegro",
ISNUMBER(SEARCH(_xlfn.UNICHAR(65533),S3394)),"Côte d'Ivoire",
TRUE,""
)</f>
        <v/>
      </c>
      <c r="W3394" s="40" t="str">
        <f t="shared" si="231"/>
        <v>Egypt</v>
      </c>
    </row>
    <row r="3395" spans="19:23">
      <c r="S3395" s="40" t="str">
        <v>Panama</v>
      </c>
      <c r="T3395" s="40" t="str">
        <f t="shared" ref="T3395:T3458" si="232">IF(COUNTIF(R$13:R$250,S3395)=1,"OK","ERREUR")</f>
        <v>OK</v>
      </c>
      <c r="U3395" s="40" t="str">
        <f t="shared" si="230"/>
        <v>-</v>
      </c>
      <c r="V3395" s="40" t="str" cm="1">
        <f t="array" ref="V3395">_xlfn.IFS(
ISNUMBER(SEARCH("USA",S3395)),"United States",
ISNUMBER(SEARCH("Republic of Ireland",S3395)),"Ireland",
ISNUMBER(SEARCH("Republic of Korea",S3395)),"South Korea",
ISNUMBER(SEARCH("Cape Verde",S3395)),"Cabo Verde",
ISNUMBER(SEARCH("Czechia",S3395)),"Czech Republic",
ISNUMBER(SEARCH("Türkiye",S3395)),"Turkey",
ISNUMBER(SEARCH("Ivory Coast",S3395)),"Côte d'Ivoire",
ISNUMBER(SEARCH("Korea Republic",S3395)),"South Korea",
ISNUMBER(SEARCH("Germany FR",S3395)),"FR Germany",
ISNUMBER(SEARCH("West Germany",S3395)),"FR Germany",
ISNUMBER(SEARCH("Germany DR",S3395)),"DR Germany",
ISNUMBER(SEARCH("Korea DPR",S3395)),"North Korea",
ISNUMBER(SEARCH("China PR",S3395)),"China",
ISNUMBER(SEARCH("IR Iran",S3395)),"Iran",
ISNUMBER(SEARCH("Congo DR",S3395)),"Democratic Republic of the Congo",
ISNUMBER(SEARCH("DR Congo",S3395)),"Democratic Republic of the Congo",
ISNUMBER(SEARCH("German DR",S3395)),"DR Germany",
ISNUMBER(SEARCH("rn""&gt;United Arab Emirates",S3395)),"United Arab Emirates",
ISNUMBER(SEARCH("rn""&gt;Republic of Ireland",S3395)),"Ireland",
ISNUMBER(SEARCH("rn""&gt;Bosnia and Herzegovina",S3395)),"Bosnia and Herzegovina",
ISNUMBER(SEARCH("rn""&gt;Trinidad and Tobago",S3395)),"Trinidad and Tobago",
ISNUMBER(SEARCH("rn""&gt;Serbia and Montenegro",S3395)),"Serbia and Montenegro",
ISNUMBER(SEARCH(_xlfn.UNICHAR(65533),S3395)),"Côte d'Ivoire",
TRUE,""
)</f>
        <v/>
      </c>
      <c r="W3395" s="40" t="str">
        <f t="shared" si="231"/>
        <v>Panama</v>
      </c>
    </row>
    <row r="3396" spans="19:23">
      <c r="S3396" s="40" t="str">
        <v>Croatia</v>
      </c>
      <c r="T3396" s="40" t="str">
        <f t="shared" si="232"/>
        <v>OK</v>
      </c>
      <c r="U3396" s="40" t="str">
        <f t="shared" ref="U3396:U3459" si="233">IF(OR(S3396="Scotland",S3396="England",S3396="Wales",S3396="Yugoslavia",S3396="Czechoslovakia",S3396="Northern Ireland",S3396="Soviet Union",S3396="Zaire",S3396="Dutch East Indies"),"AUCUNE",IF(OR(S3396="Cape Verde",S3396="USA",S3396="DR Congo",S3396="Republic of Korea",S3396="Germany FR",S3396="Germany DR",S3396="Czechia",S3396="Ivory Coast",S3396="Korea DPR",S3396="China PR",S3396="IR Iran",S3396="Türkiye",S3396="Congo DR",S3396="German DR",S3396="West Germany",S3396="Republic of Ireland",ISNUMBER(SEARCH(_xlfn.UNICHAR(65533),S3396)),S3396="Korea Republic",ISNUMBER(SEARCH("rn""&gt;United Arab Emirates",S3396)),ISNUMBER(SEARCH("rn""&gt;Republic of Ireland",S3396)),ISNUMBER(SEARCH("rn""&gt;Bosnia and Herzegovina",S3396)),ISNUMBER(SEARCH("rn""&gt;Trinidad and Tobago",S3396)),ISNUMBER(SEARCH("rn""&gt;Serbia and Montenegro",S3396)),ISNUMBER(SEARCH(_xlfn.UNICHAR(65533),S3396))),"RENOMMER","-"))</f>
        <v>-</v>
      </c>
      <c r="V3396" s="40" t="str" cm="1">
        <f t="array" ref="V3396">_xlfn.IFS(
ISNUMBER(SEARCH("USA",S3396)),"United States",
ISNUMBER(SEARCH("Republic of Ireland",S3396)),"Ireland",
ISNUMBER(SEARCH("Republic of Korea",S3396)),"South Korea",
ISNUMBER(SEARCH("Cape Verde",S3396)),"Cabo Verde",
ISNUMBER(SEARCH("Czechia",S3396)),"Czech Republic",
ISNUMBER(SEARCH("Türkiye",S3396)),"Turkey",
ISNUMBER(SEARCH("Ivory Coast",S3396)),"Côte d'Ivoire",
ISNUMBER(SEARCH("Korea Republic",S3396)),"South Korea",
ISNUMBER(SEARCH("Germany FR",S3396)),"FR Germany",
ISNUMBER(SEARCH("West Germany",S3396)),"FR Germany",
ISNUMBER(SEARCH("Germany DR",S3396)),"DR Germany",
ISNUMBER(SEARCH("Korea DPR",S3396)),"North Korea",
ISNUMBER(SEARCH("China PR",S3396)),"China",
ISNUMBER(SEARCH("IR Iran",S3396)),"Iran",
ISNUMBER(SEARCH("Congo DR",S3396)),"Democratic Republic of the Congo",
ISNUMBER(SEARCH("DR Congo",S3396)),"Democratic Republic of the Congo",
ISNUMBER(SEARCH("German DR",S3396)),"DR Germany",
ISNUMBER(SEARCH("rn""&gt;United Arab Emirates",S3396)),"United Arab Emirates",
ISNUMBER(SEARCH("rn""&gt;Republic of Ireland",S3396)),"Ireland",
ISNUMBER(SEARCH("rn""&gt;Bosnia and Herzegovina",S3396)),"Bosnia and Herzegovina",
ISNUMBER(SEARCH("rn""&gt;Trinidad and Tobago",S3396)),"Trinidad and Tobago",
ISNUMBER(SEARCH("rn""&gt;Serbia and Montenegro",S3396)),"Serbia and Montenegro",
ISNUMBER(SEARCH(_xlfn.UNICHAR(65533),S3396)),"Côte d'Ivoire",
TRUE,""
)</f>
        <v/>
      </c>
      <c r="W3396" s="40" t="str">
        <f t="shared" ref="W3396:W3459" si="234">IF(V3396="",S3396,V3396)</f>
        <v>Croatia</v>
      </c>
    </row>
    <row r="3397" spans="19:23">
      <c r="S3397" s="40" t="str">
        <v>South Africa</v>
      </c>
      <c r="T3397" s="40" t="str">
        <f t="shared" si="232"/>
        <v>OK</v>
      </c>
      <c r="U3397" s="40" t="str">
        <f t="shared" si="233"/>
        <v>-</v>
      </c>
      <c r="V3397" s="40" t="str" cm="1">
        <f t="array" ref="V3397">_xlfn.IFS(
ISNUMBER(SEARCH("USA",S3397)),"United States",
ISNUMBER(SEARCH("Republic of Ireland",S3397)),"Ireland",
ISNUMBER(SEARCH("Republic of Korea",S3397)),"South Korea",
ISNUMBER(SEARCH("Cape Verde",S3397)),"Cabo Verde",
ISNUMBER(SEARCH("Czechia",S3397)),"Czech Republic",
ISNUMBER(SEARCH("Türkiye",S3397)),"Turkey",
ISNUMBER(SEARCH("Ivory Coast",S3397)),"Côte d'Ivoire",
ISNUMBER(SEARCH("Korea Republic",S3397)),"South Korea",
ISNUMBER(SEARCH("Germany FR",S3397)),"FR Germany",
ISNUMBER(SEARCH("West Germany",S3397)),"FR Germany",
ISNUMBER(SEARCH("Germany DR",S3397)),"DR Germany",
ISNUMBER(SEARCH("Korea DPR",S3397)),"North Korea",
ISNUMBER(SEARCH("China PR",S3397)),"China",
ISNUMBER(SEARCH("IR Iran",S3397)),"Iran",
ISNUMBER(SEARCH("Congo DR",S3397)),"Democratic Republic of the Congo",
ISNUMBER(SEARCH("DR Congo",S3397)),"Democratic Republic of the Congo",
ISNUMBER(SEARCH("German DR",S3397)),"DR Germany",
ISNUMBER(SEARCH("rn""&gt;United Arab Emirates",S3397)),"United Arab Emirates",
ISNUMBER(SEARCH("rn""&gt;Republic of Ireland",S3397)),"Ireland",
ISNUMBER(SEARCH("rn""&gt;Bosnia and Herzegovina",S3397)),"Bosnia and Herzegovina",
ISNUMBER(SEARCH("rn""&gt;Trinidad and Tobago",S3397)),"Trinidad and Tobago",
ISNUMBER(SEARCH("rn""&gt;Serbia and Montenegro",S3397)),"Serbia and Montenegro",
ISNUMBER(SEARCH(_xlfn.UNICHAR(65533),S3397)),"Côte d'Ivoire",
TRUE,""
)</f>
        <v/>
      </c>
      <c r="W3397" s="40" t="str">
        <f t="shared" si="234"/>
        <v>South Africa</v>
      </c>
    </row>
    <row r="3398" spans="19:23">
      <c r="S3398" s="40" t="str">
        <v>Germany</v>
      </c>
      <c r="T3398" s="40" t="str">
        <f t="shared" si="232"/>
        <v>OK</v>
      </c>
      <c r="U3398" s="40" t="str">
        <f t="shared" si="233"/>
        <v>-</v>
      </c>
      <c r="V3398" s="40" t="str" cm="1">
        <f t="array" ref="V3398">_xlfn.IFS(
ISNUMBER(SEARCH("USA",S3398)),"United States",
ISNUMBER(SEARCH("Republic of Ireland",S3398)),"Ireland",
ISNUMBER(SEARCH("Republic of Korea",S3398)),"South Korea",
ISNUMBER(SEARCH("Cape Verde",S3398)),"Cabo Verde",
ISNUMBER(SEARCH("Czechia",S3398)),"Czech Republic",
ISNUMBER(SEARCH("Türkiye",S3398)),"Turkey",
ISNUMBER(SEARCH("Ivory Coast",S3398)),"Côte d'Ivoire",
ISNUMBER(SEARCH("Korea Republic",S3398)),"South Korea",
ISNUMBER(SEARCH("Germany FR",S3398)),"FR Germany",
ISNUMBER(SEARCH("West Germany",S3398)),"FR Germany",
ISNUMBER(SEARCH("Germany DR",S3398)),"DR Germany",
ISNUMBER(SEARCH("Korea DPR",S3398)),"North Korea",
ISNUMBER(SEARCH("China PR",S3398)),"China",
ISNUMBER(SEARCH("IR Iran",S3398)),"Iran",
ISNUMBER(SEARCH("Congo DR",S3398)),"Democratic Republic of the Congo",
ISNUMBER(SEARCH("DR Congo",S3398)),"Democratic Republic of the Congo",
ISNUMBER(SEARCH("German DR",S3398)),"DR Germany",
ISNUMBER(SEARCH("rn""&gt;United Arab Emirates",S3398)),"United Arab Emirates",
ISNUMBER(SEARCH("rn""&gt;Republic of Ireland",S3398)),"Ireland",
ISNUMBER(SEARCH("rn""&gt;Bosnia and Herzegovina",S3398)),"Bosnia and Herzegovina",
ISNUMBER(SEARCH("rn""&gt;Trinidad and Tobago",S3398)),"Trinidad and Tobago",
ISNUMBER(SEARCH("rn""&gt;Serbia and Montenegro",S3398)),"Serbia and Montenegro",
ISNUMBER(SEARCH(_xlfn.UNICHAR(65533),S3398)),"Côte d'Ivoire",
TRUE,""
)</f>
        <v/>
      </c>
      <c r="W3398" s="40" t="str">
        <f t="shared" si="234"/>
        <v>Germany</v>
      </c>
    </row>
    <row r="3399" spans="19:23">
      <c r="S3399" s="40" t="str">
        <v>Netherlands</v>
      </c>
      <c r="T3399" s="40" t="str">
        <f t="shared" si="232"/>
        <v>OK</v>
      </c>
      <c r="U3399" s="40" t="str">
        <f t="shared" si="233"/>
        <v>-</v>
      </c>
      <c r="V3399" s="40" t="str" cm="1">
        <f t="array" ref="V3399">_xlfn.IFS(
ISNUMBER(SEARCH("USA",S3399)),"United States",
ISNUMBER(SEARCH("Republic of Ireland",S3399)),"Ireland",
ISNUMBER(SEARCH("Republic of Korea",S3399)),"South Korea",
ISNUMBER(SEARCH("Cape Verde",S3399)),"Cabo Verde",
ISNUMBER(SEARCH("Czechia",S3399)),"Czech Republic",
ISNUMBER(SEARCH("Türkiye",S3399)),"Turkey",
ISNUMBER(SEARCH("Ivory Coast",S3399)),"Côte d'Ivoire",
ISNUMBER(SEARCH("Korea Republic",S3399)),"South Korea",
ISNUMBER(SEARCH("Germany FR",S3399)),"FR Germany",
ISNUMBER(SEARCH("West Germany",S3399)),"FR Germany",
ISNUMBER(SEARCH("Germany DR",S3399)),"DR Germany",
ISNUMBER(SEARCH("Korea DPR",S3399)),"North Korea",
ISNUMBER(SEARCH("China PR",S3399)),"China",
ISNUMBER(SEARCH("IR Iran",S3399)),"Iran",
ISNUMBER(SEARCH("Congo DR",S3399)),"Democratic Republic of the Congo",
ISNUMBER(SEARCH("DR Congo",S3399)),"Democratic Republic of the Congo",
ISNUMBER(SEARCH("German DR",S3399)),"DR Germany",
ISNUMBER(SEARCH("rn""&gt;United Arab Emirates",S3399)),"United Arab Emirates",
ISNUMBER(SEARCH("rn""&gt;Republic of Ireland",S3399)),"Ireland",
ISNUMBER(SEARCH("rn""&gt;Bosnia and Herzegovina",S3399)),"Bosnia and Herzegovina",
ISNUMBER(SEARCH("rn""&gt;Trinidad and Tobago",S3399)),"Trinidad and Tobago",
ISNUMBER(SEARCH("rn""&gt;Serbia and Montenegro",S3399)),"Serbia and Montenegro",
ISNUMBER(SEARCH(_xlfn.UNICHAR(65533),S3399)),"Côte d'Ivoire",
TRUE,""
)</f>
        <v/>
      </c>
      <c r="W3399" s="40" t="str">
        <f t="shared" si="234"/>
        <v>Netherlands</v>
      </c>
    </row>
    <row r="3400" spans="19:23">
      <c r="S3400" s="40" t="str">
        <v>Brazil</v>
      </c>
      <c r="T3400" s="40" t="str">
        <f t="shared" si="232"/>
        <v>OK</v>
      </c>
      <c r="U3400" s="40" t="str">
        <f t="shared" si="233"/>
        <v>-</v>
      </c>
      <c r="V3400" s="40" t="str" cm="1">
        <f t="array" ref="V3400">_xlfn.IFS(
ISNUMBER(SEARCH("USA",S3400)),"United States",
ISNUMBER(SEARCH("Republic of Ireland",S3400)),"Ireland",
ISNUMBER(SEARCH("Republic of Korea",S3400)),"South Korea",
ISNUMBER(SEARCH("Cape Verde",S3400)),"Cabo Verde",
ISNUMBER(SEARCH("Czechia",S3400)),"Czech Republic",
ISNUMBER(SEARCH("Türkiye",S3400)),"Turkey",
ISNUMBER(SEARCH("Ivory Coast",S3400)),"Côte d'Ivoire",
ISNUMBER(SEARCH("Korea Republic",S3400)),"South Korea",
ISNUMBER(SEARCH("Germany FR",S3400)),"FR Germany",
ISNUMBER(SEARCH("West Germany",S3400)),"FR Germany",
ISNUMBER(SEARCH("Germany DR",S3400)),"DR Germany",
ISNUMBER(SEARCH("Korea DPR",S3400)),"North Korea",
ISNUMBER(SEARCH("China PR",S3400)),"China",
ISNUMBER(SEARCH("IR Iran",S3400)),"Iran",
ISNUMBER(SEARCH("Congo DR",S3400)),"Democratic Republic of the Congo",
ISNUMBER(SEARCH("DR Congo",S3400)),"Democratic Republic of the Congo",
ISNUMBER(SEARCH("German DR",S3400)),"DR Germany",
ISNUMBER(SEARCH("rn""&gt;United Arab Emirates",S3400)),"United Arab Emirates",
ISNUMBER(SEARCH("rn""&gt;Republic of Ireland",S3400)),"Ireland",
ISNUMBER(SEARCH("rn""&gt;Bosnia and Herzegovina",S3400)),"Bosnia and Herzegovina",
ISNUMBER(SEARCH("rn""&gt;Trinidad and Tobago",S3400)),"Trinidad and Tobago",
ISNUMBER(SEARCH("rn""&gt;Serbia and Montenegro",S3400)),"Serbia and Montenegro",
ISNUMBER(SEARCH(_xlfn.UNICHAR(65533),S3400)),"Côte d'Ivoire",
TRUE,""
)</f>
        <v/>
      </c>
      <c r="W3400" s="40" t="str">
        <f t="shared" si="234"/>
        <v>Brazil</v>
      </c>
    </row>
    <row r="3401" spans="19:23">
      <c r="S3401" s="40" t="str">
        <v>France</v>
      </c>
      <c r="T3401" s="40" t="str">
        <f t="shared" si="232"/>
        <v>OK</v>
      </c>
      <c r="U3401" s="40" t="str">
        <f t="shared" si="233"/>
        <v>-</v>
      </c>
      <c r="V3401" s="40" t="str" cm="1">
        <f t="array" ref="V3401">_xlfn.IFS(
ISNUMBER(SEARCH("USA",S3401)),"United States",
ISNUMBER(SEARCH("Republic of Ireland",S3401)),"Ireland",
ISNUMBER(SEARCH("Republic of Korea",S3401)),"South Korea",
ISNUMBER(SEARCH("Cape Verde",S3401)),"Cabo Verde",
ISNUMBER(SEARCH("Czechia",S3401)),"Czech Republic",
ISNUMBER(SEARCH("Türkiye",S3401)),"Turkey",
ISNUMBER(SEARCH("Ivory Coast",S3401)),"Côte d'Ivoire",
ISNUMBER(SEARCH("Korea Republic",S3401)),"South Korea",
ISNUMBER(SEARCH("Germany FR",S3401)),"FR Germany",
ISNUMBER(SEARCH("West Germany",S3401)),"FR Germany",
ISNUMBER(SEARCH("Germany DR",S3401)),"DR Germany",
ISNUMBER(SEARCH("Korea DPR",S3401)),"North Korea",
ISNUMBER(SEARCH("China PR",S3401)),"China",
ISNUMBER(SEARCH("IR Iran",S3401)),"Iran",
ISNUMBER(SEARCH("Congo DR",S3401)),"Democratic Republic of the Congo",
ISNUMBER(SEARCH("DR Congo",S3401)),"Democratic Republic of the Congo",
ISNUMBER(SEARCH("German DR",S3401)),"DR Germany",
ISNUMBER(SEARCH("rn""&gt;United Arab Emirates",S3401)),"United Arab Emirates",
ISNUMBER(SEARCH("rn""&gt;Republic of Ireland",S3401)),"Ireland",
ISNUMBER(SEARCH("rn""&gt;Bosnia and Herzegovina",S3401)),"Bosnia and Herzegovina",
ISNUMBER(SEARCH("rn""&gt;Trinidad and Tobago",S3401)),"Trinidad and Tobago",
ISNUMBER(SEARCH("rn""&gt;Serbia and Montenegro",S3401)),"Serbia and Montenegro",
ISNUMBER(SEARCH(_xlfn.UNICHAR(65533),S3401)),"Côte d'Ivoire",
TRUE,""
)</f>
        <v/>
      </c>
      <c r="W3401" s="40" t="str">
        <f t="shared" si="234"/>
        <v>France</v>
      </c>
    </row>
    <row r="3402" spans="19:23">
      <c r="S3402" s="40" t="str">
        <v>Ivory Coast</v>
      </c>
      <c r="T3402" s="40" t="str">
        <f t="shared" si="232"/>
        <v>ERREUR</v>
      </c>
      <c r="U3402" s="40" t="str">
        <f t="shared" si="233"/>
        <v>RENOMMER</v>
      </c>
      <c r="V3402" s="40" t="str" cm="1">
        <f t="array" ref="V3402">_xlfn.IFS(
ISNUMBER(SEARCH("USA",S3402)),"United States",
ISNUMBER(SEARCH("Republic of Ireland",S3402)),"Ireland",
ISNUMBER(SEARCH("Republic of Korea",S3402)),"South Korea",
ISNUMBER(SEARCH("Cape Verde",S3402)),"Cabo Verde",
ISNUMBER(SEARCH("Czechia",S3402)),"Czech Republic",
ISNUMBER(SEARCH("Türkiye",S3402)),"Turkey",
ISNUMBER(SEARCH("Ivory Coast",S3402)),"Côte d'Ivoire",
ISNUMBER(SEARCH("Korea Republic",S3402)),"South Korea",
ISNUMBER(SEARCH("Germany FR",S3402)),"FR Germany",
ISNUMBER(SEARCH("West Germany",S3402)),"FR Germany",
ISNUMBER(SEARCH("Germany DR",S3402)),"DR Germany",
ISNUMBER(SEARCH("Korea DPR",S3402)),"North Korea",
ISNUMBER(SEARCH("China PR",S3402)),"China",
ISNUMBER(SEARCH("IR Iran",S3402)),"Iran",
ISNUMBER(SEARCH("Congo DR",S3402)),"Democratic Republic of the Congo",
ISNUMBER(SEARCH("DR Congo",S3402)),"Democratic Republic of the Congo",
ISNUMBER(SEARCH("German DR",S3402)),"DR Germany",
ISNUMBER(SEARCH("rn""&gt;United Arab Emirates",S3402)),"United Arab Emirates",
ISNUMBER(SEARCH("rn""&gt;Republic of Ireland",S3402)),"Ireland",
ISNUMBER(SEARCH("rn""&gt;Bosnia and Herzegovina",S3402)),"Bosnia and Herzegovina",
ISNUMBER(SEARCH("rn""&gt;Trinidad and Tobago",S3402)),"Trinidad and Tobago",
ISNUMBER(SEARCH("rn""&gt;Serbia and Montenegro",S3402)),"Serbia and Montenegro",
ISNUMBER(SEARCH(_xlfn.UNICHAR(65533),S3402)),"Côte d'Ivoire",
TRUE,""
)</f>
        <v>Côte d'Ivoire</v>
      </c>
      <c r="W3402" s="40" t="str">
        <f t="shared" si="234"/>
        <v>Côte d'Ivoire</v>
      </c>
    </row>
    <row r="3403" spans="19:23">
      <c r="S3403" s="40" t="str">
        <v>Mexico</v>
      </c>
      <c r="T3403" s="40" t="str">
        <f t="shared" si="232"/>
        <v>OK</v>
      </c>
      <c r="U3403" s="40" t="str">
        <f t="shared" si="233"/>
        <v>-</v>
      </c>
      <c r="V3403" s="40" t="str" cm="1">
        <f t="array" ref="V3403">_xlfn.IFS(
ISNUMBER(SEARCH("USA",S3403)),"United States",
ISNUMBER(SEARCH("Republic of Ireland",S3403)),"Ireland",
ISNUMBER(SEARCH("Republic of Korea",S3403)),"South Korea",
ISNUMBER(SEARCH("Cape Verde",S3403)),"Cabo Verde",
ISNUMBER(SEARCH("Czechia",S3403)),"Czech Republic",
ISNUMBER(SEARCH("Türkiye",S3403)),"Turkey",
ISNUMBER(SEARCH("Ivory Coast",S3403)),"Côte d'Ivoire",
ISNUMBER(SEARCH("Korea Republic",S3403)),"South Korea",
ISNUMBER(SEARCH("Germany FR",S3403)),"FR Germany",
ISNUMBER(SEARCH("West Germany",S3403)),"FR Germany",
ISNUMBER(SEARCH("Germany DR",S3403)),"DR Germany",
ISNUMBER(SEARCH("Korea DPR",S3403)),"North Korea",
ISNUMBER(SEARCH("China PR",S3403)),"China",
ISNUMBER(SEARCH("IR Iran",S3403)),"Iran",
ISNUMBER(SEARCH("Congo DR",S3403)),"Democratic Republic of the Congo",
ISNUMBER(SEARCH("DR Congo",S3403)),"Democratic Republic of the Congo",
ISNUMBER(SEARCH("German DR",S3403)),"DR Germany",
ISNUMBER(SEARCH("rn""&gt;United Arab Emirates",S3403)),"United Arab Emirates",
ISNUMBER(SEARCH("rn""&gt;Republic of Ireland",S3403)),"Ireland",
ISNUMBER(SEARCH("rn""&gt;Bosnia and Herzegovina",S3403)),"Bosnia and Herzegovina",
ISNUMBER(SEARCH("rn""&gt;Trinidad and Tobago",S3403)),"Trinidad and Tobago",
ISNUMBER(SEARCH("rn""&gt;Serbia and Montenegro",S3403)),"Serbia and Montenegro",
ISNUMBER(SEARCH(_xlfn.UNICHAR(65533),S3403)),"Côte d'Ivoire",
TRUE,""
)</f>
        <v/>
      </c>
      <c r="W3403" s="40" t="str">
        <f t="shared" si="234"/>
        <v>Mexico</v>
      </c>
    </row>
    <row r="3404" spans="19:23">
      <c r="S3404" s="40" t="str">
        <v>England</v>
      </c>
      <c r="T3404" s="40" t="str">
        <f t="shared" si="232"/>
        <v>ERREUR</v>
      </c>
      <c r="U3404" s="40" t="str">
        <f t="shared" si="233"/>
        <v>AUCUNE</v>
      </c>
      <c r="V3404" s="40" t="str" cm="1">
        <f t="array" ref="V3404">_xlfn.IFS(
ISNUMBER(SEARCH("USA",S3404)),"United States",
ISNUMBER(SEARCH("Republic of Ireland",S3404)),"Ireland",
ISNUMBER(SEARCH("Republic of Korea",S3404)),"South Korea",
ISNUMBER(SEARCH("Cape Verde",S3404)),"Cabo Verde",
ISNUMBER(SEARCH("Czechia",S3404)),"Czech Republic",
ISNUMBER(SEARCH("Türkiye",S3404)),"Turkey",
ISNUMBER(SEARCH("Ivory Coast",S3404)),"Côte d'Ivoire",
ISNUMBER(SEARCH("Korea Republic",S3404)),"South Korea",
ISNUMBER(SEARCH("Germany FR",S3404)),"FR Germany",
ISNUMBER(SEARCH("West Germany",S3404)),"FR Germany",
ISNUMBER(SEARCH("Germany DR",S3404)),"DR Germany",
ISNUMBER(SEARCH("Korea DPR",S3404)),"North Korea",
ISNUMBER(SEARCH("China PR",S3404)),"China",
ISNUMBER(SEARCH("IR Iran",S3404)),"Iran",
ISNUMBER(SEARCH("Congo DR",S3404)),"Democratic Republic of the Congo",
ISNUMBER(SEARCH("DR Congo",S3404)),"Democratic Republic of the Congo",
ISNUMBER(SEARCH("German DR",S3404)),"DR Germany",
ISNUMBER(SEARCH("rn""&gt;United Arab Emirates",S3404)),"United Arab Emirates",
ISNUMBER(SEARCH("rn""&gt;Republic of Ireland",S3404)),"Ireland",
ISNUMBER(SEARCH("rn""&gt;Bosnia and Herzegovina",S3404)),"Bosnia and Herzegovina",
ISNUMBER(SEARCH("rn""&gt;Trinidad and Tobago",S3404)),"Trinidad and Tobago",
ISNUMBER(SEARCH("rn""&gt;Serbia and Montenegro",S3404)),"Serbia and Montenegro",
ISNUMBER(SEARCH(_xlfn.UNICHAR(65533),S3404)),"Côte d'Ivoire",
TRUE,""
)</f>
        <v/>
      </c>
      <c r="W3404" s="40" t="str">
        <f t="shared" si="234"/>
        <v>England</v>
      </c>
    </row>
    <row r="3405" spans="19:23">
      <c r="S3405" s="40" t="str">
        <v>Belgium</v>
      </c>
      <c r="T3405" s="40" t="str">
        <f t="shared" si="232"/>
        <v>OK</v>
      </c>
      <c r="U3405" s="40" t="str">
        <f t="shared" si="233"/>
        <v>-</v>
      </c>
      <c r="V3405" s="40" t="str" cm="1">
        <f t="array" ref="V3405">_xlfn.IFS(
ISNUMBER(SEARCH("USA",S3405)),"United States",
ISNUMBER(SEARCH("Republic of Ireland",S3405)),"Ireland",
ISNUMBER(SEARCH("Republic of Korea",S3405)),"South Korea",
ISNUMBER(SEARCH("Cape Verde",S3405)),"Cabo Verde",
ISNUMBER(SEARCH("Czechia",S3405)),"Czech Republic",
ISNUMBER(SEARCH("Türkiye",S3405)),"Turkey",
ISNUMBER(SEARCH("Ivory Coast",S3405)),"Côte d'Ivoire",
ISNUMBER(SEARCH("Korea Republic",S3405)),"South Korea",
ISNUMBER(SEARCH("Germany FR",S3405)),"FR Germany",
ISNUMBER(SEARCH("West Germany",S3405)),"FR Germany",
ISNUMBER(SEARCH("Germany DR",S3405)),"DR Germany",
ISNUMBER(SEARCH("Korea DPR",S3405)),"North Korea",
ISNUMBER(SEARCH("China PR",S3405)),"China",
ISNUMBER(SEARCH("IR Iran",S3405)),"Iran",
ISNUMBER(SEARCH("Congo DR",S3405)),"Democratic Republic of the Congo",
ISNUMBER(SEARCH("DR Congo",S3405)),"Democratic Republic of the Congo",
ISNUMBER(SEARCH("German DR",S3405)),"DR Germany",
ISNUMBER(SEARCH("rn""&gt;United Arab Emirates",S3405)),"United Arab Emirates",
ISNUMBER(SEARCH("rn""&gt;Republic of Ireland",S3405)),"Ireland",
ISNUMBER(SEARCH("rn""&gt;Bosnia and Herzegovina",S3405)),"Bosnia and Herzegovina",
ISNUMBER(SEARCH("rn""&gt;Trinidad and Tobago",S3405)),"Trinidad and Tobago",
ISNUMBER(SEARCH("rn""&gt;Serbia and Montenegro",S3405)),"Serbia and Montenegro",
ISNUMBER(SEARCH(_xlfn.UNICHAR(65533),S3405)),"Côte d'Ivoire",
TRUE,""
)</f>
        <v/>
      </c>
      <c r="W3405" s="40" t="str">
        <f t="shared" si="234"/>
        <v>Belgium</v>
      </c>
    </row>
    <row r="3406" spans="19:23">
      <c r="S3406" s="40" t="str">
        <v>USA</v>
      </c>
      <c r="T3406" s="40" t="str">
        <f t="shared" si="232"/>
        <v>ERREUR</v>
      </c>
      <c r="U3406" s="40" t="str">
        <f t="shared" si="233"/>
        <v>RENOMMER</v>
      </c>
      <c r="V3406" s="40" t="str" cm="1">
        <f t="array" ref="V3406">_xlfn.IFS(
ISNUMBER(SEARCH("USA",S3406)),"United States",
ISNUMBER(SEARCH("Republic of Ireland",S3406)),"Ireland",
ISNUMBER(SEARCH("Republic of Korea",S3406)),"South Korea",
ISNUMBER(SEARCH("Cape Verde",S3406)),"Cabo Verde",
ISNUMBER(SEARCH("Czechia",S3406)),"Czech Republic",
ISNUMBER(SEARCH("Türkiye",S3406)),"Turkey",
ISNUMBER(SEARCH("Ivory Coast",S3406)),"Côte d'Ivoire",
ISNUMBER(SEARCH("Korea Republic",S3406)),"South Korea",
ISNUMBER(SEARCH("Germany FR",S3406)),"FR Germany",
ISNUMBER(SEARCH("West Germany",S3406)),"FR Germany",
ISNUMBER(SEARCH("Germany DR",S3406)),"DR Germany",
ISNUMBER(SEARCH("Korea DPR",S3406)),"North Korea",
ISNUMBER(SEARCH("China PR",S3406)),"China",
ISNUMBER(SEARCH("IR Iran",S3406)),"Iran",
ISNUMBER(SEARCH("Congo DR",S3406)),"Democratic Republic of the Congo",
ISNUMBER(SEARCH("DR Congo",S3406)),"Democratic Republic of the Congo",
ISNUMBER(SEARCH("German DR",S3406)),"DR Germany",
ISNUMBER(SEARCH("rn""&gt;United Arab Emirates",S3406)),"United Arab Emirates",
ISNUMBER(SEARCH("rn""&gt;Republic of Ireland",S3406)),"Ireland",
ISNUMBER(SEARCH("rn""&gt;Bosnia and Herzegovina",S3406)),"Bosnia and Herzegovina",
ISNUMBER(SEARCH("rn""&gt;Trinidad and Tobago",S3406)),"Trinidad and Tobago",
ISNUMBER(SEARCH("rn""&gt;Serbia and Montenegro",S3406)),"Serbia and Montenegro",
ISNUMBER(SEARCH(_xlfn.UNICHAR(65533),S3406)),"Côte d'Ivoire",
TRUE,""
)</f>
        <v>United States</v>
      </c>
      <c r="W3406" s="40" t="str">
        <f t="shared" si="234"/>
        <v>United States</v>
      </c>
    </row>
    <row r="3407" spans="19:23">
      <c r="S3407" s="40" t="str">
        <v>Portugal</v>
      </c>
      <c r="T3407" s="40" t="str">
        <f t="shared" si="232"/>
        <v>OK</v>
      </c>
      <c r="U3407" s="40" t="str">
        <f t="shared" si="233"/>
        <v>-</v>
      </c>
      <c r="V3407" s="40" t="str" cm="1">
        <f t="array" ref="V3407">_xlfn.IFS(
ISNUMBER(SEARCH("USA",S3407)),"United States",
ISNUMBER(SEARCH("Republic of Ireland",S3407)),"Ireland",
ISNUMBER(SEARCH("Republic of Korea",S3407)),"South Korea",
ISNUMBER(SEARCH("Cape Verde",S3407)),"Cabo Verde",
ISNUMBER(SEARCH("Czechia",S3407)),"Czech Republic",
ISNUMBER(SEARCH("Türkiye",S3407)),"Turkey",
ISNUMBER(SEARCH("Ivory Coast",S3407)),"Côte d'Ivoire",
ISNUMBER(SEARCH("Korea Republic",S3407)),"South Korea",
ISNUMBER(SEARCH("Germany FR",S3407)),"FR Germany",
ISNUMBER(SEARCH("West Germany",S3407)),"FR Germany",
ISNUMBER(SEARCH("Germany DR",S3407)),"DR Germany",
ISNUMBER(SEARCH("Korea DPR",S3407)),"North Korea",
ISNUMBER(SEARCH("China PR",S3407)),"China",
ISNUMBER(SEARCH("IR Iran",S3407)),"Iran",
ISNUMBER(SEARCH("Congo DR",S3407)),"Democratic Republic of the Congo",
ISNUMBER(SEARCH("DR Congo",S3407)),"Democratic Republic of the Congo",
ISNUMBER(SEARCH("German DR",S3407)),"DR Germany",
ISNUMBER(SEARCH("rn""&gt;United Arab Emirates",S3407)),"United Arab Emirates",
ISNUMBER(SEARCH("rn""&gt;Republic of Ireland",S3407)),"Ireland",
ISNUMBER(SEARCH("rn""&gt;Bosnia and Herzegovina",S3407)),"Bosnia and Herzegovina",
ISNUMBER(SEARCH("rn""&gt;Trinidad and Tobago",S3407)),"Trinidad and Tobago",
ISNUMBER(SEARCH("rn""&gt;Serbia and Montenegro",S3407)),"Serbia and Montenegro",
ISNUMBER(SEARCH(_xlfn.UNICHAR(65533),S3407)),"Côte d'Ivoire",
TRUE,""
)</f>
        <v/>
      </c>
      <c r="W3407" s="40" t="str">
        <f t="shared" si="234"/>
        <v>Portugal</v>
      </c>
    </row>
    <row r="3408" spans="19:23">
      <c r="S3408" s="40" t="str">
        <v>Spain</v>
      </c>
      <c r="T3408" s="40" t="str">
        <f t="shared" si="232"/>
        <v>OK</v>
      </c>
      <c r="U3408" s="40" t="str">
        <f t="shared" si="233"/>
        <v>-</v>
      </c>
      <c r="V3408" s="40" t="str" cm="1">
        <f t="array" ref="V3408">_xlfn.IFS(
ISNUMBER(SEARCH("USA",S3408)),"United States",
ISNUMBER(SEARCH("Republic of Ireland",S3408)),"Ireland",
ISNUMBER(SEARCH("Republic of Korea",S3408)),"South Korea",
ISNUMBER(SEARCH("Cape Verde",S3408)),"Cabo Verde",
ISNUMBER(SEARCH("Czechia",S3408)),"Czech Republic",
ISNUMBER(SEARCH("Türkiye",S3408)),"Turkey",
ISNUMBER(SEARCH("Ivory Coast",S3408)),"Côte d'Ivoire",
ISNUMBER(SEARCH("Korea Republic",S3408)),"South Korea",
ISNUMBER(SEARCH("Germany FR",S3408)),"FR Germany",
ISNUMBER(SEARCH("West Germany",S3408)),"FR Germany",
ISNUMBER(SEARCH("Germany DR",S3408)),"DR Germany",
ISNUMBER(SEARCH("Korea DPR",S3408)),"North Korea",
ISNUMBER(SEARCH("China PR",S3408)),"China",
ISNUMBER(SEARCH("IR Iran",S3408)),"Iran",
ISNUMBER(SEARCH("Congo DR",S3408)),"Democratic Republic of the Congo",
ISNUMBER(SEARCH("DR Congo",S3408)),"Democratic Republic of the Congo",
ISNUMBER(SEARCH("German DR",S3408)),"DR Germany",
ISNUMBER(SEARCH("rn""&gt;United Arab Emirates",S3408)),"United Arab Emirates",
ISNUMBER(SEARCH("rn""&gt;Republic of Ireland",S3408)),"Ireland",
ISNUMBER(SEARCH("rn""&gt;Bosnia and Herzegovina",S3408)),"Bosnia and Herzegovina",
ISNUMBER(SEARCH("rn""&gt;Trinidad and Tobago",S3408)),"Trinidad and Tobago",
ISNUMBER(SEARCH("rn""&gt;Serbia and Montenegro",S3408)),"Serbia and Montenegro",
ISNUMBER(SEARCH(_xlfn.UNICHAR(65533),S3408)),"Côte d'Ivoire",
TRUE,""
)</f>
        <v/>
      </c>
      <c r="W3408" s="40" t="str">
        <f t="shared" si="234"/>
        <v>Spain</v>
      </c>
    </row>
    <row r="3409" spans="19:23">
      <c r="S3409" s="40" t="str">
        <v>Switzerland</v>
      </c>
      <c r="T3409" s="40" t="str">
        <f t="shared" si="232"/>
        <v>OK</v>
      </c>
      <c r="U3409" s="40" t="str">
        <f t="shared" si="233"/>
        <v>-</v>
      </c>
      <c r="V3409" s="40" t="str" cm="1">
        <f t="array" ref="V3409">_xlfn.IFS(
ISNUMBER(SEARCH("USA",S3409)),"United States",
ISNUMBER(SEARCH("Republic of Ireland",S3409)),"Ireland",
ISNUMBER(SEARCH("Republic of Korea",S3409)),"South Korea",
ISNUMBER(SEARCH("Cape Verde",S3409)),"Cabo Verde",
ISNUMBER(SEARCH("Czechia",S3409)),"Czech Republic",
ISNUMBER(SEARCH("Türkiye",S3409)),"Turkey",
ISNUMBER(SEARCH("Ivory Coast",S3409)),"Côte d'Ivoire",
ISNUMBER(SEARCH("Korea Republic",S3409)),"South Korea",
ISNUMBER(SEARCH("Germany FR",S3409)),"FR Germany",
ISNUMBER(SEARCH("West Germany",S3409)),"FR Germany",
ISNUMBER(SEARCH("Germany DR",S3409)),"DR Germany",
ISNUMBER(SEARCH("Korea DPR",S3409)),"North Korea",
ISNUMBER(SEARCH("China PR",S3409)),"China",
ISNUMBER(SEARCH("IR Iran",S3409)),"Iran",
ISNUMBER(SEARCH("Congo DR",S3409)),"Democratic Republic of the Congo",
ISNUMBER(SEARCH("DR Congo",S3409)),"Democratic Republic of the Congo",
ISNUMBER(SEARCH("German DR",S3409)),"DR Germany",
ISNUMBER(SEARCH("rn""&gt;United Arab Emirates",S3409)),"United Arab Emirates",
ISNUMBER(SEARCH("rn""&gt;Republic of Ireland",S3409)),"Ireland",
ISNUMBER(SEARCH("rn""&gt;Bosnia and Herzegovina",S3409)),"Bosnia and Herzegovina",
ISNUMBER(SEARCH("rn""&gt;Trinidad and Tobago",S3409)),"Trinidad and Tobago",
ISNUMBER(SEARCH("rn""&gt;Serbia and Montenegro",S3409)),"Serbia and Montenegro",
ISNUMBER(SEARCH(_xlfn.UNICHAR(65533),S3409)),"Côte d'Ivoire",
TRUE,""
)</f>
        <v/>
      </c>
      <c r="W3409" s="40" t="str">
        <f t="shared" si="234"/>
        <v>Switzerland</v>
      </c>
    </row>
    <row r="3410" spans="19:23">
      <c r="S3410" s="40" t="str">
        <v>Australia</v>
      </c>
      <c r="T3410" s="40" t="str">
        <f t="shared" si="232"/>
        <v>OK</v>
      </c>
      <c r="U3410" s="40" t="str">
        <f t="shared" si="233"/>
        <v>-</v>
      </c>
      <c r="V3410" s="40" t="str" cm="1">
        <f t="array" ref="V3410">_xlfn.IFS(
ISNUMBER(SEARCH("USA",S3410)),"United States",
ISNUMBER(SEARCH("Republic of Ireland",S3410)),"Ireland",
ISNUMBER(SEARCH("Republic of Korea",S3410)),"South Korea",
ISNUMBER(SEARCH("Cape Verde",S3410)),"Cabo Verde",
ISNUMBER(SEARCH("Czechia",S3410)),"Czech Republic",
ISNUMBER(SEARCH("Türkiye",S3410)),"Turkey",
ISNUMBER(SEARCH("Ivory Coast",S3410)),"Côte d'Ivoire",
ISNUMBER(SEARCH("Korea Republic",S3410)),"South Korea",
ISNUMBER(SEARCH("Germany FR",S3410)),"FR Germany",
ISNUMBER(SEARCH("West Germany",S3410)),"FR Germany",
ISNUMBER(SEARCH("Germany DR",S3410)),"DR Germany",
ISNUMBER(SEARCH("Korea DPR",S3410)),"North Korea",
ISNUMBER(SEARCH("China PR",S3410)),"China",
ISNUMBER(SEARCH("IR Iran",S3410)),"Iran",
ISNUMBER(SEARCH("Congo DR",S3410)),"Democratic Republic of the Congo",
ISNUMBER(SEARCH("DR Congo",S3410)),"Democratic Republic of the Congo",
ISNUMBER(SEARCH("German DR",S3410)),"DR Germany",
ISNUMBER(SEARCH("rn""&gt;United Arab Emirates",S3410)),"United Arab Emirates",
ISNUMBER(SEARCH("rn""&gt;Republic of Ireland",S3410)),"Ireland",
ISNUMBER(SEARCH("rn""&gt;Bosnia and Herzegovina",S3410)),"Bosnia and Herzegovina",
ISNUMBER(SEARCH("rn""&gt;Trinidad and Tobago",S3410)),"Trinidad and Tobago",
ISNUMBER(SEARCH("rn""&gt;Serbia and Montenegro",S3410)),"Serbia and Montenegro",
ISNUMBER(SEARCH(_xlfn.UNICHAR(65533),S3410)),"Côte d'Ivoire",
TRUE,""
)</f>
        <v/>
      </c>
      <c r="W3410" s="40" t="str">
        <f t="shared" si="234"/>
        <v>Australia</v>
      </c>
    </row>
    <row r="3411" spans="19:23">
      <c r="S3411" s="40" t="str">
        <v>Argentina</v>
      </c>
      <c r="T3411" s="40" t="str">
        <f t="shared" si="232"/>
        <v>OK</v>
      </c>
      <c r="U3411" s="40" t="str">
        <f t="shared" si="233"/>
        <v>-</v>
      </c>
      <c r="V3411" s="40" t="str" cm="1">
        <f t="array" ref="V3411">_xlfn.IFS(
ISNUMBER(SEARCH("USA",S3411)),"United States",
ISNUMBER(SEARCH("Republic of Ireland",S3411)),"Ireland",
ISNUMBER(SEARCH("Republic of Korea",S3411)),"South Korea",
ISNUMBER(SEARCH("Cape Verde",S3411)),"Cabo Verde",
ISNUMBER(SEARCH("Czechia",S3411)),"Czech Republic",
ISNUMBER(SEARCH("Türkiye",S3411)),"Turkey",
ISNUMBER(SEARCH("Ivory Coast",S3411)),"Côte d'Ivoire",
ISNUMBER(SEARCH("Korea Republic",S3411)),"South Korea",
ISNUMBER(SEARCH("Germany FR",S3411)),"FR Germany",
ISNUMBER(SEARCH("West Germany",S3411)),"FR Germany",
ISNUMBER(SEARCH("Germany DR",S3411)),"DR Germany",
ISNUMBER(SEARCH("Korea DPR",S3411)),"North Korea",
ISNUMBER(SEARCH("China PR",S3411)),"China",
ISNUMBER(SEARCH("IR Iran",S3411)),"Iran",
ISNUMBER(SEARCH("Congo DR",S3411)),"Democratic Republic of the Congo",
ISNUMBER(SEARCH("DR Congo",S3411)),"Democratic Republic of the Congo",
ISNUMBER(SEARCH("German DR",S3411)),"DR Germany",
ISNUMBER(SEARCH("rn""&gt;United Arab Emirates",S3411)),"United Arab Emirates",
ISNUMBER(SEARCH("rn""&gt;Republic of Ireland",S3411)),"Ireland",
ISNUMBER(SEARCH("rn""&gt;Bosnia and Herzegovina",S3411)),"Bosnia and Herzegovina",
ISNUMBER(SEARCH("rn""&gt;Trinidad and Tobago",S3411)),"Trinidad and Tobago",
ISNUMBER(SEARCH("rn""&gt;Serbia and Montenegro",S3411)),"Serbia and Montenegro",
ISNUMBER(SEARCH(_xlfn.UNICHAR(65533),S3411)),"Côte d'Ivoire",
TRUE,""
)</f>
        <v/>
      </c>
      <c r="W3411" s="40" t="str">
        <f t="shared" si="234"/>
        <v>Argentina</v>
      </c>
    </row>
    <row r="3412" spans="19:23">
      <c r="S3412" s="40" t="str">
        <v>Colombia</v>
      </c>
      <c r="T3412" s="40" t="str">
        <f t="shared" si="232"/>
        <v>OK</v>
      </c>
      <c r="U3412" s="40" t="str">
        <f t="shared" si="233"/>
        <v>-</v>
      </c>
      <c r="V3412" s="40" t="str" cm="1">
        <f t="array" ref="V3412">_xlfn.IFS(
ISNUMBER(SEARCH("USA",S3412)),"United States",
ISNUMBER(SEARCH("Republic of Ireland",S3412)),"Ireland",
ISNUMBER(SEARCH("Republic of Korea",S3412)),"South Korea",
ISNUMBER(SEARCH("Cape Verde",S3412)),"Cabo Verde",
ISNUMBER(SEARCH("Czechia",S3412)),"Czech Republic",
ISNUMBER(SEARCH("Türkiye",S3412)),"Turkey",
ISNUMBER(SEARCH("Ivory Coast",S3412)),"Côte d'Ivoire",
ISNUMBER(SEARCH("Korea Republic",S3412)),"South Korea",
ISNUMBER(SEARCH("Germany FR",S3412)),"FR Germany",
ISNUMBER(SEARCH("West Germany",S3412)),"FR Germany",
ISNUMBER(SEARCH("Germany DR",S3412)),"DR Germany",
ISNUMBER(SEARCH("Korea DPR",S3412)),"North Korea",
ISNUMBER(SEARCH("China PR",S3412)),"China",
ISNUMBER(SEARCH("IR Iran",S3412)),"Iran",
ISNUMBER(SEARCH("Congo DR",S3412)),"Democratic Republic of the Congo",
ISNUMBER(SEARCH("DR Congo",S3412)),"Democratic Republic of the Congo",
ISNUMBER(SEARCH("German DR",S3412)),"DR Germany",
ISNUMBER(SEARCH("rn""&gt;United Arab Emirates",S3412)),"United Arab Emirates",
ISNUMBER(SEARCH("rn""&gt;Republic of Ireland",S3412)),"Ireland",
ISNUMBER(SEARCH("rn""&gt;Bosnia and Herzegovina",S3412)),"Bosnia and Herzegovina",
ISNUMBER(SEARCH("rn""&gt;Trinidad and Tobago",S3412)),"Trinidad and Tobago",
ISNUMBER(SEARCH("rn""&gt;Serbia and Montenegro",S3412)),"Serbia and Montenegro",
ISNUMBER(SEARCH(_xlfn.UNICHAR(65533),S3412)),"Côte d'Ivoire",
TRUE,""
)</f>
        <v/>
      </c>
      <c r="W3412" s="40" t="str">
        <f t="shared" si="234"/>
        <v>Colombia</v>
      </c>
    </row>
    <row r="3413" spans="19:23">
      <c r="S3413" s="40" t="str">
        <v>Canada</v>
      </c>
      <c r="T3413" s="40" t="str">
        <f t="shared" si="232"/>
        <v>OK</v>
      </c>
      <c r="U3413" s="40" t="str">
        <f t="shared" si="233"/>
        <v>-</v>
      </c>
      <c r="V3413" s="40" t="str" cm="1">
        <f t="array" ref="V3413">_xlfn.IFS(
ISNUMBER(SEARCH("USA",S3413)),"United States",
ISNUMBER(SEARCH("Republic of Ireland",S3413)),"Ireland",
ISNUMBER(SEARCH("Republic of Korea",S3413)),"South Korea",
ISNUMBER(SEARCH("Cape Verde",S3413)),"Cabo Verde",
ISNUMBER(SEARCH("Czechia",S3413)),"Czech Republic",
ISNUMBER(SEARCH("Türkiye",S3413)),"Turkey",
ISNUMBER(SEARCH("Ivory Coast",S3413)),"Côte d'Ivoire",
ISNUMBER(SEARCH("Korea Republic",S3413)),"South Korea",
ISNUMBER(SEARCH("Germany FR",S3413)),"FR Germany",
ISNUMBER(SEARCH("West Germany",S3413)),"FR Germany",
ISNUMBER(SEARCH("Germany DR",S3413)),"DR Germany",
ISNUMBER(SEARCH("Korea DPR",S3413)),"North Korea",
ISNUMBER(SEARCH("China PR",S3413)),"China",
ISNUMBER(SEARCH("IR Iran",S3413)),"Iran",
ISNUMBER(SEARCH("Congo DR",S3413)),"Democratic Republic of the Congo",
ISNUMBER(SEARCH("DR Congo",S3413)),"Democratic Republic of the Congo",
ISNUMBER(SEARCH("German DR",S3413)),"DR Germany",
ISNUMBER(SEARCH("rn""&gt;United Arab Emirates",S3413)),"United Arab Emirates",
ISNUMBER(SEARCH("rn""&gt;Republic of Ireland",S3413)),"Ireland",
ISNUMBER(SEARCH("rn""&gt;Bosnia and Herzegovina",S3413)),"Bosnia and Herzegovina",
ISNUMBER(SEARCH("rn""&gt;Trinidad and Tobago",S3413)),"Trinidad and Tobago",
ISNUMBER(SEARCH("rn""&gt;Serbia and Montenegro",S3413)),"Serbia and Montenegro",
ISNUMBER(SEARCH(_xlfn.UNICHAR(65533),S3413)),"Côte d'Ivoire",
TRUE,""
)</f>
        <v/>
      </c>
      <c r="W3413" s="40" t="str">
        <f t="shared" si="234"/>
        <v>Canada</v>
      </c>
    </row>
    <row r="3414" spans="19:23">
      <c r="S3414" s="40" t="str">
        <v>Paraguay</v>
      </c>
      <c r="T3414" s="40" t="str">
        <f t="shared" si="232"/>
        <v>OK</v>
      </c>
      <c r="U3414" s="40" t="str">
        <f t="shared" si="233"/>
        <v>-</v>
      </c>
      <c r="V3414" s="40" t="str" cm="1">
        <f t="array" ref="V3414">_xlfn.IFS(
ISNUMBER(SEARCH("USA",S3414)),"United States",
ISNUMBER(SEARCH("Republic of Ireland",S3414)),"Ireland",
ISNUMBER(SEARCH("Republic of Korea",S3414)),"South Korea",
ISNUMBER(SEARCH("Cape Verde",S3414)),"Cabo Verde",
ISNUMBER(SEARCH("Czechia",S3414)),"Czech Republic",
ISNUMBER(SEARCH("Türkiye",S3414)),"Turkey",
ISNUMBER(SEARCH("Ivory Coast",S3414)),"Côte d'Ivoire",
ISNUMBER(SEARCH("Korea Republic",S3414)),"South Korea",
ISNUMBER(SEARCH("Germany FR",S3414)),"FR Germany",
ISNUMBER(SEARCH("West Germany",S3414)),"FR Germany",
ISNUMBER(SEARCH("Germany DR",S3414)),"DR Germany",
ISNUMBER(SEARCH("Korea DPR",S3414)),"North Korea",
ISNUMBER(SEARCH("China PR",S3414)),"China",
ISNUMBER(SEARCH("IR Iran",S3414)),"Iran",
ISNUMBER(SEARCH("Congo DR",S3414)),"Democratic Republic of the Congo",
ISNUMBER(SEARCH("DR Congo",S3414)),"Democratic Republic of the Congo",
ISNUMBER(SEARCH("German DR",S3414)),"DR Germany",
ISNUMBER(SEARCH("rn""&gt;United Arab Emirates",S3414)),"United Arab Emirates",
ISNUMBER(SEARCH("rn""&gt;Republic of Ireland",S3414)),"Ireland",
ISNUMBER(SEARCH("rn""&gt;Bosnia and Herzegovina",S3414)),"Bosnia and Herzegovina",
ISNUMBER(SEARCH("rn""&gt;Trinidad and Tobago",S3414)),"Trinidad and Tobago",
ISNUMBER(SEARCH("rn""&gt;Serbia and Montenegro",S3414)),"Serbia and Montenegro",
ISNUMBER(SEARCH(_xlfn.UNICHAR(65533),S3414)),"Côte d'Ivoire",
TRUE,""
)</f>
        <v/>
      </c>
      <c r="W3414" s="40" t="str">
        <f t="shared" si="234"/>
        <v>Paraguay</v>
      </c>
    </row>
    <row r="3415" spans="19:23">
      <c r="S3415" s="40" t="str">
        <v>Brazil</v>
      </c>
      <c r="T3415" s="40" t="str">
        <f t="shared" si="232"/>
        <v>OK</v>
      </c>
      <c r="U3415" s="40" t="str">
        <f t="shared" si="233"/>
        <v>-</v>
      </c>
      <c r="V3415" s="40" t="str" cm="1">
        <f t="array" ref="V3415">_xlfn.IFS(
ISNUMBER(SEARCH("USA",S3415)),"United States",
ISNUMBER(SEARCH("Republic of Ireland",S3415)),"Ireland",
ISNUMBER(SEARCH("Republic of Korea",S3415)),"South Korea",
ISNUMBER(SEARCH("Cape Verde",S3415)),"Cabo Verde",
ISNUMBER(SEARCH("Czechia",S3415)),"Czech Republic",
ISNUMBER(SEARCH("Türkiye",S3415)),"Turkey",
ISNUMBER(SEARCH("Ivory Coast",S3415)),"Côte d'Ivoire",
ISNUMBER(SEARCH("Korea Republic",S3415)),"South Korea",
ISNUMBER(SEARCH("Germany FR",S3415)),"FR Germany",
ISNUMBER(SEARCH("West Germany",S3415)),"FR Germany",
ISNUMBER(SEARCH("Germany DR",S3415)),"DR Germany",
ISNUMBER(SEARCH("Korea DPR",S3415)),"North Korea",
ISNUMBER(SEARCH("China PR",S3415)),"China",
ISNUMBER(SEARCH("IR Iran",S3415)),"Iran",
ISNUMBER(SEARCH("Congo DR",S3415)),"Democratic Republic of the Congo",
ISNUMBER(SEARCH("DR Congo",S3415)),"Democratic Republic of the Congo",
ISNUMBER(SEARCH("German DR",S3415)),"DR Germany",
ISNUMBER(SEARCH("rn""&gt;United Arab Emirates",S3415)),"United Arab Emirates",
ISNUMBER(SEARCH("rn""&gt;Republic of Ireland",S3415)),"Ireland",
ISNUMBER(SEARCH("rn""&gt;Bosnia and Herzegovina",S3415)),"Bosnia and Herzegovina",
ISNUMBER(SEARCH("rn""&gt;Trinidad and Tobago",S3415)),"Trinidad and Tobago",
ISNUMBER(SEARCH("rn""&gt;Serbia and Montenegro",S3415)),"Serbia and Montenegro",
ISNUMBER(SEARCH(_xlfn.UNICHAR(65533),S3415)),"Côte d'Ivoire",
TRUE,""
)</f>
        <v/>
      </c>
      <c r="W3415" s="40" t="str">
        <f t="shared" si="234"/>
        <v>Brazil</v>
      </c>
    </row>
    <row r="3416" spans="19:23">
      <c r="S3416" s="40" t="str">
        <v>Mexico</v>
      </c>
      <c r="T3416" s="40" t="str">
        <f t="shared" si="232"/>
        <v>OK</v>
      </c>
      <c r="U3416" s="40" t="str">
        <f t="shared" si="233"/>
        <v>-</v>
      </c>
      <c r="V3416" s="40" t="str" cm="1">
        <f t="array" ref="V3416">_xlfn.IFS(
ISNUMBER(SEARCH("USA",S3416)),"United States",
ISNUMBER(SEARCH("Republic of Ireland",S3416)),"Ireland",
ISNUMBER(SEARCH("Republic of Korea",S3416)),"South Korea",
ISNUMBER(SEARCH("Cape Verde",S3416)),"Cabo Verde",
ISNUMBER(SEARCH("Czechia",S3416)),"Czech Republic",
ISNUMBER(SEARCH("Türkiye",S3416)),"Turkey",
ISNUMBER(SEARCH("Ivory Coast",S3416)),"Côte d'Ivoire",
ISNUMBER(SEARCH("Korea Republic",S3416)),"South Korea",
ISNUMBER(SEARCH("Germany FR",S3416)),"FR Germany",
ISNUMBER(SEARCH("West Germany",S3416)),"FR Germany",
ISNUMBER(SEARCH("Germany DR",S3416)),"DR Germany",
ISNUMBER(SEARCH("Korea DPR",S3416)),"North Korea",
ISNUMBER(SEARCH("China PR",S3416)),"China",
ISNUMBER(SEARCH("IR Iran",S3416)),"Iran",
ISNUMBER(SEARCH("Congo DR",S3416)),"Democratic Republic of the Congo",
ISNUMBER(SEARCH("DR Congo",S3416)),"Democratic Republic of the Congo",
ISNUMBER(SEARCH("German DR",S3416)),"DR Germany",
ISNUMBER(SEARCH("rn""&gt;United Arab Emirates",S3416)),"United Arab Emirates",
ISNUMBER(SEARCH("rn""&gt;Republic of Ireland",S3416)),"Ireland",
ISNUMBER(SEARCH("rn""&gt;Bosnia and Herzegovina",S3416)),"Bosnia and Herzegovina",
ISNUMBER(SEARCH("rn""&gt;Trinidad and Tobago",S3416)),"Trinidad and Tobago",
ISNUMBER(SEARCH("rn""&gt;Serbia and Montenegro",S3416)),"Serbia and Montenegro",
ISNUMBER(SEARCH(_xlfn.UNICHAR(65533),S3416)),"Côte d'Ivoire",
TRUE,""
)</f>
        <v/>
      </c>
      <c r="W3416" s="40" t="str">
        <f t="shared" si="234"/>
        <v>Mexico</v>
      </c>
    </row>
    <row r="3417" spans="19:23">
      <c r="S3417" s="40" t="str">
        <v>Portugal</v>
      </c>
      <c r="T3417" s="40" t="str">
        <f t="shared" si="232"/>
        <v>OK</v>
      </c>
      <c r="U3417" s="40" t="str">
        <f t="shared" si="233"/>
        <v>-</v>
      </c>
      <c r="V3417" s="40" t="str" cm="1">
        <f t="array" ref="V3417">_xlfn.IFS(
ISNUMBER(SEARCH("USA",S3417)),"United States",
ISNUMBER(SEARCH("Republic of Ireland",S3417)),"Ireland",
ISNUMBER(SEARCH("Republic of Korea",S3417)),"South Korea",
ISNUMBER(SEARCH("Cape Verde",S3417)),"Cabo Verde",
ISNUMBER(SEARCH("Czechia",S3417)),"Czech Republic",
ISNUMBER(SEARCH("Türkiye",S3417)),"Turkey",
ISNUMBER(SEARCH("Ivory Coast",S3417)),"Côte d'Ivoire",
ISNUMBER(SEARCH("Korea Republic",S3417)),"South Korea",
ISNUMBER(SEARCH("Germany FR",S3417)),"FR Germany",
ISNUMBER(SEARCH("West Germany",S3417)),"FR Germany",
ISNUMBER(SEARCH("Germany DR",S3417)),"DR Germany",
ISNUMBER(SEARCH("Korea DPR",S3417)),"North Korea",
ISNUMBER(SEARCH("China PR",S3417)),"China",
ISNUMBER(SEARCH("IR Iran",S3417)),"Iran",
ISNUMBER(SEARCH("Congo DR",S3417)),"Democratic Republic of the Congo",
ISNUMBER(SEARCH("DR Congo",S3417)),"Democratic Republic of the Congo",
ISNUMBER(SEARCH("German DR",S3417)),"DR Germany",
ISNUMBER(SEARCH("rn""&gt;United Arab Emirates",S3417)),"United Arab Emirates",
ISNUMBER(SEARCH("rn""&gt;Republic of Ireland",S3417)),"Ireland",
ISNUMBER(SEARCH("rn""&gt;Bosnia and Herzegovina",S3417)),"Bosnia and Herzegovina",
ISNUMBER(SEARCH("rn""&gt;Trinidad and Tobago",S3417)),"Trinidad and Tobago",
ISNUMBER(SEARCH("rn""&gt;Serbia and Montenegro",S3417)),"Serbia and Montenegro",
ISNUMBER(SEARCH(_xlfn.UNICHAR(65533),S3417)),"Côte d'Ivoire",
TRUE,""
)</f>
        <v/>
      </c>
      <c r="W3417" s="40" t="str">
        <f t="shared" si="234"/>
        <v>Portugal</v>
      </c>
    </row>
    <row r="3418" spans="19:23">
      <c r="S3418" s="40" t="str">
        <v>United States</v>
      </c>
      <c r="T3418" s="40" t="str">
        <f t="shared" si="232"/>
        <v>OK</v>
      </c>
      <c r="U3418" s="40" t="str">
        <f t="shared" si="233"/>
        <v>-</v>
      </c>
      <c r="V3418" s="40" t="str" cm="1">
        <f t="array" ref="V3418">_xlfn.IFS(
ISNUMBER(SEARCH("USA",S3418)),"United States",
ISNUMBER(SEARCH("Republic of Ireland",S3418)),"Ireland",
ISNUMBER(SEARCH("Republic of Korea",S3418)),"South Korea",
ISNUMBER(SEARCH("Cape Verde",S3418)),"Cabo Verde",
ISNUMBER(SEARCH("Czechia",S3418)),"Czech Republic",
ISNUMBER(SEARCH("Türkiye",S3418)),"Turkey",
ISNUMBER(SEARCH("Ivory Coast",S3418)),"Côte d'Ivoire",
ISNUMBER(SEARCH("Korea Republic",S3418)),"South Korea",
ISNUMBER(SEARCH("Germany FR",S3418)),"FR Germany",
ISNUMBER(SEARCH("West Germany",S3418)),"FR Germany",
ISNUMBER(SEARCH("Germany DR",S3418)),"DR Germany",
ISNUMBER(SEARCH("Korea DPR",S3418)),"North Korea",
ISNUMBER(SEARCH("China PR",S3418)),"China",
ISNUMBER(SEARCH("IR Iran",S3418)),"Iran",
ISNUMBER(SEARCH("Congo DR",S3418)),"Democratic Republic of the Congo",
ISNUMBER(SEARCH("DR Congo",S3418)),"Democratic Republic of the Congo",
ISNUMBER(SEARCH("German DR",S3418)),"DR Germany",
ISNUMBER(SEARCH("rn""&gt;United Arab Emirates",S3418)),"United Arab Emirates",
ISNUMBER(SEARCH("rn""&gt;Republic of Ireland",S3418)),"Ireland",
ISNUMBER(SEARCH("rn""&gt;Bosnia and Herzegovina",S3418)),"Bosnia and Herzegovina",
ISNUMBER(SEARCH("rn""&gt;Trinidad and Tobago",S3418)),"Trinidad and Tobago",
ISNUMBER(SEARCH("rn""&gt;Serbia and Montenegro",S3418)),"Serbia and Montenegro",
ISNUMBER(SEARCH(_xlfn.UNICHAR(65533),S3418)),"Côte d'Ivoire",
TRUE,""
)</f>
        <v/>
      </c>
      <c r="W3418" s="40" t="str">
        <f t="shared" si="234"/>
        <v>United States</v>
      </c>
    </row>
    <row r="3419" spans="19:23">
      <c r="S3419" s="40" t="str">
        <v>Argentina</v>
      </c>
      <c r="T3419" s="40" t="str">
        <f t="shared" si="232"/>
        <v>OK</v>
      </c>
      <c r="U3419" s="40" t="str">
        <f t="shared" si="233"/>
        <v>-</v>
      </c>
      <c r="V3419" s="40" t="str" cm="1">
        <f t="array" ref="V3419">_xlfn.IFS(
ISNUMBER(SEARCH("USA",S3419)),"United States",
ISNUMBER(SEARCH("Republic of Ireland",S3419)),"Ireland",
ISNUMBER(SEARCH("Republic of Korea",S3419)),"South Korea",
ISNUMBER(SEARCH("Cape Verde",S3419)),"Cabo Verde",
ISNUMBER(SEARCH("Czechia",S3419)),"Czech Republic",
ISNUMBER(SEARCH("Türkiye",S3419)),"Turkey",
ISNUMBER(SEARCH("Ivory Coast",S3419)),"Côte d'Ivoire",
ISNUMBER(SEARCH("Korea Republic",S3419)),"South Korea",
ISNUMBER(SEARCH("Germany FR",S3419)),"FR Germany",
ISNUMBER(SEARCH("West Germany",S3419)),"FR Germany",
ISNUMBER(SEARCH("Germany DR",S3419)),"DR Germany",
ISNUMBER(SEARCH("Korea DPR",S3419)),"North Korea",
ISNUMBER(SEARCH("China PR",S3419)),"China",
ISNUMBER(SEARCH("IR Iran",S3419)),"Iran",
ISNUMBER(SEARCH("Congo DR",S3419)),"Democratic Republic of the Congo",
ISNUMBER(SEARCH("DR Congo",S3419)),"Democratic Republic of the Congo",
ISNUMBER(SEARCH("German DR",S3419)),"DR Germany",
ISNUMBER(SEARCH("rn""&gt;United Arab Emirates",S3419)),"United Arab Emirates",
ISNUMBER(SEARCH("rn""&gt;Republic of Ireland",S3419)),"Ireland",
ISNUMBER(SEARCH("rn""&gt;Bosnia and Herzegovina",S3419)),"Bosnia and Herzegovina",
ISNUMBER(SEARCH("rn""&gt;Trinidad and Tobago",S3419)),"Trinidad and Tobago",
ISNUMBER(SEARCH("rn""&gt;Serbia and Montenegro",S3419)),"Serbia and Montenegro",
ISNUMBER(SEARCH(_xlfn.UNICHAR(65533),S3419)),"Côte d'Ivoire",
TRUE,""
)</f>
        <v/>
      </c>
      <c r="W3419" s="40" t="str">
        <f t="shared" si="234"/>
        <v>Argentina</v>
      </c>
    </row>
    <row r="3420" spans="19:23">
      <c r="S3420" s="40" t="str">
        <v>Switzerland</v>
      </c>
      <c r="T3420" s="40" t="str">
        <f t="shared" si="232"/>
        <v>OK</v>
      </c>
      <c r="U3420" s="40" t="str">
        <f t="shared" si="233"/>
        <v>-</v>
      </c>
      <c r="V3420" s="40" t="str" cm="1">
        <f t="array" ref="V3420">_xlfn.IFS(
ISNUMBER(SEARCH("USA",S3420)),"United States",
ISNUMBER(SEARCH("Republic of Ireland",S3420)),"Ireland",
ISNUMBER(SEARCH("Republic of Korea",S3420)),"South Korea",
ISNUMBER(SEARCH("Cape Verde",S3420)),"Cabo Verde",
ISNUMBER(SEARCH("Czechia",S3420)),"Czech Republic",
ISNUMBER(SEARCH("Türkiye",S3420)),"Turkey",
ISNUMBER(SEARCH("Ivory Coast",S3420)),"Côte d'Ivoire",
ISNUMBER(SEARCH("Korea Republic",S3420)),"South Korea",
ISNUMBER(SEARCH("Germany FR",S3420)),"FR Germany",
ISNUMBER(SEARCH("West Germany",S3420)),"FR Germany",
ISNUMBER(SEARCH("Germany DR",S3420)),"DR Germany",
ISNUMBER(SEARCH("Korea DPR",S3420)),"North Korea",
ISNUMBER(SEARCH("China PR",S3420)),"China",
ISNUMBER(SEARCH("IR Iran",S3420)),"Iran",
ISNUMBER(SEARCH("Congo DR",S3420)),"Democratic Republic of the Congo",
ISNUMBER(SEARCH("DR Congo",S3420)),"Democratic Republic of the Congo",
ISNUMBER(SEARCH("German DR",S3420)),"DR Germany",
ISNUMBER(SEARCH("rn""&gt;United Arab Emirates",S3420)),"United Arab Emirates",
ISNUMBER(SEARCH("rn""&gt;Republic of Ireland",S3420)),"Ireland",
ISNUMBER(SEARCH("rn""&gt;Bosnia and Herzegovina",S3420)),"Bosnia and Herzegovina",
ISNUMBER(SEARCH("rn""&gt;Trinidad and Tobago",S3420)),"Trinidad and Tobago",
ISNUMBER(SEARCH("rn""&gt;Serbia and Montenegro",S3420)),"Serbia and Montenegro",
ISNUMBER(SEARCH(_xlfn.UNICHAR(65533),S3420)),"Côte d'Ivoire",
TRUE,""
)</f>
        <v/>
      </c>
      <c r="W3420" s="40" t="str">
        <f t="shared" si="234"/>
        <v>Switzerland</v>
      </c>
    </row>
    <row r="3421" spans="19:23">
      <c r="S3421" s="40" t="str">
        <v>France</v>
      </c>
      <c r="T3421" s="40" t="str">
        <f t="shared" si="232"/>
        <v>OK</v>
      </c>
      <c r="U3421" s="40" t="str">
        <f t="shared" si="233"/>
        <v>-</v>
      </c>
      <c r="V3421" s="40" t="str" cm="1">
        <f t="array" ref="V3421">_xlfn.IFS(
ISNUMBER(SEARCH("USA",S3421)),"United States",
ISNUMBER(SEARCH("Republic of Ireland",S3421)),"Ireland",
ISNUMBER(SEARCH("Republic of Korea",S3421)),"South Korea",
ISNUMBER(SEARCH("Cape Verde",S3421)),"Cabo Verde",
ISNUMBER(SEARCH("Czechia",S3421)),"Czech Republic",
ISNUMBER(SEARCH("Türkiye",S3421)),"Turkey",
ISNUMBER(SEARCH("Ivory Coast",S3421)),"Côte d'Ivoire",
ISNUMBER(SEARCH("Korea Republic",S3421)),"South Korea",
ISNUMBER(SEARCH("Germany FR",S3421)),"FR Germany",
ISNUMBER(SEARCH("West Germany",S3421)),"FR Germany",
ISNUMBER(SEARCH("Germany DR",S3421)),"DR Germany",
ISNUMBER(SEARCH("Korea DPR",S3421)),"North Korea",
ISNUMBER(SEARCH("China PR",S3421)),"China",
ISNUMBER(SEARCH("IR Iran",S3421)),"Iran",
ISNUMBER(SEARCH("Congo DR",S3421)),"Democratic Republic of the Congo",
ISNUMBER(SEARCH("DR Congo",S3421)),"Democratic Republic of the Congo",
ISNUMBER(SEARCH("German DR",S3421)),"DR Germany",
ISNUMBER(SEARCH("rn""&gt;United Arab Emirates",S3421)),"United Arab Emirates",
ISNUMBER(SEARCH("rn""&gt;Republic of Ireland",S3421)),"Ireland",
ISNUMBER(SEARCH("rn""&gt;Bosnia and Herzegovina",S3421)),"Bosnia and Herzegovina",
ISNUMBER(SEARCH("rn""&gt;Trinidad and Tobago",S3421)),"Trinidad and Tobago",
ISNUMBER(SEARCH("rn""&gt;Serbia and Montenegro",S3421)),"Serbia and Montenegro",
ISNUMBER(SEARCH(_xlfn.UNICHAR(65533),S3421)),"Côte d'Ivoire",
TRUE,""
)</f>
        <v/>
      </c>
      <c r="W3421" s="40" t="str">
        <f t="shared" si="234"/>
        <v>France</v>
      </c>
    </row>
    <row r="3422" spans="19:23">
      <c r="S3422" s="40" t="str">
        <v>Spain</v>
      </c>
      <c r="T3422" s="40" t="str">
        <f t="shared" si="232"/>
        <v>OK</v>
      </c>
      <c r="U3422" s="40" t="str">
        <f t="shared" si="233"/>
        <v>-</v>
      </c>
      <c r="V3422" s="40" t="str" cm="1">
        <f t="array" ref="V3422">_xlfn.IFS(
ISNUMBER(SEARCH("USA",S3422)),"United States",
ISNUMBER(SEARCH("Republic of Ireland",S3422)),"Ireland",
ISNUMBER(SEARCH("Republic of Korea",S3422)),"South Korea",
ISNUMBER(SEARCH("Cape Verde",S3422)),"Cabo Verde",
ISNUMBER(SEARCH("Czechia",S3422)),"Czech Republic",
ISNUMBER(SEARCH("Türkiye",S3422)),"Turkey",
ISNUMBER(SEARCH("Ivory Coast",S3422)),"Côte d'Ivoire",
ISNUMBER(SEARCH("Korea Republic",S3422)),"South Korea",
ISNUMBER(SEARCH("Germany FR",S3422)),"FR Germany",
ISNUMBER(SEARCH("West Germany",S3422)),"FR Germany",
ISNUMBER(SEARCH("Germany DR",S3422)),"DR Germany",
ISNUMBER(SEARCH("Korea DPR",S3422)),"North Korea",
ISNUMBER(SEARCH("China PR",S3422)),"China",
ISNUMBER(SEARCH("IR Iran",S3422)),"Iran",
ISNUMBER(SEARCH("Congo DR",S3422)),"Democratic Republic of the Congo",
ISNUMBER(SEARCH("DR Congo",S3422)),"Democratic Republic of the Congo",
ISNUMBER(SEARCH("German DR",S3422)),"DR Germany",
ISNUMBER(SEARCH("rn""&gt;United Arab Emirates",S3422)),"United Arab Emirates",
ISNUMBER(SEARCH("rn""&gt;Republic of Ireland",S3422)),"Ireland",
ISNUMBER(SEARCH("rn""&gt;Bosnia and Herzegovina",S3422)),"Bosnia and Herzegovina",
ISNUMBER(SEARCH("rn""&gt;Trinidad and Tobago",S3422)),"Trinidad and Tobago",
ISNUMBER(SEARCH("rn""&gt;Serbia and Montenegro",S3422)),"Serbia and Montenegro",
ISNUMBER(SEARCH(_xlfn.UNICHAR(65533),S3422)),"Côte d'Ivoire",
TRUE,""
)</f>
        <v/>
      </c>
      <c r="W3422" s="40" t="str">
        <f t="shared" si="234"/>
        <v>Spain</v>
      </c>
    </row>
    <row r="3423" spans="19:23">
      <c r="S3423" s="40" t="str">
        <v>Norway</v>
      </c>
      <c r="T3423" s="40" t="str">
        <f t="shared" si="232"/>
        <v>OK</v>
      </c>
      <c r="U3423" s="40" t="str">
        <f t="shared" si="233"/>
        <v>-</v>
      </c>
      <c r="V3423" s="40" t="str" cm="1">
        <f t="array" ref="V3423">_xlfn.IFS(
ISNUMBER(SEARCH("USA",S3423)),"United States",
ISNUMBER(SEARCH("Republic of Ireland",S3423)),"Ireland",
ISNUMBER(SEARCH("Republic of Korea",S3423)),"South Korea",
ISNUMBER(SEARCH("Cape Verde",S3423)),"Cabo Verde",
ISNUMBER(SEARCH("Czechia",S3423)),"Czech Republic",
ISNUMBER(SEARCH("Türkiye",S3423)),"Turkey",
ISNUMBER(SEARCH("Ivory Coast",S3423)),"Côte d'Ivoire",
ISNUMBER(SEARCH("Korea Republic",S3423)),"South Korea",
ISNUMBER(SEARCH("Germany FR",S3423)),"FR Germany",
ISNUMBER(SEARCH("West Germany",S3423)),"FR Germany",
ISNUMBER(SEARCH("Germany DR",S3423)),"DR Germany",
ISNUMBER(SEARCH("Korea DPR",S3423)),"North Korea",
ISNUMBER(SEARCH("China PR",S3423)),"China",
ISNUMBER(SEARCH("IR Iran",S3423)),"Iran",
ISNUMBER(SEARCH("Congo DR",S3423)),"Democratic Republic of the Congo",
ISNUMBER(SEARCH("DR Congo",S3423)),"Democratic Republic of the Congo",
ISNUMBER(SEARCH("German DR",S3423)),"DR Germany",
ISNUMBER(SEARCH("rn""&gt;United Arab Emirates",S3423)),"United Arab Emirates",
ISNUMBER(SEARCH("rn""&gt;Republic of Ireland",S3423)),"Ireland",
ISNUMBER(SEARCH("rn""&gt;Bosnia and Herzegovina",S3423)),"Bosnia and Herzegovina",
ISNUMBER(SEARCH("rn""&gt;Trinidad and Tobago",S3423)),"Trinidad and Tobago",
ISNUMBER(SEARCH("rn""&gt;Serbia and Montenegro",S3423)),"Serbia and Montenegro",
ISNUMBER(SEARCH(_xlfn.UNICHAR(65533),S3423)),"Côte d'Ivoire",
TRUE,""
)</f>
        <v/>
      </c>
      <c r="W3423" s="40" t="str">
        <f t="shared" si="234"/>
        <v>Norway</v>
      </c>
    </row>
    <row r="3424" spans="19:23">
      <c r="S3424" s="40" t="str">
        <v>Argentina</v>
      </c>
      <c r="T3424" s="40" t="str">
        <f t="shared" si="232"/>
        <v>OK</v>
      </c>
      <c r="U3424" s="40" t="str">
        <f t="shared" si="233"/>
        <v>-</v>
      </c>
      <c r="V3424" s="40" t="str" cm="1">
        <f t="array" ref="V3424">_xlfn.IFS(
ISNUMBER(SEARCH("USA",S3424)),"United States",
ISNUMBER(SEARCH("Republic of Ireland",S3424)),"Ireland",
ISNUMBER(SEARCH("Republic of Korea",S3424)),"South Korea",
ISNUMBER(SEARCH("Cape Verde",S3424)),"Cabo Verde",
ISNUMBER(SEARCH("Czechia",S3424)),"Czech Republic",
ISNUMBER(SEARCH("Türkiye",S3424)),"Turkey",
ISNUMBER(SEARCH("Ivory Coast",S3424)),"Côte d'Ivoire",
ISNUMBER(SEARCH("Korea Republic",S3424)),"South Korea",
ISNUMBER(SEARCH("Germany FR",S3424)),"FR Germany",
ISNUMBER(SEARCH("West Germany",S3424)),"FR Germany",
ISNUMBER(SEARCH("Germany DR",S3424)),"DR Germany",
ISNUMBER(SEARCH("Korea DPR",S3424)),"North Korea",
ISNUMBER(SEARCH("China PR",S3424)),"China",
ISNUMBER(SEARCH("IR Iran",S3424)),"Iran",
ISNUMBER(SEARCH("Congo DR",S3424)),"Democratic Republic of the Congo",
ISNUMBER(SEARCH("DR Congo",S3424)),"Democratic Republic of the Congo",
ISNUMBER(SEARCH("German DR",S3424)),"DR Germany",
ISNUMBER(SEARCH("rn""&gt;United Arab Emirates",S3424)),"United Arab Emirates",
ISNUMBER(SEARCH("rn""&gt;Republic of Ireland",S3424)),"Ireland",
ISNUMBER(SEARCH("rn""&gt;Bosnia and Herzegovina",S3424)),"Bosnia and Herzegovina",
ISNUMBER(SEARCH("rn""&gt;Trinidad and Tobago",S3424)),"Trinidad and Tobago",
ISNUMBER(SEARCH("rn""&gt;Serbia and Montenegro",S3424)),"Serbia and Montenegro",
ISNUMBER(SEARCH(_xlfn.UNICHAR(65533),S3424)),"Côte d'Ivoire",
TRUE,""
)</f>
        <v/>
      </c>
      <c r="W3424" s="40" t="str">
        <f t="shared" si="234"/>
        <v>Argentina</v>
      </c>
    </row>
    <row r="3425" spans="19:23">
      <c r="S3425" s="40" t="str">
        <v>France</v>
      </c>
      <c r="T3425" s="40" t="str">
        <f t="shared" si="232"/>
        <v>OK</v>
      </c>
      <c r="U3425" s="40" t="str">
        <f t="shared" si="233"/>
        <v>-</v>
      </c>
      <c r="V3425" s="40" t="str" cm="1">
        <f t="array" ref="V3425">_xlfn.IFS(
ISNUMBER(SEARCH("USA",S3425)),"United States",
ISNUMBER(SEARCH("Republic of Ireland",S3425)),"Ireland",
ISNUMBER(SEARCH("Republic of Korea",S3425)),"South Korea",
ISNUMBER(SEARCH("Cape Verde",S3425)),"Cabo Verde",
ISNUMBER(SEARCH("Czechia",S3425)),"Czech Republic",
ISNUMBER(SEARCH("Türkiye",S3425)),"Turkey",
ISNUMBER(SEARCH("Ivory Coast",S3425)),"Côte d'Ivoire",
ISNUMBER(SEARCH("Korea Republic",S3425)),"South Korea",
ISNUMBER(SEARCH("Germany FR",S3425)),"FR Germany",
ISNUMBER(SEARCH("West Germany",S3425)),"FR Germany",
ISNUMBER(SEARCH("Germany DR",S3425)),"DR Germany",
ISNUMBER(SEARCH("Korea DPR",S3425)),"North Korea",
ISNUMBER(SEARCH("China PR",S3425)),"China",
ISNUMBER(SEARCH("IR Iran",S3425)),"Iran",
ISNUMBER(SEARCH("Congo DR",S3425)),"Democratic Republic of the Congo",
ISNUMBER(SEARCH("DR Congo",S3425)),"Democratic Republic of the Congo",
ISNUMBER(SEARCH("German DR",S3425)),"DR Germany",
ISNUMBER(SEARCH("rn""&gt;United Arab Emirates",S3425)),"United Arab Emirates",
ISNUMBER(SEARCH("rn""&gt;Republic of Ireland",S3425)),"Ireland",
ISNUMBER(SEARCH("rn""&gt;Bosnia and Herzegovina",S3425)),"Bosnia and Herzegovina",
ISNUMBER(SEARCH("rn""&gt;Trinidad and Tobago",S3425)),"Trinidad and Tobago",
ISNUMBER(SEARCH("rn""&gt;Serbia and Montenegro",S3425)),"Serbia and Montenegro",
ISNUMBER(SEARCH(_xlfn.UNICHAR(65533),S3425)),"Côte d'Ivoire",
TRUE,""
)</f>
        <v/>
      </c>
      <c r="W3425" s="40" t="str">
        <f t="shared" si="234"/>
        <v>France</v>
      </c>
    </row>
    <row r="3426" spans="19:23">
      <c r="S3426" s="40" t="str">
        <v>England</v>
      </c>
      <c r="T3426" s="40" t="str">
        <f t="shared" si="232"/>
        <v>ERREUR</v>
      </c>
      <c r="U3426" s="40" t="str">
        <f t="shared" si="233"/>
        <v>AUCUNE</v>
      </c>
      <c r="V3426" s="40" t="str" cm="1">
        <f t="array" ref="V3426">_xlfn.IFS(
ISNUMBER(SEARCH("USA",S3426)),"United States",
ISNUMBER(SEARCH("Republic of Ireland",S3426)),"Ireland",
ISNUMBER(SEARCH("Republic of Korea",S3426)),"South Korea",
ISNUMBER(SEARCH("Cape Verde",S3426)),"Cabo Verde",
ISNUMBER(SEARCH("Czechia",S3426)),"Czech Republic",
ISNUMBER(SEARCH("Türkiye",S3426)),"Turkey",
ISNUMBER(SEARCH("Ivory Coast",S3426)),"Côte d'Ivoire",
ISNUMBER(SEARCH("Korea Republic",S3426)),"South Korea",
ISNUMBER(SEARCH("Germany FR",S3426)),"FR Germany",
ISNUMBER(SEARCH("West Germany",S3426)),"FR Germany",
ISNUMBER(SEARCH("Germany DR",S3426)),"DR Germany",
ISNUMBER(SEARCH("Korea DPR",S3426)),"North Korea",
ISNUMBER(SEARCH("China PR",S3426)),"China",
ISNUMBER(SEARCH("IR Iran",S3426)),"Iran",
ISNUMBER(SEARCH("Congo DR",S3426)),"Democratic Republic of the Congo",
ISNUMBER(SEARCH("DR Congo",S3426)),"Democratic Republic of the Congo",
ISNUMBER(SEARCH("German DR",S3426)),"DR Germany",
ISNUMBER(SEARCH("rn""&gt;United Arab Emirates",S3426)),"United Arab Emirates",
ISNUMBER(SEARCH("rn""&gt;Republic of Ireland",S3426)),"Ireland",
ISNUMBER(SEARCH("rn""&gt;Bosnia and Herzegovina",S3426)),"Bosnia and Herzegovina",
ISNUMBER(SEARCH("rn""&gt;Trinidad and Tobago",S3426)),"Trinidad and Tobago",
ISNUMBER(SEARCH("rn""&gt;Serbia and Montenegro",S3426)),"Serbia and Montenegro",
ISNUMBER(SEARCH(_xlfn.UNICHAR(65533),S3426)),"Côte d'Ivoire",
TRUE,""
)</f>
        <v/>
      </c>
      <c r="W3426" s="40" t="str">
        <f t="shared" si="234"/>
        <v>England</v>
      </c>
    </row>
    <row r="3427" spans="19:23">
      <c r="S3427" s="40" t="str">
        <v>France</v>
      </c>
      <c r="T3427" s="40" t="str">
        <f t="shared" si="232"/>
        <v>OK</v>
      </c>
      <c r="U3427" s="40" t="str">
        <f t="shared" si="233"/>
        <v>-</v>
      </c>
      <c r="V3427" s="40" t="str" cm="1">
        <f t="array" ref="V3427">_xlfn.IFS(
ISNUMBER(SEARCH("USA",S3427)),"United States",
ISNUMBER(SEARCH("Republic of Ireland",S3427)),"Ireland",
ISNUMBER(SEARCH("Republic of Korea",S3427)),"South Korea",
ISNUMBER(SEARCH("Cape Verde",S3427)),"Cabo Verde",
ISNUMBER(SEARCH("Czechia",S3427)),"Czech Republic",
ISNUMBER(SEARCH("Türkiye",S3427)),"Turkey",
ISNUMBER(SEARCH("Ivory Coast",S3427)),"Côte d'Ivoire",
ISNUMBER(SEARCH("Korea Republic",S3427)),"South Korea",
ISNUMBER(SEARCH("Germany FR",S3427)),"FR Germany",
ISNUMBER(SEARCH("West Germany",S3427)),"FR Germany",
ISNUMBER(SEARCH("Germany DR",S3427)),"DR Germany",
ISNUMBER(SEARCH("Korea DPR",S3427)),"North Korea",
ISNUMBER(SEARCH("China PR",S3427)),"China",
ISNUMBER(SEARCH("IR Iran",S3427)),"Iran",
ISNUMBER(SEARCH("Congo DR",S3427)),"Democratic Republic of the Congo",
ISNUMBER(SEARCH("DR Congo",S3427)),"Democratic Republic of the Congo",
ISNUMBER(SEARCH("German DR",S3427)),"DR Germany",
ISNUMBER(SEARCH("rn""&gt;United Arab Emirates",S3427)),"United Arab Emirates",
ISNUMBER(SEARCH("rn""&gt;Republic of Ireland",S3427)),"Ireland",
ISNUMBER(SEARCH("rn""&gt;Bosnia and Herzegovina",S3427)),"Bosnia and Herzegovina",
ISNUMBER(SEARCH("rn""&gt;Trinidad and Tobago",S3427)),"Trinidad and Tobago",
ISNUMBER(SEARCH("rn""&gt;Serbia and Montenegro",S3427)),"Serbia and Montenegro",
ISNUMBER(SEARCH(_xlfn.UNICHAR(65533),S3427)),"Côte d'Ivoire",
TRUE,""
)</f>
        <v/>
      </c>
      <c r="W3427" s="40" t="str">
        <f t="shared" si="234"/>
        <v>France</v>
      </c>
    </row>
    <row r="3428" spans="19:23">
      <c r="S3428" s="40" t="str">
        <v>Spain</v>
      </c>
      <c r="T3428" s="40" t="str">
        <f t="shared" si="232"/>
        <v>OK</v>
      </c>
      <c r="U3428" s="40" t="str">
        <f t="shared" si="233"/>
        <v>-</v>
      </c>
      <c r="V3428" s="40" t="str" cm="1">
        <f t="array" ref="V3428">_xlfn.IFS(
ISNUMBER(SEARCH("USA",S3428)),"United States",
ISNUMBER(SEARCH("Republic of Ireland",S3428)),"Ireland",
ISNUMBER(SEARCH("Republic of Korea",S3428)),"South Korea",
ISNUMBER(SEARCH("Cape Verde",S3428)),"Cabo Verde",
ISNUMBER(SEARCH("Czechia",S3428)),"Czech Republic",
ISNUMBER(SEARCH("Türkiye",S3428)),"Turkey",
ISNUMBER(SEARCH("Ivory Coast",S3428)),"Côte d'Ivoire",
ISNUMBER(SEARCH("Korea Republic",S3428)),"South Korea",
ISNUMBER(SEARCH("Germany FR",S3428)),"FR Germany",
ISNUMBER(SEARCH("West Germany",S3428)),"FR Germany",
ISNUMBER(SEARCH("Germany DR",S3428)),"DR Germany",
ISNUMBER(SEARCH("Korea DPR",S3428)),"North Korea",
ISNUMBER(SEARCH("China PR",S3428)),"China",
ISNUMBER(SEARCH("IR Iran",S3428)),"Iran",
ISNUMBER(SEARCH("Congo DR",S3428)),"Democratic Republic of the Congo",
ISNUMBER(SEARCH("DR Congo",S3428)),"Democratic Republic of the Congo",
ISNUMBER(SEARCH("German DR",S3428)),"DR Germany",
ISNUMBER(SEARCH("rn""&gt;United Arab Emirates",S3428)),"United Arab Emirates",
ISNUMBER(SEARCH("rn""&gt;Republic of Ireland",S3428)),"Ireland",
ISNUMBER(SEARCH("rn""&gt;Bosnia and Herzegovina",S3428)),"Bosnia and Herzegovina",
ISNUMBER(SEARCH("rn""&gt;Trinidad and Tobago",S3428)),"Trinidad and Tobago",
ISNUMBER(SEARCH("rn""&gt;Serbia and Montenegro",S3428)),"Serbia and Montenegro",
ISNUMBER(SEARCH(_xlfn.UNICHAR(65533),S3428)),"Côte d'Ivoire",
TRUE,""
)</f>
        <v/>
      </c>
      <c r="W3428" s="40" t="str">
        <f t="shared" si="234"/>
        <v>Spain</v>
      </c>
    </row>
    <row r="3429" spans="19:23">
      <c r="S3429" s="40" t="str">
        <v>Mexico</v>
      </c>
      <c r="T3429" s="40" t="str">
        <f t="shared" si="232"/>
        <v>OK</v>
      </c>
      <c r="U3429" s="40" t="str">
        <f t="shared" si="233"/>
        <v>-</v>
      </c>
      <c r="V3429" s="40" t="str" cm="1">
        <f t="array" ref="V3429">_xlfn.IFS(
ISNUMBER(SEARCH("USA",S3429)),"United States",
ISNUMBER(SEARCH("Republic of Ireland",S3429)),"Ireland",
ISNUMBER(SEARCH("Republic of Korea",S3429)),"South Korea",
ISNUMBER(SEARCH("Cape Verde",S3429)),"Cabo Verde",
ISNUMBER(SEARCH("Czechia",S3429)),"Czech Republic",
ISNUMBER(SEARCH("Türkiye",S3429)),"Turkey",
ISNUMBER(SEARCH("Ivory Coast",S3429)),"Côte d'Ivoire",
ISNUMBER(SEARCH("Korea Republic",S3429)),"South Korea",
ISNUMBER(SEARCH("Germany FR",S3429)),"FR Germany",
ISNUMBER(SEARCH("West Germany",S3429)),"FR Germany",
ISNUMBER(SEARCH("Germany DR",S3429)),"DR Germany",
ISNUMBER(SEARCH("Korea DPR",S3429)),"North Korea",
ISNUMBER(SEARCH("China PR",S3429)),"China",
ISNUMBER(SEARCH("IR Iran",S3429)),"Iran",
ISNUMBER(SEARCH("Congo DR",S3429)),"Democratic Republic of the Congo",
ISNUMBER(SEARCH("DR Congo",S3429)),"Democratic Republic of the Congo",
ISNUMBER(SEARCH("German DR",S3429)),"DR Germany",
ISNUMBER(SEARCH("rn""&gt;United Arab Emirates",S3429)),"United Arab Emirates",
ISNUMBER(SEARCH("rn""&gt;Republic of Ireland",S3429)),"Ireland",
ISNUMBER(SEARCH("rn""&gt;Bosnia and Herzegovina",S3429)),"Bosnia and Herzegovina",
ISNUMBER(SEARCH("rn""&gt;Trinidad and Tobago",S3429)),"Trinidad and Tobago",
ISNUMBER(SEARCH("rn""&gt;Serbia and Montenegro",S3429)),"Serbia and Montenegro",
ISNUMBER(SEARCH(_xlfn.UNICHAR(65533),S3429)),"Côte d'Ivoire",
TRUE,""
)</f>
        <v/>
      </c>
      <c r="W3429" s="40" t="str">
        <f t="shared" si="234"/>
        <v>Mexico</v>
      </c>
    </row>
    <row r="3430" spans="19:23">
      <c r="S3430" s="40" t="str">
        <v>Belgium</v>
      </c>
      <c r="T3430" s="40" t="str">
        <f t="shared" si="232"/>
        <v>OK</v>
      </c>
      <c r="U3430" s="40" t="str">
        <f t="shared" si="233"/>
        <v>-</v>
      </c>
      <c r="V3430" s="40" t="str" cm="1">
        <f t="array" ref="V3430">_xlfn.IFS(
ISNUMBER(SEARCH("USA",S3430)),"United States",
ISNUMBER(SEARCH("Republic of Ireland",S3430)),"Ireland",
ISNUMBER(SEARCH("Republic of Korea",S3430)),"South Korea",
ISNUMBER(SEARCH("Cape Verde",S3430)),"Cabo Verde",
ISNUMBER(SEARCH("Czechia",S3430)),"Czech Republic",
ISNUMBER(SEARCH("Türkiye",S3430)),"Turkey",
ISNUMBER(SEARCH("Ivory Coast",S3430)),"Côte d'Ivoire",
ISNUMBER(SEARCH("Korea Republic",S3430)),"South Korea",
ISNUMBER(SEARCH("Germany FR",S3430)),"FR Germany",
ISNUMBER(SEARCH("West Germany",S3430)),"FR Germany",
ISNUMBER(SEARCH("Germany DR",S3430)),"DR Germany",
ISNUMBER(SEARCH("Korea DPR",S3430)),"North Korea",
ISNUMBER(SEARCH("China PR",S3430)),"China",
ISNUMBER(SEARCH("IR Iran",S3430)),"Iran",
ISNUMBER(SEARCH("Congo DR",S3430)),"Democratic Republic of the Congo",
ISNUMBER(SEARCH("DR Congo",S3430)),"Democratic Republic of the Congo",
ISNUMBER(SEARCH("German DR",S3430)),"DR Germany",
ISNUMBER(SEARCH("rn""&gt;United Arab Emirates",S3430)),"United Arab Emirates",
ISNUMBER(SEARCH("rn""&gt;Republic of Ireland",S3430)),"Ireland",
ISNUMBER(SEARCH("rn""&gt;Bosnia and Herzegovina",S3430)),"Bosnia and Herzegovina",
ISNUMBER(SEARCH("rn""&gt;Trinidad and Tobago",S3430)),"Trinidad and Tobago",
ISNUMBER(SEARCH("rn""&gt;Serbia and Montenegro",S3430)),"Serbia and Montenegro",
ISNUMBER(SEARCH(_xlfn.UNICHAR(65533),S3430)),"Côte d'Ivoire",
TRUE,""
)</f>
        <v/>
      </c>
      <c r="W3430" s="40" t="str">
        <f t="shared" si="234"/>
        <v>Belgium</v>
      </c>
    </row>
    <row r="3431" spans="19:23">
      <c r="S3431" s="40" t="str">
        <v>Brazil</v>
      </c>
      <c r="T3431" s="40" t="str">
        <f t="shared" si="232"/>
        <v>OK</v>
      </c>
      <c r="U3431" s="40" t="str">
        <f t="shared" si="233"/>
        <v>-</v>
      </c>
      <c r="V3431" s="40" t="str" cm="1">
        <f t="array" ref="V3431">_xlfn.IFS(
ISNUMBER(SEARCH("USA",S3431)),"United States",
ISNUMBER(SEARCH("Republic of Ireland",S3431)),"Ireland",
ISNUMBER(SEARCH("Republic of Korea",S3431)),"South Korea",
ISNUMBER(SEARCH("Cape Verde",S3431)),"Cabo Verde",
ISNUMBER(SEARCH("Czechia",S3431)),"Czech Republic",
ISNUMBER(SEARCH("Türkiye",S3431)),"Turkey",
ISNUMBER(SEARCH("Ivory Coast",S3431)),"Côte d'Ivoire",
ISNUMBER(SEARCH("Korea Republic",S3431)),"South Korea",
ISNUMBER(SEARCH("Germany FR",S3431)),"FR Germany",
ISNUMBER(SEARCH("West Germany",S3431)),"FR Germany",
ISNUMBER(SEARCH("Germany DR",S3431)),"DR Germany",
ISNUMBER(SEARCH("Korea DPR",S3431)),"North Korea",
ISNUMBER(SEARCH("China PR",S3431)),"China",
ISNUMBER(SEARCH("IR Iran",S3431)),"Iran",
ISNUMBER(SEARCH("Congo DR",S3431)),"Democratic Republic of the Congo",
ISNUMBER(SEARCH("DR Congo",S3431)),"Democratic Republic of the Congo",
ISNUMBER(SEARCH("German DR",S3431)),"DR Germany",
ISNUMBER(SEARCH("rn""&gt;United Arab Emirates",S3431)),"United Arab Emirates",
ISNUMBER(SEARCH("rn""&gt;Republic of Ireland",S3431)),"Ireland",
ISNUMBER(SEARCH("rn""&gt;Bosnia and Herzegovina",S3431)),"Bosnia and Herzegovina",
ISNUMBER(SEARCH("rn""&gt;Trinidad and Tobago",S3431)),"Trinidad and Tobago",
ISNUMBER(SEARCH("rn""&gt;Serbia and Montenegro",S3431)),"Serbia and Montenegro",
ISNUMBER(SEARCH(_xlfn.UNICHAR(65533),S3431)),"Côte d'Ivoire",
TRUE,""
)</f>
        <v/>
      </c>
      <c r="W3431" s="40" t="str">
        <f t="shared" si="234"/>
        <v>Brazil</v>
      </c>
    </row>
    <row r="3432" spans="19:23">
      <c r="S3432" s="40" t="str">
        <v>Peru</v>
      </c>
      <c r="T3432" s="40" t="str">
        <f t="shared" si="232"/>
        <v>OK</v>
      </c>
      <c r="U3432" s="40" t="str">
        <f t="shared" si="233"/>
        <v>-</v>
      </c>
      <c r="V3432" s="40" t="str" cm="1">
        <f t="array" ref="V3432">_xlfn.IFS(
ISNUMBER(SEARCH("USA",S3432)),"United States",
ISNUMBER(SEARCH("Republic of Ireland",S3432)),"Ireland",
ISNUMBER(SEARCH("Republic of Korea",S3432)),"South Korea",
ISNUMBER(SEARCH("Cape Verde",S3432)),"Cabo Verde",
ISNUMBER(SEARCH("Czechia",S3432)),"Czech Republic",
ISNUMBER(SEARCH("Türkiye",S3432)),"Turkey",
ISNUMBER(SEARCH("Ivory Coast",S3432)),"Côte d'Ivoire",
ISNUMBER(SEARCH("Korea Republic",S3432)),"South Korea",
ISNUMBER(SEARCH("Germany FR",S3432)),"FR Germany",
ISNUMBER(SEARCH("West Germany",S3432)),"FR Germany",
ISNUMBER(SEARCH("Germany DR",S3432)),"DR Germany",
ISNUMBER(SEARCH("Korea DPR",S3432)),"North Korea",
ISNUMBER(SEARCH("China PR",S3432)),"China",
ISNUMBER(SEARCH("IR Iran",S3432)),"Iran",
ISNUMBER(SEARCH("Congo DR",S3432)),"Democratic Republic of the Congo",
ISNUMBER(SEARCH("DR Congo",S3432)),"Democratic Republic of the Congo",
ISNUMBER(SEARCH("German DR",S3432)),"DR Germany",
ISNUMBER(SEARCH("rn""&gt;United Arab Emirates",S3432)),"United Arab Emirates",
ISNUMBER(SEARCH("rn""&gt;Republic of Ireland",S3432)),"Ireland",
ISNUMBER(SEARCH("rn""&gt;Bosnia and Herzegovina",S3432)),"Bosnia and Herzegovina",
ISNUMBER(SEARCH("rn""&gt;Trinidad and Tobago",S3432)),"Trinidad and Tobago",
ISNUMBER(SEARCH("rn""&gt;Serbia and Montenegro",S3432)),"Serbia and Montenegro",
ISNUMBER(SEARCH(_xlfn.UNICHAR(65533),S3432)),"Côte d'Ivoire",
TRUE,""
)</f>
        <v/>
      </c>
      <c r="W3432" s="40" t="str">
        <f t="shared" si="234"/>
        <v>Peru</v>
      </c>
    </row>
    <row r="3433" spans="19:23">
      <c r="S3433" s="40" t="str">
        <v>France</v>
      </c>
      <c r="T3433" s="40" t="str">
        <f t="shared" si="232"/>
        <v>OK</v>
      </c>
      <c r="U3433" s="40" t="str">
        <f t="shared" si="233"/>
        <v>-</v>
      </c>
      <c r="V3433" s="40" t="str" cm="1">
        <f t="array" ref="V3433">_xlfn.IFS(
ISNUMBER(SEARCH("USA",S3433)),"United States",
ISNUMBER(SEARCH("Republic of Ireland",S3433)),"Ireland",
ISNUMBER(SEARCH("Republic of Korea",S3433)),"South Korea",
ISNUMBER(SEARCH("Cape Verde",S3433)),"Cabo Verde",
ISNUMBER(SEARCH("Czechia",S3433)),"Czech Republic",
ISNUMBER(SEARCH("Türkiye",S3433)),"Turkey",
ISNUMBER(SEARCH("Ivory Coast",S3433)),"Côte d'Ivoire",
ISNUMBER(SEARCH("Korea Republic",S3433)),"South Korea",
ISNUMBER(SEARCH("Germany FR",S3433)),"FR Germany",
ISNUMBER(SEARCH("West Germany",S3433)),"FR Germany",
ISNUMBER(SEARCH("Germany DR",S3433)),"DR Germany",
ISNUMBER(SEARCH("Korea DPR",S3433)),"North Korea",
ISNUMBER(SEARCH("China PR",S3433)),"China",
ISNUMBER(SEARCH("IR Iran",S3433)),"Iran",
ISNUMBER(SEARCH("Congo DR",S3433)),"Democratic Republic of the Congo",
ISNUMBER(SEARCH("DR Congo",S3433)),"Democratic Republic of the Congo",
ISNUMBER(SEARCH("German DR",S3433)),"DR Germany",
ISNUMBER(SEARCH("rn""&gt;United Arab Emirates",S3433)),"United Arab Emirates",
ISNUMBER(SEARCH("rn""&gt;Republic of Ireland",S3433)),"Ireland",
ISNUMBER(SEARCH("rn""&gt;Bosnia and Herzegovina",S3433)),"Bosnia and Herzegovina",
ISNUMBER(SEARCH("rn""&gt;Trinidad and Tobago",S3433)),"Trinidad and Tobago",
ISNUMBER(SEARCH("rn""&gt;Serbia and Montenegro",S3433)),"Serbia and Montenegro",
ISNUMBER(SEARCH(_xlfn.UNICHAR(65533),S3433)),"Côte d'Ivoire",
TRUE,""
)</f>
        <v/>
      </c>
      <c r="W3433" s="40" t="str">
        <f t="shared" si="234"/>
        <v>France</v>
      </c>
    </row>
    <row r="3434" spans="19:23">
      <c r="S3434" s="40" t="str">
        <v>Mexico</v>
      </c>
      <c r="T3434" s="40" t="str">
        <f t="shared" si="232"/>
        <v>OK</v>
      </c>
      <c r="U3434" s="40" t="str">
        <f t="shared" si="233"/>
        <v>-</v>
      </c>
      <c r="V3434" s="40" t="str" cm="1">
        <f t="array" ref="V3434">_xlfn.IFS(
ISNUMBER(SEARCH("USA",S3434)),"United States",
ISNUMBER(SEARCH("Republic of Ireland",S3434)),"Ireland",
ISNUMBER(SEARCH("Republic of Korea",S3434)),"South Korea",
ISNUMBER(SEARCH("Cape Verde",S3434)),"Cabo Verde",
ISNUMBER(SEARCH("Czechia",S3434)),"Czech Republic",
ISNUMBER(SEARCH("Türkiye",S3434)),"Turkey",
ISNUMBER(SEARCH("Ivory Coast",S3434)),"Côte d'Ivoire",
ISNUMBER(SEARCH("Korea Republic",S3434)),"South Korea",
ISNUMBER(SEARCH("Germany FR",S3434)),"FR Germany",
ISNUMBER(SEARCH("West Germany",S3434)),"FR Germany",
ISNUMBER(SEARCH("Germany DR",S3434)),"DR Germany",
ISNUMBER(SEARCH("Korea DPR",S3434)),"North Korea",
ISNUMBER(SEARCH("China PR",S3434)),"China",
ISNUMBER(SEARCH("IR Iran",S3434)),"Iran",
ISNUMBER(SEARCH("Congo DR",S3434)),"Democratic Republic of the Congo",
ISNUMBER(SEARCH("DR Congo",S3434)),"Democratic Republic of the Congo",
ISNUMBER(SEARCH("German DR",S3434)),"DR Germany",
ISNUMBER(SEARCH("rn""&gt;United Arab Emirates",S3434)),"United Arab Emirates",
ISNUMBER(SEARCH("rn""&gt;Republic of Ireland",S3434)),"Ireland",
ISNUMBER(SEARCH("rn""&gt;Bosnia and Herzegovina",S3434)),"Bosnia and Herzegovina",
ISNUMBER(SEARCH("rn""&gt;Trinidad and Tobago",S3434)),"Trinidad and Tobago",
ISNUMBER(SEARCH("rn""&gt;Serbia and Montenegro",S3434)),"Serbia and Montenegro",
ISNUMBER(SEARCH(_xlfn.UNICHAR(65533),S3434)),"Côte d'Ivoire",
TRUE,""
)</f>
        <v/>
      </c>
      <c r="W3434" s="40" t="str">
        <f t="shared" si="234"/>
        <v>Mexico</v>
      </c>
    </row>
    <row r="3435" spans="19:23">
      <c r="S3435" s="40" t="str">
        <v>Bolivia</v>
      </c>
      <c r="T3435" s="40" t="str">
        <f t="shared" si="232"/>
        <v>OK</v>
      </c>
      <c r="U3435" s="40" t="str">
        <f t="shared" si="233"/>
        <v>-</v>
      </c>
      <c r="V3435" s="40" t="str" cm="1">
        <f t="array" ref="V3435">_xlfn.IFS(
ISNUMBER(SEARCH("USA",S3435)),"United States",
ISNUMBER(SEARCH("Republic of Ireland",S3435)),"Ireland",
ISNUMBER(SEARCH("Republic of Korea",S3435)),"South Korea",
ISNUMBER(SEARCH("Cape Verde",S3435)),"Cabo Verde",
ISNUMBER(SEARCH("Czechia",S3435)),"Czech Republic",
ISNUMBER(SEARCH("Türkiye",S3435)),"Turkey",
ISNUMBER(SEARCH("Ivory Coast",S3435)),"Côte d'Ivoire",
ISNUMBER(SEARCH("Korea Republic",S3435)),"South Korea",
ISNUMBER(SEARCH("Germany FR",S3435)),"FR Germany",
ISNUMBER(SEARCH("West Germany",S3435)),"FR Germany",
ISNUMBER(SEARCH("Germany DR",S3435)),"DR Germany",
ISNUMBER(SEARCH("Korea DPR",S3435)),"North Korea",
ISNUMBER(SEARCH("China PR",S3435)),"China",
ISNUMBER(SEARCH("IR Iran",S3435)),"Iran",
ISNUMBER(SEARCH("Congo DR",S3435)),"Democratic Republic of the Congo",
ISNUMBER(SEARCH("DR Congo",S3435)),"Democratic Republic of the Congo",
ISNUMBER(SEARCH("German DR",S3435)),"DR Germany",
ISNUMBER(SEARCH("rn""&gt;United Arab Emirates",S3435)),"United Arab Emirates",
ISNUMBER(SEARCH("rn""&gt;Republic of Ireland",S3435)),"Ireland",
ISNUMBER(SEARCH("rn""&gt;Bosnia and Herzegovina",S3435)),"Bosnia and Herzegovina",
ISNUMBER(SEARCH("rn""&gt;Trinidad and Tobago",S3435)),"Trinidad and Tobago",
ISNUMBER(SEARCH("rn""&gt;Serbia and Montenegro",S3435)),"Serbia and Montenegro",
ISNUMBER(SEARCH(_xlfn.UNICHAR(65533),S3435)),"Côte d'Ivoire",
TRUE,""
)</f>
        <v/>
      </c>
      <c r="W3435" s="40" t="str">
        <f t="shared" si="234"/>
        <v>Bolivia</v>
      </c>
    </row>
    <row r="3436" spans="19:23">
      <c r="S3436" s="40" t="str">
        <v>Paraguay</v>
      </c>
      <c r="T3436" s="40" t="str">
        <f t="shared" si="232"/>
        <v>OK</v>
      </c>
      <c r="U3436" s="40" t="str">
        <f t="shared" si="233"/>
        <v>-</v>
      </c>
      <c r="V3436" s="40" t="str" cm="1">
        <f t="array" ref="V3436">_xlfn.IFS(
ISNUMBER(SEARCH("USA",S3436)),"United States",
ISNUMBER(SEARCH("Republic of Ireland",S3436)),"Ireland",
ISNUMBER(SEARCH("Republic of Korea",S3436)),"South Korea",
ISNUMBER(SEARCH("Cape Verde",S3436)),"Cabo Verde",
ISNUMBER(SEARCH("Czechia",S3436)),"Czech Republic",
ISNUMBER(SEARCH("Türkiye",S3436)),"Turkey",
ISNUMBER(SEARCH("Ivory Coast",S3436)),"Côte d'Ivoire",
ISNUMBER(SEARCH("Korea Republic",S3436)),"South Korea",
ISNUMBER(SEARCH("Germany FR",S3436)),"FR Germany",
ISNUMBER(SEARCH("West Germany",S3436)),"FR Germany",
ISNUMBER(SEARCH("Germany DR",S3436)),"DR Germany",
ISNUMBER(SEARCH("Korea DPR",S3436)),"North Korea",
ISNUMBER(SEARCH("China PR",S3436)),"China",
ISNUMBER(SEARCH("IR Iran",S3436)),"Iran",
ISNUMBER(SEARCH("Congo DR",S3436)),"Democratic Republic of the Congo",
ISNUMBER(SEARCH("DR Congo",S3436)),"Democratic Republic of the Congo",
ISNUMBER(SEARCH("German DR",S3436)),"DR Germany",
ISNUMBER(SEARCH("rn""&gt;United Arab Emirates",S3436)),"United Arab Emirates",
ISNUMBER(SEARCH("rn""&gt;Republic of Ireland",S3436)),"Ireland",
ISNUMBER(SEARCH("rn""&gt;Bosnia and Herzegovina",S3436)),"Bosnia and Herzegovina",
ISNUMBER(SEARCH("rn""&gt;Trinidad and Tobago",S3436)),"Trinidad and Tobago",
ISNUMBER(SEARCH("rn""&gt;Serbia and Montenegro",S3436)),"Serbia and Montenegro",
ISNUMBER(SEARCH(_xlfn.UNICHAR(65533),S3436)),"Côte d'Ivoire",
TRUE,""
)</f>
        <v/>
      </c>
      <c r="W3436" s="40" t="str">
        <f t="shared" si="234"/>
        <v>Paraguay</v>
      </c>
    </row>
    <row r="3437" spans="19:23">
      <c r="S3437" s="40" t="str">
        <v>Peru</v>
      </c>
      <c r="T3437" s="40" t="str">
        <f t="shared" si="232"/>
        <v>OK</v>
      </c>
      <c r="U3437" s="40" t="str">
        <f t="shared" si="233"/>
        <v>-</v>
      </c>
      <c r="V3437" s="40" t="str" cm="1">
        <f t="array" ref="V3437">_xlfn.IFS(
ISNUMBER(SEARCH("USA",S3437)),"United States",
ISNUMBER(SEARCH("Republic of Ireland",S3437)),"Ireland",
ISNUMBER(SEARCH("Republic of Korea",S3437)),"South Korea",
ISNUMBER(SEARCH("Cape Verde",S3437)),"Cabo Verde",
ISNUMBER(SEARCH("Czechia",S3437)),"Czech Republic",
ISNUMBER(SEARCH("Türkiye",S3437)),"Turkey",
ISNUMBER(SEARCH("Ivory Coast",S3437)),"Côte d'Ivoire",
ISNUMBER(SEARCH("Korea Republic",S3437)),"South Korea",
ISNUMBER(SEARCH("Germany FR",S3437)),"FR Germany",
ISNUMBER(SEARCH("West Germany",S3437)),"FR Germany",
ISNUMBER(SEARCH("Germany DR",S3437)),"DR Germany",
ISNUMBER(SEARCH("Korea DPR",S3437)),"North Korea",
ISNUMBER(SEARCH("China PR",S3437)),"China",
ISNUMBER(SEARCH("IR Iran",S3437)),"Iran",
ISNUMBER(SEARCH("Congo DR",S3437)),"Democratic Republic of the Congo",
ISNUMBER(SEARCH("DR Congo",S3437)),"Democratic Republic of the Congo",
ISNUMBER(SEARCH("German DR",S3437)),"DR Germany",
ISNUMBER(SEARCH("rn""&gt;United Arab Emirates",S3437)),"United Arab Emirates",
ISNUMBER(SEARCH("rn""&gt;Republic of Ireland",S3437)),"Ireland",
ISNUMBER(SEARCH("rn""&gt;Bosnia and Herzegovina",S3437)),"Bosnia and Herzegovina",
ISNUMBER(SEARCH("rn""&gt;Trinidad and Tobago",S3437)),"Trinidad and Tobago",
ISNUMBER(SEARCH("rn""&gt;Serbia and Montenegro",S3437)),"Serbia and Montenegro",
ISNUMBER(SEARCH(_xlfn.UNICHAR(65533),S3437)),"Côte d'Ivoire",
TRUE,""
)</f>
        <v/>
      </c>
      <c r="W3437" s="40" t="str">
        <f t="shared" si="234"/>
        <v>Peru</v>
      </c>
    </row>
    <row r="3438" spans="19:23">
      <c r="S3438" s="40" t="str">
        <v>France</v>
      </c>
      <c r="T3438" s="40" t="str">
        <f t="shared" si="232"/>
        <v>OK</v>
      </c>
      <c r="U3438" s="40" t="str">
        <f t="shared" si="233"/>
        <v>-</v>
      </c>
      <c r="V3438" s="40" t="str" cm="1">
        <f t="array" ref="V3438">_xlfn.IFS(
ISNUMBER(SEARCH("USA",S3438)),"United States",
ISNUMBER(SEARCH("Republic of Ireland",S3438)),"Ireland",
ISNUMBER(SEARCH("Republic of Korea",S3438)),"South Korea",
ISNUMBER(SEARCH("Cape Verde",S3438)),"Cabo Verde",
ISNUMBER(SEARCH("Czechia",S3438)),"Czech Republic",
ISNUMBER(SEARCH("Türkiye",S3438)),"Turkey",
ISNUMBER(SEARCH("Ivory Coast",S3438)),"Côte d'Ivoire",
ISNUMBER(SEARCH("Korea Republic",S3438)),"South Korea",
ISNUMBER(SEARCH("Germany FR",S3438)),"FR Germany",
ISNUMBER(SEARCH("West Germany",S3438)),"FR Germany",
ISNUMBER(SEARCH("Germany DR",S3438)),"DR Germany",
ISNUMBER(SEARCH("Korea DPR",S3438)),"North Korea",
ISNUMBER(SEARCH("China PR",S3438)),"China",
ISNUMBER(SEARCH("IR Iran",S3438)),"Iran",
ISNUMBER(SEARCH("Congo DR",S3438)),"Democratic Republic of the Congo",
ISNUMBER(SEARCH("DR Congo",S3438)),"Democratic Republic of the Congo",
ISNUMBER(SEARCH("German DR",S3438)),"DR Germany",
ISNUMBER(SEARCH("rn""&gt;United Arab Emirates",S3438)),"United Arab Emirates",
ISNUMBER(SEARCH("rn""&gt;Republic of Ireland",S3438)),"Ireland",
ISNUMBER(SEARCH("rn""&gt;Bosnia and Herzegovina",S3438)),"Bosnia and Herzegovina",
ISNUMBER(SEARCH("rn""&gt;Trinidad and Tobago",S3438)),"Trinidad and Tobago",
ISNUMBER(SEARCH("rn""&gt;Serbia and Montenegro",S3438)),"Serbia and Montenegro",
ISNUMBER(SEARCH(_xlfn.UNICHAR(65533),S3438)),"Côte d'Ivoire",
TRUE,""
)</f>
        <v/>
      </c>
      <c r="W3438" s="40" t="str">
        <f t="shared" si="234"/>
        <v>France</v>
      </c>
    </row>
    <row r="3439" spans="19:23">
      <c r="S3439" s="40" t="str">
        <v>Mexico</v>
      </c>
      <c r="T3439" s="40" t="str">
        <f t="shared" si="232"/>
        <v>OK</v>
      </c>
      <c r="U3439" s="40" t="str">
        <f t="shared" si="233"/>
        <v>-</v>
      </c>
      <c r="V3439" s="40" t="str" cm="1">
        <f t="array" ref="V3439">_xlfn.IFS(
ISNUMBER(SEARCH("USA",S3439)),"United States",
ISNUMBER(SEARCH("Republic of Ireland",S3439)),"Ireland",
ISNUMBER(SEARCH("Republic of Korea",S3439)),"South Korea",
ISNUMBER(SEARCH("Cape Verde",S3439)),"Cabo Verde",
ISNUMBER(SEARCH("Czechia",S3439)),"Czech Republic",
ISNUMBER(SEARCH("Türkiye",S3439)),"Turkey",
ISNUMBER(SEARCH("Ivory Coast",S3439)),"Côte d'Ivoire",
ISNUMBER(SEARCH("Korea Republic",S3439)),"South Korea",
ISNUMBER(SEARCH("Germany FR",S3439)),"FR Germany",
ISNUMBER(SEARCH("West Germany",S3439)),"FR Germany",
ISNUMBER(SEARCH("Germany DR",S3439)),"DR Germany",
ISNUMBER(SEARCH("Korea DPR",S3439)),"North Korea",
ISNUMBER(SEARCH("China PR",S3439)),"China",
ISNUMBER(SEARCH("IR Iran",S3439)),"Iran",
ISNUMBER(SEARCH("Congo DR",S3439)),"Democratic Republic of the Congo",
ISNUMBER(SEARCH("DR Congo",S3439)),"Democratic Republic of the Congo",
ISNUMBER(SEARCH("German DR",S3439)),"DR Germany",
ISNUMBER(SEARCH("rn""&gt;United Arab Emirates",S3439)),"United Arab Emirates",
ISNUMBER(SEARCH("rn""&gt;Republic of Ireland",S3439)),"Ireland",
ISNUMBER(SEARCH("rn""&gt;Bosnia and Herzegovina",S3439)),"Bosnia and Herzegovina",
ISNUMBER(SEARCH("rn""&gt;Trinidad and Tobago",S3439)),"Trinidad and Tobago",
ISNUMBER(SEARCH("rn""&gt;Serbia and Montenegro",S3439)),"Serbia and Montenegro",
ISNUMBER(SEARCH(_xlfn.UNICHAR(65533),S3439)),"Côte d'Ivoire",
TRUE,""
)</f>
        <v/>
      </c>
      <c r="W3439" s="40" t="str">
        <f t="shared" si="234"/>
        <v>Mexico</v>
      </c>
    </row>
    <row r="3440" spans="19:23">
      <c r="S3440" s="40" t="str">
        <v>Bolivia</v>
      </c>
      <c r="T3440" s="40" t="str">
        <f t="shared" si="232"/>
        <v>OK</v>
      </c>
      <c r="U3440" s="40" t="str">
        <f t="shared" si="233"/>
        <v>-</v>
      </c>
      <c r="V3440" s="40" t="str" cm="1">
        <f t="array" ref="V3440">_xlfn.IFS(
ISNUMBER(SEARCH("USA",S3440)),"United States",
ISNUMBER(SEARCH("Republic of Ireland",S3440)),"Ireland",
ISNUMBER(SEARCH("Republic of Korea",S3440)),"South Korea",
ISNUMBER(SEARCH("Cape Verde",S3440)),"Cabo Verde",
ISNUMBER(SEARCH("Czechia",S3440)),"Czech Republic",
ISNUMBER(SEARCH("Türkiye",S3440)),"Turkey",
ISNUMBER(SEARCH("Ivory Coast",S3440)),"Côte d'Ivoire",
ISNUMBER(SEARCH("Korea Republic",S3440)),"South Korea",
ISNUMBER(SEARCH("Germany FR",S3440)),"FR Germany",
ISNUMBER(SEARCH("West Germany",S3440)),"FR Germany",
ISNUMBER(SEARCH("Germany DR",S3440)),"DR Germany",
ISNUMBER(SEARCH("Korea DPR",S3440)),"North Korea",
ISNUMBER(SEARCH("China PR",S3440)),"China",
ISNUMBER(SEARCH("IR Iran",S3440)),"Iran",
ISNUMBER(SEARCH("Congo DR",S3440)),"Democratic Republic of the Congo",
ISNUMBER(SEARCH("DR Congo",S3440)),"Democratic Republic of the Congo",
ISNUMBER(SEARCH("German DR",S3440)),"DR Germany",
ISNUMBER(SEARCH("rn""&gt;United Arab Emirates",S3440)),"United Arab Emirates",
ISNUMBER(SEARCH("rn""&gt;Republic of Ireland",S3440)),"Ireland",
ISNUMBER(SEARCH("rn""&gt;Bosnia and Herzegovina",S3440)),"Bosnia and Herzegovina",
ISNUMBER(SEARCH("rn""&gt;Trinidad and Tobago",S3440)),"Trinidad and Tobago",
ISNUMBER(SEARCH("rn""&gt;Serbia and Montenegro",S3440)),"Serbia and Montenegro",
ISNUMBER(SEARCH(_xlfn.UNICHAR(65533),S3440)),"Côte d'Ivoire",
TRUE,""
)</f>
        <v/>
      </c>
      <c r="W3440" s="40" t="str">
        <f t="shared" si="234"/>
        <v>Bolivia</v>
      </c>
    </row>
    <row r="3441" spans="19:23">
      <c r="S3441" s="40" t="str">
        <v>Belgium</v>
      </c>
      <c r="T3441" s="40" t="str">
        <f t="shared" si="232"/>
        <v>OK</v>
      </c>
      <c r="U3441" s="40" t="str">
        <f t="shared" si="233"/>
        <v>-</v>
      </c>
      <c r="V3441" s="40" t="str" cm="1">
        <f t="array" ref="V3441">_xlfn.IFS(
ISNUMBER(SEARCH("USA",S3441)),"United States",
ISNUMBER(SEARCH("Republic of Ireland",S3441)),"Ireland",
ISNUMBER(SEARCH("Republic of Korea",S3441)),"South Korea",
ISNUMBER(SEARCH("Cape Verde",S3441)),"Cabo Verde",
ISNUMBER(SEARCH("Czechia",S3441)),"Czech Republic",
ISNUMBER(SEARCH("Türkiye",S3441)),"Turkey",
ISNUMBER(SEARCH("Ivory Coast",S3441)),"Côte d'Ivoire",
ISNUMBER(SEARCH("Korea Republic",S3441)),"South Korea",
ISNUMBER(SEARCH("Germany FR",S3441)),"FR Germany",
ISNUMBER(SEARCH("West Germany",S3441)),"FR Germany",
ISNUMBER(SEARCH("Germany DR",S3441)),"DR Germany",
ISNUMBER(SEARCH("Korea DPR",S3441)),"North Korea",
ISNUMBER(SEARCH("China PR",S3441)),"China",
ISNUMBER(SEARCH("IR Iran",S3441)),"Iran",
ISNUMBER(SEARCH("Congo DR",S3441)),"Democratic Republic of the Congo",
ISNUMBER(SEARCH("DR Congo",S3441)),"Democratic Republic of the Congo",
ISNUMBER(SEARCH("German DR",S3441)),"DR Germany",
ISNUMBER(SEARCH("rn""&gt;United Arab Emirates",S3441)),"United Arab Emirates",
ISNUMBER(SEARCH("rn""&gt;Republic of Ireland",S3441)),"Ireland",
ISNUMBER(SEARCH("rn""&gt;Bosnia and Herzegovina",S3441)),"Bosnia and Herzegovina",
ISNUMBER(SEARCH("rn""&gt;Trinidad and Tobago",S3441)),"Trinidad and Tobago",
ISNUMBER(SEARCH("rn""&gt;Serbia and Montenegro",S3441)),"Serbia and Montenegro",
ISNUMBER(SEARCH(_xlfn.UNICHAR(65533),S3441)),"Côte d'Ivoire",
TRUE,""
)</f>
        <v/>
      </c>
      <c r="W3441" s="40" t="str">
        <f t="shared" si="234"/>
        <v>Belgium</v>
      </c>
    </row>
    <row r="3442" spans="19:23">
      <c r="S3442" s="40" t="str">
        <v>Romania</v>
      </c>
      <c r="T3442" s="40" t="str">
        <f t="shared" si="232"/>
        <v>OK</v>
      </c>
      <c r="U3442" s="40" t="str">
        <f t="shared" si="233"/>
        <v>-</v>
      </c>
      <c r="V3442" s="40" t="str" cm="1">
        <f t="array" ref="V3442">_xlfn.IFS(
ISNUMBER(SEARCH("USA",S3442)),"United States",
ISNUMBER(SEARCH("Republic of Ireland",S3442)),"Ireland",
ISNUMBER(SEARCH("Republic of Korea",S3442)),"South Korea",
ISNUMBER(SEARCH("Cape Verde",S3442)),"Cabo Verde",
ISNUMBER(SEARCH("Czechia",S3442)),"Czech Republic",
ISNUMBER(SEARCH("Türkiye",S3442)),"Turkey",
ISNUMBER(SEARCH("Ivory Coast",S3442)),"Côte d'Ivoire",
ISNUMBER(SEARCH("Korea Republic",S3442)),"South Korea",
ISNUMBER(SEARCH("Germany FR",S3442)),"FR Germany",
ISNUMBER(SEARCH("West Germany",S3442)),"FR Germany",
ISNUMBER(SEARCH("Germany DR",S3442)),"DR Germany",
ISNUMBER(SEARCH("Korea DPR",S3442)),"North Korea",
ISNUMBER(SEARCH("China PR",S3442)),"China",
ISNUMBER(SEARCH("IR Iran",S3442)),"Iran",
ISNUMBER(SEARCH("Congo DR",S3442)),"Democratic Republic of the Congo",
ISNUMBER(SEARCH("DR Congo",S3442)),"Democratic Republic of the Congo",
ISNUMBER(SEARCH("German DR",S3442)),"DR Germany",
ISNUMBER(SEARCH("rn""&gt;United Arab Emirates",S3442)),"United Arab Emirates",
ISNUMBER(SEARCH("rn""&gt;Republic of Ireland",S3442)),"Ireland",
ISNUMBER(SEARCH("rn""&gt;Bosnia and Herzegovina",S3442)),"Bosnia and Herzegovina",
ISNUMBER(SEARCH("rn""&gt;Trinidad and Tobago",S3442)),"Trinidad and Tobago",
ISNUMBER(SEARCH("rn""&gt;Serbia and Montenegro",S3442)),"Serbia and Montenegro",
ISNUMBER(SEARCH(_xlfn.UNICHAR(65533),S3442)),"Côte d'Ivoire",
TRUE,""
)</f>
        <v/>
      </c>
      <c r="W3442" s="40" t="str">
        <f t="shared" si="234"/>
        <v>Romania</v>
      </c>
    </row>
    <row r="3443" spans="19:23">
      <c r="S3443" s="40" t="str">
        <v>Chile</v>
      </c>
      <c r="T3443" s="40" t="str">
        <f t="shared" si="232"/>
        <v>OK</v>
      </c>
      <c r="U3443" s="40" t="str">
        <f t="shared" si="233"/>
        <v>-</v>
      </c>
      <c r="V3443" s="40" t="str" cm="1">
        <f t="array" ref="V3443">_xlfn.IFS(
ISNUMBER(SEARCH("USA",S3443)),"United States",
ISNUMBER(SEARCH("Republic of Ireland",S3443)),"Ireland",
ISNUMBER(SEARCH("Republic of Korea",S3443)),"South Korea",
ISNUMBER(SEARCH("Cape Verde",S3443)),"Cabo Verde",
ISNUMBER(SEARCH("Czechia",S3443)),"Czech Republic",
ISNUMBER(SEARCH("Türkiye",S3443)),"Turkey",
ISNUMBER(SEARCH("Ivory Coast",S3443)),"Côte d'Ivoire",
ISNUMBER(SEARCH("Korea Republic",S3443)),"South Korea",
ISNUMBER(SEARCH("Germany FR",S3443)),"FR Germany",
ISNUMBER(SEARCH("West Germany",S3443)),"FR Germany",
ISNUMBER(SEARCH("Germany DR",S3443)),"DR Germany",
ISNUMBER(SEARCH("Korea DPR",S3443)),"North Korea",
ISNUMBER(SEARCH("China PR",S3443)),"China",
ISNUMBER(SEARCH("IR Iran",S3443)),"Iran",
ISNUMBER(SEARCH("Congo DR",S3443)),"Democratic Republic of the Congo",
ISNUMBER(SEARCH("DR Congo",S3443)),"Democratic Republic of the Congo",
ISNUMBER(SEARCH("German DR",S3443)),"DR Germany",
ISNUMBER(SEARCH("rn""&gt;United Arab Emirates",S3443)),"United Arab Emirates",
ISNUMBER(SEARCH("rn""&gt;Republic of Ireland",S3443)),"Ireland",
ISNUMBER(SEARCH("rn""&gt;Bosnia and Herzegovina",S3443)),"Bosnia and Herzegovina",
ISNUMBER(SEARCH("rn""&gt;Trinidad and Tobago",S3443)),"Trinidad and Tobago",
ISNUMBER(SEARCH("rn""&gt;Serbia and Montenegro",S3443)),"Serbia and Montenegro",
ISNUMBER(SEARCH(_xlfn.UNICHAR(65533),S3443)),"Côte d'Ivoire",
TRUE,""
)</f>
        <v/>
      </c>
      <c r="W3443" s="40" t="str">
        <f t="shared" si="234"/>
        <v>Chile</v>
      </c>
    </row>
    <row r="3444" spans="19:23">
      <c r="S3444" s="40" t="str">
        <v>USA</v>
      </c>
      <c r="T3444" s="40" t="str">
        <f t="shared" si="232"/>
        <v>ERREUR</v>
      </c>
      <c r="U3444" s="40" t="str">
        <f t="shared" si="233"/>
        <v>RENOMMER</v>
      </c>
      <c r="V3444" s="40" t="str" cm="1">
        <f t="array" ref="V3444">_xlfn.IFS(
ISNUMBER(SEARCH("USA",S3444)),"United States",
ISNUMBER(SEARCH("Republic of Ireland",S3444)),"Ireland",
ISNUMBER(SEARCH("Republic of Korea",S3444)),"South Korea",
ISNUMBER(SEARCH("Cape Verde",S3444)),"Cabo Verde",
ISNUMBER(SEARCH("Czechia",S3444)),"Czech Republic",
ISNUMBER(SEARCH("Türkiye",S3444)),"Turkey",
ISNUMBER(SEARCH("Ivory Coast",S3444)),"Côte d'Ivoire",
ISNUMBER(SEARCH("Korea Republic",S3444)),"South Korea",
ISNUMBER(SEARCH("Germany FR",S3444)),"FR Germany",
ISNUMBER(SEARCH("West Germany",S3444)),"FR Germany",
ISNUMBER(SEARCH("Germany DR",S3444)),"DR Germany",
ISNUMBER(SEARCH("Korea DPR",S3444)),"North Korea",
ISNUMBER(SEARCH("China PR",S3444)),"China",
ISNUMBER(SEARCH("IR Iran",S3444)),"Iran",
ISNUMBER(SEARCH("Congo DR",S3444)),"Democratic Republic of the Congo",
ISNUMBER(SEARCH("DR Congo",S3444)),"Democratic Republic of the Congo",
ISNUMBER(SEARCH("German DR",S3444)),"DR Germany",
ISNUMBER(SEARCH("rn""&gt;United Arab Emirates",S3444)),"United Arab Emirates",
ISNUMBER(SEARCH("rn""&gt;Republic of Ireland",S3444)),"Ireland",
ISNUMBER(SEARCH("rn""&gt;Bosnia and Herzegovina",S3444)),"Bosnia and Herzegovina",
ISNUMBER(SEARCH("rn""&gt;Trinidad and Tobago",S3444)),"Trinidad and Tobago",
ISNUMBER(SEARCH("rn""&gt;Serbia and Montenegro",S3444)),"Serbia and Montenegro",
ISNUMBER(SEARCH(_xlfn.UNICHAR(65533),S3444)),"Côte d'Ivoire",
TRUE,""
)</f>
        <v>United States</v>
      </c>
      <c r="W3444" s="40" t="str">
        <f t="shared" si="234"/>
        <v>United States</v>
      </c>
    </row>
    <row r="3445" spans="19:23">
      <c r="S3445" s="40" t="str">
        <v>Yugoslavia</v>
      </c>
      <c r="T3445" s="40" t="str">
        <f t="shared" si="232"/>
        <v>ERREUR</v>
      </c>
      <c r="U3445" s="40" t="str">
        <f t="shared" si="233"/>
        <v>AUCUNE</v>
      </c>
      <c r="V3445" s="40" t="str" cm="1">
        <f t="array" ref="V3445">_xlfn.IFS(
ISNUMBER(SEARCH("USA",S3445)),"United States",
ISNUMBER(SEARCH("Republic of Ireland",S3445)),"Ireland",
ISNUMBER(SEARCH("Republic of Korea",S3445)),"South Korea",
ISNUMBER(SEARCH("Cape Verde",S3445)),"Cabo Verde",
ISNUMBER(SEARCH("Czechia",S3445)),"Czech Republic",
ISNUMBER(SEARCH("Türkiye",S3445)),"Turkey",
ISNUMBER(SEARCH("Ivory Coast",S3445)),"Côte d'Ivoire",
ISNUMBER(SEARCH("Korea Republic",S3445)),"South Korea",
ISNUMBER(SEARCH("Germany FR",S3445)),"FR Germany",
ISNUMBER(SEARCH("West Germany",S3445)),"FR Germany",
ISNUMBER(SEARCH("Germany DR",S3445)),"DR Germany",
ISNUMBER(SEARCH("Korea DPR",S3445)),"North Korea",
ISNUMBER(SEARCH("China PR",S3445)),"China",
ISNUMBER(SEARCH("IR Iran",S3445)),"Iran",
ISNUMBER(SEARCH("Congo DR",S3445)),"Democratic Republic of the Congo",
ISNUMBER(SEARCH("DR Congo",S3445)),"Democratic Republic of the Congo",
ISNUMBER(SEARCH("German DR",S3445)),"DR Germany",
ISNUMBER(SEARCH("rn""&gt;United Arab Emirates",S3445)),"United Arab Emirates",
ISNUMBER(SEARCH("rn""&gt;Republic of Ireland",S3445)),"Ireland",
ISNUMBER(SEARCH("rn""&gt;Bosnia and Herzegovina",S3445)),"Bosnia and Herzegovina",
ISNUMBER(SEARCH("rn""&gt;Trinidad and Tobago",S3445)),"Trinidad and Tobago",
ISNUMBER(SEARCH("rn""&gt;Serbia and Montenegro",S3445)),"Serbia and Montenegro",
ISNUMBER(SEARCH(_xlfn.UNICHAR(65533),S3445)),"Côte d'Ivoire",
TRUE,""
)</f>
        <v/>
      </c>
      <c r="W3445" s="40" t="str">
        <f t="shared" si="234"/>
        <v>Yugoslavia</v>
      </c>
    </row>
    <row r="3446" spans="19:23">
      <c r="S3446" s="40" t="str">
        <v>Argentina</v>
      </c>
      <c r="T3446" s="40" t="str">
        <f t="shared" si="232"/>
        <v>OK</v>
      </c>
      <c r="U3446" s="40" t="str">
        <f t="shared" si="233"/>
        <v>-</v>
      </c>
      <c r="V3446" s="40" t="str" cm="1">
        <f t="array" ref="V3446">_xlfn.IFS(
ISNUMBER(SEARCH("USA",S3446)),"United States",
ISNUMBER(SEARCH("Republic of Ireland",S3446)),"Ireland",
ISNUMBER(SEARCH("Republic of Korea",S3446)),"South Korea",
ISNUMBER(SEARCH("Cape Verde",S3446)),"Cabo Verde",
ISNUMBER(SEARCH("Czechia",S3446)),"Czech Republic",
ISNUMBER(SEARCH("Türkiye",S3446)),"Turkey",
ISNUMBER(SEARCH("Ivory Coast",S3446)),"Côte d'Ivoire",
ISNUMBER(SEARCH("Korea Republic",S3446)),"South Korea",
ISNUMBER(SEARCH("Germany FR",S3446)),"FR Germany",
ISNUMBER(SEARCH("West Germany",S3446)),"FR Germany",
ISNUMBER(SEARCH("Germany DR",S3446)),"DR Germany",
ISNUMBER(SEARCH("Korea DPR",S3446)),"North Korea",
ISNUMBER(SEARCH("China PR",S3446)),"China",
ISNUMBER(SEARCH("IR Iran",S3446)),"Iran",
ISNUMBER(SEARCH("Congo DR",S3446)),"Democratic Republic of the Congo",
ISNUMBER(SEARCH("DR Congo",S3446)),"Democratic Republic of the Congo",
ISNUMBER(SEARCH("German DR",S3446)),"DR Germany",
ISNUMBER(SEARCH("rn""&gt;United Arab Emirates",S3446)),"United Arab Emirates",
ISNUMBER(SEARCH("rn""&gt;Republic of Ireland",S3446)),"Ireland",
ISNUMBER(SEARCH("rn""&gt;Bosnia and Herzegovina",S3446)),"Bosnia and Herzegovina",
ISNUMBER(SEARCH("rn""&gt;Trinidad and Tobago",S3446)),"Trinidad and Tobago",
ISNUMBER(SEARCH("rn""&gt;Serbia and Montenegro",S3446)),"Serbia and Montenegro",
ISNUMBER(SEARCH(_xlfn.UNICHAR(65533),S3446)),"Côte d'Ivoire",
TRUE,""
)</f>
        <v/>
      </c>
      <c r="W3446" s="40" t="str">
        <f t="shared" si="234"/>
        <v>Argentina</v>
      </c>
    </row>
    <row r="3447" spans="19:23">
      <c r="S3447" s="40" t="str">
        <v>France</v>
      </c>
      <c r="T3447" s="40" t="str">
        <f t="shared" si="232"/>
        <v>OK</v>
      </c>
      <c r="U3447" s="40" t="str">
        <f t="shared" si="233"/>
        <v>-</v>
      </c>
      <c r="V3447" s="40" t="str" cm="1">
        <f t="array" ref="V3447">_xlfn.IFS(
ISNUMBER(SEARCH("USA",S3447)),"United States",
ISNUMBER(SEARCH("Republic of Ireland",S3447)),"Ireland",
ISNUMBER(SEARCH("Republic of Korea",S3447)),"South Korea",
ISNUMBER(SEARCH("Cape Verde",S3447)),"Cabo Verde",
ISNUMBER(SEARCH("Czechia",S3447)),"Czech Republic",
ISNUMBER(SEARCH("Türkiye",S3447)),"Turkey",
ISNUMBER(SEARCH("Ivory Coast",S3447)),"Côte d'Ivoire",
ISNUMBER(SEARCH("Korea Republic",S3447)),"South Korea",
ISNUMBER(SEARCH("Germany FR",S3447)),"FR Germany",
ISNUMBER(SEARCH("West Germany",S3447)),"FR Germany",
ISNUMBER(SEARCH("Germany DR",S3447)),"DR Germany",
ISNUMBER(SEARCH("Korea DPR",S3447)),"North Korea",
ISNUMBER(SEARCH("China PR",S3447)),"China",
ISNUMBER(SEARCH("IR Iran",S3447)),"Iran",
ISNUMBER(SEARCH("Congo DR",S3447)),"Democratic Republic of the Congo",
ISNUMBER(SEARCH("DR Congo",S3447)),"Democratic Republic of the Congo",
ISNUMBER(SEARCH("German DR",S3447)),"DR Germany",
ISNUMBER(SEARCH("rn""&gt;United Arab Emirates",S3447)),"United Arab Emirates",
ISNUMBER(SEARCH("rn""&gt;Republic of Ireland",S3447)),"Ireland",
ISNUMBER(SEARCH("rn""&gt;Bosnia and Herzegovina",S3447)),"Bosnia and Herzegovina",
ISNUMBER(SEARCH("rn""&gt;Trinidad and Tobago",S3447)),"Trinidad and Tobago",
ISNUMBER(SEARCH("rn""&gt;Serbia and Montenegro",S3447)),"Serbia and Montenegro",
ISNUMBER(SEARCH(_xlfn.UNICHAR(65533),S3447)),"Côte d'Ivoire",
TRUE,""
)</f>
        <v/>
      </c>
      <c r="W3447" s="40" t="str">
        <f t="shared" si="234"/>
        <v>France</v>
      </c>
    </row>
    <row r="3448" spans="19:23">
      <c r="S3448" s="40" t="str">
        <v>Egypt</v>
      </c>
      <c r="T3448" s="40" t="str">
        <f t="shared" si="232"/>
        <v>OK</v>
      </c>
      <c r="U3448" s="40" t="str">
        <f t="shared" si="233"/>
        <v>-</v>
      </c>
      <c r="V3448" s="40" t="str" cm="1">
        <f t="array" ref="V3448">_xlfn.IFS(
ISNUMBER(SEARCH("USA",S3448)),"United States",
ISNUMBER(SEARCH("Republic of Ireland",S3448)),"Ireland",
ISNUMBER(SEARCH("Republic of Korea",S3448)),"South Korea",
ISNUMBER(SEARCH("Cape Verde",S3448)),"Cabo Verde",
ISNUMBER(SEARCH("Czechia",S3448)),"Czech Republic",
ISNUMBER(SEARCH("Türkiye",S3448)),"Turkey",
ISNUMBER(SEARCH("Ivory Coast",S3448)),"Côte d'Ivoire",
ISNUMBER(SEARCH("Korea Republic",S3448)),"South Korea",
ISNUMBER(SEARCH("Germany FR",S3448)),"FR Germany",
ISNUMBER(SEARCH("West Germany",S3448)),"FR Germany",
ISNUMBER(SEARCH("Germany DR",S3448)),"DR Germany",
ISNUMBER(SEARCH("Korea DPR",S3448)),"North Korea",
ISNUMBER(SEARCH("China PR",S3448)),"China",
ISNUMBER(SEARCH("IR Iran",S3448)),"Iran",
ISNUMBER(SEARCH("Congo DR",S3448)),"Democratic Republic of the Congo",
ISNUMBER(SEARCH("DR Congo",S3448)),"Democratic Republic of the Congo",
ISNUMBER(SEARCH("German DR",S3448)),"DR Germany",
ISNUMBER(SEARCH("rn""&gt;United Arab Emirates",S3448)),"United Arab Emirates",
ISNUMBER(SEARCH("rn""&gt;Republic of Ireland",S3448)),"Ireland",
ISNUMBER(SEARCH("rn""&gt;Bosnia and Herzegovina",S3448)),"Bosnia and Herzegovina",
ISNUMBER(SEARCH("rn""&gt;Trinidad and Tobago",S3448)),"Trinidad and Tobago",
ISNUMBER(SEARCH("rn""&gt;Serbia and Montenegro",S3448)),"Serbia and Montenegro",
ISNUMBER(SEARCH(_xlfn.UNICHAR(65533),S3448)),"Côte d'Ivoire",
TRUE,""
)</f>
        <v/>
      </c>
      <c r="W3448" s="40" t="str">
        <f t="shared" si="234"/>
        <v>Egypt</v>
      </c>
    </row>
    <row r="3449" spans="19:23">
      <c r="S3449" s="40" t="str">
        <v>Netherlands</v>
      </c>
      <c r="T3449" s="40" t="str">
        <f t="shared" si="232"/>
        <v>OK</v>
      </c>
      <c r="U3449" s="40" t="str">
        <f t="shared" si="233"/>
        <v>-</v>
      </c>
      <c r="V3449" s="40" t="str" cm="1">
        <f t="array" ref="V3449">_xlfn.IFS(
ISNUMBER(SEARCH("USA",S3449)),"United States",
ISNUMBER(SEARCH("Republic of Ireland",S3449)),"Ireland",
ISNUMBER(SEARCH("Republic of Korea",S3449)),"South Korea",
ISNUMBER(SEARCH("Cape Verde",S3449)),"Cabo Verde",
ISNUMBER(SEARCH("Czechia",S3449)),"Czech Republic",
ISNUMBER(SEARCH("Türkiye",S3449)),"Turkey",
ISNUMBER(SEARCH("Ivory Coast",S3449)),"Côte d'Ivoire",
ISNUMBER(SEARCH("Korea Republic",S3449)),"South Korea",
ISNUMBER(SEARCH("Germany FR",S3449)),"FR Germany",
ISNUMBER(SEARCH("West Germany",S3449)),"FR Germany",
ISNUMBER(SEARCH("Germany DR",S3449)),"DR Germany",
ISNUMBER(SEARCH("Korea DPR",S3449)),"North Korea",
ISNUMBER(SEARCH("China PR",S3449)),"China",
ISNUMBER(SEARCH("IR Iran",S3449)),"Iran",
ISNUMBER(SEARCH("Congo DR",S3449)),"Democratic Republic of the Congo",
ISNUMBER(SEARCH("DR Congo",S3449)),"Democratic Republic of the Congo",
ISNUMBER(SEARCH("German DR",S3449)),"DR Germany",
ISNUMBER(SEARCH("rn""&gt;United Arab Emirates",S3449)),"United Arab Emirates",
ISNUMBER(SEARCH("rn""&gt;Republic of Ireland",S3449)),"Ireland",
ISNUMBER(SEARCH("rn""&gt;Bosnia and Herzegovina",S3449)),"Bosnia and Herzegovina",
ISNUMBER(SEARCH("rn""&gt;Trinidad and Tobago",S3449)),"Trinidad and Tobago",
ISNUMBER(SEARCH("rn""&gt;Serbia and Montenegro",S3449)),"Serbia and Montenegro",
ISNUMBER(SEARCH(_xlfn.UNICHAR(65533),S3449)),"Côte d'Ivoire",
TRUE,""
)</f>
        <v/>
      </c>
      <c r="W3449" s="40" t="str">
        <f t="shared" si="234"/>
        <v>Netherlands</v>
      </c>
    </row>
    <row r="3450" spans="19:23">
      <c r="S3450" s="40" t="str">
        <v>Argentina</v>
      </c>
      <c r="T3450" s="40" t="str">
        <f t="shared" si="232"/>
        <v>OK</v>
      </c>
      <c r="U3450" s="40" t="str">
        <f t="shared" si="233"/>
        <v>-</v>
      </c>
      <c r="V3450" s="40" t="str" cm="1">
        <f t="array" ref="V3450">_xlfn.IFS(
ISNUMBER(SEARCH("USA",S3450)),"United States",
ISNUMBER(SEARCH("Republic of Ireland",S3450)),"Ireland",
ISNUMBER(SEARCH("Republic of Korea",S3450)),"South Korea",
ISNUMBER(SEARCH("Cape Verde",S3450)),"Cabo Verde",
ISNUMBER(SEARCH("Czechia",S3450)),"Czech Republic",
ISNUMBER(SEARCH("Türkiye",S3450)),"Turkey",
ISNUMBER(SEARCH("Ivory Coast",S3450)),"Côte d'Ivoire",
ISNUMBER(SEARCH("Korea Republic",S3450)),"South Korea",
ISNUMBER(SEARCH("Germany FR",S3450)),"FR Germany",
ISNUMBER(SEARCH("West Germany",S3450)),"FR Germany",
ISNUMBER(SEARCH("Germany DR",S3450)),"DR Germany",
ISNUMBER(SEARCH("Korea DPR",S3450)),"North Korea",
ISNUMBER(SEARCH("China PR",S3450)),"China",
ISNUMBER(SEARCH("IR Iran",S3450)),"Iran",
ISNUMBER(SEARCH("Congo DR",S3450)),"Democratic Republic of the Congo",
ISNUMBER(SEARCH("DR Congo",S3450)),"Democratic Republic of the Congo",
ISNUMBER(SEARCH("German DR",S3450)),"DR Germany",
ISNUMBER(SEARCH("rn""&gt;United Arab Emirates",S3450)),"United Arab Emirates",
ISNUMBER(SEARCH("rn""&gt;Republic of Ireland",S3450)),"Ireland",
ISNUMBER(SEARCH("rn""&gt;Bosnia and Herzegovina",S3450)),"Bosnia and Herzegovina",
ISNUMBER(SEARCH("rn""&gt;Trinidad and Tobago",S3450)),"Trinidad and Tobago",
ISNUMBER(SEARCH("rn""&gt;Serbia and Montenegro",S3450)),"Serbia and Montenegro",
ISNUMBER(SEARCH(_xlfn.UNICHAR(65533),S3450)),"Côte d'Ivoire",
TRUE,""
)</f>
        <v/>
      </c>
      <c r="W3450" s="40" t="str">
        <f t="shared" si="234"/>
        <v>Argentina</v>
      </c>
    </row>
    <row r="3451" spans="19:23">
      <c r="S3451" s="40" t="str">
        <v>Belgium</v>
      </c>
      <c r="T3451" s="40" t="str">
        <f t="shared" si="232"/>
        <v>OK</v>
      </c>
      <c r="U3451" s="40" t="str">
        <f t="shared" si="233"/>
        <v>-</v>
      </c>
      <c r="V3451" s="40" t="str" cm="1">
        <f t="array" ref="V3451">_xlfn.IFS(
ISNUMBER(SEARCH("USA",S3451)),"United States",
ISNUMBER(SEARCH("Republic of Ireland",S3451)),"Ireland",
ISNUMBER(SEARCH("Republic of Korea",S3451)),"South Korea",
ISNUMBER(SEARCH("Cape Verde",S3451)),"Cabo Verde",
ISNUMBER(SEARCH("Czechia",S3451)),"Czech Republic",
ISNUMBER(SEARCH("Türkiye",S3451)),"Turkey",
ISNUMBER(SEARCH("Ivory Coast",S3451)),"Côte d'Ivoire",
ISNUMBER(SEARCH("Korea Republic",S3451)),"South Korea",
ISNUMBER(SEARCH("Germany FR",S3451)),"FR Germany",
ISNUMBER(SEARCH("West Germany",S3451)),"FR Germany",
ISNUMBER(SEARCH("Germany DR",S3451)),"DR Germany",
ISNUMBER(SEARCH("Korea DPR",S3451)),"North Korea",
ISNUMBER(SEARCH("China PR",S3451)),"China",
ISNUMBER(SEARCH("IR Iran",S3451)),"Iran",
ISNUMBER(SEARCH("Congo DR",S3451)),"Democratic Republic of the Congo",
ISNUMBER(SEARCH("DR Congo",S3451)),"Democratic Republic of the Congo",
ISNUMBER(SEARCH("German DR",S3451)),"DR Germany",
ISNUMBER(SEARCH("rn""&gt;United Arab Emirates",S3451)),"United Arab Emirates",
ISNUMBER(SEARCH("rn""&gt;Republic of Ireland",S3451)),"Ireland",
ISNUMBER(SEARCH("rn""&gt;Bosnia and Herzegovina",S3451)),"Bosnia and Herzegovina",
ISNUMBER(SEARCH("rn""&gt;Trinidad and Tobago",S3451)),"Trinidad and Tobago",
ISNUMBER(SEARCH("rn""&gt;Serbia and Montenegro",S3451)),"Serbia and Montenegro",
ISNUMBER(SEARCH(_xlfn.UNICHAR(65533),S3451)),"Côte d'Ivoire",
TRUE,""
)</f>
        <v/>
      </c>
      <c r="W3451" s="40" t="str">
        <f t="shared" si="234"/>
        <v>Belgium</v>
      </c>
    </row>
    <row r="3452" spans="19:23">
      <c r="S3452" s="40" t="str">
        <v>Brazil</v>
      </c>
      <c r="T3452" s="40" t="str">
        <f t="shared" si="232"/>
        <v>OK</v>
      </c>
      <c r="U3452" s="40" t="str">
        <f t="shared" si="233"/>
        <v>-</v>
      </c>
      <c r="V3452" s="40" t="str" cm="1">
        <f t="array" ref="V3452">_xlfn.IFS(
ISNUMBER(SEARCH("USA",S3452)),"United States",
ISNUMBER(SEARCH("Republic of Ireland",S3452)),"Ireland",
ISNUMBER(SEARCH("Republic of Korea",S3452)),"South Korea",
ISNUMBER(SEARCH("Cape Verde",S3452)),"Cabo Verde",
ISNUMBER(SEARCH("Czechia",S3452)),"Czech Republic",
ISNUMBER(SEARCH("Türkiye",S3452)),"Turkey",
ISNUMBER(SEARCH("Ivory Coast",S3452)),"Côte d'Ivoire",
ISNUMBER(SEARCH("Korea Republic",S3452)),"South Korea",
ISNUMBER(SEARCH("Germany FR",S3452)),"FR Germany",
ISNUMBER(SEARCH("West Germany",S3452)),"FR Germany",
ISNUMBER(SEARCH("Germany DR",S3452)),"DR Germany",
ISNUMBER(SEARCH("Korea DPR",S3452)),"North Korea",
ISNUMBER(SEARCH("China PR",S3452)),"China",
ISNUMBER(SEARCH("IR Iran",S3452)),"Iran",
ISNUMBER(SEARCH("Congo DR",S3452)),"Democratic Republic of the Congo",
ISNUMBER(SEARCH("DR Congo",S3452)),"Democratic Republic of the Congo",
ISNUMBER(SEARCH("German DR",S3452)),"DR Germany",
ISNUMBER(SEARCH("rn""&gt;United Arab Emirates",S3452)),"United Arab Emirates",
ISNUMBER(SEARCH("rn""&gt;Republic of Ireland",S3452)),"Ireland",
ISNUMBER(SEARCH("rn""&gt;Bosnia and Herzegovina",S3452)),"Bosnia and Herzegovina",
ISNUMBER(SEARCH("rn""&gt;Trinidad and Tobago",S3452)),"Trinidad and Tobago",
ISNUMBER(SEARCH("rn""&gt;Serbia and Montenegro",S3452)),"Serbia and Montenegro",
ISNUMBER(SEARCH(_xlfn.UNICHAR(65533),S3452)),"Côte d'Ivoire",
TRUE,""
)</f>
        <v/>
      </c>
      <c r="W3452" s="40" t="str">
        <f t="shared" si="234"/>
        <v>Brazil</v>
      </c>
    </row>
    <row r="3453" spans="19:23">
      <c r="S3453" s="40" t="str">
        <v>USA</v>
      </c>
      <c r="T3453" s="40" t="str">
        <f t="shared" si="232"/>
        <v>ERREUR</v>
      </c>
      <c r="U3453" s="40" t="str">
        <f t="shared" si="233"/>
        <v>RENOMMER</v>
      </c>
      <c r="V3453" s="40" t="str" cm="1">
        <f t="array" ref="V3453">_xlfn.IFS(
ISNUMBER(SEARCH("USA",S3453)),"United States",
ISNUMBER(SEARCH("Republic of Ireland",S3453)),"Ireland",
ISNUMBER(SEARCH("Republic of Korea",S3453)),"South Korea",
ISNUMBER(SEARCH("Cape Verde",S3453)),"Cabo Verde",
ISNUMBER(SEARCH("Czechia",S3453)),"Czech Republic",
ISNUMBER(SEARCH("Türkiye",S3453)),"Turkey",
ISNUMBER(SEARCH("Ivory Coast",S3453)),"Côte d'Ivoire",
ISNUMBER(SEARCH("Korea Republic",S3453)),"South Korea",
ISNUMBER(SEARCH("Germany FR",S3453)),"FR Germany",
ISNUMBER(SEARCH("West Germany",S3453)),"FR Germany",
ISNUMBER(SEARCH("Germany DR",S3453)),"DR Germany",
ISNUMBER(SEARCH("Korea DPR",S3453)),"North Korea",
ISNUMBER(SEARCH("China PR",S3453)),"China",
ISNUMBER(SEARCH("IR Iran",S3453)),"Iran",
ISNUMBER(SEARCH("Congo DR",S3453)),"Democratic Republic of the Congo",
ISNUMBER(SEARCH("DR Congo",S3453)),"Democratic Republic of the Congo",
ISNUMBER(SEARCH("German DR",S3453)),"DR Germany",
ISNUMBER(SEARCH("rn""&gt;United Arab Emirates",S3453)),"United Arab Emirates",
ISNUMBER(SEARCH("rn""&gt;Republic of Ireland",S3453)),"Ireland",
ISNUMBER(SEARCH("rn""&gt;Bosnia and Herzegovina",S3453)),"Bosnia and Herzegovina",
ISNUMBER(SEARCH("rn""&gt;Trinidad and Tobago",S3453)),"Trinidad and Tobago",
ISNUMBER(SEARCH("rn""&gt;Serbia and Montenegro",S3453)),"Serbia and Montenegro",
ISNUMBER(SEARCH(_xlfn.UNICHAR(65533),S3453)),"Côte d'Ivoire",
TRUE,""
)</f>
        <v>United States</v>
      </c>
      <c r="W3453" s="40" t="str">
        <f t="shared" si="234"/>
        <v>United States</v>
      </c>
    </row>
    <row r="3454" spans="19:23">
      <c r="S3454" s="40" t="str">
        <v>Romania</v>
      </c>
      <c r="T3454" s="40" t="str">
        <f t="shared" si="232"/>
        <v>OK</v>
      </c>
      <c r="U3454" s="40" t="str">
        <f t="shared" si="233"/>
        <v>-</v>
      </c>
      <c r="V3454" s="40" t="str" cm="1">
        <f t="array" ref="V3454">_xlfn.IFS(
ISNUMBER(SEARCH("USA",S3454)),"United States",
ISNUMBER(SEARCH("Republic of Ireland",S3454)),"Ireland",
ISNUMBER(SEARCH("Republic of Korea",S3454)),"South Korea",
ISNUMBER(SEARCH("Cape Verde",S3454)),"Cabo Verde",
ISNUMBER(SEARCH("Czechia",S3454)),"Czech Republic",
ISNUMBER(SEARCH("Türkiye",S3454)),"Turkey",
ISNUMBER(SEARCH("Ivory Coast",S3454)),"Côte d'Ivoire",
ISNUMBER(SEARCH("Korea Republic",S3454)),"South Korea",
ISNUMBER(SEARCH("Germany FR",S3454)),"FR Germany",
ISNUMBER(SEARCH("West Germany",S3454)),"FR Germany",
ISNUMBER(SEARCH("Germany DR",S3454)),"DR Germany",
ISNUMBER(SEARCH("Korea DPR",S3454)),"North Korea",
ISNUMBER(SEARCH("China PR",S3454)),"China",
ISNUMBER(SEARCH("IR Iran",S3454)),"Iran",
ISNUMBER(SEARCH("Congo DR",S3454)),"Democratic Republic of the Congo",
ISNUMBER(SEARCH("DR Congo",S3454)),"Democratic Republic of the Congo",
ISNUMBER(SEARCH("German DR",S3454)),"DR Germany",
ISNUMBER(SEARCH("rn""&gt;United Arab Emirates",S3454)),"United Arab Emirates",
ISNUMBER(SEARCH("rn""&gt;Republic of Ireland",S3454)),"Ireland",
ISNUMBER(SEARCH("rn""&gt;Bosnia and Herzegovina",S3454)),"Bosnia and Herzegovina",
ISNUMBER(SEARCH("rn""&gt;Trinidad and Tobago",S3454)),"Trinidad and Tobago",
ISNUMBER(SEARCH("rn""&gt;Serbia and Montenegro",S3454)),"Serbia and Montenegro",
ISNUMBER(SEARCH(_xlfn.UNICHAR(65533),S3454)),"Côte d'Ivoire",
TRUE,""
)</f>
        <v/>
      </c>
      <c r="W3454" s="40" t="str">
        <f t="shared" si="234"/>
        <v>Romania</v>
      </c>
    </row>
    <row r="3455" spans="19:23">
      <c r="S3455" s="40" t="str">
        <v>Switzerland</v>
      </c>
      <c r="T3455" s="40" t="str">
        <f t="shared" si="232"/>
        <v>OK</v>
      </c>
      <c r="U3455" s="40" t="str">
        <f t="shared" si="233"/>
        <v>-</v>
      </c>
      <c r="V3455" s="40" t="str" cm="1">
        <f t="array" ref="V3455">_xlfn.IFS(
ISNUMBER(SEARCH("USA",S3455)),"United States",
ISNUMBER(SEARCH("Republic of Ireland",S3455)),"Ireland",
ISNUMBER(SEARCH("Republic of Korea",S3455)),"South Korea",
ISNUMBER(SEARCH("Cape Verde",S3455)),"Cabo Verde",
ISNUMBER(SEARCH("Czechia",S3455)),"Czech Republic",
ISNUMBER(SEARCH("Türkiye",S3455)),"Turkey",
ISNUMBER(SEARCH("Ivory Coast",S3455)),"Côte d'Ivoire",
ISNUMBER(SEARCH("Korea Republic",S3455)),"South Korea",
ISNUMBER(SEARCH("Germany FR",S3455)),"FR Germany",
ISNUMBER(SEARCH("West Germany",S3455)),"FR Germany",
ISNUMBER(SEARCH("Germany DR",S3455)),"DR Germany",
ISNUMBER(SEARCH("Korea DPR",S3455)),"North Korea",
ISNUMBER(SEARCH("China PR",S3455)),"China",
ISNUMBER(SEARCH("IR Iran",S3455)),"Iran",
ISNUMBER(SEARCH("Congo DR",S3455)),"Democratic Republic of the Congo",
ISNUMBER(SEARCH("DR Congo",S3455)),"Democratic Republic of the Congo",
ISNUMBER(SEARCH("German DR",S3455)),"DR Germany",
ISNUMBER(SEARCH("rn""&gt;United Arab Emirates",S3455)),"United Arab Emirates",
ISNUMBER(SEARCH("rn""&gt;Republic of Ireland",S3455)),"Ireland",
ISNUMBER(SEARCH("rn""&gt;Bosnia and Herzegovina",S3455)),"Bosnia and Herzegovina",
ISNUMBER(SEARCH("rn""&gt;Trinidad and Tobago",S3455)),"Trinidad and Tobago",
ISNUMBER(SEARCH("rn""&gt;Serbia and Montenegro",S3455)),"Serbia and Montenegro",
ISNUMBER(SEARCH(_xlfn.UNICHAR(65533),S3455)),"Côte d'Ivoire",
TRUE,""
)</f>
        <v/>
      </c>
      <c r="W3455" s="40" t="str">
        <f t="shared" si="234"/>
        <v>Switzerland</v>
      </c>
    </row>
    <row r="3456" spans="19:23">
      <c r="S3456" s="40" t="str">
        <v>Sweden</v>
      </c>
      <c r="T3456" s="40" t="str">
        <f t="shared" si="232"/>
        <v>OK</v>
      </c>
      <c r="U3456" s="40" t="str">
        <f t="shared" si="233"/>
        <v>-</v>
      </c>
      <c r="V3456" s="40" t="str" cm="1">
        <f t="array" ref="V3456">_xlfn.IFS(
ISNUMBER(SEARCH("USA",S3456)),"United States",
ISNUMBER(SEARCH("Republic of Ireland",S3456)),"Ireland",
ISNUMBER(SEARCH("Republic of Korea",S3456)),"South Korea",
ISNUMBER(SEARCH("Cape Verde",S3456)),"Cabo Verde",
ISNUMBER(SEARCH("Czechia",S3456)),"Czech Republic",
ISNUMBER(SEARCH("Türkiye",S3456)),"Turkey",
ISNUMBER(SEARCH("Ivory Coast",S3456)),"Côte d'Ivoire",
ISNUMBER(SEARCH("Korea Republic",S3456)),"South Korea",
ISNUMBER(SEARCH("Germany FR",S3456)),"FR Germany",
ISNUMBER(SEARCH("West Germany",S3456)),"FR Germany",
ISNUMBER(SEARCH("Germany DR",S3456)),"DR Germany",
ISNUMBER(SEARCH("Korea DPR",S3456)),"North Korea",
ISNUMBER(SEARCH("China PR",S3456)),"China",
ISNUMBER(SEARCH("IR Iran",S3456)),"Iran",
ISNUMBER(SEARCH("Congo DR",S3456)),"Democratic Republic of the Congo",
ISNUMBER(SEARCH("DR Congo",S3456)),"Democratic Republic of the Congo",
ISNUMBER(SEARCH("German DR",S3456)),"DR Germany",
ISNUMBER(SEARCH("rn""&gt;United Arab Emirates",S3456)),"United Arab Emirates",
ISNUMBER(SEARCH("rn""&gt;Republic of Ireland",S3456)),"Ireland",
ISNUMBER(SEARCH("rn""&gt;Bosnia and Herzegovina",S3456)),"Bosnia and Herzegovina",
ISNUMBER(SEARCH("rn""&gt;Trinidad and Tobago",S3456)),"Trinidad and Tobago",
ISNUMBER(SEARCH("rn""&gt;Serbia and Montenegro",S3456)),"Serbia and Montenegro",
ISNUMBER(SEARCH(_xlfn.UNICHAR(65533),S3456)),"Côte d'Ivoire",
TRUE,""
)</f>
        <v/>
      </c>
      <c r="W3456" s="40" t="str">
        <f t="shared" si="234"/>
        <v>Sweden</v>
      </c>
    </row>
    <row r="3457" spans="19:23">
      <c r="S3457" s="40" t="str">
        <v>Spain</v>
      </c>
      <c r="T3457" s="40" t="str">
        <f t="shared" si="232"/>
        <v>OK</v>
      </c>
      <c r="U3457" s="40" t="str">
        <f t="shared" si="233"/>
        <v>-</v>
      </c>
      <c r="V3457" s="40" t="str" cm="1">
        <f t="array" ref="V3457">_xlfn.IFS(
ISNUMBER(SEARCH("USA",S3457)),"United States",
ISNUMBER(SEARCH("Republic of Ireland",S3457)),"Ireland",
ISNUMBER(SEARCH("Republic of Korea",S3457)),"South Korea",
ISNUMBER(SEARCH("Cape Verde",S3457)),"Cabo Verde",
ISNUMBER(SEARCH("Czechia",S3457)),"Czech Republic",
ISNUMBER(SEARCH("Türkiye",S3457)),"Turkey",
ISNUMBER(SEARCH("Ivory Coast",S3457)),"Côte d'Ivoire",
ISNUMBER(SEARCH("Korea Republic",S3457)),"South Korea",
ISNUMBER(SEARCH("Germany FR",S3457)),"FR Germany",
ISNUMBER(SEARCH("West Germany",S3457)),"FR Germany",
ISNUMBER(SEARCH("Germany DR",S3457)),"DR Germany",
ISNUMBER(SEARCH("Korea DPR",S3457)),"North Korea",
ISNUMBER(SEARCH("China PR",S3457)),"China",
ISNUMBER(SEARCH("IR Iran",S3457)),"Iran",
ISNUMBER(SEARCH("Congo DR",S3457)),"Democratic Republic of the Congo",
ISNUMBER(SEARCH("DR Congo",S3457)),"Democratic Republic of the Congo",
ISNUMBER(SEARCH("German DR",S3457)),"DR Germany",
ISNUMBER(SEARCH("rn""&gt;United Arab Emirates",S3457)),"United Arab Emirates",
ISNUMBER(SEARCH("rn""&gt;Republic of Ireland",S3457)),"Ireland",
ISNUMBER(SEARCH("rn""&gt;Bosnia and Herzegovina",S3457)),"Bosnia and Herzegovina",
ISNUMBER(SEARCH("rn""&gt;Trinidad and Tobago",S3457)),"Trinidad and Tobago",
ISNUMBER(SEARCH("rn""&gt;Serbia and Montenegro",S3457)),"Serbia and Montenegro",
ISNUMBER(SEARCH(_xlfn.UNICHAR(65533),S3457)),"Côte d'Ivoire",
TRUE,""
)</f>
        <v/>
      </c>
      <c r="W3457" s="40" t="str">
        <f t="shared" si="234"/>
        <v>Spain</v>
      </c>
    </row>
    <row r="3458" spans="19:23">
      <c r="S3458" s="40" t="str">
        <v>Hungary</v>
      </c>
      <c r="T3458" s="40" t="str">
        <f t="shared" si="232"/>
        <v>OK</v>
      </c>
      <c r="U3458" s="40" t="str">
        <f t="shared" si="233"/>
        <v>-</v>
      </c>
      <c r="V3458" s="40" t="str" cm="1">
        <f t="array" ref="V3458">_xlfn.IFS(
ISNUMBER(SEARCH("USA",S3458)),"United States",
ISNUMBER(SEARCH("Republic of Ireland",S3458)),"Ireland",
ISNUMBER(SEARCH("Republic of Korea",S3458)),"South Korea",
ISNUMBER(SEARCH("Cape Verde",S3458)),"Cabo Verde",
ISNUMBER(SEARCH("Czechia",S3458)),"Czech Republic",
ISNUMBER(SEARCH("Türkiye",S3458)),"Turkey",
ISNUMBER(SEARCH("Ivory Coast",S3458)),"Côte d'Ivoire",
ISNUMBER(SEARCH("Korea Republic",S3458)),"South Korea",
ISNUMBER(SEARCH("Germany FR",S3458)),"FR Germany",
ISNUMBER(SEARCH("West Germany",S3458)),"FR Germany",
ISNUMBER(SEARCH("Germany DR",S3458)),"DR Germany",
ISNUMBER(SEARCH("Korea DPR",S3458)),"North Korea",
ISNUMBER(SEARCH("China PR",S3458)),"China",
ISNUMBER(SEARCH("IR Iran",S3458)),"Iran",
ISNUMBER(SEARCH("Congo DR",S3458)),"Democratic Republic of the Congo",
ISNUMBER(SEARCH("DR Congo",S3458)),"Democratic Republic of the Congo",
ISNUMBER(SEARCH("German DR",S3458)),"DR Germany",
ISNUMBER(SEARCH("rn""&gt;United Arab Emirates",S3458)),"United Arab Emirates",
ISNUMBER(SEARCH("rn""&gt;Republic of Ireland",S3458)),"Ireland",
ISNUMBER(SEARCH("rn""&gt;Bosnia and Herzegovina",S3458)),"Bosnia and Herzegovina",
ISNUMBER(SEARCH("rn""&gt;Trinidad and Tobago",S3458)),"Trinidad and Tobago",
ISNUMBER(SEARCH("rn""&gt;Serbia and Montenegro",S3458)),"Serbia and Montenegro",
ISNUMBER(SEARCH(_xlfn.UNICHAR(65533),S3458)),"Côte d'Ivoire",
TRUE,""
)</f>
        <v/>
      </c>
      <c r="W3458" s="40" t="str">
        <f t="shared" si="234"/>
        <v>Hungary</v>
      </c>
    </row>
    <row r="3459" spans="19:23">
      <c r="S3459" s="40" t="str">
        <v>Spain</v>
      </c>
      <c r="T3459" s="40" t="str">
        <f t="shared" ref="T3459:T3522" si="235">IF(COUNTIF(R$13:R$250,S3459)=1,"OK","ERREUR")</f>
        <v>OK</v>
      </c>
      <c r="U3459" s="40" t="str">
        <f t="shared" si="233"/>
        <v>-</v>
      </c>
      <c r="V3459" s="40" t="str" cm="1">
        <f t="array" ref="V3459">_xlfn.IFS(
ISNUMBER(SEARCH("USA",S3459)),"United States",
ISNUMBER(SEARCH("Republic of Ireland",S3459)),"Ireland",
ISNUMBER(SEARCH("Republic of Korea",S3459)),"South Korea",
ISNUMBER(SEARCH("Cape Verde",S3459)),"Cabo Verde",
ISNUMBER(SEARCH("Czechia",S3459)),"Czech Republic",
ISNUMBER(SEARCH("Türkiye",S3459)),"Turkey",
ISNUMBER(SEARCH("Ivory Coast",S3459)),"Côte d'Ivoire",
ISNUMBER(SEARCH("Korea Republic",S3459)),"South Korea",
ISNUMBER(SEARCH("Germany FR",S3459)),"FR Germany",
ISNUMBER(SEARCH("West Germany",S3459)),"FR Germany",
ISNUMBER(SEARCH("Germany DR",S3459)),"DR Germany",
ISNUMBER(SEARCH("Korea DPR",S3459)),"North Korea",
ISNUMBER(SEARCH("China PR",S3459)),"China",
ISNUMBER(SEARCH("IR Iran",S3459)),"Iran",
ISNUMBER(SEARCH("Congo DR",S3459)),"Democratic Republic of the Congo",
ISNUMBER(SEARCH("DR Congo",S3459)),"Democratic Republic of the Congo",
ISNUMBER(SEARCH("German DR",S3459)),"DR Germany",
ISNUMBER(SEARCH("rn""&gt;United Arab Emirates",S3459)),"United Arab Emirates",
ISNUMBER(SEARCH("rn""&gt;Republic of Ireland",S3459)),"Ireland",
ISNUMBER(SEARCH("rn""&gt;Bosnia and Herzegovina",S3459)),"Bosnia and Herzegovina",
ISNUMBER(SEARCH("rn""&gt;Trinidad and Tobago",S3459)),"Trinidad and Tobago",
ISNUMBER(SEARCH("rn""&gt;Serbia and Montenegro",S3459)),"Serbia and Montenegro",
ISNUMBER(SEARCH(_xlfn.UNICHAR(65533),S3459)),"Côte d'Ivoire",
TRUE,""
)</f>
        <v/>
      </c>
      <c r="W3459" s="40" t="str">
        <f t="shared" si="234"/>
        <v>Spain</v>
      </c>
    </row>
    <row r="3460" spans="19:23">
      <c r="S3460" s="40" t="str">
        <v>Austria</v>
      </c>
      <c r="T3460" s="40" t="str">
        <f t="shared" si="235"/>
        <v>OK</v>
      </c>
      <c r="U3460" s="40" t="str">
        <f t="shared" ref="U3460:U3523" si="236">IF(OR(S3460="Scotland",S3460="England",S3460="Wales",S3460="Yugoslavia",S3460="Czechoslovakia",S3460="Northern Ireland",S3460="Soviet Union",S3460="Zaire",S3460="Dutch East Indies"),"AUCUNE",IF(OR(S3460="Cape Verde",S3460="USA",S3460="DR Congo",S3460="Republic of Korea",S3460="Germany FR",S3460="Germany DR",S3460="Czechia",S3460="Ivory Coast",S3460="Korea DPR",S3460="China PR",S3460="IR Iran",S3460="Türkiye",S3460="Congo DR",S3460="German DR",S3460="West Germany",S3460="Republic of Ireland",ISNUMBER(SEARCH(_xlfn.UNICHAR(65533),S3460)),S3460="Korea Republic",ISNUMBER(SEARCH("rn""&gt;United Arab Emirates",S3460)),ISNUMBER(SEARCH("rn""&gt;Republic of Ireland",S3460)),ISNUMBER(SEARCH("rn""&gt;Bosnia and Herzegovina",S3460)),ISNUMBER(SEARCH("rn""&gt;Trinidad and Tobago",S3460)),ISNUMBER(SEARCH("rn""&gt;Serbia and Montenegro",S3460)),ISNUMBER(SEARCH(_xlfn.UNICHAR(65533),S3460))),"RENOMMER","-"))</f>
        <v>-</v>
      </c>
      <c r="V3460" s="40" t="str" cm="1">
        <f t="array" ref="V3460">_xlfn.IFS(
ISNUMBER(SEARCH("USA",S3460)),"United States",
ISNUMBER(SEARCH("Republic of Ireland",S3460)),"Ireland",
ISNUMBER(SEARCH("Republic of Korea",S3460)),"South Korea",
ISNUMBER(SEARCH("Cape Verde",S3460)),"Cabo Verde",
ISNUMBER(SEARCH("Czechia",S3460)),"Czech Republic",
ISNUMBER(SEARCH("Türkiye",S3460)),"Turkey",
ISNUMBER(SEARCH("Ivory Coast",S3460)),"Côte d'Ivoire",
ISNUMBER(SEARCH("Korea Republic",S3460)),"South Korea",
ISNUMBER(SEARCH("Germany FR",S3460)),"FR Germany",
ISNUMBER(SEARCH("West Germany",S3460)),"FR Germany",
ISNUMBER(SEARCH("Germany DR",S3460)),"DR Germany",
ISNUMBER(SEARCH("Korea DPR",S3460)),"North Korea",
ISNUMBER(SEARCH("China PR",S3460)),"China",
ISNUMBER(SEARCH("IR Iran",S3460)),"Iran",
ISNUMBER(SEARCH("Congo DR",S3460)),"Democratic Republic of the Congo",
ISNUMBER(SEARCH("DR Congo",S3460)),"Democratic Republic of the Congo",
ISNUMBER(SEARCH("German DR",S3460)),"DR Germany",
ISNUMBER(SEARCH("rn""&gt;United Arab Emirates",S3460)),"United Arab Emirates",
ISNUMBER(SEARCH("rn""&gt;Republic of Ireland",S3460)),"Ireland",
ISNUMBER(SEARCH("rn""&gt;Bosnia and Herzegovina",S3460)),"Bosnia and Herzegovina",
ISNUMBER(SEARCH("rn""&gt;Trinidad and Tobago",S3460)),"Trinidad and Tobago",
ISNUMBER(SEARCH("rn""&gt;Serbia and Montenegro",S3460)),"Serbia and Montenegro",
ISNUMBER(SEARCH(_xlfn.UNICHAR(65533),S3460)),"Côte d'Ivoire",
TRUE,""
)</f>
        <v/>
      </c>
      <c r="W3460" s="40" t="str">
        <f t="shared" ref="W3460:W3523" si="237">IF(V3460="",S3460,V3460)</f>
        <v>Austria</v>
      </c>
    </row>
    <row r="3461" spans="19:23">
      <c r="S3461" s="40" t="str">
        <v>Germany</v>
      </c>
      <c r="T3461" s="40" t="str">
        <f t="shared" si="235"/>
        <v>OK</v>
      </c>
      <c r="U3461" s="40" t="str">
        <f t="shared" si="236"/>
        <v>-</v>
      </c>
      <c r="V3461" s="40" t="str" cm="1">
        <f t="array" ref="V3461">_xlfn.IFS(
ISNUMBER(SEARCH("USA",S3461)),"United States",
ISNUMBER(SEARCH("Republic of Ireland",S3461)),"Ireland",
ISNUMBER(SEARCH("Republic of Korea",S3461)),"South Korea",
ISNUMBER(SEARCH("Cape Verde",S3461)),"Cabo Verde",
ISNUMBER(SEARCH("Czechia",S3461)),"Czech Republic",
ISNUMBER(SEARCH("Türkiye",S3461)),"Turkey",
ISNUMBER(SEARCH("Ivory Coast",S3461)),"Côte d'Ivoire",
ISNUMBER(SEARCH("Korea Republic",S3461)),"South Korea",
ISNUMBER(SEARCH("Germany FR",S3461)),"FR Germany",
ISNUMBER(SEARCH("West Germany",S3461)),"FR Germany",
ISNUMBER(SEARCH("Germany DR",S3461)),"DR Germany",
ISNUMBER(SEARCH("Korea DPR",S3461)),"North Korea",
ISNUMBER(SEARCH("China PR",S3461)),"China",
ISNUMBER(SEARCH("IR Iran",S3461)),"Iran",
ISNUMBER(SEARCH("Congo DR",S3461)),"Democratic Republic of the Congo",
ISNUMBER(SEARCH("DR Congo",S3461)),"Democratic Republic of the Congo",
ISNUMBER(SEARCH("German DR",S3461)),"DR Germany",
ISNUMBER(SEARCH("rn""&gt;United Arab Emirates",S3461)),"United Arab Emirates",
ISNUMBER(SEARCH("rn""&gt;Republic of Ireland",S3461)),"Ireland",
ISNUMBER(SEARCH("rn""&gt;Bosnia and Herzegovina",S3461)),"Bosnia and Herzegovina",
ISNUMBER(SEARCH("rn""&gt;Trinidad and Tobago",S3461)),"Trinidad and Tobago",
ISNUMBER(SEARCH("rn""&gt;Serbia and Montenegro",S3461)),"Serbia and Montenegro",
ISNUMBER(SEARCH(_xlfn.UNICHAR(65533),S3461)),"Côte d'Ivoire",
TRUE,""
)</f>
        <v/>
      </c>
      <c r="W3461" s="40" t="str">
        <f t="shared" si="237"/>
        <v>Germany</v>
      </c>
    </row>
    <row r="3462" spans="19:23">
      <c r="S3462" s="40" t="str">
        <v>Austria</v>
      </c>
      <c r="T3462" s="40" t="str">
        <f t="shared" si="235"/>
        <v>OK</v>
      </c>
      <c r="U3462" s="40" t="str">
        <f t="shared" si="236"/>
        <v>-</v>
      </c>
      <c r="V3462" s="40" t="str" cm="1">
        <f t="array" ref="V3462">_xlfn.IFS(
ISNUMBER(SEARCH("USA",S3462)),"United States",
ISNUMBER(SEARCH("Republic of Ireland",S3462)),"Ireland",
ISNUMBER(SEARCH("Republic of Korea",S3462)),"South Korea",
ISNUMBER(SEARCH("Cape Verde",S3462)),"Cabo Verde",
ISNUMBER(SEARCH("Czechia",S3462)),"Czech Republic",
ISNUMBER(SEARCH("Türkiye",S3462)),"Turkey",
ISNUMBER(SEARCH("Ivory Coast",S3462)),"Côte d'Ivoire",
ISNUMBER(SEARCH("Korea Republic",S3462)),"South Korea",
ISNUMBER(SEARCH("Germany FR",S3462)),"FR Germany",
ISNUMBER(SEARCH("West Germany",S3462)),"FR Germany",
ISNUMBER(SEARCH("Germany DR",S3462)),"DR Germany",
ISNUMBER(SEARCH("Korea DPR",S3462)),"North Korea",
ISNUMBER(SEARCH("China PR",S3462)),"China",
ISNUMBER(SEARCH("IR Iran",S3462)),"Iran",
ISNUMBER(SEARCH("Congo DR",S3462)),"Democratic Republic of the Congo",
ISNUMBER(SEARCH("DR Congo",S3462)),"Democratic Republic of the Congo",
ISNUMBER(SEARCH("German DR",S3462)),"DR Germany",
ISNUMBER(SEARCH("rn""&gt;United Arab Emirates",S3462)),"United Arab Emirates",
ISNUMBER(SEARCH("rn""&gt;Republic of Ireland",S3462)),"Ireland",
ISNUMBER(SEARCH("rn""&gt;Bosnia and Herzegovina",S3462)),"Bosnia and Herzegovina",
ISNUMBER(SEARCH("rn""&gt;Trinidad and Tobago",S3462)),"Trinidad and Tobago",
ISNUMBER(SEARCH("rn""&gt;Serbia and Montenegro",S3462)),"Serbia and Montenegro",
ISNUMBER(SEARCH(_xlfn.UNICHAR(65533),S3462)),"Côte d'Ivoire",
TRUE,""
)</f>
        <v/>
      </c>
      <c r="W3462" s="40" t="str">
        <f t="shared" si="237"/>
        <v>Austria</v>
      </c>
    </row>
    <row r="3463" spans="19:23">
      <c r="S3463" s="40" t="str">
        <v>Czechoslovakia</v>
      </c>
      <c r="T3463" s="40" t="str">
        <f t="shared" si="235"/>
        <v>ERREUR</v>
      </c>
      <c r="U3463" s="40" t="str">
        <f t="shared" si="236"/>
        <v>AUCUNE</v>
      </c>
      <c r="V3463" s="40" t="str" cm="1">
        <f t="array" ref="V3463">_xlfn.IFS(
ISNUMBER(SEARCH("USA",S3463)),"United States",
ISNUMBER(SEARCH("Republic of Ireland",S3463)),"Ireland",
ISNUMBER(SEARCH("Republic of Korea",S3463)),"South Korea",
ISNUMBER(SEARCH("Cape Verde",S3463)),"Cabo Verde",
ISNUMBER(SEARCH("Czechia",S3463)),"Czech Republic",
ISNUMBER(SEARCH("Türkiye",S3463)),"Turkey",
ISNUMBER(SEARCH("Ivory Coast",S3463)),"Côte d'Ivoire",
ISNUMBER(SEARCH("Korea Republic",S3463)),"South Korea",
ISNUMBER(SEARCH("Germany FR",S3463)),"FR Germany",
ISNUMBER(SEARCH("West Germany",S3463)),"FR Germany",
ISNUMBER(SEARCH("Germany DR",S3463)),"DR Germany",
ISNUMBER(SEARCH("Korea DPR",S3463)),"North Korea",
ISNUMBER(SEARCH("China PR",S3463)),"China",
ISNUMBER(SEARCH("IR Iran",S3463)),"Iran",
ISNUMBER(SEARCH("Congo DR",S3463)),"Democratic Republic of the Congo",
ISNUMBER(SEARCH("DR Congo",S3463)),"Democratic Republic of the Congo",
ISNUMBER(SEARCH("German DR",S3463)),"DR Germany",
ISNUMBER(SEARCH("rn""&gt;United Arab Emirates",S3463)),"United Arab Emirates",
ISNUMBER(SEARCH("rn""&gt;Republic of Ireland",S3463)),"Ireland",
ISNUMBER(SEARCH("rn""&gt;Bosnia and Herzegovina",S3463)),"Bosnia and Herzegovina",
ISNUMBER(SEARCH("rn""&gt;Trinidad and Tobago",S3463)),"Trinidad and Tobago",
ISNUMBER(SEARCH("rn""&gt;Serbia and Montenegro",S3463)),"Serbia and Montenegro",
ISNUMBER(SEARCH(_xlfn.UNICHAR(65533),S3463)),"Côte d'Ivoire",
TRUE,""
)</f>
        <v/>
      </c>
      <c r="W3463" s="40" t="str">
        <f t="shared" si="237"/>
        <v>Czechoslovakia</v>
      </c>
    </row>
    <row r="3464" spans="19:23">
      <c r="S3464" s="40" t="str">
        <v>Germany</v>
      </c>
      <c r="T3464" s="40" t="str">
        <f t="shared" si="235"/>
        <v>OK</v>
      </c>
      <c r="U3464" s="40" t="str">
        <f t="shared" si="236"/>
        <v>-</v>
      </c>
      <c r="V3464" s="40" t="str" cm="1">
        <f t="array" ref="V3464">_xlfn.IFS(
ISNUMBER(SEARCH("USA",S3464)),"United States",
ISNUMBER(SEARCH("Republic of Ireland",S3464)),"Ireland",
ISNUMBER(SEARCH("Republic of Korea",S3464)),"South Korea",
ISNUMBER(SEARCH("Cape Verde",S3464)),"Cabo Verde",
ISNUMBER(SEARCH("Czechia",S3464)),"Czech Republic",
ISNUMBER(SEARCH("Türkiye",S3464)),"Turkey",
ISNUMBER(SEARCH("Ivory Coast",S3464)),"Côte d'Ivoire",
ISNUMBER(SEARCH("Korea Republic",S3464)),"South Korea",
ISNUMBER(SEARCH("Germany FR",S3464)),"FR Germany",
ISNUMBER(SEARCH("West Germany",S3464)),"FR Germany",
ISNUMBER(SEARCH("Germany DR",S3464)),"DR Germany",
ISNUMBER(SEARCH("Korea DPR",S3464)),"North Korea",
ISNUMBER(SEARCH("China PR",S3464)),"China",
ISNUMBER(SEARCH("IR Iran",S3464)),"Iran",
ISNUMBER(SEARCH("Congo DR",S3464)),"Democratic Republic of the Congo",
ISNUMBER(SEARCH("DR Congo",S3464)),"Democratic Republic of the Congo",
ISNUMBER(SEARCH("German DR",S3464)),"DR Germany",
ISNUMBER(SEARCH("rn""&gt;United Arab Emirates",S3464)),"United Arab Emirates",
ISNUMBER(SEARCH("rn""&gt;Republic of Ireland",S3464)),"Ireland",
ISNUMBER(SEARCH("rn""&gt;Bosnia and Herzegovina",S3464)),"Bosnia and Herzegovina",
ISNUMBER(SEARCH("rn""&gt;Trinidad and Tobago",S3464)),"Trinidad and Tobago",
ISNUMBER(SEARCH("rn""&gt;Serbia and Montenegro",S3464)),"Serbia and Montenegro",
ISNUMBER(SEARCH(_xlfn.UNICHAR(65533),S3464)),"Côte d'Ivoire",
TRUE,""
)</f>
        <v/>
      </c>
      <c r="W3464" s="40" t="str">
        <f t="shared" si="237"/>
        <v>Germany</v>
      </c>
    </row>
    <row r="3465" spans="19:23">
      <c r="S3465" s="40" t="str">
        <v>Dutch East Indies</v>
      </c>
      <c r="T3465" s="40" t="str">
        <f t="shared" si="235"/>
        <v>ERREUR</v>
      </c>
      <c r="U3465" s="40" t="str">
        <f t="shared" si="236"/>
        <v>AUCUNE</v>
      </c>
      <c r="V3465" s="40" t="str" cm="1">
        <f t="array" ref="V3465">_xlfn.IFS(
ISNUMBER(SEARCH("USA",S3465)),"United States",
ISNUMBER(SEARCH("Republic of Ireland",S3465)),"Ireland",
ISNUMBER(SEARCH("Republic of Korea",S3465)),"South Korea",
ISNUMBER(SEARCH("Cape Verde",S3465)),"Cabo Verde",
ISNUMBER(SEARCH("Czechia",S3465)),"Czech Republic",
ISNUMBER(SEARCH("Türkiye",S3465)),"Turkey",
ISNUMBER(SEARCH("Ivory Coast",S3465)),"Côte d'Ivoire",
ISNUMBER(SEARCH("Korea Republic",S3465)),"South Korea",
ISNUMBER(SEARCH("Germany FR",S3465)),"FR Germany",
ISNUMBER(SEARCH("West Germany",S3465)),"FR Germany",
ISNUMBER(SEARCH("Germany DR",S3465)),"DR Germany",
ISNUMBER(SEARCH("Korea DPR",S3465)),"North Korea",
ISNUMBER(SEARCH("China PR",S3465)),"China",
ISNUMBER(SEARCH("IR Iran",S3465)),"Iran",
ISNUMBER(SEARCH("Congo DR",S3465)),"Democratic Republic of the Congo",
ISNUMBER(SEARCH("DR Congo",S3465)),"Democratic Republic of the Congo",
ISNUMBER(SEARCH("German DR",S3465)),"DR Germany",
ISNUMBER(SEARCH("rn""&gt;United Arab Emirates",S3465)),"United Arab Emirates",
ISNUMBER(SEARCH("rn""&gt;Republic of Ireland",S3465)),"Ireland",
ISNUMBER(SEARCH("rn""&gt;Bosnia and Herzegovina",S3465)),"Bosnia and Herzegovina",
ISNUMBER(SEARCH("rn""&gt;Trinidad and Tobago",S3465)),"Trinidad and Tobago",
ISNUMBER(SEARCH("rn""&gt;Serbia and Montenegro",S3465)),"Serbia and Montenegro",
ISNUMBER(SEARCH(_xlfn.UNICHAR(65533),S3465)),"Côte d'Ivoire",
TRUE,""
)</f>
        <v/>
      </c>
      <c r="W3465" s="40" t="str">
        <f t="shared" si="237"/>
        <v>Dutch East Indies</v>
      </c>
    </row>
    <row r="3466" spans="19:23">
      <c r="S3466" s="40" t="str">
        <v>Belgium</v>
      </c>
      <c r="T3466" s="40" t="str">
        <f t="shared" si="235"/>
        <v>OK</v>
      </c>
      <c r="U3466" s="40" t="str">
        <f t="shared" si="236"/>
        <v>-</v>
      </c>
      <c r="V3466" s="40" t="str" cm="1">
        <f t="array" ref="V3466">_xlfn.IFS(
ISNUMBER(SEARCH("USA",S3466)),"United States",
ISNUMBER(SEARCH("Republic of Ireland",S3466)),"Ireland",
ISNUMBER(SEARCH("Republic of Korea",S3466)),"South Korea",
ISNUMBER(SEARCH("Cape Verde",S3466)),"Cabo Verde",
ISNUMBER(SEARCH("Czechia",S3466)),"Czech Republic",
ISNUMBER(SEARCH("Türkiye",S3466)),"Turkey",
ISNUMBER(SEARCH("Ivory Coast",S3466)),"Côte d'Ivoire",
ISNUMBER(SEARCH("Korea Republic",S3466)),"South Korea",
ISNUMBER(SEARCH("Germany FR",S3466)),"FR Germany",
ISNUMBER(SEARCH("West Germany",S3466)),"FR Germany",
ISNUMBER(SEARCH("Germany DR",S3466)),"DR Germany",
ISNUMBER(SEARCH("Korea DPR",S3466)),"North Korea",
ISNUMBER(SEARCH("China PR",S3466)),"China",
ISNUMBER(SEARCH("IR Iran",S3466)),"Iran",
ISNUMBER(SEARCH("Congo DR",S3466)),"Democratic Republic of the Congo",
ISNUMBER(SEARCH("DR Congo",S3466)),"Democratic Republic of the Congo",
ISNUMBER(SEARCH("German DR",S3466)),"DR Germany",
ISNUMBER(SEARCH("rn""&gt;United Arab Emirates",S3466)),"United Arab Emirates",
ISNUMBER(SEARCH("rn""&gt;Republic of Ireland",S3466)),"Ireland",
ISNUMBER(SEARCH("rn""&gt;Bosnia and Herzegovina",S3466)),"Bosnia and Herzegovina",
ISNUMBER(SEARCH("rn""&gt;Trinidad and Tobago",S3466)),"Trinidad and Tobago",
ISNUMBER(SEARCH("rn""&gt;Serbia and Montenegro",S3466)),"Serbia and Montenegro",
ISNUMBER(SEARCH(_xlfn.UNICHAR(65533),S3466)),"Côte d'Ivoire",
TRUE,""
)</f>
        <v/>
      </c>
      <c r="W3466" s="40" t="str">
        <f t="shared" si="237"/>
        <v>Belgium</v>
      </c>
    </row>
    <row r="3467" spans="19:23">
      <c r="S3467" s="40" t="str">
        <v>Romania</v>
      </c>
      <c r="T3467" s="40" t="str">
        <f t="shared" si="235"/>
        <v>OK</v>
      </c>
      <c r="U3467" s="40" t="str">
        <f t="shared" si="236"/>
        <v>-</v>
      </c>
      <c r="V3467" s="40" t="str" cm="1">
        <f t="array" ref="V3467">_xlfn.IFS(
ISNUMBER(SEARCH("USA",S3467)),"United States",
ISNUMBER(SEARCH("Republic of Ireland",S3467)),"Ireland",
ISNUMBER(SEARCH("Republic of Korea",S3467)),"South Korea",
ISNUMBER(SEARCH("Cape Verde",S3467)),"Cabo Verde",
ISNUMBER(SEARCH("Czechia",S3467)),"Czech Republic",
ISNUMBER(SEARCH("Türkiye",S3467)),"Turkey",
ISNUMBER(SEARCH("Ivory Coast",S3467)),"Côte d'Ivoire",
ISNUMBER(SEARCH("Korea Republic",S3467)),"South Korea",
ISNUMBER(SEARCH("Germany FR",S3467)),"FR Germany",
ISNUMBER(SEARCH("West Germany",S3467)),"FR Germany",
ISNUMBER(SEARCH("Germany DR",S3467)),"DR Germany",
ISNUMBER(SEARCH("Korea DPR",S3467)),"North Korea",
ISNUMBER(SEARCH("China PR",S3467)),"China",
ISNUMBER(SEARCH("IR Iran",S3467)),"Iran",
ISNUMBER(SEARCH("Congo DR",S3467)),"Democratic Republic of the Congo",
ISNUMBER(SEARCH("DR Congo",S3467)),"Democratic Republic of the Congo",
ISNUMBER(SEARCH("German DR",S3467)),"DR Germany",
ISNUMBER(SEARCH("rn""&gt;United Arab Emirates",S3467)),"United Arab Emirates",
ISNUMBER(SEARCH("rn""&gt;Republic of Ireland",S3467)),"Ireland",
ISNUMBER(SEARCH("rn""&gt;Bosnia and Herzegovina",S3467)),"Bosnia and Herzegovina",
ISNUMBER(SEARCH("rn""&gt;Trinidad and Tobago",S3467)),"Trinidad and Tobago",
ISNUMBER(SEARCH("rn""&gt;Serbia and Montenegro",S3467)),"Serbia and Montenegro",
ISNUMBER(SEARCH(_xlfn.UNICHAR(65533),S3467)),"Côte d'Ivoire",
TRUE,""
)</f>
        <v/>
      </c>
      <c r="W3467" s="40" t="str">
        <f t="shared" si="237"/>
        <v>Romania</v>
      </c>
    </row>
    <row r="3468" spans="19:23">
      <c r="S3468" s="40" t="str">
        <v>Norway</v>
      </c>
      <c r="T3468" s="40" t="str">
        <f t="shared" si="235"/>
        <v>OK</v>
      </c>
      <c r="U3468" s="40" t="str">
        <f t="shared" si="236"/>
        <v>-</v>
      </c>
      <c r="V3468" s="40" t="str" cm="1">
        <f t="array" ref="V3468">_xlfn.IFS(
ISNUMBER(SEARCH("USA",S3468)),"United States",
ISNUMBER(SEARCH("Republic of Ireland",S3468)),"Ireland",
ISNUMBER(SEARCH("Republic of Korea",S3468)),"South Korea",
ISNUMBER(SEARCH("Cape Verde",S3468)),"Cabo Verde",
ISNUMBER(SEARCH("Czechia",S3468)),"Czech Republic",
ISNUMBER(SEARCH("Türkiye",S3468)),"Turkey",
ISNUMBER(SEARCH("Ivory Coast",S3468)),"Côte d'Ivoire",
ISNUMBER(SEARCH("Korea Republic",S3468)),"South Korea",
ISNUMBER(SEARCH("Germany FR",S3468)),"FR Germany",
ISNUMBER(SEARCH("West Germany",S3468)),"FR Germany",
ISNUMBER(SEARCH("Germany DR",S3468)),"DR Germany",
ISNUMBER(SEARCH("Korea DPR",S3468)),"North Korea",
ISNUMBER(SEARCH("China PR",S3468)),"China",
ISNUMBER(SEARCH("IR Iran",S3468)),"Iran",
ISNUMBER(SEARCH("Congo DR",S3468)),"Democratic Republic of the Congo",
ISNUMBER(SEARCH("DR Congo",S3468)),"Democratic Republic of the Congo",
ISNUMBER(SEARCH("German DR",S3468)),"DR Germany",
ISNUMBER(SEARCH("rn""&gt;United Arab Emirates",S3468)),"United Arab Emirates",
ISNUMBER(SEARCH("rn""&gt;Republic of Ireland",S3468)),"Ireland",
ISNUMBER(SEARCH("rn""&gt;Bosnia and Herzegovina",S3468)),"Bosnia and Herzegovina",
ISNUMBER(SEARCH("rn""&gt;Trinidad and Tobago",S3468)),"Trinidad and Tobago",
ISNUMBER(SEARCH("rn""&gt;Serbia and Montenegro",S3468)),"Serbia and Montenegro",
ISNUMBER(SEARCH(_xlfn.UNICHAR(65533),S3468)),"Côte d'Ivoire",
TRUE,""
)</f>
        <v/>
      </c>
      <c r="W3468" s="40" t="str">
        <f t="shared" si="237"/>
        <v>Norway</v>
      </c>
    </row>
    <row r="3469" spans="19:23">
      <c r="S3469" s="40" t="str">
        <v>Poland</v>
      </c>
      <c r="T3469" s="40" t="str">
        <f t="shared" si="235"/>
        <v>OK</v>
      </c>
      <c r="U3469" s="40" t="str">
        <f t="shared" si="236"/>
        <v>-</v>
      </c>
      <c r="V3469" s="40" t="str" cm="1">
        <f t="array" ref="V3469">_xlfn.IFS(
ISNUMBER(SEARCH("USA",S3469)),"United States",
ISNUMBER(SEARCH("Republic of Ireland",S3469)),"Ireland",
ISNUMBER(SEARCH("Republic of Korea",S3469)),"South Korea",
ISNUMBER(SEARCH("Cape Verde",S3469)),"Cabo Verde",
ISNUMBER(SEARCH("Czechia",S3469)),"Czech Republic",
ISNUMBER(SEARCH("Türkiye",S3469)),"Turkey",
ISNUMBER(SEARCH("Ivory Coast",S3469)),"Côte d'Ivoire",
ISNUMBER(SEARCH("Korea Republic",S3469)),"South Korea",
ISNUMBER(SEARCH("Germany FR",S3469)),"FR Germany",
ISNUMBER(SEARCH("West Germany",S3469)),"FR Germany",
ISNUMBER(SEARCH("Germany DR",S3469)),"DR Germany",
ISNUMBER(SEARCH("Korea DPR",S3469)),"North Korea",
ISNUMBER(SEARCH("China PR",S3469)),"China",
ISNUMBER(SEARCH("IR Iran",S3469)),"Iran",
ISNUMBER(SEARCH("Congo DR",S3469)),"Democratic Republic of the Congo",
ISNUMBER(SEARCH("DR Congo",S3469)),"Democratic Republic of the Congo",
ISNUMBER(SEARCH("German DR",S3469)),"DR Germany",
ISNUMBER(SEARCH("rn""&gt;United Arab Emirates",S3469)),"United Arab Emirates",
ISNUMBER(SEARCH("rn""&gt;Republic of Ireland",S3469)),"Ireland",
ISNUMBER(SEARCH("rn""&gt;Bosnia and Herzegovina",S3469)),"Bosnia and Herzegovina",
ISNUMBER(SEARCH("rn""&gt;Trinidad and Tobago",S3469)),"Trinidad and Tobago",
ISNUMBER(SEARCH("rn""&gt;Serbia and Montenegro",S3469)),"Serbia and Montenegro",
ISNUMBER(SEARCH(_xlfn.UNICHAR(65533),S3469)),"Côte d'Ivoire",
TRUE,""
)</f>
        <v/>
      </c>
      <c r="W3469" s="40" t="str">
        <f t="shared" si="237"/>
        <v>Poland</v>
      </c>
    </row>
    <row r="3470" spans="19:23">
      <c r="S3470" s="40" t="str">
        <v>Netherlands</v>
      </c>
      <c r="T3470" s="40" t="str">
        <f t="shared" si="235"/>
        <v>OK</v>
      </c>
      <c r="U3470" s="40" t="str">
        <f t="shared" si="236"/>
        <v>-</v>
      </c>
      <c r="V3470" s="40" t="str" cm="1">
        <f t="array" ref="V3470">_xlfn.IFS(
ISNUMBER(SEARCH("USA",S3470)),"United States",
ISNUMBER(SEARCH("Republic of Ireland",S3470)),"Ireland",
ISNUMBER(SEARCH("Republic of Korea",S3470)),"South Korea",
ISNUMBER(SEARCH("Cape Verde",S3470)),"Cabo Verde",
ISNUMBER(SEARCH("Czechia",S3470)),"Czech Republic",
ISNUMBER(SEARCH("Türkiye",S3470)),"Turkey",
ISNUMBER(SEARCH("Ivory Coast",S3470)),"Côte d'Ivoire",
ISNUMBER(SEARCH("Korea Republic",S3470)),"South Korea",
ISNUMBER(SEARCH("Germany FR",S3470)),"FR Germany",
ISNUMBER(SEARCH("West Germany",S3470)),"FR Germany",
ISNUMBER(SEARCH("Germany DR",S3470)),"DR Germany",
ISNUMBER(SEARCH("Korea DPR",S3470)),"North Korea",
ISNUMBER(SEARCH("China PR",S3470)),"China",
ISNUMBER(SEARCH("IR Iran",S3470)),"Iran",
ISNUMBER(SEARCH("Congo DR",S3470)),"Democratic Republic of the Congo",
ISNUMBER(SEARCH("DR Congo",S3470)),"Democratic Republic of the Congo",
ISNUMBER(SEARCH("German DR",S3470)),"DR Germany",
ISNUMBER(SEARCH("rn""&gt;United Arab Emirates",S3470)),"United Arab Emirates",
ISNUMBER(SEARCH("rn""&gt;Republic of Ireland",S3470)),"Ireland",
ISNUMBER(SEARCH("rn""&gt;Bosnia and Herzegovina",S3470)),"Bosnia and Herzegovina",
ISNUMBER(SEARCH("rn""&gt;Trinidad and Tobago",S3470)),"Trinidad and Tobago",
ISNUMBER(SEARCH("rn""&gt;Serbia and Montenegro",S3470)),"Serbia and Montenegro",
ISNUMBER(SEARCH(_xlfn.UNICHAR(65533),S3470)),"Côte d'Ivoire",
TRUE,""
)</f>
        <v/>
      </c>
      <c r="W3470" s="40" t="str">
        <f t="shared" si="237"/>
        <v>Netherlands</v>
      </c>
    </row>
    <row r="3471" spans="19:23">
      <c r="S3471" s="40" t="str">
        <v>Romania</v>
      </c>
      <c r="T3471" s="40" t="str">
        <f t="shared" si="235"/>
        <v>OK</v>
      </c>
      <c r="U3471" s="40" t="str">
        <f t="shared" si="236"/>
        <v>-</v>
      </c>
      <c r="V3471" s="40" t="str" cm="1">
        <f t="array" ref="V3471">_xlfn.IFS(
ISNUMBER(SEARCH("USA",S3471)),"United States",
ISNUMBER(SEARCH("Republic of Ireland",S3471)),"Ireland",
ISNUMBER(SEARCH("Republic of Korea",S3471)),"South Korea",
ISNUMBER(SEARCH("Cape Verde",S3471)),"Cabo Verde",
ISNUMBER(SEARCH("Czechia",S3471)),"Czech Republic",
ISNUMBER(SEARCH("Türkiye",S3471)),"Turkey",
ISNUMBER(SEARCH("Ivory Coast",S3471)),"Côte d'Ivoire",
ISNUMBER(SEARCH("Korea Republic",S3471)),"South Korea",
ISNUMBER(SEARCH("Germany FR",S3471)),"FR Germany",
ISNUMBER(SEARCH("West Germany",S3471)),"FR Germany",
ISNUMBER(SEARCH("Germany DR",S3471)),"DR Germany",
ISNUMBER(SEARCH("Korea DPR",S3471)),"North Korea",
ISNUMBER(SEARCH("China PR",S3471)),"China",
ISNUMBER(SEARCH("IR Iran",S3471)),"Iran",
ISNUMBER(SEARCH("Congo DR",S3471)),"Democratic Republic of the Congo",
ISNUMBER(SEARCH("DR Congo",S3471)),"Democratic Republic of the Congo",
ISNUMBER(SEARCH("German DR",S3471)),"DR Germany",
ISNUMBER(SEARCH("rn""&gt;United Arab Emirates",S3471)),"United Arab Emirates",
ISNUMBER(SEARCH("rn""&gt;Republic of Ireland",S3471)),"Ireland",
ISNUMBER(SEARCH("rn""&gt;Bosnia and Herzegovina",S3471)),"Bosnia and Herzegovina",
ISNUMBER(SEARCH("rn""&gt;Trinidad and Tobago",S3471)),"Trinidad and Tobago",
ISNUMBER(SEARCH("rn""&gt;Serbia and Montenegro",S3471)),"Serbia and Montenegro",
ISNUMBER(SEARCH(_xlfn.UNICHAR(65533),S3471)),"Côte d'Ivoire",
TRUE,""
)</f>
        <v/>
      </c>
      <c r="W3471" s="40" t="str">
        <f t="shared" si="237"/>
        <v>Romania</v>
      </c>
    </row>
    <row r="3472" spans="19:23">
      <c r="S3472" s="40" t="str">
        <v>Germany</v>
      </c>
      <c r="T3472" s="40" t="str">
        <f t="shared" si="235"/>
        <v>OK</v>
      </c>
      <c r="U3472" s="40" t="str">
        <f t="shared" si="236"/>
        <v>-</v>
      </c>
      <c r="V3472" s="40" t="str" cm="1">
        <f t="array" ref="V3472">_xlfn.IFS(
ISNUMBER(SEARCH("USA",S3472)),"United States",
ISNUMBER(SEARCH("Republic of Ireland",S3472)),"Ireland",
ISNUMBER(SEARCH("Republic of Korea",S3472)),"South Korea",
ISNUMBER(SEARCH("Cape Verde",S3472)),"Cabo Verde",
ISNUMBER(SEARCH("Czechia",S3472)),"Czech Republic",
ISNUMBER(SEARCH("Türkiye",S3472)),"Turkey",
ISNUMBER(SEARCH("Ivory Coast",S3472)),"Côte d'Ivoire",
ISNUMBER(SEARCH("Korea Republic",S3472)),"South Korea",
ISNUMBER(SEARCH("Germany FR",S3472)),"FR Germany",
ISNUMBER(SEARCH("West Germany",S3472)),"FR Germany",
ISNUMBER(SEARCH("Germany DR",S3472)),"DR Germany",
ISNUMBER(SEARCH("Korea DPR",S3472)),"North Korea",
ISNUMBER(SEARCH("China PR",S3472)),"China",
ISNUMBER(SEARCH("IR Iran",S3472)),"Iran",
ISNUMBER(SEARCH("Congo DR",S3472)),"Democratic Republic of the Congo",
ISNUMBER(SEARCH("DR Congo",S3472)),"Democratic Republic of the Congo",
ISNUMBER(SEARCH("German DR",S3472)),"DR Germany",
ISNUMBER(SEARCH("rn""&gt;United Arab Emirates",S3472)),"United Arab Emirates",
ISNUMBER(SEARCH("rn""&gt;Republic of Ireland",S3472)),"Ireland",
ISNUMBER(SEARCH("rn""&gt;Bosnia and Herzegovina",S3472)),"Bosnia and Herzegovina",
ISNUMBER(SEARCH("rn""&gt;Trinidad and Tobago",S3472)),"Trinidad and Tobago",
ISNUMBER(SEARCH("rn""&gt;Serbia and Montenegro",S3472)),"Serbia and Montenegro",
ISNUMBER(SEARCH(_xlfn.UNICHAR(65533),S3472)),"Côte d'Ivoire",
TRUE,""
)</f>
        <v/>
      </c>
      <c r="W3472" s="40" t="str">
        <f t="shared" si="237"/>
        <v>Germany</v>
      </c>
    </row>
    <row r="3473" spans="19:23">
      <c r="S3473" s="40" t="str">
        <v>Czechoslovakia</v>
      </c>
      <c r="T3473" s="40" t="str">
        <f t="shared" si="235"/>
        <v>ERREUR</v>
      </c>
      <c r="U3473" s="40" t="str">
        <f t="shared" si="236"/>
        <v>AUCUNE</v>
      </c>
      <c r="V3473" s="40" t="str" cm="1">
        <f t="array" ref="V3473">_xlfn.IFS(
ISNUMBER(SEARCH("USA",S3473)),"United States",
ISNUMBER(SEARCH("Republic of Ireland",S3473)),"Ireland",
ISNUMBER(SEARCH("Republic of Korea",S3473)),"South Korea",
ISNUMBER(SEARCH("Cape Verde",S3473)),"Cabo Verde",
ISNUMBER(SEARCH("Czechia",S3473)),"Czech Republic",
ISNUMBER(SEARCH("Türkiye",S3473)),"Turkey",
ISNUMBER(SEARCH("Ivory Coast",S3473)),"Côte d'Ivoire",
ISNUMBER(SEARCH("Korea Republic",S3473)),"South Korea",
ISNUMBER(SEARCH("Germany FR",S3473)),"FR Germany",
ISNUMBER(SEARCH("West Germany",S3473)),"FR Germany",
ISNUMBER(SEARCH("Germany DR",S3473)),"DR Germany",
ISNUMBER(SEARCH("Korea DPR",S3473)),"North Korea",
ISNUMBER(SEARCH("China PR",S3473)),"China",
ISNUMBER(SEARCH("IR Iran",S3473)),"Iran",
ISNUMBER(SEARCH("Congo DR",S3473)),"Democratic Republic of the Congo",
ISNUMBER(SEARCH("DR Congo",S3473)),"Democratic Republic of the Congo",
ISNUMBER(SEARCH("German DR",S3473)),"DR Germany",
ISNUMBER(SEARCH("rn""&gt;United Arab Emirates",S3473)),"United Arab Emirates",
ISNUMBER(SEARCH("rn""&gt;Republic of Ireland",S3473)),"Ireland",
ISNUMBER(SEARCH("rn""&gt;Bosnia and Herzegovina",S3473)),"Bosnia and Herzegovina",
ISNUMBER(SEARCH("rn""&gt;Trinidad and Tobago",S3473)),"Trinidad and Tobago",
ISNUMBER(SEARCH("rn""&gt;Serbia and Montenegro",S3473)),"Serbia and Montenegro",
ISNUMBER(SEARCH(_xlfn.UNICHAR(65533),S3473)),"Côte d'Ivoire",
TRUE,""
)</f>
        <v/>
      </c>
      <c r="W3473" s="40" t="str">
        <f t="shared" si="237"/>
        <v>Czechoslovakia</v>
      </c>
    </row>
    <row r="3474" spans="19:23">
      <c r="S3474" s="40" t="str">
        <v>Switzerland</v>
      </c>
      <c r="T3474" s="40" t="str">
        <f t="shared" si="235"/>
        <v>OK</v>
      </c>
      <c r="U3474" s="40" t="str">
        <f t="shared" si="236"/>
        <v>-</v>
      </c>
      <c r="V3474" s="40" t="str" cm="1">
        <f t="array" ref="V3474">_xlfn.IFS(
ISNUMBER(SEARCH("USA",S3474)),"United States",
ISNUMBER(SEARCH("Republic of Ireland",S3474)),"Ireland",
ISNUMBER(SEARCH("Republic of Korea",S3474)),"South Korea",
ISNUMBER(SEARCH("Cape Verde",S3474)),"Cabo Verde",
ISNUMBER(SEARCH("Czechia",S3474)),"Czech Republic",
ISNUMBER(SEARCH("Türkiye",S3474)),"Turkey",
ISNUMBER(SEARCH("Ivory Coast",S3474)),"Côte d'Ivoire",
ISNUMBER(SEARCH("Korea Republic",S3474)),"South Korea",
ISNUMBER(SEARCH("Germany FR",S3474)),"FR Germany",
ISNUMBER(SEARCH("West Germany",S3474)),"FR Germany",
ISNUMBER(SEARCH("Germany DR",S3474)),"DR Germany",
ISNUMBER(SEARCH("Korea DPR",S3474)),"North Korea",
ISNUMBER(SEARCH("China PR",S3474)),"China",
ISNUMBER(SEARCH("IR Iran",S3474)),"Iran",
ISNUMBER(SEARCH("Congo DR",S3474)),"Democratic Republic of the Congo",
ISNUMBER(SEARCH("DR Congo",S3474)),"Democratic Republic of the Congo",
ISNUMBER(SEARCH("German DR",S3474)),"DR Germany",
ISNUMBER(SEARCH("rn""&gt;United Arab Emirates",S3474)),"United Arab Emirates",
ISNUMBER(SEARCH("rn""&gt;Republic of Ireland",S3474)),"Ireland",
ISNUMBER(SEARCH("rn""&gt;Bosnia and Herzegovina",S3474)),"Bosnia and Herzegovina",
ISNUMBER(SEARCH("rn""&gt;Trinidad and Tobago",S3474)),"Trinidad and Tobago",
ISNUMBER(SEARCH("rn""&gt;Serbia and Montenegro",S3474)),"Serbia and Montenegro",
ISNUMBER(SEARCH(_xlfn.UNICHAR(65533),S3474)),"Côte d'Ivoire",
TRUE,""
)</f>
        <v/>
      </c>
      <c r="W3474" s="40" t="str">
        <f t="shared" si="237"/>
        <v>Switzerland</v>
      </c>
    </row>
    <row r="3475" spans="19:23">
      <c r="S3475" s="40" t="str">
        <v>Cuba</v>
      </c>
      <c r="T3475" s="40" t="str">
        <f t="shared" si="235"/>
        <v>OK</v>
      </c>
      <c r="U3475" s="40" t="str">
        <f t="shared" si="236"/>
        <v>-</v>
      </c>
      <c r="V3475" s="40" t="str" cm="1">
        <f t="array" ref="V3475">_xlfn.IFS(
ISNUMBER(SEARCH("USA",S3475)),"United States",
ISNUMBER(SEARCH("Republic of Ireland",S3475)),"Ireland",
ISNUMBER(SEARCH("Republic of Korea",S3475)),"South Korea",
ISNUMBER(SEARCH("Cape Verde",S3475)),"Cabo Verde",
ISNUMBER(SEARCH("Czechia",S3475)),"Czech Republic",
ISNUMBER(SEARCH("Türkiye",S3475)),"Turkey",
ISNUMBER(SEARCH("Ivory Coast",S3475)),"Côte d'Ivoire",
ISNUMBER(SEARCH("Korea Republic",S3475)),"South Korea",
ISNUMBER(SEARCH("Germany FR",S3475)),"FR Germany",
ISNUMBER(SEARCH("West Germany",S3475)),"FR Germany",
ISNUMBER(SEARCH("Germany DR",S3475)),"DR Germany",
ISNUMBER(SEARCH("Korea DPR",S3475)),"North Korea",
ISNUMBER(SEARCH("China PR",S3475)),"China",
ISNUMBER(SEARCH("IR Iran",S3475)),"Iran",
ISNUMBER(SEARCH("Congo DR",S3475)),"Democratic Republic of the Congo",
ISNUMBER(SEARCH("DR Congo",S3475)),"Democratic Republic of the Congo",
ISNUMBER(SEARCH("German DR",S3475)),"DR Germany",
ISNUMBER(SEARCH("rn""&gt;United Arab Emirates",S3475)),"United Arab Emirates",
ISNUMBER(SEARCH("rn""&gt;Republic of Ireland",S3475)),"Ireland",
ISNUMBER(SEARCH("rn""&gt;Bosnia and Herzegovina",S3475)),"Bosnia and Herzegovina",
ISNUMBER(SEARCH("rn""&gt;Trinidad and Tobago",S3475)),"Trinidad and Tobago",
ISNUMBER(SEARCH("rn""&gt;Serbia and Montenegro",S3475)),"Serbia and Montenegro",
ISNUMBER(SEARCH(_xlfn.UNICHAR(65533),S3475)),"Côte d'Ivoire",
TRUE,""
)</f>
        <v/>
      </c>
      <c r="W3475" s="40" t="str">
        <f t="shared" si="237"/>
        <v>Cuba</v>
      </c>
    </row>
    <row r="3476" spans="19:23">
      <c r="S3476" s="40" t="str">
        <v>France</v>
      </c>
      <c r="T3476" s="40" t="str">
        <f t="shared" si="235"/>
        <v>OK</v>
      </c>
      <c r="U3476" s="40" t="str">
        <f t="shared" si="236"/>
        <v>-</v>
      </c>
      <c r="V3476" s="40" t="str" cm="1">
        <f t="array" ref="V3476">_xlfn.IFS(
ISNUMBER(SEARCH("USA",S3476)),"United States",
ISNUMBER(SEARCH("Republic of Ireland",S3476)),"Ireland",
ISNUMBER(SEARCH("Republic of Korea",S3476)),"South Korea",
ISNUMBER(SEARCH("Cape Verde",S3476)),"Cabo Verde",
ISNUMBER(SEARCH("Czechia",S3476)),"Czech Republic",
ISNUMBER(SEARCH("Türkiye",S3476)),"Turkey",
ISNUMBER(SEARCH("Ivory Coast",S3476)),"Côte d'Ivoire",
ISNUMBER(SEARCH("Korea Republic",S3476)),"South Korea",
ISNUMBER(SEARCH("Germany FR",S3476)),"FR Germany",
ISNUMBER(SEARCH("West Germany",S3476)),"FR Germany",
ISNUMBER(SEARCH("Germany DR",S3476)),"DR Germany",
ISNUMBER(SEARCH("Korea DPR",S3476)),"North Korea",
ISNUMBER(SEARCH("China PR",S3476)),"China",
ISNUMBER(SEARCH("IR Iran",S3476)),"Iran",
ISNUMBER(SEARCH("Congo DR",S3476)),"Democratic Republic of the Congo",
ISNUMBER(SEARCH("DR Congo",S3476)),"Democratic Republic of the Congo",
ISNUMBER(SEARCH("German DR",S3476)),"DR Germany",
ISNUMBER(SEARCH("rn""&gt;United Arab Emirates",S3476)),"United Arab Emirates",
ISNUMBER(SEARCH("rn""&gt;Republic of Ireland",S3476)),"Ireland",
ISNUMBER(SEARCH("rn""&gt;Bosnia and Herzegovina",S3476)),"Bosnia and Herzegovina",
ISNUMBER(SEARCH("rn""&gt;Trinidad and Tobago",S3476)),"Trinidad and Tobago",
ISNUMBER(SEARCH("rn""&gt;Serbia and Montenegro",S3476)),"Serbia and Montenegro",
ISNUMBER(SEARCH(_xlfn.UNICHAR(65533),S3476)),"Côte d'Ivoire",
TRUE,""
)</f>
        <v/>
      </c>
      <c r="W3476" s="40" t="str">
        <f t="shared" si="237"/>
        <v>France</v>
      </c>
    </row>
    <row r="3477" spans="19:23">
      <c r="S3477" s="40" t="str">
        <v>Czechoslovakia</v>
      </c>
      <c r="T3477" s="40" t="str">
        <f t="shared" si="235"/>
        <v>ERREUR</v>
      </c>
      <c r="U3477" s="40" t="str">
        <f t="shared" si="236"/>
        <v>AUCUNE</v>
      </c>
      <c r="V3477" s="40" t="str" cm="1">
        <f t="array" ref="V3477">_xlfn.IFS(
ISNUMBER(SEARCH("USA",S3477)),"United States",
ISNUMBER(SEARCH("Republic of Ireland",S3477)),"Ireland",
ISNUMBER(SEARCH("Republic of Korea",S3477)),"South Korea",
ISNUMBER(SEARCH("Cape Verde",S3477)),"Cabo Verde",
ISNUMBER(SEARCH("Czechia",S3477)),"Czech Republic",
ISNUMBER(SEARCH("Türkiye",S3477)),"Turkey",
ISNUMBER(SEARCH("Ivory Coast",S3477)),"Côte d'Ivoire",
ISNUMBER(SEARCH("Korea Republic",S3477)),"South Korea",
ISNUMBER(SEARCH("Germany FR",S3477)),"FR Germany",
ISNUMBER(SEARCH("West Germany",S3477)),"FR Germany",
ISNUMBER(SEARCH("Germany DR",S3477)),"DR Germany",
ISNUMBER(SEARCH("Korea DPR",S3477)),"North Korea",
ISNUMBER(SEARCH("China PR",S3477)),"China",
ISNUMBER(SEARCH("IR Iran",S3477)),"Iran",
ISNUMBER(SEARCH("Congo DR",S3477)),"Democratic Republic of the Congo",
ISNUMBER(SEARCH("DR Congo",S3477)),"Democratic Republic of the Congo",
ISNUMBER(SEARCH("German DR",S3477)),"DR Germany",
ISNUMBER(SEARCH("rn""&gt;United Arab Emirates",S3477)),"United Arab Emirates",
ISNUMBER(SEARCH("rn""&gt;Republic of Ireland",S3477)),"Ireland",
ISNUMBER(SEARCH("rn""&gt;Bosnia and Herzegovina",S3477)),"Bosnia and Herzegovina",
ISNUMBER(SEARCH("rn""&gt;Trinidad and Tobago",S3477)),"Trinidad and Tobago",
ISNUMBER(SEARCH("rn""&gt;Serbia and Montenegro",S3477)),"Serbia and Montenegro",
ISNUMBER(SEARCH(_xlfn.UNICHAR(65533),S3477)),"Côte d'Ivoire",
TRUE,""
)</f>
        <v/>
      </c>
      <c r="W3477" s="40" t="str">
        <f t="shared" si="237"/>
        <v>Czechoslovakia</v>
      </c>
    </row>
    <row r="3478" spans="19:23">
      <c r="S3478" s="40" t="str">
        <v>Sweden</v>
      </c>
      <c r="T3478" s="40" t="str">
        <f t="shared" si="235"/>
        <v>OK</v>
      </c>
      <c r="U3478" s="40" t="str">
        <f t="shared" si="236"/>
        <v>-</v>
      </c>
      <c r="V3478" s="40" t="str" cm="1">
        <f t="array" ref="V3478">_xlfn.IFS(
ISNUMBER(SEARCH("USA",S3478)),"United States",
ISNUMBER(SEARCH("Republic of Ireland",S3478)),"Ireland",
ISNUMBER(SEARCH("Republic of Korea",S3478)),"South Korea",
ISNUMBER(SEARCH("Cape Verde",S3478)),"Cabo Verde",
ISNUMBER(SEARCH("Czechia",S3478)),"Czech Republic",
ISNUMBER(SEARCH("Türkiye",S3478)),"Turkey",
ISNUMBER(SEARCH("Ivory Coast",S3478)),"Côte d'Ivoire",
ISNUMBER(SEARCH("Korea Republic",S3478)),"South Korea",
ISNUMBER(SEARCH("Germany FR",S3478)),"FR Germany",
ISNUMBER(SEARCH("West Germany",S3478)),"FR Germany",
ISNUMBER(SEARCH("Germany DR",S3478)),"DR Germany",
ISNUMBER(SEARCH("Korea DPR",S3478)),"North Korea",
ISNUMBER(SEARCH("China PR",S3478)),"China",
ISNUMBER(SEARCH("IR Iran",S3478)),"Iran",
ISNUMBER(SEARCH("Congo DR",S3478)),"Democratic Republic of the Congo",
ISNUMBER(SEARCH("DR Congo",S3478)),"Democratic Republic of the Congo",
ISNUMBER(SEARCH("German DR",S3478)),"DR Germany",
ISNUMBER(SEARCH("rn""&gt;United Arab Emirates",S3478)),"United Arab Emirates",
ISNUMBER(SEARCH("rn""&gt;Republic of Ireland",S3478)),"Ireland",
ISNUMBER(SEARCH("rn""&gt;Bosnia and Herzegovina",S3478)),"Bosnia and Herzegovina",
ISNUMBER(SEARCH("rn""&gt;Trinidad and Tobago",S3478)),"Trinidad and Tobago",
ISNUMBER(SEARCH("rn""&gt;Serbia and Montenegro",S3478)),"Serbia and Montenegro",
ISNUMBER(SEARCH(_xlfn.UNICHAR(65533),S3478)),"Côte d'Ivoire",
TRUE,""
)</f>
        <v/>
      </c>
      <c r="W3478" s="40" t="str">
        <f t="shared" si="237"/>
        <v>Sweden</v>
      </c>
    </row>
    <row r="3479" spans="19:23">
      <c r="S3479" s="40" t="str">
        <v>Brazil</v>
      </c>
      <c r="T3479" s="40" t="str">
        <f t="shared" si="235"/>
        <v>OK</v>
      </c>
      <c r="U3479" s="40" t="str">
        <f t="shared" si="236"/>
        <v>-</v>
      </c>
      <c r="V3479" s="40" t="str" cm="1">
        <f t="array" ref="V3479">_xlfn.IFS(
ISNUMBER(SEARCH("USA",S3479)),"United States",
ISNUMBER(SEARCH("Republic of Ireland",S3479)),"Ireland",
ISNUMBER(SEARCH("Republic of Korea",S3479)),"South Korea",
ISNUMBER(SEARCH("Cape Verde",S3479)),"Cabo Verde",
ISNUMBER(SEARCH("Czechia",S3479)),"Czech Republic",
ISNUMBER(SEARCH("Türkiye",S3479)),"Turkey",
ISNUMBER(SEARCH("Ivory Coast",S3479)),"Côte d'Ivoire",
ISNUMBER(SEARCH("Korea Republic",S3479)),"South Korea",
ISNUMBER(SEARCH("Germany FR",S3479)),"FR Germany",
ISNUMBER(SEARCH("West Germany",S3479)),"FR Germany",
ISNUMBER(SEARCH("Germany DR",S3479)),"DR Germany",
ISNUMBER(SEARCH("Korea DPR",S3479)),"North Korea",
ISNUMBER(SEARCH("China PR",S3479)),"China",
ISNUMBER(SEARCH("IR Iran",S3479)),"Iran",
ISNUMBER(SEARCH("Congo DR",S3479)),"Democratic Republic of the Congo",
ISNUMBER(SEARCH("DR Congo",S3479)),"Democratic Republic of the Congo",
ISNUMBER(SEARCH("German DR",S3479)),"DR Germany",
ISNUMBER(SEARCH("rn""&gt;United Arab Emirates",S3479)),"United Arab Emirates",
ISNUMBER(SEARCH("rn""&gt;Republic of Ireland",S3479)),"Ireland",
ISNUMBER(SEARCH("rn""&gt;Bosnia and Herzegovina",S3479)),"Bosnia and Herzegovina",
ISNUMBER(SEARCH("rn""&gt;Trinidad and Tobago",S3479)),"Trinidad and Tobago",
ISNUMBER(SEARCH("rn""&gt;Serbia and Montenegro",S3479)),"Serbia and Montenegro",
ISNUMBER(SEARCH(_xlfn.UNICHAR(65533),S3479)),"Côte d'Ivoire",
TRUE,""
)</f>
        <v/>
      </c>
      <c r="W3479" s="40" t="str">
        <f t="shared" si="237"/>
        <v>Brazil</v>
      </c>
    </row>
    <row r="3480" spans="19:23">
      <c r="S3480" s="40" t="str">
        <v>Sweden</v>
      </c>
      <c r="T3480" s="40" t="str">
        <f t="shared" si="235"/>
        <v>OK</v>
      </c>
      <c r="U3480" s="40" t="str">
        <f t="shared" si="236"/>
        <v>-</v>
      </c>
      <c r="V3480" s="40" t="str" cm="1">
        <f t="array" ref="V3480">_xlfn.IFS(
ISNUMBER(SEARCH("USA",S3480)),"United States",
ISNUMBER(SEARCH("Republic of Ireland",S3480)),"Ireland",
ISNUMBER(SEARCH("Republic of Korea",S3480)),"South Korea",
ISNUMBER(SEARCH("Cape Verde",S3480)),"Cabo Verde",
ISNUMBER(SEARCH("Czechia",S3480)),"Czech Republic",
ISNUMBER(SEARCH("Türkiye",S3480)),"Turkey",
ISNUMBER(SEARCH("Ivory Coast",S3480)),"Côte d'Ivoire",
ISNUMBER(SEARCH("Korea Republic",S3480)),"South Korea",
ISNUMBER(SEARCH("Germany FR",S3480)),"FR Germany",
ISNUMBER(SEARCH("West Germany",S3480)),"FR Germany",
ISNUMBER(SEARCH("Germany DR",S3480)),"DR Germany",
ISNUMBER(SEARCH("Korea DPR",S3480)),"North Korea",
ISNUMBER(SEARCH("China PR",S3480)),"China",
ISNUMBER(SEARCH("IR Iran",S3480)),"Iran",
ISNUMBER(SEARCH("Congo DR",S3480)),"Democratic Republic of the Congo",
ISNUMBER(SEARCH("DR Congo",S3480)),"Democratic Republic of the Congo",
ISNUMBER(SEARCH("German DR",S3480)),"DR Germany",
ISNUMBER(SEARCH("rn""&gt;United Arab Emirates",S3480)),"United Arab Emirates",
ISNUMBER(SEARCH("rn""&gt;Republic of Ireland",S3480)),"Ireland",
ISNUMBER(SEARCH("rn""&gt;Bosnia and Herzegovina",S3480)),"Bosnia and Herzegovina",
ISNUMBER(SEARCH("rn""&gt;Trinidad and Tobago",S3480)),"Trinidad and Tobago",
ISNUMBER(SEARCH("rn""&gt;Serbia and Montenegro",S3480)),"Serbia and Montenegro",
ISNUMBER(SEARCH(_xlfn.UNICHAR(65533),S3480)),"Côte d'Ivoire",
TRUE,""
)</f>
        <v/>
      </c>
      <c r="W3480" s="40" t="str">
        <f t="shared" si="237"/>
        <v>Sweden</v>
      </c>
    </row>
    <row r="3481" spans="19:23">
      <c r="S3481" s="40" t="str">
        <v>Hungary</v>
      </c>
      <c r="T3481" s="40" t="str">
        <f t="shared" si="235"/>
        <v>OK</v>
      </c>
      <c r="U3481" s="40" t="str">
        <f t="shared" si="236"/>
        <v>-</v>
      </c>
      <c r="V3481" s="40" t="str" cm="1">
        <f t="array" ref="V3481">_xlfn.IFS(
ISNUMBER(SEARCH("USA",S3481)),"United States",
ISNUMBER(SEARCH("Republic of Ireland",S3481)),"Ireland",
ISNUMBER(SEARCH("Republic of Korea",S3481)),"South Korea",
ISNUMBER(SEARCH("Cape Verde",S3481)),"Cabo Verde",
ISNUMBER(SEARCH("Czechia",S3481)),"Czech Republic",
ISNUMBER(SEARCH("Türkiye",S3481)),"Turkey",
ISNUMBER(SEARCH("Ivory Coast",S3481)),"Côte d'Ivoire",
ISNUMBER(SEARCH("Korea Republic",S3481)),"South Korea",
ISNUMBER(SEARCH("Germany FR",S3481)),"FR Germany",
ISNUMBER(SEARCH("West Germany",S3481)),"FR Germany",
ISNUMBER(SEARCH("Germany DR",S3481)),"DR Germany",
ISNUMBER(SEARCH("Korea DPR",S3481)),"North Korea",
ISNUMBER(SEARCH("China PR",S3481)),"China",
ISNUMBER(SEARCH("IR Iran",S3481)),"Iran",
ISNUMBER(SEARCH("Congo DR",S3481)),"Democratic Republic of the Congo",
ISNUMBER(SEARCH("DR Congo",S3481)),"Democratic Republic of the Congo",
ISNUMBER(SEARCH("German DR",S3481)),"DR Germany",
ISNUMBER(SEARCH("rn""&gt;United Arab Emirates",S3481)),"United Arab Emirates",
ISNUMBER(SEARCH("rn""&gt;Republic of Ireland",S3481)),"Ireland",
ISNUMBER(SEARCH("rn""&gt;Bosnia and Herzegovina",S3481)),"Bosnia and Herzegovina",
ISNUMBER(SEARCH("rn""&gt;Trinidad and Tobago",S3481)),"Trinidad and Tobago",
ISNUMBER(SEARCH("rn""&gt;Serbia and Montenegro",S3481)),"Serbia and Montenegro",
ISNUMBER(SEARCH(_xlfn.UNICHAR(65533),S3481)),"Côte d'Ivoire",
TRUE,""
)</f>
        <v/>
      </c>
      <c r="W3481" s="40" t="str">
        <f t="shared" si="237"/>
        <v>Hungary</v>
      </c>
    </row>
    <row r="3482" spans="19:23">
      <c r="S3482" s="40" t="str">
        <v>Mexico</v>
      </c>
      <c r="T3482" s="40" t="str">
        <f t="shared" si="235"/>
        <v>OK</v>
      </c>
      <c r="U3482" s="40" t="str">
        <f t="shared" si="236"/>
        <v>-</v>
      </c>
      <c r="V3482" s="40" t="str" cm="1">
        <f t="array" ref="V3482">_xlfn.IFS(
ISNUMBER(SEARCH("USA",S3482)),"United States",
ISNUMBER(SEARCH("Republic of Ireland",S3482)),"Ireland",
ISNUMBER(SEARCH("Republic of Korea",S3482)),"South Korea",
ISNUMBER(SEARCH("Cape Verde",S3482)),"Cabo Verde",
ISNUMBER(SEARCH("Czechia",S3482)),"Czech Republic",
ISNUMBER(SEARCH("Türkiye",S3482)),"Turkey",
ISNUMBER(SEARCH("Ivory Coast",S3482)),"Côte d'Ivoire",
ISNUMBER(SEARCH("Korea Republic",S3482)),"South Korea",
ISNUMBER(SEARCH("Germany FR",S3482)),"FR Germany",
ISNUMBER(SEARCH("West Germany",S3482)),"FR Germany",
ISNUMBER(SEARCH("Germany DR",S3482)),"DR Germany",
ISNUMBER(SEARCH("Korea DPR",S3482)),"North Korea",
ISNUMBER(SEARCH("China PR",S3482)),"China",
ISNUMBER(SEARCH("IR Iran",S3482)),"Iran",
ISNUMBER(SEARCH("Congo DR",S3482)),"Democratic Republic of the Congo",
ISNUMBER(SEARCH("DR Congo",S3482)),"Democratic Republic of the Congo",
ISNUMBER(SEARCH("German DR",S3482)),"DR Germany",
ISNUMBER(SEARCH("rn""&gt;United Arab Emirates",S3482)),"United Arab Emirates",
ISNUMBER(SEARCH("rn""&gt;Republic of Ireland",S3482)),"Ireland",
ISNUMBER(SEARCH("rn""&gt;Bosnia and Herzegovina",S3482)),"Bosnia and Herzegovina",
ISNUMBER(SEARCH("rn""&gt;Trinidad and Tobago",S3482)),"Trinidad and Tobago",
ISNUMBER(SEARCH("rn""&gt;Serbia and Montenegro",S3482)),"Serbia and Montenegro",
ISNUMBER(SEARCH(_xlfn.UNICHAR(65533),S3482)),"Côte d'Ivoire",
TRUE,""
)</f>
        <v/>
      </c>
      <c r="W3482" s="40" t="str">
        <f t="shared" si="237"/>
        <v>Mexico</v>
      </c>
    </row>
    <row r="3483" spans="19:23">
      <c r="S3483" s="40" t="str">
        <v>Chile</v>
      </c>
      <c r="T3483" s="40" t="str">
        <f t="shared" si="235"/>
        <v>OK</v>
      </c>
      <c r="U3483" s="40" t="str">
        <f t="shared" si="236"/>
        <v>-</v>
      </c>
      <c r="V3483" s="40" t="str" cm="1">
        <f t="array" ref="V3483">_xlfn.IFS(
ISNUMBER(SEARCH("USA",S3483)),"United States",
ISNUMBER(SEARCH("Republic of Ireland",S3483)),"Ireland",
ISNUMBER(SEARCH("Republic of Korea",S3483)),"South Korea",
ISNUMBER(SEARCH("Cape Verde",S3483)),"Cabo Verde",
ISNUMBER(SEARCH("Czechia",S3483)),"Czech Republic",
ISNUMBER(SEARCH("Türkiye",S3483)),"Turkey",
ISNUMBER(SEARCH("Ivory Coast",S3483)),"Côte d'Ivoire",
ISNUMBER(SEARCH("Korea Republic",S3483)),"South Korea",
ISNUMBER(SEARCH("Germany FR",S3483)),"FR Germany",
ISNUMBER(SEARCH("West Germany",S3483)),"FR Germany",
ISNUMBER(SEARCH("Germany DR",S3483)),"DR Germany",
ISNUMBER(SEARCH("Korea DPR",S3483)),"North Korea",
ISNUMBER(SEARCH("China PR",S3483)),"China",
ISNUMBER(SEARCH("IR Iran",S3483)),"Iran",
ISNUMBER(SEARCH("Congo DR",S3483)),"Democratic Republic of the Congo",
ISNUMBER(SEARCH("DR Congo",S3483)),"Democratic Republic of the Congo",
ISNUMBER(SEARCH("German DR",S3483)),"DR Germany",
ISNUMBER(SEARCH("rn""&gt;United Arab Emirates",S3483)),"United Arab Emirates",
ISNUMBER(SEARCH("rn""&gt;Republic of Ireland",S3483)),"Ireland",
ISNUMBER(SEARCH("rn""&gt;Bosnia and Herzegovina",S3483)),"Bosnia and Herzegovina",
ISNUMBER(SEARCH("rn""&gt;Trinidad and Tobago",S3483)),"Trinidad and Tobago",
ISNUMBER(SEARCH("rn""&gt;Serbia and Montenegro",S3483)),"Serbia and Montenegro",
ISNUMBER(SEARCH(_xlfn.UNICHAR(65533),S3483)),"Côte d'Ivoire",
TRUE,""
)</f>
        <v/>
      </c>
      <c r="W3483" s="40" t="str">
        <f t="shared" si="237"/>
        <v>Chile</v>
      </c>
    </row>
    <row r="3484" spans="19:23">
      <c r="S3484" s="40" t="str">
        <v>USA</v>
      </c>
      <c r="T3484" s="40" t="str">
        <f t="shared" si="235"/>
        <v>ERREUR</v>
      </c>
      <c r="U3484" s="40" t="str">
        <f t="shared" si="236"/>
        <v>RENOMMER</v>
      </c>
      <c r="V3484" s="40" t="str" cm="1">
        <f t="array" ref="V3484">_xlfn.IFS(
ISNUMBER(SEARCH("USA",S3484)),"United States",
ISNUMBER(SEARCH("Republic of Ireland",S3484)),"Ireland",
ISNUMBER(SEARCH("Republic of Korea",S3484)),"South Korea",
ISNUMBER(SEARCH("Cape Verde",S3484)),"Cabo Verde",
ISNUMBER(SEARCH("Czechia",S3484)),"Czech Republic",
ISNUMBER(SEARCH("Türkiye",S3484)),"Turkey",
ISNUMBER(SEARCH("Ivory Coast",S3484)),"Côte d'Ivoire",
ISNUMBER(SEARCH("Korea Republic",S3484)),"South Korea",
ISNUMBER(SEARCH("Germany FR",S3484)),"FR Germany",
ISNUMBER(SEARCH("West Germany",S3484)),"FR Germany",
ISNUMBER(SEARCH("Germany DR",S3484)),"DR Germany",
ISNUMBER(SEARCH("Korea DPR",S3484)),"North Korea",
ISNUMBER(SEARCH("China PR",S3484)),"China",
ISNUMBER(SEARCH("IR Iran",S3484)),"Iran",
ISNUMBER(SEARCH("Congo DR",S3484)),"Democratic Republic of the Congo",
ISNUMBER(SEARCH("DR Congo",S3484)),"Democratic Republic of the Congo",
ISNUMBER(SEARCH("German DR",S3484)),"DR Germany",
ISNUMBER(SEARCH("rn""&gt;United Arab Emirates",S3484)),"United Arab Emirates",
ISNUMBER(SEARCH("rn""&gt;Republic of Ireland",S3484)),"Ireland",
ISNUMBER(SEARCH("rn""&gt;Bosnia and Herzegovina",S3484)),"Bosnia and Herzegovina",
ISNUMBER(SEARCH("rn""&gt;Trinidad and Tobago",S3484)),"Trinidad and Tobago",
ISNUMBER(SEARCH("rn""&gt;Serbia and Montenegro",S3484)),"Serbia and Montenegro",
ISNUMBER(SEARCH(_xlfn.UNICHAR(65533),S3484)),"Côte d'Ivoire",
TRUE,""
)</f>
        <v>United States</v>
      </c>
      <c r="W3484" s="40" t="str">
        <f t="shared" si="237"/>
        <v>United States</v>
      </c>
    </row>
    <row r="3485" spans="19:23">
      <c r="S3485" s="40" t="str">
        <v>Italy</v>
      </c>
      <c r="T3485" s="40" t="str">
        <f t="shared" si="235"/>
        <v>OK</v>
      </c>
      <c r="U3485" s="40" t="str">
        <f t="shared" si="236"/>
        <v>-</v>
      </c>
      <c r="V3485" s="40" t="str" cm="1">
        <f t="array" ref="V3485">_xlfn.IFS(
ISNUMBER(SEARCH("USA",S3485)),"United States",
ISNUMBER(SEARCH("Republic of Ireland",S3485)),"Ireland",
ISNUMBER(SEARCH("Republic of Korea",S3485)),"South Korea",
ISNUMBER(SEARCH("Cape Verde",S3485)),"Cabo Verde",
ISNUMBER(SEARCH("Czechia",S3485)),"Czech Republic",
ISNUMBER(SEARCH("Türkiye",S3485)),"Turkey",
ISNUMBER(SEARCH("Ivory Coast",S3485)),"Côte d'Ivoire",
ISNUMBER(SEARCH("Korea Republic",S3485)),"South Korea",
ISNUMBER(SEARCH("Germany FR",S3485)),"FR Germany",
ISNUMBER(SEARCH("West Germany",S3485)),"FR Germany",
ISNUMBER(SEARCH("Germany DR",S3485)),"DR Germany",
ISNUMBER(SEARCH("Korea DPR",S3485)),"North Korea",
ISNUMBER(SEARCH("China PR",S3485)),"China",
ISNUMBER(SEARCH("IR Iran",S3485)),"Iran",
ISNUMBER(SEARCH("Congo DR",S3485)),"Democratic Republic of the Congo",
ISNUMBER(SEARCH("DR Congo",S3485)),"Democratic Republic of the Congo",
ISNUMBER(SEARCH("German DR",S3485)),"DR Germany",
ISNUMBER(SEARCH("rn""&gt;United Arab Emirates",S3485)),"United Arab Emirates",
ISNUMBER(SEARCH("rn""&gt;Republic of Ireland",S3485)),"Ireland",
ISNUMBER(SEARCH("rn""&gt;Bosnia and Herzegovina",S3485)),"Bosnia and Herzegovina",
ISNUMBER(SEARCH("rn""&gt;Trinidad and Tobago",S3485)),"Trinidad and Tobago",
ISNUMBER(SEARCH("rn""&gt;Serbia and Montenegro",S3485)),"Serbia and Montenegro",
ISNUMBER(SEARCH(_xlfn.UNICHAR(65533),S3485)),"Côte d'Ivoire",
TRUE,""
)</f>
        <v/>
      </c>
      <c r="W3485" s="40" t="str">
        <f t="shared" si="237"/>
        <v>Italy</v>
      </c>
    </row>
    <row r="3486" spans="19:23">
      <c r="S3486" s="40" t="str">
        <v>Switzerland</v>
      </c>
      <c r="T3486" s="40" t="str">
        <f t="shared" si="235"/>
        <v>OK</v>
      </c>
      <c r="U3486" s="40" t="str">
        <f t="shared" si="236"/>
        <v>-</v>
      </c>
      <c r="V3486" s="40" t="str" cm="1">
        <f t="array" ref="V3486">_xlfn.IFS(
ISNUMBER(SEARCH("USA",S3486)),"United States",
ISNUMBER(SEARCH("Republic of Ireland",S3486)),"Ireland",
ISNUMBER(SEARCH("Republic of Korea",S3486)),"South Korea",
ISNUMBER(SEARCH("Cape Verde",S3486)),"Cabo Verde",
ISNUMBER(SEARCH("Czechia",S3486)),"Czech Republic",
ISNUMBER(SEARCH("Türkiye",S3486)),"Turkey",
ISNUMBER(SEARCH("Ivory Coast",S3486)),"Côte d'Ivoire",
ISNUMBER(SEARCH("Korea Republic",S3486)),"South Korea",
ISNUMBER(SEARCH("Germany FR",S3486)),"FR Germany",
ISNUMBER(SEARCH("West Germany",S3486)),"FR Germany",
ISNUMBER(SEARCH("Germany DR",S3486)),"DR Germany",
ISNUMBER(SEARCH("Korea DPR",S3486)),"North Korea",
ISNUMBER(SEARCH("China PR",S3486)),"China",
ISNUMBER(SEARCH("IR Iran",S3486)),"Iran",
ISNUMBER(SEARCH("Congo DR",S3486)),"Democratic Republic of the Congo",
ISNUMBER(SEARCH("DR Congo",S3486)),"Democratic Republic of the Congo",
ISNUMBER(SEARCH("German DR",S3486)),"DR Germany",
ISNUMBER(SEARCH("rn""&gt;United Arab Emirates",S3486)),"United Arab Emirates",
ISNUMBER(SEARCH("rn""&gt;Republic of Ireland",S3486)),"Ireland",
ISNUMBER(SEARCH("rn""&gt;Bosnia and Herzegovina",S3486)),"Bosnia and Herzegovina",
ISNUMBER(SEARCH("rn""&gt;Trinidad and Tobago",S3486)),"Trinidad and Tobago",
ISNUMBER(SEARCH("rn""&gt;Serbia and Montenegro",S3486)),"Serbia and Montenegro",
ISNUMBER(SEARCH(_xlfn.UNICHAR(65533),S3486)),"Côte d'Ivoire",
TRUE,""
)</f>
        <v/>
      </c>
      <c r="W3486" s="40" t="str">
        <f t="shared" si="237"/>
        <v>Switzerland</v>
      </c>
    </row>
    <row r="3487" spans="19:23">
      <c r="S3487" s="40" t="str">
        <v>Switzerland</v>
      </c>
      <c r="T3487" s="40" t="str">
        <f t="shared" si="235"/>
        <v>OK</v>
      </c>
      <c r="U3487" s="40" t="str">
        <f t="shared" si="236"/>
        <v>-</v>
      </c>
      <c r="V3487" s="40" t="str" cm="1">
        <f t="array" ref="V3487">_xlfn.IFS(
ISNUMBER(SEARCH("USA",S3487)),"United States",
ISNUMBER(SEARCH("Republic of Ireland",S3487)),"Ireland",
ISNUMBER(SEARCH("Republic of Korea",S3487)),"South Korea",
ISNUMBER(SEARCH("Cape Verde",S3487)),"Cabo Verde",
ISNUMBER(SEARCH("Czechia",S3487)),"Czech Republic",
ISNUMBER(SEARCH("Türkiye",S3487)),"Turkey",
ISNUMBER(SEARCH("Ivory Coast",S3487)),"Côte d'Ivoire",
ISNUMBER(SEARCH("Korea Republic",S3487)),"South Korea",
ISNUMBER(SEARCH("Germany FR",S3487)),"FR Germany",
ISNUMBER(SEARCH("West Germany",S3487)),"FR Germany",
ISNUMBER(SEARCH("Germany DR",S3487)),"DR Germany",
ISNUMBER(SEARCH("Korea DPR",S3487)),"North Korea",
ISNUMBER(SEARCH("China PR",S3487)),"China",
ISNUMBER(SEARCH("IR Iran",S3487)),"Iran",
ISNUMBER(SEARCH("Congo DR",S3487)),"Democratic Republic of the Congo",
ISNUMBER(SEARCH("DR Congo",S3487)),"Democratic Republic of the Congo",
ISNUMBER(SEARCH("German DR",S3487)),"DR Germany",
ISNUMBER(SEARCH("rn""&gt;United Arab Emirates",S3487)),"United Arab Emirates",
ISNUMBER(SEARCH("rn""&gt;Republic of Ireland",S3487)),"Ireland",
ISNUMBER(SEARCH("rn""&gt;Bosnia and Herzegovina",S3487)),"Bosnia and Herzegovina",
ISNUMBER(SEARCH("rn""&gt;Trinidad and Tobago",S3487)),"Trinidad and Tobago",
ISNUMBER(SEARCH("rn""&gt;Serbia and Montenegro",S3487)),"Serbia and Montenegro",
ISNUMBER(SEARCH(_xlfn.UNICHAR(65533),S3487)),"Côte d'Ivoire",
TRUE,""
)</f>
        <v/>
      </c>
      <c r="W3487" s="40" t="str">
        <f t="shared" si="237"/>
        <v>Switzerland</v>
      </c>
    </row>
    <row r="3488" spans="19:23">
      <c r="S3488" s="40" t="str">
        <v>Mexico</v>
      </c>
      <c r="T3488" s="40" t="str">
        <f t="shared" si="235"/>
        <v>OK</v>
      </c>
      <c r="U3488" s="40" t="str">
        <f t="shared" si="236"/>
        <v>-</v>
      </c>
      <c r="V3488" s="40" t="str" cm="1">
        <f t="array" ref="V3488">_xlfn.IFS(
ISNUMBER(SEARCH("USA",S3488)),"United States",
ISNUMBER(SEARCH("Republic of Ireland",S3488)),"Ireland",
ISNUMBER(SEARCH("Republic of Korea",S3488)),"South Korea",
ISNUMBER(SEARCH("Cape Verde",S3488)),"Cabo Verde",
ISNUMBER(SEARCH("Czechia",S3488)),"Czech Republic",
ISNUMBER(SEARCH("Türkiye",S3488)),"Turkey",
ISNUMBER(SEARCH("Ivory Coast",S3488)),"Côte d'Ivoire",
ISNUMBER(SEARCH("Korea Republic",S3488)),"South Korea",
ISNUMBER(SEARCH("Germany FR",S3488)),"FR Germany",
ISNUMBER(SEARCH("West Germany",S3488)),"FR Germany",
ISNUMBER(SEARCH("Germany DR",S3488)),"DR Germany",
ISNUMBER(SEARCH("Korea DPR",S3488)),"North Korea",
ISNUMBER(SEARCH("China PR",S3488)),"China",
ISNUMBER(SEARCH("IR Iran",S3488)),"Iran",
ISNUMBER(SEARCH("Congo DR",S3488)),"Democratic Republic of the Congo",
ISNUMBER(SEARCH("DR Congo",S3488)),"Democratic Republic of the Congo",
ISNUMBER(SEARCH("German DR",S3488)),"DR Germany",
ISNUMBER(SEARCH("rn""&gt;United Arab Emirates",S3488)),"United Arab Emirates",
ISNUMBER(SEARCH("rn""&gt;Republic of Ireland",S3488)),"Ireland",
ISNUMBER(SEARCH("rn""&gt;Bosnia and Herzegovina",S3488)),"Bosnia and Herzegovina",
ISNUMBER(SEARCH("rn""&gt;Trinidad and Tobago",S3488)),"Trinidad and Tobago",
ISNUMBER(SEARCH("rn""&gt;Serbia and Montenegro",S3488)),"Serbia and Montenegro",
ISNUMBER(SEARCH(_xlfn.UNICHAR(65533),S3488)),"Côte d'Ivoire",
TRUE,""
)</f>
        <v/>
      </c>
      <c r="W3488" s="40" t="str">
        <f t="shared" si="237"/>
        <v>Mexico</v>
      </c>
    </row>
    <row r="3489" spans="19:23">
      <c r="S3489" s="40" t="str">
        <v>Chile</v>
      </c>
      <c r="T3489" s="40" t="str">
        <f t="shared" si="235"/>
        <v>OK</v>
      </c>
      <c r="U3489" s="40" t="str">
        <f t="shared" si="236"/>
        <v>-</v>
      </c>
      <c r="V3489" s="40" t="str" cm="1">
        <f t="array" ref="V3489">_xlfn.IFS(
ISNUMBER(SEARCH("USA",S3489)),"United States",
ISNUMBER(SEARCH("Republic of Ireland",S3489)),"Ireland",
ISNUMBER(SEARCH("Republic of Korea",S3489)),"South Korea",
ISNUMBER(SEARCH("Cape Verde",S3489)),"Cabo Verde",
ISNUMBER(SEARCH("Czechia",S3489)),"Czech Republic",
ISNUMBER(SEARCH("Türkiye",S3489)),"Turkey",
ISNUMBER(SEARCH("Ivory Coast",S3489)),"Côte d'Ivoire",
ISNUMBER(SEARCH("Korea Republic",S3489)),"South Korea",
ISNUMBER(SEARCH("Germany FR",S3489)),"FR Germany",
ISNUMBER(SEARCH("West Germany",S3489)),"FR Germany",
ISNUMBER(SEARCH("Germany DR",S3489)),"DR Germany",
ISNUMBER(SEARCH("Korea DPR",S3489)),"North Korea",
ISNUMBER(SEARCH("China PR",S3489)),"China",
ISNUMBER(SEARCH("IR Iran",S3489)),"Iran",
ISNUMBER(SEARCH("Congo DR",S3489)),"Democratic Republic of the Congo",
ISNUMBER(SEARCH("DR Congo",S3489)),"Democratic Republic of the Congo",
ISNUMBER(SEARCH("German DR",S3489)),"DR Germany",
ISNUMBER(SEARCH("rn""&gt;United Arab Emirates",S3489)),"United Arab Emirates",
ISNUMBER(SEARCH("rn""&gt;Republic of Ireland",S3489)),"Ireland",
ISNUMBER(SEARCH("rn""&gt;Bosnia and Herzegovina",S3489)),"Bosnia and Herzegovina",
ISNUMBER(SEARCH("rn""&gt;Trinidad and Tobago",S3489)),"Trinidad and Tobago",
ISNUMBER(SEARCH("rn""&gt;Serbia and Montenegro",S3489)),"Serbia and Montenegro",
ISNUMBER(SEARCH(_xlfn.UNICHAR(65533),S3489)),"Côte d'Ivoire",
TRUE,""
)</f>
        <v/>
      </c>
      <c r="W3489" s="40" t="str">
        <f t="shared" si="237"/>
        <v>Chile</v>
      </c>
    </row>
    <row r="3490" spans="19:23">
      <c r="S3490" s="40" t="str">
        <v>Paraguay</v>
      </c>
      <c r="T3490" s="40" t="str">
        <f t="shared" si="235"/>
        <v>OK</v>
      </c>
      <c r="U3490" s="40" t="str">
        <f t="shared" si="236"/>
        <v>-</v>
      </c>
      <c r="V3490" s="40" t="str" cm="1">
        <f t="array" ref="V3490">_xlfn.IFS(
ISNUMBER(SEARCH("USA",S3490)),"United States",
ISNUMBER(SEARCH("Republic of Ireland",S3490)),"Ireland",
ISNUMBER(SEARCH("Republic of Korea",S3490)),"South Korea",
ISNUMBER(SEARCH("Cape Verde",S3490)),"Cabo Verde",
ISNUMBER(SEARCH("Czechia",S3490)),"Czech Republic",
ISNUMBER(SEARCH("Türkiye",S3490)),"Turkey",
ISNUMBER(SEARCH("Ivory Coast",S3490)),"Côte d'Ivoire",
ISNUMBER(SEARCH("Korea Republic",S3490)),"South Korea",
ISNUMBER(SEARCH("Germany FR",S3490)),"FR Germany",
ISNUMBER(SEARCH("West Germany",S3490)),"FR Germany",
ISNUMBER(SEARCH("Germany DR",S3490)),"DR Germany",
ISNUMBER(SEARCH("Korea DPR",S3490)),"North Korea",
ISNUMBER(SEARCH("China PR",S3490)),"China",
ISNUMBER(SEARCH("IR Iran",S3490)),"Iran",
ISNUMBER(SEARCH("Congo DR",S3490)),"Democratic Republic of the Congo",
ISNUMBER(SEARCH("DR Congo",S3490)),"Democratic Republic of the Congo",
ISNUMBER(SEARCH("German DR",S3490)),"DR Germany",
ISNUMBER(SEARCH("rn""&gt;United Arab Emirates",S3490)),"United Arab Emirates",
ISNUMBER(SEARCH("rn""&gt;Republic of Ireland",S3490)),"Ireland",
ISNUMBER(SEARCH("rn""&gt;Bosnia and Herzegovina",S3490)),"Bosnia and Herzegovina",
ISNUMBER(SEARCH("rn""&gt;Trinidad and Tobago",S3490)),"Trinidad and Tobago",
ISNUMBER(SEARCH("rn""&gt;Serbia and Montenegro",S3490)),"Serbia and Montenegro",
ISNUMBER(SEARCH(_xlfn.UNICHAR(65533),S3490)),"Côte d'Ivoire",
TRUE,""
)</f>
        <v/>
      </c>
      <c r="W3490" s="40" t="str">
        <f t="shared" si="237"/>
        <v>Paraguay</v>
      </c>
    </row>
    <row r="3491" spans="19:23">
      <c r="S3491" s="40" t="str">
        <v>England</v>
      </c>
      <c r="T3491" s="40" t="str">
        <f t="shared" si="235"/>
        <v>ERREUR</v>
      </c>
      <c r="U3491" s="40" t="str">
        <f t="shared" si="236"/>
        <v>AUCUNE</v>
      </c>
      <c r="V3491" s="40" t="str" cm="1">
        <f t="array" ref="V3491">_xlfn.IFS(
ISNUMBER(SEARCH("USA",S3491)),"United States",
ISNUMBER(SEARCH("Republic of Ireland",S3491)),"Ireland",
ISNUMBER(SEARCH("Republic of Korea",S3491)),"South Korea",
ISNUMBER(SEARCH("Cape Verde",S3491)),"Cabo Verde",
ISNUMBER(SEARCH("Czechia",S3491)),"Czech Republic",
ISNUMBER(SEARCH("Türkiye",S3491)),"Turkey",
ISNUMBER(SEARCH("Ivory Coast",S3491)),"Côte d'Ivoire",
ISNUMBER(SEARCH("Korea Republic",S3491)),"South Korea",
ISNUMBER(SEARCH("Germany FR",S3491)),"FR Germany",
ISNUMBER(SEARCH("West Germany",S3491)),"FR Germany",
ISNUMBER(SEARCH("Germany DR",S3491)),"DR Germany",
ISNUMBER(SEARCH("Korea DPR",S3491)),"North Korea",
ISNUMBER(SEARCH("China PR",S3491)),"China",
ISNUMBER(SEARCH("IR Iran",S3491)),"Iran",
ISNUMBER(SEARCH("Congo DR",S3491)),"Democratic Republic of the Congo",
ISNUMBER(SEARCH("DR Congo",S3491)),"Democratic Republic of the Congo",
ISNUMBER(SEARCH("German DR",S3491)),"DR Germany",
ISNUMBER(SEARCH("rn""&gt;United Arab Emirates",S3491)),"United Arab Emirates",
ISNUMBER(SEARCH("rn""&gt;Republic of Ireland",S3491)),"Ireland",
ISNUMBER(SEARCH("rn""&gt;Bosnia and Herzegovina",S3491)),"Bosnia and Herzegovina",
ISNUMBER(SEARCH("rn""&gt;Trinidad and Tobago",S3491)),"Trinidad and Tobago",
ISNUMBER(SEARCH("rn""&gt;Serbia and Montenegro",S3491)),"Serbia and Montenegro",
ISNUMBER(SEARCH(_xlfn.UNICHAR(65533),S3491)),"Côte d'Ivoire",
TRUE,""
)</f>
        <v/>
      </c>
      <c r="W3491" s="40" t="str">
        <f t="shared" si="237"/>
        <v>England</v>
      </c>
    </row>
    <row r="3492" spans="19:23">
      <c r="S3492" s="40" t="str">
        <v>Yugoslavia</v>
      </c>
      <c r="T3492" s="40" t="str">
        <f t="shared" si="235"/>
        <v>ERREUR</v>
      </c>
      <c r="U3492" s="40" t="str">
        <f t="shared" si="236"/>
        <v>AUCUNE</v>
      </c>
      <c r="V3492" s="40" t="str" cm="1">
        <f t="array" ref="V3492">_xlfn.IFS(
ISNUMBER(SEARCH("USA",S3492)),"United States",
ISNUMBER(SEARCH("Republic of Ireland",S3492)),"Ireland",
ISNUMBER(SEARCH("Republic of Korea",S3492)),"South Korea",
ISNUMBER(SEARCH("Cape Verde",S3492)),"Cabo Verde",
ISNUMBER(SEARCH("Czechia",S3492)),"Czech Republic",
ISNUMBER(SEARCH("Türkiye",S3492)),"Turkey",
ISNUMBER(SEARCH("Ivory Coast",S3492)),"Côte d'Ivoire",
ISNUMBER(SEARCH("Korea Republic",S3492)),"South Korea",
ISNUMBER(SEARCH("Germany FR",S3492)),"FR Germany",
ISNUMBER(SEARCH("West Germany",S3492)),"FR Germany",
ISNUMBER(SEARCH("Germany DR",S3492)),"DR Germany",
ISNUMBER(SEARCH("Korea DPR",S3492)),"North Korea",
ISNUMBER(SEARCH("China PR",S3492)),"China",
ISNUMBER(SEARCH("IR Iran",S3492)),"Iran",
ISNUMBER(SEARCH("Congo DR",S3492)),"Democratic Republic of the Congo",
ISNUMBER(SEARCH("DR Congo",S3492)),"Democratic Republic of the Congo",
ISNUMBER(SEARCH("German DR",S3492)),"DR Germany",
ISNUMBER(SEARCH("rn""&gt;United Arab Emirates",S3492)),"United Arab Emirates",
ISNUMBER(SEARCH("rn""&gt;Republic of Ireland",S3492)),"Ireland",
ISNUMBER(SEARCH("rn""&gt;Bosnia and Herzegovina",S3492)),"Bosnia and Herzegovina",
ISNUMBER(SEARCH("rn""&gt;Trinidad and Tobago",S3492)),"Trinidad and Tobago",
ISNUMBER(SEARCH("rn""&gt;Serbia and Montenegro",S3492)),"Serbia and Montenegro",
ISNUMBER(SEARCH(_xlfn.UNICHAR(65533),S3492)),"Côte d'Ivoire",
TRUE,""
)</f>
        <v/>
      </c>
      <c r="W3492" s="40" t="str">
        <f t="shared" si="237"/>
        <v>Yugoslavia</v>
      </c>
    </row>
    <row r="3493" spans="19:23">
      <c r="S3493" s="40" t="str">
        <v>England</v>
      </c>
      <c r="T3493" s="40" t="str">
        <f t="shared" si="235"/>
        <v>ERREUR</v>
      </c>
      <c r="U3493" s="40" t="str">
        <f t="shared" si="236"/>
        <v>AUCUNE</v>
      </c>
      <c r="V3493" s="40" t="str" cm="1">
        <f t="array" ref="V3493">_xlfn.IFS(
ISNUMBER(SEARCH("USA",S3493)),"United States",
ISNUMBER(SEARCH("Republic of Ireland",S3493)),"Ireland",
ISNUMBER(SEARCH("Republic of Korea",S3493)),"South Korea",
ISNUMBER(SEARCH("Cape Verde",S3493)),"Cabo Verde",
ISNUMBER(SEARCH("Czechia",S3493)),"Czech Republic",
ISNUMBER(SEARCH("Türkiye",S3493)),"Turkey",
ISNUMBER(SEARCH("Ivory Coast",S3493)),"Côte d'Ivoire",
ISNUMBER(SEARCH("Korea Republic",S3493)),"South Korea",
ISNUMBER(SEARCH("Germany FR",S3493)),"FR Germany",
ISNUMBER(SEARCH("West Germany",S3493)),"FR Germany",
ISNUMBER(SEARCH("Germany DR",S3493)),"DR Germany",
ISNUMBER(SEARCH("Korea DPR",S3493)),"North Korea",
ISNUMBER(SEARCH("China PR",S3493)),"China",
ISNUMBER(SEARCH("IR Iran",S3493)),"Iran",
ISNUMBER(SEARCH("Congo DR",S3493)),"Democratic Republic of the Congo",
ISNUMBER(SEARCH("DR Congo",S3493)),"Democratic Republic of the Congo",
ISNUMBER(SEARCH("German DR",S3493)),"DR Germany",
ISNUMBER(SEARCH("rn""&gt;United Arab Emirates",S3493)),"United Arab Emirates",
ISNUMBER(SEARCH("rn""&gt;Republic of Ireland",S3493)),"Ireland",
ISNUMBER(SEARCH("rn""&gt;Bosnia and Herzegovina",S3493)),"Bosnia and Herzegovina",
ISNUMBER(SEARCH("rn""&gt;Trinidad and Tobago",S3493)),"Trinidad and Tobago",
ISNUMBER(SEARCH("rn""&gt;Serbia and Montenegro",S3493)),"Serbia and Montenegro",
ISNUMBER(SEARCH(_xlfn.UNICHAR(65533),S3493)),"Côte d'Ivoire",
TRUE,""
)</f>
        <v/>
      </c>
      <c r="W3493" s="40" t="str">
        <f t="shared" si="237"/>
        <v>England</v>
      </c>
    </row>
    <row r="3494" spans="19:23">
      <c r="S3494" s="40" t="str">
        <v>Paraguay</v>
      </c>
      <c r="T3494" s="40" t="str">
        <f t="shared" si="235"/>
        <v>OK</v>
      </c>
      <c r="U3494" s="40" t="str">
        <f t="shared" si="236"/>
        <v>-</v>
      </c>
      <c r="V3494" s="40" t="str" cm="1">
        <f t="array" ref="V3494">_xlfn.IFS(
ISNUMBER(SEARCH("USA",S3494)),"United States",
ISNUMBER(SEARCH("Republic of Ireland",S3494)),"Ireland",
ISNUMBER(SEARCH("Republic of Korea",S3494)),"South Korea",
ISNUMBER(SEARCH("Cape Verde",S3494)),"Cabo Verde",
ISNUMBER(SEARCH("Czechia",S3494)),"Czech Republic",
ISNUMBER(SEARCH("Türkiye",S3494)),"Turkey",
ISNUMBER(SEARCH("Ivory Coast",S3494)),"Côte d'Ivoire",
ISNUMBER(SEARCH("Korea Republic",S3494)),"South Korea",
ISNUMBER(SEARCH("Germany FR",S3494)),"FR Germany",
ISNUMBER(SEARCH("West Germany",S3494)),"FR Germany",
ISNUMBER(SEARCH("Germany DR",S3494)),"DR Germany",
ISNUMBER(SEARCH("Korea DPR",S3494)),"North Korea",
ISNUMBER(SEARCH("China PR",S3494)),"China",
ISNUMBER(SEARCH("IR Iran",S3494)),"Iran",
ISNUMBER(SEARCH("Congo DR",S3494)),"Democratic Republic of the Congo",
ISNUMBER(SEARCH("DR Congo",S3494)),"Democratic Republic of the Congo",
ISNUMBER(SEARCH("German DR",S3494)),"DR Germany",
ISNUMBER(SEARCH("rn""&gt;United Arab Emirates",S3494)),"United Arab Emirates",
ISNUMBER(SEARCH("rn""&gt;Republic of Ireland",S3494)),"Ireland",
ISNUMBER(SEARCH("rn""&gt;Bosnia and Herzegovina",S3494)),"Bosnia and Herzegovina",
ISNUMBER(SEARCH("rn""&gt;Trinidad and Tobago",S3494)),"Trinidad and Tobago",
ISNUMBER(SEARCH("rn""&gt;Serbia and Montenegro",S3494)),"Serbia and Montenegro",
ISNUMBER(SEARCH(_xlfn.UNICHAR(65533),S3494)),"Côte d'Ivoire",
TRUE,""
)</f>
        <v/>
      </c>
      <c r="W3494" s="40" t="str">
        <f t="shared" si="237"/>
        <v>Paraguay</v>
      </c>
    </row>
    <row r="3495" spans="19:23">
      <c r="S3495" s="40" t="str">
        <v>Bolivia</v>
      </c>
      <c r="T3495" s="40" t="str">
        <f t="shared" si="235"/>
        <v>OK</v>
      </c>
      <c r="U3495" s="40" t="str">
        <f t="shared" si="236"/>
        <v>-</v>
      </c>
      <c r="V3495" s="40" t="str" cm="1">
        <f t="array" ref="V3495">_xlfn.IFS(
ISNUMBER(SEARCH("USA",S3495)),"United States",
ISNUMBER(SEARCH("Republic of Ireland",S3495)),"Ireland",
ISNUMBER(SEARCH("Republic of Korea",S3495)),"South Korea",
ISNUMBER(SEARCH("Cape Verde",S3495)),"Cabo Verde",
ISNUMBER(SEARCH("Czechia",S3495)),"Czech Republic",
ISNUMBER(SEARCH("Türkiye",S3495)),"Turkey",
ISNUMBER(SEARCH("Ivory Coast",S3495)),"Côte d'Ivoire",
ISNUMBER(SEARCH("Korea Republic",S3495)),"South Korea",
ISNUMBER(SEARCH("Germany FR",S3495)),"FR Germany",
ISNUMBER(SEARCH("West Germany",S3495)),"FR Germany",
ISNUMBER(SEARCH("Germany DR",S3495)),"DR Germany",
ISNUMBER(SEARCH("Korea DPR",S3495)),"North Korea",
ISNUMBER(SEARCH("China PR",S3495)),"China",
ISNUMBER(SEARCH("IR Iran",S3495)),"Iran",
ISNUMBER(SEARCH("Congo DR",S3495)),"Democratic Republic of the Congo",
ISNUMBER(SEARCH("DR Congo",S3495)),"Democratic Republic of the Congo",
ISNUMBER(SEARCH("German DR",S3495)),"DR Germany",
ISNUMBER(SEARCH("rn""&gt;United Arab Emirates",S3495)),"United Arab Emirates",
ISNUMBER(SEARCH("rn""&gt;Republic of Ireland",S3495)),"Ireland",
ISNUMBER(SEARCH("rn""&gt;Bosnia and Herzegovina",S3495)),"Bosnia and Herzegovina",
ISNUMBER(SEARCH("rn""&gt;Trinidad and Tobago",S3495)),"Trinidad and Tobago",
ISNUMBER(SEARCH("rn""&gt;Serbia and Montenegro",S3495)),"Serbia and Montenegro",
ISNUMBER(SEARCH(_xlfn.UNICHAR(65533),S3495)),"Côte d'Ivoire",
TRUE,""
)</f>
        <v/>
      </c>
      <c r="W3495" s="40" t="str">
        <f t="shared" si="237"/>
        <v>Bolivia</v>
      </c>
    </row>
    <row r="3496" spans="19:23">
      <c r="S3496" s="40" t="str">
        <v>Mexico</v>
      </c>
      <c r="T3496" s="40" t="str">
        <f t="shared" si="235"/>
        <v>OK</v>
      </c>
      <c r="U3496" s="40" t="str">
        <f t="shared" si="236"/>
        <v>-</v>
      </c>
      <c r="V3496" s="40" t="str" cm="1">
        <f t="array" ref="V3496">_xlfn.IFS(
ISNUMBER(SEARCH("USA",S3496)),"United States",
ISNUMBER(SEARCH("Republic of Ireland",S3496)),"Ireland",
ISNUMBER(SEARCH("Republic of Korea",S3496)),"South Korea",
ISNUMBER(SEARCH("Cape Verde",S3496)),"Cabo Verde",
ISNUMBER(SEARCH("Czechia",S3496)),"Czech Republic",
ISNUMBER(SEARCH("Türkiye",S3496)),"Turkey",
ISNUMBER(SEARCH("Ivory Coast",S3496)),"Côte d'Ivoire",
ISNUMBER(SEARCH("Korea Republic",S3496)),"South Korea",
ISNUMBER(SEARCH("Germany FR",S3496)),"FR Germany",
ISNUMBER(SEARCH("West Germany",S3496)),"FR Germany",
ISNUMBER(SEARCH("Germany DR",S3496)),"DR Germany",
ISNUMBER(SEARCH("Korea DPR",S3496)),"North Korea",
ISNUMBER(SEARCH("China PR",S3496)),"China",
ISNUMBER(SEARCH("IR Iran",S3496)),"Iran",
ISNUMBER(SEARCH("Congo DR",S3496)),"Democratic Republic of the Congo",
ISNUMBER(SEARCH("DR Congo",S3496)),"Democratic Republic of the Congo",
ISNUMBER(SEARCH("German DR",S3496)),"DR Germany",
ISNUMBER(SEARCH("rn""&gt;United Arab Emirates",S3496)),"United Arab Emirates",
ISNUMBER(SEARCH("rn""&gt;Republic of Ireland",S3496)),"Ireland",
ISNUMBER(SEARCH("rn""&gt;Bosnia and Herzegovina",S3496)),"Bosnia and Herzegovina",
ISNUMBER(SEARCH("rn""&gt;Trinidad and Tobago",S3496)),"Trinidad and Tobago",
ISNUMBER(SEARCH("rn""&gt;Serbia and Montenegro",S3496)),"Serbia and Montenegro",
ISNUMBER(SEARCH(_xlfn.UNICHAR(65533),S3496)),"Côte d'Ivoire",
TRUE,""
)</f>
        <v/>
      </c>
      <c r="W3496" s="40" t="str">
        <f t="shared" si="237"/>
        <v>Mexico</v>
      </c>
    </row>
    <row r="3497" spans="19:23">
      <c r="S3497" s="40" t="str">
        <v>USA</v>
      </c>
      <c r="T3497" s="40" t="str">
        <f t="shared" si="235"/>
        <v>ERREUR</v>
      </c>
      <c r="U3497" s="40" t="str">
        <f t="shared" si="236"/>
        <v>RENOMMER</v>
      </c>
      <c r="V3497" s="40" t="str" cm="1">
        <f t="array" ref="V3497">_xlfn.IFS(
ISNUMBER(SEARCH("USA",S3497)),"United States",
ISNUMBER(SEARCH("Republic of Ireland",S3497)),"Ireland",
ISNUMBER(SEARCH("Republic of Korea",S3497)),"South Korea",
ISNUMBER(SEARCH("Cape Verde",S3497)),"Cabo Verde",
ISNUMBER(SEARCH("Czechia",S3497)),"Czech Republic",
ISNUMBER(SEARCH("Türkiye",S3497)),"Turkey",
ISNUMBER(SEARCH("Ivory Coast",S3497)),"Côte d'Ivoire",
ISNUMBER(SEARCH("Korea Republic",S3497)),"South Korea",
ISNUMBER(SEARCH("Germany FR",S3497)),"FR Germany",
ISNUMBER(SEARCH("West Germany",S3497)),"FR Germany",
ISNUMBER(SEARCH("Germany DR",S3497)),"DR Germany",
ISNUMBER(SEARCH("Korea DPR",S3497)),"North Korea",
ISNUMBER(SEARCH("China PR",S3497)),"China",
ISNUMBER(SEARCH("IR Iran",S3497)),"Iran",
ISNUMBER(SEARCH("Congo DR",S3497)),"Democratic Republic of the Congo",
ISNUMBER(SEARCH("DR Congo",S3497)),"Democratic Republic of the Congo",
ISNUMBER(SEARCH("German DR",S3497)),"DR Germany",
ISNUMBER(SEARCH("rn""&gt;United Arab Emirates",S3497)),"United Arab Emirates",
ISNUMBER(SEARCH("rn""&gt;Republic of Ireland",S3497)),"Ireland",
ISNUMBER(SEARCH("rn""&gt;Bosnia and Herzegovina",S3497)),"Bosnia and Herzegovina",
ISNUMBER(SEARCH("rn""&gt;Trinidad and Tobago",S3497)),"Trinidad and Tobago",
ISNUMBER(SEARCH("rn""&gt;Serbia and Montenegro",S3497)),"Serbia and Montenegro",
ISNUMBER(SEARCH(_xlfn.UNICHAR(65533),S3497)),"Côte d'Ivoire",
TRUE,""
)</f>
        <v>United States</v>
      </c>
      <c r="W3497" s="40" t="str">
        <f t="shared" si="237"/>
        <v>United States</v>
      </c>
    </row>
    <row r="3498" spans="19:23">
      <c r="S3498" s="40" t="str">
        <v>Spain</v>
      </c>
      <c r="T3498" s="40" t="str">
        <f t="shared" si="235"/>
        <v>OK</v>
      </c>
      <c r="U3498" s="40" t="str">
        <f t="shared" si="236"/>
        <v>-</v>
      </c>
      <c r="V3498" s="40" t="str" cm="1">
        <f t="array" ref="V3498">_xlfn.IFS(
ISNUMBER(SEARCH("USA",S3498)),"United States",
ISNUMBER(SEARCH("Republic of Ireland",S3498)),"Ireland",
ISNUMBER(SEARCH("Republic of Korea",S3498)),"South Korea",
ISNUMBER(SEARCH("Cape Verde",S3498)),"Cabo Verde",
ISNUMBER(SEARCH("Czechia",S3498)),"Czech Republic",
ISNUMBER(SEARCH("Türkiye",S3498)),"Turkey",
ISNUMBER(SEARCH("Ivory Coast",S3498)),"Côte d'Ivoire",
ISNUMBER(SEARCH("Korea Republic",S3498)),"South Korea",
ISNUMBER(SEARCH("Germany FR",S3498)),"FR Germany",
ISNUMBER(SEARCH("West Germany",S3498)),"FR Germany",
ISNUMBER(SEARCH("Germany DR",S3498)),"DR Germany",
ISNUMBER(SEARCH("Korea DPR",S3498)),"North Korea",
ISNUMBER(SEARCH("China PR",S3498)),"China",
ISNUMBER(SEARCH("IR Iran",S3498)),"Iran",
ISNUMBER(SEARCH("Congo DR",S3498)),"Democratic Republic of the Congo",
ISNUMBER(SEARCH("DR Congo",S3498)),"Democratic Republic of the Congo",
ISNUMBER(SEARCH("German DR",S3498)),"DR Germany",
ISNUMBER(SEARCH("rn""&gt;United Arab Emirates",S3498)),"United Arab Emirates",
ISNUMBER(SEARCH("rn""&gt;Republic of Ireland",S3498)),"Ireland",
ISNUMBER(SEARCH("rn""&gt;Bosnia and Herzegovina",S3498)),"Bosnia and Herzegovina",
ISNUMBER(SEARCH("rn""&gt;Trinidad and Tobago",S3498)),"Trinidad and Tobago",
ISNUMBER(SEARCH("rn""&gt;Serbia and Montenegro",S3498)),"Serbia and Montenegro",
ISNUMBER(SEARCH(_xlfn.UNICHAR(65533),S3498)),"Côte d'Ivoire",
TRUE,""
)</f>
        <v/>
      </c>
      <c r="W3498" s="40" t="str">
        <f t="shared" si="237"/>
        <v>Spain</v>
      </c>
    </row>
    <row r="3499" spans="19:23">
      <c r="S3499" s="40" t="str">
        <v>Sweden</v>
      </c>
      <c r="T3499" s="40" t="str">
        <f t="shared" si="235"/>
        <v>OK</v>
      </c>
      <c r="U3499" s="40" t="str">
        <f t="shared" si="236"/>
        <v>-</v>
      </c>
      <c r="V3499" s="40" t="str" cm="1">
        <f t="array" ref="V3499">_xlfn.IFS(
ISNUMBER(SEARCH("USA",S3499)),"United States",
ISNUMBER(SEARCH("Republic of Ireland",S3499)),"Ireland",
ISNUMBER(SEARCH("Republic of Korea",S3499)),"South Korea",
ISNUMBER(SEARCH("Cape Verde",S3499)),"Cabo Verde",
ISNUMBER(SEARCH("Czechia",S3499)),"Czech Republic",
ISNUMBER(SEARCH("Türkiye",S3499)),"Turkey",
ISNUMBER(SEARCH("Ivory Coast",S3499)),"Côte d'Ivoire",
ISNUMBER(SEARCH("Korea Republic",S3499)),"South Korea",
ISNUMBER(SEARCH("Germany FR",S3499)),"FR Germany",
ISNUMBER(SEARCH("West Germany",S3499)),"FR Germany",
ISNUMBER(SEARCH("Germany DR",S3499)),"DR Germany",
ISNUMBER(SEARCH("Korea DPR",S3499)),"North Korea",
ISNUMBER(SEARCH("China PR",S3499)),"China",
ISNUMBER(SEARCH("IR Iran",S3499)),"Iran",
ISNUMBER(SEARCH("Congo DR",S3499)),"Democratic Republic of the Congo",
ISNUMBER(SEARCH("DR Congo",S3499)),"Democratic Republic of the Congo",
ISNUMBER(SEARCH("German DR",S3499)),"DR Germany",
ISNUMBER(SEARCH("rn""&gt;United Arab Emirates",S3499)),"United Arab Emirates",
ISNUMBER(SEARCH("rn""&gt;Republic of Ireland",S3499)),"Ireland",
ISNUMBER(SEARCH("rn""&gt;Bosnia and Herzegovina",S3499)),"Bosnia and Herzegovina",
ISNUMBER(SEARCH("rn""&gt;Trinidad and Tobago",S3499)),"Trinidad and Tobago",
ISNUMBER(SEARCH("rn""&gt;Serbia and Montenegro",S3499)),"Serbia and Montenegro",
ISNUMBER(SEARCH(_xlfn.UNICHAR(65533),S3499)),"Côte d'Ivoire",
TRUE,""
)</f>
        <v/>
      </c>
      <c r="W3499" s="40" t="str">
        <f t="shared" si="237"/>
        <v>Sweden</v>
      </c>
    </row>
    <row r="3500" spans="19:23">
      <c r="S3500" s="40" t="str">
        <v>Spain</v>
      </c>
      <c r="T3500" s="40" t="str">
        <f t="shared" si="235"/>
        <v>OK</v>
      </c>
      <c r="U3500" s="40" t="str">
        <f t="shared" si="236"/>
        <v>-</v>
      </c>
      <c r="V3500" s="40" t="str" cm="1">
        <f t="array" ref="V3500">_xlfn.IFS(
ISNUMBER(SEARCH("USA",S3500)),"United States",
ISNUMBER(SEARCH("Republic of Ireland",S3500)),"Ireland",
ISNUMBER(SEARCH("Republic of Korea",S3500)),"South Korea",
ISNUMBER(SEARCH("Cape Verde",S3500)),"Cabo Verde",
ISNUMBER(SEARCH("Czechia",S3500)),"Czech Republic",
ISNUMBER(SEARCH("Türkiye",S3500)),"Turkey",
ISNUMBER(SEARCH("Ivory Coast",S3500)),"Côte d'Ivoire",
ISNUMBER(SEARCH("Korea Republic",S3500)),"South Korea",
ISNUMBER(SEARCH("Germany FR",S3500)),"FR Germany",
ISNUMBER(SEARCH("West Germany",S3500)),"FR Germany",
ISNUMBER(SEARCH("Germany DR",S3500)),"DR Germany",
ISNUMBER(SEARCH("Korea DPR",S3500)),"North Korea",
ISNUMBER(SEARCH("China PR",S3500)),"China",
ISNUMBER(SEARCH("IR Iran",S3500)),"Iran",
ISNUMBER(SEARCH("Congo DR",S3500)),"Democratic Republic of the Congo",
ISNUMBER(SEARCH("DR Congo",S3500)),"Democratic Republic of the Congo",
ISNUMBER(SEARCH("German DR",S3500)),"DR Germany",
ISNUMBER(SEARCH("rn""&gt;United Arab Emirates",S3500)),"United Arab Emirates",
ISNUMBER(SEARCH("rn""&gt;Republic of Ireland",S3500)),"Ireland",
ISNUMBER(SEARCH("rn""&gt;Bosnia and Herzegovina",S3500)),"Bosnia and Herzegovina",
ISNUMBER(SEARCH("rn""&gt;Trinidad and Tobago",S3500)),"Trinidad and Tobago",
ISNUMBER(SEARCH("rn""&gt;Serbia and Montenegro",S3500)),"Serbia and Montenegro",
ISNUMBER(SEARCH(_xlfn.UNICHAR(65533),S3500)),"Côte d'Ivoire",
TRUE,""
)</f>
        <v/>
      </c>
      <c r="W3500" s="40" t="str">
        <f t="shared" si="237"/>
        <v>Spain</v>
      </c>
    </row>
    <row r="3501" spans="19:23">
      <c r="S3501" s="40" t="str">
        <v>Sweden</v>
      </c>
      <c r="T3501" s="40" t="str">
        <f t="shared" si="235"/>
        <v>OK</v>
      </c>
      <c r="U3501" s="40" t="str">
        <f t="shared" si="236"/>
        <v>-</v>
      </c>
      <c r="V3501" s="40" t="str" cm="1">
        <f t="array" ref="V3501">_xlfn.IFS(
ISNUMBER(SEARCH("USA",S3501)),"United States",
ISNUMBER(SEARCH("Republic of Ireland",S3501)),"Ireland",
ISNUMBER(SEARCH("Republic of Korea",S3501)),"South Korea",
ISNUMBER(SEARCH("Cape Verde",S3501)),"Cabo Verde",
ISNUMBER(SEARCH("Czechia",S3501)),"Czech Republic",
ISNUMBER(SEARCH("Türkiye",S3501)),"Turkey",
ISNUMBER(SEARCH("Ivory Coast",S3501)),"Côte d'Ivoire",
ISNUMBER(SEARCH("Korea Republic",S3501)),"South Korea",
ISNUMBER(SEARCH("Germany FR",S3501)),"FR Germany",
ISNUMBER(SEARCH("West Germany",S3501)),"FR Germany",
ISNUMBER(SEARCH("Germany DR",S3501)),"DR Germany",
ISNUMBER(SEARCH("Korea DPR",S3501)),"North Korea",
ISNUMBER(SEARCH("China PR",S3501)),"China",
ISNUMBER(SEARCH("IR Iran",S3501)),"Iran",
ISNUMBER(SEARCH("Congo DR",S3501)),"Democratic Republic of the Congo",
ISNUMBER(SEARCH("DR Congo",S3501)),"Democratic Republic of the Congo",
ISNUMBER(SEARCH("German DR",S3501)),"DR Germany",
ISNUMBER(SEARCH("rn""&gt;United Arab Emirates",S3501)),"United Arab Emirates",
ISNUMBER(SEARCH("rn""&gt;Republic of Ireland",S3501)),"Ireland",
ISNUMBER(SEARCH("rn""&gt;Bosnia and Herzegovina",S3501)),"Bosnia and Herzegovina",
ISNUMBER(SEARCH("rn""&gt;Trinidad and Tobago",S3501)),"Trinidad and Tobago",
ISNUMBER(SEARCH("rn""&gt;Serbia and Montenegro",S3501)),"Serbia and Montenegro",
ISNUMBER(SEARCH(_xlfn.UNICHAR(65533),S3501)),"Côte d'Ivoire",
TRUE,""
)</f>
        <v/>
      </c>
      <c r="W3501" s="40" t="str">
        <f t="shared" si="237"/>
        <v>Sweden</v>
      </c>
    </row>
    <row r="3502" spans="19:23">
      <c r="S3502" s="40" t="str">
        <v>Spain</v>
      </c>
      <c r="T3502" s="40" t="str">
        <f t="shared" si="235"/>
        <v>OK</v>
      </c>
      <c r="U3502" s="40" t="str">
        <f t="shared" si="236"/>
        <v>-</v>
      </c>
      <c r="V3502" s="40" t="str" cm="1">
        <f t="array" ref="V3502">_xlfn.IFS(
ISNUMBER(SEARCH("USA",S3502)),"United States",
ISNUMBER(SEARCH("Republic of Ireland",S3502)),"Ireland",
ISNUMBER(SEARCH("Republic of Korea",S3502)),"South Korea",
ISNUMBER(SEARCH("Cape Verde",S3502)),"Cabo Verde",
ISNUMBER(SEARCH("Czechia",S3502)),"Czech Republic",
ISNUMBER(SEARCH("Türkiye",S3502)),"Turkey",
ISNUMBER(SEARCH("Ivory Coast",S3502)),"Côte d'Ivoire",
ISNUMBER(SEARCH("Korea Republic",S3502)),"South Korea",
ISNUMBER(SEARCH("Germany FR",S3502)),"FR Germany",
ISNUMBER(SEARCH("West Germany",S3502)),"FR Germany",
ISNUMBER(SEARCH("Germany DR",S3502)),"DR Germany",
ISNUMBER(SEARCH("Korea DPR",S3502)),"North Korea",
ISNUMBER(SEARCH("China PR",S3502)),"China",
ISNUMBER(SEARCH("IR Iran",S3502)),"Iran",
ISNUMBER(SEARCH("Congo DR",S3502)),"Democratic Republic of the Congo",
ISNUMBER(SEARCH("DR Congo",S3502)),"Democratic Republic of the Congo",
ISNUMBER(SEARCH("German DR",S3502)),"DR Germany",
ISNUMBER(SEARCH("rn""&gt;United Arab Emirates",S3502)),"United Arab Emirates",
ISNUMBER(SEARCH("rn""&gt;Republic of Ireland",S3502)),"Ireland",
ISNUMBER(SEARCH("rn""&gt;Bosnia and Herzegovina",S3502)),"Bosnia and Herzegovina",
ISNUMBER(SEARCH("rn""&gt;Trinidad and Tobago",S3502)),"Trinidad and Tobago",
ISNUMBER(SEARCH("rn""&gt;Serbia and Montenegro",S3502)),"Serbia and Montenegro",
ISNUMBER(SEARCH(_xlfn.UNICHAR(65533),S3502)),"Côte d'Ivoire",
TRUE,""
)</f>
        <v/>
      </c>
      <c r="W3502" s="40" t="str">
        <f t="shared" si="237"/>
        <v>Spain</v>
      </c>
    </row>
    <row r="3503" spans="19:23">
      <c r="S3503" s="40" t="str">
        <v>Brazil</v>
      </c>
      <c r="T3503" s="40" t="str">
        <f t="shared" si="235"/>
        <v>OK</v>
      </c>
      <c r="U3503" s="40" t="str">
        <f t="shared" si="236"/>
        <v>-</v>
      </c>
      <c r="V3503" s="40" t="str" cm="1">
        <f t="array" ref="V3503">_xlfn.IFS(
ISNUMBER(SEARCH("USA",S3503)),"United States",
ISNUMBER(SEARCH("Republic of Ireland",S3503)),"Ireland",
ISNUMBER(SEARCH("Republic of Korea",S3503)),"South Korea",
ISNUMBER(SEARCH("Cape Verde",S3503)),"Cabo Verde",
ISNUMBER(SEARCH("Czechia",S3503)),"Czech Republic",
ISNUMBER(SEARCH("Türkiye",S3503)),"Turkey",
ISNUMBER(SEARCH("Ivory Coast",S3503)),"Côte d'Ivoire",
ISNUMBER(SEARCH("Korea Republic",S3503)),"South Korea",
ISNUMBER(SEARCH("Germany FR",S3503)),"FR Germany",
ISNUMBER(SEARCH("West Germany",S3503)),"FR Germany",
ISNUMBER(SEARCH("Germany DR",S3503)),"DR Germany",
ISNUMBER(SEARCH("Korea DPR",S3503)),"North Korea",
ISNUMBER(SEARCH("China PR",S3503)),"China",
ISNUMBER(SEARCH("IR Iran",S3503)),"Iran",
ISNUMBER(SEARCH("Congo DR",S3503)),"Democratic Republic of the Congo",
ISNUMBER(SEARCH("DR Congo",S3503)),"Democratic Republic of the Congo",
ISNUMBER(SEARCH("German DR",S3503)),"DR Germany",
ISNUMBER(SEARCH("rn""&gt;United Arab Emirates",S3503)),"United Arab Emirates",
ISNUMBER(SEARCH("rn""&gt;Republic of Ireland",S3503)),"Ireland",
ISNUMBER(SEARCH("rn""&gt;Bosnia and Herzegovina",S3503)),"Bosnia and Herzegovina",
ISNUMBER(SEARCH("rn""&gt;Trinidad and Tobago",S3503)),"Trinidad and Tobago",
ISNUMBER(SEARCH("rn""&gt;Serbia and Montenegro",S3503)),"Serbia and Montenegro",
ISNUMBER(SEARCH(_xlfn.UNICHAR(65533),S3503)),"Côte d'Ivoire",
TRUE,""
)</f>
        <v/>
      </c>
      <c r="W3503" s="40" t="str">
        <f t="shared" si="237"/>
        <v>Brazil</v>
      </c>
    </row>
    <row r="3504" spans="19:23">
      <c r="S3504" s="40" t="str">
        <v>Czechoslovakia</v>
      </c>
      <c r="T3504" s="40" t="str">
        <f t="shared" si="235"/>
        <v>ERREUR</v>
      </c>
      <c r="U3504" s="40" t="str">
        <f t="shared" si="236"/>
        <v>AUCUNE</v>
      </c>
      <c r="V3504" s="40" t="str" cm="1">
        <f t="array" ref="V3504">_xlfn.IFS(
ISNUMBER(SEARCH("USA",S3504)),"United States",
ISNUMBER(SEARCH("Republic of Ireland",S3504)),"Ireland",
ISNUMBER(SEARCH("Republic of Korea",S3504)),"South Korea",
ISNUMBER(SEARCH("Cape Verde",S3504)),"Cabo Verde",
ISNUMBER(SEARCH("Czechia",S3504)),"Czech Republic",
ISNUMBER(SEARCH("Türkiye",S3504)),"Turkey",
ISNUMBER(SEARCH("Ivory Coast",S3504)),"Côte d'Ivoire",
ISNUMBER(SEARCH("Korea Republic",S3504)),"South Korea",
ISNUMBER(SEARCH("Germany FR",S3504)),"FR Germany",
ISNUMBER(SEARCH("West Germany",S3504)),"FR Germany",
ISNUMBER(SEARCH("Germany DR",S3504)),"DR Germany",
ISNUMBER(SEARCH("Korea DPR",S3504)),"North Korea",
ISNUMBER(SEARCH("China PR",S3504)),"China",
ISNUMBER(SEARCH("IR Iran",S3504)),"Iran",
ISNUMBER(SEARCH("Congo DR",S3504)),"Democratic Republic of the Congo",
ISNUMBER(SEARCH("DR Congo",S3504)),"Democratic Republic of the Congo",
ISNUMBER(SEARCH("German DR",S3504)),"DR Germany",
ISNUMBER(SEARCH("rn""&gt;United Arab Emirates",S3504)),"United Arab Emirates",
ISNUMBER(SEARCH("rn""&gt;Republic of Ireland",S3504)),"Ireland",
ISNUMBER(SEARCH("rn""&gt;Bosnia and Herzegovina",S3504)),"Bosnia and Herzegovina",
ISNUMBER(SEARCH("rn""&gt;Trinidad and Tobago",S3504)),"Trinidad and Tobago",
ISNUMBER(SEARCH("rn""&gt;Serbia and Montenegro",S3504)),"Serbia and Montenegro",
ISNUMBER(SEARCH(_xlfn.UNICHAR(65533),S3504)),"Côte d'Ivoire",
TRUE,""
)</f>
        <v/>
      </c>
      <c r="W3504" s="40" t="str">
        <f t="shared" si="237"/>
        <v>Czechoslovakia</v>
      </c>
    </row>
    <row r="3505" spans="19:23">
      <c r="S3505" s="40" t="str">
        <v>Scotland</v>
      </c>
      <c r="T3505" s="40" t="str">
        <f t="shared" si="235"/>
        <v>ERREUR</v>
      </c>
      <c r="U3505" s="40" t="str">
        <f t="shared" si="236"/>
        <v>AUCUNE</v>
      </c>
      <c r="V3505" s="40" t="str" cm="1">
        <f t="array" ref="V3505">_xlfn.IFS(
ISNUMBER(SEARCH("USA",S3505)),"United States",
ISNUMBER(SEARCH("Republic of Ireland",S3505)),"Ireland",
ISNUMBER(SEARCH("Republic of Korea",S3505)),"South Korea",
ISNUMBER(SEARCH("Cape Verde",S3505)),"Cabo Verde",
ISNUMBER(SEARCH("Czechia",S3505)),"Czech Republic",
ISNUMBER(SEARCH("Türkiye",S3505)),"Turkey",
ISNUMBER(SEARCH("Ivory Coast",S3505)),"Côte d'Ivoire",
ISNUMBER(SEARCH("Korea Republic",S3505)),"South Korea",
ISNUMBER(SEARCH("Germany FR",S3505)),"FR Germany",
ISNUMBER(SEARCH("West Germany",S3505)),"FR Germany",
ISNUMBER(SEARCH("Germany DR",S3505)),"DR Germany",
ISNUMBER(SEARCH("Korea DPR",S3505)),"North Korea",
ISNUMBER(SEARCH("China PR",S3505)),"China",
ISNUMBER(SEARCH("IR Iran",S3505)),"Iran",
ISNUMBER(SEARCH("Congo DR",S3505)),"Democratic Republic of the Congo",
ISNUMBER(SEARCH("DR Congo",S3505)),"Democratic Republic of the Congo",
ISNUMBER(SEARCH("German DR",S3505)),"DR Germany",
ISNUMBER(SEARCH("rn""&gt;United Arab Emirates",S3505)),"United Arab Emirates",
ISNUMBER(SEARCH("rn""&gt;Republic of Ireland",S3505)),"Ireland",
ISNUMBER(SEARCH("rn""&gt;Bosnia and Herzegovina",S3505)),"Bosnia and Herzegovina",
ISNUMBER(SEARCH("rn""&gt;Trinidad and Tobago",S3505)),"Trinidad and Tobago",
ISNUMBER(SEARCH("rn""&gt;Serbia and Montenegro",S3505)),"Serbia and Montenegro",
ISNUMBER(SEARCH(_xlfn.UNICHAR(65533),S3505)),"Côte d'Ivoire",
TRUE,""
)</f>
        <v/>
      </c>
      <c r="W3505" s="40" t="str">
        <f t="shared" si="237"/>
        <v>Scotland</v>
      </c>
    </row>
    <row r="3506" spans="19:23">
      <c r="S3506" s="40" t="str">
        <v>Mexico</v>
      </c>
      <c r="T3506" s="40" t="str">
        <f t="shared" si="235"/>
        <v>OK</v>
      </c>
      <c r="U3506" s="40" t="str">
        <f t="shared" si="236"/>
        <v>-</v>
      </c>
      <c r="V3506" s="40" t="str" cm="1">
        <f t="array" ref="V3506">_xlfn.IFS(
ISNUMBER(SEARCH("USA",S3506)),"United States",
ISNUMBER(SEARCH("Republic of Ireland",S3506)),"Ireland",
ISNUMBER(SEARCH("Republic of Korea",S3506)),"South Korea",
ISNUMBER(SEARCH("Cape Verde",S3506)),"Cabo Verde",
ISNUMBER(SEARCH("Czechia",S3506)),"Czech Republic",
ISNUMBER(SEARCH("Türkiye",S3506)),"Turkey",
ISNUMBER(SEARCH("Ivory Coast",S3506)),"Côte d'Ivoire",
ISNUMBER(SEARCH("Korea Republic",S3506)),"South Korea",
ISNUMBER(SEARCH("Germany FR",S3506)),"FR Germany",
ISNUMBER(SEARCH("West Germany",S3506)),"FR Germany",
ISNUMBER(SEARCH("Germany DR",S3506)),"DR Germany",
ISNUMBER(SEARCH("Korea DPR",S3506)),"North Korea",
ISNUMBER(SEARCH("China PR",S3506)),"China",
ISNUMBER(SEARCH("IR Iran",S3506)),"Iran",
ISNUMBER(SEARCH("Congo DR",S3506)),"Democratic Republic of the Congo",
ISNUMBER(SEARCH("DR Congo",S3506)),"Democratic Republic of the Congo",
ISNUMBER(SEARCH("German DR",S3506)),"DR Germany",
ISNUMBER(SEARCH("rn""&gt;United Arab Emirates",S3506)),"United Arab Emirates",
ISNUMBER(SEARCH("rn""&gt;Republic of Ireland",S3506)),"Ireland",
ISNUMBER(SEARCH("rn""&gt;Bosnia and Herzegovina",S3506)),"Bosnia and Herzegovina",
ISNUMBER(SEARCH("rn""&gt;Trinidad and Tobago",S3506)),"Trinidad and Tobago",
ISNUMBER(SEARCH("rn""&gt;Serbia and Montenegro",S3506)),"Serbia and Montenegro",
ISNUMBER(SEARCH(_xlfn.UNICHAR(65533),S3506)),"Côte d'Ivoire",
TRUE,""
)</f>
        <v/>
      </c>
      <c r="W3506" s="40" t="str">
        <f t="shared" si="237"/>
        <v>Mexico</v>
      </c>
    </row>
    <row r="3507" spans="19:23">
      <c r="S3507" s="40" t="str">
        <v>France</v>
      </c>
      <c r="T3507" s="40" t="str">
        <f t="shared" si="235"/>
        <v>OK</v>
      </c>
      <c r="U3507" s="40" t="str">
        <f t="shared" si="236"/>
        <v>-</v>
      </c>
      <c r="V3507" s="40" t="str" cm="1">
        <f t="array" ref="V3507">_xlfn.IFS(
ISNUMBER(SEARCH("USA",S3507)),"United States",
ISNUMBER(SEARCH("Republic of Ireland",S3507)),"Ireland",
ISNUMBER(SEARCH("Republic of Korea",S3507)),"South Korea",
ISNUMBER(SEARCH("Cape Verde",S3507)),"Cabo Verde",
ISNUMBER(SEARCH("Czechia",S3507)),"Czech Republic",
ISNUMBER(SEARCH("Türkiye",S3507)),"Turkey",
ISNUMBER(SEARCH("Ivory Coast",S3507)),"Côte d'Ivoire",
ISNUMBER(SEARCH("Korea Republic",S3507)),"South Korea",
ISNUMBER(SEARCH("Germany FR",S3507)),"FR Germany",
ISNUMBER(SEARCH("West Germany",S3507)),"FR Germany",
ISNUMBER(SEARCH("Germany DR",S3507)),"DR Germany",
ISNUMBER(SEARCH("Korea DPR",S3507)),"North Korea",
ISNUMBER(SEARCH("China PR",S3507)),"China",
ISNUMBER(SEARCH("IR Iran",S3507)),"Iran",
ISNUMBER(SEARCH("Congo DR",S3507)),"Democratic Republic of the Congo",
ISNUMBER(SEARCH("DR Congo",S3507)),"Democratic Republic of the Congo",
ISNUMBER(SEARCH("German DR",S3507)),"DR Germany",
ISNUMBER(SEARCH("rn""&gt;United Arab Emirates",S3507)),"United Arab Emirates",
ISNUMBER(SEARCH("rn""&gt;Republic of Ireland",S3507)),"Ireland",
ISNUMBER(SEARCH("rn""&gt;Bosnia and Herzegovina",S3507)),"Bosnia and Herzegovina",
ISNUMBER(SEARCH("rn""&gt;Trinidad and Tobago",S3507)),"Trinidad and Tobago",
ISNUMBER(SEARCH("rn""&gt;Serbia and Montenegro",S3507)),"Serbia and Montenegro",
ISNUMBER(SEARCH(_xlfn.UNICHAR(65533),S3507)),"Côte d'Ivoire",
TRUE,""
)</f>
        <v/>
      </c>
      <c r="W3507" s="40" t="str">
        <f t="shared" si="237"/>
        <v>France</v>
      </c>
    </row>
    <row r="3508" spans="19:23">
      <c r="S3508" s="40" t="str">
        <v>Turkey</v>
      </c>
      <c r="T3508" s="40" t="str">
        <f t="shared" si="235"/>
        <v>OK</v>
      </c>
      <c r="U3508" s="40" t="str">
        <f t="shared" si="236"/>
        <v>-</v>
      </c>
      <c r="V3508" s="40" t="str" cm="1">
        <f t="array" ref="V3508">_xlfn.IFS(
ISNUMBER(SEARCH("USA",S3508)),"United States",
ISNUMBER(SEARCH("Republic of Ireland",S3508)),"Ireland",
ISNUMBER(SEARCH("Republic of Korea",S3508)),"South Korea",
ISNUMBER(SEARCH("Cape Verde",S3508)),"Cabo Verde",
ISNUMBER(SEARCH("Czechia",S3508)),"Czech Republic",
ISNUMBER(SEARCH("Türkiye",S3508)),"Turkey",
ISNUMBER(SEARCH("Ivory Coast",S3508)),"Côte d'Ivoire",
ISNUMBER(SEARCH("Korea Republic",S3508)),"South Korea",
ISNUMBER(SEARCH("Germany FR",S3508)),"FR Germany",
ISNUMBER(SEARCH("West Germany",S3508)),"FR Germany",
ISNUMBER(SEARCH("Germany DR",S3508)),"DR Germany",
ISNUMBER(SEARCH("Korea DPR",S3508)),"North Korea",
ISNUMBER(SEARCH("China PR",S3508)),"China",
ISNUMBER(SEARCH("IR Iran",S3508)),"Iran",
ISNUMBER(SEARCH("Congo DR",S3508)),"Democratic Republic of the Congo",
ISNUMBER(SEARCH("DR Congo",S3508)),"Democratic Republic of the Congo",
ISNUMBER(SEARCH("German DR",S3508)),"DR Germany",
ISNUMBER(SEARCH("rn""&gt;United Arab Emirates",S3508)),"United Arab Emirates",
ISNUMBER(SEARCH("rn""&gt;Republic of Ireland",S3508)),"Ireland",
ISNUMBER(SEARCH("rn""&gt;Bosnia and Herzegovina",S3508)),"Bosnia and Herzegovina",
ISNUMBER(SEARCH("rn""&gt;Trinidad and Tobago",S3508)),"Trinidad and Tobago",
ISNUMBER(SEARCH("rn""&gt;Serbia and Montenegro",S3508)),"Serbia and Montenegro",
ISNUMBER(SEARCH(_xlfn.UNICHAR(65533),S3508)),"Côte d'Ivoire",
TRUE,""
)</f>
        <v/>
      </c>
      <c r="W3508" s="40" t="str">
        <f t="shared" si="237"/>
        <v>Turkey</v>
      </c>
    </row>
    <row r="3509" spans="19:23">
      <c r="S3509" s="40" t="str">
        <v>Korea Republic</v>
      </c>
      <c r="T3509" s="40" t="str">
        <f t="shared" si="235"/>
        <v>ERREUR</v>
      </c>
      <c r="U3509" s="40" t="str">
        <f t="shared" si="236"/>
        <v>RENOMMER</v>
      </c>
      <c r="V3509" s="40" t="str" cm="1">
        <f t="array" ref="V3509">_xlfn.IFS(
ISNUMBER(SEARCH("USA",S3509)),"United States",
ISNUMBER(SEARCH("Republic of Ireland",S3509)),"Ireland",
ISNUMBER(SEARCH("Republic of Korea",S3509)),"South Korea",
ISNUMBER(SEARCH("Cape Verde",S3509)),"Cabo Verde",
ISNUMBER(SEARCH("Czechia",S3509)),"Czech Republic",
ISNUMBER(SEARCH("Türkiye",S3509)),"Turkey",
ISNUMBER(SEARCH("Ivory Coast",S3509)),"Côte d'Ivoire",
ISNUMBER(SEARCH("Korea Republic",S3509)),"South Korea",
ISNUMBER(SEARCH("Germany FR",S3509)),"FR Germany",
ISNUMBER(SEARCH("West Germany",S3509)),"FR Germany",
ISNUMBER(SEARCH("Germany DR",S3509)),"DR Germany",
ISNUMBER(SEARCH("Korea DPR",S3509)),"North Korea",
ISNUMBER(SEARCH("China PR",S3509)),"China",
ISNUMBER(SEARCH("IR Iran",S3509)),"Iran",
ISNUMBER(SEARCH("Congo DR",S3509)),"Democratic Republic of the Congo",
ISNUMBER(SEARCH("DR Congo",S3509)),"Democratic Republic of the Congo",
ISNUMBER(SEARCH("German DR",S3509)),"DR Germany",
ISNUMBER(SEARCH("rn""&gt;United Arab Emirates",S3509)),"United Arab Emirates",
ISNUMBER(SEARCH("rn""&gt;Republic of Ireland",S3509)),"Ireland",
ISNUMBER(SEARCH("rn""&gt;Bosnia and Herzegovina",S3509)),"Bosnia and Herzegovina",
ISNUMBER(SEARCH("rn""&gt;Trinidad and Tobago",S3509)),"Trinidad and Tobago",
ISNUMBER(SEARCH("rn""&gt;Serbia and Montenegro",S3509)),"Serbia and Montenegro",
ISNUMBER(SEARCH(_xlfn.UNICHAR(65533),S3509)),"Côte d'Ivoire",
TRUE,""
)</f>
        <v>South Korea</v>
      </c>
      <c r="W3509" s="40" t="str">
        <f t="shared" si="237"/>
        <v>South Korea</v>
      </c>
    </row>
    <row r="3510" spans="19:23">
      <c r="S3510" s="40" t="str">
        <v>Belgium</v>
      </c>
      <c r="T3510" s="40" t="str">
        <f t="shared" si="235"/>
        <v>OK</v>
      </c>
      <c r="U3510" s="40" t="str">
        <f t="shared" si="236"/>
        <v>-</v>
      </c>
      <c r="V3510" s="40" t="str" cm="1">
        <f t="array" ref="V3510">_xlfn.IFS(
ISNUMBER(SEARCH("USA",S3510)),"United States",
ISNUMBER(SEARCH("Republic of Ireland",S3510)),"Ireland",
ISNUMBER(SEARCH("Republic of Korea",S3510)),"South Korea",
ISNUMBER(SEARCH("Cape Verde",S3510)),"Cabo Verde",
ISNUMBER(SEARCH("Czechia",S3510)),"Czech Republic",
ISNUMBER(SEARCH("Türkiye",S3510)),"Turkey",
ISNUMBER(SEARCH("Ivory Coast",S3510)),"Côte d'Ivoire",
ISNUMBER(SEARCH("Korea Republic",S3510)),"South Korea",
ISNUMBER(SEARCH("Germany FR",S3510)),"FR Germany",
ISNUMBER(SEARCH("West Germany",S3510)),"FR Germany",
ISNUMBER(SEARCH("Germany DR",S3510)),"DR Germany",
ISNUMBER(SEARCH("Korea DPR",S3510)),"North Korea",
ISNUMBER(SEARCH("China PR",S3510)),"China",
ISNUMBER(SEARCH("IR Iran",S3510)),"Iran",
ISNUMBER(SEARCH("Congo DR",S3510)),"Democratic Republic of the Congo",
ISNUMBER(SEARCH("DR Congo",S3510)),"Democratic Republic of the Congo",
ISNUMBER(SEARCH("German DR",S3510)),"DR Germany",
ISNUMBER(SEARCH("rn""&gt;United Arab Emirates",S3510)),"United Arab Emirates",
ISNUMBER(SEARCH("rn""&gt;Republic of Ireland",S3510)),"Ireland",
ISNUMBER(SEARCH("rn""&gt;Bosnia and Herzegovina",S3510)),"Bosnia and Herzegovina",
ISNUMBER(SEARCH("rn""&gt;Trinidad and Tobago",S3510)),"Trinidad and Tobago",
ISNUMBER(SEARCH("rn""&gt;Serbia and Montenegro",S3510)),"Serbia and Montenegro",
ISNUMBER(SEARCH(_xlfn.UNICHAR(65533),S3510)),"Côte d'Ivoire",
TRUE,""
)</f>
        <v/>
      </c>
      <c r="W3510" s="40" t="str">
        <f t="shared" si="237"/>
        <v>Belgium</v>
      </c>
    </row>
    <row r="3511" spans="19:23">
      <c r="S3511" s="40" t="str">
        <v>Italy</v>
      </c>
      <c r="T3511" s="40" t="str">
        <f t="shared" si="235"/>
        <v>OK</v>
      </c>
      <c r="U3511" s="40" t="str">
        <f t="shared" si="236"/>
        <v>-</v>
      </c>
      <c r="V3511" s="40" t="str" cm="1">
        <f t="array" ref="V3511">_xlfn.IFS(
ISNUMBER(SEARCH("USA",S3511)),"United States",
ISNUMBER(SEARCH("Republic of Ireland",S3511)),"Ireland",
ISNUMBER(SEARCH("Republic of Korea",S3511)),"South Korea",
ISNUMBER(SEARCH("Cape Verde",S3511)),"Cabo Verde",
ISNUMBER(SEARCH("Czechia",S3511)),"Czech Republic",
ISNUMBER(SEARCH("Türkiye",S3511)),"Turkey",
ISNUMBER(SEARCH("Ivory Coast",S3511)),"Côte d'Ivoire",
ISNUMBER(SEARCH("Korea Republic",S3511)),"South Korea",
ISNUMBER(SEARCH("Germany FR",S3511)),"FR Germany",
ISNUMBER(SEARCH("West Germany",S3511)),"FR Germany",
ISNUMBER(SEARCH("Germany DR",S3511)),"DR Germany",
ISNUMBER(SEARCH("Korea DPR",S3511)),"North Korea",
ISNUMBER(SEARCH("China PR",S3511)),"China",
ISNUMBER(SEARCH("IR Iran",S3511)),"Iran",
ISNUMBER(SEARCH("Congo DR",S3511)),"Democratic Republic of the Congo",
ISNUMBER(SEARCH("DR Congo",S3511)),"Democratic Republic of the Congo",
ISNUMBER(SEARCH("German DR",S3511)),"DR Germany",
ISNUMBER(SEARCH("rn""&gt;United Arab Emirates",S3511)),"United Arab Emirates",
ISNUMBER(SEARCH("rn""&gt;Republic of Ireland",S3511)),"Ireland",
ISNUMBER(SEARCH("rn""&gt;Bosnia and Herzegovina",S3511)),"Bosnia and Herzegovina",
ISNUMBER(SEARCH("rn""&gt;Trinidad and Tobago",S3511)),"Trinidad and Tobago",
ISNUMBER(SEARCH("rn""&gt;Serbia and Montenegro",S3511)),"Serbia and Montenegro",
ISNUMBER(SEARCH(_xlfn.UNICHAR(65533),S3511)),"Côte d'Ivoire",
TRUE,""
)</f>
        <v/>
      </c>
      <c r="W3511" s="40" t="str">
        <f t="shared" si="237"/>
        <v>Italy</v>
      </c>
    </row>
    <row r="3512" spans="19:23">
      <c r="S3512" s="40" t="str">
        <v>Scotland</v>
      </c>
      <c r="T3512" s="40" t="str">
        <f t="shared" si="235"/>
        <v>ERREUR</v>
      </c>
      <c r="U3512" s="40" t="str">
        <f t="shared" si="236"/>
        <v>AUCUNE</v>
      </c>
      <c r="V3512" s="40" t="str" cm="1">
        <f t="array" ref="V3512">_xlfn.IFS(
ISNUMBER(SEARCH("USA",S3512)),"United States",
ISNUMBER(SEARCH("Republic of Ireland",S3512)),"Ireland",
ISNUMBER(SEARCH("Republic of Korea",S3512)),"South Korea",
ISNUMBER(SEARCH("Cape Verde",S3512)),"Cabo Verde",
ISNUMBER(SEARCH("Czechia",S3512)),"Czech Republic",
ISNUMBER(SEARCH("Türkiye",S3512)),"Turkey",
ISNUMBER(SEARCH("Ivory Coast",S3512)),"Côte d'Ivoire",
ISNUMBER(SEARCH("Korea Republic",S3512)),"South Korea",
ISNUMBER(SEARCH("Germany FR",S3512)),"FR Germany",
ISNUMBER(SEARCH("West Germany",S3512)),"FR Germany",
ISNUMBER(SEARCH("Germany DR",S3512)),"DR Germany",
ISNUMBER(SEARCH("Korea DPR",S3512)),"North Korea",
ISNUMBER(SEARCH("China PR",S3512)),"China",
ISNUMBER(SEARCH("IR Iran",S3512)),"Iran",
ISNUMBER(SEARCH("Congo DR",S3512)),"Democratic Republic of the Congo",
ISNUMBER(SEARCH("DR Congo",S3512)),"Democratic Republic of the Congo",
ISNUMBER(SEARCH("German DR",S3512)),"DR Germany",
ISNUMBER(SEARCH("rn""&gt;United Arab Emirates",S3512)),"United Arab Emirates",
ISNUMBER(SEARCH("rn""&gt;Republic of Ireland",S3512)),"Ireland",
ISNUMBER(SEARCH("rn""&gt;Bosnia and Herzegovina",S3512)),"Bosnia and Herzegovina",
ISNUMBER(SEARCH("rn""&gt;Trinidad and Tobago",S3512)),"Trinidad and Tobago",
ISNUMBER(SEARCH("rn""&gt;Serbia and Montenegro",S3512)),"Serbia and Montenegro",
ISNUMBER(SEARCH(_xlfn.UNICHAR(65533),S3512)),"Côte d'Ivoire",
TRUE,""
)</f>
        <v/>
      </c>
      <c r="W3512" s="40" t="str">
        <f t="shared" si="237"/>
        <v>Scotland</v>
      </c>
    </row>
    <row r="3513" spans="19:23">
      <c r="S3513" s="40" t="str">
        <v>Czechoslovakia</v>
      </c>
      <c r="T3513" s="40" t="str">
        <f t="shared" si="235"/>
        <v>ERREUR</v>
      </c>
      <c r="U3513" s="40" t="str">
        <f t="shared" si="236"/>
        <v>AUCUNE</v>
      </c>
      <c r="V3513" s="40" t="str" cm="1">
        <f t="array" ref="V3513">_xlfn.IFS(
ISNUMBER(SEARCH("USA",S3513)),"United States",
ISNUMBER(SEARCH("Republic of Ireland",S3513)),"Ireland",
ISNUMBER(SEARCH("Republic of Korea",S3513)),"South Korea",
ISNUMBER(SEARCH("Cape Verde",S3513)),"Cabo Verde",
ISNUMBER(SEARCH("Czechia",S3513)),"Czech Republic",
ISNUMBER(SEARCH("Türkiye",S3513)),"Turkey",
ISNUMBER(SEARCH("Ivory Coast",S3513)),"Côte d'Ivoire",
ISNUMBER(SEARCH("Korea Republic",S3513)),"South Korea",
ISNUMBER(SEARCH("Germany FR",S3513)),"FR Germany",
ISNUMBER(SEARCH("West Germany",S3513)),"FR Germany",
ISNUMBER(SEARCH("Germany DR",S3513)),"DR Germany",
ISNUMBER(SEARCH("Korea DPR",S3513)),"North Korea",
ISNUMBER(SEARCH("China PR",S3513)),"China",
ISNUMBER(SEARCH("IR Iran",S3513)),"Iran",
ISNUMBER(SEARCH("Congo DR",S3513)),"Democratic Republic of the Congo",
ISNUMBER(SEARCH("DR Congo",S3513)),"Democratic Republic of the Congo",
ISNUMBER(SEARCH("German DR",S3513)),"DR Germany",
ISNUMBER(SEARCH("rn""&gt;United Arab Emirates",S3513)),"United Arab Emirates",
ISNUMBER(SEARCH("rn""&gt;Republic of Ireland",S3513)),"Ireland",
ISNUMBER(SEARCH("rn""&gt;Bosnia and Herzegovina",S3513)),"Bosnia and Herzegovina",
ISNUMBER(SEARCH("rn""&gt;Trinidad and Tobago",S3513)),"Trinidad and Tobago",
ISNUMBER(SEARCH("rn""&gt;Serbia and Montenegro",S3513)),"Serbia and Montenegro",
ISNUMBER(SEARCH(_xlfn.UNICHAR(65533),S3513)),"Côte d'Ivoire",
TRUE,""
)</f>
        <v/>
      </c>
      <c r="W3513" s="40" t="str">
        <f t="shared" si="237"/>
        <v>Czechoslovakia</v>
      </c>
    </row>
    <row r="3514" spans="19:23">
      <c r="S3514" s="40" t="str">
        <v>Mexico</v>
      </c>
      <c r="T3514" s="40" t="str">
        <f t="shared" si="235"/>
        <v>OK</v>
      </c>
      <c r="U3514" s="40" t="str">
        <f t="shared" si="236"/>
        <v>-</v>
      </c>
      <c r="V3514" s="40" t="str" cm="1">
        <f t="array" ref="V3514">_xlfn.IFS(
ISNUMBER(SEARCH("USA",S3514)),"United States",
ISNUMBER(SEARCH("Republic of Ireland",S3514)),"Ireland",
ISNUMBER(SEARCH("Republic of Korea",S3514)),"South Korea",
ISNUMBER(SEARCH("Cape Verde",S3514)),"Cabo Verde",
ISNUMBER(SEARCH("Czechia",S3514)),"Czech Republic",
ISNUMBER(SEARCH("Türkiye",S3514)),"Turkey",
ISNUMBER(SEARCH("Ivory Coast",S3514)),"Côte d'Ivoire",
ISNUMBER(SEARCH("Korea Republic",S3514)),"South Korea",
ISNUMBER(SEARCH("Germany FR",S3514)),"FR Germany",
ISNUMBER(SEARCH("West Germany",S3514)),"FR Germany",
ISNUMBER(SEARCH("Germany DR",S3514)),"DR Germany",
ISNUMBER(SEARCH("Korea DPR",S3514)),"North Korea",
ISNUMBER(SEARCH("China PR",S3514)),"China",
ISNUMBER(SEARCH("IR Iran",S3514)),"Iran",
ISNUMBER(SEARCH("Congo DR",S3514)),"Democratic Republic of the Congo",
ISNUMBER(SEARCH("DR Congo",S3514)),"Democratic Republic of the Congo",
ISNUMBER(SEARCH("German DR",S3514)),"DR Germany",
ISNUMBER(SEARCH("rn""&gt;United Arab Emirates",S3514)),"United Arab Emirates",
ISNUMBER(SEARCH("rn""&gt;Republic of Ireland",S3514)),"Ireland",
ISNUMBER(SEARCH("rn""&gt;Bosnia and Herzegovina",S3514)),"Bosnia and Herzegovina",
ISNUMBER(SEARCH("rn""&gt;Trinidad and Tobago",S3514)),"Trinidad and Tobago",
ISNUMBER(SEARCH("rn""&gt;Serbia and Montenegro",S3514)),"Serbia and Montenegro",
ISNUMBER(SEARCH(_xlfn.UNICHAR(65533),S3514)),"Côte d'Ivoire",
TRUE,""
)</f>
        <v/>
      </c>
      <c r="W3514" s="40" t="str">
        <f t="shared" si="237"/>
        <v>Mexico</v>
      </c>
    </row>
    <row r="3515" spans="19:23">
      <c r="S3515" s="40" t="str">
        <v>Yugoslavia</v>
      </c>
      <c r="T3515" s="40" t="str">
        <f t="shared" si="235"/>
        <v>ERREUR</v>
      </c>
      <c r="U3515" s="40" t="str">
        <f t="shared" si="236"/>
        <v>AUCUNE</v>
      </c>
      <c r="V3515" s="40" t="str" cm="1">
        <f t="array" ref="V3515">_xlfn.IFS(
ISNUMBER(SEARCH("USA",S3515)),"United States",
ISNUMBER(SEARCH("Republic of Ireland",S3515)),"Ireland",
ISNUMBER(SEARCH("Republic of Korea",S3515)),"South Korea",
ISNUMBER(SEARCH("Cape Verde",S3515)),"Cabo Verde",
ISNUMBER(SEARCH("Czechia",S3515)),"Czech Republic",
ISNUMBER(SEARCH("Türkiye",S3515)),"Turkey",
ISNUMBER(SEARCH("Ivory Coast",S3515)),"Côte d'Ivoire",
ISNUMBER(SEARCH("Korea Republic",S3515)),"South Korea",
ISNUMBER(SEARCH("Germany FR",S3515)),"FR Germany",
ISNUMBER(SEARCH("West Germany",S3515)),"FR Germany",
ISNUMBER(SEARCH("Germany DR",S3515)),"DR Germany",
ISNUMBER(SEARCH("Korea DPR",S3515)),"North Korea",
ISNUMBER(SEARCH("China PR",S3515)),"China",
ISNUMBER(SEARCH("IR Iran",S3515)),"Iran",
ISNUMBER(SEARCH("Congo DR",S3515)),"Democratic Republic of the Congo",
ISNUMBER(SEARCH("DR Congo",S3515)),"Democratic Republic of the Congo",
ISNUMBER(SEARCH("German DR",S3515)),"DR Germany",
ISNUMBER(SEARCH("rn""&gt;United Arab Emirates",S3515)),"United Arab Emirates",
ISNUMBER(SEARCH("rn""&gt;Republic of Ireland",S3515)),"Ireland",
ISNUMBER(SEARCH("rn""&gt;Bosnia and Herzegovina",S3515)),"Bosnia and Herzegovina",
ISNUMBER(SEARCH("rn""&gt;Trinidad and Tobago",S3515)),"Trinidad and Tobago",
ISNUMBER(SEARCH("rn""&gt;Serbia and Montenegro",S3515)),"Serbia and Montenegro",
ISNUMBER(SEARCH(_xlfn.UNICHAR(65533),S3515)),"Côte d'Ivoire",
TRUE,""
)</f>
        <v/>
      </c>
      <c r="W3515" s="40" t="str">
        <f t="shared" si="237"/>
        <v>Yugoslavia</v>
      </c>
    </row>
    <row r="3516" spans="19:23">
      <c r="S3516" s="40" t="str">
        <v>Germany FR</v>
      </c>
      <c r="T3516" s="40" t="str">
        <f t="shared" si="235"/>
        <v>ERREUR</v>
      </c>
      <c r="U3516" s="40" t="str">
        <f t="shared" si="236"/>
        <v>RENOMMER</v>
      </c>
      <c r="V3516" s="40" t="str" cm="1">
        <f t="array" ref="V3516">_xlfn.IFS(
ISNUMBER(SEARCH("USA",S3516)),"United States",
ISNUMBER(SEARCH("Republic of Ireland",S3516)),"Ireland",
ISNUMBER(SEARCH("Republic of Korea",S3516)),"South Korea",
ISNUMBER(SEARCH("Cape Verde",S3516)),"Cabo Verde",
ISNUMBER(SEARCH("Czechia",S3516)),"Czech Republic",
ISNUMBER(SEARCH("Türkiye",S3516)),"Turkey",
ISNUMBER(SEARCH("Ivory Coast",S3516)),"Côte d'Ivoire",
ISNUMBER(SEARCH("Korea Republic",S3516)),"South Korea",
ISNUMBER(SEARCH("Germany FR",S3516)),"FR Germany",
ISNUMBER(SEARCH("West Germany",S3516)),"FR Germany",
ISNUMBER(SEARCH("Germany DR",S3516)),"DR Germany",
ISNUMBER(SEARCH("Korea DPR",S3516)),"North Korea",
ISNUMBER(SEARCH("China PR",S3516)),"China",
ISNUMBER(SEARCH("IR Iran",S3516)),"Iran",
ISNUMBER(SEARCH("Congo DR",S3516)),"Democratic Republic of the Congo",
ISNUMBER(SEARCH("DR Congo",S3516)),"Democratic Republic of the Congo",
ISNUMBER(SEARCH("German DR",S3516)),"DR Germany",
ISNUMBER(SEARCH("rn""&gt;United Arab Emirates",S3516)),"United Arab Emirates",
ISNUMBER(SEARCH("rn""&gt;Republic of Ireland",S3516)),"Ireland",
ISNUMBER(SEARCH("rn""&gt;Bosnia and Herzegovina",S3516)),"Bosnia and Herzegovina",
ISNUMBER(SEARCH("rn""&gt;Trinidad and Tobago",S3516)),"Trinidad and Tobago",
ISNUMBER(SEARCH("rn""&gt;Serbia and Montenegro",S3516)),"Serbia and Montenegro",
ISNUMBER(SEARCH(_xlfn.UNICHAR(65533),S3516)),"Côte d'Ivoire",
TRUE,""
)</f>
        <v>FR Germany</v>
      </c>
      <c r="W3516" s="40" t="str">
        <f t="shared" si="237"/>
        <v>FR Germany</v>
      </c>
    </row>
    <row r="3517" spans="19:23">
      <c r="S3517" s="40" t="str">
        <v>Korea Republic</v>
      </c>
      <c r="T3517" s="40" t="str">
        <f t="shared" si="235"/>
        <v>ERREUR</v>
      </c>
      <c r="U3517" s="40" t="str">
        <f t="shared" si="236"/>
        <v>RENOMMER</v>
      </c>
      <c r="V3517" s="40" t="str" cm="1">
        <f t="array" ref="V3517">_xlfn.IFS(
ISNUMBER(SEARCH("USA",S3517)),"United States",
ISNUMBER(SEARCH("Republic of Ireland",S3517)),"Ireland",
ISNUMBER(SEARCH("Republic of Korea",S3517)),"South Korea",
ISNUMBER(SEARCH("Cape Verde",S3517)),"Cabo Verde",
ISNUMBER(SEARCH("Czechia",S3517)),"Czech Republic",
ISNUMBER(SEARCH("Türkiye",S3517)),"Turkey",
ISNUMBER(SEARCH("Ivory Coast",S3517)),"Côte d'Ivoire",
ISNUMBER(SEARCH("Korea Republic",S3517)),"South Korea",
ISNUMBER(SEARCH("Germany FR",S3517)),"FR Germany",
ISNUMBER(SEARCH("West Germany",S3517)),"FR Germany",
ISNUMBER(SEARCH("Germany DR",S3517)),"DR Germany",
ISNUMBER(SEARCH("Korea DPR",S3517)),"North Korea",
ISNUMBER(SEARCH("China PR",S3517)),"China",
ISNUMBER(SEARCH("IR Iran",S3517)),"Iran",
ISNUMBER(SEARCH("Congo DR",S3517)),"Democratic Republic of the Congo",
ISNUMBER(SEARCH("DR Congo",S3517)),"Democratic Republic of the Congo",
ISNUMBER(SEARCH("German DR",S3517)),"DR Germany",
ISNUMBER(SEARCH("rn""&gt;United Arab Emirates",S3517)),"United Arab Emirates",
ISNUMBER(SEARCH("rn""&gt;Republic of Ireland",S3517)),"Ireland",
ISNUMBER(SEARCH("rn""&gt;Bosnia and Herzegovina",S3517)),"Bosnia and Herzegovina",
ISNUMBER(SEARCH("rn""&gt;Trinidad and Tobago",S3517)),"Trinidad and Tobago",
ISNUMBER(SEARCH("rn""&gt;Serbia and Montenegro",S3517)),"Serbia and Montenegro",
ISNUMBER(SEARCH(_xlfn.UNICHAR(65533),S3517)),"Côte d'Ivoire",
TRUE,""
)</f>
        <v>South Korea</v>
      </c>
      <c r="W3517" s="40" t="str">
        <f t="shared" si="237"/>
        <v>South Korea</v>
      </c>
    </row>
    <row r="3518" spans="19:23">
      <c r="S3518" s="40" t="str">
        <v>Switzerland</v>
      </c>
      <c r="T3518" s="40" t="str">
        <f t="shared" si="235"/>
        <v>OK</v>
      </c>
      <c r="U3518" s="40" t="str">
        <f t="shared" si="236"/>
        <v>-</v>
      </c>
      <c r="V3518" s="40" t="str" cm="1">
        <f t="array" ref="V3518">_xlfn.IFS(
ISNUMBER(SEARCH("USA",S3518)),"United States",
ISNUMBER(SEARCH("Republic of Ireland",S3518)),"Ireland",
ISNUMBER(SEARCH("Republic of Korea",S3518)),"South Korea",
ISNUMBER(SEARCH("Cape Verde",S3518)),"Cabo Verde",
ISNUMBER(SEARCH("Czechia",S3518)),"Czech Republic",
ISNUMBER(SEARCH("Türkiye",S3518)),"Turkey",
ISNUMBER(SEARCH("Ivory Coast",S3518)),"Côte d'Ivoire",
ISNUMBER(SEARCH("Korea Republic",S3518)),"South Korea",
ISNUMBER(SEARCH("Germany FR",S3518)),"FR Germany",
ISNUMBER(SEARCH("West Germany",S3518)),"FR Germany",
ISNUMBER(SEARCH("Germany DR",S3518)),"DR Germany",
ISNUMBER(SEARCH("Korea DPR",S3518)),"North Korea",
ISNUMBER(SEARCH("China PR",S3518)),"China",
ISNUMBER(SEARCH("IR Iran",S3518)),"Iran",
ISNUMBER(SEARCH("Congo DR",S3518)),"Democratic Republic of the Congo",
ISNUMBER(SEARCH("DR Congo",S3518)),"Democratic Republic of the Congo",
ISNUMBER(SEARCH("German DR",S3518)),"DR Germany",
ISNUMBER(SEARCH("rn""&gt;United Arab Emirates",S3518)),"United Arab Emirates",
ISNUMBER(SEARCH("rn""&gt;Republic of Ireland",S3518)),"Ireland",
ISNUMBER(SEARCH("rn""&gt;Bosnia and Herzegovina",S3518)),"Bosnia and Herzegovina",
ISNUMBER(SEARCH("rn""&gt;Trinidad and Tobago",S3518)),"Trinidad and Tobago",
ISNUMBER(SEARCH("rn""&gt;Serbia and Montenegro",S3518)),"Serbia and Montenegro",
ISNUMBER(SEARCH(_xlfn.UNICHAR(65533),S3518)),"Côte d'Ivoire",
TRUE,""
)</f>
        <v/>
      </c>
      <c r="W3518" s="40" t="str">
        <f t="shared" si="237"/>
        <v>Switzerland</v>
      </c>
    </row>
    <row r="3519" spans="19:23">
      <c r="S3519" s="40" t="str">
        <v>Belgium</v>
      </c>
      <c r="T3519" s="40" t="str">
        <f t="shared" si="235"/>
        <v>OK</v>
      </c>
      <c r="U3519" s="40" t="str">
        <f t="shared" si="236"/>
        <v>-</v>
      </c>
      <c r="V3519" s="40" t="str" cm="1">
        <f t="array" ref="V3519">_xlfn.IFS(
ISNUMBER(SEARCH("USA",S3519)),"United States",
ISNUMBER(SEARCH("Republic of Ireland",S3519)),"Ireland",
ISNUMBER(SEARCH("Republic of Korea",S3519)),"South Korea",
ISNUMBER(SEARCH("Cape Verde",S3519)),"Cabo Verde",
ISNUMBER(SEARCH("Czechia",S3519)),"Czech Republic",
ISNUMBER(SEARCH("Türkiye",S3519)),"Turkey",
ISNUMBER(SEARCH("Ivory Coast",S3519)),"Côte d'Ivoire",
ISNUMBER(SEARCH("Korea Republic",S3519)),"South Korea",
ISNUMBER(SEARCH("Germany FR",S3519)),"FR Germany",
ISNUMBER(SEARCH("West Germany",S3519)),"FR Germany",
ISNUMBER(SEARCH("Germany DR",S3519)),"DR Germany",
ISNUMBER(SEARCH("Korea DPR",S3519)),"North Korea",
ISNUMBER(SEARCH("China PR",S3519)),"China",
ISNUMBER(SEARCH("IR Iran",S3519)),"Iran",
ISNUMBER(SEARCH("Congo DR",S3519)),"Democratic Republic of the Congo",
ISNUMBER(SEARCH("DR Congo",S3519)),"Democratic Republic of the Congo",
ISNUMBER(SEARCH("German DR",S3519)),"DR Germany",
ISNUMBER(SEARCH("rn""&gt;United Arab Emirates",S3519)),"United Arab Emirates",
ISNUMBER(SEARCH("rn""&gt;Republic of Ireland",S3519)),"Ireland",
ISNUMBER(SEARCH("rn""&gt;Bosnia and Herzegovina",S3519)),"Bosnia and Herzegovina",
ISNUMBER(SEARCH("rn""&gt;Trinidad and Tobago",S3519)),"Trinidad and Tobago",
ISNUMBER(SEARCH("rn""&gt;Serbia and Montenegro",S3519)),"Serbia and Montenegro",
ISNUMBER(SEARCH(_xlfn.UNICHAR(65533),S3519)),"Côte d'Ivoire",
TRUE,""
)</f>
        <v/>
      </c>
      <c r="W3519" s="40" t="str">
        <f t="shared" si="237"/>
        <v>Belgium</v>
      </c>
    </row>
    <row r="3520" spans="19:23">
      <c r="S3520" s="40" t="str">
        <v>Turkey</v>
      </c>
      <c r="T3520" s="40" t="str">
        <f t="shared" si="235"/>
        <v>OK</v>
      </c>
      <c r="U3520" s="40" t="str">
        <f t="shared" si="236"/>
        <v>-</v>
      </c>
      <c r="V3520" s="40" t="str" cm="1">
        <f t="array" ref="V3520">_xlfn.IFS(
ISNUMBER(SEARCH("USA",S3520)),"United States",
ISNUMBER(SEARCH("Republic of Ireland",S3520)),"Ireland",
ISNUMBER(SEARCH("Republic of Korea",S3520)),"South Korea",
ISNUMBER(SEARCH("Cape Verde",S3520)),"Cabo Verde",
ISNUMBER(SEARCH("Czechia",S3520)),"Czech Republic",
ISNUMBER(SEARCH("Türkiye",S3520)),"Turkey",
ISNUMBER(SEARCH("Ivory Coast",S3520)),"Côte d'Ivoire",
ISNUMBER(SEARCH("Korea Republic",S3520)),"South Korea",
ISNUMBER(SEARCH("Germany FR",S3520)),"FR Germany",
ISNUMBER(SEARCH("West Germany",S3520)),"FR Germany",
ISNUMBER(SEARCH("Germany DR",S3520)),"DR Germany",
ISNUMBER(SEARCH("Korea DPR",S3520)),"North Korea",
ISNUMBER(SEARCH("China PR",S3520)),"China",
ISNUMBER(SEARCH("IR Iran",S3520)),"Iran",
ISNUMBER(SEARCH("Congo DR",S3520)),"Democratic Republic of the Congo",
ISNUMBER(SEARCH("DR Congo",S3520)),"Democratic Republic of the Congo",
ISNUMBER(SEARCH("German DR",S3520)),"DR Germany",
ISNUMBER(SEARCH("rn""&gt;United Arab Emirates",S3520)),"United Arab Emirates",
ISNUMBER(SEARCH("rn""&gt;Republic of Ireland",S3520)),"Ireland",
ISNUMBER(SEARCH("rn""&gt;Bosnia and Herzegovina",S3520)),"Bosnia and Herzegovina",
ISNUMBER(SEARCH("rn""&gt;Trinidad and Tobago",S3520)),"Trinidad and Tobago",
ISNUMBER(SEARCH("rn""&gt;Serbia and Montenegro",S3520)),"Serbia and Montenegro",
ISNUMBER(SEARCH(_xlfn.UNICHAR(65533),S3520)),"Côte d'Ivoire",
TRUE,""
)</f>
        <v/>
      </c>
      <c r="W3520" s="40" t="str">
        <f t="shared" si="237"/>
        <v>Turkey</v>
      </c>
    </row>
    <row r="3521" spans="19:23">
      <c r="S3521" s="40" t="str">
        <v>Italy</v>
      </c>
      <c r="T3521" s="40" t="str">
        <f t="shared" si="235"/>
        <v>OK</v>
      </c>
      <c r="U3521" s="40" t="str">
        <f t="shared" si="236"/>
        <v>-</v>
      </c>
      <c r="V3521" s="40" t="str" cm="1">
        <f t="array" ref="V3521">_xlfn.IFS(
ISNUMBER(SEARCH("USA",S3521)),"United States",
ISNUMBER(SEARCH("Republic of Ireland",S3521)),"Ireland",
ISNUMBER(SEARCH("Republic of Korea",S3521)),"South Korea",
ISNUMBER(SEARCH("Cape Verde",S3521)),"Cabo Verde",
ISNUMBER(SEARCH("Czechia",S3521)),"Czech Republic",
ISNUMBER(SEARCH("Türkiye",S3521)),"Turkey",
ISNUMBER(SEARCH("Ivory Coast",S3521)),"Côte d'Ivoire",
ISNUMBER(SEARCH("Korea Republic",S3521)),"South Korea",
ISNUMBER(SEARCH("Germany FR",S3521)),"FR Germany",
ISNUMBER(SEARCH("West Germany",S3521)),"FR Germany",
ISNUMBER(SEARCH("Germany DR",S3521)),"DR Germany",
ISNUMBER(SEARCH("Korea DPR",S3521)),"North Korea",
ISNUMBER(SEARCH("China PR",S3521)),"China",
ISNUMBER(SEARCH("IR Iran",S3521)),"Iran",
ISNUMBER(SEARCH("Congo DR",S3521)),"Democratic Republic of the Congo",
ISNUMBER(SEARCH("DR Congo",S3521)),"Democratic Republic of the Congo",
ISNUMBER(SEARCH("German DR",S3521)),"DR Germany",
ISNUMBER(SEARCH("rn""&gt;United Arab Emirates",S3521)),"United Arab Emirates",
ISNUMBER(SEARCH("rn""&gt;Republic of Ireland",S3521)),"Ireland",
ISNUMBER(SEARCH("rn""&gt;Bosnia and Herzegovina",S3521)),"Bosnia and Herzegovina",
ISNUMBER(SEARCH("rn""&gt;Trinidad and Tobago",S3521)),"Trinidad and Tobago",
ISNUMBER(SEARCH("rn""&gt;Serbia and Montenegro",S3521)),"Serbia and Montenegro",
ISNUMBER(SEARCH(_xlfn.UNICHAR(65533),S3521)),"Côte d'Ivoire",
TRUE,""
)</f>
        <v/>
      </c>
      <c r="W3521" s="40" t="str">
        <f t="shared" si="237"/>
        <v>Italy</v>
      </c>
    </row>
    <row r="3522" spans="19:23">
      <c r="S3522" s="40" t="str">
        <v>England</v>
      </c>
      <c r="T3522" s="40" t="str">
        <f t="shared" si="235"/>
        <v>ERREUR</v>
      </c>
      <c r="U3522" s="40" t="str">
        <f t="shared" si="236"/>
        <v>AUCUNE</v>
      </c>
      <c r="V3522" s="40" t="str" cm="1">
        <f t="array" ref="V3522">_xlfn.IFS(
ISNUMBER(SEARCH("USA",S3522)),"United States",
ISNUMBER(SEARCH("Republic of Ireland",S3522)),"Ireland",
ISNUMBER(SEARCH("Republic of Korea",S3522)),"South Korea",
ISNUMBER(SEARCH("Cape Verde",S3522)),"Cabo Verde",
ISNUMBER(SEARCH("Czechia",S3522)),"Czech Republic",
ISNUMBER(SEARCH("Türkiye",S3522)),"Turkey",
ISNUMBER(SEARCH("Ivory Coast",S3522)),"Côte d'Ivoire",
ISNUMBER(SEARCH("Korea Republic",S3522)),"South Korea",
ISNUMBER(SEARCH("Germany FR",S3522)),"FR Germany",
ISNUMBER(SEARCH("West Germany",S3522)),"FR Germany",
ISNUMBER(SEARCH("Germany DR",S3522)),"DR Germany",
ISNUMBER(SEARCH("Korea DPR",S3522)),"North Korea",
ISNUMBER(SEARCH("China PR",S3522)),"China",
ISNUMBER(SEARCH("IR Iran",S3522)),"Iran",
ISNUMBER(SEARCH("Congo DR",S3522)),"Democratic Republic of the Congo",
ISNUMBER(SEARCH("DR Congo",S3522)),"Democratic Republic of the Congo",
ISNUMBER(SEARCH("German DR",S3522)),"DR Germany",
ISNUMBER(SEARCH("rn""&gt;United Arab Emirates",S3522)),"United Arab Emirates",
ISNUMBER(SEARCH("rn""&gt;Republic of Ireland",S3522)),"Ireland",
ISNUMBER(SEARCH("rn""&gt;Bosnia and Herzegovina",S3522)),"Bosnia and Herzegovina",
ISNUMBER(SEARCH("rn""&gt;Trinidad and Tobago",S3522)),"Trinidad and Tobago",
ISNUMBER(SEARCH("rn""&gt;Serbia and Montenegro",S3522)),"Serbia and Montenegro",
ISNUMBER(SEARCH(_xlfn.UNICHAR(65533),S3522)),"Côte d'Ivoire",
TRUE,""
)</f>
        <v/>
      </c>
      <c r="W3522" s="40" t="str">
        <f t="shared" si="237"/>
        <v>England</v>
      </c>
    </row>
    <row r="3523" spans="19:23">
      <c r="S3523" s="40" t="str">
        <v>Switzerland</v>
      </c>
      <c r="T3523" s="40" t="str">
        <f t="shared" ref="T3523:T3586" si="238">IF(COUNTIF(R$13:R$250,S3523)=1,"OK","ERREUR")</f>
        <v>OK</v>
      </c>
      <c r="U3523" s="40" t="str">
        <f t="shared" si="236"/>
        <v>-</v>
      </c>
      <c r="V3523" s="40" t="str" cm="1">
        <f t="array" ref="V3523">_xlfn.IFS(
ISNUMBER(SEARCH("USA",S3523)),"United States",
ISNUMBER(SEARCH("Republic of Ireland",S3523)),"Ireland",
ISNUMBER(SEARCH("Republic of Korea",S3523)),"South Korea",
ISNUMBER(SEARCH("Cape Verde",S3523)),"Cabo Verde",
ISNUMBER(SEARCH("Czechia",S3523)),"Czech Republic",
ISNUMBER(SEARCH("Türkiye",S3523)),"Turkey",
ISNUMBER(SEARCH("Ivory Coast",S3523)),"Côte d'Ivoire",
ISNUMBER(SEARCH("Korea Republic",S3523)),"South Korea",
ISNUMBER(SEARCH("Germany FR",S3523)),"FR Germany",
ISNUMBER(SEARCH("West Germany",S3523)),"FR Germany",
ISNUMBER(SEARCH("Germany DR",S3523)),"DR Germany",
ISNUMBER(SEARCH("Korea DPR",S3523)),"North Korea",
ISNUMBER(SEARCH("China PR",S3523)),"China",
ISNUMBER(SEARCH("IR Iran",S3523)),"Iran",
ISNUMBER(SEARCH("Congo DR",S3523)),"Democratic Republic of the Congo",
ISNUMBER(SEARCH("DR Congo",S3523)),"Democratic Republic of the Congo",
ISNUMBER(SEARCH("German DR",S3523)),"DR Germany",
ISNUMBER(SEARCH("rn""&gt;United Arab Emirates",S3523)),"United Arab Emirates",
ISNUMBER(SEARCH("rn""&gt;Republic of Ireland",S3523)),"Ireland",
ISNUMBER(SEARCH("rn""&gt;Bosnia and Herzegovina",S3523)),"Bosnia and Herzegovina",
ISNUMBER(SEARCH("rn""&gt;Trinidad and Tobago",S3523)),"Trinidad and Tobago",
ISNUMBER(SEARCH("rn""&gt;Serbia and Montenegro",S3523)),"Serbia and Montenegro",
ISNUMBER(SEARCH(_xlfn.UNICHAR(65533),S3523)),"Côte d'Ivoire",
TRUE,""
)</f>
        <v/>
      </c>
      <c r="W3523" s="40" t="str">
        <f t="shared" si="237"/>
        <v>Switzerland</v>
      </c>
    </row>
    <row r="3524" spans="19:23">
      <c r="S3524" s="40" t="str">
        <v>Yugoslavia</v>
      </c>
      <c r="T3524" s="40" t="str">
        <f t="shared" si="238"/>
        <v>ERREUR</v>
      </c>
      <c r="U3524" s="40" t="str">
        <f t="shared" ref="U3524:U3587" si="239">IF(OR(S3524="Scotland",S3524="England",S3524="Wales",S3524="Yugoslavia",S3524="Czechoslovakia",S3524="Northern Ireland",S3524="Soviet Union",S3524="Zaire",S3524="Dutch East Indies"),"AUCUNE",IF(OR(S3524="Cape Verde",S3524="USA",S3524="DR Congo",S3524="Republic of Korea",S3524="Germany FR",S3524="Germany DR",S3524="Czechia",S3524="Ivory Coast",S3524="Korea DPR",S3524="China PR",S3524="IR Iran",S3524="Türkiye",S3524="Congo DR",S3524="German DR",S3524="West Germany",S3524="Republic of Ireland",ISNUMBER(SEARCH(_xlfn.UNICHAR(65533),S3524)),S3524="Korea Republic",ISNUMBER(SEARCH("rn""&gt;United Arab Emirates",S3524)),ISNUMBER(SEARCH("rn""&gt;Republic of Ireland",S3524)),ISNUMBER(SEARCH("rn""&gt;Bosnia and Herzegovina",S3524)),ISNUMBER(SEARCH("rn""&gt;Trinidad and Tobago",S3524)),ISNUMBER(SEARCH("rn""&gt;Serbia and Montenegro",S3524)),ISNUMBER(SEARCH(_xlfn.UNICHAR(65533),S3524))),"RENOMMER","-"))</f>
        <v>AUCUNE</v>
      </c>
      <c r="V3524" s="40" t="str" cm="1">
        <f t="array" ref="V3524">_xlfn.IFS(
ISNUMBER(SEARCH("USA",S3524)),"United States",
ISNUMBER(SEARCH("Republic of Ireland",S3524)),"Ireland",
ISNUMBER(SEARCH("Republic of Korea",S3524)),"South Korea",
ISNUMBER(SEARCH("Cape Verde",S3524)),"Cabo Verde",
ISNUMBER(SEARCH("Czechia",S3524)),"Czech Republic",
ISNUMBER(SEARCH("Türkiye",S3524)),"Turkey",
ISNUMBER(SEARCH("Ivory Coast",S3524)),"Côte d'Ivoire",
ISNUMBER(SEARCH("Korea Republic",S3524)),"South Korea",
ISNUMBER(SEARCH("Germany FR",S3524)),"FR Germany",
ISNUMBER(SEARCH("West Germany",S3524)),"FR Germany",
ISNUMBER(SEARCH("Germany DR",S3524)),"DR Germany",
ISNUMBER(SEARCH("Korea DPR",S3524)),"North Korea",
ISNUMBER(SEARCH("China PR",S3524)),"China",
ISNUMBER(SEARCH("IR Iran",S3524)),"Iran",
ISNUMBER(SEARCH("Congo DR",S3524)),"Democratic Republic of the Congo",
ISNUMBER(SEARCH("DR Congo",S3524)),"Democratic Republic of the Congo",
ISNUMBER(SEARCH("German DR",S3524)),"DR Germany",
ISNUMBER(SEARCH("rn""&gt;United Arab Emirates",S3524)),"United Arab Emirates",
ISNUMBER(SEARCH("rn""&gt;Republic of Ireland",S3524)),"Ireland",
ISNUMBER(SEARCH("rn""&gt;Bosnia and Herzegovina",S3524)),"Bosnia and Herzegovina",
ISNUMBER(SEARCH("rn""&gt;Trinidad and Tobago",S3524)),"Trinidad and Tobago",
ISNUMBER(SEARCH("rn""&gt;Serbia and Montenegro",S3524)),"Serbia and Montenegro",
ISNUMBER(SEARCH(_xlfn.UNICHAR(65533),S3524)),"Côte d'Ivoire",
TRUE,""
)</f>
        <v/>
      </c>
      <c r="W3524" s="40" t="str">
        <f t="shared" ref="W3524:W3587" si="240">IF(V3524="",S3524,V3524)</f>
        <v>Yugoslavia</v>
      </c>
    </row>
    <row r="3525" spans="19:23">
      <c r="S3525" s="40" t="str">
        <v>Brazil</v>
      </c>
      <c r="T3525" s="40" t="str">
        <f t="shared" si="238"/>
        <v>OK</v>
      </c>
      <c r="U3525" s="40" t="str">
        <f t="shared" si="239"/>
        <v>-</v>
      </c>
      <c r="V3525" s="40" t="str" cm="1">
        <f t="array" ref="V3525">_xlfn.IFS(
ISNUMBER(SEARCH("USA",S3525)),"United States",
ISNUMBER(SEARCH("Republic of Ireland",S3525)),"Ireland",
ISNUMBER(SEARCH("Republic of Korea",S3525)),"South Korea",
ISNUMBER(SEARCH("Cape Verde",S3525)),"Cabo Verde",
ISNUMBER(SEARCH("Czechia",S3525)),"Czech Republic",
ISNUMBER(SEARCH("Türkiye",S3525)),"Turkey",
ISNUMBER(SEARCH("Ivory Coast",S3525)),"Côte d'Ivoire",
ISNUMBER(SEARCH("Korea Republic",S3525)),"South Korea",
ISNUMBER(SEARCH("Germany FR",S3525)),"FR Germany",
ISNUMBER(SEARCH("West Germany",S3525)),"FR Germany",
ISNUMBER(SEARCH("Germany DR",S3525)),"DR Germany",
ISNUMBER(SEARCH("Korea DPR",S3525)),"North Korea",
ISNUMBER(SEARCH("China PR",S3525)),"China",
ISNUMBER(SEARCH("IR Iran",S3525)),"Iran",
ISNUMBER(SEARCH("Congo DR",S3525)),"Democratic Republic of the Congo",
ISNUMBER(SEARCH("DR Congo",S3525)),"Democratic Republic of the Congo",
ISNUMBER(SEARCH("German DR",S3525)),"DR Germany",
ISNUMBER(SEARCH("rn""&gt;United Arab Emirates",S3525)),"United Arab Emirates",
ISNUMBER(SEARCH("rn""&gt;Republic of Ireland",S3525)),"Ireland",
ISNUMBER(SEARCH("rn""&gt;Bosnia and Herzegovina",S3525)),"Bosnia and Herzegovina",
ISNUMBER(SEARCH("rn""&gt;Trinidad and Tobago",S3525)),"Trinidad and Tobago",
ISNUMBER(SEARCH("rn""&gt;Serbia and Montenegro",S3525)),"Serbia and Montenegro",
ISNUMBER(SEARCH(_xlfn.UNICHAR(65533),S3525)),"Côte d'Ivoire",
TRUE,""
)</f>
        <v/>
      </c>
      <c r="W3525" s="40" t="str">
        <f t="shared" si="240"/>
        <v>Brazil</v>
      </c>
    </row>
    <row r="3526" spans="19:23">
      <c r="S3526" s="40" t="str">
        <v>Austria</v>
      </c>
      <c r="T3526" s="40" t="str">
        <f t="shared" si="238"/>
        <v>OK</v>
      </c>
      <c r="U3526" s="40" t="str">
        <f t="shared" si="239"/>
        <v>-</v>
      </c>
      <c r="V3526" s="40" t="str" cm="1">
        <f t="array" ref="V3526">_xlfn.IFS(
ISNUMBER(SEARCH("USA",S3526)),"United States",
ISNUMBER(SEARCH("Republic of Ireland",S3526)),"Ireland",
ISNUMBER(SEARCH("Republic of Korea",S3526)),"South Korea",
ISNUMBER(SEARCH("Cape Verde",S3526)),"Cabo Verde",
ISNUMBER(SEARCH("Czechia",S3526)),"Czech Republic",
ISNUMBER(SEARCH("Türkiye",S3526)),"Turkey",
ISNUMBER(SEARCH("Ivory Coast",S3526)),"Côte d'Ivoire",
ISNUMBER(SEARCH("Korea Republic",S3526)),"South Korea",
ISNUMBER(SEARCH("Germany FR",S3526)),"FR Germany",
ISNUMBER(SEARCH("West Germany",S3526)),"FR Germany",
ISNUMBER(SEARCH("Germany DR",S3526)),"DR Germany",
ISNUMBER(SEARCH("Korea DPR",S3526)),"North Korea",
ISNUMBER(SEARCH("China PR",S3526)),"China",
ISNUMBER(SEARCH("IR Iran",S3526)),"Iran",
ISNUMBER(SEARCH("Congo DR",S3526)),"Democratic Republic of the Congo",
ISNUMBER(SEARCH("DR Congo",S3526)),"Democratic Republic of the Congo",
ISNUMBER(SEARCH("German DR",S3526)),"DR Germany",
ISNUMBER(SEARCH("rn""&gt;United Arab Emirates",S3526)),"United Arab Emirates",
ISNUMBER(SEARCH("rn""&gt;Republic of Ireland",S3526)),"Ireland",
ISNUMBER(SEARCH("rn""&gt;Bosnia and Herzegovina",S3526)),"Bosnia and Herzegovina",
ISNUMBER(SEARCH("rn""&gt;Trinidad and Tobago",S3526)),"Trinidad and Tobago",
ISNUMBER(SEARCH("rn""&gt;Serbia and Montenegro",S3526)),"Serbia and Montenegro",
ISNUMBER(SEARCH(_xlfn.UNICHAR(65533),S3526)),"Côte d'Ivoire",
TRUE,""
)</f>
        <v/>
      </c>
      <c r="W3526" s="40" t="str">
        <f t="shared" si="240"/>
        <v>Austria</v>
      </c>
    </row>
    <row r="3527" spans="19:23">
      <c r="S3527" s="40" t="str">
        <v>Uruguay</v>
      </c>
      <c r="T3527" s="40" t="str">
        <f t="shared" si="238"/>
        <v>OK</v>
      </c>
      <c r="U3527" s="40" t="str">
        <f t="shared" si="239"/>
        <v>-</v>
      </c>
      <c r="V3527" s="40" t="str" cm="1">
        <f t="array" ref="V3527">_xlfn.IFS(
ISNUMBER(SEARCH("USA",S3527)),"United States",
ISNUMBER(SEARCH("Republic of Ireland",S3527)),"Ireland",
ISNUMBER(SEARCH("Republic of Korea",S3527)),"South Korea",
ISNUMBER(SEARCH("Cape Verde",S3527)),"Cabo Verde",
ISNUMBER(SEARCH("Czechia",S3527)),"Czech Republic",
ISNUMBER(SEARCH("Türkiye",S3527)),"Turkey",
ISNUMBER(SEARCH("Ivory Coast",S3527)),"Côte d'Ivoire",
ISNUMBER(SEARCH("Korea Republic",S3527)),"South Korea",
ISNUMBER(SEARCH("Germany FR",S3527)),"FR Germany",
ISNUMBER(SEARCH("West Germany",S3527)),"FR Germany",
ISNUMBER(SEARCH("Germany DR",S3527)),"DR Germany",
ISNUMBER(SEARCH("Korea DPR",S3527)),"North Korea",
ISNUMBER(SEARCH("China PR",S3527)),"China",
ISNUMBER(SEARCH("IR Iran",S3527)),"Iran",
ISNUMBER(SEARCH("Congo DR",S3527)),"Democratic Republic of the Congo",
ISNUMBER(SEARCH("DR Congo",S3527)),"Democratic Republic of the Congo",
ISNUMBER(SEARCH("German DR",S3527)),"DR Germany",
ISNUMBER(SEARCH("rn""&gt;United Arab Emirates",S3527)),"United Arab Emirates",
ISNUMBER(SEARCH("rn""&gt;Republic of Ireland",S3527)),"Ireland",
ISNUMBER(SEARCH("rn""&gt;Bosnia and Herzegovina",S3527)),"Bosnia and Herzegovina",
ISNUMBER(SEARCH("rn""&gt;Trinidad and Tobago",S3527)),"Trinidad and Tobago",
ISNUMBER(SEARCH("rn""&gt;Serbia and Montenegro",S3527)),"Serbia and Montenegro",
ISNUMBER(SEARCH(_xlfn.UNICHAR(65533),S3527)),"Côte d'Ivoire",
TRUE,""
)</f>
        <v/>
      </c>
      <c r="W3527" s="40" t="str">
        <f t="shared" si="240"/>
        <v>Uruguay</v>
      </c>
    </row>
    <row r="3528" spans="19:23">
      <c r="S3528" s="40" t="str">
        <v>Uruguay</v>
      </c>
      <c r="T3528" s="40" t="str">
        <f t="shared" si="238"/>
        <v>OK</v>
      </c>
      <c r="U3528" s="40" t="str">
        <f t="shared" si="239"/>
        <v>-</v>
      </c>
      <c r="V3528" s="40" t="str" cm="1">
        <f t="array" ref="V3528">_xlfn.IFS(
ISNUMBER(SEARCH("USA",S3528)),"United States",
ISNUMBER(SEARCH("Republic of Ireland",S3528)),"Ireland",
ISNUMBER(SEARCH("Republic of Korea",S3528)),"South Korea",
ISNUMBER(SEARCH("Cape Verde",S3528)),"Cabo Verde",
ISNUMBER(SEARCH("Czechia",S3528)),"Czech Republic",
ISNUMBER(SEARCH("Türkiye",S3528)),"Turkey",
ISNUMBER(SEARCH("Ivory Coast",S3528)),"Côte d'Ivoire",
ISNUMBER(SEARCH("Korea Republic",S3528)),"South Korea",
ISNUMBER(SEARCH("Germany FR",S3528)),"FR Germany",
ISNUMBER(SEARCH("West Germany",S3528)),"FR Germany",
ISNUMBER(SEARCH("Germany DR",S3528)),"DR Germany",
ISNUMBER(SEARCH("Korea DPR",S3528)),"North Korea",
ISNUMBER(SEARCH("China PR",S3528)),"China",
ISNUMBER(SEARCH("IR Iran",S3528)),"Iran",
ISNUMBER(SEARCH("Congo DR",S3528)),"Democratic Republic of the Congo",
ISNUMBER(SEARCH("DR Congo",S3528)),"Democratic Republic of the Congo",
ISNUMBER(SEARCH("German DR",S3528)),"DR Germany",
ISNUMBER(SEARCH("rn""&gt;United Arab Emirates",S3528)),"United Arab Emirates",
ISNUMBER(SEARCH("rn""&gt;Republic of Ireland",S3528)),"Ireland",
ISNUMBER(SEARCH("rn""&gt;Bosnia and Herzegovina",S3528)),"Bosnia and Herzegovina",
ISNUMBER(SEARCH("rn""&gt;Trinidad and Tobago",S3528)),"Trinidad and Tobago",
ISNUMBER(SEARCH("rn""&gt;Serbia and Montenegro",S3528)),"Serbia and Montenegro",
ISNUMBER(SEARCH(_xlfn.UNICHAR(65533),S3528)),"Côte d'Ivoire",
TRUE,""
)</f>
        <v/>
      </c>
      <c r="W3528" s="40" t="str">
        <f t="shared" si="240"/>
        <v>Uruguay</v>
      </c>
    </row>
    <row r="3529" spans="19:23">
      <c r="S3529" s="40" t="str">
        <v>Hungary</v>
      </c>
      <c r="T3529" s="40" t="str">
        <f t="shared" si="238"/>
        <v>OK</v>
      </c>
      <c r="U3529" s="40" t="str">
        <f t="shared" si="239"/>
        <v>-</v>
      </c>
      <c r="V3529" s="40" t="str" cm="1">
        <f t="array" ref="V3529">_xlfn.IFS(
ISNUMBER(SEARCH("USA",S3529)),"United States",
ISNUMBER(SEARCH("Republic of Ireland",S3529)),"Ireland",
ISNUMBER(SEARCH("Republic of Korea",S3529)),"South Korea",
ISNUMBER(SEARCH("Cape Verde",S3529)),"Cabo Verde",
ISNUMBER(SEARCH("Czechia",S3529)),"Czech Republic",
ISNUMBER(SEARCH("Türkiye",S3529)),"Turkey",
ISNUMBER(SEARCH("Ivory Coast",S3529)),"Côte d'Ivoire",
ISNUMBER(SEARCH("Korea Republic",S3529)),"South Korea",
ISNUMBER(SEARCH("Germany FR",S3529)),"FR Germany",
ISNUMBER(SEARCH("West Germany",S3529)),"FR Germany",
ISNUMBER(SEARCH("Germany DR",S3529)),"DR Germany",
ISNUMBER(SEARCH("Korea DPR",S3529)),"North Korea",
ISNUMBER(SEARCH("China PR",S3529)),"China",
ISNUMBER(SEARCH("IR Iran",S3529)),"Iran",
ISNUMBER(SEARCH("Congo DR",S3529)),"Democratic Republic of the Congo",
ISNUMBER(SEARCH("DR Congo",S3529)),"Democratic Republic of the Congo",
ISNUMBER(SEARCH("German DR",S3529)),"DR Germany",
ISNUMBER(SEARCH("rn""&gt;United Arab Emirates",S3529)),"United Arab Emirates",
ISNUMBER(SEARCH("rn""&gt;Republic of Ireland",S3529)),"Ireland",
ISNUMBER(SEARCH("rn""&gt;Bosnia and Herzegovina",S3529)),"Bosnia and Herzegovina",
ISNUMBER(SEARCH("rn""&gt;Trinidad and Tobago",S3529)),"Trinidad and Tobago",
ISNUMBER(SEARCH("rn""&gt;Serbia and Montenegro",S3529)),"Serbia and Montenegro",
ISNUMBER(SEARCH(_xlfn.UNICHAR(65533),S3529)),"Côte d'Ivoire",
TRUE,""
)</f>
        <v/>
      </c>
      <c r="W3529" s="40" t="str">
        <f t="shared" si="240"/>
        <v>Hungary</v>
      </c>
    </row>
    <row r="3530" spans="19:23">
      <c r="S3530" s="40" t="str">
        <v>Mexico</v>
      </c>
      <c r="T3530" s="40" t="str">
        <f t="shared" si="238"/>
        <v>OK</v>
      </c>
      <c r="U3530" s="40" t="str">
        <f t="shared" si="239"/>
        <v>-</v>
      </c>
      <c r="V3530" s="40" t="str" cm="1">
        <f t="array" ref="V3530">_xlfn.IFS(
ISNUMBER(SEARCH("USA",S3530)),"United States",
ISNUMBER(SEARCH("Republic of Ireland",S3530)),"Ireland",
ISNUMBER(SEARCH("Republic of Korea",S3530)),"South Korea",
ISNUMBER(SEARCH("Cape Verde",S3530)),"Cabo Verde",
ISNUMBER(SEARCH("Czechia",S3530)),"Czech Republic",
ISNUMBER(SEARCH("Türkiye",S3530)),"Turkey",
ISNUMBER(SEARCH("Ivory Coast",S3530)),"Côte d'Ivoire",
ISNUMBER(SEARCH("Korea Republic",S3530)),"South Korea",
ISNUMBER(SEARCH("Germany FR",S3530)),"FR Germany",
ISNUMBER(SEARCH("West Germany",S3530)),"FR Germany",
ISNUMBER(SEARCH("Germany DR",S3530)),"DR Germany",
ISNUMBER(SEARCH("Korea DPR",S3530)),"North Korea",
ISNUMBER(SEARCH("China PR",S3530)),"China",
ISNUMBER(SEARCH("IR Iran",S3530)),"Iran",
ISNUMBER(SEARCH("Congo DR",S3530)),"Democratic Republic of the Congo",
ISNUMBER(SEARCH("DR Congo",S3530)),"Democratic Republic of the Congo",
ISNUMBER(SEARCH("German DR",S3530)),"DR Germany",
ISNUMBER(SEARCH("rn""&gt;United Arab Emirates",S3530)),"United Arab Emirates",
ISNUMBER(SEARCH("rn""&gt;Republic of Ireland",S3530)),"Ireland",
ISNUMBER(SEARCH("rn""&gt;Bosnia and Herzegovina",S3530)),"Bosnia and Herzegovina",
ISNUMBER(SEARCH("rn""&gt;Trinidad and Tobago",S3530)),"Trinidad and Tobago",
ISNUMBER(SEARCH("rn""&gt;Serbia and Montenegro",S3530)),"Serbia and Montenegro",
ISNUMBER(SEARCH(_xlfn.UNICHAR(65533),S3530)),"Côte d'Ivoire",
TRUE,""
)</f>
        <v/>
      </c>
      <c r="W3530" s="40" t="str">
        <f t="shared" si="240"/>
        <v>Mexico</v>
      </c>
    </row>
    <row r="3531" spans="19:23">
      <c r="S3531" s="40" t="str">
        <v>England</v>
      </c>
      <c r="T3531" s="40" t="str">
        <f t="shared" si="238"/>
        <v>ERREUR</v>
      </c>
      <c r="U3531" s="40" t="str">
        <f t="shared" si="239"/>
        <v>AUCUNE</v>
      </c>
      <c r="V3531" s="40" t="str" cm="1">
        <f t="array" ref="V3531">_xlfn.IFS(
ISNUMBER(SEARCH("USA",S3531)),"United States",
ISNUMBER(SEARCH("Republic of Ireland",S3531)),"Ireland",
ISNUMBER(SEARCH("Republic of Korea",S3531)),"South Korea",
ISNUMBER(SEARCH("Cape Verde",S3531)),"Cabo Verde",
ISNUMBER(SEARCH("Czechia",S3531)),"Czech Republic",
ISNUMBER(SEARCH("Türkiye",S3531)),"Turkey",
ISNUMBER(SEARCH("Ivory Coast",S3531)),"Côte d'Ivoire",
ISNUMBER(SEARCH("Korea Republic",S3531)),"South Korea",
ISNUMBER(SEARCH("Germany FR",S3531)),"FR Germany",
ISNUMBER(SEARCH("West Germany",S3531)),"FR Germany",
ISNUMBER(SEARCH("Germany DR",S3531)),"DR Germany",
ISNUMBER(SEARCH("Korea DPR",S3531)),"North Korea",
ISNUMBER(SEARCH("China PR",S3531)),"China",
ISNUMBER(SEARCH("IR Iran",S3531)),"Iran",
ISNUMBER(SEARCH("Congo DR",S3531)),"Democratic Republic of the Congo",
ISNUMBER(SEARCH("DR Congo",S3531)),"Democratic Republic of the Congo",
ISNUMBER(SEARCH("German DR",S3531)),"DR Germany",
ISNUMBER(SEARCH("rn""&gt;United Arab Emirates",S3531)),"United Arab Emirates",
ISNUMBER(SEARCH("rn""&gt;Republic of Ireland",S3531)),"Ireland",
ISNUMBER(SEARCH("rn""&gt;Bosnia and Herzegovina",S3531)),"Bosnia and Herzegovina",
ISNUMBER(SEARCH("rn""&gt;Trinidad and Tobago",S3531)),"Trinidad and Tobago",
ISNUMBER(SEARCH("rn""&gt;Serbia and Montenegro",S3531)),"Serbia and Montenegro",
ISNUMBER(SEARCH(_xlfn.UNICHAR(65533),S3531)),"Côte d'Ivoire",
TRUE,""
)</f>
        <v/>
      </c>
      <c r="W3531" s="40" t="str">
        <f t="shared" si="240"/>
        <v>England</v>
      </c>
    </row>
    <row r="3532" spans="19:23">
      <c r="S3532" s="40" t="str">
        <v>Germany FR</v>
      </c>
      <c r="T3532" s="40" t="str">
        <f t="shared" si="238"/>
        <v>ERREUR</v>
      </c>
      <c r="U3532" s="40" t="str">
        <f t="shared" si="239"/>
        <v>RENOMMER</v>
      </c>
      <c r="V3532" s="40" t="str" cm="1">
        <f t="array" ref="V3532">_xlfn.IFS(
ISNUMBER(SEARCH("USA",S3532)),"United States",
ISNUMBER(SEARCH("Republic of Ireland",S3532)),"Ireland",
ISNUMBER(SEARCH("Republic of Korea",S3532)),"South Korea",
ISNUMBER(SEARCH("Cape Verde",S3532)),"Cabo Verde",
ISNUMBER(SEARCH("Czechia",S3532)),"Czech Republic",
ISNUMBER(SEARCH("Türkiye",S3532)),"Turkey",
ISNUMBER(SEARCH("Ivory Coast",S3532)),"Côte d'Ivoire",
ISNUMBER(SEARCH("Korea Republic",S3532)),"South Korea",
ISNUMBER(SEARCH("Germany FR",S3532)),"FR Germany",
ISNUMBER(SEARCH("West Germany",S3532)),"FR Germany",
ISNUMBER(SEARCH("Germany DR",S3532)),"DR Germany",
ISNUMBER(SEARCH("Korea DPR",S3532)),"North Korea",
ISNUMBER(SEARCH("China PR",S3532)),"China",
ISNUMBER(SEARCH("IR Iran",S3532)),"Iran",
ISNUMBER(SEARCH("Congo DR",S3532)),"Democratic Republic of the Congo",
ISNUMBER(SEARCH("DR Congo",S3532)),"Democratic Republic of the Congo",
ISNUMBER(SEARCH("German DR",S3532)),"DR Germany",
ISNUMBER(SEARCH("rn""&gt;United Arab Emirates",S3532)),"United Arab Emirates",
ISNUMBER(SEARCH("rn""&gt;Republic of Ireland",S3532)),"Ireland",
ISNUMBER(SEARCH("rn""&gt;Bosnia and Herzegovina",S3532)),"Bosnia and Herzegovina",
ISNUMBER(SEARCH("rn""&gt;Trinidad and Tobago",S3532)),"Trinidad and Tobago",
ISNUMBER(SEARCH("rn""&gt;Serbia and Montenegro",S3532)),"Serbia and Montenegro",
ISNUMBER(SEARCH(_xlfn.UNICHAR(65533),S3532)),"Côte d'Ivoire",
TRUE,""
)</f>
        <v>FR Germany</v>
      </c>
      <c r="W3532" s="40" t="str">
        <f t="shared" si="240"/>
        <v>FR Germany</v>
      </c>
    </row>
    <row r="3533" spans="19:23">
      <c r="S3533" s="40" t="str">
        <v>Wales</v>
      </c>
      <c r="T3533" s="40" t="str">
        <f t="shared" si="238"/>
        <v>ERREUR</v>
      </c>
      <c r="U3533" s="40" t="str">
        <f t="shared" si="239"/>
        <v>AUCUNE</v>
      </c>
      <c r="V3533" s="40" t="str" cm="1">
        <f t="array" ref="V3533">_xlfn.IFS(
ISNUMBER(SEARCH("USA",S3533)),"United States",
ISNUMBER(SEARCH("Republic of Ireland",S3533)),"Ireland",
ISNUMBER(SEARCH("Republic of Korea",S3533)),"South Korea",
ISNUMBER(SEARCH("Cape Verde",S3533)),"Cabo Verde",
ISNUMBER(SEARCH("Czechia",S3533)),"Czech Republic",
ISNUMBER(SEARCH("Türkiye",S3533)),"Turkey",
ISNUMBER(SEARCH("Ivory Coast",S3533)),"Côte d'Ivoire",
ISNUMBER(SEARCH("Korea Republic",S3533)),"South Korea",
ISNUMBER(SEARCH("Germany FR",S3533)),"FR Germany",
ISNUMBER(SEARCH("West Germany",S3533)),"FR Germany",
ISNUMBER(SEARCH("Germany DR",S3533)),"DR Germany",
ISNUMBER(SEARCH("Korea DPR",S3533)),"North Korea",
ISNUMBER(SEARCH("China PR",S3533)),"China",
ISNUMBER(SEARCH("IR Iran",S3533)),"Iran",
ISNUMBER(SEARCH("Congo DR",S3533)),"Democratic Republic of the Congo",
ISNUMBER(SEARCH("DR Congo",S3533)),"Democratic Republic of the Congo",
ISNUMBER(SEARCH("German DR",S3533)),"DR Germany",
ISNUMBER(SEARCH("rn""&gt;United Arab Emirates",S3533)),"United Arab Emirates",
ISNUMBER(SEARCH("rn""&gt;Republic of Ireland",S3533)),"Ireland",
ISNUMBER(SEARCH("rn""&gt;Bosnia and Herzegovina",S3533)),"Bosnia and Herzegovina",
ISNUMBER(SEARCH("rn""&gt;Trinidad and Tobago",S3533)),"Trinidad and Tobago",
ISNUMBER(SEARCH("rn""&gt;Serbia and Montenegro",S3533)),"Serbia and Montenegro",
ISNUMBER(SEARCH(_xlfn.UNICHAR(65533),S3533)),"Côte d'Ivoire",
TRUE,""
)</f>
        <v/>
      </c>
      <c r="W3533" s="40" t="str">
        <f t="shared" si="240"/>
        <v>Wales</v>
      </c>
    </row>
    <row r="3534" spans="19:23">
      <c r="S3534" s="40" t="str">
        <v>Paraguay</v>
      </c>
      <c r="T3534" s="40" t="str">
        <f t="shared" si="238"/>
        <v>OK</v>
      </c>
      <c r="U3534" s="40" t="str">
        <f t="shared" si="239"/>
        <v>-</v>
      </c>
      <c r="V3534" s="40" t="str" cm="1">
        <f t="array" ref="V3534">_xlfn.IFS(
ISNUMBER(SEARCH("USA",S3534)),"United States",
ISNUMBER(SEARCH("Republic of Ireland",S3534)),"Ireland",
ISNUMBER(SEARCH("Republic of Korea",S3534)),"South Korea",
ISNUMBER(SEARCH("Cape Verde",S3534)),"Cabo Verde",
ISNUMBER(SEARCH("Czechia",S3534)),"Czech Republic",
ISNUMBER(SEARCH("Türkiye",S3534)),"Turkey",
ISNUMBER(SEARCH("Ivory Coast",S3534)),"Côte d'Ivoire",
ISNUMBER(SEARCH("Korea Republic",S3534)),"South Korea",
ISNUMBER(SEARCH("Germany FR",S3534)),"FR Germany",
ISNUMBER(SEARCH("West Germany",S3534)),"FR Germany",
ISNUMBER(SEARCH("Germany DR",S3534)),"DR Germany",
ISNUMBER(SEARCH("Korea DPR",S3534)),"North Korea",
ISNUMBER(SEARCH("China PR",S3534)),"China",
ISNUMBER(SEARCH("IR Iran",S3534)),"Iran",
ISNUMBER(SEARCH("Congo DR",S3534)),"Democratic Republic of the Congo",
ISNUMBER(SEARCH("DR Congo",S3534)),"Democratic Republic of the Congo",
ISNUMBER(SEARCH("German DR",S3534)),"DR Germany",
ISNUMBER(SEARCH("rn""&gt;United Arab Emirates",S3534)),"United Arab Emirates",
ISNUMBER(SEARCH("rn""&gt;Republic of Ireland",S3534)),"Ireland",
ISNUMBER(SEARCH("rn""&gt;Bosnia and Herzegovina",S3534)),"Bosnia and Herzegovina",
ISNUMBER(SEARCH("rn""&gt;Trinidad and Tobago",S3534)),"Trinidad and Tobago",
ISNUMBER(SEARCH("rn""&gt;Serbia and Montenegro",S3534)),"Serbia and Montenegro",
ISNUMBER(SEARCH(_xlfn.UNICHAR(65533),S3534)),"Côte d'Ivoire",
TRUE,""
)</f>
        <v/>
      </c>
      <c r="W3534" s="40" t="str">
        <f t="shared" si="240"/>
        <v>Paraguay</v>
      </c>
    </row>
    <row r="3535" spans="19:23">
      <c r="S3535" s="40" t="str">
        <v>Scotland</v>
      </c>
      <c r="T3535" s="40" t="str">
        <f t="shared" si="238"/>
        <v>ERREUR</v>
      </c>
      <c r="U3535" s="40" t="str">
        <f t="shared" si="239"/>
        <v>AUCUNE</v>
      </c>
      <c r="V3535" s="40" t="str" cm="1">
        <f t="array" ref="V3535">_xlfn.IFS(
ISNUMBER(SEARCH("USA",S3535)),"United States",
ISNUMBER(SEARCH("Republic of Ireland",S3535)),"Ireland",
ISNUMBER(SEARCH("Republic of Korea",S3535)),"South Korea",
ISNUMBER(SEARCH("Cape Verde",S3535)),"Cabo Verde",
ISNUMBER(SEARCH("Czechia",S3535)),"Czech Republic",
ISNUMBER(SEARCH("Türkiye",S3535)),"Turkey",
ISNUMBER(SEARCH("Ivory Coast",S3535)),"Côte d'Ivoire",
ISNUMBER(SEARCH("Korea Republic",S3535)),"South Korea",
ISNUMBER(SEARCH("Germany FR",S3535)),"FR Germany",
ISNUMBER(SEARCH("West Germany",S3535)),"FR Germany",
ISNUMBER(SEARCH("Germany DR",S3535)),"DR Germany",
ISNUMBER(SEARCH("Korea DPR",S3535)),"North Korea",
ISNUMBER(SEARCH("China PR",S3535)),"China",
ISNUMBER(SEARCH("IR Iran",S3535)),"Iran",
ISNUMBER(SEARCH("Congo DR",S3535)),"Democratic Republic of the Congo",
ISNUMBER(SEARCH("DR Congo",S3535)),"Democratic Republic of the Congo",
ISNUMBER(SEARCH("German DR",S3535)),"DR Germany",
ISNUMBER(SEARCH("rn""&gt;United Arab Emirates",S3535)),"United Arab Emirates",
ISNUMBER(SEARCH("rn""&gt;Republic of Ireland",S3535)),"Ireland",
ISNUMBER(SEARCH("rn""&gt;Bosnia and Herzegovina",S3535)),"Bosnia and Herzegovina",
ISNUMBER(SEARCH("rn""&gt;Trinidad and Tobago",S3535)),"Trinidad and Tobago",
ISNUMBER(SEARCH("rn""&gt;Serbia and Montenegro",S3535)),"Serbia and Montenegro",
ISNUMBER(SEARCH(_xlfn.UNICHAR(65533),S3535)),"Côte d'Ivoire",
TRUE,""
)</f>
        <v/>
      </c>
      <c r="W3535" s="40" t="str">
        <f t="shared" si="240"/>
        <v>Scotland</v>
      </c>
    </row>
    <row r="3536" spans="19:23">
      <c r="S3536" s="40" t="str">
        <v>Austria</v>
      </c>
      <c r="T3536" s="40" t="str">
        <f t="shared" si="238"/>
        <v>OK</v>
      </c>
      <c r="U3536" s="40" t="str">
        <f t="shared" si="239"/>
        <v>-</v>
      </c>
      <c r="V3536" s="40" t="str" cm="1">
        <f t="array" ref="V3536">_xlfn.IFS(
ISNUMBER(SEARCH("USA",S3536)),"United States",
ISNUMBER(SEARCH("Republic of Ireland",S3536)),"Ireland",
ISNUMBER(SEARCH("Republic of Korea",S3536)),"South Korea",
ISNUMBER(SEARCH("Cape Verde",S3536)),"Cabo Verde",
ISNUMBER(SEARCH("Czechia",S3536)),"Czech Republic",
ISNUMBER(SEARCH("Türkiye",S3536)),"Turkey",
ISNUMBER(SEARCH("Ivory Coast",S3536)),"Côte d'Ivoire",
ISNUMBER(SEARCH("Korea Republic",S3536)),"South Korea",
ISNUMBER(SEARCH("Germany FR",S3536)),"FR Germany",
ISNUMBER(SEARCH("West Germany",S3536)),"FR Germany",
ISNUMBER(SEARCH("Germany DR",S3536)),"DR Germany",
ISNUMBER(SEARCH("Korea DPR",S3536)),"North Korea",
ISNUMBER(SEARCH("China PR",S3536)),"China",
ISNUMBER(SEARCH("IR Iran",S3536)),"Iran",
ISNUMBER(SEARCH("Congo DR",S3536)),"Democratic Republic of the Congo",
ISNUMBER(SEARCH("DR Congo",S3536)),"Democratic Republic of the Congo",
ISNUMBER(SEARCH("German DR",S3536)),"DR Germany",
ISNUMBER(SEARCH("rn""&gt;United Arab Emirates",S3536)),"United Arab Emirates",
ISNUMBER(SEARCH("rn""&gt;Republic of Ireland",S3536)),"Ireland",
ISNUMBER(SEARCH("rn""&gt;Bosnia and Herzegovina",S3536)),"Bosnia and Herzegovina",
ISNUMBER(SEARCH("rn""&gt;Trinidad and Tobago",S3536)),"Trinidad and Tobago",
ISNUMBER(SEARCH("rn""&gt;Serbia and Montenegro",S3536)),"Serbia and Montenegro",
ISNUMBER(SEARCH(_xlfn.UNICHAR(65533),S3536)),"Côte d'Ivoire",
TRUE,""
)</f>
        <v/>
      </c>
      <c r="W3536" s="40" t="str">
        <f t="shared" si="240"/>
        <v>Austria</v>
      </c>
    </row>
    <row r="3537" spans="19:23">
      <c r="S3537" s="40" t="str">
        <v>Czechoslovakia</v>
      </c>
      <c r="T3537" s="40" t="str">
        <f t="shared" si="238"/>
        <v>ERREUR</v>
      </c>
      <c r="U3537" s="40" t="str">
        <f t="shared" si="239"/>
        <v>AUCUNE</v>
      </c>
      <c r="V3537" s="40" t="str" cm="1">
        <f t="array" ref="V3537">_xlfn.IFS(
ISNUMBER(SEARCH("USA",S3537)),"United States",
ISNUMBER(SEARCH("Republic of Ireland",S3537)),"Ireland",
ISNUMBER(SEARCH("Republic of Korea",S3537)),"South Korea",
ISNUMBER(SEARCH("Cape Verde",S3537)),"Cabo Verde",
ISNUMBER(SEARCH("Czechia",S3537)),"Czech Republic",
ISNUMBER(SEARCH("Türkiye",S3537)),"Turkey",
ISNUMBER(SEARCH("Ivory Coast",S3537)),"Côte d'Ivoire",
ISNUMBER(SEARCH("Korea Republic",S3537)),"South Korea",
ISNUMBER(SEARCH("Germany FR",S3537)),"FR Germany",
ISNUMBER(SEARCH("West Germany",S3537)),"FR Germany",
ISNUMBER(SEARCH("Germany DR",S3537)),"DR Germany",
ISNUMBER(SEARCH("Korea DPR",S3537)),"North Korea",
ISNUMBER(SEARCH("China PR",S3537)),"China",
ISNUMBER(SEARCH("IR Iran",S3537)),"Iran",
ISNUMBER(SEARCH("Congo DR",S3537)),"Democratic Republic of the Congo",
ISNUMBER(SEARCH("DR Congo",S3537)),"Democratic Republic of the Congo",
ISNUMBER(SEARCH("German DR",S3537)),"DR Germany",
ISNUMBER(SEARCH("rn""&gt;United Arab Emirates",S3537)),"United Arab Emirates",
ISNUMBER(SEARCH("rn""&gt;Republic of Ireland",S3537)),"Ireland",
ISNUMBER(SEARCH("rn""&gt;Bosnia and Herzegovina",S3537)),"Bosnia and Herzegovina",
ISNUMBER(SEARCH("rn""&gt;Trinidad and Tobago",S3537)),"Trinidad and Tobago",
ISNUMBER(SEARCH("rn""&gt;Serbia and Montenegro",S3537)),"Serbia and Montenegro",
ISNUMBER(SEARCH(_xlfn.UNICHAR(65533),S3537)),"Côte d'Ivoire",
TRUE,""
)</f>
        <v/>
      </c>
      <c r="W3537" s="40" t="str">
        <f t="shared" si="240"/>
        <v>Czechoslovakia</v>
      </c>
    </row>
    <row r="3538" spans="19:23">
      <c r="S3538" s="40" t="str">
        <v>England</v>
      </c>
      <c r="T3538" s="40" t="str">
        <f t="shared" si="238"/>
        <v>ERREUR</v>
      </c>
      <c r="U3538" s="40" t="str">
        <f t="shared" si="239"/>
        <v>AUCUNE</v>
      </c>
      <c r="V3538" s="40" t="str" cm="1">
        <f t="array" ref="V3538">_xlfn.IFS(
ISNUMBER(SEARCH("USA",S3538)),"United States",
ISNUMBER(SEARCH("Republic of Ireland",S3538)),"Ireland",
ISNUMBER(SEARCH("Republic of Korea",S3538)),"South Korea",
ISNUMBER(SEARCH("Cape Verde",S3538)),"Cabo Verde",
ISNUMBER(SEARCH("Czechia",S3538)),"Czech Republic",
ISNUMBER(SEARCH("Türkiye",S3538)),"Turkey",
ISNUMBER(SEARCH("Ivory Coast",S3538)),"Côte d'Ivoire",
ISNUMBER(SEARCH("Korea Republic",S3538)),"South Korea",
ISNUMBER(SEARCH("Germany FR",S3538)),"FR Germany",
ISNUMBER(SEARCH("West Germany",S3538)),"FR Germany",
ISNUMBER(SEARCH("Germany DR",S3538)),"DR Germany",
ISNUMBER(SEARCH("Korea DPR",S3538)),"North Korea",
ISNUMBER(SEARCH("China PR",S3538)),"China",
ISNUMBER(SEARCH("IR Iran",S3538)),"Iran",
ISNUMBER(SEARCH("Congo DR",S3538)),"Democratic Republic of the Congo",
ISNUMBER(SEARCH("DR Congo",S3538)),"Democratic Republic of the Congo",
ISNUMBER(SEARCH("German DR",S3538)),"DR Germany",
ISNUMBER(SEARCH("rn""&gt;United Arab Emirates",S3538)),"United Arab Emirates",
ISNUMBER(SEARCH("rn""&gt;Republic of Ireland",S3538)),"Ireland",
ISNUMBER(SEARCH("rn""&gt;Bosnia and Herzegovina",S3538)),"Bosnia and Herzegovina",
ISNUMBER(SEARCH("rn""&gt;Trinidad and Tobago",S3538)),"Trinidad and Tobago",
ISNUMBER(SEARCH("rn""&gt;Serbia and Montenegro",S3538)),"Serbia and Montenegro",
ISNUMBER(SEARCH(_xlfn.UNICHAR(65533),S3538)),"Côte d'Ivoire",
TRUE,""
)</f>
        <v/>
      </c>
      <c r="W3538" s="40" t="str">
        <f t="shared" si="240"/>
        <v>England</v>
      </c>
    </row>
    <row r="3539" spans="19:23">
      <c r="S3539" s="40" t="str">
        <v>Wales</v>
      </c>
      <c r="T3539" s="40" t="str">
        <f t="shared" si="238"/>
        <v>ERREUR</v>
      </c>
      <c r="U3539" s="40" t="str">
        <f t="shared" si="239"/>
        <v>AUCUNE</v>
      </c>
      <c r="V3539" s="40" t="str" cm="1">
        <f t="array" ref="V3539">_xlfn.IFS(
ISNUMBER(SEARCH("USA",S3539)),"United States",
ISNUMBER(SEARCH("Republic of Ireland",S3539)),"Ireland",
ISNUMBER(SEARCH("Republic of Korea",S3539)),"South Korea",
ISNUMBER(SEARCH("Cape Verde",S3539)),"Cabo Verde",
ISNUMBER(SEARCH("Czechia",S3539)),"Czech Republic",
ISNUMBER(SEARCH("Türkiye",S3539)),"Turkey",
ISNUMBER(SEARCH("Ivory Coast",S3539)),"Côte d'Ivoire",
ISNUMBER(SEARCH("Korea Republic",S3539)),"South Korea",
ISNUMBER(SEARCH("Germany FR",S3539)),"FR Germany",
ISNUMBER(SEARCH("West Germany",S3539)),"FR Germany",
ISNUMBER(SEARCH("Germany DR",S3539)),"DR Germany",
ISNUMBER(SEARCH("Korea DPR",S3539)),"North Korea",
ISNUMBER(SEARCH("China PR",S3539)),"China",
ISNUMBER(SEARCH("IR Iran",S3539)),"Iran",
ISNUMBER(SEARCH("Congo DR",S3539)),"Democratic Republic of the Congo",
ISNUMBER(SEARCH("DR Congo",S3539)),"Democratic Republic of the Congo",
ISNUMBER(SEARCH("German DR",S3539)),"DR Germany",
ISNUMBER(SEARCH("rn""&gt;United Arab Emirates",S3539)),"United Arab Emirates",
ISNUMBER(SEARCH("rn""&gt;Republic of Ireland",S3539)),"Ireland",
ISNUMBER(SEARCH("rn""&gt;Bosnia and Herzegovina",S3539)),"Bosnia and Herzegovina",
ISNUMBER(SEARCH("rn""&gt;Trinidad and Tobago",S3539)),"Trinidad and Tobago",
ISNUMBER(SEARCH("rn""&gt;Serbia and Montenegro",S3539)),"Serbia and Montenegro",
ISNUMBER(SEARCH(_xlfn.UNICHAR(65533),S3539)),"Côte d'Ivoire",
TRUE,""
)</f>
        <v/>
      </c>
      <c r="W3539" s="40" t="str">
        <f t="shared" si="240"/>
        <v>Wales</v>
      </c>
    </row>
    <row r="3540" spans="19:23">
      <c r="S3540" s="40" t="str">
        <v>Scotland</v>
      </c>
      <c r="T3540" s="40" t="str">
        <f t="shared" si="238"/>
        <v>ERREUR</v>
      </c>
      <c r="U3540" s="40" t="str">
        <f t="shared" si="239"/>
        <v>AUCUNE</v>
      </c>
      <c r="V3540" s="40" t="str" cm="1">
        <f t="array" ref="V3540">_xlfn.IFS(
ISNUMBER(SEARCH("USA",S3540)),"United States",
ISNUMBER(SEARCH("Republic of Ireland",S3540)),"Ireland",
ISNUMBER(SEARCH("Republic of Korea",S3540)),"South Korea",
ISNUMBER(SEARCH("Cape Verde",S3540)),"Cabo Verde",
ISNUMBER(SEARCH("Czechia",S3540)),"Czech Republic",
ISNUMBER(SEARCH("Türkiye",S3540)),"Turkey",
ISNUMBER(SEARCH("Ivory Coast",S3540)),"Côte d'Ivoire",
ISNUMBER(SEARCH("Korea Republic",S3540)),"South Korea",
ISNUMBER(SEARCH("Germany FR",S3540)),"FR Germany",
ISNUMBER(SEARCH("West Germany",S3540)),"FR Germany",
ISNUMBER(SEARCH("Germany DR",S3540)),"DR Germany",
ISNUMBER(SEARCH("Korea DPR",S3540)),"North Korea",
ISNUMBER(SEARCH("China PR",S3540)),"China",
ISNUMBER(SEARCH("IR Iran",S3540)),"Iran",
ISNUMBER(SEARCH("Congo DR",S3540)),"Democratic Republic of the Congo",
ISNUMBER(SEARCH("DR Congo",S3540)),"Democratic Republic of the Congo",
ISNUMBER(SEARCH("German DR",S3540)),"DR Germany",
ISNUMBER(SEARCH("rn""&gt;United Arab Emirates",S3540)),"United Arab Emirates",
ISNUMBER(SEARCH("rn""&gt;Republic of Ireland",S3540)),"Ireland",
ISNUMBER(SEARCH("rn""&gt;Bosnia and Herzegovina",S3540)),"Bosnia and Herzegovina",
ISNUMBER(SEARCH("rn""&gt;Trinidad and Tobago",S3540)),"Trinidad and Tobago",
ISNUMBER(SEARCH("rn""&gt;Serbia and Montenegro",S3540)),"Serbia and Montenegro",
ISNUMBER(SEARCH(_xlfn.UNICHAR(65533),S3540)),"Côte d'Ivoire",
TRUE,""
)</f>
        <v/>
      </c>
      <c r="W3540" s="40" t="str">
        <f t="shared" si="240"/>
        <v>Scotland</v>
      </c>
    </row>
    <row r="3541" spans="19:23">
      <c r="S3541" s="40" t="str">
        <v>France</v>
      </c>
      <c r="T3541" s="40" t="str">
        <f t="shared" si="238"/>
        <v>OK</v>
      </c>
      <c r="U3541" s="40" t="str">
        <f t="shared" si="239"/>
        <v>-</v>
      </c>
      <c r="V3541" s="40" t="str" cm="1">
        <f t="array" ref="V3541">_xlfn.IFS(
ISNUMBER(SEARCH("USA",S3541)),"United States",
ISNUMBER(SEARCH("Republic of Ireland",S3541)),"Ireland",
ISNUMBER(SEARCH("Republic of Korea",S3541)),"South Korea",
ISNUMBER(SEARCH("Cape Verde",S3541)),"Cabo Verde",
ISNUMBER(SEARCH("Czechia",S3541)),"Czech Republic",
ISNUMBER(SEARCH("Türkiye",S3541)),"Turkey",
ISNUMBER(SEARCH("Ivory Coast",S3541)),"Côte d'Ivoire",
ISNUMBER(SEARCH("Korea Republic",S3541)),"South Korea",
ISNUMBER(SEARCH("Germany FR",S3541)),"FR Germany",
ISNUMBER(SEARCH("West Germany",S3541)),"FR Germany",
ISNUMBER(SEARCH("Germany DR",S3541)),"DR Germany",
ISNUMBER(SEARCH("Korea DPR",S3541)),"North Korea",
ISNUMBER(SEARCH("China PR",S3541)),"China",
ISNUMBER(SEARCH("IR Iran",S3541)),"Iran",
ISNUMBER(SEARCH("Congo DR",S3541)),"Democratic Republic of the Congo",
ISNUMBER(SEARCH("DR Congo",S3541)),"Democratic Republic of the Congo",
ISNUMBER(SEARCH("German DR",S3541)),"DR Germany",
ISNUMBER(SEARCH("rn""&gt;United Arab Emirates",S3541)),"United Arab Emirates",
ISNUMBER(SEARCH("rn""&gt;Republic of Ireland",S3541)),"Ireland",
ISNUMBER(SEARCH("rn""&gt;Bosnia and Herzegovina",S3541)),"Bosnia and Herzegovina",
ISNUMBER(SEARCH("rn""&gt;Trinidad and Tobago",S3541)),"Trinidad and Tobago",
ISNUMBER(SEARCH("rn""&gt;Serbia and Montenegro",S3541)),"Serbia and Montenegro",
ISNUMBER(SEARCH(_xlfn.UNICHAR(65533),S3541)),"Côte d'Ivoire",
TRUE,""
)</f>
        <v/>
      </c>
      <c r="W3541" s="40" t="str">
        <f t="shared" si="240"/>
        <v>France</v>
      </c>
    </row>
    <row r="3542" spans="19:23">
      <c r="S3542" s="40" t="str">
        <v>Austria</v>
      </c>
      <c r="T3542" s="40" t="str">
        <f t="shared" si="238"/>
        <v>OK</v>
      </c>
      <c r="U3542" s="40" t="str">
        <f t="shared" si="239"/>
        <v>-</v>
      </c>
      <c r="V3542" s="40" t="str" cm="1">
        <f t="array" ref="V3542">_xlfn.IFS(
ISNUMBER(SEARCH("USA",S3542)),"United States",
ISNUMBER(SEARCH("Republic of Ireland",S3542)),"Ireland",
ISNUMBER(SEARCH("Republic of Korea",S3542)),"South Korea",
ISNUMBER(SEARCH("Cape Verde",S3542)),"Cabo Verde",
ISNUMBER(SEARCH("Czechia",S3542)),"Czech Republic",
ISNUMBER(SEARCH("Türkiye",S3542)),"Turkey",
ISNUMBER(SEARCH("Ivory Coast",S3542)),"Côte d'Ivoire",
ISNUMBER(SEARCH("Korea Republic",S3542)),"South Korea",
ISNUMBER(SEARCH("Germany FR",S3542)),"FR Germany",
ISNUMBER(SEARCH("West Germany",S3542)),"FR Germany",
ISNUMBER(SEARCH("Germany DR",S3542)),"DR Germany",
ISNUMBER(SEARCH("Korea DPR",S3542)),"North Korea",
ISNUMBER(SEARCH("China PR",S3542)),"China",
ISNUMBER(SEARCH("IR Iran",S3542)),"Iran",
ISNUMBER(SEARCH("Congo DR",S3542)),"Democratic Republic of the Congo",
ISNUMBER(SEARCH("DR Congo",S3542)),"Democratic Republic of the Congo",
ISNUMBER(SEARCH("German DR",S3542)),"DR Germany",
ISNUMBER(SEARCH("rn""&gt;United Arab Emirates",S3542)),"United Arab Emirates",
ISNUMBER(SEARCH("rn""&gt;Republic of Ireland",S3542)),"Ireland",
ISNUMBER(SEARCH("rn""&gt;Bosnia and Herzegovina",S3542)),"Bosnia and Herzegovina",
ISNUMBER(SEARCH("rn""&gt;Trinidad and Tobago",S3542)),"Trinidad and Tobago",
ISNUMBER(SEARCH("rn""&gt;Serbia and Montenegro",S3542)),"Serbia and Montenegro",
ISNUMBER(SEARCH(_xlfn.UNICHAR(65533),S3542)),"Côte d'Ivoire",
TRUE,""
)</f>
        <v/>
      </c>
      <c r="W3542" s="40" t="str">
        <f t="shared" si="240"/>
        <v>Austria</v>
      </c>
    </row>
    <row r="3543" spans="19:23">
      <c r="S3543" s="40" t="str">
        <v>Czechoslovakia</v>
      </c>
      <c r="T3543" s="40" t="str">
        <f t="shared" si="238"/>
        <v>ERREUR</v>
      </c>
      <c r="U3543" s="40" t="str">
        <f t="shared" si="239"/>
        <v>AUCUNE</v>
      </c>
      <c r="V3543" s="40" t="str" cm="1">
        <f t="array" ref="V3543">_xlfn.IFS(
ISNUMBER(SEARCH("USA",S3543)),"United States",
ISNUMBER(SEARCH("Republic of Ireland",S3543)),"Ireland",
ISNUMBER(SEARCH("Republic of Korea",S3543)),"South Korea",
ISNUMBER(SEARCH("Cape Verde",S3543)),"Cabo Verde",
ISNUMBER(SEARCH("Czechia",S3543)),"Czech Republic",
ISNUMBER(SEARCH("Türkiye",S3543)),"Turkey",
ISNUMBER(SEARCH("Ivory Coast",S3543)),"Côte d'Ivoire",
ISNUMBER(SEARCH("Korea Republic",S3543)),"South Korea",
ISNUMBER(SEARCH("Germany FR",S3543)),"FR Germany",
ISNUMBER(SEARCH("West Germany",S3543)),"FR Germany",
ISNUMBER(SEARCH("Germany DR",S3543)),"DR Germany",
ISNUMBER(SEARCH("Korea DPR",S3543)),"North Korea",
ISNUMBER(SEARCH("China PR",S3543)),"China",
ISNUMBER(SEARCH("IR Iran",S3543)),"Iran",
ISNUMBER(SEARCH("Congo DR",S3543)),"Democratic Republic of the Congo",
ISNUMBER(SEARCH("DR Congo",S3543)),"Democratic Republic of the Congo",
ISNUMBER(SEARCH("German DR",S3543)),"DR Germany",
ISNUMBER(SEARCH("rn""&gt;United Arab Emirates",S3543)),"United Arab Emirates",
ISNUMBER(SEARCH("rn""&gt;Republic of Ireland",S3543)),"Ireland",
ISNUMBER(SEARCH("rn""&gt;Bosnia and Herzegovina",S3543)),"Bosnia and Herzegovina",
ISNUMBER(SEARCH("rn""&gt;Trinidad and Tobago",S3543)),"Trinidad and Tobago",
ISNUMBER(SEARCH("rn""&gt;Serbia and Montenegro",S3543)),"Serbia and Montenegro",
ISNUMBER(SEARCH(_xlfn.UNICHAR(65533),S3543)),"Côte d'Ivoire",
TRUE,""
)</f>
        <v/>
      </c>
      <c r="W3543" s="40" t="str">
        <f t="shared" si="240"/>
        <v>Czechoslovakia</v>
      </c>
    </row>
    <row r="3544" spans="19:23">
      <c r="S3544" s="40" t="str">
        <v>Northern Ireland</v>
      </c>
      <c r="T3544" s="40" t="str">
        <f t="shared" si="238"/>
        <v>ERREUR</v>
      </c>
      <c r="U3544" s="40" t="str">
        <f t="shared" si="239"/>
        <v>AUCUNE</v>
      </c>
      <c r="V3544" s="40" t="str" cm="1">
        <f t="array" ref="V3544">_xlfn.IFS(
ISNUMBER(SEARCH("USA",S3544)),"United States",
ISNUMBER(SEARCH("Republic of Ireland",S3544)),"Ireland",
ISNUMBER(SEARCH("Republic of Korea",S3544)),"South Korea",
ISNUMBER(SEARCH("Cape Verde",S3544)),"Cabo Verde",
ISNUMBER(SEARCH("Czechia",S3544)),"Czech Republic",
ISNUMBER(SEARCH("Türkiye",S3544)),"Turkey",
ISNUMBER(SEARCH("Ivory Coast",S3544)),"Côte d'Ivoire",
ISNUMBER(SEARCH("Korea Republic",S3544)),"South Korea",
ISNUMBER(SEARCH("Germany FR",S3544)),"FR Germany",
ISNUMBER(SEARCH("West Germany",S3544)),"FR Germany",
ISNUMBER(SEARCH("Germany DR",S3544)),"DR Germany",
ISNUMBER(SEARCH("Korea DPR",S3544)),"North Korea",
ISNUMBER(SEARCH("China PR",S3544)),"China",
ISNUMBER(SEARCH("IR Iran",S3544)),"Iran",
ISNUMBER(SEARCH("Congo DR",S3544)),"Democratic Republic of the Congo",
ISNUMBER(SEARCH("DR Congo",S3544)),"Democratic Republic of the Congo",
ISNUMBER(SEARCH("German DR",S3544)),"DR Germany",
ISNUMBER(SEARCH("rn""&gt;United Arab Emirates",S3544)),"United Arab Emirates",
ISNUMBER(SEARCH("rn""&gt;Republic of Ireland",S3544)),"Ireland",
ISNUMBER(SEARCH("rn""&gt;Bosnia and Herzegovina",S3544)),"Bosnia and Herzegovina",
ISNUMBER(SEARCH("rn""&gt;Trinidad and Tobago",S3544)),"Trinidad and Tobago",
ISNUMBER(SEARCH("rn""&gt;Serbia and Montenegro",S3544)),"Serbia and Montenegro",
ISNUMBER(SEARCH(_xlfn.UNICHAR(65533),S3544)),"Côte d'Ivoire",
TRUE,""
)</f>
        <v/>
      </c>
      <c r="W3544" s="40" t="str">
        <f t="shared" si="240"/>
        <v>Northern Ireland</v>
      </c>
    </row>
    <row r="3545" spans="19:23">
      <c r="S3545" s="40" t="str">
        <v>Hungary</v>
      </c>
      <c r="T3545" s="40" t="str">
        <f t="shared" si="238"/>
        <v>OK</v>
      </c>
      <c r="U3545" s="40" t="str">
        <f t="shared" si="239"/>
        <v>-</v>
      </c>
      <c r="V3545" s="40" t="str" cm="1">
        <f t="array" ref="V3545">_xlfn.IFS(
ISNUMBER(SEARCH("USA",S3545)),"United States",
ISNUMBER(SEARCH("Republic of Ireland",S3545)),"Ireland",
ISNUMBER(SEARCH("Republic of Korea",S3545)),"South Korea",
ISNUMBER(SEARCH("Cape Verde",S3545)),"Cabo Verde",
ISNUMBER(SEARCH("Czechia",S3545)),"Czech Republic",
ISNUMBER(SEARCH("Türkiye",S3545)),"Turkey",
ISNUMBER(SEARCH("Ivory Coast",S3545)),"Côte d'Ivoire",
ISNUMBER(SEARCH("Korea Republic",S3545)),"South Korea",
ISNUMBER(SEARCH("Germany FR",S3545)),"FR Germany",
ISNUMBER(SEARCH("West Germany",S3545)),"FR Germany",
ISNUMBER(SEARCH("Germany DR",S3545)),"DR Germany",
ISNUMBER(SEARCH("Korea DPR",S3545)),"North Korea",
ISNUMBER(SEARCH("China PR",S3545)),"China",
ISNUMBER(SEARCH("IR Iran",S3545)),"Iran",
ISNUMBER(SEARCH("Congo DR",S3545)),"Democratic Republic of the Congo",
ISNUMBER(SEARCH("DR Congo",S3545)),"Democratic Republic of the Congo",
ISNUMBER(SEARCH("German DR",S3545)),"DR Germany",
ISNUMBER(SEARCH("rn""&gt;United Arab Emirates",S3545)),"United Arab Emirates",
ISNUMBER(SEARCH("rn""&gt;Republic of Ireland",S3545)),"Ireland",
ISNUMBER(SEARCH("rn""&gt;Bosnia and Herzegovina",S3545)),"Bosnia and Herzegovina",
ISNUMBER(SEARCH("rn""&gt;Trinidad and Tobago",S3545)),"Trinidad and Tobago",
ISNUMBER(SEARCH("rn""&gt;Serbia and Montenegro",S3545)),"Serbia and Montenegro",
ISNUMBER(SEARCH(_xlfn.UNICHAR(65533),S3545)),"Côte d'Ivoire",
TRUE,""
)</f>
        <v/>
      </c>
      <c r="W3545" s="40" t="str">
        <f t="shared" si="240"/>
        <v>Hungary</v>
      </c>
    </row>
    <row r="3546" spans="19:23">
      <c r="S3546" s="40" t="str">
        <v>Wales</v>
      </c>
      <c r="T3546" s="40" t="str">
        <f t="shared" si="238"/>
        <v>ERREUR</v>
      </c>
      <c r="U3546" s="40" t="str">
        <f t="shared" si="239"/>
        <v>AUCUNE</v>
      </c>
      <c r="V3546" s="40" t="str" cm="1">
        <f t="array" ref="V3546">_xlfn.IFS(
ISNUMBER(SEARCH("USA",S3546)),"United States",
ISNUMBER(SEARCH("Republic of Ireland",S3546)),"Ireland",
ISNUMBER(SEARCH("Republic of Korea",S3546)),"South Korea",
ISNUMBER(SEARCH("Cape Verde",S3546)),"Cabo Verde",
ISNUMBER(SEARCH("Czechia",S3546)),"Czech Republic",
ISNUMBER(SEARCH("Türkiye",S3546)),"Turkey",
ISNUMBER(SEARCH("Ivory Coast",S3546)),"Côte d'Ivoire",
ISNUMBER(SEARCH("Korea Republic",S3546)),"South Korea",
ISNUMBER(SEARCH("Germany FR",S3546)),"FR Germany",
ISNUMBER(SEARCH("West Germany",S3546)),"FR Germany",
ISNUMBER(SEARCH("Germany DR",S3546)),"DR Germany",
ISNUMBER(SEARCH("Korea DPR",S3546)),"North Korea",
ISNUMBER(SEARCH("China PR",S3546)),"China",
ISNUMBER(SEARCH("IR Iran",S3546)),"Iran",
ISNUMBER(SEARCH("Congo DR",S3546)),"Democratic Republic of the Congo",
ISNUMBER(SEARCH("DR Congo",S3546)),"Democratic Republic of the Congo",
ISNUMBER(SEARCH("German DR",S3546)),"DR Germany",
ISNUMBER(SEARCH("rn""&gt;United Arab Emirates",S3546)),"United Arab Emirates",
ISNUMBER(SEARCH("rn""&gt;Republic of Ireland",S3546)),"Ireland",
ISNUMBER(SEARCH("rn""&gt;Bosnia and Herzegovina",S3546)),"Bosnia and Herzegovina",
ISNUMBER(SEARCH("rn""&gt;Trinidad and Tobago",S3546)),"Trinidad and Tobago",
ISNUMBER(SEARCH("rn""&gt;Serbia and Montenegro",S3546)),"Serbia and Montenegro",
ISNUMBER(SEARCH(_xlfn.UNICHAR(65533),S3546)),"Côte d'Ivoire",
TRUE,""
)</f>
        <v/>
      </c>
      <c r="W3546" s="40" t="str">
        <f t="shared" si="240"/>
        <v>Wales</v>
      </c>
    </row>
    <row r="3547" spans="19:23">
      <c r="S3547" s="40" t="str">
        <v>Soviet Union</v>
      </c>
      <c r="T3547" s="40" t="str">
        <f t="shared" si="238"/>
        <v>ERREUR</v>
      </c>
      <c r="U3547" s="40" t="str">
        <f t="shared" si="239"/>
        <v>AUCUNE</v>
      </c>
      <c r="V3547" s="40" t="str" cm="1">
        <f t="array" ref="V3547">_xlfn.IFS(
ISNUMBER(SEARCH("USA",S3547)),"United States",
ISNUMBER(SEARCH("Republic of Ireland",S3547)),"Ireland",
ISNUMBER(SEARCH("Republic of Korea",S3547)),"South Korea",
ISNUMBER(SEARCH("Cape Verde",S3547)),"Cabo Verde",
ISNUMBER(SEARCH("Czechia",S3547)),"Czech Republic",
ISNUMBER(SEARCH("Türkiye",S3547)),"Turkey",
ISNUMBER(SEARCH("Ivory Coast",S3547)),"Côte d'Ivoire",
ISNUMBER(SEARCH("Korea Republic",S3547)),"South Korea",
ISNUMBER(SEARCH("Germany FR",S3547)),"FR Germany",
ISNUMBER(SEARCH("West Germany",S3547)),"FR Germany",
ISNUMBER(SEARCH("Germany DR",S3547)),"DR Germany",
ISNUMBER(SEARCH("Korea DPR",S3547)),"North Korea",
ISNUMBER(SEARCH("China PR",S3547)),"China",
ISNUMBER(SEARCH("IR Iran",S3547)),"Iran",
ISNUMBER(SEARCH("Congo DR",S3547)),"Democratic Republic of the Congo",
ISNUMBER(SEARCH("DR Congo",S3547)),"Democratic Republic of the Congo",
ISNUMBER(SEARCH("German DR",S3547)),"DR Germany",
ISNUMBER(SEARCH("rn""&gt;United Arab Emirates",S3547)),"United Arab Emirates",
ISNUMBER(SEARCH("rn""&gt;Republic of Ireland",S3547)),"Ireland",
ISNUMBER(SEARCH("rn""&gt;Bosnia and Herzegovina",S3547)),"Bosnia and Herzegovina",
ISNUMBER(SEARCH("rn""&gt;Trinidad and Tobago",S3547)),"Trinidad and Tobago",
ISNUMBER(SEARCH("rn""&gt;Serbia and Montenegro",S3547)),"Serbia and Montenegro",
ISNUMBER(SEARCH(_xlfn.UNICHAR(65533),S3547)),"Côte d'Ivoire",
TRUE,""
)</f>
        <v/>
      </c>
      <c r="W3547" s="40" t="str">
        <f t="shared" si="240"/>
        <v>Soviet Union</v>
      </c>
    </row>
    <row r="3548" spans="19:23">
      <c r="S3548" s="40" t="str">
        <v>Northern Ireland</v>
      </c>
      <c r="T3548" s="40" t="str">
        <f t="shared" si="238"/>
        <v>ERREUR</v>
      </c>
      <c r="U3548" s="40" t="str">
        <f t="shared" si="239"/>
        <v>AUCUNE</v>
      </c>
      <c r="V3548" s="40" t="str" cm="1">
        <f t="array" ref="V3548">_xlfn.IFS(
ISNUMBER(SEARCH("USA",S3548)),"United States",
ISNUMBER(SEARCH("Republic of Ireland",S3548)),"Ireland",
ISNUMBER(SEARCH("Republic of Korea",S3548)),"South Korea",
ISNUMBER(SEARCH("Cape Verde",S3548)),"Cabo Verde",
ISNUMBER(SEARCH("Czechia",S3548)),"Czech Republic",
ISNUMBER(SEARCH("Türkiye",S3548)),"Turkey",
ISNUMBER(SEARCH("Ivory Coast",S3548)),"Côte d'Ivoire",
ISNUMBER(SEARCH("Korea Republic",S3548)),"South Korea",
ISNUMBER(SEARCH("Germany FR",S3548)),"FR Germany",
ISNUMBER(SEARCH("West Germany",S3548)),"FR Germany",
ISNUMBER(SEARCH("Germany DR",S3548)),"DR Germany",
ISNUMBER(SEARCH("Korea DPR",S3548)),"North Korea",
ISNUMBER(SEARCH("China PR",S3548)),"China",
ISNUMBER(SEARCH("IR Iran",S3548)),"Iran",
ISNUMBER(SEARCH("Congo DR",S3548)),"Democratic Republic of the Congo",
ISNUMBER(SEARCH("DR Congo",S3548)),"Democratic Republic of the Congo",
ISNUMBER(SEARCH("German DR",S3548)),"DR Germany",
ISNUMBER(SEARCH("rn""&gt;United Arab Emirates",S3548)),"United Arab Emirates",
ISNUMBER(SEARCH("rn""&gt;Republic of Ireland",S3548)),"Ireland",
ISNUMBER(SEARCH("rn""&gt;Bosnia and Herzegovina",S3548)),"Bosnia and Herzegovina",
ISNUMBER(SEARCH("rn""&gt;Trinidad and Tobago",S3548)),"Trinidad and Tobago",
ISNUMBER(SEARCH("rn""&gt;Serbia and Montenegro",S3548)),"Serbia and Montenegro",
ISNUMBER(SEARCH(_xlfn.UNICHAR(65533),S3548)),"Côte d'Ivoire",
TRUE,""
)</f>
        <v/>
      </c>
      <c r="W3548" s="40" t="str">
        <f t="shared" si="240"/>
        <v>Northern Ireland</v>
      </c>
    </row>
    <row r="3549" spans="19:23">
      <c r="S3549" s="40" t="str">
        <v>Mexico</v>
      </c>
      <c r="T3549" s="40" t="str">
        <f t="shared" si="238"/>
        <v>OK</v>
      </c>
      <c r="U3549" s="40" t="str">
        <f t="shared" si="239"/>
        <v>-</v>
      </c>
      <c r="V3549" s="40" t="str" cm="1">
        <f t="array" ref="V3549">_xlfn.IFS(
ISNUMBER(SEARCH("USA",S3549)),"United States",
ISNUMBER(SEARCH("Republic of Ireland",S3549)),"Ireland",
ISNUMBER(SEARCH("Republic of Korea",S3549)),"South Korea",
ISNUMBER(SEARCH("Cape Verde",S3549)),"Cabo Verde",
ISNUMBER(SEARCH("Czechia",S3549)),"Czech Republic",
ISNUMBER(SEARCH("Türkiye",S3549)),"Turkey",
ISNUMBER(SEARCH("Ivory Coast",S3549)),"Côte d'Ivoire",
ISNUMBER(SEARCH("Korea Republic",S3549)),"South Korea",
ISNUMBER(SEARCH("Germany FR",S3549)),"FR Germany",
ISNUMBER(SEARCH("West Germany",S3549)),"FR Germany",
ISNUMBER(SEARCH("Germany DR",S3549)),"DR Germany",
ISNUMBER(SEARCH("Korea DPR",S3549)),"North Korea",
ISNUMBER(SEARCH("China PR",S3549)),"China",
ISNUMBER(SEARCH("IR Iran",S3549)),"Iran",
ISNUMBER(SEARCH("Congo DR",S3549)),"Democratic Republic of the Congo",
ISNUMBER(SEARCH("DR Congo",S3549)),"Democratic Republic of the Congo",
ISNUMBER(SEARCH("German DR",S3549)),"DR Germany",
ISNUMBER(SEARCH("rn""&gt;United Arab Emirates",S3549)),"United Arab Emirates",
ISNUMBER(SEARCH("rn""&gt;Republic of Ireland",S3549)),"Ireland",
ISNUMBER(SEARCH("rn""&gt;Bosnia and Herzegovina",S3549)),"Bosnia and Herzegovina",
ISNUMBER(SEARCH("rn""&gt;Trinidad and Tobago",S3549)),"Trinidad and Tobago",
ISNUMBER(SEARCH("rn""&gt;Serbia and Montenegro",S3549)),"Serbia and Montenegro",
ISNUMBER(SEARCH(_xlfn.UNICHAR(65533),S3549)),"Côte d'Ivoire",
TRUE,""
)</f>
        <v/>
      </c>
      <c r="W3549" s="40" t="str">
        <f t="shared" si="240"/>
        <v>Mexico</v>
      </c>
    </row>
    <row r="3550" spans="19:23">
      <c r="S3550" s="40" t="str">
        <v>Yugoslavia</v>
      </c>
      <c r="T3550" s="40" t="str">
        <f t="shared" si="238"/>
        <v>ERREUR</v>
      </c>
      <c r="U3550" s="40" t="str">
        <f t="shared" si="239"/>
        <v>AUCUNE</v>
      </c>
      <c r="V3550" s="40" t="str" cm="1">
        <f t="array" ref="V3550">_xlfn.IFS(
ISNUMBER(SEARCH("USA",S3550)),"United States",
ISNUMBER(SEARCH("Republic of Ireland",S3550)),"Ireland",
ISNUMBER(SEARCH("Republic of Korea",S3550)),"South Korea",
ISNUMBER(SEARCH("Cape Verde",S3550)),"Cabo Verde",
ISNUMBER(SEARCH("Czechia",S3550)),"Czech Republic",
ISNUMBER(SEARCH("Türkiye",S3550)),"Turkey",
ISNUMBER(SEARCH("Ivory Coast",S3550)),"Côte d'Ivoire",
ISNUMBER(SEARCH("Korea Republic",S3550)),"South Korea",
ISNUMBER(SEARCH("Germany FR",S3550)),"FR Germany",
ISNUMBER(SEARCH("West Germany",S3550)),"FR Germany",
ISNUMBER(SEARCH("Germany DR",S3550)),"DR Germany",
ISNUMBER(SEARCH("Korea DPR",S3550)),"North Korea",
ISNUMBER(SEARCH("China PR",S3550)),"China",
ISNUMBER(SEARCH("IR Iran",S3550)),"Iran",
ISNUMBER(SEARCH("Congo DR",S3550)),"Democratic Republic of the Congo",
ISNUMBER(SEARCH("DR Congo",S3550)),"Democratic Republic of the Congo",
ISNUMBER(SEARCH("German DR",S3550)),"DR Germany",
ISNUMBER(SEARCH("rn""&gt;United Arab Emirates",S3550)),"United Arab Emirates",
ISNUMBER(SEARCH("rn""&gt;Republic of Ireland",S3550)),"Ireland",
ISNUMBER(SEARCH("rn""&gt;Bosnia and Herzegovina",S3550)),"Bosnia and Herzegovina",
ISNUMBER(SEARCH("rn""&gt;Trinidad and Tobago",S3550)),"Trinidad and Tobago",
ISNUMBER(SEARCH("rn""&gt;Serbia and Montenegro",S3550)),"Serbia and Montenegro",
ISNUMBER(SEARCH(_xlfn.UNICHAR(65533),S3550)),"Côte d'Ivoire",
TRUE,""
)</f>
        <v/>
      </c>
      <c r="W3550" s="40" t="str">
        <f t="shared" si="240"/>
        <v>Yugoslavia</v>
      </c>
    </row>
    <row r="3551" spans="19:23">
      <c r="S3551" s="40" t="str">
        <v>Scotland</v>
      </c>
      <c r="T3551" s="40" t="str">
        <f t="shared" si="238"/>
        <v>ERREUR</v>
      </c>
      <c r="U3551" s="40" t="str">
        <f t="shared" si="239"/>
        <v>AUCUNE</v>
      </c>
      <c r="V3551" s="40" t="str" cm="1">
        <f t="array" ref="V3551">_xlfn.IFS(
ISNUMBER(SEARCH("USA",S3551)),"United States",
ISNUMBER(SEARCH("Republic of Ireland",S3551)),"Ireland",
ISNUMBER(SEARCH("Republic of Korea",S3551)),"South Korea",
ISNUMBER(SEARCH("Cape Verde",S3551)),"Cabo Verde",
ISNUMBER(SEARCH("Czechia",S3551)),"Czech Republic",
ISNUMBER(SEARCH("Türkiye",S3551)),"Turkey",
ISNUMBER(SEARCH("Ivory Coast",S3551)),"Côte d'Ivoire",
ISNUMBER(SEARCH("Korea Republic",S3551)),"South Korea",
ISNUMBER(SEARCH("Germany FR",S3551)),"FR Germany",
ISNUMBER(SEARCH("West Germany",S3551)),"FR Germany",
ISNUMBER(SEARCH("Germany DR",S3551)),"DR Germany",
ISNUMBER(SEARCH("Korea DPR",S3551)),"North Korea",
ISNUMBER(SEARCH("China PR",S3551)),"China",
ISNUMBER(SEARCH("IR Iran",S3551)),"Iran",
ISNUMBER(SEARCH("Congo DR",S3551)),"Democratic Republic of the Congo",
ISNUMBER(SEARCH("DR Congo",S3551)),"Democratic Republic of the Congo",
ISNUMBER(SEARCH("German DR",S3551)),"DR Germany",
ISNUMBER(SEARCH("rn""&gt;United Arab Emirates",S3551)),"United Arab Emirates",
ISNUMBER(SEARCH("rn""&gt;Republic of Ireland",S3551)),"Ireland",
ISNUMBER(SEARCH("rn""&gt;Bosnia and Herzegovina",S3551)),"Bosnia and Herzegovina",
ISNUMBER(SEARCH("rn""&gt;Trinidad and Tobago",S3551)),"Trinidad and Tobago",
ISNUMBER(SEARCH("rn""&gt;Serbia and Montenegro",S3551)),"Serbia and Montenegro",
ISNUMBER(SEARCH(_xlfn.UNICHAR(65533),S3551)),"Côte d'Ivoire",
TRUE,""
)</f>
        <v/>
      </c>
      <c r="W3551" s="40" t="str">
        <f t="shared" si="240"/>
        <v>Scotland</v>
      </c>
    </row>
    <row r="3552" spans="19:23">
      <c r="S3552" s="40" t="str">
        <v>Austria</v>
      </c>
      <c r="T3552" s="40" t="str">
        <f t="shared" si="238"/>
        <v>OK</v>
      </c>
      <c r="U3552" s="40" t="str">
        <f t="shared" si="239"/>
        <v>-</v>
      </c>
      <c r="V3552" s="40" t="str" cm="1">
        <f t="array" ref="V3552">_xlfn.IFS(
ISNUMBER(SEARCH("USA",S3552)),"United States",
ISNUMBER(SEARCH("Republic of Ireland",S3552)),"Ireland",
ISNUMBER(SEARCH("Republic of Korea",S3552)),"South Korea",
ISNUMBER(SEARCH("Cape Verde",S3552)),"Cabo Verde",
ISNUMBER(SEARCH("Czechia",S3552)),"Czech Republic",
ISNUMBER(SEARCH("Türkiye",S3552)),"Turkey",
ISNUMBER(SEARCH("Ivory Coast",S3552)),"Côte d'Ivoire",
ISNUMBER(SEARCH("Korea Republic",S3552)),"South Korea",
ISNUMBER(SEARCH("Germany FR",S3552)),"FR Germany",
ISNUMBER(SEARCH("West Germany",S3552)),"FR Germany",
ISNUMBER(SEARCH("Germany DR",S3552)),"DR Germany",
ISNUMBER(SEARCH("Korea DPR",S3552)),"North Korea",
ISNUMBER(SEARCH("China PR",S3552)),"China",
ISNUMBER(SEARCH("IR Iran",S3552)),"Iran",
ISNUMBER(SEARCH("Congo DR",S3552)),"Democratic Republic of the Congo",
ISNUMBER(SEARCH("DR Congo",S3552)),"Democratic Republic of the Congo",
ISNUMBER(SEARCH("German DR",S3552)),"DR Germany",
ISNUMBER(SEARCH("rn""&gt;United Arab Emirates",S3552)),"United Arab Emirates",
ISNUMBER(SEARCH("rn""&gt;Republic of Ireland",S3552)),"Ireland",
ISNUMBER(SEARCH("rn""&gt;Bosnia and Herzegovina",S3552)),"Bosnia and Herzegovina",
ISNUMBER(SEARCH("rn""&gt;Trinidad and Tobago",S3552)),"Trinidad and Tobago",
ISNUMBER(SEARCH("rn""&gt;Serbia and Montenegro",S3552)),"Serbia and Montenegro",
ISNUMBER(SEARCH(_xlfn.UNICHAR(65533),S3552)),"Côte d'Ivoire",
TRUE,""
)</f>
        <v/>
      </c>
      <c r="W3552" s="40" t="str">
        <f t="shared" si="240"/>
        <v>Austria</v>
      </c>
    </row>
    <row r="3553" spans="19:23">
      <c r="S3553" s="40" t="str">
        <v>Argentina</v>
      </c>
      <c r="T3553" s="40" t="str">
        <f t="shared" si="238"/>
        <v>OK</v>
      </c>
      <c r="U3553" s="40" t="str">
        <f t="shared" si="239"/>
        <v>-</v>
      </c>
      <c r="V3553" s="40" t="str" cm="1">
        <f t="array" ref="V3553">_xlfn.IFS(
ISNUMBER(SEARCH("USA",S3553)),"United States",
ISNUMBER(SEARCH("Republic of Ireland",S3553)),"Ireland",
ISNUMBER(SEARCH("Republic of Korea",S3553)),"South Korea",
ISNUMBER(SEARCH("Cape Verde",S3553)),"Cabo Verde",
ISNUMBER(SEARCH("Czechia",S3553)),"Czech Republic",
ISNUMBER(SEARCH("Türkiye",S3553)),"Turkey",
ISNUMBER(SEARCH("Ivory Coast",S3553)),"Côte d'Ivoire",
ISNUMBER(SEARCH("Korea Republic",S3553)),"South Korea",
ISNUMBER(SEARCH("Germany FR",S3553)),"FR Germany",
ISNUMBER(SEARCH("West Germany",S3553)),"FR Germany",
ISNUMBER(SEARCH("Germany DR",S3553)),"DR Germany",
ISNUMBER(SEARCH("Korea DPR",S3553)),"North Korea",
ISNUMBER(SEARCH("China PR",S3553)),"China",
ISNUMBER(SEARCH("IR Iran",S3553)),"Iran",
ISNUMBER(SEARCH("Congo DR",S3553)),"Democratic Republic of the Congo",
ISNUMBER(SEARCH("DR Congo",S3553)),"Democratic Republic of the Congo",
ISNUMBER(SEARCH("German DR",S3553)),"DR Germany",
ISNUMBER(SEARCH("rn""&gt;United Arab Emirates",S3553)),"United Arab Emirates",
ISNUMBER(SEARCH("rn""&gt;Republic of Ireland",S3553)),"Ireland",
ISNUMBER(SEARCH("rn""&gt;Bosnia and Herzegovina",S3553)),"Bosnia and Herzegovina",
ISNUMBER(SEARCH("rn""&gt;Trinidad and Tobago",S3553)),"Trinidad and Tobago",
ISNUMBER(SEARCH("rn""&gt;Serbia and Montenegro",S3553)),"Serbia and Montenegro",
ISNUMBER(SEARCH(_xlfn.UNICHAR(65533),S3553)),"Côte d'Ivoire",
TRUE,""
)</f>
        <v/>
      </c>
      <c r="W3553" s="40" t="str">
        <f t="shared" si="240"/>
        <v>Argentina</v>
      </c>
    </row>
    <row r="3554" spans="19:23">
      <c r="S3554" s="40" t="str">
        <v>England</v>
      </c>
      <c r="T3554" s="40" t="str">
        <f t="shared" si="238"/>
        <v>ERREUR</v>
      </c>
      <c r="U3554" s="40" t="str">
        <f t="shared" si="239"/>
        <v>AUCUNE</v>
      </c>
      <c r="V3554" s="40" t="str" cm="1">
        <f t="array" ref="V3554">_xlfn.IFS(
ISNUMBER(SEARCH("USA",S3554)),"United States",
ISNUMBER(SEARCH("Republic of Ireland",S3554)),"Ireland",
ISNUMBER(SEARCH("Republic of Korea",S3554)),"South Korea",
ISNUMBER(SEARCH("Cape Verde",S3554)),"Cabo Verde",
ISNUMBER(SEARCH("Czechia",S3554)),"Czech Republic",
ISNUMBER(SEARCH("Türkiye",S3554)),"Turkey",
ISNUMBER(SEARCH("Ivory Coast",S3554)),"Côte d'Ivoire",
ISNUMBER(SEARCH("Korea Republic",S3554)),"South Korea",
ISNUMBER(SEARCH("Germany FR",S3554)),"FR Germany",
ISNUMBER(SEARCH("West Germany",S3554)),"FR Germany",
ISNUMBER(SEARCH("Germany DR",S3554)),"DR Germany",
ISNUMBER(SEARCH("Korea DPR",S3554)),"North Korea",
ISNUMBER(SEARCH("China PR",S3554)),"China",
ISNUMBER(SEARCH("IR Iran",S3554)),"Iran",
ISNUMBER(SEARCH("Congo DR",S3554)),"Democratic Republic of the Congo",
ISNUMBER(SEARCH("DR Congo",S3554)),"Democratic Republic of the Congo",
ISNUMBER(SEARCH("German DR",S3554)),"DR Germany",
ISNUMBER(SEARCH("rn""&gt;United Arab Emirates",S3554)),"United Arab Emirates",
ISNUMBER(SEARCH("rn""&gt;Republic of Ireland",S3554)),"Ireland",
ISNUMBER(SEARCH("rn""&gt;Bosnia and Herzegovina",S3554)),"Bosnia and Herzegovina",
ISNUMBER(SEARCH("rn""&gt;Trinidad and Tobago",S3554)),"Trinidad and Tobago",
ISNUMBER(SEARCH("rn""&gt;Serbia and Montenegro",S3554)),"Serbia and Montenegro",
ISNUMBER(SEARCH(_xlfn.UNICHAR(65533),S3554)),"Côte d'Ivoire",
TRUE,""
)</f>
        <v/>
      </c>
      <c r="W3554" s="40" t="str">
        <f t="shared" si="240"/>
        <v>England</v>
      </c>
    </row>
    <row r="3555" spans="19:23">
      <c r="S3555" s="40" t="str">
        <v>Czechoslovakia</v>
      </c>
      <c r="T3555" s="40" t="str">
        <f t="shared" si="238"/>
        <v>ERREUR</v>
      </c>
      <c r="U3555" s="40" t="str">
        <f t="shared" si="239"/>
        <v>AUCUNE</v>
      </c>
      <c r="V3555" s="40" t="str" cm="1">
        <f t="array" ref="V3555">_xlfn.IFS(
ISNUMBER(SEARCH("USA",S3555)),"United States",
ISNUMBER(SEARCH("Republic of Ireland",S3555)),"Ireland",
ISNUMBER(SEARCH("Republic of Korea",S3555)),"South Korea",
ISNUMBER(SEARCH("Cape Verde",S3555)),"Cabo Verde",
ISNUMBER(SEARCH("Czechia",S3555)),"Czech Republic",
ISNUMBER(SEARCH("Türkiye",S3555)),"Turkey",
ISNUMBER(SEARCH("Ivory Coast",S3555)),"Côte d'Ivoire",
ISNUMBER(SEARCH("Korea Republic",S3555)),"South Korea",
ISNUMBER(SEARCH("Germany FR",S3555)),"FR Germany",
ISNUMBER(SEARCH("West Germany",S3555)),"FR Germany",
ISNUMBER(SEARCH("Germany DR",S3555)),"DR Germany",
ISNUMBER(SEARCH("Korea DPR",S3555)),"North Korea",
ISNUMBER(SEARCH("China PR",S3555)),"China",
ISNUMBER(SEARCH("IR Iran",S3555)),"Iran",
ISNUMBER(SEARCH("Congo DR",S3555)),"Democratic Republic of the Congo",
ISNUMBER(SEARCH("DR Congo",S3555)),"Democratic Republic of the Congo",
ISNUMBER(SEARCH("German DR",S3555)),"DR Germany",
ISNUMBER(SEARCH("rn""&gt;United Arab Emirates",S3555)),"United Arab Emirates",
ISNUMBER(SEARCH("rn""&gt;Republic of Ireland",S3555)),"Ireland",
ISNUMBER(SEARCH("rn""&gt;Bosnia and Herzegovina",S3555)),"Bosnia and Herzegovina",
ISNUMBER(SEARCH("rn""&gt;Trinidad and Tobago",S3555)),"Trinidad and Tobago",
ISNUMBER(SEARCH("rn""&gt;Serbia and Montenegro",S3555)),"Serbia and Montenegro",
ISNUMBER(SEARCH(_xlfn.UNICHAR(65533),S3555)),"Côte d'Ivoire",
TRUE,""
)</f>
        <v/>
      </c>
      <c r="W3555" s="40" t="str">
        <f t="shared" si="240"/>
        <v>Czechoslovakia</v>
      </c>
    </row>
    <row r="3556" spans="19:23">
      <c r="S3556" s="40" t="str">
        <v>Hungary</v>
      </c>
      <c r="T3556" s="40" t="str">
        <f t="shared" si="238"/>
        <v>OK</v>
      </c>
      <c r="U3556" s="40" t="str">
        <f t="shared" si="239"/>
        <v>-</v>
      </c>
      <c r="V3556" s="40" t="str" cm="1">
        <f t="array" ref="V3556">_xlfn.IFS(
ISNUMBER(SEARCH("USA",S3556)),"United States",
ISNUMBER(SEARCH("Republic of Ireland",S3556)),"Ireland",
ISNUMBER(SEARCH("Republic of Korea",S3556)),"South Korea",
ISNUMBER(SEARCH("Cape Verde",S3556)),"Cabo Verde",
ISNUMBER(SEARCH("Czechia",S3556)),"Czech Republic",
ISNUMBER(SEARCH("Türkiye",S3556)),"Turkey",
ISNUMBER(SEARCH("Ivory Coast",S3556)),"Côte d'Ivoire",
ISNUMBER(SEARCH("Korea Republic",S3556)),"South Korea",
ISNUMBER(SEARCH("Germany FR",S3556)),"FR Germany",
ISNUMBER(SEARCH("West Germany",S3556)),"FR Germany",
ISNUMBER(SEARCH("Germany DR",S3556)),"DR Germany",
ISNUMBER(SEARCH("Korea DPR",S3556)),"North Korea",
ISNUMBER(SEARCH("China PR",S3556)),"China",
ISNUMBER(SEARCH("IR Iran",S3556)),"Iran",
ISNUMBER(SEARCH("Congo DR",S3556)),"Democratic Republic of the Congo",
ISNUMBER(SEARCH("DR Congo",S3556)),"Democratic Republic of the Congo",
ISNUMBER(SEARCH("German DR",S3556)),"DR Germany",
ISNUMBER(SEARCH("rn""&gt;United Arab Emirates",S3556)),"United Arab Emirates",
ISNUMBER(SEARCH("rn""&gt;Republic of Ireland",S3556)),"Ireland",
ISNUMBER(SEARCH("rn""&gt;Bosnia and Herzegovina",S3556)),"Bosnia and Herzegovina",
ISNUMBER(SEARCH("rn""&gt;Trinidad and Tobago",S3556)),"Trinidad and Tobago",
ISNUMBER(SEARCH("rn""&gt;Serbia and Montenegro",S3556)),"Serbia and Montenegro",
ISNUMBER(SEARCH(_xlfn.UNICHAR(65533),S3556)),"Côte d'Ivoire",
TRUE,""
)</f>
        <v/>
      </c>
      <c r="W3556" s="40" t="str">
        <f t="shared" si="240"/>
        <v>Hungary</v>
      </c>
    </row>
    <row r="3557" spans="19:23">
      <c r="S3557" s="40" t="str">
        <v>Wales</v>
      </c>
      <c r="T3557" s="40" t="str">
        <f t="shared" si="238"/>
        <v>ERREUR</v>
      </c>
      <c r="U3557" s="40" t="str">
        <f t="shared" si="239"/>
        <v>AUCUNE</v>
      </c>
      <c r="V3557" s="40" t="str" cm="1">
        <f t="array" ref="V3557">_xlfn.IFS(
ISNUMBER(SEARCH("USA",S3557)),"United States",
ISNUMBER(SEARCH("Republic of Ireland",S3557)),"Ireland",
ISNUMBER(SEARCH("Republic of Korea",S3557)),"South Korea",
ISNUMBER(SEARCH("Cape Verde",S3557)),"Cabo Verde",
ISNUMBER(SEARCH("Czechia",S3557)),"Czech Republic",
ISNUMBER(SEARCH("Türkiye",S3557)),"Turkey",
ISNUMBER(SEARCH("Ivory Coast",S3557)),"Côte d'Ivoire",
ISNUMBER(SEARCH("Korea Republic",S3557)),"South Korea",
ISNUMBER(SEARCH("Germany FR",S3557)),"FR Germany",
ISNUMBER(SEARCH("West Germany",S3557)),"FR Germany",
ISNUMBER(SEARCH("Germany DR",S3557)),"DR Germany",
ISNUMBER(SEARCH("Korea DPR",S3557)),"North Korea",
ISNUMBER(SEARCH("China PR",S3557)),"China",
ISNUMBER(SEARCH("IR Iran",S3557)),"Iran",
ISNUMBER(SEARCH("Congo DR",S3557)),"Democratic Republic of the Congo",
ISNUMBER(SEARCH("DR Congo",S3557)),"Democratic Republic of the Congo",
ISNUMBER(SEARCH("German DR",S3557)),"DR Germany",
ISNUMBER(SEARCH("rn""&gt;United Arab Emirates",S3557)),"United Arab Emirates",
ISNUMBER(SEARCH("rn""&gt;Republic of Ireland",S3557)),"Ireland",
ISNUMBER(SEARCH("rn""&gt;Bosnia and Herzegovina",S3557)),"Bosnia and Herzegovina",
ISNUMBER(SEARCH("rn""&gt;Trinidad and Tobago",S3557)),"Trinidad and Tobago",
ISNUMBER(SEARCH("rn""&gt;Serbia and Montenegro",S3557)),"Serbia and Montenegro",
ISNUMBER(SEARCH(_xlfn.UNICHAR(65533),S3557)),"Côte d'Ivoire",
TRUE,""
)</f>
        <v/>
      </c>
      <c r="W3557" s="40" t="str">
        <f t="shared" si="240"/>
        <v>Wales</v>
      </c>
    </row>
    <row r="3558" spans="19:23">
      <c r="S3558" s="40" t="str">
        <v>Yugoslavia</v>
      </c>
      <c r="T3558" s="40" t="str">
        <f t="shared" si="238"/>
        <v>ERREUR</v>
      </c>
      <c r="U3558" s="40" t="str">
        <f t="shared" si="239"/>
        <v>AUCUNE</v>
      </c>
      <c r="V3558" s="40" t="str" cm="1">
        <f t="array" ref="V3558">_xlfn.IFS(
ISNUMBER(SEARCH("USA",S3558)),"United States",
ISNUMBER(SEARCH("Republic of Ireland",S3558)),"Ireland",
ISNUMBER(SEARCH("Republic of Korea",S3558)),"South Korea",
ISNUMBER(SEARCH("Cape Verde",S3558)),"Cabo Verde",
ISNUMBER(SEARCH("Czechia",S3558)),"Czech Republic",
ISNUMBER(SEARCH("Türkiye",S3558)),"Turkey",
ISNUMBER(SEARCH("Ivory Coast",S3558)),"Côte d'Ivoire",
ISNUMBER(SEARCH("Korea Republic",S3558)),"South Korea",
ISNUMBER(SEARCH("Germany FR",S3558)),"FR Germany",
ISNUMBER(SEARCH("West Germany",S3558)),"FR Germany",
ISNUMBER(SEARCH("Germany DR",S3558)),"DR Germany",
ISNUMBER(SEARCH("Korea DPR",S3558)),"North Korea",
ISNUMBER(SEARCH("China PR",S3558)),"China",
ISNUMBER(SEARCH("IR Iran",S3558)),"Iran",
ISNUMBER(SEARCH("Congo DR",S3558)),"Democratic Republic of the Congo",
ISNUMBER(SEARCH("DR Congo",S3558)),"Democratic Republic of the Congo",
ISNUMBER(SEARCH("German DR",S3558)),"DR Germany",
ISNUMBER(SEARCH("rn""&gt;United Arab Emirates",S3558)),"United Arab Emirates",
ISNUMBER(SEARCH("rn""&gt;Republic of Ireland",S3558)),"Ireland",
ISNUMBER(SEARCH("rn""&gt;Bosnia and Herzegovina",S3558)),"Bosnia and Herzegovina",
ISNUMBER(SEARCH("rn""&gt;Trinidad and Tobago",S3558)),"Trinidad and Tobago",
ISNUMBER(SEARCH("rn""&gt;Serbia and Montenegro",S3558)),"Serbia and Montenegro",
ISNUMBER(SEARCH(_xlfn.UNICHAR(65533),S3558)),"Côte d'Ivoire",
TRUE,""
)</f>
        <v/>
      </c>
      <c r="W3558" s="40" t="str">
        <f t="shared" si="240"/>
        <v>Yugoslavia</v>
      </c>
    </row>
    <row r="3559" spans="19:23">
      <c r="S3559" s="40" t="str">
        <v>Soviet Union</v>
      </c>
      <c r="T3559" s="40" t="str">
        <f t="shared" si="238"/>
        <v>ERREUR</v>
      </c>
      <c r="U3559" s="40" t="str">
        <f t="shared" si="239"/>
        <v>AUCUNE</v>
      </c>
      <c r="V3559" s="40" t="str" cm="1">
        <f t="array" ref="V3559">_xlfn.IFS(
ISNUMBER(SEARCH("USA",S3559)),"United States",
ISNUMBER(SEARCH("Republic of Ireland",S3559)),"Ireland",
ISNUMBER(SEARCH("Republic of Korea",S3559)),"South Korea",
ISNUMBER(SEARCH("Cape Verde",S3559)),"Cabo Verde",
ISNUMBER(SEARCH("Czechia",S3559)),"Czech Republic",
ISNUMBER(SEARCH("Türkiye",S3559)),"Turkey",
ISNUMBER(SEARCH("Ivory Coast",S3559)),"Côte d'Ivoire",
ISNUMBER(SEARCH("Korea Republic",S3559)),"South Korea",
ISNUMBER(SEARCH("Germany FR",S3559)),"FR Germany",
ISNUMBER(SEARCH("West Germany",S3559)),"FR Germany",
ISNUMBER(SEARCH("Germany DR",S3559)),"DR Germany",
ISNUMBER(SEARCH("Korea DPR",S3559)),"North Korea",
ISNUMBER(SEARCH("China PR",S3559)),"China",
ISNUMBER(SEARCH("IR Iran",S3559)),"Iran",
ISNUMBER(SEARCH("Congo DR",S3559)),"Democratic Republic of the Congo",
ISNUMBER(SEARCH("DR Congo",S3559)),"Democratic Republic of the Congo",
ISNUMBER(SEARCH("German DR",S3559)),"DR Germany",
ISNUMBER(SEARCH("rn""&gt;United Arab Emirates",S3559)),"United Arab Emirates",
ISNUMBER(SEARCH("rn""&gt;Republic of Ireland",S3559)),"Ireland",
ISNUMBER(SEARCH("rn""&gt;Bosnia and Herzegovina",S3559)),"Bosnia and Herzegovina",
ISNUMBER(SEARCH("rn""&gt;Trinidad and Tobago",S3559)),"Trinidad and Tobago",
ISNUMBER(SEARCH("rn""&gt;Serbia and Montenegro",S3559)),"Serbia and Montenegro",
ISNUMBER(SEARCH(_xlfn.UNICHAR(65533),S3559)),"Côte d'Ivoire",
TRUE,""
)</f>
        <v/>
      </c>
      <c r="W3559" s="40" t="str">
        <f t="shared" si="240"/>
        <v>Soviet Union</v>
      </c>
    </row>
    <row r="3560" spans="19:23">
      <c r="S3560" s="40" t="str">
        <v>Northern Ireland</v>
      </c>
      <c r="T3560" s="40" t="str">
        <f t="shared" si="238"/>
        <v>ERREUR</v>
      </c>
      <c r="U3560" s="40" t="str">
        <f t="shared" si="239"/>
        <v>AUCUNE</v>
      </c>
      <c r="V3560" s="40" t="str" cm="1">
        <f t="array" ref="V3560">_xlfn.IFS(
ISNUMBER(SEARCH("USA",S3560)),"United States",
ISNUMBER(SEARCH("Republic of Ireland",S3560)),"Ireland",
ISNUMBER(SEARCH("Republic of Korea",S3560)),"South Korea",
ISNUMBER(SEARCH("Cape Verde",S3560)),"Cabo Verde",
ISNUMBER(SEARCH("Czechia",S3560)),"Czech Republic",
ISNUMBER(SEARCH("Türkiye",S3560)),"Turkey",
ISNUMBER(SEARCH("Ivory Coast",S3560)),"Côte d'Ivoire",
ISNUMBER(SEARCH("Korea Republic",S3560)),"South Korea",
ISNUMBER(SEARCH("Germany FR",S3560)),"FR Germany",
ISNUMBER(SEARCH("West Germany",S3560)),"FR Germany",
ISNUMBER(SEARCH("Germany DR",S3560)),"DR Germany",
ISNUMBER(SEARCH("Korea DPR",S3560)),"North Korea",
ISNUMBER(SEARCH("China PR",S3560)),"China",
ISNUMBER(SEARCH("IR Iran",S3560)),"Iran",
ISNUMBER(SEARCH("Congo DR",S3560)),"Democratic Republic of the Congo",
ISNUMBER(SEARCH("DR Congo",S3560)),"Democratic Republic of the Congo",
ISNUMBER(SEARCH("German DR",S3560)),"DR Germany",
ISNUMBER(SEARCH("rn""&gt;United Arab Emirates",S3560)),"United Arab Emirates",
ISNUMBER(SEARCH("rn""&gt;Republic of Ireland",S3560)),"Ireland",
ISNUMBER(SEARCH("rn""&gt;Bosnia and Herzegovina",S3560)),"Bosnia and Herzegovina",
ISNUMBER(SEARCH("rn""&gt;Trinidad and Tobago",S3560)),"Trinidad and Tobago",
ISNUMBER(SEARCH("rn""&gt;Serbia and Montenegro",S3560)),"Serbia and Montenegro",
ISNUMBER(SEARCH(_xlfn.UNICHAR(65533),S3560)),"Côte d'Ivoire",
TRUE,""
)</f>
        <v/>
      </c>
      <c r="W3560" s="40" t="str">
        <f t="shared" si="240"/>
        <v>Northern Ireland</v>
      </c>
    </row>
    <row r="3561" spans="19:23">
      <c r="S3561" s="40" t="str">
        <v>Germany FR</v>
      </c>
      <c r="T3561" s="40" t="str">
        <f t="shared" si="238"/>
        <v>ERREUR</v>
      </c>
      <c r="U3561" s="40" t="str">
        <f t="shared" si="239"/>
        <v>RENOMMER</v>
      </c>
      <c r="V3561" s="40" t="str" cm="1">
        <f t="array" ref="V3561">_xlfn.IFS(
ISNUMBER(SEARCH("USA",S3561)),"United States",
ISNUMBER(SEARCH("Republic of Ireland",S3561)),"Ireland",
ISNUMBER(SEARCH("Republic of Korea",S3561)),"South Korea",
ISNUMBER(SEARCH("Cape Verde",S3561)),"Cabo Verde",
ISNUMBER(SEARCH("Czechia",S3561)),"Czech Republic",
ISNUMBER(SEARCH("Türkiye",S3561)),"Turkey",
ISNUMBER(SEARCH("Ivory Coast",S3561)),"Côte d'Ivoire",
ISNUMBER(SEARCH("Korea Republic",S3561)),"South Korea",
ISNUMBER(SEARCH("Germany FR",S3561)),"FR Germany",
ISNUMBER(SEARCH("West Germany",S3561)),"FR Germany",
ISNUMBER(SEARCH("Germany DR",S3561)),"DR Germany",
ISNUMBER(SEARCH("Korea DPR",S3561)),"North Korea",
ISNUMBER(SEARCH("China PR",S3561)),"China",
ISNUMBER(SEARCH("IR Iran",S3561)),"Iran",
ISNUMBER(SEARCH("Congo DR",S3561)),"Democratic Republic of the Congo",
ISNUMBER(SEARCH("DR Congo",S3561)),"Democratic Republic of the Congo",
ISNUMBER(SEARCH("German DR",S3561)),"DR Germany",
ISNUMBER(SEARCH("rn""&gt;United Arab Emirates",S3561)),"United Arab Emirates",
ISNUMBER(SEARCH("rn""&gt;Republic of Ireland",S3561)),"Ireland",
ISNUMBER(SEARCH("rn""&gt;Bosnia and Herzegovina",S3561)),"Bosnia and Herzegovina",
ISNUMBER(SEARCH("rn""&gt;Trinidad and Tobago",S3561)),"Trinidad and Tobago",
ISNUMBER(SEARCH("rn""&gt;Serbia and Montenegro",S3561)),"Serbia and Montenegro",
ISNUMBER(SEARCH(_xlfn.UNICHAR(65533),S3561)),"Côte d'Ivoire",
TRUE,""
)</f>
        <v>FR Germany</v>
      </c>
      <c r="W3561" s="40" t="str">
        <f t="shared" si="240"/>
        <v>FR Germany</v>
      </c>
    </row>
    <row r="3562" spans="19:23">
      <c r="S3562" s="40" t="str">
        <v>France</v>
      </c>
      <c r="T3562" s="40" t="str">
        <f t="shared" si="238"/>
        <v>OK</v>
      </c>
      <c r="U3562" s="40" t="str">
        <f t="shared" si="239"/>
        <v>-</v>
      </c>
      <c r="V3562" s="40" t="str" cm="1">
        <f t="array" ref="V3562">_xlfn.IFS(
ISNUMBER(SEARCH("USA",S3562)),"United States",
ISNUMBER(SEARCH("Republic of Ireland",S3562)),"Ireland",
ISNUMBER(SEARCH("Republic of Korea",S3562)),"South Korea",
ISNUMBER(SEARCH("Cape Verde",S3562)),"Cabo Verde",
ISNUMBER(SEARCH("Czechia",S3562)),"Czech Republic",
ISNUMBER(SEARCH("Türkiye",S3562)),"Turkey",
ISNUMBER(SEARCH("Ivory Coast",S3562)),"Côte d'Ivoire",
ISNUMBER(SEARCH("Korea Republic",S3562)),"South Korea",
ISNUMBER(SEARCH("Germany FR",S3562)),"FR Germany",
ISNUMBER(SEARCH("West Germany",S3562)),"FR Germany",
ISNUMBER(SEARCH("Germany DR",S3562)),"DR Germany",
ISNUMBER(SEARCH("Korea DPR",S3562)),"North Korea",
ISNUMBER(SEARCH("China PR",S3562)),"China",
ISNUMBER(SEARCH("IR Iran",S3562)),"Iran",
ISNUMBER(SEARCH("Congo DR",S3562)),"Democratic Republic of the Congo",
ISNUMBER(SEARCH("DR Congo",S3562)),"Democratic Republic of the Congo",
ISNUMBER(SEARCH("German DR",S3562)),"DR Germany",
ISNUMBER(SEARCH("rn""&gt;United Arab Emirates",S3562)),"United Arab Emirates",
ISNUMBER(SEARCH("rn""&gt;Republic of Ireland",S3562)),"Ireland",
ISNUMBER(SEARCH("rn""&gt;Bosnia and Herzegovina",S3562)),"Bosnia and Herzegovina",
ISNUMBER(SEARCH("rn""&gt;Trinidad and Tobago",S3562)),"Trinidad and Tobago",
ISNUMBER(SEARCH("rn""&gt;Serbia and Montenegro",S3562)),"Serbia and Montenegro",
ISNUMBER(SEARCH(_xlfn.UNICHAR(65533),S3562)),"Côte d'Ivoire",
TRUE,""
)</f>
        <v/>
      </c>
      <c r="W3562" s="40" t="str">
        <f t="shared" si="240"/>
        <v>France</v>
      </c>
    </row>
    <row r="3563" spans="19:23">
      <c r="S3563" s="40" t="str">
        <v>Germany FR</v>
      </c>
      <c r="T3563" s="40" t="str">
        <f t="shared" si="238"/>
        <v>ERREUR</v>
      </c>
      <c r="U3563" s="40" t="str">
        <f t="shared" si="239"/>
        <v>RENOMMER</v>
      </c>
      <c r="V3563" s="40" t="str" cm="1">
        <f t="array" ref="V3563">_xlfn.IFS(
ISNUMBER(SEARCH("USA",S3563)),"United States",
ISNUMBER(SEARCH("Republic of Ireland",S3563)),"Ireland",
ISNUMBER(SEARCH("Republic of Korea",S3563)),"South Korea",
ISNUMBER(SEARCH("Cape Verde",S3563)),"Cabo Verde",
ISNUMBER(SEARCH("Czechia",S3563)),"Czech Republic",
ISNUMBER(SEARCH("Türkiye",S3563)),"Turkey",
ISNUMBER(SEARCH("Ivory Coast",S3563)),"Côte d'Ivoire",
ISNUMBER(SEARCH("Korea Republic",S3563)),"South Korea",
ISNUMBER(SEARCH("Germany FR",S3563)),"FR Germany",
ISNUMBER(SEARCH("West Germany",S3563)),"FR Germany",
ISNUMBER(SEARCH("Germany DR",S3563)),"DR Germany",
ISNUMBER(SEARCH("Korea DPR",S3563)),"North Korea",
ISNUMBER(SEARCH("China PR",S3563)),"China",
ISNUMBER(SEARCH("IR Iran",S3563)),"Iran",
ISNUMBER(SEARCH("Congo DR",S3563)),"Democratic Republic of the Congo",
ISNUMBER(SEARCH("DR Congo",S3563)),"Democratic Republic of the Congo",
ISNUMBER(SEARCH("German DR",S3563)),"DR Germany",
ISNUMBER(SEARCH("rn""&gt;United Arab Emirates",S3563)),"United Arab Emirates",
ISNUMBER(SEARCH("rn""&gt;Republic of Ireland",S3563)),"Ireland",
ISNUMBER(SEARCH("rn""&gt;Bosnia and Herzegovina",S3563)),"Bosnia and Herzegovina",
ISNUMBER(SEARCH("rn""&gt;Trinidad and Tobago",S3563)),"Trinidad and Tobago",
ISNUMBER(SEARCH("rn""&gt;Serbia and Montenegro",S3563)),"Serbia and Montenegro",
ISNUMBER(SEARCH(_xlfn.UNICHAR(65533),S3563)),"Côte d'Ivoire",
TRUE,""
)</f>
        <v>FR Germany</v>
      </c>
      <c r="W3563" s="40" t="str">
        <f t="shared" si="240"/>
        <v>FR Germany</v>
      </c>
    </row>
    <row r="3564" spans="19:23">
      <c r="S3564" s="40" t="str">
        <v>Sweden</v>
      </c>
      <c r="T3564" s="40" t="str">
        <f t="shared" si="238"/>
        <v>OK</v>
      </c>
      <c r="U3564" s="40" t="str">
        <f t="shared" si="239"/>
        <v>-</v>
      </c>
      <c r="V3564" s="40" t="str" cm="1">
        <f t="array" ref="V3564">_xlfn.IFS(
ISNUMBER(SEARCH("USA",S3564)),"United States",
ISNUMBER(SEARCH("Republic of Ireland",S3564)),"Ireland",
ISNUMBER(SEARCH("Republic of Korea",S3564)),"South Korea",
ISNUMBER(SEARCH("Cape Verde",S3564)),"Cabo Verde",
ISNUMBER(SEARCH("Czechia",S3564)),"Czech Republic",
ISNUMBER(SEARCH("Türkiye",S3564)),"Turkey",
ISNUMBER(SEARCH("Ivory Coast",S3564)),"Côte d'Ivoire",
ISNUMBER(SEARCH("Korea Republic",S3564)),"South Korea",
ISNUMBER(SEARCH("Germany FR",S3564)),"FR Germany",
ISNUMBER(SEARCH("West Germany",S3564)),"FR Germany",
ISNUMBER(SEARCH("Germany DR",S3564)),"DR Germany",
ISNUMBER(SEARCH("Korea DPR",S3564)),"North Korea",
ISNUMBER(SEARCH("China PR",S3564)),"China",
ISNUMBER(SEARCH("IR Iran",S3564)),"Iran",
ISNUMBER(SEARCH("Congo DR",S3564)),"Democratic Republic of the Congo",
ISNUMBER(SEARCH("DR Congo",S3564)),"Democratic Republic of the Congo",
ISNUMBER(SEARCH("German DR",S3564)),"DR Germany",
ISNUMBER(SEARCH("rn""&gt;United Arab Emirates",S3564)),"United Arab Emirates",
ISNUMBER(SEARCH("rn""&gt;Republic of Ireland",S3564)),"Ireland",
ISNUMBER(SEARCH("rn""&gt;Bosnia and Herzegovina",S3564)),"Bosnia and Herzegovina",
ISNUMBER(SEARCH("rn""&gt;Trinidad and Tobago",S3564)),"Trinidad and Tobago",
ISNUMBER(SEARCH("rn""&gt;Serbia and Montenegro",S3564)),"Serbia and Montenegro",
ISNUMBER(SEARCH(_xlfn.UNICHAR(65533),S3564)),"Côte d'Ivoire",
TRUE,""
)</f>
        <v/>
      </c>
      <c r="W3564" s="40" t="str">
        <f t="shared" si="240"/>
        <v>Sweden</v>
      </c>
    </row>
    <row r="3565" spans="19:23">
      <c r="S3565" s="40" t="str">
        <v>Colombia</v>
      </c>
      <c r="T3565" s="40" t="str">
        <f t="shared" si="238"/>
        <v>OK</v>
      </c>
      <c r="U3565" s="40" t="str">
        <f t="shared" si="239"/>
        <v>-</v>
      </c>
      <c r="V3565" s="40" t="str" cm="1">
        <f t="array" ref="V3565">_xlfn.IFS(
ISNUMBER(SEARCH("USA",S3565)),"United States",
ISNUMBER(SEARCH("Republic of Ireland",S3565)),"Ireland",
ISNUMBER(SEARCH("Republic of Korea",S3565)),"South Korea",
ISNUMBER(SEARCH("Cape Verde",S3565)),"Cabo Verde",
ISNUMBER(SEARCH("Czechia",S3565)),"Czech Republic",
ISNUMBER(SEARCH("Türkiye",S3565)),"Turkey",
ISNUMBER(SEARCH("Ivory Coast",S3565)),"Côte d'Ivoire",
ISNUMBER(SEARCH("Korea Republic",S3565)),"South Korea",
ISNUMBER(SEARCH("Germany FR",S3565)),"FR Germany",
ISNUMBER(SEARCH("West Germany",S3565)),"FR Germany",
ISNUMBER(SEARCH("Germany DR",S3565)),"DR Germany",
ISNUMBER(SEARCH("Korea DPR",S3565)),"North Korea",
ISNUMBER(SEARCH("China PR",S3565)),"China",
ISNUMBER(SEARCH("IR Iran",S3565)),"Iran",
ISNUMBER(SEARCH("Congo DR",S3565)),"Democratic Republic of the Congo",
ISNUMBER(SEARCH("DR Congo",S3565)),"Democratic Republic of the Congo",
ISNUMBER(SEARCH("German DR",S3565)),"DR Germany",
ISNUMBER(SEARCH("rn""&gt;United Arab Emirates",S3565)),"United Arab Emirates",
ISNUMBER(SEARCH("rn""&gt;Republic of Ireland",S3565)),"Ireland",
ISNUMBER(SEARCH("rn""&gt;Bosnia and Herzegovina",S3565)),"Bosnia and Herzegovina",
ISNUMBER(SEARCH("rn""&gt;Trinidad and Tobago",S3565)),"Trinidad and Tobago",
ISNUMBER(SEARCH("rn""&gt;Serbia and Montenegro",S3565)),"Serbia and Montenegro",
ISNUMBER(SEARCH(_xlfn.UNICHAR(65533),S3565)),"Côte d'Ivoire",
TRUE,""
)</f>
        <v/>
      </c>
      <c r="W3565" s="40" t="str">
        <f t="shared" si="240"/>
        <v>Colombia</v>
      </c>
    </row>
    <row r="3566" spans="19:23">
      <c r="S3566" s="40" t="str">
        <v>Mexico</v>
      </c>
      <c r="T3566" s="40" t="str">
        <f t="shared" si="238"/>
        <v>OK</v>
      </c>
      <c r="U3566" s="40" t="str">
        <f t="shared" si="239"/>
        <v>-</v>
      </c>
      <c r="V3566" s="40" t="str" cm="1">
        <f t="array" ref="V3566">_xlfn.IFS(
ISNUMBER(SEARCH("USA",S3566)),"United States",
ISNUMBER(SEARCH("Republic of Ireland",S3566)),"Ireland",
ISNUMBER(SEARCH("Republic of Korea",S3566)),"South Korea",
ISNUMBER(SEARCH("Cape Verde",S3566)),"Cabo Verde",
ISNUMBER(SEARCH("Czechia",S3566)),"Czech Republic",
ISNUMBER(SEARCH("Türkiye",S3566)),"Turkey",
ISNUMBER(SEARCH("Ivory Coast",S3566)),"Côte d'Ivoire",
ISNUMBER(SEARCH("Korea Republic",S3566)),"South Korea",
ISNUMBER(SEARCH("Germany FR",S3566)),"FR Germany",
ISNUMBER(SEARCH("West Germany",S3566)),"FR Germany",
ISNUMBER(SEARCH("Germany DR",S3566)),"DR Germany",
ISNUMBER(SEARCH("Korea DPR",S3566)),"North Korea",
ISNUMBER(SEARCH("China PR",S3566)),"China",
ISNUMBER(SEARCH("IR Iran",S3566)),"Iran",
ISNUMBER(SEARCH("Congo DR",S3566)),"Democratic Republic of the Congo",
ISNUMBER(SEARCH("DR Congo",S3566)),"Democratic Republic of the Congo",
ISNUMBER(SEARCH("German DR",S3566)),"DR Germany",
ISNUMBER(SEARCH("rn""&gt;United Arab Emirates",S3566)),"United Arab Emirates",
ISNUMBER(SEARCH("rn""&gt;Republic of Ireland",S3566)),"Ireland",
ISNUMBER(SEARCH("rn""&gt;Bosnia and Herzegovina",S3566)),"Bosnia and Herzegovina",
ISNUMBER(SEARCH("rn""&gt;Trinidad and Tobago",S3566)),"Trinidad and Tobago",
ISNUMBER(SEARCH("rn""&gt;Serbia and Montenegro",S3566)),"Serbia and Montenegro",
ISNUMBER(SEARCH(_xlfn.UNICHAR(65533),S3566)),"Côte d'Ivoire",
TRUE,""
)</f>
        <v/>
      </c>
      <c r="W3566" s="40" t="str">
        <f t="shared" si="240"/>
        <v>Mexico</v>
      </c>
    </row>
    <row r="3567" spans="19:23">
      <c r="S3567" s="40" t="str">
        <v>Bulgaria</v>
      </c>
      <c r="T3567" s="40" t="str">
        <f t="shared" si="238"/>
        <v>OK</v>
      </c>
      <c r="U3567" s="40" t="str">
        <f t="shared" si="239"/>
        <v>-</v>
      </c>
      <c r="V3567" s="40" t="str" cm="1">
        <f t="array" ref="V3567">_xlfn.IFS(
ISNUMBER(SEARCH("USA",S3567)),"United States",
ISNUMBER(SEARCH("Republic of Ireland",S3567)),"Ireland",
ISNUMBER(SEARCH("Republic of Korea",S3567)),"South Korea",
ISNUMBER(SEARCH("Cape Verde",S3567)),"Cabo Verde",
ISNUMBER(SEARCH("Czechia",S3567)),"Czech Republic",
ISNUMBER(SEARCH("Türkiye",S3567)),"Turkey",
ISNUMBER(SEARCH("Ivory Coast",S3567)),"Côte d'Ivoire",
ISNUMBER(SEARCH("Korea Republic",S3567)),"South Korea",
ISNUMBER(SEARCH("Germany FR",S3567)),"FR Germany",
ISNUMBER(SEARCH("West Germany",S3567)),"FR Germany",
ISNUMBER(SEARCH("Germany DR",S3567)),"DR Germany",
ISNUMBER(SEARCH("Korea DPR",S3567)),"North Korea",
ISNUMBER(SEARCH("China PR",S3567)),"China",
ISNUMBER(SEARCH("IR Iran",S3567)),"Iran",
ISNUMBER(SEARCH("Congo DR",S3567)),"Democratic Republic of the Congo",
ISNUMBER(SEARCH("DR Congo",S3567)),"Democratic Republic of the Congo",
ISNUMBER(SEARCH("German DR",S3567)),"DR Germany",
ISNUMBER(SEARCH("rn""&gt;United Arab Emirates",S3567)),"United Arab Emirates",
ISNUMBER(SEARCH("rn""&gt;Republic of Ireland",S3567)),"Ireland",
ISNUMBER(SEARCH("rn""&gt;Bosnia and Herzegovina",S3567)),"Bosnia and Herzegovina",
ISNUMBER(SEARCH("rn""&gt;Trinidad and Tobago",S3567)),"Trinidad and Tobago",
ISNUMBER(SEARCH("rn""&gt;Serbia and Montenegro",S3567)),"Serbia and Montenegro",
ISNUMBER(SEARCH(_xlfn.UNICHAR(65533),S3567)),"Côte d'Ivoire",
TRUE,""
)</f>
        <v/>
      </c>
      <c r="W3567" s="40" t="str">
        <f t="shared" si="240"/>
        <v>Bulgaria</v>
      </c>
    </row>
    <row r="3568" spans="19:23">
      <c r="S3568" s="40" t="str">
        <v>Switzerland</v>
      </c>
      <c r="T3568" s="40" t="str">
        <f t="shared" si="238"/>
        <v>OK</v>
      </c>
      <c r="U3568" s="40" t="str">
        <f t="shared" si="239"/>
        <v>-</v>
      </c>
      <c r="V3568" s="40" t="str" cm="1">
        <f t="array" ref="V3568">_xlfn.IFS(
ISNUMBER(SEARCH("USA",S3568)),"United States",
ISNUMBER(SEARCH("Republic of Ireland",S3568)),"Ireland",
ISNUMBER(SEARCH("Republic of Korea",S3568)),"South Korea",
ISNUMBER(SEARCH("Cape Verde",S3568)),"Cabo Verde",
ISNUMBER(SEARCH("Czechia",S3568)),"Czech Republic",
ISNUMBER(SEARCH("Türkiye",S3568)),"Turkey",
ISNUMBER(SEARCH("Ivory Coast",S3568)),"Côte d'Ivoire",
ISNUMBER(SEARCH("Korea Republic",S3568)),"South Korea",
ISNUMBER(SEARCH("Germany FR",S3568)),"FR Germany",
ISNUMBER(SEARCH("West Germany",S3568)),"FR Germany",
ISNUMBER(SEARCH("Germany DR",S3568)),"DR Germany",
ISNUMBER(SEARCH("Korea DPR",S3568)),"North Korea",
ISNUMBER(SEARCH("China PR",S3568)),"China",
ISNUMBER(SEARCH("IR Iran",S3568)),"Iran",
ISNUMBER(SEARCH("Congo DR",S3568)),"Democratic Republic of the Congo",
ISNUMBER(SEARCH("DR Congo",S3568)),"Democratic Republic of the Congo",
ISNUMBER(SEARCH("German DR",S3568)),"DR Germany",
ISNUMBER(SEARCH("rn""&gt;United Arab Emirates",S3568)),"United Arab Emirates",
ISNUMBER(SEARCH("rn""&gt;Republic of Ireland",S3568)),"Ireland",
ISNUMBER(SEARCH("rn""&gt;Bosnia and Herzegovina",S3568)),"Bosnia and Herzegovina",
ISNUMBER(SEARCH("rn""&gt;Trinidad and Tobago",S3568)),"Trinidad and Tobago",
ISNUMBER(SEARCH("rn""&gt;Serbia and Montenegro",S3568)),"Serbia and Montenegro",
ISNUMBER(SEARCH(_xlfn.UNICHAR(65533),S3568)),"Côte d'Ivoire",
TRUE,""
)</f>
        <v/>
      </c>
      <c r="W3568" s="40" t="str">
        <f t="shared" si="240"/>
        <v>Switzerland</v>
      </c>
    </row>
    <row r="3569" spans="19:23">
      <c r="S3569" s="40" t="str">
        <v>Yugoslavia</v>
      </c>
      <c r="T3569" s="40" t="str">
        <f t="shared" si="238"/>
        <v>ERREUR</v>
      </c>
      <c r="U3569" s="40" t="str">
        <f t="shared" si="239"/>
        <v>AUCUNE</v>
      </c>
      <c r="V3569" s="40" t="str" cm="1">
        <f t="array" ref="V3569">_xlfn.IFS(
ISNUMBER(SEARCH("USA",S3569)),"United States",
ISNUMBER(SEARCH("Republic of Ireland",S3569)),"Ireland",
ISNUMBER(SEARCH("Republic of Korea",S3569)),"South Korea",
ISNUMBER(SEARCH("Cape Verde",S3569)),"Cabo Verde",
ISNUMBER(SEARCH("Czechia",S3569)),"Czech Republic",
ISNUMBER(SEARCH("Türkiye",S3569)),"Turkey",
ISNUMBER(SEARCH("Ivory Coast",S3569)),"Côte d'Ivoire",
ISNUMBER(SEARCH("Korea Republic",S3569)),"South Korea",
ISNUMBER(SEARCH("Germany FR",S3569)),"FR Germany",
ISNUMBER(SEARCH("West Germany",S3569)),"FR Germany",
ISNUMBER(SEARCH("Germany DR",S3569)),"DR Germany",
ISNUMBER(SEARCH("Korea DPR",S3569)),"North Korea",
ISNUMBER(SEARCH("China PR",S3569)),"China",
ISNUMBER(SEARCH("IR Iran",S3569)),"Iran",
ISNUMBER(SEARCH("Congo DR",S3569)),"Democratic Republic of the Congo",
ISNUMBER(SEARCH("DR Congo",S3569)),"Democratic Republic of the Congo",
ISNUMBER(SEARCH("German DR",S3569)),"DR Germany",
ISNUMBER(SEARCH("rn""&gt;United Arab Emirates",S3569)),"United Arab Emirates",
ISNUMBER(SEARCH("rn""&gt;Republic of Ireland",S3569)),"Ireland",
ISNUMBER(SEARCH("rn""&gt;Bosnia and Herzegovina",S3569)),"Bosnia and Herzegovina",
ISNUMBER(SEARCH("rn""&gt;Trinidad and Tobago",S3569)),"Trinidad and Tobago",
ISNUMBER(SEARCH("rn""&gt;Serbia and Montenegro",S3569)),"Serbia and Montenegro",
ISNUMBER(SEARCH(_xlfn.UNICHAR(65533),S3569)),"Côte d'Ivoire",
TRUE,""
)</f>
        <v/>
      </c>
      <c r="W3569" s="40" t="str">
        <f t="shared" si="240"/>
        <v>Yugoslavia</v>
      </c>
    </row>
    <row r="3570" spans="19:23">
      <c r="S3570" s="40" t="str">
        <v>Spain</v>
      </c>
      <c r="T3570" s="40" t="str">
        <f t="shared" si="238"/>
        <v>OK</v>
      </c>
      <c r="U3570" s="40" t="str">
        <f t="shared" si="239"/>
        <v>-</v>
      </c>
      <c r="V3570" s="40" t="str" cm="1">
        <f t="array" ref="V3570">_xlfn.IFS(
ISNUMBER(SEARCH("USA",S3570)),"United States",
ISNUMBER(SEARCH("Republic of Ireland",S3570)),"Ireland",
ISNUMBER(SEARCH("Republic of Korea",S3570)),"South Korea",
ISNUMBER(SEARCH("Cape Verde",S3570)),"Cabo Verde",
ISNUMBER(SEARCH("Czechia",S3570)),"Czech Republic",
ISNUMBER(SEARCH("Türkiye",S3570)),"Turkey",
ISNUMBER(SEARCH("Ivory Coast",S3570)),"Côte d'Ivoire",
ISNUMBER(SEARCH("Korea Republic",S3570)),"South Korea",
ISNUMBER(SEARCH("Germany FR",S3570)),"FR Germany",
ISNUMBER(SEARCH("West Germany",S3570)),"FR Germany",
ISNUMBER(SEARCH("Germany DR",S3570)),"DR Germany",
ISNUMBER(SEARCH("Korea DPR",S3570)),"North Korea",
ISNUMBER(SEARCH("China PR",S3570)),"China",
ISNUMBER(SEARCH("IR Iran",S3570)),"Iran",
ISNUMBER(SEARCH("Congo DR",S3570)),"Democratic Republic of the Congo",
ISNUMBER(SEARCH("DR Congo",S3570)),"Democratic Republic of the Congo",
ISNUMBER(SEARCH("German DR",S3570)),"DR Germany",
ISNUMBER(SEARCH("rn""&gt;United Arab Emirates",S3570)),"United Arab Emirates",
ISNUMBER(SEARCH("rn""&gt;Republic of Ireland",S3570)),"Ireland",
ISNUMBER(SEARCH("rn""&gt;Bosnia and Herzegovina",S3570)),"Bosnia and Herzegovina",
ISNUMBER(SEARCH("rn""&gt;Trinidad and Tobago",S3570)),"Trinidad and Tobago",
ISNUMBER(SEARCH("rn""&gt;Serbia and Montenegro",S3570)),"Serbia and Montenegro",
ISNUMBER(SEARCH(_xlfn.UNICHAR(65533),S3570)),"Côte d'Ivoire",
TRUE,""
)</f>
        <v/>
      </c>
      <c r="W3570" s="40" t="str">
        <f t="shared" si="240"/>
        <v>Spain</v>
      </c>
    </row>
    <row r="3571" spans="19:23">
      <c r="S3571" s="40" t="str">
        <v>England</v>
      </c>
      <c r="T3571" s="40" t="str">
        <f t="shared" si="238"/>
        <v>ERREUR</v>
      </c>
      <c r="U3571" s="40" t="str">
        <f t="shared" si="239"/>
        <v>AUCUNE</v>
      </c>
      <c r="V3571" s="40" t="str" cm="1">
        <f t="array" ref="V3571">_xlfn.IFS(
ISNUMBER(SEARCH("USA",S3571)),"United States",
ISNUMBER(SEARCH("Republic of Ireland",S3571)),"Ireland",
ISNUMBER(SEARCH("Republic of Korea",S3571)),"South Korea",
ISNUMBER(SEARCH("Cape Verde",S3571)),"Cabo Verde",
ISNUMBER(SEARCH("Czechia",S3571)),"Czech Republic",
ISNUMBER(SEARCH("Türkiye",S3571)),"Turkey",
ISNUMBER(SEARCH("Ivory Coast",S3571)),"Côte d'Ivoire",
ISNUMBER(SEARCH("Korea Republic",S3571)),"South Korea",
ISNUMBER(SEARCH("Germany FR",S3571)),"FR Germany",
ISNUMBER(SEARCH("West Germany",S3571)),"FR Germany",
ISNUMBER(SEARCH("Germany DR",S3571)),"DR Germany",
ISNUMBER(SEARCH("Korea DPR",S3571)),"North Korea",
ISNUMBER(SEARCH("China PR",S3571)),"China",
ISNUMBER(SEARCH("IR Iran",S3571)),"Iran",
ISNUMBER(SEARCH("Congo DR",S3571)),"Democratic Republic of the Congo",
ISNUMBER(SEARCH("DR Congo",S3571)),"Democratic Republic of the Congo",
ISNUMBER(SEARCH("German DR",S3571)),"DR Germany",
ISNUMBER(SEARCH("rn""&gt;United Arab Emirates",S3571)),"United Arab Emirates",
ISNUMBER(SEARCH("rn""&gt;Republic of Ireland",S3571)),"Ireland",
ISNUMBER(SEARCH("rn""&gt;Bosnia and Herzegovina",S3571)),"Bosnia and Herzegovina",
ISNUMBER(SEARCH("rn""&gt;Trinidad and Tobago",S3571)),"Trinidad and Tobago",
ISNUMBER(SEARCH("rn""&gt;Serbia and Montenegro",S3571)),"Serbia and Montenegro",
ISNUMBER(SEARCH(_xlfn.UNICHAR(65533),S3571)),"Côte d'Ivoire",
TRUE,""
)</f>
        <v/>
      </c>
      <c r="W3571" s="40" t="str">
        <f t="shared" si="240"/>
        <v>England</v>
      </c>
    </row>
    <row r="3572" spans="19:23">
      <c r="S3572" s="40" t="str">
        <v>Italy</v>
      </c>
      <c r="T3572" s="40" t="str">
        <f t="shared" si="238"/>
        <v>OK</v>
      </c>
      <c r="U3572" s="40" t="str">
        <f t="shared" si="239"/>
        <v>-</v>
      </c>
      <c r="V3572" s="40" t="str" cm="1">
        <f t="array" ref="V3572">_xlfn.IFS(
ISNUMBER(SEARCH("USA",S3572)),"United States",
ISNUMBER(SEARCH("Republic of Ireland",S3572)),"Ireland",
ISNUMBER(SEARCH("Republic of Korea",S3572)),"South Korea",
ISNUMBER(SEARCH("Cape Verde",S3572)),"Cabo Verde",
ISNUMBER(SEARCH("Czechia",S3572)),"Czech Republic",
ISNUMBER(SEARCH("Türkiye",S3572)),"Turkey",
ISNUMBER(SEARCH("Ivory Coast",S3572)),"Côte d'Ivoire",
ISNUMBER(SEARCH("Korea Republic",S3572)),"South Korea",
ISNUMBER(SEARCH("Germany FR",S3572)),"FR Germany",
ISNUMBER(SEARCH("West Germany",S3572)),"FR Germany",
ISNUMBER(SEARCH("Germany DR",S3572)),"DR Germany",
ISNUMBER(SEARCH("Korea DPR",S3572)),"North Korea",
ISNUMBER(SEARCH("China PR",S3572)),"China",
ISNUMBER(SEARCH("IR Iran",S3572)),"Iran",
ISNUMBER(SEARCH("Congo DR",S3572)),"Democratic Republic of the Congo",
ISNUMBER(SEARCH("DR Congo",S3572)),"Democratic Republic of the Congo",
ISNUMBER(SEARCH("German DR",S3572)),"DR Germany",
ISNUMBER(SEARCH("rn""&gt;United Arab Emirates",S3572)),"United Arab Emirates",
ISNUMBER(SEARCH("rn""&gt;Republic of Ireland",S3572)),"Ireland",
ISNUMBER(SEARCH("rn""&gt;Bosnia and Herzegovina",S3572)),"Bosnia and Herzegovina",
ISNUMBER(SEARCH("rn""&gt;Trinidad and Tobago",S3572)),"Trinidad and Tobago",
ISNUMBER(SEARCH("rn""&gt;Serbia and Montenegro",S3572)),"Serbia and Montenegro",
ISNUMBER(SEARCH(_xlfn.UNICHAR(65533),S3572)),"Côte d'Ivoire",
TRUE,""
)</f>
        <v/>
      </c>
      <c r="W3572" s="40" t="str">
        <f t="shared" si="240"/>
        <v>Italy</v>
      </c>
    </row>
    <row r="3573" spans="19:23">
      <c r="S3573" s="40" t="str">
        <v>Uruguay</v>
      </c>
      <c r="T3573" s="40" t="str">
        <f t="shared" si="238"/>
        <v>OK</v>
      </c>
      <c r="U3573" s="40" t="str">
        <f t="shared" si="239"/>
        <v>-</v>
      </c>
      <c r="V3573" s="40" t="str" cm="1">
        <f t="array" ref="V3573">_xlfn.IFS(
ISNUMBER(SEARCH("USA",S3573)),"United States",
ISNUMBER(SEARCH("Republic of Ireland",S3573)),"Ireland",
ISNUMBER(SEARCH("Republic of Korea",S3573)),"South Korea",
ISNUMBER(SEARCH("Cape Verde",S3573)),"Cabo Verde",
ISNUMBER(SEARCH("Czechia",S3573)),"Czech Republic",
ISNUMBER(SEARCH("Türkiye",S3573)),"Turkey",
ISNUMBER(SEARCH("Ivory Coast",S3573)),"Côte d'Ivoire",
ISNUMBER(SEARCH("Korea Republic",S3573)),"South Korea",
ISNUMBER(SEARCH("Germany FR",S3573)),"FR Germany",
ISNUMBER(SEARCH("West Germany",S3573)),"FR Germany",
ISNUMBER(SEARCH("Germany DR",S3573)),"DR Germany",
ISNUMBER(SEARCH("Korea DPR",S3573)),"North Korea",
ISNUMBER(SEARCH("China PR",S3573)),"China",
ISNUMBER(SEARCH("IR Iran",S3573)),"Iran",
ISNUMBER(SEARCH("Congo DR",S3573)),"Democratic Republic of the Congo",
ISNUMBER(SEARCH("DR Congo",S3573)),"Democratic Republic of the Congo",
ISNUMBER(SEARCH("German DR",S3573)),"DR Germany",
ISNUMBER(SEARCH("rn""&gt;United Arab Emirates",S3573)),"United Arab Emirates",
ISNUMBER(SEARCH("rn""&gt;Republic of Ireland",S3573)),"Ireland",
ISNUMBER(SEARCH("rn""&gt;Bosnia and Herzegovina",S3573)),"Bosnia and Herzegovina",
ISNUMBER(SEARCH("rn""&gt;Trinidad and Tobago",S3573)),"Trinidad and Tobago",
ISNUMBER(SEARCH("rn""&gt;Serbia and Montenegro",S3573)),"Serbia and Montenegro",
ISNUMBER(SEARCH(_xlfn.UNICHAR(65533),S3573)),"Côte d'Ivoire",
TRUE,""
)</f>
        <v/>
      </c>
      <c r="W3573" s="40" t="str">
        <f t="shared" si="240"/>
        <v>Uruguay</v>
      </c>
    </row>
    <row r="3574" spans="19:23">
      <c r="S3574" s="40" t="str">
        <v>Czechoslovakia</v>
      </c>
      <c r="T3574" s="40" t="str">
        <f t="shared" si="238"/>
        <v>ERREUR</v>
      </c>
      <c r="U3574" s="40" t="str">
        <f t="shared" si="239"/>
        <v>AUCUNE</v>
      </c>
      <c r="V3574" s="40" t="str" cm="1">
        <f t="array" ref="V3574">_xlfn.IFS(
ISNUMBER(SEARCH("USA",S3574)),"United States",
ISNUMBER(SEARCH("Republic of Ireland",S3574)),"Ireland",
ISNUMBER(SEARCH("Republic of Korea",S3574)),"South Korea",
ISNUMBER(SEARCH("Cape Verde",S3574)),"Cabo Verde",
ISNUMBER(SEARCH("Czechia",S3574)),"Czech Republic",
ISNUMBER(SEARCH("Türkiye",S3574)),"Turkey",
ISNUMBER(SEARCH("Ivory Coast",S3574)),"Côte d'Ivoire",
ISNUMBER(SEARCH("Korea Republic",S3574)),"South Korea",
ISNUMBER(SEARCH("Germany FR",S3574)),"FR Germany",
ISNUMBER(SEARCH("West Germany",S3574)),"FR Germany",
ISNUMBER(SEARCH("Germany DR",S3574)),"DR Germany",
ISNUMBER(SEARCH("Korea DPR",S3574)),"North Korea",
ISNUMBER(SEARCH("China PR",S3574)),"China",
ISNUMBER(SEARCH("IR Iran",S3574)),"Iran",
ISNUMBER(SEARCH("Congo DR",S3574)),"Democratic Republic of the Congo",
ISNUMBER(SEARCH("DR Congo",S3574)),"Democratic Republic of the Congo",
ISNUMBER(SEARCH("German DR",S3574)),"DR Germany",
ISNUMBER(SEARCH("rn""&gt;United Arab Emirates",S3574)),"United Arab Emirates",
ISNUMBER(SEARCH("rn""&gt;Republic of Ireland",S3574)),"Ireland",
ISNUMBER(SEARCH("rn""&gt;Bosnia and Herzegovina",S3574)),"Bosnia and Herzegovina",
ISNUMBER(SEARCH("rn""&gt;Trinidad and Tobago",S3574)),"Trinidad and Tobago",
ISNUMBER(SEARCH("rn""&gt;Serbia and Montenegro",S3574)),"Serbia and Montenegro",
ISNUMBER(SEARCH(_xlfn.UNICHAR(65533),S3574)),"Côte d'Ivoire",
TRUE,""
)</f>
        <v/>
      </c>
      <c r="W3574" s="40" t="str">
        <f t="shared" si="240"/>
        <v>Czechoslovakia</v>
      </c>
    </row>
    <row r="3575" spans="19:23">
      <c r="S3575" s="40" t="str">
        <v>Argentina</v>
      </c>
      <c r="T3575" s="40" t="str">
        <f t="shared" si="238"/>
        <v>OK</v>
      </c>
      <c r="U3575" s="40" t="str">
        <f t="shared" si="239"/>
        <v>-</v>
      </c>
      <c r="V3575" s="40" t="str" cm="1">
        <f t="array" ref="V3575">_xlfn.IFS(
ISNUMBER(SEARCH("USA",S3575)),"United States",
ISNUMBER(SEARCH("Republic of Ireland",S3575)),"Ireland",
ISNUMBER(SEARCH("Republic of Korea",S3575)),"South Korea",
ISNUMBER(SEARCH("Cape Verde",S3575)),"Cabo Verde",
ISNUMBER(SEARCH("Czechia",S3575)),"Czech Republic",
ISNUMBER(SEARCH("Türkiye",S3575)),"Turkey",
ISNUMBER(SEARCH("Ivory Coast",S3575)),"Côte d'Ivoire",
ISNUMBER(SEARCH("Korea Republic",S3575)),"South Korea",
ISNUMBER(SEARCH("Germany FR",S3575)),"FR Germany",
ISNUMBER(SEARCH("West Germany",S3575)),"FR Germany",
ISNUMBER(SEARCH("Germany DR",S3575)),"DR Germany",
ISNUMBER(SEARCH("Korea DPR",S3575)),"North Korea",
ISNUMBER(SEARCH("China PR",S3575)),"China",
ISNUMBER(SEARCH("IR Iran",S3575)),"Iran",
ISNUMBER(SEARCH("Congo DR",S3575)),"Democratic Republic of the Congo",
ISNUMBER(SEARCH("DR Congo",S3575)),"Democratic Republic of the Congo",
ISNUMBER(SEARCH("German DR",S3575)),"DR Germany",
ISNUMBER(SEARCH("rn""&gt;United Arab Emirates",S3575)),"United Arab Emirates",
ISNUMBER(SEARCH("rn""&gt;Republic of Ireland",S3575)),"Ireland",
ISNUMBER(SEARCH("rn""&gt;Bosnia and Herzegovina",S3575)),"Bosnia and Herzegovina",
ISNUMBER(SEARCH("rn""&gt;Trinidad and Tobago",S3575)),"Trinidad and Tobago",
ISNUMBER(SEARCH("rn""&gt;Serbia and Montenegro",S3575)),"Serbia and Montenegro",
ISNUMBER(SEARCH(_xlfn.UNICHAR(65533),S3575)),"Côte d'Ivoire",
TRUE,""
)</f>
        <v/>
      </c>
      <c r="W3575" s="40" t="str">
        <f t="shared" si="240"/>
        <v>Argentina</v>
      </c>
    </row>
    <row r="3576" spans="19:23">
      <c r="S3576" s="40" t="str">
        <v>Italy</v>
      </c>
      <c r="T3576" s="40" t="str">
        <f t="shared" si="238"/>
        <v>OK</v>
      </c>
      <c r="U3576" s="40" t="str">
        <f t="shared" si="239"/>
        <v>-</v>
      </c>
      <c r="V3576" s="40" t="str" cm="1">
        <f t="array" ref="V3576">_xlfn.IFS(
ISNUMBER(SEARCH("USA",S3576)),"United States",
ISNUMBER(SEARCH("Republic of Ireland",S3576)),"Ireland",
ISNUMBER(SEARCH("Republic of Korea",S3576)),"South Korea",
ISNUMBER(SEARCH("Cape Verde",S3576)),"Cabo Verde",
ISNUMBER(SEARCH("Czechia",S3576)),"Czech Republic",
ISNUMBER(SEARCH("Türkiye",S3576)),"Turkey",
ISNUMBER(SEARCH("Ivory Coast",S3576)),"Côte d'Ivoire",
ISNUMBER(SEARCH("Korea Republic",S3576)),"South Korea",
ISNUMBER(SEARCH("Germany FR",S3576)),"FR Germany",
ISNUMBER(SEARCH("West Germany",S3576)),"FR Germany",
ISNUMBER(SEARCH("Germany DR",S3576)),"DR Germany",
ISNUMBER(SEARCH("Korea DPR",S3576)),"North Korea",
ISNUMBER(SEARCH("China PR",S3576)),"China",
ISNUMBER(SEARCH("IR Iran",S3576)),"Iran",
ISNUMBER(SEARCH("Congo DR",S3576)),"Democratic Republic of the Congo",
ISNUMBER(SEARCH("DR Congo",S3576)),"Democratic Republic of the Congo",
ISNUMBER(SEARCH("German DR",S3576)),"DR Germany",
ISNUMBER(SEARCH("rn""&gt;United Arab Emirates",S3576)),"United Arab Emirates",
ISNUMBER(SEARCH("rn""&gt;Republic of Ireland",S3576)),"Ireland",
ISNUMBER(SEARCH("rn""&gt;Bosnia and Herzegovina",S3576)),"Bosnia and Herzegovina",
ISNUMBER(SEARCH("rn""&gt;Trinidad and Tobago",S3576)),"Trinidad and Tobago",
ISNUMBER(SEARCH("rn""&gt;Serbia and Montenegro",S3576)),"Serbia and Montenegro",
ISNUMBER(SEARCH(_xlfn.UNICHAR(65533),S3576)),"Côte d'Ivoire",
TRUE,""
)</f>
        <v/>
      </c>
      <c r="W3576" s="40" t="str">
        <f t="shared" si="240"/>
        <v>Italy</v>
      </c>
    </row>
    <row r="3577" spans="19:23">
      <c r="S3577" s="40" t="str">
        <v>Colombia</v>
      </c>
      <c r="T3577" s="40" t="str">
        <f t="shared" si="238"/>
        <v>OK</v>
      </c>
      <c r="U3577" s="40" t="str">
        <f t="shared" si="239"/>
        <v>-</v>
      </c>
      <c r="V3577" s="40" t="str" cm="1">
        <f t="array" ref="V3577">_xlfn.IFS(
ISNUMBER(SEARCH("USA",S3577)),"United States",
ISNUMBER(SEARCH("Republic of Ireland",S3577)),"Ireland",
ISNUMBER(SEARCH("Republic of Korea",S3577)),"South Korea",
ISNUMBER(SEARCH("Cape Verde",S3577)),"Cabo Verde",
ISNUMBER(SEARCH("Czechia",S3577)),"Czech Republic",
ISNUMBER(SEARCH("Türkiye",S3577)),"Turkey",
ISNUMBER(SEARCH("Ivory Coast",S3577)),"Côte d'Ivoire",
ISNUMBER(SEARCH("Korea Republic",S3577)),"South Korea",
ISNUMBER(SEARCH("Germany FR",S3577)),"FR Germany",
ISNUMBER(SEARCH("West Germany",S3577)),"FR Germany",
ISNUMBER(SEARCH("Germany DR",S3577)),"DR Germany",
ISNUMBER(SEARCH("Korea DPR",S3577)),"North Korea",
ISNUMBER(SEARCH("China PR",S3577)),"China",
ISNUMBER(SEARCH("IR Iran",S3577)),"Iran",
ISNUMBER(SEARCH("Congo DR",S3577)),"Democratic Republic of the Congo",
ISNUMBER(SEARCH("DR Congo",S3577)),"Democratic Republic of the Congo",
ISNUMBER(SEARCH("German DR",S3577)),"DR Germany",
ISNUMBER(SEARCH("rn""&gt;United Arab Emirates",S3577)),"United Arab Emirates",
ISNUMBER(SEARCH("rn""&gt;Republic of Ireland",S3577)),"Ireland",
ISNUMBER(SEARCH("rn""&gt;Bosnia and Herzegovina",S3577)),"Bosnia and Herzegovina",
ISNUMBER(SEARCH("rn""&gt;Trinidad and Tobago",S3577)),"Trinidad and Tobago",
ISNUMBER(SEARCH("rn""&gt;Serbia and Montenegro",S3577)),"Serbia and Montenegro",
ISNUMBER(SEARCH(_xlfn.UNICHAR(65533),S3577)),"Côte d'Ivoire",
TRUE,""
)</f>
        <v/>
      </c>
      <c r="W3577" s="40" t="str">
        <f t="shared" si="240"/>
        <v>Colombia</v>
      </c>
    </row>
    <row r="3578" spans="19:23">
      <c r="S3578" s="40" t="str">
        <v>Mexico</v>
      </c>
      <c r="T3578" s="40" t="str">
        <f t="shared" si="238"/>
        <v>OK</v>
      </c>
      <c r="U3578" s="40" t="str">
        <f t="shared" si="239"/>
        <v>-</v>
      </c>
      <c r="V3578" s="40" t="str" cm="1">
        <f t="array" ref="V3578">_xlfn.IFS(
ISNUMBER(SEARCH("USA",S3578)),"United States",
ISNUMBER(SEARCH("Republic of Ireland",S3578)),"Ireland",
ISNUMBER(SEARCH("Republic of Korea",S3578)),"South Korea",
ISNUMBER(SEARCH("Cape Verde",S3578)),"Cabo Verde",
ISNUMBER(SEARCH("Czechia",S3578)),"Czech Republic",
ISNUMBER(SEARCH("Türkiye",S3578)),"Turkey",
ISNUMBER(SEARCH("Ivory Coast",S3578)),"Côte d'Ivoire",
ISNUMBER(SEARCH("Korea Republic",S3578)),"South Korea",
ISNUMBER(SEARCH("Germany FR",S3578)),"FR Germany",
ISNUMBER(SEARCH("West Germany",S3578)),"FR Germany",
ISNUMBER(SEARCH("Germany DR",S3578)),"DR Germany",
ISNUMBER(SEARCH("Korea DPR",S3578)),"North Korea",
ISNUMBER(SEARCH("China PR",S3578)),"China",
ISNUMBER(SEARCH("IR Iran",S3578)),"Iran",
ISNUMBER(SEARCH("Congo DR",S3578)),"Democratic Republic of the Congo",
ISNUMBER(SEARCH("DR Congo",S3578)),"Democratic Republic of the Congo",
ISNUMBER(SEARCH("German DR",S3578)),"DR Germany",
ISNUMBER(SEARCH("rn""&gt;United Arab Emirates",S3578)),"United Arab Emirates",
ISNUMBER(SEARCH("rn""&gt;Republic of Ireland",S3578)),"Ireland",
ISNUMBER(SEARCH("rn""&gt;Bosnia and Herzegovina",S3578)),"Bosnia and Herzegovina",
ISNUMBER(SEARCH("rn""&gt;Trinidad and Tobago",S3578)),"Trinidad and Tobago",
ISNUMBER(SEARCH("rn""&gt;Serbia and Montenegro",S3578)),"Serbia and Montenegro",
ISNUMBER(SEARCH(_xlfn.UNICHAR(65533),S3578)),"Côte d'Ivoire",
TRUE,""
)</f>
        <v/>
      </c>
      <c r="W3578" s="40" t="str">
        <f t="shared" si="240"/>
        <v>Mexico</v>
      </c>
    </row>
    <row r="3579" spans="19:23">
      <c r="S3579" s="40" t="str">
        <v>Bulgaria</v>
      </c>
      <c r="T3579" s="40" t="str">
        <f t="shared" si="238"/>
        <v>OK</v>
      </c>
      <c r="U3579" s="40" t="str">
        <f t="shared" si="239"/>
        <v>-</v>
      </c>
      <c r="V3579" s="40" t="str" cm="1">
        <f t="array" ref="V3579">_xlfn.IFS(
ISNUMBER(SEARCH("USA",S3579)),"United States",
ISNUMBER(SEARCH("Republic of Ireland",S3579)),"Ireland",
ISNUMBER(SEARCH("Republic of Korea",S3579)),"South Korea",
ISNUMBER(SEARCH("Cape Verde",S3579)),"Cabo Verde",
ISNUMBER(SEARCH("Czechia",S3579)),"Czech Republic",
ISNUMBER(SEARCH("Türkiye",S3579)),"Turkey",
ISNUMBER(SEARCH("Ivory Coast",S3579)),"Côte d'Ivoire",
ISNUMBER(SEARCH("Korea Republic",S3579)),"South Korea",
ISNUMBER(SEARCH("Germany FR",S3579)),"FR Germany",
ISNUMBER(SEARCH("West Germany",S3579)),"FR Germany",
ISNUMBER(SEARCH("Germany DR",S3579)),"DR Germany",
ISNUMBER(SEARCH("Korea DPR",S3579)),"North Korea",
ISNUMBER(SEARCH("China PR",S3579)),"China",
ISNUMBER(SEARCH("IR Iran",S3579)),"Iran",
ISNUMBER(SEARCH("Congo DR",S3579)),"Democratic Republic of the Congo",
ISNUMBER(SEARCH("DR Congo",S3579)),"Democratic Republic of the Congo",
ISNUMBER(SEARCH("German DR",S3579)),"DR Germany",
ISNUMBER(SEARCH("rn""&gt;United Arab Emirates",S3579)),"United Arab Emirates",
ISNUMBER(SEARCH("rn""&gt;Republic of Ireland",S3579)),"Ireland",
ISNUMBER(SEARCH("rn""&gt;Bosnia and Herzegovina",S3579)),"Bosnia and Herzegovina",
ISNUMBER(SEARCH("rn""&gt;Trinidad and Tobago",S3579)),"Trinidad and Tobago",
ISNUMBER(SEARCH("rn""&gt;Serbia and Montenegro",S3579)),"Serbia and Montenegro",
ISNUMBER(SEARCH(_xlfn.UNICHAR(65533),S3579)),"Côte d'Ivoire",
TRUE,""
)</f>
        <v/>
      </c>
      <c r="W3579" s="40" t="str">
        <f t="shared" si="240"/>
        <v>Bulgaria</v>
      </c>
    </row>
    <row r="3580" spans="19:23">
      <c r="S3580" s="40" t="str">
        <v>Switzerland</v>
      </c>
      <c r="T3580" s="40" t="str">
        <f t="shared" si="238"/>
        <v>OK</v>
      </c>
      <c r="U3580" s="40" t="str">
        <f t="shared" si="239"/>
        <v>-</v>
      </c>
      <c r="V3580" s="40" t="str" cm="1">
        <f t="array" ref="V3580">_xlfn.IFS(
ISNUMBER(SEARCH("USA",S3580)),"United States",
ISNUMBER(SEARCH("Republic of Ireland",S3580)),"Ireland",
ISNUMBER(SEARCH("Republic of Korea",S3580)),"South Korea",
ISNUMBER(SEARCH("Cape Verde",S3580)),"Cabo Verde",
ISNUMBER(SEARCH("Czechia",S3580)),"Czech Republic",
ISNUMBER(SEARCH("Türkiye",S3580)),"Turkey",
ISNUMBER(SEARCH("Ivory Coast",S3580)),"Côte d'Ivoire",
ISNUMBER(SEARCH("Korea Republic",S3580)),"South Korea",
ISNUMBER(SEARCH("Germany FR",S3580)),"FR Germany",
ISNUMBER(SEARCH("West Germany",S3580)),"FR Germany",
ISNUMBER(SEARCH("Germany DR",S3580)),"DR Germany",
ISNUMBER(SEARCH("Korea DPR",S3580)),"North Korea",
ISNUMBER(SEARCH("China PR",S3580)),"China",
ISNUMBER(SEARCH("IR Iran",S3580)),"Iran",
ISNUMBER(SEARCH("Congo DR",S3580)),"Democratic Republic of the Congo",
ISNUMBER(SEARCH("DR Congo",S3580)),"Democratic Republic of the Congo",
ISNUMBER(SEARCH("German DR",S3580)),"DR Germany",
ISNUMBER(SEARCH("rn""&gt;United Arab Emirates",S3580)),"United Arab Emirates",
ISNUMBER(SEARCH("rn""&gt;Republic of Ireland",S3580)),"Ireland",
ISNUMBER(SEARCH("rn""&gt;Bosnia and Herzegovina",S3580)),"Bosnia and Herzegovina",
ISNUMBER(SEARCH("rn""&gt;Trinidad and Tobago",S3580)),"Trinidad and Tobago",
ISNUMBER(SEARCH("rn""&gt;Serbia and Montenegro",S3580)),"Serbia and Montenegro",
ISNUMBER(SEARCH(_xlfn.UNICHAR(65533),S3580)),"Côte d'Ivoire",
TRUE,""
)</f>
        <v/>
      </c>
      <c r="W3580" s="40" t="str">
        <f t="shared" si="240"/>
        <v>Switzerland</v>
      </c>
    </row>
    <row r="3581" spans="19:23">
      <c r="S3581" s="40" t="str">
        <v>Uruguay</v>
      </c>
      <c r="T3581" s="40" t="str">
        <f t="shared" si="238"/>
        <v>OK</v>
      </c>
      <c r="U3581" s="40" t="str">
        <f t="shared" si="239"/>
        <v>-</v>
      </c>
      <c r="V3581" s="40" t="str" cm="1">
        <f t="array" ref="V3581">_xlfn.IFS(
ISNUMBER(SEARCH("USA",S3581)),"United States",
ISNUMBER(SEARCH("Republic of Ireland",S3581)),"Ireland",
ISNUMBER(SEARCH("Republic of Korea",S3581)),"South Korea",
ISNUMBER(SEARCH("Cape Verde",S3581)),"Cabo Verde",
ISNUMBER(SEARCH("Czechia",S3581)),"Czech Republic",
ISNUMBER(SEARCH("Türkiye",S3581)),"Turkey",
ISNUMBER(SEARCH("Ivory Coast",S3581)),"Côte d'Ivoire",
ISNUMBER(SEARCH("Korea Republic",S3581)),"South Korea",
ISNUMBER(SEARCH("Germany FR",S3581)),"FR Germany",
ISNUMBER(SEARCH("West Germany",S3581)),"FR Germany",
ISNUMBER(SEARCH("Germany DR",S3581)),"DR Germany",
ISNUMBER(SEARCH("Korea DPR",S3581)),"North Korea",
ISNUMBER(SEARCH("China PR",S3581)),"China",
ISNUMBER(SEARCH("IR Iran",S3581)),"Iran",
ISNUMBER(SEARCH("Congo DR",S3581)),"Democratic Republic of the Congo",
ISNUMBER(SEARCH("DR Congo",S3581)),"Democratic Republic of the Congo",
ISNUMBER(SEARCH("German DR",S3581)),"DR Germany",
ISNUMBER(SEARCH("rn""&gt;United Arab Emirates",S3581)),"United Arab Emirates",
ISNUMBER(SEARCH("rn""&gt;Republic of Ireland",S3581)),"Ireland",
ISNUMBER(SEARCH("rn""&gt;Bosnia and Herzegovina",S3581)),"Bosnia and Herzegovina",
ISNUMBER(SEARCH("rn""&gt;Trinidad and Tobago",S3581)),"Trinidad and Tobago",
ISNUMBER(SEARCH("rn""&gt;Serbia and Montenegro",S3581)),"Serbia and Montenegro",
ISNUMBER(SEARCH(_xlfn.UNICHAR(65533),S3581)),"Côte d'Ivoire",
TRUE,""
)</f>
        <v/>
      </c>
      <c r="W3581" s="40" t="str">
        <f t="shared" si="240"/>
        <v>Uruguay</v>
      </c>
    </row>
    <row r="3582" spans="19:23">
      <c r="S3582" s="40" t="str">
        <v>Spain</v>
      </c>
      <c r="T3582" s="40" t="str">
        <f t="shared" si="238"/>
        <v>OK</v>
      </c>
      <c r="U3582" s="40" t="str">
        <f t="shared" si="239"/>
        <v>-</v>
      </c>
      <c r="V3582" s="40" t="str" cm="1">
        <f t="array" ref="V3582">_xlfn.IFS(
ISNUMBER(SEARCH("USA",S3582)),"United States",
ISNUMBER(SEARCH("Republic of Ireland",S3582)),"Ireland",
ISNUMBER(SEARCH("Republic of Korea",S3582)),"South Korea",
ISNUMBER(SEARCH("Cape Verde",S3582)),"Cabo Verde",
ISNUMBER(SEARCH("Czechia",S3582)),"Czech Republic",
ISNUMBER(SEARCH("Türkiye",S3582)),"Turkey",
ISNUMBER(SEARCH("Ivory Coast",S3582)),"Côte d'Ivoire",
ISNUMBER(SEARCH("Korea Republic",S3582)),"South Korea",
ISNUMBER(SEARCH("Germany FR",S3582)),"FR Germany",
ISNUMBER(SEARCH("West Germany",S3582)),"FR Germany",
ISNUMBER(SEARCH("Germany DR",S3582)),"DR Germany",
ISNUMBER(SEARCH("Korea DPR",S3582)),"North Korea",
ISNUMBER(SEARCH("China PR",S3582)),"China",
ISNUMBER(SEARCH("IR Iran",S3582)),"Iran",
ISNUMBER(SEARCH("Congo DR",S3582)),"Democratic Republic of the Congo",
ISNUMBER(SEARCH("DR Congo",S3582)),"Democratic Republic of the Congo",
ISNUMBER(SEARCH("German DR",S3582)),"DR Germany",
ISNUMBER(SEARCH("rn""&gt;United Arab Emirates",S3582)),"United Arab Emirates",
ISNUMBER(SEARCH("rn""&gt;Republic of Ireland",S3582)),"Ireland",
ISNUMBER(SEARCH("rn""&gt;Bosnia and Herzegovina",S3582)),"Bosnia and Herzegovina",
ISNUMBER(SEARCH("rn""&gt;Trinidad and Tobago",S3582)),"Trinidad and Tobago",
ISNUMBER(SEARCH("rn""&gt;Serbia and Montenegro",S3582)),"Serbia and Montenegro",
ISNUMBER(SEARCH(_xlfn.UNICHAR(65533),S3582)),"Côte d'Ivoire",
TRUE,""
)</f>
        <v/>
      </c>
      <c r="W3582" s="40" t="str">
        <f t="shared" si="240"/>
        <v>Spain</v>
      </c>
    </row>
    <row r="3583" spans="19:23">
      <c r="S3583" s="40" t="str">
        <v>Argentina</v>
      </c>
      <c r="T3583" s="40" t="str">
        <f t="shared" si="238"/>
        <v>OK</v>
      </c>
      <c r="U3583" s="40" t="str">
        <f t="shared" si="239"/>
        <v>-</v>
      </c>
      <c r="V3583" s="40" t="str" cm="1">
        <f t="array" ref="V3583">_xlfn.IFS(
ISNUMBER(SEARCH("USA",S3583)),"United States",
ISNUMBER(SEARCH("Republic of Ireland",S3583)),"Ireland",
ISNUMBER(SEARCH("Republic of Korea",S3583)),"South Korea",
ISNUMBER(SEARCH("Cape Verde",S3583)),"Cabo Verde",
ISNUMBER(SEARCH("Czechia",S3583)),"Czech Republic",
ISNUMBER(SEARCH("Türkiye",S3583)),"Turkey",
ISNUMBER(SEARCH("Ivory Coast",S3583)),"Côte d'Ivoire",
ISNUMBER(SEARCH("Korea Republic",S3583)),"South Korea",
ISNUMBER(SEARCH("Germany FR",S3583)),"FR Germany",
ISNUMBER(SEARCH("West Germany",S3583)),"FR Germany",
ISNUMBER(SEARCH("Germany DR",S3583)),"DR Germany",
ISNUMBER(SEARCH("Korea DPR",S3583)),"North Korea",
ISNUMBER(SEARCH("China PR",S3583)),"China",
ISNUMBER(SEARCH("IR Iran",S3583)),"Iran",
ISNUMBER(SEARCH("Congo DR",S3583)),"Democratic Republic of the Congo",
ISNUMBER(SEARCH("DR Congo",S3583)),"Democratic Republic of the Congo",
ISNUMBER(SEARCH("German DR",S3583)),"DR Germany",
ISNUMBER(SEARCH("rn""&gt;United Arab Emirates",S3583)),"United Arab Emirates",
ISNUMBER(SEARCH("rn""&gt;Republic of Ireland",S3583)),"Ireland",
ISNUMBER(SEARCH("rn""&gt;Bosnia and Herzegovina",S3583)),"Bosnia and Herzegovina",
ISNUMBER(SEARCH("rn""&gt;Trinidad and Tobago",S3583)),"Trinidad and Tobago",
ISNUMBER(SEARCH("rn""&gt;Serbia and Montenegro",S3583)),"Serbia and Montenegro",
ISNUMBER(SEARCH(_xlfn.UNICHAR(65533),S3583)),"Côte d'Ivoire",
TRUE,""
)</f>
        <v/>
      </c>
      <c r="W3583" s="40" t="str">
        <f t="shared" si="240"/>
        <v>Argentina</v>
      </c>
    </row>
    <row r="3584" spans="19:23">
      <c r="S3584" s="40" t="str">
        <v>Chile</v>
      </c>
      <c r="T3584" s="40" t="str">
        <f t="shared" si="238"/>
        <v>OK</v>
      </c>
      <c r="U3584" s="40" t="str">
        <f t="shared" si="239"/>
        <v>-</v>
      </c>
      <c r="V3584" s="40" t="str" cm="1">
        <f t="array" ref="V3584">_xlfn.IFS(
ISNUMBER(SEARCH("USA",S3584)),"United States",
ISNUMBER(SEARCH("Republic of Ireland",S3584)),"Ireland",
ISNUMBER(SEARCH("Republic of Korea",S3584)),"South Korea",
ISNUMBER(SEARCH("Cape Verde",S3584)),"Cabo Verde",
ISNUMBER(SEARCH("Czechia",S3584)),"Czech Republic",
ISNUMBER(SEARCH("Türkiye",S3584)),"Turkey",
ISNUMBER(SEARCH("Ivory Coast",S3584)),"Côte d'Ivoire",
ISNUMBER(SEARCH("Korea Republic",S3584)),"South Korea",
ISNUMBER(SEARCH("Germany FR",S3584)),"FR Germany",
ISNUMBER(SEARCH("West Germany",S3584)),"FR Germany",
ISNUMBER(SEARCH("Germany DR",S3584)),"DR Germany",
ISNUMBER(SEARCH("Korea DPR",S3584)),"North Korea",
ISNUMBER(SEARCH("China PR",S3584)),"China",
ISNUMBER(SEARCH("IR Iran",S3584)),"Iran",
ISNUMBER(SEARCH("Congo DR",S3584)),"Democratic Republic of the Congo",
ISNUMBER(SEARCH("DR Congo",S3584)),"Democratic Republic of the Congo",
ISNUMBER(SEARCH("German DR",S3584)),"DR Germany",
ISNUMBER(SEARCH("rn""&gt;United Arab Emirates",S3584)),"United Arab Emirates",
ISNUMBER(SEARCH("rn""&gt;Republic of Ireland",S3584)),"Ireland",
ISNUMBER(SEARCH("rn""&gt;Bosnia and Herzegovina",S3584)),"Bosnia and Herzegovina",
ISNUMBER(SEARCH("rn""&gt;Trinidad and Tobago",S3584)),"Trinidad and Tobago",
ISNUMBER(SEARCH("rn""&gt;Serbia and Montenegro",S3584)),"Serbia and Montenegro",
ISNUMBER(SEARCH(_xlfn.UNICHAR(65533),S3584)),"Côte d'Ivoire",
TRUE,""
)</f>
        <v/>
      </c>
      <c r="W3584" s="40" t="str">
        <f t="shared" si="240"/>
        <v>Chile</v>
      </c>
    </row>
    <row r="3585" spans="19:23">
      <c r="S3585" s="40" t="str">
        <v>Colombia</v>
      </c>
      <c r="T3585" s="40" t="str">
        <f t="shared" si="238"/>
        <v>OK</v>
      </c>
      <c r="U3585" s="40" t="str">
        <f t="shared" si="239"/>
        <v>-</v>
      </c>
      <c r="V3585" s="40" t="str" cm="1">
        <f t="array" ref="V3585">_xlfn.IFS(
ISNUMBER(SEARCH("USA",S3585)),"United States",
ISNUMBER(SEARCH("Republic of Ireland",S3585)),"Ireland",
ISNUMBER(SEARCH("Republic of Korea",S3585)),"South Korea",
ISNUMBER(SEARCH("Cape Verde",S3585)),"Cabo Verde",
ISNUMBER(SEARCH("Czechia",S3585)),"Czech Republic",
ISNUMBER(SEARCH("Türkiye",S3585)),"Turkey",
ISNUMBER(SEARCH("Ivory Coast",S3585)),"Côte d'Ivoire",
ISNUMBER(SEARCH("Korea Republic",S3585)),"South Korea",
ISNUMBER(SEARCH("Germany FR",S3585)),"FR Germany",
ISNUMBER(SEARCH("West Germany",S3585)),"FR Germany",
ISNUMBER(SEARCH("Germany DR",S3585)),"DR Germany",
ISNUMBER(SEARCH("Korea DPR",S3585)),"North Korea",
ISNUMBER(SEARCH("China PR",S3585)),"China",
ISNUMBER(SEARCH("IR Iran",S3585)),"Iran",
ISNUMBER(SEARCH("Congo DR",S3585)),"Democratic Republic of the Congo",
ISNUMBER(SEARCH("DR Congo",S3585)),"Democratic Republic of the Congo",
ISNUMBER(SEARCH("German DR",S3585)),"DR Germany",
ISNUMBER(SEARCH("rn""&gt;United Arab Emirates",S3585)),"United Arab Emirates",
ISNUMBER(SEARCH("rn""&gt;Republic of Ireland",S3585)),"Ireland",
ISNUMBER(SEARCH("rn""&gt;Bosnia and Herzegovina",S3585)),"Bosnia and Herzegovina",
ISNUMBER(SEARCH("rn""&gt;Trinidad and Tobago",S3585)),"Trinidad and Tobago",
ISNUMBER(SEARCH("rn""&gt;Serbia and Montenegro",S3585)),"Serbia and Montenegro",
ISNUMBER(SEARCH(_xlfn.UNICHAR(65533),S3585)),"Côte d'Ivoire",
TRUE,""
)</f>
        <v/>
      </c>
      <c r="W3585" s="40" t="str">
        <f t="shared" si="240"/>
        <v>Colombia</v>
      </c>
    </row>
    <row r="3586" spans="19:23">
      <c r="S3586" s="40" t="str">
        <v>Czechoslovakia</v>
      </c>
      <c r="T3586" s="40" t="str">
        <f t="shared" si="238"/>
        <v>ERREUR</v>
      </c>
      <c r="U3586" s="40" t="str">
        <f t="shared" si="239"/>
        <v>AUCUNE</v>
      </c>
      <c r="V3586" s="40" t="str" cm="1">
        <f t="array" ref="V3586">_xlfn.IFS(
ISNUMBER(SEARCH("USA",S3586)),"United States",
ISNUMBER(SEARCH("Republic of Ireland",S3586)),"Ireland",
ISNUMBER(SEARCH("Republic of Korea",S3586)),"South Korea",
ISNUMBER(SEARCH("Cape Verde",S3586)),"Cabo Verde",
ISNUMBER(SEARCH("Czechia",S3586)),"Czech Republic",
ISNUMBER(SEARCH("Türkiye",S3586)),"Turkey",
ISNUMBER(SEARCH("Ivory Coast",S3586)),"Côte d'Ivoire",
ISNUMBER(SEARCH("Korea Republic",S3586)),"South Korea",
ISNUMBER(SEARCH("Germany FR",S3586)),"FR Germany",
ISNUMBER(SEARCH("West Germany",S3586)),"FR Germany",
ISNUMBER(SEARCH("Germany DR",S3586)),"DR Germany",
ISNUMBER(SEARCH("Korea DPR",S3586)),"North Korea",
ISNUMBER(SEARCH("China PR",S3586)),"China",
ISNUMBER(SEARCH("IR Iran",S3586)),"Iran",
ISNUMBER(SEARCH("Congo DR",S3586)),"Democratic Republic of the Congo",
ISNUMBER(SEARCH("DR Congo",S3586)),"Democratic Republic of the Congo",
ISNUMBER(SEARCH("German DR",S3586)),"DR Germany",
ISNUMBER(SEARCH("rn""&gt;United Arab Emirates",S3586)),"United Arab Emirates",
ISNUMBER(SEARCH("rn""&gt;Republic of Ireland",S3586)),"Ireland",
ISNUMBER(SEARCH("rn""&gt;Bosnia and Herzegovina",S3586)),"Bosnia and Herzegovina",
ISNUMBER(SEARCH("rn""&gt;Trinidad and Tobago",S3586)),"Trinidad and Tobago",
ISNUMBER(SEARCH("rn""&gt;Serbia and Montenegro",S3586)),"Serbia and Montenegro",
ISNUMBER(SEARCH(_xlfn.UNICHAR(65533),S3586)),"Côte d'Ivoire",
TRUE,""
)</f>
        <v/>
      </c>
      <c r="W3586" s="40" t="str">
        <f t="shared" si="240"/>
        <v>Czechoslovakia</v>
      </c>
    </row>
    <row r="3587" spans="19:23">
      <c r="S3587" s="40" t="str">
        <v>Bulgaria</v>
      </c>
      <c r="T3587" s="40" t="str">
        <f t="shared" ref="T3587:T3650" si="241">IF(COUNTIF(R$13:R$250,S3587)=1,"OK","ERREUR")</f>
        <v>OK</v>
      </c>
      <c r="U3587" s="40" t="str">
        <f t="shared" si="239"/>
        <v>-</v>
      </c>
      <c r="V3587" s="40" t="str" cm="1">
        <f t="array" ref="V3587">_xlfn.IFS(
ISNUMBER(SEARCH("USA",S3587)),"United States",
ISNUMBER(SEARCH("Republic of Ireland",S3587)),"Ireland",
ISNUMBER(SEARCH("Republic of Korea",S3587)),"South Korea",
ISNUMBER(SEARCH("Cape Verde",S3587)),"Cabo Verde",
ISNUMBER(SEARCH("Czechia",S3587)),"Czech Republic",
ISNUMBER(SEARCH("Türkiye",S3587)),"Turkey",
ISNUMBER(SEARCH("Ivory Coast",S3587)),"Côte d'Ivoire",
ISNUMBER(SEARCH("Korea Republic",S3587)),"South Korea",
ISNUMBER(SEARCH("Germany FR",S3587)),"FR Germany",
ISNUMBER(SEARCH("West Germany",S3587)),"FR Germany",
ISNUMBER(SEARCH("Germany DR",S3587)),"DR Germany",
ISNUMBER(SEARCH("Korea DPR",S3587)),"North Korea",
ISNUMBER(SEARCH("China PR",S3587)),"China",
ISNUMBER(SEARCH("IR Iran",S3587)),"Iran",
ISNUMBER(SEARCH("Congo DR",S3587)),"Democratic Republic of the Congo",
ISNUMBER(SEARCH("DR Congo",S3587)),"Democratic Republic of the Congo",
ISNUMBER(SEARCH("German DR",S3587)),"DR Germany",
ISNUMBER(SEARCH("rn""&gt;United Arab Emirates",S3587)),"United Arab Emirates",
ISNUMBER(SEARCH("rn""&gt;Republic of Ireland",S3587)),"Ireland",
ISNUMBER(SEARCH("rn""&gt;Bosnia and Herzegovina",S3587)),"Bosnia and Herzegovina",
ISNUMBER(SEARCH("rn""&gt;Trinidad and Tobago",S3587)),"Trinidad and Tobago",
ISNUMBER(SEARCH("rn""&gt;Serbia and Montenegro",S3587)),"Serbia and Montenegro",
ISNUMBER(SEARCH(_xlfn.UNICHAR(65533),S3587)),"Côte d'Ivoire",
TRUE,""
)</f>
        <v/>
      </c>
      <c r="W3587" s="40" t="str">
        <f t="shared" si="240"/>
        <v>Bulgaria</v>
      </c>
    </row>
    <row r="3588" spans="19:23">
      <c r="S3588" s="40" t="str">
        <v>Switzerland</v>
      </c>
      <c r="T3588" s="40" t="str">
        <f t="shared" si="241"/>
        <v>OK</v>
      </c>
      <c r="U3588" s="40" t="str">
        <f t="shared" ref="U3588:U3651" si="242">IF(OR(S3588="Scotland",S3588="England",S3588="Wales",S3588="Yugoslavia",S3588="Czechoslovakia",S3588="Northern Ireland",S3588="Soviet Union",S3588="Zaire",S3588="Dutch East Indies"),"AUCUNE",IF(OR(S3588="Cape Verde",S3588="USA",S3588="DR Congo",S3588="Republic of Korea",S3588="Germany FR",S3588="Germany DR",S3588="Czechia",S3588="Ivory Coast",S3588="Korea DPR",S3588="China PR",S3588="IR Iran",S3588="Türkiye",S3588="Congo DR",S3588="German DR",S3588="West Germany",S3588="Republic of Ireland",ISNUMBER(SEARCH(_xlfn.UNICHAR(65533),S3588)),S3588="Korea Republic",ISNUMBER(SEARCH("rn""&gt;United Arab Emirates",S3588)),ISNUMBER(SEARCH("rn""&gt;Republic of Ireland",S3588)),ISNUMBER(SEARCH("rn""&gt;Bosnia and Herzegovina",S3588)),ISNUMBER(SEARCH("rn""&gt;Trinidad and Tobago",S3588)),ISNUMBER(SEARCH("rn""&gt;Serbia and Montenegro",S3588)),ISNUMBER(SEARCH(_xlfn.UNICHAR(65533),S3588))),"RENOMMER","-"))</f>
        <v>-</v>
      </c>
      <c r="V3588" s="40" t="str" cm="1">
        <f t="array" ref="V3588">_xlfn.IFS(
ISNUMBER(SEARCH("USA",S3588)),"United States",
ISNUMBER(SEARCH("Republic of Ireland",S3588)),"Ireland",
ISNUMBER(SEARCH("Republic of Korea",S3588)),"South Korea",
ISNUMBER(SEARCH("Cape Verde",S3588)),"Cabo Verde",
ISNUMBER(SEARCH("Czechia",S3588)),"Czech Republic",
ISNUMBER(SEARCH("Türkiye",S3588)),"Turkey",
ISNUMBER(SEARCH("Ivory Coast",S3588)),"Côte d'Ivoire",
ISNUMBER(SEARCH("Korea Republic",S3588)),"South Korea",
ISNUMBER(SEARCH("Germany FR",S3588)),"FR Germany",
ISNUMBER(SEARCH("West Germany",S3588)),"FR Germany",
ISNUMBER(SEARCH("Germany DR",S3588)),"DR Germany",
ISNUMBER(SEARCH("Korea DPR",S3588)),"North Korea",
ISNUMBER(SEARCH("China PR",S3588)),"China",
ISNUMBER(SEARCH("IR Iran",S3588)),"Iran",
ISNUMBER(SEARCH("Congo DR",S3588)),"Democratic Republic of the Congo",
ISNUMBER(SEARCH("DR Congo",S3588)),"Democratic Republic of the Congo",
ISNUMBER(SEARCH("German DR",S3588)),"DR Germany",
ISNUMBER(SEARCH("rn""&gt;United Arab Emirates",S3588)),"United Arab Emirates",
ISNUMBER(SEARCH("rn""&gt;Republic of Ireland",S3588)),"Ireland",
ISNUMBER(SEARCH("rn""&gt;Bosnia and Herzegovina",S3588)),"Bosnia and Herzegovina",
ISNUMBER(SEARCH("rn""&gt;Trinidad and Tobago",S3588)),"Trinidad and Tobago",
ISNUMBER(SEARCH("rn""&gt;Serbia and Montenegro",S3588)),"Serbia and Montenegro",
ISNUMBER(SEARCH(_xlfn.UNICHAR(65533),S3588)),"Côte d'Ivoire",
TRUE,""
)</f>
        <v/>
      </c>
      <c r="W3588" s="40" t="str">
        <f t="shared" ref="W3588:W3651" si="243">IF(V3588="",S3588,V3588)</f>
        <v>Switzerland</v>
      </c>
    </row>
    <row r="3589" spans="19:23">
      <c r="S3589" s="40" t="str">
        <v>Soviet Union</v>
      </c>
      <c r="T3589" s="40" t="str">
        <f t="shared" si="241"/>
        <v>ERREUR</v>
      </c>
      <c r="U3589" s="40" t="str">
        <f t="shared" si="242"/>
        <v>AUCUNE</v>
      </c>
      <c r="V3589" s="40" t="str" cm="1">
        <f t="array" ref="V3589">_xlfn.IFS(
ISNUMBER(SEARCH("USA",S3589)),"United States",
ISNUMBER(SEARCH("Republic of Ireland",S3589)),"Ireland",
ISNUMBER(SEARCH("Republic of Korea",S3589)),"South Korea",
ISNUMBER(SEARCH("Cape Verde",S3589)),"Cabo Verde",
ISNUMBER(SEARCH("Czechia",S3589)),"Czech Republic",
ISNUMBER(SEARCH("Türkiye",S3589)),"Turkey",
ISNUMBER(SEARCH("Ivory Coast",S3589)),"Côte d'Ivoire",
ISNUMBER(SEARCH("Korea Republic",S3589)),"South Korea",
ISNUMBER(SEARCH("Germany FR",S3589)),"FR Germany",
ISNUMBER(SEARCH("West Germany",S3589)),"FR Germany",
ISNUMBER(SEARCH("Germany DR",S3589)),"DR Germany",
ISNUMBER(SEARCH("Korea DPR",S3589)),"North Korea",
ISNUMBER(SEARCH("China PR",S3589)),"China",
ISNUMBER(SEARCH("IR Iran",S3589)),"Iran",
ISNUMBER(SEARCH("Congo DR",S3589)),"Democratic Republic of the Congo",
ISNUMBER(SEARCH("DR Congo",S3589)),"Democratic Republic of the Congo",
ISNUMBER(SEARCH("German DR",S3589)),"DR Germany",
ISNUMBER(SEARCH("rn""&gt;United Arab Emirates",S3589)),"United Arab Emirates",
ISNUMBER(SEARCH("rn""&gt;Republic of Ireland",S3589)),"Ireland",
ISNUMBER(SEARCH("rn""&gt;Bosnia and Herzegovina",S3589)),"Bosnia and Herzegovina",
ISNUMBER(SEARCH("rn""&gt;Trinidad and Tobago",S3589)),"Trinidad and Tobago",
ISNUMBER(SEARCH("rn""&gt;Serbia and Montenegro",S3589)),"Serbia and Montenegro",
ISNUMBER(SEARCH(_xlfn.UNICHAR(65533),S3589)),"Côte d'Ivoire",
TRUE,""
)</f>
        <v/>
      </c>
      <c r="W3589" s="40" t="str">
        <f t="shared" si="243"/>
        <v>Soviet Union</v>
      </c>
    </row>
    <row r="3590" spans="19:23">
      <c r="S3590" s="40" t="str">
        <v>England</v>
      </c>
      <c r="T3590" s="40" t="str">
        <f t="shared" si="241"/>
        <v>ERREUR</v>
      </c>
      <c r="U3590" s="40" t="str">
        <f t="shared" si="242"/>
        <v>AUCUNE</v>
      </c>
      <c r="V3590" s="40" t="str" cm="1">
        <f t="array" ref="V3590">_xlfn.IFS(
ISNUMBER(SEARCH("USA",S3590)),"United States",
ISNUMBER(SEARCH("Republic of Ireland",S3590)),"Ireland",
ISNUMBER(SEARCH("Republic of Korea",S3590)),"South Korea",
ISNUMBER(SEARCH("Cape Verde",S3590)),"Cabo Verde",
ISNUMBER(SEARCH("Czechia",S3590)),"Czech Republic",
ISNUMBER(SEARCH("Türkiye",S3590)),"Turkey",
ISNUMBER(SEARCH("Ivory Coast",S3590)),"Côte d'Ivoire",
ISNUMBER(SEARCH("Korea Republic",S3590)),"South Korea",
ISNUMBER(SEARCH("Germany FR",S3590)),"FR Germany",
ISNUMBER(SEARCH("West Germany",S3590)),"FR Germany",
ISNUMBER(SEARCH("Germany DR",S3590)),"DR Germany",
ISNUMBER(SEARCH("Korea DPR",S3590)),"North Korea",
ISNUMBER(SEARCH("China PR",S3590)),"China",
ISNUMBER(SEARCH("IR Iran",S3590)),"Iran",
ISNUMBER(SEARCH("Congo DR",S3590)),"Democratic Republic of the Congo",
ISNUMBER(SEARCH("DR Congo",S3590)),"Democratic Republic of the Congo",
ISNUMBER(SEARCH("German DR",S3590)),"DR Germany",
ISNUMBER(SEARCH("rn""&gt;United Arab Emirates",S3590)),"United Arab Emirates",
ISNUMBER(SEARCH("rn""&gt;Republic of Ireland",S3590)),"Ireland",
ISNUMBER(SEARCH("rn""&gt;Bosnia and Herzegovina",S3590)),"Bosnia and Herzegovina",
ISNUMBER(SEARCH("rn""&gt;Trinidad and Tobago",S3590)),"Trinidad and Tobago",
ISNUMBER(SEARCH("rn""&gt;Serbia and Montenegro",S3590)),"Serbia and Montenegro",
ISNUMBER(SEARCH(_xlfn.UNICHAR(65533),S3590)),"Côte d'Ivoire",
TRUE,""
)</f>
        <v/>
      </c>
      <c r="W3590" s="40" t="str">
        <f t="shared" si="243"/>
        <v>England</v>
      </c>
    </row>
    <row r="3591" spans="19:23">
      <c r="S3591" s="40" t="str">
        <v>Hungary</v>
      </c>
      <c r="T3591" s="40" t="str">
        <f t="shared" si="241"/>
        <v>OK</v>
      </c>
      <c r="U3591" s="40" t="str">
        <f t="shared" si="242"/>
        <v>-</v>
      </c>
      <c r="V3591" s="40" t="str" cm="1">
        <f t="array" ref="V3591">_xlfn.IFS(
ISNUMBER(SEARCH("USA",S3591)),"United States",
ISNUMBER(SEARCH("Republic of Ireland",S3591)),"Ireland",
ISNUMBER(SEARCH("Republic of Korea",S3591)),"South Korea",
ISNUMBER(SEARCH("Cape Verde",S3591)),"Cabo Verde",
ISNUMBER(SEARCH("Czechia",S3591)),"Czech Republic",
ISNUMBER(SEARCH("Türkiye",S3591)),"Turkey",
ISNUMBER(SEARCH("Ivory Coast",S3591)),"Côte d'Ivoire",
ISNUMBER(SEARCH("Korea Republic",S3591)),"South Korea",
ISNUMBER(SEARCH("Germany FR",S3591)),"FR Germany",
ISNUMBER(SEARCH("West Germany",S3591)),"FR Germany",
ISNUMBER(SEARCH("Germany DR",S3591)),"DR Germany",
ISNUMBER(SEARCH("Korea DPR",S3591)),"North Korea",
ISNUMBER(SEARCH("China PR",S3591)),"China",
ISNUMBER(SEARCH("IR Iran",S3591)),"Iran",
ISNUMBER(SEARCH("Congo DR",S3591)),"Democratic Republic of the Congo",
ISNUMBER(SEARCH("DR Congo",S3591)),"Democratic Republic of the Congo",
ISNUMBER(SEARCH("German DR",S3591)),"DR Germany",
ISNUMBER(SEARCH("rn""&gt;United Arab Emirates",S3591)),"United Arab Emirates",
ISNUMBER(SEARCH("rn""&gt;Republic of Ireland",S3591)),"Ireland",
ISNUMBER(SEARCH("rn""&gt;Bosnia and Herzegovina",S3591)),"Bosnia and Herzegovina",
ISNUMBER(SEARCH("rn""&gt;Trinidad and Tobago",S3591)),"Trinidad and Tobago",
ISNUMBER(SEARCH("rn""&gt;Serbia and Montenegro",S3591)),"Serbia and Montenegro",
ISNUMBER(SEARCH(_xlfn.UNICHAR(65533),S3591)),"Côte d'Ivoire",
TRUE,""
)</f>
        <v/>
      </c>
      <c r="W3591" s="40" t="str">
        <f t="shared" si="243"/>
        <v>Hungary</v>
      </c>
    </row>
    <row r="3592" spans="19:23">
      <c r="S3592" s="40" t="str">
        <v>Germany FR</v>
      </c>
      <c r="T3592" s="40" t="str">
        <f t="shared" si="241"/>
        <v>ERREUR</v>
      </c>
      <c r="U3592" s="40" t="str">
        <f t="shared" si="242"/>
        <v>RENOMMER</v>
      </c>
      <c r="V3592" s="40" t="str" cm="1">
        <f t="array" ref="V3592">_xlfn.IFS(
ISNUMBER(SEARCH("USA",S3592)),"United States",
ISNUMBER(SEARCH("Republic of Ireland",S3592)),"Ireland",
ISNUMBER(SEARCH("Republic of Korea",S3592)),"South Korea",
ISNUMBER(SEARCH("Cape Verde",S3592)),"Cabo Verde",
ISNUMBER(SEARCH("Czechia",S3592)),"Czech Republic",
ISNUMBER(SEARCH("Türkiye",S3592)),"Turkey",
ISNUMBER(SEARCH("Ivory Coast",S3592)),"Côte d'Ivoire",
ISNUMBER(SEARCH("Korea Republic",S3592)),"South Korea",
ISNUMBER(SEARCH("Germany FR",S3592)),"FR Germany",
ISNUMBER(SEARCH("West Germany",S3592)),"FR Germany",
ISNUMBER(SEARCH("Germany DR",S3592)),"DR Germany",
ISNUMBER(SEARCH("Korea DPR",S3592)),"North Korea",
ISNUMBER(SEARCH("China PR",S3592)),"China",
ISNUMBER(SEARCH("IR Iran",S3592)),"Iran",
ISNUMBER(SEARCH("Congo DR",S3592)),"Democratic Republic of the Congo",
ISNUMBER(SEARCH("DR Congo",S3592)),"Democratic Republic of the Congo",
ISNUMBER(SEARCH("German DR",S3592)),"DR Germany",
ISNUMBER(SEARCH("rn""&gt;United Arab Emirates",S3592)),"United Arab Emirates",
ISNUMBER(SEARCH("rn""&gt;Republic of Ireland",S3592)),"Ireland",
ISNUMBER(SEARCH("rn""&gt;Bosnia and Herzegovina",S3592)),"Bosnia and Herzegovina",
ISNUMBER(SEARCH("rn""&gt;Trinidad and Tobago",S3592)),"Trinidad and Tobago",
ISNUMBER(SEARCH("rn""&gt;Serbia and Montenegro",S3592)),"Serbia and Montenegro",
ISNUMBER(SEARCH(_xlfn.UNICHAR(65533),S3592)),"Côte d'Ivoire",
TRUE,""
)</f>
        <v>FR Germany</v>
      </c>
      <c r="W3592" s="40" t="str">
        <f t="shared" si="243"/>
        <v>FR Germany</v>
      </c>
    </row>
    <row r="3593" spans="19:23">
      <c r="S3593" s="40" t="str">
        <v>Yugoslavia</v>
      </c>
      <c r="T3593" s="40" t="str">
        <f t="shared" si="241"/>
        <v>ERREUR</v>
      </c>
      <c r="U3593" s="40" t="str">
        <f t="shared" si="242"/>
        <v>AUCUNE</v>
      </c>
      <c r="V3593" s="40" t="str" cm="1">
        <f t="array" ref="V3593">_xlfn.IFS(
ISNUMBER(SEARCH("USA",S3593)),"United States",
ISNUMBER(SEARCH("Republic of Ireland",S3593)),"Ireland",
ISNUMBER(SEARCH("Republic of Korea",S3593)),"South Korea",
ISNUMBER(SEARCH("Cape Verde",S3593)),"Cabo Verde",
ISNUMBER(SEARCH("Czechia",S3593)),"Czech Republic",
ISNUMBER(SEARCH("Türkiye",S3593)),"Turkey",
ISNUMBER(SEARCH("Ivory Coast",S3593)),"Côte d'Ivoire",
ISNUMBER(SEARCH("Korea Republic",S3593)),"South Korea",
ISNUMBER(SEARCH("Germany FR",S3593)),"FR Germany",
ISNUMBER(SEARCH("West Germany",S3593)),"FR Germany",
ISNUMBER(SEARCH("Germany DR",S3593)),"DR Germany",
ISNUMBER(SEARCH("Korea DPR",S3593)),"North Korea",
ISNUMBER(SEARCH("China PR",S3593)),"China",
ISNUMBER(SEARCH("IR Iran",S3593)),"Iran",
ISNUMBER(SEARCH("Congo DR",S3593)),"Democratic Republic of the Congo",
ISNUMBER(SEARCH("DR Congo",S3593)),"Democratic Republic of the Congo",
ISNUMBER(SEARCH("German DR",S3593)),"DR Germany",
ISNUMBER(SEARCH("rn""&gt;United Arab Emirates",S3593)),"United Arab Emirates",
ISNUMBER(SEARCH("rn""&gt;Republic of Ireland",S3593)),"Ireland",
ISNUMBER(SEARCH("rn""&gt;Bosnia and Herzegovina",S3593)),"Bosnia and Herzegovina",
ISNUMBER(SEARCH("rn""&gt;Trinidad and Tobago",S3593)),"Trinidad and Tobago",
ISNUMBER(SEARCH("rn""&gt;Serbia and Montenegro",S3593)),"Serbia and Montenegro",
ISNUMBER(SEARCH(_xlfn.UNICHAR(65533),S3593)),"Côte d'Ivoire",
TRUE,""
)</f>
        <v/>
      </c>
      <c r="W3593" s="40" t="str">
        <f t="shared" si="243"/>
        <v>Yugoslavia</v>
      </c>
    </row>
    <row r="3594" spans="19:23">
      <c r="S3594" s="40" t="str">
        <v>Chile</v>
      </c>
      <c r="T3594" s="40" t="str">
        <f t="shared" si="241"/>
        <v>OK</v>
      </c>
      <c r="U3594" s="40" t="str">
        <f t="shared" si="242"/>
        <v>-</v>
      </c>
      <c r="V3594" s="40" t="str" cm="1">
        <f t="array" ref="V3594">_xlfn.IFS(
ISNUMBER(SEARCH("USA",S3594)),"United States",
ISNUMBER(SEARCH("Republic of Ireland",S3594)),"Ireland",
ISNUMBER(SEARCH("Republic of Korea",S3594)),"South Korea",
ISNUMBER(SEARCH("Cape Verde",S3594)),"Cabo Verde",
ISNUMBER(SEARCH("Czechia",S3594)),"Czech Republic",
ISNUMBER(SEARCH("Türkiye",S3594)),"Turkey",
ISNUMBER(SEARCH("Ivory Coast",S3594)),"Côte d'Ivoire",
ISNUMBER(SEARCH("Korea Republic",S3594)),"South Korea",
ISNUMBER(SEARCH("Germany FR",S3594)),"FR Germany",
ISNUMBER(SEARCH("West Germany",S3594)),"FR Germany",
ISNUMBER(SEARCH("Germany DR",S3594)),"DR Germany",
ISNUMBER(SEARCH("Korea DPR",S3594)),"North Korea",
ISNUMBER(SEARCH("China PR",S3594)),"China",
ISNUMBER(SEARCH("IR Iran",S3594)),"Iran",
ISNUMBER(SEARCH("Congo DR",S3594)),"Democratic Republic of the Congo",
ISNUMBER(SEARCH("DR Congo",S3594)),"Democratic Republic of the Congo",
ISNUMBER(SEARCH("German DR",S3594)),"DR Germany",
ISNUMBER(SEARCH("rn""&gt;United Arab Emirates",S3594)),"United Arab Emirates",
ISNUMBER(SEARCH("rn""&gt;Republic of Ireland",S3594)),"Ireland",
ISNUMBER(SEARCH("rn""&gt;Bosnia and Herzegovina",S3594)),"Bosnia and Herzegovina",
ISNUMBER(SEARCH("rn""&gt;Trinidad and Tobago",S3594)),"Trinidad and Tobago",
ISNUMBER(SEARCH("rn""&gt;Serbia and Montenegro",S3594)),"Serbia and Montenegro",
ISNUMBER(SEARCH(_xlfn.UNICHAR(65533),S3594)),"Côte d'Ivoire",
TRUE,""
)</f>
        <v/>
      </c>
      <c r="W3594" s="40" t="str">
        <f t="shared" si="243"/>
        <v>Chile</v>
      </c>
    </row>
    <row r="3595" spans="19:23">
      <c r="S3595" s="40" t="str">
        <v>Yugoslavia</v>
      </c>
      <c r="T3595" s="40" t="str">
        <f t="shared" si="241"/>
        <v>ERREUR</v>
      </c>
      <c r="U3595" s="40" t="str">
        <f t="shared" si="242"/>
        <v>AUCUNE</v>
      </c>
      <c r="V3595" s="40" t="str" cm="1">
        <f t="array" ref="V3595">_xlfn.IFS(
ISNUMBER(SEARCH("USA",S3595)),"United States",
ISNUMBER(SEARCH("Republic of Ireland",S3595)),"Ireland",
ISNUMBER(SEARCH("Republic of Korea",S3595)),"South Korea",
ISNUMBER(SEARCH("Cape Verde",S3595)),"Cabo Verde",
ISNUMBER(SEARCH("Czechia",S3595)),"Czech Republic",
ISNUMBER(SEARCH("Türkiye",S3595)),"Turkey",
ISNUMBER(SEARCH("Ivory Coast",S3595)),"Côte d'Ivoire",
ISNUMBER(SEARCH("Korea Republic",S3595)),"South Korea",
ISNUMBER(SEARCH("Germany FR",S3595)),"FR Germany",
ISNUMBER(SEARCH("West Germany",S3595)),"FR Germany",
ISNUMBER(SEARCH("Germany DR",S3595)),"DR Germany",
ISNUMBER(SEARCH("Korea DPR",S3595)),"North Korea",
ISNUMBER(SEARCH("China PR",S3595)),"China",
ISNUMBER(SEARCH("IR Iran",S3595)),"Iran",
ISNUMBER(SEARCH("Congo DR",S3595)),"Democratic Republic of the Congo",
ISNUMBER(SEARCH("DR Congo",S3595)),"Democratic Republic of the Congo",
ISNUMBER(SEARCH("German DR",S3595)),"DR Germany",
ISNUMBER(SEARCH("rn""&gt;United Arab Emirates",S3595)),"United Arab Emirates",
ISNUMBER(SEARCH("rn""&gt;Republic of Ireland",S3595)),"Ireland",
ISNUMBER(SEARCH("rn""&gt;Bosnia and Herzegovina",S3595)),"Bosnia and Herzegovina",
ISNUMBER(SEARCH("rn""&gt;Trinidad and Tobago",S3595)),"Trinidad and Tobago",
ISNUMBER(SEARCH("rn""&gt;Serbia and Montenegro",S3595)),"Serbia and Montenegro",
ISNUMBER(SEARCH(_xlfn.UNICHAR(65533),S3595)),"Côte d'Ivoire",
TRUE,""
)</f>
        <v/>
      </c>
      <c r="W3595" s="40" t="str">
        <f t="shared" si="243"/>
        <v>Yugoslavia</v>
      </c>
    </row>
    <row r="3596" spans="19:23">
      <c r="S3596" s="40" t="str">
        <v>Czechoslovakia</v>
      </c>
      <c r="T3596" s="40" t="str">
        <f t="shared" si="241"/>
        <v>ERREUR</v>
      </c>
      <c r="U3596" s="40" t="str">
        <f t="shared" si="242"/>
        <v>AUCUNE</v>
      </c>
      <c r="V3596" s="40" t="str" cm="1">
        <f t="array" ref="V3596">_xlfn.IFS(
ISNUMBER(SEARCH("USA",S3596)),"United States",
ISNUMBER(SEARCH("Republic of Ireland",S3596)),"Ireland",
ISNUMBER(SEARCH("Republic of Korea",S3596)),"South Korea",
ISNUMBER(SEARCH("Cape Verde",S3596)),"Cabo Verde",
ISNUMBER(SEARCH("Czechia",S3596)),"Czech Republic",
ISNUMBER(SEARCH("Türkiye",S3596)),"Turkey",
ISNUMBER(SEARCH("Ivory Coast",S3596)),"Côte d'Ivoire",
ISNUMBER(SEARCH("Korea Republic",S3596)),"South Korea",
ISNUMBER(SEARCH("Germany FR",S3596)),"FR Germany",
ISNUMBER(SEARCH("West Germany",S3596)),"FR Germany",
ISNUMBER(SEARCH("Germany DR",S3596)),"DR Germany",
ISNUMBER(SEARCH("Korea DPR",S3596)),"North Korea",
ISNUMBER(SEARCH("China PR",S3596)),"China",
ISNUMBER(SEARCH("IR Iran",S3596)),"Iran",
ISNUMBER(SEARCH("Congo DR",S3596)),"Democratic Republic of the Congo",
ISNUMBER(SEARCH("DR Congo",S3596)),"Democratic Republic of the Congo",
ISNUMBER(SEARCH("German DR",S3596)),"DR Germany",
ISNUMBER(SEARCH("rn""&gt;United Arab Emirates",S3596)),"United Arab Emirates",
ISNUMBER(SEARCH("rn""&gt;Republic of Ireland",S3596)),"Ireland",
ISNUMBER(SEARCH("rn""&gt;Bosnia and Herzegovina",S3596)),"Bosnia and Herzegovina",
ISNUMBER(SEARCH("rn""&gt;Trinidad and Tobago",S3596)),"Trinidad and Tobago",
ISNUMBER(SEARCH("rn""&gt;Serbia and Montenegro",S3596)),"Serbia and Montenegro",
ISNUMBER(SEARCH(_xlfn.UNICHAR(65533),S3596)),"Côte d'Ivoire",
TRUE,""
)</f>
        <v/>
      </c>
      <c r="W3596" s="40" t="str">
        <f t="shared" si="243"/>
        <v>Czechoslovakia</v>
      </c>
    </row>
    <row r="3597" spans="19:23">
      <c r="S3597" s="40" t="str">
        <v>Uruguay</v>
      </c>
      <c r="T3597" s="40" t="str">
        <f t="shared" si="241"/>
        <v>OK</v>
      </c>
      <c r="U3597" s="40" t="str">
        <f t="shared" si="242"/>
        <v>-</v>
      </c>
      <c r="V3597" s="40" t="str" cm="1">
        <f t="array" ref="V3597">_xlfn.IFS(
ISNUMBER(SEARCH("USA",S3597)),"United States",
ISNUMBER(SEARCH("Republic of Ireland",S3597)),"Ireland",
ISNUMBER(SEARCH("Republic of Korea",S3597)),"South Korea",
ISNUMBER(SEARCH("Cape Verde",S3597)),"Cabo Verde",
ISNUMBER(SEARCH("Czechia",S3597)),"Czech Republic",
ISNUMBER(SEARCH("Türkiye",S3597)),"Turkey",
ISNUMBER(SEARCH("Ivory Coast",S3597)),"Côte d'Ivoire",
ISNUMBER(SEARCH("Korea Republic",S3597)),"South Korea",
ISNUMBER(SEARCH("Germany FR",S3597)),"FR Germany",
ISNUMBER(SEARCH("West Germany",S3597)),"FR Germany",
ISNUMBER(SEARCH("Germany DR",S3597)),"DR Germany",
ISNUMBER(SEARCH("Korea DPR",S3597)),"North Korea",
ISNUMBER(SEARCH("China PR",S3597)),"China",
ISNUMBER(SEARCH("IR Iran",S3597)),"Iran",
ISNUMBER(SEARCH("Congo DR",S3597)),"Democratic Republic of the Congo",
ISNUMBER(SEARCH("DR Congo",S3597)),"Democratic Republic of the Congo",
ISNUMBER(SEARCH("German DR",S3597)),"DR Germany",
ISNUMBER(SEARCH("rn""&gt;United Arab Emirates",S3597)),"United Arab Emirates",
ISNUMBER(SEARCH("rn""&gt;Republic of Ireland",S3597)),"Ireland",
ISNUMBER(SEARCH("rn""&gt;Bosnia and Herzegovina",S3597)),"Bosnia and Herzegovina",
ISNUMBER(SEARCH("rn""&gt;Trinidad and Tobago",S3597)),"Trinidad and Tobago",
ISNUMBER(SEARCH("rn""&gt;Serbia and Montenegro",S3597)),"Serbia and Montenegro",
ISNUMBER(SEARCH(_xlfn.UNICHAR(65533),S3597)),"Côte d'Ivoire",
TRUE,""
)</f>
        <v/>
      </c>
      <c r="W3597" s="40" t="str">
        <f t="shared" si="243"/>
        <v>Uruguay</v>
      </c>
    </row>
    <row r="3598" spans="19:23">
      <c r="S3598" s="40" t="str">
        <v>Switzerland</v>
      </c>
      <c r="T3598" s="40" t="str">
        <f t="shared" si="241"/>
        <v>OK</v>
      </c>
      <c r="U3598" s="40" t="str">
        <f t="shared" si="242"/>
        <v>-</v>
      </c>
      <c r="V3598" s="40" t="str" cm="1">
        <f t="array" ref="V3598">_xlfn.IFS(
ISNUMBER(SEARCH("USA",S3598)),"United States",
ISNUMBER(SEARCH("Republic of Ireland",S3598)),"Ireland",
ISNUMBER(SEARCH("Republic of Korea",S3598)),"South Korea",
ISNUMBER(SEARCH("Cape Verde",S3598)),"Cabo Verde",
ISNUMBER(SEARCH("Czechia",S3598)),"Czech Republic",
ISNUMBER(SEARCH("Türkiye",S3598)),"Turkey",
ISNUMBER(SEARCH("Ivory Coast",S3598)),"Côte d'Ivoire",
ISNUMBER(SEARCH("Korea Republic",S3598)),"South Korea",
ISNUMBER(SEARCH("Germany FR",S3598)),"FR Germany",
ISNUMBER(SEARCH("West Germany",S3598)),"FR Germany",
ISNUMBER(SEARCH("Germany DR",S3598)),"DR Germany",
ISNUMBER(SEARCH("Korea DPR",S3598)),"North Korea",
ISNUMBER(SEARCH("China PR",S3598)),"China",
ISNUMBER(SEARCH("IR Iran",S3598)),"Iran",
ISNUMBER(SEARCH("Congo DR",S3598)),"Democratic Republic of the Congo",
ISNUMBER(SEARCH("DR Congo",S3598)),"Democratic Republic of the Congo",
ISNUMBER(SEARCH("German DR",S3598)),"DR Germany",
ISNUMBER(SEARCH("rn""&gt;United Arab Emirates",S3598)),"United Arab Emirates",
ISNUMBER(SEARCH("rn""&gt;Republic of Ireland",S3598)),"Ireland",
ISNUMBER(SEARCH("rn""&gt;Bosnia and Herzegovina",S3598)),"Bosnia and Herzegovina",
ISNUMBER(SEARCH("rn""&gt;Trinidad and Tobago",S3598)),"Trinidad and Tobago",
ISNUMBER(SEARCH("rn""&gt;Serbia and Montenegro",S3598)),"Serbia and Montenegro",
ISNUMBER(SEARCH(_xlfn.UNICHAR(65533),S3598)),"Côte d'Ivoire",
TRUE,""
)</f>
        <v/>
      </c>
      <c r="W3598" s="40" t="str">
        <f t="shared" si="243"/>
        <v>Switzerland</v>
      </c>
    </row>
    <row r="3599" spans="19:23">
      <c r="S3599" s="40" t="str">
        <v>Bulgaria</v>
      </c>
      <c r="T3599" s="40" t="str">
        <f t="shared" si="241"/>
        <v>OK</v>
      </c>
      <c r="U3599" s="40" t="str">
        <f t="shared" si="242"/>
        <v>-</v>
      </c>
      <c r="V3599" s="40" t="str" cm="1">
        <f t="array" ref="V3599">_xlfn.IFS(
ISNUMBER(SEARCH("USA",S3599)),"United States",
ISNUMBER(SEARCH("Republic of Ireland",S3599)),"Ireland",
ISNUMBER(SEARCH("Republic of Korea",S3599)),"South Korea",
ISNUMBER(SEARCH("Cape Verde",S3599)),"Cabo Verde",
ISNUMBER(SEARCH("Czechia",S3599)),"Czech Republic",
ISNUMBER(SEARCH("Türkiye",S3599)),"Turkey",
ISNUMBER(SEARCH("Ivory Coast",S3599)),"Côte d'Ivoire",
ISNUMBER(SEARCH("Korea Republic",S3599)),"South Korea",
ISNUMBER(SEARCH("Germany FR",S3599)),"FR Germany",
ISNUMBER(SEARCH("West Germany",S3599)),"FR Germany",
ISNUMBER(SEARCH("Germany DR",S3599)),"DR Germany",
ISNUMBER(SEARCH("Korea DPR",S3599)),"North Korea",
ISNUMBER(SEARCH("China PR",S3599)),"China",
ISNUMBER(SEARCH("IR Iran",S3599)),"Iran",
ISNUMBER(SEARCH("Congo DR",S3599)),"Democratic Republic of the Congo",
ISNUMBER(SEARCH("DR Congo",S3599)),"Democratic Republic of the Congo",
ISNUMBER(SEARCH("German DR",S3599)),"DR Germany",
ISNUMBER(SEARCH("rn""&gt;United Arab Emirates",S3599)),"United Arab Emirates",
ISNUMBER(SEARCH("rn""&gt;Republic of Ireland",S3599)),"Ireland",
ISNUMBER(SEARCH("rn""&gt;Bosnia and Herzegovina",S3599)),"Bosnia and Herzegovina",
ISNUMBER(SEARCH("rn""&gt;Trinidad and Tobago",S3599)),"Trinidad and Tobago",
ISNUMBER(SEARCH("rn""&gt;Serbia and Montenegro",S3599)),"Serbia and Montenegro",
ISNUMBER(SEARCH(_xlfn.UNICHAR(65533),S3599)),"Côte d'Ivoire",
TRUE,""
)</f>
        <v/>
      </c>
      <c r="W3599" s="40" t="str">
        <f t="shared" si="243"/>
        <v>Bulgaria</v>
      </c>
    </row>
    <row r="3600" spans="19:23">
      <c r="S3600" s="40" t="str">
        <v>Korea DPR</v>
      </c>
      <c r="T3600" s="40" t="str">
        <f t="shared" si="241"/>
        <v>ERREUR</v>
      </c>
      <c r="U3600" s="40" t="str">
        <f t="shared" si="242"/>
        <v>RENOMMER</v>
      </c>
      <c r="V3600" s="40" t="str" cm="1">
        <f t="array" ref="V3600">_xlfn.IFS(
ISNUMBER(SEARCH("USA",S3600)),"United States",
ISNUMBER(SEARCH("Republic of Ireland",S3600)),"Ireland",
ISNUMBER(SEARCH("Republic of Korea",S3600)),"South Korea",
ISNUMBER(SEARCH("Cape Verde",S3600)),"Cabo Verde",
ISNUMBER(SEARCH("Czechia",S3600)),"Czech Republic",
ISNUMBER(SEARCH("Türkiye",S3600)),"Turkey",
ISNUMBER(SEARCH("Ivory Coast",S3600)),"Côte d'Ivoire",
ISNUMBER(SEARCH("Korea Republic",S3600)),"South Korea",
ISNUMBER(SEARCH("Germany FR",S3600)),"FR Germany",
ISNUMBER(SEARCH("West Germany",S3600)),"FR Germany",
ISNUMBER(SEARCH("Germany DR",S3600)),"DR Germany",
ISNUMBER(SEARCH("Korea DPR",S3600)),"North Korea",
ISNUMBER(SEARCH("China PR",S3600)),"China",
ISNUMBER(SEARCH("IR Iran",S3600)),"Iran",
ISNUMBER(SEARCH("Congo DR",S3600)),"Democratic Republic of the Congo",
ISNUMBER(SEARCH("DR Congo",S3600)),"Democratic Republic of the Congo",
ISNUMBER(SEARCH("German DR",S3600)),"DR Germany",
ISNUMBER(SEARCH("rn""&gt;United Arab Emirates",S3600)),"United Arab Emirates",
ISNUMBER(SEARCH("rn""&gt;Republic of Ireland",S3600)),"Ireland",
ISNUMBER(SEARCH("rn""&gt;Bosnia and Herzegovina",S3600)),"Bosnia and Herzegovina",
ISNUMBER(SEARCH("rn""&gt;Trinidad and Tobago",S3600)),"Trinidad and Tobago",
ISNUMBER(SEARCH("rn""&gt;Serbia and Montenegro",S3600)),"Serbia and Montenegro",
ISNUMBER(SEARCH(_xlfn.UNICHAR(65533),S3600)),"Côte d'Ivoire",
TRUE,""
)</f>
        <v>North Korea</v>
      </c>
      <c r="W3600" s="40" t="str">
        <f t="shared" si="243"/>
        <v>North Korea</v>
      </c>
    </row>
    <row r="3601" spans="19:23">
      <c r="S3601" s="40" t="str">
        <v>Mexico</v>
      </c>
      <c r="T3601" s="40" t="str">
        <f t="shared" si="241"/>
        <v>OK</v>
      </c>
      <c r="U3601" s="40" t="str">
        <f t="shared" si="242"/>
        <v>-</v>
      </c>
      <c r="V3601" s="40" t="str" cm="1">
        <f t="array" ref="V3601">_xlfn.IFS(
ISNUMBER(SEARCH("USA",S3601)),"United States",
ISNUMBER(SEARCH("Republic of Ireland",S3601)),"Ireland",
ISNUMBER(SEARCH("Republic of Korea",S3601)),"South Korea",
ISNUMBER(SEARCH("Cape Verde",S3601)),"Cabo Verde",
ISNUMBER(SEARCH("Czechia",S3601)),"Czech Republic",
ISNUMBER(SEARCH("Türkiye",S3601)),"Turkey",
ISNUMBER(SEARCH("Ivory Coast",S3601)),"Côte d'Ivoire",
ISNUMBER(SEARCH("Korea Republic",S3601)),"South Korea",
ISNUMBER(SEARCH("Germany FR",S3601)),"FR Germany",
ISNUMBER(SEARCH("West Germany",S3601)),"FR Germany",
ISNUMBER(SEARCH("Germany DR",S3601)),"DR Germany",
ISNUMBER(SEARCH("Korea DPR",S3601)),"North Korea",
ISNUMBER(SEARCH("China PR",S3601)),"China",
ISNUMBER(SEARCH("IR Iran",S3601)),"Iran",
ISNUMBER(SEARCH("Congo DR",S3601)),"Democratic Republic of the Congo",
ISNUMBER(SEARCH("DR Congo",S3601)),"Democratic Republic of the Congo",
ISNUMBER(SEARCH("German DR",S3601)),"DR Germany",
ISNUMBER(SEARCH("rn""&gt;United Arab Emirates",S3601)),"United Arab Emirates",
ISNUMBER(SEARCH("rn""&gt;Republic of Ireland",S3601)),"Ireland",
ISNUMBER(SEARCH("rn""&gt;Bosnia and Herzegovina",S3601)),"Bosnia and Herzegovina",
ISNUMBER(SEARCH("rn""&gt;Trinidad and Tobago",S3601)),"Trinidad and Tobago",
ISNUMBER(SEARCH("rn""&gt;Serbia and Montenegro",S3601)),"Serbia and Montenegro",
ISNUMBER(SEARCH(_xlfn.UNICHAR(65533),S3601)),"Côte d'Ivoire",
TRUE,""
)</f>
        <v/>
      </c>
      <c r="W3601" s="40" t="str">
        <f t="shared" si="243"/>
        <v>Mexico</v>
      </c>
    </row>
    <row r="3602" spans="19:23">
      <c r="S3602" s="40" t="str">
        <v>Hungary</v>
      </c>
      <c r="T3602" s="40" t="str">
        <f t="shared" si="241"/>
        <v>OK</v>
      </c>
      <c r="U3602" s="40" t="str">
        <f t="shared" si="242"/>
        <v>-</v>
      </c>
      <c r="V3602" s="40" t="str" cm="1">
        <f t="array" ref="V3602">_xlfn.IFS(
ISNUMBER(SEARCH("USA",S3602)),"United States",
ISNUMBER(SEARCH("Republic of Ireland",S3602)),"Ireland",
ISNUMBER(SEARCH("Republic of Korea",S3602)),"South Korea",
ISNUMBER(SEARCH("Cape Verde",S3602)),"Cabo Verde",
ISNUMBER(SEARCH("Czechia",S3602)),"Czech Republic",
ISNUMBER(SEARCH("Türkiye",S3602)),"Turkey",
ISNUMBER(SEARCH("Ivory Coast",S3602)),"Côte d'Ivoire",
ISNUMBER(SEARCH("Korea Republic",S3602)),"South Korea",
ISNUMBER(SEARCH("Germany FR",S3602)),"FR Germany",
ISNUMBER(SEARCH("West Germany",S3602)),"FR Germany",
ISNUMBER(SEARCH("Germany DR",S3602)),"DR Germany",
ISNUMBER(SEARCH("Korea DPR",S3602)),"North Korea",
ISNUMBER(SEARCH("China PR",S3602)),"China",
ISNUMBER(SEARCH("IR Iran",S3602)),"Iran",
ISNUMBER(SEARCH("Congo DR",S3602)),"Democratic Republic of the Congo",
ISNUMBER(SEARCH("DR Congo",S3602)),"Democratic Republic of the Congo",
ISNUMBER(SEARCH("German DR",S3602)),"DR Germany",
ISNUMBER(SEARCH("rn""&gt;United Arab Emirates",S3602)),"United Arab Emirates",
ISNUMBER(SEARCH("rn""&gt;Republic of Ireland",S3602)),"Ireland",
ISNUMBER(SEARCH("rn""&gt;Bosnia and Herzegovina",S3602)),"Bosnia and Herzegovina",
ISNUMBER(SEARCH("rn""&gt;Trinidad and Tobago",S3602)),"Trinidad and Tobago",
ISNUMBER(SEARCH("rn""&gt;Serbia and Montenegro",S3602)),"Serbia and Montenegro",
ISNUMBER(SEARCH(_xlfn.UNICHAR(65533),S3602)),"Côte d'Ivoire",
TRUE,""
)</f>
        <v/>
      </c>
      <c r="W3602" s="40" t="str">
        <f t="shared" si="243"/>
        <v>Hungary</v>
      </c>
    </row>
    <row r="3603" spans="19:23">
      <c r="S3603" s="40" t="str">
        <v>Spain</v>
      </c>
      <c r="T3603" s="40" t="str">
        <f t="shared" si="241"/>
        <v>OK</v>
      </c>
      <c r="U3603" s="40" t="str">
        <f t="shared" si="242"/>
        <v>-</v>
      </c>
      <c r="V3603" s="40" t="str" cm="1">
        <f t="array" ref="V3603">_xlfn.IFS(
ISNUMBER(SEARCH("USA",S3603)),"United States",
ISNUMBER(SEARCH("Republic of Ireland",S3603)),"Ireland",
ISNUMBER(SEARCH("Republic of Korea",S3603)),"South Korea",
ISNUMBER(SEARCH("Cape Verde",S3603)),"Cabo Verde",
ISNUMBER(SEARCH("Czechia",S3603)),"Czech Republic",
ISNUMBER(SEARCH("Türkiye",S3603)),"Turkey",
ISNUMBER(SEARCH("Ivory Coast",S3603)),"Côte d'Ivoire",
ISNUMBER(SEARCH("Korea Republic",S3603)),"South Korea",
ISNUMBER(SEARCH("Germany FR",S3603)),"FR Germany",
ISNUMBER(SEARCH("West Germany",S3603)),"FR Germany",
ISNUMBER(SEARCH("Germany DR",S3603)),"DR Germany",
ISNUMBER(SEARCH("Korea DPR",S3603)),"North Korea",
ISNUMBER(SEARCH("China PR",S3603)),"China",
ISNUMBER(SEARCH("IR Iran",S3603)),"Iran",
ISNUMBER(SEARCH("Congo DR",S3603)),"Democratic Republic of the Congo",
ISNUMBER(SEARCH("DR Congo",S3603)),"Democratic Republic of the Congo",
ISNUMBER(SEARCH("German DR",S3603)),"DR Germany",
ISNUMBER(SEARCH("rn""&gt;United Arab Emirates",S3603)),"United Arab Emirates",
ISNUMBER(SEARCH("rn""&gt;Republic of Ireland",S3603)),"Ireland",
ISNUMBER(SEARCH("rn""&gt;Bosnia and Herzegovina",S3603)),"Bosnia and Herzegovina",
ISNUMBER(SEARCH("rn""&gt;Trinidad and Tobago",S3603)),"Trinidad and Tobago",
ISNUMBER(SEARCH("rn""&gt;Serbia and Montenegro",S3603)),"Serbia and Montenegro",
ISNUMBER(SEARCH(_xlfn.UNICHAR(65533),S3603)),"Côte d'Ivoire",
TRUE,""
)</f>
        <v/>
      </c>
      <c r="W3603" s="40" t="str">
        <f t="shared" si="243"/>
        <v>Spain</v>
      </c>
    </row>
    <row r="3604" spans="19:23">
      <c r="S3604" s="40" t="str">
        <v>Chile</v>
      </c>
      <c r="T3604" s="40" t="str">
        <f t="shared" si="241"/>
        <v>OK</v>
      </c>
      <c r="U3604" s="40" t="str">
        <f t="shared" si="242"/>
        <v>-</v>
      </c>
      <c r="V3604" s="40" t="str" cm="1">
        <f t="array" ref="V3604">_xlfn.IFS(
ISNUMBER(SEARCH("USA",S3604)),"United States",
ISNUMBER(SEARCH("Republic of Ireland",S3604)),"Ireland",
ISNUMBER(SEARCH("Republic of Korea",S3604)),"South Korea",
ISNUMBER(SEARCH("Cape Verde",S3604)),"Cabo Verde",
ISNUMBER(SEARCH("Czechia",S3604)),"Czech Republic",
ISNUMBER(SEARCH("Türkiye",S3604)),"Turkey",
ISNUMBER(SEARCH("Ivory Coast",S3604)),"Côte d'Ivoire",
ISNUMBER(SEARCH("Korea Republic",S3604)),"South Korea",
ISNUMBER(SEARCH("Germany FR",S3604)),"FR Germany",
ISNUMBER(SEARCH("West Germany",S3604)),"FR Germany",
ISNUMBER(SEARCH("Germany DR",S3604)),"DR Germany",
ISNUMBER(SEARCH("Korea DPR",S3604)),"North Korea",
ISNUMBER(SEARCH("China PR",S3604)),"China",
ISNUMBER(SEARCH("IR Iran",S3604)),"Iran",
ISNUMBER(SEARCH("Congo DR",S3604)),"Democratic Republic of the Congo",
ISNUMBER(SEARCH("DR Congo",S3604)),"Democratic Republic of the Congo",
ISNUMBER(SEARCH("German DR",S3604)),"DR Germany",
ISNUMBER(SEARCH("rn""&gt;United Arab Emirates",S3604)),"United Arab Emirates",
ISNUMBER(SEARCH("rn""&gt;Republic of Ireland",S3604)),"Ireland",
ISNUMBER(SEARCH("rn""&gt;Bosnia and Herzegovina",S3604)),"Bosnia and Herzegovina",
ISNUMBER(SEARCH("rn""&gt;Trinidad and Tobago",S3604)),"Trinidad and Tobago",
ISNUMBER(SEARCH("rn""&gt;Serbia and Montenegro",S3604)),"Serbia and Montenegro",
ISNUMBER(SEARCH(_xlfn.UNICHAR(65533),S3604)),"Côte d'Ivoire",
TRUE,""
)</f>
        <v/>
      </c>
      <c r="W3604" s="40" t="str">
        <f t="shared" si="243"/>
        <v>Chile</v>
      </c>
    </row>
    <row r="3605" spans="19:23">
      <c r="S3605" s="40" t="str">
        <v>France</v>
      </c>
      <c r="T3605" s="40" t="str">
        <f t="shared" si="241"/>
        <v>OK</v>
      </c>
      <c r="U3605" s="40" t="str">
        <f t="shared" si="242"/>
        <v>-</v>
      </c>
      <c r="V3605" s="40" t="str" cm="1">
        <f t="array" ref="V3605">_xlfn.IFS(
ISNUMBER(SEARCH("USA",S3605)),"United States",
ISNUMBER(SEARCH("Republic of Ireland",S3605)),"Ireland",
ISNUMBER(SEARCH("Republic of Korea",S3605)),"South Korea",
ISNUMBER(SEARCH("Cape Verde",S3605)),"Cabo Verde",
ISNUMBER(SEARCH("Czechia",S3605)),"Czech Republic",
ISNUMBER(SEARCH("Türkiye",S3605)),"Turkey",
ISNUMBER(SEARCH("Ivory Coast",S3605)),"Côte d'Ivoire",
ISNUMBER(SEARCH("Korea Republic",S3605)),"South Korea",
ISNUMBER(SEARCH("Germany FR",S3605)),"FR Germany",
ISNUMBER(SEARCH("West Germany",S3605)),"FR Germany",
ISNUMBER(SEARCH("Germany DR",S3605)),"DR Germany",
ISNUMBER(SEARCH("Korea DPR",S3605)),"North Korea",
ISNUMBER(SEARCH("China PR",S3605)),"China",
ISNUMBER(SEARCH("IR Iran",S3605)),"Iran",
ISNUMBER(SEARCH("Congo DR",S3605)),"Democratic Republic of the Congo",
ISNUMBER(SEARCH("DR Congo",S3605)),"Democratic Republic of the Congo",
ISNUMBER(SEARCH("German DR",S3605)),"DR Germany",
ISNUMBER(SEARCH("rn""&gt;United Arab Emirates",S3605)),"United Arab Emirates",
ISNUMBER(SEARCH("rn""&gt;Republic of Ireland",S3605)),"Ireland",
ISNUMBER(SEARCH("rn""&gt;Bosnia and Herzegovina",S3605)),"Bosnia and Herzegovina",
ISNUMBER(SEARCH("rn""&gt;Trinidad and Tobago",S3605)),"Trinidad and Tobago",
ISNUMBER(SEARCH("rn""&gt;Serbia and Montenegro",S3605)),"Serbia and Montenegro",
ISNUMBER(SEARCH(_xlfn.UNICHAR(65533),S3605)),"Côte d'Ivoire",
TRUE,""
)</f>
        <v/>
      </c>
      <c r="W3605" s="40" t="str">
        <f t="shared" si="243"/>
        <v>France</v>
      </c>
    </row>
    <row r="3606" spans="19:23">
      <c r="S3606" s="40" t="str">
        <v>Switzerland</v>
      </c>
      <c r="T3606" s="40" t="str">
        <f t="shared" si="241"/>
        <v>OK</v>
      </c>
      <c r="U3606" s="40" t="str">
        <f t="shared" si="242"/>
        <v>-</v>
      </c>
      <c r="V3606" s="40" t="str" cm="1">
        <f t="array" ref="V3606">_xlfn.IFS(
ISNUMBER(SEARCH("USA",S3606)),"United States",
ISNUMBER(SEARCH("Republic of Ireland",S3606)),"Ireland",
ISNUMBER(SEARCH("Republic of Korea",S3606)),"South Korea",
ISNUMBER(SEARCH("Cape Verde",S3606)),"Cabo Verde",
ISNUMBER(SEARCH("Czechia",S3606)),"Czech Republic",
ISNUMBER(SEARCH("Türkiye",S3606)),"Turkey",
ISNUMBER(SEARCH("Ivory Coast",S3606)),"Côte d'Ivoire",
ISNUMBER(SEARCH("Korea Republic",S3606)),"South Korea",
ISNUMBER(SEARCH("Germany FR",S3606)),"FR Germany",
ISNUMBER(SEARCH("West Germany",S3606)),"FR Germany",
ISNUMBER(SEARCH("Germany DR",S3606)),"DR Germany",
ISNUMBER(SEARCH("Korea DPR",S3606)),"North Korea",
ISNUMBER(SEARCH("China PR",S3606)),"China",
ISNUMBER(SEARCH("IR Iran",S3606)),"Iran",
ISNUMBER(SEARCH("Congo DR",S3606)),"Democratic Republic of the Congo",
ISNUMBER(SEARCH("DR Congo",S3606)),"Democratic Republic of the Congo",
ISNUMBER(SEARCH("German DR",S3606)),"DR Germany",
ISNUMBER(SEARCH("rn""&gt;United Arab Emirates",S3606)),"United Arab Emirates",
ISNUMBER(SEARCH("rn""&gt;Republic of Ireland",S3606)),"Ireland",
ISNUMBER(SEARCH("rn""&gt;Bosnia and Herzegovina",S3606)),"Bosnia and Herzegovina",
ISNUMBER(SEARCH("rn""&gt;Trinidad and Tobago",S3606)),"Trinidad and Tobago",
ISNUMBER(SEARCH("rn""&gt;Serbia and Montenegro",S3606)),"Serbia and Montenegro",
ISNUMBER(SEARCH(_xlfn.UNICHAR(65533),S3606)),"Côte d'Ivoire",
TRUE,""
)</f>
        <v/>
      </c>
      <c r="W3606" s="40" t="str">
        <f t="shared" si="243"/>
        <v>Switzerland</v>
      </c>
    </row>
    <row r="3607" spans="19:23">
      <c r="S3607" s="40" t="str">
        <v>Brazil</v>
      </c>
      <c r="T3607" s="40" t="str">
        <f t="shared" si="241"/>
        <v>OK</v>
      </c>
      <c r="U3607" s="40" t="str">
        <f t="shared" si="242"/>
        <v>-</v>
      </c>
      <c r="V3607" s="40" t="str" cm="1">
        <f t="array" ref="V3607">_xlfn.IFS(
ISNUMBER(SEARCH("USA",S3607)),"United States",
ISNUMBER(SEARCH("Republic of Ireland",S3607)),"Ireland",
ISNUMBER(SEARCH("Republic of Korea",S3607)),"South Korea",
ISNUMBER(SEARCH("Cape Verde",S3607)),"Cabo Verde",
ISNUMBER(SEARCH("Czechia",S3607)),"Czech Republic",
ISNUMBER(SEARCH("Türkiye",S3607)),"Turkey",
ISNUMBER(SEARCH("Ivory Coast",S3607)),"Côte d'Ivoire",
ISNUMBER(SEARCH("Korea Republic",S3607)),"South Korea",
ISNUMBER(SEARCH("Germany FR",S3607)),"FR Germany",
ISNUMBER(SEARCH("West Germany",S3607)),"FR Germany",
ISNUMBER(SEARCH("Germany DR",S3607)),"DR Germany",
ISNUMBER(SEARCH("Korea DPR",S3607)),"North Korea",
ISNUMBER(SEARCH("China PR",S3607)),"China",
ISNUMBER(SEARCH("IR Iran",S3607)),"Iran",
ISNUMBER(SEARCH("Congo DR",S3607)),"Democratic Republic of the Congo",
ISNUMBER(SEARCH("DR Congo",S3607)),"Democratic Republic of the Congo",
ISNUMBER(SEARCH("German DR",S3607)),"DR Germany",
ISNUMBER(SEARCH("rn""&gt;United Arab Emirates",S3607)),"United Arab Emirates",
ISNUMBER(SEARCH("rn""&gt;Republic of Ireland",S3607)),"Ireland",
ISNUMBER(SEARCH("rn""&gt;Bosnia and Herzegovina",S3607)),"Bosnia and Herzegovina",
ISNUMBER(SEARCH("rn""&gt;Trinidad and Tobago",S3607)),"Trinidad and Tobago",
ISNUMBER(SEARCH("rn""&gt;Serbia and Montenegro",S3607)),"Serbia and Montenegro",
ISNUMBER(SEARCH(_xlfn.UNICHAR(65533),S3607)),"Côte d'Ivoire",
TRUE,""
)</f>
        <v/>
      </c>
      <c r="W3607" s="40" t="str">
        <f t="shared" si="243"/>
        <v>Brazil</v>
      </c>
    </row>
    <row r="3608" spans="19:23">
      <c r="S3608" s="40" t="str">
        <v>Chile</v>
      </c>
      <c r="T3608" s="40" t="str">
        <f t="shared" si="241"/>
        <v>OK</v>
      </c>
      <c r="U3608" s="40" t="str">
        <f t="shared" si="242"/>
        <v>-</v>
      </c>
      <c r="V3608" s="40" t="str" cm="1">
        <f t="array" ref="V3608">_xlfn.IFS(
ISNUMBER(SEARCH("USA",S3608)),"United States",
ISNUMBER(SEARCH("Republic of Ireland",S3608)),"Ireland",
ISNUMBER(SEARCH("Republic of Korea",S3608)),"South Korea",
ISNUMBER(SEARCH("Cape Verde",S3608)),"Cabo Verde",
ISNUMBER(SEARCH("Czechia",S3608)),"Czech Republic",
ISNUMBER(SEARCH("Türkiye",S3608)),"Turkey",
ISNUMBER(SEARCH("Ivory Coast",S3608)),"Côte d'Ivoire",
ISNUMBER(SEARCH("Korea Republic",S3608)),"South Korea",
ISNUMBER(SEARCH("Germany FR",S3608)),"FR Germany",
ISNUMBER(SEARCH("West Germany",S3608)),"FR Germany",
ISNUMBER(SEARCH("Germany DR",S3608)),"DR Germany",
ISNUMBER(SEARCH("Korea DPR",S3608)),"North Korea",
ISNUMBER(SEARCH("China PR",S3608)),"China",
ISNUMBER(SEARCH("IR Iran",S3608)),"Iran",
ISNUMBER(SEARCH("Congo DR",S3608)),"Democratic Republic of the Congo",
ISNUMBER(SEARCH("DR Congo",S3608)),"Democratic Republic of the Congo",
ISNUMBER(SEARCH("German DR",S3608)),"DR Germany",
ISNUMBER(SEARCH("rn""&gt;United Arab Emirates",S3608)),"United Arab Emirates",
ISNUMBER(SEARCH("rn""&gt;Republic of Ireland",S3608)),"Ireland",
ISNUMBER(SEARCH("rn""&gt;Bosnia and Herzegovina",S3608)),"Bosnia and Herzegovina",
ISNUMBER(SEARCH("rn""&gt;Trinidad and Tobago",S3608)),"Trinidad and Tobago",
ISNUMBER(SEARCH("rn""&gt;Serbia and Montenegro",S3608)),"Serbia and Montenegro",
ISNUMBER(SEARCH(_xlfn.UNICHAR(65533),S3608)),"Côte d'Ivoire",
TRUE,""
)</f>
        <v/>
      </c>
      <c r="W3608" s="40" t="str">
        <f t="shared" si="243"/>
        <v>Chile</v>
      </c>
    </row>
    <row r="3609" spans="19:23">
      <c r="S3609" s="40" t="str">
        <v>Bulgaria</v>
      </c>
      <c r="T3609" s="40" t="str">
        <f t="shared" si="241"/>
        <v>OK</v>
      </c>
      <c r="U3609" s="40" t="str">
        <f t="shared" si="242"/>
        <v>-</v>
      </c>
      <c r="V3609" s="40" t="str" cm="1">
        <f t="array" ref="V3609">_xlfn.IFS(
ISNUMBER(SEARCH("USA",S3609)),"United States",
ISNUMBER(SEARCH("Republic of Ireland",S3609)),"Ireland",
ISNUMBER(SEARCH("Republic of Korea",S3609)),"South Korea",
ISNUMBER(SEARCH("Cape Verde",S3609)),"Cabo Verde",
ISNUMBER(SEARCH("Czechia",S3609)),"Czech Republic",
ISNUMBER(SEARCH("Türkiye",S3609)),"Turkey",
ISNUMBER(SEARCH("Ivory Coast",S3609)),"Côte d'Ivoire",
ISNUMBER(SEARCH("Korea Republic",S3609)),"South Korea",
ISNUMBER(SEARCH("Germany FR",S3609)),"FR Germany",
ISNUMBER(SEARCH("West Germany",S3609)),"FR Germany",
ISNUMBER(SEARCH("Germany DR",S3609)),"DR Germany",
ISNUMBER(SEARCH("Korea DPR",S3609)),"North Korea",
ISNUMBER(SEARCH("China PR",S3609)),"China",
ISNUMBER(SEARCH("IR Iran",S3609)),"Iran",
ISNUMBER(SEARCH("Congo DR",S3609)),"Democratic Republic of the Congo",
ISNUMBER(SEARCH("DR Congo",S3609)),"Democratic Republic of the Congo",
ISNUMBER(SEARCH("German DR",S3609)),"DR Germany",
ISNUMBER(SEARCH("rn""&gt;United Arab Emirates",S3609)),"United Arab Emirates",
ISNUMBER(SEARCH("rn""&gt;Republic of Ireland",S3609)),"Ireland",
ISNUMBER(SEARCH("rn""&gt;Bosnia and Herzegovina",S3609)),"Bosnia and Herzegovina",
ISNUMBER(SEARCH("rn""&gt;Trinidad and Tobago",S3609)),"Trinidad and Tobago",
ISNUMBER(SEARCH("rn""&gt;Serbia and Montenegro",S3609)),"Serbia and Montenegro",
ISNUMBER(SEARCH(_xlfn.UNICHAR(65533),S3609)),"Côte d'Ivoire",
TRUE,""
)</f>
        <v/>
      </c>
      <c r="W3609" s="40" t="str">
        <f t="shared" si="243"/>
        <v>Bulgaria</v>
      </c>
    </row>
    <row r="3610" spans="19:23">
      <c r="S3610" s="40" t="str">
        <v>Argentina</v>
      </c>
      <c r="T3610" s="40" t="str">
        <f t="shared" si="241"/>
        <v>OK</v>
      </c>
      <c r="U3610" s="40" t="str">
        <f t="shared" si="242"/>
        <v>-</v>
      </c>
      <c r="V3610" s="40" t="str" cm="1">
        <f t="array" ref="V3610">_xlfn.IFS(
ISNUMBER(SEARCH("USA",S3610)),"United States",
ISNUMBER(SEARCH("Republic of Ireland",S3610)),"Ireland",
ISNUMBER(SEARCH("Republic of Korea",S3610)),"South Korea",
ISNUMBER(SEARCH("Cape Verde",S3610)),"Cabo Verde",
ISNUMBER(SEARCH("Czechia",S3610)),"Czech Republic",
ISNUMBER(SEARCH("Türkiye",S3610)),"Turkey",
ISNUMBER(SEARCH("Ivory Coast",S3610)),"Côte d'Ivoire",
ISNUMBER(SEARCH("Korea Republic",S3610)),"South Korea",
ISNUMBER(SEARCH("Germany FR",S3610)),"FR Germany",
ISNUMBER(SEARCH("West Germany",S3610)),"FR Germany",
ISNUMBER(SEARCH("Germany DR",S3610)),"DR Germany",
ISNUMBER(SEARCH("Korea DPR",S3610)),"North Korea",
ISNUMBER(SEARCH("China PR",S3610)),"China",
ISNUMBER(SEARCH("IR Iran",S3610)),"Iran",
ISNUMBER(SEARCH("Congo DR",S3610)),"Democratic Republic of the Congo",
ISNUMBER(SEARCH("DR Congo",S3610)),"Democratic Republic of the Congo",
ISNUMBER(SEARCH("German DR",S3610)),"DR Germany",
ISNUMBER(SEARCH("rn""&gt;United Arab Emirates",S3610)),"United Arab Emirates",
ISNUMBER(SEARCH("rn""&gt;Republic of Ireland",S3610)),"Ireland",
ISNUMBER(SEARCH("rn""&gt;Bosnia and Herzegovina",S3610)),"Bosnia and Herzegovina",
ISNUMBER(SEARCH("rn""&gt;Trinidad and Tobago",S3610)),"Trinidad and Tobago",
ISNUMBER(SEARCH("rn""&gt;Serbia and Montenegro",S3610)),"Serbia and Montenegro",
ISNUMBER(SEARCH(_xlfn.UNICHAR(65533),S3610)),"Côte d'Ivoire",
TRUE,""
)</f>
        <v/>
      </c>
      <c r="W3610" s="40" t="str">
        <f t="shared" si="243"/>
        <v>Argentina</v>
      </c>
    </row>
    <row r="3611" spans="19:23">
      <c r="S3611" s="40" t="str">
        <v>Italy</v>
      </c>
      <c r="T3611" s="40" t="str">
        <f t="shared" si="241"/>
        <v>OK</v>
      </c>
      <c r="U3611" s="40" t="str">
        <f t="shared" si="242"/>
        <v>-</v>
      </c>
      <c r="V3611" s="40" t="str" cm="1">
        <f t="array" ref="V3611">_xlfn.IFS(
ISNUMBER(SEARCH("USA",S3611)),"United States",
ISNUMBER(SEARCH("Republic of Ireland",S3611)),"Ireland",
ISNUMBER(SEARCH("Republic of Korea",S3611)),"South Korea",
ISNUMBER(SEARCH("Cape Verde",S3611)),"Cabo Verde",
ISNUMBER(SEARCH("Czechia",S3611)),"Czech Republic",
ISNUMBER(SEARCH("Türkiye",S3611)),"Turkey",
ISNUMBER(SEARCH("Ivory Coast",S3611)),"Côte d'Ivoire",
ISNUMBER(SEARCH("Korea Republic",S3611)),"South Korea",
ISNUMBER(SEARCH("Germany FR",S3611)),"FR Germany",
ISNUMBER(SEARCH("West Germany",S3611)),"FR Germany",
ISNUMBER(SEARCH("Germany DR",S3611)),"DR Germany",
ISNUMBER(SEARCH("Korea DPR",S3611)),"North Korea",
ISNUMBER(SEARCH("China PR",S3611)),"China",
ISNUMBER(SEARCH("IR Iran",S3611)),"Iran",
ISNUMBER(SEARCH("Congo DR",S3611)),"Democratic Republic of the Congo",
ISNUMBER(SEARCH("DR Congo",S3611)),"Democratic Republic of the Congo",
ISNUMBER(SEARCH("German DR",S3611)),"DR Germany",
ISNUMBER(SEARCH("rn""&gt;United Arab Emirates",S3611)),"United Arab Emirates",
ISNUMBER(SEARCH("rn""&gt;Republic of Ireland",S3611)),"Ireland",
ISNUMBER(SEARCH("rn""&gt;Bosnia and Herzegovina",S3611)),"Bosnia and Herzegovina",
ISNUMBER(SEARCH("rn""&gt;Trinidad and Tobago",S3611)),"Trinidad and Tobago",
ISNUMBER(SEARCH("rn""&gt;Serbia and Montenegro",S3611)),"Serbia and Montenegro",
ISNUMBER(SEARCH(_xlfn.UNICHAR(65533),S3611)),"Côte d'Ivoire",
TRUE,""
)</f>
        <v/>
      </c>
      <c r="W3611" s="40" t="str">
        <f t="shared" si="243"/>
        <v>Italy</v>
      </c>
    </row>
    <row r="3612" spans="19:23">
      <c r="S3612" s="40" t="str">
        <v>Mexico</v>
      </c>
      <c r="T3612" s="40" t="str">
        <f t="shared" si="241"/>
        <v>OK</v>
      </c>
      <c r="U3612" s="40" t="str">
        <f t="shared" si="242"/>
        <v>-</v>
      </c>
      <c r="V3612" s="40" t="str" cm="1">
        <f t="array" ref="V3612">_xlfn.IFS(
ISNUMBER(SEARCH("USA",S3612)),"United States",
ISNUMBER(SEARCH("Republic of Ireland",S3612)),"Ireland",
ISNUMBER(SEARCH("Republic of Korea",S3612)),"South Korea",
ISNUMBER(SEARCH("Cape Verde",S3612)),"Cabo Verde",
ISNUMBER(SEARCH("Czechia",S3612)),"Czech Republic",
ISNUMBER(SEARCH("Türkiye",S3612)),"Turkey",
ISNUMBER(SEARCH("Ivory Coast",S3612)),"Côte d'Ivoire",
ISNUMBER(SEARCH("Korea Republic",S3612)),"South Korea",
ISNUMBER(SEARCH("Germany FR",S3612)),"FR Germany",
ISNUMBER(SEARCH("West Germany",S3612)),"FR Germany",
ISNUMBER(SEARCH("Germany DR",S3612)),"DR Germany",
ISNUMBER(SEARCH("Korea DPR",S3612)),"North Korea",
ISNUMBER(SEARCH("China PR",S3612)),"China",
ISNUMBER(SEARCH("IR Iran",S3612)),"Iran",
ISNUMBER(SEARCH("Congo DR",S3612)),"Democratic Republic of the Congo",
ISNUMBER(SEARCH("DR Congo",S3612)),"Democratic Republic of the Congo",
ISNUMBER(SEARCH("German DR",S3612)),"DR Germany",
ISNUMBER(SEARCH("rn""&gt;United Arab Emirates",S3612)),"United Arab Emirates",
ISNUMBER(SEARCH("rn""&gt;Republic of Ireland",S3612)),"Ireland",
ISNUMBER(SEARCH("rn""&gt;Bosnia and Herzegovina",S3612)),"Bosnia and Herzegovina",
ISNUMBER(SEARCH("rn""&gt;Trinidad and Tobago",S3612)),"Trinidad and Tobago",
ISNUMBER(SEARCH("rn""&gt;Serbia and Montenegro",S3612)),"Serbia and Montenegro",
ISNUMBER(SEARCH(_xlfn.UNICHAR(65533),S3612)),"Côte d'Ivoire",
TRUE,""
)</f>
        <v/>
      </c>
      <c r="W3612" s="40" t="str">
        <f t="shared" si="243"/>
        <v>Mexico</v>
      </c>
    </row>
    <row r="3613" spans="19:23">
      <c r="S3613" s="40" t="str">
        <v>Mexico</v>
      </c>
      <c r="T3613" s="40" t="str">
        <f t="shared" si="241"/>
        <v>OK</v>
      </c>
      <c r="U3613" s="40" t="str">
        <f t="shared" si="242"/>
        <v>-</v>
      </c>
      <c r="V3613" s="40" t="str" cm="1">
        <f t="array" ref="V3613">_xlfn.IFS(
ISNUMBER(SEARCH("USA",S3613)),"United States",
ISNUMBER(SEARCH("Republic of Ireland",S3613)),"Ireland",
ISNUMBER(SEARCH("Republic of Korea",S3613)),"South Korea",
ISNUMBER(SEARCH("Cape Verde",S3613)),"Cabo Verde",
ISNUMBER(SEARCH("Czechia",S3613)),"Czech Republic",
ISNUMBER(SEARCH("Türkiye",S3613)),"Turkey",
ISNUMBER(SEARCH("Ivory Coast",S3613)),"Côte d'Ivoire",
ISNUMBER(SEARCH("Korea Republic",S3613)),"South Korea",
ISNUMBER(SEARCH("Germany FR",S3613)),"FR Germany",
ISNUMBER(SEARCH("West Germany",S3613)),"FR Germany",
ISNUMBER(SEARCH("Germany DR",S3613)),"DR Germany",
ISNUMBER(SEARCH("Korea DPR",S3613)),"North Korea",
ISNUMBER(SEARCH("China PR",S3613)),"China",
ISNUMBER(SEARCH("IR Iran",S3613)),"Iran",
ISNUMBER(SEARCH("Congo DR",S3613)),"Democratic Republic of the Congo",
ISNUMBER(SEARCH("DR Congo",S3613)),"Democratic Republic of the Congo",
ISNUMBER(SEARCH("German DR",S3613)),"DR Germany",
ISNUMBER(SEARCH("rn""&gt;United Arab Emirates",S3613)),"United Arab Emirates",
ISNUMBER(SEARCH("rn""&gt;Republic of Ireland",S3613)),"Ireland",
ISNUMBER(SEARCH("rn""&gt;Bosnia and Herzegovina",S3613)),"Bosnia and Herzegovina",
ISNUMBER(SEARCH("rn""&gt;Trinidad and Tobago",S3613)),"Trinidad and Tobago",
ISNUMBER(SEARCH("rn""&gt;Serbia and Montenegro",S3613)),"Serbia and Montenegro",
ISNUMBER(SEARCH(_xlfn.UNICHAR(65533),S3613)),"Côte d'Ivoire",
TRUE,""
)</f>
        <v/>
      </c>
      <c r="W3613" s="40" t="str">
        <f t="shared" si="243"/>
        <v>Mexico</v>
      </c>
    </row>
    <row r="3614" spans="19:23">
      <c r="S3614" s="40" t="str">
        <v>Switzerland</v>
      </c>
      <c r="T3614" s="40" t="str">
        <f t="shared" si="241"/>
        <v>OK</v>
      </c>
      <c r="U3614" s="40" t="str">
        <f t="shared" si="242"/>
        <v>-</v>
      </c>
      <c r="V3614" s="40" t="str" cm="1">
        <f t="array" ref="V3614">_xlfn.IFS(
ISNUMBER(SEARCH("USA",S3614)),"United States",
ISNUMBER(SEARCH("Republic of Ireland",S3614)),"Ireland",
ISNUMBER(SEARCH("Republic of Korea",S3614)),"South Korea",
ISNUMBER(SEARCH("Cape Verde",S3614)),"Cabo Verde",
ISNUMBER(SEARCH("Czechia",S3614)),"Czech Republic",
ISNUMBER(SEARCH("Türkiye",S3614)),"Turkey",
ISNUMBER(SEARCH("Ivory Coast",S3614)),"Côte d'Ivoire",
ISNUMBER(SEARCH("Korea Republic",S3614)),"South Korea",
ISNUMBER(SEARCH("Germany FR",S3614)),"FR Germany",
ISNUMBER(SEARCH("West Germany",S3614)),"FR Germany",
ISNUMBER(SEARCH("Germany DR",S3614)),"DR Germany",
ISNUMBER(SEARCH("Korea DPR",S3614)),"North Korea",
ISNUMBER(SEARCH("China PR",S3614)),"China",
ISNUMBER(SEARCH("IR Iran",S3614)),"Iran",
ISNUMBER(SEARCH("Congo DR",S3614)),"Democratic Republic of the Congo",
ISNUMBER(SEARCH("DR Congo",S3614)),"Democratic Republic of the Congo",
ISNUMBER(SEARCH("German DR",S3614)),"DR Germany",
ISNUMBER(SEARCH("rn""&gt;United Arab Emirates",S3614)),"United Arab Emirates",
ISNUMBER(SEARCH("rn""&gt;Republic of Ireland",S3614)),"Ireland",
ISNUMBER(SEARCH("rn""&gt;Bosnia and Herzegovina",S3614)),"Bosnia and Herzegovina",
ISNUMBER(SEARCH("rn""&gt;Trinidad and Tobago",S3614)),"Trinidad and Tobago",
ISNUMBER(SEARCH("rn""&gt;Serbia and Montenegro",S3614)),"Serbia and Montenegro",
ISNUMBER(SEARCH(_xlfn.UNICHAR(65533),S3614)),"Côte d'Ivoire",
TRUE,""
)</f>
        <v/>
      </c>
      <c r="W3614" s="40" t="str">
        <f t="shared" si="243"/>
        <v>Switzerland</v>
      </c>
    </row>
    <row r="3615" spans="19:23">
      <c r="S3615" s="40" t="str">
        <v>Brazil</v>
      </c>
      <c r="T3615" s="40" t="str">
        <f t="shared" si="241"/>
        <v>OK</v>
      </c>
      <c r="U3615" s="40" t="str">
        <f t="shared" si="242"/>
        <v>-</v>
      </c>
      <c r="V3615" s="40" t="str" cm="1">
        <f t="array" ref="V3615">_xlfn.IFS(
ISNUMBER(SEARCH("USA",S3615)),"United States",
ISNUMBER(SEARCH("Republic of Ireland",S3615)),"Ireland",
ISNUMBER(SEARCH("Republic of Korea",S3615)),"South Korea",
ISNUMBER(SEARCH("Cape Verde",S3615)),"Cabo Verde",
ISNUMBER(SEARCH("Czechia",S3615)),"Czech Republic",
ISNUMBER(SEARCH("Türkiye",S3615)),"Turkey",
ISNUMBER(SEARCH("Ivory Coast",S3615)),"Côte d'Ivoire",
ISNUMBER(SEARCH("Korea Republic",S3615)),"South Korea",
ISNUMBER(SEARCH("Germany FR",S3615)),"FR Germany",
ISNUMBER(SEARCH("West Germany",S3615)),"FR Germany",
ISNUMBER(SEARCH("Germany DR",S3615)),"DR Germany",
ISNUMBER(SEARCH("Korea DPR",S3615)),"North Korea",
ISNUMBER(SEARCH("China PR",S3615)),"China",
ISNUMBER(SEARCH("IR Iran",S3615)),"Iran",
ISNUMBER(SEARCH("Congo DR",S3615)),"Democratic Republic of the Congo",
ISNUMBER(SEARCH("DR Congo",S3615)),"Democratic Republic of the Congo",
ISNUMBER(SEARCH("German DR",S3615)),"DR Germany",
ISNUMBER(SEARCH("rn""&gt;United Arab Emirates",S3615)),"United Arab Emirates",
ISNUMBER(SEARCH("rn""&gt;Republic of Ireland",S3615)),"Ireland",
ISNUMBER(SEARCH("rn""&gt;Bosnia and Herzegovina",S3615)),"Bosnia and Herzegovina",
ISNUMBER(SEARCH("rn""&gt;Trinidad and Tobago",S3615)),"Trinidad and Tobago",
ISNUMBER(SEARCH("rn""&gt;Serbia and Montenegro",S3615)),"Serbia and Montenegro",
ISNUMBER(SEARCH(_xlfn.UNICHAR(65533),S3615)),"Côte d'Ivoire",
TRUE,""
)</f>
        <v/>
      </c>
      <c r="W3615" s="40" t="str">
        <f t="shared" si="243"/>
        <v>Brazil</v>
      </c>
    </row>
    <row r="3616" spans="19:23">
      <c r="S3616" s="40" t="str">
        <v>Italy</v>
      </c>
      <c r="T3616" s="40" t="str">
        <f t="shared" si="241"/>
        <v>OK</v>
      </c>
      <c r="U3616" s="40" t="str">
        <f t="shared" si="242"/>
        <v>-</v>
      </c>
      <c r="V3616" s="40" t="str" cm="1">
        <f t="array" ref="V3616">_xlfn.IFS(
ISNUMBER(SEARCH("USA",S3616)),"United States",
ISNUMBER(SEARCH("Republic of Ireland",S3616)),"Ireland",
ISNUMBER(SEARCH("Republic of Korea",S3616)),"South Korea",
ISNUMBER(SEARCH("Cape Verde",S3616)),"Cabo Verde",
ISNUMBER(SEARCH("Czechia",S3616)),"Czech Republic",
ISNUMBER(SEARCH("Türkiye",S3616)),"Turkey",
ISNUMBER(SEARCH("Ivory Coast",S3616)),"Côte d'Ivoire",
ISNUMBER(SEARCH("Korea Republic",S3616)),"South Korea",
ISNUMBER(SEARCH("Germany FR",S3616)),"FR Germany",
ISNUMBER(SEARCH("West Germany",S3616)),"FR Germany",
ISNUMBER(SEARCH("Germany DR",S3616)),"DR Germany",
ISNUMBER(SEARCH("Korea DPR",S3616)),"North Korea",
ISNUMBER(SEARCH("China PR",S3616)),"China",
ISNUMBER(SEARCH("IR Iran",S3616)),"Iran",
ISNUMBER(SEARCH("Congo DR",S3616)),"Democratic Republic of the Congo",
ISNUMBER(SEARCH("DR Congo",S3616)),"Democratic Republic of the Congo",
ISNUMBER(SEARCH("German DR",S3616)),"DR Germany",
ISNUMBER(SEARCH("rn""&gt;United Arab Emirates",S3616)),"United Arab Emirates",
ISNUMBER(SEARCH("rn""&gt;Republic of Ireland",S3616)),"Ireland",
ISNUMBER(SEARCH("rn""&gt;Bosnia and Herzegovina",S3616)),"Bosnia and Herzegovina",
ISNUMBER(SEARCH("rn""&gt;Trinidad and Tobago",S3616)),"Trinidad and Tobago",
ISNUMBER(SEARCH("rn""&gt;Serbia and Montenegro",S3616)),"Serbia and Montenegro",
ISNUMBER(SEARCH(_xlfn.UNICHAR(65533),S3616)),"Côte d'Ivoire",
TRUE,""
)</f>
        <v/>
      </c>
      <c r="W3616" s="40" t="str">
        <f t="shared" si="243"/>
        <v>Italy</v>
      </c>
    </row>
    <row r="3617" spans="19:23">
      <c r="S3617" s="40" t="str">
        <v>France</v>
      </c>
      <c r="T3617" s="40" t="str">
        <f t="shared" si="241"/>
        <v>OK</v>
      </c>
      <c r="U3617" s="40" t="str">
        <f t="shared" si="242"/>
        <v>-</v>
      </c>
      <c r="V3617" s="40" t="str" cm="1">
        <f t="array" ref="V3617">_xlfn.IFS(
ISNUMBER(SEARCH("USA",S3617)),"United States",
ISNUMBER(SEARCH("Republic of Ireland",S3617)),"Ireland",
ISNUMBER(SEARCH("Republic of Korea",S3617)),"South Korea",
ISNUMBER(SEARCH("Cape Verde",S3617)),"Cabo Verde",
ISNUMBER(SEARCH("Czechia",S3617)),"Czech Republic",
ISNUMBER(SEARCH("Türkiye",S3617)),"Turkey",
ISNUMBER(SEARCH("Ivory Coast",S3617)),"Côte d'Ivoire",
ISNUMBER(SEARCH("Korea Republic",S3617)),"South Korea",
ISNUMBER(SEARCH("Germany FR",S3617)),"FR Germany",
ISNUMBER(SEARCH("West Germany",S3617)),"FR Germany",
ISNUMBER(SEARCH("Germany DR",S3617)),"DR Germany",
ISNUMBER(SEARCH("Korea DPR",S3617)),"North Korea",
ISNUMBER(SEARCH("China PR",S3617)),"China",
ISNUMBER(SEARCH("IR Iran",S3617)),"Iran",
ISNUMBER(SEARCH("Congo DR",S3617)),"Democratic Republic of the Congo",
ISNUMBER(SEARCH("DR Congo",S3617)),"Democratic Republic of the Congo",
ISNUMBER(SEARCH("German DR",S3617)),"DR Germany",
ISNUMBER(SEARCH("rn""&gt;United Arab Emirates",S3617)),"United Arab Emirates",
ISNUMBER(SEARCH("rn""&gt;Republic of Ireland",S3617)),"Ireland",
ISNUMBER(SEARCH("rn""&gt;Bosnia and Herzegovina",S3617)),"Bosnia and Herzegovina",
ISNUMBER(SEARCH("rn""&gt;Trinidad and Tobago",S3617)),"Trinidad and Tobago",
ISNUMBER(SEARCH("rn""&gt;Serbia and Montenegro",S3617)),"Serbia and Montenegro",
ISNUMBER(SEARCH(_xlfn.UNICHAR(65533),S3617)),"Côte d'Ivoire",
TRUE,""
)</f>
        <v/>
      </c>
      <c r="W3617" s="40" t="str">
        <f t="shared" si="243"/>
        <v>France</v>
      </c>
    </row>
    <row r="3618" spans="19:23">
      <c r="S3618" s="40" t="str">
        <v>Bulgaria</v>
      </c>
      <c r="T3618" s="40" t="str">
        <f t="shared" si="241"/>
        <v>OK</v>
      </c>
      <c r="U3618" s="40" t="str">
        <f t="shared" si="242"/>
        <v>-</v>
      </c>
      <c r="V3618" s="40" t="str" cm="1">
        <f t="array" ref="V3618">_xlfn.IFS(
ISNUMBER(SEARCH("USA",S3618)),"United States",
ISNUMBER(SEARCH("Republic of Ireland",S3618)),"Ireland",
ISNUMBER(SEARCH("Republic of Korea",S3618)),"South Korea",
ISNUMBER(SEARCH("Cape Verde",S3618)),"Cabo Verde",
ISNUMBER(SEARCH("Czechia",S3618)),"Czech Republic",
ISNUMBER(SEARCH("Türkiye",S3618)),"Turkey",
ISNUMBER(SEARCH("Ivory Coast",S3618)),"Côte d'Ivoire",
ISNUMBER(SEARCH("Korea Republic",S3618)),"South Korea",
ISNUMBER(SEARCH("Germany FR",S3618)),"FR Germany",
ISNUMBER(SEARCH("West Germany",S3618)),"FR Germany",
ISNUMBER(SEARCH("Germany DR",S3618)),"DR Germany",
ISNUMBER(SEARCH("Korea DPR",S3618)),"North Korea",
ISNUMBER(SEARCH("China PR",S3618)),"China",
ISNUMBER(SEARCH("IR Iran",S3618)),"Iran",
ISNUMBER(SEARCH("Congo DR",S3618)),"Democratic Republic of the Congo",
ISNUMBER(SEARCH("DR Congo",S3618)),"Democratic Republic of the Congo",
ISNUMBER(SEARCH("German DR",S3618)),"DR Germany",
ISNUMBER(SEARCH("rn""&gt;United Arab Emirates",S3618)),"United Arab Emirates",
ISNUMBER(SEARCH("rn""&gt;Republic of Ireland",S3618)),"Ireland",
ISNUMBER(SEARCH("rn""&gt;Bosnia and Herzegovina",S3618)),"Bosnia and Herzegovina",
ISNUMBER(SEARCH("rn""&gt;Trinidad and Tobago",S3618)),"Trinidad and Tobago",
ISNUMBER(SEARCH("rn""&gt;Serbia and Montenegro",S3618)),"Serbia and Montenegro",
ISNUMBER(SEARCH(_xlfn.UNICHAR(65533),S3618)),"Côte d'Ivoire",
TRUE,""
)</f>
        <v/>
      </c>
      <c r="W3618" s="40" t="str">
        <f t="shared" si="243"/>
        <v>Bulgaria</v>
      </c>
    </row>
    <row r="3619" spans="19:23">
      <c r="S3619" s="40" t="str">
        <v>Spain</v>
      </c>
      <c r="T3619" s="40" t="str">
        <f t="shared" si="241"/>
        <v>OK</v>
      </c>
      <c r="U3619" s="40" t="str">
        <f t="shared" si="242"/>
        <v>-</v>
      </c>
      <c r="V3619" s="40" t="str" cm="1">
        <f t="array" ref="V3619">_xlfn.IFS(
ISNUMBER(SEARCH("USA",S3619)),"United States",
ISNUMBER(SEARCH("Republic of Ireland",S3619)),"Ireland",
ISNUMBER(SEARCH("Republic of Korea",S3619)),"South Korea",
ISNUMBER(SEARCH("Cape Verde",S3619)),"Cabo Verde",
ISNUMBER(SEARCH("Czechia",S3619)),"Czech Republic",
ISNUMBER(SEARCH("Türkiye",S3619)),"Turkey",
ISNUMBER(SEARCH("Ivory Coast",S3619)),"Côte d'Ivoire",
ISNUMBER(SEARCH("Korea Republic",S3619)),"South Korea",
ISNUMBER(SEARCH("Germany FR",S3619)),"FR Germany",
ISNUMBER(SEARCH("West Germany",S3619)),"FR Germany",
ISNUMBER(SEARCH("Germany DR",S3619)),"DR Germany",
ISNUMBER(SEARCH("Korea DPR",S3619)),"North Korea",
ISNUMBER(SEARCH("China PR",S3619)),"China",
ISNUMBER(SEARCH("IR Iran",S3619)),"Iran",
ISNUMBER(SEARCH("Congo DR",S3619)),"Democratic Republic of the Congo",
ISNUMBER(SEARCH("DR Congo",S3619)),"Democratic Republic of the Congo",
ISNUMBER(SEARCH("German DR",S3619)),"DR Germany",
ISNUMBER(SEARCH("rn""&gt;United Arab Emirates",S3619)),"United Arab Emirates",
ISNUMBER(SEARCH("rn""&gt;Republic of Ireland",S3619)),"Ireland",
ISNUMBER(SEARCH("rn""&gt;Bosnia and Herzegovina",S3619)),"Bosnia and Herzegovina",
ISNUMBER(SEARCH("rn""&gt;Trinidad and Tobago",S3619)),"Trinidad and Tobago",
ISNUMBER(SEARCH("rn""&gt;Serbia and Montenegro",S3619)),"Serbia and Montenegro",
ISNUMBER(SEARCH(_xlfn.UNICHAR(65533),S3619)),"Côte d'Ivoire",
TRUE,""
)</f>
        <v/>
      </c>
      <c r="W3619" s="40" t="str">
        <f t="shared" si="243"/>
        <v>Spain</v>
      </c>
    </row>
    <row r="3620" spans="19:23">
      <c r="S3620" s="40" t="str">
        <v>Chile</v>
      </c>
      <c r="T3620" s="40" t="str">
        <f t="shared" si="241"/>
        <v>OK</v>
      </c>
      <c r="U3620" s="40" t="str">
        <f t="shared" si="242"/>
        <v>-</v>
      </c>
      <c r="V3620" s="40" t="str" cm="1">
        <f t="array" ref="V3620">_xlfn.IFS(
ISNUMBER(SEARCH("USA",S3620)),"United States",
ISNUMBER(SEARCH("Republic of Ireland",S3620)),"Ireland",
ISNUMBER(SEARCH("Republic of Korea",S3620)),"South Korea",
ISNUMBER(SEARCH("Cape Verde",S3620)),"Cabo Verde",
ISNUMBER(SEARCH("Czechia",S3620)),"Czech Republic",
ISNUMBER(SEARCH("Türkiye",S3620)),"Turkey",
ISNUMBER(SEARCH("Ivory Coast",S3620)),"Côte d'Ivoire",
ISNUMBER(SEARCH("Korea Republic",S3620)),"South Korea",
ISNUMBER(SEARCH("Germany FR",S3620)),"FR Germany",
ISNUMBER(SEARCH("West Germany",S3620)),"FR Germany",
ISNUMBER(SEARCH("Germany DR",S3620)),"DR Germany",
ISNUMBER(SEARCH("Korea DPR",S3620)),"North Korea",
ISNUMBER(SEARCH("China PR",S3620)),"China",
ISNUMBER(SEARCH("IR Iran",S3620)),"Iran",
ISNUMBER(SEARCH("Congo DR",S3620)),"Democratic Republic of the Congo",
ISNUMBER(SEARCH("DR Congo",S3620)),"Democratic Republic of the Congo",
ISNUMBER(SEARCH("German DR",S3620)),"DR Germany",
ISNUMBER(SEARCH("rn""&gt;United Arab Emirates",S3620)),"United Arab Emirates",
ISNUMBER(SEARCH("rn""&gt;Republic of Ireland",S3620)),"Ireland",
ISNUMBER(SEARCH("rn""&gt;Bosnia and Herzegovina",S3620)),"Bosnia and Herzegovina",
ISNUMBER(SEARCH("rn""&gt;Trinidad and Tobago",S3620)),"Trinidad and Tobago",
ISNUMBER(SEARCH("rn""&gt;Serbia and Montenegro",S3620)),"Serbia and Montenegro",
ISNUMBER(SEARCH(_xlfn.UNICHAR(65533),S3620)),"Côte d'Ivoire",
TRUE,""
)</f>
        <v/>
      </c>
      <c r="W3620" s="40" t="str">
        <f t="shared" si="243"/>
        <v>Chile</v>
      </c>
    </row>
    <row r="3621" spans="19:23">
      <c r="S3621" s="40" t="str">
        <v>Argentina</v>
      </c>
      <c r="T3621" s="40" t="str">
        <f t="shared" si="241"/>
        <v>OK</v>
      </c>
      <c r="U3621" s="40" t="str">
        <f t="shared" si="242"/>
        <v>-</v>
      </c>
      <c r="V3621" s="40" t="str" cm="1">
        <f t="array" ref="V3621">_xlfn.IFS(
ISNUMBER(SEARCH("USA",S3621)),"United States",
ISNUMBER(SEARCH("Republic of Ireland",S3621)),"Ireland",
ISNUMBER(SEARCH("Republic of Korea",S3621)),"South Korea",
ISNUMBER(SEARCH("Cape Verde",S3621)),"Cabo Verde",
ISNUMBER(SEARCH("Czechia",S3621)),"Czech Republic",
ISNUMBER(SEARCH("Türkiye",S3621)),"Turkey",
ISNUMBER(SEARCH("Ivory Coast",S3621)),"Côte d'Ivoire",
ISNUMBER(SEARCH("Korea Republic",S3621)),"South Korea",
ISNUMBER(SEARCH("Germany FR",S3621)),"FR Germany",
ISNUMBER(SEARCH("West Germany",S3621)),"FR Germany",
ISNUMBER(SEARCH("Germany DR",S3621)),"DR Germany",
ISNUMBER(SEARCH("Korea DPR",S3621)),"North Korea",
ISNUMBER(SEARCH("China PR",S3621)),"China",
ISNUMBER(SEARCH("IR Iran",S3621)),"Iran",
ISNUMBER(SEARCH("Congo DR",S3621)),"Democratic Republic of the Congo",
ISNUMBER(SEARCH("DR Congo",S3621)),"Democratic Republic of the Congo",
ISNUMBER(SEARCH("German DR",S3621)),"DR Germany",
ISNUMBER(SEARCH("rn""&gt;United Arab Emirates",S3621)),"United Arab Emirates",
ISNUMBER(SEARCH("rn""&gt;Republic of Ireland",S3621)),"Ireland",
ISNUMBER(SEARCH("rn""&gt;Bosnia and Herzegovina",S3621)),"Bosnia and Herzegovina",
ISNUMBER(SEARCH("rn""&gt;Trinidad and Tobago",S3621)),"Trinidad and Tobago",
ISNUMBER(SEARCH("rn""&gt;Serbia and Montenegro",S3621)),"Serbia and Montenegro",
ISNUMBER(SEARCH(_xlfn.UNICHAR(65533),S3621)),"Côte d'Ivoire",
TRUE,""
)</f>
        <v/>
      </c>
      <c r="W3621" s="40" t="str">
        <f t="shared" si="243"/>
        <v>Argentina</v>
      </c>
    </row>
    <row r="3622" spans="19:23">
      <c r="S3622" s="40" t="str">
        <v>Uruguay</v>
      </c>
      <c r="T3622" s="40" t="str">
        <f t="shared" si="241"/>
        <v>OK</v>
      </c>
      <c r="U3622" s="40" t="str">
        <f t="shared" si="242"/>
        <v>-</v>
      </c>
      <c r="V3622" s="40" t="str" cm="1">
        <f t="array" ref="V3622">_xlfn.IFS(
ISNUMBER(SEARCH("USA",S3622)),"United States",
ISNUMBER(SEARCH("Republic of Ireland",S3622)),"Ireland",
ISNUMBER(SEARCH("Republic of Korea",S3622)),"South Korea",
ISNUMBER(SEARCH("Cape Verde",S3622)),"Cabo Verde",
ISNUMBER(SEARCH("Czechia",S3622)),"Czech Republic",
ISNUMBER(SEARCH("Türkiye",S3622)),"Turkey",
ISNUMBER(SEARCH("Ivory Coast",S3622)),"Côte d'Ivoire",
ISNUMBER(SEARCH("Korea Republic",S3622)),"South Korea",
ISNUMBER(SEARCH("Germany FR",S3622)),"FR Germany",
ISNUMBER(SEARCH("West Germany",S3622)),"FR Germany",
ISNUMBER(SEARCH("Germany DR",S3622)),"DR Germany",
ISNUMBER(SEARCH("Korea DPR",S3622)),"North Korea",
ISNUMBER(SEARCH("China PR",S3622)),"China",
ISNUMBER(SEARCH("IR Iran",S3622)),"Iran",
ISNUMBER(SEARCH("Congo DR",S3622)),"Democratic Republic of the Congo",
ISNUMBER(SEARCH("DR Congo",S3622)),"Democratic Republic of the Congo",
ISNUMBER(SEARCH("German DR",S3622)),"DR Germany",
ISNUMBER(SEARCH("rn""&gt;United Arab Emirates",S3622)),"United Arab Emirates",
ISNUMBER(SEARCH("rn""&gt;Republic of Ireland",S3622)),"Ireland",
ISNUMBER(SEARCH("rn""&gt;Bosnia and Herzegovina",S3622)),"Bosnia and Herzegovina",
ISNUMBER(SEARCH("rn""&gt;Trinidad and Tobago",S3622)),"Trinidad and Tobago",
ISNUMBER(SEARCH("rn""&gt;Serbia and Montenegro",S3622)),"Serbia and Montenegro",
ISNUMBER(SEARCH(_xlfn.UNICHAR(65533),S3622)),"Côte d'Ivoire",
TRUE,""
)</f>
        <v/>
      </c>
      <c r="W3622" s="40" t="str">
        <f t="shared" si="243"/>
        <v>Uruguay</v>
      </c>
    </row>
    <row r="3623" spans="19:23">
      <c r="S3623" s="40" t="str">
        <v>Hungary</v>
      </c>
      <c r="T3623" s="40" t="str">
        <f t="shared" si="241"/>
        <v>OK</v>
      </c>
      <c r="U3623" s="40" t="str">
        <f t="shared" si="242"/>
        <v>-</v>
      </c>
      <c r="V3623" s="40" t="str" cm="1">
        <f t="array" ref="V3623">_xlfn.IFS(
ISNUMBER(SEARCH("USA",S3623)),"United States",
ISNUMBER(SEARCH("Republic of Ireland",S3623)),"Ireland",
ISNUMBER(SEARCH("Republic of Korea",S3623)),"South Korea",
ISNUMBER(SEARCH("Cape Verde",S3623)),"Cabo Verde",
ISNUMBER(SEARCH("Czechia",S3623)),"Czech Republic",
ISNUMBER(SEARCH("Türkiye",S3623)),"Turkey",
ISNUMBER(SEARCH("Ivory Coast",S3623)),"Côte d'Ivoire",
ISNUMBER(SEARCH("Korea Republic",S3623)),"South Korea",
ISNUMBER(SEARCH("Germany FR",S3623)),"FR Germany",
ISNUMBER(SEARCH("West Germany",S3623)),"FR Germany",
ISNUMBER(SEARCH("Germany DR",S3623)),"DR Germany",
ISNUMBER(SEARCH("Korea DPR",S3623)),"North Korea",
ISNUMBER(SEARCH("China PR",S3623)),"China",
ISNUMBER(SEARCH("IR Iran",S3623)),"Iran",
ISNUMBER(SEARCH("Congo DR",S3623)),"Democratic Republic of the Congo",
ISNUMBER(SEARCH("DR Congo",S3623)),"Democratic Republic of the Congo",
ISNUMBER(SEARCH("German DR",S3623)),"DR Germany",
ISNUMBER(SEARCH("rn""&gt;United Arab Emirates",S3623)),"United Arab Emirates",
ISNUMBER(SEARCH("rn""&gt;Republic of Ireland",S3623)),"Ireland",
ISNUMBER(SEARCH("rn""&gt;Bosnia and Herzegovina",S3623)),"Bosnia and Herzegovina",
ISNUMBER(SEARCH("rn""&gt;Trinidad and Tobago",S3623)),"Trinidad and Tobago",
ISNUMBER(SEARCH("rn""&gt;Serbia and Montenegro",S3623)),"Serbia and Montenegro",
ISNUMBER(SEARCH(_xlfn.UNICHAR(65533),S3623)),"Côte d'Ivoire",
TRUE,""
)</f>
        <v/>
      </c>
      <c r="W3623" s="40" t="str">
        <f t="shared" si="243"/>
        <v>Hungary</v>
      </c>
    </row>
    <row r="3624" spans="19:23">
      <c r="S3624" s="40" t="str">
        <v>Korea DPR</v>
      </c>
      <c r="T3624" s="40" t="str">
        <f t="shared" si="241"/>
        <v>ERREUR</v>
      </c>
      <c r="U3624" s="40" t="str">
        <f t="shared" si="242"/>
        <v>RENOMMER</v>
      </c>
      <c r="V3624" s="40" t="str" cm="1">
        <f t="array" ref="V3624">_xlfn.IFS(
ISNUMBER(SEARCH("USA",S3624)),"United States",
ISNUMBER(SEARCH("Republic of Ireland",S3624)),"Ireland",
ISNUMBER(SEARCH("Republic of Korea",S3624)),"South Korea",
ISNUMBER(SEARCH("Cape Verde",S3624)),"Cabo Verde",
ISNUMBER(SEARCH("Czechia",S3624)),"Czech Republic",
ISNUMBER(SEARCH("Türkiye",S3624)),"Turkey",
ISNUMBER(SEARCH("Ivory Coast",S3624)),"Côte d'Ivoire",
ISNUMBER(SEARCH("Korea Republic",S3624)),"South Korea",
ISNUMBER(SEARCH("Germany FR",S3624)),"FR Germany",
ISNUMBER(SEARCH("West Germany",S3624)),"FR Germany",
ISNUMBER(SEARCH("Germany DR",S3624)),"DR Germany",
ISNUMBER(SEARCH("Korea DPR",S3624)),"North Korea",
ISNUMBER(SEARCH("China PR",S3624)),"China",
ISNUMBER(SEARCH("IR Iran",S3624)),"Iran",
ISNUMBER(SEARCH("Congo DR",S3624)),"Democratic Republic of the Congo",
ISNUMBER(SEARCH("DR Congo",S3624)),"Democratic Republic of the Congo",
ISNUMBER(SEARCH("German DR",S3624)),"DR Germany",
ISNUMBER(SEARCH("rn""&gt;United Arab Emirates",S3624)),"United Arab Emirates",
ISNUMBER(SEARCH("rn""&gt;Republic of Ireland",S3624)),"Ireland",
ISNUMBER(SEARCH("rn""&gt;Bosnia and Herzegovina",S3624)),"Bosnia and Herzegovina",
ISNUMBER(SEARCH("rn""&gt;Trinidad and Tobago",S3624)),"Trinidad and Tobago",
ISNUMBER(SEARCH("rn""&gt;Serbia and Montenegro",S3624)),"Serbia and Montenegro",
ISNUMBER(SEARCH(_xlfn.UNICHAR(65533),S3624)),"Côte d'Ivoire",
TRUE,""
)</f>
        <v>North Korea</v>
      </c>
      <c r="W3624" s="40" t="str">
        <f t="shared" si="243"/>
        <v>North Korea</v>
      </c>
    </row>
    <row r="3625" spans="19:23">
      <c r="S3625" s="40" t="str">
        <v>Soviet Union</v>
      </c>
      <c r="T3625" s="40" t="str">
        <f t="shared" si="241"/>
        <v>ERREUR</v>
      </c>
      <c r="U3625" s="40" t="str">
        <f t="shared" si="242"/>
        <v>AUCUNE</v>
      </c>
      <c r="V3625" s="40" t="str" cm="1">
        <f t="array" ref="V3625">_xlfn.IFS(
ISNUMBER(SEARCH("USA",S3625)),"United States",
ISNUMBER(SEARCH("Republic of Ireland",S3625)),"Ireland",
ISNUMBER(SEARCH("Republic of Korea",S3625)),"South Korea",
ISNUMBER(SEARCH("Cape Verde",S3625)),"Cabo Verde",
ISNUMBER(SEARCH("Czechia",S3625)),"Czech Republic",
ISNUMBER(SEARCH("Türkiye",S3625)),"Turkey",
ISNUMBER(SEARCH("Ivory Coast",S3625)),"Côte d'Ivoire",
ISNUMBER(SEARCH("Korea Republic",S3625)),"South Korea",
ISNUMBER(SEARCH("Germany FR",S3625)),"FR Germany",
ISNUMBER(SEARCH("West Germany",S3625)),"FR Germany",
ISNUMBER(SEARCH("Germany DR",S3625)),"DR Germany",
ISNUMBER(SEARCH("Korea DPR",S3625)),"North Korea",
ISNUMBER(SEARCH("China PR",S3625)),"China",
ISNUMBER(SEARCH("IR Iran",S3625)),"Iran",
ISNUMBER(SEARCH("Congo DR",S3625)),"Democratic Republic of the Congo",
ISNUMBER(SEARCH("DR Congo",S3625)),"Democratic Republic of the Congo",
ISNUMBER(SEARCH("German DR",S3625)),"DR Germany",
ISNUMBER(SEARCH("rn""&gt;United Arab Emirates",S3625)),"United Arab Emirates",
ISNUMBER(SEARCH("rn""&gt;Republic of Ireland",S3625)),"Ireland",
ISNUMBER(SEARCH("rn""&gt;Bosnia and Herzegovina",S3625)),"Bosnia and Herzegovina",
ISNUMBER(SEARCH("rn""&gt;Trinidad and Tobago",S3625)),"Trinidad and Tobago",
ISNUMBER(SEARCH("rn""&gt;Serbia and Montenegro",S3625)),"Serbia and Montenegro",
ISNUMBER(SEARCH(_xlfn.UNICHAR(65533),S3625)),"Côte d'Ivoire",
TRUE,""
)</f>
        <v/>
      </c>
      <c r="W3625" s="40" t="str">
        <f t="shared" si="243"/>
        <v>Soviet Union</v>
      </c>
    </row>
    <row r="3626" spans="19:23">
      <c r="S3626" s="40" t="str">
        <v>Portugal</v>
      </c>
      <c r="T3626" s="40" t="str">
        <f t="shared" si="241"/>
        <v>OK</v>
      </c>
      <c r="U3626" s="40" t="str">
        <f t="shared" si="242"/>
        <v>-</v>
      </c>
      <c r="V3626" s="40" t="str" cm="1">
        <f t="array" ref="V3626">_xlfn.IFS(
ISNUMBER(SEARCH("USA",S3626)),"United States",
ISNUMBER(SEARCH("Republic of Ireland",S3626)),"Ireland",
ISNUMBER(SEARCH("Republic of Korea",S3626)),"South Korea",
ISNUMBER(SEARCH("Cape Verde",S3626)),"Cabo Verde",
ISNUMBER(SEARCH("Czechia",S3626)),"Czech Republic",
ISNUMBER(SEARCH("Türkiye",S3626)),"Turkey",
ISNUMBER(SEARCH("Ivory Coast",S3626)),"Côte d'Ivoire",
ISNUMBER(SEARCH("Korea Republic",S3626)),"South Korea",
ISNUMBER(SEARCH("Germany FR",S3626)),"FR Germany",
ISNUMBER(SEARCH("West Germany",S3626)),"FR Germany",
ISNUMBER(SEARCH("Germany DR",S3626)),"DR Germany",
ISNUMBER(SEARCH("Korea DPR",S3626)),"North Korea",
ISNUMBER(SEARCH("China PR",S3626)),"China",
ISNUMBER(SEARCH("IR Iran",S3626)),"Iran",
ISNUMBER(SEARCH("Congo DR",S3626)),"Democratic Republic of the Congo",
ISNUMBER(SEARCH("DR Congo",S3626)),"Democratic Republic of the Congo",
ISNUMBER(SEARCH("German DR",S3626)),"DR Germany",
ISNUMBER(SEARCH("rn""&gt;United Arab Emirates",S3626)),"United Arab Emirates",
ISNUMBER(SEARCH("rn""&gt;Republic of Ireland",S3626)),"Ireland",
ISNUMBER(SEARCH("rn""&gt;Bosnia and Herzegovina",S3626)),"Bosnia and Herzegovina",
ISNUMBER(SEARCH("rn""&gt;Trinidad and Tobago",S3626)),"Trinidad and Tobago",
ISNUMBER(SEARCH("rn""&gt;Serbia and Montenegro",S3626)),"Serbia and Montenegro",
ISNUMBER(SEARCH(_xlfn.UNICHAR(65533),S3626)),"Côte d'Ivoire",
TRUE,""
)</f>
        <v/>
      </c>
      <c r="W3626" s="40" t="str">
        <f t="shared" si="243"/>
        <v>Portugal</v>
      </c>
    </row>
    <row r="3627" spans="19:23">
      <c r="S3627" s="40" t="str">
        <v>Soviet Union</v>
      </c>
      <c r="T3627" s="40" t="str">
        <f t="shared" si="241"/>
        <v>ERREUR</v>
      </c>
      <c r="U3627" s="40" t="str">
        <f t="shared" si="242"/>
        <v>AUCUNE</v>
      </c>
      <c r="V3627" s="40" t="str" cm="1">
        <f t="array" ref="V3627">_xlfn.IFS(
ISNUMBER(SEARCH("USA",S3627)),"United States",
ISNUMBER(SEARCH("Republic of Ireland",S3627)),"Ireland",
ISNUMBER(SEARCH("Republic of Korea",S3627)),"South Korea",
ISNUMBER(SEARCH("Cape Verde",S3627)),"Cabo Verde",
ISNUMBER(SEARCH("Czechia",S3627)),"Czech Republic",
ISNUMBER(SEARCH("Türkiye",S3627)),"Turkey",
ISNUMBER(SEARCH("Ivory Coast",S3627)),"Côte d'Ivoire",
ISNUMBER(SEARCH("Korea Republic",S3627)),"South Korea",
ISNUMBER(SEARCH("Germany FR",S3627)),"FR Germany",
ISNUMBER(SEARCH("West Germany",S3627)),"FR Germany",
ISNUMBER(SEARCH("Germany DR",S3627)),"DR Germany",
ISNUMBER(SEARCH("Korea DPR",S3627)),"North Korea",
ISNUMBER(SEARCH("China PR",S3627)),"China",
ISNUMBER(SEARCH("IR Iran",S3627)),"Iran",
ISNUMBER(SEARCH("Congo DR",S3627)),"Democratic Republic of the Congo",
ISNUMBER(SEARCH("DR Congo",S3627)),"Democratic Republic of the Congo",
ISNUMBER(SEARCH("German DR",S3627)),"DR Germany",
ISNUMBER(SEARCH("rn""&gt;United Arab Emirates",S3627)),"United Arab Emirates",
ISNUMBER(SEARCH("rn""&gt;Republic of Ireland",S3627)),"Ireland",
ISNUMBER(SEARCH("rn""&gt;Bosnia and Herzegovina",S3627)),"Bosnia and Herzegovina",
ISNUMBER(SEARCH("rn""&gt;Trinidad and Tobago",S3627)),"Trinidad and Tobago",
ISNUMBER(SEARCH("rn""&gt;Serbia and Montenegro",S3627)),"Serbia and Montenegro",
ISNUMBER(SEARCH(_xlfn.UNICHAR(65533),S3627)),"Côte d'Ivoire",
TRUE,""
)</f>
        <v/>
      </c>
      <c r="W3627" s="40" t="str">
        <f t="shared" si="243"/>
        <v>Soviet Union</v>
      </c>
    </row>
    <row r="3628" spans="19:23">
      <c r="S3628" s="40" t="str">
        <v>Germany FR</v>
      </c>
      <c r="T3628" s="40" t="str">
        <f t="shared" si="241"/>
        <v>ERREUR</v>
      </c>
      <c r="U3628" s="40" t="str">
        <f t="shared" si="242"/>
        <v>RENOMMER</v>
      </c>
      <c r="V3628" s="40" t="str" cm="1">
        <f t="array" ref="V3628">_xlfn.IFS(
ISNUMBER(SEARCH("USA",S3628)),"United States",
ISNUMBER(SEARCH("Republic of Ireland",S3628)),"Ireland",
ISNUMBER(SEARCH("Republic of Korea",S3628)),"South Korea",
ISNUMBER(SEARCH("Cape Verde",S3628)),"Cabo Verde",
ISNUMBER(SEARCH("Czechia",S3628)),"Czech Republic",
ISNUMBER(SEARCH("Türkiye",S3628)),"Turkey",
ISNUMBER(SEARCH("Ivory Coast",S3628)),"Côte d'Ivoire",
ISNUMBER(SEARCH("Korea Republic",S3628)),"South Korea",
ISNUMBER(SEARCH("Germany FR",S3628)),"FR Germany",
ISNUMBER(SEARCH("West Germany",S3628)),"FR Germany",
ISNUMBER(SEARCH("Germany DR",S3628)),"DR Germany",
ISNUMBER(SEARCH("Korea DPR",S3628)),"North Korea",
ISNUMBER(SEARCH("China PR",S3628)),"China",
ISNUMBER(SEARCH("IR Iran",S3628)),"Iran",
ISNUMBER(SEARCH("Congo DR",S3628)),"Democratic Republic of the Congo",
ISNUMBER(SEARCH("DR Congo",S3628)),"Democratic Republic of the Congo",
ISNUMBER(SEARCH("German DR",S3628)),"DR Germany",
ISNUMBER(SEARCH("rn""&gt;United Arab Emirates",S3628)),"United Arab Emirates",
ISNUMBER(SEARCH("rn""&gt;Republic of Ireland",S3628)),"Ireland",
ISNUMBER(SEARCH("rn""&gt;Bosnia and Herzegovina",S3628)),"Bosnia and Herzegovina",
ISNUMBER(SEARCH("rn""&gt;Trinidad and Tobago",S3628)),"Trinidad and Tobago",
ISNUMBER(SEARCH("rn""&gt;Serbia and Montenegro",S3628)),"Serbia and Montenegro",
ISNUMBER(SEARCH(_xlfn.UNICHAR(65533),S3628)),"Côte d'Ivoire",
TRUE,""
)</f>
        <v>FR Germany</v>
      </c>
      <c r="W3628" s="40" t="str">
        <f t="shared" si="243"/>
        <v>FR Germany</v>
      </c>
    </row>
    <row r="3629" spans="19:23">
      <c r="S3629" s="40" t="str">
        <v>Soviet Union</v>
      </c>
      <c r="T3629" s="40" t="str">
        <f t="shared" si="241"/>
        <v>ERREUR</v>
      </c>
      <c r="U3629" s="40" t="str">
        <f t="shared" si="242"/>
        <v>AUCUNE</v>
      </c>
      <c r="V3629" s="40" t="str" cm="1">
        <f t="array" ref="V3629">_xlfn.IFS(
ISNUMBER(SEARCH("USA",S3629)),"United States",
ISNUMBER(SEARCH("Republic of Ireland",S3629)),"Ireland",
ISNUMBER(SEARCH("Republic of Korea",S3629)),"South Korea",
ISNUMBER(SEARCH("Cape Verde",S3629)),"Cabo Verde",
ISNUMBER(SEARCH("Czechia",S3629)),"Czech Republic",
ISNUMBER(SEARCH("Türkiye",S3629)),"Turkey",
ISNUMBER(SEARCH("Ivory Coast",S3629)),"Côte d'Ivoire",
ISNUMBER(SEARCH("Korea Republic",S3629)),"South Korea",
ISNUMBER(SEARCH("Germany FR",S3629)),"FR Germany",
ISNUMBER(SEARCH("West Germany",S3629)),"FR Germany",
ISNUMBER(SEARCH("Germany DR",S3629)),"DR Germany",
ISNUMBER(SEARCH("Korea DPR",S3629)),"North Korea",
ISNUMBER(SEARCH("China PR",S3629)),"China",
ISNUMBER(SEARCH("IR Iran",S3629)),"Iran",
ISNUMBER(SEARCH("Congo DR",S3629)),"Democratic Republic of the Congo",
ISNUMBER(SEARCH("DR Congo",S3629)),"Democratic Republic of the Congo",
ISNUMBER(SEARCH("German DR",S3629)),"DR Germany",
ISNUMBER(SEARCH("rn""&gt;United Arab Emirates",S3629)),"United Arab Emirates",
ISNUMBER(SEARCH("rn""&gt;Republic of Ireland",S3629)),"Ireland",
ISNUMBER(SEARCH("rn""&gt;Bosnia and Herzegovina",S3629)),"Bosnia and Herzegovina",
ISNUMBER(SEARCH("rn""&gt;Trinidad and Tobago",S3629)),"Trinidad and Tobago",
ISNUMBER(SEARCH("rn""&gt;Serbia and Montenegro",S3629)),"Serbia and Montenegro",
ISNUMBER(SEARCH(_xlfn.UNICHAR(65533),S3629)),"Côte d'Ivoire",
TRUE,""
)</f>
        <v/>
      </c>
      <c r="W3629" s="40" t="str">
        <f t="shared" si="243"/>
        <v>Soviet Union</v>
      </c>
    </row>
    <row r="3630" spans="19:23">
      <c r="S3630" s="40" t="str">
        <v>Israel</v>
      </c>
      <c r="T3630" s="40" t="str">
        <f t="shared" si="241"/>
        <v>OK</v>
      </c>
      <c r="U3630" s="40" t="str">
        <f t="shared" si="242"/>
        <v>-</v>
      </c>
      <c r="V3630" s="40" t="str" cm="1">
        <f t="array" ref="V3630">_xlfn.IFS(
ISNUMBER(SEARCH("USA",S3630)),"United States",
ISNUMBER(SEARCH("Republic of Ireland",S3630)),"Ireland",
ISNUMBER(SEARCH("Republic of Korea",S3630)),"South Korea",
ISNUMBER(SEARCH("Cape Verde",S3630)),"Cabo Verde",
ISNUMBER(SEARCH("Czechia",S3630)),"Czech Republic",
ISNUMBER(SEARCH("Türkiye",S3630)),"Turkey",
ISNUMBER(SEARCH("Ivory Coast",S3630)),"Côte d'Ivoire",
ISNUMBER(SEARCH("Korea Republic",S3630)),"South Korea",
ISNUMBER(SEARCH("Germany FR",S3630)),"FR Germany",
ISNUMBER(SEARCH("West Germany",S3630)),"FR Germany",
ISNUMBER(SEARCH("Germany DR",S3630)),"DR Germany",
ISNUMBER(SEARCH("Korea DPR",S3630)),"North Korea",
ISNUMBER(SEARCH("China PR",S3630)),"China",
ISNUMBER(SEARCH("IR Iran",S3630)),"Iran",
ISNUMBER(SEARCH("Congo DR",S3630)),"Democratic Republic of the Congo",
ISNUMBER(SEARCH("DR Congo",S3630)),"Democratic Republic of the Congo",
ISNUMBER(SEARCH("German DR",S3630)),"DR Germany",
ISNUMBER(SEARCH("rn""&gt;United Arab Emirates",S3630)),"United Arab Emirates",
ISNUMBER(SEARCH("rn""&gt;Republic of Ireland",S3630)),"Ireland",
ISNUMBER(SEARCH("rn""&gt;Bosnia and Herzegovina",S3630)),"Bosnia and Herzegovina",
ISNUMBER(SEARCH("rn""&gt;Trinidad and Tobago",S3630)),"Trinidad and Tobago",
ISNUMBER(SEARCH("rn""&gt;Serbia and Montenegro",S3630)),"Serbia and Montenegro",
ISNUMBER(SEARCH(_xlfn.UNICHAR(65533),S3630)),"Côte d'Ivoire",
TRUE,""
)</f>
        <v/>
      </c>
      <c r="W3630" s="40" t="str">
        <f t="shared" si="243"/>
        <v>Israel</v>
      </c>
    </row>
    <row r="3631" spans="19:23">
      <c r="S3631" s="40" t="str">
        <v>Bulgaria</v>
      </c>
      <c r="T3631" s="40" t="str">
        <f t="shared" si="241"/>
        <v>OK</v>
      </c>
      <c r="U3631" s="40" t="str">
        <f t="shared" si="242"/>
        <v>-</v>
      </c>
      <c r="V3631" s="40" t="str" cm="1">
        <f t="array" ref="V3631">_xlfn.IFS(
ISNUMBER(SEARCH("USA",S3631)),"United States",
ISNUMBER(SEARCH("Republic of Ireland",S3631)),"Ireland",
ISNUMBER(SEARCH("Republic of Korea",S3631)),"South Korea",
ISNUMBER(SEARCH("Cape Verde",S3631)),"Cabo Verde",
ISNUMBER(SEARCH("Czechia",S3631)),"Czech Republic",
ISNUMBER(SEARCH("Türkiye",S3631)),"Turkey",
ISNUMBER(SEARCH("Ivory Coast",S3631)),"Côte d'Ivoire",
ISNUMBER(SEARCH("Korea Republic",S3631)),"South Korea",
ISNUMBER(SEARCH("Germany FR",S3631)),"FR Germany",
ISNUMBER(SEARCH("West Germany",S3631)),"FR Germany",
ISNUMBER(SEARCH("Germany DR",S3631)),"DR Germany",
ISNUMBER(SEARCH("Korea DPR",S3631)),"North Korea",
ISNUMBER(SEARCH("China PR",S3631)),"China",
ISNUMBER(SEARCH("IR Iran",S3631)),"Iran",
ISNUMBER(SEARCH("Congo DR",S3631)),"Democratic Republic of the Congo",
ISNUMBER(SEARCH("DR Congo",S3631)),"Democratic Republic of the Congo",
ISNUMBER(SEARCH("German DR",S3631)),"DR Germany",
ISNUMBER(SEARCH("rn""&gt;United Arab Emirates",S3631)),"United Arab Emirates",
ISNUMBER(SEARCH("rn""&gt;Republic of Ireland",S3631)),"Ireland",
ISNUMBER(SEARCH("rn""&gt;Bosnia and Herzegovina",S3631)),"Bosnia and Herzegovina",
ISNUMBER(SEARCH("rn""&gt;Trinidad and Tobago",S3631)),"Trinidad and Tobago",
ISNUMBER(SEARCH("rn""&gt;Serbia and Montenegro",S3631)),"Serbia and Montenegro",
ISNUMBER(SEARCH(_xlfn.UNICHAR(65533),S3631)),"Côte d'Ivoire",
TRUE,""
)</f>
        <v/>
      </c>
      <c r="W3631" s="40" t="str">
        <f t="shared" si="243"/>
        <v>Bulgaria</v>
      </c>
    </row>
    <row r="3632" spans="19:23">
      <c r="S3632" s="40" t="str">
        <v>Romania</v>
      </c>
      <c r="T3632" s="40" t="str">
        <f t="shared" si="241"/>
        <v>OK</v>
      </c>
      <c r="U3632" s="40" t="str">
        <f t="shared" si="242"/>
        <v>-</v>
      </c>
      <c r="V3632" s="40" t="str" cm="1">
        <f t="array" ref="V3632">_xlfn.IFS(
ISNUMBER(SEARCH("USA",S3632)),"United States",
ISNUMBER(SEARCH("Republic of Ireland",S3632)),"Ireland",
ISNUMBER(SEARCH("Republic of Korea",S3632)),"South Korea",
ISNUMBER(SEARCH("Cape Verde",S3632)),"Cabo Verde",
ISNUMBER(SEARCH("Czechia",S3632)),"Czech Republic",
ISNUMBER(SEARCH("Türkiye",S3632)),"Turkey",
ISNUMBER(SEARCH("Ivory Coast",S3632)),"Côte d'Ivoire",
ISNUMBER(SEARCH("Korea Republic",S3632)),"South Korea",
ISNUMBER(SEARCH("Germany FR",S3632)),"FR Germany",
ISNUMBER(SEARCH("West Germany",S3632)),"FR Germany",
ISNUMBER(SEARCH("Germany DR",S3632)),"DR Germany",
ISNUMBER(SEARCH("Korea DPR",S3632)),"North Korea",
ISNUMBER(SEARCH("China PR",S3632)),"China",
ISNUMBER(SEARCH("IR Iran",S3632)),"Iran",
ISNUMBER(SEARCH("Congo DR",S3632)),"Democratic Republic of the Congo",
ISNUMBER(SEARCH("DR Congo",S3632)),"Democratic Republic of the Congo",
ISNUMBER(SEARCH("German DR",S3632)),"DR Germany",
ISNUMBER(SEARCH("rn""&gt;United Arab Emirates",S3632)),"United Arab Emirates",
ISNUMBER(SEARCH("rn""&gt;Republic of Ireland",S3632)),"Ireland",
ISNUMBER(SEARCH("rn""&gt;Bosnia and Herzegovina",S3632)),"Bosnia and Herzegovina",
ISNUMBER(SEARCH("rn""&gt;Trinidad and Tobago",S3632)),"Trinidad and Tobago",
ISNUMBER(SEARCH("rn""&gt;Serbia and Montenegro",S3632)),"Serbia and Montenegro",
ISNUMBER(SEARCH(_xlfn.UNICHAR(65533),S3632)),"Côte d'Ivoire",
TRUE,""
)</f>
        <v/>
      </c>
      <c r="W3632" s="40" t="str">
        <f t="shared" si="243"/>
        <v>Romania</v>
      </c>
    </row>
    <row r="3633" spans="19:23">
      <c r="S3633" s="40" t="str">
        <v>Sweden</v>
      </c>
      <c r="T3633" s="40" t="str">
        <f t="shared" si="241"/>
        <v>OK</v>
      </c>
      <c r="U3633" s="40" t="str">
        <f t="shared" si="242"/>
        <v>-</v>
      </c>
      <c r="V3633" s="40" t="str" cm="1">
        <f t="array" ref="V3633">_xlfn.IFS(
ISNUMBER(SEARCH("USA",S3633)),"United States",
ISNUMBER(SEARCH("Republic of Ireland",S3633)),"Ireland",
ISNUMBER(SEARCH("Republic of Korea",S3633)),"South Korea",
ISNUMBER(SEARCH("Cape Verde",S3633)),"Cabo Verde",
ISNUMBER(SEARCH("Czechia",S3633)),"Czech Republic",
ISNUMBER(SEARCH("Türkiye",S3633)),"Turkey",
ISNUMBER(SEARCH("Ivory Coast",S3633)),"Côte d'Ivoire",
ISNUMBER(SEARCH("Korea Republic",S3633)),"South Korea",
ISNUMBER(SEARCH("Germany FR",S3633)),"FR Germany",
ISNUMBER(SEARCH("West Germany",S3633)),"FR Germany",
ISNUMBER(SEARCH("Germany DR",S3633)),"DR Germany",
ISNUMBER(SEARCH("Korea DPR",S3633)),"North Korea",
ISNUMBER(SEARCH("China PR",S3633)),"China",
ISNUMBER(SEARCH("IR Iran",S3633)),"Iran",
ISNUMBER(SEARCH("Congo DR",S3633)),"Democratic Republic of the Congo",
ISNUMBER(SEARCH("DR Congo",S3633)),"Democratic Republic of the Congo",
ISNUMBER(SEARCH("German DR",S3633)),"DR Germany",
ISNUMBER(SEARCH("rn""&gt;United Arab Emirates",S3633)),"United Arab Emirates",
ISNUMBER(SEARCH("rn""&gt;Republic of Ireland",S3633)),"Ireland",
ISNUMBER(SEARCH("rn""&gt;Bosnia and Herzegovina",S3633)),"Bosnia and Herzegovina",
ISNUMBER(SEARCH("rn""&gt;Trinidad and Tobago",S3633)),"Trinidad and Tobago",
ISNUMBER(SEARCH("rn""&gt;Serbia and Montenegro",S3633)),"Serbia and Montenegro",
ISNUMBER(SEARCH(_xlfn.UNICHAR(65533),S3633)),"Côte d'Ivoire",
TRUE,""
)</f>
        <v/>
      </c>
      <c r="W3633" s="40" t="str">
        <f t="shared" si="243"/>
        <v>Sweden</v>
      </c>
    </row>
    <row r="3634" spans="19:23">
      <c r="S3634" s="40" t="str">
        <v>Morocco</v>
      </c>
      <c r="T3634" s="40" t="str">
        <f t="shared" si="241"/>
        <v>OK</v>
      </c>
      <c r="U3634" s="40" t="str">
        <f t="shared" si="242"/>
        <v>-</v>
      </c>
      <c r="V3634" s="40" t="str" cm="1">
        <f t="array" ref="V3634">_xlfn.IFS(
ISNUMBER(SEARCH("USA",S3634)),"United States",
ISNUMBER(SEARCH("Republic of Ireland",S3634)),"Ireland",
ISNUMBER(SEARCH("Republic of Korea",S3634)),"South Korea",
ISNUMBER(SEARCH("Cape Verde",S3634)),"Cabo Verde",
ISNUMBER(SEARCH("Czechia",S3634)),"Czech Republic",
ISNUMBER(SEARCH("Türkiye",S3634)),"Turkey",
ISNUMBER(SEARCH("Ivory Coast",S3634)),"Côte d'Ivoire",
ISNUMBER(SEARCH("Korea Republic",S3634)),"South Korea",
ISNUMBER(SEARCH("Germany FR",S3634)),"FR Germany",
ISNUMBER(SEARCH("West Germany",S3634)),"FR Germany",
ISNUMBER(SEARCH("Germany DR",S3634)),"DR Germany",
ISNUMBER(SEARCH("Korea DPR",S3634)),"North Korea",
ISNUMBER(SEARCH("China PR",S3634)),"China",
ISNUMBER(SEARCH("IR Iran",S3634)),"Iran",
ISNUMBER(SEARCH("Congo DR",S3634)),"Democratic Republic of the Congo",
ISNUMBER(SEARCH("DR Congo",S3634)),"Democratic Republic of the Congo",
ISNUMBER(SEARCH("German DR",S3634)),"DR Germany",
ISNUMBER(SEARCH("rn""&gt;United Arab Emirates",S3634)),"United Arab Emirates",
ISNUMBER(SEARCH("rn""&gt;Republic of Ireland",S3634)),"Ireland",
ISNUMBER(SEARCH("rn""&gt;Bosnia and Herzegovina",S3634)),"Bosnia and Herzegovina",
ISNUMBER(SEARCH("rn""&gt;Trinidad and Tobago",S3634)),"Trinidad and Tobago",
ISNUMBER(SEARCH("rn""&gt;Serbia and Montenegro",S3634)),"Serbia and Montenegro",
ISNUMBER(SEARCH(_xlfn.UNICHAR(65533),S3634)),"Côte d'Ivoire",
TRUE,""
)</f>
        <v/>
      </c>
      <c r="W3634" s="40" t="str">
        <f t="shared" si="243"/>
        <v>Morocco</v>
      </c>
    </row>
    <row r="3635" spans="19:23">
      <c r="S3635" s="40" t="str">
        <v>Czechoslovakia</v>
      </c>
      <c r="T3635" s="40" t="str">
        <f t="shared" si="241"/>
        <v>ERREUR</v>
      </c>
      <c r="U3635" s="40" t="str">
        <f t="shared" si="242"/>
        <v>AUCUNE</v>
      </c>
      <c r="V3635" s="40" t="str" cm="1">
        <f t="array" ref="V3635">_xlfn.IFS(
ISNUMBER(SEARCH("USA",S3635)),"United States",
ISNUMBER(SEARCH("Republic of Ireland",S3635)),"Ireland",
ISNUMBER(SEARCH("Republic of Korea",S3635)),"South Korea",
ISNUMBER(SEARCH("Cape Verde",S3635)),"Cabo Verde",
ISNUMBER(SEARCH("Czechia",S3635)),"Czech Republic",
ISNUMBER(SEARCH("Türkiye",S3635)),"Turkey",
ISNUMBER(SEARCH("Ivory Coast",S3635)),"Côte d'Ivoire",
ISNUMBER(SEARCH("Korea Republic",S3635)),"South Korea",
ISNUMBER(SEARCH("Germany FR",S3635)),"FR Germany",
ISNUMBER(SEARCH("West Germany",S3635)),"FR Germany",
ISNUMBER(SEARCH("Germany DR",S3635)),"DR Germany",
ISNUMBER(SEARCH("Korea DPR",S3635)),"North Korea",
ISNUMBER(SEARCH("China PR",S3635)),"China",
ISNUMBER(SEARCH("IR Iran",S3635)),"Iran",
ISNUMBER(SEARCH("Congo DR",S3635)),"Democratic Republic of the Congo",
ISNUMBER(SEARCH("DR Congo",S3635)),"Democratic Republic of the Congo",
ISNUMBER(SEARCH("German DR",S3635)),"DR Germany",
ISNUMBER(SEARCH("rn""&gt;United Arab Emirates",S3635)),"United Arab Emirates",
ISNUMBER(SEARCH("rn""&gt;Republic of Ireland",S3635)),"Ireland",
ISNUMBER(SEARCH("rn""&gt;Bosnia and Herzegovina",S3635)),"Bosnia and Herzegovina",
ISNUMBER(SEARCH("rn""&gt;Trinidad and Tobago",S3635)),"Trinidad and Tobago",
ISNUMBER(SEARCH("rn""&gt;Serbia and Montenegro",S3635)),"Serbia and Montenegro",
ISNUMBER(SEARCH(_xlfn.UNICHAR(65533),S3635)),"Côte d'Ivoire",
TRUE,""
)</f>
        <v/>
      </c>
      <c r="W3635" s="40" t="str">
        <f t="shared" si="243"/>
        <v>Czechoslovakia</v>
      </c>
    </row>
    <row r="3636" spans="19:23">
      <c r="S3636" s="40" t="str">
        <v>El Salvador</v>
      </c>
      <c r="T3636" s="40" t="str">
        <f t="shared" si="241"/>
        <v>OK</v>
      </c>
      <c r="U3636" s="40" t="str">
        <f t="shared" si="242"/>
        <v>-</v>
      </c>
      <c r="V3636" s="40" t="str" cm="1">
        <f t="array" ref="V3636">_xlfn.IFS(
ISNUMBER(SEARCH("USA",S3636)),"United States",
ISNUMBER(SEARCH("Republic of Ireland",S3636)),"Ireland",
ISNUMBER(SEARCH("Republic of Korea",S3636)),"South Korea",
ISNUMBER(SEARCH("Cape Verde",S3636)),"Cabo Verde",
ISNUMBER(SEARCH("Czechia",S3636)),"Czech Republic",
ISNUMBER(SEARCH("Türkiye",S3636)),"Turkey",
ISNUMBER(SEARCH("Ivory Coast",S3636)),"Côte d'Ivoire",
ISNUMBER(SEARCH("Korea Republic",S3636)),"South Korea",
ISNUMBER(SEARCH("Germany FR",S3636)),"FR Germany",
ISNUMBER(SEARCH("West Germany",S3636)),"FR Germany",
ISNUMBER(SEARCH("Germany DR",S3636)),"DR Germany",
ISNUMBER(SEARCH("Korea DPR",S3636)),"North Korea",
ISNUMBER(SEARCH("China PR",S3636)),"China",
ISNUMBER(SEARCH("IR Iran",S3636)),"Iran",
ISNUMBER(SEARCH("Congo DR",S3636)),"Democratic Republic of the Congo",
ISNUMBER(SEARCH("DR Congo",S3636)),"Democratic Republic of the Congo",
ISNUMBER(SEARCH("German DR",S3636)),"DR Germany",
ISNUMBER(SEARCH("rn""&gt;United Arab Emirates",S3636)),"United Arab Emirates",
ISNUMBER(SEARCH("rn""&gt;Republic of Ireland",S3636)),"Ireland",
ISNUMBER(SEARCH("rn""&gt;Bosnia and Herzegovina",S3636)),"Bosnia and Herzegovina",
ISNUMBER(SEARCH("rn""&gt;Trinidad and Tobago",S3636)),"Trinidad and Tobago",
ISNUMBER(SEARCH("rn""&gt;Serbia and Montenegro",S3636)),"Serbia and Montenegro",
ISNUMBER(SEARCH(_xlfn.UNICHAR(65533),S3636)),"Côte d'Ivoire",
TRUE,""
)</f>
        <v/>
      </c>
      <c r="W3636" s="40" t="str">
        <f t="shared" si="243"/>
        <v>El Salvador</v>
      </c>
    </row>
    <row r="3637" spans="19:23">
      <c r="S3637" s="40" t="str">
        <v>Italy</v>
      </c>
      <c r="T3637" s="40" t="str">
        <f t="shared" si="241"/>
        <v>OK</v>
      </c>
      <c r="U3637" s="40" t="str">
        <f t="shared" si="242"/>
        <v>-</v>
      </c>
      <c r="V3637" s="40" t="str" cm="1">
        <f t="array" ref="V3637">_xlfn.IFS(
ISNUMBER(SEARCH("USA",S3637)),"United States",
ISNUMBER(SEARCH("Republic of Ireland",S3637)),"Ireland",
ISNUMBER(SEARCH("Republic of Korea",S3637)),"South Korea",
ISNUMBER(SEARCH("Cape Verde",S3637)),"Cabo Verde",
ISNUMBER(SEARCH("Czechia",S3637)),"Czech Republic",
ISNUMBER(SEARCH("Türkiye",S3637)),"Turkey",
ISNUMBER(SEARCH("Ivory Coast",S3637)),"Côte d'Ivoire",
ISNUMBER(SEARCH("Korea Republic",S3637)),"South Korea",
ISNUMBER(SEARCH("Germany FR",S3637)),"FR Germany",
ISNUMBER(SEARCH("West Germany",S3637)),"FR Germany",
ISNUMBER(SEARCH("Germany DR",S3637)),"DR Germany",
ISNUMBER(SEARCH("Korea DPR",S3637)),"North Korea",
ISNUMBER(SEARCH("China PR",S3637)),"China",
ISNUMBER(SEARCH("IR Iran",S3637)),"Iran",
ISNUMBER(SEARCH("Congo DR",S3637)),"Democratic Republic of the Congo",
ISNUMBER(SEARCH("DR Congo",S3637)),"Democratic Republic of the Congo",
ISNUMBER(SEARCH("German DR",S3637)),"DR Germany",
ISNUMBER(SEARCH("rn""&gt;United Arab Emirates",S3637)),"United Arab Emirates",
ISNUMBER(SEARCH("rn""&gt;Republic of Ireland",S3637)),"Ireland",
ISNUMBER(SEARCH("rn""&gt;Bosnia and Herzegovina",S3637)),"Bosnia and Herzegovina",
ISNUMBER(SEARCH("rn""&gt;Trinidad and Tobago",S3637)),"Trinidad and Tobago",
ISNUMBER(SEARCH("rn""&gt;Serbia and Montenegro",S3637)),"Serbia and Montenegro",
ISNUMBER(SEARCH(_xlfn.UNICHAR(65533),S3637)),"Côte d'Ivoire",
TRUE,""
)</f>
        <v/>
      </c>
      <c r="W3637" s="40" t="str">
        <f t="shared" si="243"/>
        <v>Italy</v>
      </c>
    </row>
    <row r="3638" spans="19:23">
      <c r="S3638" s="40" t="str">
        <v>Morocco</v>
      </c>
      <c r="T3638" s="40" t="str">
        <f t="shared" si="241"/>
        <v>OK</v>
      </c>
      <c r="U3638" s="40" t="str">
        <f t="shared" si="242"/>
        <v>-</v>
      </c>
      <c r="V3638" s="40" t="str" cm="1">
        <f t="array" ref="V3638">_xlfn.IFS(
ISNUMBER(SEARCH("USA",S3638)),"United States",
ISNUMBER(SEARCH("Republic of Ireland",S3638)),"Ireland",
ISNUMBER(SEARCH("Republic of Korea",S3638)),"South Korea",
ISNUMBER(SEARCH("Cape Verde",S3638)),"Cabo Verde",
ISNUMBER(SEARCH("Czechia",S3638)),"Czech Republic",
ISNUMBER(SEARCH("Türkiye",S3638)),"Turkey",
ISNUMBER(SEARCH("Ivory Coast",S3638)),"Côte d'Ivoire",
ISNUMBER(SEARCH("Korea Republic",S3638)),"South Korea",
ISNUMBER(SEARCH("Germany FR",S3638)),"FR Germany",
ISNUMBER(SEARCH("West Germany",S3638)),"FR Germany",
ISNUMBER(SEARCH("Germany DR",S3638)),"DR Germany",
ISNUMBER(SEARCH("Korea DPR",S3638)),"North Korea",
ISNUMBER(SEARCH("China PR",S3638)),"China",
ISNUMBER(SEARCH("IR Iran",S3638)),"Iran",
ISNUMBER(SEARCH("Congo DR",S3638)),"Democratic Republic of the Congo",
ISNUMBER(SEARCH("DR Congo",S3638)),"Democratic Republic of the Congo",
ISNUMBER(SEARCH("German DR",S3638)),"DR Germany",
ISNUMBER(SEARCH("rn""&gt;United Arab Emirates",S3638)),"United Arab Emirates",
ISNUMBER(SEARCH("rn""&gt;Republic of Ireland",S3638)),"Ireland",
ISNUMBER(SEARCH("rn""&gt;Bosnia and Herzegovina",S3638)),"Bosnia and Herzegovina",
ISNUMBER(SEARCH("rn""&gt;Trinidad and Tobago",S3638)),"Trinidad and Tobago",
ISNUMBER(SEARCH("rn""&gt;Serbia and Montenegro",S3638)),"Serbia and Montenegro",
ISNUMBER(SEARCH(_xlfn.UNICHAR(65533),S3638)),"Côte d'Ivoire",
TRUE,""
)</f>
        <v/>
      </c>
      <c r="W3638" s="40" t="str">
        <f t="shared" si="243"/>
        <v>Morocco</v>
      </c>
    </row>
    <row r="3639" spans="19:23">
      <c r="S3639" s="40" t="str">
        <v>Czechoslovakia</v>
      </c>
      <c r="T3639" s="40" t="str">
        <f t="shared" si="241"/>
        <v>ERREUR</v>
      </c>
      <c r="U3639" s="40" t="str">
        <f t="shared" si="242"/>
        <v>AUCUNE</v>
      </c>
      <c r="V3639" s="40" t="str" cm="1">
        <f t="array" ref="V3639">_xlfn.IFS(
ISNUMBER(SEARCH("USA",S3639)),"United States",
ISNUMBER(SEARCH("Republic of Ireland",S3639)),"Ireland",
ISNUMBER(SEARCH("Republic of Korea",S3639)),"South Korea",
ISNUMBER(SEARCH("Cape Verde",S3639)),"Cabo Verde",
ISNUMBER(SEARCH("Czechia",S3639)),"Czech Republic",
ISNUMBER(SEARCH("Türkiye",S3639)),"Turkey",
ISNUMBER(SEARCH("Ivory Coast",S3639)),"Côte d'Ivoire",
ISNUMBER(SEARCH("Korea Republic",S3639)),"South Korea",
ISNUMBER(SEARCH("Germany FR",S3639)),"FR Germany",
ISNUMBER(SEARCH("West Germany",S3639)),"FR Germany",
ISNUMBER(SEARCH("Germany DR",S3639)),"DR Germany",
ISNUMBER(SEARCH("Korea DPR",S3639)),"North Korea",
ISNUMBER(SEARCH("China PR",S3639)),"China",
ISNUMBER(SEARCH("IR Iran",S3639)),"Iran",
ISNUMBER(SEARCH("Congo DR",S3639)),"Democratic Republic of the Congo",
ISNUMBER(SEARCH("DR Congo",S3639)),"Democratic Republic of the Congo",
ISNUMBER(SEARCH("German DR",S3639)),"DR Germany",
ISNUMBER(SEARCH("rn""&gt;United Arab Emirates",S3639)),"United Arab Emirates",
ISNUMBER(SEARCH("rn""&gt;Republic of Ireland",S3639)),"Ireland",
ISNUMBER(SEARCH("rn""&gt;Bosnia and Herzegovina",S3639)),"Bosnia and Herzegovina",
ISNUMBER(SEARCH("rn""&gt;Trinidad and Tobago",S3639)),"Trinidad and Tobago",
ISNUMBER(SEARCH("rn""&gt;Serbia and Montenegro",S3639)),"Serbia and Montenegro",
ISNUMBER(SEARCH(_xlfn.UNICHAR(65533),S3639)),"Côte d'Ivoire",
TRUE,""
)</f>
        <v/>
      </c>
      <c r="W3639" s="40" t="str">
        <f t="shared" si="243"/>
        <v>Czechoslovakia</v>
      </c>
    </row>
    <row r="3640" spans="19:23">
      <c r="S3640" s="40" t="str">
        <v>Belgium</v>
      </c>
      <c r="T3640" s="40" t="str">
        <f t="shared" si="241"/>
        <v>OK</v>
      </c>
      <c r="U3640" s="40" t="str">
        <f t="shared" si="242"/>
        <v>-</v>
      </c>
      <c r="V3640" s="40" t="str" cm="1">
        <f t="array" ref="V3640">_xlfn.IFS(
ISNUMBER(SEARCH("USA",S3640)),"United States",
ISNUMBER(SEARCH("Republic of Ireland",S3640)),"Ireland",
ISNUMBER(SEARCH("Republic of Korea",S3640)),"South Korea",
ISNUMBER(SEARCH("Cape Verde",S3640)),"Cabo Verde",
ISNUMBER(SEARCH("Czechia",S3640)),"Czech Republic",
ISNUMBER(SEARCH("Türkiye",S3640)),"Turkey",
ISNUMBER(SEARCH("Ivory Coast",S3640)),"Côte d'Ivoire",
ISNUMBER(SEARCH("Korea Republic",S3640)),"South Korea",
ISNUMBER(SEARCH("Germany FR",S3640)),"FR Germany",
ISNUMBER(SEARCH("West Germany",S3640)),"FR Germany",
ISNUMBER(SEARCH("Germany DR",S3640)),"DR Germany",
ISNUMBER(SEARCH("Korea DPR",S3640)),"North Korea",
ISNUMBER(SEARCH("China PR",S3640)),"China",
ISNUMBER(SEARCH("IR Iran",S3640)),"Iran",
ISNUMBER(SEARCH("Congo DR",S3640)),"Democratic Republic of the Congo",
ISNUMBER(SEARCH("DR Congo",S3640)),"Democratic Republic of the Congo",
ISNUMBER(SEARCH("German DR",S3640)),"DR Germany",
ISNUMBER(SEARCH("rn""&gt;United Arab Emirates",S3640)),"United Arab Emirates",
ISNUMBER(SEARCH("rn""&gt;Republic of Ireland",S3640)),"Ireland",
ISNUMBER(SEARCH("rn""&gt;Bosnia and Herzegovina",S3640)),"Bosnia and Herzegovina",
ISNUMBER(SEARCH("rn""&gt;Trinidad and Tobago",S3640)),"Trinidad and Tobago",
ISNUMBER(SEARCH("rn""&gt;Serbia and Montenegro",S3640)),"Serbia and Montenegro",
ISNUMBER(SEARCH(_xlfn.UNICHAR(65533),S3640)),"Côte d'Ivoire",
TRUE,""
)</f>
        <v/>
      </c>
      <c r="W3640" s="40" t="str">
        <f t="shared" si="243"/>
        <v>Belgium</v>
      </c>
    </row>
    <row r="3641" spans="19:23">
      <c r="S3641" s="40" t="str">
        <v>Israel</v>
      </c>
      <c r="T3641" s="40" t="str">
        <f t="shared" si="241"/>
        <v>OK</v>
      </c>
      <c r="U3641" s="40" t="str">
        <f t="shared" si="242"/>
        <v>-</v>
      </c>
      <c r="V3641" s="40" t="str" cm="1">
        <f t="array" ref="V3641">_xlfn.IFS(
ISNUMBER(SEARCH("USA",S3641)),"United States",
ISNUMBER(SEARCH("Republic of Ireland",S3641)),"Ireland",
ISNUMBER(SEARCH("Republic of Korea",S3641)),"South Korea",
ISNUMBER(SEARCH("Cape Verde",S3641)),"Cabo Verde",
ISNUMBER(SEARCH("Czechia",S3641)),"Czech Republic",
ISNUMBER(SEARCH("Türkiye",S3641)),"Turkey",
ISNUMBER(SEARCH("Ivory Coast",S3641)),"Côte d'Ivoire",
ISNUMBER(SEARCH("Korea Republic",S3641)),"South Korea",
ISNUMBER(SEARCH("Germany FR",S3641)),"FR Germany",
ISNUMBER(SEARCH("West Germany",S3641)),"FR Germany",
ISNUMBER(SEARCH("Germany DR",S3641)),"DR Germany",
ISNUMBER(SEARCH("Korea DPR",S3641)),"North Korea",
ISNUMBER(SEARCH("China PR",S3641)),"China",
ISNUMBER(SEARCH("IR Iran",S3641)),"Iran",
ISNUMBER(SEARCH("Congo DR",S3641)),"Democratic Republic of the Congo",
ISNUMBER(SEARCH("DR Congo",S3641)),"Democratic Republic of the Congo",
ISNUMBER(SEARCH("German DR",S3641)),"DR Germany",
ISNUMBER(SEARCH("rn""&gt;United Arab Emirates",S3641)),"United Arab Emirates",
ISNUMBER(SEARCH("rn""&gt;Republic of Ireland",S3641)),"Ireland",
ISNUMBER(SEARCH("rn""&gt;Bosnia and Herzegovina",S3641)),"Bosnia and Herzegovina",
ISNUMBER(SEARCH("rn""&gt;Trinidad and Tobago",S3641)),"Trinidad and Tobago",
ISNUMBER(SEARCH("rn""&gt;Serbia and Montenegro",S3641)),"Serbia and Montenegro",
ISNUMBER(SEARCH(_xlfn.UNICHAR(65533),S3641)),"Côte d'Ivoire",
TRUE,""
)</f>
        <v/>
      </c>
      <c r="W3641" s="40" t="str">
        <f t="shared" si="243"/>
        <v>Israel</v>
      </c>
    </row>
    <row r="3642" spans="19:23">
      <c r="S3642" s="40" t="str">
        <v>Bulgaria</v>
      </c>
      <c r="T3642" s="40" t="str">
        <f t="shared" si="241"/>
        <v>OK</v>
      </c>
      <c r="U3642" s="40" t="str">
        <f t="shared" si="242"/>
        <v>-</v>
      </c>
      <c r="V3642" s="40" t="str" cm="1">
        <f t="array" ref="V3642">_xlfn.IFS(
ISNUMBER(SEARCH("USA",S3642)),"United States",
ISNUMBER(SEARCH("Republic of Ireland",S3642)),"Ireland",
ISNUMBER(SEARCH("Republic of Korea",S3642)),"South Korea",
ISNUMBER(SEARCH("Cape Verde",S3642)),"Cabo Verde",
ISNUMBER(SEARCH("Czechia",S3642)),"Czech Republic",
ISNUMBER(SEARCH("Türkiye",S3642)),"Turkey",
ISNUMBER(SEARCH("Ivory Coast",S3642)),"Côte d'Ivoire",
ISNUMBER(SEARCH("Korea Republic",S3642)),"South Korea",
ISNUMBER(SEARCH("Germany FR",S3642)),"FR Germany",
ISNUMBER(SEARCH("West Germany",S3642)),"FR Germany",
ISNUMBER(SEARCH("Germany DR",S3642)),"DR Germany",
ISNUMBER(SEARCH("Korea DPR",S3642)),"North Korea",
ISNUMBER(SEARCH("China PR",S3642)),"China",
ISNUMBER(SEARCH("IR Iran",S3642)),"Iran",
ISNUMBER(SEARCH("Congo DR",S3642)),"Democratic Republic of the Congo",
ISNUMBER(SEARCH("DR Congo",S3642)),"Democratic Republic of the Congo",
ISNUMBER(SEARCH("German DR",S3642)),"DR Germany",
ISNUMBER(SEARCH("rn""&gt;United Arab Emirates",S3642)),"United Arab Emirates",
ISNUMBER(SEARCH("rn""&gt;Republic of Ireland",S3642)),"Ireland",
ISNUMBER(SEARCH("rn""&gt;Bosnia and Herzegovina",S3642)),"Bosnia and Herzegovina",
ISNUMBER(SEARCH("rn""&gt;Trinidad and Tobago",S3642)),"Trinidad and Tobago",
ISNUMBER(SEARCH("rn""&gt;Serbia and Montenegro",S3642)),"Serbia and Montenegro",
ISNUMBER(SEARCH(_xlfn.UNICHAR(65533),S3642)),"Côte d'Ivoire",
TRUE,""
)</f>
        <v/>
      </c>
      <c r="W3642" s="40" t="str">
        <f t="shared" si="243"/>
        <v>Bulgaria</v>
      </c>
    </row>
    <row r="3643" spans="19:23">
      <c r="S3643" s="40" t="str">
        <v>England</v>
      </c>
      <c r="T3643" s="40" t="str">
        <f t="shared" si="241"/>
        <v>ERREUR</v>
      </c>
      <c r="U3643" s="40" t="str">
        <f t="shared" si="242"/>
        <v>AUCUNE</v>
      </c>
      <c r="V3643" s="40" t="str" cm="1">
        <f t="array" ref="V3643">_xlfn.IFS(
ISNUMBER(SEARCH("USA",S3643)),"United States",
ISNUMBER(SEARCH("Republic of Ireland",S3643)),"Ireland",
ISNUMBER(SEARCH("Republic of Korea",S3643)),"South Korea",
ISNUMBER(SEARCH("Cape Verde",S3643)),"Cabo Verde",
ISNUMBER(SEARCH("Czechia",S3643)),"Czech Republic",
ISNUMBER(SEARCH("Türkiye",S3643)),"Turkey",
ISNUMBER(SEARCH("Ivory Coast",S3643)),"Côte d'Ivoire",
ISNUMBER(SEARCH("Korea Republic",S3643)),"South Korea",
ISNUMBER(SEARCH("Germany FR",S3643)),"FR Germany",
ISNUMBER(SEARCH("West Germany",S3643)),"FR Germany",
ISNUMBER(SEARCH("Germany DR",S3643)),"DR Germany",
ISNUMBER(SEARCH("Korea DPR",S3643)),"North Korea",
ISNUMBER(SEARCH("China PR",S3643)),"China",
ISNUMBER(SEARCH("IR Iran",S3643)),"Iran",
ISNUMBER(SEARCH("Congo DR",S3643)),"Democratic Republic of the Congo",
ISNUMBER(SEARCH("DR Congo",S3643)),"Democratic Republic of the Congo",
ISNUMBER(SEARCH("German DR",S3643)),"DR Germany",
ISNUMBER(SEARCH("rn""&gt;United Arab Emirates",S3643)),"United Arab Emirates",
ISNUMBER(SEARCH("rn""&gt;Republic of Ireland",S3643)),"Ireland",
ISNUMBER(SEARCH("rn""&gt;Bosnia and Herzegovina",S3643)),"Bosnia and Herzegovina",
ISNUMBER(SEARCH("rn""&gt;Trinidad and Tobago",S3643)),"Trinidad and Tobago",
ISNUMBER(SEARCH("rn""&gt;Serbia and Montenegro",S3643)),"Serbia and Montenegro",
ISNUMBER(SEARCH(_xlfn.UNICHAR(65533),S3643)),"Côte d'Ivoire",
TRUE,""
)</f>
        <v/>
      </c>
      <c r="W3643" s="40" t="str">
        <f t="shared" si="243"/>
        <v>England</v>
      </c>
    </row>
    <row r="3644" spans="19:23">
      <c r="S3644" s="40" t="str">
        <v>El Salvador</v>
      </c>
      <c r="T3644" s="40" t="str">
        <f t="shared" si="241"/>
        <v>OK</v>
      </c>
      <c r="U3644" s="40" t="str">
        <f t="shared" si="242"/>
        <v>-</v>
      </c>
      <c r="V3644" s="40" t="str" cm="1">
        <f t="array" ref="V3644">_xlfn.IFS(
ISNUMBER(SEARCH("USA",S3644)),"United States",
ISNUMBER(SEARCH("Republic of Ireland",S3644)),"Ireland",
ISNUMBER(SEARCH("Republic of Korea",S3644)),"South Korea",
ISNUMBER(SEARCH("Cape Verde",S3644)),"Cabo Verde",
ISNUMBER(SEARCH("Czechia",S3644)),"Czech Republic",
ISNUMBER(SEARCH("Türkiye",S3644)),"Turkey",
ISNUMBER(SEARCH("Ivory Coast",S3644)),"Côte d'Ivoire",
ISNUMBER(SEARCH("Korea Republic",S3644)),"South Korea",
ISNUMBER(SEARCH("Germany FR",S3644)),"FR Germany",
ISNUMBER(SEARCH("West Germany",S3644)),"FR Germany",
ISNUMBER(SEARCH("Germany DR",S3644)),"DR Germany",
ISNUMBER(SEARCH("Korea DPR",S3644)),"North Korea",
ISNUMBER(SEARCH("China PR",S3644)),"China",
ISNUMBER(SEARCH("IR Iran",S3644)),"Iran",
ISNUMBER(SEARCH("Congo DR",S3644)),"Democratic Republic of the Congo",
ISNUMBER(SEARCH("DR Congo",S3644)),"Democratic Republic of the Congo",
ISNUMBER(SEARCH("German DR",S3644)),"DR Germany",
ISNUMBER(SEARCH("rn""&gt;United Arab Emirates",S3644)),"United Arab Emirates",
ISNUMBER(SEARCH("rn""&gt;Republic of Ireland",S3644)),"Ireland",
ISNUMBER(SEARCH("rn""&gt;Bosnia and Herzegovina",S3644)),"Bosnia and Herzegovina",
ISNUMBER(SEARCH("rn""&gt;Trinidad and Tobago",S3644)),"Trinidad and Tobago",
ISNUMBER(SEARCH("rn""&gt;Serbia and Montenegro",S3644)),"Serbia and Montenegro",
ISNUMBER(SEARCH(_xlfn.UNICHAR(65533),S3644)),"Côte d'Ivoire",
TRUE,""
)</f>
        <v/>
      </c>
      <c r="W3644" s="40" t="str">
        <f t="shared" si="243"/>
        <v>El Salvador</v>
      </c>
    </row>
    <row r="3645" spans="19:23">
      <c r="S3645" s="40" t="str">
        <v>Uruguay</v>
      </c>
      <c r="T3645" s="40" t="str">
        <f t="shared" si="241"/>
        <v>OK</v>
      </c>
      <c r="U3645" s="40" t="str">
        <f t="shared" si="242"/>
        <v>-</v>
      </c>
      <c r="V3645" s="40" t="str" cm="1">
        <f t="array" ref="V3645">_xlfn.IFS(
ISNUMBER(SEARCH("USA",S3645)),"United States",
ISNUMBER(SEARCH("Republic of Ireland",S3645)),"Ireland",
ISNUMBER(SEARCH("Republic of Korea",S3645)),"South Korea",
ISNUMBER(SEARCH("Cape Verde",S3645)),"Cabo Verde",
ISNUMBER(SEARCH("Czechia",S3645)),"Czech Republic",
ISNUMBER(SEARCH("Türkiye",S3645)),"Turkey",
ISNUMBER(SEARCH("Ivory Coast",S3645)),"Côte d'Ivoire",
ISNUMBER(SEARCH("Korea Republic",S3645)),"South Korea",
ISNUMBER(SEARCH("Germany FR",S3645)),"FR Germany",
ISNUMBER(SEARCH("West Germany",S3645)),"FR Germany",
ISNUMBER(SEARCH("Germany DR",S3645)),"DR Germany",
ISNUMBER(SEARCH("Korea DPR",S3645)),"North Korea",
ISNUMBER(SEARCH("China PR",S3645)),"China",
ISNUMBER(SEARCH("IR Iran",S3645)),"Iran",
ISNUMBER(SEARCH("Congo DR",S3645)),"Democratic Republic of the Congo",
ISNUMBER(SEARCH("DR Congo",S3645)),"Democratic Republic of the Congo",
ISNUMBER(SEARCH("German DR",S3645)),"DR Germany",
ISNUMBER(SEARCH("rn""&gt;United Arab Emirates",S3645)),"United Arab Emirates",
ISNUMBER(SEARCH("rn""&gt;Republic of Ireland",S3645)),"Ireland",
ISNUMBER(SEARCH("rn""&gt;Bosnia and Herzegovina",S3645)),"Bosnia and Herzegovina",
ISNUMBER(SEARCH("rn""&gt;Trinidad and Tobago",S3645)),"Trinidad and Tobago",
ISNUMBER(SEARCH("rn""&gt;Serbia and Montenegro",S3645)),"Serbia and Montenegro",
ISNUMBER(SEARCH(_xlfn.UNICHAR(65533),S3645)),"Côte d'Ivoire",
TRUE,""
)</f>
        <v/>
      </c>
      <c r="W3645" s="40" t="str">
        <f t="shared" si="243"/>
        <v>Uruguay</v>
      </c>
    </row>
    <row r="3646" spans="19:23">
      <c r="S3646" s="40" t="str">
        <v>Peru</v>
      </c>
      <c r="T3646" s="40" t="str">
        <f t="shared" si="241"/>
        <v>OK</v>
      </c>
      <c r="U3646" s="40" t="str">
        <f t="shared" si="242"/>
        <v>-</v>
      </c>
      <c r="V3646" s="40" t="str" cm="1">
        <f t="array" ref="V3646">_xlfn.IFS(
ISNUMBER(SEARCH("USA",S3646)),"United States",
ISNUMBER(SEARCH("Republic of Ireland",S3646)),"Ireland",
ISNUMBER(SEARCH("Republic of Korea",S3646)),"South Korea",
ISNUMBER(SEARCH("Cape Verde",S3646)),"Cabo Verde",
ISNUMBER(SEARCH("Czechia",S3646)),"Czech Republic",
ISNUMBER(SEARCH("Türkiye",S3646)),"Turkey",
ISNUMBER(SEARCH("Ivory Coast",S3646)),"Côte d'Ivoire",
ISNUMBER(SEARCH("Korea Republic",S3646)),"South Korea",
ISNUMBER(SEARCH("Germany FR",S3646)),"FR Germany",
ISNUMBER(SEARCH("West Germany",S3646)),"FR Germany",
ISNUMBER(SEARCH("Germany DR",S3646)),"DR Germany",
ISNUMBER(SEARCH("Korea DPR",S3646)),"North Korea",
ISNUMBER(SEARCH("China PR",S3646)),"China",
ISNUMBER(SEARCH("IR Iran",S3646)),"Iran",
ISNUMBER(SEARCH("Congo DR",S3646)),"Democratic Republic of the Congo",
ISNUMBER(SEARCH("DR Congo",S3646)),"Democratic Republic of the Congo",
ISNUMBER(SEARCH("German DR",S3646)),"DR Germany",
ISNUMBER(SEARCH("rn""&gt;United Arab Emirates",S3646)),"United Arab Emirates",
ISNUMBER(SEARCH("rn""&gt;Republic of Ireland",S3646)),"Ireland",
ISNUMBER(SEARCH("rn""&gt;Bosnia and Herzegovina",S3646)),"Bosnia and Herzegovina",
ISNUMBER(SEARCH("rn""&gt;Trinidad and Tobago",S3646)),"Trinidad and Tobago",
ISNUMBER(SEARCH("rn""&gt;Serbia and Montenegro",S3646)),"Serbia and Montenegro",
ISNUMBER(SEARCH(_xlfn.UNICHAR(65533),S3646)),"Côte d'Ivoire",
TRUE,""
)</f>
        <v/>
      </c>
      <c r="W3646" s="40" t="str">
        <f t="shared" si="243"/>
        <v>Peru</v>
      </c>
    </row>
    <row r="3647" spans="19:23">
      <c r="S3647" s="40" t="str">
        <v>Romania</v>
      </c>
      <c r="T3647" s="40" t="str">
        <f t="shared" si="241"/>
        <v>OK</v>
      </c>
      <c r="U3647" s="40" t="str">
        <f t="shared" si="242"/>
        <v>-</v>
      </c>
      <c r="V3647" s="40" t="str" cm="1">
        <f t="array" ref="V3647">_xlfn.IFS(
ISNUMBER(SEARCH("USA",S3647)),"United States",
ISNUMBER(SEARCH("Republic of Ireland",S3647)),"Ireland",
ISNUMBER(SEARCH("Republic of Korea",S3647)),"South Korea",
ISNUMBER(SEARCH("Cape Verde",S3647)),"Cabo Verde",
ISNUMBER(SEARCH("Czechia",S3647)),"Czech Republic",
ISNUMBER(SEARCH("Türkiye",S3647)),"Turkey",
ISNUMBER(SEARCH("Ivory Coast",S3647)),"Côte d'Ivoire",
ISNUMBER(SEARCH("Korea Republic",S3647)),"South Korea",
ISNUMBER(SEARCH("Germany FR",S3647)),"FR Germany",
ISNUMBER(SEARCH("West Germany",S3647)),"FR Germany",
ISNUMBER(SEARCH("Germany DR",S3647)),"DR Germany",
ISNUMBER(SEARCH("Korea DPR",S3647)),"North Korea",
ISNUMBER(SEARCH("China PR",S3647)),"China",
ISNUMBER(SEARCH("IR Iran",S3647)),"Iran",
ISNUMBER(SEARCH("Congo DR",S3647)),"Democratic Republic of the Congo",
ISNUMBER(SEARCH("DR Congo",S3647)),"Democratic Republic of the Congo",
ISNUMBER(SEARCH("German DR",S3647)),"DR Germany",
ISNUMBER(SEARCH("rn""&gt;United Arab Emirates",S3647)),"United Arab Emirates",
ISNUMBER(SEARCH("rn""&gt;Republic of Ireland",S3647)),"Ireland",
ISNUMBER(SEARCH("rn""&gt;Bosnia and Herzegovina",S3647)),"Bosnia and Herzegovina",
ISNUMBER(SEARCH("rn""&gt;Trinidad and Tobago",S3647)),"Trinidad and Tobago",
ISNUMBER(SEARCH("rn""&gt;Serbia and Montenegro",S3647)),"Serbia and Montenegro",
ISNUMBER(SEARCH(_xlfn.UNICHAR(65533),S3647)),"Côte d'Ivoire",
TRUE,""
)</f>
        <v/>
      </c>
      <c r="W3647" s="40" t="str">
        <f t="shared" si="243"/>
        <v>Romania</v>
      </c>
    </row>
    <row r="3648" spans="19:23">
      <c r="S3648" s="40" t="str">
        <v>El Salvador</v>
      </c>
      <c r="T3648" s="40" t="str">
        <f t="shared" si="241"/>
        <v>OK</v>
      </c>
      <c r="U3648" s="40" t="str">
        <f t="shared" si="242"/>
        <v>-</v>
      </c>
      <c r="V3648" s="40" t="str" cm="1">
        <f t="array" ref="V3648">_xlfn.IFS(
ISNUMBER(SEARCH("USA",S3648)),"United States",
ISNUMBER(SEARCH("Republic of Ireland",S3648)),"Ireland",
ISNUMBER(SEARCH("Republic of Korea",S3648)),"South Korea",
ISNUMBER(SEARCH("Cape Verde",S3648)),"Cabo Verde",
ISNUMBER(SEARCH("Czechia",S3648)),"Czech Republic",
ISNUMBER(SEARCH("Türkiye",S3648)),"Turkey",
ISNUMBER(SEARCH("Ivory Coast",S3648)),"Côte d'Ivoire",
ISNUMBER(SEARCH("Korea Republic",S3648)),"South Korea",
ISNUMBER(SEARCH("Germany FR",S3648)),"FR Germany",
ISNUMBER(SEARCH("West Germany",S3648)),"FR Germany",
ISNUMBER(SEARCH("Germany DR",S3648)),"DR Germany",
ISNUMBER(SEARCH("Korea DPR",S3648)),"North Korea",
ISNUMBER(SEARCH("China PR",S3648)),"China",
ISNUMBER(SEARCH("IR Iran",S3648)),"Iran",
ISNUMBER(SEARCH("Congo DR",S3648)),"Democratic Republic of the Congo",
ISNUMBER(SEARCH("DR Congo",S3648)),"Democratic Republic of the Congo",
ISNUMBER(SEARCH("German DR",S3648)),"DR Germany",
ISNUMBER(SEARCH("rn""&gt;United Arab Emirates",S3648)),"United Arab Emirates",
ISNUMBER(SEARCH("rn""&gt;Republic of Ireland",S3648)),"Ireland",
ISNUMBER(SEARCH("rn""&gt;Bosnia and Herzegovina",S3648)),"Bosnia and Herzegovina",
ISNUMBER(SEARCH("rn""&gt;Trinidad and Tobago",S3648)),"Trinidad and Tobago",
ISNUMBER(SEARCH("rn""&gt;Serbia and Montenegro",S3648)),"Serbia and Montenegro",
ISNUMBER(SEARCH(_xlfn.UNICHAR(65533),S3648)),"Côte d'Ivoire",
TRUE,""
)</f>
        <v/>
      </c>
      <c r="W3648" s="40" t="str">
        <f t="shared" si="243"/>
        <v>El Salvador</v>
      </c>
    </row>
    <row r="3649" spans="19:23">
      <c r="S3649" s="40" t="str">
        <v>Israel</v>
      </c>
      <c r="T3649" s="40" t="str">
        <f t="shared" si="241"/>
        <v>OK</v>
      </c>
      <c r="U3649" s="40" t="str">
        <f t="shared" si="242"/>
        <v>-</v>
      </c>
      <c r="V3649" s="40" t="str" cm="1">
        <f t="array" ref="V3649">_xlfn.IFS(
ISNUMBER(SEARCH("USA",S3649)),"United States",
ISNUMBER(SEARCH("Republic of Ireland",S3649)),"Ireland",
ISNUMBER(SEARCH("Republic of Korea",S3649)),"South Korea",
ISNUMBER(SEARCH("Cape Verde",S3649)),"Cabo Verde",
ISNUMBER(SEARCH("Czechia",S3649)),"Czech Republic",
ISNUMBER(SEARCH("Türkiye",S3649)),"Turkey",
ISNUMBER(SEARCH("Ivory Coast",S3649)),"Côte d'Ivoire",
ISNUMBER(SEARCH("Korea Republic",S3649)),"South Korea",
ISNUMBER(SEARCH("Germany FR",S3649)),"FR Germany",
ISNUMBER(SEARCH("West Germany",S3649)),"FR Germany",
ISNUMBER(SEARCH("Germany DR",S3649)),"DR Germany",
ISNUMBER(SEARCH("Korea DPR",S3649)),"North Korea",
ISNUMBER(SEARCH("China PR",S3649)),"China",
ISNUMBER(SEARCH("IR Iran",S3649)),"Iran",
ISNUMBER(SEARCH("Congo DR",S3649)),"Democratic Republic of the Congo",
ISNUMBER(SEARCH("DR Congo",S3649)),"Democratic Republic of the Congo",
ISNUMBER(SEARCH("German DR",S3649)),"DR Germany",
ISNUMBER(SEARCH("rn""&gt;United Arab Emirates",S3649)),"United Arab Emirates",
ISNUMBER(SEARCH("rn""&gt;Republic of Ireland",S3649)),"Ireland",
ISNUMBER(SEARCH("rn""&gt;Bosnia and Herzegovina",S3649)),"Bosnia and Herzegovina",
ISNUMBER(SEARCH("rn""&gt;Trinidad and Tobago",S3649)),"Trinidad and Tobago",
ISNUMBER(SEARCH("rn""&gt;Serbia and Montenegro",S3649)),"Serbia and Montenegro",
ISNUMBER(SEARCH(_xlfn.UNICHAR(65533),S3649)),"Côte d'Ivoire",
TRUE,""
)</f>
        <v/>
      </c>
      <c r="W3649" s="40" t="str">
        <f t="shared" si="243"/>
        <v>Israel</v>
      </c>
    </row>
    <row r="3650" spans="19:23">
      <c r="S3650" s="40" t="str">
        <v>Morocco</v>
      </c>
      <c r="T3650" s="40" t="str">
        <f t="shared" si="241"/>
        <v>OK</v>
      </c>
      <c r="U3650" s="40" t="str">
        <f t="shared" si="242"/>
        <v>-</v>
      </c>
      <c r="V3650" s="40" t="str" cm="1">
        <f t="array" ref="V3650">_xlfn.IFS(
ISNUMBER(SEARCH("USA",S3650)),"United States",
ISNUMBER(SEARCH("Republic of Ireland",S3650)),"Ireland",
ISNUMBER(SEARCH("Republic of Korea",S3650)),"South Korea",
ISNUMBER(SEARCH("Cape Verde",S3650)),"Cabo Verde",
ISNUMBER(SEARCH("Czechia",S3650)),"Czech Republic",
ISNUMBER(SEARCH("Türkiye",S3650)),"Turkey",
ISNUMBER(SEARCH("Ivory Coast",S3650)),"Côte d'Ivoire",
ISNUMBER(SEARCH("Korea Republic",S3650)),"South Korea",
ISNUMBER(SEARCH("Germany FR",S3650)),"FR Germany",
ISNUMBER(SEARCH("West Germany",S3650)),"FR Germany",
ISNUMBER(SEARCH("Germany DR",S3650)),"DR Germany",
ISNUMBER(SEARCH("Korea DPR",S3650)),"North Korea",
ISNUMBER(SEARCH("China PR",S3650)),"China",
ISNUMBER(SEARCH("IR Iran",S3650)),"Iran",
ISNUMBER(SEARCH("Congo DR",S3650)),"Democratic Republic of the Congo",
ISNUMBER(SEARCH("DR Congo",S3650)),"Democratic Republic of the Congo",
ISNUMBER(SEARCH("German DR",S3650)),"DR Germany",
ISNUMBER(SEARCH("rn""&gt;United Arab Emirates",S3650)),"United Arab Emirates",
ISNUMBER(SEARCH("rn""&gt;Republic of Ireland",S3650)),"Ireland",
ISNUMBER(SEARCH("rn""&gt;Bosnia and Herzegovina",S3650)),"Bosnia and Herzegovina",
ISNUMBER(SEARCH("rn""&gt;Trinidad and Tobago",S3650)),"Trinidad and Tobago",
ISNUMBER(SEARCH("rn""&gt;Serbia and Montenegro",S3650)),"Serbia and Montenegro",
ISNUMBER(SEARCH(_xlfn.UNICHAR(65533),S3650)),"Côte d'Ivoire",
TRUE,""
)</f>
        <v/>
      </c>
      <c r="W3650" s="40" t="str">
        <f t="shared" si="243"/>
        <v>Morocco</v>
      </c>
    </row>
    <row r="3651" spans="19:23">
      <c r="S3651" s="40" t="str">
        <v>Czechoslovakia</v>
      </c>
      <c r="T3651" s="40" t="str">
        <f t="shared" ref="T3651:T3714" si="244">IF(COUNTIF(R$13:R$250,S3651)=1,"OK","ERREUR")</f>
        <v>ERREUR</v>
      </c>
      <c r="U3651" s="40" t="str">
        <f t="shared" si="242"/>
        <v>AUCUNE</v>
      </c>
      <c r="V3651" s="40" t="str" cm="1">
        <f t="array" ref="V3651">_xlfn.IFS(
ISNUMBER(SEARCH("USA",S3651)),"United States",
ISNUMBER(SEARCH("Republic of Ireland",S3651)),"Ireland",
ISNUMBER(SEARCH("Republic of Korea",S3651)),"South Korea",
ISNUMBER(SEARCH("Cape Verde",S3651)),"Cabo Verde",
ISNUMBER(SEARCH("Czechia",S3651)),"Czech Republic",
ISNUMBER(SEARCH("Türkiye",S3651)),"Turkey",
ISNUMBER(SEARCH("Ivory Coast",S3651)),"Côte d'Ivoire",
ISNUMBER(SEARCH("Korea Republic",S3651)),"South Korea",
ISNUMBER(SEARCH("Germany FR",S3651)),"FR Germany",
ISNUMBER(SEARCH("West Germany",S3651)),"FR Germany",
ISNUMBER(SEARCH("Germany DR",S3651)),"DR Germany",
ISNUMBER(SEARCH("Korea DPR",S3651)),"North Korea",
ISNUMBER(SEARCH("China PR",S3651)),"China",
ISNUMBER(SEARCH("IR Iran",S3651)),"Iran",
ISNUMBER(SEARCH("Congo DR",S3651)),"Democratic Republic of the Congo",
ISNUMBER(SEARCH("DR Congo",S3651)),"Democratic Republic of the Congo",
ISNUMBER(SEARCH("German DR",S3651)),"DR Germany",
ISNUMBER(SEARCH("rn""&gt;United Arab Emirates",S3651)),"United Arab Emirates",
ISNUMBER(SEARCH("rn""&gt;Republic of Ireland",S3651)),"Ireland",
ISNUMBER(SEARCH("rn""&gt;Bosnia and Herzegovina",S3651)),"Bosnia and Herzegovina",
ISNUMBER(SEARCH("rn""&gt;Trinidad and Tobago",S3651)),"Trinidad and Tobago",
ISNUMBER(SEARCH("rn""&gt;Serbia and Montenegro",S3651)),"Serbia and Montenegro",
ISNUMBER(SEARCH(_xlfn.UNICHAR(65533),S3651)),"Côte d'Ivoire",
TRUE,""
)</f>
        <v/>
      </c>
      <c r="W3651" s="40" t="str">
        <f t="shared" si="243"/>
        <v>Czechoslovakia</v>
      </c>
    </row>
    <row r="3652" spans="19:23">
      <c r="S3652" s="40" t="str">
        <v>Belgium</v>
      </c>
      <c r="T3652" s="40" t="str">
        <f t="shared" si="244"/>
        <v>OK</v>
      </c>
      <c r="U3652" s="40" t="str">
        <f t="shared" ref="U3652:U3715" si="245">IF(OR(S3652="Scotland",S3652="England",S3652="Wales",S3652="Yugoslavia",S3652="Czechoslovakia",S3652="Northern Ireland",S3652="Soviet Union",S3652="Zaire",S3652="Dutch East Indies"),"AUCUNE",IF(OR(S3652="Cape Verde",S3652="USA",S3652="DR Congo",S3652="Republic of Korea",S3652="Germany FR",S3652="Germany DR",S3652="Czechia",S3652="Ivory Coast",S3652="Korea DPR",S3652="China PR",S3652="IR Iran",S3652="Türkiye",S3652="Congo DR",S3652="German DR",S3652="West Germany",S3652="Republic of Ireland",ISNUMBER(SEARCH(_xlfn.UNICHAR(65533),S3652)),S3652="Korea Republic",ISNUMBER(SEARCH("rn""&gt;United Arab Emirates",S3652)),ISNUMBER(SEARCH("rn""&gt;Republic of Ireland",S3652)),ISNUMBER(SEARCH("rn""&gt;Bosnia and Herzegovina",S3652)),ISNUMBER(SEARCH("rn""&gt;Trinidad and Tobago",S3652)),ISNUMBER(SEARCH("rn""&gt;Serbia and Montenegro",S3652)),ISNUMBER(SEARCH(_xlfn.UNICHAR(65533),S3652))),"RENOMMER","-"))</f>
        <v>-</v>
      </c>
      <c r="V3652" s="40" t="str" cm="1">
        <f t="array" ref="V3652">_xlfn.IFS(
ISNUMBER(SEARCH("USA",S3652)),"United States",
ISNUMBER(SEARCH("Republic of Ireland",S3652)),"Ireland",
ISNUMBER(SEARCH("Republic of Korea",S3652)),"South Korea",
ISNUMBER(SEARCH("Cape Verde",S3652)),"Cabo Verde",
ISNUMBER(SEARCH("Czechia",S3652)),"Czech Republic",
ISNUMBER(SEARCH("Türkiye",S3652)),"Turkey",
ISNUMBER(SEARCH("Ivory Coast",S3652)),"Côte d'Ivoire",
ISNUMBER(SEARCH("Korea Republic",S3652)),"South Korea",
ISNUMBER(SEARCH("Germany FR",S3652)),"FR Germany",
ISNUMBER(SEARCH("West Germany",S3652)),"FR Germany",
ISNUMBER(SEARCH("Germany DR",S3652)),"DR Germany",
ISNUMBER(SEARCH("Korea DPR",S3652)),"North Korea",
ISNUMBER(SEARCH("China PR",S3652)),"China",
ISNUMBER(SEARCH("IR Iran",S3652)),"Iran",
ISNUMBER(SEARCH("Congo DR",S3652)),"Democratic Republic of the Congo",
ISNUMBER(SEARCH("DR Congo",S3652)),"Democratic Republic of the Congo",
ISNUMBER(SEARCH("German DR",S3652)),"DR Germany",
ISNUMBER(SEARCH("rn""&gt;United Arab Emirates",S3652)),"United Arab Emirates",
ISNUMBER(SEARCH("rn""&gt;Republic of Ireland",S3652)),"Ireland",
ISNUMBER(SEARCH("rn""&gt;Bosnia and Herzegovina",S3652)),"Bosnia and Herzegovina",
ISNUMBER(SEARCH("rn""&gt;Trinidad and Tobago",S3652)),"Trinidad and Tobago",
ISNUMBER(SEARCH("rn""&gt;Serbia and Montenegro",S3652)),"Serbia and Montenegro",
ISNUMBER(SEARCH(_xlfn.UNICHAR(65533),S3652)),"Côte d'Ivoire",
TRUE,""
)</f>
        <v/>
      </c>
      <c r="W3652" s="40" t="str">
        <f t="shared" ref="W3652:W3715" si="246">IF(V3652="",S3652,V3652)</f>
        <v>Belgium</v>
      </c>
    </row>
    <row r="3653" spans="19:23">
      <c r="S3653" s="40" t="str">
        <v>Mexico</v>
      </c>
      <c r="T3653" s="40" t="str">
        <f t="shared" si="244"/>
        <v>OK</v>
      </c>
      <c r="U3653" s="40" t="str">
        <f t="shared" si="245"/>
        <v>-</v>
      </c>
      <c r="V3653" s="40" t="str" cm="1">
        <f t="array" ref="V3653">_xlfn.IFS(
ISNUMBER(SEARCH("USA",S3653)),"United States",
ISNUMBER(SEARCH("Republic of Ireland",S3653)),"Ireland",
ISNUMBER(SEARCH("Republic of Korea",S3653)),"South Korea",
ISNUMBER(SEARCH("Cape Verde",S3653)),"Cabo Verde",
ISNUMBER(SEARCH("Czechia",S3653)),"Czech Republic",
ISNUMBER(SEARCH("Türkiye",S3653)),"Turkey",
ISNUMBER(SEARCH("Ivory Coast",S3653)),"Côte d'Ivoire",
ISNUMBER(SEARCH("Korea Republic",S3653)),"South Korea",
ISNUMBER(SEARCH("Germany FR",S3653)),"FR Germany",
ISNUMBER(SEARCH("West Germany",S3653)),"FR Germany",
ISNUMBER(SEARCH("Germany DR",S3653)),"DR Germany",
ISNUMBER(SEARCH("Korea DPR",S3653)),"North Korea",
ISNUMBER(SEARCH("China PR",S3653)),"China",
ISNUMBER(SEARCH("IR Iran",S3653)),"Iran",
ISNUMBER(SEARCH("Congo DR",S3653)),"Democratic Republic of the Congo",
ISNUMBER(SEARCH("DR Congo",S3653)),"Democratic Republic of the Congo",
ISNUMBER(SEARCH("German DR",S3653)),"DR Germany",
ISNUMBER(SEARCH("rn""&gt;United Arab Emirates",S3653)),"United Arab Emirates",
ISNUMBER(SEARCH("rn""&gt;Republic of Ireland",S3653)),"Ireland",
ISNUMBER(SEARCH("rn""&gt;Bosnia and Herzegovina",S3653)),"Bosnia and Herzegovina",
ISNUMBER(SEARCH("rn""&gt;Trinidad and Tobago",S3653)),"Trinidad and Tobago",
ISNUMBER(SEARCH("rn""&gt;Serbia and Montenegro",S3653)),"Serbia and Montenegro",
ISNUMBER(SEARCH(_xlfn.UNICHAR(65533),S3653)),"Côte d'Ivoire",
TRUE,""
)</f>
        <v/>
      </c>
      <c r="W3653" s="40" t="str">
        <f t="shared" si="246"/>
        <v>Mexico</v>
      </c>
    </row>
    <row r="3654" spans="19:23">
      <c r="S3654" s="40" t="str">
        <v>England</v>
      </c>
      <c r="T3654" s="40" t="str">
        <f t="shared" si="244"/>
        <v>ERREUR</v>
      </c>
      <c r="U3654" s="40" t="str">
        <f t="shared" si="245"/>
        <v>AUCUNE</v>
      </c>
      <c r="V3654" s="40" t="str" cm="1">
        <f t="array" ref="V3654">_xlfn.IFS(
ISNUMBER(SEARCH("USA",S3654)),"United States",
ISNUMBER(SEARCH("Republic of Ireland",S3654)),"Ireland",
ISNUMBER(SEARCH("Republic of Korea",S3654)),"South Korea",
ISNUMBER(SEARCH("Cape Verde",S3654)),"Cabo Verde",
ISNUMBER(SEARCH("Czechia",S3654)),"Czech Republic",
ISNUMBER(SEARCH("Türkiye",S3654)),"Turkey",
ISNUMBER(SEARCH("Ivory Coast",S3654)),"Côte d'Ivoire",
ISNUMBER(SEARCH("Korea Republic",S3654)),"South Korea",
ISNUMBER(SEARCH("Germany FR",S3654)),"FR Germany",
ISNUMBER(SEARCH("West Germany",S3654)),"FR Germany",
ISNUMBER(SEARCH("Germany DR",S3654)),"DR Germany",
ISNUMBER(SEARCH("Korea DPR",S3654)),"North Korea",
ISNUMBER(SEARCH("China PR",S3654)),"China",
ISNUMBER(SEARCH("IR Iran",S3654)),"Iran",
ISNUMBER(SEARCH("Congo DR",S3654)),"Democratic Republic of the Congo",
ISNUMBER(SEARCH("DR Congo",S3654)),"Democratic Republic of the Congo",
ISNUMBER(SEARCH("German DR",S3654)),"DR Germany",
ISNUMBER(SEARCH("rn""&gt;United Arab Emirates",S3654)),"United Arab Emirates",
ISNUMBER(SEARCH("rn""&gt;Republic of Ireland",S3654)),"Ireland",
ISNUMBER(SEARCH("rn""&gt;Bosnia and Herzegovina",S3654)),"Bosnia and Herzegovina",
ISNUMBER(SEARCH("rn""&gt;Trinidad and Tobago",S3654)),"Trinidad and Tobago",
ISNUMBER(SEARCH("rn""&gt;Serbia and Montenegro",S3654)),"Serbia and Montenegro",
ISNUMBER(SEARCH(_xlfn.UNICHAR(65533),S3654)),"Côte d'Ivoire",
TRUE,""
)</f>
        <v/>
      </c>
      <c r="W3654" s="40" t="str">
        <f t="shared" si="246"/>
        <v>England</v>
      </c>
    </row>
    <row r="3655" spans="19:23">
      <c r="S3655" s="40" t="str">
        <v>Peru</v>
      </c>
      <c r="T3655" s="40" t="str">
        <f t="shared" si="244"/>
        <v>OK</v>
      </c>
      <c r="U3655" s="40" t="str">
        <f t="shared" si="245"/>
        <v>-</v>
      </c>
      <c r="V3655" s="40" t="str" cm="1">
        <f t="array" ref="V3655">_xlfn.IFS(
ISNUMBER(SEARCH("USA",S3655)),"United States",
ISNUMBER(SEARCH("Republic of Ireland",S3655)),"Ireland",
ISNUMBER(SEARCH("Republic of Korea",S3655)),"South Korea",
ISNUMBER(SEARCH("Cape Verde",S3655)),"Cabo Verde",
ISNUMBER(SEARCH("Czechia",S3655)),"Czech Republic",
ISNUMBER(SEARCH("Türkiye",S3655)),"Turkey",
ISNUMBER(SEARCH("Ivory Coast",S3655)),"Côte d'Ivoire",
ISNUMBER(SEARCH("Korea Republic",S3655)),"South Korea",
ISNUMBER(SEARCH("Germany FR",S3655)),"FR Germany",
ISNUMBER(SEARCH("West Germany",S3655)),"FR Germany",
ISNUMBER(SEARCH("Germany DR",S3655)),"DR Germany",
ISNUMBER(SEARCH("Korea DPR",S3655)),"North Korea",
ISNUMBER(SEARCH("China PR",S3655)),"China",
ISNUMBER(SEARCH("IR Iran",S3655)),"Iran",
ISNUMBER(SEARCH("Congo DR",S3655)),"Democratic Republic of the Congo",
ISNUMBER(SEARCH("DR Congo",S3655)),"Democratic Republic of the Congo",
ISNUMBER(SEARCH("German DR",S3655)),"DR Germany",
ISNUMBER(SEARCH("rn""&gt;United Arab Emirates",S3655)),"United Arab Emirates",
ISNUMBER(SEARCH("rn""&gt;Republic of Ireland",S3655)),"Ireland",
ISNUMBER(SEARCH("rn""&gt;Bosnia and Herzegovina",S3655)),"Bosnia and Herzegovina",
ISNUMBER(SEARCH("rn""&gt;Trinidad and Tobago",S3655)),"Trinidad and Tobago",
ISNUMBER(SEARCH("rn""&gt;Serbia and Montenegro",S3655)),"Serbia and Montenegro",
ISNUMBER(SEARCH(_xlfn.UNICHAR(65533),S3655)),"Côte d'Ivoire",
TRUE,""
)</f>
        <v/>
      </c>
      <c r="W3655" s="40" t="str">
        <f t="shared" si="246"/>
        <v>Peru</v>
      </c>
    </row>
    <row r="3656" spans="19:23">
      <c r="S3656" s="40" t="str">
        <v>Soviet Union</v>
      </c>
      <c r="T3656" s="40" t="str">
        <f t="shared" si="244"/>
        <v>ERREUR</v>
      </c>
      <c r="U3656" s="40" t="str">
        <f t="shared" si="245"/>
        <v>AUCUNE</v>
      </c>
      <c r="V3656" s="40" t="str" cm="1">
        <f t="array" ref="V3656">_xlfn.IFS(
ISNUMBER(SEARCH("USA",S3656)),"United States",
ISNUMBER(SEARCH("Republic of Ireland",S3656)),"Ireland",
ISNUMBER(SEARCH("Republic of Korea",S3656)),"South Korea",
ISNUMBER(SEARCH("Cape Verde",S3656)),"Cabo Verde",
ISNUMBER(SEARCH("Czechia",S3656)),"Czech Republic",
ISNUMBER(SEARCH("Türkiye",S3656)),"Turkey",
ISNUMBER(SEARCH("Ivory Coast",S3656)),"Côte d'Ivoire",
ISNUMBER(SEARCH("Korea Republic",S3656)),"South Korea",
ISNUMBER(SEARCH("Germany FR",S3656)),"FR Germany",
ISNUMBER(SEARCH("West Germany",S3656)),"FR Germany",
ISNUMBER(SEARCH("Germany DR",S3656)),"DR Germany",
ISNUMBER(SEARCH("Korea DPR",S3656)),"North Korea",
ISNUMBER(SEARCH("China PR",S3656)),"China",
ISNUMBER(SEARCH("IR Iran",S3656)),"Iran",
ISNUMBER(SEARCH("Congo DR",S3656)),"Democratic Republic of the Congo",
ISNUMBER(SEARCH("DR Congo",S3656)),"Democratic Republic of the Congo",
ISNUMBER(SEARCH("German DR",S3656)),"DR Germany",
ISNUMBER(SEARCH("rn""&gt;United Arab Emirates",S3656)),"United Arab Emirates",
ISNUMBER(SEARCH("rn""&gt;Republic of Ireland",S3656)),"Ireland",
ISNUMBER(SEARCH("rn""&gt;Bosnia and Herzegovina",S3656)),"Bosnia and Herzegovina",
ISNUMBER(SEARCH("rn""&gt;Trinidad and Tobago",S3656)),"Trinidad and Tobago",
ISNUMBER(SEARCH("rn""&gt;Serbia and Montenegro",S3656)),"Serbia and Montenegro",
ISNUMBER(SEARCH(_xlfn.UNICHAR(65533),S3656)),"Côte d'Ivoire",
TRUE,""
)</f>
        <v/>
      </c>
      <c r="W3656" s="40" t="str">
        <f t="shared" si="246"/>
        <v>Soviet Union</v>
      </c>
    </row>
    <row r="3657" spans="19:23">
      <c r="S3657" s="40" t="str">
        <v>Uruguay</v>
      </c>
      <c r="T3657" s="40" t="str">
        <f t="shared" si="244"/>
        <v>OK</v>
      </c>
      <c r="U3657" s="40" t="str">
        <f t="shared" si="245"/>
        <v>-</v>
      </c>
      <c r="V3657" s="40" t="str" cm="1">
        <f t="array" ref="V3657">_xlfn.IFS(
ISNUMBER(SEARCH("USA",S3657)),"United States",
ISNUMBER(SEARCH("Republic of Ireland",S3657)),"Ireland",
ISNUMBER(SEARCH("Republic of Korea",S3657)),"South Korea",
ISNUMBER(SEARCH("Cape Verde",S3657)),"Cabo Verde",
ISNUMBER(SEARCH("Czechia",S3657)),"Czech Republic",
ISNUMBER(SEARCH("Türkiye",S3657)),"Turkey",
ISNUMBER(SEARCH("Ivory Coast",S3657)),"Côte d'Ivoire",
ISNUMBER(SEARCH("Korea Republic",S3657)),"South Korea",
ISNUMBER(SEARCH("Germany FR",S3657)),"FR Germany",
ISNUMBER(SEARCH("West Germany",S3657)),"FR Germany",
ISNUMBER(SEARCH("Germany DR",S3657)),"DR Germany",
ISNUMBER(SEARCH("Korea DPR",S3657)),"North Korea",
ISNUMBER(SEARCH("China PR",S3657)),"China",
ISNUMBER(SEARCH("IR Iran",S3657)),"Iran",
ISNUMBER(SEARCH("Congo DR",S3657)),"Democratic Republic of the Congo",
ISNUMBER(SEARCH("DR Congo",S3657)),"Democratic Republic of the Congo",
ISNUMBER(SEARCH("German DR",S3657)),"DR Germany",
ISNUMBER(SEARCH("rn""&gt;United Arab Emirates",S3657)),"United Arab Emirates",
ISNUMBER(SEARCH("rn""&gt;Republic of Ireland",S3657)),"Ireland",
ISNUMBER(SEARCH("rn""&gt;Bosnia and Herzegovina",S3657)),"Bosnia and Herzegovina",
ISNUMBER(SEARCH("rn""&gt;Trinidad and Tobago",S3657)),"Trinidad and Tobago",
ISNUMBER(SEARCH("rn""&gt;Serbia and Montenegro",S3657)),"Serbia and Montenegro",
ISNUMBER(SEARCH(_xlfn.UNICHAR(65533),S3657)),"Côte d'Ivoire",
TRUE,""
)</f>
        <v/>
      </c>
      <c r="W3657" s="40" t="str">
        <f t="shared" si="246"/>
        <v>Uruguay</v>
      </c>
    </row>
    <row r="3658" spans="19:23">
      <c r="S3658" s="40" t="str">
        <v>Germany FR</v>
      </c>
      <c r="T3658" s="40" t="str">
        <f t="shared" si="244"/>
        <v>ERREUR</v>
      </c>
      <c r="U3658" s="40" t="str">
        <f t="shared" si="245"/>
        <v>RENOMMER</v>
      </c>
      <c r="V3658" s="40" t="str" cm="1">
        <f t="array" ref="V3658">_xlfn.IFS(
ISNUMBER(SEARCH("USA",S3658)),"United States",
ISNUMBER(SEARCH("Republic of Ireland",S3658)),"Ireland",
ISNUMBER(SEARCH("Republic of Korea",S3658)),"South Korea",
ISNUMBER(SEARCH("Cape Verde",S3658)),"Cabo Verde",
ISNUMBER(SEARCH("Czechia",S3658)),"Czech Republic",
ISNUMBER(SEARCH("Türkiye",S3658)),"Turkey",
ISNUMBER(SEARCH("Ivory Coast",S3658)),"Côte d'Ivoire",
ISNUMBER(SEARCH("Korea Republic",S3658)),"South Korea",
ISNUMBER(SEARCH("Germany FR",S3658)),"FR Germany",
ISNUMBER(SEARCH("West Germany",S3658)),"FR Germany",
ISNUMBER(SEARCH("Germany DR",S3658)),"DR Germany",
ISNUMBER(SEARCH("Korea DPR",S3658)),"North Korea",
ISNUMBER(SEARCH("China PR",S3658)),"China",
ISNUMBER(SEARCH("IR Iran",S3658)),"Iran",
ISNUMBER(SEARCH("Congo DR",S3658)),"Democratic Republic of the Congo",
ISNUMBER(SEARCH("DR Congo",S3658)),"Democratic Republic of the Congo",
ISNUMBER(SEARCH("German DR",S3658)),"DR Germany",
ISNUMBER(SEARCH("rn""&gt;United Arab Emirates",S3658)),"United Arab Emirates",
ISNUMBER(SEARCH("rn""&gt;Republic of Ireland",S3658)),"Ireland",
ISNUMBER(SEARCH("rn""&gt;Bosnia and Herzegovina",S3658)),"Bosnia and Herzegovina",
ISNUMBER(SEARCH("rn""&gt;Trinidad and Tobago",S3658)),"Trinidad and Tobago",
ISNUMBER(SEARCH("rn""&gt;Serbia and Montenegro",S3658)),"Serbia and Montenegro",
ISNUMBER(SEARCH(_xlfn.UNICHAR(65533),S3658)),"Côte d'Ivoire",
TRUE,""
)</f>
        <v>FR Germany</v>
      </c>
      <c r="W3658" s="40" t="str">
        <f t="shared" si="246"/>
        <v>FR Germany</v>
      </c>
    </row>
    <row r="3659" spans="19:23">
      <c r="S3659" s="40" t="str">
        <v>Uruguay</v>
      </c>
      <c r="T3659" s="40" t="str">
        <f t="shared" si="244"/>
        <v>OK</v>
      </c>
      <c r="U3659" s="40" t="str">
        <f t="shared" si="245"/>
        <v>-</v>
      </c>
      <c r="V3659" s="40" t="str" cm="1">
        <f t="array" ref="V3659">_xlfn.IFS(
ISNUMBER(SEARCH("USA",S3659)),"United States",
ISNUMBER(SEARCH("Republic of Ireland",S3659)),"Ireland",
ISNUMBER(SEARCH("Republic of Korea",S3659)),"South Korea",
ISNUMBER(SEARCH("Cape Verde",S3659)),"Cabo Verde",
ISNUMBER(SEARCH("Czechia",S3659)),"Czech Republic",
ISNUMBER(SEARCH("Türkiye",S3659)),"Turkey",
ISNUMBER(SEARCH("Ivory Coast",S3659)),"Côte d'Ivoire",
ISNUMBER(SEARCH("Korea Republic",S3659)),"South Korea",
ISNUMBER(SEARCH("Germany FR",S3659)),"FR Germany",
ISNUMBER(SEARCH("West Germany",S3659)),"FR Germany",
ISNUMBER(SEARCH("Germany DR",S3659)),"DR Germany",
ISNUMBER(SEARCH("Korea DPR",S3659)),"North Korea",
ISNUMBER(SEARCH("China PR",S3659)),"China",
ISNUMBER(SEARCH("IR Iran",S3659)),"Iran",
ISNUMBER(SEARCH("Congo DR",S3659)),"Democratic Republic of the Congo",
ISNUMBER(SEARCH("DR Congo",S3659)),"Democratic Republic of the Congo",
ISNUMBER(SEARCH("German DR",S3659)),"DR Germany",
ISNUMBER(SEARCH("rn""&gt;United Arab Emirates",S3659)),"United Arab Emirates",
ISNUMBER(SEARCH("rn""&gt;Republic of Ireland",S3659)),"Ireland",
ISNUMBER(SEARCH("rn""&gt;Bosnia and Herzegovina",S3659)),"Bosnia and Herzegovina",
ISNUMBER(SEARCH("rn""&gt;Trinidad and Tobago",S3659)),"Trinidad and Tobago",
ISNUMBER(SEARCH("rn""&gt;Serbia and Montenegro",S3659)),"Serbia and Montenegro",
ISNUMBER(SEARCH(_xlfn.UNICHAR(65533),S3659)),"Côte d'Ivoire",
TRUE,""
)</f>
        <v/>
      </c>
      <c r="W3659" s="40" t="str">
        <f t="shared" si="246"/>
        <v>Uruguay</v>
      </c>
    </row>
    <row r="3660" spans="19:23">
      <c r="S3660" s="40" t="str">
        <v>Italy</v>
      </c>
      <c r="T3660" s="40" t="str">
        <f t="shared" si="244"/>
        <v>OK</v>
      </c>
      <c r="U3660" s="40" t="str">
        <f t="shared" si="245"/>
        <v>-</v>
      </c>
      <c r="V3660" s="40" t="str" cm="1">
        <f t="array" ref="V3660">_xlfn.IFS(
ISNUMBER(SEARCH("USA",S3660)),"United States",
ISNUMBER(SEARCH("Republic of Ireland",S3660)),"Ireland",
ISNUMBER(SEARCH("Republic of Korea",S3660)),"South Korea",
ISNUMBER(SEARCH("Cape Verde",S3660)),"Cabo Verde",
ISNUMBER(SEARCH("Czechia",S3660)),"Czech Republic",
ISNUMBER(SEARCH("Türkiye",S3660)),"Turkey",
ISNUMBER(SEARCH("Ivory Coast",S3660)),"Côte d'Ivoire",
ISNUMBER(SEARCH("Korea Republic",S3660)),"South Korea",
ISNUMBER(SEARCH("Germany FR",S3660)),"FR Germany",
ISNUMBER(SEARCH("West Germany",S3660)),"FR Germany",
ISNUMBER(SEARCH("Germany DR",S3660)),"DR Germany",
ISNUMBER(SEARCH("Korea DPR",S3660)),"North Korea",
ISNUMBER(SEARCH("China PR",S3660)),"China",
ISNUMBER(SEARCH("IR Iran",S3660)),"Iran",
ISNUMBER(SEARCH("Congo DR",S3660)),"Democratic Republic of the Congo",
ISNUMBER(SEARCH("DR Congo",S3660)),"Democratic Republic of the Congo",
ISNUMBER(SEARCH("German DR",S3660)),"DR Germany",
ISNUMBER(SEARCH("rn""&gt;United Arab Emirates",S3660)),"United Arab Emirates",
ISNUMBER(SEARCH("rn""&gt;Republic of Ireland",S3660)),"Ireland",
ISNUMBER(SEARCH("rn""&gt;Bosnia and Herzegovina",S3660)),"Bosnia and Herzegovina",
ISNUMBER(SEARCH("rn""&gt;Trinidad and Tobago",S3660)),"Trinidad and Tobago",
ISNUMBER(SEARCH("rn""&gt;Serbia and Montenegro",S3660)),"Serbia and Montenegro",
ISNUMBER(SEARCH(_xlfn.UNICHAR(65533),S3660)),"Côte d'Ivoire",
TRUE,""
)</f>
        <v/>
      </c>
      <c r="W3660" s="40" t="str">
        <f t="shared" si="246"/>
        <v>Italy</v>
      </c>
    </row>
    <row r="3661" spans="19:23">
      <c r="S3661" s="40" t="str">
        <v>Yugoslavia</v>
      </c>
      <c r="T3661" s="40" t="str">
        <f t="shared" si="244"/>
        <v>ERREUR</v>
      </c>
      <c r="U3661" s="40" t="str">
        <f t="shared" si="245"/>
        <v>AUCUNE</v>
      </c>
      <c r="V3661" s="40" t="str" cm="1">
        <f t="array" ref="V3661">_xlfn.IFS(
ISNUMBER(SEARCH("USA",S3661)),"United States",
ISNUMBER(SEARCH("Republic of Ireland",S3661)),"Ireland",
ISNUMBER(SEARCH("Republic of Korea",S3661)),"South Korea",
ISNUMBER(SEARCH("Cape Verde",S3661)),"Cabo Verde",
ISNUMBER(SEARCH("Czechia",S3661)),"Czech Republic",
ISNUMBER(SEARCH("Türkiye",S3661)),"Turkey",
ISNUMBER(SEARCH("Ivory Coast",S3661)),"Côte d'Ivoire",
ISNUMBER(SEARCH("Korea Republic",S3661)),"South Korea",
ISNUMBER(SEARCH("Germany FR",S3661)),"FR Germany",
ISNUMBER(SEARCH("West Germany",S3661)),"FR Germany",
ISNUMBER(SEARCH("Germany DR",S3661)),"DR Germany",
ISNUMBER(SEARCH("Korea DPR",S3661)),"North Korea",
ISNUMBER(SEARCH("China PR",S3661)),"China",
ISNUMBER(SEARCH("IR Iran",S3661)),"Iran",
ISNUMBER(SEARCH("Congo DR",S3661)),"Democratic Republic of the Congo",
ISNUMBER(SEARCH("DR Congo",S3661)),"Democratic Republic of the Congo",
ISNUMBER(SEARCH("German DR",S3661)),"DR Germany",
ISNUMBER(SEARCH("rn""&gt;United Arab Emirates",S3661)),"United Arab Emirates",
ISNUMBER(SEARCH("rn""&gt;Republic of Ireland",S3661)),"Ireland",
ISNUMBER(SEARCH("rn""&gt;Bosnia and Herzegovina",S3661)),"Bosnia and Herzegovina",
ISNUMBER(SEARCH("rn""&gt;Trinidad and Tobago",S3661)),"Trinidad and Tobago",
ISNUMBER(SEARCH("rn""&gt;Serbia and Montenegro",S3661)),"Serbia and Montenegro",
ISNUMBER(SEARCH(_xlfn.UNICHAR(65533),S3661)),"Côte d'Ivoire",
TRUE,""
)</f>
        <v/>
      </c>
      <c r="W3661" s="40" t="str">
        <f t="shared" si="246"/>
        <v>Yugoslavia</v>
      </c>
    </row>
    <row r="3662" spans="19:23">
      <c r="S3662" s="40" t="str">
        <v>Chile</v>
      </c>
      <c r="T3662" s="40" t="str">
        <f t="shared" si="244"/>
        <v>OK</v>
      </c>
      <c r="U3662" s="40" t="str">
        <f t="shared" si="245"/>
        <v>-</v>
      </c>
      <c r="V3662" s="40" t="str" cm="1">
        <f t="array" ref="V3662">_xlfn.IFS(
ISNUMBER(SEARCH("USA",S3662)),"United States",
ISNUMBER(SEARCH("Republic of Ireland",S3662)),"Ireland",
ISNUMBER(SEARCH("Republic of Korea",S3662)),"South Korea",
ISNUMBER(SEARCH("Cape Verde",S3662)),"Cabo Verde",
ISNUMBER(SEARCH("Czechia",S3662)),"Czech Republic",
ISNUMBER(SEARCH("Türkiye",S3662)),"Turkey",
ISNUMBER(SEARCH("Ivory Coast",S3662)),"Côte d'Ivoire",
ISNUMBER(SEARCH("Korea Republic",S3662)),"South Korea",
ISNUMBER(SEARCH("Germany FR",S3662)),"FR Germany",
ISNUMBER(SEARCH("West Germany",S3662)),"FR Germany",
ISNUMBER(SEARCH("Germany DR",S3662)),"DR Germany",
ISNUMBER(SEARCH("Korea DPR",S3662)),"North Korea",
ISNUMBER(SEARCH("China PR",S3662)),"China",
ISNUMBER(SEARCH("IR Iran",S3662)),"Iran",
ISNUMBER(SEARCH("Congo DR",S3662)),"Democratic Republic of the Congo",
ISNUMBER(SEARCH("DR Congo",S3662)),"Democratic Republic of the Congo",
ISNUMBER(SEARCH("German DR",S3662)),"DR Germany",
ISNUMBER(SEARCH("rn""&gt;United Arab Emirates",S3662)),"United Arab Emirates",
ISNUMBER(SEARCH("rn""&gt;Republic of Ireland",S3662)),"Ireland",
ISNUMBER(SEARCH("rn""&gt;Bosnia and Herzegovina",S3662)),"Bosnia and Herzegovina",
ISNUMBER(SEARCH("rn""&gt;Trinidad and Tobago",S3662)),"Trinidad and Tobago",
ISNUMBER(SEARCH("rn""&gt;Serbia and Montenegro",S3662)),"Serbia and Montenegro",
ISNUMBER(SEARCH(_xlfn.UNICHAR(65533),S3662)),"Côte d'Ivoire",
TRUE,""
)</f>
        <v/>
      </c>
      <c r="W3662" s="40" t="str">
        <f t="shared" si="246"/>
        <v>Chile</v>
      </c>
    </row>
    <row r="3663" spans="19:23">
      <c r="S3663" s="40" t="str">
        <v>Australia</v>
      </c>
      <c r="T3663" s="40" t="str">
        <f t="shared" si="244"/>
        <v>OK</v>
      </c>
      <c r="U3663" s="40" t="str">
        <f t="shared" si="245"/>
        <v>-</v>
      </c>
      <c r="V3663" s="40" t="str" cm="1">
        <f t="array" ref="V3663">_xlfn.IFS(
ISNUMBER(SEARCH("USA",S3663)),"United States",
ISNUMBER(SEARCH("Republic of Ireland",S3663)),"Ireland",
ISNUMBER(SEARCH("Republic of Korea",S3663)),"South Korea",
ISNUMBER(SEARCH("Cape Verde",S3663)),"Cabo Verde",
ISNUMBER(SEARCH("Czechia",S3663)),"Czech Republic",
ISNUMBER(SEARCH("Türkiye",S3663)),"Turkey",
ISNUMBER(SEARCH("Ivory Coast",S3663)),"Côte d'Ivoire",
ISNUMBER(SEARCH("Korea Republic",S3663)),"South Korea",
ISNUMBER(SEARCH("Germany FR",S3663)),"FR Germany",
ISNUMBER(SEARCH("West Germany",S3663)),"FR Germany",
ISNUMBER(SEARCH("Germany DR",S3663)),"DR Germany",
ISNUMBER(SEARCH("Korea DPR",S3663)),"North Korea",
ISNUMBER(SEARCH("China PR",S3663)),"China",
ISNUMBER(SEARCH("IR Iran",S3663)),"Iran",
ISNUMBER(SEARCH("Congo DR",S3663)),"Democratic Republic of the Congo",
ISNUMBER(SEARCH("DR Congo",S3663)),"Democratic Republic of the Congo",
ISNUMBER(SEARCH("German DR",S3663)),"DR Germany",
ISNUMBER(SEARCH("rn""&gt;United Arab Emirates",S3663)),"United Arab Emirates",
ISNUMBER(SEARCH("rn""&gt;Republic of Ireland",S3663)),"Ireland",
ISNUMBER(SEARCH("rn""&gt;Bosnia and Herzegovina",S3663)),"Bosnia and Herzegovina",
ISNUMBER(SEARCH("rn""&gt;Trinidad and Tobago",S3663)),"Trinidad and Tobago",
ISNUMBER(SEARCH("rn""&gt;Serbia and Montenegro",S3663)),"Serbia and Montenegro",
ISNUMBER(SEARCH(_xlfn.UNICHAR(65533),S3663)),"Côte d'Ivoire",
TRUE,""
)</f>
        <v/>
      </c>
      <c r="W3663" s="40" t="str">
        <f t="shared" si="246"/>
        <v>Australia</v>
      </c>
    </row>
    <row r="3664" spans="19:23">
      <c r="S3664" s="40" t="str">
        <v>Scotland</v>
      </c>
      <c r="T3664" s="40" t="str">
        <f t="shared" si="244"/>
        <v>ERREUR</v>
      </c>
      <c r="U3664" s="40" t="str">
        <f t="shared" si="245"/>
        <v>AUCUNE</v>
      </c>
      <c r="V3664" s="40" t="str" cm="1">
        <f t="array" ref="V3664">_xlfn.IFS(
ISNUMBER(SEARCH("USA",S3664)),"United States",
ISNUMBER(SEARCH("Republic of Ireland",S3664)),"Ireland",
ISNUMBER(SEARCH("Republic of Korea",S3664)),"South Korea",
ISNUMBER(SEARCH("Cape Verde",S3664)),"Cabo Verde",
ISNUMBER(SEARCH("Czechia",S3664)),"Czech Republic",
ISNUMBER(SEARCH("Türkiye",S3664)),"Turkey",
ISNUMBER(SEARCH("Ivory Coast",S3664)),"Côte d'Ivoire",
ISNUMBER(SEARCH("Korea Republic",S3664)),"South Korea",
ISNUMBER(SEARCH("Germany FR",S3664)),"FR Germany",
ISNUMBER(SEARCH("West Germany",S3664)),"FR Germany",
ISNUMBER(SEARCH("Germany DR",S3664)),"DR Germany",
ISNUMBER(SEARCH("Korea DPR",S3664)),"North Korea",
ISNUMBER(SEARCH("China PR",S3664)),"China",
ISNUMBER(SEARCH("IR Iran",S3664)),"Iran",
ISNUMBER(SEARCH("Congo DR",S3664)),"Democratic Republic of the Congo",
ISNUMBER(SEARCH("DR Congo",S3664)),"Democratic Republic of the Congo",
ISNUMBER(SEARCH("German DR",S3664)),"DR Germany",
ISNUMBER(SEARCH("rn""&gt;United Arab Emirates",S3664)),"United Arab Emirates",
ISNUMBER(SEARCH("rn""&gt;Republic of Ireland",S3664)),"Ireland",
ISNUMBER(SEARCH("rn""&gt;Bosnia and Herzegovina",S3664)),"Bosnia and Herzegovina",
ISNUMBER(SEARCH("rn""&gt;Trinidad and Tobago",S3664)),"Trinidad and Tobago",
ISNUMBER(SEARCH("rn""&gt;Serbia and Montenegro",S3664)),"Serbia and Montenegro",
ISNUMBER(SEARCH(_xlfn.UNICHAR(65533),S3664)),"Côte d'Ivoire",
TRUE,""
)</f>
        <v/>
      </c>
      <c r="W3664" s="40" t="str">
        <f t="shared" si="246"/>
        <v>Scotland</v>
      </c>
    </row>
    <row r="3665" spans="19:23">
      <c r="S3665" s="40" t="str">
        <v>Netherlands</v>
      </c>
      <c r="T3665" s="40" t="str">
        <f t="shared" si="244"/>
        <v>OK</v>
      </c>
      <c r="U3665" s="40" t="str">
        <f t="shared" si="245"/>
        <v>-</v>
      </c>
      <c r="V3665" s="40" t="str" cm="1">
        <f t="array" ref="V3665">_xlfn.IFS(
ISNUMBER(SEARCH("USA",S3665)),"United States",
ISNUMBER(SEARCH("Republic of Ireland",S3665)),"Ireland",
ISNUMBER(SEARCH("Republic of Korea",S3665)),"South Korea",
ISNUMBER(SEARCH("Cape Verde",S3665)),"Cabo Verde",
ISNUMBER(SEARCH("Czechia",S3665)),"Czech Republic",
ISNUMBER(SEARCH("Türkiye",S3665)),"Turkey",
ISNUMBER(SEARCH("Ivory Coast",S3665)),"Côte d'Ivoire",
ISNUMBER(SEARCH("Korea Republic",S3665)),"South Korea",
ISNUMBER(SEARCH("Germany FR",S3665)),"FR Germany",
ISNUMBER(SEARCH("West Germany",S3665)),"FR Germany",
ISNUMBER(SEARCH("Germany DR",S3665)),"DR Germany",
ISNUMBER(SEARCH("Korea DPR",S3665)),"North Korea",
ISNUMBER(SEARCH("China PR",S3665)),"China",
ISNUMBER(SEARCH("IR Iran",S3665)),"Iran",
ISNUMBER(SEARCH("Congo DR",S3665)),"Democratic Republic of the Congo",
ISNUMBER(SEARCH("DR Congo",S3665)),"Democratic Republic of the Congo",
ISNUMBER(SEARCH("German DR",S3665)),"DR Germany",
ISNUMBER(SEARCH("rn""&gt;United Arab Emirates",S3665)),"United Arab Emirates",
ISNUMBER(SEARCH("rn""&gt;Republic of Ireland",S3665)),"Ireland",
ISNUMBER(SEARCH("rn""&gt;Bosnia and Herzegovina",S3665)),"Bosnia and Herzegovina",
ISNUMBER(SEARCH("rn""&gt;Trinidad and Tobago",S3665)),"Trinidad and Tobago",
ISNUMBER(SEARCH("rn""&gt;Serbia and Montenegro",S3665)),"Serbia and Montenegro",
ISNUMBER(SEARCH(_xlfn.UNICHAR(65533),S3665)),"Côte d'Ivoire",
TRUE,""
)</f>
        <v/>
      </c>
      <c r="W3665" s="40" t="str">
        <f t="shared" si="246"/>
        <v>Netherlands</v>
      </c>
    </row>
    <row r="3666" spans="19:23">
      <c r="S3666" s="40" t="str">
        <v>Bulgaria</v>
      </c>
      <c r="T3666" s="40" t="str">
        <f t="shared" si="244"/>
        <v>OK</v>
      </c>
      <c r="U3666" s="40" t="str">
        <f t="shared" si="245"/>
        <v>-</v>
      </c>
      <c r="V3666" s="40" t="str" cm="1">
        <f t="array" ref="V3666">_xlfn.IFS(
ISNUMBER(SEARCH("USA",S3666)),"United States",
ISNUMBER(SEARCH("Republic of Ireland",S3666)),"Ireland",
ISNUMBER(SEARCH("Republic of Korea",S3666)),"South Korea",
ISNUMBER(SEARCH("Cape Verde",S3666)),"Cabo Verde",
ISNUMBER(SEARCH("Czechia",S3666)),"Czech Republic",
ISNUMBER(SEARCH("Türkiye",S3666)),"Turkey",
ISNUMBER(SEARCH("Ivory Coast",S3666)),"Côte d'Ivoire",
ISNUMBER(SEARCH("Korea Republic",S3666)),"South Korea",
ISNUMBER(SEARCH("Germany FR",S3666)),"FR Germany",
ISNUMBER(SEARCH("West Germany",S3666)),"FR Germany",
ISNUMBER(SEARCH("Germany DR",S3666)),"DR Germany",
ISNUMBER(SEARCH("Korea DPR",S3666)),"North Korea",
ISNUMBER(SEARCH("China PR",S3666)),"China",
ISNUMBER(SEARCH("IR Iran",S3666)),"Iran",
ISNUMBER(SEARCH("Congo DR",S3666)),"Democratic Republic of the Congo",
ISNUMBER(SEARCH("DR Congo",S3666)),"Democratic Republic of the Congo",
ISNUMBER(SEARCH("German DR",S3666)),"DR Germany",
ISNUMBER(SEARCH("rn""&gt;United Arab Emirates",S3666)),"United Arab Emirates",
ISNUMBER(SEARCH("rn""&gt;Republic of Ireland",S3666)),"Ireland",
ISNUMBER(SEARCH("rn""&gt;Bosnia and Herzegovina",S3666)),"Bosnia and Herzegovina",
ISNUMBER(SEARCH("rn""&gt;Trinidad and Tobago",S3666)),"Trinidad and Tobago",
ISNUMBER(SEARCH("rn""&gt;Serbia and Montenegro",S3666)),"Serbia and Montenegro",
ISNUMBER(SEARCH(_xlfn.UNICHAR(65533),S3666)),"Côte d'Ivoire",
TRUE,""
)</f>
        <v/>
      </c>
      <c r="W3666" s="40" t="str">
        <f t="shared" si="246"/>
        <v>Bulgaria</v>
      </c>
    </row>
    <row r="3667" spans="19:23">
      <c r="S3667" s="40" t="str">
        <v>Haiti</v>
      </c>
      <c r="T3667" s="40" t="str">
        <f t="shared" si="244"/>
        <v>OK</v>
      </c>
      <c r="U3667" s="40" t="str">
        <f t="shared" si="245"/>
        <v>-</v>
      </c>
      <c r="V3667" s="40" t="str" cm="1">
        <f t="array" ref="V3667">_xlfn.IFS(
ISNUMBER(SEARCH("USA",S3667)),"United States",
ISNUMBER(SEARCH("Republic of Ireland",S3667)),"Ireland",
ISNUMBER(SEARCH("Republic of Korea",S3667)),"South Korea",
ISNUMBER(SEARCH("Cape Verde",S3667)),"Cabo Verde",
ISNUMBER(SEARCH("Czechia",S3667)),"Czech Republic",
ISNUMBER(SEARCH("Türkiye",S3667)),"Turkey",
ISNUMBER(SEARCH("Ivory Coast",S3667)),"Côte d'Ivoire",
ISNUMBER(SEARCH("Korea Republic",S3667)),"South Korea",
ISNUMBER(SEARCH("Germany FR",S3667)),"FR Germany",
ISNUMBER(SEARCH("West Germany",S3667)),"FR Germany",
ISNUMBER(SEARCH("Germany DR",S3667)),"DR Germany",
ISNUMBER(SEARCH("Korea DPR",S3667)),"North Korea",
ISNUMBER(SEARCH("China PR",S3667)),"China",
ISNUMBER(SEARCH("IR Iran",S3667)),"Iran",
ISNUMBER(SEARCH("Congo DR",S3667)),"Democratic Republic of the Congo",
ISNUMBER(SEARCH("DR Congo",S3667)),"Democratic Republic of the Congo",
ISNUMBER(SEARCH("German DR",S3667)),"DR Germany",
ISNUMBER(SEARCH("rn""&gt;United Arab Emirates",S3667)),"United Arab Emirates",
ISNUMBER(SEARCH("rn""&gt;Republic of Ireland",S3667)),"Ireland",
ISNUMBER(SEARCH("rn""&gt;Bosnia and Herzegovina",S3667)),"Bosnia and Herzegovina",
ISNUMBER(SEARCH("rn""&gt;Trinidad and Tobago",S3667)),"Trinidad and Tobago",
ISNUMBER(SEARCH("rn""&gt;Serbia and Montenegro",S3667)),"Serbia and Montenegro",
ISNUMBER(SEARCH(_xlfn.UNICHAR(65533),S3667)),"Côte d'Ivoire",
TRUE,""
)</f>
        <v/>
      </c>
      <c r="W3667" s="40" t="str">
        <f t="shared" si="246"/>
        <v>Haiti</v>
      </c>
    </row>
    <row r="3668" spans="19:23">
      <c r="S3668" s="40" t="str">
        <v>Argentina</v>
      </c>
      <c r="T3668" s="40" t="str">
        <f t="shared" si="244"/>
        <v>OK</v>
      </c>
      <c r="U3668" s="40" t="str">
        <f t="shared" si="245"/>
        <v>-</v>
      </c>
      <c r="V3668" s="40" t="str" cm="1">
        <f t="array" ref="V3668">_xlfn.IFS(
ISNUMBER(SEARCH("USA",S3668)),"United States",
ISNUMBER(SEARCH("Republic of Ireland",S3668)),"Ireland",
ISNUMBER(SEARCH("Republic of Korea",S3668)),"South Korea",
ISNUMBER(SEARCH("Cape Verde",S3668)),"Cabo Verde",
ISNUMBER(SEARCH("Czechia",S3668)),"Czech Republic",
ISNUMBER(SEARCH("Türkiye",S3668)),"Turkey",
ISNUMBER(SEARCH("Ivory Coast",S3668)),"Côte d'Ivoire",
ISNUMBER(SEARCH("Korea Republic",S3668)),"South Korea",
ISNUMBER(SEARCH("Germany FR",S3668)),"FR Germany",
ISNUMBER(SEARCH("West Germany",S3668)),"FR Germany",
ISNUMBER(SEARCH("Germany DR",S3668)),"DR Germany",
ISNUMBER(SEARCH("Korea DPR",S3668)),"North Korea",
ISNUMBER(SEARCH("China PR",S3668)),"China",
ISNUMBER(SEARCH("IR Iran",S3668)),"Iran",
ISNUMBER(SEARCH("Congo DR",S3668)),"Democratic Republic of the Congo",
ISNUMBER(SEARCH("DR Congo",S3668)),"Democratic Republic of the Congo",
ISNUMBER(SEARCH("German DR",S3668)),"DR Germany",
ISNUMBER(SEARCH("rn""&gt;United Arab Emirates",S3668)),"United Arab Emirates",
ISNUMBER(SEARCH("rn""&gt;Republic of Ireland",S3668)),"Ireland",
ISNUMBER(SEARCH("rn""&gt;Bosnia and Herzegovina",S3668)),"Bosnia and Herzegovina",
ISNUMBER(SEARCH("rn""&gt;Trinidad and Tobago",S3668)),"Trinidad and Tobago",
ISNUMBER(SEARCH("rn""&gt;Serbia and Montenegro",S3668)),"Serbia and Montenegro",
ISNUMBER(SEARCH(_xlfn.UNICHAR(65533),S3668)),"Côte d'Ivoire",
TRUE,""
)</f>
        <v/>
      </c>
      <c r="W3668" s="40" t="str">
        <f t="shared" si="246"/>
        <v>Argentina</v>
      </c>
    </row>
    <row r="3669" spans="19:23">
      <c r="S3669" s="40" t="str">
        <v>Germany FR</v>
      </c>
      <c r="T3669" s="40" t="str">
        <f t="shared" si="244"/>
        <v>ERREUR</v>
      </c>
      <c r="U3669" s="40" t="str">
        <f t="shared" si="245"/>
        <v>RENOMMER</v>
      </c>
      <c r="V3669" s="40" t="str" cm="1">
        <f t="array" ref="V3669">_xlfn.IFS(
ISNUMBER(SEARCH("USA",S3669)),"United States",
ISNUMBER(SEARCH("Republic of Ireland",S3669)),"Ireland",
ISNUMBER(SEARCH("Republic of Korea",S3669)),"South Korea",
ISNUMBER(SEARCH("Cape Verde",S3669)),"Cabo Verde",
ISNUMBER(SEARCH("Czechia",S3669)),"Czech Republic",
ISNUMBER(SEARCH("Türkiye",S3669)),"Turkey",
ISNUMBER(SEARCH("Ivory Coast",S3669)),"Côte d'Ivoire",
ISNUMBER(SEARCH("Korea Republic",S3669)),"South Korea",
ISNUMBER(SEARCH("Germany FR",S3669)),"FR Germany",
ISNUMBER(SEARCH("West Germany",S3669)),"FR Germany",
ISNUMBER(SEARCH("Germany DR",S3669)),"DR Germany",
ISNUMBER(SEARCH("Korea DPR",S3669)),"North Korea",
ISNUMBER(SEARCH("China PR",S3669)),"China",
ISNUMBER(SEARCH("IR Iran",S3669)),"Iran",
ISNUMBER(SEARCH("Congo DR",S3669)),"Democratic Republic of the Congo",
ISNUMBER(SEARCH("DR Congo",S3669)),"Democratic Republic of the Congo",
ISNUMBER(SEARCH("German DR",S3669)),"DR Germany",
ISNUMBER(SEARCH("rn""&gt;United Arab Emirates",S3669)),"United Arab Emirates",
ISNUMBER(SEARCH("rn""&gt;Republic of Ireland",S3669)),"Ireland",
ISNUMBER(SEARCH("rn""&gt;Bosnia and Herzegovina",S3669)),"Bosnia and Herzegovina",
ISNUMBER(SEARCH("rn""&gt;Trinidad and Tobago",S3669)),"Trinidad and Tobago",
ISNUMBER(SEARCH("rn""&gt;Serbia and Montenegro",S3669)),"Serbia and Montenegro",
ISNUMBER(SEARCH(_xlfn.UNICHAR(65533),S3669)),"Côte d'Ivoire",
TRUE,""
)</f>
        <v>FR Germany</v>
      </c>
      <c r="W3669" s="40" t="str">
        <f t="shared" si="246"/>
        <v>FR Germany</v>
      </c>
    </row>
    <row r="3670" spans="19:23">
      <c r="S3670" s="40" t="str">
        <v>Brazil</v>
      </c>
      <c r="T3670" s="40" t="str">
        <f t="shared" si="244"/>
        <v>OK</v>
      </c>
      <c r="U3670" s="40" t="str">
        <f t="shared" si="245"/>
        <v>-</v>
      </c>
      <c r="V3670" s="40" t="str" cm="1">
        <f t="array" ref="V3670">_xlfn.IFS(
ISNUMBER(SEARCH("USA",S3670)),"United States",
ISNUMBER(SEARCH("Republic of Ireland",S3670)),"Ireland",
ISNUMBER(SEARCH("Republic of Korea",S3670)),"South Korea",
ISNUMBER(SEARCH("Cape Verde",S3670)),"Cabo Verde",
ISNUMBER(SEARCH("Czechia",S3670)),"Czech Republic",
ISNUMBER(SEARCH("Türkiye",S3670)),"Turkey",
ISNUMBER(SEARCH("Ivory Coast",S3670)),"Côte d'Ivoire",
ISNUMBER(SEARCH("Korea Republic",S3670)),"South Korea",
ISNUMBER(SEARCH("Germany FR",S3670)),"FR Germany",
ISNUMBER(SEARCH("West Germany",S3670)),"FR Germany",
ISNUMBER(SEARCH("Germany DR",S3670)),"DR Germany",
ISNUMBER(SEARCH("Korea DPR",S3670)),"North Korea",
ISNUMBER(SEARCH("China PR",S3670)),"China",
ISNUMBER(SEARCH("IR Iran",S3670)),"Iran",
ISNUMBER(SEARCH("Congo DR",S3670)),"Democratic Republic of the Congo",
ISNUMBER(SEARCH("DR Congo",S3670)),"Democratic Republic of the Congo",
ISNUMBER(SEARCH("German DR",S3670)),"DR Germany",
ISNUMBER(SEARCH("rn""&gt;United Arab Emirates",S3670)),"United Arab Emirates",
ISNUMBER(SEARCH("rn""&gt;Republic of Ireland",S3670)),"Ireland",
ISNUMBER(SEARCH("rn""&gt;Bosnia and Herzegovina",S3670)),"Bosnia and Herzegovina",
ISNUMBER(SEARCH("rn""&gt;Trinidad and Tobago",S3670)),"Trinidad and Tobago",
ISNUMBER(SEARCH("rn""&gt;Serbia and Montenegro",S3670)),"Serbia and Montenegro",
ISNUMBER(SEARCH(_xlfn.UNICHAR(65533),S3670)),"Côte d'Ivoire",
TRUE,""
)</f>
        <v/>
      </c>
      <c r="W3670" s="40" t="str">
        <f t="shared" si="246"/>
        <v>Brazil</v>
      </c>
    </row>
    <row r="3671" spans="19:23">
      <c r="S3671" s="40" t="str">
        <v>German DR</v>
      </c>
      <c r="T3671" s="40" t="str">
        <f t="shared" si="244"/>
        <v>ERREUR</v>
      </c>
      <c r="U3671" s="40" t="str">
        <f t="shared" si="245"/>
        <v>RENOMMER</v>
      </c>
      <c r="V3671" s="40" t="str" cm="1">
        <f t="array" ref="V3671">_xlfn.IFS(
ISNUMBER(SEARCH("USA",S3671)),"United States",
ISNUMBER(SEARCH("Republic of Ireland",S3671)),"Ireland",
ISNUMBER(SEARCH("Republic of Korea",S3671)),"South Korea",
ISNUMBER(SEARCH("Cape Verde",S3671)),"Cabo Verde",
ISNUMBER(SEARCH("Czechia",S3671)),"Czech Republic",
ISNUMBER(SEARCH("Türkiye",S3671)),"Turkey",
ISNUMBER(SEARCH("Ivory Coast",S3671)),"Côte d'Ivoire",
ISNUMBER(SEARCH("Korea Republic",S3671)),"South Korea",
ISNUMBER(SEARCH("Germany FR",S3671)),"FR Germany",
ISNUMBER(SEARCH("West Germany",S3671)),"FR Germany",
ISNUMBER(SEARCH("Germany DR",S3671)),"DR Germany",
ISNUMBER(SEARCH("Korea DPR",S3671)),"North Korea",
ISNUMBER(SEARCH("China PR",S3671)),"China",
ISNUMBER(SEARCH("IR Iran",S3671)),"Iran",
ISNUMBER(SEARCH("Congo DR",S3671)),"Democratic Republic of the Congo",
ISNUMBER(SEARCH("DR Congo",S3671)),"Democratic Republic of the Congo",
ISNUMBER(SEARCH("German DR",S3671)),"DR Germany",
ISNUMBER(SEARCH("rn""&gt;United Arab Emirates",S3671)),"United Arab Emirates",
ISNUMBER(SEARCH("rn""&gt;Republic of Ireland",S3671)),"Ireland",
ISNUMBER(SEARCH("rn""&gt;Bosnia and Herzegovina",S3671)),"Bosnia and Herzegovina",
ISNUMBER(SEARCH("rn""&gt;Trinidad and Tobago",S3671)),"Trinidad and Tobago",
ISNUMBER(SEARCH("rn""&gt;Serbia and Montenegro",S3671)),"Serbia and Montenegro",
ISNUMBER(SEARCH(_xlfn.UNICHAR(65533),S3671)),"Côte d'Ivoire",
TRUE,""
)</f>
        <v>DR Germany</v>
      </c>
      <c r="W3671" s="40" t="str">
        <f t="shared" si="246"/>
        <v>DR Germany</v>
      </c>
    </row>
    <row r="3672" spans="19:23">
      <c r="S3672" s="40" t="str">
        <v>Zaire</v>
      </c>
      <c r="T3672" s="40" t="str">
        <f t="shared" si="244"/>
        <v>ERREUR</v>
      </c>
      <c r="U3672" s="40" t="str">
        <f t="shared" si="245"/>
        <v>AUCUNE</v>
      </c>
      <c r="V3672" s="40" t="str" cm="1">
        <f t="array" ref="V3672">_xlfn.IFS(
ISNUMBER(SEARCH("USA",S3672)),"United States",
ISNUMBER(SEARCH("Republic of Ireland",S3672)),"Ireland",
ISNUMBER(SEARCH("Republic of Korea",S3672)),"South Korea",
ISNUMBER(SEARCH("Cape Verde",S3672)),"Cabo Verde",
ISNUMBER(SEARCH("Czechia",S3672)),"Czech Republic",
ISNUMBER(SEARCH("Türkiye",S3672)),"Turkey",
ISNUMBER(SEARCH("Ivory Coast",S3672)),"Côte d'Ivoire",
ISNUMBER(SEARCH("Korea Republic",S3672)),"South Korea",
ISNUMBER(SEARCH("Germany FR",S3672)),"FR Germany",
ISNUMBER(SEARCH("West Germany",S3672)),"FR Germany",
ISNUMBER(SEARCH("Germany DR",S3672)),"DR Germany",
ISNUMBER(SEARCH("Korea DPR",S3672)),"North Korea",
ISNUMBER(SEARCH("China PR",S3672)),"China",
ISNUMBER(SEARCH("IR Iran",S3672)),"Iran",
ISNUMBER(SEARCH("Congo DR",S3672)),"Democratic Republic of the Congo",
ISNUMBER(SEARCH("DR Congo",S3672)),"Democratic Republic of the Congo",
ISNUMBER(SEARCH("German DR",S3672)),"DR Germany",
ISNUMBER(SEARCH("rn""&gt;United Arab Emirates",S3672)),"United Arab Emirates",
ISNUMBER(SEARCH("rn""&gt;Republic of Ireland",S3672)),"Ireland",
ISNUMBER(SEARCH("rn""&gt;Bosnia and Herzegovina",S3672)),"Bosnia and Herzegovina",
ISNUMBER(SEARCH("rn""&gt;Trinidad and Tobago",S3672)),"Trinidad and Tobago",
ISNUMBER(SEARCH("rn""&gt;Serbia and Montenegro",S3672)),"Serbia and Montenegro",
ISNUMBER(SEARCH(_xlfn.UNICHAR(65533),S3672)),"Côte d'Ivoire",
TRUE,""
)</f>
        <v/>
      </c>
      <c r="W3672" s="40" t="str">
        <f t="shared" si="246"/>
        <v>Zaire</v>
      </c>
    </row>
    <row r="3673" spans="19:23">
      <c r="S3673" s="40" t="str">
        <v>Sweden</v>
      </c>
      <c r="T3673" s="40" t="str">
        <f t="shared" si="244"/>
        <v>OK</v>
      </c>
      <c r="U3673" s="40" t="str">
        <f t="shared" si="245"/>
        <v>-</v>
      </c>
      <c r="V3673" s="40" t="str" cm="1">
        <f t="array" ref="V3673">_xlfn.IFS(
ISNUMBER(SEARCH("USA",S3673)),"United States",
ISNUMBER(SEARCH("Republic of Ireland",S3673)),"Ireland",
ISNUMBER(SEARCH("Republic of Korea",S3673)),"South Korea",
ISNUMBER(SEARCH("Cape Verde",S3673)),"Cabo Verde",
ISNUMBER(SEARCH("Czechia",S3673)),"Czech Republic",
ISNUMBER(SEARCH("Türkiye",S3673)),"Turkey",
ISNUMBER(SEARCH("Ivory Coast",S3673)),"Côte d'Ivoire",
ISNUMBER(SEARCH("Korea Republic",S3673)),"South Korea",
ISNUMBER(SEARCH("Germany FR",S3673)),"FR Germany",
ISNUMBER(SEARCH("West Germany",S3673)),"FR Germany",
ISNUMBER(SEARCH("Germany DR",S3673)),"DR Germany",
ISNUMBER(SEARCH("Korea DPR",S3673)),"North Korea",
ISNUMBER(SEARCH("China PR",S3673)),"China",
ISNUMBER(SEARCH("IR Iran",S3673)),"Iran",
ISNUMBER(SEARCH("Congo DR",S3673)),"Democratic Republic of the Congo",
ISNUMBER(SEARCH("DR Congo",S3673)),"Democratic Republic of the Congo",
ISNUMBER(SEARCH("German DR",S3673)),"DR Germany",
ISNUMBER(SEARCH("rn""&gt;United Arab Emirates",S3673)),"United Arab Emirates",
ISNUMBER(SEARCH("rn""&gt;Republic of Ireland",S3673)),"Ireland",
ISNUMBER(SEARCH("rn""&gt;Bosnia and Herzegovina",S3673)),"Bosnia and Herzegovina",
ISNUMBER(SEARCH("rn""&gt;Trinidad and Tobago",S3673)),"Trinidad and Tobago",
ISNUMBER(SEARCH("rn""&gt;Serbia and Montenegro",S3673)),"Serbia and Montenegro",
ISNUMBER(SEARCH(_xlfn.UNICHAR(65533),S3673)),"Côte d'Ivoire",
TRUE,""
)</f>
        <v/>
      </c>
      <c r="W3673" s="40" t="str">
        <f t="shared" si="246"/>
        <v>Sweden</v>
      </c>
    </row>
    <row r="3674" spans="19:23">
      <c r="S3674" s="40" t="str">
        <v>Uruguay</v>
      </c>
      <c r="T3674" s="40" t="str">
        <f t="shared" si="244"/>
        <v>OK</v>
      </c>
      <c r="U3674" s="40" t="str">
        <f t="shared" si="245"/>
        <v>-</v>
      </c>
      <c r="V3674" s="40" t="str" cm="1">
        <f t="array" ref="V3674">_xlfn.IFS(
ISNUMBER(SEARCH("USA",S3674)),"United States",
ISNUMBER(SEARCH("Republic of Ireland",S3674)),"Ireland",
ISNUMBER(SEARCH("Republic of Korea",S3674)),"South Korea",
ISNUMBER(SEARCH("Cape Verde",S3674)),"Cabo Verde",
ISNUMBER(SEARCH("Czechia",S3674)),"Czech Republic",
ISNUMBER(SEARCH("Türkiye",S3674)),"Turkey",
ISNUMBER(SEARCH("Ivory Coast",S3674)),"Côte d'Ivoire",
ISNUMBER(SEARCH("Korea Republic",S3674)),"South Korea",
ISNUMBER(SEARCH("Germany FR",S3674)),"FR Germany",
ISNUMBER(SEARCH("West Germany",S3674)),"FR Germany",
ISNUMBER(SEARCH("Germany DR",S3674)),"DR Germany",
ISNUMBER(SEARCH("Korea DPR",S3674)),"North Korea",
ISNUMBER(SEARCH("China PR",S3674)),"China",
ISNUMBER(SEARCH("IR Iran",S3674)),"Iran",
ISNUMBER(SEARCH("Congo DR",S3674)),"Democratic Republic of the Congo",
ISNUMBER(SEARCH("DR Congo",S3674)),"Democratic Republic of the Congo",
ISNUMBER(SEARCH("German DR",S3674)),"DR Germany",
ISNUMBER(SEARCH("rn""&gt;United Arab Emirates",S3674)),"United Arab Emirates",
ISNUMBER(SEARCH("rn""&gt;Republic of Ireland",S3674)),"Ireland",
ISNUMBER(SEARCH("rn""&gt;Bosnia and Herzegovina",S3674)),"Bosnia and Herzegovina",
ISNUMBER(SEARCH("rn""&gt;Trinidad and Tobago",S3674)),"Trinidad and Tobago",
ISNUMBER(SEARCH("rn""&gt;Serbia and Montenegro",S3674)),"Serbia and Montenegro",
ISNUMBER(SEARCH(_xlfn.UNICHAR(65533),S3674)),"Côte d'Ivoire",
TRUE,""
)</f>
        <v/>
      </c>
      <c r="W3674" s="40" t="str">
        <f t="shared" si="246"/>
        <v>Uruguay</v>
      </c>
    </row>
    <row r="3675" spans="19:23">
      <c r="S3675" s="40" t="str">
        <v>Poland</v>
      </c>
      <c r="T3675" s="40" t="str">
        <f t="shared" si="244"/>
        <v>OK</v>
      </c>
      <c r="U3675" s="40" t="str">
        <f t="shared" si="245"/>
        <v>-</v>
      </c>
      <c r="V3675" s="40" t="str" cm="1">
        <f t="array" ref="V3675">_xlfn.IFS(
ISNUMBER(SEARCH("USA",S3675)),"United States",
ISNUMBER(SEARCH("Republic of Ireland",S3675)),"Ireland",
ISNUMBER(SEARCH("Republic of Korea",S3675)),"South Korea",
ISNUMBER(SEARCH("Cape Verde",S3675)),"Cabo Verde",
ISNUMBER(SEARCH("Czechia",S3675)),"Czech Republic",
ISNUMBER(SEARCH("Türkiye",S3675)),"Turkey",
ISNUMBER(SEARCH("Ivory Coast",S3675)),"Côte d'Ivoire",
ISNUMBER(SEARCH("Korea Republic",S3675)),"South Korea",
ISNUMBER(SEARCH("Germany FR",S3675)),"FR Germany",
ISNUMBER(SEARCH("West Germany",S3675)),"FR Germany",
ISNUMBER(SEARCH("Germany DR",S3675)),"DR Germany",
ISNUMBER(SEARCH("Korea DPR",S3675)),"North Korea",
ISNUMBER(SEARCH("China PR",S3675)),"China",
ISNUMBER(SEARCH("IR Iran",S3675)),"Iran",
ISNUMBER(SEARCH("Congo DR",S3675)),"Democratic Republic of the Congo",
ISNUMBER(SEARCH("DR Congo",S3675)),"Democratic Republic of the Congo",
ISNUMBER(SEARCH("German DR",S3675)),"DR Germany",
ISNUMBER(SEARCH("rn""&gt;United Arab Emirates",S3675)),"United Arab Emirates",
ISNUMBER(SEARCH("rn""&gt;Republic of Ireland",S3675)),"Ireland",
ISNUMBER(SEARCH("rn""&gt;Bosnia and Herzegovina",S3675)),"Bosnia and Herzegovina",
ISNUMBER(SEARCH("rn""&gt;Trinidad and Tobago",S3675)),"Trinidad and Tobago",
ISNUMBER(SEARCH("rn""&gt;Serbia and Montenegro",S3675)),"Serbia and Montenegro",
ISNUMBER(SEARCH(_xlfn.UNICHAR(65533),S3675)),"Côte d'Ivoire",
TRUE,""
)</f>
        <v/>
      </c>
      <c r="W3675" s="40" t="str">
        <f t="shared" si="246"/>
        <v>Poland</v>
      </c>
    </row>
    <row r="3676" spans="19:23">
      <c r="S3676" s="40" t="str">
        <v>Italy</v>
      </c>
      <c r="T3676" s="40" t="str">
        <f t="shared" si="244"/>
        <v>OK</v>
      </c>
      <c r="U3676" s="40" t="str">
        <f t="shared" si="245"/>
        <v>-</v>
      </c>
      <c r="V3676" s="40" t="str" cm="1">
        <f t="array" ref="V3676">_xlfn.IFS(
ISNUMBER(SEARCH("USA",S3676)),"United States",
ISNUMBER(SEARCH("Republic of Ireland",S3676)),"Ireland",
ISNUMBER(SEARCH("Republic of Korea",S3676)),"South Korea",
ISNUMBER(SEARCH("Cape Verde",S3676)),"Cabo Verde",
ISNUMBER(SEARCH("Czechia",S3676)),"Czech Republic",
ISNUMBER(SEARCH("Türkiye",S3676)),"Turkey",
ISNUMBER(SEARCH("Ivory Coast",S3676)),"Côte d'Ivoire",
ISNUMBER(SEARCH("Korea Republic",S3676)),"South Korea",
ISNUMBER(SEARCH("Germany FR",S3676)),"FR Germany",
ISNUMBER(SEARCH("West Germany",S3676)),"FR Germany",
ISNUMBER(SEARCH("Germany DR",S3676)),"DR Germany",
ISNUMBER(SEARCH("Korea DPR",S3676)),"North Korea",
ISNUMBER(SEARCH("China PR",S3676)),"China",
ISNUMBER(SEARCH("IR Iran",S3676)),"Iran",
ISNUMBER(SEARCH("Congo DR",S3676)),"Democratic Republic of the Congo",
ISNUMBER(SEARCH("DR Congo",S3676)),"Democratic Republic of the Congo",
ISNUMBER(SEARCH("German DR",S3676)),"DR Germany",
ISNUMBER(SEARCH("rn""&gt;United Arab Emirates",S3676)),"United Arab Emirates",
ISNUMBER(SEARCH("rn""&gt;Republic of Ireland",S3676)),"Ireland",
ISNUMBER(SEARCH("rn""&gt;Bosnia and Herzegovina",S3676)),"Bosnia and Herzegovina",
ISNUMBER(SEARCH("rn""&gt;Trinidad and Tobago",S3676)),"Trinidad and Tobago",
ISNUMBER(SEARCH("rn""&gt;Serbia and Montenegro",S3676)),"Serbia and Montenegro",
ISNUMBER(SEARCH(_xlfn.UNICHAR(65533),S3676)),"Côte d'Ivoire",
TRUE,""
)</f>
        <v/>
      </c>
      <c r="W3676" s="40" t="str">
        <f t="shared" si="246"/>
        <v>Italy</v>
      </c>
    </row>
    <row r="3677" spans="19:23">
      <c r="S3677" s="40" t="str">
        <v>Yugoslavia</v>
      </c>
      <c r="T3677" s="40" t="str">
        <f t="shared" si="244"/>
        <v>ERREUR</v>
      </c>
      <c r="U3677" s="40" t="str">
        <f t="shared" si="245"/>
        <v>AUCUNE</v>
      </c>
      <c r="V3677" s="40" t="str" cm="1">
        <f t="array" ref="V3677">_xlfn.IFS(
ISNUMBER(SEARCH("USA",S3677)),"United States",
ISNUMBER(SEARCH("Republic of Ireland",S3677)),"Ireland",
ISNUMBER(SEARCH("Republic of Korea",S3677)),"South Korea",
ISNUMBER(SEARCH("Cape Verde",S3677)),"Cabo Verde",
ISNUMBER(SEARCH("Czechia",S3677)),"Czech Republic",
ISNUMBER(SEARCH("Türkiye",S3677)),"Turkey",
ISNUMBER(SEARCH("Ivory Coast",S3677)),"Côte d'Ivoire",
ISNUMBER(SEARCH("Korea Republic",S3677)),"South Korea",
ISNUMBER(SEARCH("Germany FR",S3677)),"FR Germany",
ISNUMBER(SEARCH("West Germany",S3677)),"FR Germany",
ISNUMBER(SEARCH("Germany DR",S3677)),"DR Germany",
ISNUMBER(SEARCH("Korea DPR",S3677)),"North Korea",
ISNUMBER(SEARCH("China PR",S3677)),"China",
ISNUMBER(SEARCH("IR Iran",S3677)),"Iran",
ISNUMBER(SEARCH("Congo DR",S3677)),"Democratic Republic of the Congo",
ISNUMBER(SEARCH("DR Congo",S3677)),"Democratic Republic of the Congo",
ISNUMBER(SEARCH("German DR",S3677)),"DR Germany",
ISNUMBER(SEARCH("rn""&gt;United Arab Emirates",S3677)),"United Arab Emirates",
ISNUMBER(SEARCH("rn""&gt;Republic of Ireland",S3677)),"Ireland",
ISNUMBER(SEARCH("rn""&gt;Bosnia and Herzegovina",S3677)),"Bosnia and Herzegovina",
ISNUMBER(SEARCH("rn""&gt;Trinidad and Tobago",S3677)),"Trinidad and Tobago",
ISNUMBER(SEARCH("rn""&gt;Serbia and Montenegro",S3677)),"Serbia and Montenegro",
ISNUMBER(SEARCH(_xlfn.UNICHAR(65533),S3677)),"Côte d'Ivoire",
TRUE,""
)</f>
        <v/>
      </c>
      <c r="W3677" s="40" t="str">
        <f t="shared" si="246"/>
        <v>Yugoslavia</v>
      </c>
    </row>
    <row r="3678" spans="19:23">
      <c r="S3678" s="40" t="str">
        <v>Chile</v>
      </c>
      <c r="T3678" s="40" t="str">
        <f t="shared" si="244"/>
        <v>OK</v>
      </c>
      <c r="U3678" s="40" t="str">
        <f t="shared" si="245"/>
        <v>-</v>
      </c>
      <c r="V3678" s="40" t="str" cm="1">
        <f t="array" ref="V3678">_xlfn.IFS(
ISNUMBER(SEARCH("USA",S3678)),"United States",
ISNUMBER(SEARCH("Republic of Ireland",S3678)),"Ireland",
ISNUMBER(SEARCH("Republic of Korea",S3678)),"South Korea",
ISNUMBER(SEARCH("Cape Verde",S3678)),"Cabo Verde",
ISNUMBER(SEARCH("Czechia",S3678)),"Czech Republic",
ISNUMBER(SEARCH("Türkiye",S3678)),"Turkey",
ISNUMBER(SEARCH("Ivory Coast",S3678)),"Côte d'Ivoire",
ISNUMBER(SEARCH("Korea Republic",S3678)),"South Korea",
ISNUMBER(SEARCH("Germany FR",S3678)),"FR Germany",
ISNUMBER(SEARCH("West Germany",S3678)),"FR Germany",
ISNUMBER(SEARCH("Germany DR",S3678)),"DR Germany",
ISNUMBER(SEARCH("Korea DPR",S3678)),"North Korea",
ISNUMBER(SEARCH("China PR",S3678)),"China",
ISNUMBER(SEARCH("IR Iran",S3678)),"Iran",
ISNUMBER(SEARCH("Congo DR",S3678)),"Democratic Republic of the Congo",
ISNUMBER(SEARCH("DR Congo",S3678)),"Democratic Republic of the Congo",
ISNUMBER(SEARCH("German DR",S3678)),"DR Germany",
ISNUMBER(SEARCH("rn""&gt;United Arab Emirates",S3678)),"United Arab Emirates",
ISNUMBER(SEARCH("rn""&gt;Republic of Ireland",S3678)),"Ireland",
ISNUMBER(SEARCH("rn""&gt;Bosnia and Herzegovina",S3678)),"Bosnia and Herzegovina",
ISNUMBER(SEARCH("rn""&gt;Trinidad and Tobago",S3678)),"Trinidad and Tobago",
ISNUMBER(SEARCH("rn""&gt;Serbia and Montenegro",S3678)),"Serbia and Montenegro",
ISNUMBER(SEARCH(_xlfn.UNICHAR(65533),S3678)),"Côte d'Ivoire",
TRUE,""
)</f>
        <v/>
      </c>
      <c r="W3678" s="40" t="str">
        <f t="shared" si="246"/>
        <v>Chile</v>
      </c>
    </row>
    <row r="3679" spans="19:23">
      <c r="S3679" s="40" t="str">
        <v>Brazil</v>
      </c>
      <c r="T3679" s="40" t="str">
        <f t="shared" si="244"/>
        <v>OK</v>
      </c>
      <c r="U3679" s="40" t="str">
        <f t="shared" si="245"/>
        <v>-</v>
      </c>
      <c r="V3679" s="40" t="str" cm="1">
        <f t="array" ref="V3679">_xlfn.IFS(
ISNUMBER(SEARCH("USA",S3679)),"United States",
ISNUMBER(SEARCH("Republic of Ireland",S3679)),"Ireland",
ISNUMBER(SEARCH("Republic of Korea",S3679)),"South Korea",
ISNUMBER(SEARCH("Cape Verde",S3679)),"Cabo Verde",
ISNUMBER(SEARCH("Czechia",S3679)),"Czech Republic",
ISNUMBER(SEARCH("Türkiye",S3679)),"Turkey",
ISNUMBER(SEARCH("Ivory Coast",S3679)),"Côte d'Ivoire",
ISNUMBER(SEARCH("Korea Republic",S3679)),"South Korea",
ISNUMBER(SEARCH("Germany FR",S3679)),"FR Germany",
ISNUMBER(SEARCH("West Germany",S3679)),"FR Germany",
ISNUMBER(SEARCH("Germany DR",S3679)),"DR Germany",
ISNUMBER(SEARCH("Korea DPR",S3679)),"North Korea",
ISNUMBER(SEARCH("China PR",S3679)),"China",
ISNUMBER(SEARCH("IR Iran",S3679)),"Iran",
ISNUMBER(SEARCH("Congo DR",S3679)),"Democratic Republic of the Congo",
ISNUMBER(SEARCH("DR Congo",S3679)),"Democratic Republic of the Congo",
ISNUMBER(SEARCH("German DR",S3679)),"DR Germany",
ISNUMBER(SEARCH("rn""&gt;United Arab Emirates",S3679)),"United Arab Emirates",
ISNUMBER(SEARCH("rn""&gt;Republic of Ireland",S3679)),"Ireland",
ISNUMBER(SEARCH("rn""&gt;Bosnia and Herzegovina",S3679)),"Bosnia and Herzegovina",
ISNUMBER(SEARCH("rn""&gt;Trinidad and Tobago",S3679)),"Trinidad and Tobago",
ISNUMBER(SEARCH("rn""&gt;Serbia and Montenegro",S3679)),"Serbia and Montenegro",
ISNUMBER(SEARCH(_xlfn.UNICHAR(65533),S3679)),"Côte d'Ivoire",
TRUE,""
)</f>
        <v/>
      </c>
      <c r="W3679" s="40" t="str">
        <f t="shared" si="246"/>
        <v>Brazil</v>
      </c>
    </row>
    <row r="3680" spans="19:23">
      <c r="S3680" s="40" t="str">
        <v>Germany FR</v>
      </c>
      <c r="T3680" s="40" t="str">
        <f t="shared" si="244"/>
        <v>ERREUR</v>
      </c>
      <c r="U3680" s="40" t="str">
        <f t="shared" si="245"/>
        <v>RENOMMER</v>
      </c>
      <c r="V3680" s="40" t="str" cm="1">
        <f t="array" ref="V3680">_xlfn.IFS(
ISNUMBER(SEARCH("USA",S3680)),"United States",
ISNUMBER(SEARCH("Republic of Ireland",S3680)),"Ireland",
ISNUMBER(SEARCH("Republic of Korea",S3680)),"South Korea",
ISNUMBER(SEARCH("Cape Verde",S3680)),"Cabo Verde",
ISNUMBER(SEARCH("Czechia",S3680)),"Czech Republic",
ISNUMBER(SEARCH("Türkiye",S3680)),"Turkey",
ISNUMBER(SEARCH("Ivory Coast",S3680)),"Côte d'Ivoire",
ISNUMBER(SEARCH("Korea Republic",S3680)),"South Korea",
ISNUMBER(SEARCH("Germany FR",S3680)),"FR Germany",
ISNUMBER(SEARCH("West Germany",S3680)),"FR Germany",
ISNUMBER(SEARCH("Germany DR",S3680)),"DR Germany",
ISNUMBER(SEARCH("Korea DPR",S3680)),"North Korea",
ISNUMBER(SEARCH("China PR",S3680)),"China",
ISNUMBER(SEARCH("IR Iran",S3680)),"Iran",
ISNUMBER(SEARCH("Congo DR",S3680)),"Democratic Republic of the Congo",
ISNUMBER(SEARCH("DR Congo",S3680)),"Democratic Republic of the Congo",
ISNUMBER(SEARCH("German DR",S3680)),"DR Germany",
ISNUMBER(SEARCH("rn""&gt;United Arab Emirates",S3680)),"United Arab Emirates",
ISNUMBER(SEARCH("rn""&gt;Republic of Ireland",S3680)),"Ireland",
ISNUMBER(SEARCH("rn""&gt;Bosnia and Herzegovina",S3680)),"Bosnia and Herzegovina",
ISNUMBER(SEARCH("rn""&gt;Trinidad and Tobago",S3680)),"Trinidad and Tobago",
ISNUMBER(SEARCH("rn""&gt;Serbia and Montenegro",S3680)),"Serbia and Montenegro",
ISNUMBER(SEARCH(_xlfn.UNICHAR(65533),S3680)),"Côte d'Ivoire",
TRUE,""
)</f>
        <v>FR Germany</v>
      </c>
      <c r="W3680" s="40" t="str">
        <f t="shared" si="246"/>
        <v>FR Germany</v>
      </c>
    </row>
    <row r="3681" spans="19:23">
      <c r="S3681" s="40" t="str">
        <v>Netherlands</v>
      </c>
      <c r="T3681" s="40" t="str">
        <f t="shared" si="244"/>
        <v>OK</v>
      </c>
      <c r="U3681" s="40" t="str">
        <f t="shared" si="245"/>
        <v>-</v>
      </c>
      <c r="V3681" s="40" t="str" cm="1">
        <f t="array" ref="V3681">_xlfn.IFS(
ISNUMBER(SEARCH("USA",S3681)),"United States",
ISNUMBER(SEARCH("Republic of Ireland",S3681)),"Ireland",
ISNUMBER(SEARCH("Republic of Korea",S3681)),"South Korea",
ISNUMBER(SEARCH("Cape Verde",S3681)),"Cabo Verde",
ISNUMBER(SEARCH("Czechia",S3681)),"Czech Republic",
ISNUMBER(SEARCH("Türkiye",S3681)),"Turkey",
ISNUMBER(SEARCH("Ivory Coast",S3681)),"Côte d'Ivoire",
ISNUMBER(SEARCH("Korea Republic",S3681)),"South Korea",
ISNUMBER(SEARCH("Germany FR",S3681)),"FR Germany",
ISNUMBER(SEARCH("West Germany",S3681)),"FR Germany",
ISNUMBER(SEARCH("Germany DR",S3681)),"DR Germany",
ISNUMBER(SEARCH("Korea DPR",S3681)),"North Korea",
ISNUMBER(SEARCH("China PR",S3681)),"China",
ISNUMBER(SEARCH("IR Iran",S3681)),"Iran",
ISNUMBER(SEARCH("Congo DR",S3681)),"Democratic Republic of the Congo",
ISNUMBER(SEARCH("DR Congo",S3681)),"Democratic Republic of the Congo",
ISNUMBER(SEARCH("German DR",S3681)),"DR Germany",
ISNUMBER(SEARCH("rn""&gt;United Arab Emirates",S3681)),"United Arab Emirates",
ISNUMBER(SEARCH("rn""&gt;Republic of Ireland",S3681)),"Ireland",
ISNUMBER(SEARCH("rn""&gt;Bosnia and Herzegovina",S3681)),"Bosnia and Herzegovina",
ISNUMBER(SEARCH("rn""&gt;Trinidad and Tobago",S3681)),"Trinidad and Tobago",
ISNUMBER(SEARCH("rn""&gt;Serbia and Montenegro",S3681)),"Serbia and Montenegro",
ISNUMBER(SEARCH(_xlfn.UNICHAR(65533),S3681)),"Côte d'Ivoire",
TRUE,""
)</f>
        <v/>
      </c>
      <c r="W3681" s="40" t="str">
        <f t="shared" si="246"/>
        <v>Netherlands</v>
      </c>
    </row>
    <row r="3682" spans="19:23">
      <c r="S3682" s="40" t="str">
        <v>Haiti</v>
      </c>
      <c r="T3682" s="40" t="str">
        <f t="shared" si="244"/>
        <v>OK</v>
      </c>
      <c r="U3682" s="40" t="str">
        <f t="shared" si="245"/>
        <v>-</v>
      </c>
      <c r="V3682" s="40" t="str" cm="1">
        <f t="array" ref="V3682">_xlfn.IFS(
ISNUMBER(SEARCH("USA",S3682)),"United States",
ISNUMBER(SEARCH("Republic of Ireland",S3682)),"Ireland",
ISNUMBER(SEARCH("Republic of Korea",S3682)),"South Korea",
ISNUMBER(SEARCH("Cape Verde",S3682)),"Cabo Verde",
ISNUMBER(SEARCH("Czechia",S3682)),"Czech Republic",
ISNUMBER(SEARCH("Türkiye",S3682)),"Turkey",
ISNUMBER(SEARCH("Ivory Coast",S3682)),"Côte d'Ivoire",
ISNUMBER(SEARCH("Korea Republic",S3682)),"South Korea",
ISNUMBER(SEARCH("Germany FR",S3682)),"FR Germany",
ISNUMBER(SEARCH("West Germany",S3682)),"FR Germany",
ISNUMBER(SEARCH("Germany DR",S3682)),"DR Germany",
ISNUMBER(SEARCH("Korea DPR",S3682)),"North Korea",
ISNUMBER(SEARCH("China PR",S3682)),"China",
ISNUMBER(SEARCH("IR Iran",S3682)),"Iran",
ISNUMBER(SEARCH("Congo DR",S3682)),"Democratic Republic of the Congo",
ISNUMBER(SEARCH("DR Congo",S3682)),"Democratic Republic of the Congo",
ISNUMBER(SEARCH("German DR",S3682)),"DR Germany",
ISNUMBER(SEARCH("rn""&gt;United Arab Emirates",S3682)),"United Arab Emirates",
ISNUMBER(SEARCH("rn""&gt;Republic of Ireland",S3682)),"Ireland",
ISNUMBER(SEARCH("rn""&gt;Bosnia and Herzegovina",S3682)),"Bosnia and Herzegovina",
ISNUMBER(SEARCH("rn""&gt;Trinidad and Tobago",S3682)),"Trinidad and Tobago",
ISNUMBER(SEARCH("rn""&gt;Serbia and Montenegro",S3682)),"Serbia and Montenegro",
ISNUMBER(SEARCH(_xlfn.UNICHAR(65533),S3682)),"Côte d'Ivoire",
TRUE,""
)</f>
        <v/>
      </c>
      <c r="W3682" s="40" t="str">
        <f t="shared" si="246"/>
        <v>Haiti</v>
      </c>
    </row>
    <row r="3683" spans="19:23">
      <c r="S3683" s="40" t="str">
        <v>Uruguay</v>
      </c>
      <c r="T3683" s="40" t="str">
        <f t="shared" si="244"/>
        <v>OK</v>
      </c>
      <c r="U3683" s="40" t="str">
        <f t="shared" si="245"/>
        <v>-</v>
      </c>
      <c r="V3683" s="40" t="str" cm="1">
        <f t="array" ref="V3683">_xlfn.IFS(
ISNUMBER(SEARCH("USA",S3683)),"United States",
ISNUMBER(SEARCH("Republic of Ireland",S3683)),"Ireland",
ISNUMBER(SEARCH("Republic of Korea",S3683)),"South Korea",
ISNUMBER(SEARCH("Cape Verde",S3683)),"Cabo Verde",
ISNUMBER(SEARCH("Czechia",S3683)),"Czech Republic",
ISNUMBER(SEARCH("Türkiye",S3683)),"Turkey",
ISNUMBER(SEARCH("Ivory Coast",S3683)),"Côte d'Ivoire",
ISNUMBER(SEARCH("Korea Republic",S3683)),"South Korea",
ISNUMBER(SEARCH("Germany FR",S3683)),"FR Germany",
ISNUMBER(SEARCH("West Germany",S3683)),"FR Germany",
ISNUMBER(SEARCH("Germany DR",S3683)),"DR Germany",
ISNUMBER(SEARCH("Korea DPR",S3683)),"North Korea",
ISNUMBER(SEARCH("China PR",S3683)),"China",
ISNUMBER(SEARCH("IR Iran",S3683)),"Iran",
ISNUMBER(SEARCH("Congo DR",S3683)),"Democratic Republic of the Congo",
ISNUMBER(SEARCH("DR Congo",S3683)),"Democratic Republic of the Congo",
ISNUMBER(SEARCH("German DR",S3683)),"DR Germany",
ISNUMBER(SEARCH("rn""&gt;United Arab Emirates",S3683)),"United Arab Emirates",
ISNUMBER(SEARCH("rn""&gt;Republic of Ireland",S3683)),"Ireland",
ISNUMBER(SEARCH("rn""&gt;Bosnia and Herzegovina",S3683)),"Bosnia and Herzegovina",
ISNUMBER(SEARCH("rn""&gt;Trinidad and Tobago",S3683)),"Trinidad and Tobago",
ISNUMBER(SEARCH("rn""&gt;Serbia and Montenegro",S3683)),"Serbia and Montenegro",
ISNUMBER(SEARCH(_xlfn.UNICHAR(65533),S3683)),"Côte d'Ivoire",
TRUE,""
)</f>
        <v/>
      </c>
      <c r="W3683" s="40" t="str">
        <f t="shared" si="246"/>
        <v>Uruguay</v>
      </c>
    </row>
    <row r="3684" spans="19:23">
      <c r="S3684" s="40" t="str">
        <v>Italy</v>
      </c>
      <c r="T3684" s="40" t="str">
        <f t="shared" si="244"/>
        <v>OK</v>
      </c>
      <c r="U3684" s="40" t="str">
        <f t="shared" si="245"/>
        <v>-</v>
      </c>
      <c r="V3684" s="40" t="str" cm="1">
        <f t="array" ref="V3684">_xlfn.IFS(
ISNUMBER(SEARCH("USA",S3684)),"United States",
ISNUMBER(SEARCH("Republic of Ireland",S3684)),"Ireland",
ISNUMBER(SEARCH("Republic of Korea",S3684)),"South Korea",
ISNUMBER(SEARCH("Cape Verde",S3684)),"Cabo Verde",
ISNUMBER(SEARCH("Czechia",S3684)),"Czech Republic",
ISNUMBER(SEARCH("Türkiye",S3684)),"Turkey",
ISNUMBER(SEARCH("Ivory Coast",S3684)),"Côte d'Ivoire",
ISNUMBER(SEARCH("Korea Republic",S3684)),"South Korea",
ISNUMBER(SEARCH("Germany FR",S3684)),"FR Germany",
ISNUMBER(SEARCH("West Germany",S3684)),"FR Germany",
ISNUMBER(SEARCH("Germany DR",S3684)),"DR Germany",
ISNUMBER(SEARCH("Korea DPR",S3684)),"North Korea",
ISNUMBER(SEARCH("China PR",S3684)),"China",
ISNUMBER(SEARCH("IR Iran",S3684)),"Iran",
ISNUMBER(SEARCH("Congo DR",S3684)),"Democratic Republic of the Congo",
ISNUMBER(SEARCH("DR Congo",S3684)),"Democratic Republic of the Congo",
ISNUMBER(SEARCH("German DR",S3684)),"DR Germany",
ISNUMBER(SEARCH("rn""&gt;United Arab Emirates",S3684)),"United Arab Emirates",
ISNUMBER(SEARCH("rn""&gt;Republic of Ireland",S3684)),"Ireland",
ISNUMBER(SEARCH("rn""&gt;Bosnia and Herzegovina",S3684)),"Bosnia and Herzegovina",
ISNUMBER(SEARCH("rn""&gt;Trinidad and Tobago",S3684)),"Trinidad and Tobago",
ISNUMBER(SEARCH("rn""&gt;Serbia and Montenegro",S3684)),"Serbia and Montenegro",
ISNUMBER(SEARCH(_xlfn.UNICHAR(65533),S3684)),"Côte d'Ivoire",
TRUE,""
)</f>
        <v/>
      </c>
      <c r="W3684" s="40" t="str">
        <f t="shared" si="246"/>
        <v>Italy</v>
      </c>
    </row>
    <row r="3685" spans="19:23">
      <c r="S3685" s="40" t="str">
        <v>Germany FR</v>
      </c>
      <c r="T3685" s="40" t="str">
        <f t="shared" si="244"/>
        <v>ERREUR</v>
      </c>
      <c r="U3685" s="40" t="str">
        <f t="shared" si="245"/>
        <v>RENOMMER</v>
      </c>
      <c r="V3685" s="40" t="str" cm="1">
        <f t="array" ref="V3685">_xlfn.IFS(
ISNUMBER(SEARCH("USA",S3685)),"United States",
ISNUMBER(SEARCH("Republic of Ireland",S3685)),"Ireland",
ISNUMBER(SEARCH("Republic of Korea",S3685)),"South Korea",
ISNUMBER(SEARCH("Cape Verde",S3685)),"Cabo Verde",
ISNUMBER(SEARCH("Czechia",S3685)),"Czech Republic",
ISNUMBER(SEARCH("Türkiye",S3685)),"Turkey",
ISNUMBER(SEARCH("Ivory Coast",S3685)),"Côte d'Ivoire",
ISNUMBER(SEARCH("Korea Republic",S3685)),"South Korea",
ISNUMBER(SEARCH("Germany FR",S3685)),"FR Germany",
ISNUMBER(SEARCH("West Germany",S3685)),"FR Germany",
ISNUMBER(SEARCH("Germany DR",S3685)),"DR Germany",
ISNUMBER(SEARCH("Korea DPR",S3685)),"North Korea",
ISNUMBER(SEARCH("China PR",S3685)),"China",
ISNUMBER(SEARCH("IR Iran",S3685)),"Iran",
ISNUMBER(SEARCH("Congo DR",S3685)),"Democratic Republic of the Congo",
ISNUMBER(SEARCH("DR Congo",S3685)),"Democratic Republic of the Congo",
ISNUMBER(SEARCH("German DR",S3685)),"DR Germany",
ISNUMBER(SEARCH("rn""&gt;United Arab Emirates",S3685)),"United Arab Emirates",
ISNUMBER(SEARCH("rn""&gt;Republic of Ireland",S3685)),"Ireland",
ISNUMBER(SEARCH("rn""&gt;Bosnia and Herzegovina",S3685)),"Bosnia and Herzegovina",
ISNUMBER(SEARCH("rn""&gt;Trinidad and Tobago",S3685)),"Trinidad and Tobago",
ISNUMBER(SEARCH("rn""&gt;Serbia and Montenegro",S3685)),"Serbia and Montenegro",
ISNUMBER(SEARCH(_xlfn.UNICHAR(65533),S3685)),"Côte d'Ivoire",
TRUE,""
)</f>
        <v>FR Germany</v>
      </c>
      <c r="W3685" s="40" t="str">
        <f t="shared" si="246"/>
        <v>FR Germany</v>
      </c>
    </row>
    <row r="3686" spans="19:23">
      <c r="S3686" s="40" t="str">
        <v>German DR</v>
      </c>
      <c r="T3686" s="40" t="str">
        <f t="shared" si="244"/>
        <v>ERREUR</v>
      </c>
      <c r="U3686" s="40" t="str">
        <f t="shared" si="245"/>
        <v>RENOMMER</v>
      </c>
      <c r="V3686" s="40" t="str" cm="1">
        <f t="array" ref="V3686">_xlfn.IFS(
ISNUMBER(SEARCH("USA",S3686)),"United States",
ISNUMBER(SEARCH("Republic of Ireland",S3686)),"Ireland",
ISNUMBER(SEARCH("Republic of Korea",S3686)),"South Korea",
ISNUMBER(SEARCH("Cape Verde",S3686)),"Cabo Verde",
ISNUMBER(SEARCH("Czechia",S3686)),"Czech Republic",
ISNUMBER(SEARCH("Türkiye",S3686)),"Turkey",
ISNUMBER(SEARCH("Ivory Coast",S3686)),"Côte d'Ivoire",
ISNUMBER(SEARCH("Korea Republic",S3686)),"South Korea",
ISNUMBER(SEARCH("Germany FR",S3686)),"FR Germany",
ISNUMBER(SEARCH("West Germany",S3686)),"FR Germany",
ISNUMBER(SEARCH("Germany DR",S3686)),"DR Germany",
ISNUMBER(SEARCH("Korea DPR",S3686)),"North Korea",
ISNUMBER(SEARCH("China PR",S3686)),"China",
ISNUMBER(SEARCH("IR Iran",S3686)),"Iran",
ISNUMBER(SEARCH("Congo DR",S3686)),"Democratic Republic of the Congo",
ISNUMBER(SEARCH("DR Congo",S3686)),"Democratic Republic of the Congo",
ISNUMBER(SEARCH("German DR",S3686)),"DR Germany",
ISNUMBER(SEARCH("rn""&gt;United Arab Emirates",S3686)),"United Arab Emirates",
ISNUMBER(SEARCH("rn""&gt;Republic of Ireland",S3686)),"Ireland",
ISNUMBER(SEARCH("rn""&gt;Bosnia and Herzegovina",S3686)),"Bosnia and Herzegovina",
ISNUMBER(SEARCH("rn""&gt;Trinidad and Tobago",S3686)),"Trinidad and Tobago",
ISNUMBER(SEARCH("rn""&gt;Serbia and Montenegro",S3686)),"Serbia and Montenegro",
ISNUMBER(SEARCH(_xlfn.UNICHAR(65533),S3686)),"Côte d'Ivoire",
TRUE,""
)</f>
        <v>DR Germany</v>
      </c>
      <c r="W3686" s="40" t="str">
        <f t="shared" si="246"/>
        <v>DR Germany</v>
      </c>
    </row>
    <row r="3687" spans="19:23">
      <c r="S3687" s="40" t="str">
        <v>Argentina</v>
      </c>
      <c r="T3687" s="40" t="str">
        <f t="shared" si="244"/>
        <v>OK</v>
      </c>
      <c r="U3687" s="40" t="str">
        <f t="shared" si="245"/>
        <v>-</v>
      </c>
      <c r="V3687" s="40" t="str" cm="1">
        <f t="array" ref="V3687">_xlfn.IFS(
ISNUMBER(SEARCH("USA",S3687)),"United States",
ISNUMBER(SEARCH("Republic of Ireland",S3687)),"Ireland",
ISNUMBER(SEARCH("Republic of Korea",S3687)),"South Korea",
ISNUMBER(SEARCH("Cape Verde",S3687)),"Cabo Verde",
ISNUMBER(SEARCH("Czechia",S3687)),"Czech Republic",
ISNUMBER(SEARCH("Türkiye",S3687)),"Turkey",
ISNUMBER(SEARCH("Ivory Coast",S3687)),"Côte d'Ivoire",
ISNUMBER(SEARCH("Korea Republic",S3687)),"South Korea",
ISNUMBER(SEARCH("Germany FR",S3687)),"FR Germany",
ISNUMBER(SEARCH("West Germany",S3687)),"FR Germany",
ISNUMBER(SEARCH("Germany DR",S3687)),"DR Germany",
ISNUMBER(SEARCH("Korea DPR",S3687)),"North Korea",
ISNUMBER(SEARCH("China PR",S3687)),"China",
ISNUMBER(SEARCH("IR Iran",S3687)),"Iran",
ISNUMBER(SEARCH("Congo DR",S3687)),"Democratic Republic of the Congo",
ISNUMBER(SEARCH("DR Congo",S3687)),"Democratic Republic of the Congo",
ISNUMBER(SEARCH("German DR",S3687)),"DR Germany",
ISNUMBER(SEARCH("rn""&gt;United Arab Emirates",S3687)),"United Arab Emirates",
ISNUMBER(SEARCH("rn""&gt;Republic of Ireland",S3687)),"Ireland",
ISNUMBER(SEARCH("rn""&gt;Bosnia and Herzegovina",S3687)),"Bosnia and Herzegovina",
ISNUMBER(SEARCH("rn""&gt;Trinidad and Tobago",S3687)),"Trinidad and Tobago",
ISNUMBER(SEARCH("rn""&gt;Serbia and Montenegro",S3687)),"Serbia and Montenegro",
ISNUMBER(SEARCH(_xlfn.UNICHAR(65533),S3687)),"Côte d'Ivoire",
TRUE,""
)</f>
        <v/>
      </c>
      <c r="W3687" s="40" t="str">
        <f t="shared" si="246"/>
        <v>Argentina</v>
      </c>
    </row>
    <row r="3688" spans="19:23">
      <c r="S3688" s="40" t="str">
        <v>Poland</v>
      </c>
      <c r="T3688" s="40" t="str">
        <f t="shared" si="244"/>
        <v>OK</v>
      </c>
      <c r="U3688" s="40" t="str">
        <f t="shared" si="245"/>
        <v>-</v>
      </c>
      <c r="V3688" s="40" t="str" cm="1">
        <f t="array" ref="V3688">_xlfn.IFS(
ISNUMBER(SEARCH("USA",S3688)),"United States",
ISNUMBER(SEARCH("Republic of Ireland",S3688)),"Ireland",
ISNUMBER(SEARCH("Republic of Korea",S3688)),"South Korea",
ISNUMBER(SEARCH("Cape Verde",S3688)),"Cabo Verde",
ISNUMBER(SEARCH("Czechia",S3688)),"Czech Republic",
ISNUMBER(SEARCH("Türkiye",S3688)),"Turkey",
ISNUMBER(SEARCH("Ivory Coast",S3688)),"Côte d'Ivoire",
ISNUMBER(SEARCH("Korea Republic",S3688)),"South Korea",
ISNUMBER(SEARCH("Germany FR",S3688)),"FR Germany",
ISNUMBER(SEARCH("West Germany",S3688)),"FR Germany",
ISNUMBER(SEARCH("Germany DR",S3688)),"DR Germany",
ISNUMBER(SEARCH("Korea DPR",S3688)),"North Korea",
ISNUMBER(SEARCH("China PR",S3688)),"China",
ISNUMBER(SEARCH("IR Iran",S3688)),"Iran",
ISNUMBER(SEARCH("Congo DR",S3688)),"Democratic Republic of the Congo",
ISNUMBER(SEARCH("DR Congo",S3688)),"Democratic Republic of the Congo",
ISNUMBER(SEARCH("German DR",S3688)),"DR Germany",
ISNUMBER(SEARCH("rn""&gt;United Arab Emirates",S3688)),"United Arab Emirates",
ISNUMBER(SEARCH("rn""&gt;Republic of Ireland",S3688)),"Ireland",
ISNUMBER(SEARCH("rn""&gt;Bosnia and Herzegovina",S3688)),"Bosnia and Herzegovina",
ISNUMBER(SEARCH("rn""&gt;Trinidad and Tobago",S3688)),"Trinidad and Tobago",
ISNUMBER(SEARCH("rn""&gt;Serbia and Montenegro",S3688)),"Serbia and Montenegro",
ISNUMBER(SEARCH(_xlfn.UNICHAR(65533),S3688)),"Côte d'Ivoire",
TRUE,""
)</f>
        <v/>
      </c>
      <c r="W3688" s="40" t="str">
        <f t="shared" si="246"/>
        <v>Poland</v>
      </c>
    </row>
    <row r="3689" spans="19:23">
      <c r="S3689" s="40" t="str">
        <v>Brazil</v>
      </c>
      <c r="T3689" s="40" t="str">
        <f t="shared" si="244"/>
        <v>OK</v>
      </c>
      <c r="U3689" s="40" t="str">
        <f t="shared" si="245"/>
        <v>-</v>
      </c>
      <c r="V3689" s="40" t="str" cm="1">
        <f t="array" ref="V3689">_xlfn.IFS(
ISNUMBER(SEARCH("USA",S3689)),"United States",
ISNUMBER(SEARCH("Republic of Ireland",S3689)),"Ireland",
ISNUMBER(SEARCH("Republic of Korea",S3689)),"South Korea",
ISNUMBER(SEARCH("Cape Verde",S3689)),"Cabo Verde",
ISNUMBER(SEARCH("Czechia",S3689)),"Czech Republic",
ISNUMBER(SEARCH("Türkiye",S3689)),"Turkey",
ISNUMBER(SEARCH("Ivory Coast",S3689)),"Côte d'Ivoire",
ISNUMBER(SEARCH("Korea Republic",S3689)),"South Korea",
ISNUMBER(SEARCH("Germany FR",S3689)),"FR Germany",
ISNUMBER(SEARCH("West Germany",S3689)),"FR Germany",
ISNUMBER(SEARCH("Germany DR",S3689)),"DR Germany",
ISNUMBER(SEARCH("Korea DPR",S3689)),"North Korea",
ISNUMBER(SEARCH("China PR",S3689)),"China",
ISNUMBER(SEARCH("IR Iran",S3689)),"Iran",
ISNUMBER(SEARCH("Congo DR",S3689)),"Democratic Republic of the Congo",
ISNUMBER(SEARCH("DR Congo",S3689)),"Democratic Republic of the Congo",
ISNUMBER(SEARCH("German DR",S3689)),"DR Germany",
ISNUMBER(SEARCH("rn""&gt;United Arab Emirates",S3689)),"United Arab Emirates",
ISNUMBER(SEARCH("rn""&gt;Republic of Ireland",S3689)),"Ireland",
ISNUMBER(SEARCH("rn""&gt;Bosnia and Herzegovina",S3689)),"Bosnia and Herzegovina",
ISNUMBER(SEARCH("rn""&gt;Trinidad and Tobago",S3689)),"Trinidad and Tobago",
ISNUMBER(SEARCH("rn""&gt;Serbia and Montenegro",S3689)),"Serbia and Montenegro",
ISNUMBER(SEARCH(_xlfn.UNICHAR(65533),S3689)),"Côte d'Ivoire",
TRUE,""
)</f>
        <v/>
      </c>
      <c r="W3689" s="40" t="str">
        <f t="shared" si="246"/>
        <v>Brazil</v>
      </c>
    </row>
    <row r="3690" spans="19:23">
      <c r="S3690" s="40" t="str">
        <v>Yugoslavia</v>
      </c>
      <c r="T3690" s="40" t="str">
        <f t="shared" si="244"/>
        <v>ERREUR</v>
      </c>
      <c r="U3690" s="40" t="str">
        <f t="shared" si="245"/>
        <v>AUCUNE</v>
      </c>
      <c r="V3690" s="40" t="str" cm="1">
        <f t="array" ref="V3690">_xlfn.IFS(
ISNUMBER(SEARCH("USA",S3690)),"United States",
ISNUMBER(SEARCH("Republic of Ireland",S3690)),"Ireland",
ISNUMBER(SEARCH("Republic of Korea",S3690)),"South Korea",
ISNUMBER(SEARCH("Cape Verde",S3690)),"Cabo Verde",
ISNUMBER(SEARCH("Czechia",S3690)),"Czech Republic",
ISNUMBER(SEARCH("Türkiye",S3690)),"Turkey",
ISNUMBER(SEARCH("Ivory Coast",S3690)),"Côte d'Ivoire",
ISNUMBER(SEARCH("Korea Republic",S3690)),"South Korea",
ISNUMBER(SEARCH("Germany FR",S3690)),"FR Germany",
ISNUMBER(SEARCH("West Germany",S3690)),"FR Germany",
ISNUMBER(SEARCH("Germany DR",S3690)),"DR Germany",
ISNUMBER(SEARCH("Korea DPR",S3690)),"North Korea",
ISNUMBER(SEARCH("China PR",S3690)),"China",
ISNUMBER(SEARCH("IR Iran",S3690)),"Iran",
ISNUMBER(SEARCH("Congo DR",S3690)),"Democratic Republic of the Congo",
ISNUMBER(SEARCH("DR Congo",S3690)),"Democratic Republic of the Congo",
ISNUMBER(SEARCH("German DR",S3690)),"DR Germany",
ISNUMBER(SEARCH("rn""&gt;United Arab Emirates",S3690)),"United Arab Emirates",
ISNUMBER(SEARCH("rn""&gt;Republic of Ireland",S3690)),"Ireland",
ISNUMBER(SEARCH("rn""&gt;Bosnia and Herzegovina",S3690)),"Bosnia and Herzegovina",
ISNUMBER(SEARCH("rn""&gt;Trinidad and Tobago",S3690)),"Trinidad and Tobago",
ISNUMBER(SEARCH("rn""&gt;Serbia and Montenegro",S3690)),"Serbia and Montenegro",
ISNUMBER(SEARCH(_xlfn.UNICHAR(65533),S3690)),"Côte d'Ivoire",
TRUE,""
)</f>
        <v/>
      </c>
      <c r="W3690" s="40" t="str">
        <f t="shared" si="246"/>
        <v>Yugoslavia</v>
      </c>
    </row>
    <row r="3691" spans="19:23">
      <c r="S3691" s="40" t="str">
        <v>Netherlands</v>
      </c>
      <c r="T3691" s="40" t="str">
        <f t="shared" si="244"/>
        <v>OK</v>
      </c>
      <c r="U3691" s="40" t="str">
        <f t="shared" si="245"/>
        <v>-</v>
      </c>
      <c r="V3691" s="40" t="str" cm="1">
        <f t="array" ref="V3691">_xlfn.IFS(
ISNUMBER(SEARCH("USA",S3691)),"United States",
ISNUMBER(SEARCH("Republic of Ireland",S3691)),"Ireland",
ISNUMBER(SEARCH("Republic of Korea",S3691)),"South Korea",
ISNUMBER(SEARCH("Cape Verde",S3691)),"Cabo Verde",
ISNUMBER(SEARCH("Czechia",S3691)),"Czech Republic",
ISNUMBER(SEARCH("Türkiye",S3691)),"Turkey",
ISNUMBER(SEARCH("Ivory Coast",S3691)),"Côte d'Ivoire",
ISNUMBER(SEARCH("Korea Republic",S3691)),"South Korea",
ISNUMBER(SEARCH("Germany FR",S3691)),"FR Germany",
ISNUMBER(SEARCH("West Germany",S3691)),"FR Germany",
ISNUMBER(SEARCH("Germany DR",S3691)),"DR Germany",
ISNUMBER(SEARCH("Korea DPR",S3691)),"North Korea",
ISNUMBER(SEARCH("China PR",S3691)),"China",
ISNUMBER(SEARCH("IR Iran",S3691)),"Iran",
ISNUMBER(SEARCH("Congo DR",S3691)),"Democratic Republic of the Congo",
ISNUMBER(SEARCH("DR Congo",S3691)),"Democratic Republic of the Congo",
ISNUMBER(SEARCH("German DR",S3691)),"DR Germany",
ISNUMBER(SEARCH("rn""&gt;United Arab Emirates",S3691)),"United Arab Emirates",
ISNUMBER(SEARCH("rn""&gt;Republic of Ireland",S3691)),"Ireland",
ISNUMBER(SEARCH("rn""&gt;Bosnia and Herzegovina",S3691)),"Bosnia and Herzegovina",
ISNUMBER(SEARCH("rn""&gt;Trinidad and Tobago",S3691)),"Trinidad and Tobago",
ISNUMBER(SEARCH("rn""&gt;Serbia and Montenegro",S3691)),"Serbia and Montenegro",
ISNUMBER(SEARCH(_xlfn.UNICHAR(65533),S3691)),"Côte d'Ivoire",
TRUE,""
)</f>
        <v/>
      </c>
      <c r="W3691" s="40" t="str">
        <f t="shared" si="246"/>
        <v>Netherlands</v>
      </c>
    </row>
    <row r="3692" spans="19:23">
      <c r="S3692" s="40" t="str">
        <v>Sweden</v>
      </c>
      <c r="T3692" s="40" t="str">
        <f t="shared" si="244"/>
        <v>OK</v>
      </c>
      <c r="U3692" s="40" t="str">
        <f t="shared" si="245"/>
        <v>-</v>
      </c>
      <c r="V3692" s="40" t="str" cm="1">
        <f t="array" ref="V3692">_xlfn.IFS(
ISNUMBER(SEARCH("USA",S3692)),"United States",
ISNUMBER(SEARCH("Republic of Ireland",S3692)),"Ireland",
ISNUMBER(SEARCH("Republic of Korea",S3692)),"South Korea",
ISNUMBER(SEARCH("Cape Verde",S3692)),"Cabo Verde",
ISNUMBER(SEARCH("Czechia",S3692)),"Czech Republic",
ISNUMBER(SEARCH("Türkiye",S3692)),"Turkey",
ISNUMBER(SEARCH("Ivory Coast",S3692)),"Côte d'Ivoire",
ISNUMBER(SEARCH("Korea Republic",S3692)),"South Korea",
ISNUMBER(SEARCH("Germany FR",S3692)),"FR Germany",
ISNUMBER(SEARCH("West Germany",S3692)),"FR Germany",
ISNUMBER(SEARCH("Germany DR",S3692)),"DR Germany",
ISNUMBER(SEARCH("Korea DPR",S3692)),"North Korea",
ISNUMBER(SEARCH("China PR",S3692)),"China",
ISNUMBER(SEARCH("IR Iran",S3692)),"Iran",
ISNUMBER(SEARCH("Congo DR",S3692)),"Democratic Republic of the Congo",
ISNUMBER(SEARCH("DR Congo",S3692)),"Democratic Republic of the Congo",
ISNUMBER(SEARCH("German DR",S3692)),"DR Germany",
ISNUMBER(SEARCH("rn""&gt;United Arab Emirates",S3692)),"United Arab Emirates",
ISNUMBER(SEARCH("rn""&gt;Republic of Ireland",S3692)),"Ireland",
ISNUMBER(SEARCH("rn""&gt;Bosnia and Herzegovina",S3692)),"Bosnia and Herzegovina",
ISNUMBER(SEARCH("rn""&gt;Trinidad and Tobago",S3692)),"Trinidad and Tobago",
ISNUMBER(SEARCH("rn""&gt;Serbia and Montenegro",S3692)),"Serbia and Montenegro",
ISNUMBER(SEARCH(_xlfn.UNICHAR(65533),S3692)),"Côte d'Ivoire",
TRUE,""
)</f>
        <v/>
      </c>
      <c r="W3692" s="40" t="str">
        <f t="shared" si="246"/>
        <v>Sweden</v>
      </c>
    </row>
    <row r="3693" spans="19:23">
      <c r="S3693" s="40" t="str">
        <v>Germany FR</v>
      </c>
      <c r="T3693" s="40" t="str">
        <f t="shared" si="244"/>
        <v>ERREUR</v>
      </c>
      <c r="U3693" s="40" t="str">
        <f t="shared" si="245"/>
        <v>RENOMMER</v>
      </c>
      <c r="V3693" s="40" t="str" cm="1">
        <f t="array" ref="V3693">_xlfn.IFS(
ISNUMBER(SEARCH("USA",S3693)),"United States",
ISNUMBER(SEARCH("Republic of Ireland",S3693)),"Ireland",
ISNUMBER(SEARCH("Republic of Korea",S3693)),"South Korea",
ISNUMBER(SEARCH("Cape Verde",S3693)),"Cabo Verde",
ISNUMBER(SEARCH("Czechia",S3693)),"Czech Republic",
ISNUMBER(SEARCH("Türkiye",S3693)),"Turkey",
ISNUMBER(SEARCH("Ivory Coast",S3693)),"Côte d'Ivoire",
ISNUMBER(SEARCH("Korea Republic",S3693)),"South Korea",
ISNUMBER(SEARCH("Germany FR",S3693)),"FR Germany",
ISNUMBER(SEARCH("West Germany",S3693)),"FR Germany",
ISNUMBER(SEARCH("Germany DR",S3693)),"DR Germany",
ISNUMBER(SEARCH("Korea DPR",S3693)),"North Korea",
ISNUMBER(SEARCH("China PR",S3693)),"China",
ISNUMBER(SEARCH("IR Iran",S3693)),"Iran",
ISNUMBER(SEARCH("Congo DR",S3693)),"Democratic Republic of the Congo",
ISNUMBER(SEARCH("DR Congo",S3693)),"Democratic Republic of the Congo",
ISNUMBER(SEARCH("German DR",S3693)),"DR Germany",
ISNUMBER(SEARCH("rn""&gt;United Arab Emirates",S3693)),"United Arab Emirates",
ISNUMBER(SEARCH("rn""&gt;Republic of Ireland",S3693)),"Ireland",
ISNUMBER(SEARCH("rn""&gt;Bosnia and Herzegovina",S3693)),"Bosnia and Herzegovina",
ISNUMBER(SEARCH("rn""&gt;Trinidad and Tobago",S3693)),"Trinidad and Tobago",
ISNUMBER(SEARCH("rn""&gt;Serbia and Montenegro",S3693)),"Serbia and Montenegro",
ISNUMBER(SEARCH(_xlfn.UNICHAR(65533),S3693)),"Côte d'Ivoire",
TRUE,""
)</f>
        <v>FR Germany</v>
      </c>
      <c r="W3693" s="40" t="str">
        <f t="shared" si="246"/>
        <v>FR Germany</v>
      </c>
    </row>
    <row r="3694" spans="19:23">
      <c r="S3694" s="40" t="str">
        <v>Brazil</v>
      </c>
      <c r="T3694" s="40" t="str">
        <f t="shared" si="244"/>
        <v>OK</v>
      </c>
      <c r="U3694" s="40" t="str">
        <f t="shared" si="245"/>
        <v>-</v>
      </c>
      <c r="V3694" s="40" t="str" cm="1">
        <f t="array" ref="V3694">_xlfn.IFS(
ISNUMBER(SEARCH("USA",S3694)),"United States",
ISNUMBER(SEARCH("Republic of Ireland",S3694)),"Ireland",
ISNUMBER(SEARCH("Republic of Korea",S3694)),"South Korea",
ISNUMBER(SEARCH("Cape Verde",S3694)),"Cabo Verde",
ISNUMBER(SEARCH("Czechia",S3694)),"Czech Republic",
ISNUMBER(SEARCH("Türkiye",S3694)),"Turkey",
ISNUMBER(SEARCH("Ivory Coast",S3694)),"Côte d'Ivoire",
ISNUMBER(SEARCH("Korea Republic",S3694)),"South Korea",
ISNUMBER(SEARCH("Germany FR",S3694)),"FR Germany",
ISNUMBER(SEARCH("West Germany",S3694)),"FR Germany",
ISNUMBER(SEARCH("Germany DR",S3694)),"DR Germany",
ISNUMBER(SEARCH("Korea DPR",S3694)),"North Korea",
ISNUMBER(SEARCH("China PR",S3694)),"China",
ISNUMBER(SEARCH("IR Iran",S3694)),"Iran",
ISNUMBER(SEARCH("Congo DR",S3694)),"Democratic Republic of the Congo",
ISNUMBER(SEARCH("DR Congo",S3694)),"Democratic Republic of the Congo",
ISNUMBER(SEARCH("German DR",S3694)),"DR Germany",
ISNUMBER(SEARCH("rn""&gt;United Arab Emirates",S3694)),"United Arab Emirates",
ISNUMBER(SEARCH("rn""&gt;Republic of Ireland",S3694)),"Ireland",
ISNUMBER(SEARCH("rn""&gt;Bosnia and Herzegovina",S3694)),"Bosnia and Herzegovina",
ISNUMBER(SEARCH("rn""&gt;Trinidad and Tobago",S3694)),"Trinidad and Tobago",
ISNUMBER(SEARCH("rn""&gt;Serbia and Montenegro",S3694)),"Serbia and Montenegro",
ISNUMBER(SEARCH(_xlfn.UNICHAR(65533),S3694)),"Côte d'Ivoire",
TRUE,""
)</f>
        <v/>
      </c>
      <c r="W3694" s="40" t="str">
        <f t="shared" si="246"/>
        <v>Brazil</v>
      </c>
    </row>
    <row r="3695" spans="19:23">
      <c r="S3695" s="40" t="str">
        <v>German DR</v>
      </c>
      <c r="T3695" s="40" t="str">
        <f t="shared" si="244"/>
        <v>ERREUR</v>
      </c>
      <c r="U3695" s="40" t="str">
        <f t="shared" si="245"/>
        <v>RENOMMER</v>
      </c>
      <c r="V3695" s="40" t="str" cm="1">
        <f t="array" ref="V3695">_xlfn.IFS(
ISNUMBER(SEARCH("USA",S3695)),"United States",
ISNUMBER(SEARCH("Republic of Ireland",S3695)),"Ireland",
ISNUMBER(SEARCH("Republic of Korea",S3695)),"South Korea",
ISNUMBER(SEARCH("Cape Verde",S3695)),"Cabo Verde",
ISNUMBER(SEARCH("Czechia",S3695)),"Czech Republic",
ISNUMBER(SEARCH("Türkiye",S3695)),"Turkey",
ISNUMBER(SEARCH("Ivory Coast",S3695)),"Côte d'Ivoire",
ISNUMBER(SEARCH("Korea Republic",S3695)),"South Korea",
ISNUMBER(SEARCH("Germany FR",S3695)),"FR Germany",
ISNUMBER(SEARCH("West Germany",S3695)),"FR Germany",
ISNUMBER(SEARCH("Germany DR",S3695)),"DR Germany",
ISNUMBER(SEARCH("Korea DPR",S3695)),"North Korea",
ISNUMBER(SEARCH("China PR",S3695)),"China",
ISNUMBER(SEARCH("IR Iran",S3695)),"Iran",
ISNUMBER(SEARCH("Congo DR",S3695)),"Democratic Republic of the Congo",
ISNUMBER(SEARCH("DR Congo",S3695)),"Democratic Republic of the Congo",
ISNUMBER(SEARCH("German DR",S3695)),"DR Germany",
ISNUMBER(SEARCH("rn""&gt;United Arab Emirates",S3695)),"United Arab Emirates",
ISNUMBER(SEARCH("rn""&gt;Republic of Ireland",S3695)),"Ireland",
ISNUMBER(SEARCH("rn""&gt;Bosnia and Herzegovina",S3695)),"Bosnia and Herzegovina",
ISNUMBER(SEARCH("rn""&gt;Trinidad and Tobago",S3695)),"Trinidad and Tobago",
ISNUMBER(SEARCH("rn""&gt;Serbia and Montenegro",S3695)),"Serbia and Montenegro",
ISNUMBER(SEARCH(_xlfn.UNICHAR(65533),S3695)),"Côte d'Ivoire",
TRUE,""
)</f>
        <v>DR Germany</v>
      </c>
      <c r="W3695" s="40" t="str">
        <f t="shared" si="246"/>
        <v>DR Germany</v>
      </c>
    </row>
    <row r="3696" spans="19:23">
      <c r="S3696" s="40" t="str">
        <v>Yugoslavia</v>
      </c>
      <c r="T3696" s="40" t="str">
        <f t="shared" si="244"/>
        <v>ERREUR</v>
      </c>
      <c r="U3696" s="40" t="str">
        <f t="shared" si="245"/>
        <v>AUCUNE</v>
      </c>
      <c r="V3696" s="40" t="str" cm="1">
        <f t="array" ref="V3696">_xlfn.IFS(
ISNUMBER(SEARCH("USA",S3696)),"United States",
ISNUMBER(SEARCH("Republic of Ireland",S3696)),"Ireland",
ISNUMBER(SEARCH("Republic of Korea",S3696)),"South Korea",
ISNUMBER(SEARCH("Cape Verde",S3696)),"Cabo Verde",
ISNUMBER(SEARCH("Czechia",S3696)),"Czech Republic",
ISNUMBER(SEARCH("Türkiye",S3696)),"Turkey",
ISNUMBER(SEARCH("Ivory Coast",S3696)),"Côte d'Ivoire",
ISNUMBER(SEARCH("Korea Republic",S3696)),"South Korea",
ISNUMBER(SEARCH("Germany FR",S3696)),"FR Germany",
ISNUMBER(SEARCH("West Germany",S3696)),"FR Germany",
ISNUMBER(SEARCH("Germany DR",S3696)),"DR Germany",
ISNUMBER(SEARCH("Korea DPR",S3696)),"North Korea",
ISNUMBER(SEARCH("China PR",S3696)),"China",
ISNUMBER(SEARCH("IR Iran",S3696)),"Iran",
ISNUMBER(SEARCH("Congo DR",S3696)),"Democratic Republic of the Congo",
ISNUMBER(SEARCH("DR Congo",S3696)),"Democratic Republic of the Congo",
ISNUMBER(SEARCH("German DR",S3696)),"DR Germany",
ISNUMBER(SEARCH("rn""&gt;United Arab Emirates",S3696)),"United Arab Emirates",
ISNUMBER(SEARCH("rn""&gt;Republic of Ireland",S3696)),"Ireland",
ISNUMBER(SEARCH("rn""&gt;Bosnia and Herzegovina",S3696)),"Bosnia and Herzegovina",
ISNUMBER(SEARCH("rn""&gt;Trinidad and Tobago",S3696)),"Trinidad and Tobago",
ISNUMBER(SEARCH("rn""&gt;Serbia and Montenegro",S3696)),"Serbia and Montenegro",
ISNUMBER(SEARCH(_xlfn.UNICHAR(65533),S3696)),"Côte d'Ivoire",
TRUE,""
)</f>
        <v/>
      </c>
      <c r="W3696" s="40" t="str">
        <f t="shared" si="246"/>
        <v>Yugoslavia</v>
      </c>
    </row>
    <row r="3697" spans="19:23">
      <c r="S3697" s="40" t="str">
        <v>Poland</v>
      </c>
      <c r="T3697" s="40" t="str">
        <f t="shared" si="244"/>
        <v>OK</v>
      </c>
      <c r="U3697" s="40" t="str">
        <f t="shared" si="245"/>
        <v>-</v>
      </c>
      <c r="V3697" s="40" t="str" cm="1">
        <f t="array" ref="V3697">_xlfn.IFS(
ISNUMBER(SEARCH("USA",S3697)),"United States",
ISNUMBER(SEARCH("Republic of Ireland",S3697)),"Ireland",
ISNUMBER(SEARCH("Republic of Korea",S3697)),"South Korea",
ISNUMBER(SEARCH("Cape Verde",S3697)),"Cabo Verde",
ISNUMBER(SEARCH("Czechia",S3697)),"Czech Republic",
ISNUMBER(SEARCH("Türkiye",S3697)),"Turkey",
ISNUMBER(SEARCH("Ivory Coast",S3697)),"Côte d'Ivoire",
ISNUMBER(SEARCH("Korea Republic",S3697)),"South Korea",
ISNUMBER(SEARCH("Germany FR",S3697)),"FR Germany",
ISNUMBER(SEARCH("West Germany",S3697)),"FR Germany",
ISNUMBER(SEARCH("Germany DR",S3697)),"DR Germany",
ISNUMBER(SEARCH("Korea DPR",S3697)),"North Korea",
ISNUMBER(SEARCH("China PR",S3697)),"China",
ISNUMBER(SEARCH("IR Iran",S3697)),"Iran",
ISNUMBER(SEARCH("Congo DR",S3697)),"Democratic Republic of the Congo",
ISNUMBER(SEARCH("DR Congo",S3697)),"Democratic Republic of the Congo",
ISNUMBER(SEARCH("German DR",S3697)),"DR Germany",
ISNUMBER(SEARCH("rn""&gt;United Arab Emirates",S3697)),"United Arab Emirates",
ISNUMBER(SEARCH("rn""&gt;Republic of Ireland",S3697)),"Ireland",
ISNUMBER(SEARCH("rn""&gt;Bosnia and Herzegovina",S3697)),"Bosnia and Herzegovina",
ISNUMBER(SEARCH("rn""&gt;Trinidad and Tobago",S3697)),"Trinidad and Tobago",
ISNUMBER(SEARCH("rn""&gt;Serbia and Montenegro",S3697)),"Serbia and Montenegro",
ISNUMBER(SEARCH(_xlfn.UNICHAR(65533),S3697)),"Côte d'Ivoire",
TRUE,""
)</f>
        <v/>
      </c>
      <c r="W3697" s="40" t="str">
        <f t="shared" si="246"/>
        <v>Poland</v>
      </c>
    </row>
    <row r="3698" spans="19:23">
      <c r="S3698" s="40" t="str">
        <v>Germany FR</v>
      </c>
      <c r="T3698" s="40" t="str">
        <f t="shared" si="244"/>
        <v>ERREUR</v>
      </c>
      <c r="U3698" s="40" t="str">
        <f t="shared" si="245"/>
        <v>RENOMMER</v>
      </c>
      <c r="V3698" s="40" t="str" cm="1">
        <f t="array" ref="V3698">_xlfn.IFS(
ISNUMBER(SEARCH("USA",S3698)),"United States",
ISNUMBER(SEARCH("Republic of Ireland",S3698)),"Ireland",
ISNUMBER(SEARCH("Republic of Korea",S3698)),"South Korea",
ISNUMBER(SEARCH("Cape Verde",S3698)),"Cabo Verde",
ISNUMBER(SEARCH("Czechia",S3698)),"Czech Republic",
ISNUMBER(SEARCH("Türkiye",S3698)),"Turkey",
ISNUMBER(SEARCH("Ivory Coast",S3698)),"Côte d'Ivoire",
ISNUMBER(SEARCH("Korea Republic",S3698)),"South Korea",
ISNUMBER(SEARCH("Germany FR",S3698)),"FR Germany",
ISNUMBER(SEARCH("West Germany",S3698)),"FR Germany",
ISNUMBER(SEARCH("Germany DR",S3698)),"DR Germany",
ISNUMBER(SEARCH("Korea DPR",S3698)),"North Korea",
ISNUMBER(SEARCH("China PR",S3698)),"China",
ISNUMBER(SEARCH("IR Iran",S3698)),"Iran",
ISNUMBER(SEARCH("Congo DR",S3698)),"Democratic Republic of the Congo",
ISNUMBER(SEARCH("DR Congo",S3698)),"Democratic Republic of the Congo",
ISNUMBER(SEARCH("German DR",S3698)),"DR Germany",
ISNUMBER(SEARCH("rn""&gt;United Arab Emirates",S3698)),"United Arab Emirates",
ISNUMBER(SEARCH("rn""&gt;Republic of Ireland",S3698)),"Ireland",
ISNUMBER(SEARCH("rn""&gt;Bosnia and Herzegovina",S3698)),"Bosnia and Herzegovina",
ISNUMBER(SEARCH("rn""&gt;Trinidad and Tobago",S3698)),"Trinidad and Tobago",
ISNUMBER(SEARCH("rn""&gt;Serbia and Montenegro",S3698)),"Serbia and Montenegro",
ISNUMBER(SEARCH(_xlfn.UNICHAR(65533),S3698)),"Côte d'Ivoire",
TRUE,""
)</f>
        <v>FR Germany</v>
      </c>
      <c r="W3698" s="40" t="str">
        <f t="shared" si="246"/>
        <v>FR Germany</v>
      </c>
    </row>
    <row r="3699" spans="19:23">
      <c r="S3699" s="40" t="str">
        <v>Poland</v>
      </c>
      <c r="T3699" s="40" t="str">
        <f t="shared" si="244"/>
        <v>OK</v>
      </c>
      <c r="U3699" s="40" t="str">
        <f t="shared" si="245"/>
        <v>-</v>
      </c>
      <c r="V3699" s="40" t="str" cm="1">
        <f t="array" ref="V3699">_xlfn.IFS(
ISNUMBER(SEARCH("USA",S3699)),"United States",
ISNUMBER(SEARCH("Republic of Ireland",S3699)),"Ireland",
ISNUMBER(SEARCH("Republic of Korea",S3699)),"South Korea",
ISNUMBER(SEARCH("Cape Verde",S3699)),"Cabo Verde",
ISNUMBER(SEARCH("Czechia",S3699)),"Czech Republic",
ISNUMBER(SEARCH("Türkiye",S3699)),"Turkey",
ISNUMBER(SEARCH("Ivory Coast",S3699)),"Côte d'Ivoire",
ISNUMBER(SEARCH("Korea Republic",S3699)),"South Korea",
ISNUMBER(SEARCH("Germany FR",S3699)),"FR Germany",
ISNUMBER(SEARCH("West Germany",S3699)),"FR Germany",
ISNUMBER(SEARCH("Germany DR",S3699)),"DR Germany",
ISNUMBER(SEARCH("Korea DPR",S3699)),"North Korea",
ISNUMBER(SEARCH("China PR",S3699)),"China",
ISNUMBER(SEARCH("IR Iran",S3699)),"Iran",
ISNUMBER(SEARCH("Congo DR",S3699)),"Democratic Republic of the Congo",
ISNUMBER(SEARCH("DR Congo",S3699)),"Democratic Republic of the Congo",
ISNUMBER(SEARCH("German DR",S3699)),"DR Germany",
ISNUMBER(SEARCH("rn""&gt;United Arab Emirates",S3699)),"United Arab Emirates",
ISNUMBER(SEARCH("rn""&gt;Republic of Ireland",S3699)),"Ireland",
ISNUMBER(SEARCH("rn""&gt;Bosnia and Herzegovina",S3699)),"Bosnia and Herzegovina",
ISNUMBER(SEARCH("rn""&gt;Trinidad and Tobago",S3699)),"Trinidad and Tobago",
ISNUMBER(SEARCH("rn""&gt;Serbia and Montenegro",S3699)),"Serbia and Montenegro",
ISNUMBER(SEARCH(_xlfn.UNICHAR(65533),S3699)),"Côte d'Ivoire",
TRUE,""
)</f>
        <v/>
      </c>
      <c r="W3699" s="40" t="str">
        <f t="shared" si="246"/>
        <v>Poland</v>
      </c>
    </row>
    <row r="3700" spans="19:23">
      <c r="S3700" s="40" t="str">
        <v>France</v>
      </c>
      <c r="T3700" s="40" t="str">
        <f t="shared" si="244"/>
        <v>OK</v>
      </c>
      <c r="U3700" s="40" t="str">
        <f t="shared" si="245"/>
        <v>-</v>
      </c>
      <c r="V3700" s="40" t="str" cm="1">
        <f t="array" ref="V3700">_xlfn.IFS(
ISNUMBER(SEARCH("USA",S3700)),"United States",
ISNUMBER(SEARCH("Republic of Ireland",S3700)),"Ireland",
ISNUMBER(SEARCH("Republic of Korea",S3700)),"South Korea",
ISNUMBER(SEARCH("Cape Verde",S3700)),"Cabo Verde",
ISNUMBER(SEARCH("Czechia",S3700)),"Czech Republic",
ISNUMBER(SEARCH("Türkiye",S3700)),"Turkey",
ISNUMBER(SEARCH("Ivory Coast",S3700)),"Côte d'Ivoire",
ISNUMBER(SEARCH("Korea Republic",S3700)),"South Korea",
ISNUMBER(SEARCH("Germany FR",S3700)),"FR Germany",
ISNUMBER(SEARCH("West Germany",S3700)),"FR Germany",
ISNUMBER(SEARCH("Germany DR",S3700)),"DR Germany",
ISNUMBER(SEARCH("Korea DPR",S3700)),"North Korea",
ISNUMBER(SEARCH("China PR",S3700)),"China",
ISNUMBER(SEARCH("IR Iran",S3700)),"Iran",
ISNUMBER(SEARCH("Congo DR",S3700)),"Democratic Republic of the Congo",
ISNUMBER(SEARCH("DR Congo",S3700)),"Democratic Republic of the Congo",
ISNUMBER(SEARCH("German DR",S3700)),"DR Germany",
ISNUMBER(SEARCH("rn""&gt;United Arab Emirates",S3700)),"United Arab Emirates",
ISNUMBER(SEARCH("rn""&gt;Republic of Ireland",S3700)),"Ireland",
ISNUMBER(SEARCH("rn""&gt;Bosnia and Herzegovina",S3700)),"Bosnia and Herzegovina",
ISNUMBER(SEARCH("rn""&gt;Trinidad and Tobago",S3700)),"Trinidad and Tobago",
ISNUMBER(SEARCH("rn""&gt;Serbia and Montenegro",S3700)),"Serbia and Montenegro",
ISNUMBER(SEARCH(_xlfn.UNICHAR(65533),S3700)),"Côte d'Ivoire",
TRUE,""
)</f>
        <v/>
      </c>
      <c r="W3700" s="40" t="str">
        <f t="shared" si="246"/>
        <v>France</v>
      </c>
    </row>
    <row r="3701" spans="19:23">
      <c r="S3701" s="40" t="str">
        <v>Mexico</v>
      </c>
      <c r="T3701" s="40" t="str">
        <f t="shared" si="244"/>
        <v>OK</v>
      </c>
      <c r="U3701" s="40" t="str">
        <f t="shared" si="245"/>
        <v>-</v>
      </c>
      <c r="V3701" s="40" t="str" cm="1">
        <f t="array" ref="V3701">_xlfn.IFS(
ISNUMBER(SEARCH("USA",S3701)),"United States",
ISNUMBER(SEARCH("Republic of Ireland",S3701)),"Ireland",
ISNUMBER(SEARCH("Republic of Korea",S3701)),"South Korea",
ISNUMBER(SEARCH("Cape Verde",S3701)),"Cabo Verde",
ISNUMBER(SEARCH("Czechia",S3701)),"Czech Republic",
ISNUMBER(SEARCH("Türkiye",S3701)),"Turkey",
ISNUMBER(SEARCH("Ivory Coast",S3701)),"Côte d'Ivoire",
ISNUMBER(SEARCH("Korea Republic",S3701)),"South Korea",
ISNUMBER(SEARCH("Germany FR",S3701)),"FR Germany",
ISNUMBER(SEARCH("West Germany",S3701)),"FR Germany",
ISNUMBER(SEARCH("Germany DR",S3701)),"DR Germany",
ISNUMBER(SEARCH("Korea DPR",S3701)),"North Korea",
ISNUMBER(SEARCH("China PR",S3701)),"China",
ISNUMBER(SEARCH("IR Iran",S3701)),"Iran",
ISNUMBER(SEARCH("Congo DR",S3701)),"Democratic Republic of the Congo",
ISNUMBER(SEARCH("DR Congo",S3701)),"Democratic Republic of the Congo",
ISNUMBER(SEARCH("German DR",S3701)),"DR Germany",
ISNUMBER(SEARCH("rn""&gt;United Arab Emirates",S3701)),"United Arab Emirates",
ISNUMBER(SEARCH("rn""&gt;Republic of Ireland",S3701)),"Ireland",
ISNUMBER(SEARCH("rn""&gt;Bosnia and Herzegovina",S3701)),"Bosnia and Herzegovina",
ISNUMBER(SEARCH("rn""&gt;Trinidad and Tobago",S3701)),"Trinidad and Tobago",
ISNUMBER(SEARCH("rn""&gt;Serbia and Montenegro",S3701)),"Serbia and Montenegro",
ISNUMBER(SEARCH(_xlfn.UNICHAR(65533),S3701)),"Côte d'Ivoire",
TRUE,""
)</f>
        <v/>
      </c>
      <c r="W3701" s="40" t="str">
        <f t="shared" si="246"/>
        <v>Mexico</v>
      </c>
    </row>
    <row r="3702" spans="19:23">
      <c r="S3702" s="40" t="str">
        <v>Hungary</v>
      </c>
      <c r="T3702" s="40" t="str">
        <f t="shared" si="244"/>
        <v>OK</v>
      </c>
      <c r="U3702" s="40" t="str">
        <f t="shared" si="245"/>
        <v>-</v>
      </c>
      <c r="V3702" s="40" t="str" cm="1">
        <f t="array" ref="V3702">_xlfn.IFS(
ISNUMBER(SEARCH("USA",S3702)),"United States",
ISNUMBER(SEARCH("Republic of Ireland",S3702)),"Ireland",
ISNUMBER(SEARCH("Republic of Korea",S3702)),"South Korea",
ISNUMBER(SEARCH("Cape Verde",S3702)),"Cabo Verde",
ISNUMBER(SEARCH("Czechia",S3702)),"Czech Republic",
ISNUMBER(SEARCH("Türkiye",S3702)),"Turkey",
ISNUMBER(SEARCH("Ivory Coast",S3702)),"Côte d'Ivoire",
ISNUMBER(SEARCH("Korea Republic",S3702)),"South Korea",
ISNUMBER(SEARCH("Germany FR",S3702)),"FR Germany",
ISNUMBER(SEARCH("West Germany",S3702)),"FR Germany",
ISNUMBER(SEARCH("Germany DR",S3702)),"DR Germany",
ISNUMBER(SEARCH("Korea DPR",S3702)),"North Korea",
ISNUMBER(SEARCH("China PR",S3702)),"China",
ISNUMBER(SEARCH("IR Iran",S3702)),"Iran",
ISNUMBER(SEARCH("Congo DR",S3702)),"Democratic Republic of the Congo",
ISNUMBER(SEARCH("DR Congo",S3702)),"Democratic Republic of the Congo",
ISNUMBER(SEARCH("German DR",S3702)),"DR Germany",
ISNUMBER(SEARCH("rn""&gt;United Arab Emirates",S3702)),"United Arab Emirates",
ISNUMBER(SEARCH("rn""&gt;Republic of Ireland",S3702)),"Ireland",
ISNUMBER(SEARCH("rn""&gt;Bosnia and Herzegovina",S3702)),"Bosnia and Herzegovina",
ISNUMBER(SEARCH("rn""&gt;Trinidad and Tobago",S3702)),"Trinidad and Tobago",
ISNUMBER(SEARCH("rn""&gt;Serbia and Montenegro",S3702)),"Serbia and Montenegro",
ISNUMBER(SEARCH(_xlfn.UNICHAR(65533),S3702)),"Côte d'Ivoire",
TRUE,""
)</f>
        <v/>
      </c>
      <c r="W3702" s="40" t="str">
        <f t="shared" si="246"/>
        <v>Hungary</v>
      </c>
    </row>
    <row r="3703" spans="19:23">
      <c r="S3703" s="40" t="str">
        <v>Brazil</v>
      </c>
      <c r="T3703" s="40" t="str">
        <f t="shared" si="244"/>
        <v>OK</v>
      </c>
      <c r="U3703" s="40" t="str">
        <f t="shared" si="245"/>
        <v>-</v>
      </c>
      <c r="V3703" s="40" t="str" cm="1">
        <f t="array" ref="V3703">_xlfn.IFS(
ISNUMBER(SEARCH("USA",S3703)),"United States",
ISNUMBER(SEARCH("Republic of Ireland",S3703)),"Ireland",
ISNUMBER(SEARCH("Republic of Korea",S3703)),"South Korea",
ISNUMBER(SEARCH("Cape Verde",S3703)),"Cabo Verde",
ISNUMBER(SEARCH("Czechia",S3703)),"Czech Republic",
ISNUMBER(SEARCH("Türkiye",S3703)),"Turkey",
ISNUMBER(SEARCH("Ivory Coast",S3703)),"Côte d'Ivoire",
ISNUMBER(SEARCH("Korea Republic",S3703)),"South Korea",
ISNUMBER(SEARCH("Germany FR",S3703)),"FR Germany",
ISNUMBER(SEARCH("West Germany",S3703)),"FR Germany",
ISNUMBER(SEARCH("Germany DR",S3703)),"DR Germany",
ISNUMBER(SEARCH("Korea DPR",S3703)),"North Korea",
ISNUMBER(SEARCH("China PR",S3703)),"China",
ISNUMBER(SEARCH("IR Iran",S3703)),"Iran",
ISNUMBER(SEARCH("Congo DR",S3703)),"Democratic Republic of the Congo",
ISNUMBER(SEARCH("DR Congo",S3703)),"Democratic Republic of the Congo",
ISNUMBER(SEARCH("German DR",S3703)),"DR Germany",
ISNUMBER(SEARCH("rn""&gt;United Arab Emirates",S3703)),"United Arab Emirates",
ISNUMBER(SEARCH("rn""&gt;Republic of Ireland",S3703)),"Ireland",
ISNUMBER(SEARCH("rn""&gt;Bosnia and Herzegovina",S3703)),"Bosnia and Herzegovina",
ISNUMBER(SEARCH("rn""&gt;Trinidad and Tobago",S3703)),"Trinidad and Tobago",
ISNUMBER(SEARCH("rn""&gt;Serbia and Montenegro",S3703)),"Serbia and Montenegro",
ISNUMBER(SEARCH(_xlfn.UNICHAR(65533),S3703)),"Côte d'Ivoire",
TRUE,""
)</f>
        <v/>
      </c>
      <c r="W3703" s="40" t="str">
        <f t="shared" si="246"/>
        <v>Brazil</v>
      </c>
    </row>
    <row r="3704" spans="19:23">
      <c r="S3704" s="40" t="str">
        <v>Spain</v>
      </c>
      <c r="T3704" s="40" t="str">
        <f t="shared" si="244"/>
        <v>OK</v>
      </c>
      <c r="U3704" s="40" t="str">
        <f t="shared" si="245"/>
        <v>-</v>
      </c>
      <c r="V3704" s="40" t="str" cm="1">
        <f t="array" ref="V3704">_xlfn.IFS(
ISNUMBER(SEARCH("USA",S3704)),"United States",
ISNUMBER(SEARCH("Republic of Ireland",S3704)),"Ireland",
ISNUMBER(SEARCH("Republic of Korea",S3704)),"South Korea",
ISNUMBER(SEARCH("Cape Verde",S3704)),"Cabo Verde",
ISNUMBER(SEARCH("Czechia",S3704)),"Czech Republic",
ISNUMBER(SEARCH("Türkiye",S3704)),"Turkey",
ISNUMBER(SEARCH("Ivory Coast",S3704)),"Côte d'Ivoire",
ISNUMBER(SEARCH("Korea Republic",S3704)),"South Korea",
ISNUMBER(SEARCH("Germany FR",S3704)),"FR Germany",
ISNUMBER(SEARCH("West Germany",S3704)),"FR Germany",
ISNUMBER(SEARCH("Germany DR",S3704)),"DR Germany",
ISNUMBER(SEARCH("Korea DPR",S3704)),"North Korea",
ISNUMBER(SEARCH("China PR",S3704)),"China",
ISNUMBER(SEARCH("IR Iran",S3704)),"Iran",
ISNUMBER(SEARCH("Congo DR",S3704)),"Democratic Republic of the Congo",
ISNUMBER(SEARCH("DR Congo",S3704)),"Democratic Republic of the Congo",
ISNUMBER(SEARCH("German DR",S3704)),"DR Germany",
ISNUMBER(SEARCH("rn""&gt;United Arab Emirates",S3704)),"United Arab Emirates",
ISNUMBER(SEARCH("rn""&gt;Republic of Ireland",S3704)),"Ireland",
ISNUMBER(SEARCH("rn""&gt;Bosnia and Herzegovina",S3704)),"Bosnia and Herzegovina",
ISNUMBER(SEARCH("rn""&gt;Trinidad and Tobago",S3704)),"Trinidad and Tobago",
ISNUMBER(SEARCH("rn""&gt;Serbia and Montenegro",S3704)),"Serbia and Montenegro",
ISNUMBER(SEARCH(_xlfn.UNICHAR(65533),S3704)),"Côte d'Ivoire",
TRUE,""
)</f>
        <v/>
      </c>
      <c r="W3704" s="40" t="str">
        <f t="shared" si="246"/>
        <v>Spain</v>
      </c>
    </row>
    <row r="3705" spans="19:23">
      <c r="S3705" s="40" t="str">
        <v>Scotland</v>
      </c>
      <c r="T3705" s="40" t="str">
        <f t="shared" si="244"/>
        <v>ERREUR</v>
      </c>
      <c r="U3705" s="40" t="str">
        <f t="shared" si="245"/>
        <v>AUCUNE</v>
      </c>
      <c r="V3705" s="40" t="str" cm="1">
        <f t="array" ref="V3705">_xlfn.IFS(
ISNUMBER(SEARCH("USA",S3705)),"United States",
ISNUMBER(SEARCH("Republic of Ireland",S3705)),"Ireland",
ISNUMBER(SEARCH("Republic of Korea",S3705)),"South Korea",
ISNUMBER(SEARCH("Cape Verde",S3705)),"Cabo Verde",
ISNUMBER(SEARCH("Czechia",S3705)),"Czech Republic",
ISNUMBER(SEARCH("Türkiye",S3705)),"Turkey",
ISNUMBER(SEARCH("Ivory Coast",S3705)),"Côte d'Ivoire",
ISNUMBER(SEARCH("Korea Republic",S3705)),"South Korea",
ISNUMBER(SEARCH("Germany FR",S3705)),"FR Germany",
ISNUMBER(SEARCH("West Germany",S3705)),"FR Germany",
ISNUMBER(SEARCH("Germany DR",S3705)),"DR Germany",
ISNUMBER(SEARCH("Korea DPR",S3705)),"North Korea",
ISNUMBER(SEARCH("China PR",S3705)),"China",
ISNUMBER(SEARCH("IR Iran",S3705)),"Iran",
ISNUMBER(SEARCH("Congo DR",S3705)),"Democratic Republic of the Congo",
ISNUMBER(SEARCH("DR Congo",S3705)),"Democratic Republic of the Congo",
ISNUMBER(SEARCH("German DR",S3705)),"DR Germany",
ISNUMBER(SEARCH("rn""&gt;United Arab Emirates",S3705)),"United Arab Emirates",
ISNUMBER(SEARCH("rn""&gt;Republic of Ireland",S3705)),"Ireland",
ISNUMBER(SEARCH("rn""&gt;Bosnia and Herzegovina",S3705)),"Bosnia and Herzegovina",
ISNUMBER(SEARCH("rn""&gt;Trinidad and Tobago",S3705)),"Trinidad and Tobago",
ISNUMBER(SEARCH("rn""&gt;Serbia and Montenegro",S3705)),"Serbia and Montenegro",
ISNUMBER(SEARCH(_xlfn.UNICHAR(65533),S3705)),"Côte d'Ivoire",
TRUE,""
)</f>
        <v/>
      </c>
      <c r="W3705" s="40" t="str">
        <f t="shared" si="246"/>
        <v>Scotland</v>
      </c>
    </row>
    <row r="3706" spans="19:23">
      <c r="S3706" s="40" t="str">
        <v>IR Iran</v>
      </c>
      <c r="T3706" s="40" t="str">
        <f t="shared" si="244"/>
        <v>ERREUR</v>
      </c>
      <c r="U3706" s="40" t="str">
        <f t="shared" si="245"/>
        <v>RENOMMER</v>
      </c>
      <c r="V3706" s="40" t="str" cm="1">
        <f t="array" ref="V3706">_xlfn.IFS(
ISNUMBER(SEARCH("USA",S3706)),"United States",
ISNUMBER(SEARCH("Republic of Ireland",S3706)),"Ireland",
ISNUMBER(SEARCH("Republic of Korea",S3706)),"South Korea",
ISNUMBER(SEARCH("Cape Verde",S3706)),"Cabo Verde",
ISNUMBER(SEARCH("Czechia",S3706)),"Czech Republic",
ISNUMBER(SEARCH("Türkiye",S3706)),"Turkey",
ISNUMBER(SEARCH("Ivory Coast",S3706)),"Côte d'Ivoire",
ISNUMBER(SEARCH("Korea Republic",S3706)),"South Korea",
ISNUMBER(SEARCH("Germany FR",S3706)),"FR Germany",
ISNUMBER(SEARCH("West Germany",S3706)),"FR Germany",
ISNUMBER(SEARCH("Germany DR",S3706)),"DR Germany",
ISNUMBER(SEARCH("Korea DPR",S3706)),"North Korea",
ISNUMBER(SEARCH("China PR",S3706)),"China",
ISNUMBER(SEARCH("IR Iran",S3706)),"Iran",
ISNUMBER(SEARCH("Congo DR",S3706)),"Democratic Republic of the Congo",
ISNUMBER(SEARCH("DR Congo",S3706)),"Democratic Republic of the Congo",
ISNUMBER(SEARCH("German DR",S3706)),"DR Germany",
ISNUMBER(SEARCH("rn""&gt;United Arab Emirates",S3706)),"United Arab Emirates",
ISNUMBER(SEARCH("rn""&gt;Republic of Ireland",S3706)),"Ireland",
ISNUMBER(SEARCH("rn""&gt;Bosnia and Herzegovina",S3706)),"Bosnia and Herzegovina",
ISNUMBER(SEARCH("rn""&gt;Trinidad and Tobago",S3706)),"Trinidad and Tobago",
ISNUMBER(SEARCH("rn""&gt;Serbia and Montenegro",S3706)),"Serbia and Montenegro",
ISNUMBER(SEARCH(_xlfn.UNICHAR(65533),S3706)),"Côte d'Ivoire",
TRUE,""
)</f>
        <v>Iran</v>
      </c>
      <c r="W3706" s="40" t="str">
        <f t="shared" si="246"/>
        <v>Iran</v>
      </c>
    </row>
    <row r="3707" spans="19:23">
      <c r="S3707" s="40" t="str">
        <v>Hungary</v>
      </c>
      <c r="T3707" s="40" t="str">
        <f t="shared" si="244"/>
        <v>OK</v>
      </c>
      <c r="U3707" s="40" t="str">
        <f t="shared" si="245"/>
        <v>-</v>
      </c>
      <c r="V3707" s="40" t="str" cm="1">
        <f t="array" ref="V3707">_xlfn.IFS(
ISNUMBER(SEARCH("USA",S3707)),"United States",
ISNUMBER(SEARCH("Republic of Ireland",S3707)),"Ireland",
ISNUMBER(SEARCH("Republic of Korea",S3707)),"South Korea",
ISNUMBER(SEARCH("Cape Verde",S3707)),"Cabo Verde",
ISNUMBER(SEARCH("Czechia",S3707)),"Czech Republic",
ISNUMBER(SEARCH("Türkiye",S3707)),"Turkey",
ISNUMBER(SEARCH("Ivory Coast",S3707)),"Côte d'Ivoire",
ISNUMBER(SEARCH("Korea Republic",S3707)),"South Korea",
ISNUMBER(SEARCH("Germany FR",S3707)),"FR Germany",
ISNUMBER(SEARCH("West Germany",S3707)),"FR Germany",
ISNUMBER(SEARCH("Germany DR",S3707)),"DR Germany",
ISNUMBER(SEARCH("Korea DPR",S3707)),"North Korea",
ISNUMBER(SEARCH("China PR",S3707)),"China",
ISNUMBER(SEARCH("IR Iran",S3707)),"Iran",
ISNUMBER(SEARCH("Congo DR",S3707)),"Democratic Republic of the Congo",
ISNUMBER(SEARCH("DR Congo",S3707)),"Democratic Republic of the Congo",
ISNUMBER(SEARCH("German DR",S3707)),"DR Germany",
ISNUMBER(SEARCH("rn""&gt;United Arab Emirates",S3707)),"United Arab Emirates",
ISNUMBER(SEARCH("rn""&gt;Republic of Ireland",S3707)),"Ireland",
ISNUMBER(SEARCH("rn""&gt;Bosnia and Herzegovina",S3707)),"Bosnia and Herzegovina",
ISNUMBER(SEARCH("rn""&gt;Trinidad and Tobago",S3707)),"Trinidad and Tobago",
ISNUMBER(SEARCH("rn""&gt;Serbia and Montenegro",S3707)),"Serbia and Montenegro",
ISNUMBER(SEARCH(_xlfn.UNICHAR(65533),S3707)),"Côte d'Ivoire",
TRUE,""
)</f>
        <v/>
      </c>
      <c r="W3707" s="40" t="str">
        <f t="shared" si="246"/>
        <v>Hungary</v>
      </c>
    </row>
    <row r="3708" spans="19:23">
      <c r="S3708" s="40" t="str">
        <v>Tunisia</v>
      </c>
      <c r="T3708" s="40" t="str">
        <f t="shared" si="244"/>
        <v>OK</v>
      </c>
      <c r="U3708" s="40" t="str">
        <f t="shared" si="245"/>
        <v>-</v>
      </c>
      <c r="V3708" s="40" t="str" cm="1">
        <f t="array" ref="V3708">_xlfn.IFS(
ISNUMBER(SEARCH("USA",S3708)),"United States",
ISNUMBER(SEARCH("Republic of Ireland",S3708)),"Ireland",
ISNUMBER(SEARCH("Republic of Korea",S3708)),"South Korea",
ISNUMBER(SEARCH("Cape Verde",S3708)),"Cabo Verde",
ISNUMBER(SEARCH("Czechia",S3708)),"Czech Republic",
ISNUMBER(SEARCH("Türkiye",S3708)),"Turkey",
ISNUMBER(SEARCH("Ivory Coast",S3708)),"Côte d'Ivoire",
ISNUMBER(SEARCH("Korea Republic",S3708)),"South Korea",
ISNUMBER(SEARCH("Germany FR",S3708)),"FR Germany",
ISNUMBER(SEARCH("West Germany",S3708)),"FR Germany",
ISNUMBER(SEARCH("Germany DR",S3708)),"DR Germany",
ISNUMBER(SEARCH("Korea DPR",S3708)),"North Korea",
ISNUMBER(SEARCH("China PR",S3708)),"China",
ISNUMBER(SEARCH("IR Iran",S3708)),"Iran",
ISNUMBER(SEARCH("Congo DR",S3708)),"Democratic Republic of the Congo",
ISNUMBER(SEARCH("DR Congo",S3708)),"Democratic Republic of the Congo",
ISNUMBER(SEARCH("German DR",S3708)),"DR Germany",
ISNUMBER(SEARCH("rn""&gt;United Arab Emirates",S3708)),"United Arab Emirates",
ISNUMBER(SEARCH("rn""&gt;Republic of Ireland",S3708)),"Ireland",
ISNUMBER(SEARCH("rn""&gt;Bosnia and Herzegovina",S3708)),"Bosnia and Herzegovina",
ISNUMBER(SEARCH("rn""&gt;Trinidad and Tobago",S3708)),"Trinidad and Tobago",
ISNUMBER(SEARCH("rn""&gt;Serbia and Montenegro",S3708)),"Serbia and Montenegro",
ISNUMBER(SEARCH(_xlfn.UNICHAR(65533),S3708)),"Côte d'Ivoire",
TRUE,""
)</f>
        <v/>
      </c>
      <c r="W3708" s="40" t="str">
        <f t="shared" si="246"/>
        <v>Tunisia</v>
      </c>
    </row>
    <row r="3709" spans="19:23">
      <c r="S3709" s="40" t="str">
        <v>Mexico</v>
      </c>
      <c r="T3709" s="40" t="str">
        <f t="shared" si="244"/>
        <v>OK</v>
      </c>
      <c r="U3709" s="40" t="str">
        <f t="shared" si="245"/>
        <v>-</v>
      </c>
      <c r="V3709" s="40" t="str" cm="1">
        <f t="array" ref="V3709">_xlfn.IFS(
ISNUMBER(SEARCH("USA",S3709)),"United States",
ISNUMBER(SEARCH("Republic of Ireland",S3709)),"Ireland",
ISNUMBER(SEARCH("Republic of Korea",S3709)),"South Korea",
ISNUMBER(SEARCH("Cape Verde",S3709)),"Cabo Verde",
ISNUMBER(SEARCH("Czechia",S3709)),"Czech Republic",
ISNUMBER(SEARCH("Türkiye",S3709)),"Turkey",
ISNUMBER(SEARCH("Ivory Coast",S3709)),"Côte d'Ivoire",
ISNUMBER(SEARCH("Korea Republic",S3709)),"South Korea",
ISNUMBER(SEARCH("Germany FR",S3709)),"FR Germany",
ISNUMBER(SEARCH("West Germany",S3709)),"FR Germany",
ISNUMBER(SEARCH("Germany DR",S3709)),"DR Germany",
ISNUMBER(SEARCH("Korea DPR",S3709)),"North Korea",
ISNUMBER(SEARCH("China PR",S3709)),"China",
ISNUMBER(SEARCH("IR Iran",S3709)),"Iran",
ISNUMBER(SEARCH("Congo DR",S3709)),"Democratic Republic of the Congo",
ISNUMBER(SEARCH("DR Congo",S3709)),"Democratic Republic of the Congo",
ISNUMBER(SEARCH("German DR",S3709)),"DR Germany",
ISNUMBER(SEARCH("rn""&gt;United Arab Emirates",S3709)),"United Arab Emirates",
ISNUMBER(SEARCH("rn""&gt;Republic of Ireland",S3709)),"Ireland",
ISNUMBER(SEARCH("rn""&gt;Bosnia and Herzegovina",S3709)),"Bosnia and Herzegovina",
ISNUMBER(SEARCH("rn""&gt;Trinidad and Tobago",S3709)),"Trinidad and Tobago",
ISNUMBER(SEARCH("rn""&gt;Serbia and Montenegro",S3709)),"Serbia and Montenegro",
ISNUMBER(SEARCH(_xlfn.UNICHAR(65533),S3709)),"Côte d'Ivoire",
TRUE,""
)</f>
        <v/>
      </c>
      <c r="W3709" s="40" t="str">
        <f t="shared" si="246"/>
        <v>Mexico</v>
      </c>
    </row>
    <row r="3710" spans="19:23">
      <c r="S3710" s="40" t="str">
        <v>France</v>
      </c>
      <c r="T3710" s="40" t="str">
        <f t="shared" si="244"/>
        <v>OK</v>
      </c>
      <c r="U3710" s="40" t="str">
        <f t="shared" si="245"/>
        <v>-</v>
      </c>
      <c r="V3710" s="40" t="str" cm="1">
        <f t="array" ref="V3710">_xlfn.IFS(
ISNUMBER(SEARCH("USA",S3710)),"United States",
ISNUMBER(SEARCH("Republic of Ireland",S3710)),"Ireland",
ISNUMBER(SEARCH("Republic of Korea",S3710)),"South Korea",
ISNUMBER(SEARCH("Cape Verde",S3710)),"Cabo Verde",
ISNUMBER(SEARCH("Czechia",S3710)),"Czech Republic",
ISNUMBER(SEARCH("Türkiye",S3710)),"Turkey",
ISNUMBER(SEARCH("Ivory Coast",S3710)),"Côte d'Ivoire",
ISNUMBER(SEARCH("Korea Republic",S3710)),"South Korea",
ISNUMBER(SEARCH("Germany FR",S3710)),"FR Germany",
ISNUMBER(SEARCH("West Germany",S3710)),"FR Germany",
ISNUMBER(SEARCH("Germany DR",S3710)),"DR Germany",
ISNUMBER(SEARCH("Korea DPR",S3710)),"North Korea",
ISNUMBER(SEARCH("China PR",S3710)),"China",
ISNUMBER(SEARCH("IR Iran",S3710)),"Iran",
ISNUMBER(SEARCH("Congo DR",S3710)),"Democratic Republic of the Congo",
ISNUMBER(SEARCH("DR Congo",S3710)),"Democratic Republic of the Congo",
ISNUMBER(SEARCH("German DR",S3710)),"DR Germany",
ISNUMBER(SEARCH("rn""&gt;United Arab Emirates",S3710)),"United Arab Emirates",
ISNUMBER(SEARCH("rn""&gt;Republic of Ireland",S3710)),"Ireland",
ISNUMBER(SEARCH("rn""&gt;Bosnia and Herzegovina",S3710)),"Bosnia and Herzegovina",
ISNUMBER(SEARCH("rn""&gt;Trinidad and Tobago",S3710)),"Trinidad and Tobago",
ISNUMBER(SEARCH("rn""&gt;Serbia and Montenegro",S3710)),"Serbia and Montenegro",
ISNUMBER(SEARCH(_xlfn.UNICHAR(65533),S3710)),"Côte d'Ivoire",
TRUE,""
)</f>
        <v/>
      </c>
      <c r="W3710" s="40" t="str">
        <f t="shared" si="246"/>
        <v>France</v>
      </c>
    </row>
    <row r="3711" spans="19:23">
      <c r="S3711" s="40" t="str">
        <v>Spain</v>
      </c>
      <c r="T3711" s="40" t="str">
        <f t="shared" si="244"/>
        <v>OK</v>
      </c>
      <c r="U3711" s="40" t="str">
        <f t="shared" si="245"/>
        <v>-</v>
      </c>
      <c r="V3711" s="40" t="str" cm="1">
        <f t="array" ref="V3711">_xlfn.IFS(
ISNUMBER(SEARCH("USA",S3711)),"United States",
ISNUMBER(SEARCH("Republic of Ireland",S3711)),"Ireland",
ISNUMBER(SEARCH("Republic of Korea",S3711)),"South Korea",
ISNUMBER(SEARCH("Cape Verde",S3711)),"Cabo Verde",
ISNUMBER(SEARCH("Czechia",S3711)),"Czech Republic",
ISNUMBER(SEARCH("Türkiye",S3711)),"Turkey",
ISNUMBER(SEARCH("Ivory Coast",S3711)),"Côte d'Ivoire",
ISNUMBER(SEARCH("Korea Republic",S3711)),"South Korea",
ISNUMBER(SEARCH("Germany FR",S3711)),"FR Germany",
ISNUMBER(SEARCH("West Germany",S3711)),"FR Germany",
ISNUMBER(SEARCH("Germany DR",S3711)),"DR Germany",
ISNUMBER(SEARCH("Korea DPR",S3711)),"North Korea",
ISNUMBER(SEARCH("China PR",S3711)),"China",
ISNUMBER(SEARCH("IR Iran",S3711)),"Iran",
ISNUMBER(SEARCH("Congo DR",S3711)),"Democratic Republic of the Congo",
ISNUMBER(SEARCH("DR Congo",S3711)),"Democratic Republic of the Congo",
ISNUMBER(SEARCH("German DR",S3711)),"DR Germany",
ISNUMBER(SEARCH("rn""&gt;United Arab Emirates",S3711)),"United Arab Emirates",
ISNUMBER(SEARCH("rn""&gt;Republic of Ireland",S3711)),"Ireland",
ISNUMBER(SEARCH("rn""&gt;Bosnia and Herzegovina",S3711)),"Bosnia and Herzegovina",
ISNUMBER(SEARCH("rn""&gt;Trinidad and Tobago",S3711)),"Trinidad and Tobago",
ISNUMBER(SEARCH("rn""&gt;Serbia and Montenegro",S3711)),"Serbia and Montenegro",
ISNUMBER(SEARCH(_xlfn.UNICHAR(65533),S3711)),"Côte d'Ivoire",
TRUE,""
)</f>
        <v/>
      </c>
      <c r="W3711" s="40" t="str">
        <f t="shared" si="246"/>
        <v>Spain</v>
      </c>
    </row>
    <row r="3712" spans="19:23">
      <c r="S3712" s="40" t="str">
        <v>Sweden</v>
      </c>
      <c r="T3712" s="40" t="str">
        <f t="shared" si="244"/>
        <v>OK</v>
      </c>
      <c r="U3712" s="40" t="str">
        <f t="shared" si="245"/>
        <v>-</v>
      </c>
      <c r="V3712" s="40" t="str" cm="1">
        <f t="array" ref="V3712">_xlfn.IFS(
ISNUMBER(SEARCH("USA",S3712)),"United States",
ISNUMBER(SEARCH("Republic of Ireland",S3712)),"Ireland",
ISNUMBER(SEARCH("Republic of Korea",S3712)),"South Korea",
ISNUMBER(SEARCH("Cape Verde",S3712)),"Cabo Verde",
ISNUMBER(SEARCH("Czechia",S3712)),"Czech Republic",
ISNUMBER(SEARCH("Türkiye",S3712)),"Turkey",
ISNUMBER(SEARCH("Ivory Coast",S3712)),"Côte d'Ivoire",
ISNUMBER(SEARCH("Korea Republic",S3712)),"South Korea",
ISNUMBER(SEARCH("Germany FR",S3712)),"FR Germany",
ISNUMBER(SEARCH("West Germany",S3712)),"FR Germany",
ISNUMBER(SEARCH("Germany DR",S3712)),"DR Germany",
ISNUMBER(SEARCH("Korea DPR",S3712)),"North Korea",
ISNUMBER(SEARCH("China PR",S3712)),"China",
ISNUMBER(SEARCH("IR Iran",S3712)),"Iran",
ISNUMBER(SEARCH("Congo DR",S3712)),"Democratic Republic of the Congo",
ISNUMBER(SEARCH("DR Congo",S3712)),"Democratic Republic of the Congo",
ISNUMBER(SEARCH("German DR",S3712)),"DR Germany",
ISNUMBER(SEARCH("rn""&gt;United Arab Emirates",S3712)),"United Arab Emirates",
ISNUMBER(SEARCH("rn""&gt;Republic of Ireland",S3712)),"Ireland",
ISNUMBER(SEARCH("rn""&gt;Bosnia and Herzegovina",S3712)),"Bosnia and Herzegovina",
ISNUMBER(SEARCH("rn""&gt;Trinidad and Tobago",S3712)),"Trinidad and Tobago",
ISNUMBER(SEARCH("rn""&gt;Serbia and Montenegro",S3712)),"Serbia and Montenegro",
ISNUMBER(SEARCH(_xlfn.UNICHAR(65533),S3712)),"Côte d'Ivoire",
TRUE,""
)</f>
        <v/>
      </c>
      <c r="W3712" s="40" t="str">
        <f t="shared" si="246"/>
        <v>Sweden</v>
      </c>
    </row>
    <row r="3713" spans="19:23">
      <c r="S3713" s="40" t="str">
        <v>IR Iran</v>
      </c>
      <c r="T3713" s="40" t="str">
        <f t="shared" si="244"/>
        <v>ERREUR</v>
      </c>
      <c r="U3713" s="40" t="str">
        <f t="shared" si="245"/>
        <v>RENOMMER</v>
      </c>
      <c r="V3713" s="40" t="str" cm="1">
        <f t="array" ref="V3713">_xlfn.IFS(
ISNUMBER(SEARCH("USA",S3713)),"United States",
ISNUMBER(SEARCH("Republic of Ireland",S3713)),"Ireland",
ISNUMBER(SEARCH("Republic of Korea",S3713)),"South Korea",
ISNUMBER(SEARCH("Cape Verde",S3713)),"Cabo Verde",
ISNUMBER(SEARCH("Czechia",S3713)),"Czech Republic",
ISNUMBER(SEARCH("Türkiye",S3713)),"Turkey",
ISNUMBER(SEARCH("Ivory Coast",S3713)),"Côte d'Ivoire",
ISNUMBER(SEARCH("Korea Republic",S3713)),"South Korea",
ISNUMBER(SEARCH("Germany FR",S3713)),"FR Germany",
ISNUMBER(SEARCH("West Germany",S3713)),"FR Germany",
ISNUMBER(SEARCH("Germany DR",S3713)),"DR Germany",
ISNUMBER(SEARCH("Korea DPR",S3713)),"North Korea",
ISNUMBER(SEARCH("China PR",S3713)),"China",
ISNUMBER(SEARCH("IR Iran",S3713)),"Iran",
ISNUMBER(SEARCH("Congo DR",S3713)),"Democratic Republic of the Congo",
ISNUMBER(SEARCH("DR Congo",S3713)),"Democratic Republic of the Congo",
ISNUMBER(SEARCH("German DR",S3713)),"DR Germany",
ISNUMBER(SEARCH("rn""&gt;United Arab Emirates",S3713)),"United Arab Emirates",
ISNUMBER(SEARCH("rn""&gt;Republic of Ireland",S3713)),"Ireland",
ISNUMBER(SEARCH("rn""&gt;Bosnia and Herzegovina",S3713)),"Bosnia and Herzegovina",
ISNUMBER(SEARCH("rn""&gt;Trinidad and Tobago",S3713)),"Trinidad and Tobago",
ISNUMBER(SEARCH("rn""&gt;Serbia and Montenegro",S3713)),"Serbia and Montenegro",
ISNUMBER(SEARCH(_xlfn.UNICHAR(65533),S3713)),"Côte d'Ivoire",
TRUE,""
)</f>
        <v>Iran</v>
      </c>
      <c r="W3713" s="40" t="str">
        <f t="shared" si="246"/>
        <v>Iran</v>
      </c>
    </row>
    <row r="3714" spans="19:23">
      <c r="S3714" s="40" t="str">
        <v>Peru</v>
      </c>
      <c r="T3714" s="40" t="str">
        <f t="shared" si="244"/>
        <v>OK</v>
      </c>
      <c r="U3714" s="40" t="str">
        <f t="shared" si="245"/>
        <v>-</v>
      </c>
      <c r="V3714" s="40" t="str" cm="1">
        <f t="array" ref="V3714">_xlfn.IFS(
ISNUMBER(SEARCH("USA",S3714)),"United States",
ISNUMBER(SEARCH("Republic of Ireland",S3714)),"Ireland",
ISNUMBER(SEARCH("Republic of Korea",S3714)),"South Korea",
ISNUMBER(SEARCH("Cape Verde",S3714)),"Cabo Verde",
ISNUMBER(SEARCH("Czechia",S3714)),"Czech Republic",
ISNUMBER(SEARCH("Türkiye",S3714)),"Turkey",
ISNUMBER(SEARCH("Ivory Coast",S3714)),"Côte d'Ivoire",
ISNUMBER(SEARCH("Korea Republic",S3714)),"South Korea",
ISNUMBER(SEARCH("Germany FR",S3714)),"FR Germany",
ISNUMBER(SEARCH("West Germany",S3714)),"FR Germany",
ISNUMBER(SEARCH("Germany DR",S3714)),"DR Germany",
ISNUMBER(SEARCH("Korea DPR",S3714)),"North Korea",
ISNUMBER(SEARCH("China PR",S3714)),"China",
ISNUMBER(SEARCH("IR Iran",S3714)),"Iran",
ISNUMBER(SEARCH("Congo DR",S3714)),"Democratic Republic of the Congo",
ISNUMBER(SEARCH("DR Congo",S3714)),"Democratic Republic of the Congo",
ISNUMBER(SEARCH("German DR",S3714)),"DR Germany",
ISNUMBER(SEARCH("rn""&gt;United Arab Emirates",S3714)),"United Arab Emirates",
ISNUMBER(SEARCH("rn""&gt;Republic of Ireland",S3714)),"Ireland",
ISNUMBER(SEARCH("rn""&gt;Bosnia and Herzegovina",S3714)),"Bosnia and Herzegovina",
ISNUMBER(SEARCH("rn""&gt;Trinidad and Tobago",S3714)),"Trinidad and Tobago",
ISNUMBER(SEARCH("rn""&gt;Serbia and Montenegro",S3714)),"Serbia and Montenegro",
ISNUMBER(SEARCH(_xlfn.UNICHAR(65533),S3714)),"Côte d'Ivoire",
TRUE,""
)</f>
        <v/>
      </c>
      <c r="W3714" s="40" t="str">
        <f t="shared" si="246"/>
        <v>Peru</v>
      </c>
    </row>
    <row r="3715" spans="19:23">
      <c r="S3715" s="40" t="str">
        <v>Hungary</v>
      </c>
      <c r="T3715" s="40" t="str">
        <f t="shared" ref="T3715:T3778" si="247">IF(COUNTIF(R$13:R$250,S3715)=1,"OK","ERREUR")</f>
        <v>OK</v>
      </c>
      <c r="U3715" s="40" t="str">
        <f t="shared" si="245"/>
        <v>-</v>
      </c>
      <c r="V3715" s="40" t="str" cm="1">
        <f t="array" ref="V3715">_xlfn.IFS(
ISNUMBER(SEARCH("USA",S3715)),"United States",
ISNUMBER(SEARCH("Republic of Ireland",S3715)),"Ireland",
ISNUMBER(SEARCH("Republic of Korea",S3715)),"South Korea",
ISNUMBER(SEARCH("Cape Verde",S3715)),"Cabo Verde",
ISNUMBER(SEARCH("Czechia",S3715)),"Czech Republic",
ISNUMBER(SEARCH("Türkiye",S3715)),"Turkey",
ISNUMBER(SEARCH("Ivory Coast",S3715)),"Côte d'Ivoire",
ISNUMBER(SEARCH("Korea Republic",S3715)),"South Korea",
ISNUMBER(SEARCH("Germany FR",S3715)),"FR Germany",
ISNUMBER(SEARCH("West Germany",S3715)),"FR Germany",
ISNUMBER(SEARCH("Germany DR",S3715)),"DR Germany",
ISNUMBER(SEARCH("Korea DPR",S3715)),"North Korea",
ISNUMBER(SEARCH("China PR",S3715)),"China",
ISNUMBER(SEARCH("IR Iran",S3715)),"Iran",
ISNUMBER(SEARCH("Congo DR",S3715)),"Democratic Republic of the Congo",
ISNUMBER(SEARCH("DR Congo",S3715)),"Democratic Republic of the Congo",
ISNUMBER(SEARCH("German DR",S3715)),"DR Germany",
ISNUMBER(SEARCH("rn""&gt;United Arab Emirates",S3715)),"United Arab Emirates",
ISNUMBER(SEARCH("rn""&gt;Republic of Ireland",S3715)),"Ireland",
ISNUMBER(SEARCH("rn""&gt;Bosnia and Herzegovina",S3715)),"Bosnia and Herzegovina",
ISNUMBER(SEARCH("rn""&gt;Trinidad and Tobago",S3715)),"Trinidad and Tobago",
ISNUMBER(SEARCH("rn""&gt;Serbia and Montenegro",S3715)),"Serbia and Montenegro",
ISNUMBER(SEARCH(_xlfn.UNICHAR(65533),S3715)),"Côte d'Ivoire",
TRUE,""
)</f>
        <v/>
      </c>
      <c r="W3715" s="40" t="str">
        <f t="shared" si="246"/>
        <v>Hungary</v>
      </c>
    </row>
    <row r="3716" spans="19:23">
      <c r="S3716" s="40" t="str">
        <v>Mexico</v>
      </c>
      <c r="T3716" s="40" t="str">
        <f t="shared" si="247"/>
        <v>OK</v>
      </c>
      <c r="U3716" s="40" t="str">
        <f t="shared" ref="U3716:U3779" si="248">IF(OR(S3716="Scotland",S3716="England",S3716="Wales",S3716="Yugoslavia",S3716="Czechoslovakia",S3716="Northern Ireland",S3716="Soviet Union",S3716="Zaire",S3716="Dutch East Indies"),"AUCUNE",IF(OR(S3716="Cape Verde",S3716="USA",S3716="DR Congo",S3716="Republic of Korea",S3716="Germany FR",S3716="Germany DR",S3716="Czechia",S3716="Ivory Coast",S3716="Korea DPR",S3716="China PR",S3716="IR Iran",S3716="Türkiye",S3716="Congo DR",S3716="German DR",S3716="West Germany",S3716="Republic of Ireland",ISNUMBER(SEARCH(_xlfn.UNICHAR(65533),S3716)),S3716="Korea Republic",ISNUMBER(SEARCH("rn""&gt;United Arab Emirates",S3716)),ISNUMBER(SEARCH("rn""&gt;Republic of Ireland",S3716)),ISNUMBER(SEARCH("rn""&gt;Bosnia and Herzegovina",S3716)),ISNUMBER(SEARCH("rn""&gt;Trinidad and Tobago",S3716)),ISNUMBER(SEARCH("rn""&gt;Serbia and Montenegro",S3716)),ISNUMBER(SEARCH(_xlfn.UNICHAR(65533),S3716))),"RENOMMER","-"))</f>
        <v>-</v>
      </c>
      <c r="V3716" s="40" t="str" cm="1">
        <f t="array" ref="V3716">_xlfn.IFS(
ISNUMBER(SEARCH("USA",S3716)),"United States",
ISNUMBER(SEARCH("Republic of Ireland",S3716)),"Ireland",
ISNUMBER(SEARCH("Republic of Korea",S3716)),"South Korea",
ISNUMBER(SEARCH("Cape Verde",S3716)),"Cabo Verde",
ISNUMBER(SEARCH("Czechia",S3716)),"Czech Republic",
ISNUMBER(SEARCH("Türkiye",S3716)),"Turkey",
ISNUMBER(SEARCH("Ivory Coast",S3716)),"Côte d'Ivoire",
ISNUMBER(SEARCH("Korea Republic",S3716)),"South Korea",
ISNUMBER(SEARCH("Germany FR",S3716)),"FR Germany",
ISNUMBER(SEARCH("West Germany",S3716)),"FR Germany",
ISNUMBER(SEARCH("Germany DR",S3716)),"DR Germany",
ISNUMBER(SEARCH("Korea DPR",S3716)),"North Korea",
ISNUMBER(SEARCH("China PR",S3716)),"China",
ISNUMBER(SEARCH("IR Iran",S3716)),"Iran",
ISNUMBER(SEARCH("Congo DR",S3716)),"Democratic Republic of the Congo",
ISNUMBER(SEARCH("DR Congo",S3716)),"Democratic Republic of the Congo",
ISNUMBER(SEARCH("German DR",S3716)),"DR Germany",
ISNUMBER(SEARCH("rn""&gt;United Arab Emirates",S3716)),"United Arab Emirates",
ISNUMBER(SEARCH("rn""&gt;Republic of Ireland",S3716)),"Ireland",
ISNUMBER(SEARCH("rn""&gt;Bosnia and Herzegovina",S3716)),"Bosnia and Herzegovina",
ISNUMBER(SEARCH("rn""&gt;Trinidad and Tobago",S3716)),"Trinidad and Tobago",
ISNUMBER(SEARCH("rn""&gt;Serbia and Montenegro",S3716)),"Serbia and Montenegro",
ISNUMBER(SEARCH(_xlfn.UNICHAR(65533),S3716)),"Côte d'Ivoire",
TRUE,""
)</f>
        <v/>
      </c>
      <c r="W3716" s="40" t="str">
        <f t="shared" ref="W3716:W3779" si="249">IF(V3716="",S3716,V3716)</f>
        <v>Mexico</v>
      </c>
    </row>
    <row r="3717" spans="19:23">
      <c r="S3717" s="40" t="str">
        <v>Tunisia</v>
      </c>
      <c r="T3717" s="40" t="str">
        <f t="shared" si="247"/>
        <v>OK</v>
      </c>
      <c r="U3717" s="40" t="str">
        <f t="shared" si="248"/>
        <v>-</v>
      </c>
      <c r="V3717" s="40" t="str" cm="1">
        <f t="array" ref="V3717">_xlfn.IFS(
ISNUMBER(SEARCH("USA",S3717)),"United States",
ISNUMBER(SEARCH("Republic of Ireland",S3717)),"Ireland",
ISNUMBER(SEARCH("Republic of Korea",S3717)),"South Korea",
ISNUMBER(SEARCH("Cape Verde",S3717)),"Cabo Verde",
ISNUMBER(SEARCH("Czechia",S3717)),"Czech Republic",
ISNUMBER(SEARCH("Türkiye",S3717)),"Turkey",
ISNUMBER(SEARCH("Ivory Coast",S3717)),"Côte d'Ivoire",
ISNUMBER(SEARCH("Korea Republic",S3717)),"South Korea",
ISNUMBER(SEARCH("Germany FR",S3717)),"FR Germany",
ISNUMBER(SEARCH("West Germany",S3717)),"FR Germany",
ISNUMBER(SEARCH("Germany DR",S3717)),"DR Germany",
ISNUMBER(SEARCH("Korea DPR",S3717)),"North Korea",
ISNUMBER(SEARCH("China PR",S3717)),"China",
ISNUMBER(SEARCH("IR Iran",S3717)),"Iran",
ISNUMBER(SEARCH("Congo DR",S3717)),"Democratic Republic of the Congo",
ISNUMBER(SEARCH("DR Congo",S3717)),"Democratic Republic of the Congo",
ISNUMBER(SEARCH("German DR",S3717)),"DR Germany",
ISNUMBER(SEARCH("rn""&gt;United Arab Emirates",S3717)),"United Arab Emirates",
ISNUMBER(SEARCH("rn""&gt;Republic of Ireland",S3717)),"Ireland",
ISNUMBER(SEARCH("rn""&gt;Bosnia and Herzegovina",S3717)),"Bosnia and Herzegovina",
ISNUMBER(SEARCH("rn""&gt;Trinidad and Tobago",S3717)),"Trinidad and Tobago",
ISNUMBER(SEARCH("rn""&gt;Serbia and Montenegro",S3717)),"Serbia and Montenegro",
ISNUMBER(SEARCH(_xlfn.UNICHAR(65533),S3717)),"Côte d'Ivoire",
TRUE,""
)</f>
        <v/>
      </c>
      <c r="W3717" s="40" t="str">
        <f t="shared" si="249"/>
        <v>Tunisia</v>
      </c>
    </row>
    <row r="3718" spans="19:23">
      <c r="S3718" s="40" t="str">
        <v>Argentina</v>
      </c>
      <c r="T3718" s="40" t="str">
        <f t="shared" si="247"/>
        <v>OK</v>
      </c>
      <c r="U3718" s="40" t="str">
        <f t="shared" si="248"/>
        <v>-</v>
      </c>
      <c r="V3718" s="40" t="str" cm="1">
        <f t="array" ref="V3718">_xlfn.IFS(
ISNUMBER(SEARCH("USA",S3718)),"United States",
ISNUMBER(SEARCH("Republic of Ireland",S3718)),"Ireland",
ISNUMBER(SEARCH("Republic of Korea",S3718)),"South Korea",
ISNUMBER(SEARCH("Cape Verde",S3718)),"Cabo Verde",
ISNUMBER(SEARCH("Czechia",S3718)),"Czech Republic",
ISNUMBER(SEARCH("Türkiye",S3718)),"Turkey",
ISNUMBER(SEARCH("Ivory Coast",S3718)),"Côte d'Ivoire",
ISNUMBER(SEARCH("Korea Republic",S3718)),"South Korea",
ISNUMBER(SEARCH("Germany FR",S3718)),"FR Germany",
ISNUMBER(SEARCH("West Germany",S3718)),"FR Germany",
ISNUMBER(SEARCH("Germany DR",S3718)),"DR Germany",
ISNUMBER(SEARCH("Korea DPR",S3718)),"North Korea",
ISNUMBER(SEARCH("China PR",S3718)),"China",
ISNUMBER(SEARCH("IR Iran",S3718)),"Iran",
ISNUMBER(SEARCH("Congo DR",S3718)),"Democratic Republic of the Congo",
ISNUMBER(SEARCH("DR Congo",S3718)),"Democratic Republic of the Congo",
ISNUMBER(SEARCH("German DR",S3718)),"DR Germany",
ISNUMBER(SEARCH("rn""&gt;United Arab Emirates",S3718)),"United Arab Emirates",
ISNUMBER(SEARCH("rn""&gt;Republic of Ireland",S3718)),"Ireland",
ISNUMBER(SEARCH("rn""&gt;Bosnia and Herzegovina",S3718)),"Bosnia and Herzegovina",
ISNUMBER(SEARCH("rn""&gt;Trinidad and Tobago",S3718)),"Trinidad and Tobago",
ISNUMBER(SEARCH("rn""&gt;Serbia and Montenegro",S3718)),"Serbia and Montenegro",
ISNUMBER(SEARCH(_xlfn.UNICHAR(65533),S3718)),"Côte d'Ivoire",
TRUE,""
)</f>
        <v/>
      </c>
      <c r="W3718" s="40" t="str">
        <f t="shared" si="249"/>
        <v>Argentina</v>
      </c>
    </row>
    <row r="3719" spans="19:23">
      <c r="S3719" s="40" t="str">
        <v>Austria</v>
      </c>
      <c r="T3719" s="40" t="str">
        <f t="shared" si="247"/>
        <v>OK</v>
      </c>
      <c r="U3719" s="40" t="str">
        <f t="shared" si="248"/>
        <v>-</v>
      </c>
      <c r="V3719" s="40" t="str" cm="1">
        <f t="array" ref="V3719">_xlfn.IFS(
ISNUMBER(SEARCH("USA",S3719)),"United States",
ISNUMBER(SEARCH("Republic of Ireland",S3719)),"Ireland",
ISNUMBER(SEARCH("Republic of Korea",S3719)),"South Korea",
ISNUMBER(SEARCH("Cape Verde",S3719)),"Cabo Verde",
ISNUMBER(SEARCH("Czechia",S3719)),"Czech Republic",
ISNUMBER(SEARCH("Türkiye",S3719)),"Turkey",
ISNUMBER(SEARCH("Ivory Coast",S3719)),"Côte d'Ivoire",
ISNUMBER(SEARCH("Korea Republic",S3719)),"South Korea",
ISNUMBER(SEARCH("Germany FR",S3719)),"FR Germany",
ISNUMBER(SEARCH("West Germany",S3719)),"FR Germany",
ISNUMBER(SEARCH("Germany DR",S3719)),"DR Germany",
ISNUMBER(SEARCH("Korea DPR",S3719)),"North Korea",
ISNUMBER(SEARCH("China PR",S3719)),"China",
ISNUMBER(SEARCH("IR Iran",S3719)),"Iran",
ISNUMBER(SEARCH("Congo DR",S3719)),"Democratic Republic of the Congo",
ISNUMBER(SEARCH("DR Congo",S3719)),"Democratic Republic of the Congo",
ISNUMBER(SEARCH("German DR",S3719)),"DR Germany",
ISNUMBER(SEARCH("rn""&gt;United Arab Emirates",S3719)),"United Arab Emirates",
ISNUMBER(SEARCH("rn""&gt;Republic of Ireland",S3719)),"Ireland",
ISNUMBER(SEARCH("rn""&gt;Bosnia and Herzegovina",S3719)),"Bosnia and Herzegovina",
ISNUMBER(SEARCH("rn""&gt;Trinidad and Tobago",S3719)),"Trinidad and Tobago",
ISNUMBER(SEARCH("rn""&gt;Serbia and Montenegro",S3719)),"Serbia and Montenegro",
ISNUMBER(SEARCH(_xlfn.UNICHAR(65533),S3719)),"Côte d'Ivoire",
TRUE,""
)</f>
        <v/>
      </c>
      <c r="W3719" s="40" t="str">
        <f t="shared" si="249"/>
        <v>Austria</v>
      </c>
    </row>
    <row r="3720" spans="19:23">
      <c r="S3720" s="40" t="str">
        <v>Sweden</v>
      </c>
      <c r="T3720" s="40" t="str">
        <f t="shared" si="247"/>
        <v>OK</v>
      </c>
      <c r="U3720" s="40" t="str">
        <f t="shared" si="248"/>
        <v>-</v>
      </c>
      <c r="V3720" s="40" t="str" cm="1">
        <f t="array" ref="V3720">_xlfn.IFS(
ISNUMBER(SEARCH("USA",S3720)),"United States",
ISNUMBER(SEARCH("Republic of Ireland",S3720)),"Ireland",
ISNUMBER(SEARCH("Republic of Korea",S3720)),"South Korea",
ISNUMBER(SEARCH("Cape Verde",S3720)),"Cabo Verde",
ISNUMBER(SEARCH("Czechia",S3720)),"Czech Republic",
ISNUMBER(SEARCH("Türkiye",S3720)),"Turkey",
ISNUMBER(SEARCH("Ivory Coast",S3720)),"Côte d'Ivoire",
ISNUMBER(SEARCH("Korea Republic",S3720)),"South Korea",
ISNUMBER(SEARCH("Germany FR",S3720)),"FR Germany",
ISNUMBER(SEARCH("West Germany",S3720)),"FR Germany",
ISNUMBER(SEARCH("Germany DR",S3720)),"DR Germany",
ISNUMBER(SEARCH("Korea DPR",S3720)),"North Korea",
ISNUMBER(SEARCH("China PR",S3720)),"China",
ISNUMBER(SEARCH("IR Iran",S3720)),"Iran",
ISNUMBER(SEARCH("Congo DR",S3720)),"Democratic Republic of the Congo",
ISNUMBER(SEARCH("DR Congo",S3720)),"Democratic Republic of the Congo",
ISNUMBER(SEARCH("German DR",S3720)),"DR Germany",
ISNUMBER(SEARCH("rn""&gt;United Arab Emirates",S3720)),"United Arab Emirates",
ISNUMBER(SEARCH("rn""&gt;Republic of Ireland",S3720)),"Ireland",
ISNUMBER(SEARCH("rn""&gt;Bosnia and Herzegovina",S3720)),"Bosnia and Herzegovina",
ISNUMBER(SEARCH("rn""&gt;Trinidad and Tobago",S3720)),"Trinidad and Tobago",
ISNUMBER(SEARCH("rn""&gt;Serbia and Montenegro",S3720)),"Serbia and Montenegro",
ISNUMBER(SEARCH(_xlfn.UNICHAR(65533),S3720)),"Côte d'Ivoire",
TRUE,""
)</f>
        <v/>
      </c>
      <c r="W3720" s="40" t="str">
        <f t="shared" si="249"/>
        <v>Sweden</v>
      </c>
    </row>
    <row r="3721" spans="19:23">
      <c r="S3721" s="40" t="str">
        <v>Iran</v>
      </c>
      <c r="T3721" s="40" t="str">
        <f t="shared" si="247"/>
        <v>OK</v>
      </c>
      <c r="U3721" s="40" t="str">
        <f t="shared" si="248"/>
        <v>-</v>
      </c>
      <c r="V3721" s="40" t="str" cm="1">
        <f t="array" ref="V3721">_xlfn.IFS(
ISNUMBER(SEARCH("USA",S3721)),"United States",
ISNUMBER(SEARCH("Republic of Ireland",S3721)),"Ireland",
ISNUMBER(SEARCH("Republic of Korea",S3721)),"South Korea",
ISNUMBER(SEARCH("Cape Verde",S3721)),"Cabo Verde",
ISNUMBER(SEARCH("Czechia",S3721)),"Czech Republic",
ISNUMBER(SEARCH("Türkiye",S3721)),"Turkey",
ISNUMBER(SEARCH("Ivory Coast",S3721)),"Côte d'Ivoire",
ISNUMBER(SEARCH("Korea Republic",S3721)),"South Korea",
ISNUMBER(SEARCH("Germany FR",S3721)),"FR Germany",
ISNUMBER(SEARCH("West Germany",S3721)),"FR Germany",
ISNUMBER(SEARCH("Germany DR",S3721)),"DR Germany",
ISNUMBER(SEARCH("Korea DPR",S3721)),"North Korea",
ISNUMBER(SEARCH("China PR",S3721)),"China",
ISNUMBER(SEARCH("IR Iran",S3721)),"Iran",
ISNUMBER(SEARCH("Congo DR",S3721)),"Democratic Republic of the Congo",
ISNUMBER(SEARCH("DR Congo",S3721)),"Democratic Republic of the Congo",
ISNUMBER(SEARCH("German DR",S3721)),"DR Germany",
ISNUMBER(SEARCH("rn""&gt;United Arab Emirates",S3721)),"United Arab Emirates",
ISNUMBER(SEARCH("rn""&gt;Republic of Ireland",S3721)),"Ireland",
ISNUMBER(SEARCH("rn""&gt;Bosnia and Herzegovina",S3721)),"Bosnia and Herzegovina",
ISNUMBER(SEARCH("rn""&gt;Trinidad and Tobago",S3721)),"Trinidad and Tobago",
ISNUMBER(SEARCH("rn""&gt;Serbia and Montenegro",S3721)),"Serbia and Montenegro",
ISNUMBER(SEARCH(_xlfn.UNICHAR(65533),S3721)),"Côte d'Ivoire",
TRUE,""
)</f>
        <v/>
      </c>
      <c r="W3721" s="40" t="str">
        <f t="shared" si="249"/>
        <v>Iran</v>
      </c>
    </row>
    <row r="3722" spans="19:23">
      <c r="S3722" s="40" t="str">
        <v>Netherlands</v>
      </c>
      <c r="T3722" s="40" t="str">
        <f t="shared" si="247"/>
        <v>OK</v>
      </c>
      <c r="U3722" s="40" t="str">
        <f t="shared" si="248"/>
        <v>-</v>
      </c>
      <c r="V3722" s="40" t="str" cm="1">
        <f t="array" ref="V3722">_xlfn.IFS(
ISNUMBER(SEARCH("USA",S3722)),"United States",
ISNUMBER(SEARCH("Republic of Ireland",S3722)),"Ireland",
ISNUMBER(SEARCH("Republic of Korea",S3722)),"South Korea",
ISNUMBER(SEARCH("Cape Verde",S3722)),"Cabo Verde",
ISNUMBER(SEARCH("Czechia",S3722)),"Czech Republic",
ISNUMBER(SEARCH("Türkiye",S3722)),"Turkey",
ISNUMBER(SEARCH("Ivory Coast",S3722)),"Côte d'Ivoire",
ISNUMBER(SEARCH("Korea Republic",S3722)),"South Korea",
ISNUMBER(SEARCH("Germany FR",S3722)),"FR Germany",
ISNUMBER(SEARCH("West Germany",S3722)),"FR Germany",
ISNUMBER(SEARCH("Germany DR",S3722)),"DR Germany",
ISNUMBER(SEARCH("Korea DPR",S3722)),"North Korea",
ISNUMBER(SEARCH("China PR",S3722)),"China",
ISNUMBER(SEARCH("IR Iran",S3722)),"Iran",
ISNUMBER(SEARCH("Congo DR",S3722)),"Democratic Republic of the Congo",
ISNUMBER(SEARCH("DR Congo",S3722)),"Democratic Republic of the Congo",
ISNUMBER(SEARCH("German DR",S3722)),"DR Germany",
ISNUMBER(SEARCH("rn""&gt;United Arab Emirates",S3722)),"United Arab Emirates",
ISNUMBER(SEARCH("rn""&gt;Republic of Ireland",S3722)),"Ireland",
ISNUMBER(SEARCH("rn""&gt;Bosnia and Herzegovina",S3722)),"Bosnia and Herzegovina",
ISNUMBER(SEARCH("rn""&gt;Trinidad and Tobago",S3722)),"Trinidad and Tobago",
ISNUMBER(SEARCH("rn""&gt;Serbia and Montenegro",S3722)),"Serbia and Montenegro",
ISNUMBER(SEARCH(_xlfn.UNICHAR(65533),S3722)),"Côte d'Ivoire",
TRUE,""
)</f>
        <v/>
      </c>
      <c r="W3722" s="40" t="str">
        <f t="shared" si="249"/>
        <v>Netherlands</v>
      </c>
    </row>
    <row r="3723" spans="19:23">
      <c r="S3723" s="40" t="str">
        <v>Italy</v>
      </c>
      <c r="T3723" s="40" t="str">
        <f t="shared" si="247"/>
        <v>OK</v>
      </c>
      <c r="U3723" s="40" t="str">
        <f t="shared" si="248"/>
        <v>-</v>
      </c>
      <c r="V3723" s="40" t="str" cm="1">
        <f t="array" ref="V3723">_xlfn.IFS(
ISNUMBER(SEARCH("USA",S3723)),"United States",
ISNUMBER(SEARCH("Republic of Ireland",S3723)),"Ireland",
ISNUMBER(SEARCH("Republic of Korea",S3723)),"South Korea",
ISNUMBER(SEARCH("Cape Verde",S3723)),"Cabo Verde",
ISNUMBER(SEARCH("Czechia",S3723)),"Czech Republic",
ISNUMBER(SEARCH("Türkiye",S3723)),"Turkey",
ISNUMBER(SEARCH("Ivory Coast",S3723)),"Côte d'Ivoire",
ISNUMBER(SEARCH("Korea Republic",S3723)),"South Korea",
ISNUMBER(SEARCH("Germany FR",S3723)),"FR Germany",
ISNUMBER(SEARCH("West Germany",S3723)),"FR Germany",
ISNUMBER(SEARCH("Germany DR",S3723)),"DR Germany",
ISNUMBER(SEARCH("Korea DPR",S3723)),"North Korea",
ISNUMBER(SEARCH("China PR",S3723)),"China",
ISNUMBER(SEARCH("IR Iran",S3723)),"Iran",
ISNUMBER(SEARCH("Congo DR",S3723)),"Democratic Republic of the Congo",
ISNUMBER(SEARCH("DR Congo",S3723)),"Democratic Republic of the Congo",
ISNUMBER(SEARCH("German DR",S3723)),"DR Germany",
ISNUMBER(SEARCH("rn""&gt;United Arab Emirates",S3723)),"United Arab Emirates",
ISNUMBER(SEARCH("rn""&gt;Republic of Ireland",S3723)),"Ireland",
ISNUMBER(SEARCH("rn""&gt;Bosnia and Herzegovina",S3723)),"Bosnia and Herzegovina",
ISNUMBER(SEARCH("rn""&gt;Trinidad and Tobago",S3723)),"Trinidad and Tobago",
ISNUMBER(SEARCH("rn""&gt;Serbia and Montenegro",S3723)),"Serbia and Montenegro",
ISNUMBER(SEARCH(_xlfn.UNICHAR(65533),S3723)),"Côte d'Ivoire",
TRUE,""
)</f>
        <v/>
      </c>
      <c r="W3723" s="40" t="str">
        <f t="shared" si="249"/>
        <v>Italy</v>
      </c>
    </row>
    <row r="3724" spans="19:23">
      <c r="S3724" s="40" t="str">
        <v>Austria</v>
      </c>
      <c r="T3724" s="40" t="str">
        <f t="shared" si="247"/>
        <v>OK</v>
      </c>
      <c r="U3724" s="40" t="str">
        <f t="shared" si="248"/>
        <v>-</v>
      </c>
      <c r="V3724" s="40" t="str" cm="1">
        <f t="array" ref="V3724">_xlfn.IFS(
ISNUMBER(SEARCH("USA",S3724)),"United States",
ISNUMBER(SEARCH("Republic of Ireland",S3724)),"Ireland",
ISNUMBER(SEARCH("Republic of Korea",S3724)),"South Korea",
ISNUMBER(SEARCH("Cape Verde",S3724)),"Cabo Verde",
ISNUMBER(SEARCH("Czechia",S3724)),"Czech Republic",
ISNUMBER(SEARCH("Türkiye",S3724)),"Turkey",
ISNUMBER(SEARCH("Ivory Coast",S3724)),"Côte d'Ivoire",
ISNUMBER(SEARCH("Korea Republic",S3724)),"South Korea",
ISNUMBER(SEARCH("Germany FR",S3724)),"FR Germany",
ISNUMBER(SEARCH("West Germany",S3724)),"FR Germany",
ISNUMBER(SEARCH("Germany DR",S3724)),"DR Germany",
ISNUMBER(SEARCH("Korea DPR",S3724)),"North Korea",
ISNUMBER(SEARCH("China PR",S3724)),"China",
ISNUMBER(SEARCH("IR Iran",S3724)),"Iran",
ISNUMBER(SEARCH("Congo DR",S3724)),"Democratic Republic of the Congo",
ISNUMBER(SEARCH("DR Congo",S3724)),"Democratic Republic of the Congo",
ISNUMBER(SEARCH("German DR",S3724)),"DR Germany",
ISNUMBER(SEARCH("rn""&gt;United Arab Emirates",S3724)),"United Arab Emirates",
ISNUMBER(SEARCH("rn""&gt;Republic of Ireland",S3724)),"Ireland",
ISNUMBER(SEARCH("rn""&gt;Bosnia and Herzegovina",S3724)),"Bosnia and Herzegovina",
ISNUMBER(SEARCH("rn""&gt;Trinidad and Tobago",S3724)),"Trinidad and Tobago",
ISNUMBER(SEARCH("rn""&gt;Serbia and Montenegro",S3724)),"Serbia and Montenegro",
ISNUMBER(SEARCH(_xlfn.UNICHAR(65533),S3724)),"Côte d'Ivoire",
TRUE,""
)</f>
        <v/>
      </c>
      <c r="W3724" s="40" t="str">
        <f t="shared" si="249"/>
        <v>Austria</v>
      </c>
    </row>
    <row r="3725" spans="19:23">
      <c r="S3725" s="40" t="str">
        <v>Peru</v>
      </c>
      <c r="T3725" s="40" t="str">
        <f t="shared" si="247"/>
        <v>OK</v>
      </c>
      <c r="U3725" s="40" t="str">
        <f t="shared" si="248"/>
        <v>-</v>
      </c>
      <c r="V3725" s="40" t="str" cm="1">
        <f t="array" ref="V3725">_xlfn.IFS(
ISNUMBER(SEARCH("USA",S3725)),"United States",
ISNUMBER(SEARCH("Republic of Ireland",S3725)),"Ireland",
ISNUMBER(SEARCH("Republic of Korea",S3725)),"South Korea",
ISNUMBER(SEARCH("Cape Verde",S3725)),"Cabo Verde",
ISNUMBER(SEARCH("Czechia",S3725)),"Czech Republic",
ISNUMBER(SEARCH("Türkiye",S3725)),"Turkey",
ISNUMBER(SEARCH("Ivory Coast",S3725)),"Côte d'Ivoire",
ISNUMBER(SEARCH("Korea Republic",S3725)),"South Korea",
ISNUMBER(SEARCH("Germany FR",S3725)),"FR Germany",
ISNUMBER(SEARCH("West Germany",S3725)),"FR Germany",
ISNUMBER(SEARCH("Germany DR",S3725)),"DR Germany",
ISNUMBER(SEARCH("Korea DPR",S3725)),"North Korea",
ISNUMBER(SEARCH("China PR",S3725)),"China",
ISNUMBER(SEARCH("IR Iran",S3725)),"Iran",
ISNUMBER(SEARCH("Congo DR",S3725)),"Democratic Republic of the Congo",
ISNUMBER(SEARCH("DR Congo",S3725)),"Democratic Republic of the Congo",
ISNUMBER(SEARCH("German DR",S3725)),"DR Germany",
ISNUMBER(SEARCH("rn""&gt;United Arab Emirates",S3725)),"United Arab Emirates",
ISNUMBER(SEARCH("rn""&gt;Republic of Ireland",S3725)),"Ireland",
ISNUMBER(SEARCH("rn""&gt;Bosnia and Herzegovina",S3725)),"Bosnia and Herzegovina",
ISNUMBER(SEARCH("rn""&gt;Trinidad and Tobago",S3725)),"Trinidad and Tobago",
ISNUMBER(SEARCH("rn""&gt;Serbia and Montenegro",S3725)),"Serbia and Montenegro",
ISNUMBER(SEARCH(_xlfn.UNICHAR(65533),S3725)),"Côte d'Ivoire",
TRUE,""
)</f>
        <v/>
      </c>
      <c r="W3725" s="40" t="str">
        <f t="shared" si="249"/>
        <v>Peru</v>
      </c>
    </row>
    <row r="3726" spans="19:23">
      <c r="S3726" s="40" t="str">
        <v>Poland</v>
      </c>
      <c r="T3726" s="40" t="str">
        <f t="shared" si="247"/>
        <v>OK</v>
      </c>
      <c r="U3726" s="40" t="str">
        <f t="shared" si="248"/>
        <v>-</v>
      </c>
      <c r="V3726" s="40" t="str" cm="1">
        <f t="array" ref="V3726">_xlfn.IFS(
ISNUMBER(SEARCH("USA",S3726)),"United States",
ISNUMBER(SEARCH("Republic of Ireland",S3726)),"Ireland",
ISNUMBER(SEARCH("Republic of Korea",S3726)),"South Korea",
ISNUMBER(SEARCH("Cape Verde",S3726)),"Cabo Verde",
ISNUMBER(SEARCH("Czechia",S3726)),"Czech Republic",
ISNUMBER(SEARCH("Türkiye",S3726)),"Turkey",
ISNUMBER(SEARCH("Ivory Coast",S3726)),"Côte d'Ivoire",
ISNUMBER(SEARCH("Korea Republic",S3726)),"South Korea",
ISNUMBER(SEARCH("Germany FR",S3726)),"FR Germany",
ISNUMBER(SEARCH("West Germany",S3726)),"FR Germany",
ISNUMBER(SEARCH("Germany DR",S3726)),"DR Germany",
ISNUMBER(SEARCH("Korea DPR",S3726)),"North Korea",
ISNUMBER(SEARCH("China PR",S3726)),"China",
ISNUMBER(SEARCH("IR Iran",S3726)),"Iran",
ISNUMBER(SEARCH("Congo DR",S3726)),"Democratic Republic of the Congo",
ISNUMBER(SEARCH("DR Congo",S3726)),"Democratic Republic of the Congo",
ISNUMBER(SEARCH("German DR",S3726)),"DR Germany",
ISNUMBER(SEARCH("rn""&gt;United Arab Emirates",S3726)),"United Arab Emirates",
ISNUMBER(SEARCH("rn""&gt;Republic of Ireland",S3726)),"Ireland",
ISNUMBER(SEARCH("rn""&gt;Bosnia and Herzegovina",S3726)),"Bosnia and Herzegovina",
ISNUMBER(SEARCH("rn""&gt;Trinidad and Tobago",S3726)),"Trinidad and Tobago",
ISNUMBER(SEARCH("rn""&gt;Serbia and Montenegro",S3726)),"Serbia and Montenegro",
ISNUMBER(SEARCH(_xlfn.UNICHAR(65533),S3726)),"Côte d'Ivoire",
TRUE,""
)</f>
        <v/>
      </c>
      <c r="W3726" s="40" t="str">
        <f t="shared" si="249"/>
        <v>Poland</v>
      </c>
    </row>
    <row r="3727" spans="19:23">
      <c r="S3727" s="40" t="str">
        <v>Peru</v>
      </c>
      <c r="T3727" s="40" t="str">
        <f t="shared" si="247"/>
        <v>OK</v>
      </c>
      <c r="U3727" s="40" t="str">
        <f t="shared" si="248"/>
        <v>-</v>
      </c>
      <c r="V3727" s="40" t="str" cm="1">
        <f t="array" ref="V3727">_xlfn.IFS(
ISNUMBER(SEARCH("USA",S3727)),"United States",
ISNUMBER(SEARCH("Republic of Ireland",S3727)),"Ireland",
ISNUMBER(SEARCH("Republic of Korea",S3727)),"South Korea",
ISNUMBER(SEARCH("Cape Verde",S3727)),"Cabo Verde",
ISNUMBER(SEARCH("Czechia",S3727)),"Czech Republic",
ISNUMBER(SEARCH("Türkiye",S3727)),"Turkey",
ISNUMBER(SEARCH("Ivory Coast",S3727)),"Côte d'Ivoire",
ISNUMBER(SEARCH("Korea Republic",S3727)),"South Korea",
ISNUMBER(SEARCH("Germany FR",S3727)),"FR Germany",
ISNUMBER(SEARCH("West Germany",S3727)),"FR Germany",
ISNUMBER(SEARCH("Germany DR",S3727)),"DR Germany",
ISNUMBER(SEARCH("Korea DPR",S3727)),"North Korea",
ISNUMBER(SEARCH("China PR",S3727)),"China",
ISNUMBER(SEARCH("IR Iran",S3727)),"Iran",
ISNUMBER(SEARCH("Congo DR",S3727)),"Democratic Republic of the Congo",
ISNUMBER(SEARCH("DR Congo",S3727)),"Democratic Republic of the Congo",
ISNUMBER(SEARCH("German DR",S3727)),"DR Germany",
ISNUMBER(SEARCH("rn""&gt;United Arab Emirates",S3727)),"United Arab Emirates",
ISNUMBER(SEARCH("rn""&gt;Republic of Ireland",S3727)),"Ireland",
ISNUMBER(SEARCH("rn""&gt;Bosnia and Herzegovina",S3727)),"Bosnia and Herzegovina",
ISNUMBER(SEARCH("rn""&gt;Trinidad and Tobago",S3727)),"Trinidad and Tobago",
ISNUMBER(SEARCH("rn""&gt;Serbia and Montenegro",S3727)),"Serbia and Montenegro",
ISNUMBER(SEARCH(_xlfn.UNICHAR(65533),S3727)),"Côte d'Ivoire",
TRUE,""
)</f>
        <v/>
      </c>
      <c r="W3727" s="40" t="str">
        <f t="shared" si="249"/>
        <v>Peru</v>
      </c>
    </row>
    <row r="3728" spans="19:23">
      <c r="S3728" s="40" t="str">
        <v>Austria</v>
      </c>
      <c r="T3728" s="40" t="str">
        <f t="shared" si="247"/>
        <v>OK</v>
      </c>
      <c r="U3728" s="40" t="str">
        <f t="shared" si="248"/>
        <v>-</v>
      </c>
      <c r="V3728" s="40" t="str" cm="1">
        <f t="array" ref="V3728">_xlfn.IFS(
ISNUMBER(SEARCH("USA",S3728)),"United States",
ISNUMBER(SEARCH("Republic of Ireland",S3728)),"Ireland",
ISNUMBER(SEARCH("Republic of Korea",S3728)),"South Korea",
ISNUMBER(SEARCH("Cape Verde",S3728)),"Cabo Verde",
ISNUMBER(SEARCH("Czechia",S3728)),"Czech Republic",
ISNUMBER(SEARCH("Türkiye",S3728)),"Turkey",
ISNUMBER(SEARCH("Ivory Coast",S3728)),"Côte d'Ivoire",
ISNUMBER(SEARCH("Korea Republic",S3728)),"South Korea",
ISNUMBER(SEARCH("Germany FR",S3728)),"FR Germany",
ISNUMBER(SEARCH("West Germany",S3728)),"FR Germany",
ISNUMBER(SEARCH("Germany DR",S3728)),"DR Germany",
ISNUMBER(SEARCH("Korea DPR",S3728)),"North Korea",
ISNUMBER(SEARCH("China PR",S3728)),"China",
ISNUMBER(SEARCH("IR Iran",S3728)),"Iran",
ISNUMBER(SEARCH("Congo DR",S3728)),"Democratic Republic of the Congo",
ISNUMBER(SEARCH("DR Congo",S3728)),"Democratic Republic of the Congo",
ISNUMBER(SEARCH("German DR",S3728)),"DR Germany",
ISNUMBER(SEARCH("rn""&gt;United Arab Emirates",S3728)),"United Arab Emirates",
ISNUMBER(SEARCH("rn""&gt;Republic of Ireland",S3728)),"Ireland",
ISNUMBER(SEARCH("rn""&gt;Bosnia and Herzegovina",S3728)),"Bosnia and Herzegovina",
ISNUMBER(SEARCH("rn""&gt;Trinidad and Tobago",S3728)),"Trinidad and Tobago",
ISNUMBER(SEARCH("rn""&gt;Serbia and Montenegro",S3728)),"Serbia and Montenegro",
ISNUMBER(SEARCH(_xlfn.UNICHAR(65533),S3728)),"Côte d'Ivoire",
TRUE,""
)</f>
        <v/>
      </c>
      <c r="W3728" s="40" t="str">
        <f t="shared" si="249"/>
        <v>Austria</v>
      </c>
    </row>
    <row r="3729" spans="19:23">
      <c r="S3729" s="40" t="str">
        <v>Netherlands</v>
      </c>
      <c r="T3729" s="40" t="str">
        <f t="shared" si="247"/>
        <v>OK</v>
      </c>
      <c r="U3729" s="40" t="str">
        <f t="shared" si="248"/>
        <v>-</v>
      </c>
      <c r="V3729" s="40" t="str" cm="1">
        <f t="array" ref="V3729">_xlfn.IFS(
ISNUMBER(SEARCH("USA",S3729)),"United States",
ISNUMBER(SEARCH("Republic of Ireland",S3729)),"Ireland",
ISNUMBER(SEARCH("Republic of Korea",S3729)),"South Korea",
ISNUMBER(SEARCH("Cape Verde",S3729)),"Cabo Verde",
ISNUMBER(SEARCH("Czechia",S3729)),"Czech Republic",
ISNUMBER(SEARCH("Türkiye",S3729)),"Turkey",
ISNUMBER(SEARCH("Ivory Coast",S3729)),"Côte d'Ivoire",
ISNUMBER(SEARCH("Korea Republic",S3729)),"South Korea",
ISNUMBER(SEARCH("Germany FR",S3729)),"FR Germany",
ISNUMBER(SEARCH("West Germany",S3729)),"FR Germany",
ISNUMBER(SEARCH("Germany DR",S3729)),"DR Germany",
ISNUMBER(SEARCH("Korea DPR",S3729)),"North Korea",
ISNUMBER(SEARCH("China PR",S3729)),"China",
ISNUMBER(SEARCH("IR Iran",S3729)),"Iran",
ISNUMBER(SEARCH("Congo DR",S3729)),"Democratic Republic of the Congo",
ISNUMBER(SEARCH("DR Congo",S3729)),"Democratic Republic of the Congo",
ISNUMBER(SEARCH("German DR",S3729)),"DR Germany",
ISNUMBER(SEARCH("rn""&gt;United Arab Emirates",S3729)),"United Arab Emirates",
ISNUMBER(SEARCH("rn""&gt;Republic of Ireland",S3729)),"Ireland",
ISNUMBER(SEARCH("rn""&gt;Bosnia and Herzegovina",S3729)),"Bosnia and Herzegovina",
ISNUMBER(SEARCH("rn""&gt;Trinidad and Tobago",S3729)),"Trinidad and Tobago",
ISNUMBER(SEARCH("rn""&gt;Serbia and Montenegro",S3729)),"Serbia and Montenegro",
ISNUMBER(SEARCH(_xlfn.UNICHAR(65533),S3729)),"Côte d'Ivoire",
TRUE,""
)</f>
        <v/>
      </c>
      <c r="W3729" s="40" t="str">
        <f t="shared" si="249"/>
        <v>Netherlands</v>
      </c>
    </row>
    <row r="3730" spans="19:23">
      <c r="S3730" s="40" t="str">
        <v>Brazil</v>
      </c>
      <c r="T3730" s="40" t="str">
        <f t="shared" si="247"/>
        <v>OK</v>
      </c>
      <c r="U3730" s="40" t="str">
        <f t="shared" si="248"/>
        <v>-</v>
      </c>
      <c r="V3730" s="40" t="str" cm="1">
        <f t="array" ref="V3730">_xlfn.IFS(
ISNUMBER(SEARCH("USA",S3730)),"United States",
ISNUMBER(SEARCH("Republic of Ireland",S3730)),"Ireland",
ISNUMBER(SEARCH("Republic of Korea",S3730)),"South Korea",
ISNUMBER(SEARCH("Cape Verde",S3730)),"Cabo Verde",
ISNUMBER(SEARCH("Czechia",S3730)),"Czech Republic",
ISNUMBER(SEARCH("Türkiye",S3730)),"Turkey",
ISNUMBER(SEARCH("Ivory Coast",S3730)),"Côte d'Ivoire",
ISNUMBER(SEARCH("Korea Republic",S3730)),"South Korea",
ISNUMBER(SEARCH("Germany FR",S3730)),"FR Germany",
ISNUMBER(SEARCH("West Germany",S3730)),"FR Germany",
ISNUMBER(SEARCH("Germany DR",S3730)),"DR Germany",
ISNUMBER(SEARCH("Korea DPR",S3730)),"North Korea",
ISNUMBER(SEARCH("China PR",S3730)),"China",
ISNUMBER(SEARCH("IR Iran",S3730)),"Iran",
ISNUMBER(SEARCH("Congo DR",S3730)),"Democratic Republic of the Congo",
ISNUMBER(SEARCH("DR Congo",S3730)),"Democratic Republic of the Congo",
ISNUMBER(SEARCH("German DR",S3730)),"DR Germany",
ISNUMBER(SEARCH("rn""&gt;United Arab Emirates",S3730)),"United Arab Emirates",
ISNUMBER(SEARCH("rn""&gt;Republic of Ireland",S3730)),"Ireland",
ISNUMBER(SEARCH("rn""&gt;Bosnia and Herzegovina",S3730)),"Bosnia and Herzegovina",
ISNUMBER(SEARCH("rn""&gt;Trinidad and Tobago",S3730)),"Trinidad and Tobago",
ISNUMBER(SEARCH("rn""&gt;Serbia and Montenegro",S3730)),"Serbia and Montenegro",
ISNUMBER(SEARCH(_xlfn.UNICHAR(65533),S3730)),"Côte d'Ivoire",
TRUE,""
)</f>
        <v/>
      </c>
      <c r="W3730" s="40" t="str">
        <f t="shared" si="249"/>
        <v>Brazil</v>
      </c>
    </row>
    <row r="3731" spans="19:23">
      <c r="S3731" s="40" t="str">
        <v>Italy</v>
      </c>
      <c r="T3731" s="40" t="str">
        <f t="shared" si="247"/>
        <v>OK</v>
      </c>
      <c r="U3731" s="40" t="str">
        <f t="shared" si="248"/>
        <v>-</v>
      </c>
      <c r="V3731" s="40" t="str" cm="1">
        <f t="array" ref="V3731">_xlfn.IFS(
ISNUMBER(SEARCH("USA",S3731)),"United States",
ISNUMBER(SEARCH("Republic of Ireland",S3731)),"Ireland",
ISNUMBER(SEARCH("Republic of Korea",S3731)),"South Korea",
ISNUMBER(SEARCH("Cape Verde",S3731)),"Cabo Verde",
ISNUMBER(SEARCH("Czechia",S3731)),"Czech Republic",
ISNUMBER(SEARCH("Türkiye",S3731)),"Turkey",
ISNUMBER(SEARCH("Ivory Coast",S3731)),"Côte d'Ivoire",
ISNUMBER(SEARCH("Korea Republic",S3731)),"South Korea",
ISNUMBER(SEARCH("Germany FR",S3731)),"FR Germany",
ISNUMBER(SEARCH("West Germany",S3731)),"FR Germany",
ISNUMBER(SEARCH("Germany DR",S3731)),"DR Germany",
ISNUMBER(SEARCH("Korea DPR",S3731)),"North Korea",
ISNUMBER(SEARCH("China PR",S3731)),"China",
ISNUMBER(SEARCH("IR Iran",S3731)),"Iran",
ISNUMBER(SEARCH("Congo DR",S3731)),"Democratic Republic of the Congo",
ISNUMBER(SEARCH("DR Congo",S3731)),"Democratic Republic of the Congo",
ISNUMBER(SEARCH("German DR",S3731)),"DR Germany",
ISNUMBER(SEARCH("rn""&gt;United Arab Emirates",S3731)),"United Arab Emirates",
ISNUMBER(SEARCH("rn""&gt;Republic of Ireland",S3731)),"Ireland",
ISNUMBER(SEARCH("rn""&gt;Bosnia and Herzegovina",S3731)),"Bosnia and Herzegovina",
ISNUMBER(SEARCH("rn""&gt;Trinidad and Tobago",S3731)),"Trinidad and Tobago",
ISNUMBER(SEARCH("rn""&gt;Serbia and Montenegro",S3731)),"Serbia and Montenegro",
ISNUMBER(SEARCH(_xlfn.UNICHAR(65533),S3731)),"Côte d'Ivoire",
TRUE,""
)</f>
        <v/>
      </c>
      <c r="W3731" s="40" t="str">
        <f t="shared" si="249"/>
        <v>Italy</v>
      </c>
    </row>
    <row r="3732" spans="19:23">
      <c r="S3732" s="40" t="str">
        <v>Germany FR</v>
      </c>
      <c r="T3732" s="40" t="str">
        <f t="shared" si="247"/>
        <v>ERREUR</v>
      </c>
      <c r="U3732" s="40" t="str">
        <f t="shared" si="248"/>
        <v>RENOMMER</v>
      </c>
      <c r="V3732" s="40" t="str" cm="1">
        <f t="array" ref="V3732">_xlfn.IFS(
ISNUMBER(SEARCH("USA",S3732)),"United States",
ISNUMBER(SEARCH("Republic of Ireland",S3732)),"Ireland",
ISNUMBER(SEARCH("Republic of Korea",S3732)),"South Korea",
ISNUMBER(SEARCH("Cape Verde",S3732)),"Cabo Verde",
ISNUMBER(SEARCH("Czechia",S3732)),"Czech Republic",
ISNUMBER(SEARCH("Türkiye",S3732)),"Turkey",
ISNUMBER(SEARCH("Ivory Coast",S3732)),"Côte d'Ivoire",
ISNUMBER(SEARCH("Korea Republic",S3732)),"South Korea",
ISNUMBER(SEARCH("Germany FR",S3732)),"FR Germany",
ISNUMBER(SEARCH("West Germany",S3732)),"FR Germany",
ISNUMBER(SEARCH("Germany DR",S3732)),"DR Germany",
ISNUMBER(SEARCH("Korea DPR",S3732)),"North Korea",
ISNUMBER(SEARCH("China PR",S3732)),"China",
ISNUMBER(SEARCH("IR Iran",S3732)),"Iran",
ISNUMBER(SEARCH("Congo DR",S3732)),"Democratic Republic of the Congo",
ISNUMBER(SEARCH("DR Congo",S3732)),"Democratic Republic of the Congo",
ISNUMBER(SEARCH("German DR",S3732)),"DR Germany",
ISNUMBER(SEARCH("rn""&gt;United Arab Emirates",S3732)),"United Arab Emirates",
ISNUMBER(SEARCH("rn""&gt;Republic of Ireland",S3732)),"Ireland",
ISNUMBER(SEARCH("rn""&gt;Bosnia and Herzegovina",S3732)),"Bosnia and Herzegovina",
ISNUMBER(SEARCH("rn""&gt;Trinidad and Tobago",S3732)),"Trinidad and Tobago",
ISNUMBER(SEARCH("rn""&gt;Serbia and Montenegro",S3732)),"Serbia and Montenegro",
ISNUMBER(SEARCH(_xlfn.UNICHAR(65533),S3732)),"Côte d'Ivoire",
TRUE,""
)</f>
        <v>FR Germany</v>
      </c>
      <c r="W3732" s="40" t="str">
        <f t="shared" si="249"/>
        <v>FR Germany</v>
      </c>
    </row>
    <row r="3733" spans="19:23">
      <c r="S3733" s="40" t="str">
        <v>Poland</v>
      </c>
      <c r="T3733" s="40" t="str">
        <f t="shared" si="247"/>
        <v>OK</v>
      </c>
      <c r="U3733" s="40" t="str">
        <f t="shared" si="248"/>
        <v>-</v>
      </c>
      <c r="V3733" s="40" t="str" cm="1">
        <f t="array" ref="V3733">_xlfn.IFS(
ISNUMBER(SEARCH("USA",S3733)),"United States",
ISNUMBER(SEARCH("Republic of Ireland",S3733)),"Ireland",
ISNUMBER(SEARCH("Republic of Korea",S3733)),"South Korea",
ISNUMBER(SEARCH("Cape Verde",S3733)),"Cabo Verde",
ISNUMBER(SEARCH("Czechia",S3733)),"Czech Republic",
ISNUMBER(SEARCH("Türkiye",S3733)),"Turkey",
ISNUMBER(SEARCH("Ivory Coast",S3733)),"Côte d'Ivoire",
ISNUMBER(SEARCH("Korea Republic",S3733)),"South Korea",
ISNUMBER(SEARCH("Germany FR",S3733)),"FR Germany",
ISNUMBER(SEARCH("West Germany",S3733)),"FR Germany",
ISNUMBER(SEARCH("Germany DR",S3733)),"DR Germany",
ISNUMBER(SEARCH("Korea DPR",S3733)),"North Korea",
ISNUMBER(SEARCH("China PR",S3733)),"China",
ISNUMBER(SEARCH("IR Iran",S3733)),"Iran",
ISNUMBER(SEARCH("Congo DR",S3733)),"Democratic Republic of the Congo",
ISNUMBER(SEARCH("DR Congo",S3733)),"Democratic Republic of the Congo",
ISNUMBER(SEARCH("German DR",S3733)),"DR Germany",
ISNUMBER(SEARCH("rn""&gt;United Arab Emirates",S3733)),"United Arab Emirates",
ISNUMBER(SEARCH("rn""&gt;Republic of Ireland",S3733)),"Ireland",
ISNUMBER(SEARCH("rn""&gt;Bosnia and Herzegovina",S3733)),"Bosnia and Herzegovina",
ISNUMBER(SEARCH("rn""&gt;Trinidad and Tobago",S3733)),"Trinidad and Tobago",
ISNUMBER(SEARCH("rn""&gt;Serbia and Montenegro",S3733)),"Serbia and Montenegro",
ISNUMBER(SEARCH(_xlfn.UNICHAR(65533),S3733)),"Côte d'Ivoire",
TRUE,""
)</f>
        <v/>
      </c>
      <c r="W3733" s="40" t="str">
        <f t="shared" si="249"/>
        <v>Poland</v>
      </c>
    </row>
    <row r="3734" spans="19:23">
      <c r="S3734" s="40" t="str">
        <v>Peru</v>
      </c>
      <c r="T3734" s="40" t="str">
        <f t="shared" si="247"/>
        <v>OK</v>
      </c>
      <c r="U3734" s="40" t="str">
        <f t="shared" si="248"/>
        <v>-</v>
      </c>
      <c r="V3734" s="40" t="str" cm="1">
        <f t="array" ref="V3734">_xlfn.IFS(
ISNUMBER(SEARCH("USA",S3734)),"United States",
ISNUMBER(SEARCH("Republic of Ireland",S3734)),"Ireland",
ISNUMBER(SEARCH("Republic of Korea",S3734)),"South Korea",
ISNUMBER(SEARCH("Cape Verde",S3734)),"Cabo Verde",
ISNUMBER(SEARCH("Czechia",S3734)),"Czech Republic",
ISNUMBER(SEARCH("Türkiye",S3734)),"Turkey",
ISNUMBER(SEARCH("Ivory Coast",S3734)),"Côte d'Ivoire",
ISNUMBER(SEARCH("Korea Republic",S3734)),"South Korea",
ISNUMBER(SEARCH("Germany FR",S3734)),"FR Germany",
ISNUMBER(SEARCH("West Germany",S3734)),"FR Germany",
ISNUMBER(SEARCH("Germany DR",S3734)),"DR Germany",
ISNUMBER(SEARCH("Korea DPR",S3734)),"North Korea",
ISNUMBER(SEARCH("China PR",S3734)),"China",
ISNUMBER(SEARCH("IR Iran",S3734)),"Iran",
ISNUMBER(SEARCH("Congo DR",S3734)),"Democratic Republic of the Congo",
ISNUMBER(SEARCH("DR Congo",S3734)),"Democratic Republic of the Congo",
ISNUMBER(SEARCH("German DR",S3734)),"DR Germany",
ISNUMBER(SEARCH("rn""&gt;United Arab Emirates",S3734)),"United Arab Emirates",
ISNUMBER(SEARCH("rn""&gt;Republic of Ireland",S3734)),"Ireland",
ISNUMBER(SEARCH("rn""&gt;Bosnia and Herzegovina",S3734)),"Bosnia and Herzegovina",
ISNUMBER(SEARCH("rn""&gt;Trinidad and Tobago",S3734)),"Trinidad and Tobago",
ISNUMBER(SEARCH("rn""&gt;Serbia and Montenegro",S3734)),"Serbia and Montenegro",
ISNUMBER(SEARCH(_xlfn.UNICHAR(65533),S3734)),"Côte d'Ivoire",
TRUE,""
)</f>
        <v/>
      </c>
      <c r="W3734" s="40" t="str">
        <f t="shared" si="249"/>
        <v>Peru</v>
      </c>
    </row>
    <row r="3735" spans="19:23">
      <c r="S3735" s="40" t="str">
        <v>Italy</v>
      </c>
      <c r="T3735" s="40" t="str">
        <f t="shared" si="247"/>
        <v>OK</v>
      </c>
      <c r="U3735" s="40" t="str">
        <f t="shared" si="248"/>
        <v>-</v>
      </c>
      <c r="V3735" s="40" t="str" cm="1">
        <f t="array" ref="V3735">_xlfn.IFS(
ISNUMBER(SEARCH("USA",S3735)),"United States",
ISNUMBER(SEARCH("Republic of Ireland",S3735)),"Ireland",
ISNUMBER(SEARCH("Republic of Korea",S3735)),"South Korea",
ISNUMBER(SEARCH("Cape Verde",S3735)),"Cabo Verde",
ISNUMBER(SEARCH("Czechia",S3735)),"Czech Republic",
ISNUMBER(SEARCH("Türkiye",S3735)),"Turkey",
ISNUMBER(SEARCH("Ivory Coast",S3735)),"Côte d'Ivoire",
ISNUMBER(SEARCH("Korea Republic",S3735)),"South Korea",
ISNUMBER(SEARCH("Germany FR",S3735)),"FR Germany",
ISNUMBER(SEARCH("West Germany",S3735)),"FR Germany",
ISNUMBER(SEARCH("Germany DR",S3735)),"DR Germany",
ISNUMBER(SEARCH("Korea DPR",S3735)),"North Korea",
ISNUMBER(SEARCH("China PR",S3735)),"China",
ISNUMBER(SEARCH("IR Iran",S3735)),"Iran",
ISNUMBER(SEARCH("Congo DR",S3735)),"Democratic Republic of the Congo",
ISNUMBER(SEARCH("DR Congo",S3735)),"Democratic Republic of the Congo",
ISNUMBER(SEARCH("German DR",S3735)),"DR Germany",
ISNUMBER(SEARCH("rn""&gt;United Arab Emirates",S3735)),"United Arab Emirates",
ISNUMBER(SEARCH("rn""&gt;Republic of Ireland",S3735)),"Ireland",
ISNUMBER(SEARCH("rn""&gt;Bosnia and Herzegovina",S3735)),"Bosnia and Herzegovina",
ISNUMBER(SEARCH("rn""&gt;Trinidad and Tobago",S3735)),"Trinidad and Tobago",
ISNUMBER(SEARCH("rn""&gt;Serbia and Montenegro",S3735)),"Serbia and Montenegro",
ISNUMBER(SEARCH(_xlfn.UNICHAR(65533),S3735)),"Côte d'Ivoire",
TRUE,""
)</f>
        <v/>
      </c>
      <c r="W3735" s="40" t="str">
        <f t="shared" si="249"/>
        <v>Italy</v>
      </c>
    </row>
    <row r="3736" spans="19:23">
      <c r="S3736" s="40" t="str">
        <v>Netherlands</v>
      </c>
      <c r="T3736" s="40" t="str">
        <f t="shared" si="247"/>
        <v>OK</v>
      </c>
      <c r="U3736" s="40" t="str">
        <f t="shared" si="248"/>
        <v>-</v>
      </c>
      <c r="V3736" s="40" t="str" cm="1">
        <f t="array" ref="V3736">_xlfn.IFS(
ISNUMBER(SEARCH("USA",S3736)),"United States",
ISNUMBER(SEARCH("Republic of Ireland",S3736)),"Ireland",
ISNUMBER(SEARCH("Republic of Korea",S3736)),"South Korea",
ISNUMBER(SEARCH("Cape Verde",S3736)),"Cabo Verde",
ISNUMBER(SEARCH("Czechia",S3736)),"Czech Republic",
ISNUMBER(SEARCH("Türkiye",S3736)),"Turkey",
ISNUMBER(SEARCH("Ivory Coast",S3736)),"Côte d'Ivoire",
ISNUMBER(SEARCH("Korea Republic",S3736)),"South Korea",
ISNUMBER(SEARCH("Germany FR",S3736)),"FR Germany",
ISNUMBER(SEARCH("West Germany",S3736)),"FR Germany",
ISNUMBER(SEARCH("Germany DR",S3736)),"DR Germany",
ISNUMBER(SEARCH("Korea DPR",S3736)),"North Korea",
ISNUMBER(SEARCH("China PR",S3736)),"China",
ISNUMBER(SEARCH("IR Iran",S3736)),"Iran",
ISNUMBER(SEARCH("Congo DR",S3736)),"Democratic Republic of the Congo",
ISNUMBER(SEARCH("DR Congo",S3736)),"Democratic Republic of the Congo",
ISNUMBER(SEARCH("German DR",S3736)),"DR Germany",
ISNUMBER(SEARCH("rn""&gt;United Arab Emirates",S3736)),"United Arab Emirates",
ISNUMBER(SEARCH("rn""&gt;Republic of Ireland",S3736)),"Ireland",
ISNUMBER(SEARCH("rn""&gt;Bosnia and Herzegovina",S3736)),"Bosnia and Herzegovina",
ISNUMBER(SEARCH("rn""&gt;Trinidad and Tobago",S3736)),"Trinidad and Tobago",
ISNUMBER(SEARCH("rn""&gt;Serbia and Montenegro",S3736)),"Serbia and Montenegro",
ISNUMBER(SEARCH(_xlfn.UNICHAR(65533),S3736)),"Côte d'Ivoire",
TRUE,""
)</f>
        <v/>
      </c>
      <c r="W3736" s="40" t="str">
        <f t="shared" si="249"/>
        <v>Netherlands</v>
      </c>
    </row>
    <row r="3737" spans="19:23">
      <c r="S3737" s="40" t="str">
        <v>Belgium</v>
      </c>
      <c r="T3737" s="40" t="str">
        <f t="shared" si="247"/>
        <v>OK</v>
      </c>
      <c r="U3737" s="40" t="str">
        <f t="shared" si="248"/>
        <v>-</v>
      </c>
      <c r="V3737" s="40" t="str" cm="1">
        <f t="array" ref="V3737">_xlfn.IFS(
ISNUMBER(SEARCH("USA",S3737)),"United States",
ISNUMBER(SEARCH("Republic of Ireland",S3737)),"Ireland",
ISNUMBER(SEARCH("Republic of Korea",S3737)),"South Korea",
ISNUMBER(SEARCH("Cape Verde",S3737)),"Cabo Verde",
ISNUMBER(SEARCH("Czechia",S3737)),"Czech Republic",
ISNUMBER(SEARCH("Türkiye",S3737)),"Turkey",
ISNUMBER(SEARCH("Ivory Coast",S3737)),"Côte d'Ivoire",
ISNUMBER(SEARCH("Korea Republic",S3737)),"South Korea",
ISNUMBER(SEARCH("Germany FR",S3737)),"FR Germany",
ISNUMBER(SEARCH("West Germany",S3737)),"FR Germany",
ISNUMBER(SEARCH("Germany DR",S3737)),"DR Germany",
ISNUMBER(SEARCH("Korea DPR",S3737)),"North Korea",
ISNUMBER(SEARCH("China PR",S3737)),"China",
ISNUMBER(SEARCH("IR Iran",S3737)),"Iran",
ISNUMBER(SEARCH("Congo DR",S3737)),"Democratic Republic of the Congo",
ISNUMBER(SEARCH("DR Congo",S3737)),"Democratic Republic of the Congo",
ISNUMBER(SEARCH("German DR",S3737)),"DR Germany",
ISNUMBER(SEARCH("rn""&gt;United Arab Emirates",S3737)),"United Arab Emirates",
ISNUMBER(SEARCH("rn""&gt;Republic of Ireland",S3737)),"Ireland",
ISNUMBER(SEARCH("rn""&gt;Bosnia and Herzegovina",S3737)),"Bosnia and Herzegovina",
ISNUMBER(SEARCH("rn""&gt;Trinidad and Tobago",S3737)),"Trinidad and Tobago",
ISNUMBER(SEARCH("rn""&gt;Serbia and Montenegro",S3737)),"Serbia and Montenegro",
ISNUMBER(SEARCH(_xlfn.UNICHAR(65533),S3737)),"Côte d'Ivoire",
TRUE,""
)</f>
        <v/>
      </c>
      <c r="W3737" s="40" t="str">
        <f t="shared" si="249"/>
        <v>Belgium</v>
      </c>
    </row>
    <row r="3738" spans="19:23">
      <c r="S3738" s="40" t="str">
        <v>Poland</v>
      </c>
      <c r="T3738" s="40" t="str">
        <f t="shared" si="247"/>
        <v>OK</v>
      </c>
      <c r="U3738" s="40" t="str">
        <f t="shared" si="248"/>
        <v>-</v>
      </c>
      <c r="V3738" s="40" t="str" cm="1">
        <f t="array" ref="V3738">_xlfn.IFS(
ISNUMBER(SEARCH("USA",S3738)),"United States",
ISNUMBER(SEARCH("Republic of Ireland",S3738)),"Ireland",
ISNUMBER(SEARCH("Republic of Korea",S3738)),"South Korea",
ISNUMBER(SEARCH("Cape Verde",S3738)),"Cabo Verde",
ISNUMBER(SEARCH("Czechia",S3738)),"Czech Republic",
ISNUMBER(SEARCH("Türkiye",S3738)),"Turkey",
ISNUMBER(SEARCH("Ivory Coast",S3738)),"Côte d'Ivoire",
ISNUMBER(SEARCH("Korea Republic",S3738)),"South Korea",
ISNUMBER(SEARCH("Germany FR",S3738)),"FR Germany",
ISNUMBER(SEARCH("West Germany",S3738)),"FR Germany",
ISNUMBER(SEARCH("Germany DR",S3738)),"DR Germany",
ISNUMBER(SEARCH("Korea DPR",S3738)),"North Korea",
ISNUMBER(SEARCH("China PR",S3738)),"China",
ISNUMBER(SEARCH("IR Iran",S3738)),"Iran",
ISNUMBER(SEARCH("Congo DR",S3738)),"Democratic Republic of the Congo",
ISNUMBER(SEARCH("DR Congo",S3738)),"Democratic Republic of the Congo",
ISNUMBER(SEARCH("German DR",S3738)),"DR Germany",
ISNUMBER(SEARCH("rn""&gt;United Arab Emirates",S3738)),"United Arab Emirates",
ISNUMBER(SEARCH("rn""&gt;Republic of Ireland",S3738)),"Ireland",
ISNUMBER(SEARCH("rn""&gt;Bosnia and Herzegovina",S3738)),"Bosnia and Herzegovina",
ISNUMBER(SEARCH("rn""&gt;Trinidad and Tobago",S3738)),"Trinidad and Tobago",
ISNUMBER(SEARCH("rn""&gt;Serbia and Montenegro",S3738)),"Serbia and Montenegro",
ISNUMBER(SEARCH(_xlfn.UNICHAR(65533),S3738)),"Côte d'Ivoire",
TRUE,""
)</f>
        <v/>
      </c>
      <c r="W3738" s="40" t="str">
        <f t="shared" si="249"/>
        <v>Poland</v>
      </c>
    </row>
    <row r="3739" spans="19:23">
      <c r="S3739" s="40" t="str">
        <v>Soviet Union</v>
      </c>
      <c r="T3739" s="40" t="str">
        <f t="shared" si="247"/>
        <v>ERREUR</v>
      </c>
      <c r="U3739" s="40" t="str">
        <f t="shared" si="248"/>
        <v>AUCUNE</v>
      </c>
      <c r="V3739" s="40" t="str" cm="1">
        <f t="array" ref="V3739">_xlfn.IFS(
ISNUMBER(SEARCH("USA",S3739)),"United States",
ISNUMBER(SEARCH("Republic of Ireland",S3739)),"Ireland",
ISNUMBER(SEARCH("Republic of Korea",S3739)),"South Korea",
ISNUMBER(SEARCH("Cape Verde",S3739)),"Cabo Verde",
ISNUMBER(SEARCH("Czechia",S3739)),"Czech Republic",
ISNUMBER(SEARCH("Türkiye",S3739)),"Turkey",
ISNUMBER(SEARCH("Ivory Coast",S3739)),"Côte d'Ivoire",
ISNUMBER(SEARCH("Korea Republic",S3739)),"South Korea",
ISNUMBER(SEARCH("Germany FR",S3739)),"FR Germany",
ISNUMBER(SEARCH("West Germany",S3739)),"FR Germany",
ISNUMBER(SEARCH("Germany DR",S3739)),"DR Germany",
ISNUMBER(SEARCH("Korea DPR",S3739)),"North Korea",
ISNUMBER(SEARCH("China PR",S3739)),"China",
ISNUMBER(SEARCH("IR Iran",S3739)),"Iran",
ISNUMBER(SEARCH("Congo DR",S3739)),"Democratic Republic of the Congo",
ISNUMBER(SEARCH("DR Congo",S3739)),"Democratic Republic of the Congo",
ISNUMBER(SEARCH("German DR",S3739)),"DR Germany",
ISNUMBER(SEARCH("rn""&gt;United Arab Emirates",S3739)),"United Arab Emirates",
ISNUMBER(SEARCH("rn""&gt;Republic of Ireland",S3739)),"Ireland",
ISNUMBER(SEARCH("rn""&gt;Bosnia and Herzegovina",S3739)),"Bosnia and Herzegovina",
ISNUMBER(SEARCH("rn""&gt;Trinidad and Tobago",S3739)),"Trinidad and Tobago",
ISNUMBER(SEARCH("rn""&gt;Serbia and Montenegro",S3739)),"Serbia and Montenegro",
ISNUMBER(SEARCH(_xlfn.UNICHAR(65533),S3739)),"Côte d'Ivoire",
TRUE,""
)</f>
        <v/>
      </c>
      <c r="W3739" s="40" t="str">
        <f t="shared" si="249"/>
        <v>Soviet Union</v>
      </c>
    </row>
    <row r="3740" spans="19:23">
      <c r="S3740" s="40" t="str">
        <v>Cameroon</v>
      </c>
      <c r="T3740" s="40" t="str">
        <f t="shared" si="247"/>
        <v>OK</v>
      </c>
      <c r="U3740" s="40" t="str">
        <f t="shared" si="248"/>
        <v>-</v>
      </c>
      <c r="V3740" s="40" t="str" cm="1">
        <f t="array" ref="V3740">_xlfn.IFS(
ISNUMBER(SEARCH("USA",S3740)),"United States",
ISNUMBER(SEARCH("Republic of Ireland",S3740)),"Ireland",
ISNUMBER(SEARCH("Republic of Korea",S3740)),"South Korea",
ISNUMBER(SEARCH("Cape Verde",S3740)),"Cabo Verde",
ISNUMBER(SEARCH("Czechia",S3740)),"Czech Republic",
ISNUMBER(SEARCH("Türkiye",S3740)),"Turkey",
ISNUMBER(SEARCH("Ivory Coast",S3740)),"Côte d'Ivoire",
ISNUMBER(SEARCH("Korea Republic",S3740)),"South Korea",
ISNUMBER(SEARCH("Germany FR",S3740)),"FR Germany",
ISNUMBER(SEARCH("West Germany",S3740)),"FR Germany",
ISNUMBER(SEARCH("Germany DR",S3740)),"DR Germany",
ISNUMBER(SEARCH("Korea DPR",S3740)),"North Korea",
ISNUMBER(SEARCH("China PR",S3740)),"China",
ISNUMBER(SEARCH("IR Iran",S3740)),"Iran",
ISNUMBER(SEARCH("Congo DR",S3740)),"Democratic Republic of the Congo",
ISNUMBER(SEARCH("DR Congo",S3740)),"Democratic Republic of the Congo",
ISNUMBER(SEARCH("German DR",S3740)),"DR Germany",
ISNUMBER(SEARCH("rn""&gt;United Arab Emirates",S3740)),"United Arab Emirates",
ISNUMBER(SEARCH("rn""&gt;Republic of Ireland",S3740)),"Ireland",
ISNUMBER(SEARCH("rn""&gt;Bosnia and Herzegovina",S3740)),"Bosnia and Herzegovina",
ISNUMBER(SEARCH("rn""&gt;Trinidad and Tobago",S3740)),"Trinidad and Tobago",
ISNUMBER(SEARCH("rn""&gt;Serbia and Montenegro",S3740)),"Serbia and Montenegro",
ISNUMBER(SEARCH(_xlfn.UNICHAR(65533),S3740)),"Côte d'Ivoire",
TRUE,""
)</f>
        <v/>
      </c>
      <c r="W3740" s="40" t="str">
        <f t="shared" si="249"/>
        <v>Cameroon</v>
      </c>
    </row>
    <row r="3741" spans="19:23">
      <c r="S3741" s="40" t="str">
        <v>El Salvador</v>
      </c>
      <c r="T3741" s="40" t="str">
        <f t="shared" si="247"/>
        <v>OK</v>
      </c>
      <c r="U3741" s="40" t="str">
        <f t="shared" si="248"/>
        <v>-</v>
      </c>
      <c r="V3741" s="40" t="str" cm="1">
        <f t="array" ref="V3741">_xlfn.IFS(
ISNUMBER(SEARCH("USA",S3741)),"United States",
ISNUMBER(SEARCH("Republic of Ireland",S3741)),"Ireland",
ISNUMBER(SEARCH("Republic of Korea",S3741)),"South Korea",
ISNUMBER(SEARCH("Cape Verde",S3741)),"Cabo Verde",
ISNUMBER(SEARCH("Czechia",S3741)),"Czech Republic",
ISNUMBER(SEARCH("Türkiye",S3741)),"Turkey",
ISNUMBER(SEARCH("Ivory Coast",S3741)),"Côte d'Ivoire",
ISNUMBER(SEARCH("Korea Republic",S3741)),"South Korea",
ISNUMBER(SEARCH("Germany FR",S3741)),"FR Germany",
ISNUMBER(SEARCH("West Germany",S3741)),"FR Germany",
ISNUMBER(SEARCH("Germany DR",S3741)),"DR Germany",
ISNUMBER(SEARCH("Korea DPR",S3741)),"North Korea",
ISNUMBER(SEARCH("China PR",S3741)),"China",
ISNUMBER(SEARCH("IR Iran",S3741)),"Iran",
ISNUMBER(SEARCH("Congo DR",S3741)),"Democratic Republic of the Congo",
ISNUMBER(SEARCH("DR Congo",S3741)),"Democratic Republic of the Congo",
ISNUMBER(SEARCH("German DR",S3741)),"DR Germany",
ISNUMBER(SEARCH("rn""&gt;United Arab Emirates",S3741)),"United Arab Emirates",
ISNUMBER(SEARCH("rn""&gt;Republic of Ireland",S3741)),"Ireland",
ISNUMBER(SEARCH("rn""&gt;Bosnia and Herzegovina",S3741)),"Bosnia and Herzegovina",
ISNUMBER(SEARCH("rn""&gt;Trinidad and Tobago",S3741)),"Trinidad and Tobago",
ISNUMBER(SEARCH("rn""&gt;Serbia and Montenegro",S3741)),"Serbia and Montenegro",
ISNUMBER(SEARCH(_xlfn.UNICHAR(65533),S3741)),"Côte d'Ivoire",
TRUE,""
)</f>
        <v/>
      </c>
      <c r="W3741" s="40" t="str">
        <f t="shared" si="249"/>
        <v>El Salvador</v>
      </c>
    </row>
    <row r="3742" spans="19:23">
      <c r="S3742" s="40" t="str">
        <v>New Zealand</v>
      </c>
      <c r="T3742" s="40" t="str">
        <f t="shared" si="247"/>
        <v>OK</v>
      </c>
      <c r="U3742" s="40" t="str">
        <f t="shared" si="248"/>
        <v>-</v>
      </c>
      <c r="V3742" s="40" t="str" cm="1">
        <f t="array" ref="V3742">_xlfn.IFS(
ISNUMBER(SEARCH("USA",S3742)),"United States",
ISNUMBER(SEARCH("Republic of Ireland",S3742)),"Ireland",
ISNUMBER(SEARCH("Republic of Korea",S3742)),"South Korea",
ISNUMBER(SEARCH("Cape Verde",S3742)),"Cabo Verde",
ISNUMBER(SEARCH("Czechia",S3742)),"Czech Republic",
ISNUMBER(SEARCH("Türkiye",S3742)),"Turkey",
ISNUMBER(SEARCH("Ivory Coast",S3742)),"Côte d'Ivoire",
ISNUMBER(SEARCH("Korea Republic",S3742)),"South Korea",
ISNUMBER(SEARCH("Germany FR",S3742)),"FR Germany",
ISNUMBER(SEARCH("West Germany",S3742)),"FR Germany",
ISNUMBER(SEARCH("Germany DR",S3742)),"DR Germany",
ISNUMBER(SEARCH("Korea DPR",S3742)),"North Korea",
ISNUMBER(SEARCH("China PR",S3742)),"China",
ISNUMBER(SEARCH("IR Iran",S3742)),"Iran",
ISNUMBER(SEARCH("Congo DR",S3742)),"Democratic Republic of the Congo",
ISNUMBER(SEARCH("DR Congo",S3742)),"Democratic Republic of the Congo",
ISNUMBER(SEARCH("German DR",S3742)),"DR Germany",
ISNUMBER(SEARCH("rn""&gt;United Arab Emirates",S3742)),"United Arab Emirates",
ISNUMBER(SEARCH("rn""&gt;Republic of Ireland",S3742)),"Ireland",
ISNUMBER(SEARCH("rn""&gt;Bosnia and Herzegovina",S3742)),"Bosnia and Herzegovina",
ISNUMBER(SEARCH("rn""&gt;Trinidad and Tobago",S3742)),"Trinidad and Tobago",
ISNUMBER(SEARCH("rn""&gt;Serbia and Montenegro",S3742)),"Serbia and Montenegro",
ISNUMBER(SEARCH(_xlfn.UNICHAR(65533),S3742)),"Côte d'Ivoire",
TRUE,""
)</f>
        <v/>
      </c>
      <c r="W3742" s="40" t="str">
        <f t="shared" si="249"/>
        <v>New Zealand</v>
      </c>
    </row>
    <row r="3743" spans="19:23">
      <c r="S3743" s="40" t="str">
        <v>Algeria</v>
      </c>
      <c r="T3743" s="40" t="str">
        <f t="shared" si="247"/>
        <v>OK</v>
      </c>
      <c r="U3743" s="40" t="str">
        <f t="shared" si="248"/>
        <v>-</v>
      </c>
      <c r="V3743" s="40" t="str" cm="1">
        <f t="array" ref="V3743">_xlfn.IFS(
ISNUMBER(SEARCH("USA",S3743)),"United States",
ISNUMBER(SEARCH("Republic of Ireland",S3743)),"Ireland",
ISNUMBER(SEARCH("Republic of Korea",S3743)),"South Korea",
ISNUMBER(SEARCH("Cape Verde",S3743)),"Cabo Verde",
ISNUMBER(SEARCH("Czechia",S3743)),"Czech Republic",
ISNUMBER(SEARCH("Türkiye",S3743)),"Turkey",
ISNUMBER(SEARCH("Ivory Coast",S3743)),"Côte d'Ivoire",
ISNUMBER(SEARCH("Korea Republic",S3743)),"South Korea",
ISNUMBER(SEARCH("Germany FR",S3743)),"FR Germany",
ISNUMBER(SEARCH("West Germany",S3743)),"FR Germany",
ISNUMBER(SEARCH("Germany DR",S3743)),"DR Germany",
ISNUMBER(SEARCH("Korea DPR",S3743)),"North Korea",
ISNUMBER(SEARCH("China PR",S3743)),"China",
ISNUMBER(SEARCH("IR Iran",S3743)),"Iran",
ISNUMBER(SEARCH("Congo DR",S3743)),"Democratic Republic of the Congo",
ISNUMBER(SEARCH("DR Congo",S3743)),"Democratic Republic of the Congo",
ISNUMBER(SEARCH("German DR",S3743)),"DR Germany",
ISNUMBER(SEARCH("rn""&gt;United Arab Emirates",S3743)),"United Arab Emirates",
ISNUMBER(SEARCH("rn""&gt;Republic of Ireland",S3743)),"Ireland",
ISNUMBER(SEARCH("rn""&gt;Bosnia and Herzegovina",S3743)),"Bosnia and Herzegovina",
ISNUMBER(SEARCH("rn""&gt;Trinidad and Tobago",S3743)),"Trinidad and Tobago",
ISNUMBER(SEARCH("rn""&gt;Serbia and Montenegro",S3743)),"Serbia and Montenegro",
ISNUMBER(SEARCH(_xlfn.UNICHAR(65533),S3743)),"Côte d'Ivoire",
TRUE,""
)</f>
        <v/>
      </c>
      <c r="W3743" s="40" t="str">
        <f t="shared" si="249"/>
        <v>Algeria</v>
      </c>
    </row>
    <row r="3744" spans="19:23">
      <c r="S3744" s="40" t="str">
        <v>France</v>
      </c>
      <c r="T3744" s="40" t="str">
        <f t="shared" si="247"/>
        <v>OK</v>
      </c>
      <c r="U3744" s="40" t="str">
        <f t="shared" si="248"/>
        <v>-</v>
      </c>
      <c r="V3744" s="40" t="str" cm="1">
        <f t="array" ref="V3744">_xlfn.IFS(
ISNUMBER(SEARCH("USA",S3744)),"United States",
ISNUMBER(SEARCH("Republic of Ireland",S3744)),"Ireland",
ISNUMBER(SEARCH("Republic of Korea",S3744)),"South Korea",
ISNUMBER(SEARCH("Cape Verde",S3744)),"Cabo Verde",
ISNUMBER(SEARCH("Czechia",S3744)),"Czech Republic",
ISNUMBER(SEARCH("Türkiye",S3744)),"Turkey",
ISNUMBER(SEARCH("Ivory Coast",S3744)),"Côte d'Ivoire",
ISNUMBER(SEARCH("Korea Republic",S3744)),"South Korea",
ISNUMBER(SEARCH("Germany FR",S3744)),"FR Germany",
ISNUMBER(SEARCH("West Germany",S3744)),"FR Germany",
ISNUMBER(SEARCH("Germany DR",S3744)),"DR Germany",
ISNUMBER(SEARCH("Korea DPR",S3744)),"North Korea",
ISNUMBER(SEARCH("China PR",S3744)),"China",
ISNUMBER(SEARCH("IR Iran",S3744)),"Iran",
ISNUMBER(SEARCH("Congo DR",S3744)),"Democratic Republic of the Congo",
ISNUMBER(SEARCH("DR Congo",S3744)),"Democratic Republic of the Congo",
ISNUMBER(SEARCH("German DR",S3744)),"DR Germany",
ISNUMBER(SEARCH("rn""&gt;United Arab Emirates",S3744)),"United Arab Emirates",
ISNUMBER(SEARCH("rn""&gt;Republic of Ireland",S3744)),"Ireland",
ISNUMBER(SEARCH("rn""&gt;Bosnia and Herzegovina",S3744)),"Bosnia and Herzegovina",
ISNUMBER(SEARCH("rn""&gt;Trinidad and Tobago",S3744)),"Trinidad and Tobago",
ISNUMBER(SEARCH("rn""&gt;Serbia and Montenegro",S3744)),"Serbia and Montenegro",
ISNUMBER(SEARCH(_xlfn.UNICHAR(65533),S3744)),"Côte d'Ivoire",
TRUE,""
)</f>
        <v/>
      </c>
      <c r="W3744" s="40" t="str">
        <f t="shared" si="249"/>
        <v>France</v>
      </c>
    </row>
    <row r="3745" spans="19:23">
      <c r="S3745" s="40" t="str">
        <v>Honduras</v>
      </c>
      <c r="T3745" s="40" t="str">
        <f t="shared" si="247"/>
        <v>OK</v>
      </c>
      <c r="U3745" s="40" t="str">
        <f t="shared" si="248"/>
        <v>-</v>
      </c>
      <c r="V3745" s="40" t="str" cm="1">
        <f t="array" ref="V3745">_xlfn.IFS(
ISNUMBER(SEARCH("USA",S3745)),"United States",
ISNUMBER(SEARCH("Republic of Ireland",S3745)),"Ireland",
ISNUMBER(SEARCH("Republic of Korea",S3745)),"South Korea",
ISNUMBER(SEARCH("Cape Verde",S3745)),"Cabo Verde",
ISNUMBER(SEARCH("Czechia",S3745)),"Czech Republic",
ISNUMBER(SEARCH("Türkiye",S3745)),"Turkey",
ISNUMBER(SEARCH("Ivory Coast",S3745)),"Côte d'Ivoire",
ISNUMBER(SEARCH("Korea Republic",S3745)),"South Korea",
ISNUMBER(SEARCH("Germany FR",S3745)),"FR Germany",
ISNUMBER(SEARCH("West Germany",S3745)),"FR Germany",
ISNUMBER(SEARCH("Germany DR",S3745)),"DR Germany",
ISNUMBER(SEARCH("Korea DPR",S3745)),"North Korea",
ISNUMBER(SEARCH("China PR",S3745)),"China",
ISNUMBER(SEARCH("IR Iran",S3745)),"Iran",
ISNUMBER(SEARCH("Congo DR",S3745)),"Democratic Republic of the Congo",
ISNUMBER(SEARCH("DR Congo",S3745)),"Democratic Republic of the Congo",
ISNUMBER(SEARCH("German DR",S3745)),"DR Germany",
ISNUMBER(SEARCH("rn""&gt;United Arab Emirates",S3745)),"United Arab Emirates",
ISNUMBER(SEARCH("rn""&gt;Republic of Ireland",S3745)),"Ireland",
ISNUMBER(SEARCH("rn""&gt;Bosnia and Herzegovina",S3745)),"Bosnia and Herzegovina",
ISNUMBER(SEARCH("rn""&gt;Trinidad and Tobago",S3745)),"Trinidad and Tobago",
ISNUMBER(SEARCH("rn""&gt;Serbia and Montenegro",S3745)),"Serbia and Montenegro",
ISNUMBER(SEARCH(_xlfn.UNICHAR(65533),S3745)),"Côte d'Ivoire",
TRUE,""
)</f>
        <v/>
      </c>
      <c r="W3745" s="40" t="str">
        <f t="shared" si="249"/>
        <v>Honduras</v>
      </c>
    </row>
    <row r="3746" spans="19:23">
      <c r="S3746" s="40" t="str">
        <v>Austria</v>
      </c>
      <c r="T3746" s="40" t="str">
        <f t="shared" si="247"/>
        <v>OK</v>
      </c>
      <c r="U3746" s="40" t="str">
        <f t="shared" si="248"/>
        <v>-</v>
      </c>
      <c r="V3746" s="40" t="str" cm="1">
        <f t="array" ref="V3746">_xlfn.IFS(
ISNUMBER(SEARCH("USA",S3746)),"United States",
ISNUMBER(SEARCH("Republic of Ireland",S3746)),"Ireland",
ISNUMBER(SEARCH("Republic of Korea",S3746)),"South Korea",
ISNUMBER(SEARCH("Cape Verde",S3746)),"Cabo Verde",
ISNUMBER(SEARCH("Czechia",S3746)),"Czech Republic",
ISNUMBER(SEARCH("Türkiye",S3746)),"Turkey",
ISNUMBER(SEARCH("Ivory Coast",S3746)),"Côte d'Ivoire",
ISNUMBER(SEARCH("Korea Republic",S3746)),"South Korea",
ISNUMBER(SEARCH("Germany FR",S3746)),"FR Germany",
ISNUMBER(SEARCH("West Germany",S3746)),"FR Germany",
ISNUMBER(SEARCH("Germany DR",S3746)),"DR Germany",
ISNUMBER(SEARCH("Korea DPR",S3746)),"North Korea",
ISNUMBER(SEARCH("China PR",S3746)),"China",
ISNUMBER(SEARCH("IR Iran",S3746)),"Iran",
ISNUMBER(SEARCH("Congo DR",S3746)),"Democratic Republic of the Congo",
ISNUMBER(SEARCH("DR Congo",S3746)),"Democratic Republic of the Congo",
ISNUMBER(SEARCH("German DR",S3746)),"DR Germany",
ISNUMBER(SEARCH("rn""&gt;United Arab Emirates",S3746)),"United Arab Emirates",
ISNUMBER(SEARCH("rn""&gt;Republic of Ireland",S3746)),"Ireland",
ISNUMBER(SEARCH("rn""&gt;Bosnia and Herzegovina",S3746)),"Bosnia and Herzegovina",
ISNUMBER(SEARCH("rn""&gt;Trinidad and Tobago",S3746)),"Trinidad and Tobago",
ISNUMBER(SEARCH("rn""&gt;Serbia and Montenegro",S3746)),"Serbia and Montenegro",
ISNUMBER(SEARCH(_xlfn.UNICHAR(65533),S3746)),"Côte d'Ivoire",
TRUE,""
)</f>
        <v/>
      </c>
      <c r="W3746" s="40" t="str">
        <f t="shared" si="249"/>
        <v>Austria</v>
      </c>
    </row>
    <row r="3747" spans="19:23">
      <c r="S3747" s="40" t="str">
        <v>Kuwait</v>
      </c>
      <c r="T3747" s="40" t="str">
        <f t="shared" si="247"/>
        <v>OK</v>
      </c>
      <c r="U3747" s="40" t="str">
        <f t="shared" si="248"/>
        <v>-</v>
      </c>
      <c r="V3747" s="40" t="str" cm="1">
        <f t="array" ref="V3747">_xlfn.IFS(
ISNUMBER(SEARCH("USA",S3747)),"United States",
ISNUMBER(SEARCH("Republic of Ireland",S3747)),"Ireland",
ISNUMBER(SEARCH("Republic of Korea",S3747)),"South Korea",
ISNUMBER(SEARCH("Cape Verde",S3747)),"Cabo Verde",
ISNUMBER(SEARCH("Czechia",S3747)),"Czech Republic",
ISNUMBER(SEARCH("Türkiye",S3747)),"Turkey",
ISNUMBER(SEARCH("Ivory Coast",S3747)),"Côte d'Ivoire",
ISNUMBER(SEARCH("Korea Republic",S3747)),"South Korea",
ISNUMBER(SEARCH("Germany FR",S3747)),"FR Germany",
ISNUMBER(SEARCH("West Germany",S3747)),"FR Germany",
ISNUMBER(SEARCH("Germany DR",S3747)),"DR Germany",
ISNUMBER(SEARCH("Korea DPR",S3747)),"North Korea",
ISNUMBER(SEARCH("China PR",S3747)),"China",
ISNUMBER(SEARCH("IR Iran",S3747)),"Iran",
ISNUMBER(SEARCH("Congo DR",S3747)),"Democratic Republic of the Congo",
ISNUMBER(SEARCH("DR Congo",S3747)),"Democratic Republic of the Congo",
ISNUMBER(SEARCH("German DR",S3747)),"DR Germany",
ISNUMBER(SEARCH("rn""&gt;United Arab Emirates",S3747)),"United Arab Emirates",
ISNUMBER(SEARCH("rn""&gt;Republic of Ireland",S3747)),"Ireland",
ISNUMBER(SEARCH("rn""&gt;Bosnia and Herzegovina",S3747)),"Bosnia and Herzegovina",
ISNUMBER(SEARCH("rn""&gt;Trinidad and Tobago",S3747)),"Trinidad and Tobago",
ISNUMBER(SEARCH("rn""&gt;Serbia and Montenegro",S3747)),"Serbia and Montenegro",
ISNUMBER(SEARCH(_xlfn.UNICHAR(65533),S3747)),"Côte d'Ivoire",
TRUE,""
)</f>
        <v/>
      </c>
      <c r="W3747" s="40" t="str">
        <f t="shared" si="249"/>
        <v>Kuwait</v>
      </c>
    </row>
    <row r="3748" spans="19:23">
      <c r="S3748" s="40" t="str">
        <v>Northern Ireland</v>
      </c>
      <c r="T3748" s="40" t="str">
        <f t="shared" si="247"/>
        <v>ERREUR</v>
      </c>
      <c r="U3748" s="40" t="str">
        <f t="shared" si="248"/>
        <v>AUCUNE</v>
      </c>
      <c r="V3748" s="40" t="str" cm="1">
        <f t="array" ref="V3748">_xlfn.IFS(
ISNUMBER(SEARCH("USA",S3748)),"United States",
ISNUMBER(SEARCH("Republic of Ireland",S3748)),"Ireland",
ISNUMBER(SEARCH("Republic of Korea",S3748)),"South Korea",
ISNUMBER(SEARCH("Cape Verde",S3748)),"Cabo Verde",
ISNUMBER(SEARCH("Czechia",S3748)),"Czech Republic",
ISNUMBER(SEARCH("Türkiye",S3748)),"Turkey",
ISNUMBER(SEARCH("Ivory Coast",S3748)),"Côte d'Ivoire",
ISNUMBER(SEARCH("Korea Republic",S3748)),"South Korea",
ISNUMBER(SEARCH("Germany FR",S3748)),"FR Germany",
ISNUMBER(SEARCH("West Germany",S3748)),"FR Germany",
ISNUMBER(SEARCH("Germany DR",S3748)),"DR Germany",
ISNUMBER(SEARCH("Korea DPR",S3748)),"North Korea",
ISNUMBER(SEARCH("China PR",S3748)),"China",
ISNUMBER(SEARCH("IR Iran",S3748)),"Iran",
ISNUMBER(SEARCH("Congo DR",S3748)),"Democratic Republic of the Congo",
ISNUMBER(SEARCH("DR Congo",S3748)),"Democratic Republic of the Congo",
ISNUMBER(SEARCH("German DR",S3748)),"DR Germany",
ISNUMBER(SEARCH("rn""&gt;United Arab Emirates",S3748)),"United Arab Emirates",
ISNUMBER(SEARCH("rn""&gt;Republic of Ireland",S3748)),"Ireland",
ISNUMBER(SEARCH("rn""&gt;Bosnia and Herzegovina",S3748)),"Bosnia and Herzegovina",
ISNUMBER(SEARCH("rn""&gt;Trinidad and Tobago",S3748)),"Trinidad and Tobago",
ISNUMBER(SEARCH("rn""&gt;Serbia and Montenegro",S3748)),"Serbia and Montenegro",
ISNUMBER(SEARCH(_xlfn.UNICHAR(65533),S3748)),"Côte d'Ivoire",
TRUE,""
)</f>
        <v/>
      </c>
      <c r="W3748" s="40" t="str">
        <f t="shared" si="249"/>
        <v>Northern Ireland</v>
      </c>
    </row>
    <row r="3749" spans="19:23">
      <c r="S3749" s="40" t="str">
        <v>Peru</v>
      </c>
      <c r="T3749" s="40" t="str">
        <f t="shared" si="247"/>
        <v>OK</v>
      </c>
      <c r="U3749" s="40" t="str">
        <f t="shared" si="248"/>
        <v>-</v>
      </c>
      <c r="V3749" s="40" t="str" cm="1">
        <f t="array" ref="V3749">_xlfn.IFS(
ISNUMBER(SEARCH("USA",S3749)),"United States",
ISNUMBER(SEARCH("Republic of Ireland",S3749)),"Ireland",
ISNUMBER(SEARCH("Republic of Korea",S3749)),"South Korea",
ISNUMBER(SEARCH("Cape Verde",S3749)),"Cabo Verde",
ISNUMBER(SEARCH("Czechia",S3749)),"Czech Republic",
ISNUMBER(SEARCH("Türkiye",S3749)),"Turkey",
ISNUMBER(SEARCH("Ivory Coast",S3749)),"Côte d'Ivoire",
ISNUMBER(SEARCH("Korea Republic",S3749)),"South Korea",
ISNUMBER(SEARCH("Germany FR",S3749)),"FR Germany",
ISNUMBER(SEARCH("West Germany",S3749)),"FR Germany",
ISNUMBER(SEARCH("Germany DR",S3749)),"DR Germany",
ISNUMBER(SEARCH("Korea DPR",S3749)),"North Korea",
ISNUMBER(SEARCH("China PR",S3749)),"China",
ISNUMBER(SEARCH("IR Iran",S3749)),"Iran",
ISNUMBER(SEARCH("Congo DR",S3749)),"Democratic Republic of the Congo",
ISNUMBER(SEARCH("DR Congo",S3749)),"Democratic Republic of the Congo",
ISNUMBER(SEARCH("German DR",S3749)),"DR Germany",
ISNUMBER(SEARCH("rn""&gt;United Arab Emirates",S3749)),"United Arab Emirates",
ISNUMBER(SEARCH("rn""&gt;Republic of Ireland",S3749)),"Ireland",
ISNUMBER(SEARCH("rn""&gt;Bosnia and Herzegovina",S3749)),"Bosnia and Herzegovina",
ISNUMBER(SEARCH("rn""&gt;Trinidad and Tobago",S3749)),"Trinidad and Tobago",
ISNUMBER(SEARCH("rn""&gt;Serbia and Montenegro",S3749)),"Serbia and Montenegro",
ISNUMBER(SEARCH(_xlfn.UNICHAR(65533),S3749)),"Côte d'Ivoire",
TRUE,""
)</f>
        <v/>
      </c>
      <c r="W3749" s="40" t="str">
        <f t="shared" si="249"/>
        <v>Peru</v>
      </c>
    </row>
    <row r="3750" spans="19:23">
      <c r="S3750" s="40" t="str">
        <v>Hungary</v>
      </c>
      <c r="T3750" s="40" t="str">
        <f t="shared" si="247"/>
        <v>OK</v>
      </c>
      <c r="U3750" s="40" t="str">
        <f t="shared" si="248"/>
        <v>-</v>
      </c>
      <c r="V3750" s="40" t="str" cm="1">
        <f t="array" ref="V3750">_xlfn.IFS(
ISNUMBER(SEARCH("USA",S3750)),"United States",
ISNUMBER(SEARCH("Republic of Ireland",S3750)),"Ireland",
ISNUMBER(SEARCH("Republic of Korea",S3750)),"South Korea",
ISNUMBER(SEARCH("Cape Verde",S3750)),"Cabo Verde",
ISNUMBER(SEARCH("Czechia",S3750)),"Czech Republic",
ISNUMBER(SEARCH("Türkiye",S3750)),"Turkey",
ISNUMBER(SEARCH("Ivory Coast",S3750)),"Côte d'Ivoire",
ISNUMBER(SEARCH("Korea Republic",S3750)),"South Korea",
ISNUMBER(SEARCH("Germany FR",S3750)),"FR Germany",
ISNUMBER(SEARCH("West Germany",S3750)),"FR Germany",
ISNUMBER(SEARCH("Germany DR",S3750)),"DR Germany",
ISNUMBER(SEARCH("Korea DPR",S3750)),"North Korea",
ISNUMBER(SEARCH("China PR",S3750)),"China",
ISNUMBER(SEARCH("IR Iran",S3750)),"Iran",
ISNUMBER(SEARCH("Congo DR",S3750)),"Democratic Republic of the Congo",
ISNUMBER(SEARCH("DR Congo",S3750)),"Democratic Republic of the Congo",
ISNUMBER(SEARCH("German DR",S3750)),"DR Germany",
ISNUMBER(SEARCH("rn""&gt;United Arab Emirates",S3750)),"United Arab Emirates",
ISNUMBER(SEARCH("rn""&gt;Republic of Ireland",S3750)),"Ireland",
ISNUMBER(SEARCH("rn""&gt;Bosnia and Herzegovina",S3750)),"Bosnia and Herzegovina",
ISNUMBER(SEARCH("rn""&gt;Trinidad and Tobago",S3750)),"Trinidad and Tobago",
ISNUMBER(SEARCH("rn""&gt;Serbia and Montenegro",S3750)),"Serbia and Montenegro",
ISNUMBER(SEARCH(_xlfn.UNICHAR(65533),S3750)),"Côte d'Ivoire",
TRUE,""
)</f>
        <v/>
      </c>
      <c r="W3750" s="40" t="str">
        <f t="shared" si="249"/>
        <v>Hungary</v>
      </c>
    </row>
    <row r="3751" spans="19:23">
      <c r="S3751" s="40" t="str">
        <v>Scotland</v>
      </c>
      <c r="T3751" s="40" t="str">
        <f t="shared" si="247"/>
        <v>ERREUR</v>
      </c>
      <c r="U3751" s="40" t="str">
        <f t="shared" si="248"/>
        <v>AUCUNE</v>
      </c>
      <c r="V3751" s="40" t="str" cm="1">
        <f t="array" ref="V3751">_xlfn.IFS(
ISNUMBER(SEARCH("USA",S3751)),"United States",
ISNUMBER(SEARCH("Republic of Ireland",S3751)),"Ireland",
ISNUMBER(SEARCH("Republic of Korea",S3751)),"South Korea",
ISNUMBER(SEARCH("Cape Verde",S3751)),"Cabo Verde",
ISNUMBER(SEARCH("Czechia",S3751)),"Czech Republic",
ISNUMBER(SEARCH("Türkiye",S3751)),"Turkey",
ISNUMBER(SEARCH("Ivory Coast",S3751)),"Côte d'Ivoire",
ISNUMBER(SEARCH("Korea Republic",S3751)),"South Korea",
ISNUMBER(SEARCH("Germany FR",S3751)),"FR Germany",
ISNUMBER(SEARCH("West Germany",S3751)),"FR Germany",
ISNUMBER(SEARCH("Germany DR",S3751)),"DR Germany",
ISNUMBER(SEARCH("Korea DPR",S3751)),"North Korea",
ISNUMBER(SEARCH("China PR",S3751)),"China",
ISNUMBER(SEARCH("IR Iran",S3751)),"Iran",
ISNUMBER(SEARCH("Congo DR",S3751)),"Democratic Republic of the Congo",
ISNUMBER(SEARCH("DR Congo",S3751)),"Democratic Republic of the Congo",
ISNUMBER(SEARCH("German DR",S3751)),"DR Germany",
ISNUMBER(SEARCH("rn""&gt;United Arab Emirates",S3751)),"United Arab Emirates",
ISNUMBER(SEARCH("rn""&gt;Republic of Ireland",S3751)),"Ireland",
ISNUMBER(SEARCH("rn""&gt;Bosnia and Herzegovina",S3751)),"Bosnia and Herzegovina",
ISNUMBER(SEARCH("rn""&gt;Trinidad and Tobago",S3751)),"Trinidad and Tobago",
ISNUMBER(SEARCH("rn""&gt;Serbia and Montenegro",S3751)),"Serbia and Montenegro",
ISNUMBER(SEARCH(_xlfn.UNICHAR(65533),S3751)),"Côte d'Ivoire",
TRUE,""
)</f>
        <v/>
      </c>
      <c r="W3751" s="40" t="str">
        <f t="shared" si="249"/>
        <v>Scotland</v>
      </c>
    </row>
    <row r="3752" spans="19:23">
      <c r="S3752" s="40" t="str">
        <v>Cameroon</v>
      </c>
      <c r="T3752" s="40" t="str">
        <f t="shared" si="247"/>
        <v>OK</v>
      </c>
      <c r="U3752" s="40" t="str">
        <f t="shared" si="248"/>
        <v>-</v>
      </c>
      <c r="V3752" s="40" t="str" cm="1">
        <f t="array" ref="V3752">_xlfn.IFS(
ISNUMBER(SEARCH("USA",S3752)),"United States",
ISNUMBER(SEARCH("Republic of Ireland",S3752)),"Ireland",
ISNUMBER(SEARCH("Republic of Korea",S3752)),"South Korea",
ISNUMBER(SEARCH("Cape Verde",S3752)),"Cabo Verde",
ISNUMBER(SEARCH("Czechia",S3752)),"Czech Republic",
ISNUMBER(SEARCH("Türkiye",S3752)),"Turkey",
ISNUMBER(SEARCH("Ivory Coast",S3752)),"Côte d'Ivoire",
ISNUMBER(SEARCH("Korea Republic",S3752)),"South Korea",
ISNUMBER(SEARCH("Germany FR",S3752)),"FR Germany",
ISNUMBER(SEARCH("West Germany",S3752)),"FR Germany",
ISNUMBER(SEARCH("Germany DR",S3752)),"DR Germany",
ISNUMBER(SEARCH("Korea DPR",S3752)),"North Korea",
ISNUMBER(SEARCH("China PR",S3752)),"China",
ISNUMBER(SEARCH("IR Iran",S3752)),"Iran",
ISNUMBER(SEARCH("Congo DR",S3752)),"Democratic Republic of the Congo",
ISNUMBER(SEARCH("DR Congo",S3752)),"Democratic Republic of the Congo",
ISNUMBER(SEARCH("German DR",S3752)),"DR Germany",
ISNUMBER(SEARCH("rn""&gt;United Arab Emirates",S3752)),"United Arab Emirates",
ISNUMBER(SEARCH("rn""&gt;Republic of Ireland",S3752)),"Ireland",
ISNUMBER(SEARCH("rn""&gt;Bosnia and Herzegovina",S3752)),"Bosnia and Herzegovina",
ISNUMBER(SEARCH("rn""&gt;Trinidad and Tobago",S3752)),"Trinidad and Tobago",
ISNUMBER(SEARCH("rn""&gt;Serbia and Montenegro",S3752)),"Serbia and Montenegro",
ISNUMBER(SEARCH(_xlfn.UNICHAR(65533),S3752)),"Côte d'Ivoire",
TRUE,""
)</f>
        <v/>
      </c>
      <c r="W3752" s="40" t="str">
        <f t="shared" si="249"/>
        <v>Cameroon</v>
      </c>
    </row>
    <row r="3753" spans="19:23">
      <c r="S3753" s="40" t="str">
        <v>El Salvador</v>
      </c>
      <c r="T3753" s="40" t="str">
        <f t="shared" si="247"/>
        <v>OK</v>
      </c>
      <c r="U3753" s="40" t="str">
        <f t="shared" si="248"/>
        <v>-</v>
      </c>
      <c r="V3753" s="40" t="str" cm="1">
        <f t="array" ref="V3753">_xlfn.IFS(
ISNUMBER(SEARCH("USA",S3753)),"United States",
ISNUMBER(SEARCH("Republic of Ireland",S3753)),"Ireland",
ISNUMBER(SEARCH("Republic of Korea",S3753)),"South Korea",
ISNUMBER(SEARCH("Cape Verde",S3753)),"Cabo Verde",
ISNUMBER(SEARCH("Czechia",S3753)),"Czech Republic",
ISNUMBER(SEARCH("Türkiye",S3753)),"Turkey",
ISNUMBER(SEARCH("Ivory Coast",S3753)),"Côte d'Ivoire",
ISNUMBER(SEARCH("Korea Republic",S3753)),"South Korea",
ISNUMBER(SEARCH("Germany FR",S3753)),"FR Germany",
ISNUMBER(SEARCH("West Germany",S3753)),"FR Germany",
ISNUMBER(SEARCH("Germany DR",S3753)),"DR Germany",
ISNUMBER(SEARCH("Korea DPR",S3753)),"North Korea",
ISNUMBER(SEARCH("China PR",S3753)),"China",
ISNUMBER(SEARCH("IR Iran",S3753)),"Iran",
ISNUMBER(SEARCH("Congo DR",S3753)),"Democratic Republic of the Congo",
ISNUMBER(SEARCH("DR Congo",S3753)),"Democratic Republic of the Congo",
ISNUMBER(SEARCH("German DR",S3753)),"DR Germany",
ISNUMBER(SEARCH("rn""&gt;United Arab Emirates",S3753)),"United Arab Emirates",
ISNUMBER(SEARCH("rn""&gt;Republic of Ireland",S3753)),"Ireland",
ISNUMBER(SEARCH("rn""&gt;Bosnia and Herzegovina",S3753)),"Bosnia and Herzegovina",
ISNUMBER(SEARCH("rn""&gt;Trinidad and Tobago",S3753)),"Trinidad and Tobago",
ISNUMBER(SEARCH("rn""&gt;Serbia and Montenegro",S3753)),"Serbia and Montenegro",
ISNUMBER(SEARCH(_xlfn.UNICHAR(65533),S3753)),"Côte d'Ivoire",
TRUE,""
)</f>
        <v/>
      </c>
      <c r="W3753" s="40" t="str">
        <f t="shared" si="249"/>
        <v>El Salvador</v>
      </c>
    </row>
    <row r="3754" spans="19:23">
      <c r="S3754" s="40" t="str">
        <v>New Zealand</v>
      </c>
      <c r="T3754" s="40" t="str">
        <f t="shared" si="247"/>
        <v>OK</v>
      </c>
      <c r="U3754" s="40" t="str">
        <f t="shared" si="248"/>
        <v>-</v>
      </c>
      <c r="V3754" s="40" t="str" cm="1">
        <f t="array" ref="V3754">_xlfn.IFS(
ISNUMBER(SEARCH("USA",S3754)),"United States",
ISNUMBER(SEARCH("Republic of Ireland",S3754)),"Ireland",
ISNUMBER(SEARCH("Republic of Korea",S3754)),"South Korea",
ISNUMBER(SEARCH("Cape Verde",S3754)),"Cabo Verde",
ISNUMBER(SEARCH("Czechia",S3754)),"Czech Republic",
ISNUMBER(SEARCH("Türkiye",S3754)),"Turkey",
ISNUMBER(SEARCH("Ivory Coast",S3754)),"Côte d'Ivoire",
ISNUMBER(SEARCH("Korea Republic",S3754)),"South Korea",
ISNUMBER(SEARCH("Germany FR",S3754)),"FR Germany",
ISNUMBER(SEARCH("West Germany",S3754)),"FR Germany",
ISNUMBER(SEARCH("Germany DR",S3754)),"DR Germany",
ISNUMBER(SEARCH("Korea DPR",S3754)),"North Korea",
ISNUMBER(SEARCH("China PR",S3754)),"China",
ISNUMBER(SEARCH("IR Iran",S3754)),"Iran",
ISNUMBER(SEARCH("Congo DR",S3754)),"Democratic Republic of the Congo",
ISNUMBER(SEARCH("DR Congo",S3754)),"Democratic Republic of the Congo",
ISNUMBER(SEARCH("German DR",S3754)),"DR Germany",
ISNUMBER(SEARCH("rn""&gt;United Arab Emirates",S3754)),"United Arab Emirates",
ISNUMBER(SEARCH("rn""&gt;Republic of Ireland",S3754)),"Ireland",
ISNUMBER(SEARCH("rn""&gt;Bosnia and Herzegovina",S3754)),"Bosnia and Herzegovina",
ISNUMBER(SEARCH("rn""&gt;Trinidad and Tobago",S3754)),"Trinidad and Tobago",
ISNUMBER(SEARCH("rn""&gt;Serbia and Montenegro",S3754)),"Serbia and Montenegro",
ISNUMBER(SEARCH(_xlfn.UNICHAR(65533),S3754)),"Côte d'Ivoire",
TRUE,""
)</f>
        <v/>
      </c>
      <c r="W3754" s="40" t="str">
        <f t="shared" si="249"/>
        <v>New Zealand</v>
      </c>
    </row>
    <row r="3755" spans="19:23">
      <c r="S3755" s="40" t="str">
        <v>Chile</v>
      </c>
      <c r="T3755" s="40" t="str">
        <f t="shared" si="247"/>
        <v>OK</v>
      </c>
      <c r="U3755" s="40" t="str">
        <f t="shared" si="248"/>
        <v>-</v>
      </c>
      <c r="V3755" s="40" t="str" cm="1">
        <f t="array" ref="V3755">_xlfn.IFS(
ISNUMBER(SEARCH("USA",S3755)),"United States",
ISNUMBER(SEARCH("Republic of Ireland",S3755)),"Ireland",
ISNUMBER(SEARCH("Republic of Korea",S3755)),"South Korea",
ISNUMBER(SEARCH("Cape Verde",S3755)),"Cabo Verde",
ISNUMBER(SEARCH("Czechia",S3755)),"Czech Republic",
ISNUMBER(SEARCH("Türkiye",S3755)),"Turkey",
ISNUMBER(SEARCH("Ivory Coast",S3755)),"Côte d'Ivoire",
ISNUMBER(SEARCH("Korea Republic",S3755)),"South Korea",
ISNUMBER(SEARCH("Germany FR",S3755)),"FR Germany",
ISNUMBER(SEARCH("West Germany",S3755)),"FR Germany",
ISNUMBER(SEARCH("Germany DR",S3755)),"DR Germany",
ISNUMBER(SEARCH("Korea DPR",S3755)),"North Korea",
ISNUMBER(SEARCH("China PR",S3755)),"China",
ISNUMBER(SEARCH("IR Iran",S3755)),"Iran",
ISNUMBER(SEARCH("Congo DR",S3755)),"Democratic Republic of the Congo",
ISNUMBER(SEARCH("DR Congo",S3755)),"Democratic Republic of the Congo",
ISNUMBER(SEARCH("German DR",S3755)),"DR Germany",
ISNUMBER(SEARCH("rn""&gt;United Arab Emirates",S3755)),"United Arab Emirates",
ISNUMBER(SEARCH("rn""&gt;Republic of Ireland",S3755)),"Ireland",
ISNUMBER(SEARCH("rn""&gt;Bosnia and Herzegovina",S3755)),"Bosnia and Herzegovina",
ISNUMBER(SEARCH("rn""&gt;Trinidad and Tobago",S3755)),"Trinidad and Tobago",
ISNUMBER(SEARCH("rn""&gt;Serbia and Montenegro",S3755)),"Serbia and Montenegro",
ISNUMBER(SEARCH(_xlfn.UNICHAR(65533),S3755)),"Côte d'Ivoire",
TRUE,""
)</f>
        <v/>
      </c>
      <c r="W3755" s="40" t="str">
        <f t="shared" si="249"/>
        <v>Chile</v>
      </c>
    </row>
    <row r="3756" spans="19:23">
      <c r="S3756" s="40" t="str">
        <v>Czechoslovakia</v>
      </c>
      <c r="T3756" s="40" t="str">
        <f t="shared" si="247"/>
        <v>ERREUR</v>
      </c>
      <c r="U3756" s="40" t="str">
        <f t="shared" si="248"/>
        <v>AUCUNE</v>
      </c>
      <c r="V3756" s="40" t="str" cm="1">
        <f t="array" ref="V3756">_xlfn.IFS(
ISNUMBER(SEARCH("USA",S3756)),"United States",
ISNUMBER(SEARCH("Republic of Ireland",S3756)),"Ireland",
ISNUMBER(SEARCH("Republic of Korea",S3756)),"South Korea",
ISNUMBER(SEARCH("Cape Verde",S3756)),"Cabo Verde",
ISNUMBER(SEARCH("Czechia",S3756)),"Czech Republic",
ISNUMBER(SEARCH("Türkiye",S3756)),"Turkey",
ISNUMBER(SEARCH("Ivory Coast",S3756)),"Côte d'Ivoire",
ISNUMBER(SEARCH("Korea Republic",S3756)),"South Korea",
ISNUMBER(SEARCH("Germany FR",S3756)),"FR Germany",
ISNUMBER(SEARCH("West Germany",S3756)),"FR Germany",
ISNUMBER(SEARCH("Germany DR",S3756)),"DR Germany",
ISNUMBER(SEARCH("Korea DPR",S3756)),"North Korea",
ISNUMBER(SEARCH("China PR",S3756)),"China",
ISNUMBER(SEARCH("IR Iran",S3756)),"Iran",
ISNUMBER(SEARCH("Congo DR",S3756)),"Democratic Republic of the Congo",
ISNUMBER(SEARCH("DR Congo",S3756)),"Democratic Republic of the Congo",
ISNUMBER(SEARCH("German DR",S3756)),"DR Germany",
ISNUMBER(SEARCH("rn""&gt;United Arab Emirates",S3756)),"United Arab Emirates",
ISNUMBER(SEARCH("rn""&gt;Republic of Ireland",S3756)),"Ireland",
ISNUMBER(SEARCH("rn""&gt;Bosnia and Herzegovina",S3756)),"Bosnia and Herzegovina",
ISNUMBER(SEARCH("rn""&gt;Trinidad and Tobago",S3756)),"Trinidad and Tobago",
ISNUMBER(SEARCH("rn""&gt;Serbia and Montenegro",S3756)),"Serbia and Montenegro",
ISNUMBER(SEARCH(_xlfn.UNICHAR(65533),S3756)),"Côte d'Ivoire",
TRUE,""
)</f>
        <v/>
      </c>
      <c r="W3756" s="40" t="str">
        <f t="shared" si="249"/>
        <v>Czechoslovakia</v>
      </c>
    </row>
    <row r="3757" spans="19:23">
      <c r="S3757" s="40" t="str">
        <v>Yugoslavia</v>
      </c>
      <c r="T3757" s="40" t="str">
        <f t="shared" si="247"/>
        <v>ERREUR</v>
      </c>
      <c r="U3757" s="40" t="str">
        <f t="shared" si="248"/>
        <v>AUCUNE</v>
      </c>
      <c r="V3757" s="40" t="str" cm="1">
        <f t="array" ref="V3757">_xlfn.IFS(
ISNUMBER(SEARCH("USA",S3757)),"United States",
ISNUMBER(SEARCH("Republic of Ireland",S3757)),"Ireland",
ISNUMBER(SEARCH("Republic of Korea",S3757)),"South Korea",
ISNUMBER(SEARCH("Cape Verde",S3757)),"Cabo Verde",
ISNUMBER(SEARCH("Czechia",S3757)),"Czech Republic",
ISNUMBER(SEARCH("Türkiye",S3757)),"Turkey",
ISNUMBER(SEARCH("Ivory Coast",S3757)),"Côte d'Ivoire",
ISNUMBER(SEARCH("Korea Republic",S3757)),"South Korea",
ISNUMBER(SEARCH("Germany FR",S3757)),"FR Germany",
ISNUMBER(SEARCH("West Germany",S3757)),"FR Germany",
ISNUMBER(SEARCH("Germany DR",S3757)),"DR Germany",
ISNUMBER(SEARCH("Korea DPR",S3757)),"North Korea",
ISNUMBER(SEARCH("China PR",S3757)),"China",
ISNUMBER(SEARCH("IR Iran",S3757)),"Iran",
ISNUMBER(SEARCH("Congo DR",S3757)),"Democratic Republic of the Congo",
ISNUMBER(SEARCH("DR Congo",S3757)),"Democratic Republic of the Congo",
ISNUMBER(SEARCH("German DR",S3757)),"DR Germany",
ISNUMBER(SEARCH("rn""&gt;United Arab Emirates",S3757)),"United Arab Emirates",
ISNUMBER(SEARCH("rn""&gt;Republic of Ireland",S3757)),"Ireland",
ISNUMBER(SEARCH("rn""&gt;Bosnia and Herzegovina",S3757)),"Bosnia and Herzegovina",
ISNUMBER(SEARCH("rn""&gt;Trinidad and Tobago",S3757)),"Trinidad and Tobago",
ISNUMBER(SEARCH("rn""&gt;Serbia and Montenegro",S3757)),"Serbia and Montenegro",
ISNUMBER(SEARCH(_xlfn.UNICHAR(65533),S3757)),"Côte d'Ivoire",
TRUE,""
)</f>
        <v/>
      </c>
      <c r="W3757" s="40" t="str">
        <f t="shared" si="249"/>
        <v>Yugoslavia</v>
      </c>
    </row>
    <row r="3758" spans="19:23">
      <c r="S3758" s="40" t="str">
        <v>Austria</v>
      </c>
      <c r="T3758" s="40" t="str">
        <f t="shared" si="247"/>
        <v>OK</v>
      </c>
      <c r="U3758" s="40" t="str">
        <f t="shared" si="248"/>
        <v>-</v>
      </c>
      <c r="V3758" s="40" t="str" cm="1">
        <f t="array" ref="V3758">_xlfn.IFS(
ISNUMBER(SEARCH("USA",S3758)),"United States",
ISNUMBER(SEARCH("Republic of Ireland",S3758)),"Ireland",
ISNUMBER(SEARCH("Republic of Korea",S3758)),"South Korea",
ISNUMBER(SEARCH("Cape Verde",S3758)),"Cabo Verde",
ISNUMBER(SEARCH("Czechia",S3758)),"Czech Republic",
ISNUMBER(SEARCH("Türkiye",S3758)),"Turkey",
ISNUMBER(SEARCH("Ivory Coast",S3758)),"Côte d'Ivoire",
ISNUMBER(SEARCH("Korea Republic",S3758)),"South Korea",
ISNUMBER(SEARCH("Germany FR",S3758)),"FR Germany",
ISNUMBER(SEARCH("West Germany",S3758)),"FR Germany",
ISNUMBER(SEARCH("Germany DR",S3758)),"DR Germany",
ISNUMBER(SEARCH("Korea DPR",S3758)),"North Korea",
ISNUMBER(SEARCH("China PR",S3758)),"China",
ISNUMBER(SEARCH("IR Iran",S3758)),"Iran",
ISNUMBER(SEARCH("Congo DR",S3758)),"Democratic Republic of the Congo",
ISNUMBER(SEARCH("DR Congo",S3758)),"Democratic Republic of the Congo",
ISNUMBER(SEARCH("German DR",S3758)),"DR Germany",
ISNUMBER(SEARCH("rn""&gt;United Arab Emirates",S3758)),"United Arab Emirates",
ISNUMBER(SEARCH("rn""&gt;Republic of Ireland",S3758)),"Ireland",
ISNUMBER(SEARCH("rn""&gt;Bosnia and Herzegovina",S3758)),"Bosnia and Herzegovina",
ISNUMBER(SEARCH("rn""&gt;Trinidad and Tobago",S3758)),"Trinidad and Tobago",
ISNUMBER(SEARCH("rn""&gt;Serbia and Montenegro",S3758)),"Serbia and Montenegro",
ISNUMBER(SEARCH(_xlfn.UNICHAR(65533),S3758)),"Côte d'Ivoire",
TRUE,""
)</f>
        <v/>
      </c>
      <c r="W3758" s="40" t="str">
        <f t="shared" si="249"/>
        <v>Austria</v>
      </c>
    </row>
    <row r="3759" spans="19:23">
      <c r="S3759" s="40" t="str">
        <v>Kuwait</v>
      </c>
      <c r="T3759" s="40" t="str">
        <f t="shared" si="247"/>
        <v>OK</v>
      </c>
      <c r="U3759" s="40" t="str">
        <f t="shared" si="248"/>
        <v>-</v>
      </c>
      <c r="V3759" s="40" t="str" cm="1">
        <f t="array" ref="V3759">_xlfn.IFS(
ISNUMBER(SEARCH("USA",S3759)),"United States",
ISNUMBER(SEARCH("Republic of Ireland",S3759)),"Ireland",
ISNUMBER(SEARCH("Republic of Korea",S3759)),"South Korea",
ISNUMBER(SEARCH("Cape Verde",S3759)),"Cabo Verde",
ISNUMBER(SEARCH("Czechia",S3759)),"Czech Republic",
ISNUMBER(SEARCH("Türkiye",S3759)),"Turkey",
ISNUMBER(SEARCH("Ivory Coast",S3759)),"Côte d'Ivoire",
ISNUMBER(SEARCH("Korea Republic",S3759)),"South Korea",
ISNUMBER(SEARCH("Germany FR",S3759)),"FR Germany",
ISNUMBER(SEARCH("West Germany",S3759)),"FR Germany",
ISNUMBER(SEARCH("Germany DR",S3759)),"DR Germany",
ISNUMBER(SEARCH("Korea DPR",S3759)),"North Korea",
ISNUMBER(SEARCH("China PR",S3759)),"China",
ISNUMBER(SEARCH("IR Iran",S3759)),"Iran",
ISNUMBER(SEARCH("Congo DR",S3759)),"Democratic Republic of the Congo",
ISNUMBER(SEARCH("DR Congo",S3759)),"Democratic Republic of the Congo",
ISNUMBER(SEARCH("German DR",S3759)),"DR Germany",
ISNUMBER(SEARCH("rn""&gt;United Arab Emirates",S3759)),"United Arab Emirates",
ISNUMBER(SEARCH("rn""&gt;Republic of Ireland",S3759)),"Ireland",
ISNUMBER(SEARCH("rn""&gt;Bosnia and Herzegovina",S3759)),"Bosnia and Herzegovina",
ISNUMBER(SEARCH("rn""&gt;Trinidad and Tobago",S3759)),"Trinidad and Tobago",
ISNUMBER(SEARCH("rn""&gt;Serbia and Montenegro",S3759)),"Serbia and Montenegro",
ISNUMBER(SEARCH(_xlfn.UNICHAR(65533),S3759)),"Côte d'Ivoire",
TRUE,""
)</f>
        <v/>
      </c>
      <c r="W3759" s="40" t="str">
        <f t="shared" si="249"/>
        <v>Kuwait</v>
      </c>
    </row>
    <row r="3760" spans="19:23">
      <c r="S3760" s="40" t="str">
        <v>Northern Ireland</v>
      </c>
      <c r="T3760" s="40" t="str">
        <f t="shared" si="247"/>
        <v>ERREUR</v>
      </c>
      <c r="U3760" s="40" t="str">
        <f t="shared" si="248"/>
        <v>AUCUNE</v>
      </c>
      <c r="V3760" s="40" t="str" cm="1">
        <f t="array" ref="V3760">_xlfn.IFS(
ISNUMBER(SEARCH("USA",S3760)),"United States",
ISNUMBER(SEARCH("Republic of Ireland",S3760)),"Ireland",
ISNUMBER(SEARCH("Republic of Korea",S3760)),"South Korea",
ISNUMBER(SEARCH("Cape Verde",S3760)),"Cabo Verde",
ISNUMBER(SEARCH("Czechia",S3760)),"Czech Republic",
ISNUMBER(SEARCH("Türkiye",S3760)),"Turkey",
ISNUMBER(SEARCH("Ivory Coast",S3760)),"Côte d'Ivoire",
ISNUMBER(SEARCH("Korea Republic",S3760)),"South Korea",
ISNUMBER(SEARCH("Germany FR",S3760)),"FR Germany",
ISNUMBER(SEARCH("West Germany",S3760)),"FR Germany",
ISNUMBER(SEARCH("Germany DR",S3760)),"DR Germany",
ISNUMBER(SEARCH("Korea DPR",S3760)),"North Korea",
ISNUMBER(SEARCH("China PR",S3760)),"China",
ISNUMBER(SEARCH("IR Iran",S3760)),"Iran",
ISNUMBER(SEARCH("Congo DR",S3760)),"Democratic Republic of the Congo",
ISNUMBER(SEARCH("DR Congo",S3760)),"Democratic Republic of the Congo",
ISNUMBER(SEARCH("German DR",S3760)),"DR Germany",
ISNUMBER(SEARCH("rn""&gt;United Arab Emirates",S3760)),"United Arab Emirates",
ISNUMBER(SEARCH("rn""&gt;Republic of Ireland",S3760)),"Ireland",
ISNUMBER(SEARCH("rn""&gt;Bosnia and Herzegovina",S3760)),"Bosnia and Herzegovina",
ISNUMBER(SEARCH("rn""&gt;Trinidad and Tobago",S3760)),"Trinidad and Tobago",
ISNUMBER(SEARCH("rn""&gt;Serbia and Montenegro",S3760)),"Serbia and Montenegro",
ISNUMBER(SEARCH(_xlfn.UNICHAR(65533),S3760)),"Côte d'Ivoire",
TRUE,""
)</f>
        <v/>
      </c>
      <c r="W3760" s="40" t="str">
        <f t="shared" si="249"/>
        <v>Northern Ireland</v>
      </c>
    </row>
    <row r="3761" spans="19:23">
      <c r="S3761" s="40" t="str">
        <v>Peru</v>
      </c>
      <c r="T3761" s="40" t="str">
        <f t="shared" si="247"/>
        <v>OK</v>
      </c>
      <c r="U3761" s="40" t="str">
        <f t="shared" si="248"/>
        <v>-</v>
      </c>
      <c r="V3761" s="40" t="str" cm="1">
        <f t="array" ref="V3761">_xlfn.IFS(
ISNUMBER(SEARCH("USA",S3761)),"United States",
ISNUMBER(SEARCH("Republic of Ireland",S3761)),"Ireland",
ISNUMBER(SEARCH("Republic of Korea",S3761)),"South Korea",
ISNUMBER(SEARCH("Cape Verde",S3761)),"Cabo Verde",
ISNUMBER(SEARCH("Czechia",S3761)),"Czech Republic",
ISNUMBER(SEARCH("Türkiye",S3761)),"Turkey",
ISNUMBER(SEARCH("Ivory Coast",S3761)),"Côte d'Ivoire",
ISNUMBER(SEARCH("Korea Republic",S3761)),"South Korea",
ISNUMBER(SEARCH("Germany FR",S3761)),"FR Germany",
ISNUMBER(SEARCH("West Germany",S3761)),"FR Germany",
ISNUMBER(SEARCH("Germany DR",S3761)),"DR Germany",
ISNUMBER(SEARCH("Korea DPR",S3761)),"North Korea",
ISNUMBER(SEARCH("China PR",S3761)),"China",
ISNUMBER(SEARCH("IR Iran",S3761)),"Iran",
ISNUMBER(SEARCH("Congo DR",S3761)),"Democratic Republic of the Congo",
ISNUMBER(SEARCH("DR Congo",S3761)),"Democratic Republic of the Congo",
ISNUMBER(SEARCH("German DR",S3761)),"DR Germany",
ISNUMBER(SEARCH("rn""&gt;United Arab Emirates",S3761)),"United Arab Emirates",
ISNUMBER(SEARCH("rn""&gt;Republic of Ireland",S3761)),"Ireland",
ISNUMBER(SEARCH("rn""&gt;Bosnia and Herzegovina",S3761)),"Bosnia and Herzegovina",
ISNUMBER(SEARCH("rn""&gt;Trinidad and Tobago",S3761)),"Trinidad and Tobago",
ISNUMBER(SEARCH("rn""&gt;Serbia and Montenegro",S3761)),"Serbia and Montenegro",
ISNUMBER(SEARCH(_xlfn.UNICHAR(65533),S3761)),"Côte d'Ivoire",
TRUE,""
)</f>
        <v/>
      </c>
      <c r="W3761" s="40" t="str">
        <f t="shared" si="249"/>
        <v>Peru</v>
      </c>
    </row>
    <row r="3762" spans="19:23">
      <c r="S3762" s="40" t="str">
        <v>Hungary</v>
      </c>
      <c r="T3762" s="40" t="str">
        <f t="shared" si="247"/>
        <v>OK</v>
      </c>
      <c r="U3762" s="40" t="str">
        <f t="shared" si="248"/>
        <v>-</v>
      </c>
      <c r="V3762" s="40" t="str" cm="1">
        <f t="array" ref="V3762">_xlfn.IFS(
ISNUMBER(SEARCH("USA",S3762)),"United States",
ISNUMBER(SEARCH("Republic of Ireland",S3762)),"Ireland",
ISNUMBER(SEARCH("Republic of Korea",S3762)),"South Korea",
ISNUMBER(SEARCH("Cape Verde",S3762)),"Cabo Verde",
ISNUMBER(SEARCH("Czechia",S3762)),"Czech Republic",
ISNUMBER(SEARCH("Türkiye",S3762)),"Turkey",
ISNUMBER(SEARCH("Ivory Coast",S3762)),"Côte d'Ivoire",
ISNUMBER(SEARCH("Korea Republic",S3762)),"South Korea",
ISNUMBER(SEARCH("Germany FR",S3762)),"FR Germany",
ISNUMBER(SEARCH("West Germany",S3762)),"FR Germany",
ISNUMBER(SEARCH("Germany DR",S3762)),"DR Germany",
ISNUMBER(SEARCH("Korea DPR",S3762)),"North Korea",
ISNUMBER(SEARCH("China PR",S3762)),"China",
ISNUMBER(SEARCH("IR Iran",S3762)),"Iran",
ISNUMBER(SEARCH("Congo DR",S3762)),"Democratic Republic of the Congo",
ISNUMBER(SEARCH("DR Congo",S3762)),"Democratic Republic of the Congo",
ISNUMBER(SEARCH("German DR",S3762)),"DR Germany",
ISNUMBER(SEARCH("rn""&gt;United Arab Emirates",S3762)),"United Arab Emirates",
ISNUMBER(SEARCH("rn""&gt;Republic of Ireland",S3762)),"Ireland",
ISNUMBER(SEARCH("rn""&gt;Bosnia and Herzegovina",S3762)),"Bosnia and Herzegovina",
ISNUMBER(SEARCH("rn""&gt;Trinidad and Tobago",S3762)),"Trinidad and Tobago",
ISNUMBER(SEARCH("rn""&gt;Serbia and Montenegro",S3762)),"Serbia and Montenegro",
ISNUMBER(SEARCH(_xlfn.UNICHAR(65533),S3762)),"Côte d'Ivoire",
TRUE,""
)</f>
        <v/>
      </c>
      <c r="W3762" s="40" t="str">
        <f t="shared" si="249"/>
        <v>Hungary</v>
      </c>
    </row>
    <row r="3763" spans="19:23">
      <c r="S3763" s="40" t="str">
        <v>Scotland</v>
      </c>
      <c r="T3763" s="40" t="str">
        <f t="shared" si="247"/>
        <v>ERREUR</v>
      </c>
      <c r="U3763" s="40" t="str">
        <f t="shared" si="248"/>
        <v>AUCUNE</v>
      </c>
      <c r="V3763" s="40" t="str" cm="1">
        <f t="array" ref="V3763">_xlfn.IFS(
ISNUMBER(SEARCH("USA",S3763)),"United States",
ISNUMBER(SEARCH("Republic of Ireland",S3763)),"Ireland",
ISNUMBER(SEARCH("Republic of Korea",S3763)),"South Korea",
ISNUMBER(SEARCH("Cape Verde",S3763)),"Cabo Verde",
ISNUMBER(SEARCH("Czechia",S3763)),"Czech Republic",
ISNUMBER(SEARCH("Türkiye",S3763)),"Turkey",
ISNUMBER(SEARCH("Ivory Coast",S3763)),"Côte d'Ivoire",
ISNUMBER(SEARCH("Korea Republic",S3763)),"South Korea",
ISNUMBER(SEARCH("Germany FR",S3763)),"FR Germany",
ISNUMBER(SEARCH("West Germany",S3763)),"FR Germany",
ISNUMBER(SEARCH("Germany DR",S3763)),"DR Germany",
ISNUMBER(SEARCH("Korea DPR",S3763)),"North Korea",
ISNUMBER(SEARCH("China PR",S3763)),"China",
ISNUMBER(SEARCH("IR Iran",S3763)),"Iran",
ISNUMBER(SEARCH("Congo DR",S3763)),"Democratic Republic of the Congo",
ISNUMBER(SEARCH("DR Congo",S3763)),"Democratic Republic of the Congo",
ISNUMBER(SEARCH("German DR",S3763)),"DR Germany",
ISNUMBER(SEARCH("rn""&gt;United Arab Emirates",S3763)),"United Arab Emirates",
ISNUMBER(SEARCH("rn""&gt;Republic of Ireland",S3763)),"Ireland",
ISNUMBER(SEARCH("rn""&gt;Bosnia and Herzegovina",S3763)),"Bosnia and Herzegovina",
ISNUMBER(SEARCH("rn""&gt;Trinidad and Tobago",S3763)),"Trinidad and Tobago",
ISNUMBER(SEARCH("rn""&gt;Serbia and Montenegro",S3763)),"Serbia and Montenegro",
ISNUMBER(SEARCH(_xlfn.UNICHAR(65533),S3763)),"Côte d'Ivoire",
TRUE,""
)</f>
        <v/>
      </c>
      <c r="W3763" s="40" t="str">
        <f t="shared" si="249"/>
        <v>Scotland</v>
      </c>
    </row>
    <row r="3764" spans="19:23">
      <c r="S3764" s="40" t="str">
        <v>Cameroon</v>
      </c>
      <c r="T3764" s="40" t="str">
        <f t="shared" si="247"/>
        <v>OK</v>
      </c>
      <c r="U3764" s="40" t="str">
        <f t="shared" si="248"/>
        <v>-</v>
      </c>
      <c r="V3764" s="40" t="str" cm="1">
        <f t="array" ref="V3764">_xlfn.IFS(
ISNUMBER(SEARCH("USA",S3764)),"United States",
ISNUMBER(SEARCH("Republic of Ireland",S3764)),"Ireland",
ISNUMBER(SEARCH("Republic of Korea",S3764)),"South Korea",
ISNUMBER(SEARCH("Cape Verde",S3764)),"Cabo Verde",
ISNUMBER(SEARCH("Czechia",S3764)),"Czech Republic",
ISNUMBER(SEARCH("Türkiye",S3764)),"Turkey",
ISNUMBER(SEARCH("Ivory Coast",S3764)),"Côte d'Ivoire",
ISNUMBER(SEARCH("Korea Republic",S3764)),"South Korea",
ISNUMBER(SEARCH("Germany FR",S3764)),"FR Germany",
ISNUMBER(SEARCH("West Germany",S3764)),"FR Germany",
ISNUMBER(SEARCH("Germany DR",S3764)),"DR Germany",
ISNUMBER(SEARCH("Korea DPR",S3764)),"North Korea",
ISNUMBER(SEARCH("China PR",S3764)),"China",
ISNUMBER(SEARCH("IR Iran",S3764)),"Iran",
ISNUMBER(SEARCH("Congo DR",S3764)),"Democratic Republic of the Congo",
ISNUMBER(SEARCH("DR Congo",S3764)),"Democratic Republic of the Congo",
ISNUMBER(SEARCH("German DR",S3764)),"DR Germany",
ISNUMBER(SEARCH("rn""&gt;United Arab Emirates",S3764)),"United Arab Emirates",
ISNUMBER(SEARCH("rn""&gt;Republic of Ireland",S3764)),"Ireland",
ISNUMBER(SEARCH("rn""&gt;Bosnia and Herzegovina",S3764)),"Bosnia and Herzegovina",
ISNUMBER(SEARCH("rn""&gt;Trinidad and Tobago",S3764)),"Trinidad and Tobago",
ISNUMBER(SEARCH("rn""&gt;Serbia and Montenegro",S3764)),"Serbia and Montenegro",
ISNUMBER(SEARCH(_xlfn.UNICHAR(65533),S3764)),"Côte d'Ivoire",
TRUE,""
)</f>
        <v/>
      </c>
      <c r="W3764" s="40" t="str">
        <f t="shared" si="249"/>
        <v>Cameroon</v>
      </c>
    </row>
    <row r="3765" spans="19:23">
      <c r="S3765" s="40" t="str">
        <v>El Salvador</v>
      </c>
      <c r="T3765" s="40" t="str">
        <f t="shared" si="247"/>
        <v>OK</v>
      </c>
      <c r="U3765" s="40" t="str">
        <f t="shared" si="248"/>
        <v>-</v>
      </c>
      <c r="V3765" s="40" t="str" cm="1">
        <f t="array" ref="V3765">_xlfn.IFS(
ISNUMBER(SEARCH("USA",S3765)),"United States",
ISNUMBER(SEARCH("Republic of Ireland",S3765)),"Ireland",
ISNUMBER(SEARCH("Republic of Korea",S3765)),"South Korea",
ISNUMBER(SEARCH("Cape Verde",S3765)),"Cabo Verde",
ISNUMBER(SEARCH("Czechia",S3765)),"Czech Republic",
ISNUMBER(SEARCH("Türkiye",S3765)),"Turkey",
ISNUMBER(SEARCH("Ivory Coast",S3765)),"Côte d'Ivoire",
ISNUMBER(SEARCH("Korea Republic",S3765)),"South Korea",
ISNUMBER(SEARCH("Germany FR",S3765)),"FR Germany",
ISNUMBER(SEARCH("West Germany",S3765)),"FR Germany",
ISNUMBER(SEARCH("Germany DR",S3765)),"DR Germany",
ISNUMBER(SEARCH("Korea DPR",S3765)),"North Korea",
ISNUMBER(SEARCH("China PR",S3765)),"China",
ISNUMBER(SEARCH("IR Iran",S3765)),"Iran",
ISNUMBER(SEARCH("Congo DR",S3765)),"Democratic Republic of the Congo",
ISNUMBER(SEARCH("DR Congo",S3765)),"Democratic Republic of the Congo",
ISNUMBER(SEARCH("German DR",S3765)),"DR Germany",
ISNUMBER(SEARCH("rn""&gt;United Arab Emirates",S3765)),"United Arab Emirates",
ISNUMBER(SEARCH("rn""&gt;Republic of Ireland",S3765)),"Ireland",
ISNUMBER(SEARCH("rn""&gt;Bosnia and Herzegovina",S3765)),"Bosnia and Herzegovina",
ISNUMBER(SEARCH("rn""&gt;Trinidad and Tobago",S3765)),"Trinidad and Tobago",
ISNUMBER(SEARCH("rn""&gt;Serbia and Montenegro",S3765)),"Serbia and Montenegro",
ISNUMBER(SEARCH(_xlfn.UNICHAR(65533),S3765)),"Côte d'Ivoire",
TRUE,""
)</f>
        <v/>
      </c>
      <c r="W3765" s="40" t="str">
        <f t="shared" si="249"/>
        <v>El Salvador</v>
      </c>
    </row>
    <row r="3766" spans="19:23">
      <c r="S3766" s="40" t="str">
        <v>New Zealand</v>
      </c>
      <c r="T3766" s="40" t="str">
        <f t="shared" si="247"/>
        <v>OK</v>
      </c>
      <c r="U3766" s="40" t="str">
        <f t="shared" si="248"/>
        <v>-</v>
      </c>
      <c r="V3766" s="40" t="str" cm="1">
        <f t="array" ref="V3766">_xlfn.IFS(
ISNUMBER(SEARCH("USA",S3766)),"United States",
ISNUMBER(SEARCH("Republic of Ireland",S3766)),"Ireland",
ISNUMBER(SEARCH("Republic of Korea",S3766)),"South Korea",
ISNUMBER(SEARCH("Cape Verde",S3766)),"Cabo Verde",
ISNUMBER(SEARCH("Czechia",S3766)),"Czech Republic",
ISNUMBER(SEARCH("Türkiye",S3766)),"Turkey",
ISNUMBER(SEARCH("Ivory Coast",S3766)),"Côte d'Ivoire",
ISNUMBER(SEARCH("Korea Republic",S3766)),"South Korea",
ISNUMBER(SEARCH("Germany FR",S3766)),"FR Germany",
ISNUMBER(SEARCH("West Germany",S3766)),"FR Germany",
ISNUMBER(SEARCH("Germany DR",S3766)),"DR Germany",
ISNUMBER(SEARCH("Korea DPR",S3766)),"North Korea",
ISNUMBER(SEARCH("China PR",S3766)),"China",
ISNUMBER(SEARCH("IR Iran",S3766)),"Iran",
ISNUMBER(SEARCH("Congo DR",S3766)),"Democratic Republic of the Congo",
ISNUMBER(SEARCH("DR Congo",S3766)),"Democratic Republic of the Congo",
ISNUMBER(SEARCH("German DR",S3766)),"DR Germany",
ISNUMBER(SEARCH("rn""&gt;United Arab Emirates",S3766)),"United Arab Emirates",
ISNUMBER(SEARCH("rn""&gt;Republic of Ireland",S3766)),"Ireland",
ISNUMBER(SEARCH("rn""&gt;Bosnia and Herzegovina",S3766)),"Bosnia and Herzegovina",
ISNUMBER(SEARCH("rn""&gt;Trinidad and Tobago",S3766)),"Trinidad and Tobago",
ISNUMBER(SEARCH("rn""&gt;Serbia and Montenegro",S3766)),"Serbia and Montenegro",
ISNUMBER(SEARCH(_xlfn.UNICHAR(65533),S3766)),"Côte d'Ivoire",
TRUE,""
)</f>
        <v/>
      </c>
      <c r="W3766" s="40" t="str">
        <f t="shared" si="249"/>
        <v>New Zealand</v>
      </c>
    </row>
    <row r="3767" spans="19:23">
      <c r="S3767" s="40" t="str">
        <v>Chile</v>
      </c>
      <c r="T3767" s="40" t="str">
        <f t="shared" si="247"/>
        <v>OK</v>
      </c>
      <c r="U3767" s="40" t="str">
        <f t="shared" si="248"/>
        <v>-</v>
      </c>
      <c r="V3767" s="40" t="str" cm="1">
        <f t="array" ref="V3767">_xlfn.IFS(
ISNUMBER(SEARCH("USA",S3767)),"United States",
ISNUMBER(SEARCH("Republic of Ireland",S3767)),"Ireland",
ISNUMBER(SEARCH("Republic of Korea",S3767)),"South Korea",
ISNUMBER(SEARCH("Cape Verde",S3767)),"Cabo Verde",
ISNUMBER(SEARCH("Czechia",S3767)),"Czech Republic",
ISNUMBER(SEARCH("Türkiye",S3767)),"Turkey",
ISNUMBER(SEARCH("Ivory Coast",S3767)),"Côte d'Ivoire",
ISNUMBER(SEARCH("Korea Republic",S3767)),"South Korea",
ISNUMBER(SEARCH("Germany FR",S3767)),"FR Germany",
ISNUMBER(SEARCH("West Germany",S3767)),"FR Germany",
ISNUMBER(SEARCH("Germany DR",S3767)),"DR Germany",
ISNUMBER(SEARCH("Korea DPR",S3767)),"North Korea",
ISNUMBER(SEARCH("China PR",S3767)),"China",
ISNUMBER(SEARCH("IR Iran",S3767)),"Iran",
ISNUMBER(SEARCH("Congo DR",S3767)),"Democratic Republic of the Congo",
ISNUMBER(SEARCH("DR Congo",S3767)),"Democratic Republic of the Congo",
ISNUMBER(SEARCH("German DR",S3767)),"DR Germany",
ISNUMBER(SEARCH("rn""&gt;United Arab Emirates",S3767)),"United Arab Emirates",
ISNUMBER(SEARCH("rn""&gt;Republic of Ireland",S3767)),"Ireland",
ISNUMBER(SEARCH("rn""&gt;Bosnia and Herzegovina",S3767)),"Bosnia and Herzegovina",
ISNUMBER(SEARCH("rn""&gt;Trinidad and Tobago",S3767)),"Trinidad and Tobago",
ISNUMBER(SEARCH("rn""&gt;Serbia and Montenegro",S3767)),"Serbia and Montenegro",
ISNUMBER(SEARCH(_xlfn.UNICHAR(65533),S3767)),"Côte d'Ivoire",
TRUE,""
)</f>
        <v/>
      </c>
      <c r="W3767" s="40" t="str">
        <f t="shared" si="249"/>
        <v>Chile</v>
      </c>
    </row>
    <row r="3768" spans="19:23">
      <c r="S3768" s="40" t="str">
        <v>Czechoslovakia</v>
      </c>
      <c r="T3768" s="40" t="str">
        <f t="shared" si="247"/>
        <v>ERREUR</v>
      </c>
      <c r="U3768" s="40" t="str">
        <f t="shared" si="248"/>
        <v>AUCUNE</v>
      </c>
      <c r="V3768" s="40" t="str" cm="1">
        <f t="array" ref="V3768">_xlfn.IFS(
ISNUMBER(SEARCH("USA",S3768)),"United States",
ISNUMBER(SEARCH("Republic of Ireland",S3768)),"Ireland",
ISNUMBER(SEARCH("Republic of Korea",S3768)),"South Korea",
ISNUMBER(SEARCH("Cape Verde",S3768)),"Cabo Verde",
ISNUMBER(SEARCH("Czechia",S3768)),"Czech Republic",
ISNUMBER(SEARCH("Türkiye",S3768)),"Turkey",
ISNUMBER(SEARCH("Ivory Coast",S3768)),"Côte d'Ivoire",
ISNUMBER(SEARCH("Korea Republic",S3768)),"South Korea",
ISNUMBER(SEARCH("Germany FR",S3768)),"FR Germany",
ISNUMBER(SEARCH("West Germany",S3768)),"FR Germany",
ISNUMBER(SEARCH("Germany DR",S3768)),"DR Germany",
ISNUMBER(SEARCH("Korea DPR",S3768)),"North Korea",
ISNUMBER(SEARCH("China PR",S3768)),"China",
ISNUMBER(SEARCH("IR Iran",S3768)),"Iran",
ISNUMBER(SEARCH("Congo DR",S3768)),"Democratic Republic of the Congo",
ISNUMBER(SEARCH("DR Congo",S3768)),"Democratic Republic of the Congo",
ISNUMBER(SEARCH("German DR",S3768)),"DR Germany",
ISNUMBER(SEARCH("rn""&gt;United Arab Emirates",S3768)),"United Arab Emirates",
ISNUMBER(SEARCH("rn""&gt;Republic of Ireland",S3768)),"Ireland",
ISNUMBER(SEARCH("rn""&gt;Bosnia and Herzegovina",S3768)),"Bosnia and Herzegovina",
ISNUMBER(SEARCH("rn""&gt;Trinidad and Tobago",S3768)),"Trinidad and Tobago",
ISNUMBER(SEARCH("rn""&gt;Serbia and Montenegro",S3768)),"Serbia and Montenegro",
ISNUMBER(SEARCH(_xlfn.UNICHAR(65533),S3768)),"Côte d'Ivoire",
TRUE,""
)</f>
        <v/>
      </c>
      <c r="W3768" s="40" t="str">
        <f t="shared" si="249"/>
        <v>Czechoslovakia</v>
      </c>
    </row>
    <row r="3769" spans="19:23">
      <c r="S3769" s="40" t="str">
        <v>Yugoslavia</v>
      </c>
      <c r="T3769" s="40" t="str">
        <f t="shared" si="247"/>
        <v>ERREUR</v>
      </c>
      <c r="U3769" s="40" t="str">
        <f t="shared" si="248"/>
        <v>AUCUNE</v>
      </c>
      <c r="V3769" s="40" t="str" cm="1">
        <f t="array" ref="V3769">_xlfn.IFS(
ISNUMBER(SEARCH("USA",S3769)),"United States",
ISNUMBER(SEARCH("Republic of Ireland",S3769)),"Ireland",
ISNUMBER(SEARCH("Republic of Korea",S3769)),"South Korea",
ISNUMBER(SEARCH("Cape Verde",S3769)),"Cabo Verde",
ISNUMBER(SEARCH("Czechia",S3769)),"Czech Republic",
ISNUMBER(SEARCH("Türkiye",S3769)),"Turkey",
ISNUMBER(SEARCH("Ivory Coast",S3769)),"Côte d'Ivoire",
ISNUMBER(SEARCH("Korea Republic",S3769)),"South Korea",
ISNUMBER(SEARCH("Germany FR",S3769)),"FR Germany",
ISNUMBER(SEARCH("West Germany",S3769)),"FR Germany",
ISNUMBER(SEARCH("Germany DR",S3769)),"DR Germany",
ISNUMBER(SEARCH("Korea DPR",S3769)),"North Korea",
ISNUMBER(SEARCH("China PR",S3769)),"China",
ISNUMBER(SEARCH("IR Iran",S3769)),"Iran",
ISNUMBER(SEARCH("Congo DR",S3769)),"Democratic Republic of the Congo",
ISNUMBER(SEARCH("DR Congo",S3769)),"Democratic Republic of the Congo",
ISNUMBER(SEARCH("German DR",S3769)),"DR Germany",
ISNUMBER(SEARCH("rn""&gt;United Arab Emirates",S3769)),"United Arab Emirates",
ISNUMBER(SEARCH("rn""&gt;Republic of Ireland",S3769)),"Ireland",
ISNUMBER(SEARCH("rn""&gt;Bosnia and Herzegovina",S3769)),"Bosnia and Herzegovina",
ISNUMBER(SEARCH("rn""&gt;Trinidad and Tobago",S3769)),"Trinidad and Tobago",
ISNUMBER(SEARCH("rn""&gt;Serbia and Montenegro",S3769)),"Serbia and Montenegro",
ISNUMBER(SEARCH(_xlfn.UNICHAR(65533),S3769)),"Côte d'Ivoire",
TRUE,""
)</f>
        <v/>
      </c>
      <c r="W3769" s="40" t="str">
        <f t="shared" si="249"/>
        <v>Yugoslavia</v>
      </c>
    </row>
    <row r="3770" spans="19:23">
      <c r="S3770" s="40" t="str">
        <v>Austria</v>
      </c>
      <c r="T3770" s="40" t="str">
        <f t="shared" si="247"/>
        <v>OK</v>
      </c>
      <c r="U3770" s="40" t="str">
        <f t="shared" si="248"/>
        <v>-</v>
      </c>
      <c r="V3770" s="40" t="str" cm="1">
        <f t="array" ref="V3770">_xlfn.IFS(
ISNUMBER(SEARCH("USA",S3770)),"United States",
ISNUMBER(SEARCH("Republic of Ireland",S3770)),"Ireland",
ISNUMBER(SEARCH("Republic of Korea",S3770)),"South Korea",
ISNUMBER(SEARCH("Cape Verde",S3770)),"Cabo Verde",
ISNUMBER(SEARCH("Czechia",S3770)),"Czech Republic",
ISNUMBER(SEARCH("Türkiye",S3770)),"Turkey",
ISNUMBER(SEARCH("Ivory Coast",S3770)),"Côte d'Ivoire",
ISNUMBER(SEARCH("Korea Republic",S3770)),"South Korea",
ISNUMBER(SEARCH("Germany FR",S3770)),"FR Germany",
ISNUMBER(SEARCH("West Germany",S3770)),"FR Germany",
ISNUMBER(SEARCH("Germany DR",S3770)),"DR Germany",
ISNUMBER(SEARCH("Korea DPR",S3770)),"North Korea",
ISNUMBER(SEARCH("China PR",S3770)),"China",
ISNUMBER(SEARCH("IR Iran",S3770)),"Iran",
ISNUMBER(SEARCH("Congo DR",S3770)),"Democratic Republic of the Congo",
ISNUMBER(SEARCH("DR Congo",S3770)),"Democratic Republic of the Congo",
ISNUMBER(SEARCH("German DR",S3770)),"DR Germany",
ISNUMBER(SEARCH("rn""&gt;United Arab Emirates",S3770)),"United Arab Emirates",
ISNUMBER(SEARCH("rn""&gt;Republic of Ireland",S3770)),"Ireland",
ISNUMBER(SEARCH("rn""&gt;Bosnia and Herzegovina",S3770)),"Bosnia and Herzegovina",
ISNUMBER(SEARCH("rn""&gt;Trinidad and Tobago",S3770)),"Trinidad and Tobago",
ISNUMBER(SEARCH("rn""&gt;Serbia and Montenegro",S3770)),"Serbia and Montenegro",
ISNUMBER(SEARCH(_xlfn.UNICHAR(65533),S3770)),"Côte d'Ivoire",
TRUE,""
)</f>
        <v/>
      </c>
      <c r="W3770" s="40" t="str">
        <f t="shared" si="249"/>
        <v>Austria</v>
      </c>
    </row>
    <row r="3771" spans="19:23">
      <c r="S3771" s="40" t="str">
        <v>Kuwait</v>
      </c>
      <c r="T3771" s="40" t="str">
        <f t="shared" si="247"/>
        <v>OK</v>
      </c>
      <c r="U3771" s="40" t="str">
        <f t="shared" si="248"/>
        <v>-</v>
      </c>
      <c r="V3771" s="40" t="str" cm="1">
        <f t="array" ref="V3771">_xlfn.IFS(
ISNUMBER(SEARCH("USA",S3771)),"United States",
ISNUMBER(SEARCH("Republic of Ireland",S3771)),"Ireland",
ISNUMBER(SEARCH("Republic of Korea",S3771)),"South Korea",
ISNUMBER(SEARCH("Cape Verde",S3771)),"Cabo Verde",
ISNUMBER(SEARCH("Czechia",S3771)),"Czech Republic",
ISNUMBER(SEARCH("Türkiye",S3771)),"Turkey",
ISNUMBER(SEARCH("Ivory Coast",S3771)),"Côte d'Ivoire",
ISNUMBER(SEARCH("Korea Republic",S3771)),"South Korea",
ISNUMBER(SEARCH("Germany FR",S3771)),"FR Germany",
ISNUMBER(SEARCH("West Germany",S3771)),"FR Germany",
ISNUMBER(SEARCH("Germany DR",S3771)),"DR Germany",
ISNUMBER(SEARCH("Korea DPR",S3771)),"North Korea",
ISNUMBER(SEARCH("China PR",S3771)),"China",
ISNUMBER(SEARCH("IR Iran",S3771)),"Iran",
ISNUMBER(SEARCH("Congo DR",S3771)),"Democratic Republic of the Congo",
ISNUMBER(SEARCH("DR Congo",S3771)),"Democratic Republic of the Congo",
ISNUMBER(SEARCH("German DR",S3771)),"DR Germany",
ISNUMBER(SEARCH("rn""&gt;United Arab Emirates",S3771)),"United Arab Emirates",
ISNUMBER(SEARCH("rn""&gt;Republic of Ireland",S3771)),"Ireland",
ISNUMBER(SEARCH("rn""&gt;Bosnia and Herzegovina",S3771)),"Bosnia and Herzegovina",
ISNUMBER(SEARCH("rn""&gt;Trinidad and Tobago",S3771)),"Trinidad and Tobago",
ISNUMBER(SEARCH("rn""&gt;Serbia and Montenegro",S3771)),"Serbia and Montenegro",
ISNUMBER(SEARCH(_xlfn.UNICHAR(65533),S3771)),"Côte d'Ivoire",
TRUE,""
)</f>
        <v/>
      </c>
      <c r="W3771" s="40" t="str">
        <f t="shared" si="249"/>
        <v>Kuwait</v>
      </c>
    </row>
    <row r="3772" spans="19:23">
      <c r="S3772" s="40" t="str">
        <v>Spain</v>
      </c>
      <c r="T3772" s="40" t="str">
        <f t="shared" si="247"/>
        <v>OK</v>
      </c>
      <c r="U3772" s="40" t="str">
        <f t="shared" si="248"/>
        <v>-</v>
      </c>
      <c r="V3772" s="40" t="str" cm="1">
        <f t="array" ref="V3772">_xlfn.IFS(
ISNUMBER(SEARCH("USA",S3772)),"United States",
ISNUMBER(SEARCH("Republic of Ireland",S3772)),"Ireland",
ISNUMBER(SEARCH("Republic of Korea",S3772)),"South Korea",
ISNUMBER(SEARCH("Cape Verde",S3772)),"Cabo Verde",
ISNUMBER(SEARCH("Czechia",S3772)),"Czech Republic",
ISNUMBER(SEARCH("Türkiye",S3772)),"Turkey",
ISNUMBER(SEARCH("Ivory Coast",S3772)),"Côte d'Ivoire",
ISNUMBER(SEARCH("Korea Republic",S3772)),"South Korea",
ISNUMBER(SEARCH("Germany FR",S3772)),"FR Germany",
ISNUMBER(SEARCH("West Germany",S3772)),"FR Germany",
ISNUMBER(SEARCH("Germany DR",S3772)),"DR Germany",
ISNUMBER(SEARCH("Korea DPR",S3772)),"North Korea",
ISNUMBER(SEARCH("China PR",S3772)),"China",
ISNUMBER(SEARCH("IR Iran",S3772)),"Iran",
ISNUMBER(SEARCH("Congo DR",S3772)),"Democratic Republic of the Congo",
ISNUMBER(SEARCH("DR Congo",S3772)),"Democratic Republic of the Congo",
ISNUMBER(SEARCH("German DR",S3772)),"DR Germany",
ISNUMBER(SEARCH("rn""&gt;United Arab Emirates",S3772)),"United Arab Emirates",
ISNUMBER(SEARCH("rn""&gt;Republic of Ireland",S3772)),"Ireland",
ISNUMBER(SEARCH("rn""&gt;Bosnia and Herzegovina",S3772)),"Bosnia and Herzegovina",
ISNUMBER(SEARCH("rn""&gt;Trinidad and Tobago",S3772)),"Trinidad and Tobago",
ISNUMBER(SEARCH("rn""&gt;Serbia and Montenegro",S3772)),"Serbia and Montenegro",
ISNUMBER(SEARCH(_xlfn.UNICHAR(65533),S3772)),"Côte d'Ivoire",
TRUE,""
)</f>
        <v/>
      </c>
      <c r="W3772" s="40" t="str">
        <f t="shared" si="249"/>
        <v>Spain</v>
      </c>
    </row>
    <row r="3773" spans="19:23">
      <c r="S3773" s="40" t="str">
        <v>France</v>
      </c>
      <c r="T3773" s="40" t="str">
        <f t="shared" si="247"/>
        <v>OK</v>
      </c>
      <c r="U3773" s="40" t="str">
        <f t="shared" si="248"/>
        <v>-</v>
      </c>
      <c r="V3773" s="40" t="str" cm="1">
        <f t="array" ref="V3773">_xlfn.IFS(
ISNUMBER(SEARCH("USA",S3773)),"United States",
ISNUMBER(SEARCH("Republic of Ireland",S3773)),"Ireland",
ISNUMBER(SEARCH("Republic of Korea",S3773)),"South Korea",
ISNUMBER(SEARCH("Cape Verde",S3773)),"Cabo Verde",
ISNUMBER(SEARCH("Czechia",S3773)),"Czech Republic",
ISNUMBER(SEARCH("Türkiye",S3773)),"Turkey",
ISNUMBER(SEARCH("Ivory Coast",S3773)),"Côte d'Ivoire",
ISNUMBER(SEARCH("Korea Republic",S3773)),"South Korea",
ISNUMBER(SEARCH("Germany FR",S3773)),"FR Germany",
ISNUMBER(SEARCH("West Germany",S3773)),"FR Germany",
ISNUMBER(SEARCH("Germany DR",S3773)),"DR Germany",
ISNUMBER(SEARCH("Korea DPR",S3773)),"North Korea",
ISNUMBER(SEARCH("China PR",S3773)),"China",
ISNUMBER(SEARCH("IR Iran",S3773)),"Iran",
ISNUMBER(SEARCH("Congo DR",S3773)),"Democratic Republic of the Congo",
ISNUMBER(SEARCH("DR Congo",S3773)),"Democratic Republic of the Congo",
ISNUMBER(SEARCH("German DR",S3773)),"DR Germany",
ISNUMBER(SEARCH("rn""&gt;United Arab Emirates",S3773)),"United Arab Emirates",
ISNUMBER(SEARCH("rn""&gt;Republic of Ireland",S3773)),"Ireland",
ISNUMBER(SEARCH("rn""&gt;Bosnia and Herzegovina",S3773)),"Bosnia and Herzegovina",
ISNUMBER(SEARCH("rn""&gt;Trinidad and Tobago",S3773)),"Trinidad and Tobago",
ISNUMBER(SEARCH("rn""&gt;Serbia and Montenegro",S3773)),"Serbia and Montenegro",
ISNUMBER(SEARCH(_xlfn.UNICHAR(65533),S3773)),"Côte d'Ivoire",
TRUE,""
)</f>
        <v/>
      </c>
      <c r="W3773" s="40" t="str">
        <f t="shared" si="249"/>
        <v>France</v>
      </c>
    </row>
    <row r="3774" spans="19:23">
      <c r="S3774" s="40" t="str">
        <v>Belgium</v>
      </c>
      <c r="T3774" s="40" t="str">
        <f t="shared" si="247"/>
        <v>OK</v>
      </c>
      <c r="U3774" s="40" t="str">
        <f t="shared" si="248"/>
        <v>-</v>
      </c>
      <c r="V3774" s="40" t="str" cm="1">
        <f t="array" ref="V3774">_xlfn.IFS(
ISNUMBER(SEARCH("USA",S3774)),"United States",
ISNUMBER(SEARCH("Republic of Ireland",S3774)),"Ireland",
ISNUMBER(SEARCH("Republic of Korea",S3774)),"South Korea",
ISNUMBER(SEARCH("Cape Verde",S3774)),"Cabo Verde",
ISNUMBER(SEARCH("Czechia",S3774)),"Czech Republic",
ISNUMBER(SEARCH("Türkiye",S3774)),"Turkey",
ISNUMBER(SEARCH("Ivory Coast",S3774)),"Côte d'Ivoire",
ISNUMBER(SEARCH("Korea Republic",S3774)),"South Korea",
ISNUMBER(SEARCH("Germany FR",S3774)),"FR Germany",
ISNUMBER(SEARCH("West Germany",S3774)),"FR Germany",
ISNUMBER(SEARCH("Germany DR",S3774)),"DR Germany",
ISNUMBER(SEARCH("Korea DPR",S3774)),"North Korea",
ISNUMBER(SEARCH("China PR",S3774)),"China",
ISNUMBER(SEARCH("IR Iran",S3774)),"Iran",
ISNUMBER(SEARCH("Congo DR",S3774)),"Democratic Republic of the Congo",
ISNUMBER(SEARCH("DR Congo",S3774)),"Democratic Republic of the Congo",
ISNUMBER(SEARCH("German DR",S3774)),"DR Germany",
ISNUMBER(SEARCH("rn""&gt;United Arab Emirates",S3774)),"United Arab Emirates",
ISNUMBER(SEARCH("rn""&gt;Republic of Ireland",S3774)),"Ireland",
ISNUMBER(SEARCH("rn""&gt;Bosnia and Herzegovina",S3774)),"Bosnia and Herzegovina",
ISNUMBER(SEARCH("rn""&gt;Trinidad and Tobago",S3774)),"Trinidad and Tobago",
ISNUMBER(SEARCH("rn""&gt;Serbia and Montenegro",S3774)),"Serbia and Montenegro",
ISNUMBER(SEARCH(_xlfn.UNICHAR(65533),S3774)),"Côte d'Ivoire",
TRUE,""
)</f>
        <v/>
      </c>
      <c r="W3774" s="40" t="str">
        <f t="shared" si="249"/>
        <v>Belgium</v>
      </c>
    </row>
    <row r="3775" spans="19:23">
      <c r="S3775" s="40" t="str">
        <v>Argentina</v>
      </c>
      <c r="T3775" s="40" t="str">
        <f t="shared" si="247"/>
        <v>OK</v>
      </c>
      <c r="U3775" s="40" t="str">
        <f t="shared" si="248"/>
        <v>-</v>
      </c>
      <c r="V3775" s="40" t="str" cm="1">
        <f t="array" ref="V3775">_xlfn.IFS(
ISNUMBER(SEARCH("USA",S3775)),"United States",
ISNUMBER(SEARCH("Republic of Ireland",S3775)),"Ireland",
ISNUMBER(SEARCH("Republic of Korea",S3775)),"South Korea",
ISNUMBER(SEARCH("Cape Verde",S3775)),"Cabo Verde",
ISNUMBER(SEARCH("Czechia",S3775)),"Czech Republic",
ISNUMBER(SEARCH("Türkiye",S3775)),"Turkey",
ISNUMBER(SEARCH("Ivory Coast",S3775)),"Côte d'Ivoire",
ISNUMBER(SEARCH("Korea Republic",S3775)),"South Korea",
ISNUMBER(SEARCH("Germany FR",S3775)),"FR Germany",
ISNUMBER(SEARCH("West Germany",S3775)),"FR Germany",
ISNUMBER(SEARCH("Germany DR",S3775)),"DR Germany",
ISNUMBER(SEARCH("Korea DPR",S3775)),"North Korea",
ISNUMBER(SEARCH("China PR",S3775)),"China",
ISNUMBER(SEARCH("IR Iran",S3775)),"Iran",
ISNUMBER(SEARCH("Congo DR",S3775)),"Democratic Republic of the Congo",
ISNUMBER(SEARCH("DR Congo",S3775)),"Democratic Republic of the Congo",
ISNUMBER(SEARCH("German DR",S3775)),"DR Germany",
ISNUMBER(SEARCH("rn""&gt;United Arab Emirates",S3775)),"United Arab Emirates",
ISNUMBER(SEARCH("rn""&gt;Republic of Ireland",S3775)),"Ireland",
ISNUMBER(SEARCH("rn""&gt;Bosnia and Herzegovina",S3775)),"Bosnia and Herzegovina",
ISNUMBER(SEARCH("rn""&gt;Trinidad and Tobago",S3775)),"Trinidad and Tobago",
ISNUMBER(SEARCH("rn""&gt;Serbia and Montenegro",S3775)),"Serbia and Montenegro",
ISNUMBER(SEARCH(_xlfn.UNICHAR(65533),S3775)),"Côte d'Ivoire",
TRUE,""
)</f>
        <v/>
      </c>
      <c r="W3775" s="40" t="str">
        <f t="shared" si="249"/>
        <v>Argentina</v>
      </c>
    </row>
    <row r="3776" spans="19:23">
      <c r="S3776" s="40" t="str">
        <v>England</v>
      </c>
      <c r="T3776" s="40" t="str">
        <f t="shared" si="247"/>
        <v>ERREUR</v>
      </c>
      <c r="U3776" s="40" t="str">
        <f t="shared" si="248"/>
        <v>AUCUNE</v>
      </c>
      <c r="V3776" s="40" t="str" cm="1">
        <f t="array" ref="V3776">_xlfn.IFS(
ISNUMBER(SEARCH("USA",S3776)),"United States",
ISNUMBER(SEARCH("Republic of Ireland",S3776)),"Ireland",
ISNUMBER(SEARCH("Republic of Korea",S3776)),"South Korea",
ISNUMBER(SEARCH("Cape Verde",S3776)),"Cabo Verde",
ISNUMBER(SEARCH("Czechia",S3776)),"Czech Republic",
ISNUMBER(SEARCH("Türkiye",S3776)),"Turkey",
ISNUMBER(SEARCH("Ivory Coast",S3776)),"Côte d'Ivoire",
ISNUMBER(SEARCH("Korea Republic",S3776)),"South Korea",
ISNUMBER(SEARCH("Germany FR",S3776)),"FR Germany",
ISNUMBER(SEARCH("West Germany",S3776)),"FR Germany",
ISNUMBER(SEARCH("Germany DR",S3776)),"DR Germany",
ISNUMBER(SEARCH("Korea DPR",S3776)),"North Korea",
ISNUMBER(SEARCH("China PR",S3776)),"China",
ISNUMBER(SEARCH("IR Iran",S3776)),"Iran",
ISNUMBER(SEARCH("Congo DR",S3776)),"Democratic Republic of the Congo",
ISNUMBER(SEARCH("DR Congo",S3776)),"Democratic Republic of the Congo",
ISNUMBER(SEARCH("German DR",S3776)),"DR Germany",
ISNUMBER(SEARCH("rn""&gt;United Arab Emirates",S3776)),"United Arab Emirates",
ISNUMBER(SEARCH("rn""&gt;Republic of Ireland",S3776)),"Ireland",
ISNUMBER(SEARCH("rn""&gt;Bosnia and Herzegovina",S3776)),"Bosnia and Herzegovina",
ISNUMBER(SEARCH("rn""&gt;Trinidad and Tobago",S3776)),"Trinidad and Tobago",
ISNUMBER(SEARCH("rn""&gt;Serbia and Montenegro",S3776)),"Serbia and Montenegro",
ISNUMBER(SEARCH(_xlfn.UNICHAR(65533),S3776)),"Côte d'Ivoire",
TRUE,""
)</f>
        <v/>
      </c>
      <c r="W3776" s="40" t="str">
        <f t="shared" si="249"/>
        <v>England</v>
      </c>
    </row>
    <row r="3777" spans="19:23">
      <c r="S3777" s="40" t="str">
        <v>Northern Ireland</v>
      </c>
      <c r="T3777" s="40" t="str">
        <f t="shared" si="247"/>
        <v>ERREUR</v>
      </c>
      <c r="U3777" s="40" t="str">
        <f t="shared" si="248"/>
        <v>AUCUNE</v>
      </c>
      <c r="V3777" s="40" t="str" cm="1">
        <f t="array" ref="V3777">_xlfn.IFS(
ISNUMBER(SEARCH("USA",S3777)),"United States",
ISNUMBER(SEARCH("Republic of Ireland",S3777)),"Ireland",
ISNUMBER(SEARCH("Republic of Korea",S3777)),"South Korea",
ISNUMBER(SEARCH("Cape Verde",S3777)),"Cabo Verde",
ISNUMBER(SEARCH("Czechia",S3777)),"Czech Republic",
ISNUMBER(SEARCH("Türkiye",S3777)),"Turkey",
ISNUMBER(SEARCH("Ivory Coast",S3777)),"Côte d'Ivoire",
ISNUMBER(SEARCH("Korea Republic",S3777)),"South Korea",
ISNUMBER(SEARCH("Germany FR",S3777)),"FR Germany",
ISNUMBER(SEARCH("West Germany",S3777)),"FR Germany",
ISNUMBER(SEARCH("Germany DR",S3777)),"DR Germany",
ISNUMBER(SEARCH("Korea DPR",S3777)),"North Korea",
ISNUMBER(SEARCH("China PR",S3777)),"China",
ISNUMBER(SEARCH("IR Iran",S3777)),"Iran",
ISNUMBER(SEARCH("Congo DR",S3777)),"Democratic Republic of the Congo",
ISNUMBER(SEARCH("DR Congo",S3777)),"Democratic Republic of the Congo",
ISNUMBER(SEARCH("German DR",S3777)),"DR Germany",
ISNUMBER(SEARCH("rn""&gt;United Arab Emirates",S3777)),"United Arab Emirates",
ISNUMBER(SEARCH("rn""&gt;Republic of Ireland",S3777)),"Ireland",
ISNUMBER(SEARCH("rn""&gt;Bosnia and Herzegovina",S3777)),"Bosnia and Herzegovina",
ISNUMBER(SEARCH("rn""&gt;Trinidad and Tobago",S3777)),"Trinidad and Tobago",
ISNUMBER(SEARCH("rn""&gt;Serbia and Montenegro",S3777)),"Serbia and Montenegro",
ISNUMBER(SEARCH(_xlfn.UNICHAR(65533),S3777)),"Côte d'Ivoire",
TRUE,""
)</f>
        <v/>
      </c>
      <c r="W3777" s="40" t="str">
        <f t="shared" si="249"/>
        <v>Northern Ireland</v>
      </c>
    </row>
    <row r="3778" spans="19:23">
      <c r="S3778" s="40" t="str">
        <v>Soviet Union</v>
      </c>
      <c r="T3778" s="40" t="str">
        <f t="shared" si="247"/>
        <v>ERREUR</v>
      </c>
      <c r="U3778" s="40" t="str">
        <f t="shared" si="248"/>
        <v>AUCUNE</v>
      </c>
      <c r="V3778" s="40" t="str" cm="1">
        <f t="array" ref="V3778">_xlfn.IFS(
ISNUMBER(SEARCH("USA",S3778)),"United States",
ISNUMBER(SEARCH("Republic of Ireland",S3778)),"Ireland",
ISNUMBER(SEARCH("Republic of Korea",S3778)),"South Korea",
ISNUMBER(SEARCH("Cape Verde",S3778)),"Cabo Verde",
ISNUMBER(SEARCH("Czechia",S3778)),"Czech Republic",
ISNUMBER(SEARCH("Türkiye",S3778)),"Turkey",
ISNUMBER(SEARCH("Ivory Coast",S3778)),"Côte d'Ivoire",
ISNUMBER(SEARCH("Korea Republic",S3778)),"South Korea",
ISNUMBER(SEARCH("Germany FR",S3778)),"FR Germany",
ISNUMBER(SEARCH("West Germany",S3778)),"FR Germany",
ISNUMBER(SEARCH("Germany DR",S3778)),"DR Germany",
ISNUMBER(SEARCH("Korea DPR",S3778)),"North Korea",
ISNUMBER(SEARCH("China PR",S3778)),"China",
ISNUMBER(SEARCH("IR Iran",S3778)),"Iran",
ISNUMBER(SEARCH("Congo DR",S3778)),"Democratic Republic of the Congo",
ISNUMBER(SEARCH("DR Congo",S3778)),"Democratic Republic of the Congo",
ISNUMBER(SEARCH("German DR",S3778)),"DR Germany",
ISNUMBER(SEARCH("rn""&gt;United Arab Emirates",S3778)),"United Arab Emirates",
ISNUMBER(SEARCH("rn""&gt;Republic of Ireland",S3778)),"Ireland",
ISNUMBER(SEARCH("rn""&gt;Bosnia and Herzegovina",S3778)),"Bosnia and Herzegovina",
ISNUMBER(SEARCH("rn""&gt;Trinidad and Tobago",S3778)),"Trinidad and Tobago",
ISNUMBER(SEARCH("rn""&gt;Serbia and Montenegro",S3778)),"Serbia and Montenegro",
ISNUMBER(SEARCH(_xlfn.UNICHAR(65533),S3778)),"Côte d'Ivoire",
TRUE,""
)</f>
        <v/>
      </c>
      <c r="W3778" s="40" t="str">
        <f t="shared" si="249"/>
        <v>Soviet Union</v>
      </c>
    </row>
    <row r="3779" spans="19:23">
      <c r="S3779" s="40" t="str">
        <v>Brazil</v>
      </c>
      <c r="T3779" s="40" t="str">
        <f t="shared" ref="T3779:T3842" si="250">IF(COUNTIF(R$13:R$250,S3779)=1,"OK","ERREUR")</f>
        <v>OK</v>
      </c>
      <c r="U3779" s="40" t="str">
        <f t="shared" si="248"/>
        <v>-</v>
      </c>
      <c r="V3779" s="40" t="str" cm="1">
        <f t="array" ref="V3779">_xlfn.IFS(
ISNUMBER(SEARCH("USA",S3779)),"United States",
ISNUMBER(SEARCH("Republic of Ireland",S3779)),"Ireland",
ISNUMBER(SEARCH("Republic of Korea",S3779)),"South Korea",
ISNUMBER(SEARCH("Cape Verde",S3779)),"Cabo Verde",
ISNUMBER(SEARCH("Czechia",S3779)),"Czech Republic",
ISNUMBER(SEARCH("Türkiye",S3779)),"Turkey",
ISNUMBER(SEARCH("Ivory Coast",S3779)),"Côte d'Ivoire",
ISNUMBER(SEARCH("Korea Republic",S3779)),"South Korea",
ISNUMBER(SEARCH("Germany FR",S3779)),"FR Germany",
ISNUMBER(SEARCH("West Germany",S3779)),"FR Germany",
ISNUMBER(SEARCH("Germany DR",S3779)),"DR Germany",
ISNUMBER(SEARCH("Korea DPR",S3779)),"North Korea",
ISNUMBER(SEARCH("China PR",S3779)),"China",
ISNUMBER(SEARCH("IR Iran",S3779)),"Iran",
ISNUMBER(SEARCH("Congo DR",S3779)),"Democratic Republic of the Congo",
ISNUMBER(SEARCH("DR Congo",S3779)),"Democratic Republic of the Congo",
ISNUMBER(SEARCH("German DR",S3779)),"DR Germany",
ISNUMBER(SEARCH("rn""&gt;United Arab Emirates",S3779)),"United Arab Emirates",
ISNUMBER(SEARCH("rn""&gt;Republic of Ireland",S3779)),"Ireland",
ISNUMBER(SEARCH("rn""&gt;Bosnia and Herzegovina",S3779)),"Bosnia and Herzegovina",
ISNUMBER(SEARCH("rn""&gt;Trinidad and Tobago",S3779)),"Trinidad and Tobago",
ISNUMBER(SEARCH("rn""&gt;Serbia and Montenegro",S3779)),"Serbia and Montenegro",
ISNUMBER(SEARCH(_xlfn.UNICHAR(65533),S3779)),"Côte d'Ivoire",
TRUE,""
)</f>
        <v/>
      </c>
      <c r="W3779" s="40" t="str">
        <f t="shared" si="249"/>
        <v>Brazil</v>
      </c>
    </row>
    <row r="3780" spans="19:23">
      <c r="S3780" s="40" t="str">
        <v>Spain</v>
      </c>
      <c r="T3780" s="40" t="str">
        <f t="shared" si="250"/>
        <v>OK</v>
      </c>
      <c r="U3780" s="40" t="str">
        <f t="shared" ref="U3780:U3843" si="251">IF(OR(S3780="Scotland",S3780="England",S3780="Wales",S3780="Yugoslavia",S3780="Czechoslovakia",S3780="Northern Ireland",S3780="Soviet Union",S3780="Zaire",S3780="Dutch East Indies"),"AUCUNE",IF(OR(S3780="Cape Verde",S3780="USA",S3780="DR Congo",S3780="Republic of Korea",S3780="Germany FR",S3780="Germany DR",S3780="Czechia",S3780="Ivory Coast",S3780="Korea DPR",S3780="China PR",S3780="IR Iran",S3780="Türkiye",S3780="Congo DR",S3780="German DR",S3780="West Germany",S3780="Republic of Ireland",ISNUMBER(SEARCH(_xlfn.UNICHAR(65533),S3780)),S3780="Korea Republic",ISNUMBER(SEARCH("rn""&gt;United Arab Emirates",S3780)),ISNUMBER(SEARCH("rn""&gt;Republic of Ireland",S3780)),ISNUMBER(SEARCH("rn""&gt;Bosnia and Herzegovina",S3780)),ISNUMBER(SEARCH("rn""&gt;Trinidad and Tobago",S3780)),ISNUMBER(SEARCH("rn""&gt;Serbia and Montenegro",S3780)),ISNUMBER(SEARCH(_xlfn.UNICHAR(65533),S3780))),"RENOMMER","-"))</f>
        <v>-</v>
      </c>
      <c r="V3780" s="40" t="str" cm="1">
        <f t="array" ref="V3780">_xlfn.IFS(
ISNUMBER(SEARCH("USA",S3780)),"United States",
ISNUMBER(SEARCH("Republic of Ireland",S3780)),"Ireland",
ISNUMBER(SEARCH("Republic of Korea",S3780)),"South Korea",
ISNUMBER(SEARCH("Cape Verde",S3780)),"Cabo Verde",
ISNUMBER(SEARCH("Czechia",S3780)),"Czech Republic",
ISNUMBER(SEARCH("Türkiye",S3780)),"Turkey",
ISNUMBER(SEARCH("Ivory Coast",S3780)),"Côte d'Ivoire",
ISNUMBER(SEARCH("Korea Republic",S3780)),"South Korea",
ISNUMBER(SEARCH("Germany FR",S3780)),"FR Germany",
ISNUMBER(SEARCH("West Germany",S3780)),"FR Germany",
ISNUMBER(SEARCH("Germany DR",S3780)),"DR Germany",
ISNUMBER(SEARCH("Korea DPR",S3780)),"North Korea",
ISNUMBER(SEARCH("China PR",S3780)),"China",
ISNUMBER(SEARCH("IR Iran",S3780)),"Iran",
ISNUMBER(SEARCH("Congo DR",S3780)),"Democratic Republic of the Congo",
ISNUMBER(SEARCH("DR Congo",S3780)),"Democratic Republic of the Congo",
ISNUMBER(SEARCH("German DR",S3780)),"DR Germany",
ISNUMBER(SEARCH("rn""&gt;United Arab Emirates",S3780)),"United Arab Emirates",
ISNUMBER(SEARCH("rn""&gt;Republic of Ireland",S3780)),"Ireland",
ISNUMBER(SEARCH("rn""&gt;Bosnia and Herzegovina",S3780)),"Bosnia and Herzegovina",
ISNUMBER(SEARCH("rn""&gt;Trinidad and Tobago",S3780)),"Trinidad and Tobago",
ISNUMBER(SEARCH("rn""&gt;Serbia and Montenegro",S3780)),"Serbia and Montenegro",
ISNUMBER(SEARCH(_xlfn.UNICHAR(65533),S3780)),"Côte d'Ivoire",
TRUE,""
)</f>
        <v/>
      </c>
      <c r="W3780" s="40" t="str">
        <f t="shared" ref="W3780:W3843" si="252">IF(V3780="",S3780,V3780)</f>
        <v>Spain</v>
      </c>
    </row>
    <row r="3781" spans="19:23">
      <c r="S3781" s="40" t="str">
        <v>Northern Ireland</v>
      </c>
      <c r="T3781" s="40" t="str">
        <f t="shared" si="250"/>
        <v>ERREUR</v>
      </c>
      <c r="U3781" s="40" t="str">
        <f t="shared" si="251"/>
        <v>AUCUNE</v>
      </c>
      <c r="V3781" s="40" t="str" cm="1">
        <f t="array" ref="V3781">_xlfn.IFS(
ISNUMBER(SEARCH("USA",S3781)),"United States",
ISNUMBER(SEARCH("Republic of Ireland",S3781)),"Ireland",
ISNUMBER(SEARCH("Republic of Korea",S3781)),"South Korea",
ISNUMBER(SEARCH("Cape Verde",S3781)),"Cabo Verde",
ISNUMBER(SEARCH("Czechia",S3781)),"Czech Republic",
ISNUMBER(SEARCH("Türkiye",S3781)),"Turkey",
ISNUMBER(SEARCH("Ivory Coast",S3781)),"Côte d'Ivoire",
ISNUMBER(SEARCH("Korea Republic",S3781)),"South Korea",
ISNUMBER(SEARCH("Germany FR",S3781)),"FR Germany",
ISNUMBER(SEARCH("West Germany",S3781)),"FR Germany",
ISNUMBER(SEARCH("Germany DR",S3781)),"DR Germany",
ISNUMBER(SEARCH("Korea DPR",S3781)),"North Korea",
ISNUMBER(SEARCH("China PR",S3781)),"China",
ISNUMBER(SEARCH("IR Iran",S3781)),"Iran",
ISNUMBER(SEARCH("Congo DR",S3781)),"Democratic Republic of the Congo",
ISNUMBER(SEARCH("DR Congo",S3781)),"Democratic Republic of the Congo",
ISNUMBER(SEARCH("German DR",S3781)),"DR Germany",
ISNUMBER(SEARCH("rn""&gt;United Arab Emirates",S3781)),"United Arab Emirates",
ISNUMBER(SEARCH("rn""&gt;Republic of Ireland",S3781)),"Ireland",
ISNUMBER(SEARCH("rn""&gt;Bosnia and Herzegovina",S3781)),"Bosnia and Herzegovina",
ISNUMBER(SEARCH("rn""&gt;Trinidad and Tobago",S3781)),"Trinidad and Tobago",
ISNUMBER(SEARCH("rn""&gt;Serbia and Montenegro",S3781)),"Serbia and Montenegro",
ISNUMBER(SEARCH(_xlfn.UNICHAR(65533),S3781)),"Côte d'Ivoire",
TRUE,""
)</f>
        <v/>
      </c>
      <c r="W3781" s="40" t="str">
        <f t="shared" si="252"/>
        <v>Northern Ireland</v>
      </c>
    </row>
    <row r="3782" spans="19:23">
      <c r="S3782" s="40" t="str">
        <v>Soviet Union</v>
      </c>
      <c r="T3782" s="40" t="str">
        <f t="shared" si="250"/>
        <v>ERREUR</v>
      </c>
      <c r="U3782" s="40" t="str">
        <f t="shared" si="251"/>
        <v>AUCUNE</v>
      </c>
      <c r="V3782" s="40" t="str" cm="1">
        <f t="array" ref="V3782">_xlfn.IFS(
ISNUMBER(SEARCH("USA",S3782)),"United States",
ISNUMBER(SEARCH("Republic of Ireland",S3782)),"Ireland",
ISNUMBER(SEARCH("Republic of Korea",S3782)),"South Korea",
ISNUMBER(SEARCH("Cape Verde",S3782)),"Cabo Verde",
ISNUMBER(SEARCH("Czechia",S3782)),"Czech Republic",
ISNUMBER(SEARCH("Türkiye",S3782)),"Turkey",
ISNUMBER(SEARCH("Ivory Coast",S3782)),"Côte d'Ivoire",
ISNUMBER(SEARCH("Korea Republic",S3782)),"South Korea",
ISNUMBER(SEARCH("Germany FR",S3782)),"FR Germany",
ISNUMBER(SEARCH("West Germany",S3782)),"FR Germany",
ISNUMBER(SEARCH("Germany DR",S3782)),"DR Germany",
ISNUMBER(SEARCH("Korea DPR",S3782)),"North Korea",
ISNUMBER(SEARCH("China PR",S3782)),"China",
ISNUMBER(SEARCH("IR Iran",S3782)),"Iran",
ISNUMBER(SEARCH("Congo DR",S3782)),"Democratic Republic of the Congo",
ISNUMBER(SEARCH("DR Congo",S3782)),"Democratic Republic of the Congo",
ISNUMBER(SEARCH("German DR",S3782)),"DR Germany",
ISNUMBER(SEARCH("rn""&gt;United Arab Emirates",S3782)),"United Arab Emirates",
ISNUMBER(SEARCH("rn""&gt;Republic of Ireland",S3782)),"Ireland",
ISNUMBER(SEARCH("rn""&gt;Bosnia and Herzegovina",S3782)),"Bosnia and Herzegovina",
ISNUMBER(SEARCH("rn""&gt;Trinidad and Tobago",S3782)),"Trinidad and Tobago",
ISNUMBER(SEARCH("rn""&gt;Serbia and Montenegro",S3782)),"Serbia and Montenegro",
ISNUMBER(SEARCH(_xlfn.UNICHAR(65533),S3782)),"Côte d'Ivoire",
TRUE,""
)</f>
        <v/>
      </c>
      <c r="W3782" s="40" t="str">
        <f t="shared" si="252"/>
        <v>Soviet Union</v>
      </c>
    </row>
    <row r="3783" spans="19:23">
      <c r="S3783" s="40" t="str">
        <v>Brazil</v>
      </c>
      <c r="T3783" s="40" t="str">
        <f t="shared" si="250"/>
        <v>OK</v>
      </c>
      <c r="U3783" s="40" t="str">
        <f t="shared" si="251"/>
        <v>-</v>
      </c>
      <c r="V3783" s="40" t="str" cm="1">
        <f t="array" ref="V3783">_xlfn.IFS(
ISNUMBER(SEARCH("USA",S3783)),"United States",
ISNUMBER(SEARCH("Republic of Ireland",S3783)),"Ireland",
ISNUMBER(SEARCH("Republic of Korea",S3783)),"South Korea",
ISNUMBER(SEARCH("Cape Verde",S3783)),"Cabo Verde",
ISNUMBER(SEARCH("Czechia",S3783)),"Czech Republic",
ISNUMBER(SEARCH("Türkiye",S3783)),"Turkey",
ISNUMBER(SEARCH("Ivory Coast",S3783)),"Côte d'Ivoire",
ISNUMBER(SEARCH("Korea Republic",S3783)),"South Korea",
ISNUMBER(SEARCH("Germany FR",S3783)),"FR Germany",
ISNUMBER(SEARCH("West Germany",S3783)),"FR Germany",
ISNUMBER(SEARCH("Germany DR",S3783)),"DR Germany",
ISNUMBER(SEARCH("Korea DPR",S3783)),"North Korea",
ISNUMBER(SEARCH("China PR",S3783)),"China",
ISNUMBER(SEARCH("IR Iran",S3783)),"Iran",
ISNUMBER(SEARCH("Congo DR",S3783)),"Democratic Republic of the Congo",
ISNUMBER(SEARCH("DR Congo",S3783)),"Democratic Republic of the Congo",
ISNUMBER(SEARCH("German DR",S3783)),"DR Germany",
ISNUMBER(SEARCH("rn""&gt;United Arab Emirates",S3783)),"United Arab Emirates",
ISNUMBER(SEARCH("rn""&gt;Republic of Ireland",S3783)),"Ireland",
ISNUMBER(SEARCH("rn""&gt;Bosnia and Herzegovina",S3783)),"Bosnia and Herzegovina",
ISNUMBER(SEARCH("rn""&gt;Trinidad and Tobago",S3783)),"Trinidad and Tobago",
ISNUMBER(SEARCH("rn""&gt;Serbia and Montenegro",S3783)),"Serbia and Montenegro",
ISNUMBER(SEARCH(_xlfn.UNICHAR(65533),S3783)),"Côte d'Ivoire",
TRUE,""
)</f>
        <v/>
      </c>
      <c r="W3783" s="40" t="str">
        <f t="shared" si="252"/>
        <v>Brazil</v>
      </c>
    </row>
    <row r="3784" spans="19:23">
      <c r="S3784" s="40" t="str">
        <v>England</v>
      </c>
      <c r="T3784" s="40" t="str">
        <f t="shared" si="250"/>
        <v>ERREUR</v>
      </c>
      <c r="U3784" s="40" t="str">
        <f t="shared" si="251"/>
        <v>AUCUNE</v>
      </c>
      <c r="V3784" s="40" t="str" cm="1">
        <f t="array" ref="V3784">_xlfn.IFS(
ISNUMBER(SEARCH("USA",S3784)),"United States",
ISNUMBER(SEARCH("Republic of Ireland",S3784)),"Ireland",
ISNUMBER(SEARCH("Republic of Korea",S3784)),"South Korea",
ISNUMBER(SEARCH("Cape Verde",S3784)),"Cabo Verde",
ISNUMBER(SEARCH("Czechia",S3784)),"Czech Republic",
ISNUMBER(SEARCH("Türkiye",S3784)),"Turkey",
ISNUMBER(SEARCH("Ivory Coast",S3784)),"Côte d'Ivoire",
ISNUMBER(SEARCH("Korea Republic",S3784)),"South Korea",
ISNUMBER(SEARCH("Germany FR",S3784)),"FR Germany",
ISNUMBER(SEARCH("West Germany",S3784)),"FR Germany",
ISNUMBER(SEARCH("Germany DR",S3784)),"DR Germany",
ISNUMBER(SEARCH("Korea DPR",S3784)),"North Korea",
ISNUMBER(SEARCH("China PR",S3784)),"China",
ISNUMBER(SEARCH("IR Iran",S3784)),"Iran",
ISNUMBER(SEARCH("Congo DR",S3784)),"Democratic Republic of the Congo",
ISNUMBER(SEARCH("DR Congo",S3784)),"Democratic Republic of the Congo",
ISNUMBER(SEARCH("German DR",S3784)),"DR Germany",
ISNUMBER(SEARCH("rn""&gt;United Arab Emirates",S3784)),"United Arab Emirates",
ISNUMBER(SEARCH("rn""&gt;Republic of Ireland",S3784)),"Ireland",
ISNUMBER(SEARCH("rn""&gt;Bosnia and Herzegovina",S3784)),"Bosnia and Herzegovina",
ISNUMBER(SEARCH("rn""&gt;Trinidad and Tobago",S3784)),"Trinidad and Tobago",
ISNUMBER(SEARCH("rn""&gt;Serbia and Montenegro",S3784)),"Serbia and Montenegro",
ISNUMBER(SEARCH(_xlfn.UNICHAR(65533),S3784)),"Côte d'Ivoire",
TRUE,""
)</f>
        <v/>
      </c>
      <c r="W3784" s="40" t="str">
        <f t="shared" si="252"/>
        <v>England</v>
      </c>
    </row>
    <row r="3785" spans="19:23">
      <c r="S3785" s="40" t="str">
        <v>Italy</v>
      </c>
      <c r="T3785" s="40" t="str">
        <f t="shared" si="250"/>
        <v>OK</v>
      </c>
      <c r="U3785" s="40" t="str">
        <f t="shared" si="251"/>
        <v>-</v>
      </c>
      <c r="V3785" s="40" t="str" cm="1">
        <f t="array" ref="V3785">_xlfn.IFS(
ISNUMBER(SEARCH("USA",S3785)),"United States",
ISNUMBER(SEARCH("Republic of Ireland",S3785)),"Ireland",
ISNUMBER(SEARCH("Republic of Korea",S3785)),"South Korea",
ISNUMBER(SEARCH("Cape Verde",S3785)),"Cabo Verde",
ISNUMBER(SEARCH("Czechia",S3785)),"Czech Republic",
ISNUMBER(SEARCH("Türkiye",S3785)),"Turkey",
ISNUMBER(SEARCH("Ivory Coast",S3785)),"Côte d'Ivoire",
ISNUMBER(SEARCH("Korea Republic",S3785)),"South Korea",
ISNUMBER(SEARCH("Germany FR",S3785)),"FR Germany",
ISNUMBER(SEARCH("West Germany",S3785)),"FR Germany",
ISNUMBER(SEARCH("Germany DR",S3785)),"DR Germany",
ISNUMBER(SEARCH("Korea DPR",S3785)),"North Korea",
ISNUMBER(SEARCH("China PR",S3785)),"China",
ISNUMBER(SEARCH("IR Iran",S3785)),"Iran",
ISNUMBER(SEARCH("Congo DR",S3785)),"Democratic Republic of the Congo",
ISNUMBER(SEARCH("DR Congo",S3785)),"Democratic Republic of the Congo",
ISNUMBER(SEARCH("German DR",S3785)),"DR Germany",
ISNUMBER(SEARCH("rn""&gt;United Arab Emirates",S3785)),"United Arab Emirates",
ISNUMBER(SEARCH("rn""&gt;Republic of Ireland",S3785)),"Ireland",
ISNUMBER(SEARCH("rn""&gt;Bosnia and Herzegovina",S3785)),"Bosnia and Herzegovina",
ISNUMBER(SEARCH("rn""&gt;Trinidad and Tobago",S3785)),"Trinidad and Tobago",
ISNUMBER(SEARCH("rn""&gt;Serbia and Montenegro",S3785)),"Serbia and Montenegro",
ISNUMBER(SEARCH(_xlfn.UNICHAR(65533),S3785)),"Côte d'Ivoire",
TRUE,""
)</f>
        <v/>
      </c>
      <c r="W3785" s="40" t="str">
        <f t="shared" si="252"/>
        <v>Italy</v>
      </c>
    </row>
    <row r="3786" spans="19:23">
      <c r="S3786" s="40" t="str">
        <v>France</v>
      </c>
      <c r="T3786" s="40" t="str">
        <f t="shared" si="250"/>
        <v>OK</v>
      </c>
      <c r="U3786" s="40" t="str">
        <f t="shared" si="251"/>
        <v>-</v>
      </c>
      <c r="V3786" s="40" t="str" cm="1">
        <f t="array" ref="V3786">_xlfn.IFS(
ISNUMBER(SEARCH("USA",S3786)),"United States",
ISNUMBER(SEARCH("Republic of Ireland",S3786)),"Ireland",
ISNUMBER(SEARCH("Republic of Korea",S3786)),"South Korea",
ISNUMBER(SEARCH("Cape Verde",S3786)),"Cabo Verde",
ISNUMBER(SEARCH("Czechia",S3786)),"Czech Republic",
ISNUMBER(SEARCH("Türkiye",S3786)),"Turkey",
ISNUMBER(SEARCH("Ivory Coast",S3786)),"Côte d'Ivoire",
ISNUMBER(SEARCH("Korea Republic",S3786)),"South Korea",
ISNUMBER(SEARCH("Germany FR",S3786)),"FR Germany",
ISNUMBER(SEARCH("West Germany",S3786)),"FR Germany",
ISNUMBER(SEARCH("Germany DR",S3786)),"DR Germany",
ISNUMBER(SEARCH("Korea DPR",S3786)),"North Korea",
ISNUMBER(SEARCH("China PR",S3786)),"China",
ISNUMBER(SEARCH("IR Iran",S3786)),"Iran",
ISNUMBER(SEARCH("Congo DR",S3786)),"Democratic Republic of the Congo",
ISNUMBER(SEARCH("DR Congo",S3786)),"Democratic Republic of the Congo",
ISNUMBER(SEARCH("German DR",S3786)),"DR Germany",
ISNUMBER(SEARCH("rn""&gt;United Arab Emirates",S3786)),"United Arab Emirates",
ISNUMBER(SEARCH("rn""&gt;Republic of Ireland",S3786)),"Ireland",
ISNUMBER(SEARCH("rn""&gt;Bosnia and Herzegovina",S3786)),"Bosnia and Herzegovina",
ISNUMBER(SEARCH("rn""&gt;Trinidad and Tobago",S3786)),"Trinidad and Tobago",
ISNUMBER(SEARCH("rn""&gt;Serbia and Montenegro",S3786)),"Serbia and Montenegro",
ISNUMBER(SEARCH(_xlfn.UNICHAR(65533),S3786)),"Côte d'Ivoire",
TRUE,""
)</f>
        <v/>
      </c>
      <c r="W3786" s="40" t="str">
        <f t="shared" si="252"/>
        <v>France</v>
      </c>
    </row>
    <row r="3787" spans="19:23">
      <c r="S3787" s="40" t="str">
        <v>France</v>
      </c>
      <c r="T3787" s="40" t="str">
        <f t="shared" si="250"/>
        <v>OK</v>
      </c>
      <c r="U3787" s="40" t="str">
        <f t="shared" si="251"/>
        <v>-</v>
      </c>
      <c r="V3787" s="40" t="str" cm="1">
        <f t="array" ref="V3787">_xlfn.IFS(
ISNUMBER(SEARCH("USA",S3787)),"United States",
ISNUMBER(SEARCH("Republic of Ireland",S3787)),"Ireland",
ISNUMBER(SEARCH("Republic of Korea",S3787)),"South Korea",
ISNUMBER(SEARCH("Cape Verde",S3787)),"Cabo Verde",
ISNUMBER(SEARCH("Czechia",S3787)),"Czech Republic",
ISNUMBER(SEARCH("Türkiye",S3787)),"Turkey",
ISNUMBER(SEARCH("Ivory Coast",S3787)),"Côte d'Ivoire",
ISNUMBER(SEARCH("Korea Republic",S3787)),"South Korea",
ISNUMBER(SEARCH("Germany FR",S3787)),"FR Germany",
ISNUMBER(SEARCH("West Germany",S3787)),"FR Germany",
ISNUMBER(SEARCH("Germany DR",S3787)),"DR Germany",
ISNUMBER(SEARCH("Korea DPR",S3787)),"North Korea",
ISNUMBER(SEARCH("China PR",S3787)),"China",
ISNUMBER(SEARCH("IR Iran",S3787)),"Iran",
ISNUMBER(SEARCH("Congo DR",S3787)),"Democratic Republic of the Congo",
ISNUMBER(SEARCH("DR Congo",S3787)),"Democratic Republic of the Congo",
ISNUMBER(SEARCH("German DR",S3787)),"DR Germany",
ISNUMBER(SEARCH("rn""&gt;United Arab Emirates",S3787)),"United Arab Emirates",
ISNUMBER(SEARCH("rn""&gt;Republic of Ireland",S3787)),"Ireland",
ISNUMBER(SEARCH("rn""&gt;Bosnia and Herzegovina",S3787)),"Bosnia and Herzegovina",
ISNUMBER(SEARCH("rn""&gt;Trinidad and Tobago",S3787)),"Trinidad and Tobago",
ISNUMBER(SEARCH("rn""&gt;Serbia and Montenegro",S3787)),"Serbia and Montenegro",
ISNUMBER(SEARCH(_xlfn.UNICHAR(65533),S3787)),"Côte d'Ivoire",
TRUE,""
)</f>
        <v/>
      </c>
      <c r="W3787" s="40" t="str">
        <f t="shared" si="252"/>
        <v>France</v>
      </c>
    </row>
    <row r="3788" spans="19:23">
      <c r="S3788" s="40" t="str">
        <v>Germany FR</v>
      </c>
      <c r="T3788" s="40" t="str">
        <f t="shared" si="250"/>
        <v>ERREUR</v>
      </c>
      <c r="U3788" s="40" t="str">
        <f t="shared" si="251"/>
        <v>RENOMMER</v>
      </c>
      <c r="V3788" s="40" t="str" cm="1">
        <f t="array" ref="V3788">_xlfn.IFS(
ISNUMBER(SEARCH("USA",S3788)),"United States",
ISNUMBER(SEARCH("Republic of Ireland",S3788)),"Ireland",
ISNUMBER(SEARCH("Republic of Korea",S3788)),"South Korea",
ISNUMBER(SEARCH("Cape Verde",S3788)),"Cabo Verde",
ISNUMBER(SEARCH("Czechia",S3788)),"Czech Republic",
ISNUMBER(SEARCH("Türkiye",S3788)),"Turkey",
ISNUMBER(SEARCH("Ivory Coast",S3788)),"Côte d'Ivoire",
ISNUMBER(SEARCH("Korea Republic",S3788)),"South Korea",
ISNUMBER(SEARCH("Germany FR",S3788)),"FR Germany",
ISNUMBER(SEARCH("West Germany",S3788)),"FR Germany",
ISNUMBER(SEARCH("Germany DR",S3788)),"DR Germany",
ISNUMBER(SEARCH("Korea DPR",S3788)),"North Korea",
ISNUMBER(SEARCH("China PR",S3788)),"China",
ISNUMBER(SEARCH("IR Iran",S3788)),"Iran",
ISNUMBER(SEARCH("Congo DR",S3788)),"Democratic Republic of the Congo",
ISNUMBER(SEARCH("DR Congo",S3788)),"Democratic Republic of the Congo",
ISNUMBER(SEARCH("German DR",S3788)),"DR Germany",
ISNUMBER(SEARCH("rn""&gt;United Arab Emirates",S3788)),"United Arab Emirates",
ISNUMBER(SEARCH("rn""&gt;Republic of Ireland",S3788)),"Ireland",
ISNUMBER(SEARCH("rn""&gt;Bosnia and Herzegovina",S3788)),"Bosnia and Herzegovina",
ISNUMBER(SEARCH("rn""&gt;Trinidad and Tobago",S3788)),"Trinidad and Tobago",
ISNUMBER(SEARCH("rn""&gt;Serbia and Montenegro",S3788)),"Serbia and Montenegro",
ISNUMBER(SEARCH(_xlfn.UNICHAR(65533),S3788)),"Côte d'Ivoire",
TRUE,""
)</f>
        <v>FR Germany</v>
      </c>
      <c r="W3788" s="40" t="str">
        <f t="shared" si="252"/>
        <v>FR Germany</v>
      </c>
    </row>
    <row r="3789" spans="19:23">
      <c r="S3789" s="40" t="str">
        <v>Italy</v>
      </c>
      <c r="T3789" s="40" t="str">
        <f t="shared" si="250"/>
        <v>OK</v>
      </c>
      <c r="U3789" s="40" t="str">
        <f t="shared" si="251"/>
        <v>-</v>
      </c>
      <c r="V3789" s="40" t="str" cm="1">
        <f t="array" ref="V3789">_xlfn.IFS(
ISNUMBER(SEARCH("USA",S3789)),"United States",
ISNUMBER(SEARCH("Republic of Ireland",S3789)),"Ireland",
ISNUMBER(SEARCH("Republic of Korea",S3789)),"South Korea",
ISNUMBER(SEARCH("Cape Verde",S3789)),"Cabo Verde",
ISNUMBER(SEARCH("Czechia",S3789)),"Czech Republic",
ISNUMBER(SEARCH("Türkiye",S3789)),"Turkey",
ISNUMBER(SEARCH("Ivory Coast",S3789)),"Côte d'Ivoire",
ISNUMBER(SEARCH("Korea Republic",S3789)),"South Korea",
ISNUMBER(SEARCH("Germany FR",S3789)),"FR Germany",
ISNUMBER(SEARCH("West Germany",S3789)),"FR Germany",
ISNUMBER(SEARCH("Germany DR",S3789)),"DR Germany",
ISNUMBER(SEARCH("Korea DPR",S3789)),"North Korea",
ISNUMBER(SEARCH("China PR",S3789)),"China",
ISNUMBER(SEARCH("IR Iran",S3789)),"Iran",
ISNUMBER(SEARCH("Congo DR",S3789)),"Democratic Republic of the Congo",
ISNUMBER(SEARCH("DR Congo",S3789)),"Democratic Republic of the Congo",
ISNUMBER(SEARCH("German DR",S3789)),"DR Germany",
ISNUMBER(SEARCH("rn""&gt;United Arab Emirates",S3789)),"United Arab Emirates",
ISNUMBER(SEARCH("rn""&gt;Republic of Ireland",S3789)),"Ireland",
ISNUMBER(SEARCH("rn""&gt;Bosnia and Herzegovina",S3789)),"Bosnia and Herzegovina",
ISNUMBER(SEARCH("rn""&gt;Trinidad and Tobago",S3789)),"Trinidad and Tobago",
ISNUMBER(SEARCH("rn""&gt;Serbia and Montenegro",S3789)),"Serbia and Montenegro",
ISNUMBER(SEARCH(_xlfn.UNICHAR(65533),S3789)),"Côte d'Ivoire",
TRUE,""
)</f>
        <v/>
      </c>
      <c r="W3789" s="40" t="str">
        <f t="shared" si="252"/>
        <v>Italy</v>
      </c>
    </row>
    <row r="3790" spans="19:23">
      <c r="S3790" s="40" t="str">
        <v>France</v>
      </c>
      <c r="T3790" s="40" t="str">
        <f t="shared" si="250"/>
        <v>OK</v>
      </c>
      <c r="U3790" s="40" t="str">
        <f t="shared" si="251"/>
        <v>-</v>
      </c>
      <c r="V3790" s="40" t="str" cm="1">
        <f t="array" ref="V3790">_xlfn.IFS(
ISNUMBER(SEARCH("USA",S3790)),"United States",
ISNUMBER(SEARCH("Republic of Ireland",S3790)),"Ireland",
ISNUMBER(SEARCH("Republic of Korea",S3790)),"South Korea",
ISNUMBER(SEARCH("Cape Verde",S3790)),"Cabo Verde",
ISNUMBER(SEARCH("Czechia",S3790)),"Czech Republic",
ISNUMBER(SEARCH("Türkiye",S3790)),"Turkey",
ISNUMBER(SEARCH("Ivory Coast",S3790)),"Côte d'Ivoire",
ISNUMBER(SEARCH("Korea Republic",S3790)),"South Korea",
ISNUMBER(SEARCH("Germany FR",S3790)),"FR Germany",
ISNUMBER(SEARCH("West Germany",S3790)),"FR Germany",
ISNUMBER(SEARCH("Germany DR",S3790)),"DR Germany",
ISNUMBER(SEARCH("Korea DPR",S3790)),"North Korea",
ISNUMBER(SEARCH("China PR",S3790)),"China",
ISNUMBER(SEARCH("IR Iran",S3790)),"Iran",
ISNUMBER(SEARCH("Congo DR",S3790)),"Democratic Republic of the Congo",
ISNUMBER(SEARCH("DR Congo",S3790)),"Democratic Republic of the Congo",
ISNUMBER(SEARCH("German DR",S3790)),"DR Germany",
ISNUMBER(SEARCH("rn""&gt;United Arab Emirates",S3790)),"United Arab Emirates",
ISNUMBER(SEARCH("rn""&gt;Republic of Ireland",S3790)),"Ireland",
ISNUMBER(SEARCH("rn""&gt;Bosnia and Herzegovina",S3790)),"Bosnia and Herzegovina",
ISNUMBER(SEARCH("rn""&gt;Trinidad and Tobago",S3790)),"Trinidad and Tobago",
ISNUMBER(SEARCH("rn""&gt;Serbia and Montenegro",S3790)),"Serbia and Montenegro",
ISNUMBER(SEARCH(_xlfn.UNICHAR(65533),S3790)),"Côte d'Ivoire",
TRUE,""
)</f>
        <v/>
      </c>
      <c r="W3790" s="40" t="str">
        <f t="shared" si="252"/>
        <v>France</v>
      </c>
    </row>
    <row r="3791" spans="19:23">
      <c r="S3791" s="40" t="str">
        <v>Brazil</v>
      </c>
      <c r="T3791" s="40" t="str">
        <f t="shared" si="250"/>
        <v>OK</v>
      </c>
      <c r="U3791" s="40" t="str">
        <f t="shared" si="251"/>
        <v>-</v>
      </c>
      <c r="V3791" s="40" t="str" cm="1">
        <f t="array" ref="V3791">_xlfn.IFS(
ISNUMBER(SEARCH("USA",S3791)),"United States",
ISNUMBER(SEARCH("Republic of Ireland",S3791)),"Ireland",
ISNUMBER(SEARCH("Republic of Korea",S3791)),"South Korea",
ISNUMBER(SEARCH("Cape Verde",S3791)),"Cabo Verde",
ISNUMBER(SEARCH("Czechia",S3791)),"Czech Republic",
ISNUMBER(SEARCH("Türkiye",S3791)),"Turkey",
ISNUMBER(SEARCH("Ivory Coast",S3791)),"Côte d'Ivoire",
ISNUMBER(SEARCH("Korea Republic",S3791)),"South Korea",
ISNUMBER(SEARCH("Germany FR",S3791)),"FR Germany",
ISNUMBER(SEARCH("West Germany",S3791)),"FR Germany",
ISNUMBER(SEARCH("Germany DR",S3791)),"DR Germany",
ISNUMBER(SEARCH("Korea DPR",S3791)),"North Korea",
ISNUMBER(SEARCH("China PR",S3791)),"China",
ISNUMBER(SEARCH("IR Iran",S3791)),"Iran",
ISNUMBER(SEARCH("Congo DR",S3791)),"Democratic Republic of the Congo",
ISNUMBER(SEARCH("DR Congo",S3791)),"Democratic Republic of the Congo",
ISNUMBER(SEARCH("German DR",S3791)),"DR Germany",
ISNUMBER(SEARCH("rn""&gt;United Arab Emirates",S3791)),"United Arab Emirates",
ISNUMBER(SEARCH("rn""&gt;Republic of Ireland",S3791)),"Ireland",
ISNUMBER(SEARCH("rn""&gt;Bosnia and Herzegovina",S3791)),"Bosnia and Herzegovina",
ISNUMBER(SEARCH("rn""&gt;Trinidad and Tobago",S3791)),"Trinidad and Tobago",
ISNUMBER(SEARCH("rn""&gt;Serbia and Montenegro",S3791)),"Serbia and Montenegro",
ISNUMBER(SEARCH(_xlfn.UNICHAR(65533),S3791)),"Côte d'Ivoire",
TRUE,""
)</f>
        <v/>
      </c>
      <c r="W3791" s="40" t="str">
        <f t="shared" si="252"/>
        <v>Brazil</v>
      </c>
    </row>
    <row r="3792" spans="19:23">
      <c r="S3792" s="40" t="str">
        <v>Hungary</v>
      </c>
      <c r="T3792" s="40" t="str">
        <f t="shared" si="250"/>
        <v>OK</v>
      </c>
      <c r="U3792" s="40" t="str">
        <f t="shared" si="251"/>
        <v>-</v>
      </c>
      <c r="V3792" s="40" t="str" cm="1">
        <f t="array" ref="V3792">_xlfn.IFS(
ISNUMBER(SEARCH("USA",S3792)),"United States",
ISNUMBER(SEARCH("Republic of Ireland",S3792)),"Ireland",
ISNUMBER(SEARCH("Republic of Korea",S3792)),"South Korea",
ISNUMBER(SEARCH("Cape Verde",S3792)),"Cabo Verde",
ISNUMBER(SEARCH("Czechia",S3792)),"Czech Republic",
ISNUMBER(SEARCH("Türkiye",S3792)),"Turkey",
ISNUMBER(SEARCH("Ivory Coast",S3792)),"Côte d'Ivoire",
ISNUMBER(SEARCH("Korea Republic",S3792)),"South Korea",
ISNUMBER(SEARCH("Germany FR",S3792)),"FR Germany",
ISNUMBER(SEARCH("West Germany",S3792)),"FR Germany",
ISNUMBER(SEARCH("Germany DR",S3792)),"DR Germany",
ISNUMBER(SEARCH("Korea DPR",S3792)),"North Korea",
ISNUMBER(SEARCH("China PR",S3792)),"China",
ISNUMBER(SEARCH("IR Iran",S3792)),"Iran",
ISNUMBER(SEARCH("Congo DR",S3792)),"Democratic Republic of the Congo",
ISNUMBER(SEARCH("DR Congo",S3792)),"Democratic Republic of the Congo",
ISNUMBER(SEARCH("German DR",S3792)),"DR Germany",
ISNUMBER(SEARCH("rn""&gt;United Arab Emirates",S3792)),"United Arab Emirates",
ISNUMBER(SEARCH("rn""&gt;Republic of Ireland",S3792)),"Ireland",
ISNUMBER(SEARCH("rn""&gt;Bosnia and Herzegovina",S3792)),"Bosnia and Herzegovina",
ISNUMBER(SEARCH("rn""&gt;Trinidad and Tobago",S3792)),"Trinidad and Tobago",
ISNUMBER(SEARCH("rn""&gt;Serbia and Montenegro",S3792)),"Serbia and Montenegro",
ISNUMBER(SEARCH(_xlfn.UNICHAR(65533),S3792)),"Côte d'Ivoire",
TRUE,""
)</f>
        <v/>
      </c>
      <c r="W3792" s="40" t="str">
        <f t="shared" si="252"/>
        <v>Hungary</v>
      </c>
    </row>
    <row r="3793" spans="19:23">
      <c r="S3793" s="40" t="str">
        <v>Korea Republic</v>
      </c>
      <c r="T3793" s="40" t="str">
        <f t="shared" si="250"/>
        <v>ERREUR</v>
      </c>
      <c r="U3793" s="40" t="str">
        <f t="shared" si="251"/>
        <v>RENOMMER</v>
      </c>
      <c r="V3793" s="40" t="str" cm="1">
        <f t="array" ref="V3793">_xlfn.IFS(
ISNUMBER(SEARCH("USA",S3793)),"United States",
ISNUMBER(SEARCH("Republic of Ireland",S3793)),"Ireland",
ISNUMBER(SEARCH("Republic of Korea",S3793)),"South Korea",
ISNUMBER(SEARCH("Cape Verde",S3793)),"Cabo Verde",
ISNUMBER(SEARCH("Czechia",S3793)),"Czech Republic",
ISNUMBER(SEARCH("Türkiye",S3793)),"Turkey",
ISNUMBER(SEARCH("Ivory Coast",S3793)),"Côte d'Ivoire",
ISNUMBER(SEARCH("Korea Republic",S3793)),"South Korea",
ISNUMBER(SEARCH("Germany FR",S3793)),"FR Germany",
ISNUMBER(SEARCH("West Germany",S3793)),"FR Germany",
ISNUMBER(SEARCH("Germany DR",S3793)),"DR Germany",
ISNUMBER(SEARCH("Korea DPR",S3793)),"North Korea",
ISNUMBER(SEARCH("China PR",S3793)),"China",
ISNUMBER(SEARCH("IR Iran",S3793)),"Iran",
ISNUMBER(SEARCH("Congo DR",S3793)),"Democratic Republic of the Congo",
ISNUMBER(SEARCH("DR Congo",S3793)),"Democratic Republic of the Congo",
ISNUMBER(SEARCH("German DR",S3793)),"DR Germany",
ISNUMBER(SEARCH("rn""&gt;United Arab Emirates",S3793)),"United Arab Emirates",
ISNUMBER(SEARCH("rn""&gt;Republic of Ireland",S3793)),"Ireland",
ISNUMBER(SEARCH("rn""&gt;Bosnia and Herzegovina",S3793)),"Bosnia and Herzegovina",
ISNUMBER(SEARCH("rn""&gt;Trinidad and Tobago",S3793)),"Trinidad and Tobago",
ISNUMBER(SEARCH("rn""&gt;Serbia and Montenegro",S3793)),"Serbia and Montenegro",
ISNUMBER(SEARCH(_xlfn.UNICHAR(65533),S3793)),"Côte d'Ivoire",
TRUE,""
)</f>
        <v>South Korea</v>
      </c>
      <c r="W3793" s="40" t="str">
        <f t="shared" si="252"/>
        <v>South Korea</v>
      </c>
    </row>
    <row r="3794" spans="19:23">
      <c r="S3794" s="40" t="str">
        <v>Poland</v>
      </c>
      <c r="T3794" s="40" t="str">
        <f t="shared" si="250"/>
        <v>OK</v>
      </c>
      <c r="U3794" s="40" t="str">
        <f t="shared" si="251"/>
        <v>-</v>
      </c>
      <c r="V3794" s="40" t="str" cm="1">
        <f t="array" ref="V3794">_xlfn.IFS(
ISNUMBER(SEARCH("USA",S3794)),"United States",
ISNUMBER(SEARCH("Republic of Ireland",S3794)),"Ireland",
ISNUMBER(SEARCH("Republic of Korea",S3794)),"South Korea",
ISNUMBER(SEARCH("Cape Verde",S3794)),"Cabo Verde",
ISNUMBER(SEARCH("Czechia",S3794)),"Czech Republic",
ISNUMBER(SEARCH("Türkiye",S3794)),"Turkey",
ISNUMBER(SEARCH("Ivory Coast",S3794)),"Côte d'Ivoire",
ISNUMBER(SEARCH("Korea Republic",S3794)),"South Korea",
ISNUMBER(SEARCH("Germany FR",S3794)),"FR Germany",
ISNUMBER(SEARCH("West Germany",S3794)),"FR Germany",
ISNUMBER(SEARCH("Germany DR",S3794)),"DR Germany",
ISNUMBER(SEARCH("Korea DPR",S3794)),"North Korea",
ISNUMBER(SEARCH("China PR",S3794)),"China",
ISNUMBER(SEARCH("IR Iran",S3794)),"Iran",
ISNUMBER(SEARCH("Congo DR",S3794)),"Democratic Republic of the Congo",
ISNUMBER(SEARCH("DR Congo",S3794)),"Democratic Republic of the Congo",
ISNUMBER(SEARCH("German DR",S3794)),"DR Germany",
ISNUMBER(SEARCH("rn""&gt;United Arab Emirates",S3794)),"United Arab Emirates",
ISNUMBER(SEARCH("rn""&gt;Republic of Ireland",S3794)),"Ireland",
ISNUMBER(SEARCH("rn""&gt;Bosnia and Herzegovina",S3794)),"Bosnia and Herzegovina",
ISNUMBER(SEARCH("rn""&gt;Trinidad and Tobago",S3794)),"Trinidad and Tobago",
ISNUMBER(SEARCH("rn""&gt;Serbia and Montenegro",S3794)),"Serbia and Montenegro",
ISNUMBER(SEARCH(_xlfn.UNICHAR(65533),S3794)),"Côte d'Ivoire",
TRUE,""
)</f>
        <v/>
      </c>
      <c r="W3794" s="40" t="str">
        <f t="shared" si="252"/>
        <v>Poland</v>
      </c>
    </row>
    <row r="3795" spans="19:23">
      <c r="S3795" s="40" t="str">
        <v>Northern Ireland</v>
      </c>
      <c r="T3795" s="40" t="str">
        <f t="shared" si="250"/>
        <v>ERREUR</v>
      </c>
      <c r="U3795" s="40" t="str">
        <f t="shared" si="251"/>
        <v>AUCUNE</v>
      </c>
      <c r="V3795" s="40" t="str" cm="1">
        <f t="array" ref="V3795">_xlfn.IFS(
ISNUMBER(SEARCH("USA",S3795)),"United States",
ISNUMBER(SEARCH("Republic of Ireland",S3795)),"Ireland",
ISNUMBER(SEARCH("Republic of Korea",S3795)),"South Korea",
ISNUMBER(SEARCH("Cape Verde",S3795)),"Cabo Verde",
ISNUMBER(SEARCH("Czechia",S3795)),"Czech Republic",
ISNUMBER(SEARCH("Türkiye",S3795)),"Turkey",
ISNUMBER(SEARCH("Ivory Coast",S3795)),"Côte d'Ivoire",
ISNUMBER(SEARCH("Korea Republic",S3795)),"South Korea",
ISNUMBER(SEARCH("Germany FR",S3795)),"FR Germany",
ISNUMBER(SEARCH("West Germany",S3795)),"FR Germany",
ISNUMBER(SEARCH("Germany DR",S3795)),"DR Germany",
ISNUMBER(SEARCH("Korea DPR",S3795)),"North Korea",
ISNUMBER(SEARCH("China PR",S3795)),"China",
ISNUMBER(SEARCH("IR Iran",S3795)),"Iran",
ISNUMBER(SEARCH("Congo DR",S3795)),"Democratic Republic of the Congo",
ISNUMBER(SEARCH("DR Congo",S3795)),"Democratic Republic of the Congo",
ISNUMBER(SEARCH("German DR",S3795)),"DR Germany",
ISNUMBER(SEARCH("rn""&gt;United Arab Emirates",S3795)),"United Arab Emirates",
ISNUMBER(SEARCH("rn""&gt;Republic of Ireland",S3795)),"Ireland",
ISNUMBER(SEARCH("rn""&gt;Bosnia and Herzegovina",S3795)),"Bosnia and Herzegovina",
ISNUMBER(SEARCH("rn""&gt;Trinidad and Tobago",S3795)),"Trinidad and Tobago",
ISNUMBER(SEARCH("rn""&gt;Serbia and Montenegro",S3795)),"Serbia and Montenegro",
ISNUMBER(SEARCH(_xlfn.UNICHAR(65533),S3795)),"Côte d'Ivoire",
TRUE,""
)</f>
        <v/>
      </c>
      <c r="W3795" s="40" t="str">
        <f t="shared" si="252"/>
        <v>Northern Ireland</v>
      </c>
    </row>
    <row r="3796" spans="19:23">
      <c r="S3796" s="40" t="str">
        <v>Mexico</v>
      </c>
      <c r="T3796" s="40" t="str">
        <f t="shared" si="250"/>
        <v>OK</v>
      </c>
      <c r="U3796" s="40" t="str">
        <f t="shared" si="251"/>
        <v>-</v>
      </c>
      <c r="V3796" s="40" t="str" cm="1">
        <f t="array" ref="V3796">_xlfn.IFS(
ISNUMBER(SEARCH("USA",S3796)),"United States",
ISNUMBER(SEARCH("Republic of Ireland",S3796)),"Ireland",
ISNUMBER(SEARCH("Republic of Korea",S3796)),"South Korea",
ISNUMBER(SEARCH("Cape Verde",S3796)),"Cabo Verde",
ISNUMBER(SEARCH("Czechia",S3796)),"Czech Republic",
ISNUMBER(SEARCH("Türkiye",S3796)),"Turkey",
ISNUMBER(SEARCH("Ivory Coast",S3796)),"Côte d'Ivoire",
ISNUMBER(SEARCH("Korea Republic",S3796)),"South Korea",
ISNUMBER(SEARCH("Germany FR",S3796)),"FR Germany",
ISNUMBER(SEARCH("West Germany",S3796)),"FR Germany",
ISNUMBER(SEARCH("Germany DR",S3796)),"DR Germany",
ISNUMBER(SEARCH("Korea DPR",S3796)),"North Korea",
ISNUMBER(SEARCH("China PR",S3796)),"China",
ISNUMBER(SEARCH("IR Iran",S3796)),"Iran",
ISNUMBER(SEARCH("Congo DR",S3796)),"Democratic Republic of the Congo",
ISNUMBER(SEARCH("DR Congo",S3796)),"Democratic Republic of the Congo",
ISNUMBER(SEARCH("German DR",S3796)),"DR Germany",
ISNUMBER(SEARCH("rn""&gt;United Arab Emirates",S3796)),"United Arab Emirates",
ISNUMBER(SEARCH("rn""&gt;Republic of Ireland",S3796)),"Ireland",
ISNUMBER(SEARCH("rn""&gt;Bosnia and Herzegovina",S3796)),"Bosnia and Herzegovina",
ISNUMBER(SEARCH("rn""&gt;Trinidad and Tobago",S3796)),"Trinidad and Tobago",
ISNUMBER(SEARCH("rn""&gt;Serbia and Montenegro",S3796)),"Serbia and Montenegro",
ISNUMBER(SEARCH(_xlfn.UNICHAR(65533),S3796)),"Côte d'Ivoire",
TRUE,""
)</f>
        <v/>
      </c>
      <c r="W3796" s="40" t="str">
        <f t="shared" si="252"/>
        <v>Mexico</v>
      </c>
    </row>
    <row r="3797" spans="19:23">
      <c r="S3797" s="40" t="str">
        <v>England</v>
      </c>
      <c r="T3797" s="40" t="str">
        <f t="shared" si="250"/>
        <v>ERREUR</v>
      </c>
      <c r="U3797" s="40" t="str">
        <f t="shared" si="251"/>
        <v>AUCUNE</v>
      </c>
      <c r="V3797" s="40" t="str" cm="1">
        <f t="array" ref="V3797">_xlfn.IFS(
ISNUMBER(SEARCH("USA",S3797)),"United States",
ISNUMBER(SEARCH("Republic of Ireland",S3797)),"Ireland",
ISNUMBER(SEARCH("Republic of Korea",S3797)),"South Korea",
ISNUMBER(SEARCH("Cape Verde",S3797)),"Cabo Verde",
ISNUMBER(SEARCH("Czechia",S3797)),"Czech Republic",
ISNUMBER(SEARCH("Türkiye",S3797)),"Turkey",
ISNUMBER(SEARCH("Ivory Coast",S3797)),"Côte d'Ivoire",
ISNUMBER(SEARCH("Korea Republic",S3797)),"South Korea",
ISNUMBER(SEARCH("Germany FR",S3797)),"FR Germany",
ISNUMBER(SEARCH("West Germany",S3797)),"FR Germany",
ISNUMBER(SEARCH("Germany DR",S3797)),"DR Germany",
ISNUMBER(SEARCH("Korea DPR",S3797)),"North Korea",
ISNUMBER(SEARCH("China PR",S3797)),"China",
ISNUMBER(SEARCH("IR Iran",S3797)),"Iran",
ISNUMBER(SEARCH("Congo DR",S3797)),"Democratic Republic of the Congo",
ISNUMBER(SEARCH("DR Congo",S3797)),"Democratic Republic of the Congo",
ISNUMBER(SEARCH("German DR",S3797)),"DR Germany",
ISNUMBER(SEARCH("rn""&gt;United Arab Emirates",S3797)),"United Arab Emirates",
ISNUMBER(SEARCH("rn""&gt;Republic of Ireland",S3797)),"Ireland",
ISNUMBER(SEARCH("rn""&gt;Bosnia and Herzegovina",S3797)),"Bosnia and Herzegovina",
ISNUMBER(SEARCH("rn""&gt;Trinidad and Tobago",S3797)),"Trinidad and Tobago",
ISNUMBER(SEARCH("rn""&gt;Serbia and Montenegro",S3797)),"Serbia and Montenegro",
ISNUMBER(SEARCH(_xlfn.UNICHAR(65533),S3797)),"Côte d'Ivoire",
TRUE,""
)</f>
        <v/>
      </c>
      <c r="W3797" s="40" t="str">
        <f t="shared" si="252"/>
        <v>England</v>
      </c>
    </row>
    <row r="3798" spans="19:23">
      <c r="S3798" s="40" t="str">
        <v>Iraq</v>
      </c>
      <c r="T3798" s="40" t="str">
        <f t="shared" si="250"/>
        <v>OK</v>
      </c>
      <c r="U3798" s="40" t="str">
        <f t="shared" si="251"/>
        <v>-</v>
      </c>
      <c r="V3798" s="40" t="str" cm="1">
        <f t="array" ref="V3798">_xlfn.IFS(
ISNUMBER(SEARCH("USA",S3798)),"United States",
ISNUMBER(SEARCH("Republic of Ireland",S3798)),"Ireland",
ISNUMBER(SEARCH("Republic of Korea",S3798)),"South Korea",
ISNUMBER(SEARCH("Cape Verde",S3798)),"Cabo Verde",
ISNUMBER(SEARCH("Czechia",S3798)),"Czech Republic",
ISNUMBER(SEARCH("Türkiye",S3798)),"Turkey",
ISNUMBER(SEARCH("Ivory Coast",S3798)),"Côte d'Ivoire",
ISNUMBER(SEARCH("Korea Republic",S3798)),"South Korea",
ISNUMBER(SEARCH("Germany FR",S3798)),"FR Germany",
ISNUMBER(SEARCH("West Germany",S3798)),"FR Germany",
ISNUMBER(SEARCH("Germany DR",S3798)),"DR Germany",
ISNUMBER(SEARCH("Korea DPR",S3798)),"North Korea",
ISNUMBER(SEARCH("China PR",S3798)),"China",
ISNUMBER(SEARCH("IR Iran",S3798)),"Iran",
ISNUMBER(SEARCH("Congo DR",S3798)),"Democratic Republic of the Congo",
ISNUMBER(SEARCH("DR Congo",S3798)),"Democratic Republic of the Congo",
ISNUMBER(SEARCH("German DR",S3798)),"DR Germany",
ISNUMBER(SEARCH("rn""&gt;United Arab Emirates",S3798)),"United Arab Emirates",
ISNUMBER(SEARCH("rn""&gt;Republic of Ireland",S3798)),"Ireland",
ISNUMBER(SEARCH("rn""&gt;Bosnia and Herzegovina",S3798)),"Bosnia and Herzegovina",
ISNUMBER(SEARCH("rn""&gt;Trinidad and Tobago",S3798)),"Trinidad and Tobago",
ISNUMBER(SEARCH("rn""&gt;Serbia and Montenegro",S3798)),"Serbia and Montenegro",
ISNUMBER(SEARCH(_xlfn.UNICHAR(65533),S3798)),"Côte d'Ivoire",
TRUE,""
)</f>
        <v/>
      </c>
      <c r="W3798" s="40" t="str">
        <f t="shared" si="252"/>
        <v>Iraq</v>
      </c>
    </row>
    <row r="3799" spans="19:23">
      <c r="S3799" s="40" t="str">
        <v>Denmark</v>
      </c>
      <c r="T3799" s="40" t="str">
        <f t="shared" si="250"/>
        <v>OK</v>
      </c>
      <c r="U3799" s="40" t="str">
        <f t="shared" si="251"/>
        <v>-</v>
      </c>
      <c r="V3799" s="40" t="str" cm="1">
        <f t="array" ref="V3799">_xlfn.IFS(
ISNUMBER(SEARCH("USA",S3799)),"United States",
ISNUMBER(SEARCH("Republic of Ireland",S3799)),"Ireland",
ISNUMBER(SEARCH("Republic of Korea",S3799)),"South Korea",
ISNUMBER(SEARCH("Cape Verde",S3799)),"Cabo Verde",
ISNUMBER(SEARCH("Czechia",S3799)),"Czech Republic",
ISNUMBER(SEARCH("Türkiye",S3799)),"Turkey",
ISNUMBER(SEARCH("Ivory Coast",S3799)),"Côte d'Ivoire",
ISNUMBER(SEARCH("Korea Republic",S3799)),"South Korea",
ISNUMBER(SEARCH("Germany FR",S3799)),"FR Germany",
ISNUMBER(SEARCH("West Germany",S3799)),"FR Germany",
ISNUMBER(SEARCH("Germany DR",S3799)),"DR Germany",
ISNUMBER(SEARCH("Korea DPR",S3799)),"North Korea",
ISNUMBER(SEARCH("China PR",S3799)),"China",
ISNUMBER(SEARCH("IR Iran",S3799)),"Iran",
ISNUMBER(SEARCH("Congo DR",S3799)),"Democratic Republic of the Congo",
ISNUMBER(SEARCH("DR Congo",S3799)),"Democratic Republic of the Congo",
ISNUMBER(SEARCH("German DR",S3799)),"DR Germany",
ISNUMBER(SEARCH("rn""&gt;United Arab Emirates",S3799)),"United Arab Emirates",
ISNUMBER(SEARCH("rn""&gt;Republic of Ireland",S3799)),"Ireland",
ISNUMBER(SEARCH("rn""&gt;Bosnia and Herzegovina",S3799)),"Bosnia and Herzegovina",
ISNUMBER(SEARCH("rn""&gt;Trinidad and Tobago",S3799)),"Trinidad and Tobago",
ISNUMBER(SEARCH("rn""&gt;Serbia and Montenegro",S3799)),"Serbia and Montenegro",
ISNUMBER(SEARCH(_xlfn.UNICHAR(65533),S3799)),"Côte d'Ivoire",
TRUE,""
)</f>
        <v/>
      </c>
      <c r="W3799" s="40" t="str">
        <f t="shared" si="252"/>
        <v>Denmark</v>
      </c>
    </row>
    <row r="3800" spans="19:23">
      <c r="S3800" s="40" t="str">
        <v>Germany FR</v>
      </c>
      <c r="T3800" s="40" t="str">
        <f t="shared" si="250"/>
        <v>ERREUR</v>
      </c>
      <c r="U3800" s="40" t="str">
        <f t="shared" si="251"/>
        <v>RENOMMER</v>
      </c>
      <c r="V3800" s="40" t="str" cm="1">
        <f t="array" ref="V3800">_xlfn.IFS(
ISNUMBER(SEARCH("USA",S3800)),"United States",
ISNUMBER(SEARCH("Republic of Ireland",S3800)),"Ireland",
ISNUMBER(SEARCH("Republic of Korea",S3800)),"South Korea",
ISNUMBER(SEARCH("Cape Verde",S3800)),"Cabo Verde",
ISNUMBER(SEARCH("Czechia",S3800)),"Czech Republic",
ISNUMBER(SEARCH("Türkiye",S3800)),"Turkey",
ISNUMBER(SEARCH("Ivory Coast",S3800)),"Côte d'Ivoire",
ISNUMBER(SEARCH("Korea Republic",S3800)),"South Korea",
ISNUMBER(SEARCH("Germany FR",S3800)),"FR Germany",
ISNUMBER(SEARCH("West Germany",S3800)),"FR Germany",
ISNUMBER(SEARCH("Germany DR",S3800)),"DR Germany",
ISNUMBER(SEARCH("Korea DPR",S3800)),"North Korea",
ISNUMBER(SEARCH("China PR",S3800)),"China",
ISNUMBER(SEARCH("IR Iran",S3800)),"Iran",
ISNUMBER(SEARCH("Congo DR",S3800)),"Democratic Republic of the Congo",
ISNUMBER(SEARCH("DR Congo",S3800)),"Democratic Republic of the Congo",
ISNUMBER(SEARCH("German DR",S3800)),"DR Germany",
ISNUMBER(SEARCH("rn""&gt;United Arab Emirates",S3800)),"United Arab Emirates",
ISNUMBER(SEARCH("rn""&gt;Republic of Ireland",S3800)),"Ireland",
ISNUMBER(SEARCH("rn""&gt;Bosnia and Herzegovina",S3800)),"Bosnia and Herzegovina",
ISNUMBER(SEARCH("rn""&gt;Trinidad and Tobago",S3800)),"Trinidad and Tobago",
ISNUMBER(SEARCH("rn""&gt;Serbia and Montenegro",S3800)),"Serbia and Montenegro",
ISNUMBER(SEARCH(_xlfn.UNICHAR(65533),S3800)),"Côte d'Ivoire",
TRUE,""
)</f>
        <v>FR Germany</v>
      </c>
      <c r="W3800" s="40" t="str">
        <f t="shared" si="252"/>
        <v>FR Germany</v>
      </c>
    </row>
    <row r="3801" spans="19:23">
      <c r="S3801" s="40" t="str">
        <v>Argentina</v>
      </c>
      <c r="T3801" s="40" t="str">
        <f t="shared" si="250"/>
        <v>OK</v>
      </c>
      <c r="U3801" s="40" t="str">
        <f t="shared" si="251"/>
        <v>-</v>
      </c>
      <c r="V3801" s="40" t="str" cm="1">
        <f t="array" ref="V3801">_xlfn.IFS(
ISNUMBER(SEARCH("USA",S3801)),"United States",
ISNUMBER(SEARCH("Republic of Ireland",S3801)),"Ireland",
ISNUMBER(SEARCH("Republic of Korea",S3801)),"South Korea",
ISNUMBER(SEARCH("Cape Verde",S3801)),"Cabo Verde",
ISNUMBER(SEARCH("Czechia",S3801)),"Czech Republic",
ISNUMBER(SEARCH("Türkiye",S3801)),"Turkey",
ISNUMBER(SEARCH("Ivory Coast",S3801)),"Côte d'Ivoire",
ISNUMBER(SEARCH("Korea Republic",S3801)),"South Korea",
ISNUMBER(SEARCH("Germany FR",S3801)),"FR Germany",
ISNUMBER(SEARCH("West Germany",S3801)),"FR Germany",
ISNUMBER(SEARCH("Germany DR",S3801)),"DR Germany",
ISNUMBER(SEARCH("Korea DPR",S3801)),"North Korea",
ISNUMBER(SEARCH("China PR",S3801)),"China",
ISNUMBER(SEARCH("IR Iran",S3801)),"Iran",
ISNUMBER(SEARCH("Congo DR",S3801)),"Democratic Republic of the Congo",
ISNUMBER(SEARCH("DR Congo",S3801)),"Democratic Republic of the Congo",
ISNUMBER(SEARCH("German DR",S3801)),"DR Germany",
ISNUMBER(SEARCH("rn""&gt;United Arab Emirates",S3801)),"United Arab Emirates",
ISNUMBER(SEARCH("rn""&gt;Republic of Ireland",S3801)),"Ireland",
ISNUMBER(SEARCH("rn""&gt;Bosnia and Herzegovina",S3801)),"Bosnia and Herzegovina",
ISNUMBER(SEARCH("rn""&gt;Trinidad and Tobago",S3801)),"Trinidad and Tobago",
ISNUMBER(SEARCH("rn""&gt;Serbia and Montenegro",S3801)),"Serbia and Montenegro",
ISNUMBER(SEARCH(_xlfn.UNICHAR(65533),S3801)),"Côte d'Ivoire",
TRUE,""
)</f>
        <v/>
      </c>
      <c r="W3801" s="40" t="str">
        <f t="shared" si="252"/>
        <v>Argentina</v>
      </c>
    </row>
    <row r="3802" spans="19:23">
      <c r="S3802" s="40" t="str">
        <v>Soviet Union</v>
      </c>
      <c r="T3802" s="40" t="str">
        <f t="shared" si="250"/>
        <v>ERREUR</v>
      </c>
      <c r="U3802" s="40" t="str">
        <f t="shared" si="251"/>
        <v>AUCUNE</v>
      </c>
      <c r="V3802" s="40" t="str" cm="1">
        <f t="array" ref="V3802">_xlfn.IFS(
ISNUMBER(SEARCH("USA",S3802)),"United States",
ISNUMBER(SEARCH("Republic of Ireland",S3802)),"Ireland",
ISNUMBER(SEARCH("Republic of Korea",S3802)),"South Korea",
ISNUMBER(SEARCH("Cape Verde",S3802)),"Cabo Verde",
ISNUMBER(SEARCH("Czechia",S3802)),"Czech Republic",
ISNUMBER(SEARCH("Türkiye",S3802)),"Turkey",
ISNUMBER(SEARCH("Ivory Coast",S3802)),"Côte d'Ivoire",
ISNUMBER(SEARCH("Korea Republic",S3802)),"South Korea",
ISNUMBER(SEARCH("Germany FR",S3802)),"FR Germany",
ISNUMBER(SEARCH("West Germany",S3802)),"FR Germany",
ISNUMBER(SEARCH("Germany DR",S3802)),"DR Germany",
ISNUMBER(SEARCH("Korea DPR",S3802)),"North Korea",
ISNUMBER(SEARCH("China PR",S3802)),"China",
ISNUMBER(SEARCH("IR Iran",S3802)),"Iran",
ISNUMBER(SEARCH("Congo DR",S3802)),"Democratic Republic of the Congo",
ISNUMBER(SEARCH("DR Congo",S3802)),"Democratic Republic of the Congo",
ISNUMBER(SEARCH("German DR",S3802)),"DR Germany",
ISNUMBER(SEARCH("rn""&gt;United Arab Emirates",S3802)),"United Arab Emirates",
ISNUMBER(SEARCH("rn""&gt;Republic of Ireland",S3802)),"Ireland",
ISNUMBER(SEARCH("rn""&gt;Bosnia and Herzegovina",S3802)),"Bosnia and Herzegovina",
ISNUMBER(SEARCH("rn""&gt;Trinidad and Tobago",S3802)),"Trinidad and Tobago",
ISNUMBER(SEARCH("rn""&gt;Serbia and Montenegro",S3802)),"Serbia and Montenegro",
ISNUMBER(SEARCH(_xlfn.UNICHAR(65533),S3802)),"Côte d'Ivoire",
TRUE,""
)</f>
        <v/>
      </c>
      <c r="W3802" s="40" t="str">
        <f t="shared" si="252"/>
        <v>Soviet Union</v>
      </c>
    </row>
    <row r="3803" spans="19:23">
      <c r="S3803" s="40" t="str">
        <v>Bulgaria</v>
      </c>
      <c r="T3803" s="40" t="str">
        <f t="shared" si="250"/>
        <v>OK</v>
      </c>
      <c r="U3803" s="40" t="str">
        <f t="shared" si="251"/>
        <v>-</v>
      </c>
      <c r="V3803" s="40" t="str" cm="1">
        <f t="array" ref="V3803">_xlfn.IFS(
ISNUMBER(SEARCH("USA",S3803)),"United States",
ISNUMBER(SEARCH("Republic of Ireland",S3803)),"Ireland",
ISNUMBER(SEARCH("Republic of Korea",S3803)),"South Korea",
ISNUMBER(SEARCH("Cape Verde",S3803)),"Cabo Verde",
ISNUMBER(SEARCH("Czechia",S3803)),"Czech Republic",
ISNUMBER(SEARCH("Türkiye",S3803)),"Turkey",
ISNUMBER(SEARCH("Ivory Coast",S3803)),"Côte d'Ivoire",
ISNUMBER(SEARCH("Korea Republic",S3803)),"South Korea",
ISNUMBER(SEARCH("Germany FR",S3803)),"FR Germany",
ISNUMBER(SEARCH("West Germany",S3803)),"FR Germany",
ISNUMBER(SEARCH("Germany DR",S3803)),"DR Germany",
ISNUMBER(SEARCH("Korea DPR",S3803)),"North Korea",
ISNUMBER(SEARCH("China PR",S3803)),"China",
ISNUMBER(SEARCH("IR Iran",S3803)),"Iran",
ISNUMBER(SEARCH("Congo DR",S3803)),"Democratic Republic of the Congo",
ISNUMBER(SEARCH("DR Congo",S3803)),"Democratic Republic of the Congo",
ISNUMBER(SEARCH("German DR",S3803)),"DR Germany",
ISNUMBER(SEARCH("rn""&gt;United Arab Emirates",S3803)),"United Arab Emirates",
ISNUMBER(SEARCH("rn""&gt;Republic of Ireland",S3803)),"Ireland",
ISNUMBER(SEARCH("rn""&gt;Bosnia and Herzegovina",S3803)),"Bosnia and Herzegovina",
ISNUMBER(SEARCH("rn""&gt;Trinidad and Tobago",S3803)),"Trinidad and Tobago",
ISNUMBER(SEARCH("rn""&gt;Serbia and Montenegro",S3803)),"Serbia and Montenegro",
ISNUMBER(SEARCH(_xlfn.UNICHAR(65533),S3803)),"Côte d'Ivoire",
TRUE,""
)</f>
        <v/>
      </c>
      <c r="W3803" s="40" t="str">
        <f t="shared" si="252"/>
        <v>Bulgaria</v>
      </c>
    </row>
    <row r="3804" spans="19:23">
      <c r="S3804" s="40" t="str">
        <v>Canada</v>
      </c>
      <c r="T3804" s="40" t="str">
        <f t="shared" si="250"/>
        <v>OK</v>
      </c>
      <c r="U3804" s="40" t="str">
        <f t="shared" si="251"/>
        <v>-</v>
      </c>
      <c r="V3804" s="40" t="str" cm="1">
        <f t="array" ref="V3804">_xlfn.IFS(
ISNUMBER(SEARCH("USA",S3804)),"United States",
ISNUMBER(SEARCH("Republic of Ireland",S3804)),"Ireland",
ISNUMBER(SEARCH("Republic of Korea",S3804)),"South Korea",
ISNUMBER(SEARCH("Cape Verde",S3804)),"Cabo Verde",
ISNUMBER(SEARCH("Czechia",S3804)),"Czech Republic",
ISNUMBER(SEARCH("Türkiye",S3804)),"Turkey",
ISNUMBER(SEARCH("Ivory Coast",S3804)),"Côte d'Ivoire",
ISNUMBER(SEARCH("Korea Republic",S3804)),"South Korea",
ISNUMBER(SEARCH("Germany FR",S3804)),"FR Germany",
ISNUMBER(SEARCH("West Germany",S3804)),"FR Germany",
ISNUMBER(SEARCH("Germany DR",S3804)),"DR Germany",
ISNUMBER(SEARCH("Korea DPR",S3804)),"North Korea",
ISNUMBER(SEARCH("China PR",S3804)),"China",
ISNUMBER(SEARCH("IR Iran",S3804)),"Iran",
ISNUMBER(SEARCH("Congo DR",S3804)),"Democratic Republic of the Congo",
ISNUMBER(SEARCH("DR Congo",S3804)),"Democratic Republic of the Congo",
ISNUMBER(SEARCH("German DR",S3804)),"DR Germany",
ISNUMBER(SEARCH("rn""&gt;United Arab Emirates",S3804)),"United Arab Emirates",
ISNUMBER(SEARCH("rn""&gt;Republic of Ireland",S3804)),"Ireland",
ISNUMBER(SEARCH("rn""&gt;Bosnia and Herzegovina",S3804)),"Bosnia and Herzegovina",
ISNUMBER(SEARCH("rn""&gt;Trinidad and Tobago",S3804)),"Trinidad and Tobago",
ISNUMBER(SEARCH("rn""&gt;Serbia and Montenegro",S3804)),"Serbia and Montenegro",
ISNUMBER(SEARCH(_xlfn.UNICHAR(65533),S3804)),"Côte d'Ivoire",
TRUE,""
)</f>
        <v/>
      </c>
      <c r="W3804" s="40" t="str">
        <f t="shared" si="252"/>
        <v>Canada</v>
      </c>
    </row>
    <row r="3805" spans="19:23">
      <c r="S3805" s="40" t="str">
        <v>Algeria</v>
      </c>
      <c r="T3805" s="40" t="str">
        <f t="shared" si="250"/>
        <v>OK</v>
      </c>
      <c r="U3805" s="40" t="str">
        <f t="shared" si="251"/>
        <v>-</v>
      </c>
      <c r="V3805" s="40" t="str" cm="1">
        <f t="array" ref="V3805">_xlfn.IFS(
ISNUMBER(SEARCH("USA",S3805)),"United States",
ISNUMBER(SEARCH("Republic of Ireland",S3805)),"Ireland",
ISNUMBER(SEARCH("Republic of Korea",S3805)),"South Korea",
ISNUMBER(SEARCH("Cape Verde",S3805)),"Cabo Verde",
ISNUMBER(SEARCH("Czechia",S3805)),"Czech Republic",
ISNUMBER(SEARCH("Türkiye",S3805)),"Turkey",
ISNUMBER(SEARCH("Ivory Coast",S3805)),"Côte d'Ivoire",
ISNUMBER(SEARCH("Korea Republic",S3805)),"South Korea",
ISNUMBER(SEARCH("Germany FR",S3805)),"FR Germany",
ISNUMBER(SEARCH("West Germany",S3805)),"FR Germany",
ISNUMBER(SEARCH("Germany DR",S3805)),"DR Germany",
ISNUMBER(SEARCH("Korea DPR",S3805)),"North Korea",
ISNUMBER(SEARCH("China PR",S3805)),"China",
ISNUMBER(SEARCH("IR Iran",S3805)),"Iran",
ISNUMBER(SEARCH("Congo DR",S3805)),"Democratic Republic of the Congo",
ISNUMBER(SEARCH("DR Congo",S3805)),"Democratic Republic of the Congo",
ISNUMBER(SEARCH("German DR",S3805)),"DR Germany",
ISNUMBER(SEARCH("rn""&gt;United Arab Emirates",S3805)),"United Arab Emirates",
ISNUMBER(SEARCH("rn""&gt;Republic of Ireland",S3805)),"Ireland",
ISNUMBER(SEARCH("rn""&gt;Bosnia and Herzegovina",S3805)),"Bosnia and Herzegovina",
ISNUMBER(SEARCH("rn""&gt;Trinidad and Tobago",S3805)),"Trinidad and Tobago",
ISNUMBER(SEARCH("rn""&gt;Serbia and Montenegro",S3805)),"Serbia and Montenegro",
ISNUMBER(SEARCH(_xlfn.UNICHAR(65533),S3805)),"Côte d'Ivoire",
TRUE,""
)</f>
        <v/>
      </c>
      <c r="W3805" s="40" t="str">
        <f t="shared" si="252"/>
        <v>Algeria</v>
      </c>
    </row>
    <row r="3806" spans="19:23">
      <c r="S3806" s="40" t="str">
        <v>Morocco</v>
      </c>
      <c r="T3806" s="40" t="str">
        <f t="shared" si="250"/>
        <v>OK</v>
      </c>
      <c r="U3806" s="40" t="str">
        <f t="shared" si="251"/>
        <v>-</v>
      </c>
      <c r="V3806" s="40" t="str" cm="1">
        <f t="array" ref="V3806">_xlfn.IFS(
ISNUMBER(SEARCH("USA",S3806)),"United States",
ISNUMBER(SEARCH("Republic of Ireland",S3806)),"Ireland",
ISNUMBER(SEARCH("Republic of Korea",S3806)),"South Korea",
ISNUMBER(SEARCH("Cape Verde",S3806)),"Cabo Verde",
ISNUMBER(SEARCH("Czechia",S3806)),"Czech Republic",
ISNUMBER(SEARCH("Türkiye",S3806)),"Turkey",
ISNUMBER(SEARCH("Ivory Coast",S3806)),"Côte d'Ivoire",
ISNUMBER(SEARCH("Korea Republic",S3806)),"South Korea",
ISNUMBER(SEARCH("Germany FR",S3806)),"FR Germany",
ISNUMBER(SEARCH("West Germany",S3806)),"FR Germany",
ISNUMBER(SEARCH("Germany DR",S3806)),"DR Germany",
ISNUMBER(SEARCH("Korea DPR",S3806)),"North Korea",
ISNUMBER(SEARCH("China PR",S3806)),"China",
ISNUMBER(SEARCH("IR Iran",S3806)),"Iran",
ISNUMBER(SEARCH("Congo DR",S3806)),"Democratic Republic of the Congo",
ISNUMBER(SEARCH("DR Congo",S3806)),"Democratic Republic of the Congo",
ISNUMBER(SEARCH("German DR",S3806)),"DR Germany",
ISNUMBER(SEARCH("rn""&gt;United Arab Emirates",S3806)),"United Arab Emirates",
ISNUMBER(SEARCH("rn""&gt;Republic of Ireland",S3806)),"Ireland",
ISNUMBER(SEARCH("rn""&gt;Bosnia and Herzegovina",S3806)),"Bosnia and Herzegovina",
ISNUMBER(SEARCH("rn""&gt;Trinidad and Tobago",S3806)),"Trinidad and Tobago",
ISNUMBER(SEARCH("rn""&gt;Serbia and Montenegro",S3806)),"Serbia and Montenegro",
ISNUMBER(SEARCH(_xlfn.UNICHAR(65533),S3806)),"Côte d'Ivoire",
TRUE,""
)</f>
        <v/>
      </c>
      <c r="W3806" s="40" t="str">
        <f t="shared" si="252"/>
        <v>Morocco</v>
      </c>
    </row>
    <row r="3807" spans="19:23">
      <c r="S3807" s="40" t="str">
        <v>Spain</v>
      </c>
      <c r="T3807" s="40" t="str">
        <f t="shared" si="250"/>
        <v>OK</v>
      </c>
      <c r="U3807" s="40" t="str">
        <f t="shared" si="251"/>
        <v>-</v>
      </c>
      <c r="V3807" s="40" t="str" cm="1">
        <f t="array" ref="V3807">_xlfn.IFS(
ISNUMBER(SEARCH("USA",S3807)),"United States",
ISNUMBER(SEARCH("Republic of Ireland",S3807)),"Ireland",
ISNUMBER(SEARCH("Republic of Korea",S3807)),"South Korea",
ISNUMBER(SEARCH("Cape Verde",S3807)),"Cabo Verde",
ISNUMBER(SEARCH("Czechia",S3807)),"Czech Republic",
ISNUMBER(SEARCH("Türkiye",S3807)),"Turkey",
ISNUMBER(SEARCH("Ivory Coast",S3807)),"Côte d'Ivoire",
ISNUMBER(SEARCH("Korea Republic",S3807)),"South Korea",
ISNUMBER(SEARCH("Germany FR",S3807)),"FR Germany",
ISNUMBER(SEARCH("West Germany",S3807)),"FR Germany",
ISNUMBER(SEARCH("Germany DR",S3807)),"DR Germany",
ISNUMBER(SEARCH("Korea DPR",S3807)),"North Korea",
ISNUMBER(SEARCH("China PR",S3807)),"China",
ISNUMBER(SEARCH("IR Iran",S3807)),"Iran",
ISNUMBER(SEARCH("Congo DR",S3807)),"Democratic Republic of the Congo",
ISNUMBER(SEARCH("DR Congo",S3807)),"Democratic Republic of the Congo",
ISNUMBER(SEARCH("German DR",S3807)),"DR Germany",
ISNUMBER(SEARCH("rn""&gt;United Arab Emirates",S3807)),"United Arab Emirates",
ISNUMBER(SEARCH("rn""&gt;Republic of Ireland",S3807)),"Ireland",
ISNUMBER(SEARCH("rn""&gt;Bosnia and Herzegovina",S3807)),"Bosnia and Herzegovina",
ISNUMBER(SEARCH("rn""&gt;Trinidad and Tobago",S3807)),"Trinidad and Tobago",
ISNUMBER(SEARCH("rn""&gt;Serbia and Montenegro",S3807)),"Serbia and Montenegro",
ISNUMBER(SEARCH(_xlfn.UNICHAR(65533),S3807)),"Côte d'Ivoire",
TRUE,""
)</f>
        <v/>
      </c>
      <c r="W3807" s="40" t="str">
        <f t="shared" si="252"/>
        <v>Spain</v>
      </c>
    </row>
    <row r="3808" spans="19:23">
      <c r="S3808" s="40" t="str">
        <v>Paraguay</v>
      </c>
      <c r="T3808" s="40" t="str">
        <f t="shared" si="250"/>
        <v>OK</v>
      </c>
      <c r="U3808" s="40" t="str">
        <f t="shared" si="251"/>
        <v>-</v>
      </c>
      <c r="V3808" s="40" t="str" cm="1">
        <f t="array" ref="V3808">_xlfn.IFS(
ISNUMBER(SEARCH("USA",S3808)),"United States",
ISNUMBER(SEARCH("Republic of Ireland",S3808)),"Ireland",
ISNUMBER(SEARCH("Republic of Korea",S3808)),"South Korea",
ISNUMBER(SEARCH("Cape Verde",S3808)),"Cabo Verde",
ISNUMBER(SEARCH("Czechia",S3808)),"Czech Republic",
ISNUMBER(SEARCH("Türkiye",S3808)),"Turkey",
ISNUMBER(SEARCH("Ivory Coast",S3808)),"Côte d'Ivoire",
ISNUMBER(SEARCH("Korea Republic",S3808)),"South Korea",
ISNUMBER(SEARCH("Germany FR",S3808)),"FR Germany",
ISNUMBER(SEARCH("West Germany",S3808)),"FR Germany",
ISNUMBER(SEARCH("Germany DR",S3808)),"DR Germany",
ISNUMBER(SEARCH("Korea DPR",S3808)),"North Korea",
ISNUMBER(SEARCH("China PR",S3808)),"China",
ISNUMBER(SEARCH("IR Iran",S3808)),"Iran",
ISNUMBER(SEARCH("Congo DR",S3808)),"Democratic Republic of the Congo",
ISNUMBER(SEARCH("DR Congo",S3808)),"Democratic Republic of the Congo",
ISNUMBER(SEARCH("German DR",S3808)),"DR Germany",
ISNUMBER(SEARCH("rn""&gt;United Arab Emirates",S3808)),"United Arab Emirates",
ISNUMBER(SEARCH("rn""&gt;Republic of Ireland",S3808)),"Ireland",
ISNUMBER(SEARCH("rn""&gt;Bosnia and Herzegovina",S3808)),"Bosnia and Herzegovina",
ISNUMBER(SEARCH("rn""&gt;Trinidad and Tobago",S3808)),"Trinidad and Tobago",
ISNUMBER(SEARCH("rn""&gt;Serbia and Montenegro",S3808)),"Serbia and Montenegro",
ISNUMBER(SEARCH(_xlfn.UNICHAR(65533),S3808)),"Côte d'Ivoire",
TRUE,""
)</f>
        <v/>
      </c>
      <c r="W3808" s="40" t="str">
        <f t="shared" si="252"/>
        <v>Paraguay</v>
      </c>
    </row>
    <row r="3809" spans="19:23">
      <c r="S3809" s="40" t="str">
        <v>Portugal</v>
      </c>
      <c r="T3809" s="40" t="str">
        <f t="shared" si="250"/>
        <v>OK</v>
      </c>
      <c r="U3809" s="40" t="str">
        <f t="shared" si="251"/>
        <v>-</v>
      </c>
      <c r="V3809" s="40" t="str" cm="1">
        <f t="array" ref="V3809">_xlfn.IFS(
ISNUMBER(SEARCH("USA",S3809)),"United States",
ISNUMBER(SEARCH("Republic of Ireland",S3809)),"Ireland",
ISNUMBER(SEARCH("Republic of Korea",S3809)),"South Korea",
ISNUMBER(SEARCH("Cape Verde",S3809)),"Cabo Verde",
ISNUMBER(SEARCH("Czechia",S3809)),"Czech Republic",
ISNUMBER(SEARCH("Türkiye",S3809)),"Turkey",
ISNUMBER(SEARCH("Ivory Coast",S3809)),"Côte d'Ivoire",
ISNUMBER(SEARCH("Korea Republic",S3809)),"South Korea",
ISNUMBER(SEARCH("Germany FR",S3809)),"FR Germany",
ISNUMBER(SEARCH("West Germany",S3809)),"FR Germany",
ISNUMBER(SEARCH("Germany DR",S3809)),"DR Germany",
ISNUMBER(SEARCH("Korea DPR",S3809)),"North Korea",
ISNUMBER(SEARCH("China PR",S3809)),"China",
ISNUMBER(SEARCH("IR Iran",S3809)),"Iran",
ISNUMBER(SEARCH("Congo DR",S3809)),"Democratic Republic of the Congo",
ISNUMBER(SEARCH("DR Congo",S3809)),"Democratic Republic of the Congo",
ISNUMBER(SEARCH("German DR",S3809)),"DR Germany",
ISNUMBER(SEARCH("rn""&gt;United Arab Emirates",S3809)),"United Arab Emirates",
ISNUMBER(SEARCH("rn""&gt;Republic of Ireland",S3809)),"Ireland",
ISNUMBER(SEARCH("rn""&gt;Bosnia and Herzegovina",S3809)),"Bosnia and Herzegovina",
ISNUMBER(SEARCH("rn""&gt;Trinidad and Tobago",S3809)),"Trinidad and Tobago",
ISNUMBER(SEARCH("rn""&gt;Serbia and Montenegro",S3809)),"Serbia and Montenegro",
ISNUMBER(SEARCH(_xlfn.UNICHAR(65533),S3809)),"Côte d'Ivoire",
TRUE,""
)</f>
        <v/>
      </c>
      <c r="W3809" s="40" t="str">
        <f t="shared" si="252"/>
        <v>Portugal</v>
      </c>
    </row>
    <row r="3810" spans="19:23">
      <c r="S3810" s="40" t="str">
        <v>Belgium</v>
      </c>
      <c r="T3810" s="40" t="str">
        <f t="shared" si="250"/>
        <v>OK</v>
      </c>
      <c r="U3810" s="40" t="str">
        <f t="shared" si="251"/>
        <v>-</v>
      </c>
      <c r="V3810" s="40" t="str" cm="1">
        <f t="array" ref="V3810">_xlfn.IFS(
ISNUMBER(SEARCH("USA",S3810)),"United States",
ISNUMBER(SEARCH("Republic of Ireland",S3810)),"Ireland",
ISNUMBER(SEARCH("Republic of Korea",S3810)),"South Korea",
ISNUMBER(SEARCH("Cape Verde",S3810)),"Cabo Verde",
ISNUMBER(SEARCH("Czechia",S3810)),"Czech Republic",
ISNUMBER(SEARCH("Türkiye",S3810)),"Turkey",
ISNUMBER(SEARCH("Ivory Coast",S3810)),"Côte d'Ivoire",
ISNUMBER(SEARCH("Korea Republic",S3810)),"South Korea",
ISNUMBER(SEARCH("Germany FR",S3810)),"FR Germany",
ISNUMBER(SEARCH("West Germany",S3810)),"FR Germany",
ISNUMBER(SEARCH("Germany DR",S3810)),"DR Germany",
ISNUMBER(SEARCH("Korea DPR",S3810)),"North Korea",
ISNUMBER(SEARCH("China PR",S3810)),"China",
ISNUMBER(SEARCH("IR Iran",S3810)),"Iran",
ISNUMBER(SEARCH("Congo DR",S3810)),"Democratic Republic of the Congo",
ISNUMBER(SEARCH("DR Congo",S3810)),"Democratic Republic of the Congo",
ISNUMBER(SEARCH("German DR",S3810)),"DR Germany",
ISNUMBER(SEARCH("rn""&gt;United Arab Emirates",S3810)),"United Arab Emirates",
ISNUMBER(SEARCH("rn""&gt;Republic of Ireland",S3810)),"Ireland",
ISNUMBER(SEARCH("rn""&gt;Bosnia and Herzegovina",S3810)),"Bosnia and Herzegovina",
ISNUMBER(SEARCH("rn""&gt;Trinidad and Tobago",S3810)),"Trinidad and Tobago",
ISNUMBER(SEARCH("rn""&gt;Serbia and Montenegro",S3810)),"Serbia and Montenegro",
ISNUMBER(SEARCH(_xlfn.UNICHAR(65533),S3810)),"Côte d'Ivoire",
TRUE,""
)</f>
        <v/>
      </c>
      <c r="W3810" s="40" t="str">
        <f t="shared" si="252"/>
        <v>Belgium</v>
      </c>
    </row>
    <row r="3811" spans="19:23">
      <c r="S3811" s="40" t="str">
        <v>Uruguay</v>
      </c>
      <c r="T3811" s="40" t="str">
        <f t="shared" si="250"/>
        <v>OK</v>
      </c>
      <c r="U3811" s="40" t="str">
        <f t="shared" si="251"/>
        <v>-</v>
      </c>
      <c r="V3811" s="40" t="str" cm="1">
        <f t="array" ref="V3811">_xlfn.IFS(
ISNUMBER(SEARCH("USA",S3811)),"United States",
ISNUMBER(SEARCH("Republic of Ireland",S3811)),"Ireland",
ISNUMBER(SEARCH("Republic of Korea",S3811)),"South Korea",
ISNUMBER(SEARCH("Cape Verde",S3811)),"Cabo Verde",
ISNUMBER(SEARCH("Czechia",S3811)),"Czech Republic",
ISNUMBER(SEARCH("Türkiye",S3811)),"Turkey",
ISNUMBER(SEARCH("Ivory Coast",S3811)),"Côte d'Ivoire",
ISNUMBER(SEARCH("Korea Republic",S3811)),"South Korea",
ISNUMBER(SEARCH("Germany FR",S3811)),"FR Germany",
ISNUMBER(SEARCH("West Germany",S3811)),"FR Germany",
ISNUMBER(SEARCH("Germany DR",S3811)),"DR Germany",
ISNUMBER(SEARCH("Korea DPR",S3811)),"North Korea",
ISNUMBER(SEARCH("China PR",S3811)),"China",
ISNUMBER(SEARCH("IR Iran",S3811)),"Iran",
ISNUMBER(SEARCH("Congo DR",S3811)),"Democratic Republic of the Congo",
ISNUMBER(SEARCH("DR Congo",S3811)),"Democratic Republic of the Congo",
ISNUMBER(SEARCH("German DR",S3811)),"DR Germany",
ISNUMBER(SEARCH("rn""&gt;United Arab Emirates",S3811)),"United Arab Emirates",
ISNUMBER(SEARCH("rn""&gt;Republic of Ireland",S3811)),"Ireland",
ISNUMBER(SEARCH("rn""&gt;Bosnia and Herzegovina",S3811)),"Bosnia and Herzegovina",
ISNUMBER(SEARCH("rn""&gt;Trinidad and Tobago",S3811)),"Trinidad and Tobago",
ISNUMBER(SEARCH("rn""&gt;Serbia and Montenegro",S3811)),"Serbia and Montenegro",
ISNUMBER(SEARCH(_xlfn.UNICHAR(65533),S3811)),"Côte d'Ivoire",
TRUE,""
)</f>
        <v/>
      </c>
      <c r="W3811" s="40" t="str">
        <f t="shared" si="252"/>
        <v>Uruguay</v>
      </c>
    </row>
    <row r="3812" spans="19:23">
      <c r="S3812" s="40" t="str">
        <v>Scotland</v>
      </c>
      <c r="T3812" s="40" t="str">
        <f t="shared" si="250"/>
        <v>ERREUR</v>
      </c>
      <c r="U3812" s="40" t="str">
        <f t="shared" si="251"/>
        <v>AUCUNE</v>
      </c>
      <c r="V3812" s="40" t="str" cm="1">
        <f t="array" ref="V3812">_xlfn.IFS(
ISNUMBER(SEARCH("USA",S3812)),"United States",
ISNUMBER(SEARCH("Republic of Ireland",S3812)),"Ireland",
ISNUMBER(SEARCH("Republic of Korea",S3812)),"South Korea",
ISNUMBER(SEARCH("Cape Verde",S3812)),"Cabo Verde",
ISNUMBER(SEARCH("Czechia",S3812)),"Czech Republic",
ISNUMBER(SEARCH("Türkiye",S3812)),"Turkey",
ISNUMBER(SEARCH("Ivory Coast",S3812)),"Côte d'Ivoire",
ISNUMBER(SEARCH("Korea Republic",S3812)),"South Korea",
ISNUMBER(SEARCH("Germany FR",S3812)),"FR Germany",
ISNUMBER(SEARCH("West Germany",S3812)),"FR Germany",
ISNUMBER(SEARCH("Germany DR",S3812)),"DR Germany",
ISNUMBER(SEARCH("Korea DPR",S3812)),"North Korea",
ISNUMBER(SEARCH("China PR",S3812)),"China",
ISNUMBER(SEARCH("IR Iran",S3812)),"Iran",
ISNUMBER(SEARCH("Congo DR",S3812)),"Democratic Republic of the Congo",
ISNUMBER(SEARCH("DR Congo",S3812)),"Democratic Republic of the Congo",
ISNUMBER(SEARCH("German DR",S3812)),"DR Germany",
ISNUMBER(SEARCH("rn""&gt;United Arab Emirates",S3812)),"United Arab Emirates",
ISNUMBER(SEARCH("rn""&gt;Republic of Ireland",S3812)),"Ireland",
ISNUMBER(SEARCH("rn""&gt;Bosnia and Herzegovina",S3812)),"Bosnia and Herzegovina",
ISNUMBER(SEARCH("rn""&gt;Trinidad and Tobago",S3812)),"Trinidad and Tobago",
ISNUMBER(SEARCH("rn""&gt;Serbia and Montenegro",S3812)),"Serbia and Montenegro",
ISNUMBER(SEARCH(_xlfn.UNICHAR(65533),S3812)),"Côte d'Ivoire",
TRUE,""
)</f>
        <v/>
      </c>
      <c r="W3812" s="40" t="str">
        <f t="shared" si="252"/>
        <v>Scotland</v>
      </c>
    </row>
    <row r="3813" spans="19:23">
      <c r="S3813" s="40" t="str">
        <v>France</v>
      </c>
      <c r="T3813" s="40" t="str">
        <f t="shared" si="250"/>
        <v>OK</v>
      </c>
      <c r="U3813" s="40" t="str">
        <f t="shared" si="251"/>
        <v>-</v>
      </c>
      <c r="V3813" s="40" t="str" cm="1">
        <f t="array" ref="V3813">_xlfn.IFS(
ISNUMBER(SEARCH("USA",S3813)),"United States",
ISNUMBER(SEARCH("Republic of Ireland",S3813)),"Ireland",
ISNUMBER(SEARCH("Republic of Korea",S3813)),"South Korea",
ISNUMBER(SEARCH("Cape Verde",S3813)),"Cabo Verde",
ISNUMBER(SEARCH("Czechia",S3813)),"Czech Republic",
ISNUMBER(SEARCH("Türkiye",S3813)),"Turkey",
ISNUMBER(SEARCH("Ivory Coast",S3813)),"Côte d'Ivoire",
ISNUMBER(SEARCH("Korea Republic",S3813)),"South Korea",
ISNUMBER(SEARCH("Germany FR",S3813)),"FR Germany",
ISNUMBER(SEARCH("West Germany",S3813)),"FR Germany",
ISNUMBER(SEARCH("Germany DR",S3813)),"DR Germany",
ISNUMBER(SEARCH("Korea DPR",S3813)),"North Korea",
ISNUMBER(SEARCH("China PR",S3813)),"China",
ISNUMBER(SEARCH("IR Iran",S3813)),"Iran",
ISNUMBER(SEARCH("Congo DR",S3813)),"Democratic Republic of the Congo",
ISNUMBER(SEARCH("DR Congo",S3813)),"Democratic Republic of the Congo",
ISNUMBER(SEARCH("German DR",S3813)),"DR Germany",
ISNUMBER(SEARCH("rn""&gt;United Arab Emirates",S3813)),"United Arab Emirates",
ISNUMBER(SEARCH("rn""&gt;Republic of Ireland",S3813)),"Ireland",
ISNUMBER(SEARCH("rn""&gt;Bosnia and Herzegovina",S3813)),"Bosnia and Herzegovina",
ISNUMBER(SEARCH("rn""&gt;Trinidad and Tobago",S3813)),"Trinidad and Tobago",
ISNUMBER(SEARCH("rn""&gt;Serbia and Montenegro",S3813)),"Serbia and Montenegro",
ISNUMBER(SEARCH(_xlfn.UNICHAR(65533),S3813)),"Côte d'Ivoire",
TRUE,""
)</f>
        <v/>
      </c>
      <c r="W3813" s="40" t="str">
        <f t="shared" si="252"/>
        <v>France</v>
      </c>
    </row>
    <row r="3814" spans="19:23">
      <c r="S3814" s="40" t="str">
        <v>Canada</v>
      </c>
      <c r="T3814" s="40" t="str">
        <f t="shared" si="250"/>
        <v>OK</v>
      </c>
      <c r="U3814" s="40" t="str">
        <f t="shared" si="251"/>
        <v>-</v>
      </c>
      <c r="V3814" s="40" t="str" cm="1">
        <f t="array" ref="V3814">_xlfn.IFS(
ISNUMBER(SEARCH("USA",S3814)),"United States",
ISNUMBER(SEARCH("Republic of Ireland",S3814)),"Ireland",
ISNUMBER(SEARCH("Republic of Korea",S3814)),"South Korea",
ISNUMBER(SEARCH("Cape Verde",S3814)),"Cabo Verde",
ISNUMBER(SEARCH("Czechia",S3814)),"Czech Republic",
ISNUMBER(SEARCH("Türkiye",S3814)),"Turkey",
ISNUMBER(SEARCH("Ivory Coast",S3814)),"Côte d'Ivoire",
ISNUMBER(SEARCH("Korea Republic",S3814)),"South Korea",
ISNUMBER(SEARCH("Germany FR",S3814)),"FR Germany",
ISNUMBER(SEARCH("West Germany",S3814)),"FR Germany",
ISNUMBER(SEARCH("Germany DR",S3814)),"DR Germany",
ISNUMBER(SEARCH("Korea DPR",S3814)),"North Korea",
ISNUMBER(SEARCH("China PR",S3814)),"China",
ISNUMBER(SEARCH("IR Iran",S3814)),"Iran",
ISNUMBER(SEARCH("Congo DR",S3814)),"Democratic Republic of the Congo",
ISNUMBER(SEARCH("DR Congo",S3814)),"Democratic Republic of the Congo",
ISNUMBER(SEARCH("German DR",S3814)),"DR Germany",
ISNUMBER(SEARCH("rn""&gt;United Arab Emirates",S3814)),"United Arab Emirates",
ISNUMBER(SEARCH("rn""&gt;Republic of Ireland",S3814)),"Ireland",
ISNUMBER(SEARCH("rn""&gt;Bosnia and Herzegovina",S3814)),"Bosnia and Herzegovina",
ISNUMBER(SEARCH("rn""&gt;Trinidad and Tobago",S3814)),"Trinidad and Tobago",
ISNUMBER(SEARCH("rn""&gt;Serbia and Montenegro",S3814)),"Serbia and Montenegro",
ISNUMBER(SEARCH(_xlfn.UNICHAR(65533),S3814)),"Côte d'Ivoire",
TRUE,""
)</f>
        <v/>
      </c>
      <c r="W3814" s="40" t="str">
        <f t="shared" si="252"/>
        <v>Canada</v>
      </c>
    </row>
    <row r="3815" spans="19:23">
      <c r="S3815" s="40" t="str">
        <v>Italy</v>
      </c>
      <c r="T3815" s="40" t="str">
        <f t="shared" si="250"/>
        <v>OK</v>
      </c>
      <c r="U3815" s="40" t="str">
        <f t="shared" si="251"/>
        <v>-</v>
      </c>
      <c r="V3815" s="40" t="str" cm="1">
        <f t="array" ref="V3815">_xlfn.IFS(
ISNUMBER(SEARCH("USA",S3815)),"United States",
ISNUMBER(SEARCH("Republic of Ireland",S3815)),"Ireland",
ISNUMBER(SEARCH("Republic of Korea",S3815)),"South Korea",
ISNUMBER(SEARCH("Cape Verde",S3815)),"Cabo Verde",
ISNUMBER(SEARCH("Czechia",S3815)),"Czech Republic",
ISNUMBER(SEARCH("Türkiye",S3815)),"Turkey",
ISNUMBER(SEARCH("Ivory Coast",S3815)),"Côte d'Ivoire",
ISNUMBER(SEARCH("Korea Republic",S3815)),"South Korea",
ISNUMBER(SEARCH("Germany FR",S3815)),"FR Germany",
ISNUMBER(SEARCH("West Germany",S3815)),"FR Germany",
ISNUMBER(SEARCH("Germany DR",S3815)),"DR Germany",
ISNUMBER(SEARCH("Korea DPR",S3815)),"North Korea",
ISNUMBER(SEARCH("China PR",S3815)),"China",
ISNUMBER(SEARCH("IR Iran",S3815)),"Iran",
ISNUMBER(SEARCH("Congo DR",S3815)),"Democratic Republic of the Congo",
ISNUMBER(SEARCH("DR Congo",S3815)),"Democratic Republic of the Congo",
ISNUMBER(SEARCH("German DR",S3815)),"DR Germany",
ISNUMBER(SEARCH("rn""&gt;United Arab Emirates",S3815)),"United Arab Emirates",
ISNUMBER(SEARCH("rn""&gt;Republic of Ireland",S3815)),"Ireland",
ISNUMBER(SEARCH("rn""&gt;Bosnia and Herzegovina",S3815)),"Bosnia and Herzegovina",
ISNUMBER(SEARCH("rn""&gt;Trinidad and Tobago",S3815)),"Trinidad and Tobago",
ISNUMBER(SEARCH("rn""&gt;Serbia and Montenegro",S3815)),"Serbia and Montenegro",
ISNUMBER(SEARCH(_xlfn.UNICHAR(65533),S3815)),"Côte d'Ivoire",
TRUE,""
)</f>
        <v/>
      </c>
      <c r="W3815" s="40" t="str">
        <f t="shared" si="252"/>
        <v>Italy</v>
      </c>
    </row>
    <row r="3816" spans="19:23">
      <c r="S3816" s="40" t="str">
        <v>Bulgaria</v>
      </c>
      <c r="T3816" s="40" t="str">
        <f t="shared" si="250"/>
        <v>OK</v>
      </c>
      <c r="U3816" s="40" t="str">
        <f t="shared" si="251"/>
        <v>-</v>
      </c>
      <c r="V3816" s="40" t="str" cm="1">
        <f t="array" ref="V3816">_xlfn.IFS(
ISNUMBER(SEARCH("USA",S3816)),"United States",
ISNUMBER(SEARCH("Republic of Ireland",S3816)),"Ireland",
ISNUMBER(SEARCH("Republic of Korea",S3816)),"South Korea",
ISNUMBER(SEARCH("Cape Verde",S3816)),"Cabo Verde",
ISNUMBER(SEARCH("Czechia",S3816)),"Czech Republic",
ISNUMBER(SEARCH("Türkiye",S3816)),"Turkey",
ISNUMBER(SEARCH("Ivory Coast",S3816)),"Côte d'Ivoire",
ISNUMBER(SEARCH("Korea Republic",S3816)),"South Korea",
ISNUMBER(SEARCH("Germany FR",S3816)),"FR Germany",
ISNUMBER(SEARCH("West Germany",S3816)),"FR Germany",
ISNUMBER(SEARCH("Germany DR",S3816)),"DR Germany",
ISNUMBER(SEARCH("Korea DPR",S3816)),"North Korea",
ISNUMBER(SEARCH("China PR",S3816)),"China",
ISNUMBER(SEARCH("IR Iran",S3816)),"Iran",
ISNUMBER(SEARCH("Congo DR",S3816)),"Democratic Republic of the Congo",
ISNUMBER(SEARCH("DR Congo",S3816)),"Democratic Republic of the Congo",
ISNUMBER(SEARCH("German DR",S3816)),"DR Germany",
ISNUMBER(SEARCH("rn""&gt;United Arab Emirates",S3816)),"United Arab Emirates",
ISNUMBER(SEARCH("rn""&gt;Republic of Ireland",S3816)),"Ireland",
ISNUMBER(SEARCH("rn""&gt;Bosnia and Herzegovina",S3816)),"Bosnia and Herzegovina",
ISNUMBER(SEARCH("rn""&gt;Trinidad and Tobago",S3816)),"Trinidad and Tobago",
ISNUMBER(SEARCH("rn""&gt;Serbia and Montenegro",S3816)),"Serbia and Montenegro",
ISNUMBER(SEARCH(_xlfn.UNICHAR(65533),S3816)),"Côte d'Ivoire",
TRUE,""
)</f>
        <v/>
      </c>
      <c r="W3816" s="40" t="str">
        <f t="shared" si="252"/>
        <v>Bulgaria</v>
      </c>
    </row>
    <row r="3817" spans="19:23">
      <c r="S3817" s="40" t="str">
        <v>Belgium</v>
      </c>
      <c r="T3817" s="40" t="str">
        <f t="shared" si="250"/>
        <v>OK</v>
      </c>
      <c r="U3817" s="40" t="str">
        <f t="shared" si="251"/>
        <v>-</v>
      </c>
      <c r="V3817" s="40" t="str" cm="1">
        <f t="array" ref="V3817">_xlfn.IFS(
ISNUMBER(SEARCH("USA",S3817)),"United States",
ISNUMBER(SEARCH("Republic of Ireland",S3817)),"Ireland",
ISNUMBER(SEARCH("Republic of Korea",S3817)),"South Korea",
ISNUMBER(SEARCH("Cape Verde",S3817)),"Cabo Verde",
ISNUMBER(SEARCH("Czechia",S3817)),"Czech Republic",
ISNUMBER(SEARCH("Türkiye",S3817)),"Turkey",
ISNUMBER(SEARCH("Ivory Coast",S3817)),"Côte d'Ivoire",
ISNUMBER(SEARCH("Korea Republic",S3817)),"South Korea",
ISNUMBER(SEARCH("Germany FR",S3817)),"FR Germany",
ISNUMBER(SEARCH("West Germany",S3817)),"FR Germany",
ISNUMBER(SEARCH("Germany DR",S3817)),"DR Germany",
ISNUMBER(SEARCH("Korea DPR",S3817)),"North Korea",
ISNUMBER(SEARCH("China PR",S3817)),"China",
ISNUMBER(SEARCH("IR Iran",S3817)),"Iran",
ISNUMBER(SEARCH("Congo DR",S3817)),"Democratic Republic of the Congo",
ISNUMBER(SEARCH("DR Congo",S3817)),"Democratic Republic of the Congo",
ISNUMBER(SEARCH("German DR",S3817)),"DR Germany",
ISNUMBER(SEARCH("rn""&gt;United Arab Emirates",S3817)),"United Arab Emirates",
ISNUMBER(SEARCH("rn""&gt;Republic of Ireland",S3817)),"Ireland",
ISNUMBER(SEARCH("rn""&gt;Bosnia and Herzegovina",S3817)),"Bosnia and Herzegovina",
ISNUMBER(SEARCH("rn""&gt;Trinidad and Tobago",S3817)),"Trinidad and Tobago",
ISNUMBER(SEARCH("rn""&gt;Serbia and Montenegro",S3817)),"Serbia and Montenegro",
ISNUMBER(SEARCH(_xlfn.UNICHAR(65533),S3817)),"Côte d'Ivoire",
TRUE,""
)</f>
        <v/>
      </c>
      <c r="W3817" s="40" t="str">
        <f t="shared" si="252"/>
        <v>Belgium</v>
      </c>
    </row>
    <row r="3818" spans="19:23">
      <c r="S3818" s="40" t="str">
        <v>Mexico</v>
      </c>
      <c r="T3818" s="40" t="str">
        <f t="shared" si="250"/>
        <v>OK</v>
      </c>
      <c r="U3818" s="40" t="str">
        <f t="shared" si="251"/>
        <v>-</v>
      </c>
      <c r="V3818" s="40" t="str" cm="1">
        <f t="array" ref="V3818">_xlfn.IFS(
ISNUMBER(SEARCH("USA",S3818)),"United States",
ISNUMBER(SEARCH("Republic of Ireland",S3818)),"Ireland",
ISNUMBER(SEARCH("Republic of Korea",S3818)),"South Korea",
ISNUMBER(SEARCH("Cape Verde",S3818)),"Cabo Verde",
ISNUMBER(SEARCH("Czechia",S3818)),"Czech Republic",
ISNUMBER(SEARCH("Türkiye",S3818)),"Turkey",
ISNUMBER(SEARCH("Ivory Coast",S3818)),"Côte d'Ivoire",
ISNUMBER(SEARCH("Korea Republic",S3818)),"South Korea",
ISNUMBER(SEARCH("Germany FR",S3818)),"FR Germany",
ISNUMBER(SEARCH("West Germany",S3818)),"FR Germany",
ISNUMBER(SEARCH("Germany DR",S3818)),"DR Germany",
ISNUMBER(SEARCH("Korea DPR",S3818)),"North Korea",
ISNUMBER(SEARCH("China PR",S3818)),"China",
ISNUMBER(SEARCH("IR Iran",S3818)),"Iran",
ISNUMBER(SEARCH("Congo DR",S3818)),"Democratic Republic of the Congo",
ISNUMBER(SEARCH("DR Congo",S3818)),"Democratic Republic of the Congo",
ISNUMBER(SEARCH("German DR",S3818)),"DR Germany",
ISNUMBER(SEARCH("rn""&gt;United Arab Emirates",S3818)),"United Arab Emirates",
ISNUMBER(SEARCH("rn""&gt;Republic of Ireland",S3818)),"Ireland",
ISNUMBER(SEARCH("rn""&gt;Bosnia and Herzegovina",S3818)),"Bosnia and Herzegovina",
ISNUMBER(SEARCH("rn""&gt;Trinidad and Tobago",S3818)),"Trinidad and Tobago",
ISNUMBER(SEARCH("rn""&gt;Serbia and Montenegro",S3818)),"Serbia and Montenegro",
ISNUMBER(SEARCH(_xlfn.UNICHAR(65533),S3818)),"Côte d'Ivoire",
TRUE,""
)</f>
        <v/>
      </c>
      <c r="W3818" s="40" t="str">
        <f t="shared" si="252"/>
        <v>Mexico</v>
      </c>
    </row>
    <row r="3819" spans="19:23">
      <c r="S3819" s="40" t="str">
        <v>Morocco</v>
      </c>
      <c r="T3819" s="40" t="str">
        <f t="shared" si="250"/>
        <v>OK</v>
      </c>
      <c r="U3819" s="40" t="str">
        <f t="shared" si="251"/>
        <v>-</v>
      </c>
      <c r="V3819" s="40" t="str" cm="1">
        <f t="array" ref="V3819">_xlfn.IFS(
ISNUMBER(SEARCH("USA",S3819)),"United States",
ISNUMBER(SEARCH("Republic of Ireland",S3819)),"Ireland",
ISNUMBER(SEARCH("Republic of Korea",S3819)),"South Korea",
ISNUMBER(SEARCH("Cape Verde",S3819)),"Cabo Verde",
ISNUMBER(SEARCH("Czechia",S3819)),"Czech Republic",
ISNUMBER(SEARCH("Türkiye",S3819)),"Turkey",
ISNUMBER(SEARCH("Ivory Coast",S3819)),"Côte d'Ivoire",
ISNUMBER(SEARCH("Korea Republic",S3819)),"South Korea",
ISNUMBER(SEARCH("Germany FR",S3819)),"FR Germany",
ISNUMBER(SEARCH("West Germany",S3819)),"FR Germany",
ISNUMBER(SEARCH("Germany DR",S3819)),"DR Germany",
ISNUMBER(SEARCH("Korea DPR",S3819)),"North Korea",
ISNUMBER(SEARCH("China PR",S3819)),"China",
ISNUMBER(SEARCH("IR Iran",S3819)),"Iran",
ISNUMBER(SEARCH("Congo DR",S3819)),"Democratic Republic of the Congo",
ISNUMBER(SEARCH("DR Congo",S3819)),"Democratic Republic of the Congo",
ISNUMBER(SEARCH("German DR",S3819)),"DR Germany",
ISNUMBER(SEARCH("rn""&gt;United Arab Emirates",S3819)),"United Arab Emirates",
ISNUMBER(SEARCH("rn""&gt;Republic of Ireland",S3819)),"Ireland",
ISNUMBER(SEARCH("rn""&gt;Bosnia and Herzegovina",S3819)),"Bosnia and Herzegovina",
ISNUMBER(SEARCH("rn""&gt;Trinidad and Tobago",S3819)),"Trinidad and Tobago",
ISNUMBER(SEARCH("rn""&gt;Serbia and Montenegro",S3819)),"Serbia and Montenegro",
ISNUMBER(SEARCH(_xlfn.UNICHAR(65533),S3819)),"Côte d'Ivoire",
TRUE,""
)</f>
        <v/>
      </c>
      <c r="W3819" s="40" t="str">
        <f t="shared" si="252"/>
        <v>Morocco</v>
      </c>
    </row>
    <row r="3820" spans="19:23">
      <c r="S3820" s="40" t="str">
        <v>Poland</v>
      </c>
      <c r="T3820" s="40" t="str">
        <f t="shared" si="250"/>
        <v>OK</v>
      </c>
      <c r="U3820" s="40" t="str">
        <f t="shared" si="251"/>
        <v>-</v>
      </c>
      <c r="V3820" s="40" t="str" cm="1">
        <f t="array" ref="V3820">_xlfn.IFS(
ISNUMBER(SEARCH("USA",S3820)),"United States",
ISNUMBER(SEARCH("Republic of Ireland",S3820)),"Ireland",
ISNUMBER(SEARCH("Republic of Korea",S3820)),"South Korea",
ISNUMBER(SEARCH("Cape Verde",S3820)),"Cabo Verde",
ISNUMBER(SEARCH("Czechia",S3820)),"Czech Republic",
ISNUMBER(SEARCH("Türkiye",S3820)),"Turkey",
ISNUMBER(SEARCH("Ivory Coast",S3820)),"Côte d'Ivoire",
ISNUMBER(SEARCH("Korea Republic",S3820)),"South Korea",
ISNUMBER(SEARCH("Germany FR",S3820)),"FR Germany",
ISNUMBER(SEARCH("West Germany",S3820)),"FR Germany",
ISNUMBER(SEARCH("Germany DR",S3820)),"DR Germany",
ISNUMBER(SEARCH("Korea DPR",S3820)),"North Korea",
ISNUMBER(SEARCH("China PR",S3820)),"China",
ISNUMBER(SEARCH("IR Iran",S3820)),"Iran",
ISNUMBER(SEARCH("Congo DR",S3820)),"Democratic Republic of the Congo",
ISNUMBER(SEARCH("DR Congo",S3820)),"Democratic Republic of the Congo",
ISNUMBER(SEARCH("German DR",S3820)),"DR Germany",
ISNUMBER(SEARCH("rn""&gt;United Arab Emirates",S3820)),"United Arab Emirates",
ISNUMBER(SEARCH("rn""&gt;Republic of Ireland",S3820)),"Ireland",
ISNUMBER(SEARCH("rn""&gt;Bosnia and Herzegovina",S3820)),"Bosnia and Herzegovina",
ISNUMBER(SEARCH("rn""&gt;Trinidad and Tobago",S3820)),"Trinidad and Tobago",
ISNUMBER(SEARCH("rn""&gt;Serbia and Montenegro",S3820)),"Serbia and Montenegro",
ISNUMBER(SEARCH(_xlfn.UNICHAR(65533),S3820)),"Côte d'Ivoire",
TRUE,""
)</f>
        <v/>
      </c>
      <c r="W3820" s="40" t="str">
        <f t="shared" si="252"/>
        <v>Poland</v>
      </c>
    </row>
    <row r="3821" spans="19:23">
      <c r="S3821" s="40" t="str">
        <v>Brazil</v>
      </c>
      <c r="T3821" s="40" t="str">
        <f t="shared" si="250"/>
        <v>OK</v>
      </c>
      <c r="U3821" s="40" t="str">
        <f t="shared" si="251"/>
        <v>-</v>
      </c>
      <c r="V3821" s="40" t="str" cm="1">
        <f t="array" ref="V3821">_xlfn.IFS(
ISNUMBER(SEARCH("USA",S3821)),"United States",
ISNUMBER(SEARCH("Republic of Ireland",S3821)),"Ireland",
ISNUMBER(SEARCH("Republic of Korea",S3821)),"South Korea",
ISNUMBER(SEARCH("Cape Verde",S3821)),"Cabo Verde",
ISNUMBER(SEARCH("Czechia",S3821)),"Czech Republic",
ISNUMBER(SEARCH("Türkiye",S3821)),"Turkey",
ISNUMBER(SEARCH("Ivory Coast",S3821)),"Côte d'Ivoire",
ISNUMBER(SEARCH("Korea Republic",S3821)),"South Korea",
ISNUMBER(SEARCH("Germany FR",S3821)),"FR Germany",
ISNUMBER(SEARCH("West Germany",S3821)),"FR Germany",
ISNUMBER(SEARCH("Germany DR",S3821)),"DR Germany",
ISNUMBER(SEARCH("Korea DPR",S3821)),"North Korea",
ISNUMBER(SEARCH("China PR",S3821)),"China",
ISNUMBER(SEARCH("IR Iran",S3821)),"Iran",
ISNUMBER(SEARCH("Congo DR",S3821)),"Democratic Republic of the Congo",
ISNUMBER(SEARCH("DR Congo",S3821)),"Democratic Republic of the Congo",
ISNUMBER(SEARCH("German DR",S3821)),"DR Germany",
ISNUMBER(SEARCH("rn""&gt;United Arab Emirates",S3821)),"United Arab Emirates",
ISNUMBER(SEARCH("rn""&gt;Republic of Ireland",S3821)),"Ireland",
ISNUMBER(SEARCH("rn""&gt;Bosnia and Herzegovina",S3821)),"Bosnia and Herzegovina",
ISNUMBER(SEARCH("rn""&gt;Trinidad and Tobago",S3821)),"Trinidad and Tobago",
ISNUMBER(SEARCH("rn""&gt;Serbia and Montenegro",S3821)),"Serbia and Montenegro",
ISNUMBER(SEARCH(_xlfn.UNICHAR(65533),S3821)),"Côte d'Ivoire",
TRUE,""
)</f>
        <v/>
      </c>
      <c r="W3821" s="40" t="str">
        <f t="shared" si="252"/>
        <v>Brazil</v>
      </c>
    </row>
    <row r="3822" spans="19:23">
      <c r="S3822" s="40" t="str">
        <v>Spain</v>
      </c>
      <c r="T3822" s="40" t="str">
        <f t="shared" si="250"/>
        <v>OK</v>
      </c>
      <c r="U3822" s="40" t="str">
        <f t="shared" si="251"/>
        <v>-</v>
      </c>
      <c r="V3822" s="40" t="str" cm="1">
        <f t="array" ref="V3822">_xlfn.IFS(
ISNUMBER(SEARCH("USA",S3822)),"United States",
ISNUMBER(SEARCH("Republic of Ireland",S3822)),"Ireland",
ISNUMBER(SEARCH("Republic of Korea",S3822)),"South Korea",
ISNUMBER(SEARCH("Cape Verde",S3822)),"Cabo Verde",
ISNUMBER(SEARCH("Czechia",S3822)),"Czech Republic",
ISNUMBER(SEARCH("Türkiye",S3822)),"Turkey",
ISNUMBER(SEARCH("Ivory Coast",S3822)),"Côte d'Ivoire",
ISNUMBER(SEARCH("Korea Republic",S3822)),"South Korea",
ISNUMBER(SEARCH("Germany FR",S3822)),"FR Germany",
ISNUMBER(SEARCH("West Germany",S3822)),"FR Germany",
ISNUMBER(SEARCH("Germany DR",S3822)),"DR Germany",
ISNUMBER(SEARCH("Korea DPR",S3822)),"North Korea",
ISNUMBER(SEARCH("China PR",S3822)),"China",
ISNUMBER(SEARCH("IR Iran",S3822)),"Iran",
ISNUMBER(SEARCH("Congo DR",S3822)),"Democratic Republic of the Congo",
ISNUMBER(SEARCH("DR Congo",S3822)),"Democratic Republic of the Congo",
ISNUMBER(SEARCH("German DR",S3822)),"DR Germany",
ISNUMBER(SEARCH("rn""&gt;United Arab Emirates",S3822)),"United Arab Emirates",
ISNUMBER(SEARCH("rn""&gt;Republic of Ireland",S3822)),"Ireland",
ISNUMBER(SEARCH("rn""&gt;Bosnia and Herzegovina",S3822)),"Bosnia and Herzegovina",
ISNUMBER(SEARCH("rn""&gt;Trinidad and Tobago",S3822)),"Trinidad and Tobago",
ISNUMBER(SEARCH("rn""&gt;Serbia and Montenegro",S3822)),"Serbia and Montenegro",
ISNUMBER(SEARCH(_xlfn.UNICHAR(65533),S3822)),"Côte d'Ivoire",
TRUE,""
)</f>
        <v/>
      </c>
      <c r="W3822" s="40" t="str">
        <f t="shared" si="252"/>
        <v>Spain</v>
      </c>
    </row>
    <row r="3823" spans="19:23">
      <c r="S3823" s="40" t="str">
        <v>Uruguay</v>
      </c>
      <c r="T3823" s="40" t="str">
        <f t="shared" si="250"/>
        <v>OK</v>
      </c>
      <c r="U3823" s="40" t="str">
        <f t="shared" si="251"/>
        <v>-</v>
      </c>
      <c r="V3823" s="40" t="str" cm="1">
        <f t="array" ref="V3823">_xlfn.IFS(
ISNUMBER(SEARCH("USA",S3823)),"United States",
ISNUMBER(SEARCH("Republic of Ireland",S3823)),"Ireland",
ISNUMBER(SEARCH("Republic of Korea",S3823)),"South Korea",
ISNUMBER(SEARCH("Cape Verde",S3823)),"Cabo Verde",
ISNUMBER(SEARCH("Czechia",S3823)),"Czech Republic",
ISNUMBER(SEARCH("Türkiye",S3823)),"Turkey",
ISNUMBER(SEARCH("Ivory Coast",S3823)),"Côte d'Ivoire",
ISNUMBER(SEARCH("Korea Republic",S3823)),"South Korea",
ISNUMBER(SEARCH("Germany FR",S3823)),"FR Germany",
ISNUMBER(SEARCH("West Germany",S3823)),"FR Germany",
ISNUMBER(SEARCH("Germany DR",S3823)),"DR Germany",
ISNUMBER(SEARCH("Korea DPR",S3823)),"North Korea",
ISNUMBER(SEARCH("China PR",S3823)),"China",
ISNUMBER(SEARCH("IR Iran",S3823)),"Iran",
ISNUMBER(SEARCH("Congo DR",S3823)),"Democratic Republic of the Congo",
ISNUMBER(SEARCH("DR Congo",S3823)),"Democratic Republic of the Congo",
ISNUMBER(SEARCH("German DR",S3823)),"DR Germany",
ISNUMBER(SEARCH("rn""&gt;United Arab Emirates",S3823)),"United Arab Emirates",
ISNUMBER(SEARCH("rn""&gt;Republic of Ireland",S3823)),"Ireland",
ISNUMBER(SEARCH("rn""&gt;Bosnia and Herzegovina",S3823)),"Bosnia and Herzegovina",
ISNUMBER(SEARCH("rn""&gt;Trinidad and Tobago",S3823)),"Trinidad and Tobago",
ISNUMBER(SEARCH("rn""&gt;Serbia and Montenegro",S3823)),"Serbia and Montenegro",
ISNUMBER(SEARCH(_xlfn.UNICHAR(65533),S3823)),"Côte d'Ivoire",
TRUE,""
)</f>
        <v/>
      </c>
      <c r="W3823" s="40" t="str">
        <f t="shared" si="252"/>
        <v>Uruguay</v>
      </c>
    </row>
    <row r="3824" spans="19:23">
      <c r="S3824" s="40" t="str">
        <v>Germany FR</v>
      </c>
      <c r="T3824" s="40" t="str">
        <f t="shared" si="250"/>
        <v>ERREUR</v>
      </c>
      <c r="U3824" s="40" t="str">
        <f t="shared" si="251"/>
        <v>RENOMMER</v>
      </c>
      <c r="V3824" s="40" t="str" cm="1">
        <f t="array" ref="V3824">_xlfn.IFS(
ISNUMBER(SEARCH("USA",S3824)),"United States",
ISNUMBER(SEARCH("Republic of Ireland",S3824)),"Ireland",
ISNUMBER(SEARCH("Republic of Korea",S3824)),"South Korea",
ISNUMBER(SEARCH("Cape Verde",S3824)),"Cabo Verde",
ISNUMBER(SEARCH("Czechia",S3824)),"Czech Republic",
ISNUMBER(SEARCH("Türkiye",S3824)),"Turkey",
ISNUMBER(SEARCH("Ivory Coast",S3824)),"Côte d'Ivoire",
ISNUMBER(SEARCH("Korea Republic",S3824)),"South Korea",
ISNUMBER(SEARCH("Germany FR",S3824)),"FR Germany",
ISNUMBER(SEARCH("West Germany",S3824)),"FR Germany",
ISNUMBER(SEARCH("Germany DR",S3824)),"DR Germany",
ISNUMBER(SEARCH("Korea DPR",S3824)),"North Korea",
ISNUMBER(SEARCH("China PR",S3824)),"China",
ISNUMBER(SEARCH("IR Iran",S3824)),"Iran",
ISNUMBER(SEARCH("Congo DR",S3824)),"Democratic Republic of the Congo",
ISNUMBER(SEARCH("DR Congo",S3824)),"Democratic Republic of the Congo",
ISNUMBER(SEARCH("German DR",S3824)),"DR Germany",
ISNUMBER(SEARCH("rn""&gt;United Arab Emirates",S3824)),"United Arab Emirates",
ISNUMBER(SEARCH("rn""&gt;Republic of Ireland",S3824)),"Ireland",
ISNUMBER(SEARCH("rn""&gt;Bosnia and Herzegovina",S3824)),"Bosnia and Herzegovina",
ISNUMBER(SEARCH("rn""&gt;Trinidad and Tobago",S3824)),"Trinidad and Tobago",
ISNUMBER(SEARCH("rn""&gt;Serbia and Montenegro",S3824)),"Serbia and Montenegro",
ISNUMBER(SEARCH(_xlfn.UNICHAR(65533),S3824)),"Côte d'Ivoire",
TRUE,""
)</f>
        <v>FR Germany</v>
      </c>
      <c r="W3824" s="40" t="str">
        <f t="shared" si="252"/>
        <v>FR Germany</v>
      </c>
    </row>
    <row r="3825" spans="19:23">
      <c r="S3825" s="40" t="str">
        <v>Belgium</v>
      </c>
      <c r="T3825" s="40" t="str">
        <f t="shared" si="250"/>
        <v>OK</v>
      </c>
      <c r="U3825" s="40" t="str">
        <f t="shared" si="251"/>
        <v>-</v>
      </c>
      <c r="V3825" s="40" t="str" cm="1">
        <f t="array" ref="V3825">_xlfn.IFS(
ISNUMBER(SEARCH("USA",S3825)),"United States",
ISNUMBER(SEARCH("Republic of Ireland",S3825)),"Ireland",
ISNUMBER(SEARCH("Republic of Korea",S3825)),"South Korea",
ISNUMBER(SEARCH("Cape Verde",S3825)),"Cabo Verde",
ISNUMBER(SEARCH("Czechia",S3825)),"Czech Republic",
ISNUMBER(SEARCH("Türkiye",S3825)),"Turkey",
ISNUMBER(SEARCH("Ivory Coast",S3825)),"Côte d'Ivoire",
ISNUMBER(SEARCH("Korea Republic",S3825)),"South Korea",
ISNUMBER(SEARCH("Germany FR",S3825)),"FR Germany",
ISNUMBER(SEARCH("West Germany",S3825)),"FR Germany",
ISNUMBER(SEARCH("Germany DR",S3825)),"DR Germany",
ISNUMBER(SEARCH("Korea DPR",S3825)),"North Korea",
ISNUMBER(SEARCH("China PR",S3825)),"China",
ISNUMBER(SEARCH("IR Iran",S3825)),"Iran",
ISNUMBER(SEARCH("Congo DR",S3825)),"Democratic Republic of the Congo",
ISNUMBER(SEARCH("DR Congo",S3825)),"Democratic Republic of the Congo",
ISNUMBER(SEARCH("German DR",S3825)),"DR Germany",
ISNUMBER(SEARCH("rn""&gt;United Arab Emirates",S3825)),"United Arab Emirates",
ISNUMBER(SEARCH("rn""&gt;Republic of Ireland",S3825)),"Ireland",
ISNUMBER(SEARCH("rn""&gt;Bosnia and Herzegovina",S3825)),"Bosnia and Herzegovina",
ISNUMBER(SEARCH("rn""&gt;Trinidad and Tobago",S3825)),"Trinidad and Tobago",
ISNUMBER(SEARCH("rn""&gt;Serbia and Montenegro",S3825)),"Serbia and Montenegro",
ISNUMBER(SEARCH(_xlfn.UNICHAR(65533),S3825)),"Côte d'Ivoire",
TRUE,""
)</f>
        <v/>
      </c>
      <c r="W3825" s="40" t="str">
        <f t="shared" si="252"/>
        <v>Belgium</v>
      </c>
    </row>
    <row r="3826" spans="19:23">
      <c r="S3826" s="40" t="str">
        <v>Bulgaria</v>
      </c>
      <c r="T3826" s="40" t="str">
        <f t="shared" si="250"/>
        <v>OK</v>
      </c>
      <c r="U3826" s="40" t="str">
        <f t="shared" si="251"/>
        <v>-</v>
      </c>
      <c r="V3826" s="40" t="str" cm="1">
        <f t="array" ref="V3826">_xlfn.IFS(
ISNUMBER(SEARCH("USA",S3826)),"United States",
ISNUMBER(SEARCH("Republic of Ireland",S3826)),"Ireland",
ISNUMBER(SEARCH("Republic of Korea",S3826)),"South Korea",
ISNUMBER(SEARCH("Cape Verde",S3826)),"Cabo Verde",
ISNUMBER(SEARCH("Czechia",S3826)),"Czech Republic",
ISNUMBER(SEARCH("Türkiye",S3826)),"Turkey",
ISNUMBER(SEARCH("Ivory Coast",S3826)),"Côte d'Ivoire",
ISNUMBER(SEARCH("Korea Republic",S3826)),"South Korea",
ISNUMBER(SEARCH("Germany FR",S3826)),"FR Germany",
ISNUMBER(SEARCH("West Germany",S3826)),"FR Germany",
ISNUMBER(SEARCH("Germany DR",S3826)),"DR Germany",
ISNUMBER(SEARCH("Korea DPR",S3826)),"North Korea",
ISNUMBER(SEARCH("China PR",S3826)),"China",
ISNUMBER(SEARCH("IR Iran",S3826)),"Iran",
ISNUMBER(SEARCH("Congo DR",S3826)),"Democratic Republic of the Congo",
ISNUMBER(SEARCH("DR Congo",S3826)),"Democratic Republic of the Congo",
ISNUMBER(SEARCH("German DR",S3826)),"DR Germany",
ISNUMBER(SEARCH("rn""&gt;United Arab Emirates",S3826)),"United Arab Emirates",
ISNUMBER(SEARCH("rn""&gt;Republic of Ireland",S3826)),"Ireland",
ISNUMBER(SEARCH("rn""&gt;Bosnia and Herzegovina",S3826)),"Bosnia and Herzegovina",
ISNUMBER(SEARCH("rn""&gt;Trinidad and Tobago",S3826)),"Trinidad and Tobago",
ISNUMBER(SEARCH("rn""&gt;Serbia and Montenegro",S3826)),"Serbia and Montenegro",
ISNUMBER(SEARCH(_xlfn.UNICHAR(65533),S3826)),"Côte d'Ivoire",
TRUE,""
)</f>
        <v/>
      </c>
      <c r="W3826" s="40" t="str">
        <f t="shared" si="252"/>
        <v>Bulgaria</v>
      </c>
    </row>
    <row r="3827" spans="19:23">
      <c r="S3827" s="40" t="str">
        <v>Uruguay</v>
      </c>
      <c r="T3827" s="40" t="str">
        <f t="shared" si="250"/>
        <v>OK</v>
      </c>
      <c r="U3827" s="40" t="str">
        <f t="shared" si="251"/>
        <v>-</v>
      </c>
      <c r="V3827" s="40" t="str" cm="1">
        <f t="array" ref="V3827">_xlfn.IFS(
ISNUMBER(SEARCH("USA",S3827)),"United States",
ISNUMBER(SEARCH("Republic of Ireland",S3827)),"Ireland",
ISNUMBER(SEARCH("Republic of Korea",S3827)),"South Korea",
ISNUMBER(SEARCH("Cape Verde",S3827)),"Cabo Verde",
ISNUMBER(SEARCH("Czechia",S3827)),"Czech Republic",
ISNUMBER(SEARCH("Türkiye",S3827)),"Turkey",
ISNUMBER(SEARCH("Ivory Coast",S3827)),"Côte d'Ivoire",
ISNUMBER(SEARCH("Korea Republic",S3827)),"South Korea",
ISNUMBER(SEARCH("Germany FR",S3827)),"FR Germany",
ISNUMBER(SEARCH("West Germany",S3827)),"FR Germany",
ISNUMBER(SEARCH("Germany DR",S3827)),"DR Germany",
ISNUMBER(SEARCH("Korea DPR",S3827)),"North Korea",
ISNUMBER(SEARCH("China PR",S3827)),"China",
ISNUMBER(SEARCH("IR Iran",S3827)),"Iran",
ISNUMBER(SEARCH("Congo DR",S3827)),"Democratic Republic of the Congo",
ISNUMBER(SEARCH("DR Congo",S3827)),"Democratic Republic of the Congo",
ISNUMBER(SEARCH("German DR",S3827)),"DR Germany",
ISNUMBER(SEARCH("rn""&gt;United Arab Emirates",S3827)),"United Arab Emirates",
ISNUMBER(SEARCH("rn""&gt;Republic of Ireland",S3827)),"Ireland",
ISNUMBER(SEARCH("rn""&gt;Bosnia and Herzegovina",S3827)),"Bosnia and Herzegovina",
ISNUMBER(SEARCH("rn""&gt;Trinidad and Tobago",S3827)),"Trinidad and Tobago",
ISNUMBER(SEARCH("rn""&gt;Serbia and Montenegro",S3827)),"Serbia and Montenegro",
ISNUMBER(SEARCH(_xlfn.UNICHAR(65533),S3827)),"Côte d'Ivoire",
TRUE,""
)</f>
        <v/>
      </c>
      <c r="W3827" s="40" t="str">
        <f t="shared" si="252"/>
        <v>Uruguay</v>
      </c>
    </row>
    <row r="3828" spans="19:23">
      <c r="S3828" s="40" t="str">
        <v>Poland</v>
      </c>
      <c r="T3828" s="40" t="str">
        <f t="shared" si="250"/>
        <v>OK</v>
      </c>
      <c r="U3828" s="40" t="str">
        <f t="shared" si="251"/>
        <v>-</v>
      </c>
      <c r="V3828" s="40" t="str" cm="1">
        <f t="array" ref="V3828">_xlfn.IFS(
ISNUMBER(SEARCH("USA",S3828)),"United States",
ISNUMBER(SEARCH("Republic of Ireland",S3828)),"Ireland",
ISNUMBER(SEARCH("Republic of Korea",S3828)),"South Korea",
ISNUMBER(SEARCH("Cape Verde",S3828)),"Cabo Verde",
ISNUMBER(SEARCH("Czechia",S3828)),"Czech Republic",
ISNUMBER(SEARCH("Türkiye",S3828)),"Turkey",
ISNUMBER(SEARCH("Ivory Coast",S3828)),"Côte d'Ivoire",
ISNUMBER(SEARCH("Korea Republic",S3828)),"South Korea",
ISNUMBER(SEARCH("Germany FR",S3828)),"FR Germany",
ISNUMBER(SEARCH("West Germany",S3828)),"FR Germany",
ISNUMBER(SEARCH("Germany DR",S3828)),"DR Germany",
ISNUMBER(SEARCH("Korea DPR",S3828)),"North Korea",
ISNUMBER(SEARCH("China PR",S3828)),"China",
ISNUMBER(SEARCH("IR Iran",S3828)),"Iran",
ISNUMBER(SEARCH("Congo DR",S3828)),"Democratic Republic of the Congo",
ISNUMBER(SEARCH("DR Congo",S3828)),"Democratic Republic of the Congo",
ISNUMBER(SEARCH("German DR",S3828)),"DR Germany",
ISNUMBER(SEARCH("rn""&gt;United Arab Emirates",S3828)),"United Arab Emirates",
ISNUMBER(SEARCH("rn""&gt;Republic of Ireland",S3828)),"Ireland",
ISNUMBER(SEARCH("rn""&gt;Bosnia and Herzegovina",S3828)),"Bosnia and Herzegovina",
ISNUMBER(SEARCH("rn""&gt;Trinidad and Tobago",S3828)),"Trinidad and Tobago",
ISNUMBER(SEARCH("rn""&gt;Serbia and Montenegro",S3828)),"Serbia and Montenegro",
ISNUMBER(SEARCH(_xlfn.UNICHAR(65533),S3828)),"Côte d'Ivoire",
TRUE,""
)</f>
        <v/>
      </c>
      <c r="W3828" s="40" t="str">
        <f t="shared" si="252"/>
        <v>Poland</v>
      </c>
    </row>
    <row r="3829" spans="19:23">
      <c r="S3829" s="40" t="str">
        <v>France</v>
      </c>
      <c r="T3829" s="40" t="str">
        <f t="shared" si="250"/>
        <v>OK</v>
      </c>
      <c r="U3829" s="40" t="str">
        <f t="shared" si="251"/>
        <v>-</v>
      </c>
      <c r="V3829" s="40" t="str" cm="1">
        <f t="array" ref="V3829">_xlfn.IFS(
ISNUMBER(SEARCH("USA",S3829)),"United States",
ISNUMBER(SEARCH("Republic of Ireland",S3829)),"Ireland",
ISNUMBER(SEARCH("Republic of Korea",S3829)),"South Korea",
ISNUMBER(SEARCH("Cape Verde",S3829)),"Cabo Verde",
ISNUMBER(SEARCH("Czechia",S3829)),"Czech Republic",
ISNUMBER(SEARCH("Türkiye",S3829)),"Turkey",
ISNUMBER(SEARCH("Ivory Coast",S3829)),"Côte d'Ivoire",
ISNUMBER(SEARCH("Korea Republic",S3829)),"South Korea",
ISNUMBER(SEARCH("Germany FR",S3829)),"FR Germany",
ISNUMBER(SEARCH("West Germany",S3829)),"FR Germany",
ISNUMBER(SEARCH("Germany DR",S3829)),"DR Germany",
ISNUMBER(SEARCH("Korea DPR",S3829)),"North Korea",
ISNUMBER(SEARCH("China PR",S3829)),"China",
ISNUMBER(SEARCH("IR Iran",S3829)),"Iran",
ISNUMBER(SEARCH("Congo DR",S3829)),"Democratic Republic of the Congo",
ISNUMBER(SEARCH("DR Congo",S3829)),"Democratic Republic of the Congo",
ISNUMBER(SEARCH("German DR",S3829)),"DR Germany",
ISNUMBER(SEARCH("rn""&gt;United Arab Emirates",S3829)),"United Arab Emirates",
ISNUMBER(SEARCH("rn""&gt;Republic of Ireland",S3829)),"Ireland",
ISNUMBER(SEARCH("rn""&gt;Bosnia and Herzegovina",S3829)),"Bosnia and Herzegovina",
ISNUMBER(SEARCH("rn""&gt;Trinidad and Tobago",S3829)),"Trinidad and Tobago",
ISNUMBER(SEARCH("rn""&gt;Serbia and Montenegro",S3829)),"Serbia and Montenegro",
ISNUMBER(SEARCH(_xlfn.UNICHAR(65533),S3829)),"Côte d'Ivoire",
TRUE,""
)</f>
        <v/>
      </c>
      <c r="W3829" s="40" t="str">
        <f t="shared" si="252"/>
        <v>France</v>
      </c>
    </row>
    <row r="3830" spans="19:23">
      <c r="S3830" s="40" t="str">
        <v>Germany FR</v>
      </c>
      <c r="T3830" s="40" t="str">
        <f t="shared" si="250"/>
        <v>ERREUR</v>
      </c>
      <c r="U3830" s="40" t="str">
        <f t="shared" si="251"/>
        <v>RENOMMER</v>
      </c>
      <c r="V3830" s="40" t="str" cm="1">
        <f t="array" ref="V3830">_xlfn.IFS(
ISNUMBER(SEARCH("USA",S3830)),"United States",
ISNUMBER(SEARCH("Republic of Ireland",S3830)),"Ireland",
ISNUMBER(SEARCH("Republic of Korea",S3830)),"South Korea",
ISNUMBER(SEARCH("Cape Verde",S3830)),"Cabo Verde",
ISNUMBER(SEARCH("Czechia",S3830)),"Czech Republic",
ISNUMBER(SEARCH("Türkiye",S3830)),"Turkey",
ISNUMBER(SEARCH("Ivory Coast",S3830)),"Côte d'Ivoire",
ISNUMBER(SEARCH("Korea Republic",S3830)),"South Korea",
ISNUMBER(SEARCH("Germany FR",S3830)),"FR Germany",
ISNUMBER(SEARCH("West Germany",S3830)),"FR Germany",
ISNUMBER(SEARCH("Germany DR",S3830)),"DR Germany",
ISNUMBER(SEARCH("Korea DPR",S3830)),"North Korea",
ISNUMBER(SEARCH("China PR",S3830)),"China",
ISNUMBER(SEARCH("IR Iran",S3830)),"Iran",
ISNUMBER(SEARCH("Congo DR",S3830)),"Democratic Republic of the Congo",
ISNUMBER(SEARCH("DR Congo",S3830)),"Democratic Republic of the Congo",
ISNUMBER(SEARCH("German DR",S3830)),"DR Germany",
ISNUMBER(SEARCH("rn""&gt;United Arab Emirates",S3830)),"United Arab Emirates",
ISNUMBER(SEARCH("rn""&gt;Republic of Ireland",S3830)),"Ireland",
ISNUMBER(SEARCH("rn""&gt;Bosnia and Herzegovina",S3830)),"Bosnia and Herzegovina",
ISNUMBER(SEARCH("rn""&gt;Trinidad and Tobago",S3830)),"Trinidad and Tobago",
ISNUMBER(SEARCH("rn""&gt;Serbia and Montenegro",S3830)),"Serbia and Montenegro",
ISNUMBER(SEARCH(_xlfn.UNICHAR(65533),S3830)),"Côte d'Ivoire",
TRUE,""
)</f>
        <v>FR Germany</v>
      </c>
      <c r="W3830" s="40" t="str">
        <f t="shared" si="252"/>
        <v>FR Germany</v>
      </c>
    </row>
    <row r="3831" spans="19:23">
      <c r="S3831" s="40" t="str">
        <v>Paraguay</v>
      </c>
      <c r="T3831" s="40" t="str">
        <f t="shared" si="250"/>
        <v>OK</v>
      </c>
      <c r="U3831" s="40" t="str">
        <f t="shared" si="251"/>
        <v>-</v>
      </c>
      <c r="V3831" s="40" t="str" cm="1">
        <f t="array" ref="V3831">_xlfn.IFS(
ISNUMBER(SEARCH("USA",S3831)),"United States",
ISNUMBER(SEARCH("Republic of Ireland",S3831)),"Ireland",
ISNUMBER(SEARCH("Republic of Korea",S3831)),"South Korea",
ISNUMBER(SEARCH("Cape Verde",S3831)),"Cabo Verde",
ISNUMBER(SEARCH("Czechia",S3831)),"Czech Republic",
ISNUMBER(SEARCH("Türkiye",S3831)),"Turkey",
ISNUMBER(SEARCH("Ivory Coast",S3831)),"Côte d'Ivoire",
ISNUMBER(SEARCH("Korea Republic",S3831)),"South Korea",
ISNUMBER(SEARCH("Germany FR",S3831)),"FR Germany",
ISNUMBER(SEARCH("West Germany",S3831)),"FR Germany",
ISNUMBER(SEARCH("Germany DR",S3831)),"DR Germany",
ISNUMBER(SEARCH("Korea DPR",S3831)),"North Korea",
ISNUMBER(SEARCH("China PR",S3831)),"China",
ISNUMBER(SEARCH("IR Iran",S3831)),"Iran",
ISNUMBER(SEARCH("Congo DR",S3831)),"Democratic Republic of the Congo",
ISNUMBER(SEARCH("DR Congo",S3831)),"Democratic Republic of the Congo",
ISNUMBER(SEARCH("German DR",S3831)),"DR Germany",
ISNUMBER(SEARCH("rn""&gt;United Arab Emirates",S3831)),"United Arab Emirates",
ISNUMBER(SEARCH("rn""&gt;Republic of Ireland",S3831)),"Ireland",
ISNUMBER(SEARCH("rn""&gt;Bosnia and Herzegovina",S3831)),"Bosnia and Herzegovina",
ISNUMBER(SEARCH("rn""&gt;Trinidad and Tobago",S3831)),"Trinidad and Tobago",
ISNUMBER(SEARCH("rn""&gt;Serbia and Montenegro",S3831)),"Serbia and Montenegro",
ISNUMBER(SEARCH(_xlfn.UNICHAR(65533),S3831)),"Côte d'Ivoire",
TRUE,""
)</f>
        <v/>
      </c>
      <c r="W3831" s="40" t="str">
        <f t="shared" si="252"/>
        <v>Paraguay</v>
      </c>
    </row>
    <row r="3832" spans="19:23">
      <c r="S3832" s="40" t="str">
        <v>Spain</v>
      </c>
      <c r="T3832" s="40" t="str">
        <f t="shared" si="250"/>
        <v>OK</v>
      </c>
      <c r="U3832" s="40" t="str">
        <f t="shared" si="251"/>
        <v>-</v>
      </c>
      <c r="V3832" s="40" t="str" cm="1">
        <f t="array" ref="V3832">_xlfn.IFS(
ISNUMBER(SEARCH("USA",S3832)),"United States",
ISNUMBER(SEARCH("Republic of Ireland",S3832)),"Ireland",
ISNUMBER(SEARCH("Republic of Korea",S3832)),"South Korea",
ISNUMBER(SEARCH("Cape Verde",S3832)),"Cabo Verde",
ISNUMBER(SEARCH("Czechia",S3832)),"Czech Republic",
ISNUMBER(SEARCH("Türkiye",S3832)),"Turkey",
ISNUMBER(SEARCH("Ivory Coast",S3832)),"Côte d'Ivoire",
ISNUMBER(SEARCH("Korea Republic",S3832)),"South Korea",
ISNUMBER(SEARCH("Germany FR",S3832)),"FR Germany",
ISNUMBER(SEARCH("West Germany",S3832)),"FR Germany",
ISNUMBER(SEARCH("Germany DR",S3832)),"DR Germany",
ISNUMBER(SEARCH("Korea DPR",S3832)),"North Korea",
ISNUMBER(SEARCH("China PR",S3832)),"China",
ISNUMBER(SEARCH("IR Iran",S3832)),"Iran",
ISNUMBER(SEARCH("Congo DR",S3832)),"Democratic Republic of the Congo",
ISNUMBER(SEARCH("DR Congo",S3832)),"Democratic Republic of the Congo",
ISNUMBER(SEARCH("German DR",S3832)),"DR Germany",
ISNUMBER(SEARCH("rn""&gt;United Arab Emirates",S3832)),"United Arab Emirates",
ISNUMBER(SEARCH("rn""&gt;Republic of Ireland",S3832)),"Ireland",
ISNUMBER(SEARCH("rn""&gt;Bosnia and Herzegovina",S3832)),"Bosnia and Herzegovina",
ISNUMBER(SEARCH("rn""&gt;Trinidad and Tobago",S3832)),"Trinidad and Tobago",
ISNUMBER(SEARCH("rn""&gt;Serbia and Montenegro",S3832)),"Serbia and Montenegro",
ISNUMBER(SEARCH(_xlfn.UNICHAR(65533),S3832)),"Côte d'Ivoire",
TRUE,""
)</f>
        <v/>
      </c>
      <c r="W3832" s="40" t="str">
        <f t="shared" si="252"/>
        <v>Spain</v>
      </c>
    </row>
    <row r="3833" spans="19:23">
      <c r="S3833" s="40" t="str">
        <v>France</v>
      </c>
      <c r="T3833" s="40" t="str">
        <f t="shared" si="250"/>
        <v>OK</v>
      </c>
      <c r="U3833" s="40" t="str">
        <f t="shared" si="251"/>
        <v>-</v>
      </c>
      <c r="V3833" s="40" t="str" cm="1">
        <f t="array" ref="V3833">_xlfn.IFS(
ISNUMBER(SEARCH("USA",S3833)),"United States",
ISNUMBER(SEARCH("Republic of Ireland",S3833)),"Ireland",
ISNUMBER(SEARCH("Republic of Korea",S3833)),"South Korea",
ISNUMBER(SEARCH("Cape Verde",S3833)),"Cabo Verde",
ISNUMBER(SEARCH("Czechia",S3833)),"Czech Republic",
ISNUMBER(SEARCH("Türkiye",S3833)),"Turkey",
ISNUMBER(SEARCH("Ivory Coast",S3833)),"Côte d'Ivoire",
ISNUMBER(SEARCH("Korea Republic",S3833)),"South Korea",
ISNUMBER(SEARCH("Germany FR",S3833)),"FR Germany",
ISNUMBER(SEARCH("West Germany",S3833)),"FR Germany",
ISNUMBER(SEARCH("Germany DR",S3833)),"DR Germany",
ISNUMBER(SEARCH("Korea DPR",S3833)),"North Korea",
ISNUMBER(SEARCH("China PR",S3833)),"China",
ISNUMBER(SEARCH("IR Iran",S3833)),"Iran",
ISNUMBER(SEARCH("Congo DR",S3833)),"Democratic Republic of the Congo",
ISNUMBER(SEARCH("DR Congo",S3833)),"Democratic Republic of the Congo",
ISNUMBER(SEARCH("German DR",S3833)),"DR Germany",
ISNUMBER(SEARCH("rn""&gt;United Arab Emirates",S3833)),"United Arab Emirates",
ISNUMBER(SEARCH("rn""&gt;Republic of Ireland",S3833)),"Ireland",
ISNUMBER(SEARCH("rn""&gt;Bosnia and Herzegovina",S3833)),"Bosnia and Herzegovina",
ISNUMBER(SEARCH("rn""&gt;Trinidad and Tobago",S3833)),"Trinidad and Tobago",
ISNUMBER(SEARCH("rn""&gt;Serbia and Montenegro",S3833)),"Serbia and Montenegro",
ISNUMBER(SEARCH(_xlfn.UNICHAR(65533),S3833)),"Côte d'Ivoire",
TRUE,""
)</f>
        <v/>
      </c>
      <c r="W3833" s="40" t="str">
        <f t="shared" si="252"/>
        <v>France</v>
      </c>
    </row>
    <row r="3834" spans="19:23">
      <c r="S3834" s="40" t="str">
        <v>Mexico</v>
      </c>
      <c r="T3834" s="40" t="str">
        <f t="shared" si="250"/>
        <v>OK</v>
      </c>
      <c r="U3834" s="40" t="str">
        <f t="shared" si="251"/>
        <v>-</v>
      </c>
      <c r="V3834" s="40" t="str" cm="1">
        <f t="array" ref="V3834">_xlfn.IFS(
ISNUMBER(SEARCH("USA",S3834)),"United States",
ISNUMBER(SEARCH("Republic of Ireland",S3834)),"Ireland",
ISNUMBER(SEARCH("Republic of Korea",S3834)),"South Korea",
ISNUMBER(SEARCH("Cape Verde",S3834)),"Cabo Verde",
ISNUMBER(SEARCH("Czechia",S3834)),"Czech Republic",
ISNUMBER(SEARCH("Türkiye",S3834)),"Turkey",
ISNUMBER(SEARCH("Ivory Coast",S3834)),"Côte d'Ivoire",
ISNUMBER(SEARCH("Korea Republic",S3834)),"South Korea",
ISNUMBER(SEARCH("Germany FR",S3834)),"FR Germany",
ISNUMBER(SEARCH("West Germany",S3834)),"FR Germany",
ISNUMBER(SEARCH("Germany DR",S3834)),"DR Germany",
ISNUMBER(SEARCH("Korea DPR",S3834)),"North Korea",
ISNUMBER(SEARCH("China PR",S3834)),"China",
ISNUMBER(SEARCH("IR Iran",S3834)),"Iran",
ISNUMBER(SEARCH("Congo DR",S3834)),"Democratic Republic of the Congo",
ISNUMBER(SEARCH("DR Congo",S3834)),"Democratic Republic of the Congo",
ISNUMBER(SEARCH("German DR",S3834)),"DR Germany",
ISNUMBER(SEARCH("rn""&gt;United Arab Emirates",S3834)),"United Arab Emirates",
ISNUMBER(SEARCH("rn""&gt;Republic of Ireland",S3834)),"Ireland",
ISNUMBER(SEARCH("rn""&gt;Bosnia and Herzegovina",S3834)),"Bosnia and Herzegovina",
ISNUMBER(SEARCH("rn""&gt;Trinidad and Tobago",S3834)),"Trinidad and Tobago",
ISNUMBER(SEARCH("rn""&gt;Serbia and Montenegro",S3834)),"Serbia and Montenegro",
ISNUMBER(SEARCH(_xlfn.UNICHAR(65533),S3834)),"Côte d'Ivoire",
TRUE,""
)</f>
        <v/>
      </c>
      <c r="W3834" s="40" t="str">
        <f t="shared" si="252"/>
        <v>Mexico</v>
      </c>
    </row>
    <row r="3835" spans="19:23">
      <c r="S3835" s="40" t="str">
        <v>Belgium</v>
      </c>
      <c r="T3835" s="40" t="str">
        <f t="shared" si="250"/>
        <v>OK</v>
      </c>
      <c r="U3835" s="40" t="str">
        <f t="shared" si="251"/>
        <v>-</v>
      </c>
      <c r="V3835" s="40" t="str" cm="1">
        <f t="array" ref="V3835">_xlfn.IFS(
ISNUMBER(SEARCH("USA",S3835)),"United States",
ISNUMBER(SEARCH("Republic of Ireland",S3835)),"Ireland",
ISNUMBER(SEARCH("Republic of Korea",S3835)),"South Korea",
ISNUMBER(SEARCH("Cape Verde",S3835)),"Cabo Verde",
ISNUMBER(SEARCH("Czechia",S3835)),"Czech Republic",
ISNUMBER(SEARCH("Türkiye",S3835)),"Turkey",
ISNUMBER(SEARCH("Ivory Coast",S3835)),"Côte d'Ivoire",
ISNUMBER(SEARCH("Korea Republic",S3835)),"South Korea",
ISNUMBER(SEARCH("Germany FR",S3835)),"FR Germany",
ISNUMBER(SEARCH("West Germany",S3835)),"FR Germany",
ISNUMBER(SEARCH("Germany DR",S3835)),"DR Germany",
ISNUMBER(SEARCH("Korea DPR",S3835)),"North Korea",
ISNUMBER(SEARCH("China PR",S3835)),"China",
ISNUMBER(SEARCH("IR Iran",S3835)),"Iran",
ISNUMBER(SEARCH("Congo DR",S3835)),"Democratic Republic of the Congo",
ISNUMBER(SEARCH("DR Congo",S3835)),"Democratic Republic of the Congo",
ISNUMBER(SEARCH("German DR",S3835)),"DR Germany",
ISNUMBER(SEARCH("rn""&gt;United Arab Emirates",S3835)),"United Arab Emirates",
ISNUMBER(SEARCH("rn""&gt;Republic of Ireland",S3835)),"Ireland",
ISNUMBER(SEARCH("rn""&gt;Bosnia and Herzegovina",S3835)),"Bosnia and Herzegovina",
ISNUMBER(SEARCH("rn""&gt;Trinidad and Tobago",S3835)),"Trinidad and Tobago",
ISNUMBER(SEARCH("rn""&gt;Serbia and Montenegro",S3835)),"Serbia and Montenegro",
ISNUMBER(SEARCH(_xlfn.UNICHAR(65533),S3835)),"Côte d'Ivoire",
TRUE,""
)</f>
        <v/>
      </c>
      <c r="W3835" s="40" t="str">
        <f t="shared" si="252"/>
        <v>Belgium</v>
      </c>
    </row>
    <row r="3836" spans="19:23">
      <c r="S3836" s="40" t="str">
        <v>England</v>
      </c>
      <c r="T3836" s="40" t="str">
        <f t="shared" si="250"/>
        <v>ERREUR</v>
      </c>
      <c r="U3836" s="40" t="str">
        <f t="shared" si="251"/>
        <v>AUCUNE</v>
      </c>
      <c r="V3836" s="40" t="str" cm="1">
        <f t="array" ref="V3836">_xlfn.IFS(
ISNUMBER(SEARCH("USA",S3836)),"United States",
ISNUMBER(SEARCH("Republic of Ireland",S3836)),"Ireland",
ISNUMBER(SEARCH("Republic of Korea",S3836)),"South Korea",
ISNUMBER(SEARCH("Cape Verde",S3836)),"Cabo Verde",
ISNUMBER(SEARCH("Czechia",S3836)),"Czech Republic",
ISNUMBER(SEARCH("Türkiye",S3836)),"Turkey",
ISNUMBER(SEARCH("Ivory Coast",S3836)),"Côte d'Ivoire",
ISNUMBER(SEARCH("Korea Republic",S3836)),"South Korea",
ISNUMBER(SEARCH("Germany FR",S3836)),"FR Germany",
ISNUMBER(SEARCH("West Germany",S3836)),"FR Germany",
ISNUMBER(SEARCH("Germany DR",S3836)),"DR Germany",
ISNUMBER(SEARCH("Korea DPR",S3836)),"North Korea",
ISNUMBER(SEARCH("China PR",S3836)),"China",
ISNUMBER(SEARCH("IR Iran",S3836)),"Iran",
ISNUMBER(SEARCH("Congo DR",S3836)),"Democratic Republic of the Congo",
ISNUMBER(SEARCH("DR Congo",S3836)),"Democratic Republic of the Congo",
ISNUMBER(SEARCH("German DR",S3836)),"DR Germany",
ISNUMBER(SEARCH("rn""&gt;United Arab Emirates",S3836)),"United Arab Emirates",
ISNUMBER(SEARCH("rn""&gt;Republic of Ireland",S3836)),"Ireland",
ISNUMBER(SEARCH("rn""&gt;Bosnia and Herzegovina",S3836)),"Bosnia and Herzegovina",
ISNUMBER(SEARCH("rn""&gt;Trinidad and Tobago",S3836)),"Trinidad and Tobago",
ISNUMBER(SEARCH("rn""&gt;Serbia and Montenegro",S3836)),"Serbia and Montenegro",
ISNUMBER(SEARCH(_xlfn.UNICHAR(65533),S3836)),"Côte d'Ivoire",
TRUE,""
)</f>
        <v/>
      </c>
      <c r="W3836" s="40" t="str">
        <f t="shared" si="252"/>
        <v>England</v>
      </c>
    </row>
    <row r="3837" spans="19:23">
      <c r="S3837" s="40" t="str">
        <v>Germany FR</v>
      </c>
      <c r="T3837" s="40" t="str">
        <f t="shared" si="250"/>
        <v>ERREUR</v>
      </c>
      <c r="U3837" s="40" t="str">
        <f t="shared" si="251"/>
        <v>RENOMMER</v>
      </c>
      <c r="V3837" s="40" t="str" cm="1">
        <f t="array" ref="V3837">_xlfn.IFS(
ISNUMBER(SEARCH("USA",S3837)),"United States",
ISNUMBER(SEARCH("Republic of Ireland",S3837)),"Ireland",
ISNUMBER(SEARCH("Republic of Korea",S3837)),"South Korea",
ISNUMBER(SEARCH("Cape Verde",S3837)),"Cabo Verde",
ISNUMBER(SEARCH("Czechia",S3837)),"Czech Republic",
ISNUMBER(SEARCH("Türkiye",S3837)),"Turkey",
ISNUMBER(SEARCH("Ivory Coast",S3837)),"Côte d'Ivoire",
ISNUMBER(SEARCH("Korea Republic",S3837)),"South Korea",
ISNUMBER(SEARCH("Germany FR",S3837)),"FR Germany",
ISNUMBER(SEARCH("West Germany",S3837)),"FR Germany",
ISNUMBER(SEARCH("Germany DR",S3837)),"DR Germany",
ISNUMBER(SEARCH("Korea DPR",S3837)),"North Korea",
ISNUMBER(SEARCH("China PR",S3837)),"China",
ISNUMBER(SEARCH("IR Iran",S3837)),"Iran",
ISNUMBER(SEARCH("Congo DR",S3837)),"Democratic Republic of the Congo",
ISNUMBER(SEARCH("DR Congo",S3837)),"Democratic Republic of the Congo",
ISNUMBER(SEARCH("German DR",S3837)),"DR Germany",
ISNUMBER(SEARCH("rn""&gt;United Arab Emirates",S3837)),"United Arab Emirates",
ISNUMBER(SEARCH("rn""&gt;Republic of Ireland",S3837)),"Ireland",
ISNUMBER(SEARCH("rn""&gt;Bosnia and Herzegovina",S3837)),"Bosnia and Herzegovina",
ISNUMBER(SEARCH("rn""&gt;Trinidad and Tobago",S3837)),"Trinidad and Tobago",
ISNUMBER(SEARCH("rn""&gt;Serbia and Montenegro",S3837)),"Serbia and Montenegro",
ISNUMBER(SEARCH(_xlfn.UNICHAR(65533),S3837)),"Côte d'Ivoire",
TRUE,""
)</f>
        <v>FR Germany</v>
      </c>
      <c r="W3837" s="40" t="str">
        <f t="shared" si="252"/>
        <v>FR Germany</v>
      </c>
    </row>
    <row r="3838" spans="19:23">
      <c r="S3838" s="40" t="str">
        <v>Belgium</v>
      </c>
      <c r="T3838" s="40" t="str">
        <f t="shared" si="250"/>
        <v>OK</v>
      </c>
      <c r="U3838" s="40" t="str">
        <f t="shared" si="251"/>
        <v>-</v>
      </c>
      <c r="V3838" s="40" t="str" cm="1">
        <f t="array" ref="V3838">_xlfn.IFS(
ISNUMBER(SEARCH("USA",S3838)),"United States",
ISNUMBER(SEARCH("Republic of Ireland",S3838)),"Ireland",
ISNUMBER(SEARCH("Republic of Korea",S3838)),"South Korea",
ISNUMBER(SEARCH("Cape Verde",S3838)),"Cabo Verde",
ISNUMBER(SEARCH("Czechia",S3838)),"Czech Republic",
ISNUMBER(SEARCH("Türkiye",S3838)),"Turkey",
ISNUMBER(SEARCH("Ivory Coast",S3838)),"Côte d'Ivoire",
ISNUMBER(SEARCH("Korea Republic",S3838)),"South Korea",
ISNUMBER(SEARCH("Germany FR",S3838)),"FR Germany",
ISNUMBER(SEARCH("West Germany",S3838)),"FR Germany",
ISNUMBER(SEARCH("Germany DR",S3838)),"DR Germany",
ISNUMBER(SEARCH("Korea DPR",S3838)),"North Korea",
ISNUMBER(SEARCH("China PR",S3838)),"China",
ISNUMBER(SEARCH("IR Iran",S3838)),"Iran",
ISNUMBER(SEARCH("Congo DR",S3838)),"Democratic Republic of the Congo",
ISNUMBER(SEARCH("DR Congo",S3838)),"Democratic Republic of the Congo",
ISNUMBER(SEARCH("German DR",S3838)),"DR Germany",
ISNUMBER(SEARCH("rn""&gt;United Arab Emirates",S3838)),"United Arab Emirates",
ISNUMBER(SEARCH("rn""&gt;Republic of Ireland",S3838)),"Ireland",
ISNUMBER(SEARCH("rn""&gt;Bosnia and Herzegovina",S3838)),"Bosnia and Herzegovina",
ISNUMBER(SEARCH("rn""&gt;Trinidad and Tobago",S3838)),"Trinidad and Tobago",
ISNUMBER(SEARCH("rn""&gt;Serbia and Montenegro",S3838)),"Serbia and Montenegro",
ISNUMBER(SEARCH(_xlfn.UNICHAR(65533),S3838)),"Côte d'Ivoire",
TRUE,""
)</f>
        <v/>
      </c>
      <c r="W3838" s="40" t="str">
        <f t="shared" si="252"/>
        <v>Belgium</v>
      </c>
    </row>
    <row r="3839" spans="19:23">
      <c r="S3839" s="40" t="str">
        <v>Belgium</v>
      </c>
      <c r="T3839" s="40" t="str">
        <f t="shared" si="250"/>
        <v>OK</v>
      </c>
      <c r="U3839" s="40" t="str">
        <f t="shared" si="251"/>
        <v>-</v>
      </c>
      <c r="V3839" s="40" t="str" cm="1">
        <f t="array" ref="V3839">_xlfn.IFS(
ISNUMBER(SEARCH("USA",S3839)),"United States",
ISNUMBER(SEARCH("Republic of Ireland",S3839)),"Ireland",
ISNUMBER(SEARCH("Republic of Korea",S3839)),"South Korea",
ISNUMBER(SEARCH("Cape Verde",S3839)),"Cabo Verde",
ISNUMBER(SEARCH("Czechia",S3839)),"Czech Republic",
ISNUMBER(SEARCH("Türkiye",S3839)),"Turkey",
ISNUMBER(SEARCH("Ivory Coast",S3839)),"Côte d'Ivoire",
ISNUMBER(SEARCH("Korea Republic",S3839)),"South Korea",
ISNUMBER(SEARCH("Germany FR",S3839)),"FR Germany",
ISNUMBER(SEARCH("West Germany",S3839)),"FR Germany",
ISNUMBER(SEARCH("Germany DR",S3839)),"DR Germany",
ISNUMBER(SEARCH("Korea DPR",S3839)),"North Korea",
ISNUMBER(SEARCH("China PR",S3839)),"China",
ISNUMBER(SEARCH("IR Iran",S3839)),"Iran",
ISNUMBER(SEARCH("Congo DR",S3839)),"Democratic Republic of the Congo",
ISNUMBER(SEARCH("DR Congo",S3839)),"Democratic Republic of the Congo",
ISNUMBER(SEARCH("German DR",S3839)),"DR Germany",
ISNUMBER(SEARCH("rn""&gt;United Arab Emirates",S3839)),"United Arab Emirates",
ISNUMBER(SEARCH("rn""&gt;Republic of Ireland",S3839)),"Ireland",
ISNUMBER(SEARCH("rn""&gt;Bosnia and Herzegovina",S3839)),"Bosnia and Herzegovina",
ISNUMBER(SEARCH("rn""&gt;Trinidad and Tobago",S3839)),"Trinidad and Tobago",
ISNUMBER(SEARCH("rn""&gt;Serbia and Montenegro",S3839)),"Serbia and Montenegro",
ISNUMBER(SEARCH(_xlfn.UNICHAR(65533),S3839)),"Côte d'Ivoire",
TRUE,""
)</f>
        <v/>
      </c>
      <c r="W3839" s="40" t="str">
        <f t="shared" si="252"/>
        <v>Belgium</v>
      </c>
    </row>
    <row r="3840" spans="19:23">
      <c r="S3840" s="40" t="str">
        <v>Germany FR</v>
      </c>
      <c r="T3840" s="40" t="str">
        <f t="shared" si="250"/>
        <v>ERREUR</v>
      </c>
      <c r="U3840" s="40" t="str">
        <f t="shared" si="251"/>
        <v>RENOMMER</v>
      </c>
      <c r="V3840" s="40" t="str" cm="1">
        <f t="array" ref="V3840">_xlfn.IFS(
ISNUMBER(SEARCH("USA",S3840)),"United States",
ISNUMBER(SEARCH("Republic of Ireland",S3840)),"Ireland",
ISNUMBER(SEARCH("Republic of Korea",S3840)),"South Korea",
ISNUMBER(SEARCH("Cape Verde",S3840)),"Cabo Verde",
ISNUMBER(SEARCH("Czechia",S3840)),"Czech Republic",
ISNUMBER(SEARCH("Türkiye",S3840)),"Turkey",
ISNUMBER(SEARCH("Ivory Coast",S3840)),"Côte d'Ivoire",
ISNUMBER(SEARCH("Korea Republic",S3840)),"South Korea",
ISNUMBER(SEARCH("Germany FR",S3840)),"FR Germany",
ISNUMBER(SEARCH("West Germany",S3840)),"FR Germany",
ISNUMBER(SEARCH("Germany DR",S3840)),"DR Germany",
ISNUMBER(SEARCH("Korea DPR",S3840)),"North Korea",
ISNUMBER(SEARCH("China PR",S3840)),"China",
ISNUMBER(SEARCH("IR Iran",S3840)),"Iran",
ISNUMBER(SEARCH("Congo DR",S3840)),"Democratic Republic of the Congo",
ISNUMBER(SEARCH("DR Congo",S3840)),"Democratic Republic of the Congo",
ISNUMBER(SEARCH("German DR",S3840)),"DR Germany",
ISNUMBER(SEARCH("rn""&gt;United Arab Emirates",S3840)),"United Arab Emirates",
ISNUMBER(SEARCH("rn""&gt;Republic of Ireland",S3840)),"Ireland",
ISNUMBER(SEARCH("rn""&gt;Bosnia and Herzegovina",S3840)),"Bosnia and Herzegovina",
ISNUMBER(SEARCH("rn""&gt;Trinidad and Tobago",S3840)),"Trinidad and Tobago",
ISNUMBER(SEARCH("rn""&gt;Serbia and Montenegro",S3840)),"Serbia and Montenegro",
ISNUMBER(SEARCH(_xlfn.UNICHAR(65533),S3840)),"Côte d'Ivoire",
TRUE,""
)</f>
        <v>FR Germany</v>
      </c>
      <c r="W3840" s="40" t="str">
        <f t="shared" si="252"/>
        <v>FR Germany</v>
      </c>
    </row>
    <row r="3841" spans="19:23">
      <c r="S3841" s="40" t="str">
        <v>Cameroon</v>
      </c>
      <c r="T3841" s="40" t="str">
        <f t="shared" si="250"/>
        <v>OK</v>
      </c>
      <c r="U3841" s="40" t="str">
        <f t="shared" si="251"/>
        <v>-</v>
      </c>
      <c r="V3841" s="40" t="str" cm="1">
        <f t="array" ref="V3841">_xlfn.IFS(
ISNUMBER(SEARCH("USA",S3841)),"United States",
ISNUMBER(SEARCH("Republic of Ireland",S3841)),"Ireland",
ISNUMBER(SEARCH("Republic of Korea",S3841)),"South Korea",
ISNUMBER(SEARCH("Cape Verde",S3841)),"Cabo Verde",
ISNUMBER(SEARCH("Czechia",S3841)),"Czech Republic",
ISNUMBER(SEARCH("Türkiye",S3841)),"Turkey",
ISNUMBER(SEARCH("Ivory Coast",S3841)),"Côte d'Ivoire",
ISNUMBER(SEARCH("Korea Republic",S3841)),"South Korea",
ISNUMBER(SEARCH("Germany FR",S3841)),"FR Germany",
ISNUMBER(SEARCH("West Germany",S3841)),"FR Germany",
ISNUMBER(SEARCH("Germany DR",S3841)),"DR Germany",
ISNUMBER(SEARCH("Korea DPR",S3841)),"North Korea",
ISNUMBER(SEARCH("China PR",S3841)),"China",
ISNUMBER(SEARCH("IR Iran",S3841)),"Iran",
ISNUMBER(SEARCH("Congo DR",S3841)),"Democratic Republic of the Congo",
ISNUMBER(SEARCH("DR Congo",S3841)),"Democratic Republic of the Congo",
ISNUMBER(SEARCH("German DR",S3841)),"DR Germany",
ISNUMBER(SEARCH("rn""&gt;United Arab Emirates",S3841)),"United Arab Emirates",
ISNUMBER(SEARCH("rn""&gt;Republic of Ireland",S3841)),"Ireland",
ISNUMBER(SEARCH("rn""&gt;Bosnia and Herzegovina",S3841)),"Bosnia and Herzegovina",
ISNUMBER(SEARCH("rn""&gt;Trinidad and Tobago",S3841)),"Trinidad and Tobago",
ISNUMBER(SEARCH("rn""&gt;Serbia and Montenegro",S3841)),"Serbia and Montenegro",
ISNUMBER(SEARCH(_xlfn.UNICHAR(65533),S3841)),"Côte d'Ivoire",
TRUE,""
)</f>
        <v/>
      </c>
      <c r="W3841" s="40" t="str">
        <f t="shared" si="252"/>
        <v>Cameroon</v>
      </c>
    </row>
    <row r="3842" spans="19:23">
      <c r="S3842" s="40" t="str">
        <v>Romania</v>
      </c>
      <c r="T3842" s="40" t="str">
        <f t="shared" si="250"/>
        <v>OK</v>
      </c>
      <c r="U3842" s="40" t="str">
        <f t="shared" si="251"/>
        <v>-</v>
      </c>
      <c r="V3842" s="40" t="str" cm="1">
        <f t="array" ref="V3842">_xlfn.IFS(
ISNUMBER(SEARCH("USA",S3842)),"United States",
ISNUMBER(SEARCH("Republic of Ireland",S3842)),"Ireland",
ISNUMBER(SEARCH("Republic of Korea",S3842)),"South Korea",
ISNUMBER(SEARCH("Cape Verde",S3842)),"Cabo Verde",
ISNUMBER(SEARCH("Czechia",S3842)),"Czech Republic",
ISNUMBER(SEARCH("Türkiye",S3842)),"Turkey",
ISNUMBER(SEARCH("Ivory Coast",S3842)),"Côte d'Ivoire",
ISNUMBER(SEARCH("Korea Republic",S3842)),"South Korea",
ISNUMBER(SEARCH("Germany FR",S3842)),"FR Germany",
ISNUMBER(SEARCH("West Germany",S3842)),"FR Germany",
ISNUMBER(SEARCH("Germany DR",S3842)),"DR Germany",
ISNUMBER(SEARCH("Korea DPR",S3842)),"North Korea",
ISNUMBER(SEARCH("China PR",S3842)),"China",
ISNUMBER(SEARCH("IR Iran",S3842)),"Iran",
ISNUMBER(SEARCH("Congo DR",S3842)),"Democratic Republic of the Congo",
ISNUMBER(SEARCH("DR Congo",S3842)),"Democratic Republic of the Congo",
ISNUMBER(SEARCH("German DR",S3842)),"DR Germany",
ISNUMBER(SEARCH("rn""&gt;United Arab Emirates",S3842)),"United Arab Emirates",
ISNUMBER(SEARCH("rn""&gt;Republic of Ireland",S3842)),"Ireland",
ISNUMBER(SEARCH("rn""&gt;Bosnia and Herzegovina",S3842)),"Bosnia and Herzegovina",
ISNUMBER(SEARCH("rn""&gt;Trinidad and Tobago",S3842)),"Trinidad and Tobago",
ISNUMBER(SEARCH("rn""&gt;Serbia and Montenegro",S3842)),"Serbia and Montenegro",
ISNUMBER(SEARCH(_xlfn.UNICHAR(65533),S3842)),"Côte d'Ivoire",
TRUE,""
)</f>
        <v/>
      </c>
      <c r="W3842" s="40" t="str">
        <f t="shared" si="252"/>
        <v>Romania</v>
      </c>
    </row>
    <row r="3843" spans="19:23">
      <c r="S3843" s="40" t="str">
        <v>Colombia</v>
      </c>
      <c r="T3843" s="40" t="str">
        <f t="shared" ref="T3843:T3906" si="253">IF(COUNTIF(R$13:R$250,S3843)=1,"OK","ERREUR")</f>
        <v>OK</v>
      </c>
      <c r="U3843" s="40" t="str">
        <f t="shared" si="251"/>
        <v>-</v>
      </c>
      <c r="V3843" s="40" t="str" cm="1">
        <f t="array" ref="V3843">_xlfn.IFS(
ISNUMBER(SEARCH("USA",S3843)),"United States",
ISNUMBER(SEARCH("Republic of Ireland",S3843)),"Ireland",
ISNUMBER(SEARCH("Republic of Korea",S3843)),"South Korea",
ISNUMBER(SEARCH("Cape Verde",S3843)),"Cabo Verde",
ISNUMBER(SEARCH("Czechia",S3843)),"Czech Republic",
ISNUMBER(SEARCH("Türkiye",S3843)),"Turkey",
ISNUMBER(SEARCH("Ivory Coast",S3843)),"Côte d'Ivoire",
ISNUMBER(SEARCH("Korea Republic",S3843)),"South Korea",
ISNUMBER(SEARCH("Germany FR",S3843)),"FR Germany",
ISNUMBER(SEARCH("West Germany",S3843)),"FR Germany",
ISNUMBER(SEARCH("Germany DR",S3843)),"DR Germany",
ISNUMBER(SEARCH("Korea DPR",S3843)),"North Korea",
ISNUMBER(SEARCH("China PR",S3843)),"China",
ISNUMBER(SEARCH("IR Iran",S3843)),"Iran",
ISNUMBER(SEARCH("Congo DR",S3843)),"Democratic Republic of the Congo",
ISNUMBER(SEARCH("DR Congo",S3843)),"Democratic Republic of the Congo",
ISNUMBER(SEARCH("German DR",S3843)),"DR Germany",
ISNUMBER(SEARCH("rn""&gt;United Arab Emirates",S3843)),"United Arab Emirates",
ISNUMBER(SEARCH("rn""&gt;Republic of Ireland",S3843)),"Ireland",
ISNUMBER(SEARCH("rn""&gt;Bosnia and Herzegovina",S3843)),"Bosnia and Herzegovina",
ISNUMBER(SEARCH("rn""&gt;Trinidad and Tobago",S3843)),"Trinidad and Tobago",
ISNUMBER(SEARCH("rn""&gt;Serbia and Montenegro",S3843)),"Serbia and Montenegro",
ISNUMBER(SEARCH(_xlfn.UNICHAR(65533),S3843)),"Côte d'Ivoire",
TRUE,""
)</f>
        <v/>
      </c>
      <c r="W3843" s="40" t="str">
        <f t="shared" si="252"/>
        <v>Colombia</v>
      </c>
    </row>
    <row r="3844" spans="19:23">
      <c r="S3844" s="40" t="str">
        <v>Austria</v>
      </c>
      <c r="T3844" s="40" t="str">
        <f t="shared" si="253"/>
        <v>OK</v>
      </c>
      <c r="U3844" s="40" t="str">
        <f t="shared" ref="U3844:U3907" si="254">IF(OR(S3844="Scotland",S3844="England",S3844="Wales",S3844="Yugoslavia",S3844="Czechoslovakia",S3844="Northern Ireland",S3844="Soviet Union",S3844="Zaire",S3844="Dutch East Indies"),"AUCUNE",IF(OR(S3844="Cape Verde",S3844="USA",S3844="DR Congo",S3844="Republic of Korea",S3844="Germany FR",S3844="Germany DR",S3844="Czechia",S3844="Ivory Coast",S3844="Korea DPR",S3844="China PR",S3844="IR Iran",S3844="Türkiye",S3844="Congo DR",S3844="German DR",S3844="West Germany",S3844="Republic of Ireland",ISNUMBER(SEARCH(_xlfn.UNICHAR(65533),S3844)),S3844="Korea Republic",ISNUMBER(SEARCH("rn""&gt;United Arab Emirates",S3844)),ISNUMBER(SEARCH("rn""&gt;Republic of Ireland",S3844)),ISNUMBER(SEARCH("rn""&gt;Bosnia and Herzegovina",S3844)),ISNUMBER(SEARCH("rn""&gt;Trinidad and Tobago",S3844)),ISNUMBER(SEARCH("rn""&gt;Serbia and Montenegro",S3844)),ISNUMBER(SEARCH(_xlfn.UNICHAR(65533),S3844))),"RENOMMER","-"))</f>
        <v>-</v>
      </c>
      <c r="V3844" s="40" t="str" cm="1">
        <f t="array" ref="V3844">_xlfn.IFS(
ISNUMBER(SEARCH("USA",S3844)),"United States",
ISNUMBER(SEARCH("Republic of Ireland",S3844)),"Ireland",
ISNUMBER(SEARCH("Republic of Korea",S3844)),"South Korea",
ISNUMBER(SEARCH("Cape Verde",S3844)),"Cabo Verde",
ISNUMBER(SEARCH("Czechia",S3844)),"Czech Republic",
ISNUMBER(SEARCH("Türkiye",S3844)),"Turkey",
ISNUMBER(SEARCH("Ivory Coast",S3844)),"Côte d'Ivoire",
ISNUMBER(SEARCH("Korea Republic",S3844)),"South Korea",
ISNUMBER(SEARCH("Germany FR",S3844)),"FR Germany",
ISNUMBER(SEARCH("West Germany",S3844)),"FR Germany",
ISNUMBER(SEARCH("Germany DR",S3844)),"DR Germany",
ISNUMBER(SEARCH("Korea DPR",S3844)),"North Korea",
ISNUMBER(SEARCH("China PR",S3844)),"China",
ISNUMBER(SEARCH("IR Iran",S3844)),"Iran",
ISNUMBER(SEARCH("Congo DR",S3844)),"Democratic Republic of the Congo",
ISNUMBER(SEARCH("DR Congo",S3844)),"Democratic Republic of the Congo",
ISNUMBER(SEARCH("German DR",S3844)),"DR Germany",
ISNUMBER(SEARCH("rn""&gt;United Arab Emirates",S3844)),"United Arab Emirates",
ISNUMBER(SEARCH("rn""&gt;Republic of Ireland",S3844)),"Ireland",
ISNUMBER(SEARCH("rn""&gt;Bosnia and Herzegovina",S3844)),"Bosnia and Herzegovina",
ISNUMBER(SEARCH("rn""&gt;Trinidad and Tobago",S3844)),"Trinidad and Tobago",
ISNUMBER(SEARCH("rn""&gt;Serbia and Montenegro",S3844)),"Serbia and Montenegro",
ISNUMBER(SEARCH(_xlfn.UNICHAR(65533),S3844)),"Côte d'Ivoire",
TRUE,""
)</f>
        <v/>
      </c>
      <c r="W3844" s="40" t="str">
        <f t="shared" ref="W3844:W3907" si="255">IF(V3844="",S3844,V3844)</f>
        <v>Austria</v>
      </c>
    </row>
    <row r="3845" spans="19:23">
      <c r="S3845" s="40" t="str">
        <v>Czechoslovakia</v>
      </c>
      <c r="T3845" s="40" t="str">
        <f t="shared" si="253"/>
        <v>ERREUR</v>
      </c>
      <c r="U3845" s="40" t="str">
        <f t="shared" si="254"/>
        <v>AUCUNE</v>
      </c>
      <c r="V3845" s="40" t="str" cm="1">
        <f t="array" ref="V3845">_xlfn.IFS(
ISNUMBER(SEARCH("USA",S3845)),"United States",
ISNUMBER(SEARCH("Republic of Ireland",S3845)),"Ireland",
ISNUMBER(SEARCH("Republic of Korea",S3845)),"South Korea",
ISNUMBER(SEARCH("Cape Verde",S3845)),"Cabo Verde",
ISNUMBER(SEARCH("Czechia",S3845)),"Czech Republic",
ISNUMBER(SEARCH("Türkiye",S3845)),"Turkey",
ISNUMBER(SEARCH("Ivory Coast",S3845)),"Côte d'Ivoire",
ISNUMBER(SEARCH("Korea Republic",S3845)),"South Korea",
ISNUMBER(SEARCH("Germany FR",S3845)),"FR Germany",
ISNUMBER(SEARCH("West Germany",S3845)),"FR Germany",
ISNUMBER(SEARCH("Germany DR",S3845)),"DR Germany",
ISNUMBER(SEARCH("Korea DPR",S3845)),"North Korea",
ISNUMBER(SEARCH("China PR",S3845)),"China",
ISNUMBER(SEARCH("IR Iran",S3845)),"Iran",
ISNUMBER(SEARCH("Congo DR",S3845)),"Democratic Republic of the Congo",
ISNUMBER(SEARCH("DR Congo",S3845)),"Democratic Republic of the Congo",
ISNUMBER(SEARCH("German DR",S3845)),"DR Germany",
ISNUMBER(SEARCH("rn""&gt;United Arab Emirates",S3845)),"United Arab Emirates",
ISNUMBER(SEARCH("rn""&gt;Republic of Ireland",S3845)),"Ireland",
ISNUMBER(SEARCH("rn""&gt;Bosnia and Herzegovina",S3845)),"Bosnia and Herzegovina",
ISNUMBER(SEARCH("rn""&gt;Trinidad and Tobago",S3845)),"Trinidad and Tobago",
ISNUMBER(SEARCH("rn""&gt;Serbia and Montenegro",S3845)),"Serbia and Montenegro",
ISNUMBER(SEARCH(_xlfn.UNICHAR(65533),S3845)),"Côte d'Ivoire",
TRUE,""
)</f>
        <v/>
      </c>
      <c r="W3845" s="40" t="str">
        <f t="shared" si="255"/>
        <v>Czechoslovakia</v>
      </c>
    </row>
    <row r="3846" spans="19:23">
      <c r="S3846" s="40" t="str">
        <v>Sweden</v>
      </c>
      <c r="T3846" s="40" t="str">
        <f t="shared" si="253"/>
        <v>OK</v>
      </c>
      <c r="U3846" s="40" t="str">
        <f t="shared" si="254"/>
        <v>-</v>
      </c>
      <c r="V3846" s="40" t="str" cm="1">
        <f t="array" ref="V3846">_xlfn.IFS(
ISNUMBER(SEARCH("USA",S3846)),"United States",
ISNUMBER(SEARCH("Republic of Ireland",S3846)),"Ireland",
ISNUMBER(SEARCH("Republic of Korea",S3846)),"South Korea",
ISNUMBER(SEARCH("Cape Verde",S3846)),"Cabo Verde",
ISNUMBER(SEARCH("Czechia",S3846)),"Czech Republic",
ISNUMBER(SEARCH("Türkiye",S3846)),"Turkey",
ISNUMBER(SEARCH("Ivory Coast",S3846)),"Côte d'Ivoire",
ISNUMBER(SEARCH("Korea Republic",S3846)),"South Korea",
ISNUMBER(SEARCH("Germany FR",S3846)),"FR Germany",
ISNUMBER(SEARCH("West Germany",S3846)),"FR Germany",
ISNUMBER(SEARCH("Germany DR",S3846)),"DR Germany",
ISNUMBER(SEARCH("Korea DPR",S3846)),"North Korea",
ISNUMBER(SEARCH("China PR",S3846)),"China",
ISNUMBER(SEARCH("IR Iran",S3846)),"Iran",
ISNUMBER(SEARCH("Congo DR",S3846)),"Democratic Republic of the Congo",
ISNUMBER(SEARCH("DR Congo",S3846)),"Democratic Republic of the Congo",
ISNUMBER(SEARCH("German DR",S3846)),"DR Germany",
ISNUMBER(SEARCH("rn""&gt;United Arab Emirates",S3846)),"United Arab Emirates",
ISNUMBER(SEARCH("rn""&gt;Republic of Ireland",S3846)),"Ireland",
ISNUMBER(SEARCH("rn""&gt;Bosnia and Herzegovina",S3846)),"Bosnia and Herzegovina",
ISNUMBER(SEARCH("rn""&gt;Trinidad and Tobago",S3846)),"Trinidad and Tobago",
ISNUMBER(SEARCH("rn""&gt;Serbia and Montenegro",S3846)),"Serbia and Montenegro",
ISNUMBER(SEARCH(_xlfn.UNICHAR(65533),S3846)),"Côte d'Ivoire",
TRUE,""
)</f>
        <v/>
      </c>
      <c r="W3846" s="40" t="str">
        <f t="shared" si="255"/>
        <v>Sweden</v>
      </c>
    </row>
    <row r="3847" spans="19:23">
      <c r="S3847" s="40" t="str">
        <v>Yugoslavia</v>
      </c>
      <c r="T3847" s="40" t="str">
        <f t="shared" si="253"/>
        <v>ERREUR</v>
      </c>
      <c r="U3847" s="40" t="str">
        <f t="shared" si="254"/>
        <v>AUCUNE</v>
      </c>
      <c r="V3847" s="40" t="str" cm="1">
        <f t="array" ref="V3847">_xlfn.IFS(
ISNUMBER(SEARCH("USA",S3847)),"United States",
ISNUMBER(SEARCH("Republic of Ireland",S3847)),"Ireland",
ISNUMBER(SEARCH("Republic of Korea",S3847)),"South Korea",
ISNUMBER(SEARCH("Cape Verde",S3847)),"Cabo Verde",
ISNUMBER(SEARCH("Czechia",S3847)),"Czech Republic",
ISNUMBER(SEARCH("Türkiye",S3847)),"Turkey",
ISNUMBER(SEARCH("Ivory Coast",S3847)),"Côte d'Ivoire",
ISNUMBER(SEARCH("Korea Republic",S3847)),"South Korea",
ISNUMBER(SEARCH("Germany FR",S3847)),"FR Germany",
ISNUMBER(SEARCH("West Germany",S3847)),"FR Germany",
ISNUMBER(SEARCH("Germany DR",S3847)),"DR Germany",
ISNUMBER(SEARCH("Korea DPR",S3847)),"North Korea",
ISNUMBER(SEARCH("China PR",S3847)),"China",
ISNUMBER(SEARCH("IR Iran",S3847)),"Iran",
ISNUMBER(SEARCH("Congo DR",S3847)),"Democratic Republic of the Congo",
ISNUMBER(SEARCH("DR Congo",S3847)),"Democratic Republic of the Congo",
ISNUMBER(SEARCH("German DR",S3847)),"DR Germany",
ISNUMBER(SEARCH("rn""&gt;United Arab Emirates",S3847)),"United Arab Emirates",
ISNUMBER(SEARCH("rn""&gt;Republic of Ireland",S3847)),"Ireland",
ISNUMBER(SEARCH("rn""&gt;Bosnia and Herzegovina",S3847)),"Bosnia and Herzegovina",
ISNUMBER(SEARCH("rn""&gt;Trinidad and Tobago",S3847)),"Trinidad and Tobago",
ISNUMBER(SEARCH("rn""&gt;Serbia and Montenegro",S3847)),"Serbia and Montenegro",
ISNUMBER(SEARCH(_xlfn.UNICHAR(65533),S3847)),"Côte d'Ivoire",
TRUE,""
)</f>
        <v/>
      </c>
      <c r="W3847" s="40" t="str">
        <f t="shared" si="255"/>
        <v>Yugoslavia</v>
      </c>
    </row>
    <row r="3848" spans="19:23">
      <c r="S3848" s="40" t="str">
        <v>Scotland</v>
      </c>
      <c r="T3848" s="40" t="str">
        <f t="shared" si="253"/>
        <v>ERREUR</v>
      </c>
      <c r="U3848" s="40" t="str">
        <f t="shared" si="254"/>
        <v>AUCUNE</v>
      </c>
      <c r="V3848" s="40" t="str" cm="1">
        <f t="array" ref="V3848">_xlfn.IFS(
ISNUMBER(SEARCH("USA",S3848)),"United States",
ISNUMBER(SEARCH("Republic of Ireland",S3848)),"Ireland",
ISNUMBER(SEARCH("Republic of Korea",S3848)),"South Korea",
ISNUMBER(SEARCH("Cape Verde",S3848)),"Cabo Verde",
ISNUMBER(SEARCH("Czechia",S3848)),"Czech Republic",
ISNUMBER(SEARCH("Türkiye",S3848)),"Turkey",
ISNUMBER(SEARCH("Ivory Coast",S3848)),"Côte d'Ivoire",
ISNUMBER(SEARCH("Korea Republic",S3848)),"South Korea",
ISNUMBER(SEARCH("Germany FR",S3848)),"FR Germany",
ISNUMBER(SEARCH("West Germany",S3848)),"FR Germany",
ISNUMBER(SEARCH("Germany DR",S3848)),"DR Germany",
ISNUMBER(SEARCH("Korea DPR",S3848)),"North Korea",
ISNUMBER(SEARCH("China PR",S3848)),"China",
ISNUMBER(SEARCH("IR Iran",S3848)),"Iran",
ISNUMBER(SEARCH("Congo DR",S3848)),"Democratic Republic of the Congo",
ISNUMBER(SEARCH("DR Congo",S3848)),"Democratic Republic of the Congo",
ISNUMBER(SEARCH("German DR",S3848)),"DR Germany",
ISNUMBER(SEARCH("rn""&gt;United Arab Emirates",S3848)),"United Arab Emirates",
ISNUMBER(SEARCH("rn""&gt;Republic of Ireland",S3848)),"Ireland",
ISNUMBER(SEARCH("rn""&gt;Bosnia and Herzegovina",S3848)),"Bosnia and Herzegovina",
ISNUMBER(SEARCH("rn""&gt;Trinidad and Tobago",S3848)),"Trinidad and Tobago",
ISNUMBER(SEARCH("rn""&gt;Serbia and Montenegro",S3848)),"Serbia and Montenegro",
ISNUMBER(SEARCH(_xlfn.UNICHAR(65533),S3848)),"Côte d'Ivoire",
TRUE,""
)</f>
        <v/>
      </c>
      <c r="W3848" s="40" t="str">
        <f t="shared" si="255"/>
        <v>Scotland</v>
      </c>
    </row>
    <row r="3849" spans="19:23">
      <c r="S3849" s="40" t="str">
        <v>rn"&gt;Republic of Ireland</v>
      </c>
      <c r="T3849" s="40" t="str">
        <f t="shared" si="253"/>
        <v>ERREUR</v>
      </c>
      <c r="U3849" s="40" t="str">
        <f t="shared" si="254"/>
        <v>RENOMMER</v>
      </c>
      <c r="V3849" s="40" t="str" cm="1">
        <f t="array" ref="V3849">_xlfn.IFS(
ISNUMBER(SEARCH("USA",S3849)),"United States",
ISNUMBER(SEARCH("Republic of Ireland",S3849)),"Ireland",
ISNUMBER(SEARCH("Republic of Korea",S3849)),"South Korea",
ISNUMBER(SEARCH("Cape Verde",S3849)),"Cabo Verde",
ISNUMBER(SEARCH("Czechia",S3849)),"Czech Republic",
ISNUMBER(SEARCH("Türkiye",S3849)),"Turkey",
ISNUMBER(SEARCH("Ivory Coast",S3849)),"Côte d'Ivoire",
ISNUMBER(SEARCH("Korea Republic",S3849)),"South Korea",
ISNUMBER(SEARCH("Germany FR",S3849)),"FR Germany",
ISNUMBER(SEARCH("West Germany",S3849)),"FR Germany",
ISNUMBER(SEARCH("Germany DR",S3849)),"DR Germany",
ISNUMBER(SEARCH("Korea DPR",S3849)),"North Korea",
ISNUMBER(SEARCH("China PR",S3849)),"China",
ISNUMBER(SEARCH("IR Iran",S3849)),"Iran",
ISNUMBER(SEARCH("Congo DR",S3849)),"Democratic Republic of the Congo",
ISNUMBER(SEARCH("DR Congo",S3849)),"Democratic Republic of the Congo",
ISNUMBER(SEARCH("German DR",S3849)),"DR Germany",
ISNUMBER(SEARCH("rn""&gt;United Arab Emirates",S3849)),"United Arab Emirates",
ISNUMBER(SEARCH("rn""&gt;Republic of Ireland",S3849)),"Ireland",
ISNUMBER(SEARCH("rn""&gt;Bosnia and Herzegovina",S3849)),"Bosnia and Herzegovina",
ISNUMBER(SEARCH("rn""&gt;Trinidad and Tobago",S3849)),"Trinidad and Tobago",
ISNUMBER(SEARCH("rn""&gt;Serbia and Montenegro",S3849)),"Serbia and Montenegro",
ISNUMBER(SEARCH(_xlfn.UNICHAR(65533),S3849)),"Côte d'Ivoire",
TRUE,""
)</f>
        <v>Ireland</v>
      </c>
      <c r="W3849" s="40" t="str">
        <f t="shared" si="255"/>
        <v>Ireland</v>
      </c>
    </row>
    <row r="3850" spans="19:23">
      <c r="S3850" s="40" t="str">
        <v>Korea Republic</v>
      </c>
      <c r="T3850" s="40" t="str">
        <f t="shared" si="253"/>
        <v>ERREUR</v>
      </c>
      <c r="U3850" s="40" t="str">
        <f t="shared" si="254"/>
        <v>RENOMMER</v>
      </c>
      <c r="V3850" s="40" t="str" cm="1">
        <f t="array" ref="V3850">_xlfn.IFS(
ISNUMBER(SEARCH("USA",S3850)),"United States",
ISNUMBER(SEARCH("Republic of Ireland",S3850)),"Ireland",
ISNUMBER(SEARCH("Republic of Korea",S3850)),"South Korea",
ISNUMBER(SEARCH("Cape Verde",S3850)),"Cabo Verde",
ISNUMBER(SEARCH("Czechia",S3850)),"Czech Republic",
ISNUMBER(SEARCH("Türkiye",S3850)),"Turkey",
ISNUMBER(SEARCH("Ivory Coast",S3850)),"Côte d'Ivoire",
ISNUMBER(SEARCH("Korea Republic",S3850)),"South Korea",
ISNUMBER(SEARCH("Germany FR",S3850)),"FR Germany",
ISNUMBER(SEARCH("West Germany",S3850)),"FR Germany",
ISNUMBER(SEARCH("Germany DR",S3850)),"DR Germany",
ISNUMBER(SEARCH("Korea DPR",S3850)),"North Korea",
ISNUMBER(SEARCH("China PR",S3850)),"China",
ISNUMBER(SEARCH("IR Iran",S3850)),"Iran",
ISNUMBER(SEARCH("Congo DR",S3850)),"Democratic Republic of the Congo",
ISNUMBER(SEARCH("DR Congo",S3850)),"Democratic Republic of the Congo",
ISNUMBER(SEARCH("German DR",S3850)),"DR Germany",
ISNUMBER(SEARCH("rn""&gt;United Arab Emirates",S3850)),"United Arab Emirates",
ISNUMBER(SEARCH("rn""&gt;Republic of Ireland",S3850)),"Ireland",
ISNUMBER(SEARCH("rn""&gt;Bosnia and Herzegovina",S3850)),"Bosnia and Herzegovina",
ISNUMBER(SEARCH("rn""&gt;Trinidad and Tobago",S3850)),"Trinidad and Tobago",
ISNUMBER(SEARCH("rn""&gt;Serbia and Montenegro",S3850)),"Serbia and Montenegro",
ISNUMBER(SEARCH(_xlfn.UNICHAR(65533),S3850)),"Côte d'Ivoire",
TRUE,""
)</f>
        <v>South Korea</v>
      </c>
      <c r="W3850" s="40" t="str">
        <f t="shared" si="255"/>
        <v>South Korea</v>
      </c>
    </row>
    <row r="3851" spans="19:23">
      <c r="S3851" s="40" t="str">
        <v>Egypt</v>
      </c>
      <c r="T3851" s="40" t="str">
        <f t="shared" si="253"/>
        <v>OK</v>
      </c>
      <c r="U3851" s="40" t="str">
        <f t="shared" si="254"/>
        <v>-</v>
      </c>
      <c r="V3851" s="40" t="str" cm="1">
        <f t="array" ref="V3851">_xlfn.IFS(
ISNUMBER(SEARCH("USA",S3851)),"United States",
ISNUMBER(SEARCH("Republic of Ireland",S3851)),"Ireland",
ISNUMBER(SEARCH("Republic of Korea",S3851)),"South Korea",
ISNUMBER(SEARCH("Cape Verde",S3851)),"Cabo Verde",
ISNUMBER(SEARCH("Czechia",S3851)),"Czech Republic",
ISNUMBER(SEARCH("Türkiye",S3851)),"Turkey",
ISNUMBER(SEARCH("Ivory Coast",S3851)),"Côte d'Ivoire",
ISNUMBER(SEARCH("Korea Republic",S3851)),"South Korea",
ISNUMBER(SEARCH("Germany FR",S3851)),"FR Germany",
ISNUMBER(SEARCH("West Germany",S3851)),"FR Germany",
ISNUMBER(SEARCH("Germany DR",S3851)),"DR Germany",
ISNUMBER(SEARCH("Korea DPR",S3851)),"North Korea",
ISNUMBER(SEARCH("China PR",S3851)),"China",
ISNUMBER(SEARCH("IR Iran",S3851)),"Iran",
ISNUMBER(SEARCH("Congo DR",S3851)),"Democratic Republic of the Congo",
ISNUMBER(SEARCH("DR Congo",S3851)),"Democratic Republic of the Congo",
ISNUMBER(SEARCH("German DR",S3851)),"DR Germany",
ISNUMBER(SEARCH("rn""&gt;United Arab Emirates",S3851)),"United Arab Emirates",
ISNUMBER(SEARCH("rn""&gt;Republic of Ireland",S3851)),"Ireland",
ISNUMBER(SEARCH("rn""&gt;Bosnia and Herzegovina",S3851)),"Bosnia and Herzegovina",
ISNUMBER(SEARCH("rn""&gt;Trinidad and Tobago",S3851)),"Trinidad and Tobago",
ISNUMBER(SEARCH("rn""&gt;Serbia and Montenegro",S3851)),"Serbia and Montenegro",
ISNUMBER(SEARCH(_xlfn.UNICHAR(65533),S3851)),"Côte d'Ivoire",
TRUE,""
)</f>
        <v/>
      </c>
      <c r="W3851" s="40" t="str">
        <f t="shared" si="255"/>
        <v>Egypt</v>
      </c>
    </row>
    <row r="3852" spans="19:23">
      <c r="S3852" s="40" t="str">
        <v>Spain</v>
      </c>
      <c r="T3852" s="40" t="str">
        <f t="shared" si="253"/>
        <v>OK</v>
      </c>
      <c r="U3852" s="40" t="str">
        <f t="shared" si="254"/>
        <v>-</v>
      </c>
      <c r="V3852" s="40" t="str" cm="1">
        <f t="array" ref="V3852">_xlfn.IFS(
ISNUMBER(SEARCH("USA",S3852)),"United States",
ISNUMBER(SEARCH("Republic of Ireland",S3852)),"Ireland",
ISNUMBER(SEARCH("Republic of Korea",S3852)),"South Korea",
ISNUMBER(SEARCH("Cape Verde",S3852)),"Cabo Verde",
ISNUMBER(SEARCH("Czechia",S3852)),"Czech Republic",
ISNUMBER(SEARCH("Türkiye",S3852)),"Turkey",
ISNUMBER(SEARCH("Ivory Coast",S3852)),"Côte d'Ivoire",
ISNUMBER(SEARCH("Korea Republic",S3852)),"South Korea",
ISNUMBER(SEARCH("Germany FR",S3852)),"FR Germany",
ISNUMBER(SEARCH("West Germany",S3852)),"FR Germany",
ISNUMBER(SEARCH("Germany DR",S3852)),"DR Germany",
ISNUMBER(SEARCH("Korea DPR",S3852)),"North Korea",
ISNUMBER(SEARCH("China PR",S3852)),"China",
ISNUMBER(SEARCH("IR Iran",S3852)),"Iran",
ISNUMBER(SEARCH("Congo DR",S3852)),"Democratic Republic of the Congo",
ISNUMBER(SEARCH("DR Congo",S3852)),"Democratic Republic of the Congo",
ISNUMBER(SEARCH("German DR",S3852)),"DR Germany",
ISNUMBER(SEARCH("rn""&gt;United Arab Emirates",S3852)),"United Arab Emirates",
ISNUMBER(SEARCH("rn""&gt;Republic of Ireland",S3852)),"Ireland",
ISNUMBER(SEARCH("rn""&gt;Bosnia and Herzegovina",S3852)),"Bosnia and Herzegovina",
ISNUMBER(SEARCH("rn""&gt;Trinidad and Tobago",S3852)),"Trinidad and Tobago",
ISNUMBER(SEARCH("rn""&gt;Serbia and Montenegro",S3852)),"Serbia and Montenegro",
ISNUMBER(SEARCH(_xlfn.UNICHAR(65533),S3852)),"Côte d'Ivoire",
TRUE,""
)</f>
        <v/>
      </c>
      <c r="W3852" s="40" t="str">
        <f t="shared" si="255"/>
        <v>Spain</v>
      </c>
    </row>
    <row r="3853" spans="19:23">
      <c r="S3853" s="40" t="str">
        <v>Soviet Union</v>
      </c>
      <c r="T3853" s="40" t="str">
        <f t="shared" si="253"/>
        <v>ERREUR</v>
      </c>
      <c r="U3853" s="40" t="str">
        <f t="shared" si="254"/>
        <v>AUCUNE</v>
      </c>
      <c r="V3853" s="40" t="str" cm="1">
        <f t="array" ref="V3853">_xlfn.IFS(
ISNUMBER(SEARCH("USA",S3853)),"United States",
ISNUMBER(SEARCH("Republic of Ireland",S3853)),"Ireland",
ISNUMBER(SEARCH("Republic of Korea",S3853)),"South Korea",
ISNUMBER(SEARCH("Cape Verde",S3853)),"Cabo Verde",
ISNUMBER(SEARCH("Czechia",S3853)),"Czech Republic",
ISNUMBER(SEARCH("Türkiye",S3853)),"Turkey",
ISNUMBER(SEARCH("Ivory Coast",S3853)),"Côte d'Ivoire",
ISNUMBER(SEARCH("Korea Republic",S3853)),"South Korea",
ISNUMBER(SEARCH("Germany FR",S3853)),"FR Germany",
ISNUMBER(SEARCH("West Germany",S3853)),"FR Germany",
ISNUMBER(SEARCH("Germany DR",S3853)),"DR Germany",
ISNUMBER(SEARCH("Korea DPR",S3853)),"North Korea",
ISNUMBER(SEARCH("China PR",S3853)),"China",
ISNUMBER(SEARCH("IR Iran",S3853)),"Iran",
ISNUMBER(SEARCH("Congo DR",S3853)),"Democratic Republic of the Congo",
ISNUMBER(SEARCH("DR Congo",S3853)),"Democratic Republic of the Congo",
ISNUMBER(SEARCH("German DR",S3853)),"DR Germany",
ISNUMBER(SEARCH("rn""&gt;United Arab Emirates",S3853)),"United Arab Emirates",
ISNUMBER(SEARCH("rn""&gt;Republic of Ireland",S3853)),"Ireland",
ISNUMBER(SEARCH("rn""&gt;Bosnia and Herzegovina",S3853)),"Bosnia and Herzegovina",
ISNUMBER(SEARCH("rn""&gt;Trinidad and Tobago",S3853)),"Trinidad and Tobago",
ISNUMBER(SEARCH("rn""&gt;Serbia and Montenegro",S3853)),"Serbia and Montenegro",
ISNUMBER(SEARCH(_xlfn.UNICHAR(65533),S3853)),"Côte d'Ivoire",
TRUE,""
)</f>
        <v/>
      </c>
      <c r="W3853" s="40" t="str">
        <f t="shared" si="255"/>
        <v>Soviet Union</v>
      </c>
    </row>
    <row r="3854" spans="19:23">
      <c r="S3854" s="40" t="str">
        <v>Romania</v>
      </c>
      <c r="T3854" s="40" t="str">
        <f t="shared" si="253"/>
        <v>OK</v>
      </c>
      <c r="U3854" s="40" t="str">
        <f t="shared" si="254"/>
        <v>-</v>
      </c>
      <c r="V3854" s="40" t="str" cm="1">
        <f t="array" ref="V3854">_xlfn.IFS(
ISNUMBER(SEARCH("USA",S3854)),"United States",
ISNUMBER(SEARCH("Republic of Ireland",S3854)),"Ireland",
ISNUMBER(SEARCH("Republic of Korea",S3854)),"South Korea",
ISNUMBER(SEARCH("Cape Verde",S3854)),"Cabo Verde",
ISNUMBER(SEARCH("Czechia",S3854)),"Czech Republic",
ISNUMBER(SEARCH("Türkiye",S3854)),"Turkey",
ISNUMBER(SEARCH("Ivory Coast",S3854)),"Côte d'Ivoire",
ISNUMBER(SEARCH("Korea Republic",S3854)),"South Korea",
ISNUMBER(SEARCH("Germany FR",S3854)),"FR Germany",
ISNUMBER(SEARCH("West Germany",S3854)),"FR Germany",
ISNUMBER(SEARCH("Germany DR",S3854)),"DR Germany",
ISNUMBER(SEARCH("Korea DPR",S3854)),"North Korea",
ISNUMBER(SEARCH("China PR",S3854)),"China",
ISNUMBER(SEARCH("IR Iran",S3854)),"Iran",
ISNUMBER(SEARCH("Congo DR",S3854)),"Democratic Republic of the Congo",
ISNUMBER(SEARCH("DR Congo",S3854)),"Democratic Republic of the Congo",
ISNUMBER(SEARCH("German DR",S3854)),"DR Germany",
ISNUMBER(SEARCH("rn""&gt;United Arab Emirates",S3854)),"United Arab Emirates",
ISNUMBER(SEARCH("rn""&gt;Republic of Ireland",S3854)),"Ireland",
ISNUMBER(SEARCH("rn""&gt;Bosnia and Herzegovina",S3854)),"Bosnia and Herzegovina",
ISNUMBER(SEARCH("rn""&gt;Trinidad and Tobago",S3854)),"Trinidad and Tobago",
ISNUMBER(SEARCH("rn""&gt;Serbia and Montenegro",S3854)),"Serbia and Montenegro",
ISNUMBER(SEARCH(_xlfn.UNICHAR(65533),S3854)),"Côte d'Ivoire",
TRUE,""
)</f>
        <v/>
      </c>
      <c r="W3854" s="40" t="str">
        <f t="shared" si="255"/>
        <v>Romania</v>
      </c>
    </row>
    <row r="3855" spans="19:23">
      <c r="S3855" s="40" t="str">
        <v>Colombia</v>
      </c>
      <c r="T3855" s="40" t="str">
        <f t="shared" si="253"/>
        <v>OK</v>
      </c>
      <c r="U3855" s="40" t="str">
        <f t="shared" si="254"/>
        <v>-</v>
      </c>
      <c r="V3855" s="40" t="str" cm="1">
        <f t="array" ref="V3855">_xlfn.IFS(
ISNUMBER(SEARCH("USA",S3855)),"United States",
ISNUMBER(SEARCH("Republic of Ireland",S3855)),"Ireland",
ISNUMBER(SEARCH("Republic of Korea",S3855)),"South Korea",
ISNUMBER(SEARCH("Cape Verde",S3855)),"Cabo Verde",
ISNUMBER(SEARCH("Czechia",S3855)),"Czech Republic",
ISNUMBER(SEARCH("Türkiye",S3855)),"Turkey",
ISNUMBER(SEARCH("Ivory Coast",S3855)),"Côte d'Ivoire",
ISNUMBER(SEARCH("Korea Republic",S3855)),"South Korea",
ISNUMBER(SEARCH("Germany FR",S3855)),"FR Germany",
ISNUMBER(SEARCH("West Germany",S3855)),"FR Germany",
ISNUMBER(SEARCH("Germany DR",S3855)),"DR Germany",
ISNUMBER(SEARCH("Korea DPR",S3855)),"North Korea",
ISNUMBER(SEARCH("China PR",S3855)),"China",
ISNUMBER(SEARCH("IR Iran",S3855)),"Iran",
ISNUMBER(SEARCH("Congo DR",S3855)),"Democratic Republic of the Congo",
ISNUMBER(SEARCH("DR Congo",S3855)),"Democratic Republic of the Congo",
ISNUMBER(SEARCH("German DR",S3855)),"DR Germany",
ISNUMBER(SEARCH("rn""&gt;United Arab Emirates",S3855)),"United Arab Emirates",
ISNUMBER(SEARCH("rn""&gt;Republic of Ireland",S3855)),"Ireland",
ISNUMBER(SEARCH("rn""&gt;Bosnia and Herzegovina",S3855)),"Bosnia and Herzegovina",
ISNUMBER(SEARCH("rn""&gt;Trinidad and Tobago",S3855)),"Trinidad and Tobago",
ISNUMBER(SEARCH("rn""&gt;Serbia and Montenegro",S3855)),"Serbia and Montenegro",
ISNUMBER(SEARCH(_xlfn.UNICHAR(65533),S3855)),"Côte d'Ivoire",
TRUE,""
)</f>
        <v/>
      </c>
      <c r="W3855" s="40" t="str">
        <f t="shared" si="255"/>
        <v>Colombia</v>
      </c>
    </row>
    <row r="3856" spans="19:23">
      <c r="S3856" s="40" t="str">
        <v>USA</v>
      </c>
      <c r="T3856" s="40" t="str">
        <f t="shared" si="253"/>
        <v>ERREUR</v>
      </c>
      <c r="U3856" s="40" t="str">
        <f t="shared" si="254"/>
        <v>RENOMMER</v>
      </c>
      <c r="V3856" s="40" t="str" cm="1">
        <f t="array" ref="V3856">_xlfn.IFS(
ISNUMBER(SEARCH("USA",S3856)),"United States",
ISNUMBER(SEARCH("Republic of Ireland",S3856)),"Ireland",
ISNUMBER(SEARCH("Republic of Korea",S3856)),"South Korea",
ISNUMBER(SEARCH("Cape Verde",S3856)),"Cabo Verde",
ISNUMBER(SEARCH("Czechia",S3856)),"Czech Republic",
ISNUMBER(SEARCH("Türkiye",S3856)),"Turkey",
ISNUMBER(SEARCH("Ivory Coast",S3856)),"Côte d'Ivoire",
ISNUMBER(SEARCH("Korea Republic",S3856)),"South Korea",
ISNUMBER(SEARCH("Germany FR",S3856)),"FR Germany",
ISNUMBER(SEARCH("West Germany",S3856)),"FR Germany",
ISNUMBER(SEARCH("Germany DR",S3856)),"DR Germany",
ISNUMBER(SEARCH("Korea DPR",S3856)),"North Korea",
ISNUMBER(SEARCH("China PR",S3856)),"China",
ISNUMBER(SEARCH("IR Iran",S3856)),"Iran",
ISNUMBER(SEARCH("Congo DR",S3856)),"Democratic Republic of the Congo",
ISNUMBER(SEARCH("DR Congo",S3856)),"Democratic Republic of the Congo",
ISNUMBER(SEARCH("German DR",S3856)),"DR Germany",
ISNUMBER(SEARCH("rn""&gt;United Arab Emirates",S3856)),"United Arab Emirates",
ISNUMBER(SEARCH("rn""&gt;Republic of Ireland",S3856)),"Ireland",
ISNUMBER(SEARCH("rn""&gt;Bosnia and Herzegovina",S3856)),"Bosnia and Herzegovina",
ISNUMBER(SEARCH("rn""&gt;Trinidad and Tobago",S3856)),"Trinidad and Tobago",
ISNUMBER(SEARCH("rn""&gt;Serbia and Montenegro",S3856)),"Serbia and Montenegro",
ISNUMBER(SEARCH(_xlfn.UNICHAR(65533),S3856)),"Côte d'Ivoire",
TRUE,""
)</f>
        <v>United States</v>
      </c>
      <c r="W3856" s="40" t="str">
        <f t="shared" si="255"/>
        <v>United States</v>
      </c>
    </row>
    <row r="3857" spans="19:23">
      <c r="S3857" s="40" t="str">
        <v>Czechoslovakia</v>
      </c>
      <c r="T3857" s="40" t="str">
        <f t="shared" si="253"/>
        <v>ERREUR</v>
      </c>
      <c r="U3857" s="40" t="str">
        <f t="shared" si="254"/>
        <v>AUCUNE</v>
      </c>
      <c r="V3857" s="40" t="str" cm="1">
        <f t="array" ref="V3857">_xlfn.IFS(
ISNUMBER(SEARCH("USA",S3857)),"United States",
ISNUMBER(SEARCH("Republic of Ireland",S3857)),"Ireland",
ISNUMBER(SEARCH("Republic of Korea",S3857)),"South Korea",
ISNUMBER(SEARCH("Cape Verde",S3857)),"Cabo Verde",
ISNUMBER(SEARCH("Czechia",S3857)),"Czech Republic",
ISNUMBER(SEARCH("Türkiye",S3857)),"Turkey",
ISNUMBER(SEARCH("Ivory Coast",S3857)),"Côte d'Ivoire",
ISNUMBER(SEARCH("Korea Republic",S3857)),"South Korea",
ISNUMBER(SEARCH("Germany FR",S3857)),"FR Germany",
ISNUMBER(SEARCH("West Germany",S3857)),"FR Germany",
ISNUMBER(SEARCH("Germany DR",S3857)),"DR Germany",
ISNUMBER(SEARCH("Korea DPR",S3857)),"North Korea",
ISNUMBER(SEARCH("China PR",S3857)),"China",
ISNUMBER(SEARCH("IR Iran",S3857)),"Iran",
ISNUMBER(SEARCH("Congo DR",S3857)),"Democratic Republic of the Congo",
ISNUMBER(SEARCH("DR Congo",S3857)),"Democratic Republic of the Congo",
ISNUMBER(SEARCH("German DR",S3857)),"DR Germany",
ISNUMBER(SEARCH("rn""&gt;United Arab Emirates",S3857)),"United Arab Emirates",
ISNUMBER(SEARCH("rn""&gt;Republic of Ireland",S3857)),"Ireland",
ISNUMBER(SEARCH("rn""&gt;Bosnia and Herzegovina",S3857)),"Bosnia and Herzegovina",
ISNUMBER(SEARCH("rn""&gt;Trinidad and Tobago",S3857)),"Trinidad and Tobago",
ISNUMBER(SEARCH("rn""&gt;Serbia and Montenegro",S3857)),"Serbia and Montenegro",
ISNUMBER(SEARCH(_xlfn.UNICHAR(65533),S3857)),"Côte d'Ivoire",
TRUE,""
)</f>
        <v/>
      </c>
      <c r="W3857" s="40" t="str">
        <f t="shared" si="255"/>
        <v>Czechoslovakia</v>
      </c>
    </row>
    <row r="3858" spans="19:23">
      <c r="S3858" s="40" t="str">
        <v>rn"&gt;United Arab Emirates</v>
      </c>
      <c r="T3858" s="40" t="str">
        <f t="shared" si="253"/>
        <v>ERREUR</v>
      </c>
      <c r="U3858" s="40" t="str">
        <f t="shared" si="254"/>
        <v>RENOMMER</v>
      </c>
      <c r="V3858" s="40" t="str" cm="1">
        <f t="array" ref="V3858">_xlfn.IFS(
ISNUMBER(SEARCH("USA",S3858)),"United States",
ISNUMBER(SEARCH("Republic of Ireland",S3858)),"Ireland",
ISNUMBER(SEARCH("Republic of Korea",S3858)),"South Korea",
ISNUMBER(SEARCH("Cape Verde",S3858)),"Cabo Verde",
ISNUMBER(SEARCH("Czechia",S3858)),"Czech Republic",
ISNUMBER(SEARCH("Türkiye",S3858)),"Turkey",
ISNUMBER(SEARCH("Ivory Coast",S3858)),"Côte d'Ivoire",
ISNUMBER(SEARCH("Korea Republic",S3858)),"South Korea",
ISNUMBER(SEARCH("Germany FR",S3858)),"FR Germany",
ISNUMBER(SEARCH("West Germany",S3858)),"FR Germany",
ISNUMBER(SEARCH("Germany DR",S3858)),"DR Germany",
ISNUMBER(SEARCH("Korea DPR",S3858)),"North Korea",
ISNUMBER(SEARCH("China PR",S3858)),"China",
ISNUMBER(SEARCH("IR Iran",S3858)),"Iran",
ISNUMBER(SEARCH("Congo DR",S3858)),"Democratic Republic of the Congo",
ISNUMBER(SEARCH("DR Congo",S3858)),"Democratic Republic of the Congo",
ISNUMBER(SEARCH("German DR",S3858)),"DR Germany",
ISNUMBER(SEARCH("rn""&gt;United Arab Emirates",S3858)),"United Arab Emirates",
ISNUMBER(SEARCH("rn""&gt;Republic of Ireland",S3858)),"Ireland",
ISNUMBER(SEARCH("rn""&gt;Bosnia and Herzegovina",S3858)),"Bosnia and Herzegovina",
ISNUMBER(SEARCH("rn""&gt;Trinidad and Tobago",S3858)),"Trinidad and Tobago",
ISNUMBER(SEARCH("rn""&gt;Serbia and Montenegro",S3858)),"Serbia and Montenegro",
ISNUMBER(SEARCH(_xlfn.UNICHAR(65533),S3858)),"Côte d'Ivoire",
TRUE,""
)</f>
        <v>United Arab Emirates</v>
      </c>
      <c r="W3858" s="40" t="str">
        <f t="shared" si="255"/>
        <v>United Arab Emirates</v>
      </c>
    </row>
    <row r="3859" spans="19:23">
      <c r="S3859" s="40" t="str">
        <v>Costa Rica</v>
      </c>
      <c r="T3859" s="40" t="str">
        <f t="shared" si="253"/>
        <v>OK</v>
      </c>
      <c r="U3859" s="40" t="str">
        <f t="shared" si="254"/>
        <v>-</v>
      </c>
      <c r="V3859" s="40" t="str" cm="1">
        <f t="array" ref="V3859">_xlfn.IFS(
ISNUMBER(SEARCH("USA",S3859)),"United States",
ISNUMBER(SEARCH("Republic of Ireland",S3859)),"Ireland",
ISNUMBER(SEARCH("Republic of Korea",S3859)),"South Korea",
ISNUMBER(SEARCH("Cape Verde",S3859)),"Cabo Verde",
ISNUMBER(SEARCH("Czechia",S3859)),"Czech Republic",
ISNUMBER(SEARCH("Türkiye",S3859)),"Turkey",
ISNUMBER(SEARCH("Ivory Coast",S3859)),"Côte d'Ivoire",
ISNUMBER(SEARCH("Korea Republic",S3859)),"South Korea",
ISNUMBER(SEARCH("Germany FR",S3859)),"FR Germany",
ISNUMBER(SEARCH("West Germany",S3859)),"FR Germany",
ISNUMBER(SEARCH("Germany DR",S3859)),"DR Germany",
ISNUMBER(SEARCH("Korea DPR",S3859)),"North Korea",
ISNUMBER(SEARCH("China PR",S3859)),"China",
ISNUMBER(SEARCH("IR Iran",S3859)),"Iran",
ISNUMBER(SEARCH("Congo DR",S3859)),"Democratic Republic of the Congo",
ISNUMBER(SEARCH("DR Congo",S3859)),"Democratic Republic of the Congo",
ISNUMBER(SEARCH("German DR",S3859)),"DR Germany",
ISNUMBER(SEARCH("rn""&gt;United Arab Emirates",S3859)),"United Arab Emirates",
ISNUMBER(SEARCH("rn""&gt;Republic of Ireland",S3859)),"Ireland",
ISNUMBER(SEARCH("rn""&gt;Bosnia and Herzegovina",S3859)),"Bosnia and Herzegovina",
ISNUMBER(SEARCH("rn""&gt;Trinidad and Tobago",S3859)),"Trinidad and Tobago",
ISNUMBER(SEARCH("rn""&gt;Serbia and Montenegro",S3859)),"Serbia and Montenegro",
ISNUMBER(SEARCH(_xlfn.UNICHAR(65533),S3859)),"Côte d'Ivoire",
TRUE,""
)</f>
        <v/>
      </c>
      <c r="W3859" s="40" t="str">
        <f t="shared" si="255"/>
        <v>Costa Rica</v>
      </c>
    </row>
    <row r="3860" spans="19:23">
      <c r="S3860" s="40" t="str">
        <v>Scotland</v>
      </c>
      <c r="T3860" s="40" t="str">
        <f t="shared" si="253"/>
        <v>ERREUR</v>
      </c>
      <c r="U3860" s="40" t="str">
        <f t="shared" si="254"/>
        <v>AUCUNE</v>
      </c>
      <c r="V3860" s="40" t="str" cm="1">
        <f t="array" ref="V3860">_xlfn.IFS(
ISNUMBER(SEARCH("USA",S3860)),"United States",
ISNUMBER(SEARCH("Republic of Ireland",S3860)),"Ireland",
ISNUMBER(SEARCH("Republic of Korea",S3860)),"South Korea",
ISNUMBER(SEARCH("Cape Verde",S3860)),"Cabo Verde",
ISNUMBER(SEARCH("Czechia",S3860)),"Czech Republic",
ISNUMBER(SEARCH("Türkiye",S3860)),"Turkey",
ISNUMBER(SEARCH("Ivory Coast",S3860)),"Côte d'Ivoire",
ISNUMBER(SEARCH("Korea Republic",S3860)),"South Korea",
ISNUMBER(SEARCH("Germany FR",S3860)),"FR Germany",
ISNUMBER(SEARCH("West Germany",S3860)),"FR Germany",
ISNUMBER(SEARCH("Germany DR",S3860)),"DR Germany",
ISNUMBER(SEARCH("Korea DPR",S3860)),"North Korea",
ISNUMBER(SEARCH("China PR",S3860)),"China",
ISNUMBER(SEARCH("IR Iran",S3860)),"Iran",
ISNUMBER(SEARCH("Congo DR",S3860)),"Democratic Republic of the Congo",
ISNUMBER(SEARCH("DR Congo",S3860)),"Democratic Republic of the Congo",
ISNUMBER(SEARCH("German DR",S3860)),"DR Germany",
ISNUMBER(SEARCH("rn""&gt;United Arab Emirates",S3860)),"United Arab Emirates",
ISNUMBER(SEARCH("rn""&gt;Republic of Ireland",S3860)),"Ireland",
ISNUMBER(SEARCH("rn""&gt;Bosnia and Herzegovina",S3860)),"Bosnia and Herzegovina",
ISNUMBER(SEARCH("rn""&gt;Trinidad and Tobago",S3860)),"Trinidad and Tobago",
ISNUMBER(SEARCH("rn""&gt;Serbia and Montenegro",S3860)),"Serbia and Montenegro",
ISNUMBER(SEARCH(_xlfn.UNICHAR(65533),S3860)),"Côte d'Ivoire",
TRUE,""
)</f>
        <v/>
      </c>
      <c r="W3860" s="40" t="str">
        <f t="shared" si="255"/>
        <v>Scotland</v>
      </c>
    </row>
    <row r="3861" spans="19:23">
      <c r="S3861" s="40" t="str">
        <v>Netherlands</v>
      </c>
      <c r="T3861" s="40" t="str">
        <f t="shared" si="253"/>
        <v>OK</v>
      </c>
      <c r="U3861" s="40" t="str">
        <f t="shared" si="254"/>
        <v>-</v>
      </c>
      <c r="V3861" s="40" t="str" cm="1">
        <f t="array" ref="V3861">_xlfn.IFS(
ISNUMBER(SEARCH("USA",S3861)),"United States",
ISNUMBER(SEARCH("Republic of Ireland",S3861)),"Ireland",
ISNUMBER(SEARCH("Republic of Korea",S3861)),"South Korea",
ISNUMBER(SEARCH("Cape Verde",S3861)),"Cabo Verde",
ISNUMBER(SEARCH("Czechia",S3861)),"Czech Republic",
ISNUMBER(SEARCH("Türkiye",S3861)),"Turkey",
ISNUMBER(SEARCH("Ivory Coast",S3861)),"Côte d'Ivoire",
ISNUMBER(SEARCH("Korea Republic",S3861)),"South Korea",
ISNUMBER(SEARCH("Germany FR",S3861)),"FR Germany",
ISNUMBER(SEARCH("West Germany",S3861)),"FR Germany",
ISNUMBER(SEARCH("Germany DR",S3861)),"DR Germany",
ISNUMBER(SEARCH("Korea DPR",S3861)),"North Korea",
ISNUMBER(SEARCH("China PR",S3861)),"China",
ISNUMBER(SEARCH("IR Iran",S3861)),"Iran",
ISNUMBER(SEARCH("Congo DR",S3861)),"Democratic Republic of the Congo",
ISNUMBER(SEARCH("DR Congo",S3861)),"Democratic Republic of the Congo",
ISNUMBER(SEARCH("German DR",S3861)),"DR Germany",
ISNUMBER(SEARCH("rn""&gt;United Arab Emirates",S3861)),"United Arab Emirates",
ISNUMBER(SEARCH("rn""&gt;Republic of Ireland",S3861)),"Ireland",
ISNUMBER(SEARCH("rn""&gt;Bosnia and Herzegovina",S3861)),"Bosnia and Herzegovina",
ISNUMBER(SEARCH("rn""&gt;Trinidad and Tobago",S3861)),"Trinidad and Tobago",
ISNUMBER(SEARCH("rn""&gt;Serbia and Montenegro",S3861)),"Serbia and Montenegro",
ISNUMBER(SEARCH(_xlfn.UNICHAR(65533),S3861)),"Côte d'Ivoire",
TRUE,""
)</f>
        <v/>
      </c>
      <c r="W3861" s="40" t="str">
        <f t="shared" si="255"/>
        <v>Netherlands</v>
      </c>
    </row>
    <row r="3862" spans="19:23">
      <c r="S3862" s="40" t="str">
        <v>Egypt</v>
      </c>
      <c r="T3862" s="40" t="str">
        <f t="shared" si="253"/>
        <v>OK</v>
      </c>
      <c r="U3862" s="40" t="str">
        <f t="shared" si="254"/>
        <v>-</v>
      </c>
      <c r="V3862" s="40" t="str" cm="1">
        <f t="array" ref="V3862">_xlfn.IFS(
ISNUMBER(SEARCH("USA",S3862)),"United States",
ISNUMBER(SEARCH("Republic of Ireland",S3862)),"Ireland",
ISNUMBER(SEARCH("Republic of Korea",S3862)),"South Korea",
ISNUMBER(SEARCH("Cape Verde",S3862)),"Cabo Verde",
ISNUMBER(SEARCH("Czechia",S3862)),"Czech Republic",
ISNUMBER(SEARCH("Türkiye",S3862)),"Turkey",
ISNUMBER(SEARCH("Ivory Coast",S3862)),"Côte d'Ivoire",
ISNUMBER(SEARCH("Korea Republic",S3862)),"South Korea",
ISNUMBER(SEARCH("Germany FR",S3862)),"FR Germany",
ISNUMBER(SEARCH("West Germany",S3862)),"FR Germany",
ISNUMBER(SEARCH("Germany DR",S3862)),"DR Germany",
ISNUMBER(SEARCH("Korea DPR",S3862)),"North Korea",
ISNUMBER(SEARCH("China PR",S3862)),"China",
ISNUMBER(SEARCH("IR Iran",S3862)),"Iran",
ISNUMBER(SEARCH("Congo DR",S3862)),"Democratic Republic of the Congo",
ISNUMBER(SEARCH("DR Congo",S3862)),"Democratic Republic of the Congo",
ISNUMBER(SEARCH("German DR",S3862)),"DR Germany",
ISNUMBER(SEARCH("rn""&gt;United Arab Emirates",S3862)),"United Arab Emirates",
ISNUMBER(SEARCH("rn""&gt;Republic of Ireland",S3862)),"Ireland",
ISNUMBER(SEARCH("rn""&gt;Bosnia and Herzegovina",S3862)),"Bosnia and Herzegovina",
ISNUMBER(SEARCH("rn""&gt;Trinidad and Tobago",S3862)),"Trinidad and Tobago",
ISNUMBER(SEARCH("rn""&gt;Serbia and Montenegro",S3862)),"Serbia and Montenegro",
ISNUMBER(SEARCH(_xlfn.UNICHAR(65533),S3862)),"Côte d'Ivoire",
TRUE,""
)</f>
        <v/>
      </c>
      <c r="W3862" s="40" t="str">
        <f t="shared" si="255"/>
        <v>Egypt</v>
      </c>
    </row>
    <row r="3863" spans="19:23">
      <c r="S3863" s="40" t="str">
        <v>Spain</v>
      </c>
      <c r="T3863" s="40" t="str">
        <f t="shared" si="253"/>
        <v>OK</v>
      </c>
      <c r="U3863" s="40" t="str">
        <f t="shared" si="254"/>
        <v>-</v>
      </c>
      <c r="V3863" s="40" t="str" cm="1">
        <f t="array" ref="V3863">_xlfn.IFS(
ISNUMBER(SEARCH("USA",S3863)),"United States",
ISNUMBER(SEARCH("Republic of Ireland",S3863)),"Ireland",
ISNUMBER(SEARCH("Republic of Korea",S3863)),"South Korea",
ISNUMBER(SEARCH("Cape Verde",S3863)),"Cabo Verde",
ISNUMBER(SEARCH("Czechia",S3863)),"Czech Republic",
ISNUMBER(SEARCH("Türkiye",S3863)),"Turkey",
ISNUMBER(SEARCH("Ivory Coast",S3863)),"Côte d'Ivoire",
ISNUMBER(SEARCH("Korea Republic",S3863)),"South Korea",
ISNUMBER(SEARCH("Germany FR",S3863)),"FR Germany",
ISNUMBER(SEARCH("West Germany",S3863)),"FR Germany",
ISNUMBER(SEARCH("Germany DR",S3863)),"DR Germany",
ISNUMBER(SEARCH("Korea DPR",S3863)),"North Korea",
ISNUMBER(SEARCH("China PR",S3863)),"China",
ISNUMBER(SEARCH("IR Iran",S3863)),"Iran",
ISNUMBER(SEARCH("Congo DR",S3863)),"Democratic Republic of the Congo",
ISNUMBER(SEARCH("DR Congo",S3863)),"Democratic Republic of the Congo",
ISNUMBER(SEARCH("German DR",S3863)),"DR Germany",
ISNUMBER(SEARCH("rn""&gt;United Arab Emirates",S3863)),"United Arab Emirates",
ISNUMBER(SEARCH("rn""&gt;Republic of Ireland",S3863)),"Ireland",
ISNUMBER(SEARCH("rn""&gt;Bosnia and Herzegovina",S3863)),"Bosnia and Herzegovina",
ISNUMBER(SEARCH("rn""&gt;Trinidad and Tobago",S3863)),"Trinidad and Tobago",
ISNUMBER(SEARCH("rn""&gt;Serbia and Montenegro",S3863)),"Serbia and Montenegro",
ISNUMBER(SEARCH(_xlfn.UNICHAR(65533),S3863)),"Côte d'Ivoire",
TRUE,""
)</f>
        <v/>
      </c>
      <c r="W3863" s="40" t="str">
        <f t="shared" si="255"/>
        <v>Spain</v>
      </c>
    </row>
    <row r="3864" spans="19:23">
      <c r="S3864" s="40" t="str">
        <v>Uruguay</v>
      </c>
      <c r="T3864" s="40" t="str">
        <f t="shared" si="253"/>
        <v>OK</v>
      </c>
      <c r="U3864" s="40" t="str">
        <f t="shared" si="254"/>
        <v>-</v>
      </c>
      <c r="V3864" s="40" t="str" cm="1">
        <f t="array" ref="V3864">_xlfn.IFS(
ISNUMBER(SEARCH("USA",S3864)),"United States",
ISNUMBER(SEARCH("Republic of Ireland",S3864)),"Ireland",
ISNUMBER(SEARCH("Republic of Korea",S3864)),"South Korea",
ISNUMBER(SEARCH("Cape Verde",S3864)),"Cabo Verde",
ISNUMBER(SEARCH("Czechia",S3864)),"Czech Republic",
ISNUMBER(SEARCH("Türkiye",S3864)),"Turkey",
ISNUMBER(SEARCH("Ivory Coast",S3864)),"Côte d'Ivoire",
ISNUMBER(SEARCH("Korea Republic",S3864)),"South Korea",
ISNUMBER(SEARCH("Germany FR",S3864)),"FR Germany",
ISNUMBER(SEARCH("West Germany",S3864)),"FR Germany",
ISNUMBER(SEARCH("Germany DR",S3864)),"DR Germany",
ISNUMBER(SEARCH("Korea DPR",S3864)),"North Korea",
ISNUMBER(SEARCH("China PR",S3864)),"China",
ISNUMBER(SEARCH("IR Iran",S3864)),"Iran",
ISNUMBER(SEARCH("Congo DR",S3864)),"Democratic Republic of the Congo",
ISNUMBER(SEARCH("DR Congo",S3864)),"Democratic Republic of the Congo",
ISNUMBER(SEARCH("German DR",S3864)),"DR Germany",
ISNUMBER(SEARCH("rn""&gt;United Arab Emirates",S3864)),"United Arab Emirates",
ISNUMBER(SEARCH("rn""&gt;Republic of Ireland",S3864)),"Ireland",
ISNUMBER(SEARCH("rn""&gt;Bosnia and Herzegovina",S3864)),"Bosnia and Herzegovina",
ISNUMBER(SEARCH("rn""&gt;Trinidad and Tobago",S3864)),"Trinidad and Tobago",
ISNUMBER(SEARCH("rn""&gt;Serbia and Montenegro",S3864)),"Serbia and Montenegro",
ISNUMBER(SEARCH(_xlfn.UNICHAR(65533),S3864)),"Côte d'Ivoire",
TRUE,""
)</f>
        <v/>
      </c>
      <c r="W3864" s="40" t="str">
        <f t="shared" si="255"/>
        <v>Uruguay</v>
      </c>
    </row>
    <row r="3865" spans="19:23">
      <c r="S3865" s="40" t="str">
        <v>Romania</v>
      </c>
      <c r="T3865" s="40" t="str">
        <f t="shared" si="253"/>
        <v>OK</v>
      </c>
      <c r="U3865" s="40" t="str">
        <f t="shared" si="254"/>
        <v>-</v>
      </c>
      <c r="V3865" s="40" t="str" cm="1">
        <f t="array" ref="V3865">_xlfn.IFS(
ISNUMBER(SEARCH("USA",S3865)),"United States",
ISNUMBER(SEARCH("Republic of Ireland",S3865)),"Ireland",
ISNUMBER(SEARCH("Republic of Korea",S3865)),"South Korea",
ISNUMBER(SEARCH("Cape Verde",S3865)),"Cabo Verde",
ISNUMBER(SEARCH("Czechia",S3865)),"Czech Republic",
ISNUMBER(SEARCH("Türkiye",S3865)),"Turkey",
ISNUMBER(SEARCH("Ivory Coast",S3865)),"Côte d'Ivoire",
ISNUMBER(SEARCH("Korea Republic",S3865)),"South Korea",
ISNUMBER(SEARCH("Germany FR",S3865)),"FR Germany",
ISNUMBER(SEARCH("West Germany",S3865)),"FR Germany",
ISNUMBER(SEARCH("Germany DR",S3865)),"DR Germany",
ISNUMBER(SEARCH("Korea DPR",S3865)),"North Korea",
ISNUMBER(SEARCH("China PR",S3865)),"China",
ISNUMBER(SEARCH("IR Iran",S3865)),"Iran",
ISNUMBER(SEARCH("Congo DR",S3865)),"Democratic Republic of the Congo",
ISNUMBER(SEARCH("DR Congo",S3865)),"Democratic Republic of the Congo",
ISNUMBER(SEARCH("German DR",S3865)),"DR Germany",
ISNUMBER(SEARCH("rn""&gt;United Arab Emirates",S3865)),"United Arab Emirates",
ISNUMBER(SEARCH("rn""&gt;Republic of Ireland",S3865)),"Ireland",
ISNUMBER(SEARCH("rn""&gt;Bosnia and Herzegovina",S3865)),"Bosnia and Herzegovina",
ISNUMBER(SEARCH("rn""&gt;Trinidad and Tobago",S3865)),"Trinidad and Tobago",
ISNUMBER(SEARCH("rn""&gt;Serbia and Montenegro",S3865)),"Serbia and Montenegro",
ISNUMBER(SEARCH(_xlfn.UNICHAR(65533),S3865)),"Côte d'Ivoire",
TRUE,""
)</f>
        <v/>
      </c>
      <c r="W3865" s="40" t="str">
        <f t="shared" si="255"/>
        <v>Romania</v>
      </c>
    </row>
    <row r="3866" spans="19:23">
      <c r="S3866" s="40" t="str">
        <v>Soviet Union</v>
      </c>
      <c r="T3866" s="40" t="str">
        <f t="shared" si="253"/>
        <v>ERREUR</v>
      </c>
      <c r="U3866" s="40" t="str">
        <f t="shared" si="254"/>
        <v>AUCUNE</v>
      </c>
      <c r="V3866" s="40" t="str" cm="1">
        <f t="array" ref="V3866">_xlfn.IFS(
ISNUMBER(SEARCH("USA",S3866)),"United States",
ISNUMBER(SEARCH("Republic of Ireland",S3866)),"Ireland",
ISNUMBER(SEARCH("Republic of Korea",S3866)),"South Korea",
ISNUMBER(SEARCH("Cape Verde",S3866)),"Cabo Verde",
ISNUMBER(SEARCH("Czechia",S3866)),"Czech Republic",
ISNUMBER(SEARCH("Türkiye",S3866)),"Turkey",
ISNUMBER(SEARCH("Ivory Coast",S3866)),"Côte d'Ivoire",
ISNUMBER(SEARCH("Korea Republic",S3866)),"South Korea",
ISNUMBER(SEARCH("Germany FR",S3866)),"FR Germany",
ISNUMBER(SEARCH("West Germany",S3866)),"FR Germany",
ISNUMBER(SEARCH("Germany DR",S3866)),"DR Germany",
ISNUMBER(SEARCH("Korea DPR",S3866)),"North Korea",
ISNUMBER(SEARCH("China PR",S3866)),"China",
ISNUMBER(SEARCH("IR Iran",S3866)),"Iran",
ISNUMBER(SEARCH("Congo DR",S3866)),"Democratic Republic of the Congo",
ISNUMBER(SEARCH("DR Congo",S3866)),"Democratic Republic of the Congo",
ISNUMBER(SEARCH("German DR",S3866)),"DR Germany",
ISNUMBER(SEARCH("rn""&gt;United Arab Emirates",S3866)),"United Arab Emirates",
ISNUMBER(SEARCH("rn""&gt;Republic of Ireland",S3866)),"Ireland",
ISNUMBER(SEARCH("rn""&gt;Bosnia and Herzegovina",S3866)),"Bosnia and Herzegovina",
ISNUMBER(SEARCH("rn""&gt;Trinidad and Tobago",S3866)),"Trinidad and Tobago",
ISNUMBER(SEARCH("rn""&gt;Serbia and Montenegro",S3866)),"Serbia and Montenegro",
ISNUMBER(SEARCH(_xlfn.UNICHAR(65533),S3866)),"Côte d'Ivoire",
TRUE,""
)</f>
        <v/>
      </c>
      <c r="W3866" s="40" t="str">
        <f t="shared" si="255"/>
        <v>Soviet Union</v>
      </c>
    </row>
    <row r="3867" spans="19:23">
      <c r="S3867" s="40" t="str">
        <v>Colombia</v>
      </c>
      <c r="T3867" s="40" t="str">
        <f t="shared" si="253"/>
        <v>OK</v>
      </c>
      <c r="U3867" s="40" t="str">
        <f t="shared" si="254"/>
        <v>-</v>
      </c>
      <c r="V3867" s="40" t="str" cm="1">
        <f t="array" ref="V3867">_xlfn.IFS(
ISNUMBER(SEARCH("USA",S3867)),"United States",
ISNUMBER(SEARCH("Republic of Ireland",S3867)),"Ireland",
ISNUMBER(SEARCH("Republic of Korea",S3867)),"South Korea",
ISNUMBER(SEARCH("Cape Verde",S3867)),"Cabo Verde",
ISNUMBER(SEARCH("Czechia",S3867)),"Czech Republic",
ISNUMBER(SEARCH("Türkiye",S3867)),"Turkey",
ISNUMBER(SEARCH("Ivory Coast",S3867)),"Côte d'Ivoire",
ISNUMBER(SEARCH("Korea Republic",S3867)),"South Korea",
ISNUMBER(SEARCH("Germany FR",S3867)),"FR Germany",
ISNUMBER(SEARCH("West Germany",S3867)),"FR Germany",
ISNUMBER(SEARCH("Germany DR",S3867)),"DR Germany",
ISNUMBER(SEARCH("Korea DPR",S3867)),"North Korea",
ISNUMBER(SEARCH("China PR",S3867)),"China",
ISNUMBER(SEARCH("IR Iran",S3867)),"Iran",
ISNUMBER(SEARCH("Congo DR",S3867)),"Democratic Republic of the Congo",
ISNUMBER(SEARCH("DR Congo",S3867)),"Democratic Republic of the Congo",
ISNUMBER(SEARCH("German DR",S3867)),"DR Germany",
ISNUMBER(SEARCH("rn""&gt;United Arab Emirates",S3867)),"United Arab Emirates",
ISNUMBER(SEARCH("rn""&gt;Republic of Ireland",S3867)),"Ireland",
ISNUMBER(SEARCH("rn""&gt;Bosnia and Herzegovina",S3867)),"Bosnia and Herzegovina",
ISNUMBER(SEARCH("rn""&gt;Trinidad and Tobago",S3867)),"Trinidad and Tobago",
ISNUMBER(SEARCH("rn""&gt;Serbia and Montenegro",S3867)),"Serbia and Montenegro",
ISNUMBER(SEARCH(_xlfn.UNICHAR(65533),S3867)),"Côte d'Ivoire",
TRUE,""
)</f>
        <v/>
      </c>
      <c r="W3867" s="40" t="str">
        <f t="shared" si="255"/>
        <v>Colombia</v>
      </c>
    </row>
    <row r="3868" spans="19:23">
      <c r="S3868" s="40" t="str">
        <v>rn"&gt;United Arab Emirates</v>
      </c>
      <c r="T3868" s="40" t="str">
        <f t="shared" si="253"/>
        <v>ERREUR</v>
      </c>
      <c r="U3868" s="40" t="str">
        <f t="shared" si="254"/>
        <v>RENOMMER</v>
      </c>
      <c r="V3868" s="40" t="str" cm="1">
        <f t="array" ref="V3868">_xlfn.IFS(
ISNUMBER(SEARCH("USA",S3868)),"United States",
ISNUMBER(SEARCH("Republic of Ireland",S3868)),"Ireland",
ISNUMBER(SEARCH("Republic of Korea",S3868)),"South Korea",
ISNUMBER(SEARCH("Cape Verde",S3868)),"Cabo Verde",
ISNUMBER(SEARCH("Czechia",S3868)),"Czech Republic",
ISNUMBER(SEARCH("Türkiye",S3868)),"Turkey",
ISNUMBER(SEARCH("Ivory Coast",S3868)),"Côte d'Ivoire",
ISNUMBER(SEARCH("Korea Republic",S3868)),"South Korea",
ISNUMBER(SEARCH("Germany FR",S3868)),"FR Germany",
ISNUMBER(SEARCH("West Germany",S3868)),"FR Germany",
ISNUMBER(SEARCH("Germany DR",S3868)),"DR Germany",
ISNUMBER(SEARCH("Korea DPR",S3868)),"North Korea",
ISNUMBER(SEARCH("China PR",S3868)),"China",
ISNUMBER(SEARCH("IR Iran",S3868)),"Iran",
ISNUMBER(SEARCH("Congo DR",S3868)),"Democratic Republic of the Congo",
ISNUMBER(SEARCH("DR Congo",S3868)),"Democratic Republic of the Congo",
ISNUMBER(SEARCH("German DR",S3868)),"DR Germany",
ISNUMBER(SEARCH("rn""&gt;United Arab Emirates",S3868)),"United Arab Emirates",
ISNUMBER(SEARCH("rn""&gt;Republic of Ireland",S3868)),"Ireland",
ISNUMBER(SEARCH("rn""&gt;Bosnia and Herzegovina",S3868)),"Bosnia and Herzegovina",
ISNUMBER(SEARCH("rn""&gt;Trinidad and Tobago",S3868)),"Trinidad and Tobago",
ISNUMBER(SEARCH("rn""&gt;Serbia and Montenegro",S3868)),"Serbia and Montenegro",
ISNUMBER(SEARCH(_xlfn.UNICHAR(65533),S3868)),"Côte d'Ivoire",
TRUE,""
)</f>
        <v>United Arab Emirates</v>
      </c>
      <c r="W3868" s="40" t="str">
        <f t="shared" si="255"/>
        <v>United Arab Emirates</v>
      </c>
    </row>
    <row r="3869" spans="19:23">
      <c r="S3869" s="40" t="str">
        <v>Czechoslovakia</v>
      </c>
      <c r="T3869" s="40" t="str">
        <f t="shared" si="253"/>
        <v>ERREUR</v>
      </c>
      <c r="U3869" s="40" t="str">
        <f t="shared" si="254"/>
        <v>AUCUNE</v>
      </c>
      <c r="V3869" s="40" t="str" cm="1">
        <f t="array" ref="V3869">_xlfn.IFS(
ISNUMBER(SEARCH("USA",S3869)),"United States",
ISNUMBER(SEARCH("Republic of Ireland",S3869)),"Ireland",
ISNUMBER(SEARCH("Republic of Korea",S3869)),"South Korea",
ISNUMBER(SEARCH("Cape Verde",S3869)),"Cabo Verde",
ISNUMBER(SEARCH("Czechia",S3869)),"Czech Republic",
ISNUMBER(SEARCH("Türkiye",S3869)),"Turkey",
ISNUMBER(SEARCH("Ivory Coast",S3869)),"Côte d'Ivoire",
ISNUMBER(SEARCH("Korea Republic",S3869)),"South Korea",
ISNUMBER(SEARCH("Germany FR",S3869)),"FR Germany",
ISNUMBER(SEARCH("West Germany",S3869)),"FR Germany",
ISNUMBER(SEARCH("Germany DR",S3869)),"DR Germany",
ISNUMBER(SEARCH("Korea DPR",S3869)),"North Korea",
ISNUMBER(SEARCH("China PR",S3869)),"China",
ISNUMBER(SEARCH("IR Iran",S3869)),"Iran",
ISNUMBER(SEARCH("Congo DR",S3869)),"Democratic Republic of the Congo",
ISNUMBER(SEARCH("DR Congo",S3869)),"Democratic Republic of the Congo",
ISNUMBER(SEARCH("German DR",S3869)),"DR Germany",
ISNUMBER(SEARCH("rn""&gt;United Arab Emirates",S3869)),"United Arab Emirates",
ISNUMBER(SEARCH("rn""&gt;Republic of Ireland",S3869)),"Ireland",
ISNUMBER(SEARCH("rn""&gt;Bosnia and Herzegovina",S3869)),"Bosnia and Herzegovina",
ISNUMBER(SEARCH("rn""&gt;Trinidad and Tobago",S3869)),"Trinidad and Tobago",
ISNUMBER(SEARCH("rn""&gt;Serbia and Montenegro",S3869)),"Serbia and Montenegro",
ISNUMBER(SEARCH(_xlfn.UNICHAR(65533),S3869)),"Côte d'Ivoire",
TRUE,""
)</f>
        <v/>
      </c>
      <c r="W3869" s="40" t="str">
        <f t="shared" si="255"/>
        <v>Czechoslovakia</v>
      </c>
    </row>
    <row r="3870" spans="19:23">
      <c r="S3870" s="40" t="str">
        <v>USA</v>
      </c>
      <c r="T3870" s="40" t="str">
        <f t="shared" si="253"/>
        <v>ERREUR</v>
      </c>
      <c r="U3870" s="40" t="str">
        <f t="shared" si="254"/>
        <v>RENOMMER</v>
      </c>
      <c r="V3870" s="40" t="str" cm="1">
        <f t="array" ref="V3870">_xlfn.IFS(
ISNUMBER(SEARCH("USA",S3870)),"United States",
ISNUMBER(SEARCH("Republic of Ireland",S3870)),"Ireland",
ISNUMBER(SEARCH("Republic of Korea",S3870)),"South Korea",
ISNUMBER(SEARCH("Cape Verde",S3870)),"Cabo Verde",
ISNUMBER(SEARCH("Czechia",S3870)),"Czech Republic",
ISNUMBER(SEARCH("Türkiye",S3870)),"Turkey",
ISNUMBER(SEARCH("Ivory Coast",S3870)),"Côte d'Ivoire",
ISNUMBER(SEARCH("Korea Republic",S3870)),"South Korea",
ISNUMBER(SEARCH("Germany FR",S3870)),"FR Germany",
ISNUMBER(SEARCH("West Germany",S3870)),"FR Germany",
ISNUMBER(SEARCH("Germany DR",S3870)),"DR Germany",
ISNUMBER(SEARCH("Korea DPR",S3870)),"North Korea",
ISNUMBER(SEARCH("China PR",S3870)),"China",
ISNUMBER(SEARCH("IR Iran",S3870)),"Iran",
ISNUMBER(SEARCH("Congo DR",S3870)),"Democratic Republic of the Congo",
ISNUMBER(SEARCH("DR Congo",S3870)),"Democratic Republic of the Congo",
ISNUMBER(SEARCH("German DR",S3870)),"DR Germany",
ISNUMBER(SEARCH("rn""&gt;United Arab Emirates",S3870)),"United Arab Emirates",
ISNUMBER(SEARCH("rn""&gt;Republic of Ireland",S3870)),"Ireland",
ISNUMBER(SEARCH("rn""&gt;Bosnia and Herzegovina",S3870)),"Bosnia and Herzegovina",
ISNUMBER(SEARCH("rn""&gt;Trinidad and Tobago",S3870)),"Trinidad and Tobago",
ISNUMBER(SEARCH("rn""&gt;Serbia and Montenegro",S3870)),"Serbia and Montenegro",
ISNUMBER(SEARCH(_xlfn.UNICHAR(65533),S3870)),"Côte d'Ivoire",
TRUE,""
)</f>
        <v>United States</v>
      </c>
      <c r="W3870" s="40" t="str">
        <f t="shared" si="255"/>
        <v>United States</v>
      </c>
    </row>
    <row r="3871" spans="19:23">
      <c r="S3871" s="40" t="str">
        <v>Scotland</v>
      </c>
      <c r="T3871" s="40" t="str">
        <f t="shared" si="253"/>
        <v>ERREUR</v>
      </c>
      <c r="U3871" s="40" t="str">
        <f t="shared" si="254"/>
        <v>AUCUNE</v>
      </c>
      <c r="V3871" s="40" t="str" cm="1">
        <f t="array" ref="V3871">_xlfn.IFS(
ISNUMBER(SEARCH("USA",S3871)),"United States",
ISNUMBER(SEARCH("Republic of Ireland",S3871)),"Ireland",
ISNUMBER(SEARCH("Republic of Korea",S3871)),"South Korea",
ISNUMBER(SEARCH("Cape Verde",S3871)),"Cabo Verde",
ISNUMBER(SEARCH("Czechia",S3871)),"Czech Republic",
ISNUMBER(SEARCH("Türkiye",S3871)),"Turkey",
ISNUMBER(SEARCH("Ivory Coast",S3871)),"Côte d'Ivoire",
ISNUMBER(SEARCH("Korea Republic",S3871)),"South Korea",
ISNUMBER(SEARCH("Germany FR",S3871)),"FR Germany",
ISNUMBER(SEARCH("West Germany",S3871)),"FR Germany",
ISNUMBER(SEARCH("Germany DR",S3871)),"DR Germany",
ISNUMBER(SEARCH("Korea DPR",S3871)),"North Korea",
ISNUMBER(SEARCH("China PR",S3871)),"China",
ISNUMBER(SEARCH("IR Iran",S3871)),"Iran",
ISNUMBER(SEARCH("Congo DR",S3871)),"Democratic Republic of the Congo",
ISNUMBER(SEARCH("DR Congo",S3871)),"Democratic Republic of the Congo",
ISNUMBER(SEARCH("German DR",S3871)),"DR Germany",
ISNUMBER(SEARCH("rn""&gt;United Arab Emirates",S3871)),"United Arab Emirates",
ISNUMBER(SEARCH("rn""&gt;Republic of Ireland",S3871)),"Ireland",
ISNUMBER(SEARCH("rn""&gt;Bosnia and Herzegovina",S3871)),"Bosnia and Herzegovina",
ISNUMBER(SEARCH("rn""&gt;Trinidad and Tobago",S3871)),"Trinidad and Tobago",
ISNUMBER(SEARCH("rn""&gt;Serbia and Montenegro",S3871)),"Serbia and Montenegro",
ISNUMBER(SEARCH(_xlfn.UNICHAR(65533),S3871)),"Côte d'Ivoire",
TRUE,""
)</f>
        <v/>
      </c>
      <c r="W3871" s="40" t="str">
        <f t="shared" si="255"/>
        <v>Scotland</v>
      </c>
    </row>
    <row r="3872" spans="19:23">
      <c r="S3872" s="40" t="str">
        <v>Costa Rica</v>
      </c>
      <c r="T3872" s="40" t="str">
        <f t="shared" si="253"/>
        <v>OK</v>
      </c>
      <c r="U3872" s="40" t="str">
        <f t="shared" si="254"/>
        <v>-</v>
      </c>
      <c r="V3872" s="40" t="str" cm="1">
        <f t="array" ref="V3872">_xlfn.IFS(
ISNUMBER(SEARCH("USA",S3872)),"United States",
ISNUMBER(SEARCH("Republic of Ireland",S3872)),"Ireland",
ISNUMBER(SEARCH("Republic of Korea",S3872)),"South Korea",
ISNUMBER(SEARCH("Cape Verde",S3872)),"Cabo Verde",
ISNUMBER(SEARCH("Czechia",S3872)),"Czech Republic",
ISNUMBER(SEARCH("Türkiye",S3872)),"Turkey",
ISNUMBER(SEARCH("Ivory Coast",S3872)),"Côte d'Ivoire",
ISNUMBER(SEARCH("Korea Republic",S3872)),"South Korea",
ISNUMBER(SEARCH("Germany FR",S3872)),"FR Germany",
ISNUMBER(SEARCH("West Germany",S3872)),"FR Germany",
ISNUMBER(SEARCH("Germany DR",S3872)),"DR Germany",
ISNUMBER(SEARCH("Korea DPR",S3872)),"North Korea",
ISNUMBER(SEARCH("China PR",S3872)),"China",
ISNUMBER(SEARCH("IR Iran",S3872)),"Iran",
ISNUMBER(SEARCH("Congo DR",S3872)),"Democratic Republic of the Congo",
ISNUMBER(SEARCH("DR Congo",S3872)),"Democratic Republic of the Congo",
ISNUMBER(SEARCH("German DR",S3872)),"DR Germany",
ISNUMBER(SEARCH("rn""&gt;United Arab Emirates",S3872)),"United Arab Emirates",
ISNUMBER(SEARCH("rn""&gt;Republic of Ireland",S3872)),"Ireland",
ISNUMBER(SEARCH("rn""&gt;Bosnia and Herzegovina",S3872)),"Bosnia and Herzegovina",
ISNUMBER(SEARCH("rn""&gt;Trinidad and Tobago",S3872)),"Trinidad and Tobago",
ISNUMBER(SEARCH("rn""&gt;Serbia and Montenegro",S3872)),"Serbia and Montenegro",
ISNUMBER(SEARCH(_xlfn.UNICHAR(65533),S3872)),"Côte d'Ivoire",
TRUE,""
)</f>
        <v/>
      </c>
      <c r="W3872" s="40" t="str">
        <f t="shared" si="255"/>
        <v>Costa Rica</v>
      </c>
    </row>
    <row r="3873" spans="19:23">
      <c r="S3873" s="40" t="str">
        <v>Uruguay</v>
      </c>
      <c r="T3873" s="40" t="str">
        <f t="shared" si="253"/>
        <v>OK</v>
      </c>
      <c r="U3873" s="40" t="str">
        <f t="shared" si="254"/>
        <v>-</v>
      </c>
      <c r="V3873" s="40" t="str" cm="1">
        <f t="array" ref="V3873">_xlfn.IFS(
ISNUMBER(SEARCH("USA",S3873)),"United States",
ISNUMBER(SEARCH("Republic of Ireland",S3873)),"Ireland",
ISNUMBER(SEARCH("Republic of Korea",S3873)),"South Korea",
ISNUMBER(SEARCH("Cape Verde",S3873)),"Cabo Verde",
ISNUMBER(SEARCH("Czechia",S3873)),"Czech Republic",
ISNUMBER(SEARCH("Türkiye",S3873)),"Turkey",
ISNUMBER(SEARCH("Ivory Coast",S3873)),"Côte d'Ivoire",
ISNUMBER(SEARCH("Korea Republic",S3873)),"South Korea",
ISNUMBER(SEARCH("Germany FR",S3873)),"FR Germany",
ISNUMBER(SEARCH("West Germany",S3873)),"FR Germany",
ISNUMBER(SEARCH("Germany DR",S3873)),"DR Germany",
ISNUMBER(SEARCH("Korea DPR",S3873)),"North Korea",
ISNUMBER(SEARCH("China PR",S3873)),"China",
ISNUMBER(SEARCH("IR Iran",S3873)),"Iran",
ISNUMBER(SEARCH("Congo DR",S3873)),"Democratic Republic of the Congo",
ISNUMBER(SEARCH("DR Congo",S3873)),"Democratic Republic of the Congo",
ISNUMBER(SEARCH("German DR",S3873)),"DR Germany",
ISNUMBER(SEARCH("rn""&gt;United Arab Emirates",S3873)),"United Arab Emirates",
ISNUMBER(SEARCH("rn""&gt;Republic of Ireland",S3873)),"Ireland",
ISNUMBER(SEARCH("rn""&gt;Bosnia and Herzegovina",S3873)),"Bosnia and Herzegovina",
ISNUMBER(SEARCH("rn""&gt;Trinidad and Tobago",S3873)),"Trinidad and Tobago",
ISNUMBER(SEARCH("rn""&gt;Serbia and Montenegro",S3873)),"Serbia and Montenegro",
ISNUMBER(SEARCH(_xlfn.UNICHAR(65533),S3873)),"Côte d'Ivoire",
TRUE,""
)</f>
        <v/>
      </c>
      <c r="W3873" s="40" t="str">
        <f t="shared" si="255"/>
        <v>Uruguay</v>
      </c>
    </row>
    <row r="3874" spans="19:23">
      <c r="S3874" s="40" t="str">
        <v>Spain</v>
      </c>
      <c r="T3874" s="40" t="str">
        <f t="shared" si="253"/>
        <v>OK</v>
      </c>
      <c r="U3874" s="40" t="str">
        <f t="shared" si="254"/>
        <v>-</v>
      </c>
      <c r="V3874" s="40" t="str" cm="1">
        <f t="array" ref="V3874">_xlfn.IFS(
ISNUMBER(SEARCH("USA",S3874)),"United States",
ISNUMBER(SEARCH("Republic of Ireland",S3874)),"Ireland",
ISNUMBER(SEARCH("Republic of Korea",S3874)),"South Korea",
ISNUMBER(SEARCH("Cape Verde",S3874)),"Cabo Verde",
ISNUMBER(SEARCH("Czechia",S3874)),"Czech Republic",
ISNUMBER(SEARCH("Türkiye",S3874)),"Turkey",
ISNUMBER(SEARCH("Ivory Coast",S3874)),"Côte d'Ivoire",
ISNUMBER(SEARCH("Korea Republic",S3874)),"South Korea",
ISNUMBER(SEARCH("Germany FR",S3874)),"FR Germany",
ISNUMBER(SEARCH("West Germany",S3874)),"FR Germany",
ISNUMBER(SEARCH("Germany DR",S3874)),"DR Germany",
ISNUMBER(SEARCH("Korea DPR",S3874)),"North Korea",
ISNUMBER(SEARCH("China PR",S3874)),"China",
ISNUMBER(SEARCH("IR Iran",S3874)),"Iran",
ISNUMBER(SEARCH("Congo DR",S3874)),"Democratic Republic of the Congo",
ISNUMBER(SEARCH("DR Congo",S3874)),"Democratic Republic of the Congo",
ISNUMBER(SEARCH("German DR",S3874)),"DR Germany",
ISNUMBER(SEARCH("rn""&gt;United Arab Emirates",S3874)),"United Arab Emirates",
ISNUMBER(SEARCH("rn""&gt;Republic of Ireland",S3874)),"Ireland",
ISNUMBER(SEARCH("rn""&gt;Bosnia and Herzegovina",S3874)),"Bosnia and Herzegovina",
ISNUMBER(SEARCH("rn""&gt;Trinidad and Tobago",S3874)),"Trinidad and Tobago",
ISNUMBER(SEARCH("rn""&gt;Serbia and Montenegro",S3874)),"Serbia and Montenegro",
ISNUMBER(SEARCH(_xlfn.UNICHAR(65533),S3874)),"Côte d'Ivoire",
TRUE,""
)</f>
        <v/>
      </c>
      <c r="W3874" s="40" t="str">
        <f t="shared" si="255"/>
        <v>Spain</v>
      </c>
    </row>
    <row r="3875" spans="19:23">
      <c r="S3875" s="40" t="str">
        <v>Netherlands</v>
      </c>
      <c r="T3875" s="40" t="str">
        <f t="shared" si="253"/>
        <v>OK</v>
      </c>
      <c r="U3875" s="40" t="str">
        <f t="shared" si="254"/>
        <v>-</v>
      </c>
      <c r="V3875" s="40" t="str" cm="1">
        <f t="array" ref="V3875">_xlfn.IFS(
ISNUMBER(SEARCH("USA",S3875)),"United States",
ISNUMBER(SEARCH("Republic of Ireland",S3875)),"Ireland",
ISNUMBER(SEARCH("Republic of Korea",S3875)),"South Korea",
ISNUMBER(SEARCH("Cape Verde",S3875)),"Cabo Verde",
ISNUMBER(SEARCH("Czechia",S3875)),"Czech Republic",
ISNUMBER(SEARCH("Türkiye",S3875)),"Turkey",
ISNUMBER(SEARCH("Ivory Coast",S3875)),"Côte d'Ivoire",
ISNUMBER(SEARCH("Korea Republic",S3875)),"South Korea",
ISNUMBER(SEARCH("Germany FR",S3875)),"FR Germany",
ISNUMBER(SEARCH("West Germany",S3875)),"FR Germany",
ISNUMBER(SEARCH("Germany DR",S3875)),"DR Germany",
ISNUMBER(SEARCH("Korea DPR",S3875)),"North Korea",
ISNUMBER(SEARCH("China PR",S3875)),"China",
ISNUMBER(SEARCH("IR Iran",S3875)),"Iran",
ISNUMBER(SEARCH("Congo DR",S3875)),"Democratic Republic of the Congo",
ISNUMBER(SEARCH("DR Congo",S3875)),"Democratic Republic of the Congo",
ISNUMBER(SEARCH("German DR",S3875)),"DR Germany",
ISNUMBER(SEARCH("rn""&gt;United Arab Emirates",S3875)),"United Arab Emirates",
ISNUMBER(SEARCH("rn""&gt;Republic of Ireland",S3875)),"Ireland",
ISNUMBER(SEARCH("rn""&gt;Bosnia and Herzegovina",S3875)),"Bosnia and Herzegovina",
ISNUMBER(SEARCH("rn""&gt;Trinidad and Tobago",S3875)),"Trinidad and Tobago",
ISNUMBER(SEARCH("rn""&gt;Serbia and Montenegro",S3875)),"Serbia and Montenegro",
ISNUMBER(SEARCH(_xlfn.UNICHAR(65533),S3875)),"Côte d'Ivoire",
TRUE,""
)</f>
        <v/>
      </c>
      <c r="W3875" s="40" t="str">
        <f t="shared" si="255"/>
        <v>Netherlands</v>
      </c>
    </row>
    <row r="3876" spans="19:23">
      <c r="S3876" s="40" t="str">
        <v>Egypt</v>
      </c>
      <c r="T3876" s="40" t="str">
        <f t="shared" si="253"/>
        <v>OK</v>
      </c>
      <c r="U3876" s="40" t="str">
        <f t="shared" si="254"/>
        <v>-</v>
      </c>
      <c r="V3876" s="40" t="str" cm="1">
        <f t="array" ref="V3876">_xlfn.IFS(
ISNUMBER(SEARCH("USA",S3876)),"United States",
ISNUMBER(SEARCH("Republic of Ireland",S3876)),"Ireland",
ISNUMBER(SEARCH("Republic of Korea",S3876)),"South Korea",
ISNUMBER(SEARCH("Cape Verde",S3876)),"Cabo Verde",
ISNUMBER(SEARCH("Czechia",S3876)),"Czech Republic",
ISNUMBER(SEARCH("Türkiye",S3876)),"Turkey",
ISNUMBER(SEARCH("Ivory Coast",S3876)),"Côte d'Ivoire",
ISNUMBER(SEARCH("Korea Republic",S3876)),"South Korea",
ISNUMBER(SEARCH("Germany FR",S3876)),"FR Germany",
ISNUMBER(SEARCH("West Germany",S3876)),"FR Germany",
ISNUMBER(SEARCH("Germany DR",S3876)),"DR Germany",
ISNUMBER(SEARCH("Korea DPR",S3876)),"North Korea",
ISNUMBER(SEARCH("China PR",S3876)),"China",
ISNUMBER(SEARCH("IR Iran",S3876)),"Iran",
ISNUMBER(SEARCH("Congo DR",S3876)),"Democratic Republic of the Congo",
ISNUMBER(SEARCH("DR Congo",S3876)),"Democratic Republic of the Congo",
ISNUMBER(SEARCH("German DR",S3876)),"DR Germany",
ISNUMBER(SEARCH("rn""&gt;United Arab Emirates",S3876)),"United Arab Emirates",
ISNUMBER(SEARCH("rn""&gt;Republic of Ireland",S3876)),"Ireland",
ISNUMBER(SEARCH("rn""&gt;Bosnia and Herzegovina",S3876)),"Bosnia and Herzegovina",
ISNUMBER(SEARCH("rn""&gt;Trinidad and Tobago",S3876)),"Trinidad and Tobago",
ISNUMBER(SEARCH("rn""&gt;Serbia and Montenegro",S3876)),"Serbia and Montenegro",
ISNUMBER(SEARCH(_xlfn.UNICHAR(65533),S3876)),"Côte d'Ivoire",
TRUE,""
)</f>
        <v/>
      </c>
      <c r="W3876" s="40" t="str">
        <f t="shared" si="255"/>
        <v>Egypt</v>
      </c>
    </row>
    <row r="3877" spans="19:23">
      <c r="S3877" s="40" t="str">
        <v>Colombia</v>
      </c>
      <c r="T3877" s="40" t="str">
        <f t="shared" si="253"/>
        <v>OK</v>
      </c>
      <c r="U3877" s="40" t="str">
        <f t="shared" si="254"/>
        <v>-</v>
      </c>
      <c r="V3877" s="40" t="str" cm="1">
        <f t="array" ref="V3877">_xlfn.IFS(
ISNUMBER(SEARCH("USA",S3877)),"United States",
ISNUMBER(SEARCH("Republic of Ireland",S3877)),"Ireland",
ISNUMBER(SEARCH("Republic of Korea",S3877)),"South Korea",
ISNUMBER(SEARCH("Cape Verde",S3877)),"Cabo Verde",
ISNUMBER(SEARCH("Czechia",S3877)),"Czech Republic",
ISNUMBER(SEARCH("Türkiye",S3877)),"Turkey",
ISNUMBER(SEARCH("Ivory Coast",S3877)),"Côte d'Ivoire",
ISNUMBER(SEARCH("Korea Republic",S3877)),"South Korea",
ISNUMBER(SEARCH("Germany FR",S3877)),"FR Germany",
ISNUMBER(SEARCH("West Germany",S3877)),"FR Germany",
ISNUMBER(SEARCH("Germany DR",S3877)),"DR Germany",
ISNUMBER(SEARCH("Korea DPR",S3877)),"North Korea",
ISNUMBER(SEARCH("China PR",S3877)),"China",
ISNUMBER(SEARCH("IR Iran",S3877)),"Iran",
ISNUMBER(SEARCH("Congo DR",S3877)),"Democratic Republic of the Congo",
ISNUMBER(SEARCH("DR Congo",S3877)),"Democratic Republic of the Congo",
ISNUMBER(SEARCH("German DR",S3877)),"DR Germany",
ISNUMBER(SEARCH("rn""&gt;United Arab Emirates",S3877)),"United Arab Emirates",
ISNUMBER(SEARCH("rn""&gt;Republic of Ireland",S3877)),"Ireland",
ISNUMBER(SEARCH("rn""&gt;Bosnia and Herzegovina",S3877)),"Bosnia and Herzegovina",
ISNUMBER(SEARCH("rn""&gt;Trinidad and Tobago",S3877)),"Trinidad and Tobago",
ISNUMBER(SEARCH("rn""&gt;Serbia and Montenegro",S3877)),"Serbia and Montenegro",
ISNUMBER(SEARCH(_xlfn.UNICHAR(65533),S3877)),"Côte d'Ivoire",
TRUE,""
)</f>
        <v/>
      </c>
      <c r="W3877" s="40" t="str">
        <f t="shared" si="255"/>
        <v>Colombia</v>
      </c>
    </row>
    <row r="3878" spans="19:23">
      <c r="S3878" s="40" t="str">
        <v>Costa Rica</v>
      </c>
      <c r="T3878" s="40" t="str">
        <f t="shared" si="253"/>
        <v>OK</v>
      </c>
      <c r="U3878" s="40" t="str">
        <f t="shared" si="254"/>
        <v>-</v>
      </c>
      <c r="V3878" s="40" t="str" cm="1">
        <f t="array" ref="V3878">_xlfn.IFS(
ISNUMBER(SEARCH("USA",S3878)),"United States",
ISNUMBER(SEARCH("Republic of Ireland",S3878)),"Ireland",
ISNUMBER(SEARCH("Republic of Korea",S3878)),"South Korea",
ISNUMBER(SEARCH("Cape Verde",S3878)),"Cabo Verde",
ISNUMBER(SEARCH("Czechia",S3878)),"Czech Republic",
ISNUMBER(SEARCH("Türkiye",S3878)),"Turkey",
ISNUMBER(SEARCH("Ivory Coast",S3878)),"Côte d'Ivoire",
ISNUMBER(SEARCH("Korea Republic",S3878)),"South Korea",
ISNUMBER(SEARCH("Germany FR",S3878)),"FR Germany",
ISNUMBER(SEARCH("West Germany",S3878)),"FR Germany",
ISNUMBER(SEARCH("Germany DR",S3878)),"DR Germany",
ISNUMBER(SEARCH("Korea DPR",S3878)),"North Korea",
ISNUMBER(SEARCH("China PR",S3878)),"China",
ISNUMBER(SEARCH("IR Iran",S3878)),"Iran",
ISNUMBER(SEARCH("Congo DR",S3878)),"Democratic Republic of the Congo",
ISNUMBER(SEARCH("DR Congo",S3878)),"Democratic Republic of the Congo",
ISNUMBER(SEARCH("German DR",S3878)),"DR Germany",
ISNUMBER(SEARCH("rn""&gt;United Arab Emirates",S3878)),"United Arab Emirates",
ISNUMBER(SEARCH("rn""&gt;Republic of Ireland",S3878)),"Ireland",
ISNUMBER(SEARCH("rn""&gt;Bosnia and Herzegovina",S3878)),"Bosnia and Herzegovina",
ISNUMBER(SEARCH("rn""&gt;Trinidad and Tobago",S3878)),"Trinidad and Tobago",
ISNUMBER(SEARCH("rn""&gt;Serbia and Montenegro",S3878)),"Serbia and Montenegro",
ISNUMBER(SEARCH(_xlfn.UNICHAR(65533),S3878)),"Côte d'Ivoire",
TRUE,""
)</f>
        <v/>
      </c>
      <c r="W3878" s="40" t="str">
        <f t="shared" si="255"/>
        <v>Costa Rica</v>
      </c>
    </row>
    <row r="3879" spans="19:23">
      <c r="S3879" s="40" t="str">
        <v>Argentina</v>
      </c>
      <c r="T3879" s="40" t="str">
        <f t="shared" si="253"/>
        <v>OK</v>
      </c>
      <c r="U3879" s="40" t="str">
        <f t="shared" si="254"/>
        <v>-</v>
      </c>
      <c r="V3879" s="40" t="str" cm="1">
        <f t="array" ref="V3879">_xlfn.IFS(
ISNUMBER(SEARCH("USA",S3879)),"United States",
ISNUMBER(SEARCH("Republic of Ireland",S3879)),"Ireland",
ISNUMBER(SEARCH("Republic of Korea",S3879)),"South Korea",
ISNUMBER(SEARCH("Cape Verde",S3879)),"Cabo Verde",
ISNUMBER(SEARCH("Czechia",S3879)),"Czech Republic",
ISNUMBER(SEARCH("Türkiye",S3879)),"Turkey",
ISNUMBER(SEARCH("Ivory Coast",S3879)),"Côte d'Ivoire",
ISNUMBER(SEARCH("Korea Republic",S3879)),"South Korea",
ISNUMBER(SEARCH("Germany FR",S3879)),"FR Germany",
ISNUMBER(SEARCH("West Germany",S3879)),"FR Germany",
ISNUMBER(SEARCH("Germany DR",S3879)),"DR Germany",
ISNUMBER(SEARCH("Korea DPR",S3879)),"North Korea",
ISNUMBER(SEARCH("China PR",S3879)),"China",
ISNUMBER(SEARCH("IR Iran",S3879)),"Iran",
ISNUMBER(SEARCH("Congo DR",S3879)),"Democratic Republic of the Congo",
ISNUMBER(SEARCH("DR Congo",S3879)),"Democratic Republic of the Congo",
ISNUMBER(SEARCH("German DR",S3879)),"DR Germany",
ISNUMBER(SEARCH("rn""&gt;United Arab Emirates",S3879)),"United Arab Emirates",
ISNUMBER(SEARCH("rn""&gt;Republic of Ireland",S3879)),"Ireland",
ISNUMBER(SEARCH("rn""&gt;Bosnia and Herzegovina",S3879)),"Bosnia and Herzegovina",
ISNUMBER(SEARCH("rn""&gt;Trinidad and Tobago",S3879)),"Trinidad and Tobago",
ISNUMBER(SEARCH("rn""&gt;Serbia and Montenegro",S3879)),"Serbia and Montenegro",
ISNUMBER(SEARCH(_xlfn.UNICHAR(65533),S3879)),"Côte d'Ivoire",
TRUE,""
)</f>
        <v/>
      </c>
      <c r="W3879" s="40" t="str">
        <f t="shared" si="255"/>
        <v>Argentina</v>
      </c>
    </row>
    <row r="3880" spans="19:23">
      <c r="S3880" s="40" t="str">
        <v>Netherlands</v>
      </c>
      <c r="T3880" s="40" t="str">
        <f t="shared" si="253"/>
        <v>OK</v>
      </c>
      <c r="U3880" s="40" t="str">
        <f t="shared" si="254"/>
        <v>-</v>
      </c>
      <c r="V3880" s="40" t="str" cm="1">
        <f t="array" ref="V3880">_xlfn.IFS(
ISNUMBER(SEARCH("USA",S3880)),"United States",
ISNUMBER(SEARCH("Republic of Ireland",S3880)),"Ireland",
ISNUMBER(SEARCH("Republic of Korea",S3880)),"South Korea",
ISNUMBER(SEARCH("Cape Verde",S3880)),"Cabo Verde",
ISNUMBER(SEARCH("Czechia",S3880)),"Czech Republic",
ISNUMBER(SEARCH("Türkiye",S3880)),"Turkey",
ISNUMBER(SEARCH("Ivory Coast",S3880)),"Côte d'Ivoire",
ISNUMBER(SEARCH("Korea Republic",S3880)),"South Korea",
ISNUMBER(SEARCH("Germany FR",S3880)),"FR Germany",
ISNUMBER(SEARCH("West Germany",S3880)),"FR Germany",
ISNUMBER(SEARCH("Germany DR",S3880)),"DR Germany",
ISNUMBER(SEARCH("Korea DPR",S3880)),"North Korea",
ISNUMBER(SEARCH("China PR",S3880)),"China",
ISNUMBER(SEARCH("IR Iran",S3880)),"Iran",
ISNUMBER(SEARCH("Congo DR",S3880)),"Democratic Republic of the Congo",
ISNUMBER(SEARCH("DR Congo",S3880)),"Democratic Republic of the Congo",
ISNUMBER(SEARCH("German DR",S3880)),"DR Germany",
ISNUMBER(SEARCH("rn""&gt;United Arab Emirates",S3880)),"United Arab Emirates",
ISNUMBER(SEARCH("rn""&gt;Republic of Ireland",S3880)),"Ireland",
ISNUMBER(SEARCH("rn""&gt;Bosnia and Herzegovina",S3880)),"Bosnia and Herzegovina",
ISNUMBER(SEARCH("rn""&gt;Trinidad and Tobago",S3880)),"Trinidad and Tobago",
ISNUMBER(SEARCH("rn""&gt;Serbia and Montenegro",S3880)),"Serbia and Montenegro",
ISNUMBER(SEARCH(_xlfn.UNICHAR(65533),S3880)),"Côte d'Ivoire",
TRUE,""
)</f>
        <v/>
      </c>
      <c r="W3880" s="40" t="str">
        <f t="shared" si="255"/>
        <v>Netherlands</v>
      </c>
    </row>
    <row r="3881" spans="19:23">
      <c r="S3881" s="40" t="str">
        <v>Romania</v>
      </c>
      <c r="T3881" s="40" t="str">
        <f t="shared" si="253"/>
        <v>OK</v>
      </c>
      <c r="U3881" s="40" t="str">
        <f t="shared" si="254"/>
        <v>-</v>
      </c>
      <c r="V3881" s="40" t="str" cm="1">
        <f t="array" ref="V3881">_xlfn.IFS(
ISNUMBER(SEARCH("USA",S3881)),"United States",
ISNUMBER(SEARCH("Republic of Ireland",S3881)),"Ireland",
ISNUMBER(SEARCH("Republic of Korea",S3881)),"South Korea",
ISNUMBER(SEARCH("Cape Verde",S3881)),"Cabo Verde",
ISNUMBER(SEARCH("Czechia",S3881)),"Czech Republic",
ISNUMBER(SEARCH("Türkiye",S3881)),"Turkey",
ISNUMBER(SEARCH("Ivory Coast",S3881)),"Côte d'Ivoire",
ISNUMBER(SEARCH("Korea Republic",S3881)),"South Korea",
ISNUMBER(SEARCH("Germany FR",S3881)),"FR Germany",
ISNUMBER(SEARCH("West Germany",S3881)),"FR Germany",
ISNUMBER(SEARCH("Germany DR",S3881)),"DR Germany",
ISNUMBER(SEARCH("Korea DPR",S3881)),"North Korea",
ISNUMBER(SEARCH("China PR",S3881)),"China",
ISNUMBER(SEARCH("IR Iran",S3881)),"Iran",
ISNUMBER(SEARCH("Congo DR",S3881)),"Democratic Republic of the Congo",
ISNUMBER(SEARCH("DR Congo",S3881)),"Democratic Republic of the Congo",
ISNUMBER(SEARCH("German DR",S3881)),"DR Germany",
ISNUMBER(SEARCH("rn""&gt;United Arab Emirates",S3881)),"United Arab Emirates",
ISNUMBER(SEARCH("rn""&gt;Republic of Ireland",S3881)),"Ireland",
ISNUMBER(SEARCH("rn""&gt;Bosnia and Herzegovina",S3881)),"Bosnia and Herzegovina",
ISNUMBER(SEARCH("rn""&gt;Trinidad and Tobago",S3881)),"Trinidad and Tobago",
ISNUMBER(SEARCH("rn""&gt;Serbia and Montenegro",S3881)),"Serbia and Montenegro",
ISNUMBER(SEARCH(_xlfn.UNICHAR(65533),S3881)),"Côte d'Ivoire",
TRUE,""
)</f>
        <v/>
      </c>
      <c r="W3881" s="40" t="str">
        <f t="shared" si="255"/>
        <v>Romania</v>
      </c>
    </row>
    <row r="3882" spans="19:23">
      <c r="S3882" s="40" t="str">
        <v>Uruguay</v>
      </c>
      <c r="T3882" s="40" t="str">
        <f t="shared" si="253"/>
        <v>OK</v>
      </c>
      <c r="U3882" s="40" t="str">
        <f t="shared" si="254"/>
        <v>-</v>
      </c>
      <c r="V3882" s="40" t="str" cm="1">
        <f t="array" ref="V3882">_xlfn.IFS(
ISNUMBER(SEARCH("USA",S3882)),"United States",
ISNUMBER(SEARCH("Republic of Ireland",S3882)),"Ireland",
ISNUMBER(SEARCH("Republic of Korea",S3882)),"South Korea",
ISNUMBER(SEARCH("Cape Verde",S3882)),"Cabo Verde",
ISNUMBER(SEARCH("Czechia",S3882)),"Czech Republic",
ISNUMBER(SEARCH("Türkiye",S3882)),"Turkey",
ISNUMBER(SEARCH("Ivory Coast",S3882)),"Côte d'Ivoire",
ISNUMBER(SEARCH("Korea Republic",S3882)),"South Korea",
ISNUMBER(SEARCH("Germany FR",S3882)),"FR Germany",
ISNUMBER(SEARCH("West Germany",S3882)),"FR Germany",
ISNUMBER(SEARCH("Germany DR",S3882)),"DR Germany",
ISNUMBER(SEARCH("Korea DPR",S3882)),"North Korea",
ISNUMBER(SEARCH("China PR",S3882)),"China",
ISNUMBER(SEARCH("IR Iran",S3882)),"Iran",
ISNUMBER(SEARCH("Congo DR",S3882)),"Democratic Republic of the Congo",
ISNUMBER(SEARCH("DR Congo",S3882)),"Democratic Republic of the Congo",
ISNUMBER(SEARCH("German DR",S3882)),"DR Germany",
ISNUMBER(SEARCH("rn""&gt;United Arab Emirates",S3882)),"United Arab Emirates",
ISNUMBER(SEARCH("rn""&gt;Republic of Ireland",S3882)),"Ireland",
ISNUMBER(SEARCH("rn""&gt;Bosnia and Herzegovina",S3882)),"Bosnia and Herzegovina",
ISNUMBER(SEARCH("rn""&gt;Trinidad and Tobago",S3882)),"Trinidad and Tobago",
ISNUMBER(SEARCH("rn""&gt;Serbia and Montenegro",S3882)),"Serbia and Montenegro",
ISNUMBER(SEARCH(_xlfn.UNICHAR(65533),S3882)),"Côte d'Ivoire",
TRUE,""
)</f>
        <v/>
      </c>
      <c r="W3882" s="40" t="str">
        <f t="shared" si="255"/>
        <v>Uruguay</v>
      </c>
    </row>
    <row r="3883" spans="19:23">
      <c r="S3883" s="40" t="str">
        <v>Yugoslavia</v>
      </c>
      <c r="T3883" s="40" t="str">
        <f t="shared" si="253"/>
        <v>ERREUR</v>
      </c>
      <c r="U3883" s="40" t="str">
        <f t="shared" si="254"/>
        <v>AUCUNE</v>
      </c>
      <c r="V3883" s="40" t="str" cm="1">
        <f t="array" ref="V3883">_xlfn.IFS(
ISNUMBER(SEARCH("USA",S3883)),"United States",
ISNUMBER(SEARCH("Republic of Ireland",S3883)),"Ireland",
ISNUMBER(SEARCH("Republic of Korea",S3883)),"South Korea",
ISNUMBER(SEARCH("Cape Verde",S3883)),"Cabo Verde",
ISNUMBER(SEARCH("Czechia",S3883)),"Czech Republic",
ISNUMBER(SEARCH("Türkiye",S3883)),"Turkey",
ISNUMBER(SEARCH("Ivory Coast",S3883)),"Côte d'Ivoire",
ISNUMBER(SEARCH("Korea Republic",S3883)),"South Korea",
ISNUMBER(SEARCH("Germany FR",S3883)),"FR Germany",
ISNUMBER(SEARCH("West Germany",S3883)),"FR Germany",
ISNUMBER(SEARCH("Germany DR",S3883)),"DR Germany",
ISNUMBER(SEARCH("Korea DPR",S3883)),"North Korea",
ISNUMBER(SEARCH("China PR",S3883)),"China",
ISNUMBER(SEARCH("IR Iran",S3883)),"Iran",
ISNUMBER(SEARCH("Congo DR",S3883)),"Democratic Republic of the Congo",
ISNUMBER(SEARCH("DR Congo",S3883)),"Democratic Republic of the Congo",
ISNUMBER(SEARCH("German DR",S3883)),"DR Germany",
ISNUMBER(SEARCH("rn""&gt;United Arab Emirates",S3883)),"United Arab Emirates",
ISNUMBER(SEARCH("rn""&gt;Republic of Ireland",S3883)),"Ireland",
ISNUMBER(SEARCH("rn""&gt;Bosnia and Herzegovina",S3883)),"Bosnia and Herzegovina",
ISNUMBER(SEARCH("rn""&gt;Trinidad and Tobago",S3883)),"Trinidad and Tobago",
ISNUMBER(SEARCH("rn""&gt;Serbia and Montenegro",S3883)),"Serbia and Montenegro",
ISNUMBER(SEARCH(_xlfn.UNICHAR(65533),S3883)),"Côte d'Ivoire",
TRUE,""
)</f>
        <v/>
      </c>
      <c r="W3883" s="40" t="str">
        <f t="shared" si="255"/>
        <v>Yugoslavia</v>
      </c>
    </row>
    <row r="3884" spans="19:23">
      <c r="S3884" s="40" t="str">
        <v>Belgium</v>
      </c>
      <c r="T3884" s="40" t="str">
        <f t="shared" si="253"/>
        <v>OK</v>
      </c>
      <c r="U3884" s="40" t="str">
        <f t="shared" si="254"/>
        <v>-</v>
      </c>
      <c r="V3884" s="40" t="str" cm="1">
        <f t="array" ref="V3884">_xlfn.IFS(
ISNUMBER(SEARCH("USA",S3884)),"United States",
ISNUMBER(SEARCH("Republic of Ireland",S3884)),"Ireland",
ISNUMBER(SEARCH("Republic of Korea",S3884)),"South Korea",
ISNUMBER(SEARCH("Cape Verde",S3884)),"Cabo Verde",
ISNUMBER(SEARCH("Czechia",S3884)),"Czech Republic",
ISNUMBER(SEARCH("Türkiye",S3884)),"Turkey",
ISNUMBER(SEARCH("Ivory Coast",S3884)),"Côte d'Ivoire",
ISNUMBER(SEARCH("Korea Republic",S3884)),"South Korea",
ISNUMBER(SEARCH("Germany FR",S3884)),"FR Germany",
ISNUMBER(SEARCH("West Germany",S3884)),"FR Germany",
ISNUMBER(SEARCH("Germany DR",S3884)),"DR Germany",
ISNUMBER(SEARCH("Korea DPR",S3884)),"North Korea",
ISNUMBER(SEARCH("China PR",S3884)),"China",
ISNUMBER(SEARCH("IR Iran",S3884)),"Iran",
ISNUMBER(SEARCH("Congo DR",S3884)),"Democratic Republic of the Congo",
ISNUMBER(SEARCH("DR Congo",S3884)),"Democratic Republic of the Congo",
ISNUMBER(SEARCH("German DR",S3884)),"DR Germany",
ISNUMBER(SEARCH("rn""&gt;United Arab Emirates",S3884)),"United Arab Emirates",
ISNUMBER(SEARCH("rn""&gt;Republic of Ireland",S3884)),"Ireland",
ISNUMBER(SEARCH("rn""&gt;Bosnia and Herzegovina",S3884)),"Bosnia and Herzegovina",
ISNUMBER(SEARCH("rn""&gt;Trinidad and Tobago",S3884)),"Trinidad and Tobago",
ISNUMBER(SEARCH("rn""&gt;Serbia and Montenegro",S3884)),"Serbia and Montenegro",
ISNUMBER(SEARCH(_xlfn.UNICHAR(65533),S3884)),"Côte d'Ivoire",
TRUE,""
)</f>
        <v/>
      </c>
      <c r="W3884" s="40" t="str">
        <f t="shared" si="255"/>
        <v>Belgium</v>
      </c>
    </row>
    <row r="3885" spans="19:23">
      <c r="S3885" s="40" t="str">
        <v>Argentina</v>
      </c>
      <c r="T3885" s="40" t="str">
        <f t="shared" si="253"/>
        <v>OK</v>
      </c>
      <c r="U3885" s="40" t="str">
        <f t="shared" si="254"/>
        <v>-</v>
      </c>
      <c r="V3885" s="40" t="str" cm="1">
        <f t="array" ref="V3885">_xlfn.IFS(
ISNUMBER(SEARCH("USA",S3885)),"United States",
ISNUMBER(SEARCH("Republic of Ireland",S3885)),"Ireland",
ISNUMBER(SEARCH("Republic of Korea",S3885)),"South Korea",
ISNUMBER(SEARCH("Cape Verde",S3885)),"Cabo Verde",
ISNUMBER(SEARCH("Czechia",S3885)),"Czech Republic",
ISNUMBER(SEARCH("Türkiye",S3885)),"Turkey",
ISNUMBER(SEARCH("Ivory Coast",S3885)),"Côte d'Ivoire",
ISNUMBER(SEARCH("Korea Republic",S3885)),"South Korea",
ISNUMBER(SEARCH("Germany FR",S3885)),"FR Germany",
ISNUMBER(SEARCH("West Germany",S3885)),"FR Germany",
ISNUMBER(SEARCH("Germany DR",S3885)),"DR Germany",
ISNUMBER(SEARCH("Korea DPR",S3885)),"North Korea",
ISNUMBER(SEARCH("China PR",S3885)),"China",
ISNUMBER(SEARCH("IR Iran",S3885)),"Iran",
ISNUMBER(SEARCH("Congo DR",S3885)),"Democratic Republic of the Congo",
ISNUMBER(SEARCH("DR Congo",S3885)),"Democratic Republic of the Congo",
ISNUMBER(SEARCH("German DR",S3885)),"DR Germany",
ISNUMBER(SEARCH("rn""&gt;United Arab Emirates",S3885)),"United Arab Emirates",
ISNUMBER(SEARCH("rn""&gt;Republic of Ireland",S3885)),"Ireland",
ISNUMBER(SEARCH("rn""&gt;Bosnia and Herzegovina",S3885)),"Bosnia and Herzegovina",
ISNUMBER(SEARCH("rn""&gt;Trinidad and Tobago",S3885)),"Trinidad and Tobago",
ISNUMBER(SEARCH("rn""&gt;Serbia and Montenegro",S3885)),"Serbia and Montenegro",
ISNUMBER(SEARCH(_xlfn.UNICHAR(65533),S3885)),"Côte d'Ivoire",
TRUE,""
)</f>
        <v/>
      </c>
      <c r="W3885" s="40" t="str">
        <f t="shared" si="255"/>
        <v>Argentina</v>
      </c>
    </row>
    <row r="3886" spans="19:23">
      <c r="S3886" s="40" t="str">
        <v>rn"&gt;Republic of Ireland</v>
      </c>
      <c r="T3886" s="40" t="str">
        <f t="shared" si="253"/>
        <v>ERREUR</v>
      </c>
      <c r="U3886" s="40" t="str">
        <f t="shared" si="254"/>
        <v>RENOMMER</v>
      </c>
      <c r="V3886" s="40" t="str" cm="1">
        <f t="array" ref="V3886">_xlfn.IFS(
ISNUMBER(SEARCH("USA",S3886)),"United States",
ISNUMBER(SEARCH("Republic of Ireland",S3886)),"Ireland",
ISNUMBER(SEARCH("Republic of Korea",S3886)),"South Korea",
ISNUMBER(SEARCH("Cape Verde",S3886)),"Cabo Verde",
ISNUMBER(SEARCH("Czechia",S3886)),"Czech Republic",
ISNUMBER(SEARCH("Türkiye",S3886)),"Turkey",
ISNUMBER(SEARCH("Ivory Coast",S3886)),"Côte d'Ivoire",
ISNUMBER(SEARCH("Korea Republic",S3886)),"South Korea",
ISNUMBER(SEARCH("Germany FR",S3886)),"FR Germany",
ISNUMBER(SEARCH("West Germany",S3886)),"FR Germany",
ISNUMBER(SEARCH("Germany DR",S3886)),"DR Germany",
ISNUMBER(SEARCH("Korea DPR",S3886)),"North Korea",
ISNUMBER(SEARCH("China PR",S3886)),"China",
ISNUMBER(SEARCH("IR Iran",S3886)),"Iran",
ISNUMBER(SEARCH("Congo DR",S3886)),"Democratic Republic of the Congo",
ISNUMBER(SEARCH("DR Congo",S3886)),"Democratic Republic of the Congo",
ISNUMBER(SEARCH("German DR",S3886)),"DR Germany",
ISNUMBER(SEARCH("rn""&gt;United Arab Emirates",S3886)),"United Arab Emirates",
ISNUMBER(SEARCH("rn""&gt;Republic of Ireland",S3886)),"Ireland",
ISNUMBER(SEARCH("rn""&gt;Bosnia and Herzegovina",S3886)),"Bosnia and Herzegovina",
ISNUMBER(SEARCH("rn""&gt;Trinidad and Tobago",S3886)),"Trinidad and Tobago",
ISNUMBER(SEARCH("rn""&gt;Serbia and Montenegro",S3886)),"Serbia and Montenegro",
ISNUMBER(SEARCH(_xlfn.UNICHAR(65533),S3886)),"Côte d'Ivoire",
TRUE,""
)</f>
        <v>Ireland</v>
      </c>
      <c r="W3886" s="40" t="str">
        <f t="shared" si="255"/>
        <v>Ireland</v>
      </c>
    </row>
    <row r="3887" spans="19:23">
      <c r="S3887" s="40" t="str">
        <v>Czechoslovakia</v>
      </c>
      <c r="T3887" s="40" t="str">
        <f t="shared" si="253"/>
        <v>ERREUR</v>
      </c>
      <c r="U3887" s="40" t="str">
        <f t="shared" si="254"/>
        <v>AUCUNE</v>
      </c>
      <c r="V3887" s="40" t="str" cm="1">
        <f t="array" ref="V3887">_xlfn.IFS(
ISNUMBER(SEARCH("USA",S3887)),"United States",
ISNUMBER(SEARCH("Republic of Ireland",S3887)),"Ireland",
ISNUMBER(SEARCH("Republic of Korea",S3887)),"South Korea",
ISNUMBER(SEARCH("Cape Verde",S3887)),"Cabo Verde",
ISNUMBER(SEARCH("Czechia",S3887)),"Czech Republic",
ISNUMBER(SEARCH("Türkiye",S3887)),"Turkey",
ISNUMBER(SEARCH("Ivory Coast",S3887)),"Côte d'Ivoire",
ISNUMBER(SEARCH("Korea Republic",S3887)),"South Korea",
ISNUMBER(SEARCH("Germany FR",S3887)),"FR Germany",
ISNUMBER(SEARCH("West Germany",S3887)),"FR Germany",
ISNUMBER(SEARCH("Germany DR",S3887)),"DR Germany",
ISNUMBER(SEARCH("Korea DPR",S3887)),"North Korea",
ISNUMBER(SEARCH("China PR",S3887)),"China",
ISNUMBER(SEARCH("IR Iran",S3887)),"Iran",
ISNUMBER(SEARCH("Congo DR",S3887)),"Democratic Republic of the Congo",
ISNUMBER(SEARCH("DR Congo",S3887)),"Democratic Republic of the Congo",
ISNUMBER(SEARCH("German DR",S3887)),"DR Germany",
ISNUMBER(SEARCH("rn""&gt;United Arab Emirates",S3887)),"United Arab Emirates",
ISNUMBER(SEARCH("rn""&gt;Republic of Ireland",S3887)),"Ireland",
ISNUMBER(SEARCH("rn""&gt;Bosnia and Herzegovina",S3887)),"Bosnia and Herzegovina",
ISNUMBER(SEARCH("rn""&gt;Trinidad and Tobago",S3887)),"Trinidad and Tobago",
ISNUMBER(SEARCH("rn""&gt;Serbia and Montenegro",S3887)),"Serbia and Montenegro",
ISNUMBER(SEARCH(_xlfn.UNICHAR(65533),S3887)),"Côte d'Ivoire",
TRUE,""
)</f>
        <v/>
      </c>
      <c r="W3887" s="40" t="str">
        <f t="shared" si="255"/>
        <v>Czechoslovakia</v>
      </c>
    </row>
    <row r="3888" spans="19:23">
      <c r="S3888" s="40" t="str">
        <v>Cameroon</v>
      </c>
      <c r="T3888" s="40" t="str">
        <f t="shared" si="253"/>
        <v>OK</v>
      </c>
      <c r="U3888" s="40" t="str">
        <f t="shared" si="254"/>
        <v>-</v>
      </c>
      <c r="V3888" s="40" t="str" cm="1">
        <f t="array" ref="V3888">_xlfn.IFS(
ISNUMBER(SEARCH("USA",S3888)),"United States",
ISNUMBER(SEARCH("Republic of Ireland",S3888)),"Ireland",
ISNUMBER(SEARCH("Republic of Korea",S3888)),"South Korea",
ISNUMBER(SEARCH("Cape Verde",S3888)),"Cabo Verde",
ISNUMBER(SEARCH("Czechia",S3888)),"Czech Republic",
ISNUMBER(SEARCH("Türkiye",S3888)),"Turkey",
ISNUMBER(SEARCH("Ivory Coast",S3888)),"Côte d'Ivoire",
ISNUMBER(SEARCH("Korea Republic",S3888)),"South Korea",
ISNUMBER(SEARCH("Germany FR",S3888)),"FR Germany",
ISNUMBER(SEARCH("West Germany",S3888)),"FR Germany",
ISNUMBER(SEARCH("Germany DR",S3888)),"DR Germany",
ISNUMBER(SEARCH("Korea DPR",S3888)),"North Korea",
ISNUMBER(SEARCH("China PR",S3888)),"China",
ISNUMBER(SEARCH("IR Iran",S3888)),"Iran",
ISNUMBER(SEARCH("Congo DR",S3888)),"Democratic Republic of the Congo",
ISNUMBER(SEARCH("DR Congo",S3888)),"Democratic Republic of the Congo",
ISNUMBER(SEARCH("German DR",S3888)),"DR Germany",
ISNUMBER(SEARCH("rn""&gt;United Arab Emirates",S3888)),"United Arab Emirates",
ISNUMBER(SEARCH("rn""&gt;Republic of Ireland",S3888)),"Ireland",
ISNUMBER(SEARCH("rn""&gt;Bosnia and Herzegovina",S3888)),"Bosnia and Herzegovina",
ISNUMBER(SEARCH("rn""&gt;Trinidad and Tobago",S3888)),"Trinidad and Tobago",
ISNUMBER(SEARCH("rn""&gt;Serbia and Montenegro",S3888)),"Serbia and Montenegro",
ISNUMBER(SEARCH(_xlfn.UNICHAR(65533),S3888)),"Côte d'Ivoire",
TRUE,""
)</f>
        <v/>
      </c>
      <c r="W3888" s="40" t="str">
        <f t="shared" si="255"/>
        <v>Cameroon</v>
      </c>
    </row>
    <row r="3889" spans="19:23">
      <c r="S3889" s="40" t="str">
        <v>Argentina</v>
      </c>
      <c r="T3889" s="40" t="str">
        <f t="shared" si="253"/>
        <v>OK</v>
      </c>
      <c r="U3889" s="40" t="str">
        <f t="shared" si="254"/>
        <v>-</v>
      </c>
      <c r="V3889" s="40" t="str" cm="1">
        <f t="array" ref="V3889">_xlfn.IFS(
ISNUMBER(SEARCH("USA",S3889)),"United States",
ISNUMBER(SEARCH("Republic of Ireland",S3889)),"Ireland",
ISNUMBER(SEARCH("Republic of Korea",S3889)),"South Korea",
ISNUMBER(SEARCH("Cape Verde",S3889)),"Cabo Verde",
ISNUMBER(SEARCH("Czechia",S3889)),"Czech Republic",
ISNUMBER(SEARCH("Türkiye",S3889)),"Turkey",
ISNUMBER(SEARCH("Ivory Coast",S3889)),"Côte d'Ivoire",
ISNUMBER(SEARCH("Korea Republic",S3889)),"South Korea",
ISNUMBER(SEARCH("Germany FR",S3889)),"FR Germany",
ISNUMBER(SEARCH("West Germany",S3889)),"FR Germany",
ISNUMBER(SEARCH("Germany DR",S3889)),"DR Germany",
ISNUMBER(SEARCH("Korea DPR",S3889)),"North Korea",
ISNUMBER(SEARCH("China PR",S3889)),"China",
ISNUMBER(SEARCH("IR Iran",S3889)),"Iran",
ISNUMBER(SEARCH("Congo DR",S3889)),"Democratic Republic of the Congo",
ISNUMBER(SEARCH("DR Congo",S3889)),"Democratic Republic of the Congo",
ISNUMBER(SEARCH("German DR",S3889)),"DR Germany",
ISNUMBER(SEARCH("rn""&gt;United Arab Emirates",S3889)),"United Arab Emirates",
ISNUMBER(SEARCH("rn""&gt;Republic of Ireland",S3889)),"Ireland",
ISNUMBER(SEARCH("rn""&gt;Bosnia and Herzegovina",S3889)),"Bosnia and Herzegovina",
ISNUMBER(SEARCH("rn""&gt;Trinidad and Tobago",S3889)),"Trinidad and Tobago",
ISNUMBER(SEARCH("rn""&gt;Serbia and Montenegro",S3889)),"Serbia and Montenegro",
ISNUMBER(SEARCH(_xlfn.UNICHAR(65533),S3889)),"Côte d'Ivoire",
TRUE,""
)</f>
        <v/>
      </c>
      <c r="W3889" s="40" t="str">
        <f t="shared" si="255"/>
        <v>Argentina</v>
      </c>
    </row>
    <row r="3890" spans="19:23">
      <c r="S3890" s="40" t="str">
        <v>England</v>
      </c>
      <c r="T3890" s="40" t="str">
        <f t="shared" si="253"/>
        <v>ERREUR</v>
      </c>
      <c r="U3890" s="40" t="str">
        <f t="shared" si="254"/>
        <v>AUCUNE</v>
      </c>
      <c r="V3890" s="40" t="str" cm="1">
        <f t="array" ref="V3890">_xlfn.IFS(
ISNUMBER(SEARCH("USA",S3890)),"United States",
ISNUMBER(SEARCH("Republic of Ireland",S3890)),"Ireland",
ISNUMBER(SEARCH("Republic of Korea",S3890)),"South Korea",
ISNUMBER(SEARCH("Cape Verde",S3890)),"Cabo Verde",
ISNUMBER(SEARCH("Czechia",S3890)),"Czech Republic",
ISNUMBER(SEARCH("Türkiye",S3890)),"Turkey",
ISNUMBER(SEARCH("Ivory Coast",S3890)),"Côte d'Ivoire",
ISNUMBER(SEARCH("Korea Republic",S3890)),"South Korea",
ISNUMBER(SEARCH("Germany FR",S3890)),"FR Germany",
ISNUMBER(SEARCH("West Germany",S3890)),"FR Germany",
ISNUMBER(SEARCH("Germany DR",S3890)),"DR Germany",
ISNUMBER(SEARCH("Korea DPR",S3890)),"North Korea",
ISNUMBER(SEARCH("China PR",S3890)),"China",
ISNUMBER(SEARCH("IR Iran",S3890)),"Iran",
ISNUMBER(SEARCH("Congo DR",S3890)),"Democratic Republic of the Congo",
ISNUMBER(SEARCH("DR Congo",S3890)),"Democratic Republic of the Congo",
ISNUMBER(SEARCH("German DR",S3890)),"DR Germany",
ISNUMBER(SEARCH("rn""&gt;United Arab Emirates",S3890)),"United Arab Emirates",
ISNUMBER(SEARCH("rn""&gt;Republic of Ireland",S3890)),"Ireland",
ISNUMBER(SEARCH("rn""&gt;Bosnia and Herzegovina",S3890)),"Bosnia and Herzegovina",
ISNUMBER(SEARCH("rn""&gt;Trinidad and Tobago",S3890)),"Trinidad and Tobago",
ISNUMBER(SEARCH("rn""&gt;Serbia and Montenegro",S3890)),"Serbia and Montenegro",
ISNUMBER(SEARCH(_xlfn.UNICHAR(65533),S3890)),"Côte d'Ivoire",
TRUE,""
)</f>
        <v/>
      </c>
      <c r="W3890" s="40" t="str">
        <f t="shared" si="255"/>
        <v>England</v>
      </c>
    </row>
    <row r="3891" spans="19:23">
      <c r="S3891" s="40" t="str">
        <v>England</v>
      </c>
      <c r="T3891" s="40" t="str">
        <f t="shared" si="253"/>
        <v>ERREUR</v>
      </c>
      <c r="U3891" s="40" t="str">
        <f t="shared" si="254"/>
        <v>AUCUNE</v>
      </c>
      <c r="V3891" s="40" t="str" cm="1">
        <f t="array" ref="V3891">_xlfn.IFS(
ISNUMBER(SEARCH("USA",S3891)),"United States",
ISNUMBER(SEARCH("Republic of Ireland",S3891)),"Ireland",
ISNUMBER(SEARCH("Republic of Korea",S3891)),"South Korea",
ISNUMBER(SEARCH("Cape Verde",S3891)),"Cabo Verde",
ISNUMBER(SEARCH("Czechia",S3891)),"Czech Republic",
ISNUMBER(SEARCH("Türkiye",S3891)),"Turkey",
ISNUMBER(SEARCH("Ivory Coast",S3891)),"Côte d'Ivoire",
ISNUMBER(SEARCH("Korea Republic",S3891)),"South Korea",
ISNUMBER(SEARCH("Germany FR",S3891)),"FR Germany",
ISNUMBER(SEARCH("West Germany",S3891)),"FR Germany",
ISNUMBER(SEARCH("Germany DR",S3891)),"DR Germany",
ISNUMBER(SEARCH("Korea DPR",S3891)),"North Korea",
ISNUMBER(SEARCH("China PR",S3891)),"China",
ISNUMBER(SEARCH("IR Iran",S3891)),"Iran",
ISNUMBER(SEARCH("Congo DR",S3891)),"Democratic Republic of the Congo",
ISNUMBER(SEARCH("DR Congo",S3891)),"Democratic Republic of the Congo",
ISNUMBER(SEARCH("German DR",S3891)),"DR Germany",
ISNUMBER(SEARCH("rn""&gt;United Arab Emirates",S3891)),"United Arab Emirates",
ISNUMBER(SEARCH("rn""&gt;Republic of Ireland",S3891)),"Ireland",
ISNUMBER(SEARCH("rn""&gt;Bosnia and Herzegovina",S3891)),"Bosnia and Herzegovina",
ISNUMBER(SEARCH("rn""&gt;Trinidad and Tobago",S3891)),"Trinidad and Tobago",
ISNUMBER(SEARCH("rn""&gt;Serbia and Montenegro",S3891)),"Serbia and Montenegro",
ISNUMBER(SEARCH(_xlfn.UNICHAR(65533),S3891)),"Côte d'Ivoire",
TRUE,""
)</f>
        <v/>
      </c>
      <c r="W3891" s="40" t="str">
        <f t="shared" si="255"/>
        <v>England</v>
      </c>
    </row>
    <row r="3892" spans="19:23">
      <c r="S3892" s="40" t="str">
        <v>Argentina</v>
      </c>
      <c r="T3892" s="40" t="str">
        <f t="shared" si="253"/>
        <v>OK</v>
      </c>
      <c r="U3892" s="40" t="str">
        <f t="shared" si="254"/>
        <v>-</v>
      </c>
      <c r="V3892" s="40" t="str" cm="1">
        <f t="array" ref="V3892">_xlfn.IFS(
ISNUMBER(SEARCH("USA",S3892)),"United States",
ISNUMBER(SEARCH("Republic of Ireland",S3892)),"Ireland",
ISNUMBER(SEARCH("Republic of Korea",S3892)),"South Korea",
ISNUMBER(SEARCH("Cape Verde",S3892)),"Cabo Verde",
ISNUMBER(SEARCH("Czechia",S3892)),"Czech Republic",
ISNUMBER(SEARCH("Türkiye",S3892)),"Turkey",
ISNUMBER(SEARCH("Ivory Coast",S3892)),"Côte d'Ivoire",
ISNUMBER(SEARCH("Korea Republic",S3892)),"South Korea",
ISNUMBER(SEARCH("Germany FR",S3892)),"FR Germany",
ISNUMBER(SEARCH("West Germany",S3892)),"FR Germany",
ISNUMBER(SEARCH("Germany DR",S3892)),"DR Germany",
ISNUMBER(SEARCH("Korea DPR",S3892)),"North Korea",
ISNUMBER(SEARCH("China PR",S3892)),"China",
ISNUMBER(SEARCH("IR Iran",S3892)),"Iran",
ISNUMBER(SEARCH("Congo DR",S3892)),"Democratic Republic of the Congo",
ISNUMBER(SEARCH("DR Congo",S3892)),"Democratic Republic of the Congo",
ISNUMBER(SEARCH("German DR",S3892)),"DR Germany",
ISNUMBER(SEARCH("rn""&gt;United Arab Emirates",S3892)),"United Arab Emirates",
ISNUMBER(SEARCH("rn""&gt;Republic of Ireland",S3892)),"Ireland",
ISNUMBER(SEARCH("rn""&gt;Bosnia and Herzegovina",S3892)),"Bosnia and Herzegovina",
ISNUMBER(SEARCH("rn""&gt;Trinidad and Tobago",S3892)),"Trinidad and Tobago",
ISNUMBER(SEARCH("rn""&gt;Serbia and Montenegro",S3892)),"Serbia and Montenegro",
ISNUMBER(SEARCH(_xlfn.UNICHAR(65533),S3892)),"Côte d'Ivoire",
TRUE,""
)</f>
        <v/>
      </c>
      <c r="W3892" s="40" t="str">
        <f t="shared" si="255"/>
        <v>Argentina</v>
      </c>
    </row>
    <row r="3893" spans="19:23">
      <c r="S3893" s="40" t="str">
        <v>Korea Republic</v>
      </c>
      <c r="T3893" s="40" t="str">
        <f t="shared" si="253"/>
        <v>ERREUR</v>
      </c>
      <c r="U3893" s="40" t="str">
        <f t="shared" si="254"/>
        <v>RENOMMER</v>
      </c>
      <c r="V3893" s="40" t="str" cm="1">
        <f t="array" ref="V3893">_xlfn.IFS(
ISNUMBER(SEARCH("USA",S3893)),"United States",
ISNUMBER(SEARCH("Republic of Ireland",S3893)),"Ireland",
ISNUMBER(SEARCH("Republic of Korea",S3893)),"South Korea",
ISNUMBER(SEARCH("Cape Verde",S3893)),"Cabo Verde",
ISNUMBER(SEARCH("Czechia",S3893)),"Czech Republic",
ISNUMBER(SEARCH("Türkiye",S3893)),"Turkey",
ISNUMBER(SEARCH("Ivory Coast",S3893)),"Côte d'Ivoire",
ISNUMBER(SEARCH("Korea Republic",S3893)),"South Korea",
ISNUMBER(SEARCH("Germany FR",S3893)),"FR Germany",
ISNUMBER(SEARCH("West Germany",S3893)),"FR Germany",
ISNUMBER(SEARCH("Germany DR",S3893)),"DR Germany",
ISNUMBER(SEARCH("Korea DPR",S3893)),"North Korea",
ISNUMBER(SEARCH("China PR",S3893)),"China",
ISNUMBER(SEARCH("IR Iran",S3893)),"Iran",
ISNUMBER(SEARCH("Congo DR",S3893)),"Democratic Republic of the Congo",
ISNUMBER(SEARCH("DR Congo",S3893)),"Democratic Republic of the Congo",
ISNUMBER(SEARCH("German DR",S3893)),"DR Germany",
ISNUMBER(SEARCH("rn""&gt;United Arab Emirates",S3893)),"United Arab Emirates",
ISNUMBER(SEARCH("rn""&gt;Republic of Ireland",S3893)),"Ireland",
ISNUMBER(SEARCH("rn""&gt;Bosnia and Herzegovina",S3893)),"Bosnia and Herzegovina",
ISNUMBER(SEARCH("rn""&gt;Trinidad and Tobago",S3893)),"Trinidad and Tobago",
ISNUMBER(SEARCH("rn""&gt;Serbia and Montenegro",S3893)),"Serbia and Montenegro",
ISNUMBER(SEARCH(_xlfn.UNICHAR(65533),S3893)),"Côte d'Ivoire",
TRUE,""
)</f>
        <v>South Korea</v>
      </c>
      <c r="W3893" s="40" t="str">
        <f t="shared" si="255"/>
        <v>South Korea</v>
      </c>
    </row>
    <row r="3894" spans="19:23">
      <c r="S3894" s="40" t="str">
        <v>Bolivia</v>
      </c>
      <c r="T3894" s="40" t="str">
        <f t="shared" si="253"/>
        <v>OK</v>
      </c>
      <c r="U3894" s="40" t="str">
        <f t="shared" si="254"/>
        <v>-</v>
      </c>
      <c r="V3894" s="40" t="str" cm="1">
        <f t="array" ref="V3894">_xlfn.IFS(
ISNUMBER(SEARCH("USA",S3894)),"United States",
ISNUMBER(SEARCH("Republic of Ireland",S3894)),"Ireland",
ISNUMBER(SEARCH("Republic of Korea",S3894)),"South Korea",
ISNUMBER(SEARCH("Cape Verde",S3894)),"Cabo Verde",
ISNUMBER(SEARCH("Czechia",S3894)),"Czech Republic",
ISNUMBER(SEARCH("Türkiye",S3894)),"Turkey",
ISNUMBER(SEARCH("Ivory Coast",S3894)),"Côte d'Ivoire",
ISNUMBER(SEARCH("Korea Republic",S3894)),"South Korea",
ISNUMBER(SEARCH("Germany FR",S3894)),"FR Germany",
ISNUMBER(SEARCH("West Germany",S3894)),"FR Germany",
ISNUMBER(SEARCH("Germany DR",S3894)),"DR Germany",
ISNUMBER(SEARCH("Korea DPR",S3894)),"North Korea",
ISNUMBER(SEARCH("China PR",S3894)),"China",
ISNUMBER(SEARCH("IR Iran",S3894)),"Iran",
ISNUMBER(SEARCH("Congo DR",S3894)),"Democratic Republic of the Congo",
ISNUMBER(SEARCH("DR Congo",S3894)),"Democratic Republic of the Congo",
ISNUMBER(SEARCH("German DR",S3894)),"DR Germany",
ISNUMBER(SEARCH("rn""&gt;United Arab Emirates",S3894)),"United Arab Emirates",
ISNUMBER(SEARCH("rn""&gt;Republic of Ireland",S3894)),"Ireland",
ISNUMBER(SEARCH("rn""&gt;Bosnia and Herzegovina",S3894)),"Bosnia and Herzegovina",
ISNUMBER(SEARCH("rn""&gt;Trinidad and Tobago",S3894)),"Trinidad and Tobago",
ISNUMBER(SEARCH("rn""&gt;Serbia and Montenegro",S3894)),"Serbia and Montenegro",
ISNUMBER(SEARCH(_xlfn.UNICHAR(65533),S3894)),"Côte d'Ivoire",
TRUE,""
)</f>
        <v/>
      </c>
      <c r="W3894" s="40" t="str">
        <f t="shared" si="255"/>
        <v>Bolivia</v>
      </c>
    </row>
    <row r="3895" spans="19:23">
      <c r="S3895" s="40" t="str">
        <v>Switzerland</v>
      </c>
      <c r="T3895" s="40" t="str">
        <f t="shared" si="253"/>
        <v>OK</v>
      </c>
      <c r="U3895" s="40" t="str">
        <f t="shared" si="254"/>
        <v>-</v>
      </c>
      <c r="V3895" s="40" t="str" cm="1">
        <f t="array" ref="V3895">_xlfn.IFS(
ISNUMBER(SEARCH("USA",S3895)),"United States",
ISNUMBER(SEARCH("Republic of Ireland",S3895)),"Ireland",
ISNUMBER(SEARCH("Republic of Korea",S3895)),"South Korea",
ISNUMBER(SEARCH("Cape Verde",S3895)),"Cabo Verde",
ISNUMBER(SEARCH("Czechia",S3895)),"Czech Republic",
ISNUMBER(SEARCH("Türkiye",S3895)),"Turkey",
ISNUMBER(SEARCH("Ivory Coast",S3895)),"Côte d'Ivoire",
ISNUMBER(SEARCH("Korea Republic",S3895)),"South Korea",
ISNUMBER(SEARCH("Germany FR",S3895)),"FR Germany",
ISNUMBER(SEARCH("West Germany",S3895)),"FR Germany",
ISNUMBER(SEARCH("Germany DR",S3895)),"DR Germany",
ISNUMBER(SEARCH("Korea DPR",S3895)),"North Korea",
ISNUMBER(SEARCH("China PR",S3895)),"China",
ISNUMBER(SEARCH("IR Iran",S3895)),"Iran",
ISNUMBER(SEARCH("Congo DR",S3895)),"Democratic Republic of the Congo",
ISNUMBER(SEARCH("DR Congo",S3895)),"Democratic Republic of the Congo",
ISNUMBER(SEARCH("German DR",S3895)),"DR Germany",
ISNUMBER(SEARCH("rn""&gt;United Arab Emirates",S3895)),"United Arab Emirates",
ISNUMBER(SEARCH("rn""&gt;Republic of Ireland",S3895)),"Ireland",
ISNUMBER(SEARCH("rn""&gt;Bosnia and Herzegovina",S3895)),"Bosnia and Herzegovina",
ISNUMBER(SEARCH("rn""&gt;Trinidad and Tobago",S3895)),"Trinidad and Tobago",
ISNUMBER(SEARCH("rn""&gt;Serbia and Montenegro",S3895)),"Serbia and Montenegro",
ISNUMBER(SEARCH(_xlfn.UNICHAR(65533),S3895)),"Côte d'Ivoire",
TRUE,""
)</f>
        <v/>
      </c>
      <c r="W3895" s="40" t="str">
        <f t="shared" si="255"/>
        <v>Switzerland</v>
      </c>
    </row>
    <row r="3896" spans="19:23">
      <c r="S3896" s="40" t="str">
        <v>rn"&gt;Republic of Ireland</v>
      </c>
      <c r="T3896" s="40" t="str">
        <f t="shared" si="253"/>
        <v>ERREUR</v>
      </c>
      <c r="U3896" s="40" t="str">
        <f t="shared" si="254"/>
        <v>RENOMMER</v>
      </c>
      <c r="V3896" s="40" t="str" cm="1">
        <f t="array" ref="V3896">_xlfn.IFS(
ISNUMBER(SEARCH("USA",S3896)),"United States",
ISNUMBER(SEARCH("Republic of Ireland",S3896)),"Ireland",
ISNUMBER(SEARCH("Republic of Korea",S3896)),"South Korea",
ISNUMBER(SEARCH("Cape Verde",S3896)),"Cabo Verde",
ISNUMBER(SEARCH("Czechia",S3896)),"Czech Republic",
ISNUMBER(SEARCH("Türkiye",S3896)),"Turkey",
ISNUMBER(SEARCH("Ivory Coast",S3896)),"Côte d'Ivoire",
ISNUMBER(SEARCH("Korea Republic",S3896)),"South Korea",
ISNUMBER(SEARCH("Germany FR",S3896)),"FR Germany",
ISNUMBER(SEARCH("West Germany",S3896)),"FR Germany",
ISNUMBER(SEARCH("Germany DR",S3896)),"DR Germany",
ISNUMBER(SEARCH("Korea DPR",S3896)),"North Korea",
ISNUMBER(SEARCH("China PR",S3896)),"China",
ISNUMBER(SEARCH("IR Iran",S3896)),"Iran",
ISNUMBER(SEARCH("Congo DR",S3896)),"Democratic Republic of the Congo",
ISNUMBER(SEARCH("DR Congo",S3896)),"Democratic Republic of the Congo",
ISNUMBER(SEARCH("German DR",S3896)),"DR Germany",
ISNUMBER(SEARCH("rn""&gt;United Arab Emirates",S3896)),"United Arab Emirates",
ISNUMBER(SEARCH("rn""&gt;Republic of Ireland",S3896)),"Ireland",
ISNUMBER(SEARCH("rn""&gt;Bosnia and Herzegovina",S3896)),"Bosnia and Herzegovina",
ISNUMBER(SEARCH("rn""&gt;Trinidad and Tobago",S3896)),"Trinidad and Tobago",
ISNUMBER(SEARCH("rn""&gt;Serbia and Montenegro",S3896)),"Serbia and Montenegro",
ISNUMBER(SEARCH(_xlfn.UNICHAR(65533),S3896)),"Côte d'Ivoire",
TRUE,""
)</f>
        <v>Ireland</v>
      </c>
      <c r="W3896" s="40" t="str">
        <f t="shared" si="255"/>
        <v>Ireland</v>
      </c>
    </row>
    <row r="3897" spans="19:23">
      <c r="S3897" s="40" t="str">
        <v>Romania</v>
      </c>
      <c r="T3897" s="40" t="str">
        <f t="shared" si="253"/>
        <v>OK</v>
      </c>
      <c r="U3897" s="40" t="str">
        <f t="shared" si="254"/>
        <v>-</v>
      </c>
      <c r="V3897" s="40" t="str" cm="1">
        <f t="array" ref="V3897">_xlfn.IFS(
ISNUMBER(SEARCH("USA",S3897)),"United States",
ISNUMBER(SEARCH("Republic of Ireland",S3897)),"Ireland",
ISNUMBER(SEARCH("Republic of Korea",S3897)),"South Korea",
ISNUMBER(SEARCH("Cape Verde",S3897)),"Cabo Verde",
ISNUMBER(SEARCH("Czechia",S3897)),"Czech Republic",
ISNUMBER(SEARCH("Türkiye",S3897)),"Turkey",
ISNUMBER(SEARCH("Ivory Coast",S3897)),"Côte d'Ivoire",
ISNUMBER(SEARCH("Korea Republic",S3897)),"South Korea",
ISNUMBER(SEARCH("Germany FR",S3897)),"FR Germany",
ISNUMBER(SEARCH("West Germany",S3897)),"FR Germany",
ISNUMBER(SEARCH("Germany DR",S3897)),"DR Germany",
ISNUMBER(SEARCH("Korea DPR",S3897)),"North Korea",
ISNUMBER(SEARCH("China PR",S3897)),"China",
ISNUMBER(SEARCH("IR Iran",S3897)),"Iran",
ISNUMBER(SEARCH("Congo DR",S3897)),"Democratic Republic of the Congo",
ISNUMBER(SEARCH("DR Congo",S3897)),"Democratic Republic of the Congo",
ISNUMBER(SEARCH("German DR",S3897)),"DR Germany",
ISNUMBER(SEARCH("rn""&gt;United Arab Emirates",S3897)),"United Arab Emirates",
ISNUMBER(SEARCH("rn""&gt;Republic of Ireland",S3897)),"Ireland",
ISNUMBER(SEARCH("rn""&gt;Bosnia and Herzegovina",S3897)),"Bosnia and Herzegovina",
ISNUMBER(SEARCH("rn""&gt;Trinidad and Tobago",S3897)),"Trinidad and Tobago",
ISNUMBER(SEARCH("rn""&gt;Serbia and Montenegro",S3897)),"Serbia and Montenegro",
ISNUMBER(SEARCH(_xlfn.UNICHAR(65533),S3897)),"Côte d'Ivoire",
TRUE,""
)</f>
        <v/>
      </c>
      <c r="W3897" s="40" t="str">
        <f t="shared" si="255"/>
        <v>Romania</v>
      </c>
    </row>
    <row r="3898" spans="19:23">
      <c r="S3898" s="40" t="str">
        <v>Morocco</v>
      </c>
      <c r="T3898" s="40" t="str">
        <f t="shared" si="253"/>
        <v>OK</v>
      </c>
      <c r="U3898" s="40" t="str">
        <f t="shared" si="254"/>
        <v>-</v>
      </c>
      <c r="V3898" s="40" t="str" cm="1">
        <f t="array" ref="V3898">_xlfn.IFS(
ISNUMBER(SEARCH("USA",S3898)),"United States",
ISNUMBER(SEARCH("Republic of Ireland",S3898)),"Ireland",
ISNUMBER(SEARCH("Republic of Korea",S3898)),"South Korea",
ISNUMBER(SEARCH("Cape Verde",S3898)),"Cabo Verde",
ISNUMBER(SEARCH("Czechia",S3898)),"Czech Republic",
ISNUMBER(SEARCH("Türkiye",S3898)),"Turkey",
ISNUMBER(SEARCH("Ivory Coast",S3898)),"Côte d'Ivoire",
ISNUMBER(SEARCH("Korea Republic",S3898)),"South Korea",
ISNUMBER(SEARCH("Germany FR",S3898)),"FR Germany",
ISNUMBER(SEARCH("West Germany",S3898)),"FR Germany",
ISNUMBER(SEARCH("Germany DR",S3898)),"DR Germany",
ISNUMBER(SEARCH("Korea DPR",S3898)),"North Korea",
ISNUMBER(SEARCH("China PR",S3898)),"China",
ISNUMBER(SEARCH("IR Iran",S3898)),"Iran",
ISNUMBER(SEARCH("Congo DR",S3898)),"Democratic Republic of the Congo",
ISNUMBER(SEARCH("DR Congo",S3898)),"Democratic Republic of the Congo",
ISNUMBER(SEARCH("German DR",S3898)),"DR Germany",
ISNUMBER(SEARCH("rn""&gt;United Arab Emirates",S3898)),"United Arab Emirates",
ISNUMBER(SEARCH("rn""&gt;Republic of Ireland",S3898)),"Ireland",
ISNUMBER(SEARCH("rn""&gt;Bosnia and Herzegovina",S3898)),"Bosnia and Herzegovina",
ISNUMBER(SEARCH("rn""&gt;Trinidad and Tobago",S3898)),"Trinidad and Tobago",
ISNUMBER(SEARCH("rn""&gt;Serbia and Montenegro",S3898)),"Serbia and Montenegro",
ISNUMBER(SEARCH(_xlfn.UNICHAR(65533),S3898)),"Côte d'Ivoire",
TRUE,""
)</f>
        <v/>
      </c>
      <c r="W3898" s="40" t="str">
        <f t="shared" si="255"/>
        <v>Morocco</v>
      </c>
    </row>
    <row r="3899" spans="19:23">
      <c r="S3899" s="40" t="str">
        <v>Mexico</v>
      </c>
      <c r="T3899" s="40" t="str">
        <f t="shared" si="253"/>
        <v>OK</v>
      </c>
      <c r="U3899" s="40" t="str">
        <f t="shared" si="254"/>
        <v>-</v>
      </c>
      <c r="V3899" s="40" t="str" cm="1">
        <f t="array" ref="V3899">_xlfn.IFS(
ISNUMBER(SEARCH("USA",S3899)),"United States",
ISNUMBER(SEARCH("Republic of Ireland",S3899)),"Ireland",
ISNUMBER(SEARCH("Republic of Korea",S3899)),"South Korea",
ISNUMBER(SEARCH("Cape Verde",S3899)),"Cabo Verde",
ISNUMBER(SEARCH("Czechia",S3899)),"Czech Republic",
ISNUMBER(SEARCH("Türkiye",S3899)),"Turkey",
ISNUMBER(SEARCH("Ivory Coast",S3899)),"Côte d'Ivoire",
ISNUMBER(SEARCH("Korea Republic",S3899)),"South Korea",
ISNUMBER(SEARCH("Germany FR",S3899)),"FR Germany",
ISNUMBER(SEARCH("West Germany",S3899)),"FR Germany",
ISNUMBER(SEARCH("Germany DR",S3899)),"DR Germany",
ISNUMBER(SEARCH("Korea DPR",S3899)),"North Korea",
ISNUMBER(SEARCH("China PR",S3899)),"China",
ISNUMBER(SEARCH("IR Iran",S3899)),"Iran",
ISNUMBER(SEARCH("Congo DR",S3899)),"Democratic Republic of the Congo",
ISNUMBER(SEARCH("DR Congo",S3899)),"Democratic Republic of the Congo",
ISNUMBER(SEARCH("German DR",S3899)),"DR Germany",
ISNUMBER(SEARCH("rn""&gt;United Arab Emirates",S3899)),"United Arab Emirates",
ISNUMBER(SEARCH("rn""&gt;Republic of Ireland",S3899)),"Ireland",
ISNUMBER(SEARCH("rn""&gt;Bosnia and Herzegovina",S3899)),"Bosnia and Herzegovina",
ISNUMBER(SEARCH("rn""&gt;Trinidad and Tobago",S3899)),"Trinidad and Tobago",
ISNUMBER(SEARCH("rn""&gt;Serbia and Montenegro",S3899)),"Serbia and Montenegro",
ISNUMBER(SEARCH(_xlfn.UNICHAR(65533),S3899)),"Côte d'Ivoire",
TRUE,""
)</f>
        <v/>
      </c>
      <c r="W3899" s="40" t="str">
        <f t="shared" si="255"/>
        <v>Mexico</v>
      </c>
    </row>
    <row r="3900" spans="19:23">
      <c r="S3900" s="40" t="str">
        <v>Sweden</v>
      </c>
      <c r="T3900" s="40" t="str">
        <f t="shared" si="253"/>
        <v>OK</v>
      </c>
      <c r="U3900" s="40" t="str">
        <f t="shared" si="254"/>
        <v>-</v>
      </c>
      <c r="V3900" s="40" t="str" cm="1">
        <f t="array" ref="V3900">_xlfn.IFS(
ISNUMBER(SEARCH("USA",S3900)),"United States",
ISNUMBER(SEARCH("Republic of Ireland",S3900)),"Ireland",
ISNUMBER(SEARCH("Republic of Korea",S3900)),"South Korea",
ISNUMBER(SEARCH("Cape Verde",S3900)),"Cabo Verde",
ISNUMBER(SEARCH("Czechia",S3900)),"Czech Republic",
ISNUMBER(SEARCH("Türkiye",S3900)),"Turkey",
ISNUMBER(SEARCH("Ivory Coast",S3900)),"Côte d'Ivoire",
ISNUMBER(SEARCH("Korea Republic",S3900)),"South Korea",
ISNUMBER(SEARCH("Germany FR",S3900)),"FR Germany",
ISNUMBER(SEARCH("West Germany",S3900)),"FR Germany",
ISNUMBER(SEARCH("Germany DR",S3900)),"DR Germany",
ISNUMBER(SEARCH("Korea DPR",S3900)),"North Korea",
ISNUMBER(SEARCH("China PR",S3900)),"China",
ISNUMBER(SEARCH("IR Iran",S3900)),"Iran",
ISNUMBER(SEARCH("Congo DR",S3900)),"Democratic Republic of the Congo",
ISNUMBER(SEARCH("DR Congo",S3900)),"Democratic Republic of the Congo",
ISNUMBER(SEARCH("German DR",S3900)),"DR Germany",
ISNUMBER(SEARCH("rn""&gt;United Arab Emirates",S3900)),"United Arab Emirates",
ISNUMBER(SEARCH("rn""&gt;Republic of Ireland",S3900)),"Ireland",
ISNUMBER(SEARCH("rn""&gt;Bosnia and Herzegovina",S3900)),"Bosnia and Herzegovina",
ISNUMBER(SEARCH("rn""&gt;Trinidad and Tobago",S3900)),"Trinidad and Tobago",
ISNUMBER(SEARCH("rn""&gt;Serbia and Montenegro",S3900)),"Serbia and Montenegro",
ISNUMBER(SEARCH(_xlfn.UNICHAR(65533),S3900)),"Côte d'Ivoire",
TRUE,""
)</f>
        <v/>
      </c>
      <c r="W3900" s="40" t="str">
        <f t="shared" si="255"/>
        <v>Sweden</v>
      </c>
    </row>
    <row r="3901" spans="19:23">
      <c r="S3901" s="40" t="str">
        <v>Saudi Arabia</v>
      </c>
      <c r="T3901" s="40" t="str">
        <f t="shared" si="253"/>
        <v>OK</v>
      </c>
      <c r="U3901" s="40" t="str">
        <f t="shared" si="254"/>
        <v>-</v>
      </c>
      <c r="V3901" s="40" t="str" cm="1">
        <f t="array" ref="V3901">_xlfn.IFS(
ISNUMBER(SEARCH("USA",S3901)),"United States",
ISNUMBER(SEARCH("Republic of Ireland",S3901)),"Ireland",
ISNUMBER(SEARCH("Republic of Korea",S3901)),"South Korea",
ISNUMBER(SEARCH("Cape Verde",S3901)),"Cabo Verde",
ISNUMBER(SEARCH("Czechia",S3901)),"Czech Republic",
ISNUMBER(SEARCH("Türkiye",S3901)),"Turkey",
ISNUMBER(SEARCH("Ivory Coast",S3901)),"Côte d'Ivoire",
ISNUMBER(SEARCH("Korea Republic",S3901)),"South Korea",
ISNUMBER(SEARCH("Germany FR",S3901)),"FR Germany",
ISNUMBER(SEARCH("West Germany",S3901)),"FR Germany",
ISNUMBER(SEARCH("Germany DR",S3901)),"DR Germany",
ISNUMBER(SEARCH("Korea DPR",S3901)),"North Korea",
ISNUMBER(SEARCH("China PR",S3901)),"China",
ISNUMBER(SEARCH("IR Iran",S3901)),"Iran",
ISNUMBER(SEARCH("Congo DR",S3901)),"Democratic Republic of the Congo",
ISNUMBER(SEARCH("DR Congo",S3901)),"Democratic Republic of the Congo",
ISNUMBER(SEARCH("German DR",S3901)),"DR Germany",
ISNUMBER(SEARCH("rn""&gt;United Arab Emirates",S3901)),"United Arab Emirates",
ISNUMBER(SEARCH("rn""&gt;Republic of Ireland",S3901)),"Ireland",
ISNUMBER(SEARCH("rn""&gt;Bosnia and Herzegovina",S3901)),"Bosnia and Herzegovina",
ISNUMBER(SEARCH("rn""&gt;Trinidad and Tobago",S3901)),"Trinidad and Tobago",
ISNUMBER(SEARCH("rn""&gt;Serbia and Montenegro",S3901)),"Serbia and Montenegro",
ISNUMBER(SEARCH(_xlfn.UNICHAR(65533),S3901)),"Côte d'Ivoire",
TRUE,""
)</f>
        <v/>
      </c>
      <c r="W3901" s="40" t="str">
        <f t="shared" si="255"/>
        <v>Saudi Arabia</v>
      </c>
    </row>
    <row r="3902" spans="19:23">
      <c r="S3902" s="40" t="str">
        <v>Russia</v>
      </c>
      <c r="T3902" s="40" t="str">
        <f t="shared" si="253"/>
        <v>OK</v>
      </c>
      <c r="U3902" s="40" t="str">
        <f t="shared" si="254"/>
        <v>-</v>
      </c>
      <c r="V3902" s="40" t="str" cm="1">
        <f t="array" ref="V3902">_xlfn.IFS(
ISNUMBER(SEARCH("USA",S3902)),"United States",
ISNUMBER(SEARCH("Republic of Ireland",S3902)),"Ireland",
ISNUMBER(SEARCH("Republic of Korea",S3902)),"South Korea",
ISNUMBER(SEARCH("Cape Verde",S3902)),"Cabo Verde",
ISNUMBER(SEARCH("Czechia",S3902)),"Czech Republic",
ISNUMBER(SEARCH("Türkiye",S3902)),"Turkey",
ISNUMBER(SEARCH("Ivory Coast",S3902)),"Côte d'Ivoire",
ISNUMBER(SEARCH("Korea Republic",S3902)),"South Korea",
ISNUMBER(SEARCH("Germany FR",S3902)),"FR Germany",
ISNUMBER(SEARCH("West Germany",S3902)),"FR Germany",
ISNUMBER(SEARCH("Germany DR",S3902)),"DR Germany",
ISNUMBER(SEARCH("Korea DPR",S3902)),"North Korea",
ISNUMBER(SEARCH("China PR",S3902)),"China",
ISNUMBER(SEARCH("IR Iran",S3902)),"Iran",
ISNUMBER(SEARCH("Congo DR",S3902)),"Democratic Republic of the Congo",
ISNUMBER(SEARCH("DR Congo",S3902)),"Democratic Republic of the Congo",
ISNUMBER(SEARCH("German DR",S3902)),"DR Germany",
ISNUMBER(SEARCH("rn""&gt;United Arab Emirates",S3902)),"United Arab Emirates",
ISNUMBER(SEARCH("rn""&gt;Republic of Ireland",S3902)),"Ireland",
ISNUMBER(SEARCH("rn""&gt;Bosnia and Herzegovina",S3902)),"Bosnia and Herzegovina",
ISNUMBER(SEARCH("rn""&gt;Trinidad and Tobago",S3902)),"Trinidad and Tobago",
ISNUMBER(SEARCH("rn""&gt;Serbia and Montenegro",S3902)),"Serbia and Montenegro",
ISNUMBER(SEARCH(_xlfn.UNICHAR(65533),S3902)),"Côte d'Ivoire",
TRUE,""
)</f>
        <v/>
      </c>
      <c r="W3902" s="40" t="str">
        <f t="shared" si="255"/>
        <v>Russia</v>
      </c>
    </row>
    <row r="3903" spans="19:23">
      <c r="S3903" s="40" t="str">
        <v>Greece</v>
      </c>
      <c r="T3903" s="40" t="str">
        <f t="shared" si="253"/>
        <v>OK</v>
      </c>
      <c r="U3903" s="40" t="str">
        <f t="shared" si="254"/>
        <v>-</v>
      </c>
      <c r="V3903" s="40" t="str" cm="1">
        <f t="array" ref="V3903">_xlfn.IFS(
ISNUMBER(SEARCH("USA",S3903)),"United States",
ISNUMBER(SEARCH("Republic of Ireland",S3903)),"Ireland",
ISNUMBER(SEARCH("Republic of Korea",S3903)),"South Korea",
ISNUMBER(SEARCH("Cape Verde",S3903)),"Cabo Verde",
ISNUMBER(SEARCH("Czechia",S3903)),"Czech Republic",
ISNUMBER(SEARCH("Türkiye",S3903)),"Turkey",
ISNUMBER(SEARCH("Ivory Coast",S3903)),"Côte d'Ivoire",
ISNUMBER(SEARCH("Korea Republic",S3903)),"South Korea",
ISNUMBER(SEARCH("Germany FR",S3903)),"FR Germany",
ISNUMBER(SEARCH("West Germany",S3903)),"FR Germany",
ISNUMBER(SEARCH("Germany DR",S3903)),"DR Germany",
ISNUMBER(SEARCH("Korea DPR",S3903)),"North Korea",
ISNUMBER(SEARCH("China PR",S3903)),"China",
ISNUMBER(SEARCH("IR Iran",S3903)),"Iran",
ISNUMBER(SEARCH("Congo DR",S3903)),"Democratic Republic of the Congo",
ISNUMBER(SEARCH("DR Congo",S3903)),"Democratic Republic of the Congo",
ISNUMBER(SEARCH("German DR",S3903)),"DR Germany",
ISNUMBER(SEARCH("rn""&gt;United Arab Emirates",S3903)),"United Arab Emirates",
ISNUMBER(SEARCH("rn""&gt;Republic of Ireland",S3903)),"Ireland",
ISNUMBER(SEARCH("rn""&gt;Bosnia and Herzegovina",S3903)),"Bosnia and Herzegovina",
ISNUMBER(SEARCH("rn""&gt;Trinidad and Tobago",S3903)),"Trinidad and Tobago",
ISNUMBER(SEARCH("rn""&gt;Serbia and Montenegro",S3903)),"Serbia and Montenegro",
ISNUMBER(SEARCH(_xlfn.UNICHAR(65533),S3903)),"Côte d'Ivoire",
TRUE,""
)</f>
        <v/>
      </c>
      <c r="W3903" s="40" t="str">
        <f t="shared" si="255"/>
        <v>Greece</v>
      </c>
    </row>
    <row r="3904" spans="19:23">
      <c r="S3904" s="40" t="str">
        <v>Bulgaria</v>
      </c>
      <c r="T3904" s="40" t="str">
        <f t="shared" si="253"/>
        <v>OK</v>
      </c>
      <c r="U3904" s="40" t="str">
        <f t="shared" si="254"/>
        <v>-</v>
      </c>
      <c r="V3904" s="40" t="str" cm="1">
        <f t="array" ref="V3904">_xlfn.IFS(
ISNUMBER(SEARCH("USA",S3904)),"United States",
ISNUMBER(SEARCH("Republic of Ireland",S3904)),"Ireland",
ISNUMBER(SEARCH("Republic of Korea",S3904)),"South Korea",
ISNUMBER(SEARCH("Cape Verde",S3904)),"Cabo Verde",
ISNUMBER(SEARCH("Czechia",S3904)),"Czech Republic",
ISNUMBER(SEARCH("Türkiye",S3904)),"Turkey",
ISNUMBER(SEARCH("Ivory Coast",S3904)),"Côte d'Ivoire",
ISNUMBER(SEARCH("Korea Republic",S3904)),"South Korea",
ISNUMBER(SEARCH("Germany FR",S3904)),"FR Germany",
ISNUMBER(SEARCH("West Germany",S3904)),"FR Germany",
ISNUMBER(SEARCH("Germany DR",S3904)),"DR Germany",
ISNUMBER(SEARCH("Korea DPR",S3904)),"North Korea",
ISNUMBER(SEARCH("China PR",S3904)),"China",
ISNUMBER(SEARCH("IR Iran",S3904)),"Iran",
ISNUMBER(SEARCH("Congo DR",S3904)),"Democratic Republic of the Congo",
ISNUMBER(SEARCH("DR Congo",S3904)),"Democratic Republic of the Congo",
ISNUMBER(SEARCH("German DR",S3904)),"DR Germany",
ISNUMBER(SEARCH("rn""&gt;United Arab Emirates",S3904)),"United Arab Emirates",
ISNUMBER(SEARCH("rn""&gt;Republic of Ireland",S3904)),"Ireland",
ISNUMBER(SEARCH("rn""&gt;Bosnia and Herzegovina",S3904)),"Bosnia and Herzegovina",
ISNUMBER(SEARCH("rn""&gt;Trinidad and Tobago",S3904)),"Trinidad and Tobago",
ISNUMBER(SEARCH("rn""&gt;Serbia and Montenegro",S3904)),"Serbia and Montenegro",
ISNUMBER(SEARCH(_xlfn.UNICHAR(65533),S3904)),"Côte d'Ivoire",
TRUE,""
)</f>
        <v/>
      </c>
      <c r="W3904" s="40" t="str">
        <f t="shared" si="255"/>
        <v>Bulgaria</v>
      </c>
    </row>
    <row r="3905" spans="19:23">
      <c r="S3905" s="40" t="str">
        <v>Spain</v>
      </c>
      <c r="T3905" s="40" t="str">
        <f t="shared" si="253"/>
        <v>OK</v>
      </c>
      <c r="U3905" s="40" t="str">
        <f t="shared" si="254"/>
        <v>-</v>
      </c>
      <c r="V3905" s="40" t="str" cm="1">
        <f t="array" ref="V3905">_xlfn.IFS(
ISNUMBER(SEARCH("USA",S3905)),"United States",
ISNUMBER(SEARCH("Republic of Ireland",S3905)),"Ireland",
ISNUMBER(SEARCH("Republic of Korea",S3905)),"South Korea",
ISNUMBER(SEARCH("Cape Verde",S3905)),"Cabo Verde",
ISNUMBER(SEARCH("Czechia",S3905)),"Czech Republic",
ISNUMBER(SEARCH("Türkiye",S3905)),"Turkey",
ISNUMBER(SEARCH("Ivory Coast",S3905)),"Côte d'Ivoire",
ISNUMBER(SEARCH("Korea Republic",S3905)),"South Korea",
ISNUMBER(SEARCH("Germany FR",S3905)),"FR Germany",
ISNUMBER(SEARCH("West Germany",S3905)),"FR Germany",
ISNUMBER(SEARCH("Germany DR",S3905)),"DR Germany",
ISNUMBER(SEARCH("Korea DPR",S3905)),"North Korea",
ISNUMBER(SEARCH("China PR",S3905)),"China",
ISNUMBER(SEARCH("IR Iran",S3905)),"Iran",
ISNUMBER(SEARCH("Congo DR",S3905)),"Democratic Republic of the Congo",
ISNUMBER(SEARCH("DR Congo",S3905)),"Democratic Republic of the Congo",
ISNUMBER(SEARCH("German DR",S3905)),"DR Germany",
ISNUMBER(SEARCH("rn""&gt;United Arab Emirates",S3905)),"United Arab Emirates",
ISNUMBER(SEARCH("rn""&gt;Republic of Ireland",S3905)),"Ireland",
ISNUMBER(SEARCH("rn""&gt;Bosnia and Herzegovina",S3905)),"Bosnia and Herzegovina",
ISNUMBER(SEARCH("rn""&gt;Trinidad and Tobago",S3905)),"Trinidad and Tobago",
ISNUMBER(SEARCH("rn""&gt;Serbia and Montenegro",S3905)),"Serbia and Montenegro",
ISNUMBER(SEARCH(_xlfn.UNICHAR(65533),S3905)),"Côte d'Ivoire",
TRUE,""
)</f>
        <v/>
      </c>
      <c r="W3905" s="40" t="str">
        <f t="shared" si="255"/>
        <v>Spain</v>
      </c>
    </row>
    <row r="3906" spans="19:23">
      <c r="S3906" s="40" t="str">
        <v>Switzerland</v>
      </c>
      <c r="T3906" s="40" t="str">
        <f t="shared" si="253"/>
        <v>OK</v>
      </c>
      <c r="U3906" s="40" t="str">
        <f t="shared" si="254"/>
        <v>-</v>
      </c>
      <c r="V3906" s="40" t="str" cm="1">
        <f t="array" ref="V3906">_xlfn.IFS(
ISNUMBER(SEARCH("USA",S3906)),"United States",
ISNUMBER(SEARCH("Republic of Ireland",S3906)),"Ireland",
ISNUMBER(SEARCH("Republic of Korea",S3906)),"South Korea",
ISNUMBER(SEARCH("Cape Verde",S3906)),"Cabo Verde",
ISNUMBER(SEARCH("Czechia",S3906)),"Czech Republic",
ISNUMBER(SEARCH("Türkiye",S3906)),"Turkey",
ISNUMBER(SEARCH("Ivory Coast",S3906)),"Côte d'Ivoire",
ISNUMBER(SEARCH("Korea Republic",S3906)),"South Korea",
ISNUMBER(SEARCH("Germany FR",S3906)),"FR Germany",
ISNUMBER(SEARCH("West Germany",S3906)),"FR Germany",
ISNUMBER(SEARCH("Germany DR",S3906)),"DR Germany",
ISNUMBER(SEARCH("Korea DPR",S3906)),"North Korea",
ISNUMBER(SEARCH("China PR",S3906)),"China",
ISNUMBER(SEARCH("IR Iran",S3906)),"Iran",
ISNUMBER(SEARCH("Congo DR",S3906)),"Democratic Republic of the Congo",
ISNUMBER(SEARCH("DR Congo",S3906)),"Democratic Republic of the Congo",
ISNUMBER(SEARCH("German DR",S3906)),"DR Germany",
ISNUMBER(SEARCH("rn""&gt;United Arab Emirates",S3906)),"United Arab Emirates",
ISNUMBER(SEARCH("rn""&gt;Republic of Ireland",S3906)),"Ireland",
ISNUMBER(SEARCH("rn""&gt;Bosnia and Herzegovina",S3906)),"Bosnia and Herzegovina",
ISNUMBER(SEARCH("rn""&gt;Trinidad and Tobago",S3906)),"Trinidad and Tobago",
ISNUMBER(SEARCH("rn""&gt;Serbia and Montenegro",S3906)),"Serbia and Montenegro",
ISNUMBER(SEARCH(_xlfn.UNICHAR(65533),S3906)),"Côte d'Ivoire",
TRUE,""
)</f>
        <v/>
      </c>
      <c r="W3906" s="40" t="str">
        <f t="shared" si="255"/>
        <v>Switzerland</v>
      </c>
    </row>
    <row r="3907" spans="19:23">
      <c r="S3907" s="40" t="str">
        <v>Colombia</v>
      </c>
      <c r="T3907" s="40" t="str">
        <f t="shared" ref="T3907:T3970" si="256">IF(COUNTIF(R$13:R$250,S3907)=1,"OK","ERREUR")</f>
        <v>OK</v>
      </c>
      <c r="U3907" s="40" t="str">
        <f t="shared" si="254"/>
        <v>-</v>
      </c>
      <c r="V3907" s="40" t="str" cm="1">
        <f t="array" ref="V3907">_xlfn.IFS(
ISNUMBER(SEARCH("USA",S3907)),"United States",
ISNUMBER(SEARCH("Republic of Ireland",S3907)),"Ireland",
ISNUMBER(SEARCH("Republic of Korea",S3907)),"South Korea",
ISNUMBER(SEARCH("Cape Verde",S3907)),"Cabo Verde",
ISNUMBER(SEARCH("Czechia",S3907)),"Czech Republic",
ISNUMBER(SEARCH("Türkiye",S3907)),"Turkey",
ISNUMBER(SEARCH("Ivory Coast",S3907)),"Côte d'Ivoire",
ISNUMBER(SEARCH("Korea Republic",S3907)),"South Korea",
ISNUMBER(SEARCH("Germany FR",S3907)),"FR Germany",
ISNUMBER(SEARCH("West Germany",S3907)),"FR Germany",
ISNUMBER(SEARCH("Germany DR",S3907)),"DR Germany",
ISNUMBER(SEARCH("Korea DPR",S3907)),"North Korea",
ISNUMBER(SEARCH("China PR",S3907)),"China",
ISNUMBER(SEARCH("IR Iran",S3907)),"Iran",
ISNUMBER(SEARCH("Congo DR",S3907)),"Democratic Republic of the Congo",
ISNUMBER(SEARCH("DR Congo",S3907)),"Democratic Republic of the Congo",
ISNUMBER(SEARCH("German DR",S3907)),"DR Germany",
ISNUMBER(SEARCH("rn""&gt;United Arab Emirates",S3907)),"United Arab Emirates",
ISNUMBER(SEARCH("rn""&gt;Republic of Ireland",S3907)),"Ireland",
ISNUMBER(SEARCH("rn""&gt;Bosnia and Herzegovina",S3907)),"Bosnia and Herzegovina",
ISNUMBER(SEARCH("rn""&gt;Trinidad and Tobago",S3907)),"Trinidad and Tobago",
ISNUMBER(SEARCH("rn""&gt;Serbia and Montenegro",S3907)),"Serbia and Montenegro",
ISNUMBER(SEARCH(_xlfn.UNICHAR(65533),S3907)),"Côte d'Ivoire",
TRUE,""
)</f>
        <v/>
      </c>
      <c r="W3907" s="40" t="str">
        <f t="shared" si="255"/>
        <v>Colombia</v>
      </c>
    </row>
    <row r="3908" spans="19:23">
      <c r="S3908" s="40" t="str">
        <v>Norway</v>
      </c>
      <c r="T3908" s="40" t="str">
        <f t="shared" si="256"/>
        <v>OK</v>
      </c>
      <c r="U3908" s="40" t="str">
        <f t="shared" ref="U3908:U3971" si="257">IF(OR(S3908="Scotland",S3908="England",S3908="Wales",S3908="Yugoslavia",S3908="Czechoslovakia",S3908="Northern Ireland",S3908="Soviet Union",S3908="Zaire",S3908="Dutch East Indies"),"AUCUNE",IF(OR(S3908="Cape Verde",S3908="USA",S3908="DR Congo",S3908="Republic of Korea",S3908="Germany FR",S3908="Germany DR",S3908="Czechia",S3908="Ivory Coast",S3908="Korea DPR",S3908="China PR",S3908="IR Iran",S3908="Türkiye",S3908="Congo DR",S3908="German DR",S3908="West Germany",S3908="Republic of Ireland",ISNUMBER(SEARCH(_xlfn.UNICHAR(65533),S3908)),S3908="Korea Republic",ISNUMBER(SEARCH("rn""&gt;United Arab Emirates",S3908)),ISNUMBER(SEARCH("rn""&gt;Republic of Ireland",S3908)),ISNUMBER(SEARCH("rn""&gt;Bosnia and Herzegovina",S3908)),ISNUMBER(SEARCH("rn""&gt;Trinidad and Tobago",S3908)),ISNUMBER(SEARCH("rn""&gt;Serbia and Montenegro",S3908)),ISNUMBER(SEARCH(_xlfn.UNICHAR(65533),S3908))),"RENOMMER","-"))</f>
        <v>-</v>
      </c>
      <c r="V3908" s="40" t="str" cm="1">
        <f t="array" ref="V3908">_xlfn.IFS(
ISNUMBER(SEARCH("USA",S3908)),"United States",
ISNUMBER(SEARCH("Republic of Ireland",S3908)),"Ireland",
ISNUMBER(SEARCH("Republic of Korea",S3908)),"South Korea",
ISNUMBER(SEARCH("Cape Verde",S3908)),"Cabo Verde",
ISNUMBER(SEARCH("Czechia",S3908)),"Czech Republic",
ISNUMBER(SEARCH("Türkiye",S3908)),"Turkey",
ISNUMBER(SEARCH("Ivory Coast",S3908)),"Côte d'Ivoire",
ISNUMBER(SEARCH("Korea Republic",S3908)),"South Korea",
ISNUMBER(SEARCH("Germany FR",S3908)),"FR Germany",
ISNUMBER(SEARCH("West Germany",S3908)),"FR Germany",
ISNUMBER(SEARCH("Germany DR",S3908)),"DR Germany",
ISNUMBER(SEARCH("Korea DPR",S3908)),"North Korea",
ISNUMBER(SEARCH("China PR",S3908)),"China",
ISNUMBER(SEARCH("IR Iran",S3908)),"Iran",
ISNUMBER(SEARCH("Congo DR",S3908)),"Democratic Republic of the Congo",
ISNUMBER(SEARCH("DR Congo",S3908)),"Democratic Republic of the Congo",
ISNUMBER(SEARCH("German DR",S3908)),"DR Germany",
ISNUMBER(SEARCH("rn""&gt;United Arab Emirates",S3908)),"United Arab Emirates",
ISNUMBER(SEARCH("rn""&gt;Republic of Ireland",S3908)),"Ireland",
ISNUMBER(SEARCH("rn""&gt;Bosnia and Herzegovina",S3908)),"Bosnia and Herzegovina",
ISNUMBER(SEARCH("rn""&gt;Trinidad and Tobago",S3908)),"Trinidad and Tobago",
ISNUMBER(SEARCH("rn""&gt;Serbia and Montenegro",S3908)),"Serbia and Montenegro",
ISNUMBER(SEARCH(_xlfn.UNICHAR(65533),S3908)),"Côte d'Ivoire",
TRUE,""
)</f>
        <v/>
      </c>
      <c r="W3908" s="40" t="str">
        <f t="shared" ref="W3908:W3971" si="258">IF(V3908="",S3908,V3908)</f>
        <v>Norway</v>
      </c>
    </row>
    <row r="3909" spans="19:23">
      <c r="S3909" s="40" t="str">
        <v>Bolivia</v>
      </c>
      <c r="T3909" s="40" t="str">
        <f t="shared" si="256"/>
        <v>OK</v>
      </c>
      <c r="U3909" s="40" t="str">
        <f t="shared" si="257"/>
        <v>-</v>
      </c>
      <c r="V3909" s="40" t="str" cm="1">
        <f t="array" ref="V3909">_xlfn.IFS(
ISNUMBER(SEARCH("USA",S3909)),"United States",
ISNUMBER(SEARCH("Republic of Ireland",S3909)),"Ireland",
ISNUMBER(SEARCH("Republic of Korea",S3909)),"South Korea",
ISNUMBER(SEARCH("Cape Verde",S3909)),"Cabo Verde",
ISNUMBER(SEARCH("Czechia",S3909)),"Czech Republic",
ISNUMBER(SEARCH("Türkiye",S3909)),"Turkey",
ISNUMBER(SEARCH("Ivory Coast",S3909)),"Côte d'Ivoire",
ISNUMBER(SEARCH("Korea Republic",S3909)),"South Korea",
ISNUMBER(SEARCH("Germany FR",S3909)),"FR Germany",
ISNUMBER(SEARCH("West Germany",S3909)),"FR Germany",
ISNUMBER(SEARCH("Germany DR",S3909)),"DR Germany",
ISNUMBER(SEARCH("Korea DPR",S3909)),"North Korea",
ISNUMBER(SEARCH("China PR",S3909)),"China",
ISNUMBER(SEARCH("IR Iran",S3909)),"Iran",
ISNUMBER(SEARCH("Congo DR",S3909)),"Democratic Republic of the Congo",
ISNUMBER(SEARCH("DR Congo",S3909)),"Democratic Republic of the Congo",
ISNUMBER(SEARCH("German DR",S3909)),"DR Germany",
ISNUMBER(SEARCH("rn""&gt;United Arab Emirates",S3909)),"United Arab Emirates",
ISNUMBER(SEARCH("rn""&gt;Republic of Ireland",S3909)),"Ireland",
ISNUMBER(SEARCH("rn""&gt;Bosnia and Herzegovina",S3909)),"Bosnia and Herzegovina",
ISNUMBER(SEARCH("rn""&gt;Trinidad and Tobago",S3909)),"Trinidad and Tobago",
ISNUMBER(SEARCH("rn""&gt;Serbia and Montenegro",S3909)),"Serbia and Montenegro",
ISNUMBER(SEARCH(_xlfn.UNICHAR(65533),S3909)),"Côte d'Ivoire",
TRUE,""
)</f>
        <v/>
      </c>
      <c r="W3909" s="40" t="str">
        <f t="shared" si="258"/>
        <v>Bolivia</v>
      </c>
    </row>
    <row r="3910" spans="19:23">
      <c r="S3910" s="40" t="str">
        <v>rn"&gt;Republic of Ireland</v>
      </c>
      <c r="T3910" s="40" t="str">
        <f t="shared" si="256"/>
        <v>ERREUR</v>
      </c>
      <c r="U3910" s="40" t="str">
        <f t="shared" si="257"/>
        <v>RENOMMER</v>
      </c>
      <c r="V3910" s="40" t="str" cm="1">
        <f t="array" ref="V3910">_xlfn.IFS(
ISNUMBER(SEARCH("USA",S3910)),"United States",
ISNUMBER(SEARCH("Republic of Ireland",S3910)),"Ireland",
ISNUMBER(SEARCH("Republic of Korea",S3910)),"South Korea",
ISNUMBER(SEARCH("Cape Verde",S3910)),"Cabo Verde",
ISNUMBER(SEARCH("Czechia",S3910)),"Czech Republic",
ISNUMBER(SEARCH("Türkiye",S3910)),"Turkey",
ISNUMBER(SEARCH("Ivory Coast",S3910)),"Côte d'Ivoire",
ISNUMBER(SEARCH("Korea Republic",S3910)),"South Korea",
ISNUMBER(SEARCH("Germany FR",S3910)),"FR Germany",
ISNUMBER(SEARCH("West Germany",S3910)),"FR Germany",
ISNUMBER(SEARCH("Germany DR",S3910)),"DR Germany",
ISNUMBER(SEARCH("Korea DPR",S3910)),"North Korea",
ISNUMBER(SEARCH("China PR",S3910)),"China",
ISNUMBER(SEARCH("IR Iran",S3910)),"Iran",
ISNUMBER(SEARCH("Congo DR",S3910)),"Democratic Republic of the Congo",
ISNUMBER(SEARCH("DR Congo",S3910)),"Democratic Republic of the Congo",
ISNUMBER(SEARCH("German DR",S3910)),"DR Germany",
ISNUMBER(SEARCH("rn""&gt;United Arab Emirates",S3910)),"United Arab Emirates",
ISNUMBER(SEARCH("rn""&gt;Republic of Ireland",S3910)),"Ireland",
ISNUMBER(SEARCH("rn""&gt;Bosnia and Herzegovina",S3910)),"Bosnia and Herzegovina",
ISNUMBER(SEARCH("rn""&gt;Trinidad and Tobago",S3910)),"Trinidad and Tobago",
ISNUMBER(SEARCH("rn""&gt;Serbia and Montenegro",S3910)),"Serbia and Montenegro",
ISNUMBER(SEARCH(_xlfn.UNICHAR(65533),S3910)),"Côte d'Ivoire",
TRUE,""
)</f>
        <v>Ireland</v>
      </c>
      <c r="W3910" s="40" t="str">
        <f t="shared" si="258"/>
        <v>Ireland</v>
      </c>
    </row>
    <row r="3911" spans="19:23">
      <c r="S3911" s="40" t="str">
        <v>Russia</v>
      </c>
      <c r="T3911" s="40" t="str">
        <f t="shared" si="256"/>
        <v>OK</v>
      </c>
      <c r="U3911" s="40" t="str">
        <f t="shared" si="257"/>
        <v>-</v>
      </c>
      <c r="V3911" s="40" t="str" cm="1">
        <f t="array" ref="V3911">_xlfn.IFS(
ISNUMBER(SEARCH("USA",S3911)),"United States",
ISNUMBER(SEARCH("Republic of Ireland",S3911)),"Ireland",
ISNUMBER(SEARCH("Republic of Korea",S3911)),"South Korea",
ISNUMBER(SEARCH("Cape Verde",S3911)),"Cabo Verde",
ISNUMBER(SEARCH("Czechia",S3911)),"Czech Republic",
ISNUMBER(SEARCH("Türkiye",S3911)),"Turkey",
ISNUMBER(SEARCH("Ivory Coast",S3911)),"Côte d'Ivoire",
ISNUMBER(SEARCH("Korea Republic",S3911)),"South Korea",
ISNUMBER(SEARCH("Germany FR",S3911)),"FR Germany",
ISNUMBER(SEARCH("West Germany",S3911)),"FR Germany",
ISNUMBER(SEARCH("Germany DR",S3911)),"DR Germany",
ISNUMBER(SEARCH("Korea DPR",S3911)),"North Korea",
ISNUMBER(SEARCH("China PR",S3911)),"China",
ISNUMBER(SEARCH("IR Iran",S3911)),"Iran",
ISNUMBER(SEARCH("Congo DR",S3911)),"Democratic Republic of the Congo",
ISNUMBER(SEARCH("DR Congo",S3911)),"Democratic Republic of the Congo",
ISNUMBER(SEARCH("German DR",S3911)),"DR Germany",
ISNUMBER(SEARCH("rn""&gt;United Arab Emirates",S3911)),"United Arab Emirates",
ISNUMBER(SEARCH("rn""&gt;Republic of Ireland",S3911)),"Ireland",
ISNUMBER(SEARCH("rn""&gt;Bosnia and Herzegovina",S3911)),"Bosnia and Herzegovina",
ISNUMBER(SEARCH("rn""&gt;Trinidad and Tobago",S3911)),"Trinidad and Tobago",
ISNUMBER(SEARCH("rn""&gt;Serbia and Montenegro",S3911)),"Serbia and Montenegro",
ISNUMBER(SEARCH(_xlfn.UNICHAR(65533),S3911)),"Côte d'Ivoire",
TRUE,""
)</f>
        <v/>
      </c>
      <c r="W3911" s="40" t="str">
        <f t="shared" si="258"/>
        <v>Russia</v>
      </c>
    </row>
    <row r="3912" spans="19:23">
      <c r="S3912" s="40" t="str">
        <v>Cameroon</v>
      </c>
      <c r="T3912" s="40" t="str">
        <f t="shared" si="256"/>
        <v>OK</v>
      </c>
      <c r="U3912" s="40" t="str">
        <f t="shared" si="257"/>
        <v>-</v>
      </c>
      <c r="V3912" s="40" t="str" cm="1">
        <f t="array" ref="V3912">_xlfn.IFS(
ISNUMBER(SEARCH("USA",S3912)),"United States",
ISNUMBER(SEARCH("Republic of Ireland",S3912)),"Ireland",
ISNUMBER(SEARCH("Republic of Korea",S3912)),"South Korea",
ISNUMBER(SEARCH("Cape Verde",S3912)),"Cabo Verde",
ISNUMBER(SEARCH("Czechia",S3912)),"Czech Republic",
ISNUMBER(SEARCH("Türkiye",S3912)),"Turkey",
ISNUMBER(SEARCH("Ivory Coast",S3912)),"Côte d'Ivoire",
ISNUMBER(SEARCH("Korea Republic",S3912)),"South Korea",
ISNUMBER(SEARCH("Germany FR",S3912)),"FR Germany",
ISNUMBER(SEARCH("West Germany",S3912)),"FR Germany",
ISNUMBER(SEARCH("Germany DR",S3912)),"DR Germany",
ISNUMBER(SEARCH("Korea DPR",S3912)),"North Korea",
ISNUMBER(SEARCH("China PR",S3912)),"China",
ISNUMBER(SEARCH("IR Iran",S3912)),"Iran",
ISNUMBER(SEARCH("Congo DR",S3912)),"Democratic Republic of the Congo",
ISNUMBER(SEARCH("DR Congo",S3912)),"Democratic Republic of the Congo",
ISNUMBER(SEARCH("German DR",S3912)),"DR Germany",
ISNUMBER(SEARCH("rn""&gt;United Arab Emirates",S3912)),"United Arab Emirates",
ISNUMBER(SEARCH("rn""&gt;Republic of Ireland",S3912)),"Ireland",
ISNUMBER(SEARCH("rn""&gt;Bosnia and Herzegovina",S3912)),"Bosnia and Herzegovina",
ISNUMBER(SEARCH("rn""&gt;Trinidad and Tobago",S3912)),"Trinidad and Tobago",
ISNUMBER(SEARCH("rn""&gt;Serbia and Montenegro",S3912)),"Serbia and Montenegro",
ISNUMBER(SEARCH(_xlfn.UNICHAR(65533),S3912)),"Côte d'Ivoire",
TRUE,""
)</f>
        <v/>
      </c>
      <c r="W3912" s="40" t="str">
        <f t="shared" si="258"/>
        <v>Cameroon</v>
      </c>
    </row>
    <row r="3913" spans="19:23">
      <c r="S3913" s="40" t="str">
        <v>Netherlands</v>
      </c>
      <c r="T3913" s="40" t="str">
        <f t="shared" si="256"/>
        <v>OK</v>
      </c>
      <c r="U3913" s="40" t="str">
        <f t="shared" si="257"/>
        <v>-</v>
      </c>
      <c r="V3913" s="40" t="str" cm="1">
        <f t="array" ref="V3913">_xlfn.IFS(
ISNUMBER(SEARCH("USA",S3913)),"United States",
ISNUMBER(SEARCH("Republic of Ireland",S3913)),"Ireland",
ISNUMBER(SEARCH("Republic of Korea",S3913)),"South Korea",
ISNUMBER(SEARCH("Cape Verde",S3913)),"Cabo Verde",
ISNUMBER(SEARCH("Czechia",S3913)),"Czech Republic",
ISNUMBER(SEARCH("Türkiye",S3913)),"Turkey",
ISNUMBER(SEARCH("Ivory Coast",S3913)),"Côte d'Ivoire",
ISNUMBER(SEARCH("Korea Republic",S3913)),"South Korea",
ISNUMBER(SEARCH("Germany FR",S3913)),"FR Germany",
ISNUMBER(SEARCH("West Germany",S3913)),"FR Germany",
ISNUMBER(SEARCH("Germany DR",S3913)),"DR Germany",
ISNUMBER(SEARCH("Korea DPR",S3913)),"North Korea",
ISNUMBER(SEARCH("China PR",S3913)),"China",
ISNUMBER(SEARCH("IR Iran",S3913)),"Iran",
ISNUMBER(SEARCH("Congo DR",S3913)),"Democratic Republic of the Congo",
ISNUMBER(SEARCH("DR Congo",S3913)),"Democratic Republic of the Congo",
ISNUMBER(SEARCH("German DR",S3913)),"DR Germany",
ISNUMBER(SEARCH("rn""&gt;United Arab Emirates",S3913)),"United Arab Emirates",
ISNUMBER(SEARCH("rn""&gt;Republic of Ireland",S3913)),"Ireland",
ISNUMBER(SEARCH("rn""&gt;Bosnia and Herzegovina",S3913)),"Bosnia and Herzegovina",
ISNUMBER(SEARCH("rn""&gt;Trinidad and Tobago",S3913)),"Trinidad and Tobago",
ISNUMBER(SEARCH("rn""&gt;Serbia and Montenegro",S3913)),"Serbia and Montenegro",
ISNUMBER(SEARCH(_xlfn.UNICHAR(65533),S3913)),"Côte d'Ivoire",
TRUE,""
)</f>
        <v/>
      </c>
      <c r="W3913" s="40" t="str">
        <f t="shared" si="258"/>
        <v>Netherlands</v>
      </c>
    </row>
    <row r="3914" spans="19:23">
      <c r="S3914" s="40" t="str">
        <v>Morocco</v>
      </c>
      <c r="T3914" s="40" t="str">
        <f t="shared" si="256"/>
        <v>OK</v>
      </c>
      <c r="U3914" s="40" t="str">
        <f t="shared" si="257"/>
        <v>-</v>
      </c>
      <c r="V3914" s="40" t="str" cm="1">
        <f t="array" ref="V3914">_xlfn.IFS(
ISNUMBER(SEARCH("USA",S3914)),"United States",
ISNUMBER(SEARCH("Republic of Ireland",S3914)),"Ireland",
ISNUMBER(SEARCH("Republic of Korea",S3914)),"South Korea",
ISNUMBER(SEARCH("Cape Verde",S3914)),"Cabo Verde",
ISNUMBER(SEARCH("Czechia",S3914)),"Czech Republic",
ISNUMBER(SEARCH("Türkiye",S3914)),"Turkey",
ISNUMBER(SEARCH("Ivory Coast",S3914)),"Côte d'Ivoire",
ISNUMBER(SEARCH("Korea Republic",S3914)),"South Korea",
ISNUMBER(SEARCH("Germany FR",S3914)),"FR Germany",
ISNUMBER(SEARCH("West Germany",S3914)),"FR Germany",
ISNUMBER(SEARCH("Germany DR",S3914)),"DR Germany",
ISNUMBER(SEARCH("Korea DPR",S3914)),"North Korea",
ISNUMBER(SEARCH("China PR",S3914)),"China",
ISNUMBER(SEARCH("IR Iran",S3914)),"Iran",
ISNUMBER(SEARCH("Congo DR",S3914)),"Democratic Republic of the Congo",
ISNUMBER(SEARCH("DR Congo",S3914)),"Democratic Republic of the Congo",
ISNUMBER(SEARCH("German DR",S3914)),"DR Germany",
ISNUMBER(SEARCH("rn""&gt;United Arab Emirates",S3914)),"United Arab Emirates",
ISNUMBER(SEARCH("rn""&gt;Republic of Ireland",S3914)),"Ireland",
ISNUMBER(SEARCH("rn""&gt;Bosnia and Herzegovina",S3914)),"Bosnia and Herzegovina",
ISNUMBER(SEARCH("rn""&gt;Trinidad and Tobago",S3914)),"Trinidad and Tobago",
ISNUMBER(SEARCH("rn""&gt;Serbia and Montenegro",S3914)),"Serbia and Montenegro",
ISNUMBER(SEARCH(_xlfn.UNICHAR(65533),S3914)),"Côte d'Ivoire",
TRUE,""
)</f>
        <v/>
      </c>
      <c r="W3914" s="40" t="str">
        <f t="shared" si="258"/>
        <v>Morocco</v>
      </c>
    </row>
    <row r="3915" spans="19:23">
      <c r="S3915" s="40" t="str">
        <v>Nigeria</v>
      </c>
      <c r="T3915" s="40" t="str">
        <f t="shared" si="256"/>
        <v>OK</v>
      </c>
      <c r="U3915" s="40" t="str">
        <f t="shared" si="257"/>
        <v>-</v>
      </c>
      <c r="V3915" s="40" t="str" cm="1">
        <f t="array" ref="V3915">_xlfn.IFS(
ISNUMBER(SEARCH("USA",S3915)),"United States",
ISNUMBER(SEARCH("Republic of Ireland",S3915)),"Ireland",
ISNUMBER(SEARCH("Republic of Korea",S3915)),"South Korea",
ISNUMBER(SEARCH("Cape Verde",S3915)),"Cabo Verde",
ISNUMBER(SEARCH("Czechia",S3915)),"Czech Republic",
ISNUMBER(SEARCH("Türkiye",S3915)),"Turkey",
ISNUMBER(SEARCH("Ivory Coast",S3915)),"Côte d'Ivoire",
ISNUMBER(SEARCH("Korea Republic",S3915)),"South Korea",
ISNUMBER(SEARCH("Germany FR",S3915)),"FR Germany",
ISNUMBER(SEARCH("West Germany",S3915)),"FR Germany",
ISNUMBER(SEARCH("Germany DR",S3915)),"DR Germany",
ISNUMBER(SEARCH("Korea DPR",S3915)),"North Korea",
ISNUMBER(SEARCH("China PR",S3915)),"China",
ISNUMBER(SEARCH("IR Iran",S3915)),"Iran",
ISNUMBER(SEARCH("Congo DR",S3915)),"Democratic Republic of the Congo",
ISNUMBER(SEARCH("DR Congo",S3915)),"Democratic Republic of the Congo",
ISNUMBER(SEARCH("German DR",S3915)),"DR Germany",
ISNUMBER(SEARCH("rn""&gt;United Arab Emirates",S3915)),"United Arab Emirates",
ISNUMBER(SEARCH("rn""&gt;Republic of Ireland",S3915)),"Ireland",
ISNUMBER(SEARCH("rn""&gt;Bosnia and Herzegovina",S3915)),"Bosnia and Herzegovina",
ISNUMBER(SEARCH("rn""&gt;Trinidad and Tobago",S3915)),"Trinidad and Tobago",
ISNUMBER(SEARCH("rn""&gt;Serbia and Montenegro",S3915)),"Serbia and Montenegro",
ISNUMBER(SEARCH(_xlfn.UNICHAR(65533),S3915)),"Côte d'Ivoire",
TRUE,""
)</f>
        <v/>
      </c>
      <c r="W3915" s="40" t="str">
        <f t="shared" si="258"/>
        <v>Nigeria</v>
      </c>
    </row>
    <row r="3916" spans="19:23">
      <c r="S3916" s="40" t="str">
        <v>Greece</v>
      </c>
      <c r="T3916" s="40" t="str">
        <f t="shared" si="256"/>
        <v>OK</v>
      </c>
      <c r="U3916" s="40" t="str">
        <f t="shared" si="257"/>
        <v>-</v>
      </c>
      <c r="V3916" s="40" t="str" cm="1">
        <f t="array" ref="V3916">_xlfn.IFS(
ISNUMBER(SEARCH("USA",S3916)),"United States",
ISNUMBER(SEARCH("Republic of Ireland",S3916)),"Ireland",
ISNUMBER(SEARCH("Republic of Korea",S3916)),"South Korea",
ISNUMBER(SEARCH("Cape Verde",S3916)),"Cabo Verde",
ISNUMBER(SEARCH("Czechia",S3916)),"Czech Republic",
ISNUMBER(SEARCH("Türkiye",S3916)),"Turkey",
ISNUMBER(SEARCH("Ivory Coast",S3916)),"Côte d'Ivoire",
ISNUMBER(SEARCH("Korea Republic",S3916)),"South Korea",
ISNUMBER(SEARCH("Germany FR",S3916)),"FR Germany",
ISNUMBER(SEARCH("West Germany",S3916)),"FR Germany",
ISNUMBER(SEARCH("Germany DR",S3916)),"DR Germany",
ISNUMBER(SEARCH("Korea DPR",S3916)),"North Korea",
ISNUMBER(SEARCH("China PR",S3916)),"China",
ISNUMBER(SEARCH("IR Iran",S3916)),"Iran",
ISNUMBER(SEARCH("Congo DR",S3916)),"Democratic Republic of the Congo",
ISNUMBER(SEARCH("DR Congo",S3916)),"Democratic Republic of the Congo",
ISNUMBER(SEARCH("German DR",S3916)),"DR Germany",
ISNUMBER(SEARCH("rn""&gt;United Arab Emirates",S3916)),"United Arab Emirates",
ISNUMBER(SEARCH("rn""&gt;Republic of Ireland",S3916)),"Ireland",
ISNUMBER(SEARCH("rn""&gt;Bosnia and Herzegovina",S3916)),"Bosnia and Herzegovina",
ISNUMBER(SEARCH("rn""&gt;Trinidad and Tobago",S3916)),"Trinidad and Tobago",
ISNUMBER(SEARCH("rn""&gt;Serbia and Montenegro",S3916)),"Serbia and Montenegro",
ISNUMBER(SEARCH(_xlfn.UNICHAR(65533),S3916)),"Côte d'Ivoire",
TRUE,""
)</f>
        <v/>
      </c>
      <c r="W3916" s="40" t="str">
        <f t="shared" si="258"/>
        <v>Greece</v>
      </c>
    </row>
    <row r="3917" spans="19:23">
      <c r="S3917" s="40" t="str">
        <v>Romania</v>
      </c>
      <c r="T3917" s="40" t="str">
        <f t="shared" si="256"/>
        <v>OK</v>
      </c>
      <c r="U3917" s="40" t="str">
        <f t="shared" si="257"/>
        <v>-</v>
      </c>
      <c r="V3917" s="40" t="str" cm="1">
        <f t="array" ref="V3917">_xlfn.IFS(
ISNUMBER(SEARCH("USA",S3917)),"United States",
ISNUMBER(SEARCH("Republic of Ireland",S3917)),"Ireland",
ISNUMBER(SEARCH("Republic of Korea",S3917)),"South Korea",
ISNUMBER(SEARCH("Cape Verde",S3917)),"Cabo Verde",
ISNUMBER(SEARCH("Czechia",S3917)),"Czech Republic",
ISNUMBER(SEARCH("Türkiye",S3917)),"Turkey",
ISNUMBER(SEARCH("Ivory Coast",S3917)),"Côte d'Ivoire",
ISNUMBER(SEARCH("Korea Republic",S3917)),"South Korea",
ISNUMBER(SEARCH("Germany FR",S3917)),"FR Germany",
ISNUMBER(SEARCH("West Germany",S3917)),"FR Germany",
ISNUMBER(SEARCH("Germany DR",S3917)),"DR Germany",
ISNUMBER(SEARCH("Korea DPR",S3917)),"North Korea",
ISNUMBER(SEARCH("China PR",S3917)),"China",
ISNUMBER(SEARCH("IR Iran",S3917)),"Iran",
ISNUMBER(SEARCH("Congo DR",S3917)),"Democratic Republic of the Congo",
ISNUMBER(SEARCH("DR Congo",S3917)),"Democratic Republic of the Congo",
ISNUMBER(SEARCH("German DR",S3917)),"DR Germany",
ISNUMBER(SEARCH("rn""&gt;United Arab Emirates",S3917)),"United Arab Emirates",
ISNUMBER(SEARCH("rn""&gt;Republic of Ireland",S3917)),"Ireland",
ISNUMBER(SEARCH("rn""&gt;Bosnia and Herzegovina",S3917)),"Bosnia and Herzegovina",
ISNUMBER(SEARCH("rn""&gt;Trinidad and Tobago",S3917)),"Trinidad and Tobago",
ISNUMBER(SEARCH("rn""&gt;Serbia and Montenegro",S3917)),"Serbia and Montenegro",
ISNUMBER(SEARCH(_xlfn.UNICHAR(65533),S3917)),"Côte d'Ivoire",
TRUE,""
)</f>
        <v/>
      </c>
      <c r="W3917" s="40" t="str">
        <f t="shared" si="258"/>
        <v>Romania</v>
      </c>
    </row>
    <row r="3918" spans="19:23">
      <c r="S3918" s="40" t="str">
        <v>Colombia</v>
      </c>
      <c r="T3918" s="40" t="str">
        <f t="shared" si="256"/>
        <v>OK</v>
      </c>
      <c r="U3918" s="40" t="str">
        <f t="shared" si="257"/>
        <v>-</v>
      </c>
      <c r="V3918" s="40" t="str" cm="1">
        <f t="array" ref="V3918">_xlfn.IFS(
ISNUMBER(SEARCH("USA",S3918)),"United States",
ISNUMBER(SEARCH("Republic of Ireland",S3918)),"Ireland",
ISNUMBER(SEARCH("Republic of Korea",S3918)),"South Korea",
ISNUMBER(SEARCH("Cape Verde",S3918)),"Cabo Verde",
ISNUMBER(SEARCH("Czechia",S3918)),"Czech Republic",
ISNUMBER(SEARCH("Türkiye",S3918)),"Turkey",
ISNUMBER(SEARCH("Ivory Coast",S3918)),"Côte d'Ivoire",
ISNUMBER(SEARCH("Korea Republic",S3918)),"South Korea",
ISNUMBER(SEARCH("Germany FR",S3918)),"FR Germany",
ISNUMBER(SEARCH("West Germany",S3918)),"FR Germany",
ISNUMBER(SEARCH("Germany DR",S3918)),"DR Germany",
ISNUMBER(SEARCH("Korea DPR",S3918)),"North Korea",
ISNUMBER(SEARCH("China PR",S3918)),"China",
ISNUMBER(SEARCH("IR Iran",S3918)),"Iran",
ISNUMBER(SEARCH("Congo DR",S3918)),"Democratic Republic of the Congo",
ISNUMBER(SEARCH("DR Congo",S3918)),"Democratic Republic of the Congo",
ISNUMBER(SEARCH("German DR",S3918)),"DR Germany",
ISNUMBER(SEARCH("rn""&gt;United Arab Emirates",S3918)),"United Arab Emirates",
ISNUMBER(SEARCH("rn""&gt;Republic of Ireland",S3918)),"Ireland",
ISNUMBER(SEARCH("rn""&gt;Bosnia and Herzegovina",S3918)),"Bosnia and Herzegovina",
ISNUMBER(SEARCH("rn""&gt;Trinidad and Tobago",S3918)),"Trinidad and Tobago",
ISNUMBER(SEARCH("rn""&gt;Serbia and Montenegro",S3918)),"Serbia and Montenegro",
ISNUMBER(SEARCH(_xlfn.UNICHAR(65533),S3918)),"Côte d'Ivoire",
TRUE,""
)</f>
        <v/>
      </c>
      <c r="W3918" s="40" t="str">
        <f t="shared" si="258"/>
        <v>Colombia</v>
      </c>
    </row>
    <row r="3919" spans="19:23">
      <c r="S3919" s="40" t="str">
        <v>Korea Republic</v>
      </c>
      <c r="T3919" s="40" t="str">
        <f t="shared" si="256"/>
        <v>ERREUR</v>
      </c>
      <c r="U3919" s="40" t="str">
        <f t="shared" si="257"/>
        <v>RENOMMER</v>
      </c>
      <c r="V3919" s="40" t="str" cm="1">
        <f t="array" ref="V3919">_xlfn.IFS(
ISNUMBER(SEARCH("USA",S3919)),"United States",
ISNUMBER(SEARCH("Republic of Ireland",S3919)),"Ireland",
ISNUMBER(SEARCH("Republic of Korea",S3919)),"South Korea",
ISNUMBER(SEARCH("Cape Verde",S3919)),"Cabo Verde",
ISNUMBER(SEARCH("Czechia",S3919)),"Czech Republic",
ISNUMBER(SEARCH("Türkiye",S3919)),"Turkey",
ISNUMBER(SEARCH("Ivory Coast",S3919)),"Côte d'Ivoire",
ISNUMBER(SEARCH("Korea Republic",S3919)),"South Korea",
ISNUMBER(SEARCH("Germany FR",S3919)),"FR Germany",
ISNUMBER(SEARCH("West Germany",S3919)),"FR Germany",
ISNUMBER(SEARCH("Germany DR",S3919)),"DR Germany",
ISNUMBER(SEARCH("Korea DPR",S3919)),"North Korea",
ISNUMBER(SEARCH("China PR",S3919)),"China",
ISNUMBER(SEARCH("IR Iran",S3919)),"Iran",
ISNUMBER(SEARCH("Congo DR",S3919)),"Democratic Republic of the Congo",
ISNUMBER(SEARCH("DR Congo",S3919)),"Democratic Republic of the Congo",
ISNUMBER(SEARCH("German DR",S3919)),"DR Germany",
ISNUMBER(SEARCH("rn""&gt;United Arab Emirates",S3919)),"United Arab Emirates",
ISNUMBER(SEARCH("rn""&gt;Republic of Ireland",S3919)),"Ireland",
ISNUMBER(SEARCH("rn""&gt;Bosnia and Herzegovina",S3919)),"Bosnia and Herzegovina",
ISNUMBER(SEARCH("rn""&gt;Trinidad and Tobago",S3919)),"Trinidad and Tobago",
ISNUMBER(SEARCH("rn""&gt;Serbia and Montenegro",S3919)),"Serbia and Montenegro",
ISNUMBER(SEARCH(_xlfn.UNICHAR(65533),S3919)),"Côte d'Ivoire",
TRUE,""
)</f>
        <v>South Korea</v>
      </c>
      <c r="W3919" s="40" t="str">
        <f t="shared" si="258"/>
        <v>South Korea</v>
      </c>
    </row>
    <row r="3920" spans="19:23">
      <c r="S3920" s="40" t="str">
        <v>Spain</v>
      </c>
      <c r="T3920" s="40" t="str">
        <f t="shared" si="256"/>
        <v>OK</v>
      </c>
      <c r="U3920" s="40" t="str">
        <f t="shared" si="257"/>
        <v>-</v>
      </c>
      <c r="V3920" s="40" t="str" cm="1">
        <f t="array" ref="V3920">_xlfn.IFS(
ISNUMBER(SEARCH("USA",S3920)),"United States",
ISNUMBER(SEARCH("Republic of Ireland",S3920)),"Ireland",
ISNUMBER(SEARCH("Republic of Korea",S3920)),"South Korea",
ISNUMBER(SEARCH("Cape Verde",S3920)),"Cabo Verde",
ISNUMBER(SEARCH("Czechia",S3920)),"Czech Republic",
ISNUMBER(SEARCH("Türkiye",S3920)),"Turkey",
ISNUMBER(SEARCH("Ivory Coast",S3920)),"Côte d'Ivoire",
ISNUMBER(SEARCH("Korea Republic",S3920)),"South Korea",
ISNUMBER(SEARCH("Germany FR",S3920)),"FR Germany",
ISNUMBER(SEARCH("West Germany",S3920)),"FR Germany",
ISNUMBER(SEARCH("Germany DR",S3920)),"DR Germany",
ISNUMBER(SEARCH("Korea DPR",S3920)),"North Korea",
ISNUMBER(SEARCH("China PR",S3920)),"China",
ISNUMBER(SEARCH("IR Iran",S3920)),"Iran",
ISNUMBER(SEARCH("Congo DR",S3920)),"Democratic Republic of the Congo",
ISNUMBER(SEARCH("DR Congo",S3920)),"Democratic Republic of the Congo",
ISNUMBER(SEARCH("German DR",S3920)),"DR Germany",
ISNUMBER(SEARCH("rn""&gt;United Arab Emirates",S3920)),"United Arab Emirates",
ISNUMBER(SEARCH("rn""&gt;Republic of Ireland",S3920)),"Ireland",
ISNUMBER(SEARCH("rn""&gt;Bosnia and Herzegovina",S3920)),"Bosnia and Herzegovina",
ISNUMBER(SEARCH("rn""&gt;Trinidad and Tobago",S3920)),"Trinidad and Tobago",
ISNUMBER(SEARCH("rn""&gt;Serbia and Montenegro",S3920)),"Serbia and Montenegro",
ISNUMBER(SEARCH(_xlfn.UNICHAR(65533),S3920)),"Côte d'Ivoire",
TRUE,""
)</f>
        <v/>
      </c>
      <c r="W3920" s="40" t="str">
        <f t="shared" si="258"/>
        <v>Spain</v>
      </c>
    </row>
    <row r="3921" spans="19:23">
      <c r="S3921" s="40" t="str">
        <v>Norway</v>
      </c>
      <c r="T3921" s="40" t="str">
        <f t="shared" si="256"/>
        <v>OK</v>
      </c>
      <c r="U3921" s="40" t="str">
        <f t="shared" si="257"/>
        <v>-</v>
      </c>
      <c r="V3921" s="40" t="str" cm="1">
        <f t="array" ref="V3921">_xlfn.IFS(
ISNUMBER(SEARCH("USA",S3921)),"United States",
ISNUMBER(SEARCH("Republic of Ireland",S3921)),"Ireland",
ISNUMBER(SEARCH("Republic of Korea",S3921)),"South Korea",
ISNUMBER(SEARCH("Cape Verde",S3921)),"Cabo Verde",
ISNUMBER(SEARCH("Czechia",S3921)),"Czech Republic",
ISNUMBER(SEARCH("Türkiye",S3921)),"Turkey",
ISNUMBER(SEARCH("Ivory Coast",S3921)),"Côte d'Ivoire",
ISNUMBER(SEARCH("Korea Republic",S3921)),"South Korea",
ISNUMBER(SEARCH("Germany FR",S3921)),"FR Germany",
ISNUMBER(SEARCH("West Germany",S3921)),"FR Germany",
ISNUMBER(SEARCH("Germany DR",S3921)),"DR Germany",
ISNUMBER(SEARCH("Korea DPR",S3921)),"North Korea",
ISNUMBER(SEARCH("China PR",S3921)),"China",
ISNUMBER(SEARCH("IR Iran",S3921)),"Iran",
ISNUMBER(SEARCH("Congo DR",S3921)),"Democratic Republic of the Congo",
ISNUMBER(SEARCH("DR Congo",S3921)),"Democratic Republic of the Congo",
ISNUMBER(SEARCH("German DR",S3921)),"DR Germany",
ISNUMBER(SEARCH("rn""&gt;United Arab Emirates",S3921)),"United Arab Emirates",
ISNUMBER(SEARCH("rn""&gt;Republic of Ireland",S3921)),"Ireland",
ISNUMBER(SEARCH("rn""&gt;Bosnia and Herzegovina",S3921)),"Bosnia and Herzegovina",
ISNUMBER(SEARCH("rn""&gt;Trinidad and Tobago",S3921)),"Trinidad and Tobago",
ISNUMBER(SEARCH("rn""&gt;Serbia and Montenegro",S3921)),"Serbia and Montenegro",
ISNUMBER(SEARCH(_xlfn.UNICHAR(65533),S3921)),"Côte d'Ivoire",
TRUE,""
)</f>
        <v/>
      </c>
      <c r="W3921" s="40" t="str">
        <f t="shared" si="258"/>
        <v>Norway</v>
      </c>
    </row>
    <row r="3922" spans="19:23">
      <c r="S3922" s="40" t="str">
        <v>Sweden</v>
      </c>
      <c r="T3922" s="40" t="str">
        <f t="shared" si="256"/>
        <v>OK</v>
      </c>
      <c r="U3922" s="40" t="str">
        <f t="shared" si="257"/>
        <v>-</v>
      </c>
      <c r="V3922" s="40" t="str" cm="1">
        <f t="array" ref="V3922">_xlfn.IFS(
ISNUMBER(SEARCH("USA",S3922)),"United States",
ISNUMBER(SEARCH("Republic of Ireland",S3922)),"Ireland",
ISNUMBER(SEARCH("Republic of Korea",S3922)),"South Korea",
ISNUMBER(SEARCH("Cape Verde",S3922)),"Cabo Verde",
ISNUMBER(SEARCH("Czechia",S3922)),"Czech Republic",
ISNUMBER(SEARCH("Türkiye",S3922)),"Turkey",
ISNUMBER(SEARCH("Ivory Coast",S3922)),"Côte d'Ivoire",
ISNUMBER(SEARCH("Korea Republic",S3922)),"South Korea",
ISNUMBER(SEARCH("Germany FR",S3922)),"FR Germany",
ISNUMBER(SEARCH("West Germany",S3922)),"FR Germany",
ISNUMBER(SEARCH("Germany DR",S3922)),"DR Germany",
ISNUMBER(SEARCH("Korea DPR",S3922)),"North Korea",
ISNUMBER(SEARCH("China PR",S3922)),"China",
ISNUMBER(SEARCH("IR Iran",S3922)),"Iran",
ISNUMBER(SEARCH("Congo DR",S3922)),"Democratic Republic of the Congo",
ISNUMBER(SEARCH("DR Congo",S3922)),"Democratic Republic of the Congo",
ISNUMBER(SEARCH("German DR",S3922)),"DR Germany",
ISNUMBER(SEARCH("rn""&gt;United Arab Emirates",S3922)),"United Arab Emirates",
ISNUMBER(SEARCH("rn""&gt;Republic of Ireland",S3922)),"Ireland",
ISNUMBER(SEARCH("rn""&gt;Bosnia and Herzegovina",S3922)),"Bosnia and Herzegovina",
ISNUMBER(SEARCH("rn""&gt;Trinidad and Tobago",S3922)),"Trinidad and Tobago",
ISNUMBER(SEARCH("rn""&gt;Serbia and Montenegro",S3922)),"Serbia and Montenegro",
ISNUMBER(SEARCH(_xlfn.UNICHAR(65533),S3922)),"Côte d'Ivoire",
TRUE,""
)</f>
        <v/>
      </c>
      <c r="W3922" s="40" t="str">
        <f t="shared" si="258"/>
        <v>Sweden</v>
      </c>
    </row>
    <row r="3923" spans="19:23">
      <c r="S3923" s="40" t="str">
        <v>Mexico</v>
      </c>
      <c r="T3923" s="40" t="str">
        <f t="shared" si="256"/>
        <v>OK</v>
      </c>
      <c r="U3923" s="40" t="str">
        <f t="shared" si="257"/>
        <v>-</v>
      </c>
      <c r="V3923" s="40" t="str" cm="1">
        <f t="array" ref="V3923">_xlfn.IFS(
ISNUMBER(SEARCH("USA",S3923)),"United States",
ISNUMBER(SEARCH("Republic of Ireland",S3923)),"Ireland",
ISNUMBER(SEARCH("Republic of Korea",S3923)),"South Korea",
ISNUMBER(SEARCH("Cape Verde",S3923)),"Cabo Verde",
ISNUMBER(SEARCH("Czechia",S3923)),"Czech Republic",
ISNUMBER(SEARCH("Türkiye",S3923)),"Turkey",
ISNUMBER(SEARCH("Ivory Coast",S3923)),"Côte d'Ivoire",
ISNUMBER(SEARCH("Korea Republic",S3923)),"South Korea",
ISNUMBER(SEARCH("Germany FR",S3923)),"FR Germany",
ISNUMBER(SEARCH("West Germany",S3923)),"FR Germany",
ISNUMBER(SEARCH("Germany DR",S3923)),"DR Germany",
ISNUMBER(SEARCH("Korea DPR",S3923)),"North Korea",
ISNUMBER(SEARCH("China PR",S3923)),"China",
ISNUMBER(SEARCH("IR Iran",S3923)),"Iran",
ISNUMBER(SEARCH("Congo DR",S3923)),"Democratic Republic of the Congo",
ISNUMBER(SEARCH("DR Congo",S3923)),"Democratic Republic of the Congo",
ISNUMBER(SEARCH("German DR",S3923)),"DR Germany",
ISNUMBER(SEARCH("rn""&gt;United Arab Emirates",S3923)),"United Arab Emirates",
ISNUMBER(SEARCH("rn""&gt;Republic of Ireland",S3923)),"Ireland",
ISNUMBER(SEARCH("rn""&gt;Bosnia and Herzegovina",S3923)),"Bosnia and Herzegovina",
ISNUMBER(SEARCH("rn""&gt;Trinidad and Tobago",S3923)),"Trinidad and Tobago",
ISNUMBER(SEARCH("rn""&gt;Serbia and Montenegro",S3923)),"Serbia and Montenegro",
ISNUMBER(SEARCH(_xlfn.UNICHAR(65533),S3923)),"Côte d'Ivoire",
TRUE,""
)</f>
        <v/>
      </c>
      <c r="W3923" s="40" t="str">
        <f t="shared" si="258"/>
        <v>Mexico</v>
      </c>
    </row>
    <row r="3924" spans="19:23">
      <c r="S3924" s="40" t="str">
        <v>Cameroon</v>
      </c>
      <c r="T3924" s="40" t="str">
        <f t="shared" si="256"/>
        <v>OK</v>
      </c>
      <c r="U3924" s="40" t="str">
        <f t="shared" si="257"/>
        <v>-</v>
      </c>
      <c r="V3924" s="40" t="str" cm="1">
        <f t="array" ref="V3924">_xlfn.IFS(
ISNUMBER(SEARCH("USA",S3924)),"United States",
ISNUMBER(SEARCH("Republic of Ireland",S3924)),"Ireland",
ISNUMBER(SEARCH("Republic of Korea",S3924)),"South Korea",
ISNUMBER(SEARCH("Cape Verde",S3924)),"Cabo Verde",
ISNUMBER(SEARCH("Czechia",S3924)),"Czech Republic",
ISNUMBER(SEARCH("Türkiye",S3924)),"Turkey",
ISNUMBER(SEARCH("Ivory Coast",S3924)),"Côte d'Ivoire",
ISNUMBER(SEARCH("Korea Republic",S3924)),"South Korea",
ISNUMBER(SEARCH("Germany FR",S3924)),"FR Germany",
ISNUMBER(SEARCH("West Germany",S3924)),"FR Germany",
ISNUMBER(SEARCH("Germany DR",S3924)),"DR Germany",
ISNUMBER(SEARCH("Korea DPR",S3924)),"North Korea",
ISNUMBER(SEARCH("China PR",S3924)),"China",
ISNUMBER(SEARCH("IR Iran",S3924)),"Iran",
ISNUMBER(SEARCH("Congo DR",S3924)),"Democratic Republic of the Congo",
ISNUMBER(SEARCH("DR Congo",S3924)),"Democratic Republic of the Congo",
ISNUMBER(SEARCH("German DR",S3924)),"DR Germany",
ISNUMBER(SEARCH("rn""&gt;United Arab Emirates",S3924)),"United Arab Emirates",
ISNUMBER(SEARCH("rn""&gt;Republic of Ireland",S3924)),"Ireland",
ISNUMBER(SEARCH("rn""&gt;Bosnia and Herzegovina",S3924)),"Bosnia and Herzegovina",
ISNUMBER(SEARCH("rn""&gt;Trinidad and Tobago",S3924)),"Trinidad and Tobago",
ISNUMBER(SEARCH("rn""&gt;Serbia and Montenegro",S3924)),"Serbia and Montenegro",
ISNUMBER(SEARCH(_xlfn.UNICHAR(65533),S3924)),"Côte d'Ivoire",
TRUE,""
)</f>
        <v/>
      </c>
      <c r="W3924" s="40" t="str">
        <f t="shared" si="258"/>
        <v>Cameroon</v>
      </c>
    </row>
    <row r="3925" spans="19:23">
      <c r="S3925" s="40" t="str">
        <v>Netherlands</v>
      </c>
      <c r="T3925" s="40" t="str">
        <f t="shared" si="256"/>
        <v>OK</v>
      </c>
      <c r="U3925" s="40" t="str">
        <f t="shared" si="257"/>
        <v>-</v>
      </c>
      <c r="V3925" s="40" t="str" cm="1">
        <f t="array" ref="V3925">_xlfn.IFS(
ISNUMBER(SEARCH("USA",S3925)),"United States",
ISNUMBER(SEARCH("Republic of Ireland",S3925)),"Ireland",
ISNUMBER(SEARCH("Republic of Korea",S3925)),"South Korea",
ISNUMBER(SEARCH("Cape Verde",S3925)),"Cabo Verde",
ISNUMBER(SEARCH("Czechia",S3925)),"Czech Republic",
ISNUMBER(SEARCH("Türkiye",S3925)),"Turkey",
ISNUMBER(SEARCH("Ivory Coast",S3925)),"Côte d'Ivoire",
ISNUMBER(SEARCH("Korea Republic",S3925)),"South Korea",
ISNUMBER(SEARCH("Germany FR",S3925)),"FR Germany",
ISNUMBER(SEARCH("West Germany",S3925)),"FR Germany",
ISNUMBER(SEARCH("Germany DR",S3925)),"DR Germany",
ISNUMBER(SEARCH("Korea DPR",S3925)),"North Korea",
ISNUMBER(SEARCH("China PR",S3925)),"China",
ISNUMBER(SEARCH("IR Iran",S3925)),"Iran",
ISNUMBER(SEARCH("Congo DR",S3925)),"Democratic Republic of the Congo",
ISNUMBER(SEARCH("DR Congo",S3925)),"Democratic Republic of the Congo",
ISNUMBER(SEARCH("German DR",S3925)),"DR Germany",
ISNUMBER(SEARCH("rn""&gt;United Arab Emirates",S3925)),"United Arab Emirates",
ISNUMBER(SEARCH("rn""&gt;Republic of Ireland",S3925)),"Ireland",
ISNUMBER(SEARCH("rn""&gt;Bosnia and Herzegovina",S3925)),"Bosnia and Herzegovina",
ISNUMBER(SEARCH("rn""&gt;Trinidad and Tobago",S3925)),"Trinidad and Tobago",
ISNUMBER(SEARCH("rn""&gt;Serbia and Montenegro",S3925)),"Serbia and Montenegro",
ISNUMBER(SEARCH(_xlfn.UNICHAR(65533),S3925)),"Côte d'Ivoire",
TRUE,""
)</f>
        <v/>
      </c>
      <c r="W3925" s="40" t="str">
        <f t="shared" si="258"/>
        <v>Netherlands</v>
      </c>
    </row>
    <row r="3926" spans="19:23">
      <c r="S3926" s="40" t="str">
        <v>Saudi Arabia</v>
      </c>
      <c r="T3926" s="40" t="str">
        <f t="shared" si="256"/>
        <v>OK</v>
      </c>
      <c r="U3926" s="40" t="str">
        <f t="shared" si="257"/>
        <v>-</v>
      </c>
      <c r="V3926" s="40" t="str" cm="1">
        <f t="array" ref="V3926">_xlfn.IFS(
ISNUMBER(SEARCH("USA",S3926)),"United States",
ISNUMBER(SEARCH("Republic of Ireland",S3926)),"Ireland",
ISNUMBER(SEARCH("Republic of Korea",S3926)),"South Korea",
ISNUMBER(SEARCH("Cape Verde",S3926)),"Cabo Verde",
ISNUMBER(SEARCH("Czechia",S3926)),"Czech Republic",
ISNUMBER(SEARCH("Türkiye",S3926)),"Turkey",
ISNUMBER(SEARCH("Ivory Coast",S3926)),"Côte d'Ivoire",
ISNUMBER(SEARCH("Korea Republic",S3926)),"South Korea",
ISNUMBER(SEARCH("Germany FR",S3926)),"FR Germany",
ISNUMBER(SEARCH("West Germany",S3926)),"FR Germany",
ISNUMBER(SEARCH("Germany DR",S3926)),"DR Germany",
ISNUMBER(SEARCH("Korea DPR",S3926)),"North Korea",
ISNUMBER(SEARCH("China PR",S3926)),"China",
ISNUMBER(SEARCH("IR Iran",S3926)),"Iran",
ISNUMBER(SEARCH("Congo DR",S3926)),"Democratic Republic of the Congo",
ISNUMBER(SEARCH("DR Congo",S3926)),"Democratic Republic of the Congo",
ISNUMBER(SEARCH("German DR",S3926)),"DR Germany",
ISNUMBER(SEARCH("rn""&gt;United Arab Emirates",S3926)),"United Arab Emirates",
ISNUMBER(SEARCH("rn""&gt;Republic of Ireland",S3926)),"Ireland",
ISNUMBER(SEARCH("rn""&gt;Bosnia and Herzegovina",S3926)),"Bosnia and Herzegovina",
ISNUMBER(SEARCH("rn""&gt;Trinidad and Tobago",S3926)),"Trinidad and Tobago",
ISNUMBER(SEARCH("rn""&gt;Serbia and Montenegro",S3926)),"Serbia and Montenegro",
ISNUMBER(SEARCH(_xlfn.UNICHAR(65533),S3926)),"Côte d'Ivoire",
TRUE,""
)</f>
        <v/>
      </c>
      <c r="W3926" s="40" t="str">
        <f t="shared" si="258"/>
        <v>Saudi Arabia</v>
      </c>
    </row>
    <row r="3927" spans="19:23">
      <c r="S3927" s="40" t="str">
        <v>Nigeria</v>
      </c>
      <c r="T3927" s="40" t="str">
        <f t="shared" si="256"/>
        <v>OK</v>
      </c>
      <c r="U3927" s="40" t="str">
        <f t="shared" si="257"/>
        <v>-</v>
      </c>
      <c r="V3927" s="40" t="str" cm="1">
        <f t="array" ref="V3927">_xlfn.IFS(
ISNUMBER(SEARCH("USA",S3927)),"United States",
ISNUMBER(SEARCH("Republic of Ireland",S3927)),"Ireland",
ISNUMBER(SEARCH("Republic of Korea",S3927)),"South Korea",
ISNUMBER(SEARCH("Cape Verde",S3927)),"Cabo Verde",
ISNUMBER(SEARCH("Czechia",S3927)),"Czech Republic",
ISNUMBER(SEARCH("Türkiye",S3927)),"Turkey",
ISNUMBER(SEARCH("Ivory Coast",S3927)),"Côte d'Ivoire",
ISNUMBER(SEARCH("Korea Republic",S3927)),"South Korea",
ISNUMBER(SEARCH("Germany FR",S3927)),"FR Germany",
ISNUMBER(SEARCH("West Germany",S3927)),"FR Germany",
ISNUMBER(SEARCH("Germany DR",S3927)),"DR Germany",
ISNUMBER(SEARCH("Korea DPR",S3927)),"North Korea",
ISNUMBER(SEARCH("China PR",S3927)),"China",
ISNUMBER(SEARCH("IR Iran",S3927)),"Iran",
ISNUMBER(SEARCH("Congo DR",S3927)),"Democratic Republic of the Congo",
ISNUMBER(SEARCH("DR Congo",S3927)),"Democratic Republic of the Congo",
ISNUMBER(SEARCH("German DR",S3927)),"DR Germany",
ISNUMBER(SEARCH("rn""&gt;United Arab Emirates",S3927)),"United Arab Emirates",
ISNUMBER(SEARCH("rn""&gt;Republic of Ireland",S3927)),"Ireland",
ISNUMBER(SEARCH("rn""&gt;Bosnia and Herzegovina",S3927)),"Bosnia and Herzegovina",
ISNUMBER(SEARCH("rn""&gt;Trinidad and Tobago",S3927)),"Trinidad and Tobago",
ISNUMBER(SEARCH("rn""&gt;Serbia and Montenegro",S3927)),"Serbia and Montenegro",
ISNUMBER(SEARCH(_xlfn.UNICHAR(65533),S3927)),"Côte d'Ivoire",
TRUE,""
)</f>
        <v/>
      </c>
      <c r="W3927" s="40" t="str">
        <f t="shared" si="258"/>
        <v>Nigeria</v>
      </c>
    </row>
    <row r="3928" spans="19:23">
      <c r="S3928" s="40" t="str">
        <v>Bulgaria</v>
      </c>
      <c r="T3928" s="40" t="str">
        <f t="shared" si="256"/>
        <v>OK</v>
      </c>
      <c r="U3928" s="40" t="str">
        <f t="shared" si="257"/>
        <v>-</v>
      </c>
      <c r="V3928" s="40" t="str" cm="1">
        <f t="array" ref="V3928">_xlfn.IFS(
ISNUMBER(SEARCH("USA",S3928)),"United States",
ISNUMBER(SEARCH("Republic of Ireland",S3928)),"Ireland",
ISNUMBER(SEARCH("Republic of Korea",S3928)),"South Korea",
ISNUMBER(SEARCH("Cape Verde",S3928)),"Cabo Verde",
ISNUMBER(SEARCH("Czechia",S3928)),"Czech Republic",
ISNUMBER(SEARCH("Türkiye",S3928)),"Turkey",
ISNUMBER(SEARCH("Ivory Coast",S3928)),"Côte d'Ivoire",
ISNUMBER(SEARCH("Korea Republic",S3928)),"South Korea",
ISNUMBER(SEARCH("Germany FR",S3928)),"FR Germany",
ISNUMBER(SEARCH("West Germany",S3928)),"FR Germany",
ISNUMBER(SEARCH("Germany DR",S3928)),"DR Germany",
ISNUMBER(SEARCH("Korea DPR",S3928)),"North Korea",
ISNUMBER(SEARCH("China PR",S3928)),"China",
ISNUMBER(SEARCH("IR Iran",S3928)),"Iran",
ISNUMBER(SEARCH("Congo DR",S3928)),"Democratic Republic of the Congo",
ISNUMBER(SEARCH("DR Congo",S3928)),"Democratic Republic of the Congo",
ISNUMBER(SEARCH("German DR",S3928)),"DR Germany",
ISNUMBER(SEARCH("rn""&gt;United Arab Emirates",S3928)),"United Arab Emirates",
ISNUMBER(SEARCH("rn""&gt;Republic of Ireland",S3928)),"Ireland",
ISNUMBER(SEARCH("rn""&gt;Bosnia and Herzegovina",S3928)),"Bosnia and Herzegovina",
ISNUMBER(SEARCH("rn""&gt;Trinidad and Tobago",S3928)),"Trinidad and Tobago",
ISNUMBER(SEARCH("rn""&gt;Serbia and Montenegro",S3928)),"Serbia and Montenegro",
ISNUMBER(SEARCH(_xlfn.UNICHAR(65533),S3928)),"Côte d'Ivoire",
TRUE,""
)</f>
        <v/>
      </c>
      <c r="W3928" s="40" t="str">
        <f t="shared" si="258"/>
        <v>Bulgaria</v>
      </c>
    </row>
    <row r="3929" spans="19:23">
      <c r="S3929" s="40" t="str">
        <v>Belgium</v>
      </c>
      <c r="T3929" s="40" t="str">
        <f t="shared" si="256"/>
        <v>OK</v>
      </c>
      <c r="U3929" s="40" t="str">
        <f t="shared" si="257"/>
        <v>-</v>
      </c>
      <c r="V3929" s="40" t="str" cm="1">
        <f t="array" ref="V3929">_xlfn.IFS(
ISNUMBER(SEARCH("USA",S3929)),"United States",
ISNUMBER(SEARCH("Republic of Ireland",S3929)),"Ireland",
ISNUMBER(SEARCH("Republic of Korea",S3929)),"South Korea",
ISNUMBER(SEARCH("Cape Verde",S3929)),"Cabo Verde",
ISNUMBER(SEARCH("Czechia",S3929)),"Czech Republic",
ISNUMBER(SEARCH("Türkiye",S3929)),"Turkey",
ISNUMBER(SEARCH("Ivory Coast",S3929)),"Côte d'Ivoire",
ISNUMBER(SEARCH("Korea Republic",S3929)),"South Korea",
ISNUMBER(SEARCH("Germany FR",S3929)),"FR Germany",
ISNUMBER(SEARCH("West Germany",S3929)),"FR Germany",
ISNUMBER(SEARCH("Germany DR",S3929)),"DR Germany",
ISNUMBER(SEARCH("Korea DPR",S3929)),"North Korea",
ISNUMBER(SEARCH("China PR",S3929)),"China",
ISNUMBER(SEARCH("IR Iran",S3929)),"Iran",
ISNUMBER(SEARCH("Congo DR",S3929)),"Democratic Republic of the Congo",
ISNUMBER(SEARCH("DR Congo",S3929)),"Democratic Republic of the Congo",
ISNUMBER(SEARCH("German DR",S3929)),"DR Germany",
ISNUMBER(SEARCH("rn""&gt;United Arab Emirates",S3929)),"United Arab Emirates",
ISNUMBER(SEARCH("rn""&gt;Republic of Ireland",S3929)),"Ireland",
ISNUMBER(SEARCH("rn""&gt;Bosnia and Herzegovina",S3929)),"Bosnia and Herzegovina",
ISNUMBER(SEARCH("rn""&gt;Trinidad and Tobago",S3929)),"Trinidad and Tobago",
ISNUMBER(SEARCH("rn""&gt;Serbia and Montenegro",S3929)),"Serbia and Montenegro",
ISNUMBER(SEARCH(_xlfn.UNICHAR(65533),S3929)),"Côte d'Ivoire",
TRUE,""
)</f>
        <v/>
      </c>
      <c r="W3929" s="40" t="str">
        <f t="shared" si="258"/>
        <v>Belgium</v>
      </c>
    </row>
    <row r="3930" spans="19:23">
      <c r="S3930" s="40" t="str">
        <v>Switzerland</v>
      </c>
      <c r="T3930" s="40" t="str">
        <f t="shared" si="256"/>
        <v>OK</v>
      </c>
      <c r="U3930" s="40" t="str">
        <f t="shared" si="257"/>
        <v>-</v>
      </c>
      <c r="V3930" s="40" t="str" cm="1">
        <f t="array" ref="V3930">_xlfn.IFS(
ISNUMBER(SEARCH("USA",S3930)),"United States",
ISNUMBER(SEARCH("Republic of Ireland",S3930)),"Ireland",
ISNUMBER(SEARCH("Republic of Korea",S3930)),"South Korea",
ISNUMBER(SEARCH("Cape Verde",S3930)),"Cabo Verde",
ISNUMBER(SEARCH("Czechia",S3930)),"Czech Republic",
ISNUMBER(SEARCH("Türkiye",S3930)),"Turkey",
ISNUMBER(SEARCH("Ivory Coast",S3930)),"Côte d'Ivoire",
ISNUMBER(SEARCH("Korea Republic",S3930)),"South Korea",
ISNUMBER(SEARCH("Germany FR",S3930)),"FR Germany",
ISNUMBER(SEARCH("West Germany",S3930)),"FR Germany",
ISNUMBER(SEARCH("Germany DR",S3930)),"DR Germany",
ISNUMBER(SEARCH("Korea DPR",S3930)),"North Korea",
ISNUMBER(SEARCH("China PR",S3930)),"China",
ISNUMBER(SEARCH("IR Iran",S3930)),"Iran",
ISNUMBER(SEARCH("Congo DR",S3930)),"Democratic Republic of the Congo",
ISNUMBER(SEARCH("DR Congo",S3930)),"Democratic Republic of the Congo",
ISNUMBER(SEARCH("German DR",S3930)),"DR Germany",
ISNUMBER(SEARCH("rn""&gt;United Arab Emirates",S3930)),"United Arab Emirates",
ISNUMBER(SEARCH("rn""&gt;Republic of Ireland",S3930)),"Ireland",
ISNUMBER(SEARCH("rn""&gt;Bosnia and Herzegovina",S3930)),"Bosnia and Herzegovina",
ISNUMBER(SEARCH("rn""&gt;Trinidad and Tobago",S3930)),"Trinidad and Tobago",
ISNUMBER(SEARCH("rn""&gt;Serbia and Montenegro",S3930)),"Serbia and Montenegro",
ISNUMBER(SEARCH(_xlfn.UNICHAR(65533),S3930)),"Côte d'Ivoire",
TRUE,""
)</f>
        <v/>
      </c>
      <c r="W3930" s="40" t="str">
        <f t="shared" si="258"/>
        <v>Switzerland</v>
      </c>
    </row>
    <row r="3931" spans="19:23">
      <c r="S3931" s="40" t="str">
        <v>Sweden</v>
      </c>
      <c r="T3931" s="40" t="str">
        <f t="shared" si="256"/>
        <v>OK</v>
      </c>
      <c r="U3931" s="40" t="str">
        <f t="shared" si="257"/>
        <v>-</v>
      </c>
      <c r="V3931" s="40" t="str" cm="1">
        <f t="array" ref="V3931">_xlfn.IFS(
ISNUMBER(SEARCH("USA",S3931)),"United States",
ISNUMBER(SEARCH("Republic of Ireland",S3931)),"Ireland",
ISNUMBER(SEARCH("Republic of Korea",S3931)),"South Korea",
ISNUMBER(SEARCH("Cape Verde",S3931)),"Cabo Verde",
ISNUMBER(SEARCH("Czechia",S3931)),"Czech Republic",
ISNUMBER(SEARCH("Türkiye",S3931)),"Turkey",
ISNUMBER(SEARCH("Ivory Coast",S3931)),"Côte d'Ivoire",
ISNUMBER(SEARCH("Korea Republic",S3931)),"South Korea",
ISNUMBER(SEARCH("Germany FR",S3931)),"FR Germany",
ISNUMBER(SEARCH("West Germany",S3931)),"FR Germany",
ISNUMBER(SEARCH("Germany DR",S3931)),"DR Germany",
ISNUMBER(SEARCH("Korea DPR",S3931)),"North Korea",
ISNUMBER(SEARCH("China PR",S3931)),"China",
ISNUMBER(SEARCH("IR Iran",S3931)),"Iran",
ISNUMBER(SEARCH("Congo DR",S3931)),"Democratic Republic of the Congo",
ISNUMBER(SEARCH("DR Congo",S3931)),"Democratic Republic of the Congo",
ISNUMBER(SEARCH("German DR",S3931)),"DR Germany",
ISNUMBER(SEARCH("rn""&gt;United Arab Emirates",S3931)),"United Arab Emirates",
ISNUMBER(SEARCH("rn""&gt;Republic of Ireland",S3931)),"Ireland",
ISNUMBER(SEARCH("rn""&gt;Bosnia and Herzegovina",S3931)),"Bosnia and Herzegovina",
ISNUMBER(SEARCH("rn""&gt;Trinidad and Tobago",S3931)),"Trinidad and Tobago",
ISNUMBER(SEARCH("rn""&gt;Serbia and Montenegro",S3931)),"Serbia and Montenegro",
ISNUMBER(SEARCH(_xlfn.UNICHAR(65533),S3931)),"Côte d'Ivoire",
TRUE,""
)</f>
        <v/>
      </c>
      <c r="W3931" s="40" t="str">
        <f t="shared" si="258"/>
        <v>Sweden</v>
      </c>
    </row>
    <row r="3932" spans="19:23">
      <c r="S3932" s="40" t="str">
        <v>Argentina</v>
      </c>
      <c r="T3932" s="40" t="str">
        <f t="shared" si="256"/>
        <v>OK</v>
      </c>
      <c r="U3932" s="40" t="str">
        <f t="shared" si="257"/>
        <v>-</v>
      </c>
      <c r="V3932" s="40" t="str" cm="1">
        <f t="array" ref="V3932">_xlfn.IFS(
ISNUMBER(SEARCH("USA",S3932)),"United States",
ISNUMBER(SEARCH("Republic of Ireland",S3932)),"Ireland",
ISNUMBER(SEARCH("Republic of Korea",S3932)),"South Korea",
ISNUMBER(SEARCH("Cape Verde",S3932)),"Cabo Verde",
ISNUMBER(SEARCH("Czechia",S3932)),"Czech Republic",
ISNUMBER(SEARCH("Türkiye",S3932)),"Turkey",
ISNUMBER(SEARCH("Ivory Coast",S3932)),"Côte d'Ivoire",
ISNUMBER(SEARCH("Korea Republic",S3932)),"South Korea",
ISNUMBER(SEARCH("Germany FR",S3932)),"FR Germany",
ISNUMBER(SEARCH("West Germany",S3932)),"FR Germany",
ISNUMBER(SEARCH("Germany DR",S3932)),"DR Germany",
ISNUMBER(SEARCH("Korea DPR",S3932)),"North Korea",
ISNUMBER(SEARCH("China PR",S3932)),"China",
ISNUMBER(SEARCH("IR Iran",S3932)),"Iran",
ISNUMBER(SEARCH("Congo DR",S3932)),"Democratic Republic of the Congo",
ISNUMBER(SEARCH("DR Congo",S3932)),"Democratic Republic of the Congo",
ISNUMBER(SEARCH("German DR",S3932)),"DR Germany",
ISNUMBER(SEARCH("rn""&gt;United Arab Emirates",S3932)),"United Arab Emirates",
ISNUMBER(SEARCH("rn""&gt;Republic of Ireland",S3932)),"Ireland",
ISNUMBER(SEARCH("rn""&gt;Bosnia and Herzegovina",S3932)),"Bosnia and Herzegovina",
ISNUMBER(SEARCH("rn""&gt;Trinidad and Tobago",S3932)),"Trinidad and Tobago",
ISNUMBER(SEARCH("rn""&gt;Serbia and Montenegro",S3932)),"Serbia and Montenegro",
ISNUMBER(SEARCH(_xlfn.UNICHAR(65533),S3932)),"Côte d'Ivoire",
TRUE,""
)</f>
        <v/>
      </c>
      <c r="W3932" s="40" t="str">
        <f t="shared" si="258"/>
        <v>Argentina</v>
      </c>
    </row>
    <row r="3933" spans="19:23">
      <c r="S3933" s="40" t="str">
        <v>rn"&gt;Republic of Ireland</v>
      </c>
      <c r="T3933" s="40" t="str">
        <f t="shared" si="256"/>
        <v>ERREUR</v>
      </c>
      <c r="U3933" s="40" t="str">
        <f t="shared" si="257"/>
        <v>RENOMMER</v>
      </c>
      <c r="V3933" s="40" t="str" cm="1">
        <f t="array" ref="V3933">_xlfn.IFS(
ISNUMBER(SEARCH("USA",S3933)),"United States",
ISNUMBER(SEARCH("Republic of Ireland",S3933)),"Ireland",
ISNUMBER(SEARCH("Republic of Korea",S3933)),"South Korea",
ISNUMBER(SEARCH("Cape Verde",S3933)),"Cabo Verde",
ISNUMBER(SEARCH("Czechia",S3933)),"Czech Republic",
ISNUMBER(SEARCH("Türkiye",S3933)),"Turkey",
ISNUMBER(SEARCH("Ivory Coast",S3933)),"Côte d'Ivoire",
ISNUMBER(SEARCH("Korea Republic",S3933)),"South Korea",
ISNUMBER(SEARCH("Germany FR",S3933)),"FR Germany",
ISNUMBER(SEARCH("West Germany",S3933)),"FR Germany",
ISNUMBER(SEARCH("Germany DR",S3933)),"DR Germany",
ISNUMBER(SEARCH("Korea DPR",S3933)),"North Korea",
ISNUMBER(SEARCH("China PR",S3933)),"China",
ISNUMBER(SEARCH("IR Iran",S3933)),"Iran",
ISNUMBER(SEARCH("Congo DR",S3933)),"Democratic Republic of the Congo",
ISNUMBER(SEARCH("DR Congo",S3933)),"Democratic Republic of the Congo",
ISNUMBER(SEARCH("German DR",S3933)),"DR Germany",
ISNUMBER(SEARCH("rn""&gt;United Arab Emirates",S3933)),"United Arab Emirates",
ISNUMBER(SEARCH("rn""&gt;Republic of Ireland",S3933)),"Ireland",
ISNUMBER(SEARCH("rn""&gt;Bosnia and Herzegovina",S3933)),"Bosnia and Herzegovina",
ISNUMBER(SEARCH("rn""&gt;Trinidad and Tobago",S3933)),"Trinidad and Tobago",
ISNUMBER(SEARCH("rn""&gt;Serbia and Montenegro",S3933)),"Serbia and Montenegro",
ISNUMBER(SEARCH(_xlfn.UNICHAR(65533),S3933)),"Côte d'Ivoire",
TRUE,""
)</f>
        <v>Ireland</v>
      </c>
      <c r="W3933" s="40" t="str">
        <f t="shared" si="258"/>
        <v>Ireland</v>
      </c>
    </row>
    <row r="3934" spans="19:23">
      <c r="S3934" s="40" t="str">
        <v>USA</v>
      </c>
      <c r="T3934" s="40" t="str">
        <f t="shared" si="256"/>
        <v>ERREUR</v>
      </c>
      <c r="U3934" s="40" t="str">
        <f t="shared" si="257"/>
        <v>RENOMMER</v>
      </c>
      <c r="V3934" s="40" t="str" cm="1">
        <f t="array" ref="V3934">_xlfn.IFS(
ISNUMBER(SEARCH("USA",S3934)),"United States",
ISNUMBER(SEARCH("Republic of Ireland",S3934)),"Ireland",
ISNUMBER(SEARCH("Republic of Korea",S3934)),"South Korea",
ISNUMBER(SEARCH("Cape Verde",S3934)),"Cabo Verde",
ISNUMBER(SEARCH("Czechia",S3934)),"Czech Republic",
ISNUMBER(SEARCH("Türkiye",S3934)),"Turkey",
ISNUMBER(SEARCH("Ivory Coast",S3934)),"Côte d'Ivoire",
ISNUMBER(SEARCH("Korea Republic",S3934)),"South Korea",
ISNUMBER(SEARCH("Germany FR",S3934)),"FR Germany",
ISNUMBER(SEARCH("West Germany",S3934)),"FR Germany",
ISNUMBER(SEARCH("Germany DR",S3934)),"DR Germany",
ISNUMBER(SEARCH("Korea DPR",S3934)),"North Korea",
ISNUMBER(SEARCH("China PR",S3934)),"China",
ISNUMBER(SEARCH("IR Iran",S3934)),"Iran",
ISNUMBER(SEARCH("Congo DR",S3934)),"Democratic Republic of the Congo",
ISNUMBER(SEARCH("DR Congo",S3934)),"Democratic Republic of the Congo",
ISNUMBER(SEARCH("German DR",S3934)),"DR Germany",
ISNUMBER(SEARCH("rn""&gt;United Arab Emirates",S3934)),"United Arab Emirates",
ISNUMBER(SEARCH("rn""&gt;Republic of Ireland",S3934)),"Ireland",
ISNUMBER(SEARCH("rn""&gt;Bosnia and Herzegovina",S3934)),"Bosnia and Herzegovina",
ISNUMBER(SEARCH("rn""&gt;Trinidad and Tobago",S3934)),"Trinidad and Tobago",
ISNUMBER(SEARCH("rn""&gt;Serbia and Montenegro",S3934)),"Serbia and Montenegro",
ISNUMBER(SEARCH(_xlfn.UNICHAR(65533),S3934)),"Côte d'Ivoire",
TRUE,""
)</f>
        <v>United States</v>
      </c>
      <c r="W3934" s="40" t="str">
        <f t="shared" si="258"/>
        <v>United States</v>
      </c>
    </row>
    <row r="3935" spans="19:23">
      <c r="S3935" s="40" t="str">
        <v>Italy</v>
      </c>
      <c r="T3935" s="40" t="str">
        <f t="shared" si="256"/>
        <v>OK</v>
      </c>
      <c r="U3935" s="40" t="str">
        <f t="shared" si="257"/>
        <v>-</v>
      </c>
      <c r="V3935" s="40" t="str" cm="1">
        <f t="array" ref="V3935">_xlfn.IFS(
ISNUMBER(SEARCH("USA",S3935)),"United States",
ISNUMBER(SEARCH("Republic of Ireland",S3935)),"Ireland",
ISNUMBER(SEARCH("Republic of Korea",S3935)),"South Korea",
ISNUMBER(SEARCH("Cape Verde",S3935)),"Cabo Verde",
ISNUMBER(SEARCH("Czechia",S3935)),"Czech Republic",
ISNUMBER(SEARCH("Türkiye",S3935)),"Turkey",
ISNUMBER(SEARCH("Ivory Coast",S3935)),"Côte d'Ivoire",
ISNUMBER(SEARCH("Korea Republic",S3935)),"South Korea",
ISNUMBER(SEARCH("Germany FR",S3935)),"FR Germany",
ISNUMBER(SEARCH("West Germany",S3935)),"FR Germany",
ISNUMBER(SEARCH("Germany DR",S3935)),"DR Germany",
ISNUMBER(SEARCH("Korea DPR",S3935)),"North Korea",
ISNUMBER(SEARCH("China PR",S3935)),"China",
ISNUMBER(SEARCH("IR Iran",S3935)),"Iran",
ISNUMBER(SEARCH("Congo DR",S3935)),"Democratic Republic of the Congo",
ISNUMBER(SEARCH("DR Congo",S3935)),"Democratic Republic of the Congo",
ISNUMBER(SEARCH("German DR",S3935)),"DR Germany",
ISNUMBER(SEARCH("rn""&gt;United Arab Emirates",S3935)),"United Arab Emirates",
ISNUMBER(SEARCH("rn""&gt;Republic of Ireland",S3935)),"Ireland",
ISNUMBER(SEARCH("rn""&gt;Bosnia and Herzegovina",S3935)),"Bosnia and Herzegovina",
ISNUMBER(SEARCH("rn""&gt;Trinidad and Tobago",S3935)),"Trinidad and Tobago",
ISNUMBER(SEARCH("rn""&gt;Serbia and Montenegro",S3935)),"Serbia and Montenegro",
ISNUMBER(SEARCH(_xlfn.UNICHAR(65533),S3935)),"Côte d'Ivoire",
TRUE,""
)</f>
        <v/>
      </c>
      <c r="W3935" s="40" t="str">
        <f t="shared" si="258"/>
        <v>Italy</v>
      </c>
    </row>
    <row r="3936" spans="19:23">
      <c r="S3936" s="40" t="str">
        <v>Bulgaria</v>
      </c>
      <c r="T3936" s="40" t="str">
        <f t="shared" si="256"/>
        <v>OK</v>
      </c>
      <c r="U3936" s="40" t="str">
        <f t="shared" si="257"/>
        <v>-</v>
      </c>
      <c r="V3936" s="40" t="str" cm="1">
        <f t="array" ref="V3936">_xlfn.IFS(
ISNUMBER(SEARCH("USA",S3936)),"United States",
ISNUMBER(SEARCH("Republic of Ireland",S3936)),"Ireland",
ISNUMBER(SEARCH("Republic of Korea",S3936)),"South Korea",
ISNUMBER(SEARCH("Cape Verde",S3936)),"Cabo Verde",
ISNUMBER(SEARCH("Czechia",S3936)),"Czech Republic",
ISNUMBER(SEARCH("Türkiye",S3936)),"Turkey",
ISNUMBER(SEARCH("Ivory Coast",S3936)),"Côte d'Ivoire",
ISNUMBER(SEARCH("Korea Republic",S3936)),"South Korea",
ISNUMBER(SEARCH("Germany FR",S3936)),"FR Germany",
ISNUMBER(SEARCH("West Germany",S3936)),"FR Germany",
ISNUMBER(SEARCH("Germany DR",S3936)),"DR Germany",
ISNUMBER(SEARCH("Korea DPR",S3936)),"North Korea",
ISNUMBER(SEARCH("China PR",S3936)),"China",
ISNUMBER(SEARCH("IR Iran",S3936)),"Iran",
ISNUMBER(SEARCH("Congo DR",S3936)),"Democratic Republic of the Congo",
ISNUMBER(SEARCH("DR Congo",S3936)),"Democratic Republic of the Congo",
ISNUMBER(SEARCH("German DR",S3936)),"DR Germany",
ISNUMBER(SEARCH("rn""&gt;United Arab Emirates",S3936)),"United Arab Emirates",
ISNUMBER(SEARCH("rn""&gt;Republic of Ireland",S3936)),"Ireland",
ISNUMBER(SEARCH("rn""&gt;Bosnia and Herzegovina",S3936)),"Bosnia and Herzegovina",
ISNUMBER(SEARCH("rn""&gt;Trinidad and Tobago",S3936)),"Trinidad and Tobago",
ISNUMBER(SEARCH("rn""&gt;Serbia and Montenegro",S3936)),"Serbia and Montenegro",
ISNUMBER(SEARCH(_xlfn.UNICHAR(65533),S3936)),"Côte d'Ivoire",
TRUE,""
)</f>
        <v/>
      </c>
      <c r="W3936" s="40" t="str">
        <f t="shared" si="258"/>
        <v>Bulgaria</v>
      </c>
    </row>
    <row r="3937" spans="19:23">
      <c r="S3937" s="40" t="str">
        <v>Spain</v>
      </c>
      <c r="T3937" s="40" t="str">
        <f t="shared" si="256"/>
        <v>OK</v>
      </c>
      <c r="U3937" s="40" t="str">
        <f t="shared" si="257"/>
        <v>-</v>
      </c>
      <c r="V3937" s="40" t="str" cm="1">
        <f t="array" ref="V3937">_xlfn.IFS(
ISNUMBER(SEARCH("USA",S3937)),"United States",
ISNUMBER(SEARCH("Republic of Ireland",S3937)),"Ireland",
ISNUMBER(SEARCH("Republic of Korea",S3937)),"South Korea",
ISNUMBER(SEARCH("Cape Verde",S3937)),"Cabo Verde",
ISNUMBER(SEARCH("Czechia",S3937)),"Czech Republic",
ISNUMBER(SEARCH("Türkiye",S3937)),"Turkey",
ISNUMBER(SEARCH("Ivory Coast",S3937)),"Côte d'Ivoire",
ISNUMBER(SEARCH("Korea Republic",S3937)),"South Korea",
ISNUMBER(SEARCH("Germany FR",S3937)),"FR Germany",
ISNUMBER(SEARCH("West Germany",S3937)),"FR Germany",
ISNUMBER(SEARCH("Germany DR",S3937)),"DR Germany",
ISNUMBER(SEARCH("Korea DPR",S3937)),"North Korea",
ISNUMBER(SEARCH("China PR",S3937)),"China",
ISNUMBER(SEARCH("IR Iran",S3937)),"Iran",
ISNUMBER(SEARCH("Congo DR",S3937)),"Democratic Republic of the Congo",
ISNUMBER(SEARCH("DR Congo",S3937)),"Democratic Republic of the Congo",
ISNUMBER(SEARCH("German DR",S3937)),"DR Germany",
ISNUMBER(SEARCH("rn""&gt;United Arab Emirates",S3937)),"United Arab Emirates",
ISNUMBER(SEARCH("rn""&gt;Republic of Ireland",S3937)),"Ireland",
ISNUMBER(SEARCH("rn""&gt;Bosnia and Herzegovina",S3937)),"Bosnia and Herzegovina",
ISNUMBER(SEARCH("rn""&gt;Trinidad and Tobago",S3937)),"Trinidad and Tobago",
ISNUMBER(SEARCH("rn""&gt;Serbia and Montenegro",S3937)),"Serbia and Montenegro",
ISNUMBER(SEARCH(_xlfn.UNICHAR(65533),S3937)),"Côte d'Ivoire",
TRUE,""
)</f>
        <v/>
      </c>
      <c r="W3937" s="40" t="str">
        <f t="shared" si="258"/>
        <v>Spain</v>
      </c>
    </row>
    <row r="3938" spans="19:23">
      <c r="S3938" s="40" t="str">
        <v>Brazil</v>
      </c>
      <c r="T3938" s="40" t="str">
        <f t="shared" si="256"/>
        <v>OK</v>
      </c>
      <c r="U3938" s="40" t="str">
        <f t="shared" si="257"/>
        <v>-</v>
      </c>
      <c r="V3938" s="40" t="str" cm="1">
        <f t="array" ref="V3938">_xlfn.IFS(
ISNUMBER(SEARCH("USA",S3938)),"United States",
ISNUMBER(SEARCH("Republic of Ireland",S3938)),"Ireland",
ISNUMBER(SEARCH("Republic of Korea",S3938)),"South Korea",
ISNUMBER(SEARCH("Cape Verde",S3938)),"Cabo Verde",
ISNUMBER(SEARCH("Czechia",S3938)),"Czech Republic",
ISNUMBER(SEARCH("Türkiye",S3938)),"Turkey",
ISNUMBER(SEARCH("Ivory Coast",S3938)),"Côte d'Ivoire",
ISNUMBER(SEARCH("Korea Republic",S3938)),"South Korea",
ISNUMBER(SEARCH("Germany FR",S3938)),"FR Germany",
ISNUMBER(SEARCH("West Germany",S3938)),"FR Germany",
ISNUMBER(SEARCH("Germany DR",S3938)),"DR Germany",
ISNUMBER(SEARCH("Korea DPR",S3938)),"North Korea",
ISNUMBER(SEARCH("China PR",S3938)),"China",
ISNUMBER(SEARCH("IR Iran",S3938)),"Iran",
ISNUMBER(SEARCH("Congo DR",S3938)),"Democratic Republic of the Congo",
ISNUMBER(SEARCH("DR Congo",S3938)),"Democratic Republic of the Congo",
ISNUMBER(SEARCH("German DR",S3938)),"DR Germany",
ISNUMBER(SEARCH("rn""&gt;United Arab Emirates",S3938)),"United Arab Emirates",
ISNUMBER(SEARCH("rn""&gt;Republic of Ireland",S3938)),"Ireland",
ISNUMBER(SEARCH("rn""&gt;Bosnia and Herzegovina",S3938)),"Bosnia and Herzegovina",
ISNUMBER(SEARCH("rn""&gt;Trinidad and Tobago",S3938)),"Trinidad and Tobago",
ISNUMBER(SEARCH("rn""&gt;Serbia and Montenegro",S3938)),"Serbia and Montenegro",
ISNUMBER(SEARCH(_xlfn.UNICHAR(65533),S3938)),"Côte d'Ivoire",
TRUE,""
)</f>
        <v/>
      </c>
      <c r="W3938" s="40" t="str">
        <f t="shared" si="258"/>
        <v>Brazil</v>
      </c>
    </row>
    <row r="3939" spans="19:23">
      <c r="S3939" s="40" t="str">
        <v>Germany</v>
      </c>
      <c r="T3939" s="40" t="str">
        <f t="shared" si="256"/>
        <v>OK</v>
      </c>
      <c r="U3939" s="40" t="str">
        <f t="shared" si="257"/>
        <v>-</v>
      </c>
      <c r="V3939" s="40" t="str" cm="1">
        <f t="array" ref="V3939">_xlfn.IFS(
ISNUMBER(SEARCH("USA",S3939)),"United States",
ISNUMBER(SEARCH("Republic of Ireland",S3939)),"Ireland",
ISNUMBER(SEARCH("Republic of Korea",S3939)),"South Korea",
ISNUMBER(SEARCH("Cape Verde",S3939)),"Cabo Verde",
ISNUMBER(SEARCH("Czechia",S3939)),"Czech Republic",
ISNUMBER(SEARCH("Türkiye",S3939)),"Turkey",
ISNUMBER(SEARCH("Ivory Coast",S3939)),"Côte d'Ivoire",
ISNUMBER(SEARCH("Korea Republic",S3939)),"South Korea",
ISNUMBER(SEARCH("Germany FR",S3939)),"FR Germany",
ISNUMBER(SEARCH("West Germany",S3939)),"FR Germany",
ISNUMBER(SEARCH("Germany DR",S3939)),"DR Germany",
ISNUMBER(SEARCH("Korea DPR",S3939)),"North Korea",
ISNUMBER(SEARCH("China PR",S3939)),"China",
ISNUMBER(SEARCH("IR Iran",S3939)),"Iran",
ISNUMBER(SEARCH("Congo DR",S3939)),"Democratic Republic of the Congo",
ISNUMBER(SEARCH("DR Congo",S3939)),"Democratic Republic of the Congo",
ISNUMBER(SEARCH("German DR",S3939)),"DR Germany",
ISNUMBER(SEARCH("rn""&gt;United Arab Emirates",S3939)),"United Arab Emirates",
ISNUMBER(SEARCH("rn""&gt;Republic of Ireland",S3939)),"Ireland",
ISNUMBER(SEARCH("rn""&gt;Bosnia and Herzegovina",S3939)),"Bosnia and Herzegovina",
ISNUMBER(SEARCH("rn""&gt;Trinidad and Tobago",S3939)),"Trinidad and Tobago",
ISNUMBER(SEARCH("rn""&gt;Serbia and Montenegro",S3939)),"Serbia and Montenegro",
ISNUMBER(SEARCH(_xlfn.UNICHAR(65533),S3939)),"Côte d'Ivoire",
TRUE,""
)</f>
        <v/>
      </c>
      <c r="W3939" s="40" t="str">
        <f t="shared" si="258"/>
        <v>Germany</v>
      </c>
    </row>
    <row r="3940" spans="19:23">
      <c r="S3940" s="40" t="str">
        <v>Sweden</v>
      </c>
      <c r="T3940" s="40" t="str">
        <f t="shared" si="256"/>
        <v>OK</v>
      </c>
      <c r="U3940" s="40" t="str">
        <f t="shared" si="257"/>
        <v>-</v>
      </c>
      <c r="V3940" s="40" t="str" cm="1">
        <f t="array" ref="V3940">_xlfn.IFS(
ISNUMBER(SEARCH("USA",S3940)),"United States",
ISNUMBER(SEARCH("Republic of Ireland",S3940)),"Ireland",
ISNUMBER(SEARCH("Republic of Korea",S3940)),"South Korea",
ISNUMBER(SEARCH("Cape Verde",S3940)),"Cabo Verde",
ISNUMBER(SEARCH("Czechia",S3940)),"Czech Republic",
ISNUMBER(SEARCH("Türkiye",S3940)),"Turkey",
ISNUMBER(SEARCH("Ivory Coast",S3940)),"Côte d'Ivoire",
ISNUMBER(SEARCH("Korea Republic",S3940)),"South Korea",
ISNUMBER(SEARCH("Germany FR",S3940)),"FR Germany",
ISNUMBER(SEARCH("West Germany",S3940)),"FR Germany",
ISNUMBER(SEARCH("Germany DR",S3940)),"DR Germany",
ISNUMBER(SEARCH("Korea DPR",S3940)),"North Korea",
ISNUMBER(SEARCH("China PR",S3940)),"China",
ISNUMBER(SEARCH("IR Iran",S3940)),"Iran",
ISNUMBER(SEARCH("Congo DR",S3940)),"Democratic Republic of the Congo",
ISNUMBER(SEARCH("DR Congo",S3940)),"Democratic Republic of the Congo",
ISNUMBER(SEARCH("German DR",S3940)),"DR Germany",
ISNUMBER(SEARCH("rn""&gt;United Arab Emirates",S3940)),"United Arab Emirates",
ISNUMBER(SEARCH("rn""&gt;Republic of Ireland",S3940)),"Ireland",
ISNUMBER(SEARCH("rn""&gt;Bosnia and Herzegovina",S3940)),"Bosnia and Herzegovina",
ISNUMBER(SEARCH("rn""&gt;Trinidad and Tobago",S3940)),"Trinidad and Tobago",
ISNUMBER(SEARCH("rn""&gt;Serbia and Montenegro",S3940)),"Serbia and Montenegro",
ISNUMBER(SEARCH(_xlfn.UNICHAR(65533),S3940)),"Côte d'Ivoire",
TRUE,""
)</f>
        <v/>
      </c>
      <c r="W3940" s="40" t="str">
        <f t="shared" si="258"/>
        <v>Sweden</v>
      </c>
    </row>
    <row r="3941" spans="19:23">
      <c r="S3941" s="40" t="str">
        <v>Italy</v>
      </c>
      <c r="T3941" s="40" t="str">
        <f t="shared" si="256"/>
        <v>OK</v>
      </c>
      <c r="U3941" s="40" t="str">
        <f t="shared" si="257"/>
        <v>-</v>
      </c>
      <c r="V3941" s="40" t="str" cm="1">
        <f t="array" ref="V3941">_xlfn.IFS(
ISNUMBER(SEARCH("USA",S3941)),"United States",
ISNUMBER(SEARCH("Republic of Ireland",S3941)),"Ireland",
ISNUMBER(SEARCH("Republic of Korea",S3941)),"South Korea",
ISNUMBER(SEARCH("Cape Verde",S3941)),"Cabo Verde",
ISNUMBER(SEARCH("Czechia",S3941)),"Czech Republic",
ISNUMBER(SEARCH("Türkiye",S3941)),"Turkey",
ISNUMBER(SEARCH("Ivory Coast",S3941)),"Côte d'Ivoire",
ISNUMBER(SEARCH("Korea Republic",S3941)),"South Korea",
ISNUMBER(SEARCH("Germany FR",S3941)),"FR Germany",
ISNUMBER(SEARCH("West Germany",S3941)),"FR Germany",
ISNUMBER(SEARCH("Germany DR",S3941)),"DR Germany",
ISNUMBER(SEARCH("Korea DPR",S3941)),"North Korea",
ISNUMBER(SEARCH("China PR",S3941)),"China",
ISNUMBER(SEARCH("IR Iran",S3941)),"Iran",
ISNUMBER(SEARCH("Congo DR",S3941)),"Democratic Republic of the Congo",
ISNUMBER(SEARCH("DR Congo",S3941)),"Democratic Republic of the Congo",
ISNUMBER(SEARCH("German DR",S3941)),"DR Germany",
ISNUMBER(SEARCH("rn""&gt;United Arab Emirates",S3941)),"United Arab Emirates",
ISNUMBER(SEARCH("rn""&gt;Republic of Ireland",S3941)),"Ireland",
ISNUMBER(SEARCH("rn""&gt;Bosnia and Herzegovina",S3941)),"Bosnia and Herzegovina",
ISNUMBER(SEARCH("rn""&gt;Trinidad and Tobago",S3941)),"Trinidad and Tobago",
ISNUMBER(SEARCH("rn""&gt;Serbia and Montenegro",S3941)),"Serbia and Montenegro",
ISNUMBER(SEARCH(_xlfn.UNICHAR(65533),S3941)),"Côte d'Ivoire",
TRUE,""
)</f>
        <v/>
      </c>
      <c r="W3941" s="40" t="str">
        <f t="shared" si="258"/>
        <v>Italy</v>
      </c>
    </row>
    <row r="3942" spans="19:23">
      <c r="S3942" s="40" t="str">
        <v>Brazil</v>
      </c>
      <c r="T3942" s="40" t="str">
        <f t="shared" si="256"/>
        <v>OK</v>
      </c>
      <c r="U3942" s="40" t="str">
        <f t="shared" si="257"/>
        <v>-</v>
      </c>
      <c r="V3942" s="40" t="str" cm="1">
        <f t="array" ref="V3942">_xlfn.IFS(
ISNUMBER(SEARCH("USA",S3942)),"United States",
ISNUMBER(SEARCH("Republic of Ireland",S3942)),"Ireland",
ISNUMBER(SEARCH("Republic of Korea",S3942)),"South Korea",
ISNUMBER(SEARCH("Cape Verde",S3942)),"Cabo Verde",
ISNUMBER(SEARCH("Czechia",S3942)),"Czech Republic",
ISNUMBER(SEARCH("Türkiye",S3942)),"Turkey",
ISNUMBER(SEARCH("Ivory Coast",S3942)),"Côte d'Ivoire",
ISNUMBER(SEARCH("Korea Republic",S3942)),"South Korea",
ISNUMBER(SEARCH("Germany FR",S3942)),"FR Germany",
ISNUMBER(SEARCH("West Germany",S3942)),"FR Germany",
ISNUMBER(SEARCH("Germany DR",S3942)),"DR Germany",
ISNUMBER(SEARCH("Korea DPR",S3942)),"North Korea",
ISNUMBER(SEARCH("China PR",S3942)),"China",
ISNUMBER(SEARCH("IR Iran",S3942)),"Iran",
ISNUMBER(SEARCH("Congo DR",S3942)),"Democratic Republic of the Congo",
ISNUMBER(SEARCH("DR Congo",S3942)),"Democratic Republic of the Congo",
ISNUMBER(SEARCH("German DR",S3942)),"DR Germany",
ISNUMBER(SEARCH("rn""&gt;United Arab Emirates",S3942)),"United Arab Emirates",
ISNUMBER(SEARCH("rn""&gt;Republic of Ireland",S3942)),"Ireland",
ISNUMBER(SEARCH("rn""&gt;Bosnia and Herzegovina",S3942)),"Bosnia and Herzegovina",
ISNUMBER(SEARCH("rn""&gt;Trinidad and Tobago",S3942)),"Trinidad and Tobago",
ISNUMBER(SEARCH("rn""&gt;Serbia and Montenegro",S3942)),"Serbia and Montenegro",
ISNUMBER(SEARCH(_xlfn.UNICHAR(65533),S3942)),"Côte d'Ivoire",
TRUE,""
)</f>
        <v/>
      </c>
      <c r="W3942" s="40" t="str">
        <f t="shared" si="258"/>
        <v>Brazil</v>
      </c>
    </row>
    <row r="3943" spans="19:23">
      <c r="S3943" s="40" t="str">
        <v>Bulgaria</v>
      </c>
      <c r="T3943" s="40" t="str">
        <f t="shared" si="256"/>
        <v>OK</v>
      </c>
      <c r="U3943" s="40" t="str">
        <f t="shared" si="257"/>
        <v>-</v>
      </c>
      <c r="V3943" s="40" t="str" cm="1">
        <f t="array" ref="V3943">_xlfn.IFS(
ISNUMBER(SEARCH("USA",S3943)),"United States",
ISNUMBER(SEARCH("Republic of Ireland",S3943)),"Ireland",
ISNUMBER(SEARCH("Republic of Korea",S3943)),"South Korea",
ISNUMBER(SEARCH("Cape Verde",S3943)),"Cabo Verde",
ISNUMBER(SEARCH("Czechia",S3943)),"Czech Republic",
ISNUMBER(SEARCH("Türkiye",S3943)),"Turkey",
ISNUMBER(SEARCH("Ivory Coast",S3943)),"Côte d'Ivoire",
ISNUMBER(SEARCH("Korea Republic",S3943)),"South Korea",
ISNUMBER(SEARCH("Germany FR",S3943)),"FR Germany",
ISNUMBER(SEARCH("West Germany",S3943)),"FR Germany",
ISNUMBER(SEARCH("Germany DR",S3943)),"DR Germany",
ISNUMBER(SEARCH("Korea DPR",S3943)),"North Korea",
ISNUMBER(SEARCH("China PR",S3943)),"China",
ISNUMBER(SEARCH("IR Iran",S3943)),"Iran",
ISNUMBER(SEARCH("Congo DR",S3943)),"Democratic Republic of the Congo",
ISNUMBER(SEARCH("DR Congo",S3943)),"Democratic Republic of the Congo",
ISNUMBER(SEARCH("German DR",S3943)),"DR Germany",
ISNUMBER(SEARCH("rn""&gt;United Arab Emirates",S3943)),"United Arab Emirates",
ISNUMBER(SEARCH("rn""&gt;Republic of Ireland",S3943)),"Ireland",
ISNUMBER(SEARCH("rn""&gt;Bosnia and Herzegovina",S3943)),"Bosnia and Herzegovina",
ISNUMBER(SEARCH("rn""&gt;Trinidad and Tobago",S3943)),"Trinidad and Tobago",
ISNUMBER(SEARCH("rn""&gt;Serbia and Montenegro",S3943)),"Serbia and Montenegro",
ISNUMBER(SEARCH(_xlfn.UNICHAR(65533),S3943)),"Côte d'Ivoire",
TRUE,""
)</f>
        <v/>
      </c>
      <c r="W3943" s="40" t="str">
        <f t="shared" si="258"/>
        <v>Bulgaria</v>
      </c>
    </row>
    <row r="3944" spans="19:23">
      <c r="S3944" s="40" t="str">
        <v>Italy</v>
      </c>
      <c r="T3944" s="40" t="str">
        <f t="shared" si="256"/>
        <v>OK</v>
      </c>
      <c r="U3944" s="40" t="str">
        <f t="shared" si="257"/>
        <v>-</v>
      </c>
      <c r="V3944" s="40" t="str" cm="1">
        <f t="array" ref="V3944">_xlfn.IFS(
ISNUMBER(SEARCH("USA",S3944)),"United States",
ISNUMBER(SEARCH("Republic of Ireland",S3944)),"Ireland",
ISNUMBER(SEARCH("Republic of Korea",S3944)),"South Korea",
ISNUMBER(SEARCH("Cape Verde",S3944)),"Cabo Verde",
ISNUMBER(SEARCH("Czechia",S3944)),"Czech Republic",
ISNUMBER(SEARCH("Türkiye",S3944)),"Turkey",
ISNUMBER(SEARCH("Ivory Coast",S3944)),"Côte d'Ivoire",
ISNUMBER(SEARCH("Korea Republic",S3944)),"South Korea",
ISNUMBER(SEARCH("Germany FR",S3944)),"FR Germany",
ISNUMBER(SEARCH("West Germany",S3944)),"FR Germany",
ISNUMBER(SEARCH("Germany DR",S3944)),"DR Germany",
ISNUMBER(SEARCH("Korea DPR",S3944)),"North Korea",
ISNUMBER(SEARCH("China PR",S3944)),"China",
ISNUMBER(SEARCH("IR Iran",S3944)),"Iran",
ISNUMBER(SEARCH("Congo DR",S3944)),"Democratic Republic of the Congo",
ISNUMBER(SEARCH("DR Congo",S3944)),"Democratic Republic of the Congo",
ISNUMBER(SEARCH("German DR",S3944)),"DR Germany",
ISNUMBER(SEARCH("rn""&gt;United Arab Emirates",S3944)),"United Arab Emirates",
ISNUMBER(SEARCH("rn""&gt;Republic of Ireland",S3944)),"Ireland",
ISNUMBER(SEARCH("rn""&gt;Bosnia and Herzegovina",S3944)),"Bosnia and Herzegovina",
ISNUMBER(SEARCH("rn""&gt;Trinidad and Tobago",S3944)),"Trinidad and Tobago",
ISNUMBER(SEARCH("rn""&gt;Serbia and Montenegro",S3944)),"Serbia and Montenegro",
ISNUMBER(SEARCH(_xlfn.UNICHAR(65533),S3944)),"Côte d'Ivoire",
TRUE,""
)</f>
        <v/>
      </c>
      <c r="W3944" s="40" t="str">
        <f t="shared" si="258"/>
        <v>Italy</v>
      </c>
    </row>
    <row r="3945" spans="19:23">
      <c r="S3945" s="40" t="str">
        <v>Scotland</v>
      </c>
      <c r="T3945" s="40" t="str">
        <f t="shared" si="256"/>
        <v>ERREUR</v>
      </c>
      <c r="U3945" s="40" t="str">
        <f t="shared" si="257"/>
        <v>AUCUNE</v>
      </c>
      <c r="V3945" s="40" t="str" cm="1">
        <f t="array" ref="V3945">_xlfn.IFS(
ISNUMBER(SEARCH("USA",S3945)),"United States",
ISNUMBER(SEARCH("Republic of Ireland",S3945)),"Ireland",
ISNUMBER(SEARCH("Republic of Korea",S3945)),"South Korea",
ISNUMBER(SEARCH("Cape Verde",S3945)),"Cabo Verde",
ISNUMBER(SEARCH("Czechia",S3945)),"Czech Republic",
ISNUMBER(SEARCH("Türkiye",S3945)),"Turkey",
ISNUMBER(SEARCH("Ivory Coast",S3945)),"Côte d'Ivoire",
ISNUMBER(SEARCH("Korea Republic",S3945)),"South Korea",
ISNUMBER(SEARCH("Germany FR",S3945)),"FR Germany",
ISNUMBER(SEARCH("West Germany",S3945)),"FR Germany",
ISNUMBER(SEARCH("Germany DR",S3945)),"DR Germany",
ISNUMBER(SEARCH("Korea DPR",S3945)),"North Korea",
ISNUMBER(SEARCH("China PR",S3945)),"China",
ISNUMBER(SEARCH("IR Iran",S3945)),"Iran",
ISNUMBER(SEARCH("Congo DR",S3945)),"Democratic Republic of the Congo",
ISNUMBER(SEARCH("DR Congo",S3945)),"Democratic Republic of the Congo",
ISNUMBER(SEARCH("German DR",S3945)),"DR Germany",
ISNUMBER(SEARCH("rn""&gt;United Arab Emirates",S3945)),"United Arab Emirates",
ISNUMBER(SEARCH("rn""&gt;Republic of Ireland",S3945)),"Ireland",
ISNUMBER(SEARCH("rn""&gt;Bosnia and Herzegovina",S3945)),"Bosnia and Herzegovina",
ISNUMBER(SEARCH("rn""&gt;Trinidad and Tobago",S3945)),"Trinidad and Tobago",
ISNUMBER(SEARCH("rn""&gt;Serbia and Montenegro",S3945)),"Serbia and Montenegro",
ISNUMBER(SEARCH(_xlfn.UNICHAR(65533),S3945)),"Côte d'Ivoire",
TRUE,""
)</f>
        <v/>
      </c>
      <c r="W3945" s="40" t="str">
        <f t="shared" si="258"/>
        <v>Scotland</v>
      </c>
    </row>
    <row r="3946" spans="19:23">
      <c r="S3946" s="40" t="str">
        <v>Norway</v>
      </c>
      <c r="T3946" s="40" t="str">
        <f t="shared" si="256"/>
        <v>OK</v>
      </c>
      <c r="U3946" s="40" t="str">
        <f t="shared" si="257"/>
        <v>-</v>
      </c>
      <c r="V3946" s="40" t="str" cm="1">
        <f t="array" ref="V3946">_xlfn.IFS(
ISNUMBER(SEARCH("USA",S3946)),"United States",
ISNUMBER(SEARCH("Republic of Ireland",S3946)),"Ireland",
ISNUMBER(SEARCH("Republic of Korea",S3946)),"South Korea",
ISNUMBER(SEARCH("Cape Verde",S3946)),"Cabo Verde",
ISNUMBER(SEARCH("Czechia",S3946)),"Czech Republic",
ISNUMBER(SEARCH("Türkiye",S3946)),"Turkey",
ISNUMBER(SEARCH("Ivory Coast",S3946)),"Côte d'Ivoire",
ISNUMBER(SEARCH("Korea Republic",S3946)),"South Korea",
ISNUMBER(SEARCH("Germany FR",S3946)),"FR Germany",
ISNUMBER(SEARCH("West Germany",S3946)),"FR Germany",
ISNUMBER(SEARCH("Germany DR",S3946)),"DR Germany",
ISNUMBER(SEARCH("Korea DPR",S3946)),"North Korea",
ISNUMBER(SEARCH("China PR",S3946)),"China",
ISNUMBER(SEARCH("IR Iran",S3946)),"Iran",
ISNUMBER(SEARCH("Congo DR",S3946)),"Democratic Republic of the Congo",
ISNUMBER(SEARCH("DR Congo",S3946)),"Democratic Republic of the Congo",
ISNUMBER(SEARCH("German DR",S3946)),"DR Germany",
ISNUMBER(SEARCH("rn""&gt;United Arab Emirates",S3946)),"United Arab Emirates",
ISNUMBER(SEARCH("rn""&gt;Republic of Ireland",S3946)),"Ireland",
ISNUMBER(SEARCH("rn""&gt;Bosnia and Herzegovina",S3946)),"Bosnia and Herzegovina",
ISNUMBER(SEARCH("rn""&gt;Trinidad and Tobago",S3946)),"Trinidad and Tobago",
ISNUMBER(SEARCH("rn""&gt;Serbia and Montenegro",S3946)),"Serbia and Montenegro",
ISNUMBER(SEARCH(_xlfn.UNICHAR(65533),S3946)),"Côte d'Ivoire",
TRUE,""
)</f>
        <v/>
      </c>
      <c r="W3946" s="40" t="str">
        <f t="shared" si="258"/>
        <v>Norway</v>
      </c>
    </row>
    <row r="3947" spans="19:23">
      <c r="S3947" s="40" t="str">
        <v>Chile</v>
      </c>
      <c r="T3947" s="40" t="str">
        <f t="shared" si="256"/>
        <v>OK</v>
      </c>
      <c r="U3947" s="40" t="str">
        <f t="shared" si="257"/>
        <v>-</v>
      </c>
      <c r="V3947" s="40" t="str" cm="1">
        <f t="array" ref="V3947">_xlfn.IFS(
ISNUMBER(SEARCH("USA",S3947)),"United States",
ISNUMBER(SEARCH("Republic of Ireland",S3947)),"Ireland",
ISNUMBER(SEARCH("Republic of Korea",S3947)),"South Korea",
ISNUMBER(SEARCH("Cape Verde",S3947)),"Cabo Verde",
ISNUMBER(SEARCH("Czechia",S3947)),"Czech Republic",
ISNUMBER(SEARCH("Türkiye",S3947)),"Turkey",
ISNUMBER(SEARCH("Ivory Coast",S3947)),"Côte d'Ivoire",
ISNUMBER(SEARCH("Korea Republic",S3947)),"South Korea",
ISNUMBER(SEARCH("Germany FR",S3947)),"FR Germany",
ISNUMBER(SEARCH("West Germany",S3947)),"FR Germany",
ISNUMBER(SEARCH("Germany DR",S3947)),"DR Germany",
ISNUMBER(SEARCH("Korea DPR",S3947)),"North Korea",
ISNUMBER(SEARCH("China PR",S3947)),"China",
ISNUMBER(SEARCH("IR Iran",S3947)),"Iran",
ISNUMBER(SEARCH("Congo DR",S3947)),"Democratic Republic of the Congo",
ISNUMBER(SEARCH("DR Congo",S3947)),"Democratic Republic of the Congo",
ISNUMBER(SEARCH("German DR",S3947)),"DR Germany",
ISNUMBER(SEARCH("rn""&gt;United Arab Emirates",S3947)),"United Arab Emirates",
ISNUMBER(SEARCH("rn""&gt;Republic of Ireland",S3947)),"Ireland",
ISNUMBER(SEARCH("rn""&gt;Bosnia and Herzegovina",S3947)),"Bosnia and Herzegovina",
ISNUMBER(SEARCH("rn""&gt;Trinidad and Tobago",S3947)),"Trinidad and Tobago",
ISNUMBER(SEARCH("rn""&gt;Serbia and Montenegro",S3947)),"Serbia and Montenegro",
ISNUMBER(SEARCH(_xlfn.UNICHAR(65533),S3947)),"Côte d'Ivoire",
TRUE,""
)</f>
        <v/>
      </c>
      <c r="W3947" s="40" t="str">
        <f t="shared" si="258"/>
        <v>Chile</v>
      </c>
    </row>
    <row r="3948" spans="19:23">
      <c r="S3948" s="40" t="str">
        <v>Austria</v>
      </c>
      <c r="T3948" s="40" t="str">
        <f t="shared" si="256"/>
        <v>OK</v>
      </c>
      <c r="U3948" s="40" t="str">
        <f t="shared" si="257"/>
        <v>-</v>
      </c>
      <c r="V3948" s="40" t="str" cm="1">
        <f t="array" ref="V3948">_xlfn.IFS(
ISNUMBER(SEARCH("USA",S3948)),"United States",
ISNUMBER(SEARCH("Republic of Ireland",S3948)),"Ireland",
ISNUMBER(SEARCH("Republic of Korea",S3948)),"South Korea",
ISNUMBER(SEARCH("Cape Verde",S3948)),"Cabo Verde",
ISNUMBER(SEARCH("Czechia",S3948)),"Czech Republic",
ISNUMBER(SEARCH("Türkiye",S3948)),"Turkey",
ISNUMBER(SEARCH("Ivory Coast",S3948)),"Côte d'Ivoire",
ISNUMBER(SEARCH("Korea Republic",S3948)),"South Korea",
ISNUMBER(SEARCH("Germany FR",S3948)),"FR Germany",
ISNUMBER(SEARCH("West Germany",S3948)),"FR Germany",
ISNUMBER(SEARCH("Germany DR",S3948)),"DR Germany",
ISNUMBER(SEARCH("Korea DPR",S3948)),"North Korea",
ISNUMBER(SEARCH("China PR",S3948)),"China",
ISNUMBER(SEARCH("IR Iran",S3948)),"Iran",
ISNUMBER(SEARCH("Congo DR",S3948)),"Democratic Republic of the Congo",
ISNUMBER(SEARCH("DR Congo",S3948)),"Democratic Republic of the Congo",
ISNUMBER(SEARCH("German DR",S3948)),"DR Germany",
ISNUMBER(SEARCH("rn""&gt;United Arab Emirates",S3948)),"United Arab Emirates",
ISNUMBER(SEARCH("rn""&gt;Republic of Ireland",S3948)),"Ireland",
ISNUMBER(SEARCH("rn""&gt;Bosnia and Herzegovina",S3948)),"Bosnia and Herzegovina",
ISNUMBER(SEARCH("rn""&gt;Trinidad and Tobago",S3948)),"Trinidad and Tobago",
ISNUMBER(SEARCH("rn""&gt;Serbia and Montenegro",S3948)),"Serbia and Montenegro",
ISNUMBER(SEARCH(_xlfn.UNICHAR(65533),S3948)),"Côte d'Ivoire",
TRUE,""
)</f>
        <v/>
      </c>
      <c r="W3948" s="40" t="str">
        <f t="shared" si="258"/>
        <v>Austria</v>
      </c>
    </row>
    <row r="3949" spans="19:23">
      <c r="S3949" s="40" t="str">
        <v>Bulgaria</v>
      </c>
      <c r="T3949" s="40" t="str">
        <f t="shared" si="256"/>
        <v>OK</v>
      </c>
      <c r="U3949" s="40" t="str">
        <f t="shared" si="257"/>
        <v>-</v>
      </c>
      <c r="V3949" s="40" t="str" cm="1">
        <f t="array" ref="V3949">_xlfn.IFS(
ISNUMBER(SEARCH("USA",S3949)),"United States",
ISNUMBER(SEARCH("Republic of Ireland",S3949)),"Ireland",
ISNUMBER(SEARCH("Republic of Korea",S3949)),"South Korea",
ISNUMBER(SEARCH("Cape Verde",S3949)),"Cabo Verde",
ISNUMBER(SEARCH("Czechia",S3949)),"Czech Republic",
ISNUMBER(SEARCH("Türkiye",S3949)),"Turkey",
ISNUMBER(SEARCH("Ivory Coast",S3949)),"Côte d'Ivoire",
ISNUMBER(SEARCH("Korea Republic",S3949)),"South Korea",
ISNUMBER(SEARCH("Germany FR",S3949)),"FR Germany",
ISNUMBER(SEARCH("West Germany",S3949)),"FR Germany",
ISNUMBER(SEARCH("Germany DR",S3949)),"DR Germany",
ISNUMBER(SEARCH("Korea DPR",S3949)),"North Korea",
ISNUMBER(SEARCH("China PR",S3949)),"China",
ISNUMBER(SEARCH("IR Iran",S3949)),"Iran",
ISNUMBER(SEARCH("Congo DR",S3949)),"Democratic Republic of the Congo",
ISNUMBER(SEARCH("DR Congo",S3949)),"Democratic Republic of the Congo",
ISNUMBER(SEARCH("German DR",S3949)),"DR Germany",
ISNUMBER(SEARCH("rn""&gt;United Arab Emirates",S3949)),"United Arab Emirates",
ISNUMBER(SEARCH("rn""&gt;Republic of Ireland",S3949)),"Ireland",
ISNUMBER(SEARCH("rn""&gt;Bosnia and Herzegovina",S3949)),"Bosnia and Herzegovina",
ISNUMBER(SEARCH("rn""&gt;Trinidad and Tobago",S3949)),"Trinidad and Tobago",
ISNUMBER(SEARCH("rn""&gt;Serbia and Montenegro",S3949)),"Serbia and Montenegro",
ISNUMBER(SEARCH(_xlfn.UNICHAR(65533),S3949)),"Côte d'Ivoire",
TRUE,""
)</f>
        <v/>
      </c>
      <c r="W3949" s="40" t="str">
        <f t="shared" si="258"/>
        <v>Bulgaria</v>
      </c>
    </row>
    <row r="3950" spans="19:23">
      <c r="S3950" s="40" t="str">
        <v>Denmark</v>
      </c>
      <c r="T3950" s="40" t="str">
        <f t="shared" si="256"/>
        <v>OK</v>
      </c>
      <c r="U3950" s="40" t="str">
        <f t="shared" si="257"/>
        <v>-</v>
      </c>
      <c r="V3950" s="40" t="str" cm="1">
        <f t="array" ref="V3950">_xlfn.IFS(
ISNUMBER(SEARCH("USA",S3950)),"United States",
ISNUMBER(SEARCH("Republic of Ireland",S3950)),"Ireland",
ISNUMBER(SEARCH("Republic of Korea",S3950)),"South Korea",
ISNUMBER(SEARCH("Cape Verde",S3950)),"Cabo Verde",
ISNUMBER(SEARCH("Czechia",S3950)),"Czech Republic",
ISNUMBER(SEARCH("Türkiye",S3950)),"Turkey",
ISNUMBER(SEARCH("Ivory Coast",S3950)),"Côte d'Ivoire",
ISNUMBER(SEARCH("Korea Republic",S3950)),"South Korea",
ISNUMBER(SEARCH("Germany FR",S3950)),"FR Germany",
ISNUMBER(SEARCH("West Germany",S3950)),"FR Germany",
ISNUMBER(SEARCH("Germany DR",S3950)),"DR Germany",
ISNUMBER(SEARCH("Korea DPR",S3950)),"North Korea",
ISNUMBER(SEARCH("China PR",S3950)),"China",
ISNUMBER(SEARCH("IR Iran",S3950)),"Iran",
ISNUMBER(SEARCH("Congo DR",S3950)),"Democratic Republic of the Congo",
ISNUMBER(SEARCH("DR Congo",S3950)),"Democratic Republic of the Congo",
ISNUMBER(SEARCH("German DR",S3950)),"DR Germany",
ISNUMBER(SEARCH("rn""&gt;United Arab Emirates",S3950)),"United Arab Emirates",
ISNUMBER(SEARCH("rn""&gt;Republic of Ireland",S3950)),"Ireland",
ISNUMBER(SEARCH("rn""&gt;Bosnia and Herzegovina",S3950)),"Bosnia and Herzegovina",
ISNUMBER(SEARCH("rn""&gt;Trinidad and Tobago",S3950)),"Trinidad and Tobago",
ISNUMBER(SEARCH("rn""&gt;Serbia and Montenegro",S3950)),"Serbia and Montenegro",
ISNUMBER(SEARCH(_xlfn.UNICHAR(65533),S3950)),"Côte d'Ivoire",
TRUE,""
)</f>
        <v/>
      </c>
      <c r="W3950" s="40" t="str">
        <f t="shared" si="258"/>
        <v>Denmark</v>
      </c>
    </row>
    <row r="3951" spans="19:23">
      <c r="S3951" s="40" t="str">
        <v>South Africa</v>
      </c>
      <c r="T3951" s="40" t="str">
        <f t="shared" si="256"/>
        <v>OK</v>
      </c>
      <c r="U3951" s="40" t="str">
        <f t="shared" si="257"/>
        <v>-</v>
      </c>
      <c r="V3951" s="40" t="str" cm="1">
        <f t="array" ref="V3951">_xlfn.IFS(
ISNUMBER(SEARCH("USA",S3951)),"United States",
ISNUMBER(SEARCH("Republic of Ireland",S3951)),"Ireland",
ISNUMBER(SEARCH("Republic of Korea",S3951)),"South Korea",
ISNUMBER(SEARCH("Cape Verde",S3951)),"Cabo Verde",
ISNUMBER(SEARCH("Czechia",S3951)),"Czech Republic",
ISNUMBER(SEARCH("Türkiye",S3951)),"Turkey",
ISNUMBER(SEARCH("Ivory Coast",S3951)),"Côte d'Ivoire",
ISNUMBER(SEARCH("Korea Republic",S3951)),"South Korea",
ISNUMBER(SEARCH("Germany FR",S3951)),"FR Germany",
ISNUMBER(SEARCH("West Germany",S3951)),"FR Germany",
ISNUMBER(SEARCH("Germany DR",S3951)),"DR Germany",
ISNUMBER(SEARCH("Korea DPR",S3951)),"North Korea",
ISNUMBER(SEARCH("China PR",S3951)),"China",
ISNUMBER(SEARCH("IR Iran",S3951)),"Iran",
ISNUMBER(SEARCH("Congo DR",S3951)),"Democratic Republic of the Congo",
ISNUMBER(SEARCH("DR Congo",S3951)),"Democratic Republic of the Congo",
ISNUMBER(SEARCH("German DR",S3951)),"DR Germany",
ISNUMBER(SEARCH("rn""&gt;United Arab Emirates",S3951)),"United Arab Emirates",
ISNUMBER(SEARCH("rn""&gt;Republic of Ireland",S3951)),"Ireland",
ISNUMBER(SEARCH("rn""&gt;Bosnia and Herzegovina",S3951)),"Bosnia and Herzegovina",
ISNUMBER(SEARCH("rn""&gt;Trinidad and Tobago",S3951)),"Trinidad and Tobago",
ISNUMBER(SEARCH("rn""&gt;Serbia and Montenegro",S3951)),"Serbia and Montenegro",
ISNUMBER(SEARCH(_xlfn.UNICHAR(65533),S3951)),"Côte d'Ivoire",
TRUE,""
)</f>
        <v/>
      </c>
      <c r="W3951" s="40" t="str">
        <f t="shared" si="258"/>
        <v>South Africa</v>
      </c>
    </row>
    <row r="3952" spans="19:23">
      <c r="S3952" s="40" t="str">
        <v>Nigeria</v>
      </c>
      <c r="T3952" s="40" t="str">
        <f t="shared" si="256"/>
        <v>OK</v>
      </c>
      <c r="U3952" s="40" t="str">
        <f t="shared" si="257"/>
        <v>-</v>
      </c>
      <c r="V3952" s="40" t="str" cm="1">
        <f t="array" ref="V3952">_xlfn.IFS(
ISNUMBER(SEARCH("USA",S3952)),"United States",
ISNUMBER(SEARCH("Republic of Ireland",S3952)),"Ireland",
ISNUMBER(SEARCH("Republic of Korea",S3952)),"South Korea",
ISNUMBER(SEARCH("Cape Verde",S3952)),"Cabo Verde",
ISNUMBER(SEARCH("Czechia",S3952)),"Czech Republic",
ISNUMBER(SEARCH("Türkiye",S3952)),"Turkey",
ISNUMBER(SEARCH("Ivory Coast",S3952)),"Côte d'Ivoire",
ISNUMBER(SEARCH("Korea Republic",S3952)),"South Korea",
ISNUMBER(SEARCH("Germany FR",S3952)),"FR Germany",
ISNUMBER(SEARCH("West Germany",S3952)),"FR Germany",
ISNUMBER(SEARCH("Germany DR",S3952)),"DR Germany",
ISNUMBER(SEARCH("Korea DPR",S3952)),"North Korea",
ISNUMBER(SEARCH("China PR",S3952)),"China",
ISNUMBER(SEARCH("IR Iran",S3952)),"Iran",
ISNUMBER(SEARCH("Congo DR",S3952)),"Democratic Republic of the Congo",
ISNUMBER(SEARCH("DR Congo",S3952)),"Democratic Republic of the Congo",
ISNUMBER(SEARCH("German DR",S3952)),"DR Germany",
ISNUMBER(SEARCH("rn""&gt;United Arab Emirates",S3952)),"United Arab Emirates",
ISNUMBER(SEARCH("rn""&gt;Republic of Ireland",S3952)),"Ireland",
ISNUMBER(SEARCH("rn""&gt;Bosnia and Herzegovina",S3952)),"Bosnia and Herzegovina",
ISNUMBER(SEARCH("rn""&gt;Trinidad and Tobago",S3952)),"Trinidad and Tobago",
ISNUMBER(SEARCH("rn""&gt;Serbia and Montenegro",S3952)),"Serbia and Montenegro",
ISNUMBER(SEARCH(_xlfn.UNICHAR(65533),S3952)),"Côte d'Ivoire",
TRUE,""
)</f>
        <v/>
      </c>
      <c r="W3952" s="40" t="str">
        <f t="shared" si="258"/>
        <v>Nigeria</v>
      </c>
    </row>
    <row r="3953" spans="19:23">
      <c r="S3953" s="40" t="str">
        <v>Mexico</v>
      </c>
      <c r="T3953" s="40" t="str">
        <f t="shared" si="256"/>
        <v>OK</v>
      </c>
      <c r="U3953" s="40" t="str">
        <f t="shared" si="257"/>
        <v>-</v>
      </c>
      <c r="V3953" s="40" t="str" cm="1">
        <f t="array" ref="V3953">_xlfn.IFS(
ISNUMBER(SEARCH("USA",S3953)),"United States",
ISNUMBER(SEARCH("Republic of Ireland",S3953)),"Ireland",
ISNUMBER(SEARCH("Republic of Korea",S3953)),"South Korea",
ISNUMBER(SEARCH("Cape Verde",S3953)),"Cabo Verde",
ISNUMBER(SEARCH("Czechia",S3953)),"Czech Republic",
ISNUMBER(SEARCH("Türkiye",S3953)),"Turkey",
ISNUMBER(SEARCH("Ivory Coast",S3953)),"Côte d'Ivoire",
ISNUMBER(SEARCH("Korea Republic",S3953)),"South Korea",
ISNUMBER(SEARCH("Germany FR",S3953)),"FR Germany",
ISNUMBER(SEARCH("West Germany",S3953)),"FR Germany",
ISNUMBER(SEARCH("Germany DR",S3953)),"DR Germany",
ISNUMBER(SEARCH("Korea DPR",S3953)),"North Korea",
ISNUMBER(SEARCH("China PR",S3953)),"China",
ISNUMBER(SEARCH("IR Iran",S3953)),"Iran",
ISNUMBER(SEARCH("Congo DR",S3953)),"Democratic Republic of the Congo",
ISNUMBER(SEARCH("DR Congo",S3953)),"Democratic Republic of the Congo",
ISNUMBER(SEARCH("German DR",S3953)),"DR Germany",
ISNUMBER(SEARCH("rn""&gt;United Arab Emirates",S3953)),"United Arab Emirates",
ISNUMBER(SEARCH("rn""&gt;Republic of Ireland",S3953)),"Ireland",
ISNUMBER(SEARCH("rn""&gt;Bosnia and Herzegovina",S3953)),"Bosnia and Herzegovina",
ISNUMBER(SEARCH("rn""&gt;Trinidad and Tobago",S3953)),"Trinidad and Tobago",
ISNUMBER(SEARCH("rn""&gt;Serbia and Montenegro",S3953)),"Serbia and Montenegro",
ISNUMBER(SEARCH(_xlfn.UNICHAR(65533),S3953)),"Côte d'Ivoire",
TRUE,""
)</f>
        <v/>
      </c>
      <c r="W3953" s="40" t="str">
        <f t="shared" si="258"/>
        <v>Mexico</v>
      </c>
    </row>
    <row r="3954" spans="19:23">
      <c r="S3954" s="40" t="str">
        <v>Belgium</v>
      </c>
      <c r="T3954" s="40" t="str">
        <f t="shared" si="256"/>
        <v>OK</v>
      </c>
      <c r="U3954" s="40" t="str">
        <f t="shared" si="257"/>
        <v>-</v>
      </c>
      <c r="V3954" s="40" t="str" cm="1">
        <f t="array" ref="V3954">_xlfn.IFS(
ISNUMBER(SEARCH("USA",S3954)),"United States",
ISNUMBER(SEARCH("Republic of Ireland",S3954)),"Ireland",
ISNUMBER(SEARCH("Republic of Korea",S3954)),"South Korea",
ISNUMBER(SEARCH("Cape Verde",S3954)),"Cabo Verde",
ISNUMBER(SEARCH("Czechia",S3954)),"Czech Republic",
ISNUMBER(SEARCH("Türkiye",S3954)),"Turkey",
ISNUMBER(SEARCH("Ivory Coast",S3954)),"Côte d'Ivoire",
ISNUMBER(SEARCH("Korea Republic",S3954)),"South Korea",
ISNUMBER(SEARCH("Germany FR",S3954)),"FR Germany",
ISNUMBER(SEARCH("West Germany",S3954)),"FR Germany",
ISNUMBER(SEARCH("Germany DR",S3954)),"DR Germany",
ISNUMBER(SEARCH("Korea DPR",S3954)),"North Korea",
ISNUMBER(SEARCH("China PR",S3954)),"China",
ISNUMBER(SEARCH("IR Iran",S3954)),"Iran",
ISNUMBER(SEARCH("Congo DR",S3954)),"Democratic Republic of the Congo",
ISNUMBER(SEARCH("DR Congo",S3954)),"Democratic Republic of the Congo",
ISNUMBER(SEARCH("German DR",S3954)),"DR Germany",
ISNUMBER(SEARCH("rn""&gt;United Arab Emirates",S3954)),"United Arab Emirates",
ISNUMBER(SEARCH("rn""&gt;Republic of Ireland",S3954)),"Ireland",
ISNUMBER(SEARCH("rn""&gt;Bosnia and Herzegovina",S3954)),"Bosnia and Herzegovina",
ISNUMBER(SEARCH("rn""&gt;Trinidad and Tobago",S3954)),"Trinidad and Tobago",
ISNUMBER(SEARCH("rn""&gt;Serbia and Montenegro",S3954)),"Serbia and Montenegro",
ISNUMBER(SEARCH(_xlfn.UNICHAR(65533),S3954)),"Côte d'Ivoire",
TRUE,""
)</f>
        <v/>
      </c>
      <c r="W3954" s="40" t="str">
        <f t="shared" si="258"/>
        <v>Belgium</v>
      </c>
    </row>
    <row r="3955" spans="19:23">
      <c r="S3955" s="40" t="str">
        <v>Japan</v>
      </c>
      <c r="T3955" s="40" t="str">
        <f t="shared" si="256"/>
        <v>OK</v>
      </c>
      <c r="U3955" s="40" t="str">
        <f t="shared" si="257"/>
        <v>-</v>
      </c>
      <c r="V3955" s="40" t="str" cm="1">
        <f t="array" ref="V3955">_xlfn.IFS(
ISNUMBER(SEARCH("USA",S3955)),"United States",
ISNUMBER(SEARCH("Republic of Ireland",S3955)),"Ireland",
ISNUMBER(SEARCH("Republic of Korea",S3955)),"South Korea",
ISNUMBER(SEARCH("Cape Verde",S3955)),"Cabo Verde",
ISNUMBER(SEARCH("Czechia",S3955)),"Czech Republic",
ISNUMBER(SEARCH("Türkiye",S3955)),"Turkey",
ISNUMBER(SEARCH("Ivory Coast",S3955)),"Côte d'Ivoire",
ISNUMBER(SEARCH("Korea Republic",S3955)),"South Korea",
ISNUMBER(SEARCH("Germany FR",S3955)),"FR Germany",
ISNUMBER(SEARCH("West Germany",S3955)),"FR Germany",
ISNUMBER(SEARCH("Germany DR",S3955)),"DR Germany",
ISNUMBER(SEARCH("Korea DPR",S3955)),"North Korea",
ISNUMBER(SEARCH("China PR",S3955)),"China",
ISNUMBER(SEARCH("IR Iran",S3955)),"Iran",
ISNUMBER(SEARCH("Congo DR",S3955)),"Democratic Republic of the Congo",
ISNUMBER(SEARCH("DR Congo",S3955)),"Democratic Republic of the Congo",
ISNUMBER(SEARCH("German DR",S3955)),"DR Germany",
ISNUMBER(SEARCH("rn""&gt;United Arab Emirates",S3955)),"United Arab Emirates",
ISNUMBER(SEARCH("rn""&gt;Republic of Ireland",S3955)),"Ireland",
ISNUMBER(SEARCH("rn""&gt;Bosnia and Herzegovina",S3955)),"Bosnia and Herzegovina",
ISNUMBER(SEARCH("rn""&gt;Trinidad and Tobago",S3955)),"Trinidad and Tobago",
ISNUMBER(SEARCH("rn""&gt;Serbia and Montenegro",S3955)),"Serbia and Montenegro",
ISNUMBER(SEARCH(_xlfn.UNICHAR(65533),S3955)),"Côte d'Ivoire",
TRUE,""
)</f>
        <v/>
      </c>
      <c r="W3955" s="40" t="str">
        <f t="shared" si="258"/>
        <v>Japan</v>
      </c>
    </row>
    <row r="3956" spans="19:23">
      <c r="S3956" s="40" t="str">
        <v>Iran</v>
      </c>
      <c r="T3956" s="40" t="str">
        <f t="shared" si="256"/>
        <v>OK</v>
      </c>
      <c r="U3956" s="40" t="str">
        <f t="shared" si="257"/>
        <v>-</v>
      </c>
      <c r="V3956" s="40" t="str" cm="1">
        <f t="array" ref="V3956">_xlfn.IFS(
ISNUMBER(SEARCH("USA",S3956)),"United States",
ISNUMBER(SEARCH("Republic of Ireland",S3956)),"Ireland",
ISNUMBER(SEARCH("Republic of Korea",S3956)),"South Korea",
ISNUMBER(SEARCH("Cape Verde",S3956)),"Cabo Verde",
ISNUMBER(SEARCH("Czechia",S3956)),"Czech Republic",
ISNUMBER(SEARCH("Türkiye",S3956)),"Turkey",
ISNUMBER(SEARCH("Ivory Coast",S3956)),"Côte d'Ivoire",
ISNUMBER(SEARCH("Korea Republic",S3956)),"South Korea",
ISNUMBER(SEARCH("Germany FR",S3956)),"FR Germany",
ISNUMBER(SEARCH("West Germany",S3956)),"FR Germany",
ISNUMBER(SEARCH("Germany DR",S3956)),"DR Germany",
ISNUMBER(SEARCH("Korea DPR",S3956)),"North Korea",
ISNUMBER(SEARCH("China PR",S3956)),"China",
ISNUMBER(SEARCH("IR Iran",S3956)),"Iran",
ISNUMBER(SEARCH("Congo DR",S3956)),"Democratic Republic of the Congo",
ISNUMBER(SEARCH("DR Congo",S3956)),"Democratic Republic of the Congo",
ISNUMBER(SEARCH("German DR",S3956)),"DR Germany",
ISNUMBER(SEARCH("rn""&gt;United Arab Emirates",S3956)),"United Arab Emirates",
ISNUMBER(SEARCH("rn""&gt;Republic of Ireland",S3956)),"Ireland",
ISNUMBER(SEARCH("rn""&gt;Bosnia and Herzegovina",S3956)),"Bosnia and Herzegovina",
ISNUMBER(SEARCH("rn""&gt;Trinidad and Tobago",S3956)),"Trinidad and Tobago",
ISNUMBER(SEARCH("rn""&gt;Serbia and Montenegro",S3956)),"Serbia and Montenegro",
ISNUMBER(SEARCH(_xlfn.UNICHAR(65533),S3956)),"Côte d'Ivoire",
TRUE,""
)</f>
        <v/>
      </c>
      <c r="W3956" s="40" t="str">
        <f t="shared" si="258"/>
        <v>Iran</v>
      </c>
    </row>
    <row r="3957" spans="19:23">
      <c r="S3957" s="40" t="str">
        <v>Croatia</v>
      </c>
      <c r="T3957" s="40" t="str">
        <f t="shared" si="256"/>
        <v>OK</v>
      </c>
      <c r="U3957" s="40" t="str">
        <f t="shared" si="257"/>
        <v>-</v>
      </c>
      <c r="V3957" s="40" t="str" cm="1">
        <f t="array" ref="V3957">_xlfn.IFS(
ISNUMBER(SEARCH("USA",S3957)),"United States",
ISNUMBER(SEARCH("Republic of Ireland",S3957)),"Ireland",
ISNUMBER(SEARCH("Republic of Korea",S3957)),"South Korea",
ISNUMBER(SEARCH("Cape Verde",S3957)),"Cabo Verde",
ISNUMBER(SEARCH("Czechia",S3957)),"Czech Republic",
ISNUMBER(SEARCH("Türkiye",S3957)),"Turkey",
ISNUMBER(SEARCH("Ivory Coast",S3957)),"Côte d'Ivoire",
ISNUMBER(SEARCH("Korea Republic",S3957)),"South Korea",
ISNUMBER(SEARCH("Germany FR",S3957)),"FR Germany",
ISNUMBER(SEARCH("West Germany",S3957)),"FR Germany",
ISNUMBER(SEARCH("Germany DR",S3957)),"DR Germany",
ISNUMBER(SEARCH("Korea DPR",S3957)),"North Korea",
ISNUMBER(SEARCH("China PR",S3957)),"China",
ISNUMBER(SEARCH("IR Iran",S3957)),"Iran",
ISNUMBER(SEARCH("Congo DR",S3957)),"Democratic Republic of the Congo",
ISNUMBER(SEARCH("DR Congo",S3957)),"Democratic Republic of the Congo",
ISNUMBER(SEARCH("German DR",S3957)),"DR Germany",
ISNUMBER(SEARCH("rn""&gt;United Arab Emirates",S3957)),"United Arab Emirates",
ISNUMBER(SEARCH("rn""&gt;Republic of Ireland",S3957)),"Ireland",
ISNUMBER(SEARCH("rn""&gt;Bosnia and Herzegovina",S3957)),"Bosnia and Herzegovina",
ISNUMBER(SEARCH("rn""&gt;Trinidad and Tobago",S3957)),"Trinidad and Tobago",
ISNUMBER(SEARCH("rn""&gt;Serbia and Montenegro",S3957)),"Serbia and Montenegro",
ISNUMBER(SEARCH(_xlfn.UNICHAR(65533),S3957)),"Côte d'Ivoire",
TRUE,""
)</f>
        <v/>
      </c>
      <c r="W3957" s="40" t="str">
        <f t="shared" si="258"/>
        <v>Croatia</v>
      </c>
    </row>
    <row r="3958" spans="19:23">
      <c r="S3958" s="40" t="str">
        <v>Tunisia</v>
      </c>
      <c r="T3958" s="40" t="str">
        <f t="shared" si="256"/>
        <v>OK</v>
      </c>
      <c r="U3958" s="40" t="str">
        <f t="shared" si="257"/>
        <v>-</v>
      </c>
      <c r="V3958" s="40" t="str" cm="1">
        <f t="array" ref="V3958">_xlfn.IFS(
ISNUMBER(SEARCH("USA",S3958)),"United States",
ISNUMBER(SEARCH("Republic of Ireland",S3958)),"Ireland",
ISNUMBER(SEARCH("Republic of Korea",S3958)),"South Korea",
ISNUMBER(SEARCH("Cape Verde",S3958)),"Cabo Verde",
ISNUMBER(SEARCH("Czechia",S3958)),"Czech Republic",
ISNUMBER(SEARCH("Türkiye",S3958)),"Turkey",
ISNUMBER(SEARCH("Ivory Coast",S3958)),"Côte d'Ivoire",
ISNUMBER(SEARCH("Korea Republic",S3958)),"South Korea",
ISNUMBER(SEARCH("Germany FR",S3958)),"FR Germany",
ISNUMBER(SEARCH("West Germany",S3958)),"FR Germany",
ISNUMBER(SEARCH("Germany DR",S3958)),"DR Germany",
ISNUMBER(SEARCH("Korea DPR",S3958)),"North Korea",
ISNUMBER(SEARCH("China PR",S3958)),"China",
ISNUMBER(SEARCH("IR Iran",S3958)),"Iran",
ISNUMBER(SEARCH("Congo DR",S3958)),"Democratic Republic of the Congo",
ISNUMBER(SEARCH("DR Congo",S3958)),"Democratic Republic of the Congo",
ISNUMBER(SEARCH("German DR",S3958)),"DR Germany",
ISNUMBER(SEARCH("rn""&gt;United Arab Emirates",S3958)),"United Arab Emirates",
ISNUMBER(SEARCH("rn""&gt;Republic of Ireland",S3958)),"Ireland",
ISNUMBER(SEARCH("rn""&gt;Bosnia and Herzegovina",S3958)),"Bosnia and Herzegovina",
ISNUMBER(SEARCH("rn""&gt;Trinidad and Tobago",S3958)),"Trinidad and Tobago",
ISNUMBER(SEARCH("rn""&gt;Serbia and Montenegro",S3958)),"Serbia and Montenegro",
ISNUMBER(SEARCH(_xlfn.UNICHAR(65533),S3958)),"Côte d'Ivoire",
TRUE,""
)</f>
        <v/>
      </c>
      <c r="W3958" s="40" t="str">
        <f t="shared" si="258"/>
        <v>Tunisia</v>
      </c>
    </row>
    <row r="3959" spans="19:23">
      <c r="S3959" s="40" t="str">
        <v>Colombia</v>
      </c>
      <c r="T3959" s="40" t="str">
        <f t="shared" si="256"/>
        <v>OK</v>
      </c>
      <c r="U3959" s="40" t="str">
        <f t="shared" si="257"/>
        <v>-</v>
      </c>
      <c r="V3959" s="40" t="str" cm="1">
        <f t="array" ref="V3959">_xlfn.IFS(
ISNUMBER(SEARCH("USA",S3959)),"United States",
ISNUMBER(SEARCH("Republic of Ireland",S3959)),"Ireland",
ISNUMBER(SEARCH("Republic of Korea",S3959)),"South Korea",
ISNUMBER(SEARCH("Cape Verde",S3959)),"Cabo Verde",
ISNUMBER(SEARCH("Czechia",S3959)),"Czech Republic",
ISNUMBER(SEARCH("Türkiye",S3959)),"Turkey",
ISNUMBER(SEARCH("Ivory Coast",S3959)),"Côte d'Ivoire",
ISNUMBER(SEARCH("Korea Republic",S3959)),"South Korea",
ISNUMBER(SEARCH("Germany FR",S3959)),"FR Germany",
ISNUMBER(SEARCH("West Germany",S3959)),"FR Germany",
ISNUMBER(SEARCH("Germany DR",S3959)),"DR Germany",
ISNUMBER(SEARCH("Korea DPR",S3959)),"North Korea",
ISNUMBER(SEARCH("China PR",S3959)),"China",
ISNUMBER(SEARCH("IR Iran",S3959)),"Iran",
ISNUMBER(SEARCH("Congo DR",S3959)),"Democratic Republic of the Congo",
ISNUMBER(SEARCH("DR Congo",S3959)),"Democratic Republic of the Congo",
ISNUMBER(SEARCH("German DR",S3959)),"DR Germany",
ISNUMBER(SEARCH("rn""&gt;United Arab Emirates",S3959)),"United Arab Emirates",
ISNUMBER(SEARCH("rn""&gt;Republic of Ireland",S3959)),"Ireland",
ISNUMBER(SEARCH("rn""&gt;Bosnia and Herzegovina",S3959)),"Bosnia and Herzegovina",
ISNUMBER(SEARCH("rn""&gt;Trinidad and Tobago",S3959)),"Trinidad and Tobago",
ISNUMBER(SEARCH("rn""&gt;Serbia and Montenegro",S3959)),"Serbia and Montenegro",
ISNUMBER(SEARCH(_xlfn.UNICHAR(65533),S3959)),"Côte d'Ivoire",
TRUE,""
)</f>
        <v/>
      </c>
      <c r="W3959" s="40" t="str">
        <f t="shared" si="258"/>
        <v>Colombia</v>
      </c>
    </row>
    <row r="3960" spans="19:23">
      <c r="S3960" s="40" t="str">
        <v>USA</v>
      </c>
      <c r="T3960" s="40" t="str">
        <f t="shared" si="256"/>
        <v>ERREUR</v>
      </c>
      <c r="U3960" s="40" t="str">
        <f t="shared" si="257"/>
        <v>RENOMMER</v>
      </c>
      <c r="V3960" s="40" t="str" cm="1">
        <f t="array" ref="V3960">_xlfn.IFS(
ISNUMBER(SEARCH("USA",S3960)),"United States",
ISNUMBER(SEARCH("Republic of Ireland",S3960)),"Ireland",
ISNUMBER(SEARCH("Republic of Korea",S3960)),"South Korea",
ISNUMBER(SEARCH("Cape Verde",S3960)),"Cabo Verde",
ISNUMBER(SEARCH("Czechia",S3960)),"Czech Republic",
ISNUMBER(SEARCH("Türkiye",S3960)),"Turkey",
ISNUMBER(SEARCH("Ivory Coast",S3960)),"Côte d'Ivoire",
ISNUMBER(SEARCH("Korea Republic",S3960)),"South Korea",
ISNUMBER(SEARCH("Germany FR",S3960)),"FR Germany",
ISNUMBER(SEARCH("West Germany",S3960)),"FR Germany",
ISNUMBER(SEARCH("Germany DR",S3960)),"DR Germany",
ISNUMBER(SEARCH("Korea DPR",S3960)),"North Korea",
ISNUMBER(SEARCH("China PR",S3960)),"China",
ISNUMBER(SEARCH("IR Iran",S3960)),"Iran",
ISNUMBER(SEARCH("Congo DR",S3960)),"Democratic Republic of the Congo",
ISNUMBER(SEARCH("DR Congo",S3960)),"Democratic Republic of the Congo",
ISNUMBER(SEARCH("German DR",S3960)),"DR Germany",
ISNUMBER(SEARCH("rn""&gt;United Arab Emirates",S3960)),"United Arab Emirates",
ISNUMBER(SEARCH("rn""&gt;Republic of Ireland",S3960)),"Ireland",
ISNUMBER(SEARCH("rn""&gt;Bosnia and Herzegovina",S3960)),"Bosnia and Herzegovina",
ISNUMBER(SEARCH("rn""&gt;Trinidad and Tobago",S3960)),"Trinidad and Tobago",
ISNUMBER(SEARCH("rn""&gt;Serbia and Montenegro",S3960)),"Serbia and Montenegro",
ISNUMBER(SEARCH(_xlfn.UNICHAR(65533),S3960)),"Côte d'Ivoire",
TRUE,""
)</f>
        <v>United States</v>
      </c>
      <c r="W3960" s="40" t="str">
        <f t="shared" si="258"/>
        <v>United States</v>
      </c>
    </row>
    <row r="3961" spans="19:23">
      <c r="S3961" s="40" t="str">
        <v>Norway</v>
      </c>
      <c r="T3961" s="40" t="str">
        <f t="shared" si="256"/>
        <v>OK</v>
      </c>
      <c r="U3961" s="40" t="str">
        <f t="shared" si="257"/>
        <v>-</v>
      </c>
      <c r="V3961" s="40" t="str" cm="1">
        <f t="array" ref="V3961">_xlfn.IFS(
ISNUMBER(SEARCH("USA",S3961)),"United States",
ISNUMBER(SEARCH("Republic of Ireland",S3961)),"Ireland",
ISNUMBER(SEARCH("Republic of Korea",S3961)),"South Korea",
ISNUMBER(SEARCH("Cape Verde",S3961)),"Cabo Verde",
ISNUMBER(SEARCH("Czechia",S3961)),"Czech Republic",
ISNUMBER(SEARCH("Türkiye",S3961)),"Turkey",
ISNUMBER(SEARCH("Ivory Coast",S3961)),"Côte d'Ivoire",
ISNUMBER(SEARCH("Korea Republic",S3961)),"South Korea",
ISNUMBER(SEARCH("Germany FR",S3961)),"FR Germany",
ISNUMBER(SEARCH("West Germany",S3961)),"FR Germany",
ISNUMBER(SEARCH("Germany DR",S3961)),"DR Germany",
ISNUMBER(SEARCH("Korea DPR",S3961)),"North Korea",
ISNUMBER(SEARCH("China PR",S3961)),"China",
ISNUMBER(SEARCH("IR Iran",S3961)),"Iran",
ISNUMBER(SEARCH("Congo DR",S3961)),"Democratic Republic of the Congo",
ISNUMBER(SEARCH("DR Congo",S3961)),"Democratic Republic of the Congo",
ISNUMBER(SEARCH("German DR",S3961)),"DR Germany",
ISNUMBER(SEARCH("rn""&gt;United Arab Emirates",S3961)),"United Arab Emirates",
ISNUMBER(SEARCH("rn""&gt;Republic of Ireland",S3961)),"Ireland",
ISNUMBER(SEARCH("rn""&gt;Bosnia and Herzegovina",S3961)),"Bosnia and Herzegovina",
ISNUMBER(SEARCH("rn""&gt;Trinidad and Tobago",S3961)),"Trinidad and Tobago",
ISNUMBER(SEARCH("rn""&gt;Serbia and Montenegro",S3961)),"Serbia and Montenegro",
ISNUMBER(SEARCH(_xlfn.UNICHAR(65533),S3961)),"Côte d'Ivoire",
TRUE,""
)</f>
        <v/>
      </c>
      <c r="W3961" s="40" t="str">
        <f t="shared" si="258"/>
        <v>Norway</v>
      </c>
    </row>
    <row r="3962" spans="19:23">
      <c r="S3962" s="40" t="str">
        <v>Morocco</v>
      </c>
      <c r="T3962" s="40" t="str">
        <f t="shared" si="256"/>
        <v>OK</v>
      </c>
      <c r="U3962" s="40" t="str">
        <f t="shared" si="257"/>
        <v>-</v>
      </c>
      <c r="V3962" s="40" t="str" cm="1">
        <f t="array" ref="V3962">_xlfn.IFS(
ISNUMBER(SEARCH("USA",S3962)),"United States",
ISNUMBER(SEARCH("Republic of Ireland",S3962)),"Ireland",
ISNUMBER(SEARCH("Republic of Korea",S3962)),"South Korea",
ISNUMBER(SEARCH("Cape Verde",S3962)),"Cabo Verde",
ISNUMBER(SEARCH("Czechia",S3962)),"Czech Republic",
ISNUMBER(SEARCH("Türkiye",S3962)),"Turkey",
ISNUMBER(SEARCH("Ivory Coast",S3962)),"Côte d'Ivoire",
ISNUMBER(SEARCH("Korea Republic",S3962)),"South Korea",
ISNUMBER(SEARCH("Germany FR",S3962)),"FR Germany",
ISNUMBER(SEARCH("West Germany",S3962)),"FR Germany",
ISNUMBER(SEARCH("Germany DR",S3962)),"DR Germany",
ISNUMBER(SEARCH("Korea DPR",S3962)),"North Korea",
ISNUMBER(SEARCH("China PR",S3962)),"China",
ISNUMBER(SEARCH("IR Iran",S3962)),"Iran",
ISNUMBER(SEARCH("Congo DR",S3962)),"Democratic Republic of the Congo",
ISNUMBER(SEARCH("DR Congo",S3962)),"Democratic Republic of the Congo",
ISNUMBER(SEARCH("German DR",S3962)),"DR Germany",
ISNUMBER(SEARCH("rn""&gt;United Arab Emirates",S3962)),"United Arab Emirates",
ISNUMBER(SEARCH("rn""&gt;Republic of Ireland",S3962)),"Ireland",
ISNUMBER(SEARCH("rn""&gt;Bosnia and Herzegovina",S3962)),"Bosnia and Herzegovina",
ISNUMBER(SEARCH("rn""&gt;Trinidad and Tobago",S3962)),"Trinidad and Tobago",
ISNUMBER(SEARCH("rn""&gt;Serbia and Montenegro",S3962)),"Serbia and Montenegro",
ISNUMBER(SEARCH(_xlfn.UNICHAR(65533),S3962)),"Côte d'Ivoire",
TRUE,""
)</f>
        <v/>
      </c>
      <c r="W3962" s="40" t="str">
        <f t="shared" si="258"/>
        <v>Morocco</v>
      </c>
    </row>
    <row r="3963" spans="19:23">
      <c r="S3963" s="40" t="str">
        <v>Austria</v>
      </c>
      <c r="T3963" s="40" t="str">
        <f t="shared" si="256"/>
        <v>OK</v>
      </c>
      <c r="U3963" s="40" t="str">
        <f t="shared" si="257"/>
        <v>-</v>
      </c>
      <c r="V3963" s="40" t="str" cm="1">
        <f t="array" ref="V3963">_xlfn.IFS(
ISNUMBER(SEARCH("USA",S3963)),"United States",
ISNUMBER(SEARCH("Republic of Ireland",S3963)),"Ireland",
ISNUMBER(SEARCH("Republic of Korea",S3963)),"South Korea",
ISNUMBER(SEARCH("Cape Verde",S3963)),"Cabo Verde",
ISNUMBER(SEARCH("Czechia",S3963)),"Czech Republic",
ISNUMBER(SEARCH("Türkiye",S3963)),"Turkey",
ISNUMBER(SEARCH("Ivory Coast",S3963)),"Côte d'Ivoire",
ISNUMBER(SEARCH("Korea Republic",S3963)),"South Korea",
ISNUMBER(SEARCH("Germany FR",S3963)),"FR Germany",
ISNUMBER(SEARCH("West Germany",S3963)),"FR Germany",
ISNUMBER(SEARCH("Germany DR",S3963)),"DR Germany",
ISNUMBER(SEARCH("Korea DPR",S3963)),"North Korea",
ISNUMBER(SEARCH("China PR",S3963)),"China",
ISNUMBER(SEARCH("IR Iran",S3963)),"Iran",
ISNUMBER(SEARCH("Congo DR",S3963)),"Democratic Republic of the Congo",
ISNUMBER(SEARCH("DR Congo",S3963)),"Democratic Republic of the Congo",
ISNUMBER(SEARCH("German DR",S3963)),"DR Germany",
ISNUMBER(SEARCH("rn""&gt;United Arab Emirates",S3963)),"United Arab Emirates",
ISNUMBER(SEARCH("rn""&gt;Republic of Ireland",S3963)),"Ireland",
ISNUMBER(SEARCH("rn""&gt;Bosnia and Herzegovina",S3963)),"Bosnia and Herzegovina",
ISNUMBER(SEARCH("rn""&gt;Trinidad and Tobago",S3963)),"Trinidad and Tobago",
ISNUMBER(SEARCH("rn""&gt;Serbia and Montenegro",S3963)),"Serbia and Montenegro",
ISNUMBER(SEARCH(_xlfn.UNICHAR(65533),S3963)),"Côte d'Ivoire",
TRUE,""
)</f>
        <v/>
      </c>
      <c r="W3963" s="40" t="str">
        <f t="shared" si="258"/>
        <v>Austria</v>
      </c>
    </row>
    <row r="3964" spans="19:23">
      <c r="S3964" s="40" t="str">
        <v>Cameroon</v>
      </c>
      <c r="T3964" s="40" t="str">
        <f t="shared" si="256"/>
        <v>OK</v>
      </c>
      <c r="U3964" s="40" t="str">
        <f t="shared" si="257"/>
        <v>-</v>
      </c>
      <c r="V3964" s="40" t="str" cm="1">
        <f t="array" ref="V3964">_xlfn.IFS(
ISNUMBER(SEARCH("USA",S3964)),"United States",
ISNUMBER(SEARCH("Republic of Ireland",S3964)),"Ireland",
ISNUMBER(SEARCH("Republic of Korea",S3964)),"South Korea",
ISNUMBER(SEARCH("Cape Verde",S3964)),"Cabo Verde",
ISNUMBER(SEARCH("Czechia",S3964)),"Czech Republic",
ISNUMBER(SEARCH("Türkiye",S3964)),"Turkey",
ISNUMBER(SEARCH("Ivory Coast",S3964)),"Côte d'Ivoire",
ISNUMBER(SEARCH("Korea Republic",S3964)),"South Korea",
ISNUMBER(SEARCH("Germany FR",S3964)),"FR Germany",
ISNUMBER(SEARCH("West Germany",S3964)),"FR Germany",
ISNUMBER(SEARCH("Germany DR",S3964)),"DR Germany",
ISNUMBER(SEARCH("Korea DPR",S3964)),"North Korea",
ISNUMBER(SEARCH("China PR",S3964)),"China",
ISNUMBER(SEARCH("IR Iran",S3964)),"Iran",
ISNUMBER(SEARCH("Congo DR",S3964)),"Democratic Republic of the Congo",
ISNUMBER(SEARCH("DR Congo",S3964)),"Democratic Republic of the Congo",
ISNUMBER(SEARCH("German DR",S3964)),"DR Germany",
ISNUMBER(SEARCH("rn""&gt;United Arab Emirates",S3964)),"United Arab Emirates",
ISNUMBER(SEARCH("rn""&gt;Republic of Ireland",S3964)),"Ireland",
ISNUMBER(SEARCH("rn""&gt;Bosnia and Herzegovina",S3964)),"Bosnia and Herzegovina",
ISNUMBER(SEARCH("rn""&gt;Trinidad and Tobago",S3964)),"Trinidad and Tobago",
ISNUMBER(SEARCH("rn""&gt;Serbia and Montenegro",S3964)),"Serbia and Montenegro",
ISNUMBER(SEARCH(_xlfn.UNICHAR(65533),S3964)),"Côte d'Ivoire",
TRUE,""
)</f>
        <v/>
      </c>
      <c r="W3964" s="40" t="str">
        <f t="shared" si="258"/>
        <v>Cameroon</v>
      </c>
    </row>
    <row r="3965" spans="19:23">
      <c r="S3965" s="40" t="str">
        <v>Denmark</v>
      </c>
      <c r="T3965" s="40" t="str">
        <f t="shared" si="256"/>
        <v>OK</v>
      </c>
      <c r="U3965" s="40" t="str">
        <f t="shared" si="257"/>
        <v>-</v>
      </c>
      <c r="V3965" s="40" t="str" cm="1">
        <f t="array" ref="V3965">_xlfn.IFS(
ISNUMBER(SEARCH("USA",S3965)),"United States",
ISNUMBER(SEARCH("Republic of Ireland",S3965)),"Ireland",
ISNUMBER(SEARCH("Republic of Korea",S3965)),"South Korea",
ISNUMBER(SEARCH("Cape Verde",S3965)),"Cabo Verde",
ISNUMBER(SEARCH("Czechia",S3965)),"Czech Republic",
ISNUMBER(SEARCH("Türkiye",S3965)),"Turkey",
ISNUMBER(SEARCH("Ivory Coast",S3965)),"Côte d'Ivoire",
ISNUMBER(SEARCH("Korea Republic",S3965)),"South Korea",
ISNUMBER(SEARCH("Germany FR",S3965)),"FR Germany",
ISNUMBER(SEARCH("West Germany",S3965)),"FR Germany",
ISNUMBER(SEARCH("Germany DR",S3965)),"DR Germany",
ISNUMBER(SEARCH("Korea DPR",S3965)),"North Korea",
ISNUMBER(SEARCH("China PR",S3965)),"China",
ISNUMBER(SEARCH("IR Iran",S3965)),"Iran",
ISNUMBER(SEARCH("Congo DR",S3965)),"Democratic Republic of the Congo",
ISNUMBER(SEARCH("DR Congo",S3965)),"Democratic Republic of the Congo",
ISNUMBER(SEARCH("German DR",S3965)),"DR Germany",
ISNUMBER(SEARCH("rn""&gt;United Arab Emirates",S3965)),"United Arab Emirates",
ISNUMBER(SEARCH("rn""&gt;Republic of Ireland",S3965)),"Ireland",
ISNUMBER(SEARCH("rn""&gt;Bosnia and Herzegovina",S3965)),"Bosnia and Herzegovina",
ISNUMBER(SEARCH("rn""&gt;Trinidad and Tobago",S3965)),"Trinidad and Tobago",
ISNUMBER(SEARCH("rn""&gt;Serbia and Montenegro",S3965)),"Serbia and Montenegro",
ISNUMBER(SEARCH(_xlfn.UNICHAR(65533),S3965)),"Côte d'Ivoire",
TRUE,""
)</f>
        <v/>
      </c>
      <c r="W3965" s="40" t="str">
        <f t="shared" si="258"/>
        <v>Denmark</v>
      </c>
    </row>
    <row r="3966" spans="19:23">
      <c r="S3966" s="40" t="str">
        <v>Saudi Arabia</v>
      </c>
      <c r="T3966" s="40" t="str">
        <f t="shared" si="256"/>
        <v>OK</v>
      </c>
      <c r="U3966" s="40" t="str">
        <f t="shared" si="257"/>
        <v>-</v>
      </c>
      <c r="V3966" s="40" t="str" cm="1">
        <f t="array" ref="V3966">_xlfn.IFS(
ISNUMBER(SEARCH("USA",S3966)),"United States",
ISNUMBER(SEARCH("Republic of Ireland",S3966)),"Ireland",
ISNUMBER(SEARCH("Republic of Korea",S3966)),"South Korea",
ISNUMBER(SEARCH("Cape Verde",S3966)),"Cabo Verde",
ISNUMBER(SEARCH("Czechia",S3966)),"Czech Republic",
ISNUMBER(SEARCH("Türkiye",S3966)),"Turkey",
ISNUMBER(SEARCH("Ivory Coast",S3966)),"Côte d'Ivoire",
ISNUMBER(SEARCH("Korea Republic",S3966)),"South Korea",
ISNUMBER(SEARCH("Germany FR",S3966)),"FR Germany",
ISNUMBER(SEARCH("West Germany",S3966)),"FR Germany",
ISNUMBER(SEARCH("Germany DR",S3966)),"DR Germany",
ISNUMBER(SEARCH("Korea DPR",S3966)),"North Korea",
ISNUMBER(SEARCH("China PR",S3966)),"China",
ISNUMBER(SEARCH("IR Iran",S3966)),"Iran",
ISNUMBER(SEARCH("Congo DR",S3966)),"Democratic Republic of the Congo",
ISNUMBER(SEARCH("DR Congo",S3966)),"Democratic Republic of the Congo",
ISNUMBER(SEARCH("German DR",S3966)),"DR Germany",
ISNUMBER(SEARCH("rn""&gt;United Arab Emirates",S3966)),"United Arab Emirates",
ISNUMBER(SEARCH("rn""&gt;Republic of Ireland",S3966)),"Ireland",
ISNUMBER(SEARCH("rn""&gt;Bosnia and Herzegovina",S3966)),"Bosnia and Herzegovina",
ISNUMBER(SEARCH("rn""&gt;Trinidad and Tobago",S3966)),"Trinidad and Tobago",
ISNUMBER(SEARCH("rn""&gt;Serbia and Montenegro",S3966)),"Serbia and Montenegro",
ISNUMBER(SEARCH(_xlfn.UNICHAR(65533),S3966)),"Côte d'Ivoire",
TRUE,""
)</f>
        <v/>
      </c>
      <c r="W3966" s="40" t="str">
        <f t="shared" si="258"/>
        <v>Saudi Arabia</v>
      </c>
    </row>
    <row r="3967" spans="19:23">
      <c r="S3967" s="40" t="str">
        <v>Bulgaria</v>
      </c>
      <c r="T3967" s="40" t="str">
        <f t="shared" si="256"/>
        <v>OK</v>
      </c>
      <c r="U3967" s="40" t="str">
        <f t="shared" si="257"/>
        <v>-</v>
      </c>
      <c r="V3967" s="40" t="str" cm="1">
        <f t="array" ref="V3967">_xlfn.IFS(
ISNUMBER(SEARCH("USA",S3967)),"United States",
ISNUMBER(SEARCH("Republic of Ireland",S3967)),"Ireland",
ISNUMBER(SEARCH("Republic of Korea",S3967)),"South Korea",
ISNUMBER(SEARCH("Cape Verde",S3967)),"Cabo Verde",
ISNUMBER(SEARCH("Czechia",S3967)),"Czech Republic",
ISNUMBER(SEARCH("Türkiye",S3967)),"Turkey",
ISNUMBER(SEARCH("Ivory Coast",S3967)),"Côte d'Ivoire",
ISNUMBER(SEARCH("Korea Republic",S3967)),"South Korea",
ISNUMBER(SEARCH("Germany FR",S3967)),"FR Germany",
ISNUMBER(SEARCH("West Germany",S3967)),"FR Germany",
ISNUMBER(SEARCH("Germany DR",S3967)),"DR Germany",
ISNUMBER(SEARCH("Korea DPR",S3967)),"North Korea",
ISNUMBER(SEARCH("China PR",S3967)),"China",
ISNUMBER(SEARCH("IR Iran",S3967)),"Iran",
ISNUMBER(SEARCH("Congo DR",S3967)),"Democratic Republic of the Congo",
ISNUMBER(SEARCH("DR Congo",S3967)),"Democratic Republic of the Congo",
ISNUMBER(SEARCH("German DR",S3967)),"DR Germany",
ISNUMBER(SEARCH("rn""&gt;United Arab Emirates",S3967)),"United Arab Emirates",
ISNUMBER(SEARCH("rn""&gt;Republic of Ireland",S3967)),"Ireland",
ISNUMBER(SEARCH("rn""&gt;Bosnia and Herzegovina",S3967)),"Bosnia and Herzegovina",
ISNUMBER(SEARCH("rn""&gt;Trinidad and Tobago",S3967)),"Trinidad and Tobago",
ISNUMBER(SEARCH("rn""&gt;Serbia and Montenegro",S3967)),"Serbia and Montenegro",
ISNUMBER(SEARCH(_xlfn.UNICHAR(65533),S3967)),"Côte d'Ivoire",
TRUE,""
)</f>
        <v/>
      </c>
      <c r="W3967" s="40" t="str">
        <f t="shared" si="258"/>
        <v>Bulgaria</v>
      </c>
    </row>
    <row r="3968" spans="19:23">
      <c r="S3968" s="40" t="str">
        <v>Paraguay</v>
      </c>
      <c r="T3968" s="40" t="str">
        <f t="shared" si="256"/>
        <v>OK</v>
      </c>
      <c r="U3968" s="40" t="str">
        <f t="shared" si="257"/>
        <v>-</v>
      </c>
      <c r="V3968" s="40" t="str" cm="1">
        <f t="array" ref="V3968">_xlfn.IFS(
ISNUMBER(SEARCH("USA",S3968)),"United States",
ISNUMBER(SEARCH("Republic of Ireland",S3968)),"Ireland",
ISNUMBER(SEARCH("Republic of Korea",S3968)),"South Korea",
ISNUMBER(SEARCH("Cape Verde",S3968)),"Cabo Verde",
ISNUMBER(SEARCH("Czechia",S3968)),"Czech Republic",
ISNUMBER(SEARCH("Türkiye",S3968)),"Turkey",
ISNUMBER(SEARCH("Ivory Coast",S3968)),"Côte d'Ivoire",
ISNUMBER(SEARCH("Korea Republic",S3968)),"South Korea",
ISNUMBER(SEARCH("Germany FR",S3968)),"FR Germany",
ISNUMBER(SEARCH("West Germany",S3968)),"FR Germany",
ISNUMBER(SEARCH("Germany DR",S3968)),"DR Germany",
ISNUMBER(SEARCH("Korea DPR",S3968)),"North Korea",
ISNUMBER(SEARCH("China PR",S3968)),"China",
ISNUMBER(SEARCH("IR Iran",S3968)),"Iran",
ISNUMBER(SEARCH("Congo DR",S3968)),"Democratic Republic of the Congo",
ISNUMBER(SEARCH("DR Congo",S3968)),"Democratic Republic of the Congo",
ISNUMBER(SEARCH("German DR",S3968)),"DR Germany",
ISNUMBER(SEARCH("rn""&gt;United Arab Emirates",S3968)),"United Arab Emirates",
ISNUMBER(SEARCH("rn""&gt;Republic of Ireland",S3968)),"Ireland",
ISNUMBER(SEARCH("rn""&gt;Bosnia and Herzegovina",S3968)),"Bosnia and Herzegovina",
ISNUMBER(SEARCH("rn""&gt;Trinidad and Tobago",S3968)),"Trinidad and Tobago",
ISNUMBER(SEARCH("rn""&gt;Serbia and Montenegro",S3968)),"Serbia and Montenegro",
ISNUMBER(SEARCH(_xlfn.UNICHAR(65533),S3968)),"Côte d'Ivoire",
TRUE,""
)</f>
        <v/>
      </c>
      <c r="W3968" s="40" t="str">
        <f t="shared" si="258"/>
        <v>Paraguay</v>
      </c>
    </row>
    <row r="3969" spans="19:23">
      <c r="S3969" s="40" t="str">
        <v>Croatia</v>
      </c>
      <c r="T3969" s="40" t="str">
        <f t="shared" si="256"/>
        <v>OK</v>
      </c>
      <c r="U3969" s="40" t="str">
        <f t="shared" si="257"/>
        <v>-</v>
      </c>
      <c r="V3969" s="40" t="str" cm="1">
        <f t="array" ref="V3969">_xlfn.IFS(
ISNUMBER(SEARCH("USA",S3969)),"United States",
ISNUMBER(SEARCH("Republic of Ireland",S3969)),"Ireland",
ISNUMBER(SEARCH("Republic of Korea",S3969)),"South Korea",
ISNUMBER(SEARCH("Cape Verde",S3969)),"Cabo Verde",
ISNUMBER(SEARCH("Czechia",S3969)),"Czech Republic",
ISNUMBER(SEARCH("Türkiye",S3969)),"Turkey",
ISNUMBER(SEARCH("Ivory Coast",S3969)),"Côte d'Ivoire",
ISNUMBER(SEARCH("Korea Republic",S3969)),"South Korea",
ISNUMBER(SEARCH("Germany FR",S3969)),"FR Germany",
ISNUMBER(SEARCH("West Germany",S3969)),"FR Germany",
ISNUMBER(SEARCH("Germany DR",S3969)),"DR Germany",
ISNUMBER(SEARCH("Korea DPR",S3969)),"North Korea",
ISNUMBER(SEARCH("China PR",S3969)),"China",
ISNUMBER(SEARCH("IR Iran",S3969)),"Iran",
ISNUMBER(SEARCH("Congo DR",S3969)),"Democratic Republic of the Congo",
ISNUMBER(SEARCH("DR Congo",S3969)),"Democratic Republic of the Congo",
ISNUMBER(SEARCH("German DR",S3969)),"DR Germany",
ISNUMBER(SEARCH("rn""&gt;United Arab Emirates",S3969)),"United Arab Emirates",
ISNUMBER(SEARCH("rn""&gt;Republic of Ireland",S3969)),"Ireland",
ISNUMBER(SEARCH("rn""&gt;Bosnia and Herzegovina",S3969)),"Bosnia and Herzegovina",
ISNUMBER(SEARCH("rn""&gt;Trinidad and Tobago",S3969)),"Trinidad and Tobago",
ISNUMBER(SEARCH("rn""&gt;Serbia and Montenegro",S3969)),"Serbia and Montenegro",
ISNUMBER(SEARCH(_xlfn.UNICHAR(65533),S3969)),"Côte d'Ivoire",
TRUE,""
)</f>
        <v/>
      </c>
      <c r="W3969" s="40" t="str">
        <f t="shared" si="258"/>
        <v>Croatia</v>
      </c>
    </row>
    <row r="3970" spans="19:23">
      <c r="S3970" s="40" t="str">
        <v>Mexico</v>
      </c>
      <c r="T3970" s="40" t="str">
        <f t="shared" si="256"/>
        <v>OK</v>
      </c>
      <c r="U3970" s="40" t="str">
        <f t="shared" si="257"/>
        <v>-</v>
      </c>
      <c r="V3970" s="40" t="str" cm="1">
        <f t="array" ref="V3970">_xlfn.IFS(
ISNUMBER(SEARCH("USA",S3970)),"United States",
ISNUMBER(SEARCH("Republic of Ireland",S3970)),"Ireland",
ISNUMBER(SEARCH("Republic of Korea",S3970)),"South Korea",
ISNUMBER(SEARCH("Cape Verde",S3970)),"Cabo Verde",
ISNUMBER(SEARCH("Czechia",S3970)),"Czech Republic",
ISNUMBER(SEARCH("Türkiye",S3970)),"Turkey",
ISNUMBER(SEARCH("Ivory Coast",S3970)),"Côte d'Ivoire",
ISNUMBER(SEARCH("Korea Republic",S3970)),"South Korea",
ISNUMBER(SEARCH("Germany FR",S3970)),"FR Germany",
ISNUMBER(SEARCH("West Germany",S3970)),"FR Germany",
ISNUMBER(SEARCH("Germany DR",S3970)),"DR Germany",
ISNUMBER(SEARCH("Korea DPR",S3970)),"North Korea",
ISNUMBER(SEARCH("China PR",S3970)),"China",
ISNUMBER(SEARCH("IR Iran",S3970)),"Iran",
ISNUMBER(SEARCH("Congo DR",S3970)),"Democratic Republic of the Congo",
ISNUMBER(SEARCH("DR Congo",S3970)),"Democratic Republic of the Congo",
ISNUMBER(SEARCH("German DR",S3970)),"DR Germany",
ISNUMBER(SEARCH("rn""&gt;United Arab Emirates",S3970)),"United Arab Emirates",
ISNUMBER(SEARCH("rn""&gt;Republic of Ireland",S3970)),"Ireland",
ISNUMBER(SEARCH("rn""&gt;Bosnia and Herzegovina",S3970)),"Bosnia and Herzegovina",
ISNUMBER(SEARCH("rn""&gt;Trinidad and Tobago",S3970)),"Trinidad and Tobago",
ISNUMBER(SEARCH("rn""&gt;Serbia and Montenegro",S3970)),"Serbia and Montenegro",
ISNUMBER(SEARCH(_xlfn.UNICHAR(65533),S3970)),"Côte d'Ivoire",
TRUE,""
)</f>
        <v/>
      </c>
      <c r="W3970" s="40" t="str">
        <f t="shared" si="258"/>
        <v>Mexico</v>
      </c>
    </row>
    <row r="3971" spans="19:23">
      <c r="S3971" s="40" t="str">
        <v>Korea Republic</v>
      </c>
      <c r="T3971" s="40" t="str">
        <f t="shared" ref="T3971:T4034" si="259">IF(COUNTIF(R$13:R$250,S3971)=1,"OK","ERREUR")</f>
        <v>ERREUR</v>
      </c>
      <c r="U3971" s="40" t="str">
        <f t="shared" si="257"/>
        <v>RENOMMER</v>
      </c>
      <c r="V3971" s="40" t="str" cm="1">
        <f t="array" ref="V3971">_xlfn.IFS(
ISNUMBER(SEARCH("USA",S3971)),"United States",
ISNUMBER(SEARCH("Republic of Ireland",S3971)),"Ireland",
ISNUMBER(SEARCH("Republic of Korea",S3971)),"South Korea",
ISNUMBER(SEARCH("Cape Verde",S3971)),"Cabo Verde",
ISNUMBER(SEARCH("Czechia",S3971)),"Czech Republic",
ISNUMBER(SEARCH("Türkiye",S3971)),"Turkey",
ISNUMBER(SEARCH("Ivory Coast",S3971)),"Côte d'Ivoire",
ISNUMBER(SEARCH("Korea Republic",S3971)),"South Korea",
ISNUMBER(SEARCH("Germany FR",S3971)),"FR Germany",
ISNUMBER(SEARCH("West Germany",S3971)),"FR Germany",
ISNUMBER(SEARCH("Germany DR",S3971)),"DR Germany",
ISNUMBER(SEARCH("Korea DPR",S3971)),"North Korea",
ISNUMBER(SEARCH("China PR",S3971)),"China",
ISNUMBER(SEARCH("IR Iran",S3971)),"Iran",
ISNUMBER(SEARCH("Congo DR",S3971)),"Democratic Republic of the Congo",
ISNUMBER(SEARCH("DR Congo",S3971)),"Democratic Republic of the Congo",
ISNUMBER(SEARCH("German DR",S3971)),"DR Germany",
ISNUMBER(SEARCH("rn""&gt;United Arab Emirates",S3971)),"United Arab Emirates",
ISNUMBER(SEARCH("rn""&gt;Republic of Ireland",S3971)),"Ireland",
ISNUMBER(SEARCH("rn""&gt;Bosnia and Herzegovina",S3971)),"Bosnia and Herzegovina",
ISNUMBER(SEARCH("rn""&gt;Trinidad and Tobago",S3971)),"Trinidad and Tobago",
ISNUMBER(SEARCH("rn""&gt;Serbia and Montenegro",S3971)),"Serbia and Montenegro",
ISNUMBER(SEARCH(_xlfn.UNICHAR(65533),S3971)),"Côte d'Ivoire",
TRUE,""
)</f>
        <v>South Korea</v>
      </c>
      <c r="W3971" s="40" t="str">
        <f t="shared" si="258"/>
        <v>South Korea</v>
      </c>
    </row>
    <row r="3972" spans="19:23">
      <c r="S3972" s="40" t="str">
        <v>Yugoslavia</v>
      </c>
      <c r="T3972" s="40" t="str">
        <f t="shared" si="259"/>
        <v>ERREUR</v>
      </c>
      <c r="U3972" s="40" t="str">
        <f t="shared" ref="U3972:U4035" si="260">IF(OR(S3972="Scotland",S3972="England",S3972="Wales",S3972="Yugoslavia",S3972="Czechoslovakia",S3972="Northern Ireland",S3972="Soviet Union",S3972="Zaire",S3972="Dutch East Indies"),"AUCUNE",IF(OR(S3972="Cape Verde",S3972="USA",S3972="DR Congo",S3972="Republic of Korea",S3972="Germany FR",S3972="Germany DR",S3972="Czechia",S3972="Ivory Coast",S3972="Korea DPR",S3972="China PR",S3972="IR Iran",S3972="Türkiye",S3972="Congo DR",S3972="German DR",S3972="West Germany",S3972="Republic of Ireland",ISNUMBER(SEARCH(_xlfn.UNICHAR(65533),S3972)),S3972="Korea Republic",ISNUMBER(SEARCH("rn""&gt;United Arab Emirates",S3972)),ISNUMBER(SEARCH("rn""&gt;Republic of Ireland",S3972)),ISNUMBER(SEARCH("rn""&gt;Bosnia and Herzegovina",S3972)),ISNUMBER(SEARCH("rn""&gt;Trinidad and Tobago",S3972)),ISNUMBER(SEARCH("rn""&gt;Serbia and Montenegro",S3972)),ISNUMBER(SEARCH(_xlfn.UNICHAR(65533),S3972))),"RENOMMER","-"))</f>
        <v>AUCUNE</v>
      </c>
      <c r="V3972" s="40" t="str" cm="1">
        <f t="array" ref="V3972">_xlfn.IFS(
ISNUMBER(SEARCH("USA",S3972)),"United States",
ISNUMBER(SEARCH("Republic of Ireland",S3972)),"Ireland",
ISNUMBER(SEARCH("Republic of Korea",S3972)),"South Korea",
ISNUMBER(SEARCH("Cape Verde",S3972)),"Cabo Verde",
ISNUMBER(SEARCH("Czechia",S3972)),"Czech Republic",
ISNUMBER(SEARCH("Türkiye",S3972)),"Turkey",
ISNUMBER(SEARCH("Ivory Coast",S3972)),"Côte d'Ivoire",
ISNUMBER(SEARCH("Korea Republic",S3972)),"South Korea",
ISNUMBER(SEARCH("Germany FR",S3972)),"FR Germany",
ISNUMBER(SEARCH("West Germany",S3972)),"FR Germany",
ISNUMBER(SEARCH("Germany DR",S3972)),"DR Germany",
ISNUMBER(SEARCH("Korea DPR",S3972)),"North Korea",
ISNUMBER(SEARCH("China PR",S3972)),"China",
ISNUMBER(SEARCH("IR Iran",S3972)),"Iran",
ISNUMBER(SEARCH("Congo DR",S3972)),"Democratic Republic of the Congo",
ISNUMBER(SEARCH("DR Congo",S3972)),"Democratic Republic of the Congo",
ISNUMBER(SEARCH("German DR",S3972)),"DR Germany",
ISNUMBER(SEARCH("rn""&gt;United Arab Emirates",S3972)),"United Arab Emirates",
ISNUMBER(SEARCH("rn""&gt;Republic of Ireland",S3972)),"Ireland",
ISNUMBER(SEARCH("rn""&gt;Bosnia and Herzegovina",S3972)),"Bosnia and Herzegovina",
ISNUMBER(SEARCH("rn""&gt;Trinidad and Tobago",S3972)),"Trinidad and Tobago",
ISNUMBER(SEARCH("rn""&gt;Serbia and Montenegro",S3972)),"Serbia and Montenegro",
ISNUMBER(SEARCH(_xlfn.UNICHAR(65533),S3972)),"Côte d'Ivoire",
TRUE,""
)</f>
        <v/>
      </c>
      <c r="W3972" s="40" t="str">
        <f t="shared" ref="W3972:W4035" si="261">IF(V3972="",S3972,V3972)</f>
        <v>Yugoslavia</v>
      </c>
    </row>
    <row r="3973" spans="19:23">
      <c r="S3973" s="40" t="str">
        <v>Jamaica</v>
      </c>
      <c r="T3973" s="40" t="str">
        <f t="shared" si="259"/>
        <v>OK</v>
      </c>
      <c r="U3973" s="40" t="str">
        <f t="shared" si="260"/>
        <v>-</v>
      </c>
      <c r="V3973" s="40" t="str" cm="1">
        <f t="array" ref="V3973">_xlfn.IFS(
ISNUMBER(SEARCH("USA",S3973)),"United States",
ISNUMBER(SEARCH("Republic of Ireland",S3973)),"Ireland",
ISNUMBER(SEARCH("Republic of Korea",S3973)),"South Korea",
ISNUMBER(SEARCH("Cape Verde",S3973)),"Cabo Verde",
ISNUMBER(SEARCH("Czechia",S3973)),"Czech Republic",
ISNUMBER(SEARCH("Türkiye",S3973)),"Turkey",
ISNUMBER(SEARCH("Ivory Coast",S3973)),"Côte d'Ivoire",
ISNUMBER(SEARCH("Korea Republic",S3973)),"South Korea",
ISNUMBER(SEARCH("Germany FR",S3973)),"FR Germany",
ISNUMBER(SEARCH("West Germany",S3973)),"FR Germany",
ISNUMBER(SEARCH("Germany DR",S3973)),"DR Germany",
ISNUMBER(SEARCH("Korea DPR",S3973)),"North Korea",
ISNUMBER(SEARCH("China PR",S3973)),"China",
ISNUMBER(SEARCH("IR Iran",S3973)),"Iran",
ISNUMBER(SEARCH("Congo DR",S3973)),"Democratic Republic of the Congo",
ISNUMBER(SEARCH("DR Congo",S3973)),"Democratic Republic of the Congo",
ISNUMBER(SEARCH("German DR",S3973)),"DR Germany",
ISNUMBER(SEARCH("rn""&gt;United Arab Emirates",S3973)),"United Arab Emirates",
ISNUMBER(SEARCH("rn""&gt;Republic of Ireland",S3973)),"Ireland",
ISNUMBER(SEARCH("rn""&gt;Bosnia and Herzegovina",S3973)),"Bosnia and Herzegovina",
ISNUMBER(SEARCH("rn""&gt;Trinidad and Tobago",S3973)),"Trinidad and Tobago",
ISNUMBER(SEARCH("rn""&gt;Serbia and Montenegro",S3973)),"Serbia and Montenegro",
ISNUMBER(SEARCH(_xlfn.UNICHAR(65533),S3973)),"Côte d'Ivoire",
TRUE,""
)</f>
        <v/>
      </c>
      <c r="W3973" s="40" t="str">
        <f t="shared" si="261"/>
        <v>Jamaica</v>
      </c>
    </row>
    <row r="3974" spans="19:23">
      <c r="S3974" s="40" t="str">
        <v>Iran</v>
      </c>
      <c r="T3974" s="40" t="str">
        <f t="shared" si="259"/>
        <v>OK</v>
      </c>
      <c r="U3974" s="40" t="str">
        <f t="shared" si="260"/>
        <v>-</v>
      </c>
      <c r="V3974" s="40" t="str" cm="1">
        <f t="array" ref="V3974">_xlfn.IFS(
ISNUMBER(SEARCH("USA",S3974)),"United States",
ISNUMBER(SEARCH("Republic of Ireland",S3974)),"Ireland",
ISNUMBER(SEARCH("Republic of Korea",S3974)),"South Korea",
ISNUMBER(SEARCH("Cape Verde",S3974)),"Cabo Verde",
ISNUMBER(SEARCH("Czechia",S3974)),"Czech Republic",
ISNUMBER(SEARCH("Türkiye",S3974)),"Turkey",
ISNUMBER(SEARCH("Ivory Coast",S3974)),"Côte d'Ivoire",
ISNUMBER(SEARCH("Korea Republic",S3974)),"South Korea",
ISNUMBER(SEARCH("Germany FR",S3974)),"FR Germany",
ISNUMBER(SEARCH("West Germany",S3974)),"FR Germany",
ISNUMBER(SEARCH("Germany DR",S3974)),"DR Germany",
ISNUMBER(SEARCH("Korea DPR",S3974)),"North Korea",
ISNUMBER(SEARCH("China PR",S3974)),"China",
ISNUMBER(SEARCH("IR Iran",S3974)),"Iran",
ISNUMBER(SEARCH("Congo DR",S3974)),"Democratic Republic of the Congo",
ISNUMBER(SEARCH("DR Congo",S3974)),"Democratic Republic of the Congo",
ISNUMBER(SEARCH("German DR",S3974)),"DR Germany",
ISNUMBER(SEARCH("rn""&gt;United Arab Emirates",S3974)),"United Arab Emirates",
ISNUMBER(SEARCH("rn""&gt;Republic of Ireland",S3974)),"Ireland",
ISNUMBER(SEARCH("rn""&gt;Bosnia and Herzegovina",S3974)),"Bosnia and Herzegovina",
ISNUMBER(SEARCH("rn""&gt;Trinidad and Tobago",S3974)),"Trinidad and Tobago",
ISNUMBER(SEARCH("rn""&gt;Serbia and Montenegro",S3974)),"Serbia and Montenegro",
ISNUMBER(SEARCH(_xlfn.UNICHAR(65533),S3974)),"Côte d'Ivoire",
TRUE,""
)</f>
        <v/>
      </c>
      <c r="W3974" s="40" t="str">
        <f t="shared" si="261"/>
        <v>Iran</v>
      </c>
    </row>
    <row r="3975" spans="19:23">
      <c r="S3975" s="40" t="str">
        <v>Tunisia</v>
      </c>
      <c r="T3975" s="40" t="str">
        <f t="shared" si="259"/>
        <v>OK</v>
      </c>
      <c r="U3975" s="40" t="str">
        <f t="shared" si="260"/>
        <v>-</v>
      </c>
      <c r="V3975" s="40" t="str" cm="1">
        <f t="array" ref="V3975">_xlfn.IFS(
ISNUMBER(SEARCH("USA",S3975)),"United States",
ISNUMBER(SEARCH("Republic of Ireland",S3975)),"Ireland",
ISNUMBER(SEARCH("Republic of Korea",S3975)),"South Korea",
ISNUMBER(SEARCH("Cape Verde",S3975)),"Cabo Verde",
ISNUMBER(SEARCH("Czechia",S3975)),"Czech Republic",
ISNUMBER(SEARCH("Türkiye",S3975)),"Turkey",
ISNUMBER(SEARCH("Ivory Coast",S3975)),"Côte d'Ivoire",
ISNUMBER(SEARCH("Korea Republic",S3975)),"South Korea",
ISNUMBER(SEARCH("Germany FR",S3975)),"FR Germany",
ISNUMBER(SEARCH("West Germany",S3975)),"FR Germany",
ISNUMBER(SEARCH("Germany DR",S3975)),"DR Germany",
ISNUMBER(SEARCH("Korea DPR",S3975)),"North Korea",
ISNUMBER(SEARCH("China PR",S3975)),"China",
ISNUMBER(SEARCH("IR Iran",S3975)),"Iran",
ISNUMBER(SEARCH("Congo DR",S3975)),"Democratic Republic of the Congo",
ISNUMBER(SEARCH("DR Congo",S3975)),"Democratic Republic of the Congo",
ISNUMBER(SEARCH("German DR",S3975)),"DR Germany",
ISNUMBER(SEARCH("rn""&gt;United Arab Emirates",S3975)),"United Arab Emirates",
ISNUMBER(SEARCH("rn""&gt;Republic of Ireland",S3975)),"Ireland",
ISNUMBER(SEARCH("rn""&gt;Bosnia and Herzegovina",S3975)),"Bosnia and Herzegovina",
ISNUMBER(SEARCH("rn""&gt;Trinidad and Tobago",S3975)),"Trinidad and Tobago",
ISNUMBER(SEARCH("rn""&gt;Serbia and Montenegro",S3975)),"Serbia and Montenegro",
ISNUMBER(SEARCH(_xlfn.UNICHAR(65533),S3975)),"Côte d'Ivoire",
TRUE,""
)</f>
        <v/>
      </c>
      <c r="W3975" s="40" t="str">
        <f t="shared" si="261"/>
        <v>Tunisia</v>
      </c>
    </row>
    <row r="3976" spans="19:23">
      <c r="S3976" s="40" t="str">
        <v>England</v>
      </c>
      <c r="T3976" s="40" t="str">
        <f t="shared" si="259"/>
        <v>ERREUR</v>
      </c>
      <c r="U3976" s="40" t="str">
        <f t="shared" si="260"/>
        <v>AUCUNE</v>
      </c>
      <c r="V3976" s="40" t="str" cm="1">
        <f t="array" ref="V3976">_xlfn.IFS(
ISNUMBER(SEARCH("USA",S3976)),"United States",
ISNUMBER(SEARCH("Republic of Ireland",S3976)),"Ireland",
ISNUMBER(SEARCH("Republic of Korea",S3976)),"South Korea",
ISNUMBER(SEARCH("Cape Verde",S3976)),"Cabo Verde",
ISNUMBER(SEARCH("Czechia",S3976)),"Czech Republic",
ISNUMBER(SEARCH("Türkiye",S3976)),"Turkey",
ISNUMBER(SEARCH("Ivory Coast",S3976)),"Côte d'Ivoire",
ISNUMBER(SEARCH("Korea Republic",S3976)),"South Korea",
ISNUMBER(SEARCH("Germany FR",S3976)),"FR Germany",
ISNUMBER(SEARCH("West Germany",S3976)),"FR Germany",
ISNUMBER(SEARCH("Germany DR",S3976)),"DR Germany",
ISNUMBER(SEARCH("Korea DPR",S3976)),"North Korea",
ISNUMBER(SEARCH("China PR",S3976)),"China",
ISNUMBER(SEARCH("IR Iran",S3976)),"Iran",
ISNUMBER(SEARCH("Congo DR",S3976)),"Democratic Republic of the Congo",
ISNUMBER(SEARCH("DR Congo",S3976)),"Democratic Republic of the Congo",
ISNUMBER(SEARCH("German DR",S3976)),"DR Germany",
ISNUMBER(SEARCH("rn""&gt;United Arab Emirates",S3976)),"United Arab Emirates",
ISNUMBER(SEARCH("rn""&gt;Republic of Ireland",S3976)),"Ireland",
ISNUMBER(SEARCH("rn""&gt;Bosnia and Herzegovina",S3976)),"Bosnia and Herzegovina",
ISNUMBER(SEARCH("rn""&gt;Trinidad and Tobago",S3976)),"Trinidad and Tobago",
ISNUMBER(SEARCH("rn""&gt;Serbia and Montenegro",S3976)),"Serbia and Montenegro",
ISNUMBER(SEARCH(_xlfn.UNICHAR(65533),S3976)),"Côte d'Ivoire",
TRUE,""
)</f>
        <v/>
      </c>
      <c r="W3976" s="40" t="str">
        <f t="shared" si="261"/>
        <v>England</v>
      </c>
    </row>
    <row r="3977" spans="19:23">
      <c r="S3977" s="40" t="str">
        <v>Austria</v>
      </c>
      <c r="T3977" s="40" t="str">
        <f t="shared" si="259"/>
        <v>OK</v>
      </c>
      <c r="U3977" s="40" t="str">
        <f t="shared" si="260"/>
        <v>-</v>
      </c>
      <c r="V3977" s="40" t="str" cm="1">
        <f t="array" ref="V3977">_xlfn.IFS(
ISNUMBER(SEARCH("USA",S3977)),"United States",
ISNUMBER(SEARCH("Republic of Ireland",S3977)),"Ireland",
ISNUMBER(SEARCH("Republic of Korea",S3977)),"South Korea",
ISNUMBER(SEARCH("Cape Verde",S3977)),"Cabo Verde",
ISNUMBER(SEARCH("Czechia",S3977)),"Czech Republic",
ISNUMBER(SEARCH("Türkiye",S3977)),"Turkey",
ISNUMBER(SEARCH("Ivory Coast",S3977)),"Côte d'Ivoire",
ISNUMBER(SEARCH("Korea Republic",S3977)),"South Korea",
ISNUMBER(SEARCH("Germany FR",S3977)),"FR Germany",
ISNUMBER(SEARCH("West Germany",S3977)),"FR Germany",
ISNUMBER(SEARCH("Germany DR",S3977)),"DR Germany",
ISNUMBER(SEARCH("Korea DPR",S3977)),"North Korea",
ISNUMBER(SEARCH("China PR",S3977)),"China",
ISNUMBER(SEARCH("IR Iran",S3977)),"Iran",
ISNUMBER(SEARCH("Congo DR",S3977)),"Democratic Republic of the Congo",
ISNUMBER(SEARCH("DR Congo",S3977)),"Democratic Republic of the Congo",
ISNUMBER(SEARCH("German DR",S3977)),"DR Germany",
ISNUMBER(SEARCH("rn""&gt;United Arab Emirates",S3977)),"United Arab Emirates",
ISNUMBER(SEARCH("rn""&gt;Republic of Ireland",S3977)),"Ireland",
ISNUMBER(SEARCH("rn""&gt;Bosnia and Herzegovina",S3977)),"Bosnia and Herzegovina",
ISNUMBER(SEARCH("rn""&gt;Trinidad and Tobago",S3977)),"Trinidad and Tobago",
ISNUMBER(SEARCH("rn""&gt;Serbia and Montenegro",S3977)),"Serbia and Montenegro",
ISNUMBER(SEARCH(_xlfn.UNICHAR(65533),S3977)),"Côte d'Ivoire",
TRUE,""
)</f>
        <v/>
      </c>
      <c r="W3977" s="40" t="str">
        <f t="shared" si="261"/>
        <v>Austria</v>
      </c>
    </row>
    <row r="3978" spans="19:23">
      <c r="S3978" s="40" t="str">
        <v>Cameroon</v>
      </c>
      <c r="T3978" s="40" t="str">
        <f t="shared" si="259"/>
        <v>OK</v>
      </c>
      <c r="U3978" s="40" t="str">
        <f t="shared" si="260"/>
        <v>-</v>
      </c>
      <c r="V3978" s="40" t="str" cm="1">
        <f t="array" ref="V3978">_xlfn.IFS(
ISNUMBER(SEARCH("USA",S3978)),"United States",
ISNUMBER(SEARCH("Republic of Ireland",S3978)),"Ireland",
ISNUMBER(SEARCH("Republic of Korea",S3978)),"South Korea",
ISNUMBER(SEARCH("Cape Verde",S3978)),"Cabo Verde",
ISNUMBER(SEARCH("Czechia",S3978)),"Czech Republic",
ISNUMBER(SEARCH("Türkiye",S3978)),"Turkey",
ISNUMBER(SEARCH("Ivory Coast",S3978)),"Côte d'Ivoire",
ISNUMBER(SEARCH("Korea Republic",S3978)),"South Korea",
ISNUMBER(SEARCH("Germany FR",S3978)),"FR Germany",
ISNUMBER(SEARCH("West Germany",S3978)),"FR Germany",
ISNUMBER(SEARCH("Germany DR",S3978)),"DR Germany",
ISNUMBER(SEARCH("Korea DPR",S3978)),"North Korea",
ISNUMBER(SEARCH("China PR",S3978)),"China",
ISNUMBER(SEARCH("IR Iran",S3978)),"Iran",
ISNUMBER(SEARCH("Congo DR",S3978)),"Democratic Republic of the Congo",
ISNUMBER(SEARCH("DR Congo",S3978)),"Democratic Republic of the Congo",
ISNUMBER(SEARCH("German DR",S3978)),"DR Germany",
ISNUMBER(SEARCH("rn""&gt;United Arab Emirates",S3978)),"United Arab Emirates",
ISNUMBER(SEARCH("rn""&gt;Republic of Ireland",S3978)),"Ireland",
ISNUMBER(SEARCH("rn""&gt;Bosnia and Herzegovina",S3978)),"Bosnia and Herzegovina",
ISNUMBER(SEARCH("rn""&gt;Trinidad and Tobago",S3978)),"Trinidad and Tobago",
ISNUMBER(SEARCH("rn""&gt;Serbia and Montenegro",S3978)),"Serbia and Montenegro",
ISNUMBER(SEARCH(_xlfn.UNICHAR(65533),S3978)),"Côte d'Ivoire",
TRUE,""
)</f>
        <v/>
      </c>
      <c r="W3978" s="40" t="str">
        <f t="shared" si="261"/>
        <v>Cameroon</v>
      </c>
    </row>
    <row r="3979" spans="19:23">
      <c r="S3979" s="40" t="str">
        <v>Morocco</v>
      </c>
      <c r="T3979" s="40" t="str">
        <f t="shared" si="259"/>
        <v>OK</v>
      </c>
      <c r="U3979" s="40" t="str">
        <f t="shared" si="260"/>
        <v>-</v>
      </c>
      <c r="V3979" s="40" t="str" cm="1">
        <f t="array" ref="V3979">_xlfn.IFS(
ISNUMBER(SEARCH("USA",S3979)),"United States",
ISNUMBER(SEARCH("Republic of Ireland",S3979)),"Ireland",
ISNUMBER(SEARCH("Republic of Korea",S3979)),"South Korea",
ISNUMBER(SEARCH("Cape Verde",S3979)),"Cabo Verde",
ISNUMBER(SEARCH("Czechia",S3979)),"Czech Republic",
ISNUMBER(SEARCH("Türkiye",S3979)),"Turkey",
ISNUMBER(SEARCH("Ivory Coast",S3979)),"Côte d'Ivoire",
ISNUMBER(SEARCH("Korea Republic",S3979)),"South Korea",
ISNUMBER(SEARCH("Germany FR",S3979)),"FR Germany",
ISNUMBER(SEARCH("West Germany",S3979)),"FR Germany",
ISNUMBER(SEARCH("Germany DR",S3979)),"DR Germany",
ISNUMBER(SEARCH("Korea DPR",S3979)),"North Korea",
ISNUMBER(SEARCH("China PR",S3979)),"China",
ISNUMBER(SEARCH("IR Iran",S3979)),"Iran",
ISNUMBER(SEARCH("Congo DR",S3979)),"Democratic Republic of the Congo",
ISNUMBER(SEARCH("DR Congo",S3979)),"Democratic Republic of the Congo",
ISNUMBER(SEARCH("German DR",S3979)),"DR Germany",
ISNUMBER(SEARCH("rn""&gt;United Arab Emirates",S3979)),"United Arab Emirates",
ISNUMBER(SEARCH("rn""&gt;Republic of Ireland",S3979)),"Ireland",
ISNUMBER(SEARCH("rn""&gt;Bosnia and Herzegovina",S3979)),"Bosnia and Herzegovina",
ISNUMBER(SEARCH("rn""&gt;Trinidad and Tobago",S3979)),"Trinidad and Tobago",
ISNUMBER(SEARCH("rn""&gt;Serbia and Montenegro",S3979)),"Serbia and Montenegro",
ISNUMBER(SEARCH(_xlfn.UNICHAR(65533),S3979)),"Côte d'Ivoire",
TRUE,""
)</f>
        <v/>
      </c>
      <c r="W3979" s="40" t="str">
        <f t="shared" si="261"/>
        <v>Morocco</v>
      </c>
    </row>
    <row r="3980" spans="19:23">
      <c r="S3980" s="40" t="str">
        <v>Norway</v>
      </c>
      <c r="T3980" s="40" t="str">
        <f t="shared" si="259"/>
        <v>OK</v>
      </c>
      <c r="U3980" s="40" t="str">
        <f t="shared" si="260"/>
        <v>-</v>
      </c>
      <c r="V3980" s="40" t="str" cm="1">
        <f t="array" ref="V3980">_xlfn.IFS(
ISNUMBER(SEARCH("USA",S3980)),"United States",
ISNUMBER(SEARCH("Republic of Ireland",S3980)),"Ireland",
ISNUMBER(SEARCH("Republic of Korea",S3980)),"South Korea",
ISNUMBER(SEARCH("Cape Verde",S3980)),"Cabo Verde",
ISNUMBER(SEARCH("Czechia",S3980)),"Czech Republic",
ISNUMBER(SEARCH("Türkiye",S3980)),"Turkey",
ISNUMBER(SEARCH("Ivory Coast",S3980)),"Côte d'Ivoire",
ISNUMBER(SEARCH("Korea Republic",S3980)),"South Korea",
ISNUMBER(SEARCH("Germany FR",S3980)),"FR Germany",
ISNUMBER(SEARCH("West Germany",S3980)),"FR Germany",
ISNUMBER(SEARCH("Germany DR",S3980)),"DR Germany",
ISNUMBER(SEARCH("Korea DPR",S3980)),"North Korea",
ISNUMBER(SEARCH("China PR",S3980)),"China",
ISNUMBER(SEARCH("IR Iran",S3980)),"Iran",
ISNUMBER(SEARCH("Congo DR",S3980)),"Democratic Republic of the Congo",
ISNUMBER(SEARCH("DR Congo",S3980)),"Democratic Republic of the Congo",
ISNUMBER(SEARCH("German DR",S3980)),"DR Germany",
ISNUMBER(SEARCH("rn""&gt;United Arab Emirates",S3980)),"United Arab Emirates",
ISNUMBER(SEARCH("rn""&gt;Republic of Ireland",S3980)),"Ireland",
ISNUMBER(SEARCH("rn""&gt;Bosnia and Herzegovina",S3980)),"Bosnia and Herzegovina",
ISNUMBER(SEARCH("rn""&gt;Trinidad and Tobago",S3980)),"Trinidad and Tobago",
ISNUMBER(SEARCH("rn""&gt;Serbia and Montenegro",S3980)),"Serbia and Montenegro",
ISNUMBER(SEARCH(_xlfn.UNICHAR(65533),S3980)),"Côte d'Ivoire",
TRUE,""
)</f>
        <v/>
      </c>
      <c r="W3980" s="40" t="str">
        <f t="shared" si="261"/>
        <v>Norway</v>
      </c>
    </row>
    <row r="3981" spans="19:23">
      <c r="S3981" s="40" t="str">
        <v>Denmark</v>
      </c>
      <c r="T3981" s="40" t="str">
        <f t="shared" si="259"/>
        <v>OK</v>
      </c>
      <c r="U3981" s="40" t="str">
        <f t="shared" si="260"/>
        <v>-</v>
      </c>
      <c r="V3981" s="40" t="str" cm="1">
        <f t="array" ref="V3981">_xlfn.IFS(
ISNUMBER(SEARCH("USA",S3981)),"United States",
ISNUMBER(SEARCH("Republic of Ireland",S3981)),"Ireland",
ISNUMBER(SEARCH("Republic of Korea",S3981)),"South Korea",
ISNUMBER(SEARCH("Cape Verde",S3981)),"Cabo Verde",
ISNUMBER(SEARCH("Czechia",S3981)),"Czech Republic",
ISNUMBER(SEARCH("Türkiye",S3981)),"Turkey",
ISNUMBER(SEARCH("Ivory Coast",S3981)),"Côte d'Ivoire",
ISNUMBER(SEARCH("Korea Republic",S3981)),"South Korea",
ISNUMBER(SEARCH("Germany FR",S3981)),"FR Germany",
ISNUMBER(SEARCH("West Germany",S3981)),"FR Germany",
ISNUMBER(SEARCH("Germany DR",S3981)),"DR Germany",
ISNUMBER(SEARCH("Korea DPR",S3981)),"North Korea",
ISNUMBER(SEARCH("China PR",S3981)),"China",
ISNUMBER(SEARCH("IR Iran",S3981)),"Iran",
ISNUMBER(SEARCH("Congo DR",S3981)),"Democratic Republic of the Congo",
ISNUMBER(SEARCH("DR Congo",S3981)),"Democratic Republic of the Congo",
ISNUMBER(SEARCH("German DR",S3981)),"DR Germany",
ISNUMBER(SEARCH("rn""&gt;United Arab Emirates",S3981)),"United Arab Emirates",
ISNUMBER(SEARCH("rn""&gt;Republic of Ireland",S3981)),"Ireland",
ISNUMBER(SEARCH("rn""&gt;Bosnia and Herzegovina",S3981)),"Bosnia and Herzegovina",
ISNUMBER(SEARCH("rn""&gt;Trinidad and Tobago",S3981)),"Trinidad and Tobago",
ISNUMBER(SEARCH("rn""&gt;Serbia and Montenegro",S3981)),"Serbia and Montenegro",
ISNUMBER(SEARCH(_xlfn.UNICHAR(65533),S3981)),"Côte d'Ivoire",
TRUE,""
)</f>
        <v/>
      </c>
      <c r="W3981" s="40" t="str">
        <f t="shared" si="261"/>
        <v>Denmark</v>
      </c>
    </row>
    <row r="3982" spans="19:23">
      <c r="S3982" s="40" t="str">
        <v>Saudi Arabia</v>
      </c>
      <c r="T3982" s="40" t="str">
        <f t="shared" si="259"/>
        <v>OK</v>
      </c>
      <c r="U3982" s="40" t="str">
        <f t="shared" si="260"/>
        <v>-</v>
      </c>
      <c r="V3982" s="40" t="str" cm="1">
        <f t="array" ref="V3982">_xlfn.IFS(
ISNUMBER(SEARCH("USA",S3982)),"United States",
ISNUMBER(SEARCH("Republic of Ireland",S3982)),"Ireland",
ISNUMBER(SEARCH("Republic of Korea",S3982)),"South Korea",
ISNUMBER(SEARCH("Cape Verde",S3982)),"Cabo Verde",
ISNUMBER(SEARCH("Czechia",S3982)),"Czech Republic",
ISNUMBER(SEARCH("Türkiye",S3982)),"Turkey",
ISNUMBER(SEARCH("Ivory Coast",S3982)),"Côte d'Ivoire",
ISNUMBER(SEARCH("Korea Republic",S3982)),"South Korea",
ISNUMBER(SEARCH("Germany FR",S3982)),"FR Germany",
ISNUMBER(SEARCH("West Germany",S3982)),"FR Germany",
ISNUMBER(SEARCH("Germany DR",S3982)),"DR Germany",
ISNUMBER(SEARCH("Korea DPR",S3982)),"North Korea",
ISNUMBER(SEARCH("China PR",S3982)),"China",
ISNUMBER(SEARCH("IR Iran",S3982)),"Iran",
ISNUMBER(SEARCH("Congo DR",S3982)),"Democratic Republic of the Congo",
ISNUMBER(SEARCH("DR Congo",S3982)),"Democratic Republic of the Congo",
ISNUMBER(SEARCH("German DR",S3982)),"DR Germany",
ISNUMBER(SEARCH("rn""&gt;United Arab Emirates",S3982)),"United Arab Emirates",
ISNUMBER(SEARCH("rn""&gt;Republic of Ireland",S3982)),"Ireland",
ISNUMBER(SEARCH("rn""&gt;Bosnia and Herzegovina",S3982)),"Bosnia and Herzegovina",
ISNUMBER(SEARCH("rn""&gt;Trinidad and Tobago",S3982)),"Trinidad and Tobago",
ISNUMBER(SEARCH("rn""&gt;Serbia and Montenegro",S3982)),"Serbia and Montenegro",
ISNUMBER(SEARCH(_xlfn.UNICHAR(65533),S3982)),"Côte d'Ivoire",
TRUE,""
)</f>
        <v/>
      </c>
      <c r="W3982" s="40" t="str">
        <f t="shared" si="261"/>
        <v>Saudi Arabia</v>
      </c>
    </row>
    <row r="3983" spans="19:23">
      <c r="S3983" s="40" t="str">
        <v>Bulgaria</v>
      </c>
      <c r="T3983" s="40" t="str">
        <f t="shared" si="259"/>
        <v>OK</v>
      </c>
      <c r="U3983" s="40" t="str">
        <f t="shared" si="260"/>
        <v>-</v>
      </c>
      <c r="V3983" s="40" t="str" cm="1">
        <f t="array" ref="V3983">_xlfn.IFS(
ISNUMBER(SEARCH("USA",S3983)),"United States",
ISNUMBER(SEARCH("Republic of Ireland",S3983)),"Ireland",
ISNUMBER(SEARCH("Republic of Korea",S3983)),"South Korea",
ISNUMBER(SEARCH("Cape Verde",S3983)),"Cabo Verde",
ISNUMBER(SEARCH("Czechia",S3983)),"Czech Republic",
ISNUMBER(SEARCH("Türkiye",S3983)),"Turkey",
ISNUMBER(SEARCH("Ivory Coast",S3983)),"Côte d'Ivoire",
ISNUMBER(SEARCH("Korea Republic",S3983)),"South Korea",
ISNUMBER(SEARCH("Germany FR",S3983)),"FR Germany",
ISNUMBER(SEARCH("West Germany",S3983)),"FR Germany",
ISNUMBER(SEARCH("Germany DR",S3983)),"DR Germany",
ISNUMBER(SEARCH("Korea DPR",S3983)),"North Korea",
ISNUMBER(SEARCH("China PR",S3983)),"China",
ISNUMBER(SEARCH("IR Iran",S3983)),"Iran",
ISNUMBER(SEARCH("Congo DR",S3983)),"Democratic Republic of the Congo",
ISNUMBER(SEARCH("DR Congo",S3983)),"Democratic Republic of the Congo",
ISNUMBER(SEARCH("German DR",S3983)),"DR Germany",
ISNUMBER(SEARCH("rn""&gt;United Arab Emirates",S3983)),"United Arab Emirates",
ISNUMBER(SEARCH("rn""&gt;Republic of Ireland",S3983)),"Ireland",
ISNUMBER(SEARCH("rn""&gt;Bosnia and Herzegovina",S3983)),"Bosnia and Herzegovina",
ISNUMBER(SEARCH("rn""&gt;Trinidad and Tobago",S3983)),"Trinidad and Tobago",
ISNUMBER(SEARCH("rn""&gt;Serbia and Montenegro",S3983)),"Serbia and Montenegro",
ISNUMBER(SEARCH(_xlfn.UNICHAR(65533),S3983)),"Côte d'Ivoire",
TRUE,""
)</f>
        <v/>
      </c>
      <c r="W3983" s="40" t="str">
        <f t="shared" si="261"/>
        <v>Bulgaria</v>
      </c>
    </row>
    <row r="3984" spans="19:23">
      <c r="S3984" s="40" t="str">
        <v>Paraguay</v>
      </c>
      <c r="T3984" s="40" t="str">
        <f t="shared" si="259"/>
        <v>OK</v>
      </c>
      <c r="U3984" s="40" t="str">
        <f t="shared" si="260"/>
        <v>-</v>
      </c>
      <c r="V3984" s="40" t="str" cm="1">
        <f t="array" ref="V3984">_xlfn.IFS(
ISNUMBER(SEARCH("USA",S3984)),"United States",
ISNUMBER(SEARCH("Republic of Ireland",S3984)),"Ireland",
ISNUMBER(SEARCH("Republic of Korea",S3984)),"South Korea",
ISNUMBER(SEARCH("Cape Verde",S3984)),"Cabo Verde",
ISNUMBER(SEARCH("Czechia",S3984)),"Czech Republic",
ISNUMBER(SEARCH("Türkiye",S3984)),"Turkey",
ISNUMBER(SEARCH("Ivory Coast",S3984)),"Côte d'Ivoire",
ISNUMBER(SEARCH("Korea Republic",S3984)),"South Korea",
ISNUMBER(SEARCH("Germany FR",S3984)),"FR Germany",
ISNUMBER(SEARCH("West Germany",S3984)),"FR Germany",
ISNUMBER(SEARCH("Germany DR",S3984)),"DR Germany",
ISNUMBER(SEARCH("Korea DPR",S3984)),"North Korea",
ISNUMBER(SEARCH("China PR",S3984)),"China",
ISNUMBER(SEARCH("IR Iran",S3984)),"Iran",
ISNUMBER(SEARCH("Congo DR",S3984)),"Democratic Republic of the Congo",
ISNUMBER(SEARCH("DR Congo",S3984)),"Democratic Republic of the Congo",
ISNUMBER(SEARCH("German DR",S3984)),"DR Germany",
ISNUMBER(SEARCH("rn""&gt;United Arab Emirates",S3984)),"United Arab Emirates",
ISNUMBER(SEARCH("rn""&gt;Republic of Ireland",S3984)),"Ireland",
ISNUMBER(SEARCH("rn""&gt;Bosnia and Herzegovina",S3984)),"Bosnia and Herzegovina",
ISNUMBER(SEARCH("rn""&gt;Trinidad and Tobago",S3984)),"Trinidad and Tobago",
ISNUMBER(SEARCH("rn""&gt;Serbia and Montenegro",S3984)),"Serbia and Montenegro",
ISNUMBER(SEARCH(_xlfn.UNICHAR(65533),S3984)),"Côte d'Ivoire",
TRUE,""
)</f>
        <v/>
      </c>
      <c r="W3984" s="40" t="str">
        <f t="shared" si="261"/>
        <v>Paraguay</v>
      </c>
    </row>
    <row r="3985" spans="19:23">
      <c r="S3985" s="40" t="str">
        <v>Korea Republic</v>
      </c>
      <c r="T3985" s="40" t="str">
        <f t="shared" si="259"/>
        <v>ERREUR</v>
      </c>
      <c r="U3985" s="40" t="str">
        <f t="shared" si="260"/>
        <v>RENOMMER</v>
      </c>
      <c r="V3985" s="40" t="str" cm="1">
        <f t="array" ref="V3985">_xlfn.IFS(
ISNUMBER(SEARCH("USA",S3985)),"United States",
ISNUMBER(SEARCH("Republic of Ireland",S3985)),"Ireland",
ISNUMBER(SEARCH("Republic of Korea",S3985)),"South Korea",
ISNUMBER(SEARCH("Cape Verde",S3985)),"Cabo Verde",
ISNUMBER(SEARCH("Czechia",S3985)),"Czech Republic",
ISNUMBER(SEARCH("Türkiye",S3985)),"Turkey",
ISNUMBER(SEARCH("Ivory Coast",S3985)),"Côte d'Ivoire",
ISNUMBER(SEARCH("Korea Republic",S3985)),"South Korea",
ISNUMBER(SEARCH("Germany FR",S3985)),"FR Germany",
ISNUMBER(SEARCH("West Germany",S3985)),"FR Germany",
ISNUMBER(SEARCH("Germany DR",S3985)),"DR Germany",
ISNUMBER(SEARCH("Korea DPR",S3985)),"North Korea",
ISNUMBER(SEARCH("China PR",S3985)),"China",
ISNUMBER(SEARCH("IR Iran",S3985)),"Iran",
ISNUMBER(SEARCH("Congo DR",S3985)),"Democratic Republic of the Congo",
ISNUMBER(SEARCH("DR Congo",S3985)),"Democratic Republic of the Congo",
ISNUMBER(SEARCH("German DR",S3985)),"DR Germany",
ISNUMBER(SEARCH("rn""&gt;United Arab Emirates",S3985)),"United Arab Emirates",
ISNUMBER(SEARCH("rn""&gt;Republic of Ireland",S3985)),"Ireland",
ISNUMBER(SEARCH("rn""&gt;Bosnia and Herzegovina",S3985)),"Bosnia and Herzegovina",
ISNUMBER(SEARCH("rn""&gt;Trinidad and Tobago",S3985)),"Trinidad and Tobago",
ISNUMBER(SEARCH("rn""&gt;Serbia and Montenegro",S3985)),"Serbia and Montenegro",
ISNUMBER(SEARCH(_xlfn.UNICHAR(65533),S3985)),"Côte d'Ivoire",
TRUE,""
)</f>
        <v>South Korea</v>
      </c>
      <c r="W3985" s="40" t="str">
        <f t="shared" si="261"/>
        <v>South Korea</v>
      </c>
    </row>
    <row r="3986" spans="19:23">
      <c r="S3986" s="40" t="str">
        <v>Mexico</v>
      </c>
      <c r="T3986" s="40" t="str">
        <f t="shared" si="259"/>
        <v>OK</v>
      </c>
      <c r="U3986" s="40" t="str">
        <f t="shared" si="260"/>
        <v>-</v>
      </c>
      <c r="V3986" s="40" t="str" cm="1">
        <f t="array" ref="V3986">_xlfn.IFS(
ISNUMBER(SEARCH("USA",S3986)),"United States",
ISNUMBER(SEARCH("Republic of Ireland",S3986)),"Ireland",
ISNUMBER(SEARCH("Republic of Korea",S3986)),"South Korea",
ISNUMBER(SEARCH("Cape Verde",S3986)),"Cabo Verde",
ISNUMBER(SEARCH("Czechia",S3986)),"Czech Republic",
ISNUMBER(SEARCH("Türkiye",S3986)),"Turkey",
ISNUMBER(SEARCH("Ivory Coast",S3986)),"Côte d'Ivoire",
ISNUMBER(SEARCH("Korea Republic",S3986)),"South Korea",
ISNUMBER(SEARCH("Germany FR",S3986)),"FR Germany",
ISNUMBER(SEARCH("West Germany",S3986)),"FR Germany",
ISNUMBER(SEARCH("Germany DR",S3986)),"DR Germany",
ISNUMBER(SEARCH("Korea DPR",S3986)),"North Korea",
ISNUMBER(SEARCH("China PR",S3986)),"China",
ISNUMBER(SEARCH("IR Iran",S3986)),"Iran",
ISNUMBER(SEARCH("Congo DR",S3986)),"Democratic Republic of the Congo",
ISNUMBER(SEARCH("DR Congo",S3986)),"Democratic Republic of the Congo",
ISNUMBER(SEARCH("German DR",S3986)),"DR Germany",
ISNUMBER(SEARCH("rn""&gt;United Arab Emirates",S3986)),"United Arab Emirates",
ISNUMBER(SEARCH("rn""&gt;Republic of Ireland",S3986)),"Ireland",
ISNUMBER(SEARCH("rn""&gt;Bosnia and Herzegovina",S3986)),"Bosnia and Herzegovina",
ISNUMBER(SEARCH("rn""&gt;Trinidad and Tobago",S3986)),"Trinidad and Tobago",
ISNUMBER(SEARCH("rn""&gt;Serbia and Montenegro",S3986)),"Serbia and Montenegro",
ISNUMBER(SEARCH(_xlfn.UNICHAR(65533),S3986)),"Côte d'Ivoire",
TRUE,""
)</f>
        <v/>
      </c>
      <c r="W3986" s="40" t="str">
        <f t="shared" si="261"/>
        <v>Mexico</v>
      </c>
    </row>
    <row r="3987" spans="19:23">
      <c r="S3987" s="40" t="str">
        <v>Iran</v>
      </c>
      <c r="T3987" s="40" t="str">
        <f t="shared" si="259"/>
        <v>OK</v>
      </c>
      <c r="U3987" s="40" t="str">
        <f t="shared" si="260"/>
        <v>-</v>
      </c>
      <c r="V3987" s="40" t="str" cm="1">
        <f t="array" ref="V3987">_xlfn.IFS(
ISNUMBER(SEARCH("USA",S3987)),"United States",
ISNUMBER(SEARCH("Republic of Ireland",S3987)),"Ireland",
ISNUMBER(SEARCH("Republic of Korea",S3987)),"South Korea",
ISNUMBER(SEARCH("Cape Verde",S3987)),"Cabo Verde",
ISNUMBER(SEARCH("Czechia",S3987)),"Czech Republic",
ISNUMBER(SEARCH("Türkiye",S3987)),"Turkey",
ISNUMBER(SEARCH("Ivory Coast",S3987)),"Côte d'Ivoire",
ISNUMBER(SEARCH("Korea Republic",S3987)),"South Korea",
ISNUMBER(SEARCH("Germany FR",S3987)),"FR Germany",
ISNUMBER(SEARCH("West Germany",S3987)),"FR Germany",
ISNUMBER(SEARCH("Germany DR",S3987)),"DR Germany",
ISNUMBER(SEARCH("Korea DPR",S3987)),"North Korea",
ISNUMBER(SEARCH("China PR",S3987)),"China",
ISNUMBER(SEARCH("IR Iran",S3987)),"Iran",
ISNUMBER(SEARCH("Congo DR",S3987)),"Democratic Republic of the Congo",
ISNUMBER(SEARCH("DR Congo",S3987)),"Democratic Republic of the Congo",
ISNUMBER(SEARCH("German DR",S3987)),"DR Germany",
ISNUMBER(SEARCH("rn""&gt;United Arab Emirates",S3987)),"United Arab Emirates",
ISNUMBER(SEARCH("rn""&gt;Republic of Ireland",S3987)),"Ireland",
ISNUMBER(SEARCH("rn""&gt;Bosnia and Herzegovina",S3987)),"Bosnia and Herzegovina",
ISNUMBER(SEARCH("rn""&gt;Trinidad and Tobago",S3987)),"Trinidad and Tobago",
ISNUMBER(SEARCH("rn""&gt;Serbia and Montenegro",S3987)),"Serbia and Montenegro",
ISNUMBER(SEARCH(_xlfn.UNICHAR(65533),S3987)),"Côte d'Ivoire",
TRUE,""
)</f>
        <v/>
      </c>
      <c r="W3987" s="40" t="str">
        <f t="shared" si="261"/>
        <v>Iran</v>
      </c>
    </row>
    <row r="3988" spans="19:23">
      <c r="S3988" s="40" t="str">
        <v>Yugoslavia</v>
      </c>
      <c r="T3988" s="40" t="str">
        <f t="shared" si="259"/>
        <v>ERREUR</v>
      </c>
      <c r="U3988" s="40" t="str">
        <f t="shared" si="260"/>
        <v>AUCUNE</v>
      </c>
      <c r="V3988" s="40" t="str" cm="1">
        <f t="array" ref="V3988">_xlfn.IFS(
ISNUMBER(SEARCH("USA",S3988)),"United States",
ISNUMBER(SEARCH("Republic of Ireland",S3988)),"Ireland",
ISNUMBER(SEARCH("Republic of Korea",S3988)),"South Korea",
ISNUMBER(SEARCH("Cape Verde",S3988)),"Cabo Verde",
ISNUMBER(SEARCH("Czechia",S3988)),"Czech Republic",
ISNUMBER(SEARCH("Türkiye",S3988)),"Turkey",
ISNUMBER(SEARCH("Ivory Coast",S3988)),"Côte d'Ivoire",
ISNUMBER(SEARCH("Korea Republic",S3988)),"South Korea",
ISNUMBER(SEARCH("Germany FR",S3988)),"FR Germany",
ISNUMBER(SEARCH("West Germany",S3988)),"FR Germany",
ISNUMBER(SEARCH("Germany DR",S3988)),"DR Germany",
ISNUMBER(SEARCH("Korea DPR",S3988)),"North Korea",
ISNUMBER(SEARCH("China PR",S3988)),"China",
ISNUMBER(SEARCH("IR Iran",S3988)),"Iran",
ISNUMBER(SEARCH("Congo DR",S3988)),"Democratic Republic of the Congo",
ISNUMBER(SEARCH("DR Congo",S3988)),"Democratic Republic of the Congo",
ISNUMBER(SEARCH("German DR",S3988)),"DR Germany",
ISNUMBER(SEARCH("rn""&gt;United Arab Emirates",S3988)),"United Arab Emirates",
ISNUMBER(SEARCH("rn""&gt;Republic of Ireland",S3988)),"Ireland",
ISNUMBER(SEARCH("rn""&gt;Bosnia and Herzegovina",S3988)),"Bosnia and Herzegovina",
ISNUMBER(SEARCH("rn""&gt;Trinidad and Tobago",S3988)),"Trinidad and Tobago",
ISNUMBER(SEARCH("rn""&gt;Serbia and Montenegro",S3988)),"Serbia and Montenegro",
ISNUMBER(SEARCH(_xlfn.UNICHAR(65533),S3988)),"Côte d'Ivoire",
TRUE,""
)</f>
        <v/>
      </c>
      <c r="W3988" s="40" t="str">
        <f t="shared" si="261"/>
        <v>Yugoslavia</v>
      </c>
    </row>
    <row r="3989" spans="19:23">
      <c r="S3989" s="40" t="str">
        <v>Jamaica</v>
      </c>
      <c r="T3989" s="40" t="str">
        <f t="shared" si="259"/>
        <v>OK</v>
      </c>
      <c r="U3989" s="40" t="str">
        <f t="shared" si="260"/>
        <v>-</v>
      </c>
      <c r="V3989" s="40" t="str" cm="1">
        <f t="array" ref="V3989">_xlfn.IFS(
ISNUMBER(SEARCH("USA",S3989)),"United States",
ISNUMBER(SEARCH("Republic of Ireland",S3989)),"Ireland",
ISNUMBER(SEARCH("Republic of Korea",S3989)),"South Korea",
ISNUMBER(SEARCH("Cape Verde",S3989)),"Cabo Verde",
ISNUMBER(SEARCH("Czechia",S3989)),"Czech Republic",
ISNUMBER(SEARCH("Türkiye",S3989)),"Turkey",
ISNUMBER(SEARCH("Ivory Coast",S3989)),"Côte d'Ivoire",
ISNUMBER(SEARCH("Korea Republic",S3989)),"South Korea",
ISNUMBER(SEARCH("Germany FR",S3989)),"FR Germany",
ISNUMBER(SEARCH("West Germany",S3989)),"FR Germany",
ISNUMBER(SEARCH("Germany DR",S3989)),"DR Germany",
ISNUMBER(SEARCH("Korea DPR",S3989)),"North Korea",
ISNUMBER(SEARCH("China PR",S3989)),"China",
ISNUMBER(SEARCH("IR Iran",S3989)),"Iran",
ISNUMBER(SEARCH("Congo DR",S3989)),"Democratic Republic of the Congo",
ISNUMBER(SEARCH("DR Congo",S3989)),"Democratic Republic of the Congo",
ISNUMBER(SEARCH("German DR",S3989)),"DR Germany",
ISNUMBER(SEARCH("rn""&gt;United Arab Emirates",S3989)),"United Arab Emirates",
ISNUMBER(SEARCH("rn""&gt;Republic of Ireland",S3989)),"Ireland",
ISNUMBER(SEARCH("rn""&gt;Bosnia and Herzegovina",S3989)),"Bosnia and Herzegovina",
ISNUMBER(SEARCH("rn""&gt;Trinidad and Tobago",S3989)),"Trinidad and Tobago",
ISNUMBER(SEARCH("rn""&gt;Serbia and Montenegro",S3989)),"Serbia and Montenegro",
ISNUMBER(SEARCH(_xlfn.UNICHAR(65533),S3989)),"Côte d'Ivoire",
TRUE,""
)</f>
        <v/>
      </c>
      <c r="W3989" s="40" t="str">
        <f t="shared" si="261"/>
        <v>Jamaica</v>
      </c>
    </row>
    <row r="3990" spans="19:23">
      <c r="S3990" s="40" t="str">
        <v>Croatia</v>
      </c>
      <c r="T3990" s="40" t="str">
        <f t="shared" si="259"/>
        <v>OK</v>
      </c>
      <c r="U3990" s="40" t="str">
        <f t="shared" si="260"/>
        <v>-</v>
      </c>
      <c r="V3990" s="40" t="str" cm="1">
        <f t="array" ref="V3990">_xlfn.IFS(
ISNUMBER(SEARCH("USA",S3990)),"United States",
ISNUMBER(SEARCH("Republic of Ireland",S3990)),"Ireland",
ISNUMBER(SEARCH("Republic of Korea",S3990)),"South Korea",
ISNUMBER(SEARCH("Cape Verde",S3990)),"Cabo Verde",
ISNUMBER(SEARCH("Czechia",S3990)),"Czech Republic",
ISNUMBER(SEARCH("Türkiye",S3990)),"Turkey",
ISNUMBER(SEARCH("Ivory Coast",S3990)),"Côte d'Ivoire",
ISNUMBER(SEARCH("Korea Republic",S3990)),"South Korea",
ISNUMBER(SEARCH("Germany FR",S3990)),"FR Germany",
ISNUMBER(SEARCH("West Germany",S3990)),"FR Germany",
ISNUMBER(SEARCH("Germany DR",S3990)),"DR Germany",
ISNUMBER(SEARCH("Korea DPR",S3990)),"North Korea",
ISNUMBER(SEARCH("China PR",S3990)),"China",
ISNUMBER(SEARCH("IR Iran",S3990)),"Iran",
ISNUMBER(SEARCH("Congo DR",S3990)),"Democratic Republic of the Congo",
ISNUMBER(SEARCH("DR Congo",S3990)),"Democratic Republic of the Congo",
ISNUMBER(SEARCH("German DR",S3990)),"DR Germany",
ISNUMBER(SEARCH("rn""&gt;United Arab Emirates",S3990)),"United Arab Emirates",
ISNUMBER(SEARCH("rn""&gt;Republic of Ireland",S3990)),"Ireland",
ISNUMBER(SEARCH("rn""&gt;Bosnia and Herzegovina",S3990)),"Bosnia and Herzegovina",
ISNUMBER(SEARCH("rn""&gt;Trinidad and Tobago",S3990)),"Trinidad and Tobago",
ISNUMBER(SEARCH("rn""&gt;Serbia and Montenegro",S3990)),"Serbia and Montenegro",
ISNUMBER(SEARCH(_xlfn.UNICHAR(65533),S3990)),"Côte d'Ivoire",
TRUE,""
)</f>
        <v/>
      </c>
      <c r="W3990" s="40" t="str">
        <f t="shared" si="261"/>
        <v>Croatia</v>
      </c>
    </row>
    <row r="3991" spans="19:23">
      <c r="S3991" s="40" t="str">
        <v>Tunisia</v>
      </c>
      <c r="T3991" s="40" t="str">
        <f t="shared" si="259"/>
        <v>OK</v>
      </c>
      <c r="U3991" s="40" t="str">
        <f t="shared" si="260"/>
        <v>-</v>
      </c>
      <c r="V3991" s="40" t="str" cm="1">
        <f t="array" ref="V3991">_xlfn.IFS(
ISNUMBER(SEARCH("USA",S3991)),"United States",
ISNUMBER(SEARCH("Republic of Ireland",S3991)),"Ireland",
ISNUMBER(SEARCH("Republic of Korea",S3991)),"South Korea",
ISNUMBER(SEARCH("Cape Verde",S3991)),"Cabo Verde",
ISNUMBER(SEARCH("Czechia",S3991)),"Czech Republic",
ISNUMBER(SEARCH("Türkiye",S3991)),"Turkey",
ISNUMBER(SEARCH("Ivory Coast",S3991)),"Côte d'Ivoire",
ISNUMBER(SEARCH("Korea Republic",S3991)),"South Korea",
ISNUMBER(SEARCH("Germany FR",S3991)),"FR Germany",
ISNUMBER(SEARCH("West Germany",S3991)),"FR Germany",
ISNUMBER(SEARCH("Germany DR",S3991)),"DR Germany",
ISNUMBER(SEARCH("Korea DPR",S3991)),"North Korea",
ISNUMBER(SEARCH("China PR",S3991)),"China",
ISNUMBER(SEARCH("IR Iran",S3991)),"Iran",
ISNUMBER(SEARCH("Congo DR",S3991)),"Democratic Republic of the Congo",
ISNUMBER(SEARCH("DR Congo",S3991)),"Democratic Republic of the Congo",
ISNUMBER(SEARCH("German DR",S3991)),"DR Germany",
ISNUMBER(SEARCH("rn""&gt;United Arab Emirates",S3991)),"United Arab Emirates",
ISNUMBER(SEARCH("rn""&gt;Republic of Ireland",S3991)),"Ireland",
ISNUMBER(SEARCH("rn""&gt;Bosnia and Herzegovina",S3991)),"Bosnia and Herzegovina",
ISNUMBER(SEARCH("rn""&gt;Trinidad and Tobago",S3991)),"Trinidad and Tobago",
ISNUMBER(SEARCH("rn""&gt;Serbia and Montenegro",S3991)),"Serbia and Montenegro",
ISNUMBER(SEARCH(_xlfn.UNICHAR(65533),S3991)),"Côte d'Ivoire",
TRUE,""
)</f>
        <v/>
      </c>
      <c r="W3991" s="40" t="str">
        <f t="shared" si="261"/>
        <v>Tunisia</v>
      </c>
    </row>
    <row r="3992" spans="19:23">
      <c r="S3992" s="40" t="str">
        <v>England</v>
      </c>
      <c r="T3992" s="40" t="str">
        <f t="shared" si="259"/>
        <v>ERREUR</v>
      </c>
      <c r="U3992" s="40" t="str">
        <f t="shared" si="260"/>
        <v>AUCUNE</v>
      </c>
      <c r="V3992" s="40" t="str" cm="1">
        <f t="array" ref="V3992">_xlfn.IFS(
ISNUMBER(SEARCH("USA",S3992)),"United States",
ISNUMBER(SEARCH("Republic of Ireland",S3992)),"Ireland",
ISNUMBER(SEARCH("Republic of Korea",S3992)),"South Korea",
ISNUMBER(SEARCH("Cape Verde",S3992)),"Cabo Verde",
ISNUMBER(SEARCH("Czechia",S3992)),"Czech Republic",
ISNUMBER(SEARCH("Türkiye",S3992)),"Turkey",
ISNUMBER(SEARCH("Ivory Coast",S3992)),"Côte d'Ivoire",
ISNUMBER(SEARCH("Korea Republic",S3992)),"South Korea",
ISNUMBER(SEARCH("Germany FR",S3992)),"FR Germany",
ISNUMBER(SEARCH("West Germany",S3992)),"FR Germany",
ISNUMBER(SEARCH("Germany DR",S3992)),"DR Germany",
ISNUMBER(SEARCH("Korea DPR",S3992)),"North Korea",
ISNUMBER(SEARCH("China PR",S3992)),"China",
ISNUMBER(SEARCH("IR Iran",S3992)),"Iran",
ISNUMBER(SEARCH("Congo DR",S3992)),"Democratic Republic of the Congo",
ISNUMBER(SEARCH("DR Congo",S3992)),"Democratic Republic of the Congo",
ISNUMBER(SEARCH("German DR",S3992)),"DR Germany",
ISNUMBER(SEARCH("rn""&gt;United Arab Emirates",S3992)),"United Arab Emirates",
ISNUMBER(SEARCH("rn""&gt;Republic of Ireland",S3992)),"Ireland",
ISNUMBER(SEARCH("rn""&gt;Bosnia and Herzegovina",S3992)),"Bosnia and Herzegovina",
ISNUMBER(SEARCH("rn""&gt;Trinidad and Tobago",S3992)),"Trinidad and Tobago",
ISNUMBER(SEARCH("rn""&gt;Serbia and Montenegro",S3992)),"Serbia and Montenegro",
ISNUMBER(SEARCH(_xlfn.UNICHAR(65533),S3992)),"Côte d'Ivoire",
TRUE,""
)</f>
        <v/>
      </c>
      <c r="W3992" s="40" t="str">
        <f t="shared" si="261"/>
        <v>England</v>
      </c>
    </row>
    <row r="3993" spans="19:23">
      <c r="S3993" s="40" t="str">
        <v>Norway</v>
      </c>
      <c r="T3993" s="40" t="str">
        <f t="shared" si="259"/>
        <v>OK</v>
      </c>
      <c r="U3993" s="40" t="str">
        <f t="shared" si="260"/>
        <v>-</v>
      </c>
      <c r="V3993" s="40" t="str" cm="1">
        <f t="array" ref="V3993">_xlfn.IFS(
ISNUMBER(SEARCH("USA",S3993)),"United States",
ISNUMBER(SEARCH("Republic of Ireland",S3993)),"Ireland",
ISNUMBER(SEARCH("Republic of Korea",S3993)),"South Korea",
ISNUMBER(SEARCH("Cape Verde",S3993)),"Cabo Verde",
ISNUMBER(SEARCH("Czechia",S3993)),"Czech Republic",
ISNUMBER(SEARCH("Türkiye",S3993)),"Turkey",
ISNUMBER(SEARCH("Ivory Coast",S3993)),"Côte d'Ivoire",
ISNUMBER(SEARCH("Korea Republic",S3993)),"South Korea",
ISNUMBER(SEARCH("Germany FR",S3993)),"FR Germany",
ISNUMBER(SEARCH("West Germany",S3993)),"FR Germany",
ISNUMBER(SEARCH("Germany DR",S3993)),"DR Germany",
ISNUMBER(SEARCH("Korea DPR",S3993)),"North Korea",
ISNUMBER(SEARCH("China PR",S3993)),"China",
ISNUMBER(SEARCH("IR Iran",S3993)),"Iran",
ISNUMBER(SEARCH("Congo DR",S3993)),"Democratic Republic of the Congo",
ISNUMBER(SEARCH("DR Congo",S3993)),"Democratic Republic of the Congo",
ISNUMBER(SEARCH("German DR",S3993)),"DR Germany",
ISNUMBER(SEARCH("rn""&gt;United Arab Emirates",S3993)),"United Arab Emirates",
ISNUMBER(SEARCH("rn""&gt;Republic of Ireland",S3993)),"Ireland",
ISNUMBER(SEARCH("rn""&gt;Bosnia and Herzegovina",S3993)),"Bosnia and Herzegovina",
ISNUMBER(SEARCH("rn""&gt;Trinidad and Tobago",S3993)),"Trinidad and Tobago",
ISNUMBER(SEARCH("rn""&gt;Serbia and Montenegro",S3993)),"Serbia and Montenegro",
ISNUMBER(SEARCH(_xlfn.UNICHAR(65533),S3993)),"Côte d'Ivoire",
TRUE,""
)</f>
        <v/>
      </c>
      <c r="W3993" s="40" t="str">
        <f t="shared" si="261"/>
        <v>Norway</v>
      </c>
    </row>
    <row r="3994" spans="19:23">
      <c r="S3994" s="40" t="str">
        <v>Chile</v>
      </c>
      <c r="T3994" s="40" t="str">
        <f t="shared" si="259"/>
        <v>OK</v>
      </c>
      <c r="U3994" s="40" t="str">
        <f t="shared" si="260"/>
        <v>-</v>
      </c>
      <c r="V3994" s="40" t="str" cm="1">
        <f t="array" ref="V3994">_xlfn.IFS(
ISNUMBER(SEARCH("USA",S3994)),"United States",
ISNUMBER(SEARCH("Republic of Ireland",S3994)),"Ireland",
ISNUMBER(SEARCH("Republic of Korea",S3994)),"South Korea",
ISNUMBER(SEARCH("Cape Verde",S3994)),"Cabo Verde",
ISNUMBER(SEARCH("Czechia",S3994)),"Czech Republic",
ISNUMBER(SEARCH("Türkiye",S3994)),"Turkey",
ISNUMBER(SEARCH("Ivory Coast",S3994)),"Côte d'Ivoire",
ISNUMBER(SEARCH("Korea Republic",S3994)),"South Korea",
ISNUMBER(SEARCH("Germany FR",S3994)),"FR Germany",
ISNUMBER(SEARCH("West Germany",S3994)),"FR Germany",
ISNUMBER(SEARCH("Germany DR",S3994)),"DR Germany",
ISNUMBER(SEARCH("Korea DPR",S3994)),"North Korea",
ISNUMBER(SEARCH("China PR",S3994)),"China",
ISNUMBER(SEARCH("IR Iran",S3994)),"Iran",
ISNUMBER(SEARCH("Congo DR",S3994)),"Democratic Republic of the Congo",
ISNUMBER(SEARCH("DR Congo",S3994)),"Democratic Republic of the Congo",
ISNUMBER(SEARCH("German DR",S3994)),"DR Germany",
ISNUMBER(SEARCH("rn""&gt;United Arab Emirates",S3994)),"United Arab Emirates",
ISNUMBER(SEARCH("rn""&gt;Republic of Ireland",S3994)),"Ireland",
ISNUMBER(SEARCH("rn""&gt;Bosnia and Herzegovina",S3994)),"Bosnia and Herzegovina",
ISNUMBER(SEARCH("rn""&gt;Trinidad and Tobago",S3994)),"Trinidad and Tobago",
ISNUMBER(SEARCH("rn""&gt;Serbia and Montenegro",S3994)),"Serbia and Montenegro",
ISNUMBER(SEARCH(_xlfn.UNICHAR(65533),S3994)),"Côte d'Ivoire",
TRUE,""
)</f>
        <v/>
      </c>
      <c r="W3994" s="40" t="str">
        <f t="shared" si="261"/>
        <v>Chile</v>
      </c>
    </row>
    <row r="3995" spans="19:23">
      <c r="S3995" s="40" t="str">
        <v>Paraguay</v>
      </c>
      <c r="T3995" s="40" t="str">
        <f t="shared" si="259"/>
        <v>OK</v>
      </c>
      <c r="U3995" s="40" t="str">
        <f t="shared" si="260"/>
        <v>-</v>
      </c>
      <c r="V3995" s="40" t="str" cm="1">
        <f t="array" ref="V3995">_xlfn.IFS(
ISNUMBER(SEARCH("USA",S3995)),"United States",
ISNUMBER(SEARCH("Republic of Ireland",S3995)),"Ireland",
ISNUMBER(SEARCH("Republic of Korea",S3995)),"South Korea",
ISNUMBER(SEARCH("Cape Verde",S3995)),"Cabo Verde",
ISNUMBER(SEARCH("Czechia",S3995)),"Czech Republic",
ISNUMBER(SEARCH("Türkiye",S3995)),"Turkey",
ISNUMBER(SEARCH("Ivory Coast",S3995)),"Côte d'Ivoire",
ISNUMBER(SEARCH("Korea Republic",S3995)),"South Korea",
ISNUMBER(SEARCH("Germany FR",S3995)),"FR Germany",
ISNUMBER(SEARCH("West Germany",S3995)),"FR Germany",
ISNUMBER(SEARCH("Germany DR",S3995)),"DR Germany",
ISNUMBER(SEARCH("Korea DPR",S3995)),"North Korea",
ISNUMBER(SEARCH("China PR",S3995)),"China",
ISNUMBER(SEARCH("IR Iran",S3995)),"Iran",
ISNUMBER(SEARCH("Congo DR",S3995)),"Democratic Republic of the Congo",
ISNUMBER(SEARCH("DR Congo",S3995)),"Democratic Republic of the Congo",
ISNUMBER(SEARCH("German DR",S3995)),"DR Germany",
ISNUMBER(SEARCH("rn""&gt;United Arab Emirates",S3995)),"United Arab Emirates",
ISNUMBER(SEARCH("rn""&gt;Republic of Ireland",S3995)),"Ireland",
ISNUMBER(SEARCH("rn""&gt;Bosnia and Herzegovina",S3995)),"Bosnia and Herzegovina",
ISNUMBER(SEARCH("rn""&gt;Trinidad and Tobago",S3995)),"Trinidad and Tobago",
ISNUMBER(SEARCH("rn""&gt;Serbia and Montenegro",S3995)),"Serbia and Montenegro",
ISNUMBER(SEARCH(_xlfn.UNICHAR(65533),S3995)),"Côte d'Ivoire",
TRUE,""
)</f>
        <v/>
      </c>
      <c r="W3995" s="40" t="str">
        <f t="shared" si="261"/>
        <v>Paraguay</v>
      </c>
    </row>
    <row r="3996" spans="19:23">
      <c r="S3996" s="40" t="str">
        <v>Denmark</v>
      </c>
      <c r="T3996" s="40" t="str">
        <f t="shared" si="259"/>
        <v>OK</v>
      </c>
      <c r="U3996" s="40" t="str">
        <f t="shared" si="260"/>
        <v>-</v>
      </c>
      <c r="V3996" s="40" t="str" cm="1">
        <f t="array" ref="V3996">_xlfn.IFS(
ISNUMBER(SEARCH("USA",S3996)),"United States",
ISNUMBER(SEARCH("Republic of Ireland",S3996)),"Ireland",
ISNUMBER(SEARCH("Republic of Korea",S3996)),"South Korea",
ISNUMBER(SEARCH("Cape Verde",S3996)),"Cabo Verde",
ISNUMBER(SEARCH("Czechia",S3996)),"Czech Republic",
ISNUMBER(SEARCH("Türkiye",S3996)),"Turkey",
ISNUMBER(SEARCH("Ivory Coast",S3996)),"Côte d'Ivoire",
ISNUMBER(SEARCH("Korea Republic",S3996)),"South Korea",
ISNUMBER(SEARCH("Germany FR",S3996)),"FR Germany",
ISNUMBER(SEARCH("West Germany",S3996)),"FR Germany",
ISNUMBER(SEARCH("Germany DR",S3996)),"DR Germany",
ISNUMBER(SEARCH("Korea DPR",S3996)),"North Korea",
ISNUMBER(SEARCH("China PR",S3996)),"China",
ISNUMBER(SEARCH("IR Iran",S3996)),"Iran",
ISNUMBER(SEARCH("Congo DR",S3996)),"Democratic Republic of the Congo",
ISNUMBER(SEARCH("DR Congo",S3996)),"Democratic Republic of the Congo",
ISNUMBER(SEARCH("German DR",S3996)),"DR Germany",
ISNUMBER(SEARCH("rn""&gt;United Arab Emirates",S3996)),"United Arab Emirates",
ISNUMBER(SEARCH("rn""&gt;Republic of Ireland",S3996)),"Ireland",
ISNUMBER(SEARCH("rn""&gt;Bosnia and Herzegovina",S3996)),"Bosnia and Herzegovina",
ISNUMBER(SEARCH("rn""&gt;Trinidad and Tobago",S3996)),"Trinidad and Tobago",
ISNUMBER(SEARCH("rn""&gt;Serbia and Montenegro",S3996)),"Serbia and Montenegro",
ISNUMBER(SEARCH(_xlfn.UNICHAR(65533),S3996)),"Côte d'Ivoire",
TRUE,""
)</f>
        <v/>
      </c>
      <c r="W3996" s="40" t="str">
        <f t="shared" si="261"/>
        <v>Denmark</v>
      </c>
    </row>
    <row r="3997" spans="19:23">
      <c r="S3997" s="40" t="str">
        <v>Mexico</v>
      </c>
      <c r="T3997" s="40" t="str">
        <f t="shared" si="259"/>
        <v>OK</v>
      </c>
      <c r="U3997" s="40" t="str">
        <f t="shared" si="260"/>
        <v>-</v>
      </c>
      <c r="V3997" s="40" t="str" cm="1">
        <f t="array" ref="V3997">_xlfn.IFS(
ISNUMBER(SEARCH("USA",S3997)),"United States",
ISNUMBER(SEARCH("Republic of Ireland",S3997)),"Ireland",
ISNUMBER(SEARCH("Republic of Korea",S3997)),"South Korea",
ISNUMBER(SEARCH("Cape Verde",S3997)),"Cabo Verde",
ISNUMBER(SEARCH("Czechia",S3997)),"Czech Republic",
ISNUMBER(SEARCH("Türkiye",S3997)),"Turkey",
ISNUMBER(SEARCH("Ivory Coast",S3997)),"Côte d'Ivoire",
ISNUMBER(SEARCH("Korea Republic",S3997)),"South Korea",
ISNUMBER(SEARCH("Germany FR",S3997)),"FR Germany",
ISNUMBER(SEARCH("West Germany",S3997)),"FR Germany",
ISNUMBER(SEARCH("Germany DR",S3997)),"DR Germany",
ISNUMBER(SEARCH("Korea DPR",S3997)),"North Korea",
ISNUMBER(SEARCH("China PR",S3997)),"China",
ISNUMBER(SEARCH("IR Iran",S3997)),"Iran",
ISNUMBER(SEARCH("Congo DR",S3997)),"Democratic Republic of the Congo",
ISNUMBER(SEARCH("DR Congo",S3997)),"Democratic Republic of the Congo",
ISNUMBER(SEARCH("German DR",S3997)),"DR Germany",
ISNUMBER(SEARCH("rn""&gt;United Arab Emirates",S3997)),"United Arab Emirates",
ISNUMBER(SEARCH("rn""&gt;Republic of Ireland",S3997)),"Ireland",
ISNUMBER(SEARCH("rn""&gt;Bosnia and Herzegovina",S3997)),"Bosnia and Herzegovina",
ISNUMBER(SEARCH("rn""&gt;Trinidad and Tobago",S3997)),"Trinidad and Tobago",
ISNUMBER(SEARCH("rn""&gt;Serbia and Montenegro",S3997)),"Serbia and Montenegro",
ISNUMBER(SEARCH(_xlfn.UNICHAR(65533),S3997)),"Côte d'Ivoire",
TRUE,""
)</f>
        <v/>
      </c>
      <c r="W3997" s="40" t="str">
        <f t="shared" si="261"/>
        <v>Mexico</v>
      </c>
    </row>
    <row r="3998" spans="19:23">
      <c r="S3998" s="40" t="str">
        <v>Yugoslavia</v>
      </c>
      <c r="T3998" s="40" t="str">
        <f t="shared" si="259"/>
        <v>ERREUR</v>
      </c>
      <c r="U3998" s="40" t="str">
        <f t="shared" si="260"/>
        <v>AUCUNE</v>
      </c>
      <c r="V3998" s="40" t="str" cm="1">
        <f t="array" ref="V3998">_xlfn.IFS(
ISNUMBER(SEARCH("USA",S3998)),"United States",
ISNUMBER(SEARCH("Republic of Ireland",S3998)),"Ireland",
ISNUMBER(SEARCH("Republic of Korea",S3998)),"South Korea",
ISNUMBER(SEARCH("Cape Verde",S3998)),"Cabo Verde",
ISNUMBER(SEARCH("Czechia",S3998)),"Czech Republic",
ISNUMBER(SEARCH("Türkiye",S3998)),"Turkey",
ISNUMBER(SEARCH("Ivory Coast",S3998)),"Côte d'Ivoire",
ISNUMBER(SEARCH("Korea Republic",S3998)),"South Korea",
ISNUMBER(SEARCH("Germany FR",S3998)),"FR Germany",
ISNUMBER(SEARCH("West Germany",S3998)),"FR Germany",
ISNUMBER(SEARCH("Germany DR",S3998)),"DR Germany",
ISNUMBER(SEARCH("Korea DPR",S3998)),"North Korea",
ISNUMBER(SEARCH("China PR",S3998)),"China",
ISNUMBER(SEARCH("IR Iran",S3998)),"Iran",
ISNUMBER(SEARCH("Congo DR",S3998)),"Democratic Republic of the Congo",
ISNUMBER(SEARCH("DR Congo",S3998)),"Democratic Republic of the Congo",
ISNUMBER(SEARCH("German DR",S3998)),"DR Germany",
ISNUMBER(SEARCH("rn""&gt;United Arab Emirates",S3998)),"United Arab Emirates",
ISNUMBER(SEARCH("rn""&gt;Republic of Ireland",S3998)),"Ireland",
ISNUMBER(SEARCH("rn""&gt;Bosnia and Herzegovina",S3998)),"Bosnia and Herzegovina",
ISNUMBER(SEARCH("rn""&gt;Trinidad and Tobago",S3998)),"Trinidad and Tobago",
ISNUMBER(SEARCH("rn""&gt;Serbia and Montenegro",S3998)),"Serbia and Montenegro",
ISNUMBER(SEARCH(_xlfn.UNICHAR(65533),S3998)),"Côte d'Ivoire",
TRUE,""
)</f>
        <v/>
      </c>
      <c r="W3998" s="40" t="str">
        <f t="shared" si="261"/>
        <v>Yugoslavia</v>
      </c>
    </row>
    <row r="3999" spans="19:23">
      <c r="S3999" s="40" t="str">
        <v>Croatia</v>
      </c>
      <c r="T3999" s="40" t="str">
        <f t="shared" si="259"/>
        <v>OK</v>
      </c>
      <c r="U3999" s="40" t="str">
        <f t="shared" si="260"/>
        <v>-</v>
      </c>
      <c r="V3999" s="40" t="str" cm="1">
        <f t="array" ref="V3999">_xlfn.IFS(
ISNUMBER(SEARCH("USA",S3999)),"United States",
ISNUMBER(SEARCH("Republic of Ireland",S3999)),"Ireland",
ISNUMBER(SEARCH("Republic of Korea",S3999)),"South Korea",
ISNUMBER(SEARCH("Cape Verde",S3999)),"Cabo Verde",
ISNUMBER(SEARCH("Czechia",S3999)),"Czech Republic",
ISNUMBER(SEARCH("Türkiye",S3999)),"Turkey",
ISNUMBER(SEARCH("Ivory Coast",S3999)),"Côte d'Ivoire",
ISNUMBER(SEARCH("Korea Republic",S3999)),"South Korea",
ISNUMBER(SEARCH("Germany FR",S3999)),"FR Germany",
ISNUMBER(SEARCH("West Germany",S3999)),"FR Germany",
ISNUMBER(SEARCH("Germany DR",S3999)),"DR Germany",
ISNUMBER(SEARCH("Korea DPR",S3999)),"North Korea",
ISNUMBER(SEARCH("China PR",S3999)),"China",
ISNUMBER(SEARCH("IR Iran",S3999)),"Iran",
ISNUMBER(SEARCH("Congo DR",S3999)),"Democratic Republic of the Congo",
ISNUMBER(SEARCH("DR Congo",S3999)),"Democratic Republic of the Congo",
ISNUMBER(SEARCH("German DR",S3999)),"DR Germany",
ISNUMBER(SEARCH("rn""&gt;United Arab Emirates",S3999)),"United Arab Emirates",
ISNUMBER(SEARCH("rn""&gt;Republic of Ireland",S3999)),"Ireland",
ISNUMBER(SEARCH("rn""&gt;Bosnia and Herzegovina",S3999)),"Bosnia and Herzegovina",
ISNUMBER(SEARCH("rn""&gt;Trinidad and Tobago",S3999)),"Trinidad and Tobago",
ISNUMBER(SEARCH("rn""&gt;Serbia and Montenegro",S3999)),"Serbia and Montenegro",
ISNUMBER(SEARCH(_xlfn.UNICHAR(65533),S3999)),"Côte d'Ivoire",
TRUE,""
)</f>
        <v/>
      </c>
      <c r="W3999" s="40" t="str">
        <f t="shared" si="261"/>
        <v>Croatia</v>
      </c>
    </row>
    <row r="4000" spans="19:23">
      <c r="S4000" s="40" t="str">
        <v>England</v>
      </c>
      <c r="T4000" s="40" t="str">
        <f t="shared" si="259"/>
        <v>ERREUR</v>
      </c>
      <c r="U4000" s="40" t="str">
        <f t="shared" si="260"/>
        <v>AUCUNE</v>
      </c>
      <c r="V4000" s="40" t="str" cm="1">
        <f t="array" ref="V4000">_xlfn.IFS(
ISNUMBER(SEARCH("USA",S4000)),"United States",
ISNUMBER(SEARCH("Republic of Ireland",S4000)),"Ireland",
ISNUMBER(SEARCH("Republic of Korea",S4000)),"South Korea",
ISNUMBER(SEARCH("Cape Verde",S4000)),"Cabo Verde",
ISNUMBER(SEARCH("Czechia",S4000)),"Czech Republic",
ISNUMBER(SEARCH("Türkiye",S4000)),"Turkey",
ISNUMBER(SEARCH("Ivory Coast",S4000)),"Côte d'Ivoire",
ISNUMBER(SEARCH("Korea Republic",S4000)),"South Korea",
ISNUMBER(SEARCH("Germany FR",S4000)),"FR Germany",
ISNUMBER(SEARCH("West Germany",S4000)),"FR Germany",
ISNUMBER(SEARCH("Germany DR",S4000)),"DR Germany",
ISNUMBER(SEARCH("Korea DPR",S4000)),"North Korea",
ISNUMBER(SEARCH("China PR",S4000)),"China",
ISNUMBER(SEARCH("IR Iran",S4000)),"Iran",
ISNUMBER(SEARCH("Congo DR",S4000)),"Democratic Republic of the Congo",
ISNUMBER(SEARCH("DR Congo",S4000)),"Democratic Republic of the Congo",
ISNUMBER(SEARCH("German DR",S4000)),"DR Germany",
ISNUMBER(SEARCH("rn""&gt;United Arab Emirates",S4000)),"United Arab Emirates",
ISNUMBER(SEARCH("rn""&gt;Republic of Ireland",S4000)),"Ireland",
ISNUMBER(SEARCH("rn""&gt;Bosnia and Herzegovina",S4000)),"Bosnia and Herzegovina",
ISNUMBER(SEARCH("rn""&gt;Trinidad and Tobago",S4000)),"Trinidad and Tobago",
ISNUMBER(SEARCH("rn""&gt;Serbia and Montenegro",S4000)),"Serbia and Montenegro",
ISNUMBER(SEARCH(_xlfn.UNICHAR(65533),S4000)),"Côte d'Ivoire",
TRUE,""
)</f>
        <v/>
      </c>
      <c r="W4000" s="40" t="str">
        <f t="shared" si="261"/>
        <v>England</v>
      </c>
    </row>
    <row r="4001" spans="19:23">
      <c r="S4001" s="40" t="str">
        <v>France</v>
      </c>
      <c r="T4001" s="40" t="str">
        <f t="shared" si="259"/>
        <v>OK</v>
      </c>
      <c r="U4001" s="40" t="str">
        <f t="shared" si="260"/>
        <v>-</v>
      </c>
      <c r="V4001" s="40" t="str" cm="1">
        <f t="array" ref="V4001">_xlfn.IFS(
ISNUMBER(SEARCH("USA",S4001)),"United States",
ISNUMBER(SEARCH("Republic of Ireland",S4001)),"Ireland",
ISNUMBER(SEARCH("Republic of Korea",S4001)),"South Korea",
ISNUMBER(SEARCH("Cape Verde",S4001)),"Cabo Verde",
ISNUMBER(SEARCH("Czechia",S4001)),"Czech Republic",
ISNUMBER(SEARCH("Türkiye",S4001)),"Turkey",
ISNUMBER(SEARCH("Ivory Coast",S4001)),"Côte d'Ivoire",
ISNUMBER(SEARCH("Korea Republic",S4001)),"South Korea",
ISNUMBER(SEARCH("Germany FR",S4001)),"FR Germany",
ISNUMBER(SEARCH("West Germany",S4001)),"FR Germany",
ISNUMBER(SEARCH("Germany DR",S4001)),"DR Germany",
ISNUMBER(SEARCH("Korea DPR",S4001)),"North Korea",
ISNUMBER(SEARCH("China PR",S4001)),"China",
ISNUMBER(SEARCH("IR Iran",S4001)),"Iran",
ISNUMBER(SEARCH("Congo DR",S4001)),"Democratic Republic of the Congo",
ISNUMBER(SEARCH("DR Congo",S4001)),"Democratic Republic of the Congo",
ISNUMBER(SEARCH("German DR",S4001)),"DR Germany",
ISNUMBER(SEARCH("rn""&gt;United Arab Emirates",S4001)),"United Arab Emirates",
ISNUMBER(SEARCH("rn""&gt;Republic of Ireland",S4001)),"Ireland",
ISNUMBER(SEARCH("rn""&gt;Bosnia and Herzegovina",S4001)),"Bosnia and Herzegovina",
ISNUMBER(SEARCH("rn""&gt;Trinidad and Tobago",S4001)),"Trinidad and Tobago",
ISNUMBER(SEARCH("rn""&gt;Serbia and Montenegro",S4001)),"Serbia and Montenegro",
ISNUMBER(SEARCH(_xlfn.UNICHAR(65533),S4001)),"Côte d'Ivoire",
TRUE,""
)</f>
        <v/>
      </c>
      <c r="W4001" s="40" t="str">
        <f t="shared" si="261"/>
        <v>France</v>
      </c>
    </row>
    <row r="4002" spans="19:23">
      <c r="S4002" s="40" t="str">
        <v>Denmark</v>
      </c>
      <c r="T4002" s="40" t="str">
        <f t="shared" si="259"/>
        <v>OK</v>
      </c>
      <c r="U4002" s="40" t="str">
        <f t="shared" si="260"/>
        <v>-</v>
      </c>
      <c r="V4002" s="40" t="str" cm="1">
        <f t="array" ref="V4002">_xlfn.IFS(
ISNUMBER(SEARCH("USA",S4002)),"United States",
ISNUMBER(SEARCH("Republic of Ireland",S4002)),"Ireland",
ISNUMBER(SEARCH("Republic of Korea",S4002)),"South Korea",
ISNUMBER(SEARCH("Cape Verde",S4002)),"Cabo Verde",
ISNUMBER(SEARCH("Czechia",S4002)),"Czech Republic",
ISNUMBER(SEARCH("Türkiye",S4002)),"Turkey",
ISNUMBER(SEARCH("Ivory Coast",S4002)),"Côte d'Ivoire",
ISNUMBER(SEARCH("Korea Republic",S4002)),"South Korea",
ISNUMBER(SEARCH("Germany FR",S4002)),"FR Germany",
ISNUMBER(SEARCH("West Germany",S4002)),"FR Germany",
ISNUMBER(SEARCH("Germany DR",S4002)),"DR Germany",
ISNUMBER(SEARCH("Korea DPR",S4002)),"North Korea",
ISNUMBER(SEARCH("China PR",S4002)),"China",
ISNUMBER(SEARCH("IR Iran",S4002)),"Iran",
ISNUMBER(SEARCH("Congo DR",S4002)),"Democratic Republic of the Congo",
ISNUMBER(SEARCH("DR Congo",S4002)),"Democratic Republic of the Congo",
ISNUMBER(SEARCH("German DR",S4002)),"DR Germany",
ISNUMBER(SEARCH("rn""&gt;United Arab Emirates",S4002)),"United Arab Emirates",
ISNUMBER(SEARCH("rn""&gt;Republic of Ireland",S4002)),"Ireland",
ISNUMBER(SEARCH("rn""&gt;Bosnia and Herzegovina",S4002)),"Bosnia and Herzegovina",
ISNUMBER(SEARCH("rn""&gt;Trinidad and Tobago",S4002)),"Trinidad and Tobago",
ISNUMBER(SEARCH("rn""&gt;Serbia and Montenegro",S4002)),"Serbia and Montenegro",
ISNUMBER(SEARCH(_xlfn.UNICHAR(65533),S4002)),"Côte d'Ivoire",
TRUE,""
)</f>
        <v/>
      </c>
      <c r="W4002" s="40" t="str">
        <f t="shared" si="261"/>
        <v>Denmark</v>
      </c>
    </row>
    <row r="4003" spans="19:23">
      <c r="S4003" s="40" t="str">
        <v>Argentina</v>
      </c>
      <c r="T4003" s="40" t="str">
        <f t="shared" si="259"/>
        <v>OK</v>
      </c>
      <c r="U4003" s="40" t="str">
        <f t="shared" si="260"/>
        <v>-</v>
      </c>
      <c r="V4003" s="40" t="str" cm="1">
        <f t="array" ref="V4003">_xlfn.IFS(
ISNUMBER(SEARCH("USA",S4003)),"United States",
ISNUMBER(SEARCH("Republic of Ireland",S4003)),"Ireland",
ISNUMBER(SEARCH("Republic of Korea",S4003)),"South Korea",
ISNUMBER(SEARCH("Cape Verde",S4003)),"Cabo Verde",
ISNUMBER(SEARCH("Czechia",S4003)),"Czech Republic",
ISNUMBER(SEARCH("Türkiye",S4003)),"Turkey",
ISNUMBER(SEARCH("Ivory Coast",S4003)),"Côte d'Ivoire",
ISNUMBER(SEARCH("Korea Republic",S4003)),"South Korea",
ISNUMBER(SEARCH("Germany FR",S4003)),"FR Germany",
ISNUMBER(SEARCH("West Germany",S4003)),"FR Germany",
ISNUMBER(SEARCH("Germany DR",S4003)),"DR Germany",
ISNUMBER(SEARCH("Korea DPR",S4003)),"North Korea",
ISNUMBER(SEARCH("China PR",S4003)),"China",
ISNUMBER(SEARCH("IR Iran",S4003)),"Iran",
ISNUMBER(SEARCH("Congo DR",S4003)),"Democratic Republic of the Congo",
ISNUMBER(SEARCH("DR Congo",S4003)),"Democratic Republic of the Congo",
ISNUMBER(SEARCH("German DR",S4003)),"DR Germany",
ISNUMBER(SEARCH("rn""&gt;United Arab Emirates",S4003)),"United Arab Emirates",
ISNUMBER(SEARCH("rn""&gt;Republic of Ireland",S4003)),"Ireland",
ISNUMBER(SEARCH("rn""&gt;Bosnia and Herzegovina",S4003)),"Bosnia and Herzegovina",
ISNUMBER(SEARCH("rn""&gt;Trinidad and Tobago",S4003)),"Trinidad and Tobago",
ISNUMBER(SEARCH("rn""&gt;Serbia and Montenegro",S4003)),"Serbia and Montenegro",
ISNUMBER(SEARCH(_xlfn.UNICHAR(65533),S4003)),"Côte d'Ivoire",
TRUE,""
)</f>
        <v/>
      </c>
      <c r="W4003" s="40" t="str">
        <f t="shared" si="261"/>
        <v>Argentina</v>
      </c>
    </row>
    <row r="4004" spans="19:23">
      <c r="S4004" s="40" t="str">
        <v>Croatia</v>
      </c>
      <c r="T4004" s="40" t="str">
        <f t="shared" si="259"/>
        <v>OK</v>
      </c>
      <c r="U4004" s="40" t="str">
        <f t="shared" si="260"/>
        <v>-</v>
      </c>
      <c r="V4004" s="40" t="str" cm="1">
        <f t="array" ref="V4004">_xlfn.IFS(
ISNUMBER(SEARCH("USA",S4004)),"United States",
ISNUMBER(SEARCH("Republic of Ireland",S4004)),"Ireland",
ISNUMBER(SEARCH("Republic of Korea",S4004)),"South Korea",
ISNUMBER(SEARCH("Cape Verde",S4004)),"Cabo Verde",
ISNUMBER(SEARCH("Czechia",S4004)),"Czech Republic",
ISNUMBER(SEARCH("Türkiye",S4004)),"Turkey",
ISNUMBER(SEARCH("Ivory Coast",S4004)),"Côte d'Ivoire",
ISNUMBER(SEARCH("Korea Republic",S4004)),"South Korea",
ISNUMBER(SEARCH("Germany FR",S4004)),"FR Germany",
ISNUMBER(SEARCH("West Germany",S4004)),"FR Germany",
ISNUMBER(SEARCH("Germany DR",S4004)),"DR Germany",
ISNUMBER(SEARCH("Korea DPR",S4004)),"North Korea",
ISNUMBER(SEARCH("China PR",S4004)),"China",
ISNUMBER(SEARCH("IR Iran",S4004)),"Iran",
ISNUMBER(SEARCH("Congo DR",S4004)),"Democratic Republic of the Congo",
ISNUMBER(SEARCH("DR Congo",S4004)),"Democratic Republic of the Congo",
ISNUMBER(SEARCH("German DR",S4004)),"DR Germany",
ISNUMBER(SEARCH("rn""&gt;United Arab Emirates",S4004)),"United Arab Emirates",
ISNUMBER(SEARCH("rn""&gt;Republic of Ireland",S4004)),"Ireland",
ISNUMBER(SEARCH("rn""&gt;Bosnia and Herzegovina",S4004)),"Bosnia and Herzegovina",
ISNUMBER(SEARCH("rn""&gt;Trinidad and Tobago",S4004)),"Trinidad and Tobago",
ISNUMBER(SEARCH("rn""&gt;Serbia and Montenegro",S4004)),"Serbia and Montenegro",
ISNUMBER(SEARCH(_xlfn.UNICHAR(65533),S4004)),"Côte d'Ivoire",
TRUE,""
)</f>
        <v/>
      </c>
      <c r="W4004" s="40" t="str">
        <f t="shared" si="261"/>
        <v>Croatia</v>
      </c>
    </row>
    <row r="4005" spans="19:23">
      <c r="S4005" s="40" t="str">
        <v>Netherlands</v>
      </c>
      <c r="T4005" s="40" t="str">
        <f t="shared" si="259"/>
        <v>OK</v>
      </c>
      <c r="U4005" s="40" t="str">
        <f t="shared" si="260"/>
        <v>-</v>
      </c>
      <c r="V4005" s="40" t="str" cm="1">
        <f t="array" ref="V4005">_xlfn.IFS(
ISNUMBER(SEARCH("USA",S4005)),"United States",
ISNUMBER(SEARCH("Republic of Ireland",S4005)),"Ireland",
ISNUMBER(SEARCH("Republic of Korea",S4005)),"South Korea",
ISNUMBER(SEARCH("Cape Verde",S4005)),"Cabo Verde",
ISNUMBER(SEARCH("Czechia",S4005)),"Czech Republic",
ISNUMBER(SEARCH("Türkiye",S4005)),"Turkey",
ISNUMBER(SEARCH("Ivory Coast",S4005)),"Côte d'Ivoire",
ISNUMBER(SEARCH("Korea Republic",S4005)),"South Korea",
ISNUMBER(SEARCH("Germany FR",S4005)),"FR Germany",
ISNUMBER(SEARCH("West Germany",S4005)),"FR Germany",
ISNUMBER(SEARCH("Germany DR",S4005)),"DR Germany",
ISNUMBER(SEARCH("Korea DPR",S4005)),"North Korea",
ISNUMBER(SEARCH("China PR",S4005)),"China",
ISNUMBER(SEARCH("IR Iran",S4005)),"Iran",
ISNUMBER(SEARCH("Congo DR",S4005)),"Democratic Republic of the Congo",
ISNUMBER(SEARCH("DR Congo",S4005)),"Democratic Republic of the Congo",
ISNUMBER(SEARCH("German DR",S4005)),"DR Germany",
ISNUMBER(SEARCH("rn""&gt;United Arab Emirates",S4005)),"United Arab Emirates",
ISNUMBER(SEARCH("rn""&gt;Republic of Ireland",S4005)),"Ireland",
ISNUMBER(SEARCH("rn""&gt;Bosnia and Herzegovina",S4005)),"Bosnia and Herzegovina",
ISNUMBER(SEARCH("rn""&gt;Trinidad and Tobago",S4005)),"Trinidad and Tobago",
ISNUMBER(SEARCH("rn""&gt;Serbia and Montenegro",S4005)),"Serbia and Montenegro",
ISNUMBER(SEARCH(_xlfn.UNICHAR(65533),S4005)),"Côte d'Ivoire",
TRUE,""
)</f>
        <v/>
      </c>
      <c r="W4005" s="40" t="str">
        <f t="shared" si="261"/>
        <v>Netherlands</v>
      </c>
    </row>
    <row r="4006" spans="19:23">
      <c r="S4006" s="40" t="str">
        <v>Croatia</v>
      </c>
      <c r="T4006" s="40" t="str">
        <f t="shared" si="259"/>
        <v>OK</v>
      </c>
      <c r="U4006" s="40" t="str">
        <f t="shared" si="260"/>
        <v>-</v>
      </c>
      <c r="V4006" s="40" t="str" cm="1">
        <f t="array" ref="V4006">_xlfn.IFS(
ISNUMBER(SEARCH("USA",S4006)),"United States",
ISNUMBER(SEARCH("Republic of Ireland",S4006)),"Ireland",
ISNUMBER(SEARCH("Republic of Korea",S4006)),"South Korea",
ISNUMBER(SEARCH("Cape Verde",S4006)),"Cabo Verde",
ISNUMBER(SEARCH("Czechia",S4006)),"Czech Republic",
ISNUMBER(SEARCH("Türkiye",S4006)),"Turkey",
ISNUMBER(SEARCH("Ivory Coast",S4006)),"Côte d'Ivoire",
ISNUMBER(SEARCH("Korea Republic",S4006)),"South Korea",
ISNUMBER(SEARCH("Germany FR",S4006)),"FR Germany",
ISNUMBER(SEARCH("West Germany",S4006)),"FR Germany",
ISNUMBER(SEARCH("Germany DR",S4006)),"DR Germany",
ISNUMBER(SEARCH("Korea DPR",S4006)),"North Korea",
ISNUMBER(SEARCH("China PR",S4006)),"China",
ISNUMBER(SEARCH("IR Iran",S4006)),"Iran",
ISNUMBER(SEARCH("Congo DR",S4006)),"Democratic Republic of the Congo",
ISNUMBER(SEARCH("DR Congo",S4006)),"Democratic Republic of the Congo",
ISNUMBER(SEARCH("German DR",S4006)),"DR Germany",
ISNUMBER(SEARCH("rn""&gt;United Arab Emirates",S4006)),"United Arab Emirates",
ISNUMBER(SEARCH("rn""&gt;Republic of Ireland",S4006)),"Ireland",
ISNUMBER(SEARCH("rn""&gt;Bosnia and Herzegovina",S4006)),"Bosnia and Herzegovina",
ISNUMBER(SEARCH("rn""&gt;Trinidad and Tobago",S4006)),"Trinidad and Tobago",
ISNUMBER(SEARCH("rn""&gt;Serbia and Montenegro",S4006)),"Serbia and Montenegro",
ISNUMBER(SEARCH(_xlfn.UNICHAR(65533),S4006)),"Côte d'Ivoire",
TRUE,""
)</f>
        <v/>
      </c>
      <c r="W4006" s="40" t="str">
        <f t="shared" si="261"/>
        <v>Croatia</v>
      </c>
    </row>
    <row r="4007" spans="19:23">
      <c r="S4007" s="40" t="str">
        <v>Croatia</v>
      </c>
      <c r="T4007" s="40" t="str">
        <f t="shared" si="259"/>
        <v>OK</v>
      </c>
      <c r="U4007" s="40" t="str">
        <f t="shared" si="260"/>
        <v>-</v>
      </c>
      <c r="V4007" s="40" t="str" cm="1">
        <f t="array" ref="V4007">_xlfn.IFS(
ISNUMBER(SEARCH("USA",S4007)),"United States",
ISNUMBER(SEARCH("Republic of Ireland",S4007)),"Ireland",
ISNUMBER(SEARCH("Republic of Korea",S4007)),"South Korea",
ISNUMBER(SEARCH("Cape Verde",S4007)),"Cabo Verde",
ISNUMBER(SEARCH("Czechia",S4007)),"Czech Republic",
ISNUMBER(SEARCH("Türkiye",S4007)),"Turkey",
ISNUMBER(SEARCH("Ivory Coast",S4007)),"Côte d'Ivoire",
ISNUMBER(SEARCH("Korea Republic",S4007)),"South Korea",
ISNUMBER(SEARCH("Germany FR",S4007)),"FR Germany",
ISNUMBER(SEARCH("West Germany",S4007)),"FR Germany",
ISNUMBER(SEARCH("Germany DR",S4007)),"DR Germany",
ISNUMBER(SEARCH("Korea DPR",S4007)),"North Korea",
ISNUMBER(SEARCH("China PR",S4007)),"China",
ISNUMBER(SEARCH("IR Iran",S4007)),"Iran",
ISNUMBER(SEARCH("Congo DR",S4007)),"Democratic Republic of the Congo",
ISNUMBER(SEARCH("DR Congo",S4007)),"Democratic Republic of the Congo",
ISNUMBER(SEARCH("German DR",S4007)),"DR Germany",
ISNUMBER(SEARCH("rn""&gt;United Arab Emirates",S4007)),"United Arab Emirates",
ISNUMBER(SEARCH("rn""&gt;Republic of Ireland",S4007)),"Ireland",
ISNUMBER(SEARCH("rn""&gt;Bosnia and Herzegovina",S4007)),"Bosnia and Herzegovina",
ISNUMBER(SEARCH("rn""&gt;Trinidad and Tobago",S4007)),"Trinidad and Tobago",
ISNUMBER(SEARCH("rn""&gt;Serbia and Montenegro",S4007)),"Serbia and Montenegro",
ISNUMBER(SEARCH(_xlfn.UNICHAR(65533),S4007)),"Côte d'Ivoire",
TRUE,""
)</f>
        <v/>
      </c>
      <c r="W4007" s="40" t="str">
        <f t="shared" si="261"/>
        <v>Croatia</v>
      </c>
    </row>
    <row r="4008" spans="19:23">
      <c r="S4008" s="40" t="str">
        <v>France</v>
      </c>
      <c r="T4008" s="40" t="str">
        <f t="shared" si="259"/>
        <v>OK</v>
      </c>
      <c r="U4008" s="40" t="str">
        <f t="shared" si="260"/>
        <v>-</v>
      </c>
      <c r="V4008" s="40" t="str" cm="1">
        <f t="array" ref="V4008">_xlfn.IFS(
ISNUMBER(SEARCH("USA",S4008)),"United States",
ISNUMBER(SEARCH("Republic of Ireland",S4008)),"Ireland",
ISNUMBER(SEARCH("Republic of Korea",S4008)),"South Korea",
ISNUMBER(SEARCH("Cape Verde",S4008)),"Cabo Verde",
ISNUMBER(SEARCH("Czechia",S4008)),"Czech Republic",
ISNUMBER(SEARCH("Türkiye",S4008)),"Turkey",
ISNUMBER(SEARCH("Ivory Coast",S4008)),"Côte d'Ivoire",
ISNUMBER(SEARCH("Korea Republic",S4008)),"South Korea",
ISNUMBER(SEARCH("Germany FR",S4008)),"FR Germany",
ISNUMBER(SEARCH("West Germany",S4008)),"FR Germany",
ISNUMBER(SEARCH("Germany DR",S4008)),"DR Germany",
ISNUMBER(SEARCH("Korea DPR",S4008)),"North Korea",
ISNUMBER(SEARCH("China PR",S4008)),"China",
ISNUMBER(SEARCH("IR Iran",S4008)),"Iran",
ISNUMBER(SEARCH("Congo DR",S4008)),"Democratic Republic of the Congo",
ISNUMBER(SEARCH("DR Congo",S4008)),"Democratic Republic of the Congo",
ISNUMBER(SEARCH("German DR",S4008)),"DR Germany",
ISNUMBER(SEARCH("rn""&gt;United Arab Emirates",S4008)),"United Arab Emirates",
ISNUMBER(SEARCH("rn""&gt;Republic of Ireland",S4008)),"Ireland",
ISNUMBER(SEARCH("rn""&gt;Bosnia and Herzegovina",S4008)),"Bosnia and Herzegovina",
ISNUMBER(SEARCH("rn""&gt;Trinidad and Tobago",S4008)),"Trinidad and Tobago",
ISNUMBER(SEARCH("rn""&gt;Serbia and Montenegro",S4008)),"Serbia and Montenegro",
ISNUMBER(SEARCH(_xlfn.UNICHAR(65533),S4008)),"Côte d'Ivoire",
TRUE,""
)</f>
        <v/>
      </c>
      <c r="W4008" s="40" t="str">
        <f t="shared" si="261"/>
        <v>France</v>
      </c>
    </row>
    <row r="4009" spans="19:23">
      <c r="S4009" s="40" t="str">
        <v>Senegal</v>
      </c>
      <c r="T4009" s="40" t="str">
        <f t="shared" si="259"/>
        <v>OK</v>
      </c>
      <c r="U4009" s="40" t="str">
        <f t="shared" si="260"/>
        <v>-</v>
      </c>
      <c r="V4009" s="40" t="str" cm="1">
        <f t="array" ref="V4009">_xlfn.IFS(
ISNUMBER(SEARCH("USA",S4009)),"United States",
ISNUMBER(SEARCH("Republic of Ireland",S4009)),"Ireland",
ISNUMBER(SEARCH("Republic of Korea",S4009)),"South Korea",
ISNUMBER(SEARCH("Cape Verde",S4009)),"Cabo Verde",
ISNUMBER(SEARCH("Czechia",S4009)),"Czech Republic",
ISNUMBER(SEARCH("Türkiye",S4009)),"Turkey",
ISNUMBER(SEARCH("Ivory Coast",S4009)),"Côte d'Ivoire",
ISNUMBER(SEARCH("Korea Republic",S4009)),"South Korea",
ISNUMBER(SEARCH("Germany FR",S4009)),"FR Germany",
ISNUMBER(SEARCH("West Germany",S4009)),"FR Germany",
ISNUMBER(SEARCH("Germany DR",S4009)),"DR Germany",
ISNUMBER(SEARCH("Korea DPR",S4009)),"North Korea",
ISNUMBER(SEARCH("China PR",S4009)),"China",
ISNUMBER(SEARCH("IR Iran",S4009)),"Iran",
ISNUMBER(SEARCH("Congo DR",S4009)),"Democratic Republic of the Congo",
ISNUMBER(SEARCH("DR Congo",S4009)),"Democratic Republic of the Congo",
ISNUMBER(SEARCH("German DR",S4009)),"DR Germany",
ISNUMBER(SEARCH("rn""&gt;United Arab Emirates",S4009)),"United Arab Emirates",
ISNUMBER(SEARCH("rn""&gt;Republic of Ireland",S4009)),"Ireland",
ISNUMBER(SEARCH("rn""&gt;Bosnia and Herzegovina",S4009)),"Bosnia and Herzegovina",
ISNUMBER(SEARCH("rn""&gt;Trinidad and Tobago",S4009)),"Trinidad and Tobago",
ISNUMBER(SEARCH("rn""&gt;Serbia and Montenegro",S4009)),"Serbia and Montenegro",
ISNUMBER(SEARCH(_xlfn.UNICHAR(65533),S4009)),"Côte d'Ivoire",
TRUE,""
)</f>
        <v/>
      </c>
      <c r="W4009" s="40" t="str">
        <f t="shared" si="261"/>
        <v>Senegal</v>
      </c>
    </row>
    <row r="4010" spans="19:23">
      <c r="S4010" s="40" t="str">
        <v>Denmark</v>
      </c>
      <c r="T4010" s="40" t="str">
        <f t="shared" si="259"/>
        <v>OK</v>
      </c>
      <c r="U4010" s="40" t="str">
        <f t="shared" si="260"/>
        <v>-</v>
      </c>
      <c r="V4010" s="40" t="str" cm="1">
        <f t="array" ref="V4010">_xlfn.IFS(
ISNUMBER(SEARCH("USA",S4010)),"United States",
ISNUMBER(SEARCH("Republic of Ireland",S4010)),"Ireland",
ISNUMBER(SEARCH("Republic of Korea",S4010)),"South Korea",
ISNUMBER(SEARCH("Cape Verde",S4010)),"Cabo Verde",
ISNUMBER(SEARCH("Czechia",S4010)),"Czech Republic",
ISNUMBER(SEARCH("Türkiye",S4010)),"Turkey",
ISNUMBER(SEARCH("Ivory Coast",S4010)),"Côte d'Ivoire",
ISNUMBER(SEARCH("Korea Republic",S4010)),"South Korea",
ISNUMBER(SEARCH("Germany FR",S4010)),"FR Germany",
ISNUMBER(SEARCH("West Germany",S4010)),"FR Germany",
ISNUMBER(SEARCH("Germany DR",S4010)),"DR Germany",
ISNUMBER(SEARCH("Korea DPR",S4010)),"North Korea",
ISNUMBER(SEARCH("China PR",S4010)),"China",
ISNUMBER(SEARCH("IR Iran",S4010)),"Iran",
ISNUMBER(SEARCH("Congo DR",S4010)),"Democratic Republic of the Congo",
ISNUMBER(SEARCH("DR Congo",S4010)),"Democratic Republic of the Congo",
ISNUMBER(SEARCH("German DR",S4010)),"DR Germany",
ISNUMBER(SEARCH("rn""&gt;United Arab Emirates",S4010)),"United Arab Emirates",
ISNUMBER(SEARCH("rn""&gt;Republic of Ireland",S4010)),"Ireland",
ISNUMBER(SEARCH("rn""&gt;Bosnia and Herzegovina",S4010)),"Bosnia and Herzegovina",
ISNUMBER(SEARCH("rn""&gt;Trinidad and Tobago",S4010)),"Trinidad and Tobago",
ISNUMBER(SEARCH("rn""&gt;Serbia and Montenegro",S4010)),"Serbia and Montenegro",
ISNUMBER(SEARCH(_xlfn.UNICHAR(65533),S4010)),"Côte d'Ivoire",
TRUE,""
)</f>
        <v/>
      </c>
      <c r="W4010" s="40" t="str">
        <f t="shared" si="261"/>
        <v>Denmark</v>
      </c>
    </row>
    <row r="4011" spans="19:23">
      <c r="S4011" s="40" t="str">
        <v>Cameroon</v>
      </c>
      <c r="T4011" s="40" t="str">
        <f t="shared" si="259"/>
        <v>OK</v>
      </c>
      <c r="U4011" s="40" t="str">
        <f t="shared" si="260"/>
        <v>-</v>
      </c>
      <c r="V4011" s="40" t="str" cm="1">
        <f t="array" ref="V4011">_xlfn.IFS(
ISNUMBER(SEARCH("USA",S4011)),"United States",
ISNUMBER(SEARCH("Republic of Ireland",S4011)),"Ireland",
ISNUMBER(SEARCH("Republic of Korea",S4011)),"South Korea",
ISNUMBER(SEARCH("Cape Verde",S4011)),"Cabo Verde",
ISNUMBER(SEARCH("Czechia",S4011)),"Czech Republic",
ISNUMBER(SEARCH("Türkiye",S4011)),"Turkey",
ISNUMBER(SEARCH("Ivory Coast",S4011)),"Côte d'Ivoire",
ISNUMBER(SEARCH("Korea Republic",S4011)),"South Korea",
ISNUMBER(SEARCH("Germany FR",S4011)),"FR Germany",
ISNUMBER(SEARCH("West Germany",S4011)),"FR Germany",
ISNUMBER(SEARCH("Germany DR",S4011)),"DR Germany",
ISNUMBER(SEARCH("Korea DPR",S4011)),"North Korea",
ISNUMBER(SEARCH("China PR",S4011)),"China",
ISNUMBER(SEARCH("IR Iran",S4011)),"Iran",
ISNUMBER(SEARCH("Congo DR",S4011)),"Democratic Republic of the Congo",
ISNUMBER(SEARCH("DR Congo",S4011)),"Democratic Republic of the Congo",
ISNUMBER(SEARCH("German DR",S4011)),"DR Germany",
ISNUMBER(SEARCH("rn""&gt;United Arab Emirates",S4011)),"United Arab Emirates",
ISNUMBER(SEARCH("rn""&gt;Republic of Ireland",S4011)),"Ireland",
ISNUMBER(SEARCH("rn""&gt;Bosnia and Herzegovina",S4011)),"Bosnia and Herzegovina",
ISNUMBER(SEARCH("rn""&gt;Trinidad and Tobago",S4011)),"Trinidad and Tobago",
ISNUMBER(SEARCH("rn""&gt;Serbia and Montenegro",S4011)),"Serbia and Montenegro",
ISNUMBER(SEARCH(_xlfn.UNICHAR(65533),S4011)),"Côte d'Ivoire",
TRUE,""
)</f>
        <v/>
      </c>
      <c r="W4011" s="40" t="str">
        <f t="shared" si="261"/>
        <v>Cameroon</v>
      </c>
    </row>
    <row r="4012" spans="19:23">
      <c r="S4012" s="40" t="str">
        <v>Saudi Arabia</v>
      </c>
      <c r="T4012" s="40" t="str">
        <f t="shared" si="259"/>
        <v>OK</v>
      </c>
      <c r="U4012" s="40" t="str">
        <f t="shared" si="260"/>
        <v>-</v>
      </c>
      <c r="V4012" s="40" t="str" cm="1">
        <f t="array" ref="V4012">_xlfn.IFS(
ISNUMBER(SEARCH("USA",S4012)),"United States",
ISNUMBER(SEARCH("Republic of Ireland",S4012)),"Ireland",
ISNUMBER(SEARCH("Republic of Korea",S4012)),"South Korea",
ISNUMBER(SEARCH("Cape Verde",S4012)),"Cabo Verde",
ISNUMBER(SEARCH("Czechia",S4012)),"Czech Republic",
ISNUMBER(SEARCH("Türkiye",S4012)),"Turkey",
ISNUMBER(SEARCH("Ivory Coast",S4012)),"Côte d'Ivoire",
ISNUMBER(SEARCH("Korea Republic",S4012)),"South Korea",
ISNUMBER(SEARCH("Germany FR",S4012)),"FR Germany",
ISNUMBER(SEARCH("West Germany",S4012)),"FR Germany",
ISNUMBER(SEARCH("Germany DR",S4012)),"DR Germany",
ISNUMBER(SEARCH("Korea DPR",S4012)),"North Korea",
ISNUMBER(SEARCH("China PR",S4012)),"China",
ISNUMBER(SEARCH("IR Iran",S4012)),"Iran",
ISNUMBER(SEARCH("Congo DR",S4012)),"Democratic Republic of the Congo",
ISNUMBER(SEARCH("DR Congo",S4012)),"Democratic Republic of the Congo",
ISNUMBER(SEARCH("German DR",S4012)),"DR Germany",
ISNUMBER(SEARCH("rn""&gt;United Arab Emirates",S4012)),"United Arab Emirates",
ISNUMBER(SEARCH("rn""&gt;Republic of Ireland",S4012)),"Ireland",
ISNUMBER(SEARCH("rn""&gt;Bosnia and Herzegovina",S4012)),"Bosnia and Herzegovina",
ISNUMBER(SEARCH("rn""&gt;Trinidad and Tobago",S4012)),"Trinidad and Tobago",
ISNUMBER(SEARCH("rn""&gt;Serbia and Montenegro",S4012)),"Serbia and Montenegro",
ISNUMBER(SEARCH(_xlfn.UNICHAR(65533),S4012)),"Côte d'Ivoire",
TRUE,""
)</f>
        <v/>
      </c>
      <c r="W4012" s="40" t="str">
        <f t="shared" si="261"/>
        <v>Saudi Arabia</v>
      </c>
    </row>
    <row r="4013" spans="19:23">
      <c r="S4013" s="40" t="str">
        <v>Nigeria</v>
      </c>
      <c r="T4013" s="40" t="str">
        <f t="shared" si="259"/>
        <v>OK</v>
      </c>
      <c r="U4013" s="40" t="str">
        <f t="shared" si="260"/>
        <v>-</v>
      </c>
      <c r="V4013" s="40" t="str" cm="1">
        <f t="array" ref="V4013">_xlfn.IFS(
ISNUMBER(SEARCH("USA",S4013)),"United States",
ISNUMBER(SEARCH("Republic of Ireland",S4013)),"Ireland",
ISNUMBER(SEARCH("Republic of Korea",S4013)),"South Korea",
ISNUMBER(SEARCH("Cape Verde",S4013)),"Cabo Verde",
ISNUMBER(SEARCH("Czechia",S4013)),"Czech Republic",
ISNUMBER(SEARCH("Türkiye",S4013)),"Turkey",
ISNUMBER(SEARCH("Ivory Coast",S4013)),"Côte d'Ivoire",
ISNUMBER(SEARCH("Korea Republic",S4013)),"South Korea",
ISNUMBER(SEARCH("Germany FR",S4013)),"FR Germany",
ISNUMBER(SEARCH("West Germany",S4013)),"FR Germany",
ISNUMBER(SEARCH("Germany DR",S4013)),"DR Germany",
ISNUMBER(SEARCH("Korea DPR",S4013)),"North Korea",
ISNUMBER(SEARCH("China PR",S4013)),"China",
ISNUMBER(SEARCH("IR Iran",S4013)),"Iran",
ISNUMBER(SEARCH("Congo DR",S4013)),"Democratic Republic of the Congo",
ISNUMBER(SEARCH("DR Congo",S4013)),"Democratic Republic of the Congo",
ISNUMBER(SEARCH("German DR",S4013)),"DR Germany",
ISNUMBER(SEARCH("rn""&gt;United Arab Emirates",S4013)),"United Arab Emirates",
ISNUMBER(SEARCH("rn""&gt;Republic of Ireland",S4013)),"Ireland",
ISNUMBER(SEARCH("rn""&gt;Bosnia and Herzegovina",S4013)),"Bosnia and Herzegovina",
ISNUMBER(SEARCH("rn""&gt;Trinidad and Tobago",S4013)),"Trinidad and Tobago",
ISNUMBER(SEARCH("rn""&gt;Serbia and Montenegro",S4013)),"Serbia and Montenegro",
ISNUMBER(SEARCH(_xlfn.UNICHAR(65533),S4013)),"Côte d'Ivoire",
TRUE,""
)</f>
        <v/>
      </c>
      <c r="W4013" s="40" t="str">
        <f t="shared" si="261"/>
        <v>Nigeria</v>
      </c>
    </row>
    <row r="4014" spans="19:23">
      <c r="S4014" s="40" t="str">
        <v>South Africa</v>
      </c>
      <c r="T4014" s="40" t="str">
        <f t="shared" si="259"/>
        <v>OK</v>
      </c>
      <c r="U4014" s="40" t="str">
        <f t="shared" si="260"/>
        <v>-</v>
      </c>
      <c r="V4014" s="40" t="str" cm="1">
        <f t="array" ref="V4014">_xlfn.IFS(
ISNUMBER(SEARCH("USA",S4014)),"United States",
ISNUMBER(SEARCH("Republic of Ireland",S4014)),"Ireland",
ISNUMBER(SEARCH("Republic of Korea",S4014)),"South Korea",
ISNUMBER(SEARCH("Cape Verde",S4014)),"Cabo Verde",
ISNUMBER(SEARCH("Czechia",S4014)),"Czech Republic",
ISNUMBER(SEARCH("Türkiye",S4014)),"Turkey",
ISNUMBER(SEARCH("Ivory Coast",S4014)),"Côte d'Ivoire",
ISNUMBER(SEARCH("Korea Republic",S4014)),"South Korea",
ISNUMBER(SEARCH("Germany FR",S4014)),"FR Germany",
ISNUMBER(SEARCH("West Germany",S4014)),"FR Germany",
ISNUMBER(SEARCH("Germany DR",S4014)),"DR Germany",
ISNUMBER(SEARCH("Korea DPR",S4014)),"North Korea",
ISNUMBER(SEARCH("China PR",S4014)),"China",
ISNUMBER(SEARCH("IR Iran",S4014)),"Iran",
ISNUMBER(SEARCH("Congo DR",S4014)),"Democratic Republic of the Congo",
ISNUMBER(SEARCH("DR Congo",S4014)),"Democratic Republic of the Congo",
ISNUMBER(SEARCH("German DR",S4014)),"DR Germany",
ISNUMBER(SEARCH("rn""&gt;United Arab Emirates",S4014)),"United Arab Emirates",
ISNUMBER(SEARCH("rn""&gt;Republic of Ireland",S4014)),"Ireland",
ISNUMBER(SEARCH("rn""&gt;Bosnia and Herzegovina",S4014)),"Bosnia and Herzegovina",
ISNUMBER(SEARCH("rn""&gt;Trinidad and Tobago",S4014)),"Trinidad and Tobago",
ISNUMBER(SEARCH("rn""&gt;Serbia and Montenegro",S4014)),"Serbia and Montenegro",
ISNUMBER(SEARCH(_xlfn.UNICHAR(65533),S4014)),"Côte d'Ivoire",
TRUE,""
)</f>
        <v/>
      </c>
      <c r="W4014" s="40" t="str">
        <f t="shared" si="261"/>
        <v>South Africa</v>
      </c>
    </row>
    <row r="4015" spans="19:23">
      <c r="S4015" s="40" t="str">
        <v>Sweden</v>
      </c>
      <c r="T4015" s="40" t="str">
        <f t="shared" si="259"/>
        <v>OK</v>
      </c>
      <c r="U4015" s="40" t="str">
        <f t="shared" si="260"/>
        <v>-</v>
      </c>
      <c r="V4015" s="40" t="str" cm="1">
        <f t="array" ref="V4015">_xlfn.IFS(
ISNUMBER(SEARCH("USA",S4015)),"United States",
ISNUMBER(SEARCH("Republic of Ireland",S4015)),"Ireland",
ISNUMBER(SEARCH("Republic of Korea",S4015)),"South Korea",
ISNUMBER(SEARCH("Cape Verde",S4015)),"Cabo Verde",
ISNUMBER(SEARCH("Czechia",S4015)),"Czech Republic",
ISNUMBER(SEARCH("Türkiye",S4015)),"Turkey",
ISNUMBER(SEARCH("Ivory Coast",S4015)),"Côte d'Ivoire",
ISNUMBER(SEARCH("Korea Republic",S4015)),"South Korea",
ISNUMBER(SEARCH("Germany FR",S4015)),"FR Germany",
ISNUMBER(SEARCH("West Germany",S4015)),"FR Germany",
ISNUMBER(SEARCH("Germany DR",S4015)),"DR Germany",
ISNUMBER(SEARCH("Korea DPR",S4015)),"North Korea",
ISNUMBER(SEARCH("China PR",S4015)),"China",
ISNUMBER(SEARCH("IR Iran",S4015)),"Iran",
ISNUMBER(SEARCH("Congo DR",S4015)),"Democratic Republic of the Congo",
ISNUMBER(SEARCH("DR Congo",S4015)),"Democratic Republic of the Congo",
ISNUMBER(SEARCH("German DR",S4015)),"DR Germany",
ISNUMBER(SEARCH("rn""&gt;United Arab Emirates",S4015)),"United Arab Emirates",
ISNUMBER(SEARCH("rn""&gt;Republic of Ireland",S4015)),"Ireland",
ISNUMBER(SEARCH("rn""&gt;Bosnia and Herzegovina",S4015)),"Bosnia and Herzegovina",
ISNUMBER(SEARCH("rn""&gt;Trinidad and Tobago",S4015)),"Trinidad and Tobago",
ISNUMBER(SEARCH("rn""&gt;Serbia and Montenegro",S4015)),"Serbia and Montenegro",
ISNUMBER(SEARCH(_xlfn.UNICHAR(65533),S4015)),"Côte d'Ivoire",
TRUE,""
)</f>
        <v/>
      </c>
      <c r="W4015" s="40" t="str">
        <f t="shared" si="261"/>
        <v>Sweden</v>
      </c>
    </row>
    <row r="4016" spans="19:23">
      <c r="S4016" s="40" t="str">
        <v>Slovenia</v>
      </c>
      <c r="T4016" s="40" t="str">
        <f t="shared" si="259"/>
        <v>OK</v>
      </c>
      <c r="U4016" s="40" t="str">
        <f t="shared" si="260"/>
        <v>-</v>
      </c>
      <c r="V4016" s="40" t="str" cm="1">
        <f t="array" ref="V4016">_xlfn.IFS(
ISNUMBER(SEARCH("USA",S4016)),"United States",
ISNUMBER(SEARCH("Republic of Ireland",S4016)),"Ireland",
ISNUMBER(SEARCH("Republic of Korea",S4016)),"South Korea",
ISNUMBER(SEARCH("Cape Verde",S4016)),"Cabo Verde",
ISNUMBER(SEARCH("Czechia",S4016)),"Czech Republic",
ISNUMBER(SEARCH("Türkiye",S4016)),"Turkey",
ISNUMBER(SEARCH("Ivory Coast",S4016)),"Côte d'Ivoire",
ISNUMBER(SEARCH("Korea Republic",S4016)),"South Korea",
ISNUMBER(SEARCH("Germany FR",S4016)),"FR Germany",
ISNUMBER(SEARCH("West Germany",S4016)),"FR Germany",
ISNUMBER(SEARCH("Germany DR",S4016)),"DR Germany",
ISNUMBER(SEARCH("Korea DPR",S4016)),"North Korea",
ISNUMBER(SEARCH("China PR",S4016)),"China",
ISNUMBER(SEARCH("IR Iran",S4016)),"Iran",
ISNUMBER(SEARCH("Congo DR",S4016)),"Democratic Republic of the Congo",
ISNUMBER(SEARCH("DR Congo",S4016)),"Democratic Republic of the Congo",
ISNUMBER(SEARCH("German DR",S4016)),"DR Germany",
ISNUMBER(SEARCH("rn""&gt;United Arab Emirates",S4016)),"United Arab Emirates",
ISNUMBER(SEARCH("rn""&gt;Republic of Ireland",S4016)),"Ireland",
ISNUMBER(SEARCH("rn""&gt;Bosnia and Herzegovina",S4016)),"Bosnia and Herzegovina",
ISNUMBER(SEARCH("rn""&gt;Trinidad and Tobago",S4016)),"Trinidad and Tobago",
ISNUMBER(SEARCH("rn""&gt;Serbia and Montenegro",S4016)),"Serbia and Montenegro",
ISNUMBER(SEARCH(_xlfn.UNICHAR(65533),S4016)),"Côte d'Ivoire",
TRUE,""
)</f>
        <v/>
      </c>
      <c r="W4016" s="40" t="str">
        <f t="shared" si="261"/>
        <v>Slovenia</v>
      </c>
    </row>
    <row r="4017" spans="19:23">
      <c r="S4017" s="40" t="str">
        <v>Turkey</v>
      </c>
      <c r="T4017" s="40" t="str">
        <f t="shared" si="259"/>
        <v>OK</v>
      </c>
      <c r="U4017" s="40" t="str">
        <f t="shared" si="260"/>
        <v>-</v>
      </c>
      <c r="V4017" s="40" t="str" cm="1">
        <f t="array" ref="V4017">_xlfn.IFS(
ISNUMBER(SEARCH("USA",S4017)),"United States",
ISNUMBER(SEARCH("Republic of Ireland",S4017)),"Ireland",
ISNUMBER(SEARCH("Republic of Korea",S4017)),"South Korea",
ISNUMBER(SEARCH("Cape Verde",S4017)),"Cabo Verde",
ISNUMBER(SEARCH("Czechia",S4017)),"Czech Republic",
ISNUMBER(SEARCH("Türkiye",S4017)),"Turkey",
ISNUMBER(SEARCH("Ivory Coast",S4017)),"Côte d'Ivoire",
ISNUMBER(SEARCH("Korea Republic",S4017)),"South Korea",
ISNUMBER(SEARCH("Germany FR",S4017)),"FR Germany",
ISNUMBER(SEARCH("West Germany",S4017)),"FR Germany",
ISNUMBER(SEARCH("Germany DR",S4017)),"DR Germany",
ISNUMBER(SEARCH("Korea DPR",S4017)),"North Korea",
ISNUMBER(SEARCH("China PR",S4017)),"China",
ISNUMBER(SEARCH("IR Iran",S4017)),"Iran",
ISNUMBER(SEARCH("Congo DR",S4017)),"Democratic Republic of the Congo",
ISNUMBER(SEARCH("DR Congo",S4017)),"Democratic Republic of the Congo",
ISNUMBER(SEARCH("German DR",S4017)),"DR Germany",
ISNUMBER(SEARCH("rn""&gt;United Arab Emirates",S4017)),"United Arab Emirates",
ISNUMBER(SEARCH("rn""&gt;Republic of Ireland",S4017)),"Ireland",
ISNUMBER(SEARCH("rn""&gt;Bosnia and Herzegovina",S4017)),"Bosnia and Herzegovina",
ISNUMBER(SEARCH("rn""&gt;Trinidad and Tobago",S4017)),"Trinidad and Tobago",
ISNUMBER(SEARCH("rn""&gt;Serbia and Montenegro",S4017)),"Serbia and Montenegro",
ISNUMBER(SEARCH(_xlfn.UNICHAR(65533),S4017)),"Côte d'Ivoire",
TRUE,""
)</f>
        <v/>
      </c>
      <c r="W4017" s="40" t="str">
        <f t="shared" si="261"/>
        <v>Turkey</v>
      </c>
    </row>
    <row r="4018" spans="19:23">
      <c r="S4018" s="40" t="str">
        <v>Ecuador</v>
      </c>
      <c r="T4018" s="40" t="str">
        <f t="shared" si="259"/>
        <v>OK</v>
      </c>
      <c r="U4018" s="40" t="str">
        <f t="shared" si="260"/>
        <v>-</v>
      </c>
      <c r="V4018" s="40" t="str" cm="1">
        <f t="array" ref="V4018">_xlfn.IFS(
ISNUMBER(SEARCH("USA",S4018)),"United States",
ISNUMBER(SEARCH("Republic of Ireland",S4018)),"Ireland",
ISNUMBER(SEARCH("Republic of Korea",S4018)),"South Korea",
ISNUMBER(SEARCH("Cape Verde",S4018)),"Cabo Verde",
ISNUMBER(SEARCH("Czechia",S4018)),"Czech Republic",
ISNUMBER(SEARCH("Türkiye",S4018)),"Turkey",
ISNUMBER(SEARCH("Ivory Coast",S4018)),"Côte d'Ivoire",
ISNUMBER(SEARCH("Korea Republic",S4018)),"South Korea",
ISNUMBER(SEARCH("Germany FR",S4018)),"FR Germany",
ISNUMBER(SEARCH("West Germany",S4018)),"FR Germany",
ISNUMBER(SEARCH("Germany DR",S4018)),"DR Germany",
ISNUMBER(SEARCH("Korea DPR",S4018)),"North Korea",
ISNUMBER(SEARCH("China PR",S4018)),"China",
ISNUMBER(SEARCH("IR Iran",S4018)),"Iran",
ISNUMBER(SEARCH("Congo DR",S4018)),"Democratic Republic of the Congo",
ISNUMBER(SEARCH("DR Congo",S4018)),"Democratic Republic of the Congo",
ISNUMBER(SEARCH("German DR",S4018)),"DR Germany",
ISNUMBER(SEARCH("rn""&gt;United Arab Emirates",S4018)),"United Arab Emirates",
ISNUMBER(SEARCH("rn""&gt;Republic of Ireland",S4018)),"Ireland",
ISNUMBER(SEARCH("rn""&gt;Bosnia and Herzegovina",S4018)),"Bosnia and Herzegovina",
ISNUMBER(SEARCH("rn""&gt;Trinidad and Tobago",S4018)),"Trinidad and Tobago",
ISNUMBER(SEARCH("rn""&gt;Serbia and Montenegro",S4018)),"Serbia and Montenegro",
ISNUMBER(SEARCH(_xlfn.UNICHAR(65533),S4018)),"Côte d'Ivoire",
TRUE,""
)</f>
        <v/>
      </c>
      <c r="W4018" s="40" t="str">
        <f t="shared" si="261"/>
        <v>Ecuador</v>
      </c>
    </row>
    <row r="4019" spans="19:23">
      <c r="S4019" s="40" t="str">
        <v>Mexico</v>
      </c>
      <c r="T4019" s="40" t="str">
        <f t="shared" si="259"/>
        <v>OK</v>
      </c>
      <c r="U4019" s="40" t="str">
        <f t="shared" si="260"/>
        <v>-</v>
      </c>
      <c r="V4019" s="40" t="str" cm="1">
        <f t="array" ref="V4019">_xlfn.IFS(
ISNUMBER(SEARCH("USA",S4019)),"United States",
ISNUMBER(SEARCH("Republic of Ireland",S4019)),"Ireland",
ISNUMBER(SEARCH("Republic of Korea",S4019)),"South Korea",
ISNUMBER(SEARCH("Cape Verde",S4019)),"Cabo Verde",
ISNUMBER(SEARCH("Czechia",S4019)),"Czech Republic",
ISNUMBER(SEARCH("Türkiye",S4019)),"Turkey",
ISNUMBER(SEARCH("Ivory Coast",S4019)),"Côte d'Ivoire",
ISNUMBER(SEARCH("Korea Republic",S4019)),"South Korea",
ISNUMBER(SEARCH("Germany FR",S4019)),"FR Germany",
ISNUMBER(SEARCH("West Germany",S4019)),"FR Germany",
ISNUMBER(SEARCH("Germany DR",S4019)),"DR Germany",
ISNUMBER(SEARCH("Korea DPR",S4019)),"North Korea",
ISNUMBER(SEARCH("China PR",S4019)),"China",
ISNUMBER(SEARCH("IR Iran",S4019)),"Iran",
ISNUMBER(SEARCH("Congo DR",S4019)),"Democratic Republic of the Congo",
ISNUMBER(SEARCH("DR Congo",S4019)),"Democratic Republic of the Congo",
ISNUMBER(SEARCH("German DR",S4019)),"DR Germany",
ISNUMBER(SEARCH("rn""&gt;United Arab Emirates",S4019)),"United Arab Emirates",
ISNUMBER(SEARCH("rn""&gt;Republic of Ireland",S4019)),"Ireland",
ISNUMBER(SEARCH("rn""&gt;Bosnia and Herzegovina",S4019)),"Bosnia and Herzegovina",
ISNUMBER(SEARCH("rn""&gt;Trinidad and Tobago",S4019)),"Trinidad and Tobago",
ISNUMBER(SEARCH("rn""&gt;Serbia and Montenegro",S4019)),"Serbia and Montenegro",
ISNUMBER(SEARCH(_xlfn.UNICHAR(65533),S4019)),"Côte d'Ivoire",
TRUE,""
)</f>
        <v/>
      </c>
      <c r="W4019" s="40" t="str">
        <f t="shared" si="261"/>
        <v>Mexico</v>
      </c>
    </row>
    <row r="4020" spans="19:23">
      <c r="S4020" s="40" t="str">
        <v>Costa Rica</v>
      </c>
      <c r="T4020" s="40" t="str">
        <f t="shared" si="259"/>
        <v>OK</v>
      </c>
      <c r="U4020" s="40" t="str">
        <f t="shared" si="260"/>
        <v>-</v>
      </c>
      <c r="V4020" s="40" t="str" cm="1">
        <f t="array" ref="V4020">_xlfn.IFS(
ISNUMBER(SEARCH("USA",S4020)),"United States",
ISNUMBER(SEARCH("Republic of Ireland",S4020)),"Ireland",
ISNUMBER(SEARCH("Republic of Korea",S4020)),"South Korea",
ISNUMBER(SEARCH("Cape Verde",S4020)),"Cabo Verde",
ISNUMBER(SEARCH("Czechia",S4020)),"Czech Republic",
ISNUMBER(SEARCH("Türkiye",S4020)),"Turkey",
ISNUMBER(SEARCH("Ivory Coast",S4020)),"Côte d'Ivoire",
ISNUMBER(SEARCH("Korea Republic",S4020)),"South Korea",
ISNUMBER(SEARCH("Germany FR",S4020)),"FR Germany",
ISNUMBER(SEARCH("West Germany",S4020)),"FR Germany",
ISNUMBER(SEARCH("Germany DR",S4020)),"DR Germany",
ISNUMBER(SEARCH("Korea DPR",S4020)),"North Korea",
ISNUMBER(SEARCH("China PR",S4020)),"China",
ISNUMBER(SEARCH("IR Iran",S4020)),"Iran",
ISNUMBER(SEARCH("Congo DR",S4020)),"Democratic Republic of the Congo",
ISNUMBER(SEARCH("DR Congo",S4020)),"Democratic Republic of the Congo",
ISNUMBER(SEARCH("German DR",S4020)),"DR Germany",
ISNUMBER(SEARCH("rn""&gt;United Arab Emirates",S4020)),"United Arab Emirates",
ISNUMBER(SEARCH("rn""&gt;Republic of Ireland",S4020)),"Ireland",
ISNUMBER(SEARCH("rn""&gt;Bosnia and Herzegovina",S4020)),"Bosnia and Herzegovina",
ISNUMBER(SEARCH("rn""&gt;Trinidad and Tobago",S4020)),"Trinidad and Tobago",
ISNUMBER(SEARCH("rn""&gt;Serbia and Montenegro",S4020)),"Serbia and Montenegro",
ISNUMBER(SEARCH(_xlfn.UNICHAR(65533),S4020)),"Côte d'Ivoire",
TRUE,""
)</f>
        <v/>
      </c>
      <c r="W4020" s="40" t="str">
        <f t="shared" si="261"/>
        <v>Costa Rica</v>
      </c>
    </row>
    <row r="4021" spans="19:23">
      <c r="S4021" s="40" t="str">
        <v>Belgium</v>
      </c>
      <c r="T4021" s="40" t="str">
        <f t="shared" si="259"/>
        <v>OK</v>
      </c>
      <c r="U4021" s="40" t="str">
        <f t="shared" si="260"/>
        <v>-</v>
      </c>
      <c r="V4021" s="40" t="str" cm="1">
        <f t="array" ref="V4021">_xlfn.IFS(
ISNUMBER(SEARCH("USA",S4021)),"United States",
ISNUMBER(SEARCH("Republic of Ireland",S4021)),"Ireland",
ISNUMBER(SEARCH("Republic of Korea",S4021)),"South Korea",
ISNUMBER(SEARCH("Cape Verde",S4021)),"Cabo Verde",
ISNUMBER(SEARCH("Czechia",S4021)),"Czech Republic",
ISNUMBER(SEARCH("Türkiye",S4021)),"Turkey",
ISNUMBER(SEARCH("Ivory Coast",S4021)),"Côte d'Ivoire",
ISNUMBER(SEARCH("Korea Republic",S4021)),"South Korea",
ISNUMBER(SEARCH("Germany FR",S4021)),"FR Germany",
ISNUMBER(SEARCH("West Germany",S4021)),"FR Germany",
ISNUMBER(SEARCH("Germany DR",S4021)),"DR Germany",
ISNUMBER(SEARCH("Korea DPR",S4021)),"North Korea",
ISNUMBER(SEARCH("China PR",S4021)),"China",
ISNUMBER(SEARCH("IR Iran",S4021)),"Iran",
ISNUMBER(SEARCH("Congo DR",S4021)),"Democratic Republic of the Congo",
ISNUMBER(SEARCH("DR Congo",S4021)),"Democratic Republic of the Congo",
ISNUMBER(SEARCH("German DR",S4021)),"DR Germany",
ISNUMBER(SEARCH("rn""&gt;United Arab Emirates",S4021)),"United Arab Emirates",
ISNUMBER(SEARCH("rn""&gt;Republic of Ireland",S4021)),"Ireland",
ISNUMBER(SEARCH("rn""&gt;Bosnia and Herzegovina",S4021)),"Bosnia and Herzegovina",
ISNUMBER(SEARCH("rn""&gt;Trinidad and Tobago",S4021)),"Trinidad and Tobago",
ISNUMBER(SEARCH("rn""&gt;Serbia and Montenegro",S4021)),"Serbia and Montenegro",
ISNUMBER(SEARCH(_xlfn.UNICHAR(65533),S4021)),"Côte d'Ivoire",
TRUE,""
)</f>
        <v/>
      </c>
      <c r="W4021" s="40" t="str">
        <f t="shared" si="261"/>
        <v>Belgium</v>
      </c>
    </row>
    <row r="4022" spans="19:23">
      <c r="S4022" s="40" t="str">
        <v>Poland</v>
      </c>
      <c r="T4022" s="40" t="str">
        <f t="shared" si="259"/>
        <v>OK</v>
      </c>
      <c r="U4022" s="40" t="str">
        <f t="shared" si="260"/>
        <v>-</v>
      </c>
      <c r="V4022" s="40" t="str" cm="1">
        <f t="array" ref="V4022">_xlfn.IFS(
ISNUMBER(SEARCH("USA",S4022)),"United States",
ISNUMBER(SEARCH("Republic of Ireland",S4022)),"Ireland",
ISNUMBER(SEARCH("Republic of Korea",S4022)),"South Korea",
ISNUMBER(SEARCH("Cape Verde",S4022)),"Cabo Verde",
ISNUMBER(SEARCH("Czechia",S4022)),"Czech Republic",
ISNUMBER(SEARCH("Türkiye",S4022)),"Turkey",
ISNUMBER(SEARCH("Ivory Coast",S4022)),"Côte d'Ivoire",
ISNUMBER(SEARCH("Korea Republic",S4022)),"South Korea",
ISNUMBER(SEARCH("Germany FR",S4022)),"FR Germany",
ISNUMBER(SEARCH("West Germany",S4022)),"FR Germany",
ISNUMBER(SEARCH("Germany DR",S4022)),"DR Germany",
ISNUMBER(SEARCH("Korea DPR",S4022)),"North Korea",
ISNUMBER(SEARCH("China PR",S4022)),"China",
ISNUMBER(SEARCH("IR Iran",S4022)),"Iran",
ISNUMBER(SEARCH("Congo DR",S4022)),"Democratic Republic of the Congo",
ISNUMBER(SEARCH("DR Congo",S4022)),"Democratic Republic of the Congo",
ISNUMBER(SEARCH("German DR",S4022)),"DR Germany",
ISNUMBER(SEARCH("rn""&gt;United Arab Emirates",S4022)),"United Arab Emirates",
ISNUMBER(SEARCH("rn""&gt;Republic of Ireland",S4022)),"Ireland",
ISNUMBER(SEARCH("rn""&gt;Bosnia and Herzegovina",S4022)),"Bosnia and Herzegovina",
ISNUMBER(SEARCH("rn""&gt;Trinidad and Tobago",S4022)),"Trinidad and Tobago",
ISNUMBER(SEARCH("rn""&gt;Serbia and Montenegro",S4022)),"Serbia and Montenegro",
ISNUMBER(SEARCH(_xlfn.UNICHAR(65533),S4022)),"Côte d'Ivoire",
TRUE,""
)</f>
        <v/>
      </c>
      <c r="W4022" s="40" t="str">
        <f t="shared" si="261"/>
        <v>Poland</v>
      </c>
    </row>
    <row r="4023" spans="19:23">
      <c r="S4023" s="40" t="str">
        <v>Tunisia</v>
      </c>
      <c r="T4023" s="40" t="str">
        <f t="shared" si="259"/>
        <v>OK</v>
      </c>
      <c r="U4023" s="40" t="str">
        <f t="shared" si="260"/>
        <v>-</v>
      </c>
      <c r="V4023" s="40" t="str" cm="1">
        <f t="array" ref="V4023">_xlfn.IFS(
ISNUMBER(SEARCH("USA",S4023)),"United States",
ISNUMBER(SEARCH("Republic of Ireland",S4023)),"Ireland",
ISNUMBER(SEARCH("Republic of Korea",S4023)),"South Korea",
ISNUMBER(SEARCH("Cape Verde",S4023)),"Cabo Verde",
ISNUMBER(SEARCH("Czechia",S4023)),"Czech Republic",
ISNUMBER(SEARCH("Türkiye",S4023)),"Turkey",
ISNUMBER(SEARCH("Ivory Coast",S4023)),"Côte d'Ivoire",
ISNUMBER(SEARCH("Korea Republic",S4023)),"South Korea",
ISNUMBER(SEARCH("Germany FR",S4023)),"FR Germany",
ISNUMBER(SEARCH("West Germany",S4023)),"FR Germany",
ISNUMBER(SEARCH("Germany DR",S4023)),"DR Germany",
ISNUMBER(SEARCH("Korea DPR",S4023)),"North Korea",
ISNUMBER(SEARCH("China PR",S4023)),"China",
ISNUMBER(SEARCH("IR Iran",S4023)),"Iran",
ISNUMBER(SEARCH("Congo DR",S4023)),"Democratic Republic of the Congo",
ISNUMBER(SEARCH("DR Congo",S4023)),"Democratic Republic of the Congo",
ISNUMBER(SEARCH("German DR",S4023)),"DR Germany",
ISNUMBER(SEARCH("rn""&gt;United Arab Emirates",S4023)),"United Arab Emirates",
ISNUMBER(SEARCH("rn""&gt;Republic of Ireland",S4023)),"Ireland",
ISNUMBER(SEARCH("rn""&gt;Bosnia and Herzegovina",S4023)),"Bosnia and Herzegovina",
ISNUMBER(SEARCH("rn""&gt;Trinidad and Tobago",S4023)),"Trinidad and Tobago",
ISNUMBER(SEARCH("rn""&gt;Serbia and Montenegro",S4023)),"Serbia and Montenegro",
ISNUMBER(SEARCH(_xlfn.UNICHAR(65533),S4023)),"Côte d'Ivoire",
TRUE,""
)</f>
        <v/>
      </c>
      <c r="W4023" s="40" t="str">
        <f t="shared" si="261"/>
        <v>Tunisia</v>
      </c>
    </row>
    <row r="4024" spans="19:23">
      <c r="S4024" s="40" t="str">
        <v>Portugal</v>
      </c>
      <c r="T4024" s="40" t="str">
        <f t="shared" si="259"/>
        <v>OK</v>
      </c>
      <c r="U4024" s="40" t="str">
        <f t="shared" si="260"/>
        <v>-</v>
      </c>
      <c r="V4024" s="40" t="str" cm="1">
        <f t="array" ref="V4024">_xlfn.IFS(
ISNUMBER(SEARCH("USA",S4024)),"United States",
ISNUMBER(SEARCH("Republic of Ireland",S4024)),"Ireland",
ISNUMBER(SEARCH("Republic of Korea",S4024)),"South Korea",
ISNUMBER(SEARCH("Cape Verde",S4024)),"Cabo Verde",
ISNUMBER(SEARCH("Czechia",S4024)),"Czech Republic",
ISNUMBER(SEARCH("Türkiye",S4024)),"Turkey",
ISNUMBER(SEARCH("Ivory Coast",S4024)),"Côte d'Ivoire",
ISNUMBER(SEARCH("Korea Republic",S4024)),"South Korea",
ISNUMBER(SEARCH("Germany FR",S4024)),"FR Germany",
ISNUMBER(SEARCH("West Germany",S4024)),"FR Germany",
ISNUMBER(SEARCH("Germany DR",S4024)),"DR Germany",
ISNUMBER(SEARCH("Korea DPR",S4024)),"North Korea",
ISNUMBER(SEARCH("China PR",S4024)),"China",
ISNUMBER(SEARCH("IR Iran",S4024)),"Iran",
ISNUMBER(SEARCH("Congo DR",S4024)),"Democratic Republic of the Congo",
ISNUMBER(SEARCH("DR Congo",S4024)),"Democratic Republic of the Congo",
ISNUMBER(SEARCH("German DR",S4024)),"DR Germany",
ISNUMBER(SEARCH("rn""&gt;United Arab Emirates",S4024)),"United Arab Emirates",
ISNUMBER(SEARCH("rn""&gt;Republic of Ireland",S4024)),"Ireland",
ISNUMBER(SEARCH("rn""&gt;Bosnia and Herzegovina",S4024)),"Bosnia and Herzegovina",
ISNUMBER(SEARCH("rn""&gt;Trinidad and Tobago",S4024)),"Trinidad and Tobago",
ISNUMBER(SEARCH("rn""&gt;Serbia and Montenegro",S4024)),"Serbia and Montenegro",
ISNUMBER(SEARCH(_xlfn.UNICHAR(65533),S4024)),"Côte d'Ivoire",
TRUE,""
)</f>
        <v/>
      </c>
      <c r="W4024" s="40" t="str">
        <f t="shared" si="261"/>
        <v>Portugal</v>
      </c>
    </row>
    <row r="4025" spans="19:23">
      <c r="S4025" s="40" t="str">
        <v>rn"&gt;Republic of Ireland</v>
      </c>
      <c r="T4025" s="40" t="str">
        <f t="shared" si="259"/>
        <v>ERREUR</v>
      </c>
      <c r="U4025" s="40" t="str">
        <f t="shared" si="260"/>
        <v>RENOMMER</v>
      </c>
      <c r="V4025" s="40" t="str" cm="1">
        <f t="array" ref="V4025">_xlfn.IFS(
ISNUMBER(SEARCH("USA",S4025)),"United States",
ISNUMBER(SEARCH("Republic of Ireland",S4025)),"Ireland",
ISNUMBER(SEARCH("Republic of Korea",S4025)),"South Korea",
ISNUMBER(SEARCH("Cape Verde",S4025)),"Cabo Verde",
ISNUMBER(SEARCH("Czechia",S4025)),"Czech Republic",
ISNUMBER(SEARCH("Türkiye",S4025)),"Turkey",
ISNUMBER(SEARCH("Ivory Coast",S4025)),"Côte d'Ivoire",
ISNUMBER(SEARCH("Korea Republic",S4025)),"South Korea",
ISNUMBER(SEARCH("Germany FR",S4025)),"FR Germany",
ISNUMBER(SEARCH("West Germany",S4025)),"FR Germany",
ISNUMBER(SEARCH("Germany DR",S4025)),"DR Germany",
ISNUMBER(SEARCH("Korea DPR",S4025)),"North Korea",
ISNUMBER(SEARCH("China PR",S4025)),"China",
ISNUMBER(SEARCH("IR Iran",S4025)),"Iran",
ISNUMBER(SEARCH("Congo DR",S4025)),"Democratic Republic of the Congo",
ISNUMBER(SEARCH("DR Congo",S4025)),"Democratic Republic of the Congo",
ISNUMBER(SEARCH("German DR",S4025)),"DR Germany",
ISNUMBER(SEARCH("rn""&gt;United Arab Emirates",S4025)),"United Arab Emirates",
ISNUMBER(SEARCH("rn""&gt;Republic of Ireland",S4025)),"Ireland",
ISNUMBER(SEARCH("rn""&gt;Bosnia and Herzegovina",S4025)),"Bosnia and Herzegovina",
ISNUMBER(SEARCH("rn""&gt;Trinidad and Tobago",S4025)),"Trinidad and Tobago",
ISNUMBER(SEARCH("rn""&gt;Serbia and Montenegro",S4025)),"Serbia and Montenegro",
ISNUMBER(SEARCH(_xlfn.UNICHAR(65533),S4025)),"Côte d'Ivoire",
TRUE,""
)</f>
        <v>Ireland</v>
      </c>
      <c r="W4025" s="40" t="str">
        <f t="shared" si="261"/>
        <v>Ireland</v>
      </c>
    </row>
    <row r="4026" spans="19:23">
      <c r="S4026" s="40" t="str">
        <v>Senegal</v>
      </c>
      <c r="T4026" s="40" t="str">
        <f t="shared" si="259"/>
        <v>OK</v>
      </c>
      <c r="U4026" s="40" t="str">
        <f t="shared" si="260"/>
        <v>-</v>
      </c>
      <c r="V4026" s="40" t="str" cm="1">
        <f t="array" ref="V4026">_xlfn.IFS(
ISNUMBER(SEARCH("USA",S4026)),"United States",
ISNUMBER(SEARCH("Republic of Ireland",S4026)),"Ireland",
ISNUMBER(SEARCH("Republic of Korea",S4026)),"South Korea",
ISNUMBER(SEARCH("Cape Verde",S4026)),"Cabo Verde",
ISNUMBER(SEARCH("Czechia",S4026)),"Czech Republic",
ISNUMBER(SEARCH("Türkiye",S4026)),"Turkey",
ISNUMBER(SEARCH("Ivory Coast",S4026)),"Côte d'Ivoire",
ISNUMBER(SEARCH("Korea Republic",S4026)),"South Korea",
ISNUMBER(SEARCH("Germany FR",S4026)),"FR Germany",
ISNUMBER(SEARCH("West Germany",S4026)),"FR Germany",
ISNUMBER(SEARCH("Germany DR",S4026)),"DR Germany",
ISNUMBER(SEARCH("Korea DPR",S4026)),"North Korea",
ISNUMBER(SEARCH("China PR",S4026)),"China",
ISNUMBER(SEARCH("IR Iran",S4026)),"Iran",
ISNUMBER(SEARCH("Congo DR",S4026)),"Democratic Republic of the Congo",
ISNUMBER(SEARCH("DR Congo",S4026)),"Democratic Republic of the Congo",
ISNUMBER(SEARCH("German DR",S4026)),"DR Germany",
ISNUMBER(SEARCH("rn""&gt;United Arab Emirates",S4026)),"United Arab Emirates",
ISNUMBER(SEARCH("rn""&gt;Republic of Ireland",S4026)),"Ireland",
ISNUMBER(SEARCH("rn""&gt;Bosnia and Herzegovina",S4026)),"Bosnia and Herzegovina",
ISNUMBER(SEARCH("rn""&gt;Trinidad and Tobago",S4026)),"Trinidad and Tobago",
ISNUMBER(SEARCH("rn""&gt;Serbia and Montenegro",S4026)),"Serbia and Montenegro",
ISNUMBER(SEARCH(_xlfn.UNICHAR(65533),S4026)),"Côte d'Ivoire",
TRUE,""
)</f>
        <v/>
      </c>
      <c r="W4026" s="40" t="str">
        <f t="shared" si="261"/>
        <v>Senegal</v>
      </c>
    </row>
    <row r="4027" spans="19:23">
      <c r="S4027" s="40" t="str">
        <v>Saudi Arabia</v>
      </c>
      <c r="T4027" s="40" t="str">
        <f t="shared" si="259"/>
        <v>OK</v>
      </c>
      <c r="U4027" s="40" t="str">
        <f t="shared" si="260"/>
        <v>-</v>
      </c>
      <c r="V4027" s="40" t="str" cm="1">
        <f t="array" ref="V4027">_xlfn.IFS(
ISNUMBER(SEARCH("USA",S4027)),"United States",
ISNUMBER(SEARCH("Republic of Ireland",S4027)),"Ireland",
ISNUMBER(SEARCH("Republic of Korea",S4027)),"South Korea",
ISNUMBER(SEARCH("Cape Verde",S4027)),"Cabo Verde",
ISNUMBER(SEARCH("Czechia",S4027)),"Czech Republic",
ISNUMBER(SEARCH("Türkiye",S4027)),"Turkey",
ISNUMBER(SEARCH("Ivory Coast",S4027)),"Côte d'Ivoire",
ISNUMBER(SEARCH("Korea Republic",S4027)),"South Korea",
ISNUMBER(SEARCH("Germany FR",S4027)),"FR Germany",
ISNUMBER(SEARCH("West Germany",S4027)),"FR Germany",
ISNUMBER(SEARCH("Germany DR",S4027)),"DR Germany",
ISNUMBER(SEARCH("Korea DPR",S4027)),"North Korea",
ISNUMBER(SEARCH("China PR",S4027)),"China",
ISNUMBER(SEARCH("IR Iran",S4027)),"Iran",
ISNUMBER(SEARCH("Congo DR",S4027)),"Democratic Republic of the Congo",
ISNUMBER(SEARCH("DR Congo",S4027)),"Democratic Republic of the Congo",
ISNUMBER(SEARCH("German DR",S4027)),"DR Germany",
ISNUMBER(SEARCH("rn""&gt;United Arab Emirates",S4027)),"United Arab Emirates",
ISNUMBER(SEARCH("rn""&gt;Republic of Ireland",S4027)),"Ireland",
ISNUMBER(SEARCH("rn""&gt;Bosnia and Herzegovina",S4027)),"Bosnia and Herzegovina",
ISNUMBER(SEARCH("rn""&gt;Trinidad and Tobago",S4027)),"Trinidad and Tobago",
ISNUMBER(SEARCH("rn""&gt;Serbia and Montenegro",S4027)),"Serbia and Montenegro",
ISNUMBER(SEARCH(_xlfn.UNICHAR(65533),S4027)),"Côte d'Ivoire",
TRUE,""
)</f>
        <v/>
      </c>
      <c r="W4027" s="40" t="str">
        <f t="shared" si="261"/>
        <v>Saudi Arabia</v>
      </c>
    </row>
    <row r="4028" spans="19:23">
      <c r="S4028" s="40" t="str">
        <v>Uruguay</v>
      </c>
      <c r="T4028" s="40" t="str">
        <f t="shared" si="259"/>
        <v>OK</v>
      </c>
      <c r="U4028" s="40" t="str">
        <f t="shared" si="260"/>
        <v>-</v>
      </c>
      <c r="V4028" s="40" t="str" cm="1">
        <f t="array" ref="V4028">_xlfn.IFS(
ISNUMBER(SEARCH("USA",S4028)),"United States",
ISNUMBER(SEARCH("Republic of Ireland",S4028)),"Ireland",
ISNUMBER(SEARCH("Republic of Korea",S4028)),"South Korea",
ISNUMBER(SEARCH("Cape Verde",S4028)),"Cabo Verde",
ISNUMBER(SEARCH("Czechia",S4028)),"Czech Republic",
ISNUMBER(SEARCH("Türkiye",S4028)),"Turkey",
ISNUMBER(SEARCH("Ivory Coast",S4028)),"Côte d'Ivoire",
ISNUMBER(SEARCH("Korea Republic",S4028)),"South Korea",
ISNUMBER(SEARCH("Germany FR",S4028)),"FR Germany",
ISNUMBER(SEARCH("West Germany",S4028)),"FR Germany",
ISNUMBER(SEARCH("Germany DR",S4028)),"DR Germany",
ISNUMBER(SEARCH("Korea DPR",S4028)),"North Korea",
ISNUMBER(SEARCH("China PR",S4028)),"China",
ISNUMBER(SEARCH("IR Iran",S4028)),"Iran",
ISNUMBER(SEARCH("Congo DR",S4028)),"Democratic Republic of the Congo",
ISNUMBER(SEARCH("DR Congo",S4028)),"Democratic Republic of the Congo",
ISNUMBER(SEARCH("German DR",S4028)),"DR Germany",
ISNUMBER(SEARCH("rn""&gt;United Arab Emirates",S4028)),"United Arab Emirates",
ISNUMBER(SEARCH("rn""&gt;Republic of Ireland",S4028)),"Ireland",
ISNUMBER(SEARCH("rn""&gt;Bosnia and Herzegovina",S4028)),"Bosnia and Herzegovina",
ISNUMBER(SEARCH("rn""&gt;Trinidad and Tobago",S4028)),"Trinidad and Tobago",
ISNUMBER(SEARCH("rn""&gt;Serbia and Montenegro",S4028)),"Serbia and Montenegro",
ISNUMBER(SEARCH(_xlfn.UNICHAR(65533),S4028)),"Côte d'Ivoire",
TRUE,""
)</f>
        <v/>
      </c>
      <c r="W4028" s="40" t="str">
        <f t="shared" si="261"/>
        <v>Uruguay</v>
      </c>
    </row>
    <row r="4029" spans="19:23">
      <c r="S4029" s="40" t="str">
        <v>Nigeria</v>
      </c>
      <c r="T4029" s="40" t="str">
        <f t="shared" si="259"/>
        <v>OK</v>
      </c>
      <c r="U4029" s="40" t="str">
        <f t="shared" si="260"/>
        <v>-</v>
      </c>
      <c r="V4029" s="40" t="str" cm="1">
        <f t="array" ref="V4029">_xlfn.IFS(
ISNUMBER(SEARCH("USA",S4029)),"United States",
ISNUMBER(SEARCH("Republic of Ireland",S4029)),"Ireland",
ISNUMBER(SEARCH("Republic of Korea",S4029)),"South Korea",
ISNUMBER(SEARCH("Cape Verde",S4029)),"Cabo Verde",
ISNUMBER(SEARCH("Czechia",S4029)),"Czech Republic",
ISNUMBER(SEARCH("Türkiye",S4029)),"Turkey",
ISNUMBER(SEARCH("Ivory Coast",S4029)),"Côte d'Ivoire",
ISNUMBER(SEARCH("Korea Republic",S4029)),"South Korea",
ISNUMBER(SEARCH("Germany FR",S4029)),"FR Germany",
ISNUMBER(SEARCH("West Germany",S4029)),"FR Germany",
ISNUMBER(SEARCH("Germany DR",S4029)),"DR Germany",
ISNUMBER(SEARCH("Korea DPR",S4029)),"North Korea",
ISNUMBER(SEARCH("China PR",S4029)),"China",
ISNUMBER(SEARCH("IR Iran",S4029)),"Iran",
ISNUMBER(SEARCH("Congo DR",S4029)),"Democratic Republic of the Congo",
ISNUMBER(SEARCH("DR Congo",S4029)),"Democratic Republic of the Congo",
ISNUMBER(SEARCH("German DR",S4029)),"DR Germany",
ISNUMBER(SEARCH("rn""&gt;United Arab Emirates",S4029)),"United Arab Emirates",
ISNUMBER(SEARCH("rn""&gt;Republic of Ireland",S4029)),"Ireland",
ISNUMBER(SEARCH("rn""&gt;Bosnia and Herzegovina",S4029)),"Bosnia and Herzegovina",
ISNUMBER(SEARCH("rn""&gt;Trinidad and Tobago",S4029)),"Trinidad and Tobago",
ISNUMBER(SEARCH("rn""&gt;Serbia and Montenegro",S4029)),"Serbia and Montenegro",
ISNUMBER(SEARCH(_xlfn.UNICHAR(65533),S4029)),"Côte d'Ivoire",
TRUE,""
)</f>
        <v/>
      </c>
      <c r="W4029" s="40" t="str">
        <f t="shared" si="261"/>
        <v>Nigeria</v>
      </c>
    </row>
    <row r="4030" spans="19:23">
      <c r="S4030" s="40" t="str">
        <v>England</v>
      </c>
      <c r="T4030" s="40" t="str">
        <f t="shared" si="259"/>
        <v>ERREUR</v>
      </c>
      <c r="U4030" s="40" t="str">
        <f t="shared" si="260"/>
        <v>AUCUNE</v>
      </c>
      <c r="V4030" s="40" t="str" cm="1">
        <f t="array" ref="V4030">_xlfn.IFS(
ISNUMBER(SEARCH("USA",S4030)),"United States",
ISNUMBER(SEARCH("Republic of Ireland",S4030)),"Ireland",
ISNUMBER(SEARCH("Republic of Korea",S4030)),"South Korea",
ISNUMBER(SEARCH("Cape Verde",S4030)),"Cabo Verde",
ISNUMBER(SEARCH("Czechia",S4030)),"Czech Republic",
ISNUMBER(SEARCH("Türkiye",S4030)),"Turkey",
ISNUMBER(SEARCH("Ivory Coast",S4030)),"Côte d'Ivoire",
ISNUMBER(SEARCH("Korea Republic",S4030)),"South Korea",
ISNUMBER(SEARCH("Germany FR",S4030)),"FR Germany",
ISNUMBER(SEARCH("West Germany",S4030)),"FR Germany",
ISNUMBER(SEARCH("Germany DR",S4030)),"DR Germany",
ISNUMBER(SEARCH("Korea DPR",S4030)),"North Korea",
ISNUMBER(SEARCH("China PR",S4030)),"China",
ISNUMBER(SEARCH("IR Iran",S4030)),"Iran",
ISNUMBER(SEARCH("Congo DR",S4030)),"Democratic Republic of the Congo",
ISNUMBER(SEARCH("DR Congo",S4030)),"Democratic Republic of the Congo",
ISNUMBER(SEARCH("German DR",S4030)),"DR Germany",
ISNUMBER(SEARCH("rn""&gt;United Arab Emirates",S4030)),"United Arab Emirates",
ISNUMBER(SEARCH("rn""&gt;Republic of Ireland",S4030)),"Ireland",
ISNUMBER(SEARCH("rn""&gt;Bosnia and Herzegovina",S4030)),"Bosnia and Herzegovina",
ISNUMBER(SEARCH("rn""&gt;Trinidad and Tobago",S4030)),"Trinidad and Tobago",
ISNUMBER(SEARCH("rn""&gt;Serbia and Montenegro",S4030)),"Serbia and Montenegro",
ISNUMBER(SEARCH(_xlfn.UNICHAR(65533),S4030)),"Côte d'Ivoire",
TRUE,""
)</f>
        <v/>
      </c>
      <c r="W4030" s="40" t="str">
        <f t="shared" si="261"/>
        <v>England</v>
      </c>
    </row>
    <row r="4031" spans="19:23">
      <c r="S4031" s="40" t="str">
        <v>Paraguay</v>
      </c>
      <c r="T4031" s="40" t="str">
        <f t="shared" si="259"/>
        <v>OK</v>
      </c>
      <c r="U4031" s="40" t="str">
        <f t="shared" si="260"/>
        <v>-</v>
      </c>
      <c r="V4031" s="40" t="str" cm="1">
        <f t="array" ref="V4031">_xlfn.IFS(
ISNUMBER(SEARCH("USA",S4031)),"United States",
ISNUMBER(SEARCH("Republic of Ireland",S4031)),"Ireland",
ISNUMBER(SEARCH("Republic of Korea",S4031)),"South Korea",
ISNUMBER(SEARCH("Cape Verde",S4031)),"Cabo Verde",
ISNUMBER(SEARCH("Czechia",S4031)),"Czech Republic",
ISNUMBER(SEARCH("Türkiye",S4031)),"Turkey",
ISNUMBER(SEARCH("Ivory Coast",S4031)),"Côte d'Ivoire",
ISNUMBER(SEARCH("Korea Republic",S4031)),"South Korea",
ISNUMBER(SEARCH("Germany FR",S4031)),"FR Germany",
ISNUMBER(SEARCH("West Germany",S4031)),"FR Germany",
ISNUMBER(SEARCH("Germany DR",S4031)),"DR Germany",
ISNUMBER(SEARCH("Korea DPR",S4031)),"North Korea",
ISNUMBER(SEARCH("China PR",S4031)),"China",
ISNUMBER(SEARCH("IR Iran",S4031)),"Iran",
ISNUMBER(SEARCH("Congo DR",S4031)),"Democratic Republic of the Congo",
ISNUMBER(SEARCH("DR Congo",S4031)),"Democratic Republic of the Congo",
ISNUMBER(SEARCH("German DR",S4031)),"DR Germany",
ISNUMBER(SEARCH("rn""&gt;United Arab Emirates",S4031)),"United Arab Emirates",
ISNUMBER(SEARCH("rn""&gt;Republic of Ireland",S4031)),"Ireland",
ISNUMBER(SEARCH("rn""&gt;Bosnia and Herzegovina",S4031)),"Bosnia and Herzegovina",
ISNUMBER(SEARCH("rn""&gt;Trinidad and Tobago",S4031)),"Trinidad and Tobago",
ISNUMBER(SEARCH("rn""&gt;Serbia and Montenegro",S4031)),"Serbia and Montenegro",
ISNUMBER(SEARCH(_xlfn.UNICHAR(65533),S4031)),"Côte d'Ivoire",
TRUE,""
)</f>
        <v/>
      </c>
      <c r="W4031" s="40" t="str">
        <f t="shared" si="261"/>
        <v>Paraguay</v>
      </c>
    </row>
    <row r="4032" spans="19:23">
      <c r="S4032" s="40" t="str">
        <v>Slovenia</v>
      </c>
      <c r="T4032" s="40" t="str">
        <f t="shared" si="259"/>
        <v>OK</v>
      </c>
      <c r="U4032" s="40" t="str">
        <f t="shared" si="260"/>
        <v>-</v>
      </c>
      <c r="V4032" s="40" t="str" cm="1">
        <f t="array" ref="V4032">_xlfn.IFS(
ISNUMBER(SEARCH("USA",S4032)),"United States",
ISNUMBER(SEARCH("Republic of Ireland",S4032)),"Ireland",
ISNUMBER(SEARCH("Republic of Korea",S4032)),"South Korea",
ISNUMBER(SEARCH("Cape Verde",S4032)),"Cabo Verde",
ISNUMBER(SEARCH("Czechia",S4032)),"Czech Republic",
ISNUMBER(SEARCH("Türkiye",S4032)),"Turkey",
ISNUMBER(SEARCH("Ivory Coast",S4032)),"Côte d'Ivoire",
ISNUMBER(SEARCH("Korea Republic",S4032)),"South Korea",
ISNUMBER(SEARCH("Germany FR",S4032)),"FR Germany",
ISNUMBER(SEARCH("West Germany",S4032)),"FR Germany",
ISNUMBER(SEARCH("Germany DR",S4032)),"DR Germany",
ISNUMBER(SEARCH("Korea DPR",S4032)),"North Korea",
ISNUMBER(SEARCH("China PR",S4032)),"China",
ISNUMBER(SEARCH("IR Iran",S4032)),"Iran",
ISNUMBER(SEARCH("Congo DR",S4032)),"Democratic Republic of the Congo",
ISNUMBER(SEARCH("DR Congo",S4032)),"Democratic Republic of the Congo",
ISNUMBER(SEARCH("German DR",S4032)),"DR Germany",
ISNUMBER(SEARCH("rn""&gt;United Arab Emirates",S4032)),"United Arab Emirates",
ISNUMBER(SEARCH("rn""&gt;Republic of Ireland",S4032)),"Ireland",
ISNUMBER(SEARCH("rn""&gt;Bosnia and Herzegovina",S4032)),"Bosnia and Herzegovina",
ISNUMBER(SEARCH("rn""&gt;Trinidad and Tobago",S4032)),"Trinidad and Tobago",
ISNUMBER(SEARCH("rn""&gt;Serbia and Montenegro",S4032)),"Serbia and Montenegro",
ISNUMBER(SEARCH(_xlfn.UNICHAR(65533),S4032)),"Côte d'Ivoire",
TRUE,""
)</f>
        <v/>
      </c>
      <c r="W4032" s="40" t="str">
        <f t="shared" si="261"/>
        <v>Slovenia</v>
      </c>
    </row>
    <row r="4033" spans="19:23">
      <c r="S4033" s="40" t="str">
        <v>China PR</v>
      </c>
      <c r="T4033" s="40" t="str">
        <f t="shared" si="259"/>
        <v>ERREUR</v>
      </c>
      <c r="U4033" s="40" t="str">
        <f t="shared" si="260"/>
        <v>RENOMMER</v>
      </c>
      <c r="V4033" s="40" t="str" cm="1">
        <f t="array" ref="V4033">_xlfn.IFS(
ISNUMBER(SEARCH("USA",S4033)),"United States",
ISNUMBER(SEARCH("Republic of Ireland",S4033)),"Ireland",
ISNUMBER(SEARCH("Republic of Korea",S4033)),"South Korea",
ISNUMBER(SEARCH("Cape Verde",S4033)),"Cabo Verde",
ISNUMBER(SEARCH("Czechia",S4033)),"Czech Republic",
ISNUMBER(SEARCH("Türkiye",S4033)),"Turkey",
ISNUMBER(SEARCH("Ivory Coast",S4033)),"Côte d'Ivoire",
ISNUMBER(SEARCH("Korea Republic",S4033)),"South Korea",
ISNUMBER(SEARCH("Germany FR",S4033)),"FR Germany",
ISNUMBER(SEARCH("West Germany",S4033)),"FR Germany",
ISNUMBER(SEARCH("Germany DR",S4033)),"DR Germany",
ISNUMBER(SEARCH("Korea DPR",S4033)),"North Korea",
ISNUMBER(SEARCH("China PR",S4033)),"China",
ISNUMBER(SEARCH("IR Iran",S4033)),"Iran",
ISNUMBER(SEARCH("Congo DR",S4033)),"Democratic Republic of the Congo",
ISNUMBER(SEARCH("DR Congo",S4033)),"Democratic Republic of the Congo",
ISNUMBER(SEARCH("German DR",S4033)),"DR Germany",
ISNUMBER(SEARCH("rn""&gt;United Arab Emirates",S4033)),"United Arab Emirates",
ISNUMBER(SEARCH("rn""&gt;Republic of Ireland",S4033)),"Ireland",
ISNUMBER(SEARCH("rn""&gt;Bosnia and Herzegovina",S4033)),"Bosnia and Herzegovina",
ISNUMBER(SEARCH("rn""&gt;Trinidad and Tobago",S4033)),"Trinidad and Tobago",
ISNUMBER(SEARCH("rn""&gt;Serbia and Montenegro",S4033)),"Serbia and Montenegro",
ISNUMBER(SEARCH(_xlfn.UNICHAR(65533),S4033)),"Côte d'Ivoire",
TRUE,""
)</f>
        <v>China</v>
      </c>
      <c r="W4033" s="40" t="str">
        <f t="shared" si="261"/>
        <v>China</v>
      </c>
    </row>
    <row r="4034" spans="19:23">
      <c r="S4034" s="40" t="str">
        <v>Croatia</v>
      </c>
      <c r="T4034" s="40" t="str">
        <f t="shared" si="259"/>
        <v>OK</v>
      </c>
      <c r="U4034" s="40" t="str">
        <f t="shared" si="260"/>
        <v>-</v>
      </c>
      <c r="V4034" s="40" t="str" cm="1">
        <f t="array" ref="V4034">_xlfn.IFS(
ISNUMBER(SEARCH("USA",S4034)),"United States",
ISNUMBER(SEARCH("Republic of Ireland",S4034)),"Ireland",
ISNUMBER(SEARCH("Republic of Korea",S4034)),"South Korea",
ISNUMBER(SEARCH("Cape Verde",S4034)),"Cabo Verde",
ISNUMBER(SEARCH("Czechia",S4034)),"Czech Republic",
ISNUMBER(SEARCH("Türkiye",S4034)),"Turkey",
ISNUMBER(SEARCH("Ivory Coast",S4034)),"Côte d'Ivoire",
ISNUMBER(SEARCH("Korea Republic",S4034)),"South Korea",
ISNUMBER(SEARCH("Germany FR",S4034)),"FR Germany",
ISNUMBER(SEARCH("West Germany",S4034)),"FR Germany",
ISNUMBER(SEARCH("Germany DR",S4034)),"DR Germany",
ISNUMBER(SEARCH("Korea DPR",S4034)),"North Korea",
ISNUMBER(SEARCH("China PR",S4034)),"China",
ISNUMBER(SEARCH("IR Iran",S4034)),"Iran",
ISNUMBER(SEARCH("Congo DR",S4034)),"Democratic Republic of the Congo",
ISNUMBER(SEARCH("DR Congo",S4034)),"Democratic Republic of the Congo",
ISNUMBER(SEARCH("German DR",S4034)),"DR Germany",
ISNUMBER(SEARCH("rn""&gt;United Arab Emirates",S4034)),"United Arab Emirates",
ISNUMBER(SEARCH("rn""&gt;Republic of Ireland",S4034)),"Ireland",
ISNUMBER(SEARCH("rn""&gt;Bosnia and Herzegovina",S4034)),"Bosnia and Herzegovina",
ISNUMBER(SEARCH("rn""&gt;Trinidad and Tobago",S4034)),"Trinidad and Tobago",
ISNUMBER(SEARCH("rn""&gt;Serbia and Montenegro",S4034)),"Serbia and Montenegro",
ISNUMBER(SEARCH(_xlfn.UNICHAR(65533),S4034)),"Côte d'Ivoire",
TRUE,""
)</f>
        <v/>
      </c>
      <c r="W4034" s="40" t="str">
        <f t="shared" si="261"/>
        <v>Croatia</v>
      </c>
    </row>
    <row r="4035" spans="19:23">
      <c r="S4035" s="40" t="str">
        <v>Turkey</v>
      </c>
      <c r="T4035" s="40" t="str">
        <f t="shared" ref="T4035:T4098" si="262">IF(COUNTIF(R$13:R$250,S4035)=1,"OK","ERREUR")</f>
        <v>OK</v>
      </c>
      <c r="U4035" s="40" t="str">
        <f t="shared" si="260"/>
        <v>-</v>
      </c>
      <c r="V4035" s="40" t="str" cm="1">
        <f t="array" ref="V4035">_xlfn.IFS(
ISNUMBER(SEARCH("USA",S4035)),"United States",
ISNUMBER(SEARCH("Republic of Ireland",S4035)),"Ireland",
ISNUMBER(SEARCH("Republic of Korea",S4035)),"South Korea",
ISNUMBER(SEARCH("Cape Verde",S4035)),"Cabo Verde",
ISNUMBER(SEARCH("Czechia",S4035)),"Czech Republic",
ISNUMBER(SEARCH("Türkiye",S4035)),"Turkey",
ISNUMBER(SEARCH("Ivory Coast",S4035)),"Côte d'Ivoire",
ISNUMBER(SEARCH("Korea Republic",S4035)),"South Korea",
ISNUMBER(SEARCH("Germany FR",S4035)),"FR Germany",
ISNUMBER(SEARCH("West Germany",S4035)),"FR Germany",
ISNUMBER(SEARCH("Germany DR",S4035)),"DR Germany",
ISNUMBER(SEARCH("Korea DPR",S4035)),"North Korea",
ISNUMBER(SEARCH("China PR",S4035)),"China",
ISNUMBER(SEARCH("IR Iran",S4035)),"Iran",
ISNUMBER(SEARCH("Congo DR",S4035)),"Democratic Republic of the Congo",
ISNUMBER(SEARCH("DR Congo",S4035)),"Democratic Republic of the Congo",
ISNUMBER(SEARCH("German DR",S4035)),"DR Germany",
ISNUMBER(SEARCH("rn""&gt;United Arab Emirates",S4035)),"United Arab Emirates",
ISNUMBER(SEARCH("rn""&gt;Republic of Ireland",S4035)),"Ireland",
ISNUMBER(SEARCH("rn""&gt;Bosnia and Herzegovina",S4035)),"Bosnia and Herzegovina",
ISNUMBER(SEARCH("rn""&gt;Trinidad and Tobago",S4035)),"Trinidad and Tobago",
ISNUMBER(SEARCH("rn""&gt;Serbia and Montenegro",S4035)),"Serbia and Montenegro",
ISNUMBER(SEARCH(_xlfn.UNICHAR(65533),S4035)),"Côte d'Ivoire",
TRUE,""
)</f>
        <v/>
      </c>
      <c r="W4035" s="40" t="str">
        <f t="shared" si="261"/>
        <v>Turkey</v>
      </c>
    </row>
    <row r="4036" spans="19:23">
      <c r="S4036" s="40" t="str">
        <v>Russia</v>
      </c>
      <c r="T4036" s="40" t="str">
        <f t="shared" si="262"/>
        <v>OK</v>
      </c>
      <c r="U4036" s="40" t="str">
        <f t="shared" ref="U4036:U4099" si="263">IF(OR(S4036="Scotland",S4036="England",S4036="Wales",S4036="Yugoslavia",S4036="Czechoslovakia",S4036="Northern Ireland",S4036="Soviet Union",S4036="Zaire",S4036="Dutch East Indies"),"AUCUNE",IF(OR(S4036="Cape Verde",S4036="USA",S4036="DR Congo",S4036="Republic of Korea",S4036="Germany FR",S4036="Germany DR",S4036="Czechia",S4036="Ivory Coast",S4036="Korea DPR",S4036="China PR",S4036="IR Iran",S4036="Türkiye",S4036="Congo DR",S4036="German DR",S4036="West Germany",S4036="Republic of Ireland",ISNUMBER(SEARCH(_xlfn.UNICHAR(65533),S4036)),S4036="Korea Republic",ISNUMBER(SEARCH("rn""&gt;United Arab Emirates",S4036)),ISNUMBER(SEARCH("rn""&gt;Republic of Ireland",S4036)),ISNUMBER(SEARCH("rn""&gt;Bosnia and Herzegovina",S4036)),ISNUMBER(SEARCH("rn""&gt;Trinidad and Tobago",S4036)),ISNUMBER(SEARCH("rn""&gt;Serbia and Montenegro",S4036)),ISNUMBER(SEARCH(_xlfn.UNICHAR(65533),S4036))),"RENOMMER","-"))</f>
        <v>-</v>
      </c>
      <c r="V4036" s="40" t="str" cm="1">
        <f t="array" ref="V4036">_xlfn.IFS(
ISNUMBER(SEARCH("USA",S4036)),"United States",
ISNUMBER(SEARCH("Republic of Ireland",S4036)),"Ireland",
ISNUMBER(SEARCH("Republic of Korea",S4036)),"South Korea",
ISNUMBER(SEARCH("Cape Verde",S4036)),"Cabo Verde",
ISNUMBER(SEARCH("Czechia",S4036)),"Czech Republic",
ISNUMBER(SEARCH("Türkiye",S4036)),"Turkey",
ISNUMBER(SEARCH("Ivory Coast",S4036)),"Côte d'Ivoire",
ISNUMBER(SEARCH("Korea Republic",S4036)),"South Korea",
ISNUMBER(SEARCH("Germany FR",S4036)),"FR Germany",
ISNUMBER(SEARCH("West Germany",S4036)),"FR Germany",
ISNUMBER(SEARCH("Germany DR",S4036)),"DR Germany",
ISNUMBER(SEARCH("Korea DPR",S4036)),"North Korea",
ISNUMBER(SEARCH("China PR",S4036)),"China",
ISNUMBER(SEARCH("IR Iran",S4036)),"Iran",
ISNUMBER(SEARCH("Congo DR",S4036)),"Democratic Republic of the Congo",
ISNUMBER(SEARCH("DR Congo",S4036)),"Democratic Republic of the Congo",
ISNUMBER(SEARCH("German DR",S4036)),"DR Germany",
ISNUMBER(SEARCH("rn""&gt;United Arab Emirates",S4036)),"United Arab Emirates",
ISNUMBER(SEARCH("rn""&gt;Republic of Ireland",S4036)),"Ireland",
ISNUMBER(SEARCH("rn""&gt;Bosnia and Herzegovina",S4036)),"Bosnia and Herzegovina",
ISNUMBER(SEARCH("rn""&gt;Trinidad and Tobago",S4036)),"Trinidad and Tobago",
ISNUMBER(SEARCH("rn""&gt;Serbia and Montenegro",S4036)),"Serbia and Montenegro",
ISNUMBER(SEARCH(_xlfn.UNICHAR(65533),S4036)),"Côte d'Ivoire",
TRUE,""
)</f>
        <v/>
      </c>
      <c r="W4036" s="40" t="str">
        <f t="shared" ref="W4036:W4099" si="264">IF(V4036="",S4036,V4036)</f>
        <v>Russia</v>
      </c>
    </row>
    <row r="4037" spans="19:23">
      <c r="S4037" s="40" t="str">
        <v>Ecuador</v>
      </c>
      <c r="T4037" s="40" t="str">
        <f t="shared" si="262"/>
        <v>OK</v>
      </c>
      <c r="U4037" s="40" t="str">
        <f t="shared" si="263"/>
        <v>-</v>
      </c>
      <c r="V4037" s="40" t="str" cm="1">
        <f t="array" ref="V4037">_xlfn.IFS(
ISNUMBER(SEARCH("USA",S4037)),"United States",
ISNUMBER(SEARCH("Republic of Ireland",S4037)),"Ireland",
ISNUMBER(SEARCH("Republic of Korea",S4037)),"South Korea",
ISNUMBER(SEARCH("Cape Verde",S4037)),"Cabo Verde",
ISNUMBER(SEARCH("Czechia",S4037)),"Czech Republic",
ISNUMBER(SEARCH("Türkiye",S4037)),"Turkey",
ISNUMBER(SEARCH("Ivory Coast",S4037)),"Côte d'Ivoire",
ISNUMBER(SEARCH("Korea Republic",S4037)),"South Korea",
ISNUMBER(SEARCH("Germany FR",S4037)),"FR Germany",
ISNUMBER(SEARCH("West Germany",S4037)),"FR Germany",
ISNUMBER(SEARCH("Germany DR",S4037)),"DR Germany",
ISNUMBER(SEARCH("Korea DPR",S4037)),"North Korea",
ISNUMBER(SEARCH("China PR",S4037)),"China",
ISNUMBER(SEARCH("IR Iran",S4037)),"Iran",
ISNUMBER(SEARCH("Congo DR",S4037)),"Democratic Republic of the Congo",
ISNUMBER(SEARCH("DR Congo",S4037)),"Democratic Republic of the Congo",
ISNUMBER(SEARCH("German DR",S4037)),"DR Germany",
ISNUMBER(SEARCH("rn""&gt;United Arab Emirates",S4037)),"United Arab Emirates",
ISNUMBER(SEARCH("rn""&gt;Republic of Ireland",S4037)),"Ireland",
ISNUMBER(SEARCH("rn""&gt;Bosnia and Herzegovina",S4037)),"Bosnia and Herzegovina",
ISNUMBER(SEARCH("rn""&gt;Trinidad and Tobago",S4037)),"Trinidad and Tobago",
ISNUMBER(SEARCH("rn""&gt;Serbia and Montenegro",S4037)),"Serbia and Montenegro",
ISNUMBER(SEARCH(_xlfn.UNICHAR(65533),S4037)),"Côte d'Ivoire",
TRUE,""
)</f>
        <v/>
      </c>
      <c r="W4037" s="40" t="str">
        <f t="shared" si="264"/>
        <v>Ecuador</v>
      </c>
    </row>
    <row r="4038" spans="19:23">
      <c r="S4038" s="40" t="str">
        <v>USA</v>
      </c>
      <c r="T4038" s="40" t="str">
        <f t="shared" si="262"/>
        <v>ERREUR</v>
      </c>
      <c r="U4038" s="40" t="str">
        <f t="shared" si="263"/>
        <v>RENOMMER</v>
      </c>
      <c r="V4038" s="40" t="str" cm="1">
        <f t="array" ref="V4038">_xlfn.IFS(
ISNUMBER(SEARCH("USA",S4038)),"United States",
ISNUMBER(SEARCH("Republic of Ireland",S4038)),"Ireland",
ISNUMBER(SEARCH("Republic of Korea",S4038)),"South Korea",
ISNUMBER(SEARCH("Cape Verde",S4038)),"Cabo Verde",
ISNUMBER(SEARCH("Czechia",S4038)),"Czech Republic",
ISNUMBER(SEARCH("Türkiye",S4038)),"Turkey",
ISNUMBER(SEARCH("Ivory Coast",S4038)),"Côte d'Ivoire",
ISNUMBER(SEARCH("Korea Republic",S4038)),"South Korea",
ISNUMBER(SEARCH("Germany FR",S4038)),"FR Germany",
ISNUMBER(SEARCH("West Germany",S4038)),"FR Germany",
ISNUMBER(SEARCH("Germany DR",S4038)),"DR Germany",
ISNUMBER(SEARCH("Korea DPR",S4038)),"North Korea",
ISNUMBER(SEARCH("China PR",S4038)),"China",
ISNUMBER(SEARCH("IR Iran",S4038)),"Iran",
ISNUMBER(SEARCH("Congo DR",S4038)),"Democratic Republic of the Congo",
ISNUMBER(SEARCH("DR Congo",S4038)),"Democratic Republic of the Congo",
ISNUMBER(SEARCH("German DR",S4038)),"DR Germany",
ISNUMBER(SEARCH("rn""&gt;United Arab Emirates",S4038)),"United Arab Emirates",
ISNUMBER(SEARCH("rn""&gt;Republic of Ireland",S4038)),"Ireland",
ISNUMBER(SEARCH("rn""&gt;Bosnia and Herzegovina",S4038)),"Bosnia and Herzegovina",
ISNUMBER(SEARCH("rn""&gt;Trinidad and Tobago",S4038)),"Trinidad and Tobago",
ISNUMBER(SEARCH("rn""&gt;Serbia and Montenegro",S4038)),"Serbia and Montenegro",
ISNUMBER(SEARCH(_xlfn.UNICHAR(65533),S4038)),"Côte d'Ivoire",
TRUE,""
)</f>
        <v>United States</v>
      </c>
      <c r="W4038" s="40" t="str">
        <f t="shared" si="264"/>
        <v>United States</v>
      </c>
    </row>
    <row r="4039" spans="19:23">
      <c r="S4039" s="40" t="str">
        <v>Poland</v>
      </c>
      <c r="T4039" s="40" t="str">
        <f t="shared" si="262"/>
        <v>OK</v>
      </c>
      <c r="U4039" s="40" t="str">
        <f t="shared" si="263"/>
        <v>-</v>
      </c>
      <c r="V4039" s="40" t="str" cm="1">
        <f t="array" ref="V4039">_xlfn.IFS(
ISNUMBER(SEARCH("USA",S4039)),"United States",
ISNUMBER(SEARCH("Republic of Ireland",S4039)),"Ireland",
ISNUMBER(SEARCH("Republic of Korea",S4039)),"South Korea",
ISNUMBER(SEARCH("Cape Verde",S4039)),"Cabo Verde",
ISNUMBER(SEARCH("Czechia",S4039)),"Czech Republic",
ISNUMBER(SEARCH("Türkiye",S4039)),"Turkey",
ISNUMBER(SEARCH("Ivory Coast",S4039)),"Côte d'Ivoire",
ISNUMBER(SEARCH("Korea Republic",S4039)),"South Korea",
ISNUMBER(SEARCH("Germany FR",S4039)),"FR Germany",
ISNUMBER(SEARCH("West Germany",S4039)),"FR Germany",
ISNUMBER(SEARCH("Germany DR",S4039)),"DR Germany",
ISNUMBER(SEARCH("Korea DPR",S4039)),"North Korea",
ISNUMBER(SEARCH("China PR",S4039)),"China",
ISNUMBER(SEARCH("IR Iran",S4039)),"Iran",
ISNUMBER(SEARCH("Congo DR",S4039)),"Democratic Republic of the Congo",
ISNUMBER(SEARCH("DR Congo",S4039)),"Democratic Republic of the Congo",
ISNUMBER(SEARCH("German DR",S4039)),"DR Germany",
ISNUMBER(SEARCH("rn""&gt;United Arab Emirates",S4039)),"United Arab Emirates",
ISNUMBER(SEARCH("rn""&gt;Republic of Ireland",S4039)),"Ireland",
ISNUMBER(SEARCH("rn""&gt;Bosnia and Herzegovina",S4039)),"Bosnia and Herzegovina",
ISNUMBER(SEARCH("rn""&gt;Trinidad and Tobago",S4039)),"Trinidad and Tobago",
ISNUMBER(SEARCH("rn""&gt;Serbia and Montenegro",S4039)),"Serbia and Montenegro",
ISNUMBER(SEARCH(_xlfn.UNICHAR(65533),S4039)),"Côte d'Ivoire",
TRUE,""
)</f>
        <v/>
      </c>
      <c r="W4039" s="40" t="str">
        <f t="shared" si="264"/>
        <v>Poland</v>
      </c>
    </row>
    <row r="4040" spans="19:23">
      <c r="S4040" s="40" t="str">
        <v>Belgium</v>
      </c>
      <c r="T4040" s="40" t="str">
        <f t="shared" si="262"/>
        <v>OK</v>
      </c>
      <c r="U4040" s="40" t="str">
        <f t="shared" si="263"/>
        <v>-</v>
      </c>
      <c r="V4040" s="40" t="str" cm="1">
        <f t="array" ref="V4040">_xlfn.IFS(
ISNUMBER(SEARCH("USA",S4040)),"United States",
ISNUMBER(SEARCH("Republic of Ireland",S4040)),"Ireland",
ISNUMBER(SEARCH("Republic of Korea",S4040)),"South Korea",
ISNUMBER(SEARCH("Cape Verde",S4040)),"Cabo Verde",
ISNUMBER(SEARCH("Czechia",S4040)),"Czech Republic",
ISNUMBER(SEARCH("Türkiye",S4040)),"Turkey",
ISNUMBER(SEARCH("Ivory Coast",S4040)),"Côte d'Ivoire",
ISNUMBER(SEARCH("Korea Republic",S4040)),"South Korea",
ISNUMBER(SEARCH("Germany FR",S4040)),"FR Germany",
ISNUMBER(SEARCH("West Germany",S4040)),"FR Germany",
ISNUMBER(SEARCH("Germany DR",S4040)),"DR Germany",
ISNUMBER(SEARCH("Korea DPR",S4040)),"North Korea",
ISNUMBER(SEARCH("China PR",S4040)),"China",
ISNUMBER(SEARCH("IR Iran",S4040)),"Iran",
ISNUMBER(SEARCH("Congo DR",S4040)),"Democratic Republic of the Congo",
ISNUMBER(SEARCH("DR Congo",S4040)),"Democratic Republic of the Congo",
ISNUMBER(SEARCH("German DR",S4040)),"DR Germany",
ISNUMBER(SEARCH("rn""&gt;United Arab Emirates",S4040)),"United Arab Emirates",
ISNUMBER(SEARCH("rn""&gt;Republic of Ireland",S4040)),"Ireland",
ISNUMBER(SEARCH("rn""&gt;Bosnia and Herzegovina",S4040)),"Bosnia and Herzegovina",
ISNUMBER(SEARCH("rn""&gt;Trinidad and Tobago",S4040)),"Trinidad and Tobago",
ISNUMBER(SEARCH("rn""&gt;Serbia and Montenegro",S4040)),"Serbia and Montenegro",
ISNUMBER(SEARCH(_xlfn.UNICHAR(65533),S4040)),"Côte d'Ivoire",
TRUE,""
)</f>
        <v/>
      </c>
      <c r="W4040" s="40" t="str">
        <f t="shared" si="264"/>
        <v>Belgium</v>
      </c>
    </row>
    <row r="4041" spans="19:23">
      <c r="S4041" s="40" t="str">
        <v>France</v>
      </c>
      <c r="T4041" s="40" t="str">
        <f t="shared" si="262"/>
        <v>OK</v>
      </c>
      <c r="U4041" s="40" t="str">
        <f t="shared" si="263"/>
        <v>-</v>
      </c>
      <c r="V4041" s="40" t="str" cm="1">
        <f t="array" ref="V4041">_xlfn.IFS(
ISNUMBER(SEARCH("USA",S4041)),"United States",
ISNUMBER(SEARCH("Republic of Ireland",S4041)),"Ireland",
ISNUMBER(SEARCH("Republic of Korea",S4041)),"South Korea",
ISNUMBER(SEARCH("Cape Verde",S4041)),"Cabo Verde",
ISNUMBER(SEARCH("Czechia",S4041)),"Czech Republic",
ISNUMBER(SEARCH("Türkiye",S4041)),"Turkey",
ISNUMBER(SEARCH("Ivory Coast",S4041)),"Côte d'Ivoire",
ISNUMBER(SEARCH("Korea Republic",S4041)),"South Korea",
ISNUMBER(SEARCH("Germany FR",S4041)),"FR Germany",
ISNUMBER(SEARCH("West Germany",S4041)),"FR Germany",
ISNUMBER(SEARCH("Germany DR",S4041)),"DR Germany",
ISNUMBER(SEARCH("Korea DPR",S4041)),"North Korea",
ISNUMBER(SEARCH("China PR",S4041)),"China",
ISNUMBER(SEARCH("IR Iran",S4041)),"Iran",
ISNUMBER(SEARCH("Congo DR",S4041)),"Democratic Republic of the Congo",
ISNUMBER(SEARCH("DR Congo",S4041)),"Democratic Republic of the Congo",
ISNUMBER(SEARCH("German DR",S4041)),"DR Germany",
ISNUMBER(SEARCH("rn""&gt;United Arab Emirates",S4041)),"United Arab Emirates",
ISNUMBER(SEARCH("rn""&gt;Republic of Ireland",S4041)),"Ireland",
ISNUMBER(SEARCH("rn""&gt;Bosnia and Herzegovina",S4041)),"Bosnia and Herzegovina",
ISNUMBER(SEARCH("rn""&gt;Trinidad and Tobago",S4041)),"Trinidad and Tobago",
ISNUMBER(SEARCH("rn""&gt;Serbia and Montenegro",S4041)),"Serbia and Montenegro",
ISNUMBER(SEARCH(_xlfn.UNICHAR(65533),S4041)),"Côte d'Ivoire",
TRUE,""
)</f>
        <v/>
      </c>
      <c r="W4041" s="40" t="str">
        <f t="shared" si="264"/>
        <v>France</v>
      </c>
    </row>
    <row r="4042" spans="19:23">
      <c r="S4042" s="40" t="str">
        <v>Uruguay</v>
      </c>
      <c r="T4042" s="40" t="str">
        <f t="shared" si="262"/>
        <v>OK</v>
      </c>
      <c r="U4042" s="40" t="str">
        <f t="shared" si="263"/>
        <v>-</v>
      </c>
      <c r="V4042" s="40" t="str" cm="1">
        <f t="array" ref="V4042">_xlfn.IFS(
ISNUMBER(SEARCH("USA",S4042)),"United States",
ISNUMBER(SEARCH("Republic of Ireland",S4042)),"Ireland",
ISNUMBER(SEARCH("Republic of Korea",S4042)),"South Korea",
ISNUMBER(SEARCH("Cape Verde",S4042)),"Cabo Verde",
ISNUMBER(SEARCH("Czechia",S4042)),"Czech Republic",
ISNUMBER(SEARCH("Türkiye",S4042)),"Turkey",
ISNUMBER(SEARCH("Ivory Coast",S4042)),"Côte d'Ivoire",
ISNUMBER(SEARCH("Korea Republic",S4042)),"South Korea",
ISNUMBER(SEARCH("Germany FR",S4042)),"FR Germany",
ISNUMBER(SEARCH("West Germany",S4042)),"FR Germany",
ISNUMBER(SEARCH("Germany DR",S4042)),"DR Germany",
ISNUMBER(SEARCH("Korea DPR",S4042)),"North Korea",
ISNUMBER(SEARCH("China PR",S4042)),"China",
ISNUMBER(SEARCH("IR Iran",S4042)),"Iran",
ISNUMBER(SEARCH("Congo DR",S4042)),"Democratic Republic of the Congo",
ISNUMBER(SEARCH("DR Congo",S4042)),"Democratic Republic of the Congo",
ISNUMBER(SEARCH("German DR",S4042)),"DR Germany",
ISNUMBER(SEARCH("rn""&gt;United Arab Emirates",S4042)),"United Arab Emirates",
ISNUMBER(SEARCH("rn""&gt;Republic of Ireland",S4042)),"Ireland",
ISNUMBER(SEARCH("rn""&gt;Bosnia and Herzegovina",S4042)),"Bosnia and Herzegovina",
ISNUMBER(SEARCH("rn""&gt;Trinidad and Tobago",S4042)),"Trinidad and Tobago",
ISNUMBER(SEARCH("rn""&gt;Serbia and Montenegro",S4042)),"Serbia and Montenegro",
ISNUMBER(SEARCH(_xlfn.UNICHAR(65533),S4042)),"Côte d'Ivoire",
TRUE,""
)</f>
        <v/>
      </c>
      <c r="W4042" s="40" t="str">
        <f t="shared" si="264"/>
        <v>Uruguay</v>
      </c>
    </row>
    <row r="4043" spans="19:23">
      <c r="S4043" s="40" t="str">
        <v>rn"&gt;Republic of Ireland</v>
      </c>
      <c r="T4043" s="40" t="str">
        <f t="shared" si="262"/>
        <v>ERREUR</v>
      </c>
      <c r="U4043" s="40" t="str">
        <f t="shared" si="263"/>
        <v>RENOMMER</v>
      </c>
      <c r="V4043" s="40" t="str" cm="1">
        <f t="array" ref="V4043">_xlfn.IFS(
ISNUMBER(SEARCH("USA",S4043)),"United States",
ISNUMBER(SEARCH("Republic of Ireland",S4043)),"Ireland",
ISNUMBER(SEARCH("Republic of Korea",S4043)),"South Korea",
ISNUMBER(SEARCH("Cape Verde",S4043)),"Cabo Verde",
ISNUMBER(SEARCH("Czechia",S4043)),"Czech Republic",
ISNUMBER(SEARCH("Türkiye",S4043)),"Turkey",
ISNUMBER(SEARCH("Ivory Coast",S4043)),"Côte d'Ivoire",
ISNUMBER(SEARCH("Korea Republic",S4043)),"South Korea",
ISNUMBER(SEARCH("Germany FR",S4043)),"FR Germany",
ISNUMBER(SEARCH("West Germany",S4043)),"FR Germany",
ISNUMBER(SEARCH("Germany DR",S4043)),"DR Germany",
ISNUMBER(SEARCH("Korea DPR",S4043)),"North Korea",
ISNUMBER(SEARCH("China PR",S4043)),"China",
ISNUMBER(SEARCH("IR Iran",S4043)),"Iran",
ISNUMBER(SEARCH("Congo DR",S4043)),"Democratic Republic of the Congo",
ISNUMBER(SEARCH("DR Congo",S4043)),"Democratic Republic of the Congo",
ISNUMBER(SEARCH("German DR",S4043)),"DR Germany",
ISNUMBER(SEARCH("rn""&gt;United Arab Emirates",S4043)),"United Arab Emirates",
ISNUMBER(SEARCH("rn""&gt;Republic of Ireland",S4043)),"Ireland",
ISNUMBER(SEARCH("rn""&gt;Bosnia and Herzegovina",S4043)),"Bosnia and Herzegovina",
ISNUMBER(SEARCH("rn""&gt;Trinidad and Tobago",S4043)),"Trinidad and Tobago",
ISNUMBER(SEARCH("rn""&gt;Serbia and Montenegro",S4043)),"Serbia and Montenegro",
ISNUMBER(SEARCH(_xlfn.UNICHAR(65533),S4043)),"Côte d'Ivoire",
TRUE,""
)</f>
        <v>Ireland</v>
      </c>
      <c r="W4043" s="40" t="str">
        <f t="shared" si="264"/>
        <v>Ireland</v>
      </c>
    </row>
    <row r="4044" spans="19:23">
      <c r="S4044" s="40" t="str">
        <v>Germany</v>
      </c>
      <c r="T4044" s="40" t="str">
        <f t="shared" si="262"/>
        <v>OK</v>
      </c>
      <c r="U4044" s="40" t="str">
        <f t="shared" si="263"/>
        <v>-</v>
      </c>
      <c r="V4044" s="40" t="str" cm="1">
        <f t="array" ref="V4044">_xlfn.IFS(
ISNUMBER(SEARCH("USA",S4044)),"United States",
ISNUMBER(SEARCH("Republic of Ireland",S4044)),"Ireland",
ISNUMBER(SEARCH("Republic of Korea",S4044)),"South Korea",
ISNUMBER(SEARCH("Cape Verde",S4044)),"Cabo Verde",
ISNUMBER(SEARCH("Czechia",S4044)),"Czech Republic",
ISNUMBER(SEARCH("Türkiye",S4044)),"Turkey",
ISNUMBER(SEARCH("Ivory Coast",S4044)),"Côte d'Ivoire",
ISNUMBER(SEARCH("Korea Republic",S4044)),"South Korea",
ISNUMBER(SEARCH("Germany FR",S4044)),"FR Germany",
ISNUMBER(SEARCH("West Germany",S4044)),"FR Germany",
ISNUMBER(SEARCH("Germany DR",S4044)),"DR Germany",
ISNUMBER(SEARCH("Korea DPR",S4044)),"North Korea",
ISNUMBER(SEARCH("China PR",S4044)),"China",
ISNUMBER(SEARCH("IR Iran",S4044)),"Iran",
ISNUMBER(SEARCH("Congo DR",S4044)),"Democratic Republic of the Congo",
ISNUMBER(SEARCH("DR Congo",S4044)),"Democratic Republic of the Congo",
ISNUMBER(SEARCH("German DR",S4044)),"DR Germany",
ISNUMBER(SEARCH("rn""&gt;United Arab Emirates",S4044)),"United Arab Emirates",
ISNUMBER(SEARCH("rn""&gt;Republic of Ireland",S4044)),"Ireland",
ISNUMBER(SEARCH("rn""&gt;Bosnia and Herzegovina",S4044)),"Bosnia and Herzegovina",
ISNUMBER(SEARCH("rn""&gt;Trinidad and Tobago",S4044)),"Trinidad and Tobago",
ISNUMBER(SEARCH("rn""&gt;Serbia and Montenegro",S4044)),"Serbia and Montenegro",
ISNUMBER(SEARCH(_xlfn.UNICHAR(65533),S4044)),"Côte d'Ivoire",
TRUE,""
)</f>
        <v/>
      </c>
      <c r="W4044" s="40" t="str">
        <f t="shared" si="264"/>
        <v>Germany</v>
      </c>
    </row>
    <row r="4045" spans="19:23">
      <c r="S4045" s="40" t="str">
        <v>Argentina</v>
      </c>
      <c r="T4045" s="40" t="str">
        <f t="shared" si="262"/>
        <v>OK</v>
      </c>
      <c r="U4045" s="40" t="str">
        <f t="shared" si="263"/>
        <v>-</v>
      </c>
      <c r="V4045" s="40" t="str" cm="1">
        <f t="array" ref="V4045">_xlfn.IFS(
ISNUMBER(SEARCH("USA",S4045)),"United States",
ISNUMBER(SEARCH("Republic of Ireland",S4045)),"Ireland",
ISNUMBER(SEARCH("Republic of Korea",S4045)),"South Korea",
ISNUMBER(SEARCH("Cape Verde",S4045)),"Cabo Verde",
ISNUMBER(SEARCH("Czechia",S4045)),"Czech Republic",
ISNUMBER(SEARCH("Türkiye",S4045)),"Turkey",
ISNUMBER(SEARCH("Ivory Coast",S4045)),"Côte d'Ivoire",
ISNUMBER(SEARCH("Korea Republic",S4045)),"South Korea",
ISNUMBER(SEARCH("Germany FR",S4045)),"FR Germany",
ISNUMBER(SEARCH("West Germany",S4045)),"FR Germany",
ISNUMBER(SEARCH("Germany DR",S4045)),"DR Germany",
ISNUMBER(SEARCH("Korea DPR",S4045)),"North Korea",
ISNUMBER(SEARCH("China PR",S4045)),"China",
ISNUMBER(SEARCH("IR Iran",S4045)),"Iran",
ISNUMBER(SEARCH("Congo DR",S4045)),"Democratic Republic of the Congo",
ISNUMBER(SEARCH("DR Congo",S4045)),"Democratic Republic of the Congo",
ISNUMBER(SEARCH("German DR",S4045)),"DR Germany",
ISNUMBER(SEARCH("rn""&gt;United Arab Emirates",S4045)),"United Arab Emirates",
ISNUMBER(SEARCH("rn""&gt;Republic of Ireland",S4045)),"Ireland",
ISNUMBER(SEARCH("rn""&gt;Bosnia and Herzegovina",S4045)),"Bosnia and Herzegovina",
ISNUMBER(SEARCH("rn""&gt;Trinidad and Tobago",S4045)),"Trinidad and Tobago",
ISNUMBER(SEARCH("rn""&gt;Serbia and Montenegro",S4045)),"Serbia and Montenegro",
ISNUMBER(SEARCH(_xlfn.UNICHAR(65533),S4045)),"Côte d'Ivoire",
TRUE,""
)</f>
        <v/>
      </c>
      <c r="W4045" s="40" t="str">
        <f t="shared" si="264"/>
        <v>Argentina</v>
      </c>
    </row>
    <row r="4046" spans="19:23">
      <c r="S4046" s="40" t="str">
        <v>England</v>
      </c>
      <c r="T4046" s="40" t="str">
        <f t="shared" si="262"/>
        <v>ERREUR</v>
      </c>
      <c r="U4046" s="40" t="str">
        <f t="shared" si="263"/>
        <v>AUCUNE</v>
      </c>
      <c r="V4046" s="40" t="str" cm="1">
        <f t="array" ref="V4046">_xlfn.IFS(
ISNUMBER(SEARCH("USA",S4046)),"United States",
ISNUMBER(SEARCH("Republic of Ireland",S4046)),"Ireland",
ISNUMBER(SEARCH("Republic of Korea",S4046)),"South Korea",
ISNUMBER(SEARCH("Cape Verde",S4046)),"Cabo Verde",
ISNUMBER(SEARCH("Czechia",S4046)),"Czech Republic",
ISNUMBER(SEARCH("Türkiye",S4046)),"Turkey",
ISNUMBER(SEARCH("Ivory Coast",S4046)),"Côte d'Ivoire",
ISNUMBER(SEARCH("Korea Republic",S4046)),"South Korea",
ISNUMBER(SEARCH("Germany FR",S4046)),"FR Germany",
ISNUMBER(SEARCH("West Germany",S4046)),"FR Germany",
ISNUMBER(SEARCH("Germany DR",S4046)),"DR Germany",
ISNUMBER(SEARCH("Korea DPR",S4046)),"North Korea",
ISNUMBER(SEARCH("China PR",S4046)),"China",
ISNUMBER(SEARCH("IR Iran",S4046)),"Iran",
ISNUMBER(SEARCH("Congo DR",S4046)),"Democratic Republic of the Congo",
ISNUMBER(SEARCH("DR Congo",S4046)),"Democratic Republic of the Congo",
ISNUMBER(SEARCH("German DR",S4046)),"DR Germany",
ISNUMBER(SEARCH("rn""&gt;United Arab Emirates",S4046)),"United Arab Emirates",
ISNUMBER(SEARCH("rn""&gt;Republic of Ireland",S4046)),"Ireland",
ISNUMBER(SEARCH("rn""&gt;Bosnia and Herzegovina",S4046)),"Bosnia and Herzegovina",
ISNUMBER(SEARCH("rn""&gt;Trinidad and Tobago",S4046)),"Trinidad and Tobago",
ISNUMBER(SEARCH("rn""&gt;Serbia and Montenegro",S4046)),"Serbia and Montenegro",
ISNUMBER(SEARCH(_xlfn.UNICHAR(65533),S4046)),"Côte d'Ivoire",
TRUE,""
)</f>
        <v/>
      </c>
      <c r="W4046" s="40" t="str">
        <f t="shared" si="264"/>
        <v>England</v>
      </c>
    </row>
    <row r="4047" spans="19:23">
      <c r="S4047" s="40" t="str">
        <v>Paraguay</v>
      </c>
      <c r="T4047" s="40" t="str">
        <f t="shared" si="262"/>
        <v>OK</v>
      </c>
      <c r="U4047" s="40" t="str">
        <f t="shared" si="263"/>
        <v>-</v>
      </c>
      <c r="V4047" s="40" t="str" cm="1">
        <f t="array" ref="V4047">_xlfn.IFS(
ISNUMBER(SEARCH("USA",S4047)),"United States",
ISNUMBER(SEARCH("Republic of Ireland",S4047)),"Ireland",
ISNUMBER(SEARCH("Republic of Korea",S4047)),"South Korea",
ISNUMBER(SEARCH("Cape Verde",S4047)),"Cabo Verde",
ISNUMBER(SEARCH("Czechia",S4047)),"Czech Republic",
ISNUMBER(SEARCH("Türkiye",S4047)),"Turkey",
ISNUMBER(SEARCH("Ivory Coast",S4047)),"Côte d'Ivoire",
ISNUMBER(SEARCH("Korea Republic",S4047)),"South Korea",
ISNUMBER(SEARCH("Germany FR",S4047)),"FR Germany",
ISNUMBER(SEARCH("West Germany",S4047)),"FR Germany",
ISNUMBER(SEARCH("Germany DR",S4047)),"DR Germany",
ISNUMBER(SEARCH("Korea DPR",S4047)),"North Korea",
ISNUMBER(SEARCH("China PR",S4047)),"China",
ISNUMBER(SEARCH("IR Iran",S4047)),"Iran",
ISNUMBER(SEARCH("Congo DR",S4047)),"Democratic Republic of the Congo",
ISNUMBER(SEARCH("DR Congo",S4047)),"Democratic Republic of the Congo",
ISNUMBER(SEARCH("German DR",S4047)),"DR Germany",
ISNUMBER(SEARCH("rn""&gt;United Arab Emirates",S4047)),"United Arab Emirates",
ISNUMBER(SEARCH("rn""&gt;Republic of Ireland",S4047)),"Ireland",
ISNUMBER(SEARCH("rn""&gt;Bosnia and Herzegovina",S4047)),"Bosnia and Herzegovina",
ISNUMBER(SEARCH("rn""&gt;Trinidad and Tobago",S4047)),"Trinidad and Tobago",
ISNUMBER(SEARCH("rn""&gt;Serbia and Montenegro",S4047)),"Serbia and Montenegro",
ISNUMBER(SEARCH(_xlfn.UNICHAR(65533),S4047)),"Côte d'Ivoire",
TRUE,""
)</f>
        <v/>
      </c>
      <c r="W4047" s="40" t="str">
        <f t="shared" si="264"/>
        <v>Paraguay</v>
      </c>
    </row>
    <row r="4048" spans="19:23">
      <c r="S4048" s="40" t="str">
        <v>Spain</v>
      </c>
      <c r="T4048" s="40" t="str">
        <f t="shared" si="262"/>
        <v>OK</v>
      </c>
      <c r="U4048" s="40" t="str">
        <f t="shared" si="263"/>
        <v>-</v>
      </c>
      <c r="V4048" s="40" t="str" cm="1">
        <f t="array" ref="V4048">_xlfn.IFS(
ISNUMBER(SEARCH("USA",S4048)),"United States",
ISNUMBER(SEARCH("Republic of Ireland",S4048)),"Ireland",
ISNUMBER(SEARCH("Republic of Korea",S4048)),"South Korea",
ISNUMBER(SEARCH("Cape Verde",S4048)),"Cabo Verde",
ISNUMBER(SEARCH("Czechia",S4048)),"Czech Republic",
ISNUMBER(SEARCH("Türkiye",S4048)),"Turkey",
ISNUMBER(SEARCH("Ivory Coast",S4048)),"Côte d'Ivoire",
ISNUMBER(SEARCH("Korea Republic",S4048)),"South Korea",
ISNUMBER(SEARCH("Germany FR",S4048)),"FR Germany",
ISNUMBER(SEARCH("West Germany",S4048)),"FR Germany",
ISNUMBER(SEARCH("Germany DR",S4048)),"DR Germany",
ISNUMBER(SEARCH("Korea DPR",S4048)),"North Korea",
ISNUMBER(SEARCH("China PR",S4048)),"China",
ISNUMBER(SEARCH("IR Iran",S4048)),"Iran",
ISNUMBER(SEARCH("Congo DR",S4048)),"Democratic Republic of the Congo",
ISNUMBER(SEARCH("DR Congo",S4048)),"Democratic Republic of the Congo",
ISNUMBER(SEARCH("German DR",S4048)),"DR Germany",
ISNUMBER(SEARCH("rn""&gt;United Arab Emirates",S4048)),"United Arab Emirates",
ISNUMBER(SEARCH("rn""&gt;Republic of Ireland",S4048)),"Ireland",
ISNUMBER(SEARCH("rn""&gt;Bosnia and Herzegovina",S4048)),"Bosnia and Herzegovina",
ISNUMBER(SEARCH("rn""&gt;Trinidad and Tobago",S4048)),"Trinidad and Tobago",
ISNUMBER(SEARCH("rn""&gt;Serbia and Montenegro",S4048)),"Serbia and Montenegro",
ISNUMBER(SEARCH(_xlfn.UNICHAR(65533),S4048)),"Côte d'Ivoire",
TRUE,""
)</f>
        <v/>
      </c>
      <c r="W4048" s="40" t="str">
        <f t="shared" si="264"/>
        <v>Spain</v>
      </c>
    </row>
    <row r="4049" spans="19:23">
      <c r="S4049" s="40" t="str">
        <v>Brazil</v>
      </c>
      <c r="T4049" s="40" t="str">
        <f t="shared" si="262"/>
        <v>OK</v>
      </c>
      <c r="U4049" s="40" t="str">
        <f t="shared" si="263"/>
        <v>-</v>
      </c>
      <c r="V4049" s="40" t="str" cm="1">
        <f t="array" ref="V4049">_xlfn.IFS(
ISNUMBER(SEARCH("USA",S4049)),"United States",
ISNUMBER(SEARCH("Republic of Ireland",S4049)),"Ireland",
ISNUMBER(SEARCH("Republic of Korea",S4049)),"South Korea",
ISNUMBER(SEARCH("Cape Verde",S4049)),"Cabo Verde",
ISNUMBER(SEARCH("Czechia",S4049)),"Czech Republic",
ISNUMBER(SEARCH("Türkiye",S4049)),"Turkey",
ISNUMBER(SEARCH("Ivory Coast",S4049)),"Côte d'Ivoire",
ISNUMBER(SEARCH("Korea Republic",S4049)),"South Korea",
ISNUMBER(SEARCH("Germany FR",S4049)),"FR Germany",
ISNUMBER(SEARCH("West Germany",S4049)),"FR Germany",
ISNUMBER(SEARCH("Germany DR",S4049)),"DR Germany",
ISNUMBER(SEARCH("Korea DPR",S4049)),"North Korea",
ISNUMBER(SEARCH("China PR",S4049)),"China",
ISNUMBER(SEARCH("IR Iran",S4049)),"Iran",
ISNUMBER(SEARCH("Congo DR",S4049)),"Democratic Republic of the Congo",
ISNUMBER(SEARCH("DR Congo",S4049)),"Democratic Republic of the Congo",
ISNUMBER(SEARCH("German DR",S4049)),"DR Germany",
ISNUMBER(SEARCH("rn""&gt;United Arab Emirates",S4049)),"United Arab Emirates",
ISNUMBER(SEARCH("rn""&gt;Republic of Ireland",S4049)),"Ireland",
ISNUMBER(SEARCH("rn""&gt;Bosnia and Herzegovina",S4049)),"Bosnia and Herzegovina",
ISNUMBER(SEARCH("rn""&gt;Trinidad and Tobago",S4049)),"Trinidad and Tobago",
ISNUMBER(SEARCH("rn""&gt;Serbia and Montenegro",S4049)),"Serbia and Montenegro",
ISNUMBER(SEARCH(_xlfn.UNICHAR(65533),S4049)),"Côte d'Ivoire",
TRUE,""
)</f>
        <v/>
      </c>
      <c r="W4049" s="40" t="str">
        <f t="shared" si="264"/>
        <v>Brazil</v>
      </c>
    </row>
    <row r="4050" spans="19:23">
      <c r="S4050" s="40" t="str">
        <v>China PR</v>
      </c>
      <c r="T4050" s="40" t="str">
        <f t="shared" si="262"/>
        <v>ERREUR</v>
      </c>
      <c r="U4050" s="40" t="str">
        <f t="shared" si="263"/>
        <v>RENOMMER</v>
      </c>
      <c r="V4050" s="40" t="str" cm="1">
        <f t="array" ref="V4050">_xlfn.IFS(
ISNUMBER(SEARCH("USA",S4050)),"United States",
ISNUMBER(SEARCH("Republic of Ireland",S4050)),"Ireland",
ISNUMBER(SEARCH("Republic of Korea",S4050)),"South Korea",
ISNUMBER(SEARCH("Cape Verde",S4050)),"Cabo Verde",
ISNUMBER(SEARCH("Czechia",S4050)),"Czech Republic",
ISNUMBER(SEARCH("Türkiye",S4050)),"Turkey",
ISNUMBER(SEARCH("Ivory Coast",S4050)),"Côte d'Ivoire",
ISNUMBER(SEARCH("Korea Republic",S4050)),"South Korea",
ISNUMBER(SEARCH("Germany FR",S4050)),"FR Germany",
ISNUMBER(SEARCH("West Germany",S4050)),"FR Germany",
ISNUMBER(SEARCH("Germany DR",S4050)),"DR Germany",
ISNUMBER(SEARCH("Korea DPR",S4050)),"North Korea",
ISNUMBER(SEARCH("China PR",S4050)),"China",
ISNUMBER(SEARCH("IR Iran",S4050)),"Iran",
ISNUMBER(SEARCH("Congo DR",S4050)),"Democratic Republic of the Congo",
ISNUMBER(SEARCH("DR Congo",S4050)),"Democratic Republic of the Congo",
ISNUMBER(SEARCH("German DR",S4050)),"DR Germany",
ISNUMBER(SEARCH("rn""&gt;United Arab Emirates",S4050)),"United Arab Emirates",
ISNUMBER(SEARCH("rn""&gt;Republic of Ireland",S4050)),"Ireland",
ISNUMBER(SEARCH("rn""&gt;Bosnia and Herzegovina",S4050)),"Bosnia and Herzegovina",
ISNUMBER(SEARCH("rn""&gt;Trinidad and Tobago",S4050)),"Trinidad and Tobago",
ISNUMBER(SEARCH("rn""&gt;Serbia and Montenegro",S4050)),"Serbia and Montenegro",
ISNUMBER(SEARCH(_xlfn.UNICHAR(65533),S4050)),"Côte d'Ivoire",
TRUE,""
)</f>
        <v>China</v>
      </c>
      <c r="W4050" s="40" t="str">
        <f t="shared" si="264"/>
        <v>China</v>
      </c>
    </row>
    <row r="4051" spans="19:23">
      <c r="S4051" s="40" t="str">
        <v>Croatia</v>
      </c>
      <c r="T4051" s="40" t="str">
        <f t="shared" si="262"/>
        <v>OK</v>
      </c>
      <c r="U4051" s="40" t="str">
        <f t="shared" si="263"/>
        <v>-</v>
      </c>
      <c r="V4051" s="40" t="str" cm="1">
        <f t="array" ref="V4051">_xlfn.IFS(
ISNUMBER(SEARCH("USA",S4051)),"United States",
ISNUMBER(SEARCH("Republic of Ireland",S4051)),"Ireland",
ISNUMBER(SEARCH("Republic of Korea",S4051)),"South Korea",
ISNUMBER(SEARCH("Cape Verde",S4051)),"Cabo Verde",
ISNUMBER(SEARCH("Czechia",S4051)),"Czech Republic",
ISNUMBER(SEARCH("Türkiye",S4051)),"Turkey",
ISNUMBER(SEARCH("Ivory Coast",S4051)),"Côte d'Ivoire",
ISNUMBER(SEARCH("Korea Republic",S4051)),"South Korea",
ISNUMBER(SEARCH("Germany FR",S4051)),"FR Germany",
ISNUMBER(SEARCH("West Germany",S4051)),"FR Germany",
ISNUMBER(SEARCH("Germany DR",S4051)),"DR Germany",
ISNUMBER(SEARCH("Korea DPR",S4051)),"North Korea",
ISNUMBER(SEARCH("China PR",S4051)),"China",
ISNUMBER(SEARCH("IR Iran",S4051)),"Iran",
ISNUMBER(SEARCH("Congo DR",S4051)),"Democratic Republic of the Congo",
ISNUMBER(SEARCH("DR Congo",S4051)),"Democratic Republic of the Congo",
ISNUMBER(SEARCH("German DR",S4051)),"DR Germany",
ISNUMBER(SEARCH("rn""&gt;United Arab Emirates",S4051)),"United Arab Emirates",
ISNUMBER(SEARCH("rn""&gt;Republic of Ireland",S4051)),"Ireland",
ISNUMBER(SEARCH("rn""&gt;Bosnia and Herzegovina",S4051)),"Bosnia and Herzegovina",
ISNUMBER(SEARCH("rn""&gt;Trinidad and Tobago",S4051)),"Trinidad and Tobago",
ISNUMBER(SEARCH("rn""&gt;Serbia and Montenegro",S4051)),"Serbia and Montenegro",
ISNUMBER(SEARCH(_xlfn.UNICHAR(65533),S4051)),"Côte d'Ivoire",
TRUE,""
)</f>
        <v/>
      </c>
      <c r="W4051" s="40" t="str">
        <f t="shared" si="264"/>
        <v>Croatia</v>
      </c>
    </row>
    <row r="4052" spans="19:23">
      <c r="S4052" s="40" t="str">
        <v>Italy</v>
      </c>
      <c r="T4052" s="40" t="str">
        <f t="shared" si="262"/>
        <v>OK</v>
      </c>
      <c r="U4052" s="40" t="str">
        <f t="shared" si="263"/>
        <v>-</v>
      </c>
      <c r="V4052" s="40" t="str" cm="1">
        <f t="array" ref="V4052">_xlfn.IFS(
ISNUMBER(SEARCH("USA",S4052)),"United States",
ISNUMBER(SEARCH("Republic of Ireland",S4052)),"Ireland",
ISNUMBER(SEARCH("Republic of Korea",S4052)),"South Korea",
ISNUMBER(SEARCH("Cape Verde",S4052)),"Cabo Verde",
ISNUMBER(SEARCH("Czechia",S4052)),"Czech Republic",
ISNUMBER(SEARCH("Türkiye",S4052)),"Turkey",
ISNUMBER(SEARCH("Ivory Coast",S4052)),"Côte d'Ivoire",
ISNUMBER(SEARCH("Korea Republic",S4052)),"South Korea",
ISNUMBER(SEARCH("Germany FR",S4052)),"FR Germany",
ISNUMBER(SEARCH("West Germany",S4052)),"FR Germany",
ISNUMBER(SEARCH("Germany DR",S4052)),"DR Germany",
ISNUMBER(SEARCH("Korea DPR",S4052)),"North Korea",
ISNUMBER(SEARCH("China PR",S4052)),"China",
ISNUMBER(SEARCH("IR Iran",S4052)),"Iran",
ISNUMBER(SEARCH("Congo DR",S4052)),"Democratic Republic of the Congo",
ISNUMBER(SEARCH("DR Congo",S4052)),"Democratic Republic of the Congo",
ISNUMBER(SEARCH("German DR",S4052)),"DR Germany",
ISNUMBER(SEARCH("rn""&gt;United Arab Emirates",S4052)),"United Arab Emirates",
ISNUMBER(SEARCH("rn""&gt;Republic of Ireland",S4052)),"Ireland",
ISNUMBER(SEARCH("rn""&gt;Bosnia and Herzegovina",S4052)),"Bosnia and Herzegovina",
ISNUMBER(SEARCH("rn""&gt;Trinidad and Tobago",S4052)),"Trinidad and Tobago",
ISNUMBER(SEARCH("rn""&gt;Serbia and Montenegro",S4052)),"Serbia and Montenegro",
ISNUMBER(SEARCH(_xlfn.UNICHAR(65533),S4052)),"Côte d'Ivoire",
TRUE,""
)</f>
        <v/>
      </c>
      <c r="W4052" s="40" t="str">
        <f t="shared" si="264"/>
        <v>Italy</v>
      </c>
    </row>
    <row r="4053" spans="19:23">
      <c r="S4053" s="40" t="str">
        <v>Japan</v>
      </c>
      <c r="T4053" s="40" t="str">
        <f t="shared" si="262"/>
        <v>OK</v>
      </c>
      <c r="U4053" s="40" t="str">
        <f t="shared" si="263"/>
        <v>-</v>
      </c>
      <c r="V4053" s="40" t="str" cm="1">
        <f t="array" ref="V4053">_xlfn.IFS(
ISNUMBER(SEARCH("USA",S4053)),"United States",
ISNUMBER(SEARCH("Republic of Ireland",S4053)),"Ireland",
ISNUMBER(SEARCH("Republic of Korea",S4053)),"South Korea",
ISNUMBER(SEARCH("Cape Verde",S4053)),"Cabo Verde",
ISNUMBER(SEARCH("Czechia",S4053)),"Czech Republic",
ISNUMBER(SEARCH("Türkiye",S4053)),"Turkey",
ISNUMBER(SEARCH("Ivory Coast",S4053)),"Côte d'Ivoire",
ISNUMBER(SEARCH("Korea Republic",S4053)),"South Korea",
ISNUMBER(SEARCH("Germany FR",S4053)),"FR Germany",
ISNUMBER(SEARCH("West Germany",S4053)),"FR Germany",
ISNUMBER(SEARCH("Germany DR",S4053)),"DR Germany",
ISNUMBER(SEARCH("Korea DPR",S4053)),"North Korea",
ISNUMBER(SEARCH("China PR",S4053)),"China",
ISNUMBER(SEARCH("IR Iran",S4053)),"Iran",
ISNUMBER(SEARCH("Congo DR",S4053)),"Democratic Republic of the Congo",
ISNUMBER(SEARCH("DR Congo",S4053)),"Democratic Republic of the Congo",
ISNUMBER(SEARCH("German DR",S4053)),"DR Germany",
ISNUMBER(SEARCH("rn""&gt;United Arab Emirates",S4053)),"United Arab Emirates",
ISNUMBER(SEARCH("rn""&gt;Republic of Ireland",S4053)),"Ireland",
ISNUMBER(SEARCH("rn""&gt;Bosnia and Herzegovina",S4053)),"Bosnia and Herzegovina",
ISNUMBER(SEARCH("rn""&gt;Trinidad and Tobago",S4053)),"Trinidad and Tobago",
ISNUMBER(SEARCH("rn""&gt;Serbia and Montenegro",S4053)),"Serbia and Montenegro",
ISNUMBER(SEARCH(_xlfn.UNICHAR(65533),S4053)),"Côte d'Ivoire",
TRUE,""
)</f>
        <v/>
      </c>
      <c r="W4053" s="40" t="str">
        <f t="shared" si="264"/>
        <v>Japan</v>
      </c>
    </row>
    <row r="4054" spans="19:23">
      <c r="S4054" s="40" t="str">
        <v>Korea Republic</v>
      </c>
      <c r="T4054" s="40" t="str">
        <f t="shared" si="262"/>
        <v>ERREUR</v>
      </c>
      <c r="U4054" s="40" t="str">
        <f t="shared" si="263"/>
        <v>RENOMMER</v>
      </c>
      <c r="V4054" s="40" t="str" cm="1">
        <f t="array" ref="V4054">_xlfn.IFS(
ISNUMBER(SEARCH("USA",S4054)),"United States",
ISNUMBER(SEARCH("Republic of Ireland",S4054)),"Ireland",
ISNUMBER(SEARCH("Republic of Korea",S4054)),"South Korea",
ISNUMBER(SEARCH("Cape Verde",S4054)),"Cabo Verde",
ISNUMBER(SEARCH("Czechia",S4054)),"Czech Republic",
ISNUMBER(SEARCH("Türkiye",S4054)),"Turkey",
ISNUMBER(SEARCH("Ivory Coast",S4054)),"Côte d'Ivoire",
ISNUMBER(SEARCH("Korea Republic",S4054)),"South Korea",
ISNUMBER(SEARCH("Germany FR",S4054)),"FR Germany",
ISNUMBER(SEARCH("West Germany",S4054)),"FR Germany",
ISNUMBER(SEARCH("Germany DR",S4054)),"DR Germany",
ISNUMBER(SEARCH("Korea DPR",S4054)),"North Korea",
ISNUMBER(SEARCH("China PR",S4054)),"China",
ISNUMBER(SEARCH("IR Iran",S4054)),"Iran",
ISNUMBER(SEARCH("Congo DR",S4054)),"Democratic Republic of the Congo",
ISNUMBER(SEARCH("DR Congo",S4054)),"Democratic Republic of the Congo",
ISNUMBER(SEARCH("German DR",S4054)),"DR Germany",
ISNUMBER(SEARCH("rn""&gt;United Arab Emirates",S4054)),"United Arab Emirates",
ISNUMBER(SEARCH("rn""&gt;Republic of Ireland",S4054)),"Ireland",
ISNUMBER(SEARCH("rn""&gt;Bosnia and Herzegovina",S4054)),"Bosnia and Herzegovina",
ISNUMBER(SEARCH("rn""&gt;Trinidad and Tobago",S4054)),"Trinidad and Tobago",
ISNUMBER(SEARCH("rn""&gt;Serbia and Montenegro",S4054)),"Serbia and Montenegro",
ISNUMBER(SEARCH(_xlfn.UNICHAR(65533),S4054)),"Côte d'Ivoire",
TRUE,""
)</f>
        <v>South Korea</v>
      </c>
      <c r="W4054" s="40" t="str">
        <f t="shared" si="264"/>
        <v>South Korea</v>
      </c>
    </row>
    <row r="4055" spans="19:23">
      <c r="S4055" s="40" t="str">
        <v>USA</v>
      </c>
      <c r="T4055" s="40" t="str">
        <f t="shared" si="262"/>
        <v>ERREUR</v>
      </c>
      <c r="U4055" s="40" t="str">
        <f t="shared" si="263"/>
        <v>RENOMMER</v>
      </c>
      <c r="V4055" s="40" t="str" cm="1">
        <f t="array" ref="V4055">_xlfn.IFS(
ISNUMBER(SEARCH("USA",S4055)),"United States",
ISNUMBER(SEARCH("Republic of Ireland",S4055)),"Ireland",
ISNUMBER(SEARCH("Republic of Korea",S4055)),"South Korea",
ISNUMBER(SEARCH("Cape Verde",S4055)),"Cabo Verde",
ISNUMBER(SEARCH("Czechia",S4055)),"Czech Republic",
ISNUMBER(SEARCH("Türkiye",S4055)),"Turkey",
ISNUMBER(SEARCH("Ivory Coast",S4055)),"Côte d'Ivoire",
ISNUMBER(SEARCH("Korea Republic",S4055)),"South Korea",
ISNUMBER(SEARCH("Germany FR",S4055)),"FR Germany",
ISNUMBER(SEARCH("West Germany",S4055)),"FR Germany",
ISNUMBER(SEARCH("Germany DR",S4055)),"DR Germany",
ISNUMBER(SEARCH("Korea DPR",S4055)),"North Korea",
ISNUMBER(SEARCH("China PR",S4055)),"China",
ISNUMBER(SEARCH("IR Iran",S4055)),"Iran",
ISNUMBER(SEARCH("Congo DR",S4055)),"Democratic Republic of the Congo",
ISNUMBER(SEARCH("DR Congo",S4055)),"Democratic Republic of the Congo",
ISNUMBER(SEARCH("German DR",S4055)),"DR Germany",
ISNUMBER(SEARCH("rn""&gt;United Arab Emirates",S4055)),"United Arab Emirates",
ISNUMBER(SEARCH("rn""&gt;Republic of Ireland",S4055)),"Ireland",
ISNUMBER(SEARCH("rn""&gt;Bosnia and Herzegovina",S4055)),"Bosnia and Herzegovina",
ISNUMBER(SEARCH("rn""&gt;Trinidad and Tobago",S4055)),"Trinidad and Tobago",
ISNUMBER(SEARCH("rn""&gt;Serbia and Montenegro",S4055)),"Serbia and Montenegro",
ISNUMBER(SEARCH(_xlfn.UNICHAR(65533),S4055)),"Côte d'Ivoire",
TRUE,""
)</f>
        <v>United States</v>
      </c>
      <c r="W4055" s="40" t="str">
        <f t="shared" si="264"/>
        <v>United States</v>
      </c>
    </row>
    <row r="4056" spans="19:23">
      <c r="S4056" s="40" t="str">
        <v>Russia</v>
      </c>
      <c r="T4056" s="40" t="str">
        <f t="shared" si="262"/>
        <v>OK</v>
      </c>
      <c r="U4056" s="40" t="str">
        <f t="shared" si="263"/>
        <v>-</v>
      </c>
      <c r="V4056" s="40" t="str" cm="1">
        <f t="array" ref="V4056">_xlfn.IFS(
ISNUMBER(SEARCH("USA",S4056)),"United States",
ISNUMBER(SEARCH("Republic of Ireland",S4056)),"Ireland",
ISNUMBER(SEARCH("Republic of Korea",S4056)),"South Korea",
ISNUMBER(SEARCH("Cape Verde",S4056)),"Cabo Verde",
ISNUMBER(SEARCH("Czechia",S4056)),"Czech Republic",
ISNUMBER(SEARCH("Türkiye",S4056)),"Turkey",
ISNUMBER(SEARCH("Ivory Coast",S4056)),"Côte d'Ivoire",
ISNUMBER(SEARCH("Korea Republic",S4056)),"South Korea",
ISNUMBER(SEARCH("Germany FR",S4056)),"FR Germany",
ISNUMBER(SEARCH("West Germany",S4056)),"FR Germany",
ISNUMBER(SEARCH("Germany DR",S4056)),"DR Germany",
ISNUMBER(SEARCH("Korea DPR",S4056)),"North Korea",
ISNUMBER(SEARCH("China PR",S4056)),"China",
ISNUMBER(SEARCH("IR Iran",S4056)),"Iran",
ISNUMBER(SEARCH("Congo DR",S4056)),"Democratic Republic of the Congo",
ISNUMBER(SEARCH("DR Congo",S4056)),"Democratic Republic of the Congo",
ISNUMBER(SEARCH("German DR",S4056)),"DR Germany",
ISNUMBER(SEARCH("rn""&gt;United Arab Emirates",S4056)),"United Arab Emirates",
ISNUMBER(SEARCH("rn""&gt;Republic of Ireland",S4056)),"Ireland",
ISNUMBER(SEARCH("rn""&gt;Bosnia and Herzegovina",S4056)),"Bosnia and Herzegovina",
ISNUMBER(SEARCH("rn""&gt;Trinidad and Tobago",S4056)),"Trinidad and Tobago",
ISNUMBER(SEARCH("rn""&gt;Serbia and Montenegro",S4056)),"Serbia and Montenegro",
ISNUMBER(SEARCH(_xlfn.UNICHAR(65533),S4056)),"Côte d'Ivoire",
TRUE,""
)</f>
        <v/>
      </c>
      <c r="W4056" s="40" t="str">
        <f t="shared" si="264"/>
        <v>Russia</v>
      </c>
    </row>
    <row r="4057" spans="19:23">
      <c r="S4057" s="40" t="str">
        <v>England</v>
      </c>
      <c r="T4057" s="40" t="str">
        <f t="shared" si="262"/>
        <v>ERREUR</v>
      </c>
      <c r="U4057" s="40" t="str">
        <f t="shared" si="263"/>
        <v>AUCUNE</v>
      </c>
      <c r="V4057" s="40" t="str" cm="1">
        <f t="array" ref="V4057">_xlfn.IFS(
ISNUMBER(SEARCH("USA",S4057)),"United States",
ISNUMBER(SEARCH("Republic of Ireland",S4057)),"Ireland",
ISNUMBER(SEARCH("Republic of Korea",S4057)),"South Korea",
ISNUMBER(SEARCH("Cape Verde",S4057)),"Cabo Verde",
ISNUMBER(SEARCH("Czechia",S4057)),"Czech Republic",
ISNUMBER(SEARCH("Türkiye",S4057)),"Turkey",
ISNUMBER(SEARCH("Ivory Coast",S4057)),"Côte d'Ivoire",
ISNUMBER(SEARCH("Korea Republic",S4057)),"South Korea",
ISNUMBER(SEARCH("Germany FR",S4057)),"FR Germany",
ISNUMBER(SEARCH("West Germany",S4057)),"FR Germany",
ISNUMBER(SEARCH("Germany DR",S4057)),"DR Germany",
ISNUMBER(SEARCH("Korea DPR",S4057)),"North Korea",
ISNUMBER(SEARCH("China PR",S4057)),"China",
ISNUMBER(SEARCH("IR Iran",S4057)),"Iran",
ISNUMBER(SEARCH("Congo DR",S4057)),"Democratic Republic of the Congo",
ISNUMBER(SEARCH("DR Congo",S4057)),"Democratic Republic of the Congo",
ISNUMBER(SEARCH("German DR",S4057)),"DR Germany",
ISNUMBER(SEARCH("rn""&gt;United Arab Emirates",S4057)),"United Arab Emirates",
ISNUMBER(SEARCH("rn""&gt;Republic of Ireland",S4057)),"Ireland",
ISNUMBER(SEARCH("rn""&gt;Bosnia and Herzegovina",S4057)),"Bosnia and Herzegovina",
ISNUMBER(SEARCH("rn""&gt;Trinidad and Tobago",S4057)),"Trinidad and Tobago",
ISNUMBER(SEARCH("rn""&gt;Serbia and Montenegro",S4057)),"Serbia and Montenegro",
ISNUMBER(SEARCH(_xlfn.UNICHAR(65533),S4057)),"Côte d'Ivoire",
TRUE,""
)</f>
        <v/>
      </c>
      <c r="W4057" s="40" t="str">
        <f t="shared" si="264"/>
        <v>England</v>
      </c>
    </row>
    <row r="4058" spans="19:23">
      <c r="S4058" s="40" t="str">
        <v>Paraguay</v>
      </c>
      <c r="T4058" s="40" t="str">
        <f t="shared" si="262"/>
        <v>OK</v>
      </c>
      <c r="U4058" s="40" t="str">
        <f t="shared" si="263"/>
        <v>-</v>
      </c>
      <c r="V4058" s="40" t="str" cm="1">
        <f t="array" ref="V4058">_xlfn.IFS(
ISNUMBER(SEARCH("USA",S4058)),"United States",
ISNUMBER(SEARCH("Republic of Ireland",S4058)),"Ireland",
ISNUMBER(SEARCH("Republic of Korea",S4058)),"South Korea",
ISNUMBER(SEARCH("Cape Verde",S4058)),"Cabo Verde",
ISNUMBER(SEARCH("Czechia",S4058)),"Czech Republic",
ISNUMBER(SEARCH("Türkiye",S4058)),"Turkey",
ISNUMBER(SEARCH("Ivory Coast",S4058)),"Côte d'Ivoire",
ISNUMBER(SEARCH("Korea Republic",S4058)),"South Korea",
ISNUMBER(SEARCH("Germany FR",S4058)),"FR Germany",
ISNUMBER(SEARCH("West Germany",S4058)),"FR Germany",
ISNUMBER(SEARCH("Germany DR",S4058)),"DR Germany",
ISNUMBER(SEARCH("Korea DPR",S4058)),"North Korea",
ISNUMBER(SEARCH("China PR",S4058)),"China",
ISNUMBER(SEARCH("IR Iran",S4058)),"Iran",
ISNUMBER(SEARCH("Congo DR",S4058)),"Democratic Republic of the Congo",
ISNUMBER(SEARCH("DR Congo",S4058)),"Democratic Republic of the Congo",
ISNUMBER(SEARCH("German DR",S4058)),"DR Germany",
ISNUMBER(SEARCH("rn""&gt;United Arab Emirates",S4058)),"United Arab Emirates",
ISNUMBER(SEARCH("rn""&gt;Republic of Ireland",S4058)),"Ireland",
ISNUMBER(SEARCH("rn""&gt;Bosnia and Herzegovina",S4058)),"Bosnia and Herzegovina",
ISNUMBER(SEARCH("rn""&gt;Trinidad and Tobago",S4058)),"Trinidad and Tobago",
ISNUMBER(SEARCH("rn""&gt;Serbia and Montenegro",S4058)),"Serbia and Montenegro",
ISNUMBER(SEARCH(_xlfn.UNICHAR(65533),S4058)),"Côte d'Ivoire",
TRUE,""
)</f>
        <v/>
      </c>
      <c r="W4058" s="40" t="str">
        <f t="shared" si="264"/>
        <v>Paraguay</v>
      </c>
    </row>
    <row r="4059" spans="19:23">
      <c r="S4059" s="40" t="str">
        <v>rn"&gt;Republic of Ireland</v>
      </c>
      <c r="T4059" s="40" t="str">
        <f t="shared" si="262"/>
        <v>ERREUR</v>
      </c>
      <c r="U4059" s="40" t="str">
        <f t="shared" si="263"/>
        <v>RENOMMER</v>
      </c>
      <c r="V4059" s="40" t="str" cm="1">
        <f t="array" ref="V4059">_xlfn.IFS(
ISNUMBER(SEARCH("USA",S4059)),"United States",
ISNUMBER(SEARCH("Republic of Ireland",S4059)),"Ireland",
ISNUMBER(SEARCH("Republic of Korea",S4059)),"South Korea",
ISNUMBER(SEARCH("Cape Verde",S4059)),"Cabo Verde",
ISNUMBER(SEARCH("Czechia",S4059)),"Czech Republic",
ISNUMBER(SEARCH("Türkiye",S4059)),"Turkey",
ISNUMBER(SEARCH("Ivory Coast",S4059)),"Côte d'Ivoire",
ISNUMBER(SEARCH("Korea Republic",S4059)),"South Korea",
ISNUMBER(SEARCH("Germany FR",S4059)),"FR Germany",
ISNUMBER(SEARCH("West Germany",S4059)),"FR Germany",
ISNUMBER(SEARCH("Germany DR",S4059)),"DR Germany",
ISNUMBER(SEARCH("Korea DPR",S4059)),"North Korea",
ISNUMBER(SEARCH("China PR",S4059)),"China",
ISNUMBER(SEARCH("IR Iran",S4059)),"Iran",
ISNUMBER(SEARCH("Congo DR",S4059)),"Democratic Republic of the Congo",
ISNUMBER(SEARCH("DR Congo",S4059)),"Democratic Republic of the Congo",
ISNUMBER(SEARCH("German DR",S4059)),"DR Germany",
ISNUMBER(SEARCH("rn""&gt;United Arab Emirates",S4059)),"United Arab Emirates",
ISNUMBER(SEARCH("rn""&gt;Republic of Ireland",S4059)),"Ireland",
ISNUMBER(SEARCH("rn""&gt;Bosnia and Herzegovina",S4059)),"Bosnia and Herzegovina",
ISNUMBER(SEARCH("rn""&gt;Trinidad and Tobago",S4059)),"Trinidad and Tobago",
ISNUMBER(SEARCH("rn""&gt;Serbia and Montenegro",S4059)),"Serbia and Montenegro",
ISNUMBER(SEARCH(_xlfn.UNICHAR(65533),S4059)),"Côte d'Ivoire",
TRUE,""
)</f>
        <v>Ireland</v>
      </c>
      <c r="W4059" s="40" t="str">
        <f t="shared" si="264"/>
        <v>Ireland</v>
      </c>
    </row>
    <row r="4060" spans="19:23">
      <c r="S4060" s="40" t="str">
        <v>Senegal</v>
      </c>
      <c r="T4060" s="40" t="str">
        <f t="shared" si="262"/>
        <v>OK</v>
      </c>
      <c r="U4060" s="40" t="str">
        <f t="shared" si="263"/>
        <v>-</v>
      </c>
      <c r="V4060" s="40" t="str" cm="1">
        <f t="array" ref="V4060">_xlfn.IFS(
ISNUMBER(SEARCH("USA",S4060)),"United States",
ISNUMBER(SEARCH("Republic of Ireland",S4060)),"Ireland",
ISNUMBER(SEARCH("Republic of Korea",S4060)),"South Korea",
ISNUMBER(SEARCH("Cape Verde",S4060)),"Cabo Verde",
ISNUMBER(SEARCH("Czechia",S4060)),"Czech Republic",
ISNUMBER(SEARCH("Türkiye",S4060)),"Turkey",
ISNUMBER(SEARCH("Ivory Coast",S4060)),"Côte d'Ivoire",
ISNUMBER(SEARCH("Korea Republic",S4060)),"South Korea",
ISNUMBER(SEARCH("Germany FR",S4060)),"FR Germany",
ISNUMBER(SEARCH("West Germany",S4060)),"FR Germany",
ISNUMBER(SEARCH("Germany DR",S4060)),"DR Germany",
ISNUMBER(SEARCH("Korea DPR",S4060)),"North Korea",
ISNUMBER(SEARCH("China PR",S4060)),"China",
ISNUMBER(SEARCH("IR Iran",S4060)),"Iran",
ISNUMBER(SEARCH("Congo DR",S4060)),"Democratic Republic of the Congo",
ISNUMBER(SEARCH("DR Congo",S4060)),"Democratic Republic of the Congo",
ISNUMBER(SEARCH("German DR",S4060)),"DR Germany",
ISNUMBER(SEARCH("rn""&gt;United Arab Emirates",S4060)),"United Arab Emirates",
ISNUMBER(SEARCH("rn""&gt;Republic of Ireland",S4060)),"Ireland",
ISNUMBER(SEARCH("rn""&gt;Bosnia and Herzegovina",S4060)),"Bosnia and Herzegovina",
ISNUMBER(SEARCH("rn""&gt;Trinidad and Tobago",S4060)),"Trinidad and Tobago",
ISNUMBER(SEARCH("rn""&gt;Serbia and Montenegro",S4060)),"Serbia and Montenegro",
ISNUMBER(SEARCH(_xlfn.UNICHAR(65533),S4060)),"Côte d'Ivoire",
TRUE,""
)</f>
        <v/>
      </c>
      <c r="W4060" s="40" t="str">
        <f t="shared" si="264"/>
        <v>Senegal</v>
      </c>
    </row>
    <row r="4061" spans="19:23">
      <c r="S4061" s="40" t="str">
        <v>Belgium</v>
      </c>
      <c r="T4061" s="40" t="str">
        <f t="shared" si="262"/>
        <v>OK</v>
      </c>
      <c r="U4061" s="40" t="str">
        <f t="shared" si="263"/>
        <v>-</v>
      </c>
      <c r="V4061" s="40" t="str" cm="1">
        <f t="array" ref="V4061">_xlfn.IFS(
ISNUMBER(SEARCH("USA",S4061)),"United States",
ISNUMBER(SEARCH("Republic of Ireland",S4061)),"Ireland",
ISNUMBER(SEARCH("Republic of Korea",S4061)),"South Korea",
ISNUMBER(SEARCH("Cape Verde",S4061)),"Cabo Verde",
ISNUMBER(SEARCH("Czechia",S4061)),"Czech Republic",
ISNUMBER(SEARCH("Türkiye",S4061)),"Turkey",
ISNUMBER(SEARCH("Ivory Coast",S4061)),"Côte d'Ivoire",
ISNUMBER(SEARCH("Korea Republic",S4061)),"South Korea",
ISNUMBER(SEARCH("Germany FR",S4061)),"FR Germany",
ISNUMBER(SEARCH("West Germany",S4061)),"FR Germany",
ISNUMBER(SEARCH("Germany DR",S4061)),"DR Germany",
ISNUMBER(SEARCH("Korea DPR",S4061)),"North Korea",
ISNUMBER(SEARCH("China PR",S4061)),"China",
ISNUMBER(SEARCH("IR Iran",S4061)),"Iran",
ISNUMBER(SEARCH("Congo DR",S4061)),"Democratic Republic of the Congo",
ISNUMBER(SEARCH("DR Congo",S4061)),"Democratic Republic of the Congo",
ISNUMBER(SEARCH("German DR",S4061)),"DR Germany",
ISNUMBER(SEARCH("rn""&gt;United Arab Emirates",S4061)),"United Arab Emirates",
ISNUMBER(SEARCH("rn""&gt;Republic of Ireland",S4061)),"Ireland",
ISNUMBER(SEARCH("rn""&gt;Bosnia and Herzegovina",S4061)),"Bosnia and Herzegovina",
ISNUMBER(SEARCH("rn""&gt;Trinidad and Tobago",S4061)),"Trinidad and Tobago",
ISNUMBER(SEARCH("rn""&gt;Serbia and Montenegro",S4061)),"Serbia and Montenegro",
ISNUMBER(SEARCH(_xlfn.UNICHAR(65533),S4061)),"Côte d'Ivoire",
TRUE,""
)</f>
        <v/>
      </c>
      <c r="W4061" s="40" t="str">
        <f t="shared" si="264"/>
        <v>Belgium</v>
      </c>
    </row>
    <row r="4062" spans="19:23">
      <c r="S4062" s="40" t="str">
        <v>USA</v>
      </c>
      <c r="T4062" s="40" t="str">
        <f t="shared" si="262"/>
        <v>ERREUR</v>
      </c>
      <c r="U4062" s="40" t="str">
        <f t="shared" si="263"/>
        <v>RENOMMER</v>
      </c>
      <c r="V4062" s="40" t="str" cm="1">
        <f t="array" ref="V4062">_xlfn.IFS(
ISNUMBER(SEARCH("USA",S4062)),"United States",
ISNUMBER(SEARCH("Republic of Ireland",S4062)),"Ireland",
ISNUMBER(SEARCH("Republic of Korea",S4062)),"South Korea",
ISNUMBER(SEARCH("Cape Verde",S4062)),"Cabo Verde",
ISNUMBER(SEARCH("Czechia",S4062)),"Czech Republic",
ISNUMBER(SEARCH("Türkiye",S4062)),"Turkey",
ISNUMBER(SEARCH("Ivory Coast",S4062)),"Côte d'Ivoire",
ISNUMBER(SEARCH("Korea Republic",S4062)),"South Korea",
ISNUMBER(SEARCH("Germany FR",S4062)),"FR Germany",
ISNUMBER(SEARCH("West Germany",S4062)),"FR Germany",
ISNUMBER(SEARCH("Germany DR",S4062)),"DR Germany",
ISNUMBER(SEARCH("Korea DPR",S4062)),"North Korea",
ISNUMBER(SEARCH("China PR",S4062)),"China",
ISNUMBER(SEARCH("IR Iran",S4062)),"Iran",
ISNUMBER(SEARCH("Congo DR",S4062)),"Democratic Republic of the Congo",
ISNUMBER(SEARCH("DR Congo",S4062)),"Democratic Republic of the Congo",
ISNUMBER(SEARCH("German DR",S4062)),"DR Germany",
ISNUMBER(SEARCH("rn""&gt;United Arab Emirates",S4062)),"United Arab Emirates",
ISNUMBER(SEARCH("rn""&gt;Republic of Ireland",S4062)),"Ireland",
ISNUMBER(SEARCH("rn""&gt;Bosnia and Herzegovina",S4062)),"Bosnia and Herzegovina",
ISNUMBER(SEARCH("rn""&gt;Trinidad and Tobago",S4062)),"Trinidad and Tobago",
ISNUMBER(SEARCH("rn""&gt;Serbia and Montenegro",S4062)),"Serbia and Montenegro",
ISNUMBER(SEARCH(_xlfn.UNICHAR(65533),S4062)),"Côte d'Ivoire",
TRUE,""
)</f>
        <v>United States</v>
      </c>
      <c r="W4062" s="40" t="str">
        <f t="shared" si="264"/>
        <v>United States</v>
      </c>
    </row>
    <row r="4063" spans="19:23">
      <c r="S4063" s="40" t="str">
        <v>Turkey</v>
      </c>
      <c r="T4063" s="40" t="str">
        <f t="shared" si="262"/>
        <v>OK</v>
      </c>
      <c r="U4063" s="40" t="str">
        <f t="shared" si="263"/>
        <v>-</v>
      </c>
      <c r="V4063" s="40" t="str" cm="1">
        <f t="array" ref="V4063">_xlfn.IFS(
ISNUMBER(SEARCH("USA",S4063)),"United States",
ISNUMBER(SEARCH("Republic of Ireland",S4063)),"Ireland",
ISNUMBER(SEARCH("Republic of Korea",S4063)),"South Korea",
ISNUMBER(SEARCH("Cape Verde",S4063)),"Cabo Verde",
ISNUMBER(SEARCH("Czechia",S4063)),"Czech Republic",
ISNUMBER(SEARCH("Türkiye",S4063)),"Turkey",
ISNUMBER(SEARCH("Ivory Coast",S4063)),"Côte d'Ivoire",
ISNUMBER(SEARCH("Korea Republic",S4063)),"South Korea",
ISNUMBER(SEARCH("Germany FR",S4063)),"FR Germany",
ISNUMBER(SEARCH("West Germany",S4063)),"FR Germany",
ISNUMBER(SEARCH("Germany DR",S4063)),"DR Germany",
ISNUMBER(SEARCH("Korea DPR",S4063)),"North Korea",
ISNUMBER(SEARCH("China PR",S4063)),"China",
ISNUMBER(SEARCH("IR Iran",S4063)),"Iran",
ISNUMBER(SEARCH("Congo DR",S4063)),"Democratic Republic of the Congo",
ISNUMBER(SEARCH("DR Congo",S4063)),"Democratic Republic of the Congo",
ISNUMBER(SEARCH("German DR",S4063)),"DR Germany",
ISNUMBER(SEARCH("rn""&gt;United Arab Emirates",S4063)),"United Arab Emirates",
ISNUMBER(SEARCH("rn""&gt;Republic of Ireland",S4063)),"Ireland",
ISNUMBER(SEARCH("rn""&gt;Bosnia and Herzegovina",S4063)),"Bosnia and Herzegovina",
ISNUMBER(SEARCH("rn""&gt;Trinidad and Tobago",S4063)),"Trinidad and Tobago",
ISNUMBER(SEARCH("rn""&gt;Serbia and Montenegro",S4063)),"Serbia and Montenegro",
ISNUMBER(SEARCH(_xlfn.UNICHAR(65533),S4063)),"Côte d'Ivoire",
TRUE,""
)</f>
        <v/>
      </c>
      <c r="W4063" s="40" t="str">
        <f t="shared" si="264"/>
        <v>Turkey</v>
      </c>
    </row>
    <row r="4064" spans="19:23">
      <c r="S4064" s="40" t="str">
        <v>Italy</v>
      </c>
      <c r="T4064" s="40" t="str">
        <f t="shared" si="262"/>
        <v>OK</v>
      </c>
      <c r="U4064" s="40" t="str">
        <f t="shared" si="263"/>
        <v>-</v>
      </c>
      <c r="V4064" s="40" t="str" cm="1">
        <f t="array" ref="V4064">_xlfn.IFS(
ISNUMBER(SEARCH("USA",S4064)),"United States",
ISNUMBER(SEARCH("Republic of Ireland",S4064)),"Ireland",
ISNUMBER(SEARCH("Republic of Korea",S4064)),"South Korea",
ISNUMBER(SEARCH("Cape Verde",S4064)),"Cabo Verde",
ISNUMBER(SEARCH("Czechia",S4064)),"Czech Republic",
ISNUMBER(SEARCH("Türkiye",S4064)),"Turkey",
ISNUMBER(SEARCH("Ivory Coast",S4064)),"Côte d'Ivoire",
ISNUMBER(SEARCH("Korea Republic",S4064)),"South Korea",
ISNUMBER(SEARCH("Germany FR",S4064)),"FR Germany",
ISNUMBER(SEARCH("West Germany",S4064)),"FR Germany",
ISNUMBER(SEARCH("Germany DR",S4064)),"DR Germany",
ISNUMBER(SEARCH("Korea DPR",S4064)),"North Korea",
ISNUMBER(SEARCH("China PR",S4064)),"China",
ISNUMBER(SEARCH("IR Iran",S4064)),"Iran",
ISNUMBER(SEARCH("Congo DR",S4064)),"Democratic Republic of the Congo",
ISNUMBER(SEARCH("DR Congo",S4064)),"Democratic Republic of the Congo",
ISNUMBER(SEARCH("German DR",S4064)),"DR Germany",
ISNUMBER(SEARCH("rn""&gt;United Arab Emirates",S4064)),"United Arab Emirates",
ISNUMBER(SEARCH("rn""&gt;Republic of Ireland",S4064)),"Ireland",
ISNUMBER(SEARCH("rn""&gt;Bosnia and Herzegovina",S4064)),"Bosnia and Herzegovina",
ISNUMBER(SEARCH("rn""&gt;Trinidad and Tobago",S4064)),"Trinidad and Tobago",
ISNUMBER(SEARCH("rn""&gt;Serbia and Montenegro",S4064)),"Serbia and Montenegro",
ISNUMBER(SEARCH(_xlfn.UNICHAR(65533),S4064)),"Côte d'Ivoire",
TRUE,""
)</f>
        <v/>
      </c>
      <c r="W4064" s="40" t="str">
        <f t="shared" si="264"/>
        <v>Italy</v>
      </c>
    </row>
    <row r="4065" spans="19:23">
      <c r="S4065" s="40" t="str">
        <v>Brazil</v>
      </c>
      <c r="T4065" s="40" t="str">
        <f t="shared" si="262"/>
        <v>OK</v>
      </c>
      <c r="U4065" s="40" t="str">
        <f t="shared" si="263"/>
        <v>-</v>
      </c>
      <c r="V4065" s="40" t="str" cm="1">
        <f t="array" ref="V4065">_xlfn.IFS(
ISNUMBER(SEARCH("USA",S4065)),"United States",
ISNUMBER(SEARCH("Republic of Ireland",S4065)),"Ireland",
ISNUMBER(SEARCH("Republic of Korea",S4065)),"South Korea",
ISNUMBER(SEARCH("Cape Verde",S4065)),"Cabo Verde",
ISNUMBER(SEARCH("Czechia",S4065)),"Czech Republic",
ISNUMBER(SEARCH("Türkiye",S4065)),"Turkey",
ISNUMBER(SEARCH("Ivory Coast",S4065)),"Côte d'Ivoire",
ISNUMBER(SEARCH("Korea Republic",S4065)),"South Korea",
ISNUMBER(SEARCH("Germany FR",S4065)),"FR Germany",
ISNUMBER(SEARCH("West Germany",S4065)),"FR Germany",
ISNUMBER(SEARCH("Germany DR",S4065)),"DR Germany",
ISNUMBER(SEARCH("Korea DPR",S4065)),"North Korea",
ISNUMBER(SEARCH("China PR",S4065)),"China",
ISNUMBER(SEARCH("IR Iran",S4065)),"Iran",
ISNUMBER(SEARCH("Congo DR",S4065)),"Democratic Republic of the Congo",
ISNUMBER(SEARCH("DR Congo",S4065)),"Democratic Republic of the Congo",
ISNUMBER(SEARCH("German DR",S4065)),"DR Germany",
ISNUMBER(SEARCH("rn""&gt;United Arab Emirates",S4065)),"United Arab Emirates",
ISNUMBER(SEARCH("rn""&gt;Republic of Ireland",S4065)),"Ireland",
ISNUMBER(SEARCH("rn""&gt;Bosnia and Herzegovina",S4065)),"Bosnia and Herzegovina",
ISNUMBER(SEARCH("rn""&gt;Trinidad and Tobago",S4065)),"Trinidad and Tobago",
ISNUMBER(SEARCH("rn""&gt;Serbia and Montenegro",S4065)),"Serbia and Montenegro",
ISNUMBER(SEARCH(_xlfn.UNICHAR(65533),S4065)),"Côte d'Ivoire",
TRUE,""
)</f>
        <v/>
      </c>
      <c r="W4065" s="40" t="str">
        <f t="shared" si="264"/>
        <v>Brazil</v>
      </c>
    </row>
    <row r="4066" spans="19:23">
      <c r="S4066" s="40" t="str">
        <v>USA</v>
      </c>
      <c r="T4066" s="40" t="str">
        <f t="shared" si="262"/>
        <v>ERREUR</v>
      </c>
      <c r="U4066" s="40" t="str">
        <f t="shared" si="263"/>
        <v>RENOMMER</v>
      </c>
      <c r="V4066" s="40" t="str" cm="1">
        <f t="array" ref="V4066">_xlfn.IFS(
ISNUMBER(SEARCH("USA",S4066)),"United States",
ISNUMBER(SEARCH("Republic of Ireland",S4066)),"Ireland",
ISNUMBER(SEARCH("Republic of Korea",S4066)),"South Korea",
ISNUMBER(SEARCH("Cape Verde",S4066)),"Cabo Verde",
ISNUMBER(SEARCH("Czechia",S4066)),"Czech Republic",
ISNUMBER(SEARCH("Türkiye",S4066)),"Turkey",
ISNUMBER(SEARCH("Ivory Coast",S4066)),"Côte d'Ivoire",
ISNUMBER(SEARCH("Korea Republic",S4066)),"South Korea",
ISNUMBER(SEARCH("Germany FR",S4066)),"FR Germany",
ISNUMBER(SEARCH("West Germany",S4066)),"FR Germany",
ISNUMBER(SEARCH("Germany DR",S4066)),"DR Germany",
ISNUMBER(SEARCH("Korea DPR",S4066)),"North Korea",
ISNUMBER(SEARCH("China PR",S4066)),"China",
ISNUMBER(SEARCH("IR Iran",S4066)),"Iran",
ISNUMBER(SEARCH("Congo DR",S4066)),"Democratic Republic of the Congo",
ISNUMBER(SEARCH("DR Congo",S4066)),"Democratic Republic of the Congo",
ISNUMBER(SEARCH("German DR",S4066)),"DR Germany",
ISNUMBER(SEARCH("rn""&gt;United Arab Emirates",S4066)),"United Arab Emirates",
ISNUMBER(SEARCH("rn""&gt;Republic of Ireland",S4066)),"Ireland",
ISNUMBER(SEARCH("rn""&gt;Bosnia and Herzegovina",S4066)),"Bosnia and Herzegovina",
ISNUMBER(SEARCH("rn""&gt;Trinidad and Tobago",S4066)),"Trinidad and Tobago",
ISNUMBER(SEARCH("rn""&gt;Serbia and Montenegro",S4066)),"Serbia and Montenegro",
ISNUMBER(SEARCH(_xlfn.UNICHAR(65533),S4066)),"Côte d'Ivoire",
TRUE,""
)</f>
        <v>United States</v>
      </c>
      <c r="W4066" s="40" t="str">
        <f t="shared" si="264"/>
        <v>United States</v>
      </c>
    </row>
    <row r="4067" spans="19:23">
      <c r="S4067" s="40" t="str">
        <v>Turkey</v>
      </c>
      <c r="T4067" s="40" t="str">
        <f t="shared" si="262"/>
        <v>OK</v>
      </c>
      <c r="U4067" s="40" t="str">
        <f t="shared" si="263"/>
        <v>-</v>
      </c>
      <c r="V4067" s="40" t="str" cm="1">
        <f t="array" ref="V4067">_xlfn.IFS(
ISNUMBER(SEARCH("USA",S4067)),"United States",
ISNUMBER(SEARCH("Republic of Ireland",S4067)),"Ireland",
ISNUMBER(SEARCH("Republic of Korea",S4067)),"South Korea",
ISNUMBER(SEARCH("Cape Verde",S4067)),"Cabo Verde",
ISNUMBER(SEARCH("Czechia",S4067)),"Czech Republic",
ISNUMBER(SEARCH("Türkiye",S4067)),"Turkey",
ISNUMBER(SEARCH("Ivory Coast",S4067)),"Côte d'Ivoire",
ISNUMBER(SEARCH("Korea Republic",S4067)),"South Korea",
ISNUMBER(SEARCH("Germany FR",S4067)),"FR Germany",
ISNUMBER(SEARCH("West Germany",S4067)),"FR Germany",
ISNUMBER(SEARCH("Germany DR",S4067)),"DR Germany",
ISNUMBER(SEARCH("Korea DPR",S4067)),"North Korea",
ISNUMBER(SEARCH("China PR",S4067)),"China",
ISNUMBER(SEARCH("IR Iran",S4067)),"Iran",
ISNUMBER(SEARCH("Congo DR",S4067)),"Democratic Republic of the Congo",
ISNUMBER(SEARCH("DR Congo",S4067)),"Democratic Republic of the Congo",
ISNUMBER(SEARCH("German DR",S4067)),"DR Germany",
ISNUMBER(SEARCH("rn""&gt;United Arab Emirates",S4067)),"United Arab Emirates",
ISNUMBER(SEARCH("rn""&gt;Republic of Ireland",S4067)),"Ireland",
ISNUMBER(SEARCH("rn""&gt;Bosnia and Herzegovina",S4067)),"Bosnia and Herzegovina",
ISNUMBER(SEARCH("rn""&gt;Trinidad and Tobago",S4067)),"Trinidad and Tobago",
ISNUMBER(SEARCH("rn""&gt;Serbia and Montenegro",S4067)),"Serbia and Montenegro",
ISNUMBER(SEARCH(_xlfn.UNICHAR(65533),S4067)),"Côte d'Ivoire",
TRUE,""
)</f>
        <v/>
      </c>
      <c r="W4067" s="40" t="str">
        <f t="shared" si="264"/>
        <v>Turkey</v>
      </c>
    </row>
    <row r="4068" spans="19:23">
      <c r="S4068" s="40" t="str">
        <v>Korea Republic</v>
      </c>
      <c r="T4068" s="40" t="str">
        <f t="shared" si="262"/>
        <v>ERREUR</v>
      </c>
      <c r="U4068" s="40" t="str">
        <f t="shared" si="263"/>
        <v>RENOMMER</v>
      </c>
      <c r="V4068" s="40" t="str" cm="1">
        <f t="array" ref="V4068">_xlfn.IFS(
ISNUMBER(SEARCH("USA",S4068)),"United States",
ISNUMBER(SEARCH("Republic of Ireland",S4068)),"Ireland",
ISNUMBER(SEARCH("Republic of Korea",S4068)),"South Korea",
ISNUMBER(SEARCH("Cape Verde",S4068)),"Cabo Verde",
ISNUMBER(SEARCH("Czechia",S4068)),"Czech Republic",
ISNUMBER(SEARCH("Türkiye",S4068)),"Turkey",
ISNUMBER(SEARCH("Ivory Coast",S4068)),"Côte d'Ivoire",
ISNUMBER(SEARCH("Korea Republic",S4068)),"South Korea",
ISNUMBER(SEARCH("Germany FR",S4068)),"FR Germany",
ISNUMBER(SEARCH("West Germany",S4068)),"FR Germany",
ISNUMBER(SEARCH("Germany DR",S4068)),"DR Germany",
ISNUMBER(SEARCH("Korea DPR",S4068)),"North Korea",
ISNUMBER(SEARCH("China PR",S4068)),"China",
ISNUMBER(SEARCH("IR Iran",S4068)),"Iran",
ISNUMBER(SEARCH("Congo DR",S4068)),"Democratic Republic of the Congo",
ISNUMBER(SEARCH("DR Congo",S4068)),"Democratic Republic of the Congo",
ISNUMBER(SEARCH("German DR",S4068)),"DR Germany",
ISNUMBER(SEARCH("rn""&gt;United Arab Emirates",S4068)),"United Arab Emirates",
ISNUMBER(SEARCH("rn""&gt;Republic of Ireland",S4068)),"Ireland",
ISNUMBER(SEARCH("rn""&gt;Bosnia and Herzegovina",S4068)),"Bosnia and Herzegovina",
ISNUMBER(SEARCH("rn""&gt;Trinidad and Tobago",S4068)),"Trinidad and Tobago",
ISNUMBER(SEARCH("rn""&gt;Serbia and Montenegro",S4068)),"Serbia and Montenegro",
ISNUMBER(SEARCH(_xlfn.UNICHAR(65533),S4068)),"Côte d'Ivoire",
TRUE,""
)</f>
        <v>South Korea</v>
      </c>
      <c r="W4068" s="40" t="str">
        <f t="shared" si="264"/>
        <v>South Korea</v>
      </c>
    </row>
    <row r="4069" spans="19:23">
      <c r="S4069" s="40" t="str">
        <v>Korea Republic</v>
      </c>
      <c r="T4069" s="40" t="str">
        <f t="shared" si="262"/>
        <v>ERREUR</v>
      </c>
      <c r="U4069" s="40" t="str">
        <f t="shared" si="263"/>
        <v>RENOMMER</v>
      </c>
      <c r="V4069" s="40" t="str" cm="1">
        <f t="array" ref="V4069">_xlfn.IFS(
ISNUMBER(SEARCH("USA",S4069)),"United States",
ISNUMBER(SEARCH("Republic of Ireland",S4069)),"Ireland",
ISNUMBER(SEARCH("Republic of Korea",S4069)),"South Korea",
ISNUMBER(SEARCH("Cape Verde",S4069)),"Cabo Verde",
ISNUMBER(SEARCH("Czechia",S4069)),"Czech Republic",
ISNUMBER(SEARCH("Türkiye",S4069)),"Turkey",
ISNUMBER(SEARCH("Ivory Coast",S4069)),"Côte d'Ivoire",
ISNUMBER(SEARCH("Korea Republic",S4069)),"South Korea",
ISNUMBER(SEARCH("Germany FR",S4069)),"FR Germany",
ISNUMBER(SEARCH("West Germany",S4069)),"FR Germany",
ISNUMBER(SEARCH("Germany DR",S4069)),"DR Germany",
ISNUMBER(SEARCH("Korea DPR",S4069)),"North Korea",
ISNUMBER(SEARCH("China PR",S4069)),"China",
ISNUMBER(SEARCH("IR Iran",S4069)),"Iran",
ISNUMBER(SEARCH("Congo DR",S4069)),"Democratic Republic of the Congo",
ISNUMBER(SEARCH("DR Congo",S4069)),"Democratic Republic of the Congo",
ISNUMBER(SEARCH("German DR",S4069)),"DR Germany",
ISNUMBER(SEARCH("rn""&gt;United Arab Emirates",S4069)),"United Arab Emirates",
ISNUMBER(SEARCH("rn""&gt;Republic of Ireland",S4069)),"Ireland",
ISNUMBER(SEARCH("rn""&gt;Bosnia and Herzegovina",S4069)),"Bosnia and Herzegovina",
ISNUMBER(SEARCH("rn""&gt;Trinidad and Tobago",S4069)),"Trinidad and Tobago",
ISNUMBER(SEARCH("rn""&gt;Serbia and Montenegro",S4069)),"Serbia and Montenegro",
ISNUMBER(SEARCH(_xlfn.UNICHAR(65533),S4069)),"Côte d'Ivoire",
TRUE,""
)</f>
        <v>South Korea</v>
      </c>
      <c r="W4069" s="40" t="str">
        <f t="shared" si="264"/>
        <v>South Korea</v>
      </c>
    </row>
    <row r="4070" spans="19:23">
      <c r="S4070" s="40" t="str">
        <v>Turkey</v>
      </c>
      <c r="T4070" s="40" t="str">
        <f t="shared" si="262"/>
        <v>OK</v>
      </c>
      <c r="U4070" s="40" t="str">
        <f t="shared" si="263"/>
        <v>-</v>
      </c>
      <c r="V4070" s="40" t="str" cm="1">
        <f t="array" ref="V4070">_xlfn.IFS(
ISNUMBER(SEARCH("USA",S4070)),"United States",
ISNUMBER(SEARCH("Republic of Ireland",S4070)),"Ireland",
ISNUMBER(SEARCH("Republic of Korea",S4070)),"South Korea",
ISNUMBER(SEARCH("Cape Verde",S4070)),"Cabo Verde",
ISNUMBER(SEARCH("Czechia",S4070)),"Czech Republic",
ISNUMBER(SEARCH("Türkiye",S4070)),"Turkey",
ISNUMBER(SEARCH("Ivory Coast",S4070)),"Côte d'Ivoire",
ISNUMBER(SEARCH("Korea Republic",S4070)),"South Korea",
ISNUMBER(SEARCH("Germany FR",S4070)),"FR Germany",
ISNUMBER(SEARCH("West Germany",S4070)),"FR Germany",
ISNUMBER(SEARCH("Germany DR",S4070)),"DR Germany",
ISNUMBER(SEARCH("Korea DPR",S4070)),"North Korea",
ISNUMBER(SEARCH("China PR",S4070)),"China",
ISNUMBER(SEARCH("IR Iran",S4070)),"Iran",
ISNUMBER(SEARCH("Congo DR",S4070)),"Democratic Republic of the Congo",
ISNUMBER(SEARCH("DR Congo",S4070)),"Democratic Republic of the Congo",
ISNUMBER(SEARCH("German DR",S4070)),"DR Germany",
ISNUMBER(SEARCH("rn""&gt;United Arab Emirates",S4070)),"United Arab Emirates",
ISNUMBER(SEARCH("rn""&gt;Republic of Ireland",S4070)),"Ireland",
ISNUMBER(SEARCH("rn""&gt;Bosnia and Herzegovina",S4070)),"Bosnia and Herzegovina",
ISNUMBER(SEARCH("rn""&gt;Trinidad and Tobago",S4070)),"Trinidad and Tobago",
ISNUMBER(SEARCH("rn""&gt;Serbia and Montenegro",S4070)),"Serbia and Montenegro",
ISNUMBER(SEARCH(_xlfn.UNICHAR(65533),S4070)),"Côte d'Ivoire",
TRUE,""
)</f>
        <v/>
      </c>
      <c r="W4070" s="40" t="str">
        <f t="shared" si="264"/>
        <v>Turkey</v>
      </c>
    </row>
    <row r="4071" spans="19:23">
      <c r="S4071" s="40" t="str">
        <v>Turkey</v>
      </c>
      <c r="T4071" s="40" t="str">
        <f t="shared" si="262"/>
        <v>OK</v>
      </c>
      <c r="U4071" s="40" t="str">
        <f t="shared" si="263"/>
        <v>-</v>
      </c>
      <c r="V4071" s="40" t="str" cm="1">
        <f t="array" ref="V4071">_xlfn.IFS(
ISNUMBER(SEARCH("USA",S4071)),"United States",
ISNUMBER(SEARCH("Republic of Ireland",S4071)),"Ireland",
ISNUMBER(SEARCH("Republic of Korea",S4071)),"South Korea",
ISNUMBER(SEARCH("Cape Verde",S4071)),"Cabo Verde",
ISNUMBER(SEARCH("Czechia",S4071)),"Czech Republic",
ISNUMBER(SEARCH("Türkiye",S4071)),"Turkey",
ISNUMBER(SEARCH("Ivory Coast",S4071)),"Côte d'Ivoire",
ISNUMBER(SEARCH("Korea Republic",S4071)),"South Korea",
ISNUMBER(SEARCH("Germany FR",S4071)),"FR Germany",
ISNUMBER(SEARCH("West Germany",S4071)),"FR Germany",
ISNUMBER(SEARCH("Germany DR",S4071)),"DR Germany",
ISNUMBER(SEARCH("Korea DPR",S4071)),"North Korea",
ISNUMBER(SEARCH("China PR",S4071)),"China",
ISNUMBER(SEARCH("IR Iran",S4071)),"Iran",
ISNUMBER(SEARCH("Congo DR",S4071)),"Democratic Republic of the Congo",
ISNUMBER(SEARCH("DR Congo",S4071)),"Democratic Republic of the Congo",
ISNUMBER(SEARCH("German DR",S4071)),"DR Germany",
ISNUMBER(SEARCH("rn""&gt;United Arab Emirates",S4071)),"United Arab Emirates",
ISNUMBER(SEARCH("rn""&gt;Republic of Ireland",S4071)),"Ireland",
ISNUMBER(SEARCH("rn""&gt;Bosnia and Herzegovina",S4071)),"Bosnia and Herzegovina",
ISNUMBER(SEARCH("rn""&gt;Trinidad and Tobago",S4071)),"Trinidad and Tobago",
ISNUMBER(SEARCH("rn""&gt;Serbia and Montenegro",S4071)),"Serbia and Montenegro",
ISNUMBER(SEARCH(_xlfn.UNICHAR(65533),S4071)),"Côte d'Ivoire",
TRUE,""
)</f>
        <v/>
      </c>
      <c r="W4071" s="40" t="str">
        <f t="shared" si="264"/>
        <v>Turkey</v>
      </c>
    </row>
    <row r="4072" spans="19:23">
      <c r="S4072" s="40" t="str">
        <v>Brazil</v>
      </c>
      <c r="T4072" s="40" t="str">
        <f t="shared" si="262"/>
        <v>OK</v>
      </c>
      <c r="U4072" s="40" t="str">
        <f t="shared" si="263"/>
        <v>-</v>
      </c>
      <c r="V4072" s="40" t="str" cm="1">
        <f t="array" ref="V4072">_xlfn.IFS(
ISNUMBER(SEARCH("USA",S4072)),"United States",
ISNUMBER(SEARCH("Republic of Ireland",S4072)),"Ireland",
ISNUMBER(SEARCH("Republic of Korea",S4072)),"South Korea",
ISNUMBER(SEARCH("Cape Verde",S4072)),"Cabo Verde",
ISNUMBER(SEARCH("Czechia",S4072)),"Czech Republic",
ISNUMBER(SEARCH("Türkiye",S4072)),"Turkey",
ISNUMBER(SEARCH("Ivory Coast",S4072)),"Côte d'Ivoire",
ISNUMBER(SEARCH("Korea Republic",S4072)),"South Korea",
ISNUMBER(SEARCH("Germany FR",S4072)),"FR Germany",
ISNUMBER(SEARCH("West Germany",S4072)),"FR Germany",
ISNUMBER(SEARCH("Germany DR",S4072)),"DR Germany",
ISNUMBER(SEARCH("Korea DPR",S4072)),"North Korea",
ISNUMBER(SEARCH("China PR",S4072)),"China",
ISNUMBER(SEARCH("IR Iran",S4072)),"Iran",
ISNUMBER(SEARCH("Congo DR",S4072)),"Democratic Republic of the Congo",
ISNUMBER(SEARCH("DR Congo",S4072)),"Democratic Republic of the Congo",
ISNUMBER(SEARCH("German DR",S4072)),"DR Germany",
ISNUMBER(SEARCH("rn""&gt;United Arab Emirates",S4072)),"United Arab Emirates",
ISNUMBER(SEARCH("rn""&gt;Republic of Ireland",S4072)),"Ireland",
ISNUMBER(SEARCH("rn""&gt;Bosnia and Herzegovina",S4072)),"Bosnia and Herzegovina",
ISNUMBER(SEARCH("rn""&gt;Trinidad and Tobago",S4072)),"Trinidad and Tobago",
ISNUMBER(SEARCH("rn""&gt;Serbia and Montenegro",S4072)),"Serbia and Montenegro",
ISNUMBER(SEARCH(_xlfn.UNICHAR(65533),S4072)),"Côte d'Ivoire",
TRUE,""
)</f>
        <v/>
      </c>
      <c r="W4072" s="40" t="str">
        <f t="shared" si="264"/>
        <v>Brazil</v>
      </c>
    </row>
    <row r="4073" spans="19:23">
      <c r="S4073" s="40" t="str">
        <v>Costa Rica</v>
      </c>
      <c r="T4073" s="40" t="str">
        <f t="shared" si="262"/>
        <v>OK</v>
      </c>
      <c r="U4073" s="40" t="str">
        <f t="shared" si="263"/>
        <v>-</v>
      </c>
      <c r="V4073" s="40" t="str" cm="1">
        <f t="array" ref="V4073">_xlfn.IFS(
ISNUMBER(SEARCH("USA",S4073)),"United States",
ISNUMBER(SEARCH("Republic of Ireland",S4073)),"Ireland",
ISNUMBER(SEARCH("Republic of Korea",S4073)),"South Korea",
ISNUMBER(SEARCH("Cape Verde",S4073)),"Cabo Verde",
ISNUMBER(SEARCH("Czechia",S4073)),"Czech Republic",
ISNUMBER(SEARCH("Türkiye",S4073)),"Turkey",
ISNUMBER(SEARCH("Ivory Coast",S4073)),"Côte d'Ivoire",
ISNUMBER(SEARCH("Korea Republic",S4073)),"South Korea",
ISNUMBER(SEARCH("Germany FR",S4073)),"FR Germany",
ISNUMBER(SEARCH("West Germany",S4073)),"FR Germany",
ISNUMBER(SEARCH("Germany DR",S4073)),"DR Germany",
ISNUMBER(SEARCH("Korea DPR",S4073)),"North Korea",
ISNUMBER(SEARCH("China PR",S4073)),"China",
ISNUMBER(SEARCH("IR Iran",S4073)),"Iran",
ISNUMBER(SEARCH("Congo DR",S4073)),"Democratic Republic of the Congo",
ISNUMBER(SEARCH("DR Congo",S4073)),"Democratic Republic of the Congo",
ISNUMBER(SEARCH("German DR",S4073)),"DR Germany",
ISNUMBER(SEARCH("rn""&gt;United Arab Emirates",S4073)),"United Arab Emirates",
ISNUMBER(SEARCH("rn""&gt;Republic of Ireland",S4073)),"Ireland",
ISNUMBER(SEARCH("rn""&gt;Bosnia and Herzegovina",S4073)),"Bosnia and Herzegovina",
ISNUMBER(SEARCH("rn""&gt;Trinidad and Tobago",S4073)),"Trinidad and Tobago",
ISNUMBER(SEARCH("rn""&gt;Serbia and Montenegro",S4073)),"Serbia and Montenegro",
ISNUMBER(SEARCH(_xlfn.UNICHAR(65533),S4073)),"Côte d'Ivoire",
TRUE,""
)</f>
        <v/>
      </c>
      <c r="W4073" s="40" t="str">
        <f t="shared" si="264"/>
        <v>Costa Rica</v>
      </c>
    </row>
    <row r="4074" spans="19:23">
      <c r="S4074" s="40" t="str">
        <v>Ecuador</v>
      </c>
      <c r="T4074" s="40" t="str">
        <f t="shared" si="262"/>
        <v>OK</v>
      </c>
      <c r="U4074" s="40" t="str">
        <f t="shared" si="263"/>
        <v>-</v>
      </c>
      <c r="V4074" s="40" t="str" cm="1">
        <f t="array" ref="V4074">_xlfn.IFS(
ISNUMBER(SEARCH("USA",S4074)),"United States",
ISNUMBER(SEARCH("Republic of Ireland",S4074)),"Ireland",
ISNUMBER(SEARCH("Republic of Korea",S4074)),"South Korea",
ISNUMBER(SEARCH("Cape Verde",S4074)),"Cabo Verde",
ISNUMBER(SEARCH("Czechia",S4074)),"Czech Republic",
ISNUMBER(SEARCH("Türkiye",S4074)),"Turkey",
ISNUMBER(SEARCH("Ivory Coast",S4074)),"Côte d'Ivoire",
ISNUMBER(SEARCH("Korea Republic",S4074)),"South Korea",
ISNUMBER(SEARCH("Germany FR",S4074)),"FR Germany",
ISNUMBER(SEARCH("West Germany",S4074)),"FR Germany",
ISNUMBER(SEARCH("Germany DR",S4074)),"DR Germany",
ISNUMBER(SEARCH("Korea DPR",S4074)),"North Korea",
ISNUMBER(SEARCH("China PR",S4074)),"China",
ISNUMBER(SEARCH("IR Iran",S4074)),"Iran",
ISNUMBER(SEARCH("Congo DR",S4074)),"Democratic Republic of the Congo",
ISNUMBER(SEARCH("DR Congo",S4074)),"Democratic Republic of the Congo",
ISNUMBER(SEARCH("German DR",S4074)),"DR Germany",
ISNUMBER(SEARCH("rn""&gt;United Arab Emirates",S4074)),"United Arab Emirates",
ISNUMBER(SEARCH("rn""&gt;Republic of Ireland",S4074)),"Ireland",
ISNUMBER(SEARCH("rn""&gt;Bosnia and Herzegovina",S4074)),"Bosnia and Herzegovina",
ISNUMBER(SEARCH("rn""&gt;Trinidad and Tobago",S4074)),"Trinidad and Tobago",
ISNUMBER(SEARCH("rn""&gt;Serbia and Montenegro",S4074)),"Serbia and Montenegro",
ISNUMBER(SEARCH(_xlfn.UNICHAR(65533),S4074)),"Côte d'Ivoire",
TRUE,""
)</f>
        <v/>
      </c>
      <c r="W4074" s="40" t="str">
        <f t="shared" si="264"/>
        <v>Ecuador</v>
      </c>
    </row>
    <row r="4075" spans="19:23">
      <c r="S4075" s="40" t="str">
        <v>Paraguay</v>
      </c>
      <c r="T4075" s="40" t="str">
        <f t="shared" si="262"/>
        <v>OK</v>
      </c>
      <c r="U4075" s="40" t="str">
        <f t="shared" si="263"/>
        <v>-</v>
      </c>
      <c r="V4075" s="40" t="str" cm="1">
        <f t="array" ref="V4075">_xlfn.IFS(
ISNUMBER(SEARCH("USA",S4075)),"United States",
ISNUMBER(SEARCH("Republic of Ireland",S4075)),"Ireland",
ISNUMBER(SEARCH("Republic of Korea",S4075)),"South Korea",
ISNUMBER(SEARCH("Cape Verde",S4075)),"Cabo Verde",
ISNUMBER(SEARCH("Czechia",S4075)),"Czech Republic",
ISNUMBER(SEARCH("Türkiye",S4075)),"Turkey",
ISNUMBER(SEARCH("Ivory Coast",S4075)),"Côte d'Ivoire",
ISNUMBER(SEARCH("Korea Republic",S4075)),"South Korea",
ISNUMBER(SEARCH("Germany FR",S4075)),"FR Germany",
ISNUMBER(SEARCH("West Germany",S4075)),"FR Germany",
ISNUMBER(SEARCH("Germany DR",S4075)),"DR Germany",
ISNUMBER(SEARCH("Korea DPR",S4075)),"North Korea",
ISNUMBER(SEARCH("China PR",S4075)),"China",
ISNUMBER(SEARCH("IR Iran",S4075)),"Iran",
ISNUMBER(SEARCH("Congo DR",S4075)),"Democratic Republic of the Congo",
ISNUMBER(SEARCH("DR Congo",S4075)),"Democratic Republic of the Congo",
ISNUMBER(SEARCH("German DR",S4075)),"DR Germany",
ISNUMBER(SEARCH("rn""&gt;United Arab Emirates",S4075)),"United Arab Emirates",
ISNUMBER(SEARCH("rn""&gt;Republic of Ireland",S4075)),"Ireland",
ISNUMBER(SEARCH("rn""&gt;Bosnia and Herzegovina",S4075)),"Bosnia and Herzegovina",
ISNUMBER(SEARCH("rn""&gt;Trinidad and Tobago",S4075)),"Trinidad and Tobago",
ISNUMBER(SEARCH("rn""&gt;Serbia and Montenegro",S4075)),"Serbia and Montenegro",
ISNUMBER(SEARCH(_xlfn.UNICHAR(65533),S4075)),"Côte d'Ivoire",
TRUE,""
)</f>
        <v/>
      </c>
      <c r="W4075" s="40" t="str">
        <f t="shared" si="264"/>
        <v>Paraguay</v>
      </c>
    </row>
    <row r="4076" spans="19:23">
      <c r="S4076" s="40" t="str">
        <v>Sweden</v>
      </c>
      <c r="T4076" s="40" t="str">
        <f t="shared" si="262"/>
        <v>OK</v>
      </c>
      <c r="U4076" s="40" t="str">
        <f t="shared" si="263"/>
        <v>-</v>
      </c>
      <c r="V4076" s="40" t="str" cm="1">
        <f t="array" ref="V4076">_xlfn.IFS(
ISNUMBER(SEARCH("USA",S4076)),"United States",
ISNUMBER(SEARCH("Republic of Ireland",S4076)),"Ireland",
ISNUMBER(SEARCH("Republic of Korea",S4076)),"South Korea",
ISNUMBER(SEARCH("Cape Verde",S4076)),"Cabo Verde",
ISNUMBER(SEARCH("Czechia",S4076)),"Czech Republic",
ISNUMBER(SEARCH("Türkiye",S4076)),"Turkey",
ISNUMBER(SEARCH("Ivory Coast",S4076)),"Côte d'Ivoire",
ISNUMBER(SEARCH("Korea Republic",S4076)),"South Korea",
ISNUMBER(SEARCH("Germany FR",S4076)),"FR Germany",
ISNUMBER(SEARCH("West Germany",S4076)),"FR Germany",
ISNUMBER(SEARCH("Germany DR",S4076)),"DR Germany",
ISNUMBER(SEARCH("Korea DPR",S4076)),"North Korea",
ISNUMBER(SEARCH("China PR",S4076)),"China",
ISNUMBER(SEARCH("IR Iran",S4076)),"Iran",
ISNUMBER(SEARCH("Congo DR",S4076)),"Democratic Republic of the Congo",
ISNUMBER(SEARCH("DR Congo",S4076)),"Democratic Republic of the Congo",
ISNUMBER(SEARCH("German DR",S4076)),"DR Germany",
ISNUMBER(SEARCH("rn""&gt;United Arab Emirates",S4076)),"United Arab Emirates",
ISNUMBER(SEARCH("rn""&gt;Republic of Ireland",S4076)),"Ireland",
ISNUMBER(SEARCH("rn""&gt;Bosnia and Herzegovina",S4076)),"Bosnia and Herzegovina",
ISNUMBER(SEARCH("rn""&gt;Trinidad and Tobago",S4076)),"Trinidad and Tobago",
ISNUMBER(SEARCH("rn""&gt;Serbia and Montenegro",S4076)),"Serbia and Montenegro",
ISNUMBER(SEARCH(_xlfn.UNICHAR(65533),S4076)),"Côte d'Ivoire",
TRUE,""
)</f>
        <v/>
      </c>
      <c r="W4076" s="40" t="str">
        <f t="shared" si="264"/>
        <v>Sweden</v>
      </c>
    </row>
    <row r="4077" spans="19:23">
      <c r="S4077" s="40" t="str">
        <v>C�te d'Ivoire</v>
      </c>
      <c r="T4077" s="40" t="str">
        <f t="shared" si="262"/>
        <v>ERREUR</v>
      </c>
      <c r="U4077" s="40" t="str">
        <f t="shared" si="263"/>
        <v>RENOMMER</v>
      </c>
      <c r="V4077" s="40" t="str" cm="1">
        <f t="array" ref="V4077">_xlfn.IFS(
ISNUMBER(SEARCH("USA",S4077)),"United States",
ISNUMBER(SEARCH("Republic of Ireland",S4077)),"Ireland",
ISNUMBER(SEARCH("Republic of Korea",S4077)),"South Korea",
ISNUMBER(SEARCH("Cape Verde",S4077)),"Cabo Verde",
ISNUMBER(SEARCH("Czechia",S4077)),"Czech Republic",
ISNUMBER(SEARCH("Türkiye",S4077)),"Turkey",
ISNUMBER(SEARCH("Ivory Coast",S4077)),"Côte d'Ivoire",
ISNUMBER(SEARCH("Korea Republic",S4077)),"South Korea",
ISNUMBER(SEARCH("Germany FR",S4077)),"FR Germany",
ISNUMBER(SEARCH("West Germany",S4077)),"FR Germany",
ISNUMBER(SEARCH("Germany DR",S4077)),"DR Germany",
ISNUMBER(SEARCH("Korea DPR",S4077)),"North Korea",
ISNUMBER(SEARCH("China PR",S4077)),"China",
ISNUMBER(SEARCH("IR Iran",S4077)),"Iran",
ISNUMBER(SEARCH("Congo DR",S4077)),"Democratic Republic of the Congo",
ISNUMBER(SEARCH("DR Congo",S4077)),"Democratic Republic of the Congo",
ISNUMBER(SEARCH("German DR",S4077)),"DR Germany",
ISNUMBER(SEARCH("rn""&gt;United Arab Emirates",S4077)),"United Arab Emirates",
ISNUMBER(SEARCH("rn""&gt;Republic of Ireland",S4077)),"Ireland",
ISNUMBER(SEARCH("rn""&gt;Bosnia and Herzegovina",S4077)),"Bosnia and Herzegovina",
ISNUMBER(SEARCH("rn""&gt;Trinidad and Tobago",S4077)),"Trinidad and Tobago",
ISNUMBER(SEARCH("rn""&gt;Serbia and Montenegro",S4077)),"Serbia and Montenegro",
ISNUMBER(SEARCH(_xlfn.UNICHAR(65533),S4077)),"Côte d'Ivoire",
TRUE,""
)</f>
        <v>Côte d'Ivoire</v>
      </c>
      <c r="W4077" s="40" t="str">
        <f t="shared" si="264"/>
        <v>Côte d'Ivoire</v>
      </c>
    </row>
    <row r="4078" spans="19:23">
      <c r="S4078" s="40" t="str">
        <v>Netherlands</v>
      </c>
      <c r="T4078" s="40" t="str">
        <f t="shared" si="262"/>
        <v>OK</v>
      </c>
      <c r="U4078" s="40" t="str">
        <f t="shared" si="263"/>
        <v>-</v>
      </c>
      <c r="V4078" s="40" t="str" cm="1">
        <f t="array" ref="V4078">_xlfn.IFS(
ISNUMBER(SEARCH("USA",S4078)),"United States",
ISNUMBER(SEARCH("Republic of Ireland",S4078)),"Ireland",
ISNUMBER(SEARCH("Republic of Korea",S4078)),"South Korea",
ISNUMBER(SEARCH("Cape Verde",S4078)),"Cabo Verde",
ISNUMBER(SEARCH("Czechia",S4078)),"Czech Republic",
ISNUMBER(SEARCH("Türkiye",S4078)),"Turkey",
ISNUMBER(SEARCH("Ivory Coast",S4078)),"Côte d'Ivoire",
ISNUMBER(SEARCH("Korea Republic",S4078)),"South Korea",
ISNUMBER(SEARCH("Germany FR",S4078)),"FR Germany",
ISNUMBER(SEARCH("West Germany",S4078)),"FR Germany",
ISNUMBER(SEARCH("Germany DR",S4078)),"DR Germany",
ISNUMBER(SEARCH("Korea DPR",S4078)),"North Korea",
ISNUMBER(SEARCH("China PR",S4078)),"China",
ISNUMBER(SEARCH("IR Iran",S4078)),"Iran",
ISNUMBER(SEARCH("Congo DR",S4078)),"Democratic Republic of the Congo",
ISNUMBER(SEARCH("DR Congo",S4078)),"Democratic Republic of the Congo",
ISNUMBER(SEARCH("German DR",S4078)),"DR Germany",
ISNUMBER(SEARCH("rn""&gt;United Arab Emirates",S4078)),"United Arab Emirates",
ISNUMBER(SEARCH("rn""&gt;Republic of Ireland",S4078)),"Ireland",
ISNUMBER(SEARCH("rn""&gt;Bosnia and Herzegovina",S4078)),"Bosnia and Herzegovina",
ISNUMBER(SEARCH("rn""&gt;Trinidad and Tobago",S4078)),"Trinidad and Tobago",
ISNUMBER(SEARCH("rn""&gt;Serbia and Montenegro",S4078)),"Serbia and Montenegro",
ISNUMBER(SEARCH(_xlfn.UNICHAR(65533),S4078)),"Côte d'Ivoire",
TRUE,""
)</f>
        <v/>
      </c>
      <c r="W4078" s="40" t="str">
        <f t="shared" si="264"/>
        <v>Netherlands</v>
      </c>
    </row>
    <row r="4079" spans="19:23">
      <c r="S4079" s="40" t="str">
        <v>Iran</v>
      </c>
      <c r="T4079" s="40" t="str">
        <f t="shared" si="262"/>
        <v>OK</v>
      </c>
      <c r="U4079" s="40" t="str">
        <f t="shared" si="263"/>
        <v>-</v>
      </c>
      <c r="V4079" s="40" t="str" cm="1">
        <f t="array" ref="V4079">_xlfn.IFS(
ISNUMBER(SEARCH("USA",S4079)),"United States",
ISNUMBER(SEARCH("Republic of Ireland",S4079)),"Ireland",
ISNUMBER(SEARCH("Republic of Korea",S4079)),"South Korea",
ISNUMBER(SEARCH("Cape Verde",S4079)),"Cabo Verde",
ISNUMBER(SEARCH("Czechia",S4079)),"Czech Republic",
ISNUMBER(SEARCH("Türkiye",S4079)),"Turkey",
ISNUMBER(SEARCH("Ivory Coast",S4079)),"Côte d'Ivoire",
ISNUMBER(SEARCH("Korea Republic",S4079)),"South Korea",
ISNUMBER(SEARCH("Germany FR",S4079)),"FR Germany",
ISNUMBER(SEARCH("West Germany",S4079)),"FR Germany",
ISNUMBER(SEARCH("Germany DR",S4079)),"DR Germany",
ISNUMBER(SEARCH("Korea DPR",S4079)),"North Korea",
ISNUMBER(SEARCH("China PR",S4079)),"China",
ISNUMBER(SEARCH("IR Iran",S4079)),"Iran",
ISNUMBER(SEARCH("Congo DR",S4079)),"Democratic Republic of the Congo",
ISNUMBER(SEARCH("DR Congo",S4079)),"Democratic Republic of the Congo",
ISNUMBER(SEARCH("German DR",S4079)),"DR Germany",
ISNUMBER(SEARCH("rn""&gt;United Arab Emirates",S4079)),"United Arab Emirates",
ISNUMBER(SEARCH("rn""&gt;Republic of Ireland",S4079)),"Ireland",
ISNUMBER(SEARCH("rn""&gt;Bosnia and Herzegovina",S4079)),"Bosnia and Herzegovina",
ISNUMBER(SEARCH("rn""&gt;Trinidad and Tobago",S4079)),"Trinidad and Tobago",
ISNUMBER(SEARCH("rn""&gt;Serbia and Montenegro",S4079)),"Serbia and Montenegro",
ISNUMBER(SEARCH(_xlfn.UNICHAR(65533),S4079)),"Côte d'Ivoire",
TRUE,""
)</f>
        <v/>
      </c>
      <c r="W4079" s="40" t="str">
        <f t="shared" si="264"/>
        <v>Iran</v>
      </c>
    </row>
    <row r="4080" spans="19:23">
      <c r="S4080" s="40" t="str">
        <v>Portugal</v>
      </c>
      <c r="T4080" s="40" t="str">
        <f t="shared" si="262"/>
        <v>OK</v>
      </c>
      <c r="U4080" s="40" t="str">
        <f t="shared" si="263"/>
        <v>-</v>
      </c>
      <c r="V4080" s="40" t="str" cm="1">
        <f t="array" ref="V4080">_xlfn.IFS(
ISNUMBER(SEARCH("USA",S4080)),"United States",
ISNUMBER(SEARCH("Republic of Ireland",S4080)),"Ireland",
ISNUMBER(SEARCH("Republic of Korea",S4080)),"South Korea",
ISNUMBER(SEARCH("Cape Verde",S4080)),"Cabo Verde",
ISNUMBER(SEARCH("Czechia",S4080)),"Czech Republic",
ISNUMBER(SEARCH("Türkiye",S4080)),"Turkey",
ISNUMBER(SEARCH("Ivory Coast",S4080)),"Côte d'Ivoire",
ISNUMBER(SEARCH("Korea Republic",S4080)),"South Korea",
ISNUMBER(SEARCH("Germany FR",S4080)),"FR Germany",
ISNUMBER(SEARCH("West Germany",S4080)),"FR Germany",
ISNUMBER(SEARCH("Germany DR",S4080)),"DR Germany",
ISNUMBER(SEARCH("Korea DPR",S4080)),"North Korea",
ISNUMBER(SEARCH("China PR",S4080)),"China",
ISNUMBER(SEARCH("IR Iran",S4080)),"Iran",
ISNUMBER(SEARCH("Congo DR",S4080)),"Democratic Republic of the Congo",
ISNUMBER(SEARCH("DR Congo",S4080)),"Democratic Republic of the Congo",
ISNUMBER(SEARCH("German DR",S4080)),"DR Germany",
ISNUMBER(SEARCH("rn""&gt;United Arab Emirates",S4080)),"United Arab Emirates",
ISNUMBER(SEARCH("rn""&gt;Republic of Ireland",S4080)),"Ireland",
ISNUMBER(SEARCH("rn""&gt;Bosnia and Herzegovina",S4080)),"Bosnia and Herzegovina",
ISNUMBER(SEARCH("rn""&gt;Trinidad and Tobago",S4080)),"Trinidad and Tobago",
ISNUMBER(SEARCH("rn""&gt;Serbia and Montenegro",S4080)),"Serbia and Montenegro",
ISNUMBER(SEARCH(_xlfn.UNICHAR(65533),S4080)),"Côte d'Ivoire",
TRUE,""
)</f>
        <v/>
      </c>
      <c r="W4080" s="40" t="str">
        <f t="shared" si="264"/>
        <v>Portugal</v>
      </c>
    </row>
    <row r="4081" spans="19:23">
      <c r="S4081" s="40" t="str">
        <v>Japan</v>
      </c>
      <c r="T4081" s="40" t="str">
        <f t="shared" si="262"/>
        <v>OK</v>
      </c>
      <c r="U4081" s="40" t="str">
        <f t="shared" si="263"/>
        <v>-</v>
      </c>
      <c r="V4081" s="40" t="str" cm="1">
        <f t="array" ref="V4081">_xlfn.IFS(
ISNUMBER(SEARCH("USA",S4081)),"United States",
ISNUMBER(SEARCH("Republic of Ireland",S4081)),"Ireland",
ISNUMBER(SEARCH("Republic of Korea",S4081)),"South Korea",
ISNUMBER(SEARCH("Cape Verde",S4081)),"Cabo Verde",
ISNUMBER(SEARCH("Czechia",S4081)),"Czech Republic",
ISNUMBER(SEARCH("Türkiye",S4081)),"Turkey",
ISNUMBER(SEARCH("Ivory Coast",S4081)),"Côte d'Ivoire",
ISNUMBER(SEARCH("Korea Republic",S4081)),"South Korea",
ISNUMBER(SEARCH("Germany FR",S4081)),"FR Germany",
ISNUMBER(SEARCH("West Germany",S4081)),"FR Germany",
ISNUMBER(SEARCH("Germany DR",S4081)),"DR Germany",
ISNUMBER(SEARCH("Korea DPR",S4081)),"North Korea",
ISNUMBER(SEARCH("China PR",S4081)),"China",
ISNUMBER(SEARCH("IR Iran",S4081)),"Iran",
ISNUMBER(SEARCH("Congo DR",S4081)),"Democratic Republic of the Congo",
ISNUMBER(SEARCH("DR Congo",S4081)),"Democratic Republic of the Congo",
ISNUMBER(SEARCH("German DR",S4081)),"DR Germany",
ISNUMBER(SEARCH("rn""&gt;United Arab Emirates",S4081)),"United Arab Emirates",
ISNUMBER(SEARCH("rn""&gt;Republic of Ireland",S4081)),"Ireland",
ISNUMBER(SEARCH("rn""&gt;Bosnia and Herzegovina",S4081)),"Bosnia and Herzegovina",
ISNUMBER(SEARCH("rn""&gt;Trinidad and Tobago",S4081)),"Trinidad and Tobago",
ISNUMBER(SEARCH("rn""&gt;Serbia and Montenegro",S4081)),"Serbia and Montenegro",
ISNUMBER(SEARCH(_xlfn.UNICHAR(65533),S4081)),"Côte d'Ivoire",
TRUE,""
)</f>
        <v/>
      </c>
      <c r="W4081" s="40" t="str">
        <f t="shared" si="264"/>
        <v>Japan</v>
      </c>
    </row>
    <row r="4082" spans="19:23">
      <c r="S4082" s="40" t="str">
        <v>Czech Republic</v>
      </c>
      <c r="T4082" s="40" t="str">
        <f t="shared" si="262"/>
        <v>OK</v>
      </c>
      <c r="U4082" s="40" t="str">
        <f t="shared" si="263"/>
        <v>-</v>
      </c>
      <c r="V4082" s="40" t="str" cm="1">
        <f t="array" ref="V4082">_xlfn.IFS(
ISNUMBER(SEARCH("USA",S4082)),"United States",
ISNUMBER(SEARCH("Republic of Ireland",S4082)),"Ireland",
ISNUMBER(SEARCH("Republic of Korea",S4082)),"South Korea",
ISNUMBER(SEARCH("Cape Verde",S4082)),"Cabo Verde",
ISNUMBER(SEARCH("Czechia",S4082)),"Czech Republic",
ISNUMBER(SEARCH("Türkiye",S4082)),"Turkey",
ISNUMBER(SEARCH("Ivory Coast",S4082)),"Côte d'Ivoire",
ISNUMBER(SEARCH("Korea Republic",S4082)),"South Korea",
ISNUMBER(SEARCH("Germany FR",S4082)),"FR Germany",
ISNUMBER(SEARCH("West Germany",S4082)),"FR Germany",
ISNUMBER(SEARCH("Germany DR",S4082)),"DR Germany",
ISNUMBER(SEARCH("Korea DPR",S4082)),"North Korea",
ISNUMBER(SEARCH("China PR",S4082)),"China",
ISNUMBER(SEARCH("IR Iran",S4082)),"Iran",
ISNUMBER(SEARCH("Congo DR",S4082)),"Democratic Republic of the Congo",
ISNUMBER(SEARCH("DR Congo",S4082)),"Democratic Republic of the Congo",
ISNUMBER(SEARCH("German DR",S4082)),"DR Germany",
ISNUMBER(SEARCH("rn""&gt;United Arab Emirates",S4082)),"United Arab Emirates",
ISNUMBER(SEARCH("rn""&gt;Republic of Ireland",S4082)),"Ireland",
ISNUMBER(SEARCH("rn""&gt;Bosnia and Herzegovina",S4082)),"Bosnia and Herzegovina",
ISNUMBER(SEARCH("rn""&gt;Trinidad and Tobago",S4082)),"Trinidad and Tobago",
ISNUMBER(SEARCH("rn""&gt;Serbia and Montenegro",S4082)),"Serbia and Montenegro",
ISNUMBER(SEARCH(_xlfn.UNICHAR(65533),S4082)),"Côte d'Ivoire",
TRUE,""
)</f>
        <v/>
      </c>
      <c r="W4082" s="40" t="str">
        <f t="shared" si="264"/>
        <v>Czech Republic</v>
      </c>
    </row>
    <row r="4083" spans="19:23">
      <c r="S4083" s="40" t="str">
        <v>Ghana</v>
      </c>
      <c r="T4083" s="40" t="str">
        <f t="shared" si="262"/>
        <v>OK</v>
      </c>
      <c r="U4083" s="40" t="str">
        <f t="shared" si="263"/>
        <v>-</v>
      </c>
      <c r="V4083" s="40" t="str" cm="1">
        <f t="array" ref="V4083">_xlfn.IFS(
ISNUMBER(SEARCH("USA",S4083)),"United States",
ISNUMBER(SEARCH("Republic of Ireland",S4083)),"Ireland",
ISNUMBER(SEARCH("Republic of Korea",S4083)),"South Korea",
ISNUMBER(SEARCH("Cape Verde",S4083)),"Cabo Verde",
ISNUMBER(SEARCH("Czechia",S4083)),"Czech Republic",
ISNUMBER(SEARCH("Türkiye",S4083)),"Turkey",
ISNUMBER(SEARCH("Ivory Coast",S4083)),"Côte d'Ivoire",
ISNUMBER(SEARCH("Korea Republic",S4083)),"South Korea",
ISNUMBER(SEARCH("Germany FR",S4083)),"FR Germany",
ISNUMBER(SEARCH("West Germany",S4083)),"FR Germany",
ISNUMBER(SEARCH("Germany DR",S4083)),"DR Germany",
ISNUMBER(SEARCH("Korea DPR",S4083)),"North Korea",
ISNUMBER(SEARCH("China PR",S4083)),"China",
ISNUMBER(SEARCH("IR Iran",S4083)),"Iran",
ISNUMBER(SEARCH("Congo DR",S4083)),"Democratic Republic of the Congo",
ISNUMBER(SEARCH("DR Congo",S4083)),"Democratic Republic of the Congo",
ISNUMBER(SEARCH("German DR",S4083)),"DR Germany",
ISNUMBER(SEARCH("rn""&gt;United Arab Emirates",S4083)),"United Arab Emirates",
ISNUMBER(SEARCH("rn""&gt;Republic of Ireland",S4083)),"Ireland",
ISNUMBER(SEARCH("rn""&gt;Bosnia and Herzegovina",S4083)),"Bosnia and Herzegovina",
ISNUMBER(SEARCH("rn""&gt;Trinidad and Tobago",S4083)),"Trinidad and Tobago",
ISNUMBER(SEARCH("rn""&gt;Serbia and Montenegro",S4083)),"Serbia and Montenegro",
ISNUMBER(SEARCH(_xlfn.UNICHAR(65533),S4083)),"Côte d'Ivoire",
TRUE,""
)</f>
        <v/>
      </c>
      <c r="W4083" s="40" t="str">
        <f t="shared" si="264"/>
        <v>Ghana</v>
      </c>
    </row>
    <row r="4084" spans="19:23">
      <c r="S4084" s="40" t="str">
        <v>Togo</v>
      </c>
      <c r="T4084" s="40" t="str">
        <f t="shared" si="262"/>
        <v>OK</v>
      </c>
      <c r="U4084" s="40" t="str">
        <f t="shared" si="263"/>
        <v>-</v>
      </c>
      <c r="V4084" s="40" t="str" cm="1">
        <f t="array" ref="V4084">_xlfn.IFS(
ISNUMBER(SEARCH("USA",S4084)),"United States",
ISNUMBER(SEARCH("Republic of Ireland",S4084)),"Ireland",
ISNUMBER(SEARCH("Republic of Korea",S4084)),"South Korea",
ISNUMBER(SEARCH("Cape Verde",S4084)),"Cabo Verde",
ISNUMBER(SEARCH("Czechia",S4084)),"Czech Republic",
ISNUMBER(SEARCH("Türkiye",S4084)),"Turkey",
ISNUMBER(SEARCH("Ivory Coast",S4084)),"Côte d'Ivoire",
ISNUMBER(SEARCH("Korea Republic",S4084)),"South Korea",
ISNUMBER(SEARCH("Germany FR",S4084)),"FR Germany",
ISNUMBER(SEARCH("West Germany",S4084)),"FR Germany",
ISNUMBER(SEARCH("Germany DR",S4084)),"DR Germany",
ISNUMBER(SEARCH("Korea DPR",S4084)),"North Korea",
ISNUMBER(SEARCH("China PR",S4084)),"China",
ISNUMBER(SEARCH("IR Iran",S4084)),"Iran",
ISNUMBER(SEARCH("Congo DR",S4084)),"Democratic Republic of the Congo",
ISNUMBER(SEARCH("DR Congo",S4084)),"Democratic Republic of the Congo",
ISNUMBER(SEARCH("German DR",S4084)),"DR Germany",
ISNUMBER(SEARCH("rn""&gt;United Arab Emirates",S4084)),"United Arab Emirates",
ISNUMBER(SEARCH("rn""&gt;Republic of Ireland",S4084)),"Ireland",
ISNUMBER(SEARCH("rn""&gt;Bosnia and Herzegovina",S4084)),"Bosnia and Herzegovina",
ISNUMBER(SEARCH("rn""&gt;Trinidad and Tobago",S4084)),"Trinidad and Tobago",
ISNUMBER(SEARCH("rn""&gt;Serbia and Montenegro",S4084)),"Serbia and Montenegro",
ISNUMBER(SEARCH(_xlfn.UNICHAR(65533),S4084)),"Côte d'Ivoire",
TRUE,""
)</f>
        <v/>
      </c>
      <c r="W4084" s="40" t="str">
        <f t="shared" si="264"/>
        <v>Togo</v>
      </c>
    </row>
    <row r="4085" spans="19:23">
      <c r="S4085" s="40" t="str">
        <v>Switzerland</v>
      </c>
      <c r="T4085" s="40" t="str">
        <f t="shared" si="262"/>
        <v>OK</v>
      </c>
      <c r="U4085" s="40" t="str">
        <f t="shared" si="263"/>
        <v>-</v>
      </c>
      <c r="V4085" s="40" t="str" cm="1">
        <f t="array" ref="V4085">_xlfn.IFS(
ISNUMBER(SEARCH("USA",S4085)),"United States",
ISNUMBER(SEARCH("Republic of Ireland",S4085)),"Ireland",
ISNUMBER(SEARCH("Republic of Korea",S4085)),"South Korea",
ISNUMBER(SEARCH("Cape Verde",S4085)),"Cabo Verde",
ISNUMBER(SEARCH("Czechia",S4085)),"Czech Republic",
ISNUMBER(SEARCH("Türkiye",S4085)),"Turkey",
ISNUMBER(SEARCH("Ivory Coast",S4085)),"Côte d'Ivoire",
ISNUMBER(SEARCH("Korea Republic",S4085)),"South Korea",
ISNUMBER(SEARCH("Germany FR",S4085)),"FR Germany",
ISNUMBER(SEARCH("West Germany",S4085)),"FR Germany",
ISNUMBER(SEARCH("Germany DR",S4085)),"DR Germany",
ISNUMBER(SEARCH("Korea DPR",S4085)),"North Korea",
ISNUMBER(SEARCH("China PR",S4085)),"China",
ISNUMBER(SEARCH("IR Iran",S4085)),"Iran",
ISNUMBER(SEARCH("Congo DR",S4085)),"Democratic Republic of the Congo",
ISNUMBER(SEARCH("DR Congo",S4085)),"Democratic Republic of the Congo",
ISNUMBER(SEARCH("German DR",S4085)),"DR Germany",
ISNUMBER(SEARCH("rn""&gt;United Arab Emirates",S4085)),"United Arab Emirates",
ISNUMBER(SEARCH("rn""&gt;Republic of Ireland",S4085)),"Ireland",
ISNUMBER(SEARCH("rn""&gt;Bosnia and Herzegovina",S4085)),"Bosnia and Herzegovina",
ISNUMBER(SEARCH("rn""&gt;Trinidad and Tobago",S4085)),"Trinidad and Tobago",
ISNUMBER(SEARCH("rn""&gt;Serbia and Montenegro",S4085)),"Serbia and Montenegro",
ISNUMBER(SEARCH(_xlfn.UNICHAR(65533),S4085)),"Côte d'Ivoire",
TRUE,""
)</f>
        <v/>
      </c>
      <c r="W4085" s="40" t="str">
        <f t="shared" si="264"/>
        <v>Switzerland</v>
      </c>
    </row>
    <row r="4086" spans="19:23">
      <c r="S4086" s="40" t="str">
        <v>Croatia</v>
      </c>
      <c r="T4086" s="40" t="str">
        <f t="shared" si="262"/>
        <v>OK</v>
      </c>
      <c r="U4086" s="40" t="str">
        <f t="shared" si="263"/>
        <v>-</v>
      </c>
      <c r="V4086" s="40" t="str" cm="1">
        <f t="array" ref="V4086">_xlfn.IFS(
ISNUMBER(SEARCH("USA",S4086)),"United States",
ISNUMBER(SEARCH("Republic of Ireland",S4086)),"Ireland",
ISNUMBER(SEARCH("Republic of Korea",S4086)),"South Korea",
ISNUMBER(SEARCH("Cape Verde",S4086)),"Cabo Verde",
ISNUMBER(SEARCH("Czechia",S4086)),"Czech Republic",
ISNUMBER(SEARCH("Türkiye",S4086)),"Turkey",
ISNUMBER(SEARCH("Ivory Coast",S4086)),"Côte d'Ivoire",
ISNUMBER(SEARCH("Korea Republic",S4086)),"South Korea",
ISNUMBER(SEARCH("Germany FR",S4086)),"FR Germany",
ISNUMBER(SEARCH("West Germany",S4086)),"FR Germany",
ISNUMBER(SEARCH("Germany DR",S4086)),"DR Germany",
ISNUMBER(SEARCH("Korea DPR",S4086)),"North Korea",
ISNUMBER(SEARCH("China PR",S4086)),"China",
ISNUMBER(SEARCH("IR Iran",S4086)),"Iran",
ISNUMBER(SEARCH("Congo DR",S4086)),"Democratic Republic of the Congo",
ISNUMBER(SEARCH("DR Congo",S4086)),"Democratic Republic of the Congo",
ISNUMBER(SEARCH("German DR",S4086)),"DR Germany",
ISNUMBER(SEARCH("rn""&gt;United Arab Emirates",S4086)),"United Arab Emirates",
ISNUMBER(SEARCH("rn""&gt;Republic of Ireland",S4086)),"Ireland",
ISNUMBER(SEARCH("rn""&gt;Bosnia and Herzegovina",S4086)),"Bosnia and Herzegovina",
ISNUMBER(SEARCH("rn""&gt;Trinidad and Tobago",S4086)),"Trinidad and Tobago",
ISNUMBER(SEARCH("rn""&gt;Serbia and Montenegro",S4086)),"Serbia and Montenegro",
ISNUMBER(SEARCH(_xlfn.UNICHAR(65533),S4086)),"Côte d'Ivoire",
TRUE,""
)</f>
        <v/>
      </c>
      <c r="W4086" s="40" t="str">
        <f t="shared" si="264"/>
        <v>Croatia</v>
      </c>
    </row>
    <row r="4087" spans="19:23">
      <c r="S4087" s="40" t="str">
        <v>Ukraine</v>
      </c>
      <c r="T4087" s="40" t="str">
        <f t="shared" si="262"/>
        <v>OK</v>
      </c>
      <c r="U4087" s="40" t="str">
        <f t="shared" si="263"/>
        <v>-</v>
      </c>
      <c r="V4087" s="40" t="str" cm="1">
        <f t="array" ref="V4087">_xlfn.IFS(
ISNUMBER(SEARCH("USA",S4087)),"United States",
ISNUMBER(SEARCH("Republic of Ireland",S4087)),"Ireland",
ISNUMBER(SEARCH("Republic of Korea",S4087)),"South Korea",
ISNUMBER(SEARCH("Cape Verde",S4087)),"Cabo Verde",
ISNUMBER(SEARCH("Czechia",S4087)),"Czech Republic",
ISNUMBER(SEARCH("Türkiye",S4087)),"Turkey",
ISNUMBER(SEARCH("Ivory Coast",S4087)),"Côte d'Ivoire",
ISNUMBER(SEARCH("Korea Republic",S4087)),"South Korea",
ISNUMBER(SEARCH("Germany FR",S4087)),"FR Germany",
ISNUMBER(SEARCH("West Germany",S4087)),"FR Germany",
ISNUMBER(SEARCH("Germany DR",S4087)),"DR Germany",
ISNUMBER(SEARCH("Korea DPR",S4087)),"North Korea",
ISNUMBER(SEARCH("China PR",S4087)),"China",
ISNUMBER(SEARCH("IR Iran",S4087)),"Iran",
ISNUMBER(SEARCH("Congo DR",S4087)),"Democratic Republic of the Congo",
ISNUMBER(SEARCH("DR Congo",S4087)),"Democratic Republic of the Congo",
ISNUMBER(SEARCH("German DR",S4087)),"DR Germany",
ISNUMBER(SEARCH("rn""&gt;United Arab Emirates",S4087)),"United Arab Emirates",
ISNUMBER(SEARCH("rn""&gt;Republic of Ireland",S4087)),"Ireland",
ISNUMBER(SEARCH("rn""&gt;Bosnia and Herzegovina",S4087)),"Bosnia and Herzegovina",
ISNUMBER(SEARCH("rn""&gt;Trinidad and Tobago",S4087)),"Trinidad and Tobago",
ISNUMBER(SEARCH("rn""&gt;Serbia and Montenegro",S4087)),"Serbia and Montenegro",
ISNUMBER(SEARCH(_xlfn.UNICHAR(65533),S4087)),"Côte d'Ivoire",
TRUE,""
)</f>
        <v/>
      </c>
      <c r="W4087" s="40" t="str">
        <f t="shared" si="264"/>
        <v>Ukraine</v>
      </c>
    </row>
    <row r="4088" spans="19:23">
      <c r="S4088" s="40" t="str">
        <v>Saudi Arabia</v>
      </c>
      <c r="T4088" s="40" t="str">
        <f t="shared" si="262"/>
        <v>OK</v>
      </c>
      <c r="U4088" s="40" t="str">
        <f t="shared" si="263"/>
        <v>-</v>
      </c>
      <c r="V4088" s="40" t="str" cm="1">
        <f t="array" ref="V4088">_xlfn.IFS(
ISNUMBER(SEARCH("USA",S4088)),"United States",
ISNUMBER(SEARCH("Republic of Ireland",S4088)),"Ireland",
ISNUMBER(SEARCH("Republic of Korea",S4088)),"South Korea",
ISNUMBER(SEARCH("Cape Verde",S4088)),"Cabo Verde",
ISNUMBER(SEARCH("Czechia",S4088)),"Czech Republic",
ISNUMBER(SEARCH("Türkiye",S4088)),"Turkey",
ISNUMBER(SEARCH("Ivory Coast",S4088)),"Côte d'Ivoire",
ISNUMBER(SEARCH("Korea Republic",S4088)),"South Korea",
ISNUMBER(SEARCH("Germany FR",S4088)),"FR Germany",
ISNUMBER(SEARCH("West Germany",S4088)),"FR Germany",
ISNUMBER(SEARCH("Germany DR",S4088)),"DR Germany",
ISNUMBER(SEARCH("Korea DPR",S4088)),"North Korea",
ISNUMBER(SEARCH("China PR",S4088)),"China",
ISNUMBER(SEARCH("IR Iran",S4088)),"Iran",
ISNUMBER(SEARCH("Congo DR",S4088)),"Democratic Republic of the Congo",
ISNUMBER(SEARCH("DR Congo",S4088)),"Democratic Republic of the Congo",
ISNUMBER(SEARCH("German DR",S4088)),"DR Germany",
ISNUMBER(SEARCH("rn""&gt;United Arab Emirates",S4088)),"United Arab Emirates",
ISNUMBER(SEARCH("rn""&gt;Republic of Ireland",S4088)),"Ireland",
ISNUMBER(SEARCH("rn""&gt;Bosnia and Herzegovina",S4088)),"Bosnia and Herzegovina",
ISNUMBER(SEARCH("rn""&gt;Trinidad and Tobago",S4088)),"Trinidad and Tobago",
ISNUMBER(SEARCH("rn""&gt;Serbia and Montenegro",S4088)),"Serbia and Montenegro",
ISNUMBER(SEARCH(_xlfn.UNICHAR(65533),S4088)),"Côte d'Ivoire",
TRUE,""
)</f>
        <v/>
      </c>
      <c r="W4088" s="40" t="str">
        <f t="shared" si="264"/>
        <v>Saudi Arabia</v>
      </c>
    </row>
    <row r="4089" spans="19:23">
      <c r="S4089" s="40" t="str">
        <v>Poland</v>
      </c>
      <c r="T4089" s="40" t="str">
        <f t="shared" si="262"/>
        <v>OK</v>
      </c>
      <c r="U4089" s="40" t="str">
        <f t="shared" si="263"/>
        <v>-</v>
      </c>
      <c r="V4089" s="40" t="str" cm="1">
        <f t="array" ref="V4089">_xlfn.IFS(
ISNUMBER(SEARCH("USA",S4089)),"United States",
ISNUMBER(SEARCH("Republic of Ireland",S4089)),"Ireland",
ISNUMBER(SEARCH("Republic of Korea",S4089)),"South Korea",
ISNUMBER(SEARCH("Cape Verde",S4089)),"Cabo Verde",
ISNUMBER(SEARCH("Czechia",S4089)),"Czech Republic",
ISNUMBER(SEARCH("Türkiye",S4089)),"Turkey",
ISNUMBER(SEARCH("Ivory Coast",S4089)),"Côte d'Ivoire",
ISNUMBER(SEARCH("Korea Republic",S4089)),"South Korea",
ISNUMBER(SEARCH("Germany FR",S4089)),"FR Germany",
ISNUMBER(SEARCH("West Germany",S4089)),"FR Germany",
ISNUMBER(SEARCH("Germany DR",S4089)),"DR Germany",
ISNUMBER(SEARCH("Korea DPR",S4089)),"North Korea",
ISNUMBER(SEARCH("China PR",S4089)),"China",
ISNUMBER(SEARCH("IR Iran",S4089)),"Iran",
ISNUMBER(SEARCH("Congo DR",S4089)),"Democratic Republic of the Congo",
ISNUMBER(SEARCH("DR Congo",S4089)),"Democratic Republic of the Congo",
ISNUMBER(SEARCH("German DR",S4089)),"DR Germany",
ISNUMBER(SEARCH("rn""&gt;United Arab Emirates",S4089)),"United Arab Emirates",
ISNUMBER(SEARCH("rn""&gt;Republic of Ireland",S4089)),"Ireland",
ISNUMBER(SEARCH("rn""&gt;Bosnia and Herzegovina",S4089)),"Bosnia and Herzegovina",
ISNUMBER(SEARCH("rn""&gt;Trinidad and Tobago",S4089)),"Trinidad and Tobago",
ISNUMBER(SEARCH("rn""&gt;Serbia and Montenegro",S4089)),"Serbia and Montenegro",
ISNUMBER(SEARCH(_xlfn.UNICHAR(65533),S4089)),"Côte d'Ivoire",
TRUE,""
)</f>
        <v/>
      </c>
      <c r="W4089" s="40" t="str">
        <f t="shared" si="264"/>
        <v>Poland</v>
      </c>
    </row>
    <row r="4090" spans="19:23">
      <c r="S4090" s="40" t="str">
        <v>Costa Rica</v>
      </c>
      <c r="T4090" s="40" t="str">
        <f t="shared" si="262"/>
        <v>OK</v>
      </c>
      <c r="U4090" s="40" t="str">
        <f t="shared" si="263"/>
        <v>-</v>
      </c>
      <c r="V4090" s="40" t="str" cm="1">
        <f t="array" ref="V4090">_xlfn.IFS(
ISNUMBER(SEARCH("USA",S4090)),"United States",
ISNUMBER(SEARCH("Republic of Ireland",S4090)),"Ireland",
ISNUMBER(SEARCH("Republic of Korea",S4090)),"South Korea",
ISNUMBER(SEARCH("Cape Verde",S4090)),"Cabo Verde",
ISNUMBER(SEARCH("Czechia",S4090)),"Czech Republic",
ISNUMBER(SEARCH("Türkiye",S4090)),"Turkey",
ISNUMBER(SEARCH("Ivory Coast",S4090)),"Côte d'Ivoire",
ISNUMBER(SEARCH("Korea Republic",S4090)),"South Korea",
ISNUMBER(SEARCH("Germany FR",S4090)),"FR Germany",
ISNUMBER(SEARCH("West Germany",S4090)),"FR Germany",
ISNUMBER(SEARCH("Germany DR",S4090)),"DR Germany",
ISNUMBER(SEARCH("Korea DPR",S4090)),"North Korea",
ISNUMBER(SEARCH("China PR",S4090)),"China",
ISNUMBER(SEARCH("IR Iran",S4090)),"Iran",
ISNUMBER(SEARCH("Congo DR",S4090)),"Democratic Republic of the Congo",
ISNUMBER(SEARCH("DR Congo",S4090)),"Democratic Republic of the Congo",
ISNUMBER(SEARCH("German DR",S4090)),"DR Germany",
ISNUMBER(SEARCH("rn""&gt;United Arab Emirates",S4090)),"United Arab Emirates",
ISNUMBER(SEARCH("rn""&gt;Republic of Ireland",S4090)),"Ireland",
ISNUMBER(SEARCH("rn""&gt;Bosnia and Herzegovina",S4090)),"Bosnia and Herzegovina",
ISNUMBER(SEARCH("rn""&gt;Trinidad and Tobago",S4090)),"Trinidad and Tobago",
ISNUMBER(SEARCH("rn""&gt;Serbia and Montenegro",S4090)),"Serbia and Montenegro",
ISNUMBER(SEARCH(_xlfn.UNICHAR(65533),S4090)),"Côte d'Ivoire",
TRUE,""
)</f>
        <v/>
      </c>
      <c r="W4090" s="40" t="str">
        <f t="shared" si="264"/>
        <v>Costa Rica</v>
      </c>
    </row>
    <row r="4091" spans="19:23">
      <c r="S4091" s="40" t="str">
        <v>rn"&gt;Trinidad and Tobago</v>
      </c>
      <c r="T4091" s="40" t="str">
        <f t="shared" si="262"/>
        <v>ERREUR</v>
      </c>
      <c r="U4091" s="40" t="str">
        <f t="shared" si="263"/>
        <v>RENOMMER</v>
      </c>
      <c r="V4091" s="40" t="str" cm="1">
        <f t="array" ref="V4091">_xlfn.IFS(
ISNUMBER(SEARCH("USA",S4091)),"United States",
ISNUMBER(SEARCH("Republic of Ireland",S4091)),"Ireland",
ISNUMBER(SEARCH("Republic of Korea",S4091)),"South Korea",
ISNUMBER(SEARCH("Cape Verde",S4091)),"Cabo Verde",
ISNUMBER(SEARCH("Czechia",S4091)),"Czech Republic",
ISNUMBER(SEARCH("Türkiye",S4091)),"Turkey",
ISNUMBER(SEARCH("Ivory Coast",S4091)),"Côte d'Ivoire",
ISNUMBER(SEARCH("Korea Republic",S4091)),"South Korea",
ISNUMBER(SEARCH("Germany FR",S4091)),"FR Germany",
ISNUMBER(SEARCH("West Germany",S4091)),"FR Germany",
ISNUMBER(SEARCH("Germany DR",S4091)),"DR Germany",
ISNUMBER(SEARCH("Korea DPR",S4091)),"North Korea",
ISNUMBER(SEARCH("China PR",S4091)),"China",
ISNUMBER(SEARCH("IR Iran",S4091)),"Iran",
ISNUMBER(SEARCH("Congo DR",S4091)),"Democratic Republic of the Congo",
ISNUMBER(SEARCH("DR Congo",S4091)),"Democratic Republic of the Congo",
ISNUMBER(SEARCH("German DR",S4091)),"DR Germany",
ISNUMBER(SEARCH("rn""&gt;United Arab Emirates",S4091)),"United Arab Emirates",
ISNUMBER(SEARCH("rn""&gt;Republic of Ireland",S4091)),"Ireland",
ISNUMBER(SEARCH("rn""&gt;Bosnia and Herzegovina",S4091)),"Bosnia and Herzegovina",
ISNUMBER(SEARCH("rn""&gt;Trinidad and Tobago",S4091)),"Trinidad and Tobago",
ISNUMBER(SEARCH("rn""&gt;Serbia and Montenegro",S4091)),"Serbia and Montenegro",
ISNUMBER(SEARCH(_xlfn.UNICHAR(65533),S4091)),"Côte d'Ivoire",
TRUE,""
)</f>
        <v>Trinidad and Tobago</v>
      </c>
      <c r="W4091" s="40" t="str">
        <f t="shared" si="264"/>
        <v>Trinidad and Tobago</v>
      </c>
    </row>
    <row r="4092" spans="19:23">
      <c r="S4092" s="40" t="str">
        <v>Paraguay</v>
      </c>
      <c r="T4092" s="40" t="str">
        <f t="shared" si="262"/>
        <v>OK</v>
      </c>
      <c r="U4092" s="40" t="str">
        <f t="shared" si="263"/>
        <v>-</v>
      </c>
      <c r="V4092" s="40" t="str" cm="1">
        <f t="array" ref="V4092">_xlfn.IFS(
ISNUMBER(SEARCH("USA",S4092)),"United States",
ISNUMBER(SEARCH("Republic of Ireland",S4092)),"Ireland",
ISNUMBER(SEARCH("Republic of Korea",S4092)),"South Korea",
ISNUMBER(SEARCH("Cape Verde",S4092)),"Cabo Verde",
ISNUMBER(SEARCH("Czechia",S4092)),"Czech Republic",
ISNUMBER(SEARCH("Türkiye",S4092)),"Turkey",
ISNUMBER(SEARCH("Ivory Coast",S4092)),"Côte d'Ivoire",
ISNUMBER(SEARCH("Korea Republic",S4092)),"South Korea",
ISNUMBER(SEARCH("Germany FR",S4092)),"FR Germany",
ISNUMBER(SEARCH("West Germany",S4092)),"FR Germany",
ISNUMBER(SEARCH("Germany DR",S4092)),"DR Germany",
ISNUMBER(SEARCH("Korea DPR",S4092)),"North Korea",
ISNUMBER(SEARCH("China PR",S4092)),"China",
ISNUMBER(SEARCH("IR Iran",S4092)),"Iran",
ISNUMBER(SEARCH("Congo DR",S4092)),"Democratic Republic of the Congo",
ISNUMBER(SEARCH("DR Congo",S4092)),"Democratic Republic of the Congo",
ISNUMBER(SEARCH("German DR",S4092)),"DR Germany",
ISNUMBER(SEARCH("rn""&gt;United Arab Emirates",S4092)),"United Arab Emirates",
ISNUMBER(SEARCH("rn""&gt;Republic of Ireland",S4092)),"Ireland",
ISNUMBER(SEARCH("rn""&gt;Bosnia and Herzegovina",S4092)),"Bosnia and Herzegovina",
ISNUMBER(SEARCH("rn""&gt;Trinidad and Tobago",S4092)),"Trinidad and Tobago",
ISNUMBER(SEARCH("rn""&gt;Serbia and Montenegro",S4092)),"Serbia and Montenegro",
ISNUMBER(SEARCH(_xlfn.UNICHAR(65533),S4092)),"Côte d'Ivoire",
TRUE,""
)</f>
        <v/>
      </c>
      <c r="W4092" s="40" t="str">
        <f t="shared" si="264"/>
        <v>Paraguay</v>
      </c>
    </row>
    <row r="4093" spans="19:23">
      <c r="S4093" s="40" t="str">
        <v>rn"&gt;Serbia and Montenegro</v>
      </c>
      <c r="T4093" s="40" t="str">
        <f t="shared" si="262"/>
        <v>ERREUR</v>
      </c>
      <c r="U4093" s="40" t="str">
        <f t="shared" si="263"/>
        <v>RENOMMER</v>
      </c>
      <c r="V4093" s="40" t="str" cm="1">
        <f t="array" ref="V4093">_xlfn.IFS(
ISNUMBER(SEARCH("USA",S4093)),"United States",
ISNUMBER(SEARCH("Republic of Ireland",S4093)),"Ireland",
ISNUMBER(SEARCH("Republic of Korea",S4093)),"South Korea",
ISNUMBER(SEARCH("Cape Verde",S4093)),"Cabo Verde",
ISNUMBER(SEARCH("Czechia",S4093)),"Czech Republic",
ISNUMBER(SEARCH("Türkiye",S4093)),"Turkey",
ISNUMBER(SEARCH("Ivory Coast",S4093)),"Côte d'Ivoire",
ISNUMBER(SEARCH("Korea Republic",S4093)),"South Korea",
ISNUMBER(SEARCH("Germany FR",S4093)),"FR Germany",
ISNUMBER(SEARCH("West Germany",S4093)),"FR Germany",
ISNUMBER(SEARCH("Germany DR",S4093)),"DR Germany",
ISNUMBER(SEARCH("Korea DPR",S4093)),"North Korea",
ISNUMBER(SEARCH("China PR",S4093)),"China",
ISNUMBER(SEARCH("IR Iran",S4093)),"Iran",
ISNUMBER(SEARCH("Congo DR",S4093)),"Democratic Republic of the Congo",
ISNUMBER(SEARCH("DR Congo",S4093)),"Democratic Republic of the Congo",
ISNUMBER(SEARCH("German DR",S4093)),"DR Germany",
ISNUMBER(SEARCH("rn""&gt;United Arab Emirates",S4093)),"United Arab Emirates",
ISNUMBER(SEARCH("rn""&gt;Republic of Ireland",S4093)),"Ireland",
ISNUMBER(SEARCH("rn""&gt;Bosnia and Herzegovina",S4093)),"Bosnia and Herzegovina",
ISNUMBER(SEARCH("rn""&gt;Trinidad and Tobago",S4093)),"Trinidad and Tobago",
ISNUMBER(SEARCH("rn""&gt;Serbia and Montenegro",S4093)),"Serbia and Montenegro",
ISNUMBER(SEARCH(_xlfn.UNICHAR(65533),S4093)),"Côte d'Ivoire",
TRUE,""
)</f>
        <v>Serbia and Montenegro</v>
      </c>
      <c r="W4093" s="40" t="str">
        <f t="shared" si="264"/>
        <v>Serbia and Montenegro</v>
      </c>
    </row>
    <row r="4094" spans="19:23">
      <c r="S4094" s="40" t="str">
        <v>C�te d'Ivoire</v>
      </c>
      <c r="T4094" s="40" t="str">
        <f t="shared" si="262"/>
        <v>ERREUR</v>
      </c>
      <c r="U4094" s="40" t="str">
        <f t="shared" si="263"/>
        <v>RENOMMER</v>
      </c>
      <c r="V4094" s="40" t="str" cm="1">
        <f t="array" ref="V4094">_xlfn.IFS(
ISNUMBER(SEARCH("USA",S4094)),"United States",
ISNUMBER(SEARCH("Republic of Ireland",S4094)),"Ireland",
ISNUMBER(SEARCH("Republic of Korea",S4094)),"South Korea",
ISNUMBER(SEARCH("Cape Verde",S4094)),"Cabo Verde",
ISNUMBER(SEARCH("Czechia",S4094)),"Czech Republic",
ISNUMBER(SEARCH("Türkiye",S4094)),"Turkey",
ISNUMBER(SEARCH("Ivory Coast",S4094)),"Côte d'Ivoire",
ISNUMBER(SEARCH("Korea Republic",S4094)),"South Korea",
ISNUMBER(SEARCH("Germany FR",S4094)),"FR Germany",
ISNUMBER(SEARCH("West Germany",S4094)),"FR Germany",
ISNUMBER(SEARCH("Germany DR",S4094)),"DR Germany",
ISNUMBER(SEARCH("Korea DPR",S4094)),"North Korea",
ISNUMBER(SEARCH("China PR",S4094)),"China",
ISNUMBER(SEARCH("IR Iran",S4094)),"Iran",
ISNUMBER(SEARCH("Congo DR",S4094)),"Democratic Republic of the Congo",
ISNUMBER(SEARCH("DR Congo",S4094)),"Democratic Republic of the Congo",
ISNUMBER(SEARCH("German DR",S4094)),"DR Germany",
ISNUMBER(SEARCH("rn""&gt;United Arab Emirates",S4094)),"United Arab Emirates",
ISNUMBER(SEARCH("rn""&gt;Republic of Ireland",S4094)),"Ireland",
ISNUMBER(SEARCH("rn""&gt;Bosnia and Herzegovina",S4094)),"Bosnia and Herzegovina",
ISNUMBER(SEARCH("rn""&gt;Trinidad and Tobago",S4094)),"Trinidad and Tobago",
ISNUMBER(SEARCH("rn""&gt;Serbia and Montenegro",S4094)),"Serbia and Montenegro",
ISNUMBER(SEARCH(_xlfn.UNICHAR(65533),S4094)),"Côte d'Ivoire",
TRUE,""
)</f>
        <v>Côte d'Ivoire</v>
      </c>
      <c r="W4094" s="40" t="str">
        <f t="shared" si="264"/>
        <v>Côte d'Ivoire</v>
      </c>
    </row>
    <row r="4095" spans="19:23">
      <c r="S4095" s="40" t="str">
        <v>Angola</v>
      </c>
      <c r="T4095" s="40" t="str">
        <f t="shared" si="262"/>
        <v>OK</v>
      </c>
      <c r="U4095" s="40" t="str">
        <f t="shared" si="263"/>
        <v>-</v>
      </c>
      <c r="V4095" s="40" t="str" cm="1">
        <f t="array" ref="V4095">_xlfn.IFS(
ISNUMBER(SEARCH("USA",S4095)),"United States",
ISNUMBER(SEARCH("Republic of Ireland",S4095)),"Ireland",
ISNUMBER(SEARCH("Republic of Korea",S4095)),"South Korea",
ISNUMBER(SEARCH("Cape Verde",S4095)),"Cabo Verde",
ISNUMBER(SEARCH("Czechia",S4095)),"Czech Republic",
ISNUMBER(SEARCH("Türkiye",S4095)),"Turkey",
ISNUMBER(SEARCH("Ivory Coast",S4095)),"Côte d'Ivoire",
ISNUMBER(SEARCH("Korea Republic",S4095)),"South Korea",
ISNUMBER(SEARCH("Germany FR",S4095)),"FR Germany",
ISNUMBER(SEARCH("West Germany",S4095)),"FR Germany",
ISNUMBER(SEARCH("Germany DR",S4095)),"DR Germany",
ISNUMBER(SEARCH("Korea DPR",S4095)),"North Korea",
ISNUMBER(SEARCH("China PR",S4095)),"China",
ISNUMBER(SEARCH("IR Iran",S4095)),"Iran",
ISNUMBER(SEARCH("Congo DR",S4095)),"Democratic Republic of the Congo",
ISNUMBER(SEARCH("DR Congo",S4095)),"Democratic Republic of the Congo",
ISNUMBER(SEARCH("German DR",S4095)),"DR Germany",
ISNUMBER(SEARCH("rn""&gt;United Arab Emirates",S4095)),"United Arab Emirates",
ISNUMBER(SEARCH("rn""&gt;Republic of Ireland",S4095)),"Ireland",
ISNUMBER(SEARCH("rn""&gt;Bosnia and Herzegovina",S4095)),"Bosnia and Herzegovina",
ISNUMBER(SEARCH("rn""&gt;Trinidad and Tobago",S4095)),"Trinidad and Tobago",
ISNUMBER(SEARCH("rn""&gt;Serbia and Montenegro",S4095)),"Serbia and Montenegro",
ISNUMBER(SEARCH(_xlfn.UNICHAR(65533),S4095)),"Côte d'Ivoire",
TRUE,""
)</f>
        <v/>
      </c>
      <c r="W4095" s="40" t="str">
        <f t="shared" si="264"/>
        <v>Angola</v>
      </c>
    </row>
    <row r="4096" spans="19:23">
      <c r="S4096" s="40" t="str">
        <v>IR Iran</v>
      </c>
      <c r="T4096" s="40" t="str">
        <f t="shared" si="262"/>
        <v>ERREUR</v>
      </c>
      <c r="U4096" s="40" t="str">
        <f t="shared" si="263"/>
        <v>RENOMMER</v>
      </c>
      <c r="V4096" s="40" t="str" cm="1">
        <f t="array" ref="V4096">_xlfn.IFS(
ISNUMBER(SEARCH("USA",S4096)),"United States",
ISNUMBER(SEARCH("Republic of Ireland",S4096)),"Ireland",
ISNUMBER(SEARCH("Republic of Korea",S4096)),"South Korea",
ISNUMBER(SEARCH("Cape Verde",S4096)),"Cabo Verde",
ISNUMBER(SEARCH("Czechia",S4096)),"Czech Republic",
ISNUMBER(SEARCH("Türkiye",S4096)),"Turkey",
ISNUMBER(SEARCH("Ivory Coast",S4096)),"Côte d'Ivoire",
ISNUMBER(SEARCH("Korea Republic",S4096)),"South Korea",
ISNUMBER(SEARCH("Germany FR",S4096)),"FR Germany",
ISNUMBER(SEARCH("West Germany",S4096)),"FR Germany",
ISNUMBER(SEARCH("Germany DR",S4096)),"DR Germany",
ISNUMBER(SEARCH("Korea DPR",S4096)),"North Korea",
ISNUMBER(SEARCH("China PR",S4096)),"China",
ISNUMBER(SEARCH("IR Iran",S4096)),"Iran",
ISNUMBER(SEARCH("Congo DR",S4096)),"Democratic Republic of the Congo",
ISNUMBER(SEARCH("DR Congo",S4096)),"Democratic Republic of the Congo",
ISNUMBER(SEARCH("German DR",S4096)),"DR Germany",
ISNUMBER(SEARCH("rn""&gt;United Arab Emirates",S4096)),"United Arab Emirates",
ISNUMBER(SEARCH("rn""&gt;Republic of Ireland",S4096)),"Ireland",
ISNUMBER(SEARCH("rn""&gt;Bosnia and Herzegovina",S4096)),"Bosnia and Herzegovina",
ISNUMBER(SEARCH("rn""&gt;Trinidad and Tobago",S4096)),"Trinidad and Tobago",
ISNUMBER(SEARCH("rn""&gt;Serbia and Montenegro",S4096)),"Serbia and Montenegro",
ISNUMBER(SEARCH(_xlfn.UNICHAR(65533),S4096)),"Côte d'Ivoire",
TRUE,""
)</f>
        <v>Iran</v>
      </c>
      <c r="W4096" s="40" t="str">
        <f t="shared" si="264"/>
        <v>Iran</v>
      </c>
    </row>
    <row r="4097" spans="19:23">
      <c r="S4097" s="40" t="str">
        <v>Ghana</v>
      </c>
      <c r="T4097" s="40" t="str">
        <f t="shared" si="262"/>
        <v>OK</v>
      </c>
      <c r="U4097" s="40" t="str">
        <f t="shared" si="263"/>
        <v>-</v>
      </c>
      <c r="V4097" s="40" t="str" cm="1">
        <f t="array" ref="V4097">_xlfn.IFS(
ISNUMBER(SEARCH("USA",S4097)),"United States",
ISNUMBER(SEARCH("Republic of Ireland",S4097)),"Ireland",
ISNUMBER(SEARCH("Republic of Korea",S4097)),"South Korea",
ISNUMBER(SEARCH("Cape Verde",S4097)),"Cabo Verde",
ISNUMBER(SEARCH("Czechia",S4097)),"Czech Republic",
ISNUMBER(SEARCH("Türkiye",S4097)),"Turkey",
ISNUMBER(SEARCH("Ivory Coast",S4097)),"Côte d'Ivoire",
ISNUMBER(SEARCH("Korea Republic",S4097)),"South Korea",
ISNUMBER(SEARCH("Germany FR",S4097)),"FR Germany",
ISNUMBER(SEARCH("West Germany",S4097)),"FR Germany",
ISNUMBER(SEARCH("Germany DR",S4097)),"DR Germany",
ISNUMBER(SEARCH("Korea DPR",S4097)),"North Korea",
ISNUMBER(SEARCH("China PR",S4097)),"China",
ISNUMBER(SEARCH("IR Iran",S4097)),"Iran",
ISNUMBER(SEARCH("Congo DR",S4097)),"Democratic Republic of the Congo",
ISNUMBER(SEARCH("DR Congo",S4097)),"Democratic Republic of the Congo",
ISNUMBER(SEARCH("German DR",S4097)),"DR Germany",
ISNUMBER(SEARCH("rn""&gt;United Arab Emirates",S4097)),"United Arab Emirates",
ISNUMBER(SEARCH("rn""&gt;Republic of Ireland",S4097)),"Ireland",
ISNUMBER(SEARCH("rn""&gt;Bosnia and Herzegovina",S4097)),"Bosnia and Herzegovina",
ISNUMBER(SEARCH("rn""&gt;Trinidad and Tobago",S4097)),"Trinidad and Tobago",
ISNUMBER(SEARCH("rn""&gt;Serbia and Montenegro",S4097)),"Serbia and Montenegro",
ISNUMBER(SEARCH(_xlfn.UNICHAR(65533),S4097)),"Côte d'Ivoire",
TRUE,""
)</f>
        <v/>
      </c>
      <c r="W4097" s="40" t="str">
        <f t="shared" si="264"/>
        <v>Ghana</v>
      </c>
    </row>
    <row r="4098" spans="19:23">
      <c r="S4098" s="40" t="str">
        <v>USA</v>
      </c>
      <c r="T4098" s="40" t="str">
        <f t="shared" si="262"/>
        <v>ERREUR</v>
      </c>
      <c r="U4098" s="40" t="str">
        <f t="shared" si="263"/>
        <v>RENOMMER</v>
      </c>
      <c r="V4098" s="40" t="str" cm="1">
        <f t="array" ref="V4098">_xlfn.IFS(
ISNUMBER(SEARCH("USA",S4098)),"United States",
ISNUMBER(SEARCH("Republic of Ireland",S4098)),"Ireland",
ISNUMBER(SEARCH("Republic of Korea",S4098)),"South Korea",
ISNUMBER(SEARCH("Cape Verde",S4098)),"Cabo Verde",
ISNUMBER(SEARCH("Czechia",S4098)),"Czech Republic",
ISNUMBER(SEARCH("Türkiye",S4098)),"Turkey",
ISNUMBER(SEARCH("Ivory Coast",S4098)),"Côte d'Ivoire",
ISNUMBER(SEARCH("Korea Republic",S4098)),"South Korea",
ISNUMBER(SEARCH("Germany FR",S4098)),"FR Germany",
ISNUMBER(SEARCH("West Germany",S4098)),"FR Germany",
ISNUMBER(SEARCH("Germany DR",S4098)),"DR Germany",
ISNUMBER(SEARCH("Korea DPR",S4098)),"North Korea",
ISNUMBER(SEARCH("China PR",S4098)),"China",
ISNUMBER(SEARCH("IR Iran",S4098)),"Iran",
ISNUMBER(SEARCH("Congo DR",S4098)),"Democratic Republic of the Congo",
ISNUMBER(SEARCH("DR Congo",S4098)),"Democratic Republic of the Congo",
ISNUMBER(SEARCH("German DR",S4098)),"DR Germany",
ISNUMBER(SEARCH("rn""&gt;United Arab Emirates",S4098)),"United Arab Emirates",
ISNUMBER(SEARCH("rn""&gt;Republic of Ireland",S4098)),"Ireland",
ISNUMBER(SEARCH("rn""&gt;Bosnia and Herzegovina",S4098)),"Bosnia and Herzegovina",
ISNUMBER(SEARCH("rn""&gt;Trinidad and Tobago",S4098)),"Trinidad and Tobago",
ISNUMBER(SEARCH("rn""&gt;Serbia and Montenegro",S4098)),"Serbia and Montenegro",
ISNUMBER(SEARCH(_xlfn.UNICHAR(65533),S4098)),"Côte d'Ivoire",
TRUE,""
)</f>
        <v>United States</v>
      </c>
      <c r="W4098" s="40" t="str">
        <f t="shared" si="264"/>
        <v>United States</v>
      </c>
    </row>
    <row r="4099" spans="19:23">
      <c r="S4099" s="40" t="str">
        <v>Croatia</v>
      </c>
      <c r="T4099" s="40" t="str">
        <f t="shared" ref="T4099:T4162" si="265">IF(COUNTIF(R$13:R$250,S4099)=1,"OK","ERREUR")</f>
        <v>OK</v>
      </c>
      <c r="U4099" s="40" t="str">
        <f t="shared" si="263"/>
        <v>-</v>
      </c>
      <c r="V4099" s="40" t="str" cm="1">
        <f t="array" ref="V4099">_xlfn.IFS(
ISNUMBER(SEARCH("USA",S4099)),"United States",
ISNUMBER(SEARCH("Republic of Ireland",S4099)),"Ireland",
ISNUMBER(SEARCH("Republic of Korea",S4099)),"South Korea",
ISNUMBER(SEARCH("Cape Verde",S4099)),"Cabo Verde",
ISNUMBER(SEARCH("Czechia",S4099)),"Czech Republic",
ISNUMBER(SEARCH("Türkiye",S4099)),"Turkey",
ISNUMBER(SEARCH("Ivory Coast",S4099)),"Côte d'Ivoire",
ISNUMBER(SEARCH("Korea Republic",S4099)),"South Korea",
ISNUMBER(SEARCH("Germany FR",S4099)),"FR Germany",
ISNUMBER(SEARCH("West Germany",S4099)),"FR Germany",
ISNUMBER(SEARCH("Germany DR",S4099)),"DR Germany",
ISNUMBER(SEARCH("Korea DPR",S4099)),"North Korea",
ISNUMBER(SEARCH("China PR",S4099)),"China",
ISNUMBER(SEARCH("IR Iran",S4099)),"Iran",
ISNUMBER(SEARCH("Congo DR",S4099)),"Democratic Republic of the Congo",
ISNUMBER(SEARCH("DR Congo",S4099)),"Democratic Republic of the Congo",
ISNUMBER(SEARCH("German DR",S4099)),"DR Germany",
ISNUMBER(SEARCH("rn""&gt;United Arab Emirates",S4099)),"United Arab Emirates",
ISNUMBER(SEARCH("rn""&gt;Republic of Ireland",S4099)),"Ireland",
ISNUMBER(SEARCH("rn""&gt;Bosnia and Herzegovina",S4099)),"Bosnia and Herzegovina",
ISNUMBER(SEARCH("rn""&gt;Trinidad and Tobago",S4099)),"Trinidad and Tobago",
ISNUMBER(SEARCH("rn""&gt;Serbia and Montenegro",S4099)),"Serbia and Montenegro",
ISNUMBER(SEARCH(_xlfn.UNICHAR(65533),S4099)),"Côte d'Ivoire",
TRUE,""
)</f>
        <v/>
      </c>
      <c r="W4099" s="40" t="str">
        <f t="shared" si="264"/>
        <v>Croatia</v>
      </c>
    </row>
    <row r="4100" spans="19:23">
      <c r="S4100" s="40" t="str">
        <v>Australia</v>
      </c>
      <c r="T4100" s="40" t="str">
        <f t="shared" si="265"/>
        <v>OK</v>
      </c>
      <c r="U4100" s="40" t="str">
        <f t="shared" ref="U4100:U4163" si="266">IF(OR(S4100="Scotland",S4100="England",S4100="Wales",S4100="Yugoslavia",S4100="Czechoslovakia",S4100="Northern Ireland",S4100="Soviet Union",S4100="Zaire",S4100="Dutch East Indies"),"AUCUNE",IF(OR(S4100="Cape Verde",S4100="USA",S4100="DR Congo",S4100="Republic of Korea",S4100="Germany FR",S4100="Germany DR",S4100="Czechia",S4100="Ivory Coast",S4100="Korea DPR",S4100="China PR",S4100="IR Iran",S4100="Türkiye",S4100="Congo DR",S4100="German DR",S4100="West Germany",S4100="Republic of Ireland",ISNUMBER(SEARCH(_xlfn.UNICHAR(65533),S4100)),S4100="Korea Republic",ISNUMBER(SEARCH("rn""&gt;United Arab Emirates",S4100)),ISNUMBER(SEARCH("rn""&gt;Republic of Ireland",S4100)),ISNUMBER(SEARCH("rn""&gt;Bosnia and Herzegovina",S4100)),ISNUMBER(SEARCH("rn""&gt;Trinidad and Tobago",S4100)),ISNUMBER(SEARCH("rn""&gt;Serbia and Montenegro",S4100)),ISNUMBER(SEARCH(_xlfn.UNICHAR(65533),S4100))),"RENOMMER","-"))</f>
        <v>-</v>
      </c>
      <c r="V4100" s="40" t="str" cm="1">
        <f t="array" ref="V4100">_xlfn.IFS(
ISNUMBER(SEARCH("USA",S4100)),"United States",
ISNUMBER(SEARCH("Republic of Ireland",S4100)),"Ireland",
ISNUMBER(SEARCH("Republic of Korea",S4100)),"South Korea",
ISNUMBER(SEARCH("Cape Verde",S4100)),"Cabo Verde",
ISNUMBER(SEARCH("Czechia",S4100)),"Czech Republic",
ISNUMBER(SEARCH("Türkiye",S4100)),"Turkey",
ISNUMBER(SEARCH("Ivory Coast",S4100)),"Côte d'Ivoire",
ISNUMBER(SEARCH("Korea Republic",S4100)),"South Korea",
ISNUMBER(SEARCH("Germany FR",S4100)),"FR Germany",
ISNUMBER(SEARCH("West Germany",S4100)),"FR Germany",
ISNUMBER(SEARCH("Germany DR",S4100)),"DR Germany",
ISNUMBER(SEARCH("Korea DPR",S4100)),"North Korea",
ISNUMBER(SEARCH("China PR",S4100)),"China",
ISNUMBER(SEARCH("IR Iran",S4100)),"Iran",
ISNUMBER(SEARCH("Congo DR",S4100)),"Democratic Republic of the Congo",
ISNUMBER(SEARCH("DR Congo",S4100)),"Democratic Republic of the Congo",
ISNUMBER(SEARCH("German DR",S4100)),"DR Germany",
ISNUMBER(SEARCH("rn""&gt;United Arab Emirates",S4100)),"United Arab Emirates",
ISNUMBER(SEARCH("rn""&gt;Republic of Ireland",S4100)),"Ireland",
ISNUMBER(SEARCH("rn""&gt;Bosnia and Herzegovina",S4100)),"Bosnia and Herzegovina",
ISNUMBER(SEARCH("rn""&gt;Trinidad and Tobago",S4100)),"Trinidad and Tobago",
ISNUMBER(SEARCH("rn""&gt;Serbia and Montenegro",S4100)),"Serbia and Montenegro",
ISNUMBER(SEARCH(_xlfn.UNICHAR(65533),S4100)),"Côte d'Ivoire",
TRUE,""
)</f>
        <v/>
      </c>
      <c r="W4100" s="40" t="str">
        <f t="shared" ref="W4100:W4163" si="267">IF(V4100="",S4100,V4100)</f>
        <v>Australia</v>
      </c>
    </row>
    <row r="4101" spans="19:23">
      <c r="S4101" s="40" t="str">
        <v>Korea Republic</v>
      </c>
      <c r="T4101" s="40" t="str">
        <f t="shared" si="265"/>
        <v>ERREUR</v>
      </c>
      <c r="U4101" s="40" t="str">
        <f t="shared" si="266"/>
        <v>RENOMMER</v>
      </c>
      <c r="V4101" s="40" t="str" cm="1">
        <f t="array" ref="V4101">_xlfn.IFS(
ISNUMBER(SEARCH("USA",S4101)),"United States",
ISNUMBER(SEARCH("Republic of Ireland",S4101)),"Ireland",
ISNUMBER(SEARCH("Republic of Korea",S4101)),"South Korea",
ISNUMBER(SEARCH("Cape Verde",S4101)),"Cabo Verde",
ISNUMBER(SEARCH("Czechia",S4101)),"Czech Republic",
ISNUMBER(SEARCH("Türkiye",S4101)),"Turkey",
ISNUMBER(SEARCH("Ivory Coast",S4101)),"Côte d'Ivoire",
ISNUMBER(SEARCH("Korea Republic",S4101)),"South Korea",
ISNUMBER(SEARCH("Germany FR",S4101)),"FR Germany",
ISNUMBER(SEARCH("West Germany",S4101)),"FR Germany",
ISNUMBER(SEARCH("Germany DR",S4101)),"DR Germany",
ISNUMBER(SEARCH("Korea DPR",S4101)),"North Korea",
ISNUMBER(SEARCH("China PR",S4101)),"China",
ISNUMBER(SEARCH("IR Iran",S4101)),"Iran",
ISNUMBER(SEARCH("Congo DR",S4101)),"Democratic Republic of the Congo",
ISNUMBER(SEARCH("DR Congo",S4101)),"Democratic Republic of the Congo",
ISNUMBER(SEARCH("German DR",S4101)),"DR Germany",
ISNUMBER(SEARCH("rn""&gt;United Arab Emirates",S4101)),"United Arab Emirates",
ISNUMBER(SEARCH("rn""&gt;Republic of Ireland",S4101)),"Ireland",
ISNUMBER(SEARCH("rn""&gt;Bosnia and Herzegovina",S4101)),"Bosnia and Herzegovina",
ISNUMBER(SEARCH("rn""&gt;Trinidad and Tobago",S4101)),"Trinidad and Tobago",
ISNUMBER(SEARCH("rn""&gt;Serbia and Montenegro",S4101)),"Serbia and Montenegro",
ISNUMBER(SEARCH(_xlfn.UNICHAR(65533),S4101)),"Côte d'Ivoire",
TRUE,""
)</f>
        <v>South Korea</v>
      </c>
      <c r="W4101" s="40" t="str">
        <f t="shared" si="267"/>
        <v>South Korea</v>
      </c>
    </row>
    <row r="4102" spans="19:23">
      <c r="S4102" s="40" t="str">
        <v>Switzerland</v>
      </c>
      <c r="T4102" s="40" t="str">
        <f t="shared" si="265"/>
        <v>OK</v>
      </c>
      <c r="U4102" s="40" t="str">
        <f t="shared" si="266"/>
        <v>-</v>
      </c>
      <c r="V4102" s="40" t="str" cm="1">
        <f t="array" ref="V4102">_xlfn.IFS(
ISNUMBER(SEARCH("USA",S4102)),"United States",
ISNUMBER(SEARCH("Republic of Ireland",S4102)),"Ireland",
ISNUMBER(SEARCH("Republic of Korea",S4102)),"South Korea",
ISNUMBER(SEARCH("Cape Verde",S4102)),"Cabo Verde",
ISNUMBER(SEARCH("Czechia",S4102)),"Czech Republic",
ISNUMBER(SEARCH("Türkiye",S4102)),"Turkey",
ISNUMBER(SEARCH("Ivory Coast",S4102)),"Côte d'Ivoire",
ISNUMBER(SEARCH("Korea Republic",S4102)),"South Korea",
ISNUMBER(SEARCH("Germany FR",S4102)),"FR Germany",
ISNUMBER(SEARCH("West Germany",S4102)),"FR Germany",
ISNUMBER(SEARCH("Germany DR",S4102)),"DR Germany",
ISNUMBER(SEARCH("Korea DPR",S4102)),"North Korea",
ISNUMBER(SEARCH("China PR",S4102)),"China",
ISNUMBER(SEARCH("IR Iran",S4102)),"Iran",
ISNUMBER(SEARCH("Congo DR",S4102)),"Democratic Republic of the Congo",
ISNUMBER(SEARCH("DR Congo",S4102)),"Democratic Republic of the Congo",
ISNUMBER(SEARCH("German DR",S4102)),"DR Germany",
ISNUMBER(SEARCH("rn""&gt;United Arab Emirates",S4102)),"United Arab Emirates",
ISNUMBER(SEARCH("rn""&gt;Republic of Ireland",S4102)),"Ireland",
ISNUMBER(SEARCH("rn""&gt;Bosnia and Herzegovina",S4102)),"Bosnia and Herzegovina",
ISNUMBER(SEARCH("rn""&gt;Trinidad and Tobago",S4102)),"Trinidad and Tobago",
ISNUMBER(SEARCH("rn""&gt;Serbia and Montenegro",S4102)),"Serbia and Montenegro",
ISNUMBER(SEARCH(_xlfn.UNICHAR(65533),S4102)),"Côte d'Ivoire",
TRUE,""
)</f>
        <v/>
      </c>
      <c r="W4102" s="40" t="str">
        <f t="shared" si="267"/>
        <v>Switzerland</v>
      </c>
    </row>
    <row r="4103" spans="19:23">
      <c r="S4103" s="40" t="str">
        <v>Ukraine</v>
      </c>
      <c r="T4103" s="40" t="str">
        <f t="shared" si="265"/>
        <v>OK</v>
      </c>
      <c r="U4103" s="40" t="str">
        <f t="shared" si="266"/>
        <v>-</v>
      </c>
      <c r="V4103" s="40" t="str" cm="1">
        <f t="array" ref="V4103">_xlfn.IFS(
ISNUMBER(SEARCH("USA",S4103)),"United States",
ISNUMBER(SEARCH("Republic of Ireland",S4103)),"Ireland",
ISNUMBER(SEARCH("Republic of Korea",S4103)),"South Korea",
ISNUMBER(SEARCH("Cape Verde",S4103)),"Cabo Verde",
ISNUMBER(SEARCH("Czechia",S4103)),"Czech Republic",
ISNUMBER(SEARCH("Türkiye",S4103)),"Turkey",
ISNUMBER(SEARCH("Ivory Coast",S4103)),"Côte d'Ivoire",
ISNUMBER(SEARCH("Korea Republic",S4103)),"South Korea",
ISNUMBER(SEARCH("Germany FR",S4103)),"FR Germany",
ISNUMBER(SEARCH("West Germany",S4103)),"FR Germany",
ISNUMBER(SEARCH("Germany DR",S4103)),"DR Germany",
ISNUMBER(SEARCH("Korea DPR",S4103)),"North Korea",
ISNUMBER(SEARCH("China PR",S4103)),"China",
ISNUMBER(SEARCH("IR Iran",S4103)),"Iran",
ISNUMBER(SEARCH("Congo DR",S4103)),"Democratic Republic of the Congo",
ISNUMBER(SEARCH("DR Congo",S4103)),"Democratic Republic of the Congo",
ISNUMBER(SEARCH("German DR",S4103)),"DR Germany",
ISNUMBER(SEARCH("rn""&gt;United Arab Emirates",S4103)),"United Arab Emirates",
ISNUMBER(SEARCH("rn""&gt;Republic of Ireland",S4103)),"Ireland",
ISNUMBER(SEARCH("rn""&gt;Bosnia and Herzegovina",S4103)),"Bosnia and Herzegovina",
ISNUMBER(SEARCH("rn""&gt;Trinidad and Tobago",S4103)),"Trinidad and Tobago",
ISNUMBER(SEARCH("rn""&gt;Serbia and Montenegro",S4103)),"Serbia and Montenegro",
ISNUMBER(SEARCH(_xlfn.UNICHAR(65533),S4103)),"Côte d'Ivoire",
TRUE,""
)</f>
        <v/>
      </c>
      <c r="W4103" s="40" t="str">
        <f t="shared" si="267"/>
        <v>Ukraine</v>
      </c>
    </row>
    <row r="4104" spans="19:23">
      <c r="S4104" s="40" t="str">
        <v>Tunisia</v>
      </c>
      <c r="T4104" s="40" t="str">
        <f t="shared" si="265"/>
        <v>OK</v>
      </c>
      <c r="U4104" s="40" t="str">
        <f t="shared" si="266"/>
        <v>-</v>
      </c>
      <c r="V4104" s="40" t="str" cm="1">
        <f t="array" ref="V4104">_xlfn.IFS(
ISNUMBER(SEARCH("USA",S4104)),"United States",
ISNUMBER(SEARCH("Republic of Ireland",S4104)),"Ireland",
ISNUMBER(SEARCH("Republic of Korea",S4104)),"South Korea",
ISNUMBER(SEARCH("Cape Verde",S4104)),"Cabo Verde",
ISNUMBER(SEARCH("Czechia",S4104)),"Czech Republic",
ISNUMBER(SEARCH("Türkiye",S4104)),"Turkey",
ISNUMBER(SEARCH("Ivory Coast",S4104)),"Côte d'Ivoire",
ISNUMBER(SEARCH("Korea Republic",S4104)),"South Korea",
ISNUMBER(SEARCH("Germany FR",S4104)),"FR Germany",
ISNUMBER(SEARCH("West Germany",S4104)),"FR Germany",
ISNUMBER(SEARCH("Germany DR",S4104)),"DR Germany",
ISNUMBER(SEARCH("Korea DPR",S4104)),"North Korea",
ISNUMBER(SEARCH("China PR",S4104)),"China",
ISNUMBER(SEARCH("IR Iran",S4104)),"Iran",
ISNUMBER(SEARCH("Congo DR",S4104)),"Democratic Republic of the Congo",
ISNUMBER(SEARCH("DR Congo",S4104)),"Democratic Republic of the Congo",
ISNUMBER(SEARCH("German DR",S4104)),"DR Germany",
ISNUMBER(SEARCH("rn""&gt;United Arab Emirates",S4104)),"United Arab Emirates",
ISNUMBER(SEARCH("rn""&gt;Republic of Ireland",S4104)),"Ireland",
ISNUMBER(SEARCH("rn""&gt;Bosnia and Herzegovina",S4104)),"Bosnia and Herzegovina",
ISNUMBER(SEARCH("rn""&gt;Trinidad and Tobago",S4104)),"Trinidad and Tobago",
ISNUMBER(SEARCH("rn""&gt;Serbia and Montenegro",S4104)),"Serbia and Montenegro",
ISNUMBER(SEARCH(_xlfn.UNICHAR(65533),S4104)),"Côte d'Ivoire",
TRUE,""
)</f>
        <v/>
      </c>
      <c r="W4104" s="40" t="str">
        <f t="shared" si="267"/>
        <v>Tunisia</v>
      </c>
    </row>
    <row r="4105" spans="19:23">
      <c r="S4105" s="40" t="str">
        <v>Germany</v>
      </c>
      <c r="T4105" s="40" t="str">
        <f t="shared" si="265"/>
        <v>OK</v>
      </c>
      <c r="U4105" s="40" t="str">
        <f t="shared" si="266"/>
        <v>-</v>
      </c>
      <c r="V4105" s="40" t="str" cm="1">
        <f t="array" ref="V4105">_xlfn.IFS(
ISNUMBER(SEARCH("USA",S4105)),"United States",
ISNUMBER(SEARCH("Republic of Ireland",S4105)),"Ireland",
ISNUMBER(SEARCH("Republic of Korea",S4105)),"South Korea",
ISNUMBER(SEARCH("Cape Verde",S4105)),"Cabo Verde",
ISNUMBER(SEARCH("Czechia",S4105)),"Czech Republic",
ISNUMBER(SEARCH("Türkiye",S4105)),"Turkey",
ISNUMBER(SEARCH("Ivory Coast",S4105)),"Côte d'Ivoire",
ISNUMBER(SEARCH("Korea Republic",S4105)),"South Korea",
ISNUMBER(SEARCH("Germany FR",S4105)),"FR Germany",
ISNUMBER(SEARCH("West Germany",S4105)),"FR Germany",
ISNUMBER(SEARCH("Germany DR",S4105)),"DR Germany",
ISNUMBER(SEARCH("Korea DPR",S4105)),"North Korea",
ISNUMBER(SEARCH("China PR",S4105)),"China",
ISNUMBER(SEARCH("IR Iran",S4105)),"Iran",
ISNUMBER(SEARCH("Congo DR",S4105)),"Democratic Republic of the Congo",
ISNUMBER(SEARCH("DR Congo",S4105)),"Democratic Republic of the Congo",
ISNUMBER(SEARCH("German DR",S4105)),"DR Germany",
ISNUMBER(SEARCH("rn""&gt;United Arab Emirates",S4105)),"United Arab Emirates",
ISNUMBER(SEARCH("rn""&gt;Republic of Ireland",S4105)),"Ireland",
ISNUMBER(SEARCH("rn""&gt;Bosnia and Herzegovina",S4105)),"Bosnia and Herzegovina",
ISNUMBER(SEARCH("rn""&gt;Trinidad and Tobago",S4105)),"Trinidad and Tobago",
ISNUMBER(SEARCH("rn""&gt;Serbia and Montenegro",S4105)),"Serbia and Montenegro",
ISNUMBER(SEARCH(_xlfn.UNICHAR(65533),S4105)),"Côte d'Ivoire",
TRUE,""
)</f>
        <v/>
      </c>
      <c r="W4105" s="40" t="str">
        <f t="shared" si="267"/>
        <v>Germany</v>
      </c>
    </row>
    <row r="4106" spans="19:23">
      <c r="S4106" s="40" t="str">
        <v>Poland</v>
      </c>
      <c r="T4106" s="40" t="str">
        <f t="shared" si="265"/>
        <v>OK</v>
      </c>
      <c r="U4106" s="40" t="str">
        <f t="shared" si="266"/>
        <v>-</v>
      </c>
      <c r="V4106" s="40" t="str" cm="1">
        <f t="array" ref="V4106">_xlfn.IFS(
ISNUMBER(SEARCH("USA",S4106)),"United States",
ISNUMBER(SEARCH("Republic of Ireland",S4106)),"Ireland",
ISNUMBER(SEARCH("Republic of Korea",S4106)),"South Korea",
ISNUMBER(SEARCH("Cape Verde",S4106)),"Cabo Verde",
ISNUMBER(SEARCH("Czechia",S4106)),"Czech Republic",
ISNUMBER(SEARCH("Türkiye",S4106)),"Turkey",
ISNUMBER(SEARCH("Ivory Coast",S4106)),"Côte d'Ivoire",
ISNUMBER(SEARCH("Korea Republic",S4106)),"South Korea",
ISNUMBER(SEARCH("Germany FR",S4106)),"FR Germany",
ISNUMBER(SEARCH("West Germany",S4106)),"FR Germany",
ISNUMBER(SEARCH("Germany DR",S4106)),"DR Germany",
ISNUMBER(SEARCH("Korea DPR",S4106)),"North Korea",
ISNUMBER(SEARCH("China PR",S4106)),"China",
ISNUMBER(SEARCH("IR Iran",S4106)),"Iran",
ISNUMBER(SEARCH("Congo DR",S4106)),"Democratic Republic of the Congo",
ISNUMBER(SEARCH("DR Congo",S4106)),"Democratic Republic of the Congo",
ISNUMBER(SEARCH("German DR",S4106)),"DR Germany",
ISNUMBER(SEARCH("rn""&gt;United Arab Emirates",S4106)),"United Arab Emirates",
ISNUMBER(SEARCH("rn""&gt;Republic of Ireland",S4106)),"Ireland",
ISNUMBER(SEARCH("rn""&gt;Bosnia and Herzegovina",S4106)),"Bosnia and Herzegovina",
ISNUMBER(SEARCH("rn""&gt;Trinidad and Tobago",S4106)),"Trinidad and Tobago",
ISNUMBER(SEARCH("rn""&gt;Serbia and Montenegro",S4106)),"Serbia and Montenegro",
ISNUMBER(SEARCH(_xlfn.UNICHAR(65533),S4106)),"Côte d'Ivoire",
TRUE,""
)</f>
        <v/>
      </c>
      <c r="W4106" s="40" t="str">
        <f t="shared" si="267"/>
        <v>Poland</v>
      </c>
    </row>
    <row r="4107" spans="19:23">
      <c r="S4107" s="40" t="str">
        <v>England</v>
      </c>
      <c r="T4107" s="40" t="str">
        <f t="shared" si="265"/>
        <v>ERREUR</v>
      </c>
      <c r="U4107" s="40" t="str">
        <f t="shared" si="266"/>
        <v>AUCUNE</v>
      </c>
      <c r="V4107" s="40" t="str" cm="1">
        <f t="array" ref="V4107">_xlfn.IFS(
ISNUMBER(SEARCH("USA",S4107)),"United States",
ISNUMBER(SEARCH("Republic of Ireland",S4107)),"Ireland",
ISNUMBER(SEARCH("Republic of Korea",S4107)),"South Korea",
ISNUMBER(SEARCH("Cape Verde",S4107)),"Cabo Verde",
ISNUMBER(SEARCH("Czechia",S4107)),"Czech Republic",
ISNUMBER(SEARCH("Türkiye",S4107)),"Turkey",
ISNUMBER(SEARCH("Ivory Coast",S4107)),"Côte d'Ivoire",
ISNUMBER(SEARCH("Korea Republic",S4107)),"South Korea",
ISNUMBER(SEARCH("Germany FR",S4107)),"FR Germany",
ISNUMBER(SEARCH("West Germany",S4107)),"FR Germany",
ISNUMBER(SEARCH("Germany DR",S4107)),"DR Germany",
ISNUMBER(SEARCH("Korea DPR",S4107)),"North Korea",
ISNUMBER(SEARCH("China PR",S4107)),"China",
ISNUMBER(SEARCH("IR Iran",S4107)),"Iran",
ISNUMBER(SEARCH("Congo DR",S4107)),"Democratic Republic of the Congo",
ISNUMBER(SEARCH("DR Congo",S4107)),"Democratic Republic of the Congo",
ISNUMBER(SEARCH("German DR",S4107)),"DR Germany",
ISNUMBER(SEARCH("rn""&gt;United Arab Emirates",S4107)),"United Arab Emirates",
ISNUMBER(SEARCH("rn""&gt;Republic of Ireland",S4107)),"Ireland",
ISNUMBER(SEARCH("rn""&gt;Bosnia and Herzegovina",S4107)),"Bosnia and Herzegovina",
ISNUMBER(SEARCH("rn""&gt;Trinidad and Tobago",S4107)),"Trinidad and Tobago",
ISNUMBER(SEARCH("rn""&gt;Serbia and Montenegro",S4107)),"Serbia and Montenegro",
ISNUMBER(SEARCH(_xlfn.UNICHAR(65533),S4107)),"Côte d'Ivoire",
TRUE,""
)</f>
        <v/>
      </c>
      <c r="W4107" s="40" t="str">
        <f t="shared" si="267"/>
        <v>England</v>
      </c>
    </row>
    <row r="4108" spans="19:23">
      <c r="S4108" s="40" t="str">
        <v>rn"&gt;Trinidad and Tobago</v>
      </c>
      <c r="T4108" s="40" t="str">
        <f t="shared" si="265"/>
        <v>ERREUR</v>
      </c>
      <c r="U4108" s="40" t="str">
        <f t="shared" si="266"/>
        <v>RENOMMER</v>
      </c>
      <c r="V4108" s="40" t="str" cm="1">
        <f t="array" ref="V4108">_xlfn.IFS(
ISNUMBER(SEARCH("USA",S4108)),"United States",
ISNUMBER(SEARCH("Republic of Ireland",S4108)),"Ireland",
ISNUMBER(SEARCH("Republic of Korea",S4108)),"South Korea",
ISNUMBER(SEARCH("Cape Verde",S4108)),"Cabo Verde",
ISNUMBER(SEARCH("Czechia",S4108)),"Czech Republic",
ISNUMBER(SEARCH("Türkiye",S4108)),"Turkey",
ISNUMBER(SEARCH("Ivory Coast",S4108)),"Côte d'Ivoire",
ISNUMBER(SEARCH("Korea Republic",S4108)),"South Korea",
ISNUMBER(SEARCH("Germany FR",S4108)),"FR Germany",
ISNUMBER(SEARCH("West Germany",S4108)),"FR Germany",
ISNUMBER(SEARCH("Germany DR",S4108)),"DR Germany",
ISNUMBER(SEARCH("Korea DPR",S4108)),"North Korea",
ISNUMBER(SEARCH("China PR",S4108)),"China",
ISNUMBER(SEARCH("IR Iran",S4108)),"Iran",
ISNUMBER(SEARCH("Congo DR",S4108)),"Democratic Republic of the Congo",
ISNUMBER(SEARCH("DR Congo",S4108)),"Democratic Republic of the Congo",
ISNUMBER(SEARCH("German DR",S4108)),"DR Germany",
ISNUMBER(SEARCH("rn""&gt;United Arab Emirates",S4108)),"United Arab Emirates",
ISNUMBER(SEARCH("rn""&gt;Republic of Ireland",S4108)),"Ireland",
ISNUMBER(SEARCH("rn""&gt;Bosnia and Herzegovina",S4108)),"Bosnia and Herzegovina",
ISNUMBER(SEARCH("rn""&gt;Trinidad and Tobago",S4108)),"Trinidad and Tobago",
ISNUMBER(SEARCH("rn""&gt;Serbia and Montenegro",S4108)),"Serbia and Montenegro",
ISNUMBER(SEARCH(_xlfn.UNICHAR(65533),S4108)),"Côte d'Ivoire",
TRUE,""
)</f>
        <v>Trinidad and Tobago</v>
      </c>
      <c r="W4108" s="40" t="str">
        <f t="shared" si="267"/>
        <v>Trinidad and Tobago</v>
      </c>
    </row>
    <row r="4109" spans="19:23">
      <c r="S4109" s="40" t="str">
        <v>Angola</v>
      </c>
      <c r="T4109" s="40" t="str">
        <f t="shared" si="265"/>
        <v>OK</v>
      </c>
      <c r="U4109" s="40" t="str">
        <f t="shared" si="266"/>
        <v>-</v>
      </c>
      <c r="V4109" s="40" t="str" cm="1">
        <f t="array" ref="V4109">_xlfn.IFS(
ISNUMBER(SEARCH("USA",S4109)),"United States",
ISNUMBER(SEARCH("Republic of Ireland",S4109)),"Ireland",
ISNUMBER(SEARCH("Republic of Korea",S4109)),"South Korea",
ISNUMBER(SEARCH("Cape Verde",S4109)),"Cabo Verde",
ISNUMBER(SEARCH("Czechia",S4109)),"Czech Republic",
ISNUMBER(SEARCH("Türkiye",S4109)),"Turkey",
ISNUMBER(SEARCH("Ivory Coast",S4109)),"Côte d'Ivoire",
ISNUMBER(SEARCH("Korea Republic",S4109)),"South Korea",
ISNUMBER(SEARCH("Germany FR",S4109)),"FR Germany",
ISNUMBER(SEARCH("West Germany",S4109)),"FR Germany",
ISNUMBER(SEARCH("Germany DR",S4109)),"DR Germany",
ISNUMBER(SEARCH("Korea DPR",S4109)),"North Korea",
ISNUMBER(SEARCH("China PR",S4109)),"China",
ISNUMBER(SEARCH("IR Iran",S4109)),"Iran",
ISNUMBER(SEARCH("Congo DR",S4109)),"Democratic Republic of the Congo",
ISNUMBER(SEARCH("DR Congo",S4109)),"Democratic Republic of the Congo",
ISNUMBER(SEARCH("German DR",S4109)),"DR Germany",
ISNUMBER(SEARCH("rn""&gt;United Arab Emirates",S4109)),"United Arab Emirates",
ISNUMBER(SEARCH("rn""&gt;Republic of Ireland",S4109)),"Ireland",
ISNUMBER(SEARCH("rn""&gt;Bosnia and Herzegovina",S4109)),"Bosnia and Herzegovina",
ISNUMBER(SEARCH("rn""&gt;Trinidad and Tobago",S4109)),"Trinidad and Tobago",
ISNUMBER(SEARCH("rn""&gt;Serbia and Montenegro",S4109)),"Serbia and Montenegro",
ISNUMBER(SEARCH(_xlfn.UNICHAR(65533),S4109)),"Côte d'Ivoire",
TRUE,""
)</f>
        <v/>
      </c>
      <c r="W4109" s="40" t="str">
        <f t="shared" si="267"/>
        <v>Angola</v>
      </c>
    </row>
    <row r="4110" spans="19:23">
      <c r="S4110" s="40" t="str">
        <v>Mexico</v>
      </c>
      <c r="T4110" s="40" t="str">
        <f t="shared" si="265"/>
        <v>OK</v>
      </c>
      <c r="U4110" s="40" t="str">
        <f t="shared" si="266"/>
        <v>-</v>
      </c>
      <c r="V4110" s="40" t="str" cm="1">
        <f t="array" ref="V4110">_xlfn.IFS(
ISNUMBER(SEARCH("USA",S4110)),"United States",
ISNUMBER(SEARCH("Republic of Ireland",S4110)),"Ireland",
ISNUMBER(SEARCH("Republic of Korea",S4110)),"South Korea",
ISNUMBER(SEARCH("Cape Verde",S4110)),"Cabo Verde",
ISNUMBER(SEARCH("Czechia",S4110)),"Czech Republic",
ISNUMBER(SEARCH("Türkiye",S4110)),"Turkey",
ISNUMBER(SEARCH("Ivory Coast",S4110)),"Côte d'Ivoire",
ISNUMBER(SEARCH("Korea Republic",S4110)),"South Korea",
ISNUMBER(SEARCH("Germany FR",S4110)),"FR Germany",
ISNUMBER(SEARCH("West Germany",S4110)),"FR Germany",
ISNUMBER(SEARCH("Germany DR",S4110)),"DR Germany",
ISNUMBER(SEARCH("Korea DPR",S4110)),"North Korea",
ISNUMBER(SEARCH("China PR",S4110)),"China",
ISNUMBER(SEARCH("IR Iran",S4110)),"Iran",
ISNUMBER(SEARCH("Congo DR",S4110)),"Democratic Republic of the Congo",
ISNUMBER(SEARCH("DR Congo",S4110)),"Democratic Republic of the Congo",
ISNUMBER(SEARCH("German DR",S4110)),"DR Germany",
ISNUMBER(SEARCH("rn""&gt;United Arab Emirates",S4110)),"United Arab Emirates",
ISNUMBER(SEARCH("rn""&gt;Republic of Ireland",S4110)),"Ireland",
ISNUMBER(SEARCH("rn""&gt;Bosnia and Herzegovina",S4110)),"Bosnia and Herzegovina",
ISNUMBER(SEARCH("rn""&gt;Trinidad and Tobago",S4110)),"Trinidad and Tobago",
ISNUMBER(SEARCH("rn""&gt;Serbia and Montenegro",S4110)),"Serbia and Montenegro",
ISNUMBER(SEARCH(_xlfn.UNICHAR(65533),S4110)),"Côte d'Ivoire",
TRUE,""
)</f>
        <v/>
      </c>
      <c r="W4110" s="40" t="str">
        <f t="shared" si="267"/>
        <v>Mexico</v>
      </c>
    </row>
    <row r="4111" spans="19:23">
      <c r="S4111" s="40" t="str">
        <v>Argentina</v>
      </c>
      <c r="T4111" s="40" t="str">
        <f t="shared" si="265"/>
        <v>OK</v>
      </c>
      <c r="U4111" s="40" t="str">
        <f t="shared" si="266"/>
        <v>-</v>
      </c>
      <c r="V4111" s="40" t="str" cm="1">
        <f t="array" ref="V4111">_xlfn.IFS(
ISNUMBER(SEARCH("USA",S4111)),"United States",
ISNUMBER(SEARCH("Republic of Ireland",S4111)),"Ireland",
ISNUMBER(SEARCH("Republic of Korea",S4111)),"South Korea",
ISNUMBER(SEARCH("Cape Verde",S4111)),"Cabo Verde",
ISNUMBER(SEARCH("Czechia",S4111)),"Czech Republic",
ISNUMBER(SEARCH("Türkiye",S4111)),"Turkey",
ISNUMBER(SEARCH("Ivory Coast",S4111)),"Côte d'Ivoire",
ISNUMBER(SEARCH("Korea Republic",S4111)),"South Korea",
ISNUMBER(SEARCH("Germany FR",S4111)),"FR Germany",
ISNUMBER(SEARCH("West Germany",S4111)),"FR Germany",
ISNUMBER(SEARCH("Germany DR",S4111)),"DR Germany",
ISNUMBER(SEARCH("Korea DPR",S4111)),"North Korea",
ISNUMBER(SEARCH("China PR",S4111)),"China",
ISNUMBER(SEARCH("IR Iran",S4111)),"Iran",
ISNUMBER(SEARCH("Congo DR",S4111)),"Democratic Republic of the Congo",
ISNUMBER(SEARCH("DR Congo",S4111)),"Democratic Republic of the Congo",
ISNUMBER(SEARCH("German DR",S4111)),"DR Germany",
ISNUMBER(SEARCH("rn""&gt;United Arab Emirates",S4111)),"United Arab Emirates",
ISNUMBER(SEARCH("rn""&gt;Republic of Ireland",S4111)),"Ireland",
ISNUMBER(SEARCH("rn""&gt;Bosnia and Herzegovina",S4111)),"Bosnia and Herzegovina",
ISNUMBER(SEARCH("rn""&gt;Trinidad and Tobago",S4111)),"Trinidad and Tobago",
ISNUMBER(SEARCH("rn""&gt;Serbia and Montenegro",S4111)),"Serbia and Montenegro",
ISNUMBER(SEARCH(_xlfn.UNICHAR(65533),S4111)),"Côte d'Ivoire",
TRUE,""
)</f>
        <v/>
      </c>
      <c r="W4111" s="40" t="str">
        <f t="shared" si="267"/>
        <v>Argentina</v>
      </c>
    </row>
    <row r="4112" spans="19:23">
      <c r="S4112" s="40" t="str">
        <v>rn"&gt;Serbia and Montenegro</v>
      </c>
      <c r="T4112" s="40" t="str">
        <f t="shared" si="265"/>
        <v>ERREUR</v>
      </c>
      <c r="U4112" s="40" t="str">
        <f t="shared" si="266"/>
        <v>RENOMMER</v>
      </c>
      <c r="V4112" s="40" t="str" cm="1">
        <f t="array" ref="V4112">_xlfn.IFS(
ISNUMBER(SEARCH("USA",S4112)),"United States",
ISNUMBER(SEARCH("Republic of Ireland",S4112)),"Ireland",
ISNUMBER(SEARCH("Republic of Korea",S4112)),"South Korea",
ISNUMBER(SEARCH("Cape Verde",S4112)),"Cabo Verde",
ISNUMBER(SEARCH("Czechia",S4112)),"Czech Republic",
ISNUMBER(SEARCH("Türkiye",S4112)),"Turkey",
ISNUMBER(SEARCH("Ivory Coast",S4112)),"Côte d'Ivoire",
ISNUMBER(SEARCH("Korea Republic",S4112)),"South Korea",
ISNUMBER(SEARCH("Germany FR",S4112)),"FR Germany",
ISNUMBER(SEARCH("West Germany",S4112)),"FR Germany",
ISNUMBER(SEARCH("Germany DR",S4112)),"DR Germany",
ISNUMBER(SEARCH("Korea DPR",S4112)),"North Korea",
ISNUMBER(SEARCH("China PR",S4112)),"China",
ISNUMBER(SEARCH("IR Iran",S4112)),"Iran",
ISNUMBER(SEARCH("Congo DR",S4112)),"Democratic Republic of the Congo",
ISNUMBER(SEARCH("DR Congo",S4112)),"Democratic Republic of the Congo",
ISNUMBER(SEARCH("German DR",S4112)),"DR Germany",
ISNUMBER(SEARCH("rn""&gt;United Arab Emirates",S4112)),"United Arab Emirates",
ISNUMBER(SEARCH("rn""&gt;Republic of Ireland",S4112)),"Ireland",
ISNUMBER(SEARCH("rn""&gt;Bosnia and Herzegovina",S4112)),"Bosnia and Herzegovina",
ISNUMBER(SEARCH("rn""&gt;Trinidad and Tobago",S4112)),"Trinidad and Tobago",
ISNUMBER(SEARCH("rn""&gt;Serbia and Montenegro",S4112)),"Serbia and Montenegro",
ISNUMBER(SEARCH(_xlfn.UNICHAR(65533),S4112)),"Côte d'Ivoire",
TRUE,""
)</f>
        <v>Serbia and Montenegro</v>
      </c>
      <c r="W4112" s="40" t="str">
        <f t="shared" si="267"/>
        <v>Serbia and Montenegro</v>
      </c>
    </row>
    <row r="4113" spans="19:23">
      <c r="S4113" s="40" t="str">
        <v>Italy</v>
      </c>
      <c r="T4113" s="40" t="str">
        <f t="shared" si="265"/>
        <v>OK</v>
      </c>
      <c r="U4113" s="40" t="str">
        <f t="shared" si="266"/>
        <v>-</v>
      </c>
      <c r="V4113" s="40" t="str" cm="1">
        <f t="array" ref="V4113">_xlfn.IFS(
ISNUMBER(SEARCH("USA",S4113)),"United States",
ISNUMBER(SEARCH("Republic of Ireland",S4113)),"Ireland",
ISNUMBER(SEARCH("Republic of Korea",S4113)),"South Korea",
ISNUMBER(SEARCH("Cape Verde",S4113)),"Cabo Verde",
ISNUMBER(SEARCH("Czechia",S4113)),"Czech Republic",
ISNUMBER(SEARCH("Türkiye",S4113)),"Turkey",
ISNUMBER(SEARCH("Ivory Coast",S4113)),"Côte d'Ivoire",
ISNUMBER(SEARCH("Korea Republic",S4113)),"South Korea",
ISNUMBER(SEARCH("Germany FR",S4113)),"FR Germany",
ISNUMBER(SEARCH("West Germany",S4113)),"FR Germany",
ISNUMBER(SEARCH("Germany DR",S4113)),"DR Germany",
ISNUMBER(SEARCH("Korea DPR",S4113)),"North Korea",
ISNUMBER(SEARCH("China PR",S4113)),"China",
ISNUMBER(SEARCH("IR Iran",S4113)),"Iran",
ISNUMBER(SEARCH("Congo DR",S4113)),"Democratic Republic of the Congo",
ISNUMBER(SEARCH("DR Congo",S4113)),"Democratic Republic of the Congo",
ISNUMBER(SEARCH("German DR",S4113)),"DR Germany",
ISNUMBER(SEARCH("rn""&gt;United Arab Emirates",S4113)),"United Arab Emirates",
ISNUMBER(SEARCH("rn""&gt;Republic of Ireland",S4113)),"Ireland",
ISNUMBER(SEARCH("rn""&gt;Bosnia and Herzegovina",S4113)),"Bosnia and Herzegovina",
ISNUMBER(SEARCH("rn""&gt;Trinidad and Tobago",S4113)),"Trinidad and Tobago",
ISNUMBER(SEARCH("rn""&gt;Serbia and Montenegro",S4113)),"Serbia and Montenegro",
ISNUMBER(SEARCH(_xlfn.UNICHAR(65533),S4113)),"Côte d'Ivoire",
TRUE,""
)</f>
        <v/>
      </c>
      <c r="W4113" s="40" t="str">
        <f t="shared" si="267"/>
        <v>Italy</v>
      </c>
    </row>
    <row r="4114" spans="19:23">
      <c r="S4114" s="40" t="str">
        <v>USA</v>
      </c>
      <c r="T4114" s="40" t="str">
        <f t="shared" si="265"/>
        <v>ERREUR</v>
      </c>
      <c r="U4114" s="40" t="str">
        <f t="shared" si="266"/>
        <v>RENOMMER</v>
      </c>
      <c r="V4114" s="40" t="str" cm="1">
        <f t="array" ref="V4114">_xlfn.IFS(
ISNUMBER(SEARCH("USA",S4114)),"United States",
ISNUMBER(SEARCH("Republic of Ireland",S4114)),"Ireland",
ISNUMBER(SEARCH("Republic of Korea",S4114)),"South Korea",
ISNUMBER(SEARCH("Cape Verde",S4114)),"Cabo Verde",
ISNUMBER(SEARCH("Czechia",S4114)),"Czech Republic",
ISNUMBER(SEARCH("Türkiye",S4114)),"Turkey",
ISNUMBER(SEARCH("Ivory Coast",S4114)),"Côte d'Ivoire",
ISNUMBER(SEARCH("Korea Republic",S4114)),"South Korea",
ISNUMBER(SEARCH("Germany FR",S4114)),"FR Germany",
ISNUMBER(SEARCH("West Germany",S4114)),"FR Germany",
ISNUMBER(SEARCH("Germany DR",S4114)),"DR Germany",
ISNUMBER(SEARCH("Korea DPR",S4114)),"North Korea",
ISNUMBER(SEARCH("China PR",S4114)),"China",
ISNUMBER(SEARCH("IR Iran",S4114)),"Iran",
ISNUMBER(SEARCH("Congo DR",S4114)),"Democratic Republic of the Congo",
ISNUMBER(SEARCH("DR Congo",S4114)),"Democratic Republic of the Congo",
ISNUMBER(SEARCH("German DR",S4114)),"DR Germany",
ISNUMBER(SEARCH("rn""&gt;United Arab Emirates",S4114)),"United Arab Emirates",
ISNUMBER(SEARCH("rn""&gt;Republic of Ireland",S4114)),"Ireland",
ISNUMBER(SEARCH("rn""&gt;Bosnia and Herzegovina",S4114)),"Bosnia and Herzegovina",
ISNUMBER(SEARCH("rn""&gt;Trinidad and Tobago",S4114)),"Trinidad and Tobago",
ISNUMBER(SEARCH("rn""&gt;Serbia and Montenegro",S4114)),"Serbia and Montenegro",
ISNUMBER(SEARCH(_xlfn.UNICHAR(65533),S4114)),"Côte d'Ivoire",
TRUE,""
)</f>
        <v>United States</v>
      </c>
      <c r="W4114" s="40" t="str">
        <f t="shared" si="267"/>
        <v>United States</v>
      </c>
    </row>
    <row r="4115" spans="19:23">
      <c r="S4115" s="40" t="str">
        <v>Brazil</v>
      </c>
      <c r="T4115" s="40" t="str">
        <f t="shared" si="265"/>
        <v>OK</v>
      </c>
      <c r="U4115" s="40" t="str">
        <f t="shared" si="266"/>
        <v>-</v>
      </c>
      <c r="V4115" s="40" t="str" cm="1">
        <f t="array" ref="V4115">_xlfn.IFS(
ISNUMBER(SEARCH("USA",S4115)),"United States",
ISNUMBER(SEARCH("Republic of Ireland",S4115)),"Ireland",
ISNUMBER(SEARCH("Republic of Korea",S4115)),"South Korea",
ISNUMBER(SEARCH("Cape Verde",S4115)),"Cabo Verde",
ISNUMBER(SEARCH("Czechia",S4115)),"Czech Republic",
ISNUMBER(SEARCH("Türkiye",S4115)),"Turkey",
ISNUMBER(SEARCH("Ivory Coast",S4115)),"Côte d'Ivoire",
ISNUMBER(SEARCH("Korea Republic",S4115)),"South Korea",
ISNUMBER(SEARCH("Germany FR",S4115)),"FR Germany",
ISNUMBER(SEARCH("West Germany",S4115)),"FR Germany",
ISNUMBER(SEARCH("Germany DR",S4115)),"DR Germany",
ISNUMBER(SEARCH("Korea DPR",S4115)),"North Korea",
ISNUMBER(SEARCH("China PR",S4115)),"China",
ISNUMBER(SEARCH("IR Iran",S4115)),"Iran",
ISNUMBER(SEARCH("Congo DR",S4115)),"Democratic Republic of the Congo",
ISNUMBER(SEARCH("DR Congo",S4115)),"Democratic Republic of the Congo",
ISNUMBER(SEARCH("German DR",S4115)),"DR Germany",
ISNUMBER(SEARCH("rn""&gt;United Arab Emirates",S4115)),"United Arab Emirates",
ISNUMBER(SEARCH("rn""&gt;Republic of Ireland",S4115)),"Ireland",
ISNUMBER(SEARCH("rn""&gt;Bosnia and Herzegovina",S4115)),"Bosnia and Herzegovina",
ISNUMBER(SEARCH("rn""&gt;Trinidad and Tobago",S4115)),"Trinidad and Tobago",
ISNUMBER(SEARCH("rn""&gt;Serbia and Montenegro",S4115)),"Serbia and Montenegro",
ISNUMBER(SEARCH(_xlfn.UNICHAR(65533),S4115)),"Côte d'Ivoire",
TRUE,""
)</f>
        <v/>
      </c>
      <c r="W4115" s="40" t="str">
        <f t="shared" si="267"/>
        <v>Brazil</v>
      </c>
    </row>
    <row r="4116" spans="19:23">
      <c r="S4116" s="40" t="str">
        <v>Australia</v>
      </c>
      <c r="T4116" s="40" t="str">
        <f t="shared" si="265"/>
        <v>OK</v>
      </c>
      <c r="U4116" s="40" t="str">
        <f t="shared" si="266"/>
        <v>-</v>
      </c>
      <c r="V4116" s="40" t="str" cm="1">
        <f t="array" ref="V4116">_xlfn.IFS(
ISNUMBER(SEARCH("USA",S4116)),"United States",
ISNUMBER(SEARCH("Republic of Ireland",S4116)),"Ireland",
ISNUMBER(SEARCH("Republic of Korea",S4116)),"South Korea",
ISNUMBER(SEARCH("Cape Verde",S4116)),"Cabo Verde",
ISNUMBER(SEARCH("Czechia",S4116)),"Czech Republic",
ISNUMBER(SEARCH("Türkiye",S4116)),"Turkey",
ISNUMBER(SEARCH("Ivory Coast",S4116)),"Côte d'Ivoire",
ISNUMBER(SEARCH("Korea Republic",S4116)),"South Korea",
ISNUMBER(SEARCH("Germany FR",S4116)),"FR Germany",
ISNUMBER(SEARCH("West Germany",S4116)),"FR Germany",
ISNUMBER(SEARCH("Germany DR",S4116)),"DR Germany",
ISNUMBER(SEARCH("Korea DPR",S4116)),"North Korea",
ISNUMBER(SEARCH("China PR",S4116)),"China",
ISNUMBER(SEARCH("IR Iran",S4116)),"Iran",
ISNUMBER(SEARCH("Congo DR",S4116)),"Democratic Republic of the Congo",
ISNUMBER(SEARCH("DR Congo",S4116)),"Democratic Republic of the Congo",
ISNUMBER(SEARCH("German DR",S4116)),"DR Germany",
ISNUMBER(SEARCH("rn""&gt;United Arab Emirates",S4116)),"United Arab Emirates",
ISNUMBER(SEARCH("rn""&gt;Republic of Ireland",S4116)),"Ireland",
ISNUMBER(SEARCH("rn""&gt;Bosnia and Herzegovina",S4116)),"Bosnia and Herzegovina",
ISNUMBER(SEARCH("rn""&gt;Trinidad and Tobago",S4116)),"Trinidad and Tobago",
ISNUMBER(SEARCH("rn""&gt;Serbia and Montenegro",S4116)),"Serbia and Montenegro",
ISNUMBER(SEARCH(_xlfn.UNICHAR(65533),S4116)),"Côte d'Ivoire",
TRUE,""
)</f>
        <v/>
      </c>
      <c r="W4116" s="40" t="str">
        <f t="shared" si="267"/>
        <v>Australia</v>
      </c>
    </row>
    <row r="4117" spans="19:23">
      <c r="S4117" s="40" t="str">
        <v>Tunisia</v>
      </c>
      <c r="T4117" s="40" t="str">
        <f t="shared" si="265"/>
        <v>OK</v>
      </c>
      <c r="U4117" s="40" t="str">
        <f t="shared" si="266"/>
        <v>-</v>
      </c>
      <c r="V4117" s="40" t="str" cm="1">
        <f t="array" ref="V4117">_xlfn.IFS(
ISNUMBER(SEARCH("USA",S4117)),"United States",
ISNUMBER(SEARCH("Republic of Ireland",S4117)),"Ireland",
ISNUMBER(SEARCH("Republic of Korea",S4117)),"South Korea",
ISNUMBER(SEARCH("Cape Verde",S4117)),"Cabo Verde",
ISNUMBER(SEARCH("Czechia",S4117)),"Czech Republic",
ISNUMBER(SEARCH("Türkiye",S4117)),"Turkey",
ISNUMBER(SEARCH("Ivory Coast",S4117)),"Côte d'Ivoire",
ISNUMBER(SEARCH("Korea Republic",S4117)),"South Korea",
ISNUMBER(SEARCH("Germany FR",S4117)),"FR Germany",
ISNUMBER(SEARCH("West Germany",S4117)),"FR Germany",
ISNUMBER(SEARCH("Germany DR",S4117)),"DR Germany",
ISNUMBER(SEARCH("Korea DPR",S4117)),"North Korea",
ISNUMBER(SEARCH("China PR",S4117)),"China",
ISNUMBER(SEARCH("IR Iran",S4117)),"Iran",
ISNUMBER(SEARCH("Congo DR",S4117)),"Democratic Republic of the Congo",
ISNUMBER(SEARCH("DR Congo",S4117)),"Democratic Republic of the Congo",
ISNUMBER(SEARCH("German DR",S4117)),"DR Germany",
ISNUMBER(SEARCH("rn""&gt;United Arab Emirates",S4117)),"United Arab Emirates",
ISNUMBER(SEARCH("rn""&gt;Republic of Ireland",S4117)),"Ireland",
ISNUMBER(SEARCH("rn""&gt;Bosnia and Herzegovina",S4117)),"Bosnia and Herzegovina",
ISNUMBER(SEARCH("rn""&gt;Trinidad and Tobago",S4117)),"Trinidad and Tobago",
ISNUMBER(SEARCH("rn""&gt;Serbia and Montenegro",S4117)),"Serbia and Montenegro",
ISNUMBER(SEARCH(_xlfn.UNICHAR(65533),S4117)),"Côte d'Ivoire",
TRUE,""
)</f>
        <v/>
      </c>
      <c r="W4117" s="40" t="str">
        <f t="shared" si="267"/>
        <v>Tunisia</v>
      </c>
    </row>
    <row r="4118" spans="19:23">
      <c r="S4118" s="40" t="str">
        <v>Spain</v>
      </c>
      <c r="T4118" s="40" t="str">
        <f t="shared" si="265"/>
        <v>OK</v>
      </c>
      <c r="U4118" s="40" t="str">
        <f t="shared" si="266"/>
        <v>-</v>
      </c>
      <c r="V4118" s="40" t="str" cm="1">
        <f t="array" ref="V4118">_xlfn.IFS(
ISNUMBER(SEARCH("USA",S4118)),"United States",
ISNUMBER(SEARCH("Republic of Ireland",S4118)),"Ireland",
ISNUMBER(SEARCH("Republic of Korea",S4118)),"South Korea",
ISNUMBER(SEARCH("Cape Verde",S4118)),"Cabo Verde",
ISNUMBER(SEARCH("Czechia",S4118)),"Czech Republic",
ISNUMBER(SEARCH("Türkiye",S4118)),"Turkey",
ISNUMBER(SEARCH("Ivory Coast",S4118)),"Côte d'Ivoire",
ISNUMBER(SEARCH("Korea Republic",S4118)),"South Korea",
ISNUMBER(SEARCH("Germany FR",S4118)),"FR Germany",
ISNUMBER(SEARCH("West Germany",S4118)),"FR Germany",
ISNUMBER(SEARCH("Germany DR",S4118)),"DR Germany",
ISNUMBER(SEARCH("Korea DPR",S4118)),"North Korea",
ISNUMBER(SEARCH("China PR",S4118)),"China",
ISNUMBER(SEARCH("IR Iran",S4118)),"Iran",
ISNUMBER(SEARCH("Congo DR",S4118)),"Democratic Republic of the Congo",
ISNUMBER(SEARCH("DR Congo",S4118)),"Democratic Republic of the Congo",
ISNUMBER(SEARCH("German DR",S4118)),"DR Germany",
ISNUMBER(SEARCH("rn""&gt;United Arab Emirates",S4118)),"United Arab Emirates",
ISNUMBER(SEARCH("rn""&gt;Republic of Ireland",S4118)),"Ireland",
ISNUMBER(SEARCH("rn""&gt;Bosnia and Herzegovina",S4118)),"Bosnia and Herzegovina",
ISNUMBER(SEARCH("rn""&gt;Trinidad and Tobago",S4118)),"Trinidad and Tobago",
ISNUMBER(SEARCH("rn""&gt;Serbia and Montenegro",S4118)),"Serbia and Montenegro",
ISNUMBER(SEARCH(_xlfn.UNICHAR(65533),S4118)),"Côte d'Ivoire",
TRUE,""
)</f>
        <v/>
      </c>
      <c r="W4118" s="40" t="str">
        <f t="shared" si="267"/>
        <v>Spain</v>
      </c>
    </row>
    <row r="4119" spans="19:23">
      <c r="S4119" s="40" t="str">
        <v>France</v>
      </c>
      <c r="T4119" s="40" t="str">
        <f t="shared" si="265"/>
        <v>OK</v>
      </c>
      <c r="U4119" s="40" t="str">
        <f t="shared" si="266"/>
        <v>-</v>
      </c>
      <c r="V4119" s="40" t="str" cm="1">
        <f t="array" ref="V4119">_xlfn.IFS(
ISNUMBER(SEARCH("USA",S4119)),"United States",
ISNUMBER(SEARCH("Republic of Ireland",S4119)),"Ireland",
ISNUMBER(SEARCH("Republic of Korea",S4119)),"South Korea",
ISNUMBER(SEARCH("Cape Verde",S4119)),"Cabo Verde",
ISNUMBER(SEARCH("Czechia",S4119)),"Czech Republic",
ISNUMBER(SEARCH("Türkiye",S4119)),"Turkey",
ISNUMBER(SEARCH("Ivory Coast",S4119)),"Côte d'Ivoire",
ISNUMBER(SEARCH("Korea Republic",S4119)),"South Korea",
ISNUMBER(SEARCH("Germany FR",S4119)),"FR Germany",
ISNUMBER(SEARCH("West Germany",S4119)),"FR Germany",
ISNUMBER(SEARCH("Germany DR",S4119)),"DR Germany",
ISNUMBER(SEARCH("Korea DPR",S4119)),"North Korea",
ISNUMBER(SEARCH("China PR",S4119)),"China",
ISNUMBER(SEARCH("IR Iran",S4119)),"Iran",
ISNUMBER(SEARCH("Congo DR",S4119)),"Democratic Republic of the Congo",
ISNUMBER(SEARCH("DR Congo",S4119)),"Democratic Republic of the Congo",
ISNUMBER(SEARCH("German DR",S4119)),"DR Germany",
ISNUMBER(SEARCH("rn""&gt;United Arab Emirates",S4119)),"United Arab Emirates",
ISNUMBER(SEARCH("rn""&gt;Republic of Ireland",S4119)),"Ireland",
ISNUMBER(SEARCH("rn""&gt;Bosnia and Herzegovina",S4119)),"Bosnia and Herzegovina",
ISNUMBER(SEARCH("rn""&gt;Trinidad and Tobago",S4119)),"Trinidad and Tobago",
ISNUMBER(SEARCH("rn""&gt;Serbia and Montenegro",S4119)),"Serbia and Montenegro",
ISNUMBER(SEARCH(_xlfn.UNICHAR(65533),S4119)),"Côte d'Ivoire",
TRUE,""
)</f>
        <v/>
      </c>
      <c r="W4119" s="40" t="str">
        <f t="shared" si="267"/>
        <v>France</v>
      </c>
    </row>
    <row r="4120" spans="19:23">
      <c r="S4120" s="40" t="str">
        <v>Korea Republic</v>
      </c>
      <c r="T4120" s="40" t="str">
        <f t="shared" si="265"/>
        <v>ERREUR</v>
      </c>
      <c r="U4120" s="40" t="str">
        <f t="shared" si="266"/>
        <v>RENOMMER</v>
      </c>
      <c r="V4120" s="40" t="str" cm="1">
        <f t="array" ref="V4120">_xlfn.IFS(
ISNUMBER(SEARCH("USA",S4120)),"United States",
ISNUMBER(SEARCH("Republic of Ireland",S4120)),"Ireland",
ISNUMBER(SEARCH("Republic of Korea",S4120)),"South Korea",
ISNUMBER(SEARCH("Cape Verde",S4120)),"Cabo Verde",
ISNUMBER(SEARCH("Czechia",S4120)),"Czech Republic",
ISNUMBER(SEARCH("Türkiye",S4120)),"Turkey",
ISNUMBER(SEARCH("Ivory Coast",S4120)),"Côte d'Ivoire",
ISNUMBER(SEARCH("Korea Republic",S4120)),"South Korea",
ISNUMBER(SEARCH("Germany FR",S4120)),"FR Germany",
ISNUMBER(SEARCH("West Germany",S4120)),"FR Germany",
ISNUMBER(SEARCH("Germany DR",S4120)),"DR Germany",
ISNUMBER(SEARCH("Korea DPR",S4120)),"North Korea",
ISNUMBER(SEARCH("China PR",S4120)),"China",
ISNUMBER(SEARCH("IR Iran",S4120)),"Iran",
ISNUMBER(SEARCH("Congo DR",S4120)),"Democratic Republic of the Congo",
ISNUMBER(SEARCH("DR Congo",S4120)),"Democratic Republic of the Congo",
ISNUMBER(SEARCH("German DR",S4120)),"DR Germany",
ISNUMBER(SEARCH("rn""&gt;United Arab Emirates",S4120)),"United Arab Emirates",
ISNUMBER(SEARCH("rn""&gt;Republic of Ireland",S4120)),"Ireland",
ISNUMBER(SEARCH("rn""&gt;Bosnia and Herzegovina",S4120)),"Bosnia and Herzegovina",
ISNUMBER(SEARCH("rn""&gt;Trinidad and Tobago",S4120)),"Trinidad and Tobago",
ISNUMBER(SEARCH("rn""&gt;Serbia and Montenegro",S4120)),"Serbia and Montenegro",
ISNUMBER(SEARCH(_xlfn.UNICHAR(65533),S4120)),"Côte d'Ivoire",
TRUE,""
)</f>
        <v>South Korea</v>
      </c>
      <c r="W4120" s="40" t="str">
        <f t="shared" si="267"/>
        <v>South Korea</v>
      </c>
    </row>
    <row r="4121" spans="19:23">
      <c r="S4121" s="40" t="str">
        <v>Sweden</v>
      </c>
      <c r="T4121" s="40" t="str">
        <f t="shared" si="265"/>
        <v>OK</v>
      </c>
      <c r="U4121" s="40" t="str">
        <f t="shared" si="266"/>
        <v>-</v>
      </c>
      <c r="V4121" s="40" t="str" cm="1">
        <f t="array" ref="V4121">_xlfn.IFS(
ISNUMBER(SEARCH("USA",S4121)),"United States",
ISNUMBER(SEARCH("Republic of Ireland",S4121)),"Ireland",
ISNUMBER(SEARCH("Republic of Korea",S4121)),"South Korea",
ISNUMBER(SEARCH("Cape Verde",S4121)),"Cabo Verde",
ISNUMBER(SEARCH("Czechia",S4121)),"Czech Republic",
ISNUMBER(SEARCH("Türkiye",S4121)),"Turkey",
ISNUMBER(SEARCH("Ivory Coast",S4121)),"Côte d'Ivoire",
ISNUMBER(SEARCH("Korea Republic",S4121)),"South Korea",
ISNUMBER(SEARCH("Germany FR",S4121)),"FR Germany",
ISNUMBER(SEARCH("West Germany",S4121)),"FR Germany",
ISNUMBER(SEARCH("Germany DR",S4121)),"DR Germany",
ISNUMBER(SEARCH("Korea DPR",S4121)),"North Korea",
ISNUMBER(SEARCH("China PR",S4121)),"China",
ISNUMBER(SEARCH("IR Iran",S4121)),"Iran",
ISNUMBER(SEARCH("Congo DR",S4121)),"Democratic Republic of the Congo",
ISNUMBER(SEARCH("DR Congo",S4121)),"Democratic Republic of the Congo",
ISNUMBER(SEARCH("German DR",S4121)),"DR Germany",
ISNUMBER(SEARCH("rn""&gt;United Arab Emirates",S4121)),"United Arab Emirates",
ISNUMBER(SEARCH("rn""&gt;Republic of Ireland",S4121)),"Ireland",
ISNUMBER(SEARCH("rn""&gt;Bosnia and Herzegovina",S4121)),"Bosnia and Herzegovina",
ISNUMBER(SEARCH("rn""&gt;Trinidad and Tobago",S4121)),"Trinidad and Tobago",
ISNUMBER(SEARCH("rn""&gt;Serbia and Montenegro",S4121)),"Serbia and Montenegro",
ISNUMBER(SEARCH(_xlfn.UNICHAR(65533),S4121)),"Côte d'Ivoire",
TRUE,""
)</f>
        <v/>
      </c>
      <c r="W4121" s="40" t="str">
        <f t="shared" si="267"/>
        <v>Sweden</v>
      </c>
    </row>
    <row r="4122" spans="19:23">
      <c r="S4122" s="40" t="str">
        <v>Mexico</v>
      </c>
      <c r="T4122" s="40" t="str">
        <f t="shared" si="265"/>
        <v>OK</v>
      </c>
      <c r="U4122" s="40" t="str">
        <f t="shared" si="266"/>
        <v>-</v>
      </c>
      <c r="V4122" s="40" t="str" cm="1">
        <f t="array" ref="V4122">_xlfn.IFS(
ISNUMBER(SEARCH("USA",S4122)),"United States",
ISNUMBER(SEARCH("Republic of Ireland",S4122)),"Ireland",
ISNUMBER(SEARCH("Republic of Korea",S4122)),"South Korea",
ISNUMBER(SEARCH("Cape Verde",S4122)),"Cabo Verde",
ISNUMBER(SEARCH("Czechia",S4122)),"Czech Republic",
ISNUMBER(SEARCH("Türkiye",S4122)),"Turkey",
ISNUMBER(SEARCH("Ivory Coast",S4122)),"Côte d'Ivoire",
ISNUMBER(SEARCH("Korea Republic",S4122)),"South Korea",
ISNUMBER(SEARCH("Germany FR",S4122)),"FR Germany",
ISNUMBER(SEARCH("West Germany",S4122)),"FR Germany",
ISNUMBER(SEARCH("Germany DR",S4122)),"DR Germany",
ISNUMBER(SEARCH("Korea DPR",S4122)),"North Korea",
ISNUMBER(SEARCH("China PR",S4122)),"China",
ISNUMBER(SEARCH("IR Iran",S4122)),"Iran",
ISNUMBER(SEARCH("Congo DR",S4122)),"Democratic Republic of the Congo",
ISNUMBER(SEARCH("DR Congo",S4122)),"Democratic Republic of the Congo",
ISNUMBER(SEARCH("German DR",S4122)),"DR Germany",
ISNUMBER(SEARCH("rn""&gt;United Arab Emirates",S4122)),"United Arab Emirates",
ISNUMBER(SEARCH("rn""&gt;Republic of Ireland",S4122)),"Ireland",
ISNUMBER(SEARCH("rn""&gt;Bosnia and Herzegovina",S4122)),"Bosnia and Herzegovina",
ISNUMBER(SEARCH("rn""&gt;Trinidad and Tobago",S4122)),"Trinidad and Tobago",
ISNUMBER(SEARCH("rn""&gt;Serbia and Montenegro",S4122)),"Serbia and Montenegro",
ISNUMBER(SEARCH(_xlfn.UNICHAR(65533),S4122)),"Côte d'Ivoire",
TRUE,""
)</f>
        <v/>
      </c>
      <c r="W4122" s="40" t="str">
        <f t="shared" si="267"/>
        <v>Mexico</v>
      </c>
    </row>
    <row r="4123" spans="19:23">
      <c r="S4123" s="40" t="str">
        <v>Ecuador</v>
      </c>
      <c r="T4123" s="40" t="str">
        <f t="shared" si="265"/>
        <v>OK</v>
      </c>
      <c r="U4123" s="40" t="str">
        <f t="shared" si="266"/>
        <v>-</v>
      </c>
      <c r="V4123" s="40" t="str" cm="1">
        <f t="array" ref="V4123">_xlfn.IFS(
ISNUMBER(SEARCH("USA",S4123)),"United States",
ISNUMBER(SEARCH("Republic of Ireland",S4123)),"Ireland",
ISNUMBER(SEARCH("Republic of Korea",S4123)),"South Korea",
ISNUMBER(SEARCH("Cape Verde",S4123)),"Cabo Verde",
ISNUMBER(SEARCH("Czechia",S4123)),"Czech Republic",
ISNUMBER(SEARCH("Türkiye",S4123)),"Turkey",
ISNUMBER(SEARCH("Ivory Coast",S4123)),"Côte d'Ivoire",
ISNUMBER(SEARCH("Korea Republic",S4123)),"South Korea",
ISNUMBER(SEARCH("Germany FR",S4123)),"FR Germany",
ISNUMBER(SEARCH("West Germany",S4123)),"FR Germany",
ISNUMBER(SEARCH("Germany DR",S4123)),"DR Germany",
ISNUMBER(SEARCH("Korea DPR",S4123)),"North Korea",
ISNUMBER(SEARCH("China PR",S4123)),"China",
ISNUMBER(SEARCH("IR Iran",S4123)),"Iran",
ISNUMBER(SEARCH("Congo DR",S4123)),"Democratic Republic of the Congo",
ISNUMBER(SEARCH("DR Congo",S4123)),"Democratic Republic of the Congo",
ISNUMBER(SEARCH("German DR",S4123)),"DR Germany",
ISNUMBER(SEARCH("rn""&gt;United Arab Emirates",S4123)),"United Arab Emirates",
ISNUMBER(SEARCH("rn""&gt;Republic of Ireland",S4123)),"Ireland",
ISNUMBER(SEARCH("rn""&gt;Bosnia and Herzegovina",S4123)),"Bosnia and Herzegovina",
ISNUMBER(SEARCH("rn""&gt;Trinidad and Tobago",S4123)),"Trinidad and Tobago",
ISNUMBER(SEARCH("rn""&gt;Serbia and Montenegro",S4123)),"Serbia and Montenegro",
ISNUMBER(SEARCH(_xlfn.UNICHAR(65533),S4123)),"Côte d'Ivoire",
TRUE,""
)</f>
        <v/>
      </c>
      <c r="W4123" s="40" t="str">
        <f t="shared" si="267"/>
        <v>Ecuador</v>
      </c>
    </row>
    <row r="4124" spans="19:23">
      <c r="S4124" s="40" t="str">
        <v>Netherlands</v>
      </c>
      <c r="T4124" s="40" t="str">
        <f t="shared" si="265"/>
        <v>OK</v>
      </c>
      <c r="U4124" s="40" t="str">
        <f t="shared" si="266"/>
        <v>-</v>
      </c>
      <c r="V4124" s="40" t="str" cm="1">
        <f t="array" ref="V4124">_xlfn.IFS(
ISNUMBER(SEARCH("USA",S4124)),"United States",
ISNUMBER(SEARCH("Republic of Ireland",S4124)),"Ireland",
ISNUMBER(SEARCH("Republic of Korea",S4124)),"South Korea",
ISNUMBER(SEARCH("Cape Verde",S4124)),"Cabo Verde",
ISNUMBER(SEARCH("Czechia",S4124)),"Czech Republic",
ISNUMBER(SEARCH("Türkiye",S4124)),"Turkey",
ISNUMBER(SEARCH("Ivory Coast",S4124)),"Côte d'Ivoire",
ISNUMBER(SEARCH("Korea Republic",S4124)),"South Korea",
ISNUMBER(SEARCH("Germany FR",S4124)),"FR Germany",
ISNUMBER(SEARCH("West Germany",S4124)),"FR Germany",
ISNUMBER(SEARCH("Germany DR",S4124)),"DR Germany",
ISNUMBER(SEARCH("Korea DPR",S4124)),"North Korea",
ISNUMBER(SEARCH("China PR",S4124)),"China",
ISNUMBER(SEARCH("IR Iran",S4124)),"Iran",
ISNUMBER(SEARCH("Congo DR",S4124)),"Democratic Republic of the Congo",
ISNUMBER(SEARCH("DR Congo",S4124)),"Democratic Republic of the Congo",
ISNUMBER(SEARCH("German DR",S4124)),"DR Germany",
ISNUMBER(SEARCH("rn""&gt;United Arab Emirates",S4124)),"United Arab Emirates",
ISNUMBER(SEARCH("rn""&gt;Republic of Ireland",S4124)),"Ireland",
ISNUMBER(SEARCH("rn""&gt;Bosnia and Herzegovina",S4124)),"Bosnia and Herzegovina",
ISNUMBER(SEARCH("rn""&gt;Trinidad and Tobago",S4124)),"Trinidad and Tobago",
ISNUMBER(SEARCH("rn""&gt;Serbia and Montenegro",S4124)),"Serbia and Montenegro",
ISNUMBER(SEARCH(_xlfn.UNICHAR(65533),S4124)),"Côte d'Ivoire",
TRUE,""
)</f>
        <v/>
      </c>
      <c r="W4124" s="40" t="str">
        <f t="shared" si="267"/>
        <v>Netherlands</v>
      </c>
    </row>
    <row r="4125" spans="19:23">
      <c r="S4125" s="40" t="str">
        <v>Australia</v>
      </c>
      <c r="T4125" s="40" t="str">
        <f t="shared" si="265"/>
        <v>OK</v>
      </c>
      <c r="U4125" s="40" t="str">
        <f t="shared" si="266"/>
        <v>-</v>
      </c>
      <c r="V4125" s="40" t="str" cm="1">
        <f t="array" ref="V4125">_xlfn.IFS(
ISNUMBER(SEARCH("USA",S4125)),"United States",
ISNUMBER(SEARCH("Republic of Ireland",S4125)),"Ireland",
ISNUMBER(SEARCH("Republic of Korea",S4125)),"South Korea",
ISNUMBER(SEARCH("Cape Verde",S4125)),"Cabo Verde",
ISNUMBER(SEARCH("Czechia",S4125)),"Czech Republic",
ISNUMBER(SEARCH("Türkiye",S4125)),"Turkey",
ISNUMBER(SEARCH("Ivory Coast",S4125)),"Côte d'Ivoire",
ISNUMBER(SEARCH("Korea Republic",S4125)),"South Korea",
ISNUMBER(SEARCH("Germany FR",S4125)),"FR Germany",
ISNUMBER(SEARCH("West Germany",S4125)),"FR Germany",
ISNUMBER(SEARCH("Germany DR",S4125)),"DR Germany",
ISNUMBER(SEARCH("Korea DPR",S4125)),"North Korea",
ISNUMBER(SEARCH("China PR",S4125)),"China",
ISNUMBER(SEARCH("IR Iran",S4125)),"Iran",
ISNUMBER(SEARCH("Congo DR",S4125)),"Democratic Republic of the Congo",
ISNUMBER(SEARCH("DR Congo",S4125)),"Democratic Republic of the Congo",
ISNUMBER(SEARCH("German DR",S4125)),"DR Germany",
ISNUMBER(SEARCH("rn""&gt;United Arab Emirates",S4125)),"United Arab Emirates",
ISNUMBER(SEARCH("rn""&gt;Republic of Ireland",S4125)),"Ireland",
ISNUMBER(SEARCH("rn""&gt;Bosnia and Herzegovina",S4125)),"Bosnia and Herzegovina",
ISNUMBER(SEARCH("rn""&gt;Trinidad and Tobago",S4125)),"Trinidad and Tobago",
ISNUMBER(SEARCH("rn""&gt;Serbia and Montenegro",S4125)),"Serbia and Montenegro",
ISNUMBER(SEARCH(_xlfn.UNICHAR(65533),S4125)),"Côte d'Ivoire",
TRUE,""
)</f>
        <v/>
      </c>
      <c r="W4125" s="40" t="str">
        <f t="shared" si="267"/>
        <v>Australia</v>
      </c>
    </row>
    <row r="4126" spans="19:23">
      <c r="S4126" s="40" t="str">
        <v>Ukraine</v>
      </c>
      <c r="T4126" s="40" t="str">
        <f t="shared" si="265"/>
        <v>OK</v>
      </c>
      <c r="U4126" s="40" t="str">
        <f t="shared" si="266"/>
        <v>-</v>
      </c>
      <c r="V4126" s="40" t="str" cm="1">
        <f t="array" ref="V4126">_xlfn.IFS(
ISNUMBER(SEARCH("USA",S4126)),"United States",
ISNUMBER(SEARCH("Republic of Ireland",S4126)),"Ireland",
ISNUMBER(SEARCH("Republic of Korea",S4126)),"South Korea",
ISNUMBER(SEARCH("Cape Verde",S4126)),"Cabo Verde",
ISNUMBER(SEARCH("Czechia",S4126)),"Czech Republic",
ISNUMBER(SEARCH("Türkiye",S4126)),"Turkey",
ISNUMBER(SEARCH("Ivory Coast",S4126)),"Côte d'Ivoire",
ISNUMBER(SEARCH("Korea Republic",S4126)),"South Korea",
ISNUMBER(SEARCH("Germany FR",S4126)),"FR Germany",
ISNUMBER(SEARCH("West Germany",S4126)),"FR Germany",
ISNUMBER(SEARCH("Germany DR",S4126)),"DR Germany",
ISNUMBER(SEARCH("Korea DPR",S4126)),"North Korea",
ISNUMBER(SEARCH("China PR",S4126)),"China",
ISNUMBER(SEARCH("IR Iran",S4126)),"Iran",
ISNUMBER(SEARCH("Congo DR",S4126)),"Democratic Republic of the Congo",
ISNUMBER(SEARCH("DR Congo",S4126)),"Democratic Republic of the Congo",
ISNUMBER(SEARCH("German DR",S4126)),"DR Germany",
ISNUMBER(SEARCH("rn""&gt;United Arab Emirates",S4126)),"United Arab Emirates",
ISNUMBER(SEARCH("rn""&gt;Republic of Ireland",S4126)),"Ireland",
ISNUMBER(SEARCH("rn""&gt;Bosnia and Herzegovina",S4126)),"Bosnia and Herzegovina",
ISNUMBER(SEARCH("rn""&gt;Trinidad and Tobago",S4126)),"Trinidad and Tobago",
ISNUMBER(SEARCH("rn""&gt;Serbia and Montenegro",S4126)),"Serbia and Montenegro",
ISNUMBER(SEARCH(_xlfn.UNICHAR(65533),S4126)),"Côte d'Ivoire",
TRUE,""
)</f>
        <v/>
      </c>
      <c r="W4126" s="40" t="str">
        <f t="shared" si="267"/>
        <v>Ukraine</v>
      </c>
    </row>
    <row r="4127" spans="19:23">
      <c r="S4127" s="40" t="str">
        <v>Ghana</v>
      </c>
      <c r="T4127" s="40" t="str">
        <f t="shared" si="265"/>
        <v>OK</v>
      </c>
      <c r="U4127" s="40" t="str">
        <f t="shared" si="266"/>
        <v>-</v>
      </c>
      <c r="V4127" s="40" t="str" cm="1">
        <f t="array" ref="V4127">_xlfn.IFS(
ISNUMBER(SEARCH("USA",S4127)),"United States",
ISNUMBER(SEARCH("Republic of Ireland",S4127)),"Ireland",
ISNUMBER(SEARCH("Republic of Korea",S4127)),"South Korea",
ISNUMBER(SEARCH("Cape Verde",S4127)),"Cabo Verde",
ISNUMBER(SEARCH("Czechia",S4127)),"Czech Republic",
ISNUMBER(SEARCH("Türkiye",S4127)),"Turkey",
ISNUMBER(SEARCH("Ivory Coast",S4127)),"Côte d'Ivoire",
ISNUMBER(SEARCH("Korea Republic",S4127)),"South Korea",
ISNUMBER(SEARCH("Germany FR",S4127)),"FR Germany",
ISNUMBER(SEARCH("West Germany",S4127)),"FR Germany",
ISNUMBER(SEARCH("Germany DR",S4127)),"DR Germany",
ISNUMBER(SEARCH("Korea DPR",S4127)),"North Korea",
ISNUMBER(SEARCH("China PR",S4127)),"China",
ISNUMBER(SEARCH("IR Iran",S4127)),"Iran",
ISNUMBER(SEARCH("Congo DR",S4127)),"Democratic Republic of the Congo",
ISNUMBER(SEARCH("DR Congo",S4127)),"Democratic Republic of the Congo",
ISNUMBER(SEARCH("German DR",S4127)),"DR Germany",
ISNUMBER(SEARCH("rn""&gt;United Arab Emirates",S4127)),"United Arab Emirates",
ISNUMBER(SEARCH("rn""&gt;Republic of Ireland",S4127)),"Ireland",
ISNUMBER(SEARCH("rn""&gt;Bosnia and Herzegovina",S4127)),"Bosnia and Herzegovina",
ISNUMBER(SEARCH("rn""&gt;Trinidad and Tobago",S4127)),"Trinidad and Tobago",
ISNUMBER(SEARCH("rn""&gt;Serbia and Montenegro",S4127)),"Serbia and Montenegro",
ISNUMBER(SEARCH(_xlfn.UNICHAR(65533),S4127)),"Côte d'Ivoire",
TRUE,""
)</f>
        <v/>
      </c>
      <c r="W4127" s="40" t="str">
        <f t="shared" si="267"/>
        <v>Ghana</v>
      </c>
    </row>
    <row r="4128" spans="19:23">
      <c r="S4128" s="40" t="str">
        <v>France</v>
      </c>
      <c r="T4128" s="40" t="str">
        <f t="shared" si="265"/>
        <v>OK</v>
      </c>
      <c r="U4128" s="40" t="str">
        <f t="shared" si="266"/>
        <v>-</v>
      </c>
      <c r="V4128" s="40" t="str" cm="1">
        <f t="array" ref="V4128">_xlfn.IFS(
ISNUMBER(SEARCH("USA",S4128)),"United States",
ISNUMBER(SEARCH("Republic of Ireland",S4128)),"Ireland",
ISNUMBER(SEARCH("Republic of Korea",S4128)),"South Korea",
ISNUMBER(SEARCH("Cape Verde",S4128)),"Cabo Verde",
ISNUMBER(SEARCH("Czechia",S4128)),"Czech Republic",
ISNUMBER(SEARCH("Türkiye",S4128)),"Turkey",
ISNUMBER(SEARCH("Ivory Coast",S4128)),"Côte d'Ivoire",
ISNUMBER(SEARCH("Korea Republic",S4128)),"South Korea",
ISNUMBER(SEARCH("Germany FR",S4128)),"FR Germany",
ISNUMBER(SEARCH("West Germany",S4128)),"FR Germany",
ISNUMBER(SEARCH("Germany DR",S4128)),"DR Germany",
ISNUMBER(SEARCH("Korea DPR",S4128)),"North Korea",
ISNUMBER(SEARCH("China PR",S4128)),"China",
ISNUMBER(SEARCH("IR Iran",S4128)),"Iran",
ISNUMBER(SEARCH("Congo DR",S4128)),"Democratic Republic of the Congo",
ISNUMBER(SEARCH("DR Congo",S4128)),"Democratic Republic of the Congo",
ISNUMBER(SEARCH("German DR",S4128)),"DR Germany",
ISNUMBER(SEARCH("rn""&gt;United Arab Emirates",S4128)),"United Arab Emirates",
ISNUMBER(SEARCH("rn""&gt;Republic of Ireland",S4128)),"Ireland",
ISNUMBER(SEARCH("rn""&gt;Bosnia and Herzegovina",S4128)),"Bosnia and Herzegovina",
ISNUMBER(SEARCH("rn""&gt;Trinidad and Tobago",S4128)),"Trinidad and Tobago",
ISNUMBER(SEARCH("rn""&gt;Serbia and Montenegro",S4128)),"Serbia and Montenegro",
ISNUMBER(SEARCH(_xlfn.UNICHAR(65533),S4128)),"Côte d'Ivoire",
TRUE,""
)</f>
        <v/>
      </c>
      <c r="W4128" s="40" t="str">
        <f t="shared" si="267"/>
        <v>France</v>
      </c>
    </row>
    <row r="4129" spans="19:23">
      <c r="S4129" s="40" t="str">
        <v>Argentina</v>
      </c>
      <c r="T4129" s="40" t="str">
        <f t="shared" si="265"/>
        <v>OK</v>
      </c>
      <c r="U4129" s="40" t="str">
        <f t="shared" si="266"/>
        <v>-</v>
      </c>
      <c r="V4129" s="40" t="str" cm="1">
        <f t="array" ref="V4129">_xlfn.IFS(
ISNUMBER(SEARCH("USA",S4129)),"United States",
ISNUMBER(SEARCH("Republic of Ireland",S4129)),"Ireland",
ISNUMBER(SEARCH("Republic of Korea",S4129)),"South Korea",
ISNUMBER(SEARCH("Cape Verde",S4129)),"Cabo Verde",
ISNUMBER(SEARCH("Czechia",S4129)),"Czech Republic",
ISNUMBER(SEARCH("Türkiye",S4129)),"Turkey",
ISNUMBER(SEARCH("Ivory Coast",S4129)),"Côte d'Ivoire",
ISNUMBER(SEARCH("Korea Republic",S4129)),"South Korea",
ISNUMBER(SEARCH("Germany FR",S4129)),"FR Germany",
ISNUMBER(SEARCH("West Germany",S4129)),"FR Germany",
ISNUMBER(SEARCH("Germany DR",S4129)),"DR Germany",
ISNUMBER(SEARCH("Korea DPR",S4129)),"North Korea",
ISNUMBER(SEARCH("China PR",S4129)),"China",
ISNUMBER(SEARCH("IR Iran",S4129)),"Iran",
ISNUMBER(SEARCH("Congo DR",S4129)),"Democratic Republic of the Congo",
ISNUMBER(SEARCH("DR Congo",S4129)),"Democratic Republic of the Congo",
ISNUMBER(SEARCH("German DR",S4129)),"DR Germany",
ISNUMBER(SEARCH("rn""&gt;United Arab Emirates",S4129)),"United Arab Emirates",
ISNUMBER(SEARCH("rn""&gt;Republic of Ireland",S4129)),"Ireland",
ISNUMBER(SEARCH("rn""&gt;Bosnia and Herzegovina",S4129)),"Bosnia and Herzegovina",
ISNUMBER(SEARCH("rn""&gt;Trinidad and Tobago",S4129)),"Trinidad and Tobago",
ISNUMBER(SEARCH("rn""&gt;Serbia and Montenegro",S4129)),"Serbia and Montenegro",
ISNUMBER(SEARCH(_xlfn.UNICHAR(65533),S4129)),"Côte d'Ivoire",
TRUE,""
)</f>
        <v/>
      </c>
      <c r="W4129" s="40" t="str">
        <f t="shared" si="267"/>
        <v>Argentina</v>
      </c>
    </row>
    <row r="4130" spans="19:23">
      <c r="S4130" s="40" t="str">
        <v>Ukraine</v>
      </c>
      <c r="T4130" s="40" t="str">
        <f t="shared" si="265"/>
        <v>OK</v>
      </c>
      <c r="U4130" s="40" t="str">
        <f t="shared" si="266"/>
        <v>-</v>
      </c>
      <c r="V4130" s="40" t="str" cm="1">
        <f t="array" ref="V4130">_xlfn.IFS(
ISNUMBER(SEARCH("USA",S4130)),"United States",
ISNUMBER(SEARCH("Republic of Ireland",S4130)),"Ireland",
ISNUMBER(SEARCH("Republic of Korea",S4130)),"South Korea",
ISNUMBER(SEARCH("Cape Verde",S4130)),"Cabo Verde",
ISNUMBER(SEARCH("Czechia",S4130)),"Czech Republic",
ISNUMBER(SEARCH("Türkiye",S4130)),"Turkey",
ISNUMBER(SEARCH("Ivory Coast",S4130)),"Côte d'Ivoire",
ISNUMBER(SEARCH("Korea Republic",S4130)),"South Korea",
ISNUMBER(SEARCH("Germany FR",S4130)),"FR Germany",
ISNUMBER(SEARCH("West Germany",S4130)),"FR Germany",
ISNUMBER(SEARCH("Germany DR",S4130)),"DR Germany",
ISNUMBER(SEARCH("Korea DPR",S4130)),"North Korea",
ISNUMBER(SEARCH("China PR",S4130)),"China",
ISNUMBER(SEARCH("IR Iran",S4130)),"Iran",
ISNUMBER(SEARCH("Congo DR",S4130)),"Democratic Republic of the Congo",
ISNUMBER(SEARCH("DR Congo",S4130)),"Democratic Republic of the Congo",
ISNUMBER(SEARCH("German DR",S4130)),"DR Germany",
ISNUMBER(SEARCH("rn""&gt;United Arab Emirates",S4130)),"United Arab Emirates",
ISNUMBER(SEARCH("rn""&gt;Republic of Ireland",S4130)),"Ireland",
ISNUMBER(SEARCH("rn""&gt;Bosnia and Herzegovina",S4130)),"Bosnia and Herzegovina",
ISNUMBER(SEARCH("rn""&gt;Trinidad and Tobago",S4130)),"Trinidad and Tobago",
ISNUMBER(SEARCH("rn""&gt;Serbia and Montenegro",S4130)),"Serbia and Montenegro",
ISNUMBER(SEARCH(_xlfn.UNICHAR(65533),S4130)),"Côte d'Ivoire",
TRUE,""
)</f>
        <v/>
      </c>
      <c r="W4130" s="40" t="str">
        <f t="shared" si="267"/>
        <v>Ukraine</v>
      </c>
    </row>
    <row r="4131" spans="19:23">
      <c r="S4131" s="40" t="str">
        <v>Portugal</v>
      </c>
      <c r="T4131" s="40" t="str">
        <f t="shared" si="265"/>
        <v>OK</v>
      </c>
      <c r="U4131" s="40" t="str">
        <f t="shared" si="266"/>
        <v>-</v>
      </c>
      <c r="V4131" s="40" t="str" cm="1">
        <f t="array" ref="V4131">_xlfn.IFS(
ISNUMBER(SEARCH("USA",S4131)),"United States",
ISNUMBER(SEARCH("Republic of Ireland",S4131)),"Ireland",
ISNUMBER(SEARCH("Republic of Korea",S4131)),"South Korea",
ISNUMBER(SEARCH("Cape Verde",S4131)),"Cabo Verde",
ISNUMBER(SEARCH("Czechia",S4131)),"Czech Republic",
ISNUMBER(SEARCH("Türkiye",S4131)),"Turkey",
ISNUMBER(SEARCH("Ivory Coast",S4131)),"Côte d'Ivoire",
ISNUMBER(SEARCH("Korea Republic",S4131)),"South Korea",
ISNUMBER(SEARCH("Germany FR",S4131)),"FR Germany",
ISNUMBER(SEARCH("West Germany",S4131)),"FR Germany",
ISNUMBER(SEARCH("Germany DR",S4131)),"DR Germany",
ISNUMBER(SEARCH("Korea DPR",S4131)),"North Korea",
ISNUMBER(SEARCH("China PR",S4131)),"China",
ISNUMBER(SEARCH("IR Iran",S4131)),"Iran",
ISNUMBER(SEARCH("Congo DR",S4131)),"Democratic Republic of the Congo",
ISNUMBER(SEARCH("DR Congo",S4131)),"Democratic Republic of the Congo",
ISNUMBER(SEARCH("German DR",S4131)),"DR Germany",
ISNUMBER(SEARCH("rn""&gt;United Arab Emirates",S4131)),"United Arab Emirates",
ISNUMBER(SEARCH("rn""&gt;Republic of Ireland",S4131)),"Ireland",
ISNUMBER(SEARCH("rn""&gt;Bosnia and Herzegovina",S4131)),"Bosnia and Herzegovina",
ISNUMBER(SEARCH("rn""&gt;Trinidad and Tobago",S4131)),"Trinidad and Tobago",
ISNUMBER(SEARCH("rn""&gt;Serbia and Montenegro",S4131)),"Serbia and Montenegro",
ISNUMBER(SEARCH(_xlfn.UNICHAR(65533),S4131)),"Côte d'Ivoire",
TRUE,""
)</f>
        <v/>
      </c>
      <c r="W4131" s="40" t="str">
        <f t="shared" si="267"/>
        <v>Portugal</v>
      </c>
    </row>
    <row r="4132" spans="19:23">
      <c r="S4132" s="40" t="str">
        <v>France</v>
      </c>
      <c r="T4132" s="40" t="str">
        <f t="shared" si="265"/>
        <v>OK</v>
      </c>
      <c r="U4132" s="40" t="str">
        <f t="shared" si="266"/>
        <v>-</v>
      </c>
      <c r="V4132" s="40" t="str" cm="1">
        <f t="array" ref="V4132">_xlfn.IFS(
ISNUMBER(SEARCH("USA",S4132)),"United States",
ISNUMBER(SEARCH("Republic of Ireland",S4132)),"Ireland",
ISNUMBER(SEARCH("Republic of Korea",S4132)),"South Korea",
ISNUMBER(SEARCH("Cape Verde",S4132)),"Cabo Verde",
ISNUMBER(SEARCH("Czechia",S4132)),"Czech Republic",
ISNUMBER(SEARCH("Türkiye",S4132)),"Turkey",
ISNUMBER(SEARCH("Ivory Coast",S4132)),"Côte d'Ivoire",
ISNUMBER(SEARCH("Korea Republic",S4132)),"South Korea",
ISNUMBER(SEARCH("Germany FR",S4132)),"FR Germany",
ISNUMBER(SEARCH("West Germany",S4132)),"FR Germany",
ISNUMBER(SEARCH("Germany DR",S4132)),"DR Germany",
ISNUMBER(SEARCH("Korea DPR",S4132)),"North Korea",
ISNUMBER(SEARCH("China PR",S4132)),"China",
ISNUMBER(SEARCH("IR Iran",S4132)),"Iran",
ISNUMBER(SEARCH("Congo DR",S4132)),"Democratic Republic of the Congo",
ISNUMBER(SEARCH("DR Congo",S4132)),"Democratic Republic of the Congo",
ISNUMBER(SEARCH("German DR",S4132)),"DR Germany",
ISNUMBER(SEARCH("rn""&gt;United Arab Emirates",S4132)),"United Arab Emirates",
ISNUMBER(SEARCH("rn""&gt;Republic of Ireland",S4132)),"Ireland",
ISNUMBER(SEARCH("rn""&gt;Bosnia and Herzegovina",S4132)),"Bosnia and Herzegovina",
ISNUMBER(SEARCH("rn""&gt;Trinidad and Tobago",S4132)),"Trinidad and Tobago",
ISNUMBER(SEARCH("rn""&gt;Serbia and Montenegro",S4132)),"Serbia and Montenegro",
ISNUMBER(SEARCH(_xlfn.UNICHAR(65533),S4132)),"Côte d'Ivoire",
TRUE,""
)</f>
        <v/>
      </c>
      <c r="W4132" s="40" t="str">
        <f t="shared" si="267"/>
        <v>France</v>
      </c>
    </row>
    <row r="4133" spans="19:23">
      <c r="S4133" s="40" t="str">
        <v>Italy</v>
      </c>
      <c r="T4133" s="40" t="str">
        <f t="shared" si="265"/>
        <v>OK</v>
      </c>
      <c r="U4133" s="40" t="str">
        <f t="shared" si="266"/>
        <v>-</v>
      </c>
      <c r="V4133" s="40" t="str" cm="1">
        <f t="array" ref="V4133">_xlfn.IFS(
ISNUMBER(SEARCH("USA",S4133)),"United States",
ISNUMBER(SEARCH("Republic of Ireland",S4133)),"Ireland",
ISNUMBER(SEARCH("Republic of Korea",S4133)),"South Korea",
ISNUMBER(SEARCH("Cape Verde",S4133)),"Cabo Verde",
ISNUMBER(SEARCH("Czechia",S4133)),"Czech Republic",
ISNUMBER(SEARCH("Türkiye",S4133)),"Turkey",
ISNUMBER(SEARCH("Ivory Coast",S4133)),"Côte d'Ivoire",
ISNUMBER(SEARCH("Korea Republic",S4133)),"South Korea",
ISNUMBER(SEARCH("Germany FR",S4133)),"FR Germany",
ISNUMBER(SEARCH("West Germany",S4133)),"FR Germany",
ISNUMBER(SEARCH("Germany DR",S4133)),"DR Germany",
ISNUMBER(SEARCH("Korea DPR",S4133)),"North Korea",
ISNUMBER(SEARCH("China PR",S4133)),"China",
ISNUMBER(SEARCH("IR Iran",S4133)),"Iran",
ISNUMBER(SEARCH("Congo DR",S4133)),"Democratic Republic of the Congo",
ISNUMBER(SEARCH("DR Congo",S4133)),"Democratic Republic of the Congo",
ISNUMBER(SEARCH("German DR",S4133)),"DR Germany",
ISNUMBER(SEARCH("rn""&gt;United Arab Emirates",S4133)),"United Arab Emirates",
ISNUMBER(SEARCH("rn""&gt;Republic of Ireland",S4133)),"Ireland",
ISNUMBER(SEARCH("rn""&gt;Bosnia and Herzegovina",S4133)),"Bosnia and Herzegovina",
ISNUMBER(SEARCH("rn""&gt;Trinidad and Tobago",S4133)),"Trinidad and Tobago",
ISNUMBER(SEARCH("rn""&gt;Serbia and Montenegro",S4133)),"Serbia and Montenegro",
ISNUMBER(SEARCH(_xlfn.UNICHAR(65533),S4133)),"Côte d'Ivoire",
TRUE,""
)</f>
        <v/>
      </c>
      <c r="W4133" s="40" t="str">
        <f t="shared" si="267"/>
        <v>Italy</v>
      </c>
    </row>
    <row r="4134" spans="19:23">
      <c r="S4134" s="40" t="str">
        <v>France</v>
      </c>
      <c r="T4134" s="40" t="str">
        <f t="shared" si="265"/>
        <v>OK</v>
      </c>
      <c r="U4134" s="40" t="str">
        <f t="shared" si="266"/>
        <v>-</v>
      </c>
      <c r="V4134" s="40" t="str" cm="1">
        <f t="array" ref="V4134">_xlfn.IFS(
ISNUMBER(SEARCH("USA",S4134)),"United States",
ISNUMBER(SEARCH("Republic of Ireland",S4134)),"Ireland",
ISNUMBER(SEARCH("Republic of Korea",S4134)),"South Korea",
ISNUMBER(SEARCH("Cape Verde",S4134)),"Cabo Verde",
ISNUMBER(SEARCH("Czechia",S4134)),"Czech Republic",
ISNUMBER(SEARCH("Türkiye",S4134)),"Turkey",
ISNUMBER(SEARCH("Ivory Coast",S4134)),"Côte d'Ivoire",
ISNUMBER(SEARCH("Korea Republic",S4134)),"South Korea",
ISNUMBER(SEARCH("Germany FR",S4134)),"FR Germany",
ISNUMBER(SEARCH("West Germany",S4134)),"FR Germany",
ISNUMBER(SEARCH("Germany DR",S4134)),"DR Germany",
ISNUMBER(SEARCH("Korea DPR",S4134)),"North Korea",
ISNUMBER(SEARCH("China PR",S4134)),"China",
ISNUMBER(SEARCH("IR Iran",S4134)),"Iran",
ISNUMBER(SEARCH("Congo DR",S4134)),"Democratic Republic of the Congo",
ISNUMBER(SEARCH("DR Congo",S4134)),"Democratic Republic of the Congo",
ISNUMBER(SEARCH("German DR",S4134)),"DR Germany",
ISNUMBER(SEARCH("rn""&gt;United Arab Emirates",S4134)),"United Arab Emirates",
ISNUMBER(SEARCH("rn""&gt;Republic of Ireland",S4134)),"Ireland",
ISNUMBER(SEARCH("rn""&gt;Bosnia and Herzegovina",S4134)),"Bosnia and Herzegovina",
ISNUMBER(SEARCH("rn""&gt;Trinidad and Tobago",S4134)),"Trinidad and Tobago",
ISNUMBER(SEARCH("rn""&gt;Serbia and Montenegro",S4134)),"Serbia and Montenegro",
ISNUMBER(SEARCH(_xlfn.UNICHAR(65533),S4134)),"Côte d'Ivoire",
TRUE,""
)</f>
        <v/>
      </c>
      <c r="W4134" s="40" t="str">
        <f t="shared" si="267"/>
        <v>France</v>
      </c>
    </row>
    <row r="4135" spans="19:23">
      <c r="S4135" s="40" t="str">
        <v>Portugal</v>
      </c>
      <c r="T4135" s="40" t="str">
        <f t="shared" si="265"/>
        <v>OK</v>
      </c>
      <c r="U4135" s="40" t="str">
        <f t="shared" si="266"/>
        <v>-</v>
      </c>
      <c r="V4135" s="40" t="str" cm="1">
        <f t="array" ref="V4135">_xlfn.IFS(
ISNUMBER(SEARCH("USA",S4135)),"United States",
ISNUMBER(SEARCH("Republic of Ireland",S4135)),"Ireland",
ISNUMBER(SEARCH("Republic of Korea",S4135)),"South Korea",
ISNUMBER(SEARCH("Cape Verde",S4135)),"Cabo Verde",
ISNUMBER(SEARCH("Czechia",S4135)),"Czech Republic",
ISNUMBER(SEARCH("Türkiye",S4135)),"Turkey",
ISNUMBER(SEARCH("Ivory Coast",S4135)),"Côte d'Ivoire",
ISNUMBER(SEARCH("Korea Republic",S4135)),"South Korea",
ISNUMBER(SEARCH("Germany FR",S4135)),"FR Germany",
ISNUMBER(SEARCH("West Germany",S4135)),"FR Germany",
ISNUMBER(SEARCH("Germany DR",S4135)),"DR Germany",
ISNUMBER(SEARCH("Korea DPR",S4135)),"North Korea",
ISNUMBER(SEARCH("China PR",S4135)),"China",
ISNUMBER(SEARCH("IR Iran",S4135)),"Iran",
ISNUMBER(SEARCH("Congo DR",S4135)),"Democratic Republic of the Congo",
ISNUMBER(SEARCH("DR Congo",S4135)),"Democratic Republic of the Congo",
ISNUMBER(SEARCH("German DR",S4135)),"DR Germany",
ISNUMBER(SEARCH("rn""&gt;United Arab Emirates",S4135)),"United Arab Emirates",
ISNUMBER(SEARCH("rn""&gt;Republic of Ireland",S4135)),"Ireland",
ISNUMBER(SEARCH("rn""&gt;Bosnia and Herzegovina",S4135)),"Bosnia and Herzegovina",
ISNUMBER(SEARCH("rn""&gt;Trinidad and Tobago",S4135)),"Trinidad and Tobago",
ISNUMBER(SEARCH("rn""&gt;Serbia and Montenegro",S4135)),"Serbia and Montenegro",
ISNUMBER(SEARCH(_xlfn.UNICHAR(65533),S4135)),"Côte d'Ivoire",
TRUE,""
)</f>
        <v/>
      </c>
      <c r="W4135" s="40" t="str">
        <f t="shared" si="267"/>
        <v>Portugal</v>
      </c>
    </row>
    <row r="4136" spans="19:23">
      <c r="S4136" s="40" t="str">
        <v>France</v>
      </c>
      <c r="T4136" s="40" t="str">
        <f t="shared" si="265"/>
        <v>OK</v>
      </c>
      <c r="U4136" s="40" t="str">
        <f t="shared" si="266"/>
        <v>-</v>
      </c>
      <c r="V4136" s="40" t="str" cm="1">
        <f t="array" ref="V4136">_xlfn.IFS(
ISNUMBER(SEARCH("USA",S4136)),"United States",
ISNUMBER(SEARCH("Republic of Ireland",S4136)),"Ireland",
ISNUMBER(SEARCH("Republic of Korea",S4136)),"South Korea",
ISNUMBER(SEARCH("Cape Verde",S4136)),"Cabo Verde",
ISNUMBER(SEARCH("Czechia",S4136)),"Czech Republic",
ISNUMBER(SEARCH("Türkiye",S4136)),"Turkey",
ISNUMBER(SEARCH("Ivory Coast",S4136)),"Côte d'Ivoire",
ISNUMBER(SEARCH("Korea Republic",S4136)),"South Korea",
ISNUMBER(SEARCH("Germany FR",S4136)),"FR Germany",
ISNUMBER(SEARCH("West Germany",S4136)),"FR Germany",
ISNUMBER(SEARCH("Germany DR",S4136)),"DR Germany",
ISNUMBER(SEARCH("Korea DPR",S4136)),"North Korea",
ISNUMBER(SEARCH("China PR",S4136)),"China",
ISNUMBER(SEARCH("IR Iran",S4136)),"Iran",
ISNUMBER(SEARCH("Congo DR",S4136)),"Democratic Republic of the Congo",
ISNUMBER(SEARCH("DR Congo",S4136)),"Democratic Republic of the Congo",
ISNUMBER(SEARCH("German DR",S4136)),"DR Germany",
ISNUMBER(SEARCH("rn""&gt;United Arab Emirates",S4136)),"United Arab Emirates",
ISNUMBER(SEARCH("rn""&gt;Republic of Ireland",S4136)),"Ireland",
ISNUMBER(SEARCH("rn""&gt;Bosnia and Herzegovina",S4136)),"Bosnia and Herzegovina",
ISNUMBER(SEARCH("rn""&gt;Trinidad and Tobago",S4136)),"Trinidad and Tobago",
ISNUMBER(SEARCH("rn""&gt;Serbia and Montenegro",S4136)),"Serbia and Montenegro",
ISNUMBER(SEARCH(_xlfn.UNICHAR(65533),S4136)),"Côte d'Ivoire",
TRUE,""
)</f>
        <v/>
      </c>
      <c r="W4136" s="40" t="str">
        <f t="shared" si="267"/>
        <v>France</v>
      </c>
    </row>
    <row r="4137" spans="19:23">
      <c r="S4137" s="40" t="str">
        <v>Mexico</v>
      </c>
      <c r="T4137" s="40" t="str">
        <f t="shared" si="265"/>
        <v>OK</v>
      </c>
      <c r="U4137" s="40" t="str">
        <f t="shared" si="266"/>
        <v>-</v>
      </c>
      <c r="V4137" s="40" t="str" cm="1">
        <f t="array" ref="V4137">_xlfn.IFS(
ISNUMBER(SEARCH("USA",S4137)),"United States",
ISNUMBER(SEARCH("Republic of Ireland",S4137)),"Ireland",
ISNUMBER(SEARCH("Republic of Korea",S4137)),"South Korea",
ISNUMBER(SEARCH("Cape Verde",S4137)),"Cabo Verde",
ISNUMBER(SEARCH("Czechia",S4137)),"Czech Republic",
ISNUMBER(SEARCH("Türkiye",S4137)),"Turkey",
ISNUMBER(SEARCH("Ivory Coast",S4137)),"Côte d'Ivoire",
ISNUMBER(SEARCH("Korea Republic",S4137)),"South Korea",
ISNUMBER(SEARCH("Germany FR",S4137)),"FR Germany",
ISNUMBER(SEARCH("West Germany",S4137)),"FR Germany",
ISNUMBER(SEARCH("Germany DR",S4137)),"DR Germany",
ISNUMBER(SEARCH("Korea DPR",S4137)),"North Korea",
ISNUMBER(SEARCH("China PR",S4137)),"China",
ISNUMBER(SEARCH("IR Iran",S4137)),"Iran",
ISNUMBER(SEARCH("Congo DR",S4137)),"Democratic Republic of the Congo",
ISNUMBER(SEARCH("DR Congo",S4137)),"Democratic Republic of the Congo",
ISNUMBER(SEARCH("German DR",S4137)),"DR Germany",
ISNUMBER(SEARCH("rn""&gt;United Arab Emirates",S4137)),"United Arab Emirates",
ISNUMBER(SEARCH("rn""&gt;Republic of Ireland",S4137)),"Ireland",
ISNUMBER(SEARCH("rn""&gt;Bosnia and Herzegovina",S4137)),"Bosnia and Herzegovina",
ISNUMBER(SEARCH("rn""&gt;Trinidad and Tobago",S4137)),"Trinidad and Tobago",
ISNUMBER(SEARCH("rn""&gt;Serbia and Montenegro",S4137)),"Serbia and Montenegro",
ISNUMBER(SEARCH(_xlfn.UNICHAR(65533),S4137)),"Côte d'Ivoire",
TRUE,""
)</f>
        <v/>
      </c>
      <c r="W4137" s="40" t="str">
        <f t="shared" si="267"/>
        <v>Mexico</v>
      </c>
    </row>
    <row r="4138" spans="19:23">
      <c r="S4138" s="40" t="str">
        <v>France</v>
      </c>
      <c r="T4138" s="40" t="str">
        <f t="shared" si="265"/>
        <v>OK</v>
      </c>
      <c r="U4138" s="40" t="str">
        <f t="shared" si="266"/>
        <v>-</v>
      </c>
      <c r="V4138" s="40" t="str" cm="1">
        <f t="array" ref="V4138">_xlfn.IFS(
ISNUMBER(SEARCH("USA",S4138)),"United States",
ISNUMBER(SEARCH("Republic of Ireland",S4138)),"Ireland",
ISNUMBER(SEARCH("Republic of Korea",S4138)),"South Korea",
ISNUMBER(SEARCH("Cape Verde",S4138)),"Cabo Verde",
ISNUMBER(SEARCH("Czechia",S4138)),"Czech Republic",
ISNUMBER(SEARCH("Türkiye",S4138)),"Turkey",
ISNUMBER(SEARCH("Ivory Coast",S4138)),"Côte d'Ivoire",
ISNUMBER(SEARCH("Korea Republic",S4138)),"South Korea",
ISNUMBER(SEARCH("Germany FR",S4138)),"FR Germany",
ISNUMBER(SEARCH("West Germany",S4138)),"FR Germany",
ISNUMBER(SEARCH("Germany DR",S4138)),"DR Germany",
ISNUMBER(SEARCH("Korea DPR",S4138)),"North Korea",
ISNUMBER(SEARCH("China PR",S4138)),"China",
ISNUMBER(SEARCH("IR Iran",S4138)),"Iran",
ISNUMBER(SEARCH("Congo DR",S4138)),"Democratic Republic of the Congo",
ISNUMBER(SEARCH("DR Congo",S4138)),"Democratic Republic of the Congo",
ISNUMBER(SEARCH("German DR",S4138)),"DR Germany",
ISNUMBER(SEARCH("rn""&gt;United Arab Emirates",S4138)),"United Arab Emirates",
ISNUMBER(SEARCH("rn""&gt;Republic of Ireland",S4138)),"Ireland",
ISNUMBER(SEARCH("rn""&gt;Bosnia and Herzegovina",S4138)),"Bosnia and Herzegovina",
ISNUMBER(SEARCH("rn""&gt;Trinidad and Tobago",S4138)),"Trinidad and Tobago",
ISNUMBER(SEARCH("rn""&gt;Serbia and Montenegro",S4138)),"Serbia and Montenegro",
ISNUMBER(SEARCH(_xlfn.UNICHAR(65533),S4138)),"Côte d'Ivoire",
TRUE,""
)</f>
        <v/>
      </c>
      <c r="W4138" s="40" t="str">
        <f t="shared" si="267"/>
        <v>France</v>
      </c>
    </row>
    <row r="4139" spans="19:23">
      <c r="S4139" s="40" t="str">
        <v>Greece</v>
      </c>
      <c r="T4139" s="40" t="str">
        <f t="shared" si="265"/>
        <v>OK</v>
      </c>
      <c r="U4139" s="40" t="str">
        <f t="shared" si="266"/>
        <v>-</v>
      </c>
      <c r="V4139" s="40" t="str" cm="1">
        <f t="array" ref="V4139">_xlfn.IFS(
ISNUMBER(SEARCH("USA",S4139)),"United States",
ISNUMBER(SEARCH("Republic of Ireland",S4139)),"Ireland",
ISNUMBER(SEARCH("Republic of Korea",S4139)),"South Korea",
ISNUMBER(SEARCH("Cape Verde",S4139)),"Cabo Verde",
ISNUMBER(SEARCH("Czechia",S4139)),"Czech Republic",
ISNUMBER(SEARCH("Türkiye",S4139)),"Turkey",
ISNUMBER(SEARCH("Ivory Coast",S4139)),"Côte d'Ivoire",
ISNUMBER(SEARCH("Korea Republic",S4139)),"South Korea",
ISNUMBER(SEARCH("Germany FR",S4139)),"FR Germany",
ISNUMBER(SEARCH("West Germany",S4139)),"FR Germany",
ISNUMBER(SEARCH("Germany DR",S4139)),"DR Germany",
ISNUMBER(SEARCH("Korea DPR",S4139)),"North Korea",
ISNUMBER(SEARCH("China PR",S4139)),"China",
ISNUMBER(SEARCH("IR Iran",S4139)),"Iran",
ISNUMBER(SEARCH("Congo DR",S4139)),"Democratic Republic of the Congo",
ISNUMBER(SEARCH("DR Congo",S4139)),"Democratic Republic of the Congo",
ISNUMBER(SEARCH("German DR",S4139)),"DR Germany",
ISNUMBER(SEARCH("rn""&gt;United Arab Emirates",S4139)),"United Arab Emirates",
ISNUMBER(SEARCH("rn""&gt;Republic of Ireland",S4139)),"Ireland",
ISNUMBER(SEARCH("rn""&gt;Bosnia and Herzegovina",S4139)),"Bosnia and Herzegovina",
ISNUMBER(SEARCH("rn""&gt;Trinidad and Tobago",S4139)),"Trinidad and Tobago",
ISNUMBER(SEARCH("rn""&gt;Serbia and Montenegro",S4139)),"Serbia and Montenegro",
ISNUMBER(SEARCH(_xlfn.UNICHAR(65533),S4139)),"Côte d'Ivoire",
TRUE,""
)</f>
        <v/>
      </c>
      <c r="W4139" s="40" t="str">
        <f t="shared" si="267"/>
        <v>Greece</v>
      </c>
    </row>
    <row r="4140" spans="19:23">
      <c r="S4140" s="40" t="str">
        <v>Nigeria</v>
      </c>
      <c r="T4140" s="40" t="str">
        <f t="shared" si="265"/>
        <v>OK</v>
      </c>
      <c r="U4140" s="40" t="str">
        <f t="shared" si="266"/>
        <v>-</v>
      </c>
      <c r="V4140" s="40" t="str" cm="1">
        <f t="array" ref="V4140">_xlfn.IFS(
ISNUMBER(SEARCH("USA",S4140)),"United States",
ISNUMBER(SEARCH("Republic of Ireland",S4140)),"Ireland",
ISNUMBER(SEARCH("Republic of Korea",S4140)),"South Korea",
ISNUMBER(SEARCH("Cape Verde",S4140)),"Cabo Verde",
ISNUMBER(SEARCH("Czechia",S4140)),"Czech Republic",
ISNUMBER(SEARCH("Türkiye",S4140)),"Turkey",
ISNUMBER(SEARCH("Ivory Coast",S4140)),"Côte d'Ivoire",
ISNUMBER(SEARCH("Korea Republic",S4140)),"South Korea",
ISNUMBER(SEARCH("Germany FR",S4140)),"FR Germany",
ISNUMBER(SEARCH("West Germany",S4140)),"FR Germany",
ISNUMBER(SEARCH("Germany DR",S4140)),"DR Germany",
ISNUMBER(SEARCH("Korea DPR",S4140)),"North Korea",
ISNUMBER(SEARCH("China PR",S4140)),"China",
ISNUMBER(SEARCH("IR Iran",S4140)),"Iran",
ISNUMBER(SEARCH("Congo DR",S4140)),"Democratic Republic of the Congo",
ISNUMBER(SEARCH("DR Congo",S4140)),"Democratic Republic of the Congo",
ISNUMBER(SEARCH("German DR",S4140)),"DR Germany",
ISNUMBER(SEARCH("rn""&gt;United Arab Emirates",S4140)),"United Arab Emirates",
ISNUMBER(SEARCH("rn""&gt;Republic of Ireland",S4140)),"Ireland",
ISNUMBER(SEARCH("rn""&gt;Bosnia and Herzegovina",S4140)),"Bosnia and Herzegovina",
ISNUMBER(SEARCH("rn""&gt;Trinidad and Tobago",S4140)),"Trinidad and Tobago",
ISNUMBER(SEARCH("rn""&gt;Serbia and Montenegro",S4140)),"Serbia and Montenegro",
ISNUMBER(SEARCH(_xlfn.UNICHAR(65533),S4140)),"Côte d'Ivoire",
TRUE,""
)</f>
        <v/>
      </c>
      <c r="W4140" s="40" t="str">
        <f t="shared" si="267"/>
        <v>Nigeria</v>
      </c>
    </row>
    <row r="4141" spans="19:23">
      <c r="S4141" s="40" t="str">
        <v>USA</v>
      </c>
      <c r="T4141" s="40" t="str">
        <f t="shared" si="265"/>
        <v>ERREUR</v>
      </c>
      <c r="U4141" s="40" t="str">
        <f t="shared" si="266"/>
        <v>RENOMMER</v>
      </c>
      <c r="V4141" s="40" t="str" cm="1">
        <f t="array" ref="V4141">_xlfn.IFS(
ISNUMBER(SEARCH("USA",S4141)),"United States",
ISNUMBER(SEARCH("Republic of Ireland",S4141)),"Ireland",
ISNUMBER(SEARCH("Republic of Korea",S4141)),"South Korea",
ISNUMBER(SEARCH("Cape Verde",S4141)),"Cabo Verde",
ISNUMBER(SEARCH("Czechia",S4141)),"Czech Republic",
ISNUMBER(SEARCH("Türkiye",S4141)),"Turkey",
ISNUMBER(SEARCH("Ivory Coast",S4141)),"Côte d'Ivoire",
ISNUMBER(SEARCH("Korea Republic",S4141)),"South Korea",
ISNUMBER(SEARCH("Germany FR",S4141)),"FR Germany",
ISNUMBER(SEARCH("West Germany",S4141)),"FR Germany",
ISNUMBER(SEARCH("Germany DR",S4141)),"DR Germany",
ISNUMBER(SEARCH("Korea DPR",S4141)),"North Korea",
ISNUMBER(SEARCH("China PR",S4141)),"China",
ISNUMBER(SEARCH("IR Iran",S4141)),"Iran",
ISNUMBER(SEARCH("Congo DR",S4141)),"Democratic Republic of the Congo",
ISNUMBER(SEARCH("DR Congo",S4141)),"Democratic Republic of the Congo",
ISNUMBER(SEARCH("German DR",S4141)),"DR Germany",
ISNUMBER(SEARCH("rn""&gt;United Arab Emirates",S4141)),"United Arab Emirates",
ISNUMBER(SEARCH("rn""&gt;Republic of Ireland",S4141)),"Ireland",
ISNUMBER(SEARCH("rn""&gt;Bosnia and Herzegovina",S4141)),"Bosnia and Herzegovina",
ISNUMBER(SEARCH("rn""&gt;Trinidad and Tobago",S4141)),"Trinidad and Tobago",
ISNUMBER(SEARCH("rn""&gt;Serbia and Montenegro",S4141)),"Serbia and Montenegro",
ISNUMBER(SEARCH(_xlfn.UNICHAR(65533),S4141)),"Côte d'Ivoire",
TRUE,""
)</f>
        <v>United States</v>
      </c>
      <c r="W4141" s="40" t="str">
        <f t="shared" si="267"/>
        <v>United States</v>
      </c>
    </row>
    <row r="4142" spans="19:23">
      <c r="S4142" s="40" t="str">
        <v>Slovenia</v>
      </c>
      <c r="T4142" s="40" t="str">
        <f t="shared" si="265"/>
        <v>OK</v>
      </c>
      <c r="U4142" s="40" t="str">
        <f t="shared" si="266"/>
        <v>-</v>
      </c>
      <c r="V4142" s="40" t="str" cm="1">
        <f t="array" ref="V4142">_xlfn.IFS(
ISNUMBER(SEARCH("USA",S4142)),"United States",
ISNUMBER(SEARCH("Republic of Ireland",S4142)),"Ireland",
ISNUMBER(SEARCH("Republic of Korea",S4142)),"South Korea",
ISNUMBER(SEARCH("Cape Verde",S4142)),"Cabo Verde",
ISNUMBER(SEARCH("Czechia",S4142)),"Czech Republic",
ISNUMBER(SEARCH("Türkiye",S4142)),"Turkey",
ISNUMBER(SEARCH("Ivory Coast",S4142)),"Côte d'Ivoire",
ISNUMBER(SEARCH("Korea Republic",S4142)),"South Korea",
ISNUMBER(SEARCH("Germany FR",S4142)),"FR Germany",
ISNUMBER(SEARCH("West Germany",S4142)),"FR Germany",
ISNUMBER(SEARCH("Germany DR",S4142)),"DR Germany",
ISNUMBER(SEARCH("Korea DPR",S4142)),"North Korea",
ISNUMBER(SEARCH("China PR",S4142)),"China",
ISNUMBER(SEARCH("IR Iran",S4142)),"Iran",
ISNUMBER(SEARCH("Congo DR",S4142)),"Democratic Republic of the Congo",
ISNUMBER(SEARCH("DR Congo",S4142)),"Democratic Republic of the Congo",
ISNUMBER(SEARCH("German DR",S4142)),"DR Germany",
ISNUMBER(SEARCH("rn""&gt;United Arab Emirates",S4142)),"United Arab Emirates",
ISNUMBER(SEARCH("rn""&gt;Republic of Ireland",S4142)),"Ireland",
ISNUMBER(SEARCH("rn""&gt;Bosnia and Herzegovina",S4142)),"Bosnia and Herzegovina",
ISNUMBER(SEARCH("rn""&gt;Trinidad and Tobago",S4142)),"Trinidad and Tobago",
ISNUMBER(SEARCH("rn""&gt;Serbia and Montenegro",S4142)),"Serbia and Montenegro",
ISNUMBER(SEARCH(_xlfn.UNICHAR(65533),S4142)),"Côte d'Ivoire",
TRUE,""
)</f>
        <v/>
      </c>
      <c r="W4142" s="40" t="str">
        <f t="shared" si="267"/>
        <v>Slovenia</v>
      </c>
    </row>
    <row r="4143" spans="19:23">
      <c r="S4143" s="40" t="str">
        <v>Ghana</v>
      </c>
      <c r="T4143" s="40" t="str">
        <f t="shared" si="265"/>
        <v>OK</v>
      </c>
      <c r="U4143" s="40" t="str">
        <f t="shared" si="266"/>
        <v>-</v>
      </c>
      <c r="V4143" s="40" t="str" cm="1">
        <f t="array" ref="V4143">_xlfn.IFS(
ISNUMBER(SEARCH("USA",S4143)),"United States",
ISNUMBER(SEARCH("Republic of Ireland",S4143)),"Ireland",
ISNUMBER(SEARCH("Republic of Korea",S4143)),"South Korea",
ISNUMBER(SEARCH("Cape Verde",S4143)),"Cabo Verde",
ISNUMBER(SEARCH("Czechia",S4143)),"Czech Republic",
ISNUMBER(SEARCH("Türkiye",S4143)),"Turkey",
ISNUMBER(SEARCH("Ivory Coast",S4143)),"Côte d'Ivoire",
ISNUMBER(SEARCH("Korea Republic",S4143)),"South Korea",
ISNUMBER(SEARCH("Germany FR",S4143)),"FR Germany",
ISNUMBER(SEARCH("West Germany",S4143)),"FR Germany",
ISNUMBER(SEARCH("Germany DR",S4143)),"DR Germany",
ISNUMBER(SEARCH("Korea DPR",S4143)),"North Korea",
ISNUMBER(SEARCH("China PR",S4143)),"China",
ISNUMBER(SEARCH("IR Iran",S4143)),"Iran",
ISNUMBER(SEARCH("Congo DR",S4143)),"Democratic Republic of the Congo",
ISNUMBER(SEARCH("DR Congo",S4143)),"Democratic Republic of the Congo",
ISNUMBER(SEARCH("German DR",S4143)),"DR Germany",
ISNUMBER(SEARCH("rn""&gt;United Arab Emirates",S4143)),"United Arab Emirates",
ISNUMBER(SEARCH("rn""&gt;Republic of Ireland",S4143)),"Ireland",
ISNUMBER(SEARCH("rn""&gt;Bosnia and Herzegovina",S4143)),"Bosnia and Herzegovina",
ISNUMBER(SEARCH("rn""&gt;Trinidad and Tobago",S4143)),"Trinidad and Tobago",
ISNUMBER(SEARCH("rn""&gt;Serbia and Montenegro",S4143)),"Serbia and Montenegro",
ISNUMBER(SEARCH(_xlfn.UNICHAR(65533),S4143)),"Côte d'Ivoire",
TRUE,""
)</f>
        <v/>
      </c>
      <c r="W4143" s="40" t="str">
        <f t="shared" si="267"/>
        <v>Ghana</v>
      </c>
    </row>
    <row r="4144" spans="19:23">
      <c r="S4144" s="40" t="str">
        <v>Australia</v>
      </c>
      <c r="T4144" s="40" t="str">
        <f t="shared" si="265"/>
        <v>OK</v>
      </c>
      <c r="U4144" s="40" t="str">
        <f t="shared" si="266"/>
        <v>-</v>
      </c>
      <c r="V4144" s="40" t="str" cm="1">
        <f t="array" ref="V4144">_xlfn.IFS(
ISNUMBER(SEARCH("USA",S4144)),"United States",
ISNUMBER(SEARCH("Republic of Ireland",S4144)),"Ireland",
ISNUMBER(SEARCH("Republic of Korea",S4144)),"South Korea",
ISNUMBER(SEARCH("Cape Verde",S4144)),"Cabo Verde",
ISNUMBER(SEARCH("Czechia",S4144)),"Czech Republic",
ISNUMBER(SEARCH("Türkiye",S4144)),"Turkey",
ISNUMBER(SEARCH("Ivory Coast",S4144)),"Côte d'Ivoire",
ISNUMBER(SEARCH("Korea Republic",S4144)),"South Korea",
ISNUMBER(SEARCH("Germany FR",S4144)),"FR Germany",
ISNUMBER(SEARCH("West Germany",S4144)),"FR Germany",
ISNUMBER(SEARCH("Germany DR",S4144)),"DR Germany",
ISNUMBER(SEARCH("Korea DPR",S4144)),"North Korea",
ISNUMBER(SEARCH("China PR",S4144)),"China",
ISNUMBER(SEARCH("IR Iran",S4144)),"Iran",
ISNUMBER(SEARCH("Congo DR",S4144)),"Democratic Republic of the Congo",
ISNUMBER(SEARCH("DR Congo",S4144)),"Democratic Republic of the Congo",
ISNUMBER(SEARCH("German DR",S4144)),"DR Germany",
ISNUMBER(SEARCH("rn""&gt;United Arab Emirates",S4144)),"United Arab Emirates",
ISNUMBER(SEARCH("rn""&gt;Republic of Ireland",S4144)),"Ireland",
ISNUMBER(SEARCH("rn""&gt;Bosnia and Herzegovina",S4144)),"Bosnia and Herzegovina",
ISNUMBER(SEARCH("rn""&gt;Trinidad and Tobago",S4144)),"Trinidad and Tobago",
ISNUMBER(SEARCH("rn""&gt;Serbia and Montenegro",S4144)),"Serbia and Montenegro",
ISNUMBER(SEARCH(_xlfn.UNICHAR(65533),S4144)),"Côte d'Ivoire",
TRUE,""
)</f>
        <v/>
      </c>
      <c r="W4144" s="40" t="str">
        <f t="shared" si="267"/>
        <v>Australia</v>
      </c>
    </row>
    <row r="4145" spans="19:23">
      <c r="S4145" s="40" t="str">
        <v>Denmark</v>
      </c>
      <c r="T4145" s="40" t="str">
        <f t="shared" si="265"/>
        <v>OK</v>
      </c>
      <c r="U4145" s="40" t="str">
        <f t="shared" si="266"/>
        <v>-</v>
      </c>
      <c r="V4145" s="40" t="str" cm="1">
        <f t="array" ref="V4145">_xlfn.IFS(
ISNUMBER(SEARCH("USA",S4145)),"United States",
ISNUMBER(SEARCH("Republic of Ireland",S4145)),"Ireland",
ISNUMBER(SEARCH("Republic of Korea",S4145)),"South Korea",
ISNUMBER(SEARCH("Cape Verde",S4145)),"Cabo Verde",
ISNUMBER(SEARCH("Czechia",S4145)),"Czech Republic",
ISNUMBER(SEARCH("Türkiye",S4145)),"Turkey",
ISNUMBER(SEARCH("Ivory Coast",S4145)),"Côte d'Ivoire",
ISNUMBER(SEARCH("Korea Republic",S4145)),"South Korea",
ISNUMBER(SEARCH("Germany FR",S4145)),"FR Germany",
ISNUMBER(SEARCH("West Germany",S4145)),"FR Germany",
ISNUMBER(SEARCH("Germany DR",S4145)),"DR Germany",
ISNUMBER(SEARCH("Korea DPR",S4145)),"North Korea",
ISNUMBER(SEARCH("China PR",S4145)),"China",
ISNUMBER(SEARCH("IR Iran",S4145)),"Iran",
ISNUMBER(SEARCH("Congo DR",S4145)),"Democratic Republic of the Congo",
ISNUMBER(SEARCH("DR Congo",S4145)),"Democratic Republic of the Congo",
ISNUMBER(SEARCH("German DR",S4145)),"DR Germany",
ISNUMBER(SEARCH("rn""&gt;United Arab Emirates",S4145)),"United Arab Emirates",
ISNUMBER(SEARCH("rn""&gt;Republic of Ireland",S4145)),"Ireland",
ISNUMBER(SEARCH("rn""&gt;Bosnia and Herzegovina",S4145)),"Bosnia and Herzegovina",
ISNUMBER(SEARCH("rn""&gt;Trinidad and Tobago",S4145)),"Trinidad and Tobago",
ISNUMBER(SEARCH("rn""&gt;Serbia and Montenegro",S4145)),"Serbia and Montenegro",
ISNUMBER(SEARCH(_xlfn.UNICHAR(65533),S4145)),"Côte d'Ivoire",
TRUE,""
)</f>
        <v/>
      </c>
      <c r="W4145" s="40" t="str">
        <f t="shared" si="267"/>
        <v>Denmark</v>
      </c>
    </row>
    <row r="4146" spans="19:23">
      <c r="S4146" s="40" t="str">
        <v>Cameroon</v>
      </c>
      <c r="T4146" s="40" t="str">
        <f t="shared" si="265"/>
        <v>OK</v>
      </c>
      <c r="U4146" s="40" t="str">
        <f t="shared" si="266"/>
        <v>-</v>
      </c>
      <c r="V4146" s="40" t="str" cm="1">
        <f t="array" ref="V4146">_xlfn.IFS(
ISNUMBER(SEARCH("USA",S4146)),"United States",
ISNUMBER(SEARCH("Republic of Ireland",S4146)),"Ireland",
ISNUMBER(SEARCH("Republic of Korea",S4146)),"South Korea",
ISNUMBER(SEARCH("Cape Verde",S4146)),"Cabo Verde",
ISNUMBER(SEARCH("Czechia",S4146)),"Czech Republic",
ISNUMBER(SEARCH("Türkiye",S4146)),"Turkey",
ISNUMBER(SEARCH("Ivory Coast",S4146)),"Côte d'Ivoire",
ISNUMBER(SEARCH("Korea Republic",S4146)),"South Korea",
ISNUMBER(SEARCH("Germany FR",S4146)),"FR Germany",
ISNUMBER(SEARCH("West Germany",S4146)),"FR Germany",
ISNUMBER(SEARCH("Germany DR",S4146)),"DR Germany",
ISNUMBER(SEARCH("Korea DPR",S4146)),"North Korea",
ISNUMBER(SEARCH("China PR",S4146)),"China",
ISNUMBER(SEARCH("IR Iran",S4146)),"Iran",
ISNUMBER(SEARCH("Congo DR",S4146)),"Democratic Republic of the Congo",
ISNUMBER(SEARCH("DR Congo",S4146)),"Democratic Republic of the Congo",
ISNUMBER(SEARCH("German DR",S4146)),"DR Germany",
ISNUMBER(SEARCH("rn""&gt;United Arab Emirates",S4146)),"United Arab Emirates",
ISNUMBER(SEARCH("rn""&gt;Republic of Ireland",S4146)),"Ireland",
ISNUMBER(SEARCH("rn""&gt;Bosnia and Herzegovina",S4146)),"Bosnia and Herzegovina",
ISNUMBER(SEARCH("rn""&gt;Trinidad and Tobago",S4146)),"Trinidad and Tobago",
ISNUMBER(SEARCH("rn""&gt;Serbia and Montenegro",S4146)),"Serbia and Montenegro",
ISNUMBER(SEARCH(_xlfn.UNICHAR(65533),S4146)),"Côte d'Ivoire",
TRUE,""
)</f>
        <v/>
      </c>
      <c r="W4146" s="40" t="str">
        <f t="shared" si="267"/>
        <v>Cameroon</v>
      </c>
    </row>
    <row r="4147" spans="19:23">
      <c r="S4147" s="40" t="str">
        <v>Paraguay</v>
      </c>
      <c r="T4147" s="40" t="str">
        <f t="shared" si="265"/>
        <v>OK</v>
      </c>
      <c r="U4147" s="40" t="str">
        <f t="shared" si="266"/>
        <v>-</v>
      </c>
      <c r="V4147" s="40" t="str" cm="1">
        <f t="array" ref="V4147">_xlfn.IFS(
ISNUMBER(SEARCH("USA",S4147)),"United States",
ISNUMBER(SEARCH("Republic of Ireland",S4147)),"Ireland",
ISNUMBER(SEARCH("Republic of Korea",S4147)),"South Korea",
ISNUMBER(SEARCH("Cape Verde",S4147)),"Cabo Verde",
ISNUMBER(SEARCH("Czechia",S4147)),"Czech Republic",
ISNUMBER(SEARCH("Türkiye",S4147)),"Turkey",
ISNUMBER(SEARCH("Ivory Coast",S4147)),"Côte d'Ivoire",
ISNUMBER(SEARCH("Korea Republic",S4147)),"South Korea",
ISNUMBER(SEARCH("Germany FR",S4147)),"FR Germany",
ISNUMBER(SEARCH("West Germany",S4147)),"FR Germany",
ISNUMBER(SEARCH("Germany DR",S4147)),"DR Germany",
ISNUMBER(SEARCH("Korea DPR",S4147)),"North Korea",
ISNUMBER(SEARCH("China PR",S4147)),"China",
ISNUMBER(SEARCH("IR Iran",S4147)),"Iran",
ISNUMBER(SEARCH("Congo DR",S4147)),"Democratic Republic of the Congo",
ISNUMBER(SEARCH("DR Congo",S4147)),"Democratic Republic of the Congo",
ISNUMBER(SEARCH("German DR",S4147)),"DR Germany",
ISNUMBER(SEARCH("rn""&gt;United Arab Emirates",S4147)),"United Arab Emirates",
ISNUMBER(SEARCH("rn""&gt;Republic of Ireland",S4147)),"Ireland",
ISNUMBER(SEARCH("rn""&gt;Bosnia and Herzegovina",S4147)),"Bosnia and Herzegovina",
ISNUMBER(SEARCH("rn""&gt;Trinidad and Tobago",S4147)),"Trinidad and Tobago",
ISNUMBER(SEARCH("rn""&gt;Serbia and Montenegro",S4147)),"Serbia and Montenegro",
ISNUMBER(SEARCH(_xlfn.UNICHAR(65533),S4147)),"Côte d'Ivoire",
TRUE,""
)</f>
        <v/>
      </c>
      <c r="W4147" s="40" t="str">
        <f t="shared" si="267"/>
        <v>Paraguay</v>
      </c>
    </row>
    <row r="4148" spans="19:23">
      <c r="S4148" s="40" t="str">
        <v>Slovakia</v>
      </c>
      <c r="T4148" s="40" t="str">
        <f t="shared" si="265"/>
        <v>OK</v>
      </c>
      <c r="U4148" s="40" t="str">
        <f t="shared" si="266"/>
        <v>-</v>
      </c>
      <c r="V4148" s="40" t="str" cm="1">
        <f t="array" ref="V4148">_xlfn.IFS(
ISNUMBER(SEARCH("USA",S4148)),"United States",
ISNUMBER(SEARCH("Republic of Ireland",S4148)),"Ireland",
ISNUMBER(SEARCH("Republic of Korea",S4148)),"South Korea",
ISNUMBER(SEARCH("Cape Verde",S4148)),"Cabo Verde",
ISNUMBER(SEARCH("Czechia",S4148)),"Czech Republic",
ISNUMBER(SEARCH("Türkiye",S4148)),"Turkey",
ISNUMBER(SEARCH("Ivory Coast",S4148)),"Côte d'Ivoire",
ISNUMBER(SEARCH("Korea Republic",S4148)),"South Korea",
ISNUMBER(SEARCH("Germany FR",S4148)),"FR Germany",
ISNUMBER(SEARCH("West Germany",S4148)),"FR Germany",
ISNUMBER(SEARCH("Germany DR",S4148)),"DR Germany",
ISNUMBER(SEARCH("Korea DPR",S4148)),"North Korea",
ISNUMBER(SEARCH("China PR",S4148)),"China",
ISNUMBER(SEARCH("IR Iran",S4148)),"Iran",
ISNUMBER(SEARCH("Congo DR",S4148)),"Democratic Republic of the Congo",
ISNUMBER(SEARCH("DR Congo",S4148)),"Democratic Republic of the Congo",
ISNUMBER(SEARCH("German DR",S4148)),"DR Germany",
ISNUMBER(SEARCH("rn""&gt;United Arab Emirates",S4148)),"United Arab Emirates",
ISNUMBER(SEARCH("rn""&gt;Republic of Ireland",S4148)),"Ireland",
ISNUMBER(SEARCH("rn""&gt;Bosnia and Herzegovina",S4148)),"Bosnia and Herzegovina",
ISNUMBER(SEARCH("rn""&gt;Trinidad and Tobago",S4148)),"Trinidad and Tobago",
ISNUMBER(SEARCH("rn""&gt;Serbia and Montenegro",S4148)),"Serbia and Montenegro",
ISNUMBER(SEARCH(_xlfn.UNICHAR(65533),S4148)),"Côte d'Ivoire",
TRUE,""
)</f>
        <v/>
      </c>
      <c r="W4148" s="40" t="str">
        <f t="shared" si="267"/>
        <v>Slovakia</v>
      </c>
    </row>
    <row r="4149" spans="19:23">
      <c r="S4149" s="40" t="str">
        <v>Portugal</v>
      </c>
      <c r="T4149" s="40" t="str">
        <f t="shared" si="265"/>
        <v>OK</v>
      </c>
      <c r="U4149" s="40" t="str">
        <f t="shared" si="266"/>
        <v>-</v>
      </c>
      <c r="V4149" s="40" t="str" cm="1">
        <f t="array" ref="V4149">_xlfn.IFS(
ISNUMBER(SEARCH("USA",S4149)),"United States",
ISNUMBER(SEARCH("Republic of Ireland",S4149)),"Ireland",
ISNUMBER(SEARCH("Republic of Korea",S4149)),"South Korea",
ISNUMBER(SEARCH("Cape Verde",S4149)),"Cabo Verde",
ISNUMBER(SEARCH("Czechia",S4149)),"Czech Republic",
ISNUMBER(SEARCH("Türkiye",S4149)),"Turkey",
ISNUMBER(SEARCH("Ivory Coast",S4149)),"Côte d'Ivoire",
ISNUMBER(SEARCH("Korea Republic",S4149)),"South Korea",
ISNUMBER(SEARCH("Germany FR",S4149)),"FR Germany",
ISNUMBER(SEARCH("West Germany",S4149)),"FR Germany",
ISNUMBER(SEARCH("Germany DR",S4149)),"DR Germany",
ISNUMBER(SEARCH("Korea DPR",S4149)),"North Korea",
ISNUMBER(SEARCH("China PR",S4149)),"China",
ISNUMBER(SEARCH("IR Iran",S4149)),"Iran",
ISNUMBER(SEARCH("Congo DR",S4149)),"Democratic Republic of the Congo",
ISNUMBER(SEARCH("DR Congo",S4149)),"Democratic Republic of the Congo",
ISNUMBER(SEARCH("German DR",S4149)),"DR Germany",
ISNUMBER(SEARCH("rn""&gt;United Arab Emirates",S4149)),"United Arab Emirates",
ISNUMBER(SEARCH("rn""&gt;Republic of Ireland",S4149)),"Ireland",
ISNUMBER(SEARCH("rn""&gt;Bosnia and Herzegovina",S4149)),"Bosnia and Herzegovina",
ISNUMBER(SEARCH("rn""&gt;Trinidad and Tobago",S4149)),"Trinidad and Tobago",
ISNUMBER(SEARCH("rn""&gt;Serbia and Montenegro",S4149)),"Serbia and Montenegro",
ISNUMBER(SEARCH(_xlfn.UNICHAR(65533),S4149)),"Côte d'Ivoire",
TRUE,""
)</f>
        <v/>
      </c>
      <c r="W4149" s="40" t="str">
        <f t="shared" si="267"/>
        <v>Portugal</v>
      </c>
    </row>
    <row r="4150" spans="19:23">
      <c r="S4150" s="40" t="str">
        <v>Korea DPR</v>
      </c>
      <c r="T4150" s="40" t="str">
        <f t="shared" si="265"/>
        <v>ERREUR</v>
      </c>
      <c r="U4150" s="40" t="str">
        <f t="shared" si="266"/>
        <v>RENOMMER</v>
      </c>
      <c r="V4150" s="40" t="str" cm="1">
        <f t="array" ref="V4150">_xlfn.IFS(
ISNUMBER(SEARCH("USA",S4150)),"United States",
ISNUMBER(SEARCH("Republic of Ireland",S4150)),"Ireland",
ISNUMBER(SEARCH("Republic of Korea",S4150)),"South Korea",
ISNUMBER(SEARCH("Cape Verde",S4150)),"Cabo Verde",
ISNUMBER(SEARCH("Czechia",S4150)),"Czech Republic",
ISNUMBER(SEARCH("Türkiye",S4150)),"Turkey",
ISNUMBER(SEARCH("Ivory Coast",S4150)),"Côte d'Ivoire",
ISNUMBER(SEARCH("Korea Republic",S4150)),"South Korea",
ISNUMBER(SEARCH("Germany FR",S4150)),"FR Germany",
ISNUMBER(SEARCH("West Germany",S4150)),"FR Germany",
ISNUMBER(SEARCH("Germany DR",S4150)),"DR Germany",
ISNUMBER(SEARCH("Korea DPR",S4150)),"North Korea",
ISNUMBER(SEARCH("China PR",S4150)),"China",
ISNUMBER(SEARCH("IR Iran",S4150)),"Iran",
ISNUMBER(SEARCH("Congo DR",S4150)),"Democratic Republic of the Congo",
ISNUMBER(SEARCH("DR Congo",S4150)),"Democratic Republic of the Congo",
ISNUMBER(SEARCH("German DR",S4150)),"DR Germany",
ISNUMBER(SEARCH("rn""&gt;United Arab Emirates",S4150)),"United Arab Emirates",
ISNUMBER(SEARCH("rn""&gt;Republic of Ireland",S4150)),"Ireland",
ISNUMBER(SEARCH("rn""&gt;Bosnia and Herzegovina",S4150)),"Bosnia and Herzegovina",
ISNUMBER(SEARCH("rn""&gt;Trinidad and Tobago",S4150)),"Trinidad and Tobago",
ISNUMBER(SEARCH("rn""&gt;Serbia and Montenegro",S4150)),"Serbia and Montenegro",
ISNUMBER(SEARCH(_xlfn.UNICHAR(65533),S4150)),"Côte d'Ivoire",
TRUE,""
)</f>
        <v>North Korea</v>
      </c>
      <c r="W4150" s="40" t="str">
        <f t="shared" si="267"/>
        <v>North Korea</v>
      </c>
    </row>
    <row r="4151" spans="19:23">
      <c r="S4151" s="40" t="str">
        <v>Chile</v>
      </c>
      <c r="T4151" s="40" t="str">
        <f t="shared" si="265"/>
        <v>OK</v>
      </c>
      <c r="U4151" s="40" t="str">
        <f t="shared" si="266"/>
        <v>-</v>
      </c>
      <c r="V4151" s="40" t="str" cm="1">
        <f t="array" ref="V4151">_xlfn.IFS(
ISNUMBER(SEARCH("USA",S4151)),"United States",
ISNUMBER(SEARCH("Republic of Ireland",S4151)),"Ireland",
ISNUMBER(SEARCH("Republic of Korea",S4151)),"South Korea",
ISNUMBER(SEARCH("Cape Verde",S4151)),"Cabo Verde",
ISNUMBER(SEARCH("Czechia",S4151)),"Czech Republic",
ISNUMBER(SEARCH("Türkiye",S4151)),"Turkey",
ISNUMBER(SEARCH("Ivory Coast",S4151)),"Côte d'Ivoire",
ISNUMBER(SEARCH("Korea Republic",S4151)),"South Korea",
ISNUMBER(SEARCH("Germany FR",S4151)),"FR Germany",
ISNUMBER(SEARCH("West Germany",S4151)),"FR Germany",
ISNUMBER(SEARCH("Germany DR",S4151)),"DR Germany",
ISNUMBER(SEARCH("Korea DPR",S4151)),"North Korea",
ISNUMBER(SEARCH("China PR",S4151)),"China",
ISNUMBER(SEARCH("IR Iran",S4151)),"Iran",
ISNUMBER(SEARCH("Congo DR",S4151)),"Democratic Republic of the Congo",
ISNUMBER(SEARCH("DR Congo",S4151)),"Democratic Republic of the Congo",
ISNUMBER(SEARCH("German DR",S4151)),"DR Germany",
ISNUMBER(SEARCH("rn""&gt;United Arab Emirates",S4151)),"United Arab Emirates",
ISNUMBER(SEARCH("rn""&gt;Republic of Ireland",S4151)),"Ireland",
ISNUMBER(SEARCH("rn""&gt;Bosnia and Herzegovina",S4151)),"Bosnia and Herzegovina",
ISNUMBER(SEARCH("rn""&gt;Trinidad and Tobago",S4151)),"Trinidad and Tobago",
ISNUMBER(SEARCH("rn""&gt;Serbia and Montenegro",S4151)),"Serbia and Montenegro",
ISNUMBER(SEARCH(_xlfn.UNICHAR(65533),S4151)),"Côte d'Ivoire",
TRUE,""
)</f>
        <v/>
      </c>
      <c r="W4151" s="40" t="str">
        <f t="shared" si="267"/>
        <v>Chile</v>
      </c>
    </row>
    <row r="4152" spans="19:23">
      <c r="S4152" s="40" t="str">
        <v>Switzerland</v>
      </c>
      <c r="T4152" s="40" t="str">
        <f t="shared" si="265"/>
        <v>OK</v>
      </c>
      <c r="U4152" s="40" t="str">
        <f t="shared" si="266"/>
        <v>-</v>
      </c>
      <c r="V4152" s="40" t="str" cm="1">
        <f t="array" ref="V4152">_xlfn.IFS(
ISNUMBER(SEARCH("USA",S4152)),"United States",
ISNUMBER(SEARCH("Republic of Ireland",S4152)),"Ireland",
ISNUMBER(SEARCH("Republic of Korea",S4152)),"South Korea",
ISNUMBER(SEARCH("Cape Verde",S4152)),"Cabo Verde",
ISNUMBER(SEARCH("Czechia",S4152)),"Czech Republic",
ISNUMBER(SEARCH("Türkiye",S4152)),"Turkey",
ISNUMBER(SEARCH("Ivory Coast",S4152)),"Côte d'Ivoire",
ISNUMBER(SEARCH("Korea Republic",S4152)),"South Korea",
ISNUMBER(SEARCH("Germany FR",S4152)),"FR Germany",
ISNUMBER(SEARCH("West Germany",S4152)),"FR Germany",
ISNUMBER(SEARCH("Germany DR",S4152)),"DR Germany",
ISNUMBER(SEARCH("Korea DPR",S4152)),"North Korea",
ISNUMBER(SEARCH("China PR",S4152)),"China",
ISNUMBER(SEARCH("IR Iran",S4152)),"Iran",
ISNUMBER(SEARCH("Congo DR",S4152)),"Democratic Republic of the Congo",
ISNUMBER(SEARCH("DR Congo",S4152)),"Democratic Republic of the Congo",
ISNUMBER(SEARCH("German DR",S4152)),"DR Germany",
ISNUMBER(SEARCH("rn""&gt;United Arab Emirates",S4152)),"United Arab Emirates",
ISNUMBER(SEARCH("rn""&gt;Republic of Ireland",S4152)),"Ireland",
ISNUMBER(SEARCH("rn""&gt;Bosnia and Herzegovina",S4152)),"Bosnia and Herzegovina",
ISNUMBER(SEARCH("rn""&gt;Trinidad and Tobago",S4152)),"Trinidad and Tobago",
ISNUMBER(SEARCH("rn""&gt;Serbia and Montenegro",S4152)),"Serbia and Montenegro",
ISNUMBER(SEARCH(_xlfn.UNICHAR(65533),S4152)),"Côte d'Ivoire",
TRUE,""
)</f>
        <v/>
      </c>
      <c r="W4152" s="40" t="str">
        <f t="shared" si="267"/>
        <v>Switzerland</v>
      </c>
    </row>
    <row r="4153" spans="19:23">
      <c r="S4153" s="40" t="str">
        <v>Uruguay</v>
      </c>
      <c r="T4153" s="40" t="str">
        <f t="shared" si="265"/>
        <v>OK</v>
      </c>
      <c r="U4153" s="40" t="str">
        <f t="shared" si="266"/>
        <v>-</v>
      </c>
      <c r="V4153" s="40" t="str" cm="1">
        <f t="array" ref="V4153">_xlfn.IFS(
ISNUMBER(SEARCH("USA",S4153)),"United States",
ISNUMBER(SEARCH("Republic of Ireland",S4153)),"Ireland",
ISNUMBER(SEARCH("Republic of Korea",S4153)),"South Korea",
ISNUMBER(SEARCH("Cape Verde",S4153)),"Cabo Verde",
ISNUMBER(SEARCH("Czechia",S4153)),"Czech Republic",
ISNUMBER(SEARCH("Türkiye",S4153)),"Turkey",
ISNUMBER(SEARCH("Ivory Coast",S4153)),"Côte d'Ivoire",
ISNUMBER(SEARCH("Korea Republic",S4153)),"South Korea",
ISNUMBER(SEARCH("Germany FR",S4153)),"FR Germany",
ISNUMBER(SEARCH("West Germany",S4153)),"FR Germany",
ISNUMBER(SEARCH("Germany DR",S4153)),"DR Germany",
ISNUMBER(SEARCH("Korea DPR",S4153)),"North Korea",
ISNUMBER(SEARCH("China PR",S4153)),"China",
ISNUMBER(SEARCH("IR Iran",S4153)),"Iran",
ISNUMBER(SEARCH("Congo DR",S4153)),"Democratic Republic of the Congo",
ISNUMBER(SEARCH("DR Congo",S4153)),"Democratic Republic of the Congo",
ISNUMBER(SEARCH("German DR",S4153)),"DR Germany",
ISNUMBER(SEARCH("rn""&gt;United Arab Emirates",S4153)),"United Arab Emirates",
ISNUMBER(SEARCH("rn""&gt;Republic of Ireland",S4153)),"Ireland",
ISNUMBER(SEARCH("rn""&gt;Bosnia and Herzegovina",S4153)),"Bosnia and Herzegovina",
ISNUMBER(SEARCH("rn""&gt;Trinidad and Tobago",S4153)),"Trinidad and Tobago",
ISNUMBER(SEARCH("rn""&gt;Serbia and Montenegro",S4153)),"Serbia and Montenegro",
ISNUMBER(SEARCH(_xlfn.UNICHAR(65533),S4153)),"Côte d'Ivoire",
TRUE,""
)</f>
        <v/>
      </c>
      <c r="W4153" s="40" t="str">
        <f t="shared" si="267"/>
        <v>Uruguay</v>
      </c>
    </row>
    <row r="4154" spans="19:23">
      <c r="S4154" s="40" t="str">
        <v>Korea Republic</v>
      </c>
      <c r="T4154" s="40" t="str">
        <f t="shared" si="265"/>
        <v>ERREUR</v>
      </c>
      <c r="U4154" s="40" t="str">
        <f t="shared" si="266"/>
        <v>RENOMMER</v>
      </c>
      <c r="V4154" s="40" t="str" cm="1">
        <f t="array" ref="V4154">_xlfn.IFS(
ISNUMBER(SEARCH("USA",S4154)),"United States",
ISNUMBER(SEARCH("Republic of Ireland",S4154)),"Ireland",
ISNUMBER(SEARCH("Republic of Korea",S4154)),"South Korea",
ISNUMBER(SEARCH("Cape Verde",S4154)),"Cabo Verde",
ISNUMBER(SEARCH("Czechia",S4154)),"Czech Republic",
ISNUMBER(SEARCH("Türkiye",S4154)),"Turkey",
ISNUMBER(SEARCH("Ivory Coast",S4154)),"Côte d'Ivoire",
ISNUMBER(SEARCH("Korea Republic",S4154)),"South Korea",
ISNUMBER(SEARCH("Germany FR",S4154)),"FR Germany",
ISNUMBER(SEARCH("West Germany",S4154)),"FR Germany",
ISNUMBER(SEARCH("Germany DR",S4154)),"DR Germany",
ISNUMBER(SEARCH("Korea DPR",S4154)),"North Korea",
ISNUMBER(SEARCH("China PR",S4154)),"China",
ISNUMBER(SEARCH("IR Iran",S4154)),"Iran",
ISNUMBER(SEARCH("Congo DR",S4154)),"Democratic Republic of the Congo",
ISNUMBER(SEARCH("DR Congo",S4154)),"Democratic Republic of the Congo",
ISNUMBER(SEARCH("German DR",S4154)),"DR Germany",
ISNUMBER(SEARCH("rn""&gt;United Arab Emirates",S4154)),"United Arab Emirates",
ISNUMBER(SEARCH("rn""&gt;Republic of Ireland",S4154)),"Ireland",
ISNUMBER(SEARCH("rn""&gt;Bosnia and Herzegovina",S4154)),"Bosnia and Herzegovina",
ISNUMBER(SEARCH("rn""&gt;Trinidad and Tobago",S4154)),"Trinidad and Tobago",
ISNUMBER(SEARCH("rn""&gt;Serbia and Montenegro",S4154)),"Serbia and Montenegro",
ISNUMBER(SEARCH(_xlfn.UNICHAR(65533),S4154)),"Côte d'Ivoire",
TRUE,""
)</f>
        <v>South Korea</v>
      </c>
      <c r="W4154" s="40" t="str">
        <f t="shared" si="267"/>
        <v>South Korea</v>
      </c>
    </row>
    <row r="4155" spans="19:23">
      <c r="S4155" s="40" t="str">
        <v>Nigeria</v>
      </c>
      <c r="T4155" s="40" t="str">
        <f t="shared" si="265"/>
        <v>OK</v>
      </c>
      <c r="U4155" s="40" t="str">
        <f t="shared" si="266"/>
        <v>-</v>
      </c>
      <c r="V4155" s="40" t="str" cm="1">
        <f t="array" ref="V4155">_xlfn.IFS(
ISNUMBER(SEARCH("USA",S4155)),"United States",
ISNUMBER(SEARCH("Republic of Ireland",S4155)),"Ireland",
ISNUMBER(SEARCH("Republic of Korea",S4155)),"South Korea",
ISNUMBER(SEARCH("Cape Verde",S4155)),"Cabo Verde",
ISNUMBER(SEARCH("Czechia",S4155)),"Czech Republic",
ISNUMBER(SEARCH("Türkiye",S4155)),"Turkey",
ISNUMBER(SEARCH("Ivory Coast",S4155)),"Côte d'Ivoire",
ISNUMBER(SEARCH("Korea Republic",S4155)),"South Korea",
ISNUMBER(SEARCH("Germany FR",S4155)),"FR Germany",
ISNUMBER(SEARCH("West Germany",S4155)),"FR Germany",
ISNUMBER(SEARCH("Germany DR",S4155)),"DR Germany",
ISNUMBER(SEARCH("Korea DPR",S4155)),"North Korea",
ISNUMBER(SEARCH("China PR",S4155)),"China",
ISNUMBER(SEARCH("IR Iran",S4155)),"Iran",
ISNUMBER(SEARCH("Congo DR",S4155)),"Democratic Republic of the Congo",
ISNUMBER(SEARCH("DR Congo",S4155)),"Democratic Republic of the Congo",
ISNUMBER(SEARCH("German DR",S4155)),"DR Germany",
ISNUMBER(SEARCH("rn""&gt;United Arab Emirates",S4155)),"United Arab Emirates",
ISNUMBER(SEARCH("rn""&gt;Republic of Ireland",S4155)),"Ireland",
ISNUMBER(SEARCH("rn""&gt;Bosnia and Herzegovina",S4155)),"Bosnia and Herzegovina",
ISNUMBER(SEARCH("rn""&gt;Trinidad and Tobago",S4155)),"Trinidad and Tobago",
ISNUMBER(SEARCH("rn""&gt;Serbia and Montenegro",S4155)),"Serbia and Montenegro",
ISNUMBER(SEARCH(_xlfn.UNICHAR(65533),S4155)),"Côte d'Ivoire",
TRUE,""
)</f>
        <v/>
      </c>
      <c r="W4155" s="40" t="str">
        <f t="shared" si="267"/>
        <v>Nigeria</v>
      </c>
    </row>
    <row r="4156" spans="19:23">
      <c r="S4156" s="40" t="str">
        <v>Mexico</v>
      </c>
      <c r="T4156" s="40" t="str">
        <f t="shared" si="265"/>
        <v>OK</v>
      </c>
      <c r="U4156" s="40" t="str">
        <f t="shared" si="266"/>
        <v>-</v>
      </c>
      <c r="V4156" s="40" t="str" cm="1">
        <f t="array" ref="V4156">_xlfn.IFS(
ISNUMBER(SEARCH("USA",S4156)),"United States",
ISNUMBER(SEARCH("Republic of Ireland",S4156)),"Ireland",
ISNUMBER(SEARCH("Republic of Korea",S4156)),"South Korea",
ISNUMBER(SEARCH("Cape Verde",S4156)),"Cabo Verde",
ISNUMBER(SEARCH("Czechia",S4156)),"Czech Republic",
ISNUMBER(SEARCH("Türkiye",S4156)),"Turkey",
ISNUMBER(SEARCH("Ivory Coast",S4156)),"Côte d'Ivoire",
ISNUMBER(SEARCH("Korea Republic",S4156)),"South Korea",
ISNUMBER(SEARCH("Germany FR",S4156)),"FR Germany",
ISNUMBER(SEARCH("West Germany",S4156)),"FR Germany",
ISNUMBER(SEARCH("Germany DR",S4156)),"DR Germany",
ISNUMBER(SEARCH("Korea DPR",S4156)),"North Korea",
ISNUMBER(SEARCH("China PR",S4156)),"China",
ISNUMBER(SEARCH("IR Iran",S4156)),"Iran",
ISNUMBER(SEARCH("Congo DR",S4156)),"Democratic Republic of the Congo",
ISNUMBER(SEARCH("DR Congo",S4156)),"Democratic Republic of the Congo",
ISNUMBER(SEARCH("German DR",S4156)),"DR Germany",
ISNUMBER(SEARCH("rn""&gt;United Arab Emirates",S4156)),"United Arab Emirates",
ISNUMBER(SEARCH("rn""&gt;Republic of Ireland",S4156)),"Ireland",
ISNUMBER(SEARCH("rn""&gt;Bosnia and Herzegovina",S4156)),"Bosnia and Herzegovina",
ISNUMBER(SEARCH("rn""&gt;Trinidad and Tobago",S4156)),"Trinidad and Tobago",
ISNUMBER(SEARCH("rn""&gt;Serbia and Montenegro",S4156)),"Serbia and Montenegro",
ISNUMBER(SEARCH(_xlfn.UNICHAR(65533),S4156)),"Côte d'Ivoire",
TRUE,""
)</f>
        <v/>
      </c>
      <c r="W4156" s="40" t="str">
        <f t="shared" si="267"/>
        <v>Mexico</v>
      </c>
    </row>
    <row r="4157" spans="19:23">
      <c r="S4157" s="40" t="str">
        <v>Serbia</v>
      </c>
      <c r="T4157" s="40" t="str">
        <f t="shared" si="265"/>
        <v>OK</v>
      </c>
      <c r="U4157" s="40" t="str">
        <f t="shared" si="266"/>
        <v>-</v>
      </c>
      <c r="V4157" s="40" t="str" cm="1">
        <f t="array" ref="V4157">_xlfn.IFS(
ISNUMBER(SEARCH("USA",S4157)),"United States",
ISNUMBER(SEARCH("Republic of Ireland",S4157)),"Ireland",
ISNUMBER(SEARCH("Republic of Korea",S4157)),"South Korea",
ISNUMBER(SEARCH("Cape Verde",S4157)),"Cabo Verde",
ISNUMBER(SEARCH("Czechia",S4157)),"Czech Republic",
ISNUMBER(SEARCH("Türkiye",S4157)),"Turkey",
ISNUMBER(SEARCH("Ivory Coast",S4157)),"Côte d'Ivoire",
ISNUMBER(SEARCH("Korea Republic",S4157)),"South Korea",
ISNUMBER(SEARCH("Germany FR",S4157)),"FR Germany",
ISNUMBER(SEARCH("West Germany",S4157)),"FR Germany",
ISNUMBER(SEARCH("Germany DR",S4157)),"DR Germany",
ISNUMBER(SEARCH("Korea DPR",S4157)),"North Korea",
ISNUMBER(SEARCH("China PR",S4157)),"China",
ISNUMBER(SEARCH("IR Iran",S4157)),"Iran",
ISNUMBER(SEARCH("Congo DR",S4157)),"Democratic Republic of the Congo",
ISNUMBER(SEARCH("DR Congo",S4157)),"Democratic Republic of the Congo",
ISNUMBER(SEARCH("German DR",S4157)),"DR Germany",
ISNUMBER(SEARCH("rn""&gt;United Arab Emirates",S4157)),"United Arab Emirates",
ISNUMBER(SEARCH("rn""&gt;Republic of Ireland",S4157)),"Ireland",
ISNUMBER(SEARCH("rn""&gt;Bosnia and Herzegovina",S4157)),"Bosnia and Herzegovina",
ISNUMBER(SEARCH("rn""&gt;Trinidad and Tobago",S4157)),"Trinidad and Tobago",
ISNUMBER(SEARCH("rn""&gt;Serbia and Montenegro",S4157)),"Serbia and Montenegro",
ISNUMBER(SEARCH(_xlfn.UNICHAR(65533),S4157)),"Côte d'Ivoire",
TRUE,""
)</f>
        <v/>
      </c>
      <c r="W4157" s="40" t="str">
        <f t="shared" si="267"/>
        <v>Serbia</v>
      </c>
    </row>
    <row r="4158" spans="19:23">
      <c r="S4158" s="40" t="str">
        <v>USA</v>
      </c>
      <c r="T4158" s="40" t="str">
        <f t="shared" si="265"/>
        <v>ERREUR</v>
      </c>
      <c r="U4158" s="40" t="str">
        <f t="shared" si="266"/>
        <v>RENOMMER</v>
      </c>
      <c r="V4158" s="40" t="str" cm="1">
        <f t="array" ref="V4158">_xlfn.IFS(
ISNUMBER(SEARCH("USA",S4158)),"United States",
ISNUMBER(SEARCH("Republic of Ireland",S4158)),"Ireland",
ISNUMBER(SEARCH("Republic of Korea",S4158)),"South Korea",
ISNUMBER(SEARCH("Cape Verde",S4158)),"Cabo Verde",
ISNUMBER(SEARCH("Czechia",S4158)),"Czech Republic",
ISNUMBER(SEARCH("Türkiye",S4158)),"Turkey",
ISNUMBER(SEARCH("Ivory Coast",S4158)),"Côte d'Ivoire",
ISNUMBER(SEARCH("Korea Republic",S4158)),"South Korea",
ISNUMBER(SEARCH("Germany FR",S4158)),"FR Germany",
ISNUMBER(SEARCH("West Germany",S4158)),"FR Germany",
ISNUMBER(SEARCH("Germany DR",S4158)),"DR Germany",
ISNUMBER(SEARCH("Korea DPR",S4158)),"North Korea",
ISNUMBER(SEARCH("China PR",S4158)),"China",
ISNUMBER(SEARCH("IR Iran",S4158)),"Iran",
ISNUMBER(SEARCH("Congo DR",S4158)),"Democratic Republic of the Congo",
ISNUMBER(SEARCH("DR Congo",S4158)),"Democratic Republic of the Congo",
ISNUMBER(SEARCH("German DR",S4158)),"DR Germany",
ISNUMBER(SEARCH("rn""&gt;United Arab Emirates",S4158)),"United Arab Emirates",
ISNUMBER(SEARCH("rn""&gt;Republic of Ireland",S4158)),"Ireland",
ISNUMBER(SEARCH("rn""&gt;Bosnia and Herzegovina",S4158)),"Bosnia and Herzegovina",
ISNUMBER(SEARCH("rn""&gt;Trinidad and Tobago",S4158)),"Trinidad and Tobago",
ISNUMBER(SEARCH("rn""&gt;Serbia and Montenegro",S4158)),"Serbia and Montenegro",
ISNUMBER(SEARCH(_xlfn.UNICHAR(65533),S4158)),"Côte d'Ivoire",
TRUE,""
)</f>
        <v>United States</v>
      </c>
      <c r="W4158" s="40" t="str">
        <f t="shared" si="267"/>
        <v>United States</v>
      </c>
    </row>
    <row r="4159" spans="19:23">
      <c r="S4159" s="40" t="str">
        <v>Algeria</v>
      </c>
      <c r="T4159" s="40" t="str">
        <f t="shared" si="265"/>
        <v>OK</v>
      </c>
      <c r="U4159" s="40" t="str">
        <f t="shared" si="266"/>
        <v>-</v>
      </c>
      <c r="V4159" s="40" t="str" cm="1">
        <f t="array" ref="V4159">_xlfn.IFS(
ISNUMBER(SEARCH("USA",S4159)),"United States",
ISNUMBER(SEARCH("Republic of Ireland",S4159)),"Ireland",
ISNUMBER(SEARCH("Republic of Korea",S4159)),"South Korea",
ISNUMBER(SEARCH("Cape Verde",S4159)),"Cabo Verde",
ISNUMBER(SEARCH("Czechia",S4159)),"Czech Republic",
ISNUMBER(SEARCH("Türkiye",S4159)),"Turkey",
ISNUMBER(SEARCH("Ivory Coast",S4159)),"Côte d'Ivoire",
ISNUMBER(SEARCH("Korea Republic",S4159)),"South Korea",
ISNUMBER(SEARCH("Germany FR",S4159)),"FR Germany",
ISNUMBER(SEARCH("West Germany",S4159)),"FR Germany",
ISNUMBER(SEARCH("Germany DR",S4159)),"DR Germany",
ISNUMBER(SEARCH("Korea DPR",S4159)),"North Korea",
ISNUMBER(SEARCH("China PR",S4159)),"China",
ISNUMBER(SEARCH("IR Iran",S4159)),"Iran",
ISNUMBER(SEARCH("Congo DR",S4159)),"Democratic Republic of the Congo",
ISNUMBER(SEARCH("DR Congo",S4159)),"Democratic Republic of the Congo",
ISNUMBER(SEARCH("German DR",S4159)),"DR Germany",
ISNUMBER(SEARCH("rn""&gt;United Arab Emirates",S4159)),"United Arab Emirates",
ISNUMBER(SEARCH("rn""&gt;Republic of Ireland",S4159)),"Ireland",
ISNUMBER(SEARCH("rn""&gt;Bosnia and Herzegovina",S4159)),"Bosnia and Herzegovina",
ISNUMBER(SEARCH("rn""&gt;Trinidad and Tobago",S4159)),"Trinidad and Tobago",
ISNUMBER(SEARCH("rn""&gt;Serbia and Montenegro",S4159)),"Serbia and Montenegro",
ISNUMBER(SEARCH(_xlfn.UNICHAR(65533),S4159)),"Côte d'Ivoire",
TRUE,""
)</f>
        <v/>
      </c>
      <c r="W4159" s="40" t="str">
        <f t="shared" si="267"/>
        <v>Algeria</v>
      </c>
    </row>
    <row r="4160" spans="19:23">
      <c r="S4160" s="40" t="str">
        <v>Japan</v>
      </c>
      <c r="T4160" s="40" t="str">
        <f t="shared" si="265"/>
        <v>OK</v>
      </c>
      <c r="U4160" s="40" t="str">
        <f t="shared" si="266"/>
        <v>-</v>
      </c>
      <c r="V4160" s="40" t="str" cm="1">
        <f t="array" ref="V4160">_xlfn.IFS(
ISNUMBER(SEARCH("USA",S4160)),"United States",
ISNUMBER(SEARCH("Republic of Ireland",S4160)),"Ireland",
ISNUMBER(SEARCH("Republic of Korea",S4160)),"South Korea",
ISNUMBER(SEARCH("Cape Verde",S4160)),"Cabo Verde",
ISNUMBER(SEARCH("Czechia",S4160)),"Czech Republic",
ISNUMBER(SEARCH("Türkiye",S4160)),"Turkey",
ISNUMBER(SEARCH("Ivory Coast",S4160)),"Côte d'Ivoire",
ISNUMBER(SEARCH("Korea Republic",S4160)),"South Korea",
ISNUMBER(SEARCH("Germany FR",S4160)),"FR Germany",
ISNUMBER(SEARCH("West Germany",S4160)),"FR Germany",
ISNUMBER(SEARCH("Germany DR",S4160)),"DR Germany",
ISNUMBER(SEARCH("Korea DPR",S4160)),"North Korea",
ISNUMBER(SEARCH("China PR",S4160)),"China",
ISNUMBER(SEARCH("IR Iran",S4160)),"Iran",
ISNUMBER(SEARCH("Congo DR",S4160)),"Democratic Republic of the Congo",
ISNUMBER(SEARCH("DR Congo",S4160)),"Democratic Republic of the Congo",
ISNUMBER(SEARCH("German DR",S4160)),"DR Germany",
ISNUMBER(SEARCH("rn""&gt;United Arab Emirates",S4160)),"United Arab Emirates",
ISNUMBER(SEARCH("rn""&gt;Republic of Ireland",S4160)),"Ireland",
ISNUMBER(SEARCH("rn""&gt;Bosnia and Herzegovina",S4160)),"Bosnia and Herzegovina",
ISNUMBER(SEARCH("rn""&gt;Trinidad and Tobago",S4160)),"Trinidad and Tobago",
ISNUMBER(SEARCH("rn""&gt;Serbia and Montenegro",S4160)),"Serbia and Montenegro",
ISNUMBER(SEARCH(_xlfn.UNICHAR(65533),S4160)),"Côte d'Ivoire",
TRUE,""
)</f>
        <v/>
      </c>
      <c r="W4160" s="40" t="str">
        <f t="shared" si="267"/>
        <v>Japan</v>
      </c>
    </row>
    <row r="4161" spans="19:23">
      <c r="S4161" s="40" t="str">
        <v>Australia</v>
      </c>
      <c r="T4161" s="40" t="str">
        <f t="shared" si="265"/>
        <v>OK</v>
      </c>
      <c r="U4161" s="40" t="str">
        <f t="shared" si="266"/>
        <v>-</v>
      </c>
      <c r="V4161" s="40" t="str" cm="1">
        <f t="array" ref="V4161">_xlfn.IFS(
ISNUMBER(SEARCH("USA",S4161)),"United States",
ISNUMBER(SEARCH("Republic of Ireland",S4161)),"Ireland",
ISNUMBER(SEARCH("Republic of Korea",S4161)),"South Korea",
ISNUMBER(SEARCH("Cape Verde",S4161)),"Cabo Verde",
ISNUMBER(SEARCH("Czechia",S4161)),"Czech Republic",
ISNUMBER(SEARCH("Türkiye",S4161)),"Turkey",
ISNUMBER(SEARCH("Ivory Coast",S4161)),"Côte d'Ivoire",
ISNUMBER(SEARCH("Korea Republic",S4161)),"South Korea",
ISNUMBER(SEARCH("Germany FR",S4161)),"FR Germany",
ISNUMBER(SEARCH("West Germany",S4161)),"FR Germany",
ISNUMBER(SEARCH("Germany DR",S4161)),"DR Germany",
ISNUMBER(SEARCH("Korea DPR",S4161)),"North Korea",
ISNUMBER(SEARCH("China PR",S4161)),"China",
ISNUMBER(SEARCH("IR Iran",S4161)),"Iran",
ISNUMBER(SEARCH("Congo DR",S4161)),"Democratic Republic of the Congo",
ISNUMBER(SEARCH("DR Congo",S4161)),"Democratic Republic of the Congo",
ISNUMBER(SEARCH("German DR",S4161)),"DR Germany",
ISNUMBER(SEARCH("rn""&gt;United Arab Emirates",S4161)),"United Arab Emirates",
ISNUMBER(SEARCH("rn""&gt;Republic of Ireland",S4161)),"Ireland",
ISNUMBER(SEARCH("rn""&gt;Bosnia and Herzegovina",S4161)),"Bosnia and Herzegovina",
ISNUMBER(SEARCH("rn""&gt;Trinidad and Tobago",S4161)),"Trinidad and Tobago",
ISNUMBER(SEARCH("rn""&gt;Serbia and Montenegro",S4161)),"Serbia and Montenegro",
ISNUMBER(SEARCH(_xlfn.UNICHAR(65533),S4161)),"Côte d'Ivoire",
TRUE,""
)</f>
        <v/>
      </c>
      <c r="W4161" s="40" t="str">
        <f t="shared" si="267"/>
        <v>Australia</v>
      </c>
    </row>
    <row r="4162" spans="19:23">
      <c r="S4162" s="40" t="str">
        <v>Denmark</v>
      </c>
      <c r="T4162" s="40" t="str">
        <f t="shared" si="265"/>
        <v>OK</v>
      </c>
      <c r="U4162" s="40" t="str">
        <f t="shared" si="266"/>
        <v>-</v>
      </c>
      <c r="V4162" s="40" t="str" cm="1">
        <f t="array" ref="V4162">_xlfn.IFS(
ISNUMBER(SEARCH("USA",S4162)),"United States",
ISNUMBER(SEARCH("Republic of Ireland",S4162)),"Ireland",
ISNUMBER(SEARCH("Republic of Korea",S4162)),"South Korea",
ISNUMBER(SEARCH("Cape Verde",S4162)),"Cabo Verde",
ISNUMBER(SEARCH("Czechia",S4162)),"Czech Republic",
ISNUMBER(SEARCH("Türkiye",S4162)),"Turkey",
ISNUMBER(SEARCH("Ivory Coast",S4162)),"Côte d'Ivoire",
ISNUMBER(SEARCH("Korea Republic",S4162)),"South Korea",
ISNUMBER(SEARCH("Germany FR",S4162)),"FR Germany",
ISNUMBER(SEARCH("West Germany",S4162)),"FR Germany",
ISNUMBER(SEARCH("Germany DR",S4162)),"DR Germany",
ISNUMBER(SEARCH("Korea DPR",S4162)),"North Korea",
ISNUMBER(SEARCH("China PR",S4162)),"China",
ISNUMBER(SEARCH("IR Iran",S4162)),"Iran",
ISNUMBER(SEARCH("Congo DR",S4162)),"Democratic Republic of the Congo",
ISNUMBER(SEARCH("DR Congo",S4162)),"Democratic Republic of the Congo",
ISNUMBER(SEARCH("German DR",S4162)),"DR Germany",
ISNUMBER(SEARCH("rn""&gt;United Arab Emirates",S4162)),"United Arab Emirates",
ISNUMBER(SEARCH("rn""&gt;Republic of Ireland",S4162)),"Ireland",
ISNUMBER(SEARCH("rn""&gt;Bosnia and Herzegovina",S4162)),"Bosnia and Herzegovina",
ISNUMBER(SEARCH("rn""&gt;Trinidad and Tobago",S4162)),"Trinidad and Tobago",
ISNUMBER(SEARCH("rn""&gt;Serbia and Montenegro",S4162)),"Serbia and Montenegro",
ISNUMBER(SEARCH(_xlfn.UNICHAR(65533),S4162)),"Côte d'Ivoire",
TRUE,""
)</f>
        <v/>
      </c>
      <c r="W4162" s="40" t="str">
        <f t="shared" si="267"/>
        <v>Denmark</v>
      </c>
    </row>
    <row r="4163" spans="19:23">
      <c r="S4163" s="40" t="str">
        <v>Paraguay</v>
      </c>
      <c r="T4163" s="40" t="str">
        <f t="shared" ref="T4163:T4226" si="268">IF(COUNTIF(R$13:R$250,S4163)=1,"OK","ERREUR")</f>
        <v>OK</v>
      </c>
      <c r="U4163" s="40" t="str">
        <f t="shared" si="266"/>
        <v>-</v>
      </c>
      <c r="V4163" s="40" t="str" cm="1">
        <f t="array" ref="V4163">_xlfn.IFS(
ISNUMBER(SEARCH("USA",S4163)),"United States",
ISNUMBER(SEARCH("Republic of Ireland",S4163)),"Ireland",
ISNUMBER(SEARCH("Republic of Korea",S4163)),"South Korea",
ISNUMBER(SEARCH("Cape Verde",S4163)),"Cabo Verde",
ISNUMBER(SEARCH("Czechia",S4163)),"Czech Republic",
ISNUMBER(SEARCH("Türkiye",S4163)),"Turkey",
ISNUMBER(SEARCH("Ivory Coast",S4163)),"Côte d'Ivoire",
ISNUMBER(SEARCH("Korea Republic",S4163)),"South Korea",
ISNUMBER(SEARCH("Germany FR",S4163)),"FR Germany",
ISNUMBER(SEARCH("West Germany",S4163)),"FR Germany",
ISNUMBER(SEARCH("Germany DR",S4163)),"DR Germany",
ISNUMBER(SEARCH("Korea DPR",S4163)),"North Korea",
ISNUMBER(SEARCH("China PR",S4163)),"China",
ISNUMBER(SEARCH("IR Iran",S4163)),"Iran",
ISNUMBER(SEARCH("Congo DR",S4163)),"Democratic Republic of the Congo",
ISNUMBER(SEARCH("DR Congo",S4163)),"Democratic Republic of the Congo",
ISNUMBER(SEARCH("German DR",S4163)),"DR Germany",
ISNUMBER(SEARCH("rn""&gt;United Arab Emirates",S4163)),"United Arab Emirates",
ISNUMBER(SEARCH("rn""&gt;Republic of Ireland",S4163)),"Ireland",
ISNUMBER(SEARCH("rn""&gt;Bosnia and Herzegovina",S4163)),"Bosnia and Herzegovina",
ISNUMBER(SEARCH("rn""&gt;Trinidad and Tobago",S4163)),"Trinidad and Tobago",
ISNUMBER(SEARCH("rn""&gt;Serbia and Montenegro",S4163)),"Serbia and Montenegro",
ISNUMBER(SEARCH(_xlfn.UNICHAR(65533),S4163)),"Côte d'Ivoire",
TRUE,""
)</f>
        <v/>
      </c>
      <c r="W4163" s="40" t="str">
        <f t="shared" si="267"/>
        <v>Paraguay</v>
      </c>
    </row>
    <row r="4164" spans="19:23">
      <c r="S4164" s="40" t="str">
        <v>New Zealand</v>
      </c>
      <c r="T4164" s="40" t="str">
        <f t="shared" si="268"/>
        <v>OK</v>
      </c>
      <c r="U4164" s="40" t="str">
        <f t="shared" ref="U4164:U4227" si="269">IF(OR(S4164="Scotland",S4164="England",S4164="Wales",S4164="Yugoslavia",S4164="Czechoslovakia",S4164="Northern Ireland",S4164="Soviet Union",S4164="Zaire",S4164="Dutch East Indies"),"AUCUNE",IF(OR(S4164="Cape Verde",S4164="USA",S4164="DR Congo",S4164="Republic of Korea",S4164="Germany FR",S4164="Germany DR",S4164="Czechia",S4164="Ivory Coast",S4164="Korea DPR",S4164="China PR",S4164="IR Iran",S4164="Türkiye",S4164="Congo DR",S4164="German DR",S4164="West Germany",S4164="Republic of Ireland",ISNUMBER(SEARCH(_xlfn.UNICHAR(65533),S4164)),S4164="Korea Republic",ISNUMBER(SEARCH("rn""&gt;United Arab Emirates",S4164)),ISNUMBER(SEARCH("rn""&gt;Republic of Ireland",S4164)),ISNUMBER(SEARCH("rn""&gt;Bosnia and Herzegovina",S4164)),ISNUMBER(SEARCH("rn""&gt;Trinidad and Tobago",S4164)),ISNUMBER(SEARCH("rn""&gt;Serbia and Montenegro",S4164)),ISNUMBER(SEARCH(_xlfn.UNICHAR(65533),S4164))),"RENOMMER","-"))</f>
        <v>-</v>
      </c>
      <c r="V4164" s="40" t="str" cm="1">
        <f t="array" ref="V4164">_xlfn.IFS(
ISNUMBER(SEARCH("USA",S4164)),"United States",
ISNUMBER(SEARCH("Republic of Ireland",S4164)),"Ireland",
ISNUMBER(SEARCH("Republic of Korea",S4164)),"South Korea",
ISNUMBER(SEARCH("Cape Verde",S4164)),"Cabo Verde",
ISNUMBER(SEARCH("Czechia",S4164)),"Czech Republic",
ISNUMBER(SEARCH("Türkiye",S4164)),"Turkey",
ISNUMBER(SEARCH("Ivory Coast",S4164)),"Côte d'Ivoire",
ISNUMBER(SEARCH("Korea Republic",S4164)),"South Korea",
ISNUMBER(SEARCH("Germany FR",S4164)),"FR Germany",
ISNUMBER(SEARCH("West Germany",S4164)),"FR Germany",
ISNUMBER(SEARCH("Germany DR",S4164)),"DR Germany",
ISNUMBER(SEARCH("Korea DPR",S4164)),"North Korea",
ISNUMBER(SEARCH("China PR",S4164)),"China",
ISNUMBER(SEARCH("IR Iran",S4164)),"Iran",
ISNUMBER(SEARCH("Congo DR",S4164)),"Democratic Republic of the Congo",
ISNUMBER(SEARCH("DR Congo",S4164)),"Democratic Republic of the Congo",
ISNUMBER(SEARCH("German DR",S4164)),"DR Germany",
ISNUMBER(SEARCH("rn""&gt;United Arab Emirates",S4164)),"United Arab Emirates",
ISNUMBER(SEARCH("rn""&gt;Republic of Ireland",S4164)),"Ireland",
ISNUMBER(SEARCH("rn""&gt;Bosnia and Herzegovina",S4164)),"Bosnia and Herzegovina",
ISNUMBER(SEARCH("rn""&gt;Trinidad and Tobago",S4164)),"Trinidad and Tobago",
ISNUMBER(SEARCH("rn""&gt;Serbia and Montenegro",S4164)),"Serbia and Montenegro",
ISNUMBER(SEARCH(_xlfn.UNICHAR(65533),S4164)),"Côte d'Ivoire",
TRUE,""
)</f>
        <v/>
      </c>
      <c r="W4164" s="40" t="str">
        <f t="shared" ref="W4164:W4227" si="270">IF(V4164="",S4164,V4164)</f>
        <v>New Zealand</v>
      </c>
    </row>
    <row r="4165" spans="19:23">
      <c r="S4165" s="40" t="str">
        <v>C�te d'Ivoire</v>
      </c>
      <c r="T4165" s="40" t="str">
        <f t="shared" si="268"/>
        <v>ERREUR</v>
      </c>
      <c r="U4165" s="40" t="str">
        <f t="shared" si="269"/>
        <v>RENOMMER</v>
      </c>
      <c r="V4165" s="40" t="str" cm="1">
        <f t="array" ref="V4165">_xlfn.IFS(
ISNUMBER(SEARCH("USA",S4165)),"United States",
ISNUMBER(SEARCH("Republic of Ireland",S4165)),"Ireland",
ISNUMBER(SEARCH("Republic of Korea",S4165)),"South Korea",
ISNUMBER(SEARCH("Cape Verde",S4165)),"Cabo Verde",
ISNUMBER(SEARCH("Czechia",S4165)),"Czech Republic",
ISNUMBER(SEARCH("Türkiye",S4165)),"Turkey",
ISNUMBER(SEARCH("Ivory Coast",S4165)),"Côte d'Ivoire",
ISNUMBER(SEARCH("Korea Republic",S4165)),"South Korea",
ISNUMBER(SEARCH("Germany FR",S4165)),"FR Germany",
ISNUMBER(SEARCH("West Germany",S4165)),"FR Germany",
ISNUMBER(SEARCH("Germany DR",S4165)),"DR Germany",
ISNUMBER(SEARCH("Korea DPR",S4165)),"North Korea",
ISNUMBER(SEARCH("China PR",S4165)),"China",
ISNUMBER(SEARCH("IR Iran",S4165)),"Iran",
ISNUMBER(SEARCH("Congo DR",S4165)),"Democratic Republic of the Congo",
ISNUMBER(SEARCH("DR Congo",S4165)),"Democratic Republic of the Congo",
ISNUMBER(SEARCH("German DR",S4165)),"DR Germany",
ISNUMBER(SEARCH("rn""&gt;United Arab Emirates",S4165)),"United Arab Emirates",
ISNUMBER(SEARCH("rn""&gt;Republic of Ireland",S4165)),"Ireland",
ISNUMBER(SEARCH("rn""&gt;Bosnia and Herzegovina",S4165)),"Bosnia and Herzegovina",
ISNUMBER(SEARCH("rn""&gt;Trinidad and Tobago",S4165)),"Trinidad and Tobago",
ISNUMBER(SEARCH("rn""&gt;Serbia and Montenegro",S4165)),"Serbia and Montenegro",
ISNUMBER(SEARCH(_xlfn.UNICHAR(65533),S4165)),"Côte d'Ivoire",
TRUE,""
)</f>
        <v>Côte d'Ivoire</v>
      </c>
      <c r="W4165" s="40" t="str">
        <f t="shared" si="270"/>
        <v>Côte d'Ivoire</v>
      </c>
    </row>
    <row r="4166" spans="19:23">
      <c r="S4166" s="40" t="str">
        <v>Korea DPR</v>
      </c>
      <c r="T4166" s="40" t="str">
        <f t="shared" si="268"/>
        <v>ERREUR</v>
      </c>
      <c r="U4166" s="40" t="str">
        <f t="shared" si="269"/>
        <v>RENOMMER</v>
      </c>
      <c r="V4166" s="40" t="str" cm="1">
        <f t="array" ref="V4166">_xlfn.IFS(
ISNUMBER(SEARCH("USA",S4166)),"United States",
ISNUMBER(SEARCH("Republic of Ireland",S4166)),"Ireland",
ISNUMBER(SEARCH("Republic of Korea",S4166)),"South Korea",
ISNUMBER(SEARCH("Cape Verde",S4166)),"Cabo Verde",
ISNUMBER(SEARCH("Czechia",S4166)),"Czech Republic",
ISNUMBER(SEARCH("Türkiye",S4166)),"Turkey",
ISNUMBER(SEARCH("Ivory Coast",S4166)),"Côte d'Ivoire",
ISNUMBER(SEARCH("Korea Republic",S4166)),"South Korea",
ISNUMBER(SEARCH("Germany FR",S4166)),"FR Germany",
ISNUMBER(SEARCH("West Germany",S4166)),"FR Germany",
ISNUMBER(SEARCH("Germany DR",S4166)),"DR Germany",
ISNUMBER(SEARCH("Korea DPR",S4166)),"North Korea",
ISNUMBER(SEARCH("China PR",S4166)),"China",
ISNUMBER(SEARCH("IR Iran",S4166)),"Iran",
ISNUMBER(SEARCH("Congo DR",S4166)),"Democratic Republic of the Congo",
ISNUMBER(SEARCH("DR Congo",S4166)),"Democratic Republic of the Congo",
ISNUMBER(SEARCH("German DR",S4166)),"DR Germany",
ISNUMBER(SEARCH("rn""&gt;United Arab Emirates",S4166)),"United Arab Emirates",
ISNUMBER(SEARCH("rn""&gt;Republic of Ireland",S4166)),"Ireland",
ISNUMBER(SEARCH("rn""&gt;Bosnia and Herzegovina",S4166)),"Bosnia and Herzegovina",
ISNUMBER(SEARCH("rn""&gt;Trinidad and Tobago",S4166)),"Trinidad and Tobago",
ISNUMBER(SEARCH("rn""&gt;Serbia and Montenegro",S4166)),"Serbia and Montenegro",
ISNUMBER(SEARCH(_xlfn.UNICHAR(65533),S4166)),"Côte d'Ivoire",
TRUE,""
)</f>
        <v>North Korea</v>
      </c>
      <c r="W4166" s="40" t="str">
        <f t="shared" si="270"/>
        <v>North Korea</v>
      </c>
    </row>
    <row r="4167" spans="19:23">
      <c r="S4167" s="40" t="str">
        <v>Switzerland</v>
      </c>
      <c r="T4167" s="40" t="str">
        <f t="shared" si="268"/>
        <v>OK</v>
      </c>
      <c r="U4167" s="40" t="str">
        <f t="shared" si="269"/>
        <v>-</v>
      </c>
      <c r="V4167" s="40" t="str" cm="1">
        <f t="array" ref="V4167">_xlfn.IFS(
ISNUMBER(SEARCH("USA",S4167)),"United States",
ISNUMBER(SEARCH("Republic of Ireland",S4167)),"Ireland",
ISNUMBER(SEARCH("Republic of Korea",S4167)),"South Korea",
ISNUMBER(SEARCH("Cape Verde",S4167)),"Cabo Verde",
ISNUMBER(SEARCH("Czechia",S4167)),"Czech Republic",
ISNUMBER(SEARCH("Türkiye",S4167)),"Turkey",
ISNUMBER(SEARCH("Ivory Coast",S4167)),"Côte d'Ivoire",
ISNUMBER(SEARCH("Korea Republic",S4167)),"South Korea",
ISNUMBER(SEARCH("Germany FR",S4167)),"FR Germany",
ISNUMBER(SEARCH("West Germany",S4167)),"FR Germany",
ISNUMBER(SEARCH("Germany DR",S4167)),"DR Germany",
ISNUMBER(SEARCH("Korea DPR",S4167)),"North Korea",
ISNUMBER(SEARCH("China PR",S4167)),"China",
ISNUMBER(SEARCH("IR Iran",S4167)),"Iran",
ISNUMBER(SEARCH("Congo DR",S4167)),"Democratic Republic of the Congo",
ISNUMBER(SEARCH("DR Congo",S4167)),"Democratic Republic of the Congo",
ISNUMBER(SEARCH("German DR",S4167)),"DR Germany",
ISNUMBER(SEARCH("rn""&gt;United Arab Emirates",S4167)),"United Arab Emirates",
ISNUMBER(SEARCH("rn""&gt;Republic of Ireland",S4167)),"Ireland",
ISNUMBER(SEARCH("rn""&gt;Bosnia and Herzegovina",S4167)),"Bosnia and Herzegovina",
ISNUMBER(SEARCH("rn""&gt;Trinidad and Tobago",S4167)),"Trinidad and Tobago",
ISNUMBER(SEARCH("rn""&gt;Serbia and Montenegro",S4167)),"Serbia and Montenegro",
ISNUMBER(SEARCH(_xlfn.UNICHAR(65533),S4167)),"Côte d'Ivoire",
TRUE,""
)</f>
        <v/>
      </c>
      <c r="W4167" s="40" t="str">
        <f t="shared" si="270"/>
        <v>Switzerland</v>
      </c>
    </row>
    <row r="4168" spans="19:23">
      <c r="S4168" s="40" t="str">
        <v>Honduras</v>
      </c>
      <c r="T4168" s="40" t="str">
        <f t="shared" si="268"/>
        <v>OK</v>
      </c>
      <c r="U4168" s="40" t="str">
        <f t="shared" si="269"/>
        <v>-</v>
      </c>
      <c r="V4168" s="40" t="str" cm="1">
        <f t="array" ref="V4168">_xlfn.IFS(
ISNUMBER(SEARCH("USA",S4168)),"United States",
ISNUMBER(SEARCH("Republic of Ireland",S4168)),"Ireland",
ISNUMBER(SEARCH("Republic of Korea",S4168)),"South Korea",
ISNUMBER(SEARCH("Cape Verde",S4168)),"Cabo Verde",
ISNUMBER(SEARCH("Czechia",S4168)),"Czech Republic",
ISNUMBER(SEARCH("Türkiye",S4168)),"Turkey",
ISNUMBER(SEARCH("Ivory Coast",S4168)),"Côte d'Ivoire",
ISNUMBER(SEARCH("Korea Republic",S4168)),"South Korea",
ISNUMBER(SEARCH("Germany FR",S4168)),"FR Germany",
ISNUMBER(SEARCH("West Germany",S4168)),"FR Germany",
ISNUMBER(SEARCH("Germany DR",S4168)),"DR Germany",
ISNUMBER(SEARCH("Korea DPR",S4168)),"North Korea",
ISNUMBER(SEARCH("China PR",S4168)),"China",
ISNUMBER(SEARCH("IR Iran",S4168)),"Iran",
ISNUMBER(SEARCH("Congo DR",S4168)),"Democratic Republic of the Congo",
ISNUMBER(SEARCH("DR Congo",S4168)),"Democratic Republic of the Congo",
ISNUMBER(SEARCH("German DR",S4168)),"DR Germany",
ISNUMBER(SEARCH("rn""&gt;United Arab Emirates",S4168)),"United Arab Emirates",
ISNUMBER(SEARCH("rn""&gt;Republic of Ireland",S4168)),"Ireland",
ISNUMBER(SEARCH("rn""&gt;Bosnia and Herzegovina",S4168)),"Bosnia and Herzegovina",
ISNUMBER(SEARCH("rn""&gt;Trinidad and Tobago",S4168)),"Trinidad and Tobago",
ISNUMBER(SEARCH("rn""&gt;Serbia and Montenegro",S4168)),"Serbia and Montenegro",
ISNUMBER(SEARCH(_xlfn.UNICHAR(65533),S4168)),"Côte d'Ivoire",
TRUE,""
)</f>
        <v/>
      </c>
      <c r="W4168" s="40" t="str">
        <f t="shared" si="270"/>
        <v>Honduras</v>
      </c>
    </row>
    <row r="4169" spans="19:23">
      <c r="S4169" s="40" t="str">
        <v>Uruguay</v>
      </c>
      <c r="T4169" s="40" t="str">
        <f t="shared" si="268"/>
        <v>OK</v>
      </c>
      <c r="U4169" s="40" t="str">
        <f t="shared" si="269"/>
        <v>-</v>
      </c>
      <c r="V4169" s="40" t="str" cm="1">
        <f t="array" ref="V4169">_xlfn.IFS(
ISNUMBER(SEARCH("USA",S4169)),"United States",
ISNUMBER(SEARCH("Republic of Ireland",S4169)),"Ireland",
ISNUMBER(SEARCH("Republic of Korea",S4169)),"South Korea",
ISNUMBER(SEARCH("Cape Verde",S4169)),"Cabo Verde",
ISNUMBER(SEARCH("Czechia",S4169)),"Czech Republic",
ISNUMBER(SEARCH("Türkiye",S4169)),"Turkey",
ISNUMBER(SEARCH("Ivory Coast",S4169)),"Côte d'Ivoire",
ISNUMBER(SEARCH("Korea Republic",S4169)),"South Korea",
ISNUMBER(SEARCH("Germany FR",S4169)),"FR Germany",
ISNUMBER(SEARCH("West Germany",S4169)),"FR Germany",
ISNUMBER(SEARCH("Germany DR",S4169)),"DR Germany",
ISNUMBER(SEARCH("Korea DPR",S4169)),"North Korea",
ISNUMBER(SEARCH("China PR",S4169)),"China",
ISNUMBER(SEARCH("IR Iran",S4169)),"Iran",
ISNUMBER(SEARCH("Congo DR",S4169)),"Democratic Republic of the Congo",
ISNUMBER(SEARCH("DR Congo",S4169)),"Democratic Republic of the Congo",
ISNUMBER(SEARCH("German DR",S4169)),"DR Germany",
ISNUMBER(SEARCH("rn""&gt;United Arab Emirates",S4169)),"United Arab Emirates",
ISNUMBER(SEARCH("rn""&gt;Republic of Ireland",S4169)),"Ireland",
ISNUMBER(SEARCH("rn""&gt;Bosnia and Herzegovina",S4169)),"Bosnia and Herzegovina",
ISNUMBER(SEARCH("rn""&gt;Trinidad and Tobago",S4169)),"Trinidad and Tobago",
ISNUMBER(SEARCH("rn""&gt;Serbia and Montenegro",S4169)),"Serbia and Montenegro",
ISNUMBER(SEARCH(_xlfn.UNICHAR(65533),S4169)),"Côte d'Ivoire",
TRUE,""
)</f>
        <v/>
      </c>
      <c r="W4169" s="40" t="str">
        <f t="shared" si="270"/>
        <v>Uruguay</v>
      </c>
    </row>
    <row r="4170" spans="19:23">
      <c r="S4170" s="40" t="str">
        <v>South Africa</v>
      </c>
      <c r="T4170" s="40" t="str">
        <f t="shared" si="268"/>
        <v>OK</v>
      </c>
      <c r="U4170" s="40" t="str">
        <f t="shared" si="269"/>
        <v>-</v>
      </c>
      <c r="V4170" s="40" t="str" cm="1">
        <f t="array" ref="V4170">_xlfn.IFS(
ISNUMBER(SEARCH("USA",S4170)),"United States",
ISNUMBER(SEARCH("Republic of Ireland",S4170)),"Ireland",
ISNUMBER(SEARCH("Republic of Korea",S4170)),"South Korea",
ISNUMBER(SEARCH("Cape Verde",S4170)),"Cabo Verde",
ISNUMBER(SEARCH("Czechia",S4170)),"Czech Republic",
ISNUMBER(SEARCH("Türkiye",S4170)),"Turkey",
ISNUMBER(SEARCH("Ivory Coast",S4170)),"Côte d'Ivoire",
ISNUMBER(SEARCH("Korea Republic",S4170)),"South Korea",
ISNUMBER(SEARCH("Germany FR",S4170)),"FR Germany",
ISNUMBER(SEARCH("West Germany",S4170)),"FR Germany",
ISNUMBER(SEARCH("Germany DR",S4170)),"DR Germany",
ISNUMBER(SEARCH("Korea DPR",S4170)),"North Korea",
ISNUMBER(SEARCH("China PR",S4170)),"China",
ISNUMBER(SEARCH("IR Iran",S4170)),"Iran",
ISNUMBER(SEARCH("Congo DR",S4170)),"Democratic Republic of the Congo",
ISNUMBER(SEARCH("DR Congo",S4170)),"Democratic Republic of the Congo",
ISNUMBER(SEARCH("German DR",S4170)),"DR Germany",
ISNUMBER(SEARCH("rn""&gt;United Arab Emirates",S4170)),"United Arab Emirates",
ISNUMBER(SEARCH("rn""&gt;Republic of Ireland",S4170)),"Ireland",
ISNUMBER(SEARCH("rn""&gt;Bosnia and Herzegovina",S4170)),"Bosnia and Herzegovina",
ISNUMBER(SEARCH("rn""&gt;Trinidad and Tobago",S4170)),"Trinidad and Tobago",
ISNUMBER(SEARCH("rn""&gt;Serbia and Montenegro",S4170)),"Serbia and Montenegro",
ISNUMBER(SEARCH(_xlfn.UNICHAR(65533),S4170)),"Côte d'Ivoire",
TRUE,""
)</f>
        <v/>
      </c>
      <c r="W4170" s="40" t="str">
        <f t="shared" si="270"/>
        <v>South Africa</v>
      </c>
    </row>
    <row r="4171" spans="19:23">
      <c r="S4171" s="40" t="str">
        <v>Korea Republic</v>
      </c>
      <c r="T4171" s="40" t="str">
        <f t="shared" si="268"/>
        <v>ERREUR</v>
      </c>
      <c r="U4171" s="40" t="str">
        <f t="shared" si="269"/>
        <v>RENOMMER</v>
      </c>
      <c r="V4171" s="40" t="str" cm="1">
        <f t="array" ref="V4171">_xlfn.IFS(
ISNUMBER(SEARCH("USA",S4171)),"United States",
ISNUMBER(SEARCH("Republic of Ireland",S4171)),"Ireland",
ISNUMBER(SEARCH("Republic of Korea",S4171)),"South Korea",
ISNUMBER(SEARCH("Cape Verde",S4171)),"Cabo Verde",
ISNUMBER(SEARCH("Czechia",S4171)),"Czech Republic",
ISNUMBER(SEARCH("Türkiye",S4171)),"Turkey",
ISNUMBER(SEARCH("Ivory Coast",S4171)),"Côte d'Ivoire",
ISNUMBER(SEARCH("Korea Republic",S4171)),"South Korea",
ISNUMBER(SEARCH("Germany FR",S4171)),"FR Germany",
ISNUMBER(SEARCH("West Germany",S4171)),"FR Germany",
ISNUMBER(SEARCH("Germany DR",S4171)),"DR Germany",
ISNUMBER(SEARCH("Korea DPR",S4171)),"North Korea",
ISNUMBER(SEARCH("China PR",S4171)),"China",
ISNUMBER(SEARCH("IR Iran",S4171)),"Iran",
ISNUMBER(SEARCH("Congo DR",S4171)),"Democratic Republic of the Congo",
ISNUMBER(SEARCH("DR Congo",S4171)),"Democratic Republic of the Congo",
ISNUMBER(SEARCH("German DR",S4171)),"DR Germany",
ISNUMBER(SEARCH("rn""&gt;United Arab Emirates",S4171)),"United Arab Emirates",
ISNUMBER(SEARCH("rn""&gt;Republic of Ireland",S4171)),"Ireland",
ISNUMBER(SEARCH("rn""&gt;Bosnia and Herzegovina",S4171)),"Bosnia and Herzegovina",
ISNUMBER(SEARCH("rn""&gt;Trinidad and Tobago",S4171)),"Trinidad and Tobago",
ISNUMBER(SEARCH("rn""&gt;Serbia and Montenegro",S4171)),"Serbia and Montenegro",
ISNUMBER(SEARCH(_xlfn.UNICHAR(65533),S4171)),"Côte d'Ivoire",
TRUE,""
)</f>
        <v>South Korea</v>
      </c>
      <c r="W4171" s="40" t="str">
        <f t="shared" si="270"/>
        <v>South Korea</v>
      </c>
    </row>
    <row r="4172" spans="19:23">
      <c r="S4172" s="40" t="str">
        <v>Argentina</v>
      </c>
      <c r="T4172" s="40" t="str">
        <f t="shared" si="268"/>
        <v>OK</v>
      </c>
      <c r="U4172" s="40" t="str">
        <f t="shared" si="269"/>
        <v>-</v>
      </c>
      <c r="V4172" s="40" t="str" cm="1">
        <f t="array" ref="V4172">_xlfn.IFS(
ISNUMBER(SEARCH("USA",S4172)),"United States",
ISNUMBER(SEARCH("Republic of Ireland",S4172)),"Ireland",
ISNUMBER(SEARCH("Republic of Korea",S4172)),"South Korea",
ISNUMBER(SEARCH("Cape Verde",S4172)),"Cabo Verde",
ISNUMBER(SEARCH("Czechia",S4172)),"Czech Republic",
ISNUMBER(SEARCH("Türkiye",S4172)),"Turkey",
ISNUMBER(SEARCH("Ivory Coast",S4172)),"Côte d'Ivoire",
ISNUMBER(SEARCH("Korea Republic",S4172)),"South Korea",
ISNUMBER(SEARCH("Germany FR",S4172)),"FR Germany",
ISNUMBER(SEARCH("West Germany",S4172)),"FR Germany",
ISNUMBER(SEARCH("Germany DR",S4172)),"DR Germany",
ISNUMBER(SEARCH("Korea DPR",S4172)),"North Korea",
ISNUMBER(SEARCH("China PR",S4172)),"China",
ISNUMBER(SEARCH("IR Iran",S4172)),"Iran",
ISNUMBER(SEARCH("Congo DR",S4172)),"Democratic Republic of the Congo",
ISNUMBER(SEARCH("DR Congo",S4172)),"Democratic Republic of the Congo",
ISNUMBER(SEARCH("German DR",S4172)),"DR Germany",
ISNUMBER(SEARCH("rn""&gt;United Arab Emirates",S4172)),"United Arab Emirates",
ISNUMBER(SEARCH("rn""&gt;Republic of Ireland",S4172)),"Ireland",
ISNUMBER(SEARCH("rn""&gt;Bosnia and Herzegovina",S4172)),"Bosnia and Herzegovina",
ISNUMBER(SEARCH("rn""&gt;Trinidad and Tobago",S4172)),"Trinidad and Tobago",
ISNUMBER(SEARCH("rn""&gt;Serbia and Montenegro",S4172)),"Serbia and Montenegro",
ISNUMBER(SEARCH(_xlfn.UNICHAR(65533),S4172)),"Côte d'Ivoire",
TRUE,""
)</f>
        <v/>
      </c>
      <c r="W4172" s="40" t="str">
        <f t="shared" si="270"/>
        <v>Argentina</v>
      </c>
    </row>
    <row r="4173" spans="19:23">
      <c r="S4173" s="40" t="str">
        <v>England</v>
      </c>
      <c r="T4173" s="40" t="str">
        <f t="shared" si="268"/>
        <v>ERREUR</v>
      </c>
      <c r="U4173" s="40" t="str">
        <f t="shared" si="269"/>
        <v>AUCUNE</v>
      </c>
      <c r="V4173" s="40" t="str" cm="1">
        <f t="array" ref="V4173">_xlfn.IFS(
ISNUMBER(SEARCH("USA",S4173)),"United States",
ISNUMBER(SEARCH("Republic of Ireland",S4173)),"Ireland",
ISNUMBER(SEARCH("Republic of Korea",S4173)),"South Korea",
ISNUMBER(SEARCH("Cape Verde",S4173)),"Cabo Verde",
ISNUMBER(SEARCH("Czechia",S4173)),"Czech Republic",
ISNUMBER(SEARCH("Türkiye",S4173)),"Turkey",
ISNUMBER(SEARCH("Ivory Coast",S4173)),"Côte d'Ivoire",
ISNUMBER(SEARCH("Korea Republic",S4173)),"South Korea",
ISNUMBER(SEARCH("Germany FR",S4173)),"FR Germany",
ISNUMBER(SEARCH("West Germany",S4173)),"FR Germany",
ISNUMBER(SEARCH("Germany DR",S4173)),"DR Germany",
ISNUMBER(SEARCH("Korea DPR",S4173)),"North Korea",
ISNUMBER(SEARCH("China PR",S4173)),"China",
ISNUMBER(SEARCH("IR Iran",S4173)),"Iran",
ISNUMBER(SEARCH("Congo DR",S4173)),"Democratic Republic of the Congo",
ISNUMBER(SEARCH("DR Congo",S4173)),"Democratic Republic of the Congo",
ISNUMBER(SEARCH("German DR",S4173)),"DR Germany",
ISNUMBER(SEARCH("rn""&gt;United Arab Emirates",S4173)),"United Arab Emirates",
ISNUMBER(SEARCH("rn""&gt;Republic of Ireland",S4173)),"Ireland",
ISNUMBER(SEARCH("rn""&gt;Bosnia and Herzegovina",S4173)),"Bosnia and Herzegovina",
ISNUMBER(SEARCH("rn""&gt;Trinidad and Tobago",S4173)),"Trinidad and Tobago",
ISNUMBER(SEARCH("rn""&gt;Serbia and Montenegro",S4173)),"Serbia and Montenegro",
ISNUMBER(SEARCH(_xlfn.UNICHAR(65533),S4173)),"Côte d'Ivoire",
TRUE,""
)</f>
        <v/>
      </c>
      <c r="W4173" s="40" t="str">
        <f t="shared" si="270"/>
        <v>England</v>
      </c>
    </row>
    <row r="4174" spans="19:23">
      <c r="S4174" s="40" t="str">
        <v>Algeria</v>
      </c>
      <c r="T4174" s="40" t="str">
        <f t="shared" si="268"/>
        <v>OK</v>
      </c>
      <c r="U4174" s="40" t="str">
        <f t="shared" si="269"/>
        <v>-</v>
      </c>
      <c r="V4174" s="40" t="str" cm="1">
        <f t="array" ref="V4174">_xlfn.IFS(
ISNUMBER(SEARCH("USA",S4174)),"United States",
ISNUMBER(SEARCH("Republic of Ireland",S4174)),"Ireland",
ISNUMBER(SEARCH("Republic of Korea",S4174)),"South Korea",
ISNUMBER(SEARCH("Cape Verde",S4174)),"Cabo Verde",
ISNUMBER(SEARCH("Czechia",S4174)),"Czech Republic",
ISNUMBER(SEARCH("Türkiye",S4174)),"Turkey",
ISNUMBER(SEARCH("Ivory Coast",S4174)),"Côte d'Ivoire",
ISNUMBER(SEARCH("Korea Republic",S4174)),"South Korea",
ISNUMBER(SEARCH("Germany FR",S4174)),"FR Germany",
ISNUMBER(SEARCH("West Germany",S4174)),"FR Germany",
ISNUMBER(SEARCH("Germany DR",S4174)),"DR Germany",
ISNUMBER(SEARCH("Korea DPR",S4174)),"North Korea",
ISNUMBER(SEARCH("China PR",S4174)),"China",
ISNUMBER(SEARCH("IR Iran",S4174)),"Iran",
ISNUMBER(SEARCH("Congo DR",S4174)),"Democratic Republic of the Congo",
ISNUMBER(SEARCH("DR Congo",S4174)),"Democratic Republic of the Congo",
ISNUMBER(SEARCH("German DR",S4174)),"DR Germany",
ISNUMBER(SEARCH("rn""&gt;United Arab Emirates",S4174)),"United Arab Emirates",
ISNUMBER(SEARCH("rn""&gt;Republic of Ireland",S4174)),"Ireland",
ISNUMBER(SEARCH("rn""&gt;Bosnia and Herzegovina",S4174)),"Bosnia and Herzegovina",
ISNUMBER(SEARCH("rn""&gt;Trinidad and Tobago",S4174)),"Trinidad and Tobago",
ISNUMBER(SEARCH("rn""&gt;Serbia and Montenegro",S4174)),"Serbia and Montenegro",
ISNUMBER(SEARCH(_xlfn.UNICHAR(65533),S4174)),"Côte d'Ivoire",
TRUE,""
)</f>
        <v/>
      </c>
      <c r="W4174" s="40" t="str">
        <f t="shared" si="270"/>
        <v>Algeria</v>
      </c>
    </row>
    <row r="4175" spans="19:23">
      <c r="S4175" s="40" t="str">
        <v>Germany</v>
      </c>
      <c r="T4175" s="40" t="str">
        <f t="shared" si="268"/>
        <v>OK</v>
      </c>
      <c r="U4175" s="40" t="str">
        <f t="shared" si="269"/>
        <v>-</v>
      </c>
      <c r="V4175" s="40" t="str" cm="1">
        <f t="array" ref="V4175">_xlfn.IFS(
ISNUMBER(SEARCH("USA",S4175)),"United States",
ISNUMBER(SEARCH("Republic of Ireland",S4175)),"Ireland",
ISNUMBER(SEARCH("Republic of Korea",S4175)),"South Korea",
ISNUMBER(SEARCH("Cape Verde",S4175)),"Cabo Verde",
ISNUMBER(SEARCH("Czechia",S4175)),"Czech Republic",
ISNUMBER(SEARCH("Türkiye",S4175)),"Turkey",
ISNUMBER(SEARCH("Ivory Coast",S4175)),"Côte d'Ivoire",
ISNUMBER(SEARCH("Korea Republic",S4175)),"South Korea",
ISNUMBER(SEARCH("Germany FR",S4175)),"FR Germany",
ISNUMBER(SEARCH("West Germany",S4175)),"FR Germany",
ISNUMBER(SEARCH("Germany DR",S4175)),"DR Germany",
ISNUMBER(SEARCH("Korea DPR",S4175)),"North Korea",
ISNUMBER(SEARCH("China PR",S4175)),"China",
ISNUMBER(SEARCH("IR Iran",S4175)),"Iran",
ISNUMBER(SEARCH("Congo DR",S4175)),"Democratic Republic of the Congo",
ISNUMBER(SEARCH("DR Congo",S4175)),"Democratic Republic of the Congo",
ISNUMBER(SEARCH("German DR",S4175)),"DR Germany",
ISNUMBER(SEARCH("rn""&gt;United Arab Emirates",S4175)),"United Arab Emirates",
ISNUMBER(SEARCH("rn""&gt;Republic of Ireland",S4175)),"Ireland",
ISNUMBER(SEARCH("rn""&gt;Bosnia and Herzegovina",S4175)),"Bosnia and Herzegovina",
ISNUMBER(SEARCH("rn""&gt;Trinidad and Tobago",S4175)),"Trinidad and Tobago",
ISNUMBER(SEARCH("rn""&gt;Serbia and Montenegro",S4175)),"Serbia and Montenegro",
ISNUMBER(SEARCH(_xlfn.UNICHAR(65533),S4175)),"Côte d'Ivoire",
TRUE,""
)</f>
        <v/>
      </c>
      <c r="W4175" s="40" t="str">
        <f t="shared" si="270"/>
        <v>Germany</v>
      </c>
    </row>
    <row r="4176" spans="19:23">
      <c r="S4176" s="40" t="str">
        <v>Serbia</v>
      </c>
      <c r="T4176" s="40" t="str">
        <f t="shared" si="268"/>
        <v>OK</v>
      </c>
      <c r="U4176" s="40" t="str">
        <f t="shared" si="269"/>
        <v>-</v>
      </c>
      <c r="V4176" s="40" t="str" cm="1">
        <f t="array" ref="V4176">_xlfn.IFS(
ISNUMBER(SEARCH("USA",S4176)),"United States",
ISNUMBER(SEARCH("Republic of Ireland",S4176)),"Ireland",
ISNUMBER(SEARCH("Republic of Korea",S4176)),"South Korea",
ISNUMBER(SEARCH("Cape Verde",S4176)),"Cabo Verde",
ISNUMBER(SEARCH("Czechia",S4176)),"Czech Republic",
ISNUMBER(SEARCH("Türkiye",S4176)),"Turkey",
ISNUMBER(SEARCH("Ivory Coast",S4176)),"Côte d'Ivoire",
ISNUMBER(SEARCH("Korea Republic",S4176)),"South Korea",
ISNUMBER(SEARCH("Germany FR",S4176)),"FR Germany",
ISNUMBER(SEARCH("West Germany",S4176)),"FR Germany",
ISNUMBER(SEARCH("Germany DR",S4176)),"DR Germany",
ISNUMBER(SEARCH("Korea DPR",S4176)),"North Korea",
ISNUMBER(SEARCH("China PR",S4176)),"China",
ISNUMBER(SEARCH("IR Iran",S4176)),"Iran",
ISNUMBER(SEARCH("Congo DR",S4176)),"Democratic Republic of the Congo",
ISNUMBER(SEARCH("DR Congo",S4176)),"Democratic Republic of the Congo",
ISNUMBER(SEARCH("German DR",S4176)),"DR Germany",
ISNUMBER(SEARCH("rn""&gt;United Arab Emirates",S4176)),"United Arab Emirates",
ISNUMBER(SEARCH("rn""&gt;Republic of Ireland",S4176)),"Ireland",
ISNUMBER(SEARCH("rn""&gt;Bosnia and Herzegovina",S4176)),"Bosnia and Herzegovina",
ISNUMBER(SEARCH("rn""&gt;Trinidad and Tobago",S4176)),"Trinidad and Tobago",
ISNUMBER(SEARCH("rn""&gt;Serbia and Montenegro",S4176)),"Serbia and Montenegro",
ISNUMBER(SEARCH(_xlfn.UNICHAR(65533),S4176)),"Côte d'Ivoire",
TRUE,""
)</f>
        <v/>
      </c>
      <c r="W4176" s="40" t="str">
        <f t="shared" si="270"/>
        <v>Serbia</v>
      </c>
    </row>
    <row r="4177" spans="19:23">
      <c r="S4177" s="40" t="str">
        <v>Italy</v>
      </c>
      <c r="T4177" s="40" t="str">
        <f t="shared" si="268"/>
        <v>OK</v>
      </c>
      <c r="U4177" s="40" t="str">
        <f t="shared" si="269"/>
        <v>-</v>
      </c>
      <c r="V4177" s="40" t="str" cm="1">
        <f t="array" ref="V4177">_xlfn.IFS(
ISNUMBER(SEARCH("USA",S4177)),"United States",
ISNUMBER(SEARCH("Republic of Ireland",S4177)),"Ireland",
ISNUMBER(SEARCH("Republic of Korea",S4177)),"South Korea",
ISNUMBER(SEARCH("Cape Verde",S4177)),"Cabo Verde",
ISNUMBER(SEARCH("Czechia",S4177)),"Czech Republic",
ISNUMBER(SEARCH("Türkiye",S4177)),"Turkey",
ISNUMBER(SEARCH("Ivory Coast",S4177)),"Côte d'Ivoire",
ISNUMBER(SEARCH("Korea Republic",S4177)),"South Korea",
ISNUMBER(SEARCH("Germany FR",S4177)),"FR Germany",
ISNUMBER(SEARCH("West Germany",S4177)),"FR Germany",
ISNUMBER(SEARCH("Germany DR",S4177)),"DR Germany",
ISNUMBER(SEARCH("Korea DPR",S4177)),"North Korea",
ISNUMBER(SEARCH("China PR",S4177)),"China",
ISNUMBER(SEARCH("IR Iran",S4177)),"Iran",
ISNUMBER(SEARCH("Congo DR",S4177)),"Democratic Republic of the Congo",
ISNUMBER(SEARCH("DR Congo",S4177)),"Democratic Republic of the Congo",
ISNUMBER(SEARCH("German DR",S4177)),"DR Germany",
ISNUMBER(SEARCH("rn""&gt;United Arab Emirates",S4177)),"United Arab Emirates",
ISNUMBER(SEARCH("rn""&gt;Republic of Ireland",S4177)),"Ireland",
ISNUMBER(SEARCH("rn""&gt;Bosnia and Herzegovina",S4177)),"Bosnia and Herzegovina",
ISNUMBER(SEARCH("rn""&gt;Trinidad and Tobago",S4177)),"Trinidad and Tobago",
ISNUMBER(SEARCH("rn""&gt;Serbia and Montenegro",S4177)),"Serbia and Montenegro",
ISNUMBER(SEARCH(_xlfn.UNICHAR(65533),S4177)),"Côte d'Ivoire",
TRUE,""
)</f>
        <v/>
      </c>
      <c r="W4177" s="40" t="str">
        <f t="shared" si="270"/>
        <v>Italy</v>
      </c>
    </row>
    <row r="4178" spans="19:23">
      <c r="S4178" s="40" t="str">
        <v>New Zealand</v>
      </c>
      <c r="T4178" s="40" t="str">
        <f t="shared" si="268"/>
        <v>OK</v>
      </c>
      <c r="U4178" s="40" t="str">
        <f t="shared" si="269"/>
        <v>-</v>
      </c>
      <c r="V4178" s="40" t="str" cm="1">
        <f t="array" ref="V4178">_xlfn.IFS(
ISNUMBER(SEARCH("USA",S4178)),"United States",
ISNUMBER(SEARCH("Republic of Ireland",S4178)),"Ireland",
ISNUMBER(SEARCH("Republic of Korea",S4178)),"South Korea",
ISNUMBER(SEARCH("Cape Verde",S4178)),"Cabo Verde",
ISNUMBER(SEARCH("Czechia",S4178)),"Czech Republic",
ISNUMBER(SEARCH("Türkiye",S4178)),"Turkey",
ISNUMBER(SEARCH("Ivory Coast",S4178)),"Côte d'Ivoire",
ISNUMBER(SEARCH("Korea Republic",S4178)),"South Korea",
ISNUMBER(SEARCH("Germany FR",S4178)),"FR Germany",
ISNUMBER(SEARCH("West Germany",S4178)),"FR Germany",
ISNUMBER(SEARCH("Germany DR",S4178)),"DR Germany",
ISNUMBER(SEARCH("Korea DPR",S4178)),"North Korea",
ISNUMBER(SEARCH("China PR",S4178)),"China",
ISNUMBER(SEARCH("IR Iran",S4178)),"Iran",
ISNUMBER(SEARCH("Congo DR",S4178)),"Democratic Republic of the Congo",
ISNUMBER(SEARCH("DR Congo",S4178)),"Democratic Republic of the Congo",
ISNUMBER(SEARCH("German DR",S4178)),"DR Germany",
ISNUMBER(SEARCH("rn""&gt;United Arab Emirates",S4178)),"United Arab Emirates",
ISNUMBER(SEARCH("rn""&gt;Republic of Ireland",S4178)),"Ireland",
ISNUMBER(SEARCH("rn""&gt;Bosnia and Herzegovina",S4178)),"Bosnia and Herzegovina",
ISNUMBER(SEARCH("rn""&gt;Trinidad and Tobago",S4178)),"Trinidad and Tobago",
ISNUMBER(SEARCH("rn""&gt;Serbia and Montenegro",S4178)),"Serbia and Montenegro",
ISNUMBER(SEARCH(_xlfn.UNICHAR(65533),S4178)),"Côte d'Ivoire",
TRUE,""
)</f>
        <v/>
      </c>
      <c r="W4178" s="40" t="str">
        <f t="shared" si="270"/>
        <v>New Zealand</v>
      </c>
    </row>
    <row r="4179" spans="19:23">
      <c r="S4179" s="40" t="str">
        <v>Japan</v>
      </c>
      <c r="T4179" s="40" t="str">
        <f t="shared" si="268"/>
        <v>OK</v>
      </c>
      <c r="U4179" s="40" t="str">
        <f t="shared" si="269"/>
        <v>-</v>
      </c>
      <c r="V4179" s="40" t="str" cm="1">
        <f t="array" ref="V4179">_xlfn.IFS(
ISNUMBER(SEARCH("USA",S4179)),"United States",
ISNUMBER(SEARCH("Republic of Ireland",S4179)),"Ireland",
ISNUMBER(SEARCH("Republic of Korea",S4179)),"South Korea",
ISNUMBER(SEARCH("Cape Verde",S4179)),"Cabo Verde",
ISNUMBER(SEARCH("Czechia",S4179)),"Czech Republic",
ISNUMBER(SEARCH("Türkiye",S4179)),"Turkey",
ISNUMBER(SEARCH("Ivory Coast",S4179)),"Côte d'Ivoire",
ISNUMBER(SEARCH("Korea Republic",S4179)),"South Korea",
ISNUMBER(SEARCH("Germany FR",S4179)),"FR Germany",
ISNUMBER(SEARCH("West Germany",S4179)),"FR Germany",
ISNUMBER(SEARCH("Germany DR",S4179)),"DR Germany",
ISNUMBER(SEARCH("Korea DPR",S4179)),"North Korea",
ISNUMBER(SEARCH("China PR",S4179)),"China",
ISNUMBER(SEARCH("IR Iran",S4179)),"Iran",
ISNUMBER(SEARCH("Congo DR",S4179)),"Democratic Republic of the Congo",
ISNUMBER(SEARCH("DR Congo",S4179)),"Democratic Republic of the Congo",
ISNUMBER(SEARCH("German DR",S4179)),"DR Germany",
ISNUMBER(SEARCH("rn""&gt;United Arab Emirates",S4179)),"United Arab Emirates",
ISNUMBER(SEARCH("rn""&gt;Republic of Ireland",S4179)),"Ireland",
ISNUMBER(SEARCH("rn""&gt;Bosnia and Herzegovina",S4179)),"Bosnia and Herzegovina",
ISNUMBER(SEARCH("rn""&gt;Trinidad and Tobago",S4179)),"Trinidad and Tobago",
ISNUMBER(SEARCH("rn""&gt;Serbia and Montenegro",S4179)),"Serbia and Montenegro",
ISNUMBER(SEARCH(_xlfn.UNICHAR(65533),S4179)),"Côte d'Ivoire",
TRUE,""
)</f>
        <v/>
      </c>
      <c r="W4179" s="40" t="str">
        <f t="shared" si="270"/>
        <v>Japan</v>
      </c>
    </row>
    <row r="4180" spans="19:23">
      <c r="S4180" s="40" t="str">
        <v>Netherlands</v>
      </c>
      <c r="T4180" s="40" t="str">
        <f t="shared" si="268"/>
        <v>OK</v>
      </c>
      <c r="U4180" s="40" t="str">
        <f t="shared" si="269"/>
        <v>-</v>
      </c>
      <c r="V4180" s="40" t="str" cm="1">
        <f t="array" ref="V4180">_xlfn.IFS(
ISNUMBER(SEARCH("USA",S4180)),"United States",
ISNUMBER(SEARCH("Republic of Ireland",S4180)),"Ireland",
ISNUMBER(SEARCH("Republic of Korea",S4180)),"South Korea",
ISNUMBER(SEARCH("Cape Verde",S4180)),"Cabo Verde",
ISNUMBER(SEARCH("Czechia",S4180)),"Czech Republic",
ISNUMBER(SEARCH("Türkiye",S4180)),"Turkey",
ISNUMBER(SEARCH("Ivory Coast",S4180)),"Côte d'Ivoire",
ISNUMBER(SEARCH("Korea Republic",S4180)),"South Korea",
ISNUMBER(SEARCH("Germany FR",S4180)),"FR Germany",
ISNUMBER(SEARCH("West Germany",S4180)),"FR Germany",
ISNUMBER(SEARCH("Germany DR",S4180)),"DR Germany",
ISNUMBER(SEARCH("Korea DPR",S4180)),"North Korea",
ISNUMBER(SEARCH("China PR",S4180)),"China",
ISNUMBER(SEARCH("IR Iran",S4180)),"Iran",
ISNUMBER(SEARCH("Congo DR",S4180)),"Democratic Republic of the Congo",
ISNUMBER(SEARCH("DR Congo",S4180)),"Democratic Republic of the Congo",
ISNUMBER(SEARCH("German DR",S4180)),"DR Germany",
ISNUMBER(SEARCH("rn""&gt;United Arab Emirates",S4180)),"United Arab Emirates",
ISNUMBER(SEARCH("rn""&gt;Republic of Ireland",S4180)),"Ireland",
ISNUMBER(SEARCH("rn""&gt;Bosnia and Herzegovina",S4180)),"Bosnia and Herzegovina",
ISNUMBER(SEARCH("rn""&gt;Trinidad and Tobago",S4180)),"Trinidad and Tobago",
ISNUMBER(SEARCH("rn""&gt;Serbia and Montenegro",S4180)),"Serbia and Montenegro",
ISNUMBER(SEARCH(_xlfn.UNICHAR(65533),S4180)),"Côte d'Ivoire",
TRUE,""
)</f>
        <v/>
      </c>
      <c r="W4180" s="40" t="str">
        <f t="shared" si="270"/>
        <v>Netherlands</v>
      </c>
    </row>
    <row r="4181" spans="19:23">
      <c r="S4181" s="40" t="str">
        <v>Brazil</v>
      </c>
      <c r="T4181" s="40" t="str">
        <f t="shared" si="268"/>
        <v>OK</v>
      </c>
      <c r="U4181" s="40" t="str">
        <f t="shared" si="269"/>
        <v>-</v>
      </c>
      <c r="V4181" s="40" t="str" cm="1">
        <f t="array" ref="V4181">_xlfn.IFS(
ISNUMBER(SEARCH("USA",S4181)),"United States",
ISNUMBER(SEARCH("Republic of Ireland",S4181)),"Ireland",
ISNUMBER(SEARCH("Republic of Korea",S4181)),"South Korea",
ISNUMBER(SEARCH("Cape Verde",S4181)),"Cabo Verde",
ISNUMBER(SEARCH("Czechia",S4181)),"Czech Republic",
ISNUMBER(SEARCH("Türkiye",S4181)),"Turkey",
ISNUMBER(SEARCH("Ivory Coast",S4181)),"Côte d'Ivoire",
ISNUMBER(SEARCH("Korea Republic",S4181)),"South Korea",
ISNUMBER(SEARCH("Germany FR",S4181)),"FR Germany",
ISNUMBER(SEARCH("West Germany",S4181)),"FR Germany",
ISNUMBER(SEARCH("Germany DR",S4181)),"DR Germany",
ISNUMBER(SEARCH("Korea DPR",S4181)),"North Korea",
ISNUMBER(SEARCH("China PR",S4181)),"China",
ISNUMBER(SEARCH("IR Iran",S4181)),"Iran",
ISNUMBER(SEARCH("Congo DR",S4181)),"Democratic Republic of the Congo",
ISNUMBER(SEARCH("DR Congo",S4181)),"Democratic Republic of the Congo",
ISNUMBER(SEARCH("German DR",S4181)),"DR Germany",
ISNUMBER(SEARCH("rn""&gt;United Arab Emirates",S4181)),"United Arab Emirates",
ISNUMBER(SEARCH("rn""&gt;Republic of Ireland",S4181)),"Ireland",
ISNUMBER(SEARCH("rn""&gt;Bosnia and Herzegovina",S4181)),"Bosnia and Herzegovina",
ISNUMBER(SEARCH("rn""&gt;Trinidad and Tobago",S4181)),"Trinidad and Tobago",
ISNUMBER(SEARCH("rn""&gt;Serbia and Montenegro",S4181)),"Serbia and Montenegro",
ISNUMBER(SEARCH(_xlfn.UNICHAR(65533),S4181)),"Côte d'Ivoire",
TRUE,""
)</f>
        <v/>
      </c>
      <c r="W4181" s="40" t="str">
        <f t="shared" si="270"/>
        <v>Brazil</v>
      </c>
    </row>
    <row r="4182" spans="19:23">
      <c r="S4182" s="40" t="str">
        <v>C�te d'Ivoire</v>
      </c>
      <c r="T4182" s="40" t="str">
        <f t="shared" si="268"/>
        <v>ERREUR</v>
      </c>
      <c r="U4182" s="40" t="str">
        <f t="shared" si="269"/>
        <v>RENOMMER</v>
      </c>
      <c r="V4182" s="40" t="str" cm="1">
        <f t="array" ref="V4182">_xlfn.IFS(
ISNUMBER(SEARCH("USA",S4182)),"United States",
ISNUMBER(SEARCH("Republic of Ireland",S4182)),"Ireland",
ISNUMBER(SEARCH("Republic of Korea",S4182)),"South Korea",
ISNUMBER(SEARCH("Cape Verde",S4182)),"Cabo Verde",
ISNUMBER(SEARCH("Czechia",S4182)),"Czech Republic",
ISNUMBER(SEARCH("Türkiye",S4182)),"Turkey",
ISNUMBER(SEARCH("Ivory Coast",S4182)),"Côte d'Ivoire",
ISNUMBER(SEARCH("Korea Republic",S4182)),"South Korea",
ISNUMBER(SEARCH("Germany FR",S4182)),"FR Germany",
ISNUMBER(SEARCH("West Germany",S4182)),"FR Germany",
ISNUMBER(SEARCH("Germany DR",S4182)),"DR Germany",
ISNUMBER(SEARCH("Korea DPR",S4182)),"North Korea",
ISNUMBER(SEARCH("China PR",S4182)),"China",
ISNUMBER(SEARCH("IR Iran",S4182)),"Iran",
ISNUMBER(SEARCH("Congo DR",S4182)),"Democratic Republic of the Congo",
ISNUMBER(SEARCH("DR Congo",S4182)),"Democratic Republic of the Congo",
ISNUMBER(SEARCH("German DR",S4182)),"DR Germany",
ISNUMBER(SEARCH("rn""&gt;United Arab Emirates",S4182)),"United Arab Emirates",
ISNUMBER(SEARCH("rn""&gt;Republic of Ireland",S4182)),"Ireland",
ISNUMBER(SEARCH("rn""&gt;Bosnia and Herzegovina",S4182)),"Bosnia and Herzegovina",
ISNUMBER(SEARCH("rn""&gt;Trinidad and Tobago",S4182)),"Trinidad and Tobago",
ISNUMBER(SEARCH("rn""&gt;Serbia and Montenegro",S4182)),"Serbia and Montenegro",
ISNUMBER(SEARCH(_xlfn.UNICHAR(65533),S4182)),"Côte d'Ivoire",
TRUE,""
)</f>
        <v>Côte d'Ivoire</v>
      </c>
      <c r="W4182" s="40" t="str">
        <f t="shared" si="270"/>
        <v>Côte d'Ivoire</v>
      </c>
    </row>
    <row r="4183" spans="19:23">
      <c r="S4183" s="40" t="str">
        <v>Spain</v>
      </c>
      <c r="T4183" s="40" t="str">
        <f t="shared" si="268"/>
        <v>OK</v>
      </c>
      <c r="U4183" s="40" t="str">
        <f t="shared" si="269"/>
        <v>-</v>
      </c>
      <c r="V4183" s="40" t="str" cm="1">
        <f t="array" ref="V4183">_xlfn.IFS(
ISNUMBER(SEARCH("USA",S4183)),"United States",
ISNUMBER(SEARCH("Republic of Ireland",S4183)),"Ireland",
ISNUMBER(SEARCH("Republic of Korea",S4183)),"South Korea",
ISNUMBER(SEARCH("Cape Verde",S4183)),"Cabo Verde",
ISNUMBER(SEARCH("Czechia",S4183)),"Czech Republic",
ISNUMBER(SEARCH("Türkiye",S4183)),"Turkey",
ISNUMBER(SEARCH("Ivory Coast",S4183)),"Côte d'Ivoire",
ISNUMBER(SEARCH("Korea Republic",S4183)),"South Korea",
ISNUMBER(SEARCH("Germany FR",S4183)),"FR Germany",
ISNUMBER(SEARCH("West Germany",S4183)),"FR Germany",
ISNUMBER(SEARCH("Germany DR",S4183)),"DR Germany",
ISNUMBER(SEARCH("Korea DPR",S4183)),"North Korea",
ISNUMBER(SEARCH("China PR",S4183)),"China",
ISNUMBER(SEARCH("IR Iran",S4183)),"Iran",
ISNUMBER(SEARCH("Congo DR",S4183)),"Democratic Republic of the Congo",
ISNUMBER(SEARCH("DR Congo",S4183)),"Democratic Republic of the Congo",
ISNUMBER(SEARCH("German DR",S4183)),"DR Germany",
ISNUMBER(SEARCH("rn""&gt;United Arab Emirates",S4183)),"United Arab Emirates",
ISNUMBER(SEARCH("rn""&gt;Republic of Ireland",S4183)),"Ireland",
ISNUMBER(SEARCH("rn""&gt;Bosnia and Herzegovina",S4183)),"Bosnia and Herzegovina",
ISNUMBER(SEARCH("rn""&gt;Trinidad and Tobago",S4183)),"Trinidad and Tobago",
ISNUMBER(SEARCH("rn""&gt;Serbia and Montenegro",S4183)),"Serbia and Montenegro",
ISNUMBER(SEARCH(_xlfn.UNICHAR(65533),S4183)),"Côte d'Ivoire",
TRUE,""
)</f>
        <v/>
      </c>
      <c r="W4183" s="40" t="str">
        <f t="shared" si="270"/>
        <v>Spain</v>
      </c>
    </row>
    <row r="4184" spans="19:23">
      <c r="S4184" s="40" t="str">
        <v>Honduras</v>
      </c>
      <c r="T4184" s="40" t="str">
        <f t="shared" si="268"/>
        <v>OK</v>
      </c>
      <c r="U4184" s="40" t="str">
        <f t="shared" si="269"/>
        <v>-</v>
      </c>
      <c r="V4184" s="40" t="str" cm="1">
        <f t="array" ref="V4184">_xlfn.IFS(
ISNUMBER(SEARCH("USA",S4184)),"United States",
ISNUMBER(SEARCH("Republic of Ireland",S4184)),"Ireland",
ISNUMBER(SEARCH("Republic of Korea",S4184)),"South Korea",
ISNUMBER(SEARCH("Cape Verde",S4184)),"Cabo Verde",
ISNUMBER(SEARCH("Czechia",S4184)),"Czech Republic",
ISNUMBER(SEARCH("Türkiye",S4184)),"Turkey",
ISNUMBER(SEARCH("Ivory Coast",S4184)),"Côte d'Ivoire",
ISNUMBER(SEARCH("Korea Republic",S4184)),"South Korea",
ISNUMBER(SEARCH("Germany FR",S4184)),"FR Germany",
ISNUMBER(SEARCH("West Germany",S4184)),"FR Germany",
ISNUMBER(SEARCH("Germany DR",S4184)),"DR Germany",
ISNUMBER(SEARCH("Korea DPR",S4184)),"North Korea",
ISNUMBER(SEARCH("China PR",S4184)),"China",
ISNUMBER(SEARCH("IR Iran",S4184)),"Iran",
ISNUMBER(SEARCH("Congo DR",S4184)),"Democratic Republic of the Congo",
ISNUMBER(SEARCH("DR Congo",S4184)),"Democratic Republic of the Congo",
ISNUMBER(SEARCH("German DR",S4184)),"DR Germany",
ISNUMBER(SEARCH("rn""&gt;United Arab Emirates",S4184)),"United Arab Emirates",
ISNUMBER(SEARCH("rn""&gt;Republic of Ireland",S4184)),"Ireland",
ISNUMBER(SEARCH("rn""&gt;Bosnia and Herzegovina",S4184)),"Bosnia and Herzegovina",
ISNUMBER(SEARCH("rn""&gt;Trinidad and Tobago",S4184)),"Trinidad and Tobago",
ISNUMBER(SEARCH("rn""&gt;Serbia and Montenegro",S4184)),"Serbia and Montenegro",
ISNUMBER(SEARCH(_xlfn.UNICHAR(65533),S4184)),"Côte d'Ivoire",
TRUE,""
)</f>
        <v/>
      </c>
      <c r="W4184" s="40" t="str">
        <f t="shared" si="270"/>
        <v>Honduras</v>
      </c>
    </row>
    <row r="4185" spans="19:23">
      <c r="S4185" s="40" t="str">
        <v>Korea Republic</v>
      </c>
      <c r="T4185" s="40" t="str">
        <f t="shared" si="268"/>
        <v>ERREUR</v>
      </c>
      <c r="U4185" s="40" t="str">
        <f t="shared" si="269"/>
        <v>RENOMMER</v>
      </c>
      <c r="V4185" s="40" t="str" cm="1">
        <f t="array" ref="V4185">_xlfn.IFS(
ISNUMBER(SEARCH("USA",S4185)),"United States",
ISNUMBER(SEARCH("Republic of Ireland",S4185)),"Ireland",
ISNUMBER(SEARCH("Republic of Korea",S4185)),"South Korea",
ISNUMBER(SEARCH("Cape Verde",S4185)),"Cabo Verde",
ISNUMBER(SEARCH("Czechia",S4185)),"Czech Republic",
ISNUMBER(SEARCH("Türkiye",S4185)),"Turkey",
ISNUMBER(SEARCH("Ivory Coast",S4185)),"Côte d'Ivoire",
ISNUMBER(SEARCH("Korea Republic",S4185)),"South Korea",
ISNUMBER(SEARCH("Germany FR",S4185)),"FR Germany",
ISNUMBER(SEARCH("West Germany",S4185)),"FR Germany",
ISNUMBER(SEARCH("Germany DR",S4185)),"DR Germany",
ISNUMBER(SEARCH("Korea DPR",S4185)),"North Korea",
ISNUMBER(SEARCH("China PR",S4185)),"China",
ISNUMBER(SEARCH("IR Iran",S4185)),"Iran",
ISNUMBER(SEARCH("Congo DR",S4185)),"Democratic Republic of the Congo",
ISNUMBER(SEARCH("DR Congo",S4185)),"Democratic Republic of the Congo",
ISNUMBER(SEARCH("German DR",S4185)),"DR Germany",
ISNUMBER(SEARCH("rn""&gt;United Arab Emirates",S4185)),"United Arab Emirates",
ISNUMBER(SEARCH("rn""&gt;Republic of Ireland",S4185)),"Ireland",
ISNUMBER(SEARCH("rn""&gt;Bosnia and Herzegovina",S4185)),"Bosnia and Herzegovina",
ISNUMBER(SEARCH("rn""&gt;Trinidad and Tobago",S4185)),"Trinidad and Tobago",
ISNUMBER(SEARCH("rn""&gt;Serbia and Montenegro",S4185)),"Serbia and Montenegro",
ISNUMBER(SEARCH(_xlfn.UNICHAR(65533),S4185)),"Côte d'Ivoire",
TRUE,""
)</f>
        <v>South Korea</v>
      </c>
      <c r="W4185" s="40" t="str">
        <f t="shared" si="270"/>
        <v>South Korea</v>
      </c>
    </row>
    <row r="4186" spans="19:23">
      <c r="S4186" s="40" t="str">
        <v>Ghana</v>
      </c>
      <c r="T4186" s="40" t="str">
        <f t="shared" si="268"/>
        <v>OK</v>
      </c>
      <c r="U4186" s="40" t="str">
        <f t="shared" si="269"/>
        <v>-</v>
      </c>
      <c r="V4186" s="40" t="str" cm="1">
        <f t="array" ref="V4186">_xlfn.IFS(
ISNUMBER(SEARCH("USA",S4186)),"United States",
ISNUMBER(SEARCH("Republic of Ireland",S4186)),"Ireland",
ISNUMBER(SEARCH("Republic of Korea",S4186)),"South Korea",
ISNUMBER(SEARCH("Cape Verde",S4186)),"Cabo Verde",
ISNUMBER(SEARCH("Czechia",S4186)),"Czech Republic",
ISNUMBER(SEARCH("Türkiye",S4186)),"Turkey",
ISNUMBER(SEARCH("Ivory Coast",S4186)),"Côte d'Ivoire",
ISNUMBER(SEARCH("Korea Republic",S4186)),"South Korea",
ISNUMBER(SEARCH("Germany FR",S4186)),"FR Germany",
ISNUMBER(SEARCH("West Germany",S4186)),"FR Germany",
ISNUMBER(SEARCH("Germany DR",S4186)),"DR Germany",
ISNUMBER(SEARCH("Korea DPR",S4186)),"North Korea",
ISNUMBER(SEARCH("China PR",S4186)),"China",
ISNUMBER(SEARCH("IR Iran",S4186)),"Iran",
ISNUMBER(SEARCH("Congo DR",S4186)),"Democratic Republic of the Congo",
ISNUMBER(SEARCH("DR Congo",S4186)),"Democratic Republic of the Congo",
ISNUMBER(SEARCH("German DR",S4186)),"DR Germany",
ISNUMBER(SEARCH("rn""&gt;United Arab Emirates",S4186)),"United Arab Emirates",
ISNUMBER(SEARCH("rn""&gt;Republic of Ireland",S4186)),"Ireland",
ISNUMBER(SEARCH("rn""&gt;Bosnia and Herzegovina",S4186)),"Bosnia and Herzegovina",
ISNUMBER(SEARCH("rn""&gt;Trinidad and Tobago",S4186)),"Trinidad and Tobago",
ISNUMBER(SEARCH("rn""&gt;Serbia and Montenegro",S4186)),"Serbia and Montenegro",
ISNUMBER(SEARCH(_xlfn.UNICHAR(65533),S4186)),"Côte d'Ivoire",
TRUE,""
)</f>
        <v/>
      </c>
      <c r="W4186" s="40" t="str">
        <f t="shared" si="270"/>
        <v>Ghana</v>
      </c>
    </row>
    <row r="4187" spans="19:23">
      <c r="S4187" s="40" t="str">
        <v>England</v>
      </c>
      <c r="T4187" s="40" t="str">
        <f t="shared" si="268"/>
        <v>ERREUR</v>
      </c>
      <c r="U4187" s="40" t="str">
        <f t="shared" si="269"/>
        <v>AUCUNE</v>
      </c>
      <c r="V4187" s="40" t="str" cm="1">
        <f t="array" ref="V4187">_xlfn.IFS(
ISNUMBER(SEARCH("USA",S4187)),"United States",
ISNUMBER(SEARCH("Republic of Ireland",S4187)),"Ireland",
ISNUMBER(SEARCH("Republic of Korea",S4187)),"South Korea",
ISNUMBER(SEARCH("Cape Verde",S4187)),"Cabo Verde",
ISNUMBER(SEARCH("Czechia",S4187)),"Czech Republic",
ISNUMBER(SEARCH("Türkiye",S4187)),"Turkey",
ISNUMBER(SEARCH("Ivory Coast",S4187)),"Côte d'Ivoire",
ISNUMBER(SEARCH("Korea Republic",S4187)),"South Korea",
ISNUMBER(SEARCH("Germany FR",S4187)),"FR Germany",
ISNUMBER(SEARCH("West Germany",S4187)),"FR Germany",
ISNUMBER(SEARCH("Germany DR",S4187)),"DR Germany",
ISNUMBER(SEARCH("Korea DPR",S4187)),"North Korea",
ISNUMBER(SEARCH("China PR",S4187)),"China",
ISNUMBER(SEARCH("IR Iran",S4187)),"Iran",
ISNUMBER(SEARCH("Congo DR",S4187)),"Democratic Republic of the Congo",
ISNUMBER(SEARCH("DR Congo",S4187)),"Democratic Republic of the Congo",
ISNUMBER(SEARCH("German DR",S4187)),"DR Germany",
ISNUMBER(SEARCH("rn""&gt;United Arab Emirates",S4187)),"United Arab Emirates",
ISNUMBER(SEARCH("rn""&gt;Republic of Ireland",S4187)),"Ireland",
ISNUMBER(SEARCH("rn""&gt;Bosnia and Herzegovina",S4187)),"Bosnia and Herzegovina",
ISNUMBER(SEARCH("rn""&gt;Trinidad and Tobago",S4187)),"Trinidad and Tobago",
ISNUMBER(SEARCH("rn""&gt;Serbia and Montenegro",S4187)),"Serbia and Montenegro",
ISNUMBER(SEARCH(_xlfn.UNICHAR(65533),S4187)),"Côte d'Ivoire",
TRUE,""
)</f>
        <v/>
      </c>
      <c r="W4187" s="40" t="str">
        <f t="shared" si="270"/>
        <v>England</v>
      </c>
    </row>
    <row r="4188" spans="19:23">
      <c r="S4188" s="40" t="str">
        <v>Mexico</v>
      </c>
      <c r="T4188" s="40" t="str">
        <f t="shared" si="268"/>
        <v>OK</v>
      </c>
      <c r="U4188" s="40" t="str">
        <f t="shared" si="269"/>
        <v>-</v>
      </c>
      <c r="V4188" s="40" t="str" cm="1">
        <f t="array" ref="V4188">_xlfn.IFS(
ISNUMBER(SEARCH("USA",S4188)),"United States",
ISNUMBER(SEARCH("Republic of Ireland",S4188)),"Ireland",
ISNUMBER(SEARCH("Republic of Korea",S4188)),"South Korea",
ISNUMBER(SEARCH("Cape Verde",S4188)),"Cabo Verde",
ISNUMBER(SEARCH("Czechia",S4188)),"Czech Republic",
ISNUMBER(SEARCH("Türkiye",S4188)),"Turkey",
ISNUMBER(SEARCH("Ivory Coast",S4188)),"Côte d'Ivoire",
ISNUMBER(SEARCH("Korea Republic",S4188)),"South Korea",
ISNUMBER(SEARCH("Germany FR",S4188)),"FR Germany",
ISNUMBER(SEARCH("West Germany",S4188)),"FR Germany",
ISNUMBER(SEARCH("Germany DR",S4188)),"DR Germany",
ISNUMBER(SEARCH("Korea DPR",S4188)),"North Korea",
ISNUMBER(SEARCH("China PR",S4188)),"China",
ISNUMBER(SEARCH("IR Iran",S4188)),"Iran",
ISNUMBER(SEARCH("Congo DR",S4188)),"Democratic Republic of the Congo",
ISNUMBER(SEARCH("DR Congo",S4188)),"Democratic Republic of the Congo",
ISNUMBER(SEARCH("German DR",S4188)),"DR Germany",
ISNUMBER(SEARCH("rn""&gt;United Arab Emirates",S4188)),"United Arab Emirates",
ISNUMBER(SEARCH("rn""&gt;Republic of Ireland",S4188)),"Ireland",
ISNUMBER(SEARCH("rn""&gt;Bosnia and Herzegovina",S4188)),"Bosnia and Herzegovina",
ISNUMBER(SEARCH("rn""&gt;Trinidad and Tobago",S4188)),"Trinidad and Tobago",
ISNUMBER(SEARCH("rn""&gt;Serbia and Montenegro",S4188)),"Serbia and Montenegro",
ISNUMBER(SEARCH(_xlfn.UNICHAR(65533),S4188)),"Côte d'Ivoire",
TRUE,""
)</f>
        <v/>
      </c>
      <c r="W4188" s="40" t="str">
        <f t="shared" si="270"/>
        <v>Mexico</v>
      </c>
    </row>
    <row r="4189" spans="19:23">
      <c r="S4189" s="40" t="str">
        <v>Slovakia</v>
      </c>
      <c r="T4189" s="40" t="str">
        <f t="shared" si="268"/>
        <v>OK</v>
      </c>
      <c r="U4189" s="40" t="str">
        <f t="shared" si="269"/>
        <v>-</v>
      </c>
      <c r="V4189" s="40" t="str" cm="1">
        <f t="array" ref="V4189">_xlfn.IFS(
ISNUMBER(SEARCH("USA",S4189)),"United States",
ISNUMBER(SEARCH("Republic of Ireland",S4189)),"Ireland",
ISNUMBER(SEARCH("Republic of Korea",S4189)),"South Korea",
ISNUMBER(SEARCH("Cape Verde",S4189)),"Cabo Verde",
ISNUMBER(SEARCH("Czechia",S4189)),"Czech Republic",
ISNUMBER(SEARCH("Türkiye",S4189)),"Turkey",
ISNUMBER(SEARCH("Ivory Coast",S4189)),"Côte d'Ivoire",
ISNUMBER(SEARCH("Korea Republic",S4189)),"South Korea",
ISNUMBER(SEARCH("Germany FR",S4189)),"FR Germany",
ISNUMBER(SEARCH("West Germany",S4189)),"FR Germany",
ISNUMBER(SEARCH("Germany DR",S4189)),"DR Germany",
ISNUMBER(SEARCH("Korea DPR",S4189)),"North Korea",
ISNUMBER(SEARCH("China PR",S4189)),"China",
ISNUMBER(SEARCH("IR Iran",S4189)),"Iran",
ISNUMBER(SEARCH("Congo DR",S4189)),"Democratic Republic of the Congo",
ISNUMBER(SEARCH("DR Congo",S4189)),"Democratic Republic of the Congo",
ISNUMBER(SEARCH("German DR",S4189)),"DR Germany",
ISNUMBER(SEARCH("rn""&gt;United Arab Emirates",S4189)),"United Arab Emirates",
ISNUMBER(SEARCH("rn""&gt;Republic of Ireland",S4189)),"Ireland",
ISNUMBER(SEARCH("rn""&gt;Bosnia and Herzegovina",S4189)),"Bosnia and Herzegovina",
ISNUMBER(SEARCH("rn""&gt;Trinidad and Tobago",S4189)),"Trinidad and Tobago",
ISNUMBER(SEARCH("rn""&gt;Serbia and Montenegro",S4189)),"Serbia and Montenegro",
ISNUMBER(SEARCH(_xlfn.UNICHAR(65533),S4189)),"Côte d'Ivoire",
TRUE,""
)</f>
        <v/>
      </c>
      <c r="W4189" s="40" t="str">
        <f t="shared" si="270"/>
        <v>Slovakia</v>
      </c>
    </row>
    <row r="4190" spans="19:23">
      <c r="S4190" s="40" t="str">
        <v>Chile</v>
      </c>
      <c r="T4190" s="40" t="str">
        <f t="shared" si="268"/>
        <v>OK</v>
      </c>
      <c r="U4190" s="40" t="str">
        <f t="shared" si="269"/>
        <v>-</v>
      </c>
      <c r="V4190" s="40" t="str" cm="1">
        <f t="array" ref="V4190">_xlfn.IFS(
ISNUMBER(SEARCH("USA",S4190)),"United States",
ISNUMBER(SEARCH("Republic of Ireland",S4190)),"Ireland",
ISNUMBER(SEARCH("Republic of Korea",S4190)),"South Korea",
ISNUMBER(SEARCH("Cape Verde",S4190)),"Cabo Verde",
ISNUMBER(SEARCH("Czechia",S4190)),"Czech Republic",
ISNUMBER(SEARCH("Türkiye",S4190)),"Turkey",
ISNUMBER(SEARCH("Ivory Coast",S4190)),"Côte d'Ivoire",
ISNUMBER(SEARCH("Korea Republic",S4190)),"South Korea",
ISNUMBER(SEARCH("Germany FR",S4190)),"FR Germany",
ISNUMBER(SEARCH("West Germany",S4190)),"FR Germany",
ISNUMBER(SEARCH("Germany DR",S4190)),"DR Germany",
ISNUMBER(SEARCH("Korea DPR",S4190)),"North Korea",
ISNUMBER(SEARCH("China PR",S4190)),"China",
ISNUMBER(SEARCH("IR Iran",S4190)),"Iran",
ISNUMBER(SEARCH("Congo DR",S4190)),"Democratic Republic of the Congo",
ISNUMBER(SEARCH("DR Congo",S4190)),"Democratic Republic of the Congo",
ISNUMBER(SEARCH("German DR",S4190)),"DR Germany",
ISNUMBER(SEARCH("rn""&gt;United Arab Emirates",S4190)),"United Arab Emirates",
ISNUMBER(SEARCH("rn""&gt;Republic of Ireland",S4190)),"Ireland",
ISNUMBER(SEARCH("rn""&gt;Bosnia and Herzegovina",S4190)),"Bosnia and Herzegovina",
ISNUMBER(SEARCH("rn""&gt;Trinidad and Tobago",S4190)),"Trinidad and Tobago",
ISNUMBER(SEARCH("rn""&gt;Serbia and Montenegro",S4190)),"Serbia and Montenegro",
ISNUMBER(SEARCH(_xlfn.UNICHAR(65533),S4190)),"Côte d'Ivoire",
TRUE,""
)</f>
        <v/>
      </c>
      <c r="W4190" s="40" t="str">
        <f t="shared" si="270"/>
        <v>Chile</v>
      </c>
    </row>
    <row r="4191" spans="19:23">
      <c r="S4191" s="40" t="str">
        <v>Japan</v>
      </c>
      <c r="T4191" s="40" t="str">
        <f t="shared" si="268"/>
        <v>OK</v>
      </c>
      <c r="U4191" s="40" t="str">
        <f t="shared" si="269"/>
        <v>-</v>
      </c>
      <c r="V4191" s="40" t="str" cm="1">
        <f t="array" ref="V4191">_xlfn.IFS(
ISNUMBER(SEARCH("USA",S4191)),"United States",
ISNUMBER(SEARCH("Republic of Ireland",S4191)),"Ireland",
ISNUMBER(SEARCH("Republic of Korea",S4191)),"South Korea",
ISNUMBER(SEARCH("Cape Verde",S4191)),"Cabo Verde",
ISNUMBER(SEARCH("Czechia",S4191)),"Czech Republic",
ISNUMBER(SEARCH("Türkiye",S4191)),"Turkey",
ISNUMBER(SEARCH("Ivory Coast",S4191)),"Côte d'Ivoire",
ISNUMBER(SEARCH("Korea Republic",S4191)),"South Korea",
ISNUMBER(SEARCH("Germany FR",S4191)),"FR Germany",
ISNUMBER(SEARCH("West Germany",S4191)),"FR Germany",
ISNUMBER(SEARCH("Germany DR",S4191)),"DR Germany",
ISNUMBER(SEARCH("Korea DPR",S4191)),"North Korea",
ISNUMBER(SEARCH("China PR",S4191)),"China",
ISNUMBER(SEARCH("IR Iran",S4191)),"Iran",
ISNUMBER(SEARCH("Congo DR",S4191)),"Democratic Republic of the Congo",
ISNUMBER(SEARCH("DR Congo",S4191)),"Democratic Republic of the Congo",
ISNUMBER(SEARCH("German DR",S4191)),"DR Germany",
ISNUMBER(SEARCH("rn""&gt;United Arab Emirates",S4191)),"United Arab Emirates",
ISNUMBER(SEARCH("rn""&gt;Republic of Ireland",S4191)),"Ireland",
ISNUMBER(SEARCH("rn""&gt;Bosnia and Herzegovina",S4191)),"Bosnia and Herzegovina",
ISNUMBER(SEARCH("rn""&gt;Trinidad and Tobago",S4191)),"Trinidad and Tobago",
ISNUMBER(SEARCH("rn""&gt;Serbia and Montenegro",S4191)),"Serbia and Montenegro",
ISNUMBER(SEARCH(_xlfn.UNICHAR(65533),S4191)),"Côte d'Ivoire",
TRUE,""
)</f>
        <v/>
      </c>
      <c r="W4191" s="40" t="str">
        <f t="shared" si="270"/>
        <v>Japan</v>
      </c>
    </row>
    <row r="4192" spans="19:23">
      <c r="S4192" s="40" t="str">
        <v>Portugal</v>
      </c>
      <c r="T4192" s="40" t="str">
        <f t="shared" si="268"/>
        <v>OK</v>
      </c>
      <c r="U4192" s="40" t="str">
        <f t="shared" si="269"/>
        <v>-</v>
      </c>
      <c r="V4192" s="40" t="str" cm="1">
        <f t="array" ref="V4192">_xlfn.IFS(
ISNUMBER(SEARCH("USA",S4192)),"United States",
ISNUMBER(SEARCH("Republic of Ireland",S4192)),"Ireland",
ISNUMBER(SEARCH("Republic of Korea",S4192)),"South Korea",
ISNUMBER(SEARCH("Cape Verde",S4192)),"Cabo Verde",
ISNUMBER(SEARCH("Czechia",S4192)),"Czech Republic",
ISNUMBER(SEARCH("Türkiye",S4192)),"Turkey",
ISNUMBER(SEARCH("Ivory Coast",S4192)),"Côte d'Ivoire",
ISNUMBER(SEARCH("Korea Republic",S4192)),"South Korea",
ISNUMBER(SEARCH("Germany FR",S4192)),"FR Germany",
ISNUMBER(SEARCH("West Germany",S4192)),"FR Germany",
ISNUMBER(SEARCH("Germany DR",S4192)),"DR Germany",
ISNUMBER(SEARCH("Korea DPR",S4192)),"North Korea",
ISNUMBER(SEARCH("China PR",S4192)),"China",
ISNUMBER(SEARCH("IR Iran",S4192)),"Iran",
ISNUMBER(SEARCH("Congo DR",S4192)),"Democratic Republic of the Congo",
ISNUMBER(SEARCH("DR Congo",S4192)),"Democratic Republic of the Congo",
ISNUMBER(SEARCH("German DR",S4192)),"DR Germany",
ISNUMBER(SEARCH("rn""&gt;United Arab Emirates",S4192)),"United Arab Emirates",
ISNUMBER(SEARCH("rn""&gt;Republic of Ireland",S4192)),"Ireland",
ISNUMBER(SEARCH("rn""&gt;Bosnia and Herzegovina",S4192)),"Bosnia and Herzegovina",
ISNUMBER(SEARCH("rn""&gt;Trinidad and Tobago",S4192)),"Trinidad and Tobago",
ISNUMBER(SEARCH("rn""&gt;Serbia and Montenegro",S4192)),"Serbia and Montenegro",
ISNUMBER(SEARCH(_xlfn.UNICHAR(65533),S4192)),"Côte d'Ivoire",
TRUE,""
)</f>
        <v/>
      </c>
      <c r="W4192" s="40" t="str">
        <f t="shared" si="270"/>
        <v>Portugal</v>
      </c>
    </row>
    <row r="4193" spans="19:23">
      <c r="S4193" s="40" t="str">
        <v>Brazil</v>
      </c>
      <c r="T4193" s="40" t="str">
        <f t="shared" si="268"/>
        <v>OK</v>
      </c>
      <c r="U4193" s="40" t="str">
        <f t="shared" si="269"/>
        <v>-</v>
      </c>
      <c r="V4193" s="40" t="str" cm="1">
        <f t="array" ref="V4193">_xlfn.IFS(
ISNUMBER(SEARCH("USA",S4193)),"United States",
ISNUMBER(SEARCH("Republic of Ireland",S4193)),"Ireland",
ISNUMBER(SEARCH("Republic of Korea",S4193)),"South Korea",
ISNUMBER(SEARCH("Cape Verde",S4193)),"Cabo Verde",
ISNUMBER(SEARCH("Czechia",S4193)),"Czech Republic",
ISNUMBER(SEARCH("Türkiye",S4193)),"Turkey",
ISNUMBER(SEARCH("Ivory Coast",S4193)),"Côte d'Ivoire",
ISNUMBER(SEARCH("Korea Republic",S4193)),"South Korea",
ISNUMBER(SEARCH("Germany FR",S4193)),"FR Germany",
ISNUMBER(SEARCH("West Germany",S4193)),"FR Germany",
ISNUMBER(SEARCH("Germany DR",S4193)),"DR Germany",
ISNUMBER(SEARCH("Korea DPR",S4193)),"North Korea",
ISNUMBER(SEARCH("China PR",S4193)),"China",
ISNUMBER(SEARCH("IR Iran",S4193)),"Iran",
ISNUMBER(SEARCH("Congo DR",S4193)),"Democratic Republic of the Congo",
ISNUMBER(SEARCH("DR Congo",S4193)),"Democratic Republic of the Congo",
ISNUMBER(SEARCH("German DR",S4193)),"DR Germany",
ISNUMBER(SEARCH("rn""&gt;United Arab Emirates",S4193)),"United Arab Emirates",
ISNUMBER(SEARCH("rn""&gt;Republic of Ireland",S4193)),"Ireland",
ISNUMBER(SEARCH("rn""&gt;Bosnia and Herzegovina",S4193)),"Bosnia and Herzegovina",
ISNUMBER(SEARCH("rn""&gt;Trinidad and Tobago",S4193)),"Trinidad and Tobago",
ISNUMBER(SEARCH("rn""&gt;Serbia and Montenegro",S4193)),"Serbia and Montenegro",
ISNUMBER(SEARCH(_xlfn.UNICHAR(65533),S4193)),"Côte d'Ivoire",
TRUE,""
)</f>
        <v/>
      </c>
      <c r="W4193" s="40" t="str">
        <f t="shared" si="270"/>
        <v>Brazil</v>
      </c>
    </row>
    <row r="4194" spans="19:23">
      <c r="S4194" s="40" t="str">
        <v>Ghana</v>
      </c>
      <c r="T4194" s="40" t="str">
        <f t="shared" si="268"/>
        <v>OK</v>
      </c>
      <c r="U4194" s="40" t="str">
        <f t="shared" si="269"/>
        <v>-</v>
      </c>
      <c r="V4194" s="40" t="str" cm="1">
        <f t="array" ref="V4194">_xlfn.IFS(
ISNUMBER(SEARCH("USA",S4194)),"United States",
ISNUMBER(SEARCH("Republic of Ireland",S4194)),"Ireland",
ISNUMBER(SEARCH("Republic of Korea",S4194)),"South Korea",
ISNUMBER(SEARCH("Cape Verde",S4194)),"Cabo Verde",
ISNUMBER(SEARCH("Czechia",S4194)),"Czech Republic",
ISNUMBER(SEARCH("Türkiye",S4194)),"Turkey",
ISNUMBER(SEARCH("Ivory Coast",S4194)),"Côte d'Ivoire",
ISNUMBER(SEARCH("Korea Republic",S4194)),"South Korea",
ISNUMBER(SEARCH("Germany FR",S4194)),"FR Germany",
ISNUMBER(SEARCH("West Germany",S4194)),"FR Germany",
ISNUMBER(SEARCH("Germany DR",S4194)),"DR Germany",
ISNUMBER(SEARCH("Korea DPR",S4194)),"North Korea",
ISNUMBER(SEARCH("China PR",S4194)),"China",
ISNUMBER(SEARCH("IR Iran",S4194)),"Iran",
ISNUMBER(SEARCH("Congo DR",S4194)),"Democratic Republic of the Congo",
ISNUMBER(SEARCH("DR Congo",S4194)),"Democratic Republic of the Congo",
ISNUMBER(SEARCH("German DR",S4194)),"DR Germany",
ISNUMBER(SEARCH("rn""&gt;United Arab Emirates",S4194)),"United Arab Emirates",
ISNUMBER(SEARCH("rn""&gt;Republic of Ireland",S4194)),"Ireland",
ISNUMBER(SEARCH("rn""&gt;Bosnia and Herzegovina",S4194)),"Bosnia and Herzegovina",
ISNUMBER(SEARCH("rn""&gt;Trinidad and Tobago",S4194)),"Trinidad and Tobago",
ISNUMBER(SEARCH("rn""&gt;Serbia and Montenegro",S4194)),"Serbia and Montenegro",
ISNUMBER(SEARCH(_xlfn.UNICHAR(65533),S4194)),"Côte d'Ivoire",
TRUE,""
)</f>
        <v/>
      </c>
      <c r="W4194" s="40" t="str">
        <f t="shared" si="270"/>
        <v>Ghana</v>
      </c>
    </row>
    <row r="4195" spans="19:23">
      <c r="S4195" s="40" t="str">
        <v>Germany</v>
      </c>
      <c r="T4195" s="40" t="str">
        <f t="shared" si="268"/>
        <v>OK</v>
      </c>
      <c r="U4195" s="40" t="str">
        <f t="shared" si="269"/>
        <v>-</v>
      </c>
      <c r="V4195" s="40" t="str" cm="1">
        <f t="array" ref="V4195">_xlfn.IFS(
ISNUMBER(SEARCH("USA",S4195)),"United States",
ISNUMBER(SEARCH("Republic of Ireland",S4195)),"Ireland",
ISNUMBER(SEARCH("Republic of Korea",S4195)),"South Korea",
ISNUMBER(SEARCH("Cape Verde",S4195)),"Cabo Verde",
ISNUMBER(SEARCH("Czechia",S4195)),"Czech Republic",
ISNUMBER(SEARCH("Türkiye",S4195)),"Turkey",
ISNUMBER(SEARCH("Ivory Coast",S4195)),"Côte d'Ivoire",
ISNUMBER(SEARCH("Korea Republic",S4195)),"South Korea",
ISNUMBER(SEARCH("Germany FR",S4195)),"FR Germany",
ISNUMBER(SEARCH("West Germany",S4195)),"FR Germany",
ISNUMBER(SEARCH("Germany DR",S4195)),"DR Germany",
ISNUMBER(SEARCH("Korea DPR",S4195)),"North Korea",
ISNUMBER(SEARCH("China PR",S4195)),"China",
ISNUMBER(SEARCH("IR Iran",S4195)),"Iran",
ISNUMBER(SEARCH("Congo DR",S4195)),"Democratic Republic of the Congo",
ISNUMBER(SEARCH("DR Congo",S4195)),"Democratic Republic of the Congo",
ISNUMBER(SEARCH("German DR",S4195)),"DR Germany",
ISNUMBER(SEARCH("rn""&gt;United Arab Emirates",S4195)),"United Arab Emirates",
ISNUMBER(SEARCH("rn""&gt;Republic of Ireland",S4195)),"Ireland",
ISNUMBER(SEARCH("rn""&gt;Bosnia and Herzegovina",S4195)),"Bosnia and Herzegovina",
ISNUMBER(SEARCH("rn""&gt;Trinidad and Tobago",S4195)),"Trinidad and Tobago",
ISNUMBER(SEARCH("rn""&gt;Serbia and Montenegro",S4195)),"Serbia and Montenegro",
ISNUMBER(SEARCH(_xlfn.UNICHAR(65533),S4195)),"Côte d'Ivoire",
TRUE,""
)</f>
        <v/>
      </c>
      <c r="W4195" s="40" t="str">
        <f t="shared" si="270"/>
        <v>Germany</v>
      </c>
    </row>
    <row r="4196" spans="19:23">
      <c r="S4196" s="40" t="str">
        <v>Spain</v>
      </c>
      <c r="T4196" s="40" t="str">
        <f t="shared" si="268"/>
        <v>OK</v>
      </c>
      <c r="U4196" s="40" t="str">
        <f t="shared" si="269"/>
        <v>-</v>
      </c>
      <c r="V4196" s="40" t="str" cm="1">
        <f t="array" ref="V4196">_xlfn.IFS(
ISNUMBER(SEARCH("USA",S4196)),"United States",
ISNUMBER(SEARCH("Republic of Ireland",S4196)),"Ireland",
ISNUMBER(SEARCH("Republic of Korea",S4196)),"South Korea",
ISNUMBER(SEARCH("Cape Verde",S4196)),"Cabo Verde",
ISNUMBER(SEARCH("Czechia",S4196)),"Czech Republic",
ISNUMBER(SEARCH("Türkiye",S4196)),"Turkey",
ISNUMBER(SEARCH("Ivory Coast",S4196)),"Côte d'Ivoire",
ISNUMBER(SEARCH("Korea Republic",S4196)),"South Korea",
ISNUMBER(SEARCH("Germany FR",S4196)),"FR Germany",
ISNUMBER(SEARCH("West Germany",S4196)),"FR Germany",
ISNUMBER(SEARCH("Germany DR",S4196)),"DR Germany",
ISNUMBER(SEARCH("Korea DPR",S4196)),"North Korea",
ISNUMBER(SEARCH("China PR",S4196)),"China",
ISNUMBER(SEARCH("IR Iran",S4196)),"Iran",
ISNUMBER(SEARCH("Congo DR",S4196)),"Democratic Republic of the Congo",
ISNUMBER(SEARCH("DR Congo",S4196)),"Democratic Republic of the Congo",
ISNUMBER(SEARCH("German DR",S4196)),"DR Germany",
ISNUMBER(SEARCH("rn""&gt;United Arab Emirates",S4196)),"United Arab Emirates",
ISNUMBER(SEARCH("rn""&gt;Republic of Ireland",S4196)),"Ireland",
ISNUMBER(SEARCH("rn""&gt;Bosnia and Herzegovina",S4196)),"Bosnia and Herzegovina",
ISNUMBER(SEARCH("rn""&gt;Trinidad and Tobago",S4196)),"Trinidad and Tobago",
ISNUMBER(SEARCH("rn""&gt;Serbia and Montenegro",S4196)),"Serbia and Montenegro",
ISNUMBER(SEARCH(_xlfn.UNICHAR(65533),S4196)),"Côte d'Ivoire",
TRUE,""
)</f>
        <v/>
      </c>
      <c r="W4196" s="40" t="str">
        <f t="shared" si="270"/>
        <v>Spain</v>
      </c>
    </row>
    <row r="4197" spans="19:23">
      <c r="S4197" s="40" t="str">
        <v>Netherlands</v>
      </c>
      <c r="T4197" s="40" t="str">
        <f t="shared" si="268"/>
        <v>OK</v>
      </c>
      <c r="U4197" s="40" t="str">
        <f t="shared" si="269"/>
        <v>-</v>
      </c>
      <c r="V4197" s="40" t="str" cm="1">
        <f t="array" ref="V4197">_xlfn.IFS(
ISNUMBER(SEARCH("USA",S4197)),"United States",
ISNUMBER(SEARCH("Republic of Ireland",S4197)),"Ireland",
ISNUMBER(SEARCH("Republic of Korea",S4197)),"South Korea",
ISNUMBER(SEARCH("Cape Verde",S4197)),"Cabo Verde",
ISNUMBER(SEARCH("Czechia",S4197)),"Czech Republic",
ISNUMBER(SEARCH("Türkiye",S4197)),"Turkey",
ISNUMBER(SEARCH("Ivory Coast",S4197)),"Côte d'Ivoire",
ISNUMBER(SEARCH("Korea Republic",S4197)),"South Korea",
ISNUMBER(SEARCH("Germany FR",S4197)),"FR Germany",
ISNUMBER(SEARCH("West Germany",S4197)),"FR Germany",
ISNUMBER(SEARCH("Germany DR",S4197)),"DR Germany",
ISNUMBER(SEARCH("Korea DPR",S4197)),"North Korea",
ISNUMBER(SEARCH("China PR",S4197)),"China",
ISNUMBER(SEARCH("IR Iran",S4197)),"Iran",
ISNUMBER(SEARCH("Congo DR",S4197)),"Democratic Republic of the Congo",
ISNUMBER(SEARCH("DR Congo",S4197)),"Democratic Republic of the Congo",
ISNUMBER(SEARCH("German DR",S4197)),"DR Germany",
ISNUMBER(SEARCH("rn""&gt;United Arab Emirates",S4197)),"United Arab Emirates",
ISNUMBER(SEARCH("rn""&gt;Republic of Ireland",S4197)),"Ireland",
ISNUMBER(SEARCH("rn""&gt;Bosnia and Herzegovina",S4197)),"Bosnia and Herzegovina",
ISNUMBER(SEARCH("rn""&gt;Trinidad and Tobago",S4197)),"Trinidad and Tobago",
ISNUMBER(SEARCH("rn""&gt;Serbia and Montenegro",S4197)),"Serbia and Montenegro",
ISNUMBER(SEARCH(_xlfn.UNICHAR(65533),S4197)),"Côte d'Ivoire",
TRUE,""
)</f>
        <v/>
      </c>
      <c r="W4197" s="40" t="str">
        <f t="shared" si="270"/>
        <v>Netherlands</v>
      </c>
    </row>
    <row r="4198" spans="19:23">
      <c r="S4198" s="40" t="str">
        <v>Spain</v>
      </c>
      <c r="T4198" s="40" t="str">
        <f t="shared" si="268"/>
        <v>OK</v>
      </c>
      <c r="U4198" s="40" t="str">
        <f t="shared" si="269"/>
        <v>-</v>
      </c>
      <c r="V4198" s="40" t="str" cm="1">
        <f t="array" ref="V4198">_xlfn.IFS(
ISNUMBER(SEARCH("USA",S4198)),"United States",
ISNUMBER(SEARCH("Republic of Ireland",S4198)),"Ireland",
ISNUMBER(SEARCH("Republic of Korea",S4198)),"South Korea",
ISNUMBER(SEARCH("Cape Verde",S4198)),"Cabo Verde",
ISNUMBER(SEARCH("Czechia",S4198)),"Czech Republic",
ISNUMBER(SEARCH("Türkiye",S4198)),"Turkey",
ISNUMBER(SEARCH("Ivory Coast",S4198)),"Côte d'Ivoire",
ISNUMBER(SEARCH("Korea Republic",S4198)),"South Korea",
ISNUMBER(SEARCH("Germany FR",S4198)),"FR Germany",
ISNUMBER(SEARCH("West Germany",S4198)),"FR Germany",
ISNUMBER(SEARCH("Germany DR",S4198)),"DR Germany",
ISNUMBER(SEARCH("Korea DPR",S4198)),"North Korea",
ISNUMBER(SEARCH("China PR",S4198)),"China",
ISNUMBER(SEARCH("IR Iran",S4198)),"Iran",
ISNUMBER(SEARCH("Congo DR",S4198)),"Democratic Republic of the Congo",
ISNUMBER(SEARCH("DR Congo",S4198)),"Democratic Republic of the Congo",
ISNUMBER(SEARCH("German DR",S4198)),"DR Germany",
ISNUMBER(SEARCH("rn""&gt;United Arab Emirates",S4198)),"United Arab Emirates",
ISNUMBER(SEARCH("rn""&gt;Republic of Ireland",S4198)),"Ireland",
ISNUMBER(SEARCH("rn""&gt;Bosnia and Herzegovina",S4198)),"Bosnia and Herzegovina",
ISNUMBER(SEARCH("rn""&gt;Trinidad and Tobago",S4198)),"Trinidad and Tobago",
ISNUMBER(SEARCH("rn""&gt;Serbia and Montenegro",S4198)),"Serbia and Montenegro",
ISNUMBER(SEARCH(_xlfn.UNICHAR(65533),S4198)),"Côte d'Ivoire",
TRUE,""
)</f>
        <v/>
      </c>
      <c r="W4198" s="40" t="str">
        <f t="shared" si="270"/>
        <v>Spain</v>
      </c>
    </row>
    <row r="4199" spans="19:23">
      <c r="S4199" s="40" t="str">
        <v>Germany</v>
      </c>
      <c r="T4199" s="40" t="str">
        <f t="shared" si="268"/>
        <v>OK</v>
      </c>
      <c r="U4199" s="40" t="str">
        <f t="shared" si="269"/>
        <v>-</v>
      </c>
      <c r="V4199" s="40" t="str" cm="1">
        <f t="array" ref="V4199">_xlfn.IFS(
ISNUMBER(SEARCH("USA",S4199)),"United States",
ISNUMBER(SEARCH("Republic of Ireland",S4199)),"Ireland",
ISNUMBER(SEARCH("Republic of Korea",S4199)),"South Korea",
ISNUMBER(SEARCH("Cape Verde",S4199)),"Cabo Verde",
ISNUMBER(SEARCH("Czechia",S4199)),"Czech Republic",
ISNUMBER(SEARCH("Türkiye",S4199)),"Turkey",
ISNUMBER(SEARCH("Ivory Coast",S4199)),"Côte d'Ivoire",
ISNUMBER(SEARCH("Korea Republic",S4199)),"South Korea",
ISNUMBER(SEARCH("Germany FR",S4199)),"FR Germany",
ISNUMBER(SEARCH("West Germany",S4199)),"FR Germany",
ISNUMBER(SEARCH("Germany DR",S4199)),"DR Germany",
ISNUMBER(SEARCH("Korea DPR",S4199)),"North Korea",
ISNUMBER(SEARCH("China PR",S4199)),"China",
ISNUMBER(SEARCH("IR Iran",S4199)),"Iran",
ISNUMBER(SEARCH("Congo DR",S4199)),"Democratic Republic of the Congo",
ISNUMBER(SEARCH("DR Congo",S4199)),"Democratic Republic of the Congo",
ISNUMBER(SEARCH("German DR",S4199)),"DR Germany",
ISNUMBER(SEARCH("rn""&gt;United Arab Emirates",S4199)),"United Arab Emirates",
ISNUMBER(SEARCH("rn""&gt;Republic of Ireland",S4199)),"Ireland",
ISNUMBER(SEARCH("rn""&gt;Bosnia and Herzegovina",S4199)),"Bosnia and Herzegovina",
ISNUMBER(SEARCH("rn""&gt;Trinidad and Tobago",S4199)),"Trinidad and Tobago",
ISNUMBER(SEARCH("rn""&gt;Serbia and Montenegro",S4199)),"Serbia and Montenegro",
ISNUMBER(SEARCH(_xlfn.UNICHAR(65533),S4199)),"Côte d'Ivoire",
TRUE,""
)</f>
        <v/>
      </c>
      <c r="W4199" s="40" t="str">
        <f t="shared" si="270"/>
        <v>Germany</v>
      </c>
    </row>
    <row r="4200" spans="19:23">
      <c r="S4200" s="40" t="str">
        <v>Spain</v>
      </c>
      <c r="T4200" s="40" t="str">
        <f t="shared" si="268"/>
        <v>OK</v>
      </c>
      <c r="U4200" s="40" t="str">
        <f t="shared" si="269"/>
        <v>-</v>
      </c>
      <c r="V4200" s="40" t="str" cm="1">
        <f t="array" ref="V4200">_xlfn.IFS(
ISNUMBER(SEARCH("USA",S4200)),"United States",
ISNUMBER(SEARCH("Republic of Ireland",S4200)),"Ireland",
ISNUMBER(SEARCH("Republic of Korea",S4200)),"South Korea",
ISNUMBER(SEARCH("Cape Verde",S4200)),"Cabo Verde",
ISNUMBER(SEARCH("Czechia",S4200)),"Czech Republic",
ISNUMBER(SEARCH("Türkiye",S4200)),"Turkey",
ISNUMBER(SEARCH("Ivory Coast",S4200)),"Côte d'Ivoire",
ISNUMBER(SEARCH("Korea Republic",S4200)),"South Korea",
ISNUMBER(SEARCH("Germany FR",S4200)),"FR Germany",
ISNUMBER(SEARCH("West Germany",S4200)),"FR Germany",
ISNUMBER(SEARCH("Germany DR",S4200)),"DR Germany",
ISNUMBER(SEARCH("Korea DPR",S4200)),"North Korea",
ISNUMBER(SEARCH("China PR",S4200)),"China",
ISNUMBER(SEARCH("IR Iran",S4200)),"Iran",
ISNUMBER(SEARCH("Congo DR",S4200)),"Democratic Republic of the Congo",
ISNUMBER(SEARCH("DR Congo",S4200)),"Democratic Republic of the Congo",
ISNUMBER(SEARCH("German DR",S4200)),"DR Germany",
ISNUMBER(SEARCH("rn""&gt;United Arab Emirates",S4200)),"United Arab Emirates",
ISNUMBER(SEARCH("rn""&gt;Republic of Ireland",S4200)),"Ireland",
ISNUMBER(SEARCH("rn""&gt;Bosnia and Herzegovina",S4200)),"Bosnia and Herzegovina",
ISNUMBER(SEARCH("rn""&gt;Trinidad and Tobago",S4200)),"Trinidad and Tobago",
ISNUMBER(SEARCH("rn""&gt;Serbia and Montenegro",S4200)),"Serbia and Montenegro",
ISNUMBER(SEARCH(_xlfn.UNICHAR(65533),S4200)),"Côte d'Ivoire",
TRUE,""
)</f>
        <v/>
      </c>
      <c r="W4200" s="40" t="str">
        <f t="shared" si="270"/>
        <v>Spain</v>
      </c>
    </row>
    <row r="4201" spans="19:23">
      <c r="S4201" s="40" t="str">
        <v>Croatia</v>
      </c>
      <c r="T4201" s="40" t="str">
        <f t="shared" si="268"/>
        <v>OK</v>
      </c>
      <c r="U4201" s="40" t="str">
        <f t="shared" si="269"/>
        <v>-</v>
      </c>
      <c r="V4201" s="40" t="str" cm="1">
        <f t="array" ref="V4201">_xlfn.IFS(
ISNUMBER(SEARCH("USA",S4201)),"United States",
ISNUMBER(SEARCH("Republic of Ireland",S4201)),"Ireland",
ISNUMBER(SEARCH("Republic of Korea",S4201)),"South Korea",
ISNUMBER(SEARCH("Cape Verde",S4201)),"Cabo Verde",
ISNUMBER(SEARCH("Czechia",S4201)),"Czech Republic",
ISNUMBER(SEARCH("Türkiye",S4201)),"Turkey",
ISNUMBER(SEARCH("Ivory Coast",S4201)),"Côte d'Ivoire",
ISNUMBER(SEARCH("Korea Republic",S4201)),"South Korea",
ISNUMBER(SEARCH("Germany FR",S4201)),"FR Germany",
ISNUMBER(SEARCH("West Germany",S4201)),"FR Germany",
ISNUMBER(SEARCH("Germany DR",S4201)),"DR Germany",
ISNUMBER(SEARCH("Korea DPR",S4201)),"North Korea",
ISNUMBER(SEARCH("China PR",S4201)),"China",
ISNUMBER(SEARCH("IR Iran",S4201)),"Iran",
ISNUMBER(SEARCH("Congo DR",S4201)),"Democratic Republic of the Congo",
ISNUMBER(SEARCH("DR Congo",S4201)),"Democratic Republic of the Congo",
ISNUMBER(SEARCH("German DR",S4201)),"DR Germany",
ISNUMBER(SEARCH("rn""&gt;United Arab Emirates",S4201)),"United Arab Emirates",
ISNUMBER(SEARCH("rn""&gt;Republic of Ireland",S4201)),"Ireland",
ISNUMBER(SEARCH("rn""&gt;Bosnia and Herzegovina",S4201)),"Bosnia and Herzegovina",
ISNUMBER(SEARCH("rn""&gt;Trinidad and Tobago",S4201)),"Trinidad and Tobago",
ISNUMBER(SEARCH("rn""&gt;Serbia and Montenegro",S4201)),"Serbia and Montenegro",
ISNUMBER(SEARCH(_xlfn.UNICHAR(65533),S4201)),"Côte d'Ivoire",
TRUE,""
)</f>
        <v/>
      </c>
      <c r="W4201" s="40" t="str">
        <f t="shared" si="270"/>
        <v>Croatia</v>
      </c>
    </row>
    <row r="4202" spans="19:23">
      <c r="S4202" s="40" t="str">
        <v>Cameroon</v>
      </c>
      <c r="T4202" s="40" t="str">
        <f t="shared" si="268"/>
        <v>OK</v>
      </c>
      <c r="U4202" s="40" t="str">
        <f t="shared" si="269"/>
        <v>-</v>
      </c>
      <c r="V4202" s="40" t="str" cm="1">
        <f t="array" ref="V4202">_xlfn.IFS(
ISNUMBER(SEARCH("USA",S4202)),"United States",
ISNUMBER(SEARCH("Republic of Ireland",S4202)),"Ireland",
ISNUMBER(SEARCH("Republic of Korea",S4202)),"South Korea",
ISNUMBER(SEARCH("Cape Verde",S4202)),"Cabo Verde",
ISNUMBER(SEARCH("Czechia",S4202)),"Czech Republic",
ISNUMBER(SEARCH("Türkiye",S4202)),"Turkey",
ISNUMBER(SEARCH("Ivory Coast",S4202)),"Côte d'Ivoire",
ISNUMBER(SEARCH("Korea Republic",S4202)),"South Korea",
ISNUMBER(SEARCH("Germany FR",S4202)),"FR Germany",
ISNUMBER(SEARCH("West Germany",S4202)),"FR Germany",
ISNUMBER(SEARCH("Germany DR",S4202)),"DR Germany",
ISNUMBER(SEARCH("Korea DPR",S4202)),"North Korea",
ISNUMBER(SEARCH("China PR",S4202)),"China",
ISNUMBER(SEARCH("IR Iran",S4202)),"Iran",
ISNUMBER(SEARCH("Congo DR",S4202)),"Democratic Republic of the Congo",
ISNUMBER(SEARCH("DR Congo",S4202)),"Democratic Republic of the Congo",
ISNUMBER(SEARCH("German DR",S4202)),"DR Germany",
ISNUMBER(SEARCH("rn""&gt;United Arab Emirates",S4202)),"United Arab Emirates",
ISNUMBER(SEARCH("rn""&gt;Republic of Ireland",S4202)),"Ireland",
ISNUMBER(SEARCH("rn""&gt;Bosnia and Herzegovina",S4202)),"Bosnia and Herzegovina",
ISNUMBER(SEARCH("rn""&gt;Trinidad and Tobago",S4202)),"Trinidad and Tobago",
ISNUMBER(SEARCH("rn""&gt;Serbia and Montenegro",S4202)),"Serbia and Montenegro",
ISNUMBER(SEARCH(_xlfn.UNICHAR(65533),S4202)),"Côte d'Ivoire",
TRUE,""
)</f>
        <v/>
      </c>
      <c r="W4202" s="40" t="str">
        <f t="shared" si="270"/>
        <v>Cameroon</v>
      </c>
    </row>
    <row r="4203" spans="19:23">
      <c r="S4203" s="40" t="str">
        <v>Netherlands</v>
      </c>
      <c r="T4203" s="40" t="str">
        <f t="shared" si="268"/>
        <v>OK</v>
      </c>
      <c r="U4203" s="40" t="str">
        <f t="shared" si="269"/>
        <v>-</v>
      </c>
      <c r="V4203" s="40" t="str" cm="1">
        <f t="array" ref="V4203">_xlfn.IFS(
ISNUMBER(SEARCH("USA",S4203)),"United States",
ISNUMBER(SEARCH("Republic of Ireland",S4203)),"Ireland",
ISNUMBER(SEARCH("Republic of Korea",S4203)),"South Korea",
ISNUMBER(SEARCH("Cape Verde",S4203)),"Cabo Verde",
ISNUMBER(SEARCH("Czechia",S4203)),"Czech Republic",
ISNUMBER(SEARCH("Türkiye",S4203)),"Turkey",
ISNUMBER(SEARCH("Ivory Coast",S4203)),"Côte d'Ivoire",
ISNUMBER(SEARCH("Korea Republic",S4203)),"South Korea",
ISNUMBER(SEARCH("Germany FR",S4203)),"FR Germany",
ISNUMBER(SEARCH("West Germany",S4203)),"FR Germany",
ISNUMBER(SEARCH("Germany DR",S4203)),"DR Germany",
ISNUMBER(SEARCH("Korea DPR",S4203)),"North Korea",
ISNUMBER(SEARCH("China PR",S4203)),"China",
ISNUMBER(SEARCH("IR Iran",S4203)),"Iran",
ISNUMBER(SEARCH("Congo DR",S4203)),"Democratic Republic of the Congo",
ISNUMBER(SEARCH("DR Congo",S4203)),"Democratic Republic of the Congo",
ISNUMBER(SEARCH("German DR",S4203)),"DR Germany",
ISNUMBER(SEARCH("rn""&gt;United Arab Emirates",S4203)),"United Arab Emirates",
ISNUMBER(SEARCH("rn""&gt;Republic of Ireland",S4203)),"Ireland",
ISNUMBER(SEARCH("rn""&gt;Bosnia and Herzegovina",S4203)),"Bosnia and Herzegovina",
ISNUMBER(SEARCH("rn""&gt;Trinidad and Tobago",S4203)),"Trinidad and Tobago",
ISNUMBER(SEARCH("rn""&gt;Serbia and Montenegro",S4203)),"Serbia and Montenegro",
ISNUMBER(SEARCH(_xlfn.UNICHAR(65533),S4203)),"Côte d'Ivoire",
TRUE,""
)</f>
        <v/>
      </c>
      <c r="W4203" s="40" t="str">
        <f t="shared" si="270"/>
        <v>Netherlands</v>
      </c>
    </row>
    <row r="4204" spans="19:23">
      <c r="S4204" s="40" t="str">
        <v>Australia</v>
      </c>
      <c r="T4204" s="40" t="str">
        <f t="shared" si="268"/>
        <v>OK</v>
      </c>
      <c r="U4204" s="40" t="str">
        <f t="shared" si="269"/>
        <v>-</v>
      </c>
      <c r="V4204" s="40" t="str" cm="1">
        <f t="array" ref="V4204">_xlfn.IFS(
ISNUMBER(SEARCH("USA",S4204)),"United States",
ISNUMBER(SEARCH("Republic of Ireland",S4204)),"Ireland",
ISNUMBER(SEARCH("Republic of Korea",S4204)),"South Korea",
ISNUMBER(SEARCH("Cape Verde",S4204)),"Cabo Verde",
ISNUMBER(SEARCH("Czechia",S4204)),"Czech Republic",
ISNUMBER(SEARCH("Türkiye",S4204)),"Turkey",
ISNUMBER(SEARCH("Ivory Coast",S4204)),"Côte d'Ivoire",
ISNUMBER(SEARCH("Korea Republic",S4204)),"South Korea",
ISNUMBER(SEARCH("Germany FR",S4204)),"FR Germany",
ISNUMBER(SEARCH("West Germany",S4204)),"FR Germany",
ISNUMBER(SEARCH("Germany DR",S4204)),"DR Germany",
ISNUMBER(SEARCH("Korea DPR",S4204)),"North Korea",
ISNUMBER(SEARCH("China PR",S4204)),"China",
ISNUMBER(SEARCH("IR Iran",S4204)),"Iran",
ISNUMBER(SEARCH("Congo DR",S4204)),"Democratic Republic of the Congo",
ISNUMBER(SEARCH("DR Congo",S4204)),"Democratic Republic of the Congo",
ISNUMBER(SEARCH("German DR",S4204)),"DR Germany",
ISNUMBER(SEARCH("rn""&gt;United Arab Emirates",S4204)),"United Arab Emirates",
ISNUMBER(SEARCH("rn""&gt;Republic of Ireland",S4204)),"Ireland",
ISNUMBER(SEARCH("rn""&gt;Bosnia and Herzegovina",S4204)),"Bosnia and Herzegovina",
ISNUMBER(SEARCH("rn""&gt;Trinidad and Tobago",S4204)),"Trinidad and Tobago",
ISNUMBER(SEARCH("rn""&gt;Serbia and Montenegro",S4204)),"Serbia and Montenegro",
ISNUMBER(SEARCH(_xlfn.UNICHAR(65533),S4204)),"Côte d'Ivoire",
TRUE,""
)</f>
        <v/>
      </c>
      <c r="W4204" s="40" t="str">
        <f t="shared" si="270"/>
        <v>Australia</v>
      </c>
    </row>
    <row r="4205" spans="19:23">
      <c r="S4205" s="40" t="str">
        <v>Greece</v>
      </c>
      <c r="T4205" s="40" t="str">
        <f t="shared" si="268"/>
        <v>OK</v>
      </c>
      <c r="U4205" s="40" t="str">
        <f t="shared" si="269"/>
        <v>-</v>
      </c>
      <c r="V4205" s="40" t="str" cm="1">
        <f t="array" ref="V4205">_xlfn.IFS(
ISNUMBER(SEARCH("USA",S4205)),"United States",
ISNUMBER(SEARCH("Republic of Ireland",S4205)),"Ireland",
ISNUMBER(SEARCH("Republic of Korea",S4205)),"South Korea",
ISNUMBER(SEARCH("Cape Verde",S4205)),"Cabo Verde",
ISNUMBER(SEARCH("Czechia",S4205)),"Czech Republic",
ISNUMBER(SEARCH("Türkiye",S4205)),"Turkey",
ISNUMBER(SEARCH("Ivory Coast",S4205)),"Côte d'Ivoire",
ISNUMBER(SEARCH("Korea Republic",S4205)),"South Korea",
ISNUMBER(SEARCH("Germany FR",S4205)),"FR Germany",
ISNUMBER(SEARCH("West Germany",S4205)),"FR Germany",
ISNUMBER(SEARCH("Germany DR",S4205)),"DR Germany",
ISNUMBER(SEARCH("Korea DPR",S4205)),"North Korea",
ISNUMBER(SEARCH("China PR",S4205)),"China",
ISNUMBER(SEARCH("IR Iran",S4205)),"Iran",
ISNUMBER(SEARCH("Congo DR",S4205)),"Democratic Republic of the Congo",
ISNUMBER(SEARCH("DR Congo",S4205)),"Democratic Republic of the Congo",
ISNUMBER(SEARCH("German DR",S4205)),"DR Germany",
ISNUMBER(SEARCH("rn""&gt;United Arab Emirates",S4205)),"United Arab Emirates",
ISNUMBER(SEARCH("rn""&gt;Republic of Ireland",S4205)),"Ireland",
ISNUMBER(SEARCH("rn""&gt;Bosnia and Herzegovina",S4205)),"Bosnia and Herzegovina",
ISNUMBER(SEARCH("rn""&gt;Trinidad and Tobago",S4205)),"Trinidad and Tobago",
ISNUMBER(SEARCH("rn""&gt;Serbia and Montenegro",S4205)),"Serbia and Montenegro",
ISNUMBER(SEARCH(_xlfn.UNICHAR(65533),S4205)),"Côte d'Ivoire",
TRUE,""
)</f>
        <v/>
      </c>
      <c r="W4205" s="40" t="str">
        <f t="shared" si="270"/>
        <v>Greece</v>
      </c>
    </row>
    <row r="4206" spans="19:23">
      <c r="S4206" s="40" t="str">
        <v>Costa Rica</v>
      </c>
      <c r="T4206" s="40" t="str">
        <f t="shared" si="268"/>
        <v>OK</v>
      </c>
      <c r="U4206" s="40" t="str">
        <f t="shared" si="269"/>
        <v>-</v>
      </c>
      <c r="V4206" s="40" t="str" cm="1">
        <f t="array" ref="V4206">_xlfn.IFS(
ISNUMBER(SEARCH("USA",S4206)),"United States",
ISNUMBER(SEARCH("Republic of Ireland",S4206)),"Ireland",
ISNUMBER(SEARCH("Republic of Korea",S4206)),"South Korea",
ISNUMBER(SEARCH("Cape Verde",S4206)),"Cabo Verde",
ISNUMBER(SEARCH("Czechia",S4206)),"Czech Republic",
ISNUMBER(SEARCH("Türkiye",S4206)),"Turkey",
ISNUMBER(SEARCH("Ivory Coast",S4206)),"Côte d'Ivoire",
ISNUMBER(SEARCH("Korea Republic",S4206)),"South Korea",
ISNUMBER(SEARCH("Germany FR",S4206)),"FR Germany",
ISNUMBER(SEARCH("West Germany",S4206)),"FR Germany",
ISNUMBER(SEARCH("Germany DR",S4206)),"DR Germany",
ISNUMBER(SEARCH("Korea DPR",S4206)),"North Korea",
ISNUMBER(SEARCH("China PR",S4206)),"China",
ISNUMBER(SEARCH("IR Iran",S4206)),"Iran",
ISNUMBER(SEARCH("Congo DR",S4206)),"Democratic Republic of the Congo",
ISNUMBER(SEARCH("DR Congo",S4206)),"Democratic Republic of the Congo",
ISNUMBER(SEARCH("German DR",S4206)),"DR Germany",
ISNUMBER(SEARCH("rn""&gt;United Arab Emirates",S4206)),"United Arab Emirates",
ISNUMBER(SEARCH("rn""&gt;Republic of Ireland",S4206)),"Ireland",
ISNUMBER(SEARCH("rn""&gt;Bosnia and Herzegovina",S4206)),"Bosnia and Herzegovina",
ISNUMBER(SEARCH("rn""&gt;Trinidad and Tobago",S4206)),"Trinidad and Tobago",
ISNUMBER(SEARCH("rn""&gt;Serbia and Montenegro",S4206)),"Serbia and Montenegro",
ISNUMBER(SEARCH(_xlfn.UNICHAR(65533),S4206)),"Côte d'Ivoire",
TRUE,""
)</f>
        <v/>
      </c>
      <c r="W4206" s="40" t="str">
        <f t="shared" si="270"/>
        <v>Costa Rica</v>
      </c>
    </row>
    <row r="4207" spans="19:23">
      <c r="S4207" s="40" t="str">
        <v>Italy</v>
      </c>
      <c r="T4207" s="40" t="str">
        <f t="shared" si="268"/>
        <v>OK</v>
      </c>
      <c r="U4207" s="40" t="str">
        <f t="shared" si="269"/>
        <v>-</v>
      </c>
      <c r="V4207" s="40" t="str" cm="1">
        <f t="array" ref="V4207">_xlfn.IFS(
ISNUMBER(SEARCH("USA",S4207)),"United States",
ISNUMBER(SEARCH("Republic of Ireland",S4207)),"Ireland",
ISNUMBER(SEARCH("Republic of Korea",S4207)),"South Korea",
ISNUMBER(SEARCH("Cape Verde",S4207)),"Cabo Verde",
ISNUMBER(SEARCH("Czechia",S4207)),"Czech Republic",
ISNUMBER(SEARCH("Türkiye",S4207)),"Turkey",
ISNUMBER(SEARCH("Ivory Coast",S4207)),"Côte d'Ivoire",
ISNUMBER(SEARCH("Korea Republic",S4207)),"South Korea",
ISNUMBER(SEARCH("Germany FR",S4207)),"FR Germany",
ISNUMBER(SEARCH("West Germany",S4207)),"FR Germany",
ISNUMBER(SEARCH("Germany DR",S4207)),"DR Germany",
ISNUMBER(SEARCH("Korea DPR",S4207)),"North Korea",
ISNUMBER(SEARCH("China PR",S4207)),"China",
ISNUMBER(SEARCH("IR Iran",S4207)),"Iran",
ISNUMBER(SEARCH("Congo DR",S4207)),"Democratic Republic of the Congo",
ISNUMBER(SEARCH("DR Congo",S4207)),"Democratic Republic of the Congo",
ISNUMBER(SEARCH("German DR",S4207)),"DR Germany",
ISNUMBER(SEARCH("rn""&gt;United Arab Emirates",S4207)),"United Arab Emirates",
ISNUMBER(SEARCH("rn""&gt;Republic of Ireland",S4207)),"Ireland",
ISNUMBER(SEARCH("rn""&gt;Bosnia and Herzegovina",S4207)),"Bosnia and Herzegovina",
ISNUMBER(SEARCH("rn""&gt;Trinidad and Tobago",S4207)),"Trinidad and Tobago",
ISNUMBER(SEARCH("rn""&gt;Serbia and Montenegro",S4207)),"Serbia and Montenegro",
ISNUMBER(SEARCH(_xlfn.UNICHAR(65533),S4207)),"Côte d'Ivoire",
TRUE,""
)</f>
        <v/>
      </c>
      <c r="W4207" s="40" t="str">
        <f t="shared" si="270"/>
        <v>Italy</v>
      </c>
    </row>
    <row r="4208" spans="19:23">
      <c r="S4208" s="40" t="str">
        <v>Japan</v>
      </c>
      <c r="T4208" s="40" t="str">
        <f t="shared" si="268"/>
        <v>OK</v>
      </c>
      <c r="U4208" s="40" t="str">
        <f t="shared" si="269"/>
        <v>-</v>
      </c>
      <c r="V4208" s="40" t="str" cm="1">
        <f t="array" ref="V4208">_xlfn.IFS(
ISNUMBER(SEARCH("USA",S4208)),"United States",
ISNUMBER(SEARCH("Republic of Ireland",S4208)),"Ireland",
ISNUMBER(SEARCH("Republic of Korea",S4208)),"South Korea",
ISNUMBER(SEARCH("Cape Verde",S4208)),"Cabo Verde",
ISNUMBER(SEARCH("Czechia",S4208)),"Czech Republic",
ISNUMBER(SEARCH("Türkiye",S4208)),"Turkey",
ISNUMBER(SEARCH("Ivory Coast",S4208)),"Côte d'Ivoire",
ISNUMBER(SEARCH("Korea Republic",S4208)),"South Korea",
ISNUMBER(SEARCH("Germany FR",S4208)),"FR Germany",
ISNUMBER(SEARCH("West Germany",S4208)),"FR Germany",
ISNUMBER(SEARCH("Germany DR",S4208)),"DR Germany",
ISNUMBER(SEARCH("Korea DPR",S4208)),"North Korea",
ISNUMBER(SEARCH("China PR",S4208)),"China",
ISNUMBER(SEARCH("IR Iran",S4208)),"Iran",
ISNUMBER(SEARCH("Congo DR",S4208)),"Democratic Republic of the Congo",
ISNUMBER(SEARCH("DR Congo",S4208)),"Democratic Republic of the Congo",
ISNUMBER(SEARCH("German DR",S4208)),"DR Germany",
ISNUMBER(SEARCH("rn""&gt;United Arab Emirates",S4208)),"United Arab Emirates",
ISNUMBER(SEARCH("rn""&gt;Republic of Ireland",S4208)),"Ireland",
ISNUMBER(SEARCH("rn""&gt;Bosnia and Herzegovina",S4208)),"Bosnia and Herzegovina",
ISNUMBER(SEARCH("rn""&gt;Trinidad and Tobago",S4208)),"Trinidad and Tobago",
ISNUMBER(SEARCH("rn""&gt;Serbia and Montenegro",S4208)),"Serbia and Montenegro",
ISNUMBER(SEARCH(_xlfn.UNICHAR(65533),S4208)),"Côte d'Ivoire",
TRUE,""
)</f>
        <v/>
      </c>
      <c r="W4208" s="40" t="str">
        <f t="shared" si="270"/>
        <v>Japan</v>
      </c>
    </row>
    <row r="4209" spans="19:23">
      <c r="S4209" s="40" t="str">
        <v>Ecuador</v>
      </c>
      <c r="T4209" s="40" t="str">
        <f t="shared" si="268"/>
        <v>OK</v>
      </c>
      <c r="U4209" s="40" t="str">
        <f t="shared" si="269"/>
        <v>-</v>
      </c>
      <c r="V4209" s="40" t="str" cm="1">
        <f t="array" ref="V4209">_xlfn.IFS(
ISNUMBER(SEARCH("USA",S4209)),"United States",
ISNUMBER(SEARCH("Republic of Ireland",S4209)),"Ireland",
ISNUMBER(SEARCH("Republic of Korea",S4209)),"South Korea",
ISNUMBER(SEARCH("Cape Verde",S4209)),"Cabo Verde",
ISNUMBER(SEARCH("Czechia",S4209)),"Czech Republic",
ISNUMBER(SEARCH("Türkiye",S4209)),"Turkey",
ISNUMBER(SEARCH("Ivory Coast",S4209)),"Côte d'Ivoire",
ISNUMBER(SEARCH("Korea Republic",S4209)),"South Korea",
ISNUMBER(SEARCH("Germany FR",S4209)),"FR Germany",
ISNUMBER(SEARCH("West Germany",S4209)),"FR Germany",
ISNUMBER(SEARCH("Germany DR",S4209)),"DR Germany",
ISNUMBER(SEARCH("Korea DPR",S4209)),"North Korea",
ISNUMBER(SEARCH("China PR",S4209)),"China",
ISNUMBER(SEARCH("IR Iran",S4209)),"Iran",
ISNUMBER(SEARCH("Congo DR",S4209)),"Democratic Republic of the Congo",
ISNUMBER(SEARCH("DR Congo",S4209)),"Democratic Republic of the Congo",
ISNUMBER(SEARCH("German DR",S4209)),"DR Germany",
ISNUMBER(SEARCH("rn""&gt;United Arab Emirates",S4209)),"United Arab Emirates",
ISNUMBER(SEARCH("rn""&gt;Republic of Ireland",S4209)),"Ireland",
ISNUMBER(SEARCH("rn""&gt;Bosnia and Herzegovina",S4209)),"Bosnia and Herzegovina",
ISNUMBER(SEARCH("rn""&gt;Trinidad and Tobago",S4209)),"Trinidad and Tobago",
ISNUMBER(SEARCH("rn""&gt;Serbia and Montenegro",S4209)),"Serbia and Montenegro",
ISNUMBER(SEARCH(_xlfn.UNICHAR(65533),S4209)),"Côte d'Ivoire",
TRUE,""
)</f>
        <v/>
      </c>
      <c r="W4209" s="40" t="str">
        <f t="shared" si="270"/>
        <v>Ecuador</v>
      </c>
    </row>
    <row r="4210" spans="19:23">
      <c r="S4210" s="40" t="str">
        <v>Honduras</v>
      </c>
      <c r="T4210" s="40" t="str">
        <f t="shared" si="268"/>
        <v>OK</v>
      </c>
      <c r="U4210" s="40" t="str">
        <f t="shared" si="269"/>
        <v>-</v>
      </c>
      <c r="V4210" s="40" t="str" cm="1">
        <f t="array" ref="V4210">_xlfn.IFS(
ISNUMBER(SEARCH("USA",S4210)),"United States",
ISNUMBER(SEARCH("Republic of Ireland",S4210)),"Ireland",
ISNUMBER(SEARCH("Republic of Korea",S4210)),"South Korea",
ISNUMBER(SEARCH("Cape Verde",S4210)),"Cabo Verde",
ISNUMBER(SEARCH("Czechia",S4210)),"Czech Republic",
ISNUMBER(SEARCH("Türkiye",S4210)),"Turkey",
ISNUMBER(SEARCH("Ivory Coast",S4210)),"Côte d'Ivoire",
ISNUMBER(SEARCH("Korea Republic",S4210)),"South Korea",
ISNUMBER(SEARCH("Germany FR",S4210)),"FR Germany",
ISNUMBER(SEARCH("West Germany",S4210)),"FR Germany",
ISNUMBER(SEARCH("Germany DR",S4210)),"DR Germany",
ISNUMBER(SEARCH("Korea DPR",S4210)),"North Korea",
ISNUMBER(SEARCH("China PR",S4210)),"China",
ISNUMBER(SEARCH("IR Iran",S4210)),"Iran",
ISNUMBER(SEARCH("Congo DR",S4210)),"Democratic Republic of the Congo",
ISNUMBER(SEARCH("DR Congo",S4210)),"Democratic Republic of the Congo",
ISNUMBER(SEARCH("German DR",S4210)),"DR Germany",
ISNUMBER(SEARCH("rn""&gt;United Arab Emirates",S4210)),"United Arab Emirates",
ISNUMBER(SEARCH("rn""&gt;Republic of Ireland",S4210)),"Ireland",
ISNUMBER(SEARCH("rn""&gt;Bosnia and Herzegovina",S4210)),"Bosnia and Herzegovina",
ISNUMBER(SEARCH("rn""&gt;Trinidad and Tobago",S4210)),"Trinidad and Tobago",
ISNUMBER(SEARCH("rn""&gt;Serbia and Montenegro",S4210)),"Serbia and Montenegro",
ISNUMBER(SEARCH(_xlfn.UNICHAR(65533),S4210)),"Côte d'Ivoire",
TRUE,""
)</f>
        <v/>
      </c>
      <c r="W4210" s="40" t="str">
        <f t="shared" si="270"/>
        <v>Honduras</v>
      </c>
    </row>
    <row r="4211" spans="19:23">
      <c r="S4211" s="40" t="str">
        <v>rn"&gt;Bosnia and Herzegovina</v>
      </c>
      <c r="T4211" s="40" t="str">
        <f t="shared" si="268"/>
        <v>ERREUR</v>
      </c>
      <c r="U4211" s="40" t="str">
        <f t="shared" si="269"/>
        <v>RENOMMER</v>
      </c>
      <c r="V4211" s="40" t="str" cm="1">
        <f t="array" ref="V4211">_xlfn.IFS(
ISNUMBER(SEARCH("USA",S4211)),"United States",
ISNUMBER(SEARCH("Republic of Ireland",S4211)),"Ireland",
ISNUMBER(SEARCH("Republic of Korea",S4211)),"South Korea",
ISNUMBER(SEARCH("Cape Verde",S4211)),"Cabo Verde",
ISNUMBER(SEARCH("Czechia",S4211)),"Czech Republic",
ISNUMBER(SEARCH("Türkiye",S4211)),"Turkey",
ISNUMBER(SEARCH("Ivory Coast",S4211)),"Côte d'Ivoire",
ISNUMBER(SEARCH("Korea Republic",S4211)),"South Korea",
ISNUMBER(SEARCH("Germany FR",S4211)),"FR Germany",
ISNUMBER(SEARCH("West Germany",S4211)),"FR Germany",
ISNUMBER(SEARCH("Germany DR",S4211)),"DR Germany",
ISNUMBER(SEARCH("Korea DPR",S4211)),"North Korea",
ISNUMBER(SEARCH("China PR",S4211)),"China",
ISNUMBER(SEARCH("IR Iran",S4211)),"Iran",
ISNUMBER(SEARCH("Congo DR",S4211)),"Democratic Republic of the Congo",
ISNUMBER(SEARCH("DR Congo",S4211)),"Democratic Republic of the Congo",
ISNUMBER(SEARCH("German DR",S4211)),"DR Germany",
ISNUMBER(SEARCH("rn""&gt;United Arab Emirates",S4211)),"United Arab Emirates",
ISNUMBER(SEARCH("rn""&gt;Republic of Ireland",S4211)),"Ireland",
ISNUMBER(SEARCH("rn""&gt;Bosnia and Herzegovina",S4211)),"Bosnia and Herzegovina",
ISNUMBER(SEARCH("rn""&gt;Trinidad and Tobago",S4211)),"Trinidad and Tobago",
ISNUMBER(SEARCH("rn""&gt;Serbia and Montenegro",S4211)),"Serbia and Montenegro",
ISNUMBER(SEARCH(_xlfn.UNICHAR(65533),S4211)),"Côte d'Ivoire",
TRUE,""
)</f>
        <v>Bosnia and Herzegovina</v>
      </c>
      <c r="W4211" s="40" t="str">
        <f t="shared" si="270"/>
        <v>Bosnia and Herzegovina</v>
      </c>
    </row>
    <row r="4212" spans="19:23">
      <c r="S4212" s="40" t="str">
        <v>Portugal</v>
      </c>
      <c r="T4212" s="40" t="str">
        <f t="shared" si="268"/>
        <v>OK</v>
      </c>
      <c r="U4212" s="40" t="str">
        <f t="shared" si="269"/>
        <v>-</v>
      </c>
      <c r="V4212" s="40" t="str" cm="1">
        <f t="array" ref="V4212">_xlfn.IFS(
ISNUMBER(SEARCH("USA",S4212)),"United States",
ISNUMBER(SEARCH("Republic of Ireland",S4212)),"Ireland",
ISNUMBER(SEARCH("Republic of Korea",S4212)),"South Korea",
ISNUMBER(SEARCH("Cape Verde",S4212)),"Cabo Verde",
ISNUMBER(SEARCH("Czechia",S4212)),"Czech Republic",
ISNUMBER(SEARCH("Türkiye",S4212)),"Turkey",
ISNUMBER(SEARCH("Ivory Coast",S4212)),"Côte d'Ivoire",
ISNUMBER(SEARCH("Korea Republic",S4212)),"South Korea",
ISNUMBER(SEARCH("Germany FR",S4212)),"FR Germany",
ISNUMBER(SEARCH("West Germany",S4212)),"FR Germany",
ISNUMBER(SEARCH("Germany DR",S4212)),"DR Germany",
ISNUMBER(SEARCH("Korea DPR",S4212)),"North Korea",
ISNUMBER(SEARCH("China PR",S4212)),"China",
ISNUMBER(SEARCH("IR Iran",S4212)),"Iran",
ISNUMBER(SEARCH("Congo DR",S4212)),"Democratic Republic of the Congo",
ISNUMBER(SEARCH("DR Congo",S4212)),"Democratic Republic of the Congo",
ISNUMBER(SEARCH("German DR",S4212)),"DR Germany",
ISNUMBER(SEARCH("rn""&gt;United Arab Emirates",S4212)),"United Arab Emirates",
ISNUMBER(SEARCH("rn""&gt;Republic of Ireland",S4212)),"Ireland",
ISNUMBER(SEARCH("rn""&gt;Bosnia and Herzegovina",S4212)),"Bosnia and Herzegovina",
ISNUMBER(SEARCH("rn""&gt;Trinidad and Tobago",S4212)),"Trinidad and Tobago",
ISNUMBER(SEARCH("rn""&gt;Serbia and Montenegro",S4212)),"Serbia and Montenegro",
ISNUMBER(SEARCH(_xlfn.UNICHAR(65533),S4212)),"Côte d'Ivoire",
TRUE,""
)</f>
        <v/>
      </c>
      <c r="W4212" s="40" t="str">
        <f t="shared" si="270"/>
        <v>Portugal</v>
      </c>
    </row>
    <row r="4213" spans="19:23">
      <c r="S4213" s="40" t="str">
        <v>Nigeria</v>
      </c>
      <c r="T4213" s="40" t="str">
        <f t="shared" si="268"/>
        <v>OK</v>
      </c>
      <c r="U4213" s="40" t="str">
        <f t="shared" si="269"/>
        <v>-</v>
      </c>
      <c r="V4213" s="40" t="str" cm="1">
        <f t="array" ref="V4213">_xlfn.IFS(
ISNUMBER(SEARCH("USA",S4213)),"United States",
ISNUMBER(SEARCH("Republic of Ireland",S4213)),"Ireland",
ISNUMBER(SEARCH("Republic of Korea",S4213)),"South Korea",
ISNUMBER(SEARCH("Cape Verde",S4213)),"Cabo Verde",
ISNUMBER(SEARCH("Czechia",S4213)),"Czech Republic",
ISNUMBER(SEARCH("Türkiye",S4213)),"Turkey",
ISNUMBER(SEARCH("Ivory Coast",S4213)),"Côte d'Ivoire",
ISNUMBER(SEARCH("Korea Republic",S4213)),"South Korea",
ISNUMBER(SEARCH("Germany FR",S4213)),"FR Germany",
ISNUMBER(SEARCH("West Germany",S4213)),"FR Germany",
ISNUMBER(SEARCH("Germany DR",S4213)),"DR Germany",
ISNUMBER(SEARCH("Korea DPR",S4213)),"North Korea",
ISNUMBER(SEARCH("China PR",S4213)),"China",
ISNUMBER(SEARCH("IR Iran",S4213)),"Iran",
ISNUMBER(SEARCH("Congo DR",S4213)),"Democratic Republic of the Congo",
ISNUMBER(SEARCH("DR Congo",S4213)),"Democratic Republic of the Congo",
ISNUMBER(SEARCH("German DR",S4213)),"DR Germany",
ISNUMBER(SEARCH("rn""&gt;United Arab Emirates",S4213)),"United Arab Emirates",
ISNUMBER(SEARCH("rn""&gt;Republic of Ireland",S4213)),"Ireland",
ISNUMBER(SEARCH("rn""&gt;Bosnia and Herzegovina",S4213)),"Bosnia and Herzegovina",
ISNUMBER(SEARCH("rn""&gt;Trinidad and Tobago",S4213)),"Trinidad and Tobago",
ISNUMBER(SEARCH("rn""&gt;Serbia and Montenegro",S4213)),"Serbia and Montenegro",
ISNUMBER(SEARCH(_xlfn.UNICHAR(65533),S4213)),"Côte d'Ivoire",
TRUE,""
)</f>
        <v/>
      </c>
      <c r="W4213" s="40" t="str">
        <f t="shared" si="270"/>
        <v>Nigeria</v>
      </c>
    </row>
    <row r="4214" spans="19:23">
      <c r="S4214" s="40" t="str">
        <v>USA</v>
      </c>
      <c r="T4214" s="40" t="str">
        <f t="shared" si="268"/>
        <v>ERREUR</v>
      </c>
      <c r="U4214" s="40" t="str">
        <f t="shared" si="269"/>
        <v>RENOMMER</v>
      </c>
      <c r="V4214" s="40" t="str" cm="1">
        <f t="array" ref="V4214">_xlfn.IFS(
ISNUMBER(SEARCH("USA",S4214)),"United States",
ISNUMBER(SEARCH("Republic of Ireland",S4214)),"Ireland",
ISNUMBER(SEARCH("Republic of Korea",S4214)),"South Korea",
ISNUMBER(SEARCH("Cape Verde",S4214)),"Cabo Verde",
ISNUMBER(SEARCH("Czechia",S4214)),"Czech Republic",
ISNUMBER(SEARCH("Türkiye",S4214)),"Turkey",
ISNUMBER(SEARCH("Ivory Coast",S4214)),"Côte d'Ivoire",
ISNUMBER(SEARCH("Korea Republic",S4214)),"South Korea",
ISNUMBER(SEARCH("Germany FR",S4214)),"FR Germany",
ISNUMBER(SEARCH("West Germany",S4214)),"FR Germany",
ISNUMBER(SEARCH("Germany DR",S4214)),"DR Germany",
ISNUMBER(SEARCH("Korea DPR",S4214)),"North Korea",
ISNUMBER(SEARCH("China PR",S4214)),"China",
ISNUMBER(SEARCH("IR Iran",S4214)),"Iran",
ISNUMBER(SEARCH("Congo DR",S4214)),"Democratic Republic of the Congo",
ISNUMBER(SEARCH("DR Congo",S4214)),"Democratic Republic of the Congo",
ISNUMBER(SEARCH("German DR",S4214)),"DR Germany",
ISNUMBER(SEARCH("rn""&gt;United Arab Emirates",S4214)),"United Arab Emirates",
ISNUMBER(SEARCH("rn""&gt;Republic of Ireland",S4214)),"Ireland",
ISNUMBER(SEARCH("rn""&gt;Bosnia and Herzegovina",S4214)),"Bosnia and Herzegovina",
ISNUMBER(SEARCH("rn""&gt;Trinidad and Tobago",S4214)),"Trinidad and Tobago",
ISNUMBER(SEARCH("rn""&gt;Serbia and Montenegro",S4214)),"Serbia and Montenegro",
ISNUMBER(SEARCH(_xlfn.UNICHAR(65533),S4214)),"Côte d'Ivoire",
TRUE,""
)</f>
        <v>United States</v>
      </c>
      <c r="W4214" s="40" t="str">
        <f t="shared" si="270"/>
        <v>United States</v>
      </c>
    </row>
    <row r="4215" spans="19:23">
      <c r="S4215" s="40" t="str">
        <v>Algeria</v>
      </c>
      <c r="T4215" s="40" t="str">
        <f t="shared" si="268"/>
        <v>OK</v>
      </c>
      <c r="U4215" s="40" t="str">
        <f t="shared" si="269"/>
        <v>-</v>
      </c>
      <c r="V4215" s="40" t="str" cm="1">
        <f t="array" ref="V4215">_xlfn.IFS(
ISNUMBER(SEARCH("USA",S4215)),"United States",
ISNUMBER(SEARCH("Republic of Ireland",S4215)),"Ireland",
ISNUMBER(SEARCH("Republic of Korea",S4215)),"South Korea",
ISNUMBER(SEARCH("Cape Verde",S4215)),"Cabo Verde",
ISNUMBER(SEARCH("Czechia",S4215)),"Czech Republic",
ISNUMBER(SEARCH("Türkiye",S4215)),"Turkey",
ISNUMBER(SEARCH("Ivory Coast",S4215)),"Côte d'Ivoire",
ISNUMBER(SEARCH("Korea Republic",S4215)),"South Korea",
ISNUMBER(SEARCH("Germany FR",S4215)),"FR Germany",
ISNUMBER(SEARCH("West Germany",S4215)),"FR Germany",
ISNUMBER(SEARCH("Germany DR",S4215)),"DR Germany",
ISNUMBER(SEARCH("Korea DPR",S4215)),"North Korea",
ISNUMBER(SEARCH("China PR",S4215)),"China",
ISNUMBER(SEARCH("IR Iran",S4215)),"Iran",
ISNUMBER(SEARCH("Congo DR",S4215)),"Democratic Republic of the Congo",
ISNUMBER(SEARCH("DR Congo",S4215)),"Democratic Republic of the Congo",
ISNUMBER(SEARCH("German DR",S4215)),"DR Germany",
ISNUMBER(SEARCH("rn""&gt;United Arab Emirates",S4215)),"United Arab Emirates",
ISNUMBER(SEARCH("rn""&gt;Republic of Ireland",S4215)),"Ireland",
ISNUMBER(SEARCH("rn""&gt;Bosnia and Herzegovina",S4215)),"Bosnia and Herzegovina",
ISNUMBER(SEARCH("rn""&gt;Trinidad and Tobago",S4215)),"Trinidad and Tobago",
ISNUMBER(SEARCH("rn""&gt;Serbia and Montenegro",S4215)),"Serbia and Montenegro",
ISNUMBER(SEARCH(_xlfn.UNICHAR(65533),S4215)),"Côte d'Ivoire",
TRUE,""
)</f>
        <v/>
      </c>
      <c r="W4215" s="40" t="str">
        <f t="shared" si="270"/>
        <v>Algeria</v>
      </c>
    </row>
    <row r="4216" spans="19:23">
      <c r="S4216" s="40" t="str">
        <v>Mexico</v>
      </c>
      <c r="T4216" s="40" t="str">
        <f t="shared" si="268"/>
        <v>OK</v>
      </c>
      <c r="U4216" s="40" t="str">
        <f t="shared" si="269"/>
        <v>-</v>
      </c>
      <c r="V4216" s="40" t="str" cm="1">
        <f t="array" ref="V4216">_xlfn.IFS(
ISNUMBER(SEARCH("USA",S4216)),"United States",
ISNUMBER(SEARCH("Republic of Ireland",S4216)),"Ireland",
ISNUMBER(SEARCH("Republic of Korea",S4216)),"South Korea",
ISNUMBER(SEARCH("Cape Verde",S4216)),"Cabo Verde",
ISNUMBER(SEARCH("Czechia",S4216)),"Czech Republic",
ISNUMBER(SEARCH("Türkiye",S4216)),"Turkey",
ISNUMBER(SEARCH("Ivory Coast",S4216)),"Côte d'Ivoire",
ISNUMBER(SEARCH("Korea Republic",S4216)),"South Korea",
ISNUMBER(SEARCH("Germany FR",S4216)),"FR Germany",
ISNUMBER(SEARCH("West Germany",S4216)),"FR Germany",
ISNUMBER(SEARCH("Germany DR",S4216)),"DR Germany",
ISNUMBER(SEARCH("Korea DPR",S4216)),"North Korea",
ISNUMBER(SEARCH("China PR",S4216)),"China",
ISNUMBER(SEARCH("IR Iran",S4216)),"Iran",
ISNUMBER(SEARCH("Congo DR",S4216)),"Democratic Republic of the Congo",
ISNUMBER(SEARCH("DR Congo",S4216)),"Democratic Republic of the Congo",
ISNUMBER(SEARCH("German DR",S4216)),"DR Germany",
ISNUMBER(SEARCH("rn""&gt;United Arab Emirates",S4216)),"United Arab Emirates",
ISNUMBER(SEARCH("rn""&gt;Republic of Ireland",S4216)),"Ireland",
ISNUMBER(SEARCH("rn""&gt;Bosnia and Herzegovina",S4216)),"Bosnia and Herzegovina",
ISNUMBER(SEARCH("rn""&gt;Trinidad and Tobago",S4216)),"Trinidad and Tobago",
ISNUMBER(SEARCH("rn""&gt;Serbia and Montenegro",S4216)),"Serbia and Montenegro",
ISNUMBER(SEARCH(_xlfn.UNICHAR(65533),S4216)),"Côte d'Ivoire",
TRUE,""
)</f>
        <v/>
      </c>
      <c r="W4216" s="40" t="str">
        <f t="shared" si="270"/>
        <v>Mexico</v>
      </c>
    </row>
    <row r="4217" spans="19:23">
      <c r="S4217" s="40" t="str">
        <v>Korea Republic</v>
      </c>
      <c r="T4217" s="40" t="str">
        <f t="shared" si="268"/>
        <v>ERREUR</v>
      </c>
      <c r="U4217" s="40" t="str">
        <f t="shared" si="269"/>
        <v>RENOMMER</v>
      </c>
      <c r="V4217" s="40" t="str" cm="1">
        <f t="array" ref="V4217">_xlfn.IFS(
ISNUMBER(SEARCH("USA",S4217)),"United States",
ISNUMBER(SEARCH("Republic of Ireland",S4217)),"Ireland",
ISNUMBER(SEARCH("Republic of Korea",S4217)),"South Korea",
ISNUMBER(SEARCH("Cape Verde",S4217)),"Cabo Verde",
ISNUMBER(SEARCH("Czechia",S4217)),"Czech Republic",
ISNUMBER(SEARCH("Türkiye",S4217)),"Turkey",
ISNUMBER(SEARCH("Ivory Coast",S4217)),"Côte d'Ivoire",
ISNUMBER(SEARCH("Korea Republic",S4217)),"South Korea",
ISNUMBER(SEARCH("Germany FR",S4217)),"FR Germany",
ISNUMBER(SEARCH("West Germany",S4217)),"FR Germany",
ISNUMBER(SEARCH("Germany DR",S4217)),"DR Germany",
ISNUMBER(SEARCH("Korea DPR",S4217)),"North Korea",
ISNUMBER(SEARCH("China PR",S4217)),"China",
ISNUMBER(SEARCH("IR Iran",S4217)),"Iran",
ISNUMBER(SEARCH("Congo DR",S4217)),"Democratic Republic of the Congo",
ISNUMBER(SEARCH("DR Congo",S4217)),"Democratic Republic of the Congo",
ISNUMBER(SEARCH("German DR",S4217)),"DR Germany",
ISNUMBER(SEARCH("rn""&gt;United Arab Emirates",S4217)),"United Arab Emirates",
ISNUMBER(SEARCH("rn""&gt;Republic of Ireland",S4217)),"Ireland",
ISNUMBER(SEARCH("rn""&gt;Bosnia and Herzegovina",S4217)),"Bosnia and Herzegovina",
ISNUMBER(SEARCH("rn""&gt;Trinidad and Tobago",S4217)),"Trinidad and Tobago",
ISNUMBER(SEARCH("rn""&gt;Serbia and Montenegro",S4217)),"Serbia and Montenegro",
ISNUMBER(SEARCH(_xlfn.UNICHAR(65533),S4217)),"Côte d'Ivoire",
TRUE,""
)</f>
        <v>South Korea</v>
      </c>
      <c r="W4217" s="40" t="str">
        <f t="shared" si="270"/>
        <v>South Korea</v>
      </c>
    </row>
    <row r="4218" spans="19:23">
      <c r="S4218" s="40" t="str">
        <v>Netherlands</v>
      </c>
      <c r="T4218" s="40" t="str">
        <f t="shared" si="268"/>
        <v>OK</v>
      </c>
      <c r="U4218" s="40" t="str">
        <f t="shared" si="269"/>
        <v>-</v>
      </c>
      <c r="V4218" s="40" t="str" cm="1">
        <f t="array" ref="V4218">_xlfn.IFS(
ISNUMBER(SEARCH("USA",S4218)),"United States",
ISNUMBER(SEARCH("Republic of Ireland",S4218)),"Ireland",
ISNUMBER(SEARCH("Republic of Korea",S4218)),"South Korea",
ISNUMBER(SEARCH("Cape Verde",S4218)),"Cabo Verde",
ISNUMBER(SEARCH("Czechia",S4218)),"Czech Republic",
ISNUMBER(SEARCH("Türkiye",S4218)),"Turkey",
ISNUMBER(SEARCH("Ivory Coast",S4218)),"Côte d'Ivoire",
ISNUMBER(SEARCH("Korea Republic",S4218)),"South Korea",
ISNUMBER(SEARCH("Germany FR",S4218)),"FR Germany",
ISNUMBER(SEARCH("West Germany",S4218)),"FR Germany",
ISNUMBER(SEARCH("Germany DR",S4218)),"DR Germany",
ISNUMBER(SEARCH("Korea DPR",S4218)),"North Korea",
ISNUMBER(SEARCH("China PR",S4218)),"China",
ISNUMBER(SEARCH("IR Iran",S4218)),"Iran",
ISNUMBER(SEARCH("Congo DR",S4218)),"Democratic Republic of the Congo",
ISNUMBER(SEARCH("DR Congo",S4218)),"Democratic Republic of the Congo",
ISNUMBER(SEARCH("German DR",S4218)),"DR Germany",
ISNUMBER(SEARCH("rn""&gt;United Arab Emirates",S4218)),"United Arab Emirates",
ISNUMBER(SEARCH("rn""&gt;Republic of Ireland",S4218)),"Ireland",
ISNUMBER(SEARCH("rn""&gt;Bosnia and Herzegovina",S4218)),"Bosnia and Herzegovina",
ISNUMBER(SEARCH("rn""&gt;Trinidad and Tobago",S4218)),"Trinidad and Tobago",
ISNUMBER(SEARCH("rn""&gt;Serbia and Montenegro",S4218)),"Serbia and Montenegro",
ISNUMBER(SEARCH(_xlfn.UNICHAR(65533),S4218)),"Côte d'Ivoire",
TRUE,""
)</f>
        <v/>
      </c>
      <c r="W4218" s="40" t="str">
        <f t="shared" si="270"/>
        <v>Netherlands</v>
      </c>
    </row>
    <row r="4219" spans="19:23">
      <c r="S4219" s="40" t="str">
        <v>Chile</v>
      </c>
      <c r="T4219" s="40" t="str">
        <f t="shared" si="268"/>
        <v>OK</v>
      </c>
      <c r="U4219" s="40" t="str">
        <f t="shared" si="269"/>
        <v>-</v>
      </c>
      <c r="V4219" s="40" t="str" cm="1">
        <f t="array" ref="V4219">_xlfn.IFS(
ISNUMBER(SEARCH("USA",S4219)),"United States",
ISNUMBER(SEARCH("Republic of Ireland",S4219)),"Ireland",
ISNUMBER(SEARCH("Republic of Korea",S4219)),"South Korea",
ISNUMBER(SEARCH("Cape Verde",S4219)),"Cabo Verde",
ISNUMBER(SEARCH("Czechia",S4219)),"Czech Republic",
ISNUMBER(SEARCH("Türkiye",S4219)),"Turkey",
ISNUMBER(SEARCH("Ivory Coast",S4219)),"Côte d'Ivoire",
ISNUMBER(SEARCH("Korea Republic",S4219)),"South Korea",
ISNUMBER(SEARCH("Germany FR",S4219)),"FR Germany",
ISNUMBER(SEARCH("West Germany",S4219)),"FR Germany",
ISNUMBER(SEARCH("Germany DR",S4219)),"DR Germany",
ISNUMBER(SEARCH("Korea DPR",S4219)),"North Korea",
ISNUMBER(SEARCH("China PR",S4219)),"China",
ISNUMBER(SEARCH("IR Iran",S4219)),"Iran",
ISNUMBER(SEARCH("Congo DR",S4219)),"Democratic Republic of the Congo",
ISNUMBER(SEARCH("DR Congo",S4219)),"Democratic Republic of the Congo",
ISNUMBER(SEARCH("German DR",S4219)),"DR Germany",
ISNUMBER(SEARCH("rn""&gt;United Arab Emirates",S4219)),"United Arab Emirates",
ISNUMBER(SEARCH("rn""&gt;Republic of Ireland",S4219)),"Ireland",
ISNUMBER(SEARCH("rn""&gt;Bosnia and Herzegovina",S4219)),"Bosnia and Herzegovina",
ISNUMBER(SEARCH("rn""&gt;Trinidad and Tobago",S4219)),"Trinidad and Tobago",
ISNUMBER(SEARCH("rn""&gt;Serbia and Montenegro",S4219)),"Serbia and Montenegro",
ISNUMBER(SEARCH(_xlfn.UNICHAR(65533),S4219)),"Côte d'Ivoire",
TRUE,""
)</f>
        <v/>
      </c>
      <c r="W4219" s="40" t="str">
        <f t="shared" si="270"/>
        <v>Chile</v>
      </c>
    </row>
    <row r="4220" spans="19:23">
      <c r="S4220" s="40" t="str">
        <v>Croatia</v>
      </c>
      <c r="T4220" s="40" t="str">
        <f t="shared" si="268"/>
        <v>OK</v>
      </c>
      <c r="U4220" s="40" t="str">
        <f t="shared" si="269"/>
        <v>-</v>
      </c>
      <c r="V4220" s="40" t="str" cm="1">
        <f t="array" ref="V4220">_xlfn.IFS(
ISNUMBER(SEARCH("USA",S4220)),"United States",
ISNUMBER(SEARCH("Republic of Ireland",S4220)),"Ireland",
ISNUMBER(SEARCH("Republic of Korea",S4220)),"South Korea",
ISNUMBER(SEARCH("Cape Verde",S4220)),"Cabo Verde",
ISNUMBER(SEARCH("Czechia",S4220)),"Czech Republic",
ISNUMBER(SEARCH("Türkiye",S4220)),"Turkey",
ISNUMBER(SEARCH("Ivory Coast",S4220)),"Côte d'Ivoire",
ISNUMBER(SEARCH("Korea Republic",S4220)),"South Korea",
ISNUMBER(SEARCH("Germany FR",S4220)),"FR Germany",
ISNUMBER(SEARCH("West Germany",S4220)),"FR Germany",
ISNUMBER(SEARCH("Germany DR",S4220)),"DR Germany",
ISNUMBER(SEARCH("Korea DPR",S4220)),"North Korea",
ISNUMBER(SEARCH("China PR",S4220)),"China",
ISNUMBER(SEARCH("IR Iran",S4220)),"Iran",
ISNUMBER(SEARCH("Congo DR",S4220)),"Democratic Republic of the Congo",
ISNUMBER(SEARCH("DR Congo",S4220)),"Democratic Republic of the Congo",
ISNUMBER(SEARCH("German DR",S4220)),"DR Germany",
ISNUMBER(SEARCH("rn""&gt;United Arab Emirates",S4220)),"United Arab Emirates",
ISNUMBER(SEARCH("rn""&gt;Republic of Ireland",S4220)),"Ireland",
ISNUMBER(SEARCH("rn""&gt;Bosnia and Herzegovina",S4220)),"Bosnia and Herzegovina",
ISNUMBER(SEARCH("rn""&gt;Trinidad and Tobago",S4220)),"Trinidad and Tobago",
ISNUMBER(SEARCH("rn""&gt;Serbia and Montenegro",S4220)),"Serbia and Montenegro",
ISNUMBER(SEARCH(_xlfn.UNICHAR(65533),S4220)),"Côte d'Ivoire",
TRUE,""
)</f>
        <v/>
      </c>
      <c r="W4220" s="40" t="str">
        <f t="shared" si="270"/>
        <v>Croatia</v>
      </c>
    </row>
    <row r="4221" spans="19:23">
      <c r="S4221" s="40" t="str">
        <v>C�te d'Ivoire</v>
      </c>
      <c r="T4221" s="40" t="str">
        <f t="shared" si="268"/>
        <v>ERREUR</v>
      </c>
      <c r="U4221" s="40" t="str">
        <f t="shared" si="269"/>
        <v>RENOMMER</v>
      </c>
      <c r="V4221" s="40" t="str" cm="1">
        <f t="array" ref="V4221">_xlfn.IFS(
ISNUMBER(SEARCH("USA",S4221)),"United States",
ISNUMBER(SEARCH("Republic of Ireland",S4221)),"Ireland",
ISNUMBER(SEARCH("Republic of Korea",S4221)),"South Korea",
ISNUMBER(SEARCH("Cape Verde",S4221)),"Cabo Verde",
ISNUMBER(SEARCH("Czechia",S4221)),"Czech Republic",
ISNUMBER(SEARCH("Türkiye",S4221)),"Turkey",
ISNUMBER(SEARCH("Ivory Coast",S4221)),"Côte d'Ivoire",
ISNUMBER(SEARCH("Korea Republic",S4221)),"South Korea",
ISNUMBER(SEARCH("Germany FR",S4221)),"FR Germany",
ISNUMBER(SEARCH("West Germany",S4221)),"FR Germany",
ISNUMBER(SEARCH("Germany DR",S4221)),"DR Germany",
ISNUMBER(SEARCH("Korea DPR",S4221)),"North Korea",
ISNUMBER(SEARCH("China PR",S4221)),"China",
ISNUMBER(SEARCH("IR Iran",S4221)),"Iran",
ISNUMBER(SEARCH("Congo DR",S4221)),"Democratic Republic of the Congo",
ISNUMBER(SEARCH("DR Congo",S4221)),"Democratic Republic of the Congo",
ISNUMBER(SEARCH("German DR",S4221)),"DR Germany",
ISNUMBER(SEARCH("rn""&gt;United Arab Emirates",S4221)),"United Arab Emirates",
ISNUMBER(SEARCH("rn""&gt;Republic of Ireland",S4221)),"Ireland",
ISNUMBER(SEARCH("rn""&gt;Bosnia and Herzegovina",S4221)),"Bosnia and Herzegovina",
ISNUMBER(SEARCH("rn""&gt;Trinidad and Tobago",S4221)),"Trinidad and Tobago",
ISNUMBER(SEARCH("rn""&gt;Serbia and Montenegro",S4221)),"Serbia and Montenegro",
ISNUMBER(SEARCH(_xlfn.UNICHAR(65533),S4221)),"Côte d'Ivoire",
TRUE,""
)</f>
        <v>Côte d'Ivoire</v>
      </c>
      <c r="W4221" s="40" t="str">
        <f t="shared" si="270"/>
        <v>Côte d'Ivoire</v>
      </c>
    </row>
    <row r="4222" spans="19:23">
      <c r="S4222" s="40" t="str">
        <v>England</v>
      </c>
      <c r="T4222" s="40" t="str">
        <f t="shared" si="268"/>
        <v>ERREUR</v>
      </c>
      <c r="U4222" s="40" t="str">
        <f t="shared" si="269"/>
        <v>AUCUNE</v>
      </c>
      <c r="V4222" s="40" t="str" cm="1">
        <f t="array" ref="V4222">_xlfn.IFS(
ISNUMBER(SEARCH("USA",S4222)),"United States",
ISNUMBER(SEARCH("Republic of Ireland",S4222)),"Ireland",
ISNUMBER(SEARCH("Republic of Korea",S4222)),"South Korea",
ISNUMBER(SEARCH("Cape Verde",S4222)),"Cabo Verde",
ISNUMBER(SEARCH("Czechia",S4222)),"Czech Republic",
ISNUMBER(SEARCH("Türkiye",S4222)),"Turkey",
ISNUMBER(SEARCH("Ivory Coast",S4222)),"Côte d'Ivoire",
ISNUMBER(SEARCH("Korea Republic",S4222)),"South Korea",
ISNUMBER(SEARCH("Germany FR",S4222)),"FR Germany",
ISNUMBER(SEARCH("West Germany",S4222)),"FR Germany",
ISNUMBER(SEARCH("Germany DR",S4222)),"DR Germany",
ISNUMBER(SEARCH("Korea DPR",S4222)),"North Korea",
ISNUMBER(SEARCH("China PR",S4222)),"China",
ISNUMBER(SEARCH("IR Iran",S4222)),"Iran",
ISNUMBER(SEARCH("Congo DR",S4222)),"Democratic Republic of the Congo",
ISNUMBER(SEARCH("DR Congo",S4222)),"Democratic Republic of the Congo",
ISNUMBER(SEARCH("German DR",S4222)),"DR Germany",
ISNUMBER(SEARCH("rn""&gt;United Arab Emirates",S4222)),"United Arab Emirates",
ISNUMBER(SEARCH("rn""&gt;Republic of Ireland",S4222)),"Ireland",
ISNUMBER(SEARCH("rn""&gt;Bosnia and Herzegovina",S4222)),"Bosnia and Herzegovina",
ISNUMBER(SEARCH("rn""&gt;Trinidad and Tobago",S4222)),"Trinidad and Tobago",
ISNUMBER(SEARCH("rn""&gt;Serbia and Montenegro",S4222)),"Serbia and Montenegro",
ISNUMBER(SEARCH(_xlfn.UNICHAR(65533),S4222)),"Côte d'Ivoire",
TRUE,""
)</f>
        <v/>
      </c>
      <c r="W4222" s="40" t="str">
        <f t="shared" si="270"/>
        <v>England</v>
      </c>
    </row>
    <row r="4223" spans="19:23">
      <c r="S4223" s="40" t="str">
        <v>Greece</v>
      </c>
      <c r="T4223" s="40" t="str">
        <f t="shared" si="268"/>
        <v>OK</v>
      </c>
      <c r="U4223" s="40" t="str">
        <f t="shared" si="269"/>
        <v>-</v>
      </c>
      <c r="V4223" s="40" t="str" cm="1">
        <f t="array" ref="V4223">_xlfn.IFS(
ISNUMBER(SEARCH("USA",S4223)),"United States",
ISNUMBER(SEARCH("Republic of Ireland",S4223)),"Ireland",
ISNUMBER(SEARCH("Republic of Korea",S4223)),"South Korea",
ISNUMBER(SEARCH("Cape Verde",S4223)),"Cabo Verde",
ISNUMBER(SEARCH("Czechia",S4223)),"Czech Republic",
ISNUMBER(SEARCH("Türkiye",S4223)),"Turkey",
ISNUMBER(SEARCH("Ivory Coast",S4223)),"Côte d'Ivoire",
ISNUMBER(SEARCH("Korea Republic",S4223)),"South Korea",
ISNUMBER(SEARCH("Germany FR",S4223)),"FR Germany",
ISNUMBER(SEARCH("West Germany",S4223)),"FR Germany",
ISNUMBER(SEARCH("Germany DR",S4223)),"DR Germany",
ISNUMBER(SEARCH("Korea DPR",S4223)),"North Korea",
ISNUMBER(SEARCH("China PR",S4223)),"China",
ISNUMBER(SEARCH("IR Iran",S4223)),"Iran",
ISNUMBER(SEARCH("Congo DR",S4223)),"Democratic Republic of the Congo",
ISNUMBER(SEARCH("DR Congo",S4223)),"Democratic Republic of the Congo",
ISNUMBER(SEARCH("German DR",S4223)),"DR Germany",
ISNUMBER(SEARCH("rn""&gt;United Arab Emirates",S4223)),"United Arab Emirates",
ISNUMBER(SEARCH("rn""&gt;Republic of Ireland",S4223)),"Ireland",
ISNUMBER(SEARCH("rn""&gt;Bosnia and Herzegovina",S4223)),"Bosnia and Herzegovina",
ISNUMBER(SEARCH("rn""&gt;Trinidad and Tobago",S4223)),"Trinidad and Tobago",
ISNUMBER(SEARCH("rn""&gt;Serbia and Montenegro",S4223)),"Serbia and Montenegro",
ISNUMBER(SEARCH(_xlfn.UNICHAR(65533),S4223)),"Côte d'Ivoire",
TRUE,""
)</f>
        <v/>
      </c>
      <c r="W4223" s="40" t="str">
        <f t="shared" si="270"/>
        <v>Greece</v>
      </c>
    </row>
    <row r="4224" spans="19:23">
      <c r="S4224" s="40" t="str">
        <v>Costa Rica</v>
      </c>
      <c r="T4224" s="40" t="str">
        <f t="shared" si="268"/>
        <v>OK</v>
      </c>
      <c r="U4224" s="40" t="str">
        <f t="shared" si="269"/>
        <v>-</v>
      </c>
      <c r="V4224" s="40" t="str" cm="1">
        <f t="array" ref="V4224">_xlfn.IFS(
ISNUMBER(SEARCH("USA",S4224)),"United States",
ISNUMBER(SEARCH("Republic of Ireland",S4224)),"Ireland",
ISNUMBER(SEARCH("Republic of Korea",S4224)),"South Korea",
ISNUMBER(SEARCH("Cape Verde",S4224)),"Cabo Verde",
ISNUMBER(SEARCH("Czechia",S4224)),"Czech Republic",
ISNUMBER(SEARCH("Türkiye",S4224)),"Turkey",
ISNUMBER(SEARCH("Ivory Coast",S4224)),"Côte d'Ivoire",
ISNUMBER(SEARCH("Korea Republic",S4224)),"South Korea",
ISNUMBER(SEARCH("Germany FR",S4224)),"FR Germany",
ISNUMBER(SEARCH("West Germany",S4224)),"FR Germany",
ISNUMBER(SEARCH("Germany DR",S4224)),"DR Germany",
ISNUMBER(SEARCH("Korea DPR",S4224)),"North Korea",
ISNUMBER(SEARCH("China PR",S4224)),"China",
ISNUMBER(SEARCH("IR Iran",S4224)),"Iran",
ISNUMBER(SEARCH("Congo DR",S4224)),"Democratic Republic of the Congo",
ISNUMBER(SEARCH("DR Congo",S4224)),"Democratic Republic of the Congo",
ISNUMBER(SEARCH("German DR",S4224)),"DR Germany",
ISNUMBER(SEARCH("rn""&gt;United Arab Emirates",S4224)),"United Arab Emirates",
ISNUMBER(SEARCH("rn""&gt;Republic of Ireland",S4224)),"Ireland",
ISNUMBER(SEARCH("rn""&gt;Bosnia and Herzegovina",S4224)),"Bosnia and Herzegovina",
ISNUMBER(SEARCH("rn""&gt;Trinidad and Tobago",S4224)),"Trinidad and Tobago",
ISNUMBER(SEARCH("rn""&gt;Serbia and Montenegro",S4224)),"Serbia and Montenegro",
ISNUMBER(SEARCH(_xlfn.UNICHAR(65533),S4224)),"Côte d'Ivoire",
TRUE,""
)</f>
        <v/>
      </c>
      <c r="W4224" s="40" t="str">
        <f t="shared" si="270"/>
        <v>Costa Rica</v>
      </c>
    </row>
    <row r="4225" spans="19:23">
      <c r="S4225" s="40" t="str">
        <v>France</v>
      </c>
      <c r="T4225" s="40" t="str">
        <f t="shared" si="268"/>
        <v>OK</v>
      </c>
      <c r="U4225" s="40" t="str">
        <f t="shared" si="269"/>
        <v>-</v>
      </c>
      <c r="V4225" s="40" t="str" cm="1">
        <f t="array" ref="V4225">_xlfn.IFS(
ISNUMBER(SEARCH("USA",S4225)),"United States",
ISNUMBER(SEARCH("Republic of Ireland",S4225)),"Ireland",
ISNUMBER(SEARCH("Republic of Korea",S4225)),"South Korea",
ISNUMBER(SEARCH("Cape Verde",S4225)),"Cabo Verde",
ISNUMBER(SEARCH("Czechia",S4225)),"Czech Republic",
ISNUMBER(SEARCH("Türkiye",S4225)),"Turkey",
ISNUMBER(SEARCH("Ivory Coast",S4225)),"Côte d'Ivoire",
ISNUMBER(SEARCH("Korea Republic",S4225)),"South Korea",
ISNUMBER(SEARCH("Germany FR",S4225)),"FR Germany",
ISNUMBER(SEARCH("West Germany",S4225)),"FR Germany",
ISNUMBER(SEARCH("Germany DR",S4225)),"DR Germany",
ISNUMBER(SEARCH("Korea DPR",S4225)),"North Korea",
ISNUMBER(SEARCH("China PR",S4225)),"China",
ISNUMBER(SEARCH("IR Iran",S4225)),"Iran",
ISNUMBER(SEARCH("Congo DR",S4225)),"Democratic Republic of the Congo",
ISNUMBER(SEARCH("DR Congo",S4225)),"Democratic Republic of the Congo",
ISNUMBER(SEARCH("German DR",S4225)),"DR Germany",
ISNUMBER(SEARCH("rn""&gt;United Arab Emirates",S4225)),"United Arab Emirates",
ISNUMBER(SEARCH("rn""&gt;Republic of Ireland",S4225)),"Ireland",
ISNUMBER(SEARCH("rn""&gt;Bosnia and Herzegovina",S4225)),"Bosnia and Herzegovina",
ISNUMBER(SEARCH("rn""&gt;Trinidad and Tobago",S4225)),"Trinidad and Tobago",
ISNUMBER(SEARCH("rn""&gt;Serbia and Montenegro",S4225)),"Serbia and Montenegro",
ISNUMBER(SEARCH(_xlfn.UNICHAR(65533),S4225)),"Côte d'Ivoire",
TRUE,""
)</f>
        <v/>
      </c>
      <c r="W4225" s="40" t="str">
        <f t="shared" si="270"/>
        <v>France</v>
      </c>
    </row>
    <row r="4226" spans="19:23">
      <c r="S4226" s="40" t="str">
        <v>Ecuador</v>
      </c>
      <c r="T4226" s="40" t="str">
        <f t="shared" si="268"/>
        <v>OK</v>
      </c>
      <c r="U4226" s="40" t="str">
        <f t="shared" si="269"/>
        <v>-</v>
      </c>
      <c r="V4226" s="40" t="str" cm="1">
        <f t="array" ref="V4226">_xlfn.IFS(
ISNUMBER(SEARCH("USA",S4226)),"United States",
ISNUMBER(SEARCH("Republic of Ireland",S4226)),"Ireland",
ISNUMBER(SEARCH("Republic of Korea",S4226)),"South Korea",
ISNUMBER(SEARCH("Cape Verde",S4226)),"Cabo Verde",
ISNUMBER(SEARCH("Czechia",S4226)),"Czech Republic",
ISNUMBER(SEARCH("Türkiye",S4226)),"Turkey",
ISNUMBER(SEARCH("Ivory Coast",S4226)),"Côte d'Ivoire",
ISNUMBER(SEARCH("Korea Republic",S4226)),"South Korea",
ISNUMBER(SEARCH("Germany FR",S4226)),"FR Germany",
ISNUMBER(SEARCH("West Germany",S4226)),"FR Germany",
ISNUMBER(SEARCH("Germany DR",S4226)),"DR Germany",
ISNUMBER(SEARCH("Korea DPR",S4226)),"North Korea",
ISNUMBER(SEARCH("China PR",S4226)),"China",
ISNUMBER(SEARCH("IR Iran",S4226)),"Iran",
ISNUMBER(SEARCH("Congo DR",S4226)),"Democratic Republic of the Congo",
ISNUMBER(SEARCH("DR Congo",S4226)),"Democratic Republic of the Congo",
ISNUMBER(SEARCH("German DR",S4226)),"DR Germany",
ISNUMBER(SEARCH("rn""&gt;United Arab Emirates",S4226)),"United Arab Emirates",
ISNUMBER(SEARCH("rn""&gt;Republic of Ireland",S4226)),"Ireland",
ISNUMBER(SEARCH("rn""&gt;Bosnia and Herzegovina",S4226)),"Bosnia and Herzegovina",
ISNUMBER(SEARCH("rn""&gt;Trinidad and Tobago",S4226)),"Trinidad and Tobago",
ISNUMBER(SEARCH("rn""&gt;Serbia and Montenegro",S4226)),"Serbia and Montenegro",
ISNUMBER(SEARCH(_xlfn.UNICHAR(65533),S4226)),"Côte d'Ivoire",
TRUE,""
)</f>
        <v/>
      </c>
      <c r="W4226" s="40" t="str">
        <f t="shared" si="270"/>
        <v>Ecuador</v>
      </c>
    </row>
    <row r="4227" spans="19:23">
      <c r="S4227" s="40" t="str">
        <v>IR Iran</v>
      </c>
      <c r="T4227" s="40" t="str">
        <f t="shared" ref="T4227:T4290" si="271">IF(COUNTIF(R$13:R$250,S4227)=1,"OK","ERREUR")</f>
        <v>ERREUR</v>
      </c>
      <c r="U4227" s="40" t="str">
        <f t="shared" si="269"/>
        <v>RENOMMER</v>
      </c>
      <c r="V4227" s="40" t="str" cm="1">
        <f t="array" ref="V4227">_xlfn.IFS(
ISNUMBER(SEARCH("USA",S4227)),"United States",
ISNUMBER(SEARCH("Republic of Ireland",S4227)),"Ireland",
ISNUMBER(SEARCH("Republic of Korea",S4227)),"South Korea",
ISNUMBER(SEARCH("Cape Verde",S4227)),"Cabo Verde",
ISNUMBER(SEARCH("Czechia",S4227)),"Czech Republic",
ISNUMBER(SEARCH("Türkiye",S4227)),"Turkey",
ISNUMBER(SEARCH("Ivory Coast",S4227)),"Côte d'Ivoire",
ISNUMBER(SEARCH("Korea Republic",S4227)),"South Korea",
ISNUMBER(SEARCH("Germany FR",S4227)),"FR Germany",
ISNUMBER(SEARCH("West Germany",S4227)),"FR Germany",
ISNUMBER(SEARCH("Germany DR",S4227)),"DR Germany",
ISNUMBER(SEARCH("Korea DPR",S4227)),"North Korea",
ISNUMBER(SEARCH("China PR",S4227)),"China",
ISNUMBER(SEARCH("IR Iran",S4227)),"Iran",
ISNUMBER(SEARCH("Congo DR",S4227)),"Democratic Republic of the Congo",
ISNUMBER(SEARCH("DR Congo",S4227)),"Democratic Republic of the Congo",
ISNUMBER(SEARCH("German DR",S4227)),"DR Germany",
ISNUMBER(SEARCH("rn""&gt;United Arab Emirates",S4227)),"United Arab Emirates",
ISNUMBER(SEARCH("rn""&gt;Republic of Ireland",S4227)),"Ireland",
ISNUMBER(SEARCH("rn""&gt;Bosnia and Herzegovina",S4227)),"Bosnia and Herzegovina",
ISNUMBER(SEARCH("rn""&gt;Trinidad and Tobago",S4227)),"Trinidad and Tobago",
ISNUMBER(SEARCH("rn""&gt;Serbia and Montenegro",S4227)),"Serbia and Montenegro",
ISNUMBER(SEARCH(_xlfn.UNICHAR(65533),S4227)),"Côte d'Ivoire",
TRUE,""
)</f>
        <v>Iran</v>
      </c>
      <c r="W4227" s="40" t="str">
        <f t="shared" si="270"/>
        <v>Iran</v>
      </c>
    </row>
    <row r="4228" spans="19:23">
      <c r="S4228" s="40" t="str">
        <v>Ghana</v>
      </c>
      <c r="T4228" s="40" t="str">
        <f t="shared" si="271"/>
        <v>OK</v>
      </c>
      <c r="U4228" s="40" t="str">
        <f t="shared" ref="U4228:U4291" si="272">IF(OR(S4228="Scotland",S4228="England",S4228="Wales",S4228="Yugoslavia",S4228="Czechoslovakia",S4228="Northern Ireland",S4228="Soviet Union",S4228="Zaire",S4228="Dutch East Indies"),"AUCUNE",IF(OR(S4228="Cape Verde",S4228="USA",S4228="DR Congo",S4228="Republic of Korea",S4228="Germany FR",S4228="Germany DR",S4228="Czechia",S4228="Ivory Coast",S4228="Korea DPR",S4228="China PR",S4228="IR Iran",S4228="Türkiye",S4228="Congo DR",S4228="German DR",S4228="West Germany",S4228="Republic of Ireland",ISNUMBER(SEARCH(_xlfn.UNICHAR(65533),S4228)),S4228="Korea Republic",ISNUMBER(SEARCH("rn""&gt;United Arab Emirates",S4228)),ISNUMBER(SEARCH("rn""&gt;Republic of Ireland",S4228)),ISNUMBER(SEARCH("rn""&gt;Bosnia and Herzegovina",S4228)),ISNUMBER(SEARCH("rn""&gt;Trinidad and Tobago",S4228)),ISNUMBER(SEARCH("rn""&gt;Serbia and Montenegro",S4228)),ISNUMBER(SEARCH(_xlfn.UNICHAR(65533),S4228))),"RENOMMER","-"))</f>
        <v>-</v>
      </c>
      <c r="V4228" s="40" t="str" cm="1">
        <f t="array" ref="V4228">_xlfn.IFS(
ISNUMBER(SEARCH("USA",S4228)),"United States",
ISNUMBER(SEARCH("Republic of Ireland",S4228)),"Ireland",
ISNUMBER(SEARCH("Republic of Korea",S4228)),"South Korea",
ISNUMBER(SEARCH("Cape Verde",S4228)),"Cabo Verde",
ISNUMBER(SEARCH("Czechia",S4228)),"Czech Republic",
ISNUMBER(SEARCH("Türkiye",S4228)),"Turkey",
ISNUMBER(SEARCH("Ivory Coast",S4228)),"Côte d'Ivoire",
ISNUMBER(SEARCH("Korea Republic",S4228)),"South Korea",
ISNUMBER(SEARCH("Germany FR",S4228)),"FR Germany",
ISNUMBER(SEARCH("West Germany",S4228)),"FR Germany",
ISNUMBER(SEARCH("Germany DR",S4228)),"DR Germany",
ISNUMBER(SEARCH("Korea DPR",S4228)),"North Korea",
ISNUMBER(SEARCH("China PR",S4228)),"China",
ISNUMBER(SEARCH("IR Iran",S4228)),"Iran",
ISNUMBER(SEARCH("Congo DR",S4228)),"Democratic Republic of the Congo",
ISNUMBER(SEARCH("DR Congo",S4228)),"Democratic Republic of the Congo",
ISNUMBER(SEARCH("German DR",S4228)),"DR Germany",
ISNUMBER(SEARCH("rn""&gt;United Arab Emirates",S4228)),"United Arab Emirates",
ISNUMBER(SEARCH("rn""&gt;Republic of Ireland",S4228)),"Ireland",
ISNUMBER(SEARCH("rn""&gt;Bosnia and Herzegovina",S4228)),"Bosnia and Herzegovina",
ISNUMBER(SEARCH("rn""&gt;Trinidad and Tobago",S4228)),"Trinidad and Tobago",
ISNUMBER(SEARCH("rn""&gt;Serbia and Montenegro",S4228)),"Serbia and Montenegro",
ISNUMBER(SEARCH(_xlfn.UNICHAR(65533),S4228)),"Côte d'Ivoire",
TRUE,""
)</f>
        <v/>
      </c>
      <c r="W4228" s="40" t="str">
        <f t="shared" ref="W4228:W4291" si="273">IF(V4228="",S4228,V4228)</f>
        <v>Ghana</v>
      </c>
    </row>
    <row r="4229" spans="19:23">
      <c r="S4229" s="40" t="str">
        <v>rn"&gt;Bosnia and Herzegovina</v>
      </c>
      <c r="T4229" s="40" t="str">
        <f t="shared" si="271"/>
        <v>ERREUR</v>
      </c>
      <c r="U4229" s="40" t="str">
        <f t="shared" si="272"/>
        <v>RENOMMER</v>
      </c>
      <c r="V4229" s="40" t="str" cm="1">
        <f t="array" ref="V4229">_xlfn.IFS(
ISNUMBER(SEARCH("USA",S4229)),"United States",
ISNUMBER(SEARCH("Republic of Ireland",S4229)),"Ireland",
ISNUMBER(SEARCH("Republic of Korea",S4229)),"South Korea",
ISNUMBER(SEARCH("Cape Verde",S4229)),"Cabo Verde",
ISNUMBER(SEARCH("Czechia",S4229)),"Czech Republic",
ISNUMBER(SEARCH("Türkiye",S4229)),"Turkey",
ISNUMBER(SEARCH("Ivory Coast",S4229)),"Côte d'Ivoire",
ISNUMBER(SEARCH("Korea Republic",S4229)),"South Korea",
ISNUMBER(SEARCH("Germany FR",S4229)),"FR Germany",
ISNUMBER(SEARCH("West Germany",S4229)),"FR Germany",
ISNUMBER(SEARCH("Germany DR",S4229)),"DR Germany",
ISNUMBER(SEARCH("Korea DPR",S4229)),"North Korea",
ISNUMBER(SEARCH("China PR",S4229)),"China",
ISNUMBER(SEARCH("IR Iran",S4229)),"Iran",
ISNUMBER(SEARCH("Congo DR",S4229)),"Democratic Republic of the Congo",
ISNUMBER(SEARCH("DR Congo",S4229)),"Democratic Republic of the Congo",
ISNUMBER(SEARCH("German DR",S4229)),"DR Germany",
ISNUMBER(SEARCH("rn""&gt;United Arab Emirates",S4229)),"United Arab Emirates",
ISNUMBER(SEARCH("rn""&gt;Republic of Ireland",S4229)),"Ireland",
ISNUMBER(SEARCH("rn""&gt;Bosnia and Herzegovina",S4229)),"Bosnia and Herzegovina",
ISNUMBER(SEARCH("rn""&gt;Trinidad and Tobago",S4229)),"Trinidad and Tobago",
ISNUMBER(SEARCH("rn""&gt;Serbia and Montenegro",S4229)),"Serbia and Montenegro",
ISNUMBER(SEARCH(_xlfn.UNICHAR(65533),S4229)),"Côte d'Ivoire",
TRUE,""
)</f>
        <v>Bosnia and Herzegovina</v>
      </c>
      <c r="W4229" s="40" t="str">
        <f t="shared" si="273"/>
        <v>Bosnia and Herzegovina</v>
      </c>
    </row>
    <row r="4230" spans="19:23">
      <c r="S4230" s="40" t="str">
        <v>Russia</v>
      </c>
      <c r="T4230" s="40" t="str">
        <f t="shared" si="271"/>
        <v>OK</v>
      </c>
      <c r="U4230" s="40" t="str">
        <f t="shared" si="272"/>
        <v>-</v>
      </c>
      <c r="V4230" s="40" t="str" cm="1">
        <f t="array" ref="V4230">_xlfn.IFS(
ISNUMBER(SEARCH("USA",S4230)),"United States",
ISNUMBER(SEARCH("Republic of Ireland",S4230)),"Ireland",
ISNUMBER(SEARCH("Republic of Korea",S4230)),"South Korea",
ISNUMBER(SEARCH("Cape Verde",S4230)),"Cabo Verde",
ISNUMBER(SEARCH("Czechia",S4230)),"Czech Republic",
ISNUMBER(SEARCH("Türkiye",S4230)),"Turkey",
ISNUMBER(SEARCH("Ivory Coast",S4230)),"Côte d'Ivoire",
ISNUMBER(SEARCH("Korea Republic",S4230)),"South Korea",
ISNUMBER(SEARCH("Germany FR",S4230)),"FR Germany",
ISNUMBER(SEARCH("West Germany",S4230)),"FR Germany",
ISNUMBER(SEARCH("Germany DR",S4230)),"DR Germany",
ISNUMBER(SEARCH("Korea DPR",S4230)),"North Korea",
ISNUMBER(SEARCH("China PR",S4230)),"China",
ISNUMBER(SEARCH("IR Iran",S4230)),"Iran",
ISNUMBER(SEARCH("Congo DR",S4230)),"Democratic Republic of the Congo",
ISNUMBER(SEARCH("DR Congo",S4230)),"Democratic Republic of the Congo",
ISNUMBER(SEARCH("German DR",S4230)),"DR Germany",
ISNUMBER(SEARCH("rn""&gt;United Arab Emirates",S4230)),"United Arab Emirates",
ISNUMBER(SEARCH("rn""&gt;Republic of Ireland",S4230)),"Ireland",
ISNUMBER(SEARCH("rn""&gt;Bosnia and Herzegovina",S4230)),"Bosnia and Herzegovina",
ISNUMBER(SEARCH("rn""&gt;Trinidad and Tobago",S4230)),"Trinidad and Tobago",
ISNUMBER(SEARCH("rn""&gt;Serbia and Montenegro",S4230)),"Serbia and Montenegro",
ISNUMBER(SEARCH(_xlfn.UNICHAR(65533),S4230)),"Côte d'Ivoire",
TRUE,""
)</f>
        <v/>
      </c>
      <c r="W4230" s="40" t="str">
        <f t="shared" si="273"/>
        <v>Russia</v>
      </c>
    </row>
    <row r="4231" spans="19:23">
      <c r="S4231" s="40" t="str">
        <v>Algeria</v>
      </c>
      <c r="T4231" s="40" t="str">
        <f t="shared" si="271"/>
        <v>OK</v>
      </c>
      <c r="U4231" s="40" t="str">
        <f t="shared" si="272"/>
        <v>-</v>
      </c>
      <c r="V4231" s="40" t="str" cm="1">
        <f t="array" ref="V4231">_xlfn.IFS(
ISNUMBER(SEARCH("USA",S4231)),"United States",
ISNUMBER(SEARCH("Republic of Ireland",S4231)),"Ireland",
ISNUMBER(SEARCH("Republic of Korea",S4231)),"South Korea",
ISNUMBER(SEARCH("Cape Verde",S4231)),"Cabo Verde",
ISNUMBER(SEARCH("Czechia",S4231)),"Czech Republic",
ISNUMBER(SEARCH("Türkiye",S4231)),"Turkey",
ISNUMBER(SEARCH("Ivory Coast",S4231)),"Côte d'Ivoire",
ISNUMBER(SEARCH("Korea Republic",S4231)),"South Korea",
ISNUMBER(SEARCH("Germany FR",S4231)),"FR Germany",
ISNUMBER(SEARCH("West Germany",S4231)),"FR Germany",
ISNUMBER(SEARCH("Germany DR",S4231)),"DR Germany",
ISNUMBER(SEARCH("Korea DPR",S4231)),"North Korea",
ISNUMBER(SEARCH("China PR",S4231)),"China",
ISNUMBER(SEARCH("IR Iran",S4231)),"Iran",
ISNUMBER(SEARCH("Congo DR",S4231)),"Democratic Republic of the Congo",
ISNUMBER(SEARCH("DR Congo",S4231)),"Democratic Republic of the Congo",
ISNUMBER(SEARCH("German DR",S4231)),"DR Germany",
ISNUMBER(SEARCH("rn""&gt;United Arab Emirates",S4231)),"United Arab Emirates",
ISNUMBER(SEARCH("rn""&gt;Republic of Ireland",S4231)),"Ireland",
ISNUMBER(SEARCH("rn""&gt;Bosnia and Herzegovina",S4231)),"Bosnia and Herzegovina",
ISNUMBER(SEARCH("rn""&gt;Trinidad and Tobago",S4231)),"Trinidad and Tobago",
ISNUMBER(SEARCH("rn""&gt;Serbia and Montenegro",S4231)),"Serbia and Montenegro",
ISNUMBER(SEARCH(_xlfn.UNICHAR(65533),S4231)),"Côte d'Ivoire",
TRUE,""
)</f>
        <v/>
      </c>
      <c r="W4231" s="40" t="str">
        <f t="shared" si="273"/>
        <v>Algeria</v>
      </c>
    </row>
    <row r="4232" spans="19:23">
      <c r="S4232" s="40" t="str">
        <v>Portugal</v>
      </c>
      <c r="T4232" s="40" t="str">
        <f t="shared" si="271"/>
        <v>OK</v>
      </c>
      <c r="U4232" s="40" t="str">
        <f t="shared" si="272"/>
        <v>-</v>
      </c>
      <c r="V4232" s="40" t="str" cm="1">
        <f t="array" ref="V4232">_xlfn.IFS(
ISNUMBER(SEARCH("USA",S4232)),"United States",
ISNUMBER(SEARCH("Republic of Ireland",S4232)),"Ireland",
ISNUMBER(SEARCH("Republic of Korea",S4232)),"South Korea",
ISNUMBER(SEARCH("Cape Verde",S4232)),"Cabo Verde",
ISNUMBER(SEARCH("Czechia",S4232)),"Czech Republic",
ISNUMBER(SEARCH("Türkiye",S4232)),"Turkey",
ISNUMBER(SEARCH("Ivory Coast",S4232)),"Côte d'Ivoire",
ISNUMBER(SEARCH("Korea Republic",S4232)),"South Korea",
ISNUMBER(SEARCH("Germany FR",S4232)),"FR Germany",
ISNUMBER(SEARCH("West Germany",S4232)),"FR Germany",
ISNUMBER(SEARCH("Germany DR",S4232)),"DR Germany",
ISNUMBER(SEARCH("Korea DPR",S4232)),"North Korea",
ISNUMBER(SEARCH("China PR",S4232)),"China",
ISNUMBER(SEARCH("IR Iran",S4232)),"Iran",
ISNUMBER(SEARCH("Congo DR",S4232)),"Democratic Republic of the Congo",
ISNUMBER(SEARCH("DR Congo",S4232)),"Democratic Republic of the Congo",
ISNUMBER(SEARCH("German DR",S4232)),"DR Germany",
ISNUMBER(SEARCH("rn""&gt;United Arab Emirates",S4232)),"United Arab Emirates",
ISNUMBER(SEARCH("rn""&gt;Republic of Ireland",S4232)),"Ireland",
ISNUMBER(SEARCH("rn""&gt;Bosnia and Herzegovina",S4232)),"Bosnia and Herzegovina",
ISNUMBER(SEARCH("rn""&gt;Trinidad and Tobago",S4232)),"Trinidad and Tobago",
ISNUMBER(SEARCH("rn""&gt;Serbia and Montenegro",S4232)),"Serbia and Montenegro",
ISNUMBER(SEARCH(_xlfn.UNICHAR(65533),S4232)),"Côte d'Ivoire",
TRUE,""
)</f>
        <v/>
      </c>
      <c r="W4232" s="40" t="str">
        <f t="shared" si="273"/>
        <v>Portugal</v>
      </c>
    </row>
    <row r="4233" spans="19:23">
      <c r="S4233" s="40" t="str">
        <v>Spain</v>
      </c>
      <c r="T4233" s="40" t="str">
        <f t="shared" si="271"/>
        <v>OK</v>
      </c>
      <c r="U4233" s="40" t="str">
        <f t="shared" si="272"/>
        <v>-</v>
      </c>
      <c r="V4233" s="40" t="str" cm="1">
        <f t="array" ref="V4233">_xlfn.IFS(
ISNUMBER(SEARCH("USA",S4233)),"United States",
ISNUMBER(SEARCH("Republic of Ireland",S4233)),"Ireland",
ISNUMBER(SEARCH("Republic of Korea",S4233)),"South Korea",
ISNUMBER(SEARCH("Cape Verde",S4233)),"Cabo Verde",
ISNUMBER(SEARCH("Czechia",S4233)),"Czech Republic",
ISNUMBER(SEARCH("Türkiye",S4233)),"Turkey",
ISNUMBER(SEARCH("Ivory Coast",S4233)),"Côte d'Ivoire",
ISNUMBER(SEARCH("Korea Republic",S4233)),"South Korea",
ISNUMBER(SEARCH("Germany FR",S4233)),"FR Germany",
ISNUMBER(SEARCH("West Germany",S4233)),"FR Germany",
ISNUMBER(SEARCH("Germany DR",S4233)),"DR Germany",
ISNUMBER(SEARCH("Korea DPR",S4233)),"North Korea",
ISNUMBER(SEARCH("China PR",S4233)),"China",
ISNUMBER(SEARCH("IR Iran",S4233)),"Iran",
ISNUMBER(SEARCH("Congo DR",S4233)),"Democratic Republic of the Congo",
ISNUMBER(SEARCH("DR Congo",S4233)),"Democratic Republic of the Congo",
ISNUMBER(SEARCH("German DR",S4233)),"DR Germany",
ISNUMBER(SEARCH("rn""&gt;United Arab Emirates",S4233)),"United Arab Emirates",
ISNUMBER(SEARCH("rn""&gt;Republic of Ireland",S4233)),"Ireland",
ISNUMBER(SEARCH("rn""&gt;Bosnia and Herzegovina",S4233)),"Bosnia and Herzegovina",
ISNUMBER(SEARCH("rn""&gt;Trinidad and Tobago",S4233)),"Trinidad and Tobago",
ISNUMBER(SEARCH("rn""&gt;Serbia and Montenegro",S4233)),"Serbia and Montenegro",
ISNUMBER(SEARCH(_xlfn.UNICHAR(65533),S4233)),"Côte d'Ivoire",
TRUE,""
)</f>
        <v/>
      </c>
      <c r="W4233" s="40" t="str">
        <f t="shared" si="273"/>
        <v>Spain</v>
      </c>
    </row>
    <row r="4234" spans="19:23">
      <c r="S4234" s="40" t="str">
        <v>Chile</v>
      </c>
      <c r="T4234" s="40" t="str">
        <f t="shared" si="271"/>
        <v>OK</v>
      </c>
      <c r="U4234" s="40" t="str">
        <f t="shared" si="272"/>
        <v>-</v>
      </c>
      <c r="V4234" s="40" t="str" cm="1">
        <f t="array" ref="V4234">_xlfn.IFS(
ISNUMBER(SEARCH("USA",S4234)),"United States",
ISNUMBER(SEARCH("Republic of Ireland",S4234)),"Ireland",
ISNUMBER(SEARCH("Republic of Korea",S4234)),"South Korea",
ISNUMBER(SEARCH("Cape Verde",S4234)),"Cabo Verde",
ISNUMBER(SEARCH("Czechia",S4234)),"Czech Republic",
ISNUMBER(SEARCH("Türkiye",S4234)),"Turkey",
ISNUMBER(SEARCH("Ivory Coast",S4234)),"Côte d'Ivoire",
ISNUMBER(SEARCH("Korea Republic",S4234)),"South Korea",
ISNUMBER(SEARCH("Germany FR",S4234)),"FR Germany",
ISNUMBER(SEARCH("West Germany",S4234)),"FR Germany",
ISNUMBER(SEARCH("Germany DR",S4234)),"DR Germany",
ISNUMBER(SEARCH("Korea DPR",S4234)),"North Korea",
ISNUMBER(SEARCH("China PR",S4234)),"China",
ISNUMBER(SEARCH("IR Iran",S4234)),"Iran",
ISNUMBER(SEARCH("Congo DR",S4234)),"Democratic Republic of the Congo",
ISNUMBER(SEARCH("DR Congo",S4234)),"Democratic Republic of the Congo",
ISNUMBER(SEARCH("German DR",S4234)),"DR Germany",
ISNUMBER(SEARCH("rn""&gt;United Arab Emirates",S4234)),"United Arab Emirates",
ISNUMBER(SEARCH("rn""&gt;Republic of Ireland",S4234)),"Ireland",
ISNUMBER(SEARCH("rn""&gt;Bosnia and Herzegovina",S4234)),"Bosnia and Herzegovina",
ISNUMBER(SEARCH("rn""&gt;Trinidad and Tobago",S4234)),"Trinidad and Tobago",
ISNUMBER(SEARCH("rn""&gt;Serbia and Montenegro",S4234)),"Serbia and Montenegro",
ISNUMBER(SEARCH(_xlfn.UNICHAR(65533),S4234)),"Côte d'Ivoire",
TRUE,""
)</f>
        <v/>
      </c>
      <c r="W4234" s="40" t="str">
        <f t="shared" si="273"/>
        <v>Chile</v>
      </c>
    </row>
    <row r="4235" spans="19:23">
      <c r="S4235" s="40" t="str">
        <v>Brazil</v>
      </c>
      <c r="T4235" s="40" t="str">
        <f t="shared" si="271"/>
        <v>OK</v>
      </c>
      <c r="U4235" s="40" t="str">
        <f t="shared" si="272"/>
        <v>-</v>
      </c>
      <c r="V4235" s="40" t="str" cm="1">
        <f t="array" ref="V4235">_xlfn.IFS(
ISNUMBER(SEARCH("USA",S4235)),"United States",
ISNUMBER(SEARCH("Republic of Ireland",S4235)),"Ireland",
ISNUMBER(SEARCH("Republic of Korea",S4235)),"South Korea",
ISNUMBER(SEARCH("Cape Verde",S4235)),"Cabo Verde",
ISNUMBER(SEARCH("Czechia",S4235)),"Czech Republic",
ISNUMBER(SEARCH("Türkiye",S4235)),"Turkey",
ISNUMBER(SEARCH("Ivory Coast",S4235)),"Côte d'Ivoire",
ISNUMBER(SEARCH("Korea Republic",S4235)),"South Korea",
ISNUMBER(SEARCH("Germany FR",S4235)),"FR Germany",
ISNUMBER(SEARCH("West Germany",S4235)),"FR Germany",
ISNUMBER(SEARCH("Germany DR",S4235)),"DR Germany",
ISNUMBER(SEARCH("Korea DPR",S4235)),"North Korea",
ISNUMBER(SEARCH("China PR",S4235)),"China",
ISNUMBER(SEARCH("IR Iran",S4235)),"Iran",
ISNUMBER(SEARCH("Congo DR",S4235)),"Democratic Republic of the Congo",
ISNUMBER(SEARCH("DR Congo",S4235)),"Democratic Republic of the Congo",
ISNUMBER(SEARCH("German DR",S4235)),"DR Germany",
ISNUMBER(SEARCH("rn""&gt;United Arab Emirates",S4235)),"United Arab Emirates",
ISNUMBER(SEARCH("rn""&gt;Republic of Ireland",S4235)),"Ireland",
ISNUMBER(SEARCH("rn""&gt;Bosnia and Herzegovina",S4235)),"Bosnia and Herzegovina",
ISNUMBER(SEARCH("rn""&gt;Trinidad and Tobago",S4235)),"Trinidad and Tobago",
ISNUMBER(SEARCH("rn""&gt;Serbia and Montenegro",S4235)),"Serbia and Montenegro",
ISNUMBER(SEARCH(_xlfn.UNICHAR(65533),S4235)),"Côte d'Ivoire",
TRUE,""
)</f>
        <v/>
      </c>
      <c r="W4235" s="40" t="str">
        <f t="shared" si="273"/>
        <v>Brazil</v>
      </c>
    </row>
    <row r="4236" spans="19:23">
      <c r="S4236" s="40" t="str">
        <v>Mexico</v>
      </c>
      <c r="T4236" s="40" t="str">
        <f t="shared" si="271"/>
        <v>OK</v>
      </c>
      <c r="U4236" s="40" t="str">
        <f t="shared" si="272"/>
        <v>-</v>
      </c>
      <c r="V4236" s="40" t="str" cm="1">
        <f t="array" ref="V4236">_xlfn.IFS(
ISNUMBER(SEARCH("USA",S4236)),"United States",
ISNUMBER(SEARCH("Republic of Ireland",S4236)),"Ireland",
ISNUMBER(SEARCH("Republic of Korea",S4236)),"South Korea",
ISNUMBER(SEARCH("Cape Verde",S4236)),"Cabo Verde",
ISNUMBER(SEARCH("Czechia",S4236)),"Czech Republic",
ISNUMBER(SEARCH("Türkiye",S4236)),"Turkey",
ISNUMBER(SEARCH("Ivory Coast",S4236)),"Côte d'Ivoire",
ISNUMBER(SEARCH("Korea Republic",S4236)),"South Korea",
ISNUMBER(SEARCH("Germany FR",S4236)),"FR Germany",
ISNUMBER(SEARCH("West Germany",S4236)),"FR Germany",
ISNUMBER(SEARCH("Germany DR",S4236)),"DR Germany",
ISNUMBER(SEARCH("Korea DPR",S4236)),"North Korea",
ISNUMBER(SEARCH("China PR",S4236)),"China",
ISNUMBER(SEARCH("IR Iran",S4236)),"Iran",
ISNUMBER(SEARCH("Congo DR",S4236)),"Democratic Republic of the Congo",
ISNUMBER(SEARCH("DR Congo",S4236)),"Democratic Republic of the Congo",
ISNUMBER(SEARCH("German DR",S4236)),"DR Germany",
ISNUMBER(SEARCH("rn""&gt;United Arab Emirates",S4236)),"United Arab Emirates",
ISNUMBER(SEARCH("rn""&gt;Republic of Ireland",S4236)),"Ireland",
ISNUMBER(SEARCH("rn""&gt;Bosnia and Herzegovina",S4236)),"Bosnia and Herzegovina",
ISNUMBER(SEARCH("rn""&gt;Trinidad and Tobago",S4236)),"Trinidad and Tobago",
ISNUMBER(SEARCH("rn""&gt;Serbia and Montenegro",S4236)),"Serbia and Montenegro",
ISNUMBER(SEARCH(_xlfn.UNICHAR(65533),S4236)),"Côte d'Ivoire",
TRUE,""
)</f>
        <v/>
      </c>
      <c r="W4236" s="40" t="str">
        <f t="shared" si="273"/>
        <v>Mexico</v>
      </c>
    </row>
    <row r="4237" spans="19:23">
      <c r="S4237" s="40" t="str">
        <v>Uruguay</v>
      </c>
      <c r="T4237" s="40" t="str">
        <f t="shared" si="271"/>
        <v>OK</v>
      </c>
      <c r="U4237" s="40" t="str">
        <f t="shared" si="272"/>
        <v>-</v>
      </c>
      <c r="V4237" s="40" t="str" cm="1">
        <f t="array" ref="V4237">_xlfn.IFS(
ISNUMBER(SEARCH("USA",S4237)),"United States",
ISNUMBER(SEARCH("Republic of Ireland",S4237)),"Ireland",
ISNUMBER(SEARCH("Republic of Korea",S4237)),"South Korea",
ISNUMBER(SEARCH("Cape Verde",S4237)),"Cabo Verde",
ISNUMBER(SEARCH("Czechia",S4237)),"Czech Republic",
ISNUMBER(SEARCH("Türkiye",S4237)),"Turkey",
ISNUMBER(SEARCH("Ivory Coast",S4237)),"Côte d'Ivoire",
ISNUMBER(SEARCH("Korea Republic",S4237)),"South Korea",
ISNUMBER(SEARCH("Germany FR",S4237)),"FR Germany",
ISNUMBER(SEARCH("West Germany",S4237)),"FR Germany",
ISNUMBER(SEARCH("Germany DR",S4237)),"DR Germany",
ISNUMBER(SEARCH("Korea DPR",S4237)),"North Korea",
ISNUMBER(SEARCH("China PR",S4237)),"China",
ISNUMBER(SEARCH("IR Iran",S4237)),"Iran",
ISNUMBER(SEARCH("Congo DR",S4237)),"Democratic Republic of the Congo",
ISNUMBER(SEARCH("DR Congo",S4237)),"Democratic Republic of the Congo",
ISNUMBER(SEARCH("German DR",S4237)),"DR Germany",
ISNUMBER(SEARCH("rn""&gt;United Arab Emirates",S4237)),"United Arab Emirates",
ISNUMBER(SEARCH("rn""&gt;Republic of Ireland",S4237)),"Ireland",
ISNUMBER(SEARCH("rn""&gt;Bosnia and Herzegovina",S4237)),"Bosnia and Herzegovina",
ISNUMBER(SEARCH("rn""&gt;Trinidad and Tobago",S4237)),"Trinidad and Tobago",
ISNUMBER(SEARCH("rn""&gt;Serbia and Montenegro",S4237)),"Serbia and Montenegro",
ISNUMBER(SEARCH(_xlfn.UNICHAR(65533),S4237)),"Côte d'Ivoire",
TRUE,""
)</f>
        <v/>
      </c>
      <c r="W4237" s="40" t="str">
        <f t="shared" si="273"/>
        <v>Uruguay</v>
      </c>
    </row>
    <row r="4238" spans="19:23">
      <c r="S4238" s="40" t="str">
        <v>England</v>
      </c>
      <c r="T4238" s="40" t="str">
        <f t="shared" si="271"/>
        <v>ERREUR</v>
      </c>
      <c r="U4238" s="40" t="str">
        <f t="shared" si="272"/>
        <v>AUCUNE</v>
      </c>
      <c r="V4238" s="40" t="str" cm="1">
        <f t="array" ref="V4238">_xlfn.IFS(
ISNUMBER(SEARCH("USA",S4238)),"United States",
ISNUMBER(SEARCH("Republic of Ireland",S4238)),"Ireland",
ISNUMBER(SEARCH("Republic of Korea",S4238)),"South Korea",
ISNUMBER(SEARCH("Cape Verde",S4238)),"Cabo Verde",
ISNUMBER(SEARCH("Czechia",S4238)),"Czech Republic",
ISNUMBER(SEARCH("Türkiye",S4238)),"Turkey",
ISNUMBER(SEARCH("Ivory Coast",S4238)),"Côte d'Ivoire",
ISNUMBER(SEARCH("Korea Republic",S4238)),"South Korea",
ISNUMBER(SEARCH("Germany FR",S4238)),"FR Germany",
ISNUMBER(SEARCH("West Germany",S4238)),"FR Germany",
ISNUMBER(SEARCH("Germany DR",S4238)),"DR Germany",
ISNUMBER(SEARCH("Korea DPR",S4238)),"North Korea",
ISNUMBER(SEARCH("China PR",S4238)),"China",
ISNUMBER(SEARCH("IR Iran",S4238)),"Iran",
ISNUMBER(SEARCH("Congo DR",S4238)),"Democratic Republic of the Congo",
ISNUMBER(SEARCH("DR Congo",S4238)),"Democratic Republic of the Congo",
ISNUMBER(SEARCH("German DR",S4238)),"DR Germany",
ISNUMBER(SEARCH("rn""&gt;United Arab Emirates",S4238)),"United Arab Emirates",
ISNUMBER(SEARCH("rn""&gt;Republic of Ireland",S4238)),"Ireland",
ISNUMBER(SEARCH("rn""&gt;Bosnia and Herzegovina",S4238)),"Bosnia and Herzegovina",
ISNUMBER(SEARCH("rn""&gt;Trinidad and Tobago",S4238)),"Trinidad and Tobago",
ISNUMBER(SEARCH("rn""&gt;Serbia and Montenegro",S4238)),"Serbia and Montenegro",
ISNUMBER(SEARCH(_xlfn.UNICHAR(65533),S4238)),"Côte d'Ivoire",
TRUE,""
)</f>
        <v/>
      </c>
      <c r="W4238" s="40" t="str">
        <f t="shared" si="273"/>
        <v>England</v>
      </c>
    </row>
    <row r="4239" spans="19:23">
      <c r="S4239" s="40" t="str">
        <v>Colombia</v>
      </c>
      <c r="T4239" s="40" t="str">
        <f t="shared" si="271"/>
        <v>OK</v>
      </c>
      <c r="U4239" s="40" t="str">
        <f t="shared" si="272"/>
        <v>-</v>
      </c>
      <c r="V4239" s="40" t="str" cm="1">
        <f t="array" ref="V4239">_xlfn.IFS(
ISNUMBER(SEARCH("USA",S4239)),"United States",
ISNUMBER(SEARCH("Republic of Ireland",S4239)),"Ireland",
ISNUMBER(SEARCH("Republic of Korea",S4239)),"South Korea",
ISNUMBER(SEARCH("Cape Verde",S4239)),"Cabo Verde",
ISNUMBER(SEARCH("Czechia",S4239)),"Czech Republic",
ISNUMBER(SEARCH("Türkiye",S4239)),"Turkey",
ISNUMBER(SEARCH("Ivory Coast",S4239)),"Côte d'Ivoire",
ISNUMBER(SEARCH("Korea Republic",S4239)),"South Korea",
ISNUMBER(SEARCH("Germany FR",S4239)),"FR Germany",
ISNUMBER(SEARCH("West Germany",S4239)),"FR Germany",
ISNUMBER(SEARCH("Germany DR",S4239)),"DR Germany",
ISNUMBER(SEARCH("Korea DPR",S4239)),"North Korea",
ISNUMBER(SEARCH("China PR",S4239)),"China",
ISNUMBER(SEARCH("IR Iran",S4239)),"Iran",
ISNUMBER(SEARCH("Congo DR",S4239)),"Democratic Republic of the Congo",
ISNUMBER(SEARCH("DR Congo",S4239)),"Democratic Republic of the Congo",
ISNUMBER(SEARCH("German DR",S4239)),"DR Germany",
ISNUMBER(SEARCH("rn""&gt;United Arab Emirates",S4239)),"United Arab Emirates",
ISNUMBER(SEARCH("rn""&gt;Republic of Ireland",S4239)),"Ireland",
ISNUMBER(SEARCH("rn""&gt;Bosnia and Herzegovina",S4239)),"Bosnia and Herzegovina",
ISNUMBER(SEARCH("rn""&gt;Trinidad and Tobago",S4239)),"Trinidad and Tobago",
ISNUMBER(SEARCH("rn""&gt;Serbia and Montenegro",S4239)),"Serbia and Montenegro",
ISNUMBER(SEARCH(_xlfn.UNICHAR(65533),S4239)),"Côte d'Ivoire",
TRUE,""
)</f>
        <v/>
      </c>
      <c r="W4239" s="40" t="str">
        <f t="shared" si="273"/>
        <v>Colombia</v>
      </c>
    </row>
    <row r="4240" spans="19:23">
      <c r="S4240" s="40" t="str">
        <v>C�te d'Ivoire</v>
      </c>
      <c r="T4240" s="40" t="str">
        <f t="shared" si="271"/>
        <v>ERREUR</v>
      </c>
      <c r="U4240" s="40" t="str">
        <f t="shared" si="272"/>
        <v>RENOMMER</v>
      </c>
      <c r="V4240" s="40" t="str" cm="1">
        <f t="array" ref="V4240">_xlfn.IFS(
ISNUMBER(SEARCH("USA",S4240)),"United States",
ISNUMBER(SEARCH("Republic of Ireland",S4240)),"Ireland",
ISNUMBER(SEARCH("Republic of Korea",S4240)),"South Korea",
ISNUMBER(SEARCH("Cape Verde",S4240)),"Cabo Verde",
ISNUMBER(SEARCH("Czechia",S4240)),"Czech Republic",
ISNUMBER(SEARCH("Türkiye",S4240)),"Turkey",
ISNUMBER(SEARCH("Ivory Coast",S4240)),"Côte d'Ivoire",
ISNUMBER(SEARCH("Korea Republic",S4240)),"South Korea",
ISNUMBER(SEARCH("Germany FR",S4240)),"FR Germany",
ISNUMBER(SEARCH("West Germany",S4240)),"FR Germany",
ISNUMBER(SEARCH("Germany DR",S4240)),"DR Germany",
ISNUMBER(SEARCH("Korea DPR",S4240)),"North Korea",
ISNUMBER(SEARCH("China PR",S4240)),"China",
ISNUMBER(SEARCH("IR Iran",S4240)),"Iran",
ISNUMBER(SEARCH("Congo DR",S4240)),"Democratic Republic of the Congo",
ISNUMBER(SEARCH("DR Congo",S4240)),"Democratic Republic of the Congo",
ISNUMBER(SEARCH("German DR",S4240)),"DR Germany",
ISNUMBER(SEARCH("rn""&gt;United Arab Emirates",S4240)),"United Arab Emirates",
ISNUMBER(SEARCH("rn""&gt;Republic of Ireland",S4240)),"Ireland",
ISNUMBER(SEARCH("rn""&gt;Bosnia and Herzegovina",S4240)),"Bosnia and Herzegovina",
ISNUMBER(SEARCH("rn""&gt;Trinidad and Tobago",S4240)),"Trinidad and Tobago",
ISNUMBER(SEARCH("rn""&gt;Serbia and Montenegro",S4240)),"Serbia and Montenegro",
ISNUMBER(SEARCH(_xlfn.UNICHAR(65533),S4240)),"Côte d'Ivoire",
TRUE,""
)</f>
        <v>Côte d'Ivoire</v>
      </c>
      <c r="W4240" s="40" t="str">
        <f t="shared" si="273"/>
        <v>Côte d'Ivoire</v>
      </c>
    </row>
    <row r="4241" spans="19:23">
      <c r="S4241" s="40" t="str">
        <v>Argentina</v>
      </c>
      <c r="T4241" s="40" t="str">
        <f t="shared" si="271"/>
        <v>OK</v>
      </c>
      <c r="U4241" s="40" t="str">
        <f t="shared" si="272"/>
        <v>-</v>
      </c>
      <c r="V4241" s="40" t="str" cm="1">
        <f t="array" ref="V4241">_xlfn.IFS(
ISNUMBER(SEARCH("USA",S4241)),"United States",
ISNUMBER(SEARCH("Republic of Ireland",S4241)),"Ireland",
ISNUMBER(SEARCH("Republic of Korea",S4241)),"South Korea",
ISNUMBER(SEARCH("Cape Verde",S4241)),"Cabo Verde",
ISNUMBER(SEARCH("Czechia",S4241)),"Czech Republic",
ISNUMBER(SEARCH("Türkiye",S4241)),"Turkey",
ISNUMBER(SEARCH("Ivory Coast",S4241)),"Côte d'Ivoire",
ISNUMBER(SEARCH("Korea Republic",S4241)),"South Korea",
ISNUMBER(SEARCH("Germany FR",S4241)),"FR Germany",
ISNUMBER(SEARCH("West Germany",S4241)),"FR Germany",
ISNUMBER(SEARCH("Germany DR",S4241)),"DR Germany",
ISNUMBER(SEARCH("Korea DPR",S4241)),"North Korea",
ISNUMBER(SEARCH("China PR",S4241)),"China",
ISNUMBER(SEARCH("IR Iran",S4241)),"Iran",
ISNUMBER(SEARCH("Congo DR",S4241)),"Democratic Republic of the Congo",
ISNUMBER(SEARCH("DR Congo",S4241)),"Democratic Republic of the Congo",
ISNUMBER(SEARCH("German DR",S4241)),"DR Germany",
ISNUMBER(SEARCH("rn""&gt;United Arab Emirates",S4241)),"United Arab Emirates",
ISNUMBER(SEARCH("rn""&gt;Republic of Ireland",S4241)),"Ireland",
ISNUMBER(SEARCH("rn""&gt;Bosnia and Herzegovina",S4241)),"Bosnia and Herzegovina",
ISNUMBER(SEARCH("rn""&gt;Trinidad and Tobago",S4241)),"Trinidad and Tobago",
ISNUMBER(SEARCH("rn""&gt;Serbia and Montenegro",S4241)),"Serbia and Montenegro",
ISNUMBER(SEARCH(_xlfn.UNICHAR(65533),S4241)),"Côte d'Ivoire",
TRUE,""
)</f>
        <v/>
      </c>
      <c r="W4241" s="40" t="str">
        <f t="shared" si="273"/>
        <v>Argentina</v>
      </c>
    </row>
    <row r="4242" spans="19:23">
      <c r="S4242" s="40" t="str">
        <v>IR Iran</v>
      </c>
      <c r="T4242" s="40" t="str">
        <f t="shared" si="271"/>
        <v>ERREUR</v>
      </c>
      <c r="U4242" s="40" t="str">
        <f t="shared" si="272"/>
        <v>RENOMMER</v>
      </c>
      <c r="V4242" s="40" t="str" cm="1">
        <f t="array" ref="V4242">_xlfn.IFS(
ISNUMBER(SEARCH("USA",S4242)),"United States",
ISNUMBER(SEARCH("Republic of Ireland",S4242)),"Ireland",
ISNUMBER(SEARCH("Republic of Korea",S4242)),"South Korea",
ISNUMBER(SEARCH("Cape Verde",S4242)),"Cabo Verde",
ISNUMBER(SEARCH("Czechia",S4242)),"Czech Republic",
ISNUMBER(SEARCH("Türkiye",S4242)),"Turkey",
ISNUMBER(SEARCH("Ivory Coast",S4242)),"Côte d'Ivoire",
ISNUMBER(SEARCH("Korea Republic",S4242)),"South Korea",
ISNUMBER(SEARCH("Germany FR",S4242)),"FR Germany",
ISNUMBER(SEARCH("West Germany",S4242)),"FR Germany",
ISNUMBER(SEARCH("Germany DR",S4242)),"DR Germany",
ISNUMBER(SEARCH("Korea DPR",S4242)),"North Korea",
ISNUMBER(SEARCH("China PR",S4242)),"China",
ISNUMBER(SEARCH("IR Iran",S4242)),"Iran",
ISNUMBER(SEARCH("Congo DR",S4242)),"Democratic Republic of the Congo",
ISNUMBER(SEARCH("DR Congo",S4242)),"Democratic Republic of the Congo",
ISNUMBER(SEARCH("German DR",S4242)),"DR Germany",
ISNUMBER(SEARCH("rn""&gt;United Arab Emirates",S4242)),"United Arab Emirates",
ISNUMBER(SEARCH("rn""&gt;Republic of Ireland",S4242)),"Ireland",
ISNUMBER(SEARCH("rn""&gt;Bosnia and Herzegovina",S4242)),"Bosnia and Herzegovina",
ISNUMBER(SEARCH("rn""&gt;Trinidad and Tobago",S4242)),"Trinidad and Tobago",
ISNUMBER(SEARCH("rn""&gt;Serbia and Montenegro",S4242)),"Serbia and Montenegro",
ISNUMBER(SEARCH(_xlfn.UNICHAR(65533),S4242)),"Côte d'Ivoire",
TRUE,""
)</f>
        <v>Iran</v>
      </c>
      <c r="W4242" s="40" t="str">
        <f t="shared" si="273"/>
        <v>Iran</v>
      </c>
    </row>
    <row r="4243" spans="19:23">
      <c r="S4243" s="40" t="str">
        <v>Switzerland</v>
      </c>
      <c r="T4243" s="40" t="str">
        <f t="shared" si="271"/>
        <v>OK</v>
      </c>
      <c r="U4243" s="40" t="str">
        <f t="shared" si="272"/>
        <v>-</v>
      </c>
      <c r="V4243" s="40" t="str" cm="1">
        <f t="array" ref="V4243">_xlfn.IFS(
ISNUMBER(SEARCH("USA",S4243)),"United States",
ISNUMBER(SEARCH("Republic of Ireland",S4243)),"Ireland",
ISNUMBER(SEARCH("Republic of Korea",S4243)),"South Korea",
ISNUMBER(SEARCH("Cape Verde",S4243)),"Cabo Verde",
ISNUMBER(SEARCH("Czechia",S4243)),"Czech Republic",
ISNUMBER(SEARCH("Türkiye",S4243)),"Turkey",
ISNUMBER(SEARCH("Ivory Coast",S4243)),"Côte d'Ivoire",
ISNUMBER(SEARCH("Korea Republic",S4243)),"South Korea",
ISNUMBER(SEARCH("Germany FR",S4243)),"FR Germany",
ISNUMBER(SEARCH("West Germany",S4243)),"FR Germany",
ISNUMBER(SEARCH("Germany DR",S4243)),"DR Germany",
ISNUMBER(SEARCH("Korea DPR",S4243)),"North Korea",
ISNUMBER(SEARCH("China PR",S4243)),"China",
ISNUMBER(SEARCH("IR Iran",S4243)),"Iran",
ISNUMBER(SEARCH("Congo DR",S4243)),"Democratic Republic of the Congo",
ISNUMBER(SEARCH("DR Congo",S4243)),"Democratic Republic of the Congo",
ISNUMBER(SEARCH("German DR",S4243)),"DR Germany",
ISNUMBER(SEARCH("rn""&gt;United Arab Emirates",S4243)),"United Arab Emirates",
ISNUMBER(SEARCH("rn""&gt;Republic of Ireland",S4243)),"Ireland",
ISNUMBER(SEARCH("rn""&gt;Bosnia and Herzegovina",S4243)),"Bosnia and Herzegovina",
ISNUMBER(SEARCH("rn""&gt;Trinidad and Tobago",S4243)),"Trinidad and Tobago",
ISNUMBER(SEARCH("rn""&gt;Serbia and Montenegro",S4243)),"Serbia and Montenegro",
ISNUMBER(SEARCH(_xlfn.UNICHAR(65533),S4243)),"Côte d'Ivoire",
TRUE,""
)</f>
        <v/>
      </c>
      <c r="W4243" s="40" t="str">
        <f t="shared" si="273"/>
        <v>Switzerland</v>
      </c>
    </row>
    <row r="4244" spans="19:23">
      <c r="S4244" s="40" t="str">
        <v>France</v>
      </c>
      <c r="T4244" s="40" t="str">
        <f t="shared" si="271"/>
        <v>OK</v>
      </c>
      <c r="U4244" s="40" t="str">
        <f t="shared" si="272"/>
        <v>-</v>
      </c>
      <c r="V4244" s="40" t="str" cm="1">
        <f t="array" ref="V4244">_xlfn.IFS(
ISNUMBER(SEARCH("USA",S4244)),"United States",
ISNUMBER(SEARCH("Republic of Ireland",S4244)),"Ireland",
ISNUMBER(SEARCH("Republic of Korea",S4244)),"South Korea",
ISNUMBER(SEARCH("Cape Verde",S4244)),"Cabo Verde",
ISNUMBER(SEARCH("Czechia",S4244)),"Czech Republic",
ISNUMBER(SEARCH("Türkiye",S4244)),"Turkey",
ISNUMBER(SEARCH("Ivory Coast",S4244)),"Côte d'Ivoire",
ISNUMBER(SEARCH("Korea Republic",S4244)),"South Korea",
ISNUMBER(SEARCH("Germany FR",S4244)),"FR Germany",
ISNUMBER(SEARCH("West Germany",S4244)),"FR Germany",
ISNUMBER(SEARCH("Germany DR",S4244)),"DR Germany",
ISNUMBER(SEARCH("Korea DPR",S4244)),"North Korea",
ISNUMBER(SEARCH("China PR",S4244)),"China",
ISNUMBER(SEARCH("IR Iran",S4244)),"Iran",
ISNUMBER(SEARCH("Congo DR",S4244)),"Democratic Republic of the Congo",
ISNUMBER(SEARCH("DR Congo",S4244)),"Democratic Republic of the Congo",
ISNUMBER(SEARCH("German DR",S4244)),"DR Germany",
ISNUMBER(SEARCH("rn""&gt;United Arab Emirates",S4244)),"United Arab Emirates",
ISNUMBER(SEARCH("rn""&gt;Republic of Ireland",S4244)),"Ireland",
ISNUMBER(SEARCH("rn""&gt;Bosnia and Herzegovina",S4244)),"Bosnia and Herzegovina",
ISNUMBER(SEARCH("rn""&gt;Trinidad and Tobago",S4244)),"Trinidad and Tobago",
ISNUMBER(SEARCH("rn""&gt;Serbia and Montenegro",S4244)),"Serbia and Montenegro",
ISNUMBER(SEARCH(_xlfn.UNICHAR(65533),S4244)),"Côte d'Ivoire",
TRUE,""
)</f>
        <v/>
      </c>
      <c r="W4244" s="40" t="str">
        <f t="shared" si="273"/>
        <v>France</v>
      </c>
    </row>
    <row r="4245" spans="19:23">
      <c r="S4245" s="40" t="str">
        <v>Germany</v>
      </c>
      <c r="T4245" s="40" t="str">
        <f t="shared" si="271"/>
        <v>OK</v>
      </c>
      <c r="U4245" s="40" t="str">
        <f t="shared" si="272"/>
        <v>-</v>
      </c>
      <c r="V4245" s="40" t="str" cm="1">
        <f t="array" ref="V4245">_xlfn.IFS(
ISNUMBER(SEARCH("USA",S4245)),"United States",
ISNUMBER(SEARCH("Republic of Ireland",S4245)),"Ireland",
ISNUMBER(SEARCH("Republic of Korea",S4245)),"South Korea",
ISNUMBER(SEARCH("Cape Verde",S4245)),"Cabo Verde",
ISNUMBER(SEARCH("Czechia",S4245)),"Czech Republic",
ISNUMBER(SEARCH("Türkiye",S4245)),"Turkey",
ISNUMBER(SEARCH("Ivory Coast",S4245)),"Côte d'Ivoire",
ISNUMBER(SEARCH("Korea Republic",S4245)),"South Korea",
ISNUMBER(SEARCH("Germany FR",S4245)),"FR Germany",
ISNUMBER(SEARCH("West Germany",S4245)),"FR Germany",
ISNUMBER(SEARCH("Germany DR",S4245)),"DR Germany",
ISNUMBER(SEARCH("Korea DPR",S4245)),"North Korea",
ISNUMBER(SEARCH("China PR",S4245)),"China",
ISNUMBER(SEARCH("IR Iran",S4245)),"Iran",
ISNUMBER(SEARCH("Congo DR",S4245)),"Democratic Republic of the Congo",
ISNUMBER(SEARCH("DR Congo",S4245)),"Democratic Republic of the Congo",
ISNUMBER(SEARCH("German DR",S4245)),"DR Germany",
ISNUMBER(SEARCH("rn""&gt;United Arab Emirates",S4245)),"United Arab Emirates",
ISNUMBER(SEARCH("rn""&gt;Republic of Ireland",S4245)),"Ireland",
ISNUMBER(SEARCH("rn""&gt;Bosnia and Herzegovina",S4245)),"Bosnia and Herzegovina",
ISNUMBER(SEARCH("rn""&gt;Trinidad and Tobago",S4245)),"Trinidad and Tobago",
ISNUMBER(SEARCH("rn""&gt;Serbia and Montenegro",S4245)),"Serbia and Montenegro",
ISNUMBER(SEARCH(_xlfn.UNICHAR(65533),S4245)),"Côte d'Ivoire",
TRUE,""
)</f>
        <v/>
      </c>
      <c r="W4245" s="40" t="str">
        <f t="shared" si="273"/>
        <v>Germany</v>
      </c>
    </row>
    <row r="4246" spans="19:23">
      <c r="S4246" s="40" t="str">
        <v>Ghana</v>
      </c>
      <c r="T4246" s="40" t="str">
        <f t="shared" si="271"/>
        <v>OK</v>
      </c>
      <c r="U4246" s="40" t="str">
        <f t="shared" si="272"/>
        <v>-</v>
      </c>
      <c r="V4246" s="40" t="str" cm="1">
        <f t="array" ref="V4246">_xlfn.IFS(
ISNUMBER(SEARCH("USA",S4246)),"United States",
ISNUMBER(SEARCH("Republic of Ireland",S4246)),"Ireland",
ISNUMBER(SEARCH("Republic of Korea",S4246)),"South Korea",
ISNUMBER(SEARCH("Cape Verde",S4246)),"Cabo Verde",
ISNUMBER(SEARCH("Czechia",S4246)),"Czech Republic",
ISNUMBER(SEARCH("Türkiye",S4246)),"Turkey",
ISNUMBER(SEARCH("Ivory Coast",S4246)),"Côte d'Ivoire",
ISNUMBER(SEARCH("Korea Republic",S4246)),"South Korea",
ISNUMBER(SEARCH("Germany FR",S4246)),"FR Germany",
ISNUMBER(SEARCH("West Germany",S4246)),"FR Germany",
ISNUMBER(SEARCH("Germany DR",S4246)),"DR Germany",
ISNUMBER(SEARCH("Korea DPR",S4246)),"North Korea",
ISNUMBER(SEARCH("China PR",S4246)),"China",
ISNUMBER(SEARCH("IR Iran",S4246)),"Iran",
ISNUMBER(SEARCH("Congo DR",S4246)),"Democratic Republic of the Congo",
ISNUMBER(SEARCH("DR Congo",S4246)),"Democratic Republic of the Congo",
ISNUMBER(SEARCH("German DR",S4246)),"DR Germany",
ISNUMBER(SEARCH("rn""&gt;United Arab Emirates",S4246)),"United Arab Emirates",
ISNUMBER(SEARCH("rn""&gt;Republic of Ireland",S4246)),"Ireland",
ISNUMBER(SEARCH("rn""&gt;Bosnia and Herzegovina",S4246)),"Bosnia and Herzegovina",
ISNUMBER(SEARCH("rn""&gt;Trinidad and Tobago",S4246)),"Trinidad and Tobago",
ISNUMBER(SEARCH("rn""&gt;Serbia and Montenegro",S4246)),"Serbia and Montenegro",
ISNUMBER(SEARCH(_xlfn.UNICHAR(65533),S4246)),"Côte d'Ivoire",
TRUE,""
)</f>
        <v/>
      </c>
      <c r="W4246" s="40" t="str">
        <f t="shared" si="273"/>
        <v>Ghana</v>
      </c>
    </row>
    <row r="4247" spans="19:23">
      <c r="S4247" s="40" t="str">
        <v>Belgium</v>
      </c>
      <c r="T4247" s="40" t="str">
        <f t="shared" si="271"/>
        <v>OK</v>
      </c>
      <c r="U4247" s="40" t="str">
        <f t="shared" si="272"/>
        <v>-</v>
      </c>
      <c r="V4247" s="40" t="str" cm="1">
        <f t="array" ref="V4247">_xlfn.IFS(
ISNUMBER(SEARCH("USA",S4247)),"United States",
ISNUMBER(SEARCH("Republic of Ireland",S4247)),"Ireland",
ISNUMBER(SEARCH("Republic of Korea",S4247)),"South Korea",
ISNUMBER(SEARCH("Cape Verde",S4247)),"Cabo Verde",
ISNUMBER(SEARCH("Czechia",S4247)),"Czech Republic",
ISNUMBER(SEARCH("Türkiye",S4247)),"Turkey",
ISNUMBER(SEARCH("Ivory Coast",S4247)),"Côte d'Ivoire",
ISNUMBER(SEARCH("Korea Republic",S4247)),"South Korea",
ISNUMBER(SEARCH("Germany FR",S4247)),"FR Germany",
ISNUMBER(SEARCH("West Germany",S4247)),"FR Germany",
ISNUMBER(SEARCH("Germany DR",S4247)),"DR Germany",
ISNUMBER(SEARCH("Korea DPR",S4247)),"North Korea",
ISNUMBER(SEARCH("China PR",S4247)),"China",
ISNUMBER(SEARCH("IR Iran",S4247)),"Iran",
ISNUMBER(SEARCH("Congo DR",S4247)),"Democratic Republic of the Congo",
ISNUMBER(SEARCH("DR Congo",S4247)),"Democratic Republic of the Congo",
ISNUMBER(SEARCH("German DR",S4247)),"DR Germany",
ISNUMBER(SEARCH("rn""&gt;United Arab Emirates",S4247)),"United Arab Emirates",
ISNUMBER(SEARCH("rn""&gt;Republic of Ireland",S4247)),"Ireland",
ISNUMBER(SEARCH("rn""&gt;Bosnia and Herzegovina",S4247)),"Bosnia and Herzegovina",
ISNUMBER(SEARCH("rn""&gt;Trinidad and Tobago",S4247)),"Trinidad and Tobago",
ISNUMBER(SEARCH("rn""&gt;Serbia and Montenegro",S4247)),"Serbia and Montenegro",
ISNUMBER(SEARCH(_xlfn.UNICHAR(65533),S4247)),"Côte d'Ivoire",
TRUE,""
)</f>
        <v/>
      </c>
      <c r="W4247" s="40" t="str">
        <f t="shared" si="273"/>
        <v>Belgium</v>
      </c>
    </row>
    <row r="4248" spans="19:23">
      <c r="S4248" s="40" t="str">
        <v>Russia</v>
      </c>
      <c r="T4248" s="40" t="str">
        <f t="shared" si="271"/>
        <v>OK</v>
      </c>
      <c r="U4248" s="40" t="str">
        <f t="shared" si="272"/>
        <v>-</v>
      </c>
      <c r="V4248" s="40" t="str" cm="1">
        <f t="array" ref="V4248">_xlfn.IFS(
ISNUMBER(SEARCH("USA",S4248)),"United States",
ISNUMBER(SEARCH("Republic of Ireland",S4248)),"Ireland",
ISNUMBER(SEARCH("Republic of Korea",S4248)),"South Korea",
ISNUMBER(SEARCH("Cape Verde",S4248)),"Cabo Verde",
ISNUMBER(SEARCH("Czechia",S4248)),"Czech Republic",
ISNUMBER(SEARCH("Türkiye",S4248)),"Turkey",
ISNUMBER(SEARCH("Ivory Coast",S4248)),"Côte d'Ivoire",
ISNUMBER(SEARCH("Korea Republic",S4248)),"South Korea",
ISNUMBER(SEARCH("Germany FR",S4248)),"FR Germany",
ISNUMBER(SEARCH("West Germany",S4248)),"FR Germany",
ISNUMBER(SEARCH("Germany DR",S4248)),"DR Germany",
ISNUMBER(SEARCH("Korea DPR",S4248)),"North Korea",
ISNUMBER(SEARCH("China PR",S4248)),"China",
ISNUMBER(SEARCH("IR Iran",S4248)),"Iran",
ISNUMBER(SEARCH("Congo DR",S4248)),"Democratic Republic of the Congo",
ISNUMBER(SEARCH("DR Congo",S4248)),"Democratic Republic of the Congo",
ISNUMBER(SEARCH("German DR",S4248)),"DR Germany",
ISNUMBER(SEARCH("rn""&gt;United Arab Emirates",S4248)),"United Arab Emirates",
ISNUMBER(SEARCH("rn""&gt;Republic of Ireland",S4248)),"Ireland",
ISNUMBER(SEARCH("rn""&gt;Bosnia and Herzegovina",S4248)),"Bosnia and Herzegovina",
ISNUMBER(SEARCH("rn""&gt;Trinidad and Tobago",S4248)),"Trinidad and Tobago",
ISNUMBER(SEARCH("rn""&gt;Serbia and Montenegro",S4248)),"Serbia and Montenegro",
ISNUMBER(SEARCH(_xlfn.UNICHAR(65533),S4248)),"Côte d'Ivoire",
TRUE,""
)</f>
        <v/>
      </c>
      <c r="W4248" s="40" t="str">
        <f t="shared" si="273"/>
        <v>Russia</v>
      </c>
    </row>
    <row r="4249" spans="19:23">
      <c r="S4249" s="40" t="str">
        <v>Chile</v>
      </c>
      <c r="T4249" s="40" t="str">
        <f t="shared" si="271"/>
        <v>OK</v>
      </c>
      <c r="U4249" s="40" t="str">
        <f t="shared" si="272"/>
        <v>-</v>
      </c>
      <c r="V4249" s="40" t="str" cm="1">
        <f t="array" ref="V4249">_xlfn.IFS(
ISNUMBER(SEARCH("USA",S4249)),"United States",
ISNUMBER(SEARCH("Republic of Ireland",S4249)),"Ireland",
ISNUMBER(SEARCH("Republic of Korea",S4249)),"South Korea",
ISNUMBER(SEARCH("Cape Verde",S4249)),"Cabo Verde",
ISNUMBER(SEARCH("Czechia",S4249)),"Czech Republic",
ISNUMBER(SEARCH("Türkiye",S4249)),"Turkey",
ISNUMBER(SEARCH("Ivory Coast",S4249)),"Côte d'Ivoire",
ISNUMBER(SEARCH("Korea Republic",S4249)),"South Korea",
ISNUMBER(SEARCH("Germany FR",S4249)),"FR Germany",
ISNUMBER(SEARCH("West Germany",S4249)),"FR Germany",
ISNUMBER(SEARCH("Germany DR",S4249)),"DR Germany",
ISNUMBER(SEARCH("Korea DPR",S4249)),"North Korea",
ISNUMBER(SEARCH("China PR",S4249)),"China",
ISNUMBER(SEARCH("IR Iran",S4249)),"Iran",
ISNUMBER(SEARCH("Congo DR",S4249)),"Democratic Republic of the Congo",
ISNUMBER(SEARCH("DR Congo",S4249)),"Democratic Republic of the Congo",
ISNUMBER(SEARCH("German DR",S4249)),"DR Germany",
ISNUMBER(SEARCH("rn""&gt;United Arab Emirates",S4249)),"United Arab Emirates",
ISNUMBER(SEARCH("rn""&gt;Republic of Ireland",S4249)),"Ireland",
ISNUMBER(SEARCH("rn""&gt;Bosnia and Herzegovina",S4249)),"Bosnia and Herzegovina",
ISNUMBER(SEARCH("rn""&gt;Trinidad and Tobago",S4249)),"Trinidad and Tobago",
ISNUMBER(SEARCH("rn""&gt;Serbia and Montenegro",S4249)),"Serbia and Montenegro",
ISNUMBER(SEARCH(_xlfn.UNICHAR(65533),S4249)),"Côte d'Ivoire",
TRUE,""
)</f>
        <v/>
      </c>
      <c r="W4249" s="40" t="str">
        <f t="shared" si="273"/>
        <v>Chile</v>
      </c>
    </row>
    <row r="4250" spans="19:23">
      <c r="S4250" s="40" t="str">
        <v>Uruguay</v>
      </c>
      <c r="T4250" s="40" t="str">
        <f t="shared" si="271"/>
        <v>OK</v>
      </c>
      <c r="U4250" s="40" t="str">
        <f t="shared" si="272"/>
        <v>-</v>
      </c>
      <c r="V4250" s="40" t="str" cm="1">
        <f t="array" ref="V4250">_xlfn.IFS(
ISNUMBER(SEARCH("USA",S4250)),"United States",
ISNUMBER(SEARCH("Republic of Ireland",S4250)),"Ireland",
ISNUMBER(SEARCH("Republic of Korea",S4250)),"South Korea",
ISNUMBER(SEARCH("Cape Verde",S4250)),"Cabo Verde",
ISNUMBER(SEARCH("Czechia",S4250)),"Czech Republic",
ISNUMBER(SEARCH("Türkiye",S4250)),"Turkey",
ISNUMBER(SEARCH("Ivory Coast",S4250)),"Côte d'Ivoire",
ISNUMBER(SEARCH("Korea Republic",S4250)),"South Korea",
ISNUMBER(SEARCH("Germany FR",S4250)),"FR Germany",
ISNUMBER(SEARCH("West Germany",S4250)),"FR Germany",
ISNUMBER(SEARCH("Germany DR",S4250)),"DR Germany",
ISNUMBER(SEARCH("Korea DPR",S4250)),"North Korea",
ISNUMBER(SEARCH("China PR",S4250)),"China",
ISNUMBER(SEARCH("IR Iran",S4250)),"Iran",
ISNUMBER(SEARCH("Congo DR",S4250)),"Democratic Republic of the Congo",
ISNUMBER(SEARCH("DR Congo",S4250)),"Democratic Republic of the Congo",
ISNUMBER(SEARCH("German DR",S4250)),"DR Germany",
ISNUMBER(SEARCH("rn""&gt;United Arab Emirates",S4250)),"United Arab Emirates",
ISNUMBER(SEARCH("rn""&gt;Republic of Ireland",S4250)),"Ireland",
ISNUMBER(SEARCH("rn""&gt;Bosnia and Herzegovina",S4250)),"Bosnia and Herzegovina",
ISNUMBER(SEARCH("rn""&gt;Trinidad and Tobago",S4250)),"Trinidad and Tobago",
ISNUMBER(SEARCH("rn""&gt;Serbia and Montenegro",S4250)),"Serbia and Montenegro",
ISNUMBER(SEARCH(_xlfn.UNICHAR(65533),S4250)),"Côte d'Ivoire",
TRUE,""
)</f>
        <v/>
      </c>
      <c r="W4250" s="40" t="str">
        <f t="shared" si="273"/>
        <v>Uruguay</v>
      </c>
    </row>
    <row r="4251" spans="19:23">
      <c r="S4251" s="40" t="str">
        <v>Nigeria</v>
      </c>
      <c r="T4251" s="40" t="str">
        <f t="shared" si="271"/>
        <v>OK</v>
      </c>
      <c r="U4251" s="40" t="str">
        <f t="shared" si="272"/>
        <v>-</v>
      </c>
      <c r="V4251" s="40" t="str" cm="1">
        <f t="array" ref="V4251">_xlfn.IFS(
ISNUMBER(SEARCH("USA",S4251)),"United States",
ISNUMBER(SEARCH("Republic of Ireland",S4251)),"Ireland",
ISNUMBER(SEARCH("Republic of Korea",S4251)),"South Korea",
ISNUMBER(SEARCH("Cape Verde",S4251)),"Cabo Verde",
ISNUMBER(SEARCH("Czechia",S4251)),"Czech Republic",
ISNUMBER(SEARCH("Türkiye",S4251)),"Turkey",
ISNUMBER(SEARCH("Ivory Coast",S4251)),"Côte d'Ivoire",
ISNUMBER(SEARCH("Korea Republic",S4251)),"South Korea",
ISNUMBER(SEARCH("Germany FR",S4251)),"FR Germany",
ISNUMBER(SEARCH("West Germany",S4251)),"FR Germany",
ISNUMBER(SEARCH("Germany DR",S4251)),"DR Germany",
ISNUMBER(SEARCH("Korea DPR",S4251)),"North Korea",
ISNUMBER(SEARCH("China PR",S4251)),"China",
ISNUMBER(SEARCH("IR Iran",S4251)),"Iran",
ISNUMBER(SEARCH("Congo DR",S4251)),"Democratic Republic of the Congo",
ISNUMBER(SEARCH("DR Congo",S4251)),"Democratic Republic of the Congo",
ISNUMBER(SEARCH("German DR",S4251)),"DR Germany",
ISNUMBER(SEARCH("rn""&gt;United Arab Emirates",S4251)),"United Arab Emirates",
ISNUMBER(SEARCH("rn""&gt;Republic of Ireland",S4251)),"Ireland",
ISNUMBER(SEARCH("rn""&gt;Bosnia and Herzegovina",S4251)),"Bosnia and Herzegovina",
ISNUMBER(SEARCH("rn""&gt;Trinidad and Tobago",S4251)),"Trinidad and Tobago",
ISNUMBER(SEARCH("rn""&gt;Serbia and Montenegro",S4251)),"Serbia and Montenegro",
ISNUMBER(SEARCH(_xlfn.UNICHAR(65533),S4251)),"Côte d'Ivoire",
TRUE,""
)</f>
        <v/>
      </c>
      <c r="W4251" s="40" t="str">
        <f t="shared" si="273"/>
        <v>Nigeria</v>
      </c>
    </row>
    <row r="4252" spans="19:23">
      <c r="S4252" s="40" t="str">
        <v>Algeria</v>
      </c>
      <c r="T4252" s="40" t="str">
        <f t="shared" si="271"/>
        <v>OK</v>
      </c>
      <c r="U4252" s="40" t="str">
        <f t="shared" si="272"/>
        <v>-</v>
      </c>
      <c r="V4252" s="40" t="str" cm="1">
        <f t="array" ref="V4252">_xlfn.IFS(
ISNUMBER(SEARCH("USA",S4252)),"United States",
ISNUMBER(SEARCH("Republic of Ireland",S4252)),"Ireland",
ISNUMBER(SEARCH("Republic of Korea",S4252)),"South Korea",
ISNUMBER(SEARCH("Cape Verde",S4252)),"Cabo Verde",
ISNUMBER(SEARCH("Czechia",S4252)),"Czech Republic",
ISNUMBER(SEARCH("Türkiye",S4252)),"Turkey",
ISNUMBER(SEARCH("Ivory Coast",S4252)),"Côte d'Ivoire",
ISNUMBER(SEARCH("Korea Republic",S4252)),"South Korea",
ISNUMBER(SEARCH("Germany FR",S4252)),"FR Germany",
ISNUMBER(SEARCH("West Germany",S4252)),"FR Germany",
ISNUMBER(SEARCH("Germany DR",S4252)),"DR Germany",
ISNUMBER(SEARCH("Korea DPR",S4252)),"North Korea",
ISNUMBER(SEARCH("China PR",S4252)),"China",
ISNUMBER(SEARCH("IR Iran",S4252)),"Iran",
ISNUMBER(SEARCH("Congo DR",S4252)),"Democratic Republic of the Congo",
ISNUMBER(SEARCH("DR Congo",S4252)),"Democratic Republic of the Congo",
ISNUMBER(SEARCH("German DR",S4252)),"DR Germany",
ISNUMBER(SEARCH("rn""&gt;United Arab Emirates",S4252)),"United Arab Emirates",
ISNUMBER(SEARCH("rn""&gt;Republic of Ireland",S4252)),"Ireland",
ISNUMBER(SEARCH("rn""&gt;Bosnia and Herzegovina",S4252)),"Bosnia and Herzegovina",
ISNUMBER(SEARCH("rn""&gt;Trinidad and Tobago",S4252)),"Trinidad and Tobago",
ISNUMBER(SEARCH("rn""&gt;Serbia and Montenegro",S4252)),"Serbia and Montenegro",
ISNUMBER(SEARCH(_xlfn.UNICHAR(65533),S4252)),"Côte d'Ivoire",
TRUE,""
)</f>
        <v/>
      </c>
      <c r="W4252" s="40" t="str">
        <f t="shared" si="273"/>
        <v>Algeria</v>
      </c>
    </row>
    <row r="4253" spans="19:23">
      <c r="S4253" s="40" t="str">
        <v>Colombia</v>
      </c>
      <c r="T4253" s="40" t="str">
        <f t="shared" si="271"/>
        <v>OK</v>
      </c>
      <c r="U4253" s="40" t="str">
        <f t="shared" si="272"/>
        <v>-</v>
      </c>
      <c r="V4253" s="40" t="str" cm="1">
        <f t="array" ref="V4253">_xlfn.IFS(
ISNUMBER(SEARCH("USA",S4253)),"United States",
ISNUMBER(SEARCH("Republic of Ireland",S4253)),"Ireland",
ISNUMBER(SEARCH("Republic of Korea",S4253)),"South Korea",
ISNUMBER(SEARCH("Cape Verde",S4253)),"Cabo Verde",
ISNUMBER(SEARCH("Czechia",S4253)),"Czech Republic",
ISNUMBER(SEARCH("Türkiye",S4253)),"Turkey",
ISNUMBER(SEARCH("Ivory Coast",S4253)),"Côte d'Ivoire",
ISNUMBER(SEARCH("Korea Republic",S4253)),"South Korea",
ISNUMBER(SEARCH("Germany FR",S4253)),"FR Germany",
ISNUMBER(SEARCH("West Germany",S4253)),"FR Germany",
ISNUMBER(SEARCH("Germany DR",S4253)),"DR Germany",
ISNUMBER(SEARCH("Korea DPR",S4253)),"North Korea",
ISNUMBER(SEARCH("China PR",S4253)),"China",
ISNUMBER(SEARCH("IR Iran",S4253)),"Iran",
ISNUMBER(SEARCH("Congo DR",S4253)),"Democratic Republic of the Congo",
ISNUMBER(SEARCH("DR Congo",S4253)),"Democratic Republic of the Congo",
ISNUMBER(SEARCH("German DR",S4253)),"DR Germany",
ISNUMBER(SEARCH("rn""&gt;United Arab Emirates",S4253)),"United Arab Emirates",
ISNUMBER(SEARCH("rn""&gt;Republic of Ireland",S4253)),"Ireland",
ISNUMBER(SEARCH("rn""&gt;Bosnia and Herzegovina",S4253)),"Bosnia and Herzegovina",
ISNUMBER(SEARCH("rn""&gt;Trinidad and Tobago",S4253)),"Trinidad and Tobago",
ISNUMBER(SEARCH("rn""&gt;Serbia and Montenegro",S4253)),"Serbia and Montenegro",
ISNUMBER(SEARCH(_xlfn.UNICHAR(65533),S4253)),"Côte d'Ivoire",
TRUE,""
)</f>
        <v/>
      </c>
      <c r="W4253" s="40" t="str">
        <f t="shared" si="273"/>
        <v>Colombia</v>
      </c>
    </row>
    <row r="4254" spans="19:23">
      <c r="S4254" s="40" t="str">
        <v>Germany</v>
      </c>
      <c r="T4254" s="40" t="str">
        <f t="shared" si="271"/>
        <v>OK</v>
      </c>
      <c r="U4254" s="40" t="str">
        <f t="shared" si="272"/>
        <v>-</v>
      </c>
      <c r="V4254" s="40" t="str" cm="1">
        <f t="array" ref="V4254">_xlfn.IFS(
ISNUMBER(SEARCH("USA",S4254)),"United States",
ISNUMBER(SEARCH("Republic of Ireland",S4254)),"Ireland",
ISNUMBER(SEARCH("Republic of Korea",S4254)),"South Korea",
ISNUMBER(SEARCH("Cape Verde",S4254)),"Cabo Verde",
ISNUMBER(SEARCH("Czechia",S4254)),"Czech Republic",
ISNUMBER(SEARCH("Türkiye",S4254)),"Turkey",
ISNUMBER(SEARCH("Ivory Coast",S4254)),"Côte d'Ivoire",
ISNUMBER(SEARCH("Korea Republic",S4254)),"South Korea",
ISNUMBER(SEARCH("Germany FR",S4254)),"FR Germany",
ISNUMBER(SEARCH("West Germany",S4254)),"FR Germany",
ISNUMBER(SEARCH("Germany DR",S4254)),"DR Germany",
ISNUMBER(SEARCH("Korea DPR",S4254)),"North Korea",
ISNUMBER(SEARCH("China PR",S4254)),"China",
ISNUMBER(SEARCH("IR Iran",S4254)),"Iran",
ISNUMBER(SEARCH("Congo DR",S4254)),"Democratic Republic of the Congo",
ISNUMBER(SEARCH("DR Congo",S4254)),"Democratic Republic of the Congo",
ISNUMBER(SEARCH("German DR",S4254)),"DR Germany",
ISNUMBER(SEARCH("rn""&gt;United Arab Emirates",S4254)),"United Arab Emirates",
ISNUMBER(SEARCH("rn""&gt;Republic of Ireland",S4254)),"Ireland",
ISNUMBER(SEARCH("rn""&gt;Bosnia and Herzegovina",S4254)),"Bosnia and Herzegovina",
ISNUMBER(SEARCH("rn""&gt;Trinidad and Tobago",S4254)),"Trinidad and Tobago",
ISNUMBER(SEARCH("rn""&gt;Serbia and Montenegro",S4254)),"Serbia and Montenegro",
ISNUMBER(SEARCH(_xlfn.UNICHAR(65533),S4254)),"Côte d'Ivoire",
TRUE,""
)</f>
        <v/>
      </c>
      <c r="W4254" s="40" t="str">
        <f t="shared" si="273"/>
        <v>Germany</v>
      </c>
    </row>
    <row r="4255" spans="19:23">
      <c r="S4255" s="40" t="str">
        <v>Germany</v>
      </c>
      <c r="T4255" s="40" t="str">
        <f t="shared" si="271"/>
        <v>OK</v>
      </c>
      <c r="U4255" s="40" t="str">
        <f t="shared" si="272"/>
        <v>-</v>
      </c>
      <c r="V4255" s="40" t="str" cm="1">
        <f t="array" ref="V4255">_xlfn.IFS(
ISNUMBER(SEARCH("USA",S4255)),"United States",
ISNUMBER(SEARCH("Republic of Ireland",S4255)),"Ireland",
ISNUMBER(SEARCH("Republic of Korea",S4255)),"South Korea",
ISNUMBER(SEARCH("Cape Verde",S4255)),"Cabo Verde",
ISNUMBER(SEARCH("Czechia",S4255)),"Czech Republic",
ISNUMBER(SEARCH("Türkiye",S4255)),"Turkey",
ISNUMBER(SEARCH("Ivory Coast",S4255)),"Côte d'Ivoire",
ISNUMBER(SEARCH("Korea Republic",S4255)),"South Korea",
ISNUMBER(SEARCH("Germany FR",S4255)),"FR Germany",
ISNUMBER(SEARCH("West Germany",S4255)),"FR Germany",
ISNUMBER(SEARCH("Germany DR",S4255)),"DR Germany",
ISNUMBER(SEARCH("Korea DPR",S4255)),"North Korea",
ISNUMBER(SEARCH("China PR",S4255)),"China",
ISNUMBER(SEARCH("IR Iran",S4255)),"Iran",
ISNUMBER(SEARCH("Congo DR",S4255)),"Democratic Republic of the Congo",
ISNUMBER(SEARCH("DR Congo",S4255)),"Democratic Republic of the Congo",
ISNUMBER(SEARCH("German DR",S4255)),"DR Germany",
ISNUMBER(SEARCH("rn""&gt;United Arab Emirates",S4255)),"United Arab Emirates",
ISNUMBER(SEARCH("rn""&gt;Republic of Ireland",S4255)),"Ireland",
ISNUMBER(SEARCH("rn""&gt;Bosnia and Herzegovina",S4255)),"Bosnia and Herzegovina",
ISNUMBER(SEARCH("rn""&gt;Trinidad and Tobago",S4255)),"Trinidad and Tobago",
ISNUMBER(SEARCH("rn""&gt;Serbia and Montenegro",S4255)),"Serbia and Montenegro",
ISNUMBER(SEARCH(_xlfn.UNICHAR(65533),S4255)),"Côte d'Ivoire",
TRUE,""
)</f>
        <v/>
      </c>
      <c r="W4255" s="40" t="str">
        <f t="shared" si="273"/>
        <v>Germany</v>
      </c>
    </row>
    <row r="4256" spans="19:23">
      <c r="S4256" s="40" t="str">
        <v>Netherlands</v>
      </c>
      <c r="T4256" s="40" t="str">
        <f t="shared" si="271"/>
        <v>OK</v>
      </c>
      <c r="U4256" s="40" t="str">
        <f t="shared" si="272"/>
        <v>-</v>
      </c>
      <c r="V4256" s="40" t="str" cm="1">
        <f t="array" ref="V4256">_xlfn.IFS(
ISNUMBER(SEARCH("USA",S4256)),"United States",
ISNUMBER(SEARCH("Republic of Ireland",S4256)),"Ireland",
ISNUMBER(SEARCH("Republic of Korea",S4256)),"South Korea",
ISNUMBER(SEARCH("Cape Verde",S4256)),"Cabo Verde",
ISNUMBER(SEARCH("Czechia",S4256)),"Czech Republic",
ISNUMBER(SEARCH("Türkiye",S4256)),"Turkey",
ISNUMBER(SEARCH("Ivory Coast",S4256)),"Côte d'Ivoire",
ISNUMBER(SEARCH("Korea Republic",S4256)),"South Korea",
ISNUMBER(SEARCH("Germany FR",S4256)),"FR Germany",
ISNUMBER(SEARCH("West Germany",S4256)),"FR Germany",
ISNUMBER(SEARCH("Germany DR",S4256)),"DR Germany",
ISNUMBER(SEARCH("Korea DPR",S4256)),"North Korea",
ISNUMBER(SEARCH("China PR",S4256)),"China",
ISNUMBER(SEARCH("IR Iran",S4256)),"Iran",
ISNUMBER(SEARCH("Congo DR",S4256)),"Democratic Republic of the Congo",
ISNUMBER(SEARCH("DR Congo",S4256)),"Democratic Republic of the Congo",
ISNUMBER(SEARCH("German DR",S4256)),"DR Germany",
ISNUMBER(SEARCH("rn""&gt;United Arab Emirates",S4256)),"United Arab Emirates",
ISNUMBER(SEARCH("rn""&gt;Republic of Ireland",S4256)),"Ireland",
ISNUMBER(SEARCH("rn""&gt;Bosnia and Herzegovina",S4256)),"Bosnia and Herzegovina",
ISNUMBER(SEARCH("rn""&gt;Trinidad and Tobago",S4256)),"Trinidad and Tobago",
ISNUMBER(SEARCH("rn""&gt;Serbia and Montenegro",S4256)),"Serbia and Montenegro",
ISNUMBER(SEARCH(_xlfn.UNICHAR(65533),S4256)),"Côte d'Ivoire",
TRUE,""
)</f>
        <v/>
      </c>
      <c r="W4256" s="40" t="str">
        <f t="shared" si="273"/>
        <v>Netherlands</v>
      </c>
    </row>
    <row r="4257" spans="19:23">
      <c r="S4257" s="40" t="str">
        <v>Argentina</v>
      </c>
      <c r="T4257" s="40" t="str">
        <f t="shared" si="271"/>
        <v>OK</v>
      </c>
      <c r="U4257" s="40" t="str">
        <f t="shared" si="272"/>
        <v>-</v>
      </c>
      <c r="V4257" s="40" t="str" cm="1">
        <f t="array" ref="V4257">_xlfn.IFS(
ISNUMBER(SEARCH("USA",S4257)),"United States",
ISNUMBER(SEARCH("Republic of Ireland",S4257)),"Ireland",
ISNUMBER(SEARCH("Republic of Korea",S4257)),"South Korea",
ISNUMBER(SEARCH("Cape Verde",S4257)),"Cabo Verde",
ISNUMBER(SEARCH("Czechia",S4257)),"Czech Republic",
ISNUMBER(SEARCH("Türkiye",S4257)),"Turkey",
ISNUMBER(SEARCH("Ivory Coast",S4257)),"Côte d'Ivoire",
ISNUMBER(SEARCH("Korea Republic",S4257)),"South Korea",
ISNUMBER(SEARCH("Germany FR",S4257)),"FR Germany",
ISNUMBER(SEARCH("West Germany",S4257)),"FR Germany",
ISNUMBER(SEARCH("Germany DR",S4257)),"DR Germany",
ISNUMBER(SEARCH("Korea DPR",S4257)),"North Korea",
ISNUMBER(SEARCH("China PR",S4257)),"China",
ISNUMBER(SEARCH("IR Iran",S4257)),"Iran",
ISNUMBER(SEARCH("Congo DR",S4257)),"Democratic Republic of the Congo",
ISNUMBER(SEARCH("DR Congo",S4257)),"Democratic Republic of the Congo",
ISNUMBER(SEARCH("German DR",S4257)),"DR Germany",
ISNUMBER(SEARCH("rn""&gt;United Arab Emirates",S4257)),"United Arab Emirates",
ISNUMBER(SEARCH("rn""&gt;Republic of Ireland",S4257)),"Ireland",
ISNUMBER(SEARCH("rn""&gt;Bosnia and Herzegovina",S4257)),"Bosnia and Herzegovina",
ISNUMBER(SEARCH("rn""&gt;Trinidad and Tobago",S4257)),"Trinidad and Tobago",
ISNUMBER(SEARCH("rn""&gt;Serbia and Montenegro",S4257)),"Serbia and Montenegro",
ISNUMBER(SEARCH(_xlfn.UNICHAR(65533),S4257)),"Côte d'Ivoire",
TRUE,""
)</f>
        <v/>
      </c>
      <c r="W4257" s="40" t="str">
        <f t="shared" si="273"/>
        <v>Argentina</v>
      </c>
    </row>
    <row r="4258" spans="19:23">
      <c r="S4258" s="40" t="str">
        <v>Argentina</v>
      </c>
      <c r="T4258" s="40" t="str">
        <f t="shared" si="271"/>
        <v>OK</v>
      </c>
      <c r="U4258" s="40" t="str">
        <f t="shared" si="272"/>
        <v>-</v>
      </c>
      <c r="V4258" s="40" t="str" cm="1">
        <f t="array" ref="V4258">_xlfn.IFS(
ISNUMBER(SEARCH("USA",S4258)),"United States",
ISNUMBER(SEARCH("Republic of Ireland",S4258)),"Ireland",
ISNUMBER(SEARCH("Republic of Korea",S4258)),"South Korea",
ISNUMBER(SEARCH("Cape Verde",S4258)),"Cabo Verde",
ISNUMBER(SEARCH("Czechia",S4258)),"Czech Republic",
ISNUMBER(SEARCH("Türkiye",S4258)),"Turkey",
ISNUMBER(SEARCH("Ivory Coast",S4258)),"Côte d'Ivoire",
ISNUMBER(SEARCH("Korea Republic",S4258)),"South Korea",
ISNUMBER(SEARCH("Germany FR",S4258)),"FR Germany",
ISNUMBER(SEARCH("West Germany",S4258)),"FR Germany",
ISNUMBER(SEARCH("Germany DR",S4258)),"DR Germany",
ISNUMBER(SEARCH("Korea DPR",S4258)),"North Korea",
ISNUMBER(SEARCH("China PR",S4258)),"China",
ISNUMBER(SEARCH("IR Iran",S4258)),"Iran",
ISNUMBER(SEARCH("Congo DR",S4258)),"Democratic Republic of the Congo",
ISNUMBER(SEARCH("DR Congo",S4258)),"Democratic Republic of the Congo",
ISNUMBER(SEARCH("German DR",S4258)),"DR Germany",
ISNUMBER(SEARCH("rn""&gt;United Arab Emirates",S4258)),"United Arab Emirates",
ISNUMBER(SEARCH("rn""&gt;Republic of Ireland",S4258)),"Ireland",
ISNUMBER(SEARCH("rn""&gt;Bosnia and Herzegovina",S4258)),"Bosnia and Herzegovina",
ISNUMBER(SEARCH("rn""&gt;Trinidad and Tobago",S4258)),"Trinidad and Tobago",
ISNUMBER(SEARCH("rn""&gt;Serbia and Montenegro",S4258)),"Serbia and Montenegro",
ISNUMBER(SEARCH(_xlfn.UNICHAR(65533),S4258)),"Côte d'Ivoire",
TRUE,""
)</f>
        <v/>
      </c>
      <c r="W4258" s="40" t="str">
        <f t="shared" si="273"/>
        <v>Argentina</v>
      </c>
    </row>
    <row r="4259" spans="19:23">
      <c r="S4259" s="40" t="str">
        <v>Costa Rica</v>
      </c>
      <c r="T4259" s="40" t="str">
        <f t="shared" si="271"/>
        <v>OK</v>
      </c>
      <c r="U4259" s="40" t="str">
        <f t="shared" si="272"/>
        <v>-</v>
      </c>
      <c r="V4259" s="40" t="str" cm="1">
        <f t="array" ref="V4259">_xlfn.IFS(
ISNUMBER(SEARCH("USA",S4259)),"United States",
ISNUMBER(SEARCH("Republic of Ireland",S4259)),"Ireland",
ISNUMBER(SEARCH("Republic of Korea",S4259)),"South Korea",
ISNUMBER(SEARCH("Cape Verde",S4259)),"Cabo Verde",
ISNUMBER(SEARCH("Czechia",S4259)),"Czech Republic",
ISNUMBER(SEARCH("Türkiye",S4259)),"Turkey",
ISNUMBER(SEARCH("Ivory Coast",S4259)),"Côte d'Ivoire",
ISNUMBER(SEARCH("Korea Republic",S4259)),"South Korea",
ISNUMBER(SEARCH("Germany FR",S4259)),"FR Germany",
ISNUMBER(SEARCH("West Germany",S4259)),"FR Germany",
ISNUMBER(SEARCH("Germany DR",S4259)),"DR Germany",
ISNUMBER(SEARCH("Korea DPR",S4259)),"North Korea",
ISNUMBER(SEARCH("China PR",S4259)),"China",
ISNUMBER(SEARCH("IR Iran",S4259)),"Iran",
ISNUMBER(SEARCH("Congo DR",S4259)),"Democratic Republic of the Congo",
ISNUMBER(SEARCH("DR Congo",S4259)),"Democratic Republic of the Congo",
ISNUMBER(SEARCH("German DR",S4259)),"DR Germany",
ISNUMBER(SEARCH("rn""&gt;United Arab Emirates",S4259)),"United Arab Emirates",
ISNUMBER(SEARCH("rn""&gt;Republic of Ireland",S4259)),"Ireland",
ISNUMBER(SEARCH("rn""&gt;Bosnia and Herzegovina",S4259)),"Bosnia and Herzegovina",
ISNUMBER(SEARCH("rn""&gt;Trinidad and Tobago",S4259)),"Trinidad and Tobago",
ISNUMBER(SEARCH("rn""&gt;Serbia and Montenegro",S4259)),"Serbia and Montenegro",
ISNUMBER(SEARCH(_xlfn.UNICHAR(65533),S4259)),"Côte d'Ivoire",
TRUE,""
)</f>
        <v/>
      </c>
      <c r="W4259" s="40" t="str">
        <f t="shared" si="273"/>
        <v>Costa Rica</v>
      </c>
    </row>
    <row r="4260" spans="19:23">
      <c r="S4260" s="40" t="str">
        <v>Belgium</v>
      </c>
      <c r="T4260" s="40" t="str">
        <f t="shared" si="271"/>
        <v>OK</v>
      </c>
      <c r="U4260" s="40" t="str">
        <f t="shared" si="272"/>
        <v>-</v>
      </c>
      <c r="V4260" s="40" t="str" cm="1">
        <f t="array" ref="V4260">_xlfn.IFS(
ISNUMBER(SEARCH("USA",S4260)),"United States",
ISNUMBER(SEARCH("Republic of Ireland",S4260)),"Ireland",
ISNUMBER(SEARCH("Republic of Korea",S4260)),"South Korea",
ISNUMBER(SEARCH("Cape Verde",S4260)),"Cabo Verde",
ISNUMBER(SEARCH("Czechia",S4260)),"Czech Republic",
ISNUMBER(SEARCH("Türkiye",S4260)),"Turkey",
ISNUMBER(SEARCH("Ivory Coast",S4260)),"Côte d'Ivoire",
ISNUMBER(SEARCH("Korea Republic",S4260)),"South Korea",
ISNUMBER(SEARCH("Germany FR",S4260)),"FR Germany",
ISNUMBER(SEARCH("West Germany",S4260)),"FR Germany",
ISNUMBER(SEARCH("Germany DR",S4260)),"DR Germany",
ISNUMBER(SEARCH("Korea DPR",S4260)),"North Korea",
ISNUMBER(SEARCH("China PR",S4260)),"China",
ISNUMBER(SEARCH("IR Iran",S4260)),"Iran",
ISNUMBER(SEARCH("Congo DR",S4260)),"Democratic Republic of the Congo",
ISNUMBER(SEARCH("DR Congo",S4260)),"Democratic Republic of the Congo",
ISNUMBER(SEARCH("German DR",S4260)),"DR Germany",
ISNUMBER(SEARCH("rn""&gt;United Arab Emirates",S4260)),"United Arab Emirates",
ISNUMBER(SEARCH("rn""&gt;Republic of Ireland",S4260)),"Ireland",
ISNUMBER(SEARCH("rn""&gt;Bosnia and Herzegovina",S4260)),"Bosnia and Herzegovina",
ISNUMBER(SEARCH("rn""&gt;Trinidad and Tobago",S4260)),"Trinidad and Tobago",
ISNUMBER(SEARCH("rn""&gt;Serbia and Montenegro",S4260)),"Serbia and Montenegro",
ISNUMBER(SEARCH(_xlfn.UNICHAR(65533),S4260)),"Côte d'Ivoire",
TRUE,""
)</f>
        <v/>
      </c>
      <c r="W4260" s="40" t="str">
        <f t="shared" si="273"/>
        <v>Belgium</v>
      </c>
    </row>
    <row r="4261" spans="19:23">
      <c r="S4261" s="40" t="str">
        <v>Mexico</v>
      </c>
      <c r="T4261" s="40" t="str">
        <f t="shared" si="271"/>
        <v>OK</v>
      </c>
      <c r="U4261" s="40" t="str">
        <f t="shared" si="272"/>
        <v>-</v>
      </c>
      <c r="V4261" s="40" t="str" cm="1">
        <f t="array" ref="V4261">_xlfn.IFS(
ISNUMBER(SEARCH("USA",S4261)),"United States",
ISNUMBER(SEARCH("Republic of Ireland",S4261)),"Ireland",
ISNUMBER(SEARCH("Republic of Korea",S4261)),"South Korea",
ISNUMBER(SEARCH("Cape Verde",S4261)),"Cabo Verde",
ISNUMBER(SEARCH("Czechia",S4261)),"Czech Republic",
ISNUMBER(SEARCH("Türkiye",S4261)),"Turkey",
ISNUMBER(SEARCH("Ivory Coast",S4261)),"Côte d'Ivoire",
ISNUMBER(SEARCH("Korea Republic",S4261)),"South Korea",
ISNUMBER(SEARCH("Germany FR",S4261)),"FR Germany",
ISNUMBER(SEARCH("West Germany",S4261)),"FR Germany",
ISNUMBER(SEARCH("Germany DR",S4261)),"DR Germany",
ISNUMBER(SEARCH("Korea DPR",S4261)),"North Korea",
ISNUMBER(SEARCH("China PR",S4261)),"China",
ISNUMBER(SEARCH("IR Iran",S4261)),"Iran",
ISNUMBER(SEARCH("Congo DR",S4261)),"Democratic Republic of the Congo",
ISNUMBER(SEARCH("DR Congo",S4261)),"Democratic Republic of the Congo",
ISNUMBER(SEARCH("German DR",S4261)),"DR Germany",
ISNUMBER(SEARCH("rn""&gt;United Arab Emirates",S4261)),"United Arab Emirates",
ISNUMBER(SEARCH("rn""&gt;Republic of Ireland",S4261)),"Ireland",
ISNUMBER(SEARCH("rn""&gt;Bosnia and Herzegovina",S4261)),"Bosnia and Herzegovina",
ISNUMBER(SEARCH("rn""&gt;Trinidad and Tobago",S4261)),"Trinidad and Tobago",
ISNUMBER(SEARCH("rn""&gt;Serbia and Montenegro",S4261)),"Serbia and Montenegro",
ISNUMBER(SEARCH(_xlfn.UNICHAR(65533),S4261)),"Côte d'Ivoire",
TRUE,""
)</f>
        <v/>
      </c>
      <c r="W4261" s="40" t="str">
        <f t="shared" si="273"/>
        <v>Mexico</v>
      </c>
    </row>
    <row r="4262" spans="19:23">
      <c r="S4262" s="40" t="str">
        <v>Greece</v>
      </c>
      <c r="T4262" s="40" t="str">
        <f t="shared" si="271"/>
        <v>OK</v>
      </c>
      <c r="U4262" s="40" t="str">
        <f t="shared" si="272"/>
        <v>-</v>
      </c>
      <c r="V4262" s="40" t="str" cm="1">
        <f t="array" ref="V4262">_xlfn.IFS(
ISNUMBER(SEARCH("USA",S4262)),"United States",
ISNUMBER(SEARCH("Republic of Ireland",S4262)),"Ireland",
ISNUMBER(SEARCH("Republic of Korea",S4262)),"South Korea",
ISNUMBER(SEARCH("Cape Verde",S4262)),"Cabo Verde",
ISNUMBER(SEARCH("Czechia",S4262)),"Czech Republic",
ISNUMBER(SEARCH("Türkiye",S4262)),"Turkey",
ISNUMBER(SEARCH("Ivory Coast",S4262)),"Côte d'Ivoire",
ISNUMBER(SEARCH("Korea Republic",S4262)),"South Korea",
ISNUMBER(SEARCH("Germany FR",S4262)),"FR Germany",
ISNUMBER(SEARCH("West Germany",S4262)),"FR Germany",
ISNUMBER(SEARCH("Germany DR",S4262)),"DR Germany",
ISNUMBER(SEARCH("Korea DPR",S4262)),"North Korea",
ISNUMBER(SEARCH("China PR",S4262)),"China",
ISNUMBER(SEARCH("IR Iran",S4262)),"Iran",
ISNUMBER(SEARCH("Congo DR",S4262)),"Democratic Republic of the Congo",
ISNUMBER(SEARCH("DR Congo",S4262)),"Democratic Republic of the Congo",
ISNUMBER(SEARCH("German DR",S4262)),"DR Germany",
ISNUMBER(SEARCH("rn""&gt;United Arab Emirates",S4262)),"United Arab Emirates",
ISNUMBER(SEARCH("rn""&gt;Republic of Ireland",S4262)),"Ireland",
ISNUMBER(SEARCH("rn""&gt;Bosnia and Herzegovina",S4262)),"Bosnia and Herzegovina",
ISNUMBER(SEARCH("rn""&gt;Trinidad and Tobago",S4262)),"Trinidad and Tobago",
ISNUMBER(SEARCH("rn""&gt;Serbia and Montenegro",S4262)),"Serbia and Montenegro",
ISNUMBER(SEARCH(_xlfn.UNICHAR(65533),S4262)),"Côte d'Ivoire",
TRUE,""
)</f>
        <v/>
      </c>
      <c r="W4262" s="40" t="str">
        <f t="shared" si="273"/>
        <v>Greece</v>
      </c>
    </row>
    <row r="4263" spans="19:23">
      <c r="S4263" s="40" t="str">
        <v>Switzerland</v>
      </c>
      <c r="T4263" s="40" t="str">
        <f t="shared" si="271"/>
        <v>OK</v>
      </c>
      <c r="U4263" s="40" t="str">
        <f t="shared" si="272"/>
        <v>-</v>
      </c>
      <c r="V4263" s="40" t="str" cm="1">
        <f t="array" ref="V4263">_xlfn.IFS(
ISNUMBER(SEARCH("USA",S4263)),"United States",
ISNUMBER(SEARCH("Republic of Ireland",S4263)),"Ireland",
ISNUMBER(SEARCH("Republic of Korea",S4263)),"South Korea",
ISNUMBER(SEARCH("Cape Verde",S4263)),"Cabo Verde",
ISNUMBER(SEARCH("Czechia",S4263)),"Czech Republic",
ISNUMBER(SEARCH("Türkiye",S4263)),"Turkey",
ISNUMBER(SEARCH("Ivory Coast",S4263)),"Côte d'Ivoire",
ISNUMBER(SEARCH("Korea Republic",S4263)),"South Korea",
ISNUMBER(SEARCH("Germany FR",S4263)),"FR Germany",
ISNUMBER(SEARCH("West Germany",S4263)),"FR Germany",
ISNUMBER(SEARCH("Germany DR",S4263)),"DR Germany",
ISNUMBER(SEARCH("Korea DPR",S4263)),"North Korea",
ISNUMBER(SEARCH("China PR",S4263)),"China",
ISNUMBER(SEARCH("IR Iran",S4263)),"Iran",
ISNUMBER(SEARCH("Congo DR",S4263)),"Democratic Republic of the Congo",
ISNUMBER(SEARCH("DR Congo",S4263)),"Democratic Republic of the Congo",
ISNUMBER(SEARCH("German DR",S4263)),"DR Germany",
ISNUMBER(SEARCH("rn""&gt;United Arab Emirates",S4263)),"United Arab Emirates",
ISNUMBER(SEARCH("rn""&gt;Republic of Ireland",S4263)),"Ireland",
ISNUMBER(SEARCH("rn""&gt;Bosnia and Herzegovina",S4263)),"Bosnia and Herzegovina",
ISNUMBER(SEARCH("rn""&gt;Trinidad and Tobago",S4263)),"Trinidad and Tobago",
ISNUMBER(SEARCH("rn""&gt;Serbia and Montenegro",S4263)),"Serbia and Montenegro",
ISNUMBER(SEARCH(_xlfn.UNICHAR(65533),S4263)),"Côte d'Ivoire",
TRUE,""
)</f>
        <v/>
      </c>
      <c r="W4263" s="40" t="str">
        <f t="shared" si="273"/>
        <v>Switzerland</v>
      </c>
    </row>
    <row r="4264" spans="19:23">
      <c r="S4264" s="40" t="str">
        <v>USA</v>
      </c>
      <c r="T4264" s="40" t="str">
        <f t="shared" si="271"/>
        <v>ERREUR</v>
      </c>
      <c r="U4264" s="40" t="str">
        <f t="shared" si="272"/>
        <v>RENOMMER</v>
      </c>
      <c r="V4264" s="40" t="str" cm="1">
        <f t="array" ref="V4264">_xlfn.IFS(
ISNUMBER(SEARCH("USA",S4264)),"United States",
ISNUMBER(SEARCH("Republic of Ireland",S4264)),"Ireland",
ISNUMBER(SEARCH("Republic of Korea",S4264)),"South Korea",
ISNUMBER(SEARCH("Cape Verde",S4264)),"Cabo Verde",
ISNUMBER(SEARCH("Czechia",S4264)),"Czech Republic",
ISNUMBER(SEARCH("Türkiye",S4264)),"Turkey",
ISNUMBER(SEARCH("Ivory Coast",S4264)),"Côte d'Ivoire",
ISNUMBER(SEARCH("Korea Republic",S4264)),"South Korea",
ISNUMBER(SEARCH("Germany FR",S4264)),"FR Germany",
ISNUMBER(SEARCH("West Germany",S4264)),"FR Germany",
ISNUMBER(SEARCH("Germany DR",S4264)),"DR Germany",
ISNUMBER(SEARCH("Korea DPR",S4264)),"North Korea",
ISNUMBER(SEARCH("China PR",S4264)),"China",
ISNUMBER(SEARCH("IR Iran",S4264)),"Iran",
ISNUMBER(SEARCH("Congo DR",S4264)),"Democratic Republic of the Congo",
ISNUMBER(SEARCH("DR Congo",S4264)),"Democratic Republic of the Congo",
ISNUMBER(SEARCH("German DR",S4264)),"DR Germany",
ISNUMBER(SEARCH("rn""&gt;United Arab Emirates",S4264)),"United Arab Emirates",
ISNUMBER(SEARCH("rn""&gt;Republic of Ireland",S4264)),"Ireland",
ISNUMBER(SEARCH("rn""&gt;Bosnia and Herzegovina",S4264)),"Bosnia and Herzegovina",
ISNUMBER(SEARCH("rn""&gt;Trinidad and Tobago",S4264)),"Trinidad and Tobago",
ISNUMBER(SEARCH("rn""&gt;Serbia and Montenegro",S4264)),"Serbia and Montenegro",
ISNUMBER(SEARCH(_xlfn.UNICHAR(65533),S4264)),"Côte d'Ivoire",
TRUE,""
)</f>
        <v>United States</v>
      </c>
      <c r="W4264" s="40" t="str">
        <f t="shared" si="273"/>
        <v>United States</v>
      </c>
    </row>
    <row r="4265" spans="19:23">
      <c r="S4265" s="40" t="str">
        <v>Saudi Arabia</v>
      </c>
      <c r="T4265" s="40" t="str">
        <f t="shared" si="271"/>
        <v>OK</v>
      </c>
      <c r="U4265" s="40" t="str">
        <f t="shared" si="272"/>
        <v>-</v>
      </c>
      <c r="V4265" s="40" t="str" cm="1">
        <f t="array" ref="V4265">_xlfn.IFS(
ISNUMBER(SEARCH("USA",S4265)),"United States",
ISNUMBER(SEARCH("Republic of Ireland",S4265)),"Ireland",
ISNUMBER(SEARCH("Republic of Korea",S4265)),"South Korea",
ISNUMBER(SEARCH("Cape Verde",S4265)),"Cabo Verde",
ISNUMBER(SEARCH("Czechia",S4265)),"Czech Republic",
ISNUMBER(SEARCH("Türkiye",S4265)),"Turkey",
ISNUMBER(SEARCH("Ivory Coast",S4265)),"Côte d'Ivoire",
ISNUMBER(SEARCH("Korea Republic",S4265)),"South Korea",
ISNUMBER(SEARCH("Germany FR",S4265)),"FR Germany",
ISNUMBER(SEARCH("West Germany",S4265)),"FR Germany",
ISNUMBER(SEARCH("Germany DR",S4265)),"DR Germany",
ISNUMBER(SEARCH("Korea DPR",S4265)),"North Korea",
ISNUMBER(SEARCH("China PR",S4265)),"China",
ISNUMBER(SEARCH("IR Iran",S4265)),"Iran",
ISNUMBER(SEARCH("Congo DR",S4265)),"Democratic Republic of the Congo",
ISNUMBER(SEARCH("DR Congo",S4265)),"Democratic Republic of the Congo",
ISNUMBER(SEARCH("German DR",S4265)),"DR Germany",
ISNUMBER(SEARCH("rn""&gt;United Arab Emirates",S4265)),"United Arab Emirates",
ISNUMBER(SEARCH("rn""&gt;Republic of Ireland",S4265)),"Ireland",
ISNUMBER(SEARCH("rn""&gt;Bosnia and Herzegovina",S4265)),"Bosnia and Herzegovina",
ISNUMBER(SEARCH("rn""&gt;Trinidad and Tobago",S4265)),"Trinidad and Tobago",
ISNUMBER(SEARCH("rn""&gt;Serbia and Montenegro",S4265)),"Serbia and Montenegro",
ISNUMBER(SEARCH(_xlfn.UNICHAR(65533),S4265)),"Côte d'Ivoire",
TRUE,""
)</f>
        <v/>
      </c>
      <c r="W4265" s="40" t="str">
        <f t="shared" si="273"/>
        <v>Saudi Arabia</v>
      </c>
    </row>
    <row r="4266" spans="19:23">
      <c r="S4266" s="40" t="str">
        <v>Uruguay</v>
      </c>
      <c r="T4266" s="40" t="str">
        <f t="shared" si="271"/>
        <v>OK</v>
      </c>
      <c r="U4266" s="40" t="str">
        <f t="shared" si="272"/>
        <v>-</v>
      </c>
      <c r="V4266" s="40" t="str" cm="1">
        <f t="array" ref="V4266">_xlfn.IFS(
ISNUMBER(SEARCH("USA",S4266)),"United States",
ISNUMBER(SEARCH("Republic of Ireland",S4266)),"Ireland",
ISNUMBER(SEARCH("Republic of Korea",S4266)),"South Korea",
ISNUMBER(SEARCH("Cape Verde",S4266)),"Cabo Verde",
ISNUMBER(SEARCH("Czechia",S4266)),"Czech Republic",
ISNUMBER(SEARCH("Türkiye",S4266)),"Turkey",
ISNUMBER(SEARCH("Ivory Coast",S4266)),"Côte d'Ivoire",
ISNUMBER(SEARCH("Korea Republic",S4266)),"South Korea",
ISNUMBER(SEARCH("Germany FR",S4266)),"FR Germany",
ISNUMBER(SEARCH("West Germany",S4266)),"FR Germany",
ISNUMBER(SEARCH("Germany DR",S4266)),"DR Germany",
ISNUMBER(SEARCH("Korea DPR",S4266)),"North Korea",
ISNUMBER(SEARCH("China PR",S4266)),"China",
ISNUMBER(SEARCH("IR Iran",S4266)),"Iran",
ISNUMBER(SEARCH("Congo DR",S4266)),"Democratic Republic of the Congo",
ISNUMBER(SEARCH("DR Congo",S4266)),"Democratic Republic of the Congo",
ISNUMBER(SEARCH("German DR",S4266)),"DR Germany",
ISNUMBER(SEARCH("rn""&gt;United Arab Emirates",S4266)),"United Arab Emirates",
ISNUMBER(SEARCH("rn""&gt;Republic of Ireland",S4266)),"Ireland",
ISNUMBER(SEARCH("rn""&gt;Bosnia and Herzegovina",S4266)),"Bosnia and Herzegovina",
ISNUMBER(SEARCH("rn""&gt;Trinidad and Tobago",S4266)),"Trinidad and Tobago",
ISNUMBER(SEARCH("rn""&gt;Serbia and Montenegro",S4266)),"Serbia and Montenegro",
ISNUMBER(SEARCH(_xlfn.UNICHAR(65533),S4266)),"Côte d'Ivoire",
TRUE,""
)</f>
        <v/>
      </c>
      <c r="W4266" s="40" t="str">
        <f t="shared" si="273"/>
        <v>Uruguay</v>
      </c>
    </row>
    <row r="4267" spans="19:23">
      <c r="S4267" s="40" t="str">
        <v>Iran</v>
      </c>
      <c r="T4267" s="40" t="str">
        <f t="shared" si="271"/>
        <v>OK</v>
      </c>
      <c r="U4267" s="40" t="str">
        <f t="shared" si="272"/>
        <v>-</v>
      </c>
      <c r="V4267" s="40" t="str" cm="1">
        <f t="array" ref="V4267">_xlfn.IFS(
ISNUMBER(SEARCH("USA",S4267)),"United States",
ISNUMBER(SEARCH("Republic of Ireland",S4267)),"Ireland",
ISNUMBER(SEARCH("Republic of Korea",S4267)),"South Korea",
ISNUMBER(SEARCH("Cape Verde",S4267)),"Cabo Verde",
ISNUMBER(SEARCH("Czechia",S4267)),"Czech Republic",
ISNUMBER(SEARCH("Türkiye",S4267)),"Turkey",
ISNUMBER(SEARCH("Ivory Coast",S4267)),"Côte d'Ivoire",
ISNUMBER(SEARCH("Korea Republic",S4267)),"South Korea",
ISNUMBER(SEARCH("Germany FR",S4267)),"FR Germany",
ISNUMBER(SEARCH("West Germany",S4267)),"FR Germany",
ISNUMBER(SEARCH("Germany DR",S4267)),"DR Germany",
ISNUMBER(SEARCH("Korea DPR",S4267)),"North Korea",
ISNUMBER(SEARCH("China PR",S4267)),"China",
ISNUMBER(SEARCH("IR Iran",S4267)),"Iran",
ISNUMBER(SEARCH("Congo DR",S4267)),"Democratic Republic of the Congo",
ISNUMBER(SEARCH("DR Congo",S4267)),"Democratic Republic of the Congo",
ISNUMBER(SEARCH("German DR",S4267)),"DR Germany",
ISNUMBER(SEARCH("rn""&gt;United Arab Emirates",S4267)),"United Arab Emirates",
ISNUMBER(SEARCH("rn""&gt;Republic of Ireland",S4267)),"Ireland",
ISNUMBER(SEARCH("rn""&gt;Bosnia and Herzegovina",S4267)),"Bosnia and Herzegovina",
ISNUMBER(SEARCH("rn""&gt;Trinidad and Tobago",S4267)),"Trinidad and Tobago",
ISNUMBER(SEARCH("rn""&gt;Serbia and Montenegro",S4267)),"Serbia and Montenegro",
ISNUMBER(SEARCH(_xlfn.UNICHAR(65533),S4267)),"Côte d'Ivoire",
TRUE,""
)</f>
        <v/>
      </c>
      <c r="W4267" s="40" t="str">
        <f t="shared" si="273"/>
        <v>Iran</v>
      </c>
    </row>
    <row r="4268" spans="19:23">
      <c r="S4268" s="40" t="str">
        <v>Spain</v>
      </c>
      <c r="T4268" s="40" t="str">
        <f t="shared" si="271"/>
        <v>OK</v>
      </c>
      <c r="U4268" s="40" t="str">
        <f t="shared" si="272"/>
        <v>-</v>
      </c>
      <c r="V4268" s="40" t="str" cm="1">
        <f t="array" ref="V4268">_xlfn.IFS(
ISNUMBER(SEARCH("USA",S4268)),"United States",
ISNUMBER(SEARCH("Republic of Ireland",S4268)),"Ireland",
ISNUMBER(SEARCH("Republic of Korea",S4268)),"South Korea",
ISNUMBER(SEARCH("Cape Verde",S4268)),"Cabo Verde",
ISNUMBER(SEARCH("Czechia",S4268)),"Czech Republic",
ISNUMBER(SEARCH("Türkiye",S4268)),"Turkey",
ISNUMBER(SEARCH("Ivory Coast",S4268)),"Côte d'Ivoire",
ISNUMBER(SEARCH("Korea Republic",S4268)),"South Korea",
ISNUMBER(SEARCH("Germany FR",S4268)),"FR Germany",
ISNUMBER(SEARCH("West Germany",S4268)),"FR Germany",
ISNUMBER(SEARCH("Germany DR",S4268)),"DR Germany",
ISNUMBER(SEARCH("Korea DPR",S4268)),"North Korea",
ISNUMBER(SEARCH("China PR",S4268)),"China",
ISNUMBER(SEARCH("IR Iran",S4268)),"Iran",
ISNUMBER(SEARCH("Congo DR",S4268)),"Democratic Republic of the Congo",
ISNUMBER(SEARCH("DR Congo",S4268)),"Democratic Republic of the Congo",
ISNUMBER(SEARCH("German DR",S4268)),"DR Germany",
ISNUMBER(SEARCH("rn""&gt;United Arab Emirates",S4268)),"United Arab Emirates",
ISNUMBER(SEARCH("rn""&gt;Republic of Ireland",S4268)),"Ireland",
ISNUMBER(SEARCH("rn""&gt;Bosnia and Herzegovina",S4268)),"Bosnia and Herzegovina",
ISNUMBER(SEARCH("rn""&gt;Trinidad and Tobago",S4268)),"Trinidad and Tobago",
ISNUMBER(SEARCH("rn""&gt;Serbia and Montenegro",S4268)),"Serbia and Montenegro",
ISNUMBER(SEARCH(_xlfn.UNICHAR(65533),S4268)),"Côte d'Ivoire",
TRUE,""
)</f>
        <v/>
      </c>
      <c r="W4268" s="40" t="str">
        <f t="shared" si="273"/>
        <v>Spain</v>
      </c>
    </row>
    <row r="4269" spans="19:23">
      <c r="S4269" s="40" t="str">
        <v>Australia</v>
      </c>
      <c r="T4269" s="40" t="str">
        <f t="shared" si="271"/>
        <v>OK</v>
      </c>
      <c r="U4269" s="40" t="str">
        <f t="shared" si="272"/>
        <v>-</v>
      </c>
      <c r="V4269" s="40" t="str" cm="1">
        <f t="array" ref="V4269">_xlfn.IFS(
ISNUMBER(SEARCH("USA",S4269)),"United States",
ISNUMBER(SEARCH("Republic of Ireland",S4269)),"Ireland",
ISNUMBER(SEARCH("Republic of Korea",S4269)),"South Korea",
ISNUMBER(SEARCH("Cape Verde",S4269)),"Cabo Verde",
ISNUMBER(SEARCH("Czechia",S4269)),"Czech Republic",
ISNUMBER(SEARCH("Türkiye",S4269)),"Turkey",
ISNUMBER(SEARCH("Ivory Coast",S4269)),"Côte d'Ivoire",
ISNUMBER(SEARCH("Korea Republic",S4269)),"South Korea",
ISNUMBER(SEARCH("Germany FR",S4269)),"FR Germany",
ISNUMBER(SEARCH("West Germany",S4269)),"FR Germany",
ISNUMBER(SEARCH("Germany DR",S4269)),"DR Germany",
ISNUMBER(SEARCH("Korea DPR",S4269)),"North Korea",
ISNUMBER(SEARCH("China PR",S4269)),"China",
ISNUMBER(SEARCH("IR Iran",S4269)),"Iran",
ISNUMBER(SEARCH("Congo DR",S4269)),"Democratic Republic of the Congo",
ISNUMBER(SEARCH("DR Congo",S4269)),"Democratic Republic of the Congo",
ISNUMBER(SEARCH("German DR",S4269)),"DR Germany",
ISNUMBER(SEARCH("rn""&gt;United Arab Emirates",S4269)),"United Arab Emirates",
ISNUMBER(SEARCH("rn""&gt;Republic of Ireland",S4269)),"Ireland",
ISNUMBER(SEARCH("rn""&gt;Bosnia and Herzegovina",S4269)),"Bosnia and Herzegovina",
ISNUMBER(SEARCH("rn""&gt;Trinidad and Tobago",S4269)),"Trinidad and Tobago",
ISNUMBER(SEARCH("rn""&gt;Serbia and Montenegro",S4269)),"Serbia and Montenegro",
ISNUMBER(SEARCH(_xlfn.UNICHAR(65533),S4269)),"Côte d'Ivoire",
TRUE,""
)</f>
        <v/>
      </c>
      <c r="W4269" s="40" t="str">
        <f t="shared" si="273"/>
        <v>Australia</v>
      </c>
    </row>
    <row r="4270" spans="19:23">
      <c r="S4270" s="40" t="str">
        <v>Iceland</v>
      </c>
      <c r="T4270" s="40" t="str">
        <f t="shared" si="271"/>
        <v>OK</v>
      </c>
      <c r="U4270" s="40" t="str">
        <f t="shared" si="272"/>
        <v>-</v>
      </c>
      <c r="V4270" s="40" t="str" cm="1">
        <f t="array" ref="V4270">_xlfn.IFS(
ISNUMBER(SEARCH("USA",S4270)),"United States",
ISNUMBER(SEARCH("Republic of Ireland",S4270)),"Ireland",
ISNUMBER(SEARCH("Republic of Korea",S4270)),"South Korea",
ISNUMBER(SEARCH("Cape Verde",S4270)),"Cabo Verde",
ISNUMBER(SEARCH("Czechia",S4270)),"Czech Republic",
ISNUMBER(SEARCH("Türkiye",S4270)),"Turkey",
ISNUMBER(SEARCH("Ivory Coast",S4270)),"Côte d'Ivoire",
ISNUMBER(SEARCH("Korea Republic",S4270)),"South Korea",
ISNUMBER(SEARCH("Germany FR",S4270)),"FR Germany",
ISNUMBER(SEARCH("West Germany",S4270)),"FR Germany",
ISNUMBER(SEARCH("Germany DR",S4270)),"DR Germany",
ISNUMBER(SEARCH("Korea DPR",S4270)),"North Korea",
ISNUMBER(SEARCH("China PR",S4270)),"China",
ISNUMBER(SEARCH("IR Iran",S4270)),"Iran",
ISNUMBER(SEARCH("Congo DR",S4270)),"Democratic Republic of the Congo",
ISNUMBER(SEARCH("DR Congo",S4270)),"Democratic Republic of the Congo",
ISNUMBER(SEARCH("German DR",S4270)),"DR Germany",
ISNUMBER(SEARCH("rn""&gt;United Arab Emirates",S4270)),"United Arab Emirates",
ISNUMBER(SEARCH("rn""&gt;Republic of Ireland",S4270)),"Ireland",
ISNUMBER(SEARCH("rn""&gt;Bosnia and Herzegovina",S4270)),"Bosnia and Herzegovina",
ISNUMBER(SEARCH("rn""&gt;Trinidad and Tobago",S4270)),"Trinidad and Tobago",
ISNUMBER(SEARCH("rn""&gt;Serbia and Montenegro",S4270)),"Serbia and Montenegro",
ISNUMBER(SEARCH(_xlfn.UNICHAR(65533),S4270)),"Côte d'Ivoire",
TRUE,""
)</f>
        <v/>
      </c>
      <c r="W4270" s="40" t="str">
        <f t="shared" si="273"/>
        <v>Iceland</v>
      </c>
    </row>
    <row r="4271" spans="19:23">
      <c r="S4271" s="40" t="str">
        <v>Denmark</v>
      </c>
      <c r="T4271" s="40" t="str">
        <f t="shared" si="271"/>
        <v>OK</v>
      </c>
      <c r="U4271" s="40" t="str">
        <f t="shared" si="272"/>
        <v>-</v>
      </c>
      <c r="V4271" s="40" t="str" cm="1">
        <f t="array" ref="V4271">_xlfn.IFS(
ISNUMBER(SEARCH("USA",S4271)),"United States",
ISNUMBER(SEARCH("Republic of Ireland",S4271)),"Ireland",
ISNUMBER(SEARCH("Republic of Korea",S4271)),"South Korea",
ISNUMBER(SEARCH("Cape Verde",S4271)),"Cabo Verde",
ISNUMBER(SEARCH("Czechia",S4271)),"Czech Republic",
ISNUMBER(SEARCH("Türkiye",S4271)),"Turkey",
ISNUMBER(SEARCH("Ivory Coast",S4271)),"Côte d'Ivoire",
ISNUMBER(SEARCH("Korea Republic",S4271)),"South Korea",
ISNUMBER(SEARCH("Germany FR",S4271)),"FR Germany",
ISNUMBER(SEARCH("West Germany",S4271)),"FR Germany",
ISNUMBER(SEARCH("Germany DR",S4271)),"DR Germany",
ISNUMBER(SEARCH("Korea DPR",S4271)),"North Korea",
ISNUMBER(SEARCH("China PR",S4271)),"China",
ISNUMBER(SEARCH("IR Iran",S4271)),"Iran",
ISNUMBER(SEARCH("Congo DR",S4271)),"Democratic Republic of the Congo",
ISNUMBER(SEARCH("DR Congo",S4271)),"Democratic Republic of the Congo",
ISNUMBER(SEARCH("German DR",S4271)),"DR Germany",
ISNUMBER(SEARCH("rn""&gt;United Arab Emirates",S4271)),"United Arab Emirates",
ISNUMBER(SEARCH("rn""&gt;Republic of Ireland",S4271)),"Ireland",
ISNUMBER(SEARCH("rn""&gt;Bosnia and Herzegovina",S4271)),"Bosnia and Herzegovina",
ISNUMBER(SEARCH("rn""&gt;Trinidad and Tobago",S4271)),"Trinidad and Tobago",
ISNUMBER(SEARCH("rn""&gt;Serbia and Montenegro",S4271)),"Serbia and Montenegro",
ISNUMBER(SEARCH(_xlfn.UNICHAR(65533),S4271)),"Côte d'Ivoire",
TRUE,""
)</f>
        <v/>
      </c>
      <c r="W4271" s="40" t="str">
        <f t="shared" si="273"/>
        <v>Denmark</v>
      </c>
    </row>
    <row r="4272" spans="19:23">
      <c r="S4272" s="40" t="str">
        <v>Nigeria</v>
      </c>
      <c r="T4272" s="40" t="str">
        <f t="shared" si="271"/>
        <v>OK</v>
      </c>
      <c r="U4272" s="40" t="str">
        <f t="shared" si="272"/>
        <v>-</v>
      </c>
      <c r="V4272" s="40" t="str" cm="1">
        <f t="array" ref="V4272">_xlfn.IFS(
ISNUMBER(SEARCH("USA",S4272)),"United States",
ISNUMBER(SEARCH("Republic of Ireland",S4272)),"Ireland",
ISNUMBER(SEARCH("Republic of Korea",S4272)),"South Korea",
ISNUMBER(SEARCH("Cape Verde",S4272)),"Cabo Verde",
ISNUMBER(SEARCH("Czechia",S4272)),"Czech Republic",
ISNUMBER(SEARCH("Türkiye",S4272)),"Turkey",
ISNUMBER(SEARCH("Ivory Coast",S4272)),"Côte d'Ivoire",
ISNUMBER(SEARCH("Korea Republic",S4272)),"South Korea",
ISNUMBER(SEARCH("Germany FR",S4272)),"FR Germany",
ISNUMBER(SEARCH("West Germany",S4272)),"FR Germany",
ISNUMBER(SEARCH("Germany DR",S4272)),"DR Germany",
ISNUMBER(SEARCH("Korea DPR",S4272)),"North Korea",
ISNUMBER(SEARCH("China PR",S4272)),"China",
ISNUMBER(SEARCH("IR Iran",S4272)),"Iran",
ISNUMBER(SEARCH("Congo DR",S4272)),"Democratic Republic of the Congo",
ISNUMBER(SEARCH("DR Congo",S4272)),"Democratic Republic of the Congo",
ISNUMBER(SEARCH("German DR",S4272)),"DR Germany",
ISNUMBER(SEARCH("rn""&gt;United Arab Emirates",S4272)),"United Arab Emirates",
ISNUMBER(SEARCH("rn""&gt;Republic of Ireland",S4272)),"Ireland",
ISNUMBER(SEARCH("rn""&gt;Bosnia and Herzegovina",S4272)),"Bosnia and Herzegovina",
ISNUMBER(SEARCH("rn""&gt;Trinidad and Tobago",S4272)),"Trinidad and Tobago",
ISNUMBER(SEARCH("rn""&gt;Serbia and Montenegro",S4272)),"Serbia and Montenegro",
ISNUMBER(SEARCH(_xlfn.UNICHAR(65533),S4272)),"Côte d'Ivoire",
TRUE,""
)</f>
        <v/>
      </c>
      <c r="W4272" s="40" t="str">
        <f t="shared" si="273"/>
        <v>Nigeria</v>
      </c>
    </row>
    <row r="4273" spans="19:23">
      <c r="S4273" s="40" t="str">
        <v>Serbia</v>
      </c>
      <c r="T4273" s="40" t="str">
        <f t="shared" si="271"/>
        <v>OK</v>
      </c>
      <c r="U4273" s="40" t="str">
        <f t="shared" si="272"/>
        <v>-</v>
      </c>
      <c r="V4273" s="40" t="str" cm="1">
        <f t="array" ref="V4273">_xlfn.IFS(
ISNUMBER(SEARCH("USA",S4273)),"United States",
ISNUMBER(SEARCH("Republic of Ireland",S4273)),"Ireland",
ISNUMBER(SEARCH("Republic of Korea",S4273)),"South Korea",
ISNUMBER(SEARCH("Cape Verde",S4273)),"Cabo Verde",
ISNUMBER(SEARCH("Czechia",S4273)),"Czech Republic",
ISNUMBER(SEARCH("Türkiye",S4273)),"Turkey",
ISNUMBER(SEARCH("Ivory Coast",S4273)),"Côte d'Ivoire",
ISNUMBER(SEARCH("Korea Republic",S4273)),"South Korea",
ISNUMBER(SEARCH("Germany FR",S4273)),"FR Germany",
ISNUMBER(SEARCH("West Germany",S4273)),"FR Germany",
ISNUMBER(SEARCH("Germany DR",S4273)),"DR Germany",
ISNUMBER(SEARCH("Korea DPR",S4273)),"North Korea",
ISNUMBER(SEARCH("China PR",S4273)),"China",
ISNUMBER(SEARCH("IR Iran",S4273)),"Iran",
ISNUMBER(SEARCH("Congo DR",S4273)),"Democratic Republic of the Congo",
ISNUMBER(SEARCH("DR Congo",S4273)),"Democratic Republic of the Congo",
ISNUMBER(SEARCH("German DR",S4273)),"DR Germany",
ISNUMBER(SEARCH("rn""&gt;United Arab Emirates",S4273)),"United Arab Emirates",
ISNUMBER(SEARCH("rn""&gt;Republic of Ireland",S4273)),"Ireland",
ISNUMBER(SEARCH("rn""&gt;Bosnia and Herzegovina",S4273)),"Bosnia and Herzegovina",
ISNUMBER(SEARCH("rn""&gt;Trinidad and Tobago",S4273)),"Trinidad and Tobago",
ISNUMBER(SEARCH("rn""&gt;Serbia and Montenegro",S4273)),"Serbia and Montenegro",
ISNUMBER(SEARCH(_xlfn.UNICHAR(65533),S4273)),"Côte d'Ivoire",
TRUE,""
)</f>
        <v/>
      </c>
      <c r="W4273" s="40" t="str">
        <f t="shared" si="273"/>
        <v>Serbia</v>
      </c>
    </row>
    <row r="4274" spans="19:23">
      <c r="S4274" s="40" t="str">
        <v>Mexico</v>
      </c>
      <c r="T4274" s="40" t="str">
        <f t="shared" si="271"/>
        <v>OK</v>
      </c>
      <c r="U4274" s="40" t="str">
        <f t="shared" si="272"/>
        <v>-</v>
      </c>
      <c r="V4274" s="40" t="str" cm="1">
        <f t="array" ref="V4274">_xlfn.IFS(
ISNUMBER(SEARCH("USA",S4274)),"United States",
ISNUMBER(SEARCH("Republic of Ireland",S4274)),"Ireland",
ISNUMBER(SEARCH("Republic of Korea",S4274)),"South Korea",
ISNUMBER(SEARCH("Cape Verde",S4274)),"Cabo Verde",
ISNUMBER(SEARCH("Czechia",S4274)),"Czech Republic",
ISNUMBER(SEARCH("Türkiye",S4274)),"Turkey",
ISNUMBER(SEARCH("Ivory Coast",S4274)),"Côte d'Ivoire",
ISNUMBER(SEARCH("Korea Republic",S4274)),"South Korea",
ISNUMBER(SEARCH("Germany FR",S4274)),"FR Germany",
ISNUMBER(SEARCH("West Germany",S4274)),"FR Germany",
ISNUMBER(SEARCH("Germany DR",S4274)),"DR Germany",
ISNUMBER(SEARCH("Korea DPR",S4274)),"North Korea",
ISNUMBER(SEARCH("China PR",S4274)),"China",
ISNUMBER(SEARCH("IR Iran",S4274)),"Iran",
ISNUMBER(SEARCH("Congo DR",S4274)),"Democratic Republic of the Congo",
ISNUMBER(SEARCH("DR Congo",S4274)),"Democratic Republic of the Congo",
ISNUMBER(SEARCH("German DR",S4274)),"DR Germany",
ISNUMBER(SEARCH("rn""&gt;United Arab Emirates",S4274)),"United Arab Emirates",
ISNUMBER(SEARCH("rn""&gt;Republic of Ireland",S4274)),"Ireland",
ISNUMBER(SEARCH("rn""&gt;Bosnia and Herzegovina",S4274)),"Bosnia and Herzegovina",
ISNUMBER(SEARCH("rn""&gt;Trinidad and Tobago",S4274)),"Trinidad and Tobago",
ISNUMBER(SEARCH("rn""&gt;Serbia and Montenegro",S4274)),"Serbia and Montenegro",
ISNUMBER(SEARCH(_xlfn.UNICHAR(65533),S4274)),"Côte d'Ivoire",
TRUE,""
)</f>
        <v/>
      </c>
      <c r="W4274" s="40" t="str">
        <f t="shared" si="273"/>
        <v>Mexico</v>
      </c>
    </row>
    <row r="4275" spans="19:23">
      <c r="S4275" s="40" t="str">
        <v>Switzerland</v>
      </c>
      <c r="T4275" s="40" t="str">
        <f t="shared" si="271"/>
        <v>OK</v>
      </c>
      <c r="U4275" s="40" t="str">
        <f t="shared" si="272"/>
        <v>-</v>
      </c>
      <c r="V4275" s="40" t="str" cm="1">
        <f t="array" ref="V4275">_xlfn.IFS(
ISNUMBER(SEARCH("USA",S4275)),"United States",
ISNUMBER(SEARCH("Republic of Ireland",S4275)),"Ireland",
ISNUMBER(SEARCH("Republic of Korea",S4275)),"South Korea",
ISNUMBER(SEARCH("Cape Verde",S4275)),"Cabo Verde",
ISNUMBER(SEARCH("Czechia",S4275)),"Czech Republic",
ISNUMBER(SEARCH("Türkiye",S4275)),"Turkey",
ISNUMBER(SEARCH("Ivory Coast",S4275)),"Côte d'Ivoire",
ISNUMBER(SEARCH("Korea Republic",S4275)),"South Korea",
ISNUMBER(SEARCH("Germany FR",S4275)),"FR Germany",
ISNUMBER(SEARCH("West Germany",S4275)),"FR Germany",
ISNUMBER(SEARCH("Germany DR",S4275)),"DR Germany",
ISNUMBER(SEARCH("Korea DPR",S4275)),"North Korea",
ISNUMBER(SEARCH("China PR",S4275)),"China",
ISNUMBER(SEARCH("IR Iran",S4275)),"Iran",
ISNUMBER(SEARCH("Congo DR",S4275)),"Democratic Republic of the Congo",
ISNUMBER(SEARCH("DR Congo",S4275)),"Democratic Republic of the Congo",
ISNUMBER(SEARCH("German DR",S4275)),"DR Germany",
ISNUMBER(SEARCH("rn""&gt;United Arab Emirates",S4275)),"United Arab Emirates",
ISNUMBER(SEARCH("rn""&gt;Republic of Ireland",S4275)),"Ireland",
ISNUMBER(SEARCH("rn""&gt;Bosnia and Herzegovina",S4275)),"Bosnia and Herzegovina",
ISNUMBER(SEARCH("rn""&gt;Trinidad and Tobago",S4275)),"Trinidad and Tobago",
ISNUMBER(SEARCH("rn""&gt;Serbia and Montenegro",S4275)),"Serbia and Montenegro",
ISNUMBER(SEARCH(_xlfn.UNICHAR(65533),S4275)),"Côte d'Ivoire",
TRUE,""
)</f>
        <v/>
      </c>
      <c r="W4275" s="40" t="str">
        <f t="shared" si="273"/>
        <v>Switzerland</v>
      </c>
    </row>
    <row r="4276" spans="19:23">
      <c r="S4276" s="40" t="str">
        <v>South Korea</v>
      </c>
      <c r="T4276" s="40" t="str">
        <f t="shared" si="271"/>
        <v>OK</v>
      </c>
      <c r="U4276" s="40" t="str">
        <f t="shared" si="272"/>
        <v>-</v>
      </c>
      <c r="V4276" s="40" t="str" cm="1">
        <f t="array" ref="V4276">_xlfn.IFS(
ISNUMBER(SEARCH("USA",S4276)),"United States",
ISNUMBER(SEARCH("Republic of Ireland",S4276)),"Ireland",
ISNUMBER(SEARCH("Republic of Korea",S4276)),"South Korea",
ISNUMBER(SEARCH("Cape Verde",S4276)),"Cabo Verde",
ISNUMBER(SEARCH("Czechia",S4276)),"Czech Republic",
ISNUMBER(SEARCH("Türkiye",S4276)),"Turkey",
ISNUMBER(SEARCH("Ivory Coast",S4276)),"Côte d'Ivoire",
ISNUMBER(SEARCH("Korea Republic",S4276)),"South Korea",
ISNUMBER(SEARCH("Germany FR",S4276)),"FR Germany",
ISNUMBER(SEARCH("West Germany",S4276)),"FR Germany",
ISNUMBER(SEARCH("Germany DR",S4276)),"DR Germany",
ISNUMBER(SEARCH("Korea DPR",S4276)),"North Korea",
ISNUMBER(SEARCH("China PR",S4276)),"China",
ISNUMBER(SEARCH("IR Iran",S4276)),"Iran",
ISNUMBER(SEARCH("Congo DR",S4276)),"Democratic Republic of the Congo",
ISNUMBER(SEARCH("DR Congo",S4276)),"Democratic Republic of the Congo",
ISNUMBER(SEARCH("German DR",S4276)),"DR Germany",
ISNUMBER(SEARCH("rn""&gt;United Arab Emirates",S4276)),"United Arab Emirates",
ISNUMBER(SEARCH("rn""&gt;Republic of Ireland",S4276)),"Ireland",
ISNUMBER(SEARCH("rn""&gt;Bosnia and Herzegovina",S4276)),"Bosnia and Herzegovina",
ISNUMBER(SEARCH("rn""&gt;Trinidad and Tobago",S4276)),"Trinidad and Tobago",
ISNUMBER(SEARCH("rn""&gt;Serbia and Montenegro",S4276)),"Serbia and Montenegro",
ISNUMBER(SEARCH(_xlfn.UNICHAR(65533),S4276)),"Côte d'Ivoire",
TRUE,""
)</f>
        <v/>
      </c>
      <c r="W4276" s="40" t="str">
        <f t="shared" si="273"/>
        <v>South Korea</v>
      </c>
    </row>
    <row r="4277" spans="19:23">
      <c r="S4277" s="40" t="str">
        <v>Panama</v>
      </c>
      <c r="T4277" s="40" t="str">
        <f t="shared" si="271"/>
        <v>OK</v>
      </c>
      <c r="U4277" s="40" t="str">
        <f t="shared" si="272"/>
        <v>-</v>
      </c>
      <c r="V4277" s="40" t="str" cm="1">
        <f t="array" ref="V4277">_xlfn.IFS(
ISNUMBER(SEARCH("USA",S4277)),"United States",
ISNUMBER(SEARCH("Republic of Ireland",S4277)),"Ireland",
ISNUMBER(SEARCH("Republic of Korea",S4277)),"South Korea",
ISNUMBER(SEARCH("Cape Verde",S4277)),"Cabo Verde",
ISNUMBER(SEARCH("Czechia",S4277)),"Czech Republic",
ISNUMBER(SEARCH("Türkiye",S4277)),"Turkey",
ISNUMBER(SEARCH("Ivory Coast",S4277)),"Côte d'Ivoire",
ISNUMBER(SEARCH("Korea Republic",S4277)),"South Korea",
ISNUMBER(SEARCH("Germany FR",S4277)),"FR Germany",
ISNUMBER(SEARCH("West Germany",S4277)),"FR Germany",
ISNUMBER(SEARCH("Germany DR",S4277)),"DR Germany",
ISNUMBER(SEARCH("Korea DPR",S4277)),"North Korea",
ISNUMBER(SEARCH("China PR",S4277)),"China",
ISNUMBER(SEARCH("IR Iran",S4277)),"Iran",
ISNUMBER(SEARCH("Congo DR",S4277)),"Democratic Republic of the Congo",
ISNUMBER(SEARCH("DR Congo",S4277)),"Democratic Republic of the Congo",
ISNUMBER(SEARCH("German DR",S4277)),"DR Germany",
ISNUMBER(SEARCH("rn""&gt;United Arab Emirates",S4277)),"United Arab Emirates",
ISNUMBER(SEARCH("rn""&gt;Republic of Ireland",S4277)),"Ireland",
ISNUMBER(SEARCH("rn""&gt;Bosnia and Herzegovina",S4277)),"Bosnia and Herzegovina",
ISNUMBER(SEARCH("rn""&gt;Trinidad and Tobago",S4277)),"Trinidad and Tobago",
ISNUMBER(SEARCH("rn""&gt;Serbia and Montenegro",S4277)),"Serbia and Montenegro",
ISNUMBER(SEARCH(_xlfn.UNICHAR(65533),S4277)),"Côte d'Ivoire",
TRUE,""
)</f>
        <v/>
      </c>
      <c r="W4277" s="40" t="str">
        <f t="shared" si="273"/>
        <v>Panama</v>
      </c>
    </row>
    <row r="4278" spans="19:23">
      <c r="S4278" s="40" t="str">
        <v>England</v>
      </c>
      <c r="T4278" s="40" t="str">
        <f t="shared" si="271"/>
        <v>ERREUR</v>
      </c>
      <c r="U4278" s="40" t="str">
        <f t="shared" si="272"/>
        <v>AUCUNE</v>
      </c>
      <c r="V4278" s="40" t="str" cm="1">
        <f t="array" ref="V4278">_xlfn.IFS(
ISNUMBER(SEARCH("USA",S4278)),"United States",
ISNUMBER(SEARCH("Republic of Ireland",S4278)),"Ireland",
ISNUMBER(SEARCH("Republic of Korea",S4278)),"South Korea",
ISNUMBER(SEARCH("Cape Verde",S4278)),"Cabo Verde",
ISNUMBER(SEARCH("Czechia",S4278)),"Czech Republic",
ISNUMBER(SEARCH("Türkiye",S4278)),"Turkey",
ISNUMBER(SEARCH("Ivory Coast",S4278)),"Côte d'Ivoire",
ISNUMBER(SEARCH("Korea Republic",S4278)),"South Korea",
ISNUMBER(SEARCH("Germany FR",S4278)),"FR Germany",
ISNUMBER(SEARCH("West Germany",S4278)),"FR Germany",
ISNUMBER(SEARCH("Germany DR",S4278)),"DR Germany",
ISNUMBER(SEARCH("Korea DPR",S4278)),"North Korea",
ISNUMBER(SEARCH("China PR",S4278)),"China",
ISNUMBER(SEARCH("IR Iran",S4278)),"Iran",
ISNUMBER(SEARCH("Congo DR",S4278)),"Democratic Republic of the Congo",
ISNUMBER(SEARCH("DR Congo",S4278)),"Democratic Republic of the Congo",
ISNUMBER(SEARCH("German DR",S4278)),"DR Germany",
ISNUMBER(SEARCH("rn""&gt;United Arab Emirates",S4278)),"United Arab Emirates",
ISNUMBER(SEARCH("rn""&gt;Republic of Ireland",S4278)),"Ireland",
ISNUMBER(SEARCH("rn""&gt;Bosnia and Herzegovina",S4278)),"Bosnia and Herzegovina",
ISNUMBER(SEARCH("rn""&gt;Trinidad and Tobago",S4278)),"Trinidad and Tobago",
ISNUMBER(SEARCH("rn""&gt;Serbia and Montenegro",S4278)),"Serbia and Montenegro",
ISNUMBER(SEARCH(_xlfn.UNICHAR(65533),S4278)),"Côte d'Ivoire",
TRUE,""
)</f>
        <v/>
      </c>
      <c r="W4278" s="40" t="str">
        <f t="shared" si="273"/>
        <v>England</v>
      </c>
    </row>
    <row r="4279" spans="19:23">
      <c r="S4279" s="40" t="str">
        <v>Japan</v>
      </c>
      <c r="T4279" s="40" t="str">
        <f t="shared" si="271"/>
        <v>OK</v>
      </c>
      <c r="U4279" s="40" t="str">
        <f t="shared" si="272"/>
        <v>-</v>
      </c>
      <c r="V4279" s="40" t="str" cm="1">
        <f t="array" ref="V4279">_xlfn.IFS(
ISNUMBER(SEARCH("USA",S4279)),"United States",
ISNUMBER(SEARCH("Republic of Ireland",S4279)),"Ireland",
ISNUMBER(SEARCH("Republic of Korea",S4279)),"South Korea",
ISNUMBER(SEARCH("Cape Verde",S4279)),"Cabo Verde",
ISNUMBER(SEARCH("Czechia",S4279)),"Czech Republic",
ISNUMBER(SEARCH("Türkiye",S4279)),"Turkey",
ISNUMBER(SEARCH("Ivory Coast",S4279)),"Côte d'Ivoire",
ISNUMBER(SEARCH("Korea Republic",S4279)),"South Korea",
ISNUMBER(SEARCH("Germany FR",S4279)),"FR Germany",
ISNUMBER(SEARCH("West Germany",S4279)),"FR Germany",
ISNUMBER(SEARCH("Germany DR",S4279)),"DR Germany",
ISNUMBER(SEARCH("Korea DPR",S4279)),"North Korea",
ISNUMBER(SEARCH("China PR",S4279)),"China",
ISNUMBER(SEARCH("IR Iran",S4279)),"Iran",
ISNUMBER(SEARCH("Congo DR",S4279)),"Democratic Republic of the Congo",
ISNUMBER(SEARCH("DR Congo",S4279)),"Democratic Republic of the Congo",
ISNUMBER(SEARCH("German DR",S4279)),"DR Germany",
ISNUMBER(SEARCH("rn""&gt;United Arab Emirates",S4279)),"United Arab Emirates",
ISNUMBER(SEARCH("rn""&gt;Republic of Ireland",S4279)),"Ireland",
ISNUMBER(SEARCH("rn""&gt;Bosnia and Herzegovina",S4279)),"Bosnia and Herzegovina",
ISNUMBER(SEARCH("rn""&gt;Trinidad and Tobago",S4279)),"Trinidad and Tobago",
ISNUMBER(SEARCH("rn""&gt;Serbia and Montenegro",S4279)),"Serbia and Montenegro",
ISNUMBER(SEARCH(_xlfn.UNICHAR(65533),S4279)),"Côte d'Ivoire",
TRUE,""
)</f>
        <v/>
      </c>
      <c r="W4279" s="40" t="str">
        <f t="shared" si="273"/>
        <v>Japan</v>
      </c>
    </row>
    <row r="4280" spans="19:23">
      <c r="S4280" s="40" t="str">
        <v>Senegal</v>
      </c>
      <c r="T4280" s="40" t="str">
        <f t="shared" si="271"/>
        <v>OK</v>
      </c>
      <c r="U4280" s="40" t="str">
        <f t="shared" si="272"/>
        <v>-</v>
      </c>
      <c r="V4280" s="40" t="str" cm="1">
        <f t="array" ref="V4280">_xlfn.IFS(
ISNUMBER(SEARCH("USA",S4280)),"United States",
ISNUMBER(SEARCH("Republic of Ireland",S4280)),"Ireland",
ISNUMBER(SEARCH("Republic of Korea",S4280)),"South Korea",
ISNUMBER(SEARCH("Cape Verde",S4280)),"Cabo Verde",
ISNUMBER(SEARCH("Czechia",S4280)),"Czech Republic",
ISNUMBER(SEARCH("Türkiye",S4280)),"Turkey",
ISNUMBER(SEARCH("Ivory Coast",S4280)),"Côte d'Ivoire",
ISNUMBER(SEARCH("Korea Republic",S4280)),"South Korea",
ISNUMBER(SEARCH("Germany FR",S4280)),"FR Germany",
ISNUMBER(SEARCH("West Germany",S4280)),"FR Germany",
ISNUMBER(SEARCH("Germany DR",S4280)),"DR Germany",
ISNUMBER(SEARCH("Korea DPR",S4280)),"North Korea",
ISNUMBER(SEARCH("China PR",S4280)),"China",
ISNUMBER(SEARCH("IR Iran",S4280)),"Iran",
ISNUMBER(SEARCH("Congo DR",S4280)),"Democratic Republic of the Congo",
ISNUMBER(SEARCH("DR Congo",S4280)),"Democratic Republic of the Congo",
ISNUMBER(SEARCH("German DR",S4280)),"DR Germany",
ISNUMBER(SEARCH("rn""&gt;United Arab Emirates",S4280)),"United Arab Emirates",
ISNUMBER(SEARCH("rn""&gt;Republic of Ireland",S4280)),"Ireland",
ISNUMBER(SEARCH("rn""&gt;Bosnia and Herzegovina",S4280)),"Bosnia and Herzegovina",
ISNUMBER(SEARCH("rn""&gt;Trinidad and Tobago",S4280)),"Trinidad and Tobago",
ISNUMBER(SEARCH("rn""&gt;Serbia and Montenegro",S4280)),"Serbia and Montenegro",
ISNUMBER(SEARCH(_xlfn.UNICHAR(65533),S4280)),"Côte d'Ivoire",
TRUE,""
)</f>
        <v/>
      </c>
      <c r="W4280" s="40" t="str">
        <f t="shared" si="273"/>
        <v>Senegal</v>
      </c>
    </row>
    <row r="4281" spans="19:23">
      <c r="S4281" s="40" t="str">
        <v>Egypt</v>
      </c>
      <c r="T4281" s="40" t="str">
        <f t="shared" si="271"/>
        <v>OK</v>
      </c>
      <c r="U4281" s="40" t="str">
        <f t="shared" si="272"/>
        <v>-</v>
      </c>
      <c r="V4281" s="40" t="str" cm="1">
        <f t="array" ref="V4281">_xlfn.IFS(
ISNUMBER(SEARCH("USA",S4281)),"United States",
ISNUMBER(SEARCH("Republic of Ireland",S4281)),"Ireland",
ISNUMBER(SEARCH("Republic of Korea",S4281)),"South Korea",
ISNUMBER(SEARCH("Cape Verde",S4281)),"Cabo Verde",
ISNUMBER(SEARCH("Czechia",S4281)),"Czech Republic",
ISNUMBER(SEARCH("Türkiye",S4281)),"Turkey",
ISNUMBER(SEARCH("Ivory Coast",S4281)),"Côte d'Ivoire",
ISNUMBER(SEARCH("Korea Republic",S4281)),"South Korea",
ISNUMBER(SEARCH("Germany FR",S4281)),"FR Germany",
ISNUMBER(SEARCH("West Germany",S4281)),"FR Germany",
ISNUMBER(SEARCH("Germany DR",S4281)),"DR Germany",
ISNUMBER(SEARCH("Korea DPR",S4281)),"North Korea",
ISNUMBER(SEARCH("China PR",S4281)),"China",
ISNUMBER(SEARCH("IR Iran",S4281)),"Iran",
ISNUMBER(SEARCH("Congo DR",S4281)),"Democratic Republic of the Congo",
ISNUMBER(SEARCH("DR Congo",S4281)),"Democratic Republic of the Congo",
ISNUMBER(SEARCH("German DR",S4281)),"DR Germany",
ISNUMBER(SEARCH("rn""&gt;United Arab Emirates",S4281)),"United Arab Emirates",
ISNUMBER(SEARCH("rn""&gt;Republic of Ireland",S4281)),"Ireland",
ISNUMBER(SEARCH("rn""&gt;Bosnia and Herzegovina",S4281)),"Bosnia and Herzegovina",
ISNUMBER(SEARCH("rn""&gt;Trinidad and Tobago",S4281)),"Trinidad and Tobago",
ISNUMBER(SEARCH("rn""&gt;Serbia and Montenegro",S4281)),"Serbia and Montenegro",
ISNUMBER(SEARCH(_xlfn.UNICHAR(65533),S4281)),"Côte d'Ivoire",
TRUE,""
)</f>
        <v/>
      </c>
      <c r="W4281" s="40" t="str">
        <f t="shared" si="273"/>
        <v>Egypt</v>
      </c>
    </row>
    <row r="4282" spans="19:23">
      <c r="S4282" s="40" t="str">
        <v>Morocco</v>
      </c>
      <c r="T4282" s="40" t="str">
        <f t="shared" si="271"/>
        <v>OK</v>
      </c>
      <c r="U4282" s="40" t="str">
        <f t="shared" si="272"/>
        <v>-</v>
      </c>
      <c r="V4282" s="40" t="str" cm="1">
        <f t="array" ref="V4282">_xlfn.IFS(
ISNUMBER(SEARCH("USA",S4282)),"United States",
ISNUMBER(SEARCH("Republic of Ireland",S4282)),"Ireland",
ISNUMBER(SEARCH("Republic of Korea",S4282)),"South Korea",
ISNUMBER(SEARCH("Cape Verde",S4282)),"Cabo Verde",
ISNUMBER(SEARCH("Czechia",S4282)),"Czech Republic",
ISNUMBER(SEARCH("Türkiye",S4282)),"Turkey",
ISNUMBER(SEARCH("Ivory Coast",S4282)),"Côte d'Ivoire",
ISNUMBER(SEARCH("Korea Republic",S4282)),"South Korea",
ISNUMBER(SEARCH("Germany FR",S4282)),"FR Germany",
ISNUMBER(SEARCH("West Germany",S4282)),"FR Germany",
ISNUMBER(SEARCH("Germany DR",S4282)),"DR Germany",
ISNUMBER(SEARCH("Korea DPR",S4282)),"North Korea",
ISNUMBER(SEARCH("China PR",S4282)),"China",
ISNUMBER(SEARCH("IR Iran",S4282)),"Iran",
ISNUMBER(SEARCH("Congo DR",S4282)),"Democratic Republic of the Congo",
ISNUMBER(SEARCH("DR Congo",S4282)),"Democratic Republic of the Congo",
ISNUMBER(SEARCH("German DR",S4282)),"DR Germany",
ISNUMBER(SEARCH("rn""&gt;United Arab Emirates",S4282)),"United Arab Emirates",
ISNUMBER(SEARCH("rn""&gt;Republic of Ireland",S4282)),"Ireland",
ISNUMBER(SEARCH("rn""&gt;Bosnia and Herzegovina",S4282)),"Bosnia and Herzegovina",
ISNUMBER(SEARCH("rn""&gt;Trinidad and Tobago",S4282)),"Trinidad and Tobago",
ISNUMBER(SEARCH("rn""&gt;Serbia and Montenegro",S4282)),"Serbia and Montenegro",
ISNUMBER(SEARCH(_xlfn.UNICHAR(65533),S4282)),"Côte d'Ivoire",
TRUE,""
)</f>
        <v/>
      </c>
      <c r="W4282" s="40" t="str">
        <f t="shared" si="273"/>
        <v>Morocco</v>
      </c>
    </row>
    <row r="4283" spans="19:23">
      <c r="S4283" s="40" t="str">
        <v>Saudi Arabia</v>
      </c>
      <c r="T4283" s="40" t="str">
        <f t="shared" si="271"/>
        <v>OK</v>
      </c>
      <c r="U4283" s="40" t="str">
        <f t="shared" si="272"/>
        <v>-</v>
      </c>
      <c r="V4283" s="40" t="str" cm="1">
        <f t="array" ref="V4283">_xlfn.IFS(
ISNUMBER(SEARCH("USA",S4283)),"United States",
ISNUMBER(SEARCH("Republic of Ireland",S4283)),"Ireland",
ISNUMBER(SEARCH("Republic of Korea",S4283)),"South Korea",
ISNUMBER(SEARCH("Cape Verde",S4283)),"Cabo Verde",
ISNUMBER(SEARCH("Czechia",S4283)),"Czech Republic",
ISNUMBER(SEARCH("Türkiye",S4283)),"Turkey",
ISNUMBER(SEARCH("Ivory Coast",S4283)),"Côte d'Ivoire",
ISNUMBER(SEARCH("Korea Republic",S4283)),"South Korea",
ISNUMBER(SEARCH("Germany FR",S4283)),"FR Germany",
ISNUMBER(SEARCH("West Germany",S4283)),"FR Germany",
ISNUMBER(SEARCH("Germany DR",S4283)),"DR Germany",
ISNUMBER(SEARCH("Korea DPR",S4283)),"North Korea",
ISNUMBER(SEARCH("China PR",S4283)),"China",
ISNUMBER(SEARCH("IR Iran",S4283)),"Iran",
ISNUMBER(SEARCH("Congo DR",S4283)),"Democratic Republic of the Congo",
ISNUMBER(SEARCH("DR Congo",S4283)),"Democratic Republic of the Congo",
ISNUMBER(SEARCH("German DR",S4283)),"DR Germany",
ISNUMBER(SEARCH("rn""&gt;United Arab Emirates",S4283)),"United Arab Emirates",
ISNUMBER(SEARCH("rn""&gt;Republic of Ireland",S4283)),"Ireland",
ISNUMBER(SEARCH("rn""&gt;Bosnia and Herzegovina",S4283)),"Bosnia and Herzegovina",
ISNUMBER(SEARCH("rn""&gt;Trinidad and Tobago",S4283)),"Trinidad and Tobago",
ISNUMBER(SEARCH("rn""&gt;Serbia and Montenegro",S4283)),"Serbia and Montenegro",
ISNUMBER(SEARCH(_xlfn.UNICHAR(65533),S4283)),"Côte d'Ivoire",
TRUE,""
)</f>
        <v/>
      </c>
      <c r="W4283" s="40" t="str">
        <f t="shared" si="273"/>
        <v>Saudi Arabia</v>
      </c>
    </row>
    <row r="4284" spans="19:23">
      <c r="S4284" s="40" t="str">
        <v>Spain</v>
      </c>
      <c r="T4284" s="40" t="str">
        <f t="shared" si="271"/>
        <v>OK</v>
      </c>
      <c r="U4284" s="40" t="str">
        <f t="shared" si="272"/>
        <v>-</v>
      </c>
      <c r="V4284" s="40" t="str" cm="1">
        <f t="array" ref="V4284">_xlfn.IFS(
ISNUMBER(SEARCH("USA",S4284)),"United States",
ISNUMBER(SEARCH("Republic of Ireland",S4284)),"Ireland",
ISNUMBER(SEARCH("Republic of Korea",S4284)),"South Korea",
ISNUMBER(SEARCH("Cape Verde",S4284)),"Cabo Verde",
ISNUMBER(SEARCH("Czechia",S4284)),"Czech Republic",
ISNUMBER(SEARCH("Türkiye",S4284)),"Turkey",
ISNUMBER(SEARCH("Ivory Coast",S4284)),"Côte d'Ivoire",
ISNUMBER(SEARCH("Korea Republic",S4284)),"South Korea",
ISNUMBER(SEARCH("Germany FR",S4284)),"FR Germany",
ISNUMBER(SEARCH("West Germany",S4284)),"FR Germany",
ISNUMBER(SEARCH("Germany DR",S4284)),"DR Germany",
ISNUMBER(SEARCH("Korea DPR",S4284)),"North Korea",
ISNUMBER(SEARCH("China PR",S4284)),"China",
ISNUMBER(SEARCH("IR Iran",S4284)),"Iran",
ISNUMBER(SEARCH("Congo DR",S4284)),"Democratic Republic of the Congo",
ISNUMBER(SEARCH("DR Congo",S4284)),"Democratic Republic of the Congo",
ISNUMBER(SEARCH("German DR",S4284)),"DR Germany",
ISNUMBER(SEARCH("rn""&gt;United Arab Emirates",S4284)),"United Arab Emirates",
ISNUMBER(SEARCH("rn""&gt;Republic of Ireland",S4284)),"Ireland",
ISNUMBER(SEARCH("rn""&gt;Bosnia and Herzegovina",S4284)),"Bosnia and Herzegovina",
ISNUMBER(SEARCH("rn""&gt;Trinidad and Tobago",S4284)),"Trinidad and Tobago",
ISNUMBER(SEARCH("rn""&gt;Serbia and Montenegro",S4284)),"Serbia and Montenegro",
ISNUMBER(SEARCH(_xlfn.UNICHAR(65533),S4284)),"Côte d'Ivoire",
TRUE,""
)</f>
        <v/>
      </c>
      <c r="W4284" s="40" t="str">
        <f t="shared" si="273"/>
        <v>Spain</v>
      </c>
    </row>
    <row r="4285" spans="19:23">
      <c r="S4285" s="40" t="str">
        <v>Australia</v>
      </c>
      <c r="T4285" s="40" t="str">
        <f t="shared" si="271"/>
        <v>OK</v>
      </c>
      <c r="U4285" s="40" t="str">
        <f t="shared" si="272"/>
        <v>-</v>
      </c>
      <c r="V4285" s="40" t="str" cm="1">
        <f t="array" ref="V4285">_xlfn.IFS(
ISNUMBER(SEARCH("USA",S4285)),"United States",
ISNUMBER(SEARCH("Republic of Ireland",S4285)),"Ireland",
ISNUMBER(SEARCH("Republic of Korea",S4285)),"South Korea",
ISNUMBER(SEARCH("Cape Verde",S4285)),"Cabo Verde",
ISNUMBER(SEARCH("Czechia",S4285)),"Czech Republic",
ISNUMBER(SEARCH("Türkiye",S4285)),"Turkey",
ISNUMBER(SEARCH("Ivory Coast",S4285)),"Côte d'Ivoire",
ISNUMBER(SEARCH("Korea Republic",S4285)),"South Korea",
ISNUMBER(SEARCH("Germany FR",S4285)),"FR Germany",
ISNUMBER(SEARCH("West Germany",S4285)),"FR Germany",
ISNUMBER(SEARCH("Germany DR",S4285)),"DR Germany",
ISNUMBER(SEARCH("Korea DPR",S4285)),"North Korea",
ISNUMBER(SEARCH("China PR",S4285)),"China",
ISNUMBER(SEARCH("IR Iran",S4285)),"Iran",
ISNUMBER(SEARCH("Congo DR",S4285)),"Democratic Republic of the Congo",
ISNUMBER(SEARCH("DR Congo",S4285)),"Democratic Republic of the Congo",
ISNUMBER(SEARCH("German DR",S4285)),"DR Germany",
ISNUMBER(SEARCH("rn""&gt;United Arab Emirates",S4285)),"United Arab Emirates",
ISNUMBER(SEARCH("rn""&gt;Republic of Ireland",S4285)),"Ireland",
ISNUMBER(SEARCH("rn""&gt;Bosnia and Herzegovina",S4285)),"Bosnia and Herzegovina",
ISNUMBER(SEARCH("rn""&gt;Trinidad and Tobago",S4285)),"Trinidad and Tobago",
ISNUMBER(SEARCH("rn""&gt;Serbia and Montenegro",S4285)),"Serbia and Montenegro",
ISNUMBER(SEARCH(_xlfn.UNICHAR(65533),S4285)),"Côte d'Ivoire",
TRUE,""
)</f>
        <v/>
      </c>
      <c r="W4285" s="40" t="str">
        <f t="shared" si="273"/>
        <v>Australia</v>
      </c>
    </row>
    <row r="4286" spans="19:23">
      <c r="S4286" s="40" t="str">
        <v>Peru</v>
      </c>
      <c r="T4286" s="40" t="str">
        <f t="shared" si="271"/>
        <v>OK</v>
      </c>
      <c r="U4286" s="40" t="str">
        <f t="shared" si="272"/>
        <v>-</v>
      </c>
      <c r="V4286" s="40" t="str" cm="1">
        <f t="array" ref="V4286">_xlfn.IFS(
ISNUMBER(SEARCH("USA",S4286)),"United States",
ISNUMBER(SEARCH("Republic of Ireland",S4286)),"Ireland",
ISNUMBER(SEARCH("Republic of Korea",S4286)),"South Korea",
ISNUMBER(SEARCH("Cape Verde",S4286)),"Cabo Verde",
ISNUMBER(SEARCH("Czechia",S4286)),"Czech Republic",
ISNUMBER(SEARCH("Türkiye",S4286)),"Turkey",
ISNUMBER(SEARCH("Ivory Coast",S4286)),"Côte d'Ivoire",
ISNUMBER(SEARCH("Korea Republic",S4286)),"South Korea",
ISNUMBER(SEARCH("Germany FR",S4286)),"FR Germany",
ISNUMBER(SEARCH("West Germany",S4286)),"FR Germany",
ISNUMBER(SEARCH("Germany DR",S4286)),"DR Germany",
ISNUMBER(SEARCH("Korea DPR",S4286)),"North Korea",
ISNUMBER(SEARCH("China PR",S4286)),"China",
ISNUMBER(SEARCH("IR Iran",S4286)),"Iran",
ISNUMBER(SEARCH("Congo DR",S4286)),"Democratic Republic of the Congo",
ISNUMBER(SEARCH("DR Congo",S4286)),"Democratic Republic of the Congo",
ISNUMBER(SEARCH("German DR",S4286)),"DR Germany",
ISNUMBER(SEARCH("rn""&gt;United Arab Emirates",S4286)),"United Arab Emirates",
ISNUMBER(SEARCH("rn""&gt;Republic of Ireland",S4286)),"Ireland",
ISNUMBER(SEARCH("rn""&gt;Bosnia and Herzegovina",S4286)),"Bosnia and Herzegovina",
ISNUMBER(SEARCH("rn""&gt;Trinidad and Tobago",S4286)),"Trinidad and Tobago",
ISNUMBER(SEARCH("rn""&gt;Serbia and Montenegro",S4286)),"Serbia and Montenegro",
ISNUMBER(SEARCH(_xlfn.UNICHAR(65533),S4286)),"Côte d'Ivoire",
TRUE,""
)</f>
        <v/>
      </c>
      <c r="W4286" s="40" t="str">
        <f t="shared" si="273"/>
        <v>Peru</v>
      </c>
    </row>
    <row r="4287" spans="19:23">
      <c r="S4287" s="40" t="str">
        <v>Croatia</v>
      </c>
      <c r="T4287" s="40" t="str">
        <f t="shared" si="271"/>
        <v>OK</v>
      </c>
      <c r="U4287" s="40" t="str">
        <f t="shared" si="272"/>
        <v>-</v>
      </c>
      <c r="V4287" s="40" t="str" cm="1">
        <f t="array" ref="V4287">_xlfn.IFS(
ISNUMBER(SEARCH("USA",S4287)),"United States",
ISNUMBER(SEARCH("Republic of Ireland",S4287)),"Ireland",
ISNUMBER(SEARCH("Republic of Korea",S4287)),"South Korea",
ISNUMBER(SEARCH("Cape Verde",S4287)),"Cabo Verde",
ISNUMBER(SEARCH("Czechia",S4287)),"Czech Republic",
ISNUMBER(SEARCH("Türkiye",S4287)),"Turkey",
ISNUMBER(SEARCH("Ivory Coast",S4287)),"Côte d'Ivoire",
ISNUMBER(SEARCH("Korea Republic",S4287)),"South Korea",
ISNUMBER(SEARCH("Germany FR",S4287)),"FR Germany",
ISNUMBER(SEARCH("West Germany",S4287)),"FR Germany",
ISNUMBER(SEARCH("Germany DR",S4287)),"DR Germany",
ISNUMBER(SEARCH("Korea DPR",S4287)),"North Korea",
ISNUMBER(SEARCH("China PR",S4287)),"China",
ISNUMBER(SEARCH("IR Iran",S4287)),"Iran",
ISNUMBER(SEARCH("Congo DR",S4287)),"Democratic Republic of the Congo",
ISNUMBER(SEARCH("DR Congo",S4287)),"Democratic Republic of the Congo",
ISNUMBER(SEARCH("German DR",S4287)),"DR Germany",
ISNUMBER(SEARCH("rn""&gt;United Arab Emirates",S4287)),"United Arab Emirates",
ISNUMBER(SEARCH("rn""&gt;Republic of Ireland",S4287)),"Ireland",
ISNUMBER(SEARCH("rn""&gt;Bosnia and Herzegovina",S4287)),"Bosnia and Herzegovina",
ISNUMBER(SEARCH("rn""&gt;Trinidad and Tobago",S4287)),"Trinidad and Tobago",
ISNUMBER(SEARCH("rn""&gt;Serbia and Montenegro",S4287)),"Serbia and Montenegro",
ISNUMBER(SEARCH(_xlfn.UNICHAR(65533),S4287)),"Côte d'Ivoire",
TRUE,""
)</f>
        <v/>
      </c>
      <c r="W4287" s="40" t="str">
        <f t="shared" si="273"/>
        <v>Croatia</v>
      </c>
    </row>
    <row r="4288" spans="19:23">
      <c r="S4288" s="40" t="str">
        <v>Costa Rica</v>
      </c>
      <c r="T4288" s="40" t="str">
        <f t="shared" si="271"/>
        <v>OK</v>
      </c>
      <c r="U4288" s="40" t="str">
        <f t="shared" si="272"/>
        <v>-</v>
      </c>
      <c r="V4288" s="40" t="str" cm="1">
        <f t="array" ref="V4288">_xlfn.IFS(
ISNUMBER(SEARCH("USA",S4288)),"United States",
ISNUMBER(SEARCH("Republic of Ireland",S4288)),"Ireland",
ISNUMBER(SEARCH("Republic of Korea",S4288)),"South Korea",
ISNUMBER(SEARCH("Cape Verde",S4288)),"Cabo Verde",
ISNUMBER(SEARCH("Czechia",S4288)),"Czech Republic",
ISNUMBER(SEARCH("Türkiye",S4288)),"Turkey",
ISNUMBER(SEARCH("Ivory Coast",S4288)),"Côte d'Ivoire",
ISNUMBER(SEARCH("Korea Republic",S4288)),"South Korea",
ISNUMBER(SEARCH("Germany FR",S4288)),"FR Germany",
ISNUMBER(SEARCH("West Germany",S4288)),"FR Germany",
ISNUMBER(SEARCH("Germany DR",S4288)),"DR Germany",
ISNUMBER(SEARCH("Korea DPR",S4288)),"North Korea",
ISNUMBER(SEARCH("China PR",S4288)),"China",
ISNUMBER(SEARCH("IR Iran",S4288)),"Iran",
ISNUMBER(SEARCH("Congo DR",S4288)),"Democratic Republic of the Congo",
ISNUMBER(SEARCH("DR Congo",S4288)),"Democratic Republic of the Congo",
ISNUMBER(SEARCH("German DR",S4288)),"DR Germany",
ISNUMBER(SEARCH("rn""&gt;United Arab Emirates",S4288)),"United Arab Emirates",
ISNUMBER(SEARCH("rn""&gt;Republic of Ireland",S4288)),"Ireland",
ISNUMBER(SEARCH("rn""&gt;Bosnia and Herzegovina",S4288)),"Bosnia and Herzegovina",
ISNUMBER(SEARCH("rn""&gt;Trinidad and Tobago",S4288)),"Trinidad and Tobago",
ISNUMBER(SEARCH("rn""&gt;Serbia and Montenegro",S4288)),"Serbia and Montenegro",
ISNUMBER(SEARCH(_xlfn.UNICHAR(65533),S4288)),"Côte d'Ivoire",
TRUE,""
)</f>
        <v/>
      </c>
      <c r="W4288" s="40" t="str">
        <f t="shared" si="273"/>
        <v>Costa Rica</v>
      </c>
    </row>
    <row r="4289" spans="19:23">
      <c r="S4289" s="40" t="str">
        <v>Iceland</v>
      </c>
      <c r="T4289" s="40" t="str">
        <f t="shared" si="271"/>
        <v>OK</v>
      </c>
      <c r="U4289" s="40" t="str">
        <f t="shared" si="272"/>
        <v>-</v>
      </c>
      <c r="V4289" s="40" t="str" cm="1">
        <f t="array" ref="V4289">_xlfn.IFS(
ISNUMBER(SEARCH("USA",S4289)),"United States",
ISNUMBER(SEARCH("Republic of Ireland",S4289)),"Ireland",
ISNUMBER(SEARCH("Republic of Korea",S4289)),"South Korea",
ISNUMBER(SEARCH("Cape Verde",S4289)),"Cabo Verde",
ISNUMBER(SEARCH("Czechia",S4289)),"Czech Republic",
ISNUMBER(SEARCH("Türkiye",S4289)),"Turkey",
ISNUMBER(SEARCH("Ivory Coast",S4289)),"Côte d'Ivoire",
ISNUMBER(SEARCH("Korea Republic",S4289)),"South Korea",
ISNUMBER(SEARCH("Germany FR",S4289)),"FR Germany",
ISNUMBER(SEARCH("West Germany",S4289)),"FR Germany",
ISNUMBER(SEARCH("Germany DR",S4289)),"DR Germany",
ISNUMBER(SEARCH("Korea DPR",S4289)),"North Korea",
ISNUMBER(SEARCH("China PR",S4289)),"China",
ISNUMBER(SEARCH("IR Iran",S4289)),"Iran",
ISNUMBER(SEARCH("Congo DR",S4289)),"Democratic Republic of the Congo",
ISNUMBER(SEARCH("DR Congo",S4289)),"Democratic Republic of the Congo",
ISNUMBER(SEARCH("German DR",S4289)),"DR Germany",
ISNUMBER(SEARCH("rn""&gt;United Arab Emirates",S4289)),"United Arab Emirates",
ISNUMBER(SEARCH("rn""&gt;Republic of Ireland",S4289)),"Ireland",
ISNUMBER(SEARCH("rn""&gt;Bosnia and Herzegovina",S4289)),"Bosnia and Herzegovina",
ISNUMBER(SEARCH("rn""&gt;Trinidad and Tobago",S4289)),"Trinidad and Tobago",
ISNUMBER(SEARCH("rn""&gt;Serbia and Montenegro",S4289)),"Serbia and Montenegro",
ISNUMBER(SEARCH(_xlfn.UNICHAR(65533),S4289)),"Côte d'Ivoire",
TRUE,""
)</f>
        <v/>
      </c>
      <c r="W4289" s="40" t="str">
        <f t="shared" si="273"/>
        <v>Iceland</v>
      </c>
    </row>
    <row r="4290" spans="19:23">
      <c r="S4290" s="40" t="str">
        <v>Switzerland</v>
      </c>
      <c r="T4290" s="40" t="str">
        <f t="shared" si="271"/>
        <v>OK</v>
      </c>
      <c r="U4290" s="40" t="str">
        <f t="shared" si="272"/>
        <v>-</v>
      </c>
      <c r="V4290" s="40" t="str" cm="1">
        <f t="array" ref="V4290">_xlfn.IFS(
ISNUMBER(SEARCH("USA",S4290)),"United States",
ISNUMBER(SEARCH("Republic of Ireland",S4290)),"Ireland",
ISNUMBER(SEARCH("Republic of Korea",S4290)),"South Korea",
ISNUMBER(SEARCH("Cape Verde",S4290)),"Cabo Verde",
ISNUMBER(SEARCH("Czechia",S4290)),"Czech Republic",
ISNUMBER(SEARCH("Türkiye",S4290)),"Turkey",
ISNUMBER(SEARCH("Ivory Coast",S4290)),"Côte d'Ivoire",
ISNUMBER(SEARCH("Korea Republic",S4290)),"South Korea",
ISNUMBER(SEARCH("Germany FR",S4290)),"FR Germany",
ISNUMBER(SEARCH("West Germany",S4290)),"FR Germany",
ISNUMBER(SEARCH("Germany DR",S4290)),"DR Germany",
ISNUMBER(SEARCH("Korea DPR",S4290)),"North Korea",
ISNUMBER(SEARCH("China PR",S4290)),"China",
ISNUMBER(SEARCH("IR Iran",S4290)),"Iran",
ISNUMBER(SEARCH("Congo DR",S4290)),"Democratic Republic of the Congo",
ISNUMBER(SEARCH("DR Congo",S4290)),"Democratic Republic of the Congo",
ISNUMBER(SEARCH("German DR",S4290)),"DR Germany",
ISNUMBER(SEARCH("rn""&gt;United Arab Emirates",S4290)),"United Arab Emirates",
ISNUMBER(SEARCH("rn""&gt;Republic of Ireland",S4290)),"Ireland",
ISNUMBER(SEARCH("rn""&gt;Bosnia and Herzegovina",S4290)),"Bosnia and Herzegovina",
ISNUMBER(SEARCH("rn""&gt;Trinidad and Tobago",S4290)),"Trinidad and Tobago",
ISNUMBER(SEARCH("rn""&gt;Serbia and Montenegro",S4290)),"Serbia and Montenegro",
ISNUMBER(SEARCH(_xlfn.UNICHAR(65533),S4290)),"Côte d'Ivoire",
TRUE,""
)</f>
        <v/>
      </c>
      <c r="W4290" s="40" t="str">
        <f t="shared" si="273"/>
        <v>Switzerland</v>
      </c>
    </row>
    <row r="4291" spans="19:23">
      <c r="S4291" s="40" t="str">
        <v>Tunisia</v>
      </c>
      <c r="T4291" s="40" t="str">
        <f t="shared" ref="T4291:T4354" si="274">IF(COUNTIF(R$13:R$250,S4291)=1,"OK","ERREUR")</f>
        <v>OK</v>
      </c>
      <c r="U4291" s="40" t="str">
        <f t="shared" si="272"/>
        <v>-</v>
      </c>
      <c r="V4291" s="40" t="str" cm="1">
        <f t="array" ref="V4291">_xlfn.IFS(
ISNUMBER(SEARCH("USA",S4291)),"United States",
ISNUMBER(SEARCH("Republic of Ireland",S4291)),"Ireland",
ISNUMBER(SEARCH("Republic of Korea",S4291)),"South Korea",
ISNUMBER(SEARCH("Cape Verde",S4291)),"Cabo Verde",
ISNUMBER(SEARCH("Czechia",S4291)),"Czech Republic",
ISNUMBER(SEARCH("Türkiye",S4291)),"Turkey",
ISNUMBER(SEARCH("Ivory Coast",S4291)),"Côte d'Ivoire",
ISNUMBER(SEARCH("Korea Republic",S4291)),"South Korea",
ISNUMBER(SEARCH("Germany FR",S4291)),"FR Germany",
ISNUMBER(SEARCH("West Germany",S4291)),"FR Germany",
ISNUMBER(SEARCH("Germany DR",S4291)),"DR Germany",
ISNUMBER(SEARCH("Korea DPR",S4291)),"North Korea",
ISNUMBER(SEARCH("China PR",S4291)),"China",
ISNUMBER(SEARCH("IR Iran",S4291)),"Iran",
ISNUMBER(SEARCH("Congo DR",S4291)),"Democratic Republic of the Congo",
ISNUMBER(SEARCH("DR Congo",S4291)),"Democratic Republic of the Congo",
ISNUMBER(SEARCH("German DR",S4291)),"DR Germany",
ISNUMBER(SEARCH("rn""&gt;United Arab Emirates",S4291)),"United Arab Emirates",
ISNUMBER(SEARCH("rn""&gt;Republic of Ireland",S4291)),"Ireland",
ISNUMBER(SEARCH("rn""&gt;Bosnia and Herzegovina",S4291)),"Bosnia and Herzegovina",
ISNUMBER(SEARCH("rn""&gt;Trinidad and Tobago",S4291)),"Trinidad and Tobago",
ISNUMBER(SEARCH("rn""&gt;Serbia and Montenegro",S4291)),"Serbia and Montenegro",
ISNUMBER(SEARCH(_xlfn.UNICHAR(65533),S4291)),"Côte d'Ivoire",
TRUE,""
)</f>
        <v/>
      </c>
      <c r="W4291" s="40" t="str">
        <f t="shared" si="273"/>
        <v>Tunisia</v>
      </c>
    </row>
    <row r="4292" spans="19:23">
      <c r="S4292" s="40" t="str">
        <v>Mexico</v>
      </c>
      <c r="T4292" s="40" t="str">
        <f t="shared" si="274"/>
        <v>OK</v>
      </c>
      <c r="U4292" s="40" t="str">
        <f t="shared" ref="U4292:U4355" si="275">IF(OR(S4292="Scotland",S4292="England",S4292="Wales",S4292="Yugoslavia",S4292="Czechoslovakia",S4292="Northern Ireland",S4292="Soviet Union",S4292="Zaire",S4292="Dutch East Indies"),"AUCUNE",IF(OR(S4292="Cape Verde",S4292="USA",S4292="DR Congo",S4292="Republic of Korea",S4292="Germany FR",S4292="Germany DR",S4292="Czechia",S4292="Ivory Coast",S4292="Korea DPR",S4292="China PR",S4292="IR Iran",S4292="Türkiye",S4292="Congo DR",S4292="German DR",S4292="West Germany",S4292="Republic of Ireland",ISNUMBER(SEARCH(_xlfn.UNICHAR(65533),S4292)),S4292="Korea Republic",ISNUMBER(SEARCH("rn""&gt;United Arab Emirates",S4292)),ISNUMBER(SEARCH("rn""&gt;Republic of Ireland",S4292)),ISNUMBER(SEARCH("rn""&gt;Bosnia and Herzegovina",S4292)),ISNUMBER(SEARCH("rn""&gt;Trinidad and Tobago",S4292)),ISNUMBER(SEARCH("rn""&gt;Serbia and Montenegro",S4292)),ISNUMBER(SEARCH(_xlfn.UNICHAR(65533),S4292))),"RENOMMER","-"))</f>
        <v>-</v>
      </c>
      <c r="V4292" s="40" t="str" cm="1">
        <f t="array" ref="V4292">_xlfn.IFS(
ISNUMBER(SEARCH("USA",S4292)),"United States",
ISNUMBER(SEARCH("Republic of Ireland",S4292)),"Ireland",
ISNUMBER(SEARCH("Republic of Korea",S4292)),"South Korea",
ISNUMBER(SEARCH("Cape Verde",S4292)),"Cabo Verde",
ISNUMBER(SEARCH("Czechia",S4292)),"Czech Republic",
ISNUMBER(SEARCH("Türkiye",S4292)),"Turkey",
ISNUMBER(SEARCH("Ivory Coast",S4292)),"Côte d'Ivoire",
ISNUMBER(SEARCH("Korea Republic",S4292)),"South Korea",
ISNUMBER(SEARCH("Germany FR",S4292)),"FR Germany",
ISNUMBER(SEARCH("West Germany",S4292)),"FR Germany",
ISNUMBER(SEARCH("Germany DR",S4292)),"DR Germany",
ISNUMBER(SEARCH("Korea DPR",S4292)),"North Korea",
ISNUMBER(SEARCH("China PR",S4292)),"China",
ISNUMBER(SEARCH("IR Iran",S4292)),"Iran",
ISNUMBER(SEARCH("Congo DR",S4292)),"Democratic Republic of the Congo",
ISNUMBER(SEARCH("DR Congo",S4292)),"Democratic Republic of the Congo",
ISNUMBER(SEARCH("German DR",S4292)),"DR Germany",
ISNUMBER(SEARCH("rn""&gt;United Arab Emirates",S4292)),"United Arab Emirates",
ISNUMBER(SEARCH("rn""&gt;Republic of Ireland",S4292)),"Ireland",
ISNUMBER(SEARCH("rn""&gt;Bosnia and Herzegovina",S4292)),"Bosnia and Herzegovina",
ISNUMBER(SEARCH("rn""&gt;Trinidad and Tobago",S4292)),"Trinidad and Tobago",
ISNUMBER(SEARCH("rn""&gt;Serbia and Montenegro",S4292)),"Serbia and Montenegro",
ISNUMBER(SEARCH(_xlfn.UNICHAR(65533),S4292)),"Côte d'Ivoire",
TRUE,""
)</f>
        <v/>
      </c>
      <c r="W4292" s="40" t="str">
        <f t="shared" ref="W4292:W4355" si="276">IF(V4292="",S4292,V4292)</f>
        <v>Mexico</v>
      </c>
    </row>
    <row r="4293" spans="19:23">
      <c r="S4293" s="40" t="str">
        <v>Sweden</v>
      </c>
      <c r="T4293" s="40" t="str">
        <f t="shared" si="274"/>
        <v>OK</v>
      </c>
      <c r="U4293" s="40" t="str">
        <f t="shared" si="275"/>
        <v>-</v>
      </c>
      <c r="V4293" s="40" t="str" cm="1">
        <f t="array" ref="V4293">_xlfn.IFS(
ISNUMBER(SEARCH("USA",S4293)),"United States",
ISNUMBER(SEARCH("Republic of Ireland",S4293)),"Ireland",
ISNUMBER(SEARCH("Republic of Korea",S4293)),"South Korea",
ISNUMBER(SEARCH("Cape Verde",S4293)),"Cabo Verde",
ISNUMBER(SEARCH("Czechia",S4293)),"Czech Republic",
ISNUMBER(SEARCH("Türkiye",S4293)),"Turkey",
ISNUMBER(SEARCH("Ivory Coast",S4293)),"Côte d'Ivoire",
ISNUMBER(SEARCH("Korea Republic",S4293)),"South Korea",
ISNUMBER(SEARCH("Germany FR",S4293)),"FR Germany",
ISNUMBER(SEARCH("West Germany",S4293)),"FR Germany",
ISNUMBER(SEARCH("Germany DR",S4293)),"DR Germany",
ISNUMBER(SEARCH("Korea DPR",S4293)),"North Korea",
ISNUMBER(SEARCH("China PR",S4293)),"China",
ISNUMBER(SEARCH("IR Iran",S4293)),"Iran",
ISNUMBER(SEARCH("Congo DR",S4293)),"Democratic Republic of the Congo",
ISNUMBER(SEARCH("DR Congo",S4293)),"Democratic Republic of the Congo",
ISNUMBER(SEARCH("German DR",S4293)),"DR Germany",
ISNUMBER(SEARCH("rn""&gt;United Arab Emirates",S4293)),"United Arab Emirates",
ISNUMBER(SEARCH("rn""&gt;Republic of Ireland",S4293)),"Ireland",
ISNUMBER(SEARCH("rn""&gt;Bosnia and Herzegovina",S4293)),"Bosnia and Herzegovina",
ISNUMBER(SEARCH("rn""&gt;Trinidad and Tobago",S4293)),"Trinidad and Tobago",
ISNUMBER(SEARCH("rn""&gt;Serbia and Montenegro",S4293)),"Serbia and Montenegro",
ISNUMBER(SEARCH(_xlfn.UNICHAR(65533),S4293)),"Côte d'Ivoire",
TRUE,""
)</f>
        <v/>
      </c>
      <c r="W4293" s="40" t="str">
        <f t="shared" si="276"/>
        <v>Sweden</v>
      </c>
    </row>
    <row r="4294" spans="19:23">
      <c r="S4294" s="40" t="str">
        <v>Panama</v>
      </c>
      <c r="T4294" s="40" t="str">
        <f t="shared" si="274"/>
        <v>OK</v>
      </c>
      <c r="U4294" s="40" t="str">
        <f t="shared" si="275"/>
        <v>-</v>
      </c>
      <c r="V4294" s="40" t="str" cm="1">
        <f t="array" ref="V4294">_xlfn.IFS(
ISNUMBER(SEARCH("USA",S4294)),"United States",
ISNUMBER(SEARCH("Republic of Ireland",S4294)),"Ireland",
ISNUMBER(SEARCH("Republic of Korea",S4294)),"South Korea",
ISNUMBER(SEARCH("Cape Verde",S4294)),"Cabo Verde",
ISNUMBER(SEARCH("Czechia",S4294)),"Czech Republic",
ISNUMBER(SEARCH("Türkiye",S4294)),"Turkey",
ISNUMBER(SEARCH("Ivory Coast",S4294)),"Côte d'Ivoire",
ISNUMBER(SEARCH("Korea Republic",S4294)),"South Korea",
ISNUMBER(SEARCH("Germany FR",S4294)),"FR Germany",
ISNUMBER(SEARCH("West Germany",S4294)),"FR Germany",
ISNUMBER(SEARCH("Germany DR",S4294)),"DR Germany",
ISNUMBER(SEARCH("Korea DPR",S4294)),"North Korea",
ISNUMBER(SEARCH("China PR",S4294)),"China",
ISNUMBER(SEARCH("IR Iran",S4294)),"Iran",
ISNUMBER(SEARCH("Congo DR",S4294)),"Democratic Republic of the Congo",
ISNUMBER(SEARCH("DR Congo",S4294)),"Democratic Republic of the Congo",
ISNUMBER(SEARCH("German DR",S4294)),"DR Germany",
ISNUMBER(SEARCH("rn""&gt;United Arab Emirates",S4294)),"United Arab Emirates",
ISNUMBER(SEARCH("rn""&gt;Republic of Ireland",S4294)),"Ireland",
ISNUMBER(SEARCH("rn""&gt;Bosnia and Herzegovina",S4294)),"Bosnia and Herzegovina",
ISNUMBER(SEARCH("rn""&gt;Trinidad and Tobago",S4294)),"Trinidad and Tobago",
ISNUMBER(SEARCH("rn""&gt;Serbia and Montenegro",S4294)),"Serbia and Montenegro",
ISNUMBER(SEARCH(_xlfn.UNICHAR(65533),S4294)),"Côte d'Ivoire",
TRUE,""
)</f>
        <v/>
      </c>
      <c r="W4294" s="40" t="str">
        <f t="shared" si="276"/>
        <v>Panama</v>
      </c>
    </row>
    <row r="4295" spans="19:23">
      <c r="S4295" s="40" t="str">
        <v>Senegal</v>
      </c>
      <c r="T4295" s="40" t="str">
        <f t="shared" si="274"/>
        <v>OK</v>
      </c>
      <c r="U4295" s="40" t="str">
        <f t="shared" si="275"/>
        <v>-</v>
      </c>
      <c r="V4295" s="40" t="str" cm="1">
        <f t="array" ref="V4295">_xlfn.IFS(
ISNUMBER(SEARCH("USA",S4295)),"United States",
ISNUMBER(SEARCH("Republic of Ireland",S4295)),"Ireland",
ISNUMBER(SEARCH("Republic of Korea",S4295)),"South Korea",
ISNUMBER(SEARCH("Cape Verde",S4295)),"Cabo Verde",
ISNUMBER(SEARCH("Czechia",S4295)),"Czech Republic",
ISNUMBER(SEARCH("Türkiye",S4295)),"Turkey",
ISNUMBER(SEARCH("Ivory Coast",S4295)),"Côte d'Ivoire",
ISNUMBER(SEARCH("Korea Republic",S4295)),"South Korea",
ISNUMBER(SEARCH("Germany FR",S4295)),"FR Germany",
ISNUMBER(SEARCH("West Germany",S4295)),"FR Germany",
ISNUMBER(SEARCH("Germany DR",S4295)),"DR Germany",
ISNUMBER(SEARCH("Korea DPR",S4295)),"North Korea",
ISNUMBER(SEARCH("China PR",S4295)),"China",
ISNUMBER(SEARCH("IR Iran",S4295)),"Iran",
ISNUMBER(SEARCH("Congo DR",S4295)),"Democratic Republic of the Congo",
ISNUMBER(SEARCH("DR Congo",S4295)),"Democratic Republic of the Congo",
ISNUMBER(SEARCH("German DR",S4295)),"DR Germany",
ISNUMBER(SEARCH("rn""&gt;United Arab Emirates",S4295)),"United Arab Emirates",
ISNUMBER(SEARCH("rn""&gt;Republic of Ireland",S4295)),"Ireland",
ISNUMBER(SEARCH("rn""&gt;Bosnia and Herzegovina",S4295)),"Bosnia and Herzegovina",
ISNUMBER(SEARCH("rn""&gt;Trinidad and Tobago",S4295)),"Trinidad and Tobago",
ISNUMBER(SEARCH("rn""&gt;Serbia and Montenegro",S4295)),"Serbia and Montenegro",
ISNUMBER(SEARCH(_xlfn.UNICHAR(65533),S4295)),"Côte d'Ivoire",
TRUE,""
)</f>
        <v/>
      </c>
      <c r="W4295" s="40" t="str">
        <f t="shared" si="276"/>
        <v>Senegal</v>
      </c>
    </row>
    <row r="4296" spans="19:23">
      <c r="S4296" s="40" t="str">
        <v>Colombia</v>
      </c>
      <c r="T4296" s="40" t="str">
        <f t="shared" si="274"/>
        <v>OK</v>
      </c>
      <c r="U4296" s="40" t="str">
        <f t="shared" si="275"/>
        <v>-</v>
      </c>
      <c r="V4296" s="40" t="str" cm="1">
        <f t="array" ref="V4296">_xlfn.IFS(
ISNUMBER(SEARCH("USA",S4296)),"United States",
ISNUMBER(SEARCH("Republic of Ireland",S4296)),"Ireland",
ISNUMBER(SEARCH("Republic of Korea",S4296)),"South Korea",
ISNUMBER(SEARCH("Cape Verde",S4296)),"Cabo Verde",
ISNUMBER(SEARCH("Czechia",S4296)),"Czech Republic",
ISNUMBER(SEARCH("Türkiye",S4296)),"Turkey",
ISNUMBER(SEARCH("Ivory Coast",S4296)),"Côte d'Ivoire",
ISNUMBER(SEARCH("Korea Republic",S4296)),"South Korea",
ISNUMBER(SEARCH("Germany FR",S4296)),"FR Germany",
ISNUMBER(SEARCH("West Germany",S4296)),"FR Germany",
ISNUMBER(SEARCH("Germany DR",S4296)),"DR Germany",
ISNUMBER(SEARCH("Korea DPR",S4296)),"North Korea",
ISNUMBER(SEARCH("China PR",S4296)),"China",
ISNUMBER(SEARCH("IR Iran",S4296)),"Iran",
ISNUMBER(SEARCH("Congo DR",S4296)),"Democratic Republic of the Congo",
ISNUMBER(SEARCH("DR Congo",S4296)),"Democratic Republic of the Congo",
ISNUMBER(SEARCH("German DR",S4296)),"DR Germany",
ISNUMBER(SEARCH("rn""&gt;United Arab Emirates",S4296)),"United Arab Emirates",
ISNUMBER(SEARCH("rn""&gt;Republic of Ireland",S4296)),"Ireland",
ISNUMBER(SEARCH("rn""&gt;Bosnia and Herzegovina",S4296)),"Bosnia and Herzegovina",
ISNUMBER(SEARCH("rn""&gt;Trinidad and Tobago",S4296)),"Trinidad and Tobago",
ISNUMBER(SEARCH("rn""&gt;Serbia and Montenegro",S4296)),"Serbia and Montenegro",
ISNUMBER(SEARCH(_xlfn.UNICHAR(65533),S4296)),"Côte d'Ivoire",
TRUE,""
)</f>
        <v/>
      </c>
      <c r="W4296" s="40" t="str">
        <f t="shared" si="276"/>
        <v>Colombia</v>
      </c>
    </row>
    <row r="4297" spans="19:23">
      <c r="S4297" s="40" t="str">
        <v>Egypt</v>
      </c>
      <c r="T4297" s="40" t="str">
        <f t="shared" si="274"/>
        <v>OK</v>
      </c>
      <c r="U4297" s="40" t="str">
        <f t="shared" si="275"/>
        <v>-</v>
      </c>
      <c r="V4297" s="40" t="str" cm="1">
        <f t="array" ref="V4297">_xlfn.IFS(
ISNUMBER(SEARCH("USA",S4297)),"United States",
ISNUMBER(SEARCH("Republic of Ireland",S4297)),"Ireland",
ISNUMBER(SEARCH("Republic of Korea",S4297)),"South Korea",
ISNUMBER(SEARCH("Cape Verde",S4297)),"Cabo Verde",
ISNUMBER(SEARCH("Czechia",S4297)),"Czech Republic",
ISNUMBER(SEARCH("Türkiye",S4297)),"Turkey",
ISNUMBER(SEARCH("Ivory Coast",S4297)),"Côte d'Ivoire",
ISNUMBER(SEARCH("Korea Republic",S4297)),"South Korea",
ISNUMBER(SEARCH("Germany FR",S4297)),"FR Germany",
ISNUMBER(SEARCH("West Germany",S4297)),"FR Germany",
ISNUMBER(SEARCH("Germany DR",S4297)),"DR Germany",
ISNUMBER(SEARCH("Korea DPR",S4297)),"North Korea",
ISNUMBER(SEARCH("China PR",S4297)),"China",
ISNUMBER(SEARCH("IR Iran",S4297)),"Iran",
ISNUMBER(SEARCH("Congo DR",S4297)),"Democratic Republic of the Congo",
ISNUMBER(SEARCH("DR Congo",S4297)),"Democratic Republic of the Congo",
ISNUMBER(SEARCH("German DR",S4297)),"DR Germany",
ISNUMBER(SEARCH("rn""&gt;United Arab Emirates",S4297)),"United Arab Emirates",
ISNUMBER(SEARCH("rn""&gt;Republic of Ireland",S4297)),"Ireland",
ISNUMBER(SEARCH("rn""&gt;Bosnia and Herzegovina",S4297)),"Bosnia and Herzegovina",
ISNUMBER(SEARCH("rn""&gt;Trinidad and Tobago",S4297)),"Trinidad and Tobago",
ISNUMBER(SEARCH("rn""&gt;Serbia and Montenegro",S4297)),"Serbia and Montenegro",
ISNUMBER(SEARCH(_xlfn.UNICHAR(65533),S4297)),"Côte d'Ivoire",
TRUE,""
)</f>
        <v/>
      </c>
      <c r="W4297" s="40" t="str">
        <f t="shared" si="276"/>
        <v>Egypt</v>
      </c>
    </row>
    <row r="4298" spans="19:23">
      <c r="S4298" s="40" t="str">
        <v>Russia</v>
      </c>
      <c r="T4298" s="40" t="str">
        <f t="shared" si="274"/>
        <v>OK</v>
      </c>
      <c r="U4298" s="40" t="str">
        <f t="shared" si="275"/>
        <v>-</v>
      </c>
      <c r="V4298" s="40" t="str" cm="1">
        <f t="array" ref="V4298">_xlfn.IFS(
ISNUMBER(SEARCH("USA",S4298)),"United States",
ISNUMBER(SEARCH("Republic of Ireland",S4298)),"Ireland",
ISNUMBER(SEARCH("Republic of Korea",S4298)),"South Korea",
ISNUMBER(SEARCH("Cape Verde",S4298)),"Cabo Verde",
ISNUMBER(SEARCH("Czechia",S4298)),"Czech Republic",
ISNUMBER(SEARCH("Türkiye",S4298)),"Turkey",
ISNUMBER(SEARCH("Ivory Coast",S4298)),"Côte d'Ivoire",
ISNUMBER(SEARCH("Korea Republic",S4298)),"South Korea",
ISNUMBER(SEARCH("Germany FR",S4298)),"FR Germany",
ISNUMBER(SEARCH("West Germany",S4298)),"FR Germany",
ISNUMBER(SEARCH("Germany DR",S4298)),"DR Germany",
ISNUMBER(SEARCH("Korea DPR",S4298)),"North Korea",
ISNUMBER(SEARCH("China PR",S4298)),"China",
ISNUMBER(SEARCH("IR Iran",S4298)),"Iran",
ISNUMBER(SEARCH("Congo DR",S4298)),"Democratic Republic of the Congo",
ISNUMBER(SEARCH("DR Congo",S4298)),"Democratic Republic of the Congo",
ISNUMBER(SEARCH("German DR",S4298)),"DR Germany",
ISNUMBER(SEARCH("rn""&gt;United Arab Emirates",S4298)),"United Arab Emirates",
ISNUMBER(SEARCH("rn""&gt;Republic of Ireland",S4298)),"Ireland",
ISNUMBER(SEARCH("rn""&gt;Bosnia and Herzegovina",S4298)),"Bosnia and Herzegovina",
ISNUMBER(SEARCH("rn""&gt;Trinidad and Tobago",S4298)),"Trinidad and Tobago",
ISNUMBER(SEARCH("rn""&gt;Serbia and Montenegro",S4298)),"Serbia and Montenegro",
ISNUMBER(SEARCH(_xlfn.UNICHAR(65533),S4298)),"Côte d'Ivoire",
TRUE,""
)</f>
        <v/>
      </c>
      <c r="W4298" s="40" t="str">
        <f t="shared" si="276"/>
        <v>Russia</v>
      </c>
    </row>
    <row r="4299" spans="19:23">
      <c r="S4299" s="40" t="str">
        <v>Morocco</v>
      </c>
      <c r="T4299" s="40" t="str">
        <f t="shared" si="274"/>
        <v>OK</v>
      </c>
      <c r="U4299" s="40" t="str">
        <f t="shared" si="275"/>
        <v>-</v>
      </c>
      <c r="V4299" s="40" t="str" cm="1">
        <f t="array" ref="V4299">_xlfn.IFS(
ISNUMBER(SEARCH("USA",S4299)),"United States",
ISNUMBER(SEARCH("Republic of Ireland",S4299)),"Ireland",
ISNUMBER(SEARCH("Republic of Korea",S4299)),"South Korea",
ISNUMBER(SEARCH("Cape Verde",S4299)),"Cabo Verde",
ISNUMBER(SEARCH("Czechia",S4299)),"Czech Republic",
ISNUMBER(SEARCH("Türkiye",S4299)),"Turkey",
ISNUMBER(SEARCH("Ivory Coast",S4299)),"Côte d'Ivoire",
ISNUMBER(SEARCH("Korea Republic",S4299)),"South Korea",
ISNUMBER(SEARCH("Germany FR",S4299)),"FR Germany",
ISNUMBER(SEARCH("West Germany",S4299)),"FR Germany",
ISNUMBER(SEARCH("Germany DR",S4299)),"DR Germany",
ISNUMBER(SEARCH("Korea DPR",S4299)),"North Korea",
ISNUMBER(SEARCH("China PR",S4299)),"China",
ISNUMBER(SEARCH("IR Iran",S4299)),"Iran",
ISNUMBER(SEARCH("Congo DR",S4299)),"Democratic Republic of the Congo",
ISNUMBER(SEARCH("DR Congo",S4299)),"Democratic Republic of the Congo",
ISNUMBER(SEARCH("German DR",S4299)),"DR Germany",
ISNUMBER(SEARCH("rn""&gt;United Arab Emirates",S4299)),"United Arab Emirates",
ISNUMBER(SEARCH("rn""&gt;Republic of Ireland",S4299)),"Ireland",
ISNUMBER(SEARCH("rn""&gt;Bosnia and Herzegovina",S4299)),"Bosnia and Herzegovina",
ISNUMBER(SEARCH("rn""&gt;Trinidad and Tobago",S4299)),"Trinidad and Tobago",
ISNUMBER(SEARCH("rn""&gt;Serbia and Montenegro",S4299)),"Serbia and Montenegro",
ISNUMBER(SEARCH(_xlfn.UNICHAR(65533),S4299)),"Côte d'Ivoire",
TRUE,""
)</f>
        <v/>
      </c>
      <c r="W4299" s="40" t="str">
        <f t="shared" si="276"/>
        <v>Morocco</v>
      </c>
    </row>
    <row r="4300" spans="19:23">
      <c r="S4300" s="40" t="str">
        <v>Portugal</v>
      </c>
      <c r="T4300" s="40" t="str">
        <f t="shared" si="274"/>
        <v>OK</v>
      </c>
      <c r="U4300" s="40" t="str">
        <f t="shared" si="275"/>
        <v>-</v>
      </c>
      <c r="V4300" s="40" t="str" cm="1">
        <f t="array" ref="V4300">_xlfn.IFS(
ISNUMBER(SEARCH("USA",S4300)),"United States",
ISNUMBER(SEARCH("Republic of Ireland",S4300)),"Ireland",
ISNUMBER(SEARCH("Republic of Korea",S4300)),"South Korea",
ISNUMBER(SEARCH("Cape Verde",S4300)),"Cabo Verde",
ISNUMBER(SEARCH("Czechia",S4300)),"Czech Republic",
ISNUMBER(SEARCH("Türkiye",S4300)),"Turkey",
ISNUMBER(SEARCH("Ivory Coast",S4300)),"Côte d'Ivoire",
ISNUMBER(SEARCH("Korea Republic",S4300)),"South Korea",
ISNUMBER(SEARCH("Germany FR",S4300)),"FR Germany",
ISNUMBER(SEARCH("West Germany",S4300)),"FR Germany",
ISNUMBER(SEARCH("Germany DR",S4300)),"DR Germany",
ISNUMBER(SEARCH("Korea DPR",S4300)),"North Korea",
ISNUMBER(SEARCH("China PR",S4300)),"China",
ISNUMBER(SEARCH("IR Iran",S4300)),"Iran",
ISNUMBER(SEARCH("Congo DR",S4300)),"Democratic Republic of the Congo",
ISNUMBER(SEARCH("DR Congo",S4300)),"Democratic Republic of the Congo",
ISNUMBER(SEARCH("German DR",S4300)),"DR Germany",
ISNUMBER(SEARCH("rn""&gt;United Arab Emirates",S4300)),"United Arab Emirates",
ISNUMBER(SEARCH("rn""&gt;Republic of Ireland",S4300)),"Ireland",
ISNUMBER(SEARCH("rn""&gt;Bosnia and Herzegovina",S4300)),"Bosnia and Herzegovina",
ISNUMBER(SEARCH("rn""&gt;Trinidad and Tobago",S4300)),"Trinidad and Tobago",
ISNUMBER(SEARCH("rn""&gt;Serbia and Montenegro",S4300)),"Serbia and Montenegro",
ISNUMBER(SEARCH(_xlfn.UNICHAR(65533),S4300)),"Côte d'Ivoire",
TRUE,""
)</f>
        <v/>
      </c>
      <c r="W4300" s="40" t="str">
        <f t="shared" si="276"/>
        <v>Portugal</v>
      </c>
    </row>
    <row r="4301" spans="19:23">
      <c r="S4301" s="40" t="str">
        <v>Peru</v>
      </c>
      <c r="T4301" s="40" t="str">
        <f t="shared" si="274"/>
        <v>OK</v>
      </c>
      <c r="U4301" s="40" t="str">
        <f t="shared" si="275"/>
        <v>-</v>
      </c>
      <c r="V4301" s="40" t="str" cm="1">
        <f t="array" ref="V4301">_xlfn.IFS(
ISNUMBER(SEARCH("USA",S4301)),"United States",
ISNUMBER(SEARCH("Republic of Ireland",S4301)),"Ireland",
ISNUMBER(SEARCH("Republic of Korea",S4301)),"South Korea",
ISNUMBER(SEARCH("Cape Verde",S4301)),"Cabo Verde",
ISNUMBER(SEARCH("Czechia",S4301)),"Czech Republic",
ISNUMBER(SEARCH("Türkiye",S4301)),"Turkey",
ISNUMBER(SEARCH("Ivory Coast",S4301)),"Côte d'Ivoire",
ISNUMBER(SEARCH("Korea Republic",S4301)),"South Korea",
ISNUMBER(SEARCH("Germany FR",S4301)),"FR Germany",
ISNUMBER(SEARCH("West Germany",S4301)),"FR Germany",
ISNUMBER(SEARCH("Germany DR",S4301)),"DR Germany",
ISNUMBER(SEARCH("Korea DPR",S4301)),"North Korea",
ISNUMBER(SEARCH("China PR",S4301)),"China",
ISNUMBER(SEARCH("IR Iran",S4301)),"Iran",
ISNUMBER(SEARCH("Congo DR",S4301)),"Democratic Republic of the Congo",
ISNUMBER(SEARCH("DR Congo",S4301)),"Democratic Republic of the Congo",
ISNUMBER(SEARCH("German DR",S4301)),"DR Germany",
ISNUMBER(SEARCH("rn""&gt;United Arab Emirates",S4301)),"United Arab Emirates",
ISNUMBER(SEARCH("rn""&gt;Republic of Ireland",S4301)),"Ireland",
ISNUMBER(SEARCH("rn""&gt;Bosnia and Herzegovina",S4301)),"Bosnia and Herzegovina",
ISNUMBER(SEARCH("rn""&gt;Trinidad and Tobago",S4301)),"Trinidad and Tobago",
ISNUMBER(SEARCH("rn""&gt;Serbia and Montenegro",S4301)),"Serbia and Montenegro",
ISNUMBER(SEARCH(_xlfn.UNICHAR(65533),S4301)),"Côte d'Ivoire",
TRUE,""
)</f>
        <v/>
      </c>
      <c r="W4301" s="40" t="str">
        <f t="shared" si="276"/>
        <v>Peru</v>
      </c>
    </row>
    <row r="4302" spans="19:23">
      <c r="S4302" s="40" t="str">
        <v>France</v>
      </c>
      <c r="T4302" s="40" t="str">
        <f t="shared" si="274"/>
        <v>OK</v>
      </c>
      <c r="U4302" s="40" t="str">
        <f t="shared" si="275"/>
        <v>-</v>
      </c>
      <c r="V4302" s="40" t="str" cm="1">
        <f t="array" ref="V4302">_xlfn.IFS(
ISNUMBER(SEARCH("USA",S4302)),"United States",
ISNUMBER(SEARCH("Republic of Ireland",S4302)),"Ireland",
ISNUMBER(SEARCH("Republic of Korea",S4302)),"South Korea",
ISNUMBER(SEARCH("Cape Verde",S4302)),"Cabo Verde",
ISNUMBER(SEARCH("Czechia",S4302)),"Czech Republic",
ISNUMBER(SEARCH("Türkiye",S4302)),"Turkey",
ISNUMBER(SEARCH("Ivory Coast",S4302)),"Côte d'Ivoire",
ISNUMBER(SEARCH("Korea Republic",S4302)),"South Korea",
ISNUMBER(SEARCH("Germany FR",S4302)),"FR Germany",
ISNUMBER(SEARCH("West Germany",S4302)),"FR Germany",
ISNUMBER(SEARCH("Germany DR",S4302)),"DR Germany",
ISNUMBER(SEARCH("Korea DPR",S4302)),"North Korea",
ISNUMBER(SEARCH("China PR",S4302)),"China",
ISNUMBER(SEARCH("IR Iran",S4302)),"Iran",
ISNUMBER(SEARCH("Congo DR",S4302)),"Democratic Republic of the Congo",
ISNUMBER(SEARCH("DR Congo",S4302)),"Democratic Republic of the Congo",
ISNUMBER(SEARCH("German DR",S4302)),"DR Germany",
ISNUMBER(SEARCH("rn""&gt;United Arab Emirates",S4302)),"United Arab Emirates",
ISNUMBER(SEARCH("rn""&gt;Republic of Ireland",S4302)),"Ireland",
ISNUMBER(SEARCH("rn""&gt;Bosnia and Herzegovina",S4302)),"Bosnia and Herzegovina",
ISNUMBER(SEARCH("rn""&gt;Trinidad and Tobago",S4302)),"Trinidad and Tobago",
ISNUMBER(SEARCH("rn""&gt;Serbia and Montenegro",S4302)),"Serbia and Montenegro",
ISNUMBER(SEARCH(_xlfn.UNICHAR(65533),S4302)),"Côte d'Ivoire",
TRUE,""
)</f>
        <v/>
      </c>
      <c r="W4302" s="40" t="str">
        <f t="shared" si="276"/>
        <v>France</v>
      </c>
    </row>
    <row r="4303" spans="19:23">
      <c r="S4303" s="40" t="str">
        <v>Croatia</v>
      </c>
      <c r="T4303" s="40" t="str">
        <f t="shared" si="274"/>
        <v>OK</v>
      </c>
      <c r="U4303" s="40" t="str">
        <f t="shared" si="275"/>
        <v>-</v>
      </c>
      <c r="V4303" s="40" t="str" cm="1">
        <f t="array" ref="V4303">_xlfn.IFS(
ISNUMBER(SEARCH("USA",S4303)),"United States",
ISNUMBER(SEARCH("Republic of Ireland",S4303)),"Ireland",
ISNUMBER(SEARCH("Republic of Korea",S4303)),"South Korea",
ISNUMBER(SEARCH("Cape Verde",S4303)),"Cabo Verde",
ISNUMBER(SEARCH("Czechia",S4303)),"Czech Republic",
ISNUMBER(SEARCH("Türkiye",S4303)),"Turkey",
ISNUMBER(SEARCH("Ivory Coast",S4303)),"Côte d'Ivoire",
ISNUMBER(SEARCH("Korea Republic",S4303)),"South Korea",
ISNUMBER(SEARCH("Germany FR",S4303)),"FR Germany",
ISNUMBER(SEARCH("West Germany",S4303)),"FR Germany",
ISNUMBER(SEARCH("Germany DR",S4303)),"DR Germany",
ISNUMBER(SEARCH("Korea DPR",S4303)),"North Korea",
ISNUMBER(SEARCH("China PR",S4303)),"China",
ISNUMBER(SEARCH("IR Iran",S4303)),"Iran",
ISNUMBER(SEARCH("Congo DR",S4303)),"Democratic Republic of the Congo",
ISNUMBER(SEARCH("DR Congo",S4303)),"Democratic Republic of the Congo",
ISNUMBER(SEARCH("German DR",S4303)),"DR Germany",
ISNUMBER(SEARCH("rn""&gt;United Arab Emirates",S4303)),"United Arab Emirates",
ISNUMBER(SEARCH("rn""&gt;Republic of Ireland",S4303)),"Ireland",
ISNUMBER(SEARCH("rn""&gt;Bosnia and Herzegovina",S4303)),"Bosnia and Herzegovina",
ISNUMBER(SEARCH("rn""&gt;Trinidad and Tobago",S4303)),"Trinidad and Tobago",
ISNUMBER(SEARCH("rn""&gt;Serbia and Montenegro",S4303)),"Serbia and Montenegro",
ISNUMBER(SEARCH(_xlfn.UNICHAR(65533),S4303)),"Côte d'Ivoire",
TRUE,""
)</f>
        <v/>
      </c>
      <c r="W4303" s="40" t="str">
        <f t="shared" si="276"/>
        <v>Croatia</v>
      </c>
    </row>
    <row r="4304" spans="19:23">
      <c r="S4304" s="40" t="str">
        <v>Argentina</v>
      </c>
      <c r="T4304" s="40" t="str">
        <f t="shared" si="274"/>
        <v>OK</v>
      </c>
      <c r="U4304" s="40" t="str">
        <f t="shared" si="275"/>
        <v>-</v>
      </c>
      <c r="V4304" s="40" t="str" cm="1">
        <f t="array" ref="V4304">_xlfn.IFS(
ISNUMBER(SEARCH("USA",S4304)),"United States",
ISNUMBER(SEARCH("Republic of Ireland",S4304)),"Ireland",
ISNUMBER(SEARCH("Republic of Korea",S4304)),"South Korea",
ISNUMBER(SEARCH("Cape Verde",S4304)),"Cabo Verde",
ISNUMBER(SEARCH("Czechia",S4304)),"Czech Republic",
ISNUMBER(SEARCH("Türkiye",S4304)),"Turkey",
ISNUMBER(SEARCH("Ivory Coast",S4304)),"Côte d'Ivoire",
ISNUMBER(SEARCH("Korea Republic",S4304)),"South Korea",
ISNUMBER(SEARCH("Germany FR",S4304)),"FR Germany",
ISNUMBER(SEARCH("West Germany",S4304)),"FR Germany",
ISNUMBER(SEARCH("Germany DR",S4304)),"DR Germany",
ISNUMBER(SEARCH("Korea DPR",S4304)),"North Korea",
ISNUMBER(SEARCH("China PR",S4304)),"China",
ISNUMBER(SEARCH("IR Iran",S4304)),"Iran",
ISNUMBER(SEARCH("Congo DR",S4304)),"Democratic Republic of the Congo",
ISNUMBER(SEARCH("DR Congo",S4304)),"Democratic Republic of the Congo",
ISNUMBER(SEARCH("German DR",S4304)),"DR Germany",
ISNUMBER(SEARCH("rn""&gt;United Arab Emirates",S4304)),"United Arab Emirates",
ISNUMBER(SEARCH("rn""&gt;Republic of Ireland",S4304)),"Ireland",
ISNUMBER(SEARCH("rn""&gt;Bosnia and Herzegovina",S4304)),"Bosnia and Herzegovina",
ISNUMBER(SEARCH("rn""&gt;Trinidad and Tobago",S4304)),"Trinidad and Tobago",
ISNUMBER(SEARCH("rn""&gt;Serbia and Montenegro",S4304)),"Serbia and Montenegro",
ISNUMBER(SEARCH(_xlfn.UNICHAR(65533),S4304)),"Côte d'Ivoire",
TRUE,""
)</f>
        <v/>
      </c>
      <c r="W4304" s="40" t="str">
        <f t="shared" si="276"/>
        <v>Argentina</v>
      </c>
    </row>
    <row r="4305" spans="19:23">
      <c r="S4305" s="40" t="str">
        <v>Germany</v>
      </c>
      <c r="T4305" s="40" t="str">
        <f t="shared" si="274"/>
        <v>OK</v>
      </c>
      <c r="U4305" s="40" t="str">
        <f t="shared" si="275"/>
        <v>-</v>
      </c>
      <c r="V4305" s="40" t="str" cm="1">
        <f t="array" ref="V4305">_xlfn.IFS(
ISNUMBER(SEARCH("USA",S4305)),"United States",
ISNUMBER(SEARCH("Republic of Ireland",S4305)),"Ireland",
ISNUMBER(SEARCH("Republic of Korea",S4305)),"South Korea",
ISNUMBER(SEARCH("Cape Verde",S4305)),"Cabo Verde",
ISNUMBER(SEARCH("Czechia",S4305)),"Czech Republic",
ISNUMBER(SEARCH("Türkiye",S4305)),"Turkey",
ISNUMBER(SEARCH("Ivory Coast",S4305)),"Côte d'Ivoire",
ISNUMBER(SEARCH("Korea Republic",S4305)),"South Korea",
ISNUMBER(SEARCH("Germany FR",S4305)),"FR Germany",
ISNUMBER(SEARCH("West Germany",S4305)),"FR Germany",
ISNUMBER(SEARCH("Germany DR",S4305)),"DR Germany",
ISNUMBER(SEARCH("Korea DPR",S4305)),"North Korea",
ISNUMBER(SEARCH("China PR",S4305)),"China",
ISNUMBER(SEARCH("IR Iran",S4305)),"Iran",
ISNUMBER(SEARCH("Congo DR",S4305)),"Democratic Republic of the Congo",
ISNUMBER(SEARCH("DR Congo",S4305)),"Democratic Republic of the Congo",
ISNUMBER(SEARCH("German DR",S4305)),"DR Germany",
ISNUMBER(SEARCH("rn""&gt;United Arab Emirates",S4305)),"United Arab Emirates",
ISNUMBER(SEARCH("rn""&gt;Republic of Ireland",S4305)),"Ireland",
ISNUMBER(SEARCH("rn""&gt;Bosnia and Herzegovina",S4305)),"Bosnia and Herzegovina",
ISNUMBER(SEARCH("rn""&gt;Trinidad and Tobago",S4305)),"Trinidad and Tobago",
ISNUMBER(SEARCH("rn""&gt;Serbia and Montenegro",S4305)),"Serbia and Montenegro",
ISNUMBER(SEARCH(_xlfn.UNICHAR(65533),S4305)),"Côte d'Ivoire",
TRUE,""
)</f>
        <v/>
      </c>
      <c r="W4305" s="40" t="str">
        <f t="shared" si="276"/>
        <v>Germany</v>
      </c>
    </row>
    <row r="4306" spans="19:23">
      <c r="S4306" s="40" t="str">
        <v>Sweden</v>
      </c>
      <c r="T4306" s="40" t="str">
        <f t="shared" si="274"/>
        <v>OK</v>
      </c>
      <c r="U4306" s="40" t="str">
        <f t="shared" si="275"/>
        <v>-</v>
      </c>
      <c r="V4306" s="40" t="str" cm="1">
        <f t="array" ref="V4306">_xlfn.IFS(
ISNUMBER(SEARCH("USA",S4306)),"United States",
ISNUMBER(SEARCH("Republic of Ireland",S4306)),"Ireland",
ISNUMBER(SEARCH("Republic of Korea",S4306)),"South Korea",
ISNUMBER(SEARCH("Cape Verde",S4306)),"Cabo Verde",
ISNUMBER(SEARCH("Czechia",S4306)),"Czech Republic",
ISNUMBER(SEARCH("Türkiye",S4306)),"Turkey",
ISNUMBER(SEARCH("Ivory Coast",S4306)),"Côte d'Ivoire",
ISNUMBER(SEARCH("Korea Republic",S4306)),"South Korea",
ISNUMBER(SEARCH("Germany FR",S4306)),"FR Germany",
ISNUMBER(SEARCH("West Germany",S4306)),"FR Germany",
ISNUMBER(SEARCH("Germany DR",S4306)),"DR Germany",
ISNUMBER(SEARCH("Korea DPR",S4306)),"North Korea",
ISNUMBER(SEARCH("China PR",S4306)),"China",
ISNUMBER(SEARCH("IR Iran",S4306)),"Iran",
ISNUMBER(SEARCH("Congo DR",S4306)),"Democratic Republic of the Congo",
ISNUMBER(SEARCH("DR Congo",S4306)),"Democratic Republic of the Congo",
ISNUMBER(SEARCH("German DR",S4306)),"DR Germany",
ISNUMBER(SEARCH("rn""&gt;United Arab Emirates",S4306)),"United Arab Emirates",
ISNUMBER(SEARCH("rn""&gt;Republic of Ireland",S4306)),"Ireland",
ISNUMBER(SEARCH("rn""&gt;Bosnia and Herzegovina",S4306)),"Bosnia and Herzegovina",
ISNUMBER(SEARCH("rn""&gt;Trinidad and Tobago",S4306)),"Trinidad and Tobago",
ISNUMBER(SEARCH("rn""&gt;Serbia and Montenegro",S4306)),"Serbia and Montenegro",
ISNUMBER(SEARCH(_xlfn.UNICHAR(65533),S4306)),"Côte d'Ivoire",
TRUE,""
)</f>
        <v/>
      </c>
      <c r="W4306" s="40" t="str">
        <f t="shared" si="276"/>
        <v>Sweden</v>
      </c>
    </row>
    <row r="4307" spans="19:23">
      <c r="S4307" s="40" t="str">
        <v>Brazil</v>
      </c>
      <c r="T4307" s="40" t="str">
        <f t="shared" si="274"/>
        <v>OK</v>
      </c>
      <c r="U4307" s="40" t="str">
        <f t="shared" si="275"/>
        <v>-</v>
      </c>
      <c r="V4307" s="40" t="str" cm="1">
        <f t="array" ref="V4307">_xlfn.IFS(
ISNUMBER(SEARCH("USA",S4307)),"United States",
ISNUMBER(SEARCH("Republic of Ireland",S4307)),"Ireland",
ISNUMBER(SEARCH("Republic of Korea",S4307)),"South Korea",
ISNUMBER(SEARCH("Cape Verde",S4307)),"Cabo Verde",
ISNUMBER(SEARCH("Czechia",S4307)),"Czech Republic",
ISNUMBER(SEARCH("Türkiye",S4307)),"Turkey",
ISNUMBER(SEARCH("Ivory Coast",S4307)),"Côte d'Ivoire",
ISNUMBER(SEARCH("Korea Republic",S4307)),"South Korea",
ISNUMBER(SEARCH("Germany FR",S4307)),"FR Germany",
ISNUMBER(SEARCH("West Germany",S4307)),"FR Germany",
ISNUMBER(SEARCH("Germany DR",S4307)),"DR Germany",
ISNUMBER(SEARCH("Korea DPR",S4307)),"North Korea",
ISNUMBER(SEARCH("China PR",S4307)),"China",
ISNUMBER(SEARCH("IR Iran",S4307)),"Iran",
ISNUMBER(SEARCH("Congo DR",S4307)),"Democratic Republic of the Congo",
ISNUMBER(SEARCH("DR Congo",S4307)),"Democratic Republic of the Congo",
ISNUMBER(SEARCH("German DR",S4307)),"DR Germany",
ISNUMBER(SEARCH("rn""&gt;United Arab Emirates",S4307)),"United Arab Emirates",
ISNUMBER(SEARCH("rn""&gt;Republic of Ireland",S4307)),"Ireland",
ISNUMBER(SEARCH("rn""&gt;Bosnia and Herzegovina",S4307)),"Bosnia and Herzegovina",
ISNUMBER(SEARCH("rn""&gt;Trinidad and Tobago",S4307)),"Trinidad and Tobago",
ISNUMBER(SEARCH("rn""&gt;Serbia and Montenegro",S4307)),"Serbia and Montenegro",
ISNUMBER(SEARCH(_xlfn.UNICHAR(65533),S4307)),"Côte d'Ivoire",
TRUE,""
)</f>
        <v/>
      </c>
      <c r="W4307" s="40" t="str">
        <f t="shared" si="276"/>
        <v>Brazil</v>
      </c>
    </row>
    <row r="4308" spans="19:23">
      <c r="S4308" s="40" t="str">
        <v>Costa Rica</v>
      </c>
      <c r="T4308" s="40" t="str">
        <f t="shared" si="274"/>
        <v>OK</v>
      </c>
      <c r="U4308" s="40" t="str">
        <f t="shared" si="275"/>
        <v>-</v>
      </c>
      <c r="V4308" s="40" t="str" cm="1">
        <f t="array" ref="V4308">_xlfn.IFS(
ISNUMBER(SEARCH("USA",S4308)),"United States",
ISNUMBER(SEARCH("Republic of Ireland",S4308)),"Ireland",
ISNUMBER(SEARCH("Republic of Korea",S4308)),"South Korea",
ISNUMBER(SEARCH("Cape Verde",S4308)),"Cabo Verde",
ISNUMBER(SEARCH("Czechia",S4308)),"Czech Republic",
ISNUMBER(SEARCH("Türkiye",S4308)),"Turkey",
ISNUMBER(SEARCH("Ivory Coast",S4308)),"Côte d'Ivoire",
ISNUMBER(SEARCH("Korea Republic",S4308)),"South Korea",
ISNUMBER(SEARCH("Germany FR",S4308)),"FR Germany",
ISNUMBER(SEARCH("West Germany",S4308)),"FR Germany",
ISNUMBER(SEARCH("Germany DR",S4308)),"DR Germany",
ISNUMBER(SEARCH("Korea DPR",S4308)),"North Korea",
ISNUMBER(SEARCH("China PR",S4308)),"China",
ISNUMBER(SEARCH("IR Iran",S4308)),"Iran",
ISNUMBER(SEARCH("Congo DR",S4308)),"Democratic Republic of the Congo",
ISNUMBER(SEARCH("DR Congo",S4308)),"Democratic Republic of the Congo",
ISNUMBER(SEARCH("German DR",S4308)),"DR Germany",
ISNUMBER(SEARCH("rn""&gt;United Arab Emirates",S4308)),"United Arab Emirates",
ISNUMBER(SEARCH("rn""&gt;Republic of Ireland",S4308)),"Ireland",
ISNUMBER(SEARCH("rn""&gt;Bosnia and Herzegovina",S4308)),"Bosnia and Herzegovina",
ISNUMBER(SEARCH("rn""&gt;Trinidad and Tobago",S4308)),"Trinidad and Tobago",
ISNUMBER(SEARCH("rn""&gt;Serbia and Montenegro",S4308)),"Serbia and Montenegro",
ISNUMBER(SEARCH(_xlfn.UNICHAR(65533),S4308)),"Côte d'Ivoire",
TRUE,""
)</f>
        <v/>
      </c>
      <c r="W4308" s="40" t="str">
        <f t="shared" si="276"/>
        <v>Costa Rica</v>
      </c>
    </row>
    <row r="4309" spans="19:23">
      <c r="S4309" s="40" t="str">
        <v>Poland</v>
      </c>
      <c r="T4309" s="40" t="str">
        <f t="shared" si="274"/>
        <v>OK</v>
      </c>
      <c r="U4309" s="40" t="str">
        <f t="shared" si="275"/>
        <v>-</v>
      </c>
      <c r="V4309" s="40" t="str" cm="1">
        <f t="array" ref="V4309">_xlfn.IFS(
ISNUMBER(SEARCH("USA",S4309)),"United States",
ISNUMBER(SEARCH("Republic of Ireland",S4309)),"Ireland",
ISNUMBER(SEARCH("Republic of Korea",S4309)),"South Korea",
ISNUMBER(SEARCH("Cape Verde",S4309)),"Cabo Verde",
ISNUMBER(SEARCH("Czechia",S4309)),"Czech Republic",
ISNUMBER(SEARCH("Türkiye",S4309)),"Turkey",
ISNUMBER(SEARCH("Ivory Coast",S4309)),"Côte d'Ivoire",
ISNUMBER(SEARCH("Korea Republic",S4309)),"South Korea",
ISNUMBER(SEARCH("Germany FR",S4309)),"FR Germany",
ISNUMBER(SEARCH("West Germany",S4309)),"FR Germany",
ISNUMBER(SEARCH("Germany DR",S4309)),"DR Germany",
ISNUMBER(SEARCH("Korea DPR",S4309)),"North Korea",
ISNUMBER(SEARCH("China PR",S4309)),"China",
ISNUMBER(SEARCH("IR Iran",S4309)),"Iran",
ISNUMBER(SEARCH("Congo DR",S4309)),"Democratic Republic of the Congo",
ISNUMBER(SEARCH("DR Congo",S4309)),"Democratic Republic of the Congo",
ISNUMBER(SEARCH("German DR",S4309)),"DR Germany",
ISNUMBER(SEARCH("rn""&gt;United Arab Emirates",S4309)),"United Arab Emirates",
ISNUMBER(SEARCH("rn""&gt;Republic of Ireland",S4309)),"Ireland",
ISNUMBER(SEARCH("rn""&gt;Bosnia and Herzegovina",S4309)),"Bosnia and Herzegovina",
ISNUMBER(SEARCH("rn""&gt;Trinidad and Tobago",S4309)),"Trinidad and Tobago",
ISNUMBER(SEARCH("rn""&gt;Serbia and Montenegro",S4309)),"Serbia and Montenegro",
ISNUMBER(SEARCH(_xlfn.UNICHAR(65533),S4309)),"Côte d'Ivoire",
TRUE,""
)</f>
        <v/>
      </c>
      <c r="W4309" s="40" t="str">
        <f t="shared" si="276"/>
        <v>Poland</v>
      </c>
    </row>
    <row r="4310" spans="19:23">
      <c r="S4310" s="40" t="str">
        <v>Colombia</v>
      </c>
      <c r="T4310" s="40" t="str">
        <f t="shared" si="274"/>
        <v>OK</v>
      </c>
      <c r="U4310" s="40" t="str">
        <f t="shared" si="275"/>
        <v>-</v>
      </c>
      <c r="V4310" s="40" t="str" cm="1">
        <f t="array" ref="V4310">_xlfn.IFS(
ISNUMBER(SEARCH("USA",S4310)),"United States",
ISNUMBER(SEARCH("Republic of Ireland",S4310)),"Ireland",
ISNUMBER(SEARCH("Republic of Korea",S4310)),"South Korea",
ISNUMBER(SEARCH("Cape Verde",S4310)),"Cabo Verde",
ISNUMBER(SEARCH("Czechia",S4310)),"Czech Republic",
ISNUMBER(SEARCH("Türkiye",S4310)),"Turkey",
ISNUMBER(SEARCH("Ivory Coast",S4310)),"Côte d'Ivoire",
ISNUMBER(SEARCH("Korea Republic",S4310)),"South Korea",
ISNUMBER(SEARCH("Germany FR",S4310)),"FR Germany",
ISNUMBER(SEARCH("West Germany",S4310)),"FR Germany",
ISNUMBER(SEARCH("Germany DR",S4310)),"DR Germany",
ISNUMBER(SEARCH("Korea DPR",S4310)),"North Korea",
ISNUMBER(SEARCH("China PR",S4310)),"China",
ISNUMBER(SEARCH("IR Iran",S4310)),"Iran",
ISNUMBER(SEARCH("Congo DR",S4310)),"Democratic Republic of the Congo",
ISNUMBER(SEARCH("DR Congo",S4310)),"Democratic Republic of the Congo",
ISNUMBER(SEARCH("German DR",S4310)),"DR Germany",
ISNUMBER(SEARCH("rn""&gt;United Arab Emirates",S4310)),"United Arab Emirates",
ISNUMBER(SEARCH("rn""&gt;Republic of Ireland",S4310)),"Ireland",
ISNUMBER(SEARCH("rn""&gt;Bosnia and Herzegovina",S4310)),"Bosnia and Herzegovina",
ISNUMBER(SEARCH("rn""&gt;Trinidad and Tobago",S4310)),"Trinidad and Tobago",
ISNUMBER(SEARCH("rn""&gt;Serbia and Montenegro",S4310)),"Serbia and Montenegro",
ISNUMBER(SEARCH(_xlfn.UNICHAR(65533),S4310)),"Côte d'Ivoire",
TRUE,""
)</f>
        <v/>
      </c>
      <c r="W4310" s="40" t="str">
        <f t="shared" si="276"/>
        <v>Colombia</v>
      </c>
    </row>
    <row r="4311" spans="19:23">
      <c r="S4311" s="40" t="str">
        <v>Belgium</v>
      </c>
      <c r="T4311" s="40" t="str">
        <f t="shared" si="274"/>
        <v>OK</v>
      </c>
      <c r="U4311" s="40" t="str">
        <f t="shared" si="275"/>
        <v>-</v>
      </c>
      <c r="V4311" s="40" t="str" cm="1">
        <f t="array" ref="V4311">_xlfn.IFS(
ISNUMBER(SEARCH("USA",S4311)),"United States",
ISNUMBER(SEARCH("Republic of Ireland",S4311)),"Ireland",
ISNUMBER(SEARCH("Republic of Korea",S4311)),"South Korea",
ISNUMBER(SEARCH("Cape Verde",S4311)),"Cabo Verde",
ISNUMBER(SEARCH("Czechia",S4311)),"Czech Republic",
ISNUMBER(SEARCH("Türkiye",S4311)),"Turkey",
ISNUMBER(SEARCH("Ivory Coast",S4311)),"Côte d'Ivoire",
ISNUMBER(SEARCH("Korea Republic",S4311)),"South Korea",
ISNUMBER(SEARCH("Germany FR",S4311)),"FR Germany",
ISNUMBER(SEARCH("West Germany",S4311)),"FR Germany",
ISNUMBER(SEARCH("Germany DR",S4311)),"DR Germany",
ISNUMBER(SEARCH("Korea DPR",S4311)),"North Korea",
ISNUMBER(SEARCH("China PR",S4311)),"China",
ISNUMBER(SEARCH("IR Iran",S4311)),"Iran",
ISNUMBER(SEARCH("Congo DR",S4311)),"Democratic Republic of the Congo",
ISNUMBER(SEARCH("DR Congo",S4311)),"Democratic Republic of the Congo",
ISNUMBER(SEARCH("German DR",S4311)),"DR Germany",
ISNUMBER(SEARCH("rn""&gt;United Arab Emirates",S4311)),"United Arab Emirates",
ISNUMBER(SEARCH("rn""&gt;Republic of Ireland",S4311)),"Ireland",
ISNUMBER(SEARCH("rn""&gt;Bosnia and Herzegovina",S4311)),"Bosnia and Herzegovina",
ISNUMBER(SEARCH("rn""&gt;Trinidad and Tobago",S4311)),"Trinidad and Tobago",
ISNUMBER(SEARCH("rn""&gt;Serbia and Montenegro",S4311)),"Serbia and Montenegro",
ISNUMBER(SEARCH(_xlfn.UNICHAR(65533),S4311)),"Côte d'Ivoire",
TRUE,""
)</f>
        <v/>
      </c>
      <c r="W4311" s="40" t="str">
        <f t="shared" si="276"/>
        <v>Belgium</v>
      </c>
    </row>
    <row r="4312" spans="19:23">
      <c r="S4312" s="40" t="str">
        <v>Tunisia</v>
      </c>
      <c r="T4312" s="40" t="str">
        <f t="shared" si="274"/>
        <v>OK</v>
      </c>
      <c r="U4312" s="40" t="str">
        <f t="shared" si="275"/>
        <v>-</v>
      </c>
      <c r="V4312" s="40" t="str" cm="1">
        <f t="array" ref="V4312">_xlfn.IFS(
ISNUMBER(SEARCH("USA",S4312)),"United States",
ISNUMBER(SEARCH("Republic of Ireland",S4312)),"Ireland",
ISNUMBER(SEARCH("Republic of Korea",S4312)),"South Korea",
ISNUMBER(SEARCH("Cape Verde",S4312)),"Cabo Verde",
ISNUMBER(SEARCH("Czechia",S4312)),"Czech Republic",
ISNUMBER(SEARCH("Türkiye",S4312)),"Turkey",
ISNUMBER(SEARCH("Ivory Coast",S4312)),"Côte d'Ivoire",
ISNUMBER(SEARCH("Korea Republic",S4312)),"South Korea",
ISNUMBER(SEARCH("Germany FR",S4312)),"FR Germany",
ISNUMBER(SEARCH("West Germany",S4312)),"FR Germany",
ISNUMBER(SEARCH("Germany DR",S4312)),"DR Germany",
ISNUMBER(SEARCH("Korea DPR",S4312)),"North Korea",
ISNUMBER(SEARCH("China PR",S4312)),"China",
ISNUMBER(SEARCH("IR Iran",S4312)),"Iran",
ISNUMBER(SEARCH("Congo DR",S4312)),"Democratic Republic of the Congo",
ISNUMBER(SEARCH("DR Congo",S4312)),"Democratic Republic of the Congo",
ISNUMBER(SEARCH("German DR",S4312)),"DR Germany",
ISNUMBER(SEARCH("rn""&gt;United Arab Emirates",S4312)),"United Arab Emirates",
ISNUMBER(SEARCH("rn""&gt;Republic of Ireland",S4312)),"Ireland",
ISNUMBER(SEARCH("rn""&gt;Bosnia and Herzegovina",S4312)),"Bosnia and Herzegovina",
ISNUMBER(SEARCH("rn""&gt;Trinidad and Tobago",S4312)),"Trinidad and Tobago",
ISNUMBER(SEARCH("rn""&gt;Serbia and Montenegro",S4312)),"Serbia and Montenegro",
ISNUMBER(SEARCH(_xlfn.UNICHAR(65533),S4312)),"Côte d'Ivoire",
TRUE,""
)</f>
        <v/>
      </c>
      <c r="W4312" s="40" t="str">
        <f t="shared" si="276"/>
        <v>Tunisia</v>
      </c>
    </row>
    <row r="4313" spans="19:23">
      <c r="S4313" s="40" t="str">
        <v>Argentina</v>
      </c>
      <c r="T4313" s="40" t="str">
        <f t="shared" si="274"/>
        <v>OK</v>
      </c>
      <c r="U4313" s="40" t="str">
        <f t="shared" si="275"/>
        <v>-</v>
      </c>
      <c r="V4313" s="40" t="str" cm="1">
        <f t="array" ref="V4313">_xlfn.IFS(
ISNUMBER(SEARCH("USA",S4313)),"United States",
ISNUMBER(SEARCH("Republic of Ireland",S4313)),"Ireland",
ISNUMBER(SEARCH("Republic of Korea",S4313)),"South Korea",
ISNUMBER(SEARCH("Cape Verde",S4313)),"Cabo Verde",
ISNUMBER(SEARCH("Czechia",S4313)),"Czech Republic",
ISNUMBER(SEARCH("Türkiye",S4313)),"Turkey",
ISNUMBER(SEARCH("Ivory Coast",S4313)),"Côte d'Ivoire",
ISNUMBER(SEARCH("Korea Republic",S4313)),"South Korea",
ISNUMBER(SEARCH("Germany FR",S4313)),"FR Germany",
ISNUMBER(SEARCH("West Germany",S4313)),"FR Germany",
ISNUMBER(SEARCH("Germany DR",S4313)),"DR Germany",
ISNUMBER(SEARCH("Korea DPR",S4313)),"North Korea",
ISNUMBER(SEARCH("China PR",S4313)),"China",
ISNUMBER(SEARCH("IR Iran",S4313)),"Iran",
ISNUMBER(SEARCH("Congo DR",S4313)),"Democratic Republic of the Congo",
ISNUMBER(SEARCH("DR Congo",S4313)),"Democratic Republic of the Congo",
ISNUMBER(SEARCH("German DR",S4313)),"DR Germany",
ISNUMBER(SEARCH("rn""&gt;United Arab Emirates",S4313)),"United Arab Emirates",
ISNUMBER(SEARCH("rn""&gt;Republic of Ireland",S4313)),"Ireland",
ISNUMBER(SEARCH("rn""&gt;Bosnia and Herzegovina",S4313)),"Bosnia and Herzegovina",
ISNUMBER(SEARCH("rn""&gt;Trinidad and Tobago",S4313)),"Trinidad and Tobago",
ISNUMBER(SEARCH("rn""&gt;Serbia and Montenegro",S4313)),"Serbia and Montenegro",
ISNUMBER(SEARCH(_xlfn.UNICHAR(65533),S4313)),"Côte d'Ivoire",
TRUE,""
)</f>
        <v/>
      </c>
      <c r="W4313" s="40" t="str">
        <f t="shared" si="276"/>
        <v>Argentina</v>
      </c>
    </row>
    <row r="4314" spans="19:23">
      <c r="S4314" s="40" t="str">
        <v>Portugal</v>
      </c>
      <c r="T4314" s="40" t="str">
        <f t="shared" si="274"/>
        <v>OK</v>
      </c>
      <c r="U4314" s="40" t="str">
        <f t="shared" si="275"/>
        <v>-</v>
      </c>
      <c r="V4314" s="40" t="str" cm="1">
        <f t="array" ref="V4314">_xlfn.IFS(
ISNUMBER(SEARCH("USA",S4314)),"United States",
ISNUMBER(SEARCH("Republic of Ireland",S4314)),"Ireland",
ISNUMBER(SEARCH("Republic of Korea",S4314)),"South Korea",
ISNUMBER(SEARCH("Cape Verde",S4314)),"Cabo Verde",
ISNUMBER(SEARCH("Czechia",S4314)),"Czech Republic",
ISNUMBER(SEARCH("Türkiye",S4314)),"Turkey",
ISNUMBER(SEARCH("Ivory Coast",S4314)),"Côte d'Ivoire",
ISNUMBER(SEARCH("Korea Republic",S4314)),"South Korea",
ISNUMBER(SEARCH("Germany FR",S4314)),"FR Germany",
ISNUMBER(SEARCH("West Germany",S4314)),"FR Germany",
ISNUMBER(SEARCH("Germany DR",S4314)),"DR Germany",
ISNUMBER(SEARCH("Korea DPR",S4314)),"North Korea",
ISNUMBER(SEARCH("China PR",S4314)),"China",
ISNUMBER(SEARCH("IR Iran",S4314)),"Iran",
ISNUMBER(SEARCH("Congo DR",S4314)),"Democratic Republic of the Congo",
ISNUMBER(SEARCH("DR Congo",S4314)),"Democratic Republic of the Congo",
ISNUMBER(SEARCH("German DR",S4314)),"DR Germany",
ISNUMBER(SEARCH("rn""&gt;United Arab Emirates",S4314)),"United Arab Emirates",
ISNUMBER(SEARCH("rn""&gt;Republic of Ireland",S4314)),"Ireland",
ISNUMBER(SEARCH("rn""&gt;Bosnia and Herzegovina",S4314)),"Bosnia and Herzegovina",
ISNUMBER(SEARCH("rn""&gt;Trinidad and Tobago",S4314)),"Trinidad and Tobago",
ISNUMBER(SEARCH("rn""&gt;Serbia and Montenegro",S4314)),"Serbia and Montenegro",
ISNUMBER(SEARCH(_xlfn.UNICHAR(65533),S4314)),"Côte d'Ivoire",
TRUE,""
)</f>
        <v/>
      </c>
      <c r="W4314" s="40" t="str">
        <f t="shared" si="276"/>
        <v>Portugal</v>
      </c>
    </row>
    <row r="4315" spans="19:23">
      <c r="S4315" s="40" t="str">
        <v>Russia</v>
      </c>
      <c r="T4315" s="40" t="str">
        <f t="shared" si="274"/>
        <v>OK</v>
      </c>
      <c r="U4315" s="40" t="str">
        <f t="shared" si="275"/>
        <v>-</v>
      </c>
      <c r="V4315" s="40" t="str" cm="1">
        <f t="array" ref="V4315">_xlfn.IFS(
ISNUMBER(SEARCH("USA",S4315)),"United States",
ISNUMBER(SEARCH("Republic of Ireland",S4315)),"Ireland",
ISNUMBER(SEARCH("Republic of Korea",S4315)),"South Korea",
ISNUMBER(SEARCH("Cape Verde",S4315)),"Cabo Verde",
ISNUMBER(SEARCH("Czechia",S4315)),"Czech Republic",
ISNUMBER(SEARCH("Türkiye",S4315)),"Turkey",
ISNUMBER(SEARCH("Ivory Coast",S4315)),"Côte d'Ivoire",
ISNUMBER(SEARCH("Korea Republic",S4315)),"South Korea",
ISNUMBER(SEARCH("Germany FR",S4315)),"FR Germany",
ISNUMBER(SEARCH("West Germany",S4315)),"FR Germany",
ISNUMBER(SEARCH("Germany DR",S4315)),"DR Germany",
ISNUMBER(SEARCH("Korea DPR",S4315)),"North Korea",
ISNUMBER(SEARCH("China PR",S4315)),"China",
ISNUMBER(SEARCH("IR Iran",S4315)),"Iran",
ISNUMBER(SEARCH("Congo DR",S4315)),"Democratic Republic of the Congo",
ISNUMBER(SEARCH("DR Congo",S4315)),"Democratic Republic of the Congo",
ISNUMBER(SEARCH("German DR",S4315)),"DR Germany",
ISNUMBER(SEARCH("rn""&gt;United Arab Emirates",S4315)),"United Arab Emirates",
ISNUMBER(SEARCH("rn""&gt;Republic of Ireland",S4315)),"Ireland",
ISNUMBER(SEARCH("rn""&gt;Bosnia and Herzegovina",S4315)),"Bosnia and Herzegovina",
ISNUMBER(SEARCH("rn""&gt;Trinidad and Tobago",S4315)),"Trinidad and Tobago",
ISNUMBER(SEARCH("rn""&gt;Serbia and Montenegro",S4315)),"Serbia and Montenegro",
ISNUMBER(SEARCH(_xlfn.UNICHAR(65533),S4315)),"Côte d'Ivoire",
TRUE,""
)</f>
        <v/>
      </c>
      <c r="W4315" s="40" t="str">
        <f t="shared" si="276"/>
        <v>Russia</v>
      </c>
    </row>
    <row r="4316" spans="19:23">
      <c r="S4316" s="40" t="str">
        <v>Denmark</v>
      </c>
      <c r="T4316" s="40" t="str">
        <f t="shared" si="274"/>
        <v>OK</v>
      </c>
      <c r="U4316" s="40" t="str">
        <f t="shared" si="275"/>
        <v>-</v>
      </c>
      <c r="V4316" s="40" t="str" cm="1">
        <f t="array" ref="V4316">_xlfn.IFS(
ISNUMBER(SEARCH("USA",S4316)),"United States",
ISNUMBER(SEARCH("Republic of Ireland",S4316)),"Ireland",
ISNUMBER(SEARCH("Republic of Korea",S4316)),"South Korea",
ISNUMBER(SEARCH("Cape Verde",S4316)),"Cabo Verde",
ISNUMBER(SEARCH("Czechia",S4316)),"Czech Republic",
ISNUMBER(SEARCH("Türkiye",S4316)),"Turkey",
ISNUMBER(SEARCH("Ivory Coast",S4316)),"Côte d'Ivoire",
ISNUMBER(SEARCH("Korea Republic",S4316)),"South Korea",
ISNUMBER(SEARCH("Germany FR",S4316)),"FR Germany",
ISNUMBER(SEARCH("West Germany",S4316)),"FR Germany",
ISNUMBER(SEARCH("Germany DR",S4316)),"DR Germany",
ISNUMBER(SEARCH("Korea DPR",S4316)),"North Korea",
ISNUMBER(SEARCH("China PR",S4316)),"China",
ISNUMBER(SEARCH("IR Iran",S4316)),"Iran",
ISNUMBER(SEARCH("Congo DR",S4316)),"Democratic Republic of the Congo",
ISNUMBER(SEARCH("DR Congo",S4316)),"Democratic Republic of the Congo",
ISNUMBER(SEARCH("German DR",S4316)),"DR Germany",
ISNUMBER(SEARCH("rn""&gt;United Arab Emirates",S4316)),"United Arab Emirates",
ISNUMBER(SEARCH("rn""&gt;Republic of Ireland",S4316)),"Ireland",
ISNUMBER(SEARCH("rn""&gt;Bosnia and Herzegovina",S4316)),"Bosnia and Herzegovina",
ISNUMBER(SEARCH("rn""&gt;Trinidad and Tobago",S4316)),"Trinidad and Tobago",
ISNUMBER(SEARCH("rn""&gt;Serbia and Montenegro",S4316)),"Serbia and Montenegro",
ISNUMBER(SEARCH(_xlfn.UNICHAR(65533),S4316)),"Côte d'Ivoire",
TRUE,""
)</f>
        <v/>
      </c>
      <c r="W4316" s="40" t="str">
        <f t="shared" si="276"/>
        <v>Denmark</v>
      </c>
    </row>
    <row r="4317" spans="19:23">
      <c r="S4317" s="40" t="str">
        <v>Mexico</v>
      </c>
      <c r="T4317" s="40" t="str">
        <f t="shared" si="274"/>
        <v>OK</v>
      </c>
      <c r="U4317" s="40" t="str">
        <f t="shared" si="275"/>
        <v>-</v>
      </c>
      <c r="V4317" s="40" t="str" cm="1">
        <f t="array" ref="V4317">_xlfn.IFS(
ISNUMBER(SEARCH("USA",S4317)),"United States",
ISNUMBER(SEARCH("Republic of Ireland",S4317)),"Ireland",
ISNUMBER(SEARCH("Republic of Korea",S4317)),"South Korea",
ISNUMBER(SEARCH("Cape Verde",S4317)),"Cabo Verde",
ISNUMBER(SEARCH("Czechia",S4317)),"Czech Republic",
ISNUMBER(SEARCH("Türkiye",S4317)),"Turkey",
ISNUMBER(SEARCH("Ivory Coast",S4317)),"Côte d'Ivoire",
ISNUMBER(SEARCH("Korea Republic",S4317)),"South Korea",
ISNUMBER(SEARCH("Germany FR",S4317)),"FR Germany",
ISNUMBER(SEARCH("West Germany",S4317)),"FR Germany",
ISNUMBER(SEARCH("Germany DR",S4317)),"DR Germany",
ISNUMBER(SEARCH("Korea DPR",S4317)),"North Korea",
ISNUMBER(SEARCH("China PR",S4317)),"China",
ISNUMBER(SEARCH("IR Iran",S4317)),"Iran",
ISNUMBER(SEARCH("Congo DR",S4317)),"Democratic Republic of the Congo",
ISNUMBER(SEARCH("DR Congo",S4317)),"Democratic Republic of the Congo",
ISNUMBER(SEARCH("German DR",S4317)),"DR Germany",
ISNUMBER(SEARCH("rn""&gt;United Arab Emirates",S4317)),"United Arab Emirates",
ISNUMBER(SEARCH("rn""&gt;Republic of Ireland",S4317)),"Ireland",
ISNUMBER(SEARCH("rn""&gt;Bosnia and Herzegovina",S4317)),"Bosnia and Herzegovina",
ISNUMBER(SEARCH("rn""&gt;Trinidad and Tobago",S4317)),"Trinidad and Tobago",
ISNUMBER(SEARCH("rn""&gt;Serbia and Montenegro",S4317)),"Serbia and Montenegro",
ISNUMBER(SEARCH(_xlfn.UNICHAR(65533),S4317)),"Côte d'Ivoire",
TRUE,""
)</f>
        <v/>
      </c>
      <c r="W4317" s="40" t="str">
        <f t="shared" si="276"/>
        <v>Mexico</v>
      </c>
    </row>
    <row r="4318" spans="19:23">
      <c r="S4318" s="40" t="str">
        <v>Japan</v>
      </c>
      <c r="T4318" s="40" t="str">
        <f t="shared" si="274"/>
        <v>OK</v>
      </c>
      <c r="U4318" s="40" t="str">
        <f t="shared" si="275"/>
        <v>-</v>
      </c>
      <c r="V4318" s="40" t="str" cm="1">
        <f t="array" ref="V4318">_xlfn.IFS(
ISNUMBER(SEARCH("USA",S4318)),"United States",
ISNUMBER(SEARCH("Republic of Ireland",S4318)),"Ireland",
ISNUMBER(SEARCH("Republic of Korea",S4318)),"South Korea",
ISNUMBER(SEARCH("Cape Verde",S4318)),"Cabo Verde",
ISNUMBER(SEARCH("Czechia",S4318)),"Czech Republic",
ISNUMBER(SEARCH("Türkiye",S4318)),"Turkey",
ISNUMBER(SEARCH("Ivory Coast",S4318)),"Côte d'Ivoire",
ISNUMBER(SEARCH("Korea Republic",S4318)),"South Korea",
ISNUMBER(SEARCH("Germany FR",S4318)),"FR Germany",
ISNUMBER(SEARCH("West Germany",S4318)),"FR Germany",
ISNUMBER(SEARCH("Germany DR",S4318)),"DR Germany",
ISNUMBER(SEARCH("Korea DPR",S4318)),"North Korea",
ISNUMBER(SEARCH("China PR",S4318)),"China",
ISNUMBER(SEARCH("IR Iran",S4318)),"Iran",
ISNUMBER(SEARCH("Congo DR",S4318)),"Democratic Republic of the Congo",
ISNUMBER(SEARCH("DR Congo",S4318)),"Democratic Republic of the Congo",
ISNUMBER(SEARCH("German DR",S4318)),"DR Germany",
ISNUMBER(SEARCH("rn""&gt;United Arab Emirates",S4318)),"United Arab Emirates",
ISNUMBER(SEARCH("rn""&gt;Republic of Ireland",S4318)),"Ireland",
ISNUMBER(SEARCH("rn""&gt;Bosnia and Herzegovina",S4318)),"Bosnia and Herzegovina",
ISNUMBER(SEARCH("rn""&gt;Trinidad and Tobago",S4318)),"Trinidad and Tobago",
ISNUMBER(SEARCH("rn""&gt;Serbia and Montenegro",S4318)),"Serbia and Montenegro",
ISNUMBER(SEARCH(_xlfn.UNICHAR(65533),S4318)),"Côte d'Ivoire",
TRUE,""
)</f>
        <v/>
      </c>
      <c r="W4318" s="40" t="str">
        <f t="shared" si="276"/>
        <v>Japan</v>
      </c>
    </row>
    <row r="4319" spans="19:23">
      <c r="S4319" s="40" t="str">
        <v>Switzerland</v>
      </c>
      <c r="T4319" s="40" t="str">
        <f t="shared" si="274"/>
        <v>OK</v>
      </c>
      <c r="U4319" s="40" t="str">
        <f t="shared" si="275"/>
        <v>-</v>
      </c>
      <c r="V4319" s="40" t="str" cm="1">
        <f t="array" ref="V4319">_xlfn.IFS(
ISNUMBER(SEARCH("USA",S4319)),"United States",
ISNUMBER(SEARCH("Republic of Ireland",S4319)),"Ireland",
ISNUMBER(SEARCH("Republic of Korea",S4319)),"South Korea",
ISNUMBER(SEARCH("Cape Verde",S4319)),"Cabo Verde",
ISNUMBER(SEARCH("Czechia",S4319)),"Czech Republic",
ISNUMBER(SEARCH("Türkiye",S4319)),"Turkey",
ISNUMBER(SEARCH("Ivory Coast",S4319)),"Côte d'Ivoire",
ISNUMBER(SEARCH("Korea Republic",S4319)),"South Korea",
ISNUMBER(SEARCH("Germany FR",S4319)),"FR Germany",
ISNUMBER(SEARCH("West Germany",S4319)),"FR Germany",
ISNUMBER(SEARCH("Germany DR",S4319)),"DR Germany",
ISNUMBER(SEARCH("Korea DPR",S4319)),"North Korea",
ISNUMBER(SEARCH("China PR",S4319)),"China",
ISNUMBER(SEARCH("IR Iran",S4319)),"Iran",
ISNUMBER(SEARCH("Congo DR",S4319)),"Democratic Republic of the Congo",
ISNUMBER(SEARCH("DR Congo",S4319)),"Democratic Republic of the Congo",
ISNUMBER(SEARCH("German DR",S4319)),"DR Germany",
ISNUMBER(SEARCH("rn""&gt;United Arab Emirates",S4319)),"United Arab Emirates",
ISNUMBER(SEARCH("rn""&gt;Republic of Ireland",S4319)),"Ireland",
ISNUMBER(SEARCH("rn""&gt;Bosnia and Herzegovina",S4319)),"Bosnia and Herzegovina",
ISNUMBER(SEARCH("rn""&gt;Trinidad and Tobago",S4319)),"Trinidad and Tobago",
ISNUMBER(SEARCH("rn""&gt;Serbia and Montenegro",S4319)),"Serbia and Montenegro",
ISNUMBER(SEARCH(_xlfn.UNICHAR(65533),S4319)),"Côte d'Ivoire",
TRUE,""
)</f>
        <v/>
      </c>
      <c r="W4319" s="40" t="str">
        <f t="shared" si="276"/>
        <v>Switzerland</v>
      </c>
    </row>
    <row r="4320" spans="19:23">
      <c r="S4320" s="40" t="str">
        <v>England</v>
      </c>
      <c r="T4320" s="40" t="str">
        <f t="shared" si="274"/>
        <v>ERREUR</v>
      </c>
      <c r="U4320" s="40" t="str">
        <f t="shared" si="275"/>
        <v>AUCUNE</v>
      </c>
      <c r="V4320" s="40" t="str" cm="1">
        <f t="array" ref="V4320">_xlfn.IFS(
ISNUMBER(SEARCH("USA",S4320)),"United States",
ISNUMBER(SEARCH("Republic of Ireland",S4320)),"Ireland",
ISNUMBER(SEARCH("Republic of Korea",S4320)),"South Korea",
ISNUMBER(SEARCH("Cape Verde",S4320)),"Cabo Verde",
ISNUMBER(SEARCH("Czechia",S4320)),"Czech Republic",
ISNUMBER(SEARCH("Türkiye",S4320)),"Turkey",
ISNUMBER(SEARCH("Ivory Coast",S4320)),"Côte d'Ivoire",
ISNUMBER(SEARCH("Korea Republic",S4320)),"South Korea",
ISNUMBER(SEARCH("Germany FR",S4320)),"FR Germany",
ISNUMBER(SEARCH("West Germany",S4320)),"FR Germany",
ISNUMBER(SEARCH("Germany DR",S4320)),"DR Germany",
ISNUMBER(SEARCH("Korea DPR",S4320)),"North Korea",
ISNUMBER(SEARCH("China PR",S4320)),"China",
ISNUMBER(SEARCH("IR Iran",S4320)),"Iran",
ISNUMBER(SEARCH("Congo DR",S4320)),"Democratic Republic of the Congo",
ISNUMBER(SEARCH("DR Congo",S4320)),"Democratic Republic of the Congo",
ISNUMBER(SEARCH("German DR",S4320)),"DR Germany",
ISNUMBER(SEARCH("rn""&gt;United Arab Emirates",S4320)),"United Arab Emirates",
ISNUMBER(SEARCH("rn""&gt;Republic of Ireland",S4320)),"Ireland",
ISNUMBER(SEARCH("rn""&gt;Bosnia and Herzegovina",S4320)),"Bosnia and Herzegovina",
ISNUMBER(SEARCH("rn""&gt;Trinidad and Tobago",S4320)),"Trinidad and Tobago",
ISNUMBER(SEARCH("rn""&gt;Serbia and Montenegro",S4320)),"Serbia and Montenegro",
ISNUMBER(SEARCH(_xlfn.UNICHAR(65533),S4320)),"Côte d'Ivoire",
TRUE,""
)</f>
        <v/>
      </c>
      <c r="W4320" s="40" t="str">
        <f t="shared" si="276"/>
        <v>England</v>
      </c>
    </row>
    <row r="4321" spans="19:23">
      <c r="S4321" s="40" t="str">
        <v>France</v>
      </c>
      <c r="T4321" s="40" t="str">
        <f t="shared" si="274"/>
        <v>OK</v>
      </c>
      <c r="U4321" s="40" t="str">
        <f t="shared" si="275"/>
        <v>-</v>
      </c>
      <c r="V4321" s="40" t="str" cm="1">
        <f t="array" ref="V4321">_xlfn.IFS(
ISNUMBER(SEARCH("USA",S4321)),"United States",
ISNUMBER(SEARCH("Republic of Ireland",S4321)),"Ireland",
ISNUMBER(SEARCH("Republic of Korea",S4321)),"South Korea",
ISNUMBER(SEARCH("Cape Verde",S4321)),"Cabo Verde",
ISNUMBER(SEARCH("Czechia",S4321)),"Czech Republic",
ISNUMBER(SEARCH("Türkiye",S4321)),"Turkey",
ISNUMBER(SEARCH("Ivory Coast",S4321)),"Côte d'Ivoire",
ISNUMBER(SEARCH("Korea Republic",S4321)),"South Korea",
ISNUMBER(SEARCH("Germany FR",S4321)),"FR Germany",
ISNUMBER(SEARCH("West Germany",S4321)),"FR Germany",
ISNUMBER(SEARCH("Germany DR",S4321)),"DR Germany",
ISNUMBER(SEARCH("Korea DPR",S4321)),"North Korea",
ISNUMBER(SEARCH("China PR",S4321)),"China",
ISNUMBER(SEARCH("IR Iran",S4321)),"Iran",
ISNUMBER(SEARCH("Congo DR",S4321)),"Democratic Republic of the Congo",
ISNUMBER(SEARCH("DR Congo",S4321)),"Democratic Republic of the Congo",
ISNUMBER(SEARCH("German DR",S4321)),"DR Germany",
ISNUMBER(SEARCH("rn""&gt;United Arab Emirates",S4321)),"United Arab Emirates",
ISNUMBER(SEARCH("rn""&gt;Republic of Ireland",S4321)),"Ireland",
ISNUMBER(SEARCH("rn""&gt;Bosnia and Herzegovina",S4321)),"Bosnia and Herzegovina",
ISNUMBER(SEARCH("rn""&gt;Trinidad and Tobago",S4321)),"Trinidad and Tobago",
ISNUMBER(SEARCH("rn""&gt;Serbia and Montenegro",S4321)),"Serbia and Montenegro",
ISNUMBER(SEARCH(_xlfn.UNICHAR(65533),S4321)),"Côte d'Ivoire",
TRUE,""
)</f>
        <v/>
      </c>
      <c r="W4321" s="40" t="str">
        <f t="shared" si="276"/>
        <v>France</v>
      </c>
    </row>
    <row r="4322" spans="19:23">
      <c r="S4322" s="40" t="str">
        <v>Belgium</v>
      </c>
      <c r="T4322" s="40" t="str">
        <f t="shared" si="274"/>
        <v>OK</v>
      </c>
      <c r="U4322" s="40" t="str">
        <f t="shared" si="275"/>
        <v>-</v>
      </c>
      <c r="V4322" s="40" t="str" cm="1">
        <f t="array" ref="V4322">_xlfn.IFS(
ISNUMBER(SEARCH("USA",S4322)),"United States",
ISNUMBER(SEARCH("Republic of Ireland",S4322)),"Ireland",
ISNUMBER(SEARCH("Republic of Korea",S4322)),"South Korea",
ISNUMBER(SEARCH("Cape Verde",S4322)),"Cabo Verde",
ISNUMBER(SEARCH("Czechia",S4322)),"Czech Republic",
ISNUMBER(SEARCH("Türkiye",S4322)),"Turkey",
ISNUMBER(SEARCH("Ivory Coast",S4322)),"Côte d'Ivoire",
ISNUMBER(SEARCH("Korea Republic",S4322)),"South Korea",
ISNUMBER(SEARCH("Germany FR",S4322)),"FR Germany",
ISNUMBER(SEARCH("West Germany",S4322)),"FR Germany",
ISNUMBER(SEARCH("Germany DR",S4322)),"DR Germany",
ISNUMBER(SEARCH("Korea DPR",S4322)),"North Korea",
ISNUMBER(SEARCH("China PR",S4322)),"China",
ISNUMBER(SEARCH("IR Iran",S4322)),"Iran",
ISNUMBER(SEARCH("Congo DR",S4322)),"Democratic Republic of the Congo",
ISNUMBER(SEARCH("DR Congo",S4322)),"Democratic Republic of the Congo",
ISNUMBER(SEARCH("German DR",S4322)),"DR Germany",
ISNUMBER(SEARCH("rn""&gt;United Arab Emirates",S4322)),"United Arab Emirates",
ISNUMBER(SEARCH("rn""&gt;Republic of Ireland",S4322)),"Ireland",
ISNUMBER(SEARCH("rn""&gt;Bosnia and Herzegovina",S4322)),"Bosnia and Herzegovina",
ISNUMBER(SEARCH("rn""&gt;Trinidad and Tobago",S4322)),"Trinidad and Tobago",
ISNUMBER(SEARCH("rn""&gt;Serbia and Montenegro",S4322)),"Serbia and Montenegro",
ISNUMBER(SEARCH(_xlfn.UNICHAR(65533),S4322)),"Côte d'Ivoire",
TRUE,""
)</f>
        <v/>
      </c>
      <c r="W4322" s="40" t="str">
        <f t="shared" si="276"/>
        <v>Belgium</v>
      </c>
    </row>
    <row r="4323" spans="19:23">
      <c r="S4323" s="40" t="str">
        <v>England</v>
      </c>
      <c r="T4323" s="40" t="str">
        <f t="shared" si="274"/>
        <v>ERREUR</v>
      </c>
      <c r="U4323" s="40" t="str">
        <f t="shared" si="275"/>
        <v>AUCUNE</v>
      </c>
      <c r="V4323" s="40" t="str" cm="1">
        <f t="array" ref="V4323">_xlfn.IFS(
ISNUMBER(SEARCH("USA",S4323)),"United States",
ISNUMBER(SEARCH("Republic of Ireland",S4323)),"Ireland",
ISNUMBER(SEARCH("Republic of Korea",S4323)),"South Korea",
ISNUMBER(SEARCH("Cape Verde",S4323)),"Cabo Verde",
ISNUMBER(SEARCH("Czechia",S4323)),"Czech Republic",
ISNUMBER(SEARCH("Türkiye",S4323)),"Turkey",
ISNUMBER(SEARCH("Ivory Coast",S4323)),"Côte d'Ivoire",
ISNUMBER(SEARCH("Korea Republic",S4323)),"South Korea",
ISNUMBER(SEARCH("Germany FR",S4323)),"FR Germany",
ISNUMBER(SEARCH("West Germany",S4323)),"FR Germany",
ISNUMBER(SEARCH("Germany DR",S4323)),"DR Germany",
ISNUMBER(SEARCH("Korea DPR",S4323)),"North Korea",
ISNUMBER(SEARCH("China PR",S4323)),"China",
ISNUMBER(SEARCH("IR Iran",S4323)),"Iran",
ISNUMBER(SEARCH("Congo DR",S4323)),"Democratic Republic of the Congo",
ISNUMBER(SEARCH("DR Congo",S4323)),"Democratic Republic of the Congo",
ISNUMBER(SEARCH("German DR",S4323)),"DR Germany",
ISNUMBER(SEARCH("rn""&gt;United Arab Emirates",S4323)),"United Arab Emirates",
ISNUMBER(SEARCH("rn""&gt;Republic of Ireland",S4323)),"Ireland",
ISNUMBER(SEARCH("rn""&gt;Bosnia and Herzegovina",S4323)),"Bosnia and Herzegovina",
ISNUMBER(SEARCH("rn""&gt;Trinidad and Tobago",S4323)),"Trinidad and Tobago",
ISNUMBER(SEARCH("rn""&gt;Serbia and Montenegro",S4323)),"Serbia and Montenegro",
ISNUMBER(SEARCH(_xlfn.UNICHAR(65533),S4323)),"Côte d'Ivoire",
TRUE,""
)</f>
        <v/>
      </c>
      <c r="W4323" s="40" t="str">
        <f t="shared" si="276"/>
        <v>England</v>
      </c>
    </row>
    <row r="4324" spans="19:23">
      <c r="S4324" s="40" t="str">
        <v>Croatia</v>
      </c>
      <c r="T4324" s="40" t="str">
        <f t="shared" si="274"/>
        <v>OK</v>
      </c>
      <c r="U4324" s="40" t="str">
        <f t="shared" si="275"/>
        <v>-</v>
      </c>
      <c r="V4324" s="40" t="str" cm="1">
        <f t="array" ref="V4324">_xlfn.IFS(
ISNUMBER(SEARCH("USA",S4324)),"United States",
ISNUMBER(SEARCH("Republic of Ireland",S4324)),"Ireland",
ISNUMBER(SEARCH("Republic of Korea",S4324)),"South Korea",
ISNUMBER(SEARCH("Cape Verde",S4324)),"Cabo Verde",
ISNUMBER(SEARCH("Czechia",S4324)),"Czech Republic",
ISNUMBER(SEARCH("Türkiye",S4324)),"Turkey",
ISNUMBER(SEARCH("Ivory Coast",S4324)),"Côte d'Ivoire",
ISNUMBER(SEARCH("Korea Republic",S4324)),"South Korea",
ISNUMBER(SEARCH("Germany FR",S4324)),"FR Germany",
ISNUMBER(SEARCH("West Germany",S4324)),"FR Germany",
ISNUMBER(SEARCH("Germany DR",S4324)),"DR Germany",
ISNUMBER(SEARCH("Korea DPR",S4324)),"North Korea",
ISNUMBER(SEARCH("China PR",S4324)),"China",
ISNUMBER(SEARCH("IR Iran",S4324)),"Iran",
ISNUMBER(SEARCH("Congo DR",S4324)),"Democratic Republic of the Congo",
ISNUMBER(SEARCH("DR Congo",S4324)),"Democratic Republic of the Congo",
ISNUMBER(SEARCH("German DR",S4324)),"DR Germany",
ISNUMBER(SEARCH("rn""&gt;United Arab Emirates",S4324)),"United Arab Emirates",
ISNUMBER(SEARCH("rn""&gt;Republic of Ireland",S4324)),"Ireland",
ISNUMBER(SEARCH("rn""&gt;Bosnia and Herzegovina",S4324)),"Bosnia and Herzegovina",
ISNUMBER(SEARCH("rn""&gt;Trinidad and Tobago",S4324)),"Trinidad and Tobago",
ISNUMBER(SEARCH("rn""&gt;Serbia and Montenegro",S4324)),"Serbia and Montenegro",
ISNUMBER(SEARCH(_xlfn.UNICHAR(65533),S4324)),"Côte d'Ivoire",
TRUE,""
)</f>
        <v/>
      </c>
      <c r="W4324" s="40" t="str">
        <f t="shared" si="276"/>
        <v>Croatia</v>
      </c>
    </row>
    <row r="4325" spans="19:23">
      <c r="S4325" s="40" t="str">
        <v>Belgium</v>
      </c>
      <c r="T4325" s="40" t="str">
        <f t="shared" si="274"/>
        <v>OK</v>
      </c>
      <c r="U4325" s="40" t="str">
        <f t="shared" si="275"/>
        <v>-</v>
      </c>
      <c r="V4325" s="40" t="str" cm="1">
        <f t="array" ref="V4325">_xlfn.IFS(
ISNUMBER(SEARCH("USA",S4325)),"United States",
ISNUMBER(SEARCH("Republic of Ireland",S4325)),"Ireland",
ISNUMBER(SEARCH("Republic of Korea",S4325)),"South Korea",
ISNUMBER(SEARCH("Cape Verde",S4325)),"Cabo Verde",
ISNUMBER(SEARCH("Czechia",S4325)),"Czech Republic",
ISNUMBER(SEARCH("Türkiye",S4325)),"Turkey",
ISNUMBER(SEARCH("Ivory Coast",S4325)),"Côte d'Ivoire",
ISNUMBER(SEARCH("Korea Republic",S4325)),"South Korea",
ISNUMBER(SEARCH("Germany FR",S4325)),"FR Germany",
ISNUMBER(SEARCH("West Germany",S4325)),"FR Germany",
ISNUMBER(SEARCH("Germany DR",S4325)),"DR Germany",
ISNUMBER(SEARCH("Korea DPR",S4325)),"North Korea",
ISNUMBER(SEARCH("China PR",S4325)),"China",
ISNUMBER(SEARCH("IR Iran",S4325)),"Iran",
ISNUMBER(SEARCH("Congo DR",S4325)),"Democratic Republic of the Congo",
ISNUMBER(SEARCH("DR Congo",S4325)),"Democratic Republic of the Congo",
ISNUMBER(SEARCH("German DR",S4325)),"DR Germany",
ISNUMBER(SEARCH("rn""&gt;United Arab Emirates",S4325)),"United Arab Emirates",
ISNUMBER(SEARCH("rn""&gt;Republic of Ireland",S4325)),"Ireland",
ISNUMBER(SEARCH("rn""&gt;Bosnia and Herzegovina",S4325)),"Bosnia and Herzegovina",
ISNUMBER(SEARCH("rn""&gt;Trinidad and Tobago",S4325)),"Trinidad and Tobago",
ISNUMBER(SEARCH("rn""&gt;Serbia and Montenegro",S4325)),"Serbia and Montenegro",
ISNUMBER(SEARCH(_xlfn.UNICHAR(65533),S4325)),"Côte d'Ivoire",
TRUE,""
)</f>
        <v/>
      </c>
      <c r="W4325" s="40" t="str">
        <f t="shared" si="276"/>
        <v>Belgium</v>
      </c>
    </row>
    <row r="4326" spans="19:23">
      <c r="S4326" s="40" t="str">
        <v>England</v>
      </c>
      <c r="T4326" s="40" t="str">
        <f t="shared" si="274"/>
        <v>ERREUR</v>
      </c>
      <c r="U4326" s="40" t="str">
        <f t="shared" si="275"/>
        <v>AUCUNE</v>
      </c>
      <c r="V4326" s="40" t="str" cm="1">
        <f t="array" ref="V4326">_xlfn.IFS(
ISNUMBER(SEARCH("USA",S4326)),"United States",
ISNUMBER(SEARCH("Republic of Ireland",S4326)),"Ireland",
ISNUMBER(SEARCH("Republic of Korea",S4326)),"South Korea",
ISNUMBER(SEARCH("Cape Verde",S4326)),"Cabo Verde",
ISNUMBER(SEARCH("Czechia",S4326)),"Czech Republic",
ISNUMBER(SEARCH("Türkiye",S4326)),"Turkey",
ISNUMBER(SEARCH("Ivory Coast",S4326)),"Côte d'Ivoire",
ISNUMBER(SEARCH("Korea Republic",S4326)),"South Korea",
ISNUMBER(SEARCH("Germany FR",S4326)),"FR Germany",
ISNUMBER(SEARCH("West Germany",S4326)),"FR Germany",
ISNUMBER(SEARCH("Germany DR",S4326)),"DR Germany",
ISNUMBER(SEARCH("Korea DPR",S4326)),"North Korea",
ISNUMBER(SEARCH("China PR",S4326)),"China",
ISNUMBER(SEARCH("IR Iran",S4326)),"Iran",
ISNUMBER(SEARCH("Congo DR",S4326)),"Democratic Republic of the Congo",
ISNUMBER(SEARCH("DR Congo",S4326)),"Democratic Republic of the Congo",
ISNUMBER(SEARCH("German DR",S4326)),"DR Germany",
ISNUMBER(SEARCH("rn""&gt;United Arab Emirates",S4326)),"United Arab Emirates",
ISNUMBER(SEARCH("rn""&gt;Republic of Ireland",S4326)),"Ireland",
ISNUMBER(SEARCH("rn""&gt;Bosnia and Herzegovina",S4326)),"Bosnia and Herzegovina",
ISNUMBER(SEARCH("rn""&gt;Trinidad and Tobago",S4326)),"Trinidad and Tobago",
ISNUMBER(SEARCH("rn""&gt;Serbia and Montenegro",S4326)),"Serbia and Montenegro",
ISNUMBER(SEARCH(_xlfn.UNICHAR(65533),S4326)),"Côte d'Ivoire",
TRUE,""
)</f>
        <v/>
      </c>
      <c r="W4326" s="40" t="str">
        <f t="shared" si="276"/>
        <v>England</v>
      </c>
    </row>
    <row r="4327" spans="19:23">
      <c r="S4327" s="40" t="str">
        <v>England</v>
      </c>
      <c r="T4327" s="40" t="str">
        <f t="shared" si="274"/>
        <v>ERREUR</v>
      </c>
      <c r="U4327" s="40" t="str">
        <f t="shared" si="275"/>
        <v>AUCUNE</v>
      </c>
      <c r="V4327" s="40" t="str" cm="1">
        <f t="array" ref="V4327">_xlfn.IFS(
ISNUMBER(SEARCH("USA",S4327)),"United States",
ISNUMBER(SEARCH("Republic of Ireland",S4327)),"Ireland",
ISNUMBER(SEARCH("Republic of Korea",S4327)),"South Korea",
ISNUMBER(SEARCH("Cape Verde",S4327)),"Cabo Verde",
ISNUMBER(SEARCH("Czechia",S4327)),"Czech Republic",
ISNUMBER(SEARCH("Türkiye",S4327)),"Turkey",
ISNUMBER(SEARCH("Ivory Coast",S4327)),"Côte d'Ivoire",
ISNUMBER(SEARCH("Korea Republic",S4327)),"South Korea",
ISNUMBER(SEARCH("Germany FR",S4327)),"FR Germany",
ISNUMBER(SEARCH("West Germany",S4327)),"FR Germany",
ISNUMBER(SEARCH("Germany DR",S4327)),"DR Germany",
ISNUMBER(SEARCH("Korea DPR",S4327)),"North Korea",
ISNUMBER(SEARCH("China PR",S4327)),"China",
ISNUMBER(SEARCH("IR Iran",S4327)),"Iran",
ISNUMBER(SEARCH("Congo DR",S4327)),"Democratic Republic of the Congo",
ISNUMBER(SEARCH("DR Congo",S4327)),"Democratic Republic of the Congo",
ISNUMBER(SEARCH("German DR",S4327)),"DR Germany",
ISNUMBER(SEARCH("rn""&gt;United Arab Emirates",S4327)),"United Arab Emirates",
ISNUMBER(SEARCH("rn""&gt;Republic of Ireland",S4327)),"Ireland",
ISNUMBER(SEARCH("rn""&gt;Bosnia and Herzegovina",S4327)),"Bosnia and Herzegovina",
ISNUMBER(SEARCH("rn""&gt;Trinidad and Tobago",S4327)),"Trinidad and Tobago",
ISNUMBER(SEARCH("rn""&gt;Serbia and Montenegro",S4327)),"Serbia and Montenegro",
ISNUMBER(SEARCH(_xlfn.UNICHAR(65533),S4327)),"Côte d'Ivoire",
TRUE,""
)</f>
        <v/>
      </c>
      <c r="W4327" s="40" t="str">
        <f t="shared" si="276"/>
        <v>England</v>
      </c>
    </row>
    <row r="4328" spans="19:23">
      <c r="S4328" s="40" t="str">
        <v>Croatia</v>
      </c>
      <c r="T4328" s="40" t="str">
        <f t="shared" si="274"/>
        <v>OK</v>
      </c>
      <c r="U4328" s="40" t="str">
        <f t="shared" si="275"/>
        <v>-</v>
      </c>
      <c r="V4328" s="40" t="str" cm="1">
        <f t="array" ref="V4328">_xlfn.IFS(
ISNUMBER(SEARCH("USA",S4328)),"United States",
ISNUMBER(SEARCH("Republic of Ireland",S4328)),"Ireland",
ISNUMBER(SEARCH("Republic of Korea",S4328)),"South Korea",
ISNUMBER(SEARCH("Cape Verde",S4328)),"Cabo Verde",
ISNUMBER(SEARCH("Czechia",S4328)),"Czech Republic",
ISNUMBER(SEARCH("Türkiye",S4328)),"Turkey",
ISNUMBER(SEARCH("Ivory Coast",S4328)),"Côte d'Ivoire",
ISNUMBER(SEARCH("Korea Republic",S4328)),"South Korea",
ISNUMBER(SEARCH("Germany FR",S4328)),"FR Germany",
ISNUMBER(SEARCH("West Germany",S4328)),"FR Germany",
ISNUMBER(SEARCH("Germany DR",S4328)),"DR Germany",
ISNUMBER(SEARCH("Korea DPR",S4328)),"North Korea",
ISNUMBER(SEARCH("China PR",S4328)),"China",
ISNUMBER(SEARCH("IR Iran",S4328)),"Iran",
ISNUMBER(SEARCH("Congo DR",S4328)),"Democratic Republic of the Congo",
ISNUMBER(SEARCH("DR Congo",S4328)),"Democratic Republic of the Congo",
ISNUMBER(SEARCH("German DR",S4328)),"DR Germany",
ISNUMBER(SEARCH("rn""&gt;United Arab Emirates",S4328)),"United Arab Emirates",
ISNUMBER(SEARCH("rn""&gt;Republic of Ireland",S4328)),"Ireland",
ISNUMBER(SEARCH("rn""&gt;Bosnia and Herzegovina",S4328)),"Bosnia and Herzegovina",
ISNUMBER(SEARCH("rn""&gt;Trinidad and Tobago",S4328)),"Trinidad and Tobago",
ISNUMBER(SEARCH("rn""&gt;Serbia and Montenegro",S4328)),"Serbia and Montenegro",
ISNUMBER(SEARCH(_xlfn.UNICHAR(65533),S4328)),"Côte d'Ivoire",
TRUE,""
)</f>
        <v/>
      </c>
      <c r="W4328" s="40" t="str">
        <f t="shared" si="276"/>
        <v>Croatia</v>
      </c>
    </row>
    <row r="4329" spans="19:23">
      <c r="S4329" s="40" t="str">
        <v>Ecuador</v>
      </c>
      <c r="T4329" s="40" t="str">
        <f t="shared" si="274"/>
        <v>OK</v>
      </c>
      <c r="U4329" s="40" t="str">
        <f t="shared" si="275"/>
        <v>-</v>
      </c>
      <c r="V4329" s="40" t="str" cm="1">
        <f t="array" ref="V4329">_xlfn.IFS(
ISNUMBER(SEARCH("USA",S4329)),"United States",
ISNUMBER(SEARCH("Republic of Ireland",S4329)),"Ireland",
ISNUMBER(SEARCH("Republic of Korea",S4329)),"South Korea",
ISNUMBER(SEARCH("Cape Verde",S4329)),"Cabo Verde",
ISNUMBER(SEARCH("Czechia",S4329)),"Czech Republic",
ISNUMBER(SEARCH("Türkiye",S4329)),"Turkey",
ISNUMBER(SEARCH("Ivory Coast",S4329)),"Côte d'Ivoire",
ISNUMBER(SEARCH("Korea Republic",S4329)),"South Korea",
ISNUMBER(SEARCH("Germany FR",S4329)),"FR Germany",
ISNUMBER(SEARCH("West Germany",S4329)),"FR Germany",
ISNUMBER(SEARCH("Germany DR",S4329)),"DR Germany",
ISNUMBER(SEARCH("Korea DPR",S4329)),"North Korea",
ISNUMBER(SEARCH("China PR",S4329)),"China",
ISNUMBER(SEARCH("IR Iran",S4329)),"Iran",
ISNUMBER(SEARCH("Congo DR",S4329)),"Democratic Republic of the Congo",
ISNUMBER(SEARCH("DR Congo",S4329)),"Democratic Republic of the Congo",
ISNUMBER(SEARCH("German DR",S4329)),"DR Germany",
ISNUMBER(SEARCH("rn""&gt;United Arab Emirates",S4329)),"United Arab Emirates",
ISNUMBER(SEARCH("rn""&gt;Republic of Ireland",S4329)),"Ireland",
ISNUMBER(SEARCH("rn""&gt;Bosnia and Herzegovina",S4329)),"Bosnia and Herzegovina",
ISNUMBER(SEARCH("rn""&gt;Trinidad and Tobago",S4329)),"Trinidad and Tobago",
ISNUMBER(SEARCH("rn""&gt;Serbia and Montenegro",S4329)),"Serbia and Montenegro",
ISNUMBER(SEARCH(_xlfn.UNICHAR(65533),S4329)),"Côte d'Ivoire",
TRUE,""
)</f>
        <v/>
      </c>
      <c r="W4329" s="40" t="str">
        <f t="shared" si="276"/>
        <v>Ecuador</v>
      </c>
    </row>
    <row r="4330" spans="19:23">
      <c r="S4330" s="40" t="str">
        <v>Iran</v>
      </c>
      <c r="T4330" s="40" t="str">
        <f t="shared" si="274"/>
        <v>OK</v>
      </c>
      <c r="U4330" s="40" t="str">
        <f t="shared" si="275"/>
        <v>-</v>
      </c>
      <c r="V4330" s="40" t="str" cm="1">
        <f t="array" ref="V4330">_xlfn.IFS(
ISNUMBER(SEARCH("USA",S4330)),"United States",
ISNUMBER(SEARCH("Republic of Ireland",S4330)),"Ireland",
ISNUMBER(SEARCH("Republic of Korea",S4330)),"South Korea",
ISNUMBER(SEARCH("Cape Verde",S4330)),"Cabo Verde",
ISNUMBER(SEARCH("Czechia",S4330)),"Czech Republic",
ISNUMBER(SEARCH("Türkiye",S4330)),"Turkey",
ISNUMBER(SEARCH("Ivory Coast",S4330)),"Côte d'Ivoire",
ISNUMBER(SEARCH("Korea Republic",S4330)),"South Korea",
ISNUMBER(SEARCH("Germany FR",S4330)),"FR Germany",
ISNUMBER(SEARCH("West Germany",S4330)),"FR Germany",
ISNUMBER(SEARCH("Germany DR",S4330)),"DR Germany",
ISNUMBER(SEARCH("Korea DPR",S4330)),"North Korea",
ISNUMBER(SEARCH("China PR",S4330)),"China",
ISNUMBER(SEARCH("IR Iran",S4330)),"Iran",
ISNUMBER(SEARCH("Congo DR",S4330)),"Democratic Republic of the Congo",
ISNUMBER(SEARCH("DR Congo",S4330)),"Democratic Republic of the Congo",
ISNUMBER(SEARCH("German DR",S4330)),"DR Germany",
ISNUMBER(SEARCH("rn""&gt;United Arab Emirates",S4330)),"United Arab Emirates",
ISNUMBER(SEARCH("rn""&gt;Republic of Ireland",S4330)),"Ireland",
ISNUMBER(SEARCH("rn""&gt;Bosnia and Herzegovina",S4330)),"Bosnia and Herzegovina",
ISNUMBER(SEARCH("rn""&gt;Trinidad and Tobago",S4330)),"Trinidad and Tobago",
ISNUMBER(SEARCH("rn""&gt;Serbia and Montenegro",S4330)),"Serbia and Montenegro",
ISNUMBER(SEARCH(_xlfn.UNICHAR(65533),S4330)),"Côte d'Ivoire",
TRUE,""
)</f>
        <v/>
      </c>
      <c r="W4330" s="40" t="str">
        <f t="shared" si="276"/>
        <v>Iran</v>
      </c>
    </row>
    <row r="4331" spans="19:23">
      <c r="S4331" s="40" t="str">
        <v>Netherlands</v>
      </c>
      <c r="T4331" s="40" t="str">
        <f t="shared" si="274"/>
        <v>OK</v>
      </c>
      <c r="U4331" s="40" t="str">
        <f t="shared" si="275"/>
        <v>-</v>
      </c>
      <c r="V4331" s="40" t="str" cm="1">
        <f t="array" ref="V4331">_xlfn.IFS(
ISNUMBER(SEARCH("USA",S4331)),"United States",
ISNUMBER(SEARCH("Republic of Ireland",S4331)),"Ireland",
ISNUMBER(SEARCH("Republic of Korea",S4331)),"South Korea",
ISNUMBER(SEARCH("Cape Verde",S4331)),"Cabo Verde",
ISNUMBER(SEARCH("Czechia",S4331)),"Czech Republic",
ISNUMBER(SEARCH("Türkiye",S4331)),"Turkey",
ISNUMBER(SEARCH("Ivory Coast",S4331)),"Côte d'Ivoire",
ISNUMBER(SEARCH("Korea Republic",S4331)),"South Korea",
ISNUMBER(SEARCH("Germany FR",S4331)),"FR Germany",
ISNUMBER(SEARCH("West Germany",S4331)),"FR Germany",
ISNUMBER(SEARCH("Germany DR",S4331)),"DR Germany",
ISNUMBER(SEARCH("Korea DPR",S4331)),"North Korea",
ISNUMBER(SEARCH("China PR",S4331)),"China",
ISNUMBER(SEARCH("IR Iran",S4331)),"Iran",
ISNUMBER(SEARCH("Congo DR",S4331)),"Democratic Republic of the Congo",
ISNUMBER(SEARCH("DR Congo",S4331)),"Democratic Republic of the Congo",
ISNUMBER(SEARCH("German DR",S4331)),"DR Germany",
ISNUMBER(SEARCH("rn""&gt;United Arab Emirates",S4331)),"United Arab Emirates",
ISNUMBER(SEARCH("rn""&gt;Republic of Ireland",S4331)),"Ireland",
ISNUMBER(SEARCH("rn""&gt;Bosnia and Herzegovina",S4331)),"Bosnia and Herzegovina",
ISNUMBER(SEARCH("rn""&gt;Trinidad and Tobago",S4331)),"Trinidad and Tobago",
ISNUMBER(SEARCH("rn""&gt;Serbia and Montenegro",S4331)),"Serbia and Montenegro",
ISNUMBER(SEARCH(_xlfn.UNICHAR(65533),S4331)),"Côte d'Ivoire",
TRUE,""
)</f>
        <v/>
      </c>
      <c r="W4331" s="40" t="str">
        <f t="shared" si="276"/>
        <v>Netherlands</v>
      </c>
    </row>
    <row r="4332" spans="19:23">
      <c r="S4332" s="40" t="str">
        <v>Wales</v>
      </c>
      <c r="T4332" s="40" t="str">
        <f t="shared" si="274"/>
        <v>ERREUR</v>
      </c>
      <c r="U4332" s="40" t="str">
        <f t="shared" si="275"/>
        <v>AUCUNE</v>
      </c>
      <c r="V4332" s="40" t="str" cm="1">
        <f t="array" ref="V4332">_xlfn.IFS(
ISNUMBER(SEARCH("USA",S4332)),"United States",
ISNUMBER(SEARCH("Republic of Ireland",S4332)),"Ireland",
ISNUMBER(SEARCH("Republic of Korea",S4332)),"South Korea",
ISNUMBER(SEARCH("Cape Verde",S4332)),"Cabo Verde",
ISNUMBER(SEARCH("Czechia",S4332)),"Czech Republic",
ISNUMBER(SEARCH("Türkiye",S4332)),"Turkey",
ISNUMBER(SEARCH("Ivory Coast",S4332)),"Côte d'Ivoire",
ISNUMBER(SEARCH("Korea Republic",S4332)),"South Korea",
ISNUMBER(SEARCH("Germany FR",S4332)),"FR Germany",
ISNUMBER(SEARCH("West Germany",S4332)),"FR Germany",
ISNUMBER(SEARCH("Germany DR",S4332)),"DR Germany",
ISNUMBER(SEARCH("Korea DPR",S4332)),"North Korea",
ISNUMBER(SEARCH("China PR",S4332)),"China",
ISNUMBER(SEARCH("IR Iran",S4332)),"Iran",
ISNUMBER(SEARCH("Congo DR",S4332)),"Democratic Republic of the Congo",
ISNUMBER(SEARCH("DR Congo",S4332)),"Democratic Republic of the Congo",
ISNUMBER(SEARCH("German DR",S4332)),"DR Germany",
ISNUMBER(SEARCH("rn""&gt;United Arab Emirates",S4332)),"United Arab Emirates",
ISNUMBER(SEARCH("rn""&gt;Republic of Ireland",S4332)),"Ireland",
ISNUMBER(SEARCH("rn""&gt;Bosnia and Herzegovina",S4332)),"Bosnia and Herzegovina",
ISNUMBER(SEARCH("rn""&gt;Trinidad and Tobago",S4332)),"Trinidad and Tobago",
ISNUMBER(SEARCH("rn""&gt;Serbia and Montenegro",S4332)),"Serbia and Montenegro",
ISNUMBER(SEARCH(_xlfn.UNICHAR(65533),S4332)),"Côte d'Ivoire",
TRUE,""
)</f>
        <v/>
      </c>
      <c r="W4332" s="40" t="str">
        <f t="shared" si="276"/>
        <v>Wales</v>
      </c>
    </row>
    <row r="4333" spans="19:23">
      <c r="S4333" s="40" t="str">
        <v>Saudi Arabia</v>
      </c>
      <c r="T4333" s="40" t="str">
        <f t="shared" si="274"/>
        <v>OK</v>
      </c>
      <c r="U4333" s="40" t="str">
        <f t="shared" si="275"/>
        <v>-</v>
      </c>
      <c r="V4333" s="40" t="str" cm="1">
        <f t="array" ref="V4333">_xlfn.IFS(
ISNUMBER(SEARCH("USA",S4333)),"United States",
ISNUMBER(SEARCH("Republic of Ireland",S4333)),"Ireland",
ISNUMBER(SEARCH("Republic of Korea",S4333)),"South Korea",
ISNUMBER(SEARCH("Cape Verde",S4333)),"Cabo Verde",
ISNUMBER(SEARCH("Czechia",S4333)),"Czech Republic",
ISNUMBER(SEARCH("Türkiye",S4333)),"Turkey",
ISNUMBER(SEARCH("Ivory Coast",S4333)),"Côte d'Ivoire",
ISNUMBER(SEARCH("Korea Republic",S4333)),"South Korea",
ISNUMBER(SEARCH("Germany FR",S4333)),"FR Germany",
ISNUMBER(SEARCH("West Germany",S4333)),"FR Germany",
ISNUMBER(SEARCH("Germany DR",S4333)),"DR Germany",
ISNUMBER(SEARCH("Korea DPR",S4333)),"North Korea",
ISNUMBER(SEARCH("China PR",S4333)),"China",
ISNUMBER(SEARCH("IR Iran",S4333)),"Iran",
ISNUMBER(SEARCH("Congo DR",S4333)),"Democratic Republic of the Congo",
ISNUMBER(SEARCH("DR Congo",S4333)),"Democratic Republic of the Congo",
ISNUMBER(SEARCH("German DR",S4333)),"DR Germany",
ISNUMBER(SEARCH("rn""&gt;United Arab Emirates",S4333)),"United Arab Emirates",
ISNUMBER(SEARCH("rn""&gt;Republic of Ireland",S4333)),"Ireland",
ISNUMBER(SEARCH("rn""&gt;Bosnia and Herzegovina",S4333)),"Bosnia and Herzegovina",
ISNUMBER(SEARCH("rn""&gt;Trinidad and Tobago",S4333)),"Trinidad and Tobago",
ISNUMBER(SEARCH("rn""&gt;Serbia and Montenegro",S4333)),"Serbia and Montenegro",
ISNUMBER(SEARCH(_xlfn.UNICHAR(65533),S4333)),"Côte d'Ivoire",
TRUE,""
)</f>
        <v/>
      </c>
      <c r="W4333" s="40" t="str">
        <f t="shared" si="276"/>
        <v>Saudi Arabia</v>
      </c>
    </row>
    <row r="4334" spans="19:23">
      <c r="S4334" s="40" t="str">
        <v>Tunisia</v>
      </c>
      <c r="T4334" s="40" t="str">
        <f t="shared" si="274"/>
        <v>OK</v>
      </c>
      <c r="U4334" s="40" t="str">
        <f t="shared" si="275"/>
        <v>-</v>
      </c>
      <c r="V4334" s="40" t="str" cm="1">
        <f t="array" ref="V4334">_xlfn.IFS(
ISNUMBER(SEARCH("USA",S4334)),"United States",
ISNUMBER(SEARCH("Republic of Ireland",S4334)),"Ireland",
ISNUMBER(SEARCH("Republic of Korea",S4334)),"South Korea",
ISNUMBER(SEARCH("Cape Verde",S4334)),"Cabo Verde",
ISNUMBER(SEARCH("Czechia",S4334)),"Czech Republic",
ISNUMBER(SEARCH("Türkiye",S4334)),"Turkey",
ISNUMBER(SEARCH("Ivory Coast",S4334)),"Côte d'Ivoire",
ISNUMBER(SEARCH("Korea Republic",S4334)),"South Korea",
ISNUMBER(SEARCH("Germany FR",S4334)),"FR Germany",
ISNUMBER(SEARCH("West Germany",S4334)),"FR Germany",
ISNUMBER(SEARCH("Germany DR",S4334)),"DR Germany",
ISNUMBER(SEARCH("Korea DPR",S4334)),"North Korea",
ISNUMBER(SEARCH("China PR",S4334)),"China",
ISNUMBER(SEARCH("IR Iran",S4334)),"Iran",
ISNUMBER(SEARCH("Congo DR",S4334)),"Democratic Republic of the Congo",
ISNUMBER(SEARCH("DR Congo",S4334)),"Democratic Republic of the Congo",
ISNUMBER(SEARCH("German DR",S4334)),"DR Germany",
ISNUMBER(SEARCH("rn""&gt;United Arab Emirates",S4334)),"United Arab Emirates",
ISNUMBER(SEARCH("rn""&gt;Republic of Ireland",S4334)),"Ireland",
ISNUMBER(SEARCH("rn""&gt;Bosnia and Herzegovina",S4334)),"Bosnia and Herzegovina",
ISNUMBER(SEARCH("rn""&gt;Trinidad and Tobago",S4334)),"Trinidad and Tobago",
ISNUMBER(SEARCH("rn""&gt;Serbia and Montenegro",S4334)),"Serbia and Montenegro",
ISNUMBER(SEARCH(_xlfn.UNICHAR(65533),S4334)),"Côte d'Ivoire",
TRUE,""
)</f>
        <v/>
      </c>
      <c r="W4334" s="40" t="str">
        <f t="shared" si="276"/>
        <v>Tunisia</v>
      </c>
    </row>
    <row r="4335" spans="19:23">
      <c r="S4335" s="40" t="str">
        <v>Poland</v>
      </c>
      <c r="T4335" s="40" t="str">
        <f t="shared" si="274"/>
        <v>OK</v>
      </c>
      <c r="U4335" s="40" t="str">
        <f t="shared" si="275"/>
        <v>-</v>
      </c>
      <c r="V4335" s="40" t="str" cm="1">
        <f t="array" ref="V4335">_xlfn.IFS(
ISNUMBER(SEARCH("USA",S4335)),"United States",
ISNUMBER(SEARCH("Republic of Ireland",S4335)),"Ireland",
ISNUMBER(SEARCH("Republic of Korea",S4335)),"South Korea",
ISNUMBER(SEARCH("Cape Verde",S4335)),"Cabo Verde",
ISNUMBER(SEARCH("Czechia",S4335)),"Czech Republic",
ISNUMBER(SEARCH("Türkiye",S4335)),"Turkey",
ISNUMBER(SEARCH("Ivory Coast",S4335)),"Côte d'Ivoire",
ISNUMBER(SEARCH("Korea Republic",S4335)),"South Korea",
ISNUMBER(SEARCH("Germany FR",S4335)),"FR Germany",
ISNUMBER(SEARCH("West Germany",S4335)),"FR Germany",
ISNUMBER(SEARCH("Germany DR",S4335)),"DR Germany",
ISNUMBER(SEARCH("Korea DPR",S4335)),"North Korea",
ISNUMBER(SEARCH("China PR",S4335)),"China",
ISNUMBER(SEARCH("IR Iran",S4335)),"Iran",
ISNUMBER(SEARCH("Congo DR",S4335)),"Democratic Republic of the Congo",
ISNUMBER(SEARCH("DR Congo",S4335)),"Democratic Republic of the Congo",
ISNUMBER(SEARCH("German DR",S4335)),"DR Germany",
ISNUMBER(SEARCH("rn""&gt;United Arab Emirates",S4335)),"United Arab Emirates",
ISNUMBER(SEARCH("rn""&gt;Republic of Ireland",S4335)),"Ireland",
ISNUMBER(SEARCH("rn""&gt;Bosnia and Herzegovina",S4335)),"Bosnia and Herzegovina",
ISNUMBER(SEARCH("rn""&gt;Trinidad and Tobago",S4335)),"Trinidad and Tobago",
ISNUMBER(SEARCH("rn""&gt;Serbia and Montenegro",S4335)),"Serbia and Montenegro",
ISNUMBER(SEARCH(_xlfn.UNICHAR(65533),S4335)),"Côte d'Ivoire",
TRUE,""
)</f>
        <v/>
      </c>
      <c r="W4335" s="40" t="str">
        <f t="shared" si="276"/>
        <v>Poland</v>
      </c>
    </row>
    <row r="4336" spans="19:23">
      <c r="S4336" s="40" t="str">
        <v>Australia</v>
      </c>
      <c r="T4336" s="40" t="str">
        <f t="shared" si="274"/>
        <v>OK</v>
      </c>
      <c r="U4336" s="40" t="str">
        <f t="shared" si="275"/>
        <v>-</v>
      </c>
      <c r="V4336" s="40" t="str" cm="1">
        <f t="array" ref="V4336">_xlfn.IFS(
ISNUMBER(SEARCH("USA",S4336)),"United States",
ISNUMBER(SEARCH("Republic of Ireland",S4336)),"Ireland",
ISNUMBER(SEARCH("Republic of Korea",S4336)),"South Korea",
ISNUMBER(SEARCH("Cape Verde",S4336)),"Cabo Verde",
ISNUMBER(SEARCH("Czechia",S4336)),"Czech Republic",
ISNUMBER(SEARCH("Türkiye",S4336)),"Turkey",
ISNUMBER(SEARCH("Ivory Coast",S4336)),"Côte d'Ivoire",
ISNUMBER(SEARCH("Korea Republic",S4336)),"South Korea",
ISNUMBER(SEARCH("Germany FR",S4336)),"FR Germany",
ISNUMBER(SEARCH("West Germany",S4336)),"FR Germany",
ISNUMBER(SEARCH("Germany DR",S4336)),"DR Germany",
ISNUMBER(SEARCH("Korea DPR",S4336)),"North Korea",
ISNUMBER(SEARCH("China PR",S4336)),"China",
ISNUMBER(SEARCH("IR Iran",S4336)),"Iran",
ISNUMBER(SEARCH("Congo DR",S4336)),"Democratic Republic of the Congo",
ISNUMBER(SEARCH("DR Congo",S4336)),"Democratic Republic of the Congo",
ISNUMBER(SEARCH("German DR",S4336)),"DR Germany",
ISNUMBER(SEARCH("rn""&gt;United Arab Emirates",S4336)),"United Arab Emirates",
ISNUMBER(SEARCH("rn""&gt;Republic of Ireland",S4336)),"Ireland",
ISNUMBER(SEARCH("rn""&gt;Bosnia and Herzegovina",S4336)),"Bosnia and Herzegovina",
ISNUMBER(SEARCH("rn""&gt;Trinidad and Tobago",S4336)),"Trinidad and Tobago",
ISNUMBER(SEARCH("rn""&gt;Serbia and Montenegro",S4336)),"Serbia and Montenegro",
ISNUMBER(SEARCH(_xlfn.UNICHAR(65533),S4336)),"Côte d'Ivoire",
TRUE,""
)</f>
        <v/>
      </c>
      <c r="W4336" s="40" t="str">
        <f t="shared" si="276"/>
        <v>Australia</v>
      </c>
    </row>
    <row r="4337" spans="19:23">
      <c r="S4337" s="40" t="str">
        <v>Croatia</v>
      </c>
      <c r="T4337" s="40" t="str">
        <f t="shared" si="274"/>
        <v>OK</v>
      </c>
      <c r="U4337" s="40" t="str">
        <f t="shared" si="275"/>
        <v>-</v>
      </c>
      <c r="V4337" s="40" t="str" cm="1">
        <f t="array" ref="V4337">_xlfn.IFS(
ISNUMBER(SEARCH("USA",S4337)),"United States",
ISNUMBER(SEARCH("Republic of Ireland",S4337)),"Ireland",
ISNUMBER(SEARCH("Republic of Korea",S4337)),"South Korea",
ISNUMBER(SEARCH("Cape Verde",S4337)),"Cabo Verde",
ISNUMBER(SEARCH("Czechia",S4337)),"Czech Republic",
ISNUMBER(SEARCH("Türkiye",S4337)),"Turkey",
ISNUMBER(SEARCH("Ivory Coast",S4337)),"Côte d'Ivoire",
ISNUMBER(SEARCH("Korea Republic",S4337)),"South Korea",
ISNUMBER(SEARCH("Germany FR",S4337)),"FR Germany",
ISNUMBER(SEARCH("West Germany",S4337)),"FR Germany",
ISNUMBER(SEARCH("Germany DR",S4337)),"DR Germany",
ISNUMBER(SEARCH("Korea DPR",S4337)),"North Korea",
ISNUMBER(SEARCH("China PR",S4337)),"China",
ISNUMBER(SEARCH("IR Iran",S4337)),"Iran",
ISNUMBER(SEARCH("Congo DR",S4337)),"Democratic Republic of the Congo",
ISNUMBER(SEARCH("DR Congo",S4337)),"Democratic Republic of the Congo",
ISNUMBER(SEARCH("German DR",S4337)),"DR Germany",
ISNUMBER(SEARCH("rn""&gt;United Arab Emirates",S4337)),"United Arab Emirates",
ISNUMBER(SEARCH("rn""&gt;Republic of Ireland",S4337)),"Ireland",
ISNUMBER(SEARCH("rn""&gt;Bosnia and Herzegovina",S4337)),"Bosnia and Herzegovina",
ISNUMBER(SEARCH("rn""&gt;Trinidad and Tobago",S4337)),"Trinidad and Tobago",
ISNUMBER(SEARCH("rn""&gt;Serbia and Montenegro",S4337)),"Serbia and Montenegro",
ISNUMBER(SEARCH(_xlfn.UNICHAR(65533),S4337)),"Côte d'Ivoire",
TRUE,""
)</f>
        <v/>
      </c>
      <c r="W4337" s="40" t="str">
        <f t="shared" si="276"/>
        <v>Croatia</v>
      </c>
    </row>
    <row r="4338" spans="19:23">
      <c r="S4338" s="40" t="str">
        <v>Japan</v>
      </c>
      <c r="T4338" s="40" t="str">
        <f t="shared" si="274"/>
        <v>OK</v>
      </c>
      <c r="U4338" s="40" t="str">
        <f t="shared" si="275"/>
        <v>-</v>
      </c>
      <c r="V4338" s="40" t="str" cm="1">
        <f t="array" ref="V4338">_xlfn.IFS(
ISNUMBER(SEARCH("USA",S4338)),"United States",
ISNUMBER(SEARCH("Republic of Ireland",S4338)),"Ireland",
ISNUMBER(SEARCH("Republic of Korea",S4338)),"South Korea",
ISNUMBER(SEARCH("Cape Verde",S4338)),"Cabo Verde",
ISNUMBER(SEARCH("Czechia",S4338)),"Czech Republic",
ISNUMBER(SEARCH("Türkiye",S4338)),"Turkey",
ISNUMBER(SEARCH("Ivory Coast",S4338)),"Côte d'Ivoire",
ISNUMBER(SEARCH("Korea Republic",S4338)),"South Korea",
ISNUMBER(SEARCH("Germany FR",S4338)),"FR Germany",
ISNUMBER(SEARCH("West Germany",S4338)),"FR Germany",
ISNUMBER(SEARCH("Germany DR",S4338)),"DR Germany",
ISNUMBER(SEARCH("Korea DPR",S4338)),"North Korea",
ISNUMBER(SEARCH("China PR",S4338)),"China",
ISNUMBER(SEARCH("IR Iran",S4338)),"Iran",
ISNUMBER(SEARCH("Congo DR",S4338)),"Democratic Republic of the Congo",
ISNUMBER(SEARCH("DR Congo",S4338)),"Democratic Republic of the Congo",
ISNUMBER(SEARCH("German DR",S4338)),"DR Germany",
ISNUMBER(SEARCH("rn""&gt;United Arab Emirates",S4338)),"United Arab Emirates",
ISNUMBER(SEARCH("rn""&gt;Republic of Ireland",S4338)),"Ireland",
ISNUMBER(SEARCH("rn""&gt;Bosnia and Herzegovina",S4338)),"Bosnia and Herzegovina",
ISNUMBER(SEARCH("rn""&gt;Trinidad and Tobago",S4338)),"Trinidad and Tobago",
ISNUMBER(SEARCH("rn""&gt;Serbia and Montenegro",S4338)),"Serbia and Montenegro",
ISNUMBER(SEARCH(_xlfn.UNICHAR(65533),S4338)),"Côte d'Ivoire",
TRUE,""
)</f>
        <v/>
      </c>
      <c r="W4338" s="40" t="str">
        <f t="shared" si="276"/>
        <v>Japan</v>
      </c>
    </row>
    <row r="4339" spans="19:23">
      <c r="S4339" s="40" t="str">
        <v>Costa Rica</v>
      </c>
      <c r="T4339" s="40" t="str">
        <f t="shared" si="274"/>
        <v>OK</v>
      </c>
      <c r="U4339" s="40" t="str">
        <f t="shared" si="275"/>
        <v>-</v>
      </c>
      <c r="V4339" s="40" t="str" cm="1">
        <f t="array" ref="V4339">_xlfn.IFS(
ISNUMBER(SEARCH("USA",S4339)),"United States",
ISNUMBER(SEARCH("Republic of Ireland",S4339)),"Ireland",
ISNUMBER(SEARCH("Republic of Korea",S4339)),"South Korea",
ISNUMBER(SEARCH("Cape Verde",S4339)),"Cabo Verde",
ISNUMBER(SEARCH("Czechia",S4339)),"Czech Republic",
ISNUMBER(SEARCH("Türkiye",S4339)),"Turkey",
ISNUMBER(SEARCH("Ivory Coast",S4339)),"Côte d'Ivoire",
ISNUMBER(SEARCH("Korea Republic",S4339)),"South Korea",
ISNUMBER(SEARCH("Germany FR",S4339)),"FR Germany",
ISNUMBER(SEARCH("West Germany",S4339)),"FR Germany",
ISNUMBER(SEARCH("Germany DR",S4339)),"DR Germany",
ISNUMBER(SEARCH("Korea DPR",S4339)),"North Korea",
ISNUMBER(SEARCH("China PR",S4339)),"China",
ISNUMBER(SEARCH("IR Iran",S4339)),"Iran",
ISNUMBER(SEARCH("Congo DR",S4339)),"Democratic Republic of the Congo",
ISNUMBER(SEARCH("DR Congo",S4339)),"Democratic Republic of the Congo",
ISNUMBER(SEARCH("German DR",S4339)),"DR Germany",
ISNUMBER(SEARCH("rn""&gt;United Arab Emirates",S4339)),"United Arab Emirates",
ISNUMBER(SEARCH("rn""&gt;Republic of Ireland",S4339)),"Ireland",
ISNUMBER(SEARCH("rn""&gt;Bosnia and Herzegovina",S4339)),"Bosnia and Herzegovina",
ISNUMBER(SEARCH("rn""&gt;Trinidad and Tobago",S4339)),"Trinidad and Tobago",
ISNUMBER(SEARCH("rn""&gt;Serbia and Montenegro",S4339)),"Serbia and Montenegro",
ISNUMBER(SEARCH(_xlfn.UNICHAR(65533),S4339)),"Côte d'Ivoire",
TRUE,""
)</f>
        <v/>
      </c>
      <c r="W4339" s="40" t="str">
        <f t="shared" si="276"/>
        <v>Costa Rica</v>
      </c>
    </row>
    <row r="4340" spans="19:23">
      <c r="S4340" s="40" t="str">
        <v>Canada</v>
      </c>
      <c r="T4340" s="40" t="str">
        <f t="shared" si="274"/>
        <v>OK</v>
      </c>
      <c r="U4340" s="40" t="str">
        <f t="shared" si="275"/>
        <v>-</v>
      </c>
      <c r="V4340" s="40" t="str" cm="1">
        <f t="array" ref="V4340">_xlfn.IFS(
ISNUMBER(SEARCH("USA",S4340)),"United States",
ISNUMBER(SEARCH("Republic of Ireland",S4340)),"Ireland",
ISNUMBER(SEARCH("Republic of Korea",S4340)),"South Korea",
ISNUMBER(SEARCH("Cape Verde",S4340)),"Cabo Verde",
ISNUMBER(SEARCH("Czechia",S4340)),"Czech Republic",
ISNUMBER(SEARCH("Türkiye",S4340)),"Turkey",
ISNUMBER(SEARCH("Ivory Coast",S4340)),"Côte d'Ivoire",
ISNUMBER(SEARCH("Korea Republic",S4340)),"South Korea",
ISNUMBER(SEARCH("Germany FR",S4340)),"FR Germany",
ISNUMBER(SEARCH("West Germany",S4340)),"FR Germany",
ISNUMBER(SEARCH("Germany DR",S4340)),"DR Germany",
ISNUMBER(SEARCH("Korea DPR",S4340)),"North Korea",
ISNUMBER(SEARCH("China PR",S4340)),"China",
ISNUMBER(SEARCH("IR Iran",S4340)),"Iran",
ISNUMBER(SEARCH("Congo DR",S4340)),"Democratic Republic of the Congo",
ISNUMBER(SEARCH("DR Congo",S4340)),"Democratic Republic of the Congo",
ISNUMBER(SEARCH("German DR",S4340)),"DR Germany",
ISNUMBER(SEARCH("rn""&gt;United Arab Emirates",S4340)),"United Arab Emirates",
ISNUMBER(SEARCH("rn""&gt;Republic of Ireland",S4340)),"Ireland",
ISNUMBER(SEARCH("rn""&gt;Bosnia and Herzegovina",S4340)),"Bosnia and Herzegovina",
ISNUMBER(SEARCH("rn""&gt;Trinidad and Tobago",S4340)),"Trinidad and Tobago",
ISNUMBER(SEARCH("rn""&gt;Serbia and Montenegro",S4340)),"Serbia and Montenegro",
ISNUMBER(SEARCH(_xlfn.UNICHAR(65533),S4340)),"Côte d'Ivoire",
TRUE,""
)</f>
        <v/>
      </c>
      <c r="W4340" s="40" t="str">
        <f t="shared" si="276"/>
        <v>Canada</v>
      </c>
    </row>
    <row r="4341" spans="19:23">
      <c r="S4341" s="40" t="str">
        <v>Cameroon</v>
      </c>
      <c r="T4341" s="40" t="str">
        <f t="shared" si="274"/>
        <v>OK</v>
      </c>
      <c r="U4341" s="40" t="str">
        <f t="shared" si="275"/>
        <v>-</v>
      </c>
      <c r="V4341" s="40" t="str" cm="1">
        <f t="array" ref="V4341">_xlfn.IFS(
ISNUMBER(SEARCH("USA",S4341)),"United States",
ISNUMBER(SEARCH("Republic of Ireland",S4341)),"Ireland",
ISNUMBER(SEARCH("Republic of Korea",S4341)),"South Korea",
ISNUMBER(SEARCH("Cape Verde",S4341)),"Cabo Verde",
ISNUMBER(SEARCH("Czechia",S4341)),"Czech Republic",
ISNUMBER(SEARCH("Türkiye",S4341)),"Turkey",
ISNUMBER(SEARCH("Ivory Coast",S4341)),"Côte d'Ivoire",
ISNUMBER(SEARCH("Korea Republic",S4341)),"South Korea",
ISNUMBER(SEARCH("Germany FR",S4341)),"FR Germany",
ISNUMBER(SEARCH("West Germany",S4341)),"FR Germany",
ISNUMBER(SEARCH("Germany DR",S4341)),"DR Germany",
ISNUMBER(SEARCH("Korea DPR",S4341)),"North Korea",
ISNUMBER(SEARCH("China PR",S4341)),"China",
ISNUMBER(SEARCH("IR Iran",S4341)),"Iran",
ISNUMBER(SEARCH("Congo DR",S4341)),"Democratic Republic of the Congo",
ISNUMBER(SEARCH("DR Congo",S4341)),"Democratic Republic of the Congo",
ISNUMBER(SEARCH("German DR",S4341)),"DR Germany",
ISNUMBER(SEARCH("rn""&gt;United Arab Emirates",S4341)),"United Arab Emirates",
ISNUMBER(SEARCH("rn""&gt;Republic of Ireland",S4341)),"Ireland",
ISNUMBER(SEARCH("rn""&gt;Bosnia and Herzegovina",S4341)),"Bosnia and Herzegovina",
ISNUMBER(SEARCH("rn""&gt;Trinidad and Tobago",S4341)),"Trinidad and Tobago",
ISNUMBER(SEARCH("rn""&gt;Serbia and Montenegro",S4341)),"Serbia and Montenegro",
ISNUMBER(SEARCH(_xlfn.UNICHAR(65533),S4341)),"Côte d'Ivoire",
TRUE,""
)</f>
        <v/>
      </c>
      <c r="W4341" s="40" t="str">
        <f t="shared" si="276"/>
        <v>Cameroon</v>
      </c>
    </row>
    <row r="4342" spans="19:23">
      <c r="S4342" s="40" t="str">
        <v>South Korea</v>
      </c>
      <c r="T4342" s="40" t="str">
        <f t="shared" si="274"/>
        <v>OK</v>
      </c>
      <c r="U4342" s="40" t="str">
        <f t="shared" si="275"/>
        <v>-</v>
      </c>
      <c r="V4342" s="40" t="str" cm="1">
        <f t="array" ref="V4342">_xlfn.IFS(
ISNUMBER(SEARCH("USA",S4342)),"United States",
ISNUMBER(SEARCH("Republic of Ireland",S4342)),"Ireland",
ISNUMBER(SEARCH("Republic of Korea",S4342)),"South Korea",
ISNUMBER(SEARCH("Cape Verde",S4342)),"Cabo Verde",
ISNUMBER(SEARCH("Czechia",S4342)),"Czech Republic",
ISNUMBER(SEARCH("Türkiye",S4342)),"Turkey",
ISNUMBER(SEARCH("Ivory Coast",S4342)),"Côte d'Ivoire",
ISNUMBER(SEARCH("Korea Republic",S4342)),"South Korea",
ISNUMBER(SEARCH("Germany FR",S4342)),"FR Germany",
ISNUMBER(SEARCH("West Germany",S4342)),"FR Germany",
ISNUMBER(SEARCH("Germany DR",S4342)),"DR Germany",
ISNUMBER(SEARCH("Korea DPR",S4342)),"North Korea",
ISNUMBER(SEARCH("China PR",S4342)),"China",
ISNUMBER(SEARCH("IR Iran",S4342)),"Iran",
ISNUMBER(SEARCH("Congo DR",S4342)),"Democratic Republic of the Congo",
ISNUMBER(SEARCH("DR Congo",S4342)),"Democratic Republic of the Congo",
ISNUMBER(SEARCH("German DR",S4342)),"DR Germany",
ISNUMBER(SEARCH("rn""&gt;United Arab Emirates",S4342)),"United Arab Emirates",
ISNUMBER(SEARCH("rn""&gt;Republic of Ireland",S4342)),"Ireland",
ISNUMBER(SEARCH("rn""&gt;Bosnia and Herzegovina",S4342)),"Bosnia and Herzegovina",
ISNUMBER(SEARCH("rn""&gt;Trinidad and Tobago",S4342)),"Trinidad and Tobago",
ISNUMBER(SEARCH("rn""&gt;Serbia and Montenegro",S4342)),"Serbia and Montenegro",
ISNUMBER(SEARCH(_xlfn.UNICHAR(65533),S4342)),"Côte d'Ivoire",
TRUE,""
)</f>
        <v/>
      </c>
      <c r="W4342" s="40" t="str">
        <f t="shared" si="276"/>
        <v>South Korea</v>
      </c>
    </row>
    <row r="4343" spans="19:23">
      <c r="S4343" s="40" t="str">
        <v>Ghana</v>
      </c>
      <c r="T4343" s="40" t="str">
        <f t="shared" si="274"/>
        <v>OK</v>
      </c>
      <c r="U4343" s="40" t="str">
        <f t="shared" si="275"/>
        <v>-</v>
      </c>
      <c r="V4343" s="40" t="str" cm="1">
        <f t="array" ref="V4343">_xlfn.IFS(
ISNUMBER(SEARCH("USA",S4343)),"United States",
ISNUMBER(SEARCH("Republic of Ireland",S4343)),"Ireland",
ISNUMBER(SEARCH("Republic of Korea",S4343)),"South Korea",
ISNUMBER(SEARCH("Cape Verde",S4343)),"Cabo Verde",
ISNUMBER(SEARCH("Czechia",S4343)),"Czech Republic",
ISNUMBER(SEARCH("Türkiye",S4343)),"Turkey",
ISNUMBER(SEARCH("Ivory Coast",S4343)),"Côte d'Ivoire",
ISNUMBER(SEARCH("Korea Republic",S4343)),"South Korea",
ISNUMBER(SEARCH("Germany FR",S4343)),"FR Germany",
ISNUMBER(SEARCH("West Germany",S4343)),"FR Germany",
ISNUMBER(SEARCH("Germany DR",S4343)),"DR Germany",
ISNUMBER(SEARCH("Korea DPR",S4343)),"North Korea",
ISNUMBER(SEARCH("China PR",S4343)),"China",
ISNUMBER(SEARCH("IR Iran",S4343)),"Iran",
ISNUMBER(SEARCH("Congo DR",S4343)),"Democratic Republic of the Congo",
ISNUMBER(SEARCH("DR Congo",S4343)),"Democratic Republic of the Congo",
ISNUMBER(SEARCH("German DR",S4343)),"DR Germany",
ISNUMBER(SEARCH("rn""&gt;United Arab Emirates",S4343)),"United Arab Emirates",
ISNUMBER(SEARCH("rn""&gt;Republic of Ireland",S4343)),"Ireland",
ISNUMBER(SEARCH("rn""&gt;Bosnia and Herzegovina",S4343)),"Bosnia and Herzegovina",
ISNUMBER(SEARCH("rn""&gt;Trinidad and Tobago",S4343)),"Trinidad and Tobago",
ISNUMBER(SEARCH("rn""&gt;Serbia and Montenegro",S4343)),"Serbia and Montenegro",
ISNUMBER(SEARCH(_xlfn.UNICHAR(65533),S4343)),"Côte d'Ivoire",
TRUE,""
)</f>
        <v/>
      </c>
      <c r="W4343" s="40" t="str">
        <f t="shared" si="276"/>
        <v>Ghana</v>
      </c>
    </row>
    <row r="4344" spans="19:23">
      <c r="S4344" s="40" t="str">
        <v>Serbia</v>
      </c>
      <c r="T4344" s="40" t="str">
        <f t="shared" si="274"/>
        <v>OK</v>
      </c>
      <c r="U4344" s="40" t="str">
        <f t="shared" si="275"/>
        <v>-</v>
      </c>
      <c r="V4344" s="40" t="str" cm="1">
        <f t="array" ref="V4344">_xlfn.IFS(
ISNUMBER(SEARCH("USA",S4344)),"United States",
ISNUMBER(SEARCH("Republic of Ireland",S4344)),"Ireland",
ISNUMBER(SEARCH("Republic of Korea",S4344)),"South Korea",
ISNUMBER(SEARCH("Cape Verde",S4344)),"Cabo Verde",
ISNUMBER(SEARCH("Czechia",S4344)),"Czech Republic",
ISNUMBER(SEARCH("Türkiye",S4344)),"Turkey",
ISNUMBER(SEARCH("Ivory Coast",S4344)),"Côte d'Ivoire",
ISNUMBER(SEARCH("Korea Republic",S4344)),"South Korea",
ISNUMBER(SEARCH("Germany FR",S4344)),"FR Germany",
ISNUMBER(SEARCH("West Germany",S4344)),"FR Germany",
ISNUMBER(SEARCH("Germany DR",S4344)),"DR Germany",
ISNUMBER(SEARCH("Korea DPR",S4344)),"North Korea",
ISNUMBER(SEARCH("China PR",S4344)),"China",
ISNUMBER(SEARCH("IR Iran",S4344)),"Iran",
ISNUMBER(SEARCH("Congo DR",S4344)),"Democratic Republic of the Congo",
ISNUMBER(SEARCH("DR Congo",S4344)),"Democratic Republic of the Congo",
ISNUMBER(SEARCH("German DR",S4344)),"DR Germany",
ISNUMBER(SEARCH("rn""&gt;United Arab Emirates",S4344)),"United Arab Emirates",
ISNUMBER(SEARCH("rn""&gt;Republic of Ireland",S4344)),"Ireland",
ISNUMBER(SEARCH("rn""&gt;Bosnia and Herzegovina",S4344)),"Bosnia and Herzegovina",
ISNUMBER(SEARCH("rn""&gt;Trinidad and Tobago",S4344)),"Trinidad and Tobago",
ISNUMBER(SEARCH("rn""&gt;Serbia and Montenegro",S4344)),"Serbia and Montenegro",
ISNUMBER(SEARCH(_xlfn.UNICHAR(65533),S4344)),"Côte d'Ivoire",
TRUE,""
)</f>
        <v/>
      </c>
      <c r="W4344" s="40" t="str">
        <f t="shared" si="276"/>
        <v>Serbia</v>
      </c>
    </row>
    <row r="4345" spans="19:23">
      <c r="S4345" s="40" t="str">
        <v>Iran</v>
      </c>
      <c r="T4345" s="40" t="str">
        <f t="shared" si="274"/>
        <v>OK</v>
      </c>
      <c r="U4345" s="40" t="str">
        <f t="shared" si="275"/>
        <v>-</v>
      </c>
      <c r="V4345" s="40" t="str" cm="1">
        <f t="array" ref="V4345">_xlfn.IFS(
ISNUMBER(SEARCH("USA",S4345)),"United States",
ISNUMBER(SEARCH("Republic of Ireland",S4345)),"Ireland",
ISNUMBER(SEARCH("Republic of Korea",S4345)),"South Korea",
ISNUMBER(SEARCH("Cape Verde",S4345)),"Cabo Verde",
ISNUMBER(SEARCH("Czechia",S4345)),"Czech Republic",
ISNUMBER(SEARCH("Türkiye",S4345)),"Turkey",
ISNUMBER(SEARCH("Ivory Coast",S4345)),"Côte d'Ivoire",
ISNUMBER(SEARCH("Korea Republic",S4345)),"South Korea",
ISNUMBER(SEARCH("Germany FR",S4345)),"FR Germany",
ISNUMBER(SEARCH("West Germany",S4345)),"FR Germany",
ISNUMBER(SEARCH("Germany DR",S4345)),"DR Germany",
ISNUMBER(SEARCH("Korea DPR",S4345)),"North Korea",
ISNUMBER(SEARCH("China PR",S4345)),"China",
ISNUMBER(SEARCH("IR Iran",S4345)),"Iran",
ISNUMBER(SEARCH("Congo DR",S4345)),"Democratic Republic of the Congo",
ISNUMBER(SEARCH("DR Congo",S4345)),"Democratic Republic of the Congo",
ISNUMBER(SEARCH("German DR",S4345)),"DR Germany",
ISNUMBER(SEARCH("rn""&gt;United Arab Emirates",S4345)),"United Arab Emirates",
ISNUMBER(SEARCH("rn""&gt;Republic of Ireland",S4345)),"Ireland",
ISNUMBER(SEARCH("rn""&gt;Bosnia and Herzegovina",S4345)),"Bosnia and Herzegovina",
ISNUMBER(SEARCH("rn""&gt;Trinidad and Tobago",S4345)),"Trinidad and Tobago",
ISNUMBER(SEARCH("rn""&gt;Serbia and Montenegro",S4345)),"Serbia and Montenegro",
ISNUMBER(SEARCH(_xlfn.UNICHAR(65533),S4345)),"Côte d'Ivoire",
TRUE,""
)</f>
        <v/>
      </c>
      <c r="W4345" s="40" t="str">
        <f t="shared" si="276"/>
        <v>Iran</v>
      </c>
    </row>
    <row r="4346" spans="19:23">
      <c r="S4346" s="40" t="str">
        <v>Senegal</v>
      </c>
      <c r="T4346" s="40" t="str">
        <f t="shared" si="274"/>
        <v>OK</v>
      </c>
      <c r="U4346" s="40" t="str">
        <f t="shared" si="275"/>
        <v>-</v>
      </c>
      <c r="V4346" s="40" t="str" cm="1">
        <f t="array" ref="V4346">_xlfn.IFS(
ISNUMBER(SEARCH("USA",S4346)),"United States",
ISNUMBER(SEARCH("Republic of Ireland",S4346)),"Ireland",
ISNUMBER(SEARCH("Republic of Korea",S4346)),"South Korea",
ISNUMBER(SEARCH("Cape Verde",S4346)),"Cabo Verde",
ISNUMBER(SEARCH("Czechia",S4346)),"Czech Republic",
ISNUMBER(SEARCH("Türkiye",S4346)),"Turkey",
ISNUMBER(SEARCH("Ivory Coast",S4346)),"Côte d'Ivoire",
ISNUMBER(SEARCH("Korea Republic",S4346)),"South Korea",
ISNUMBER(SEARCH("Germany FR",S4346)),"FR Germany",
ISNUMBER(SEARCH("West Germany",S4346)),"FR Germany",
ISNUMBER(SEARCH("Germany DR",S4346)),"DR Germany",
ISNUMBER(SEARCH("Korea DPR",S4346)),"North Korea",
ISNUMBER(SEARCH("China PR",S4346)),"China",
ISNUMBER(SEARCH("IR Iran",S4346)),"Iran",
ISNUMBER(SEARCH("Congo DR",S4346)),"Democratic Republic of the Congo",
ISNUMBER(SEARCH("DR Congo",S4346)),"Democratic Republic of the Congo",
ISNUMBER(SEARCH("German DR",S4346)),"DR Germany",
ISNUMBER(SEARCH("rn""&gt;United Arab Emirates",S4346)),"United Arab Emirates",
ISNUMBER(SEARCH("rn""&gt;Republic of Ireland",S4346)),"Ireland",
ISNUMBER(SEARCH("rn""&gt;Bosnia and Herzegovina",S4346)),"Bosnia and Herzegovina",
ISNUMBER(SEARCH("rn""&gt;Trinidad and Tobago",S4346)),"Trinidad and Tobago",
ISNUMBER(SEARCH("rn""&gt;Serbia and Montenegro",S4346)),"Serbia and Montenegro",
ISNUMBER(SEARCH(_xlfn.UNICHAR(65533),S4346)),"Côte d'Ivoire",
TRUE,""
)</f>
        <v/>
      </c>
      <c r="W4346" s="40" t="str">
        <f t="shared" si="276"/>
        <v>Senegal</v>
      </c>
    </row>
    <row r="4347" spans="19:23">
      <c r="S4347" s="40" t="str">
        <v>Ecuador</v>
      </c>
      <c r="T4347" s="40" t="str">
        <f t="shared" si="274"/>
        <v>OK</v>
      </c>
      <c r="U4347" s="40" t="str">
        <f t="shared" si="275"/>
        <v>-</v>
      </c>
      <c r="V4347" s="40" t="str" cm="1">
        <f t="array" ref="V4347">_xlfn.IFS(
ISNUMBER(SEARCH("USA",S4347)),"United States",
ISNUMBER(SEARCH("Republic of Ireland",S4347)),"Ireland",
ISNUMBER(SEARCH("Republic of Korea",S4347)),"South Korea",
ISNUMBER(SEARCH("Cape Verde",S4347)),"Cabo Verde",
ISNUMBER(SEARCH("Czechia",S4347)),"Czech Republic",
ISNUMBER(SEARCH("Türkiye",S4347)),"Turkey",
ISNUMBER(SEARCH("Ivory Coast",S4347)),"Côte d'Ivoire",
ISNUMBER(SEARCH("Korea Republic",S4347)),"South Korea",
ISNUMBER(SEARCH("Germany FR",S4347)),"FR Germany",
ISNUMBER(SEARCH("West Germany",S4347)),"FR Germany",
ISNUMBER(SEARCH("Germany DR",S4347)),"DR Germany",
ISNUMBER(SEARCH("Korea DPR",S4347)),"North Korea",
ISNUMBER(SEARCH("China PR",S4347)),"China",
ISNUMBER(SEARCH("IR Iran",S4347)),"Iran",
ISNUMBER(SEARCH("Congo DR",S4347)),"Democratic Republic of the Congo",
ISNUMBER(SEARCH("DR Congo",S4347)),"Democratic Republic of the Congo",
ISNUMBER(SEARCH("German DR",S4347)),"DR Germany",
ISNUMBER(SEARCH("rn""&gt;United Arab Emirates",S4347)),"United Arab Emirates",
ISNUMBER(SEARCH("rn""&gt;Republic of Ireland",S4347)),"Ireland",
ISNUMBER(SEARCH("rn""&gt;Bosnia and Herzegovina",S4347)),"Bosnia and Herzegovina",
ISNUMBER(SEARCH("rn""&gt;Trinidad and Tobago",S4347)),"Trinidad and Tobago",
ISNUMBER(SEARCH("rn""&gt;Serbia and Montenegro",S4347)),"Serbia and Montenegro",
ISNUMBER(SEARCH(_xlfn.UNICHAR(65533),S4347)),"Côte d'Ivoire",
TRUE,""
)</f>
        <v/>
      </c>
      <c r="W4347" s="40" t="str">
        <f t="shared" si="276"/>
        <v>Ecuador</v>
      </c>
    </row>
    <row r="4348" spans="19:23">
      <c r="S4348" s="40" t="str">
        <v>United States</v>
      </c>
      <c r="T4348" s="40" t="str">
        <f t="shared" si="274"/>
        <v>OK</v>
      </c>
      <c r="U4348" s="40" t="str">
        <f t="shared" si="275"/>
        <v>-</v>
      </c>
      <c r="V4348" s="40" t="str" cm="1">
        <f t="array" ref="V4348">_xlfn.IFS(
ISNUMBER(SEARCH("USA",S4348)),"United States",
ISNUMBER(SEARCH("Republic of Ireland",S4348)),"Ireland",
ISNUMBER(SEARCH("Republic of Korea",S4348)),"South Korea",
ISNUMBER(SEARCH("Cape Verde",S4348)),"Cabo Verde",
ISNUMBER(SEARCH("Czechia",S4348)),"Czech Republic",
ISNUMBER(SEARCH("Türkiye",S4348)),"Turkey",
ISNUMBER(SEARCH("Ivory Coast",S4348)),"Côte d'Ivoire",
ISNUMBER(SEARCH("Korea Republic",S4348)),"South Korea",
ISNUMBER(SEARCH("Germany FR",S4348)),"FR Germany",
ISNUMBER(SEARCH("West Germany",S4348)),"FR Germany",
ISNUMBER(SEARCH("Germany DR",S4348)),"DR Germany",
ISNUMBER(SEARCH("Korea DPR",S4348)),"North Korea",
ISNUMBER(SEARCH("China PR",S4348)),"China",
ISNUMBER(SEARCH("IR Iran",S4348)),"Iran",
ISNUMBER(SEARCH("Congo DR",S4348)),"Democratic Republic of the Congo",
ISNUMBER(SEARCH("DR Congo",S4348)),"Democratic Republic of the Congo",
ISNUMBER(SEARCH("German DR",S4348)),"DR Germany",
ISNUMBER(SEARCH("rn""&gt;United Arab Emirates",S4348)),"United Arab Emirates",
ISNUMBER(SEARCH("rn""&gt;Republic of Ireland",S4348)),"Ireland",
ISNUMBER(SEARCH("rn""&gt;Bosnia and Herzegovina",S4348)),"Bosnia and Herzegovina",
ISNUMBER(SEARCH("rn""&gt;Trinidad and Tobago",S4348)),"Trinidad and Tobago",
ISNUMBER(SEARCH("rn""&gt;Serbia and Montenegro",S4348)),"Serbia and Montenegro",
ISNUMBER(SEARCH(_xlfn.UNICHAR(65533),S4348)),"Côte d'Ivoire",
TRUE,""
)</f>
        <v/>
      </c>
      <c r="W4348" s="40" t="str">
        <f t="shared" si="276"/>
        <v>United States</v>
      </c>
    </row>
    <row r="4349" spans="19:23">
      <c r="S4349" s="40" t="str">
        <v>Australia</v>
      </c>
      <c r="T4349" s="40" t="str">
        <f t="shared" si="274"/>
        <v>OK</v>
      </c>
      <c r="U4349" s="40" t="str">
        <f t="shared" si="275"/>
        <v>-</v>
      </c>
      <c r="V4349" s="40" t="str" cm="1">
        <f t="array" ref="V4349">_xlfn.IFS(
ISNUMBER(SEARCH("USA",S4349)),"United States",
ISNUMBER(SEARCH("Republic of Ireland",S4349)),"Ireland",
ISNUMBER(SEARCH("Republic of Korea",S4349)),"South Korea",
ISNUMBER(SEARCH("Cape Verde",S4349)),"Cabo Verde",
ISNUMBER(SEARCH("Czechia",S4349)),"Czech Republic",
ISNUMBER(SEARCH("Türkiye",S4349)),"Turkey",
ISNUMBER(SEARCH("Ivory Coast",S4349)),"Côte d'Ivoire",
ISNUMBER(SEARCH("Korea Republic",S4349)),"South Korea",
ISNUMBER(SEARCH("Germany FR",S4349)),"FR Germany",
ISNUMBER(SEARCH("West Germany",S4349)),"FR Germany",
ISNUMBER(SEARCH("Germany DR",S4349)),"DR Germany",
ISNUMBER(SEARCH("Korea DPR",S4349)),"North Korea",
ISNUMBER(SEARCH("China PR",S4349)),"China",
ISNUMBER(SEARCH("IR Iran",S4349)),"Iran",
ISNUMBER(SEARCH("Congo DR",S4349)),"Democratic Republic of the Congo",
ISNUMBER(SEARCH("DR Congo",S4349)),"Democratic Republic of the Congo",
ISNUMBER(SEARCH("German DR",S4349)),"DR Germany",
ISNUMBER(SEARCH("rn""&gt;United Arab Emirates",S4349)),"United Arab Emirates",
ISNUMBER(SEARCH("rn""&gt;Republic of Ireland",S4349)),"Ireland",
ISNUMBER(SEARCH("rn""&gt;Bosnia and Herzegovina",S4349)),"Bosnia and Herzegovina",
ISNUMBER(SEARCH("rn""&gt;Trinidad and Tobago",S4349)),"Trinidad and Tobago",
ISNUMBER(SEARCH("rn""&gt;Serbia and Montenegro",S4349)),"Serbia and Montenegro",
ISNUMBER(SEARCH(_xlfn.UNICHAR(65533),S4349)),"Côte d'Ivoire",
TRUE,""
)</f>
        <v/>
      </c>
      <c r="W4349" s="40" t="str">
        <f t="shared" si="276"/>
        <v>Australia</v>
      </c>
    </row>
    <row r="4350" spans="19:23">
      <c r="S4350" s="40" t="str">
        <v>Saudi Arabia</v>
      </c>
      <c r="T4350" s="40" t="str">
        <f t="shared" si="274"/>
        <v>OK</v>
      </c>
      <c r="U4350" s="40" t="str">
        <f t="shared" si="275"/>
        <v>-</v>
      </c>
      <c r="V4350" s="40" t="str" cm="1">
        <f t="array" ref="V4350">_xlfn.IFS(
ISNUMBER(SEARCH("USA",S4350)),"United States",
ISNUMBER(SEARCH("Republic of Ireland",S4350)),"Ireland",
ISNUMBER(SEARCH("Republic of Korea",S4350)),"South Korea",
ISNUMBER(SEARCH("Cape Verde",S4350)),"Cabo Verde",
ISNUMBER(SEARCH("Czechia",S4350)),"Czech Republic",
ISNUMBER(SEARCH("Türkiye",S4350)),"Turkey",
ISNUMBER(SEARCH("Ivory Coast",S4350)),"Côte d'Ivoire",
ISNUMBER(SEARCH("Korea Republic",S4350)),"South Korea",
ISNUMBER(SEARCH("Germany FR",S4350)),"FR Germany",
ISNUMBER(SEARCH("West Germany",S4350)),"FR Germany",
ISNUMBER(SEARCH("Germany DR",S4350)),"DR Germany",
ISNUMBER(SEARCH("Korea DPR",S4350)),"North Korea",
ISNUMBER(SEARCH("China PR",S4350)),"China",
ISNUMBER(SEARCH("IR Iran",S4350)),"Iran",
ISNUMBER(SEARCH("Congo DR",S4350)),"Democratic Republic of the Congo",
ISNUMBER(SEARCH("DR Congo",S4350)),"Democratic Republic of the Congo",
ISNUMBER(SEARCH("German DR",S4350)),"DR Germany",
ISNUMBER(SEARCH("rn""&gt;United Arab Emirates",S4350)),"United Arab Emirates",
ISNUMBER(SEARCH("rn""&gt;Republic of Ireland",S4350)),"Ireland",
ISNUMBER(SEARCH("rn""&gt;Bosnia and Herzegovina",S4350)),"Bosnia and Herzegovina",
ISNUMBER(SEARCH("rn""&gt;Trinidad and Tobago",S4350)),"Trinidad and Tobago",
ISNUMBER(SEARCH("rn""&gt;Serbia and Montenegro",S4350)),"Serbia and Montenegro",
ISNUMBER(SEARCH(_xlfn.UNICHAR(65533),S4350)),"Côte d'Ivoire",
TRUE,""
)</f>
        <v/>
      </c>
      <c r="W4350" s="40" t="str">
        <f t="shared" si="276"/>
        <v>Saudi Arabia</v>
      </c>
    </row>
    <row r="4351" spans="19:23">
      <c r="S4351" s="40" t="str">
        <v>Denmark</v>
      </c>
      <c r="T4351" s="40" t="str">
        <f t="shared" si="274"/>
        <v>OK</v>
      </c>
      <c r="U4351" s="40" t="str">
        <f t="shared" si="275"/>
        <v>-</v>
      </c>
      <c r="V4351" s="40" t="str" cm="1">
        <f t="array" ref="V4351">_xlfn.IFS(
ISNUMBER(SEARCH("USA",S4351)),"United States",
ISNUMBER(SEARCH("Republic of Ireland",S4351)),"Ireland",
ISNUMBER(SEARCH("Republic of Korea",S4351)),"South Korea",
ISNUMBER(SEARCH("Cape Verde",S4351)),"Cabo Verde",
ISNUMBER(SEARCH("Czechia",S4351)),"Czech Republic",
ISNUMBER(SEARCH("Türkiye",S4351)),"Turkey",
ISNUMBER(SEARCH("Ivory Coast",S4351)),"Côte d'Ivoire",
ISNUMBER(SEARCH("Korea Republic",S4351)),"South Korea",
ISNUMBER(SEARCH("Germany FR",S4351)),"FR Germany",
ISNUMBER(SEARCH("West Germany",S4351)),"FR Germany",
ISNUMBER(SEARCH("Germany DR",S4351)),"DR Germany",
ISNUMBER(SEARCH("Korea DPR",S4351)),"North Korea",
ISNUMBER(SEARCH("China PR",S4351)),"China",
ISNUMBER(SEARCH("IR Iran",S4351)),"Iran",
ISNUMBER(SEARCH("Congo DR",S4351)),"Democratic Republic of the Congo",
ISNUMBER(SEARCH("DR Congo",S4351)),"Democratic Republic of the Congo",
ISNUMBER(SEARCH("German DR",S4351)),"DR Germany",
ISNUMBER(SEARCH("rn""&gt;United Arab Emirates",S4351)),"United Arab Emirates",
ISNUMBER(SEARCH("rn""&gt;Republic of Ireland",S4351)),"Ireland",
ISNUMBER(SEARCH("rn""&gt;Bosnia and Herzegovina",S4351)),"Bosnia and Herzegovina",
ISNUMBER(SEARCH("rn""&gt;Trinidad and Tobago",S4351)),"Trinidad and Tobago",
ISNUMBER(SEARCH("rn""&gt;Serbia and Montenegro",S4351)),"Serbia and Montenegro",
ISNUMBER(SEARCH(_xlfn.UNICHAR(65533),S4351)),"Côte d'Ivoire",
TRUE,""
)</f>
        <v/>
      </c>
      <c r="W4351" s="40" t="str">
        <f t="shared" si="276"/>
        <v>Denmark</v>
      </c>
    </row>
    <row r="4352" spans="19:23">
      <c r="S4352" s="40" t="str">
        <v>Mexico</v>
      </c>
      <c r="T4352" s="40" t="str">
        <f t="shared" si="274"/>
        <v>OK</v>
      </c>
      <c r="U4352" s="40" t="str">
        <f t="shared" si="275"/>
        <v>-</v>
      </c>
      <c r="V4352" s="40" t="str" cm="1">
        <f t="array" ref="V4352">_xlfn.IFS(
ISNUMBER(SEARCH("USA",S4352)),"United States",
ISNUMBER(SEARCH("Republic of Ireland",S4352)),"Ireland",
ISNUMBER(SEARCH("Republic of Korea",S4352)),"South Korea",
ISNUMBER(SEARCH("Cape Verde",S4352)),"Cabo Verde",
ISNUMBER(SEARCH("Czechia",S4352)),"Czech Republic",
ISNUMBER(SEARCH("Türkiye",S4352)),"Turkey",
ISNUMBER(SEARCH("Ivory Coast",S4352)),"Côte d'Ivoire",
ISNUMBER(SEARCH("Korea Republic",S4352)),"South Korea",
ISNUMBER(SEARCH("Germany FR",S4352)),"FR Germany",
ISNUMBER(SEARCH("West Germany",S4352)),"FR Germany",
ISNUMBER(SEARCH("Germany DR",S4352)),"DR Germany",
ISNUMBER(SEARCH("Korea DPR",S4352)),"North Korea",
ISNUMBER(SEARCH("China PR",S4352)),"China",
ISNUMBER(SEARCH("IR Iran",S4352)),"Iran",
ISNUMBER(SEARCH("Congo DR",S4352)),"Democratic Republic of the Congo",
ISNUMBER(SEARCH("DR Congo",S4352)),"Democratic Republic of the Congo",
ISNUMBER(SEARCH("German DR",S4352)),"DR Germany",
ISNUMBER(SEARCH("rn""&gt;United Arab Emirates",S4352)),"United Arab Emirates",
ISNUMBER(SEARCH("rn""&gt;Republic of Ireland",S4352)),"Ireland",
ISNUMBER(SEARCH("rn""&gt;Bosnia and Herzegovina",S4352)),"Bosnia and Herzegovina",
ISNUMBER(SEARCH("rn""&gt;Trinidad and Tobago",S4352)),"Trinidad and Tobago",
ISNUMBER(SEARCH("rn""&gt;Serbia and Montenegro",S4352)),"Serbia and Montenegro",
ISNUMBER(SEARCH(_xlfn.UNICHAR(65533),S4352)),"Côte d'Ivoire",
TRUE,""
)</f>
        <v/>
      </c>
      <c r="W4352" s="40" t="str">
        <f t="shared" si="276"/>
        <v>Mexico</v>
      </c>
    </row>
    <row r="4353" spans="19:23">
      <c r="S4353" s="40" t="str">
        <v>Costa Rica</v>
      </c>
      <c r="T4353" s="40" t="str">
        <f t="shared" si="274"/>
        <v>OK</v>
      </c>
      <c r="U4353" s="40" t="str">
        <f t="shared" si="275"/>
        <v>-</v>
      </c>
      <c r="V4353" s="40" t="str" cm="1">
        <f t="array" ref="V4353">_xlfn.IFS(
ISNUMBER(SEARCH("USA",S4353)),"United States",
ISNUMBER(SEARCH("Republic of Ireland",S4353)),"Ireland",
ISNUMBER(SEARCH("Republic of Korea",S4353)),"South Korea",
ISNUMBER(SEARCH("Cape Verde",S4353)),"Cabo Verde",
ISNUMBER(SEARCH("Czechia",S4353)),"Czech Republic",
ISNUMBER(SEARCH("Türkiye",S4353)),"Turkey",
ISNUMBER(SEARCH("Ivory Coast",S4353)),"Côte d'Ivoire",
ISNUMBER(SEARCH("Korea Republic",S4353)),"South Korea",
ISNUMBER(SEARCH("Germany FR",S4353)),"FR Germany",
ISNUMBER(SEARCH("West Germany",S4353)),"FR Germany",
ISNUMBER(SEARCH("Germany DR",S4353)),"DR Germany",
ISNUMBER(SEARCH("Korea DPR",S4353)),"North Korea",
ISNUMBER(SEARCH("China PR",S4353)),"China",
ISNUMBER(SEARCH("IR Iran",S4353)),"Iran",
ISNUMBER(SEARCH("Congo DR",S4353)),"Democratic Republic of the Congo",
ISNUMBER(SEARCH("DR Congo",S4353)),"Democratic Republic of the Congo",
ISNUMBER(SEARCH("German DR",S4353)),"DR Germany",
ISNUMBER(SEARCH("rn""&gt;United Arab Emirates",S4353)),"United Arab Emirates",
ISNUMBER(SEARCH("rn""&gt;Republic of Ireland",S4353)),"Ireland",
ISNUMBER(SEARCH("rn""&gt;Bosnia and Herzegovina",S4353)),"Bosnia and Herzegovina",
ISNUMBER(SEARCH("rn""&gt;Trinidad and Tobago",S4353)),"Trinidad and Tobago",
ISNUMBER(SEARCH("rn""&gt;Serbia and Montenegro",S4353)),"Serbia and Montenegro",
ISNUMBER(SEARCH(_xlfn.UNICHAR(65533),S4353)),"Côte d'Ivoire",
TRUE,""
)</f>
        <v/>
      </c>
      <c r="W4353" s="40" t="str">
        <f t="shared" si="276"/>
        <v>Costa Rica</v>
      </c>
    </row>
    <row r="4354" spans="19:23">
      <c r="S4354" s="40" t="str">
        <v>Morocco</v>
      </c>
      <c r="T4354" s="40" t="str">
        <f t="shared" si="274"/>
        <v>OK</v>
      </c>
      <c r="U4354" s="40" t="str">
        <f t="shared" si="275"/>
        <v>-</v>
      </c>
      <c r="V4354" s="40" t="str" cm="1">
        <f t="array" ref="V4354">_xlfn.IFS(
ISNUMBER(SEARCH("USA",S4354)),"United States",
ISNUMBER(SEARCH("Republic of Ireland",S4354)),"Ireland",
ISNUMBER(SEARCH("Republic of Korea",S4354)),"South Korea",
ISNUMBER(SEARCH("Cape Verde",S4354)),"Cabo Verde",
ISNUMBER(SEARCH("Czechia",S4354)),"Czech Republic",
ISNUMBER(SEARCH("Türkiye",S4354)),"Turkey",
ISNUMBER(SEARCH("Ivory Coast",S4354)),"Côte d'Ivoire",
ISNUMBER(SEARCH("Korea Republic",S4354)),"South Korea",
ISNUMBER(SEARCH("Germany FR",S4354)),"FR Germany",
ISNUMBER(SEARCH("West Germany",S4354)),"FR Germany",
ISNUMBER(SEARCH("Germany DR",S4354)),"DR Germany",
ISNUMBER(SEARCH("Korea DPR",S4354)),"North Korea",
ISNUMBER(SEARCH("China PR",S4354)),"China",
ISNUMBER(SEARCH("IR Iran",S4354)),"Iran",
ISNUMBER(SEARCH("Congo DR",S4354)),"Democratic Republic of the Congo",
ISNUMBER(SEARCH("DR Congo",S4354)),"Democratic Republic of the Congo",
ISNUMBER(SEARCH("German DR",S4354)),"DR Germany",
ISNUMBER(SEARCH("rn""&gt;United Arab Emirates",S4354)),"United Arab Emirates",
ISNUMBER(SEARCH("rn""&gt;Republic of Ireland",S4354)),"Ireland",
ISNUMBER(SEARCH("rn""&gt;Bosnia and Herzegovina",S4354)),"Bosnia and Herzegovina",
ISNUMBER(SEARCH("rn""&gt;Trinidad and Tobago",S4354)),"Trinidad and Tobago",
ISNUMBER(SEARCH("rn""&gt;Serbia and Montenegro",S4354)),"Serbia and Montenegro",
ISNUMBER(SEARCH(_xlfn.UNICHAR(65533),S4354)),"Côte d'Ivoire",
TRUE,""
)</f>
        <v/>
      </c>
      <c r="W4354" s="40" t="str">
        <f t="shared" si="276"/>
        <v>Morocco</v>
      </c>
    </row>
    <row r="4355" spans="19:23">
      <c r="S4355" s="40" t="str">
        <v>Canada</v>
      </c>
      <c r="T4355" s="40" t="str">
        <f t="shared" ref="T4355:T4418" si="277">IF(COUNTIF(R$13:R$250,S4355)=1,"OK","ERREUR")</f>
        <v>OK</v>
      </c>
      <c r="U4355" s="40" t="str">
        <f t="shared" si="275"/>
        <v>-</v>
      </c>
      <c r="V4355" s="40" t="str" cm="1">
        <f t="array" ref="V4355">_xlfn.IFS(
ISNUMBER(SEARCH("USA",S4355)),"United States",
ISNUMBER(SEARCH("Republic of Ireland",S4355)),"Ireland",
ISNUMBER(SEARCH("Republic of Korea",S4355)),"South Korea",
ISNUMBER(SEARCH("Cape Verde",S4355)),"Cabo Verde",
ISNUMBER(SEARCH("Czechia",S4355)),"Czech Republic",
ISNUMBER(SEARCH("Türkiye",S4355)),"Turkey",
ISNUMBER(SEARCH("Ivory Coast",S4355)),"Côte d'Ivoire",
ISNUMBER(SEARCH("Korea Republic",S4355)),"South Korea",
ISNUMBER(SEARCH("Germany FR",S4355)),"FR Germany",
ISNUMBER(SEARCH("West Germany",S4355)),"FR Germany",
ISNUMBER(SEARCH("Germany DR",S4355)),"DR Germany",
ISNUMBER(SEARCH("Korea DPR",S4355)),"North Korea",
ISNUMBER(SEARCH("China PR",S4355)),"China",
ISNUMBER(SEARCH("IR Iran",S4355)),"Iran",
ISNUMBER(SEARCH("Congo DR",S4355)),"Democratic Republic of the Congo",
ISNUMBER(SEARCH("DR Congo",S4355)),"Democratic Republic of the Congo",
ISNUMBER(SEARCH("German DR",S4355)),"DR Germany",
ISNUMBER(SEARCH("rn""&gt;United Arab Emirates",S4355)),"United Arab Emirates",
ISNUMBER(SEARCH("rn""&gt;Republic of Ireland",S4355)),"Ireland",
ISNUMBER(SEARCH("rn""&gt;Bosnia and Herzegovina",S4355)),"Bosnia and Herzegovina",
ISNUMBER(SEARCH("rn""&gt;Trinidad and Tobago",S4355)),"Trinidad and Tobago",
ISNUMBER(SEARCH("rn""&gt;Serbia and Montenegro",S4355)),"Serbia and Montenegro",
ISNUMBER(SEARCH(_xlfn.UNICHAR(65533),S4355)),"Côte d'Ivoire",
TRUE,""
)</f>
        <v/>
      </c>
      <c r="W4355" s="40" t="str">
        <f t="shared" si="276"/>
        <v>Canada</v>
      </c>
    </row>
    <row r="4356" spans="19:23">
      <c r="S4356" s="40" t="str">
        <v>Germany</v>
      </c>
      <c r="T4356" s="40" t="str">
        <f t="shared" si="277"/>
        <v>OK</v>
      </c>
      <c r="U4356" s="40" t="str">
        <f t="shared" ref="U4356:U4419" si="278">IF(OR(S4356="Scotland",S4356="England",S4356="Wales",S4356="Yugoslavia",S4356="Czechoslovakia",S4356="Northern Ireland",S4356="Soviet Union",S4356="Zaire",S4356="Dutch East Indies"),"AUCUNE",IF(OR(S4356="Cape Verde",S4356="USA",S4356="DR Congo",S4356="Republic of Korea",S4356="Germany FR",S4356="Germany DR",S4356="Czechia",S4356="Ivory Coast",S4356="Korea DPR",S4356="China PR",S4356="IR Iran",S4356="Türkiye",S4356="Congo DR",S4356="German DR",S4356="West Germany",S4356="Republic of Ireland",ISNUMBER(SEARCH(_xlfn.UNICHAR(65533),S4356)),S4356="Korea Republic",ISNUMBER(SEARCH("rn""&gt;United Arab Emirates",S4356)),ISNUMBER(SEARCH("rn""&gt;Republic of Ireland",S4356)),ISNUMBER(SEARCH("rn""&gt;Bosnia and Herzegovina",S4356)),ISNUMBER(SEARCH("rn""&gt;Trinidad and Tobago",S4356)),ISNUMBER(SEARCH("rn""&gt;Serbia and Montenegro",S4356)),ISNUMBER(SEARCH(_xlfn.UNICHAR(65533),S4356))),"RENOMMER","-"))</f>
        <v>-</v>
      </c>
      <c r="V4356" s="40" t="str" cm="1">
        <f t="array" ref="V4356">_xlfn.IFS(
ISNUMBER(SEARCH("USA",S4356)),"United States",
ISNUMBER(SEARCH("Republic of Ireland",S4356)),"Ireland",
ISNUMBER(SEARCH("Republic of Korea",S4356)),"South Korea",
ISNUMBER(SEARCH("Cape Verde",S4356)),"Cabo Verde",
ISNUMBER(SEARCH("Czechia",S4356)),"Czech Republic",
ISNUMBER(SEARCH("Türkiye",S4356)),"Turkey",
ISNUMBER(SEARCH("Ivory Coast",S4356)),"Côte d'Ivoire",
ISNUMBER(SEARCH("Korea Republic",S4356)),"South Korea",
ISNUMBER(SEARCH("Germany FR",S4356)),"FR Germany",
ISNUMBER(SEARCH("West Germany",S4356)),"FR Germany",
ISNUMBER(SEARCH("Germany DR",S4356)),"DR Germany",
ISNUMBER(SEARCH("Korea DPR",S4356)),"North Korea",
ISNUMBER(SEARCH("China PR",S4356)),"China",
ISNUMBER(SEARCH("IR Iran",S4356)),"Iran",
ISNUMBER(SEARCH("Congo DR",S4356)),"Democratic Republic of the Congo",
ISNUMBER(SEARCH("DR Congo",S4356)),"Democratic Republic of the Congo",
ISNUMBER(SEARCH("German DR",S4356)),"DR Germany",
ISNUMBER(SEARCH("rn""&gt;United Arab Emirates",S4356)),"United Arab Emirates",
ISNUMBER(SEARCH("rn""&gt;Republic of Ireland",S4356)),"Ireland",
ISNUMBER(SEARCH("rn""&gt;Bosnia and Herzegovina",S4356)),"Bosnia and Herzegovina",
ISNUMBER(SEARCH("rn""&gt;Trinidad and Tobago",S4356)),"Trinidad and Tobago",
ISNUMBER(SEARCH("rn""&gt;Serbia and Montenegro",S4356)),"Serbia and Montenegro",
ISNUMBER(SEARCH(_xlfn.UNICHAR(65533),S4356)),"Côte d'Ivoire",
TRUE,""
)</f>
        <v/>
      </c>
      <c r="W4356" s="40" t="str">
        <f t="shared" ref="W4356:W4419" si="279">IF(V4356="",S4356,V4356)</f>
        <v>Germany</v>
      </c>
    </row>
    <row r="4357" spans="19:23">
      <c r="S4357" s="40" t="str">
        <v>Serbia</v>
      </c>
      <c r="T4357" s="40" t="str">
        <f t="shared" si="277"/>
        <v>OK</v>
      </c>
      <c r="U4357" s="40" t="str">
        <f t="shared" si="278"/>
        <v>-</v>
      </c>
      <c r="V4357" s="40" t="str" cm="1">
        <f t="array" ref="V4357">_xlfn.IFS(
ISNUMBER(SEARCH("USA",S4357)),"United States",
ISNUMBER(SEARCH("Republic of Ireland",S4357)),"Ireland",
ISNUMBER(SEARCH("Republic of Korea",S4357)),"South Korea",
ISNUMBER(SEARCH("Cape Verde",S4357)),"Cabo Verde",
ISNUMBER(SEARCH("Czechia",S4357)),"Czech Republic",
ISNUMBER(SEARCH("Türkiye",S4357)),"Turkey",
ISNUMBER(SEARCH("Ivory Coast",S4357)),"Côte d'Ivoire",
ISNUMBER(SEARCH("Korea Republic",S4357)),"South Korea",
ISNUMBER(SEARCH("Germany FR",S4357)),"FR Germany",
ISNUMBER(SEARCH("West Germany",S4357)),"FR Germany",
ISNUMBER(SEARCH("Germany DR",S4357)),"DR Germany",
ISNUMBER(SEARCH("Korea DPR",S4357)),"North Korea",
ISNUMBER(SEARCH("China PR",S4357)),"China",
ISNUMBER(SEARCH("IR Iran",S4357)),"Iran",
ISNUMBER(SEARCH("Congo DR",S4357)),"Democratic Republic of the Congo",
ISNUMBER(SEARCH("DR Congo",S4357)),"Democratic Republic of the Congo",
ISNUMBER(SEARCH("German DR",S4357)),"DR Germany",
ISNUMBER(SEARCH("rn""&gt;United Arab Emirates",S4357)),"United Arab Emirates",
ISNUMBER(SEARCH("rn""&gt;Republic of Ireland",S4357)),"Ireland",
ISNUMBER(SEARCH("rn""&gt;Bosnia and Herzegovina",S4357)),"Bosnia and Herzegovina",
ISNUMBER(SEARCH("rn""&gt;Trinidad and Tobago",S4357)),"Trinidad and Tobago",
ISNUMBER(SEARCH("rn""&gt;Serbia and Montenegro",S4357)),"Serbia and Montenegro",
ISNUMBER(SEARCH(_xlfn.UNICHAR(65533),S4357)),"Côte d'Ivoire",
TRUE,""
)</f>
        <v/>
      </c>
      <c r="W4357" s="40" t="str">
        <f t="shared" si="279"/>
        <v>Serbia</v>
      </c>
    </row>
    <row r="4358" spans="19:23">
      <c r="S4358" s="40" t="str">
        <v>Ghana</v>
      </c>
      <c r="T4358" s="40" t="str">
        <f t="shared" si="277"/>
        <v>OK</v>
      </c>
      <c r="U4358" s="40" t="str">
        <f t="shared" si="278"/>
        <v>-</v>
      </c>
      <c r="V4358" s="40" t="str" cm="1">
        <f t="array" ref="V4358">_xlfn.IFS(
ISNUMBER(SEARCH("USA",S4358)),"United States",
ISNUMBER(SEARCH("Republic of Ireland",S4358)),"Ireland",
ISNUMBER(SEARCH("Republic of Korea",S4358)),"South Korea",
ISNUMBER(SEARCH("Cape Verde",S4358)),"Cabo Verde",
ISNUMBER(SEARCH("Czechia",S4358)),"Czech Republic",
ISNUMBER(SEARCH("Türkiye",S4358)),"Turkey",
ISNUMBER(SEARCH("Ivory Coast",S4358)),"Côte d'Ivoire",
ISNUMBER(SEARCH("Korea Republic",S4358)),"South Korea",
ISNUMBER(SEARCH("Germany FR",S4358)),"FR Germany",
ISNUMBER(SEARCH("West Germany",S4358)),"FR Germany",
ISNUMBER(SEARCH("Germany DR",S4358)),"DR Germany",
ISNUMBER(SEARCH("Korea DPR",S4358)),"North Korea",
ISNUMBER(SEARCH("China PR",S4358)),"China",
ISNUMBER(SEARCH("IR Iran",S4358)),"Iran",
ISNUMBER(SEARCH("Congo DR",S4358)),"Democratic Republic of the Congo",
ISNUMBER(SEARCH("DR Congo",S4358)),"Democratic Republic of the Congo",
ISNUMBER(SEARCH("German DR",S4358)),"DR Germany",
ISNUMBER(SEARCH("rn""&gt;United Arab Emirates",S4358)),"United Arab Emirates",
ISNUMBER(SEARCH("rn""&gt;Republic of Ireland",S4358)),"Ireland",
ISNUMBER(SEARCH("rn""&gt;Bosnia and Herzegovina",S4358)),"Bosnia and Herzegovina",
ISNUMBER(SEARCH("rn""&gt;Trinidad and Tobago",S4358)),"Trinidad and Tobago",
ISNUMBER(SEARCH("rn""&gt;Serbia and Montenegro",S4358)),"Serbia and Montenegro",
ISNUMBER(SEARCH(_xlfn.UNICHAR(65533),S4358)),"Côte d'Ivoire",
TRUE,""
)</f>
        <v/>
      </c>
      <c r="W4358" s="40" t="str">
        <f t="shared" si="279"/>
        <v>Ghana</v>
      </c>
    </row>
    <row r="4359" spans="19:23">
      <c r="S4359" s="40" t="str">
        <v>Switzerland</v>
      </c>
      <c r="T4359" s="40" t="str">
        <f t="shared" si="277"/>
        <v>OK</v>
      </c>
      <c r="U4359" s="40" t="str">
        <f t="shared" si="278"/>
        <v>-</v>
      </c>
      <c r="V4359" s="40" t="str" cm="1">
        <f t="array" ref="V4359">_xlfn.IFS(
ISNUMBER(SEARCH("USA",S4359)),"United States",
ISNUMBER(SEARCH("Republic of Ireland",S4359)),"Ireland",
ISNUMBER(SEARCH("Republic of Korea",S4359)),"South Korea",
ISNUMBER(SEARCH("Cape Verde",S4359)),"Cabo Verde",
ISNUMBER(SEARCH("Czechia",S4359)),"Czech Republic",
ISNUMBER(SEARCH("Türkiye",S4359)),"Turkey",
ISNUMBER(SEARCH("Ivory Coast",S4359)),"Côte d'Ivoire",
ISNUMBER(SEARCH("Korea Republic",S4359)),"South Korea",
ISNUMBER(SEARCH("Germany FR",S4359)),"FR Germany",
ISNUMBER(SEARCH("West Germany",S4359)),"FR Germany",
ISNUMBER(SEARCH("Germany DR",S4359)),"DR Germany",
ISNUMBER(SEARCH("Korea DPR",S4359)),"North Korea",
ISNUMBER(SEARCH("China PR",S4359)),"China",
ISNUMBER(SEARCH("IR Iran",S4359)),"Iran",
ISNUMBER(SEARCH("Congo DR",S4359)),"Democratic Republic of the Congo",
ISNUMBER(SEARCH("DR Congo",S4359)),"Democratic Republic of the Congo",
ISNUMBER(SEARCH("German DR",S4359)),"DR Germany",
ISNUMBER(SEARCH("rn""&gt;United Arab Emirates",S4359)),"United Arab Emirates",
ISNUMBER(SEARCH("rn""&gt;Republic of Ireland",S4359)),"Ireland",
ISNUMBER(SEARCH("rn""&gt;Bosnia and Herzegovina",S4359)),"Bosnia and Herzegovina",
ISNUMBER(SEARCH("rn""&gt;Trinidad and Tobago",S4359)),"Trinidad and Tobago",
ISNUMBER(SEARCH("rn""&gt;Serbia and Montenegro",S4359)),"Serbia and Montenegro",
ISNUMBER(SEARCH(_xlfn.UNICHAR(65533),S4359)),"Côte d'Ivoire",
TRUE,""
)</f>
        <v/>
      </c>
      <c r="W4359" s="40" t="str">
        <f t="shared" si="279"/>
        <v>Switzerland</v>
      </c>
    </row>
    <row r="4360" spans="19:23">
      <c r="S4360" s="40" t="str">
        <v>Uruguay</v>
      </c>
      <c r="T4360" s="40" t="str">
        <f t="shared" si="277"/>
        <v>OK</v>
      </c>
      <c r="U4360" s="40" t="str">
        <f t="shared" si="278"/>
        <v>-</v>
      </c>
      <c r="V4360" s="40" t="str" cm="1">
        <f t="array" ref="V4360">_xlfn.IFS(
ISNUMBER(SEARCH("USA",S4360)),"United States",
ISNUMBER(SEARCH("Republic of Ireland",S4360)),"Ireland",
ISNUMBER(SEARCH("Republic of Korea",S4360)),"South Korea",
ISNUMBER(SEARCH("Cape Verde",S4360)),"Cabo Verde",
ISNUMBER(SEARCH("Czechia",S4360)),"Czech Republic",
ISNUMBER(SEARCH("Türkiye",S4360)),"Turkey",
ISNUMBER(SEARCH("Ivory Coast",S4360)),"Côte d'Ivoire",
ISNUMBER(SEARCH("Korea Republic",S4360)),"South Korea",
ISNUMBER(SEARCH("Germany FR",S4360)),"FR Germany",
ISNUMBER(SEARCH("West Germany",S4360)),"FR Germany",
ISNUMBER(SEARCH("Germany DR",S4360)),"DR Germany",
ISNUMBER(SEARCH("Korea DPR",S4360)),"North Korea",
ISNUMBER(SEARCH("China PR",S4360)),"China",
ISNUMBER(SEARCH("IR Iran",S4360)),"Iran",
ISNUMBER(SEARCH("Congo DR",S4360)),"Democratic Republic of the Congo",
ISNUMBER(SEARCH("DR Congo",S4360)),"Democratic Republic of the Congo",
ISNUMBER(SEARCH("German DR",S4360)),"DR Germany",
ISNUMBER(SEARCH("rn""&gt;United Arab Emirates",S4360)),"United Arab Emirates",
ISNUMBER(SEARCH("rn""&gt;Republic of Ireland",S4360)),"Ireland",
ISNUMBER(SEARCH("rn""&gt;Bosnia and Herzegovina",S4360)),"Bosnia and Herzegovina",
ISNUMBER(SEARCH("rn""&gt;Trinidad and Tobago",S4360)),"Trinidad and Tobago",
ISNUMBER(SEARCH("rn""&gt;Serbia and Montenegro",S4360)),"Serbia and Montenegro",
ISNUMBER(SEARCH(_xlfn.UNICHAR(65533),S4360)),"Côte d'Ivoire",
TRUE,""
)</f>
        <v/>
      </c>
      <c r="W4360" s="40" t="str">
        <f t="shared" si="279"/>
        <v>Uruguay</v>
      </c>
    </row>
    <row r="4361" spans="19:23">
      <c r="S4361" s="40" t="str">
        <v>Senegal</v>
      </c>
      <c r="T4361" s="40" t="str">
        <f t="shared" si="277"/>
        <v>OK</v>
      </c>
      <c r="U4361" s="40" t="str">
        <f t="shared" si="278"/>
        <v>-</v>
      </c>
      <c r="V4361" s="40" t="str" cm="1">
        <f t="array" ref="V4361">_xlfn.IFS(
ISNUMBER(SEARCH("USA",S4361)),"United States",
ISNUMBER(SEARCH("Republic of Ireland",S4361)),"Ireland",
ISNUMBER(SEARCH("Republic of Korea",S4361)),"South Korea",
ISNUMBER(SEARCH("Cape Verde",S4361)),"Cabo Verde",
ISNUMBER(SEARCH("Czechia",S4361)),"Czech Republic",
ISNUMBER(SEARCH("Türkiye",S4361)),"Turkey",
ISNUMBER(SEARCH("Ivory Coast",S4361)),"Côte d'Ivoire",
ISNUMBER(SEARCH("Korea Republic",S4361)),"South Korea",
ISNUMBER(SEARCH("Germany FR",S4361)),"FR Germany",
ISNUMBER(SEARCH("West Germany",S4361)),"FR Germany",
ISNUMBER(SEARCH("Germany DR",S4361)),"DR Germany",
ISNUMBER(SEARCH("Korea DPR",S4361)),"North Korea",
ISNUMBER(SEARCH("China PR",S4361)),"China",
ISNUMBER(SEARCH("IR Iran",S4361)),"Iran",
ISNUMBER(SEARCH("Congo DR",S4361)),"Democratic Republic of the Congo",
ISNUMBER(SEARCH("DR Congo",S4361)),"Democratic Republic of the Congo",
ISNUMBER(SEARCH("German DR",S4361)),"DR Germany",
ISNUMBER(SEARCH("rn""&gt;United Arab Emirates",S4361)),"United Arab Emirates",
ISNUMBER(SEARCH("rn""&gt;Republic of Ireland",S4361)),"Ireland",
ISNUMBER(SEARCH("rn""&gt;Bosnia and Herzegovina",S4361)),"Bosnia and Herzegovina",
ISNUMBER(SEARCH("rn""&gt;Trinidad and Tobago",S4361)),"Trinidad and Tobago",
ISNUMBER(SEARCH("rn""&gt;Serbia and Montenegro",S4361)),"Serbia and Montenegro",
ISNUMBER(SEARCH(_xlfn.UNICHAR(65533),S4361)),"Côte d'Ivoire",
TRUE,""
)</f>
        <v/>
      </c>
      <c r="W4361" s="40" t="str">
        <f t="shared" si="279"/>
        <v>Senegal</v>
      </c>
    </row>
    <row r="4362" spans="19:23">
      <c r="S4362" s="40" t="str">
        <v>Qatar</v>
      </c>
      <c r="T4362" s="40" t="str">
        <f t="shared" si="277"/>
        <v>OK</v>
      </c>
      <c r="U4362" s="40" t="str">
        <f t="shared" si="278"/>
        <v>-</v>
      </c>
      <c r="V4362" s="40" t="str" cm="1">
        <f t="array" ref="V4362">_xlfn.IFS(
ISNUMBER(SEARCH("USA",S4362)),"United States",
ISNUMBER(SEARCH("Republic of Ireland",S4362)),"Ireland",
ISNUMBER(SEARCH("Republic of Korea",S4362)),"South Korea",
ISNUMBER(SEARCH("Cape Verde",S4362)),"Cabo Verde",
ISNUMBER(SEARCH("Czechia",S4362)),"Czech Republic",
ISNUMBER(SEARCH("Türkiye",S4362)),"Turkey",
ISNUMBER(SEARCH("Ivory Coast",S4362)),"Côte d'Ivoire",
ISNUMBER(SEARCH("Korea Republic",S4362)),"South Korea",
ISNUMBER(SEARCH("Germany FR",S4362)),"FR Germany",
ISNUMBER(SEARCH("West Germany",S4362)),"FR Germany",
ISNUMBER(SEARCH("Germany DR",S4362)),"DR Germany",
ISNUMBER(SEARCH("Korea DPR",S4362)),"North Korea",
ISNUMBER(SEARCH("China PR",S4362)),"China",
ISNUMBER(SEARCH("IR Iran",S4362)),"Iran",
ISNUMBER(SEARCH("Congo DR",S4362)),"Democratic Republic of the Congo",
ISNUMBER(SEARCH("DR Congo",S4362)),"Democratic Republic of the Congo",
ISNUMBER(SEARCH("German DR",S4362)),"DR Germany",
ISNUMBER(SEARCH("rn""&gt;United Arab Emirates",S4362)),"United Arab Emirates",
ISNUMBER(SEARCH("rn""&gt;Republic of Ireland",S4362)),"Ireland",
ISNUMBER(SEARCH("rn""&gt;Bosnia and Herzegovina",S4362)),"Bosnia and Herzegovina",
ISNUMBER(SEARCH("rn""&gt;Trinidad and Tobago",S4362)),"Trinidad and Tobago",
ISNUMBER(SEARCH("rn""&gt;Serbia and Montenegro",S4362)),"Serbia and Montenegro",
ISNUMBER(SEARCH(_xlfn.UNICHAR(65533),S4362)),"Côte d'Ivoire",
TRUE,""
)</f>
        <v/>
      </c>
      <c r="W4362" s="40" t="str">
        <f t="shared" si="279"/>
        <v>Qatar</v>
      </c>
    </row>
    <row r="4363" spans="19:23">
      <c r="S4363" s="40" t="str">
        <v>United States</v>
      </c>
      <c r="T4363" s="40" t="str">
        <f t="shared" si="277"/>
        <v>OK</v>
      </c>
      <c r="U4363" s="40" t="str">
        <f t="shared" si="278"/>
        <v>-</v>
      </c>
      <c r="V4363" s="40" t="str" cm="1">
        <f t="array" ref="V4363">_xlfn.IFS(
ISNUMBER(SEARCH("USA",S4363)),"United States",
ISNUMBER(SEARCH("Republic of Ireland",S4363)),"Ireland",
ISNUMBER(SEARCH("Republic of Korea",S4363)),"South Korea",
ISNUMBER(SEARCH("Cape Verde",S4363)),"Cabo Verde",
ISNUMBER(SEARCH("Czechia",S4363)),"Czech Republic",
ISNUMBER(SEARCH("Türkiye",S4363)),"Turkey",
ISNUMBER(SEARCH("Ivory Coast",S4363)),"Côte d'Ivoire",
ISNUMBER(SEARCH("Korea Republic",S4363)),"South Korea",
ISNUMBER(SEARCH("Germany FR",S4363)),"FR Germany",
ISNUMBER(SEARCH("West Germany",S4363)),"FR Germany",
ISNUMBER(SEARCH("Germany DR",S4363)),"DR Germany",
ISNUMBER(SEARCH("Korea DPR",S4363)),"North Korea",
ISNUMBER(SEARCH("China PR",S4363)),"China",
ISNUMBER(SEARCH("IR Iran",S4363)),"Iran",
ISNUMBER(SEARCH("Congo DR",S4363)),"Democratic Republic of the Congo",
ISNUMBER(SEARCH("DR Congo",S4363)),"Democratic Republic of the Congo",
ISNUMBER(SEARCH("German DR",S4363)),"DR Germany",
ISNUMBER(SEARCH("rn""&gt;United Arab Emirates",S4363)),"United Arab Emirates",
ISNUMBER(SEARCH("rn""&gt;Republic of Ireland",S4363)),"Ireland",
ISNUMBER(SEARCH("rn""&gt;Bosnia and Herzegovina",S4363)),"Bosnia and Herzegovina",
ISNUMBER(SEARCH("rn""&gt;Trinidad and Tobago",S4363)),"Trinidad and Tobago",
ISNUMBER(SEARCH("rn""&gt;Serbia and Montenegro",S4363)),"Serbia and Montenegro",
ISNUMBER(SEARCH(_xlfn.UNICHAR(65533),S4363)),"Côte d'Ivoire",
TRUE,""
)</f>
        <v/>
      </c>
      <c r="W4363" s="40" t="str">
        <f t="shared" si="279"/>
        <v>United States</v>
      </c>
    </row>
    <row r="4364" spans="19:23">
      <c r="S4364" s="40" t="str">
        <v>England</v>
      </c>
      <c r="T4364" s="40" t="str">
        <f t="shared" si="277"/>
        <v>ERREUR</v>
      </c>
      <c r="U4364" s="40" t="str">
        <f t="shared" si="278"/>
        <v>AUCUNE</v>
      </c>
      <c r="V4364" s="40" t="str" cm="1">
        <f t="array" ref="V4364">_xlfn.IFS(
ISNUMBER(SEARCH("USA",S4364)),"United States",
ISNUMBER(SEARCH("Republic of Ireland",S4364)),"Ireland",
ISNUMBER(SEARCH("Republic of Korea",S4364)),"South Korea",
ISNUMBER(SEARCH("Cape Verde",S4364)),"Cabo Verde",
ISNUMBER(SEARCH("Czechia",S4364)),"Czech Republic",
ISNUMBER(SEARCH("Türkiye",S4364)),"Turkey",
ISNUMBER(SEARCH("Ivory Coast",S4364)),"Côte d'Ivoire",
ISNUMBER(SEARCH("Korea Republic",S4364)),"South Korea",
ISNUMBER(SEARCH("Germany FR",S4364)),"FR Germany",
ISNUMBER(SEARCH("West Germany",S4364)),"FR Germany",
ISNUMBER(SEARCH("Germany DR",S4364)),"DR Germany",
ISNUMBER(SEARCH("Korea DPR",S4364)),"North Korea",
ISNUMBER(SEARCH("China PR",S4364)),"China",
ISNUMBER(SEARCH("IR Iran",S4364)),"Iran",
ISNUMBER(SEARCH("Congo DR",S4364)),"Democratic Republic of the Congo",
ISNUMBER(SEARCH("DR Congo",S4364)),"Democratic Republic of the Congo",
ISNUMBER(SEARCH("German DR",S4364)),"DR Germany",
ISNUMBER(SEARCH("rn""&gt;United Arab Emirates",S4364)),"United Arab Emirates",
ISNUMBER(SEARCH("rn""&gt;Republic of Ireland",S4364)),"Ireland",
ISNUMBER(SEARCH("rn""&gt;Bosnia and Herzegovina",S4364)),"Bosnia and Herzegovina",
ISNUMBER(SEARCH("rn""&gt;Trinidad and Tobago",S4364)),"Trinidad and Tobago",
ISNUMBER(SEARCH("rn""&gt;Serbia and Montenegro",S4364)),"Serbia and Montenegro",
ISNUMBER(SEARCH(_xlfn.UNICHAR(65533),S4364)),"Côte d'Ivoire",
TRUE,""
)</f>
        <v/>
      </c>
      <c r="W4364" s="40" t="str">
        <f t="shared" si="279"/>
        <v>England</v>
      </c>
    </row>
    <row r="4365" spans="19:23">
      <c r="S4365" s="40" t="str">
        <v>Denmark</v>
      </c>
      <c r="T4365" s="40" t="str">
        <f t="shared" si="277"/>
        <v>OK</v>
      </c>
      <c r="U4365" s="40" t="str">
        <f t="shared" si="278"/>
        <v>-</v>
      </c>
      <c r="V4365" s="40" t="str" cm="1">
        <f t="array" ref="V4365">_xlfn.IFS(
ISNUMBER(SEARCH("USA",S4365)),"United States",
ISNUMBER(SEARCH("Republic of Ireland",S4365)),"Ireland",
ISNUMBER(SEARCH("Republic of Korea",S4365)),"South Korea",
ISNUMBER(SEARCH("Cape Verde",S4365)),"Cabo Verde",
ISNUMBER(SEARCH("Czechia",S4365)),"Czech Republic",
ISNUMBER(SEARCH("Türkiye",S4365)),"Turkey",
ISNUMBER(SEARCH("Ivory Coast",S4365)),"Côte d'Ivoire",
ISNUMBER(SEARCH("Korea Republic",S4365)),"South Korea",
ISNUMBER(SEARCH("Germany FR",S4365)),"FR Germany",
ISNUMBER(SEARCH("West Germany",S4365)),"FR Germany",
ISNUMBER(SEARCH("Germany DR",S4365)),"DR Germany",
ISNUMBER(SEARCH("Korea DPR",S4365)),"North Korea",
ISNUMBER(SEARCH("China PR",S4365)),"China",
ISNUMBER(SEARCH("IR Iran",S4365)),"Iran",
ISNUMBER(SEARCH("Congo DR",S4365)),"Democratic Republic of the Congo",
ISNUMBER(SEARCH("DR Congo",S4365)),"Democratic Republic of the Congo",
ISNUMBER(SEARCH("German DR",S4365)),"DR Germany",
ISNUMBER(SEARCH("rn""&gt;United Arab Emirates",S4365)),"United Arab Emirates",
ISNUMBER(SEARCH("rn""&gt;Republic of Ireland",S4365)),"Ireland",
ISNUMBER(SEARCH("rn""&gt;Bosnia and Herzegovina",S4365)),"Bosnia and Herzegovina",
ISNUMBER(SEARCH("rn""&gt;Trinidad and Tobago",S4365)),"Trinidad and Tobago",
ISNUMBER(SEARCH("rn""&gt;Serbia and Montenegro",S4365)),"Serbia and Montenegro",
ISNUMBER(SEARCH(_xlfn.UNICHAR(65533),S4365)),"Côte d'Ivoire",
TRUE,""
)</f>
        <v/>
      </c>
      <c r="W4365" s="40" t="str">
        <f t="shared" si="279"/>
        <v>Denmark</v>
      </c>
    </row>
    <row r="4366" spans="19:23">
      <c r="S4366" s="40" t="str">
        <v>France</v>
      </c>
      <c r="T4366" s="40" t="str">
        <f t="shared" si="277"/>
        <v>OK</v>
      </c>
      <c r="U4366" s="40" t="str">
        <f t="shared" si="278"/>
        <v>-</v>
      </c>
      <c r="V4366" s="40" t="str" cm="1">
        <f t="array" ref="V4366">_xlfn.IFS(
ISNUMBER(SEARCH("USA",S4366)),"United States",
ISNUMBER(SEARCH("Republic of Ireland",S4366)),"Ireland",
ISNUMBER(SEARCH("Republic of Korea",S4366)),"South Korea",
ISNUMBER(SEARCH("Cape Verde",S4366)),"Cabo Verde",
ISNUMBER(SEARCH("Czechia",S4366)),"Czech Republic",
ISNUMBER(SEARCH("Türkiye",S4366)),"Turkey",
ISNUMBER(SEARCH("Ivory Coast",S4366)),"Côte d'Ivoire",
ISNUMBER(SEARCH("Korea Republic",S4366)),"South Korea",
ISNUMBER(SEARCH("Germany FR",S4366)),"FR Germany",
ISNUMBER(SEARCH("West Germany",S4366)),"FR Germany",
ISNUMBER(SEARCH("Germany DR",S4366)),"DR Germany",
ISNUMBER(SEARCH("Korea DPR",S4366)),"North Korea",
ISNUMBER(SEARCH("China PR",S4366)),"China",
ISNUMBER(SEARCH("IR Iran",S4366)),"Iran",
ISNUMBER(SEARCH("Congo DR",S4366)),"Democratic Republic of the Congo",
ISNUMBER(SEARCH("DR Congo",S4366)),"Democratic Republic of the Congo",
ISNUMBER(SEARCH("German DR",S4366)),"DR Germany",
ISNUMBER(SEARCH("rn""&gt;United Arab Emirates",S4366)),"United Arab Emirates",
ISNUMBER(SEARCH("rn""&gt;Republic of Ireland",S4366)),"Ireland",
ISNUMBER(SEARCH("rn""&gt;Bosnia and Herzegovina",S4366)),"Bosnia and Herzegovina",
ISNUMBER(SEARCH("rn""&gt;Trinidad and Tobago",S4366)),"Trinidad and Tobago",
ISNUMBER(SEARCH("rn""&gt;Serbia and Montenegro",S4366)),"Serbia and Montenegro",
ISNUMBER(SEARCH(_xlfn.UNICHAR(65533),S4366)),"Côte d'Ivoire",
TRUE,""
)</f>
        <v/>
      </c>
      <c r="W4366" s="40" t="str">
        <f t="shared" si="279"/>
        <v>France</v>
      </c>
    </row>
    <row r="4367" spans="19:23">
      <c r="S4367" s="40" t="str">
        <v>Argentina</v>
      </c>
      <c r="T4367" s="40" t="str">
        <f t="shared" si="277"/>
        <v>OK</v>
      </c>
      <c r="U4367" s="40" t="str">
        <f t="shared" si="278"/>
        <v>-</v>
      </c>
      <c r="V4367" s="40" t="str" cm="1">
        <f t="array" ref="V4367">_xlfn.IFS(
ISNUMBER(SEARCH("USA",S4367)),"United States",
ISNUMBER(SEARCH("Republic of Ireland",S4367)),"Ireland",
ISNUMBER(SEARCH("Republic of Korea",S4367)),"South Korea",
ISNUMBER(SEARCH("Cape Verde",S4367)),"Cabo Verde",
ISNUMBER(SEARCH("Czechia",S4367)),"Czech Republic",
ISNUMBER(SEARCH("Türkiye",S4367)),"Turkey",
ISNUMBER(SEARCH("Ivory Coast",S4367)),"Côte d'Ivoire",
ISNUMBER(SEARCH("Korea Republic",S4367)),"South Korea",
ISNUMBER(SEARCH("Germany FR",S4367)),"FR Germany",
ISNUMBER(SEARCH("West Germany",S4367)),"FR Germany",
ISNUMBER(SEARCH("Germany DR",S4367)),"DR Germany",
ISNUMBER(SEARCH("Korea DPR",S4367)),"North Korea",
ISNUMBER(SEARCH("China PR",S4367)),"China",
ISNUMBER(SEARCH("IR Iran",S4367)),"Iran",
ISNUMBER(SEARCH("Congo DR",S4367)),"Democratic Republic of the Congo",
ISNUMBER(SEARCH("DR Congo",S4367)),"Democratic Republic of the Congo",
ISNUMBER(SEARCH("German DR",S4367)),"DR Germany",
ISNUMBER(SEARCH("rn""&gt;United Arab Emirates",S4367)),"United Arab Emirates",
ISNUMBER(SEARCH("rn""&gt;Republic of Ireland",S4367)),"Ireland",
ISNUMBER(SEARCH("rn""&gt;Bosnia and Herzegovina",S4367)),"Bosnia and Herzegovina",
ISNUMBER(SEARCH("rn""&gt;Trinidad and Tobago",S4367)),"Trinidad and Tobago",
ISNUMBER(SEARCH("rn""&gt;Serbia and Montenegro",S4367)),"Serbia and Montenegro",
ISNUMBER(SEARCH(_xlfn.UNICHAR(65533),S4367)),"Côte d'Ivoire",
TRUE,""
)</f>
        <v/>
      </c>
      <c r="W4367" s="40" t="str">
        <f t="shared" si="279"/>
        <v>Argentina</v>
      </c>
    </row>
    <row r="4368" spans="19:23">
      <c r="S4368" s="40" t="str">
        <v>Mexico</v>
      </c>
      <c r="T4368" s="40" t="str">
        <f t="shared" si="277"/>
        <v>OK</v>
      </c>
      <c r="U4368" s="40" t="str">
        <f t="shared" si="278"/>
        <v>-</v>
      </c>
      <c r="V4368" s="40" t="str" cm="1">
        <f t="array" ref="V4368">_xlfn.IFS(
ISNUMBER(SEARCH("USA",S4368)),"United States",
ISNUMBER(SEARCH("Republic of Ireland",S4368)),"Ireland",
ISNUMBER(SEARCH("Republic of Korea",S4368)),"South Korea",
ISNUMBER(SEARCH("Cape Verde",S4368)),"Cabo Verde",
ISNUMBER(SEARCH("Czechia",S4368)),"Czech Republic",
ISNUMBER(SEARCH("Türkiye",S4368)),"Turkey",
ISNUMBER(SEARCH("Ivory Coast",S4368)),"Côte d'Ivoire",
ISNUMBER(SEARCH("Korea Republic",S4368)),"South Korea",
ISNUMBER(SEARCH("Germany FR",S4368)),"FR Germany",
ISNUMBER(SEARCH("West Germany",S4368)),"FR Germany",
ISNUMBER(SEARCH("Germany DR",S4368)),"DR Germany",
ISNUMBER(SEARCH("Korea DPR",S4368)),"North Korea",
ISNUMBER(SEARCH("China PR",S4368)),"China",
ISNUMBER(SEARCH("IR Iran",S4368)),"Iran",
ISNUMBER(SEARCH("Congo DR",S4368)),"Democratic Republic of the Congo",
ISNUMBER(SEARCH("DR Congo",S4368)),"Democratic Republic of the Congo",
ISNUMBER(SEARCH("German DR",S4368)),"DR Germany",
ISNUMBER(SEARCH("rn""&gt;United Arab Emirates",S4368)),"United Arab Emirates",
ISNUMBER(SEARCH("rn""&gt;Republic of Ireland",S4368)),"Ireland",
ISNUMBER(SEARCH("rn""&gt;Bosnia and Herzegovina",S4368)),"Bosnia and Herzegovina",
ISNUMBER(SEARCH("rn""&gt;Trinidad and Tobago",S4368)),"Trinidad and Tobago",
ISNUMBER(SEARCH("rn""&gt;Serbia and Montenegro",S4368)),"Serbia and Montenegro",
ISNUMBER(SEARCH(_xlfn.UNICHAR(65533),S4368)),"Côte d'Ivoire",
TRUE,""
)</f>
        <v/>
      </c>
      <c r="W4368" s="40" t="str">
        <f t="shared" si="279"/>
        <v>Mexico</v>
      </c>
    </row>
    <row r="4369" spans="19:23">
      <c r="S4369" s="40" t="str">
        <v>Morocco</v>
      </c>
      <c r="T4369" s="40" t="str">
        <f t="shared" si="277"/>
        <v>OK</v>
      </c>
      <c r="U4369" s="40" t="str">
        <f t="shared" si="278"/>
        <v>-</v>
      </c>
      <c r="V4369" s="40" t="str" cm="1">
        <f t="array" ref="V4369">_xlfn.IFS(
ISNUMBER(SEARCH("USA",S4369)),"United States",
ISNUMBER(SEARCH("Republic of Ireland",S4369)),"Ireland",
ISNUMBER(SEARCH("Republic of Korea",S4369)),"South Korea",
ISNUMBER(SEARCH("Cape Verde",S4369)),"Cabo Verde",
ISNUMBER(SEARCH("Czechia",S4369)),"Czech Republic",
ISNUMBER(SEARCH("Türkiye",S4369)),"Turkey",
ISNUMBER(SEARCH("Ivory Coast",S4369)),"Côte d'Ivoire",
ISNUMBER(SEARCH("Korea Republic",S4369)),"South Korea",
ISNUMBER(SEARCH("Germany FR",S4369)),"FR Germany",
ISNUMBER(SEARCH("West Germany",S4369)),"FR Germany",
ISNUMBER(SEARCH("Germany DR",S4369)),"DR Germany",
ISNUMBER(SEARCH("Korea DPR",S4369)),"North Korea",
ISNUMBER(SEARCH("China PR",S4369)),"China",
ISNUMBER(SEARCH("IR Iran",S4369)),"Iran",
ISNUMBER(SEARCH("Congo DR",S4369)),"Democratic Republic of the Congo",
ISNUMBER(SEARCH("DR Congo",S4369)),"Democratic Republic of the Congo",
ISNUMBER(SEARCH("German DR",S4369)),"DR Germany",
ISNUMBER(SEARCH("rn""&gt;United Arab Emirates",S4369)),"United Arab Emirates",
ISNUMBER(SEARCH("rn""&gt;Republic of Ireland",S4369)),"Ireland",
ISNUMBER(SEARCH("rn""&gt;Bosnia and Herzegovina",S4369)),"Bosnia and Herzegovina",
ISNUMBER(SEARCH("rn""&gt;Trinidad and Tobago",S4369)),"Trinidad and Tobago",
ISNUMBER(SEARCH("rn""&gt;Serbia and Montenegro",S4369)),"Serbia and Montenegro",
ISNUMBER(SEARCH(_xlfn.UNICHAR(65533),S4369)),"Côte d'Ivoire",
TRUE,""
)</f>
        <v/>
      </c>
      <c r="W4369" s="40" t="str">
        <f t="shared" si="279"/>
        <v>Morocco</v>
      </c>
    </row>
    <row r="4370" spans="19:23">
      <c r="S4370" s="40" t="str">
        <v>Belgium</v>
      </c>
      <c r="T4370" s="40" t="str">
        <f t="shared" si="277"/>
        <v>OK</v>
      </c>
      <c r="U4370" s="40" t="str">
        <f t="shared" si="278"/>
        <v>-</v>
      </c>
      <c r="V4370" s="40" t="str" cm="1">
        <f t="array" ref="V4370">_xlfn.IFS(
ISNUMBER(SEARCH("USA",S4370)),"United States",
ISNUMBER(SEARCH("Republic of Ireland",S4370)),"Ireland",
ISNUMBER(SEARCH("Republic of Korea",S4370)),"South Korea",
ISNUMBER(SEARCH("Cape Verde",S4370)),"Cabo Verde",
ISNUMBER(SEARCH("Czechia",S4370)),"Czech Republic",
ISNUMBER(SEARCH("Türkiye",S4370)),"Turkey",
ISNUMBER(SEARCH("Ivory Coast",S4370)),"Côte d'Ivoire",
ISNUMBER(SEARCH("Korea Republic",S4370)),"South Korea",
ISNUMBER(SEARCH("Germany FR",S4370)),"FR Germany",
ISNUMBER(SEARCH("West Germany",S4370)),"FR Germany",
ISNUMBER(SEARCH("Germany DR",S4370)),"DR Germany",
ISNUMBER(SEARCH("Korea DPR",S4370)),"North Korea",
ISNUMBER(SEARCH("China PR",S4370)),"China",
ISNUMBER(SEARCH("IR Iran",S4370)),"Iran",
ISNUMBER(SEARCH("Congo DR",S4370)),"Democratic Republic of the Congo",
ISNUMBER(SEARCH("DR Congo",S4370)),"Democratic Republic of the Congo",
ISNUMBER(SEARCH("German DR",S4370)),"DR Germany",
ISNUMBER(SEARCH("rn""&gt;United Arab Emirates",S4370)),"United Arab Emirates",
ISNUMBER(SEARCH("rn""&gt;Republic of Ireland",S4370)),"Ireland",
ISNUMBER(SEARCH("rn""&gt;Bosnia and Herzegovina",S4370)),"Bosnia and Herzegovina",
ISNUMBER(SEARCH("rn""&gt;Trinidad and Tobago",S4370)),"Trinidad and Tobago",
ISNUMBER(SEARCH("rn""&gt;Serbia and Montenegro",S4370)),"Serbia and Montenegro",
ISNUMBER(SEARCH(_xlfn.UNICHAR(65533),S4370)),"Côte d'Ivoire",
TRUE,""
)</f>
        <v/>
      </c>
      <c r="W4370" s="40" t="str">
        <f t="shared" si="279"/>
        <v>Belgium</v>
      </c>
    </row>
    <row r="4371" spans="19:23">
      <c r="S4371" s="40" t="str">
        <v>Germany</v>
      </c>
      <c r="T4371" s="40" t="str">
        <f t="shared" si="277"/>
        <v>OK</v>
      </c>
      <c r="U4371" s="40" t="str">
        <f t="shared" si="278"/>
        <v>-</v>
      </c>
      <c r="V4371" s="40" t="str" cm="1">
        <f t="array" ref="V4371">_xlfn.IFS(
ISNUMBER(SEARCH("USA",S4371)),"United States",
ISNUMBER(SEARCH("Republic of Ireland",S4371)),"Ireland",
ISNUMBER(SEARCH("Republic of Korea",S4371)),"South Korea",
ISNUMBER(SEARCH("Cape Verde",S4371)),"Cabo Verde",
ISNUMBER(SEARCH("Czechia",S4371)),"Czech Republic",
ISNUMBER(SEARCH("Türkiye",S4371)),"Turkey",
ISNUMBER(SEARCH("Ivory Coast",S4371)),"Côte d'Ivoire",
ISNUMBER(SEARCH("Korea Republic",S4371)),"South Korea",
ISNUMBER(SEARCH("Germany FR",S4371)),"FR Germany",
ISNUMBER(SEARCH("West Germany",S4371)),"FR Germany",
ISNUMBER(SEARCH("Germany DR",S4371)),"DR Germany",
ISNUMBER(SEARCH("Korea DPR",S4371)),"North Korea",
ISNUMBER(SEARCH("China PR",S4371)),"China",
ISNUMBER(SEARCH("IR Iran",S4371)),"Iran",
ISNUMBER(SEARCH("Congo DR",S4371)),"Democratic Republic of the Congo",
ISNUMBER(SEARCH("DR Congo",S4371)),"Democratic Republic of the Congo",
ISNUMBER(SEARCH("German DR",S4371)),"DR Germany",
ISNUMBER(SEARCH("rn""&gt;United Arab Emirates",S4371)),"United Arab Emirates",
ISNUMBER(SEARCH("rn""&gt;Republic of Ireland",S4371)),"Ireland",
ISNUMBER(SEARCH("rn""&gt;Bosnia and Herzegovina",S4371)),"Bosnia and Herzegovina",
ISNUMBER(SEARCH("rn""&gt;Trinidad and Tobago",S4371)),"Trinidad and Tobago",
ISNUMBER(SEARCH("rn""&gt;Serbia and Montenegro",S4371)),"Serbia and Montenegro",
ISNUMBER(SEARCH(_xlfn.UNICHAR(65533),S4371)),"Côte d'Ivoire",
TRUE,""
)</f>
        <v/>
      </c>
      <c r="W4371" s="40" t="str">
        <f t="shared" si="279"/>
        <v>Germany</v>
      </c>
    </row>
    <row r="4372" spans="19:23">
      <c r="S4372" s="40" t="str">
        <v>Spain</v>
      </c>
      <c r="T4372" s="40" t="str">
        <f t="shared" si="277"/>
        <v>OK</v>
      </c>
      <c r="U4372" s="40" t="str">
        <f t="shared" si="278"/>
        <v>-</v>
      </c>
      <c r="V4372" s="40" t="str" cm="1">
        <f t="array" ref="V4372">_xlfn.IFS(
ISNUMBER(SEARCH("USA",S4372)),"United States",
ISNUMBER(SEARCH("Republic of Ireland",S4372)),"Ireland",
ISNUMBER(SEARCH("Republic of Korea",S4372)),"South Korea",
ISNUMBER(SEARCH("Cape Verde",S4372)),"Cabo Verde",
ISNUMBER(SEARCH("Czechia",S4372)),"Czech Republic",
ISNUMBER(SEARCH("Türkiye",S4372)),"Turkey",
ISNUMBER(SEARCH("Ivory Coast",S4372)),"Côte d'Ivoire",
ISNUMBER(SEARCH("Korea Republic",S4372)),"South Korea",
ISNUMBER(SEARCH("Germany FR",S4372)),"FR Germany",
ISNUMBER(SEARCH("West Germany",S4372)),"FR Germany",
ISNUMBER(SEARCH("Germany DR",S4372)),"DR Germany",
ISNUMBER(SEARCH("Korea DPR",S4372)),"North Korea",
ISNUMBER(SEARCH("China PR",S4372)),"China",
ISNUMBER(SEARCH("IR Iran",S4372)),"Iran",
ISNUMBER(SEARCH("Congo DR",S4372)),"Democratic Republic of the Congo",
ISNUMBER(SEARCH("DR Congo",S4372)),"Democratic Republic of the Congo",
ISNUMBER(SEARCH("German DR",S4372)),"DR Germany",
ISNUMBER(SEARCH("rn""&gt;United Arab Emirates",S4372)),"United Arab Emirates",
ISNUMBER(SEARCH("rn""&gt;Republic of Ireland",S4372)),"Ireland",
ISNUMBER(SEARCH("rn""&gt;Bosnia and Herzegovina",S4372)),"Bosnia and Herzegovina",
ISNUMBER(SEARCH("rn""&gt;Trinidad and Tobago",S4372)),"Trinidad and Tobago",
ISNUMBER(SEARCH("rn""&gt;Serbia and Montenegro",S4372)),"Serbia and Montenegro",
ISNUMBER(SEARCH(_xlfn.UNICHAR(65533),S4372)),"Côte d'Ivoire",
TRUE,""
)</f>
        <v/>
      </c>
      <c r="W4372" s="40" t="str">
        <f t="shared" si="279"/>
        <v>Spain</v>
      </c>
    </row>
    <row r="4373" spans="19:23">
      <c r="S4373" s="40" t="str">
        <v>Uruguay</v>
      </c>
      <c r="T4373" s="40" t="str">
        <f t="shared" si="277"/>
        <v>OK</v>
      </c>
      <c r="U4373" s="40" t="str">
        <f t="shared" si="278"/>
        <v>-</v>
      </c>
      <c r="V4373" s="40" t="str" cm="1">
        <f t="array" ref="V4373">_xlfn.IFS(
ISNUMBER(SEARCH("USA",S4373)),"United States",
ISNUMBER(SEARCH("Republic of Ireland",S4373)),"Ireland",
ISNUMBER(SEARCH("Republic of Korea",S4373)),"South Korea",
ISNUMBER(SEARCH("Cape Verde",S4373)),"Cabo Verde",
ISNUMBER(SEARCH("Czechia",S4373)),"Czech Republic",
ISNUMBER(SEARCH("Türkiye",S4373)),"Turkey",
ISNUMBER(SEARCH("Ivory Coast",S4373)),"Côte d'Ivoire",
ISNUMBER(SEARCH("Korea Republic",S4373)),"South Korea",
ISNUMBER(SEARCH("Germany FR",S4373)),"FR Germany",
ISNUMBER(SEARCH("West Germany",S4373)),"FR Germany",
ISNUMBER(SEARCH("Germany DR",S4373)),"DR Germany",
ISNUMBER(SEARCH("Korea DPR",S4373)),"North Korea",
ISNUMBER(SEARCH("China PR",S4373)),"China",
ISNUMBER(SEARCH("IR Iran",S4373)),"Iran",
ISNUMBER(SEARCH("Congo DR",S4373)),"Democratic Republic of the Congo",
ISNUMBER(SEARCH("DR Congo",S4373)),"Democratic Republic of the Congo",
ISNUMBER(SEARCH("German DR",S4373)),"DR Germany",
ISNUMBER(SEARCH("rn""&gt;United Arab Emirates",S4373)),"United Arab Emirates",
ISNUMBER(SEARCH("rn""&gt;Republic of Ireland",S4373)),"Ireland",
ISNUMBER(SEARCH("rn""&gt;Bosnia and Herzegovina",S4373)),"Bosnia and Herzegovina",
ISNUMBER(SEARCH("rn""&gt;Trinidad and Tobago",S4373)),"Trinidad and Tobago",
ISNUMBER(SEARCH("rn""&gt;Serbia and Montenegro",S4373)),"Serbia and Montenegro",
ISNUMBER(SEARCH(_xlfn.UNICHAR(65533),S4373)),"Côte d'Ivoire",
TRUE,""
)</f>
        <v/>
      </c>
      <c r="W4373" s="40" t="str">
        <f t="shared" si="279"/>
        <v>Uruguay</v>
      </c>
    </row>
    <row r="4374" spans="19:23">
      <c r="S4374" s="40" t="str">
        <v>Portugal</v>
      </c>
      <c r="T4374" s="40" t="str">
        <f t="shared" si="277"/>
        <v>OK</v>
      </c>
      <c r="U4374" s="40" t="str">
        <f t="shared" si="278"/>
        <v>-</v>
      </c>
      <c r="V4374" s="40" t="str" cm="1">
        <f t="array" ref="V4374">_xlfn.IFS(
ISNUMBER(SEARCH("USA",S4374)),"United States",
ISNUMBER(SEARCH("Republic of Ireland",S4374)),"Ireland",
ISNUMBER(SEARCH("Republic of Korea",S4374)),"South Korea",
ISNUMBER(SEARCH("Cape Verde",S4374)),"Cabo Verde",
ISNUMBER(SEARCH("Czechia",S4374)),"Czech Republic",
ISNUMBER(SEARCH("Türkiye",S4374)),"Turkey",
ISNUMBER(SEARCH("Ivory Coast",S4374)),"Côte d'Ivoire",
ISNUMBER(SEARCH("Korea Republic",S4374)),"South Korea",
ISNUMBER(SEARCH("Germany FR",S4374)),"FR Germany",
ISNUMBER(SEARCH("West Germany",S4374)),"FR Germany",
ISNUMBER(SEARCH("Germany DR",S4374)),"DR Germany",
ISNUMBER(SEARCH("Korea DPR",S4374)),"North Korea",
ISNUMBER(SEARCH("China PR",S4374)),"China",
ISNUMBER(SEARCH("IR Iran",S4374)),"Iran",
ISNUMBER(SEARCH("Congo DR",S4374)),"Democratic Republic of the Congo",
ISNUMBER(SEARCH("DR Congo",S4374)),"Democratic Republic of the Congo",
ISNUMBER(SEARCH("German DR",S4374)),"DR Germany",
ISNUMBER(SEARCH("rn""&gt;United Arab Emirates",S4374)),"United Arab Emirates",
ISNUMBER(SEARCH("rn""&gt;Republic of Ireland",S4374)),"Ireland",
ISNUMBER(SEARCH("rn""&gt;Bosnia and Herzegovina",S4374)),"Bosnia and Herzegovina",
ISNUMBER(SEARCH("rn""&gt;Trinidad and Tobago",S4374)),"Trinidad and Tobago",
ISNUMBER(SEARCH("rn""&gt;Serbia and Montenegro",S4374)),"Serbia and Montenegro",
ISNUMBER(SEARCH(_xlfn.UNICHAR(65533),S4374)),"Côte d'Ivoire",
TRUE,""
)</f>
        <v/>
      </c>
      <c r="W4374" s="40" t="str">
        <f t="shared" si="279"/>
        <v>Portugal</v>
      </c>
    </row>
    <row r="4375" spans="19:23">
      <c r="S4375" s="40" t="str">
        <v>Brazil</v>
      </c>
      <c r="T4375" s="40" t="str">
        <f t="shared" si="277"/>
        <v>OK</v>
      </c>
      <c r="U4375" s="40" t="str">
        <f t="shared" si="278"/>
        <v>-</v>
      </c>
      <c r="V4375" s="40" t="str" cm="1">
        <f t="array" ref="V4375">_xlfn.IFS(
ISNUMBER(SEARCH("USA",S4375)),"United States",
ISNUMBER(SEARCH("Republic of Ireland",S4375)),"Ireland",
ISNUMBER(SEARCH("Republic of Korea",S4375)),"South Korea",
ISNUMBER(SEARCH("Cape Verde",S4375)),"Cabo Verde",
ISNUMBER(SEARCH("Czechia",S4375)),"Czech Republic",
ISNUMBER(SEARCH("Türkiye",S4375)),"Turkey",
ISNUMBER(SEARCH("Ivory Coast",S4375)),"Côte d'Ivoire",
ISNUMBER(SEARCH("Korea Republic",S4375)),"South Korea",
ISNUMBER(SEARCH("Germany FR",S4375)),"FR Germany",
ISNUMBER(SEARCH("West Germany",S4375)),"FR Germany",
ISNUMBER(SEARCH("Germany DR",S4375)),"DR Germany",
ISNUMBER(SEARCH("Korea DPR",S4375)),"North Korea",
ISNUMBER(SEARCH("China PR",S4375)),"China",
ISNUMBER(SEARCH("IR Iran",S4375)),"Iran",
ISNUMBER(SEARCH("Congo DR",S4375)),"Democratic Republic of the Congo",
ISNUMBER(SEARCH("DR Congo",S4375)),"Democratic Republic of the Congo",
ISNUMBER(SEARCH("German DR",S4375)),"DR Germany",
ISNUMBER(SEARCH("rn""&gt;United Arab Emirates",S4375)),"United Arab Emirates",
ISNUMBER(SEARCH("rn""&gt;Republic of Ireland",S4375)),"Ireland",
ISNUMBER(SEARCH("rn""&gt;Bosnia and Herzegovina",S4375)),"Bosnia and Herzegovina",
ISNUMBER(SEARCH("rn""&gt;Trinidad and Tobago",S4375)),"Trinidad and Tobago",
ISNUMBER(SEARCH("rn""&gt;Serbia and Montenegro",S4375)),"Serbia and Montenegro",
ISNUMBER(SEARCH(_xlfn.UNICHAR(65533),S4375)),"Côte d'Ivoire",
TRUE,""
)</f>
        <v/>
      </c>
      <c r="W4375" s="40" t="str">
        <f t="shared" si="279"/>
        <v>Brazil</v>
      </c>
    </row>
    <row r="4376" spans="19:23">
      <c r="S4376" s="40" t="str">
        <v>Switzerland</v>
      </c>
      <c r="T4376" s="40" t="str">
        <f t="shared" si="277"/>
        <v>OK</v>
      </c>
      <c r="U4376" s="40" t="str">
        <f t="shared" si="278"/>
        <v>-</v>
      </c>
      <c r="V4376" s="40" t="str" cm="1">
        <f t="array" ref="V4376">_xlfn.IFS(
ISNUMBER(SEARCH("USA",S4376)),"United States",
ISNUMBER(SEARCH("Republic of Ireland",S4376)),"Ireland",
ISNUMBER(SEARCH("Republic of Korea",S4376)),"South Korea",
ISNUMBER(SEARCH("Cape Verde",S4376)),"Cabo Verde",
ISNUMBER(SEARCH("Czechia",S4376)),"Czech Republic",
ISNUMBER(SEARCH("Türkiye",S4376)),"Turkey",
ISNUMBER(SEARCH("Ivory Coast",S4376)),"Côte d'Ivoire",
ISNUMBER(SEARCH("Korea Republic",S4376)),"South Korea",
ISNUMBER(SEARCH("Germany FR",S4376)),"FR Germany",
ISNUMBER(SEARCH("West Germany",S4376)),"FR Germany",
ISNUMBER(SEARCH("Germany DR",S4376)),"DR Germany",
ISNUMBER(SEARCH("Korea DPR",S4376)),"North Korea",
ISNUMBER(SEARCH("China PR",S4376)),"China",
ISNUMBER(SEARCH("IR Iran",S4376)),"Iran",
ISNUMBER(SEARCH("Congo DR",S4376)),"Democratic Republic of the Congo",
ISNUMBER(SEARCH("DR Congo",S4376)),"Democratic Republic of the Congo",
ISNUMBER(SEARCH("German DR",S4376)),"DR Germany",
ISNUMBER(SEARCH("rn""&gt;United Arab Emirates",S4376)),"United Arab Emirates",
ISNUMBER(SEARCH("rn""&gt;Republic of Ireland",S4376)),"Ireland",
ISNUMBER(SEARCH("rn""&gt;Bosnia and Herzegovina",S4376)),"Bosnia and Herzegovina",
ISNUMBER(SEARCH("rn""&gt;Trinidad and Tobago",S4376)),"Trinidad and Tobago",
ISNUMBER(SEARCH("rn""&gt;Serbia and Montenegro",S4376)),"Serbia and Montenegro",
ISNUMBER(SEARCH(_xlfn.UNICHAR(65533),S4376)),"Côte d'Ivoire",
TRUE,""
)</f>
        <v/>
      </c>
      <c r="W4376" s="40" t="str">
        <f t="shared" si="279"/>
        <v>Switzerland</v>
      </c>
    </row>
    <row r="4377" spans="19:23">
      <c r="S4377" s="40" t="str">
        <v>United States</v>
      </c>
      <c r="T4377" s="40" t="str">
        <f t="shared" si="277"/>
        <v>OK</v>
      </c>
      <c r="U4377" s="40" t="str">
        <f t="shared" si="278"/>
        <v>-</v>
      </c>
      <c r="V4377" s="40" t="str" cm="1">
        <f t="array" ref="V4377">_xlfn.IFS(
ISNUMBER(SEARCH("USA",S4377)),"United States",
ISNUMBER(SEARCH("Republic of Ireland",S4377)),"Ireland",
ISNUMBER(SEARCH("Republic of Korea",S4377)),"South Korea",
ISNUMBER(SEARCH("Cape Verde",S4377)),"Cabo Verde",
ISNUMBER(SEARCH("Czechia",S4377)),"Czech Republic",
ISNUMBER(SEARCH("Türkiye",S4377)),"Turkey",
ISNUMBER(SEARCH("Ivory Coast",S4377)),"Côte d'Ivoire",
ISNUMBER(SEARCH("Korea Republic",S4377)),"South Korea",
ISNUMBER(SEARCH("Germany FR",S4377)),"FR Germany",
ISNUMBER(SEARCH("West Germany",S4377)),"FR Germany",
ISNUMBER(SEARCH("Germany DR",S4377)),"DR Germany",
ISNUMBER(SEARCH("Korea DPR",S4377)),"North Korea",
ISNUMBER(SEARCH("China PR",S4377)),"China",
ISNUMBER(SEARCH("IR Iran",S4377)),"Iran",
ISNUMBER(SEARCH("Congo DR",S4377)),"Democratic Republic of the Congo",
ISNUMBER(SEARCH("DR Congo",S4377)),"Democratic Republic of the Congo",
ISNUMBER(SEARCH("German DR",S4377)),"DR Germany",
ISNUMBER(SEARCH("rn""&gt;United Arab Emirates",S4377)),"United Arab Emirates",
ISNUMBER(SEARCH("rn""&gt;Republic of Ireland",S4377)),"Ireland",
ISNUMBER(SEARCH("rn""&gt;Bosnia and Herzegovina",S4377)),"Bosnia and Herzegovina",
ISNUMBER(SEARCH("rn""&gt;Trinidad and Tobago",S4377)),"Trinidad and Tobago",
ISNUMBER(SEARCH("rn""&gt;Serbia and Montenegro",S4377)),"Serbia and Montenegro",
ISNUMBER(SEARCH(_xlfn.UNICHAR(65533),S4377)),"Côte d'Ivoire",
TRUE,""
)</f>
        <v/>
      </c>
      <c r="W4377" s="40" t="str">
        <f t="shared" si="279"/>
        <v>United States</v>
      </c>
    </row>
    <row r="4378" spans="19:23">
      <c r="S4378" s="40" t="str">
        <v>Australia</v>
      </c>
      <c r="T4378" s="40" t="str">
        <f t="shared" si="277"/>
        <v>OK</v>
      </c>
      <c r="U4378" s="40" t="str">
        <f t="shared" si="278"/>
        <v>-</v>
      </c>
      <c r="V4378" s="40" t="str" cm="1">
        <f t="array" ref="V4378">_xlfn.IFS(
ISNUMBER(SEARCH("USA",S4378)),"United States",
ISNUMBER(SEARCH("Republic of Ireland",S4378)),"Ireland",
ISNUMBER(SEARCH("Republic of Korea",S4378)),"South Korea",
ISNUMBER(SEARCH("Cape Verde",S4378)),"Cabo Verde",
ISNUMBER(SEARCH("Czechia",S4378)),"Czech Republic",
ISNUMBER(SEARCH("Türkiye",S4378)),"Turkey",
ISNUMBER(SEARCH("Ivory Coast",S4378)),"Côte d'Ivoire",
ISNUMBER(SEARCH("Korea Republic",S4378)),"South Korea",
ISNUMBER(SEARCH("Germany FR",S4378)),"FR Germany",
ISNUMBER(SEARCH("West Germany",S4378)),"FR Germany",
ISNUMBER(SEARCH("Germany DR",S4378)),"DR Germany",
ISNUMBER(SEARCH("Korea DPR",S4378)),"North Korea",
ISNUMBER(SEARCH("China PR",S4378)),"China",
ISNUMBER(SEARCH("IR Iran",S4378)),"Iran",
ISNUMBER(SEARCH("Congo DR",S4378)),"Democratic Republic of the Congo",
ISNUMBER(SEARCH("DR Congo",S4378)),"Democratic Republic of the Congo",
ISNUMBER(SEARCH("German DR",S4378)),"DR Germany",
ISNUMBER(SEARCH("rn""&gt;United Arab Emirates",S4378)),"United Arab Emirates",
ISNUMBER(SEARCH("rn""&gt;Republic of Ireland",S4378)),"Ireland",
ISNUMBER(SEARCH("rn""&gt;Bosnia and Herzegovina",S4378)),"Bosnia and Herzegovina",
ISNUMBER(SEARCH("rn""&gt;Trinidad and Tobago",S4378)),"Trinidad and Tobago",
ISNUMBER(SEARCH("rn""&gt;Serbia and Montenegro",S4378)),"Serbia and Montenegro",
ISNUMBER(SEARCH(_xlfn.UNICHAR(65533),S4378)),"Côte d'Ivoire",
TRUE,""
)</f>
        <v/>
      </c>
      <c r="W4378" s="40" t="str">
        <f t="shared" si="279"/>
        <v>Australia</v>
      </c>
    </row>
    <row r="4379" spans="19:23">
      <c r="S4379" s="40" t="str">
        <v>Poland</v>
      </c>
      <c r="T4379" s="40" t="str">
        <f t="shared" si="277"/>
        <v>OK</v>
      </c>
      <c r="U4379" s="40" t="str">
        <f t="shared" si="278"/>
        <v>-</v>
      </c>
      <c r="V4379" s="40" t="str" cm="1">
        <f t="array" ref="V4379">_xlfn.IFS(
ISNUMBER(SEARCH("USA",S4379)),"United States",
ISNUMBER(SEARCH("Republic of Ireland",S4379)),"Ireland",
ISNUMBER(SEARCH("Republic of Korea",S4379)),"South Korea",
ISNUMBER(SEARCH("Cape Verde",S4379)),"Cabo Verde",
ISNUMBER(SEARCH("Czechia",S4379)),"Czech Republic",
ISNUMBER(SEARCH("Türkiye",S4379)),"Turkey",
ISNUMBER(SEARCH("Ivory Coast",S4379)),"Côte d'Ivoire",
ISNUMBER(SEARCH("Korea Republic",S4379)),"South Korea",
ISNUMBER(SEARCH("Germany FR",S4379)),"FR Germany",
ISNUMBER(SEARCH("West Germany",S4379)),"FR Germany",
ISNUMBER(SEARCH("Germany DR",S4379)),"DR Germany",
ISNUMBER(SEARCH("Korea DPR",S4379)),"North Korea",
ISNUMBER(SEARCH("China PR",S4379)),"China",
ISNUMBER(SEARCH("IR Iran",S4379)),"Iran",
ISNUMBER(SEARCH("Congo DR",S4379)),"Democratic Republic of the Congo",
ISNUMBER(SEARCH("DR Congo",S4379)),"Democratic Republic of the Congo",
ISNUMBER(SEARCH("German DR",S4379)),"DR Germany",
ISNUMBER(SEARCH("rn""&gt;United Arab Emirates",S4379)),"United Arab Emirates",
ISNUMBER(SEARCH("rn""&gt;Republic of Ireland",S4379)),"Ireland",
ISNUMBER(SEARCH("rn""&gt;Bosnia and Herzegovina",S4379)),"Bosnia and Herzegovina",
ISNUMBER(SEARCH("rn""&gt;Trinidad and Tobago",S4379)),"Trinidad and Tobago",
ISNUMBER(SEARCH("rn""&gt;Serbia and Montenegro",S4379)),"Serbia and Montenegro",
ISNUMBER(SEARCH(_xlfn.UNICHAR(65533),S4379)),"Côte d'Ivoire",
TRUE,""
)</f>
        <v/>
      </c>
      <c r="W4379" s="40" t="str">
        <f t="shared" si="279"/>
        <v>Poland</v>
      </c>
    </row>
    <row r="4380" spans="19:23">
      <c r="S4380" s="40" t="str">
        <v>Senegal</v>
      </c>
      <c r="T4380" s="40" t="str">
        <f t="shared" si="277"/>
        <v>OK</v>
      </c>
      <c r="U4380" s="40" t="str">
        <f t="shared" si="278"/>
        <v>-</v>
      </c>
      <c r="V4380" s="40" t="str" cm="1">
        <f t="array" ref="V4380">_xlfn.IFS(
ISNUMBER(SEARCH("USA",S4380)),"United States",
ISNUMBER(SEARCH("Republic of Ireland",S4380)),"Ireland",
ISNUMBER(SEARCH("Republic of Korea",S4380)),"South Korea",
ISNUMBER(SEARCH("Cape Verde",S4380)),"Cabo Verde",
ISNUMBER(SEARCH("Czechia",S4380)),"Czech Republic",
ISNUMBER(SEARCH("Türkiye",S4380)),"Turkey",
ISNUMBER(SEARCH("Ivory Coast",S4380)),"Côte d'Ivoire",
ISNUMBER(SEARCH("Korea Republic",S4380)),"South Korea",
ISNUMBER(SEARCH("Germany FR",S4380)),"FR Germany",
ISNUMBER(SEARCH("West Germany",S4380)),"FR Germany",
ISNUMBER(SEARCH("Germany DR",S4380)),"DR Germany",
ISNUMBER(SEARCH("Korea DPR",S4380)),"North Korea",
ISNUMBER(SEARCH("China PR",S4380)),"China",
ISNUMBER(SEARCH("IR Iran",S4380)),"Iran",
ISNUMBER(SEARCH("Congo DR",S4380)),"Democratic Republic of the Congo",
ISNUMBER(SEARCH("DR Congo",S4380)),"Democratic Republic of the Congo",
ISNUMBER(SEARCH("German DR",S4380)),"DR Germany",
ISNUMBER(SEARCH("rn""&gt;United Arab Emirates",S4380)),"United Arab Emirates",
ISNUMBER(SEARCH("rn""&gt;Republic of Ireland",S4380)),"Ireland",
ISNUMBER(SEARCH("rn""&gt;Bosnia and Herzegovina",S4380)),"Bosnia and Herzegovina",
ISNUMBER(SEARCH("rn""&gt;Trinidad and Tobago",S4380)),"Trinidad and Tobago",
ISNUMBER(SEARCH("rn""&gt;Serbia and Montenegro",S4380)),"Serbia and Montenegro",
ISNUMBER(SEARCH(_xlfn.UNICHAR(65533),S4380)),"Côte d'Ivoire",
TRUE,""
)</f>
        <v/>
      </c>
      <c r="W4380" s="40" t="str">
        <f t="shared" si="279"/>
        <v>Senegal</v>
      </c>
    </row>
    <row r="4381" spans="19:23">
      <c r="S4381" s="40" t="str">
        <v>Croatia</v>
      </c>
      <c r="T4381" s="40" t="str">
        <f t="shared" si="277"/>
        <v>OK</v>
      </c>
      <c r="U4381" s="40" t="str">
        <f t="shared" si="278"/>
        <v>-</v>
      </c>
      <c r="V4381" s="40" t="str" cm="1">
        <f t="array" ref="V4381">_xlfn.IFS(
ISNUMBER(SEARCH("USA",S4381)),"United States",
ISNUMBER(SEARCH("Republic of Ireland",S4381)),"Ireland",
ISNUMBER(SEARCH("Republic of Korea",S4381)),"South Korea",
ISNUMBER(SEARCH("Cape Verde",S4381)),"Cabo Verde",
ISNUMBER(SEARCH("Czechia",S4381)),"Czech Republic",
ISNUMBER(SEARCH("Türkiye",S4381)),"Turkey",
ISNUMBER(SEARCH("Ivory Coast",S4381)),"Côte d'Ivoire",
ISNUMBER(SEARCH("Korea Republic",S4381)),"South Korea",
ISNUMBER(SEARCH("Germany FR",S4381)),"FR Germany",
ISNUMBER(SEARCH("West Germany",S4381)),"FR Germany",
ISNUMBER(SEARCH("Germany DR",S4381)),"DR Germany",
ISNUMBER(SEARCH("Korea DPR",S4381)),"North Korea",
ISNUMBER(SEARCH("China PR",S4381)),"China",
ISNUMBER(SEARCH("IR Iran",S4381)),"Iran",
ISNUMBER(SEARCH("Congo DR",S4381)),"Democratic Republic of the Congo",
ISNUMBER(SEARCH("DR Congo",S4381)),"Democratic Republic of the Congo",
ISNUMBER(SEARCH("German DR",S4381)),"DR Germany",
ISNUMBER(SEARCH("rn""&gt;United Arab Emirates",S4381)),"United Arab Emirates",
ISNUMBER(SEARCH("rn""&gt;Republic of Ireland",S4381)),"Ireland",
ISNUMBER(SEARCH("rn""&gt;Bosnia and Herzegovina",S4381)),"Bosnia and Herzegovina",
ISNUMBER(SEARCH("rn""&gt;Trinidad and Tobago",S4381)),"Trinidad and Tobago",
ISNUMBER(SEARCH("rn""&gt;Serbia and Montenegro",S4381)),"Serbia and Montenegro",
ISNUMBER(SEARCH(_xlfn.UNICHAR(65533),S4381)),"Côte d'Ivoire",
TRUE,""
)</f>
        <v/>
      </c>
      <c r="W4381" s="40" t="str">
        <f t="shared" si="279"/>
        <v>Croatia</v>
      </c>
    </row>
    <row r="4382" spans="19:23">
      <c r="S4382" s="40" t="str">
        <v>South Korea</v>
      </c>
      <c r="T4382" s="40" t="str">
        <f t="shared" si="277"/>
        <v>OK</v>
      </c>
      <c r="U4382" s="40" t="str">
        <f t="shared" si="278"/>
        <v>-</v>
      </c>
      <c r="V4382" s="40" t="str" cm="1">
        <f t="array" ref="V4382">_xlfn.IFS(
ISNUMBER(SEARCH("USA",S4382)),"United States",
ISNUMBER(SEARCH("Republic of Ireland",S4382)),"Ireland",
ISNUMBER(SEARCH("Republic of Korea",S4382)),"South Korea",
ISNUMBER(SEARCH("Cape Verde",S4382)),"Cabo Verde",
ISNUMBER(SEARCH("Czechia",S4382)),"Czech Republic",
ISNUMBER(SEARCH("Türkiye",S4382)),"Turkey",
ISNUMBER(SEARCH("Ivory Coast",S4382)),"Côte d'Ivoire",
ISNUMBER(SEARCH("Korea Republic",S4382)),"South Korea",
ISNUMBER(SEARCH("Germany FR",S4382)),"FR Germany",
ISNUMBER(SEARCH("West Germany",S4382)),"FR Germany",
ISNUMBER(SEARCH("Germany DR",S4382)),"DR Germany",
ISNUMBER(SEARCH("Korea DPR",S4382)),"North Korea",
ISNUMBER(SEARCH("China PR",S4382)),"China",
ISNUMBER(SEARCH("IR Iran",S4382)),"Iran",
ISNUMBER(SEARCH("Congo DR",S4382)),"Democratic Republic of the Congo",
ISNUMBER(SEARCH("DR Congo",S4382)),"Democratic Republic of the Congo",
ISNUMBER(SEARCH("German DR",S4382)),"DR Germany",
ISNUMBER(SEARCH("rn""&gt;United Arab Emirates",S4382)),"United Arab Emirates",
ISNUMBER(SEARCH("rn""&gt;Republic of Ireland",S4382)),"Ireland",
ISNUMBER(SEARCH("rn""&gt;Bosnia and Herzegovina",S4382)),"Bosnia and Herzegovina",
ISNUMBER(SEARCH("rn""&gt;Trinidad and Tobago",S4382)),"Trinidad and Tobago",
ISNUMBER(SEARCH("rn""&gt;Serbia and Montenegro",S4382)),"Serbia and Montenegro",
ISNUMBER(SEARCH(_xlfn.UNICHAR(65533),S4382)),"Côte d'Ivoire",
TRUE,""
)</f>
        <v/>
      </c>
      <c r="W4382" s="40" t="str">
        <f t="shared" si="279"/>
        <v>South Korea</v>
      </c>
    </row>
    <row r="4383" spans="19:23">
      <c r="S4383" s="40" t="str">
        <v>Spain</v>
      </c>
      <c r="T4383" s="40" t="str">
        <f t="shared" si="277"/>
        <v>OK</v>
      </c>
      <c r="U4383" s="40" t="str">
        <f t="shared" si="278"/>
        <v>-</v>
      </c>
      <c r="V4383" s="40" t="str" cm="1">
        <f t="array" ref="V4383">_xlfn.IFS(
ISNUMBER(SEARCH("USA",S4383)),"United States",
ISNUMBER(SEARCH("Republic of Ireland",S4383)),"Ireland",
ISNUMBER(SEARCH("Republic of Korea",S4383)),"South Korea",
ISNUMBER(SEARCH("Cape Verde",S4383)),"Cabo Verde",
ISNUMBER(SEARCH("Czechia",S4383)),"Czech Republic",
ISNUMBER(SEARCH("Türkiye",S4383)),"Turkey",
ISNUMBER(SEARCH("Ivory Coast",S4383)),"Côte d'Ivoire",
ISNUMBER(SEARCH("Korea Republic",S4383)),"South Korea",
ISNUMBER(SEARCH("Germany FR",S4383)),"FR Germany",
ISNUMBER(SEARCH("West Germany",S4383)),"FR Germany",
ISNUMBER(SEARCH("Germany DR",S4383)),"DR Germany",
ISNUMBER(SEARCH("Korea DPR",S4383)),"North Korea",
ISNUMBER(SEARCH("China PR",S4383)),"China",
ISNUMBER(SEARCH("IR Iran",S4383)),"Iran",
ISNUMBER(SEARCH("Congo DR",S4383)),"Democratic Republic of the Congo",
ISNUMBER(SEARCH("DR Congo",S4383)),"Democratic Republic of the Congo",
ISNUMBER(SEARCH("German DR",S4383)),"DR Germany",
ISNUMBER(SEARCH("rn""&gt;United Arab Emirates",S4383)),"United Arab Emirates",
ISNUMBER(SEARCH("rn""&gt;Republic of Ireland",S4383)),"Ireland",
ISNUMBER(SEARCH("rn""&gt;Bosnia and Herzegovina",S4383)),"Bosnia and Herzegovina",
ISNUMBER(SEARCH("rn""&gt;Trinidad and Tobago",S4383)),"Trinidad and Tobago",
ISNUMBER(SEARCH("rn""&gt;Serbia and Montenegro",S4383)),"Serbia and Montenegro",
ISNUMBER(SEARCH(_xlfn.UNICHAR(65533),S4383)),"Côte d'Ivoire",
TRUE,""
)</f>
        <v/>
      </c>
      <c r="W4383" s="40" t="str">
        <f t="shared" si="279"/>
        <v>Spain</v>
      </c>
    </row>
    <row r="4384" spans="19:23">
      <c r="S4384" s="40" t="str">
        <v>Switzerland</v>
      </c>
      <c r="T4384" s="40" t="str">
        <f t="shared" si="277"/>
        <v>OK</v>
      </c>
      <c r="U4384" s="40" t="str">
        <f t="shared" si="278"/>
        <v>-</v>
      </c>
      <c r="V4384" s="40" t="str" cm="1">
        <f t="array" ref="V4384">_xlfn.IFS(
ISNUMBER(SEARCH("USA",S4384)),"United States",
ISNUMBER(SEARCH("Republic of Ireland",S4384)),"Ireland",
ISNUMBER(SEARCH("Republic of Korea",S4384)),"South Korea",
ISNUMBER(SEARCH("Cape Verde",S4384)),"Cabo Verde",
ISNUMBER(SEARCH("Czechia",S4384)),"Czech Republic",
ISNUMBER(SEARCH("Türkiye",S4384)),"Turkey",
ISNUMBER(SEARCH("Ivory Coast",S4384)),"Côte d'Ivoire",
ISNUMBER(SEARCH("Korea Republic",S4384)),"South Korea",
ISNUMBER(SEARCH("Germany FR",S4384)),"FR Germany",
ISNUMBER(SEARCH("West Germany",S4384)),"FR Germany",
ISNUMBER(SEARCH("Germany DR",S4384)),"DR Germany",
ISNUMBER(SEARCH("Korea DPR",S4384)),"North Korea",
ISNUMBER(SEARCH("China PR",S4384)),"China",
ISNUMBER(SEARCH("IR Iran",S4384)),"Iran",
ISNUMBER(SEARCH("Congo DR",S4384)),"Democratic Republic of the Congo",
ISNUMBER(SEARCH("DR Congo",S4384)),"Democratic Republic of the Congo",
ISNUMBER(SEARCH("German DR",S4384)),"DR Germany",
ISNUMBER(SEARCH("rn""&gt;United Arab Emirates",S4384)),"United Arab Emirates",
ISNUMBER(SEARCH("rn""&gt;Republic of Ireland",S4384)),"Ireland",
ISNUMBER(SEARCH("rn""&gt;Bosnia and Herzegovina",S4384)),"Bosnia and Herzegovina",
ISNUMBER(SEARCH("rn""&gt;Trinidad and Tobago",S4384)),"Trinidad and Tobago",
ISNUMBER(SEARCH("rn""&gt;Serbia and Montenegro",S4384)),"Serbia and Montenegro",
ISNUMBER(SEARCH(_xlfn.UNICHAR(65533),S4384)),"Côte d'Ivoire",
TRUE,""
)</f>
        <v/>
      </c>
      <c r="W4384" s="40" t="str">
        <f t="shared" si="279"/>
        <v>Switzerland</v>
      </c>
    </row>
    <row r="4385" spans="19:23">
      <c r="S4385" s="40" t="str">
        <v>Brazil</v>
      </c>
      <c r="T4385" s="40" t="str">
        <f t="shared" si="277"/>
        <v>OK</v>
      </c>
      <c r="U4385" s="40" t="str">
        <f t="shared" si="278"/>
        <v>-</v>
      </c>
      <c r="V4385" s="40" t="str" cm="1">
        <f t="array" ref="V4385">_xlfn.IFS(
ISNUMBER(SEARCH("USA",S4385)),"United States",
ISNUMBER(SEARCH("Republic of Ireland",S4385)),"Ireland",
ISNUMBER(SEARCH("Republic of Korea",S4385)),"South Korea",
ISNUMBER(SEARCH("Cape Verde",S4385)),"Cabo Verde",
ISNUMBER(SEARCH("Czechia",S4385)),"Czech Republic",
ISNUMBER(SEARCH("Türkiye",S4385)),"Turkey",
ISNUMBER(SEARCH("Ivory Coast",S4385)),"Côte d'Ivoire",
ISNUMBER(SEARCH("Korea Republic",S4385)),"South Korea",
ISNUMBER(SEARCH("Germany FR",S4385)),"FR Germany",
ISNUMBER(SEARCH("West Germany",S4385)),"FR Germany",
ISNUMBER(SEARCH("Germany DR",S4385)),"DR Germany",
ISNUMBER(SEARCH("Korea DPR",S4385)),"North Korea",
ISNUMBER(SEARCH("China PR",S4385)),"China",
ISNUMBER(SEARCH("IR Iran",S4385)),"Iran",
ISNUMBER(SEARCH("Congo DR",S4385)),"Democratic Republic of the Congo",
ISNUMBER(SEARCH("DR Congo",S4385)),"Democratic Republic of the Congo",
ISNUMBER(SEARCH("German DR",S4385)),"DR Germany",
ISNUMBER(SEARCH("rn""&gt;United Arab Emirates",S4385)),"United Arab Emirates",
ISNUMBER(SEARCH("rn""&gt;Republic of Ireland",S4385)),"Ireland",
ISNUMBER(SEARCH("rn""&gt;Bosnia and Herzegovina",S4385)),"Bosnia and Herzegovina",
ISNUMBER(SEARCH("rn""&gt;Trinidad and Tobago",S4385)),"Trinidad and Tobago",
ISNUMBER(SEARCH("rn""&gt;Serbia and Montenegro",S4385)),"Serbia and Montenegro",
ISNUMBER(SEARCH(_xlfn.UNICHAR(65533),S4385)),"Côte d'Ivoire",
TRUE,""
)</f>
        <v/>
      </c>
      <c r="W4385" s="40" t="str">
        <f t="shared" si="279"/>
        <v>Brazil</v>
      </c>
    </row>
    <row r="4386" spans="19:23">
      <c r="S4386" s="40" t="str">
        <v>Argentina</v>
      </c>
      <c r="T4386" s="40" t="str">
        <f t="shared" si="277"/>
        <v>OK</v>
      </c>
      <c r="U4386" s="40" t="str">
        <f t="shared" si="278"/>
        <v>-</v>
      </c>
      <c r="V4386" s="40" t="str" cm="1">
        <f t="array" ref="V4386">_xlfn.IFS(
ISNUMBER(SEARCH("USA",S4386)),"United States",
ISNUMBER(SEARCH("Republic of Ireland",S4386)),"Ireland",
ISNUMBER(SEARCH("Republic of Korea",S4386)),"South Korea",
ISNUMBER(SEARCH("Cape Verde",S4386)),"Cabo Verde",
ISNUMBER(SEARCH("Czechia",S4386)),"Czech Republic",
ISNUMBER(SEARCH("Türkiye",S4386)),"Turkey",
ISNUMBER(SEARCH("Ivory Coast",S4386)),"Côte d'Ivoire",
ISNUMBER(SEARCH("Korea Republic",S4386)),"South Korea",
ISNUMBER(SEARCH("Germany FR",S4386)),"FR Germany",
ISNUMBER(SEARCH("West Germany",S4386)),"FR Germany",
ISNUMBER(SEARCH("Germany DR",S4386)),"DR Germany",
ISNUMBER(SEARCH("Korea DPR",S4386)),"North Korea",
ISNUMBER(SEARCH("China PR",S4386)),"China",
ISNUMBER(SEARCH("IR Iran",S4386)),"Iran",
ISNUMBER(SEARCH("Congo DR",S4386)),"Democratic Republic of the Congo",
ISNUMBER(SEARCH("DR Congo",S4386)),"Democratic Republic of the Congo",
ISNUMBER(SEARCH("German DR",S4386)),"DR Germany",
ISNUMBER(SEARCH("rn""&gt;United Arab Emirates",S4386)),"United Arab Emirates",
ISNUMBER(SEARCH("rn""&gt;Republic of Ireland",S4386)),"Ireland",
ISNUMBER(SEARCH("rn""&gt;Bosnia and Herzegovina",S4386)),"Bosnia and Herzegovina",
ISNUMBER(SEARCH("rn""&gt;Trinidad and Tobago",S4386)),"Trinidad and Tobago",
ISNUMBER(SEARCH("rn""&gt;Serbia and Montenegro",S4386)),"Serbia and Montenegro",
ISNUMBER(SEARCH(_xlfn.UNICHAR(65533),S4386)),"Côte d'Ivoire",
TRUE,""
)</f>
        <v/>
      </c>
      <c r="W4386" s="40" t="str">
        <f t="shared" si="279"/>
        <v>Argentina</v>
      </c>
    </row>
    <row r="4387" spans="19:23">
      <c r="S4387" s="40" t="str">
        <v>Portugal</v>
      </c>
      <c r="T4387" s="40" t="str">
        <f t="shared" si="277"/>
        <v>OK</v>
      </c>
      <c r="U4387" s="40" t="str">
        <f t="shared" si="278"/>
        <v>-</v>
      </c>
      <c r="V4387" s="40" t="str" cm="1">
        <f t="array" ref="V4387">_xlfn.IFS(
ISNUMBER(SEARCH("USA",S4387)),"United States",
ISNUMBER(SEARCH("Republic of Ireland",S4387)),"Ireland",
ISNUMBER(SEARCH("Republic of Korea",S4387)),"South Korea",
ISNUMBER(SEARCH("Cape Verde",S4387)),"Cabo Verde",
ISNUMBER(SEARCH("Czechia",S4387)),"Czech Republic",
ISNUMBER(SEARCH("Türkiye",S4387)),"Turkey",
ISNUMBER(SEARCH("Ivory Coast",S4387)),"Côte d'Ivoire",
ISNUMBER(SEARCH("Korea Republic",S4387)),"South Korea",
ISNUMBER(SEARCH("Germany FR",S4387)),"FR Germany",
ISNUMBER(SEARCH("West Germany",S4387)),"FR Germany",
ISNUMBER(SEARCH("Germany DR",S4387)),"DR Germany",
ISNUMBER(SEARCH("Korea DPR",S4387)),"North Korea",
ISNUMBER(SEARCH("China PR",S4387)),"China",
ISNUMBER(SEARCH("IR Iran",S4387)),"Iran",
ISNUMBER(SEARCH("Congo DR",S4387)),"Democratic Republic of the Congo",
ISNUMBER(SEARCH("DR Congo",S4387)),"Democratic Republic of the Congo",
ISNUMBER(SEARCH("German DR",S4387)),"DR Germany",
ISNUMBER(SEARCH("rn""&gt;United Arab Emirates",S4387)),"United Arab Emirates",
ISNUMBER(SEARCH("rn""&gt;Republic of Ireland",S4387)),"Ireland",
ISNUMBER(SEARCH("rn""&gt;Bosnia and Herzegovina",S4387)),"Bosnia and Herzegovina",
ISNUMBER(SEARCH("rn""&gt;Trinidad and Tobago",S4387)),"Trinidad and Tobago",
ISNUMBER(SEARCH("rn""&gt;Serbia and Montenegro",S4387)),"Serbia and Montenegro",
ISNUMBER(SEARCH(_xlfn.UNICHAR(65533),S4387)),"Côte d'Ivoire",
TRUE,""
)</f>
        <v/>
      </c>
      <c r="W4387" s="40" t="str">
        <f t="shared" si="279"/>
        <v>Portugal</v>
      </c>
    </row>
    <row r="4388" spans="19:23">
      <c r="S4388" s="40" t="str">
        <v>France</v>
      </c>
      <c r="T4388" s="40" t="str">
        <f t="shared" si="277"/>
        <v>OK</v>
      </c>
      <c r="U4388" s="40" t="str">
        <f t="shared" si="278"/>
        <v>-</v>
      </c>
      <c r="V4388" s="40" t="str" cm="1">
        <f t="array" ref="V4388">_xlfn.IFS(
ISNUMBER(SEARCH("USA",S4388)),"United States",
ISNUMBER(SEARCH("Republic of Ireland",S4388)),"Ireland",
ISNUMBER(SEARCH("Republic of Korea",S4388)),"South Korea",
ISNUMBER(SEARCH("Cape Verde",S4388)),"Cabo Verde",
ISNUMBER(SEARCH("Czechia",S4388)),"Czech Republic",
ISNUMBER(SEARCH("Türkiye",S4388)),"Turkey",
ISNUMBER(SEARCH("Ivory Coast",S4388)),"Côte d'Ivoire",
ISNUMBER(SEARCH("Korea Republic",S4388)),"South Korea",
ISNUMBER(SEARCH("Germany FR",S4388)),"FR Germany",
ISNUMBER(SEARCH("West Germany",S4388)),"FR Germany",
ISNUMBER(SEARCH("Germany DR",S4388)),"DR Germany",
ISNUMBER(SEARCH("Korea DPR",S4388)),"North Korea",
ISNUMBER(SEARCH("China PR",S4388)),"China",
ISNUMBER(SEARCH("IR Iran",S4388)),"Iran",
ISNUMBER(SEARCH("Congo DR",S4388)),"Democratic Republic of the Congo",
ISNUMBER(SEARCH("DR Congo",S4388)),"Democratic Republic of the Congo",
ISNUMBER(SEARCH("German DR",S4388)),"DR Germany",
ISNUMBER(SEARCH("rn""&gt;United Arab Emirates",S4388)),"United Arab Emirates",
ISNUMBER(SEARCH("rn""&gt;Republic of Ireland",S4388)),"Ireland",
ISNUMBER(SEARCH("rn""&gt;Bosnia and Herzegovina",S4388)),"Bosnia and Herzegovina",
ISNUMBER(SEARCH("rn""&gt;Trinidad and Tobago",S4388)),"Trinidad and Tobago",
ISNUMBER(SEARCH("rn""&gt;Serbia and Montenegro",S4388)),"Serbia and Montenegro",
ISNUMBER(SEARCH(_xlfn.UNICHAR(65533),S4388)),"Côte d'Ivoire",
TRUE,""
)</f>
        <v/>
      </c>
      <c r="W4388" s="40" t="str">
        <f t="shared" si="279"/>
        <v>France</v>
      </c>
    </row>
    <row r="4389" spans="19:23">
      <c r="S4389" s="40" t="str">
        <v>Croatia</v>
      </c>
      <c r="T4389" s="40" t="str">
        <f t="shared" si="277"/>
        <v>OK</v>
      </c>
      <c r="U4389" s="40" t="str">
        <f t="shared" si="278"/>
        <v>-</v>
      </c>
      <c r="V4389" s="40" t="str" cm="1">
        <f t="array" ref="V4389">_xlfn.IFS(
ISNUMBER(SEARCH("USA",S4389)),"United States",
ISNUMBER(SEARCH("Republic of Ireland",S4389)),"Ireland",
ISNUMBER(SEARCH("Republic of Korea",S4389)),"South Korea",
ISNUMBER(SEARCH("Cape Verde",S4389)),"Cabo Verde",
ISNUMBER(SEARCH("Czechia",S4389)),"Czech Republic",
ISNUMBER(SEARCH("Türkiye",S4389)),"Turkey",
ISNUMBER(SEARCH("Ivory Coast",S4389)),"Côte d'Ivoire",
ISNUMBER(SEARCH("Korea Republic",S4389)),"South Korea",
ISNUMBER(SEARCH("Germany FR",S4389)),"FR Germany",
ISNUMBER(SEARCH("West Germany",S4389)),"FR Germany",
ISNUMBER(SEARCH("Germany DR",S4389)),"DR Germany",
ISNUMBER(SEARCH("Korea DPR",S4389)),"North Korea",
ISNUMBER(SEARCH("China PR",S4389)),"China",
ISNUMBER(SEARCH("IR Iran",S4389)),"Iran",
ISNUMBER(SEARCH("Congo DR",S4389)),"Democratic Republic of the Congo",
ISNUMBER(SEARCH("DR Congo",S4389)),"Democratic Republic of the Congo",
ISNUMBER(SEARCH("German DR",S4389)),"DR Germany",
ISNUMBER(SEARCH("rn""&gt;United Arab Emirates",S4389)),"United Arab Emirates",
ISNUMBER(SEARCH("rn""&gt;Republic of Ireland",S4389)),"Ireland",
ISNUMBER(SEARCH("rn""&gt;Bosnia and Herzegovina",S4389)),"Bosnia and Herzegovina",
ISNUMBER(SEARCH("rn""&gt;Trinidad and Tobago",S4389)),"Trinidad and Tobago",
ISNUMBER(SEARCH("rn""&gt;Serbia and Montenegro",S4389)),"Serbia and Montenegro",
ISNUMBER(SEARCH(_xlfn.UNICHAR(65533),S4389)),"Côte d'Ivoire",
TRUE,""
)</f>
        <v/>
      </c>
      <c r="W4389" s="40" t="str">
        <f t="shared" si="279"/>
        <v>Croatia</v>
      </c>
    </row>
    <row r="4390" spans="19:23">
      <c r="S4390" s="40" t="str">
        <v>Morocco</v>
      </c>
      <c r="T4390" s="40" t="str">
        <f t="shared" si="277"/>
        <v>OK</v>
      </c>
      <c r="U4390" s="40" t="str">
        <f t="shared" si="278"/>
        <v>-</v>
      </c>
      <c r="V4390" s="40" t="str" cm="1">
        <f t="array" ref="V4390">_xlfn.IFS(
ISNUMBER(SEARCH("USA",S4390)),"United States",
ISNUMBER(SEARCH("Republic of Ireland",S4390)),"Ireland",
ISNUMBER(SEARCH("Republic of Korea",S4390)),"South Korea",
ISNUMBER(SEARCH("Cape Verde",S4390)),"Cabo Verde",
ISNUMBER(SEARCH("Czechia",S4390)),"Czech Republic",
ISNUMBER(SEARCH("Türkiye",S4390)),"Turkey",
ISNUMBER(SEARCH("Ivory Coast",S4390)),"Côte d'Ivoire",
ISNUMBER(SEARCH("Korea Republic",S4390)),"South Korea",
ISNUMBER(SEARCH("Germany FR",S4390)),"FR Germany",
ISNUMBER(SEARCH("West Germany",S4390)),"FR Germany",
ISNUMBER(SEARCH("Germany DR",S4390)),"DR Germany",
ISNUMBER(SEARCH("Korea DPR",S4390)),"North Korea",
ISNUMBER(SEARCH("China PR",S4390)),"China",
ISNUMBER(SEARCH("IR Iran",S4390)),"Iran",
ISNUMBER(SEARCH("Congo DR",S4390)),"Democratic Republic of the Congo",
ISNUMBER(SEARCH("DR Congo",S4390)),"Democratic Republic of the Congo",
ISNUMBER(SEARCH("German DR",S4390)),"DR Germany",
ISNUMBER(SEARCH("rn""&gt;United Arab Emirates",S4390)),"United Arab Emirates",
ISNUMBER(SEARCH("rn""&gt;Republic of Ireland",S4390)),"Ireland",
ISNUMBER(SEARCH("rn""&gt;Bosnia and Herzegovina",S4390)),"Bosnia and Herzegovina",
ISNUMBER(SEARCH("rn""&gt;Trinidad and Tobago",S4390)),"Trinidad and Tobago",
ISNUMBER(SEARCH("rn""&gt;Serbia and Montenegro",S4390)),"Serbia and Montenegro",
ISNUMBER(SEARCH(_xlfn.UNICHAR(65533),S4390)),"Côte d'Ivoire",
TRUE,""
)</f>
        <v/>
      </c>
      <c r="W4390" s="40" t="str">
        <f t="shared" si="279"/>
        <v>Morocco</v>
      </c>
    </row>
    <row r="4391" spans="19:23">
      <c r="S4391" s="40" t="str">
        <v>Morocco</v>
      </c>
      <c r="T4391" s="40" t="str">
        <f t="shared" si="277"/>
        <v>OK</v>
      </c>
      <c r="U4391" s="40" t="str">
        <f t="shared" si="278"/>
        <v>-</v>
      </c>
      <c r="V4391" s="40" t="str" cm="1">
        <f t="array" ref="V4391">_xlfn.IFS(
ISNUMBER(SEARCH("USA",S4391)),"United States",
ISNUMBER(SEARCH("Republic of Ireland",S4391)),"Ireland",
ISNUMBER(SEARCH("Republic of Korea",S4391)),"South Korea",
ISNUMBER(SEARCH("Cape Verde",S4391)),"Cabo Verde",
ISNUMBER(SEARCH("Czechia",S4391)),"Czech Republic",
ISNUMBER(SEARCH("Türkiye",S4391)),"Turkey",
ISNUMBER(SEARCH("Ivory Coast",S4391)),"Côte d'Ivoire",
ISNUMBER(SEARCH("Korea Republic",S4391)),"South Korea",
ISNUMBER(SEARCH("Germany FR",S4391)),"FR Germany",
ISNUMBER(SEARCH("West Germany",S4391)),"FR Germany",
ISNUMBER(SEARCH("Germany DR",S4391)),"DR Germany",
ISNUMBER(SEARCH("Korea DPR",S4391)),"North Korea",
ISNUMBER(SEARCH("China PR",S4391)),"China",
ISNUMBER(SEARCH("IR Iran",S4391)),"Iran",
ISNUMBER(SEARCH("Congo DR",S4391)),"Democratic Republic of the Congo",
ISNUMBER(SEARCH("DR Congo",S4391)),"Democratic Republic of the Congo",
ISNUMBER(SEARCH("German DR",S4391)),"DR Germany",
ISNUMBER(SEARCH("rn""&gt;United Arab Emirates",S4391)),"United Arab Emirates",
ISNUMBER(SEARCH("rn""&gt;Republic of Ireland",S4391)),"Ireland",
ISNUMBER(SEARCH("rn""&gt;Bosnia and Herzegovina",S4391)),"Bosnia and Herzegovina",
ISNUMBER(SEARCH("rn""&gt;Trinidad and Tobago",S4391)),"Trinidad and Tobago",
ISNUMBER(SEARCH("rn""&gt;Serbia and Montenegro",S4391)),"Serbia and Montenegro",
ISNUMBER(SEARCH(_xlfn.UNICHAR(65533),S4391)),"Côte d'Ivoire",
TRUE,""
)</f>
        <v/>
      </c>
      <c r="W4391" s="40" t="str">
        <f t="shared" si="279"/>
        <v>Morocco</v>
      </c>
    </row>
    <row r="4392" spans="19:23">
      <c r="S4392" s="40" t="str">
        <v>France</v>
      </c>
      <c r="T4392" s="40" t="str">
        <f t="shared" si="277"/>
        <v>OK</v>
      </c>
      <c r="U4392" s="40" t="str">
        <f t="shared" si="278"/>
        <v>-</v>
      </c>
      <c r="V4392" s="40" t="str" cm="1">
        <f t="array" ref="V4392">_xlfn.IFS(
ISNUMBER(SEARCH("USA",S4392)),"United States",
ISNUMBER(SEARCH("Republic of Ireland",S4392)),"Ireland",
ISNUMBER(SEARCH("Republic of Korea",S4392)),"South Korea",
ISNUMBER(SEARCH("Cape Verde",S4392)),"Cabo Verde",
ISNUMBER(SEARCH("Czechia",S4392)),"Czech Republic",
ISNUMBER(SEARCH("Türkiye",S4392)),"Turkey",
ISNUMBER(SEARCH("Ivory Coast",S4392)),"Côte d'Ivoire",
ISNUMBER(SEARCH("Korea Republic",S4392)),"South Korea",
ISNUMBER(SEARCH("Germany FR",S4392)),"FR Germany",
ISNUMBER(SEARCH("West Germany",S4392)),"FR Germany",
ISNUMBER(SEARCH("Germany DR",S4392)),"DR Germany",
ISNUMBER(SEARCH("Korea DPR",S4392)),"North Korea",
ISNUMBER(SEARCH("China PR",S4392)),"China",
ISNUMBER(SEARCH("IR Iran",S4392)),"Iran",
ISNUMBER(SEARCH("Congo DR",S4392)),"Democratic Republic of the Congo",
ISNUMBER(SEARCH("DR Congo",S4392)),"Democratic Republic of the Congo",
ISNUMBER(SEARCH("German DR",S4392)),"DR Germany",
ISNUMBER(SEARCH("rn""&gt;United Arab Emirates",S4392)),"United Arab Emirates",
ISNUMBER(SEARCH("rn""&gt;Republic of Ireland",S4392)),"Ireland",
ISNUMBER(SEARCH("rn""&gt;Bosnia and Herzegovina",S4392)),"Bosnia and Herzegovina",
ISNUMBER(SEARCH("rn""&gt;Trinidad and Tobago",S4392)),"Trinidad and Tobago",
ISNUMBER(SEARCH("rn""&gt;Serbia and Montenegro",S4392)),"Serbia and Montenegro",
ISNUMBER(SEARCH(_xlfn.UNICHAR(65533),S4392)),"Côte d'Ivoire",
TRUE,""
)</f>
        <v/>
      </c>
      <c r="W4392" s="40" t="str">
        <f t="shared" si="279"/>
        <v>France</v>
      </c>
    </row>
    <row r="4393" spans="19:23">
      <c r="S4393" s="40" t="str">
        <v>South Africa</v>
      </c>
      <c r="T4393" s="40" t="str">
        <f t="shared" si="277"/>
        <v>OK</v>
      </c>
      <c r="U4393" s="40" t="str">
        <f t="shared" si="278"/>
        <v>-</v>
      </c>
      <c r="V4393" s="40" t="str" cm="1">
        <f t="array" ref="V4393">_xlfn.IFS(
ISNUMBER(SEARCH("USA",S4393)),"United States",
ISNUMBER(SEARCH("Republic of Ireland",S4393)),"Ireland",
ISNUMBER(SEARCH("Republic of Korea",S4393)),"South Korea",
ISNUMBER(SEARCH("Cape Verde",S4393)),"Cabo Verde",
ISNUMBER(SEARCH("Czechia",S4393)),"Czech Republic",
ISNUMBER(SEARCH("Türkiye",S4393)),"Turkey",
ISNUMBER(SEARCH("Ivory Coast",S4393)),"Côte d'Ivoire",
ISNUMBER(SEARCH("Korea Republic",S4393)),"South Korea",
ISNUMBER(SEARCH("Germany FR",S4393)),"FR Germany",
ISNUMBER(SEARCH("West Germany",S4393)),"FR Germany",
ISNUMBER(SEARCH("Germany DR",S4393)),"DR Germany",
ISNUMBER(SEARCH("Korea DPR",S4393)),"North Korea",
ISNUMBER(SEARCH("China PR",S4393)),"China",
ISNUMBER(SEARCH("IR Iran",S4393)),"Iran",
ISNUMBER(SEARCH("Congo DR",S4393)),"Democratic Republic of the Congo",
ISNUMBER(SEARCH("DR Congo",S4393)),"Democratic Republic of the Congo",
ISNUMBER(SEARCH("German DR",S4393)),"DR Germany",
ISNUMBER(SEARCH("rn""&gt;United Arab Emirates",S4393)),"United Arab Emirates",
ISNUMBER(SEARCH("rn""&gt;Republic of Ireland",S4393)),"Ireland",
ISNUMBER(SEARCH("rn""&gt;Bosnia and Herzegovina",S4393)),"Bosnia and Herzegovina",
ISNUMBER(SEARCH("rn""&gt;Trinidad and Tobago",S4393)),"Trinidad and Tobago",
ISNUMBER(SEARCH("rn""&gt;Serbia and Montenegro",S4393)),"Serbia and Montenegro",
ISNUMBER(SEARCH(_xlfn.UNICHAR(65533),S4393)),"Côte d'Ivoire",
TRUE,""
)</f>
        <v/>
      </c>
      <c r="W4393" s="40" t="str">
        <f t="shared" si="279"/>
        <v>South Africa</v>
      </c>
    </row>
    <row r="4394" spans="19:23">
      <c r="S4394" s="40" t="str">
        <v>Czechia</v>
      </c>
      <c r="T4394" s="40" t="str">
        <f t="shared" si="277"/>
        <v>ERREUR</v>
      </c>
      <c r="U4394" s="40" t="str">
        <f t="shared" si="278"/>
        <v>RENOMMER</v>
      </c>
      <c r="V4394" s="40" t="str" cm="1">
        <f t="array" ref="V4394">_xlfn.IFS(
ISNUMBER(SEARCH("USA",S4394)),"United States",
ISNUMBER(SEARCH("Republic of Ireland",S4394)),"Ireland",
ISNUMBER(SEARCH("Republic of Korea",S4394)),"South Korea",
ISNUMBER(SEARCH("Cape Verde",S4394)),"Cabo Verde",
ISNUMBER(SEARCH("Czechia",S4394)),"Czech Republic",
ISNUMBER(SEARCH("Türkiye",S4394)),"Turkey",
ISNUMBER(SEARCH("Ivory Coast",S4394)),"Côte d'Ivoire",
ISNUMBER(SEARCH("Korea Republic",S4394)),"South Korea",
ISNUMBER(SEARCH("Germany FR",S4394)),"FR Germany",
ISNUMBER(SEARCH("West Germany",S4394)),"FR Germany",
ISNUMBER(SEARCH("Germany DR",S4394)),"DR Germany",
ISNUMBER(SEARCH("Korea DPR",S4394)),"North Korea",
ISNUMBER(SEARCH("China PR",S4394)),"China",
ISNUMBER(SEARCH("IR Iran",S4394)),"Iran",
ISNUMBER(SEARCH("Congo DR",S4394)),"Democratic Republic of the Congo",
ISNUMBER(SEARCH("DR Congo",S4394)),"Democratic Republic of the Congo",
ISNUMBER(SEARCH("German DR",S4394)),"DR Germany",
ISNUMBER(SEARCH("rn""&gt;United Arab Emirates",S4394)),"United Arab Emirates",
ISNUMBER(SEARCH("rn""&gt;Republic of Ireland",S4394)),"Ireland",
ISNUMBER(SEARCH("rn""&gt;Bosnia and Herzegovina",S4394)),"Bosnia and Herzegovina",
ISNUMBER(SEARCH("rn""&gt;Trinidad and Tobago",S4394)),"Trinidad and Tobago",
ISNUMBER(SEARCH("rn""&gt;Serbia and Montenegro",S4394)),"Serbia and Montenegro",
ISNUMBER(SEARCH(_xlfn.UNICHAR(65533),S4394)),"Côte d'Ivoire",
TRUE,""
)</f>
        <v>Czech Republic</v>
      </c>
      <c r="W4394" s="40" t="str">
        <f t="shared" si="279"/>
        <v>Czech Republic</v>
      </c>
    </row>
    <row r="4395" spans="19:23">
      <c r="S4395" s="40" t="str">
        <v>Bosnia and Herzegovina</v>
      </c>
      <c r="T4395" s="40" t="str">
        <f t="shared" si="277"/>
        <v>OK</v>
      </c>
      <c r="U4395" s="40" t="str">
        <f t="shared" si="278"/>
        <v>-</v>
      </c>
      <c r="V4395" s="40" t="str" cm="1">
        <f t="array" ref="V4395">_xlfn.IFS(
ISNUMBER(SEARCH("USA",S4395)),"United States",
ISNUMBER(SEARCH("Republic of Ireland",S4395)),"Ireland",
ISNUMBER(SEARCH("Republic of Korea",S4395)),"South Korea",
ISNUMBER(SEARCH("Cape Verde",S4395)),"Cabo Verde",
ISNUMBER(SEARCH("Czechia",S4395)),"Czech Republic",
ISNUMBER(SEARCH("Türkiye",S4395)),"Turkey",
ISNUMBER(SEARCH("Ivory Coast",S4395)),"Côte d'Ivoire",
ISNUMBER(SEARCH("Korea Republic",S4395)),"South Korea",
ISNUMBER(SEARCH("Germany FR",S4395)),"FR Germany",
ISNUMBER(SEARCH("West Germany",S4395)),"FR Germany",
ISNUMBER(SEARCH("Germany DR",S4395)),"DR Germany",
ISNUMBER(SEARCH("Korea DPR",S4395)),"North Korea",
ISNUMBER(SEARCH("China PR",S4395)),"China",
ISNUMBER(SEARCH("IR Iran",S4395)),"Iran",
ISNUMBER(SEARCH("Congo DR",S4395)),"Democratic Republic of the Congo",
ISNUMBER(SEARCH("DR Congo",S4395)),"Democratic Republic of the Congo",
ISNUMBER(SEARCH("German DR",S4395)),"DR Germany",
ISNUMBER(SEARCH("rn""&gt;United Arab Emirates",S4395)),"United Arab Emirates",
ISNUMBER(SEARCH("rn""&gt;Republic of Ireland",S4395)),"Ireland",
ISNUMBER(SEARCH("rn""&gt;Bosnia and Herzegovina",S4395)),"Bosnia and Herzegovina",
ISNUMBER(SEARCH("rn""&gt;Trinidad and Tobago",S4395)),"Trinidad and Tobago",
ISNUMBER(SEARCH("rn""&gt;Serbia and Montenegro",S4395)),"Serbia and Montenegro",
ISNUMBER(SEARCH(_xlfn.UNICHAR(65533),S4395)),"Côte d'Ivoire",
TRUE,""
)</f>
        <v/>
      </c>
      <c r="W4395" s="40" t="str">
        <f t="shared" si="279"/>
        <v>Bosnia and Herzegovina</v>
      </c>
    </row>
    <row r="4396" spans="19:23">
      <c r="S4396" s="40" t="str">
        <v>Paraguay</v>
      </c>
      <c r="T4396" s="40" t="str">
        <f t="shared" si="277"/>
        <v>OK</v>
      </c>
      <c r="U4396" s="40" t="str">
        <f t="shared" si="278"/>
        <v>-</v>
      </c>
      <c r="V4396" s="40" t="str" cm="1">
        <f t="array" ref="V4396">_xlfn.IFS(
ISNUMBER(SEARCH("USA",S4396)),"United States",
ISNUMBER(SEARCH("Republic of Ireland",S4396)),"Ireland",
ISNUMBER(SEARCH("Republic of Korea",S4396)),"South Korea",
ISNUMBER(SEARCH("Cape Verde",S4396)),"Cabo Verde",
ISNUMBER(SEARCH("Czechia",S4396)),"Czech Republic",
ISNUMBER(SEARCH("Türkiye",S4396)),"Turkey",
ISNUMBER(SEARCH("Ivory Coast",S4396)),"Côte d'Ivoire",
ISNUMBER(SEARCH("Korea Republic",S4396)),"South Korea",
ISNUMBER(SEARCH("Germany FR",S4396)),"FR Germany",
ISNUMBER(SEARCH("West Germany",S4396)),"FR Germany",
ISNUMBER(SEARCH("Germany DR",S4396)),"DR Germany",
ISNUMBER(SEARCH("Korea DPR",S4396)),"North Korea",
ISNUMBER(SEARCH("China PR",S4396)),"China",
ISNUMBER(SEARCH("IR Iran",S4396)),"Iran",
ISNUMBER(SEARCH("Congo DR",S4396)),"Democratic Republic of the Congo",
ISNUMBER(SEARCH("DR Congo",S4396)),"Democratic Republic of the Congo",
ISNUMBER(SEARCH("German DR",S4396)),"DR Germany",
ISNUMBER(SEARCH("rn""&gt;United Arab Emirates",S4396)),"United Arab Emirates",
ISNUMBER(SEARCH("rn""&gt;Republic of Ireland",S4396)),"Ireland",
ISNUMBER(SEARCH("rn""&gt;Bosnia and Herzegovina",S4396)),"Bosnia and Herzegovina",
ISNUMBER(SEARCH("rn""&gt;Trinidad and Tobago",S4396)),"Trinidad and Tobago",
ISNUMBER(SEARCH("rn""&gt;Serbia and Montenegro",S4396)),"Serbia and Montenegro",
ISNUMBER(SEARCH(_xlfn.UNICHAR(65533),S4396)),"Côte d'Ivoire",
TRUE,""
)</f>
        <v/>
      </c>
      <c r="W4396" s="40" t="str">
        <f t="shared" si="279"/>
        <v>Paraguay</v>
      </c>
    </row>
    <row r="4397" spans="19:23">
      <c r="S4397" s="40" t="str">
        <v>Scotland</v>
      </c>
      <c r="T4397" s="40" t="str">
        <f t="shared" si="277"/>
        <v>ERREUR</v>
      </c>
      <c r="U4397" s="40" t="str">
        <f t="shared" si="278"/>
        <v>AUCUNE</v>
      </c>
      <c r="V4397" s="40" t="str" cm="1">
        <f t="array" ref="V4397">_xlfn.IFS(
ISNUMBER(SEARCH("USA",S4397)),"United States",
ISNUMBER(SEARCH("Republic of Ireland",S4397)),"Ireland",
ISNUMBER(SEARCH("Republic of Korea",S4397)),"South Korea",
ISNUMBER(SEARCH("Cape Verde",S4397)),"Cabo Verde",
ISNUMBER(SEARCH("Czechia",S4397)),"Czech Republic",
ISNUMBER(SEARCH("Türkiye",S4397)),"Turkey",
ISNUMBER(SEARCH("Ivory Coast",S4397)),"Côte d'Ivoire",
ISNUMBER(SEARCH("Korea Republic",S4397)),"South Korea",
ISNUMBER(SEARCH("Germany FR",S4397)),"FR Germany",
ISNUMBER(SEARCH("West Germany",S4397)),"FR Germany",
ISNUMBER(SEARCH("Germany DR",S4397)),"DR Germany",
ISNUMBER(SEARCH("Korea DPR",S4397)),"North Korea",
ISNUMBER(SEARCH("China PR",S4397)),"China",
ISNUMBER(SEARCH("IR Iran",S4397)),"Iran",
ISNUMBER(SEARCH("Congo DR",S4397)),"Democratic Republic of the Congo",
ISNUMBER(SEARCH("DR Congo",S4397)),"Democratic Republic of the Congo",
ISNUMBER(SEARCH("German DR",S4397)),"DR Germany",
ISNUMBER(SEARCH("rn""&gt;United Arab Emirates",S4397)),"United Arab Emirates",
ISNUMBER(SEARCH("rn""&gt;Republic of Ireland",S4397)),"Ireland",
ISNUMBER(SEARCH("rn""&gt;Bosnia and Herzegovina",S4397)),"Bosnia and Herzegovina",
ISNUMBER(SEARCH("rn""&gt;Trinidad and Tobago",S4397)),"Trinidad and Tobago",
ISNUMBER(SEARCH("rn""&gt;Serbia and Montenegro",S4397)),"Serbia and Montenegro",
ISNUMBER(SEARCH(_xlfn.UNICHAR(65533),S4397)),"Côte d'Ivoire",
TRUE,""
)</f>
        <v/>
      </c>
      <c r="W4397" s="40" t="str">
        <f t="shared" si="279"/>
        <v>Scotland</v>
      </c>
    </row>
    <row r="4398" spans="19:23">
      <c r="S4398" s="40" t="str">
        <v>Türkiye</v>
      </c>
      <c r="T4398" s="40" t="str">
        <f t="shared" si="277"/>
        <v>ERREUR</v>
      </c>
      <c r="U4398" s="40" t="str">
        <f t="shared" si="278"/>
        <v>RENOMMER</v>
      </c>
      <c r="V4398" s="40" t="str" cm="1">
        <f t="array" ref="V4398">_xlfn.IFS(
ISNUMBER(SEARCH("USA",S4398)),"United States",
ISNUMBER(SEARCH("Republic of Ireland",S4398)),"Ireland",
ISNUMBER(SEARCH("Republic of Korea",S4398)),"South Korea",
ISNUMBER(SEARCH("Cape Verde",S4398)),"Cabo Verde",
ISNUMBER(SEARCH("Czechia",S4398)),"Czech Republic",
ISNUMBER(SEARCH("Türkiye",S4398)),"Turkey",
ISNUMBER(SEARCH("Ivory Coast",S4398)),"Côte d'Ivoire",
ISNUMBER(SEARCH("Korea Republic",S4398)),"South Korea",
ISNUMBER(SEARCH("Germany FR",S4398)),"FR Germany",
ISNUMBER(SEARCH("West Germany",S4398)),"FR Germany",
ISNUMBER(SEARCH("Germany DR",S4398)),"DR Germany",
ISNUMBER(SEARCH("Korea DPR",S4398)),"North Korea",
ISNUMBER(SEARCH("China PR",S4398)),"China",
ISNUMBER(SEARCH("IR Iran",S4398)),"Iran",
ISNUMBER(SEARCH("Congo DR",S4398)),"Democratic Republic of the Congo",
ISNUMBER(SEARCH("DR Congo",S4398)),"Democratic Republic of the Congo",
ISNUMBER(SEARCH("German DR",S4398)),"DR Germany",
ISNUMBER(SEARCH("rn""&gt;United Arab Emirates",S4398)),"United Arab Emirates",
ISNUMBER(SEARCH("rn""&gt;Republic of Ireland",S4398)),"Ireland",
ISNUMBER(SEARCH("rn""&gt;Bosnia and Herzegovina",S4398)),"Bosnia and Herzegovina",
ISNUMBER(SEARCH("rn""&gt;Trinidad and Tobago",S4398)),"Trinidad and Tobago",
ISNUMBER(SEARCH("rn""&gt;Serbia and Montenegro",S4398)),"Serbia and Montenegro",
ISNUMBER(SEARCH(_xlfn.UNICHAR(65533),S4398)),"Côte d'Ivoire",
TRUE,""
)</f>
        <v>Turkey</v>
      </c>
      <c r="W4398" s="40" t="str">
        <f t="shared" si="279"/>
        <v>Turkey</v>
      </c>
    </row>
    <row r="4399" spans="19:23">
      <c r="S4399" s="40" t="str">
        <v>Morocco</v>
      </c>
      <c r="T4399" s="40" t="str">
        <f t="shared" si="277"/>
        <v>OK</v>
      </c>
      <c r="U4399" s="40" t="str">
        <f t="shared" si="278"/>
        <v>-</v>
      </c>
      <c r="V4399" s="40" t="str" cm="1">
        <f t="array" ref="V4399">_xlfn.IFS(
ISNUMBER(SEARCH("USA",S4399)),"United States",
ISNUMBER(SEARCH("Republic of Ireland",S4399)),"Ireland",
ISNUMBER(SEARCH("Republic of Korea",S4399)),"South Korea",
ISNUMBER(SEARCH("Cape Verde",S4399)),"Cabo Verde",
ISNUMBER(SEARCH("Czechia",S4399)),"Czech Republic",
ISNUMBER(SEARCH("Türkiye",S4399)),"Turkey",
ISNUMBER(SEARCH("Ivory Coast",S4399)),"Côte d'Ivoire",
ISNUMBER(SEARCH("Korea Republic",S4399)),"South Korea",
ISNUMBER(SEARCH("Germany FR",S4399)),"FR Germany",
ISNUMBER(SEARCH("West Germany",S4399)),"FR Germany",
ISNUMBER(SEARCH("Germany DR",S4399)),"DR Germany",
ISNUMBER(SEARCH("Korea DPR",S4399)),"North Korea",
ISNUMBER(SEARCH("China PR",S4399)),"China",
ISNUMBER(SEARCH("IR Iran",S4399)),"Iran",
ISNUMBER(SEARCH("Congo DR",S4399)),"Democratic Republic of the Congo",
ISNUMBER(SEARCH("DR Congo",S4399)),"Democratic Republic of the Congo",
ISNUMBER(SEARCH("German DR",S4399)),"DR Germany",
ISNUMBER(SEARCH("rn""&gt;United Arab Emirates",S4399)),"United Arab Emirates",
ISNUMBER(SEARCH("rn""&gt;Republic of Ireland",S4399)),"Ireland",
ISNUMBER(SEARCH("rn""&gt;Bosnia and Herzegovina",S4399)),"Bosnia and Herzegovina",
ISNUMBER(SEARCH("rn""&gt;Trinidad and Tobago",S4399)),"Trinidad and Tobago",
ISNUMBER(SEARCH("rn""&gt;Serbia and Montenegro",S4399)),"Serbia and Montenegro",
ISNUMBER(SEARCH(_xlfn.UNICHAR(65533),S4399)),"Côte d'Ivoire",
TRUE,""
)</f>
        <v/>
      </c>
      <c r="W4399" s="40" t="str">
        <f t="shared" si="279"/>
        <v>Morocco</v>
      </c>
    </row>
    <row r="4400" spans="19:23">
      <c r="S4400" s="40" t="str">
        <v>Switzerland</v>
      </c>
      <c r="T4400" s="40" t="str">
        <f t="shared" si="277"/>
        <v>OK</v>
      </c>
      <c r="U4400" s="40" t="str">
        <f t="shared" si="278"/>
        <v>-</v>
      </c>
      <c r="V4400" s="40" t="str" cm="1">
        <f t="array" ref="V4400">_xlfn.IFS(
ISNUMBER(SEARCH("USA",S4400)),"United States",
ISNUMBER(SEARCH("Republic of Ireland",S4400)),"Ireland",
ISNUMBER(SEARCH("Republic of Korea",S4400)),"South Korea",
ISNUMBER(SEARCH("Cape Verde",S4400)),"Cabo Verde",
ISNUMBER(SEARCH("Czechia",S4400)),"Czech Republic",
ISNUMBER(SEARCH("Türkiye",S4400)),"Turkey",
ISNUMBER(SEARCH("Ivory Coast",S4400)),"Côte d'Ivoire",
ISNUMBER(SEARCH("Korea Republic",S4400)),"South Korea",
ISNUMBER(SEARCH("Germany FR",S4400)),"FR Germany",
ISNUMBER(SEARCH("West Germany",S4400)),"FR Germany",
ISNUMBER(SEARCH("Germany DR",S4400)),"DR Germany",
ISNUMBER(SEARCH("Korea DPR",S4400)),"North Korea",
ISNUMBER(SEARCH("China PR",S4400)),"China",
ISNUMBER(SEARCH("IR Iran",S4400)),"Iran",
ISNUMBER(SEARCH("Congo DR",S4400)),"Democratic Republic of the Congo",
ISNUMBER(SEARCH("DR Congo",S4400)),"Democratic Republic of the Congo",
ISNUMBER(SEARCH("German DR",S4400)),"DR Germany",
ISNUMBER(SEARCH("rn""&gt;United Arab Emirates",S4400)),"United Arab Emirates",
ISNUMBER(SEARCH("rn""&gt;Republic of Ireland",S4400)),"Ireland",
ISNUMBER(SEARCH("rn""&gt;Bosnia and Herzegovina",S4400)),"Bosnia and Herzegovina",
ISNUMBER(SEARCH("rn""&gt;Trinidad and Tobago",S4400)),"Trinidad and Tobago",
ISNUMBER(SEARCH("rn""&gt;Serbia and Montenegro",S4400)),"Serbia and Montenegro",
ISNUMBER(SEARCH(_xlfn.UNICHAR(65533),S4400)),"Côte d'Ivoire",
TRUE,""
)</f>
        <v/>
      </c>
      <c r="W4400" s="40" t="str">
        <f t="shared" si="279"/>
        <v>Switzerland</v>
      </c>
    </row>
    <row r="4401" spans="19:23">
      <c r="S4401" s="40" t="str">
        <v>Curaçao</v>
      </c>
      <c r="T4401" s="40" t="str">
        <f t="shared" si="277"/>
        <v>OK</v>
      </c>
      <c r="U4401" s="40" t="str">
        <f t="shared" si="278"/>
        <v>-</v>
      </c>
      <c r="V4401" s="40" t="str" cm="1">
        <f t="array" ref="V4401">_xlfn.IFS(
ISNUMBER(SEARCH("USA",S4401)),"United States",
ISNUMBER(SEARCH("Republic of Ireland",S4401)),"Ireland",
ISNUMBER(SEARCH("Republic of Korea",S4401)),"South Korea",
ISNUMBER(SEARCH("Cape Verde",S4401)),"Cabo Verde",
ISNUMBER(SEARCH("Czechia",S4401)),"Czech Republic",
ISNUMBER(SEARCH("Türkiye",S4401)),"Turkey",
ISNUMBER(SEARCH("Ivory Coast",S4401)),"Côte d'Ivoire",
ISNUMBER(SEARCH("Korea Republic",S4401)),"South Korea",
ISNUMBER(SEARCH("Germany FR",S4401)),"FR Germany",
ISNUMBER(SEARCH("West Germany",S4401)),"FR Germany",
ISNUMBER(SEARCH("Germany DR",S4401)),"DR Germany",
ISNUMBER(SEARCH("Korea DPR",S4401)),"North Korea",
ISNUMBER(SEARCH("China PR",S4401)),"China",
ISNUMBER(SEARCH("IR Iran",S4401)),"Iran",
ISNUMBER(SEARCH("Congo DR",S4401)),"Democratic Republic of the Congo",
ISNUMBER(SEARCH("DR Congo",S4401)),"Democratic Republic of the Congo",
ISNUMBER(SEARCH("German DR",S4401)),"DR Germany",
ISNUMBER(SEARCH("rn""&gt;United Arab Emirates",S4401)),"United Arab Emirates",
ISNUMBER(SEARCH("rn""&gt;Republic of Ireland",S4401)),"Ireland",
ISNUMBER(SEARCH("rn""&gt;Bosnia and Herzegovina",S4401)),"Bosnia and Herzegovina",
ISNUMBER(SEARCH("rn""&gt;Trinidad and Tobago",S4401)),"Trinidad and Tobago",
ISNUMBER(SEARCH("rn""&gt;Serbia and Montenegro",S4401)),"Serbia and Montenegro",
ISNUMBER(SEARCH(_xlfn.UNICHAR(65533),S4401)),"Côte d'Ivoire",
TRUE,""
)</f>
        <v/>
      </c>
      <c r="W4401" s="40" t="str">
        <f t="shared" si="279"/>
        <v>Curaçao</v>
      </c>
    </row>
    <row r="4402" spans="19:23">
      <c r="S4402" s="40" t="str">
        <v>Japan</v>
      </c>
      <c r="T4402" s="40" t="str">
        <f t="shared" si="277"/>
        <v>OK</v>
      </c>
      <c r="U4402" s="40" t="str">
        <f t="shared" si="278"/>
        <v>-</v>
      </c>
      <c r="V4402" s="40" t="str" cm="1">
        <f t="array" ref="V4402">_xlfn.IFS(
ISNUMBER(SEARCH("USA",S4402)),"United States",
ISNUMBER(SEARCH("Republic of Ireland",S4402)),"Ireland",
ISNUMBER(SEARCH("Republic of Korea",S4402)),"South Korea",
ISNUMBER(SEARCH("Cape Verde",S4402)),"Cabo Verde",
ISNUMBER(SEARCH("Czechia",S4402)),"Czech Republic",
ISNUMBER(SEARCH("Türkiye",S4402)),"Turkey",
ISNUMBER(SEARCH("Ivory Coast",S4402)),"Côte d'Ivoire",
ISNUMBER(SEARCH("Korea Republic",S4402)),"South Korea",
ISNUMBER(SEARCH("Germany FR",S4402)),"FR Germany",
ISNUMBER(SEARCH("West Germany",S4402)),"FR Germany",
ISNUMBER(SEARCH("Germany DR",S4402)),"DR Germany",
ISNUMBER(SEARCH("Korea DPR",S4402)),"North Korea",
ISNUMBER(SEARCH("China PR",S4402)),"China",
ISNUMBER(SEARCH("IR Iran",S4402)),"Iran",
ISNUMBER(SEARCH("Congo DR",S4402)),"Democratic Republic of the Congo",
ISNUMBER(SEARCH("DR Congo",S4402)),"Democratic Republic of the Congo",
ISNUMBER(SEARCH("German DR",S4402)),"DR Germany",
ISNUMBER(SEARCH("rn""&gt;United Arab Emirates",S4402)),"United Arab Emirates",
ISNUMBER(SEARCH("rn""&gt;Republic of Ireland",S4402)),"Ireland",
ISNUMBER(SEARCH("rn""&gt;Bosnia and Herzegovina",S4402)),"Bosnia and Herzegovina",
ISNUMBER(SEARCH("rn""&gt;Trinidad and Tobago",S4402)),"Trinidad and Tobago",
ISNUMBER(SEARCH("rn""&gt;Serbia and Montenegro",S4402)),"Serbia and Montenegro",
ISNUMBER(SEARCH(_xlfn.UNICHAR(65533),S4402)),"Côte d'Ivoire",
TRUE,""
)</f>
        <v/>
      </c>
      <c r="W4402" s="40" t="str">
        <f t="shared" si="279"/>
        <v>Japan</v>
      </c>
    </row>
    <row r="4403" spans="19:23">
      <c r="S4403" s="40" t="str">
        <v>Ecuador</v>
      </c>
      <c r="T4403" s="40" t="str">
        <f t="shared" si="277"/>
        <v>OK</v>
      </c>
      <c r="U4403" s="40" t="str">
        <f t="shared" si="278"/>
        <v>-</v>
      </c>
      <c r="V4403" s="40" t="str" cm="1">
        <f t="array" ref="V4403">_xlfn.IFS(
ISNUMBER(SEARCH("USA",S4403)),"United States",
ISNUMBER(SEARCH("Republic of Ireland",S4403)),"Ireland",
ISNUMBER(SEARCH("Republic of Korea",S4403)),"South Korea",
ISNUMBER(SEARCH("Cape Verde",S4403)),"Cabo Verde",
ISNUMBER(SEARCH("Czechia",S4403)),"Czech Republic",
ISNUMBER(SEARCH("Türkiye",S4403)),"Turkey",
ISNUMBER(SEARCH("Ivory Coast",S4403)),"Côte d'Ivoire",
ISNUMBER(SEARCH("Korea Republic",S4403)),"South Korea",
ISNUMBER(SEARCH("Germany FR",S4403)),"FR Germany",
ISNUMBER(SEARCH("West Germany",S4403)),"FR Germany",
ISNUMBER(SEARCH("Germany DR",S4403)),"DR Germany",
ISNUMBER(SEARCH("Korea DPR",S4403)),"North Korea",
ISNUMBER(SEARCH("China PR",S4403)),"China",
ISNUMBER(SEARCH("IR Iran",S4403)),"Iran",
ISNUMBER(SEARCH("Congo DR",S4403)),"Democratic Republic of the Congo",
ISNUMBER(SEARCH("DR Congo",S4403)),"Democratic Republic of the Congo",
ISNUMBER(SEARCH("German DR",S4403)),"DR Germany",
ISNUMBER(SEARCH("rn""&gt;United Arab Emirates",S4403)),"United Arab Emirates",
ISNUMBER(SEARCH("rn""&gt;Republic of Ireland",S4403)),"Ireland",
ISNUMBER(SEARCH("rn""&gt;Bosnia and Herzegovina",S4403)),"Bosnia and Herzegovina",
ISNUMBER(SEARCH("rn""&gt;Trinidad and Tobago",S4403)),"Trinidad and Tobago",
ISNUMBER(SEARCH("rn""&gt;Serbia and Montenegro",S4403)),"Serbia and Montenegro",
ISNUMBER(SEARCH(_xlfn.UNICHAR(65533),S4403)),"Côte d'Ivoire",
TRUE,""
)</f>
        <v/>
      </c>
      <c r="W4403" s="40" t="str">
        <f t="shared" si="279"/>
        <v>Ecuador</v>
      </c>
    </row>
    <row r="4404" spans="19:23">
      <c r="S4404" s="40" t="str">
        <v>Tunisia</v>
      </c>
      <c r="T4404" s="40" t="str">
        <f t="shared" si="277"/>
        <v>OK</v>
      </c>
      <c r="U4404" s="40" t="str">
        <f t="shared" si="278"/>
        <v>-</v>
      </c>
      <c r="V4404" s="40" t="str" cm="1">
        <f t="array" ref="V4404">_xlfn.IFS(
ISNUMBER(SEARCH("USA",S4404)),"United States",
ISNUMBER(SEARCH("Republic of Ireland",S4404)),"Ireland",
ISNUMBER(SEARCH("Republic of Korea",S4404)),"South Korea",
ISNUMBER(SEARCH("Cape Verde",S4404)),"Cabo Verde",
ISNUMBER(SEARCH("Czechia",S4404)),"Czech Republic",
ISNUMBER(SEARCH("Türkiye",S4404)),"Turkey",
ISNUMBER(SEARCH("Ivory Coast",S4404)),"Côte d'Ivoire",
ISNUMBER(SEARCH("Korea Republic",S4404)),"South Korea",
ISNUMBER(SEARCH("Germany FR",S4404)),"FR Germany",
ISNUMBER(SEARCH("West Germany",S4404)),"FR Germany",
ISNUMBER(SEARCH("Germany DR",S4404)),"DR Germany",
ISNUMBER(SEARCH("Korea DPR",S4404)),"North Korea",
ISNUMBER(SEARCH("China PR",S4404)),"China",
ISNUMBER(SEARCH("IR Iran",S4404)),"Iran",
ISNUMBER(SEARCH("Congo DR",S4404)),"Democratic Republic of the Congo",
ISNUMBER(SEARCH("DR Congo",S4404)),"Democratic Republic of the Congo",
ISNUMBER(SEARCH("German DR",S4404)),"DR Germany",
ISNUMBER(SEARCH("rn""&gt;United Arab Emirates",S4404)),"United Arab Emirates",
ISNUMBER(SEARCH("rn""&gt;Republic of Ireland",S4404)),"Ireland",
ISNUMBER(SEARCH("rn""&gt;Bosnia and Herzegovina",S4404)),"Bosnia and Herzegovina",
ISNUMBER(SEARCH("rn""&gt;Trinidad and Tobago",S4404)),"Trinidad and Tobago",
ISNUMBER(SEARCH("rn""&gt;Serbia and Montenegro",S4404)),"Serbia and Montenegro",
ISNUMBER(SEARCH(_xlfn.UNICHAR(65533),S4404)),"Côte d'Ivoire",
TRUE,""
)</f>
        <v/>
      </c>
      <c r="W4404" s="40" t="str">
        <f t="shared" si="279"/>
        <v>Tunisia</v>
      </c>
    </row>
    <row r="4405" spans="19:23">
      <c r="S4405" s="40" t="str">
        <v>Cabo Verde</v>
      </c>
      <c r="T4405" s="40" t="str">
        <f t="shared" si="277"/>
        <v>OK</v>
      </c>
      <c r="U4405" s="40" t="str">
        <f t="shared" si="278"/>
        <v>-</v>
      </c>
      <c r="V4405" s="40" t="str" cm="1">
        <f t="array" ref="V4405">_xlfn.IFS(
ISNUMBER(SEARCH("USA",S4405)),"United States",
ISNUMBER(SEARCH("Republic of Ireland",S4405)),"Ireland",
ISNUMBER(SEARCH("Republic of Korea",S4405)),"South Korea",
ISNUMBER(SEARCH("Cape Verde",S4405)),"Cabo Verde",
ISNUMBER(SEARCH("Czechia",S4405)),"Czech Republic",
ISNUMBER(SEARCH("Türkiye",S4405)),"Turkey",
ISNUMBER(SEARCH("Ivory Coast",S4405)),"Côte d'Ivoire",
ISNUMBER(SEARCH("Korea Republic",S4405)),"South Korea",
ISNUMBER(SEARCH("Germany FR",S4405)),"FR Germany",
ISNUMBER(SEARCH("West Germany",S4405)),"FR Germany",
ISNUMBER(SEARCH("Germany DR",S4405)),"DR Germany",
ISNUMBER(SEARCH("Korea DPR",S4405)),"North Korea",
ISNUMBER(SEARCH("China PR",S4405)),"China",
ISNUMBER(SEARCH("IR Iran",S4405)),"Iran",
ISNUMBER(SEARCH("Congo DR",S4405)),"Democratic Republic of the Congo",
ISNUMBER(SEARCH("DR Congo",S4405)),"Democratic Republic of the Congo",
ISNUMBER(SEARCH("German DR",S4405)),"DR Germany",
ISNUMBER(SEARCH("rn""&gt;United Arab Emirates",S4405)),"United Arab Emirates",
ISNUMBER(SEARCH("rn""&gt;Republic of Ireland",S4405)),"Ireland",
ISNUMBER(SEARCH("rn""&gt;Bosnia and Herzegovina",S4405)),"Bosnia and Herzegovina",
ISNUMBER(SEARCH("rn""&gt;Trinidad and Tobago",S4405)),"Trinidad and Tobago",
ISNUMBER(SEARCH("rn""&gt;Serbia and Montenegro",S4405)),"Serbia and Montenegro",
ISNUMBER(SEARCH(_xlfn.UNICHAR(65533),S4405)),"Côte d'Ivoire",
TRUE,""
)</f>
        <v/>
      </c>
      <c r="W4405" s="40" t="str">
        <f t="shared" si="279"/>
        <v>Cabo Verde</v>
      </c>
    </row>
    <row r="4406" spans="19:23">
      <c r="S4406" s="40" t="str">
        <v>Egypt</v>
      </c>
      <c r="T4406" s="40" t="str">
        <f t="shared" si="277"/>
        <v>OK</v>
      </c>
      <c r="U4406" s="40" t="str">
        <f t="shared" si="278"/>
        <v>-</v>
      </c>
      <c r="V4406" s="40" t="str" cm="1">
        <f t="array" ref="V4406">_xlfn.IFS(
ISNUMBER(SEARCH("USA",S4406)),"United States",
ISNUMBER(SEARCH("Republic of Ireland",S4406)),"Ireland",
ISNUMBER(SEARCH("Republic of Korea",S4406)),"South Korea",
ISNUMBER(SEARCH("Cape Verde",S4406)),"Cabo Verde",
ISNUMBER(SEARCH("Czechia",S4406)),"Czech Republic",
ISNUMBER(SEARCH("Türkiye",S4406)),"Turkey",
ISNUMBER(SEARCH("Ivory Coast",S4406)),"Côte d'Ivoire",
ISNUMBER(SEARCH("Korea Republic",S4406)),"South Korea",
ISNUMBER(SEARCH("Germany FR",S4406)),"FR Germany",
ISNUMBER(SEARCH("West Germany",S4406)),"FR Germany",
ISNUMBER(SEARCH("Germany DR",S4406)),"DR Germany",
ISNUMBER(SEARCH("Korea DPR",S4406)),"North Korea",
ISNUMBER(SEARCH("China PR",S4406)),"China",
ISNUMBER(SEARCH("IR Iran",S4406)),"Iran",
ISNUMBER(SEARCH("Congo DR",S4406)),"Democratic Republic of the Congo",
ISNUMBER(SEARCH("DR Congo",S4406)),"Democratic Republic of the Congo",
ISNUMBER(SEARCH("German DR",S4406)),"DR Germany",
ISNUMBER(SEARCH("rn""&gt;United Arab Emirates",S4406)),"United Arab Emirates",
ISNUMBER(SEARCH("rn""&gt;Republic of Ireland",S4406)),"Ireland",
ISNUMBER(SEARCH("rn""&gt;Bosnia and Herzegovina",S4406)),"Bosnia and Herzegovina",
ISNUMBER(SEARCH("rn""&gt;Trinidad and Tobago",S4406)),"Trinidad and Tobago",
ISNUMBER(SEARCH("rn""&gt;Serbia and Montenegro",S4406)),"Serbia and Montenegro",
ISNUMBER(SEARCH(_xlfn.UNICHAR(65533),S4406)),"Côte d'Ivoire",
TRUE,""
)</f>
        <v/>
      </c>
      <c r="W4406" s="40" t="str">
        <f t="shared" si="279"/>
        <v>Egypt</v>
      </c>
    </row>
    <row r="4407" spans="19:23">
      <c r="S4407" s="40" t="str">
        <v>Uruguay</v>
      </c>
      <c r="T4407" s="40" t="str">
        <f t="shared" si="277"/>
        <v>OK</v>
      </c>
      <c r="U4407" s="40" t="str">
        <f t="shared" si="278"/>
        <v>-</v>
      </c>
      <c r="V4407" s="40" t="str" cm="1">
        <f t="array" ref="V4407">_xlfn.IFS(
ISNUMBER(SEARCH("USA",S4407)),"United States",
ISNUMBER(SEARCH("Republic of Ireland",S4407)),"Ireland",
ISNUMBER(SEARCH("Republic of Korea",S4407)),"South Korea",
ISNUMBER(SEARCH("Cape Verde",S4407)),"Cabo Verde",
ISNUMBER(SEARCH("Czechia",S4407)),"Czech Republic",
ISNUMBER(SEARCH("Türkiye",S4407)),"Turkey",
ISNUMBER(SEARCH("Ivory Coast",S4407)),"Côte d'Ivoire",
ISNUMBER(SEARCH("Korea Republic",S4407)),"South Korea",
ISNUMBER(SEARCH("Germany FR",S4407)),"FR Germany",
ISNUMBER(SEARCH("West Germany",S4407)),"FR Germany",
ISNUMBER(SEARCH("Germany DR",S4407)),"DR Germany",
ISNUMBER(SEARCH("Korea DPR",S4407)),"North Korea",
ISNUMBER(SEARCH("China PR",S4407)),"China",
ISNUMBER(SEARCH("IR Iran",S4407)),"Iran",
ISNUMBER(SEARCH("Congo DR",S4407)),"Democratic Republic of the Congo",
ISNUMBER(SEARCH("DR Congo",S4407)),"Democratic Republic of the Congo",
ISNUMBER(SEARCH("German DR",S4407)),"DR Germany",
ISNUMBER(SEARCH("rn""&gt;United Arab Emirates",S4407)),"United Arab Emirates",
ISNUMBER(SEARCH("rn""&gt;Republic of Ireland",S4407)),"Ireland",
ISNUMBER(SEARCH("rn""&gt;Bosnia and Herzegovina",S4407)),"Bosnia and Herzegovina",
ISNUMBER(SEARCH("rn""&gt;Trinidad and Tobago",S4407)),"Trinidad and Tobago",
ISNUMBER(SEARCH("rn""&gt;Serbia and Montenegro",S4407)),"Serbia and Montenegro",
ISNUMBER(SEARCH(_xlfn.UNICHAR(65533),S4407)),"Côte d'Ivoire",
TRUE,""
)</f>
        <v/>
      </c>
      <c r="W4407" s="40" t="str">
        <f t="shared" si="279"/>
        <v>Uruguay</v>
      </c>
    </row>
    <row r="4408" spans="19:23">
      <c r="S4408" s="40" t="str">
        <v>New Zealand</v>
      </c>
      <c r="T4408" s="40" t="str">
        <f t="shared" si="277"/>
        <v>OK</v>
      </c>
      <c r="U4408" s="40" t="str">
        <f t="shared" si="278"/>
        <v>-</v>
      </c>
      <c r="V4408" s="40" t="str" cm="1">
        <f t="array" ref="V4408">_xlfn.IFS(
ISNUMBER(SEARCH("USA",S4408)),"United States",
ISNUMBER(SEARCH("Republic of Ireland",S4408)),"Ireland",
ISNUMBER(SEARCH("Republic of Korea",S4408)),"South Korea",
ISNUMBER(SEARCH("Cape Verde",S4408)),"Cabo Verde",
ISNUMBER(SEARCH("Czechia",S4408)),"Czech Republic",
ISNUMBER(SEARCH("Türkiye",S4408)),"Turkey",
ISNUMBER(SEARCH("Ivory Coast",S4408)),"Côte d'Ivoire",
ISNUMBER(SEARCH("Korea Republic",S4408)),"South Korea",
ISNUMBER(SEARCH("Germany FR",S4408)),"FR Germany",
ISNUMBER(SEARCH("West Germany",S4408)),"FR Germany",
ISNUMBER(SEARCH("Germany DR",S4408)),"DR Germany",
ISNUMBER(SEARCH("Korea DPR",S4408)),"North Korea",
ISNUMBER(SEARCH("China PR",S4408)),"China",
ISNUMBER(SEARCH("IR Iran",S4408)),"Iran",
ISNUMBER(SEARCH("Congo DR",S4408)),"Democratic Republic of the Congo",
ISNUMBER(SEARCH("DR Congo",S4408)),"Democratic Republic of the Congo",
ISNUMBER(SEARCH("German DR",S4408)),"DR Germany",
ISNUMBER(SEARCH("rn""&gt;United Arab Emirates",S4408)),"United Arab Emirates",
ISNUMBER(SEARCH("rn""&gt;Republic of Ireland",S4408)),"Ireland",
ISNUMBER(SEARCH("rn""&gt;Bosnia and Herzegovina",S4408)),"Bosnia and Herzegovina",
ISNUMBER(SEARCH("rn""&gt;Trinidad and Tobago",S4408)),"Trinidad and Tobago",
ISNUMBER(SEARCH("rn""&gt;Serbia and Montenegro",S4408)),"Serbia and Montenegro",
ISNUMBER(SEARCH(_xlfn.UNICHAR(65533),S4408)),"Côte d'Ivoire",
TRUE,""
)</f>
        <v/>
      </c>
      <c r="W4408" s="40" t="str">
        <f t="shared" si="279"/>
        <v>New Zealand</v>
      </c>
    </row>
    <row r="4409" spans="19:23">
      <c r="S4409" s="40" t="str">
        <v>Senegal</v>
      </c>
      <c r="T4409" s="40" t="str">
        <f t="shared" si="277"/>
        <v>OK</v>
      </c>
      <c r="U4409" s="40" t="str">
        <f t="shared" si="278"/>
        <v>-</v>
      </c>
      <c r="V4409" s="40" t="str" cm="1">
        <f t="array" ref="V4409">_xlfn.IFS(
ISNUMBER(SEARCH("USA",S4409)),"United States",
ISNUMBER(SEARCH("Republic of Ireland",S4409)),"Ireland",
ISNUMBER(SEARCH("Republic of Korea",S4409)),"South Korea",
ISNUMBER(SEARCH("Cape Verde",S4409)),"Cabo Verde",
ISNUMBER(SEARCH("Czechia",S4409)),"Czech Republic",
ISNUMBER(SEARCH("Türkiye",S4409)),"Turkey",
ISNUMBER(SEARCH("Ivory Coast",S4409)),"Côte d'Ivoire",
ISNUMBER(SEARCH("Korea Republic",S4409)),"South Korea",
ISNUMBER(SEARCH("Germany FR",S4409)),"FR Germany",
ISNUMBER(SEARCH("West Germany",S4409)),"FR Germany",
ISNUMBER(SEARCH("Germany DR",S4409)),"DR Germany",
ISNUMBER(SEARCH("Korea DPR",S4409)),"North Korea",
ISNUMBER(SEARCH("China PR",S4409)),"China",
ISNUMBER(SEARCH("IR Iran",S4409)),"Iran",
ISNUMBER(SEARCH("Congo DR",S4409)),"Democratic Republic of the Congo",
ISNUMBER(SEARCH("DR Congo",S4409)),"Democratic Republic of the Congo",
ISNUMBER(SEARCH("German DR",S4409)),"DR Germany",
ISNUMBER(SEARCH("rn""&gt;United Arab Emirates",S4409)),"United Arab Emirates",
ISNUMBER(SEARCH("rn""&gt;Republic of Ireland",S4409)),"Ireland",
ISNUMBER(SEARCH("rn""&gt;Bosnia and Herzegovina",S4409)),"Bosnia and Herzegovina",
ISNUMBER(SEARCH("rn""&gt;Trinidad and Tobago",S4409)),"Trinidad and Tobago",
ISNUMBER(SEARCH("rn""&gt;Serbia and Montenegro",S4409)),"Serbia and Montenegro",
ISNUMBER(SEARCH(_xlfn.UNICHAR(65533),S4409)),"Côte d'Ivoire",
TRUE,""
)</f>
        <v/>
      </c>
      <c r="W4409" s="40" t="str">
        <f t="shared" si="279"/>
        <v>Senegal</v>
      </c>
    </row>
    <row r="4410" spans="19:23">
      <c r="S4410" s="40" t="str">
        <v>Norway</v>
      </c>
      <c r="T4410" s="40" t="str">
        <f t="shared" si="277"/>
        <v>OK</v>
      </c>
      <c r="U4410" s="40" t="str">
        <f t="shared" si="278"/>
        <v>-</v>
      </c>
      <c r="V4410" s="40" t="str" cm="1">
        <f t="array" ref="V4410">_xlfn.IFS(
ISNUMBER(SEARCH("USA",S4410)),"United States",
ISNUMBER(SEARCH("Republic of Ireland",S4410)),"Ireland",
ISNUMBER(SEARCH("Republic of Korea",S4410)),"South Korea",
ISNUMBER(SEARCH("Cape Verde",S4410)),"Cabo Verde",
ISNUMBER(SEARCH("Czechia",S4410)),"Czech Republic",
ISNUMBER(SEARCH("Türkiye",S4410)),"Turkey",
ISNUMBER(SEARCH("Ivory Coast",S4410)),"Côte d'Ivoire",
ISNUMBER(SEARCH("Korea Republic",S4410)),"South Korea",
ISNUMBER(SEARCH("Germany FR",S4410)),"FR Germany",
ISNUMBER(SEARCH("West Germany",S4410)),"FR Germany",
ISNUMBER(SEARCH("Germany DR",S4410)),"DR Germany",
ISNUMBER(SEARCH("Korea DPR",S4410)),"North Korea",
ISNUMBER(SEARCH("China PR",S4410)),"China",
ISNUMBER(SEARCH("IR Iran",S4410)),"Iran",
ISNUMBER(SEARCH("Congo DR",S4410)),"Democratic Republic of the Congo",
ISNUMBER(SEARCH("DR Congo",S4410)),"Democratic Republic of the Congo",
ISNUMBER(SEARCH("German DR",S4410)),"DR Germany",
ISNUMBER(SEARCH("rn""&gt;United Arab Emirates",S4410)),"United Arab Emirates",
ISNUMBER(SEARCH("rn""&gt;Republic of Ireland",S4410)),"Ireland",
ISNUMBER(SEARCH("rn""&gt;Bosnia and Herzegovina",S4410)),"Bosnia and Herzegovina",
ISNUMBER(SEARCH("rn""&gt;Trinidad and Tobago",S4410)),"Trinidad and Tobago",
ISNUMBER(SEARCH("rn""&gt;Serbia and Montenegro",S4410)),"Serbia and Montenegro",
ISNUMBER(SEARCH(_xlfn.UNICHAR(65533),S4410)),"Côte d'Ivoire",
TRUE,""
)</f>
        <v/>
      </c>
      <c r="W4410" s="40" t="str">
        <f t="shared" si="279"/>
        <v>Norway</v>
      </c>
    </row>
    <row r="4411" spans="19:23">
      <c r="S4411" s="40" t="str">
        <v>Algeria</v>
      </c>
      <c r="T4411" s="40" t="str">
        <f t="shared" si="277"/>
        <v>OK</v>
      </c>
      <c r="U4411" s="40" t="str">
        <f t="shared" si="278"/>
        <v>-</v>
      </c>
      <c r="V4411" s="40" t="str" cm="1">
        <f t="array" ref="V4411">_xlfn.IFS(
ISNUMBER(SEARCH("USA",S4411)),"United States",
ISNUMBER(SEARCH("Republic of Ireland",S4411)),"Ireland",
ISNUMBER(SEARCH("Republic of Korea",S4411)),"South Korea",
ISNUMBER(SEARCH("Cape Verde",S4411)),"Cabo Verde",
ISNUMBER(SEARCH("Czechia",S4411)),"Czech Republic",
ISNUMBER(SEARCH("Türkiye",S4411)),"Turkey",
ISNUMBER(SEARCH("Ivory Coast",S4411)),"Côte d'Ivoire",
ISNUMBER(SEARCH("Korea Republic",S4411)),"South Korea",
ISNUMBER(SEARCH("Germany FR",S4411)),"FR Germany",
ISNUMBER(SEARCH("West Germany",S4411)),"FR Germany",
ISNUMBER(SEARCH("Germany DR",S4411)),"DR Germany",
ISNUMBER(SEARCH("Korea DPR",S4411)),"North Korea",
ISNUMBER(SEARCH("China PR",S4411)),"China",
ISNUMBER(SEARCH("IR Iran",S4411)),"Iran",
ISNUMBER(SEARCH("Congo DR",S4411)),"Democratic Republic of the Congo",
ISNUMBER(SEARCH("DR Congo",S4411)),"Democratic Republic of the Congo",
ISNUMBER(SEARCH("German DR",S4411)),"DR Germany",
ISNUMBER(SEARCH("rn""&gt;United Arab Emirates",S4411)),"United Arab Emirates",
ISNUMBER(SEARCH("rn""&gt;Republic of Ireland",S4411)),"Ireland",
ISNUMBER(SEARCH("rn""&gt;Bosnia and Herzegovina",S4411)),"Bosnia and Herzegovina",
ISNUMBER(SEARCH("rn""&gt;Trinidad and Tobago",S4411)),"Trinidad and Tobago",
ISNUMBER(SEARCH("rn""&gt;Serbia and Montenegro",S4411)),"Serbia and Montenegro",
ISNUMBER(SEARCH(_xlfn.UNICHAR(65533),S4411)),"Côte d'Ivoire",
TRUE,""
)</f>
        <v/>
      </c>
      <c r="W4411" s="40" t="str">
        <f t="shared" si="279"/>
        <v>Algeria</v>
      </c>
    </row>
    <row r="4412" spans="19:23">
      <c r="S4412" s="40" t="str">
        <v>Jordan</v>
      </c>
      <c r="T4412" s="40" t="str">
        <f t="shared" si="277"/>
        <v>OK</v>
      </c>
      <c r="U4412" s="40" t="str">
        <f t="shared" si="278"/>
        <v>-</v>
      </c>
      <c r="V4412" s="40" t="str" cm="1">
        <f t="array" ref="V4412">_xlfn.IFS(
ISNUMBER(SEARCH("USA",S4412)),"United States",
ISNUMBER(SEARCH("Republic of Ireland",S4412)),"Ireland",
ISNUMBER(SEARCH("Republic of Korea",S4412)),"South Korea",
ISNUMBER(SEARCH("Cape Verde",S4412)),"Cabo Verde",
ISNUMBER(SEARCH("Czechia",S4412)),"Czech Republic",
ISNUMBER(SEARCH("Türkiye",S4412)),"Turkey",
ISNUMBER(SEARCH("Ivory Coast",S4412)),"Côte d'Ivoire",
ISNUMBER(SEARCH("Korea Republic",S4412)),"South Korea",
ISNUMBER(SEARCH("Germany FR",S4412)),"FR Germany",
ISNUMBER(SEARCH("West Germany",S4412)),"FR Germany",
ISNUMBER(SEARCH("Germany DR",S4412)),"DR Germany",
ISNUMBER(SEARCH("Korea DPR",S4412)),"North Korea",
ISNUMBER(SEARCH("China PR",S4412)),"China",
ISNUMBER(SEARCH("IR Iran",S4412)),"Iran",
ISNUMBER(SEARCH("Congo DR",S4412)),"Democratic Republic of the Congo",
ISNUMBER(SEARCH("DR Congo",S4412)),"Democratic Republic of the Congo",
ISNUMBER(SEARCH("German DR",S4412)),"DR Germany",
ISNUMBER(SEARCH("rn""&gt;United Arab Emirates",S4412)),"United Arab Emirates",
ISNUMBER(SEARCH("rn""&gt;Republic of Ireland",S4412)),"Ireland",
ISNUMBER(SEARCH("rn""&gt;Bosnia and Herzegovina",S4412)),"Bosnia and Herzegovina",
ISNUMBER(SEARCH("rn""&gt;Trinidad and Tobago",S4412)),"Trinidad and Tobago",
ISNUMBER(SEARCH("rn""&gt;Serbia and Montenegro",S4412)),"Serbia and Montenegro",
ISNUMBER(SEARCH(_xlfn.UNICHAR(65533),S4412)),"Côte d'Ivoire",
TRUE,""
)</f>
        <v/>
      </c>
      <c r="W4412" s="40" t="str">
        <f t="shared" si="279"/>
        <v>Jordan</v>
      </c>
    </row>
    <row r="4413" spans="19:23">
      <c r="S4413" s="40" t="str">
        <v>Congo DR</v>
      </c>
      <c r="T4413" s="40" t="str">
        <f t="shared" si="277"/>
        <v>ERREUR</v>
      </c>
      <c r="U4413" s="40" t="str">
        <f t="shared" si="278"/>
        <v>RENOMMER</v>
      </c>
      <c r="V4413" s="40" t="str" cm="1">
        <f t="array" ref="V4413">_xlfn.IFS(
ISNUMBER(SEARCH("USA",S4413)),"United States",
ISNUMBER(SEARCH("Republic of Ireland",S4413)),"Ireland",
ISNUMBER(SEARCH("Republic of Korea",S4413)),"South Korea",
ISNUMBER(SEARCH("Cape Verde",S4413)),"Cabo Verde",
ISNUMBER(SEARCH("Czechia",S4413)),"Czech Republic",
ISNUMBER(SEARCH("Türkiye",S4413)),"Turkey",
ISNUMBER(SEARCH("Ivory Coast",S4413)),"Côte d'Ivoire",
ISNUMBER(SEARCH("Korea Republic",S4413)),"South Korea",
ISNUMBER(SEARCH("Germany FR",S4413)),"FR Germany",
ISNUMBER(SEARCH("West Germany",S4413)),"FR Germany",
ISNUMBER(SEARCH("Germany DR",S4413)),"DR Germany",
ISNUMBER(SEARCH("Korea DPR",S4413)),"North Korea",
ISNUMBER(SEARCH("China PR",S4413)),"China",
ISNUMBER(SEARCH("IR Iran",S4413)),"Iran",
ISNUMBER(SEARCH("Congo DR",S4413)),"Democratic Republic of the Congo",
ISNUMBER(SEARCH("DR Congo",S4413)),"Democratic Republic of the Congo",
ISNUMBER(SEARCH("German DR",S4413)),"DR Germany",
ISNUMBER(SEARCH("rn""&gt;United Arab Emirates",S4413)),"United Arab Emirates",
ISNUMBER(SEARCH("rn""&gt;Republic of Ireland",S4413)),"Ireland",
ISNUMBER(SEARCH("rn""&gt;Bosnia and Herzegovina",S4413)),"Bosnia and Herzegovina",
ISNUMBER(SEARCH("rn""&gt;Trinidad and Tobago",S4413)),"Trinidad and Tobago",
ISNUMBER(SEARCH("rn""&gt;Serbia and Montenegro",S4413)),"Serbia and Montenegro",
ISNUMBER(SEARCH(_xlfn.UNICHAR(65533),S4413)),"Côte d'Ivoire",
TRUE,""
)</f>
        <v>Democratic Republic of the Congo</v>
      </c>
      <c r="W4413" s="40" t="str">
        <f t="shared" si="279"/>
        <v>Democratic Republic of the Congo</v>
      </c>
    </row>
    <row r="4414" spans="19:23">
      <c r="S4414" s="40" t="str">
        <v>Croatia</v>
      </c>
      <c r="T4414" s="40" t="str">
        <f t="shared" si="277"/>
        <v>OK</v>
      </c>
      <c r="U4414" s="40" t="str">
        <f t="shared" si="278"/>
        <v>-</v>
      </c>
      <c r="V4414" s="40" t="str" cm="1">
        <f t="array" ref="V4414">_xlfn.IFS(
ISNUMBER(SEARCH("USA",S4414)),"United States",
ISNUMBER(SEARCH("Republic of Ireland",S4414)),"Ireland",
ISNUMBER(SEARCH("Republic of Korea",S4414)),"South Korea",
ISNUMBER(SEARCH("Cape Verde",S4414)),"Cabo Verde",
ISNUMBER(SEARCH("Czechia",S4414)),"Czech Republic",
ISNUMBER(SEARCH("Türkiye",S4414)),"Turkey",
ISNUMBER(SEARCH("Ivory Coast",S4414)),"Côte d'Ivoire",
ISNUMBER(SEARCH("Korea Republic",S4414)),"South Korea",
ISNUMBER(SEARCH("Germany FR",S4414)),"FR Germany",
ISNUMBER(SEARCH("West Germany",S4414)),"FR Germany",
ISNUMBER(SEARCH("Germany DR",S4414)),"DR Germany",
ISNUMBER(SEARCH("Korea DPR",S4414)),"North Korea",
ISNUMBER(SEARCH("China PR",S4414)),"China",
ISNUMBER(SEARCH("IR Iran",S4414)),"Iran",
ISNUMBER(SEARCH("Congo DR",S4414)),"Democratic Republic of the Congo",
ISNUMBER(SEARCH("DR Congo",S4414)),"Democratic Republic of the Congo",
ISNUMBER(SEARCH("German DR",S4414)),"DR Germany",
ISNUMBER(SEARCH("rn""&gt;United Arab Emirates",S4414)),"United Arab Emirates",
ISNUMBER(SEARCH("rn""&gt;Republic of Ireland",S4414)),"Ireland",
ISNUMBER(SEARCH("rn""&gt;Bosnia and Herzegovina",S4414)),"Bosnia and Herzegovina",
ISNUMBER(SEARCH("rn""&gt;Trinidad and Tobago",S4414)),"Trinidad and Tobago",
ISNUMBER(SEARCH("rn""&gt;Serbia and Montenegro",S4414)),"Serbia and Montenegro",
ISNUMBER(SEARCH(_xlfn.UNICHAR(65533),S4414)),"Côte d'Ivoire",
TRUE,""
)</f>
        <v/>
      </c>
      <c r="W4414" s="40" t="str">
        <f t="shared" si="279"/>
        <v>Croatia</v>
      </c>
    </row>
    <row r="4415" spans="19:23">
      <c r="S4415" s="40" t="str">
        <v>Panama</v>
      </c>
      <c r="T4415" s="40" t="str">
        <f t="shared" si="277"/>
        <v>OK</v>
      </c>
      <c r="U4415" s="40" t="str">
        <f t="shared" si="278"/>
        <v>-</v>
      </c>
      <c r="V4415" s="40" t="str" cm="1">
        <f t="array" ref="V4415">_xlfn.IFS(
ISNUMBER(SEARCH("USA",S4415)),"United States",
ISNUMBER(SEARCH("Republic of Ireland",S4415)),"Ireland",
ISNUMBER(SEARCH("Republic of Korea",S4415)),"South Korea",
ISNUMBER(SEARCH("Cape Verde",S4415)),"Cabo Verde",
ISNUMBER(SEARCH("Czechia",S4415)),"Czech Republic",
ISNUMBER(SEARCH("Türkiye",S4415)),"Turkey",
ISNUMBER(SEARCH("Ivory Coast",S4415)),"Côte d'Ivoire",
ISNUMBER(SEARCH("Korea Republic",S4415)),"South Korea",
ISNUMBER(SEARCH("Germany FR",S4415)),"FR Germany",
ISNUMBER(SEARCH("West Germany",S4415)),"FR Germany",
ISNUMBER(SEARCH("Germany DR",S4415)),"DR Germany",
ISNUMBER(SEARCH("Korea DPR",S4415)),"North Korea",
ISNUMBER(SEARCH("China PR",S4415)),"China",
ISNUMBER(SEARCH("IR Iran",S4415)),"Iran",
ISNUMBER(SEARCH("Congo DR",S4415)),"Democratic Republic of the Congo",
ISNUMBER(SEARCH("DR Congo",S4415)),"Democratic Republic of the Congo",
ISNUMBER(SEARCH("German DR",S4415)),"DR Germany",
ISNUMBER(SEARCH("rn""&gt;United Arab Emirates",S4415)),"United Arab Emirates",
ISNUMBER(SEARCH("rn""&gt;Republic of Ireland",S4415)),"Ireland",
ISNUMBER(SEARCH("rn""&gt;Bosnia and Herzegovina",S4415)),"Bosnia and Herzegovina",
ISNUMBER(SEARCH("rn""&gt;Trinidad and Tobago",S4415)),"Trinidad and Tobago",
ISNUMBER(SEARCH("rn""&gt;Serbia and Montenegro",S4415)),"Serbia and Montenegro",
ISNUMBER(SEARCH(_xlfn.UNICHAR(65533),S4415)),"Côte d'Ivoire",
TRUE,""
)</f>
        <v/>
      </c>
      <c r="W4415" s="40" t="str">
        <f t="shared" si="279"/>
        <v>Panama</v>
      </c>
    </row>
    <row r="4416" spans="19:23">
      <c r="S4416" s="40" t="str">
        <v>Colombia</v>
      </c>
      <c r="T4416" s="40" t="str">
        <f t="shared" si="277"/>
        <v>OK</v>
      </c>
      <c r="U4416" s="40" t="str">
        <f t="shared" si="278"/>
        <v>-</v>
      </c>
      <c r="V4416" s="40" t="str" cm="1">
        <f t="array" ref="V4416">_xlfn.IFS(
ISNUMBER(SEARCH("USA",S4416)),"United States",
ISNUMBER(SEARCH("Republic of Ireland",S4416)),"Ireland",
ISNUMBER(SEARCH("Republic of Korea",S4416)),"South Korea",
ISNUMBER(SEARCH("Cape Verde",S4416)),"Cabo Verde",
ISNUMBER(SEARCH("Czechia",S4416)),"Czech Republic",
ISNUMBER(SEARCH("Türkiye",S4416)),"Turkey",
ISNUMBER(SEARCH("Ivory Coast",S4416)),"Côte d'Ivoire",
ISNUMBER(SEARCH("Korea Republic",S4416)),"South Korea",
ISNUMBER(SEARCH("Germany FR",S4416)),"FR Germany",
ISNUMBER(SEARCH("West Germany",S4416)),"FR Germany",
ISNUMBER(SEARCH("Germany DR",S4416)),"DR Germany",
ISNUMBER(SEARCH("Korea DPR",S4416)),"North Korea",
ISNUMBER(SEARCH("China PR",S4416)),"China",
ISNUMBER(SEARCH("IR Iran",S4416)),"Iran",
ISNUMBER(SEARCH("Congo DR",S4416)),"Democratic Republic of the Congo",
ISNUMBER(SEARCH("DR Congo",S4416)),"Democratic Republic of the Congo",
ISNUMBER(SEARCH("German DR",S4416)),"DR Germany",
ISNUMBER(SEARCH("rn""&gt;United Arab Emirates",S4416)),"United Arab Emirates",
ISNUMBER(SEARCH("rn""&gt;Republic of Ireland",S4416)),"Ireland",
ISNUMBER(SEARCH("rn""&gt;Bosnia and Herzegovina",S4416)),"Bosnia and Herzegovina",
ISNUMBER(SEARCH("rn""&gt;Trinidad and Tobago",S4416)),"Trinidad and Tobago",
ISNUMBER(SEARCH("rn""&gt;Serbia and Montenegro",S4416)),"Serbia and Montenegro",
ISNUMBER(SEARCH(_xlfn.UNICHAR(65533),S4416)),"Côte d'Ivoire",
TRUE,""
)</f>
        <v/>
      </c>
      <c r="W4416" s="40" t="str">
        <f t="shared" si="279"/>
        <v>Colombia</v>
      </c>
    </row>
    <row r="4417" spans="19:23">
      <c r="S4417" s="40" t="str">
        <v>South Africa</v>
      </c>
      <c r="T4417" s="40" t="str">
        <f t="shared" si="277"/>
        <v>OK</v>
      </c>
      <c r="U4417" s="40" t="str">
        <f t="shared" si="278"/>
        <v>-</v>
      </c>
      <c r="V4417" s="40" t="str" cm="1">
        <f t="array" ref="V4417">_xlfn.IFS(
ISNUMBER(SEARCH("USA",S4417)),"United States",
ISNUMBER(SEARCH("Republic of Ireland",S4417)),"Ireland",
ISNUMBER(SEARCH("Republic of Korea",S4417)),"South Korea",
ISNUMBER(SEARCH("Cape Verde",S4417)),"Cabo Verde",
ISNUMBER(SEARCH("Czechia",S4417)),"Czech Republic",
ISNUMBER(SEARCH("Türkiye",S4417)),"Turkey",
ISNUMBER(SEARCH("Ivory Coast",S4417)),"Côte d'Ivoire",
ISNUMBER(SEARCH("Korea Republic",S4417)),"South Korea",
ISNUMBER(SEARCH("Germany FR",S4417)),"FR Germany",
ISNUMBER(SEARCH("West Germany",S4417)),"FR Germany",
ISNUMBER(SEARCH("Germany DR",S4417)),"DR Germany",
ISNUMBER(SEARCH("Korea DPR",S4417)),"North Korea",
ISNUMBER(SEARCH("China PR",S4417)),"China",
ISNUMBER(SEARCH("IR Iran",S4417)),"Iran",
ISNUMBER(SEARCH("Congo DR",S4417)),"Democratic Republic of the Congo",
ISNUMBER(SEARCH("DR Congo",S4417)),"Democratic Republic of the Congo",
ISNUMBER(SEARCH("German DR",S4417)),"DR Germany",
ISNUMBER(SEARCH("rn""&gt;United Arab Emirates",S4417)),"United Arab Emirates",
ISNUMBER(SEARCH("rn""&gt;Republic of Ireland",S4417)),"Ireland",
ISNUMBER(SEARCH("rn""&gt;Bosnia and Herzegovina",S4417)),"Bosnia and Herzegovina",
ISNUMBER(SEARCH("rn""&gt;Trinidad and Tobago",S4417)),"Trinidad and Tobago",
ISNUMBER(SEARCH("rn""&gt;Serbia and Montenegro",S4417)),"Serbia and Montenegro",
ISNUMBER(SEARCH(_xlfn.UNICHAR(65533),S4417)),"Côte d'Ivoire",
TRUE,""
)</f>
        <v/>
      </c>
      <c r="W4417" s="40" t="str">
        <f t="shared" si="279"/>
        <v>South Africa</v>
      </c>
    </row>
    <row r="4418" spans="19:23">
      <c r="S4418" s="40" t="str">
        <v>Bosnia and Herzegovina</v>
      </c>
      <c r="T4418" s="40" t="str">
        <f t="shared" si="277"/>
        <v>OK</v>
      </c>
      <c r="U4418" s="40" t="str">
        <f t="shared" si="278"/>
        <v>-</v>
      </c>
      <c r="V4418" s="40" t="str" cm="1">
        <f t="array" ref="V4418">_xlfn.IFS(
ISNUMBER(SEARCH("USA",S4418)),"United States",
ISNUMBER(SEARCH("Republic of Ireland",S4418)),"Ireland",
ISNUMBER(SEARCH("Republic of Korea",S4418)),"South Korea",
ISNUMBER(SEARCH("Cape Verde",S4418)),"Cabo Verde",
ISNUMBER(SEARCH("Czechia",S4418)),"Czech Republic",
ISNUMBER(SEARCH("Türkiye",S4418)),"Turkey",
ISNUMBER(SEARCH("Ivory Coast",S4418)),"Côte d'Ivoire",
ISNUMBER(SEARCH("Korea Republic",S4418)),"South Korea",
ISNUMBER(SEARCH("Germany FR",S4418)),"FR Germany",
ISNUMBER(SEARCH("West Germany",S4418)),"FR Germany",
ISNUMBER(SEARCH("Germany DR",S4418)),"DR Germany",
ISNUMBER(SEARCH("Korea DPR",S4418)),"North Korea",
ISNUMBER(SEARCH("China PR",S4418)),"China",
ISNUMBER(SEARCH("IR Iran",S4418)),"Iran",
ISNUMBER(SEARCH("Congo DR",S4418)),"Democratic Republic of the Congo",
ISNUMBER(SEARCH("DR Congo",S4418)),"Democratic Republic of the Congo",
ISNUMBER(SEARCH("German DR",S4418)),"DR Germany",
ISNUMBER(SEARCH("rn""&gt;United Arab Emirates",S4418)),"United Arab Emirates",
ISNUMBER(SEARCH("rn""&gt;Republic of Ireland",S4418)),"Ireland",
ISNUMBER(SEARCH("rn""&gt;Bosnia and Herzegovina",S4418)),"Bosnia and Herzegovina",
ISNUMBER(SEARCH("rn""&gt;Trinidad and Tobago",S4418)),"Trinidad and Tobago",
ISNUMBER(SEARCH("rn""&gt;Serbia and Montenegro",S4418)),"Serbia and Montenegro",
ISNUMBER(SEARCH(_xlfn.UNICHAR(65533),S4418)),"Côte d'Ivoire",
TRUE,""
)</f>
        <v/>
      </c>
      <c r="W4418" s="40" t="str">
        <f t="shared" si="279"/>
        <v>Bosnia and Herzegovina</v>
      </c>
    </row>
    <row r="4419" spans="19:23">
      <c r="S4419" s="40" t="str">
        <v>Qatar</v>
      </c>
      <c r="T4419" s="40" t="str">
        <f t="shared" ref="T4419:T4482" si="280">IF(COUNTIF(R$13:R$250,S4419)=1,"OK","ERREUR")</f>
        <v>OK</v>
      </c>
      <c r="U4419" s="40" t="str">
        <f t="shared" si="278"/>
        <v>-</v>
      </c>
      <c r="V4419" s="40" t="str" cm="1">
        <f t="array" ref="V4419">_xlfn.IFS(
ISNUMBER(SEARCH("USA",S4419)),"United States",
ISNUMBER(SEARCH("Republic of Ireland",S4419)),"Ireland",
ISNUMBER(SEARCH("Republic of Korea",S4419)),"South Korea",
ISNUMBER(SEARCH("Cape Verde",S4419)),"Cabo Verde",
ISNUMBER(SEARCH("Czechia",S4419)),"Czech Republic",
ISNUMBER(SEARCH("Türkiye",S4419)),"Turkey",
ISNUMBER(SEARCH("Ivory Coast",S4419)),"Côte d'Ivoire",
ISNUMBER(SEARCH("Korea Republic",S4419)),"South Korea",
ISNUMBER(SEARCH("Germany FR",S4419)),"FR Germany",
ISNUMBER(SEARCH("West Germany",S4419)),"FR Germany",
ISNUMBER(SEARCH("Germany DR",S4419)),"DR Germany",
ISNUMBER(SEARCH("Korea DPR",S4419)),"North Korea",
ISNUMBER(SEARCH("China PR",S4419)),"China",
ISNUMBER(SEARCH("IR Iran",S4419)),"Iran",
ISNUMBER(SEARCH("Congo DR",S4419)),"Democratic Republic of the Congo",
ISNUMBER(SEARCH("DR Congo",S4419)),"Democratic Republic of the Congo",
ISNUMBER(SEARCH("German DR",S4419)),"DR Germany",
ISNUMBER(SEARCH("rn""&gt;United Arab Emirates",S4419)),"United Arab Emirates",
ISNUMBER(SEARCH("rn""&gt;Republic of Ireland",S4419)),"Ireland",
ISNUMBER(SEARCH("rn""&gt;Bosnia and Herzegovina",S4419)),"Bosnia and Herzegovina",
ISNUMBER(SEARCH("rn""&gt;Trinidad and Tobago",S4419)),"Trinidad and Tobago",
ISNUMBER(SEARCH("rn""&gt;Serbia and Montenegro",S4419)),"Serbia and Montenegro",
ISNUMBER(SEARCH(_xlfn.UNICHAR(65533),S4419)),"Côte d'Ivoire",
TRUE,""
)</f>
        <v/>
      </c>
      <c r="W4419" s="40" t="str">
        <f t="shared" si="279"/>
        <v>Qatar</v>
      </c>
    </row>
    <row r="4420" spans="19:23">
      <c r="S4420" s="40" t="str">
        <v>South Korea</v>
      </c>
      <c r="T4420" s="40" t="str">
        <f t="shared" si="280"/>
        <v>OK</v>
      </c>
      <c r="U4420" s="40" t="str">
        <f t="shared" ref="U4420:U4483" si="281">IF(OR(S4420="Scotland",S4420="England",S4420="Wales",S4420="Yugoslavia",S4420="Czechoslovakia",S4420="Northern Ireland",S4420="Soviet Union",S4420="Zaire",S4420="Dutch East Indies"),"AUCUNE",IF(OR(S4420="Cape Verde",S4420="USA",S4420="DR Congo",S4420="Republic of Korea",S4420="Germany FR",S4420="Germany DR",S4420="Czechia",S4420="Ivory Coast",S4420="Korea DPR",S4420="China PR",S4420="IR Iran",S4420="Türkiye",S4420="Congo DR",S4420="German DR",S4420="West Germany",S4420="Republic of Ireland",ISNUMBER(SEARCH(_xlfn.UNICHAR(65533),S4420)),S4420="Korea Republic",ISNUMBER(SEARCH("rn""&gt;United Arab Emirates",S4420)),ISNUMBER(SEARCH("rn""&gt;Republic of Ireland",S4420)),ISNUMBER(SEARCH("rn""&gt;Bosnia and Herzegovina",S4420)),ISNUMBER(SEARCH("rn""&gt;Trinidad and Tobago",S4420)),ISNUMBER(SEARCH("rn""&gt;Serbia and Montenegro",S4420)),ISNUMBER(SEARCH(_xlfn.UNICHAR(65533),S4420))),"RENOMMER","-"))</f>
        <v>-</v>
      </c>
      <c r="V4420" s="40" t="str" cm="1">
        <f t="array" ref="V4420">_xlfn.IFS(
ISNUMBER(SEARCH("USA",S4420)),"United States",
ISNUMBER(SEARCH("Republic of Ireland",S4420)),"Ireland",
ISNUMBER(SEARCH("Republic of Korea",S4420)),"South Korea",
ISNUMBER(SEARCH("Cape Verde",S4420)),"Cabo Verde",
ISNUMBER(SEARCH("Czechia",S4420)),"Czech Republic",
ISNUMBER(SEARCH("Türkiye",S4420)),"Turkey",
ISNUMBER(SEARCH("Ivory Coast",S4420)),"Côte d'Ivoire",
ISNUMBER(SEARCH("Korea Republic",S4420)),"South Korea",
ISNUMBER(SEARCH("Germany FR",S4420)),"FR Germany",
ISNUMBER(SEARCH("West Germany",S4420)),"FR Germany",
ISNUMBER(SEARCH("Germany DR",S4420)),"DR Germany",
ISNUMBER(SEARCH("Korea DPR",S4420)),"North Korea",
ISNUMBER(SEARCH("China PR",S4420)),"China",
ISNUMBER(SEARCH("IR Iran",S4420)),"Iran",
ISNUMBER(SEARCH("Congo DR",S4420)),"Democratic Republic of the Congo",
ISNUMBER(SEARCH("DR Congo",S4420)),"Democratic Republic of the Congo",
ISNUMBER(SEARCH("German DR",S4420)),"DR Germany",
ISNUMBER(SEARCH("rn""&gt;United Arab Emirates",S4420)),"United Arab Emirates",
ISNUMBER(SEARCH("rn""&gt;Republic of Ireland",S4420)),"Ireland",
ISNUMBER(SEARCH("rn""&gt;Bosnia and Herzegovina",S4420)),"Bosnia and Herzegovina",
ISNUMBER(SEARCH("rn""&gt;Trinidad and Tobago",S4420)),"Trinidad and Tobago",
ISNUMBER(SEARCH("rn""&gt;Serbia and Montenegro",S4420)),"Serbia and Montenegro",
ISNUMBER(SEARCH(_xlfn.UNICHAR(65533),S4420)),"Côte d'Ivoire",
TRUE,""
)</f>
        <v/>
      </c>
      <c r="W4420" s="40" t="str">
        <f t="shared" ref="W4420:W4483" si="282">IF(V4420="",S4420,V4420)</f>
        <v>South Korea</v>
      </c>
    </row>
    <row r="4421" spans="19:23">
      <c r="S4421" s="40" t="str">
        <v>Australia</v>
      </c>
      <c r="T4421" s="40" t="str">
        <f t="shared" si="280"/>
        <v>OK</v>
      </c>
      <c r="U4421" s="40" t="str">
        <f t="shared" si="281"/>
        <v>-</v>
      </c>
      <c r="V4421" s="40" t="str" cm="1">
        <f t="array" ref="V4421">_xlfn.IFS(
ISNUMBER(SEARCH("USA",S4421)),"United States",
ISNUMBER(SEARCH("Republic of Ireland",S4421)),"Ireland",
ISNUMBER(SEARCH("Republic of Korea",S4421)),"South Korea",
ISNUMBER(SEARCH("Cape Verde",S4421)),"Cabo Verde",
ISNUMBER(SEARCH("Czechia",S4421)),"Czech Republic",
ISNUMBER(SEARCH("Türkiye",S4421)),"Turkey",
ISNUMBER(SEARCH("Ivory Coast",S4421)),"Côte d'Ivoire",
ISNUMBER(SEARCH("Korea Republic",S4421)),"South Korea",
ISNUMBER(SEARCH("Germany FR",S4421)),"FR Germany",
ISNUMBER(SEARCH("West Germany",S4421)),"FR Germany",
ISNUMBER(SEARCH("Germany DR",S4421)),"DR Germany",
ISNUMBER(SEARCH("Korea DPR",S4421)),"North Korea",
ISNUMBER(SEARCH("China PR",S4421)),"China",
ISNUMBER(SEARCH("IR Iran",S4421)),"Iran",
ISNUMBER(SEARCH("Congo DR",S4421)),"Democratic Republic of the Congo",
ISNUMBER(SEARCH("DR Congo",S4421)),"Democratic Republic of the Congo",
ISNUMBER(SEARCH("German DR",S4421)),"DR Germany",
ISNUMBER(SEARCH("rn""&gt;United Arab Emirates",S4421)),"United Arab Emirates",
ISNUMBER(SEARCH("rn""&gt;Republic of Ireland",S4421)),"Ireland",
ISNUMBER(SEARCH("rn""&gt;Bosnia and Herzegovina",S4421)),"Bosnia and Herzegovina",
ISNUMBER(SEARCH("rn""&gt;Trinidad and Tobago",S4421)),"Trinidad and Tobago",
ISNUMBER(SEARCH("rn""&gt;Serbia and Montenegro",S4421)),"Serbia and Montenegro",
ISNUMBER(SEARCH(_xlfn.UNICHAR(65533),S4421)),"Côte d'Ivoire",
TRUE,""
)</f>
        <v/>
      </c>
      <c r="W4421" s="40" t="str">
        <f t="shared" si="282"/>
        <v>Australia</v>
      </c>
    </row>
    <row r="4422" spans="19:23">
      <c r="S4422" s="40" t="str">
        <v>Morocco</v>
      </c>
      <c r="T4422" s="40" t="str">
        <f t="shared" si="280"/>
        <v>OK</v>
      </c>
      <c r="U4422" s="40" t="str">
        <f t="shared" si="281"/>
        <v>-</v>
      </c>
      <c r="V4422" s="40" t="str" cm="1">
        <f t="array" ref="V4422">_xlfn.IFS(
ISNUMBER(SEARCH("USA",S4422)),"United States",
ISNUMBER(SEARCH("Republic of Ireland",S4422)),"Ireland",
ISNUMBER(SEARCH("Republic of Korea",S4422)),"South Korea",
ISNUMBER(SEARCH("Cape Verde",S4422)),"Cabo Verde",
ISNUMBER(SEARCH("Czechia",S4422)),"Czech Republic",
ISNUMBER(SEARCH("Türkiye",S4422)),"Turkey",
ISNUMBER(SEARCH("Ivory Coast",S4422)),"Côte d'Ivoire",
ISNUMBER(SEARCH("Korea Republic",S4422)),"South Korea",
ISNUMBER(SEARCH("Germany FR",S4422)),"FR Germany",
ISNUMBER(SEARCH("West Germany",S4422)),"FR Germany",
ISNUMBER(SEARCH("Germany DR",S4422)),"DR Germany",
ISNUMBER(SEARCH("Korea DPR",S4422)),"North Korea",
ISNUMBER(SEARCH("China PR",S4422)),"China",
ISNUMBER(SEARCH("IR Iran",S4422)),"Iran",
ISNUMBER(SEARCH("Congo DR",S4422)),"Democratic Republic of the Congo",
ISNUMBER(SEARCH("DR Congo",S4422)),"Democratic Republic of the Congo",
ISNUMBER(SEARCH("German DR",S4422)),"DR Germany",
ISNUMBER(SEARCH("rn""&gt;United Arab Emirates",S4422)),"United Arab Emirates",
ISNUMBER(SEARCH("rn""&gt;Republic of Ireland",S4422)),"Ireland",
ISNUMBER(SEARCH("rn""&gt;Bosnia and Herzegovina",S4422)),"Bosnia and Herzegovina",
ISNUMBER(SEARCH("rn""&gt;Trinidad and Tobago",S4422)),"Trinidad and Tobago",
ISNUMBER(SEARCH("rn""&gt;Serbia and Montenegro",S4422)),"Serbia and Montenegro",
ISNUMBER(SEARCH(_xlfn.UNICHAR(65533),S4422)),"Côte d'Ivoire",
TRUE,""
)</f>
        <v/>
      </c>
      <c r="W4422" s="40" t="str">
        <f t="shared" si="282"/>
        <v>Morocco</v>
      </c>
    </row>
    <row r="4423" spans="19:23">
      <c r="S4423" s="40" t="str">
        <v>Haiti</v>
      </c>
      <c r="T4423" s="40" t="str">
        <f t="shared" si="280"/>
        <v>OK</v>
      </c>
      <c r="U4423" s="40" t="str">
        <f t="shared" si="281"/>
        <v>-</v>
      </c>
      <c r="V4423" s="40" t="str" cm="1">
        <f t="array" ref="V4423">_xlfn.IFS(
ISNUMBER(SEARCH("USA",S4423)),"United States",
ISNUMBER(SEARCH("Republic of Ireland",S4423)),"Ireland",
ISNUMBER(SEARCH("Republic of Korea",S4423)),"South Korea",
ISNUMBER(SEARCH("Cape Verde",S4423)),"Cabo Verde",
ISNUMBER(SEARCH("Czechia",S4423)),"Czech Republic",
ISNUMBER(SEARCH("Türkiye",S4423)),"Turkey",
ISNUMBER(SEARCH("Ivory Coast",S4423)),"Côte d'Ivoire",
ISNUMBER(SEARCH("Korea Republic",S4423)),"South Korea",
ISNUMBER(SEARCH("Germany FR",S4423)),"FR Germany",
ISNUMBER(SEARCH("West Germany",S4423)),"FR Germany",
ISNUMBER(SEARCH("Germany DR",S4423)),"DR Germany",
ISNUMBER(SEARCH("Korea DPR",S4423)),"North Korea",
ISNUMBER(SEARCH("China PR",S4423)),"China",
ISNUMBER(SEARCH("IR Iran",S4423)),"Iran",
ISNUMBER(SEARCH("Congo DR",S4423)),"Democratic Republic of the Congo",
ISNUMBER(SEARCH("DR Congo",S4423)),"Democratic Republic of the Congo",
ISNUMBER(SEARCH("German DR",S4423)),"DR Germany",
ISNUMBER(SEARCH("rn""&gt;United Arab Emirates",S4423)),"United Arab Emirates",
ISNUMBER(SEARCH("rn""&gt;Republic of Ireland",S4423)),"Ireland",
ISNUMBER(SEARCH("rn""&gt;Bosnia and Herzegovina",S4423)),"Bosnia and Herzegovina",
ISNUMBER(SEARCH("rn""&gt;Trinidad and Tobago",S4423)),"Trinidad and Tobago",
ISNUMBER(SEARCH("rn""&gt;Serbia and Montenegro",S4423)),"Serbia and Montenegro",
ISNUMBER(SEARCH(_xlfn.UNICHAR(65533),S4423)),"Côte d'Ivoire",
TRUE,""
)</f>
        <v/>
      </c>
      <c r="W4423" s="40" t="str">
        <f t="shared" si="282"/>
        <v>Haiti</v>
      </c>
    </row>
    <row r="4424" spans="19:23">
      <c r="S4424" s="40" t="str">
        <v>Paraguay</v>
      </c>
      <c r="T4424" s="40" t="str">
        <f t="shared" si="280"/>
        <v>OK</v>
      </c>
      <c r="U4424" s="40" t="str">
        <f t="shared" si="281"/>
        <v>-</v>
      </c>
      <c r="V4424" s="40" t="str" cm="1">
        <f t="array" ref="V4424">_xlfn.IFS(
ISNUMBER(SEARCH("USA",S4424)),"United States",
ISNUMBER(SEARCH("Republic of Ireland",S4424)),"Ireland",
ISNUMBER(SEARCH("Republic of Korea",S4424)),"South Korea",
ISNUMBER(SEARCH("Cape Verde",S4424)),"Cabo Verde",
ISNUMBER(SEARCH("Czechia",S4424)),"Czech Republic",
ISNUMBER(SEARCH("Türkiye",S4424)),"Turkey",
ISNUMBER(SEARCH("Ivory Coast",S4424)),"Côte d'Ivoire",
ISNUMBER(SEARCH("Korea Republic",S4424)),"South Korea",
ISNUMBER(SEARCH("Germany FR",S4424)),"FR Germany",
ISNUMBER(SEARCH("West Germany",S4424)),"FR Germany",
ISNUMBER(SEARCH("Germany DR",S4424)),"DR Germany",
ISNUMBER(SEARCH("Korea DPR",S4424)),"North Korea",
ISNUMBER(SEARCH("China PR",S4424)),"China",
ISNUMBER(SEARCH("IR Iran",S4424)),"Iran",
ISNUMBER(SEARCH("Congo DR",S4424)),"Democratic Republic of the Congo",
ISNUMBER(SEARCH("DR Congo",S4424)),"Democratic Republic of the Congo",
ISNUMBER(SEARCH("German DR",S4424)),"DR Germany",
ISNUMBER(SEARCH("rn""&gt;United Arab Emirates",S4424)),"United Arab Emirates",
ISNUMBER(SEARCH("rn""&gt;Republic of Ireland",S4424)),"Ireland",
ISNUMBER(SEARCH("rn""&gt;Bosnia and Herzegovina",S4424)),"Bosnia and Herzegovina",
ISNUMBER(SEARCH("rn""&gt;Trinidad and Tobago",S4424)),"Trinidad and Tobago",
ISNUMBER(SEARCH("rn""&gt;Serbia and Montenegro",S4424)),"Serbia and Montenegro",
ISNUMBER(SEARCH(_xlfn.UNICHAR(65533),S4424)),"Côte d'Ivoire",
TRUE,""
)</f>
        <v/>
      </c>
      <c r="W4424" s="40" t="str">
        <f t="shared" si="282"/>
        <v>Paraguay</v>
      </c>
    </row>
    <row r="4425" spans="19:23">
      <c r="S4425" s="40" t="str">
        <v>Sweden</v>
      </c>
      <c r="T4425" s="40" t="str">
        <f t="shared" si="280"/>
        <v>OK</v>
      </c>
      <c r="U4425" s="40" t="str">
        <f t="shared" si="281"/>
        <v>-</v>
      </c>
      <c r="V4425" s="40" t="str" cm="1">
        <f t="array" ref="V4425">_xlfn.IFS(
ISNUMBER(SEARCH("USA",S4425)),"United States",
ISNUMBER(SEARCH("Republic of Ireland",S4425)),"Ireland",
ISNUMBER(SEARCH("Republic of Korea",S4425)),"South Korea",
ISNUMBER(SEARCH("Cape Verde",S4425)),"Cabo Verde",
ISNUMBER(SEARCH("Czechia",S4425)),"Czech Republic",
ISNUMBER(SEARCH("Türkiye",S4425)),"Turkey",
ISNUMBER(SEARCH("Ivory Coast",S4425)),"Côte d'Ivoire",
ISNUMBER(SEARCH("Korea Republic",S4425)),"South Korea",
ISNUMBER(SEARCH("Germany FR",S4425)),"FR Germany",
ISNUMBER(SEARCH("West Germany",S4425)),"FR Germany",
ISNUMBER(SEARCH("Germany DR",S4425)),"DR Germany",
ISNUMBER(SEARCH("Korea DPR",S4425)),"North Korea",
ISNUMBER(SEARCH("China PR",S4425)),"China",
ISNUMBER(SEARCH("IR Iran",S4425)),"Iran",
ISNUMBER(SEARCH("Congo DR",S4425)),"Democratic Republic of the Congo",
ISNUMBER(SEARCH("DR Congo",S4425)),"Democratic Republic of the Congo",
ISNUMBER(SEARCH("German DR",S4425)),"DR Germany",
ISNUMBER(SEARCH("rn""&gt;United Arab Emirates",S4425)),"United Arab Emirates",
ISNUMBER(SEARCH("rn""&gt;Republic of Ireland",S4425)),"Ireland",
ISNUMBER(SEARCH("rn""&gt;Bosnia and Herzegovina",S4425)),"Bosnia and Herzegovina",
ISNUMBER(SEARCH("rn""&gt;Trinidad and Tobago",S4425)),"Trinidad and Tobago",
ISNUMBER(SEARCH("rn""&gt;Serbia and Montenegro",S4425)),"Serbia and Montenegro",
ISNUMBER(SEARCH(_xlfn.UNICHAR(65533),S4425)),"Côte d'Ivoire",
TRUE,""
)</f>
        <v/>
      </c>
      <c r="W4425" s="40" t="str">
        <f t="shared" si="282"/>
        <v>Sweden</v>
      </c>
    </row>
    <row r="4426" spans="19:23">
      <c r="S4426" s="40" t="str">
        <v>Ivory Coast</v>
      </c>
      <c r="T4426" s="40" t="str">
        <f t="shared" si="280"/>
        <v>ERREUR</v>
      </c>
      <c r="U4426" s="40" t="str">
        <f t="shared" si="281"/>
        <v>RENOMMER</v>
      </c>
      <c r="V4426" s="40" t="str" cm="1">
        <f t="array" ref="V4426">_xlfn.IFS(
ISNUMBER(SEARCH("USA",S4426)),"United States",
ISNUMBER(SEARCH("Republic of Ireland",S4426)),"Ireland",
ISNUMBER(SEARCH("Republic of Korea",S4426)),"South Korea",
ISNUMBER(SEARCH("Cape Verde",S4426)),"Cabo Verde",
ISNUMBER(SEARCH("Czechia",S4426)),"Czech Republic",
ISNUMBER(SEARCH("Türkiye",S4426)),"Turkey",
ISNUMBER(SEARCH("Ivory Coast",S4426)),"Côte d'Ivoire",
ISNUMBER(SEARCH("Korea Republic",S4426)),"South Korea",
ISNUMBER(SEARCH("Germany FR",S4426)),"FR Germany",
ISNUMBER(SEARCH("West Germany",S4426)),"FR Germany",
ISNUMBER(SEARCH("Germany DR",S4426)),"DR Germany",
ISNUMBER(SEARCH("Korea DPR",S4426)),"North Korea",
ISNUMBER(SEARCH("China PR",S4426)),"China",
ISNUMBER(SEARCH("IR Iran",S4426)),"Iran",
ISNUMBER(SEARCH("Congo DR",S4426)),"Democratic Republic of the Congo",
ISNUMBER(SEARCH("DR Congo",S4426)),"Democratic Republic of the Congo",
ISNUMBER(SEARCH("German DR",S4426)),"DR Germany",
ISNUMBER(SEARCH("rn""&gt;United Arab Emirates",S4426)),"United Arab Emirates",
ISNUMBER(SEARCH("rn""&gt;Republic of Ireland",S4426)),"Ireland",
ISNUMBER(SEARCH("rn""&gt;Bosnia and Herzegovina",S4426)),"Bosnia and Herzegovina",
ISNUMBER(SEARCH("rn""&gt;Trinidad and Tobago",S4426)),"Trinidad and Tobago",
ISNUMBER(SEARCH("rn""&gt;Serbia and Montenegro",S4426)),"Serbia and Montenegro",
ISNUMBER(SEARCH(_xlfn.UNICHAR(65533),S4426)),"Côte d'Ivoire",
TRUE,""
)</f>
        <v>Côte d'Ivoire</v>
      </c>
      <c r="W4426" s="40" t="str">
        <f t="shared" si="282"/>
        <v>Côte d'Ivoire</v>
      </c>
    </row>
    <row r="4427" spans="19:23">
      <c r="S4427" s="40" t="str">
        <v>Curaçao</v>
      </c>
      <c r="T4427" s="40" t="str">
        <f t="shared" si="280"/>
        <v>OK</v>
      </c>
      <c r="U4427" s="40" t="str">
        <f t="shared" si="281"/>
        <v>-</v>
      </c>
      <c r="V4427" s="40" t="str" cm="1">
        <f t="array" ref="V4427">_xlfn.IFS(
ISNUMBER(SEARCH("USA",S4427)),"United States",
ISNUMBER(SEARCH("Republic of Ireland",S4427)),"Ireland",
ISNUMBER(SEARCH("Republic of Korea",S4427)),"South Korea",
ISNUMBER(SEARCH("Cape Verde",S4427)),"Cabo Verde",
ISNUMBER(SEARCH("Czechia",S4427)),"Czech Republic",
ISNUMBER(SEARCH("Türkiye",S4427)),"Turkey",
ISNUMBER(SEARCH("Ivory Coast",S4427)),"Côte d'Ivoire",
ISNUMBER(SEARCH("Korea Republic",S4427)),"South Korea",
ISNUMBER(SEARCH("Germany FR",S4427)),"FR Germany",
ISNUMBER(SEARCH("West Germany",S4427)),"FR Germany",
ISNUMBER(SEARCH("Germany DR",S4427)),"DR Germany",
ISNUMBER(SEARCH("Korea DPR",S4427)),"North Korea",
ISNUMBER(SEARCH("China PR",S4427)),"China",
ISNUMBER(SEARCH("IR Iran",S4427)),"Iran",
ISNUMBER(SEARCH("Congo DR",S4427)),"Democratic Republic of the Congo",
ISNUMBER(SEARCH("DR Congo",S4427)),"Democratic Republic of the Congo",
ISNUMBER(SEARCH("German DR",S4427)),"DR Germany",
ISNUMBER(SEARCH("rn""&gt;United Arab Emirates",S4427)),"United Arab Emirates",
ISNUMBER(SEARCH("rn""&gt;Republic of Ireland",S4427)),"Ireland",
ISNUMBER(SEARCH("rn""&gt;Bosnia and Herzegovina",S4427)),"Bosnia and Herzegovina",
ISNUMBER(SEARCH("rn""&gt;Trinidad and Tobago",S4427)),"Trinidad and Tobago",
ISNUMBER(SEARCH("rn""&gt;Serbia and Montenegro",S4427)),"Serbia and Montenegro",
ISNUMBER(SEARCH(_xlfn.UNICHAR(65533),S4427)),"Côte d'Ivoire",
TRUE,""
)</f>
        <v/>
      </c>
      <c r="W4427" s="40" t="str">
        <f t="shared" si="282"/>
        <v>Curaçao</v>
      </c>
    </row>
    <row r="4428" spans="19:23">
      <c r="S4428" s="40" t="str">
        <v>Japan</v>
      </c>
      <c r="T4428" s="40" t="str">
        <f t="shared" si="280"/>
        <v>OK</v>
      </c>
      <c r="U4428" s="40" t="str">
        <f t="shared" si="281"/>
        <v>-</v>
      </c>
      <c r="V4428" s="40" t="str" cm="1">
        <f t="array" ref="V4428">_xlfn.IFS(
ISNUMBER(SEARCH("USA",S4428)),"United States",
ISNUMBER(SEARCH("Republic of Ireland",S4428)),"Ireland",
ISNUMBER(SEARCH("Republic of Korea",S4428)),"South Korea",
ISNUMBER(SEARCH("Cape Verde",S4428)),"Cabo Verde",
ISNUMBER(SEARCH("Czechia",S4428)),"Czech Republic",
ISNUMBER(SEARCH("Türkiye",S4428)),"Turkey",
ISNUMBER(SEARCH("Ivory Coast",S4428)),"Côte d'Ivoire",
ISNUMBER(SEARCH("Korea Republic",S4428)),"South Korea",
ISNUMBER(SEARCH("Germany FR",S4428)),"FR Germany",
ISNUMBER(SEARCH("West Germany",S4428)),"FR Germany",
ISNUMBER(SEARCH("Germany DR",S4428)),"DR Germany",
ISNUMBER(SEARCH("Korea DPR",S4428)),"North Korea",
ISNUMBER(SEARCH("China PR",S4428)),"China",
ISNUMBER(SEARCH("IR Iran",S4428)),"Iran",
ISNUMBER(SEARCH("Congo DR",S4428)),"Democratic Republic of the Congo",
ISNUMBER(SEARCH("DR Congo",S4428)),"Democratic Republic of the Congo",
ISNUMBER(SEARCH("German DR",S4428)),"DR Germany",
ISNUMBER(SEARCH("rn""&gt;United Arab Emirates",S4428)),"United Arab Emirates",
ISNUMBER(SEARCH("rn""&gt;Republic of Ireland",S4428)),"Ireland",
ISNUMBER(SEARCH("rn""&gt;Bosnia and Herzegovina",S4428)),"Bosnia and Herzegovina",
ISNUMBER(SEARCH("rn""&gt;Trinidad and Tobago",S4428)),"Trinidad and Tobago",
ISNUMBER(SEARCH("rn""&gt;Serbia and Montenegro",S4428)),"Serbia and Montenegro",
ISNUMBER(SEARCH(_xlfn.UNICHAR(65533),S4428)),"Côte d'Ivoire",
TRUE,""
)</f>
        <v/>
      </c>
      <c r="W4428" s="40" t="str">
        <f t="shared" si="282"/>
        <v>Japan</v>
      </c>
    </row>
    <row r="4429" spans="19:23">
      <c r="S4429" s="40" t="str">
        <v>Saudi Arabia</v>
      </c>
      <c r="T4429" s="40" t="str">
        <f t="shared" si="280"/>
        <v>OK</v>
      </c>
      <c r="U4429" s="40" t="str">
        <f t="shared" si="281"/>
        <v>-</v>
      </c>
      <c r="V4429" s="40" t="str" cm="1">
        <f t="array" ref="V4429">_xlfn.IFS(
ISNUMBER(SEARCH("USA",S4429)),"United States",
ISNUMBER(SEARCH("Republic of Ireland",S4429)),"Ireland",
ISNUMBER(SEARCH("Republic of Korea",S4429)),"South Korea",
ISNUMBER(SEARCH("Cape Verde",S4429)),"Cabo Verde",
ISNUMBER(SEARCH("Czechia",S4429)),"Czech Republic",
ISNUMBER(SEARCH("Türkiye",S4429)),"Turkey",
ISNUMBER(SEARCH("Ivory Coast",S4429)),"Côte d'Ivoire",
ISNUMBER(SEARCH("Korea Republic",S4429)),"South Korea",
ISNUMBER(SEARCH("Germany FR",S4429)),"FR Germany",
ISNUMBER(SEARCH("West Germany",S4429)),"FR Germany",
ISNUMBER(SEARCH("Germany DR",S4429)),"DR Germany",
ISNUMBER(SEARCH("Korea DPR",S4429)),"North Korea",
ISNUMBER(SEARCH("China PR",S4429)),"China",
ISNUMBER(SEARCH("IR Iran",S4429)),"Iran",
ISNUMBER(SEARCH("Congo DR",S4429)),"Democratic Republic of the Congo",
ISNUMBER(SEARCH("DR Congo",S4429)),"Democratic Republic of the Congo",
ISNUMBER(SEARCH("German DR",S4429)),"DR Germany",
ISNUMBER(SEARCH("rn""&gt;United Arab Emirates",S4429)),"United Arab Emirates",
ISNUMBER(SEARCH("rn""&gt;Republic of Ireland",S4429)),"Ireland",
ISNUMBER(SEARCH("rn""&gt;Bosnia and Herzegovina",S4429)),"Bosnia and Herzegovina",
ISNUMBER(SEARCH("rn""&gt;Trinidad and Tobago",S4429)),"Trinidad and Tobago",
ISNUMBER(SEARCH("rn""&gt;Serbia and Montenegro",S4429)),"Serbia and Montenegro",
ISNUMBER(SEARCH(_xlfn.UNICHAR(65533),S4429)),"Côte d'Ivoire",
TRUE,""
)</f>
        <v/>
      </c>
      <c r="W4429" s="40" t="str">
        <f t="shared" si="282"/>
        <v>Saudi Arabia</v>
      </c>
    </row>
    <row r="4430" spans="19:23">
      <c r="S4430" s="40" t="str">
        <v>Iran</v>
      </c>
      <c r="T4430" s="40" t="str">
        <f t="shared" si="280"/>
        <v>OK</v>
      </c>
      <c r="U4430" s="40" t="str">
        <f t="shared" si="281"/>
        <v>-</v>
      </c>
      <c r="V4430" s="40" t="str" cm="1">
        <f t="array" ref="V4430">_xlfn.IFS(
ISNUMBER(SEARCH("USA",S4430)),"United States",
ISNUMBER(SEARCH("Republic of Ireland",S4430)),"Ireland",
ISNUMBER(SEARCH("Republic of Korea",S4430)),"South Korea",
ISNUMBER(SEARCH("Cape Verde",S4430)),"Cabo Verde",
ISNUMBER(SEARCH("Czechia",S4430)),"Czech Republic",
ISNUMBER(SEARCH("Türkiye",S4430)),"Turkey",
ISNUMBER(SEARCH("Ivory Coast",S4430)),"Côte d'Ivoire",
ISNUMBER(SEARCH("Korea Republic",S4430)),"South Korea",
ISNUMBER(SEARCH("Germany FR",S4430)),"FR Germany",
ISNUMBER(SEARCH("West Germany",S4430)),"FR Germany",
ISNUMBER(SEARCH("Germany DR",S4430)),"DR Germany",
ISNUMBER(SEARCH("Korea DPR",S4430)),"North Korea",
ISNUMBER(SEARCH("China PR",S4430)),"China",
ISNUMBER(SEARCH("IR Iran",S4430)),"Iran",
ISNUMBER(SEARCH("Congo DR",S4430)),"Democratic Republic of the Congo",
ISNUMBER(SEARCH("DR Congo",S4430)),"Democratic Republic of the Congo",
ISNUMBER(SEARCH("German DR",S4430)),"DR Germany",
ISNUMBER(SEARCH("rn""&gt;United Arab Emirates",S4430)),"United Arab Emirates",
ISNUMBER(SEARCH("rn""&gt;Republic of Ireland",S4430)),"Ireland",
ISNUMBER(SEARCH("rn""&gt;Bosnia and Herzegovina",S4430)),"Bosnia and Herzegovina",
ISNUMBER(SEARCH("rn""&gt;Trinidad and Tobago",S4430)),"Trinidad and Tobago",
ISNUMBER(SEARCH("rn""&gt;Serbia and Montenegro",S4430)),"Serbia and Montenegro",
ISNUMBER(SEARCH(_xlfn.UNICHAR(65533),S4430)),"Côte d'Ivoire",
TRUE,""
)</f>
        <v/>
      </c>
      <c r="W4430" s="40" t="str">
        <f t="shared" si="282"/>
        <v>Iran</v>
      </c>
    </row>
    <row r="4431" spans="19:23">
      <c r="S4431" s="40" t="str">
        <v>Cabo Verde</v>
      </c>
      <c r="T4431" s="40" t="str">
        <f t="shared" si="280"/>
        <v>OK</v>
      </c>
      <c r="U4431" s="40" t="str">
        <f t="shared" si="281"/>
        <v>-</v>
      </c>
      <c r="V4431" s="40" t="str" cm="1">
        <f t="array" ref="V4431">_xlfn.IFS(
ISNUMBER(SEARCH("USA",S4431)),"United States",
ISNUMBER(SEARCH("Republic of Ireland",S4431)),"Ireland",
ISNUMBER(SEARCH("Republic of Korea",S4431)),"South Korea",
ISNUMBER(SEARCH("Cape Verde",S4431)),"Cabo Verde",
ISNUMBER(SEARCH("Czechia",S4431)),"Czech Republic",
ISNUMBER(SEARCH("Türkiye",S4431)),"Turkey",
ISNUMBER(SEARCH("Ivory Coast",S4431)),"Côte d'Ivoire",
ISNUMBER(SEARCH("Korea Republic",S4431)),"South Korea",
ISNUMBER(SEARCH("Germany FR",S4431)),"FR Germany",
ISNUMBER(SEARCH("West Germany",S4431)),"FR Germany",
ISNUMBER(SEARCH("Germany DR",S4431)),"DR Germany",
ISNUMBER(SEARCH("Korea DPR",S4431)),"North Korea",
ISNUMBER(SEARCH("China PR",S4431)),"China",
ISNUMBER(SEARCH("IR Iran",S4431)),"Iran",
ISNUMBER(SEARCH("Congo DR",S4431)),"Democratic Republic of the Congo",
ISNUMBER(SEARCH("DR Congo",S4431)),"Democratic Republic of the Congo",
ISNUMBER(SEARCH("German DR",S4431)),"DR Germany",
ISNUMBER(SEARCH("rn""&gt;United Arab Emirates",S4431)),"United Arab Emirates",
ISNUMBER(SEARCH("rn""&gt;Republic of Ireland",S4431)),"Ireland",
ISNUMBER(SEARCH("rn""&gt;Bosnia and Herzegovina",S4431)),"Bosnia and Herzegovina",
ISNUMBER(SEARCH("rn""&gt;Trinidad and Tobago",S4431)),"Trinidad and Tobago",
ISNUMBER(SEARCH("rn""&gt;Serbia and Montenegro",S4431)),"Serbia and Montenegro",
ISNUMBER(SEARCH(_xlfn.UNICHAR(65533),S4431)),"Côte d'Ivoire",
TRUE,""
)</f>
        <v/>
      </c>
      <c r="W4431" s="40" t="str">
        <f t="shared" si="282"/>
        <v>Cabo Verde</v>
      </c>
    </row>
    <row r="4432" spans="19:23">
      <c r="S4432" s="40" t="str">
        <v>Egypt</v>
      </c>
      <c r="T4432" s="40" t="str">
        <f t="shared" si="280"/>
        <v>OK</v>
      </c>
      <c r="U4432" s="40" t="str">
        <f t="shared" si="281"/>
        <v>-</v>
      </c>
      <c r="V4432" s="40" t="str" cm="1">
        <f t="array" ref="V4432">_xlfn.IFS(
ISNUMBER(SEARCH("USA",S4432)),"United States",
ISNUMBER(SEARCH("Republic of Ireland",S4432)),"Ireland",
ISNUMBER(SEARCH("Republic of Korea",S4432)),"South Korea",
ISNUMBER(SEARCH("Cape Verde",S4432)),"Cabo Verde",
ISNUMBER(SEARCH("Czechia",S4432)),"Czech Republic",
ISNUMBER(SEARCH("Türkiye",S4432)),"Turkey",
ISNUMBER(SEARCH("Ivory Coast",S4432)),"Côte d'Ivoire",
ISNUMBER(SEARCH("Korea Republic",S4432)),"South Korea",
ISNUMBER(SEARCH("Germany FR",S4432)),"FR Germany",
ISNUMBER(SEARCH("West Germany",S4432)),"FR Germany",
ISNUMBER(SEARCH("Germany DR",S4432)),"DR Germany",
ISNUMBER(SEARCH("Korea DPR",S4432)),"North Korea",
ISNUMBER(SEARCH("China PR",S4432)),"China",
ISNUMBER(SEARCH("IR Iran",S4432)),"Iran",
ISNUMBER(SEARCH("Congo DR",S4432)),"Democratic Republic of the Congo",
ISNUMBER(SEARCH("DR Congo",S4432)),"Democratic Republic of the Congo",
ISNUMBER(SEARCH("German DR",S4432)),"DR Germany",
ISNUMBER(SEARCH("rn""&gt;United Arab Emirates",S4432)),"United Arab Emirates",
ISNUMBER(SEARCH("rn""&gt;Republic of Ireland",S4432)),"Ireland",
ISNUMBER(SEARCH("rn""&gt;Bosnia and Herzegovina",S4432)),"Bosnia and Herzegovina",
ISNUMBER(SEARCH("rn""&gt;Trinidad and Tobago",S4432)),"Trinidad and Tobago",
ISNUMBER(SEARCH("rn""&gt;Serbia and Montenegro",S4432)),"Serbia and Montenegro",
ISNUMBER(SEARCH(_xlfn.UNICHAR(65533),S4432)),"Côte d'Ivoire",
TRUE,""
)</f>
        <v/>
      </c>
      <c r="W4432" s="40" t="str">
        <f t="shared" si="282"/>
        <v>Egypt</v>
      </c>
    </row>
    <row r="4433" spans="19:23">
      <c r="S4433" s="40" t="str">
        <v>Croatia</v>
      </c>
      <c r="T4433" s="40" t="str">
        <f t="shared" si="280"/>
        <v>OK</v>
      </c>
      <c r="U4433" s="40" t="str">
        <f t="shared" si="281"/>
        <v>-</v>
      </c>
      <c r="V4433" s="40" t="str" cm="1">
        <f t="array" ref="V4433">_xlfn.IFS(
ISNUMBER(SEARCH("USA",S4433)),"United States",
ISNUMBER(SEARCH("Republic of Ireland",S4433)),"Ireland",
ISNUMBER(SEARCH("Republic of Korea",S4433)),"South Korea",
ISNUMBER(SEARCH("Cape Verde",S4433)),"Cabo Verde",
ISNUMBER(SEARCH("Czechia",S4433)),"Czech Republic",
ISNUMBER(SEARCH("Türkiye",S4433)),"Turkey",
ISNUMBER(SEARCH("Ivory Coast",S4433)),"Côte d'Ivoire",
ISNUMBER(SEARCH("Korea Republic",S4433)),"South Korea",
ISNUMBER(SEARCH("Germany FR",S4433)),"FR Germany",
ISNUMBER(SEARCH("West Germany",S4433)),"FR Germany",
ISNUMBER(SEARCH("Germany DR",S4433)),"DR Germany",
ISNUMBER(SEARCH("Korea DPR",S4433)),"North Korea",
ISNUMBER(SEARCH("China PR",S4433)),"China",
ISNUMBER(SEARCH("IR Iran",S4433)),"Iran",
ISNUMBER(SEARCH("Congo DR",S4433)),"Democratic Republic of the Congo",
ISNUMBER(SEARCH("DR Congo",S4433)),"Democratic Republic of the Congo",
ISNUMBER(SEARCH("German DR",S4433)),"DR Germany",
ISNUMBER(SEARCH("rn""&gt;United Arab Emirates",S4433)),"United Arab Emirates",
ISNUMBER(SEARCH("rn""&gt;Republic of Ireland",S4433)),"Ireland",
ISNUMBER(SEARCH("rn""&gt;Bosnia and Herzegovina",S4433)),"Bosnia and Herzegovina",
ISNUMBER(SEARCH("rn""&gt;Trinidad and Tobago",S4433)),"Trinidad and Tobago",
ISNUMBER(SEARCH("rn""&gt;Serbia and Montenegro",S4433)),"Serbia and Montenegro",
ISNUMBER(SEARCH(_xlfn.UNICHAR(65533),S4433)),"Côte d'Ivoire",
TRUE,""
)</f>
        <v/>
      </c>
      <c r="W4433" s="40" t="str">
        <f t="shared" si="282"/>
        <v>Croatia</v>
      </c>
    </row>
    <row r="4434" spans="19:23">
      <c r="S4434" s="40" t="str">
        <v>Congo DR</v>
      </c>
      <c r="T4434" s="40" t="str">
        <f t="shared" si="280"/>
        <v>ERREUR</v>
      </c>
      <c r="U4434" s="40" t="str">
        <f t="shared" si="281"/>
        <v>RENOMMER</v>
      </c>
      <c r="V4434" s="40" t="str" cm="1">
        <f t="array" ref="V4434">_xlfn.IFS(
ISNUMBER(SEARCH("USA",S4434)),"United States",
ISNUMBER(SEARCH("Republic of Ireland",S4434)),"Ireland",
ISNUMBER(SEARCH("Republic of Korea",S4434)),"South Korea",
ISNUMBER(SEARCH("Cape Verde",S4434)),"Cabo Verde",
ISNUMBER(SEARCH("Czechia",S4434)),"Czech Republic",
ISNUMBER(SEARCH("Türkiye",S4434)),"Turkey",
ISNUMBER(SEARCH("Ivory Coast",S4434)),"Côte d'Ivoire",
ISNUMBER(SEARCH("Korea Republic",S4434)),"South Korea",
ISNUMBER(SEARCH("Germany FR",S4434)),"FR Germany",
ISNUMBER(SEARCH("West Germany",S4434)),"FR Germany",
ISNUMBER(SEARCH("Germany DR",S4434)),"DR Germany",
ISNUMBER(SEARCH("Korea DPR",S4434)),"North Korea",
ISNUMBER(SEARCH("China PR",S4434)),"China",
ISNUMBER(SEARCH("IR Iran",S4434)),"Iran",
ISNUMBER(SEARCH("Congo DR",S4434)),"Democratic Republic of the Congo",
ISNUMBER(SEARCH("DR Congo",S4434)),"Democratic Republic of the Congo",
ISNUMBER(SEARCH("German DR",S4434)),"DR Germany",
ISNUMBER(SEARCH("rn""&gt;United Arab Emirates",S4434)),"United Arab Emirates",
ISNUMBER(SEARCH("rn""&gt;Republic of Ireland",S4434)),"Ireland",
ISNUMBER(SEARCH("rn""&gt;Bosnia and Herzegovina",S4434)),"Bosnia and Herzegovina",
ISNUMBER(SEARCH("rn""&gt;Trinidad and Tobago",S4434)),"Trinidad and Tobago",
ISNUMBER(SEARCH("rn""&gt;Serbia and Montenegro",S4434)),"Serbia and Montenegro",
ISNUMBER(SEARCH(_xlfn.UNICHAR(65533),S4434)),"Côte d'Ivoire",
TRUE,""
)</f>
        <v>Democratic Republic of the Congo</v>
      </c>
      <c r="W4434" s="40" t="str">
        <f t="shared" si="282"/>
        <v>Democratic Republic of the Congo</v>
      </c>
    </row>
    <row r="4435" spans="19:23">
      <c r="S4435" s="40" t="str">
        <v>Canada</v>
      </c>
      <c r="T4435" s="40" t="str">
        <f t="shared" si="280"/>
        <v>OK</v>
      </c>
      <c r="U4435" s="40" t="str">
        <f t="shared" si="281"/>
        <v>-</v>
      </c>
      <c r="V4435" s="40" t="str" cm="1">
        <f t="array" ref="V4435">_xlfn.IFS(
ISNUMBER(SEARCH("USA",S4435)),"United States",
ISNUMBER(SEARCH("Republic of Ireland",S4435)),"Ireland",
ISNUMBER(SEARCH("Republic of Korea",S4435)),"South Korea",
ISNUMBER(SEARCH("Cape Verde",S4435)),"Cabo Verde",
ISNUMBER(SEARCH("Czechia",S4435)),"Czech Republic",
ISNUMBER(SEARCH("Türkiye",S4435)),"Turkey",
ISNUMBER(SEARCH("Ivory Coast",S4435)),"Côte d'Ivoire",
ISNUMBER(SEARCH("Korea Republic",S4435)),"South Korea",
ISNUMBER(SEARCH("Germany FR",S4435)),"FR Germany",
ISNUMBER(SEARCH("West Germany",S4435)),"FR Germany",
ISNUMBER(SEARCH("Germany DR",S4435)),"DR Germany",
ISNUMBER(SEARCH("Korea DPR",S4435)),"North Korea",
ISNUMBER(SEARCH("China PR",S4435)),"China",
ISNUMBER(SEARCH("IR Iran",S4435)),"Iran",
ISNUMBER(SEARCH("Congo DR",S4435)),"Democratic Republic of the Congo",
ISNUMBER(SEARCH("DR Congo",S4435)),"Democratic Republic of the Congo",
ISNUMBER(SEARCH("German DR",S4435)),"DR Germany",
ISNUMBER(SEARCH("rn""&gt;United Arab Emirates",S4435)),"United Arab Emirates",
ISNUMBER(SEARCH("rn""&gt;Republic of Ireland",S4435)),"Ireland",
ISNUMBER(SEARCH("rn""&gt;Bosnia and Herzegovina",S4435)),"Bosnia and Herzegovina",
ISNUMBER(SEARCH("rn""&gt;Trinidad and Tobago",S4435)),"Trinidad and Tobago",
ISNUMBER(SEARCH("rn""&gt;Serbia and Montenegro",S4435)),"Serbia and Montenegro",
ISNUMBER(SEARCH(_xlfn.UNICHAR(65533),S4435)),"Côte d'Ivoire",
TRUE,""
)</f>
        <v/>
      </c>
      <c r="W4435" s="40" t="str">
        <f t="shared" si="282"/>
        <v>Canada</v>
      </c>
    </row>
    <row r="4436" spans="19:23">
      <c r="S4436" s="40" t="str">
        <v>Qatar</v>
      </c>
      <c r="T4436" s="40" t="str">
        <f t="shared" si="280"/>
        <v>OK</v>
      </c>
      <c r="U4436" s="40" t="str">
        <f t="shared" si="281"/>
        <v>-</v>
      </c>
      <c r="V4436" s="40" t="str" cm="1">
        <f t="array" ref="V4436">_xlfn.IFS(
ISNUMBER(SEARCH("USA",S4436)),"United States",
ISNUMBER(SEARCH("Republic of Ireland",S4436)),"Ireland",
ISNUMBER(SEARCH("Republic of Korea",S4436)),"South Korea",
ISNUMBER(SEARCH("Cape Verde",S4436)),"Cabo Verde",
ISNUMBER(SEARCH("Czechia",S4436)),"Czech Republic",
ISNUMBER(SEARCH("Türkiye",S4436)),"Turkey",
ISNUMBER(SEARCH("Ivory Coast",S4436)),"Côte d'Ivoire",
ISNUMBER(SEARCH("Korea Republic",S4436)),"South Korea",
ISNUMBER(SEARCH("Germany FR",S4436)),"FR Germany",
ISNUMBER(SEARCH("West Germany",S4436)),"FR Germany",
ISNUMBER(SEARCH("Germany DR",S4436)),"DR Germany",
ISNUMBER(SEARCH("Korea DPR",S4436)),"North Korea",
ISNUMBER(SEARCH("China PR",S4436)),"China",
ISNUMBER(SEARCH("IR Iran",S4436)),"Iran",
ISNUMBER(SEARCH("Congo DR",S4436)),"Democratic Republic of the Congo",
ISNUMBER(SEARCH("DR Congo",S4436)),"Democratic Republic of the Congo",
ISNUMBER(SEARCH("German DR",S4436)),"DR Germany",
ISNUMBER(SEARCH("rn""&gt;United Arab Emirates",S4436)),"United Arab Emirates",
ISNUMBER(SEARCH("rn""&gt;Republic of Ireland",S4436)),"Ireland",
ISNUMBER(SEARCH("rn""&gt;Bosnia and Herzegovina",S4436)),"Bosnia and Herzegovina",
ISNUMBER(SEARCH("rn""&gt;Trinidad and Tobago",S4436)),"Trinidad and Tobago",
ISNUMBER(SEARCH("rn""&gt;Serbia and Montenegro",S4436)),"Serbia and Montenegro",
ISNUMBER(SEARCH(_xlfn.UNICHAR(65533),S4436)),"Côte d'Ivoire",
TRUE,""
)</f>
        <v/>
      </c>
      <c r="W4436" s="40" t="str">
        <f t="shared" si="282"/>
        <v>Qatar</v>
      </c>
    </row>
    <row r="4437" spans="19:23">
      <c r="S4437" s="40" t="str">
        <v>Haiti</v>
      </c>
      <c r="T4437" s="40" t="str">
        <f t="shared" si="280"/>
        <v>OK</v>
      </c>
      <c r="U4437" s="40" t="str">
        <f t="shared" si="281"/>
        <v>-</v>
      </c>
      <c r="V4437" s="40" t="str" cm="1">
        <f t="array" ref="V4437">_xlfn.IFS(
ISNUMBER(SEARCH("USA",S4437)),"United States",
ISNUMBER(SEARCH("Republic of Ireland",S4437)),"Ireland",
ISNUMBER(SEARCH("Republic of Korea",S4437)),"South Korea",
ISNUMBER(SEARCH("Cape Verde",S4437)),"Cabo Verde",
ISNUMBER(SEARCH("Czechia",S4437)),"Czech Republic",
ISNUMBER(SEARCH("Türkiye",S4437)),"Turkey",
ISNUMBER(SEARCH("Ivory Coast",S4437)),"Côte d'Ivoire",
ISNUMBER(SEARCH("Korea Republic",S4437)),"South Korea",
ISNUMBER(SEARCH("Germany FR",S4437)),"FR Germany",
ISNUMBER(SEARCH("West Germany",S4437)),"FR Germany",
ISNUMBER(SEARCH("Germany DR",S4437)),"DR Germany",
ISNUMBER(SEARCH("Korea DPR",S4437)),"North Korea",
ISNUMBER(SEARCH("China PR",S4437)),"China",
ISNUMBER(SEARCH("IR Iran",S4437)),"Iran",
ISNUMBER(SEARCH("Congo DR",S4437)),"Democratic Republic of the Congo",
ISNUMBER(SEARCH("DR Congo",S4437)),"Democratic Republic of the Congo",
ISNUMBER(SEARCH("German DR",S4437)),"DR Germany",
ISNUMBER(SEARCH("rn""&gt;United Arab Emirates",S4437)),"United Arab Emirates",
ISNUMBER(SEARCH("rn""&gt;Republic of Ireland",S4437)),"Ireland",
ISNUMBER(SEARCH("rn""&gt;Bosnia and Herzegovina",S4437)),"Bosnia and Herzegovina",
ISNUMBER(SEARCH("rn""&gt;Trinidad and Tobago",S4437)),"Trinidad and Tobago",
ISNUMBER(SEARCH("rn""&gt;Serbia and Montenegro",S4437)),"Serbia and Montenegro",
ISNUMBER(SEARCH(_xlfn.UNICHAR(65533),S4437)),"Côte d'Ivoire",
TRUE,""
)</f>
        <v/>
      </c>
      <c r="W4437" s="40" t="str">
        <f t="shared" si="282"/>
        <v>Haiti</v>
      </c>
    </row>
    <row r="4438" spans="19:23">
      <c r="S4438" s="40" t="str">
        <v>Brazil</v>
      </c>
      <c r="T4438" s="40" t="str">
        <f t="shared" si="280"/>
        <v>OK</v>
      </c>
      <c r="U4438" s="40" t="str">
        <f t="shared" si="281"/>
        <v>-</v>
      </c>
      <c r="V4438" s="40" t="str" cm="1">
        <f t="array" ref="V4438">_xlfn.IFS(
ISNUMBER(SEARCH("USA",S4438)),"United States",
ISNUMBER(SEARCH("Republic of Ireland",S4438)),"Ireland",
ISNUMBER(SEARCH("Republic of Korea",S4438)),"South Korea",
ISNUMBER(SEARCH("Cape Verde",S4438)),"Cabo Verde",
ISNUMBER(SEARCH("Czechia",S4438)),"Czech Republic",
ISNUMBER(SEARCH("Türkiye",S4438)),"Turkey",
ISNUMBER(SEARCH("Ivory Coast",S4438)),"Côte d'Ivoire",
ISNUMBER(SEARCH("Korea Republic",S4438)),"South Korea",
ISNUMBER(SEARCH("Germany FR",S4438)),"FR Germany",
ISNUMBER(SEARCH("West Germany",S4438)),"FR Germany",
ISNUMBER(SEARCH("Germany DR",S4438)),"DR Germany",
ISNUMBER(SEARCH("Korea DPR",S4438)),"North Korea",
ISNUMBER(SEARCH("China PR",S4438)),"China",
ISNUMBER(SEARCH("IR Iran",S4438)),"Iran",
ISNUMBER(SEARCH("Congo DR",S4438)),"Democratic Republic of the Congo",
ISNUMBER(SEARCH("DR Congo",S4438)),"Democratic Republic of the Congo",
ISNUMBER(SEARCH("German DR",S4438)),"DR Germany",
ISNUMBER(SEARCH("rn""&gt;United Arab Emirates",S4438)),"United Arab Emirates",
ISNUMBER(SEARCH("rn""&gt;Republic of Ireland",S4438)),"Ireland",
ISNUMBER(SEARCH("rn""&gt;Bosnia and Herzegovina",S4438)),"Bosnia and Herzegovina",
ISNUMBER(SEARCH("rn""&gt;Trinidad and Tobago",S4438)),"Trinidad and Tobago",
ISNUMBER(SEARCH("rn""&gt;Serbia and Montenegro",S4438)),"Serbia and Montenegro",
ISNUMBER(SEARCH(_xlfn.UNICHAR(65533),S4438)),"Côte d'Ivoire",
TRUE,""
)</f>
        <v/>
      </c>
      <c r="W4438" s="40" t="str">
        <f t="shared" si="282"/>
        <v>Brazil</v>
      </c>
    </row>
    <row r="4439" spans="19:23">
      <c r="S4439" s="40" t="str">
        <v>South Korea</v>
      </c>
      <c r="T4439" s="40" t="str">
        <f t="shared" si="280"/>
        <v>OK</v>
      </c>
      <c r="U4439" s="40" t="str">
        <f t="shared" si="281"/>
        <v>-</v>
      </c>
      <c r="V4439" s="40" t="str" cm="1">
        <f t="array" ref="V4439">_xlfn.IFS(
ISNUMBER(SEARCH("USA",S4439)),"United States",
ISNUMBER(SEARCH("Republic of Ireland",S4439)),"Ireland",
ISNUMBER(SEARCH("Republic of Korea",S4439)),"South Korea",
ISNUMBER(SEARCH("Cape Verde",S4439)),"Cabo Verde",
ISNUMBER(SEARCH("Czechia",S4439)),"Czech Republic",
ISNUMBER(SEARCH("Türkiye",S4439)),"Turkey",
ISNUMBER(SEARCH("Ivory Coast",S4439)),"Côte d'Ivoire",
ISNUMBER(SEARCH("Korea Republic",S4439)),"South Korea",
ISNUMBER(SEARCH("Germany FR",S4439)),"FR Germany",
ISNUMBER(SEARCH("West Germany",S4439)),"FR Germany",
ISNUMBER(SEARCH("Germany DR",S4439)),"DR Germany",
ISNUMBER(SEARCH("Korea DPR",S4439)),"North Korea",
ISNUMBER(SEARCH("China PR",S4439)),"China",
ISNUMBER(SEARCH("IR Iran",S4439)),"Iran",
ISNUMBER(SEARCH("Congo DR",S4439)),"Democratic Republic of the Congo",
ISNUMBER(SEARCH("DR Congo",S4439)),"Democratic Republic of the Congo",
ISNUMBER(SEARCH("German DR",S4439)),"DR Germany",
ISNUMBER(SEARCH("rn""&gt;United Arab Emirates",S4439)),"United Arab Emirates",
ISNUMBER(SEARCH("rn""&gt;Republic of Ireland",S4439)),"Ireland",
ISNUMBER(SEARCH("rn""&gt;Bosnia and Herzegovina",S4439)),"Bosnia and Herzegovina",
ISNUMBER(SEARCH("rn""&gt;Trinidad and Tobago",S4439)),"Trinidad and Tobago",
ISNUMBER(SEARCH("rn""&gt;Serbia and Montenegro",S4439)),"Serbia and Montenegro",
ISNUMBER(SEARCH(_xlfn.UNICHAR(65533),S4439)),"Côte d'Ivoire",
TRUE,""
)</f>
        <v/>
      </c>
      <c r="W4439" s="40" t="str">
        <f t="shared" si="282"/>
        <v>South Korea</v>
      </c>
    </row>
    <row r="4440" spans="19:23">
      <c r="S4440" s="40" t="str">
        <v>Mexico</v>
      </c>
      <c r="T4440" s="40" t="str">
        <f t="shared" si="280"/>
        <v>OK</v>
      </c>
      <c r="U4440" s="40" t="str">
        <f t="shared" si="281"/>
        <v>-</v>
      </c>
      <c r="V4440" s="40" t="str" cm="1">
        <f t="array" ref="V4440">_xlfn.IFS(
ISNUMBER(SEARCH("USA",S4440)),"United States",
ISNUMBER(SEARCH("Republic of Ireland",S4440)),"Ireland",
ISNUMBER(SEARCH("Republic of Korea",S4440)),"South Korea",
ISNUMBER(SEARCH("Cape Verde",S4440)),"Cabo Verde",
ISNUMBER(SEARCH("Czechia",S4440)),"Czech Republic",
ISNUMBER(SEARCH("Türkiye",S4440)),"Turkey",
ISNUMBER(SEARCH("Ivory Coast",S4440)),"Côte d'Ivoire",
ISNUMBER(SEARCH("Korea Republic",S4440)),"South Korea",
ISNUMBER(SEARCH("Germany FR",S4440)),"FR Germany",
ISNUMBER(SEARCH("West Germany",S4440)),"FR Germany",
ISNUMBER(SEARCH("Germany DR",S4440)),"DR Germany",
ISNUMBER(SEARCH("Korea DPR",S4440)),"North Korea",
ISNUMBER(SEARCH("China PR",S4440)),"China",
ISNUMBER(SEARCH("IR Iran",S4440)),"Iran",
ISNUMBER(SEARCH("Congo DR",S4440)),"Democratic Republic of the Congo",
ISNUMBER(SEARCH("DR Congo",S4440)),"Democratic Republic of the Congo",
ISNUMBER(SEARCH("German DR",S4440)),"DR Germany",
ISNUMBER(SEARCH("rn""&gt;United Arab Emirates",S4440)),"United Arab Emirates",
ISNUMBER(SEARCH("rn""&gt;Republic of Ireland",S4440)),"Ireland",
ISNUMBER(SEARCH("rn""&gt;Bosnia and Herzegovina",S4440)),"Bosnia and Herzegovina",
ISNUMBER(SEARCH("rn""&gt;Trinidad and Tobago",S4440)),"Trinidad and Tobago",
ISNUMBER(SEARCH("rn""&gt;Serbia and Montenegro",S4440)),"Serbia and Montenegro",
ISNUMBER(SEARCH(_xlfn.UNICHAR(65533),S4440)),"Côte d'Ivoire",
TRUE,""
)</f>
        <v/>
      </c>
      <c r="W4440" s="40" t="str">
        <f t="shared" si="282"/>
        <v>Mexico</v>
      </c>
    </row>
    <row r="4441" spans="19:23">
      <c r="S4441" s="40" t="str">
        <v>Ivory Coast</v>
      </c>
      <c r="T4441" s="40" t="str">
        <f t="shared" si="280"/>
        <v>ERREUR</v>
      </c>
      <c r="U4441" s="40" t="str">
        <f t="shared" si="281"/>
        <v>RENOMMER</v>
      </c>
      <c r="V4441" s="40" t="str" cm="1">
        <f t="array" ref="V4441">_xlfn.IFS(
ISNUMBER(SEARCH("USA",S4441)),"United States",
ISNUMBER(SEARCH("Republic of Ireland",S4441)),"Ireland",
ISNUMBER(SEARCH("Republic of Korea",S4441)),"South Korea",
ISNUMBER(SEARCH("Cape Verde",S4441)),"Cabo Verde",
ISNUMBER(SEARCH("Czechia",S4441)),"Czech Republic",
ISNUMBER(SEARCH("Türkiye",S4441)),"Turkey",
ISNUMBER(SEARCH("Ivory Coast",S4441)),"Côte d'Ivoire",
ISNUMBER(SEARCH("Korea Republic",S4441)),"South Korea",
ISNUMBER(SEARCH("Germany FR",S4441)),"FR Germany",
ISNUMBER(SEARCH("West Germany",S4441)),"FR Germany",
ISNUMBER(SEARCH("Germany DR",S4441)),"DR Germany",
ISNUMBER(SEARCH("Korea DPR",S4441)),"North Korea",
ISNUMBER(SEARCH("China PR",S4441)),"China",
ISNUMBER(SEARCH("IR Iran",S4441)),"Iran",
ISNUMBER(SEARCH("Congo DR",S4441)),"Democratic Republic of the Congo",
ISNUMBER(SEARCH("DR Congo",S4441)),"Democratic Republic of the Congo",
ISNUMBER(SEARCH("German DR",S4441)),"DR Germany",
ISNUMBER(SEARCH("rn""&gt;United Arab Emirates",S4441)),"United Arab Emirates",
ISNUMBER(SEARCH("rn""&gt;Republic of Ireland",S4441)),"Ireland",
ISNUMBER(SEARCH("rn""&gt;Bosnia and Herzegovina",S4441)),"Bosnia and Herzegovina",
ISNUMBER(SEARCH("rn""&gt;Trinidad and Tobago",S4441)),"Trinidad and Tobago",
ISNUMBER(SEARCH("rn""&gt;Serbia and Montenegro",S4441)),"Serbia and Montenegro",
ISNUMBER(SEARCH(_xlfn.UNICHAR(65533),S4441)),"Côte d'Ivoire",
TRUE,""
)</f>
        <v>Côte d'Ivoire</v>
      </c>
      <c r="W4441" s="40" t="str">
        <f t="shared" si="282"/>
        <v>Côte d'Ivoire</v>
      </c>
    </row>
    <row r="4442" spans="19:23">
      <c r="S4442" s="40" t="str">
        <v>Germany</v>
      </c>
      <c r="T4442" s="40" t="str">
        <f t="shared" si="280"/>
        <v>OK</v>
      </c>
      <c r="U4442" s="40" t="str">
        <f t="shared" si="281"/>
        <v>-</v>
      </c>
      <c r="V4442" s="40" t="str" cm="1">
        <f t="array" ref="V4442">_xlfn.IFS(
ISNUMBER(SEARCH("USA",S4442)),"United States",
ISNUMBER(SEARCH("Republic of Ireland",S4442)),"Ireland",
ISNUMBER(SEARCH("Republic of Korea",S4442)),"South Korea",
ISNUMBER(SEARCH("Cape Verde",S4442)),"Cabo Verde",
ISNUMBER(SEARCH("Czechia",S4442)),"Czech Republic",
ISNUMBER(SEARCH("Türkiye",S4442)),"Turkey",
ISNUMBER(SEARCH("Ivory Coast",S4442)),"Côte d'Ivoire",
ISNUMBER(SEARCH("Korea Republic",S4442)),"South Korea",
ISNUMBER(SEARCH("Germany FR",S4442)),"FR Germany",
ISNUMBER(SEARCH("West Germany",S4442)),"FR Germany",
ISNUMBER(SEARCH("Germany DR",S4442)),"DR Germany",
ISNUMBER(SEARCH("Korea DPR",S4442)),"North Korea",
ISNUMBER(SEARCH("China PR",S4442)),"China",
ISNUMBER(SEARCH("IR Iran",S4442)),"Iran",
ISNUMBER(SEARCH("Congo DR",S4442)),"Democratic Republic of the Congo",
ISNUMBER(SEARCH("DR Congo",S4442)),"Democratic Republic of the Congo",
ISNUMBER(SEARCH("German DR",S4442)),"DR Germany",
ISNUMBER(SEARCH("rn""&gt;United Arab Emirates",S4442)),"United Arab Emirates",
ISNUMBER(SEARCH("rn""&gt;Republic of Ireland",S4442)),"Ireland",
ISNUMBER(SEARCH("rn""&gt;Bosnia and Herzegovina",S4442)),"Bosnia and Herzegovina",
ISNUMBER(SEARCH("rn""&gt;Trinidad and Tobago",S4442)),"Trinidad and Tobago",
ISNUMBER(SEARCH("rn""&gt;Serbia and Montenegro",S4442)),"Serbia and Montenegro",
ISNUMBER(SEARCH(_xlfn.UNICHAR(65533),S4442)),"Côte d'Ivoire",
TRUE,""
)</f>
        <v/>
      </c>
      <c r="W4442" s="40" t="str">
        <f t="shared" si="282"/>
        <v>Germany</v>
      </c>
    </row>
    <row r="4443" spans="19:23">
      <c r="S4443" s="40" t="str">
        <v>Netherlands</v>
      </c>
      <c r="T4443" s="40" t="str">
        <f t="shared" si="280"/>
        <v>OK</v>
      </c>
      <c r="U4443" s="40" t="str">
        <f t="shared" si="281"/>
        <v>-</v>
      </c>
      <c r="V4443" s="40" t="str" cm="1">
        <f t="array" ref="V4443">_xlfn.IFS(
ISNUMBER(SEARCH("USA",S4443)),"United States",
ISNUMBER(SEARCH("Republic of Ireland",S4443)),"Ireland",
ISNUMBER(SEARCH("Republic of Korea",S4443)),"South Korea",
ISNUMBER(SEARCH("Cape Verde",S4443)),"Cabo Verde",
ISNUMBER(SEARCH("Czechia",S4443)),"Czech Republic",
ISNUMBER(SEARCH("Türkiye",S4443)),"Turkey",
ISNUMBER(SEARCH("Ivory Coast",S4443)),"Côte d'Ivoire",
ISNUMBER(SEARCH("Korea Republic",S4443)),"South Korea",
ISNUMBER(SEARCH("Germany FR",S4443)),"FR Germany",
ISNUMBER(SEARCH("West Germany",S4443)),"FR Germany",
ISNUMBER(SEARCH("Germany DR",S4443)),"DR Germany",
ISNUMBER(SEARCH("Korea DPR",S4443)),"North Korea",
ISNUMBER(SEARCH("China PR",S4443)),"China",
ISNUMBER(SEARCH("IR Iran",S4443)),"Iran",
ISNUMBER(SEARCH("Congo DR",S4443)),"Democratic Republic of the Congo",
ISNUMBER(SEARCH("DR Congo",S4443)),"Democratic Republic of the Congo",
ISNUMBER(SEARCH("German DR",S4443)),"DR Germany",
ISNUMBER(SEARCH("rn""&gt;United Arab Emirates",S4443)),"United Arab Emirates",
ISNUMBER(SEARCH("rn""&gt;Republic of Ireland",S4443)),"Ireland",
ISNUMBER(SEARCH("rn""&gt;Bosnia and Herzegovina",S4443)),"Bosnia and Herzegovina",
ISNUMBER(SEARCH("rn""&gt;Trinidad and Tobago",S4443)),"Trinidad and Tobago",
ISNUMBER(SEARCH("rn""&gt;Serbia and Montenegro",S4443)),"Serbia and Montenegro",
ISNUMBER(SEARCH(_xlfn.UNICHAR(65533),S4443)),"Côte d'Ivoire",
TRUE,""
)</f>
        <v/>
      </c>
      <c r="W4443" s="40" t="str">
        <f t="shared" si="282"/>
        <v>Netherlands</v>
      </c>
    </row>
    <row r="4444" spans="19:23">
      <c r="S4444" s="40" t="str">
        <v>Sweden</v>
      </c>
      <c r="T4444" s="40" t="str">
        <f t="shared" si="280"/>
        <v>OK</v>
      </c>
      <c r="U4444" s="40" t="str">
        <f t="shared" si="281"/>
        <v>-</v>
      </c>
      <c r="V4444" s="40" t="str" cm="1">
        <f t="array" ref="V4444">_xlfn.IFS(
ISNUMBER(SEARCH("USA",S4444)),"United States",
ISNUMBER(SEARCH("Republic of Ireland",S4444)),"Ireland",
ISNUMBER(SEARCH("Republic of Korea",S4444)),"South Korea",
ISNUMBER(SEARCH("Cape Verde",S4444)),"Cabo Verde",
ISNUMBER(SEARCH("Czechia",S4444)),"Czech Republic",
ISNUMBER(SEARCH("Türkiye",S4444)),"Turkey",
ISNUMBER(SEARCH("Ivory Coast",S4444)),"Côte d'Ivoire",
ISNUMBER(SEARCH("Korea Republic",S4444)),"South Korea",
ISNUMBER(SEARCH("Germany FR",S4444)),"FR Germany",
ISNUMBER(SEARCH("West Germany",S4444)),"FR Germany",
ISNUMBER(SEARCH("Germany DR",S4444)),"DR Germany",
ISNUMBER(SEARCH("Korea DPR",S4444)),"North Korea",
ISNUMBER(SEARCH("China PR",S4444)),"China",
ISNUMBER(SEARCH("IR Iran",S4444)),"Iran",
ISNUMBER(SEARCH("Congo DR",S4444)),"Democratic Republic of the Congo",
ISNUMBER(SEARCH("DR Congo",S4444)),"Democratic Republic of the Congo",
ISNUMBER(SEARCH("German DR",S4444)),"DR Germany",
ISNUMBER(SEARCH("rn""&gt;United Arab Emirates",S4444)),"United Arab Emirates",
ISNUMBER(SEARCH("rn""&gt;Republic of Ireland",S4444)),"Ireland",
ISNUMBER(SEARCH("rn""&gt;Bosnia and Herzegovina",S4444)),"Bosnia and Herzegovina",
ISNUMBER(SEARCH("rn""&gt;Trinidad and Tobago",S4444)),"Trinidad and Tobago",
ISNUMBER(SEARCH("rn""&gt;Serbia and Montenegro",S4444)),"Serbia and Montenegro",
ISNUMBER(SEARCH(_xlfn.UNICHAR(65533),S4444)),"Côte d'Ivoire",
TRUE,""
)</f>
        <v/>
      </c>
      <c r="W4444" s="40" t="str">
        <f t="shared" si="282"/>
        <v>Sweden</v>
      </c>
    </row>
    <row r="4445" spans="19:23">
      <c r="S4445" s="40" t="str">
        <v>USA</v>
      </c>
      <c r="T4445" s="40" t="str">
        <f t="shared" si="280"/>
        <v>ERREUR</v>
      </c>
      <c r="U4445" s="40" t="str">
        <f t="shared" si="281"/>
        <v>RENOMMER</v>
      </c>
      <c r="V4445" s="40" t="str" cm="1">
        <f t="array" ref="V4445">_xlfn.IFS(
ISNUMBER(SEARCH("USA",S4445)),"United States",
ISNUMBER(SEARCH("Republic of Ireland",S4445)),"Ireland",
ISNUMBER(SEARCH("Republic of Korea",S4445)),"South Korea",
ISNUMBER(SEARCH("Cape Verde",S4445)),"Cabo Verde",
ISNUMBER(SEARCH("Czechia",S4445)),"Czech Republic",
ISNUMBER(SEARCH("Türkiye",S4445)),"Turkey",
ISNUMBER(SEARCH("Ivory Coast",S4445)),"Côte d'Ivoire",
ISNUMBER(SEARCH("Korea Republic",S4445)),"South Korea",
ISNUMBER(SEARCH("Germany FR",S4445)),"FR Germany",
ISNUMBER(SEARCH("West Germany",S4445)),"FR Germany",
ISNUMBER(SEARCH("Germany DR",S4445)),"DR Germany",
ISNUMBER(SEARCH("Korea DPR",S4445)),"North Korea",
ISNUMBER(SEARCH("China PR",S4445)),"China",
ISNUMBER(SEARCH("IR Iran",S4445)),"Iran",
ISNUMBER(SEARCH("Congo DR",S4445)),"Democratic Republic of the Congo",
ISNUMBER(SEARCH("DR Congo",S4445)),"Democratic Republic of the Congo",
ISNUMBER(SEARCH("German DR",S4445)),"DR Germany",
ISNUMBER(SEARCH("rn""&gt;United Arab Emirates",S4445)),"United Arab Emirates",
ISNUMBER(SEARCH("rn""&gt;Republic of Ireland",S4445)),"Ireland",
ISNUMBER(SEARCH("rn""&gt;Bosnia and Herzegovina",S4445)),"Bosnia and Herzegovina",
ISNUMBER(SEARCH("rn""&gt;Trinidad and Tobago",S4445)),"Trinidad and Tobago",
ISNUMBER(SEARCH("rn""&gt;Serbia and Montenegro",S4445)),"Serbia and Montenegro",
ISNUMBER(SEARCH(_xlfn.UNICHAR(65533),S4445)),"Côte d'Ivoire",
TRUE,""
)</f>
        <v>United States</v>
      </c>
      <c r="W4445" s="40" t="str">
        <f t="shared" si="282"/>
        <v>United States</v>
      </c>
    </row>
    <row r="4446" spans="19:23">
      <c r="S4446" s="40" t="str">
        <v>Australia</v>
      </c>
      <c r="T4446" s="40" t="str">
        <f t="shared" si="280"/>
        <v>OK</v>
      </c>
      <c r="U4446" s="40" t="str">
        <f t="shared" si="281"/>
        <v>-</v>
      </c>
      <c r="V4446" s="40" t="str" cm="1">
        <f t="array" ref="V4446">_xlfn.IFS(
ISNUMBER(SEARCH("USA",S4446)),"United States",
ISNUMBER(SEARCH("Republic of Ireland",S4446)),"Ireland",
ISNUMBER(SEARCH("Republic of Korea",S4446)),"South Korea",
ISNUMBER(SEARCH("Cape Verde",S4446)),"Cabo Verde",
ISNUMBER(SEARCH("Czechia",S4446)),"Czech Republic",
ISNUMBER(SEARCH("Türkiye",S4446)),"Turkey",
ISNUMBER(SEARCH("Ivory Coast",S4446)),"Côte d'Ivoire",
ISNUMBER(SEARCH("Korea Republic",S4446)),"South Korea",
ISNUMBER(SEARCH("Germany FR",S4446)),"FR Germany",
ISNUMBER(SEARCH("West Germany",S4446)),"FR Germany",
ISNUMBER(SEARCH("Germany DR",S4446)),"DR Germany",
ISNUMBER(SEARCH("Korea DPR",S4446)),"North Korea",
ISNUMBER(SEARCH("China PR",S4446)),"China",
ISNUMBER(SEARCH("IR Iran",S4446)),"Iran",
ISNUMBER(SEARCH("Congo DR",S4446)),"Democratic Republic of the Congo",
ISNUMBER(SEARCH("DR Congo",S4446)),"Democratic Republic of the Congo",
ISNUMBER(SEARCH("German DR",S4446)),"DR Germany",
ISNUMBER(SEARCH("rn""&gt;United Arab Emirates",S4446)),"United Arab Emirates",
ISNUMBER(SEARCH("rn""&gt;Republic of Ireland",S4446)),"Ireland",
ISNUMBER(SEARCH("rn""&gt;Bosnia and Herzegovina",S4446)),"Bosnia and Herzegovina",
ISNUMBER(SEARCH("rn""&gt;Trinidad and Tobago",S4446)),"Trinidad and Tobago",
ISNUMBER(SEARCH("rn""&gt;Serbia and Montenegro",S4446)),"Serbia and Montenegro",
ISNUMBER(SEARCH(_xlfn.UNICHAR(65533),S4446)),"Côte d'Ivoire",
TRUE,""
)</f>
        <v/>
      </c>
      <c r="W4446" s="40" t="str">
        <f t="shared" si="282"/>
        <v>Australia</v>
      </c>
    </row>
    <row r="4447" spans="19:23">
      <c r="S4447" s="40" t="str">
        <v>France</v>
      </c>
      <c r="T4447" s="40" t="str">
        <f t="shared" si="280"/>
        <v>OK</v>
      </c>
      <c r="U4447" s="40" t="str">
        <f t="shared" si="281"/>
        <v>-</v>
      </c>
      <c r="V4447" s="40" t="str" cm="1">
        <f t="array" ref="V4447">_xlfn.IFS(
ISNUMBER(SEARCH("USA",S4447)),"United States",
ISNUMBER(SEARCH("Republic of Ireland",S4447)),"Ireland",
ISNUMBER(SEARCH("Republic of Korea",S4447)),"South Korea",
ISNUMBER(SEARCH("Cape Verde",S4447)),"Cabo Verde",
ISNUMBER(SEARCH("Czechia",S4447)),"Czech Republic",
ISNUMBER(SEARCH("Türkiye",S4447)),"Turkey",
ISNUMBER(SEARCH("Ivory Coast",S4447)),"Côte d'Ivoire",
ISNUMBER(SEARCH("Korea Republic",S4447)),"South Korea",
ISNUMBER(SEARCH("Germany FR",S4447)),"FR Germany",
ISNUMBER(SEARCH("West Germany",S4447)),"FR Germany",
ISNUMBER(SEARCH("Germany DR",S4447)),"DR Germany",
ISNUMBER(SEARCH("Korea DPR",S4447)),"North Korea",
ISNUMBER(SEARCH("China PR",S4447)),"China",
ISNUMBER(SEARCH("IR Iran",S4447)),"Iran",
ISNUMBER(SEARCH("Congo DR",S4447)),"Democratic Republic of the Congo",
ISNUMBER(SEARCH("DR Congo",S4447)),"Democratic Republic of the Congo",
ISNUMBER(SEARCH("German DR",S4447)),"DR Germany",
ISNUMBER(SEARCH("rn""&gt;United Arab Emirates",S4447)),"United Arab Emirates",
ISNUMBER(SEARCH("rn""&gt;Republic of Ireland",S4447)),"Ireland",
ISNUMBER(SEARCH("rn""&gt;Bosnia and Herzegovina",S4447)),"Bosnia and Herzegovina",
ISNUMBER(SEARCH("rn""&gt;Trinidad and Tobago",S4447)),"Trinidad and Tobago",
ISNUMBER(SEARCH("rn""&gt;Serbia and Montenegro",S4447)),"Serbia and Montenegro",
ISNUMBER(SEARCH(_xlfn.UNICHAR(65533),S4447)),"Côte d'Ivoire",
TRUE,""
)</f>
        <v/>
      </c>
      <c r="W4447" s="40" t="str">
        <f t="shared" si="282"/>
        <v>France</v>
      </c>
    </row>
    <row r="4448" spans="19:23">
      <c r="S4448" s="40" t="str">
        <v>Iraq</v>
      </c>
      <c r="T4448" s="40" t="str">
        <f t="shared" si="280"/>
        <v>OK</v>
      </c>
      <c r="U4448" s="40" t="str">
        <f t="shared" si="281"/>
        <v>-</v>
      </c>
      <c r="V4448" s="40" t="str" cm="1">
        <f t="array" ref="V4448">_xlfn.IFS(
ISNUMBER(SEARCH("USA",S4448)),"United States",
ISNUMBER(SEARCH("Republic of Ireland",S4448)),"Ireland",
ISNUMBER(SEARCH("Republic of Korea",S4448)),"South Korea",
ISNUMBER(SEARCH("Cape Verde",S4448)),"Cabo Verde",
ISNUMBER(SEARCH("Czechia",S4448)),"Czech Republic",
ISNUMBER(SEARCH("Türkiye",S4448)),"Turkey",
ISNUMBER(SEARCH("Ivory Coast",S4448)),"Côte d'Ivoire",
ISNUMBER(SEARCH("Korea Republic",S4448)),"South Korea",
ISNUMBER(SEARCH("Germany FR",S4448)),"FR Germany",
ISNUMBER(SEARCH("West Germany",S4448)),"FR Germany",
ISNUMBER(SEARCH("Germany DR",S4448)),"DR Germany",
ISNUMBER(SEARCH("Korea DPR",S4448)),"North Korea",
ISNUMBER(SEARCH("China PR",S4448)),"China",
ISNUMBER(SEARCH("IR Iran",S4448)),"Iran",
ISNUMBER(SEARCH("Congo DR",S4448)),"Democratic Republic of the Congo",
ISNUMBER(SEARCH("DR Congo",S4448)),"Democratic Republic of the Congo",
ISNUMBER(SEARCH("German DR",S4448)),"DR Germany",
ISNUMBER(SEARCH("rn""&gt;United Arab Emirates",S4448)),"United Arab Emirates",
ISNUMBER(SEARCH("rn""&gt;Republic of Ireland",S4448)),"Ireland",
ISNUMBER(SEARCH("rn""&gt;Bosnia and Herzegovina",S4448)),"Bosnia and Herzegovina",
ISNUMBER(SEARCH("rn""&gt;Trinidad and Tobago",S4448)),"Trinidad and Tobago",
ISNUMBER(SEARCH("rn""&gt;Serbia and Montenegro",S4448)),"Serbia and Montenegro",
ISNUMBER(SEARCH(_xlfn.UNICHAR(65533),S4448)),"Côte d'Ivoire",
TRUE,""
)</f>
        <v/>
      </c>
      <c r="W4448" s="40" t="str">
        <f t="shared" si="282"/>
        <v>Iraq</v>
      </c>
    </row>
    <row r="4449" spans="19:23">
      <c r="S4449" s="40" t="str">
        <v>Saudi Arabia</v>
      </c>
      <c r="T4449" s="40" t="str">
        <f t="shared" si="280"/>
        <v>OK</v>
      </c>
      <c r="U4449" s="40" t="str">
        <f t="shared" si="281"/>
        <v>-</v>
      </c>
      <c r="V4449" s="40" t="str" cm="1">
        <f t="array" ref="V4449">_xlfn.IFS(
ISNUMBER(SEARCH("USA",S4449)),"United States",
ISNUMBER(SEARCH("Republic of Ireland",S4449)),"Ireland",
ISNUMBER(SEARCH("Republic of Korea",S4449)),"South Korea",
ISNUMBER(SEARCH("Cape Verde",S4449)),"Cabo Verde",
ISNUMBER(SEARCH("Czechia",S4449)),"Czech Republic",
ISNUMBER(SEARCH("Türkiye",S4449)),"Turkey",
ISNUMBER(SEARCH("Ivory Coast",S4449)),"Côte d'Ivoire",
ISNUMBER(SEARCH("Korea Republic",S4449)),"South Korea",
ISNUMBER(SEARCH("Germany FR",S4449)),"FR Germany",
ISNUMBER(SEARCH("West Germany",S4449)),"FR Germany",
ISNUMBER(SEARCH("Germany DR",S4449)),"DR Germany",
ISNUMBER(SEARCH("Korea DPR",S4449)),"North Korea",
ISNUMBER(SEARCH("China PR",S4449)),"China",
ISNUMBER(SEARCH("IR Iran",S4449)),"Iran",
ISNUMBER(SEARCH("Congo DR",S4449)),"Democratic Republic of the Congo",
ISNUMBER(SEARCH("DR Congo",S4449)),"Democratic Republic of the Congo",
ISNUMBER(SEARCH("German DR",S4449)),"DR Germany",
ISNUMBER(SEARCH("rn""&gt;United Arab Emirates",S4449)),"United Arab Emirates",
ISNUMBER(SEARCH("rn""&gt;Republic of Ireland",S4449)),"Ireland",
ISNUMBER(SEARCH("rn""&gt;Bosnia and Herzegovina",S4449)),"Bosnia and Herzegovina",
ISNUMBER(SEARCH("rn""&gt;Trinidad and Tobago",S4449)),"Trinidad and Tobago",
ISNUMBER(SEARCH("rn""&gt;Serbia and Montenegro",S4449)),"Serbia and Montenegro",
ISNUMBER(SEARCH(_xlfn.UNICHAR(65533),S4449)),"Côte d'Ivoire",
TRUE,""
)</f>
        <v/>
      </c>
      <c r="W4449" s="40" t="str">
        <f t="shared" si="282"/>
        <v>Saudi Arabia</v>
      </c>
    </row>
    <row r="4450" spans="19:23">
      <c r="S4450" s="40" t="str">
        <v>Spain</v>
      </c>
      <c r="T4450" s="40" t="str">
        <f t="shared" si="280"/>
        <v>OK</v>
      </c>
      <c r="U4450" s="40" t="str">
        <f t="shared" si="281"/>
        <v>-</v>
      </c>
      <c r="V4450" s="40" t="str" cm="1">
        <f t="array" ref="V4450">_xlfn.IFS(
ISNUMBER(SEARCH("USA",S4450)),"United States",
ISNUMBER(SEARCH("Republic of Ireland",S4450)),"Ireland",
ISNUMBER(SEARCH("Republic of Korea",S4450)),"South Korea",
ISNUMBER(SEARCH("Cape Verde",S4450)),"Cabo Verde",
ISNUMBER(SEARCH("Czechia",S4450)),"Czech Republic",
ISNUMBER(SEARCH("Türkiye",S4450)),"Turkey",
ISNUMBER(SEARCH("Ivory Coast",S4450)),"Côte d'Ivoire",
ISNUMBER(SEARCH("Korea Republic",S4450)),"South Korea",
ISNUMBER(SEARCH("Germany FR",S4450)),"FR Germany",
ISNUMBER(SEARCH("West Germany",S4450)),"FR Germany",
ISNUMBER(SEARCH("Germany DR",S4450)),"DR Germany",
ISNUMBER(SEARCH("Korea DPR",S4450)),"North Korea",
ISNUMBER(SEARCH("China PR",S4450)),"China",
ISNUMBER(SEARCH("IR Iran",S4450)),"Iran",
ISNUMBER(SEARCH("Congo DR",S4450)),"Democratic Republic of the Congo",
ISNUMBER(SEARCH("DR Congo",S4450)),"Democratic Republic of the Congo",
ISNUMBER(SEARCH("German DR",S4450)),"DR Germany",
ISNUMBER(SEARCH("rn""&gt;United Arab Emirates",S4450)),"United Arab Emirates",
ISNUMBER(SEARCH("rn""&gt;Republic of Ireland",S4450)),"Ireland",
ISNUMBER(SEARCH("rn""&gt;Bosnia and Herzegovina",S4450)),"Bosnia and Herzegovina",
ISNUMBER(SEARCH("rn""&gt;Trinidad and Tobago",S4450)),"Trinidad and Tobago",
ISNUMBER(SEARCH("rn""&gt;Serbia and Montenegro",S4450)),"Serbia and Montenegro",
ISNUMBER(SEARCH(_xlfn.UNICHAR(65533),S4450)),"Côte d'Ivoire",
TRUE,""
)</f>
        <v/>
      </c>
      <c r="W4450" s="40" t="str">
        <f t="shared" si="282"/>
        <v>Spain</v>
      </c>
    </row>
    <row r="4451" spans="19:23">
      <c r="S4451" s="40" t="str">
        <v>Belgium</v>
      </c>
      <c r="T4451" s="40" t="str">
        <f t="shared" si="280"/>
        <v>OK</v>
      </c>
      <c r="U4451" s="40" t="str">
        <f t="shared" si="281"/>
        <v>-</v>
      </c>
      <c r="V4451" s="40" t="str" cm="1">
        <f t="array" ref="V4451">_xlfn.IFS(
ISNUMBER(SEARCH("USA",S4451)),"United States",
ISNUMBER(SEARCH("Republic of Ireland",S4451)),"Ireland",
ISNUMBER(SEARCH("Republic of Korea",S4451)),"South Korea",
ISNUMBER(SEARCH("Cape Verde",S4451)),"Cabo Verde",
ISNUMBER(SEARCH("Czechia",S4451)),"Czech Republic",
ISNUMBER(SEARCH("Türkiye",S4451)),"Turkey",
ISNUMBER(SEARCH("Ivory Coast",S4451)),"Côte d'Ivoire",
ISNUMBER(SEARCH("Korea Republic",S4451)),"South Korea",
ISNUMBER(SEARCH("Germany FR",S4451)),"FR Germany",
ISNUMBER(SEARCH("West Germany",S4451)),"FR Germany",
ISNUMBER(SEARCH("Germany DR",S4451)),"DR Germany",
ISNUMBER(SEARCH("Korea DPR",S4451)),"North Korea",
ISNUMBER(SEARCH("China PR",S4451)),"China",
ISNUMBER(SEARCH("IR Iran",S4451)),"Iran",
ISNUMBER(SEARCH("Congo DR",S4451)),"Democratic Republic of the Congo",
ISNUMBER(SEARCH("DR Congo",S4451)),"Democratic Republic of the Congo",
ISNUMBER(SEARCH("German DR",S4451)),"DR Germany",
ISNUMBER(SEARCH("rn""&gt;United Arab Emirates",S4451)),"United Arab Emirates",
ISNUMBER(SEARCH("rn""&gt;Republic of Ireland",S4451)),"Ireland",
ISNUMBER(SEARCH("rn""&gt;Bosnia and Herzegovina",S4451)),"Bosnia and Herzegovina",
ISNUMBER(SEARCH("rn""&gt;Trinidad and Tobago",S4451)),"Trinidad and Tobago",
ISNUMBER(SEARCH("rn""&gt;Serbia and Montenegro",S4451)),"Serbia and Montenegro",
ISNUMBER(SEARCH(_xlfn.UNICHAR(65533),S4451)),"Côte d'Ivoire",
TRUE,""
)</f>
        <v/>
      </c>
      <c r="W4451" s="40" t="str">
        <f t="shared" si="282"/>
        <v>Belgium</v>
      </c>
    </row>
    <row r="4452" spans="19:23">
      <c r="S4452" s="40" t="str">
        <v>Iran</v>
      </c>
      <c r="T4452" s="40" t="str">
        <f t="shared" si="280"/>
        <v>OK</v>
      </c>
      <c r="U4452" s="40" t="str">
        <f t="shared" si="281"/>
        <v>-</v>
      </c>
      <c r="V4452" s="40" t="str" cm="1">
        <f t="array" ref="V4452">_xlfn.IFS(
ISNUMBER(SEARCH("USA",S4452)),"United States",
ISNUMBER(SEARCH("Republic of Ireland",S4452)),"Ireland",
ISNUMBER(SEARCH("Republic of Korea",S4452)),"South Korea",
ISNUMBER(SEARCH("Cape Verde",S4452)),"Cabo Verde",
ISNUMBER(SEARCH("Czechia",S4452)),"Czech Republic",
ISNUMBER(SEARCH("Türkiye",S4452)),"Turkey",
ISNUMBER(SEARCH("Ivory Coast",S4452)),"Côte d'Ivoire",
ISNUMBER(SEARCH("Korea Republic",S4452)),"South Korea",
ISNUMBER(SEARCH("Germany FR",S4452)),"FR Germany",
ISNUMBER(SEARCH("West Germany",S4452)),"FR Germany",
ISNUMBER(SEARCH("Germany DR",S4452)),"DR Germany",
ISNUMBER(SEARCH("Korea DPR",S4452)),"North Korea",
ISNUMBER(SEARCH("China PR",S4452)),"China",
ISNUMBER(SEARCH("IR Iran",S4452)),"Iran",
ISNUMBER(SEARCH("Congo DR",S4452)),"Democratic Republic of the Congo",
ISNUMBER(SEARCH("DR Congo",S4452)),"Democratic Republic of the Congo",
ISNUMBER(SEARCH("German DR",S4452)),"DR Germany",
ISNUMBER(SEARCH("rn""&gt;United Arab Emirates",S4452)),"United Arab Emirates",
ISNUMBER(SEARCH("rn""&gt;Republic of Ireland",S4452)),"Ireland",
ISNUMBER(SEARCH("rn""&gt;Bosnia and Herzegovina",S4452)),"Bosnia and Herzegovina",
ISNUMBER(SEARCH("rn""&gt;Trinidad and Tobago",S4452)),"Trinidad and Tobago",
ISNUMBER(SEARCH("rn""&gt;Serbia and Montenegro",S4452)),"Serbia and Montenegro",
ISNUMBER(SEARCH(_xlfn.UNICHAR(65533),S4452)),"Côte d'Ivoire",
TRUE,""
)</f>
        <v/>
      </c>
      <c r="W4452" s="40" t="str">
        <f t="shared" si="282"/>
        <v>Iran</v>
      </c>
    </row>
    <row r="4453" spans="19:23">
      <c r="S4453" s="40" t="str">
        <v>England</v>
      </c>
      <c r="T4453" s="40" t="str">
        <f t="shared" si="280"/>
        <v>ERREUR</v>
      </c>
      <c r="U4453" s="40" t="str">
        <f t="shared" si="281"/>
        <v>AUCUNE</v>
      </c>
      <c r="V4453" s="40" t="str" cm="1">
        <f t="array" ref="V4453">_xlfn.IFS(
ISNUMBER(SEARCH("USA",S4453)),"United States",
ISNUMBER(SEARCH("Republic of Ireland",S4453)),"Ireland",
ISNUMBER(SEARCH("Republic of Korea",S4453)),"South Korea",
ISNUMBER(SEARCH("Cape Verde",S4453)),"Cabo Verde",
ISNUMBER(SEARCH("Czechia",S4453)),"Czech Republic",
ISNUMBER(SEARCH("Türkiye",S4453)),"Turkey",
ISNUMBER(SEARCH("Ivory Coast",S4453)),"Côte d'Ivoire",
ISNUMBER(SEARCH("Korea Republic",S4453)),"South Korea",
ISNUMBER(SEARCH("Germany FR",S4453)),"FR Germany",
ISNUMBER(SEARCH("West Germany",S4453)),"FR Germany",
ISNUMBER(SEARCH("Germany DR",S4453)),"DR Germany",
ISNUMBER(SEARCH("Korea DPR",S4453)),"North Korea",
ISNUMBER(SEARCH("China PR",S4453)),"China",
ISNUMBER(SEARCH("IR Iran",S4453)),"Iran",
ISNUMBER(SEARCH("Congo DR",S4453)),"Democratic Republic of the Congo",
ISNUMBER(SEARCH("DR Congo",S4453)),"Democratic Republic of the Congo",
ISNUMBER(SEARCH("German DR",S4453)),"DR Germany",
ISNUMBER(SEARCH("rn""&gt;United Arab Emirates",S4453)),"United Arab Emirates",
ISNUMBER(SEARCH("rn""&gt;Republic of Ireland",S4453)),"Ireland",
ISNUMBER(SEARCH("rn""&gt;Bosnia and Herzegovina",S4453)),"Bosnia and Herzegovina",
ISNUMBER(SEARCH("rn""&gt;Trinidad and Tobago",S4453)),"Trinidad and Tobago",
ISNUMBER(SEARCH("rn""&gt;Serbia and Montenegro",S4453)),"Serbia and Montenegro",
ISNUMBER(SEARCH(_xlfn.UNICHAR(65533),S4453)),"Côte d'Ivoire",
TRUE,""
)</f>
        <v/>
      </c>
      <c r="W4453" s="40" t="str">
        <f t="shared" si="282"/>
        <v>England</v>
      </c>
    </row>
    <row r="4454" spans="19:23">
      <c r="S4454" s="40" t="str">
        <v>Ghana</v>
      </c>
      <c r="T4454" s="40" t="str">
        <f t="shared" si="280"/>
        <v>OK</v>
      </c>
      <c r="U4454" s="40" t="str">
        <f t="shared" si="281"/>
        <v>-</v>
      </c>
      <c r="V4454" s="40" t="str" cm="1">
        <f t="array" ref="V4454">_xlfn.IFS(
ISNUMBER(SEARCH("USA",S4454)),"United States",
ISNUMBER(SEARCH("Republic of Ireland",S4454)),"Ireland",
ISNUMBER(SEARCH("Republic of Korea",S4454)),"South Korea",
ISNUMBER(SEARCH("Cape Verde",S4454)),"Cabo Verde",
ISNUMBER(SEARCH("Czechia",S4454)),"Czech Republic",
ISNUMBER(SEARCH("Türkiye",S4454)),"Turkey",
ISNUMBER(SEARCH("Ivory Coast",S4454)),"Côte d'Ivoire",
ISNUMBER(SEARCH("Korea Republic",S4454)),"South Korea",
ISNUMBER(SEARCH("Germany FR",S4454)),"FR Germany",
ISNUMBER(SEARCH("West Germany",S4454)),"FR Germany",
ISNUMBER(SEARCH("Germany DR",S4454)),"DR Germany",
ISNUMBER(SEARCH("Korea DPR",S4454)),"North Korea",
ISNUMBER(SEARCH("China PR",S4454)),"China",
ISNUMBER(SEARCH("IR Iran",S4454)),"Iran",
ISNUMBER(SEARCH("Congo DR",S4454)),"Democratic Republic of the Congo",
ISNUMBER(SEARCH("DR Congo",S4454)),"Democratic Republic of the Congo",
ISNUMBER(SEARCH("German DR",S4454)),"DR Germany",
ISNUMBER(SEARCH("rn""&gt;United Arab Emirates",S4454)),"United Arab Emirates",
ISNUMBER(SEARCH("rn""&gt;Republic of Ireland",S4454)),"Ireland",
ISNUMBER(SEARCH("rn""&gt;Bosnia and Herzegovina",S4454)),"Bosnia and Herzegovina",
ISNUMBER(SEARCH("rn""&gt;Trinidad and Tobago",S4454)),"Trinidad and Tobago",
ISNUMBER(SEARCH("rn""&gt;Serbia and Montenegro",S4454)),"Serbia and Montenegro",
ISNUMBER(SEARCH(_xlfn.UNICHAR(65533),S4454)),"Côte d'Ivoire",
TRUE,""
)</f>
        <v/>
      </c>
      <c r="W4454" s="40" t="str">
        <f t="shared" si="282"/>
        <v>Ghana</v>
      </c>
    </row>
    <row r="4455" spans="19:23">
      <c r="S4455" s="40" t="str">
        <v>Canada</v>
      </c>
      <c r="T4455" s="40" t="str">
        <f t="shared" si="280"/>
        <v>OK</v>
      </c>
      <c r="U4455" s="40" t="str">
        <f t="shared" si="281"/>
        <v>-</v>
      </c>
      <c r="V4455" s="40" t="str" cm="1">
        <f t="array" ref="V4455">_xlfn.IFS(
ISNUMBER(SEARCH("USA",S4455)),"United States",
ISNUMBER(SEARCH("Republic of Ireland",S4455)),"Ireland",
ISNUMBER(SEARCH("Republic of Korea",S4455)),"South Korea",
ISNUMBER(SEARCH("Cape Verde",S4455)),"Cabo Verde",
ISNUMBER(SEARCH("Czechia",S4455)),"Czech Republic",
ISNUMBER(SEARCH("Türkiye",S4455)),"Turkey",
ISNUMBER(SEARCH("Ivory Coast",S4455)),"Côte d'Ivoire",
ISNUMBER(SEARCH("Korea Republic",S4455)),"South Korea",
ISNUMBER(SEARCH("Germany FR",S4455)),"FR Germany",
ISNUMBER(SEARCH("West Germany",S4455)),"FR Germany",
ISNUMBER(SEARCH("Germany DR",S4455)),"DR Germany",
ISNUMBER(SEARCH("Korea DPR",S4455)),"North Korea",
ISNUMBER(SEARCH("China PR",S4455)),"China",
ISNUMBER(SEARCH("IR Iran",S4455)),"Iran",
ISNUMBER(SEARCH("Congo DR",S4455)),"Democratic Republic of the Congo",
ISNUMBER(SEARCH("DR Congo",S4455)),"Democratic Republic of the Congo",
ISNUMBER(SEARCH("German DR",S4455)),"DR Germany",
ISNUMBER(SEARCH("rn""&gt;United Arab Emirates",S4455)),"United Arab Emirates",
ISNUMBER(SEARCH("rn""&gt;Republic of Ireland",S4455)),"Ireland",
ISNUMBER(SEARCH("rn""&gt;Bosnia and Herzegovina",S4455)),"Bosnia and Herzegovina",
ISNUMBER(SEARCH("rn""&gt;Trinidad and Tobago",S4455)),"Trinidad and Tobago",
ISNUMBER(SEARCH("rn""&gt;Serbia and Montenegro",S4455)),"Serbia and Montenegro",
ISNUMBER(SEARCH(_xlfn.UNICHAR(65533),S4455)),"Côte d'Ivoire",
TRUE,""
)</f>
        <v/>
      </c>
      <c r="W4455" s="40" t="str">
        <f t="shared" si="282"/>
        <v>Canada</v>
      </c>
    </row>
    <row r="4456" spans="19:23">
      <c r="S4456" s="40" t="str">
        <v>Paraguay</v>
      </c>
      <c r="T4456" s="40" t="str">
        <f t="shared" si="280"/>
        <v>OK</v>
      </c>
      <c r="U4456" s="40" t="str">
        <f t="shared" si="281"/>
        <v>-</v>
      </c>
      <c r="V4456" s="40" t="str" cm="1">
        <f t="array" ref="V4456">_xlfn.IFS(
ISNUMBER(SEARCH("USA",S4456)),"United States",
ISNUMBER(SEARCH("Republic of Ireland",S4456)),"Ireland",
ISNUMBER(SEARCH("Republic of Korea",S4456)),"South Korea",
ISNUMBER(SEARCH("Cape Verde",S4456)),"Cabo Verde",
ISNUMBER(SEARCH("Czechia",S4456)),"Czech Republic",
ISNUMBER(SEARCH("Türkiye",S4456)),"Turkey",
ISNUMBER(SEARCH("Ivory Coast",S4456)),"Côte d'Ivoire",
ISNUMBER(SEARCH("Korea Republic",S4456)),"South Korea",
ISNUMBER(SEARCH("Germany FR",S4456)),"FR Germany",
ISNUMBER(SEARCH("West Germany",S4456)),"FR Germany",
ISNUMBER(SEARCH("Germany DR",S4456)),"DR Germany",
ISNUMBER(SEARCH("Korea DPR",S4456)),"North Korea",
ISNUMBER(SEARCH("China PR",S4456)),"China",
ISNUMBER(SEARCH("IR Iran",S4456)),"Iran",
ISNUMBER(SEARCH("Congo DR",S4456)),"Democratic Republic of the Congo",
ISNUMBER(SEARCH("DR Congo",S4456)),"Democratic Republic of the Congo",
ISNUMBER(SEARCH("German DR",S4456)),"DR Germany",
ISNUMBER(SEARCH("rn""&gt;United Arab Emirates",S4456)),"United Arab Emirates",
ISNUMBER(SEARCH("rn""&gt;Republic of Ireland",S4456)),"Ireland",
ISNUMBER(SEARCH("rn""&gt;Bosnia and Herzegovina",S4456)),"Bosnia and Herzegovina",
ISNUMBER(SEARCH("rn""&gt;Trinidad and Tobago",S4456)),"Trinidad and Tobago",
ISNUMBER(SEARCH("rn""&gt;Serbia and Montenegro",S4456)),"Serbia and Montenegro",
ISNUMBER(SEARCH(_xlfn.UNICHAR(65533),S4456)),"Côte d'Ivoire",
TRUE,""
)</f>
        <v/>
      </c>
      <c r="W4456" s="40" t="str">
        <f t="shared" si="282"/>
        <v>Paraguay</v>
      </c>
    </row>
    <row r="4457" spans="19:23">
      <c r="S4457" s="40" t="str">
        <v>Morocco</v>
      </c>
      <c r="T4457" s="40" t="str">
        <f t="shared" si="280"/>
        <v>OK</v>
      </c>
      <c r="U4457" s="40" t="str">
        <f t="shared" si="281"/>
        <v>-</v>
      </c>
      <c r="V4457" s="40" t="str" cm="1">
        <f t="array" ref="V4457">_xlfn.IFS(
ISNUMBER(SEARCH("USA",S4457)),"United States",
ISNUMBER(SEARCH("Republic of Ireland",S4457)),"Ireland",
ISNUMBER(SEARCH("Republic of Korea",S4457)),"South Korea",
ISNUMBER(SEARCH("Cape Verde",S4457)),"Cabo Verde",
ISNUMBER(SEARCH("Czechia",S4457)),"Czech Republic",
ISNUMBER(SEARCH("Türkiye",S4457)),"Turkey",
ISNUMBER(SEARCH("Ivory Coast",S4457)),"Côte d'Ivoire",
ISNUMBER(SEARCH("Korea Republic",S4457)),"South Korea",
ISNUMBER(SEARCH("Germany FR",S4457)),"FR Germany",
ISNUMBER(SEARCH("West Germany",S4457)),"FR Germany",
ISNUMBER(SEARCH("Germany DR",S4457)),"DR Germany",
ISNUMBER(SEARCH("Korea DPR",S4457)),"North Korea",
ISNUMBER(SEARCH("China PR",S4457)),"China",
ISNUMBER(SEARCH("IR Iran",S4457)),"Iran",
ISNUMBER(SEARCH("Congo DR",S4457)),"Democratic Republic of the Congo",
ISNUMBER(SEARCH("DR Congo",S4457)),"Democratic Republic of the Congo",
ISNUMBER(SEARCH("German DR",S4457)),"DR Germany",
ISNUMBER(SEARCH("rn""&gt;United Arab Emirates",S4457)),"United Arab Emirates",
ISNUMBER(SEARCH("rn""&gt;Republic of Ireland",S4457)),"Ireland",
ISNUMBER(SEARCH("rn""&gt;Bosnia and Herzegovina",S4457)),"Bosnia and Herzegovina",
ISNUMBER(SEARCH("rn""&gt;Trinidad and Tobago",S4457)),"Trinidad and Tobago",
ISNUMBER(SEARCH("rn""&gt;Serbia and Montenegro",S4457)),"Serbia and Montenegro",
ISNUMBER(SEARCH(_xlfn.UNICHAR(65533),S4457)),"Côte d'Ivoire",
TRUE,""
)</f>
        <v/>
      </c>
      <c r="W4457" s="40" t="str">
        <f t="shared" si="282"/>
        <v>Morocco</v>
      </c>
    </row>
    <row r="4458" spans="19:23">
      <c r="S4458" s="40" t="str">
        <v>Japan</v>
      </c>
      <c r="T4458" s="40" t="str">
        <f t="shared" si="280"/>
        <v>OK</v>
      </c>
      <c r="U4458" s="40" t="str">
        <f t="shared" si="281"/>
        <v>-</v>
      </c>
      <c r="V4458" s="40" t="str" cm="1">
        <f t="array" ref="V4458">_xlfn.IFS(
ISNUMBER(SEARCH("USA",S4458)),"United States",
ISNUMBER(SEARCH("Republic of Ireland",S4458)),"Ireland",
ISNUMBER(SEARCH("Republic of Korea",S4458)),"South Korea",
ISNUMBER(SEARCH("Cape Verde",S4458)),"Cabo Verde",
ISNUMBER(SEARCH("Czechia",S4458)),"Czech Republic",
ISNUMBER(SEARCH("Türkiye",S4458)),"Turkey",
ISNUMBER(SEARCH("Ivory Coast",S4458)),"Côte d'Ivoire",
ISNUMBER(SEARCH("Korea Republic",S4458)),"South Korea",
ISNUMBER(SEARCH("Germany FR",S4458)),"FR Germany",
ISNUMBER(SEARCH("West Germany",S4458)),"FR Germany",
ISNUMBER(SEARCH("Germany DR",S4458)),"DR Germany",
ISNUMBER(SEARCH("Korea DPR",S4458)),"North Korea",
ISNUMBER(SEARCH("China PR",S4458)),"China",
ISNUMBER(SEARCH("IR Iran",S4458)),"Iran",
ISNUMBER(SEARCH("Congo DR",S4458)),"Democratic Republic of the Congo",
ISNUMBER(SEARCH("DR Congo",S4458)),"Democratic Republic of the Congo",
ISNUMBER(SEARCH("German DR",S4458)),"DR Germany",
ISNUMBER(SEARCH("rn""&gt;United Arab Emirates",S4458)),"United Arab Emirates",
ISNUMBER(SEARCH("rn""&gt;Republic of Ireland",S4458)),"Ireland",
ISNUMBER(SEARCH("rn""&gt;Bosnia and Herzegovina",S4458)),"Bosnia and Herzegovina",
ISNUMBER(SEARCH("rn""&gt;Trinidad and Tobago",S4458)),"Trinidad and Tobago",
ISNUMBER(SEARCH("rn""&gt;Serbia and Montenegro",S4458)),"Serbia and Montenegro",
ISNUMBER(SEARCH(_xlfn.UNICHAR(65533),S4458)),"Côte d'Ivoire",
TRUE,""
)</f>
        <v/>
      </c>
      <c r="W4458" s="40" t="str">
        <f t="shared" si="282"/>
        <v>Japan</v>
      </c>
    </row>
    <row r="4459" spans="19:23">
      <c r="S4459" s="40" t="str">
        <v>Sweden</v>
      </c>
      <c r="T4459" s="40" t="str">
        <f t="shared" si="280"/>
        <v>OK</v>
      </c>
      <c r="U4459" s="40" t="str">
        <f t="shared" si="281"/>
        <v>-</v>
      </c>
      <c r="V4459" s="40" t="str" cm="1">
        <f t="array" ref="V4459">_xlfn.IFS(
ISNUMBER(SEARCH("USA",S4459)),"United States",
ISNUMBER(SEARCH("Republic of Ireland",S4459)),"Ireland",
ISNUMBER(SEARCH("Republic of Korea",S4459)),"South Korea",
ISNUMBER(SEARCH("Cape Verde",S4459)),"Cabo Verde",
ISNUMBER(SEARCH("Czechia",S4459)),"Czech Republic",
ISNUMBER(SEARCH("Türkiye",S4459)),"Turkey",
ISNUMBER(SEARCH("Ivory Coast",S4459)),"Côte d'Ivoire",
ISNUMBER(SEARCH("Korea Republic",S4459)),"South Korea",
ISNUMBER(SEARCH("Germany FR",S4459)),"FR Germany",
ISNUMBER(SEARCH("West Germany",S4459)),"FR Germany",
ISNUMBER(SEARCH("Germany DR",S4459)),"DR Germany",
ISNUMBER(SEARCH("Korea DPR",S4459)),"North Korea",
ISNUMBER(SEARCH("China PR",S4459)),"China",
ISNUMBER(SEARCH("IR Iran",S4459)),"Iran",
ISNUMBER(SEARCH("Congo DR",S4459)),"Democratic Republic of the Congo",
ISNUMBER(SEARCH("DR Congo",S4459)),"Democratic Republic of the Congo",
ISNUMBER(SEARCH("German DR",S4459)),"DR Germany",
ISNUMBER(SEARCH("rn""&gt;United Arab Emirates",S4459)),"United Arab Emirates",
ISNUMBER(SEARCH("rn""&gt;Republic of Ireland",S4459)),"Ireland",
ISNUMBER(SEARCH("rn""&gt;Bosnia and Herzegovina",S4459)),"Bosnia and Herzegovina",
ISNUMBER(SEARCH("rn""&gt;Trinidad and Tobago",S4459)),"Trinidad and Tobago",
ISNUMBER(SEARCH("rn""&gt;Serbia and Montenegro",S4459)),"Serbia and Montenegro",
ISNUMBER(SEARCH(_xlfn.UNICHAR(65533),S4459)),"Côte d'Ivoire",
TRUE,""
)</f>
        <v/>
      </c>
      <c r="W4459" s="40" t="str">
        <f t="shared" si="282"/>
        <v>Sweden</v>
      </c>
    </row>
    <row r="4460" spans="19:23">
      <c r="S4460" s="40" t="str">
        <v>Norway</v>
      </c>
      <c r="T4460" s="40" t="str">
        <f t="shared" si="280"/>
        <v>OK</v>
      </c>
      <c r="U4460" s="40" t="str">
        <f t="shared" si="281"/>
        <v>-</v>
      </c>
      <c r="V4460" s="40" t="str" cm="1">
        <f t="array" ref="V4460">_xlfn.IFS(
ISNUMBER(SEARCH("USA",S4460)),"United States",
ISNUMBER(SEARCH("Republic of Ireland",S4460)),"Ireland",
ISNUMBER(SEARCH("Republic of Korea",S4460)),"South Korea",
ISNUMBER(SEARCH("Cape Verde",S4460)),"Cabo Verde",
ISNUMBER(SEARCH("Czechia",S4460)),"Czech Republic",
ISNUMBER(SEARCH("Türkiye",S4460)),"Turkey",
ISNUMBER(SEARCH("Ivory Coast",S4460)),"Côte d'Ivoire",
ISNUMBER(SEARCH("Korea Republic",S4460)),"South Korea",
ISNUMBER(SEARCH("Germany FR",S4460)),"FR Germany",
ISNUMBER(SEARCH("West Germany",S4460)),"FR Germany",
ISNUMBER(SEARCH("Germany DR",S4460)),"DR Germany",
ISNUMBER(SEARCH("Korea DPR",S4460)),"North Korea",
ISNUMBER(SEARCH("China PR",S4460)),"China",
ISNUMBER(SEARCH("IR Iran",S4460)),"Iran",
ISNUMBER(SEARCH("Congo DR",S4460)),"Democratic Republic of the Congo",
ISNUMBER(SEARCH("DR Congo",S4460)),"Democratic Republic of the Congo",
ISNUMBER(SEARCH("German DR",S4460)),"DR Germany",
ISNUMBER(SEARCH("rn""&gt;United Arab Emirates",S4460)),"United Arab Emirates",
ISNUMBER(SEARCH("rn""&gt;Republic of Ireland",S4460)),"Ireland",
ISNUMBER(SEARCH("rn""&gt;Bosnia and Herzegovina",S4460)),"Bosnia and Herzegovina",
ISNUMBER(SEARCH("rn""&gt;Trinidad and Tobago",S4460)),"Trinidad and Tobago",
ISNUMBER(SEARCH("rn""&gt;Serbia and Montenegro",S4460)),"Serbia and Montenegro",
ISNUMBER(SEARCH(_xlfn.UNICHAR(65533),S4460)),"Côte d'Ivoire",
TRUE,""
)</f>
        <v/>
      </c>
      <c r="W4460" s="40" t="str">
        <f t="shared" si="282"/>
        <v>Norway</v>
      </c>
    </row>
    <row r="4461" spans="19:23">
      <c r="S4461" s="40" t="str">
        <v>Ecuador</v>
      </c>
      <c r="T4461" s="40" t="str">
        <f t="shared" si="280"/>
        <v>OK</v>
      </c>
      <c r="U4461" s="40" t="str">
        <f t="shared" si="281"/>
        <v>-</v>
      </c>
      <c r="V4461" s="40" t="str" cm="1">
        <f t="array" ref="V4461">_xlfn.IFS(
ISNUMBER(SEARCH("USA",S4461)),"United States",
ISNUMBER(SEARCH("Republic of Ireland",S4461)),"Ireland",
ISNUMBER(SEARCH("Republic of Korea",S4461)),"South Korea",
ISNUMBER(SEARCH("Cape Verde",S4461)),"Cabo Verde",
ISNUMBER(SEARCH("Czechia",S4461)),"Czech Republic",
ISNUMBER(SEARCH("Türkiye",S4461)),"Turkey",
ISNUMBER(SEARCH("Ivory Coast",S4461)),"Côte d'Ivoire",
ISNUMBER(SEARCH("Korea Republic",S4461)),"South Korea",
ISNUMBER(SEARCH("Germany FR",S4461)),"FR Germany",
ISNUMBER(SEARCH("West Germany",S4461)),"FR Germany",
ISNUMBER(SEARCH("Germany DR",S4461)),"DR Germany",
ISNUMBER(SEARCH("Korea DPR",S4461)),"North Korea",
ISNUMBER(SEARCH("China PR",S4461)),"China",
ISNUMBER(SEARCH("IR Iran",S4461)),"Iran",
ISNUMBER(SEARCH("Congo DR",S4461)),"Democratic Republic of the Congo",
ISNUMBER(SEARCH("DR Congo",S4461)),"Democratic Republic of the Congo",
ISNUMBER(SEARCH("German DR",S4461)),"DR Germany",
ISNUMBER(SEARCH("rn""&gt;United Arab Emirates",S4461)),"United Arab Emirates",
ISNUMBER(SEARCH("rn""&gt;Republic of Ireland",S4461)),"Ireland",
ISNUMBER(SEARCH("rn""&gt;Bosnia and Herzegovina",S4461)),"Bosnia and Herzegovina",
ISNUMBER(SEARCH("rn""&gt;Trinidad and Tobago",S4461)),"Trinidad and Tobago",
ISNUMBER(SEARCH("rn""&gt;Serbia and Montenegro",S4461)),"Serbia and Montenegro",
ISNUMBER(SEARCH(_xlfn.UNICHAR(65533),S4461)),"Côte d'Ivoire",
TRUE,""
)</f>
        <v/>
      </c>
      <c r="W4461" s="40" t="str">
        <f t="shared" si="282"/>
        <v>Ecuador</v>
      </c>
    </row>
    <row r="4462" spans="19:23">
      <c r="S4462" s="40" t="str">
        <v>Congo DR</v>
      </c>
      <c r="T4462" s="40" t="str">
        <f t="shared" si="280"/>
        <v>ERREUR</v>
      </c>
      <c r="U4462" s="40" t="str">
        <f t="shared" si="281"/>
        <v>RENOMMER</v>
      </c>
      <c r="V4462" s="40" t="str" cm="1">
        <f t="array" ref="V4462">_xlfn.IFS(
ISNUMBER(SEARCH("USA",S4462)),"United States",
ISNUMBER(SEARCH("Republic of Ireland",S4462)),"Ireland",
ISNUMBER(SEARCH("Republic of Korea",S4462)),"South Korea",
ISNUMBER(SEARCH("Cape Verde",S4462)),"Cabo Verde",
ISNUMBER(SEARCH("Czechia",S4462)),"Czech Republic",
ISNUMBER(SEARCH("Türkiye",S4462)),"Turkey",
ISNUMBER(SEARCH("Ivory Coast",S4462)),"Côte d'Ivoire",
ISNUMBER(SEARCH("Korea Republic",S4462)),"South Korea",
ISNUMBER(SEARCH("Germany FR",S4462)),"FR Germany",
ISNUMBER(SEARCH("West Germany",S4462)),"FR Germany",
ISNUMBER(SEARCH("Germany DR",S4462)),"DR Germany",
ISNUMBER(SEARCH("Korea DPR",S4462)),"North Korea",
ISNUMBER(SEARCH("China PR",S4462)),"China",
ISNUMBER(SEARCH("IR Iran",S4462)),"Iran",
ISNUMBER(SEARCH("Congo DR",S4462)),"Democratic Republic of the Congo",
ISNUMBER(SEARCH("DR Congo",S4462)),"Democratic Republic of the Congo",
ISNUMBER(SEARCH("German DR",S4462)),"DR Germany",
ISNUMBER(SEARCH("rn""&gt;United Arab Emirates",S4462)),"United Arab Emirates",
ISNUMBER(SEARCH("rn""&gt;Republic of Ireland",S4462)),"Ireland",
ISNUMBER(SEARCH("rn""&gt;Bosnia and Herzegovina",S4462)),"Bosnia and Herzegovina",
ISNUMBER(SEARCH("rn""&gt;Trinidad and Tobago",S4462)),"Trinidad and Tobago",
ISNUMBER(SEARCH("rn""&gt;Serbia and Montenegro",S4462)),"Serbia and Montenegro",
ISNUMBER(SEARCH(_xlfn.UNICHAR(65533),S4462)),"Côte d'Ivoire",
TRUE,""
)</f>
        <v>Democratic Republic of the Congo</v>
      </c>
      <c r="W4462" s="40" t="str">
        <f t="shared" si="282"/>
        <v>Democratic Republic of the Congo</v>
      </c>
    </row>
    <row r="4463" spans="19:23">
      <c r="S4463" s="40" t="str">
        <v>Senegal</v>
      </c>
      <c r="T4463" s="40" t="str">
        <f t="shared" si="280"/>
        <v>OK</v>
      </c>
      <c r="U4463" s="40" t="str">
        <f t="shared" si="281"/>
        <v>-</v>
      </c>
      <c r="V4463" s="40" t="str" cm="1">
        <f t="array" ref="V4463">_xlfn.IFS(
ISNUMBER(SEARCH("USA",S4463)),"United States",
ISNUMBER(SEARCH("Republic of Ireland",S4463)),"Ireland",
ISNUMBER(SEARCH("Republic of Korea",S4463)),"South Korea",
ISNUMBER(SEARCH("Cape Verde",S4463)),"Cabo Verde",
ISNUMBER(SEARCH("Czechia",S4463)),"Czech Republic",
ISNUMBER(SEARCH("Türkiye",S4463)),"Turkey",
ISNUMBER(SEARCH("Ivory Coast",S4463)),"Côte d'Ivoire",
ISNUMBER(SEARCH("Korea Republic",S4463)),"South Korea",
ISNUMBER(SEARCH("Germany FR",S4463)),"FR Germany",
ISNUMBER(SEARCH("West Germany",S4463)),"FR Germany",
ISNUMBER(SEARCH("Germany DR",S4463)),"DR Germany",
ISNUMBER(SEARCH("Korea DPR",S4463)),"North Korea",
ISNUMBER(SEARCH("China PR",S4463)),"China",
ISNUMBER(SEARCH("IR Iran",S4463)),"Iran",
ISNUMBER(SEARCH("Congo DR",S4463)),"Democratic Republic of the Congo",
ISNUMBER(SEARCH("DR Congo",S4463)),"Democratic Republic of the Congo",
ISNUMBER(SEARCH("German DR",S4463)),"DR Germany",
ISNUMBER(SEARCH("rn""&gt;United Arab Emirates",S4463)),"United Arab Emirates",
ISNUMBER(SEARCH("rn""&gt;Republic of Ireland",S4463)),"Ireland",
ISNUMBER(SEARCH("rn""&gt;Bosnia and Herzegovina",S4463)),"Bosnia and Herzegovina",
ISNUMBER(SEARCH("rn""&gt;Trinidad and Tobago",S4463)),"Trinidad and Tobago",
ISNUMBER(SEARCH("rn""&gt;Serbia and Montenegro",S4463)),"Serbia and Montenegro",
ISNUMBER(SEARCH(_xlfn.UNICHAR(65533),S4463)),"Côte d'Ivoire",
TRUE,""
)</f>
        <v/>
      </c>
      <c r="W4463" s="40" t="str">
        <f t="shared" si="282"/>
        <v>Senegal</v>
      </c>
    </row>
    <row r="4464" spans="19:23">
      <c r="S4464" s="40" t="str">
        <v>Bosnia and Herzegovina</v>
      </c>
      <c r="T4464" s="40" t="str">
        <f t="shared" si="280"/>
        <v>OK</v>
      </c>
      <c r="U4464" s="40" t="str">
        <f t="shared" si="281"/>
        <v>-</v>
      </c>
      <c r="V4464" s="40" t="str" cm="1">
        <f t="array" ref="V4464">_xlfn.IFS(
ISNUMBER(SEARCH("USA",S4464)),"United States",
ISNUMBER(SEARCH("Republic of Ireland",S4464)),"Ireland",
ISNUMBER(SEARCH("Republic of Korea",S4464)),"South Korea",
ISNUMBER(SEARCH("Cape Verde",S4464)),"Cabo Verde",
ISNUMBER(SEARCH("Czechia",S4464)),"Czech Republic",
ISNUMBER(SEARCH("Türkiye",S4464)),"Turkey",
ISNUMBER(SEARCH("Ivory Coast",S4464)),"Côte d'Ivoire",
ISNUMBER(SEARCH("Korea Republic",S4464)),"South Korea",
ISNUMBER(SEARCH("Germany FR",S4464)),"FR Germany",
ISNUMBER(SEARCH("West Germany",S4464)),"FR Germany",
ISNUMBER(SEARCH("Germany DR",S4464)),"DR Germany",
ISNUMBER(SEARCH("Korea DPR",S4464)),"North Korea",
ISNUMBER(SEARCH("China PR",S4464)),"China",
ISNUMBER(SEARCH("IR Iran",S4464)),"Iran",
ISNUMBER(SEARCH("Congo DR",S4464)),"Democratic Republic of the Congo",
ISNUMBER(SEARCH("DR Congo",S4464)),"Democratic Republic of the Congo",
ISNUMBER(SEARCH("German DR",S4464)),"DR Germany",
ISNUMBER(SEARCH("rn""&gt;United Arab Emirates",S4464)),"United Arab Emirates",
ISNUMBER(SEARCH("rn""&gt;Republic of Ireland",S4464)),"Ireland",
ISNUMBER(SEARCH("rn""&gt;Bosnia and Herzegovina",S4464)),"Bosnia and Herzegovina",
ISNUMBER(SEARCH("rn""&gt;Trinidad and Tobago",S4464)),"Trinidad and Tobago",
ISNUMBER(SEARCH("rn""&gt;Serbia and Montenegro",S4464)),"Serbia and Montenegro",
ISNUMBER(SEARCH(_xlfn.UNICHAR(65533),S4464)),"Côte d'Ivoire",
TRUE,""
)</f>
        <v/>
      </c>
      <c r="W4464" s="40" t="str">
        <f t="shared" si="282"/>
        <v>Bosnia and Herzegovina</v>
      </c>
    </row>
    <row r="4465" spans="19:23">
      <c r="S4465" s="40" t="str">
        <v>Croatia</v>
      </c>
      <c r="T4465" s="40" t="str">
        <f t="shared" si="280"/>
        <v>OK</v>
      </c>
      <c r="U4465" s="40" t="str">
        <f t="shared" si="281"/>
        <v>-</v>
      </c>
      <c r="V4465" s="40" t="str" cm="1">
        <f t="array" ref="V4465">_xlfn.IFS(
ISNUMBER(SEARCH("USA",S4465)),"United States",
ISNUMBER(SEARCH("Republic of Ireland",S4465)),"Ireland",
ISNUMBER(SEARCH("Republic of Korea",S4465)),"South Korea",
ISNUMBER(SEARCH("Cape Verde",S4465)),"Cabo Verde",
ISNUMBER(SEARCH("Czechia",S4465)),"Czech Republic",
ISNUMBER(SEARCH("Türkiye",S4465)),"Turkey",
ISNUMBER(SEARCH("Ivory Coast",S4465)),"Côte d'Ivoire",
ISNUMBER(SEARCH("Korea Republic",S4465)),"South Korea",
ISNUMBER(SEARCH("Germany FR",S4465)),"FR Germany",
ISNUMBER(SEARCH("West Germany",S4465)),"FR Germany",
ISNUMBER(SEARCH("Germany DR",S4465)),"DR Germany",
ISNUMBER(SEARCH("Korea DPR",S4465)),"North Korea",
ISNUMBER(SEARCH("China PR",S4465)),"China",
ISNUMBER(SEARCH("IR Iran",S4465)),"Iran",
ISNUMBER(SEARCH("Congo DR",S4465)),"Democratic Republic of the Congo",
ISNUMBER(SEARCH("DR Congo",S4465)),"Democratic Republic of the Congo",
ISNUMBER(SEARCH("German DR",S4465)),"DR Germany",
ISNUMBER(SEARCH("rn""&gt;United Arab Emirates",S4465)),"United Arab Emirates",
ISNUMBER(SEARCH("rn""&gt;Republic of Ireland",S4465)),"Ireland",
ISNUMBER(SEARCH("rn""&gt;Bosnia and Herzegovina",S4465)),"Bosnia and Herzegovina",
ISNUMBER(SEARCH("rn""&gt;Trinidad and Tobago",S4465)),"Trinidad and Tobago",
ISNUMBER(SEARCH("rn""&gt;Serbia and Montenegro",S4465)),"Serbia and Montenegro",
ISNUMBER(SEARCH(_xlfn.UNICHAR(65533),S4465)),"Côte d'Ivoire",
TRUE,""
)</f>
        <v/>
      </c>
      <c r="W4465" s="40" t="str">
        <f t="shared" si="282"/>
        <v>Croatia</v>
      </c>
    </row>
    <row r="4466" spans="19:23">
      <c r="S4466" s="40" t="str">
        <v>Austria</v>
      </c>
      <c r="T4466" s="40" t="str">
        <f t="shared" si="280"/>
        <v>OK</v>
      </c>
      <c r="U4466" s="40" t="str">
        <f t="shared" si="281"/>
        <v>-</v>
      </c>
      <c r="V4466" s="40" t="str" cm="1">
        <f t="array" ref="V4466">_xlfn.IFS(
ISNUMBER(SEARCH("USA",S4466)),"United States",
ISNUMBER(SEARCH("Republic of Ireland",S4466)),"Ireland",
ISNUMBER(SEARCH("Republic of Korea",S4466)),"South Korea",
ISNUMBER(SEARCH("Cape Verde",S4466)),"Cabo Verde",
ISNUMBER(SEARCH("Czechia",S4466)),"Czech Republic",
ISNUMBER(SEARCH("Türkiye",S4466)),"Turkey",
ISNUMBER(SEARCH("Ivory Coast",S4466)),"Côte d'Ivoire",
ISNUMBER(SEARCH("Korea Republic",S4466)),"South Korea",
ISNUMBER(SEARCH("Germany FR",S4466)),"FR Germany",
ISNUMBER(SEARCH("West Germany",S4466)),"FR Germany",
ISNUMBER(SEARCH("Germany DR",S4466)),"DR Germany",
ISNUMBER(SEARCH("Korea DPR",S4466)),"North Korea",
ISNUMBER(SEARCH("China PR",S4466)),"China",
ISNUMBER(SEARCH("IR Iran",S4466)),"Iran",
ISNUMBER(SEARCH("Congo DR",S4466)),"Democratic Republic of the Congo",
ISNUMBER(SEARCH("DR Congo",S4466)),"Democratic Republic of the Congo",
ISNUMBER(SEARCH("German DR",S4466)),"DR Germany",
ISNUMBER(SEARCH("rn""&gt;United Arab Emirates",S4466)),"United Arab Emirates",
ISNUMBER(SEARCH("rn""&gt;Republic of Ireland",S4466)),"Ireland",
ISNUMBER(SEARCH("rn""&gt;Bosnia and Herzegovina",S4466)),"Bosnia and Herzegovina",
ISNUMBER(SEARCH("rn""&gt;Trinidad and Tobago",S4466)),"Trinidad and Tobago",
ISNUMBER(SEARCH("rn""&gt;Serbia and Montenegro",S4466)),"Serbia and Montenegro",
ISNUMBER(SEARCH(_xlfn.UNICHAR(65533),S4466)),"Côte d'Ivoire",
TRUE,""
)</f>
        <v/>
      </c>
      <c r="W4466" s="40" t="str">
        <f t="shared" si="282"/>
        <v>Austria</v>
      </c>
    </row>
    <row r="4467" spans="19:23">
      <c r="S4467" s="40" t="str">
        <v>Algeria</v>
      </c>
      <c r="T4467" s="40" t="str">
        <f t="shared" si="280"/>
        <v>OK</v>
      </c>
      <c r="U4467" s="40" t="str">
        <f t="shared" si="281"/>
        <v>-</v>
      </c>
      <c r="V4467" s="40" t="str" cm="1">
        <f t="array" ref="V4467">_xlfn.IFS(
ISNUMBER(SEARCH("USA",S4467)),"United States",
ISNUMBER(SEARCH("Republic of Ireland",S4467)),"Ireland",
ISNUMBER(SEARCH("Republic of Korea",S4467)),"South Korea",
ISNUMBER(SEARCH("Cape Verde",S4467)),"Cabo Verde",
ISNUMBER(SEARCH("Czechia",S4467)),"Czech Republic",
ISNUMBER(SEARCH("Türkiye",S4467)),"Turkey",
ISNUMBER(SEARCH("Ivory Coast",S4467)),"Côte d'Ivoire",
ISNUMBER(SEARCH("Korea Republic",S4467)),"South Korea",
ISNUMBER(SEARCH("Germany FR",S4467)),"FR Germany",
ISNUMBER(SEARCH("West Germany",S4467)),"FR Germany",
ISNUMBER(SEARCH("Germany DR",S4467)),"DR Germany",
ISNUMBER(SEARCH("Korea DPR",S4467)),"North Korea",
ISNUMBER(SEARCH("China PR",S4467)),"China",
ISNUMBER(SEARCH("IR Iran",S4467)),"Iran",
ISNUMBER(SEARCH("Congo DR",S4467)),"Democratic Republic of the Congo",
ISNUMBER(SEARCH("DR Congo",S4467)),"Democratic Republic of the Congo",
ISNUMBER(SEARCH("German DR",S4467)),"DR Germany",
ISNUMBER(SEARCH("rn""&gt;United Arab Emirates",S4467)),"United Arab Emirates",
ISNUMBER(SEARCH("rn""&gt;Republic of Ireland",S4467)),"Ireland",
ISNUMBER(SEARCH("rn""&gt;Bosnia and Herzegovina",S4467)),"Bosnia and Herzegovina",
ISNUMBER(SEARCH("rn""&gt;Trinidad and Tobago",S4467)),"Trinidad and Tobago",
ISNUMBER(SEARCH("rn""&gt;Serbia and Montenegro",S4467)),"Serbia and Montenegro",
ISNUMBER(SEARCH(_xlfn.UNICHAR(65533),S4467)),"Côte d'Ivoire",
TRUE,""
)</f>
        <v/>
      </c>
      <c r="W4467" s="40" t="str">
        <f t="shared" si="282"/>
        <v>Algeria</v>
      </c>
    </row>
    <row r="4468" spans="19:23">
      <c r="S4468" s="40" t="str">
        <v>Egypt</v>
      </c>
      <c r="T4468" s="40" t="str">
        <f t="shared" si="280"/>
        <v>OK</v>
      </c>
      <c r="U4468" s="40" t="str">
        <f t="shared" si="281"/>
        <v>-</v>
      </c>
      <c r="V4468" s="40" t="str" cm="1">
        <f t="array" ref="V4468">_xlfn.IFS(
ISNUMBER(SEARCH("USA",S4468)),"United States",
ISNUMBER(SEARCH("Republic of Ireland",S4468)),"Ireland",
ISNUMBER(SEARCH("Republic of Korea",S4468)),"South Korea",
ISNUMBER(SEARCH("Cape Verde",S4468)),"Cabo Verde",
ISNUMBER(SEARCH("Czechia",S4468)),"Czech Republic",
ISNUMBER(SEARCH("Türkiye",S4468)),"Turkey",
ISNUMBER(SEARCH("Ivory Coast",S4468)),"Côte d'Ivoire",
ISNUMBER(SEARCH("Korea Republic",S4468)),"South Korea",
ISNUMBER(SEARCH("Germany FR",S4468)),"FR Germany",
ISNUMBER(SEARCH("West Germany",S4468)),"FR Germany",
ISNUMBER(SEARCH("Germany DR",S4468)),"DR Germany",
ISNUMBER(SEARCH("Korea DPR",S4468)),"North Korea",
ISNUMBER(SEARCH("China PR",S4468)),"China",
ISNUMBER(SEARCH("IR Iran",S4468)),"Iran",
ISNUMBER(SEARCH("Congo DR",S4468)),"Democratic Republic of the Congo",
ISNUMBER(SEARCH("DR Congo",S4468)),"Democratic Republic of the Congo",
ISNUMBER(SEARCH("German DR",S4468)),"DR Germany",
ISNUMBER(SEARCH("rn""&gt;United Arab Emirates",S4468)),"United Arab Emirates",
ISNUMBER(SEARCH("rn""&gt;Republic of Ireland",S4468)),"Ireland",
ISNUMBER(SEARCH("rn""&gt;Bosnia and Herzegovina",S4468)),"Bosnia and Herzegovina",
ISNUMBER(SEARCH("rn""&gt;Trinidad and Tobago",S4468)),"Trinidad and Tobago",
ISNUMBER(SEARCH("rn""&gt;Serbia and Montenegro",S4468)),"Serbia and Montenegro",
ISNUMBER(SEARCH(_xlfn.UNICHAR(65533),S4468)),"Côte d'Ivoire",
TRUE,""
)</f>
        <v/>
      </c>
      <c r="W4468" s="40" t="str">
        <f t="shared" si="282"/>
        <v>Egypt</v>
      </c>
    </row>
    <row r="4469" spans="19:23">
      <c r="S4469" s="40" t="str">
        <v>Cabo Verde</v>
      </c>
      <c r="T4469" s="40" t="str">
        <f t="shared" si="280"/>
        <v>OK</v>
      </c>
      <c r="U4469" s="40" t="str">
        <f t="shared" si="281"/>
        <v>-</v>
      </c>
      <c r="V4469" s="40" t="str" cm="1">
        <f t="array" ref="V4469">_xlfn.IFS(
ISNUMBER(SEARCH("USA",S4469)),"United States",
ISNUMBER(SEARCH("Republic of Ireland",S4469)),"Ireland",
ISNUMBER(SEARCH("Republic of Korea",S4469)),"South Korea",
ISNUMBER(SEARCH("Cape Verde",S4469)),"Cabo Verde",
ISNUMBER(SEARCH("Czechia",S4469)),"Czech Republic",
ISNUMBER(SEARCH("Türkiye",S4469)),"Turkey",
ISNUMBER(SEARCH("Ivory Coast",S4469)),"Côte d'Ivoire",
ISNUMBER(SEARCH("Korea Republic",S4469)),"South Korea",
ISNUMBER(SEARCH("Germany FR",S4469)),"FR Germany",
ISNUMBER(SEARCH("West Germany",S4469)),"FR Germany",
ISNUMBER(SEARCH("Germany DR",S4469)),"DR Germany",
ISNUMBER(SEARCH("Korea DPR",S4469)),"North Korea",
ISNUMBER(SEARCH("China PR",S4469)),"China",
ISNUMBER(SEARCH("IR Iran",S4469)),"Iran",
ISNUMBER(SEARCH("Congo DR",S4469)),"Democratic Republic of the Congo",
ISNUMBER(SEARCH("DR Congo",S4469)),"Democratic Republic of the Congo",
ISNUMBER(SEARCH("German DR",S4469)),"DR Germany",
ISNUMBER(SEARCH("rn""&gt;United Arab Emirates",S4469)),"United Arab Emirates",
ISNUMBER(SEARCH("rn""&gt;Republic of Ireland",S4469)),"Ireland",
ISNUMBER(SEARCH("rn""&gt;Bosnia and Herzegovina",S4469)),"Bosnia and Herzegovina",
ISNUMBER(SEARCH("rn""&gt;Trinidad and Tobago",S4469)),"Trinidad and Tobago",
ISNUMBER(SEARCH("rn""&gt;Serbia and Montenegro",S4469)),"Serbia and Montenegro",
ISNUMBER(SEARCH(_xlfn.UNICHAR(65533),S4469)),"Côte d'Ivoire",
TRUE,""
)</f>
        <v/>
      </c>
      <c r="W4469" s="40" t="str">
        <f t="shared" si="282"/>
        <v>Cabo Verde</v>
      </c>
    </row>
    <row r="4470" spans="19:23">
      <c r="S4470" s="40" t="str">
        <v>Ghana</v>
      </c>
      <c r="T4470" s="40" t="str">
        <f t="shared" si="280"/>
        <v>OK</v>
      </c>
      <c r="U4470" s="40" t="str">
        <f t="shared" si="281"/>
        <v>-</v>
      </c>
      <c r="V4470" s="40" t="str" cm="1">
        <f t="array" ref="V4470">_xlfn.IFS(
ISNUMBER(SEARCH("USA",S4470)),"United States",
ISNUMBER(SEARCH("Republic of Ireland",S4470)),"Ireland",
ISNUMBER(SEARCH("Republic of Korea",S4470)),"South Korea",
ISNUMBER(SEARCH("Cape Verde",S4470)),"Cabo Verde",
ISNUMBER(SEARCH("Czechia",S4470)),"Czech Republic",
ISNUMBER(SEARCH("Türkiye",S4470)),"Turkey",
ISNUMBER(SEARCH("Ivory Coast",S4470)),"Côte d'Ivoire",
ISNUMBER(SEARCH("Korea Republic",S4470)),"South Korea",
ISNUMBER(SEARCH("Germany FR",S4470)),"FR Germany",
ISNUMBER(SEARCH("West Germany",S4470)),"FR Germany",
ISNUMBER(SEARCH("Germany DR",S4470)),"DR Germany",
ISNUMBER(SEARCH("Korea DPR",S4470)),"North Korea",
ISNUMBER(SEARCH("China PR",S4470)),"China",
ISNUMBER(SEARCH("IR Iran",S4470)),"Iran",
ISNUMBER(SEARCH("Congo DR",S4470)),"Democratic Republic of the Congo",
ISNUMBER(SEARCH("DR Congo",S4470)),"Democratic Republic of the Congo",
ISNUMBER(SEARCH("German DR",S4470)),"DR Germany",
ISNUMBER(SEARCH("rn""&gt;United Arab Emirates",S4470)),"United Arab Emirates",
ISNUMBER(SEARCH("rn""&gt;Republic of Ireland",S4470)),"Ireland",
ISNUMBER(SEARCH("rn""&gt;Bosnia and Herzegovina",S4470)),"Bosnia and Herzegovina",
ISNUMBER(SEARCH("rn""&gt;Trinidad and Tobago",S4470)),"Trinidad and Tobago",
ISNUMBER(SEARCH("rn""&gt;Serbia and Montenegro",S4470)),"Serbia and Montenegro",
ISNUMBER(SEARCH(_xlfn.UNICHAR(65533),S4470)),"Côte d'Ivoire",
TRUE,""
)</f>
        <v/>
      </c>
      <c r="W4470" s="40" t="str">
        <f t="shared" si="282"/>
        <v>Ghana</v>
      </c>
    </row>
    <row r="4471" spans="19:23">
      <c r="S4471" s="40" t="str">
        <v>Morocco</v>
      </c>
      <c r="T4471" s="40" t="str">
        <f t="shared" si="280"/>
        <v>OK</v>
      </c>
      <c r="U4471" s="40" t="str">
        <f t="shared" si="281"/>
        <v>-</v>
      </c>
      <c r="V4471" s="40" t="str" cm="1">
        <f t="array" ref="V4471">_xlfn.IFS(
ISNUMBER(SEARCH("USA",S4471)),"United States",
ISNUMBER(SEARCH("Republic of Ireland",S4471)),"Ireland",
ISNUMBER(SEARCH("Republic of Korea",S4471)),"South Korea",
ISNUMBER(SEARCH("Cape Verde",S4471)),"Cabo Verde",
ISNUMBER(SEARCH("Czechia",S4471)),"Czech Republic",
ISNUMBER(SEARCH("Türkiye",S4471)),"Turkey",
ISNUMBER(SEARCH("Ivory Coast",S4471)),"Côte d'Ivoire",
ISNUMBER(SEARCH("Korea Republic",S4471)),"South Korea",
ISNUMBER(SEARCH("Germany FR",S4471)),"FR Germany",
ISNUMBER(SEARCH("West Germany",S4471)),"FR Germany",
ISNUMBER(SEARCH("Germany DR",S4471)),"DR Germany",
ISNUMBER(SEARCH("Korea DPR",S4471)),"North Korea",
ISNUMBER(SEARCH("China PR",S4471)),"China",
ISNUMBER(SEARCH("IR Iran",S4471)),"Iran",
ISNUMBER(SEARCH("Congo DR",S4471)),"Democratic Republic of the Congo",
ISNUMBER(SEARCH("DR Congo",S4471)),"Democratic Republic of the Congo",
ISNUMBER(SEARCH("German DR",S4471)),"DR Germany",
ISNUMBER(SEARCH("rn""&gt;United Arab Emirates",S4471)),"United Arab Emirates",
ISNUMBER(SEARCH("rn""&gt;Republic of Ireland",S4471)),"Ireland",
ISNUMBER(SEARCH("rn""&gt;Bosnia and Herzegovina",S4471)),"Bosnia and Herzegovina",
ISNUMBER(SEARCH("rn""&gt;Trinidad and Tobago",S4471)),"Trinidad and Tobago",
ISNUMBER(SEARCH("rn""&gt;Serbia and Montenegro",S4471)),"Serbia and Montenegro",
ISNUMBER(SEARCH(_xlfn.UNICHAR(65533),S4471)),"Côte d'Ivoire",
TRUE,""
)</f>
        <v/>
      </c>
      <c r="W4471" s="40" t="str">
        <f t="shared" si="282"/>
        <v>Morocco</v>
      </c>
    </row>
    <row r="4472" spans="19:23">
      <c r="S4472" s="40" t="str">
        <v>France</v>
      </c>
      <c r="T4472" s="40" t="str">
        <f t="shared" si="280"/>
        <v>OK</v>
      </c>
      <c r="U4472" s="40" t="str">
        <f t="shared" si="281"/>
        <v>-</v>
      </c>
      <c r="V4472" s="40" t="str" cm="1">
        <f t="array" ref="V4472">_xlfn.IFS(
ISNUMBER(SEARCH("USA",S4472)),"United States",
ISNUMBER(SEARCH("Republic of Ireland",S4472)),"Ireland",
ISNUMBER(SEARCH("Republic of Korea",S4472)),"South Korea",
ISNUMBER(SEARCH("Cape Verde",S4472)),"Cabo Verde",
ISNUMBER(SEARCH("Czechia",S4472)),"Czech Republic",
ISNUMBER(SEARCH("Türkiye",S4472)),"Turkey",
ISNUMBER(SEARCH("Ivory Coast",S4472)),"Côte d'Ivoire",
ISNUMBER(SEARCH("Korea Republic",S4472)),"South Korea",
ISNUMBER(SEARCH("Germany FR",S4472)),"FR Germany",
ISNUMBER(SEARCH("West Germany",S4472)),"FR Germany",
ISNUMBER(SEARCH("Germany DR",S4472)),"DR Germany",
ISNUMBER(SEARCH("Korea DPR",S4472)),"North Korea",
ISNUMBER(SEARCH("China PR",S4472)),"China",
ISNUMBER(SEARCH("IR Iran",S4472)),"Iran",
ISNUMBER(SEARCH("Congo DR",S4472)),"Democratic Republic of the Congo",
ISNUMBER(SEARCH("DR Congo",S4472)),"Democratic Republic of the Congo",
ISNUMBER(SEARCH("German DR",S4472)),"DR Germany",
ISNUMBER(SEARCH("rn""&gt;United Arab Emirates",S4472)),"United Arab Emirates",
ISNUMBER(SEARCH("rn""&gt;Republic of Ireland",S4472)),"Ireland",
ISNUMBER(SEARCH("rn""&gt;Bosnia and Herzegovina",S4472)),"Bosnia and Herzegovina",
ISNUMBER(SEARCH("rn""&gt;Trinidad and Tobago",S4472)),"Trinidad and Tobago",
ISNUMBER(SEARCH("rn""&gt;Serbia and Montenegro",S4472)),"Serbia and Montenegro",
ISNUMBER(SEARCH(_xlfn.UNICHAR(65533),S4472)),"Côte d'Ivoire",
TRUE,""
)</f>
        <v/>
      </c>
      <c r="W4472" s="40" t="str">
        <f t="shared" si="282"/>
        <v>France</v>
      </c>
    </row>
    <row r="4473" spans="19:23">
      <c r="S4473" s="40" t="str">
        <v>Norway</v>
      </c>
      <c r="T4473" s="40" t="str">
        <f t="shared" si="280"/>
        <v>OK</v>
      </c>
      <c r="U4473" s="40" t="str">
        <f t="shared" si="281"/>
        <v>-</v>
      </c>
      <c r="V4473" s="40" t="str" cm="1">
        <f t="array" ref="V4473">_xlfn.IFS(
ISNUMBER(SEARCH("USA",S4473)),"United States",
ISNUMBER(SEARCH("Republic of Ireland",S4473)),"Ireland",
ISNUMBER(SEARCH("Republic of Korea",S4473)),"South Korea",
ISNUMBER(SEARCH("Cape Verde",S4473)),"Cabo Verde",
ISNUMBER(SEARCH("Czechia",S4473)),"Czech Republic",
ISNUMBER(SEARCH("Türkiye",S4473)),"Turkey",
ISNUMBER(SEARCH("Ivory Coast",S4473)),"Côte d'Ivoire",
ISNUMBER(SEARCH("Korea Republic",S4473)),"South Korea",
ISNUMBER(SEARCH("Germany FR",S4473)),"FR Germany",
ISNUMBER(SEARCH("West Germany",S4473)),"FR Germany",
ISNUMBER(SEARCH("Germany DR",S4473)),"DR Germany",
ISNUMBER(SEARCH("Korea DPR",S4473)),"North Korea",
ISNUMBER(SEARCH("China PR",S4473)),"China",
ISNUMBER(SEARCH("IR Iran",S4473)),"Iran",
ISNUMBER(SEARCH("Congo DR",S4473)),"Democratic Republic of the Congo",
ISNUMBER(SEARCH("DR Congo",S4473)),"Democratic Republic of the Congo",
ISNUMBER(SEARCH("German DR",S4473)),"DR Germany",
ISNUMBER(SEARCH("rn""&gt;United Arab Emirates",S4473)),"United Arab Emirates",
ISNUMBER(SEARCH("rn""&gt;Republic of Ireland",S4473)),"Ireland",
ISNUMBER(SEARCH("rn""&gt;Bosnia and Herzegovina",S4473)),"Bosnia and Herzegovina",
ISNUMBER(SEARCH("rn""&gt;Trinidad and Tobago",S4473)),"Trinidad and Tobago",
ISNUMBER(SEARCH("rn""&gt;Serbia and Montenegro",S4473)),"Serbia and Montenegro",
ISNUMBER(SEARCH(_xlfn.UNICHAR(65533),S4473)),"Côte d'Ivoire",
TRUE,""
)</f>
        <v/>
      </c>
      <c r="W4473" s="40" t="str">
        <f t="shared" si="282"/>
        <v>Norway</v>
      </c>
    </row>
    <row r="4474" spans="19:23">
      <c r="S4474" s="40" t="str">
        <v>England</v>
      </c>
      <c r="T4474" s="40" t="str">
        <f t="shared" si="280"/>
        <v>ERREUR</v>
      </c>
      <c r="U4474" s="40" t="str">
        <f t="shared" si="281"/>
        <v>AUCUNE</v>
      </c>
      <c r="V4474" s="40" t="str" cm="1">
        <f t="array" ref="V4474">_xlfn.IFS(
ISNUMBER(SEARCH("USA",S4474)),"United States",
ISNUMBER(SEARCH("Republic of Ireland",S4474)),"Ireland",
ISNUMBER(SEARCH("Republic of Korea",S4474)),"South Korea",
ISNUMBER(SEARCH("Cape Verde",S4474)),"Cabo Verde",
ISNUMBER(SEARCH("Czechia",S4474)),"Czech Republic",
ISNUMBER(SEARCH("Türkiye",S4474)),"Turkey",
ISNUMBER(SEARCH("Ivory Coast",S4474)),"Côte d'Ivoire",
ISNUMBER(SEARCH("Korea Republic",S4474)),"South Korea",
ISNUMBER(SEARCH("Germany FR",S4474)),"FR Germany",
ISNUMBER(SEARCH("West Germany",S4474)),"FR Germany",
ISNUMBER(SEARCH("Germany DR",S4474)),"DR Germany",
ISNUMBER(SEARCH("Korea DPR",S4474)),"North Korea",
ISNUMBER(SEARCH("China PR",S4474)),"China",
ISNUMBER(SEARCH("IR Iran",S4474)),"Iran",
ISNUMBER(SEARCH("Congo DR",S4474)),"Democratic Republic of the Congo",
ISNUMBER(SEARCH("DR Congo",S4474)),"Democratic Republic of the Congo",
ISNUMBER(SEARCH("German DR",S4474)),"DR Germany",
ISNUMBER(SEARCH("rn""&gt;United Arab Emirates",S4474)),"United Arab Emirates",
ISNUMBER(SEARCH("rn""&gt;Republic of Ireland",S4474)),"Ireland",
ISNUMBER(SEARCH("rn""&gt;Bosnia and Herzegovina",S4474)),"Bosnia and Herzegovina",
ISNUMBER(SEARCH("rn""&gt;Trinidad and Tobago",S4474)),"Trinidad and Tobago",
ISNUMBER(SEARCH("rn""&gt;Serbia and Montenegro",S4474)),"Serbia and Montenegro",
ISNUMBER(SEARCH(_xlfn.UNICHAR(65533),S4474)),"Côte d'Ivoire",
TRUE,""
)</f>
        <v/>
      </c>
      <c r="W4474" s="40" t="str">
        <f t="shared" si="282"/>
        <v>England</v>
      </c>
    </row>
    <row r="4475" spans="19:23">
      <c r="S4475" s="40" t="str">
        <v>Spain</v>
      </c>
      <c r="T4475" s="40" t="str">
        <f t="shared" si="280"/>
        <v>OK</v>
      </c>
      <c r="U4475" s="40" t="str">
        <f t="shared" si="281"/>
        <v>-</v>
      </c>
      <c r="V4475" s="40" t="str" cm="1">
        <f t="array" ref="V4475">_xlfn.IFS(
ISNUMBER(SEARCH("USA",S4475)),"United States",
ISNUMBER(SEARCH("Republic of Ireland",S4475)),"Ireland",
ISNUMBER(SEARCH("Republic of Korea",S4475)),"South Korea",
ISNUMBER(SEARCH("Cape Verde",S4475)),"Cabo Verde",
ISNUMBER(SEARCH("Czechia",S4475)),"Czech Republic",
ISNUMBER(SEARCH("Türkiye",S4475)),"Turkey",
ISNUMBER(SEARCH("Ivory Coast",S4475)),"Côte d'Ivoire",
ISNUMBER(SEARCH("Korea Republic",S4475)),"South Korea",
ISNUMBER(SEARCH("Germany FR",S4475)),"FR Germany",
ISNUMBER(SEARCH("West Germany",S4475)),"FR Germany",
ISNUMBER(SEARCH("Germany DR",S4475)),"DR Germany",
ISNUMBER(SEARCH("Korea DPR",S4475)),"North Korea",
ISNUMBER(SEARCH("China PR",S4475)),"China",
ISNUMBER(SEARCH("IR Iran",S4475)),"Iran",
ISNUMBER(SEARCH("Congo DR",S4475)),"Democratic Republic of the Congo",
ISNUMBER(SEARCH("DR Congo",S4475)),"Democratic Republic of the Congo",
ISNUMBER(SEARCH("German DR",S4475)),"DR Germany",
ISNUMBER(SEARCH("rn""&gt;United Arab Emirates",S4475)),"United Arab Emirates",
ISNUMBER(SEARCH("rn""&gt;Republic of Ireland",S4475)),"Ireland",
ISNUMBER(SEARCH("rn""&gt;Bosnia and Herzegovina",S4475)),"Bosnia and Herzegovina",
ISNUMBER(SEARCH("rn""&gt;Trinidad and Tobago",S4475)),"Trinidad and Tobago",
ISNUMBER(SEARCH("rn""&gt;Serbia and Montenegro",S4475)),"Serbia and Montenegro",
ISNUMBER(SEARCH(_xlfn.UNICHAR(65533),S4475)),"Côte d'Ivoire",
TRUE,""
)</f>
        <v/>
      </c>
      <c r="W4475" s="40" t="str">
        <f t="shared" si="282"/>
        <v>Spain</v>
      </c>
    </row>
    <row r="4476" spans="19:23">
      <c r="S4476" s="40" t="str">
        <v>Belgium</v>
      </c>
      <c r="T4476" s="40" t="str">
        <f t="shared" si="280"/>
        <v>OK</v>
      </c>
      <c r="U4476" s="40" t="str">
        <f t="shared" si="281"/>
        <v>-</v>
      </c>
      <c r="V4476" s="40" t="str" cm="1">
        <f t="array" ref="V4476">_xlfn.IFS(
ISNUMBER(SEARCH("USA",S4476)),"United States",
ISNUMBER(SEARCH("Republic of Ireland",S4476)),"Ireland",
ISNUMBER(SEARCH("Republic of Korea",S4476)),"South Korea",
ISNUMBER(SEARCH("Cape Verde",S4476)),"Cabo Verde",
ISNUMBER(SEARCH("Czechia",S4476)),"Czech Republic",
ISNUMBER(SEARCH("Türkiye",S4476)),"Turkey",
ISNUMBER(SEARCH("Ivory Coast",S4476)),"Côte d'Ivoire",
ISNUMBER(SEARCH("Korea Republic",S4476)),"South Korea",
ISNUMBER(SEARCH("Germany FR",S4476)),"FR Germany",
ISNUMBER(SEARCH("West Germany",S4476)),"FR Germany",
ISNUMBER(SEARCH("Germany DR",S4476)),"DR Germany",
ISNUMBER(SEARCH("Korea DPR",S4476)),"North Korea",
ISNUMBER(SEARCH("China PR",S4476)),"China",
ISNUMBER(SEARCH("IR Iran",S4476)),"Iran",
ISNUMBER(SEARCH("Congo DR",S4476)),"Democratic Republic of the Congo",
ISNUMBER(SEARCH("DR Congo",S4476)),"Democratic Republic of the Congo",
ISNUMBER(SEARCH("German DR",S4476)),"DR Germany",
ISNUMBER(SEARCH("rn""&gt;United Arab Emirates",S4476)),"United Arab Emirates",
ISNUMBER(SEARCH("rn""&gt;Republic of Ireland",S4476)),"Ireland",
ISNUMBER(SEARCH("rn""&gt;Bosnia and Herzegovina",S4476)),"Bosnia and Herzegovina",
ISNUMBER(SEARCH("rn""&gt;Trinidad and Tobago",S4476)),"Trinidad and Tobago",
ISNUMBER(SEARCH("rn""&gt;Serbia and Montenegro",S4476)),"Serbia and Montenegro",
ISNUMBER(SEARCH(_xlfn.UNICHAR(65533),S4476)),"Côte d'Ivoire",
TRUE,""
)</f>
        <v/>
      </c>
      <c r="W4476" s="40" t="str">
        <f t="shared" si="282"/>
        <v>Belgium</v>
      </c>
    </row>
    <row r="4477" spans="19:23">
      <c r="S4477" s="40" t="str">
        <v>Egypt</v>
      </c>
      <c r="T4477" s="40" t="str">
        <f t="shared" si="280"/>
        <v>OK</v>
      </c>
      <c r="U4477" s="40" t="str">
        <f t="shared" si="281"/>
        <v>-</v>
      </c>
      <c r="V4477" s="40" t="str" cm="1">
        <f t="array" ref="V4477">_xlfn.IFS(
ISNUMBER(SEARCH("USA",S4477)),"United States",
ISNUMBER(SEARCH("Republic of Ireland",S4477)),"Ireland",
ISNUMBER(SEARCH("Republic of Korea",S4477)),"South Korea",
ISNUMBER(SEARCH("Cape Verde",S4477)),"Cabo Verde",
ISNUMBER(SEARCH("Czechia",S4477)),"Czech Republic",
ISNUMBER(SEARCH("Türkiye",S4477)),"Turkey",
ISNUMBER(SEARCH("Ivory Coast",S4477)),"Côte d'Ivoire",
ISNUMBER(SEARCH("Korea Republic",S4477)),"South Korea",
ISNUMBER(SEARCH("Germany FR",S4477)),"FR Germany",
ISNUMBER(SEARCH("West Germany",S4477)),"FR Germany",
ISNUMBER(SEARCH("Germany DR",S4477)),"DR Germany",
ISNUMBER(SEARCH("Korea DPR",S4477)),"North Korea",
ISNUMBER(SEARCH("China PR",S4477)),"China",
ISNUMBER(SEARCH("IR Iran",S4477)),"Iran",
ISNUMBER(SEARCH("Congo DR",S4477)),"Democratic Republic of the Congo",
ISNUMBER(SEARCH("DR Congo",S4477)),"Democratic Republic of the Congo",
ISNUMBER(SEARCH("German DR",S4477)),"DR Germany",
ISNUMBER(SEARCH("rn""&gt;United Arab Emirates",S4477)),"United Arab Emirates",
ISNUMBER(SEARCH("rn""&gt;Republic of Ireland",S4477)),"Ireland",
ISNUMBER(SEARCH("rn""&gt;Bosnia and Herzegovina",S4477)),"Bosnia and Herzegovina",
ISNUMBER(SEARCH("rn""&gt;Trinidad and Tobago",S4477)),"Trinidad and Tobago",
ISNUMBER(SEARCH("rn""&gt;Serbia and Montenegro",S4477)),"Serbia and Montenegro",
ISNUMBER(SEARCH(_xlfn.UNICHAR(65533),S4477)),"Côte d'Ivoire",
TRUE,""
)</f>
        <v/>
      </c>
      <c r="W4477" s="40" t="str">
        <f t="shared" si="282"/>
        <v>Egypt</v>
      </c>
    </row>
    <row r="4478" spans="19:23">
      <c r="S4478" s="40" t="str">
        <v>Colombia</v>
      </c>
      <c r="T4478" s="40" t="str">
        <f t="shared" si="280"/>
        <v>OK</v>
      </c>
      <c r="U4478" s="40" t="str">
        <f t="shared" si="281"/>
        <v>-</v>
      </c>
      <c r="V4478" s="40" t="str" cm="1">
        <f t="array" ref="V4478">_xlfn.IFS(
ISNUMBER(SEARCH("USA",S4478)),"United States",
ISNUMBER(SEARCH("Republic of Ireland",S4478)),"Ireland",
ISNUMBER(SEARCH("Republic of Korea",S4478)),"South Korea",
ISNUMBER(SEARCH("Cape Verde",S4478)),"Cabo Verde",
ISNUMBER(SEARCH("Czechia",S4478)),"Czech Republic",
ISNUMBER(SEARCH("Türkiye",S4478)),"Turkey",
ISNUMBER(SEARCH("Ivory Coast",S4478)),"Côte d'Ivoire",
ISNUMBER(SEARCH("Korea Republic",S4478)),"South Korea",
ISNUMBER(SEARCH("Germany FR",S4478)),"FR Germany",
ISNUMBER(SEARCH("West Germany",S4478)),"FR Germany",
ISNUMBER(SEARCH("Germany DR",S4478)),"DR Germany",
ISNUMBER(SEARCH("Korea DPR",S4478)),"North Korea",
ISNUMBER(SEARCH("China PR",S4478)),"China",
ISNUMBER(SEARCH("IR Iran",S4478)),"Iran",
ISNUMBER(SEARCH("Congo DR",S4478)),"Democratic Republic of the Congo",
ISNUMBER(SEARCH("DR Congo",S4478)),"Democratic Republic of the Congo",
ISNUMBER(SEARCH("German DR",S4478)),"DR Germany",
ISNUMBER(SEARCH("rn""&gt;United Arab Emirates",S4478)),"United Arab Emirates",
ISNUMBER(SEARCH("rn""&gt;Republic of Ireland",S4478)),"Ireland",
ISNUMBER(SEARCH("rn""&gt;Bosnia and Herzegovina",S4478)),"Bosnia and Herzegovina",
ISNUMBER(SEARCH("rn""&gt;Trinidad and Tobago",S4478)),"Trinidad and Tobago",
ISNUMBER(SEARCH("rn""&gt;Serbia and Montenegro",S4478)),"Serbia and Montenegro",
ISNUMBER(SEARCH(_xlfn.UNICHAR(65533),S4478)),"Côte d'Ivoire",
TRUE,""
)</f>
        <v/>
      </c>
      <c r="W4478" s="40" t="str">
        <f t="shared" si="282"/>
        <v>Colombia</v>
      </c>
    </row>
    <row r="4479" spans="19:23">
      <c r="S4479" s="40" t="str">
        <v>Morocco</v>
      </c>
      <c r="T4479" s="40" t="str">
        <f t="shared" si="280"/>
        <v>OK</v>
      </c>
      <c r="U4479" s="40" t="str">
        <f t="shared" si="281"/>
        <v>-</v>
      </c>
      <c r="V4479" s="40" t="str" cm="1">
        <f t="array" ref="V4479">_xlfn.IFS(
ISNUMBER(SEARCH("USA",S4479)),"United States",
ISNUMBER(SEARCH("Republic of Ireland",S4479)),"Ireland",
ISNUMBER(SEARCH("Republic of Korea",S4479)),"South Korea",
ISNUMBER(SEARCH("Cape Verde",S4479)),"Cabo Verde",
ISNUMBER(SEARCH("Czechia",S4479)),"Czech Republic",
ISNUMBER(SEARCH("Türkiye",S4479)),"Turkey",
ISNUMBER(SEARCH("Ivory Coast",S4479)),"Côte d'Ivoire",
ISNUMBER(SEARCH("Korea Republic",S4479)),"South Korea",
ISNUMBER(SEARCH("Germany FR",S4479)),"FR Germany",
ISNUMBER(SEARCH("West Germany",S4479)),"FR Germany",
ISNUMBER(SEARCH("Germany DR",S4479)),"DR Germany",
ISNUMBER(SEARCH("Korea DPR",S4479)),"North Korea",
ISNUMBER(SEARCH("China PR",S4479)),"China",
ISNUMBER(SEARCH("IR Iran",S4479)),"Iran",
ISNUMBER(SEARCH("Congo DR",S4479)),"Democratic Republic of the Congo",
ISNUMBER(SEARCH("DR Congo",S4479)),"Democratic Republic of the Congo",
ISNUMBER(SEARCH("German DR",S4479)),"DR Germany",
ISNUMBER(SEARCH("rn""&gt;United Arab Emirates",S4479)),"United Arab Emirates",
ISNUMBER(SEARCH("rn""&gt;Republic of Ireland",S4479)),"Ireland",
ISNUMBER(SEARCH("rn""&gt;Bosnia and Herzegovina",S4479)),"Bosnia and Herzegovina",
ISNUMBER(SEARCH("rn""&gt;Trinidad and Tobago",S4479)),"Trinidad and Tobago",
ISNUMBER(SEARCH("rn""&gt;Serbia and Montenegro",S4479)),"Serbia and Montenegro",
ISNUMBER(SEARCH(_xlfn.UNICHAR(65533),S4479)),"Côte d'Ivoire",
TRUE,""
)</f>
        <v/>
      </c>
      <c r="W4479" s="40" t="str">
        <f t="shared" si="282"/>
        <v>Morocco</v>
      </c>
    </row>
    <row r="4480" spans="19:23">
      <c r="S4480" s="40" t="str">
        <v>Belgium</v>
      </c>
      <c r="T4480" s="40" t="str">
        <f t="shared" si="280"/>
        <v>OK</v>
      </c>
      <c r="U4480" s="40" t="str">
        <f t="shared" si="281"/>
        <v>-</v>
      </c>
      <c r="V4480" s="40" t="str" cm="1">
        <f t="array" ref="V4480">_xlfn.IFS(
ISNUMBER(SEARCH("USA",S4480)),"United States",
ISNUMBER(SEARCH("Republic of Ireland",S4480)),"Ireland",
ISNUMBER(SEARCH("Republic of Korea",S4480)),"South Korea",
ISNUMBER(SEARCH("Cape Verde",S4480)),"Cabo Verde",
ISNUMBER(SEARCH("Czechia",S4480)),"Czech Republic",
ISNUMBER(SEARCH("Türkiye",S4480)),"Turkey",
ISNUMBER(SEARCH("Ivory Coast",S4480)),"Côte d'Ivoire",
ISNUMBER(SEARCH("Korea Republic",S4480)),"South Korea",
ISNUMBER(SEARCH("Germany FR",S4480)),"FR Germany",
ISNUMBER(SEARCH("West Germany",S4480)),"FR Germany",
ISNUMBER(SEARCH("Germany DR",S4480)),"DR Germany",
ISNUMBER(SEARCH("Korea DPR",S4480)),"North Korea",
ISNUMBER(SEARCH("China PR",S4480)),"China",
ISNUMBER(SEARCH("IR Iran",S4480)),"Iran",
ISNUMBER(SEARCH("Congo DR",S4480)),"Democratic Republic of the Congo",
ISNUMBER(SEARCH("DR Congo",S4480)),"Democratic Republic of the Congo",
ISNUMBER(SEARCH("German DR",S4480)),"DR Germany",
ISNUMBER(SEARCH("rn""&gt;United Arab Emirates",S4480)),"United Arab Emirates",
ISNUMBER(SEARCH("rn""&gt;Republic of Ireland",S4480)),"Ireland",
ISNUMBER(SEARCH("rn""&gt;Bosnia and Herzegovina",S4480)),"Bosnia and Herzegovina",
ISNUMBER(SEARCH("rn""&gt;Trinidad and Tobago",S4480)),"Trinidad and Tobago",
ISNUMBER(SEARCH("rn""&gt;Serbia and Montenegro",S4480)),"Serbia and Montenegro",
ISNUMBER(SEARCH(_xlfn.UNICHAR(65533),S4480)),"Côte d'Ivoire",
TRUE,""
)</f>
        <v/>
      </c>
      <c r="W4480" s="40" t="str">
        <f t="shared" si="282"/>
        <v>Belgium</v>
      </c>
    </row>
    <row r="4481" spans="19:23">
      <c r="S4481" s="40" t="str">
        <v>England</v>
      </c>
      <c r="T4481" s="40" t="str">
        <f t="shared" si="280"/>
        <v>ERREUR</v>
      </c>
      <c r="U4481" s="40" t="str">
        <f t="shared" si="281"/>
        <v>AUCUNE</v>
      </c>
      <c r="V4481" s="40" t="str" cm="1">
        <f t="array" ref="V4481">_xlfn.IFS(
ISNUMBER(SEARCH("USA",S4481)),"United States",
ISNUMBER(SEARCH("Republic of Ireland",S4481)),"Ireland",
ISNUMBER(SEARCH("Republic of Korea",S4481)),"South Korea",
ISNUMBER(SEARCH("Cape Verde",S4481)),"Cabo Verde",
ISNUMBER(SEARCH("Czechia",S4481)),"Czech Republic",
ISNUMBER(SEARCH("Türkiye",S4481)),"Turkey",
ISNUMBER(SEARCH("Ivory Coast",S4481)),"Côte d'Ivoire",
ISNUMBER(SEARCH("Korea Republic",S4481)),"South Korea",
ISNUMBER(SEARCH("Germany FR",S4481)),"FR Germany",
ISNUMBER(SEARCH("West Germany",S4481)),"FR Germany",
ISNUMBER(SEARCH("Germany DR",S4481)),"DR Germany",
ISNUMBER(SEARCH("Korea DPR",S4481)),"North Korea",
ISNUMBER(SEARCH("China PR",S4481)),"China",
ISNUMBER(SEARCH("IR Iran",S4481)),"Iran",
ISNUMBER(SEARCH("Congo DR",S4481)),"Democratic Republic of the Congo",
ISNUMBER(SEARCH("DR Congo",S4481)),"Democratic Republic of the Congo",
ISNUMBER(SEARCH("German DR",S4481)),"DR Germany",
ISNUMBER(SEARCH("rn""&gt;United Arab Emirates",S4481)),"United Arab Emirates",
ISNUMBER(SEARCH("rn""&gt;Republic of Ireland",S4481)),"Ireland",
ISNUMBER(SEARCH("rn""&gt;Bosnia and Herzegovina",S4481)),"Bosnia and Herzegovina",
ISNUMBER(SEARCH("rn""&gt;Trinidad and Tobago",S4481)),"Trinidad and Tobago",
ISNUMBER(SEARCH("rn""&gt;Serbia and Montenegro",S4481)),"Serbia and Montenegro",
ISNUMBER(SEARCH(_xlfn.UNICHAR(65533),S4481)),"Côte d'Ivoire",
TRUE,""
)</f>
        <v/>
      </c>
      <c r="W4481" s="40" t="str">
        <f t="shared" si="282"/>
        <v>England</v>
      </c>
    </row>
    <row r="4482" spans="19:23">
      <c r="S4482" s="40" t="str">
        <v>Switzerland</v>
      </c>
      <c r="T4482" s="40" t="str">
        <f t="shared" si="280"/>
        <v>OK</v>
      </c>
      <c r="U4482" s="40" t="str">
        <f t="shared" si="281"/>
        <v>-</v>
      </c>
      <c r="V4482" s="40" t="str" cm="1">
        <f t="array" ref="V4482">_xlfn.IFS(
ISNUMBER(SEARCH("USA",S4482)),"United States",
ISNUMBER(SEARCH("Republic of Ireland",S4482)),"Ireland",
ISNUMBER(SEARCH("Republic of Korea",S4482)),"South Korea",
ISNUMBER(SEARCH("Cape Verde",S4482)),"Cabo Verde",
ISNUMBER(SEARCH("Czechia",S4482)),"Czech Republic",
ISNUMBER(SEARCH("Türkiye",S4482)),"Turkey",
ISNUMBER(SEARCH("Ivory Coast",S4482)),"Côte d'Ivoire",
ISNUMBER(SEARCH("Korea Republic",S4482)),"South Korea",
ISNUMBER(SEARCH("Germany FR",S4482)),"FR Germany",
ISNUMBER(SEARCH("West Germany",S4482)),"FR Germany",
ISNUMBER(SEARCH("Germany DR",S4482)),"DR Germany",
ISNUMBER(SEARCH("Korea DPR",S4482)),"North Korea",
ISNUMBER(SEARCH("China PR",S4482)),"China",
ISNUMBER(SEARCH("IR Iran",S4482)),"Iran",
ISNUMBER(SEARCH("Congo DR",S4482)),"Democratic Republic of the Congo",
ISNUMBER(SEARCH("DR Congo",S4482)),"Democratic Republic of the Congo",
ISNUMBER(SEARCH("German DR",S4482)),"DR Germany",
ISNUMBER(SEARCH("rn""&gt;United Arab Emirates",S4482)),"United Arab Emirates",
ISNUMBER(SEARCH("rn""&gt;Republic of Ireland",S4482)),"Ireland",
ISNUMBER(SEARCH("rn""&gt;Bosnia and Herzegovina",S4482)),"Bosnia and Herzegovina",
ISNUMBER(SEARCH("rn""&gt;Trinidad and Tobago",S4482)),"Trinidad and Tobago",
ISNUMBER(SEARCH("rn""&gt;Serbia and Montenegro",S4482)),"Serbia and Montenegro",
ISNUMBER(SEARCH(_xlfn.UNICHAR(65533),S4482)),"Côte d'Ivoire",
TRUE,""
)</f>
        <v/>
      </c>
      <c r="W4482" s="40" t="str">
        <f t="shared" si="282"/>
        <v>Switzerland</v>
      </c>
    </row>
    <row r="4483" spans="19:23">
      <c r="S4483" s="40" t="str">
        <v>Spain</v>
      </c>
      <c r="T4483" s="40" t="str">
        <f>IF(COUNTIF(R$13:R$250,S4483)=1,"OK","ERREUR")</f>
        <v>OK</v>
      </c>
      <c r="U4483" s="40" t="str">
        <f t="shared" si="281"/>
        <v>-</v>
      </c>
      <c r="V4483" s="40" t="str" cm="1">
        <f t="array" ref="V4483">_xlfn.IFS(
ISNUMBER(SEARCH("USA",S4483)),"United States",
ISNUMBER(SEARCH("Republic of Ireland",S4483)),"Ireland",
ISNUMBER(SEARCH("Republic of Korea",S4483)),"South Korea",
ISNUMBER(SEARCH("Cape Verde",S4483)),"Cabo Verde",
ISNUMBER(SEARCH("Czechia",S4483)),"Czech Republic",
ISNUMBER(SEARCH("Türkiye",S4483)),"Turkey",
ISNUMBER(SEARCH("Ivory Coast",S4483)),"Côte d'Ivoire",
ISNUMBER(SEARCH("Korea Republic",S4483)),"South Korea",
ISNUMBER(SEARCH("Germany FR",S4483)),"FR Germany",
ISNUMBER(SEARCH("West Germany",S4483)),"FR Germany",
ISNUMBER(SEARCH("Germany DR",S4483)),"DR Germany",
ISNUMBER(SEARCH("Korea DPR",S4483)),"North Korea",
ISNUMBER(SEARCH("China PR",S4483)),"China",
ISNUMBER(SEARCH("IR Iran",S4483)),"Iran",
ISNUMBER(SEARCH("Congo DR",S4483)),"Democratic Republic of the Congo",
ISNUMBER(SEARCH("DR Congo",S4483)),"Democratic Republic of the Congo",
ISNUMBER(SEARCH("German DR",S4483)),"DR Germany",
ISNUMBER(SEARCH("rn""&gt;United Arab Emirates",S4483)),"United Arab Emirates",
ISNUMBER(SEARCH("rn""&gt;Republic of Ireland",S4483)),"Ireland",
ISNUMBER(SEARCH("rn""&gt;Bosnia and Herzegovina",S4483)),"Bosnia and Herzegovina",
ISNUMBER(SEARCH("rn""&gt;Trinidad and Tobago",S4483)),"Trinidad and Tobago",
ISNUMBER(SEARCH("rn""&gt;Serbia and Montenegro",S4483)),"Serbia and Montenegro",
ISNUMBER(SEARCH(_xlfn.UNICHAR(65533),S4483)),"Côte d'Ivoire",
TRUE,""
)</f>
        <v/>
      </c>
      <c r="W4483" s="40" t="str">
        <f t="shared" si="282"/>
        <v>Spain</v>
      </c>
    </row>
    <row r="4484" spans="19:23">
      <c r="S4484" s="40" t="str">
        <v>Argentina</v>
      </c>
      <c r="T4484" s="40" t="str">
        <f>IF(COUNTIF(R$13:R$250,S4484)=1,"OK","ERREUR")</f>
        <v>OK</v>
      </c>
      <c r="U4484" s="40" t="str">
        <f>IF(OR(S4484="Scotland",S4484="England",S4484="Wales",S4484="Yugoslavia",S4484="Czechoslovakia",S4484="Northern Ireland",S4484="Soviet Union",S4484="Zaire",S4484="Dutch East Indies"),"AUCUNE",IF(OR(S4484="Cape Verde",S4484="USA",S4484="DR Congo",S4484="Republic of Korea",S4484="Germany FR",S4484="Germany DR",S4484="Czechia",S4484="Ivory Coast",S4484="Korea DPR",S4484="China PR",S4484="IR Iran",S4484="Türkiye",S4484="Congo DR",S4484="German DR",S4484="West Germany",S4484="Republic of Ireland",ISNUMBER(SEARCH(_xlfn.UNICHAR(65533),S4484)),S4484="Korea Republic",ISNUMBER(SEARCH("rn""&gt;United Arab Emirates",S4484)),ISNUMBER(SEARCH("rn""&gt;Republic of Ireland",S4484)),ISNUMBER(SEARCH("rn""&gt;Bosnia and Herzegovina",S4484)),ISNUMBER(SEARCH("rn""&gt;Trinidad and Tobago",S4484)),ISNUMBER(SEARCH("rn""&gt;Serbia and Montenegro",S4484)),ISNUMBER(SEARCH(_xlfn.UNICHAR(65533),S4484))),"RENOMMER","-"))</f>
        <v>-</v>
      </c>
      <c r="V4484" s="40" t="str" cm="1">
        <f t="array" ref="V4484">_xlfn.IFS(
ISNUMBER(SEARCH("USA",S4484)),"United States",
ISNUMBER(SEARCH("Republic of Ireland",S4484)),"Ireland",
ISNUMBER(SEARCH("Republic of Korea",S4484)),"South Korea",
ISNUMBER(SEARCH("Cape Verde",S4484)),"Cabo Verde",
ISNUMBER(SEARCH("Czechia",S4484)),"Czech Republic",
ISNUMBER(SEARCH("Türkiye",S4484)),"Turkey",
ISNUMBER(SEARCH("Ivory Coast",S4484)),"Côte d'Ivoire",
ISNUMBER(SEARCH("Korea Republic",S4484)),"South Korea",
ISNUMBER(SEARCH("Germany FR",S4484)),"FR Germany",
ISNUMBER(SEARCH("West Germany",S4484)),"FR Germany",
ISNUMBER(SEARCH("Germany DR",S4484)),"DR Germany",
ISNUMBER(SEARCH("Korea DPR",S4484)),"North Korea",
ISNUMBER(SEARCH("China PR",S4484)),"China",
ISNUMBER(SEARCH("IR Iran",S4484)),"Iran",
ISNUMBER(SEARCH("Congo DR",S4484)),"Democratic Republic of the Congo",
ISNUMBER(SEARCH("DR Congo",S4484)),"Democratic Republic of the Congo",
ISNUMBER(SEARCH("German DR",S4484)),"DR Germany",
ISNUMBER(SEARCH("rn""&gt;United Arab Emirates",S4484)),"United Arab Emirates",
ISNUMBER(SEARCH("rn""&gt;Republic of Ireland",S4484)),"Ireland",
ISNUMBER(SEARCH("rn""&gt;Bosnia and Herzegovina",S4484)),"Bosnia and Herzegovina",
ISNUMBER(SEARCH("rn""&gt;Trinidad and Tobago",S4484)),"Trinidad and Tobago",
ISNUMBER(SEARCH("rn""&gt;Serbia and Montenegro",S4484)),"Serbia and Montenegro",
ISNUMBER(SEARCH(_xlfn.UNICHAR(65533),S4484)),"Côte d'Ivoire",
TRUE,""
)</f>
        <v/>
      </c>
      <c r="W4484" s="40" t="str">
        <f>IF(V4484="",S4484,V4484)</f>
        <v>Argentina</v>
      </c>
    </row>
    <row r="4485" spans="19:23">
      <c r="S4485" s="40" t="str">
        <v>England</v>
      </c>
      <c r="T4485" s="40" t="str">
        <f>IF(COUNTIF(R$13:R$250,S4485)=1,"OK","ERREUR")</f>
        <v>ERREUR</v>
      </c>
      <c r="U4485" s="40" t="str">
        <f>IF(OR(S4485="Scotland",S4485="England",S4485="Wales",S4485="Yugoslavia",S4485="Czechoslovakia",S4485="Northern Ireland",S4485="Soviet Union",S4485="Zaire",S4485="Dutch East Indies"),"AUCUNE",IF(OR(S4485="Cape Verde",S4485="USA",S4485="DR Congo",S4485="Republic of Korea",S4485="Germany FR",S4485="Germany DR",S4485="Czechia",S4485="Ivory Coast",S4485="Korea DPR",S4485="China PR",S4485="IR Iran",S4485="Türkiye",S4485="Congo DR",S4485="German DR",S4485="West Germany",S4485="Republic of Ireland",ISNUMBER(SEARCH(_xlfn.UNICHAR(65533),S4485)),S4485="Korea Republic",ISNUMBER(SEARCH("rn""&gt;United Arab Emirates",S4485)),ISNUMBER(SEARCH("rn""&gt;Republic of Ireland",S4485)),ISNUMBER(SEARCH("rn""&gt;Bosnia and Herzegovina",S4485)),ISNUMBER(SEARCH("rn""&gt;Trinidad and Tobago",S4485)),ISNUMBER(SEARCH("rn""&gt;Serbia and Montenegro",S4485)),ISNUMBER(SEARCH(_xlfn.UNICHAR(65533),S4485))),"RENOMMER","-"))</f>
        <v>AUCUNE</v>
      </c>
      <c r="V4485" s="40" t="str" cm="1">
        <f t="array" ref="V4485">_xlfn.IFS(
ISNUMBER(SEARCH("USA",S4485)),"United States",
ISNUMBER(SEARCH("Republic of Ireland",S4485)),"Ireland",
ISNUMBER(SEARCH("Republic of Korea",S4485)),"South Korea",
ISNUMBER(SEARCH("Cape Verde",S4485)),"Cabo Verde",
ISNUMBER(SEARCH("Czechia",S4485)),"Czech Republic",
ISNUMBER(SEARCH("Türkiye",S4485)),"Turkey",
ISNUMBER(SEARCH("Ivory Coast",S4485)),"Côte d'Ivoire",
ISNUMBER(SEARCH("Korea Republic",S4485)),"South Korea",
ISNUMBER(SEARCH("Germany FR",S4485)),"FR Germany",
ISNUMBER(SEARCH("West Germany",S4485)),"FR Germany",
ISNUMBER(SEARCH("Germany DR",S4485)),"DR Germany",
ISNUMBER(SEARCH("Korea DPR",S4485)),"North Korea",
ISNUMBER(SEARCH("China PR",S4485)),"China",
ISNUMBER(SEARCH("IR Iran",S4485)),"Iran",
ISNUMBER(SEARCH("Congo DR",S4485)),"Democratic Republic of the Congo",
ISNUMBER(SEARCH("DR Congo",S4485)),"Democratic Republic of the Congo",
ISNUMBER(SEARCH("German DR",S4485)),"DR Germany",
ISNUMBER(SEARCH("rn""&gt;United Arab Emirates",S4485)),"United Arab Emirates",
ISNUMBER(SEARCH("rn""&gt;Republic of Ireland",S4485)),"Ireland",
ISNUMBER(SEARCH("rn""&gt;Bosnia and Herzegovina",S4485)),"Bosnia and Herzegovina",
ISNUMBER(SEARCH("rn""&gt;Trinidad and Tobago",S4485)),"Trinidad and Tobago",
ISNUMBER(SEARCH("rn""&gt;Serbia and Montenegro",S4485)),"Serbia and Montenegro",
ISNUMBER(SEARCH(_xlfn.UNICHAR(65533),S4485)),"Côte d'Ivoire",
TRUE,""
)</f>
        <v/>
      </c>
      <c r="W4485" s="40" t="str">
        <f>IF(V4485="",S4485,V4485)</f>
        <v>England</v>
      </c>
    </row>
    <row r="4486" spans="19:23">
      <c r="S4486" s="40" t="str">
        <v>Argentina</v>
      </c>
      <c r="T4486" s="40" t="str">
        <f>IF(COUNTIF(R$13:R$250,S4486)=1,"OK","ERREUR")</f>
        <v>OK</v>
      </c>
      <c r="U4486" s="40" t="str">
        <f>IF(OR(S4486="Scotland",S4486="England",S4486="Wales",S4486="Yugoslavia",S4486="Czechoslovakia",S4486="Northern Ireland",S4486="Soviet Union",S4486="Zaire",S4486="Dutch East Indies"),"AUCUNE",IF(OR(S4486="Cape Verde",S4486="USA",S4486="DR Congo",S4486="Republic of Korea",S4486="Germany FR",S4486="Germany DR",S4486="Czechia",S4486="Ivory Coast",S4486="Korea DPR",S4486="China PR",S4486="IR Iran",S4486="Türkiye",S4486="Congo DR",S4486="German DR",S4486="West Germany",S4486="Republic of Ireland",ISNUMBER(SEARCH(_xlfn.UNICHAR(65533),S4486)),S4486="Korea Republic",ISNUMBER(SEARCH("rn""&gt;United Arab Emirates",S4486)),ISNUMBER(SEARCH("rn""&gt;Republic of Ireland",S4486)),ISNUMBER(SEARCH("rn""&gt;Bosnia and Herzegovina",S4486)),ISNUMBER(SEARCH("rn""&gt;Trinidad and Tobago",S4486)),ISNUMBER(SEARCH("rn""&gt;Serbia and Montenegro",S4486)),ISNUMBER(SEARCH(_xlfn.UNICHAR(65533),S4486))),"RENOMMER","-"))</f>
        <v>-</v>
      </c>
      <c r="V4486" s="40" t="str" cm="1">
        <f t="array" ref="V4486">_xlfn.IFS(
ISNUMBER(SEARCH("USA",S4486)),"United States",
ISNUMBER(SEARCH("Republic of Ireland",S4486)),"Ireland",
ISNUMBER(SEARCH("Republic of Korea",S4486)),"South Korea",
ISNUMBER(SEARCH("Cape Verde",S4486)),"Cabo Verde",
ISNUMBER(SEARCH("Czechia",S4486)),"Czech Republic",
ISNUMBER(SEARCH("Türkiye",S4486)),"Turkey",
ISNUMBER(SEARCH("Ivory Coast",S4486)),"Côte d'Ivoire",
ISNUMBER(SEARCH("Korea Republic",S4486)),"South Korea",
ISNUMBER(SEARCH("Germany FR",S4486)),"FR Germany",
ISNUMBER(SEARCH("West Germany",S4486)),"FR Germany",
ISNUMBER(SEARCH("Germany DR",S4486)),"DR Germany",
ISNUMBER(SEARCH("Korea DPR",S4486)),"North Korea",
ISNUMBER(SEARCH("China PR",S4486)),"China",
ISNUMBER(SEARCH("IR Iran",S4486)),"Iran",
ISNUMBER(SEARCH("Congo DR",S4486)),"Democratic Republic of the Congo",
ISNUMBER(SEARCH("DR Congo",S4486)),"Democratic Republic of the Congo",
ISNUMBER(SEARCH("German DR",S4486)),"DR Germany",
ISNUMBER(SEARCH("rn""&gt;United Arab Emirates",S4486)),"United Arab Emirates",
ISNUMBER(SEARCH("rn""&gt;Republic of Ireland",S4486)),"Ireland",
ISNUMBER(SEARCH("rn""&gt;Bosnia and Herzegovina",S4486)),"Bosnia and Herzegovina",
ISNUMBER(SEARCH("rn""&gt;Trinidad and Tobago",S4486)),"Trinidad and Tobago",
ISNUMBER(SEARCH("rn""&gt;Serbia and Montenegro",S4486)),"Serbia and Montenegro",
ISNUMBER(SEARCH(_xlfn.UNICHAR(65533),S4486)),"Côte d'Ivoire",
TRUE,""
)</f>
        <v/>
      </c>
      <c r="W4486" s="40" t="str">
        <f>IF(V4486="",S4486,V4486)</f>
        <v>Argentina</v>
      </c>
    </row>
    <row r="4488" spans="19:23" ht="18.75">
      <c r="S4488" s="39" t="s">
        <v>3809</v>
      </c>
      <c r="T4488" s="39" t="s">
        <v>3811</v>
      </c>
      <c r="U4488" s="97" t="s">
        <v>3593</v>
      </c>
      <c r="V4488" s="39" t="s">
        <v>3764</v>
      </c>
      <c r="W4488" s="39" t="s">
        <v>3810</v>
      </c>
    </row>
    <row r="4489" spans="19:23">
      <c r="S4489" s="42" t="str" cm="1">
        <f t="array" ref="S4489:S5546">_xlfn._xlws.FILTER(TRIM(K1689:K2762),M1689:M2762="OK")</f>
        <v/>
      </c>
      <c r="T4489" s="42" t="str">
        <f>IF(S4489="","-",IFERROR(LEFT(S4489,SEARCH(" win",S4489)-1),"-"))</f>
        <v>-</v>
      </c>
      <c r="U4489" s="40" t="str">
        <f>IF(T4489="-","-",IF(COUNTIF(_xlfn.ANCHORARRAY(X$13),T4489)=1,"AUCUNE","RENOMMER"))</f>
        <v>-</v>
      </c>
      <c r="V4489" s="42" t="str" cm="1">
        <f t="array" ref="V4489">_xlfn.IFS(
LEFT(S4489,16)="win on penalties",IF(VALUE(MID(S4489,19,1))&gt;VALUE(MID(S4489,23,1)),DATA_CLEANED!AK3,DATA_CLEANED!AN3),
ISNUMBER(SEARCH("USA",S4489)),"United States",
ISNUMBER(SEARCH("Republic of Ireland",S4489)),"Ireland",
ISNUMBER(SEARCH("Republic of Korea",S4489)),"South Korea",
ISNUMBER(SEARCH("Cape Verde",S4489)),"Cabo Verde",
ISNUMBER(SEARCH("Czechia",S4489)),"Czech Republic",
ISNUMBER(SEARCH("Türkiye",S4489)),"Turkey",
ISNUMBER(SEARCH("Ivory Coast",S4489)),"Côte d'Ivoire",
ISNUMBER(SEARCH("Korea Republic",S4489)),"South Korea",
ISNUMBER(SEARCH("Germany FR",S4489)),"FR Germany",
ISNUMBER(SEARCH("West Germany",S4489)),"FR Germany",
ISNUMBER(SEARCH("Germany DR",S4489)),"DR Germany",
ISNUMBER(SEARCH("Korea DPR",S4489)),"North Korea",
ISNUMBER(SEARCH("China PR",S4489)),"China",
ISNUMBER(SEARCH("IR Iran",S4489)),"Iran",
ISNUMBER(SEARCH("Congo DR",S4489)),"Democratic Republic of the Congo",
ISNUMBER(SEARCH("DR Congo",S4489)),"Democratic Republic of the Congo",
ISNUMBER(SEARCH("German DR",S4489)),"DR Germany",
ISNUMBER(SEARCH("rn""&gt;United Arab Emirates",S4489)),"United Arab Emirates",
ISNUMBER(SEARCH("rn""&gt;Republic of Ireland",S4489)),"Ireland",
ISNUMBER(SEARCH("rn""&gt;Bosnia and Herzegovina",S4489)),"Bosnia and Herzegovina",
ISNUMBER(SEARCH("rn""&gt;Trinidad and Tobago",S4489)),"Trinidad and Tobago",
ISNUMBER(SEARCH("rn""&gt;Serbia and Montenegro",S4489)),"Serbia and Montenegro",
ISNUMBER(SEARCH(_xlfn.UNICHAR(65533),S4489)),"Côte d'Ivoire",
TRUE,"-"
)</f>
        <v>-</v>
      </c>
      <c r="W4489" s="42" t="str">
        <f>IF(S4489="","-",IF(AND(U4489="RENOMMER",T4489&lt;&gt;"-",V4489&lt;&gt;"-"),SUBSTITUTE(S4489,T4489,V4489),S4489))</f>
        <v>-</v>
      </c>
    </row>
    <row r="4490" spans="19:23">
      <c r="S4490" s="42" t="str">
        <v/>
      </c>
      <c r="T4490" s="42" t="str">
        <f t="shared" ref="T4490:T4553" si="283">IF(S4490="","-",IFERROR(LEFT(S4490,SEARCH(" win",S4490)-1),"-"))</f>
        <v>-</v>
      </c>
      <c r="U4490" s="40" t="str">
        <f t="shared" ref="U4490:U4553" si="284">IF(T4490="-","-",IF(COUNTIF(_xlfn.ANCHORARRAY(X$13),T4490)=1,"AUCUNE","RENOMMER"))</f>
        <v>-</v>
      </c>
      <c r="V4490" s="42" t="str" cm="1">
        <f t="array" ref="V4490">_xlfn.IFS(
LEFT(S4490,16)="win on penalties",IF(VALUE(MID(S4490,19,1))&gt;VALUE(MID(S4490,23,1)),DATA_CLEANED!AK4,DATA_CLEANED!AN4),
ISNUMBER(SEARCH("USA",S4490)),"United States",
ISNUMBER(SEARCH("Republic of Ireland",S4490)),"Ireland",
ISNUMBER(SEARCH("Republic of Korea",S4490)),"South Korea",
ISNUMBER(SEARCH("Cape Verde",S4490)),"Cabo Verde",
ISNUMBER(SEARCH("Czechia",S4490)),"Czech Republic",
ISNUMBER(SEARCH("Türkiye",S4490)),"Turkey",
ISNUMBER(SEARCH("Ivory Coast",S4490)),"Côte d'Ivoire",
ISNUMBER(SEARCH("Korea Republic",S4490)),"South Korea",
ISNUMBER(SEARCH("Germany FR",S4490)),"FR Germany",
ISNUMBER(SEARCH("West Germany",S4490)),"FR Germany",
ISNUMBER(SEARCH("Germany DR",S4490)),"DR Germany",
ISNUMBER(SEARCH("Korea DPR",S4490)),"North Korea",
ISNUMBER(SEARCH("China PR",S4490)),"China",
ISNUMBER(SEARCH("IR Iran",S4490)),"Iran",
ISNUMBER(SEARCH("Congo DR",S4490)),"Democratic Republic of the Congo",
ISNUMBER(SEARCH("DR Congo",S4490)),"Democratic Republic of the Congo",
ISNUMBER(SEARCH("German DR",S4490)),"DR Germany",
ISNUMBER(SEARCH("rn""&gt;United Arab Emirates",S4490)),"United Arab Emirates",
ISNUMBER(SEARCH("rn""&gt;Republic of Ireland",S4490)),"Ireland",
ISNUMBER(SEARCH("rn""&gt;Bosnia and Herzegovina",S4490)),"Bosnia and Herzegovina",
ISNUMBER(SEARCH("rn""&gt;Trinidad and Tobago",S4490)),"Trinidad and Tobago",
ISNUMBER(SEARCH("rn""&gt;Serbia and Montenegro",S4490)),"Serbia and Montenegro",
ISNUMBER(SEARCH(_xlfn.UNICHAR(65533),S4490)),"Côte d'Ivoire",
TRUE,"-"
)</f>
        <v>-</v>
      </c>
      <c r="W4490" s="42" t="str">
        <f t="shared" ref="W4490:W4553" si="285">IF(S4490="","-",IF(AND(U4490="RENOMMER",T4490&lt;&gt;"-",V4490&lt;&gt;"-"),SUBSTITUTE(S4490,T4490,V4490),S4490))</f>
        <v>-</v>
      </c>
    </row>
    <row r="4491" spans="19:23">
      <c r="S4491" s="42" t="str">
        <v/>
      </c>
      <c r="T4491" s="42" t="str">
        <f t="shared" si="283"/>
        <v>-</v>
      </c>
      <c r="U4491" s="40" t="str">
        <f t="shared" si="284"/>
        <v>-</v>
      </c>
      <c r="V4491" s="42" t="str" cm="1">
        <f t="array" ref="V4491">_xlfn.IFS(
LEFT(S4491,16)="win on penalties",IF(VALUE(MID(S4491,19,1))&gt;VALUE(MID(S4491,23,1)),DATA_CLEANED!AK5,DATA_CLEANED!AN5),
ISNUMBER(SEARCH("USA",S4491)),"United States",
ISNUMBER(SEARCH("Republic of Ireland",S4491)),"Ireland",
ISNUMBER(SEARCH("Republic of Korea",S4491)),"South Korea",
ISNUMBER(SEARCH("Cape Verde",S4491)),"Cabo Verde",
ISNUMBER(SEARCH("Czechia",S4491)),"Czech Republic",
ISNUMBER(SEARCH("Türkiye",S4491)),"Turkey",
ISNUMBER(SEARCH("Ivory Coast",S4491)),"Côte d'Ivoire",
ISNUMBER(SEARCH("Korea Republic",S4491)),"South Korea",
ISNUMBER(SEARCH("Germany FR",S4491)),"FR Germany",
ISNUMBER(SEARCH("West Germany",S4491)),"FR Germany",
ISNUMBER(SEARCH("Germany DR",S4491)),"DR Germany",
ISNUMBER(SEARCH("Korea DPR",S4491)),"North Korea",
ISNUMBER(SEARCH("China PR",S4491)),"China",
ISNUMBER(SEARCH("IR Iran",S4491)),"Iran",
ISNUMBER(SEARCH("Congo DR",S4491)),"Democratic Republic of the Congo",
ISNUMBER(SEARCH("DR Congo",S4491)),"Democratic Republic of the Congo",
ISNUMBER(SEARCH("German DR",S4491)),"DR Germany",
ISNUMBER(SEARCH("rn""&gt;United Arab Emirates",S4491)),"United Arab Emirates",
ISNUMBER(SEARCH("rn""&gt;Republic of Ireland",S4491)),"Ireland",
ISNUMBER(SEARCH("rn""&gt;Bosnia and Herzegovina",S4491)),"Bosnia and Herzegovina",
ISNUMBER(SEARCH("rn""&gt;Trinidad and Tobago",S4491)),"Trinidad and Tobago",
ISNUMBER(SEARCH("rn""&gt;Serbia and Montenegro",S4491)),"Serbia and Montenegro",
ISNUMBER(SEARCH(_xlfn.UNICHAR(65533),S4491)),"Côte d'Ivoire",
TRUE,"-"
)</f>
        <v>-</v>
      </c>
      <c r="W4491" s="42" t="str">
        <f t="shared" si="285"/>
        <v>-</v>
      </c>
    </row>
    <row r="4492" spans="19:23">
      <c r="S4492" s="42" t="str">
        <v/>
      </c>
      <c r="T4492" s="42" t="str">
        <f t="shared" si="283"/>
        <v>-</v>
      </c>
      <c r="U4492" s="40" t="str">
        <f t="shared" si="284"/>
        <v>-</v>
      </c>
      <c r="V4492" s="42" t="str" cm="1">
        <f t="array" ref="V4492">_xlfn.IFS(
LEFT(S4492,16)="win on penalties",IF(VALUE(MID(S4492,19,1))&gt;VALUE(MID(S4492,23,1)),DATA_CLEANED!AK6,DATA_CLEANED!AN6),
ISNUMBER(SEARCH("USA",S4492)),"United States",
ISNUMBER(SEARCH("Republic of Ireland",S4492)),"Ireland",
ISNUMBER(SEARCH("Republic of Korea",S4492)),"South Korea",
ISNUMBER(SEARCH("Cape Verde",S4492)),"Cabo Verde",
ISNUMBER(SEARCH("Czechia",S4492)),"Czech Republic",
ISNUMBER(SEARCH("Türkiye",S4492)),"Turkey",
ISNUMBER(SEARCH("Ivory Coast",S4492)),"Côte d'Ivoire",
ISNUMBER(SEARCH("Korea Republic",S4492)),"South Korea",
ISNUMBER(SEARCH("Germany FR",S4492)),"FR Germany",
ISNUMBER(SEARCH("West Germany",S4492)),"FR Germany",
ISNUMBER(SEARCH("Germany DR",S4492)),"DR Germany",
ISNUMBER(SEARCH("Korea DPR",S4492)),"North Korea",
ISNUMBER(SEARCH("China PR",S4492)),"China",
ISNUMBER(SEARCH("IR Iran",S4492)),"Iran",
ISNUMBER(SEARCH("Congo DR",S4492)),"Democratic Republic of the Congo",
ISNUMBER(SEARCH("DR Congo",S4492)),"Democratic Republic of the Congo",
ISNUMBER(SEARCH("German DR",S4492)),"DR Germany",
ISNUMBER(SEARCH("rn""&gt;United Arab Emirates",S4492)),"United Arab Emirates",
ISNUMBER(SEARCH("rn""&gt;Republic of Ireland",S4492)),"Ireland",
ISNUMBER(SEARCH("rn""&gt;Bosnia and Herzegovina",S4492)),"Bosnia and Herzegovina",
ISNUMBER(SEARCH("rn""&gt;Trinidad and Tobago",S4492)),"Trinidad and Tobago",
ISNUMBER(SEARCH("rn""&gt;Serbia and Montenegro",S4492)),"Serbia and Montenegro",
ISNUMBER(SEARCH(_xlfn.UNICHAR(65533),S4492)),"Côte d'Ivoire",
TRUE,"-"
)</f>
        <v>-</v>
      </c>
      <c r="W4492" s="42" t="str">
        <f t="shared" si="285"/>
        <v>-</v>
      </c>
    </row>
    <row r="4493" spans="19:23">
      <c r="S4493" s="42" t="str">
        <v/>
      </c>
      <c r="T4493" s="42" t="str">
        <f t="shared" si="283"/>
        <v>-</v>
      </c>
      <c r="U4493" s="40" t="str">
        <f t="shared" si="284"/>
        <v>-</v>
      </c>
      <c r="V4493" s="42" t="str" cm="1">
        <f t="array" ref="V4493">_xlfn.IFS(
LEFT(S4493,16)="win on penalties",IF(VALUE(MID(S4493,19,1))&gt;VALUE(MID(S4493,23,1)),DATA_CLEANED!AK7,DATA_CLEANED!AN7),
ISNUMBER(SEARCH("USA",S4493)),"United States",
ISNUMBER(SEARCH("Republic of Ireland",S4493)),"Ireland",
ISNUMBER(SEARCH("Republic of Korea",S4493)),"South Korea",
ISNUMBER(SEARCH("Cape Verde",S4493)),"Cabo Verde",
ISNUMBER(SEARCH("Czechia",S4493)),"Czech Republic",
ISNUMBER(SEARCH("Türkiye",S4493)),"Turkey",
ISNUMBER(SEARCH("Ivory Coast",S4493)),"Côte d'Ivoire",
ISNUMBER(SEARCH("Korea Republic",S4493)),"South Korea",
ISNUMBER(SEARCH("Germany FR",S4493)),"FR Germany",
ISNUMBER(SEARCH("West Germany",S4493)),"FR Germany",
ISNUMBER(SEARCH("Germany DR",S4493)),"DR Germany",
ISNUMBER(SEARCH("Korea DPR",S4493)),"North Korea",
ISNUMBER(SEARCH("China PR",S4493)),"China",
ISNUMBER(SEARCH("IR Iran",S4493)),"Iran",
ISNUMBER(SEARCH("Congo DR",S4493)),"Democratic Republic of the Congo",
ISNUMBER(SEARCH("DR Congo",S4493)),"Democratic Republic of the Congo",
ISNUMBER(SEARCH("German DR",S4493)),"DR Germany",
ISNUMBER(SEARCH("rn""&gt;United Arab Emirates",S4493)),"United Arab Emirates",
ISNUMBER(SEARCH("rn""&gt;Republic of Ireland",S4493)),"Ireland",
ISNUMBER(SEARCH("rn""&gt;Bosnia and Herzegovina",S4493)),"Bosnia and Herzegovina",
ISNUMBER(SEARCH("rn""&gt;Trinidad and Tobago",S4493)),"Trinidad and Tobago",
ISNUMBER(SEARCH("rn""&gt;Serbia and Montenegro",S4493)),"Serbia and Montenegro",
ISNUMBER(SEARCH(_xlfn.UNICHAR(65533),S4493)),"Côte d'Ivoire",
TRUE,"-"
)</f>
        <v>-</v>
      </c>
      <c r="W4493" s="42" t="str">
        <f t="shared" si="285"/>
        <v>-</v>
      </c>
    </row>
    <row r="4494" spans="19:23">
      <c r="S4494" s="42" t="str">
        <v/>
      </c>
      <c r="T4494" s="42" t="str">
        <f t="shared" si="283"/>
        <v>-</v>
      </c>
      <c r="U4494" s="40" t="str">
        <f t="shared" si="284"/>
        <v>-</v>
      </c>
      <c r="V4494" s="42" t="str" cm="1">
        <f t="array" ref="V4494">_xlfn.IFS(
LEFT(S4494,16)="win on penalties",IF(VALUE(MID(S4494,19,1))&gt;VALUE(MID(S4494,23,1)),DATA_CLEANED!AK8,DATA_CLEANED!AN8),
ISNUMBER(SEARCH("USA",S4494)),"United States",
ISNUMBER(SEARCH("Republic of Ireland",S4494)),"Ireland",
ISNUMBER(SEARCH("Republic of Korea",S4494)),"South Korea",
ISNUMBER(SEARCH("Cape Verde",S4494)),"Cabo Verde",
ISNUMBER(SEARCH("Czechia",S4494)),"Czech Republic",
ISNUMBER(SEARCH("Türkiye",S4494)),"Turkey",
ISNUMBER(SEARCH("Ivory Coast",S4494)),"Côte d'Ivoire",
ISNUMBER(SEARCH("Korea Republic",S4494)),"South Korea",
ISNUMBER(SEARCH("Germany FR",S4494)),"FR Germany",
ISNUMBER(SEARCH("West Germany",S4494)),"FR Germany",
ISNUMBER(SEARCH("Germany DR",S4494)),"DR Germany",
ISNUMBER(SEARCH("Korea DPR",S4494)),"North Korea",
ISNUMBER(SEARCH("China PR",S4494)),"China",
ISNUMBER(SEARCH("IR Iran",S4494)),"Iran",
ISNUMBER(SEARCH("Congo DR",S4494)),"Democratic Republic of the Congo",
ISNUMBER(SEARCH("DR Congo",S4494)),"Democratic Republic of the Congo",
ISNUMBER(SEARCH("German DR",S4494)),"DR Germany",
ISNUMBER(SEARCH("rn""&gt;United Arab Emirates",S4494)),"United Arab Emirates",
ISNUMBER(SEARCH("rn""&gt;Republic of Ireland",S4494)),"Ireland",
ISNUMBER(SEARCH("rn""&gt;Bosnia and Herzegovina",S4494)),"Bosnia and Herzegovina",
ISNUMBER(SEARCH("rn""&gt;Trinidad and Tobago",S4494)),"Trinidad and Tobago",
ISNUMBER(SEARCH("rn""&gt;Serbia and Montenegro",S4494)),"Serbia and Montenegro",
ISNUMBER(SEARCH(_xlfn.UNICHAR(65533),S4494)),"Côte d'Ivoire",
TRUE,"-"
)</f>
        <v>-</v>
      </c>
      <c r="W4494" s="42" t="str">
        <f t="shared" si="285"/>
        <v>-</v>
      </c>
    </row>
    <row r="4495" spans="19:23">
      <c r="S4495" s="42" t="str">
        <v/>
      </c>
      <c r="T4495" s="42" t="str">
        <f t="shared" si="283"/>
        <v>-</v>
      </c>
      <c r="U4495" s="40" t="str">
        <f t="shared" si="284"/>
        <v>-</v>
      </c>
      <c r="V4495" s="42" t="str" cm="1">
        <f t="array" ref="V4495">_xlfn.IFS(
LEFT(S4495,16)="win on penalties",IF(VALUE(MID(S4495,19,1))&gt;VALUE(MID(S4495,23,1)),DATA_CLEANED!AK9,DATA_CLEANED!AN9),
ISNUMBER(SEARCH("USA",S4495)),"United States",
ISNUMBER(SEARCH("Republic of Ireland",S4495)),"Ireland",
ISNUMBER(SEARCH("Republic of Korea",S4495)),"South Korea",
ISNUMBER(SEARCH("Cape Verde",S4495)),"Cabo Verde",
ISNUMBER(SEARCH("Czechia",S4495)),"Czech Republic",
ISNUMBER(SEARCH("Türkiye",S4495)),"Turkey",
ISNUMBER(SEARCH("Ivory Coast",S4495)),"Côte d'Ivoire",
ISNUMBER(SEARCH("Korea Republic",S4495)),"South Korea",
ISNUMBER(SEARCH("Germany FR",S4495)),"FR Germany",
ISNUMBER(SEARCH("West Germany",S4495)),"FR Germany",
ISNUMBER(SEARCH("Germany DR",S4495)),"DR Germany",
ISNUMBER(SEARCH("Korea DPR",S4495)),"North Korea",
ISNUMBER(SEARCH("China PR",S4495)),"China",
ISNUMBER(SEARCH("IR Iran",S4495)),"Iran",
ISNUMBER(SEARCH("Congo DR",S4495)),"Democratic Republic of the Congo",
ISNUMBER(SEARCH("DR Congo",S4495)),"Democratic Republic of the Congo",
ISNUMBER(SEARCH("German DR",S4495)),"DR Germany",
ISNUMBER(SEARCH("rn""&gt;United Arab Emirates",S4495)),"United Arab Emirates",
ISNUMBER(SEARCH("rn""&gt;Republic of Ireland",S4495)),"Ireland",
ISNUMBER(SEARCH("rn""&gt;Bosnia and Herzegovina",S4495)),"Bosnia and Herzegovina",
ISNUMBER(SEARCH("rn""&gt;Trinidad and Tobago",S4495)),"Trinidad and Tobago",
ISNUMBER(SEARCH("rn""&gt;Serbia and Montenegro",S4495)),"Serbia and Montenegro",
ISNUMBER(SEARCH(_xlfn.UNICHAR(65533),S4495)),"Côte d'Ivoire",
TRUE,"-"
)</f>
        <v>-</v>
      </c>
      <c r="W4495" s="42" t="str">
        <f t="shared" si="285"/>
        <v>-</v>
      </c>
    </row>
    <row r="4496" spans="19:23">
      <c r="S4496" s="42" t="str">
        <v/>
      </c>
      <c r="T4496" s="42" t="str">
        <f t="shared" si="283"/>
        <v>-</v>
      </c>
      <c r="U4496" s="40" t="str">
        <f t="shared" si="284"/>
        <v>-</v>
      </c>
      <c r="V4496" s="42" t="str" cm="1">
        <f t="array" ref="V4496">_xlfn.IFS(
LEFT(S4496,16)="win on penalties",IF(VALUE(MID(S4496,19,1))&gt;VALUE(MID(S4496,23,1)),DATA_CLEANED!AK10,DATA_CLEANED!AN10),
ISNUMBER(SEARCH("USA",S4496)),"United States",
ISNUMBER(SEARCH("Republic of Ireland",S4496)),"Ireland",
ISNUMBER(SEARCH("Republic of Korea",S4496)),"South Korea",
ISNUMBER(SEARCH("Cape Verde",S4496)),"Cabo Verde",
ISNUMBER(SEARCH("Czechia",S4496)),"Czech Republic",
ISNUMBER(SEARCH("Türkiye",S4496)),"Turkey",
ISNUMBER(SEARCH("Ivory Coast",S4496)),"Côte d'Ivoire",
ISNUMBER(SEARCH("Korea Republic",S4496)),"South Korea",
ISNUMBER(SEARCH("Germany FR",S4496)),"FR Germany",
ISNUMBER(SEARCH("West Germany",S4496)),"FR Germany",
ISNUMBER(SEARCH("Germany DR",S4496)),"DR Germany",
ISNUMBER(SEARCH("Korea DPR",S4496)),"North Korea",
ISNUMBER(SEARCH("China PR",S4496)),"China",
ISNUMBER(SEARCH("IR Iran",S4496)),"Iran",
ISNUMBER(SEARCH("Congo DR",S4496)),"Democratic Republic of the Congo",
ISNUMBER(SEARCH("DR Congo",S4496)),"Democratic Republic of the Congo",
ISNUMBER(SEARCH("German DR",S4496)),"DR Germany",
ISNUMBER(SEARCH("rn""&gt;United Arab Emirates",S4496)),"United Arab Emirates",
ISNUMBER(SEARCH("rn""&gt;Republic of Ireland",S4496)),"Ireland",
ISNUMBER(SEARCH("rn""&gt;Bosnia and Herzegovina",S4496)),"Bosnia and Herzegovina",
ISNUMBER(SEARCH("rn""&gt;Trinidad and Tobago",S4496)),"Trinidad and Tobago",
ISNUMBER(SEARCH("rn""&gt;Serbia and Montenegro",S4496)),"Serbia and Montenegro",
ISNUMBER(SEARCH(_xlfn.UNICHAR(65533),S4496)),"Côte d'Ivoire",
TRUE,"-"
)</f>
        <v>-</v>
      </c>
      <c r="W4496" s="42" t="str">
        <f t="shared" si="285"/>
        <v>-</v>
      </c>
    </row>
    <row r="4497" spans="19:23">
      <c r="S4497" s="42" t="str">
        <v/>
      </c>
      <c r="T4497" s="42" t="str">
        <f t="shared" si="283"/>
        <v>-</v>
      </c>
      <c r="U4497" s="40" t="str">
        <f t="shared" si="284"/>
        <v>-</v>
      </c>
      <c r="V4497" s="42" t="str" cm="1">
        <f t="array" ref="V4497">_xlfn.IFS(
LEFT(S4497,16)="win on penalties",IF(VALUE(MID(S4497,19,1))&gt;VALUE(MID(S4497,23,1)),DATA_CLEANED!AK11,DATA_CLEANED!AN11),
ISNUMBER(SEARCH("USA",S4497)),"United States",
ISNUMBER(SEARCH("Republic of Ireland",S4497)),"Ireland",
ISNUMBER(SEARCH("Republic of Korea",S4497)),"South Korea",
ISNUMBER(SEARCH("Cape Verde",S4497)),"Cabo Verde",
ISNUMBER(SEARCH("Czechia",S4497)),"Czech Republic",
ISNUMBER(SEARCH("Türkiye",S4497)),"Turkey",
ISNUMBER(SEARCH("Ivory Coast",S4497)),"Côte d'Ivoire",
ISNUMBER(SEARCH("Korea Republic",S4497)),"South Korea",
ISNUMBER(SEARCH("Germany FR",S4497)),"FR Germany",
ISNUMBER(SEARCH("West Germany",S4497)),"FR Germany",
ISNUMBER(SEARCH("Germany DR",S4497)),"DR Germany",
ISNUMBER(SEARCH("Korea DPR",S4497)),"North Korea",
ISNUMBER(SEARCH("China PR",S4497)),"China",
ISNUMBER(SEARCH("IR Iran",S4497)),"Iran",
ISNUMBER(SEARCH("Congo DR",S4497)),"Democratic Republic of the Congo",
ISNUMBER(SEARCH("DR Congo",S4497)),"Democratic Republic of the Congo",
ISNUMBER(SEARCH("German DR",S4497)),"DR Germany",
ISNUMBER(SEARCH("rn""&gt;United Arab Emirates",S4497)),"United Arab Emirates",
ISNUMBER(SEARCH("rn""&gt;Republic of Ireland",S4497)),"Ireland",
ISNUMBER(SEARCH("rn""&gt;Bosnia and Herzegovina",S4497)),"Bosnia and Herzegovina",
ISNUMBER(SEARCH("rn""&gt;Trinidad and Tobago",S4497)),"Trinidad and Tobago",
ISNUMBER(SEARCH("rn""&gt;Serbia and Montenegro",S4497)),"Serbia and Montenegro",
ISNUMBER(SEARCH(_xlfn.UNICHAR(65533),S4497)),"Côte d'Ivoire",
TRUE,"-"
)</f>
        <v>-</v>
      </c>
      <c r="W4497" s="42" t="str">
        <f t="shared" si="285"/>
        <v>-</v>
      </c>
    </row>
    <row r="4498" spans="19:23">
      <c r="S4498" s="42" t="str">
        <v/>
      </c>
      <c r="T4498" s="42" t="str">
        <f t="shared" si="283"/>
        <v>-</v>
      </c>
      <c r="U4498" s="40" t="str">
        <f t="shared" si="284"/>
        <v>-</v>
      </c>
      <c r="V4498" s="42" t="str" cm="1">
        <f t="array" ref="V4498">_xlfn.IFS(
LEFT(S4498,16)="win on penalties",IF(VALUE(MID(S4498,19,1))&gt;VALUE(MID(S4498,23,1)),DATA_CLEANED!AK12,DATA_CLEANED!AN12),
ISNUMBER(SEARCH("USA",S4498)),"United States",
ISNUMBER(SEARCH("Republic of Ireland",S4498)),"Ireland",
ISNUMBER(SEARCH("Republic of Korea",S4498)),"South Korea",
ISNUMBER(SEARCH("Cape Verde",S4498)),"Cabo Verde",
ISNUMBER(SEARCH("Czechia",S4498)),"Czech Republic",
ISNUMBER(SEARCH("Türkiye",S4498)),"Turkey",
ISNUMBER(SEARCH("Ivory Coast",S4498)),"Côte d'Ivoire",
ISNUMBER(SEARCH("Korea Republic",S4498)),"South Korea",
ISNUMBER(SEARCH("Germany FR",S4498)),"FR Germany",
ISNUMBER(SEARCH("West Germany",S4498)),"FR Germany",
ISNUMBER(SEARCH("Germany DR",S4498)),"DR Germany",
ISNUMBER(SEARCH("Korea DPR",S4498)),"North Korea",
ISNUMBER(SEARCH("China PR",S4498)),"China",
ISNUMBER(SEARCH("IR Iran",S4498)),"Iran",
ISNUMBER(SEARCH("Congo DR",S4498)),"Democratic Republic of the Congo",
ISNUMBER(SEARCH("DR Congo",S4498)),"Democratic Republic of the Congo",
ISNUMBER(SEARCH("German DR",S4498)),"DR Germany",
ISNUMBER(SEARCH("rn""&gt;United Arab Emirates",S4498)),"United Arab Emirates",
ISNUMBER(SEARCH("rn""&gt;Republic of Ireland",S4498)),"Ireland",
ISNUMBER(SEARCH("rn""&gt;Bosnia and Herzegovina",S4498)),"Bosnia and Herzegovina",
ISNUMBER(SEARCH("rn""&gt;Trinidad and Tobago",S4498)),"Trinidad and Tobago",
ISNUMBER(SEARCH("rn""&gt;Serbia and Montenegro",S4498)),"Serbia and Montenegro",
ISNUMBER(SEARCH(_xlfn.UNICHAR(65533),S4498)),"Côte d'Ivoire",
TRUE,"-"
)</f>
        <v>-</v>
      </c>
      <c r="W4498" s="42" t="str">
        <f t="shared" si="285"/>
        <v>-</v>
      </c>
    </row>
    <row r="4499" spans="19:23">
      <c r="S4499" s="42" t="str">
        <v/>
      </c>
      <c r="T4499" s="42" t="str">
        <f t="shared" si="283"/>
        <v>-</v>
      </c>
      <c r="U4499" s="40" t="str">
        <f t="shared" si="284"/>
        <v>-</v>
      </c>
      <c r="V4499" s="42" t="str" cm="1">
        <f t="array" ref="V4499">_xlfn.IFS(
LEFT(S4499,16)="win on penalties",IF(VALUE(MID(S4499,19,1))&gt;VALUE(MID(S4499,23,1)),DATA_CLEANED!AK13,DATA_CLEANED!AN13),
ISNUMBER(SEARCH("USA",S4499)),"United States",
ISNUMBER(SEARCH("Republic of Ireland",S4499)),"Ireland",
ISNUMBER(SEARCH("Republic of Korea",S4499)),"South Korea",
ISNUMBER(SEARCH("Cape Verde",S4499)),"Cabo Verde",
ISNUMBER(SEARCH("Czechia",S4499)),"Czech Republic",
ISNUMBER(SEARCH("Türkiye",S4499)),"Turkey",
ISNUMBER(SEARCH("Ivory Coast",S4499)),"Côte d'Ivoire",
ISNUMBER(SEARCH("Korea Republic",S4499)),"South Korea",
ISNUMBER(SEARCH("Germany FR",S4499)),"FR Germany",
ISNUMBER(SEARCH("West Germany",S4499)),"FR Germany",
ISNUMBER(SEARCH("Germany DR",S4499)),"DR Germany",
ISNUMBER(SEARCH("Korea DPR",S4499)),"North Korea",
ISNUMBER(SEARCH("China PR",S4499)),"China",
ISNUMBER(SEARCH("IR Iran",S4499)),"Iran",
ISNUMBER(SEARCH("Congo DR",S4499)),"Democratic Republic of the Congo",
ISNUMBER(SEARCH("DR Congo",S4499)),"Democratic Republic of the Congo",
ISNUMBER(SEARCH("German DR",S4499)),"DR Germany",
ISNUMBER(SEARCH("rn""&gt;United Arab Emirates",S4499)),"United Arab Emirates",
ISNUMBER(SEARCH("rn""&gt;Republic of Ireland",S4499)),"Ireland",
ISNUMBER(SEARCH("rn""&gt;Bosnia and Herzegovina",S4499)),"Bosnia and Herzegovina",
ISNUMBER(SEARCH("rn""&gt;Trinidad and Tobago",S4499)),"Trinidad and Tobago",
ISNUMBER(SEARCH("rn""&gt;Serbia and Montenegro",S4499)),"Serbia and Montenegro",
ISNUMBER(SEARCH(_xlfn.UNICHAR(65533),S4499)),"Côte d'Ivoire",
TRUE,"-"
)</f>
        <v>-</v>
      </c>
      <c r="W4499" s="42" t="str">
        <f t="shared" si="285"/>
        <v>-</v>
      </c>
    </row>
    <row r="4500" spans="19:23">
      <c r="S4500" s="42" t="str">
        <v/>
      </c>
      <c r="T4500" s="42" t="str">
        <f t="shared" si="283"/>
        <v>-</v>
      </c>
      <c r="U4500" s="40" t="str">
        <f t="shared" si="284"/>
        <v>-</v>
      </c>
      <c r="V4500" s="42" t="str" cm="1">
        <f t="array" ref="V4500">_xlfn.IFS(
LEFT(S4500,16)="win on penalties",IF(VALUE(MID(S4500,19,1))&gt;VALUE(MID(S4500,23,1)),DATA_CLEANED!AK14,DATA_CLEANED!AN14),
ISNUMBER(SEARCH("USA",S4500)),"United States",
ISNUMBER(SEARCH("Republic of Ireland",S4500)),"Ireland",
ISNUMBER(SEARCH("Republic of Korea",S4500)),"South Korea",
ISNUMBER(SEARCH("Cape Verde",S4500)),"Cabo Verde",
ISNUMBER(SEARCH("Czechia",S4500)),"Czech Republic",
ISNUMBER(SEARCH("Türkiye",S4500)),"Turkey",
ISNUMBER(SEARCH("Ivory Coast",S4500)),"Côte d'Ivoire",
ISNUMBER(SEARCH("Korea Republic",S4500)),"South Korea",
ISNUMBER(SEARCH("Germany FR",S4500)),"FR Germany",
ISNUMBER(SEARCH("West Germany",S4500)),"FR Germany",
ISNUMBER(SEARCH("Germany DR",S4500)),"DR Germany",
ISNUMBER(SEARCH("Korea DPR",S4500)),"North Korea",
ISNUMBER(SEARCH("China PR",S4500)),"China",
ISNUMBER(SEARCH("IR Iran",S4500)),"Iran",
ISNUMBER(SEARCH("Congo DR",S4500)),"Democratic Republic of the Congo",
ISNUMBER(SEARCH("DR Congo",S4500)),"Democratic Republic of the Congo",
ISNUMBER(SEARCH("German DR",S4500)),"DR Germany",
ISNUMBER(SEARCH("rn""&gt;United Arab Emirates",S4500)),"United Arab Emirates",
ISNUMBER(SEARCH("rn""&gt;Republic of Ireland",S4500)),"Ireland",
ISNUMBER(SEARCH("rn""&gt;Bosnia and Herzegovina",S4500)),"Bosnia and Herzegovina",
ISNUMBER(SEARCH("rn""&gt;Trinidad and Tobago",S4500)),"Trinidad and Tobago",
ISNUMBER(SEARCH("rn""&gt;Serbia and Montenegro",S4500)),"Serbia and Montenegro",
ISNUMBER(SEARCH(_xlfn.UNICHAR(65533),S4500)),"Côte d'Ivoire",
TRUE,"-"
)</f>
        <v>-</v>
      </c>
      <c r="W4500" s="42" t="str">
        <f t="shared" si="285"/>
        <v>-</v>
      </c>
    </row>
    <row r="4501" spans="19:23">
      <c r="S4501" s="42" t="str">
        <v/>
      </c>
      <c r="T4501" s="42" t="str">
        <f t="shared" si="283"/>
        <v>-</v>
      </c>
      <c r="U4501" s="40" t="str">
        <f t="shared" si="284"/>
        <v>-</v>
      </c>
      <c r="V4501" s="42" t="str" cm="1">
        <f t="array" ref="V4501">_xlfn.IFS(
LEFT(S4501,16)="win on penalties",IF(VALUE(MID(S4501,19,1))&gt;VALUE(MID(S4501,23,1)),DATA_CLEANED!AK15,DATA_CLEANED!AN15),
ISNUMBER(SEARCH("USA",S4501)),"United States",
ISNUMBER(SEARCH("Republic of Ireland",S4501)),"Ireland",
ISNUMBER(SEARCH("Republic of Korea",S4501)),"South Korea",
ISNUMBER(SEARCH("Cape Verde",S4501)),"Cabo Verde",
ISNUMBER(SEARCH("Czechia",S4501)),"Czech Republic",
ISNUMBER(SEARCH("Türkiye",S4501)),"Turkey",
ISNUMBER(SEARCH("Ivory Coast",S4501)),"Côte d'Ivoire",
ISNUMBER(SEARCH("Korea Republic",S4501)),"South Korea",
ISNUMBER(SEARCH("Germany FR",S4501)),"FR Germany",
ISNUMBER(SEARCH("West Germany",S4501)),"FR Germany",
ISNUMBER(SEARCH("Germany DR",S4501)),"DR Germany",
ISNUMBER(SEARCH("Korea DPR",S4501)),"North Korea",
ISNUMBER(SEARCH("China PR",S4501)),"China",
ISNUMBER(SEARCH("IR Iran",S4501)),"Iran",
ISNUMBER(SEARCH("Congo DR",S4501)),"Democratic Republic of the Congo",
ISNUMBER(SEARCH("DR Congo",S4501)),"Democratic Republic of the Congo",
ISNUMBER(SEARCH("German DR",S4501)),"DR Germany",
ISNUMBER(SEARCH("rn""&gt;United Arab Emirates",S4501)),"United Arab Emirates",
ISNUMBER(SEARCH("rn""&gt;Republic of Ireland",S4501)),"Ireland",
ISNUMBER(SEARCH("rn""&gt;Bosnia and Herzegovina",S4501)),"Bosnia and Herzegovina",
ISNUMBER(SEARCH("rn""&gt;Trinidad and Tobago",S4501)),"Trinidad and Tobago",
ISNUMBER(SEARCH("rn""&gt;Serbia and Montenegro",S4501)),"Serbia and Montenegro",
ISNUMBER(SEARCH(_xlfn.UNICHAR(65533),S4501)),"Côte d'Ivoire",
TRUE,"-"
)</f>
        <v>-</v>
      </c>
      <c r="W4501" s="42" t="str">
        <f t="shared" si="285"/>
        <v>-</v>
      </c>
    </row>
    <row r="4502" spans="19:23">
      <c r="S4502" s="42" t="str">
        <v/>
      </c>
      <c r="T4502" s="42" t="str">
        <f t="shared" si="283"/>
        <v>-</v>
      </c>
      <c r="U4502" s="40" t="str">
        <f t="shared" si="284"/>
        <v>-</v>
      </c>
      <c r="V4502" s="42" t="str" cm="1">
        <f t="array" ref="V4502">_xlfn.IFS(
LEFT(S4502,16)="win on penalties",IF(VALUE(MID(S4502,19,1))&gt;VALUE(MID(S4502,23,1)),DATA_CLEANED!AK16,DATA_CLEANED!AN16),
ISNUMBER(SEARCH("USA",S4502)),"United States",
ISNUMBER(SEARCH("Republic of Ireland",S4502)),"Ireland",
ISNUMBER(SEARCH("Republic of Korea",S4502)),"South Korea",
ISNUMBER(SEARCH("Cape Verde",S4502)),"Cabo Verde",
ISNUMBER(SEARCH("Czechia",S4502)),"Czech Republic",
ISNUMBER(SEARCH("Türkiye",S4502)),"Turkey",
ISNUMBER(SEARCH("Ivory Coast",S4502)),"Côte d'Ivoire",
ISNUMBER(SEARCH("Korea Republic",S4502)),"South Korea",
ISNUMBER(SEARCH("Germany FR",S4502)),"FR Germany",
ISNUMBER(SEARCH("West Germany",S4502)),"FR Germany",
ISNUMBER(SEARCH("Germany DR",S4502)),"DR Germany",
ISNUMBER(SEARCH("Korea DPR",S4502)),"North Korea",
ISNUMBER(SEARCH("China PR",S4502)),"China",
ISNUMBER(SEARCH("IR Iran",S4502)),"Iran",
ISNUMBER(SEARCH("Congo DR",S4502)),"Democratic Republic of the Congo",
ISNUMBER(SEARCH("DR Congo",S4502)),"Democratic Republic of the Congo",
ISNUMBER(SEARCH("German DR",S4502)),"DR Germany",
ISNUMBER(SEARCH("rn""&gt;United Arab Emirates",S4502)),"United Arab Emirates",
ISNUMBER(SEARCH("rn""&gt;Republic of Ireland",S4502)),"Ireland",
ISNUMBER(SEARCH("rn""&gt;Bosnia and Herzegovina",S4502)),"Bosnia and Herzegovina",
ISNUMBER(SEARCH("rn""&gt;Trinidad and Tobago",S4502)),"Trinidad and Tobago",
ISNUMBER(SEARCH("rn""&gt;Serbia and Montenegro",S4502)),"Serbia and Montenegro",
ISNUMBER(SEARCH(_xlfn.UNICHAR(65533),S4502)),"Côte d'Ivoire",
TRUE,"-"
)</f>
        <v>-</v>
      </c>
      <c r="W4502" s="42" t="str">
        <f t="shared" si="285"/>
        <v>-</v>
      </c>
    </row>
    <row r="4503" spans="19:23">
      <c r="S4503" s="42" t="str">
        <v/>
      </c>
      <c r="T4503" s="42" t="str">
        <f t="shared" si="283"/>
        <v>-</v>
      </c>
      <c r="U4503" s="40" t="str">
        <f t="shared" si="284"/>
        <v>-</v>
      </c>
      <c r="V4503" s="42" t="str" cm="1">
        <f t="array" ref="V4503">_xlfn.IFS(
LEFT(S4503,16)="win on penalties",IF(VALUE(MID(S4503,19,1))&gt;VALUE(MID(S4503,23,1)),DATA_CLEANED!AK17,DATA_CLEANED!AN17),
ISNUMBER(SEARCH("USA",S4503)),"United States",
ISNUMBER(SEARCH("Republic of Ireland",S4503)),"Ireland",
ISNUMBER(SEARCH("Republic of Korea",S4503)),"South Korea",
ISNUMBER(SEARCH("Cape Verde",S4503)),"Cabo Verde",
ISNUMBER(SEARCH("Czechia",S4503)),"Czech Republic",
ISNUMBER(SEARCH("Türkiye",S4503)),"Turkey",
ISNUMBER(SEARCH("Ivory Coast",S4503)),"Côte d'Ivoire",
ISNUMBER(SEARCH("Korea Republic",S4503)),"South Korea",
ISNUMBER(SEARCH("Germany FR",S4503)),"FR Germany",
ISNUMBER(SEARCH("West Germany",S4503)),"FR Germany",
ISNUMBER(SEARCH("Germany DR",S4503)),"DR Germany",
ISNUMBER(SEARCH("Korea DPR",S4503)),"North Korea",
ISNUMBER(SEARCH("China PR",S4503)),"China",
ISNUMBER(SEARCH("IR Iran",S4503)),"Iran",
ISNUMBER(SEARCH("Congo DR",S4503)),"Democratic Republic of the Congo",
ISNUMBER(SEARCH("DR Congo",S4503)),"Democratic Republic of the Congo",
ISNUMBER(SEARCH("German DR",S4503)),"DR Germany",
ISNUMBER(SEARCH("rn""&gt;United Arab Emirates",S4503)),"United Arab Emirates",
ISNUMBER(SEARCH("rn""&gt;Republic of Ireland",S4503)),"Ireland",
ISNUMBER(SEARCH("rn""&gt;Bosnia and Herzegovina",S4503)),"Bosnia and Herzegovina",
ISNUMBER(SEARCH("rn""&gt;Trinidad and Tobago",S4503)),"Trinidad and Tobago",
ISNUMBER(SEARCH("rn""&gt;Serbia and Montenegro",S4503)),"Serbia and Montenegro",
ISNUMBER(SEARCH(_xlfn.UNICHAR(65533),S4503)),"Côte d'Ivoire",
TRUE,"-"
)</f>
        <v>-</v>
      </c>
      <c r="W4503" s="42" t="str">
        <f t="shared" si="285"/>
        <v>-</v>
      </c>
    </row>
    <row r="4504" spans="19:23">
      <c r="S4504" s="42" t="str">
        <v/>
      </c>
      <c r="T4504" s="42" t="str">
        <f t="shared" si="283"/>
        <v>-</v>
      </c>
      <c r="U4504" s="40" t="str">
        <f t="shared" si="284"/>
        <v>-</v>
      </c>
      <c r="V4504" s="42" t="str" cm="1">
        <f t="array" ref="V4504">_xlfn.IFS(
LEFT(S4504,16)="win on penalties",IF(VALUE(MID(S4504,19,1))&gt;VALUE(MID(S4504,23,1)),DATA_CLEANED!AK18,DATA_CLEANED!AN18),
ISNUMBER(SEARCH("USA",S4504)),"United States",
ISNUMBER(SEARCH("Republic of Ireland",S4504)),"Ireland",
ISNUMBER(SEARCH("Republic of Korea",S4504)),"South Korea",
ISNUMBER(SEARCH("Cape Verde",S4504)),"Cabo Verde",
ISNUMBER(SEARCH("Czechia",S4504)),"Czech Republic",
ISNUMBER(SEARCH("Türkiye",S4504)),"Turkey",
ISNUMBER(SEARCH("Ivory Coast",S4504)),"Côte d'Ivoire",
ISNUMBER(SEARCH("Korea Republic",S4504)),"South Korea",
ISNUMBER(SEARCH("Germany FR",S4504)),"FR Germany",
ISNUMBER(SEARCH("West Germany",S4504)),"FR Germany",
ISNUMBER(SEARCH("Germany DR",S4504)),"DR Germany",
ISNUMBER(SEARCH("Korea DPR",S4504)),"North Korea",
ISNUMBER(SEARCH("China PR",S4504)),"China",
ISNUMBER(SEARCH("IR Iran",S4504)),"Iran",
ISNUMBER(SEARCH("Congo DR",S4504)),"Democratic Republic of the Congo",
ISNUMBER(SEARCH("DR Congo",S4504)),"Democratic Republic of the Congo",
ISNUMBER(SEARCH("German DR",S4504)),"DR Germany",
ISNUMBER(SEARCH("rn""&gt;United Arab Emirates",S4504)),"United Arab Emirates",
ISNUMBER(SEARCH("rn""&gt;Republic of Ireland",S4504)),"Ireland",
ISNUMBER(SEARCH("rn""&gt;Bosnia and Herzegovina",S4504)),"Bosnia and Herzegovina",
ISNUMBER(SEARCH("rn""&gt;Trinidad and Tobago",S4504)),"Trinidad and Tobago",
ISNUMBER(SEARCH("rn""&gt;Serbia and Montenegro",S4504)),"Serbia and Montenegro",
ISNUMBER(SEARCH(_xlfn.UNICHAR(65533),S4504)),"Côte d'Ivoire",
TRUE,"-"
)</f>
        <v>-</v>
      </c>
      <c r="W4504" s="42" t="str">
        <f t="shared" si="285"/>
        <v>-</v>
      </c>
    </row>
    <row r="4505" spans="19:23">
      <c r="S4505" s="42" t="str">
        <v/>
      </c>
      <c r="T4505" s="42" t="str">
        <f t="shared" si="283"/>
        <v>-</v>
      </c>
      <c r="U4505" s="40" t="str">
        <f t="shared" si="284"/>
        <v>-</v>
      </c>
      <c r="V4505" s="42" t="str" cm="1">
        <f t="array" ref="V4505">_xlfn.IFS(
LEFT(S4505,16)="win on penalties",IF(VALUE(MID(S4505,19,1))&gt;VALUE(MID(S4505,23,1)),DATA_CLEANED!AK19,DATA_CLEANED!AN19),
ISNUMBER(SEARCH("USA",S4505)),"United States",
ISNUMBER(SEARCH("Republic of Ireland",S4505)),"Ireland",
ISNUMBER(SEARCH("Republic of Korea",S4505)),"South Korea",
ISNUMBER(SEARCH("Cape Verde",S4505)),"Cabo Verde",
ISNUMBER(SEARCH("Czechia",S4505)),"Czech Republic",
ISNUMBER(SEARCH("Türkiye",S4505)),"Turkey",
ISNUMBER(SEARCH("Ivory Coast",S4505)),"Côte d'Ivoire",
ISNUMBER(SEARCH("Korea Republic",S4505)),"South Korea",
ISNUMBER(SEARCH("Germany FR",S4505)),"FR Germany",
ISNUMBER(SEARCH("West Germany",S4505)),"FR Germany",
ISNUMBER(SEARCH("Germany DR",S4505)),"DR Germany",
ISNUMBER(SEARCH("Korea DPR",S4505)),"North Korea",
ISNUMBER(SEARCH("China PR",S4505)),"China",
ISNUMBER(SEARCH("IR Iran",S4505)),"Iran",
ISNUMBER(SEARCH("Congo DR",S4505)),"Democratic Republic of the Congo",
ISNUMBER(SEARCH("DR Congo",S4505)),"Democratic Republic of the Congo",
ISNUMBER(SEARCH("German DR",S4505)),"DR Germany",
ISNUMBER(SEARCH("rn""&gt;United Arab Emirates",S4505)),"United Arab Emirates",
ISNUMBER(SEARCH("rn""&gt;Republic of Ireland",S4505)),"Ireland",
ISNUMBER(SEARCH("rn""&gt;Bosnia and Herzegovina",S4505)),"Bosnia and Herzegovina",
ISNUMBER(SEARCH("rn""&gt;Trinidad and Tobago",S4505)),"Trinidad and Tobago",
ISNUMBER(SEARCH("rn""&gt;Serbia and Montenegro",S4505)),"Serbia and Montenegro",
ISNUMBER(SEARCH(_xlfn.UNICHAR(65533),S4505)),"Côte d'Ivoire",
TRUE,"-"
)</f>
        <v>-</v>
      </c>
      <c r="W4505" s="42" t="str">
        <f t="shared" si="285"/>
        <v>-</v>
      </c>
    </row>
    <row r="4506" spans="19:23">
      <c r="S4506" s="42" t="str">
        <v/>
      </c>
      <c r="T4506" s="42" t="str">
        <f t="shared" si="283"/>
        <v>-</v>
      </c>
      <c r="U4506" s="40" t="str">
        <f t="shared" si="284"/>
        <v>-</v>
      </c>
      <c r="V4506" s="42" t="str" cm="1">
        <f t="array" ref="V4506">_xlfn.IFS(
LEFT(S4506,16)="win on penalties",IF(VALUE(MID(S4506,19,1))&gt;VALUE(MID(S4506,23,1)),DATA_CLEANED!AK20,DATA_CLEANED!AN20),
ISNUMBER(SEARCH("USA",S4506)),"United States",
ISNUMBER(SEARCH("Republic of Ireland",S4506)),"Ireland",
ISNUMBER(SEARCH("Republic of Korea",S4506)),"South Korea",
ISNUMBER(SEARCH("Cape Verde",S4506)),"Cabo Verde",
ISNUMBER(SEARCH("Czechia",S4506)),"Czech Republic",
ISNUMBER(SEARCH("Türkiye",S4506)),"Turkey",
ISNUMBER(SEARCH("Ivory Coast",S4506)),"Côte d'Ivoire",
ISNUMBER(SEARCH("Korea Republic",S4506)),"South Korea",
ISNUMBER(SEARCH("Germany FR",S4506)),"FR Germany",
ISNUMBER(SEARCH("West Germany",S4506)),"FR Germany",
ISNUMBER(SEARCH("Germany DR",S4506)),"DR Germany",
ISNUMBER(SEARCH("Korea DPR",S4506)),"North Korea",
ISNUMBER(SEARCH("China PR",S4506)),"China",
ISNUMBER(SEARCH("IR Iran",S4506)),"Iran",
ISNUMBER(SEARCH("Congo DR",S4506)),"Democratic Republic of the Congo",
ISNUMBER(SEARCH("DR Congo",S4506)),"Democratic Republic of the Congo",
ISNUMBER(SEARCH("German DR",S4506)),"DR Germany",
ISNUMBER(SEARCH("rn""&gt;United Arab Emirates",S4506)),"United Arab Emirates",
ISNUMBER(SEARCH("rn""&gt;Republic of Ireland",S4506)),"Ireland",
ISNUMBER(SEARCH("rn""&gt;Bosnia and Herzegovina",S4506)),"Bosnia and Herzegovina",
ISNUMBER(SEARCH("rn""&gt;Trinidad and Tobago",S4506)),"Trinidad and Tobago",
ISNUMBER(SEARCH("rn""&gt;Serbia and Montenegro",S4506)),"Serbia and Montenegro",
ISNUMBER(SEARCH(_xlfn.UNICHAR(65533),S4506)),"Côte d'Ivoire",
TRUE,"-"
)</f>
        <v>-</v>
      </c>
      <c r="W4506" s="42" t="str">
        <f t="shared" si="285"/>
        <v>-</v>
      </c>
    </row>
    <row r="4507" spans="19:23">
      <c r="S4507" s="42" t="str">
        <v>Austria win after extra time</v>
      </c>
      <c r="T4507" s="42" t="str">
        <f t="shared" si="283"/>
        <v>Austria</v>
      </c>
      <c r="U4507" s="40" t="str">
        <f t="shared" si="284"/>
        <v>AUCUNE</v>
      </c>
      <c r="V4507" s="42" t="str" cm="1">
        <f t="array" ref="V4507">_xlfn.IFS(
LEFT(S4507,16)="win on penalties",IF(VALUE(MID(S4507,19,1))&gt;VALUE(MID(S4507,23,1)),DATA_CLEANED!AK21,DATA_CLEANED!AN21),
ISNUMBER(SEARCH("USA",S4507)),"United States",
ISNUMBER(SEARCH("Republic of Ireland",S4507)),"Ireland",
ISNUMBER(SEARCH("Republic of Korea",S4507)),"South Korea",
ISNUMBER(SEARCH("Cape Verde",S4507)),"Cabo Verde",
ISNUMBER(SEARCH("Czechia",S4507)),"Czech Republic",
ISNUMBER(SEARCH("Türkiye",S4507)),"Turkey",
ISNUMBER(SEARCH("Ivory Coast",S4507)),"Côte d'Ivoire",
ISNUMBER(SEARCH("Korea Republic",S4507)),"South Korea",
ISNUMBER(SEARCH("Germany FR",S4507)),"FR Germany",
ISNUMBER(SEARCH("West Germany",S4507)),"FR Germany",
ISNUMBER(SEARCH("Germany DR",S4507)),"DR Germany",
ISNUMBER(SEARCH("Korea DPR",S4507)),"North Korea",
ISNUMBER(SEARCH("China PR",S4507)),"China",
ISNUMBER(SEARCH("IR Iran",S4507)),"Iran",
ISNUMBER(SEARCH("Congo DR",S4507)),"Democratic Republic of the Congo",
ISNUMBER(SEARCH("DR Congo",S4507)),"Democratic Republic of the Congo",
ISNUMBER(SEARCH("German DR",S4507)),"DR Germany",
ISNUMBER(SEARCH("rn""&gt;United Arab Emirates",S4507)),"United Arab Emirates",
ISNUMBER(SEARCH("rn""&gt;Republic of Ireland",S4507)),"Ireland",
ISNUMBER(SEARCH("rn""&gt;Bosnia and Herzegovina",S4507)),"Bosnia and Herzegovina",
ISNUMBER(SEARCH("rn""&gt;Trinidad and Tobago",S4507)),"Trinidad and Tobago",
ISNUMBER(SEARCH("rn""&gt;Serbia and Montenegro",S4507)),"Serbia and Montenegro",
ISNUMBER(SEARCH(_xlfn.UNICHAR(65533),S4507)),"Côte d'Ivoire",
TRUE,"-"
)</f>
        <v>-</v>
      </c>
      <c r="W4507" s="42" t="str">
        <f t="shared" si="285"/>
        <v>Austria win after extra time</v>
      </c>
    </row>
    <row r="4508" spans="19:23">
      <c r="S4508" s="42" t="str">
        <v/>
      </c>
      <c r="T4508" s="42" t="str">
        <f t="shared" si="283"/>
        <v>-</v>
      </c>
      <c r="U4508" s="40" t="str">
        <f t="shared" si="284"/>
        <v>-</v>
      </c>
      <c r="V4508" s="42" t="str" cm="1">
        <f t="array" ref="V4508">_xlfn.IFS(
LEFT(S4508,16)="win on penalties",IF(VALUE(MID(S4508,19,1))&gt;VALUE(MID(S4508,23,1)),DATA_CLEANED!AK22,DATA_CLEANED!AN22),
ISNUMBER(SEARCH("USA",S4508)),"United States",
ISNUMBER(SEARCH("Republic of Ireland",S4508)),"Ireland",
ISNUMBER(SEARCH("Republic of Korea",S4508)),"South Korea",
ISNUMBER(SEARCH("Cape Verde",S4508)),"Cabo Verde",
ISNUMBER(SEARCH("Czechia",S4508)),"Czech Republic",
ISNUMBER(SEARCH("Türkiye",S4508)),"Turkey",
ISNUMBER(SEARCH("Ivory Coast",S4508)),"Côte d'Ivoire",
ISNUMBER(SEARCH("Korea Republic",S4508)),"South Korea",
ISNUMBER(SEARCH("Germany FR",S4508)),"FR Germany",
ISNUMBER(SEARCH("West Germany",S4508)),"FR Germany",
ISNUMBER(SEARCH("Germany DR",S4508)),"DR Germany",
ISNUMBER(SEARCH("Korea DPR",S4508)),"North Korea",
ISNUMBER(SEARCH("China PR",S4508)),"China",
ISNUMBER(SEARCH("IR Iran",S4508)),"Iran",
ISNUMBER(SEARCH("Congo DR",S4508)),"Democratic Republic of the Congo",
ISNUMBER(SEARCH("DR Congo",S4508)),"Democratic Republic of the Congo",
ISNUMBER(SEARCH("German DR",S4508)),"DR Germany",
ISNUMBER(SEARCH("rn""&gt;United Arab Emirates",S4508)),"United Arab Emirates",
ISNUMBER(SEARCH("rn""&gt;Republic of Ireland",S4508)),"Ireland",
ISNUMBER(SEARCH("rn""&gt;Bosnia and Herzegovina",S4508)),"Bosnia and Herzegovina",
ISNUMBER(SEARCH("rn""&gt;Trinidad and Tobago",S4508)),"Trinidad and Tobago",
ISNUMBER(SEARCH("rn""&gt;Serbia and Montenegro",S4508)),"Serbia and Montenegro",
ISNUMBER(SEARCH(_xlfn.UNICHAR(65533),S4508)),"Côte d'Ivoire",
TRUE,"-"
)</f>
        <v>-</v>
      </c>
      <c r="W4508" s="42" t="str">
        <f t="shared" si="285"/>
        <v>-</v>
      </c>
    </row>
    <row r="4509" spans="19:23">
      <c r="S4509" s="42" t="str">
        <v/>
      </c>
      <c r="T4509" s="42" t="str">
        <f t="shared" si="283"/>
        <v>-</v>
      </c>
      <c r="U4509" s="40" t="str">
        <f t="shared" si="284"/>
        <v>-</v>
      </c>
      <c r="V4509" s="42" t="str" cm="1">
        <f t="array" ref="V4509">_xlfn.IFS(
LEFT(S4509,16)="win on penalties",IF(VALUE(MID(S4509,19,1))&gt;VALUE(MID(S4509,23,1)),DATA_CLEANED!AK23,DATA_CLEANED!AN23),
ISNUMBER(SEARCH("USA",S4509)),"United States",
ISNUMBER(SEARCH("Republic of Ireland",S4509)),"Ireland",
ISNUMBER(SEARCH("Republic of Korea",S4509)),"South Korea",
ISNUMBER(SEARCH("Cape Verde",S4509)),"Cabo Verde",
ISNUMBER(SEARCH("Czechia",S4509)),"Czech Republic",
ISNUMBER(SEARCH("Türkiye",S4509)),"Turkey",
ISNUMBER(SEARCH("Ivory Coast",S4509)),"Côte d'Ivoire",
ISNUMBER(SEARCH("Korea Republic",S4509)),"South Korea",
ISNUMBER(SEARCH("Germany FR",S4509)),"FR Germany",
ISNUMBER(SEARCH("West Germany",S4509)),"FR Germany",
ISNUMBER(SEARCH("Germany DR",S4509)),"DR Germany",
ISNUMBER(SEARCH("Korea DPR",S4509)),"North Korea",
ISNUMBER(SEARCH("China PR",S4509)),"China",
ISNUMBER(SEARCH("IR Iran",S4509)),"Iran",
ISNUMBER(SEARCH("Congo DR",S4509)),"Democratic Republic of the Congo",
ISNUMBER(SEARCH("DR Congo",S4509)),"Democratic Republic of the Congo",
ISNUMBER(SEARCH("German DR",S4509)),"DR Germany",
ISNUMBER(SEARCH("rn""&gt;United Arab Emirates",S4509)),"United Arab Emirates",
ISNUMBER(SEARCH("rn""&gt;Republic of Ireland",S4509)),"Ireland",
ISNUMBER(SEARCH("rn""&gt;Bosnia and Herzegovina",S4509)),"Bosnia and Herzegovina",
ISNUMBER(SEARCH("rn""&gt;Trinidad and Tobago",S4509)),"Trinidad and Tobago",
ISNUMBER(SEARCH("rn""&gt;Serbia and Montenegro",S4509)),"Serbia and Montenegro",
ISNUMBER(SEARCH(_xlfn.UNICHAR(65533),S4509)),"Côte d'Ivoire",
TRUE,"-"
)</f>
        <v>-</v>
      </c>
      <c r="W4509" s="42" t="str">
        <f t="shared" si="285"/>
        <v>-</v>
      </c>
    </row>
    <row r="4510" spans="19:23">
      <c r="S4510" s="42" t="str">
        <v/>
      </c>
      <c r="T4510" s="42" t="str">
        <f t="shared" si="283"/>
        <v>-</v>
      </c>
      <c r="U4510" s="40" t="str">
        <f t="shared" si="284"/>
        <v>-</v>
      </c>
      <c r="V4510" s="42" t="str" cm="1">
        <f t="array" ref="V4510">_xlfn.IFS(
LEFT(S4510,16)="win on penalties",IF(VALUE(MID(S4510,19,1))&gt;VALUE(MID(S4510,23,1)),DATA_CLEANED!AK24,DATA_CLEANED!AN24),
ISNUMBER(SEARCH("USA",S4510)),"United States",
ISNUMBER(SEARCH("Republic of Ireland",S4510)),"Ireland",
ISNUMBER(SEARCH("Republic of Korea",S4510)),"South Korea",
ISNUMBER(SEARCH("Cape Verde",S4510)),"Cabo Verde",
ISNUMBER(SEARCH("Czechia",S4510)),"Czech Republic",
ISNUMBER(SEARCH("Türkiye",S4510)),"Turkey",
ISNUMBER(SEARCH("Ivory Coast",S4510)),"Côte d'Ivoire",
ISNUMBER(SEARCH("Korea Republic",S4510)),"South Korea",
ISNUMBER(SEARCH("Germany FR",S4510)),"FR Germany",
ISNUMBER(SEARCH("West Germany",S4510)),"FR Germany",
ISNUMBER(SEARCH("Germany DR",S4510)),"DR Germany",
ISNUMBER(SEARCH("Korea DPR",S4510)),"North Korea",
ISNUMBER(SEARCH("China PR",S4510)),"China",
ISNUMBER(SEARCH("IR Iran",S4510)),"Iran",
ISNUMBER(SEARCH("Congo DR",S4510)),"Democratic Republic of the Congo",
ISNUMBER(SEARCH("DR Congo",S4510)),"Democratic Republic of the Congo",
ISNUMBER(SEARCH("German DR",S4510)),"DR Germany",
ISNUMBER(SEARCH("rn""&gt;United Arab Emirates",S4510)),"United Arab Emirates",
ISNUMBER(SEARCH("rn""&gt;Republic of Ireland",S4510)),"Ireland",
ISNUMBER(SEARCH("rn""&gt;Bosnia and Herzegovina",S4510)),"Bosnia and Herzegovina",
ISNUMBER(SEARCH("rn""&gt;Trinidad and Tobago",S4510)),"Trinidad and Tobago",
ISNUMBER(SEARCH("rn""&gt;Serbia and Montenegro",S4510)),"Serbia and Montenegro",
ISNUMBER(SEARCH(_xlfn.UNICHAR(65533),S4510)),"Côte d'Ivoire",
TRUE,"-"
)</f>
        <v>-</v>
      </c>
      <c r="W4510" s="42" t="str">
        <f t="shared" si="285"/>
        <v>-</v>
      </c>
    </row>
    <row r="4511" spans="19:23">
      <c r="S4511" s="42" t="str">
        <v/>
      </c>
      <c r="T4511" s="42" t="str">
        <f t="shared" si="283"/>
        <v>-</v>
      </c>
      <c r="U4511" s="40" t="str">
        <f t="shared" si="284"/>
        <v>-</v>
      </c>
      <c r="V4511" s="42" t="str" cm="1">
        <f t="array" ref="V4511">_xlfn.IFS(
LEFT(S4511,16)="win on penalties",IF(VALUE(MID(S4511,19,1))&gt;VALUE(MID(S4511,23,1)),DATA_CLEANED!AK25,DATA_CLEANED!AN25),
ISNUMBER(SEARCH("USA",S4511)),"United States",
ISNUMBER(SEARCH("Republic of Ireland",S4511)),"Ireland",
ISNUMBER(SEARCH("Republic of Korea",S4511)),"South Korea",
ISNUMBER(SEARCH("Cape Verde",S4511)),"Cabo Verde",
ISNUMBER(SEARCH("Czechia",S4511)),"Czech Republic",
ISNUMBER(SEARCH("Türkiye",S4511)),"Turkey",
ISNUMBER(SEARCH("Ivory Coast",S4511)),"Côte d'Ivoire",
ISNUMBER(SEARCH("Korea Republic",S4511)),"South Korea",
ISNUMBER(SEARCH("Germany FR",S4511)),"FR Germany",
ISNUMBER(SEARCH("West Germany",S4511)),"FR Germany",
ISNUMBER(SEARCH("Germany DR",S4511)),"DR Germany",
ISNUMBER(SEARCH("Korea DPR",S4511)),"North Korea",
ISNUMBER(SEARCH("China PR",S4511)),"China",
ISNUMBER(SEARCH("IR Iran",S4511)),"Iran",
ISNUMBER(SEARCH("Congo DR",S4511)),"Democratic Republic of the Congo",
ISNUMBER(SEARCH("DR Congo",S4511)),"Democratic Republic of the Congo",
ISNUMBER(SEARCH("German DR",S4511)),"DR Germany",
ISNUMBER(SEARCH("rn""&gt;United Arab Emirates",S4511)),"United Arab Emirates",
ISNUMBER(SEARCH("rn""&gt;Republic of Ireland",S4511)),"Ireland",
ISNUMBER(SEARCH("rn""&gt;Bosnia and Herzegovina",S4511)),"Bosnia and Herzegovina",
ISNUMBER(SEARCH("rn""&gt;Trinidad and Tobago",S4511)),"Trinidad and Tobago",
ISNUMBER(SEARCH("rn""&gt;Serbia and Montenegro",S4511)),"Serbia and Montenegro",
ISNUMBER(SEARCH(_xlfn.UNICHAR(65533),S4511)),"Côte d'Ivoire",
TRUE,"-"
)</f>
        <v>-</v>
      </c>
      <c r="W4511" s="42" t="str">
        <f t="shared" si="285"/>
        <v>-</v>
      </c>
    </row>
    <row r="4512" spans="19:23">
      <c r="S4512" s="42" t="str">
        <v/>
      </c>
      <c r="T4512" s="42" t="str">
        <f t="shared" si="283"/>
        <v>-</v>
      </c>
      <c r="U4512" s="40" t="str">
        <f t="shared" si="284"/>
        <v>-</v>
      </c>
      <c r="V4512" s="42" t="str" cm="1">
        <f t="array" ref="V4512">_xlfn.IFS(
LEFT(S4512,16)="win on penalties",IF(VALUE(MID(S4512,19,1))&gt;VALUE(MID(S4512,23,1)),DATA_CLEANED!AK26,DATA_CLEANED!AN26),
ISNUMBER(SEARCH("USA",S4512)),"United States",
ISNUMBER(SEARCH("Republic of Ireland",S4512)),"Ireland",
ISNUMBER(SEARCH("Republic of Korea",S4512)),"South Korea",
ISNUMBER(SEARCH("Cape Verde",S4512)),"Cabo Verde",
ISNUMBER(SEARCH("Czechia",S4512)),"Czech Republic",
ISNUMBER(SEARCH("Türkiye",S4512)),"Turkey",
ISNUMBER(SEARCH("Ivory Coast",S4512)),"Côte d'Ivoire",
ISNUMBER(SEARCH("Korea Republic",S4512)),"South Korea",
ISNUMBER(SEARCH("Germany FR",S4512)),"FR Germany",
ISNUMBER(SEARCH("West Germany",S4512)),"FR Germany",
ISNUMBER(SEARCH("Germany DR",S4512)),"DR Germany",
ISNUMBER(SEARCH("Korea DPR",S4512)),"North Korea",
ISNUMBER(SEARCH("China PR",S4512)),"China",
ISNUMBER(SEARCH("IR Iran",S4512)),"Iran",
ISNUMBER(SEARCH("Congo DR",S4512)),"Democratic Republic of the Congo",
ISNUMBER(SEARCH("DR Congo",S4512)),"Democratic Republic of the Congo",
ISNUMBER(SEARCH("German DR",S4512)),"DR Germany",
ISNUMBER(SEARCH("rn""&gt;United Arab Emirates",S4512)),"United Arab Emirates",
ISNUMBER(SEARCH("rn""&gt;Republic of Ireland",S4512)),"Ireland",
ISNUMBER(SEARCH("rn""&gt;Bosnia and Herzegovina",S4512)),"Bosnia and Herzegovina",
ISNUMBER(SEARCH("rn""&gt;Trinidad and Tobago",S4512)),"Trinidad and Tobago",
ISNUMBER(SEARCH("rn""&gt;Serbia and Montenegro",S4512)),"Serbia and Montenegro",
ISNUMBER(SEARCH(_xlfn.UNICHAR(65533),S4512)),"Côte d'Ivoire",
TRUE,"-"
)</f>
        <v>-</v>
      </c>
      <c r="W4512" s="42" t="str">
        <f t="shared" si="285"/>
        <v>-</v>
      </c>
    </row>
    <row r="4513" spans="19:24">
      <c r="S4513" s="42" t="str">
        <v/>
      </c>
      <c r="T4513" s="42" t="str">
        <f t="shared" si="283"/>
        <v>-</v>
      </c>
      <c r="U4513" s="40" t="str">
        <f t="shared" si="284"/>
        <v>-</v>
      </c>
      <c r="V4513" s="42" t="str" cm="1">
        <f t="array" ref="V4513">_xlfn.IFS(
LEFT(S4513,16)="win on penalties",IF(VALUE(MID(S4513,19,1))&gt;VALUE(MID(S4513,23,1)),DATA_CLEANED!AK27,DATA_CLEANED!AN27),
ISNUMBER(SEARCH("USA",S4513)),"United States",
ISNUMBER(SEARCH("Republic of Ireland",S4513)),"Ireland",
ISNUMBER(SEARCH("Republic of Korea",S4513)),"South Korea",
ISNUMBER(SEARCH("Cape Verde",S4513)),"Cabo Verde",
ISNUMBER(SEARCH("Czechia",S4513)),"Czech Republic",
ISNUMBER(SEARCH("Türkiye",S4513)),"Turkey",
ISNUMBER(SEARCH("Ivory Coast",S4513)),"Côte d'Ivoire",
ISNUMBER(SEARCH("Korea Republic",S4513)),"South Korea",
ISNUMBER(SEARCH("Germany FR",S4513)),"FR Germany",
ISNUMBER(SEARCH("West Germany",S4513)),"FR Germany",
ISNUMBER(SEARCH("Germany DR",S4513)),"DR Germany",
ISNUMBER(SEARCH("Korea DPR",S4513)),"North Korea",
ISNUMBER(SEARCH("China PR",S4513)),"China",
ISNUMBER(SEARCH("IR Iran",S4513)),"Iran",
ISNUMBER(SEARCH("Congo DR",S4513)),"Democratic Republic of the Congo",
ISNUMBER(SEARCH("DR Congo",S4513)),"Democratic Republic of the Congo",
ISNUMBER(SEARCH("German DR",S4513)),"DR Germany",
ISNUMBER(SEARCH("rn""&gt;United Arab Emirates",S4513)),"United Arab Emirates",
ISNUMBER(SEARCH("rn""&gt;Republic of Ireland",S4513)),"Ireland",
ISNUMBER(SEARCH("rn""&gt;Bosnia and Herzegovina",S4513)),"Bosnia and Herzegovina",
ISNUMBER(SEARCH("rn""&gt;Trinidad and Tobago",S4513)),"Trinidad and Tobago",
ISNUMBER(SEARCH("rn""&gt;Serbia and Montenegro",S4513)),"Serbia and Montenegro",
ISNUMBER(SEARCH(_xlfn.UNICHAR(65533),S4513)),"Côte d'Ivoire",
TRUE,"-"
)</f>
        <v>-</v>
      </c>
      <c r="W4513" s="42" t="str">
        <f t="shared" si="285"/>
        <v>-</v>
      </c>
    </row>
    <row r="4514" spans="19:24">
      <c r="S4514" s="42" t="str">
        <v/>
      </c>
      <c r="T4514" s="42" t="str">
        <f t="shared" si="283"/>
        <v>-</v>
      </c>
      <c r="U4514" s="40" t="str">
        <f t="shared" si="284"/>
        <v>-</v>
      </c>
      <c r="V4514" s="42" t="str" cm="1">
        <f t="array" ref="V4514">_xlfn.IFS(
LEFT(S4514,16)="win on penalties",IF(VALUE(MID(S4514,19,1))&gt;VALUE(MID(S4514,23,1)),DATA_CLEANED!AK28,DATA_CLEANED!AN28),
ISNUMBER(SEARCH("USA",S4514)),"United States",
ISNUMBER(SEARCH("Republic of Ireland",S4514)),"Ireland",
ISNUMBER(SEARCH("Republic of Korea",S4514)),"South Korea",
ISNUMBER(SEARCH("Cape Verde",S4514)),"Cabo Verde",
ISNUMBER(SEARCH("Czechia",S4514)),"Czech Republic",
ISNUMBER(SEARCH("Türkiye",S4514)),"Turkey",
ISNUMBER(SEARCH("Ivory Coast",S4514)),"Côte d'Ivoire",
ISNUMBER(SEARCH("Korea Republic",S4514)),"South Korea",
ISNUMBER(SEARCH("Germany FR",S4514)),"FR Germany",
ISNUMBER(SEARCH("West Germany",S4514)),"FR Germany",
ISNUMBER(SEARCH("Germany DR",S4514)),"DR Germany",
ISNUMBER(SEARCH("Korea DPR",S4514)),"North Korea",
ISNUMBER(SEARCH("China PR",S4514)),"China",
ISNUMBER(SEARCH("IR Iran",S4514)),"Iran",
ISNUMBER(SEARCH("Congo DR",S4514)),"Democratic Republic of the Congo",
ISNUMBER(SEARCH("DR Congo",S4514)),"Democratic Republic of the Congo",
ISNUMBER(SEARCH("German DR",S4514)),"DR Germany",
ISNUMBER(SEARCH("rn""&gt;United Arab Emirates",S4514)),"United Arab Emirates",
ISNUMBER(SEARCH("rn""&gt;Republic of Ireland",S4514)),"Ireland",
ISNUMBER(SEARCH("rn""&gt;Bosnia and Herzegovina",S4514)),"Bosnia and Herzegovina",
ISNUMBER(SEARCH("rn""&gt;Trinidad and Tobago",S4514)),"Trinidad and Tobago",
ISNUMBER(SEARCH("rn""&gt;Serbia and Montenegro",S4514)),"Serbia and Montenegro",
ISNUMBER(SEARCH(_xlfn.UNICHAR(65533),S4514)),"Côte d'Ivoire",
TRUE,"-"
)</f>
        <v>-</v>
      </c>
      <c r="W4514" s="42" t="str">
        <f t="shared" si="285"/>
        <v>-</v>
      </c>
    </row>
    <row r="4515" spans="19:24">
      <c r="S4515" s="42" t="str">
        <v/>
      </c>
      <c r="T4515" s="42" t="str">
        <f t="shared" si="283"/>
        <v>-</v>
      </c>
      <c r="U4515" s="40" t="str">
        <f t="shared" si="284"/>
        <v>-</v>
      </c>
      <c r="V4515" s="42" t="str" cm="1">
        <f t="array" ref="V4515">_xlfn.IFS(
LEFT(S4515,16)="win on penalties",IF(VALUE(MID(S4515,19,1))&gt;VALUE(MID(S4515,23,1)),DATA_CLEANED!AK29,DATA_CLEANED!AN29),
ISNUMBER(SEARCH("USA",S4515)),"United States",
ISNUMBER(SEARCH("Republic of Ireland",S4515)),"Ireland",
ISNUMBER(SEARCH("Republic of Korea",S4515)),"South Korea",
ISNUMBER(SEARCH("Cape Verde",S4515)),"Cabo Verde",
ISNUMBER(SEARCH("Czechia",S4515)),"Czech Republic",
ISNUMBER(SEARCH("Türkiye",S4515)),"Turkey",
ISNUMBER(SEARCH("Ivory Coast",S4515)),"Côte d'Ivoire",
ISNUMBER(SEARCH("Korea Republic",S4515)),"South Korea",
ISNUMBER(SEARCH("Germany FR",S4515)),"FR Germany",
ISNUMBER(SEARCH("West Germany",S4515)),"FR Germany",
ISNUMBER(SEARCH("Germany DR",S4515)),"DR Germany",
ISNUMBER(SEARCH("Korea DPR",S4515)),"North Korea",
ISNUMBER(SEARCH("China PR",S4515)),"China",
ISNUMBER(SEARCH("IR Iran",S4515)),"Iran",
ISNUMBER(SEARCH("Congo DR",S4515)),"Democratic Republic of the Congo",
ISNUMBER(SEARCH("DR Congo",S4515)),"Democratic Republic of the Congo",
ISNUMBER(SEARCH("German DR",S4515)),"DR Germany",
ISNUMBER(SEARCH("rn""&gt;United Arab Emirates",S4515)),"United Arab Emirates",
ISNUMBER(SEARCH("rn""&gt;Republic of Ireland",S4515)),"Ireland",
ISNUMBER(SEARCH("rn""&gt;Bosnia and Herzegovina",S4515)),"Bosnia and Herzegovina",
ISNUMBER(SEARCH("rn""&gt;Trinidad and Tobago",S4515)),"Trinidad and Tobago",
ISNUMBER(SEARCH("rn""&gt;Serbia and Montenegro",S4515)),"Serbia and Montenegro",
ISNUMBER(SEARCH(_xlfn.UNICHAR(65533),S4515)),"Côte d'Ivoire",
TRUE,"-"
)</f>
        <v>-</v>
      </c>
      <c r="W4515" s="42" t="str">
        <f t="shared" si="285"/>
        <v>-</v>
      </c>
    </row>
    <row r="4516" spans="19:24">
      <c r="S4516" s="42" t="str">
        <v/>
      </c>
      <c r="T4516" s="42" t="str">
        <f t="shared" si="283"/>
        <v>-</v>
      </c>
      <c r="U4516" s="40" t="str">
        <f t="shared" si="284"/>
        <v>-</v>
      </c>
      <c r="V4516" s="42" t="str" cm="1">
        <f t="array" ref="V4516">_xlfn.IFS(
LEFT(S4516,16)="win on penalties",IF(VALUE(MID(S4516,19,1))&gt;VALUE(MID(S4516,23,1)),DATA_CLEANED!AK30,DATA_CLEANED!AN30),
ISNUMBER(SEARCH("USA",S4516)),"United States",
ISNUMBER(SEARCH("Republic of Ireland",S4516)),"Ireland",
ISNUMBER(SEARCH("Republic of Korea",S4516)),"South Korea",
ISNUMBER(SEARCH("Cape Verde",S4516)),"Cabo Verde",
ISNUMBER(SEARCH("Czechia",S4516)),"Czech Republic",
ISNUMBER(SEARCH("Türkiye",S4516)),"Turkey",
ISNUMBER(SEARCH("Ivory Coast",S4516)),"Côte d'Ivoire",
ISNUMBER(SEARCH("Korea Republic",S4516)),"South Korea",
ISNUMBER(SEARCH("Germany FR",S4516)),"FR Germany",
ISNUMBER(SEARCH("West Germany",S4516)),"FR Germany",
ISNUMBER(SEARCH("Germany DR",S4516)),"DR Germany",
ISNUMBER(SEARCH("Korea DPR",S4516)),"North Korea",
ISNUMBER(SEARCH("China PR",S4516)),"China",
ISNUMBER(SEARCH("IR Iran",S4516)),"Iran",
ISNUMBER(SEARCH("Congo DR",S4516)),"Democratic Republic of the Congo",
ISNUMBER(SEARCH("DR Congo",S4516)),"Democratic Republic of the Congo",
ISNUMBER(SEARCH("German DR",S4516)),"DR Germany",
ISNUMBER(SEARCH("rn""&gt;United Arab Emirates",S4516)),"United Arab Emirates",
ISNUMBER(SEARCH("rn""&gt;Republic of Ireland",S4516)),"Ireland",
ISNUMBER(SEARCH("rn""&gt;Bosnia and Herzegovina",S4516)),"Bosnia and Herzegovina",
ISNUMBER(SEARCH("rn""&gt;Trinidad and Tobago",S4516)),"Trinidad and Tobago",
ISNUMBER(SEARCH("rn""&gt;Serbia and Montenegro",S4516)),"Serbia and Montenegro",
ISNUMBER(SEARCH(_xlfn.UNICHAR(65533),S4516)),"Côte d'Ivoire",
TRUE,"-"
)</f>
        <v>-</v>
      </c>
      <c r="W4516" s="42" t="str">
        <f t="shared" si="285"/>
        <v>-</v>
      </c>
    </row>
    <row r="4517" spans="19:24">
      <c r="S4517" s="42" t="str">
        <v/>
      </c>
      <c r="T4517" s="42" t="str">
        <f t="shared" si="283"/>
        <v>-</v>
      </c>
      <c r="U4517" s="40" t="str">
        <f t="shared" si="284"/>
        <v>-</v>
      </c>
      <c r="V4517" s="42" t="str" cm="1">
        <f t="array" ref="V4517">_xlfn.IFS(
LEFT(S4517,16)="win on penalties",IF(VALUE(MID(S4517,19,1))&gt;VALUE(MID(S4517,23,1)),DATA_CLEANED!AK31,DATA_CLEANED!AN31),
ISNUMBER(SEARCH("USA",S4517)),"United States",
ISNUMBER(SEARCH("Republic of Ireland",S4517)),"Ireland",
ISNUMBER(SEARCH("Republic of Korea",S4517)),"South Korea",
ISNUMBER(SEARCH("Cape Verde",S4517)),"Cabo Verde",
ISNUMBER(SEARCH("Czechia",S4517)),"Czech Republic",
ISNUMBER(SEARCH("Türkiye",S4517)),"Turkey",
ISNUMBER(SEARCH("Ivory Coast",S4517)),"Côte d'Ivoire",
ISNUMBER(SEARCH("Korea Republic",S4517)),"South Korea",
ISNUMBER(SEARCH("Germany FR",S4517)),"FR Germany",
ISNUMBER(SEARCH("West Germany",S4517)),"FR Germany",
ISNUMBER(SEARCH("Germany DR",S4517)),"DR Germany",
ISNUMBER(SEARCH("Korea DPR",S4517)),"North Korea",
ISNUMBER(SEARCH("China PR",S4517)),"China",
ISNUMBER(SEARCH("IR Iran",S4517)),"Iran",
ISNUMBER(SEARCH("Congo DR",S4517)),"Democratic Republic of the Congo",
ISNUMBER(SEARCH("DR Congo",S4517)),"Democratic Republic of the Congo",
ISNUMBER(SEARCH("German DR",S4517)),"DR Germany",
ISNUMBER(SEARCH("rn""&gt;United Arab Emirates",S4517)),"United Arab Emirates",
ISNUMBER(SEARCH("rn""&gt;Republic of Ireland",S4517)),"Ireland",
ISNUMBER(SEARCH("rn""&gt;Bosnia and Herzegovina",S4517)),"Bosnia and Herzegovina",
ISNUMBER(SEARCH("rn""&gt;Trinidad and Tobago",S4517)),"Trinidad and Tobago",
ISNUMBER(SEARCH("rn""&gt;Serbia and Montenegro",S4517)),"Serbia and Montenegro",
ISNUMBER(SEARCH(_xlfn.UNICHAR(65533),S4517)),"Côte d'Ivoire",
TRUE,"-"
)</f>
        <v>-</v>
      </c>
      <c r="W4517" s="42" t="str">
        <f t="shared" si="285"/>
        <v>-</v>
      </c>
    </row>
    <row r="4518" spans="19:24">
      <c r="S4518" s="42" t="str">
        <v/>
      </c>
      <c r="T4518" s="42" t="str">
        <f t="shared" si="283"/>
        <v>-</v>
      </c>
      <c r="U4518" s="40" t="str">
        <f t="shared" si="284"/>
        <v>-</v>
      </c>
      <c r="V4518" s="42" t="str" cm="1">
        <f t="array" ref="V4518">_xlfn.IFS(
LEFT(S4518,16)="win on penalties",IF(VALUE(MID(S4518,19,1))&gt;VALUE(MID(S4518,23,1)),DATA_CLEANED!AK32,DATA_CLEANED!AN32),
ISNUMBER(SEARCH("USA",S4518)),"United States",
ISNUMBER(SEARCH("Republic of Ireland",S4518)),"Ireland",
ISNUMBER(SEARCH("Republic of Korea",S4518)),"South Korea",
ISNUMBER(SEARCH("Cape Verde",S4518)),"Cabo Verde",
ISNUMBER(SEARCH("Czechia",S4518)),"Czech Republic",
ISNUMBER(SEARCH("Türkiye",S4518)),"Turkey",
ISNUMBER(SEARCH("Ivory Coast",S4518)),"Côte d'Ivoire",
ISNUMBER(SEARCH("Korea Republic",S4518)),"South Korea",
ISNUMBER(SEARCH("Germany FR",S4518)),"FR Germany",
ISNUMBER(SEARCH("West Germany",S4518)),"FR Germany",
ISNUMBER(SEARCH("Germany DR",S4518)),"DR Germany",
ISNUMBER(SEARCH("Korea DPR",S4518)),"North Korea",
ISNUMBER(SEARCH("China PR",S4518)),"China",
ISNUMBER(SEARCH("IR Iran",S4518)),"Iran",
ISNUMBER(SEARCH("Congo DR",S4518)),"Democratic Republic of the Congo",
ISNUMBER(SEARCH("DR Congo",S4518)),"Democratic Republic of the Congo",
ISNUMBER(SEARCH("German DR",S4518)),"DR Germany",
ISNUMBER(SEARCH("rn""&gt;United Arab Emirates",S4518)),"United Arab Emirates",
ISNUMBER(SEARCH("rn""&gt;Republic of Ireland",S4518)),"Ireland",
ISNUMBER(SEARCH("rn""&gt;Bosnia and Herzegovina",S4518)),"Bosnia and Herzegovina",
ISNUMBER(SEARCH("rn""&gt;Trinidad and Tobago",S4518)),"Trinidad and Tobago",
ISNUMBER(SEARCH("rn""&gt;Serbia and Montenegro",S4518)),"Serbia and Montenegro",
ISNUMBER(SEARCH(_xlfn.UNICHAR(65533),S4518)),"Côte d'Ivoire",
TRUE,"-"
)</f>
        <v>-</v>
      </c>
      <c r="W4518" s="42" t="str">
        <f t="shared" si="285"/>
        <v>-</v>
      </c>
    </row>
    <row r="4519" spans="19:24">
      <c r="S4519" s="42" t="str">
        <v/>
      </c>
      <c r="T4519" s="42" t="str">
        <f t="shared" si="283"/>
        <v>-</v>
      </c>
      <c r="U4519" s="40" t="str">
        <f t="shared" si="284"/>
        <v>-</v>
      </c>
      <c r="V4519" s="42" t="str" cm="1">
        <f t="array" ref="V4519">_xlfn.IFS(
LEFT(S4519,16)="win on penalties",IF(VALUE(MID(S4519,19,1))&gt;VALUE(MID(S4519,23,1)),DATA_CLEANED!AK33,DATA_CLEANED!AN33),
ISNUMBER(SEARCH("USA",S4519)),"United States",
ISNUMBER(SEARCH("Republic of Ireland",S4519)),"Ireland",
ISNUMBER(SEARCH("Republic of Korea",S4519)),"South Korea",
ISNUMBER(SEARCH("Cape Verde",S4519)),"Cabo Verde",
ISNUMBER(SEARCH("Czechia",S4519)),"Czech Republic",
ISNUMBER(SEARCH("Türkiye",S4519)),"Turkey",
ISNUMBER(SEARCH("Ivory Coast",S4519)),"Côte d'Ivoire",
ISNUMBER(SEARCH("Korea Republic",S4519)),"South Korea",
ISNUMBER(SEARCH("Germany FR",S4519)),"FR Germany",
ISNUMBER(SEARCH("West Germany",S4519)),"FR Germany",
ISNUMBER(SEARCH("Germany DR",S4519)),"DR Germany",
ISNUMBER(SEARCH("Korea DPR",S4519)),"North Korea",
ISNUMBER(SEARCH("China PR",S4519)),"China",
ISNUMBER(SEARCH("IR Iran",S4519)),"Iran",
ISNUMBER(SEARCH("Congo DR",S4519)),"Democratic Republic of the Congo",
ISNUMBER(SEARCH("DR Congo",S4519)),"Democratic Republic of the Congo",
ISNUMBER(SEARCH("German DR",S4519)),"DR Germany",
ISNUMBER(SEARCH("rn""&gt;United Arab Emirates",S4519)),"United Arab Emirates",
ISNUMBER(SEARCH("rn""&gt;Republic of Ireland",S4519)),"Ireland",
ISNUMBER(SEARCH("rn""&gt;Bosnia and Herzegovina",S4519)),"Bosnia and Herzegovina",
ISNUMBER(SEARCH("rn""&gt;Trinidad and Tobago",S4519)),"Trinidad and Tobago",
ISNUMBER(SEARCH("rn""&gt;Serbia and Montenegro",S4519)),"Serbia and Montenegro",
ISNUMBER(SEARCH(_xlfn.UNICHAR(65533),S4519)),"Côte d'Ivoire",
TRUE,"-"
)</f>
        <v>-</v>
      </c>
      <c r="W4519" s="42" t="str">
        <f t="shared" si="285"/>
        <v>-</v>
      </c>
    </row>
    <row r="4520" spans="19:24">
      <c r="S4520" s="42" t="str">
        <v/>
      </c>
      <c r="T4520" s="42" t="str">
        <f t="shared" si="283"/>
        <v>-</v>
      </c>
      <c r="U4520" s="40" t="str">
        <f t="shared" si="284"/>
        <v>-</v>
      </c>
      <c r="V4520" s="42" t="str" cm="1">
        <f t="array" ref="V4520">_xlfn.IFS(
LEFT(S4520,16)="win on penalties",IF(VALUE(MID(S4520,19,1))&gt;VALUE(MID(S4520,23,1)),DATA_CLEANED!AK34,DATA_CLEANED!AN34),
ISNUMBER(SEARCH("USA",S4520)),"United States",
ISNUMBER(SEARCH("Republic of Ireland",S4520)),"Ireland",
ISNUMBER(SEARCH("Republic of Korea",S4520)),"South Korea",
ISNUMBER(SEARCH("Cape Verde",S4520)),"Cabo Verde",
ISNUMBER(SEARCH("Czechia",S4520)),"Czech Republic",
ISNUMBER(SEARCH("Türkiye",S4520)),"Turkey",
ISNUMBER(SEARCH("Ivory Coast",S4520)),"Côte d'Ivoire",
ISNUMBER(SEARCH("Korea Republic",S4520)),"South Korea",
ISNUMBER(SEARCH("Germany FR",S4520)),"FR Germany",
ISNUMBER(SEARCH("West Germany",S4520)),"FR Germany",
ISNUMBER(SEARCH("Germany DR",S4520)),"DR Germany",
ISNUMBER(SEARCH("Korea DPR",S4520)),"North Korea",
ISNUMBER(SEARCH("China PR",S4520)),"China",
ISNUMBER(SEARCH("IR Iran",S4520)),"Iran",
ISNUMBER(SEARCH("Congo DR",S4520)),"Democratic Republic of the Congo",
ISNUMBER(SEARCH("DR Congo",S4520)),"Democratic Republic of the Congo",
ISNUMBER(SEARCH("German DR",S4520)),"DR Germany",
ISNUMBER(SEARCH("rn""&gt;United Arab Emirates",S4520)),"United Arab Emirates",
ISNUMBER(SEARCH("rn""&gt;Republic of Ireland",S4520)),"Ireland",
ISNUMBER(SEARCH("rn""&gt;Bosnia and Herzegovina",S4520)),"Bosnia and Herzegovina",
ISNUMBER(SEARCH("rn""&gt;Trinidad and Tobago",S4520)),"Trinidad and Tobago",
ISNUMBER(SEARCH("rn""&gt;Serbia and Montenegro",S4520)),"Serbia and Montenegro",
ISNUMBER(SEARCH(_xlfn.UNICHAR(65533),S4520)),"Côte d'Ivoire",
TRUE,"-"
)</f>
        <v>-</v>
      </c>
      <c r="W4520" s="42" t="str">
        <f t="shared" si="285"/>
        <v>-</v>
      </c>
      <c r="X4520" s="82" t="str">
        <f>IF(OR(T4489="Scotland",T4489="England",T4489="Wales",T4489="Yugoslavia",T4489="Czechoslovakia",T4489="Northern Ireland",T4489="Soviet Union",T4489="Zaire",T4489="Dutch East Indies",T4489="Austria",T4489="Italy",T4489="Brazil",T4489="Slovakia",T4489="Hungary",T4489="Ireland",T4489="Argentina",T4489="Belgium",T4489="France",T4489="Cameroon",T4489="Bulgaria",T4489="Sweden",T4489="Spain",T4489="Ukraine",T4489="Portugal",T4489="Ghana",T4489="Paraguay",T4489="Netherlands",T4489="Costa Rica",T4489="Russia",T4489="Croatia",T4489="Morocco",T4489="Egypt",T4489="Switzerland",T4489="Uruguay",),"AUCUNE",IF(OR(T4489="Cape Verde",T4489="USA",T4489="DR Congo",T4489="Republic of Korea",T4489="Germany FR",T4489="Germany DR",T4489="Czechia",T4489="Ivory Coast",T4489="Korea DPR",T4489="China PR",T4489="IR Iran",T4489="Türkiye",T4489="Congo DR",T4489="German DR",T4489="West Germany",T4489="Republic of Ireland",T4489="Germany",ISNUMBER(SEARCH("rn""&gt;United Arab Emirates",T4489)),ISNUMBER(SEARCH("rn""&gt;Republic of Ireland",T4489)),ISNUMBER(SEARCH("rn""&gt;Bosnia and Herzegovina",T4489)),ISNUMBER(SEARCH("rn""&gt;Trinidad and Tobago",T4489)),ISNUMBER(SEARCH("rn""&gt;Serbia and Montenegro",T4489)),ISNUMBER(SEARCH(_xlfn.UNICHAR(65533),T4489))),"RENOMMER",IF(T4489="ERREUR","VERIFIER","-")))</f>
        <v>-</v>
      </c>
    </row>
    <row r="4521" spans="19:24">
      <c r="S4521" s="42" t="str">
        <v/>
      </c>
      <c r="T4521" s="42" t="str">
        <f t="shared" si="283"/>
        <v>-</v>
      </c>
      <c r="U4521" s="40" t="str">
        <f t="shared" si="284"/>
        <v>-</v>
      </c>
      <c r="V4521" s="42" t="str" cm="1">
        <f t="array" ref="V4521">_xlfn.IFS(
LEFT(S4521,16)="win on penalties",IF(VALUE(MID(S4521,19,1))&gt;VALUE(MID(S4521,23,1)),DATA_CLEANED!AK35,DATA_CLEANED!AN35),
ISNUMBER(SEARCH("USA",S4521)),"United States",
ISNUMBER(SEARCH("Republic of Ireland",S4521)),"Ireland",
ISNUMBER(SEARCH("Republic of Korea",S4521)),"South Korea",
ISNUMBER(SEARCH("Cape Verde",S4521)),"Cabo Verde",
ISNUMBER(SEARCH("Czechia",S4521)),"Czech Republic",
ISNUMBER(SEARCH("Türkiye",S4521)),"Turkey",
ISNUMBER(SEARCH("Ivory Coast",S4521)),"Côte d'Ivoire",
ISNUMBER(SEARCH("Korea Republic",S4521)),"South Korea",
ISNUMBER(SEARCH("Germany FR",S4521)),"FR Germany",
ISNUMBER(SEARCH("West Germany",S4521)),"FR Germany",
ISNUMBER(SEARCH("Germany DR",S4521)),"DR Germany",
ISNUMBER(SEARCH("Korea DPR",S4521)),"North Korea",
ISNUMBER(SEARCH("China PR",S4521)),"China",
ISNUMBER(SEARCH("IR Iran",S4521)),"Iran",
ISNUMBER(SEARCH("Congo DR",S4521)),"Democratic Republic of the Congo",
ISNUMBER(SEARCH("DR Congo",S4521)),"Democratic Republic of the Congo",
ISNUMBER(SEARCH("German DR",S4521)),"DR Germany",
ISNUMBER(SEARCH("rn""&gt;United Arab Emirates",S4521)),"United Arab Emirates",
ISNUMBER(SEARCH("rn""&gt;Republic of Ireland",S4521)),"Ireland",
ISNUMBER(SEARCH("rn""&gt;Bosnia and Herzegovina",S4521)),"Bosnia and Herzegovina",
ISNUMBER(SEARCH("rn""&gt;Trinidad and Tobago",S4521)),"Trinidad and Tobago",
ISNUMBER(SEARCH("rn""&gt;Serbia and Montenegro",S4521)),"Serbia and Montenegro",
ISNUMBER(SEARCH(_xlfn.UNICHAR(65533),S4521)),"Côte d'Ivoire",
TRUE,"-"
)</f>
        <v>-</v>
      </c>
      <c r="W4521" s="42" t="str">
        <f t="shared" si="285"/>
        <v>-</v>
      </c>
    </row>
    <row r="4522" spans="19:24">
      <c r="S4522" s="42" t="str">
        <v/>
      </c>
      <c r="T4522" s="42" t="str">
        <f t="shared" si="283"/>
        <v>-</v>
      </c>
      <c r="U4522" s="40" t="str">
        <f t="shared" si="284"/>
        <v>-</v>
      </c>
      <c r="V4522" s="42" t="str" cm="1">
        <f t="array" ref="V4522">_xlfn.IFS(
LEFT(S4522,16)="win on penalties",IF(VALUE(MID(S4522,19,1))&gt;VALUE(MID(S4522,23,1)),DATA_CLEANED!AK36,DATA_CLEANED!AN36),
ISNUMBER(SEARCH("USA",S4522)),"United States",
ISNUMBER(SEARCH("Republic of Ireland",S4522)),"Ireland",
ISNUMBER(SEARCH("Republic of Korea",S4522)),"South Korea",
ISNUMBER(SEARCH("Cape Verde",S4522)),"Cabo Verde",
ISNUMBER(SEARCH("Czechia",S4522)),"Czech Republic",
ISNUMBER(SEARCH("Türkiye",S4522)),"Turkey",
ISNUMBER(SEARCH("Ivory Coast",S4522)),"Côte d'Ivoire",
ISNUMBER(SEARCH("Korea Republic",S4522)),"South Korea",
ISNUMBER(SEARCH("Germany FR",S4522)),"FR Germany",
ISNUMBER(SEARCH("West Germany",S4522)),"FR Germany",
ISNUMBER(SEARCH("Germany DR",S4522)),"DR Germany",
ISNUMBER(SEARCH("Korea DPR",S4522)),"North Korea",
ISNUMBER(SEARCH("China PR",S4522)),"China",
ISNUMBER(SEARCH("IR Iran",S4522)),"Iran",
ISNUMBER(SEARCH("Congo DR",S4522)),"Democratic Republic of the Congo",
ISNUMBER(SEARCH("DR Congo",S4522)),"Democratic Republic of the Congo",
ISNUMBER(SEARCH("German DR",S4522)),"DR Germany",
ISNUMBER(SEARCH("rn""&gt;United Arab Emirates",S4522)),"United Arab Emirates",
ISNUMBER(SEARCH("rn""&gt;Republic of Ireland",S4522)),"Ireland",
ISNUMBER(SEARCH("rn""&gt;Bosnia and Herzegovina",S4522)),"Bosnia and Herzegovina",
ISNUMBER(SEARCH("rn""&gt;Trinidad and Tobago",S4522)),"Trinidad and Tobago",
ISNUMBER(SEARCH("rn""&gt;Serbia and Montenegro",S4522)),"Serbia and Montenegro",
ISNUMBER(SEARCH(_xlfn.UNICHAR(65533),S4522)),"Côte d'Ivoire",
TRUE,"-"
)</f>
        <v>-</v>
      </c>
      <c r="W4522" s="42" t="str">
        <f t="shared" si="285"/>
        <v>-</v>
      </c>
    </row>
    <row r="4523" spans="19:24">
      <c r="S4523" s="42" t="str">
        <v>Italy win after extra time</v>
      </c>
      <c r="T4523" s="42" t="str">
        <f t="shared" si="283"/>
        <v>Italy</v>
      </c>
      <c r="U4523" s="40" t="str">
        <f t="shared" si="284"/>
        <v>AUCUNE</v>
      </c>
      <c r="V4523" s="42" t="str" cm="1">
        <f t="array" ref="V4523">_xlfn.IFS(
LEFT(S4523,16)="win on penalties",IF(VALUE(MID(S4523,19,1))&gt;VALUE(MID(S4523,23,1)),DATA_CLEANED!AK37,DATA_CLEANED!AN37),
ISNUMBER(SEARCH("USA",S4523)),"United States",
ISNUMBER(SEARCH("Republic of Ireland",S4523)),"Ireland",
ISNUMBER(SEARCH("Republic of Korea",S4523)),"South Korea",
ISNUMBER(SEARCH("Cape Verde",S4523)),"Cabo Verde",
ISNUMBER(SEARCH("Czechia",S4523)),"Czech Republic",
ISNUMBER(SEARCH("Türkiye",S4523)),"Turkey",
ISNUMBER(SEARCH("Ivory Coast",S4523)),"Côte d'Ivoire",
ISNUMBER(SEARCH("Korea Republic",S4523)),"South Korea",
ISNUMBER(SEARCH("Germany FR",S4523)),"FR Germany",
ISNUMBER(SEARCH("West Germany",S4523)),"FR Germany",
ISNUMBER(SEARCH("Germany DR",S4523)),"DR Germany",
ISNUMBER(SEARCH("Korea DPR",S4523)),"North Korea",
ISNUMBER(SEARCH("China PR",S4523)),"China",
ISNUMBER(SEARCH("IR Iran",S4523)),"Iran",
ISNUMBER(SEARCH("Congo DR",S4523)),"Democratic Republic of the Congo",
ISNUMBER(SEARCH("DR Congo",S4523)),"Democratic Republic of the Congo",
ISNUMBER(SEARCH("German DR",S4523)),"DR Germany",
ISNUMBER(SEARCH("rn""&gt;United Arab Emirates",S4523)),"United Arab Emirates",
ISNUMBER(SEARCH("rn""&gt;Republic of Ireland",S4523)),"Ireland",
ISNUMBER(SEARCH("rn""&gt;Bosnia and Herzegovina",S4523)),"Bosnia and Herzegovina",
ISNUMBER(SEARCH("rn""&gt;Trinidad and Tobago",S4523)),"Trinidad and Tobago",
ISNUMBER(SEARCH("rn""&gt;Serbia and Montenegro",S4523)),"Serbia and Montenegro",
ISNUMBER(SEARCH(_xlfn.UNICHAR(65533),S4523)),"Côte d'Ivoire",
TRUE,"-"
)</f>
        <v>-</v>
      </c>
      <c r="W4523" s="42" t="str">
        <f t="shared" si="285"/>
        <v>Italy win after extra time</v>
      </c>
    </row>
    <row r="4524" spans="19:24">
      <c r="S4524" s="42" t="str">
        <v/>
      </c>
      <c r="T4524" s="42" t="str">
        <f t="shared" si="283"/>
        <v>-</v>
      </c>
      <c r="U4524" s="40" t="str">
        <f t="shared" si="284"/>
        <v>-</v>
      </c>
      <c r="V4524" s="42" t="str" cm="1">
        <f t="array" ref="V4524">_xlfn.IFS(
LEFT(S4524,16)="win on penalties",IF(VALUE(MID(S4524,19,1))&gt;VALUE(MID(S4524,23,1)),DATA_CLEANED!AK38,DATA_CLEANED!AN38),
ISNUMBER(SEARCH("USA",S4524)),"United States",
ISNUMBER(SEARCH("Republic of Ireland",S4524)),"Ireland",
ISNUMBER(SEARCH("Republic of Korea",S4524)),"South Korea",
ISNUMBER(SEARCH("Cape Verde",S4524)),"Cabo Verde",
ISNUMBER(SEARCH("Czechia",S4524)),"Czech Republic",
ISNUMBER(SEARCH("Türkiye",S4524)),"Turkey",
ISNUMBER(SEARCH("Ivory Coast",S4524)),"Côte d'Ivoire",
ISNUMBER(SEARCH("Korea Republic",S4524)),"South Korea",
ISNUMBER(SEARCH("Germany FR",S4524)),"FR Germany",
ISNUMBER(SEARCH("West Germany",S4524)),"FR Germany",
ISNUMBER(SEARCH("Germany DR",S4524)),"DR Germany",
ISNUMBER(SEARCH("Korea DPR",S4524)),"North Korea",
ISNUMBER(SEARCH("China PR",S4524)),"China",
ISNUMBER(SEARCH("IR Iran",S4524)),"Iran",
ISNUMBER(SEARCH("Congo DR",S4524)),"Democratic Republic of the Congo",
ISNUMBER(SEARCH("DR Congo",S4524)),"Democratic Republic of the Congo",
ISNUMBER(SEARCH("German DR",S4524)),"DR Germany",
ISNUMBER(SEARCH("rn""&gt;United Arab Emirates",S4524)),"United Arab Emirates",
ISNUMBER(SEARCH("rn""&gt;Republic of Ireland",S4524)),"Ireland",
ISNUMBER(SEARCH("rn""&gt;Bosnia and Herzegovina",S4524)),"Bosnia and Herzegovina",
ISNUMBER(SEARCH("rn""&gt;Trinidad and Tobago",S4524)),"Trinidad and Tobago",
ISNUMBER(SEARCH("rn""&gt;Serbia and Montenegro",S4524)),"Serbia and Montenegro",
ISNUMBER(SEARCH(_xlfn.UNICHAR(65533),S4524)),"Côte d'Ivoire",
TRUE,"-"
)</f>
        <v>-</v>
      </c>
      <c r="W4524" s="42" t="str">
        <f t="shared" si="285"/>
        <v>-</v>
      </c>
    </row>
    <row r="4525" spans="19:24">
      <c r="S4525" s="42" t="str">
        <v/>
      </c>
      <c r="T4525" s="42" t="str">
        <f t="shared" si="283"/>
        <v>-</v>
      </c>
      <c r="U4525" s="40" t="str">
        <f t="shared" si="284"/>
        <v>-</v>
      </c>
      <c r="V4525" s="42" t="str" cm="1">
        <f t="array" ref="V4525">_xlfn.IFS(
LEFT(S4525,16)="win on penalties",IF(VALUE(MID(S4525,19,1))&gt;VALUE(MID(S4525,23,1)),DATA_CLEANED!AK39,DATA_CLEANED!AN39),
ISNUMBER(SEARCH("USA",S4525)),"United States",
ISNUMBER(SEARCH("Republic of Ireland",S4525)),"Ireland",
ISNUMBER(SEARCH("Republic of Korea",S4525)),"South Korea",
ISNUMBER(SEARCH("Cape Verde",S4525)),"Cabo Verde",
ISNUMBER(SEARCH("Czechia",S4525)),"Czech Republic",
ISNUMBER(SEARCH("Türkiye",S4525)),"Turkey",
ISNUMBER(SEARCH("Ivory Coast",S4525)),"Côte d'Ivoire",
ISNUMBER(SEARCH("Korea Republic",S4525)),"South Korea",
ISNUMBER(SEARCH("Germany FR",S4525)),"FR Germany",
ISNUMBER(SEARCH("West Germany",S4525)),"FR Germany",
ISNUMBER(SEARCH("Germany DR",S4525)),"DR Germany",
ISNUMBER(SEARCH("Korea DPR",S4525)),"North Korea",
ISNUMBER(SEARCH("China PR",S4525)),"China",
ISNUMBER(SEARCH("IR Iran",S4525)),"Iran",
ISNUMBER(SEARCH("Congo DR",S4525)),"Democratic Republic of the Congo",
ISNUMBER(SEARCH("DR Congo",S4525)),"Democratic Republic of the Congo",
ISNUMBER(SEARCH("German DR",S4525)),"DR Germany",
ISNUMBER(SEARCH("rn""&gt;United Arab Emirates",S4525)),"United Arab Emirates",
ISNUMBER(SEARCH("rn""&gt;Republic of Ireland",S4525)),"Ireland",
ISNUMBER(SEARCH("rn""&gt;Bosnia and Herzegovina",S4525)),"Bosnia and Herzegovina",
ISNUMBER(SEARCH("rn""&gt;Trinidad and Tobago",S4525)),"Trinidad and Tobago",
ISNUMBER(SEARCH("rn""&gt;Serbia and Montenegro",S4525)),"Serbia and Montenegro",
ISNUMBER(SEARCH(_xlfn.UNICHAR(65533),S4525)),"Côte d'Ivoire",
TRUE,"-"
)</f>
        <v>-</v>
      </c>
      <c r="W4525" s="42" t="str">
        <f t="shared" si="285"/>
        <v>-</v>
      </c>
    </row>
    <row r="4526" spans="19:24">
      <c r="S4526" s="42" t="str">
        <v/>
      </c>
      <c r="T4526" s="42" t="str">
        <f t="shared" si="283"/>
        <v>-</v>
      </c>
      <c r="U4526" s="40" t="str">
        <f t="shared" si="284"/>
        <v>-</v>
      </c>
      <c r="V4526" s="42" t="str" cm="1">
        <f t="array" ref="V4526">_xlfn.IFS(
LEFT(S4526,16)="win on penalties",IF(VALUE(MID(S4526,19,1))&gt;VALUE(MID(S4526,23,1)),DATA_CLEANED!AK40,DATA_CLEANED!AN40),
ISNUMBER(SEARCH("USA",S4526)),"United States",
ISNUMBER(SEARCH("Republic of Ireland",S4526)),"Ireland",
ISNUMBER(SEARCH("Republic of Korea",S4526)),"South Korea",
ISNUMBER(SEARCH("Cape Verde",S4526)),"Cabo Verde",
ISNUMBER(SEARCH("Czechia",S4526)),"Czech Republic",
ISNUMBER(SEARCH("Türkiye",S4526)),"Turkey",
ISNUMBER(SEARCH("Ivory Coast",S4526)),"Côte d'Ivoire",
ISNUMBER(SEARCH("Korea Republic",S4526)),"South Korea",
ISNUMBER(SEARCH("Germany FR",S4526)),"FR Germany",
ISNUMBER(SEARCH("West Germany",S4526)),"FR Germany",
ISNUMBER(SEARCH("Germany DR",S4526)),"DR Germany",
ISNUMBER(SEARCH("Korea DPR",S4526)),"North Korea",
ISNUMBER(SEARCH("China PR",S4526)),"China",
ISNUMBER(SEARCH("IR Iran",S4526)),"Iran",
ISNUMBER(SEARCH("Congo DR",S4526)),"Democratic Republic of the Congo",
ISNUMBER(SEARCH("DR Congo",S4526)),"Democratic Republic of the Congo",
ISNUMBER(SEARCH("German DR",S4526)),"DR Germany",
ISNUMBER(SEARCH("rn""&gt;United Arab Emirates",S4526)),"United Arab Emirates",
ISNUMBER(SEARCH("rn""&gt;Republic of Ireland",S4526)),"Ireland",
ISNUMBER(SEARCH("rn""&gt;Bosnia and Herzegovina",S4526)),"Bosnia and Herzegovina",
ISNUMBER(SEARCH("rn""&gt;Trinidad and Tobago",S4526)),"Trinidad and Tobago",
ISNUMBER(SEARCH("rn""&gt;Serbia and Montenegro",S4526)),"Serbia and Montenegro",
ISNUMBER(SEARCH(_xlfn.UNICHAR(65533),S4526)),"Côte d'Ivoire",
TRUE,"-"
)</f>
        <v>-</v>
      </c>
      <c r="W4526" s="42" t="str">
        <f t="shared" si="285"/>
        <v>-</v>
      </c>
    </row>
    <row r="4527" spans="19:24">
      <c r="S4527" s="42" t="str">
        <v/>
      </c>
      <c r="T4527" s="42" t="str">
        <f t="shared" si="283"/>
        <v>-</v>
      </c>
      <c r="U4527" s="40" t="str">
        <f t="shared" si="284"/>
        <v>-</v>
      </c>
      <c r="V4527" s="42" t="str" cm="1">
        <f t="array" ref="V4527">_xlfn.IFS(
LEFT(S4527,16)="win on penalties",IF(VALUE(MID(S4527,19,1))&gt;VALUE(MID(S4527,23,1)),DATA_CLEANED!AK41,DATA_CLEANED!AN41),
ISNUMBER(SEARCH("USA",S4527)),"United States",
ISNUMBER(SEARCH("Republic of Ireland",S4527)),"Ireland",
ISNUMBER(SEARCH("Republic of Korea",S4527)),"South Korea",
ISNUMBER(SEARCH("Cape Verde",S4527)),"Cabo Verde",
ISNUMBER(SEARCH("Czechia",S4527)),"Czech Republic",
ISNUMBER(SEARCH("Türkiye",S4527)),"Turkey",
ISNUMBER(SEARCH("Ivory Coast",S4527)),"Côte d'Ivoire",
ISNUMBER(SEARCH("Korea Republic",S4527)),"South Korea",
ISNUMBER(SEARCH("Germany FR",S4527)),"FR Germany",
ISNUMBER(SEARCH("West Germany",S4527)),"FR Germany",
ISNUMBER(SEARCH("Germany DR",S4527)),"DR Germany",
ISNUMBER(SEARCH("Korea DPR",S4527)),"North Korea",
ISNUMBER(SEARCH("China PR",S4527)),"China",
ISNUMBER(SEARCH("IR Iran",S4527)),"Iran",
ISNUMBER(SEARCH("Congo DR",S4527)),"Democratic Republic of the Congo",
ISNUMBER(SEARCH("DR Congo",S4527)),"Democratic Republic of the Congo",
ISNUMBER(SEARCH("German DR",S4527)),"DR Germany",
ISNUMBER(SEARCH("rn""&gt;United Arab Emirates",S4527)),"United Arab Emirates",
ISNUMBER(SEARCH("rn""&gt;Republic of Ireland",S4527)),"Ireland",
ISNUMBER(SEARCH("rn""&gt;Bosnia and Herzegovina",S4527)),"Bosnia and Herzegovina",
ISNUMBER(SEARCH("rn""&gt;Trinidad and Tobago",S4527)),"Trinidad and Tobago",
ISNUMBER(SEARCH("rn""&gt;Serbia and Montenegro",S4527)),"Serbia and Montenegro",
ISNUMBER(SEARCH(_xlfn.UNICHAR(65533),S4527)),"Côte d'Ivoire",
TRUE,"-"
)</f>
        <v>-</v>
      </c>
      <c r="W4527" s="42" t="str">
        <f t="shared" si="285"/>
        <v>-</v>
      </c>
    </row>
    <row r="4528" spans="19:24">
      <c r="S4528" s="42" t="str">
        <v>Italy win after extra time</v>
      </c>
      <c r="T4528" s="42" t="str">
        <f t="shared" si="283"/>
        <v>Italy</v>
      </c>
      <c r="U4528" s="40" t="str">
        <f t="shared" si="284"/>
        <v>AUCUNE</v>
      </c>
      <c r="V4528" s="42" t="str" cm="1">
        <f t="array" ref="V4528">_xlfn.IFS(
LEFT(S4528,16)="win on penalties",IF(VALUE(MID(S4528,19,1))&gt;VALUE(MID(S4528,23,1)),DATA_CLEANED!AK42,DATA_CLEANED!AN42),
ISNUMBER(SEARCH("USA",S4528)),"United States",
ISNUMBER(SEARCH("Republic of Ireland",S4528)),"Ireland",
ISNUMBER(SEARCH("Republic of Korea",S4528)),"South Korea",
ISNUMBER(SEARCH("Cape Verde",S4528)),"Cabo Verde",
ISNUMBER(SEARCH("Czechia",S4528)),"Czech Republic",
ISNUMBER(SEARCH("Türkiye",S4528)),"Turkey",
ISNUMBER(SEARCH("Ivory Coast",S4528)),"Côte d'Ivoire",
ISNUMBER(SEARCH("Korea Republic",S4528)),"South Korea",
ISNUMBER(SEARCH("Germany FR",S4528)),"FR Germany",
ISNUMBER(SEARCH("West Germany",S4528)),"FR Germany",
ISNUMBER(SEARCH("Germany DR",S4528)),"DR Germany",
ISNUMBER(SEARCH("Korea DPR",S4528)),"North Korea",
ISNUMBER(SEARCH("China PR",S4528)),"China",
ISNUMBER(SEARCH("IR Iran",S4528)),"Iran",
ISNUMBER(SEARCH("Congo DR",S4528)),"Democratic Republic of the Congo",
ISNUMBER(SEARCH("DR Congo",S4528)),"Democratic Republic of the Congo",
ISNUMBER(SEARCH("German DR",S4528)),"DR Germany",
ISNUMBER(SEARCH("rn""&gt;United Arab Emirates",S4528)),"United Arab Emirates",
ISNUMBER(SEARCH("rn""&gt;Republic of Ireland",S4528)),"Ireland",
ISNUMBER(SEARCH("rn""&gt;Bosnia and Herzegovina",S4528)),"Bosnia and Herzegovina",
ISNUMBER(SEARCH("rn""&gt;Trinidad and Tobago",S4528)),"Trinidad and Tobago",
ISNUMBER(SEARCH("rn""&gt;Serbia and Montenegro",S4528)),"Serbia and Montenegro",
ISNUMBER(SEARCH(_xlfn.UNICHAR(65533),S4528)),"Côte d'Ivoire",
TRUE,"-"
)</f>
        <v>-</v>
      </c>
      <c r="W4528" s="42" t="str">
        <f t="shared" si="285"/>
        <v>Italy win after extra time</v>
      </c>
    </row>
    <row r="4529" spans="19:23">
      <c r="S4529" s="42" t="str">
        <v>Brazil win after extra time</v>
      </c>
      <c r="T4529" s="42" t="str">
        <f t="shared" si="283"/>
        <v>Brazil</v>
      </c>
      <c r="U4529" s="40" t="str">
        <f t="shared" si="284"/>
        <v>AUCUNE</v>
      </c>
      <c r="V4529" s="42" t="str" cm="1">
        <f t="array" ref="V4529">_xlfn.IFS(
LEFT(S4529,16)="win on penalties",IF(VALUE(MID(S4529,19,1))&gt;VALUE(MID(S4529,23,1)),DATA_CLEANED!AK43,DATA_CLEANED!AN43),
ISNUMBER(SEARCH("USA",S4529)),"United States",
ISNUMBER(SEARCH("Republic of Ireland",S4529)),"Ireland",
ISNUMBER(SEARCH("Republic of Korea",S4529)),"South Korea",
ISNUMBER(SEARCH("Cape Verde",S4529)),"Cabo Verde",
ISNUMBER(SEARCH("Czechia",S4529)),"Czech Republic",
ISNUMBER(SEARCH("Türkiye",S4529)),"Turkey",
ISNUMBER(SEARCH("Ivory Coast",S4529)),"Côte d'Ivoire",
ISNUMBER(SEARCH("Korea Republic",S4529)),"South Korea",
ISNUMBER(SEARCH("Germany FR",S4529)),"FR Germany",
ISNUMBER(SEARCH("West Germany",S4529)),"FR Germany",
ISNUMBER(SEARCH("Germany DR",S4529)),"DR Germany",
ISNUMBER(SEARCH("Korea DPR",S4529)),"North Korea",
ISNUMBER(SEARCH("China PR",S4529)),"China",
ISNUMBER(SEARCH("IR Iran",S4529)),"Iran",
ISNUMBER(SEARCH("Congo DR",S4529)),"Democratic Republic of the Congo",
ISNUMBER(SEARCH("DR Congo",S4529)),"Democratic Republic of the Congo",
ISNUMBER(SEARCH("German DR",S4529)),"DR Germany",
ISNUMBER(SEARCH("rn""&gt;United Arab Emirates",S4529)),"United Arab Emirates",
ISNUMBER(SEARCH("rn""&gt;Republic of Ireland",S4529)),"Ireland",
ISNUMBER(SEARCH("rn""&gt;Bosnia and Herzegovina",S4529)),"Bosnia and Herzegovina",
ISNUMBER(SEARCH("rn""&gt;Trinidad and Tobago",S4529)),"Trinidad and Tobago",
ISNUMBER(SEARCH("rn""&gt;Serbia and Montenegro",S4529)),"Serbia and Montenegro",
ISNUMBER(SEARCH(_xlfn.UNICHAR(65533),S4529)),"Côte d'Ivoire",
TRUE,"-"
)</f>
        <v>-</v>
      </c>
      <c r="W4529" s="42" t="str">
        <f t="shared" si="285"/>
        <v>Brazil win after extra time</v>
      </c>
    </row>
    <row r="4530" spans="19:23">
      <c r="S4530" s="42" t="str">
        <v>Czechoslovakia win after extra time</v>
      </c>
      <c r="T4530" s="42" t="str">
        <f t="shared" si="283"/>
        <v>Czechoslovakia</v>
      </c>
      <c r="U4530" s="40" t="str">
        <f t="shared" si="284"/>
        <v>AUCUNE</v>
      </c>
      <c r="V4530" s="42" t="str" cm="1">
        <f t="array" ref="V4530">_xlfn.IFS(
LEFT(S4530,16)="win on penalties",IF(VALUE(MID(S4530,19,1))&gt;VALUE(MID(S4530,23,1)),DATA_CLEANED!AK44,DATA_CLEANED!AN44),
ISNUMBER(SEARCH("USA",S4530)),"United States",
ISNUMBER(SEARCH("Republic of Ireland",S4530)),"Ireland",
ISNUMBER(SEARCH("Republic of Korea",S4530)),"South Korea",
ISNUMBER(SEARCH("Cape Verde",S4530)),"Cabo Verde",
ISNUMBER(SEARCH("Czechia",S4530)),"Czech Republic",
ISNUMBER(SEARCH("Türkiye",S4530)),"Turkey",
ISNUMBER(SEARCH("Ivory Coast",S4530)),"Côte d'Ivoire",
ISNUMBER(SEARCH("Korea Republic",S4530)),"South Korea",
ISNUMBER(SEARCH("Germany FR",S4530)),"FR Germany",
ISNUMBER(SEARCH("West Germany",S4530)),"FR Germany",
ISNUMBER(SEARCH("Germany DR",S4530)),"DR Germany",
ISNUMBER(SEARCH("Korea DPR",S4530)),"North Korea",
ISNUMBER(SEARCH("China PR",S4530)),"China",
ISNUMBER(SEARCH("IR Iran",S4530)),"Iran",
ISNUMBER(SEARCH("Congo DR",S4530)),"Democratic Republic of the Congo",
ISNUMBER(SEARCH("DR Congo",S4530)),"Democratic Republic of the Congo",
ISNUMBER(SEARCH("German DR",S4530)),"DR Germany",
ISNUMBER(SEARCH("rn""&gt;United Arab Emirates",S4530)),"United Arab Emirates",
ISNUMBER(SEARCH("rn""&gt;Republic of Ireland",S4530)),"Ireland",
ISNUMBER(SEARCH("rn""&gt;Bosnia and Herzegovina",S4530)),"Bosnia and Herzegovina",
ISNUMBER(SEARCH("rn""&gt;Trinidad and Tobago",S4530)),"Trinidad and Tobago",
ISNUMBER(SEARCH("rn""&gt;Serbia and Montenegro",S4530)),"Serbia and Montenegro",
ISNUMBER(SEARCH(_xlfn.UNICHAR(65533),S4530)),"Côte d'Ivoire",
TRUE,"-"
)</f>
        <v>-</v>
      </c>
      <c r="W4530" s="42" t="str">
        <f t="shared" si="285"/>
        <v>Czechoslovakia win after extra time</v>
      </c>
    </row>
    <row r="4531" spans="19:23">
      <c r="S4531" s="42" t="str">
        <v/>
      </c>
      <c r="T4531" s="42" t="str">
        <f t="shared" si="283"/>
        <v>-</v>
      </c>
      <c r="U4531" s="40" t="str">
        <f t="shared" si="284"/>
        <v>-</v>
      </c>
      <c r="V4531" s="42" t="str" cm="1">
        <f t="array" ref="V4531">_xlfn.IFS(
LEFT(S4531,16)="win on penalties",IF(VALUE(MID(S4531,19,1))&gt;VALUE(MID(S4531,23,1)),DATA_CLEANED!AK45,DATA_CLEANED!AN45),
ISNUMBER(SEARCH("USA",S4531)),"United States",
ISNUMBER(SEARCH("Republic of Ireland",S4531)),"Ireland",
ISNUMBER(SEARCH("Republic of Korea",S4531)),"South Korea",
ISNUMBER(SEARCH("Cape Verde",S4531)),"Cabo Verde",
ISNUMBER(SEARCH("Czechia",S4531)),"Czech Republic",
ISNUMBER(SEARCH("Türkiye",S4531)),"Turkey",
ISNUMBER(SEARCH("Ivory Coast",S4531)),"Côte d'Ivoire",
ISNUMBER(SEARCH("Korea Republic",S4531)),"South Korea",
ISNUMBER(SEARCH("Germany FR",S4531)),"FR Germany",
ISNUMBER(SEARCH("West Germany",S4531)),"FR Germany",
ISNUMBER(SEARCH("Germany DR",S4531)),"DR Germany",
ISNUMBER(SEARCH("Korea DPR",S4531)),"North Korea",
ISNUMBER(SEARCH("China PR",S4531)),"China",
ISNUMBER(SEARCH("IR Iran",S4531)),"Iran",
ISNUMBER(SEARCH("Congo DR",S4531)),"Democratic Republic of the Congo",
ISNUMBER(SEARCH("DR Congo",S4531)),"Democratic Republic of the Congo",
ISNUMBER(SEARCH("German DR",S4531)),"DR Germany",
ISNUMBER(SEARCH("rn""&gt;United Arab Emirates",S4531)),"United Arab Emirates",
ISNUMBER(SEARCH("rn""&gt;Republic of Ireland",S4531)),"Ireland",
ISNUMBER(SEARCH("rn""&gt;Bosnia and Herzegovina",S4531)),"Bosnia and Herzegovina",
ISNUMBER(SEARCH("rn""&gt;Trinidad and Tobago",S4531)),"Trinidad and Tobago",
ISNUMBER(SEARCH("rn""&gt;Serbia and Montenegro",S4531)),"Serbia and Montenegro",
ISNUMBER(SEARCH(_xlfn.UNICHAR(65533),S4531)),"Côte d'Ivoire",
TRUE,"-"
)</f>
        <v>-</v>
      </c>
      <c r="W4531" s="42" t="str">
        <f t="shared" si="285"/>
        <v>-</v>
      </c>
    </row>
    <row r="4532" spans="19:23">
      <c r="S4532" s="42" t="str">
        <v/>
      </c>
      <c r="T4532" s="42" t="str">
        <f t="shared" si="283"/>
        <v>-</v>
      </c>
      <c r="U4532" s="40" t="str">
        <f t="shared" si="284"/>
        <v>-</v>
      </c>
      <c r="V4532" s="42" t="str" cm="1">
        <f t="array" ref="V4532">_xlfn.IFS(
LEFT(S4532,16)="win on penalties",IF(VALUE(MID(S4532,19,1))&gt;VALUE(MID(S4532,23,1)),DATA_CLEANED!AK46,DATA_CLEANED!AN46),
ISNUMBER(SEARCH("USA",S4532)),"United States",
ISNUMBER(SEARCH("Republic of Ireland",S4532)),"Ireland",
ISNUMBER(SEARCH("Republic of Korea",S4532)),"South Korea",
ISNUMBER(SEARCH("Cape Verde",S4532)),"Cabo Verde",
ISNUMBER(SEARCH("Czechia",S4532)),"Czech Republic",
ISNUMBER(SEARCH("Türkiye",S4532)),"Turkey",
ISNUMBER(SEARCH("Ivory Coast",S4532)),"Côte d'Ivoire",
ISNUMBER(SEARCH("Korea Republic",S4532)),"South Korea",
ISNUMBER(SEARCH("Germany FR",S4532)),"FR Germany",
ISNUMBER(SEARCH("West Germany",S4532)),"FR Germany",
ISNUMBER(SEARCH("Germany DR",S4532)),"DR Germany",
ISNUMBER(SEARCH("Korea DPR",S4532)),"North Korea",
ISNUMBER(SEARCH("China PR",S4532)),"China",
ISNUMBER(SEARCH("IR Iran",S4532)),"Iran",
ISNUMBER(SEARCH("Congo DR",S4532)),"Democratic Republic of the Congo",
ISNUMBER(SEARCH("DR Congo",S4532)),"Democratic Republic of the Congo",
ISNUMBER(SEARCH("German DR",S4532)),"DR Germany",
ISNUMBER(SEARCH("rn""&gt;United Arab Emirates",S4532)),"United Arab Emirates",
ISNUMBER(SEARCH("rn""&gt;Republic of Ireland",S4532)),"Ireland",
ISNUMBER(SEARCH("rn""&gt;Bosnia and Herzegovina",S4532)),"Bosnia and Herzegovina",
ISNUMBER(SEARCH("rn""&gt;Trinidad and Tobago",S4532)),"Trinidad and Tobago",
ISNUMBER(SEARCH("rn""&gt;Serbia and Montenegro",S4532)),"Serbia and Montenegro",
ISNUMBER(SEARCH(_xlfn.UNICHAR(65533),S4532)),"Côte d'Ivoire",
TRUE,"-"
)</f>
        <v>-</v>
      </c>
      <c r="W4532" s="42" t="str">
        <f t="shared" si="285"/>
        <v>-</v>
      </c>
    </row>
    <row r="4533" spans="19:23">
      <c r="S4533" s="42" t="str">
        <v/>
      </c>
      <c r="T4533" s="42" t="str">
        <f t="shared" si="283"/>
        <v>-</v>
      </c>
      <c r="U4533" s="40" t="str">
        <f t="shared" si="284"/>
        <v>-</v>
      </c>
      <c r="V4533" s="42" t="str" cm="1">
        <f t="array" ref="V4533">_xlfn.IFS(
LEFT(S4533,16)="win on penalties",IF(VALUE(MID(S4533,19,1))&gt;VALUE(MID(S4533,23,1)),DATA_CLEANED!AK47,DATA_CLEANED!AN47),
ISNUMBER(SEARCH("USA",S4533)),"United States",
ISNUMBER(SEARCH("Republic of Ireland",S4533)),"Ireland",
ISNUMBER(SEARCH("Republic of Korea",S4533)),"South Korea",
ISNUMBER(SEARCH("Cape Verde",S4533)),"Cabo Verde",
ISNUMBER(SEARCH("Czechia",S4533)),"Czech Republic",
ISNUMBER(SEARCH("Türkiye",S4533)),"Turkey",
ISNUMBER(SEARCH("Ivory Coast",S4533)),"Côte d'Ivoire",
ISNUMBER(SEARCH("Korea Republic",S4533)),"South Korea",
ISNUMBER(SEARCH("Germany FR",S4533)),"FR Germany",
ISNUMBER(SEARCH("West Germany",S4533)),"FR Germany",
ISNUMBER(SEARCH("Germany DR",S4533)),"DR Germany",
ISNUMBER(SEARCH("Korea DPR",S4533)),"North Korea",
ISNUMBER(SEARCH("China PR",S4533)),"China",
ISNUMBER(SEARCH("IR Iran",S4533)),"Iran",
ISNUMBER(SEARCH("Congo DR",S4533)),"Democratic Republic of the Congo",
ISNUMBER(SEARCH("DR Congo",S4533)),"Democratic Republic of the Congo",
ISNUMBER(SEARCH("German DR",S4533)),"DR Germany",
ISNUMBER(SEARCH("rn""&gt;United Arab Emirates",S4533)),"United Arab Emirates",
ISNUMBER(SEARCH("rn""&gt;Republic of Ireland",S4533)),"Ireland",
ISNUMBER(SEARCH("rn""&gt;Bosnia and Herzegovina",S4533)),"Bosnia and Herzegovina",
ISNUMBER(SEARCH("rn""&gt;Trinidad and Tobago",S4533)),"Trinidad and Tobago",
ISNUMBER(SEARCH("rn""&gt;Serbia and Montenegro",S4533)),"Serbia and Montenegro",
ISNUMBER(SEARCH(_xlfn.UNICHAR(65533),S4533)),"Côte d'Ivoire",
TRUE,"-"
)</f>
        <v>-</v>
      </c>
      <c r="W4533" s="42" t="str">
        <f t="shared" si="285"/>
        <v>-</v>
      </c>
    </row>
    <row r="4534" spans="19:23">
      <c r="S4534" s="42" t="str">
        <v/>
      </c>
      <c r="T4534" s="42" t="str">
        <f t="shared" si="283"/>
        <v>-</v>
      </c>
      <c r="U4534" s="40" t="str">
        <f t="shared" si="284"/>
        <v>-</v>
      </c>
      <c r="V4534" s="42" t="str" cm="1">
        <f t="array" ref="V4534">_xlfn.IFS(
LEFT(S4534,16)="win on penalties",IF(VALUE(MID(S4534,19,1))&gt;VALUE(MID(S4534,23,1)),DATA_CLEANED!AK48,DATA_CLEANED!AN48),
ISNUMBER(SEARCH("USA",S4534)),"United States",
ISNUMBER(SEARCH("Republic of Ireland",S4534)),"Ireland",
ISNUMBER(SEARCH("Republic of Korea",S4534)),"South Korea",
ISNUMBER(SEARCH("Cape Verde",S4534)),"Cabo Verde",
ISNUMBER(SEARCH("Czechia",S4534)),"Czech Republic",
ISNUMBER(SEARCH("Türkiye",S4534)),"Turkey",
ISNUMBER(SEARCH("Ivory Coast",S4534)),"Côte d'Ivoire",
ISNUMBER(SEARCH("Korea Republic",S4534)),"South Korea",
ISNUMBER(SEARCH("Germany FR",S4534)),"FR Germany",
ISNUMBER(SEARCH("West Germany",S4534)),"FR Germany",
ISNUMBER(SEARCH("Germany DR",S4534)),"DR Germany",
ISNUMBER(SEARCH("Korea DPR",S4534)),"North Korea",
ISNUMBER(SEARCH("China PR",S4534)),"China",
ISNUMBER(SEARCH("IR Iran",S4534)),"Iran",
ISNUMBER(SEARCH("Congo DR",S4534)),"Democratic Republic of the Congo",
ISNUMBER(SEARCH("DR Congo",S4534)),"Democratic Republic of the Congo",
ISNUMBER(SEARCH("German DR",S4534)),"DR Germany",
ISNUMBER(SEARCH("rn""&gt;United Arab Emirates",S4534)),"United Arab Emirates",
ISNUMBER(SEARCH("rn""&gt;Republic of Ireland",S4534)),"Ireland",
ISNUMBER(SEARCH("rn""&gt;Bosnia and Herzegovina",S4534)),"Bosnia and Herzegovina",
ISNUMBER(SEARCH("rn""&gt;Trinidad and Tobago",S4534)),"Trinidad and Tobago",
ISNUMBER(SEARCH("rn""&gt;Serbia and Montenegro",S4534)),"Serbia and Montenegro",
ISNUMBER(SEARCH(_xlfn.UNICHAR(65533),S4534)),"Côte d'Ivoire",
TRUE,"-"
)</f>
        <v>-</v>
      </c>
      <c r="W4534" s="42" t="str">
        <f t="shared" si="285"/>
        <v>-</v>
      </c>
    </row>
    <row r="4535" spans="19:23">
      <c r="S4535" s="42" t="str">
        <v/>
      </c>
      <c r="T4535" s="42" t="str">
        <f t="shared" si="283"/>
        <v>-</v>
      </c>
      <c r="U4535" s="40" t="str">
        <f t="shared" si="284"/>
        <v>-</v>
      </c>
      <c r="V4535" s="42" t="str" cm="1">
        <f t="array" ref="V4535">_xlfn.IFS(
LEFT(S4535,16)="win on penalties",IF(VALUE(MID(S4535,19,1))&gt;VALUE(MID(S4535,23,1)),DATA_CLEANED!AK49,DATA_CLEANED!AN49),
ISNUMBER(SEARCH("USA",S4535)),"United States",
ISNUMBER(SEARCH("Republic of Ireland",S4535)),"Ireland",
ISNUMBER(SEARCH("Republic of Korea",S4535)),"South Korea",
ISNUMBER(SEARCH("Cape Verde",S4535)),"Cabo Verde",
ISNUMBER(SEARCH("Czechia",S4535)),"Czech Republic",
ISNUMBER(SEARCH("Türkiye",S4535)),"Turkey",
ISNUMBER(SEARCH("Ivory Coast",S4535)),"Côte d'Ivoire",
ISNUMBER(SEARCH("Korea Republic",S4535)),"South Korea",
ISNUMBER(SEARCH("Germany FR",S4535)),"FR Germany",
ISNUMBER(SEARCH("West Germany",S4535)),"FR Germany",
ISNUMBER(SEARCH("Germany DR",S4535)),"DR Germany",
ISNUMBER(SEARCH("Korea DPR",S4535)),"North Korea",
ISNUMBER(SEARCH("China PR",S4535)),"China",
ISNUMBER(SEARCH("IR Iran",S4535)),"Iran",
ISNUMBER(SEARCH("Congo DR",S4535)),"Democratic Republic of the Congo",
ISNUMBER(SEARCH("DR Congo",S4535)),"Democratic Republic of the Congo",
ISNUMBER(SEARCH("German DR",S4535)),"DR Germany",
ISNUMBER(SEARCH("rn""&gt;United Arab Emirates",S4535)),"United Arab Emirates",
ISNUMBER(SEARCH("rn""&gt;Republic of Ireland",S4535)),"Ireland",
ISNUMBER(SEARCH("rn""&gt;Bosnia and Herzegovina",S4535)),"Bosnia and Herzegovina",
ISNUMBER(SEARCH("rn""&gt;Trinidad and Tobago",S4535)),"Trinidad and Tobago",
ISNUMBER(SEARCH("rn""&gt;Serbia and Montenegro",S4535)),"Serbia and Montenegro",
ISNUMBER(SEARCH(_xlfn.UNICHAR(65533),S4535)),"Côte d'Ivoire",
TRUE,"-"
)</f>
        <v>-</v>
      </c>
      <c r="W4535" s="42" t="str">
        <f t="shared" si="285"/>
        <v>-</v>
      </c>
    </row>
    <row r="4536" spans="19:23">
      <c r="S4536" s="42" t="str">
        <v/>
      </c>
      <c r="T4536" s="42" t="str">
        <f t="shared" si="283"/>
        <v>-</v>
      </c>
      <c r="U4536" s="40" t="str">
        <f t="shared" si="284"/>
        <v>-</v>
      </c>
      <c r="V4536" s="42" t="str" cm="1">
        <f t="array" ref="V4536">_xlfn.IFS(
LEFT(S4536,16)="win on penalties",IF(VALUE(MID(S4536,19,1))&gt;VALUE(MID(S4536,23,1)),DATA_CLEANED!AK50,DATA_CLEANED!AN50),
ISNUMBER(SEARCH("USA",S4536)),"United States",
ISNUMBER(SEARCH("Republic of Ireland",S4536)),"Ireland",
ISNUMBER(SEARCH("Republic of Korea",S4536)),"South Korea",
ISNUMBER(SEARCH("Cape Verde",S4536)),"Cabo Verde",
ISNUMBER(SEARCH("Czechia",S4536)),"Czech Republic",
ISNUMBER(SEARCH("Türkiye",S4536)),"Turkey",
ISNUMBER(SEARCH("Ivory Coast",S4536)),"Côte d'Ivoire",
ISNUMBER(SEARCH("Korea Republic",S4536)),"South Korea",
ISNUMBER(SEARCH("Germany FR",S4536)),"FR Germany",
ISNUMBER(SEARCH("West Germany",S4536)),"FR Germany",
ISNUMBER(SEARCH("Germany DR",S4536)),"DR Germany",
ISNUMBER(SEARCH("Korea DPR",S4536)),"North Korea",
ISNUMBER(SEARCH("China PR",S4536)),"China",
ISNUMBER(SEARCH("IR Iran",S4536)),"Iran",
ISNUMBER(SEARCH("Congo DR",S4536)),"Democratic Republic of the Congo",
ISNUMBER(SEARCH("DR Congo",S4536)),"Democratic Republic of the Congo",
ISNUMBER(SEARCH("German DR",S4536)),"DR Germany",
ISNUMBER(SEARCH("rn""&gt;United Arab Emirates",S4536)),"United Arab Emirates",
ISNUMBER(SEARCH("rn""&gt;Republic of Ireland",S4536)),"Ireland",
ISNUMBER(SEARCH("rn""&gt;Bosnia and Herzegovina",S4536)),"Bosnia and Herzegovina",
ISNUMBER(SEARCH("rn""&gt;Trinidad and Tobago",S4536)),"Trinidad and Tobago",
ISNUMBER(SEARCH("rn""&gt;Serbia and Montenegro",S4536)),"Serbia and Montenegro",
ISNUMBER(SEARCH(_xlfn.UNICHAR(65533),S4536)),"Côte d'Ivoire",
TRUE,"-"
)</f>
        <v>-</v>
      </c>
      <c r="W4536" s="42" t="str">
        <f t="shared" si="285"/>
        <v>-</v>
      </c>
    </row>
    <row r="4537" spans="19:23">
      <c r="S4537" s="42" t="str">
        <v/>
      </c>
      <c r="T4537" s="42" t="str">
        <f t="shared" si="283"/>
        <v>-</v>
      </c>
      <c r="U4537" s="40" t="str">
        <f t="shared" si="284"/>
        <v>-</v>
      </c>
      <c r="V4537" s="42" t="str" cm="1">
        <f t="array" ref="V4537">_xlfn.IFS(
LEFT(S4537,16)="win on penalties",IF(VALUE(MID(S4537,19,1))&gt;VALUE(MID(S4537,23,1)),DATA_CLEANED!AK51,DATA_CLEANED!AN51),
ISNUMBER(SEARCH("USA",S4537)),"United States",
ISNUMBER(SEARCH("Republic of Ireland",S4537)),"Ireland",
ISNUMBER(SEARCH("Republic of Korea",S4537)),"South Korea",
ISNUMBER(SEARCH("Cape Verde",S4537)),"Cabo Verde",
ISNUMBER(SEARCH("Czechia",S4537)),"Czech Republic",
ISNUMBER(SEARCH("Türkiye",S4537)),"Turkey",
ISNUMBER(SEARCH("Ivory Coast",S4537)),"Côte d'Ivoire",
ISNUMBER(SEARCH("Korea Republic",S4537)),"South Korea",
ISNUMBER(SEARCH("Germany FR",S4537)),"FR Germany",
ISNUMBER(SEARCH("West Germany",S4537)),"FR Germany",
ISNUMBER(SEARCH("Germany DR",S4537)),"DR Germany",
ISNUMBER(SEARCH("Korea DPR",S4537)),"North Korea",
ISNUMBER(SEARCH("China PR",S4537)),"China",
ISNUMBER(SEARCH("IR Iran",S4537)),"Iran",
ISNUMBER(SEARCH("Congo DR",S4537)),"Democratic Republic of the Congo",
ISNUMBER(SEARCH("DR Congo",S4537)),"Democratic Republic of the Congo",
ISNUMBER(SEARCH("German DR",S4537)),"DR Germany",
ISNUMBER(SEARCH("rn""&gt;United Arab Emirates",S4537)),"United Arab Emirates",
ISNUMBER(SEARCH("rn""&gt;Republic of Ireland",S4537)),"Ireland",
ISNUMBER(SEARCH("rn""&gt;Bosnia and Herzegovina",S4537)),"Bosnia and Herzegovina",
ISNUMBER(SEARCH("rn""&gt;Trinidad and Tobago",S4537)),"Trinidad and Tobago",
ISNUMBER(SEARCH("rn""&gt;Serbia and Montenegro",S4537)),"Serbia and Montenegro",
ISNUMBER(SEARCH(_xlfn.UNICHAR(65533),S4537)),"Côte d'Ivoire",
TRUE,"-"
)</f>
        <v>-</v>
      </c>
      <c r="W4537" s="42" t="str">
        <f t="shared" si="285"/>
        <v>-</v>
      </c>
    </row>
    <row r="4538" spans="19:23">
      <c r="S4538" s="42" t="str">
        <v/>
      </c>
      <c r="T4538" s="42" t="str">
        <f t="shared" si="283"/>
        <v>-</v>
      </c>
      <c r="U4538" s="40" t="str">
        <f t="shared" si="284"/>
        <v>-</v>
      </c>
      <c r="V4538" s="42" t="str" cm="1">
        <f t="array" ref="V4538">_xlfn.IFS(
LEFT(S4538,16)="win on penalties",IF(VALUE(MID(S4538,19,1))&gt;VALUE(MID(S4538,23,1)),DATA_CLEANED!AK52,DATA_CLEANED!AN52),
ISNUMBER(SEARCH("USA",S4538)),"United States",
ISNUMBER(SEARCH("Republic of Ireland",S4538)),"Ireland",
ISNUMBER(SEARCH("Republic of Korea",S4538)),"South Korea",
ISNUMBER(SEARCH("Cape Verde",S4538)),"Cabo Verde",
ISNUMBER(SEARCH("Czechia",S4538)),"Czech Republic",
ISNUMBER(SEARCH("Türkiye",S4538)),"Turkey",
ISNUMBER(SEARCH("Ivory Coast",S4538)),"Côte d'Ivoire",
ISNUMBER(SEARCH("Korea Republic",S4538)),"South Korea",
ISNUMBER(SEARCH("Germany FR",S4538)),"FR Germany",
ISNUMBER(SEARCH("West Germany",S4538)),"FR Germany",
ISNUMBER(SEARCH("Germany DR",S4538)),"DR Germany",
ISNUMBER(SEARCH("Korea DPR",S4538)),"North Korea",
ISNUMBER(SEARCH("China PR",S4538)),"China",
ISNUMBER(SEARCH("IR Iran",S4538)),"Iran",
ISNUMBER(SEARCH("Congo DR",S4538)),"Democratic Republic of the Congo",
ISNUMBER(SEARCH("DR Congo",S4538)),"Democratic Republic of the Congo",
ISNUMBER(SEARCH("German DR",S4538)),"DR Germany",
ISNUMBER(SEARCH("rn""&gt;United Arab Emirates",S4538)),"United Arab Emirates",
ISNUMBER(SEARCH("rn""&gt;Republic of Ireland",S4538)),"Ireland",
ISNUMBER(SEARCH("rn""&gt;Bosnia and Herzegovina",S4538)),"Bosnia and Herzegovina",
ISNUMBER(SEARCH("rn""&gt;Trinidad and Tobago",S4538)),"Trinidad and Tobago",
ISNUMBER(SEARCH("rn""&gt;Serbia and Montenegro",S4538)),"Serbia and Montenegro",
ISNUMBER(SEARCH(_xlfn.UNICHAR(65533),S4538)),"Côte d'Ivoire",
TRUE,"-"
)</f>
        <v>-</v>
      </c>
      <c r="W4538" s="42" t="str">
        <f t="shared" si="285"/>
        <v>-</v>
      </c>
    </row>
    <row r="4539" spans="19:23">
      <c r="S4539" s="42" t="str">
        <v/>
      </c>
      <c r="T4539" s="42" t="str">
        <f t="shared" si="283"/>
        <v>-</v>
      </c>
      <c r="U4539" s="40" t="str">
        <f t="shared" si="284"/>
        <v>-</v>
      </c>
      <c r="V4539" s="42" t="str" cm="1">
        <f t="array" ref="V4539">_xlfn.IFS(
LEFT(S4539,16)="win on penalties",IF(VALUE(MID(S4539,19,1))&gt;VALUE(MID(S4539,23,1)),DATA_CLEANED!AK53,DATA_CLEANED!AN53),
ISNUMBER(SEARCH("USA",S4539)),"United States",
ISNUMBER(SEARCH("Republic of Ireland",S4539)),"Ireland",
ISNUMBER(SEARCH("Republic of Korea",S4539)),"South Korea",
ISNUMBER(SEARCH("Cape Verde",S4539)),"Cabo Verde",
ISNUMBER(SEARCH("Czechia",S4539)),"Czech Republic",
ISNUMBER(SEARCH("Türkiye",S4539)),"Turkey",
ISNUMBER(SEARCH("Ivory Coast",S4539)),"Côte d'Ivoire",
ISNUMBER(SEARCH("Korea Republic",S4539)),"South Korea",
ISNUMBER(SEARCH("Germany FR",S4539)),"FR Germany",
ISNUMBER(SEARCH("West Germany",S4539)),"FR Germany",
ISNUMBER(SEARCH("Germany DR",S4539)),"DR Germany",
ISNUMBER(SEARCH("Korea DPR",S4539)),"North Korea",
ISNUMBER(SEARCH("China PR",S4539)),"China",
ISNUMBER(SEARCH("IR Iran",S4539)),"Iran",
ISNUMBER(SEARCH("Congo DR",S4539)),"Democratic Republic of the Congo",
ISNUMBER(SEARCH("DR Congo",S4539)),"Democratic Republic of the Congo",
ISNUMBER(SEARCH("German DR",S4539)),"DR Germany",
ISNUMBER(SEARCH("rn""&gt;United Arab Emirates",S4539)),"United Arab Emirates",
ISNUMBER(SEARCH("rn""&gt;Republic of Ireland",S4539)),"Ireland",
ISNUMBER(SEARCH("rn""&gt;Bosnia and Herzegovina",S4539)),"Bosnia and Herzegovina",
ISNUMBER(SEARCH("rn""&gt;Trinidad and Tobago",S4539)),"Trinidad and Tobago",
ISNUMBER(SEARCH("rn""&gt;Serbia and Montenegro",S4539)),"Serbia and Montenegro",
ISNUMBER(SEARCH(_xlfn.UNICHAR(65533),S4539)),"Côte d'Ivoire",
TRUE,"-"
)</f>
        <v>-</v>
      </c>
      <c r="W4539" s="42" t="str">
        <f t="shared" si="285"/>
        <v>-</v>
      </c>
    </row>
    <row r="4540" spans="19:23">
      <c r="S4540" s="42" t="str">
        <v/>
      </c>
      <c r="T4540" s="42" t="str">
        <f t="shared" si="283"/>
        <v>-</v>
      </c>
      <c r="U4540" s="40" t="str">
        <f t="shared" si="284"/>
        <v>-</v>
      </c>
      <c r="V4540" s="42" t="str" cm="1">
        <f t="array" ref="V4540">_xlfn.IFS(
LEFT(S4540,16)="win on penalties",IF(VALUE(MID(S4540,19,1))&gt;VALUE(MID(S4540,23,1)),DATA_CLEANED!AK54,DATA_CLEANED!AN54),
ISNUMBER(SEARCH("USA",S4540)),"United States",
ISNUMBER(SEARCH("Republic of Ireland",S4540)),"Ireland",
ISNUMBER(SEARCH("Republic of Korea",S4540)),"South Korea",
ISNUMBER(SEARCH("Cape Verde",S4540)),"Cabo Verde",
ISNUMBER(SEARCH("Czechia",S4540)),"Czech Republic",
ISNUMBER(SEARCH("Türkiye",S4540)),"Turkey",
ISNUMBER(SEARCH("Ivory Coast",S4540)),"Côte d'Ivoire",
ISNUMBER(SEARCH("Korea Republic",S4540)),"South Korea",
ISNUMBER(SEARCH("Germany FR",S4540)),"FR Germany",
ISNUMBER(SEARCH("West Germany",S4540)),"FR Germany",
ISNUMBER(SEARCH("Germany DR",S4540)),"DR Germany",
ISNUMBER(SEARCH("Korea DPR",S4540)),"North Korea",
ISNUMBER(SEARCH("China PR",S4540)),"China",
ISNUMBER(SEARCH("IR Iran",S4540)),"Iran",
ISNUMBER(SEARCH("Congo DR",S4540)),"Democratic Republic of the Congo",
ISNUMBER(SEARCH("DR Congo",S4540)),"Democratic Republic of the Congo",
ISNUMBER(SEARCH("German DR",S4540)),"DR Germany",
ISNUMBER(SEARCH("rn""&gt;United Arab Emirates",S4540)),"United Arab Emirates",
ISNUMBER(SEARCH("rn""&gt;Republic of Ireland",S4540)),"Ireland",
ISNUMBER(SEARCH("rn""&gt;Bosnia and Herzegovina",S4540)),"Bosnia and Herzegovina",
ISNUMBER(SEARCH("rn""&gt;Trinidad and Tobago",S4540)),"Trinidad and Tobago",
ISNUMBER(SEARCH("rn""&gt;Serbia and Montenegro",S4540)),"Serbia and Montenegro",
ISNUMBER(SEARCH(_xlfn.UNICHAR(65533),S4540)),"Côte d'Ivoire",
TRUE,"-"
)</f>
        <v>-</v>
      </c>
      <c r="W4540" s="42" t="str">
        <f t="shared" si="285"/>
        <v>-</v>
      </c>
    </row>
    <row r="4541" spans="19:23">
      <c r="S4541" s="42" t="str">
        <v/>
      </c>
      <c r="T4541" s="42" t="str">
        <f t="shared" si="283"/>
        <v>-</v>
      </c>
      <c r="U4541" s="40" t="str">
        <f t="shared" si="284"/>
        <v>-</v>
      </c>
      <c r="V4541" s="42" t="str" cm="1">
        <f t="array" ref="V4541">_xlfn.IFS(
LEFT(S4541,16)="win on penalties",IF(VALUE(MID(S4541,19,1))&gt;VALUE(MID(S4541,23,1)),DATA_CLEANED!AK55,DATA_CLEANED!AN55),
ISNUMBER(SEARCH("USA",S4541)),"United States",
ISNUMBER(SEARCH("Republic of Ireland",S4541)),"Ireland",
ISNUMBER(SEARCH("Republic of Korea",S4541)),"South Korea",
ISNUMBER(SEARCH("Cape Verde",S4541)),"Cabo Verde",
ISNUMBER(SEARCH("Czechia",S4541)),"Czech Republic",
ISNUMBER(SEARCH("Türkiye",S4541)),"Turkey",
ISNUMBER(SEARCH("Ivory Coast",S4541)),"Côte d'Ivoire",
ISNUMBER(SEARCH("Korea Republic",S4541)),"South Korea",
ISNUMBER(SEARCH("Germany FR",S4541)),"FR Germany",
ISNUMBER(SEARCH("West Germany",S4541)),"FR Germany",
ISNUMBER(SEARCH("Germany DR",S4541)),"DR Germany",
ISNUMBER(SEARCH("Korea DPR",S4541)),"North Korea",
ISNUMBER(SEARCH("China PR",S4541)),"China",
ISNUMBER(SEARCH("IR Iran",S4541)),"Iran",
ISNUMBER(SEARCH("Congo DR",S4541)),"Democratic Republic of the Congo",
ISNUMBER(SEARCH("DR Congo",S4541)),"Democratic Republic of the Congo",
ISNUMBER(SEARCH("German DR",S4541)),"DR Germany",
ISNUMBER(SEARCH("rn""&gt;United Arab Emirates",S4541)),"United Arab Emirates",
ISNUMBER(SEARCH("rn""&gt;Republic of Ireland",S4541)),"Ireland",
ISNUMBER(SEARCH("rn""&gt;Bosnia and Herzegovina",S4541)),"Bosnia and Herzegovina",
ISNUMBER(SEARCH("rn""&gt;Trinidad and Tobago",S4541)),"Trinidad and Tobago",
ISNUMBER(SEARCH("rn""&gt;Serbia and Montenegro",S4541)),"Serbia and Montenegro",
ISNUMBER(SEARCH(_xlfn.UNICHAR(65533),S4541)),"Côte d'Ivoire",
TRUE,"-"
)</f>
        <v>-</v>
      </c>
      <c r="W4541" s="42" t="str">
        <f t="shared" si="285"/>
        <v>-</v>
      </c>
    </row>
    <row r="4542" spans="19:23">
      <c r="S4542" s="42" t="str">
        <v/>
      </c>
      <c r="T4542" s="42" t="str">
        <f t="shared" si="283"/>
        <v>-</v>
      </c>
      <c r="U4542" s="40" t="str">
        <f t="shared" si="284"/>
        <v>-</v>
      </c>
      <c r="V4542" s="42" t="str" cm="1">
        <f t="array" ref="V4542">_xlfn.IFS(
LEFT(S4542,16)="win on penalties",IF(VALUE(MID(S4542,19,1))&gt;VALUE(MID(S4542,23,1)),DATA_CLEANED!AK56,DATA_CLEANED!AN56),
ISNUMBER(SEARCH("USA",S4542)),"United States",
ISNUMBER(SEARCH("Republic of Ireland",S4542)),"Ireland",
ISNUMBER(SEARCH("Republic of Korea",S4542)),"South Korea",
ISNUMBER(SEARCH("Cape Verde",S4542)),"Cabo Verde",
ISNUMBER(SEARCH("Czechia",S4542)),"Czech Republic",
ISNUMBER(SEARCH("Türkiye",S4542)),"Turkey",
ISNUMBER(SEARCH("Ivory Coast",S4542)),"Côte d'Ivoire",
ISNUMBER(SEARCH("Korea Republic",S4542)),"South Korea",
ISNUMBER(SEARCH("Germany FR",S4542)),"FR Germany",
ISNUMBER(SEARCH("West Germany",S4542)),"FR Germany",
ISNUMBER(SEARCH("Germany DR",S4542)),"DR Germany",
ISNUMBER(SEARCH("Korea DPR",S4542)),"North Korea",
ISNUMBER(SEARCH("China PR",S4542)),"China",
ISNUMBER(SEARCH("IR Iran",S4542)),"Iran",
ISNUMBER(SEARCH("Congo DR",S4542)),"Democratic Republic of the Congo",
ISNUMBER(SEARCH("DR Congo",S4542)),"Democratic Republic of the Congo",
ISNUMBER(SEARCH("German DR",S4542)),"DR Germany",
ISNUMBER(SEARCH("rn""&gt;United Arab Emirates",S4542)),"United Arab Emirates",
ISNUMBER(SEARCH("rn""&gt;Republic of Ireland",S4542)),"Ireland",
ISNUMBER(SEARCH("rn""&gt;Bosnia and Herzegovina",S4542)),"Bosnia and Herzegovina",
ISNUMBER(SEARCH("rn""&gt;Trinidad and Tobago",S4542)),"Trinidad and Tobago",
ISNUMBER(SEARCH("rn""&gt;Serbia and Montenegro",S4542)),"Serbia and Montenegro",
ISNUMBER(SEARCH(_xlfn.UNICHAR(65533),S4542)),"Côte d'Ivoire",
TRUE,"-"
)</f>
        <v>-</v>
      </c>
      <c r="W4542" s="42" t="str">
        <f t="shared" si="285"/>
        <v>-</v>
      </c>
    </row>
    <row r="4543" spans="19:23">
      <c r="S4543" s="42" t="str">
        <v/>
      </c>
      <c r="T4543" s="42" t="str">
        <f t="shared" si="283"/>
        <v>-</v>
      </c>
      <c r="U4543" s="40" t="str">
        <f t="shared" si="284"/>
        <v>-</v>
      </c>
      <c r="V4543" s="42" t="str" cm="1">
        <f t="array" ref="V4543">_xlfn.IFS(
LEFT(S4543,16)="win on penalties",IF(VALUE(MID(S4543,19,1))&gt;VALUE(MID(S4543,23,1)),DATA_CLEANED!AK57,DATA_CLEANED!AN57),
ISNUMBER(SEARCH("USA",S4543)),"United States",
ISNUMBER(SEARCH("Republic of Ireland",S4543)),"Ireland",
ISNUMBER(SEARCH("Republic of Korea",S4543)),"South Korea",
ISNUMBER(SEARCH("Cape Verde",S4543)),"Cabo Verde",
ISNUMBER(SEARCH("Czechia",S4543)),"Czech Republic",
ISNUMBER(SEARCH("Türkiye",S4543)),"Turkey",
ISNUMBER(SEARCH("Ivory Coast",S4543)),"Côte d'Ivoire",
ISNUMBER(SEARCH("Korea Republic",S4543)),"South Korea",
ISNUMBER(SEARCH("Germany FR",S4543)),"FR Germany",
ISNUMBER(SEARCH("West Germany",S4543)),"FR Germany",
ISNUMBER(SEARCH("Germany DR",S4543)),"DR Germany",
ISNUMBER(SEARCH("Korea DPR",S4543)),"North Korea",
ISNUMBER(SEARCH("China PR",S4543)),"China",
ISNUMBER(SEARCH("IR Iran",S4543)),"Iran",
ISNUMBER(SEARCH("Congo DR",S4543)),"Democratic Republic of the Congo",
ISNUMBER(SEARCH("DR Congo",S4543)),"Democratic Republic of the Congo",
ISNUMBER(SEARCH("German DR",S4543)),"DR Germany",
ISNUMBER(SEARCH("rn""&gt;United Arab Emirates",S4543)),"United Arab Emirates",
ISNUMBER(SEARCH("rn""&gt;Republic of Ireland",S4543)),"Ireland",
ISNUMBER(SEARCH("rn""&gt;Bosnia and Herzegovina",S4543)),"Bosnia and Herzegovina",
ISNUMBER(SEARCH("rn""&gt;Trinidad and Tobago",S4543)),"Trinidad and Tobago",
ISNUMBER(SEARCH("rn""&gt;Serbia and Montenegro",S4543)),"Serbia and Montenegro",
ISNUMBER(SEARCH(_xlfn.UNICHAR(65533),S4543)),"Côte d'Ivoire",
TRUE,"-"
)</f>
        <v>-</v>
      </c>
      <c r="W4543" s="42" t="str">
        <f t="shared" si="285"/>
        <v>-</v>
      </c>
    </row>
    <row r="4544" spans="19:23">
      <c r="S4544" s="42" t="str">
        <v/>
      </c>
      <c r="T4544" s="42" t="str">
        <f t="shared" si="283"/>
        <v>-</v>
      </c>
      <c r="U4544" s="40" t="str">
        <f t="shared" si="284"/>
        <v>-</v>
      </c>
      <c r="V4544" s="42" t="str" cm="1">
        <f t="array" ref="V4544">_xlfn.IFS(
LEFT(S4544,16)="win on penalties",IF(VALUE(MID(S4544,19,1))&gt;VALUE(MID(S4544,23,1)),DATA_CLEANED!AK58,DATA_CLEANED!AN58),
ISNUMBER(SEARCH("USA",S4544)),"United States",
ISNUMBER(SEARCH("Republic of Ireland",S4544)),"Ireland",
ISNUMBER(SEARCH("Republic of Korea",S4544)),"South Korea",
ISNUMBER(SEARCH("Cape Verde",S4544)),"Cabo Verde",
ISNUMBER(SEARCH("Czechia",S4544)),"Czech Republic",
ISNUMBER(SEARCH("Türkiye",S4544)),"Turkey",
ISNUMBER(SEARCH("Ivory Coast",S4544)),"Côte d'Ivoire",
ISNUMBER(SEARCH("Korea Republic",S4544)),"South Korea",
ISNUMBER(SEARCH("Germany FR",S4544)),"FR Germany",
ISNUMBER(SEARCH("West Germany",S4544)),"FR Germany",
ISNUMBER(SEARCH("Germany DR",S4544)),"DR Germany",
ISNUMBER(SEARCH("Korea DPR",S4544)),"North Korea",
ISNUMBER(SEARCH("China PR",S4544)),"China",
ISNUMBER(SEARCH("IR Iran",S4544)),"Iran",
ISNUMBER(SEARCH("Congo DR",S4544)),"Democratic Republic of the Congo",
ISNUMBER(SEARCH("DR Congo",S4544)),"Democratic Republic of the Congo",
ISNUMBER(SEARCH("German DR",S4544)),"DR Germany",
ISNUMBER(SEARCH("rn""&gt;United Arab Emirates",S4544)),"United Arab Emirates",
ISNUMBER(SEARCH("rn""&gt;Republic of Ireland",S4544)),"Ireland",
ISNUMBER(SEARCH("rn""&gt;Bosnia and Herzegovina",S4544)),"Bosnia and Herzegovina",
ISNUMBER(SEARCH("rn""&gt;Trinidad and Tobago",S4544)),"Trinidad and Tobago",
ISNUMBER(SEARCH("rn""&gt;Serbia and Montenegro",S4544)),"Serbia and Montenegro",
ISNUMBER(SEARCH(_xlfn.UNICHAR(65533),S4544)),"Côte d'Ivoire",
TRUE,"-"
)</f>
        <v>-</v>
      </c>
      <c r="W4544" s="42" t="str">
        <f t="shared" si="285"/>
        <v>-</v>
      </c>
    </row>
    <row r="4545" spans="19:23">
      <c r="S4545" s="42" t="str">
        <v/>
      </c>
      <c r="T4545" s="42" t="str">
        <f t="shared" si="283"/>
        <v>-</v>
      </c>
      <c r="U4545" s="40" t="str">
        <f t="shared" si="284"/>
        <v>-</v>
      </c>
      <c r="V4545" s="42" t="str" cm="1">
        <f t="array" ref="V4545">_xlfn.IFS(
LEFT(S4545,16)="win on penalties",IF(VALUE(MID(S4545,19,1))&gt;VALUE(MID(S4545,23,1)),DATA_CLEANED!AK59,DATA_CLEANED!AN59),
ISNUMBER(SEARCH("USA",S4545)),"United States",
ISNUMBER(SEARCH("Republic of Ireland",S4545)),"Ireland",
ISNUMBER(SEARCH("Republic of Korea",S4545)),"South Korea",
ISNUMBER(SEARCH("Cape Verde",S4545)),"Cabo Verde",
ISNUMBER(SEARCH("Czechia",S4545)),"Czech Republic",
ISNUMBER(SEARCH("Türkiye",S4545)),"Turkey",
ISNUMBER(SEARCH("Ivory Coast",S4545)),"Côte d'Ivoire",
ISNUMBER(SEARCH("Korea Republic",S4545)),"South Korea",
ISNUMBER(SEARCH("Germany FR",S4545)),"FR Germany",
ISNUMBER(SEARCH("West Germany",S4545)),"FR Germany",
ISNUMBER(SEARCH("Germany DR",S4545)),"DR Germany",
ISNUMBER(SEARCH("Korea DPR",S4545)),"North Korea",
ISNUMBER(SEARCH("China PR",S4545)),"China",
ISNUMBER(SEARCH("IR Iran",S4545)),"Iran",
ISNUMBER(SEARCH("Congo DR",S4545)),"Democratic Republic of the Congo",
ISNUMBER(SEARCH("DR Congo",S4545)),"Democratic Republic of the Congo",
ISNUMBER(SEARCH("German DR",S4545)),"DR Germany",
ISNUMBER(SEARCH("rn""&gt;United Arab Emirates",S4545)),"United Arab Emirates",
ISNUMBER(SEARCH("rn""&gt;Republic of Ireland",S4545)),"Ireland",
ISNUMBER(SEARCH("rn""&gt;Bosnia and Herzegovina",S4545)),"Bosnia and Herzegovina",
ISNUMBER(SEARCH("rn""&gt;Trinidad and Tobago",S4545)),"Trinidad and Tobago",
ISNUMBER(SEARCH("rn""&gt;Serbia and Montenegro",S4545)),"Serbia and Montenegro",
ISNUMBER(SEARCH(_xlfn.UNICHAR(65533),S4545)),"Côte d'Ivoire",
TRUE,"-"
)</f>
        <v>-</v>
      </c>
      <c r="W4545" s="42" t="str">
        <f t="shared" si="285"/>
        <v>-</v>
      </c>
    </row>
    <row r="4546" spans="19:23">
      <c r="S4546" s="42" t="str">
        <v/>
      </c>
      <c r="T4546" s="42" t="str">
        <f t="shared" si="283"/>
        <v>-</v>
      </c>
      <c r="U4546" s="40" t="str">
        <f t="shared" si="284"/>
        <v>-</v>
      </c>
      <c r="V4546" s="42" t="str" cm="1">
        <f t="array" ref="V4546">_xlfn.IFS(
LEFT(S4546,16)="win on penalties",IF(VALUE(MID(S4546,19,1))&gt;VALUE(MID(S4546,23,1)),DATA_CLEANED!AK60,DATA_CLEANED!AN60),
ISNUMBER(SEARCH("USA",S4546)),"United States",
ISNUMBER(SEARCH("Republic of Ireland",S4546)),"Ireland",
ISNUMBER(SEARCH("Republic of Korea",S4546)),"South Korea",
ISNUMBER(SEARCH("Cape Verde",S4546)),"Cabo Verde",
ISNUMBER(SEARCH("Czechia",S4546)),"Czech Republic",
ISNUMBER(SEARCH("Türkiye",S4546)),"Turkey",
ISNUMBER(SEARCH("Ivory Coast",S4546)),"Côte d'Ivoire",
ISNUMBER(SEARCH("Korea Republic",S4546)),"South Korea",
ISNUMBER(SEARCH("Germany FR",S4546)),"FR Germany",
ISNUMBER(SEARCH("West Germany",S4546)),"FR Germany",
ISNUMBER(SEARCH("Germany DR",S4546)),"DR Germany",
ISNUMBER(SEARCH("Korea DPR",S4546)),"North Korea",
ISNUMBER(SEARCH("China PR",S4546)),"China",
ISNUMBER(SEARCH("IR Iran",S4546)),"Iran",
ISNUMBER(SEARCH("Congo DR",S4546)),"Democratic Republic of the Congo",
ISNUMBER(SEARCH("DR Congo",S4546)),"Democratic Republic of the Congo",
ISNUMBER(SEARCH("German DR",S4546)),"DR Germany",
ISNUMBER(SEARCH("rn""&gt;United Arab Emirates",S4546)),"United Arab Emirates",
ISNUMBER(SEARCH("rn""&gt;Republic of Ireland",S4546)),"Ireland",
ISNUMBER(SEARCH("rn""&gt;Bosnia and Herzegovina",S4546)),"Bosnia and Herzegovina",
ISNUMBER(SEARCH("rn""&gt;Trinidad and Tobago",S4546)),"Trinidad and Tobago",
ISNUMBER(SEARCH("rn""&gt;Serbia and Montenegro",S4546)),"Serbia and Montenegro",
ISNUMBER(SEARCH(_xlfn.UNICHAR(65533),S4546)),"Côte d'Ivoire",
TRUE,"-"
)</f>
        <v>-</v>
      </c>
      <c r="W4546" s="42" t="str">
        <f t="shared" si="285"/>
        <v>-</v>
      </c>
    </row>
    <row r="4547" spans="19:23">
      <c r="S4547" s="42" t="str">
        <v/>
      </c>
      <c r="T4547" s="42" t="str">
        <f t="shared" si="283"/>
        <v>-</v>
      </c>
      <c r="U4547" s="40" t="str">
        <f t="shared" si="284"/>
        <v>-</v>
      </c>
      <c r="V4547" s="42" t="str" cm="1">
        <f t="array" ref="V4547">_xlfn.IFS(
LEFT(S4547,16)="win on penalties",IF(VALUE(MID(S4547,19,1))&gt;VALUE(MID(S4547,23,1)),DATA_CLEANED!AK61,DATA_CLEANED!AN61),
ISNUMBER(SEARCH("USA",S4547)),"United States",
ISNUMBER(SEARCH("Republic of Ireland",S4547)),"Ireland",
ISNUMBER(SEARCH("Republic of Korea",S4547)),"South Korea",
ISNUMBER(SEARCH("Cape Verde",S4547)),"Cabo Verde",
ISNUMBER(SEARCH("Czechia",S4547)),"Czech Republic",
ISNUMBER(SEARCH("Türkiye",S4547)),"Turkey",
ISNUMBER(SEARCH("Ivory Coast",S4547)),"Côte d'Ivoire",
ISNUMBER(SEARCH("Korea Republic",S4547)),"South Korea",
ISNUMBER(SEARCH("Germany FR",S4547)),"FR Germany",
ISNUMBER(SEARCH("West Germany",S4547)),"FR Germany",
ISNUMBER(SEARCH("Germany DR",S4547)),"DR Germany",
ISNUMBER(SEARCH("Korea DPR",S4547)),"North Korea",
ISNUMBER(SEARCH("China PR",S4547)),"China",
ISNUMBER(SEARCH("IR Iran",S4547)),"Iran",
ISNUMBER(SEARCH("Congo DR",S4547)),"Democratic Republic of the Congo",
ISNUMBER(SEARCH("DR Congo",S4547)),"Democratic Republic of the Congo",
ISNUMBER(SEARCH("German DR",S4547)),"DR Germany",
ISNUMBER(SEARCH("rn""&gt;United Arab Emirates",S4547)),"United Arab Emirates",
ISNUMBER(SEARCH("rn""&gt;Republic of Ireland",S4547)),"Ireland",
ISNUMBER(SEARCH("rn""&gt;Bosnia and Herzegovina",S4547)),"Bosnia and Herzegovina",
ISNUMBER(SEARCH("rn""&gt;Trinidad and Tobago",S4547)),"Trinidad and Tobago",
ISNUMBER(SEARCH("rn""&gt;Serbia and Montenegro",S4547)),"Serbia and Montenegro",
ISNUMBER(SEARCH(_xlfn.UNICHAR(65533),S4547)),"Côte d'Ivoire",
TRUE,"-"
)</f>
        <v>-</v>
      </c>
      <c r="W4547" s="42" t="str">
        <f t="shared" si="285"/>
        <v>-</v>
      </c>
    </row>
    <row r="4548" spans="19:23">
      <c r="S4548" s="42" t="str">
        <v/>
      </c>
      <c r="T4548" s="42" t="str">
        <f t="shared" si="283"/>
        <v>-</v>
      </c>
      <c r="U4548" s="40" t="str">
        <f t="shared" si="284"/>
        <v>-</v>
      </c>
      <c r="V4548" s="42" t="str" cm="1">
        <f t="array" ref="V4548">_xlfn.IFS(
LEFT(S4548,16)="win on penalties",IF(VALUE(MID(S4548,19,1))&gt;VALUE(MID(S4548,23,1)),DATA_CLEANED!AK62,DATA_CLEANED!AN62),
ISNUMBER(SEARCH("USA",S4548)),"United States",
ISNUMBER(SEARCH("Republic of Ireland",S4548)),"Ireland",
ISNUMBER(SEARCH("Republic of Korea",S4548)),"South Korea",
ISNUMBER(SEARCH("Cape Verde",S4548)),"Cabo Verde",
ISNUMBER(SEARCH("Czechia",S4548)),"Czech Republic",
ISNUMBER(SEARCH("Türkiye",S4548)),"Turkey",
ISNUMBER(SEARCH("Ivory Coast",S4548)),"Côte d'Ivoire",
ISNUMBER(SEARCH("Korea Republic",S4548)),"South Korea",
ISNUMBER(SEARCH("Germany FR",S4548)),"FR Germany",
ISNUMBER(SEARCH("West Germany",S4548)),"FR Germany",
ISNUMBER(SEARCH("Germany DR",S4548)),"DR Germany",
ISNUMBER(SEARCH("Korea DPR",S4548)),"North Korea",
ISNUMBER(SEARCH("China PR",S4548)),"China",
ISNUMBER(SEARCH("IR Iran",S4548)),"Iran",
ISNUMBER(SEARCH("Congo DR",S4548)),"Democratic Republic of the Congo",
ISNUMBER(SEARCH("DR Congo",S4548)),"Democratic Republic of the Congo",
ISNUMBER(SEARCH("German DR",S4548)),"DR Germany",
ISNUMBER(SEARCH("rn""&gt;United Arab Emirates",S4548)),"United Arab Emirates",
ISNUMBER(SEARCH("rn""&gt;Republic of Ireland",S4548)),"Ireland",
ISNUMBER(SEARCH("rn""&gt;Bosnia and Herzegovina",S4548)),"Bosnia and Herzegovina",
ISNUMBER(SEARCH("rn""&gt;Trinidad and Tobago",S4548)),"Trinidad and Tobago",
ISNUMBER(SEARCH("rn""&gt;Serbia and Montenegro",S4548)),"Serbia and Montenegro",
ISNUMBER(SEARCH(_xlfn.UNICHAR(65533),S4548)),"Côte d'Ivoire",
TRUE,"-"
)</f>
        <v>-</v>
      </c>
      <c r="W4548" s="42" t="str">
        <f t="shared" si="285"/>
        <v>-</v>
      </c>
    </row>
    <row r="4549" spans="19:23">
      <c r="S4549" s="42" t="str">
        <v/>
      </c>
      <c r="T4549" s="42" t="str">
        <f t="shared" si="283"/>
        <v>-</v>
      </c>
      <c r="U4549" s="40" t="str">
        <f t="shared" si="284"/>
        <v>-</v>
      </c>
      <c r="V4549" s="42" t="str" cm="1">
        <f t="array" ref="V4549">_xlfn.IFS(
LEFT(S4549,16)="win on penalties",IF(VALUE(MID(S4549,19,1))&gt;VALUE(MID(S4549,23,1)),DATA_CLEANED!AK63,DATA_CLEANED!AN63),
ISNUMBER(SEARCH("USA",S4549)),"United States",
ISNUMBER(SEARCH("Republic of Ireland",S4549)),"Ireland",
ISNUMBER(SEARCH("Republic of Korea",S4549)),"South Korea",
ISNUMBER(SEARCH("Cape Verde",S4549)),"Cabo Verde",
ISNUMBER(SEARCH("Czechia",S4549)),"Czech Republic",
ISNUMBER(SEARCH("Türkiye",S4549)),"Turkey",
ISNUMBER(SEARCH("Ivory Coast",S4549)),"Côte d'Ivoire",
ISNUMBER(SEARCH("Korea Republic",S4549)),"South Korea",
ISNUMBER(SEARCH("Germany FR",S4549)),"FR Germany",
ISNUMBER(SEARCH("West Germany",S4549)),"FR Germany",
ISNUMBER(SEARCH("Germany DR",S4549)),"DR Germany",
ISNUMBER(SEARCH("Korea DPR",S4549)),"North Korea",
ISNUMBER(SEARCH("China PR",S4549)),"China",
ISNUMBER(SEARCH("IR Iran",S4549)),"Iran",
ISNUMBER(SEARCH("Congo DR",S4549)),"Democratic Republic of the Congo",
ISNUMBER(SEARCH("DR Congo",S4549)),"Democratic Republic of the Congo",
ISNUMBER(SEARCH("German DR",S4549)),"DR Germany",
ISNUMBER(SEARCH("rn""&gt;United Arab Emirates",S4549)),"United Arab Emirates",
ISNUMBER(SEARCH("rn""&gt;Republic of Ireland",S4549)),"Ireland",
ISNUMBER(SEARCH("rn""&gt;Bosnia and Herzegovina",S4549)),"Bosnia and Herzegovina",
ISNUMBER(SEARCH("rn""&gt;Trinidad and Tobago",S4549)),"Trinidad and Tobago",
ISNUMBER(SEARCH("rn""&gt;Serbia and Montenegro",S4549)),"Serbia and Montenegro",
ISNUMBER(SEARCH(_xlfn.UNICHAR(65533),S4549)),"Côte d'Ivoire",
TRUE,"-"
)</f>
        <v>-</v>
      </c>
      <c r="W4549" s="42" t="str">
        <f t="shared" si="285"/>
        <v>-</v>
      </c>
    </row>
    <row r="4550" spans="19:23">
      <c r="S4550" s="42" t="str">
        <v/>
      </c>
      <c r="T4550" s="42" t="str">
        <f t="shared" si="283"/>
        <v>-</v>
      </c>
      <c r="U4550" s="40" t="str">
        <f t="shared" si="284"/>
        <v>-</v>
      </c>
      <c r="V4550" s="42" t="str" cm="1">
        <f t="array" ref="V4550">_xlfn.IFS(
LEFT(S4550,16)="win on penalties",IF(VALUE(MID(S4550,19,1))&gt;VALUE(MID(S4550,23,1)),DATA_CLEANED!AK64,DATA_CLEANED!AN64),
ISNUMBER(SEARCH("USA",S4550)),"United States",
ISNUMBER(SEARCH("Republic of Ireland",S4550)),"Ireland",
ISNUMBER(SEARCH("Republic of Korea",S4550)),"South Korea",
ISNUMBER(SEARCH("Cape Verde",S4550)),"Cabo Verde",
ISNUMBER(SEARCH("Czechia",S4550)),"Czech Republic",
ISNUMBER(SEARCH("Türkiye",S4550)),"Turkey",
ISNUMBER(SEARCH("Ivory Coast",S4550)),"Côte d'Ivoire",
ISNUMBER(SEARCH("Korea Republic",S4550)),"South Korea",
ISNUMBER(SEARCH("Germany FR",S4550)),"FR Germany",
ISNUMBER(SEARCH("West Germany",S4550)),"FR Germany",
ISNUMBER(SEARCH("Germany DR",S4550)),"DR Germany",
ISNUMBER(SEARCH("Korea DPR",S4550)),"North Korea",
ISNUMBER(SEARCH("China PR",S4550)),"China",
ISNUMBER(SEARCH("IR Iran",S4550)),"Iran",
ISNUMBER(SEARCH("Congo DR",S4550)),"Democratic Republic of the Congo",
ISNUMBER(SEARCH("DR Congo",S4550)),"Democratic Republic of the Congo",
ISNUMBER(SEARCH("German DR",S4550)),"DR Germany",
ISNUMBER(SEARCH("rn""&gt;United Arab Emirates",S4550)),"United Arab Emirates",
ISNUMBER(SEARCH("rn""&gt;Republic of Ireland",S4550)),"Ireland",
ISNUMBER(SEARCH("rn""&gt;Bosnia and Herzegovina",S4550)),"Bosnia and Herzegovina",
ISNUMBER(SEARCH("rn""&gt;Trinidad and Tobago",S4550)),"Trinidad and Tobago",
ISNUMBER(SEARCH("rn""&gt;Serbia and Montenegro",S4550)),"Serbia and Montenegro",
ISNUMBER(SEARCH(_xlfn.UNICHAR(65533),S4550)),"Côte d'Ivoire",
TRUE,"-"
)</f>
        <v>-</v>
      </c>
      <c r="W4550" s="42" t="str">
        <f t="shared" si="285"/>
        <v>-</v>
      </c>
    </row>
    <row r="4551" spans="19:23">
      <c r="S4551" s="42" t="str">
        <v/>
      </c>
      <c r="T4551" s="42" t="str">
        <f t="shared" si="283"/>
        <v>-</v>
      </c>
      <c r="U4551" s="40" t="str">
        <f t="shared" si="284"/>
        <v>-</v>
      </c>
      <c r="V4551" s="42" t="str" cm="1">
        <f t="array" ref="V4551">_xlfn.IFS(
LEFT(S4551,16)="win on penalties",IF(VALUE(MID(S4551,19,1))&gt;VALUE(MID(S4551,23,1)),DATA_CLEANED!AK65,DATA_CLEANED!AN65),
ISNUMBER(SEARCH("USA",S4551)),"United States",
ISNUMBER(SEARCH("Republic of Ireland",S4551)),"Ireland",
ISNUMBER(SEARCH("Republic of Korea",S4551)),"South Korea",
ISNUMBER(SEARCH("Cape Verde",S4551)),"Cabo Verde",
ISNUMBER(SEARCH("Czechia",S4551)),"Czech Republic",
ISNUMBER(SEARCH("Türkiye",S4551)),"Turkey",
ISNUMBER(SEARCH("Ivory Coast",S4551)),"Côte d'Ivoire",
ISNUMBER(SEARCH("Korea Republic",S4551)),"South Korea",
ISNUMBER(SEARCH("Germany FR",S4551)),"FR Germany",
ISNUMBER(SEARCH("West Germany",S4551)),"FR Germany",
ISNUMBER(SEARCH("Germany DR",S4551)),"DR Germany",
ISNUMBER(SEARCH("Korea DPR",S4551)),"North Korea",
ISNUMBER(SEARCH("China PR",S4551)),"China",
ISNUMBER(SEARCH("IR Iran",S4551)),"Iran",
ISNUMBER(SEARCH("Congo DR",S4551)),"Democratic Republic of the Congo",
ISNUMBER(SEARCH("DR Congo",S4551)),"Democratic Republic of the Congo",
ISNUMBER(SEARCH("German DR",S4551)),"DR Germany",
ISNUMBER(SEARCH("rn""&gt;United Arab Emirates",S4551)),"United Arab Emirates",
ISNUMBER(SEARCH("rn""&gt;Republic of Ireland",S4551)),"Ireland",
ISNUMBER(SEARCH("rn""&gt;Bosnia and Herzegovina",S4551)),"Bosnia and Herzegovina",
ISNUMBER(SEARCH("rn""&gt;Trinidad and Tobago",S4551)),"Trinidad and Tobago",
ISNUMBER(SEARCH("rn""&gt;Serbia and Montenegro",S4551)),"Serbia and Montenegro",
ISNUMBER(SEARCH(_xlfn.UNICHAR(65533),S4551)),"Côte d'Ivoire",
TRUE,"-"
)</f>
        <v>-</v>
      </c>
      <c r="W4551" s="42" t="str">
        <f t="shared" si="285"/>
        <v>-</v>
      </c>
    </row>
    <row r="4552" spans="19:23">
      <c r="S4552" s="42" t="str">
        <v/>
      </c>
      <c r="T4552" s="42" t="str">
        <f t="shared" si="283"/>
        <v>-</v>
      </c>
      <c r="U4552" s="40" t="str">
        <f t="shared" si="284"/>
        <v>-</v>
      </c>
      <c r="V4552" s="42" t="str" cm="1">
        <f t="array" ref="V4552">_xlfn.IFS(
LEFT(S4552,16)="win on penalties",IF(VALUE(MID(S4552,19,1))&gt;VALUE(MID(S4552,23,1)),DATA_CLEANED!AK66,DATA_CLEANED!AN66),
ISNUMBER(SEARCH("USA",S4552)),"United States",
ISNUMBER(SEARCH("Republic of Ireland",S4552)),"Ireland",
ISNUMBER(SEARCH("Republic of Korea",S4552)),"South Korea",
ISNUMBER(SEARCH("Cape Verde",S4552)),"Cabo Verde",
ISNUMBER(SEARCH("Czechia",S4552)),"Czech Republic",
ISNUMBER(SEARCH("Türkiye",S4552)),"Turkey",
ISNUMBER(SEARCH("Ivory Coast",S4552)),"Côte d'Ivoire",
ISNUMBER(SEARCH("Korea Republic",S4552)),"South Korea",
ISNUMBER(SEARCH("Germany FR",S4552)),"FR Germany",
ISNUMBER(SEARCH("West Germany",S4552)),"FR Germany",
ISNUMBER(SEARCH("Germany DR",S4552)),"DR Germany",
ISNUMBER(SEARCH("Korea DPR",S4552)),"North Korea",
ISNUMBER(SEARCH("China PR",S4552)),"China",
ISNUMBER(SEARCH("IR Iran",S4552)),"Iran",
ISNUMBER(SEARCH("Congo DR",S4552)),"Democratic Republic of the Congo",
ISNUMBER(SEARCH("DR Congo",S4552)),"Democratic Republic of the Congo",
ISNUMBER(SEARCH("German DR",S4552)),"DR Germany",
ISNUMBER(SEARCH("rn""&gt;United Arab Emirates",S4552)),"United Arab Emirates",
ISNUMBER(SEARCH("rn""&gt;Republic of Ireland",S4552)),"Ireland",
ISNUMBER(SEARCH("rn""&gt;Bosnia and Herzegovina",S4552)),"Bosnia and Herzegovina",
ISNUMBER(SEARCH("rn""&gt;Trinidad and Tobago",S4552)),"Trinidad and Tobago",
ISNUMBER(SEARCH("rn""&gt;Serbia and Montenegro",S4552)),"Serbia and Montenegro",
ISNUMBER(SEARCH(_xlfn.UNICHAR(65533),S4552)),"Côte d'Ivoire",
TRUE,"-"
)</f>
        <v>-</v>
      </c>
      <c r="W4552" s="42" t="str">
        <f t="shared" si="285"/>
        <v>-</v>
      </c>
    </row>
    <row r="4553" spans="19:23">
      <c r="S4553" s="42" t="str">
        <v/>
      </c>
      <c r="T4553" s="42" t="str">
        <f t="shared" si="283"/>
        <v>-</v>
      </c>
      <c r="U4553" s="40" t="str">
        <f t="shared" si="284"/>
        <v>-</v>
      </c>
      <c r="V4553" s="42" t="str" cm="1">
        <f t="array" ref="V4553">_xlfn.IFS(
LEFT(S4553,16)="win on penalties",IF(VALUE(MID(S4553,19,1))&gt;VALUE(MID(S4553,23,1)),DATA_CLEANED!AK67,DATA_CLEANED!AN67),
ISNUMBER(SEARCH("USA",S4553)),"United States",
ISNUMBER(SEARCH("Republic of Ireland",S4553)),"Ireland",
ISNUMBER(SEARCH("Republic of Korea",S4553)),"South Korea",
ISNUMBER(SEARCH("Cape Verde",S4553)),"Cabo Verde",
ISNUMBER(SEARCH("Czechia",S4553)),"Czech Republic",
ISNUMBER(SEARCH("Türkiye",S4553)),"Turkey",
ISNUMBER(SEARCH("Ivory Coast",S4553)),"Côte d'Ivoire",
ISNUMBER(SEARCH("Korea Republic",S4553)),"South Korea",
ISNUMBER(SEARCH("Germany FR",S4553)),"FR Germany",
ISNUMBER(SEARCH("West Germany",S4553)),"FR Germany",
ISNUMBER(SEARCH("Germany DR",S4553)),"DR Germany",
ISNUMBER(SEARCH("Korea DPR",S4553)),"North Korea",
ISNUMBER(SEARCH("China PR",S4553)),"China",
ISNUMBER(SEARCH("IR Iran",S4553)),"Iran",
ISNUMBER(SEARCH("Congo DR",S4553)),"Democratic Republic of the Congo",
ISNUMBER(SEARCH("DR Congo",S4553)),"Democratic Republic of the Congo",
ISNUMBER(SEARCH("German DR",S4553)),"DR Germany",
ISNUMBER(SEARCH("rn""&gt;United Arab Emirates",S4553)),"United Arab Emirates",
ISNUMBER(SEARCH("rn""&gt;Republic of Ireland",S4553)),"Ireland",
ISNUMBER(SEARCH("rn""&gt;Bosnia and Herzegovina",S4553)),"Bosnia and Herzegovina",
ISNUMBER(SEARCH("rn""&gt;Trinidad and Tobago",S4553)),"Trinidad and Tobago",
ISNUMBER(SEARCH("rn""&gt;Serbia and Montenegro",S4553)),"Serbia and Montenegro",
ISNUMBER(SEARCH(_xlfn.UNICHAR(65533),S4553)),"Côte d'Ivoire",
TRUE,"-"
)</f>
        <v>-</v>
      </c>
      <c r="W4553" s="42" t="str">
        <f t="shared" si="285"/>
        <v>-</v>
      </c>
    </row>
    <row r="4554" spans="19:23">
      <c r="S4554" s="42" t="str">
        <v/>
      </c>
      <c r="T4554" s="42" t="str">
        <f t="shared" ref="T4554:T4617" si="286">IF(S4554="","-",IFERROR(LEFT(S4554,SEARCH(" win",S4554)-1),"-"))</f>
        <v>-</v>
      </c>
      <c r="U4554" s="40" t="str">
        <f t="shared" ref="U4554:U4617" si="287">IF(T4554="-","-",IF(COUNTIF(_xlfn.ANCHORARRAY(X$13),T4554)=1,"AUCUNE","RENOMMER"))</f>
        <v>-</v>
      </c>
      <c r="V4554" s="42" t="str" cm="1">
        <f t="array" ref="V4554">_xlfn.IFS(
LEFT(S4554,16)="win on penalties",IF(VALUE(MID(S4554,19,1))&gt;VALUE(MID(S4554,23,1)),DATA_CLEANED!AK68,DATA_CLEANED!AN68),
ISNUMBER(SEARCH("USA",S4554)),"United States",
ISNUMBER(SEARCH("Republic of Ireland",S4554)),"Ireland",
ISNUMBER(SEARCH("Republic of Korea",S4554)),"South Korea",
ISNUMBER(SEARCH("Cape Verde",S4554)),"Cabo Verde",
ISNUMBER(SEARCH("Czechia",S4554)),"Czech Republic",
ISNUMBER(SEARCH("Türkiye",S4554)),"Turkey",
ISNUMBER(SEARCH("Ivory Coast",S4554)),"Côte d'Ivoire",
ISNUMBER(SEARCH("Korea Republic",S4554)),"South Korea",
ISNUMBER(SEARCH("Germany FR",S4554)),"FR Germany",
ISNUMBER(SEARCH("West Germany",S4554)),"FR Germany",
ISNUMBER(SEARCH("Germany DR",S4554)),"DR Germany",
ISNUMBER(SEARCH("Korea DPR",S4554)),"North Korea",
ISNUMBER(SEARCH("China PR",S4554)),"China",
ISNUMBER(SEARCH("IR Iran",S4554)),"Iran",
ISNUMBER(SEARCH("Congo DR",S4554)),"Democratic Republic of the Congo",
ISNUMBER(SEARCH("DR Congo",S4554)),"Democratic Republic of the Congo",
ISNUMBER(SEARCH("German DR",S4554)),"DR Germany",
ISNUMBER(SEARCH("rn""&gt;United Arab Emirates",S4554)),"United Arab Emirates",
ISNUMBER(SEARCH("rn""&gt;Republic of Ireland",S4554)),"Ireland",
ISNUMBER(SEARCH("rn""&gt;Bosnia and Herzegovina",S4554)),"Bosnia and Herzegovina",
ISNUMBER(SEARCH("rn""&gt;Trinidad and Tobago",S4554)),"Trinidad and Tobago",
ISNUMBER(SEARCH("rn""&gt;Serbia and Montenegro",S4554)),"Serbia and Montenegro",
ISNUMBER(SEARCH(_xlfn.UNICHAR(65533),S4554)),"Côte d'Ivoire",
TRUE,"-"
)</f>
        <v>-</v>
      </c>
      <c r="W4554" s="42" t="str">
        <f t="shared" ref="W4554:W4617" si="288">IF(S4554="","-",IF(AND(U4554="RENOMMER",T4554&lt;&gt;"-",V4554&lt;&gt;"-"),SUBSTITUTE(S4554,T4554,V4554),S4554))</f>
        <v>-</v>
      </c>
    </row>
    <row r="4555" spans="19:23">
      <c r="S4555" s="42" t="str">
        <v/>
      </c>
      <c r="T4555" s="42" t="str">
        <f t="shared" si="286"/>
        <v>-</v>
      </c>
      <c r="U4555" s="40" t="str">
        <f t="shared" si="287"/>
        <v>-</v>
      </c>
      <c r="V4555" s="42" t="str" cm="1">
        <f t="array" ref="V4555">_xlfn.IFS(
LEFT(S4555,16)="win on penalties",IF(VALUE(MID(S4555,19,1))&gt;VALUE(MID(S4555,23,1)),DATA_CLEANED!AK69,DATA_CLEANED!AN69),
ISNUMBER(SEARCH("USA",S4555)),"United States",
ISNUMBER(SEARCH("Republic of Ireland",S4555)),"Ireland",
ISNUMBER(SEARCH("Republic of Korea",S4555)),"South Korea",
ISNUMBER(SEARCH("Cape Verde",S4555)),"Cabo Verde",
ISNUMBER(SEARCH("Czechia",S4555)),"Czech Republic",
ISNUMBER(SEARCH("Türkiye",S4555)),"Turkey",
ISNUMBER(SEARCH("Ivory Coast",S4555)),"Côte d'Ivoire",
ISNUMBER(SEARCH("Korea Republic",S4555)),"South Korea",
ISNUMBER(SEARCH("Germany FR",S4555)),"FR Germany",
ISNUMBER(SEARCH("West Germany",S4555)),"FR Germany",
ISNUMBER(SEARCH("Germany DR",S4555)),"DR Germany",
ISNUMBER(SEARCH("Korea DPR",S4555)),"North Korea",
ISNUMBER(SEARCH("China PR",S4555)),"China",
ISNUMBER(SEARCH("IR Iran",S4555)),"Iran",
ISNUMBER(SEARCH("Congo DR",S4555)),"Democratic Republic of the Congo",
ISNUMBER(SEARCH("DR Congo",S4555)),"Democratic Republic of the Congo",
ISNUMBER(SEARCH("German DR",S4555)),"DR Germany",
ISNUMBER(SEARCH("rn""&gt;United Arab Emirates",S4555)),"United Arab Emirates",
ISNUMBER(SEARCH("rn""&gt;Republic of Ireland",S4555)),"Ireland",
ISNUMBER(SEARCH("rn""&gt;Bosnia and Herzegovina",S4555)),"Bosnia and Herzegovina",
ISNUMBER(SEARCH("rn""&gt;Trinidad and Tobago",S4555)),"Trinidad and Tobago",
ISNUMBER(SEARCH("rn""&gt;Serbia and Montenegro",S4555)),"Serbia and Montenegro",
ISNUMBER(SEARCH(_xlfn.UNICHAR(65533),S4555)),"Côte d'Ivoire",
TRUE,"-"
)</f>
        <v>-</v>
      </c>
      <c r="W4555" s="42" t="str">
        <f t="shared" si="288"/>
        <v>-</v>
      </c>
    </row>
    <row r="4556" spans="19:23">
      <c r="S4556" s="42" t="str">
        <v/>
      </c>
      <c r="T4556" s="42" t="str">
        <f t="shared" si="286"/>
        <v>-</v>
      </c>
      <c r="U4556" s="40" t="str">
        <f t="shared" si="287"/>
        <v>-</v>
      </c>
      <c r="V4556" s="42" t="str" cm="1">
        <f t="array" ref="V4556">_xlfn.IFS(
LEFT(S4556,16)="win on penalties",IF(VALUE(MID(S4556,19,1))&gt;VALUE(MID(S4556,23,1)),DATA_CLEANED!AK70,DATA_CLEANED!AN70),
ISNUMBER(SEARCH("USA",S4556)),"United States",
ISNUMBER(SEARCH("Republic of Ireland",S4556)),"Ireland",
ISNUMBER(SEARCH("Republic of Korea",S4556)),"South Korea",
ISNUMBER(SEARCH("Cape Verde",S4556)),"Cabo Verde",
ISNUMBER(SEARCH("Czechia",S4556)),"Czech Republic",
ISNUMBER(SEARCH("Türkiye",S4556)),"Turkey",
ISNUMBER(SEARCH("Ivory Coast",S4556)),"Côte d'Ivoire",
ISNUMBER(SEARCH("Korea Republic",S4556)),"South Korea",
ISNUMBER(SEARCH("Germany FR",S4556)),"FR Germany",
ISNUMBER(SEARCH("West Germany",S4556)),"FR Germany",
ISNUMBER(SEARCH("Germany DR",S4556)),"DR Germany",
ISNUMBER(SEARCH("Korea DPR",S4556)),"North Korea",
ISNUMBER(SEARCH("China PR",S4556)),"China",
ISNUMBER(SEARCH("IR Iran",S4556)),"Iran",
ISNUMBER(SEARCH("Congo DR",S4556)),"Democratic Republic of the Congo",
ISNUMBER(SEARCH("DR Congo",S4556)),"Democratic Republic of the Congo",
ISNUMBER(SEARCH("German DR",S4556)),"DR Germany",
ISNUMBER(SEARCH("rn""&gt;United Arab Emirates",S4556)),"United Arab Emirates",
ISNUMBER(SEARCH("rn""&gt;Republic of Ireland",S4556)),"Ireland",
ISNUMBER(SEARCH("rn""&gt;Bosnia and Herzegovina",S4556)),"Bosnia and Herzegovina",
ISNUMBER(SEARCH("rn""&gt;Trinidad and Tobago",S4556)),"Trinidad and Tobago",
ISNUMBER(SEARCH("rn""&gt;Serbia and Montenegro",S4556)),"Serbia and Montenegro",
ISNUMBER(SEARCH(_xlfn.UNICHAR(65533),S4556)),"Côte d'Ivoire",
TRUE,"-"
)</f>
        <v>-</v>
      </c>
      <c r="W4556" s="42" t="str">
        <f t="shared" si="288"/>
        <v>-</v>
      </c>
    </row>
    <row r="4557" spans="19:23">
      <c r="S4557" s="42" t="str">
        <v/>
      </c>
      <c r="T4557" s="42" t="str">
        <f t="shared" si="286"/>
        <v>-</v>
      </c>
      <c r="U4557" s="40" t="str">
        <f t="shared" si="287"/>
        <v>-</v>
      </c>
      <c r="V4557" s="42" t="str" cm="1">
        <f t="array" ref="V4557">_xlfn.IFS(
LEFT(S4557,16)="win on penalties",IF(VALUE(MID(S4557,19,1))&gt;VALUE(MID(S4557,23,1)),DATA_CLEANED!AK71,DATA_CLEANED!AN71),
ISNUMBER(SEARCH("USA",S4557)),"United States",
ISNUMBER(SEARCH("Republic of Ireland",S4557)),"Ireland",
ISNUMBER(SEARCH("Republic of Korea",S4557)),"South Korea",
ISNUMBER(SEARCH("Cape Verde",S4557)),"Cabo Verde",
ISNUMBER(SEARCH("Czechia",S4557)),"Czech Republic",
ISNUMBER(SEARCH("Türkiye",S4557)),"Turkey",
ISNUMBER(SEARCH("Ivory Coast",S4557)),"Côte d'Ivoire",
ISNUMBER(SEARCH("Korea Republic",S4557)),"South Korea",
ISNUMBER(SEARCH("Germany FR",S4557)),"FR Germany",
ISNUMBER(SEARCH("West Germany",S4557)),"FR Germany",
ISNUMBER(SEARCH("Germany DR",S4557)),"DR Germany",
ISNUMBER(SEARCH("Korea DPR",S4557)),"North Korea",
ISNUMBER(SEARCH("China PR",S4557)),"China",
ISNUMBER(SEARCH("IR Iran",S4557)),"Iran",
ISNUMBER(SEARCH("Congo DR",S4557)),"Democratic Republic of the Congo",
ISNUMBER(SEARCH("DR Congo",S4557)),"Democratic Republic of the Congo",
ISNUMBER(SEARCH("German DR",S4557)),"DR Germany",
ISNUMBER(SEARCH("rn""&gt;United Arab Emirates",S4557)),"United Arab Emirates",
ISNUMBER(SEARCH("rn""&gt;Republic of Ireland",S4557)),"Ireland",
ISNUMBER(SEARCH("rn""&gt;Bosnia and Herzegovina",S4557)),"Bosnia and Herzegovina",
ISNUMBER(SEARCH("rn""&gt;Trinidad and Tobago",S4557)),"Trinidad and Tobago",
ISNUMBER(SEARCH("rn""&gt;Serbia and Montenegro",S4557)),"Serbia and Montenegro",
ISNUMBER(SEARCH(_xlfn.UNICHAR(65533),S4557)),"Côte d'Ivoire",
TRUE,"-"
)</f>
        <v>-</v>
      </c>
      <c r="W4557" s="42" t="str">
        <f t="shared" si="288"/>
        <v>-</v>
      </c>
    </row>
    <row r="4558" spans="19:23">
      <c r="S4558" s="42" t="str">
        <v/>
      </c>
      <c r="T4558" s="42" t="str">
        <f t="shared" si="286"/>
        <v>-</v>
      </c>
      <c r="U4558" s="40" t="str">
        <f t="shared" si="287"/>
        <v>-</v>
      </c>
      <c r="V4558" s="42" t="str" cm="1">
        <f t="array" ref="V4558">_xlfn.IFS(
LEFT(S4558,16)="win on penalties",IF(VALUE(MID(S4558,19,1))&gt;VALUE(MID(S4558,23,1)),DATA_CLEANED!AK72,DATA_CLEANED!AN72),
ISNUMBER(SEARCH("USA",S4558)),"United States",
ISNUMBER(SEARCH("Republic of Ireland",S4558)),"Ireland",
ISNUMBER(SEARCH("Republic of Korea",S4558)),"South Korea",
ISNUMBER(SEARCH("Cape Verde",S4558)),"Cabo Verde",
ISNUMBER(SEARCH("Czechia",S4558)),"Czech Republic",
ISNUMBER(SEARCH("Türkiye",S4558)),"Turkey",
ISNUMBER(SEARCH("Ivory Coast",S4558)),"Côte d'Ivoire",
ISNUMBER(SEARCH("Korea Republic",S4558)),"South Korea",
ISNUMBER(SEARCH("Germany FR",S4558)),"FR Germany",
ISNUMBER(SEARCH("West Germany",S4558)),"FR Germany",
ISNUMBER(SEARCH("Germany DR",S4558)),"DR Germany",
ISNUMBER(SEARCH("Korea DPR",S4558)),"North Korea",
ISNUMBER(SEARCH("China PR",S4558)),"China",
ISNUMBER(SEARCH("IR Iran",S4558)),"Iran",
ISNUMBER(SEARCH("Congo DR",S4558)),"Democratic Republic of the Congo",
ISNUMBER(SEARCH("DR Congo",S4558)),"Democratic Republic of the Congo",
ISNUMBER(SEARCH("German DR",S4558)),"DR Germany",
ISNUMBER(SEARCH("rn""&gt;United Arab Emirates",S4558)),"United Arab Emirates",
ISNUMBER(SEARCH("rn""&gt;Republic of Ireland",S4558)),"Ireland",
ISNUMBER(SEARCH("rn""&gt;Bosnia and Herzegovina",S4558)),"Bosnia and Herzegovina",
ISNUMBER(SEARCH("rn""&gt;Trinidad and Tobago",S4558)),"Trinidad and Tobago",
ISNUMBER(SEARCH("rn""&gt;Serbia and Montenegro",S4558)),"Serbia and Montenegro",
ISNUMBER(SEARCH(_xlfn.UNICHAR(65533),S4558)),"Côte d'Ivoire",
TRUE,"-"
)</f>
        <v>-</v>
      </c>
      <c r="W4558" s="42" t="str">
        <f t="shared" si="288"/>
        <v>-</v>
      </c>
    </row>
    <row r="4559" spans="19:23">
      <c r="S4559" s="42" t="str">
        <v/>
      </c>
      <c r="T4559" s="42" t="str">
        <f t="shared" si="286"/>
        <v>-</v>
      </c>
      <c r="U4559" s="40" t="str">
        <f t="shared" si="287"/>
        <v>-</v>
      </c>
      <c r="V4559" s="42" t="str" cm="1">
        <f t="array" ref="V4559">_xlfn.IFS(
LEFT(S4559,16)="win on penalties",IF(VALUE(MID(S4559,19,1))&gt;VALUE(MID(S4559,23,1)),DATA_CLEANED!AK73,DATA_CLEANED!AN73),
ISNUMBER(SEARCH("USA",S4559)),"United States",
ISNUMBER(SEARCH("Republic of Ireland",S4559)),"Ireland",
ISNUMBER(SEARCH("Republic of Korea",S4559)),"South Korea",
ISNUMBER(SEARCH("Cape Verde",S4559)),"Cabo Verde",
ISNUMBER(SEARCH("Czechia",S4559)),"Czech Republic",
ISNUMBER(SEARCH("Türkiye",S4559)),"Turkey",
ISNUMBER(SEARCH("Ivory Coast",S4559)),"Côte d'Ivoire",
ISNUMBER(SEARCH("Korea Republic",S4559)),"South Korea",
ISNUMBER(SEARCH("Germany FR",S4559)),"FR Germany",
ISNUMBER(SEARCH("West Germany",S4559)),"FR Germany",
ISNUMBER(SEARCH("Germany DR",S4559)),"DR Germany",
ISNUMBER(SEARCH("Korea DPR",S4559)),"North Korea",
ISNUMBER(SEARCH("China PR",S4559)),"China",
ISNUMBER(SEARCH("IR Iran",S4559)),"Iran",
ISNUMBER(SEARCH("Congo DR",S4559)),"Democratic Republic of the Congo",
ISNUMBER(SEARCH("DR Congo",S4559)),"Democratic Republic of the Congo",
ISNUMBER(SEARCH("German DR",S4559)),"DR Germany",
ISNUMBER(SEARCH("rn""&gt;United Arab Emirates",S4559)),"United Arab Emirates",
ISNUMBER(SEARCH("rn""&gt;Republic of Ireland",S4559)),"Ireland",
ISNUMBER(SEARCH("rn""&gt;Bosnia and Herzegovina",S4559)),"Bosnia and Herzegovina",
ISNUMBER(SEARCH("rn""&gt;Trinidad and Tobago",S4559)),"Trinidad and Tobago",
ISNUMBER(SEARCH("rn""&gt;Serbia and Montenegro",S4559)),"Serbia and Montenegro",
ISNUMBER(SEARCH(_xlfn.UNICHAR(65533),S4559)),"Côte d'Ivoire",
TRUE,"-"
)</f>
        <v>-</v>
      </c>
      <c r="W4559" s="42" t="str">
        <f t="shared" si="288"/>
        <v>-</v>
      </c>
    </row>
    <row r="4560" spans="19:23">
      <c r="S4560" s="42" t="str">
        <v/>
      </c>
      <c r="T4560" s="42" t="str">
        <f t="shared" si="286"/>
        <v>-</v>
      </c>
      <c r="U4560" s="40" t="str">
        <f t="shared" si="287"/>
        <v>-</v>
      </c>
      <c r="V4560" s="42" t="str" cm="1">
        <f t="array" ref="V4560">_xlfn.IFS(
LEFT(S4560,16)="win on penalties",IF(VALUE(MID(S4560,19,1))&gt;VALUE(MID(S4560,23,1)),DATA_CLEANED!AK74,DATA_CLEANED!AN74),
ISNUMBER(SEARCH("USA",S4560)),"United States",
ISNUMBER(SEARCH("Republic of Ireland",S4560)),"Ireland",
ISNUMBER(SEARCH("Republic of Korea",S4560)),"South Korea",
ISNUMBER(SEARCH("Cape Verde",S4560)),"Cabo Verde",
ISNUMBER(SEARCH("Czechia",S4560)),"Czech Republic",
ISNUMBER(SEARCH("Türkiye",S4560)),"Turkey",
ISNUMBER(SEARCH("Ivory Coast",S4560)),"Côte d'Ivoire",
ISNUMBER(SEARCH("Korea Republic",S4560)),"South Korea",
ISNUMBER(SEARCH("Germany FR",S4560)),"FR Germany",
ISNUMBER(SEARCH("West Germany",S4560)),"FR Germany",
ISNUMBER(SEARCH("Germany DR",S4560)),"DR Germany",
ISNUMBER(SEARCH("Korea DPR",S4560)),"North Korea",
ISNUMBER(SEARCH("China PR",S4560)),"China",
ISNUMBER(SEARCH("IR Iran",S4560)),"Iran",
ISNUMBER(SEARCH("Congo DR",S4560)),"Democratic Republic of the Congo",
ISNUMBER(SEARCH("DR Congo",S4560)),"Democratic Republic of the Congo",
ISNUMBER(SEARCH("German DR",S4560)),"DR Germany",
ISNUMBER(SEARCH("rn""&gt;United Arab Emirates",S4560)),"United Arab Emirates",
ISNUMBER(SEARCH("rn""&gt;Republic of Ireland",S4560)),"Ireland",
ISNUMBER(SEARCH("rn""&gt;Bosnia and Herzegovina",S4560)),"Bosnia and Herzegovina",
ISNUMBER(SEARCH("rn""&gt;Trinidad and Tobago",S4560)),"Trinidad and Tobago",
ISNUMBER(SEARCH("rn""&gt;Serbia and Montenegro",S4560)),"Serbia and Montenegro",
ISNUMBER(SEARCH(_xlfn.UNICHAR(65533),S4560)),"Côte d'Ivoire",
TRUE,"-"
)</f>
        <v>-</v>
      </c>
      <c r="W4560" s="42" t="str">
        <f t="shared" si="288"/>
        <v>-</v>
      </c>
    </row>
    <row r="4561" spans="19:23">
      <c r="S4561" s="42" t="str">
        <v/>
      </c>
      <c r="T4561" s="42" t="str">
        <f t="shared" si="286"/>
        <v>-</v>
      </c>
      <c r="U4561" s="40" t="str">
        <f t="shared" si="287"/>
        <v>-</v>
      </c>
      <c r="V4561" s="42" t="str" cm="1">
        <f t="array" ref="V4561">_xlfn.IFS(
LEFT(S4561,16)="win on penalties",IF(VALUE(MID(S4561,19,1))&gt;VALUE(MID(S4561,23,1)),DATA_CLEANED!AK75,DATA_CLEANED!AN75),
ISNUMBER(SEARCH("USA",S4561)),"United States",
ISNUMBER(SEARCH("Republic of Ireland",S4561)),"Ireland",
ISNUMBER(SEARCH("Republic of Korea",S4561)),"South Korea",
ISNUMBER(SEARCH("Cape Verde",S4561)),"Cabo Verde",
ISNUMBER(SEARCH("Czechia",S4561)),"Czech Republic",
ISNUMBER(SEARCH("Türkiye",S4561)),"Turkey",
ISNUMBER(SEARCH("Ivory Coast",S4561)),"Côte d'Ivoire",
ISNUMBER(SEARCH("Korea Republic",S4561)),"South Korea",
ISNUMBER(SEARCH("Germany FR",S4561)),"FR Germany",
ISNUMBER(SEARCH("West Germany",S4561)),"FR Germany",
ISNUMBER(SEARCH("Germany DR",S4561)),"DR Germany",
ISNUMBER(SEARCH("Korea DPR",S4561)),"North Korea",
ISNUMBER(SEARCH("China PR",S4561)),"China",
ISNUMBER(SEARCH("IR Iran",S4561)),"Iran",
ISNUMBER(SEARCH("Congo DR",S4561)),"Democratic Republic of the Congo",
ISNUMBER(SEARCH("DR Congo",S4561)),"Democratic Republic of the Congo",
ISNUMBER(SEARCH("German DR",S4561)),"DR Germany",
ISNUMBER(SEARCH("rn""&gt;United Arab Emirates",S4561)),"United Arab Emirates",
ISNUMBER(SEARCH("rn""&gt;Republic of Ireland",S4561)),"Ireland",
ISNUMBER(SEARCH("rn""&gt;Bosnia and Herzegovina",S4561)),"Bosnia and Herzegovina",
ISNUMBER(SEARCH("rn""&gt;Trinidad and Tobago",S4561)),"Trinidad and Tobago",
ISNUMBER(SEARCH("rn""&gt;Serbia and Montenegro",S4561)),"Serbia and Montenegro",
ISNUMBER(SEARCH(_xlfn.UNICHAR(65533),S4561)),"Côte d'Ivoire",
TRUE,"-"
)</f>
        <v>-</v>
      </c>
      <c r="W4561" s="42" t="str">
        <f t="shared" si="288"/>
        <v>-</v>
      </c>
    </row>
    <row r="4562" spans="19:23">
      <c r="S4562" s="42" t="str">
        <v/>
      </c>
      <c r="T4562" s="42" t="str">
        <f t="shared" si="286"/>
        <v>-</v>
      </c>
      <c r="U4562" s="40" t="str">
        <f t="shared" si="287"/>
        <v>-</v>
      </c>
      <c r="V4562" s="42" t="str" cm="1">
        <f t="array" ref="V4562">_xlfn.IFS(
LEFT(S4562,16)="win on penalties",IF(VALUE(MID(S4562,19,1))&gt;VALUE(MID(S4562,23,1)),DATA_CLEANED!AK76,DATA_CLEANED!AN76),
ISNUMBER(SEARCH("USA",S4562)),"United States",
ISNUMBER(SEARCH("Republic of Ireland",S4562)),"Ireland",
ISNUMBER(SEARCH("Republic of Korea",S4562)),"South Korea",
ISNUMBER(SEARCH("Cape Verde",S4562)),"Cabo Verde",
ISNUMBER(SEARCH("Czechia",S4562)),"Czech Republic",
ISNUMBER(SEARCH("Türkiye",S4562)),"Turkey",
ISNUMBER(SEARCH("Ivory Coast",S4562)),"Côte d'Ivoire",
ISNUMBER(SEARCH("Korea Republic",S4562)),"South Korea",
ISNUMBER(SEARCH("Germany FR",S4562)),"FR Germany",
ISNUMBER(SEARCH("West Germany",S4562)),"FR Germany",
ISNUMBER(SEARCH("Germany DR",S4562)),"DR Germany",
ISNUMBER(SEARCH("Korea DPR",S4562)),"North Korea",
ISNUMBER(SEARCH("China PR",S4562)),"China",
ISNUMBER(SEARCH("IR Iran",S4562)),"Iran",
ISNUMBER(SEARCH("Congo DR",S4562)),"Democratic Republic of the Congo",
ISNUMBER(SEARCH("DR Congo",S4562)),"Democratic Republic of the Congo",
ISNUMBER(SEARCH("German DR",S4562)),"DR Germany",
ISNUMBER(SEARCH("rn""&gt;United Arab Emirates",S4562)),"United Arab Emirates",
ISNUMBER(SEARCH("rn""&gt;Republic of Ireland",S4562)),"Ireland",
ISNUMBER(SEARCH("rn""&gt;Bosnia and Herzegovina",S4562)),"Bosnia and Herzegovina",
ISNUMBER(SEARCH("rn""&gt;Trinidad and Tobago",S4562)),"Trinidad and Tobago",
ISNUMBER(SEARCH("rn""&gt;Serbia and Montenegro",S4562)),"Serbia and Montenegro",
ISNUMBER(SEARCH(_xlfn.UNICHAR(65533),S4562)),"Côte d'Ivoire",
TRUE,"-"
)</f>
        <v>-</v>
      </c>
      <c r="W4562" s="42" t="str">
        <f t="shared" si="288"/>
        <v>-</v>
      </c>
    </row>
    <row r="4563" spans="19:23">
      <c r="S4563" s="42" t="str">
        <v/>
      </c>
      <c r="T4563" s="42" t="str">
        <f t="shared" si="286"/>
        <v>-</v>
      </c>
      <c r="U4563" s="40" t="str">
        <f t="shared" si="287"/>
        <v>-</v>
      </c>
      <c r="V4563" s="42" t="str" cm="1">
        <f t="array" ref="V4563">_xlfn.IFS(
LEFT(S4563,16)="win on penalties",IF(VALUE(MID(S4563,19,1))&gt;VALUE(MID(S4563,23,1)),DATA_CLEANED!AK77,DATA_CLEANED!AN77),
ISNUMBER(SEARCH("USA",S4563)),"United States",
ISNUMBER(SEARCH("Republic of Ireland",S4563)),"Ireland",
ISNUMBER(SEARCH("Republic of Korea",S4563)),"South Korea",
ISNUMBER(SEARCH("Cape Verde",S4563)),"Cabo Verde",
ISNUMBER(SEARCH("Czechia",S4563)),"Czech Republic",
ISNUMBER(SEARCH("Türkiye",S4563)),"Turkey",
ISNUMBER(SEARCH("Ivory Coast",S4563)),"Côte d'Ivoire",
ISNUMBER(SEARCH("Korea Republic",S4563)),"South Korea",
ISNUMBER(SEARCH("Germany FR",S4563)),"FR Germany",
ISNUMBER(SEARCH("West Germany",S4563)),"FR Germany",
ISNUMBER(SEARCH("Germany DR",S4563)),"DR Germany",
ISNUMBER(SEARCH("Korea DPR",S4563)),"North Korea",
ISNUMBER(SEARCH("China PR",S4563)),"China",
ISNUMBER(SEARCH("IR Iran",S4563)),"Iran",
ISNUMBER(SEARCH("Congo DR",S4563)),"Democratic Republic of the Congo",
ISNUMBER(SEARCH("DR Congo",S4563)),"Democratic Republic of the Congo",
ISNUMBER(SEARCH("German DR",S4563)),"DR Germany",
ISNUMBER(SEARCH("rn""&gt;United Arab Emirates",S4563)),"United Arab Emirates",
ISNUMBER(SEARCH("rn""&gt;Republic of Ireland",S4563)),"Ireland",
ISNUMBER(SEARCH("rn""&gt;Bosnia and Herzegovina",S4563)),"Bosnia and Herzegovina",
ISNUMBER(SEARCH("rn""&gt;Trinidad and Tobago",S4563)),"Trinidad and Tobago",
ISNUMBER(SEARCH("rn""&gt;Serbia and Montenegro",S4563)),"Serbia and Montenegro",
ISNUMBER(SEARCH(_xlfn.UNICHAR(65533),S4563)),"Côte d'Ivoire",
TRUE,"-"
)</f>
        <v>-</v>
      </c>
      <c r="W4563" s="42" t="str">
        <f t="shared" si="288"/>
        <v>-</v>
      </c>
    </row>
    <row r="4564" spans="19:23">
      <c r="S4564" s="42" t="str">
        <v/>
      </c>
      <c r="T4564" s="42" t="str">
        <f t="shared" si="286"/>
        <v>-</v>
      </c>
      <c r="U4564" s="40" t="str">
        <f t="shared" si="287"/>
        <v>-</v>
      </c>
      <c r="V4564" s="42" t="str" cm="1">
        <f t="array" ref="V4564">_xlfn.IFS(
LEFT(S4564,16)="win on penalties",IF(VALUE(MID(S4564,19,1))&gt;VALUE(MID(S4564,23,1)),DATA_CLEANED!AK78,DATA_CLEANED!AN78),
ISNUMBER(SEARCH("USA",S4564)),"United States",
ISNUMBER(SEARCH("Republic of Ireland",S4564)),"Ireland",
ISNUMBER(SEARCH("Republic of Korea",S4564)),"South Korea",
ISNUMBER(SEARCH("Cape Verde",S4564)),"Cabo Verde",
ISNUMBER(SEARCH("Czechia",S4564)),"Czech Republic",
ISNUMBER(SEARCH("Türkiye",S4564)),"Turkey",
ISNUMBER(SEARCH("Ivory Coast",S4564)),"Côte d'Ivoire",
ISNUMBER(SEARCH("Korea Republic",S4564)),"South Korea",
ISNUMBER(SEARCH("Germany FR",S4564)),"FR Germany",
ISNUMBER(SEARCH("West Germany",S4564)),"FR Germany",
ISNUMBER(SEARCH("Germany DR",S4564)),"DR Germany",
ISNUMBER(SEARCH("Korea DPR",S4564)),"North Korea",
ISNUMBER(SEARCH("China PR",S4564)),"China",
ISNUMBER(SEARCH("IR Iran",S4564)),"Iran",
ISNUMBER(SEARCH("Congo DR",S4564)),"Democratic Republic of the Congo",
ISNUMBER(SEARCH("DR Congo",S4564)),"Democratic Republic of the Congo",
ISNUMBER(SEARCH("German DR",S4564)),"DR Germany",
ISNUMBER(SEARCH("rn""&gt;United Arab Emirates",S4564)),"United Arab Emirates",
ISNUMBER(SEARCH("rn""&gt;Republic of Ireland",S4564)),"Ireland",
ISNUMBER(SEARCH("rn""&gt;Bosnia and Herzegovina",S4564)),"Bosnia and Herzegovina",
ISNUMBER(SEARCH("rn""&gt;Trinidad and Tobago",S4564)),"Trinidad and Tobago",
ISNUMBER(SEARCH("rn""&gt;Serbia and Montenegro",S4564)),"Serbia and Montenegro",
ISNUMBER(SEARCH(_xlfn.UNICHAR(65533),S4564)),"Côte d'Ivoire",
TRUE,"-"
)</f>
        <v>-</v>
      </c>
      <c r="W4564" s="42" t="str">
        <f t="shared" si="288"/>
        <v>-</v>
      </c>
    </row>
    <row r="4565" spans="19:23">
      <c r="S4565" s="42" t="str">
        <v/>
      </c>
      <c r="T4565" s="42" t="str">
        <f t="shared" si="286"/>
        <v>-</v>
      </c>
      <c r="U4565" s="40" t="str">
        <f t="shared" si="287"/>
        <v>-</v>
      </c>
      <c r="V4565" s="42" t="str" cm="1">
        <f t="array" ref="V4565">_xlfn.IFS(
LEFT(S4565,16)="win on penalties",IF(VALUE(MID(S4565,19,1))&gt;VALUE(MID(S4565,23,1)),DATA_CLEANED!AK79,DATA_CLEANED!AN79),
ISNUMBER(SEARCH("USA",S4565)),"United States",
ISNUMBER(SEARCH("Republic of Ireland",S4565)),"Ireland",
ISNUMBER(SEARCH("Republic of Korea",S4565)),"South Korea",
ISNUMBER(SEARCH("Cape Verde",S4565)),"Cabo Verde",
ISNUMBER(SEARCH("Czechia",S4565)),"Czech Republic",
ISNUMBER(SEARCH("Türkiye",S4565)),"Turkey",
ISNUMBER(SEARCH("Ivory Coast",S4565)),"Côte d'Ivoire",
ISNUMBER(SEARCH("Korea Republic",S4565)),"South Korea",
ISNUMBER(SEARCH("Germany FR",S4565)),"FR Germany",
ISNUMBER(SEARCH("West Germany",S4565)),"FR Germany",
ISNUMBER(SEARCH("Germany DR",S4565)),"DR Germany",
ISNUMBER(SEARCH("Korea DPR",S4565)),"North Korea",
ISNUMBER(SEARCH("China PR",S4565)),"China",
ISNUMBER(SEARCH("IR Iran",S4565)),"Iran",
ISNUMBER(SEARCH("Congo DR",S4565)),"Democratic Republic of the Congo",
ISNUMBER(SEARCH("DR Congo",S4565)),"Democratic Republic of the Congo",
ISNUMBER(SEARCH("German DR",S4565)),"DR Germany",
ISNUMBER(SEARCH("rn""&gt;United Arab Emirates",S4565)),"United Arab Emirates",
ISNUMBER(SEARCH("rn""&gt;Republic of Ireland",S4565)),"Ireland",
ISNUMBER(SEARCH("rn""&gt;Bosnia and Herzegovina",S4565)),"Bosnia and Herzegovina",
ISNUMBER(SEARCH("rn""&gt;Trinidad and Tobago",S4565)),"Trinidad and Tobago",
ISNUMBER(SEARCH("rn""&gt;Serbia and Montenegro",S4565)),"Serbia and Montenegro",
ISNUMBER(SEARCH(_xlfn.UNICHAR(65533),S4565)),"Côte d'Ivoire",
TRUE,"-"
)</f>
        <v>-</v>
      </c>
      <c r="W4565" s="42" t="str">
        <f t="shared" si="288"/>
        <v>-</v>
      </c>
    </row>
    <row r="4566" spans="19:23">
      <c r="S4566" s="42" t="str">
        <v/>
      </c>
      <c r="T4566" s="42" t="str">
        <f t="shared" si="286"/>
        <v>-</v>
      </c>
      <c r="U4566" s="40" t="str">
        <f t="shared" si="287"/>
        <v>-</v>
      </c>
      <c r="V4566" s="42" t="str" cm="1">
        <f t="array" ref="V4566">_xlfn.IFS(
LEFT(S4566,16)="win on penalties",IF(VALUE(MID(S4566,19,1))&gt;VALUE(MID(S4566,23,1)),DATA_CLEANED!AK80,DATA_CLEANED!AN80),
ISNUMBER(SEARCH("USA",S4566)),"United States",
ISNUMBER(SEARCH("Republic of Ireland",S4566)),"Ireland",
ISNUMBER(SEARCH("Republic of Korea",S4566)),"South Korea",
ISNUMBER(SEARCH("Cape Verde",S4566)),"Cabo Verde",
ISNUMBER(SEARCH("Czechia",S4566)),"Czech Republic",
ISNUMBER(SEARCH("Türkiye",S4566)),"Turkey",
ISNUMBER(SEARCH("Ivory Coast",S4566)),"Côte d'Ivoire",
ISNUMBER(SEARCH("Korea Republic",S4566)),"South Korea",
ISNUMBER(SEARCH("Germany FR",S4566)),"FR Germany",
ISNUMBER(SEARCH("West Germany",S4566)),"FR Germany",
ISNUMBER(SEARCH("Germany DR",S4566)),"DR Germany",
ISNUMBER(SEARCH("Korea DPR",S4566)),"North Korea",
ISNUMBER(SEARCH("China PR",S4566)),"China",
ISNUMBER(SEARCH("IR Iran",S4566)),"Iran",
ISNUMBER(SEARCH("Congo DR",S4566)),"Democratic Republic of the Congo",
ISNUMBER(SEARCH("DR Congo",S4566)),"Democratic Republic of the Congo",
ISNUMBER(SEARCH("German DR",S4566)),"DR Germany",
ISNUMBER(SEARCH("rn""&gt;United Arab Emirates",S4566)),"United Arab Emirates",
ISNUMBER(SEARCH("rn""&gt;Republic of Ireland",S4566)),"Ireland",
ISNUMBER(SEARCH("rn""&gt;Bosnia and Herzegovina",S4566)),"Bosnia and Herzegovina",
ISNUMBER(SEARCH("rn""&gt;Trinidad and Tobago",S4566)),"Trinidad and Tobago",
ISNUMBER(SEARCH("rn""&gt;Serbia and Montenegro",S4566)),"Serbia and Montenegro",
ISNUMBER(SEARCH(_xlfn.UNICHAR(65533),S4566)),"Côte d'Ivoire",
TRUE,"-"
)</f>
        <v>-</v>
      </c>
      <c r="W4566" s="42" t="str">
        <f t="shared" si="288"/>
        <v>-</v>
      </c>
    </row>
    <row r="4567" spans="19:23">
      <c r="S4567" s="42" t="str">
        <v/>
      </c>
      <c r="T4567" s="42" t="str">
        <f t="shared" si="286"/>
        <v>-</v>
      </c>
      <c r="U4567" s="40" t="str">
        <f t="shared" si="287"/>
        <v>-</v>
      </c>
      <c r="V4567" s="42" t="str" cm="1">
        <f t="array" ref="V4567">_xlfn.IFS(
LEFT(S4567,16)="win on penalties",IF(VALUE(MID(S4567,19,1))&gt;VALUE(MID(S4567,23,1)),DATA_CLEANED!AK81,DATA_CLEANED!AN81),
ISNUMBER(SEARCH("USA",S4567)),"United States",
ISNUMBER(SEARCH("Republic of Ireland",S4567)),"Ireland",
ISNUMBER(SEARCH("Republic of Korea",S4567)),"South Korea",
ISNUMBER(SEARCH("Cape Verde",S4567)),"Cabo Verde",
ISNUMBER(SEARCH("Czechia",S4567)),"Czech Republic",
ISNUMBER(SEARCH("Türkiye",S4567)),"Turkey",
ISNUMBER(SEARCH("Ivory Coast",S4567)),"Côte d'Ivoire",
ISNUMBER(SEARCH("Korea Republic",S4567)),"South Korea",
ISNUMBER(SEARCH("Germany FR",S4567)),"FR Germany",
ISNUMBER(SEARCH("West Germany",S4567)),"FR Germany",
ISNUMBER(SEARCH("Germany DR",S4567)),"DR Germany",
ISNUMBER(SEARCH("Korea DPR",S4567)),"North Korea",
ISNUMBER(SEARCH("China PR",S4567)),"China",
ISNUMBER(SEARCH("IR Iran",S4567)),"Iran",
ISNUMBER(SEARCH("Congo DR",S4567)),"Democratic Republic of the Congo",
ISNUMBER(SEARCH("DR Congo",S4567)),"Democratic Republic of the Congo",
ISNUMBER(SEARCH("German DR",S4567)),"DR Germany",
ISNUMBER(SEARCH("rn""&gt;United Arab Emirates",S4567)),"United Arab Emirates",
ISNUMBER(SEARCH("rn""&gt;Republic of Ireland",S4567)),"Ireland",
ISNUMBER(SEARCH("rn""&gt;Bosnia and Herzegovina",S4567)),"Bosnia and Herzegovina",
ISNUMBER(SEARCH("rn""&gt;Trinidad and Tobago",S4567)),"Trinidad and Tobago",
ISNUMBER(SEARCH("rn""&gt;Serbia and Montenegro",S4567)),"Serbia and Montenegro",
ISNUMBER(SEARCH(_xlfn.UNICHAR(65533),S4567)),"Côte d'Ivoire",
TRUE,"-"
)</f>
        <v>-</v>
      </c>
      <c r="W4567" s="42" t="str">
        <f t="shared" si="288"/>
        <v>-</v>
      </c>
    </row>
    <row r="4568" spans="19:23">
      <c r="S4568" s="42" t="str">
        <v/>
      </c>
      <c r="T4568" s="42" t="str">
        <f t="shared" si="286"/>
        <v>-</v>
      </c>
      <c r="U4568" s="40" t="str">
        <f t="shared" si="287"/>
        <v>-</v>
      </c>
      <c r="V4568" s="42" t="str" cm="1">
        <f t="array" ref="V4568">_xlfn.IFS(
LEFT(S4568,16)="win on penalties",IF(VALUE(MID(S4568,19,1))&gt;VALUE(MID(S4568,23,1)),DATA_CLEANED!AK82,DATA_CLEANED!AN82),
ISNUMBER(SEARCH("USA",S4568)),"United States",
ISNUMBER(SEARCH("Republic of Ireland",S4568)),"Ireland",
ISNUMBER(SEARCH("Republic of Korea",S4568)),"South Korea",
ISNUMBER(SEARCH("Cape Verde",S4568)),"Cabo Verde",
ISNUMBER(SEARCH("Czechia",S4568)),"Czech Republic",
ISNUMBER(SEARCH("Türkiye",S4568)),"Turkey",
ISNUMBER(SEARCH("Ivory Coast",S4568)),"Côte d'Ivoire",
ISNUMBER(SEARCH("Korea Republic",S4568)),"South Korea",
ISNUMBER(SEARCH("Germany FR",S4568)),"FR Germany",
ISNUMBER(SEARCH("West Germany",S4568)),"FR Germany",
ISNUMBER(SEARCH("Germany DR",S4568)),"DR Germany",
ISNUMBER(SEARCH("Korea DPR",S4568)),"North Korea",
ISNUMBER(SEARCH("China PR",S4568)),"China",
ISNUMBER(SEARCH("IR Iran",S4568)),"Iran",
ISNUMBER(SEARCH("Congo DR",S4568)),"Democratic Republic of the Congo",
ISNUMBER(SEARCH("DR Congo",S4568)),"Democratic Republic of the Congo",
ISNUMBER(SEARCH("German DR",S4568)),"DR Germany",
ISNUMBER(SEARCH("rn""&gt;United Arab Emirates",S4568)),"United Arab Emirates",
ISNUMBER(SEARCH("rn""&gt;Republic of Ireland",S4568)),"Ireland",
ISNUMBER(SEARCH("rn""&gt;Bosnia and Herzegovina",S4568)),"Bosnia and Herzegovina",
ISNUMBER(SEARCH("rn""&gt;Trinidad and Tobago",S4568)),"Trinidad and Tobago",
ISNUMBER(SEARCH("rn""&gt;Serbia and Montenegro",S4568)),"Serbia and Montenegro",
ISNUMBER(SEARCH(_xlfn.UNICHAR(65533),S4568)),"Côte d'Ivoire",
TRUE,"-"
)</f>
        <v>-</v>
      </c>
      <c r="W4568" s="42" t="str">
        <f t="shared" si="288"/>
        <v>-</v>
      </c>
    </row>
    <row r="4569" spans="19:23">
      <c r="S4569" s="42" t="str">
        <v/>
      </c>
      <c r="T4569" s="42" t="str">
        <f t="shared" si="286"/>
        <v>-</v>
      </c>
      <c r="U4569" s="40" t="str">
        <f t="shared" si="287"/>
        <v>-</v>
      </c>
      <c r="V4569" s="42" t="str" cm="1">
        <f t="array" ref="V4569">_xlfn.IFS(
LEFT(S4569,16)="win on penalties",IF(VALUE(MID(S4569,19,1))&gt;VALUE(MID(S4569,23,1)),DATA_CLEANED!AK83,DATA_CLEANED!AN83),
ISNUMBER(SEARCH("USA",S4569)),"United States",
ISNUMBER(SEARCH("Republic of Ireland",S4569)),"Ireland",
ISNUMBER(SEARCH("Republic of Korea",S4569)),"South Korea",
ISNUMBER(SEARCH("Cape Verde",S4569)),"Cabo Verde",
ISNUMBER(SEARCH("Czechia",S4569)),"Czech Republic",
ISNUMBER(SEARCH("Türkiye",S4569)),"Turkey",
ISNUMBER(SEARCH("Ivory Coast",S4569)),"Côte d'Ivoire",
ISNUMBER(SEARCH("Korea Republic",S4569)),"South Korea",
ISNUMBER(SEARCH("Germany FR",S4569)),"FR Germany",
ISNUMBER(SEARCH("West Germany",S4569)),"FR Germany",
ISNUMBER(SEARCH("Germany DR",S4569)),"DR Germany",
ISNUMBER(SEARCH("Korea DPR",S4569)),"North Korea",
ISNUMBER(SEARCH("China PR",S4569)),"China",
ISNUMBER(SEARCH("IR Iran",S4569)),"Iran",
ISNUMBER(SEARCH("Congo DR",S4569)),"Democratic Republic of the Congo",
ISNUMBER(SEARCH("DR Congo",S4569)),"Democratic Republic of the Congo",
ISNUMBER(SEARCH("German DR",S4569)),"DR Germany",
ISNUMBER(SEARCH("rn""&gt;United Arab Emirates",S4569)),"United Arab Emirates",
ISNUMBER(SEARCH("rn""&gt;Republic of Ireland",S4569)),"Ireland",
ISNUMBER(SEARCH("rn""&gt;Bosnia and Herzegovina",S4569)),"Bosnia and Herzegovina",
ISNUMBER(SEARCH("rn""&gt;Trinidad and Tobago",S4569)),"Trinidad and Tobago",
ISNUMBER(SEARCH("rn""&gt;Serbia and Montenegro",S4569)),"Serbia and Montenegro",
ISNUMBER(SEARCH(_xlfn.UNICHAR(65533),S4569)),"Côte d'Ivoire",
TRUE,"-"
)</f>
        <v>-</v>
      </c>
      <c r="W4569" s="42" t="str">
        <f t="shared" si="288"/>
        <v>-</v>
      </c>
    </row>
    <row r="4570" spans="19:23">
      <c r="S4570" s="42" t="str">
        <v/>
      </c>
      <c r="T4570" s="42" t="str">
        <f t="shared" si="286"/>
        <v>-</v>
      </c>
      <c r="U4570" s="40" t="str">
        <f t="shared" si="287"/>
        <v>-</v>
      </c>
      <c r="V4570" s="42" t="str" cm="1">
        <f t="array" ref="V4570">_xlfn.IFS(
LEFT(S4570,16)="win on penalties",IF(VALUE(MID(S4570,19,1))&gt;VALUE(MID(S4570,23,1)),DATA_CLEANED!AK84,DATA_CLEANED!AN84),
ISNUMBER(SEARCH("USA",S4570)),"United States",
ISNUMBER(SEARCH("Republic of Ireland",S4570)),"Ireland",
ISNUMBER(SEARCH("Republic of Korea",S4570)),"South Korea",
ISNUMBER(SEARCH("Cape Verde",S4570)),"Cabo Verde",
ISNUMBER(SEARCH("Czechia",S4570)),"Czech Republic",
ISNUMBER(SEARCH("Türkiye",S4570)),"Turkey",
ISNUMBER(SEARCH("Ivory Coast",S4570)),"Côte d'Ivoire",
ISNUMBER(SEARCH("Korea Republic",S4570)),"South Korea",
ISNUMBER(SEARCH("Germany FR",S4570)),"FR Germany",
ISNUMBER(SEARCH("West Germany",S4570)),"FR Germany",
ISNUMBER(SEARCH("Germany DR",S4570)),"DR Germany",
ISNUMBER(SEARCH("Korea DPR",S4570)),"North Korea",
ISNUMBER(SEARCH("China PR",S4570)),"China",
ISNUMBER(SEARCH("IR Iran",S4570)),"Iran",
ISNUMBER(SEARCH("Congo DR",S4570)),"Democratic Republic of the Congo",
ISNUMBER(SEARCH("DR Congo",S4570)),"Democratic Republic of the Congo",
ISNUMBER(SEARCH("German DR",S4570)),"DR Germany",
ISNUMBER(SEARCH("rn""&gt;United Arab Emirates",S4570)),"United Arab Emirates",
ISNUMBER(SEARCH("rn""&gt;Republic of Ireland",S4570)),"Ireland",
ISNUMBER(SEARCH("rn""&gt;Bosnia and Herzegovina",S4570)),"Bosnia and Herzegovina",
ISNUMBER(SEARCH("rn""&gt;Trinidad and Tobago",S4570)),"Trinidad and Tobago",
ISNUMBER(SEARCH("rn""&gt;Serbia and Montenegro",S4570)),"Serbia and Montenegro",
ISNUMBER(SEARCH(_xlfn.UNICHAR(65533),S4570)),"Côte d'Ivoire",
TRUE,"-"
)</f>
        <v>-</v>
      </c>
      <c r="W4570" s="42" t="str">
        <f t="shared" si="288"/>
        <v>-</v>
      </c>
    </row>
    <row r="4571" spans="19:23">
      <c r="S4571" s="42" t="str">
        <v/>
      </c>
      <c r="T4571" s="42" t="str">
        <f t="shared" si="286"/>
        <v>-</v>
      </c>
      <c r="U4571" s="40" t="str">
        <f t="shared" si="287"/>
        <v>-</v>
      </c>
      <c r="V4571" s="42" t="str" cm="1">
        <f t="array" ref="V4571">_xlfn.IFS(
LEFT(S4571,16)="win on penalties",IF(VALUE(MID(S4571,19,1))&gt;VALUE(MID(S4571,23,1)),DATA_CLEANED!AK85,DATA_CLEANED!AN85),
ISNUMBER(SEARCH("USA",S4571)),"United States",
ISNUMBER(SEARCH("Republic of Ireland",S4571)),"Ireland",
ISNUMBER(SEARCH("Republic of Korea",S4571)),"South Korea",
ISNUMBER(SEARCH("Cape Verde",S4571)),"Cabo Verde",
ISNUMBER(SEARCH("Czechia",S4571)),"Czech Republic",
ISNUMBER(SEARCH("Türkiye",S4571)),"Turkey",
ISNUMBER(SEARCH("Ivory Coast",S4571)),"Côte d'Ivoire",
ISNUMBER(SEARCH("Korea Republic",S4571)),"South Korea",
ISNUMBER(SEARCH("Germany FR",S4571)),"FR Germany",
ISNUMBER(SEARCH("West Germany",S4571)),"FR Germany",
ISNUMBER(SEARCH("Germany DR",S4571)),"DR Germany",
ISNUMBER(SEARCH("Korea DPR",S4571)),"North Korea",
ISNUMBER(SEARCH("China PR",S4571)),"China",
ISNUMBER(SEARCH("IR Iran",S4571)),"Iran",
ISNUMBER(SEARCH("Congo DR",S4571)),"Democratic Republic of the Congo",
ISNUMBER(SEARCH("DR Congo",S4571)),"Democratic Republic of the Congo",
ISNUMBER(SEARCH("German DR",S4571)),"DR Germany",
ISNUMBER(SEARCH("rn""&gt;United Arab Emirates",S4571)),"United Arab Emirates",
ISNUMBER(SEARCH("rn""&gt;Republic of Ireland",S4571)),"Ireland",
ISNUMBER(SEARCH("rn""&gt;Bosnia and Herzegovina",S4571)),"Bosnia and Herzegovina",
ISNUMBER(SEARCH("rn""&gt;Trinidad and Tobago",S4571)),"Trinidad and Tobago",
ISNUMBER(SEARCH("rn""&gt;Serbia and Montenegro",S4571)),"Serbia and Montenegro",
ISNUMBER(SEARCH(_xlfn.UNICHAR(65533),S4571)),"Côte d'Ivoire",
TRUE,"-"
)</f>
        <v>-</v>
      </c>
      <c r="W4571" s="42" t="str">
        <f t="shared" si="288"/>
        <v>-</v>
      </c>
    </row>
    <row r="4572" spans="19:23">
      <c r="S4572" s="42" t="str">
        <v/>
      </c>
      <c r="T4572" s="42" t="str">
        <f t="shared" si="286"/>
        <v>-</v>
      </c>
      <c r="U4572" s="40" t="str">
        <f t="shared" si="287"/>
        <v>-</v>
      </c>
      <c r="V4572" s="42" t="str" cm="1">
        <f t="array" ref="V4572">_xlfn.IFS(
LEFT(S4572,16)="win on penalties",IF(VALUE(MID(S4572,19,1))&gt;VALUE(MID(S4572,23,1)),DATA_CLEANED!AK86,DATA_CLEANED!AN86),
ISNUMBER(SEARCH("USA",S4572)),"United States",
ISNUMBER(SEARCH("Republic of Ireland",S4572)),"Ireland",
ISNUMBER(SEARCH("Republic of Korea",S4572)),"South Korea",
ISNUMBER(SEARCH("Cape Verde",S4572)),"Cabo Verde",
ISNUMBER(SEARCH("Czechia",S4572)),"Czech Republic",
ISNUMBER(SEARCH("Türkiye",S4572)),"Turkey",
ISNUMBER(SEARCH("Ivory Coast",S4572)),"Côte d'Ivoire",
ISNUMBER(SEARCH("Korea Republic",S4572)),"South Korea",
ISNUMBER(SEARCH("Germany FR",S4572)),"FR Germany",
ISNUMBER(SEARCH("West Germany",S4572)),"FR Germany",
ISNUMBER(SEARCH("Germany DR",S4572)),"DR Germany",
ISNUMBER(SEARCH("Korea DPR",S4572)),"North Korea",
ISNUMBER(SEARCH("China PR",S4572)),"China",
ISNUMBER(SEARCH("IR Iran",S4572)),"Iran",
ISNUMBER(SEARCH("Congo DR",S4572)),"Democratic Republic of the Congo",
ISNUMBER(SEARCH("DR Congo",S4572)),"Democratic Republic of the Congo",
ISNUMBER(SEARCH("German DR",S4572)),"DR Germany",
ISNUMBER(SEARCH("rn""&gt;United Arab Emirates",S4572)),"United Arab Emirates",
ISNUMBER(SEARCH("rn""&gt;Republic of Ireland",S4572)),"Ireland",
ISNUMBER(SEARCH("rn""&gt;Bosnia and Herzegovina",S4572)),"Bosnia and Herzegovina",
ISNUMBER(SEARCH("rn""&gt;Trinidad and Tobago",S4572)),"Trinidad and Tobago",
ISNUMBER(SEARCH("rn""&gt;Serbia and Montenegro",S4572)),"Serbia and Montenegro",
ISNUMBER(SEARCH(_xlfn.UNICHAR(65533),S4572)),"Côte d'Ivoire",
TRUE,"-"
)</f>
        <v>-</v>
      </c>
      <c r="W4572" s="42" t="str">
        <f t="shared" si="288"/>
        <v>-</v>
      </c>
    </row>
    <row r="4573" spans="19:23">
      <c r="S4573" s="42" t="str">
        <v/>
      </c>
      <c r="T4573" s="42" t="str">
        <f t="shared" si="286"/>
        <v>-</v>
      </c>
      <c r="U4573" s="40" t="str">
        <f t="shared" si="287"/>
        <v>-</v>
      </c>
      <c r="V4573" s="42" t="str" cm="1">
        <f t="array" ref="V4573">_xlfn.IFS(
LEFT(S4573,16)="win on penalties",IF(VALUE(MID(S4573,19,1))&gt;VALUE(MID(S4573,23,1)),DATA_CLEANED!AK87,DATA_CLEANED!AN87),
ISNUMBER(SEARCH("USA",S4573)),"United States",
ISNUMBER(SEARCH("Republic of Ireland",S4573)),"Ireland",
ISNUMBER(SEARCH("Republic of Korea",S4573)),"South Korea",
ISNUMBER(SEARCH("Cape Verde",S4573)),"Cabo Verde",
ISNUMBER(SEARCH("Czechia",S4573)),"Czech Republic",
ISNUMBER(SEARCH("Türkiye",S4573)),"Turkey",
ISNUMBER(SEARCH("Ivory Coast",S4573)),"Côte d'Ivoire",
ISNUMBER(SEARCH("Korea Republic",S4573)),"South Korea",
ISNUMBER(SEARCH("Germany FR",S4573)),"FR Germany",
ISNUMBER(SEARCH("West Germany",S4573)),"FR Germany",
ISNUMBER(SEARCH("Germany DR",S4573)),"DR Germany",
ISNUMBER(SEARCH("Korea DPR",S4573)),"North Korea",
ISNUMBER(SEARCH("China PR",S4573)),"China",
ISNUMBER(SEARCH("IR Iran",S4573)),"Iran",
ISNUMBER(SEARCH("Congo DR",S4573)),"Democratic Republic of the Congo",
ISNUMBER(SEARCH("DR Congo",S4573)),"Democratic Republic of the Congo",
ISNUMBER(SEARCH("German DR",S4573)),"DR Germany",
ISNUMBER(SEARCH("rn""&gt;United Arab Emirates",S4573)),"United Arab Emirates",
ISNUMBER(SEARCH("rn""&gt;Republic of Ireland",S4573)),"Ireland",
ISNUMBER(SEARCH("rn""&gt;Bosnia and Herzegovina",S4573)),"Bosnia and Herzegovina",
ISNUMBER(SEARCH("rn""&gt;Trinidad and Tobago",S4573)),"Trinidad and Tobago",
ISNUMBER(SEARCH("rn""&gt;Serbia and Montenegro",S4573)),"Serbia and Montenegro",
ISNUMBER(SEARCH(_xlfn.UNICHAR(65533),S4573)),"Côte d'Ivoire",
TRUE,"-"
)</f>
        <v>-</v>
      </c>
      <c r="W4573" s="42" t="str">
        <f t="shared" si="288"/>
        <v>-</v>
      </c>
    </row>
    <row r="4574" spans="19:23">
      <c r="S4574" s="42" t="str">
        <v/>
      </c>
      <c r="T4574" s="42" t="str">
        <f t="shared" si="286"/>
        <v>-</v>
      </c>
      <c r="U4574" s="40" t="str">
        <f t="shared" si="287"/>
        <v>-</v>
      </c>
      <c r="V4574" s="42" t="str" cm="1">
        <f t="array" ref="V4574">_xlfn.IFS(
LEFT(S4574,16)="win on penalties",IF(VALUE(MID(S4574,19,1))&gt;VALUE(MID(S4574,23,1)),DATA_CLEANED!AK88,DATA_CLEANED!AN88),
ISNUMBER(SEARCH("USA",S4574)),"United States",
ISNUMBER(SEARCH("Republic of Ireland",S4574)),"Ireland",
ISNUMBER(SEARCH("Republic of Korea",S4574)),"South Korea",
ISNUMBER(SEARCH("Cape Verde",S4574)),"Cabo Verde",
ISNUMBER(SEARCH("Czechia",S4574)),"Czech Republic",
ISNUMBER(SEARCH("Türkiye",S4574)),"Turkey",
ISNUMBER(SEARCH("Ivory Coast",S4574)),"Côte d'Ivoire",
ISNUMBER(SEARCH("Korea Republic",S4574)),"South Korea",
ISNUMBER(SEARCH("Germany FR",S4574)),"FR Germany",
ISNUMBER(SEARCH("West Germany",S4574)),"FR Germany",
ISNUMBER(SEARCH("Germany DR",S4574)),"DR Germany",
ISNUMBER(SEARCH("Korea DPR",S4574)),"North Korea",
ISNUMBER(SEARCH("China PR",S4574)),"China",
ISNUMBER(SEARCH("IR Iran",S4574)),"Iran",
ISNUMBER(SEARCH("Congo DR",S4574)),"Democratic Republic of the Congo",
ISNUMBER(SEARCH("DR Congo",S4574)),"Democratic Republic of the Congo",
ISNUMBER(SEARCH("German DR",S4574)),"DR Germany",
ISNUMBER(SEARCH("rn""&gt;United Arab Emirates",S4574)),"United Arab Emirates",
ISNUMBER(SEARCH("rn""&gt;Republic of Ireland",S4574)),"Ireland",
ISNUMBER(SEARCH("rn""&gt;Bosnia and Herzegovina",S4574)),"Bosnia and Herzegovina",
ISNUMBER(SEARCH("rn""&gt;Trinidad and Tobago",S4574)),"Trinidad and Tobago",
ISNUMBER(SEARCH("rn""&gt;Serbia and Montenegro",S4574)),"Serbia and Montenegro",
ISNUMBER(SEARCH(_xlfn.UNICHAR(65533),S4574)),"Côte d'Ivoire",
TRUE,"-"
)</f>
        <v>-</v>
      </c>
      <c r="W4574" s="42" t="str">
        <f t="shared" si="288"/>
        <v>-</v>
      </c>
    </row>
    <row r="4575" spans="19:23">
      <c r="S4575" s="42" t="str">
        <v/>
      </c>
      <c r="T4575" s="42" t="str">
        <f t="shared" si="286"/>
        <v>-</v>
      </c>
      <c r="U4575" s="40" t="str">
        <f t="shared" si="287"/>
        <v>-</v>
      </c>
      <c r="V4575" s="42" t="str" cm="1">
        <f t="array" ref="V4575">_xlfn.IFS(
LEFT(S4575,16)="win on penalties",IF(VALUE(MID(S4575,19,1))&gt;VALUE(MID(S4575,23,1)),DATA_CLEANED!AK89,DATA_CLEANED!AN89),
ISNUMBER(SEARCH("USA",S4575)),"United States",
ISNUMBER(SEARCH("Republic of Ireland",S4575)),"Ireland",
ISNUMBER(SEARCH("Republic of Korea",S4575)),"South Korea",
ISNUMBER(SEARCH("Cape Verde",S4575)),"Cabo Verde",
ISNUMBER(SEARCH("Czechia",S4575)),"Czech Republic",
ISNUMBER(SEARCH("Türkiye",S4575)),"Turkey",
ISNUMBER(SEARCH("Ivory Coast",S4575)),"Côte d'Ivoire",
ISNUMBER(SEARCH("Korea Republic",S4575)),"South Korea",
ISNUMBER(SEARCH("Germany FR",S4575)),"FR Germany",
ISNUMBER(SEARCH("West Germany",S4575)),"FR Germany",
ISNUMBER(SEARCH("Germany DR",S4575)),"DR Germany",
ISNUMBER(SEARCH("Korea DPR",S4575)),"North Korea",
ISNUMBER(SEARCH("China PR",S4575)),"China",
ISNUMBER(SEARCH("IR Iran",S4575)),"Iran",
ISNUMBER(SEARCH("Congo DR",S4575)),"Democratic Republic of the Congo",
ISNUMBER(SEARCH("DR Congo",S4575)),"Democratic Republic of the Congo",
ISNUMBER(SEARCH("German DR",S4575)),"DR Germany",
ISNUMBER(SEARCH("rn""&gt;United Arab Emirates",S4575)),"United Arab Emirates",
ISNUMBER(SEARCH("rn""&gt;Republic of Ireland",S4575)),"Ireland",
ISNUMBER(SEARCH("rn""&gt;Bosnia and Herzegovina",S4575)),"Bosnia and Herzegovina",
ISNUMBER(SEARCH("rn""&gt;Trinidad and Tobago",S4575)),"Trinidad and Tobago",
ISNUMBER(SEARCH("rn""&gt;Serbia and Montenegro",S4575)),"Serbia and Montenegro",
ISNUMBER(SEARCH(_xlfn.UNICHAR(65533),S4575)),"Côte d'Ivoire",
TRUE,"-"
)</f>
        <v>-</v>
      </c>
      <c r="W4575" s="42" t="str">
        <f t="shared" si="288"/>
        <v>-</v>
      </c>
    </row>
    <row r="4576" spans="19:23">
      <c r="S4576" s="42" t="str">
        <v/>
      </c>
      <c r="T4576" s="42" t="str">
        <f t="shared" si="286"/>
        <v>-</v>
      </c>
      <c r="U4576" s="40" t="str">
        <f t="shared" si="287"/>
        <v>-</v>
      </c>
      <c r="V4576" s="42" t="str" cm="1">
        <f t="array" ref="V4576">_xlfn.IFS(
LEFT(S4576,16)="win on penalties",IF(VALUE(MID(S4576,19,1))&gt;VALUE(MID(S4576,23,1)),DATA_CLEANED!AK90,DATA_CLEANED!AN90),
ISNUMBER(SEARCH("USA",S4576)),"United States",
ISNUMBER(SEARCH("Republic of Ireland",S4576)),"Ireland",
ISNUMBER(SEARCH("Republic of Korea",S4576)),"South Korea",
ISNUMBER(SEARCH("Cape Verde",S4576)),"Cabo Verde",
ISNUMBER(SEARCH("Czechia",S4576)),"Czech Republic",
ISNUMBER(SEARCH("Türkiye",S4576)),"Turkey",
ISNUMBER(SEARCH("Ivory Coast",S4576)),"Côte d'Ivoire",
ISNUMBER(SEARCH("Korea Republic",S4576)),"South Korea",
ISNUMBER(SEARCH("Germany FR",S4576)),"FR Germany",
ISNUMBER(SEARCH("West Germany",S4576)),"FR Germany",
ISNUMBER(SEARCH("Germany DR",S4576)),"DR Germany",
ISNUMBER(SEARCH("Korea DPR",S4576)),"North Korea",
ISNUMBER(SEARCH("China PR",S4576)),"China",
ISNUMBER(SEARCH("IR Iran",S4576)),"Iran",
ISNUMBER(SEARCH("Congo DR",S4576)),"Democratic Republic of the Congo",
ISNUMBER(SEARCH("DR Congo",S4576)),"Democratic Republic of the Congo",
ISNUMBER(SEARCH("German DR",S4576)),"DR Germany",
ISNUMBER(SEARCH("rn""&gt;United Arab Emirates",S4576)),"United Arab Emirates",
ISNUMBER(SEARCH("rn""&gt;Republic of Ireland",S4576)),"Ireland",
ISNUMBER(SEARCH("rn""&gt;Bosnia and Herzegovina",S4576)),"Bosnia and Herzegovina",
ISNUMBER(SEARCH("rn""&gt;Trinidad and Tobago",S4576)),"Trinidad and Tobago",
ISNUMBER(SEARCH("rn""&gt;Serbia and Montenegro",S4576)),"Serbia and Montenegro",
ISNUMBER(SEARCH(_xlfn.UNICHAR(65533),S4576)),"Côte d'Ivoire",
TRUE,"-"
)</f>
        <v>-</v>
      </c>
      <c r="W4576" s="42" t="str">
        <f t="shared" si="288"/>
        <v>-</v>
      </c>
    </row>
    <row r="4577" spans="19:23">
      <c r="S4577" s="42" t="str">
        <v/>
      </c>
      <c r="T4577" s="42" t="str">
        <f t="shared" si="286"/>
        <v>-</v>
      </c>
      <c r="U4577" s="40" t="str">
        <f t="shared" si="287"/>
        <v>-</v>
      </c>
      <c r="V4577" s="42" t="str" cm="1">
        <f t="array" ref="V4577">_xlfn.IFS(
LEFT(S4577,16)="win on penalties",IF(VALUE(MID(S4577,19,1))&gt;VALUE(MID(S4577,23,1)),DATA_CLEANED!AK91,DATA_CLEANED!AN91),
ISNUMBER(SEARCH("USA",S4577)),"United States",
ISNUMBER(SEARCH("Republic of Ireland",S4577)),"Ireland",
ISNUMBER(SEARCH("Republic of Korea",S4577)),"South Korea",
ISNUMBER(SEARCH("Cape Verde",S4577)),"Cabo Verde",
ISNUMBER(SEARCH("Czechia",S4577)),"Czech Republic",
ISNUMBER(SEARCH("Türkiye",S4577)),"Turkey",
ISNUMBER(SEARCH("Ivory Coast",S4577)),"Côte d'Ivoire",
ISNUMBER(SEARCH("Korea Republic",S4577)),"South Korea",
ISNUMBER(SEARCH("Germany FR",S4577)),"FR Germany",
ISNUMBER(SEARCH("West Germany",S4577)),"FR Germany",
ISNUMBER(SEARCH("Germany DR",S4577)),"DR Germany",
ISNUMBER(SEARCH("Korea DPR",S4577)),"North Korea",
ISNUMBER(SEARCH("China PR",S4577)),"China",
ISNUMBER(SEARCH("IR Iran",S4577)),"Iran",
ISNUMBER(SEARCH("Congo DR",S4577)),"Democratic Republic of the Congo",
ISNUMBER(SEARCH("DR Congo",S4577)),"Democratic Republic of the Congo",
ISNUMBER(SEARCH("German DR",S4577)),"DR Germany",
ISNUMBER(SEARCH("rn""&gt;United Arab Emirates",S4577)),"United Arab Emirates",
ISNUMBER(SEARCH("rn""&gt;Republic of Ireland",S4577)),"Ireland",
ISNUMBER(SEARCH("rn""&gt;Bosnia and Herzegovina",S4577)),"Bosnia and Herzegovina",
ISNUMBER(SEARCH("rn""&gt;Trinidad and Tobago",S4577)),"Trinidad and Tobago",
ISNUMBER(SEARCH("rn""&gt;Serbia and Montenegro",S4577)),"Serbia and Montenegro",
ISNUMBER(SEARCH(_xlfn.UNICHAR(65533),S4577)),"Côte d'Ivoire",
TRUE,"-"
)</f>
        <v>-</v>
      </c>
      <c r="W4577" s="42" t="str">
        <f t="shared" si="288"/>
        <v>-</v>
      </c>
    </row>
    <row r="4578" spans="19:23">
      <c r="S4578" s="42" t="str">
        <v/>
      </c>
      <c r="T4578" s="42" t="str">
        <f t="shared" si="286"/>
        <v>-</v>
      </c>
      <c r="U4578" s="40" t="str">
        <f t="shared" si="287"/>
        <v>-</v>
      </c>
      <c r="V4578" s="42" t="str" cm="1">
        <f t="array" ref="V4578">_xlfn.IFS(
LEFT(S4578,16)="win on penalties",IF(VALUE(MID(S4578,19,1))&gt;VALUE(MID(S4578,23,1)),DATA_CLEANED!AK92,DATA_CLEANED!AN92),
ISNUMBER(SEARCH("USA",S4578)),"United States",
ISNUMBER(SEARCH("Republic of Ireland",S4578)),"Ireland",
ISNUMBER(SEARCH("Republic of Korea",S4578)),"South Korea",
ISNUMBER(SEARCH("Cape Verde",S4578)),"Cabo Verde",
ISNUMBER(SEARCH("Czechia",S4578)),"Czech Republic",
ISNUMBER(SEARCH("Türkiye",S4578)),"Turkey",
ISNUMBER(SEARCH("Ivory Coast",S4578)),"Côte d'Ivoire",
ISNUMBER(SEARCH("Korea Republic",S4578)),"South Korea",
ISNUMBER(SEARCH("Germany FR",S4578)),"FR Germany",
ISNUMBER(SEARCH("West Germany",S4578)),"FR Germany",
ISNUMBER(SEARCH("Germany DR",S4578)),"DR Germany",
ISNUMBER(SEARCH("Korea DPR",S4578)),"North Korea",
ISNUMBER(SEARCH("China PR",S4578)),"China",
ISNUMBER(SEARCH("IR Iran",S4578)),"Iran",
ISNUMBER(SEARCH("Congo DR",S4578)),"Democratic Republic of the Congo",
ISNUMBER(SEARCH("DR Congo",S4578)),"Democratic Republic of the Congo",
ISNUMBER(SEARCH("German DR",S4578)),"DR Germany",
ISNUMBER(SEARCH("rn""&gt;United Arab Emirates",S4578)),"United Arab Emirates",
ISNUMBER(SEARCH("rn""&gt;Republic of Ireland",S4578)),"Ireland",
ISNUMBER(SEARCH("rn""&gt;Bosnia and Herzegovina",S4578)),"Bosnia and Herzegovina",
ISNUMBER(SEARCH("rn""&gt;Trinidad and Tobago",S4578)),"Trinidad and Tobago",
ISNUMBER(SEARCH("rn""&gt;Serbia and Montenegro",S4578)),"Serbia and Montenegro",
ISNUMBER(SEARCH(_xlfn.UNICHAR(65533),S4578)),"Côte d'Ivoire",
TRUE,"-"
)</f>
        <v>-</v>
      </c>
      <c r="W4578" s="42" t="str">
        <f t="shared" si="288"/>
        <v>-</v>
      </c>
    </row>
    <row r="4579" spans="19:23">
      <c r="S4579" s="42" t="str">
        <v/>
      </c>
      <c r="T4579" s="42" t="str">
        <f t="shared" si="286"/>
        <v>-</v>
      </c>
      <c r="U4579" s="40" t="str">
        <f t="shared" si="287"/>
        <v>-</v>
      </c>
      <c r="V4579" s="42" t="str" cm="1">
        <f t="array" ref="V4579">_xlfn.IFS(
LEFT(S4579,16)="win on penalties",IF(VALUE(MID(S4579,19,1))&gt;VALUE(MID(S4579,23,1)),DATA_CLEANED!AK93,DATA_CLEANED!AN93),
ISNUMBER(SEARCH("USA",S4579)),"United States",
ISNUMBER(SEARCH("Republic of Ireland",S4579)),"Ireland",
ISNUMBER(SEARCH("Republic of Korea",S4579)),"South Korea",
ISNUMBER(SEARCH("Cape Verde",S4579)),"Cabo Verde",
ISNUMBER(SEARCH("Czechia",S4579)),"Czech Republic",
ISNUMBER(SEARCH("Türkiye",S4579)),"Turkey",
ISNUMBER(SEARCH("Ivory Coast",S4579)),"Côte d'Ivoire",
ISNUMBER(SEARCH("Korea Republic",S4579)),"South Korea",
ISNUMBER(SEARCH("Germany FR",S4579)),"FR Germany",
ISNUMBER(SEARCH("West Germany",S4579)),"FR Germany",
ISNUMBER(SEARCH("Germany DR",S4579)),"DR Germany",
ISNUMBER(SEARCH("Korea DPR",S4579)),"North Korea",
ISNUMBER(SEARCH("China PR",S4579)),"China",
ISNUMBER(SEARCH("IR Iran",S4579)),"Iran",
ISNUMBER(SEARCH("Congo DR",S4579)),"Democratic Republic of the Congo",
ISNUMBER(SEARCH("DR Congo",S4579)),"Democratic Republic of the Congo",
ISNUMBER(SEARCH("German DR",S4579)),"DR Germany",
ISNUMBER(SEARCH("rn""&gt;United Arab Emirates",S4579)),"United Arab Emirates",
ISNUMBER(SEARCH("rn""&gt;Republic of Ireland",S4579)),"Ireland",
ISNUMBER(SEARCH("rn""&gt;Bosnia and Herzegovina",S4579)),"Bosnia and Herzegovina",
ISNUMBER(SEARCH("rn""&gt;Trinidad and Tobago",S4579)),"Trinidad and Tobago",
ISNUMBER(SEARCH("rn""&gt;Serbia and Montenegro",S4579)),"Serbia and Montenegro",
ISNUMBER(SEARCH(_xlfn.UNICHAR(65533),S4579)),"Côte d'Ivoire",
TRUE,"-"
)</f>
        <v>-</v>
      </c>
      <c r="W4579" s="42" t="str">
        <f t="shared" si="288"/>
        <v>-</v>
      </c>
    </row>
    <row r="4580" spans="19:23">
      <c r="S4580" s="42" t="str">
        <v/>
      </c>
      <c r="T4580" s="42" t="str">
        <f t="shared" si="286"/>
        <v>-</v>
      </c>
      <c r="U4580" s="40" t="str">
        <f t="shared" si="287"/>
        <v>-</v>
      </c>
      <c r="V4580" s="42" t="str" cm="1">
        <f t="array" ref="V4580">_xlfn.IFS(
LEFT(S4580,16)="win on penalties",IF(VALUE(MID(S4580,19,1))&gt;VALUE(MID(S4580,23,1)),DATA_CLEANED!AK94,DATA_CLEANED!AN94),
ISNUMBER(SEARCH("USA",S4580)),"United States",
ISNUMBER(SEARCH("Republic of Ireland",S4580)),"Ireland",
ISNUMBER(SEARCH("Republic of Korea",S4580)),"South Korea",
ISNUMBER(SEARCH("Cape Verde",S4580)),"Cabo Verde",
ISNUMBER(SEARCH("Czechia",S4580)),"Czech Republic",
ISNUMBER(SEARCH("Türkiye",S4580)),"Turkey",
ISNUMBER(SEARCH("Ivory Coast",S4580)),"Côte d'Ivoire",
ISNUMBER(SEARCH("Korea Republic",S4580)),"South Korea",
ISNUMBER(SEARCH("Germany FR",S4580)),"FR Germany",
ISNUMBER(SEARCH("West Germany",S4580)),"FR Germany",
ISNUMBER(SEARCH("Germany DR",S4580)),"DR Germany",
ISNUMBER(SEARCH("Korea DPR",S4580)),"North Korea",
ISNUMBER(SEARCH("China PR",S4580)),"China",
ISNUMBER(SEARCH("IR Iran",S4580)),"Iran",
ISNUMBER(SEARCH("Congo DR",S4580)),"Democratic Republic of the Congo",
ISNUMBER(SEARCH("DR Congo",S4580)),"Democratic Republic of the Congo",
ISNUMBER(SEARCH("German DR",S4580)),"DR Germany",
ISNUMBER(SEARCH("rn""&gt;United Arab Emirates",S4580)),"United Arab Emirates",
ISNUMBER(SEARCH("rn""&gt;Republic of Ireland",S4580)),"Ireland",
ISNUMBER(SEARCH("rn""&gt;Bosnia and Herzegovina",S4580)),"Bosnia and Herzegovina",
ISNUMBER(SEARCH("rn""&gt;Trinidad and Tobago",S4580)),"Trinidad and Tobago",
ISNUMBER(SEARCH("rn""&gt;Serbia and Montenegro",S4580)),"Serbia and Montenegro",
ISNUMBER(SEARCH(_xlfn.UNICHAR(65533),S4580)),"Côte d'Ivoire",
TRUE,"-"
)</f>
        <v>-</v>
      </c>
      <c r="W4580" s="42" t="str">
        <f t="shared" si="288"/>
        <v>-</v>
      </c>
    </row>
    <row r="4581" spans="19:23">
      <c r="S4581" s="42" t="str">
        <v/>
      </c>
      <c r="T4581" s="42" t="str">
        <f t="shared" si="286"/>
        <v>-</v>
      </c>
      <c r="U4581" s="40" t="str">
        <f t="shared" si="287"/>
        <v>-</v>
      </c>
      <c r="V4581" s="42" t="str" cm="1">
        <f t="array" ref="V4581">_xlfn.IFS(
LEFT(S4581,16)="win on penalties",IF(VALUE(MID(S4581,19,1))&gt;VALUE(MID(S4581,23,1)),DATA_CLEANED!AK95,DATA_CLEANED!AN95),
ISNUMBER(SEARCH("USA",S4581)),"United States",
ISNUMBER(SEARCH("Republic of Ireland",S4581)),"Ireland",
ISNUMBER(SEARCH("Republic of Korea",S4581)),"South Korea",
ISNUMBER(SEARCH("Cape Verde",S4581)),"Cabo Verde",
ISNUMBER(SEARCH("Czechia",S4581)),"Czech Republic",
ISNUMBER(SEARCH("Türkiye",S4581)),"Turkey",
ISNUMBER(SEARCH("Ivory Coast",S4581)),"Côte d'Ivoire",
ISNUMBER(SEARCH("Korea Republic",S4581)),"South Korea",
ISNUMBER(SEARCH("Germany FR",S4581)),"FR Germany",
ISNUMBER(SEARCH("West Germany",S4581)),"FR Germany",
ISNUMBER(SEARCH("Germany DR",S4581)),"DR Germany",
ISNUMBER(SEARCH("Korea DPR",S4581)),"North Korea",
ISNUMBER(SEARCH("China PR",S4581)),"China",
ISNUMBER(SEARCH("IR Iran",S4581)),"Iran",
ISNUMBER(SEARCH("Congo DR",S4581)),"Democratic Republic of the Congo",
ISNUMBER(SEARCH("DR Congo",S4581)),"Democratic Republic of the Congo",
ISNUMBER(SEARCH("German DR",S4581)),"DR Germany",
ISNUMBER(SEARCH("rn""&gt;United Arab Emirates",S4581)),"United Arab Emirates",
ISNUMBER(SEARCH("rn""&gt;Republic of Ireland",S4581)),"Ireland",
ISNUMBER(SEARCH("rn""&gt;Bosnia and Herzegovina",S4581)),"Bosnia and Herzegovina",
ISNUMBER(SEARCH("rn""&gt;Trinidad and Tobago",S4581)),"Trinidad and Tobago",
ISNUMBER(SEARCH("rn""&gt;Serbia and Montenegro",S4581)),"Serbia and Montenegro",
ISNUMBER(SEARCH(_xlfn.UNICHAR(65533),S4581)),"Côte d'Ivoire",
TRUE,"-"
)</f>
        <v>-</v>
      </c>
      <c r="W4581" s="42" t="str">
        <f t="shared" si="288"/>
        <v>-</v>
      </c>
    </row>
    <row r="4582" spans="19:23">
      <c r="S4582" s="42" t="str">
        <v/>
      </c>
      <c r="T4582" s="42" t="str">
        <f t="shared" si="286"/>
        <v>-</v>
      </c>
      <c r="U4582" s="40" t="str">
        <f t="shared" si="287"/>
        <v>-</v>
      </c>
      <c r="V4582" s="42" t="str" cm="1">
        <f t="array" ref="V4582">_xlfn.IFS(
LEFT(S4582,16)="win on penalties",IF(VALUE(MID(S4582,19,1))&gt;VALUE(MID(S4582,23,1)),DATA_CLEANED!AK96,DATA_CLEANED!AN96),
ISNUMBER(SEARCH("USA",S4582)),"United States",
ISNUMBER(SEARCH("Republic of Ireland",S4582)),"Ireland",
ISNUMBER(SEARCH("Republic of Korea",S4582)),"South Korea",
ISNUMBER(SEARCH("Cape Verde",S4582)),"Cabo Verde",
ISNUMBER(SEARCH("Czechia",S4582)),"Czech Republic",
ISNUMBER(SEARCH("Türkiye",S4582)),"Turkey",
ISNUMBER(SEARCH("Ivory Coast",S4582)),"Côte d'Ivoire",
ISNUMBER(SEARCH("Korea Republic",S4582)),"South Korea",
ISNUMBER(SEARCH("Germany FR",S4582)),"FR Germany",
ISNUMBER(SEARCH("West Germany",S4582)),"FR Germany",
ISNUMBER(SEARCH("Germany DR",S4582)),"DR Germany",
ISNUMBER(SEARCH("Korea DPR",S4582)),"North Korea",
ISNUMBER(SEARCH("China PR",S4582)),"China",
ISNUMBER(SEARCH("IR Iran",S4582)),"Iran",
ISNUMBER(SEARCH("Congo DR",S4582)),"Democratic Republic of the Congo",
ISNUMBER(SEARCH("DR Congo",S4582)),"Democratic Republic of the Congo",
ISNUMBER(SEARCH("German DR",S4582)),"DR Germany",
ISNUMBER(SEARCH("rn""&gt;United Arab Emirates",S4582)),"United Arab Emirates",
ISNUMBER(SEARCH("rn""&gt;Republic of Ireland",S4582)),"Ireland",
ISNUMBER(SEARCH("rn""&gt;Bosnia and Herzegovina",S4582)),"Bosnia and Herzegovina",
ISNUMBER(SEARCH("rn""&gt;Trinidad and Tobago",S4582)),"Trinidad and Tobago",
ISNUMBER(SEARCH("rn""&gt;Serbia and Montenegro",S4582)),"Serbia and Montenegro",
ISNUMBER(SEARCH(_xlfn.UNICHAR(65533),S4582)),"Côte d'Ivoire",
TRUE,"-"
)</f>
        <v>-</v>
      </c>
      <c r="W4582" s="42" t="str">
        <f t="shared" si="288"/>
        <v>-</v>
      </c>
    </row>
    <row r="4583" spans="19:23">
      <c r="S4583" s="42" t="str">
        <v/>
      </c>
      <c r="T4583" s="42" t="str">
        <f t="shared" si="286"/>
        <v>-</v>
      </c>
      <c r="U4583" s="40" t="str">
        <f t="shared" si="287"/>
        <v>-</v>
      </c>
      <c r="V4583" s="42" t="str" cm="1">
        <f t="array" ref="V4583">_xlfn.IFS(
LEFT(S4583,16)="win on penalties",IF(VALUE(MID(S4583,19,1))&gt;VALUE(MID(S4583,23,1)),DATA_CLEANED!AK97,DATA_CLEANED!AN97),
ISNUMBER(SEARCH("USA",S4583)),"United States",
ISNUMBER(SEARCH("Republic of Ireland",S4583)),"Ireland",
ISNUMBER(SEARCH("Republic of Korea",S4583)),"South Korea",
ISNUMBER(SEARCH("Cape Verde",S4583)),"Cabo Verde",
ISNUMBER(SEARCH("Czechia",S4583)),"Czech Republic",
ISNUMBER(SEARCH("Türkiye",S4583)),"Turkey",
ISNUMBER(SEARCH("Ivory Coast",S4583)),"Côte d'Ivoire",
ISNUMBER(SEARCH("Korea Republic",S4583)),"South Korea",
ISNUMBER(SEARCH("Germany FR",S4583)),"FR Germany",
ISNUMBER(SEARCH("West Germany",S4583)),"FR Germany",
ISNUMBER(SEARCH("Germany DR",S4583)),"DR Germany",
ISNUMBER(SEARCH("Korea DPR",S4583)),"North Korea",
ISNUMBER(SEARCH("China PR",S4583)),"China",
ISNUMBER(SEARCH("IR Iran",S4583)),"Iran",
ISNUMBER(SEARCH("Congo DR",S4583)),"Democratic Republic of the Congo",
ISNUMBER(SEARCH("DR Congo",S4583)),"Democratic Republic of the Congo",
ISNUMBER(SEARCH("German DR",S4583)),"DR Germany",
ISNUMBER(SEARCH("rn""&gt;United Arab Emirates",S4583)),"United Arab Emirates",
ISNUMBER(SEARCH("rn""&gt;Republic of Ireland",S4583)),"Ireland",
ISNUMBER(SEARCH("rn""&gt;Bosnia and Herzegovina",S4583)),"Bosnia and Herzegovina",
ISNUMBER(SEARCH("rn""&gt;Trinidad and Tobago",S4583)),"Trinidad and Tobago",
ISNUMBER(SEARCH("rn""&gt;Serbia and Montenegro",S4583)),"Serbia and Montenegro",
ISNUMBER(SEARCH(_xlfn.UNICHAR(65533),S4583)),"Côte d'Ivoire",
TRUE,"-"
)</f>
        <v>-</v>
      </c>
      <c r="W4583" s="42" t="str">
        <f t="shared" si="288"/>
        <v>-</v>
      </c>
    </row>
    <row r="4584" spans="19:23">
      <c r="S4584" s="42" t="str">
        <v/>
      </c>
      <c r="T4584" s="42" t="str">
        <f t="shared" si="286"/>
        <v>-</v>
      </c>
      <c r="U4584" s="40" t="str">
        <f t="shared" si="287"/>
        <v>-</v>
      </c>
      <c r="V4584" s="42" t="str" cm="1">
        <f t="array" ref="V4584">_xlfn.IFS(
LEFT(S4584,16)="win on penalties",IF(VALUE(MID(S4584,19,1))&gt;VALUE(MID(S4584,23,1)),DATA_CLEANED!AK98,DATA_CLEANED!AN98),
ISNUMBER(SEARCH("USA",S4584)),"United States",
ISNUMBER(SEARCH("Republic of Ireland",S4584)),"Ireland",
ISNUMBER(SEARCH("Republic of Korea",S4584)),"South Korea",
ISNUMBER(SEARCH("Cape Verde",S4584)),"Cabo Verde",
ISNUMBER(SEARCH("Czechia",S4584)),"Czech Republic",
ISNUMBER(SEARCH("Türkiye",S4584)),"Turkey",
ISNUMBER(SEARCH("Ivory Coast",S4584)),"Côte d'Ivoire",
ISNUMBER(SEARCH("Korea Republic",S4584)),"South Korea",
ISNUMBER(SEARCH("Germany FR",S4584)),"FR Germany",
ISNUMBER(SEARCH("West Germany",S4584)),"FR Germany",
ISNUMBER(SEARCH("Germany DR",S4584)),"DR Germany",
ISNUMBER(SEARCH("Korea DPR",S4584)),"North Korea",
ISNUMBER(SEARCH("China PR",S4584)),"China",
ISNUMBER(SEARCH("IR Iran",S4584)),"Iran",
ISNUMBER(SEARCH("Congo DR",S4584)),"Democratic Republic of the Congo",
ISNUMBER(SEARCH("DR Congo",S4584)),"Democratic Republic of the Congo",
ISNUMBER(SEARCH("German DR",S4584)),"DR Germany",
ISNUMBER(SEARCH("rn""&gt;United Arab Emirates",S4584)),"United Arab Emirates",
ISNUMBER(SEARCH("rn""&gt;Republic of Ireland",S4584)),"Ireland",
ISNUMBER(SEARCH("rn""&gt;Bosnia and Herzegovina",S4584)),"Bosnia and Herzegovina",
ISNUMBER(SEARCH("rn""&gt;Trinidad and Tobago",S4584)),"Trinidad and Tobago",
ISNUMBER(SEARCH("rn""&gt;Serbia and Montenegro",S4584)),"Serbia and Montenegro",
ISNUMBER(SEARCH(_xlfn.UNICHAR(65533),S4584)),"Côte d'Ivoire",
TRUE,"-"
)</f>
        <v>-</v>
      </c>
      <c r="W4584" s="42" t="str">
        <f t="shared" si="288"/>
        <v>-</v>
      </c>
    </row>
    <row r="4585" spans="19:23">
      <c r="S4585" s="42" t="str">
        <v/>
      </c>
      <c r="T4585" s="42" t="str">
        <f t="shared" si="286"/>
        <v>-</v>
      </c>
      <c r="U4585" s="40" t="str">
        <f t="shared" si="287"/>
        <v>-</v>
      </c>
      <c r="V4585" s="42" t="str" cm="1">
        <f t="array" ref="V4585">_xlfn.IFS(
LEFT(S4585,16)="win on penalties",IF(VALUE(MID(S4585,19,1))&gt;VALUE(MID(S4585,23,1)),DATA_CLEANED!AK99,DATA_CLEANED!AN99),
ISNUMBER(SEARCH("USA",S4585)),"United States",
ISNUMBER(SEARCH("Republic of Ireland",S4585)),"Ireland",
ISNUMBER(SEARCH("Republic of Korea",S4585)),"South Korea",
ISNUMBER(SEARCH("Cape Verde",S4585)),"Cabo Verde",
ISNUMBER(SEARCH("Czechia",S4585)),"Czech Republic",
ISNUMBER(SEARCH("Türkiye",S4585)),"Turkey",
ISNUMBER(SEARCH("Ivory Coast",S4585)),"Côte d'Ivoire",
ISNUMBER(SEARCH("Korea Republic",S4585)),"South Korea",
ISNUMBER(SEARCH("Germany FR",S4585)),"FR Germany",
ISNUMBER(SEARCH("West Germany",S4585)),"FR Germany",
ISNUMBER(SEARCH("Germany DR",S4585)),"DR Germany",
ISNUMBER(SEARCH("Korea DPR",S4585)),"North Korea",
ISNUMBER(SEARCH("China PR",S4585)),"China",
ISNUMBER(SEARCH("IR Iran",S4585)),"Iran",
ISNUMBER(SEARCH("Congo DR",S4585)),"Democratic Republic of the Congo",
ISNUMBER(SEARCH("DR Congo",S4585)),"Democratic Republic of the Congo",
ISNUMBER(SEARCH("German DR",S4585)),"DR Germany",
ISNUMBER(SEARCH("rn""&gt;United Arab Emirates",S4585)),"United Arab Emirates",
ISNUMBER(SEARCH("rn""&gt;Republic of Ireland",S4585)),"Ireland",
ISNUMBER(SEARCH("rn""&gt;Bosnia and Herzegovina",S4585)),"Bosnia and Herzegovina",
ISNUMBER(SEARCH("rn""&gt;Trinidad and Tobago",S4585)),"Trinidad and Tobago",
ISNUMBER(SEARCH("rn""&gt;Serbia and Montenegro",S4585)),"Serbia and Montenegro",
ISNUMBER(SEARCH(_xlfn.UNICHAR(65533),S4585)),"Côte d'Ivoire",
TRUE,"-"
)</f>
        <v>-</v>
      </c>
      <c r="W4585" s="42" t="str">
        <f t="shared" si="288"/>
        <v>-</v>
      </c>
    </row>
    <row r="4586" spans="19:23">
      <c r="S4586" s="42" t="str">
        <v/>
      </c>
      <c r="T4586" s="42" t="str">
        <f t="shared" si="286"/>
        <v>-</v>
      </c>
      <c r="U4586" s="40" t="str">
        <f t="shared" si="287"/>
        <v>-</v>
      </c>
      <c r="V4586" s="42" t="str" cm="1">
        <f t="array" ref="V4586">_xlfn.IFS(
LEFT(S4586,16)="win on penalties",IF(VALUE(MID(S4586,19,1))&gt;VALUE(MID(S4586,23,1)),DATA_CLEANED!AK100,DATA_CLEANED!AN100),
ISNUMBER(SEARCH("USA",S4586)),"United States",
ISNUMBER(SEARCH("Republic of Ireland",S4586)),"Ireland",
ISNUMBER(SEARCH("Republic of Korea",S4586)),"South Korea",
ISNUMBER(SEARCH("Cape Verde",S4586)),"Cabo Verde",
ISNUMBER(SEARCH("Czechia",S4586)),"Czech Republic",
ISNUMBER(SEARCH("Türkiye",S4586)),"Turkey",
ISNUMBER(SEARCH("Ivory Coast",S4586)),"Côte d'Ivoire",
ISNUMBER(SEARCH("Korea Republic",S4586)),"South Korea",
ISNUMBER(SEARCH("Germany FR",S4586)),"FR Germany",
ISNUMBER(SEARCH("West Germany",S4586)),"FR Germany",
ISNUMBER(SEARCH("Germany DR",S4586)),"DR Germany",
ISNUMBER(SEARCH("Korea DPR",S4586)),"North Korea",
ISNUMBER(SEARCH("China PR",S4586)),"China",
ISNUMBER(SEARCH("IR Iran",S4586)),"Iran",
ISNUMBER(SEARCH("Congo DR",S4586)),"Democratic Republic of the Congo",
ISNUMBER(SEARCH("DR Congo",S4586)),"Democratic Republic of the Congo",
ISNUMBER(SEARCH("German DR",S4586)),"DR Germany",
ISNUMBER(SEARCH("rn""&gt;United Arab Emirates",S4586)),"United Arab Emirates",
ISNUMBER(SEARCH("rn""&gt;Republic of Ireland",S4586)),"Ireland",
ISNUMBER(SEARCH("rn""&gt;Bosnia and Herzegovina",S4586)),"Bosnia and Herzegovina",
ISNUMBER(SEARCH("rn""&gt;Trinidad and Tobago",S4586)),"Trinidad and Tobago",
ISNUMBER(SEARCH("rn""&gt;Serbia and Montenegro",S4586)),"Serbia and Montenegro",
ISNUMBER(SEARCH(_xlfn.UNICHAR(65533),S4586)),"Côte d'Ivoire",
TRUE,"-"
)</f>
        <v>-</v>
      </c>
      <c r="W4586" s="42" t="str">
        <f t="shared" si="288"/>
        <v>-</v>
      </c>
    </row>
    <row r="4587" spans="19:23">
      <c r="S4587" s="42" t="str">
        <v>Hungary win after extra time</v>
      </c>
      <c r="T4587" s="42" t="str">
        <f t="shared" si="286"/>
        <v>Hungary</v>
      </c>
      <c r="U4587" s="40" t="str">
        <f t="shared" si="287"/>
        <v>AUCUNE</v>
      </c>
      <c r="V4587" s="42" t="str" cm="1">
        <f t="array" ref="V4587">_xlfn.IFS(
LEFT(S4587,16)="win on penalties",IF(VALUE(MID(S4587,19,1))&gt;VALUE(MID(S4587,23,1)),DATA_CLEANED!AK101,DATA_CLEANED!AN101),
ISNUMBER(SEARCH("USA",S4587)),"United States",
ISNUMBER(SEARCH("Republic of Ireland",S4587)),"Ireland",
ISNUMBER(SEARCH("Republic of Korea",S4587)),"South Korea",
ISNUMBER(SEARCH("Cape Verde",S4587)),"Cabo Verde",
ISNUMBER(SEARCH("Czechia",S4587)),"Czech Republic",
ISNUMBER(SEARCH("Türkiye",S4587)),"Turkey",
ISNUMBER(SEARCH("Ivory Coast",S4587)),"Côte d'Ivoire",
ISNUMBER(SEARCH("Korea Republic",S4587)),"South Korea",
ISNUMBER(SEARCH("Germany FR",S4587)),"FR Germany",
ISNUMBER(SEARCH("West Germany",S4587)),"FR Germany",
ISNUMBER(SEARCH("Germany DR",S4587)),"DR Germany",
ISNUMBER(SEARCH("Korea DPR",S4587)),"North Korea",
ISNUMBER(SEARCH("China PR",S4587)),"China",
ISNUMBER(SEARCH("IR Iran",S4587)),"Iran",
ISNUMBER(SEARCH("Congo DR",S4587)),"Democratic Republic of the Congo",
ISNUMBER(SEARCH("DR Congo",S4587)),"Democratic Republic of the Congo",
ISNUMBER(SEARCH("German DR",S4587)),"DR Germany",
ISNUMBER(SEARCH("rn""&gt;United Arab Emirates",S4587)),"United Arab Emirates",
ISNUMBER(SEARCH("rn""&gt;Republic of Ireland",S4587)),"Ireland",
ISNUMBER(SEARCH("rn""&gt;Bosnia and Herzegovina",S4587)),"Bosnia and Herzegovina",
ISNUMBER(SEARCH("rn""&gt;Trinidad and Tobago",S4587)),"Trinidad and Tobago",
ISNUMBER(SEARCH("rn""&gt;Serbia and Montenegro",S4587)),"Serbia and Montenegro",
ISNUMBER(SEARCH(_xlfn.UNICHAR(65533),S4587)),"Côte d'Ivoire",
TRUE,"-"
)</f>
        <v>-</v>
      </c>
      <c r="W4587" s="42" t="str">
        <f t="shared" si="288"/>
        <v>Hungary win after extra time</v>
      </c>
    </row>
    <row r="4588" spans="19:23">
      <c r="S4588" s="42" t="str">
        <v/>
      </c>
      <c r="T4588" s="42" t="str">
        <f t="shared" si="286"/>
        <v>-</v>
      </c>
      <c r="U4588" s="40" t="str">
        <f t="shared" si="287"/>
        <v>-</v>
      </c>
      <c r="V4588" s="42" t="str" cm="1">
        <f t="array" ref="V4588">_xlfn.IFS(
LEFT(S4588,16)="win on penalties",IF(VALUE(MID(S4588,19,1))&gt;VALUE(MID(S4588,23,1)),DATA_CLEANED!AK102,DATA_CLEANED!AN102),
ISNUMBER(SEARCH("USA",S4588)),"United States",
ISNUMBER(SEARCH("Republic of Ireland",S4588)),"Ireland",
ISNUMBER(SEARCH("Republic of Korea",S4588)),"South Korea",
ISNUMBER(SEARCH("Cape Verde",S4588)),"Cabo Verde",
ISNUMBER(SEARCH("Czechia",S4588)),"Czech Republic",
ISNUMBER(SEARCH("Türkiye",S4588)),"Turkey",
ISNUMBER(SEARCH("Ivory Coast",S4588)),"Côte d'Ivoire",
ISNUMBER(SEARCH("Korea Republic",S4588)),"South Korea",
ISNUMBER(SEARCH("Germany FR",S4588)),"FR Germany",
ISNUMBER(SEARCH("West Germany",S4588)),"FR Germany",
ISNUMBER(SEARCH("Germany DR",S4588)),"DR Germany",
ISNUMBER(SEARCH("Korea DPR",S4588)),"North Korea",
ISNUMBER(SEARCH("China PR",S4588)),"China",
ISNUMBER(SEARCH("IR Iran",S4588)),"Iran",
ISNUMBER(SEARCH("Congo DR",S4588)),"Democratic Republic of the Congo",
ISNUMBER(SEARCH("DR Congo",S4588)),"Democratic Republic of the Congo",
ISNUMBER(SEARCH("German DR",S4588)),"DR Germany",
ISNUMBER(SEARCH("rn""&gt;United Arab Emirates",S4588)),"United Arab Emirates",
ISNUMBER(SEARCH("rn""&gt;Republic of Ireland",S4588)),"Ireland",
ISNUMBER(SEARCH("rn""&gt;Bosnia and Herzegovina",S4588)),"Bosnia and Herzegovina",
ISNUMBER(SEARCH("rn""&gt;Trinidad and Tobago",S4588)),"Trinidad and Tobago",
ISNUMBER(SEARCH("rn""&gt;Serbia and Montenegro",S4588)),"Serbia and Montenegro",
ISNUMBER(SEARCH(_xlfn.UNICHAR(65533),S4588)),"Côte d'Ivoire",
TRUE,"-"
)</f>
        <v>-</v>
      </c>
      <c r="W4588" s="42" t="str">
        <f t="shared" si="288"/>
        <v>-</v>
      </c>
    </row>
    <row r="4589" spans="19:23">
      <c r="S4589" s="42" t="str">
        <v/>
      </c>
      <c r="T4589" s="42" t="str">
        <f t="shared" si="286"/>
        <v>-</v>
      </c>
      <c r="U4589" s="40" t="str">
        <f t="shared" si="287"/>
        <v>-</v>
      </c>
      <c r="V4589" s="42" t="str" cm="1">
        <f t="array" ref="V4589">_xlfn.IFS(
LEFT(S4589,16)="win on penalties",IF(VALUE(MID(S4589,19,1))&gt;VALUE(MID(S4589,23,1)),DATA_CLEANED!AK103,DATA_CLEANED!AN103),
ISNUMBER(SEARCH("USA",S4589)),"United States",
ISNUMBER(SEARCH("Republic of Ireland",S4589)),"Ireland",
ISNUMBER(SEARCH("Republic of Korea",S4589)),"South Korea",
ISNUMBER(SEARCH("Cape Verde",S4589)),"Cabo Verde",
ISNUMBER(SEARCH("Czechia",S4589)),"Czech Republic",
ISNUMBER(SEARCH("Türkiye",S4589)),"Turkey",
ISNUMBER(SEARCH("Ivory Coast",S4589)),"Côte d'Ivoire",
ISNUMBER(SEARCH("Korea Republic",S4589)),"South Korea",
ISNUMBER(SEARCH("Germany FR",S4589)),"FR Germany",
ISNUMBER(SEARCH("West Germany",S4589)),"FR Germany",
ISNUMBER(SEARCH("Germany DR",S4589)),"DR Germany",
ISNUMBER(SEARCH("Korea DPR",S4589)),"North Korea",
ISNUMBER(SEARCH("China PR",S4589)),"China",
ISNUMBER(SEARCH("IR Iran",S4589)),"Iran",
ISNUMBER(SEARCH("Congo DR",S4589)),"Democratic Republic of the Congo",
ISNUMBER(SEARCH("DR Congo",S4589)),"Democratic Republic of the Congo",
ISNUMBER(SEARCH("German DR",S4589)),"DR Germany",
ISNUMBER(SEARCH("rn""&gt;United Arab Emirates",S4589)),"United Arab Emirates",
ISNUMBER(SEARCH("rn""&gt;Republic of Ireland",S4589)),"Ireland",
ISNUMBER(SEARCH("rn""&gt;Bosnia and Herzegovina",S4589)),"Bosnia and Herzegovina",
ISNUMBER(SEARCH("rn""&gt;Trinidad and Tobago",S4589)),"Trinidad and Tobago",
ISNUMBER(SEARCH("rn""&gt;Serbia and Montenegro",S4589)),"Serbia and Montenegro",
ISNUMBER(SEARCH(_xlfn.UNICHAR(65533),S4589)),"Côte d'Ivoire",
TRUE,"-"
)</f>
        <v>-</v>
      </c>
      <c r="W4589" s="42" t="str">
        <f t="shared" si="288"/>
        <v>-</v>
      </c>
    </row>
    <row r="4590" spans="19:23">
      <c r="S4590" s="42" t="str">
        <v/>
      </c>
      <c r="T4590" s="42" t="str">
        <f t="shared" si="286"/>
        <v>-</v>
      </c>
      <c r="U4590" s="40" t="str">
        <f t="shared" si="287"/>
        <v>-</v>
      </c>
      <c r="V4590" s="42" t="str" cm="1">
        <f t="array" ref="V4590">_xlfn.IFS(
LEFT(S4590,16)="win on penalties",IF(VALUE(MID(S4590,19,1))&gt;VALUE(MID(S4590,23,1)),DATA_CLEANED!AK104,DATA_CLEANED!AN104),
ISNUMBER(SEARCH("USA",S4590)),"United States",
ISNUMBER(SEARCH("Republic of Ireland",S4590)),"Ireland",
ISNUMBER(SEARCH("Republic of Korea",S4590)),"South Korea",
ISNUMBER(SEARCH("Cape Verde",S4590)),"Cabo Verde",
ISNUMBER(SEARCH("Czechia",S4590)),"Czech Republic",
ISNUMBER(SEARCH("Türkiye",S4590)),"Turkey",
ISNUMBER(SEARCH("Ivory Coast",S4590)),"Côte d'Ivoire",
ISNUMBER(SEARCH("Korea Republic",S4590)),"South Korea",
ISNUMBER(SEARCH("Germany FR",S4590)),"FR Germany",
ISNUMBER(SEARCH("West Germany",S4590)),"FR Germany",
ISNUMBER(SEARCH("Germany DR",S4590)),"DR Germany",
ISNUMBER(SEARCH("Korea DPR",S4590)),"North Korea",
ISNUMBER(SEARCH("China PR",S4590)),"China",
ISNUMBER(SEARCH("IR Iran",S4590)),"Iran",
ISNUMBER(SEARCH("Congo DR",S4590)),"Democratic Republic of the Congo",
ISNUMBER(SEARCH("DR Congo",S4590)),"Democratic Republic of the Congo",
ISNUMBER(SEARCH("German DR",S4590)),"DR Germany",
ISNUMBER(SEARCH("rn""&gt;United Arab Emirates",S4590)),"United Arab Emirates",
ISNUMBER(SEARCH("rn""&gt;Republic of Ireland",S4590)),"Ireland",
ISNUMBER(SEARCH("rn""&gt;Bosnia and Herzegovina",S4590)),"Bosnia and Herzegovina",
ISNUMBER(SEARCH("rn""&gt;Trinidad and Tobago",S4590)),"Trinidad and Tobago",
ISNUMBER(SEARCH("rn""&gt;Serbia and Montenegro",S4590)),"Serbia and Montenegro",
ISNUMBER(SEARCH(_xlfn.UNICHAR(65533),S4590)),"Côte d'Ivoire",
TRUE,"-"
)</f>
        <v>-</v>
      </c>
      <c r="W4590" s="42" t="str">
        <f t="shared" si="288"/>
        <v>-</v>
      </c>
    </row>
    <row r="4591" spans="19:23">
      <c r="S4591" s="42" t="str">
        <v/>
      </c>
      <c r="T4591" s="42" t="str">
        <f t="shared" si="286"/>
        <v>-</v>
      </c>
      <c r="U4591" s="40" t="str">
        <f t="shared" si="287"/>
        <v>-</v>
      </c>
      <c r="V4591" s="42" t="str" cm="1">
        <f t="array" ref="V4591">_xlfn.IFS(
LEFT(S4591,16)="win on penalties",IF(VALUE(MID(S4591,19,1))&gt;VALUE(MID(S4591,23,1)),DATA_CLEANED!AK105,DATA_CLEANED!AN105),
ISNUMBER(SEARCH("USA",S4591)),"United States",
ISNUMBER(SEARCH("Republic of Ireland",S4591)),"Ireland",
ISNUMBER(SEARCH("Republic of Korea",S4591)),"South Korea",
ISNUMBER(SEARCH("Cape Verde",S4591)),"Cabo Verde",
ISNUMBER(SEARCH("Czechia",S4591)),"Czech Republic",
ISNUMBER(SEARCH("Türkiye",S4591)),"Turkey",
ISNUMBER(SEARCH("Ivory Coast",S4591)),"Côte d'Ivoire",
ISNUMBER(SEARCH("Korea Republic",S4591)),"South Korea",
ISNUMBER(SEARCH("Germany FR",S4591)),"FR Germany",
ISNUMBER(SEARCH("West Germany",S4591)),"FR Germany",
ISNUMBER(SEARCH("Germany DR",S4591)),"DR Germany",
ISNUMBER(SEARCH("Korea DPR",S4591)),"North Korea",
ISNUMBER(SEARCH("China PR",S4591)),"China",
ISNUMBER(SEARCH("IR Iran",S4591)),"Iran",
ISNUMBER(SEARCH("Congo DR",S4591)),"Democratic Republic of the Congo",
ISNUMBER(SEARCH("DR Congo",S4591)),"Democratic Republic of the Congo",
ISNUMBER(SEARCH("German DR",S4591)),"DR Germany",
ISNUMBER(SEARCH("rn""&gt;United Arab Emirates",S4591)),"United Arab Emirates",
ISNUMBER(SEARCH("rn""&gt;Republic of Ireland",S4591)),"Ireland",
ISNUMBER(SEARCH("rn""&gt;Bosnia and Herzegovina",S4591)),"Bosnia and Herzegovina",
ISNUMBER(SEARCH("rn""&gt;Trinidad and Tobago",S4591)),"Trinidad and Tobago",
ISNUMBER(SEARCH("rn""&gt;Serbia and Montenegro",S4591)),"Serbia and Montenegro",
ISNUMBER(SEARCH(_xlfn.UNICHAR(65533),S4591)),"Côte d'Ivoire",
TRUE,"-"
)</f>
        <v>-</v>
      </c>
      <c r="W4591" s="42" t="str">
        <f t="shared" si="288"/>
        <v>-</v>
      </c>
    </row>
    <row r="4592" spans="19:23">
      <c r="S4592" s="42" t="str">
        <v/>
      </c>
      <c r="T4592" s="42" t="str">
        <f t="shared" si="286"/>
        <v>-</v>
      </c>
      <c r="U4592" s="40" t="str">
        <f t="shared" si="287"/>
        <v>-</v>
      </c>
      <c r="V4592" s="42" t="str" cm="1">
        <f t="array" ref="V4592">_xlfn.IFS(
LEFT(S4592,16)="win on penalties",IF(VALUE(MID(S4592,19,1))&gt;VALUE(MID(S4592,23,1)),DATA_CLEANED!AK106,DATA_CLEANED!AN106),
ISNUMBER(SEARCH("USA",S4592)),"United States",
ISNUMBER(SEARCH("Republic of Ireland",S4592)),"Ireland",
ISNUMBER(SEARCH("Republic of Korea",S4592)),"South Korea",
ISNUMBER(SEARCH("Cape Verde",S4592)),"Cabo Verde",
ISNUMBER(SEARCH("Czechia",S4592)),"Czech Republic",
ISNUMBER(SEARCH("Türkiye",S4592)),"Turkey",
ISNUMBER(SEARCH("Ivory Coast",S4592)),"Côte d'Ivoire",
ISNUMBER(SEARCH("Korea Republic",S4592)),"South Korea",
ISNUMBER(SEARCH("Germany FR",S4592)),"FR Germany",
ISNUMBER(SEARCH("West Germany",S4592)),"FR Germany",
ISNUMBER(SEARCH("Germany DR",S4592)),"DR Germany",
ISNUMBER(SEARCH("Korea DPR",S4592)),"North Korea",
ISNUMBER(SEARCH("China PR",S4592)),"China",
ISNUMBER(SEARCH("IR Iran",S4592)),"Iran",
ISNUMBER(SEARCH("Congo DR",S4592)),"Democratic Republic of the Congo",
ISNUMBER(SEARCH("DR Congo",S4592)),"Democratic Republic of the Congo",
ISNUMBER(SEARCH("German DR",S4592)),"DR Germany",
ISNUMBER(SEARCH("rn""&gt;United Arab Emirates",S4592)),"United Arab Emirates",
ISNUMBER(SEARCH("rn""&gt;Republic of Ireland",S4592)),"Ireland",
ISNUMBER(SEARCH("rn""&gt;Bosnia and Herzegovina",S4592)),"Bosnia and Herzegovina",
ISNUMBER(SEARCH("rn""&gt;Trinidad and Tobago",S4592)),"Trinidad and Tobago",
ISNUMBER(SEARCH("rn""&gt;Serbia and Montenegro",S4592)),"Serbia and Montenegro",
ISNUMBER(SEARCH(_xlfn.UNICHAR(65533),S4592)),"Côte d'Ivoire",
TRUE,"-"
)</f>
        <v>-</v>
      </c>
      <c r="W4592" s="42" t="str">
        <f t="shared" si="288"/>
        <v>-</v>
      </c>
    </row>
    <row r="4593" spans="19:23">
      <c r="S4593" s="42" t="str">
        <v/>
      </c>
      <c r="T4593" s="42" t="str">
        <f t="shared" si="286"/>
        <v>-</v>
      </c>
      <c r="U4593" s="40" t="str">
        <f t="shared" si="287"/>
        <v>-</v>
      </c>
      <c r="V4593" s="42" t="str" cm="1">
        <f t="array" ref="V4593">_xlfn.IFS(
LEFT(S4593,16)="win on penalties",IF(VALUE(MID(S4593,19,1))&gt;VALUE(MID(S4593,23,1)),DATA_CLEANED!AK107,DATA_CLEANED!AN107),
ISNUMBER(SEARCH("USA",S4593)),"United States",
ISNUMBER(SEARCH("Republic of Ireland",S4593)),"Ireland",
ISNUMBER(SEARCH("Republic of Korea",S4593)),"South Korea",
ISNUMBER(SEARCH("Cape Verde",S4593)),"Cabo Verde",
ISNUMBER(SEARCH("Czechia",S4593)),"Czech Republic",
ISNUMBER(SEARCH("Türkiye",S4593)),"Turkey",
ISNUMBER(SEARCH("Ivory Coast",S4593)),"Côte d'Ivoire",
ISNUMBER(SEARCH("Korea Republic",S4593)),"South Korea",
ISNUMBER(SEARCH("Germany FR",S4593)),"FR Germany",
ISNUMBER(SEARCH("West Germany",S4593)),"FR Germany",
ISNUMBER(SEARCH("Germany DR",S4593)),"DR Germany",
ISNUMBER(SEARCH("Korea DPR",S4593)),"North Korea",
ISNUMBER(SEARCH("China PR",S4593)),"China",
ISNUMBER(SEARCH("IR Iran",S4593)),"Iran",
ISNUMBER(SEARCH("Congo DR",S4593)),"Democratic Republic of the Congo",
ISNUMBER(SEARCH("DR Congo",S4593)),"Democratic Republic of the Congo",
ISNUMBER(SEARCH("German DR",S4593)),"DR Germany",
ISNUMBER(SEARCH("rn""&gt;United Arab Emirates",S4593)),"United Arab Emirates",
ISNUMBER(SEARCH("rn""&gt;Republic of Ireland",S4593)),"Ireland",
ISNUMBER(SEARCH("rn""&gt;Bosnia and Herzegovina",S4593)),"Bosnia and Herzegovina",
ISNUMBER(SEARCH("rn""&gt;Trinidad and Tobago",S4593)),"Trinidad and Tobago",
ISNUMBER(SEARCH("rn""&gt;Serbia and Montenegro",S4593)),"Serbia and Montenegro",
ISNUMBER(SEARCH(_xlfn.UNICHAR(65533),S4593)),"Côte d'Ivoire",
TRUE,"-"
)</f>
        <v>-</v>
      </c>
      <c r="W4593" s="42" t="str">
        <f t="shared" si="288"/>
        <v>-</v>
      </c>
    </row>
    <row r="4594" spans="19:23">
      <c r="S4594" s="42" t="str">
        <v/>
      </c>
      <c r="T4594" s="42" t="str">
        <f t="shared" si="286"/>
        <v>-</v>
      </c>
      <c r="U4594" s="40" t="str">
        <f t="shared" si="287"/>
        <v>-</v>
      </c>
      <c r="V4594" s="42" t="str" cm="1">
        <f t="array" ref="V4594">_xlfn.IFS(
LEFT(S4594,16)="win on penalties",IF(VALUE(MID(S4594,19,1))&gt;VALUE(MID(S4594,23,1)),DATA_CLEANED!AK108,DATA_CLEANED!AN108),
ISNUMBER(SEARCH("USA",S4594)),"United States",
ISNUMBER(SEARCH("Republic of Ireland",S4594)),"Ireland",
ISNUMBER(SEARCH("Republic of Korea",S4594)),"South Korea",
ISNUMBER(SEARCH("Cape Verde",S4594)),"Cabo Verde",
ISNUMBER(SEARCH("Czechia",S4594)),"Czech Republic",
ISNUMBER(SEARCH("Türkiye",S4594)),"Turkey",
ISNUMBER(SEARCH("Ivory Coast",S4594)),"Côte d'Ivoire",
ISNUMBER(SEARCH("Korea Republic",S4594)),"South Korea",
ISNUMBER(SEARCH("Germany FR",S4594)),"FR Germany",
ISNUMBER(SEARCH("West Germany",S4594)),"FR Germany",
ISNUMBER(SEARCH("Germany DR",S4594)),"DR Germany",
ISNUMBER(SEARCH("Korea DPR",S4594)),"North Korea",
ISNUMBER(SEARCH("China PR",S4594)),"China",
ISNUMBER(SEARCH("IR Iran",S4594)),"Iran",
ISNUMBER(SEARCH("Congo DR",S4594)),"Democratic Republic of the Congo",
ISNUMBER(SEARCH("DR Congo",S4594)),"Democratic Republic of the Congo",
ISNUMBER(SEARCH("German DR",S4594)),"DR Germany",
ISNUMBER(SEARCH("rn""&gt;United Arab Emirates",S4594)),"United Arab Emirates",
ISNUMBER(SEARCH("rn""&gt;Republic of Ireland",S4594)),"Ireland",
ISNUMBER(SEARCH("rn""&gt;Bosnia and Herzegovina",S4594)),"Bosnia and Herzegovina",
ISNUMBER(SEARCH("rn""&gt;Trinidad and Tobago",S4594)),"Trinidad and Tobago",
ISNUMBER(SEARCH("rn""&gt;Serbia and Montenegro",S4594)),"Serbia and Montenegro",
ISNUMBER(SEARCH(_xlfn.UNICHAR(65533),S4594)),"Côte d'Ivoire",
TRUE,"-"
)</f>
        <v>-</v>
      </c>
      <c r="W4594" s="42" t="str">
        <f t="shared" si="288"/>
        <v>-</v>
      </c>
    </row>
    <row r="4595" spans="19:23">
      <c r="S4595" s="42" t="str">
        <v/>
      </c>
      <c r="T4595" s="42" t="str">
        <f t="shared" si="286"/>
        <v>-</v>
      </c>
      <c r="U4595" s="40" t="str">
        <f t="shared" si="287"/>
        <v>-</v>
      </c>
      <c r="V4595" s="42" t="str" cm="1">
        <f t="array" ref="V4595">_xlfn.IFS(
LEFT(S4595,16)="win on penalties",IF(VALUE(MID(S4595,19,1))&gt;VALUE(MID(S4595,23,1)),DATA_CLEANED!AK109,DATA_CLEANED!AN109),
ISNUMBER(SEARCH("USA",S4595)),"United States",
ISNUMBER(SEARCH("Republic of Ireland",S4595)),"Ireland",
ISNUMBER(SEARCH("Republic of Korea",S4595)),"South Korea",
ISNUMBER(SEARCH("Cape Verde",S4595)),"Cabo Verde",
ISNUMBER(SEARCH("Czechia",S4595)),"Czech Republic",
ISNUMBER(SEARCH("Türkiye",S4595)),"Turkey",
ISNUMBER(SEARCH("Ivory Coast",S4595)),"Côte d'Ivoire",
ISNUMBER(SEARCH("Korea Republic",S4595)),"South Korea",
ISNUMBER(SEARCH("Germany FR",S4595)),"FR Germany",
ISNUMBER(SEARCH("West Germany",S4595)),"FR Germany",
ISNUMBER(SEARCH("Germany DR",S4595)),"DR Germany",
ISNUMBER(SEARCH("Korea DPR",S4595)),"North Korea",
ISNUMBER(SEARCH("China PR",S4595)),"China",
ISNUMBER(SEARCH("IR Iran",S4595)),"Iran",
ISNUMBER(SEARCH("Congo DR",S4595)),"Democratic Republic of the Congo",
ISNUMBER(SEARCH("DR Congo",S4595)),"Democratic Republic of the Congo",
ISNUMBER(SEARCH("German DR",S4595)),"DR Germany",
ISNUMBER(SEARCH("rn""&gt;United Arab Emirates",S4595)),"United Arab Emirates",
ISNUMBER(SEARCH("rn""&gt;Republic of Ireland",S4595)),"Ireland",
ISNUMBER(SEARCH("rn""&gt;Bosnia and Herzegovina",S4595)),"Bosnia and Herzegovina",
ISNUMBER(SEARCH("rn""&gt;Trinidad and Tobago",S4595)),"Trinidad and Tobago",
ISNUMBER(SEARCH("rn""&gt;Serbia and Montenegro",S4595)),"Serbia and Montenegro",
ISNUMBER(SEARCH(_xlfn.UNICHAR(65533),S4595)),"Côte d'Ivoire",
TRUE,"-"
)</f>
        <v>-</v>
      </c>
      <c r="W4595" s="42" t="str">
        <f t="shared" si="288"/>
        <v>-</v>
      </c>
    </row>
    <row r="4596" spans="19:23">
      <c r="S4596" s="42" t="str">
        <v/>
      </c>
      <c r="T4596" s="42" t="str">
        <f t="shared" si="286"/>
        <v>-</v>
      </c>
      <c r="U4596" s="40" t="str">
        <f t="shared" si="287"/>
        <v>-</v>
      </c>
      <c r="V4596" s="42" t="str" cm="1">
        <f t="array" ref="V4596">_xlfn.IFS(
LEFT(S4596,16)="win on penalties",IF(VALUE(MID(S4596,19,1))&gt;VALUE(MID(S4596,23,1)),DATA_CLEANED!AK110,DATA_CLEANED!AN110),
ISNUMBER(SEARCH("USA",S4596)),"United States",
ISNUMBER(SEARCH("Republic of Ireland",S4596)),"Ireland",
ISNUMBER(SEARCH("Republic of Korea",S4596)),"South Korea",
ISNUMBER(SEARCH("Cape Verde",S4596)),"Cabo Verde",
ISNUMBER(SEARCH("Czechia",S4596)),"Czech Republic",
ISNUMBER(SEARCH("Türkiye",S4596)),"Turkey",
ISNUMBER(SEARCH("Ivory Coast",S4596)),"Côte d'Ivoire",
ISNUMBER(SEARCH("Korea Republic",S4596)),"South Korea",
ISNUMBER(SEARCH("Germany FR",S4596)),"FR Germany",
ISNUMBER(SEARCH("West Germany",S4596)),"FR Germany",
ISNUMBER(SEARCH("Germany DR",S4596)),"DR Germany",
ISNUMBER(SEARCH("Korea DPR",S4596)),"North Korea",
ISNUMBER(SEARCH("China PR",S4596)),"China",
ISNUMBER(SEARCH("IR Iran",S4596)),"Iran",
ISNUMBER(SEARCH("Congo DR",S4596)),"Democratic Republic of the Congo",
ISNUMBER(SEARCH("DR Congo",S4596)),"Democratic Republic of the Congo",
ISNUMBER(SEARCH("German DR",S4596)),"DR Germany",
ISNUMBER(SEARCH("rn""&gt;United Arab Emirates",S4596)),"United Arab Emirates",
ISNUMBER(SEARCH("rn""&gt;Republic of Ireland",S4596)),"Ireland",
ISNUMBER(SEARCH("rn""&gt;Bosnia and Herzegovina",S4596)),"Bosnia and Herzegovina",
ISNUMBER(SEARCH("rn""&gt;Trinidad and Tobago",S4596)),"Trinidad and Tobago",
ISNUMBER(SEARCH("rn""&gt;Serbia and Montenegro",S4596)),"Serbia and Montenegro",
ISNUMBER(SEARCH(_xlfn.UNICHAR(65533),S4596)),"Côte d'Ivoire",
TRUE,"-"
)</f>
        <v>-</v>
      </c>
      <c r="W4596" s="42" t="str">
        <f t="shared" si="288"/>
        <v>-</v>
      </c>
    </row>
    <row r="4597" spans="19:23">
      <c r="S4597" s="42" t="str">
        <v/>
      </c>
      <c r="T4597" s="42" t="str">
        <f t="shared" si="286"/>
        <v>-</v>
      </c>
      <c r="U4597" s="40" t="str">
        <f t="shared" si="287"/>
        <v>-</v>
      </c>
      <c r="V4597" s="42" t="str" cm="1">
        <f t="array" ref="V4597">_xlfn.IFS(
LEFT(S4597,16)="win on penalties",IF(VALUE(MID(S4597,19,1))&gt;VALUE(MID(S4597,23,1)),DATA_CLEANED!AK111,DATA_CLEANED!AN111),
ISNUMBER(SEARCH("USA",S4597)),"United States",
ISNUMBER(SEARCH("Republic of Ireland",S4597)),"Ireland",
ISNUMBER(SEARCH("Republic of Korea",S4597)),"South Korea",
ISNUMBER(SEARCH("Cape Verde",S4597)),"Cabo Verde",
ISNUMBER(SEARCH("Czechia",S4597)),"Czech Republic",
ISNUMBER(SEARCH("Türkiye",S4597)),"Turkey",
ISNUMBER(SEARCH("Ivory Coast",S4597)),"Côte d'Ivoire",
ISNUMBER(SEARCH("Korea Republic",S4597)),"South Korea",
ISNUMBER(SEARCH("Germany FR",S4597)),"FR Germany",
ISNUMBER(SEARCH("West Germany",S4597)),"FR Germany",
ISNUMBER(SEARCH("Germany DR",S4597)),"DR Germany",
ISNUMBER(SEARCH("Korea DPR",S4597)),"North Korea",
ISNUMBER(SEARCH("China PR",S4597)),"China",
ISNUMBER(SEARCH("IR Iran",S4597)),"Iran",
ISNUMBER(SEARCH("Congo DR",S4597)),"Democratic Republic of the Congo",
ISNUMBER(SEARCH("DR Congo",S4597)),"Democratic Republic of the Congo",
ISNUMBER(SEARCH("German DR",S4597)),"DR Germany",
ISNUMBER(SEARCH("rn""&gt;United Arab Emirates",S4597)),"United Arab Emirates",
ISNUMBER(SEARCH("rn""&gt;Republic of Ireland",S4597)),"Ireland",
ISNUMBER(SEARCH("rn""&gt;Bosnia and Herzegovina",S4597)),"Bosnia and Herzegovina",
ISNUMBER(SEARCH("rn""&gt;Trinidad and Tobago",S4597)),"Trinidad and Tobago",
ISNUMBER(SEARCH("rn""&gt;Serbia and Montenegro",S4597)),"Serbia and Montenegro",
ISNUMBER(SEARCH(_xlfn.UNICHAR(65533),S4597)),"Côte d'Ivoire",
TRUE,"-"
)</f>
        <v>-</v>
      </c>
      <c r="W4597" s="42" t="str">
        <f t="shared" si="288"/>
        <v>-</v>
      </c>
    </row>
    <row r="4598" spans="19:23">
      <c r="S4598" s="42" t="str">
        <v/>
      </c>
      <c r="T4598" s="42" t="str">
        <f t="shared" si="286"/>
        <v>-</v>
      </c>
      <c r="U4598" s="40" t="str">
        <f t="shared" si="287"/>
        <v>-</v>
      </c>
      <c r="V4598" s="42" t="str" cm="1">
        <f t="array" ref="V4598">_xlfn.IFS(
LEFT(S4598,16)="win on penalties",IF(VALUE(MID(S4598,19,1))&gt;VALUE(MID(S4598,23,1)),DATA_CLEANED!AK112,DATA_CLEANED!AN112),
ISNUMBER(SEARCH("USA",S4598)),"United States",
ISNUMBER(SEARCH("Republic of Ireland",S4598)),"Ireland",
ISNUMBER(SEARCH("Republic of Korea",S4598)),"South Korea",
ISNUMBER(SEARCH("Cape Verde",S4598)),"Cabo Verde",
ISNUMBER(SEARCH("Czechia",S4598)),"Czech Republic",
ISNUMBER(SEARCH("Türkiye",S4598)),"Turkey",
ISNUMBER(SEARCH("Ivory Coast",S4598)),"Côte d'Ivoire",
ISNUMBER(SEARCH("Korea Republic",S4598)),"South Korea",
ISNUMBER(SEARCH("Germany FR",S4598)),"FR Germany",
ISNUMBER(SEARCH("West Germany",S4598)),"FR Germany",
ISNUMBER(SEARCH("Germany DR",S4598)),"DR Germany",
ISNUMBER(SEARCH("Korea DPR",S4598)),"North Korea",
ISNUMBER(SEARCH("China PR",S4598)),"China",
ISNUMBER(SEARCH("IR Iran",S4598)),"Iran",
ISNUMBER(SEARCH("Congo DR",S4598)),"Democratic Republic of the Congo",
ISNUMBER(SEARCH("DR Congo",S4598)),"Democratic Republic of the Congo",
ISNUMBER(SEARCH("German DR",S4598)),"DR Germany",
ISNUMBER(SEARCH("rn""&gt;United Arab Emirates",S4598)),"United Arab Emirates",
ISNUMBER(SEARCH("rn""&gt;Republic of Ireland",S4598)),"Ireland",
ISNUMBER(SEARCH("rn""&gt;Bosnia and Herzegovina",S4598)),"Bosnia and Herzegovina",
ISNUMBER(SEARCH("rn""&gt;Trinidad and Tobago",S4598)),"Trinidad and Tobago",
ISNUMBER(SEARCH("rn""&gt;Serbia and Montenegro",S4598)),"Serbia and Montenegro",
ISNUMBER(SEARCH(_xlfn.UNICHAR(65533),S4598)),"Côte d'Ivoire",
TRUE,"-"
)</f>
        <v>-</v>
      </c>
      <c r="W4598" s="42" t="str">
        <f t="shared" si="288"/>
        <v>-</v>
      </c>
    </row>
    <row r="4599" spans="19:23">
      <c r="S4599" s="42" t="str">
        <v/>
      </c>
      <c r="T4599" s="42" t="str">
        <f t="shared" si="286"/>
        <v>-</v>
      </c>
      <c r="U4599" s="40" t="str">
        <f t="shared" si="287"/>
        <v>-</v>
      </c>
      <c r="V4599" s="42" t="str" cm="1">
        <f t="array" ref="V4599">_xlfn.IFS(
LEFT(S4599,16)="win on penalties",IF(VALUE(MID(S4599,19,1))&gt;VALUE(MID(S4599,23,1)),DATA_CLEANED!AK113,DATA_CLEANED!AN113),
ISNUMBER(SEARCH("USA",S4599)),"United States",
ISNUMBER(SEARCH("Republic of Ireland",S4599)),"Ireland",
ISNUMBER(SEARCH("Republic of Korea",S4599)),"South Korea",
ISNUMBER(SEARCH("Cape Verde",S4599)),"Cabo Verde",
ISNUMBER(SEARCH("Czechia",S4599)),"Czech Republic",
ISNUMBER(SEARCH("Türkiye",S4599)),"Turkey",
ISNUMBER(SEARCH("Ivory Coast",S4599)),"Côte d'Ivoire",
ISNUMBER(SEARCH("Korea Republic",S4599)),"South Korea",
ISNUMBER(SEARCH("Germany FR",S4599)),"FR Germany",
ISNUMBER(SEARCH("West Germany",S4599)),"FR Germany",
ISNUMBER(SEARCH("Germany DR",S4599)),"DR Germany",
ISNUMBER(SEARCH("Korea DPR",S4599)),"North Korea",
ISNUMBER(SEARCH("China PR",S4599)),"China",
ISNUMBER(SEARCH("IR Iran",S4599)),"Iran",
ISNUMBER(SEARCH("Congo DR",S4599)),"Democratic Republic of the Congo",
ISNUMBER(SEARCH("DR Congo",S4599)),"Democratic Republic of the Congo",
ISNUMBER(SEARCH("German DR",S4599)),"DR Germany",
ISNUMBER(SEARCH("rn""&gt;United Arab Emirates",S4599)),"United Arab Emirates",
ISNUMBER(SEARCH("rn""&gt;Republic of Ireland",S4599)),"Ireland",
ISNUMBER(SEARCH("rn""&gt;Bosnia and Herzegovina",S4599)),"Bosnia and Herzegovina",
ISNUMBER(SEARCH("rn""&gt;Trinidad and Tobago",S4599)),"Trinidad and Tobago",
ISNUMBER(SEARCH("rn""&gt;Serbia and Montenegro",S4599)),"Serbia and Montenegro",
ISNUMBER(SEARCH(_xlfn.UNICHAR(65533),S4599)),"Côte d'Ivoire",
TRUE,"-"
)</f>
        <v>-</v>
      </c>
      <c r="W4599" s="42" t="str">
        <f t="shared" si="288"/>
        <v>-</v>
      </c>
    </row>
    <row r="4600" spans="19:23">
      <c r="S4600" s="42" t="str">
        <v/>
      </c>
      <c r="T4600" s="42" t="str">
        <f t="shared" si="286"/>
        <v>-</v>
      </c>
      <c r="U4600" s="40" t="str">
        <f t="shared" si="287"/>
        <v>-</v>
      </c>
      <c r="V4600" s="42" t="str" cm="1">
        <f t="array" ref="V4600">_xlfn.IFS(
LEFT(S4600,16)="win on penalties",IF(VALUE(MID(S4600,19,1))&gt;VALUE(MID(S4600,23,1)),DATA_CLEANED!AK114,DATA_CLEANED!AN114),
ISNUMBER(SEARCH("USA",S4600)),"United States",
ISNUMBER(SEARCH("Republic of Ireland",S4600)),"Ireland",
ISNUMBER(SEARCH("Republic of Korea",S4600)),"South Korea",
ISNUMBER(SEARCH("Cape Verde",S4600)),"Cabo Verde",
ISNUMBER(SEARCH("Czechia",S4600)),"Czech Republic",
ISNUMBER(SEARCH("Türkiye",S4600)),"Turkey",
ISNUMBER(SEARCH("Ivory Coast",S4600)),"Côte d'Ivoire",
ISNUMBER(SEARCH("Korea Republic",S4600)),"South Korea",
ISNUMBER(SEARCH("Germany FR",S4600)),"FR Germany",
ISNUMBER(SEARCH("West Germany",S4600)),"FR Germany",
ISNUMBER(SEARCH("Germany DR",S4600)),"DR Germany",
ISNUMBER(SEARCH("Korea DPR",S4600)),"North Korea",
ISNUMBER(SEARCH("China PR",S4600)),"China",
ISNUMBER(SEARCH("IR Iran",S4600)),"Iran",
ISNUMBER(SEARCH("Congo DR",S4600)),"Democratic Republic of the Congo",
ISNUMBER(SEARCH("DR Congo",S4600)),"Democratic Republic of the Congo",
ISNUMBER(SEARCH("German DR",S4600)),"DR Germany",
ISNUMBER(SEARCH("rn""&gt;United Arab Emirates",S4600)),"United Arab Emirates",
ISNUMBER(SEARCH("rn""&gt;Republic of Ireland",S4600)),"Ireland",
ISNUMBER(SEARCH("rn""&gt;Bosnia and Herzegovina",S4600)),"Bosnia and Herzegovina",
ISNUMBER(SEARCH("rn""&gt;Trinidad and Tobago",S4600)),"Trinidad and Tobago",
ISNUMBER(SEARCH("rn""&gt;Serbia and Montenegro",S4600)),"Serbia and Montenegro",
ISNUMBER(SEARCH(_xlfn.UNICHAR(65533),S4600)),"Côte d'Ivoire",
TRUE,"-"
)</f>
        <v>-</v>
      </c>
      <c r="W4600" s="42" t="str">
        <f t="shared" si="288"/>
        <v>-</v>
      </c>
    </row>
    <row r="4601" spans="19:23">
      <c r="S4601" s="42" t="str">
        <v/>
      </c>
      <c r="T4601" s="42" t="str">
        <f t="shared" si="286"/>
        <v>-</v>
      </c>
      <c r="U4601" s="40" t="str">
        <f t="shared" si="287"/>
        <v>-</v>
      </c>
      <c r="V4601" s="42" t="str" cm="1">
        <f t="array" ref="V4601">_xlfn.IFS(
LEFT(S4601,16)="win on penalties",IF(VALUE(MID(S4601,19,1))&gt;VALUE(MID(S4601,23,1)),DATA_CLEANED!AK115,DATA_CLEANED!AN115),
ISNUMBER(SEARCH("USA",S4601)),"United States",
ISNUMBER(SEARCH("Republic of Ireland",S4601)),"Ireland",
ISNUMBER(SEARCH("Republic of Korea",S4601)),"South Korea",
ISNUMBER(SEARCH("Cape Verde",S4601)),"Cabo Verde",
ISNUMBER(SEARCH("Czechia",S4601)),"Czech Republic",
ISNUMBER(SEARCH("Türkiye",S4601)),"Turkey",
ISNUMBER(SEARCH("Ivory Coast",S4601)),"Côte d'Ivoire",
ISNUMBER(SEARCH("Korea Republic",S4601)),"South Korea",
ISNUMBER(SEARCH("Germany FR",S4601)),"FR Germany",
ISNUMBER(SEARCH("West Germany",S4601)),"FR Germany",
ISNUMBER(SEARCH("Germany DR",S4601)),"DR Germany",
ISNUMBER(SEARCH("Korea DPR",S4601)),"North Korea",
ISNUMBER(SEARCH("China PR",S4601)),"China",
ISNUMBER(SEARCH("IR Iran",S4601)),"Iran",
ISNUMBER(SEARCH("Congo DR",S4601)),"Democratic Republic of the Congo",
ISNUMBER(SEARCH("DR Congo",S4601)),"Democratic Republic of the Congo",
ISNUMBER(SEARCH("German DR",S4601)),"DR Germany",
ISNUMBER(SEARCH("rn""&gt;United Arab Emirates",S4601)),"United Arab Emirates",
ISNUMBER(SEARCH("rn""&gt;Republic of Ireland",S4601)),"Ireland",
ISNUMBER(SEARCH("rn""&gt;Bosnia and Herzegovina",S4601)),"Bosnia and Herzegovina",
ISNUMBER(SEARCH("rn""&gt;Trinidad and Tobago",S4601)),"Trinidad and Tobago",
ISNUMBER(SEARCH("rn""&gt;Serbia and Montenegro",S4601)),"Serbia and Montenegro",
ISNUMBER(SEARCH(_xlfn.UNICHAR(65533),S4601)),"Côte d'Ivoire",
TRUE,"-"
)</f>
        <v>-</v>
      </c>
      <c r="W4601" s="42" t="str">
        <f t="shared" si="288"/>
        <v>-</v>
      </c>
    </row>
    <row r="4602" spans="19:23">
      <c r="S4602" s="42" t="str">
        <v/>
      </c>
      <c r="T4602" s="42" t="str">
        <f t="shared" si="286"/>
        <v>-</v>
      </c>
      <c r="U4602" s="40" t="str">
        <f t="shared" si="287"/>
        <v>-</v>
      </c>
      <c r="V4602" s="42" t="str" cm="1">
        <f t="array" ref="V4602">_xlfn.IFS(
LEFT(S4602,16)="win on penalties",IF(VALUE(MID(S4602,19,1))&gt;VALUE(MID(S4602,23,1)),DATA_CLEANED!AK116,DATA_CLEANED!AN116),
ISNUMBER(SEARCH("USA",S4602)),"United States",
ISNUMBER(SEARCH("Republic of Ireland",S4602)),"Ireland",
ISNUMBER(SEARCH("Republic of Korea",S4602)),"South Korea",
ISNUMBER(SEARCH("Cape Verde",S4602)),"Cabo Verde",
ISNUMBER(SEARCH("Czechia",S4602)),"Czech Republic",
ISNUMBER(SEARCH("Türkiye",S4602)),"Turkey",
ISNUMBER(SEARCH("Ivory Coast",S4602)),"Côte d'Ivoire",
ISNUMBER(SEARCH("Korea Republic",S4602)),"South Korea",
ISNUMBER(SEARCH("Germany FR",S4602)),"FR Germany",
ISNUMBER(SEARCH("West Germany",S4602)),"FR Germany",
ISNUMBER(SEARCH("Germany DR",S4602)),"DR Germany",
ISNUMBER(SEARCH("Korea DPR",S4602)),"North Korea",
ISNUMBER(SEARCH("China PR",S4602)),"China",
ISNUMBER(SEARCH("IR Iran",S4602)),"Iran",
ISNUMBER(SEARCH("Congo DR",S4602)),"Democratic Republic of the Congo",
ISNUMBER(SEARCH("DR Congo",S4602)),"Democratic Republic of the Congo",
ISNUMBER(SEARCH("German DR",S4602)),"DR Germany",
ISNUMBER(SEARCH("rn""&gt;United Arab Emirates",S4602)),"United Arab Emirates",
ISNUMBER(SEARCH("rn""&gt;Republic of Ireland",S4602)),"Ireland",
ISNUMBER(SEARCH("rn""&gt;Bosnia and Herzegovina",S4602)),"Bosnia and Herzegovina",
ISNUMBER(SEARCH("rn""&gt;Trinidad and Tobago",S4602)),"Trinidad and Tobago",
ISNUMBER(SEARCH("rn""&gt;Serbia and Montenegro",S4602)),"Serbia and Montenegro",
ISNUMBER(SEARCH(_xlfn.UNICHAR(65533),S4602)),"Côte d'Ivoire",
TRUE,"-"
)</f>
        <v>-</v>
      </c>
      <c r="W4602" s="42" t="str">
        <f t="shared" si="288"/>
        <v>-</v>
      </c>
    </row>
    <row r="4603" spans="19:23">
      <c r="S4603" s="42" t="str">
        <v/>
      </c>
      <c r="T4603" s="42" t="str">
        <f t="shared" si="286"/>
        <v>-</v>
      </c>
      <c r="U4603" s="40" t="str">
        <f t="shared" si="287"/>
        <v>-</v>
      </c>
      <c r="V4603" s="42" t="str" cm="1">
        <f t="array" ref="V4603">_xlfn.IFS(
LEFT(S4603,16)="win on penalties",IF(VALUE(MID(S4603,19,1))&gt;VALUE(MID(S4603,23,1)),DATA_CLEANED!AK117,DATA_CLEANED!AN117),
ISNUMBER(SEARCH("USA",S4603)),"United States",
ISNUMBER(SEARCH("Republic of Ireland",S4603)),"Ireland",
ISNUMBER(SEARCH("Republic of Korea",S4603)),"South Korea",
ISNUMBER(SEARCH("Cape Verde",S4603)),"Cabo Verde",
ISNUMBER(SEARCH("Czechia",S4603)),"Czech Republic",
ISNUMBER(SEARCH("Türkiye",S4603)),"Turkey",
ISNUMBER(SEARCH("Ivory Coast",S4603)),"Côte d'Ivoire",
ISNUMBER(SEARCH("Korea Republic",S4603)),"South Korea",
ISNUMBER(SEARCH("Germany FR",S4603)),"FR Germany",
ISNUMBER(SEARCH("West Germany",S4603)),"FR Germany",
ISNUMBER(SEARCH("Germany DR",S4603)),"DR Germany",
ISNUMBER(SEARCH("Korea DPR",S4603)),"North Korea",
ISNUMBER(SEARCH("China PR",S4603)),"China",
ISNUMBER(SEARCH("IR Iran",S4603)),"Iran",
ISNUMBER(SEARCH("Congo DR",S4603)),"Democratic Republic of the Congo",
ISNUMBER(SEARCH("DR Congo",S4603)),"Democratic Republic of the Congo",
ISNUMBER(SEARCH("German DR",S4603)),"DR Germany",
ISNUMBER(SEARCH("rn""&gt;United Arab Emirates",S4603)),"United Arab Emirates",
ISNUMBER(SEARCH("rn""&gt;Republic of Ireland",S4603)),"Ireland",
ISNUMBER(SEARCH("rn""&gt;Bosnia and Herzegovina",S4603)),"Bosnia and Herzegovina",
ISNUMBER(SEARCH("rn""&gt;Trinidad and Tobago",S4603)),"Trinidad and Tobago",
ISNUMBER(SEARCH("rn""&gt;Serbia and Montenegro",S4603)),"Serbia and Montenegro",
ISNUMBER(SEARCH(_xlfn.UNICHAR(65533),S4603)),"Côte d'Ivoire",
TRUE,"-"
)</f>
        <v>-</v>
      </c>
      <c r="W4603" s="42" t="str">
        <f t="shared" si="288"/>
        <v>-</v>
      </c>
    </row>
    <row r="4604" spans="19:23">
      <c r="S4604" s="42" t="str">
        <v/>
      </c>
      <c r="T4604" s="42" t="str">
        <f t="shared" si="286"/>
        <v>-</v>
      </c>
      <c r="U4604" s="40" t="str">
        <f t="shared" si="287"/>
        <v>-</v>
      </c>
      <c r="V4604" s="42" t="str" cm="1">
        <f t="array" ref="V4604">_xlfn.IFS(
LEFT(S4604,16)="win on penalties",IF(VALUE(MID(S4604,19,1))&gt;VALUE(MID(S4604,23,1)),DATA_CLEANED!AK118,DATA_CLEANED!AN118),
ISNUMBER(SEARCH("USA",S4604)),"United States",
ISNUMBER(SEARCH("Republic of Ireland",S4604)),"Ireland",
ISNUMBER(SEARCH("Republic of Korea",S4604)),"South Korea",
ISNUMBER(SEARCH("Cape Verde",S4604)),"Cabo Verde",
ISNUMBER(SEARCH("Czechia",S4604)),"Czech Republic",
ISNUMBER(SEARCH("Türkiye",S4604)),"Turkey",
ISNUMBER(SEARCH("Ivory Coast",S4604)),"Côte d'Ivoire",
ISNUMBER(SEARCH("Korea Republic",S4604)),"South Korea",
ISNUMBER(SEARCH("Germany FR",S4604)),"FR Germany",
ISNUMBER(SEARCH("West Germany",S4604)),"FR Germany",
ISNUMBER(SEARCH("Germany DR",S4604)),"DR Germany",
ISNUMBER(SEARCH("Korea DPR",S4604)),"North Korea",
ISNUMBER(SEARCH("China PR",S4604)),"China",
ISNUMBER(SEARCH("IR Iran",S4604)),"Iran",
ISNUMBER(SEARCH("Congo DR",S4604)),"Democratic Republic of the Congo",
ISNUMBER(SEARCH("DR Congo",S4604)),"Democratic Republic of the Congo",
ISNUMBER(SEARCH("German DR",S4604)),"DR Germany",
ISNUMBER(SEARCH("rn""&gt;United Arab Emirates",S4604)),"United Arab Emirates",
ISNUMBER(SEARCH("rn""&gt;Republic of Ireland",S4604)),"Ireland",
ISNUMBER(SEARCH("rn""&gt;Bosnia and Herzegovina",S4604)),"Bosnia and Herzegovina",
ISNUMBER(SEARCH("rn""&gt;Trinidad and Tobago",S4604)),"Trinidad and Tobago",
ISNUMBER(SEARCH("rn""&gt;Serbia and Montenegro",S4604)),"Serbia and Montenegro",
ISNUMBER(SEARCH(_xlfn.UNICHAR(65533),S4604)),"Côte d'Ivoire",
TRUE,"-"
)</f>
        <v>-</v>
      </c>
      <c r="W4604" s="42" t="str">
        <f t="shared" si="288"/>
        <v>-</v>
      </c>
    </row>
    <row r="4605" spans="19:23">
      <c r="S4605" s="42" t="str">
        <v/>
      </c>
      <c r="T4605" s="42" t="str">
        <f t="shared" si="286"/>
        <v>-</v>
      </c>
      <c r="U4605" s="40" t="str">
        <f t="shared" si="287"/>
        <v>-</v>
      </c>
      <c r="V4605" s="42" t="str" cm="1">
        <f t="array" ref="V4605">_xlfn.IFS(
LEFT(S4605,16)="win on penalties",IF(VALUE(MID(S4605,19,1))&gt;VALUE(MID(S4605,23,1)),DATA_CLEANED!AK119,DATA_CLEANED!AN119),
ISNUMBER(SEARCH("USA",S4605)),"United States",
ISNUMBER(SEARCH("Republic of Ireland",S4605)),"Ireland",
ISNUMBER(SEARCH("Republic of Korea",S4605)),"South Korea",
ISNUMBER(SEARCH("Cape Verde",S4605)),"Cabo Verde",
ISNUMBER(SEARCH("Czechia",S4605)),"Czech Republic",
ISNUMBER(SEARCH("Türkiye",S4605)),"Turkey",
ISNUMBER(SEARCH("Ivory Coast",S4605)),"Côte d'Ivoire",
ISNUMBER(SEARCH("Korea Republic",S4605)),"South Korea",
ISNUMBER(SEARCH("Germany FR",S4605)),"FR Germany",
ISNUMBER(SEARCH("West Germany",S4605)),"FR Germany",
ISNUMBER(SEARCH("Germany DR",S4605)),"DR Germany",
ISNUMBER(SEARCH("Korea DPR",S4605)),"North Korea",
ISNUMBER(SEARCH("China PR",S4605)),"China",
ISNUMBER(SEARCH("IR Iran",S4605)),"Iran",
ISNUMBER(SEARCH("Congo DR",S4605)),"Democratic Republic of the Congo",
ISNUMBER(SEARCH("DR Congo",S4605)),"Democratic Republic of the Congo",
ISNUMBER(SEARCH("German DR",S4605)),"DR Germany",
ISNUMBER(SEARCH("rn""&gt;United Arab Emirates",S4605)),"United Arab Emirates",
ISNUMBER(SEARCH("rn""&gt;Republic of Ireland",S4605)),"Ireland",
ISNUMBER(SEARCH("rn""&gt;Bosnia and Herzegovina",S4605)),"Bosnia and Herzegovina",
ISNUMBER(SEARCH("rn""&gt;Trinidad and Tobago",S4605)),"Trinidad and Tobago",
ISNUMBER(SEARCH("rn""&gt;Serbia and Montenegro",S4605)),"Serbia and Montenegro",
ISNUMBER(SEARCH(_xlfn.UNICHAR(65533),S4605)),"Côte d'Ivoire",
TRUE,"-"
)</f>
        <v>-</v>
      </c>
      <c r="W4605" s="42" t="str">
        <f t="shared" si="288"/>
        <v>-</v>
      </c>
    </row>
    <row r="4606" spans="19:23">
      <c r="S4606" s="42" t="str">
        <v/>
      </c>
      <c r="T4606" s="42" t="str">
        <f t="shared" si="286"/>
        <v>-</v>
      </c>
      <c r="U4606" s="40" t="str">
        <f t="shared" si="287"/>
        <v>-</v>
      </c>
      <c r="V4606" s="42" t="str" cm="1">
        <f t="array" ref="V4606">_xlfn.IFS(
LEFT(S4606,16)="win on penalties",IF(VALUE(MID(S4606,19,1))&gt;VALUE(MID(S4606,23,1)),DATA_CLEANED!AK120,DATA_CLEANED!AN120),
ISNUMBER(SEARCH("USA",S4606)),"United States",
ISNUMBER(SEARCH("Republic of Ireland",S4606)),"Ireland",
ISNUMBER(SEARCH("Republic of Korea",S4606)),"South Korea",
ISNUMBER(SEARCH("Cape Verde",S4606)),"Cabo Verde",
ISNUMBER(SEARCH("Czechia",S4606)),"Czech Republic",
ISNUMBER(SEARCH("Türkiye",S4606)),"Turkey",
ISNUMBER(SEARCH("Ivory Coast",S4606)),"Côte d'Ivoire",
ISNUMBER(SEARCH("Korea Republic",S4606)),"South Korea",
ISNUMBER(SEARCH("Germany FR",S4606)),"FR Germany",
ISNUMBER(SEARCH("West Germany",S4606)),"FR Germany",
ISNUMBER(SEARCH("Germany DR",S4606)),"DR Germany",
ISNUMBER(SEARCH("Korea DPR",S4606)),"North Korea",
ISNUMBER(SEARCH("China PR",S4606)),"China",
ISNUMBER(SEARCH("IR Iran",S4606)),"Iran",
ISNUMBER(SEARCH("Congo DR",S4606)),"Democratic Republic of the Congo",
ISNUMBER(SEARCH("DR Congo",S4606)),"Democratic Republic of the Congo",
ISNUMBER(SEARCH("German DR",S4606)),"DR Germany",
ISNUMBER(SEARCH("rn""&gt;United Arab Emirates",S4606)),"United Arab Emirates",
ISNUMBER(SEARCH("rn""&gt;Republic of Ireland",S4606)),"Ireland",
ISNUMBER(SEARCH("rn""&gt;Bosnia and Herzegovina",S4606)),"Bosnia and Herzegovina",
ISNUMBER(SEARCH("rn""&gt;Trinidad and Tobago",S4606)),"Trinidad and Tobago",
ISNUMBER(SEARCH("rn""&gt;Serbia and Montenegro",S4606)),"Serbia and Montenegro",
ISNUMBER(SEARCH(_xlfn.UNICHAR(65533),S4606)),"Côte d'Ivoire",
TRUE,"-"
)</f>
        <v>-</v>
      </c>
      <c r="W4606" s="42" t="str">
        <f t="shared" si="288"/>
        <v>-</v>
      </c>
    </row>
    <row r="4607" spans="19:23">
      <c r="S4607" s="42" t="str">
        <v/>
      </c>
      <c r="T4607" s="42" t="str">
        <f t="shared" si="286"/>
        <v>-</v>
      </c>
      <c r="U4607" s="40" t="str">
        <f t="shared" si="287"/>
        <v>-</v>
      </c>
      <c r="V4607" s="42" t="str" cm="1">
        <f t="array" ref="V4607">_xlfn.IFS(
LEFT(S4607,16)="win on penalties",IF(VALUE(MID(S4607,19,1))&gt;VALUE(MID(S4607,23,1)),DATA_CLEANED!AK121,DATA_CLEANED!AN121),
ISNUMBER(SEARCH("USA",S4607)),"United States",
ISNUMBER(SEARCH("Republic of Ireland",S4607)),"Ireland",
ISNUMBER(SEARCH("Republic of Korea",S4607)),"South Korea",
ISNUMBER(SEARCH("Cape Verde",S4607)),"Cabo Verde",
ISNUMBER(SEARCH("Czechia",S4607)),"Czech Republic",
ISNUMBER(SEARCH("Türkiye",S4607)),"Turkey",
ISNUMBER(SEARCH("Ivory Coast",S4607)),"Côte d'Ivoire",
ISNUMBER(SEARCH("Korea Republic",S4607)),"South Korea",
ISNUMBER(SEARCH("Germany FR",S4607)),"FR Germany",
ISNUMBER(SEARCH("West Germany",S4607)),"FR Germany",
ISNUMBER(SEARCH("Germany DR",S4607)),"DR Germany",
ISNUMBER(SEARCH("Korea DPR",S4607)),"North Korea",
ISNUMBER(SEARCH("China PR",S4607)),"China",
ISNUMBER(SEARCH("IR Iran",S4607)),"Iran",
ISNUMBER(SEARCH("Congo DR",S4607)),"Democratic Republic of the Congo",
ISNUMBER(SEARCH("DR Congo",S4607)),"Democratic Republic of the Congo",
ISNUMBER(SEARCH("German DR",S4607)),"DR Germany",
ISNUMBER(SEARCH("rn""&gt;United Arab Emirates",S4607)),"United Arab Emirates",
ISNUMBER(SEARCH("rn""&gt;Republic of Ireland",S4607)),"Ireland",
ISNUMBER(SEARCH("rn""&gt;Bosnia and Herzegovina",S4607)),"Bosnia and Herzegovina",
ISNUMBER(SEARCH("rn""&gt;Trinidad and Tobago",S4607)),"Trinidad and Tobago",
ISNUMBER(SEARCH("rn""&gt;Serbia and Montenegro",S4607)),"Serbia and Montenegro",
ISNUMBER(SEARCH(_xlfn.UNICHAR(65533),S4607)),"Côte d'Ivoire",
TRUE,"-"
)</f>
        <v>-</v>
      </c>
      <c r="W4607" s="42" t="str">
        <f t="shared" si="288"/>
        <v>-</v>
      </c>
    </row>
    <row r="4608" spans="19:23">
      <c r="S4608" s="42" t="str">
        <v/>
      </c>
      <c r="T4608" s="42" t="str">
        <f t="shared" si="286"/>
        <v>-</v>
      </c>
      <c r="U4608" s="40" t="str">
        <f t="shared" si="287"/>
        <v>-</v>
      </c>
      <c r="V4608" s="42" t="str" cm="1">
        <f t="array" ref="V4608">_xlfn.IFS(
LEFT(S4608,16)="win on penalties",IF(VALUE(MID(S4608,19,1))&gt;VALUE(MID(S4608,23,1)),DATA_CLEANED!AK122,DATA_CLEANED!AN122),
ISNUMBER(SEARCH("USA",S4608)),"United States",
ISNUMBER(SEARCH("Republic of Ireland",S4608)),"Ireland",
ISNUMBER(SEARCH("Republic of Korea",S4608)),"South Korea",
ISNUMBER(SEARCH("Cape Verde",S4608)),"Cabo Verde",
ISNUMBER(SEARCH("Czechia",S4608)),"Czech Republic",
ISNUMBER(SEARCH("Türkiye",S4608)),"Turkey",
ISNUMBER(SEARCH("Ivory Coast",S4608)),"Côte d'Ivoire",
ISNUMBER(SEARCH("Korea Republic",S4608)),"South Korea",
ISNUMBER(SEARCH("Germany FR",S4608)),"FR Germany",
ISNUMBER(SEARCH("West Germany",S4608)),"FR Germany",
ISNUMBER(SEARCH("Germany DR",S4608)),"DR Germany",
ISNUMBER(SEARCH("Korea DPR",S4608)),"North Korea",
ISNUMBER(SEARCH("China PR",S4608)),"China",
ISNUMBER(SEARCH("IR Iran",S4608)),"Iran",
ISNUMBER(SEARCH("Congo DR",S4608)),"Democratic Republic of the Congo",
ISNUMBER(SEARCH("DR Congo",S4608)),"Democratic Republic of the Congo",
ISNUMBER(SEARCH("German DR",S4608)),"DR Germany",
ISNUMBER(SEARCH("rn""&gt;United Arab Emirates",S4608)),"United Arab Emirates",
ISNUMBER(SEARCH("rn""&gt;Republic of Ireland",S4608)),"Ireland",
ISNUMBER(SEARCH("rn""&gt;Bosnia and Herzegovina",S4608)),"Bosnia and Herzegovina",
ISNUMBER(SEARCH("rn""&gt;Trinidad and Tobago",S4608)),"Trinidad and Tobago",
ISNUMBER(SEARCH("rn""&gt;Serbia and Montenegro",S4608)),"Serbia and Montenegro",
ISNUMBER(SEARCH(_xlfn.UNICHAR(65533),S4608)),"Côte d'Ivoire",
TRUE,"-"
)</f>
        <v>-</v>
      </c>
      <c r="W4608" s="42" t="str">
        <f t="shared" si="288"/>
        <v>-</v>
      </c>
    </row>
    <row r="4609" spans="19:23">
      <c r="S4609" s="42" t="str">
        <v/>
      </c>
      <c r="T4609" s="42" t="str">
        <f t="shared" si="286"/>
        <v>-</v>
      </c>
      <c r="U4609" s="40" t="str">
        <f t="shared" si="287"/>
        <v>-</v>
      </c>
      <c r="V4609" s="42" t="str" cm="1">
        <f t="array" ref="V4609">_xlfn.IFS(
LEFT(S4609,16)="win on penalties",IF(VALUE(MID(S4609,19,1))&gt;VALUE(MID(S4609,23,1)),DATA_CLEANED!AK123,DATA_CLEANED!AN123),
ISNUMBER(SEARCH("USA",S4609)),"United States",
ISNUMBER(SEARCH("Republic of Ireland",S4609)),"Ireland",
ISNUMBER(SEARCH("Republic of Korea",S4609)),"South Korea",
ISNUMBER(SEARCH("Cape Verde",S4609)),"Cabo Verde",
ISNUMBER(SEARCH("Czechia",S4609)),"Czech Republic",
ISNUMBER(SEARCH("Türkiye",S4609)),"Turkey",
ISNUMBER(SEARCH("Ivory Coast",S4609)),"Côte d'Ivoire",
ISNUMBER(SEARCH("Korea Republic",S4609)),"South Korea",
ISNUMBER(SEARCH("Germany FR",S4609)),"FR Germany",
ISNUMBER(SEARCH("West Germany",S4609)),"FR Germany",
ISNUMBER(SEARCH("Germany DR",S4609)),"DR Germany",
ISNUMBER(SEARCH("Korea DPR",S4609)),"North Korea",
ISNUMBER(SEARCH("China PR",S4609)),"China",
ISNUMBER(SEARCH("IR Iran",S4609)),"Iran",
ISNUMBER(SEARCH("Congo DR",S4609)),"Democratic Republic of the Congo",
ISNUMBER(SEARCH("DR Congo",S4609)),"Democratic Republic of the Congo",
ISNUMBER(SEARCH("German DR",S4609)),"DR Germany",
ISNUMBER(SEARCH("rn""&gt;United Arab Emirates",S4609)),"United Arab Emirates",
ISNUMBER(SEARCH("rn""&gt;Republic of Ireland",S4609)),"Ireland",
ISNUMBER(SEARCH("rn""&gt;Bosnia and Herzegovina",S4609)),"Bosnia and Herzegovina",
ISNUMBER(SEARCH("rn""&gt;Trinidad and Tobago",S4609)),"Trinidad and Tobago",
ISNUMBER(SEARCH("rn""&gt;Serbia and Montenegro",S4609)),"Serbia and Montenegro",
ISNUMBER(SEARCH(_xlfn.UNICHAR(65533),S4609)),"Côte d'Ivoire",
TRUE,"-"
)</f>
        <v>-</v>
      </c>
      <c r="W4609" s="42" t="str">
        <f t="shared" si="288"/>
        <v>-</v>
      </c>
    </row>
    <row r="4610" spans="19:23">
      <c r="S4610" s="42" t="str">
        <v/>
      </c>
      <c r="T4610" s="42" t="str">
        <f t="shared" si="286"/>
        <v>-</v>
      </c>
      <c r="U4610" s="40" t="str">
        <f t="shared" si="287"/>
        <v>-</v>
      </c>
      <c r="V4610" s="42" t="str" cm="1">
        <f t="array" ref="V4610">_xlfn.IFS(
LEFT(S4610,16)="win on penalties",IF(VALUE(MID(S4610,19,1))&gt;VALUE(MID(S4610,23,1)),DATA_CLEANED!AK124,DATA_CLEANED!AN124),
ISNUMBER(SEARCH("USA",S4610)),"United States",
ISNUMBER(SEARCH("Republic of Ireland",S4610)),"Ireland",
ISNUMBER(SEARCH("Republic of Korea",S4610)),"South Korea",
ISNUMBER(SEARCH("Cape Verde",S4610)),"Cabo Verde",
ISNUMBER(SEARCH("Czechia",S4610)),"Czech Republic",
ISNUMBER(SEARCH("Türkiye",S4610)),"Turkey",
ISNUMBER(SEARCH("Ivory Coast",S4610)),"Côte d'Ivoire",
ISNUMBER(SEARCH("Korea Republic",S4610)),"South Korea",
ISNUMBER(SEARCH("Germany FR",S4610)),"FR Germany",
ISNUMBER(SEARCH("West Germany",S4610)),"FR Germany",
ISNUMBER(SEARCH("Germany DR",S4610)),"DR Germany",
ISNUMBER(SEARCH("Korea DPR",S4610)),"North Korea",
ISNUMBER(SEARCH("China PR",S4610)),"China",
ISNUMBER(SEARCH("IR Iran",S4610)),"Iran",
ISNUMBER(SEARCH("Congo DR",S4610)),"Democratic Republic of the Congo",
ISNUMBER(SEARCH("DR Congo",S4610)),"Democratic Republic of the Congo",
ISNUMBER(SEARCH("German DR",S4610)),"DR Germany",
ISNUMBER(SEARCH("rn""&gt;United Arab Emirates",S4610)),"United Arab Emirates",
ISNUMBER(SEARCH("rn""&gt;Republic of Ireland",S4610)),"Ireland",
ISNUMBER(SEARCH("rn""&gt;Bosnia and Herzegovina",S4610)),"Bosnia and Herzegovina",
ISNUMBER(SEARCH("rn""&gt;Trinidad and Tobago",S4610)),"Trinidad and Tobago",
ISNUMBER(SEARCH("rn""&gt;Serbia and Montenegro",S4610)),"Serbia and Montenegro",
ISNUMBER(SEARCH(_xlfn.UNICHAR(65533),S4610)),"Côte d'Ivoire",
TRUE,"-"
)</f>
        <v>-</v>
      </c>
      <c r="W4610" s="42" t="str">
        <f t="shared" si="288"/>
        <v>-</v>
      </c>
    </row>
    <row r="4611" spans="19:23">
      <c r="S4611" s="42" t="str">
        <v/>
      </c>
      <c r="T4611" s="42" t="str">
        <f t="shared" si="286"/>
        <v>-</v>
      </c>
      <c r="U4611" s="40" t="str">
        <f t="shared" si="287"/>
        <v>-</v>
      </c>
      <c r="V4611" s="42" t="str" cm="1">
        <f t="array" ref="V4611">_xlfn.IFS(
LEFT(S4611,16)="win on penalties",IF(VALUE(MID(S4611,19,1))&gt;VALUE(MID(S4611,23,1)),DATA_CLEANED!AK125,DATA_CLEANED!AN125),
ISNUMBER(SEARCH("USA",S4611)),"United States",
ISNUMBER(SEARCH("Republic of Ireland",S4611)),"Ireland",
ISNUMBER(SEARCH("Republic of Korea",S4611)),"South Korea",
ISNUMBER(SEARCH("Cape Verde",S4611)),"Cabo Verde",
ISNUMBER(SEARCH("Czechia",S4611)),"Czech Republic",
ISNUMBER(SEARCH("Türkiye",S4611)),"Turkey",
ISNUMBER(SEARCH("Ivory Coast",S4611)),"Côte d'Ivoire",
ISNUMBER(SEARCH("Korea Republic",S4611)),"South Korea",
ISNUMBER(SEARCH("Germany FR",S4611)),"FR Germany",
ISNUMBER(SEARCH("West Germany",S4611)),"FR Germany",
ISNUMBER(SEARCH("Germany DR",S4611)),"DR Germany",
ISNUMBER(SEARCH("Korea DPR",S4611)),"North Korea",
ISNUMBER(SEARCH("China PR",S4611)),"China",
ISNUMBER(SEARCH("IR Iran",S4611)),"Iran",
ISNUMBER(SEARCH("Congo DR",S4611)),"Democratic Republic of the Congo",
ISNUMBER(SEARCH("DR Congo",S4611)),"Democratic Republic of the Congo",
ISNUMBER(SEARCH("German DR",S4611)),"DR Germany",
ISNUMBER(SEARCH("rn""&gt;United Arab Emirates",S4611)),"United Arab Emirates",
ISNUMBER(SEARCH("rn""&gt;Republic of Ireland",S4611)),"Ireland",
ISNUMBER(SEARCH("rn""&gt;Bosnia and Herzegovina",S4611)),"Bosnia and Herzegovina",
ISNUMBER(SEARCH("rn""&gt;Trinidad and Tobago",S4611)),"Trinidad and Tobago",
ISNUMBER(SEARCH("rn""&gt;Serbia and Montenegro",S4611)),"Serbia and Montenegro",
ISNUMBER(SEARCH(_xlfn.UNICHAR(65533),S4611)),"Côte d'Ivoire",
TRUE,"-"
)</f>
        <v>-</v>
      </c>
      <c r="W4611" s="42" t="str">
        <f t="shared" si="288"/>
        <v>-</v>
      </c>
    </row>
    <row r="4612" spans="19:23">
      <c r="S4612" s="42" t="str">
        <v/>
      </c>
      <c r="T4612" s="42" t="str">
        <f t="shared" si="286"/>
        <v>-</v>
      </c>
      <c r="U4612" s="40" t="str">
        <f t="shared" si="287"/>
        <v>-</v>
      </c>
      <c r="V4612" s="42" t="str" cm="1">
        <f t="array" ref="V4612">_xlfn.IFS(
LEFT(S4612,16)="win on penalties",IF(VALUE(MID(S4612,19,1))&gt;VALUE(MID(S4612,23,1)),DATA_CLEANED!AK126,DATA_CLEANED!AN126),
ISNUMBER(SEARCH("USA",S4612)),"United States",
ISNUMBER(SEARCH("Republic of Ireland",S4612)),"Ireland",
ISNUMBER(SEARCH("Republic of Korea",S4612)),"South Korea",
ISNUMBER(SEARCH("Cape Verde",S4612)),"Cabo Verde",
ISNUMBER(SEARCH("Czechia",S4612)),"Czech Republic",
ISNUMBER(SEARCH("Türkiye",S4612)),"Turkey",
ISNUMBER(SEARCH("Ivory Coast",S4612)),"Côte d'Ivoire",
ISNUMBER(SEARCH("Korea Republic",S4612)),"South Korea",
ISNUMBER(SEARCH("Germany FR",S4612)),"FR Germany",
ISNUMBER(SEARCH("West Germany",S4612)),"FR Germany",
ISNUMBER(SEARCH("Germany DR",S4612)),"DR Germany",
ISNUMBER(SEARCH("Korea DPR",S4612)),"North Korea",
ISNUMBER(SEARCH("China PR",S4612)),"China",
ISNUMBER(SEARCH("IR Iran",S4612)),"Iran",
ISNUMBER(SEARCH("Congo DR",S4612)),"Democratic Republic of the Congo",
ISNUMBER(SEARCH("DR Congo",S4612)),"Democratic Republic of the Congo",
ISNUMBER(SEARCH("German DR",S4612)),"DR Germany",
ISNUMBER(SEARCH("rn""&gt;United Arab Emirates",S4612)),"United Arab Emirates",
ISNUMBER(SEARCH("rn""&gt;Republic of Ireland",S4612)),"Ireland",
ISNUMBER(SEARCH("rn""&gt;Bosnia and Herzegovina",S4612)),"Bosnia and Herzegovina",
ISNUMBER(SEARCH("rn""&gt;Trinidad and Tobago",S4612)),"Trinidad and Tobago",
ISNUMBER(SEARCH("rn""&gt;Serbia and Montenegro",S4612)),"Serbia and Montenegro",
ISNUMBER(SEARCH(_xlfn.UNICHAR(65533),S4612)),"Côte d'Ivoire",
TRUE,"-"
)</f>
        <v>-</v>
      </c>
      <c r="W4612" s="42" t="str">
        <f t="shared" si="288"/>
        <v>-</v>
      </c>
    </row>
    <row r="4613" spans="19:23">
      <c r="S4613" s="42" t="str">
        <v/>
      </c>
      <c r="T4613" s="42" t="str">
        <f t="shared" si="286"/>
        <v>-</v>
      </c>
      <c r="U4613" s="40" t="str">
        <f t="shared" si="287"/>
        <v>-</v>
      </c>
      <c r="V4613" s="42" t="str" cm="1">
        <f t="array" ref="V4613">_xlfn.IFS(
LEFT(S4613,16)="win on penalties",IF(VALUE(MID(S4613,19,1))&gt;VALUE(MID(S4613,23,1)),DATA_CLEANED!AK127,DATA_CLEANED!AN127),
ISNUMBER(SEARCH("USA",S4613)),"United States",
ISNUMBER(SEARCH("Republic of Ireland",S4613)),"Ireland",
ISNUMBER(SEARCH("Republic of Korea",S4613)),"South Korea",
ISNUMBER(SEARCH("Cape Verde",S4613)),"Cabo Verde",
ISNUMBER(SEARCH("Czechia",S4613)),"Czech Republic",
ISNUMBER(SEARCH("Türkiye",S4613)),"Turkey",
ISNUMBER(SEARCH("Ivory Coast",S4613)),"Côte d'Ivoire",
ISNUMBER(SEARCH("Korea Republic",S4613)),"South Korea",
ISNUMBER(SEARCH("Germany FR",S4613)),"FR Germany",
ISNUMBER(SEARCH("West Germany",S4613)),"FR Germany",
ISNUMBER(SEARCH("Germany DR",S4613)),"DR Germany",
ISNUMBER(SEARCH("Korea DPR",S4613)),"North Korea",
ISNUMBER(SEARCH("China PR",S4613)),"China",
ISNUMBER(SEARCH("IR Iran",S4613)),"Iran",
ISNUMBER(SEARCH("Congo DR",S4613)),"Democratic Republic of the Congo",
ISNUMBER(SEARCH("DR Congo",S4613)),"Democratic Republic of the Congo",
ISNUMBER(SEARCH("German DR",S4613)),"DR Germany",
ISNUMBER(SEARCH("rn""&gt;United Arab Emirates",S4613)),"United Arab Emirates",
ISNUMBER(SEARCH("rn""&gt;Republic of Ireland",S4613)),"Ireland",
ISNUMBER(SEARCH("rn""&gt;Bosnia and Herzegovina",S4613)),"Bosnia and Herzegovina",
ISNUMBER(SEARCH("rn""&gt;Trinidad and Tobago",S4613)),"Trinidad and Tobago",
ISNUMBER(SEARCH("rn""&gt;Serbia and Montenegro",S4613)),"Serbia and Montenegro",
ISNUMBER(SEARCH(_xlfn.UNICHAR(65533),S4613)),"Côte d'Ivoire",
TRUE,"-"
)</f>
        <v>-</v>
      </c>
      <c r="W4613" s="42" t="str">
        <f t="shared" si="288"/>
        <v>-</v>
      </c>
    </row>
    <row r="4614" spans="19:23">
      <c r="S4614" s="42" t="str">
        <v/>
      </c>
      <c r="T4614" s="42" t="str">
        <f t="shared" si="286"/>
        <v>-</v>
      </c>
      <c r="U4614" s="40" t="str">
        <f t="shared" si="287"/>
        <v>-</v>
      </c>
      <c r="V4614" s="42" t="str" cm="1">
        <f t="array" ref="V4614">_xlfn.IFS(
LEFT(S4614,16)="win on penalties",IF(VALUE(MID(S4614,19,1))&gt;VALUE(MID(S4614,23,1)),DATA_CLEANED!AK128,DATA_CLEANED!AN128),
ISNUMBER(SEARCH("USA",S4614)),"United States",
ISNUMBER(SEARCH("Republic of Ireland",S4614)),"Ireland",
ISNUMBER(SEARCH("Republic of Korea",S4614)),"South Korea",
ISNUMBER(SEARCH("Cape Verde",S4614)),"Cabo Verde",
ISNUMBER(SEARCH("Czechia",S4614)),"Czech Republic",
ISNUMBER(SEARCH("Türkiye",S4614)),"Turkey",
ISNUMBER(SEARCH("Ivory Coast",S4614)),"Côte d'Ivoire",
ISNUMBER(SEARCH("Korea Republic",S4614)),"South Korea",
ISNUMBER(SEARCH("Germany FR",S4614)),"FR Germany",
ISNUMBER(SEARCH("West Germany",S4614)),"FR Germany",
ISNUMBER(SEARCH("Germany DR",S4614)),"DR Germany",
ISNUMBER(SEARCH("Korea DPR",S4614)),"North Korea",
ISNUMBER(SEARCH("China PR",S4614)),"China",
ISNUMBER(SEARCH("IR Iran",S4614)),"Iran",
ISNUMBER(SEARCH("Congo DR",S4614)),"Democratic Republic of the Congo",
ISNUMBER(SEARCH("DR Congo",S4614)),"Democratic Republic of the Congo",
ISNUMBER(SEARCH("German DR",S4614)),"DR Germany",
ISNUMBER(SEARCH("rn""&gt;United Arab Emirates",S4614)),"United Arab Emirates",
ISNUMBER(SEARCH("rn""&gt;Republic of Ireland",S4614)),"Ireland",
ISNUMBER(SEARCH("rn""&gt;Bosnia and Herzegovina",S4614)),"Bosnia and Herzegovina",
ISNUMBER(SEARCH("rn""&gt;Trinidad and Tobago",S4614)),"Trinidad and Tobago",
ISNUMBER(SEARCH("rn""&gt;Serbia and Montenegro",S4614)),"Serbia and Montenegro",
ISNUMBER(SEARCH(_xlfn.UNICHAR(65533),S4614)),"Côte d'Ivoire",
TRUE,"-"
)</f>
        <v>-</v>
      </c>
      <c r="W4614" s="42" t="str">
        <f t="shared" si="288"/>
        <v>-</v>
      </c>
    </row>
    <row r="4615" spans="19:23">
      <c r="S4615" s="42" t="str">
        <v>Northern Ireland win after extra time</v>
      </c>
      <c r="T4615" s="42" t="str">
        <f t="shared" si="286"/>
        <v>Northern Ireland</v>
      </c>
      <c r="U4615" s="40" t="str">
        <f t="shared" si="287"/>
        <v>AUCUNE</v>
      </c>
      <c r="V4615" s="42" t="str" cm="1">
        <f t="array" ref="V4615">_xlfn.IFS(
LEFT(S4615,16)="win on penalties",IF(VALUE(MID(S4615,19,1))&gt;VALUE(MID(S4615,23,1)),DATA_CLEANED!AK129,DATA_CLEANED!AN129),
ISNUMBER(SEARCH("USA",S4615)),"United States",
ISNUMBER(SEARCH("Republic of Ireland",S4615)),"Ireland",
ISNUMBER(SEARCH("Republic of Korea",S4615)),"South Korea",
ISNUMBER(SEARCH("Cape Verde",S4615)),"Cabo Verde",
ISNUMBER(SEARCH("Czechia",S4615)),"Czech Republic",
ISNUMBER(SEARCH("Türkiye",S4615)),"Turkey",
ISNUMBER(SEARCH("Ivory Coast",S4615)),"Côte d'Ivoire",
ISNUMBER(SEARCH("Korea Republic",S4615)),"South Korea",
ISNUMBER(SEARCH("Germany FR",S4615)),"FR Germany",
ISNUMBER(SEARCH("West Germany",S4615)),"FR Germany",
ISNUMBER(SEARCH("Germany DR",S4615)),"DR Germany",
ISNUMBER(SEARCH("Korea DPR",S4615)),"North Korea",
ISNUMBER(SEARCH("China PR",S4615)),"China",
ISNUMBER(SEARCH("IR Iran",S4615)),"Iran",
ISNUMBER(SEARCH("Congo DR",S4615)),"Democratic Republic of the Congo",
ISNUMBER(SEARCH("DR Congo",S4615)),"Democratic Republic of the Congo",
ISNUMBER(SEARCH("German DR",S4615)),"DR Germany",
ISNUMBER(SEARCH("rn""&gt;United Arab Emirates",S4615)),"United Arab Emirates",
ISNUMBER(SEARCH("rn""&gt;Republic of Ireland",S4615)),"Ireland",
ISNUMBER(SEARCH("rn""&gt;Bosnia and Herzegovina",S4615)),"Bosnia and Herzegovina",
ISNUMBER(SEARCH("rn""&gt;Trinidad and Tobago",S4615)),"Trinidad and Tobago",
ISNUMBER(SEARCH("rn""&gt;Serbia and Montenegro",S4615)),"Serbia and Montenegro",
ISNUMBER(SEARCH(_xlfn.UNICHAR(65533),S4615)),"Côte d'Ivoire",
TRUE,"-"
)</f>
        <v>-</v>
      </c>
      <c r="W4615" s="42" t="str">
        <f t="shared" si="288"/>
        <v>Northern Ireland win after extra time</v>
      </c>
    </row>
    <row r="4616" spans="19:23">
      <c r="S4616" s="42" t="str">
        <v/>
      </c>
      <c r="T4616" s="42" t="str">
        <f t="shared" si="286"/>
        <v>-</v>
      </c>
      <c r="U4616" s="40" t="str">
        <f t="shared" si="287"/>
        <v>-</v>
      </c>
      <c r="V4616" s="42" t="str" cm="1">
        <f t="array" ref="V4616">_xlfn.IFS(
LEFT(S4616,16)="win on penalties",IF(VALUE(MID(S4616,19,1))&gt;VALUE(MID(S4616,23,1)),DATA_CLEANED!AK130,DATA_CLEANED!AN130),
ISNUMBER(SEARCH("USA",S4616)),"United States",
ISNUMBER(SEARCH("Republic of Ireland",S4616)),"Ireland",
ISNUMBER(SEARCH("Republic of Korea",S4616)),"South Korea",
ISNUMBER(SEARCH("Cape Verde",S4616)),"Cabo Verde",
ISNUMBER(SEARCH("Czechia",S4616)),"Czech Republic",
ISNUMBER(SEARCH("Türkiye",S4616)),"Turkey",
ISNUMBER(SEARCH("Ivory Coast",S4616)),"Côte d'Ivoire",
ISNUMBER(SEARCH("Korea Republic",S4616)),"South Korea",
ISNUMBER(SEARCH("Germany FR",S4616)),"FR Germany",
ISNUMBER(SEARCH("West Germany",S4616)),"FR Germany",
ISNUMBER(SEARCH("Germany DR",S4616)),"DR Germany",
ISNUMBER(SEARCH("Korea DPR",S4616)),"North Korea",
ISNUMBER(SEARCH("China PR",S4616)),"China",
ISNUMBER(SEARCH("IR Iran",S4616)),"Iran",
ISNUMBER(SEARCH("Congo DR",S4616)),"Democratic Republic of the Congo",
ISNUMBER(SEARCH("DR Congo",S4616)),"Democratic Republic of the Congo",
ISNUMBER(SEARCH("German DR",S4616)),"DR Germany",
ISNUMBER(SEARCH("rn""&gt;United Arab Emirates",S4616)),"United Arab Emirates",
ISNUMBER(SEARCH("rn""&gt;Republic of Ireland",S4616)),"Ireland",
ISNUMBER(SEARCH("rn""&gt;Bosnia and Herzegovina",S4616)),"Bosnia and Herzegovina",
ISNUMBER(SEARCH("rn""&gt;Trinidad and Tobago",S4616)),"Trinidad and Tobago",
ISNUMBER(SEARCH("rn""&gt;Serbia and Montenegro",S4616)),"Serbia and Montenegro",
ISNUMBER(SEARCH(_xlfn.UNICHAR(65533),S4616)),"Côte d'Ivoire",
TRUE,"-"
)</f>
        <v>-</v>
      </c>
      <c r="W4616" s="42" t="str">
        <f t="shared" si="288"/>
        <v>-</v>
      </c>
    </row>
    <row r="4617" spans="19:23">
      <c r="S4617" s="42" t="str">
        <v/>
      </c>
      <c r="T4617" s="42" t="str">
        <f t="shared" si="286"/>
        <v>-</v>
      </c>
      <c r="U4617" s="40" t="str">
        <f t="shared" si="287"/>
        <v>-</v>
      </c>
      <c r="V4617" s="42" t="str" cm="1">
        <f t="array" ref="V4617">_xlfn.IFS(
LEFT(S4617,16)="win on penalties",IF(VALUE(MID(S4617,19,1))&gt;VALUE(MID(S4617,23,1)),DATA_CLEANED!AK131,DATA_CLEANED!AN131),
ISNUMBER(SEARCH("USA",S4617)),"United States",
ISNUMBER(SEARCH("Republic of Ireland",S4617)),"Ireland",
ISNUMBER(SEARCH("Republic of Korea",S4617)),"South Korea",
ISNUMBER(SEARCH("Cape Verde",S4617)),"Cabo Verde",
ISNUMBER(SEARCH("Czechia",S4617)),"Czech Republic",
ISNUMBER(SEARCH("Türkiye",S4617)),"Turkey",
ISNUMBER(SEARCH("Ivory Coast",S4617)),"Côte d'Ivoire",
ISNUMBER(SEARCH("Korea Republic",S4617)),"South Korea",
ISNUMBER(SEARCH("Germany FR",S4617)),"FR Germany",
ISNUMBER(SEARCH("West Germany",S4617)),"FR Germany",
ISNUMBER(SEARCH("Germany DR",S4617)),"DR Germany",
ISNUMBER(SEARCH("Korea DPR",S4617)),"North Korea",
ISNUMBER(SEARCH("China PR",S4617)),"China",
ISNUMBER(SEARCH("IR Iran",S4617)),"Iran",
ISNUMBER(SEARCH("Congo DR",S4617)),"Democratic Republic of the Congo",
ISNUMBER(SEARCH("DR Congo",S4617)),"Democratic Republic of the Congo",
ISNUMBER(SEARCH("German DR",S4617)),"DR Germany",
ISNUMBER(SEARCH("rn""&gt;United Arab Emirates",S4617)),"United Arab Emirates",
ISNUMBER(SEARCH("rn""&gt;Republic of Ireland",S4617)),"Ireland",
ISNUMBER(SEARCH("rn""&gt;Bosnia and Herzegovina",S4617)),"Bosnia and Herzegovina",
ISNUMBER(SEARCH("rn""&gt;Trinidad and Tobago",S4617)),"Trinidad and Tobago",
ISNUMBER(SEARCH("rn""&gt;Serbia and Montenegro",S4617)),"Serbia and Montenegro",
ISNUMBER(SEARCH(_xlfn.UNICHAR(65533),S4617)),"Côte d'Ivoire",
TRUE,"-"
)</f>
        <v>-</v>
      </c>
      <c r="W4617" s="42" t="str">
        <f t="shared" si="288"/>
        <v>-</v>
      </c>
    </row>
    <row r="4618" spans="19:23">
      <c r="S4618" s="42" t="str">
        <v/>
      </c>
      <c r="T4618" s="42" t="str">
        <f t="shared" ref="T4618:T4681" si="289">IF(S4618="","-",IFERROR(LEFT(S4618,SEARCH(" win",S4618)-1),"-"))</f>
        <v>-</v>
      </c>
      <c r="U4618" s="40" t="str">
        <f t="shared" ref="U4618:U4681" si="290">IF(T4618="-","-",IF(COUNTIF(_xlfn.ANCHORARRAY(X$13),T4618)=1,"AUCUNE","RENOMMER"))</f>
        <v>-</v>
      </c>
      <c r="V4618" s="42" t="str" cm="1">
        <f t="array" ref="V4618">_xlfn.IFS(
LEFT(S4618,16)="win on penalties",IF(VALUE(MID(S4618,19,1))&gt;VALUE(MID(S4618,23,1)),DATA_CLEANED!AK132,DATA_CLEANED!AN132),
ISNUMBER(SEARCH("USA",S4618)),"United States",
ISNUMBER(SEARCH("Republic of Ireland",S4618)),"Ireland",
ISNUMBER(SEARCH("Republic of Korea",S4618)),"South Korea",
ISNUMBER(SEARCH("Cape Verde",S4618)),"Cabo Verde",
ISNUMBER(SEARCH("Czechia",S4618)),"Czech Republic",
ISNUMBER(SEARCH("Türkiye",S4618)),"Turkey",
ISNUMBER(SEARCH("Ivory Coast",S4618)),"Côte d'Ivoire",
ISNUMBER(SEARCH("Korea Republic",S4618)),"South Korea",
ISNUMBER(SEARCH("Germany FR",S4618)),"FR Germany",
ISNUMBER(SEARCH("West Germany",S4618)),"FR Germany",
ISNUMBER(SEARCH("Germany DR",S4618)),"DR Germany",
ISNUMBER(SEARCH("Korea DPR",S4618)),"North Korea",
ISNUMBER(SEARCH("China PR",S4618)),"China",
ISNUMBER(SEARCH("IR Iran",S4618)),"Iran",
ISNUMBER(SEARCH("Congo DR",S4618)),"Democratic Republic of the Congo",
ISNUMBER(SEARCH("DR Congo",S4618)),"Democratic Republic of the Congo",
ISNUMBER(SEARCH("German DR",S4618)),"DR Germany",
ISNUMBER(SEARCH("rn""&gt;United Arab Emirates",S4618)),"United Arab Emirates",
ISNUMBER(SEARCH("rn""&gt;Republic of Ireland",S4618)),"Ireland",
ISNUMBER(SEARCH("rn""&gt;Bosnia and Herzegovina",S4618)),"Bosnia and Herzegovina",
ISNUMBER(SEARCH("rn""&gt;Trinidad and Tobago",S4618)),"Trinidad and Tobago",
ISNUMBER(SEARCH("rn""&gt;Serbia and Montenegro",S4618)),"Serbia and Montenegro",
ISNUMBER(SEARCH(_xlfn.UNICHAR(65533),S4618)),"Côte d'Ivoire",
TRUE,"-"
)</f>
        <v>-</v>
      </c>
      <c r="W4618" s="42" t="str">
        <f t="shared" ref="W4618:W4681" si="291">IF(S4618="","-",IF(AND(U4618="RENOMMER",T4618&lt;&gt;"-",V4618&lt;&gt;"-"),SUBSTITUTE(S4618,T4618,V4618),S4618))</f>
        <v>-</v>
      </c>
    </row>
    <row r="4619" spans="19:23">
      <c r="S4619" s="42" t="str">
        <v/>
      </c>
      <c r="T4619" s="42" t="str">
        <f t="shared" si="289"/>
        <v>-</v>
      </c>
      <c r="U4619" s="40" t="str">
        <f t="shared" si="290"/>
        <v>-</v>
      </c>
      <c r="V4619" s="42" t="str" cm="1">
        <f t="array" ref="V4619">_xlfn.IFS(
LEFT(S4619,16)="win on penalties",IF(VALUE(MID(S4619,19,1))&gt;VALUE(MID(S4619,23,1)),DATA_CLEANED!AK133,DATA_CLEANED!AN133),
ISNUMBER(SEARCH("USA",S4619)),"United States",
ISNUMBER(SEARCH("Republic of Ireland",S4619)),"Ireland",
ISNUMBER(SEARCH("Republic of Korea",S4619)),"South Korea",
ISNUMBER(SEARCH("Cape Verde",S4619)),"Cabo Verde",
ISNUMBER(SEARCH("Czechia",S4619)),"Czech Republic",
ISNUMBER(SEARCH("Türkiye",S4619)),"Turkey",
ISNUMBER(SEARCH("Ivory Coast",S4619)),"Côte d'Ivoire",
ISNUMBER(SEARCH("Korea Republic",S4619)),"South Korea",
ISNUMBER(SEARCH("Germany FR",S4619)),"FR Germany",
ISNUMBER(SEARCH("West Germany",S4619)),"FR Germany",
ISNUMBER(SEARCH("Germany DR",S4619)),"DR Germany",
ISNUMBER(SEARCH("Korea DPR",S4619)),"North Korea",
ISNUMBER(SEARCH("China PR",S4619)),"China",
ISNUMBER(SEARCH("IR Iran",S4619)),"Iran",
ISNUMBER(SEARCH("Congo DR",S4619)),"Democratic Republic of the Congo",
ISNUMBER(SEARCH("DR Congo",S4619)),"Democratic Republic of the Congo",
ISNUMBER(SEARCH("German DR",S4619)),"DR Germany",
ISNUMBER(SEARCH("rn""&gt;United Arab Emirates",S4619)),"United Arab Emirates",
ISNUMBER(SEARCH("rn""&gt;Republic of Ireland",S4619)),"Ireland",
ISNUMBER(SEARCH("rn""&gt;Bosnia and Herzegovina",S4619)),"Bosnia and Herzegovina",
ISNUMBER(SEARCH("rn""&gt;Trinidad and Tobago",S4619)),"Trinidad and Tobago",
ISNUMBER(SEARCH("rn""&gt;Serbia and Montenegro",S4619)),"Serbia and Montenegro",
ISNUMBER(SEARCH(_xlfn.UNICHAR(65533),S4619)),"Côte d'Ivoire",
TRUE,"-"
)</f>
        <v>-</v>
      </c>
      <c r="W4619" s="42" t="str">
        <f t="shared" si="291"/>
        <v>-</v>
      </c>
    </row>
    <row r="4620" spans="19:23">
      <c r="S4620" s="42" t="str">
        <v/>
      </c>
      <c r="T4620" s="42" t="str">
        <f t="shared" si="289"/>
        <v>-</v>
      </c>
      <c r="U4620" s="40" t="str">
        <f t="shared" si="290"/>
        <v>-</v>
      </c>
      <c r="V4620" s="42" t="str" cm="1">
        <f t="array" ref="V4620">_xlfn.IFS(
LEFT(S4620,16)="win on penalties",IF(VALUE(MID(S4620,19,1))&gt;VALUE(MID(S4620,23,1)),DATA_CLEANED!AK134,DATA_CLEANED!AN134),
ISNUMBER(SEARCH("USA",S4620)),"United States",
ISNUMBER(SEARCH("Republic of Ireland",S4620)),"Ireland",
ISNUMBER(SEARCH("Republic of Korea",S4620)),"South Korea",
ISNUMBER(SEARCH("Cape Verde",S4620)),"Cabo Verde",
ISNUMBER(SEARCH("Czechia",S4620)),"Czech Republic",
ISNUMBER(SEARCH("Türkiye",S4620)),"Turkey",
ISNUMBER(SEARCH("Ivory Coast",S4620)),"Côte d'Ivoire",
ISNUMBER(SEARCH("Korea Republic",S4620)),"South Korea",
ISNUMBER(SEARCH("Germany FR",S4620)),"FR Germany",
ISNUMBER(SEARCH("West Germany",S4620)),"FR Germany",
ISNUMBER(SEARCH("Germany DR",S4620)),"DR Germany",
ISNUMBER(SEARCH("Korea DPR",S4620)),"North Korea",
ISNUMBER(SEARCH("China PR",S4620)),"China",
ISNUMBER(SEARCH("IR Iran",S4620)),"Iran",
ISNUMBER(SEARCH("Congo DR",S4620)),"Democratic Republic of the Congo",
ISNUMBER(SEARCH("DR Congo",S4620)),"Democratic Republic of the Congo",
ISNUMBER(SEARCH("German DR",S4620)),"DR Germany",
ISNUMBER(SEARCH("rn""&gt;United Arab Emirates",S4620)),"United Arab Emirates",
ISNUMBER(SEARCH("rn""&gt;Republic of Ireland",S4620)),"Ireland",
ISNUMBER(SEARCH("rn""&gt;Bosnia and Herzegovina",S4620)),"Bosnia and Herzegovina",
ISNUMBER(SEARCH("rn""&gt;Trinidad and Tobago",S4620)),"Trinidad and Tobago",
ISNUMBER(SEARCH("rn""&gt;Serbia and Montenegro",S4620)),"Serbia and Montenegro",
ISNUMBER(SEARCH(_xlfn.UNICHAR(65533),S4620)),"Côte d'Ivoire",
TRUE,"-"
)</f>
        <v>-</v>
      </c>
      <c r="W4620" s="42" t="str">
        <f t="shared" si="291"/>
        <v>-</v>
      </c>
    </row>
    <row r="4621" spans="19:23">
      <c r="S4621" s="42" t="str">
        <v/>
      </c>
      <c r="T4621" s="42" t="str">
        <f t="shared" si="289"/>
        <v>-</v>
      </c>
      <c r="U4621" s="40" t="str">
        <f t="shared" si="290"/>
        <v>-</v>
      </c>
      <c r="V4621" s="42" t="str" cm="1">
        <f t="array" ref="V4621">_xlfn.IFS(
LEFT(S4621,16)="win on penalties",IF(VALUE(MID(S4621,19,1))&gt;VALUE(MID(S4621,23,1)),DATA_CLEANED!AK135,DATA_CLEANED!AN135),
ISNUMBER(SEARCH("USA",S4621)),"United States",
ISNUMBER(SEARCH("Republic of Ireland",S4621)),"Ireland",
ISNUMBER(SEARCH("Republic of Korea",S4621)),"South Korea",
ISNUMBER(SEARCH("Cape Verde",S4621)),"Cabo Verde",
ISNUMBER(SEARCH("Czechia",S4621)),"Czech Republic",
ISNUMBER(SEARCH("Türkiye",S4621)),"Turkey",
ISNUMBER(SEARCH("Ivory Coast",S4621)),"Côte d'Ivoire",
ISNUMBER(SEARCH("Korea Republic",S4621)),"South Korea",
ISNUMBER(SEARCH("Germany FR",S4621)),"FR Germany",
ISNUMBER(SEARCH("West Germany",S4621)),"FR Germany",
ISNUMBER(SEARCH("Germany DR",S4621)),"DR Germany",
ISNUMBER(SEARCH("Korea DPR",S4621)),"North Korea",
ISNUMBER(SEARCH("China PR",S4621)),"China",
ISNUMBER(SEARCH("IR Iran",S4621)),"Iran",
ISNUMBER(SEARCH("Congo DR",S4621)),"Democratic Republic of the Congo",
ISNUMBER(SEARCH("DR Congo",S4621)),"Democratic Republic of the Congo",
ISNUMBER(SEARCH("German DR",S4621)),"DR Germany",
ISNUMBER(SEARCH("rn""&gt;United Arab Emirates",S4621)),"United Arab Emirates",
ISNUMBER(SEARCH("rn""&gt;Republic of Ireland",S4621)),"Ireland",
ISNUMBER(SEARCH("rn""&gt;Bosnia and Herzegovina",S4621)),"Bosnia and Herzegovina",
ISNUMBER(SEARCH("rn""&gt;Trinidad and Tobago",S4621)),"Trinidad and Tobago",
ISNUMBER(SEARCH("rn""&gt;Serbia and Montenegro",S4621)),"Serbia and Montenegro",
ISNUMBER(SEARCH(_xlfn.UNICHAR(65533),S4621)),"Côte d'Ivoire",
TRUE,"-"
)</f>
        <v>-</v>
      </c>
      <c r="W4621" s="42" t="str">
        <f t="shared" si="291"/>
        <v>-</v>
      </c>
    </row>
    <row r="4622" spans="19:23">
      <c r="S4622" s="42" t="str">
        <v/>
      </c>
      <c r="T4622" s="42" t="str">
        <f t="shared" si="289"/>
        <v>-</v>
      </c>
      <c r="U4622" s="40" t="str">
        <f t="shared" si="290"/>
        <v>-</v>
      </c>
      <c r="V4622" s="42" t="str" cm="1">
        <f t="array" ref="V4622">_xlfn.IFS(
LEFT(S4622,16)="win on penalties",IF(VALUE(MID(S4622,19,1))&gt;VALUE(MID(S4622,23,1)),DATA_CLEANED!AK136,DATA_CLEANED!AN136),
ISNUMBER(SEARCH("USA",S4622)),"United States",
ISNUMBER(SEARCH("Republic of Ireland",S4622)),"Ireland",
ISNUMBER(SEARCH("Republic of Korea",S4622)),"South Korea",
ISNUMBER(SEARCH("Cape Verde",S4622)),"Cabo Verde",
ISNUMBER(SEARCH("Czechia",S4622)),"Czech Republic",
ISNUMBER(SEARCH("Türkiye",S4622)),"Turkey",
ISNUMBER(SEARCH("Ivory Coast",S4622)),"Côte d'Ivoire",
ISNUMBER(SEARCH("Korea Republic",S4622)),"South Korea",
ISNUMBER(SEARCH("Germany FR",S4622)),"FR Germany",
ISNUMBER(SEARCH("West Germany",S4622)),"FR Germany",
ISNUMBER(SEARCH("Germany DR",S4622)),"DR Germany",
ISNUMBER(SEARCH("Korea DPR",S4622)),"North Korea",
ISNUMBER(SEARCH("China PR",S4622)),"China",
ISNUMBER(SEARCH("IR Iran",S4622)),"Iran",
ISNUMBER(SEARCH("Congo DR",S4622)),"Democratic Republic of the Congo",
ISNUMBER(SEARCH("DR Congo",S4622)),"Democratic Republic of the Congo",
ISNUMBER(SEARCH("German DR",S4622)),"DR Germany",
ISNUMBER(SEARCH("rn""&gt;United Arab Emirates",S4622)),"United Arab Emirates",
ISNUMBER(SEARCH("rn""&gt;Republic of Ireland",S4622)),"Ireland",
ISNUMBER(SEARCH("rn""&gt;Bosnia and Herzegovina",S4622)),"Bosnia and Herzegovina",
ISNUMBER(SEARCH("rn""&gt;Trinidad and Tobago",S4622)),"Trinidad and Tobago",
ISNUMBER(SEARCH("rn""&gt;Serbia and Montenegro",S4622)),"Serbia and Montenegro",
ISNUMBER(SEARCH(_xlfn.UNICHAR(65533),S4622)),"Côte d'Ivoire",
TRUE,"-"
)</f>
        <v>-</v>
      </c>
      <c r="W4622" s="42" t="str">
        <f t="shared" si="291"/>
        <v>-</v>
      </c>
    </row>
    <row r="4623" spans="19:23">
      <c r="S4623" s="42" t="str">
        <v/>
      </c>
      <c r="T4623" s="42" t="str">
        <f t="shared" si="289"/>
        <v>-</v>
      </c>
      <c r="U4623" s="40" t="str">
        <f t="shared" si="290"/>
        <v>-</v>
      </c>
      <c r="V4623" s="42" t="str" cm="1">
        <f t="array" ref="V4623">_xlfn.IFS(
LEFT(S4623,16)="win on penalties",IF(VALUE(MID(S4623,19,1))&gt;VALUE(MID(S4623,23,1)),DATA_CLEANED!AK137,DATA_CLEANED!AN137),
ISNUMBER(SEARCH("USA",S4623)),"United States",
ISNUMBER(SEARCH("Republic of Ireland",S4623)),"Ireland",
ISNUMBER(SEARCH("Republic of Korea",S4623)),"South Korea",
ISNUMBER(SEARCH("Cape Verde",S4623)),"Cabo Verde",
ISNUMBER(SEARCH("Czechia",S4623)),"Czech Republic",
ISNUMBER(SEARCH("Türkiye",S4623)),"Turkey",
ISNUMBER(SEARCH("Ivory Coast",S4623)),"Côte d'Ivoire",
ISNUMBER(SEARCH("Korea Republic",S4623)),"South Korea",
ISNUMBER(SEARCH("Germany FR",S4623)),"FR Germany",
ISNUMBER(SEARCH("West Germany",S4623)),"FR Germany",
ISNUMBER(SEARCH("Germany DR",S4623)),"DR Germany",
ISNUMBER(SEARCH("Korea DPR",S4623)),"North Korea",
ISNUMBER(SEARCH("China PR",S4623)),"China",
ISNUMBER(SEARCH("IR Iran",S4623)),"Iran",
ISNUMBER(SEARCH("Congo DR",S4623)),"Democratic Republic of the Congo",
ISNUMBER(SEARCH("DR Congo",S4623)),"Democratic Republic of the Congo",
ISNUMBER(SEARCH("German DR",S4623)),"DR Germany",
ISNUMBER(SEARCH("rn""&gt;United Arab Emirates",S4623)),"United Arab Emirates",
ISNUMBER(SEARCH("rn""&gt;Republic of Ireland",S4623)),"Ireland",
ISNUMBER(SEARCH("rn""&gt;Bosnia and Herzegovina",S4623)),"Bosnia and Herzegovina",
ISNUMBER(SEARCH("rn""&gt;Trinidad and Tobago",S4623)),"Trinidad and Tobago",
ISNUMBER(SEARCH("rn""&gt;Serbia and Montenegro",S4623)),"Serbia and Montenegro",
ISNUMBER(SEARCH(_xlfn.UNICHAR(65533),S4623)),"Côte d'Ivoire",
TRUE,"-"
)</f>
        <v>-</v>
      </c>
      <c r="W4623" s="42" t="str">
        <f t="shared" si="291"/>
        <v>-</v>
      </c>
    </row>
    <row r="4624" spans="19:23">
      <c r="S4624" s="42" t="str">
        <v/>
      </c>
      <c r="T4624" s="42" t="str">
        <f t="shared" si="289"/>
        <v>-</v>
      </c>
      <c r="U4624" s="40" t="str">
        <f t="shared" si="290"/>
        <v>-</v>
      </c>
      <c r="V4624" s="42" t="str" cm="1">
        <f t="array" ref="V4624">_xlfn.IFS(
LEFT(S4624,16)="win on penalties",IF(VALUE(MID(S4624,19,1))&gt;VALUE(MID(S4624,23,1)),DATA_CLEANED!AK138,DATA_CLEANED!AN138),
ISNUMBER(SEARCH("USA",S4624)),"United States",
ISNUMBER(SEARCH("Republic of Ireland",S4624)),"Ireland",
ISNUMBER(SEARCH("Republic of Korea",S4624)),"South Korea",
ISNUMBER(SEARCH("Cape Verde",S4624)),"Cabo Verde",
ISNUMBER(SEARCH("Czechia",S4624)),"Czech Republic",
ISNUMBER(SEARCH("Türkiye",S4624)),"Turkey",
ISNUMBER(SEARCH("Ivory Coast",S4624)),"Côte d'Ivoire",
ISNUMBER(SEARCH("Korea Republic",S4624)),"South Korea",
ISNUMBER(SEARCH("Germany FR",S4624)),"FR Germany",
ISNUMBER(SEARCH("West Germany",S4624)),"FR Germany",
ISNUMBER(SEARCH("Germany DR",S4624)),"DR Germany",
ISNUMBER(SEARCH("Korea DPR",S4624)),"North Korea",
ISNUMBER(SEARCH("China PR",S4624)),"China",
ISNUMBER(SEARCH("IR Iran",S4624)),"Iran",
ISNUMBER(SEARCH("Congo DR",S4624)),"Democratic Republic of the Congo",
ISNUMBER(SEARCH("DR Congo",S4624)),"Democratic Republic of the Congo",
ISNUMBER(SEARCH("German DR",S4624)),"DR Germany",
ISNUMBER(SEARCH("rn""&gt;United Arab Emirates",S4624)),"United Arab Emirates",
ISNUMBER(SEARCH("rn""&gt;Republic of Ireland",S4624)),"Ireland",
ISNUMBER(SEARCH("rn""&gt;Bosnia and Herzegovina",S4624)),"Bosnia and Herzegovina",
ISNUMBER(SEARCH("rn""&gt;Trinidad and Tobago",S4624)),"Trinidad and Tobago",
ISNUMBER(SEARCH("rn""&gt;Serbia and Montenegro",S4624)),"Serbia and Montenegro",
ISNUMBER(SEARCH(_xlfn.UNICHAR(65533),S4624)),"Côte d'Ivoire",
TRUE,"-"
)</f>
        <v>-</v>
      </c>
      <c r="W4624" s="42" t="str">
        <f t="shared" si="291"/>
        <v>-</v>
      </c>
    </row>
    <row r="4625" spans="19:23">
      <c r="S4625" s="42" t="str">
        <v/>
      </c>
      <c r="T4625" s="42" t="str">
        <f t="shared" si="289"/>
        <v>-</v>
      </c>
      <c r="U4625" s="40" t="str">
        <f t="shared" si="290"/>
        <v>-</v>
      </c>
      <c r="V4625" s="42" t="str" cm="1">
        <f t="array" ref="V4625">_xlfn.IFS(
LEFT(S4625,16)="win on penalties",IF(VALUE(MID(S4625,19,1))&gt;VALUE(MID(S4625,23,1)),DATA_CLEANED!AK139,DATA_CLEANED!AN139),
ISNUMBER(SEARCH("USA",S4625)),"United States",
ISNUMBER(SEARCH("Republic of Ireland",S4625)),"Ireland",
ISNUMBER(SEARCH("Republic of Korea",S4625)),"South Korea",
ISNUMBER(SEARCH("Cape Verde",S4625)),"Cabo Verde",
ISNUMBER(SEARCH("Czechia",S4625)),"Czech Republic",
ISNUMBER(SEARCH("Türkiye",S4625)),"Turkey",
ISNUMBER(SEARCH("Ivory Coast",S4625)),"Côte d'Ivoire",
ISNUMBER(SEARCH("Korea Republic",S4625)),"South Korea",
ISNUMBER(SEARCH("Germany FR",S4625)),"FR Germany",
ISNUMBER(SEARCH("West Germany",S4625)),"FR Germany",
ISNUMBER(SEARCH("Germany DR",S4625)),"DR Germany",
ISNUMBER(SEARCH("Korea DPR",S4625)),"North Korea",
ISNUMBER(SEARCH("China PR",S4625)),"China",
ISNUMBER(SEARCH("IR Iran",S4625)),"Iran",
ISNUMBER(SEARCH("Congo DR",S4625)),"Democratic Republic of the Congo",
ISNUMBER(SEARCH("DR Congo",S4625)),"Democratic Republic of the Congo",
ISNUMBER(SEARCH("German DR",S4625)),"DR Germany",
ISNUMBER(SEARCH("rn""&gt;United Arab Emirates",S4625)),"United Arab Emirates",
ISNUMBER(SEARCH("rn""&gt;Republic of Ireland",S4625)),"Ireland",
ISNUMBER(SEARCH("rn""&gt;Bosnia and Herzegovina",S4625)),"Bosnia and Herzegovina",
ISNUMBER(SEARCH("rn""&gt;Trinidad and Tobago",S4625)),"Trinidad and Tobago",
ISNUMBER(SEARCH("rn""&gt;Serbia and Montenegro",S4625)),"Serbia and Montenegro",
ISNUMBER(SEARCH(_xlfn.UNICHAR(65533),S4625)),"Côte d'Ivoire",
TRUE,"-"
)</f>
        <v>-</v>
      </c>
      <c r="W4625" s="42" t="str">
        <f t="shared" si="291"/>
        <v>-</v>
      </c>
    </row>
    <row r="4626" spans="19:23">
      <c r="S4626" s="42" t="str">
        <v/>
      </c>
      <c r="T4626" s="42" t="str">
        <f t="shared" si="289"/>
        <v>-</v>
      </c>
      <c r="U4626" s="40" t="str">
        <f t="shared" si="290"/>
        <v>-</v>
      </c>
      <c r="V4626" s="42" t="str" cm="1">
        <f t="array" ref="V4626">_xlfn.IFS(
LEFT(S4626,16)="win on penalties",IF(VALUE(MID(S4626,19,1))&gt;VALUE(MID(S4626,23,1)),DATA_CLEANED!AK140,DATA_CLEANED!AN140),
ISNUMBER(SEARCH("USA",S4626)),"United States",
ISNUMBER(SEARCH("Republic of Ireland",S4626)),"Ireland",
ISNUMBER(SEARCH("Republic of Korea",S4626)),"South Korea",
ISNUMBER(SEARCH("Cape Verde",S4626)),"Cabo Verde",
ISNUMBER(SEARCH("Czechia",S4626)),"Czech Republic",
ISNUMBER(SEARCH("Türkiye",S4626)),"Turkey",
ISNUMBER(SEARCH("Ivory Coast",S4626)),"Côte d'Ivoire",
ISNUMBER(SEARCH("Korea Republic",S4626)),"South Korea",
ISNUMBER(SEARCH("Germany FR",S4626)),"FR Germany",
ISNUMBER(SEARCH("West Germany",S4626)),"FR Germany",
ISNUMBER(SEARCH("Germany DR",S4626)),"DR Germany",
ISNUMBER(SEARCH("Korea DPR",S4626)),"North Korea",
ISNUMBER(SEARCH("China PR",S4626)),"China",
ISNUMBER(SEARCH("IR Iran",S4626)),"Iran",
ISNUMBER(SEARCH("Congo DR",S4626)),"Democratic Republic of the Congo",
ISNUMBER(SEARCH("DR Congo",S4626)),"Democratic Republic of the Congo",
ISNUMBER(SEARCH("German DR",S4626)),"DR Germany",
ISNUMBER(SEARCH("rn""&gt;United Arab Emirates",S4626)),"United Arab Emirates",
ISNUMBER(SEARCH("rn""&gt;Republic of Ireland",S4626)),"Ireland",
ISNUMBER(SEARCH("rn""&gt;Bosnia and Herzegovina",S4626)),"Bosnia and Herzegovina",
ISNUMBER(SEARCH("rn""&gt;Trinidad and Tobago",S4626)),"Trinidad and Tobago",
ISNUMBER(SEARCH("rn""&gt;Serbia and Montenegro",S4626)),"Serbia and Montenegro",
ISNUMBER(SEARCH(_xlfn.UNICHAR(65533),S4626)),"Côte d'Ivoire",
TRUE,"-"
)</f>
        <v>-</v>
      </c>
      <c r="W4626" s="42" t="str">
        <f t="shared" si="291"/>
        <v>-</v>
      </c>
    </row>
    <row r="4627" spans="19:23">
      <c r="S4627" s="42" t="str">
        <v/>
      </c>
      <c r="T4627" s="42" t="str">
        <f t="shared" si="289"/>
        <v>-</v>
      </c>
      <c r="U4627" s="40" t="str">
        <f t="shared" si="290"/>
        <v>-</v>
      </c>
      <c r="V4627" s="42" t="str" cm="1">
        <f t="array" ref="V4627">_xlfn.IFS(
LEFT(S4627,16)="win on penalties",IF(VALUE(MID(S4627,19,1))&gt;VALUE(MID(S4627,23,1)),DATA_CLEANED!AK141,DATA_CLEANED!AN141),
ISNUMBER(SEARCH("USA",S4627)),"United States",
ISNUMBER(SEARCH("Republic of Ireland",S4627)),"Ireland",
ISNUMBER(SEARCH("Republic of Korea",S4627)),"South Korea",
ISNUMBER(SEARCH("Cape Verde",S4627)),"Cabo Verde",
ISNUMBER(SEARCH("Czechia",S4627)),"Czech Republic",
ISNUMBER(SEARCH("Türkiye",S4627)),"Turkey",
ISNUMBER(SEARCH("Ivory Coast",S4627)),"Côte d'Ivoire",
ISNUMBER(SEARCH("Korea Republic",S4627)),"South Korea",
ISNUMBER(SEARCH("Germany FR",S4627)),"FR Germany",
ISNUMBER(SEARCH("West Germany",S4627)),"FR Germany",
ISNUMBER(SEARCH("Germany DR",S4627)),"DR Germany",
ISNUMBER(SEARCH("Korea DPR",S4627)),"North Korea",
ISNUMBER(SEARCH("China PR",S4627)),"China",
ISNUMBER(SEARCH("IR Iran",S4627)),"Iran",
ISNUMBER(SEARCH("Congo DR",S4627)),"Democratic Republic of the Congo",
ISNUMBER(SEARCH("DR Congo",S4627)),"Democratic Republic of the Congo",
ISNUMBER(SEARCH("German DR",S4627)),"DR Germany",
ISNUMBER(SEARCH("rn""&gt;United Arab Emirates",S4627)),"United Arab Emirates",
ISNUMBER(SEARCH("rn""&gt;Republic of Ireland",S4627)),"Ireland",
ISNUMBER(SEARCH("rn""&gt;Bosnia and Herzegovina",S4627)),"Bosnia and Herzegovina",
ISNUMBER(SEARCH("rn""&gt;Trinidad and Tobago",S4627)),"Trinidad and Tobago",
ISNUMBER(SEARCH("rn""&gt;Serbia and Montenegro",S4627)),"Serbia and Montenegro",
ISNUMBER(SEARCH(_xlfn.UNICHAR(65533),S4627)),"Côte d'Ivoire",
TRUE,"-"
)</f>
        <v>-</v>
      </c>
      <c r="W4627" s="42" t="str">
        <f t="shared" si="291"/>
        <v>-</v>
      </c>
    </row>
    <row r="4628" spans="19:23">
      <c r="S4628" s="42" t="str">
        <v/>
      </c>
      <c r="T4628" s="42" t="str">
        <f t="shared" si="289"/>
        <v>-</v>
      </c>
      <c r="U4628" s="40" t="str">
        <f t="shared" si="290"/>
        <v>-</v>
      </c>
      <c r="V4628" s="42" t="str" cm="1">
        <f t="array" ref="V4628">_xlfn.IFS(
LEFT(S4628,16)="win on penalties",IF(VALUE(MID(S4628,19,1))&gt;VALUE(MID(S4628,23,1)),DATA_CLEANED!AK142,DATA_CLEANED!AN142),
ISNUMBER(SEARCH("USA",S4628)),"United States",
ISNUMBER(SEARCH("Republic of Ireland",S4628)),"Ireland",
ISNUMBER(SEARCH("Republic of Korea",S4628)),"South Korea",
ISNUMBER(SEARCH("Cape Verde",S4628)),"Cabo Verde",
ISNUMBER(SEARCH("Czechia",S4628)),"Czech Republic",
ISNUMBER(SEARCH("Türkiye",S4628)),"Turkey",
ISNUMBER(SEARCH("Ivory Coast",S4628)),"Côte d'Ivoire",
ISNUMBER(SEARCH("Korea Republic",S4628)),"South Korea",
ISNUMBER(SEARCH("Germany FR",S4628)),"FR Germany",
ISNUMBER(SEARCH("West Germany",S4628)),"FR Germany",
ISNUMBER(SEARCH("Germany DR",S4628)),"DR Germany",
ISNUMBER(SEARCH("Korea DPR",S4628)),"North Korea",
ISNUMBER(SEARCH("China PR",S4628)),"China",
ISNUMBER(SEARCH("IR Iran",S4628)),"Iran",
ISNUMBER(SEARCH("Congo DR",S4628)),"Democratic Republic of the Congo",
ISNUMBER(SEARCH("DR Congo",S4628)),"Democratic Republic of the Congo",
ISNUMBER(SEARCH("German DR",S4628)),"DR Germany",
ISNUMBER(SEARCH("rn""&gt;United Arab Emirates",S4628)),"United Arab Emirates",
ISNUMBER(SEARCH("rn""&gt;Republic of Ireland",S4628)),"Ireland",
ISNUMBER(SEARCH("rn""&gt;Bosnia and Herzegovina",S4628)),"Bosnia and Herzegovina",
ISNUMBER(SEARCH("rn""&gt;Trinidad and Tobago",S4628)),"Trinidad and Tobago",
ISNUMBER(SEARCH("rn""&gt;Serbia and Montenegro",S4628)),"Serbia and Montenegro",
ISNUMBER(SEARCH(_xlfn.UNICHAR(65533),S4628)),"Côte d'Ivoire",
TRUE,"-"
)</f>
        <v>-</v>
      </c>
      <c r="W4628" s="42" t="str">
        <f t="shared" si="291"/>
        <v>-</v>
      </c>
    </row>
    <row r="4629" spans="19:23">
      <c r="S4629" s="42" t="str">
        <v/>
      </c>
      <c r="T4629" s="42" t="str">
        <f t="shared" si="289"/>
        <v>-</v>
      </c>
      <c r="U4629" s="40" t="str">
        <f t="shared" si="290"/>
        <v>-</v>
      </c>
      <c r="V4629" s="42" t="str" cm="1">
        <f t="array" ref="V4629">_xlfn.IFS(
LEFT(S4629,16)="win on penalties",IF(VALUE(MID(S4629,19,1))&gt;VALUE(MID(S4629,23,1)),DATA_CLEANED!AK143,DATA_CLEANED!AN143),
ISNUMBER(SEARCH("USA",S4629)),"United States",
ISNUMBER(SEARCH("Republic of Ireland",S4629)),"Ireland",
ISNUMBER(SEARCH("Republic of Korea",S4629)),"South Korea",
ISNUMBER(SEARCH("Cape Verde",S4629)),"Cabo Verde",
ISNUMBER(SEARCH("Czechia",S4629)),"Czech Republic",
ISNUMBER(SEARCH("Türkiye",S4629)),"Turkey",
ISNUMBER(SEARCH("Ivory Coast",S4629)),"Côte d'Ivoire",
ISNUMBER(SEARCH("Korea Republic",S4629)),"South Korea",
ISNUMBER(SEARCH("Germany FR",S4629)),"FR Germany",
ISNUMBER(SEARCH("West Germany",S4629)),"FR Germany",
ISNUMBER(SEARCH("Germany DR",S4629)),"DR Germany",
ISNUMBER(SEARCH("Korea DPR",S4629)),"North Korea",
ISNUMBER(SEARCH("China PR",S4629)),"China",
ISNUMBER(SEARCH("IR Iran",S4629)),"Iran",
ISNUMBER(SEARCH("Congo DR",S4629)),"Democratic Republic of the Congo",
ISNUMBER(SEARCH("DR Congo",S4629)),"Democratic Republic of the Congo",
ISNUMBER(SEARCH("German DR",S4629)),"DR Germany",
ISNUMBER(SEARCH("rn""&gt;United Arab Emirates",S4629)),"United Arab Emirates",
ISNUMBER(SEARCH("rn""&gt;Republic of Ireland",S4629)),"Ireland",
ISNUMBER(SEARCH("rn""&gt;Bosnia and Herzegovina",S4629)),"Bosnia and Herzegovina",
ISNUMBER(SEARCH("rn""&gt;Trinidad and Tobago",S4629)),"Trinidad and Tobago",
ISNUMBER(SEARCH("rn""&gt;Serbia and Montenegro",S4629)),"Serbia and Montenegro",
ISNUMBER(SEARCH(_xlfn.UNICHAR(65533),S4629)),"Côte d'Ivoire",
TRUE,"-"
)</f>
        <v>-</v>
      </c>
      <c r="W4629" s="42" t="str">
        <f t="shared" si="291"/>
        <v>-</v>
      </c>
    </row>
    <row r="4630" spans="19:23">
      <c r="S4630" s="42" t="str">
        <v/>
      </c>
      <c r="T4630" s="42" t="str">
        <f t="shared" si="289"/>
        <v>-</v>
      </c>
      <c r="U4630" s="40" t="str">
        <f t="shared" si="290"/>
        <v>-</v>
      </c>
      <c r="V4630" s="42" t="str" cm="1">
        <f t="array" ref="V4630">_xlfn.IFS(
LEFT(S4630,16)="win on penalties",IF(VALUE(MID(S4630,19,1))&gt;VALUE(MID(S4630,23,1)),DATA_CLEANED!AK144,DATA_CLEANED!AN144),
ISNUMBER(SEARCH("USA",S4630)),"United States",
ISNUMBER(SEARCH("Republic of Ireland",S4630)),"Ireland",
ISNUMBER(SEARCH("Republic of Korea",S4630)),"South Korea",
ISNUMBER(SEARCH("Cape Verde",S4630)),"Cabo Verde",
ISNUMBER(SEARCH("Czechia",S4630)),"Czech Republic",
ISNUMBER(SEARCH("Türkiye",S4630)),"Turkey",
ISNUMBER(SEARCH("Ivory Coast",S4630)),"Côte d'Ivoire",
ISNUMBER(SEARCH("Korea Republic",S4630)),"South Korea",
ISNUMBER(SEARCH("Germany FR",S4630)),"FR Germany",
ISNUMBER(SEARCH("West Germany",S4630)),"FR Germany",
ISNUMBER(SEARCH("Germany DR",S4630)),"DR Germany",
ISNUMBER(SEARCH("Korea DPR",S4630)),"North Korea",
ISNUMBER(SEARCH("China PR",S4630)),"China",
ISNUMBER(SEARCH("IR Iran",S4630)),"Iran",
ISNUMBER(SEARCH("Congo DR",S4630)),"Democratic Republic of the Congo",
ISNUMBER(SEARCH("DR Congo",S4630)),"Democratic Republic of the Congo",
ISNUMBER(SEARCH("German DR",S4630)),"DR Germany",
ISNUMBER(SEARCH("rn""&gt;United Arab Emirates",S4630)),"United Arab Emirates",
ISNUMBER(SEARCH("rn""&gt;Republic of Ireland",S4630)),"Ireland",
ISNUMBER(SEARCH("rn""&gt;Bosnia and Herzegovina",S4630)),"Bosnia and Herzegovina",
ISNUMBER(SEARCH("rn""&gt;Trinidad and Tobago",S4630)),"Trinidad and Tobago",
ISNUMBER(SEARCH("rn""&gt;Serbia and Montenegro",S4630)),"Serbia and Montenegro",
ISNUMBER(SEARCH(_xlfn.UNICHAR(65533),S4630)),"Côte d'Ivoire",
TRUE,"-"
)</f>
        <v>-</v>
      </c>
      <c r="W4630" s="42" t="str">
        <f t="shared" si="291"/>
        <v>-</v>
      </c>
    </row>
    <row r="4631" spans="19:23">
      <c r="S4631" s="42" t="str">
        <v/>
      </c>
      <c r="T4631" s="42" t="str">
        <f t="shared" si="289"/>
        <v>-</v>
      </c>
      <c r="U4631" s="40" t="str">
        <f t="shared" si="290"/>
        <v>-</v>
      </c>
      <c r="V4631" s="42" t="str" cm="1">
        <f t="array" ref="V4631">_xlfn.IFS(
LEFT(S4631,16)="win on penalties",IF(VALUE(MID(S4631,19,1))&gt;VALUE(MID(S4631,23,1)),DATA_CLEANED!AK145,DATA_CLEANED!AN145),
ISNUMBER(SEARCH("USA",S4631)),"United States",
ISNUMBER(SEARCH("Republic of Ireland",S4631)),"Ireland",
ISNUMBER(SEARCH("Republic of Korea",S4631)),"South Korea",
ISNUMBER(SEARCH("Cape Verde",S4631)),"Cabo Verde",
ISNUMBER(SEARCH("Czechia",S4631)),"Czech Republic",
ISNUMBER(SEARCH("Türkiye",S4631)),"Turkey",
ISNUMBER(SEARCH("Ivory Coast",S4631)),"Côte d'Ivoire",
ISNUMBER(SEARCH("Korea Republic",S4631)),"South Korea",
ISNUMBER(SEARCH("Germany FR",S4631)),"FR Germany",
ISNUMBER(SEARCH("West Germany",S4631)),"FR Germany",
ISNUMBER(SEARCH("Germany DR",S4631)),"DR Germany",
ISNUMBER(SEARCH("Korea DPR",S4631)),"North Korea",
ISNUMBER(SEARCH("China PR",S4631)),"China",
ISNUMBER(SEARCH("IR Iran",S4631)),"Iran",
ISNUMBER(SEARCH("Congo DR",S4631)),"Democratic Republic of the Congo",
ISNUMBER(SEARCH("DR Congo",S4631)),"Democratic Republic of the Congo",
ISNUMBER(SEARCH("German DR",S4631)),"DR Germany",
ISNUMBER(SEARCH("rn""&gt;United Arab Emirates",S4631)),"United Arab Emirates",
ISNUMBER(SEARCH("rn""&gt;Republic of Ireland",S4631)),"Ireland",
ISNUMBER(SEARCH("rn""&gt;Bosnia and Herzegovina",S4631)),"Bosnia and Herzegovina",
ISNUMBER(SEARCH("rn""&gt;Trinidad and Tobago",S4631)),"Trinidad and Tobago",
ISNUMBER(SEARCH("rn""&gt;Serbia and Montenegro",S4631)),"Serbia and Montenegro",
ISNUMBER(SEARCH(_xlfn.UNICHAR(65533),S4631)),"Côte d'Ivoire",
TRUE,"-"
)</f>
        <v>-</v>
      </c>
      <c r="W4631" s="42" t="str">
        <f t="shared" si="291"/>
        <v>-</v>
      </c>
    </row>
    <row r="4632" spans="19:23">
      <c r="S4632" s="42" t="str">
        <v/>
      </c>
      <c r="T4632" s="42" t="str">
        <f t="shared" si="289"/>
        <v>-</v>
      </c>
      <c r="U4632" s="40" t="str">
        <f t="shared" si="290"/>
        <v>-</v>
      </c>
      <c r="V4632" s="42" t="str" cm="1">
        <f t="array" ref="V4632">_xlfn.IFS(
LEFT(S4632,16)="win on penalties",IF(VALUE(MID(S4632,19,1))&gt;VALUE(MID(S4632,23,1)),DATA_CLEANED!AK146,DATA_CLEANED!AN146),
ISNUMBER(SEARCH("USA",S4632)),"United States",
ISNUMBER(SEARCH("Republic of Ireland",S4632)),"Ireland",
ISNUMBER(SEARCH("Republic of Korea",S4632)),"South Korea",
ISNUMBER(SEARCH("Cape Verde",S4632)),"Cabo Verde",
ISNUMBER(SEARCH("Czechia",S4632)),"Czech Republic",
ISNUMBER(SEARCH("Türkiye",S4632)),"Turkey",
ISNUMBER(SEARCH("Ivory Coast",S4632)),"Côte d'Ivoire",
ISNUMBER(SEARCH("Korea Republic",S4632)),"South Korea",
ISNUMBER(SEARCH("Germany FR",S4632)),"FR Germany",
ISNUMBER(SEARCH("West Germany",S4632)),"FR Germany",
ISNUMBER(SEARCH("Germany DR",S4632)),"DR Germany",
ISNUMBER(SEARCH("Korea DPR",S4632)),"North Korea",
ISNUMBER(SEARCH("China PR",S4632)),"China",
ISNUMBER(SEARCH("IR Iran",S4632)),"Iran",
ISNUMBER(SEARCH("Congo DR",S4632)),"Democratic Republic of the Congo",
ISNUMBER(SEARCH("DR Congo",S4632)),"Democratic Republic of the Congo",
ISNUMBER(SEARCH("German DR",S4632)),"DR Germany",
ISNUMBER(SEARCH("rn""&gt;United Arab Emirates",S4632)),"United Arab Emirates",
ISNUMBER(SEARCH("rn""&gt;Republic of Ireland",S4632)),"Ireland",
ISNUMBER(SEARCH("rn""&gt;Bosnia and Herzegovina",S4632)),"Bosnia and Herzegovina",
ISNUMBER(SEARCH("rn""&gt;Trinidad and Tobago",S4632)),"Trinidad and Tobago",
ISNUMBER(SEARCH("rn""&gt;Serbia and Montenegro",S4632)),"Serbia and Montenegro",
ISNUMBER(SEARCH(_xlfn.UNICHAR(65533),S4632)),"Côte d'Ivoire",
TRUE,"-"
)</f>
        <v>-</v>
      </c>
      <c r="W4632" s="42" t="str">
        <f t="shared" si="291"/>
        <v>-</v>
      </c>
    </row>
    <row r="4633" spans="19:23">
      <c r="S4633" s="42" t="str">
        <v/>
      </c>
      <c r="T4633" s="42" t="str">
        <f t="shared" si="289"/>
        <v>-</v>
      </c>
      <c r="U4633" s="40" t="str">
        <f t="shared" si="290"/>
        <v>-</v>
      </c>
      <c r="V4633" s="42" t="str" cm="1">
        <f t="array" ref="V4633">_xlfn.IFS(
LEFT(S4633,16)="win on penalties",IF(VALUE(MID(S4633,19,1))&gt;VALUE(MID(S4633,23,1)),DATA_CLEANED!AK147,DATA_CLEANED!AN147),
ISNUMBER(SEARCH("USA",S4633)),"United States",
ISNUMBER(SEARCH("Republic of Ireland",S4633)),"Ireland",
ISNUMBER(SEARCH("Republic of Korea",S4633)),"South Korea",
ISNUMBER(SEARCH("Cape Verde",S4633)),"Cabo Verde",
ISNUMBER(SEARCH("Czechia",S4633)),"Czech Republic",
ISNUMBER(SEARCH("Türkiye",S4633)),"Turkey",
ISNUMBER(SEARCH("Ivory Coast",S4633)),"Côte d'Ivoire",
ISNUMBER(SEARCH("Korea Republic",S4633)),"South Korea",
ISNUMBER(SEARCH("Germany FR",S4633)),"FR Germany",
ISNUMBER(SEARCH("West Germany",S4633)),"FR Germany",
ISNUMBER(SEARCH("Germany DR",S4633)),"DR Germany",
ISNUMBER(SEARCH("Korea DPR",S4633)),"North Korea",
ISNUMBER(SEARCH("China PR",S4633)),"China",
ISNUMBER(SEARCH("IR Iran",S4633)),"Iran",
ISNUMBER(SEARCH("Congo DR",S4633)),"Democratic Republic of the Congo",
ISNUMBER(SEARCH("DR Congo",S4633)),"Democratic Republic of the Congo",
ISNUMBER(SEARCH("German DR",S4633)),"DR Germany",
ISNUMBER(SEARCH("rn""&gt;United Arab Emirates",S4633)),"United Arab Emirates",
ISNUMBER(SEARCH("rn""&gt;Republic of Ireland",S4633)),"Ireland",
ISNUMBER(SEARCH("rn""&gt;Bosnia and Herzegovina",S4633)),"Bosnia and Herzegovina",
ISNUMBER(SEARCH("rn""&gt;Trinidad and Tobago",S4633)),"Trinidad and Tobago",
ISNUMBER(SEARCH("rn""&gt;Serbia and Montenegro",S4633)),"Serbia and Montenegro",
ISNUMBER(SEARCH(_xlfn.UNICHAR(65533),S4633)),"Côte d'Ivoire",
TRUE,"-"
)</f>
        <v>-</v>
      </c>
      <c r="W4633" s="42" t="str">
        <f t="shared" si="291"/>
        <v>-</v>
      </c>
    </row>
    <row r="4634" spans="19:23">
      <c r="S4634" s="42" t="str">
        <v/>
      </c>
      <c r="T4634" s="42" t="str">
        <f t="shared" si="289"/>
        <v>-</v>
      </c>
      <c r="U4634" s="40" t="str">
        <f t="shared" si="290"/>
        <v>-</v>
      </c>
      <c r="V4634" s="42" t="str" cm="1">
        <f t="array" ref="V4634">_xlfn.IFS(
LEFT(S4634,16)="win on penalties",IF(VALUE(MID(S4634,19,1))&gt;VALUE(MID(S4634,23,1)),DATA_CLEANED!AK148,DATA_CLEANED!AN148),
ISNUMBER(SEARCH("USA",S4634)),"United States",
ISNUMBER(SEARCH("Republic of Ireland",S4634)),"Ireland",
ISNUMBER(SEARCH("Republic of Korea",S4634)),"South Korea",
ISNUMBER(SEARCH("Cape Verde",S4634)),"Cabo Verde",
ISNUMBER(SEARCH("Czechia",S4634)),"Czech Republic",
ISNUMBER(SEARCH("Türkiye",S4634)),"Turkey",
ISNUMBER(SEARCH("Ivory Coast",S4634)),"Côte d'Ivoire",
ISNUMBER(SEARCH("Korea Republic",S4634)),"South Korea",
ISNUMBER(SEARCH("Germany FR",S4634)),"FR Germany",
ISNUMBER(SEARCH("West Germany",S4634)),"FR Germany",
ISNUMBER(SEARCH("Germany DR",S4634)),"DR Germany",
ISNUMBER(SEARCH("Korea DPR",S4634)),"North Korea",
ISNUMBER(SEARCH("China PR",S4634)),"China",
ISNUMBER(SEARCH("IR Iran",S4634)),"Iran",
ISNUMBER(SEARCH("Congo DR",S4634)),"Democratic Republic of the Congo",
ISNUMBER(SEARCH("DR Congo",S4634)),"Democratic Republic of the Congo",
ISNUMBER(SEARCH("German DR",S4634)),"DR Germany",
ISNUMBER(SEARCH("rn""&gt;United Arab Emirates",S4634)),"United Arab Emirates",
ISNUMBER(SEARCH("rn""&gt;Republic of Ireland",S4634)),"Ireland",
ISNUMBER(SEARCH("rn""&gt;Bosnia and Herzegovina",S4634)),"Bosnia and Herzegovina",
ISNUMBER(SEARCH("rn""&gt;Trinidad and Tobago",S4634)),"Trinidad and Tobago",
ISNUMBER(SEARCH("rn""&gt;Serbia and Montenegro",S4634)),"Serbia and Montenegro",
ISNUMBER(SEARCH(_xlfn.UNICHAR(65533),S4634)),"Côte d'Ivoire",
TRUE,"-"
)</f>
        <v>-</v>
      </c>
      <c r="W4634" s="42" t="str">
        <f t="shared" si="291"/>
        <v>-</v>
      </c>
    </row>
    <row r="4635" spans="19:23">
      <c r="S4635" s="42" t="str">
        <v/>
      </c>
      <c r="T4635" s="42" t="str">
        <f t="shared" si="289"/>
        <v>-</v>
      </c>
      <c r="U4635" s="40" t="str">
        <f t="shared" si="290"/>
        <v>-</v>
      </c>
      <c r="V4635" s="42" t="str" cm="1">
        <f t="array" ref="V4635">_xlfn.IFS(
LEFT(S4635,16)="win on penalties",IF(VALUE(MID(S4635,19,1))&gt;VALUE(MID(S4635,23,1)),DATA_CLEANED!AK149,DATA_CLEANED!AN149),
ISNUMBER(SEARCH("USA",S4635)),"United States",
ISNUMBER(SEARCH("Republic of Ireland",S4635)),"Ireland",
ISNUMBER(SEARCH("Republic of Korea",S4635)),"South Korea",
ISNUMBER(SEARCH("Cape Verde",S4635)),"Cabo Verde",
ISNUMBER(SEARCH("Czechia",S4635)),"Czech Republic",
ISNUMBER(SEARCH("Türkiye",S4635)),"Turkey",
ISNUMBER(SEARCH("Ivory Coast",S4635)),"Côte d'Ivoire",
ISNUMBER(SEARCH("Korea Republic",S4635)),"South Korea",
ISNUMBER(SEARCH("Germany FR",S4635)),"FR Germany",
ISNUMBER(SEARCH("West Germany",S4635)),"FR Germany",
ISNUMBER(SEARCH("Germany DR",S4635)),"DR Germany",
ISNUMBER(SEARCH("Korea DPR",S4635)),"North Korea",
ISNUMBER(SEARCH("China PR",S4635)),"China",
ISNUMBER(SEARCH("IR Iran",S4635)),"Iran",
ISNUMBER(SEARCH("Congo DR",S4635)),"Democratic Republic of the Congo",
ISNUMBER(SEARCH("DR Congo",S4635)),"Democratic Republic of the Congo",
ISNUMBER(SEARCH("German DR",S4635)),"DR Germany",
ISNUMBER(SEARCH("rn""&gt;United Arab Emirates",S4635)),"United Arab Emirates",
ISNUMBER(SEARCH("rn""&gt;Republic of Ireland",S4635)),"Ireland",
ISNUMBER(SEARCH("rn""&gt;Bosnia and Herzegovina",S4635)),"Bosnia and Herzegovina",
ISNUMBER(SEARCH("rn""&gt;Trinidad and Tobago",S4635)),"Trinidad and Tobago",
ISNUMBER(SEARCH("rn""&gt;Serbia and Montenegro",S4635)),"Serbia and Montenegro",
ISNUMBER(SEARCH(_xlfn.UNICHAR(65533),S4635)),"Côte d'Ivoire",
TRUE,"-"
)</f>
        <v>-</v>
      </c>
      <c r="W4635" s="42" t="str">
        <f t="shared" si="291"/>
        <v>-</v>
      </c>
    </row>
    <row r="4636" spans="19:23">
      <c r="S4636" s="42" t="str">
        <v/>
      </c>
      <c r="T4636" s="42" t="str">
        <f t="shared" si="289"/>
        <v>-</v>
      </c>
      <c r="U4636" s="40" t="str">
        <f t="shared" si="290"/>
        <v>-</v>
      </c>
      <c r="V4636" s="42" t="str" cm="1">
        <f t="array" ref="V4636">_xlfn.IFS(
LEFT(S4636,16)="win on penalties",IF(VALUE(MID(S4636,19,1))&gt;VALUE(MID(S4636,23,1)),DATA_CLEANED!AK150,DATA_CLEANED!AN150),
ISNUMBER(SEARCH("USA",S4636)),"United States",
ISNUMBER(SEARCH("Republic of Ireland",S4636)),"Ireland",
ISNUMBER(SEARCH("Republic of Korea",S4636)),"South Korea",
ISNUMBER(SEARCH("Cape Verde",S4636)),"Cabo Verde",
ISNUMBER(SEARCH("Czechia",S4636)),"Czech Republic",
ISNUMBER(SEARCH("Türkiye",S4636)),"Turkey",
ISNUMBER(SEARCH("Ivory Coast",S4636)),"Côte d'Ivoire",
ISNUMBER(SEARCH("Korea Republic",S4636)),"South Korea",
ISNUMBER(SEARCH("Germany FR",S4636)),"FR Germany",
ISNUMBER(SEARCH("West Germany",S4636)),"FR Germany",
ISNUMBER(SEARCH("Germany DR",S4636)),"DR Germany",
ISNUMBER(SEARCH("Korea DPR",S4636)),"North Korea",
ISNUMBER(SEARCH("China PR",S4636)),"China",
ISNUMBER(SEARCH("IR Iran",S4636)),"Iran",
ISNUMBER(SEARCH("Congo DR",S4636)),"Democratic Republic of the Congo",
ISNUMBER(SEARCH("DR Congo",S4636)),"Democratic Republic of the Congo",
ISNUMBER(SEARCH("German DR",S4636)),"DR Germany",
ISNUMBER(SEARCH("rn""&gt;United Arab Emirates",S4636)),"United Arab Emirates",
ISNUMBER(SEARCH("rn""&gt;Republic of Ireland",S4636)),"Ireland",
ISNUMBER(SEARCH("rn""&gt;Bosnia and Herzegovina",S4636)),"Bosnia and Herzegovina",
ISNUMBER(SEARCH("rn""&gt;Trinidad and Tobago",S4636)),"Trinidad and Tobago",
ISNUMBER(SEARCH("rn""&gt;Serbia and Montenegro",S4636)),"Serbia and Montenegro",
ISNUMBER(SEARCH(_xlfn.UNICHAR(65533),S4636)),"Côte d'Ivoire",
TRUE,"-"
)</f>
        <v>-</v>
      </c>
      <c r="W4636" s="42" t="str">
        <f t="shared" si="291"/>
        <v>-</v>
      </c>
    </row>
    <row r="4637" spans="19:23">
      <c r="S4637" s="42" t="str">
        <v/>
      </c>
      <c r="T4637" s="42" t="str">
        <f t="shared" si="289"/>
        <v>-</v>
      </c>
      <c r="U4637" s="40" t="str">
        <f t="shared" si="290"/>
        <v>-</v>
      </c>
      <c r="V4637" s="42" t="str" cm="1">
        <f t="array" ref="V4637">_xlfn.IFS(
LEFT(S4637,16)="win on penalties",IF(VALUE(MID(S4637,19,1))&gt;VALUE(MID(S4637,23,1)),DATA_CLEANED!AK151,DATA_CLEANED!AN151),
ISNUMBER(SEARCH("USA",S4637)),"United States",
ISNUMBER(SEARCH("Republic of Ireland",S4637)),"Ireland",
ISNUMBER(SEARCH("Republic of Korea",S4637)),"South Korea",
ISNUMBER(SEARCH("Cape Verde",S4637)),"Cabo Verde",
ISNUMBER(SEARCH("Czechia",S4637)),"Czech Republic",
ISNUMBER(SEARCH("Türkiye",S4637)),"Turkey",
ISNUMBER(SEARCH("Ivory Coast",S4637)),"Côte d'Ivoire",
ISNUMBER(SEARCH("Korea Republic",S4637)),"South Korea",
ISNUMBER(SEARCH("Germany FR",S4637)),"FR Germany",
ISNUMBER(SEARCH("West Germany",S4637)),"FR Germany",
ISNUMBER(SEARCH("Germany DR",S4637)),"DR Germany",
ISNUMBER(SEARCH("Korea DPR",S4637)),"North Korea",
ISNUMBER(SEARCH("China PR",S4637)),"China",
ISNUMBER(SEARCH("IR Iran",S4637)),"Iran",
ISNUMBER(SEARCH("Congo DR",S4637)),"Democratic Republic of the Congo",
ISNUMBER(SEARCH("DR Congo",S4637)),"Democratic Republic of the Congo",
ISNUMBER(SEARCH("German DR",S4637)),"DR Germany",
ISNUMBER(SEARCH("rn""&gt;United Arab Emirates",S4637)),"United Arab Emirates",
ISNUMBER(SEARCH("rn""&gt;Republic of Ireland",S4637)),"Ireland",
ISNUMBER(SEARCH("rn""&gt;Bosnia and Herzegovina",S4637)),"Bosnia and Herzegovina",
ISNUMBER(SEARCH("rn""&gt;Trinidad and Tobago",S4637)),"Trinidad and Tobago",
ISNUMBER(SEARCH("rn""&gt;Serbia and Montenegro",S4637)),"Serbia and Montenegro",
ISNUMBER(SEARCH(_xlfn.UNICHAR(65533),S4637)),"Côte d'Ivoire",
TRUE,"-"
)</f>
        <v>-</v>
      </c>
      <c r="W4637" s="42" t="str">
        <f t="shared" si="291"/>
        <v>-</v>
      </c>
    </row>
    <row r="4638" spans="19:23">
      <c r="S4638" s="42" t="str">
        <v/>
      </c>
      <c r="T4638" s="42" t="str">
        <f t="shared" si="289"/>
        <v>-</v>
      </c>
      <c r="U4638" s="40" t="str">
        <f t="shared" si="290"/>
        <v>-</v>
      </c>
      <c r="V4638" s="42" t="str" cm="1">
        <f t="array" ref="V4638">_xlfn.IFS(
LEFT(S4638,16)="win on penalties",IF(VALUE(MID(S4638,19,1))&gt;VALUE(MID(S4638,23,1)),DATA_CLEANED!AK152,DATA_CLEANED!AN152),
ISNUMBER(SEARCH("USA",S4638)),"United States",
ISNUMBER(SEARCH("Republic of Ireland",S4638)),"Ireland",
ISNUMBER(SEARCH("Republic of Korea",S4638)),"South Korea",
ISNUMBER(SEARCH("Cape Verde",S4638)),"Cabo Verde",
ISNUMBER(SEARCH("Czechia",S4638)),"Czech Republic",
ISNUMBER(SEARCH("Türkiye",S4638)),"Turkey",
ISNUMBER(SEARCH("Ivory Coast",S4638)),"Côte d'Ivoire",
ISNUMBER(SEARCH("Korea Republic",S4638)),"South Korea",
ISNUMBER(SEARCH("Germany FR",S4638)),"FR Germany",
ISNUMBER(SEARCH("West Germany",S4638)),"FR Germany",
ISNUMBER(SEARCH("Germany DR",S4638)),"DR Germany",
ISNUMBER(SEARCH("Korea DPR",S4638)),"North Korea",
ISNUMBER(SEARCH("China PR",S4638)),"China",
ISNUMBER(SEARCH("IR Iran",S4638)),"Iran",
ISNUMBER(SEARCH("Congo DR",S4638)),"Democratic Republic of the Congo",
ISNUMBER(SEARCH("DR Congo",S4638)),"Democratic Republic of the Congo",
ISNUMBER(SEARCH("German DR",S4638)),"DR Germany",
ISNUMBER(SEARCH("rn""&gt;United Arab Emirates",S4638)),"United Arab Emirates",
ISNUMBER(SEARCH("rn""&gt;Republic of Ireland",S4638)),"Ireland",
ISNUMBER(SEARCH("rn""&gt;Bosnia and Herzegovina",S4638)),"Bosnia and Herzegovina",
ISNUMBER(SEARCH("rn""&gt;Trinidad and Tobago",S4638)),"Trinidad and Tobago",
ISNUMBER(SEARCH("rn""&gt;Serbia and Montenegro",S4638)),"Serbia and Montenegro",
ISNUMBER(SEARCH(_xlfn.UNICHAR(65533),S4638)),"Côte d'Ivoire",
TRUE,"-"
)</f>
        <v>-</v>
      </c>
      <c r="W4638" s="42" t="str">
        <f t="shared" si="291"/>
        <v>-</v>
      </c>
    </row>
    <row r="4639" spans="19:23">
      <c r="S4639" s="42" t="str">
        <v/>
      </c>
      <c r="T4639" s="42" t="str">
        <f t="shared" si="289"/>
        <v>-</v>
      </c>
      <c r="U4639" s="40" t="str">
        <f t="shared" si="290"/>
        <v>-</v>
      </c>
      <c r="V4639" s="42" t="str" cm="1">
        <f t="array" ref="V4639">_xlfn.IFS(
LEFT(S4639,16)="win on penalties",IF(VALUE(MID(S4639,19,1))&gt;VALUE(MID(S4639,23,1)),DATA_CLEANED!AK153,DATA_CLEANED!AN153),
ISNUMBER(SEARCH("USA",S4639)),"United States",
ISNUMBER(SEARCH("Republic of Ireland",S4639)),"Ireland",
ISNUMBER(SEARCH("Republic of Korea",S4639)),"South Korea",
ISNUMBER(SEARCH("Cape Verde",S4639)),"Cabo Verde",
ISNUMBER(SEARCH("Czechia",S4639)),"Czech Republic",
ISNUMBER(SEARCH("Türkiye",S4639)),"Turkey",
ISNUMBER(SEARCH("Ivory Coast",S4639)),"Côte d'Ivoire",
ISNUMBER(SEARCH("Korea Republic",S4639)),"South Korea",
ISNUMBER(SEARCH("Germany FR",S4639)),"FR Germany",
ISNUMBER(SEARCH("West Germany",S4639)),"FR Germany",
ISNUMBER(SEARCH("Germany DR",S4639)),"DR Germany",
ISNUMBER(SEARCH("Korea DPR",S4639)),"North Korea",
ISNUMBER(SEARCH("China PR",S4639)),"China",
ISNUMBER(SEARCH("IR Iran",S4639)),"Iran",
ISNUMBER(SEARCH("Congo DR",S4639)),"Democratic Republic of the Congo",
ISNUMBER(SEARCH("DR Congo",S4639)),"Democratic Republic of the Congo",
ISNUMBER(SEARCH("German DR",S4639)),"DR Germany",
ISNUMBER(SEARCH("rn""&gt;United Arab Emirates",S4639)),"United Arab Emirates",
ISNUMBER(SEARCH("rn""&gt;Republic of Ireland",S4639)),"Ireland",
ISNUMBER(SEARCH("rn""&gt;Bosnia and Herzegovina",S4639)),"Bosnia and Herzegovina",
ISNUMBER(SEARCH("rn""&gt;Trinidad and Tobago",S4639)),"Trinidad and Tobago",
ISNUMBER(SEARCH("rn""&gt;Serbia and Montenegro",S4639)),"Serbia and Montenegro",
ISNUMBER(SEARCH(_xlfn.UNICHAR(65533),S4639)),"Côte d'Ivoire",
TRUE,"-"
)</f>
        <v>-</v>
      </c>
      <c r="W4639" s="42" t="str">
        <f t="shared" si="291"/>
        <v>-</v>
      </c>
    </row>
    <row r="4640" spans="19:23">
      <c r="S4640" s="42" t="str">
        <v/>
      </c>
      <c r="T4640" s="42" t="str">
        <f t="shared" si="289"/>
        <v>-</v>
      </c>
      <c r="U4640" s="40" t="str">
        <f t="shared" si="290"/>
        <v>-</v>
      </c>
      <c r="V4640" s="42" t="str" cm="1">
        <f t="array" ref="V4640">_xlfn.IFS(
LEFT(S4640,16)="win on penalties",IF(VALUE(MID(S4640,19,1))&gt;VALUE(MID(S4640,23,1)),DATA_CLEANED!AK154,DATA_CLEANED!AN154),
ISNUMBER(SEARCH("USA",S4640)),"United States",
ISNUMBER(SEARCH("Republic of Ireland",S4640)),"Ireland",
ISNUMBER(SEARCH("Republic of Korea",S4640)),"South Korea",
ISNUMBER(SEARCH("Cape Verde",S4640)),"Cabo Verde",
ISNUMBER(SEARCH("Czechia",S4640)),"Czech Republic",
ISNUMBER(SEARCH("Türkiye",S4640)),"Turkey",
ISNUMBER(SEARCH("Ivory Coast",S4640)),"Côte d'Ivoire",
ISNUMBER(SEARCH("Korea Republic",S4640)),"South Korea",
ISNUMBER(SEARCH("Germany FR",S4640)),"FR Germany",
ISNUMBER(SEARCH("West Germany",S4640)),"FR Germany",
ISNUMBER(SEARCH("Germany DR",S4640)),"DR Germany",
ISNUMBER(SEARCH("Korea DPR",S4640)),"North Korea",
ISNUMBER(SEARCH("China PR",S4640)),"China",
ISNUMBER(SEARCH("IR Iran",S4640)),"Iran",
ISNUMBER(SEARCH("Congo DR",S4640)),"Democratic Republic of the Congo",
ISNUMBER(SEARCH("DR Congo",S4640)),"Democratic Republic of the Congo",
ISNUMBER(SEARCH("German DR",S4640)),"DR Germany",
ISNUMBER(SEARCH("rn""&gt;United Arab Emirates",S4640)),"United Arab Emirates",
ISNUMBER(SEARCH("rn""&gt;Republic of Ireland",S4640)),"Ireland",
ISNUMBER(SEARCH("rn""&gt;Bosnia and Herzegovina",S4640)),"Bosnia and Herzegovina",
ISNUMBER(SEARCH("rn""&gt;Trinidad and Tobago",S4640)),"Trinidad and Tobago",
ISNUMBER(SEARCH("rn""&gt;Serbia and Montenegro",S4640)),"Serbia and Montenegro",
ISNUMBER(SEARCH(_xlfn.UNICHAR(65533),S4640)),"Côte d'Ivoire",
TRUE,"-"
)</f>
        <v>-</v>
      </c>
      <c r="W4640" s="42" t="str">
        <f t="shared" si="291"/>
        <v>-</v>
      </c>
    </row>
    <row r="4641" spans="19:23">
      <c r="S4641" s="42" t="str">
        <v/>
      </c>
      <c r="T4641" s="42" t="str">
        <f t="shared" si="289"/>
        <v>-</v>
      </c>
      <c r="U4641" s="40" t="str">
        <f t="shared" si="290"/>
        <v>-</v>
      </c>
      <c r="V4641" s="42" t="str" cm="1">
        <f t="array" ref="V4641">_xlfn.IFS(
LEFT(S4641,16)="win on penalties",IF(VALUE(MID(S4641,19,1))&gt;VALUE(MID(S4641,23,1)),DATA_CLEANED!AK155,DATA_CLEANED!AN155),
ISNUMBER(SEARCH("USA",S4641)),"United States",
ISNUMBER(SEARCH("Republic of Ireland",S4641)),"Ireland",
ISNUMBER(SEARCH("Republic of Korea",S4641)),"South Korea",
ISNUMBER(SEARCH("Cape Verde",S4641)),"Cabo Verde",
ISNUMBER(SEARCH("Czechia",S4641)),"Czech Republic",
ISNUMBER(SEARCH("Türkiye",S4641)),"Turkey",
ISNUMBER(SEARCH("Ivory Coast",S4641)),"Côte d'Ivoire",
ISNUMBER(SEARCH("Korea Republic",S4641)),"South Korea",
ISNUMBER(SEARCH("Germany FR",S4641)),"FR Germany",
ISNUMBER(SEARCH("West Germany",S4641)),"FR Germany",
ISNUMBER(SEARCH("Germany DR",S4641)),"DR Germany",
ISNUMBER(SEARCH("Korea DPR",S4641)),"North Korea",
ISNUMBER(SEARCH("China PR",S4641)),"China",
ISNUMBER(SEARCH("IR Iran",S4641)),"Iran",
ISNUMBER(SEARCH("Congo DR",S4641)),"Democratic Republic of the Congo",
ISNUMBER(SEARCH("DR Congo",S4641)),"Democratic Republic of the Congo",
ISNUMBER(SEARCH("German DR",S4641)),"DR Germany",
ISNUMBER(SEARCH("rn""&gt;United Arab Emirates",S4641)),"United Arab Emirates",
ISNUMBER(SEARCH("rn""&gt;Republic of Ireland",S4641)),"Ireland",
ISNUMBER(SEARCH("rn""&gt;Bosnia and Herzegovina",S4641)),"Bosnia and Herzegovina",
ISNUMBER(SEARCH("rn""&gt;Trinidad and Tobago",S4641)),"Trinidad and Tobago",
ISNUMBER(SEARCH("rn""&gt;Serbia and Montenegro",S4641)),"Serbia and Montenegro",
ISNUMBER(SEARCH(_xlfn.UNICHAR(65533),S4641)),"Côte d'Ivoire",
TRUE,"-"
)</f>
        <v>-</v>
      </c>
      <c r="W4641" s="42" t="str">
        <f t="shared" si="291"/>
        <v>-</v>
      </c>
    </row>
    <row r="4642" spans="19:23">
      <c r="S4642" s="42" t="str">
        <v/>
      </c>
      <c r="T4642" s="42" t="str">
        <f t="shared" si="289"/>
        <v>-</v>
      </c>
      <c r="U4642" s="40" t="str">
        <f t="shared" si="290"/>
        <v>-</v>
      </c>
      <c r="V4642" s="42" t="str" cm="1">
        <f t="array" ref="V4642">_xlfn.IFS(
LEFT(S4642,16)="win on penalties",IF(VALUE(MID(S4642,19,1))&gt;VALUE(MID(S4642,23,1)),DATA_CLEANED!AK156,DATA_CLEANED!AN156),
ISNUMBER(SEARCH("USA",S4642)),"United States",
ISNUMBER(SEARCH("Republic of Ireland",S4642)),"Ireland",
ISNUMBER(SEARCH("Republic of Korea",S4642)),"South Korea",
ISNUMBER(SEARCH("Cape Verde",S4642)),"Cabo Verde",
ISNUMBER(SEARCH("Czechia",S4642)),"Czech Republic",
ISNUMBER(SEARCH("Türkiye",S4642)),"Turkey",
ISNUMBER(SEARCH("Ivory Coast",S4642)),"Côte d'Ivoire",
ISNUMBER(SEARCH("Korea Republic",S4642)),"South Korea",
ISNUMBER(SEARCH("Germany FR",S4642)),"FR Germany",
ISNUMBER(SEARCH("West Germany",S4642)),"FR Germany",
ISNUMBER(SEARCH("Germany DR",S4642)),"DR Germany",
ISNUMBER(SEARCH("Korea DPR",S4642)),"North Korea",
ISNUMBER(SEARCH("China PR",S4642)),"China",
ISNUMBER(SEARCH("IR Iran",S4642)),"Iran",
ISNUMBER(SEARCH("Congo DR",S4642)),"Democratic Republic of the Congo",
ISNUMBER(SEARCH("DR Congo",S4642)),"Democratic Republic of the Congo",
ISNUMBER(SEARCH("German DR",S4642)),"DR Germany",
ISNUMBER(SEARCH("rn""&gt;United Arab Emirates",S4642)),"United Arab Emirates",
ISNUMBER(SEARCH("rn""&gt;Republic of Ireland",S4642)),"Ireland",
ISNUMBER(SEARCH("rn""&gt;Bosnia and Herzegovina",S4642)),"Bosnia and Herzegovina",
ISNUMBER(SEARCH("rn""&gt;Trinidad and Tobago",S4642)),"Trinidad and Tobago",
ISNUMBER(SEARCH("rn""&gt;Serbia and Montenegro",S4642)),"Serbia and Montenegro",
ISNUMBER(SEARCH(_xlfn.UNICHAR(65533),S4642)),"Côte d'Ivoire",
TRUE,"-"
)</f>
        <v>-</v>
      </c>
      <c r="W4642" s="42" t="str">
        <f t="shared" si="291"/>
        <v>-</v>
      </c>
    </row>
    <row r="4643" spans="19:23">
      <c r="S4643" s="42" t="str">
        <v/>
      </c>
      <c r="T4643" s="42" t="str">
        <f t="shared" si="289"/>
        <v>-</v>
      </c>
      <c r="U4643" s="40" t="str">
        <f t="shared" si="290"/>
        <v>-</v>
      </c>
      <c r="V4643" s="42" t="str" cm="1">
        <f t="array" ref="V4643">_xlfn.IFS(
LEFT(S4643,16)="win on penalties",IF(VALUE(MID(S4643,19,1))&gt;VALUE(MID(S4643,23,1)),DATA_CLEANED!AK157,DATA_CLEANED!AN157),
ISNUMBER(SEARCH("USA",S4643)),"United States",
ISNUMBER(SEARCH("Republic of Ireland",S4643)),"Ireland",
ISNUMBER(SEARCH("Republic of Korea",S4643)),"South Korea",
ISNUMBER(SEARCH("Cape Verde",S4643)),"Cabo Verde",
ISNUMBER(SEARCH("Czechia",S4643)),"Czech Republic",
ISNUMBER(SEARCH("Türkiye",S4643)),"Turkey",
ISNUMBER(SEARCH("Ivory Coast",S4643)),"Côte d'Ivoire",
ISNUMBER(SEARCH("Korea Republic",S4643)),"South Korea",
ISNUMBER(SEARCH("Germany FR",S4643)),"FR Germany",
ISNUMBER(SEARCH("West Germany",S4643)),"FR Germany",
ISNUMBER(SEARCH("Germany DR",S4643)),"DR Germany",
ISNUMBER(SEARCH("Korea DPR",S4643)),"North Korea",
ISNUMBER(SEARCH("China PR",S4643)),"China",
ISNUMBER(SEARCH("IR Iran",S4643)),"Iran",
ISNUMBER(SEARCH("Congo DR",S4643)),"Democratic Republic of the Congo",
ISNUMBER(SEARCH("DR Congo",S4643)),"Democratic Republic of the Congo",
ISNUMBER(SEARCH("German DR",S4643)),"DR Germany",
ISNUMBER(SEARCH("rn""&gt;United Arab Emirates",S4643)),"United Arab Emirates",
ISNUMBER(SEARCH("rn""&gt;Republic of Ireland",S4643)),"Ireland",
ISNUMBER(SEARCH("rn""&gt;Bosnia and Herzegovina",S4643)),"Bosnia and Herzegovina",
ISNUMBER(SEARCH("rn""&gt;Trinidad and Tobago",S4643)),"Trinidad and Tobago",
ISNUMBER(SEARCH("rn""&gt;Serbia and Montenegro",S4643)),"Serbia and Montenegro",
ISNUMBER(SEARCH(_xlfn.UNICHAR(65533),S4643)),"Côte d'Ivoire",
TRUE,"-"
)</f>
        <v>-</v>
      </c>
      <c r="W4643" s="42" t="str">
        <f t="shared" si="291"/>
        <v>-</v>
      </c>
    </row>
    <row r="4644" spans="19:23">
      <c r="S4644" s="42" t="str">
        <v/>
      </c>
      <c r="T4644" s="42" t="str">
        <f t="shared" si="289"/>
        <v>-</v>
      </c>
      <c r="U4644" s="40" t="str">
        <f t="shared" si="290"/>
        <v>-</v>
      </c>
      <c r="V4644" s="42" t="str" cm="1">
        <f t="array" ref="V4644">_xlfn.IFS(
LEFT(S4644,16)="win on penalties",IF(VALUE(MID(S4644,19,1))&gt;VALUE(MID(S4644,23,1)),DATA_CLEANED!AK158,DATA_CLEANED!AN158),
ISNUMBER(SEARCH("USA",S4644)),"United States",
ISNUMBER(SEARCH("Republic of Ireland",S4644)),"Ireland",
ISNUMBER(SEARCH("Republic of Korea",S4644)),"South Korea",
ISNUMBER(SEARCH("Cape Verde",S4644)),"Cabo Verde",
ISNUMBER(SEARCH("Czechia",S4644)),"Czech Republic",
ISNUMBER(SEARCH("Türkiye",S4644)),"Turkey",
ISNUMBER(SEARCH("Ivory Coast",S4644)),"Côte d'Ivoire",
ISNUMBER(SEARCH("Korea Republic",S4644)),"South Korea",
ISNUMBER(SEARCH("Germany FR",S4644)),"FR Germany",
ISNUMBER(SEARCH("West Germany",S4644)),"FR Germany",
ISNUMBER(SEARCH("Germany DR",S4644)),"DR Germany",
ISNUMBER(SEARCH("Korea DPR",S4644)),"North Korea",
ISNUMBER(SEARCH("China PR",S4644)),"China",
ISNUMBER(SEARCH("IR Iran",S4644)),"Iran",
ISNUMBER(SEARCH("Congo DR",S4644)),"Democratic Republic of the Congo",
ISNUMBER(SEARCH("DR Congo",S4644)),"Democratic Republic of the Congo",
ISNUMBER(SEARCH("German DR",S4644)),"DR Germany",
ISNUMBER(SEARCH("rn""&gt;United Arab Emirates",S4644)),"United Arab Emirates",
ISNUMBER(SEARCH("rn""&gt;Republic of Ireland",S4644)),"Ireland",
ISNUMBER(SEARCH("rn""&gt;Bosnia and Herzegovina",S4644)),"Bosnia and Herzegovina",
ISNUMBER(SEARCH("rn""&gt;Trinidad and Tobago",S4644)),"Trinidad and Tobago",
ISNUMBER(SEARCH("rn""&gt;Serbia and Montenegro",S4644)),"Serbia and Montenegro",
ISNUMBER(SEARCH(_xlfn.UNICHAR(65533),S4644)),"Côte d'Ivoire",
TRUE,"-"
)</f>
        <v>-</v>
      </c>
      <c r="W4644" s="42" t="str">
        <f t="shared" si="291"/>
        <v>-</v>
      </c>
    </row>
    <row r="4645" spans="19:23">
      <c r="S4645" s="42" t="str">
        <v/>
      </c>
      <c r="T4645" s="42" t="str">
        <f t="shared" si="289"/>
        <v>-</v>
      </c>
      <c r="U4645" s="40" t="str">
        <f t="shared" si="290"/>
        <v>-</v>
      </c>
      <c r="V4645" s="42" t="str" cm="1">
        <f t="array" ref="V4645">_xlfn.IFS(
LEFT(S4645,16)="win on penalties",IF(VALUE(MID(S4645,19,1))&gt;VALUE(MID(S4645,23,1)),DATA_CLEANED!AK159,DATA_CLEANED!AN159),
ISNUMBER(SEARCH("USA",S4645)),"United States",
ISNUMBER(SEARCH("Republic of Ireland",S4645)),"Ireland",
ISNUMBER(SEARCH("Republic of Korea",S4645)),"South Korea",
ISNUMBER(SEARCH("Cape Verde",S4645)),"Cabo Verde",
ISNUMBER(SEARCH("Czechia",S4645)),"Czech Republic",
ISNUMBER(SEARCH("Türkiye",S4645)),"Turkey",
ISNUMBER(SEARCH("Ivory Coast",S4645)),"Côte d'Ivoire",
ISNUMBER(SEARCH("Korea Republic",S4645)),"South Korea",
ISNUMBER(SEARCH("Germany FR",S4645)),"FR Germany",
ISNUMBER(SEARCH("West Germany",S4645)),"FR Germany",
ISNUMBER(SEARCH("Germany DR",S4645)),"DR Germany",
ISNUMBER(SEARCH("Korea DPR",S4645)),"North Korea",
ISNUMBER(SEARCH("China PR",S4645)),"China",
ISNUMBER(SEARCH("IR Iran",S4645)),"Iran",
ISNUMBER(SEARCH("Congo DR",S4645)),"Democratic Republic of the Congo",
ISNUMBER(SEARCH("DR Congo",S4645)),"Democratic Republic of the Congo",
ISNUMBER(SEARCH("German DR",S4645)),"DR Germany",
ISNUMBER(SEARCH("rn""&gt;United Arab Emirates",S4645)),"United Arab Emirates",
ISNUMBER(SEARCH("rn""&gt;Republic of Ireland",S4645)),"Ireland",
ISNUMBER(SEARCH("rn""&gt;Bosnia and Herzegovina",S4645)),"Bosnia and Herzegovina",
ISNUMBER(SEARCH("rn""&gt;Trinidad and Tobago",S4645)),"Trinidad and Tobago",
ISNUMBER(SEARCH("rn""&gt;Serbia and Montenegro",S4645)),"Serbia and Montenegro",
ISNUMBER(SEARCH(_xlfn.UNICHAR(65533),S4645)),"Côte d'Ivoire",
TRUE,"-"
)</f>
        <v>-</v>
      </c>
      <c r="W4645" s="42" t="str">
        <f t="shared" si="291"/>
        <v>-</v>
      </c>
    </row>
    <row r="4646" spans="19:23">
      <c r="S4646" s="42" t="str">
        <v/>
      </c>
      <c r="T4646" s="42" t="str">
        <f t="shared" si="289"/>
        <v>-</v>
      </c>
      <c r="U4646" s="40" t="str">
        <f t="shared" si="290"/>
        <v>-</v>
      </c>
      <c r="V4646" s="42" t="str" cm="1">
        <f t="array" ref="V4646">_xlfn.IFS(
LEFT(S4646,16)="win on penalties",IF(VALUE(MID(S4646,19,1))&gt;VALUE(MID(S4646,23,1)),DATA_CLEANED!AK160,DATA_CLEANED!AN160),
ISNUMBER(SEARCH("USA",S4646)),"United States",
ISNUMBER(SEARCH("Republic of Ireland",S4646)),"Ireland",
ISNUMBER(SEARCH("Republic of Korea",S4646)),"South Korea",
ISNUMBER(SEARCH("Cape Verde",S4646)),"Cabo Verde",
ISNUMBER(SEARCH("Czechia",S4646)),"Czech Republic",
ISNUMBER(SEARCH("Türkiye",S4646)),"Turkey",
ISNUMBER(SEARCH("Ivory Coast",S4646)),"Côte d'Ivoire",
ISNUMBER(SEARCH("Korea Republic",S4646)),"South Korea",
ISNUMBER(SEARCH("Germany FR",S4646)),"FR Germany",
ISNUMBER(SEARCH("West Germany",S4646)),"FR Germany",
ISNUMBER(SEARCH("Germany DR",S4646)),"DR Germany",
ISNUMBER(SEARCH("Korea DPR",S4646)),"North Korea",
ISNUMBER(SEARCH("China PR",S4646)),"China",
ISNUMBER(SEARCH("IR Iran",S4646)),"Iran",
ISNUMBER(SEARCH("Congo DR",S4646)),"Democratic Republic of the Congo",
ISNUMBER(SEARCH("DR Congo",S4646)),"Democratic Republic of the Congo",
ISNUMBER(SEARCH("German DR",S4646)),"DR Germany",
ISNUMBER(SEARCH("rn""&gt;United Arab Emirates",S4646)),"United Arab Emirates",
ISNUMBER(SEARCH("rn""&gt;Republic of Ireland",S4646)),"Ireland",
ISNUMBER(SEARCH("rn""&gt;Bosnia and Herzegovina",S4646)),"Bosnia and Herzegovina",
ISNUMBER(SEARCH("rn""&gt;Trinidad and Tobago",S4646)),"Trinidad and Tobago",
ISNUMBER(SEARCH("rn""&gt;Serbia and Montenegro",S4646)),"Serbia and Montenegro",
ISNUMBER(SEARCH(_xlfn.UNICHAR(65533),S4646)),"Côte d'Ivoire",
TRUE,"-"
)</f>
        <v>-</v>
      </c>
      <c r="W4646" s="42" t="str">
        <f t="shared" si="291"/>
        <v>-</v>
      </c>
    </row>
    <row r="4647" spans="19:23">
      <c r="S4647" s="42" t="str">
        <v/>
      </c>
      <c r="T4647" s="42" t="str">
        <f t="shared" si="289"/>
        <v>-</v>
      </c>
      <c r="U4647" s="40" t="str">
        <f t="shared" si="290"/>
        <v>-</v>
      </c>
      <c r="V4647" s="42" t="str" cm="1">
        <f t="array" ref="V4647">_xlfn.IFS(
LEFT(S4647,16)="win on penalties",IF(VALUE(MID(S4647,19,1))&gt;VALUE(MID(S4647,23,1)),DATA_CLEANED!AK161,DATA_CLEANED!AN161),
ISNUMBER(SEARCH("USA",S4647)),"United States",
ISNUMBER(SEARCH("Republic of Ireland",S4647)),"Ireland",
ISNUMBER(SEARCH("Republic of Korea",S4647)),"South Korea",
ISNUMBER(SEARCH("Cape Verde",S4647)),"Cabo Verde",
ISNUMBER(SEARCH("Czechia",S4647)),"Czech Republic",
ISNUMBER(SEARCH("Türkiye",S4647)),"Turkey",
ISNUMBER(SEARCH("Ivory Coast",S4647)),"Côte d'Ivoire",
ISNUMBER(SEARCH("Korea Republic",S4647)),"South Korea",
ISNUMBER(SEARCH("Germany FR",S4647)),"FR Germany",
ISNUMBER(SEARCH("West Germany",S4647)),"FR Germany",
ISNUMBER(SEARCH("Germany DR",S4647)),"DR Germany",
ISNUMBER(SEARCH("Korea DPR",S4647)),"North Korea",
ISNUMBER(SEARCH("China PR",S4647)),"China",
ISNUMBER(SEARCH("IR Iran",S4647)),"Iran",
ISNUMBER(SEARCH("Congo DR",S4647)),"Democratic Republic of the Congo",
ISNUMBER(SEARCH("DR Congo",S4647)),"Democratic Republic of the Congo",
ISNUMBER(SEARCH("German DR",S4647)),"DR Germany",
ISNUMBER(SEARCH("rn""&gt;United Arab Emirates",S4647)),"United Arab Emirates",
ISNUMBER(SEARCH("rn""&gt;Republic of Ireland",S4647)),"Ireland",
ISNUMBER(SEARCH("rn""&gt;Bosnia and Herzegovina",S4647)),"Bosnia and Herzegovina",
ISNUMBER(SEARCH("rn""&gt;Trinidad and Tobago",S4647)),"Trinidad and Tobago",
ISNUMBER(SEARCH("rn""&gt;Serbia and Montenegro",S4647)),"Serbia and Montenegro",
ISNUMBER(SEARCH(_xlfn.UNICHAR(65533),S4647)),"Côte d'Ivoire",
TRUE,"-"
)</f>
        <v>-</v>
      </c>
      <c r="W4647" s="42" t="str">
        <f t="shared" si="291"/>
        <v>-</v>
      </c>
    </row>
    <row r="4648" spans="19:23">
      <c r="S4648" s="42" t="str">
        <v/>
      </c>
      <c r="T4648" s="42" t="str">
        <f t="shared" si="289"/>
        <v>-</v>
      </c>
      <c r="U4648" s="40" t="str">
        <f t="shared" si="290"/>
        <v>-</v>
      </c>
      <c r="V4648" s="42" t="str" cm="1">
        <f t="array" ref="V4648">_xlfn.IFS(
LEFT(S4648,16)="win on penalties",IF(VALUE(MID(S4648,19,1))&gt;VALUE(MID(S4648,23,1)),DATA_CLEANED!AK162,DATA_CLEANED!AN162),
ISNUMBER(SEARCH("USA",S4648)),"United States",
ISNUMBER(SEARCH("Republic of Ireland",S4648)),"Ireland",
ISNUMBER(SEARCH("Republic of Korea",S4648)),"South Korea",
ISNUMBER(SEARCH("Cape Verde",S4648)),"Cabo Verde",
ISNUMBER(SEARCH("Czechia",S4648)),"Czech Republic",
ISNUMBER(SEARCH("Türkiye",S4648)),"Turkey",
ISNUMBER(SEARCH("Ivory Coast",S4648)),"Côte d'Ivoire",
ISNUMBER(SEARCH("Korea Republic",S4648)),"South Korea",
ISNUMBER(SEARCH("Germany FR",S4648)),"FR Germany",
ISNUMBER(SEARCH("West Germany",S4648)),"FR Germany",
ISNUMBER(SEARCH("Germany DR",S4648)),"DR Germany",
ISNUMBER(SEARCH("Korea DPR",S4648)),"North Korea",
ISNUMBER(SEARCH("China PR",S4648)),"China",
ISNUMBER(SEARCH("IR Iran",S4648)),"Iran",
ISNUMBER(SEARCH("Congo DR",S4648)),"Democratic Republic of the Congo",
ISNUMBER(SEARCH("DR Congo",S4648)),"Democratic Republic of the Congo",
ISNUMBER(SEARCH("German DR",S4648)),"DR Germany",
ISNUMBER(SEARCH("rn""&gt;United Arab Emirates",S4648)),"United Arab Emirates",
ISNUMBER(SEARCH("rn""&gt;Republic of Ireland",S4648)),"Ireland",
ISNUMBER(SEARCH("rn""&gt;Bosnia and Herzegovina",S4648)),"Bosnia and Herzegovina",
ISNUMBER(SEARCH("rn""&gt;Trinidad and Tobago",S4648)),"Trinidad and Tobago",
ISNUMBER(SEARCH("rn""&gt;Serbia and Montenegro",S4648)),"Serbia and Montenegro",
ISNUMBER(SEARCH(_xlfn.UNICHAR(65533),S4648)),"Côte d'Ivoire",
TRUE,"-"
)</f>
        <v>-</v>
      </c>
      <c r="W4648" s="42" t="str">
        <f t="shared" si="291"/>
        <v>-</v>
      </c>
    </row>
    <row r="4649" spans="19:23">
      <c r="S4649" s="42" t="str">
        <v/>
      </c>
      <c r="T4649" s="42" t="str">
        <f t="shared" si="289"/>
        <v>-</v>
      </c>
      <c r="U4649" s="40" t="str">
        <f t="shared" si="290"/>
        <v>-</v>
      </c>
      <c r="V4649" s="42" t="str" cm="1">
        <f t="array" ref="V4649">_xlfn.IFS(
LEFT(S4649,16)="win on penalties",IF(VALUE(MID(S4649,19,1))&gt;VALUE(MID(S4649,23,1)),DATA_CLEANED!AK163,DATA_CLEANED!AN163),
ISNUMBER(SEARCH("USA",S4649)),"United States",
ISNUMBER(SEARCH("Republic of Ireland",S4649)),"Ireland",
ISNUMBER(SEARCH("Republic of Korea",S4649)),"South Korea",
ISNUMBER(SEARCH("Cape Verde",S4649)),"Cabo Verde",
ISNUMBER(SEARCH("Czechia",S4649)),"Czech Republic",
ISNUMBER(SEARCH("Türkiye",S4649)),"Turkey",
ISNUMBER(SEARCH("Ivory Coast",S4649)),"Côte d'Ivoire",
ISNUMBER(SEARCH("Korea Republic",S4649)),"South Korea",
ISNUMBER(SEARCH("Germany FR",S4649)),"FR Germany",
ISNUMBER(SEARCH("West Germany",S4649)),"FR Germany",
ISNUMBER(SEARCH("Germany DR",S4649)),"DR Germany",
ISNUMBER(SEARCH("Korea DPR",S4649)),"North Korea",
ISNUMBER(SEARCH("China PR",S4649)),"China",
ISNUMBER(SEARCH("IR Iran",S4649)),"Iran",
ISNUMBER(SEARCH("Congo DR",S4649)),"Democratic Republic of the Congo",
ISNUMBER(SEARCH("DR Congo",S4649)),"Democratic Republic of the Congo",
ISNUMBER(SEARCH("German DR",S4649)),"DR Germany",
ISNUMBER(SEARCH("rn""&gt;United Arab Emirates",S4649)),"United Arab Emirates",
ISNUMBER(SEARCH("rn""&gt;Republic of Ireland",S4649)),"Ireland",
ISNUMBER(SEARCH("rn""&gt;Bosnia and Herzegovina",S4649)),"Bosnia and Herzegovina",
ISNUMBER(SEARCH("rn""&gt;Trinidad and Tobago",S4649)),"Trinidad and Tobago",
ISNUMBER(SEARCH("rn""&gt;Serbia and Montenegro",S4649)),"Serbia and Montenegro",
ISNUMBER(SEARCH(_xlfn.UNICHAR(65533),S4649)),"Côte d'Ivoire",
TRUE,"-"
)</f>
        <v>-</v>
      </c>
      <c r="W4649" s="42" t="str">
        <f t="shared" si="291"/>
        <v>-</v>
      </c>
    </row>
    <row r="4650" spans="19:23">
      <c r="S4650" s="42" t="str">
        <v/>
      </c>
      <c r="T4650" s="42" t="str">
        <f t="shared" si="289"/>
        <v>-</v>
      </c>
      <c r="U4650" s="40" t="str">
        <f t="shared" si="290"/>
        <v>-</v>
      </c>
      <c r="V4650" s="42" t="str" cm="1">
        <f t="array" ref="V4650">_xlfn.IFS(
LEFT(S4650,16)="win on penalties",IF(VALUE(MID(S4650,19,1))&gt;VALUE(MID(S4650,23,1)),DATA_CLEANED!AK164,DATA_CLEANED!AN164),
ISNUMBER(SEARCH("USA",S4650)),"United States",
ISNUMBER(SEARCH("Republic of Ireland",S4650)),"Ireland",
ISNUMBER(SEARCH("Republic of Korea",S4650)),"South Korea",
ISNUMBER(SEARCH("Cape Verde",S4650)),"Cabo Verde",
ISNUMBER(SEARCH("Czechia",S4650)),"Czech Republic",
ISNUMBER(SEARCH("Türkiye",S4650)),"Turkey",
ISNUMBER(SEARCH("Ivory Coast",S4650)),"Côte d'Ivoire",
ISNUMBER(SEARCH("Korea Republic",S4650)),"South Korea",
ISNUMBER(SEARCH("Germany FR",S4650)),"FR Germany",
ISNUMBER(SEARCH("West Germany",S4650)),"FR Germany",
ISNUMBER(SEARCH("Germany DR",S4650)),"DR Germany",
ISNUMBER(SEARCH("Korea DPR",S4650)),"North Korea",
ISNUMBER(SEARCH("China PR",S4650)),"China",
ISNUMBER(SEARCH("IR Iran",S4650)),"Iran",
ISNUMBER(SEARCH("Congo DR",S4650)),"Democratic Republic of the Congo",
ISNUMBER(SEARCH("DR Congo",S4650)),"Democratic Republic of the Congo",
ISNUMBER(SEARCH("German DR",S4650)),"DR Germany",
ISNUMBER(SEARCH("rn""&gt;United Arab Emirates",S4650)),"United Arab Emirates",
ISNUMBER(SEARCH("rn""&gt;Republic of Ireland",S4650)),"Ireland",
ISNUMBER(SEARCH("rn""&gt;Bosnia and Herzegovina",S4650)),"Bosnia and Herzegovina",
ISNUMBER(SEARCH("rn""&gt;Trinidad and Tobago",S4650)),"Trinidad and Tobago",
ISNUMBER(SEARCH("rn""&gt;Serbia and Montenegro",S4650)),"Serbia and Montenegro",
ISNUMBER(SEARCH(_xlfn.UNICHAR(65533),S4650)),"Côte d'Ivoire",
TRUE,"-"
)</f>
        <v>-</v>
      </c>
      <c r="W4650" s="42" t="str">
        <f t="shared" si="291"/>
        <v>-</v>
      </c>
    </row>
    <row r="4651" spans="19:23">
      <c r="S4651" s="42" t="str">
        <v/>
      </c>
      <c r="T4651" s="42" t="str">
        <f t="shared" si="289"/>
        <v>-</v>
      </c>
      <c r="U4651" s="40" t="str">
        <f t="shared" si="290"/>
        <v>-</v>
      </c>
      <c r="V4651" s="42" t="str" cm="1">
        <f t="array" ref="V4651">_xlfn.IFS(
LEFT(S4651,16)="win on penalties",IF(VALUE(MID(S4651,19,1))&gt;VALUE(MID(S4651,23,1)),DATA_CLEANED!AK165,DATA_CLEANED!AN165),
ISNUMBER(SEARCH("USA",S4651)),"United States",
ISNUMBER(SEARCH("Republic of Ireland",S4651)),"Ireland",
ISNUMBER(SEARCH("Republic of Korea",S4651)),"South Korea",
ISNUMBER(SEARCH("Cape Verde",S4651)),"Cabo Verde",
ISNUMBER(SEARCH("Czechia",S4651)),"Czech Republic",
ISNUMBER(SEARCH("Türkiye",S4651)),"Turkey",
ISNUMBER(SEARCH("Ivory Coast",S4651)),"Côte d'Ivoire",
ISNUMBER(SEARCH("Korea Republic",S4651)),"South Korea",
ISNUMBER(SEARCH("Germany FR",S4651)),"FR Germany",
ISNUMBER(SEARCH("West Germany",S4651)),"FR Germany",
ISNUMBER(SEARCH("Germany DR",S4651)),"DR Germany",
ISNUMBER(SEARCH("Korea DPR",S4651)),"North Korea",
ISNUMBER(SEARCH("China PR",S4651)),"China",
ISNUMBER(SEARCH("IR Iran",S4651)),"Iran",
ISNUMBER(SEARCH("Congo DR",S4651)),"Democratic Republic of the Congo",
ISNUMBER(SEARCH("DR Congo",S4651)),"Democratic Republic of the Congo",
ISNUMBER(SEARCH("German DR",S4651)),"DR Germany",
ISNUMBER(SEARCH("rn""&gt;United Arab Emirates",S4651)),"United Arab Emirates",
ISNUMBER(SEARCH("rn""&gt;Republic of Ireland",S4651)),"Ireland",
ISNUMBER(SEARCH("rn""&gt;Bosnia and Herzegovina",S4651)),"Bosnia and Herzegovina",
ISNUMBER(SEARCH("rn""&gt;Trinidad and Tobago",S4651)),"Trinidad and Tobago",
ISNUMBER(SEARCH("rn""&gt;Serbia and Montenegro",S4651)),"Serbia and Montenegro",
ISNUMBER(SEARCH(_xlfn.UNICHAR(65533),S4651)),"Côte d'Ivoire",
TRUE,"-"
)</f>
        <v>-</v>
      </c>
      <c r="W4651" s="42" t="str">
        <f t="shared" si="291"/>
        <v>-</v>
      </c>
    </row>
    <row r="4652" spans="19:23">
      <c r="S4652" s="42" t="str">
        <v/>
      </c>
      <c r="T4652" s="42" t="str">
        <f t="shared" si="289"/>
        <v>-</v>
      </c>
      <c r="U4652" s="40" t="str">
        <f t="shared" si="290"/>
        <v>-</v>
      </c>
      <c r="V4652" s="42" t="str" cm="1">
        <f t="array" ref="V4652">_xlfn.IFS(
LEFT(S4652,16)="win on penalties",IF(VALUE(MID(S4652,19,1))&gt;VALUE(MID(S4652,23,1)),DATA_CLEANED!AK166,DATA_CLEANED!AN166),
ISNUMBER(SEARCH("USA",S4652)),"United States",
ISNUMBER(SEARCH("Republic of Ireland",S4652)),"Ireland",
ISNUMBER(SEARCH("Republic of Korea",S4652)),"South Korea",
ISNUMBER(SEARCH("Cape Verde",S4652)),"Cabo Verde",
ISNUMBER(SEARCH("Czechia",S4652)),"Czech Republic",
ISNUMBER(SEARCH("Türkiye",S4652)),"Turkey",
ISNUMBER(SEARCH("Ivory Coast",S4652)),"Côte d'Ivoire",
ISNUMBER(SEARCH("Korea Republic",S4652)),"South Korea",
ISNUMBER(SEARCH("Germany FR",S4652)),"FR Germany",
ISNUMBER(SEARCH("West Germany",S4652)),"FR Germany",
ISNUMBER(SEARCH("Germany DR",S4652)),"DR Germany",
ISNUMBER(SEARCH("Korea DPR",S4652)),"North Korea",
ISNUMBER(SEARCH("China PR",S4652)),"China",
ISNUMBER(SEARCH("IR Iran",S4652)),"Iran",
ISNUMBER(SEARCH("Congo DR",S4652)),"Democratic Republic of the Congo",
ISNUMBER(SEARCH("DR Congo",S4652)),"Democratic Republic of the Congo",
ISNUMBER(SEARCH("German DR",S4652)),"DR Germany",
ISNUMBER(SEARCH("rn""&gt;United Arab Emirates",S4652)),"United Arab Emirates",
ISNUMBER(SEARCH("rn""&gt;Republic of Ireland",S4652)),"Ireland",
ISNUMBER(SEARCH("rn""&gt;Bosnia and Herzegovina",S4652)),"Bosnia and Herzegovina",
ISNUMBER(SEARCH("rn""&gt;Trinidad and Tobago",S4652)),"Trinidad and Tobago",
ISNUMBER(SEARCH("rn""&gt;Serbia and Montenegro",S4652)),"Serbia and Montenegro",
ISNUMBER(SEARCH(_xlfn.UNICHAR(65533),S4652)),"Côte d'Ivoire",
TRUE,"-"
)</f>
        <v>-</v>
      </c>
      <c r="W4652" s="42" t="str">
        <f t="shared" si="291"/>
        <v>-</v>
      </c>
    </row>
    <row r="4653" spans="19:23">
      <c r="S4653" s="42" t="str">
        <v/>
      </c>
      <c r="T4653" s="42" t="str">
        <f t="shared" si="289"/>
        <v>-</v>
      </c>
      <c r="U4653" s="40" t="str">
        <f t="shared" si="290"/>
        <v>-</v>
      </c>
      <c r="V4653" s="42" t="str" cm="1">
        <f t="array" ref="V4653">_xlfn.IFS(
LEFT(S4653,16)="win on penalties",IF(VALUE(MID(S4653,19,1))&gt;VALUE(MID(S4653,23,1)),DATA_CLEANED!AK167,DATA_CLEANED!AN167),
ISNUMBER(SEARCH("USA",S4653)),"United States",
ISNUMBER(SEARCH("Republic of Ireland",S4653)),"Ireland",
ISNUMBER(SEARCH("Republic of Korea",S4653)),"South Korea",
ISNUMBER(SEARCH("Cape Verde",S4653)),"Cabo Verde",
ISNUMBER(SEARCH("Czechia",S4653)),"Czech Republic",
ISNUMBER(SEARCH("Türkiye",S4653)),"Turkey",
ISNUMBER(SEARCH("Ivory Coast",S4653)),"Côte d'Ivoire",
ISNUMBER(SEARCH("Korea Republic",S4653)),"South Korea",
ISNUMBER(SEARCH("Germany FR",S4653)),"FR Germany",
ISNUMBER(SEARCH("West Germany",S4653)),"FR Germany",
ISNUMBER(SEARCH("Germany DR",S4653)),"DR Germany",
ISNUMBER(SEARCH("Korea DPR",S4653)),"North Korea",
ISNUMBER(SEARCH("China PR",S4653)),"China",
ISNUMBER(SEARCH("IR Iran",S4653)),"Iran",
ISNUMBER(SEARCH("Congo DR",S4653)),"Democratic Republic of the Congo",
ISNUMBER(SEARCH("DR Congo",S4653)),"Democratic Republic of the Congo",
ISNUMBER(SEARCH("German DR",S4653)),"DR Germany",
ISNUMBER(SEARCH("rn""&gt;United Arab Emirates",S4653)),"United Arab Emirates",
ISNUMBER(SEARCH("rn""&gt;Republic of Ireland",S4653)),"Ireland",
ISNUMBER(SEARCH("rn""&gt;Bosnia and Herzegovina",S4653)),"Bosnia and Herzegovina",
ISNUMBER(SEARCH("rn""&gt;Trinidad and Tobago",S4653)),"Trinidad and Tobago",
ISNUMBER(SEARCH("rn""&gt;Serbia and Montenegro",S4653)),"Serbia and Montenegro",
ISNUMBER(SEARCH(_xlfn.UNICHAR(65533),S4653)),"Côte d'Ivoire",
TRUE,"-"
)</f>
        <v>-</v>
      </c>
      <c r="W4653" s="42" t="str">
        <f t="shared" si="291"/>
        <v>-</v>
      </c>
    </row>
    <row r="4654" spans="19:23">
      <c r="S4654" s="42" t="str">
        <v/>
      </c>
      <c r="T4654" s="42" t="str">
        <f t="shared" si="289"/>
        <v>-</v>
      </c>
      <c r="U4654" s="40" t="str">
        <f t="shared" si="290"/>
        <v>-</v>
      </c>
      <c r="V4654" s="42" t="str" cm="1">
        <f t="array" ref="V4654">_xlfn.IFS(
LEFT(S4654,16)="win on penalties",IF(VALUE(MID(S4654,19,1))&gt;VALUE(MID(S4654,23,1)),DATA_CLEANED!AK168,DATA_CLEANED!AN168),
ISNUMBER(SEARCH("USA",S4654)),"United States",
ISNUMBER(SEARCH("Republic of Ireland",S4654)),"Ireland",
ISNUMBER(SEARCH("Republic of Korea",S4654)),"South Korea",
ISNUMBER(SEARCH("Cape Verde",S4654)),"Cabo Verde",
ISNUMBER(SEARCH("Czechia",S4654)),"Czech Republic",
ISNUMBER(SEARCH("Türkiye",S4654)),"Turkey",
ISNUMBER(SEARCH("Ivory Coast",S4654)),"Côte d'Ivoire",
ISNUMBER(SEARCH("Korea Republic",S4654)),"South Korea",
ISNUMBER(SEARCH("Germany FR",S4654)),"FR Germany",
ISNUMBER(SEARCH("West Germany",S4654)),"FR Germany",
ISNUMBER(SEARCH("Germany DR",S4654)),"DR Germany",
ISNUMBER(SEARCH("Korea DPR",S4654)),"North Korea",
ISNUMBER(SEARCH("China PR",S4654)),"China",
ISNUMBER(SEARCH("IR Iran",S4654)),"Iran",
ISNUMBER(SEARCH("Congo DR",S4654)),"Democratic Republic of the Congo",
ISNUMBER(SEARCH("DR Congo",S4654)),"Democratic Republic of the Congo",
ISNUMBER(SEARCH("German DR",S4654)),"DR Germany",
ISNUMBER(SEARCH("rn""&gt;United Arab Emirates",S4654)),"United Arab Emirates",
ISNUMBER(SEARCH("rn""&gt;Republic of Ireland",S4654)),"Ireland",
ISNUMBER(SEARCH("rn""&gt;Bosnia and Herzegovina",S4654)),"Bosnia and Herzegovina",
ISNUMBER(SEARCH("rn""&gt;Trinidad and Tobago",S4654)),"Trinidad and Tobago",
ISNUMBER(SEARCH("rn""&gt;Serbia and Montenegro",S4654)),"Serbia and Montenegro",
ISNUMBER(SEARCH(_xlfn.UNICHAR(65533),S4654)),"Côte d'Ivoire",
TRUE,"-"
)</f>
        <v>-</v>
      </c>
      <c r="W4654" s="42" t="str">
        <f t="shared" si="291"/>
        <v>-</v>
      </c>
    </row>
    <row r="4655" spans="19:23">
      <c r="S4655" s="42" t="str">
        <v/>
      </c>
      <c r="T4655" s="42" t="str">
        <f t="shared" si="289"/>
        <v>-</v>
      </c>
      <c r="U4655" s="40" t="str">
        <f t="shared" si="290"/>
        <v>-</v>
      </c>
      <c r="V4655" s="42" t="str" cm="1">
        <f t="array" ref="V4655">_xlfn.IFS(
LEFT(S4655,16)="win on penalties",IF(VALUE(MID(S4655,19,1))&gt;VALUE(MID(S4655,23,1)),DATA_CLEANED!AK169,DATA_CLEANED!AN169),
ISNUMBER(SEARCH("USA",S4655)),"United States",
ISNUMBER(SEARCH("Republic of Ireland",S4655)),"Ireland",
ISNUMBER(SEARCH("Republic of Korea",S4655)),"South Korea",
ISNUMBER(SEARCH("Cape Verde",S4655)),"Cabo Verde",
ISNUMBER(SEARCH("Czechia",S4655)),"Czech Republic",
ISNUMBER(SEARCH("Türkiye",S4655)),"Turkey",
ISNUMBER(SEARCH("Ivory Coast",S4655)),"Côte d'Ivoire",
ISNUMBER(SEARCH("Korea Republic",S4655)),"South Korea",
ISNUMBER(SEARCH("Germany FR",S4655)),"FR Germany",
ISNUMBER(SEARCH("West Germany",S4655)),"FR Germany",
ISNUMBER(SEARCH("Germany DR",S4655)),"DR Germany",
ISNUMBER(SEARCH("Korea DPR",S4655)),"North Korea",
ISNUMBER(SEARCH("China PR",S4655)),"China",
ISNUMBER(SEARCH("IR Iran",S4655)),"Iran",
ISNUMBER(SEARCH("Congo DR",S4655)),"Democratic Republic of the Congo",
ISNUMBER(SEARCH("DR Congo",S4655)),"Democratic Republic of the Congo",
ISNUMBER(SEARCH("German DR",S4655)),"DR Germany",
ISNUMBER(SEARCH("rn""&gt;United Arab Emirates",S4655)),"United Arab Emirates",
ISNUMBER(SEARCH("rn""&gt;Republic of Ireland",S4655)),"Ireland",
ISNUMBER(SEARCH("rn""&gt;Bosnia and Herzegovina",S4655)),"Bosnia and Herzegovina",
ISNUMBER(SEARCH("rn""&gt;Trinidad and Tobago",S4655)),"Trinidad and Tobago",
ISNUMBER(SEARCH("rn""&gt;Serbia and Montenegro",S4655)),"Serbia and Montenegro",
ISNUMBER(SEARCH(_xlfn.UNICHAR(65533),S4655)),"Côte d'Ivoire",
TRUE,"-"
)</f>
        <v>-</v>
      </c>
      <c r="W4655" s="42" t="str">
        <f t="shared" si="291"/>
        <v>-</v>
      </c>
    </row>
    <row r="4656" spans="19:23">
      <c r="S4656" s="42" t="str">
        <v/>
      </c>
      <c r="T4656" s="42" t="str">
        <f t="shared" si="289"/>
        <v>-</v>
      </c>
      <c r="U4656" s="40" t="str">
        <f t="shared" si="290"/>
        <v>-</v>
      </c>
      <c r="V4656" s="42" t="str" cm="1">
        <f t="array" ref="V4656">_xlfn.IFS(
LEFT(S4656,16)="win on penalties",IF(VALUE(MID(S4656,19,1))&gt;VALUE(MID(S4656,23,1)),DATA_CLEANED!AK170,DATA_CLEANED!AN170),
ISNUMBER(SEARCH("USA",S4656)),"United States",
ISNUMBER(SEARCH("Republic of Ireland",S4656)),"Ireland",
ISNUMBER(SEARCH("Republic of Korea",S4656)),"South Korea",
ISNUMBER(SEARCH("Cape Verde",S4656)),"Cabo Verde",
ISNUMBER(SEARCH("Czechia",S4656)),"Czech Republic",
ISNUMBER(SEARCH("Türkiye",S4656)),"Turkey",
ISNUMBER(SEARCH("Ivory Coast",S4656)),"Côte d'Ivoire",
ISNUMBER(SEARCH("Korea Republic",S4656)),"South Korea",
ISNUMBER(SEARCH("Germany FR",S4656)),"FR Germany",
ISNUMBER(SEARCH("West Germany",S4656)),"FR Germany",
ISNUMBER(SEARCH("Germany DR",S4656)),"DR Germany",
ISNUMBER(SEARCH("Korea DPR",S4656)),"North Korea",
ISNUMBER(SEARCH("China PR",S4656)),"China",
ISNUMBER(SEARCH("IR Iran",S4656)),"Iran",
ISNUMBER(SEARCH("Congo DR",S4656)),"Democratic Republic of the Congo",
ISNUMBER(SEARCH("DR Congo",S4656)),"Democratic Republic of the Congo",
ISNUMBER(SEARCH("German DR",S4656)),"DR Germany",
ISNUMBER(SEARCH("rn""&gt;United Arab Emirates",S4656)),"United Arab Emirates",
ISNUMBER(SEARCH("rn""&gt;Republic of Ireland",S4656)),"Ireland",
ISNUMBER(SEARCH("rn""&gt;Bosnia and Herzegovina",S4656)),"Bosnia and Herzegovina",
ISNUMBER(SEARCH("rn""&gt;Trinidad and Tobago",S4656)),"Trinidad and Tobago",
ISNUMBER(SEARCH("rn""&gt;Serbia and Montenegro",S4656)),"Serbia and Montenegro",
ISNUMBER(SEARCH(_xlfn.UNICHAR(65533),S4656)),"Côte d'Ivoire",
TRUE,"-"
)</f>
        <v>-</v>
      </c>
      <c r="W4656" s="42" t="str">
        <f t="shared" si="291"/>
        <v>-</v>
      </c>
    </row>
    <row r="4657" spans="19:23">
      <c r="S4657" s="42" t="str">
        <v/>
      </c>
      <c r="T4657" s="42" t="str">
        <f t="shared" si="289"/>
        <v>-</v>
      </c>
      <c r="U4657" s="40" t="str">
        <f t="shared" si="290"/>
        <v>-</v>
      </c>
      <c r="V4657" s="42" t="str" cm="1">
        <f t="array" ref="V4657">_xlfn.IFS(
LEFT(S4657,16)="win on penalties",IF(VALUE(MID(S4657,19,1))&gt;VALUE(MID(S4657,23,1)),DATA_CLEANED!AK171,DATA_CLEANED!AN171),
ISNUMBER(SEARCH("USA",S4657)),"United States",
ISNUMBER(SEARCH("Republic of Ireland",S4657)),"Ireland",
ISNUMBER(SEARCH("Republic of Korea",S4657)),"South Korea",
ISNUMBER(SEARCH("Cape Verde",S4657)),"Cabo Verde",
ISNUMBER(SEARCH("Czechia",S4657)),"Czech Republic",
ISNUMBER(SEARCH("Türkiye",S4657)),"Turkey",
ISNUMBER(SEARCH("Ivory Coast",S4657)),"Côte d'Ivoire",
ISNUMBER(SEARCH("Korea Republic",S4657)),"South Korea",
ISNUMBER(SEARCH("Germany FR",S4657)),"FR Germany",
ISNUMBER(SEARCH("West Germany",S4657)),"FR Germany",
ISNUMBER(SEARCH("Germany DR",S4657)),"DR Germany",
ISNUMBER(SEARCH("Korea DPR",S4657)),"North Korea",
ISNUMBER(SEARCH("China PR",S4657)),"China",
ISNUMBER(SEARCH("IR Iran",S4657)),"Iran",
ISNUMBER(SEARCH("Congo DR",S4657)),"Democratic Republic of the Congo",
ISNUMBER(SEARCH("DR Congo",S4657)),"Democratic Republic of the Congo",
ISNUMBER(SEARCH("German DR",S4657)),"DR Germany",
ISNUMBER(SEARCH("rn""&gt;United Arab Emirates",S4657)),"United Arab Emirates",
ISNUMBER(SEARCH("rn""&gt;Republic of Ireland",S4657)),"Ireland",
ISNUMBER(SEARCH("rn""&gt;Bosnia and Herzegovina",S4657)),"Bosnia and Herzegovina",
ISNUMBER(SEARCH("rn""&gt;Trinidad and Tobago",S4657)),"Trinidad and Tobago",
ISNUMBER(SEARCH("rn""&gt;Serbia and Montenegro",S4657)),"Serbia and Montenegro",
ISNUMBER(SEARCH(_xlfn.UNICHAR(65533),S4657)),"Côte d'Ivoire",
TRUE,"-"
)</f>
        <v>-</v>
      </c>
      <c r="W4657" s="42" t="str">
        <f t="shared" si="291"/>
        <v>-</v>
      </c>
    </row>
    <row r="4658" spans="19:23">
      <c r="S4658" s="42" t="str">
        <v/>
      </c>
      <c r="T4658" s="42" t="str">
        <f t="shared" si="289"/>
        <v>-</v>
      </c>
      <c r="U4658" s="40" t="str">
        <f t="shared" si="290"/>
        <v>-</v>
      </c>
      <c r="V4658" s="42" t="str" cm="1">
        <f t="array" ref="V4658">_xlfn.IFS(
LEFT(S4658,16)="win on penalties",IF(VALUE(MID(S4658,19,1))&gt;VALUE(MID(S4658,23,1)),DATA_CLEANED!AK172,DATA_CLEANED!AN172),
ISNUMBER(SEARCH("USA",S4658)),"United States",
ISNUMBER(SEARCH("Republic of Ireland",S4658)),"Ireland",
ISNUMBER(SEARCH("Republic of Korea",S4658)),"South Korea",
ISNUMBER(SEARCH("Cape Verde",S4658)),"Cabo Verde",
ISNUMBER(SEARCH("Czechia",S4658)),"Czech Republic",
ISNUMBER(SEARCH("Türkiye",S4658)),"Turkey",
ISNUMBER(SEARCH("Ivory Coast",S4658)),"Côte d'Ivoire",
ISNUMBER(SEARCH("Korea Republic",S4658)),"South Korea",
ISNUMBER(SEARCH("Germany FR",S4658)),"FR Germany",
ISNUMBER(SEARCH("West Germany",S4658)),"FR Germany",
ISNUMBER(SEARCH("Germany DR",S4658)),"DR Germany",
ISNUMBER(SEARCH("Korea DPR",S4658)),"North Korea",
ISNUMBER(SEARCH("China PR",S4658)),"China",
ISNUMBER(SEARCH("IR Iran",S4658)),"Iran",
ISNUMBER(SEARCH("Congo DR",S4658)),"Democratic Republic of the Congo",
ISNUMBER(SEARCH("DR Congo",S4658)),"Democratic Republic of the Congo",
ISNUMBER(SEARCH("German DR",S4658)),"DR Germany",
ISNUMBER(SEARCH("rn""&gt;United Arab Emirates",S4658)),"United Arab Emirates",
ISNUMBER(SEARCH("rn""&gt;Republic of Ireland",S4658)),"Ireland",
ISNUMBER(SEARCH("rn""&gt;Bosnia and Herzegovina",S4658)),"Bosnia and Herzegovina",
ISNUMBER(SEARCH("rn""&gt;Trinidad and Tobago",S4658)),"Trinidad and Tobago",
ISNUMBER(SEARCH("rn""&gt;Serbia and Montenegro",S4658)),"Serbia and Montenegro",
ISNUMBER(SEARCH(_xlfn.UNICHAR(65533),S4658)),"Côte d'Ivoire",
TRUE,"-"
)</f>
        <v>-</v>
      </c>
      <c r="W4658" s="42" t="str">
        <f t="shared" si="291"/>
        <v>-</v>
      </c>
    </row>
    <row r="4659" spans="19:23">
      <c r="S4659" s="42" t="str">
        <v/>
      </c>
      <c r="T4659" s="42" t="str">
        <f t="shared" si="289"/>
        <v>-</v>
      </c>
      <c r="U4659" s="40" t="str">
        <f t="shared" si="290"/>
        <v>-</v>
      </c>
      <c r="V4659" s="42" t="str" cm="1">
        <f t="array" ref="V4659">_xlfn.IFS(
LEFT(S4659,16)="win on penalties",IF(VALUE(MID(S4659,19,1))&gt;VALUE(MID(S4659,23,1)),DATA_CLEANED!AK173,DATA_CLEANED!AN173),
ISNUMBER(SEARCH("USA",S4659)),"United States",
ISNUMBER(SEARCH("Republic of Ireland",S4659)),"Ireland",
ISNUMBER(SEARCH("Republic of Korea",S4659)),"South Korea",
ISNUMBER(SEARCH("Cape Verde",S4659)),"Cabo Verde",
ISNUMBER(SEARCH("Czechia",S4659)),"Czech Republic",
ISNUMBER(SEARCH("Türkiye",S4659)),"Turkey",
ISNUMBER(SEARCH("Ivory Coast",S4659)),"Côte d'Ivoire",
ISNUMBER(SEARCH("Korea Republic",S4659)),"South Korea",
ISNUMBER(SEARCH("Germany FR",S4659)),"FR Germany",
ISNUMBER(SEARCH("West Germany",S4659)),"FR Germany",
ISNUMBER(SEARCH("Germany DR",S4659)),"DR Germany",
ISNUMBER(SEARCH("Korea DPR",S4659)),"North Korea",
ISNUMBER(SEARCH("China PR",S4659)),"China",
ISNUMBER(SEARCH("IR Iran",S4659)),"Iran",
ISNUMBER(SEARCH("Congo DR",S4659)),"Democratic Republic of the Congo",
ISNUMBER(SEARCH("DR Congo",S4659)),"Democratic Republic of the Congo",
ISNUMBER(SEARCH("German DR",S4659)),"DR Germany",
ISNUMBER(SEARCH("rn""&gt;United Arab Emirates",S4659)),"United Arab Emirates",
ISNUMBER(SEARCH("rn""&gt;Republic of Ireland",S4659)),"Ireland",
ISNUMBER(SEARCH("rn""&gt;Bosnia and Herzegovina",S4659)),"Bosnia and Herzegovina",
ISNUMBER(SEARCH("rn""&gt;Trinidad and Tobago",S4659)),"Trinidad and Tobago",
ISNUMBER(SEARCH("rn""&gt;Serbia and Montenegro",S4659)),"Serbia and Montenegro",
ISNUMBER(SEARCH(_xlfn.UNICHAR(65533),S4659)),"Côte d'Ivoire",
TRUE,"-"
)</f>
        <v>-</v>
      </c>
      <c r="W4659" s="42" t="str">
        <f t="shared" si="291"/>
        <v>-</v>
      </c>
    </row>
    <row r="4660" spans="19:23">
      <c r="S4660" s="42" t="str">
        <v/>
      </c>
      <c r="T4660" s="42" t="str">
        <f t="shared" si="289"/>
        <v>-</v>
      </c>
      <c r="U4660" s="40" t="str">
        <f t="shared" si="290"/>
        <v>-</v>
      </c>
      <c r="V4660" s="42" t="str" cm="1">
        <f t="array" ref="V4660">_xlfn.IFS(
LEFT(S4660,16)="win on penalties",IF(VALUE(MID(S4660,19,1))&gt;VALUE(MID(S4660,23,1)),DATA_CLEANED!AK174,DATA_CLEANED!AN174),
ISNUMBER(SEARCH("USA",S4660)),"United States",
ISNUMBER(SEARCH("Republic of Ireland",S4660)),"Ireland",
ISNUMBER(SEARCH("Republic of Korea",S4660)),"South Korea",
ISNUMBER(SEARCH("Cape Verde",S4660)),"Cabo Verde",
ISNUMBER(SEARCH("Czechia",S4660)),"Czech Republic",
ISNUMBER(SEARCH("Türkiye",S4660)),"Turkey",
ISNUMBER(SEARCH("Ivory Coast",S4660)),"Côte d'Ivoire",
ISNUMBER(SEARCH("Korea Republic",S4660)),"South Korea",
ISNUMBER(SEARCH("Germany FR",S4660)),"FR Germany",
ISNUMBER(SEARCH("West Germany",S4660)),"FR Germany",
ISNUMBER(SEARCH("Germany DR",S4660)),"DR Germany",
ISNUMBER(SEARCH("Korea DPR",S4660)),"North Korea",
ISNUMBER(SEARCH("China PR",S4660)),"China",
ISNUMBER(SEARCH("IR Iran",S4660)),"Iran",
ISNUMBER(SEARCH("Congo DR",S4660)),"Democratic Republic of the Congo",
ISNUMBER(SEARCH("DR Congo",S4660)),"Democratic Republic of the Congo",
ISNUMBER(SEARCH("German DR",S4660)),"DR Germany",
ISNUMBER(SEARCH("rn""&gt;United Arab Emirates",S4660)),"United Arab Emirates",
ISNUMBER(SEARCH("rn""&gt;Republic of Ireland",S4660)),"Ireland",
ISNUMBER(SEARCH("rn""&gt;Bosnia and Herzegovina",S4660)),"Bosnia and Herzegovina",
ISNUMBER(SEARCH("rn""&gt;Trinidad and Tobago",S4660)),"Trinidad and Tobago",
ISNUMBER(SEARCH("rn""&gt;Serbia and Montenegro",S4660)),"Serbia and Montenegro",
ISNUMBER(SEARCH(_xlfn.UNICHAR(65533),S4660)),"Côte d'Ivoire",
TRUE,"-"
)</f>
        <v>-</v>
      </c>
      <c r="W4660" s="42" t="str">
        <f t="shared" si="291"/>
        <v>-</v>
      </c>
    </row>
    <row r="4661" spans="19:23">
      <c r="S4661" s="42" t="str">
        <v/>
      </c>
      <c r="T4661" s="42" t="str">
        <f t="shared" si="289"/>
        <v>-</v>
      </c>
      <c r="U4661" s="40" t="str">
        <f t="shared" si="290"/>
        <v>-</v>
      </c>
      <c r="V4661" s="42" t="str" cm="1">
        <f t="array" ref="V4661">_xlfn.IFS(
LEFT(S4661,16)="win on penalties",IF(VALUE(MID(S4661,19,1))&gt;VALUE(MID(S4661,23,1)),DATA_CLEANED!AK175,DATA_CLEANED!AN175),
ISNUMBER(SEARCH("USA",S4661)),"United States",
ISNUMBER(SEARCH("Republic of Ireland",S4661)),"Ireland",
ISNUMBER(SEARCH("Republic of Korea",S4661)),"South Korea",
ISNUMBER(SEARCH("Cape Verde",S4661)),"Cabo Verde",
ISNUMBER(SEARCH("Czechia",S4661)),"Czech Republic",
ISNUMBER(SEARCH("Türkiye",S4661)),"Turkey",
ISNUMBER(SEARCH("Ivory Coast",S4661)),"Côte d'Ivoire",
ISNUMBER(SEARCH("Korea Republic",S4661)),"South Korea",
ISNUMBER(SEARCH("Germany FR",S4661)),"FR Germany",
ISNUMBER(SEARCH("West Germany",S4661)),"FR Germany",
ISNUMBER(SEARCH("Germany DR",S4661)),"DR Germany",
ISNUMBER(SEARCH("Korea DPR",S4661)),"North Korea",
ISNUMBER(SEARCH("China PR",S4661)),"China",
ISNUMBER(SEARCH("IR Iran",S4661)),"Iran",
ISNUMBER(SEARCH("Congo DR",S4661)),"Democratic Republic of the Congo",
ISNUMBER(SEARCH("DR Congo",S4661)),"Democratic Republic of the Congo",
ISNUMBER(SEARCH("German DR",S4661)),"DR Germany",
ISNUMBER(SEARCH("rn""&gt;United Arab Emirates",S4661)),"United Arab Emirates",
ISNUMBER(SEARCH("rn""&gt;Republic of Ireland",S4661)),"Ireland",
ISNUMBER(SEARCH("rn""&gt;Bosnia and Herzegovina",S4661)),"Bosnia and Herzegovina",
ISNUMBER(SEARCH("rn""&gt;Trinidad and Tobago",S4661)),"Trinidad and Tobago",
ISNUMBER(SEARCH("rn""&gt;Serbia and Montenegro",S4661)),"Serbia and Montenegro",
ISNUMBER(SEARCH(_xlfn.UNICHAR(65533),S4661)),"Côte d'Ivoire",
TRUE,"-"
)</f>
        <v>-</v>
      </c>
      <c r="W4661" s="42" t="str">
        <f t="shared" si="291"/>
        <v>-</v>
      </c>
    </row>
    <row r="4662" spans="19:23">
      <c r="S4662" s="42" t="str">
        <v/>
      </c>
      <c r="T4662" s="42" t="str">
        <f t="shared" si="289"/>
        <v>-</v>
      </c>
      <c r="U4662" s="40" t="str">
        <f t="shared" si="290"/>
        <v>-</v>
      </c>
      <c r="V4662" s="42" t="str" cm="1">
        <f t="array" ref="V4662">_xlfn.IFS(
LEFT(S4662,16)="win on penalties",IF(VALUE(MID(S4662,19,1))&gt;VALUE(MID(S4662,23,1)),DATA_CLEANED!AK176,DATA_CLEANED!AN176),
ISNUMBER(SEARCH("USA",S4662)),"United States",
ISNUMBER(SEARCH("Republic of Ireland",S4662)),"Ireland",
ISNUMBER(SEARCH("Republic of Korea",S4662)),"South Korea",
ISNUMBER(SEARCH("Cape Verde",S4662)),"Cabo Verde",
ISNUMBER(SEARCH("Czechia",S4662)),"Czech Republic",
ISNUMBER(SEARCH("Türkiye",S4662)),"Turkey",
ISNUMBER(SEARCH("Ivory Coast",S4662)),"Côte d'Ivoire",
ISNUMBER(SEARCH("Korea Republic",S4662)),"South Korea",
ISNUMBER(SEARCH("Germany FR",S4662)),"FR Germany",
ISNUMBER(SEARCH("West Germany",S4662)),"FR Germany",
ISNUMBER(SEARCH("Germany DR",S4662)),"DR Germany",
ISNUMBER(SEARCH("Korea DPR",S4662)),"North Korea",
ISNUMBER(SEARCH("China PR",S4662)),"China",
ISNUMBER(SEARCH("IR Iran",S4662)),"Iran",
ISNUMBER(SEARCH("Congo DR",S4662)),"Democratic Republic of the Congo",
ISNUMBER(SEARCH("DR Congo",S4662)),"Democratic Republic of the Congo",
ISNUMBER(SEARCH("German DR",S4662)),"DR Germany",
ISNUMBER(SEARCH("rn""&gt;United Arab Emirates",S4662)),"United Arab Emirates",
ISNUMBER(SEARCH("rn""&gt;Republic of Ireland",S4662)),"Ireland",
ISNUMBER(SEARCH("rn""&gt;Bosnia and Herzegovina",S4662)),"Bosnia and Herzegovina",
ISNUMBER(SEARCH("rn""&gt;Trinidad and Tobago",S4662)),"Trinidad and Tobago",
ISNUMBER(SEARCH("rn""&gt;Serbia and Montenegro",S4662)),"Serbia and Montenegro",
ISNUMBER(SEARCH(_xlfn.UNICHAR(65533),S4662)),"Côte d'Ivoire",
TRUE,"-"
)</f>
        <v>-</v>
      </c>
      <c r="W4662" s="42" t="str">
        <f t="shared" si="291"/>
        <v>-</v>
      </c>
    </row>
    <row r="4663" spans="19:23">
      <c r="S4663" s="42" t="str">
        <v/>
      </c>
      <c r="T4663" s="42" t="str">
        <f t="shared" si="289"/>
        <v>-</v>
      </c>
      <c r="U4663" s="40" t="str">
        <f t="shared" si="290"/>
        <v>-</v>
      </c>
      <c r="V4663" s="42" t="str" cm="1">
        <f t="array" ref="V4663">_xlfn.IFS(
LEFT(S4663,16)="win on penalties",IF(VALUE(MID(S4663,19,1))&gt;VALUE(MID(S4663,23,1)),DATA_CLEANED!AK177,DATA_CLEANED!AN177),
ISNUMBER(SEARCH("USA",S4663)),"United States",
ISNUMBER(SEARCH("Republic of Ireland",S4663)),"Ireland",
ISNUMBER(SEARCH("Republic of Korea",S4663)),"South Korea",
ISNUMBER(SEARCH("Cape Verde",S4663)),"Cabo Verde",
ISNUMBER(SEARCH("Czechia",S4663)),"Czech Republic",
ISNUMBER(SEARCH("Türkiye",S4663)),"Turkey",
ISNUMBER(SEARCH("Ivory Coast",S4663)),"Côte d'Ivoire",
ISNUMBER(SEARCH("Korea Republic",S4663)),"South Korea",
ISNUMBER(SEARCH("Germany FR",S4663)),"FR Germany",
ISNUMBER(SEARCH("West Germany",S4663)),"FR Germany",
ISNUMBER(SEARCH("Germany DR",S4663)),"DR Germany",
ISNUMBER(SEARCH("Korea DPR",S4663)),"North Korea",
ISNUMBER(SEARCH("China PR",S4663)),"China",
ISNUMBER(SEARCH("IR Iran",S4663)),"Iran",
ISNUMBER(SEARCH("Congo DR",S4663)),"Democratic Republic of the Congo",
ISNUMBER(SEARCH("DR Congo",S4663)),"Democratic Republic of the Congo",
ISNUMBER(SEARCH("German DR",S4663)),"DR Germany",
ISNUMBER(SEARCH("rn""&gt;United Arab Emirates",S4663)),"United Arab Emirates",
ISNUMBER(SEARCH("rn""&gt;Republic of Ireland",S4663)),"Ireland",
ISNUMBER(SEARCH("rn""&gt;Bosnia and Herzegovina",S4663)),"Bosnia and Herzegovina",
ISNUMBER(SEARCH("rn""&gt;Trinidad and Tobago",S4663)),"Trinidad and Tobago",
ISNUMBER(SEARCH("rn""&gt;Serbia and Montenegro",S4663)),"Serbia and Montenegro",
ISNUMBER(SEARCH(_xlfn.UNICHAR(65533),S4663)),"Côte d'Ivoire",
TRUE,"-"
)</f>
        <v>-</v>
      </c>
      <c r="W4663" s="42" t="str">
        <f t="shared" si="291"/>
        <v>-</v>
      </c>
    </row>
    <row r="4664" spans="19:23">
      <c r="S4664" s="42" t="str">
        <v/>
      </c>
      <c r="T4664" s="42" t="str">
        <f t="shared" si="289"/>
        <v>-</v>
      </c>
      <c r="U4664" s="40" t="str">
        <f t="shared" si="290"/>
        <v>-</v>
      </c>
      <c r="V4664" s="42" t="str" cm="1">
        <f t="array" ref="V4664">_xlfn.IFS(
LEFT(S4664,16)="win on penalties",IF(VALUE(MID(S4664,19,1))&gt;VALUE(MID(S4664,23,1)),DATA_CLEANED!AK178,DATA_CLEANED!AN178),
ISNUMBER(SEARCH("USA",S4664)),"United States",
ISNUMBER(SEARCH("Republic of Ireland",S4664)),"Ireland",
ISNUMBER(SEARCH("Republic of Korea",S4664)),"South Korea",
ISNUMBER(SEARCH("Cape Verde",S4664)),"Cabo Verde",
ISNUMBER(SEARCH("Czechia",S4664)),"Czech Republic",
ISNUMBER(SEARCH("Türkiye",S4664)),"Turkey",
ISNUMBER(SEARCH("Ivory Coast",S4664)),"Côte d'Ivoire",
ISNUMBER(SEARCH("Korea Republic",S4664)),"South Korea",
ISNUMBER(SEARCH("Germany FR",S4664)),"FR Germany",
ISNUMBER(SEARCH("West Germany",S4664)),"FR Germany",
ISNUMBER(SEARCH("Germany DR",S4664)),"DR Germany",
ISNUMBER(SEARCH("Korea DPR",S4664)),"North Korea",
ISNUMBER(SEARCH("China PR",S4664)),"China",
ISNUMBER(SEARCH("IR Iran",S4664)),"Iran",
ISNUMBER(SEARCH("Congo DR",S4664)),"Democratic Republic of the Congo",
ISNUMBER(SEARCH("DR Congo",S4664)),"Democratic Republic of the Congo",
ISNUMBER(SEARCH("German DR",S4664)),"DR Germany",
ISNUMBER(SEARCH("rn""&gt;United Arab Emirates",S4664)),"United Arab Emirates",
ISNUMBER(SEARCH("rn""&gt;Republic of Ireland",S4664)),"Ireland",
ISNUMBER(SEARCH("rn""&gt;Bosnia and Herzegovina",S4664)),"Bosnia and Herzegovina",
ISNUMBER(SEARCH("rn""&gt;Trinidad and Tobago",S4664)),"Trinidad and Tobago",
ISNUMBER(SEARCH("rn""&gt;Serbia and Montenegro",S4664)),"Serbia and Montenegro",
ISNUMBER(SEARCH(_xlfn.UNICHAR(65533),S4664)),"Côte d'Ivoire",
TRUE,"-"
)</f>
        <v>-</v>
      </c>
      <c r="W4664" s="42" t="str">
        <f t="shared" si="291"/>
        <v>-</v>
      </c>
    </row>
    <row r="4665" spans="19:23">
      <c r="S4665" s="42" t="str">
        <v/>
      </c>
      <c r="T4665" s="42" t="str">
        <f t="shared" si="289"/>
        <v>-</v>
      </c>
      <c r="U4665" s="40" t="str">
        <f t="shared" si="290"/>
        <v>-</v>
      </c>
      <c r="V4665" s="42" t="str" cm="1">
        <f t="array" ref="V4665">_xlfn.IFS(
LEFT(S4665,16)="win on penalties",IF(VALUE(MID(S4665,19,1))&gt;VALUE(MID(S4665,23,1)),DATA_CLEANED!AK179,DATA_CLEANED!AN179),
ISNUMBER(SEARCH("USA",S4665)),"United States",
ISNUMBER(SEARCH("Republic of Ireland",S4665)),"Ireland",
ISNUMBER(SEARCH("Republic of Korea",S4665)),"South Korea",
ISNUMBER(SEARCH("Cape Verde",S4665)),"Cabo Verde",
ISNUMBER(SEARCH("Czechia",S4665)),"Czech Republic",
ISNUMBER(SEARCH("Türkiye",S4665)),"Turkey",
ISNUMBER(SEARCH("Ivory Coast",S4665)),"Côte d'Ivoire",
ISNUMBER(SEARCH("Korea Republic",S4665)),"South Korea",
ISNUMBER(SEARCH("Germany FR",S4665)),"FR Germany",
ISNUMBER(SEARCH("West Germany",S4665)),"FR Germany",
ISNUMBER(SEARCH("Germany DR",S4665)),"DR Germany",
ISNUMBER(SEARCH("Korea DPR",S4665)),"North Korea",
ISNUMBER(SEARCH("China PR",S4665)),"China",
ISNUMBER(SEARCH("IR Iran",S4665)),"Iran",
ISNUMBER(SEARCH("Congo DR",S4665)),"Democratic Republic of the Congo",
ISNUMBER(SEARCH("DR Congo",S4665)),"Democratic Republic of the Congo",
ISNUMBER(SEARCH("German DR",S4665)),"DR Germany",
ISNUMBER(SEARCH("rn""&gt;United Arab Emirates",S4665)),"United Arab Emirates",
ISNUMBER(SEARCH("rn""&gt;Republic of Ireland",S4665)),"Ireland",
ISNUMBER(SEARCH("rn""&gt;Bosnia and Herzegovina",S4665)),"Bosnia and Herzegovina",
ISNUMBER(SEARCH("rn""&gt;Trinidad and Tobago",S4665)),"Trinidad and Tobago",
ISNUMBER(SEARCH("rn""&gt;Serbia and Montenegro",S4665)),"Serbia and Montenegro",
ISNUMBER(SEARCH(_xlfn.UNICHAR(65533),S4665)),"Côte d'Ivoire",
TRUE,"-"
)</f>
        <v>-</v>
      </c>
      <c r="W4665" s="42" t="str">
        <f t="shared" si="291"/>
        <v>-</v>
      </c>
    </row>
    <row r="4666" spans="19:23">
      <c r="S4666" s="42" t="str">
        <v/>
      </c>
      <c r="T4666" s="42" t="str">
        <f t="shared" si="289"/>
        <v>-</v>
      </c>
      <c r="U4666" s="40" t="str">
        <f t="shared" si="290"/>
        <v>-</v>
      </c>
      <c r="V4666" s="42" t="str" cm="1">
        <f t="array" ref="V4666">_xlfn.IFS(
LEFT(S4666,16)="win on penalties",IF(VALUE(MID(S4666,19,1))&gt;VALUE(MID(S4666,23,1)),DATA_CLEANED!AK180,DATA_CLEANED!AN180),
ISNUMBER(SEARCH("USA",S4666)),"United States",
ISNUMBER(SEARCH("Republic of Ireland",S4666)),"Ireland",
ISNUMBER(SEARCH("Republic of Korea",S4666)),"South Korea",
ISNUMBER(SEARCH("Cape Verde",S4666)),"Cabo Verde",
ISNUMBER(SEARCH("Czechia",S4666)),"Czech Republic",
ISNUMBER(SEARCH("Türkiye",S4666)),"Turkey",
ISNUMBER(SEARCH("Ivory Coast",S4666)),"Côte d'Ivoire",
ISNUMBER(SEARCH("Korea Republic",S4666)),"South Korea",
ISNUMBER(SEARCH("Germany FR",S4666)),"FR Germany",
ISNUMBER(SEARCH("West Germany",S4666)),"FR Germany",
ISNUMBER(SEARCH("Germany DR",S4666)),"DR Germany",
ISNUMBER(SEARCH("Korea DPR",S4666)),"North Korea",
ISNUMBER(SEARCH("China PR",S4666)),"China",
ISNUMBER(SEARCH("IR Iran",S4666)),"Iran",
ISNUMBER(SEARCH("Congo DR",S4666)),"Democratic Republic of the Congo",
ISNUMBER(SEARCH("DR Congo",S4666)),"Democratic Republic of the Congo",
ISNUMBER(SEARCH("German DR",S4666)),"DR Germany",
ISNUMBER(SEARCH("rn""&gt;United Arab Emirates",S4666)),"United Arab Emirates",
ISNUMBER(SEARCH("rn""&gt;Republic of Ireland",S4666)),"Ireland",
ISNUMBER(SEARCH("rn""&gt;Bosnia and Herzegovina",S4666)),"Bosnia and Herzegovina",
ISNUMBER(SEARCH("rn""&gt;Trinidad and Tobago",S4666)),"Trinidad and Tobago",
ISNUMBER(SEARCH("rn""&gt;Serbia and Montenegro",S4666)),"Serbia and Montenegro",
ISNUMBER(SEARCH(_xlfn.UNICHAR(65533),S4666)),"Côte d'Ivoire",
TRUE,"-"
)</f>
        <v>-</v>
      </c>
      <c r="W4666" s="42" t="str">
        <f t="shared" si="291"/>
        <v>-</v>
      </c>
    </row>
    <row r="4667" spans="19:23">
      <c r="S4667" s="42" t="str">
        <v/>
      </c>
      <c r="T4667" s="42" t="str">
        <f t="shared" si="289"/>
        <v>-</v>
      </c>
      <c r="U4667" s="40" t="str">
        <f t="shared" si="290"/>
        <v>-</v>
      </c>
      <c r="V4667" s="42" t="str" cm="1">
        <f t="array" ref="V4667">_xlfn.IFS(
LEFT(S4667,16)="win on penalties",IF(VALUE(MID(S4667,19,1))&gt;VALUE(MID(S4667,23,1)),DATA_CLEANED!AK181,DATA_CLEANED!AN181),
ISNUMBER(SEARCH("USA",S4667)),"United States",
ISNUMBER(SEARCH("Republic of Ireland",S4667)),"Ireland",
ISNUMBER(SEARCH("Republic of Korea",S4667)),"South Korea",
ISNUMBER(SEARCH("Cape Verde",S4667)),"Cabo Verde",
ISNUMBER(SEARCH("Czechia",S4667)),"Czech Republic",
ISNUMBER(SEARCH("Türkiye",S4667)),"Turkey",
ISNUMBER(SEARCH("Ivory Coast",S4667)),"Côte d'Ivoire",
ISNUMBER(SEARCH("Korea Republic",S4667)),"South Korea",
ISNUMBER(SEARCH("Germany FR",S4667)),"FR Germany",
ISNUMBER(SEARCH("West Germany",S4667)),"FR Germany",
ISNUMBER(SEARCH("Germany DR",S4667)),"DR Germany",
ISNUMBER(SEARCH("Korea DPR",S4667)),"North Korea",
ISNUMBER(SEARCH("China PR",S4667)),"China",
ISNUMBER(SEARCH("IR Iran",S4667)),"Iran",
ISNUMBER(SEARCH("Congo DR",S4667)),"Democratic Republic of the Congo",
ISNUMBER(SEARCH("DR Congo",S4667)),"Democratic Republic of the Congo",
ISNUMBER(SEARCH("German DR",S4667)),"DR Germany",
ISNUMBER(SEARCH("rn""&gt;United Arab Emirates",S4667)),"United Arab Emirates",
ISNUMBER(SEARCH("rn""&gt;Republic of Ireland",S4667)),"Ireland",
ISNUMBER(SEARCH("rn""&gt;Bosnia and Herzegovina",S4667)),"Bosnia and Herzegovina",
ISNUMBER(SEARCH("rn""&gt;Trinidad and Tobago",S4667)),"Trinidad and Tobago",
ISNUMBER(SEARCH("rn""&gt;Serbia and Montenegro",S4667)),"Serbia and Montenegro",
ISNUMBER(SEARCH(_xlfn.UNICHAR(65533),S4667)),"Côte d'Ivoire",
TRUE,"-"
)</f>
        <v>-</v>
      </c>
      <c r="W4667" s="42" t="str">
        <f t="shared" si="291"/>
        <v>-</v>
      </c>
    </row>
    <row r="4668" spans="19:23">
      <c r="S4668" s="42" t="str">
        <v/>
      </c>
      <c r="T4668" s="42" t="str">
        <f t="shared" si="289"/>
        <v>-</v>
      </c>
      <c r="U4668" s="40" t="str">
        <f t="shared" si="290"/>
        <v>-</v>
      </c>
      <c r="V4668" s="42" t="str" cm="1">
        <f t="array" ref="V4668">_xlfn.IFS(
LEFT(S4668,16)="win on penalties",IF(VALUE(MID(S4668,19,1))&gt;VALUE(MID(S4668,23,1)),DATA_CLEANED!AK182,DATA_CLEANED!AN182),
ISNUMBER(SEARCH("USA",S4668)),"United States",
ISNUMBER(SEARCH("Republic of Ireland",S4668)),"Ireland",
ISNUMBER(SEARCH("Republic of Korea",S4668)),"South Korea",
ISNUMBER(SEARCH("Cape Verde",S4668)),"Cabo Verde",
ISNUMBER(SEARCH("Czechia",S4668)),"Czech Republic",
ISNUMBER(SEARCH("Türkiye",S4668)),"Turkey",
ISNUMBER(SEARCH("Ivory Coast",S4668)),"Côte d'Ivoire",
ISNUMBER(SEARCH("Korea Republic",S4668)),"South Korea",
ISNUMBER(SEARCH("Germany FR",S4668)),"FR Germany",
ISNUMBER(SEARCH("West Germany",S4668)),"FR Germany",
ISNUMBER(SEARCH("Germany DR",S4668)),"DR Germany",
ISNUMBER(SEARCH("Korea DPR",S4668)),"North Korea",
ISNUMBER(SEARCH("China PR",S4668)),"China",
ISNUMBER(SEARCH("IR Iran",S4668)),"Iran",
ISNUMBER(SEARCH("Congo DR",S4668)),"Democratic Republic of the Congo",
ISNUMBER(SEARCH("DR Congo",S4668)),"Democratic Republic of the Congo",
ISNUMBER(SEARCH("German DR",S4668)),"DR Germany",
ISNUMBER(SEARCH("rn""&gt;United Arab Emirates",S4668)),"United Arab Emirates",
ISNUMBER(SEARCH("rn""&gt;Republic of Ireland",S4668)),"Ireland",
ISNUMBER(SEARCH("rn""&gt;Bosnia and Herzegovina",S4668)),"Bosnia and Herzegovina",
ISNUMBER(SEARCH("rn""&gt;Trinidad and Tobago",S4668)),"Trinidad and Tobago",
ISNUMBER(SEARCH("rn""&gt;Serbia and Montenegro",S4668)),"Serbia and Montenegro",
ISNUMBER(SEARCH(_xlfn.UNICHAR(65533),S4668)),"Côte d'Ivoire",
TRUE,"-"
)</f>
        <v>-</v>
      </c>
      <c r="W4668" s="42" t="str">
        <f t="shared" si="291"/>
        <v>-</v>
      </c>
    </row>
    <row r="4669" spans="19:23">
      <c r="S4669" s="42" t="str">
        <v/>
      </c>
      <c r="T4669" s="42" t="str">
        <f t="shared" si="289"/>
        <v>-</v>
      </c>
      <c r="U4669" s="40" t="str">
        <f t="shared" si="290"/>
        <v>-</v>
      </c>
      <c r="V4669" s="42" t="str" cm="1">
        <f t="array" ref="V4669">_xlfn.IFS(
LEFT(S4669,16)="win on penalties",IF(VALUE(MID(S4669,19,1))&gt;VALUE(MID(S4669,23,1)),DATA_CLEANED!AK183,DATA_CLEANED!AN183),
ISNUMBER(SEARCH("USA",S4669)),"United States",
ISNUMBER(SEARCH("Republic of Ireland",S4669)),"Ireland",
ISNUMBER(SEARCH("Republic of Korea",S4669)),"South Korea",
ISNUMBER(SEARCH("Cape Verde",S4669)),"Cabo Verde",
ISNUMBER(SEARCH("Czechia",S4669)),"Czech Republic",
ISNUMBER(SEARCH("Türkiye",S4669)),"Turkey",
ISNUMBER(SEARCH("Ivory Coast",S4669)),"Côte d'Ivoire",
ISNUMBER(SEARCH("Korea Republic",S4669)),"South Korea",
ISNUMBER(SEARCH("Germany FR",S4669)),"FR Germany",
ISNUMBER(SEARCH("West Germany",S4669)),"FR Germany",
ISNUMBER(SEARCH("Germany DR",S4669)),"DR Germany",
ISNUMBER(SEARCH("Korea DPR",S4669)),"North Korea",
ISNUMBER(SEARCH("China PR",S4669)),"China",
ISNUMBER(SEARCH("IR Iran",S4669)),"Iran",
ISNUMBER(SEARCH("Congo DR",S4669)),"Democratic Republic of the Congo",
ISNUMBER(SEARCH("DR Congo",S4669)),"Democratic Republic of the Congo",
ISNUMBER(SEARCH("German DR",S4669)),"DR Germany",
ISNUMBER(SEARCH("rn""&gt;United Arab Emirates",S4669)),"United Arab Emirates",
ISNUMBER(SEARCH("rn""&gt;Republic of Ireland",S4669)),"Ireland",
ISNUMBER(SEARCH("rn""&gt;Bosnia and Herzegovina",S4669)),"Bosnia and Herzegovina",
ISNUMBER(SEARCH("rn""&gt;Trinidad and Tobago",S4669)),"Trinidad and Tobago",
ISNUMBER(SEARCH("rn""&gt;Serbia and Montenegro",S4669)),"Serbia and Montenegro",
ISNUMBER(SEARCH(_xlfn.UNICHAR(65533),S4669)),"Côte d'Ivoire",
TRUE,"-"
)</f>
        <v>-</v>
      </c>
      <c r="W4669" s="42" t="str">
        <f t="shared" si="291"/>
        <v>-</v>
      </c>
    </row>
    <row r="4670" spans="19:23">
      <c r="S4670" s="42" t="str">
        <v/>
      </c>
      <c r="T4670" s="42" t="str">
        <f t="shared" si="289"/>
        <v>-</v>
      </c>
      <c r="U4670" s="40" t="str">
        <f t="shared" si="290"/>
        <v>-</v>
      </c>
      <c r="V4670" s="42" t="str" cm="1">
        <f t="array" ref="V4670">_xlfn.IFS(
LEFT(S4670,16)="win on penalties",IF(VALUE(MID(S4670,19,1))&gt;VALUE(MID(S4670,23,1)),DATA_CLEANED!AK184,DATA_CLEANED!AN184),
ISNUMBER(SEARCH("USA",S4670)),"United States",
ISNUMBER(SEARCH("Republic of Ireland",S4670)),"Ireland",
ISNUMBER(SEARCH("Republic of Korea",S4670)),"South Korea",
ISNUMBER(SEARCH("Cape Verde",S4670)),"Cabo Verde",
ISNUMBER(SEARCH("Czechia",S4670)),"Czech Republic",
ISNUMBER(SEARCH("Türkiye",S4670)),"Turkey",
ISNUMBER(SEARCH("Ivory Coast",S4670)),"Côte d'Ivoire",
ISNUMBER(SEARCH("Korea Republic",S4670)),"South Korea",
ISNUMBER(SEARCH("Germany FR",S4670)),"FR Germany",
ISNUMBER(SEARCH("West Germany",S4670)),"FR Germany",
ISNUMBER(SEARCH("Germany DR",S4670)),"DR Germany",
ISNUMBER(SEARCH("Korea DPR",S4670)),"North Korea",
ISNUMBER(SEARCH("China PR",S4670)),"China",
ISNUMBER(SEARCH("IR Iran",S4670)),"Iran",
ISNUMBER(SEARCH("Congo DR",S4670)),"Democratic Republic of the Congo",
ISNUMBER(SEARCH("DR Congo",S4670)),"Democratic Republic of the Congo",
ISNUMBER(SEARCH("German DR",S4670)),"DR Germany",
ISNUMBER(SEARCH("rn""&gt;United Arab Emirates",S4670)),"United Arab Emirates",
ISNUMBER(SEARCH("rn""&gt;Republic of Ireland",S4670)),"Ireland",
ISNUMBER(SEARCH("rn""&gt;Bosnia and Herzegovina",S4670)),"Bosnia and Herzegovina",
ISNUMBER(SEARCH("rn""&gt;Trinidad and Tobago",S4670)),"Trinidad and Tobago",
ISNUMBER(SEARCH("rn""&gt;Serbia and Montenegro",S4670)),"Serbia and Montenegro",
ISNUMBER(SEARCH(_xlfn.UNICHAR(65533),S4670)),"Côte d'Ivoire",
TRUE,"-"
)</f>
        <v>-</v>
      </c>
      <c r="W4670" s="42" t="str">
        <f t="shared" si="291"/>
        <v>-</v>
      </c>
    </row>
    <row r="4671" spans="19:23">
      <c r="S4671" s="42" t="str">
        <v/>
      </c>
      <c r="T4671" s="42" t="str">
        <f t="shared" si="289"/>
        <v>-</v>
      </c>
      <c r="U4671" s="40" t="str">
        <f t="shared" si="290"/>
        <v>-</v>
      </c>
      <c r="V4671" s="42" t="str" cm="1">
        <f t="array" ref="V4671">_xlfn.IFS(
LEFT(S4671,16)="win on penalties",IF(VALUE(MID(S4671,19,1))&gt;VALUE(MID(S4671,23,1)),DATA_CLEANED!AK185,DATA_CLEANED!AN185),
ISNUMBER(SEARCH("USA",S4671)),"United States",
ISNUMBER(SEARCH("Republic of Ireland",S4671)),"Ireland",
ISNUMBER(SEARCH("Republic of Korea",S4671)),"South Korea",
ISNUMBER(SEARCH("Cape Verde",S4671)),"Cabo Verde",
ISNUMBER(SEARCH("Czechia",S4671)),"Czech Republic",
ISNUMBER(SEARCH("Türkiye",S4671)),"Turkey",
ISNUMBER(SEARCH("Ivory Coast",S4671)),"Côte d'Ivoire",
ISNUMBER(SEARCH("Korea Republic",S4671)),"South Korea",
ISNUMBER(SEARCH("Germany FR",S4671)),"FR Germany",
ISNUMBER(SEARCH("West Germany",S4671)),"FR Germany",
ISNUMBER(SEARCH("Germany DR",S4671)),"DR Germany",
ISNUMBER(SEARCH("Korea DPR",S4671)),"North Korea",
ISNUMBER(SEARCH("China PR",S4671)),"China",
ISNUMBER(SEARCH("IR Iran",S4671)),"Iran",
ISNUMBER(SEARCH("Congo DR",S4671)),"Democratic Republic of the Congo",
ISNUMBER(SEARCH("DR Congo",S4671)),"Democratic Republic of the Congo",
ISNUMBER(SEARCH("German DR",S4671)),"DR Germany",
ISNUMBER(SEARCH("rn""&gt;United Arab Emirates",S4671)),"United Arab Emirates",
ISNUMBER(SEARCH("rn""&gt;Republic of Ireland",S4671)),"Ireland",
ISNUMBER(SEARCH("rn""&gt;Bosnia and Herzegovina",S4671)),"Bosnia and Herzegovina",
ISNUMBER(SEARCH("rn""&gt;Trinidad and Tobago",S4671)),"Trinidad and Tobago",
ISNUMBER(SEARCH("rn""&gt;Serbia and Montenegro",S4671)),"Serbia and Montenegro",
ISNUMBER(SEARCH(_xlfn.UNICHAR(65533),S4671)),"Côte d'Ivoire",
TRUE,"-"
)</f>
        <v>-</v>
      </c>
      <c r="W4671" s="42" t="str">
        <f t="shared" si="291"/>
        <v>-</v>
      </c>
    </row>
    <row r="4672" spans="19:23">
      <c r="S4672" s="42" t="str">
        <v/>
      </c>
      <c r="T4672" s="42" t="str">
        <f t="shared" si="289"/>
        <v>-</v>
      </c>
      <c r="U4672" s="40" t="str">
        <f t="shared" si="290"/>
        <v>-</v>
      </c>
      <c r="V4672" s="42" t="str" cm="1">
        <f t="array" ref="V4672">_xlfn.IFS(
LEFT(S4672,16)="win on penalties",IF(VALUE(MID(S4672,19,1))&gt;VALUE(MID(S4672,23,1)),DATA_CLEANED!AK186,DATA_CLEANED!AN186),
ISNUMBER(SEARCH("USA",S4672)),"United States",
ISNUMBER(SEARCH("Republic of Ireland",S4672)),"Ireland",
ISNUMBER(SEARCH("Republic of Korea",S4672)),"South Korea",
ISNUMBER(SEARCH("Cape Verde",S4672)),"Cabo Verde",
ISNUMBER(SEARCH("Czechia",S4672)),"Czech Republic",
ISNUMBER(SEARCH("Türkiye",S4672)),"Turkey",
ISNUMBER(SEARCH("Ivory Coast",S4672)),"Côte d'Ivoire",
ISNUMBER(SEARCH("Korea Republic",S4672)),"South Korea",
ISNUMBER(SEARCH("Germany FR",S4672)),"FR Germany",
ISNUMBER(SEARCH("West Germany",S4672)),"FR Germany",
ISNUMBER(SEARCH("Germany DR",S4672)),"DR Germany",
ISNUMBER(SEARCH("Korea DPR",S4672)),"North Korea",
ISNUMBER(SEARCH("China PR",S4672)),"China",
ISNUMBER(SEARCH("IR Iran",S4672)),"Iran",
ISNUMBER(SEARCH("Congo DR",S4672)),"Democratic Republic of the Congo",
ISNUMBER(SEARCH("DR Congo",S4672)),"Democratic Republic of the Congo",
ISNUMBER(SEARCH("German DR",S4672)),"DR Germany",
ISNUMBER(SEARCH("rn""&gt;United Arab Emirates",S4672)),"United Arab Emirates",
ISNUMBER(SEARCH("rn""&gt;Republic of Ireland",S4672)),"Ireland",
ISNUMBER(SEARCH("rn""&gt;Bosnia and Herzegovina",S4672)),"Bosnia and Herzegovina",
ISNUMBER(SEARCH("rn""&gt;Trinidad and Tobago",S4672)),"Trinidad and Tobago",
ISNUMBER(SEARCH("rn""&gt;Serbia and Montenegro",S4672)),"Serbia and Montenegro",
ISNUMBER(SEARCH(_xlfn.UNICHAR(65533),S4672)),"Côte d'Ivoire",
TRUE,"-"
)</f>
        <v>-</v>
      </c>
      <c r="W4672" s="42" t="str">
        <f t="shared" si="291"/>
        <v>-</v>
      </c>
    </row>
    <row r="4673" spans="19:23">
      <c r="S4673" s="42" t="str">
        <v/>
      </c>
      <c r="T4673" s="42" t="str">
        <f t="shared" si="289"/>
        <v>-</v>
      </c>
      <c r="U4673" s="40" t="str">
        <f t="shared" si="290"/>
        <v>-</v>
      </c>
      <c r="V4673" s="42" t="str" cm="1">
        <f t="array" ref="V4673">_xlfn.IFS(
LEFT(S4673,16)="win on penalties",IF(VALUE(MID(S4673,19,1))&gt;VALUE(MID(S4673,23,1)),DATA_CLEANED!AK187,DATA_CLEANED!AN187),
ISNUMBER(SEARCH("USA",S4673)),"United States",
ISNUMBER(SEARCH("Republic of Ireland",S4673)),"Ireland",
ISNUMBER(SEARCH("Republic of Korea",S4673)),"South Korea",
ISNUMBER(SEARCH("Cape Verde",S4673)),"Cabo Verde",
ISNUMBER(SEARCH("Czechia",S4673)),"Czech Republic",
ISNUMBER(SEARCH("Türkiye",S4673)),"Turkey",
ISNUMBER(SEARCH("Ivory Coast",S4673)),"Côte d'Ivoire",
ISNUMBER(SEARCH("Korea Republic",S4673)),"South Korea",
ISNUMBER(SEARCH("Germany FR",S4673)),"FR Germany",
ISNUMBER(SEARCH("West Germany",S4673)),"FR Germany",
ISNUMBER(SEARCH("Germany DR",S4673)),"DR Germany",
ISNUMBER(SEARCH("Korea DPR",S4673)),"North Korea",
ISNUMBER(SEARCH("China PR",S4673)),"China",
ISNUMBER(SEARCH("IR Iran",S4673)),"Iran",
ISNUMBER(SEARCH("Congo DR",S4673)),"Democratic Republic of the Congo",
ISNUMBER(SEARCH("DR Congo",S4673)),"Democratic Republic of the Congo",
ISNUMBER(SEARCH("German DR",S4673)),"DR Germany",
ISNUMBER(SEARCH("rn""&gt;United Arab Emirates",S4673)),"United Arab Emirates",
ISNUMBER(SEARCH("rn""&gt;Republic of Ireland",S4673)),"Ireland",
ISNUMBER(SEARCH("rn""&gt;Bosnia and Herzegovina",S4673)),"Bosnia and Herzegovina",
ISNUMBER(SEARCH("rn""&gt;Trinidad and Tobago",S4673)),"Trinidad and Tobago",
ISNUMBER(SEARCH("rn""&gt;Serbia and Montenegro",S4673)),"Serbia and Montenegro",
ISNUMBER(SEARCH(_xlfn.UNICHAR(65533),S4673)),"Côte d'Ivoire",
TRUE,"-"
)</f>
        <v>-</v>
      </c>
      <c r="W4673" s="42" t="str">
        <f t="shared" si="291"/>
        <v>-</v>
      </c>
    </row>
    <row r="4674" spans="19:23">
      <c r="S4674" s="42" t="str">
        <v/>
      </c>
      <c r="T4674" s="42" t="str">
        <f t="shared" si="289"/>
        <v>-</v>
      </c>
      <c r="U4674" s="40" t="str">
        <f t="shared" si="290"/>
        <v>-</v>
      </c>
      <c r="V4674" s="42" t="str" cm="1">
        <f t="array" ref="V4674">_xlfn.IFS(
LEFT(S4674,16)="win on penalties",IF(VALUE(MID(S4674,19,1))&gt;VALUE(MID(S4674,23,1)),DATA_CLEANED!AK188,DATA_CLEANED!AN188),
ISNUMBER(SEARCH("USA",S4674)),"United States",
ISNUMBER(SEARCH("Republic of Ireland",S4674)),"Ireland",
ISNUMBER(SEARCH("Republic of Korea",S4674)),"South Korea",
ISNUMBER(SEARCH("Cape Verde",S4674)),"Cabo Verde",
ISNUMBER(SEARCH("Czechia",S4674)),"Czech Republic",
ISNUMBER(SEARCH("Türkiye",S4674)),"Turkey",
ISNUMBER(SEARCH("Ivory Coast",S4674)),"Côte d'Ivoire",
ISNUMBER(SEARCH("Korea Republic",S4674)),"South Korea",
ISNUMBER(SEARCH("Germany FR",S4674)),"FR Germany",
ISNUMBER(SEARCH("West Germany",S4674)),"FR Germany",
ISNUMBER(SEARCH("Germany DR",S4674)),"DR Germany",
ISNUMBER(SEARCH("Korea DPR",S4674)),"North Korea",
ISNUMBER(SEARCH("China PR",S4674)),"China",
ISNUMBER(SEARCH("IR Iran",S4674)),"Iran",
ISNUMBER(SEARCH("Congo DR",S4674)),"Democratic Republic of the Congo",
ISNUMBER(SEARCH("DR Congo",S4674)),"Democratic Republic of the Congo",
ISNUMBER(SEARCH("German DR",S4674)),"DR Germany",
ISNUMBER(SEARCH("rn""&gt;United Arab Emirates",S4674)),"United Arab Emirates",
ISNUMBER(SEARCH("rn""&gt;Republic of Ireland",S4674)),"Ireland",
ISNUMBER(SEARCH("rn""&gt;Bosnia and Herzegovina",S4674)),"Bosnia and Herzegovina",
ISNUMBER(SEARCH("rn""&gt;Trinidad and Tobago",S4674)),"Trinidad and Tobago",
ISNUMBER(SEARCH("rn""&gt;Serbia and Montenegro",S4674)),"Serbia and Montenegro",
ISNUMBER(SEARCH(_xlfn.UNICHAR(65533),S4674)),"Côte d'Ivoire",
TRUE,"-"
)</f>
        <v>-</v>
      </c>
      <c r="W4674" s="42" t="str">
        <f t="shared" si="291"/>
        <v>-</v>
      </c>
    </row>
    <row r="4675" spans="19:23">
      <c r="S4675" s="42" t="str">
        <v/>
      </c>
      <c r="T4675" s="42" t="str">
        <f t="shared" si="289"/>
        <v>-</v>
      </c>
      <c r="U4675" s="40" t="str">
        <f t="shared" si="290"/>
        <v>-</v>
      </c>
      <c r="V4675" s="42" t="str" cm="1">
        <f t="array" ref="V4675">_xlfn.IFS(
LEFT(S4675,16)="win on penalties",IF(VALUE(MID(S4675,19,1))&gt;VALUE(MID(S4675,23,1)),DATA_CLEANED!AK189,DATA_CLEANED!AN189),
ISNUMBER(SEARCH("USA",S4675)),"United States",
ISNUMBER(SEARCH("Republic of Ireland",S4675)),"Ireland",
ISNUMBER(SEARCH("Republic of Korea",S4675)),"South Korea",
ISNUMBER(SEARCH("Cape Verde",S4675)),"Cabo Verde",
ISNUMBER(SEARCH("Czechia",S4675)),"Czech Republic",
ISNUMBER(SEARCH("Türkiye",S4675)),"Turkey",
ISNUMBER(SEARCH("Ivory Coast",S4675)),"Côte d'Ivoire",
ISNUMBER(SEARCH("Korea Republic",S4675)),"South Korea",
ISNUMBER(SEARCH("Germany FR",S4675)),"FR Germany",
ISNUMBER(SEARCH("West Germany",S4675)),"FR Germany",
ISNUMBER(SEARCH("Germany DR",S4675)),"DR Germany",
ISNUMBER(SEARCH("Korea DPR",S4675)),"North Korea",
ISNUMBER(SEARCH("China PR",S4675)),"China",
ISNUMBER(SEARCH("IR Iran",S4675)),"Iran",
ISNUMBER(SEARCH("Congo DR",S4675)),"Democratic Republic of the Congo",
ISNUMBER(SEARCH("DR Congo",S4675)),"Democratic Republic of the Congo",
ISNUMBER(SEARCH("German DR",S4675)),"DR Germany",
ISNUMBER(SEARCH("rn""&gt;United Arab Emirates",S4675)),"United Arab Emirates",
ISNUMBER(SEARCH("rn""&gt;Republic of Ireland",S4675)),"Ireland",
ISNUMBER(SEARCH("rn""&gt;Bosnia and Herzegovina",S4675)),"Bosnia and Herzegovina",
ISNUMBER(SEARCH("rn""&gt;Trinidad and Tobago",S4675)),"Trinidad and Tobago",
ISNUMBER(SEARCH("rn""&gt;Serbia and Montenegro",S4675)),"Serbia and Montenegro",
ISNUMBER(SEARCH(_xlfn.UNICHAR(65533),S4675)),"Côte d'Ivoire",
TRUE,"-"
)</f>
        <v>-</v>
      </c>
      <c r="W4675" s="42" t="str">
        <f t="shared" si="291"/>
        <v>-</v>
      </c>
    </row>
    <row r="4676" spans="19:23">
      <c r="S4676" s="42" t="str">
        <v/>
      </c>
      <c r="T4676" s="42" t="str">
        <f t="shared" si="289"/>
        <v>-</v>
      </c>
      <c r="U4676" s="40" t="str">
        <f t="shared" si="290"/>
        <v>-</v>
      </c>
      <c r="V4676" s="42" t="str" cm="1">
        <f t="array" ref="V4676">_xlfn.IFS(
LEFT(S4676,16)="win on penalties",IF(VALUE(MID(S4676,19,1))&gt;VALUE(MID(S4676,23,1)),DATA_CLEANED!AK190,DATA_CLEANED!AN190),
ISNUMBER(SEARCH("USA",S4676)),"United States",
ISNUMBER(SEARCH("Republic of Ireland",S4676)),"Ireland",
ISNUMBER(SEARCH("Republic of Korea",S4676)),"South Korea",
ISNUMBER(SEARCH("Cape Verde",S4676)),"Cabo Verde",
ISNUMBER(SEARCH("Czechia",S4676)),"Czech Republic",
ISNUMBER(SEARCH("Türkiye",S4676)),"Turkey",
ISNUMBER(SEARCH("Ivory Coast",S4676)),"Côte d'Ivoire",
ISNUMBER(SEARCH("Korea Republic",S4676)),"South Korea",
ISNUMBER(SEARCH("Germany FR",S4676)),"FR Germany",
ISNUMBER(SEARCH("West Germany",S4676)),"FR Germany",
ISNUMBER(SEARCH("Germany DR",S4676)),"DR Germany",
ISNUMBER(SEARCH("Korea DPR",S4676)),"North Korea",
ISNUMBER(SEARCH("China PR",S4676)),"China",
ISNUMBER(SEARCH("IR Iran",S4676)),"Iran",
ISNUMBER(SEARCH("Congo DR",S4676)),"Democratic Republic of the Congo",
ISNUMBER(SEARCH("DR Congo",S4676)),"Democratic Republic of the Congo",
ISNUMBER(SEARCH("German DR",S4676)),"DR Germany",
ISNUMBER(SEARCH("rn""&gt;United Arab Emirates",S4676)),"United Arab Emirates",
ISNUMBER(SEARCH("rn""&gt;Republic of Ireland",S4676)),"Ireland",
ISNUMBER(SEARCH("rn""&gt;Bosnia and Herzegovina",S4676)),"Bosnia and Herzegovina",
ISNUMBER(SEARCH("rn""&gt;Trinidad and Tobago",S4676)),"Trinidad and Tobago",
ISNUMBER(SEARCH("rn""&gt;Serbia and Montenegro",S4676)),"Serbia and Montenegro",
ISNUMBER(SEARCH(_xlfn.UNICHAR(65533),S4676)),"Côte d'Ivoire",
TRUE,"-"
)</f>
        <v>-</v>
      </c>
      <c r="W4676" s="42" t="str">
        <f t="shared" si="291"/>
        <v>-</v>
      </c>
    </row>
    <row r="4677" spans="19:23">
      <c r="S4677" s="42" t="str">
        <v/>
      </c>
      <c r="T4677" s="42" t="str">
        <f t="shared" si="289"/>
        <v>-</v>
      </c>
      <c r="U4677" s="40" t="str">
        <f t="shared" si="290"/>
        <v>-</v>
      </c>
      <c r="V4677" s="42" t="str" cm="1">
        <f t="array" ref="V4677">_xlfn.IFS(
LEFT(S4677,16)="win on penalties",IF(VALUE(MID(S4677,19,1))&gt;VALUE(MID(S4677,23,1)),DATA_CLEANED!AK191,DATA_CLEANED!AN191),
ISNUMBER(SEARCH("USA",S4677)),"United States",
ISNUMBER(SEARCH("Republic of Ireland",S4677)),"Ireland",
ISNUMBER(SEARCH("Republic of Korea",S4677)),"South Korea",
ISNUMBER(SEARCH("Cape Verde",S4677)),"Cabo Verde",
ISNUMBER(SEARCH("Czechia",S4677)),"Czech Republic",
ISNUMBER(SEARCH("Türkiye",S4677)),"Turkey",
ISNUMBER(SEARCH("Ivory Coast",S4677)),"Côte d'Ivoire",
ISNUMBER(SEARCH("Korea Republic",S4677)),"South Korea",
ISNUMBER(SEARCH("Germany FR",S4677)),"FR Germany",
ISNUMBER(SEARCH("West Germany",S4677)),"FR Germany",
ISNUMBER(SEARCH("Germany DR",S4677)),"DR Germany",
ISNUMBER(SEARCH("Korea DPR",S4677)),"North Korea",
ISNUMBER(SEARCH("China PR",S4677)),"China",
ISNUMBER(SEARCH("IR Iran",S4677)),"Iran",
ISNUMBER(SEARCH("Congo DR",S4677)),"Democratic Republic of the Congo",
ISNUMBER(SEARCH("DR Congo",S4677)),"Democratic Republic of the Congo",
ISNUMBER(SEARCH("German DR",S4677)),"DR Germany",
ISNUMBER(SEARCH("rn""&gt;United Arab Emirates",S4677)),"United Arab Emirates",
ISNUMBER(SEARCH("rn""&gt;Republic of Ireland",S4677)),"Ireland",
ISNUMBER(SEARCH("rn""&gt;Bosnia and Herzegovina",S4677)),"Bosnia and Herzegovina",
ISNUMBER(SEARCH("rn""&gt;Trinidad and Tobago",S4677)),"Trinidad and Tobago",
ISNUMBER(SEARCH("rn""&gt;Serbia and Montenegro",S4677)),"Serbia and Montenegro",
ISNUMBER(SEARCH(_xlfn.UNICHAR(65533),S4677)),"Côte d'Ivoire",
TRUE,"-"
)</f>
        <v>-</v>
      </c>
      <c r="W4677" s="42" t="str">
        <f t="shared" si="291"/>
        <v>-</v>
      </c>
    </row>
    <row r="4678" spans="19:23">
      <c r="S4678" s="42" t="str">
        <v/>
      </c>
      <c r="T4678" s="42" t="str">
        <f t="shared" si="289"/>
        <v>-</v>
      </c>
      <c r="U4678" s="40" t="str">
        <f t="shared" si="290"/>
        <v>-</v>
      </c>
      <c r="V4678" s="42" t="str" cm="1">
        <f t="array" ref="V4678">_xlfn.IFS(
LEFT(S4678,16)="win on penalties",IF(VALUE(MID(S4678,19,1))&gt;VALUE(MID(S4678,23,1)),DATA_CLEANED!AK192,DATA_CLEANED!AN192),
ISNUMBER(SEARCH("USA",S4678)),"United States",
ISNUMBER(SEARCH("Republic of Ireland",S4678)),"Ireland",
ISNUMBER(SEARCH("Republic of Korea",S4678)),"South Korea",
ISNUMBER(SEARCH("Cape Verde",S4678)),"Cabo Verde",
ISNUMBER(SEARCH("Czechia",S4678)),"Czech Republic",
ISNUMBER(SEARCH("Türkiye",S4678)),"Turkey",
ISNUMBER(SEARCH("Ivory Coast",S4678)),"Côte d'Ivoire",
ISNUMBER(SEARCH("Korea Republic",S4678)),"South Korea",
ISNUMBER(SEARCH("Germany FR",S4678)),"FR Germany",
ISNUMBER(SEARCH("West Germany",S4678)),"FR Germany",
ISNUMBER(SEARCH("Germany DR",S4678)),"DR Germany",
ISNUMBER(SEARCH("Korea DPR",S4678)),"North Korea",
ISNUMBER(SEARCH("China PR",S4678)),"China",
ISNUMBER(SEARCH("IR Iran",S4678)),"Iran",
ISNUMBER(SEARCH("Congo DR",S4678)),"Democratic Republic of the Congo",
ISNUMBER(SEARCH("DR Congo",S4678)),"Democratic Republic of the Congo",
ISNUMBER(SEARCH("German DR",S4678)),"DR Germany",
ISNUMBER(SEARCH("rn""&gt;United Arab Emirates",S4678)),"United Arab Emirates",
ISNUMBER(SEARCH("rn""&gt;Republic of Ireland",S4678)),"Ireland",
ISNUMBER(SEARCH("rn""&gt;Bosnia and Herzegovina",S4678)),"Bosnia and Herzegovina",
ISNUMBER(SEARCH("rn""&gt;Trinidad and Tobago",S4678)),"Trinidad and Tobago",
ISNUMBER(SEARCH("rn""&gt;Serbia and Montenegro",S4678)),"Serbia and Montenegro",
ISNUMBER(SEARCH(_xlfn.UNICHAR(65533),S4678)),"Côte d'Ivoire",
TRUE,"-"
)</f>
        <v>-</v>
      </c>
      <c r="W4678" s="42" t="str">
        <f t="shared" si="291"/>
        <v>-</v>
      </c>
    </row>
    <row r="4679" spans="19:23">
      <c r="S4679" s="42" t="str">
        <v/>
      </c>
      <c r="T4679" s="42" t="str">
        <f t="shared" si="289"/>
        <v>-</v>
      </c>
      <c r="U4679" s="40" t="str">
        <f t="shared" si="290"/>
        <v>-</v>
      </c>
      <c r="V4679" s="42" t="str" cm="1">
        <f t="array" ref="V4679">_xlfn.IFS(
LEFT(S4679,16)="win on penalties",IF(VALUE(MID(S4679,19,1))&gt;VALUE(MID(S4679,23,1)),DATA_CLEANED!AK193,DATA_CLEANED!AN193),
ISNUMBER(SEARCH("USA",S4679)),"United States",
ISNUMBER(SEARCH("Republic of Ireland",S4679)),"Ireland",
ISNUMBER(SEARCH("Republic of Korea",S4679)),"South Korea",
ISNUMBER(SEARCH("Cape Verde",S4679)),"Cabo Verde",
ISNUMBER(SEARCH("Czechia",S4679)),"Czech Republic",
ISNUMBER(SEARCH("Türkiye",S4679)),"Turkey",
ISNUMBER(SEARCH("Ivory Coast",S4679)),"Côte d'Ivoire",
ISNUMBER(SEARCH("Korea Republic",S4679)),"South Korea",
ISNUMBER(SEARCH("Germany FR",S4679)),"FR Germany",
ISNUMBER(SEARCH("West Germany",S4679)),"FR Germany",
ISNUMBER(SEARCH("Germany DR",S4679)),"DR Germany",
ISNUMBER(SEARCH("Korea DPR",S4679)),"North Korea",
ISNUMBER(SEARCH("China PR",S4679)),"China",
ISNUMBER(SEARCH("IR Iran",S4679)),"Iran",
ISNUMBER(SEARCH("Congo DR",S4679)),"Democratic Republic of the Congo",
ISNUMBER(SEARCH("DR Congo",S4679)),"Democratic Republic of the Congo",
ISNUMBER(SEARCH("German DR",S4679)),"DR Germany",
ISNUMBER(SEARCH("rn""&gt;United Arab Emirates",S4679)),"United Arab Emirates",
ISNUMBER(SEARCH("rn""&gt;Republic of Ireland",S4679)),"Ireland",
ISNUMBER(SEARCH("rn""&gt;Bosnia and Herzegovina",S4679)),"Bosnia and Herzegovina",
ISNUMBER(SEARCH("rn""&gt;Trinidad and Tobago",S4679)),"Trinidad and Tobago",
ISNUMBER(SEARCH("rn""&gt;Serbia and Montenegro",S4679)),"Serbia and Montenegro",
ISNUMBER(SEARCH(_xlfn.UNICHAR(65533),S4679)),"Côte d'Ivoire",
TRUE,"-"
)</f>
        <v>-</v>
      </c>
      <c r="W4679" s="42" t="str">
        <f t="shared" si="291"/>
        <v>-</v>
      </c>
    </row>
    <row r="4680" spans="19:23">
      <c r="S4680" s="42" t="str">
        <v/>
      </c>
      <c r="T4680" s="42" t="str">
        <f t="shared" si="289"/>
        <v>-</v>
      </c>
      <c r="U4680" s="40" t="str">
        <f t="shared" si="290"/>
        <v>-</v>
      </c>
      <c r="V4680" s="42" t="str" cm="1">
        <f t="array" ref="V4680">_xlfn.IFS(
LEFT(S4680,16)="win on penalties",IF(VALUE(MID(S4680,19,1))&gt;VALUE(MID(S4680,23,1)),DATA_CLEANED!AK194,DATA_CLEANED!AN194),
ISNUMBER(SEARCH("USA",S4680)),"United States",
ISNUMBER(SEARCH("Republic of Ireland",S4680)),"Ireland",
ISNUMBER(SEARCH("Republic of Korea",S4680)),"South Korea",
ISNUMBER(SEARCH("Cape Verde",S4680)),"Cabo Verde",
ISNUMBER(SEARCH("Czechia",S4680)),"Czech Republic",
ISNUMBER(SEARCH("Türkiye",S4680)),"Turkey",
ISNUMBER(SEARCH("Ivory Coast",S4680)),"Côte d'Ivoire",
ISNUMBER(SEARCH("Korea Republic",S4680)),"South Korea",
ISNUMBER(SEARCH("Germany FR",S4680)),"FR Germany",
ISNUMBER(SEARCH("West Germany",S4680)),"FR Germany",
ISNUMBER(SEARCH("Germany DR",S4680)),"DR Germany",
ISNUMBER(SEARCH("Korea DPR",S4680)),"North Korea",
ISNUMBER(SEARCH("China PR",S4680)),"China",
ISNUMBER(SEARCH("IR Iran",S4680)),"Iran",
ISNUMBER(SEARCH("Congo DR",S4680)),"Democratic Republic of the Congo",
ISNUMBER(SEARCH("DR Congo",S4680)),"Democratic Republic of the Congo",
ISNUMBER(SEARCH("German DR",S4680)),"DR Germany",
ISNUMBER(SEARCH("rn""&gt;United Arab Emirates",S4680)),"United Arab Emirates",
ISNUMBER(SEARCH("rn""&gt;Republic of Ireland",S4680)),"Ireland",
ISNUMBER(SEARCH("rn""&gt;Bosnia and Herzegovina",S4680)),"Bosnia and Herzegovina",
ISNUMBER(SEARCH("rn""&gt;Trinidad and Tobago",S4680)),"Trinidad and Tobago",
ISNUMBER(SEARCH("rn""&gt;Serbia and Montenegro",S4680)),"Serbia and Montenegro",
ISNUMBER(SEARCH(_xlfn.UNICHAR(65533),S4680)),"Côte d'Ivoire",
TRUE,"-"
)</f>
        <v>-</v>
      </c>
      <c r="W4680" s="42" t="str">
        <f t="shared" si="291"/>
        <v>-</v>
      </c>
    </row>
    <row r="4681" spans="19:23">
      <c r="S4681" s="42" t="str">
        <v/>
      </c>
      <c r="T4681" s="42" t="str">
        <f t="shared" si="289"/>
        <v>-</v>
      </c>
      <c r="U4681" s="40" t="str">
        <f t="shared" si="290"/>
        <v>-</v>
      </c>
      <c r="V4681" s="42" t="str" cm="1">
        <f t="array" ref="V4681">_xlfn.IFS(
LEFT(S4681,16)="win on penalties",IF(VALUE(MID(S4681,19,1))&gt;VALUE(MID(S4681,23,1)),DATA_CLEANED!AK195,DATA_CLEANED!AN195),
ISNUMBER(SEARCH("USA",S4681)),"United States",
ISNUMBER(SEARCH("Republic of Ireland",S4681)),"Ireland",
ISNUMBER(SEARCH("Republic of Korea",S4681)),"South Korea",
ISNUMBER(SEARCH("Cape Verde",S4681)),"Cabo Verde",
ISNUMBER(SEARCH("Czechia",S4681)),"Czech Republic",
ISNUMBER(SEARCH("Türkiye",S4681)),"Turkey",
ISNUMBER(SEARCH("Ivory Coast",S4681)),"Côte d'Ivoire",
ISNUMBER(SEARCH("Korea Republic",S4681)),"South Korea",
ISNUMBER(SEARCH("Germany FR",S4681)),"FR Germany",
ISNUMBER(SEARCH("West Germany",S4681)),"FR Germany",
ISNUMBER(SEARCH("Germany DR",S4681)),"DR Germany",
ISNUMBER(SEARCH("Korea DPR",S4681)),"North Korea",
ISNUMBER(SEARCH("China PR",S4681)),"China",
ISNUMBER(SEARCH("IR Iran",S4681)),"Iran",
ISNUMBER(SEARCH("Congo DR",S4681)),"Democratic Republic of the Congo",
ISNUMBER(SEARCH("DR Congo",S4681)),"Democratic Republic of the Congo",
ISNUMBER(SEARCH("German DR",S4681)),"DR Germany",
ISNUMBER(SEARCH("rn""&gt;United Arab Emirates",S4681)),"United Arab Emirates",
ISNUMBER(SEARCH("rn""&gt;Republic of Ireland",S4681)),"Ireland",
ISNUMBER(SEARCH("rn""&gt;Bosnia and Herzegovina",S4681)),"Bosnia and Herzegovina",
ISNUMBER(SEARCH("rn""&gt;Trinidad and Tobago",S4681)),"Trinidad and Tobago",
ISNUMBER(SEARCH("rn""&gt;Serbia and Montenegro",S4681)),"Serbia and Montenegro",
ISNUMBER(SEARCH(_xlfn.UNICHAR(65533),S4681)),"Côte d'Ivoire",
TRUE,"-"
)</f>
        <v>-</v>
      </c>
      <c r="W4681" s="42" t="str">
        <f t="shared" si="291"/>
        <v>-</v>
      </c>
    </row>
    <row r="4682" spans="19:23">
      <c r="S4682" s="42" t="str">
        <v/>
      </c>
      <c r="T4682" s="42" t="str">
        <f t="shared" ref="T4682:T4745" si="292">IF(S4682="","-",IFERROR(LEFT(S4682,SEARCH(" win",S4682)-1),"-"))</f>
        <v>-</v>
      </c>
      <c r="U4682" s="40" t="str">
        <f t="shared" ref="U4682:U4745" si="293">IF(T4682="-","-",IF(COUNTIF(_xlfn.ANCHORARRAY(X$13),T4682)=1,"AUCUNE","RENOMMER"))</f>
        <v>-</v>
      </c>
      <c r="V4682" s="42" t="str" cm="1">
        <f t="array" ref="V4682">_xlfn.IFS(
LEFT(S4682,16)="win on penalties",IF(VALUE(MID(S4682,19,1))&gt;VALUE(MID(S4682,23,1)),DATA_CLEANED!AK196,DATA_CLEANED!AN196),
ISNUMBER(SEARCH("USA",S4682)),"United States",
ISNUMBER(SEARCH("Republic of Ireland",S4682)),"Ireland",
ISNUMBER(SEARCH("Republic of Korea",S4682)),"South Korea",
ISNUMBER(SEARCH("Cape Verde",S4682)),"Cabo Verde",
ISNUMBER(SEARCH("Czechia",S4682)),"Czech Republic",
ISNUMBER(SEARCH("Türkiye",S4682)),"Turkey",
ISNUMBER(SEARCH("Ivory Coast",S4682)),"Côte d'Ivoire",
ISNUMBER(SEARCH("Korea Republic",S4682)),"South Korea",
ISNUMBER(SEARCH("Germany FR",S4682)),"FR Germany",
ISNUMBER(SEARCH("West Germany",S4682)),"FR Germany",
ISNUMBER(SEARCH("Germany DR",S4682)),"DR Germany",
ISNUMBER(SEARCH("Korea DPR",S4682)),"North Korea",
ISNUMBER(SEARCH("China PR",S4682)),"China",
ISNUMBER(SEARCH("IR Iran",S4682)),"Iran",
ISNUMBER(SEARCH("Congo DR",S4682)),"Democratic Republic of the Congo",
ISNUMBER(SEARCH("DR Congo",S4682)),"Democratic Republic of the Congo",
ISNUMBER(SEARCH("German DR",S4682)),"DR Germany",
ISNUMBER(SEARCH("rn""&gt;United Arab Emirates",S4682)),"United Arab Emirates",
ISNUMBER(SEARCH("rn""&gt;Republic of Ireland",S4682)),"Ireland",
ISNUMBER(SEARCH("rn""&gt;Bosnia and Herzegovina",S4682)),"Bosnia and Herzegovina",
ISNUMBER(SEARCH("rn""&gt;Trinidad and Tobago",S4682)),"Trinidad and Tobago",
ISNUMBER(SEARCH("rn""&gt;Serbia and Montenegro",S4682)),"Serbia and Montenegro",
ISNUMBER(SEARCH(_xlfn.UNICHAR(65533),S4682)),"Côte d'Ivoire",
TRUE,"-"
)</f>
        <v>-</v>
      </c>
      <c r="W4682" s="42" t="str">
        <f t="shared" ref="W4682:W4745" si="294">IF(S4682="","-",IF(AND(U4682="RENOMMER",T4682&lt;&gt;"-",V4682&lt;&gt;"-"),SUBSTITUTE(S4682,T4682,V4682),S4682))</f>
        <v>-</v>
      </c>
    </row>
    <row r="4683" spans="19:23">
      <c r="S4683" s="42" t="str">
        <v/>
      </c>
      <c r="T4683" s="42" t="str">
        <f t="shared" si="292"/>
        <v>-</v>
      </c>
      <c r="U4683" s="40" t="str">
        <f t="shared" si="293"/>
        <v>-</v>
      </c>
      <c r="V4683" s="42" t="str" cm="1">
        <f t="array" ref="V4683">_xlfn.IFS(
LEFT(S4683,16)="win on penalties",IF(VALUE(MID(S4683,19,1))&gt;VALUE(MID(S4683,23,1)),DATA_CLEANED!AK197,DATA_CLEANED!AN197),
ISNUMBER(SEARCH("USA",S4683)),"United States",
ISNUMBER(SEARCH("Republic of Ireland",S4683)),"Ireland",
ISNUMBER(SEARCH("Republic of Korea",S4683)),"South Korea",
ISNUMBER(SEARCH("Cape Verde",S4683)),"Cabo Verde",
ISNUMBER(SEARCH("Czechia",S4683)),"Czech Republic",
ISNUMBER(SEARCH("Türkiye",S4683)),"Turkey",
ISNUMBER(SEARCH("Ivory Coast",S4683)),"Côte d'Ivoire",
ISNUMBER(SEARCH("Korea Republic",S4683)),"South Korea",
ISNUMBER(SEARCH("Germany FR",S4683)),"FR Germany",
ISNUMBER(SEARCH("West Germany",S4683)),"FR Germany",
ISNUMBER(SEARCH("Germany DR",S4683)),"DR Germany",
ISNUMBER(SEARCH("Korea DPR",S4683)),"North Korea",
ISNUMBER(SEARCH("China PR",S4683)),"China",
ISNUMBER(SEARCH("IR Iran",S4683)),"Iran",
ISNUMBER(SEARCH("Congo DR",S4683)),"Democratic Republic of the Congo",
ISNUMBER(SEARCH("DR Congo",S4683)),"Democratic Republic of the Congo",
ISNUMBER(SEARCH("German DR",S4683)),"DR Germany",
ISNUMBER(SEARCH("rn""&gt;United Arab Emirates",S4683)),"United Arab Emirates",
ISNUMBER(SEARCH("rn""&gt;Republic of Ireland",S4683)),"Ireland",
ISNUMBER(SEARCH("rn""&gt;Bosnia and Herzegovina",S4683)),"Bosnia and Herzegovina",
ISNUMBER(SEARCH("rn""&gt;Trinidad and Tobago",S4683)),"Trinidad and Tobago",
ISNUMBER(SEARCH("rn""&gt;Serbia and Montenegro",S4683)),"Serbia and Montenegro",
ISNUMBER(SEARCH(_xlfn.UNICHAR(65533),S4683)),"Côte d'Ivoire",
TRUE,"-"
)</f>
        <v>-</v>
      </c>
      <c r="W4683" s="42" t="str">
        <f t="shared" si="294"/>
        <v>-</v>
      </c>
    </row>
    <row r="4684" spans="19:23">
      <c r="S4684" s="42" t="str">
        <v/>
      </c>
      <c r="T4684" s="42" t="str">
        <f t="shared" si="292"/>
        <v>-</v>
      </c>
      <c r="U4684" s="40" t="str">
        <f t="shared" si="293"/>
        <v>-</v>
      </c>
      <c r="V4684" s="42" t="str" cm="1">
        <f t="array" ref="V4684">_xlfn.IFS(
LEFT(S4684,16)="win on penalties",IF(VALUE(MID(S4684,19,1))&gt;VALUE(MID(S4684,23,1)),DATA_CLEANED!AK198,DATA_CLEANED!AN198),
ISNUMBER(SEARCH("USA",S4684)),"United States",
ISNUMBER(SEARCH("Republic of Ireland",S4684)),"Ireland",
ISNUMBER(SEARCH("Republic of Korea",S4684)),"South Korea",
ISNUMBER(SEARCH("Cape Verde",S4684)),"Cabo Verde",
ISNUMBER(SEARCH("Czechia",S4684)),"Czech Republic",
ISNUMBER(SEARCH("Türkiye",S4684)),"Turkey",
ISNUMBER(SEARCH("Ivory Coast",S4684)),"Côte d'Ivoire",
ISNUMBER(SEARCH("Korea Republic",S4684)),"South Korea",
ISNUMBER(SEARCH("Germany FR",S4684)),"FR Germany",
ISNUMBER(SEARCH("West Germany",S4684)),"FR Germany",
ISNUMBER(SEARCH("Germany DR",S4684)),"DR Germany",
ISNUMBER(SEARCH("Korea DPR",S4684)),"North Korea",
ISNUMBER(SEARCH("China PR",S4684)),"China",
ISNUMBER(SEARCH("IR Iran",S4684)),"Iran",
ISNUMBER(SEARCH("Congo DR",S4684)),"Democratic Republic of the Congo",
ISNUMBER(SEARCH("DR Congo",S4684)),"Democratic Republic of the Congo",
ISNUMBER(SEARCH("German DR",S4684)),"DR Germany",
ISNUMBER(SEARCH("rn""&gt;United Arab Emirates",S4684)),"United Arab Emirates",
ISNUMBER(SEARCH("rn""&gt;Republic of Ireland",S4684)),"Ireland",
ISNUMBER(SEARCH("rn""&gt;Bosnia and Herzegovina",S4684)),"Bosnia and Herzegovina",
ISNUMBER(SEARCH("rn""&gt;Trinidad and Tobago",S4684)),"Trinidad and Tobago",
ISNUMBER(SEARCH("rn""&gt;Serbia and Montenegro",S4684)),"Serbia and Montenegro",
ISNUMBER(SEARCH(_xlfn.UNICHAR(65533),S4684)),"Côte d'Ivoire",
TRUE,"-"
)</f>
        <v>-</v>
      </c>
      <c r="W4684" s="42" t="str">
        <f t="shared" si="294"/>
        <v>-</v>
      </c>
    </row>
    <row r="4685" spans="19:23">
      <c r="S4685" s="42" t="str">
        <v/>
      </c>
      <c r="T4685" s="42" t="str">
        <f t="shared" si="292"/>
        <v>-</v>
      </c>
      <c r="U4685" s="40" t="str">
        <f t="shared" si="293"/>
        <v>-</v>
      </c>
      <c r="V4685" s="42" t="str" cm="1">
        <f t="array" ref="V4685">_xlfn.IFS(
LEFT(S4685,16)="win on penalties",IF(VALUE(MID(S4685,19,1))&gt;VALUE(MID(S4685,23,1)),DATA_CLEANED!AK199,DATA_CLEANED!AN199),
ISNUMBER(SEARCH("USA",S4685)),"United States",
ISNUMBER(SEARCH("Republic of Ireland",S4685)),"Ireland",
ISNUMBER(SEARCH("Republic of Korea",S4685)),"South Korea",
ISNUMBER(SEARCH("Cape Verde",S4685)),"Cabo Verde",
ISNUMBER(SEARCH("Czechia",S4685)),"Czech Republic",
ISNUMBER(SEARCH("Türkiye",S4685)),"Turkey",
ISNUMBER(SEARCH("Ivory Coast",S4685)),"Côte d'Ivoire",
ISNUMBER(SEARCH("Korea Republic",S4685)),"South Korea",
ISNUMBER(SEARCH("Germany FR",S4685)),"FR Germany",
ISNUMBER(SEARCH("West Germany",S4685)),"FR Germany",
ISNUMBER(SEARCH("Germany DR",S4685)),"DR Germany",
ISNUMBER(SEARCH("Korea DPR",S4685)),"North Korea",
ISNUMBER(SEARCH("China PR",S4685)),"China",
ISNUMBER(SEARCH("IR Iran",S4685)),"Iran",
ISNUMBER(SEARCH("Congo DR",S4685)),"Democratic Republic of the Congo",
ISNUMBER(SEARCH("DR Congo",S4685)),"Democratic Republic of the Congo",
ISNUMBER(SEARCH("German DR",S4685)),"DR Germany",
ISNUMBER(SEARCH("rn""&gt;United Arab Emirates",S4685)),"United Arab Emirates",
ISNUMBER(SEARCH("rn""&gt;Republic of Ireland",S4685)),"Ireland",
ISNUMBER(SEARCH("rn""&gt;Bosnia and Herzegovina",S4685)),"Bosnia and Herzegovina",
ISNUMBER(SEARCH("rn""&gt;Trinidad and Tobago",S4685)),"Trinidad and Tobago",
ISNUMBER(SEARCH("rn""&gt;Serbia and Montenegro",S4685)),"Serbia and Montenegro",
ISNUMBER(SEARCH(_xlfn.UNICHAR(65533),S4685)),"Côte d'Ivoire",
TRUE,"-"
)</f>
        <v>-</v>
      </c>
      <c r="W4685" s="42" t="str">
        <f t="shared" si="294"/>
        <v>-</v>
      </c>
    </row>
    <row r="4686" spans="19:23">
      <c r="S4686" s="42" t="str">
        <v/>
      </c>
      <c r="T4686" s="42" t="str">
        <f t="shared" si="292"/>
        <v>-</v>
      </c>
      <c r="U4686" s="40" t="str">
        <f t="shared" si="293"/>
        <v>-</v>
      </c>
      <c r="V4686" s="42" t="str" cm="1">
        <f t="array" ref="V4686">_xlfn.IFS(
LEFT(S4686,16)="win on penalties",IF(VALUE(MID(S4686,19,1))&gt;VALUE(MID(S4686,23,1)),DATA_CLEANED!AK200,DATA_CLEANED!AN200),
ISNUMBER(SEARCH("USA",S4686)),"United States",
ISNUMBER(SEARCH("Republic of Ireland",S4686)),"Ireland",
ISNUMBER(SEARCH("Republic of Korea",S4686)),"South Korea",
ISNUMBER(SEARCH("Cape Verde",S4686)),"Cabo Verde",
ISNUMBER(SEARCH("Czechia",S4686)),"Czech Republic",
ISNUMBER(SEARCH("Türkiye",S4686)),"Turkey",
ISNUMBER(SEARCH("Ivory Coast",S4686)),"Côte d'Ivoire",
ISNUMBER(SEARCH("Korea Republic",S4686)),"South Korea",
ISNUMBER(SEARCH("Germany FR",S4686)),"FR Germany",
ISNUMBER(SEARCH("West Germany",S4686)),"FR Germany",
ISNUMBER(SEARCH("Germany DR",S4686)),"DR Germany",
ISNUMBER(SEARCH("Korea DPR",S4686)),"North Korea",
ISNUMBER(SEARCH("China PR",S4686)),"China",
ISNUMBER(SEARCH("IR Iran",S4686)),"Iran",
ISNUMBER(SEARCH("Congo DR",S4686)),"Democratic Republic of the Congo",
ISNUMBER(SEARCH("DR Congo",S4686)),"Democratic Republic of the Congo",
ISNUMBER(SEARCH("German DR",S4686)),"DR Germany",
ISNUMBER(SEARCH("rn""&gt;United Arab Emirates",S4686)),"United Arab Emirates",
ISNUMBER(SEARCH("rn""&gt;Republic of Ireland",S4686)),"Ireland",
ISNUMBER(SEARCH("rn""&gt;Bosnia and Herzegovina",S4686)),"Bosnia and Herzegovina",
ISNUMBER(SEARCH("rn""&gt;Trinidad and Tobago",S4686)),"Trinidad and Tobago",
ISNUMBER(SEARCH("rn""&gt;Serbia and Montenegro",S4686)),"Serbia and Montenegro",
ISNUMBER(SEARCH(_xlfn.UNICHAR(65533),S4686)),"Côte d'Ivoire",
TRUE,"-"
)</f>
        <v>-</v>
      </c>
      <c r="W4686" s="42" t="str">
        <f t="shared" si="294"/>
        <v>-</v>
      </c>
    </row>
    <row r="4687" spans="19:23">
      <c r="S4687" s="42" t="str">
        <v/>
      </c>
      <c r="T4687" s="42" t="str">
        <f t="shared" si="292"/>
        <v>-</v>
      </c>
      <c r="U4687" s="40" t="str">
        <f t="shared" si="293"/>
        <v>-</v>
      </c>
      <c r="V4687" s="42" t="str" cm="1">
        <f t="array" ref="V4687">_xlfn.IFS(
LEFT(S4687,16)="win on penalties",IF(VALUE(MID(S4687,19,1))&gt;VALUE(MID(S4687,23,1)),DATA_CLEANED!AK201,DATA_CLEANED!AN201),
ISNUMBER(SEARCH("USA",S4687)),"United States",
ISNUMBER(SEARCH("Republic of Ireland",S4687)),"Ireland",
ISNUMBER(SEARCH("Republic of Korea",S4687)),"South Korea",
ISNUMBER(SEARCH("Cape Verde",S4687)),"Cabo Verde",
ISNUMBER(SEARCH("Czechia",S4687)),"Czech Republic",
ISNUMBER(SEARCH("Türkiye",S4687)),"Turkey",
ISNUMBER(SEARCH("Ivory Coast",S4687)),"Côte d'Ivoire",
ISNUMBER(SEARCH("Korea Republic",S4687)),"South Korea",
ISNUMBER(SEARCH("Germany FR",S4687)),"FR Germany",
ISNUMBER(SEARCH("West Germany",S4687)),"FR Germany",
ISNUMBER(SEARCH("Germany DR",S4687)),"DR Germany",
ISNUMBER(SEARCH("Korea DPR",S4687)),"North Korea",
ISNUMBER(SEARCH("China PR",S4687)),"China",
ISNUMBER(SEARCH("IR Iran",S4687)),"Iran",
ISNUMBER(SEARCH("Congo DR",S4687)),"Democratic Republic of the Congo",
ISNUMBER(SEARCH("DR Congo",S4687)),"Democratic Republic of the Congo",
ISNUMBER(SEARCH("German DR",S4687)),"DR Germany",
ISNUMBER(SEARCH("rn""&gt;United Arab Emirates",S4687)),"United Arab Emirates",
ISNUMBER(SEARCH("rn""&gt;Republic of Ireland",S4687)),"Ireland",
ISNUMBER(SEARCH("rn""&gt;Bosnia and Herzegovina",S4687)),"Bosnia and Herzegovina",
ISNUMBER(SEARCH("rn""&gt;Trinidad and Tobago",S4687)),"Trinidad and Tobago",
ISNUMBER(SEARCH("rn""&gt;Serbia and Montenegro",S4687)),"Serbia and Montenegro",
ISNUMBER(SEARCH(_xlfn.UNICHAR(65533),S4687)),"Côte d'Ivoire",
TRUE,"-"
)</f>
        <v>-</v>
      </c>
      <c r="W4687" s="42" t="str">
        <f t="shared" si="294"/>
        <v>-</v>
      </c>
    </row>
    <row r="4688" spans="19:23">
      <c r="S4688" s="42" t="str">
        <v>England win after extra time</v>
      </c>
      <c r="T4688" s="42" t="str">
        <f t="shared" si="292"/>
        <v>England</v>
      </c>
      <c r="U4688" s="40" t="str">
        <f t="shared" si="293"/>
        <v>AUCUNE</v>
      </c>
      <c r="V4688" s="42" t="str" cm="1">
        <f t="array" ref="V4688">_xlfn.IFS(
LEFT(S4688,16)="win on penalties",IF(VALUE(MID(S4688,19,1))&gt;VALUE(MID(S4688,23,1)),DATA_CLEANED!AK202,DATA_CLEANED!AN202),
ISNUMBER(SEARCH("USA",S4688)),"United States",
ISNUMBER(SEARCH("Republic of Ireland",S4688)),"Ireland",
ISNUMBER(SEARCH("Republic of Korea",S4688)),"South Korea",
ISNUMBER(SEARCH("Cape Verde",S4688)),"Cabo Verde",
ISNUMBER(SEARCH("Czechia",S4688)),"Czech Republic",
ISNUMBER(SEARCH("Türkiye",S4688)),"Turkey",
ISNUMBER(SEARCH("Ivory Coast",S4688)),"Côte d'Ivoire",
ISNUMBER(SEARCH("Korea Republic",S4688)),"South Korea",
ISNUMBER(SEARCH("Germany FR",S4688)),"FR Germany",
ISNUMBER(SEARCH("West Germany",S4688)),"FR Germany",
ISNUMBER(SEARCH("Germany DR",S4688)),"DR Germany",
ISNUMBER(SEARCH("Korea DPR",S4688)),"North Korea",
ISNUMBER(SEARCH("China PR",S4688)),"China",
ISNUMBER(SEARCH("IR Iran",S4688)),"Iran",
ISNUMBER(SEARCH("Congo DR",S4688)),"Democratic Republic of the Congo",
ISNUMBER(SEARCH("DR Congo",S4688)),"Democratic Republic of the Congo",
ISNUMBER(SEARCH("German DR",S4688)),"DR Germany",
ISNUMBER(SEARCH("rn""&gt;United Arab Emirates",S4688)),"United Arab Emirates",
ISNUMBER(SEARCH("rn""&gt;Republic of Ireland",S4688)),"Ireland",
ISNUMBER(SEARCH("rn""&gt;Bosnia and Herzegovina",S4688)),"Bosnia and Herzegovina",
ISNUMBER(SEARCH("rn""&gt;Trinidad and Tobago",S4688)),"Trinidad and Tobago",
ISNUMBER(SEARCH("rn""&gt;Serbia and Montenegro",S4688)),"Serbia and Montenegro",
ISNUMBER(SEARCH(_xlfn.UNICHAR(65533),S4688)),"Côte d'Ivoire",
TRUE,"-"
)</f>
        <v>-</v>
      </c>
      <c r="W4688" s="42" t="str">
        <f t="shared" si="294"/>
        <v>England win after extra time</v>
      </c>
    </row>
    <row r="4689" spans="19:23">
      <c r="S4689" s="42" t="str">
        <v/>
      </c>
      <c r="T4689" s="42" t="str">
        <f t="shared" si="292"/>
        <v>-</v>
      </c>
      <c r="U4689" s="40" t="str">
        <f t="shared" si="293"/>
        <v>-</v>
      </c>
      <c r="V4689" s="42" t="str" cm="1">
        <f t="array" ref="V4689">_xlfn.IFS(
LEFT(S4689,16)="win on penalties",IF(VALUE(MID(S4689,19,1))&gt;VALUE(MID(S4689,23,1)),DATA_CLEANED!AK203,DATA_CLEANED!AN203),
ISNUMBER(SEARCH("USA",S4689)),"United States",
ISNUMBER(SEARCH("Republic of Ireland",S4689)),"Ireland",
ISNUMBER(SEARCH("Republic of Korea",S4689)),"South Korea",
ISNUMBER(SEARCH("Cape Verde",S4689)),"Cabo Verde",
ISNUMBER(SEARCH("Czechia",S4689)),"Czech Republic",
ISNUMBER(SEARCH("Türkiye",S4689)),"Turkey",
ISNUMBER(SEARCH("Ivory Coast",S4689)),"Côte d'Ivoire",
ISNUMBER(SEARCH("Korea Republic",S4689)),"South Korea",
ISNUMBER(SEARCH("Germany FR",S4689)),"FR Germany",
ISNUMBER(SEARCH("West Germany",S4689)),"FR Germany",
ISNUMBER(SEARCH("Germany DR",S4689)),"DR Germany",
ISNUMBER(SEARCH("Korea DPR",S4689)),"North Korea",
ISNUMBER(SEARCH("China PR",S4689)),"China",
ISNUMBER(SEARCH("IR Iran",S4689)),"Iran",
ISNUMBER(SEARCH("Congo DR",S4689)),"Democratic Republic of the Congo",
ISNUMBER(SEARCH("DR Congo",S4689)),"Democratic Republic of the Congo",
ISNUMBER(SEARCH("German DR",S4689)),"DR Germany",
ISNUMBER(SEARCH("rn""&gt;United Arab Emirates",S4689)),"United Arab Emirates",
ISNUMBER(SEARCH("rn""&gt;Republic of Ireland",S4689)),"Ireland",
ISNUMBER(SEARCH("rn""&gt;Bosnia and Herzegovina",S4689)),"Bosnia and Herzegovina",
ISNUMBER(SEARCH("rn""&gt;Trinidad and Tobago",S4689)),"Trinidad and Tobago",
ISNUMBER(SEARCH("rn""&gt;Serbia and Montenegro",S4689)),"Serbia and Montenegro",
ISNUMBER(SEARCH(_xlfn.UNICHAR(65533),S4689)),"Côte d'Ivoire",
TRUE,"-"
)</f>
        <v>-</v>
      </c>
      <c r="W4689" s="42" t="str">
        <f t="shared" si="294"/>
        <v>-</v>
      </c>
    </row>
    <row r="4690" spans="19:23">
      <c r="S4690" s="42" t="str">
        <v/>
      </c>
      <c r="T4690" s="42" t="str">
        <f t="shared" si="292"/>
        <v>-</v>
      </c>
      <c r="U4690" s="40" t="str">
        <f t="shared" si="293"/>
        <v>-</v>
      </c>
      <c r="V4690" s="42" t="str" cm="1">
        <f t="array" ref="V4690">_xlfn.IFS(
LEFT(S4690,16)="win on penalties",IF(VALUE(MID(S4690,19,1))&gt;VALUE(MID(S4690,23,1)),DATA_CLEANED!AK204,DATA_CLEANED!AN204),
ISNUMBER(SEARCH("USA",S4690)),"United States",
ISNUMBER(SEARCH("Republic of Ireland",S4690)),"Ireland",
ISNUMBER(SEARCH("Republic of Korea",S4690)),"South Korea",
ISNUMBER(SEARCH("Cape Verde",S4690)),"Cabo Verde",
ISNUMBER(SEARCH("Czechia",S4690)),"Czech Republic",
ISNUMBER(SEARCH("Türkiye",S4690)),"Turkey",
ISNUMBER(SEARCH("Ivory Coast",S4690)),"Côte d'Ivoire",
ISNUMBER(SEARCH("Korea Republic",S4690)),"South Korea",
ISNUMBER(SEARCH("Germany FR",S4690)),"FR Germany",
ISNUMBER(SEARCH("West Germany",S4690)),"FR Germany",
ISNUMBER(SEARCH("Germany DR",S4690)),"DR Germany",
ISNUMBER(SEARCH("Korea DPR",S4690)),"North Korea",
ISNUMBER(SEARCH("China PR",S4690)),"China",
ISNUMBER(SEARCH("IR Iran",S4690)),"Iran",
ISNUMBER(SEARCH("Congo DR",S4690)),"Democratic Republic of the Congo",
ISNUMBER(SEARCH("DR Congo",S4690)),"Democratic Republic of the Congo",
ISNUMBER(SEARCH("German DR",S4690)),"DR Germany",
ISNUMBER(SEARCH("rn""&gt;United Arab Emirates",S4690)),"United Arab Emirates",
ISNUMBER(SEARCH("rn""&gt;Republic of Ireland",S4690)),"Ireland",
ISNUMBER(SEARCH("rn""&gt;Bosnia and Herzegovina",S4690)),"Bosnia and Herzegovina",
ISNUMBER(SEARCH("rn""&gt;Trinidad and Tobago",S4690)),"Trinidad and Tobago",
ISNUMBER(SEARCH("rn""&gt;Serbia and Montenegro",S4690)),"Serbia and Montenegro",
ISNUMBER(SEARCH(_xlfn.UNICHAR(65533),S4690)),"Côte d'Ivoire",
TRUE,"-"
)</f>
        <v>-</v>
      </c>
      <c r="W4690" s="42" t="str">
        <f t="shared" si="294"/>
        <v>-</v>
      </c>
    </row>
    <row r="4691" spans="19:23">
      <c r="S4691" s="42" t="str">
        <v/>
      </c>
      <c r="T4691" s="42" t="str">
        <f t="shared" si="292"/>
        <v>-</v>
      </c>
      <c r="U4691" s="40" t="str">
        <f t="shared" si="293"/>
        <v>-</v>
      </c>
      <c r="V4691" s="42" t="str" cm="1">
        <f t="array" ref="V4691">_xlfn.IFS(
LEFT(S4691,16)="win on penalties",IF(VALUE(MID(S4691,19,1))&gt;VALUE(MID(S4691,23,1)),DATA_CLEANED!AK205,DATA_CLEANED!AN205),
ISNUMBER(SEARCH("USA",S4691)),"United States",
ISNUMBER(SEARCH("Republic of Ireland",S4691)),"Ireland",
ISNUMBER(SEARCH("Republic of Korea",S4691)),"South Korea",
ISNUMBER(SEARCH("Cape Verde",S4691)),"Cabo Verde",
ISNUMBER(SEARCH("Czechia",S4691)),"Czech Republic",
ISNUMBER(SEARCH("Türkiye",S4691)),"Turkey",
ISNUMBER(SEARCH("Ivory Coast",S4691)),"Côte d'Ivoire",
ISNUMBER(SEARCH("Korea Republic",S4691)),"South Korea",
ISNUMBER(SEARCH("Germany FR",S4691)),"FR Germany",
ISNUMBER(SEARCH("West Germany",S4691)),"FR Germany",
ISNUMBER(SEARCH("Germany DR",S4691)),"DR Germany",
ISNUMBER(SEARCH("Korea DPR",S4691)),"North Korea",
ISNUMBER(SEARCH("China PR",S4691)),"China",
ISNUMBER(SEARCH("IR Iran",S4691)),"Iran",
ISNUMBER(SEARCH("Congo DR",S4691)),"Democratic Republic of the Congo",
ISNUMBER(SEARCH("DR Congo",S4691)),"Democratic Republic of the Congo",
ISNUMBER(SEARCH("German DR",S4691)),"DR Germany",
ISNUMBER(SEARCH("rn""&gt;United Arab Emirates",S4691)),"United Arab Emirates",
ISNUMBER(SEARCH("rn""&gt;Republic of Ireland",S4691)),"Ireland",
ISNUMBER(SEARCH("rn""&gt;Bosnia and Herzegovina",S4691)),"Bosnia and Herzegovina",
ISNUMBER(SEARCH("rn""&gt;Trinidad and Tobago",S4691)),"Trinidad and Tobago",
ISNUMBER(SEARCH("rn""&gt;Serbia and Montenegro",S4691)),"Serbia and Montenegro",
ISNUMBER(SEARCH(_xlfn.UNICHAR(65533),S4691)),"Côte d'Ivoire",
TRUE,"-"
)</f>
        <v>-</v>
      </c>
      <c r="W4691" s="42" t="str">
        <f t="shared" si="294"/>
        <v>-</v>
      </c>
    </row>
    <row r="4692" spans="19:23">
      <c r="S4692" s="42" t="str">
        <v/>
      </c>
      <c r="T4692" s="42" t="str">
        <f t="shared" si="292"/>
        <v>-</v>
      </c>
      <c r="U4692" s="40" t="str">
        <f t="shared" si="293"/>
        <v>-</v>
      </c>
      <c r="V4692" s="42" t="str" cm="1">
        <f t="array" ref="V4692">_xlfn.IFS(
LEFT(S4692,16)="win on penalties",IF(VALUE(MID(S4692,19,1))&gt;VALUE(MID(S4692,23,1)),DATA_CLEANED!AK206,DATA_CLEANED!AN206),
ISNUMBER(SEARCH("USA",S4692)),"United States",
ISNUMBER(SEARCH("Republic of Ireland",S4692)),"Ireland",
ISNUMBER(SEARCH("Republic of Korea",S4692)),"South Korea",
ISNUMBER(SEARCH("Cape Verde",S4692)),"Cabo Verde",
ISNUMBER(SEARCH("Czechia",S4692)),"Czech Republic",
ISNUMBER(SEARCH("Türkiye",S4692)),"Turkey",
ISNUMBER(SEARCH("Ivory Coast",S4692)),"Côte d'Ivoire",
ISNUMBER(SEARCH("Korea Republic",S4692)),"South Korea",
ISNUMBER(SEARCH("Germany FR",S4692)),"FR Germany",
ISNUMBER(SEARCH("West Germany",S4692)),"FR Germany",
ISNUMBER(SEARCH("Germany DR",S4692)),"DR Germany",
ISNUMBER(SEARCH("Korea DPR",S4692)),"North Korea",
ISNUMBER(SEARCH("China PR",S4692)),"China",
ISNUMBER(SEARCH("IR Iran",S4692)),"Iran",
ISNUMBER(SEARCH("Congo DR",S4692)),"Democratic Republic of the Congo",
ISNUMBER(SEARCH("DR Congo",S4692)),"Democratic Republic of the Congo",
ISNUMBER(SEARCH("German DR",S4692)),"DR Germany",
ISNUMBER(SEARCH("rn""&gt;United Arab Emirates",S4692)),"United Arab Emirates",
ISNUMBER(SEARCH("rn""&gt;Republic of Ireland",S4692)),"Ireland",
ISNUMBER(SEARCH("rn""&gt;Bosnia and Herzegovina",S4692)),"Bosnia and Herzegovina",
ISNUMBER(SEARCH("rn""&gt;Trinidad and Tobago",S4692)),"Trinidad and Tobago",
ISNUMBER(SEARCH("rn""&gt;Serbia and Montenegro",S4692)),"Serbia and Montenegro",
ISNUMBER(SEARCH(_xlfn.UNICHAR(65533),S4692)),"Côte d'Ivoire",
TRUE,"-"
)</f>
        <v>-</v>
      </c>
      <c r="W4692" s="42" t="str">
        <f t="shared" si="294"/>
        <v>-</v>
      </c>
    </row>
    <row r="4693" spans="19:23">
      <c r="S4693" s="42" t="str">
        <v/>
      </c>
      <c r="T4693" s="42" t="str">
        <f t="shared" si="292"/>
        <v>-</v>
      </c>
      <c r="U4693" s="40" t="str">
        <f t="shared" si="293"/>
        <v>-</v>
      </c>
      <c r="V4693" s="42" t="str" cm="1">
        <f t="array" ref="V4693">_xlfn.IFS(
LEFT(S4693,16)="win on penalties",IF(VALUE(MID(S4693,19,1))&gt;VALUE(MID(S4693,23,1)),DATA_CLEANED!AK207,DATA_CLEANED!AN207),
ISNUMBER(SEARCH("USA",S4693)),"United States",
ISNUMBER(SEARCH("Republic of Ireland",S4693)),"Ireland",
ISNUMBER(SEARCH("Republic of Korea",S4693)),"South Korea",
ISNUMBER(SEARCH("Cape Verde",S4693)),"Cabo Verde",
ISNUMBER(SEARCH("Czechia",S4693)),"Czech Republic",
ISNUMBER(SEARCH("Türkiye",S4693)),"Turkey",
ISNUMBER(SEARCH("Ivory Coast",S4693)),"Côte d'Ivoire",
ISNUMBER(SEARCH("Korea Republic",S4693)),"South Korea",
ISNUMBER(SEARCH("Germany FR",S4693)),"FR Germany",
ISNUMBER(SEARCH("West Germany",S4693)),"FR Germany",
ISNUMBER(SEARCH("Germany DR",S4693)),"DR Germany",
ISNUMBER(SEARCH("Korea DPR",S4693)),"North Korea",
ISNUMBER(SEARCH("China PR",S4693)),"China",
ISNUMBER(SEARCH("IR Iran",S4693)),"Iran",
ISNUMBER(SEARCH("Congo DR",S4693)),"Democratic Republic of the Congo",
ISNUMBER(SEARCH("DR Congo",S4693)),"Democratic Republic of the Congo",
ISNUMBER(SEARCH("German DR",S4693)),"DR Germany",
ISNUMBER(SEARCH("rn""&gt;United Arab Emirates",S4693)),"United Arab Emirates",
ISNUMBER(SEARCH("rn""&gt;Republic of Ireland",S4693)),"Ireland",
ISNUMBER(SEARCH("rn""&gt;Bosnia and Herzegovina",S4693)),"Bosnia and Herzegovina",
ISNUMBER(SEARCH("rn""&gt;Trinidad and Tobago",S4693)),"Trinidad and Tobago",
ISNUMBER(SEARCH("rn""&gt;Serbia and Montenegro",S4693)),"Serbia and Montenegro",
ISNUMBER(SEARCH(_xlfn.UNICHAR(65533),S4693)),"Côte d'Ivoire",
TRUE,"-"
)</f>
        <v>-</v>
      </c>
      <c r="W4693" s="42" t="str">
        <f t="shared" si="294"/>
        <v>-</v>
      </c>
    </row>
    <row r="4694" spans="19:23">
      <c r="S4694" s="42" t="str">
        <v/>
      </c>
      <c r="T4694" s="42" t="str">
        <f t="shared" si="292"/>
        <v>-</v>
      </c>
      <c r="U4694" s="40" t="str">
        <f t="shared" si="293"/>
        <v>-</v>
      </c>
      <c r="V4694" s="42" t="str" cm="1">
        <f t="array" ref="V4694">_xlfn.IFS(
LEFT(S4694,16)="win on penalties",IF(VALUE(MID(S4694,19,1))&gt;VALUE(MID(S4694,23,1)),DATA_CLEANED!AK208,DATA_CLEANED!AN208),
ISNUMBER(SEARCH("USA",S4694)),"United States",
ISNUMBER(SEARCH("Republic of Ireland",S4694)),"Ireland",
ISNUMBER(SEARCH("Republic of Korea",S4694)),"South Korea",
ISNUMBER(SEARCH("Cape Verde",S4694)),"Cabo Verde",
ISNUMBER(SEARCH("Czechia",S4694)),"Czech Republic",
ISNUMBER(SEARCH("Türkiye",S4694)),"Turkey",
ISNUMBER(SEARCH("Ivory Coast",S4694)),"Côte d'Ivoire",
ISNUMBER(SEARCH("Korea Republic",S4694)),"South Korea",
ISNUMBER(SEARCH("Germany FR",S4694)),"FR Germany",
ISNUMBER(SEARCH("West Germany",S4694)),"FR Germany",
ISNUMBER(SEARCH("Germany DR",S4694)),"DR Germany",
ISNUMBER(SEARCH("Korea DPR",S4694)),"North Korea",
ISNUMBER(SEARCH("China PR",S4694)),"China",
ISNUMBER(SEARCH("IR Iran",S4694)),"Iran",
ISNUMBER(SEARCH("Congo DR",S4694)),"Democratic Republic of the Congo",
ISNUMBER(SEARCH("DR Congo",S4694)),"Democratic Republic of the Congo",
ISNUMBER(SEARCH("German DR",S4694)),"DR Germany",
ISNUMBER(SEARCH("rn""&gt;United Arab Emirates",S4694)),"United Arab Emirates",
ISNUMBER(SEARCH("rn""&gt;Republic of Ireland",S4694)),"Ireland",
ISNUMBER(SEARCH("rn""&gt;Bosnia and Herzegovina",S4694)),"Bosnia and Herzegovina",
ISNUMBER(SEARCH("rn""&gt;Trinidad and Tobago",S4694)),"Trinidad and Tobago",
ISNUMBER(SEARCH("rn""&gt;Serbia and Montenegro",S4694)),"Serbia and Montenegro",
ISNUMBER(SEARCH(_xlfn.UNICHAR(65533),S4694)),"Côte d'Ivoire",
TRUE,"-"
)</f>
        <v>-</v>
      </c>
      <c r="W4694" s="42" t="str">
        <f t="shared" si="294"/>
        <v>-</v>
      </c>
    </row>
    <row r="4695" spans="19:23">
      <c r="S4695" s="42" t="str">
        <v/>
      </c>
      <c r="T4695" s="42" t="str">
        <f t="shared" si="292"/>
        <v>-</v>
      </c>
      <c r="U4695" s="40" t="str">
        <f t="shared" si="293"/>
        <v>-</v>
      </c>
      <c r="V4695" s="42" t="str" cm="1">
        <f t="array" ref="V4695">_xlfn.IFS(
LEFT(S4695,16)="win on penalties",IF(VALUE(MID(S4695,19,1))&gt;VALUE(MID(S4695,23,1)),DATA_CLEANED!AK209,DATA_CLEANED!AN209),
ISNUMBER(SEARCH("USA",S4695)),"United States",
ISNUMBER(SEARCH("Republic of Ireland",S4695)),"Ireland",
ISNUMBER(SEARCH("Republic of Korea",S4695)),"South Korea",
ISNUMBER(SEARCH("Cape Verde",S4695)),"Cabo Verde",
ISNUMBER(SEARCH("Czechia",S4695)),"Czech Republic",
ISNUMBER(SEARCH("Türkiye",S4695)),"Turkey",
ISNUMBER(SEARCH("Ivory Coast",S4695)),"Côte d'Ivoire",
ISNUMBER(SEARCH("Korea Republic",S4695)),"South Korea",
ISNUMBER(SEARCH("Germany FR",S4695)),"FR Germany",
ISNUMBER(SEARCH("West Germany",S4695)),"FR Germany",
ISNUMBER(SEARCH("Germany DR",S4695)),"DR Germany",
ISNUMBER(SEARCH("Korea DPR",S4695)),"North Korea",
ISNUMBER(SEARCH("China PR",S4695)),"China",
ISNUMBER(SEARCH("IR Iran",S4695)),"Iran",
ISNUMBER(SEARCH("Congo DR",S4695)),"Democratic Republic of the Congo",
ISNUMBER(SEARCH("DR Congo",S4695)),"Democratic Republic of the Congo",
ISNUMBER(SEARCH("German DR",S4695)),"DR Germany",
ISNUMBER(SEARCH("rn""&gt;United Arab Emirates",S4695)),"United Arab Emirates",
ISNUMBER(SEARCH("rn""&gt;Republic of Ireland",S4695)),"Ireland",
ISNUMBER(SEARCH("rn""&gt;Bosnia and Herzegovina",S4695)),"Bosnia and Herzegovina",
ISNUMBER(SEARCH("rn""&gt;Trinidad and Tobago",S4695)),"Trinidad and Tobago",
ISNUMBER(SEARCH("rn""&gt;Serbia and Montenegro",S4695)),"Serbia and Montenegro",
ISNUMBER(SEARCH(_xlfn.UNICHAR(65533),S4695)),"Côte d'Ivoire",
TRUE,"-"
)</f>
        <v>-</v>
      </c>
      <c r="W4695" s="42" t="str">
        <f t="shared" si="294"/>
        <v>-</v>
      </c>
    </row>
    <row r="4696" spans="19:23">
      <c r="S4696" s="42" t="str">
        <v/>
      </c>
      <c r="T4696" s="42" t="str">
        <f t="shared" si="292"/>
        <v>-</v>
      </c>
      <c r="U4696" s="40" t="str">
        <f t="shared" si="293"/>
        <v>-</v>
      </c>
      <c r="V4696" s="42" t="str" cm="1">
        <f t="array" ref="V4696">_xlfn.IFS(
LEFT(S4696,16)="win on penalties",IF(VALUE(MID(S4696,19,1))&gt;VALUE(MID(S4696,23,1)),DATA_CLEANED!AK210,DATA_CLEANED!AN210),
ISNUMBER(SEARCH("USA",S4696)),"United States",
ISNUMBER(SEARCH("Republic of Ireland",S4696)),"Ireland",
ISNUMBER(SEARCH("Republic of Korea",S4696)),"South Korea",
ISNUMBER(SEARCH("Cape Verde",S4696)),"Cabo Verde",
ISNUMBER(SEARCH("Czechia",S4696)),"Czech Republic",
ISNUMBER(SEARCH("Türkiye",S4696)),"Turkey",
ISNUMBER(SEARCH("Ivory Coast",S4696)),"Côte d'Ivoire",
ISNUMBER(SEARCH("Korea Republic",S4696)),"South Korea",
ISNUMBER(SEARCH("Germany FR",S4696)),"FR Germany",
ISNUMBER(SEARCH("West Germany",S4696)),"FR Germany",
ISNUMBER(SEARCH("Germany DR",S4696)),"DR Germany",
ISNUMBER(SEARCH("Korea DPR",S4696)),"North Korea",
ISNUMBER(SEARCH("China PR",S4696)),"China",
ISNUMBER(SEARCH("IR Iran",S4696)),"Iran",
ISNUMBER(SEARCH("Congo DR",S4696)),"Democratic Republic of the Congo",
ISNUMBER(SEARCH("DR Congo",S4696)),"Democratic Republic of the Congo",
ISNUMBER(SEARCH("German DR",S4696)),"DR Germany",
ISNUMBER(SEARCH("rn""&gt;United Arab Emirates",S4696)),"United Arab Emirates",
ISNUMBER(SEARCH("rn""&gt;Republic of Ireland",S4696)),"Ireland",
ISNUMBER(SEARCH("rn""&gt;Bosnia and Herzegovina",S4696)),"Bosnia and Herzegovina",
ISNUMBER(SEARCH("rn""&gt;Trinidad and Tobago",S4696)),"Trinidad and Tobago",
ISNUMBER(SEARCH("rn""&gt;Serbia and Montenegro",S4696)),"Serbia and Montenegro",
ISNUMBER(SEARCH(_xlfn.UNICHAR(65533),S4696)),"Côte d'Ivoire",
TRUE,"-"
)</f>
        <v>-</v>
      </c>
      <c r="W4696" s="42" t="str">
        <f t="shared" si="294"/>
        <v>-</v>
      </c>
    </row>
    <row r="4697" spans="19:23">
      <c r="S4697" s="42" t="str">
        <v/>
      </c>
      <c r="T4697" s="42" t="str">
        <f t="shared" si="292"/>
        <v>-</v>
      </c>
      <c r="U4697" s="40" t="str">
        <f t="shared" si="293"/>
        <v>-</v>
      </c>
      <c r="V4697" s="42" t="str" cm="1">
        <f t="array" ref="V4697">_xlfn.IFS(
LEFT(S4697,16)="win on penalties",IF(VALUE(MID(S4697,19,1))&gt;VALUE(MID(S4697,23,1)),DATA_CLEANED!AK211,DATA_CLEANED!AN211),
ISNUMBER(SEARCH("USA",S4697)),"United States",
ISNUMBER(SEARCH("Republic of Ireland",S4697)),"Ireland",
ISNUMBER(SEARCH("Republic of Korea",S4697)),"South Korea",
ISNUMBER(SEARCH("Cape Verde",S4697)),"Cabo Verde",
ISNUMBER(SEARCH("Czechia",S4697)),"Czech Republic",
ISNUMBER(SEARCH("Türkiye",S4697)),"Turkey",
ISNUMBER(SEARCH("Ivory Coast",S4697)),"Côte d'Ivoire",
ISNUMBER(SEARCH("Korea Republic",S4697)),"South Korea",
ISNUMBER(SEARCH("Germany FR",S4697)),"FR Germany",
ISNUMBER(SEARCH("West Germany",S4697)),"FR Germany",
ISNUMBER(SEARCH("Germany DR",S4697)),"DR Germany",
ISNUMBER(SEARCH("Korea DPR",S4697)),"North Korea",
ISNUMBER(SEARCH("China PR",S4697)),"China",
ISNUMBER(SEARCH("IR Iran",S4697)),"Iran",
ISNUMBER(SEARCH("Congo DR",S4697)),"Democratic Republic of the Congo",
ISNUMBER(SEARCH("DR Congo",S4697)),"Democratic Republic of the Congo",
ISNUMBER(SEARCH("German DR",S4697)),"DR Germany",
ISNUMBER(SEARCH("rn""&gt;United Arab Emirates",S4697)),"United Arab Emirates",
ISNUMBER(SEARCH("rn""&gt;Republic of Ireland",S4697)),"Ireland",
ISNUMBER(SEARCH("rn""&gt;Bosnia and Herzegovina",S4697)),"Bosnia and Herzegovina",
ISNUMBER(SEARCH("rn""&gt;Trinidad and Tobago",S4697)),"Trinidad and Tobago",
ISNUMBER(SEARCH("rn""&gt;Serbia and Montenegro",S4697)),"Serbia and Montenegro",
ISNUMBER(SEARCH(_xlfn.UNICHAR(65533),S4697)),"Côte d'Ivoire",
TRUE,"-"
)</f>
        <v>-</v>
      </c>
      <c r="W4697" s="42" t="str">
        <f t="shared" si="294"/>
        <v>-</v>
      </c>
    </row>
    <row r="4698" spans="19:23">
      <c r="S4698" s="42" t="str">
        <v/>
      </c>
      <c r="T4698" s="42" t="str">
        <f t="shared" si="292"/>
        <v>-</v>
      </c>
      <c r="U4698" s="40" t="str">
        <f t="shared" si="293"/>
        <v>-</v>
      </c>
      <c r="V4698" s="42" t="str" cm="1">
        <f t="array" ref="V4698">_xlfn.IFS(
LEFT(S4698,16)="win on penalties",IF(VALUE(MID(S4698,19,1))&gt;VALUE(MID(S4698,23,1)),DATA_CLEANED!AK212,DATA_CLEANED!AN212),
ISNUMBER(SEARCH("USA",S4698)),"United States",
ISNUMBER(SEARCH("Republic of Ireland",S4698)),"Ireland",
ISNUMBER(SEARCH("Republic of Korea",S4698)),"South Korea",
ISNUMBER(SEARCH("Cape Verde",S4698)),"Cabo Verde",
ISNUMBER(SEARCH("Czechia",S4698)),"Czech Republic",
ISNUMBER(SEARCH("Türkiye",S4698)),"Turkey",
ISNUMBER(SEARCH("Ivory Coast",S4698)),"Côte d'Ivoire",
ISNUMBER(SEARCH("Korea Republic",S4698)),"South Korea",
ISNUMBER(SEARCH("Germany FR",S4698)),"FR Germany",
ISNUMBER(SEARCH("West Germany",S4698)),"FR Germany",
ISNUMBER(SEARCH("Germany DR",S4698)),"DR Germany",
ISNUMBER(SEARCH("Korea DPR",S4698)),"North Korea",
ISNUMBER(SEARCH("China PR",S4698)),"China",
ISNUMBER(SEARCH("IR Iran",S4698)),"Iran",
ISNUMBER(SEARCH("Congo DR",S4698)),"Democratic Republic of the Congo",
ISNUMBER(SEARCH("DR Congo",S4698)),"Democratic Republic of the Congo",
ISNUMBER(SEARCH("German DR",S4698)),"DR Germany",
ISNUMBER(SEARCH("rn""&gt;United Arab Emirates",S4698)),"United Arab Emirates",
ISNUMBER(SEARCH("rn""&gt;Republic of Ireland",S4698)),"Ireland",
ISNUMBER(SEARCH("rn""&gt;Bosnia and Herzegovina",S4698)),"Bosnia and Herzegovina",
ISNUMBER(SEARCH("rn""&gt;Trinidad and Tobago",S4698)),"Trinidad and Tobago",
ISNUMBER(SEARCH("rn""&gt;Serbia and Montenegro",S4698)),"Serbia and Montenegro",
ISNUMBER(SEARCH(_xlfn.UNICHAR(65533),S4698)),"Côte d'Ivoire",
TRUE,"-"
)</f>
        <v>-</v>
      </c>
      <c r="W4698" s="42" t="str">
        <f t="shared" si="294"/>
        <v>-</v>
      </c>
    </row>
    <row r="4699" spans="19:23">
      <c r="S4699" s="42" t="str">
        <v/>
      </c>
      <c r="T4699" s="42" t="str">
        <f t="shared" si="292"/>
        <v>-</v>
      </c>
      <c r="U4699" s="40" t="str">
        <f t="shared" si="293"/>
        <v>-</v>
      </c>
      <c r="V4699" s="42" t="str" cm="1">
        <f t="array" ref="V4699">_xlfn.IFS(
LEFT(S4699,16)="win on penalties",IF(VALUE(MID(S4699,19,1))&gt;VALUE(MID(S4699,23,1)),DATA_CLEANED!AK213,DATA_CLEANED!AN213),
ISNUMBER(SEARCH("USA",S4699)),"United States",
ISNUMBER(SEARCH("Republic of Ireland",S4699)),"Ireland",
ISNUMBER(SEARCH("Republic of Korea",S4699)),"South Korea",
ISNUMBER(SEARCH("Cape Verde",S4699)),"Cabo Verde",
ISNUMBER(SEARCH("Czechia",S4699)),"Czech Republic",
ISNUMBER(SEARCH("Türkiye",S4699)),"Turkey",
ISNUMBER(SEARCH("Ivory Coast",S4699)),"Côte d'Ivoire",
ISNUMBER(SEARCH("Korea Republic",S4699)),"South Korea",
ISNUMBER(SEARCH("Germany FR",S4699)),"FR Germany",
ISNUMBER(SEARCH("West Germany",S4699)),"FR Germany",
ISNUMBER(SEARCH("Germany DR",S4699)),"DR Germany",
ISNUMBER(SEARCH("Korea DPR",S4699)),"North Korea",
ISNUMBER(SEARCH("China PR",S4699)),"China",
ISNUMBER(SEARCH("IR Iran",S4699)),"Iran",
ISNUMBER(SEARCH("Congo DR",S4699)),"Democratic Republic of the Congo",
ISNUMBER(SEARCH("DR Congo",S4699)),"Democratic Republic of the Congo",
ISNUMBER(SEARCH("German DR",S4699)),"DR Germany",
ISNUMBER(SEARCH("rn""&gt;United Arab Emirates",S4699)),"United Arab Emirates",
ISNUMBER(SEARCH("rn""&gt;Republic of Ireland",S4699)),"Ireland",
ISNUMBER(SEARCH("rn""&gt;Bosnia and Herzegovina",S4699)),"Bosnia and Herzegovina",
ISNUMBER(SEARCH("rn""&gt;Trinidad and Tobago",S4699)),"Trinidad and Tobago",
ISNUMBER(SEARCH("rn""&gt;Serbia and Montenegro",S4699)),"Serbia and Montenegro",
ISNUMBER(SEARCH(_xlfn.UNICHAR(65533),S4699)),"Côte d'Ivoire",
TRUE,"-"
)</f>
        <v>-</v>
      </c>
      <c r="W4699" s="42" t="str">
        <f t="shared" si="294"/>
        <v>-</v>
      </c>
    </row>
    <row r="4700" spans="19:23">
      <c r="S4700" s="42" t="str">
        <v/>
      </c>
      <c r="T4700" s="42" t="str">
        <f t="shared" si="292"/>
        <v>-</v>
      </c>
      <c r="U4700" s="40" t="str">
        <f t="shared" si="293"/>
        <v>-</v>
      </c>
      <c r="V4700" s="42" t="str" cm="1">
        <f t="array" ref="V4700">_xlfn.IFS(
LEFT(S4700,16)="win on penalties",IF(VALUE(MID(S4700,19,1))&gt;VALUE(MID(S4700,23,1)),DATA_CLEANED!AK214,DATA_CLEANED!AN214),
ISNUMBER(SEARCH("USA",S4700)),"United States",
ISNUMBER(SEARCH("Republic of Ireland",S4700)),"Ireland",
ISNUMBER(SEARCH("Republic of Korea",S4700)),"South Korea",
ISNUMBER(SEARCH("Cape Verde",S4700)),"Cabo Verde",
ISNUMBER(SEARCH("Czechia",S4700)),"Czech Republic",
ISNUMBER(SEARCH("Türkiye",S4700)),"Turkey",
ISNUMBER(SEARCH("Ivory Coast",S4700)),"Côte d'Ivoire",
ISNUMBER(SEARCH("Korea Republic",S4700)),"South Korea",
ISNUMBER(SEARCH("Germany FR",S4700)),"FR Germany",
ISNUMBER(SEARCH("West Germany",S4700)),"FR Germany",
ISNUMBER(SEARCH("Germany DR",S4700)),"DR Germany",
ISNUMBER(SEARCH("Korea DPR",S4700)),"North Korea",
ISNUMBER(SEARCH("China PR",S4700)),"China",
ISNUMBER(SEARCH("IR Iran",S4700)),"Iran",
ISNUMBER(SEARCH("Congo DR",S4700)),"Democratic Republic of the Congo",
ISNUMBER(SEARCH("DR Congo",S4700)),"Democratic Republic of the Congo",
ISNUMBER(SEARCH("German DR",S4700)),"DR Germany",
ISNUMBER(SEARCH("rn""&gt;United Arab Emirates",S4700)),"United Arab Emirates",
ISNUMBER(SEARCH("rn""&gt;Republic of Ireland",S4700)),"Ireland",
ISNUMBER(SEARCH("rn""&gt;Bosnia and Herzegovina",S4700)),"Bosnia and Herzegovina",
ISNUMBER(SEARCH("rn""&gt;Trinidad and Tobago",S4700)),"Trinidad and Tobago",
ISNUMBER(SEARCH("rn""&gt;Serbia and Montenegro",S4700)),"Serbia and Montenegro",
ISNUMBER(SEARCH(_xlfn.UNICHAR(65533),S4700)),"Côte d'Ivoire",
TRUE,"-"
)</f>
        <v>-</v>
      </c>
      <c r="W4700" s="42" t="str">
        <f t="shared" si="294"/>
        <v>-</v>
      </c>
    </row>
    <row r="4701" spans="19:23">
      <c r="S4701" s="42" t="str">
        <v/>
      </c>
      <c r="T4701" s="42" t="str">
        <f t="shared" si="292"/>
        <v>-</v>
      </c>
      <c r="U4701" s="40" t="str">
        <f t="shared" si="293"/>
        <v>-</v>
      </c>
      <c r="V4701" s="42" t="str" cm="1">
        <f t="array" ref="V4701">_xlfn.IFS(
LEFT(S4701,16)="win on penalties",IF(VALUE(MID(S4701,19,1))&gt;VALUE(MID(S4701,23,1)),DATA_CLEANED!AK215,DATA_CLEANED!AN215),
ISNUMBER(SEARCH("USA",S4701)),"United States",
ISNUMBER(SEARCH("Republic of Ireland",S4701)),"Ireland",
ISNUMBER(SEARCH("Republic of Korea",S4701)),"South Korea",
ISNUMBER(SEARCH("Cape Verde",S4701)),"Cabo Verde",
ISNUMBER(SEARCH("Czechia",S4701)),"Czech Republic",
ISNUMBER(SEARCH("Türkiye",S4701)),"Turkey",
ISNUMBER(SEARCH("Ivory Coast",S4701)),"Côte d'Ivoire",
ISNUMBER(SEARCH("Korea Republic",S4701)),"South Korea",
ISNUMBER(SEARCH("Germany FR",S4701)),"FR Germany",
ISNUMBER(SEARCH("West Germany",S4701)),"FR Germany",
ISNUMBER(SEARCH("Germany DR",S4701)),"DR Germany",
ISNUMBER(SEARCH("Korea DPR",S4701)),"North Korea",
ISNUMBER(SEARCH("China PR",S4701)),"China",
ISNUMBER(SEARCH("IR Iran",S4701)),"Iran",
ISNUMBER(SEARCH("Congo DR",S4701)),"Democratic Republic of the Congo",
ISNUMBER(SEARCH("DR Congo",S4701)),"Democratic Republic of the Congo",
ISNUMBER(SEARCH("German DR",S4701)),"DR Germany",
ISNUMBER(SEARCH("rn""&gt;United Arab Emirates",S4701)),"United Arab Emirates",
ISNUMBER(SEARCH("rn""&gt;Republic of Ireland",S4701)),"Ireland",
ISNUMBER(SEARCH("rn""&gt;Bosnia and Herzegovina",S4701)),"Bosnia and Herzegovina",
ISNUMBER(SEARCH("rn""&gt;Trinidad and Tobago",S4701)),"Trinidad and Tobago",
ISNUMBER(SEARCH("rn""&gt;Serbia and Montenegro",S4701)),"Serbia and Montenegro",
ISNUMBER(SEARCH(_xlfn.UNICHAR(65533),S4701)),"Côte d'Ivoire",
TRUE,"-"
)</f>
        <v>-</v>
      </c>
      <c r="W4701" s="42" t="str">
        <f t="shared" si="294"/>
        <v>-</v>
      </c>
    </row>
    <row r="4702" spans="19:23">
      <c r="S4702" s="42" t="str">
        <v/>
      </c>
      <c r="T4702" s="42" t="str">
        <f t="shared" si="292"/>
        <v>-</v>
      </c>
      <c r="U4702" s="40" t="str">
        <f t="shared" si="293"/>
        <v>-</v>
      </c>
      <c r="V4702" s="42" t="str" cm="1">
        <f t="array" ref="V4702">_xlfn.IFS(
LEFT(S4702,16)="win on penalties",IF(VALUE(MID(S4702,19,1))&gt;VALUE(MID(S4702,23,1)),DATA_CLEANED!AK216,DATA_CLEANED!AN216),
ISNUMBER(SEARCH("USA",S4702)),"United States",
ISNUMBER(SEARCH("Republic of Ireland",S4702)),"Ireland",
ISNUMBER(SEARCH("Republic of Korea",S4702)),"South Korea",
ISNUMBER(SEARCH("Cape Verde",S4702)),"Cabo Verde",
ISNUMBER(SEARCH("Czechia",S4702)),"Czech Republic",
ISNUMBER(SEARCH("Türkiye",S4702)),"Turkey",
ISNUMBER(SEARCH("Ivory Coast",S4702)),"Côte d'Ivoire",
ISNUMBER(SEARCH("Korea Republic",S4702)),"South Korea",
ISNUMBER(SEARCH("Germany FR",S4702)),"FR Germany",
ISNUMBER(SEARCH("West Germany",S4702)),"FR Germany",
ISNUMBER(SEARCH("Germany DR",S4702)),"DR Germany",
ISNUMBER(SEARCH("Korea DPR",S4702)),"North Korea",
ISNUMBER(SEARCH("China PR",S4702)),"China",
ISNUMBER(SEARCH("IR Iran",S4702)),"Iran",
ISNUMBER(SEARCH("Congo DR",S4702)),"Democratic Republic of the Congo",
ISNUMBER(SEARCH("DR Congo",S4702)),"Democratic Republic of the Congo",
ISNUMBER(SEARCH("German DR",S4702)),"DR Germany",
ISNUMBER(SEARCH("rn""&gt;United Arab Emirates",S4702)),"United Arab Emirates",
ISNUMBER(SEARCH("rn""&gt;Republic of Ireland",S4702)),"Ireland",
ISNUMBER(SEARCH("rn""&gt;Bosnia and Herzegovina",S4702)),"Bosnia and Herzegovina",
ISNUMBER(SEARCH("rn""&gt;Trinidad and Tobago",S4702)),"Trinidad and Tobago",
ISNUMBER(SEARCH("rn""&gt;Serbia and Montenegro",S4702)),"Serbia and Montenegro",
ISNUMBER(SEARCH(_xlfn.UNICHAR(65533),S4702)),"Côte d'Ivoire",
TRUE,"-"
)</f>
        <v>-</v>
      </c>
      <c r="W4702" s="42" t="str">
        <f t="shared" si="294"/>
        <v>-</v>
      </c>
    </row>
    <row r="4703" spans="19:23">
      <c r="S4703" s="42" t="str">
        <v/>
      </c>
      <c r="T4703" s="42" t="str">
        <f t="shared" si="292"/>
        <v>-</v>
      </c>
      <c r="U4703" s="40" t="str">
        <f t="shared" si="293"/>
        <v>-</v>
      </c>
      <c r="V4703" s="42" t="str" cm="1">
        <f t="array" ref="V4703">_xlfn.IFS(
LEFT(S4703,16)="win on penalties",IF(VALUE(MID(S4703,19,1))&gt;VALUE(MID(S4703,23,1)),DATA_CLEANED!AK217,DATA_CLEANED!AN217),
ISNUMBER(SEARCH("USA",S4703)),"United States",
ISNUMBER(SEARCH("Republic of Ireland",S4703)),"Ireland",
ISNUMBER(SEARCH("Republic of Korea",S4703)),"South Korea",
ISNUMBER(SEARCH("Cape Verde",S4703)),"Cabo Verde",
ISNUMBER(SEARCH("Czechia",S4703)),"Czech Republic",
ISNUMBER(SEARCH("Türkiye",S4703)),"Turkey",
ISNUMBER(SEARCH("Ivory Coast",S4703)),"Côte d'Ivoire",
ISNUMBER(SEARCH("Korea Republic",S4703)),"South Korea",
ISNUMBER(SEARCH("Germany FR",S4703)),"FR Germany",
ISNUMBER(SEARCH("West Germany",S4703)),"FR Germany",
ISNUMBER(SEARCH("Germany DR",S4703)),"DR Germany",
ISNUMBER(SEARCH("Korea DPR",S4703)),"North Korea",
ISNUMBER(SEARCH("China PR",S4703)),"China",
ISNUMBER(SEARCH("IR Iran",S4703)),"Iran",
ISNUMBER(SEARCH("Congo DR",S4703)),"Democratic Republic of the Congo",
ISNUMBER(SEARCH("DR Congo",S4703)),"Democratic Republic of the Congo",
ISNUMBER(SEARCH("German DR",S4703)),"DR Germany",
ISNUMBER(SEARCH("rn""&gt;United Arab Emirates",S4703)),"United Arab Emirates",
ISNUMBER(SEARCH("rn""&gt;Republic of Ireland",S4703)),"Ireland",
ISNUMBER(SEARCH("rn""&gt;Bosnia and Herzegovina",S4703)),"Bosnia and Herzegovina",
ISNUMBER(SEARCH("rn""&gt;Trinidad and Tobago",S4703)),"Trinidad and Tobago",
ISNUMBER(SEARCH("rn""&gt;Serbia and Montenegro",S4703)),"Serbia and Montenegro",
ISNUMBER(SEARCH(_xlfn.UNICHAR(65533),S4703)),"Côte d'Ivoire",
TRUE,"-"
)</f>
        <v>-</v>
      </c>
      <c r="W4703" s="42" t="str">
        <f t="shared" si="294"/>
        <v>-</v>
      </c>
    </row>
    <row r="4704" spans="19:23">
      <c r="S4704" s="42" t="str">
        <v/>
      </c>
      <c r="T4704" s="42" t="str">
        <f t="shared" si="292"/>
        <v>-</v>
      </c>
      <c r="U4704" s="40" t="str">
        <f t="shared" si="293"/>
        <v>-</v>
      </c>
      <c r="V4704" s="42" t="str" cm="1">
        <f t="array" ref="V4704">_xlfn.IFS(
LEFT(S4704,16)="win on penalties",IF(VALUE(MID(S4704,19,1))&gt;VALUE(MID(S4704,23,1)),DATA_CLEANED!AK218,DATA_CLEANED!AN218),
ISNUMBER(SEARCH("USA",S4704)),"United States",
ISNUMBER(SEARCH("Republic of Ireland",S4704)),"Ireland",
ISNUMBER(SEARCH("Republic of Korea",S4704)),"South Korea",
ISNUMBER(SEARCH("Cape Verde",S4704)),"Cabo Verde",
ISNUMBER(SEARCH("Czechia",S4704)),"Czech Republic",
ISNUMBER(SEARCH("Türkiye",S4704)),"Turkey",
ISNUMBER(SEARCH("Ivory Coast",S4704)),"Côte d'Ivoire",
ISNUMBER(SEARCH("Korea Republic",S4704)),"South Korea",
ISNUMBER(SEARCH("Germany FR",S4704)),"FR Germany",
ISNUMBER(SEARCH("West Germany",S4704)),"FR Germany",
ISNUMBER(SEARCH("Germany DR",S4704)),"DR Germany",
ISNUMBER(SEARCH("Korea DPR",S4704)),"North Korea",
ISNUMBER(SEARCH("China PR",S4704)),"China",
ISNUMBER(SEARCH("IR Iran",S4704)),"Iran",
ISNUMBER(SEARCH("Congo DR",S4704)),"Democratic Republic of the Congo",
ISNUMBER(SEARCH("DR Congo",S4704)),"Democratic Republic of the Congo",
ISNUMBER(SEARCH("German DR",S4704)),"DR Germany",
ISNUMBER(SEARCH("rn""&gt;United Arab Emirates",S4704)),"United Arab Emirates",
ISNUMBER(SEARCH("rn""&gt;Republic of Ireland",S4704)),"Ireland",
ISNUMBER(SEARCH("rn""&gt;Bosnia and Herzegovina",S4704)),"Bosnia and Herzegovina",
ISNUMBER(SEARCH("rn""&gt;Trinidad and Tobago",S4704)),"Trinidad and Tobago",
ISNUMBER(SEARCH("rn""&gt;Serbia and Montenegro",S4704)),"Serbia and Montenegro",
ISNUMBER(SEARCH(_xlfn.UNICHAR(65533),S4704)),"Côte d'Ivoire",
TRUE,"-"
)</f>
        <v>-</v>
      </c>
      <c r="W4704" s="42" t="str">
        <f t="shared" si="294"/>
        <v>-</v>
      </c>
    </row>
    <row r="4705" spans="19:23">
      <c r="S4705" s="42" t="str">
        <v/>
      </c>
      <c r="T4705" s="42" t="str">
        <f t="shared" si="292"/>
        <v>-</v>
      </c>
      <c r="U4705" s="40" t="str">
        <f t="shared" si="293"/>
        <v>-</v>
      </c>
      <c r="V4705" s="42" t="str" cm="1">
        <f t="array" ref="V4705">_xlfn.IFS(
LEFT(S4705,16)="win on penalties",IF(VALUE(MID(S4705,19,1))&gt;VALUE(MID(S4705,23,1)),DATA_CLEANED!AK219,DATA_CLEANED!AN219),
ISNUMBER(SEARCH("USA",S4705)),"United States",
ISNUMBER(SEARCH("Republic of Ireland",S4705)),"Ireland",
ISNUMBER(SEARCH("Republic of Korea",S4705)),"South Korea",
ISNUMBER(SEARCH("Cape Verde",S4705)),"Cabo Verde",
ISNUMBER(SEARCH("Czechia",S4705)),"Czech Republic",
ISNUMBER(SEARCH("Türkiye",S4705)),"Turkey",
ISNUMBER(SEARCH("Ivory Coast",S4705)),"Côte d'Ivoire",
ISNUMBER(SEARCH("Korea Republic",S4705)),"South Korea",
ISNUMBER(SEARCH("Germany FR",S4705)),"FR Germany",
ISNUMBER(SEARCH("West Germany",S4705)),"FR Germany",
ISNUMBER(SEARCH("Germany DR",S4705)),"DR Germany",
ISNUMBER(SEARCH("Korea DPR",S4705)),"North Korea",
ISNUMBER(SEARCH("China PR",S4705)),"China",
ISNUMBER(SEARCH("IR Iran",S4705)),"Iran",
ISNUMBER(SEARCH("Congo DR",S4705)),"Democratic Republic of the Congo",
ISNUMBER(SEARCH("DR Congo",S4705)),"Democratic Republic of the Congo",
ISNUMBER(SEARCH("German DR",S4705)),"DR Germany",
ISNUMBER(SEARCH("rn""&gt;United Arab Emirates",S4705)),"United Arab Emirates",
ISNUMBER(SEARCH("rn""&gt;Republic of Ireland",S4705)),"Ireland",
ISNUMBER(SEARCH("rn""&gt;Bosnia and Herzegovina",S4705)),"Bosnia and Herzegovina",
ISNUMBER(SEARCH("rn""&gt;Trinidad and Tobago",S4705)),"Trinidad and Tobago",
ISNUMBER(SEARCH("rn""&gt;Serbia and Montenegro",S4705)),"Serbia and Montenegro",
ISNUMBER(SEARCH(_xlfn.UNICHAR(65533),S4705)),"Côte d'Ivoire",
TRUE,"-"
)</f>
        <v>-</v>
      </c>
      <c r="W4705" s="42" t="str">
        <f t="shared" si="294"/>
        <v>-</v>
      </c>
    </row>
    <row r="4706" spans="19:23">
      <c r="S4706" s="42" t="str">
        <v/>
      </c>
      <c r="T4706" s="42" t="str">
        <f t="shared" si="292"/>
        <v>-</v>
      </c>
      <c r="U4706" s="40" t="str">
        <f t="shared" si="293"/>
        <v>-</v>
      </c>
      <c r="V4706" s="42" t="str" cm="1">
        <f t="array" ref="V4706">_xlfn.IFS(
LEFT(S4706,16)="win on penalties",IF(VALUE(MID(S4706,19,1))&gt;VALUE(MID(S4706,23,1)),DATA_CLEANED!AK220,DATA_CLEANED!AN220),
ISNUMBER(SEARCH("USA",S4706)),"United States",
ISNUMBER(SEARCH("Republic of Ireland",S4706)),"Ireland",
ISNUMBER(SEARCH("Republic of Korea",S4706)),"South Korea",
ISNUMBER(SEARCH("Cape Verde",S4706)),"Cabo Verde",
ISNUMBER(SEARCH("Czechia",S4706)),"Czech Republic",
ISNUMBER(SEARCH("Türkiye",S4706)),"Turkey",
ISNUMBER(SEARCH("Ivory Coast",S4706)),"Côte d'Ivoire",
ISNUMBER(SEARCH("Korea Republic",S4706)),"South Korea",
ISNUMBER(SEARCH("Germany FR",S4706)),"FR Germany",
ISNUMBER(SEARCH("West Germany",S4706)),"FR Germany",
ISNUMBER(SEARCH("Germany DR",S4706)),"DR Germany",
ISNUMBER(SEARCH("Korea DPR",S4706)),"North Korea",
ISNUMBER(SEARCH("China PR",S4706)),"China",
ISNUMBER(SEARCH("IR Iran",S4706)),"Iran",
ISNUMBER(SEARCH("Congo DR",S4706)),"Democratic Republic of the Congo",
ISNUMBER(SEARCH("DR Congo",S4706)),"Democratic Republic of the Congo",
ISNUMBER(SEARCH("German DR",S4706)),"DR Germany",
ISNUMBER(SEARCH("rn""&gt;United Arab Emirates",S4706)),"United Arab Emirates",
ISNUMBER(SEARCH("rn""&gt;Republic of Ireland",S4706)),"Ireland",
ISNUMBER(SEARCH("rn""&gt;Bosnia and Herzegovina",S4706)),"Bosnia and Herzegovina",
ISNUMBER(SEARCH("rn""&gt;Trinidad and Tobago",S4706)),"Trinidad and Tobago",
ISNUMBER(SEARCH("rn""&gt;Serbia and Montenegro",S4706)),"Serbia and Montenegro",
ISNUMBER(SEARCH(_xlfn.UNICHAR(65533),S4706)),"Côte d'Ivoire",
TRUE,"-"
)</f>
        <v>-</v>
      </c>
      <c r="W4706" s="42" t="str">
        <f t="shared" si="294"/>
        <v>-</v>
      </c>
    </row>
    <row r="4707" spans="19:23">
      <c r="S4707" s="42" t="str">
        <v/>
      </c>
      <c r="T4707" s="42" t="str">
        <f t="shared" si="292"/>
        <v>-</v>
      </c>
      <c r="U4707" s="40" t="str">
        <f t="shared" si="293"/>
        <v>-</v>
      </c>
      <c r="V4707" s="42" t="str" cm="1">
        <f t="array" ref="V4707">_xlfn.IFS(
LEFT(S4707,16)="win on penalties",IF(VALUE(MID(S4707,19,1))&gt;VALUE(MID(S4707,23,1)),DATA_CLEANED!AK221,DATA_CLEANED!AN221),
ISNUMBER(SEARCH("USA",S4707)),"United States",
ISNUMBER(SEARCH("Republic of Ireland",S4707)),"Ireland",
ISNUMBER(SEARCH("Republic of Korea",S4707)),"South Korea",
ISNUMBER(SEARCH("Cape Verde",S4707)),"Cabo Verde",
ISNUMBER(SEARCH("Czechia",S4707)),"Czech Republic",
ISNUMBER(SEARCH("Türkiye",S4707)),"Turkey",
ISNUMBER(SEARCH("Ivory Coast",S4707)),"Côte d'Ivoire",
ISNUMBER(SEARCH("Korea Republic",S4707)),"South Korea",
ISNUMBER(SEARCH("Germany FR",S4707)),"FR Germany",
ISNUMBER(SEARCH("West Germany",S4707)),"FR Germany",
ISNUMBER(SEARCH("Germany DR",S4707)),"DR Germany",
ISNUMBER(SEARCH("Korea DPR",S4707)),"North Korea",
ISNUMBER(SEARCH("China PR",S4707)),"China",
ISNUMBER(SEARCH("IR Iran",S4707)),"Iran",
ISNUMBER(SEARCH("Congo DR",S4707)),"Democratic Republic of the Congo",
ISNUMBER(SEARCH("DR Congo",S4707)),"Democratic Republic of the Congo",
ISNUMBER(SEARCH("German DR",S4707)),"DR Germany",
ISNUMBER(SEARCH("rn""&gt;United Arab Emirates",S4707)),"United Arab Emirates",
ISNUMBER(SEARCH("rn""&gt;Republic of Ireland",S4707)),"Ireland",
ISNUMBER(SEARCH("rn""&gt;Bosnia and Herzegovina",S4707)),"Bosnia and Herzegovina",
ISNUMBER(SEARCH("rn""&gt;Trinidad and Tobago",S4707)),"Trinidad and Tobago",
ISNUMBER(SEARCH("rn""&gt;Serbia and Montenegro",S4707)),"Serbia and Montenegro",
ISNUMBER(SEARCH(_xlfn.UNICHAR(65533),S4707)),"Côte d'Ivoire",
TRUE,"-"
)</f>
        <v>-</v>
      </c>
      <c r="W4707" s="42" t="str">
        <f t="shared" si="294"/>
        <v>-</v>
      </c>
    </row>
    <row r="4708" spans="19:23">
      <c r="S4708" s="42" t="str">
        <v/>
      </c>
      <c r="T4708" s="42" t="str">
        <f t="shared" si="292"/>
        <v>-</v>
      </c>
      <c r="U4708" s="40" t="str">
        <f t="shared" si="293"/>
        <v>-</v>
      </c>
      <c r="V4708" s="42" t="str" cm="1">
        <f t="array" ref="V4708">_xlfn.IFS(
LEFT(S4708,16)="win on penalties",IF(VALUE(MID(S4708,19,1))&gt;VALUE(MID(S4708,23,1)),DATA_CLEANED!AK222,DATA_CLEANED!AN222),
ISNUMBER(SEARCH("USA",S4708)),"United States",
ISNUMBER(SEARCH("Republic of Ireland",S4708)),"Ireland",
ISNUMBER(SEARCH("Republic of Korea",S4708)),"South Korea",
ISNUMBER(SEARCH("Cape Verde",S4708)),"Cabo Verde",
ISNUMBER(SEARCH("Czechia",S4708)),"Czech Republic",
ISNUMBER(SEARCH("Türkiye",S4708)),"Turkey",
ISNUMBER(SEARCH("Ivory Coast",S4708)),"Côte d'Ivoire",
ISNUMBER(SEARCH("Korea Republic",S4708)),"South Korea",
ISNUMBER(SEARCH("Germany FR",S4708)),"FR Germany",
ISNUMBER(SEARCH("West Germany",S4708)),"FR Germany",
ISNUMBER(SEARCH("Germany DR",S4708)),"DR Germany",
ISNUMBER(SEARCH("Korea DPR",S4708)),"North Korea",
ISNUMBER(SEARCH("China PR",S4708)),"China",
ISNUMBER(SEARCH("IR Iran",S4708)),"Iran",
ISNUMBER(SEARCH("Congo DR",S4708)),"Democratic Republic of the Congo",
ISNUMBER(SEARCH("DR Congo",S4708)),"Democratic Republic of the Congo",
ISNUMBER(SEARCH("German DR",S4708)),"DR Germany",
ISNUMBER(SEARCH("rn""&gt;United Arab Emirates",S4708)),"United Arab Emirates",
ISNUMBER(SEARCH("rn""&gt;Republic of Ireland",S4708)),"Ireland",
ISNUMBER(SEARCH("rn""&gt;Bosnia and Herzegovina",S4708)),"Bosnia and Herzegovina",
ISNUMBER(SEARCH("rn""&gt;Trinidad and Tobago",S4708)),"Trinidad and Tobago",
ISNUMBER(SEARCH("rn""&gt;Serbia and Montenegro",S4708)),"Serbia and Montenegro",
ISNUMBER(SEARCH(_xlfn.UNICHAR(65533),S4708)),"Côte d'Ivoire",
TRUE,"-"
)</f>
        <v>-</v>
      </c>
      <c r="W4708" s="42" t="str">
        <f t="shared" si="294"/>
        <v>-</v>
      </c>
    </row>
    <row r="4709" spans="19:23">
      <c r="S4709" s="42" t="str">
        <v/>
      </c>
      <c r="T4709" s="42" t="str">
        <f t="shared" si="292"/>
        <v>-</v>
      </c>
      <c r="U4709" s="40" t="str">
        <f t="shared" si="293"/>
        <v>-</v>
      </c>
      <c r="V4709" s="42" t="str" cm="1">
        <f t="array" ref="V4709">_xlfn.IFS(
LEFT(S4709,16)="win on penalties",IF(VALUE(MID(S4709,19,1))&gt;VALUE(MID(S4709,23,1)),DATA_CLEANED!AK223,DATA_CLEANED!AN223),
ISNUMBER(SEARCH("USA",S4709)),"United States",
ISNUMBER(SEARCH("Republic of Ireland",S4709)),"Ireland",
ISNUMBER(SEARCH("Republic of Korea",S4709)),"South Korea",
ISNUMBER(SEARCH("Cape Verde",S4709)),"Cabo Verde",
ISNUMBER(SEARCH("Czechia",S4709)),"Czech Republic",
ISNUMBER(SEARCH("Türkiye",S4709)),"Turkey",
ISNUMBER(SEARCH("Ivory Coast",S4709)),"Côte d'Ivoire",
ISNUMBER(SEARCH("Korea Republic",S4709)),"South Korea",
ISNUMBER(SEARCH("Germany FR",S4709)),"FR Germany",
ISNUMBER(SEARCH("West Germany",S4709)),"FR Germany",
ISNUMBER(SEARCH("Germany DR",S4709)),"DR Germany",
ISNUMBER(SEARCH("Korea DPR",S4709)),"North Korea",
ISNUMBER(SEARCH("China PR",S4709)),"China",
ISNUMBER(SEARCH("IR Iran",S4709)),"Iran",
ISNUMBER(SEARCH("Congo DR",S4709)),"Democratic Republic of the Congo",
ISNUMBER(SEARCH("DR Congo",S4709)),"Democratic Republic of the Congo",
ISNUMBER(SEARCH("German DR",S4709)),"DR Germany",
ISNUMBER(SEARCH("rn""&gt;United Arab Emirates",S4709)),"United Arab Emirates",
ISNUMBER(SEARCH("rn""&gt;Republic of Ireland",S4709)),"Ireland",
ISNUMBER(SEARCH("rn""&gt;Bosnia and Herzegovina",S4709)),"Bosnia and Herzegovina",
ISNUMBER(SEARCH("rn""&gt;Trinidad and Tobago",S4709)),"Trinidad and Tobago",
ISNUMBER(SEARCH("rn""&gt;Serbia and Montenegro",S4709)),"Serbia and Montenegro",
ISNUMBER(SEARCH(_xlfn.UNICHAR(65533),S4709)),"Côte d'Ivoire",
TRUE,"-"
)</f>
        <v>-</v>
      </c>
      <c r="W4709" s="42" t="str">
        <f t="shared" si="294"/>
        <v>-</v>
      </c>
    </row>
    <row r="4710" spans="19:23">
      <c r="S4710" s="42" t="str">
        <v/>
      </c>
      <c r="T4710" s="42" t="str">
        <f t="shared" si="292"/>
        <v>-</v>
      </c>
      <c r="U4710" s="40" t="str">
        <f t="shared" si="293"/>
        <v>-</v>
      </c>
      <c r="V4710" s="42" t="str" cm="1">
        <f t="array" ref="V4710">_xlfn.IFS(
LEFT(S4710,16)="win on penalties",IF(VALUE(MID(S4710,19,1))&gt;VALUE(MID(S4710,23,1)),DATA_CLEANED!AK224,DATA_CLEANED!AN224),
ISNUMBER(SEARCH("USA",S4710)),"United States",
ISNUMBER(SEARCH("Republic of Ireland",S4710)),"Ireland",
ISNUMBER(SEARCH("Republic of Korea",S4710)),"South Korea",
ISNUMBER(SEARCH("Cape Verde",S4710)),"Cabo Verde",
ISNUMBER(SEARCH("Czechia",S4710)),"Czech Republic",
ISNUMBER(SEARCH("Türkiye",S4710)),"Turkey",
ISNUMBER(SEARCH("Ivory Coast",S4710)),"Côte d'Ivoire",
ISNUMBER(SEARCH("Korea Republic",S4710)),"South Korea",
ISNUMBER(SEARCH("Germany FR",S4710)),"FR Germany",
ISNUMBER(SEARCH("West Germany",S4710)),"FR Germany",
ISNUMBER(SEARCH("Germany DR",S4710)),"DR Germany",
ISNUMBER(SEARCH("Korea DPR",S4710)),"North Korea",
ISNUMBER(SEARCH("China PR",S4710)),"China",
ISNUMBER(SEARCH("IR Iran",S4710)),"Iran",
ISNUMBER(SEARCH("Congo DR",S4710)),"Democratic Republic of the Congo",
ISNUMBER(SEARCH("DR Congo",S4710)),"Democratic Republic of the Congo",
ISNUMBER(SEARCH("German DR",S4710)),"DR Germany",
ISNUMBER(SEARCH("rn""&gt;United Arab Emirates",S4710)),"United Arab Emirates",
ISNUMBER(SEARCH("rn""&gt;Republic of Ireland",S4710)),"Ireland",
ISNUMBER(SEARCH("rn""&gt;Bosnia and Herzegovina",S4710)),"Bosnia and Herzegovina",
ISNUMBER(SEARCH("rn""&gt;Trinidad and Tobago",S4710)),"Trinidad and Tobago",
ISNUMBER(SEARCH("rn""&gt;Serbia and Montenegro",S4710)),"Serbia and Montenegro",
ISNUMBER(SEARCH(_xlfn.UNICHAR(65533),S4710)),"Côte d'Ivoire",
TRUE,"-"
)</f>
        <v>-</v>
      </c>
      <c r="W4710" s="42" t="str">
        <f t="shared" si="294"/>
        <v>-</v>
      </c>
    </row>
    <row r="4711" spans="19:23">
      <c r="S4711" s="42" t="str">
        <v/>
      </c>
      <c r="T4711" s="42" t="str">
        <f t="shared" si="292"/>
        <v>-</v>
      </c>
      <c r="U4711" s="40" t="str">
        <f t="shared" si="293"/>
        <v>-</v>
      </c>
      <c r="V4711" s="42" t="str" cm="1">
        <f t="array" ref="V4711">_xlfn.IFS(
LEFT(S4711,16)="win on penalties",IF(VALUE(MID(S4711,19,1))&gt;VALUE(MID(S4711,23,1)),DATA_CLEANED!AK225,DATA_CLEANED!AN225),
ISNUMBER(SEARCH("USA",S4711)),"United States",
ISNUMBER(SEARCH("Republic of Ireland",S4711)),"Ireland",
ISNUMBER(SEARCH("Republic of Korea",S4711)),"South Korea",
ISNUMBER(SEARCH("Cape Verde",S4711)),"Cabo Verde",
ISNUMBER(SEARCH("Czechia",S4711)),"Czech Republic",
ISNUMBER(SEARCH("Türkiye",S4711)),"Turkey",
ISNUMBER(SEARCH("Ivory Coast",S4711)),"Côte d'Ivoire",
ISNUMBER(SEARCH("Korea Republic",S4711)),"South Korea",
ISNUMBER(SEARCH("Germany FR",S4711)),"FR Germany",
ISNUMBER(SEARCH("West Germany",S4711)),"FR Germany",
ISNUMBER(SEARCH("Germany DR",S4711)),"DR Germany",
ISNUMBER(SEARCH("Korea DPR",S4711)),"North Korea",
ISNUMBER(SEARCH("China PR",S4711)),"China",
ISNUMBER(SEARCH("IR Iran",S4711)),"Iran",
ISNUMBER(SEARCH("Congo DR",S4711)),"Democratic Republic of the Congo",
ISNUMBER(SEARCH("DR Congo",S4711)),"Democratic Republic of the Congo",
ISNUMBER(SEARCH("German DR",S4711)),"DR Germany",
ISNUMBER(SEARCH("rn""&gt;United Arab Emirates",S4711)),"United Arab Emirates",
ISNUMBER(SEARCH("rn""&gt;Republic of Ireland",S4711)),"Ireland",
ISNUMBER(SEARCH("rn""&gt;Bosnia and Herzegovina",S4711)),"Bosnia and Herzegovina",
ISNUMBER(SEARCH("rn""&gt;Trinidad and Tobago",S4711)),"Trinidad and Tobago",
ISNUMBER(SEARCH("rn""&gt;Serbia and Montenegro",S4711)),"Serbia and Montenegro",
ISNUMBER(SEARCH(_xlfn.UNICHAR(65533),S4711)),"Côte d'Ivoire",
TRUE,"-"
)</f>
        <v>-</v>
      </c>
      <c r="W4711" s="42" t="str">
        <f t="shared" si="294"/>
        <v>-</v>
      </c>
    </row>
    <row r="4712" spans="19:23">
      <c r="S4712" s="42" t="str">
        <v/>
      </c>
      <c r="T4712" s="42" t="str">
        <f t="shared" si="292"/>
        <v>-</v>
      </c>
      <c r="U4712" s="40" t="str">
        <f t="shared" si="293"/>
        <v>-</v>
      </c>
      <c r="V4712" s="42" t="str" cm="1">
        <f t="array" ref="V4712">_xlfn.IFS(
LEFT(S4712,16)="win on penalties",IF(VALUE(MID(S4712,19,1))&gt;VALUE(MID(S4712,23,1)),DATA_CLEANED!AK226,DATA_CLEANED!AN226),
ISNUMBER(SEARCH("USA",S4712)),"United States",
ISNUMBER(SEARCH("Republic of Ireland",S4712)),"Ireland",
ISNUMBER(SEARCH("Republic of Korea",S4712)),"South Korea",
ISNUMBER(SEARCH("Cape Verde",S4712)),"Cabo Verde",
ISNUMBER(SEARCH("Czechia",S4712)),"Czech Republic",
ISNUMBER(SEARCH("Türkiye",S4712)),"Turkey",
ISNUMBER(SEARCH("Ivory Coast",S4712)),"Côte d'Ivoire",
ISNUMBER(SEARCH("Korea Republic",S4712)),"South Korea",
ISNUMBER(SEARCH("Germany FR",S4712)),"FR Germany",
ISNUMBER(SEARCH("West Germany",S4712)),"FR Germany",
ISNUMBER(SEARCH("Germany DR",S4712)),"DR Germany",
ISNUMBER(SEARCH("Korea DPR",S4712)),"North Korea",
ISNUMBER(SEARCH("China PR",S4712)),"China",
ISNUMBER(SEARCH("IR Iran",S4712)),"Iran",
ISNUMBER(SEARCH("Congo DR",S4712)),"Democratic Republic of the Congo",
ISNUMBER(SEARCH("DR Congo",S4712)),"Democratic Republic of the Congo",
ISNUMBER(SEARCH("German DR",S4712)),"DR Germany",
ISNUMBER(SEARCH("rn""&gt;United Arab Emirates",S4712)),"United Arab Emirates",
ISNUMBER(SEARCH("rn""&gt;Republic of Ireland",S4712)),"Ireland",
ISNUMBER(SEARCH("rn""&gt;Bosnia and Herzegovina",S4712)),"Bosnia and Herzegovina",
ISNUMBER(SEARCH("rn""&gt;Trinidad and Tobago",S4712)),"Trinidad and Tobago",
ISNUMBER(SEARCH("rn""&gt;Serbia and Montenegro",S4712)),"Serbia and Montenegro",
ISNUMBER(SEARCH(_xlfn.UNICHAR(65533),S4712)),"Côte d'Ivoire",
TRUE,"-"
)</f>
        <v>-</v>
      </c>
      <c r="W4712" s="42" t="str">
        <f t="shared" si="294"/>
        <v>-</v>
      </c>
    </row>
    <row r="4713" spans="19:23">
      <c r="S4713" s="42" t="str">
        <v/>
      </c>
      <c r="T4713" s="42" t="str">
        <f t="shared" si="292"/>
        <v>-</v>
      </c>
      <c r="U4713" s="40" t="str">
        <f t="shared" si="293"/>
        <v>-</v>
      </c>
      <c r="V4713" s="42" t="str" cm="1">
        <f t="array" ref="V4713">_xlfn.IFS(
LEFT(S4713,16)="win on penalties",IF(VALUE(MID(S4713,19,1))&gt;VALUE(MID(S4713,23,1)),DATA_CLEANED!AK227,DATA_CLEANED!AN227),
ISNUMBER(SEARCH("USA",S4713)),"United States",
ISNUMBER(SEARCH("Republic of Ireland",S4713)),"Ireland",
ISNUMBER(SEARCH("Republic of Korea",S4713)),"South Korea",
ISNUMBER(SEARCH("Cape Verde",S4713)),"Cabo Verde",
ISNUMBER(SEARCH("Czechia",S4713)),"Czech Republic",
ISNUMBER(SEARCH("Türkiye",S4713)),"Turkey",
ISNUMBER(SEARCH("Ivory Coast",S4713)),"Côte d'Ivoire",
ISNUMBER(SEARCH("Korea Republic",S4713)),"South Korea",
ISNUMBER(SEARCH("Germany FR",S4713)),"FR Germany",
ISNUMBER(SEARCH("West Germany",S4713)),"FR Germany",
ISNUMBER(SEARCH("Germany DR",S4713)),"DR Germany",
ISNUMBER(SEARCH("Korea DPR",S4713)),"North Korea",
ISNUMBER(SEARCH("China PR",S4713)),"China",
ISNUMBER(SEARCH("IR Iran",S4713)),"Iran",
ISNUMBER(SEARCH("Congo DR",S4713)),"Democratic Republic of the Congo",
ISNUMBER(SEARCH("DR Congo",S4713)),"Democratic Republic of the Congo",
ISNUMBER(SEARCH("German DR",S4713)),"DR Germany",
ISNUMBER(SEARCH("rn""&gt;United Arab Emirates",S4713)),"United Arab Emirates",
ISNUMBER(SEARCH("rn""&gt;Republic of Ireland",S4713)),"Ireland",
ISNUMBER(SEARCH("rn""&gt;Bosnia and Herzegovina",S4713)),"Bosnia and Herzegovina",
ISNUMBER(SEARCH("rn""&gt;Trinidad and Tobago",S4713)),"Trinidad and Tobago",
ISNUMBER(SEARCH("rn""&gt;Serbia and Montenegro",S4713)),"Serbia and Montenegro",
ISNUMBER(SEARCH(_xlfn.UNICHAR(65533),S4713)),"Côte d'Ivoire",
TRUE,"-"
)</f>
        <v>-</v>
      </c>
      <c r="W4713" s="42" t="str">
        <f t="shared" si="294"/>
        <v>-</v>
      </c>
    </row>
    <row r="4714" spans="19:23">
      <c r="S4714" s="42" t="str">
        <v>Germany FR win after extra time</v>
      </c>
      <c r="T4714" s="42" t="str">
        <f t="shared" si="292"/>
        <v>Germany FR</v>
      </c>
      <c r="U4714" s="40" t="str">
        <f t="shared" si="293"/>
        <v>RENOMMER</v>
      </c>
      <c r="V4714" s="42" t="str" cm="1">
        <f t="array" ref="V4714">_xlfn.IFS(
LEFT(S4714,16)="win on penalties",IF(VALUE(MID(S4714,19,1))&gt;VALUE(MID(S4714,23,1)),DATA_CLEANED!AK228,DATA_CLEANED!AN228),
ISNUMBER(SEARCH("USA",S4714)),"United States",
ISNUMBER(SEARCH("Republic of Ireland",S4714)),"Ireland",
ISNUMBER(SEARCH("Republic of Korea",S4714)),"South Korea",
ISNUMBER(SEARCH("Cape Verde",S4714)),"Cabo Verde",
ISNUMBER(SEARCH("Czechia",S4714)),"Czech Republic",
ISNUMBER(SEARCH("Türkiye",S4714)),"Turkey",
ISNUMBER(SEARCH("Ivory Coast",S4714)),"Côte d'Ivoire",
ISNUMBER(SEARCH("Korea Republic",S4714)),"South Korea",
ISNUMBER(SEARCH("Germany FR",S4714)),"FR Germany",
ISNUMBER(SEARCH("West Germany",S4714)),"FR Germany",
ISNUMBER(SEARCH("Germany DR",S4714)),"DR Germany",
ISNUMBER(SEARCH("Korea DPR",S4714)),"North Korea",
ISNUMBER(SEARCH("China PR",S4714)),"China",
ISNUMBER(SEARCH("IR Iran",S4714)),"Iran",
ISNUMBER(SEARCH("Congo DR",S4714)),"Democratic Republic of the Congo",
ISNUMBER(SEARCH("DR Congo",S4714)),"Democratic Republic of the Congo",
ISNUMBER(SEARCH("German DR",S4714)),"DR Germany",
ISNUMBER(SEARCH("rn""&gt;United Arab Emirates",S4714)),"United Arab Emirates",
ISNUMBER(SEARCH("rn""&gt;Republic of Ireland",S4714)),"Ireland",
ISNUMBER(SEARCH("rn""&gt;Bosnia and Herzegovina",S4714)),"Bosnia and Herzegovina",
ISNUMBER(SEARCH("rn""&gt;Trinidad and Tobago",S4714)),"Trinidad and Tobago",
ISNUMBER(SEARCH("rn""&gt;Serbia and Montenegro",S4714)),"Serbia and Montenegro",
ISNUMBER(SEARCH(_xlfn.UNICHAR(65533),S4714)),"Côte d'Ivoire",
TRUE,"-"
)</f>
        <v>FR Germany</v>
      </c>
      <c r="W4714" s="42" t="str">
        <f t="shared" si="294"/>
        <v>FR Germany win after extra time</v>
      </c>
    </row>
    <row r="4715" spans="19:23">
      <c r="S4715" s="42" t="str">
        <v/>
      </c>
      <c r="T4715" s="42" t="str">
        <f t="shared" si="292"/>
        <v>-</v>
      </c>
      <c r="U4715" s="40" t="str">
        <f t="shared" si="293"/>
        <v>-</v>
      </c>
      <c r="V4715" s="42" t="str" cm="1">
        <f t="array" ref="V4715">_xlfn.IFS(
LEFT(S4715,16)="win on penalties",IF(VALUE(MID(S4715,19,1))&gt;VALUE(MID(S4715,23,1)),DATA_CLEANED!AK229,DATA_CLEANED!AN229),
ISNUMBER(SEARCH("USA",S4715)),"United States",
ISNUMBER(SEARCH("Republic of Ireland",S4715)),"Ireland",
ISNUMBER(SEARCH("Republic of Korea",S4715)),"South Korea",
ISNUMBER(SEARCH("Cape Verde",S4715)),"Cabo Verde",
ISNUMBER(SEARCH("Czechia",S4715)),"Czech Republic",
ISNUMBER(SEARCH("Türkiye",S4715)),"Turkey",
ISNUMBER(SEARCH("Ivory Coast",S4715)),"Côte d'Ivoire",
ISNUMBER(SEARCH("Korea Republic",S4715)),"South Korea",
ISNUMBER(SEARCH("Germany FR",S4715)),"FR Germany",
ISNUMBER(SEARCH("West Germany",S4715)),"FR Germany",
ISNUMBER(SEARCH("Germany DR",S4715)),"DR Germany",
ISNUMBER(SEARCH("Korea DPR",S4715)),"North Korea",
ISNUMBER(SEARCH("China PR",S4715)),"China",
ISNUMBER(SEARCH("IR Iran",S4715)),"Iran",
ISNUMBER(SEARCH("Congo DR",S4715)),"Democratic Republic of the Congo",
ISNUMBER(SEARCH("DR Congo",S4715)),"Democratic Republic of the Congo",
ISNUMBER(SEARCH("German DR",S4715)),"DR Germany",
ISNUMBER(SEARCH("rn""&gt;United Arab Emirates",S4715)),"United Arab Emirates",
ISNUMBER(SEARCH("rn""&gt;Republic of Ireland",S4715)),"Ireland",
ISNUMBER(SEARCH("rn""&gt;Bosnia and Herzegovina",S4715)),"Bosnia and Herzegovina",
ISNUMBER(SEARCH("rn""&gt;Trinidad and Tobago",S4715)),"Trinidad and Tobago",
ISNUMBER(SEARCH("rn""&gt;Serbia and Montenegro",S4715)),"Serbia and Montenegro",
ISNUMBER(SEARCH(_xlfn.UNICHAR(65533),S4715)),"Côte d'Ivoire",
TRUE,"-"
)</f>
        <v>-</v>
      </c>
      <c r="W4715" s="42" t="str">
        <f t="shared" si="294"/>
        <v>-</v>
      </c>
    </row>
    <row r="4716" spans="19:23">
      <c r="S4716" s="42" t="str">
        <v>Uruguay win after extra time</v>
      </c>
      <c r="T4716" s="42" t="str">
        <f t="shared" si="292"/>
        <v>Uruguay</v>
      </c>
      <c r="U4716" s="40" t="str">
        <f t="shared" si="293"/>
        <v>AUCUNE</v>
      </c>
      <c r="V4716" s="42" t="str" cm="1">
        <f t="array" ref="V4716">_xlfn.IFS(
LEFT(S4716,16)="win on penalties",IF(VALUE(MID(S4716,19,1))&gt;VALUE(MID(S4716,23,1)),DATA_CLEANED!AK230,DATA_CLEANED!AN230),
ISNUMBER(SEARCH("USA",S4716)),"United States",
ISNUMBER(SEARCH("Republic of Ireland",S4716)),"Ireland",
ISNUMBER(SEARCH("Republic of Korea",S4716)),"South Korea",
ISNUMBER(SEARCH("Cape Verde",S4716)),"Cabo Verde",
ISNUMBER(SEARCH("Czechia",S4716)),"Czech Republic",
ISNUMBER(SEARCH("Türkiye",S4716)),"Turkey",
ISNUMBER(SEARCH("Ivory Coast",S4716)),"Côte d'Ivoire",
ISNUMBER(SEARCH("Korea Republic",S4716)),"South Korea",
ISNUMBER(SEARCH("Germany FR",S4716)),"FR Germany",
ISNUMBER(SEARCH("West Germany",S4716)),"FR Germany",
ISNUMBER(SEARCH("Germany DR",S4716)),"DR Germany",
ISNUMBER(SEARCH("Korea DPR",S4716)),"North Korea",
ISNUMBER(SEARCH("China PR",S4716)),"China",
ISNUMBER(SEARCH("IR Iran",S4716)),"Iran",
ISNUMBER(SEARCH("Congo DR",S4716)),"Democratic Republic of the Congo",
ISNUMBER(SEARCH("DR Congo",S4716)),"Democratic Republic of the Congo",
ISNUMBER(SEARCH("German DR",S4716)),"DR Germany",
ISNUMBER(SEARCH("rn""&gt;United Arab Emirates",S4716)),"United Arab Emirates",
ISNUMBER(SEARCH("rn""&gt;Republic of Ireland",S4716)),"Ireland",
ISNUMBER(SEARCH("rn""&gt;Bosnia and Herzegovina",S4716)),"Bosnia and Herzegovina",
ISNUMBER(SEARCH("rn""&gt;Trinidad and Tobago",S4716)),"Trinidad and Tobago",
ISNUMBER(SEARCH("rn""&gt;Serbia and Montenegro",S4716)),"Serbia and Montenegro",
ISNUMBER(SEARCH(_xlfn.UNICHAR(65533),S4716)),"Côte d'Ivoire",
TRUE,"-"
)</f>
        <v>-</v>
      </c>
      <c r="W4716" s="42" t="str">
        <f t="shared" si="294"/>
        <v>Uruguay win after extra time</v>
      </c>
    </row>
    <row r="4717" spans="19:23">
      <c r="S4717" s="42" t="str">
        <v/>
      </c>
      <c r="T4717" s="42" t="str">
        <f t="shared" si="292"/>
        <v>-</v>
      </c>
      <c r="U4717" s="40" t="str">
        <f t="shared" si="293"/>
        <v>-</v>
      </c>
      <c r="V4717" s="42" t="str" cm="1">
        <f t="array" ref="V4717">_xlfn.IFS(
LEFT(S4717,16)="win on penalties",IF(VALUE(MID(S4717,19,1))&gt;VALUE(MID(S4717,23,1)),DATA_CLEANED!AK231,DATA_CLEANED!AN231),
ISNUMBER(SEARCH("USA",S4717)),"United States",
ISNUMBER(SEARCH("Republic of Ireland",S4717)),"Ireland",
ISNUMBER(SEARCH("Republic of Korea",S4717)),"South Korea",
ISNUMBER(SEARCH("Cape Verde",S4717)),"Cabo Verde",
ISNUMBER(SEARCH("Czechia",S4717)),"Czech Republic",
ISNUMBER(SEARCH("Türkiye",S4717)),"Turkey",
ISNUMBER(SEARCH("Ivory Coast",S4717)),"Côte d'Ivoire",
ISNUMBER(SEARCH("Korea Republic",S4717)),"South Korea",
ISNUMBER(SEARCH("Germany FR",S4717)),"FR Germany",
ISNUMBER(SEARCH("West Germany",S4717)),"FR Germany",
ISNUMBER(SEARCH("Germany DR",S4717)),"DR Germany",
ISNUMBER(SEARCH("Korea DPR",S4717)),"North Korea",
ISNUMBER(SEARCH("China PR",S4717)),"China",
ISNUMBER(SEARCH("IR Iran",S4717)),"Iran",
ISNUMBER(SEARCH("Congo DR",S4717)),"Democratic Republic of the Congo",
ISNUMBER(SEARCH("DR Congo",S4717)),"Democratic Republic of the Congo",
ISNUMBER(SEARCH("German DR",S4717)),"DR Germany",
ISNUMBER(SEARCH("rn""&gt;United Arab Emirates",S4717)),"United Arab Emirates",
ISNUMBER(SEARCH("rn""&gt;Republic of Ireland",S4717)),"Ireland",
ISNUMBER(SEARCH("rn""&gt;Bosnia and Herzegovina",S4717)),"Bosnia and Herzegovina",
ISNUMBER(SEARCH("rn""&gt;Trinidad and Tobago",S4717)),"Trinidad and Tobago",
ISNUMBER(SEARCH("rn""&gt;Serbia and Montenegro",S4717)),"Serbia and Montenegro",
ISNUMBER(SEARCH(_xlfn.UNICHAR(65533),S4717)),"Côte d'Ivoire",
TRUE,"-"
)</f>
        <v>-</v>
      </c>
      <c r="W4717" s="42" t="str">
        <f t="shared" si="294"/>
        <v>-</v>
      </c>
    </row>
    <row r="4718" spans="19:23">
      <c r="S4718" s="42" t="str">
        <v>Italy win after extra time</v>
      </c>
      <c r="T4718" s="42" t="str">
        <f t="shared" si="292"/>
        <v>Italy</v>
      </c>
      <c r="U4718" s="40" t="str">
        <f t="shared" si="293"/>
        <v>AUCUNE</v>
      </c>
      <c r="V4718" s="42" t="str" cm="1">
        <f t="array" ref="V4718">_xlfn.IFS(
LEFT(S4718,16)="win on penalties",IF(VALUE(MID(S4718,19,1))&gt;VALUE(MID(S4718,23,1)),DATA_CLEANED!AK232,DATA_CLEANED!AN232),
ISNUMBER(SEARCH("USA",S4718)),"United States",
ISNUMBER(SEARCH("Republic of Ireland",S4718)),"Ireland",
ISNUMBER(SEARCH("Republic of Korea",S4718)),"South Korea",
ISNUMBER(SEARCH("Cape Verde",S4718)),"Cabo Verde",
ISNUMBER(SEARCH("Czechia",S4718)),"Czech Republic",
ISNUMBER(SEARCH("Türkiye",S4718)),"Turkey",
ISNUMBER(SEARCH("Ivory Coast",S4718)),"Côte d'Ivoire",
ISNUMBER(SEARCH("Korea Republic",S4718)),"South Korea",
ISNUMBER(SEARCH("Germany FR",S4718)),"FR Germany",
ISNUMBER(SEARCH("West Germany",S4718)),"FR Germany",
ISNUMBER(SEARCH("Germany DR",S4718)),"DR Germany",
ISNUMBER(SEARCH("Korea DPR",S4718)),"North Korea",
ISNUMBER(SEARCH("China PR",S4718)),"China",
ISNUMBER(SEARCH("IR Iran",S4718)),"Iran",
ISNUMBER(SEARCH("Congo DR",S4718)),"Democratic Republic of the Congo",
ISNUMBER(SEARCH("DR Congo",S4718)),"Democratic Republic of the Congo",
ISNUMBER(SEARCH("German DR",S4718)),"DR Germany",
ISNUMBER(SEARCH("rn""&gt;United Arab Emirates",S4718)),"United Arab Emirates",
ISNUMBER(SEARCH("rn""&gt;Republic of Ireland",S4718)),"Ireland",
ISNUMBER(SEARCH("rn""&gt;Bosnia and Herzegovina",S4718)),"Bosnia and Herzegovina",
ISNUMBER(SEARCH("rn""&gt;Trinidad and Tobago",S4718)),"Trinidad and Tobago",
ISNUMBER(SEARCH("rn""&gt;Serbia and Montenegro",S4718)),"Serbia and Montenegro",
ISNUMBER(SEARCH(_xlfn.UNICHAR(65533),S4718)),"Côte d'Ivoire",
TRUE,"-"
)</f>
        <v>-</v>
      </c>
      <c r="W4718" s="42" t="str">
        <f t="shared" si="294"/>
        <v>Italy win after extra time</v>
      </c>
    </row>
    <row r="4719" spans="19:23">
      <c r="S4719" s="42" t="str">
        <v/>
      </c>
      <c r="T4719" s="42" t="str">
        <f t="shared" si="292"/>
        <v>-</v>
      </c>
      <c r="U4719" s="40" t="str">
        <f t="shared" si="293"/>
        <v>-</v>
      </c>
      <c r="V4719" s="42" t="str" cm="1">
        <f t="array" ref="V4719">_xlfn.IFS(
LEFT(S4719,16)="win on penalties",IF(VALUE(MID(S4719,19,1))&gt;VALUE(MID(S4719,23,1)),DATA_CLEANED!AK233,DATA_CLEANED!AN233),
ISNUMBER(SEARCH("USA",S4719)),"United States",
ISNUMBER(SEARCH("Republic of Ireland",S4719)),"Ireland",
ISNUMBER(SEARCH("Republic of Korea",S4719)),"South Korea",
ISNUMBER(SEARCH("Cape Verde",S4719)),"Cabo Verde",
ISNUMBER(SEARCH("Czechia",S4719)),"Czech Republic",
ISNUMBER(SEARCH("Türkiye",S4719)),"Turkey",
ISNUMBER(SEARCH("Ivory Coast",S4719)),"Côte d'Ivoire",
ISNUMBER(SEARCH("Korea Republic",S4719)),"South Korea",
ISNUMBER(SEARCH("Germany FR",S4719)),"FR Germany",
ISNUMBER(SEARCH("West Germany",S4719)),"FR Germany",
ISNUMBER(SEARCH("Germany DR",S4719)),"DR Germany",
ISNUMBER(SEARCH("Korea DPR",S4719)),"North Korea",
ISNUMBER(SEARCH("China PR",S4719)),"China",
ISNUMBER(SEARCH("IR Iran",S4719)),"Iran",
ISNUMBER(SEARCH("Congo DR",S4719)),"Democratic Republic of the Congo",
ISNUMBER(SEARCH("DR Congo",S4719)),"Democratic Republic of the Congo",
ISNUMBER(SEARCH("German DR",S4719)),"DR Germany",
ISNUMBER(SEARCH("rn""&gt;United Arab Emirates",S4719)),"United Arab Emirates",
ISNUMBER(SEARCH("rn""&gt;Republic of Ireland",S4719)),"Ireland",
ISNUMBER(SEARCH("rn""&gt;Bosnia and Herzegovina",S4719)),"Bosnia and Herzegovina",
ISNUMBER(SEARCH("rn""&gt;Trinidad and Tobago",S4719)),"Trinidad and Tobago",
ISNUMBER(SEARCH("rn""&gt;Serbia and Montenegro",S4719)),"Serbia and Montenegro",
ISNUMBER(SEARCH(_xlfn.UNICHAR(65533),S4719)),"Côte d'Ivoire",
TRUE,"-"
)</f>
        <v>-</v>
      </c>
      <c r="W4719" s="42" t="str">
        <f t="shared" si="294"/>
        <v>-</v>
      </c>
    </row>
    <row r="4720" spans="19:23">
      <c r="S4720" s="42" t="str">
        <v/>
      </c>
      <c r="T4720" s="42" t="str">
        <f t="shared" si="292"/>
        <v>-</v>
      </c>
      <c r="U4720" s="40" t="str">
        <f t="shared" si="293"/>
        <v>-</v>
      </c>
      <c r="V4720" s="42" t="str" cm="1">
        <f t="array" ref="V4720">_xlfn.IFS(
LEFT(S4720,16)="win on penalties",IF(VALUE(MID(S4720,19,1))&gt;VALUE(MID(S4720,23,1)),DATA_CLEANED!AK234,DATA_CLEANED!AN234),
ISNUMBER(SEARCH("USA",S4720)),"United States",
ISNUMBER(SEARCH("Republic of Ireland",S4720)),"Ireland",
ISNUMBER(SEARCH("Republic of Korea",S4720)),"South Korea",
ISNUMBER(SEARCH("Cape Verde",S4720)),"Cabo Verde",
ISNUMBER(SEARCH("Czechia",S4720)),"Czech Republic",
ISNUMBER(SEARCH("Türkiye",S4720)),"Turkey",
ISNUMBER(SEARCH("Ivory Coast",S4720)),"Côte d'Ivoire",
ISNUMBER(SEARCH("Korea Republic",S4720)),"South Korea",
ISNUMBER(SEARCH("Germany FR",S4720)),"FR Germany",
ISNUMBER(SEARCH("West Germany",S4720)),"FR Germany",
ISNUMBER(SEARCH("Germany DR",S4720)),"DR Germany",
ISNUMBER(SEARCH("Korea DPR",S4720)),"North Korea",
ISNUMBER(SEARCH("China PR",S4720)),"China",
ISNUMBER(SEARCH("IR Iran",S4720)),"Iran",
ISNUMBER(SEARCH("Congo DR",S4720)),"Democratic Republic of the Congo",
ISNUMBER(SEARCH("DR Congo",S4720)),"Democratic Republic of the Congo",
ISNUMBER(SEARCH("German DR",S4720)),"DR Germany",
ISNUMBER(SEARCH("rn""&gt;United Arab Emirates",S4720)),"United Arab Emirates",
ISNUMBER(SEARCH("rn""&gt;Republic of Ireland",S4720)),"Ireland",
ISNUMBER(SEARCH("rn""&gt;Bosnia and Herzegovina",S4720)),"Bosnia and Herzegovina",
ISNUMBER(SEARCH("rn""&gt;Trinidad and Tobago",S4720)),"Trinidad and Tobago",
ISNUMBER(SEARCH("rn""&gt;Serbia and Montenegro",S4720)),"Serbia and Montenegro",
ISNUMBER(SEARCH(_xlfn.UNICHAR(65533),S4720)),"Côte d'Ivoire",
TRUE,"-"
)</f>
        <v>-</v>
      </c>
      <c r="W4720" s="42" t="str">
        <f t="shared" si="294"/>
        <v>-</v>
      </c>
    </row>
    <row r="4721" spans="19:23">
      <c r="S4721" s="42" t="str">
        <v/>
      </c>
      <c r="T4721" s="42" t="str">
        <f t="shared" si="292"/>
        <v>-</v>
      </c>
      <c r="U4721" s="40" t="str">
        <f t="shared" si="293"/>
        <v>-</v>
      </c>
      <c r="V4721" s="42" t="str" cm="1">
        <f t="array" ref="V4721">_xlfn.IFS(
LEFT(S4721,16)="win on penalties",IF(VALUE(MID(S4721,19,1))&gt;VALUE(MID(S4721,23,1)),DATA_CLEANED!AK235,DATA_CLEANED!AN235),
ISNUMBER(SEARCH("USA",S4721)),"United States",
ISNUMBER(SEARCH("Republic of Ireland",S4721)),"Ireland",
ISNUMBER(SEARCH("Republic of Korea",S4721)),"South Korea",
ISNUMBER(SEARCH("Cape Verde",S4721)),"Cabo Verde",
ISNUMBER(SEARCH("Czechia",S4721)),"Czech Republic",
ISNUMBER(SEARCH("Türkiye",S4721)),"Turkey",
ISNUMBER(SEARCH("Ivory Coast",S4721)),"Côte d'Ivoire",
ISNUMBER(SEARCH("Korea Republic",S4721)),"South Korea",
ISNUMBER(SEARCH("Germany FR",S4721)),"FR Germany",
ISNUMBER(SEARCH("West Germany",S4721)),"FR Germany",
ISNUMBER(SEARCH("Germany DR",S4721)),"DR Germany",
ISNUMBER(SEARCH("Korea DPR",S4721)),"North Korea",
ISNUMBER(SEARCH("China PR",S4721)),"China",
ISNUMBER(SEARCH("IR Iran",S4721)),"Iran",
ISNUMBER(SEARCH("Congo DR",S4721)),"Democratic Republic of the Congo",
ISNUMBER(SEARCH("DR Congo",S4721)),"Democratic Republic of the Congo",
ISNUMBER(SEARCH("German DR",S4721)),"DR Germany",
ISNUMBER(SEARCH("rn""&gt;United Arab Emirates",S4721)),"United Arab Emirates",
ISNUMBER(SEARCH("rn""&gt;Republic of Ireland",S4721)),"Ireland",
ISNUMBER(SEARCH("rn""&gt;Bosnia and Herzegovina",S4721)),"Bosnia and Herzegovina",
ISNUMBER(SEARCH("rn""&gt;Trinidad and Tobago",S4721)),"Trinidad and Tobago",
ISNUMBER(SEARCH("rn""&gt;Serbia and Montenegro",S4721)),"Serbia and Montenegro",
ISNUMBER(SEARCH(_xlfn.UNICHAR(65533),S4721)),"Côte d'Ivoire",
TRUE,"-"
)</f>
        <v>-</v>
      </c>
      <c r="W4721" s="42" t="str">
        <f t="shared" si="294"/>
        <v>-</v>
      </c>
    </row>
    <row r="4722" spans="19:23">
      <c r="S4722" s="42" t="str">
        <v/>
      </c>
      <c r="T4722" s="42" t="str">
        <f t="shared" si="292"/>
        <v>-</v>
      </c>
      <c r="U4722" s="40" t="str">
        <f t="shared" si="293"/>
        <v>-</v>
      </c>
      <c r="V4722" s="42" t="str" cm="1">
        <f t="array" ref="V4722">_xlfn.IFS(
LEFT(S4722,16)="win on penalties",IF(VALUE(MID(S4722,19,1))&gt;VALUE(MID(S4722,23,1)),DATA_CLEANED!AK236,DATA_CLEANED!AN236),
ISNUMBER(SEARCH("USA",S4722)),"United States",
ISNUMBER(SEARCH("Republic of Ireland",S4722)),"Ireland",
ISNUMBER(SEARCH("Republic of Korea",S4722)),"South Korea",
ISNUMBER(SEARCH("Cape Verde",S4722)),"Cabo Verde",
ISNUMBER(SEARCH("Czechia",S4722)),"Czech Republic",
ISNUMBER(SEARCH("Türkiye",S4722)),"Turkey",
ISNUMBER(SEARCH("Ivory Coast",S4722)),"Côte d'Ivoire",
ISNUMBER(SEARCH("Korea Republic",S4722)),"South Korea",
ISNUMBER(SEARCH("Germany FR",S4722)),"FR Germany",
ISNUMBER(SEARCH("West Germany",S4722)),"FR Germany",
ISNUMBER(SEARCH("Germany DR",S4722)),"DR Germany",
ISNUMBER(SEARCH("Korea DPR",S4722)),"North Korea",
ISNUMBER(SEARCH("China PR",S4722)),"China",
ISNUMBER(SEARCH("IR Iran",S4722)),"Iran",
ISNUMBER(SEARCH("Congo DR",S4722)),"Democratic Republic of the Congo",
ISNUMBER(SEARCH("DR Congo",S4722)),"Democratic Republic of the Congo",
ISNUMBER(SEARCH("German DR",S4722)),"DR Germany",
ISNUMBER(SEARCH("rn""&gt;United Arab Emirates",S4722)),"United Arab Emirates",
ISNUMBER(SEARCH("rn""&gt;Republic of Ireland",S4722)),"Ireland",
ISNUMBER(SEARCH("rn""&gt;Bosnia and Herzegovina",S4722)),"Bosnia and Herzegovina",
ISNUMBER(SEARCH("rn""&gt;Trinidad and Tobago",S4722)),"Trinidad and Tobago",
ISNUMBER(SEARCH("rn""&gt;Serbia and Montenegro",S4722)),"Serbia and Montenegro",
ISNUMBER(SEARCH(_xlfn.UNICHAR(65533),S4722)),"Côte d'Ivoire",
TRUE,"-"
)</f>
        <v>-</v>
      </c>
      <c r="W4722" s="42" t="str">
        <f t="shared" si="294"/>
        <v>-</v>
      </c>
    </row>
    <row r="4723" spans="19:23">
      <c r="S4723" s="42" t="str">
        <v/>
      </c>
      <c r="T4723" s="42" t="str">
        <f t="shared" si="292"/>
        <v>-</v>
      </c>
      <c r="U4723" s="40" t="str">
        <f t="shared" si="293"/>
        <v>-</v>
      </c>
      <c r="V4723" s="42" t="str" cm="1">
        <f t="array" ref="V4723">_xlfn.IFS(
LEFT(S4723,16)="win on penalties",IF(VALUE(MID(S4723,19,1))&gt;VALUE(MID(S4723,23,1)),DATA_CLEANED!AK237,DATA_CLEANED!AN237),
ISNUMBER(SEARCH("USA",S4723)),"United States",
ISNUMBER(SEARCH("Republic of Ireland",S4723)),"Ireland",
ISNUMBER(SEARCH("Republic of Korea",S4723)),"South Korea",
ISNUMBER(SEARCH("Cape Verde",S4723)),"Cabo Verde",
ISNUMBER(SEARCH("Czechia",S4723)),"Czech Republic",
ISNUMBER(SEARCH("Türkiye",S4723)),"Turkey",
ISNUMBER(SEARCH("Ivory Coast",S4723)),"Côte d'Ivoire",
ISNUMBER(SEARCH("Korea Republic",S4723)),"South Korea",
ISNUMBER(SEARCH("Germany FR",S4723)),"FR Germany",
ISNUMBER(SEARCH("West Germany",S4723)),"FR Germany",
ISNUMBER(SEARCH("Germany DR",S4723)),"DR Germany",
ISNUMBER(SEARCH("Korea DPR",S4723)),"North Korea",
ISNUMBER(SEARCH("China PR",S4723)),"China",
ISNUMBER(SEARCH("IR Iran",S4723)),"Iran",
ISNUMBER(SEARCH("Congo DR",S4723)),"Democratic Republic of the Congo",
ISNUMBER(SEARCH("DR Congo",S4723)),"Democratic Republic of the Congo",
ISNUMBER(SEARCH("German DR",S4723)),"DR Germany",
ISNUMBER(SEARCH("rn""&gt;United Arab Emirates",S4723)),"United Arab Emirates",
ISNUMBER(SEARCH("rn""&gt;Republic of Ireland",S4723)),"Ireland",
ISNUMBER(SEARCH("rn""&gt;Bosnia and Herzegovina",S4723)),"Bosnia and Herzegovina",
ISNUMBER(SEARCH("rn""&gt;Trinidad and Tobago",S4723)),"Trinidad and Tobago",
ISNUMBER(SEARCH("rn""&gt;Serbia and Montenegro",S4723)),"Serbia and Montenegro",
ISNUMBER(SEARCH(_xlfn.UNICHAR(65533),S4723)),"Côte d'Ivoire",
TRUE,"-"
)</f>
        <v>-</v>
      </c>
      <c r="W4723" s="42" t="str">
        <f t="shared" si="294"/>
        <v>-</v>
      </c>
    </row>
    <row r="4724" spans="19:23">
      <c r="S4724" s="42" t="str">
        <v/>
      </c>
      <c r="T4724" s="42" t="str">
        <f t="shared" si="292"/>
        <v>-</v>
      </c>
      <c r="U4724" s="40" t="str">
        <f t="shared" si="293"/>
        <v>-</v>
      </c>
      <c r="V4724" s="42" t="str" cm="1">
        <f t="array" ref="V4724">_xlfn.IFS(
LEFT(S4724,16)="win on penalties",IF(VALUE(MID(S4724,19,1))&gt;VALUE(MID(S4724,23,1)),DATA_CLEANED!AK238,DATA_CLEANED!AN238),
ISNUMBER(SEARCH("USA",S4724)),"United States",
ISNUMBER(SEARCH("Republic of Ireland",S4724)),"Ireland",
ISNUMBER(SEARCH("Republic of Korea",S4724)),"South Korea",
ISNUMBER(SEARCH("Cape Verde",S4724)),"Cabo Verde",
ISNUMBER(SEARCH("Czechia",S4724)),"Czech Republic",
ISNUMBER(SEARCH("Türkiye",S4724)),"Turkey",
ISNUMBER(SEARCH("Ivory Coast",S4724)),"Côte d'Ivoire",
ISNUMBER(SEARCH("Korea Republic",S4724)),"South Korea",
ISNUMBER(SEARCH("Germany FR",S4724)),"FR Germany",
ISNUMBER(SEARCH("West Germany",S4724)),"FR Germany",
ISNUMBER(SEARCH("Germany DR",S4724)),"DR Germany",
ISNUMBER(SEARCH("Korea DPR",S4724)),"North Korea",
ISNUMBER(SEARCH("China PR",S4724)),"China",
ISNUMBER(SEARCH("IR Iran",S4724)),"Iran",
ISNUMBER(SEARCH("Congo DR",S4724)),"Democratic Republic of the Congo",
ISNUMBER(SEARCH("DR Congo",S4724)),"Democratic Republic of the Congo",
ISNUMBER(SEARCH("German DR",S4724)),"DR Germany",
ISNUMBER(SEARCH("rn""&gt;United Arab Emirates",S4724)),"United Arab Emirates",
ISNUMBER(SEARCH("rn""&gt;Republic of Ireland",S4724)),"Ireland",
ISNUMBER(SEARCH("rn""&gt;Bosnia and Herzegovina",S4724)),"Bosnia and Herzegovina",
ISNUMBER(SEARCH("rn""&gt;Trinidad and Tobago",S4724)),"Trinidad and Tobago",
ISNUMBER(SEARCH("rn""&gt;Serbia and Montenegro",S4724)),"Serbia and Montenegro",
ISNUMBER(SEARCH(_xlfn.UNICHAR(65533),S4724)),"Côte d'Ivoire",
TRUE,"-"
)</f>
        <v>-</v>
      </c>
      <c r="W4724" s="42" t="str">
        <f t="shared" si="294"/>
        <v>-</v>
      </c>
    </row>
    <row r="4725" spans="19:23">
      <c r="S4725" s="42" t="str">
        <v/>
      </c>
      <c r="T4725" s="42" t="str">
        <f t="shared" si="292"/>
        <v>-</v>
      </c>
      <c r="U4725" s="40" t="str">
        <f t="shared" si="293"/>
        <v>-</v>
      </c>
      <c r="V4725" s="42" t="str" cm="1">
        <f t="array" ref="V4725">_xlfn.IFS(
LEFT(S4725,16)="win on penalties",IF(VALUE(MID(S4725,19,1))&gt;VALUE(MID(S4725,23,1)),DATA_CLEANED!AK239,DATA_CLEANED!AN239),
ISNUMBER(SEARCH("USA",S4725)),"United States",
ISNUMBER(SEARCH("Republic of Ireland",S4725)),"Ireland",
ISNUMBER(SEARCH("Republic of Korea",S4725)),"South Korea",
ISNUMBER(SEARCH("Cape Verde",S4725)),"Cabo Verde",
ISNUMBER(SEARCH("Czechia",S4725)),"Czech Republic",
ISNUMBER(SEARCH("Türkiye",S4725)),"Turkey",
ISNUMBER(SEARCH("Ivory Coast",S4725)),"Côte d'Ivoire",
ISNUMBER(SEARCH("Korea Republic",S4725)),"South Korea",
ISNUMBER(SEARCH("Germany FR",S4725)),"FR Germany",
ISNUMBER(SEARCH("West Germany",S4725)),"FR Germany",
ISNUMBER(SEARCH("Germany DR",S4725)),"DR Germany",
ISNUMBER(SEARCH("Korea DPR",S4725)),"North Korea",
ISNUMBER(SEARCH("China PR",S4725)),"China",
ISNUMBER(SEARCH("IR Iran",S4725)),"Iran",
ISNUMBER(SEARCH("Congo DR",S4725)),"Democratic Republic of the Congo",
ISNUMBER(SEARCH("DR Congo",S4725)),"Democratic Republic of the Congo",
ISNUMBER(SEARCH("German DR",S4725)),"DR Germany",
ISNUMBER(SEARCH("rn""&gt;United Arab Emirates",S4725)),"United Arab Emirates",
ISNUMBER(SEARCH("rn""&gt;Republic of Ireland",S4725)),"Ireland",
ISNUMBER(SEARCH("rn""&gt;Bosnia and Herzegovina",S4725)),"Bosnia and Herzegovina",
ISNUMBER(SEARCH("rn""&gt;Trinidad and Tobago",S4725)),"Trinidad and Tobago",
ISNUMBER(SEARCH("rn""&gt;Serbia and Montenegro",S4725)),"Serbia and Montenegro",
ISNUMBER(SEARCH(_xlfn.UNICHAR(65533),S4725)),"Côte d'Ivoire",
TRUE,"-"
)</f>
        <v>-</v>
      </c>
      <c r="W4725" s="42" t="str">
        <f t="shared" si="294"/>
        <v>-</v>
      </c>
    </row>
    <row r="4726" spans="19:23">
      <c r="S4726" s="42" t="str">
        <v/>
      </c>
      <c r="T4726" s="42" t="str">
        <f t="shared" si="292"/>
        <v>-</v>
      </c>
      <c r="U4726" s="40" t="str">
        <f t="shared" si="293"/>
        <v>-</v>
      </c>
      <c r="V4726" s="42" t="str" cm="1">
        <f t="array" ref="V4726">_xlfn.IFS(
LEFT(S4726,16)="win on penalties",IF(VALUE(MID(S4726,19,1))&gt;VALUE(MID(S4726,23,1)),DATA_CLEANED!AK240,DATA_CLEANED!AN240),
ISNUMBER(SEARCH("USA",S4726)),"United States",
ISNUMBER(SEARCH("Republic of Ireland",S4726)),"Ireland",
ISNUMBER(SEARCH("Republic of Korea",S4726)),"South Korea",
ISNUMBER(SEARCH("Cape Verde",S4726)),"Cabo Verde",
ISNUMBER(SEARCH("Czechia",S4726)),"Czech Republic",
ISNUMBER(SEARCH("Türkiye",S4726)),"Turkey",
ISNUMBER(SEARCH("Ivory Coast",S4726)),"Côte d'Ivoire",
ISNUMBER(SEARCH("Korea Republic",S4726)),"South Korea",
ISNUMBER(SEARCH("Germany FR",S4726)),"FR Germany",
ISNUMBER(SEARCH("West Germany",S4726)),"FR Germany",
ISNUMBER(SEARCH("Germany DR",S4726)),"DR Germany",
ISNUMBER(SEARCH("Korea DPR",S4726)),"North Korea",
ISNUMBER(SEARCH("China PR",S4726)),"China",
ISNUMBER(SEARCH("IR Iran",S4726)),"Iran",
ISNUMBER(SEARCH("Congo DR",S4726)),"Democratic Republic of the Congo",
ISNUMBER(SEARCH("DR Congo",S4726)),"Democratic Republic of the Congo",
ISNUMBER(SEARCH("German DR",S4726)),"DR Germany",
ISNUMBER(SEARCH("rn""&gt;United Arab Emirates",S4726)),"United Arab Emirates",
ISNUMBER(SEARCH("rn""&gt;Republic of Ireland",S4726)),"Ireland",
ISNUMBER(SEARCH("rn""&gt;Bosnia and Herzegovina",S4726)),"Bosnia and Herzegovina",
ISNUMBER(SEARCH("rn""&gt;Trinidad and Tobago",S4726)),"Trinidad and Tobago",
ISNUMBER(SEARCH("rn""&gt;Serbia and Montenegro",S4726)),"Serbia and Montenegro",
ISNUMBER(SEARCH(_xlfn.UNICHAR(65533),S4726)),"Côte d'Ivoire",
TRUE,"-"
)</f>
        <v>-</v>
      </c>
      <c r="W4726" s="42" t="str">
        <f t="shared" si="294"/>
        <v>-</v>
      </c>
    </row>
    <row r="4727" spans="19:23">
      <c r="S4727" s="42" t="str">
        <v/>
      </c>
      <c r="T4727" s="42" t="str">
        <f t="shared" si="292"/>
        <v>-</v>
      </c>
      <c r="U4727" s="40" t="str">
        <f t="shared" si="293"/>
        <v>-</v>
      </c>
      <c r="V4727" s="42" t="str" cm="1">
        <f t="array" ref="V4727">_xlfn.IFS(
LEFT(S4727,16)="win on penalties",IF(VALUE(MID(S4727,19,1))&gt;VALUE(MID(S4727,23,1)),DATA_CLEANED!AK241,DATA_CLEANED!AN241),
ISNUMBER(SEARCH("USA",S4727)),"United States",
ISNUMBER(SEARCH("Republic of Ireland",S4727)),"Ireland",
ISNUMBER(SEARCH("Republic of Korea",S4727)),"South Korea",
ISNUMBER(SEARCH("Cape Verde",S4727)),"Cabo Verde",
ISNUMBER(SEARCH("Czechia",S4727)),"Czech Republic",
ISNUMBER(SEARCH("Türkiye",S4727)),"Turkey",
ISNUMBER(SEARCH("Ivory Coast",S4727)),"Côte d'Ivoire",
ISNUMBER(SEARCH("Korea Republic",S4727)),"South Korea",
ISNUMBER(SEARCH("Germany FR",S4727)),"FR Germany",
ISNUMBER(SEARCH("West Germany",S4727)),"FR Germany",
ISNUMBER(SEARCH("Germany DR",S4727)),"DR Germany",
ISNUMBER(SEARCH("Korea DPR",S4727)),"North Korea",
ISNUMBER(SEARCH("China PR",S4727)),"China",
ISNUMBER(SEARCH("IR Iran",S4727)),"Iran",
ISNUMBER(SEARCH("Congo DR",S4727)),"Democratic Republic of the Congo",
ISNUMBER(SEARCH("DR Congo",S4727)),"Democratic Republic of the Congo",
ISNUMBER(SEARCH("German DR",S4727)),"DR Germany",
ISNUMBER(SEARCH("rn""&gt;United Arab Emirates",S4727)),"United Arab Emirates",
ISNUMBER(SEARCH("rn""&gt;Republic of Ireland",S4727)),"Ireland",
ISNUMBER(SEARCH("rn""&gt;Bosnia and Herzegovina",S4727)),"Bosnia and Herzegovina",
ISNUMBER(SEARCH("rn""&gt;Trinidad and Tobago",S4727)),"Trinidad and Tobago",
ISNUMBER(SEARCH("rn""&gt;Serbia and Montenegro",S4727)),"Serbia and Montenegro",
ISNUMBER(SEARCH(_xlfn.UNICHAR(65533),S4727)),"Côte d'Ivoire",
TRUE,"-"
)</f>
        <v>-</v>
      </c>
      <c r="W4727" s="42" t="str">
        <f t="shared" si="294"/>
        <v>-</v>
      </c>
    </row>
    <row r="4728" spans="19:23">
      <c r="S4728" s="42" t="str">
        <v/>
      </c>
      <c r="T4728" s="42" t="str">
        <f t="shared" si="292"/>
        <v>-</v>
      </c>
      <c r="U4728" s="40" t="str">
        <f t="shared" si="293"/>
        <v>-</v>
      </c>
      <c r="V4728" s="42" t="str" cm="1">
        <f t="array" ref="V4728">_xlfn.IFS(
LEFT(S4728,16)="win on penalties",IF(VALUE(MID(S4728,19,1))&gt;VALUE(MID(S4728,23,1)),DATA_CLEANED!AK242,DATA_CLEANED!AN242),
ISNUMBER(SEARCH("USA",S4728)),"United States",
ISNUMBER(SEARCH("Republic of Ireland",S4728)),"Ireland",
ISNUMBER(SEARCH("Republic of Korea",S4728)),"South Korea",
ISNUMBER(SEARCH("Cape Verde",S4728)),"Cabo Verde",
ISNUMBER(SEARCH("Czechia",S4728)),"Czech Republic",
ISNUMBER(SEARCH("Türkiye",S4728)),"Turkey",
ISNUMBER(SEARCH("Ivory Coast",S4728)),"Côte d'Ivoire",
ISNUMBER(SEARCH("Korea Republic",S4728)),"South Korea",
ISNUMBER(SEARCH("Germany FR",S4728)),"FR Germany",
ISNUMBER(SEARCH("West Germany",S4728)),"FR Germany",
ISNUMBER(SEARCH("Germany DR",S4728)),"DR Germany",
ISNUMBER(SEARCH("Korea DPR",S4728)),"North Korea",
ISNUMBER(SEARCH("China PR",S4728)),"China",
ISNUMBER(SEARCH("IR Iran",S4728)),"Iran",
ISNUMBER(SEARCH("Congo DR",S4728)),"Democratic Republic of the Congo",
ISNUMBER(SEARCH("DR Congo",S4728)),"Democratic Republic of the Congo",
ISNUMBER(SEARCH("German DR",S4728)),"DR Germany",
ISNUMBER(SEARCH("rn""&gt;United Arab Emirates",S4728)),"United Arab Emirates",
ISNUMBER(SEARCH("rn""&gt;Republic of Ireland",S4728)),"Ireland",
ISNUMBER(SEARCH("rn""&gt;Bosnia and Herzegovina",S4728)),"Bosnia and Herzegovina",
ISNUMBER(SEARCH("rn""&gt;Trinidad and Tobago",S4728)),"Trinidad and Tobago",
ISNUMBER(SEARCH("rn""&gt;Serbia and Montenegro",S4728)),"Serbia and Montenegro",
ISNUMBER(SEARCH(_xlfn.UNICHAR(65533),S4728)),"Côte d'Ivoire",
TRUE,"-"
)</f>
        <v>-</v>
      </c>
      <c r="W4728" s="42" t="str">
        <f t="shared" si="294"/>
        <v>-</v>
      </c>
    </row>
    <row r="4729" spans="19:23">
      <c r="S4729" s="42" t="str">
        <v/>
      </c>
      <c r="T4729" s="42" t="str">
        <f t="shared" si="292"/>
        <v>-</v>
      </c>
      <c r="U4729" s="40" t="str">
        <f t="shared" si="293"/>
        <v>-</v>
      </c>
      <c r="V4729" s="42" t="str" cm="1">
        <f t="array" ref="V4729">_xlfn.IFS(
LEFT(S4729,16)="win on penalties",IF(VALUE(MID(S4729,19,1))&gt;VALUE(MID(S4729,23,1)),DATA_CLEANED!AK243,DATA_CLEANED!AN243),
ISNUMBER(SEARCH("USA",S4729)),"United States",
ISNUMBER(SEARCH("Republic of Ireland",S4729)),"Ireland",
ISNUMBER(SEARCH("Republic of Korea",S4729)),"South Korea",
ISNUMBER(SEARCH("Cape Verde",S4729)),"Cabo Verde",
ISNUMBER(SEARCH("Czechia",S4729)),"Czech Republic",
ISNUMBER(SEARCH("Türkiye",S4729)),"Turkey",
ISNUMBER(SEARCH("Ivory Coast",S4729)),"Côte d'Ivoire",
ISNUMBER(SEARCH("Korea Republic",S4729)),"South Korea",
ISNUMBER(SEARCH("Germany FR",S4729)),"FR Germany",
ISNUMBER(SEARCH("West Germany",S4729)),"FR Germany",
ISNUMBER(SEARCH("Germany DR",S4729)),"DR Germany",
ISNUMBER(SEARCH("Korea DPR",S4729)),"North Korea",
ISNUMBER(SEARCH("China PR",S4729)),"China",
ISNUMBER(SEARCH("IR Iran",S4729)),"Iran",
ISNUMBER(SEARCH("Congo DR",S4729)),"Democratic Republic of the Congo",
ISNUMBER(SEARCH("DR Congo",S4729)),"Democratic Republic of the Congo",
ISNUMBER(SEARCH("German DR",S4729)),"DR Germany",
ISNUMBER(SEARCH("rn""&gt;United Arab Emirates",S4729)),"United Arab Emirates",
ISNUMBER(SEARCH("rn""&gt;Republic of Ireland",S4729)),"Ireland",
ISNUMBER(SEARCH("rn""&gt;Bosnia and Herzegovina",S4729)),"Bosnia and Herzegovina",
ISNUMBER(SEARCH("rn""&gt;Trinidad and Tobago",S4729)),"Trinidad and Tobago",
ISNUMBER(SEARCH("rn""&gt;Serbia and Montenegro",S4729)),"Serbia and Montenegro",
ISNUMBER(SEARCH(_xlfn.UNICHAR(65533),S4729)),"Côte d'Ivoire",
TRUE,"-"
)</f>
        <v>-</v>
      </c>
      <c r="W4729" s="42" t="str">
        <f t="shared" si="294"/>
        <v>-</v>
      </c>
    </row>
    <row r="4730" spans="19:23">
      <c r="S4730" s="42" t="str">
        <v/>
      </c>
      <c r="T4730" s="42" t="str">
        <f t="shared" si="292"/>
        <v>-</v>
      </c>
      <c r="U4730" s="40" t="str">
        <f t="shared" si="293"/>
        <v>-</v>
      </c>
      <c r="V4730" s="42" t="str" cm="1">
        <f t="array" ref="V4730">_xlfn.IFS(
LEFT(S4730,16)="win on penalties",IF(VALUE(MID(S4730,19,1))&gt;VALUE(MID(S4730,23,1)),DATA_CLEANED!AK244,DATA_CLEANED!AN244),
ISNUMBER(SEARCH("USA",S4730)),"United States",
ISNUMBER(SEARCH("Republic of Ireland",S4730)),"Ireland",
ISNUMBER(SEARCH("Republic of Korea",S4730)),"South Korea",
ISNUMBER(SEARCH("Cape Verde",S4730)),"Cabo Verde",
ISNUMBER(SEARCH("Czechia",S4730)),"Czech Republic",
ISNUMBER(SEARCH("Türkiye",S4730)),"Turkey",
ISNUMBER(SEARCH("Ivory Coast",S4730)),"Côte d'Ivoire",
ISNUMBER(SEARCH("Korea Republic",S4730)),"South Korea",
ISNUMBER(SEARCH("Germany FR",S4730)),"FR Germany",
ISNUMBER(SEARCH("West Germany",S4730)),"FR Germany",
ISNUMBER(SEARCH("Germany DR",S4730)),"DR Germany",
ISNUMBER(SEARCH("Korea DPR",S4730)),"North Korea",
ISNUMBER(SEARCH("China PR",S4730)),"China",
ISNUMBER(SEARCH("IR Iran",S4730)),"Iran",
ISNUMBER(SEARCH("Congo DR",S4730)),"Democratic Republic of the Congo",
ISNUMBER(SEARCH("DR Congo",S4730)),"Democratic Republic of the Congo",
ISNUMBER(SEARCH("German DR",S4730)),"DR Germany",
ISNUMBER(SEARCH("rn""&gt;United Arab Emirates",S4730)),"United Arab Emirates",
ISNUMBER(SEARCH("rn""&gt;Republic of Ireland",S4730)),"Ireland",
ISNUMBER(SEARCH("rn""&gt;Bosnia and Herzegovina",S4730)),"Bosnia and Herzegovina",
ISNUMBER(SEARCH("rn""&gt;Trinidad and Tobago",S4730)),"Trinidad and Tobago",
ISNUMBER(SEARCH("rn""&gt;Serbia and Montenegro",S4730)),"Serbia and Montenegro",
ISNUMBER(SEARCH(_xlfn.UNICHAR(65533),S4730)),"Côte d'Ivoire",
TRUE,"-"
)</f>
        <v>-</v>
      </c>
      <c r="W4730" s="42" t="str">
        <f t="shared" si="294"/>
        <v>-</v>
      </c>
    </row>
    <row r="4731" spans="19:23">
      <c r="S4731" s="42" t="str">
        <v/>
      </c>
      <c r="T4731" s="42" t="str">
        <f t="shared" si="292"/>
        <v>-</v>
      </c>
      <c r="U4731" s="40" t="str">
        <f t="shared" si="293"/>
        <v>-</v>
      </c>
      <c r="V4731" s="42" t="str" cm="1">
        <f t="array" ref="V4731">_xlfn.IFS(
LEFT(S4731,16)="win on penalties",IF(VALUE(MID(S4731,19,1))&gt;VALUE(MID(S4731,23,1)),DATA_CLEANED!AK245,DATA_CLEANED!AN245),
ISNUMBER(SEARCH("USA",S4731)),"United States",
ISNUMBER(SEARCH("Republic of Ireland",S4731)),"Ireland",
ISNUMBER(SEARCH("Republic of Korea",S4731)),"South Korea",
ISNUMBER(SEARCH("Cape Verde",S4731)),"Cabo Verde",
ISNUMBER(SEARCH("Czechia",S4731)),"Czech Republic",
ISNUMBER(SEARCH("Türkiye",S4731)),"Turkey",
ISNUMBER(SEARCH("Ivory Coast",S4731)),"Côte d'Ivoire",
ISNUMBER(SEARCH("Korea Republic",S4731)),"South Korea",
ISNUMBER(SEARCH("Germany FR",S4731)),"FR Germany",
ISNUMBER(SEARCH("West Germany",S4731)),"FR Germany",
ISNUMBER(SEARCH("Germany DR",S4731)),"DR Germany",
ISNUMBER(SEARCH("Korea DPR",S4731)),"North Korea",
ISNUMBER(SEARCH("China PR",S4731)),"China",
ISNUMBER(SEARCH("IR Iran",S4731)),"Iran",
ISNUMBER(SEARCH("Congo DR",S4731)),"Democratic Republic of the Congo",
ISNUMBER(SEARCH("DR Congo",S4731)),"Democratic Republic of the Congo",
ISNUMBER(SEARCH("German DR",S4731)),"DR Germany",
ISNUMBER(SEARCH("rn""&gt;United Arab Emirates",S4731)),"United Arab Emirates",
ISNUMBER(SEARCH("rn""&gt;Republic of Ireland",S4731)),"Ireland",
ISNUMBER(SEARCH("rn""&gt;Bosnia and Herzegovina",S4731)),"Bosnia and Herzegovina",
ISNUMBER(SEARCH("rn""&gt;Trinidad and Tobago",S4731)),"Trinidad and Tobago",
ISNUMBER(SEARCH("rn""&gt;Serbia and Montenegro",S4731)),"Serbia and Montenegro",
ISNUMBER(SEARCH(_xlfn.UNICHAR(65533),S4731)),"Côte d'Ivoire",
TRUE,"-"
)</f>
        <v>-</v>
      </c>
      <c r="W4731" s="42" t="str">
        <f t="shared" si="294"/>
        <v>-</v>
      </c>
    </row>
    <row r="4732" spans="19:23">
      <c r="S4732" s="42" t="str">
        <v/>
      </c>
      <c r="T4732" s="42" t="str">
        <f t="shared" si="292"/>
        <v>-</v>
      </c>
      <c r="U4732" s="40" t="str">
        <f t="shared" si="293"/>
        <v>-</v>
      </c>
      <c r="V4732" s="42" t="str" cm="1">
        <f t="array" ref="V4732">_xlfn.IFS(
LEFT(S4732,16)="win on penalties",IF(VALUE(MID(S4732,19,1))&gt;VALUE(MID(S4732,23,1)),DATA_CLEANED!AK246,DATA_CLEANED!AN246),
ISNUMBER(SEARCH("USA",S4732)),"United States",
ISNUMBER(SEARCH("Republic of Ireland",S4732)),"Ireland",
ISNUMBER(SEARCH("Republic of Korea",S4732)),"South Korea",
ISNUMBER(SEARCH("Cape Verde",S4732)),"Cabo Verde",
ISNUMBER(SEARCH("Czechia",S4732)),"Czech Republic",
ISNUMBER(SEARCH("Türkiye",S4732)),"Turkey",
ISNUMBER(SEARCH("Ivory Coast",S4732)),"Côte d'Ivoire",
ISNUMBER(SEARCH("Korea Republic",S4732)),"South Korea",
ISNUMBER(SEARCH("Germany FR",S4732)),"FR Germany",
ISNUMBER(SEARCH("West Germany",S4732)),"FR Germany",
ISNUMBER(SEARCH("Germany DR",S4732)),"DR Germany",
ISNUMBER(SEARCH("Korea DPR",S4732)),"North Korea",
ISNUMBER(SEARCH("China PR",S4732)),"China",
ISNUMBER(SEARCH("IR Iran",S4732)),"Iran",
ISNUMBER(SEARCH("Congo DR",S4732)),"Democratic Republic of the Congo",
ISNUMBER(SEARCH("DR Congo",S4732)),"Democratic Republic of the Congo",
ISNUMBER(SEARCH("German DR",S4732)),"DR Germany",
ISNUMBER(SEARCH("rn""&gt;United Arab Emirates",S4732)),"United Arab Emirates",
ISNUMBER(SEARCH("rn""&gt;Republic of Ireland",S4732)),"Ireland",
ISNUMBER(SEARCH("rn""&gt;Bosnia and Herzegovina",S4732)),"Bosnia and Herzegovina",
ISNUMBER(SEARCH("rn""&gt;Trinidad and Tobago",S4732)),"Trinidad and Tobago",
ISNUMBER(SEARCH("rn""&gt;Serbia and Montenegro",S4732)),"Serbia and Montenegro",
ISNUMBER(SEARCH(_xlfn.UNICHAR(65533),S4732)),"Côte d'Ivoire",
TRUE,"-"
)</f>
        <v>-</v>
      </c>
      <c r="W4732" s="42" t="str">
        <f t="shared" si="294"/>
        <v>-</v>
      </c>
    </row>
    <row r="4733" spans="19:23">
      <c r="S4733" s="42" t="str">
        <v/>
      </c>
      <c r="T4733" s="42" t="str">
        <f t="shared" si="292"/>
        <v>-</v>
      </c>
      <c r="U4733" s="40" t="str">
        <f t="shared" si="293"/>
        <v>-</v>
      </c>
      <c r="V4733" s="42" t="str" cm="1">
        <f t="array" ref="V4733">_xlfn.IFS(
LEFT(S4733,16)="win on penalties",IF(VALUE(MID(S4733,19,1))&gt;VALUE(MID(S4733,23,1)),DATA_CLEANED!AK247,DATA_CLEANED!AN247),
ISNUMBER(SEARCH("USA",S4733)),"United States",
ISNUMBER(SEARCH("Republic of Ireland",S4733)),"Ireland",
ISNUMBER(SEARCH("Republic of Korea",S4733)),"South Korea",
ISNUMBER(SEARCH("Cape Verde",S4733)),"Cabo Verde",
ISNUMBER(SEARCH("Czechia",S4733)),"Czech Republic",
ISNUMBER(SEARCH("Türkiye",S4733)),"Turkey",
ISNUMBER(SEARCH("Ivory Coast",S4733)),"Côte d'Ivoire",
ISNUMBER(SEARCH("Korea Republic",S4733)),"South Korea",
ISNUMBER(SEARCH("Germany FR",S4733)),"FR Germany",
ISNUMBER(SEARCH("West Germany",S4733)),"FR Germany",
ISNUMBER(SEARCH("Germany DR",S4733)),"DR Germany",
ISNUMBER(SEARCH("Korea DPR",S4733)),"North Korea",
ISNUMBER(SEARCH("China PR",S4733)),"China",
ISNUMBER(SEARCH("IR Iran",S4733)),"Iran",
ISNUMBER(SEARCH("Congo DR",S4733)),"Democratic Republic of the Congo",
ISNUMBER(SEARCH("DR Congo",S4733)),"Democratic Republic of the Congo",
ISNUMBER(SEARCH("German DR",S4733)),"DR Germany",
ISNUMBER(SEARCH("rn""&gt;United Arab Emirates",S4733)),"United Arab Emirates",
ISNUMBER(SEARCH("rn""&gt;Republic of Ireland",S4733)),"Ireland",
ISNUMBER(SEARCH("rn""&gt;Bosnia and Herzegovina",S4733)),"Bosnia and Herzegovina",
ISNUMBER(SEARCH("rn""&gt;Trinidad and Tobago",S4733)),"Trinidad and Tobago",
ISNUMBER(SEARCH("rn""&gt;Serbia and Montenegro",S4733)),"Serbia and Montenegro",
ISNUMBER(SEARCH(_xlfn.UNICHAR(65533),S4733)),"Côte d'Ivoire",
TRUE,"-"
)</f>
        <v>-</v>
      </c>
      <c r="W4733" s="42" t="str">
        <f t="shared" si="294"/>
        <v>-</v>
      </c>
    </row>
    <row r="4734" spans="19:23">
      <c r="S4734" s="42" t="str">
        <v/>
      </c>
      <c r="T4734" s="42" t="str">
        <f t="shared" si="292"/>
        <v>-</v>
      </c>
      <c r="U4734" s="40" t="str">
        <f t="shared" si="293"/>
        <v>-</v>
      </c>
      <c r="V4734" s="42" t="str" cm="1">
        <f t="array" ref="V4734">_xlfn.IFS(
LEFT(S4734,16)="win on penalties",IF(VALUE(MID(S4734,19,1))&gt;VALUE(MID(S4734,23,1)),DATA_CLEANED!AK248,DATA_CLEANED!AN248),
ISNUMBER(SEARCH("USA",S4734)),"United States",
ISNUMBER(SEARCH("Republic of Ireland",S4734)),"Ireland",
ISNUMBER(SEARCH("Republic of Korea",S4734)),"South Korea",
ISNUMBER(SEARCH("Cape Verde",S4734)),"Cabo Verde",
ISNUMBER(SEARCH("Czechia",S4734)),"Czech Republic",
ISNUMBER(SEARCH("Türkiye",S4734)),"Turkey",
ISNUMBER(SEARCH("Ivory Coast",S4734)),"Côte d'Ivoire",
ISNUMBER(SEARCH("Korea Republic",S4734)),"South Korea",
ISNUMBER(SEARCH("Germany FR",S4734)),"FR Germany",
ISNUMBER(SEARCH("West Germany",S4734)),"FR Germany",
ISNUMBER(SEARCH("Germany DR",S4734)),"DR Germany",
ISNUMBER(SEARCH("Korea DPR",S4734)),"North Korea",
ISNUMBER(SEARCH("China PR",S4734)),"China",
ISNUMBER(SEARCH("IR Iran",S4734)),"Iran",
ISNUMBER(SEARCH("Congo DR",S4734)),"Democratic Republic of the Congo",
ISNUMBER(SEARCH("DR Congo",S4734)),"Democratic Republic of the Congo",
ISNUMBER(SEARCH("German DR",S4734)),"DR Germany",
ISNUMBER(SEARCH("rn""&gt;United Arab Emirates",S4734)),"United Arab Emirates",
ISNUMBER(SEARCH("rn""&gt;Republic of Ireland",S4734)),"Ireland",
ISNUMBER(SEARCH("rn""&gt;Bosnia and Herzegovina",S4734)),"Bosnia and Herzegovina",
ISNUMBER(SEARCH("rn""&gt;Trinidad and Tobago",S4734)),"Trinidad and Tobago",
ISNUMBER(SEARCH("rn""&gt;Serbia and Montenegro",S4734)),"Serbia and Montenegro",
ISNUMBER(SEARCH(_xlfn.UNICHAR(65533),S4734)),"Côte d'Ivoire",
TRUE,"-"
)</f>
        <v>-</v>
      </c>
      <c r="W4734" s="42" t="str">
        <f t="shared" si="294"/>
        <v>-</v>
      </c>
    </row>
    <row r="4735" spans="19:23">
      <c r="S4735" s="42" t="str">
        <v/>
      </c>
      <c r="T4735" s="42" t="str">
        <f t="shared" si="292"/>
        <v>-</v>
      </c>
      <c r="U4735" s="40" t="str">
        <f t="shared" si="293"/>
        <v>-</v>
      </c>
      <c r="V4735" s="42" t="str" cm="1">
        <f t="array" ref="V4735">_xlfn.IFS(
LEFT(S4735,16)="win on penalties",IF(VALUE(MID(S4735,19,1))&gt;VALUE(MID(S4735,23,1)),DATA_CLEANED!AK249,DATA_CLEANED!AN249),
ISNUMBER(SEARCH("USA",S4735)),"United States",
ISNUMBER(SEARCH("Republic of Ireland",S4735)),"Ireland",
ISNUMBER(SEARCH("Republic of Korea",S4735)),"South Korea",
ISNUMBER(SEARCH("Cape Verde",S4735)),"Cabo Verde",
ISNUMBER(SEARCH("Czechia",S4735)),"Czech Republic",
ISNUMBER(SEARCH("Türkiye",S4735)),"Turkey",
ISNUMBER(SEARCH("Ivory Coast",S4735)),"Côte d'Ivoire",
ISNUMBER(SEARCH("Korea Republic",S4735)),"South Korea",
ISNUMBER(SEARCH("Germany FR",S4735)),"FR Germany",
ISNUMBER(SEARCH("West Germany",S4735)),"FR Germany",
ISNUMBER(SEARCH("Germany DR",S4735)),"DR Germany",
ISNUMBER(SEARCH("Korea DPR",S4735)),"North Korea",
ISNUMBER(SEARCH("China PR",S4735)),"China",
ISNUMBER(SEARCH("IR Iran",S4735)),"Iran",
ISNUMBER(SEARCH("Congo DR",S4735)),"Democratic Republic of the Congo",
ISNUMBER(SEARCH("DR Congo",S4735)),"Democratic Republic of the Congo",
ISNUMBER(SEARCH("German DR",S4735)),"DR Germany",
ISNUMBER(SEARCH("rn""&gt;United Arab Emirates",S4735)),"United Arab Emirates",
ISNUMBER(SEARCH("rn""&gt;Republic of Ireland",S4735)),"Ireland",
ISNUMBER(SEARCH("rn""&gt;Bosnia and Herzegovina",S4735)),"Bosnia and Herzegovina",
ISNUMBER(SEARCH("rn""&gt;Trinidad and Tobago",S4735)),"Trinidad and Tobago",
ISNUMBER(SEARCH("rn""&gt;Serbia and Montenegro",S4735)),"Serbia and Montenegro",
ISNUMBER(SEARCH(_xlfn.UNICHAR(65533),S4735)),"Côte d'Ivoire",
TRUE,"-"
)</f>
        <v>-</v>
      </c>
      <c r="W4735" s="42" t="str">
        <f t="shared" si="294"/>
        <v>-</v>
      </c>
    </row>
    <row r="4736" spans="19:23">
      <c r="S4736" s="42" t="str">
        <v/>
      </c>
      <c r="T4736" s="42" t="str">
        <f t="shared" si="292"/>
        <v>-</v>
      </c>
      <c r="U4736" s="40" t="str">
        <f t="shared" si="293"/>
        <v>-</v>
      </c>
      <c r="V4736" s="42" t="str" cm="1">
        <f t="array" ref="V4736">_xlfn.IFS(
LEFT(S4736,16)="win on penalties",IF(VALUE(MID(S4736,19,1))&gt;VALUE(MID(S4736,23,1)),DATA_CLEANED!AK250,DATA_CLEANED!AN250),
ISNUMBER(SEARCH("USA",S4736)),"United States",
ISNUMBER(SEARCH("Republic of Ireland",S4736)),"Ireland",
ISNUMBER(SEARCH("Republic of Korea",S4736)),"South Korea",
ISNUMBER(SEARCH("Cape Verde",S4736)),"Cabo Verde",
ISNUMBER(SEARCH("Czechia",S4736)),"Czech Republic",
ISNUMBER(SEARCH("Türkiye",S4736)),"Turkey",
ISNUMBER(SEARCH("Ivory Coast",S4736)),"Côte d'Ivoire",
ISNUMBER(SEARCH("Korea Republic",S4736)),"South Korea",
ISNUMBER(SEARCH("Germany FR",S4736)),"FR Germany",
ISNUMBER(SEARCH("West Germany",S4736)),"FR Germany",
ISNUMBER(SEARCH("Germany DR",S4736)),"DR Germany",
ISNUMBER(SEARCH("Korea DPR",S4736)),"North Korea",
ISNUMBER(SEARCH("China PR",S4736)),"China",
ISNUMBER(SEARCH("IR Iran",S4736)),"Iran",
ISNUMBER(SEARCH("Congo DR",S4736)),"Democratic Republic of the Congo",
ISNUMBER(SEARCH("DR Congo",S4736)),"Democratic Republic of the Congo",
ISNUMBER(SEARCH("German DR",S4736)),"DR Germany",
ISNUMBER(SEARCH("rn""&gt;United Arab Emirates",S4736)),"United Arab Emirates",
ISNUMBER(SEARCH("rn""&gt;Republic of Ireland",S4736)),"Ireland",
ISNUMBER(SEARCH("rn""&gt;Bosnia and Herzegovina",S4736)),"Bosnia and Herzegovina",
ISNUMBER(SEARCH("rn""&gt;Trinidad and Tobago",S4736)),"Trinidad and Tobago",
ISNUMBER(SEARCH("rn""&gt;Serbia and Montenegro",S4736)),"Serbia and Montenegro",
ISNUMBER(SEARCH(_xlfn.UNICHAR(65533),S4736)),"Côte d'Ivoire",
TRUE,"-"
)</f>
        <v>-</v>
      </c>
      <c r="W4736" s="42" t="str">
        <f t="shared" si="294"/>
        <v>-</v>
      </c>
    </row>
    <row r="4737" spans="19:23">
      <c r="S4737" s="42" t="str">
        <v/>
      </c>
      <c r="T4737" s="42" t="str">
        <f t="shared" si="292"/>
        <v>-</v>
      </c>
      <c r="U4737" s="40" t="str">
        <f t="shared" si="293"/>
        <v>-</v>
      </c>
      <c r="V4737" s="42" t="str" cm="1">
        <f t="array" ref="V4737">_xlfn.IFS(
LEFT(S4737,16)="win on penalties",IF(VALUE(MID(S4737,19,1))&gt;VALUE(MID(S4737,23,1)),DATA_CLEANED!AK251,DATA_CLEANED!AN251),
ISNUMBER(SEARCH("USA",S4737)),"United States",
ISNUMBER(SEARCH("Republic of Ireland",S4737)),"Ireland",
ISNUMBER(SEARCH("Republic of Korea",S4737)),"South Korea",
ISNUMBER(SEARCH("Cape Verde",S4737)),"Cabo Verde",
ISNUMBER(SEARCH("Czechia",S4737)),"Czech Republic",
ISNUMBER(SEARCH("Türkiye",S4737)),"Turkey",
ISNUMBER(SEARCH("Ivory Coast",S4737)),"Côte d'Ivoire",
ISNUMBER(SEARCH("Korea Republic",S4737)),"South Korea",
ISNUMBER(SEARCH("Germany FR",S4737)),"FR Germany",
ISNUMBER(SEARCH("West Germany",S4737)),"FR Germany",
ISNUMBER(SEARCH("Germany DR",S4737)),"DR Germany",
ISNUMBER(SEARCH("Korea DPR",S4737)),"North Korea",
ISNUMBER(SEARCH("China PR",S4737)),"China",
ISNUMBER(SEARCH("IR Iran",S4737)),"Iran",
ISNUMBER(SEARCH("Congo DR",S4737)),"Democratic Republic of the Congo",
ISNUMBER(SEARCH("DR Congo",S4737)),"Democratic Republic of the Congo",
ISNUMBER(SEARCH("German DR",S4737)),"DR Germany",
ISNUMBER(SEARCH("rn""&gt;United Arab Emirates",S4737)),"United Arab Emirates",
ISNUMBER(SEARCH("rn""&gt;Republic of Ireland",S4737)),"Ireland",
ISNUMBER(SEARCH("rn""&gt;Bosnia and Herzegovina",S4737)),"Bosnia and Herzegovina",
ISNUMBER(SEARCH("rn""&gt;Trinidad and Tobago",S4737)),"Trinidad and Tobago",
ISNUMBER(SEARCH("rn""&gt;Serbia and Montenegro",S4737)),"Serbia and Montenegro",
ISNUMBER(SEARCH(_xlfn.UNICHAR(65533),S4737)),"Côte d'Ivoire",
TRUE,"-"
)</f>
        <v>-</v>
      </c>
      <c r="W4737" s="42" t="str">
        <f t="shared" si="294"/>
        <v>-</v>
      </c>
    </row>
    <row r="4738" spans="19:23">
      <c r="S4738" s="42" t="str">
        <v/>
      </c>
      <c r="T4738" s="42" t="str">
        <f t="shared" si="292"/>
        <v>-</v>
      </c>
      <c r="U4738" s="40" t="str">
        <f t="shared" si="293"/>
        <v>-</v>
      </c>
      <c r="V4738" s="42" t="str" cm="1">
        <f t="array" ref="V4738">_xlfn.IFS(
LEFT(S4738,16)="win on penalties",IF(VALUE(MID(S4738,19,1))&gt;VALUE(MID(S4738,23,1)),DATA_CLEANED!AK252,DATA_CLEANED!AN252),
ISNUMBER(SEARCH("USA",S4738)),"United States",
ISNUMBER(SEARCH("Republic of Ireland",S4738)),"Ireland",
ISNUMBER(SEARCH("Republic of Korea",S4738)),"South Korea",
ISNUMBER(SEARCH("Cape Verde",S4738)),"Cabo Verde",
ISNUMBER(SEARCH("Czechia",S4738)),"Czech Republic",
ISNUMBER(SEARCH("Türkiye",S4738)),"Turkey",
ISNUMBER(SEARCH("Ivory Coast",S4738)),"Côte d'Ivoire",
ISNUMBER(SEARCH("Korea Republic",S4738)),"South Korea",
ISNUMBER(SEARCH("Germany FR",S4738)),"FR Germany",
ISNUMBER(SEARCH("West Germany",S4738)),"FR Germany",
ISNUMBER(SEARCH("Germany DR",S4738)),"DR Germany",
ISNUMBER(SEARCH("Korea DPR",S4738)),"North Korea",
ISNUMBER(SEARCH("China PR",S4738)),"China",
ISNUMBER(SEARCH("IR Iran",S4738)),"Iran",
ISNUMBER(SEARCH("Congo DR",S4738)),"Democratic Republic of the Congo",
ISNUMBER(SEARCH("DR Congo",S4738)),"Democratic Republic of the Congo",
ISNUMBER(SEARCH("German DR",S4738)),"DR Germany",
ISNUMBER(SEARCH("rn""&gt;United Arab Emirates",S4738)),"United Arab Emirates",
ISNUMBER(SEARCH("rn""&gt;Republic of Ireland",S4738)),"Ireland",
ISNUMBER(SEARCH("rn""&gt;Bosnia and Herzegovina",S4738)),"Bosnia and Herzegovina",
ISNUMBER(SEARCH("rn""&gt;Trinidad and Tobago",S4738)),"Trinidad and Tobago",
ISNUMBER(SEARCH("rn""&gt;Serbia and Montenegro",S4738)),"Serbia and Montenegro",
ISNUMBER(SEARCH(_xlfn.UNICHAR(65533),S4738)),"Côte d'Ivoire",
TRUE,"-"
)</f>
        <v>-</v>
      </c>
      <c r="W4738" s="42" t="str">
        <f t="shared" si="294"/>
        <v>-</v>
      </c>
    </row>
    <row r="4739" spans="19:23">
      <c r="S4739" s="42" t="str">
        <v/>
      </c>
      <c r="T4739" s="42" t="str">
        <f t="shared" si="292"/>
        <v>-</v>
      </c>
      <c r="U4739" s="40" t="str">
        <f t="shared" si="293"/>
        <v>-</v>
      </c>
      <c r="V4739" s="42" t="str" cm="1">
        <f t="array" ref="V4739">_xlfn.IFS(
LEFT(S4739,16)="win on penalties",IF(VALUE(MID(S4739,19,1))&gt;VALUE(MID(S4739,23,1)),DATA_CLEANED!AK253,DATA_CLEANED!AN253),
ISNUMBER(SEARCH("USA",S4739)),"United States",
ISNUMBER(SEARCH("Republic of Ireland",S4739)),"Ireland",
ISNUMBER(SEARCH("Republic of Korea",S4739)),"South Korea",
ISNUMBER(SEARCH("Cape Verde",S4739)),"Cabo Verde",
ISNUMBER(SEARCH("Czechia",S4739)),"Czech Republic",
ISNUMBER(SEARCH("Türkiye",S4739)),"Turkey",
ISNUMBER(SEARCH("Ivory Coast",S4739)),"Côte d'Ivoire",
ISNUMBER(SEARCH("Korea Republic",S4739)),"South Korea",
ISNUMBER(SEARCH("Germany FR",S4739)),"FR Germany",
ISNUMBER(SEARCH("West Germany",S4739)),"FR Germany",
ISNUMBER(SEARCH("Germany DR",S4739)),"DR Germany",
ISNUMBER(SEARCH("Korea DPR",S4739)),"North Korea",
ISNUMBER(SEARCH("China PR",S4739)),"China",
ISNUMBER(SEARCH("IR Iran",S4739)),"Iran",
ISNUMBER(SEARCH("Congo DR",S4739)),"Democratic Republic of the Congo",
ISNUMBER(SEARCH("DR Congo",S4739)),"Democratic Republic of the Congo",
ISNUMBER(SEARCH("German DR",S4739)),"DR Germany",
ISNUMBER(SEARCH("rn""&gt;United Arab Emirates",S4739)),"United Arab Emirates",
ISNUMBER(SEARCH("rn""&gt;Republic of Ireland",S4739)),"Ireland",
ISNUMBER(SEARCH("rn""&gt;Bosnia and Herzegovina",S4739)),"Bosnia and Herzegovina",
ISNUMBER(SEARCH("rn""&gt;Trinidad and Tobago",S4739)),"Trinidad and Tobago",
ISNUMBER(SEARCH("rn""&gt;Serbia and Montenegro",S4739)),"Serbia and Montenegro",
ISNUMBER(SEARCH(_xlfn.UNICHAR(65533),S4739)),"Côte d'Ivoire",
TRUE,"-"
)</f>
        <v>-</v>
      </c>
      <c r="W4739" s="42" t="str">
        <f t="shared" si="294"/>
        <v>-</v>
      </c>
    </row>
    <row r="4740" spans="19:23">
      <c r="S4740" s="42" t="str">
        <v/>
      </c>
      <c r="T4740" s="42" t="str">
        <f t="shared" si="292"/>
        <v>-</v>
      </c>
      <c r="U4740" s="40" t="str">
        <f t="shared" si="293"/>
        <v>-</v>
      </c>
      <c r="V4740" s="42" t="str" cm="1">
        <f t="array" ref="V4740">_xlfn.IFS(
LEFT(S4740,16)="win on penalties",IF(VALUE(MID(S4740,19,1))&gt;VALUE(MID(S4740,23,1)),DATA_CLEANED!AK254,DATA_CLEANED!AN254),
ISNUMBER(SEARCH("USA",S4740)),"United States",
ISNUMBER(SEARCH("Republic of Ireland",S4740)),"Ireland",
ISNUMBER(SEARCH("Republic of Korea",S4740)),"South Korea",
ISNUMBER(SEARCH("Cape Verde",S4740)),"Cabo Verde",
ISNUMBER(SEARCH("Czechia",S4740)),"Czech Republic",
ISNUMBER(SEARCH("Türkiye",S4740)),"Turkey",
ISNUMBER(SEARCH("Ivory Coast",S4740)),"Côte d'Ivoire",
ISNUMBER(SEARCH("Korea Republic",S4740)),"South Korea",
ISNUMBER(SEARCH("Germany FR",S4740)),"FR Germany",
ISNUMBER(SEARCH("West Germany",S4740)),"FR Germany",
ISNUMBER(SEARCH("Germany DR",S4740)),"DR Germany",
ISNUMBER(SEARCH("Korea DPR",S4740)),"North Korea",
ISNUMBER(SEARCH("China PR",S4740)),"China",
ISNUMBER(SEARCH("IR Iran",S4740)),"Iran",
ISNUMBER(SEARCH("Congo DR",S4740)),"Democratic Republic of the Congo",
ISNUMBER(SEARCH("DR Congo",S4740)),"Democratic Republic of the Congo",
ISNUMBER(SEARCH("German DR",S4740)),"DR Germany",
ISNUMBER(SEARCH("rn""&gt;United Arab Emirates",S4740)),"United Arab Emirates",
ISNUMBER(SEARCH("rn""&gt;Republic of Ireland",S4740)),"Ireland",
ISNUMBER(SEARCH("rn""&gt;Bosnia and Herzegovina",S4740)),"Bosnia and Herzegovina",
ISNUMBER(SEARCH("rn""&gt;Trinidad and Tobago",S4740)),"Trinidad and Tobago",
ISNUMBER(SEARCH("rn""&gt;Serbia and Montenegro",S4740)),"Serbia and Montenegro",
ISNUMBER(SEARCH(_xlfn.UNICHAR(65533),S4740)),"Côte d'Ivoire",
TRUE,"-"
)</f>
        <v>-</v>
      </c>
      <c r="W4740" s="42" t="str">
        <f t="shared" si="294"/>
        <v>-</v>
      </c>
    </row>
    <row r="4741" spans="19:23">
      <c r="S4741" s="42" t="str">
        <v/>
      </c>
      <c r="T4741" s="42" t="str">
        <f t="shared" si="292"/>
        <v>-</v>
      </c>
      <c r="U4741" s="40" t="str">
        <f t="shared" si="293"/>
        <v>-</v>
      </c>
      <c r="V4741" s="42" t="str" cm="1">
        <f t="array" ref="V4741">_xlfn.IFS(
LEFT(S4741,16)="win on penalties",IF(VALUE(MID(S4741,19,1))&gt;VALUE(MID(S4741,23,1)),DATA_CLEANED!AK255,DATA_CLEANED!AN255),
ISNUMBER(SEARCH("USA",S4741)),"United States",
ISNUMBER(SEARCH("Republic of Ireland",S4741)),"Ireland",
ISNUMBER(SEARCH("Republic of Korea",S4741)),"South Korea",
ISNUMBER(SEARCH("Cape Verde",S4741)),"Cabo Verde",
ISNUMBER(SEARCH("Czechia",S4741)),"Czech Republic",
ISNUMBER(SEARCH("Türkiye",S4741)),"Turkey",
ISNUMBER(SEARCH("Ivory Coast",S4741)),"Côte d'Ivoire",
ISNUMBER(SEARCH("Korea Republic",S4741)),"South Korea",
ISNUMBER(SEARCH("Germany FR",S4741)),"FR Germany",
ISNUMBER(SEARCH("West Germany",S4741)),"FR Germany",
ISNUMBER(SEARCH("Germany DR",S4741)),"DR Germany",
ISNUMBER(SEARCH("Korea DPR",S4741)),"North Korea",
ISNUMBER(SEARCH("China PR",S4741)),"China",
ISNUMBER(SEARCH("IR Iran",S4741)),"Iran",
ISNUMBER(SEARCH("Congo DR",S4741)),"Democratic Republic of the Congo",
ISNUMBER(SEARCH("DR Congo",S4741)),"Democratic Republic of the Congo",
ISNUMBER(SEARCH("German DR",S4741)),"DR Germany",
ISNUMBER(SEARCH("rn""&gt;United Arab Emirates",S4741)),"United Arab Emirates",
ISNUMBER(SEARCH("rn""&gt;Republic of Ireland",S4741)),"Ireland",
ISNUMBER(SEARCH("rn""&gt;Bosnia and Herzegovina",S4741)),"Bosnia and Herzegovina",
ISNUMBER(SEARCH("rn""&gt;Trinidad and Tobago",S4741)),"Trinidad and Tobago",
ISNUMBER(SEARCH("rn""&gt;Serbia and Montenegro",S4741)),"Serbia and Montenegro",
ISNUMBER(SEARCH(_xlfn.UNICHAR(65533),S4741)),"Côte d'Ivoire",
TRUE,"-"
)</f>
        <v>-</v>
      </c>
      <c r="W4741" s="42" t="str">
        <f t="shared" si="294"/>
        <v>-</v>
      </c>
    </row>
    <row r="4742" spans="19:23">
      <c r="S4742" s="42" t="str">
        <v/>
      </c>
      <c r="T4742" s="42" t="str">
        <f t="shared" si="292"/>
        <v>-</v>
      </c>
      <c r="U4742" s="40" t="str">
        <f t="shared" si="293"/>
        <v>-</v>
      </c>
      <c r="V4742" s="42" t="str" cm="1">
        <f t="array" ref="V4742">_xlfn.IFS(
LEFT(S4742,16)="win on penalties",IF(VALUE(MID(S4742,19,1))&gt;VALUE(MID(S4742,23,1)),DATA_CLEANED!AK256,DATA_CLEANED!AN256),
ISNUMBER(SEARCH("USA",S4742)),"United States",
ISNUMBER(SEARCH("Republic of Ireland",S4742)),"Ireland",
ISNUMBER(SEARCH("Republic of Korea",S4742)),"South Korea",
ISNUMBER(SEARCH("Cape Verde",S4742)),"Cabo Verde",
ISNUMBER(SEARCH("Czechia",S4742)),"Czech Republic",
ISNUMBER(SEARCH("Türkiye",S4742)),"Turkey",
ISNUMBER(SEARCH("Ivory Coast",S4742)),"Côte d'Ivoire",
ISNUMBER(SEARCH("Korea Republic",S4742)),"South Korea",
ISNUMBER(SEARCH("Germany FR",S4742)),"FR Germany",
ISNUMBER(SEARCH("West Germany",S4742)),"FR Germany",
ISNUMBER(SEARCH("Germany DR",S4742)),"DR Germany",
ISNUMBER(SEARCH("Korea DPR",S4742)),"North Korea",
ISNUMBER(SEARCH("China PR",S4742)),"China",
ISNUMBER(SEARCH("IR Iran",S4742)),"Iran",
ISNUMBER(SEARCH("Congo DR",S4742)),"Democratic Republic of the Congo",
ISNUMBER(SEARCH("DR Congo",S4742)),"Democratic Republic of the Congo",
ISNUMBER(SEARCH("German DR",S4742)),"DR Germany",
ISNUMBER(SEARCH("rn""&gt;United Arab Emirates",S4742)),"United Arab Emirates",
ISNUMBER(SEARCH("rn""&gt;Republic of Ireland",S4742)),"Ireland",
ISNUMBER(SEARCH("rn""&gt;Bosnia and Herzegovina",S4742)),"Bosnia and Herzegovina",
ISNUMBER(SEARCH("rn""&gt;Trinidad and Tobago",S4742)),"Trinidad and Tobago",
ISNUMBER(SEARCH("rn""&gt;Serbia and Montenegro",S4742)),"Serbia and Montenegro",
ISNUMBER(SEARCH(_xlfn.UNICHAR(65533),S4742)),"Côte d'Ivoire",
TRUE,"-"
)</f>
        <v>-</v>
      </c>
      <c r="W4742" s="42" t="str">
        <f t="shared" si="294"/>
        <v>-</v>
      </c>
    </row>
    <row r="4743" spans="19:23">
      <c r="S4743" s="42" t="str">
        <v/>
      </c>
      <c r="T4743" s="42" t="str">
        <f t="shared" si="292"/>
        <v>-</v>
      </c>
      <c r="U4743" s="40" t="str">
        <f t="shared" si="293"/>
        <v>-</v>
      </c>
      <c r="V4743" s="42" t="str" cm="1">
        <f t="array" ref="V4743">_xlfn.IFS(
LEFT(S4743,16)="win on penalties",IF(VALUE(MID(S4743,19,1))&gt;VALUE(MID(S4743,23,1)),DATA_CLEANED!AK257,DATA_CLEANED!AN257),
ISNUMBER(SEARCH("USA",S4743)),"United States",
ISNUMBER(SEARCH("Republic of Ireland",S4743)),"Ireland",
ISNUMBER(SEARCH("Republic of Korea",S4743)),"South Korea",
ISNUMBER(SEARCH("Cape Verde",S4743)),"Cabo Verde",
ISNUMBER(SEARCH("Czechia",S4743)),"Czech Republic",
ISNUMBER(SEARCH("Türkiye",S4743)),"Turkey",
ISNUMBER(SEARCH("Ivory Coast",S4743)),"Côte d'Ivoire",
ISNUMBER(SEARCH("Korea Republic",S4743)),"South Korea",
ISNUMBER(SEARCH("Germany FR",S4743)),"FR Germany",
ISNUMBER(SEARCH("West Germany",S4743)),"FR Germany",
ISNUMBER(SEARCH("Germany DR",S4743)),"DR Germany",
ISNUMBER(SEARCH("Korea DPR",S4743)),"North Korea",
ISNUMBER(SEARCH("China PR",S4743)),"China",
ISNUMBER(SEARCH("IR Iran",S4743)),"Iran",
ISNUMBER(SEARCH("Congo DR",S4743)),"Democratic Republic of the Congo",
ISNUMBER(SEARCH("DR Congo",S4743)),"Democratic Republic of the Congo",
ISNUMBER(SEARCH("German DR",S4743)),"DR Germany",
ISNUMBER(SEARCH("rn""&gt;United Arab Emirates",S4743)),"United Arab Emirates",
ISNUMBER(SEARCH("rn""&gt;Republic of Ireland",S4743)),"Ireland",
ISNUMBER(SEARCH("rn""&gt;Bosnia and Herzegovina",S4743)),"Bosnia and Herzegovina",
ISNUMBER(SEARCH("rn""&gt;Trinidad and Tobago",S4743)),"Trinidad and Tobago",
ISNUMBER(SEARCH("rn""&gt;Serbia and Montenegro",S4743)),"Serbia and Montenegro",
ISNUMBER(SEARCH(_xlfn.UNICHAR(65533),S4743)),"Côte d'Ivoire",
TRUE,"-"
)</f>
        <v>-</v>
      </c>
      <c r="W4743" s="42" t="str">
        <f t="shared" si="294"/>
        <v>-</v>
      </c>
    </row>
    <row r="4744" spans="19:23">
      <c r="S4744" s="42" t="str">
        <v/>
      </c>
      <c r="T4744" s="42" t="str">
        <f t="shared" si="292"/>
        <v>-</v>
      </c>
      <c r="U4744" s="40" t="str">
        <f t="shared" si="293"/>
        <v>-</v>
      </c>
      <c r="V4744" s="42" t="str" cm="1">
        <f t="array" ref="V4744">_xlfn.IFS(
LEFT(S4744,16)="win on penalties",IF(VALUE(MID(S4744,19,1))&gt;VALUE(MID(S4744,23,1)),DATA_CLEANED!AK258,DATA_CLEANED!AN258),
ISNUMBER(SEARCH("USA",S4744)),"United States",
ISNUMBER(SEARCH("Republic of Ireland",S4744)),"Ireland",
ISNUMBER(SEARCH("Republic of Korea",S4744)),"South Korea",
ISNUMBER(SEARCH("Cape Verde",S4744)),"Cabo Verde",
ISNUMBER(SEARCH("Czechia",S4744)),"Czech Republic",
ISNUMBER(SEARCH("Türkiye",S4744)),"Turkey",
ISNUMBER(SEARCH("Ivory Coast",S4744)),"Côte d'Ivoire",
ISNUMBER(SEARCH("Korea Republic",S4744)),"South Korea",
ISNUMBER(SEARCH("Germany FR",S4744)),"FR Germany",
ISNUMBER(SEARCH("West Germany",S4744)),"FR Germany",
ISNUMBER(SEARCH("Germany DR",S4744)),"DR Germany",
ISNUMBER(SEARCH("Korea DPR",S4744)),"North Korea",
ISNUMBER(SEARCH("China PR",S4744)),"China",
ISNUMBER(SEARCH("IR Iran",S4744)),"Iran",
ISNUMBER(SEARCH("Congo DR",S4744)),"Democratic Republic of the Congo",
ISNUMBER(SEARCH("DR Congo",S4744)),"Democratic Republic of the Congo",
ISNUMBER(SEARCH("German DR",S4744)),"DR Germany",
ISNUMBER(SEARCH("rn""&gt;United Arab Emirates",S4744)),"United Arab Emirates",
ISNUMBER(SEARCH("rn""&gt;Republic of Ireland",S4744)),"Ireland",
ISNUMBER(SEARCH("rn""&gt;Bosnia and Herzegovina",S4744)),"Bosnia and Herzegovina",
ISNUMBER(SEARCH("rn""&gt;Trinidad and Tobago",S4744)),"Trinidad and Tobago",
ISNUMBER(SEARCH("rn""&gt;Serbia and Montenegro",S4744)),"Serbia and Montenegro",
ISNUMBER(SEARCH(_xlfn.UNICHAR(65533),S4744)),"Côte d'Ivoire",
TRUE,"-"
)</f>
        <v>-</v>
      </c>
      <c r="W4744" s="42" t="str">
        <f t="shared" si="294"/>
        <v>-</v>
      </c>
    </row>
    <row r="4745" spans="19:23">
      <c r="S4745" s="42" t="str">
        <v/>
      </c>
      <c r="T4745" s="42" t="str">
        <f t="shared" si="292"/>
        <v>-</v>
      </c>
      <c r="U4745" s="40" t="str">
        <f t="shared" si="293"/>
        <v>-</v>
      </c>
      <c r="V4745" s="42" t="str" cm="1">
        <f t="array" ref="V4745">_xlfn.IFS(
LEFT(S4745,16)="win on penalties",IF(VALUE(MID(S4745,19,1))&gt;VALUE(MID(S4745,23,1)),DATA_CLEANED!AK259,DATA_CLEANED!AN259),
ISNUMBER(SEARCH("USA",S4745)),"United States",
ISNUMBER(SEARCH("Republic of Ireland",S4745)),"Ireland",
ISNUMBER(SEARCH("Republic of Korea",S4745)),"South Korea",
ISNUMBER(SEARCH("Cape Verde",S4745)),"Cabo Verde",
ISNUMBER(SEARCH("Czechia",S4745)),"Czech Republic",
ISNUMBER(SEARCH("Türkiye",S4745)),"Turkey",
ISNUMBER(SEARCH("Ivory Coast",S4745)),"Côte d'Ivoire",
ISNUMBER(SEARCH("Korea Republic",S4745)),"South Korea",
ISNUMBER(SEARCH("Germany FR",S4745)),"FR Germany",
ISNUMBER(SEARCH("West Germany",S4745)),"FR Germany",
ISNUMBER(SEARCH("Germany DR",S4745)),"DR Germany",
ISNUMBER(SEARCH("Korea DPR",S4745)),"North Korea",
ISNUMBER(SEARCH("China PR",S4745)),"China",
ISNUMBER(SEARCH("IR Iran",S4745)),"Iran",
ISNUMBER(SEARCH("Congo DR",S4745)),"Democratic Republic of the Congo",
ISNUMBER(SEARCH("DR Congo",S4745)),"Democratic Republic of the Congo",
ISNUMBER(SEARCH("German DR",S4745)),"DR Germany",
ISNUMBER(SEARCH("rn""&gt;United Arab Emirates",S4745)),"United Arab Emirates",
ISNUMBER(SEARCH("rn""&gt;Republic of Ireland",S4745)),"Ireland",
ISNUMBER(SEARCH("rn""&gt;Bosnia and Herzegovina",S4745)),"Bosnia and Herzegovina",
ISNUMBER(SEARCH("rn""&gt;Trinidad and Tobago",S4745)),"Trinidad and Tobago",
ISNUMBER(SEARCH("rn""&gt;Serbia and Montenegro",S4745)),"Serbia and Montenegro",
ISNUMBER(SEARCH(_xlfn.UNICHAR(65533),S4745)),"Côte d'Ivoire",
TRUE,"-"
)</f>
        <v>-</v>
      </c>
      <c r="W4745" s="42" t="str">
        <f t="shared" si="294"/>
        <v>-</v>
      </c>
    </row>
    <row r="4746" spans="19:23">
      <c r="S4746" s="42" t="str">
        <v/>
      </c>
      <c r="T4746" s="42" t="str">
        <f t="shared" ref="T4746:T4809" si="295">IF(S4746="","-",IFERROR(LEFT(S4746,SEARCH(" win",S4746)-1),"-"))</f>
        <v>-</v>
      </c>
      <c r="U4746" s="40" t="str">
        <f t="shared" ref="U4746:U4809" si="296">IF(T4746="-","-",IF(COUNTIF(_xlfn.ANCHORARRAY(X$13),T4746)=1,"AUCUNE","RENOMMER"))</f>
        <v>-</v>
      </c>
      <c r="V4746" s="42" t="str" cm="1">
        <f t="array" ref="V4746">_xlfn.IFS(
LEFT(S4746,16)="win on penalties",IF(VALUE(MID(S4746,19,1))&gt;VALUE(MID(S4746,23,1)),DATA_CLEANED!AK260,DATA_CLEANED!AN260),
ISNUMBER(SEARCH("USA",S4746)),"United States",
ISNUMBER(SEARCH("Republic of Ireland",S4746)),"Ireland",
ISNUMBER(SEARCH("Republic of Korea",S4746)),"South Korea",
ISNUMBER(SEARCH("Cape Verde",S4746)),"Cabo Verde",
ISNUMBER(SEARCH("Czechia",S4746)),"Czech Republic",
ISNUMBER(SEARCH("Türkiye",S4746)),"Turkey",
ISNUMBER(SEARCH("Ivory Coast",S4746)),"Côte d'Ivoire",
ISNUMBER(SEARCH("Korea Republic",S4746)),"South Korea",
ISNUMBER(SEARCH("Germany FR",S4746)),"FR Germany",
ISNUMBER(SEARCH("West Germany",S4746)),"FR Germany",
ISNUMBER(SEARCH("Germany DR",S4746)),"DR Germany",
ISNUMBER(SEARCH("Korea DPR",S4746)),"North Korea",
ISNUMBER(SEARCH("China PR",S4746)),"China",
ISNUMBER(SEARCH("IR Iran",S4746)),"Iran",
ISNUMBER(SEARCH("Congo DR",S4746)),"Democratic Republic of the Congo",
ISNUMBER(SEARCH("DR Congo",S4746)),"Democratic Republic of the Congo",
ISNUMBER(SEARCH("German DR",S4746)),"DR Germany",
ISNUMBER(SEARCH("rn""&gt;United Arab Emirates",S4746)),"United Arab Emirates",
ISNUMBER(SEARCH("rn""&gt;Republic of Ireland",S4746)),"Ireland",
ISNUMBER(SEARCH("rn""&gt;Bosnia and Herzegovina",S4746)),"Bosnia and Herzegovina",
ISNUMBER(SEARCH("rn""&gt;Trinidad and Tobago",S4746)),"Trinidad and Tobago",
ISNUMBER(SEARCH("rn""&gt;Serbia and Montenegro",S4746)),"Serbia and Montenegro",
ISNUMBER(SEARCH(_xlfn.UNICHAR(65533),S4746)),"Côte d'Ivoire",
TRUE,"-"
)</f>
        <v>-</v>
      </c>
      <c r="W4746" s="42" t="str">
        <f t="shared" ref="W4746:W4809" si="297">IF(S4746="","-",IF(AND(U4746="RENOMMER",T4746&lt;&gt;"-",V4746&lt;&gt;"-"),SUBSTITUTE(S4746,T4746,V4746),S4746))</f>
        <v>-</v>
      </c>
    </row>
    <row r="4747" spans="19:23">
      <c r="S4747" s="42" t="str">
        <v/>
      </c>
      <c r="T4747" s="42" t="str">
        <f t="shared" si="295"/>
        <v>-</v>
      </c>
      <c r="U4747" s="40" t="str">
        <f t="shared" si="296"/>
        <v>-</v>
      </c>
      <c r="V4747" s="42" t="str" cm="1">
        <f t="array" ref="V4747">_xlfn.IFS(
LEFT(S4747,16)="win on penalties",IF(VALUE(MID(S4747,19,1))&gt;VALUE(MID(S4747,23,1)),DATA_CLEANED!AK261,DATA_CLEANED!AN261),
ISNUMBER(SEARCH("USA",S4747)),"United States",
ISNUMBER(SEARCH("Republic of Ireland",S4747)),"Ireland",
ISNUMBER(SEARCH("Republic of Korea",S4747)),"South Korea",
ISNUMBER(SEARCH("Cape Verde",S4747)),"Cabo Verde",
ISNUMBER(SEARCH("Czechia",S4747)),"Czech Republic",
ISNUMBER(SEARCH("Türkiye",S4747)),"Turkey",
ISNUMBER(SEARCH("Ivory Coast",S4747)),"Côte d'Ivoire",
ISNUMBER(SEARCH("Korea Republic",S4747)),"South Korea",
ISNUMBER(SEARCH("Germany FR",S4747)),"FR Germany",
ISNUMBER(SEARCH("West Germany",S4747)),"FR Germany",
ISNUMBER(SEARCH("Germany DR",S4747)),"DR Germany",
ISNUMBER(SEARCH("Korea DPR",S4747)),"North Korea",
ISNUMBER(SEARCH("China PR",S4747)),"China",
ISNUMBER(SEARCH("IR Iran",S4747)),"Iran",
ISNUMBER(SEARCH("Congo DR",S4747)),"Democratic Republic of the Congo",
ISNUMBER(SEARCH("DR Congo",S4747)),"Democratic Republic of the Congo",
ISNUMBER(SEARCH("German DR",S4747)),"DR Germany",
ISNUMBER(SEARCH("rn""&gt;United Arab Emirates",S4747)),"United Arab Emirates",
ISNUMBER(SEARCH("rn""&gt;Republic of Ireland",S4747)),"Ireland",
ISNUMBER(SEARCH("rn""&gt;Bosnia and Herzegovina",S4747)),"Bosnia and Herzegovina",
ISNUMBER(SEARCH("rn""&gt;Trinidad and Tobago",S4747)),"Trinidad and Tobago",
ISNUMBER(SEARCH("rn""&gt;Serbia and Montenegro",S4747)),"Serbia and Montenegro",
ISNUMBER(SEARCH(_xlfn.UNICHAR(65533),S4747)),"Côte d'Ivoire",
TRUE,"-"
)</f>
        <v>-</v>
      </c>
      <c r="W4747" s="42" t="str">
        <f t="shared" si="297"/>
        <v>-</v>
      </c>
    </row>
    <row r="4748" spans="19:23">
      <c r="S4748" s="42" t="str">
        <v/>
      </c>
      <c r="T4748" s="42" t="str">
        <f t="shared" si="295"/>
        <v>-</v>
      </c>
      <c r="U4748" s="40" t="str">
        <f t="shared" si="296"/>
        <v>-</v>
      </c>
      <c r="V4748" s="42" t="str" cm="1">
        <f t="array" ref="V4748">_xlfn.IFS(
LEFT(S4748,16)="win on penalties",IF(VALUE(MID(S4748,19,1))&gt;VALUE(MID(S4748,23,1)),DATA_CLEANED!AK262,DATA_CLEANED!AN262),
ISNUMBER(SEARCH("USA",S4748)),"United States",
ISNUMBER(SEARCH("Republic of Ireland",S4748)),"Ireland",
ISNUMBER(SEARCH("Republic of Korea",S4748)),"South Korea",
ISNUMBER(SEARCH("Cape Verde",S4748)),"Cabo Verde",
ISNUMBER(SEARCH("Czechia",S4748)),"Czech Republic",
ISNUMBER(SEARCH("Türkiye",S4748)),"Turkey",
ISNUMBER(SEARCH("Ivory Coast",S4748)),"Côte d'Ivoire",
ISNUMBER(SEARCH("Korea Republic",S4748)),"South Korea",
ISNUMBER(SEARCH("Germany FR",S4748)),"FR Germany",
ISNUMBER(SEARCH("West Germany",S4748)),"FR Germany",
ISNUMBER(SEARCH("Germany DR",S4748)),"DR Germany",
ISNUMBER(SEARCH("Korea DPR",S4748)),"North Korea",
ISNUMBER(SEARCH("China PR",S4748)),"China",
ISNUMBER(SEARCH("IR Iran",S4748)),"Iran",
ISNUMBER(SEARCH("Congo DR",S4748)),"Democratic Republic of the Congo",
ISNUMBER(SEARCH("DR Congo",S4748)),"Democratic Republic of the Congo",
ISNUMBER(SEARCH("German DR",S4748)),"DR Germany",
ISNUMBER(SEARCH("rn""&gt;United Arab Emirates",S4748)),"United Arab Emirates",
ISNUMBER(SEARCH("rn""&gt;Republic of Ireland",S4748)),"Ireland",
ISNUMBER(SEARCH("rn""&gt;Bosnia and Herzegovina",S4748)),"Bosnia and Herzegovina",
ISNUMBER(SEARCH("rn""&gt;Trinidad and Tobago",S4748)),"Trinidad and Tobago",
ISNUMBER(SEARCH("rn""&gt;Serbia and Montenegro",S4748)),"Serbia and Montenegro",
ISNUMBER(SEARCH(_xlfn.UNICHAR(65533),S4748)),"Côte d'Ivoire",
TRUE,"-"
)</f>
        <v>-</v>
      </c>
      <c r="W4748" s="42" t="str">
        <f t="shared" si="297"/>
        <v>-</v>
      </c>
    </row>
    <row r="4749" spans="19:23">
      <c r="S4749" s="42" t="str">
        <v/>
      </c>
      <c r="T4749" s="42" t="str">
        <f t="shared" si="295"/>
        <v>-</v>
      </c>
      <c r="U4749" s="40" t="str">
        <f t="shared" si="296"/>
        <v>-</v>
      </c>
      <c r="V4749" s="42" t="str" cm="1">
        <f t="array" ref="V4749">_xlfn.IFS(
LEFT(S4749,16)="win on penalties",IF(VALUE(MID(S4749,19,1))&gt;VALUE(MID(S4749,23,1)),DATA_CLEANED!AK263,DATA_CLEANED!AN263),
ISNUMBER(SEARCH("USA",S4749)),"United States",
ISNUMBER(SEARCH("Republic of Ireland",S4749)),"Ireland",
ISNUMBER(SEARCH("Republic of Korea",S4749)),"South Korea",
ISNUMBER(SEARCH("Cape Verde",S4749)),"Cabo Verde",
ISNUMBER(SEARCH("Czechia",S4749)),"Czech Republic",
ISNUMBER(SEARCH("Türkiye",S4749)),"Turkey",
ISNUMBER(SEARCH("Ivory Coast",S4749)),"Côte d'Ivoire",
ISNUMBER(SEARCH("Korea Republic",S4749)),"South Korea",
ISNUMBER(SEARCH("Germany FR",S4749)),"FR Germany",
ISNUMBER(SEARCH("West Germany",S4749)),"FR Germany",
ISNUMBER(SEARCH("Germany DR",S4749)),"DR Germany",
ISNUMBER(SEARCH("Korea DPR",S4749)),"North Korea",
ISNUMBER(SEARCH("China PR",S4749)),"China",
ISNUMBER(SEARCH("IR Iran",S4749)),"Iran",
ISNUMBER(SEARCH("Congo DR",S4749)),"Democratic Republic of the Congo",
ISNUMBER(SEARCH("DR Congo",S4749)),"Democratic Republic of the Congo",
ISNUMBER(SEARCH("German DR",S4749)),"DR Germany",
ISNUMBER(SEARCH("rn""&gt;United Arab Emirates",S4749)),"United Arab Emirates",
ISNUMBER(SEARCH("rn""&gt;Republic of Ireland",S4749)),"Ireland",
ISNUMBER(SEARCH("rn""&gt;Bosnia and Herzegovina",S4749)),"Bosnia and Herzegovina",
ISNUMBER(SEARCH("rn""&gt;Trinidad and Tobago",S4749)),"Trinidad and Tobago",
ISNUMBER(SEARCH("rn""&gt;Serbia and Montenegro",S4749)),"Serbia and Montenegro",
ISNUMBER(SEARCH(_xlfn.UNICHAR(65533),S4749)),"Côte d'Ivoire",
TRUE,"-"
)</f>
        <v>-</v>
      </c>
      <c r="W4749" s="42" t="str">
        <f t="shared" si="297"/>
        <v>-</v>
      </c>
    </row>
    <row r="4750" spans="19:23">
      <c r="S4750" s="42" t="str">
        <v/>
      </c>
      <c r="T4750" s="42" t="str">
        <f t="shared" si="295"/>
        <v>-</v>
      </c>
      <c r="U4750" s="40" t="str">
        <f t="shared" si="296"/>
        <v>-</v>
      </c>
      <c r="V4750" s="42" t="str" cm="1">
        <f t="array" ref="V4750">_xlfn.IFS(
LEFT(S4750,16)="win on penalties",IF(VALUE(MID(S4750,19,1))&gt;VALUE(MID(S4750,23,1)),DATA_CLEANED!AK264,DATA_CLEANED!AN264),
ISNUMBER(SEARCH("USA",S4750)),"United States",
ISNUMBER(SEARCH("Republic of Ireland",S4750)),"Ireland",
ISNUMBER(SEARCH("Republic of Korea",S4750)),"South Korea",
ISNUMBER(SEARCH("Cape Verde",S4750)),"Cabo Verde",
ISNUMBER(SEARCH("Czechia",S4750)),"Czech Republic",
ISNUMBER(SEARCH("Türkiye",S4750)),"Turkey",
ISNUMBER(SEARCH("Ivory Coast",S4750)),"Côte d'Ivoire",
ISNUMBER(SEARCH("Korea Republic",S4750)),"South Korea",
ISNUMBER(SEARCH("Germany FR",S4750)),"FR Germany",
ISNUMBER(SEARCH("West Germany",S4750)),"FR Germany",
ISNUMBER(SEARCH("Germany DR",S4750)),"DR Germany",
ISNUMBER(SEARCH("Korea DPR",S4750)),"North Korea",
ISNUMBER(SEARCH("China PR",S4750)),"China",
ISNUMBER(SEARCH("IR Iran",S4750)),"Iran",
ISNUMBER(SEARCH("Congo DR",S4750)),"Democratic Republic of the Congo",
ISNUMBER(SEARCH("DR Congo",S4750)),"Democratic Republic of the Congo",
ISNUMBER(SEARCH("German DR",S4750)),"DR Germany",
ISNUMBER(SEARCH("rn""&gt;United Arab Emirates",S4750)),"United Arab Emirates",
ISNUMBER(SEARCH("rn""&gt;Republic of Ireland",S4750)),"Ireland",
ISNUMBER(SEARCH("rn""&gt;Bosnia and Herzegovina",S4750)),"Bosnia and Herzegovina",
ISNUMBER(SEARCH("rn""&gt;Trinidad and Tobago",S4750)),"Trinidad and Tobago",
ISNUMBER(SEARCH("rn""&gt;Serbia and Montenegro",S4750)),"Serbia and Montenegro",
ISNUMBER(SEARCH(_xlfn.UNICHAR(65533),S4750)),"Côte d'Ivoire",
TRUE,"-"
)</f>
        <v>-</v>
      </c>
      <c r="W4750" s="42" t="str">
        <f t="shared" si="297"/>
        <v>-</v>
      </c>
    </row>
    <row r="4751" spans="19:23">
      <c r="S4751" s="42" t="str">
        <v/>
      </c>
      <c r="T4751" s="42" t="str">
        <f t="shared" si="295"/>
        <v>-</v>
      </c>
      <c r="U4751" s="40" t="str">
        <f t="shared" si="296"/>
        <v>-</v>
      </c>
      <c r="V4751" s="42" t="str" cm="1">
        <f t="array" ref="V4751">_xlfn.IFS(
LEFT(S4751,16)="win on penalties",IF(VALUE(MID(S4751,19,1))&gt;VALUE(MID(S4751,23,1)),DATA_CLEANED!AK265,DATA_CLEANED!AN265),
ISNUMBER(SEARCH("USA",S4751)),"United States",
ISNUMBER(SEARCH("Republic of Ireland",S4751)),"Ireland",
ISNUMBER(SEARCH("Republic of Korea",S4751)),"South Korea",
ISNUMBER(SEARCH("Cape Verde",S4751)),"Cabo Verde",
ISNUMBER(SEARCH("Czechia",S4751)),"Czech Republic",
ISNUMBER(SEARCH("Türkiye",S4751)),"Turkey",
ISNUMBER(SEARCH("Ivory Coast",S4751)),"Côte d'Ivoire",
ISNUMBER(SEARCH("Korea Republic",S4751)),"South Korea",
ISNUMBER(SEARCH("Germany FR",S4751)),"FR Germany",
ISNUMBER(SEARCH("West Germany",S4751)),"FR Germany",
ISNUMBER(SEARCH("Germany DR",S4751)),"DR Germany",
ISNUMBER(SEARCH("Korea DPR",S4751)),"North Korea",
ISNUMBER(SEARCH("China PR",S4751)),"China",
ISNUMBER(SEARCH("IR Iran",S4751)),"Iran",
ISNUMBER(SEARCH("Congo DR",S4751)),"Democratic Republic of the Congo",
ISNUMBER(SEARCH("DR Congo",S4751)),"Democratic Republic of the Congo",
ISNUMBER(SEARCH("German DR",S4751)),"DR Germany",
ISNUMBER(SEARCH("rn""&gt;United Arab Emirates",S4751)),"United Arab Emirates",
ISNUMBER(SEARCH("rn""&gt;Republic of Ireland",S4751)),"Ireland",
ISNUMBER(SEARCH("rn""&gt;Bosnia and Herzegovina",S4751)),"Bosnia and Herzegovina",
ISNUMBER(SEARCH("rn""&gt;Trinidad and Tobago",S4751)),"Trinidad and Tobago",
ISNUMBER(SEARCH("rn""&gt;Serbia and Montenegro",S4751)),"Serbia and Montenegro",
ISNUMBER(SEARCH(_xlfn.UNICHAR(65533),S4751)),"Côte d'Ivoire",
TRUE,"-"
)</f>
        <v>-</v>
      </c>
      <c r="W4751" s="42" t="str">
        <f t="shared" si="297"/>
        <v>-</v>
      </c>
    </row>
    <row r="4752" spans="19:23">
      <c r="S4752" s="42" t="str">
        <v/>
      </c>
      <c r="T4752" s="42" t="str">
        <f t="shared" si="295"/>
        <v>-</v>
      </c>
      <c r="U4752" s="40" t="str">
        <f t="shared" si="296"/>
        <v>-</v>
      </c>
      <c r="V4752" s="42" t="str" cm="1">
        <f t="array" ref="V4752">_xlfn.IFS(
LEFT(S4752,16)="win on penalties",IF(VALUE(MID(S4752,19,1))&gt;VALUE(MID(S4752,23,1)),DATA_CLEANED!AK266,DATA_CLEANED!AN266),
ISNUMBER(SEARCH("USA",S4752)),"United States",
ISNUMBER(SEARCH("Republic of Ireland",S4752)),"Ireland",
ISNUMBER(SEARCH("Republic of Korea",S4752)),"South Korea",
ISNUMBER(SEARCH("Cape Verde",S4752)),"Cabo Verde",
ISNUMBER(SEARCH("Czechia",S4752)),"Czech Republic",
ISNUMBER(SEARCH("Türkiye",S4752)),"Turkey",
ISNUMBER(SEARCH("Ivory Coast",S4752)),"Côte d'Ivoire",
ISNUMBER(SEARCH("Korea Republic",S4752)),"South Korea",
ISNUMBER(SEARCH("Germany FR",S4752)),"FR Germany",
ISNUMBER(SEARCH("West Germany",S4752)),"FR Germany",
ISNUMBER(SEARCH("Germany DR",S4752)),"DR Germany",
ISNUMBER(SEARCH("Korea DPR",S4752)),"North Korea",
ISNUMBER(SEARCH("China PR",S4752)),"China",
ISNUMBER(SEARCH("IR Iran",S4752)),"Iran",
ISNUMBER(SEARCH("Congo DR",S4752)),"Democratic Republic of the Congo",
ISNUMBER(SEARCH("DR Congo",S4752)),"Democratic Republic of the Congo",
ISNUMBER(SEARCH("German DR",S4752)),"DR Germany",
ISNUMBER(SEARCH("rn""&gt;United Arab Emirates",S4752)),"United Arab Emirates",
ISNUMBER(SEARCH("rn""&gt;Republic of Ireland",S4752)),"Ireland",
ISNUMBER(SEARCH("rn""&gt;Bosnia and Herzegovina",S4752)),"Bosnia and Herzegovina",
ISNUMBER(SEARCH("rn""&gt;Trinidad and Tobago",S4752)),"Trinidad and Tobago",
ISNUMBER(SEARCH("rn""&gt;Serbia and Montenegro",S4752)),"Serbia and Montenegro",
ISNUMBER(SEARCH(_xlfn.UNICHAR(65533),S4752)),"Côte d'Ivoire",
TRUE,"-"
)</f>
        <v>-</v>
      </c>
      <c r="W4752" s="42" t="str">
        <f t="shared" si="297"/>
        <v>-</v>
      </c>
    </row>
    <row r="4753" spans="19:23">
      <c r="S4753" s="42" t="str">
        <v/>
      </c>
      <c r="T4753" s="42" t="str">
        <f t="shared" si="295"/>
        <v>-</v>
      </c>
      <c r="U4753" s="40" t="str">
        <f t="shared" si="296"/>
        <v>-</v>
      </c>
      <c r="V4753" s="42" t="str" cm="1">
        <f t="array" ref="V4753">_xlfn.IFS(
LEFT(S4753,16)="win on penalties",IF(VALUE(MID(S4753,19,1))&gt;VALUE(MID(S4753,23,1)),DATA_CLEANED!AK267,DATA_CLEANED!AN267),
ISNUMBER(SEARCH("USA",S4753)),"United States",
ISNUMBER(SEARCH("Republic of Ireland",S4753)),"Ireland",
ISNUMBER(SEARCH("Republic of Korea",S4753)),"South Korea",
ISNUMBER(SEARCH("Cape Verde",S4753)),"Cabo Verde",
ISNUMBER(SEARCH("Czechia",S4753)),"Czech Republic",
ISNUMBER(SEARCH("Türkiye",S4753)),"Turkey",
ISNUMBER(SEARCH("Ivory Coast",S4753)),"Côte d'Ivoire",
ISNUMBER(SEARCH("Korea Republic",S4753)),"South Korea",
ISNUMBER(SEARCH("Germany FR",S4753)),"FR Germany",
ISNUMBER(SEARCH("West Germany",S4753)),"FR Germany",
ISNUMBER(SEARCH("Germany DR",S4753)),"DR Germany",
ISNUMBER(SEARCH("Korea DPR",S4753)),"North Korea",
ISNUMBER(SEARCH("China PR",S4753)),"China",
ISNUMBER(SEARCH("IR Iran",S4753)),"Iran",
ISNUMBER(SEARCH("Congo DR",S4753)),"Democratic Republic of the Congo",
ISNUMBER(SEARCH("DR Congo",S4753)),"Democratic Republic of the Congo",
ISNUMBER(SEARCH("German DR",S4753)),"DR Germany",
ISNUMBER(SEARCH("rn""&gt;United Arab Emirates",S4753)),"United Arab Emirates",
ISNUMBER(SEARCH("rn""&gt;Republic of Ireland",S4753)),"Ireland",
ISNUMBER(SEARCH("rn""&gt;Bosnia and Herzegovina",S4753)),"Bosnia and Herzegovina",
ISNUMBER(SEARCH("rn""&gt;Trinidad and Tobago",S4753)),"Trinidad and Tobago",
ISNUMBER(SEARCH("rn""&gt;Serbia and Montenegro",S4753)),"Serbia and Montenegro",
ISNUMBER(SEARCH(_xlfn.UNICHAR(65533),S4753)),"Côte d'Ivoire",
TRUE,"-"
)</f>
        <v>-</v>
      </c>
      <c r="W4753" s="42" t="str">
        <f t="shared" si="297"/>
        <v>-</v>
      </c>
    </row>
    <row r="4754" spans="19:23">
      <c r="S4754" s="42" t="str">
        <v/>
      </c>
      <c r="T4754" s="42" t="str">
        <f t="shared" si="295"/>
        <v>-</v>
      </c>
      <c r="U4754" s="40" t="str">
        <f t="shared" si="296"/>
        <v>-</v>
      </c>
      <c r="V4754" s="42" t="str" cm="1">
        <f t="array" ref="V4754">_xlfn.IFS(
LEFT(S4754,16)="win on penalties",IF(VALUE(MID(S4754,19,1))&gt;VALUE(MID(S4754,23,1)),DATA_CLEANED!AK268,DATA_CLEANED!AN268),
ISNUMBER(SEARCH("USA",S4754)),"United States",
ISNUMBER(SEARCH("Republic of Ireland",S4754)),"Ireland",
ISNUMBER(SEARCH("Republic of Korea",S4754)),"South Korea",
ISNUMBER(SEARCH("Cape Verde",S4754)),"Cabo Verde",
ISNUMBER(SEARCH("Czechia",S4754)),"Czech Republic",
ISNUMBER(SEARCH("Türkiye",S4754)),"Turkey",
ISNUMBER(SEARCH("Ivory Coast",S4754)),"Côte d'Ivoire",
ISNUMBER(SEARCH("Korea Republic",S4754)),"South Korea",
ISNUMBER(SEARCH("Germany FR",S4754)),"FR Germany",
ISNUMBER(SEARCH("West Germany",S4754)),"FR Germany",
ISNUMBER(SEARCH("Germany DR",S4754)),"DR Germany",
ISNUMBER(SEARCH("Korea DPR",S4754)),"North Korea",
ISNUMBER(SEARCH("China PR",S4754)),"China",
ISNUMBER(SEARCH("IR Iran",S4754)),"Iran",
ISNUMBER(SEARCH("Congo DR",S4754)),"Democratic Republic of the Congo",
ISNUMBER(SEARCH("DR Congo",S4754)),"Democratic Republic of the Congo",
ISNUMBER(SEARCH("German DR",S4754)),"DR Germany",
ISNUMBER(SEARCH("rn""&gt;United Arab Emirates",S4754)),"United Arab Emirates",
ISNUMBER(SEARCH("rn""&gt;Republic of Ireland",S4754)),"Ireland",
ISNUMBER(SEARCH("rn""&gt;Bosnia and Herzegovina",S4754)),"Bosnia and Herzegovina",
ISNUMBER(SEARCH("rn""&gt;Trinidad and Tobago",S4754)),"Trinidad and Tobago",
ISNUMBER(SEARCH("rn""&gt;Serbia and Montenegro",S4754)),"Serbia and Montenegro",
ISNUMBER(SEARCH(_xlfn.UNICHAR(65533),S4754)),"Côte d'Ivoire",
TRUE,"-"
)</f>
        <v>-</v>
      </c>
      <c r="W4754" s="42" t="str">
        <f t="shared" si="297"/>
        <v>-</v>
      </c>
    </row>
    <row r="4755" spans="19:23">
      <c r="S4755" s="42" t="str">
        <v/>
      </c>
      <c r="T4755" s="42" t="str">
        <f t="shared" si="295"/>
        <v>-</v>
      </c>
      <c r="U4755" s="40" t="str">
        <f t="shared" si="296"/>
        <v>-</v>
      </c>
      <c r="V4755" s="42" t="str" cm="1">
        <f t="array" ref="V4755">_xlfn.IFS(
LEFT(S4755,16)="win on penalties",IF(VALUE(MID(S4755,19,1))&gt;VALUE(MID(S4755,23,1)),DATA_CLEANED!AK269,DATA_CLEANED!AN269),
ISNUMBER(SEARCH("USA",S4755)),"United States",
ISNUMBER(SEARCH("Republic of Ireland",S4755)),"Ireland",
ISNUMBER(SEARCH("Republic of Korea",S4755)),"South Korea",
ISNUMBER(SEARCH("Cape Verde",S4755)),"Cabo Verde",
ISNUMBER(SEARCH("Czechia",S4755)),"Czech Republic",
ISNUMBER(SEARCH("Türkiye",S4755)),"Turkey",
ISNUMBER(SEARCH("Ivory Coast",S4755)),"Côte d'Ivoire",
ISNUMBER(SEARCH("Korea Republic",S4755)),"South Korea",
ISNUMBER(SEARCH("Germany FR",S4755)),"FR Germany",
ISNUMBER(SEARCH("West Germany",S4755)),"FR Germany",
ISNUMBER(SEARCH("Germany DR",S4755)),"DR Germany",
ISNUMBER(SEARCH("Korea DPR",S4755)),"North Korea",
ISNUMBER(SEARCH("China PR",S4755)),"China",
ISNUMBER(SEARCH("IR Iran",S4755)),"Iran",
ISNUMBER(SEARCH("Congo DR",S4755)),"Democratic Republic of the Congo",
ISNUMBER(SEARCH("DR Congo",S4755)),"Democratic Republic of the Congo",
ISNUMBER(SEARCH("German DR",S4755)),"DR Germany",
ISNUMBER(SEARCH("rn""&gt;United Arab Emirates",S4755)),"United Arab Emirates",
ISNUMBER(SEARCH("rn""&gt;Republic of Ireland",S4755)),"Ireland",
ISNUMBER(SEARCH("rn""&gt;Bosnia and Herzegovina",S4755)),"Bosnia and Herzegovina",
ISNUMBER(SEARCH("rn""&gt;Trinidad and Tobago",S4755)),"Trinidad and Tobago",
ISNUMBER(SEARCH("rn""&gt;Serbia and Montenegro",S4755)),"Serbia and Montenegro",
ISNUMBER(SEARCH(_xlfn.UNICHAR(65533),S4755)),"Côte d'Ivoire",
TRUE,"-"
)</f>
        <v>-</v>
      </c>
      <c r="W4755" s="42" t="str">
        <f t="shared" si="297"/>
        <v>-</v>
      </c>
    </row>
    <row r="4756" spans="19:23">
      <c r="S4756" s="42" t="str">
        <v/>
      </c>
      <c r="T4756" s="42" t="str">
        <f t="shared" si="295"/>
        <v>-</v>
      </c>
      <c r="U4756" s="40" t="str">
        <f t="shared" si="296"/>
        <v>-</v>
      </c>
      <c r="V4756" s="42" t="str" cm="1">
        <f t="array" ref="V4756">_xlfn.IFS(
LEFT(S4756,16)="win on penalties",IF(VALUE(MID(S4756,19,1))&gt;VALUE(MID(S4756,23,1)),DATA_CLEANED!AK270,DATA_CLEANED!AN270),
ISNUMBER(SEARCH("USA",S4756)),"United States",
ISNUMBER(SEARCH("Republic of Ireland",S4756)),"Ireland",
ISNUMBER(SEARCH("Republic of Korea",S4756)),"South Korea",
ISNUMBER(SEARCH("Cape Verde",S4756)),"Cabo Verde",
ISNUMBER(SEARCH("Czechia",S4756)),"Czech Republic",
ISNUMBER(SEARCH("Türkiye",S4756)),"Turkey",
ISNUMBER(SEARCH("Ivory Coast",S4756)),"Côte d'Ivoire",
ISNUMBER(SEARCH("Korea Republic",S4756)),"South Korea",
ISNUMBER(SEARCH("Germany FR",S4756)),"FR Germany",
ISNUMBER(SEARCH("West Germany",S4756)),"FR Germany",
ISNUMBER(SEARCH("Germany DR",S4756)),"DR Germany",
ISNUMBER(SEARCH("Korea DPR",S4756)),"North Korea",
ISNUMBER(SEARCH("China PR",S4756)),"China",
ISNUMBER(SEARCH("IR Iran",S4756)),"Iran",
ISNUMBER(SEARCH("Congo DR",S4756)),"Democratic Republic of the Congo",
ISNUMBER(SEARCH("DR Congo",S4756)),"Democratic Republic of the Congo",
ISNUMBER(SEARCH("German DR",S4756)),"DR Germany",
ISNUMBER(SEARCH("rn""&gt;United Arab Emirates",S4756)),"United Arab Emirates",
ISNUMBER(SEARCH("rn""&gt;Republic of Ireland",S4756)),"Ireland",
ISNUMBER(SEARCH("rn""&gt;Bosnia and Herzegovina",S4756)),"Bosnia and Herzegovina",
ISNUMBER(SEARCH("rn""&gt;Trinidad and Tobago",S4756)),"Trinidad and Tobago",
ISNUMBER(SEARCH("rn""&gt;Serbia and Montenegro",S4756)),"Serbia and Montenegro",
ISNUMBER(SEARCH(_xlfn.UNICHAR(65533),S4756)),"Côte d'Ivoire",
TRUE,"-"
)</f>
        <v>-</v>
      </c>
      <c r="W4756" s="42" t="str">
        <f t="shared" si="297"/>
        <v>-</v>
      </c>
    </row>
    <row r="4757" spans="19:23">
      <c r="S4757" s="42" t="str">
        <v/>
      </c>
      <c r="T4757" s="42" t="str">
        <f t="shared" si="295"/>
        <v>-</v>
      </c>
      <c r="U4757" s="40" t="str">
        <f t="shared" si="296"/>
        <v>-</v>
      </c>
      <c r="V4757" s="42" t="str" cm="1">
        <f t="array" ref="V4757">_xlfn.IFS(
LEFT(S4757,16)="win on penalties",IF(VALUE(MID(S4757,19,1))&gt;VALUE(MID(S4757,23,1)),DATA_CLEANED!AK271,DATA_CLEANED!AN271),
ISNUMBER(SEARCH("USA",S4757)),"United States",
ISNUMBER(SEARCH("Republic of Ireland",S4757)),"Ireland",
ISNUMBER(SEARCH("Republic of Korea",S4757)),"South Korea",
ISNUMBER(SEARCH("Cape Verde",S4757)),"Cabo Verde",
ISNUMBER(SEARCH("Czechia",S4757)),"Czech Republic",
ISNUMBER(SEARCH("Türkiye",S4757)),"Turkey",
ISNUMBER(SEARCH("Ivory Coast",S4757)),"Côte d'Ivoire",
ISNUMBER(SEARCH("Korea Republic",S4757)),"South Korea",
ISNUMBER(SEARCH("Germany FR",S4757)),"FR Germany",
ISNUMBER(SEARCH("West Germany",S4757)),"FR Germany",
ISNUMBER(SEARCH("Germany DR",S4757)),"DR Germany",
ISNUMBER(SEARCH("Korea DPR",S4757)),"North Korea",
ISNUMBER(SEARCH("China PR",S4757)),"China",
ISNUMBER(SEARCH("IR Iran",S4757)),"Iran",
ISNUMBER(SEARCH("Congo DR",S4757)),"Democratic Republic of the Congo",
ISNUMBER(SEARCH("DR Congo",S4757)),"Democratic Republic of the Congo",
ISNUMBER(SEARCH("German DR",S4757)),"DR Germany",
ISNUMBER(SEARCH("rn""&gt;United Arab Emirates",S4757)),"United Arab Emirates",
ISNUMBER(SEARCH("rn""&gt;Republic of Ireland",S4757)),"Ireland",
ISNUMBER(SEARCH("rn""&gt;Bosnia and Herzegovina",S4757)),"Bosnia and Herzegovina",
ISNUMBER(SEARCH("rn""&gt;Trinidad and Tobago",S4757)),"Trinidad and Tobago",
ISNUMBER(SEARCH("rn""&gt;Serbia and Montenegro",S4757)),"Serbia and Montenegro",
ISNUMBER(SEARCH(_xlfn.UNICHAR(65533),S4757)),"Côte d'Ivoire",
TRUE,"-"
)</f>
        <v>-</v>
      </c>
      <c r="W4757" s="42" t="str">
        <f t="shared" si="297"/>
        <v>-</v>
      </c>
    </row>
    <row r="4758" spans="19:23">
      <c r="S4758" s="42" t="str">
        <v/>
      </c>
      <c r="T4758" s="42" t="str">
        <f t="shared" si="295"/>
        <v>-</v>
      </c>
      <c r="U4758" s="40" t="str">
        <f t="shared" si="296"/>
        <v>-</v>
      </c>
      <c r="V4758" s="42" t="str" cm="1">
        <f t="array" ref="V4758">_xlfn.IFS(
LEFT(S4758,16)="win on penalties",IF(VALUE(MID(S4758,19,1))&gt;VALUE(MID(S4758,23,1)),DATA_CLEANED!AK272,DATA_CLEANED!AN272),
ISNUMBER(SEARCH("USA",S4758)),"United States",
ISNUMBER(SEARCH("Republic of Ireland",S4758)),"Ireland",
ISNUMBER(SEARCH("Republic of Korea",S4758)),"South Korea",
ISNUMBER(SEARCH("Cape Verde",S4758)),"Cabo Verde",
ISNUMBER(SEARCH("Czechia",S4758)),"Czech Republic",
ISNUMBER(SEARCH("Türkiye",S4758)),"Turkey",
ISNUMBER(SEARCH("Ivory Coast",S4758)),"Côte d'Ivoire",
ISNUMBER(SEARCH("Korea Republic",S4758)),"South Korea",
ISNUMBER(SEARCH("Germany FR",S4758)),"FR Germany",
ISNUMBER(SEARCH("West Germany",S4758)),"FR Germany",
ISNUMBER(SEARCH("Germany DR",S4758)),"DR Germany",
ISNUMBER(SEARCH("Korea DPR",S4758)),"North Korea",
ISNUMBER(SEARCH("China PR",S4758)),"China",
ISNUMBER(SEARCH("IR Iran",S4758)),"Iran",
ISNUMBER(SEARCH("Congo DR",S4758)),"Democratic Republic of the Congo",
ISNUMBER(SEARCH("DR Congo",S4758)),"Democratic Republic of the Congo",
ISNUMBER(SEARCH("German DR",S4758)),"DR Germany",
ISNUMBER(SEARCH("rn""&gt;United Arab Emirates",S4758)),"United Arab Emirates",
ISNUMBER(SEARCH("rn""&gt;Republic of Ireland",S4758)),"Ireland",
ISNUMBER(SEARCH("rn""&gt;Bosnia and Herzegovina",S4758)),"Bosnia and Herzegovina",
ISNUMBER(SEARCH("rn""&gt;Trinidad and Tobago",S4758)),"Trinidad and Tobago",
ISNUMBER(SEARCH("rn""&gt;Serbia and Montenegro",S4758)),"Serbia and Montenegro",
ISNUMBER(SEARCH(_xlfn.UNICHAR(65533),S4758)),"Côte d'Ivoire",
TRUE,"-"
)</f>
        <v>-</v>
      </c>
      <c r="W4758" s="42" t="str">
        <f t="shared" si="297"/>
        <v>-</v>
      </c>
    </row>
    <row r="4759" spans="19:23">
      <c r="S4759" s="42" t="str">
        <v/>
      </c>
      <c r="T4759" s="42" t="str">
        <f t="shared" si="295"/>
        <v>-</v>
      </c>
      <c r="U4759" s="40" t="str">
        <f t="shared" si="296"/>
        <v>-</v>
      </c>
      <c r="V4759" s="42" t="str" cm="1">
        <f t="array" ref="V4759">_xlfn.IFS(
LEFT(S4759,16)="win on penalties",IF(VALUE(MID(S4759,19,1))&gt;VALUE(MID(S4759,23,1)),DATA_CLEANED!AK273,DATA_CLEANED!AN273),
ISNUMBER(SEARCH("USA",S4759)),"United States",
ISNUMBER(SEARCH("Republic of Ireland",S4759)),"Ireland",
ISNUMBER(SEARCH("Republic of Korea",S4759)),"South Korea",
ISNUMBER(SEARCH("Cape Verde",S4759)),"Cabo Verde",
ISNUMBER(SEARCH("Czechia",S4759)),"Czech Republic",
ISNUMBER(SEARCH("Türkiye",S4759)),"Turkey",
ISNUMBER(SEARCH("Ivory Coast",S4759)),"Côte d'Ivoire",
ISNUMBER(SEARCH("Korea Republic",S4759)),"South Korea",
ISNUMBER(SEARCH("Germany FR",S4759)),"FR Germany",
ISNUMBER(SEARCH("West Germany",S4759)),"FR Germany",
ISNUMBER(SEARCH("Germany DR",S4759)),"DR Germany",
ISNUMBER(SEARCH("Korea DPR",S4759)),"North Korea",
ISNUMBER(SEARCH("China PR",S4759)),"China",
ISNUMBER(SEARCH("IR Iran",S4759)),"Iran",
ISNUMBER(SEARCH("Congo DR",S4759)),"Democratic Republic of the Congo",
ISNUMBER(SEARCH("DR Congo",S4759)),"Democratic Republic of the Congo",
ISNUMBER(SEARCH("German DR",S4759)),"DR Germany",
ISNUMBER(SEARCH("rn""&gt;United Arab Emirates",S4759)),"United Arab Emirates",
ISNUMBER(SEARCH("rn""&gt;Republic of Ireland",S4759)),"Ireland",
ISNUMBER(SEARCH("rn""&gt;Bosnia and Herzegovina",S4759)),"Bosnia and Herzegovina",
ISNUMBER(SEARCH("rn""&gt;Trinidad and Tobago",S4759)),"Trinidad and Tobago",
ISNUMBER(SEARCH("rn""&gt;Serbia and Montenegro",S4759)),"Serbia and Montenegro",
ISNUMBER(SEARCH(_xlfn.UNICHAR(65533),S4759)),"Côte d'Ivoire",
TRUE,"-"
)</f>
        <v>-</v>
      </c>
      <c r="W4759" s="42" t="str">
        <f t="shared" si="297"/>
        <v>-</v>
      </c>
    </row>
    <row r="4760" spans="19:23">
      <c r="S4760" s="42" t="str">
        <v/>
      </c>
      <c r="T4760" s="42" t="str">
        <f t="shared" si="295"/>
        <v>-</v>
      </c>
      <c r="U4760" s="40" t="str">
        <f t="shared" si="296"/>
        <v>-</v>
      </c>
      <c r="V4760" s="42" t="str" cm="1">
        <f t="array" ref="V4760">_xlfn.IFS(
LEFT(S4760,16)="win on penalties",IF(VALUE(MID(S4760,19,1))&gt;VALUE(MID(S4760,23,1)),DATA_CLEANED!AK274,DATA_CLEANED!AN274),
ISNUMBER(SEARCH("USA",S4760)),"United States",
ISNUMBER(SEARCH("Republic of Ireland",S4760)),"Ireland",
ISNUMBER(SEARCH("Republic of Korea",S4760)),"South Korea",
ISNUMBER(SEARCH("Cape Verde",S4760)),"Cabo Verde",
ISNUMBER(SEARCH("Czechia",S4760)),"Czech Republic",
ISNUMBER(SEARCH("Türkiye",S4760)),"Turkey",
ISNUMBER(SEARCH("Ivory Coast",S4760)),"Côte d'Ivoire",
ISNUMBER(SEARCH("Korea Republic",S4760)),"South Korea",
ISNUMBER(SEARCH("Germany FR",S4760)),"FR Germany",
ISNUMBER(SEARCH("West Germany",S4760)),"FR Germany",
ISNUMBER(SEARCH("Germany DR",S4760)),"DR Germany",
ISNUMBER(SEARCH("Korea DPR",S4760)),"North Korea",
ISNUMBER(SEARCH("China PR",S4760)),"China",
ISNUMBER(SEARCH("IR Iran",S4760)),"Iran",
ISNUMBER(SEARCH("Congo DR",S4760)),"Democratic Republic of the Congo",
ISNUMBER(SEARCH("DR Congo",S4760)),"Democratic Republic of the Congo",
ISNUMBER(SEARCH("German DR",S4760)),"DR Germany",
ISNUMBER(SEARCH("rn""&gt;United Arab Emirates",S4760)),"United Arab Emirates",
ISNUMBER(SEARCH("rn""&gt;Republic of Ireland",S4760)),"Ireland",
ISNUMBER(SEARCH("rn""&gt;Bosnia and Herzegovina",S4760)),"Bosnia and Herzegovina",
ISNUMBER(SEARCH("rn""&gt;Trinidad and Tobago",S4760)),"Trinidad and Tobago",
ISNUMBER(SEARCH("rn""&gt;Serbia and Montenegro",S4760)),"Serbia and Montenegro",
ISNUMBER(SEARCH(_xlfn.UNICHAR(65533),S4760)),"Côte d'Ivoire",
TRUE,"-"
)</f>
        <v>-</v>
      </c>
      <c r="W4760" s="42" t="str">
        <f t="shared" si="297"/>
        <v>-</v>
      </c>
    </row>
    <row r="4761" spans="19:23">
      <c r="S4761" s="42" t="str">
        <v/>
      </c>
      <c r="T4761" s="42" t="str">
        <f t="shared" si="295"/>
        <v>-</v>
      </c>
      <c r="U4761" s="40" t="str">
        <f t="shared" si="296"/>
        <v>-</v>
      </c>
      <c r="V4761" s="42" t="str" cm="1">
        <f t="array" ref="V4761">_xlfn.IFS(
LEFT(S4761,16)="win on penalties",IF(VALUE(MID(S4761,19,1))&gt;VALUE(MID(S4761,23,1)),DATA_CLEANED!AK275,DATA_CLEANED!AN275),
ISNUMBER(SEARCH("USA",S4761)),"United States",
ISNUMBER(SEARCH("Republic of Ireland",S4761)),"Ireland",
ISNUMBER(SEARCH("Republic of Korea",S4761)),"South Korea",
ISNUMBER(SEARCH("Cape Verde",S4761)),"Cabo Verde",
ISNUMBER(SEARCH("Czechia",S4761)),"Czech Republic",
ISNUMBER(SEARCH("Türkiye",S4761)),"Turkey",
ISNUMBER(SEARCH("Ivory Coast",S4761)),"Côte d'Ivoire",
ISNUMBER(SEARCH("Korea Republic",S4761)),"South Korea",
ISNUMBER(SEARCH("Germany FR",S4761)),"FR Germany",
ISNUMBER(SEARCH("West Germany",S4761)),"FR Germany",
ISNUMBER(SEARCH("Germany DR",S4761)),"DR Germany",
ISNUMBER(SEARCH("Korea DPR",S4761)),"North Korea",
ISNUMBER(SEARCH("China PR",S4761)),"China",
ISNUMBER(SEARCH("IR Iran",S4761)),"Iran",
ISNUMBER(SEARCH("Congo DR",S4761)),"Democratic Republic of the Congo",
ISNUMBER(SEARCH("DR Congo",S4761)),"Democratic Republic of the Congo",
ISNUMBER(SEARCH("German DR",S4761)),"DR Germany",
ISNUMBER(SEARCH("rn""&gt;United Arab Emirates",S4761)),"United Arab Emirates",
ISNUMBER(SEARCH("rn""&gt;Republic of Ireland",S4761)),"Ireland",
ISNUMBER(SEARCH("rn""&gt;Bosnia and Herzegovina",S4761)),"Bosnia and Herzegovina",
ISNUMBER(SEARCH("rn""&gt;Trinidad and Tobago",S4761)),"Trinidad and Tobago",
ISNUMBER(SEARCH("rn""&gt;Serbia and Montenegro",S4761)),"Serbia and Montenegro",
ISNUMBER(SEARCH(_xlfn.UNICHAR(65533),S4761)),"Côte d'Ivoire",
TRUE,"-"
)</f>
        <v>-</v>
      </c>
      <c r="W4761" s="42" t="str">
        <f t="shared" si="297"/>
        <v>-</v>
      </c>
    </row>
    <row r="4762" spans="19:23">
      <c r="S4762" s="42" t="str">
        <v/>
      </c>
      <c r="T4762" s="42" t="str">
        <f t="shared" si="295"/>
        <v>-</v>
      </c>
      <c r="U4762" s="40" t="str">
        <f t="shared" si="296"/>
        <v>-</v>
      </c>
      <c r="V4762" s="42" t="str" cm="1">
        <f t="array" ref="V4762">_xlfn.IFS(
LEFT(S4762,16)="win on penalties",IF(VALUE(MID(S4762,19,1))&gt;VALUE(MID(S4762,23,1)),DATA_CLEANED!AK276,DATA_CLEANED!AN276),
ISNUMBER(SEARCH("USA",S4762)),"United States",
ISNUMBER(SEARCH("Republic of Ireland",S4762)),"Ireland",
ISNUMBER(SEARCH("Republic of Korea",S4762)),"South Korea",
ISNUMBER(SEARCH("Cape Verde",S4762)),"Cabo Verde",
ISNUMBER(SEARCH("Czechia",S4762)),"Czech Republic",
ISNUMBER(SEARCH("Türkiye",S4762)),"Turkey",
ISNUMBER(SEARCH("Ivory Coast",S4762)),"Côte d'Ivoire",
ISNUMBER(SEARCH("Korea Republic",S4762)),"South Korea",
ISNUMBER(SEARCH("Germany FR",S4762)),"FR Germany",
ISNUMBER(SEARCH("West Germany",S4762)),"FR Germany",
ISNUMBER(SEARCH("Germany DR",S4762)),"DR Germany",
ISNUMBER(SEARCH("Korea DPR",S4762)),"North Korea",
ISNUMBER(SEARCH("China PR",S4762)),"China",
ISNUMBER(SEARCH("IR Iran",S4762)),"Iran",
ISNUMBER(SEARCH("Congo DR",S4762)),"Democratic Republic of the Congo",
ISNUMBER(SEARCH("DR Congo",S4762)),"Democratic Republic of the Congo",
ISNUMBER(SEARCH("German DR",S4762)),"DR Germany",
ISNUMBER(SEARCH("rn""&gt;United Arab Emirates",S4762)),"United Arab Emirates",
ISNUMBER(SEARCH("rn""&gt;Republic of Ireland",S4762)),"Ireland",
ISNUMBER(SEARCH("rn""&gt;Bosnia and Herzegovina",S4762)),"Bosnia and Herzegovina",
ISNUMBER(SEARCH("rn""&gt;Trinidad and Tobago",S4762)),"Trinidad and Tobago",
ISNUMBER(SEARCH("rn""&gt;Serbia and Montenegro",S4762)),"Serbia and Montenegro",
ISNUMBER(SEARCH(_xlfn.UNICHAR(65533),S4762)),"Côte d'Ivoire",
TRUE,"-"
)</f>
        <v>-</v>
      </c>
      <c r="W4762" s="42" t="str">
        <f t="shared" si="297"/>
        <v>-</v>
      </c>
    </row>
    <row r="4763" spans="19:23">
      <c r="S4763" s="42" t="str">
        <v/>
      </c>
      <c r="T4763" s="42" t="str">
        <f t="shared" si="295"/>
        <v>-</v>
      </c>
      <c r="U4763" s="40" t="str">
        <f t="shared" si="296"/>
        <v>-</v>
      </c>
      <c r="V4763" s="42" t="str" cm="1">
        <f t="array" ref="V4763">_xlfn.IFS(
LEFT(S4763,16)="win on penalties",IF(VALUE(MID(S4763,19,1))&gt;VALUE(MID(S4763,23,1)),DATA_CLEANED!AK277,DATA_CLEANED!AN277),
ISNUMBER(SEARCH("USA",S4763)),"United States",
ISNUMBER(SEARCH("Republic of Ireland",S4763)),"Ireland",
ISNUMBER(SEARCH("Republic of Korea",S4763)),"South Korea",
ISNUMBER(SEARCH("Cape Verde",S4763)),"Cabo Verde",
ISNUMBER(SEARCH("Czechia",S4763)),"Czech Republic",
ISNUMBER(SEARCH("Türkiye",S4763)),"Turkey",
ISNUMBER(SEARCH("Ivory Coast",S4763)),"Côte d'Ivoire",
ISNUMBER(SEARCH("Korea Republic",S4763)),"South Korea",
ISNUMBER(SEARCH("Germany FR",S4763)),"FR Germany",
ISNUMBER(SEARCH("West Germany",S4763)),"FR Germany",
ISNUMBER(SEARCH("Germany DR",S4763)),"DR Germany",
ISNUMBER(SEARCH("Korea DPR",S4763)),"North Korea",
ISNUMBER(SEARCH("China PR",S4763)),"China",
ISNUMBER(SEARCH("IR Iran",S4763)),"Iran",
ISNUMBER(SEARCH("Congo DR",S4763)),"Democratic Republic of the Congo",
ISNUMBER(SEARCH("DR Congo",S4763)),"Democratic Republic of the Congo",
ISNUMBER(SEARCH("German DR",S4763)),"DR Germany",
ISNUMBER(SEARCH("rn""&gt;United Arab Emirates",S4763)),"United Arab Emirates",
ISNUMBER(SEARCH("rn""&gt;Republic of Ireland",S4763)),"Ireland",
ISNUMBER(SEARCH("rn""&gt;Bosnia and Herzegovina",S4763)),"Bosnia and Herzegovina",
ISNUMBER(SEARCH("rn""&gt;Trinidad and Tobago",S4763)),"Trinidad and Tobago",
ISNUMBER(SEARCH("rn""&gt;Serbia and Montenegro",S4763)),"Serbia and Montenegro",
ISNUMBER(SEARCH(_xlfn.UNICHAR(65533),S4763)),"Côte d'Ivoire",
TRUE,"-"
)</f>
        <v>-</v>
      </c>
      <c r="W4763" s="42" t="str">
        <f t="shared" si="297"/>
        <v>-</v>
      </c>
    </row>
    <row r="4764" spans="19:23">
      <c r="S4764" s="42" t="str">
        <v/>
      </c>
      <c r="T4764" s="42" t="str">
        <f t="shared" si="295"/>
        <v>-</v>
      </c>
      <c r="U4764" s="40" t="str">
        <f t="shared" si="296"/>
        <v>-</v>
      </c>
      <c r="V4764" s="42" t="str" cm="1">
        <f t="array" ref="V4764">_xlfn.IFS(
LEFT(S4764,16)="win on penalties",IF(VALUE(MID(S4764,19,1))&gt;VALUE(MID(S4764,23,1)),DATA_CLEANED!AK278,DATA_CLEANED!AN278),
ISNUMBER(SEARCH("USA",S4764)),"United States",
ISNUMBER(SEARCH("Republic of Ireland",S4764)),"Ireland",
ISNUMBER(SEARCH("Republic of Korea",S4764)),"South Korea",
ISNUMBER(SEARCH("Cape Verde",S4764)),"Cabo Verde",
ISNUMBER(SEARCH("Czechia",S4764)),"Czech Republic",
ISNUMBER(SEARCH("Türkiye",S4764)),"Turkey",
ISNUMBER(SEARCH("Ivory Coast",S4764)),"Côte d'Ivoire",
ISNUMBER(SEARCH("Korea Republic",S4764)),"South Korea",
ISNUMBER(SEARCH("Germany FR",S4764)),"FR Germany",
ISNUMBER(SEARCH("West Germany",S4764)),"FR Germany",
ISNUMBER(SEARCH("Germany DR",S4764)),"DR Germany",
ISNUMBER(SEARCH("Korea DPR",S4764)),"North Korea",
ISNUMBER(SEARCH("China PR",S4764)),"China",
ISNUMBER(SEARCH("IR Iran",S4764)),"Iran",
ISNUMBER(SEARCH("Congo DR",S4764)),"Democratic Republic of the Congo",
ISNUMBER(SEARCH("DR Congo",S4764)),"Democratic Republic of the Congo",
ISNUMBER(SEARCH("German DR",S4764)),"DR Germany",
ISNUMBER(SEARCH("rn""&gt;United Arab Emirates",S4764)),"United Arab Emirates",
ISNUMBER(SEARCH("rn""&gt;Republic of Ireland",S4764)),"Ireland",
ISNUMBER(SEARCH("rn""&gt;Bosnia and Herzegovina",S4764)),"Bosnia and Herzegovina",
ISNUMBER(SEARCH("rn""&gt;Trinidad and Tobago",S4764)),"Trinidad and Tobago",
ISNUMBER(SEARCH("rn""&gt;Serbia and Montenegro",S4764)),"Serbia and Montenegro",
ISNUMBER(SEARCH(_xlfn.UNICHAR(65533),S4764)),"Côte d'Ivoire",
TRUE,"-"
)</f>
        <v>-</v>
      </c>
      <c r="W4764" s="42" t="str">
        <f t="shared" si="297"/>
        <v>-</v>
      </c>
    </row>
    <row r="4765" spans="19:23">
      <c r="S4765" s="42" t="str">
        <v/>
      </c>
      <c r="T4765" s="42" t="str">
        <f t="shared" si="295"/>
        <v>-</v>
      </c>
      <c r="U4765" s="40" t="str">
        <f t="shared" si="296"/>
        <v>-</v>
      </c>
      <c r="V4765" s="42" t="str" cm="1">
        <f t="array" ref="V4765">_xlfn.IFS(
LEFT(S4765,16)="win on penalties",IF(VALUE(MID(S4765,19,1))&gt;VALUE(MID(S4765,23,1)),DATA_CLEANED!AK279,DATA_CLEANED!AN279),
ISNUMBER(SEARCH("USA",S4765)),"United States",
ISNUMBER(SEARCH("Republic of Ireland",S4765)),"Ireland",
ISNUMBER(SEARCH("Republic of Korea",S4765)),"South Korea",
ISNUMBER(SEARCH("Cape Verde",S4765)),"Cabo Verde",
ISNUMBER(SEARCH("Czechia",S4765)),"Czech Republic",
ISNUMBER(SEARCH("Türkiye",S4765)),"Turkey",
ISNUMBER(SEARCH("Ivory Coast",S4765)),"Côte d'Ivoire",
ISNUMBER(SEARCH("Korea Republic",S4765)),"South Korea",
ISNUMBER(SEARCH("Germany FR",S4765)),"FR Germany",
ISNUMBER(SEARCH("West Germany",S4765)),"FR Germany",
ISNUMBER(SEARCH("Germany DR",S4765)),"DR Germany",
ISNUMBER(SEARCH("Korea DPR",S4765)),"North Korea",
ISNUMBER(SEARCH("China PR",S4765)),"China",
ISNUMBER(SEARCH("IR Iran",S4765)),"Iran",
ISNUMBER(SEARCH("Congo DR",S4765)),"Democratic Republic of the Congo",
ISNUMBER(SEARCH("DR Congo",S4765)),"Democratic Republic of the Congo",
ISNUMBER(SEARCH("German DR",S4765)),"DR Germany",
ISNUMBER(SEARCH("rn""&gt;United Arab Emirates",S4765)),"United Arab Emirates",
ISNUMBER(SEARCH("rn""&gt;Republic of Ireland",S4765)),"Ireland",
ISNUMBER(SEARCH("rn""&gt;Bosnia and Herzegovina",S4765)),"Bosnia and Herzegovina",
ISNUMBER(SEARCH("rn""&gt;Trinidad and Tobago",S4765)),"Trinidad and Tobago",
ISNUMBER(SEARCH("rn""&gt;Serbia and Montenegro",S4765)),"Serbia and Montenegro",
ISNUMBER(SEARCH(_xlfn.UNICHAR(65533),S4765)),"Côte d'Ivoire",
TRUE,"-"
)</f>
        <v>-</v>
      </c>
      <c r="W4765" s="42" t="str">
        <f t="shared" si="297"/>
        <v>-</v>
      </c>
    </row>
    <row r="4766" spans="19:23">
      <c r="S4766" s="42" t="str">
        <v/>
      </c>
      <c r="T4766" s="42" t="str">
        <f t="shared" si="295"/>
        <v>-</v>
      </c>
      <c r="U4766" s="40" t="str">
        <f t="shared" si="296"/>
        <v>-</v>
      </c>
      <c r="V4766" s="42" t="str" cm="1">
        <f t="array" ref="V4766">_xlfn.IFS(
LEFT(S4766,16)="win on penalties",IF(VALUE(MID(S4766,19,1))&gt;VALUE(MID(S4766,23,1)),DATA_CLEANED!AK280,DATA_CLEANED!AN280),
ISNUMBER(SEARCH("USA",S4766)),"United States",
ISNUMBER(SEARCH("Republic of Ireland",S4766)),"Ireland",
ISNUMBER(SEARCH("Republic of Korea",S4766)),"South Korea",
ISNUMBER(SEARCH("Cape Verde",S4766)),"Cabo Verde",
ISNUMBER(SEARCH("Czechia",S4766)),"Czech Republic",
ISNUMBER(SEARCH("Türkiye",S4766)),"Turkey",
ISNUMBER(SEARCH("Ivory Coast",S4766)),"Côte d'Ivoire",
ISNUMBER(SEARCH("Korea Republic",S4766)),"South Korea",
ISNUMBER(SEARCH("Germany FR",S4766)),"FR Germany",
ISNUMBER(SEARCH("West Germany",S4766)),"FR Germany",
ISNUMBER(SEARCH("Germany DR",S4766)),"DR Germany",
ISNUMBER(SEARCH("Korea DPR",S4766)),"North Korea",
ISNUMBER(SEARCH("China PR",S4766)),"China",
ISNUMBER(SEARCH("IR Iran",S4766)),"Iran",
ISNUMBER(SEARCH("Congo DR",S4766)),"Democratic Republic of the Congo",
ISNUMBER(SEARCH("DR Congo",S4766)),"Democratic Republic of the Congo",
ISNUMBER(SEARCH("German DR",S4766)),"DR Germany",
ISNUMBER(SEARCH("rn""&gt;United Arab Emirates",S4766)),"United Arab Emirates",
ISNUMBER(SEARCH("rn""&gt;Republic of Ireland",S4766)),"Ireland",
ISNUMBER(SEARCH("rn""&gt;Bosnia and Herzegovina",S4766)),"Bosnia and Herzegovina",
ISNUMBER(SEARCH("rn""&gt;Trinidad and Tobago",S4766)),"Trinidad and Tobago",
ISNUMBER(SEARCH("rn""&gt;Serbia and Montenegro",S4766)),"Serbia and Montenegro",
ISNUMBER(SEARCH(_xlfn.UNICHAR(65533),S4766)),"Côte d'Ivoire",
TRUE,"-"
)</f>
        <v>-</v>
      </c>
      <c r="W4766" s="42" t="str">
        <f t="shared" si="297"/>
        <v>-</v>
      </c>
    </row>
    <row r="4767" spans="19:23">
      <c r="S4767" s="42" t="str">
        <v/>
      </c>
      <c r="T4767" s="42" t="str">
        <f t="shared" si="295"/>
        <v>-</v>
      </c>
      <c r="U4767" s="40" t="str">
        <f t="shared" si="296"/>
        <v>-</v>
      </c>
      <c r="V4767" s="42" t="str" cm="1">
        <f t="array" ref="V4767">_xlfn.IFS(
LEFT(S4767,16)="win on penalties",IF(VALUE(MID(S4767,19,1))&gt;VALUE(MID(S4767,23,1)),DATA_CLEANED!AK281,DATA_CLEANED!AN281),
ISNUMBER(SEARCH("USA",S4767)),"United States",
ISNUMBER(SEARCH("Republic of Ireland",S4767)),"Ireland",
ISNUMBER(SEARCH("Republic of Korea",S4767)),"South Korea",
ISNUMBER(SEARCH("Cape Verde",S4767)),"Cabo Verde",
ISNUMBER(SEARCH("Czechia",S4767)),"Czech Republic",
ISNUMBER(SEARCH("Türkiye",S4767)),"Turkey",
ISNUMBER(SEARCH("Ivory Coast",S4767)),"Côte d'Ivoire",
ISNUMBER(SEARCH("Korea Republic",S4767)),"South Korea",
ISNUMBER(SEARCH("Germany FR",S4767)),"FR Germany",
ISNUMBER(SEARCH("West Germany",S4767)),"FR Germany",
ISNUMBER(SEARCH("Germany DR",S4767)),"DR Germany",
ISNUMBER(SEARCH("Korea DPR",S4767)),"North Korea",
ISNUMBER(SEARCH("China PR",S4767)),"China",
ISNUMBER(SEARCH("IR Iran",S4767)),"Iran",
ISNUMBER(SEARCH("Congo DR",S4767)),"Democratic Republic of the Congo",
ISNUMBER(SEARCH("DR Congo",S4767)),"Democratic Republic of the Congo",
ISNUMBER(SEARCH("German DR",S4767)),"DR Germany",
ISNUMBER(SEARCH("rn""&gt;United Arab Emirates",S4767)),"United Arab Emirates",
ISNUMBER(SEARCH("rn""&gt;Republic of Ireland",S4767)),"Ireland",
ISNUMBER(SEARCH("rn""&gt;Bosnia and Herzegovina",S4767)),"Bosnia and Herzegovina",
ISNUMBER(SEARCH("rn""&gt;Trinidad and Tobago",S4767)),"Trinidad and Tobago",
ISNUMBER(SEARCH("rn""&gt;Serbia and Montenegro",S4767)),"Serbia and Montenegro",
ISNUMBER(SEARCH(_xlfn.UNICHAR(65533),S4767)),"Côte d'Ivoire",
TRUE,"-"
)</f>
        <v>-</v>
      </c>
      <c r="W4767" s="42" t="str">
        <f t="shared" si="297"/>
        <v>-</v>
      </c>
    </row>
    <row r="4768" spans="19:23">
      <c r="S4768" s="42" t="str">
        <v/>
      </c>
      <c r="T4768" s="42" t="str">
        <f t="shared" si="295"/>
        <v>-</v>
      </c>
      <c r="U4768" s="40" t="str">
        <f t="shared" si="296"/>
        <v>-</v>
      </c>
      <c r="V4768" s="42" t="str" cm="1">
        <f t="array" ref="V4768">_xlfn.IFS(
LEFT(S4768,16)="win on penalties",IF(VALUE(MID(S4768,19,1))&gt;VALUE(MID(S4768,23,1)),DATA_CLEANED!AK282,DATA_CLEANED!AN282),
ISNUMBER(SEARCH("USA",S4768)),"United States",
ISNUMBER(SEARCH("Republic of Ireland",S4768)),"Ireland",
ISNUMBER(SEARCH("Republic of Korea",S4768)),"South Korea",
ISNUMBER(SEARCH("Cape Verde",S4768)),"Cabo Verde",
ISNUMBER(SEARCH("Czechia",S4768)),"Czech Republic",
ISNUMBER(SEARCH("Türkiye",S4768)),"Turkey",
ISNUMBER(SEARCH("Ivory Coast",S4768)),"Côte d'Ivoire",
ISNUMBER(SEARCH("Korea Republic",S4768)),"South Korea",
ISNUMBER(SEARCH("Germany FR",S4768)),"FR Germany",
ISNUMBER(SEARCH("West Germany",S4768)),"FR Germany",
ISNUMBER(SEARCH("Germany DR",S4768)),"DR Germany",
ISNUMBER(SEARCH("Korea DPR",S4768)),"North Korea",
ISNUMBER(SEARCH("China PR",S4768)),"China",
ISNUMBER(SEARCH("IR Iran",S4768)),"Iran",
ISNUMBER(SEARCH("Congo DR",S4768)),"Democratic Republic of the Congo",
ISNUMBER(SEARCH("DR Congo",S4768)),"Democratic Republic of the Congo",
ISNUMBER(SEARCH("German DR",S4768)),"DR Germany",
ISNUMBER(SEARCH("rn""&gt;United Arab Emirates",S4768)),"United Arab Emirates",
ISNUMBER(SEARCH("rn""&gt;Republic of Ireland",S4768)),"Ireland",
ISNUMBER(SEARCH("rn""&gt;Bosnia and Herzegovina",S4768)),"Bosnia and Herzegovina",
ISNUMBER(SEARCH("rn""&gt;Trinidad and Tobago",S4768)),"Trinidad and Tobago",
ISNUMBER(SEARCH("rn""&gt;Serbia and Montenegro",S4768)),"Serbia and Montenegro",
ISNUMBER(SEARCH(_xlfn.UNICHAR(65533),S4768)),"Côte d'Ivoire",
TRUE,"-"
)</f>
        <v>-</v>
      </c>
      <c r="W4768" s="42" t="str">
        <f t="shared" si="297"/>
        <v>-</v>
      </c>
    </row>
    <row r="4769" spans="19:23">
      <c r="S4769" s="42" t="str">
        <v/>
      </c>
      <c r="T4769" s="42" t="str">
        <f t="shared" si="295"/>
        <v>-</v>
      </c>
      <c r="U4769" s="40" t="str">
        <f t="shared" si="296"/>
        <v>-</v>
      </c>
      <c r="V4769" s="42" t="str" cm="1">
        <f t="array" ref="V4769">_xlfn.IFS(
LEFT(S4769,16)="win on penalties",IF(VALUE(MID(S4769,19,1))&gt;VALUE(MID(S4769,23,1)),DATA_CLEANED!AK283,DATA_CLEANED!AN283),
ISNUMBER(SEARCH("USA",S4769)),"United States",
ISNUMBER(SEARCH("Republic of Ireland",S4769)),"Ireland",
ISNUMBER(SEARCH("Republic of Korea",S4769)),"South Korea",
ISNUMBER(SEARCH("Cape Verde",S4769)),"Cabo Verde",
ISNUMBER(SEARCH("Czechia",S4769)),"Czech Republic",
ISNUMBER(SEARCH("Türkiye",S4769)),"Turkey",
ISNUMBER(SEARCH("Ivory Coast",S4769)),"Côte d'Ivoire",
ISNUMBER(SEARCH("Korea Republic",S4769)),"South Korea",
ISNUMBER(SEARCH("Germany FR",S4769)),"FR Germany",
ISNUMBER(SEARCH("West Germany",S4769)),"FR Germany",
ISNUMBER(SEARCH("Germany DR",S4769)),"DR Germany",
ISNUMBER(SEARCH("Korea DPR",S4769)),"North Korea",
ISNUMBER(SEARCH("China PR",S4769)),"China",
ISNUMBER(SEARCH("IR Iran",S4769)),"Iran",
ISNUMBER(SEARCH("Congo DR",S4769)),"Democratic Republic of the Congo",
ISNUMBER(SEARCH("DR Congo",S4769)),"Democratic Republic of the Congo",
ISNUMBER(SEARCH("German DR",S4769)),"DR Germany",
ISNUMBER(SEARCH("rn""&gt;United Arab Emirates",S4769)),"United Arab Emirates",
ISNUMBER(SEARCH("rn""&gt;Republic of Ireland",S4769)),"Ireland",
ISNUMBER(SEARCH("rn""&gt;Bosnia and Herzegovina",S4769)),"Bosnia and Herzegovina",
ISNUMBER(SEARCH("rn""&gt;Trinidad and Tobago",S4769)),"Trinidad and Tobago",
ISNUMBER(SEARCH("rn""&gt;Serbia and Montenegro",S4769)),"Serbia and Montenegro",
ISNUMBER(SEARCH(_xlfn.UNICHAR(65533),S4769)),"Côte d'Ivoire",
TRUE,"-"
)</f>
        <v>-</v>
      </c>
      <c r="W4769" s="42" t="str">
        <f t="shared" si="297"/>
        <v>-</v>
      </c>
    </row>
    <row r="4770" spans="19:23">
      <c r="S4770" s="42" t="str">
        <v/>
      </c>
      <c r="T4770" s="42" t="str">
        <f t="shared" si="295"/>
        <v>-</v>
      </c>
      <c r="U4770" s="40" t="str">
        <f t="shared" si="296"/>
        <v>-</v>
      </c>
      <c r="V4770" s="42" t="str" cm="1">
        <f t="array" ref="V4770">_xlfn.IFS(
LEFT(S4770,16)="win on penalties",IF(VALUE(MID(S4770,19,1))&gt;VALUE(MID(S4770,23,1)),DATA_CLEANED!AK284,DATA_CLEANED!AN284),
ISNUMBER(SEARCH("USA",S4770)),"United States",
ISNUMBER(SEARCH("Republic of Ireland",S4770)),"Ireland",
ISNUMBER(SEARCH("Republic of Korea",S4770)),"South Korea",
ISNUMBER(SEARCH("Cape Verde",S4770)),"Cabo Verde",
ISNUMBER(SEARCH("Czechia",S4770)),"Czech Republic",
ISNUMBER(SEARCH("Türkiye",S4770)),"Turkey",
ISNUMBER(SEARCH("Ivory Coast",S4770)),"Côte d'Ivoire",
ISNUMBER(SEARCH("Korea Republic",S4770)),"South Korea",
ISNUMBER(SEARCH("Germany FR",S4770)),"FR Germany",
ISNUMBER(SEARCH("West Germany",S4770)),"FR Germany",
ISNUMBER(SEARCH("Germany DR",S4770)),"DR Germany",
ISNUMBER(SEARCH("Korea DPR",S4770)),"North Korea",
ISNUMBER(SEARCH("China PR",S4770)),"China",
ISNUMBER(SEARCH("IR Iran",S4770)),"Iran",
ISNUMBER(SEARCH("Congo DR",S4770)),"Democratic Republic of the Congo",
ISNUMBER(SEARCH("DR Congo",S4770)),"Democratic Republic of the Congo",
ISNUMBER(SEARCH("German DR",S4770)),"DR Germany",
ISNUMBER(SEARCH("rn""&gt;United Arab Emirates",S4770)),"United Arab Emirates",
ISNUMBER(SEARCH("rn""&gt;Republic of Ireland",S4770)),"Ireland",
ISNUMBER(SEARCH("rn""&gt;Bosnia and Herzegovina",S4770)),"Bosnia and Herzegovina",
ISNUMBER(SEARCH("rn""&gt;Trinidad and Tobago",S4770)),"Trinidad and Tobago",
ISNUMBER(SEARCH("rn""&gt;Serbia and Montenegro",S4770)),"Serbia and Montenegro",
ISNUMBER(SEARCH(_xlfn.UNICHAR(65533),S4770)),"Côte d'Ivoire",
TRUE,"-"
)</f>
        <v>-</v>
      </c>
      <c r="W4770" s="42" t="str">
        <f t="shared" si="297"/>
        <v>-</v>
      </c>
    </row>
    <row r="4771" spans="19:23">
      <c r="S4771" s="42" t="str">
        <v/>
      </c>
      <c r="T4771" s="42" t="str">
        <f t="shared" si="295"/>
        <v>-</v>
      </c>
      <c r="U4771" s="40" t="str">
        <f t="shared" si="296"/>
        <v>-</v>
      </c>
      <c r="V4771" s="42" t="str" cm="1">
        <f t="array" ref="V4771">_xlfn.IFS(
LEFT(S4771,16)="win on penalties",IF(VALUE(MID(S4771,19,1))&gt;VALUE(MID(S4771,23,1)),DATA_CLEANED!AK285,DATA_CLEANED!AN285),
ISNUMBER(SEARCH("USA",S4771)),"United States",
ISNUMBER(SEARCH("Republic of Ireland",S4771)),"Ireland",
ISNUMBER(SEARCH("Republic of Korea",S4771)),"South Korea",
ISNUMBER(SEARCH("Cape Verde",S4771)),"Cabo Verde",
ISNUMBER(SEARCH("Czechia",S4771)),"Czech Republic",
ISNUMBER(SEARCH("Türkiye",S4771)),"Turkey",
ISNUMBER(SEARCH("Ivory Coast",S4771)),"Côte d'Ivoire",
ISNUMBER(SEARCH("Korea Republic",S4771)),"South Korea",
ISNUMBER(SEARCH("Germany FR",S4771)),"FR Germany",
ISNUMBER(SEARCH("West Germany",S4771)),"FR Germany",
ISNUMBER(SEARCH("Germany DR",S4771)),"DR Germany",
ISNUMBER(SEARCH("Korea DPR",S4771)),"North Korea",
ISNUMBER(SEARCH("China PR",S4771)),"China",
ISNUMBER(SEARCH("IR Iran",S4771)),"Iran",
ISNUMBER(SEARCH("Congo DR",S4771)),"Democratic Republic of the Congo",
ISNUMBER(SEARCH("DR Congo",S4771)),"Democratic Republic of the Congo",
ISNUMBER(SEARCH("German DR",S4771)),"DR Germany",
ISNUMBER(SEARCH("rn""&gt;United Arab Emirates",S4771)),"United Arab Emirates",
ISNUMBER(SEARCH("rn""&gt;Republic of Ireland",S4771)),"Ireland",
ISNUMBER(SEARCH("rn""&gt;Bosnia and Herzegovina",S4771)),"Bosnia and Herzegovina",
ISNUMBER(SEARCH("rn""&gt;Trinidad and Tobago",S4771)),"Trinidad and Tobago",
ISNUMBER(SEARCH("rn""&gt;Serbia and Montenegro",S4771)),"Serbia and Montenegro",
ISNUMBER(SEARCH(_xlfn.UNICHAR(65533),S4771)),"Côte d'Ivoire",
TRUE,"-"
)</f>
        <v>-</v>
      </c>
      <c r="W4771" s="42" t="str">
        <f t="shared" si="297"/>
        <v>-</v>
      </c>
    </row>
    <row r="4772" spans="19:23">
      <c r="S4772" s="42" t="str">
        <v/>
      </c>
      <c r="T4772" s="42" t="str">
        <f t="shared" si="295"/>
        <v>-</v>
      </c>
      <c r="U4772" s="40" t="str">
        <f t="shared" si="296"/>
        <v>-</v>
      </c>
      <c r="V4772" s="42" t="str" cm="1">
        <f t="array" ref="V4772">_xlfn.IFS(
LEFT(S4772,16)="win on penalties",IF(VALUE(MID(S4772,19,1))&gt;VALUE(MID(S4772,23,1)),DATA_CLEANED!AK286,DATA_CLEANED!AN286),
ISNUMBER(SEARCH("USA",S4772)),"United States",
ISNUMBER(SEARCH("Republic of Ireland",S4772)),"Ireland",
ISNUMBER(SEARCH("Republic of Korea",S4772)),"South Korea",
ISNUMBER(SEARCH("Cape Verde",S4772)),"Cabo Verde",
ISNUMBER(SEARCH("Czechia",S4772)),"Czech Republic",
ISNUMBER(SEARCH("Türkiye",S4772)),"Turkey",
ISNUMBER(SEARCH("Ivory Coast",S4772)),"Côte d'Ivoire",
ISNUMBER(SEARCH("Korea Republic",S4772)),"South Korea",
ISNUMBER(SEARCH("Germany FR",S4772)),"FR Germany",
ISNUMBER(SEARCH("West Germany",S4772)),"FR Germany",
ISNUMBER(SEARCH("Germany DR",S4772)),"DR Germany",
ISNUMBER(SEARCH("Korea DPR",S4772)),"North Korea",
ISNUMBER(SEARCH("China PR",S4772)),"China",
ISNUMBER(SEARCH("IR Iran",S4772)),"Iran",
ISNUMBER(SEARCH("Congo DR",S4772)),"Democratic Republic of the Congo",
ISNUMBER(SEARCH("DR Congo",S4772)),"Democratic Republic of the Congo",
ISNUMBER(SEARCH("German DR",S4772)),"DR Germany",
ISNUMBER(SEARCH("rn""&gt;United Arab Emirates",S4772)),"United Arab Emirates",
ISNUMBER(SEARCH("rn""&gt;Republic of Ireland",S4772)),"Ireland",
ISNUMBER(SEARCH("rn""&gt;Bosnia and Herzegovina",S4772)),"Bosnia and Herzegovina",
ISNUMBER(SEARCH("rn""&gt;Trinidad and Tobago",S4772)),"Trinidad and Tobago",
ISNUMBER(SEARCH("rn""&gt;Serbia and Montenegro",S4772)),"Serbia and Montenegro",
ISNUMBER(SEARCH(_xlfn.UNICHAR(65533),S4772)),"Côte d'Ivoire",
TRUE,"-"
)</f>
        <v>-</v>
      </c>
      <c r="W4772" s="42" t="str">
        <f t="shared" si="297"/>
        <v>-</v>
      </c>
    </row>
    <row r="4773" spans="19:23">
      <c r="S4773" s="42" t="str">
        <v/>
      </c>
      <c r="T4773" s="42" t="str">
        <f t="shared" si="295"/>
        <v>-</v>
      </c>
      <c r="U4773" s="40" t="str">
        <f t="shared" si="296"/>
        <v>-</v>
      </c>
      <c r="V4773" s="42" t="str" cm="1">
        <f t="array" ref="V4773">_xlfn.IFS(
LEFT(S4773,16)="win on penalties",IF(VALUE(MID(S4773,19,1))&gt;VALUE(MID(S4773,23,1)),DATA_CLEANED!AK287,DATA_CLEANED!AN287),
ISNUMBER(SEARCH("USA",S4773)),"United States",
ISNUMBER(SEARCH("Republic of Ireland",S4773)),"Ireland",
ISNUMBER(SEARCH("Republic of Korea",S4773)),"South Korea",
ISNUMBER(SEARCH("Cape Verde",S4773)),"Cabo Verde",
ISNUMBER(SEARCH("Czechia",S4773)),"Czech Republic",
ISNUMBER(SEARCH("Türkiye",S4773)),"Turkey",
ISNUMBER(SEARCH("Ivory Coast",S4773)),"Côte d'Ivoire",
ISNUMBER(SEARCH("Korea Republic",S4773)),"South Korea",
ISNUMBER(SEARCH("Germany FR",S4773)),"FR Germany",
ISNUMBER(SEARCH("West Germany",S4773)),"FR Germany",
ISNUMBER(SEARCH("Germany DR",S4773)),"DR Germany",
ISNUMBER(SEARCH("Korea DPR",S4773)),"North Korea",
ISNUMBER(SEARCH("China PR",S4773)),"China",
ISNUMBER(SEARCH("IR Iran",S4773)),"Iran",
ISNUMBER(SEARCH("Congo DR",S4773)),"Democratic Republic of the Congo",
ISNUMBER(SEARCH("DR Congo",S4773)),"Democratic Republic of the Congo",
ISNUMBER(SEARCH("German DR",S4773)),"DR Germany",
ISNUMBER(SEARCH("rn""&gt;United Arab Emirates",S4773)),"United Arab Emirates",
ISNUMBER(SEARCH("rn""&gt;Republic of Ireland",S4773)),"Ireland",
ISNUMBER(SEARCH("rn""&gt;Bosnia and Herzegovina",S4773)),"Bosnia and Herzegovina",
ISNUMBER(SEARCH("rn""&gt;Trinidad and Tobago",S4773)),"Trinidad and Tobago",
ISNUMBER(SEARCH("rn""&gt;Serbia and Montenegro",S4773)),"Serbia and Montenegro",
ISNUMBER(SEARCH(_xlfn.UNICHAR(65533),S4773)),"Côte d'Ivoire",
TRUE,"-"
)</f>
        <v>-</v>
      </c>
      <c r="W4773" s="42" t="str">
        <f t="shared" si="297"/>
        <v>-</v>
      </c>
    </row>
    <row r="4774" spans="19:23">
      <c r="S4774" s="42" t="str">
        <v/>
      </c>
      <c r="T4774" s="42" t="str">
        <f t="shared" si="295"/>
        <v>-</v>
      </c>
      <c r="U4774" s="40" t="str">
        <f t="shared" si="296"/>
        <v>-</v>
      </c>
      <c r="V4774" s="42" t="str" cm="1">
        <f t="array" ref="V4774">_xlfn.IFS(
LEFT(S4774,16)="win on penalties",IF(VALUE(MID(S4774,19,1))&gt;VALUE(MID(S4774,23,1)),DATA_CLEANED!AK288,DATA_CLEANED!AN288),
ISNUMBER(SEARCH("USA",S4774)),"United States",
ISNUMBER(SEARCH("Republic of Ireland",S4774)),"Ireland",
ISNUMBER(SEARCH("Republic of Korea",S4774)),"South Korea",
ISNUMBER(SEARCH("Cape Verde",S4774)),"Cabo Verde",
ISNUMBER(SEARCH("Czechia",S4774)),"Czech Republic",
ISNUMBER(SEARCH("Türkiye",S4774)),"Turkey",
ISNUMBER(SEARCH("Ivory Coast",S4774)),"Côte d'Ivoire",
ISNUMBER(SEARCH("Korea Republic",S4774)),"South Korea",
ISNUMBER(SEARCH("Germany FR",S4774)),"FR Germany",
ISNUMBER(SEARCH("West Germany",S4774)),"FR Germany",
ISNUMBER(SEARCH("Germany DR",S4774)),"DR Germany",
ISNUMBER(SEARCH("Korea DPR",S4774)),"North Korea",
ISNUMBER(SEARCH("China PR",S4774)),"China",
ISNUMBER(SEARCH("IR Iran",S4774)),"Iran",
ISNUMBER(SEARCH("Congo DR",S4774)),"Democratic Republic of the Congo",
ISNUMBER(SEARCH("DR Congo",S4774)),"Democratic Republic of the Congo",
ISNUMBER(SEARCH("German DR",S4774)),"DR Germany",
ISNUMBER(SEARCH("rn""&gt;United Arab Emirates",S4774)),"United Arab Emirates",
ISNUMBER(SEARCH("rn""&gt;Republic of Ireland",S4774)),"Ireland",
ISNUMBER(SEARCH("rn""&gt;Bosnia and Herzegovina",S4774)),"Bosnia and Herzegovina",
ISNUMBER(SEARCH("rn""&gt;Trinidad and Tobago",S4774)),"Trinidad and Tobago",
ISNUMBER(SEARCH("rn""&gt;Serbia and Montenegro",S4774)),"Serbia and Montenegro",
ISNUMBER(SEARCH(_xlfn.UNICHAR(65533),S4774)),"Côte d'Ivoire",
TRUE,"-"
)</f>
        <v>-</v>
      </c>
      <c r="W4774" s="42" t="str">
        <f t="shared" si="297"/>
        <v>-</v>
      </c>
    </row>
    <row r="4775" spans="19:23">
      <c r="S4775" s="42" t="str">
        <v/>
      </c>
      <c r="T4775" s="42" t="str">
        <f t="shared" si="295"/>
        <v>-</v>
      </c>
      <c r="U4775" s="40" t="str">
        <f t="shared" si="296"/>
        <v>-</v>
      </c>
      <c r="V4775" s="42" t="str" cm="1">
        <f t="array" ref="V4775">_xlfn.IFS(
LEFT(S4775,16)="win on penalties",IF(VALUE(MID(S4775,19,1))&gt;VALUE(MID(S4775,23,1)),DATA_CLEANED!AK289,DATA_CLEANED!AN289),
ISNUMBER(SEARCH("USA",S4775)),"United States",
ISNUMBER(SEARCH("Republic of Ireland",S4775)),"Ireland",
ISNUMBER(SEARCH("Republic of Korea",S4775)),"South Korea",
ISNUMBER(SEARCH("Cape Verde",S4775)),"Cabo Verde",
ISNUMBER(SEARCH("Czechia",S4775)),"Czech Republic",
ISNUMBER(SEARCH("Türkiye",S4775)),"Turkey",
ISNUMBER(SEARCH("Ivory Coast",S4775)),"Côte d'Ivoire",
ISNUMBER(SEARCH("Korea Republic",S4775)),"South Korea",
ISNUMBER(SEARCH("Germany FR",S4775)),"FR Germany",
ISNUMBER(SEARCH("West Germany",S4775)),"FR Germany",
ISNUMBER(SEARCH("Germany DR",S4775)),"DR Germany",
ISNUMBER(SEARCH("Korea DPR",S4775)),"North Korea",
ISNUMBER(SEARCH("China PR",S4775)),"China",
ISNUMBER(SEARCH("IR Iran",S4775)),"Iran",
ISNUMBER(SEARCH("Congo DR",S4775)),"Democratic Republic of the Congo",
ISNUMBER(SEARCH("DR Congo",S4775)),"Democratic Republic of the Congo",
ISNUMBER(SEARCH("German DR",S4775)),"DR Germany",
ISNUMBER(SEARCH("rn""&gt;United Arab Emirates",S4775)),"United Arab Emirates",
ISNUMBER(SEARCH("rn""&gt;Republic of Ireland",S4775)),"Ireland",
ISNUMBER(SEARCH("rn""&gt;Bosnia and Herzegovina",S4775)),"Bosnia and Herzegovina",
ISNUMBER(SEARCH("rn""&gt;Trinidad and Tobago",S4775)),"Trinidad and Tobago",
ISNUMBER(SEARCH("rn""&gt;Serbia and Montenegro",S4775)),"Serbia and Montenegro",
ISNUMBER(SEARCH(_xlfn.UNICHAR(65533),S4775)),"Côte d'Ivoire",
TRUE,"-"
)</f>
        <v>-</v>
      </c>
      <c r="W4775" s="42" t="str">
        <f t="shared" si="297"/>
        <v>-</v>
      </c>
    </row>
    <row r="4776" spans="19:23">
      <c r="S4776" s="42" t="str">
        <v/>
      </c>
      <c r="T4776" s="42" t="str">
        <f t="shared" si="295"/>
        <v>-</v>
      </c>
      <c r="U4776" s="40" t="str">
        <f t="shared" si="296"/>
        <v>-</v>
      </c>
      <c r="V4776" s="42" t="str" cm="1">
        <f t="array" ref="V4776">_xlfn.IFS(
LEFT(S4776,16)="win on penalties",IF(VALUE(MID(S4776,19,1))&gt;VALUE(MID(S4776,23,1)),DATA_CLEANED!AK290,DATA_CLEANED!AN290),
ISNUMBER(SEARCH("USA",S4776)),"United States",
ISNUMBER(SEARCH("Republic of Ireland",S4776)),"Ireland",
ISNUMBER(SEARCH("Republic of Korea",S4776)),"South Korea",
ISNUMBER(SEARCH("Cape Verde",S4776)),"Cabo Verde",
ISNUMBER(SEARCH("Czechia",S4776)),"Czech Republic",
ISNUMBER(SEARCH("Türkiye",S4776)),"Turkey",
ISNUMBER(SEARCH("Ivory Coast",S4776)),"Côte d'Ivoire",
ISNUMBER(SEARCH("Korea Republic",S4776)),"South Korea",
ISNUMBER(SEARCH("Germany FR",S4776)),"FR Germany",
ISNUMBER(SEARCH("West Germany",S4776)),"FR Germany",
ISNUMBER(SEARCH("Germany DR",S4776)),"DR Germany",
ISNUMBER(SEARCH("Korea DPR",S4776)),"North Korea",
ISNUMBER(SEARCH("China PR",S4776)),"China",
ISNUMBER(SEARCH("IR Iran",S4776)),"Iran",
ISNUMBER(SEARCH("Congo DR",S4776)),"Democratic Republic of the Congo",
ISNUMBER(SEARCH("DR Congo",S4776)),"Democratic Republic of the Congo",
ISNUMBER(SEARCH("German DR",S4776)),"DR Germany",
ISNUMBER(SEARCH("rn""&gt;United Arab Emirates",S4776)),"United Arab Emirates",
ISNUMBER(SEARCH("rn""&gt;Republic of Ireland",S4776)),"Ireland",
ISNUMBER(SEARCH("rn""&gt;Bosnia and Herzegovina",S4776)),"Bosnia and Herzegovina",
ISNUMBER(SEARCH("rn""&gt;Trinidad and Tobago",S4776)),"Trinidad and Tobago",
ISNUMBER(SEARCH("rn""&gt;Serbia and Montenegro",S4776)),"Serbia and Montenegro",
ISNUMBER(SEARCH(_xlfn.UNICHAR(65533),S4776)),"Côte d'Ivoire",
TRUE,"-"
)</f>
        <v>-</v>
      </c>
      <c r="W4776" s="42" t="str">
        <f t="shared" si="297"/>
        <v>-</v>
      </c>
    </row>
    <row r="4777" spans="19:23">
      <c r="S4777" s="42" t="str">
        <v/>
      </c>
      <c r="T4777" s="42" t="str">
        <f t="shared" si="295"/>
        <v>-</v>
      </c>
      <c r="U4777" s="40" t="str">
        <f t="shared" si="296"/>
        <v>-</v>
      </c>
      <c r="V4777" s="42" t="str" cm="1">
        <f t="array" ref="V4777">_xlfn.IFS(
LEFT(S4777,16)="win on penalties",IF(VALUE(MID(S4777,19,1))&gt;VALUE(MID(S4777,23,1)),DATA_CLEANED!AK291,DATA_CLEANED!AN291),
ISNUMBER(SEARCH("USA",S4777)),"United States",
ISNUMBER(SEARCH("Republic of Ireland",S4777)),"Ireland",
ISNUMBER(SEARCH("Republic of Korea",S4777)),"South Korea",
ISNUMBER(SEARCH("Cape Verde",S4777)),"Cabo Verde",
ISNUMBER(SEARCH("Czechia",S4777)),"Czech Republic",
ISNUMBER(SEARCH("Türkiye",S4777)),"Turkey",
ISNUMBER(SEARCH("Ivory Coast",S4777)),"Côte d'Ivoire",
ISNUMBER(SEARCH("Korea Republic",S4777)),"South Korea",
ISNUMBER(SEARCH("Germany FR",S4777)),"FR Germany",
ISNUMBER(SEARCH("West Germany",S4777)),"FR Germany",
ISNUMBER(SEARCH("Germany DR",S4777)),"DR Germany",
ISNUMBER(SEARCH("Korea DPR",S4777)),"North Korea",
ISNUMBER(SEARCH("China PR",S4777)),"China",
ISNUMBER(SEARCH("IR Iran",S4777)),"Iran",
ISNUMBER(SEARCH("Congo DR",S4777)),"Democratic Republic of the Congo",
ISNUMBER(SEARCH("DR Congo",S4777)),"Democratic Republic of the Congo",
ISNUMBER(SEARCH("German DR",S4777)),"DR Germany",
ISNUMBER(SEARCH("rn""&gt;United Arab Emirates",S4777)),"United Arab Emirates",
ISNUMBER(SEARCH("rn""&gt;Republic of Ireland",S4777)),"Ireland",
ISNUMBER(SEARCH("rn""&gt;Bosnia and Herzegovina",S4777)),"Bosnia and Herzegovina",
ISNUMBER(SEARCH("rn""&gt;Trinidad and Tobago",S4777)),"Trinidad and Tobago",
ISNUMBER(SEARCH("rn""&gt;Serbia and Montenegro",S4777)),"Serbia and Montenegro",
ISNUMBER(SEARCH(_xlfn.UNICHAR(65533),S4777)),"Côte d'Ivoire",
TRUE,"-"
)</f>
        <v>-</v>
      </c>
      <c r="W4777" s="42" t="str">
        <f t="shared" si="297"/>
        <v>-</v>
      </c>
    </row>
    <row r="4778" spans="19:23">
      <c r="S4778" s="42" t="str">
        <v/>
      </c>
      <c r="T4778" s="42" t="str">
        <f t="shared" si="295"/>
        <v>-</v>
      </c>
      <c r="U4778" s="40" t="str">
        <f t="shared" si="296"/>
        <v>-</v>
      </c>
      <c r="V4778" s="42" t="str" cm="1">
        <f t="array" ref="V4778">_xlfn.IFS(
LEFT(S4778,16)="win on penalties",IF(VALUE(MID(S4778,19,1))&gt;VALUE(MID(S4778,23,1)),DATA_CLEANED!AK292,DATA_CLEANED!AN292),
ISNUMBER(SEARCH("USA",S4778)),"United States",
ISNUMBER(SEARCH("Republic of Ireland",S4778)),"Ireland",
ISNUMBER(SEARCH("Republic of Korea",S4778)),"South Korea",
ISNUMBER(SEARCH("Cape Verde",S4778)),"Cabo Verde",
ISNUMBER(SEARCH("Czechia",S4778)),"Czech Republic",
ISNUMBER(SEARCH("Türkiye",S4778)),"Turkey",
ISNUMBER(SEARCH("Ivory Coast",S4778)),"Côte d'Ivoire",
ISNUMBER(SEARCH("Korea Republic",S4778)),"South Korea",
ISNUMBER(SEARCH("Germany FR",S4778)),"FR Germany",
ISNUMBER(SEARCH("West Germany",S4778)),"FR Germany",
ISNUMBER(SEARCH("Germany DR",S4778)),"DR Germany",
ISNUMBER(SEARCH("Korea DPR",S4778)),"North Korea",
ISNUMBER(SEARCH("China PR",S4778)),"China",
ISNUMBER(SEARCH("IR Iran",S4778)),"Iran",
ISNUMBER(SEARCH("Congo DR",S4778)),"Democratic Republic of the Congo",
ISNUMBER(SEARCH("DR Congo",S4778)),"Democratic Republic of the Congo",
ISNUMBER(SEARCH("German DR",S4778)),"DR Germany",
ISNUMBER(SEARCH("rn""&gt;United Arab Emirates",S4778)),"United Arab Emirates",
ISNUMBER(SEARCH("rn""&gt;Republic of Ireland",S4778)),"Ireland",
ISNUMBER(SEARCH("rn""&gt;Bosnia and Herzegovina",S4778)),"Bosnia and Herzegovina",
ISNUMBER(SEARCH("rn""&gt;Trinidad and Tobago",S4778)),"Trinidad and Tobago",
ISNUMBER(SEARCH("rn""&gt;Serbia and Montenegro",S4778)),"Serbia and Montenegro",
ISNUMBER(SEARCH(_xlfn.UNICHAR(65533),S4778)),"Côte d'Ivoire",
TRUE,"-"
)</f>
        <v>-</v>
      </c>
      <c r="W4778" s="42" t="str">
        <f t="shared" si="297"/>
        <v>-</v>
      </c>
    </row>
    <row r="4779" spans="19:23">
      <c r="S4779" s="42" t="str">
        <v/>
      </c>
      <c r="T4779" s="42" t="str">
        <f t="shared" si="295"/>
        <v>-</v>
      </c>
      <c r="U4779" s="40" t="str">
        <f t="shared" si="296"/>
        <v>-</v>
      </c>
      <c r="V4779" s="42" t="str" cm="1">
        <f t="array" ref="V4779">_xlfn.IFS(
LEFT(S4779,16)="win on penalties",IF(VALUE(MID(S4779,19,1))&gt;VALUE(MID(S4779,23,1)),DATA_CLEANED!AK293,DATA_CLEANED!AN293),
ISNUMBER(SEARCH("USA",S4779)),"United States",
ISNUMBER(SEARCH("Republic of Ireland",S4779)),"Ireland",
ISNUMBER(SEARCH("Republic of Korea",S4779)),"South Korea",
ISNUMBER(SEARCH("Cape Verde",S4779)),"Cabo Verde",
ISNUMBER(SEARCH("Czechia",S4779)),"Czech Republic",
ISNUMBER(SEARCH("Türkiye",S4779)),"Turkey",
ISNUMBER(SEARCH("Ivory Coast",S4779)),"Côte d'Ivoire",
ISNUMBER(SEARCH("Korea Republic",S4779)),"South Korea",
ISNUMBER(SEARCH("Germany FR",S4779)),"FR Germany",
ISNUMBER(SEARCH("West Germany",S4779)),"FR Germany",
ISNUMBER(SEARCH("Germany DR",S4779)),"DR Germany",
ISNUMBER(SEARCH("Korea DPR",S4779)),"North Korea",
ISNUMBER(SEARCH("China PR",S4779)),"China",
ISNUMBER(SEARCH("IR Iran",S4779)),"Iran",
ISNUMBER(SEARCH("Congo DR",S4779)),"Democratic Republic of the Congo",
ISNUMBER(SEARCH("DR Congo",S4779)),"Democratic Republic of the Congo",
ISNUMBER(SEARCH("German DR",S4779)),"DR Germany",
ISNUMBER(SEARCH("rn""&gt;United Arab Emirates",S4779)),"United Arab Emirates",
ISNUMBER(SEARCH("rn""&gt;Republic of Ireland",S4779)),"Ireland",
ISNUMBER(SEARCH("rn""&gt;Bosnia and Herzegovina",S4779)),"Bosnia and Herzegovina",
ISNUMBER(SEARCH("rn""&gt;Trinidad and Tobago",S4779)),"Trinidad and Tobago",
ISNUMBER(SEARCH("rn""&gt;Serbia and Montenegro",S4779)),"Serbia and Montenegro",
ISNUMBER(SEARCH(_xlfn.UNICHAR(65533),S4779)),"Côte d'Ivoire",
TRUE,"-"
)</f>
        <v>-</v>
      </c>
      <c r="W4779" s="42" t="str">
        <f t="shared" si="297"/>
        <v>-</v>
      </c>
    </row>
    <row r="4780" spans="19:23">
      <c r="S4780" s="42" t="str">
        <v/>
      </c>
      <c r="T4780" s="42" t="str">
        <f t="shared" si="295"/>
        <v>-</v>
      </c>
      <c r="U4780" s="40" t="str">
        <f t="shared" si="296"/>
        <v>-</v>
      </c>
      <c r="V4780" s="42" t="str" cm="1">
        <f t="array" ref="V4780">_xlfn.IFS(
LEFT(S4780,16)="win on penalties",IF(VALUE(MID(S4780,19,1))&gt;VALUE(MID(S4780,23,1)),DATA_CLEANED!AK294,DATA_CLEANED!AN294),
ISNUMBER(SEARCH("USA",S4780)),"United States",
ISNUMBER(SEARCH("Republic of Ireland",S4780)),"Ireland",
ISNUMBER(SEARCH("Republic of Korea",S4780)),"South Korea",
ISNUMBER(SEARCH("Cape Verde",S4780)),"Cabo Verde",
ISNUMBER(SEARCH("Czechia",S4780)),"Czech Republic",
ISNUMBER(SEARCH("Türkiye",S4780)),"Turkey",
ISNUMBER(SEARCH("Ivory Coast",S4780)),"Côte d'Ivoire",
ISNUMBER(SEARCH("Korea Republic",S4780)),"South Korea",
ISNUMBER(SEARCH("Germany FR",S4780)),"FR Germany",
ISNUMBER(SEARCH("West Germany",S4780)),"FR Germany",
ISNUMBER(SEARCH("Germany DR",S4780)),"DR Germany",
ISNUMBER(SEARCH("Korea DPR",S4780)),"North Korea",
ISNUMBER(SEARCH("China PR",S4780)),"China",
ISNUMBER(SEARCH("IR Iran",S4780)),"Iran",
ISNUMBER(SEARCH("Congo DR",S4780)),"Democratic Republic of the Congo",
ISNUMBER(SEARCH("DR Congo",S4780)),"Democratic Republic of the Congo",
ISNUMBER(SEARCH("German DR",S4780)),"DR Germany",
ISNUMBER(SEARCH("rn""&gt;United Arab Emirates",S4780)),"United Arab Emirates",
ISNUMBER(SEARCH("rn""&gt;Republic of Ireland",S4780)),"Ireland",
ISNUMBER(SEARCH("rn""&gt;Bosnia and Herzegovina",S4780)),"Bosnia and Herzegovina",
ISNUMBER(SEARCH("rn""&gt;Trinidad and Tobago",S4780)),"Trinidad and Tobago",
ISNUMBER(SEARCH("rn""&gt;Serbia and Montenegro",S4780)),"Serbia and Montenegro",
ISNUMBER(SEARCH(_xlfn.UNICHAR(65533),S4780)),"Côte d'Ivoire",
TRUE,"-"
)</f>
        <v>-</v>
      </c>
      <c r="W4780" s="42" t="str">
        <f t="shared" si="297"/>
        <v>-</v>
      </c>
    </row>
    <row r="4781" spans="19:23">
      <c r="S4781" s="42" t="str">
        <v/>
      </c>
      <c r="T4781" s="42" t="str">
        <f t="shared" si="295"/>
        <v>-</v>
      </c>
      <c r="U4781" s="40" t="str">
        <f t="shared" si="296"/>
        <v>-</v>
      </c>
      <c r="V4781" s="42" t="str" cm="1">
        <f t="array" ref="V4781">_xlfn.IFS(
LEFT(S4781,16)="win on penalties",IF(VALUE(MID(S4781,19,1))&gt;VALUE(MID(S4781,23,1)),DATA_CLEANED!AK295,DATA_CLEANED!AN295),
ISNUMBER(SEARCH("USA",S4781)),"United States",
ISNUMBER(SEARCH("Republic of Ireland",S4781)),"Ireland",
ISNUMBER(SEARCH("Republic of Korea",S4781)),"South Korea",
ISNUMBER(SEARCH("Cape Verde",S4781)),"Cabo Verde",
ISNUMBER(SEARCH("Czechia",S4781)),"Czech Republic",
ISNUMBER(SEARCH("Türkiye",S4781)),"Turkey",
ISNUMBER(SEARCH("Ivory Coast",S4781)),"Côte d'Ivoire",
ISNUMBER(SEARCH("Korea Republic",S4781)),"South Korea",
ISNUMBER(SEARCH("Germany FR",S4781)),"FR Germany",
ISNUMBER(SEARCH("West Germany",S4781)),"FR Germany",
ISNUMBER(SEARCH("Germany DR",S4781)),"DR Germany",
ISNUMBER(SEARCH("Korea DPR",S4781)),"North Korea",
ISNUMBER(SEARCH("China PR",S4781)),"China",
ISNUMBER(SEARCH("IR Iran",S4781)),"Iran",
ISNUMBER(SEARCH("Congo DR",S4781)),"Democratic Republic of the Congo",
ISNUMBER(SEARCH("DR Congo",S4781)),"Democratic Republic of the Congo",
ISNUMBER(SEARCH("German DR",S4781)),"DR Germany",
ISNUMBER(SEARCH("rn""&gt;United Arab Emirates",S4781)),"United Arab Emirates",
ISNUMBER(SEARCH("rn""&gt;Republic of Ireland",S4781)),"Ireland",
ISNUMBER(SEARCH("rn""&gt;Bosnia and Herzegovina",S4781)),"Bosnia and Herzegovina",
ISNUMBER(SEARCH("rn""&gt;Trinidad and Tobago",S4781)),"Trinidad and Tobago",
ISNUMBER(SEARCH("rn""&gt;Serbia and Montenegro",S4781)),"Serbia and Montenegro",
ISNUMBER(SEARCH(_xlfn.UNICHAR(65533),S4781)),"Côte d'Ivoire",
TRUE,"-"
)</f>
        <v>-</v>
      </c>
      <c r="W4781" s="42" t="str">
        <f t="shared" si="297"/>
        <v>-</v>
      </c>
    </row>
    <row r="4782" spans="19:23">
      <c r="S4782" s="42" t="str">
        <v/>
      </c>
      <c r="T4782" s="42" t="str">
        <f t="shared" si="295"/>
        <v>-</v>
      </c>
      <c r="U4782" s="40" t="str">
        <f t="shared" si="296"/>
        <v>-</v>
      </c>
      <c r="V4782" s="42" t="str" cm="1">
        <f t="array" ref="V4782">_xlfn.IFS(
LEFT(S4782,16)="win on penalties",IF(VALUE(MID(S4782,19,1))&gt;VALUE(MID(S4782,23,1)),DATA_CLEANED!AK296,DATA_CLEANED!AN296),
ISNUMBER(SEARCH("USA",S4782)),"United States",
ISNUMBER(SEARCH("Republic of Ireland",S4782)),"Ireland",
ISNUMBER(SEARCH("Republic of Korea",S4782)),"South Korea",
ISNUMBER(SEARCH("Cape Verde",S4782)),"Cabo Verde",
ISNUMBER(SEARCH("Czechia",S4782)),"Czech Republic",
ISNUMBER(SEARCH("Türkiye",S4782)),"Turkey",
ISNUMBER(SEARCH("Ivory Coast",S4782)),"Côte d'Ivoire",
ISNUMBER(SEARCH("Korea Republic",S4782)),"South Korea",
ISNUMBER(SEARCH("Germany FR",S4782)),"FR Germany",
ISNUMBER(SEARCH("West Germany",S4782)),"FR Germany",
ISNUMBER(SEARCH("Germany DR",S4782)),"DR Germany",
ISNUMBER(SEARCH("Korea DPR",S4782)),"North Korea",
ISNUMBER(SEARCH("China PR",S4782)),"China",
ISNUMBER(SEARCH("IR Iran",S4782)),"Iran",
ISNUMBER(SEARCH("Congo DR",S4782)),"Democratic Republic of the Congo",
ISNUMBER(SEARCH("DR Congo",S4782)),"Democratic Republic of the Congo",
ISNUMBER(SEARCH("German DR",S4782)),"DR Germany",
ISNUMBER(SEARCH("rn""&gt;United Arab Emirates",S4782)),"United Arab Emirates",
ISNUMBER(SEARCH("rn""&gt;Republic of Ireland",S4782)),"Ireland",
ISNUMBER(SEARCH("rn""&gt;Bosnia and Herzegovina",S4782)),"Bosnia and Herzegovina",
ISNUMBER(SEARCH("rn""&gt;Trinidad and Tobago",S4782)),"Trinidad and Tobago",
ISNUMBER(SEARCH("rn""&gt;Serbia and Montenegro",S4782)),"Serbia and Montenegro",
ISNUMBER(SEARCH(_xlfn.UNICHAR(65533),S4782)),"Côte d'Ivoire",
TRUE,"-"
)</f>
        <v>-</v>
      </c>
      <c r="W4782" s="42" t="str">
        <f t="shared" si="297"/>
        <v>-</v>
      </c>
    </row>
    <row r="4783" spans="19:23">
      <c r="S4783" s="42" t="str">
        <v/>
      </c>
      <c r="T4783" s="42" t="str">
        <f t="shared" si="295"/>
        <v>-</v>
      </c>
      <c r="U4783" s="40" t="str">
        <f t="shared" si="296"/>
        <v>-</v>
      </c>
      <c r="V4783" s="42" t="str" cm="1">
        <f t="array" ref="V4783">_xlfn.IFS(
LEFT(S4783,16)="win on penalties",IF(VALUE(MID(S4783,19,1))&gt;VALUE(MID(S4783,23,1)),DATA_CLEANED!AK297,DATA_CLEANED!AN297),
ISNUMBER(SEARCH("USA",S4783)),"United States",
ISNUMBER(SEARCH("Republic of Ireland",S4783)),"Ireland",
ISNUMBER(SEARCH("Republic of Korea",S4783)),"South Korea",
ISNUMBER(SEARCH("Cape Verde",S4783)),"Cabo Verde",
ISNUMBER(SEARCH("Czechia",S4783)),"Czech Republic",
ISNUMBER(SEARCH("Türkiye",S4783)),"Turkey",
ISNUMBER(SEARCH("Ivory Coast",S4783)),"Côte d'Ivoire",
ISNUMBER(SEARCH("Korea Republic",S4783)),"South Korea",
ISNUMBER(SEARCH("Germany FR",S4783)),"FR Germany",
ISNUMBER(SEARCH("West Germany",S4783)),"FR Germany",
ISNUMBER(SEARCH("Germany DR",S4783)),"DR Germany",
ISNUMBER(SEARCH("Korea DPR",S4783)),"North Korea",
ISNUMBER(SEARCH("China PR",S4783)),"China",
ISNUMBER(SEARCH("IR Iran",S4783)),"Iran",
ISNUMBER(SEARCH("Congo DR",S4783)),"Democratic Republic of the Congo",
ISNUMBER(SEARCH("DR Congo",S4783)),"Democratic Republic of the Congo",
ISNUMBER(SEARCH("German DR",S4783)),"DR Germany",
ISNUMBER(SEARCH("rn""&gt;United Arab Emirates",S4783)),"United Arab Emirates",
ISNUMBER(SEARCH("rn""&gt;Republic of Ireland",S4783)),"Ireland",
ISNUMBER(SEARCH("rn""&gt;Bosnia and Herzegovina",S4783)),"Bosnia and Herzegovina",
ISNUMBER(SEARCH("rn""&gt;Trinidad and Tobago",S4783)),"Trinidad and Tobago",
ISNUMBER(SEARCH("rn""&gt;Serbia and Montenegro",S4783)),"Serbia and Montenegro",
ISNUMBER(SEARCH(_xlfn.UNICHAR(65533),S4783)),"Côte d'Ivoire",
TRUE,"-"
)</f>
        <v>-</v>
      </c>
      <c r="W4783" s="42" t="str">
        <f t="shared" si="297"/>
        <v>-</v>
      </c>
    </row>
    <row r="4784" spans="19:23">
      <c r="S4784" s="42" t="str">
        <v/>
      </c>
      <c r="T4784" s="42" t="str">
        <f t="shared" si="295"/>
        <v>-</v>
      </c>
      <c r="U4784" s="40" t="str">
        <f t="shared" si="296"/>
        <v>-</v>
      </c>
      <c r="V4784" s="42" t="str" cm="1">
        <f t="array" ref="V4784">_xlfn.IFS(
LEFT(S4784,16)="win on penalties",IF(VALUE(MID(S4784,19,1))&gt;VALUE(MID(S4784,23,1)),DATA_CLEANED!AK298,DATA_CLEANED!AN298),
ISNUMBER(SEARCH("USA",S4784)),"United States",
ISNUMBER(SEARCH("Republic of Ireland",S4784)),"Ireland",
ISNUMBER(SEARCH("Republic of Korea",S4784)),"South Korea",
ISNUMBER(SEARCH("Cape Verde",S4784)),"Cabo Verde",
ISNUMBER(SEARCH("Czechia",S4784)),"Czech Republic",
ISNUMBER(SEARCH("Türkiye",S4784)),"Turkey",
ISNUMBER(SEARCH("Ivory Coast",S4784)),"Côte d'Ivoire",
ISNUMBER(SEARCH("Korea Republic",S4784)),"South Korea",
ISNUMBER(SEARCH("Germany FR",S4784)),"FR Germany",
ISNUMBER(SEARCH("West Germany",S4784)),"FR Germany",
ISNUMBER(SEARCH("Germany DR",S4784)),"DR Germany",
ISNUMBER(SEARCH("Korea DPR",S4784)),"North Korea",
ISNUMBER(SEARCH("China PR",S4784)),"China",
ISNUMBER(SEARCH("IR Iran",S4784)),"Iran",
ISNUMBER(SEARCH("Congo DR",S4784)),"Democratic Republic of the Congo",
ISNUMBER(SEARCH("DR Congo",S4784)),"Democratic Republic of the Congo",
ISNUMBER(SEARCH("German DR",S4784)),"DR Germany",
ISNUMBER(SEARCH("rn""&gt;United Arab Emirates",S4784)),"United Arab Emirates",
ISNUMBER(SEARCH("rn""&gt;Republic of Ireland",S4784)),"Ireland",
ISNUMBER(SEARCH("rn""&gt;Bosnia and Herzegovina",S4784)),"Bosnia and Herzegovina",
ISNUMBER(SEARCH("rn""&gt;Trinidad and Tobago",S4784)),"Trinidad and Tobago",
ISNUMBER(SEARCH("rn""&gt;Serbia and Montenegro",S4784)),"Serbia and Montenegro",
ISNUMBER(SEARCH(_xlfn.UNICHAR(65533),S4784)),"Côte d'Ivoire",
TRUE,"-"
)</f>
        <v>-</v>
      </c>
      <c r="W4784" s="42" t="str">
        <f t="shared" si="297"/>
        <v>-</v>
      </c>
    </row>
    <row r="4785" spans="19:23">
      <c r="S4785" s="42" t="str">
        <v/>
      </c>
      <c r="T4785" s="42" t="str">
        <f t="shared" si="295"/>
        <v>-</v>
      </c>
      <c r="U4785" s="40" t="str">
        <f t="shared" si="296"/>
        <v>-</v>
      </c>
      <c r="V4785" s="42" t="str" cm="1">
        <f t="array" ref="V4785">_xlfn.IFS(
LEFT(S4785,16)="win on penalties",IF(VALUE(MID(S4785,19,1))&gt;VALUE(MID(S4785,23,1)),DATA_CLEANED!AK299,DATA_CLEANED!AN299),
ISNUMBER(SEARCH("USA",S4785)),"United States",
ISNUMBER(SEARCH("Republic of Ireland",S4785)),"Ireland",
ISNUMBER(SEARCH("Republic of Korea",S4785)),"South Korea",
ISNUMBER(SEARCH("Cape Verde",S4785)),"Cabo Verde",
ISNUMBER(SEARCH("Czechia",S4785)),"Czech Republic",
ISNUMBER(SEARCH("Türkiye",S4785)),"Turkey",
ISNUMBER(SEARCH("Ivory Coast",S4785)),"Côte d'Ivoire",
ISNUMBER(SEARCH("Korea Republic",S4785)),"South Korea",
ISNUMBER(SEARCH("Germany FR",S4785)),"FR Germany",
ISNUMBER(SEARCH("West Germany",S4785)),"FR Germany",
ISNUMBER(SEARCH("Germany DR",S4785)),"DR Germany",
ISNUMBER(SEARCH("Korea DPR",S4785)),"North Korea",
ISNUMBER(SEARCH("China PR",S4785)),"China",
ISNUMBER(SEARCH("IR Iran",S4785)),"Iran",
ISNUMBER(SEARCH("Congo DR",S4785)),"Democratic Republic of the Congo",
ISNUMBER(SEARCH("DR Congo",S4785)),"Democratic Republic of the Congo",
ISNUMBER(SEARCH("German DR",S4785)),"DR Germany",
ISNUMBER(SEARCH("rn""&gt;United Arab Emirates",S4785)),"United Arab Emirates",
ISNUMBER(SEARCH("rn""&gt;Republic of Ireland",S4785)),"Ireland",
ISNUMBER(SEARCH("rn""&gt;Bosnia and Herzegovina",S4785)),"Bosnia and Herzegovina",
ISNUMBER(SEARCH("rn""&gt;Trinidad and Tobago",S4785)),"Trinidad and Tobago",
ISNUMBER(SEARCH("rn""&gt;Serbia and Montenegro",S4785)),"Serbia and Montenegro",
ISNUMBER(SEARCH(_xlfn.UNICHAR(65533),S4785)),"Côte d'Ivoire",
TRUE,"-"
)</f>
        <v>-</v>
      </c>
      <c r="W4785" s="42" t="str">
        <f t="shared" si="297"/>
        <v>-</v>
      </c>
    </row>
    <row r="4786" spans="19:23">
      <c r="S4786" s="42" t="str">
        <v/>
      </c>
      <c r="T4786" s="42" t="str">
        <f t="shared" si="295"/>
        <v>-</v>
      </c>
      <c r="U4786" s="40" t="str">
        <f t="shared" si="296"/>
        <v>-</v>
      </c>
      <c r="V4786" s="42" t="str" cm="1">
        <f t="array" ref="V4786">_xlfn.IFS(
LEFT(S4786,16)="win on penalties",IF(VALUE(MID(S4786,19,1))&gt;VALUE(MID(S4786,23,1)),DATA_CLEANED!AK300,DATA_CLEANED!AN300),
ISNUMBER(SEARCH("USA",S4786)),"United States",
ISNUMBER(SEARCH("Republic of Ireland",S4786)),"Ireland",
ISNUMBER(SEARCH("Republic of Korea",S4786)),"South Korea",
ISNUMBER(SEARCH("Cape Verde",S4786)),"Cabo Verde",
ISNUMBER(SEARCH("Czechia",S4786)),"Czech Republic",
ISNUMBER(SEARCH("Türkiye",S4786)),"Turkey",
ISNUMBER(SEARCH("Ivory Coast",S4786)),"Côte d'Ivoire",
ISNUMBER(SEARCH("Korea Republic",S4786)),"South Korea",
ISNUMBER(SEARCH("Germany FR",S4786)),"FR Germany",
ISNUMBER(SEARCH("West Germany",S4786)),"FR Germany",
ISNUMBER(SEARCH("Germany DR",S4786)),"DR Germany",
ISNUMBER(SEARCH("Korea DPR",S4786)),"North Korea",
ISNUMBER(SEARCH("China PR",S4786)),"China",
ISNUMBER(SEARCH("IR Iran",S4786)),"Iran",
ISNUMBER(SEARCH("Congo DR",S4786)),"Democratic Republic of the Congo",
ISNUMBER(SEARCH("DR Congo",S4786)),"Democratic Republic of the Congo",
ISNUMBER(SEARCH("German DR",S4786)),"DR Germany",
ISNUMBER(SEARCH("rn""&gt;United Arab Emirates",S4786)),"United Arab Emirates",
ISNUMBER(SEARCH("rn""&gt;Republic of Ireland",S4786)),"Ireland",
ISNUMBER(SEARCH("rn""&gt;Bosnia and Herzegovina",S4786)),"Bosnia and Herzegovina",
ISNUMBER(SEARCH("rn""&gt;Trinidad and Tobago",S4786)),"Trinidad and Tobago",
ISNUMBER(SEARCH("rn""&gt;Serbia and Montenegro",S4786)),"Serbia and Montenegro",
ISNUMBER(SEARCH(_xlfn.UNICHAR(65533),S4786)),"Côte d'Ivoire",
TRUE,"-"
)</f>
        <v>-</v>
      </c>
      <c r="W4786" s="42" t="str">
        <f t="shared" si="297"/>
        <v>-</v>
      </c>
    </row>
    <row r="4787" spans="19:23">
      <c r="S4787" s="42" t="str">
        <v/>
      </c>
      <c r="T4787" s="42" t="str">
        <f t="shared" si="295"/>
        <v>-</v>
      </c>
      <c r="U4787" s="40" t="str">
        <f t="shared" si="296"/>
        <v>-</v>
      </c>
      <c r="V4787" s="42" t="str" cm="1">
        <f t="array" ref="V4787">_xlfn.IFS(
LEFT(S4787,16)="win on penalties",IF(VALUE(MID(S4787,19,1))&gt;VALUE(MID(S4787,23,1)),DATA_CLEANED!AK301,DATA_CLEANED!AN301),
ISNUMBER(SEARCH("USA",S4787)),"United States",
ISNUMBER(SEARCH("Republic of Ireland",S4787)),"Ireland",
ISNUMBER(SEARCH("Republic of Korea",S4787)),"South Korea",
ISNUMBER(SEARCH("Cape Verde",S4787)),"Cabo Verde",
ISNUMBER(SEARCH("Czechia",S4787)),"Czech Republic",
ISNUMBER(SEARCH("Türkiye",S4787)),"Turkey",
ISNUMBER(SEARCH("Ivory Coast",S4787)),"Côte d'Ivoire",
ISNUMBER(SEARCH("Korea Republic",S4787)),"South Korea",
ISNUMBER(SEARCH("Germany FR",S4787)),"FR Germany",
ISNUMBER(SEARCH("West Germany",S4787)),"FR Germany",
ISNUMBER(SEARCH("Germany DR",S4787)),"DR Germany",
ISNUMBER(SEARCH("Korea DPR",S4787)),"North Korea",
ISNUMBER(SEARCH("China PR",S4787)),"China",
ISNUMBER(SEARCH("IR Iran",S4787)),"Iran",
ISNUMBER(SEARCH("Congo DR",S4787)),"Democratic Republic of the Congo",
ISNUMBER(SEARCH("DR Congo",S4787)),"Democratic Republic of the Congo",
ISNUMBER(SEARCH("German DR",S4787)),"DR Germany",
ISNUMBER(SEARCH("rn""&gt;United Arab Emirates",S4787)),"United Arab Emirates",
ISNUMBER(SEARCH("rn""&gt;Republic of Ireland",S4787)),"Ireland",
ISNUMBER(SEARCH("rn""&gt;Bosnia and Herzegovina",S4787)),"Bosnia and Herzegovina",
ISNUMBER(SEARCH("rn""&gt;Trinidad and Tobago",S4787)),"Trinidad and Tobago",
ISNUMBER(SEARCH("rn""&gt;Serbia and Montenegro",S4787)),"Serbia and Montenegro",
ISNUMBER(SEARCH(_xlfn.UNICHAR(65533),S4787)),"Côte d'Ivoire",
TRUE,"-"
)</f>
        <v>-</v>
      </c>
      <c r="W4787" s="42" t="str">
        <f t="shared" si="297"/>
        <v>-</v>
      </c>
    </row>
    <row r="4788" spans="19:23">
      <c r="S4788" s="42" t="str">
        <v/>
      </c>
      <c r="T4788" s="42" t="str">
        <f t="shared" si="295"/>
        <v>-</v>
      </c>
      <c r="U4788" s="40" t="str">
        <f t="shared" si="296"/>
        <v>-</v>
      </c>
      <c r="V4788" s="42" t="str" cm="1">
        <f t="array" ref="V4788">_xlfn.IFS(
LEFT(S4788,16)="win on penalties",IF(VALUE(MID(S4788,19,1))&gt;VALUE(MID(S4788,23,1)),DATA_CLEANED!AK302,DATA_CLEANED!AN302),
ISNUMBER(SEARCH("USA",S4788)),"United States",
ISNUMBER(SEARCH("Republic of Ireland",S4788)),"Ireland",
ISNUMBER(SEARCH("Republic of Korea",S4788)),"South Korea",
ISNUMBER(SEARCH("Cape Verde",S4788)),"Cabo Verde",
ISNUMBER(SEARCH("Czechia",S4788)),"Czech Republic",
ISNUMBER(SEARCH("Türkiye",S4788)),"Turkey",
ISNUMBER(SEARCH("Ivory Coast",S4788)),"Côte d'Ivoire",
ISNUMBER(SEARCH("Korea Republic",S4788)),"South Korea",
ISNUMBER(SEARCH("Germany FR",S4788)),"FR Germany",
ISNUMBER(SEARCH("West Germany",S4788)),"FR Germany",
ISNUMBER(SEARCH("Germany DR",S4788)),"DR Germany",
ISNUMBER(SEARCH("Korea DPR",S4788)),"North Korea",
ISNUMBER(SEARCH("China PR",S4788)),"China",
ISNUMBER(SEARCH("IR Iran",S4788)),"Iran",
ISNUMBER(SEARCH("Congo DR",S4788)),"Democratic Republic of the Congo",
ISNUMBER(SEARCH("DR Congo",S4788)),"Democratic Republic of the Congo",
ISNUMBER(SEARCH("German DR",S4788)),"DR Germany",
ISNUMBER(SEARCH("rn""&gt;United Arab Emirates",S4788)),"United Arab Emirates",
ISNUMBER(SEARCH("rn""&gt;Republic of Ireland",S4788)),"Ireland",
ISNUMBER(SEARCH("rn""&gt;Bosnia and Herzegovina",S4788)),"Bosnia and Herzegovina",
ISNUMBER(SEARCH("rn""&gt;Trinidad and Tobago",S4788)),"Trinidad and Tobago",
ISNUMBER(SEARCH("rn""&gt;Serbia and Montenegro",S4788)),"Serbia and Montenegro",
ISNUMBER(SEARCH(_xlfn.UNICHAR(65533),S4788)),"Côte d'Ivoire",
TRUE,"-"
)</f>
        <v>-</v>
      </c>
      <c r="W4788" s="42" t="str">
        <f t="shared" si="297"/>
        <v>-</v>
      </c>
    </row>
    <row r="4789" spans="19:23">
      <c r="S4789" s="42" t="str">
        <v/>
      </c>
      <c r="T4789" s="42" t="str">
        <f t="shared" si="295"/>
        <v>-</v>
      </c>
      <c r="U4789" s="40" t="str">
        <f t="shared" si="296"/>
        <v>-</v>
      </c>
      <c r="V4789" s="42" t="str" cm="1">
        <f t="array" ref="V4789">_xlfn.IFS(
LEFT(S4789,16)="win on penalties",IF(VALUE(MID(S4789,19,1))&gt;VALUE(MID(S4789,23,1)),DATA_CLEANED!AK303,DATA_CLEANED!AN303),
ISNUMBER(SEARCH("USA",S4789)),"United States",
ISNUMBER(SEARCH("Republic of Ireland",S4789)),"Ireland",
ISNUMBER(SEARCH("Republic of Korea",S4789)),"South Korea",
ISNUMBER(SEARCH("Cape Verde",S4789)),"Cabo Verde",
ISNUMBER(SEARCH("Czechia",S4789)),"Czech Republic",
ISNUMBER(SEARCH("Türkiye",S4789)),"Turkey",
ISNUMBER(SEARCH("Ivory Coast",S4789)),"Côte d'Ivoire",
ISNUMBER(SEARCH("Korea Republic",S4789)),"South Korea",
ISNUMBER(SEARCH("Germany FR",S4789)),"FR Germany",
ISNUMBER(SEARCH("West Germany",S4789)),"FR Germany",
ISNUMBER(SEARCH("Germany DR",S4789)),"DR Germany",
ISNUMBER(SEARCH("Korea DPR",S4789)),"North Korea",
ISNUMBER(SEARCH("China PR",S4789)),"China",
ISNUMBER(SEARCH("IR Iran",S4789)),"Iran",
ISNUMBER(SEARCH("Congo DR",S4789)),"Democratic Republic of the Congo",
ISNUMBER(SEARCH("DR Congo",S4789)),"Democratic Republic of the Congo",
ISNUMBER(SEARCH("German DR",S4789)),"DR Germany",
ISNUMBER(SEARCH("rn""&gt;United Arab Emirates",S4789)),"United Arab Emirates",
ISNUMBER(SEARCH("rn""&gt;Republic of Ireland",S4789)),"Ireland",
ISNUMBER(SEARCH("rn""&gt;Bosnia and Herzegovina",S4789)),"Bosnia and Herzegovina",
ISNUMBER(SEARCH("rn""&gt;Trinidad and Tobago",S4789)),"Trinidad and Tobago",
ISNUMBER(SEARCH("rn""&gt;Serbia and Montenegro",S4789)),"Serbia and Montenegro",
ISNUMBER(SEARCH(_xlfn.UNICHAR(65533),S4789)),"Côte d'Ivoire",
TRUE,"-"
)</f>
        <v>-</v>
      </c>
      <c r="W4789" s="42" t="str">
        <f t="shared" si="297"/>
        <v>-</v>
      </c>
    </row>
    <row r="4790" spans="19:23">
      <c r="S4790" s="42" t="str">
        <v/>
      </c>
      <c r="T4790" s="42" t="str">
        <f t="shared" si="295"/>
        <v>-</v>
      </c>
      <c r="U4790" s="40" t="str">
        <f t="shared" si="296"/>
        <v>-</v>
      </c>
      <c r="V4790" s="42" t="str" cm="1">
        <f t="array" ref="V4790">_xlfn.IFS(
LEFT(S4790,16)="win on penalties",IF(VALUE(MID(S4790,19,1))&gt;VALUE(MID(S4790,23,1)),DATA_CLEANED!AK304,DATA_CLEANED!AN304),
ISNUMBER(SEARCH("USA",S4790)),"United States",
ISNUMBER(SEARCH("Republic of Ireland",S4790)),"Ireland",
ISNUMBER(SEARCH("Republic of Korea",S4790)),"South Korea",
ISNUMBER(SEARCH("Cape Verde",S4790)),"Cabo Verde",
ISNUMBER(SEARCH("Czechia",S4790)),"Czech Republic",
ISNUMBER(SEARCH("Türkiye",S4790)),"Turkey",
ISNUMBER(SEARCH("Ivory Coast",S4790)),"Côte d'Ivoire",
ISNUMBER(SEARCH("Korea Republic",S4790)),"South Korea",
ISNUMBER(SEARCH("Germany FR",S4790)),"FR Germany",
ISNUMBER(SEARCH("West Germany",S4790)),"FR Germany",
ISNUMBER(SEARCH("Germany DR",S4790)),"DR Germany",
ISNUMBER(SEARCH("Korea DPR",S4790)),"North Korea",
ISNUMBER(SEARCH("China PR",S4790)),"China",
ISNUMBER(SEARCH("IR Iran",S4790)),"Iran",
ISNUMBER(SEARCH("Congo DR",S4790)),"Democratic Republic of the Congo",
ISNUMBER(SEARCH("DR Congo",S4790)),"Democratic Republic of the Congo",
ISNUMBER(SEARCH("German DR",S4790)),"DR Germany",
ISNUMBER(SEARCH("rn""&gt;United Arab Emirates",S4790)),"United Arab Emirates",
ISNUMBER(SEARCH("rn""&gt;Republic of Ireland",S4790)),"Ireland",
ISNUMBER(SEARCH("rn""&gt;Bosnia and Herzegovina",S4790)),"Bosnia and Herzegovina",
ISNUMBER(SEARCH("rn""&gt;Trinidad and Tobago",S4790)),"Trinidad and Tobago",
ISNUMBER(SEARCH("rn""&gt;Serbia and Montenegro",S4790)),"Serbia and Montenegro",
ISNUMBER(SEARCH(_xlfn.UNICHAR(65533),S4790)),"Côte d'Ivoire",
TRUE,"-"
)</f>
        <v>-</v>
      </c>
      <c r="W4790" s="42" t="str">
        <f t="shared" si="297"/>
        <v>-</v>
      </c>
    </row>
    <row r="4791" spans="19:23">
      <c r="S4791" s="42" t="str">
        <v/>
      </c>
      <c r="T4791" s="42" t="str">
        <f t="shared" si="295"/>
        <v>-</v>
      </c>
      <c r="U4791" s="40" t="str">
        <f t="shared" si="296"/>
        <v>-</v>
      </c>
      <c r="V4791" s="42" t="str" cm="1">
        <f t="array" ref="V4791">_xlfn.IFS(
LEFT(S4791,16)="win on penalties",IF(VALUE(MID(S4791,19,1))&gt;VALUE(MID(S4791,23,1)),DATA_CLEANED!AK305,DATA_CLEANED!AN305),
ISNUMBER(SEARCH("USA",S4791)),"United States",
ISNUMBER(SEARCH("Republic of Ireland",S4791)),"Ireland",
ISNUMBER(SEARCH("Republic of Korea",S4791)),"South Korea",
ISNUMBER(SEARCH("Cape Verde",S4791)),"Cabo Verde",
ISNUMBER(SEARCH("Czechia",S4791)),"Czech Republic",
ISNUMBER(SEARCH("Türkiye",S4791)),"Turkey",
ISNUMBER(SEARCH("Ivory Coast",S4791)),"Côte d'Ivoire",
ISNUMBER(SEARCH("Korea Republic",S4791)),"South Korea",
ISNUMBER(SEARCH("Germany FR",S4791)),"FR Germany",
ISNUMBER(SEARCH("West Germany",S4791)),"FR Germany",
ISNUMBER(SEARCH("Germany DR",S4791)),"DR Germany",
ISNUMBER(SEARCH("Korea DPR",S4791)),"North Korea",
ISNUMBER(SEARCH("China PR",S4791)),"China",
ISNUMBER(SEARCH("IR Iran",S4791)),"Iran",
ISNUMBER(SEARCH("Congo DR",S4791)),"Democratic Republic of the Congo",
ISNUMBER(SEARCH("DR Congo",S4791)),"Democratic Republic of the Congo",
ISNUMBER(SEARCH("German DR",S4791)),"DR Germany",
ISNUMBER(SEARCH("rn""&gt;United Arab Emirates",S4791)),"United Arab Emirates",
ISNUMBER(SEARCH("rn""&gt;Republic of Ireland",S4791)),"Ireland",
ISNUMBER(SEARCH("rn""&gt;Bosnia and Herzegovina",S4791)),"Bosnia and Herzegovina",
ISNUMBER(SEARCH("rn""&gt;Trinidad and Tobago",S4791)),"Trinidad and Tobago",
ISNUMBER(SEARCH("rn""&gt;Serbia and Montenegro",S4791)),"Serbia and Montenegro",
ISNUMBER(SEARCH(_xlfn.UNICHAR(65533),S4791)),"Côte d'Ivoire",
TRUE,"-"
)</f>
        <v>-</v>
      </c>
      <c r="W4791" s="42" t="str">
        <f t="shared" si="297"/>
        <v>-</v>
      </c>
    </row>
    <row r="4792" spans="19:23">
      <c r="S4792" s="42" t="str">
        <v/>
      </c>
      <c r="T4792" s="42" t="str">
        <f t="shared" si="295"/>
        <v>-</v>
      </c>
      <c r="U4792" s="40" t="str">
        <f t="shared" si="296"/>
        <v>-</v>
      </c>
      <c r="V4792" s="42" t="str" cm="1">
        <f t="array" ref="V4792">_xlfn.IFS(
LEFT(S4792,16)="win on penalties",IF(VALUE(MID(S4792,19,1))&gt;VALUE(MID(S4792,23,1)),DATA_CLEANED!AK306,DATA_CLEANED!AN306),
ISNUMBER(SEARCH("USA",S4792)),"United States",
ISNUMBER(SEARCH("Republic of Ireland",S4792)),"Ireland",
ISNUMBER(SEARCH("Republic of Korea",S4792)),"South Korea",
ISNUMBER(SEARCH("Cape Verde",S4792)),"Cabo Verde",
ISNUMBER(SEARCH("Czechia",S4792)),"Czech Republic",
ISNUMBER(SEARCH("Türkiye",S4792)),"Turkey",
ISNUMBER(SEARCH("Ivory Coast",S4792)),"Côte d'Ivoire",
ISNUMBER(SEARCH("Korea Republic",S4792)),"South Korea",
ISNUMBER(SEARCH("Germany FR",S4792)),"FR Germany",
ISNUMBER(SEARCH("West Germany",S4792)),"FR Germany",
ISNUMBER(SEARCH("Germany DR",S4792)),"DR Germany",
ISNUMBER(SEARCH("Korea DPR",S4792)),"North Korea",
ISNUMBER(SEARCH("China PR",S4792)),"China",
ISNUMBER(SEARCH("IR Iran",S4792)),"Iran",
ISNUMBER(SEARCH("Congo DR",S4792)),"Democratic Republic of the Congo",
ISNUMBER(SEARCH("DR Congo",S4792)),"Democratic Republic of the Congo",
ISNUMBER(SEARCH("German DR",S4792)),"DR Germany",
ISNUMBER(SEARCH("rn""&gt;United Arab Emirates",S4792)),"United Arab Emirates",
ISNUMBER(SEARCH("rn""&gt;Republic of Ireland",S4792)),"Ireland",
ISNUMBER(SEARCH("rn""&gt;Bosnia and Herzegovina",S4792)),"Bosnia and Herzegovina",
ISNUMBER(SEARCH("rn""&gt;Trinidad and Tobago",S4792)),"Trinidad and Tobago",
ISNUMBER(SEARCH("rn""&gt;Serbia and Montenegro",S4792)),"Serbia and Montenegro",
ISNUMBER(SEARCH(_xlfn.UNICHAR(65533),S4792)),"Côte d'Ivoire",
TRUE,"-"
)</f>
        <v>-</v>
      </c>
      <c r="W4792" s="42" t="str">
        <f t="shared" si="297"/>
        <v>-</v>
      </c>
    </row>
    <row r="4793" spans="19:23">
      <c r="S4793" s="42" t="str">
        <v/>
      </c>
      <c r="T4793" s="42" t="str">
        <f t="shared" si="295"/>
        <v>-</v>
      </c>
      <c r="U4793" s="40" t="str">
        <f t="shared" si="296"/>
        <v>-</v>
      </c>
      <c r="V4793" s="42" t="str" cm="1">
        <f t="array" ref="V4793">_xlfn.IFS(
LEFT(S4793,16)="win on penalties",IF(VALUE(MID(S4793,19,1))&gt;VALUE(MID(S4793,23,1)),DATA_CLEANED!AK307,DATA_CLEANED!AN307),
ISNUMBER(SEARCH("USA",S4793)),"United States",
ISNUMBER(SEARCH("Republic of Ireland",S4793)),"Ireland",
ISNUMBER(SEARCH("Republic of Korea",S4793)),"South Korea",
ISNUMBER(SEARCH("Cape Verde",S4793)),"Cabo Verde",
ISNUMBER(SEARCH("Czechia",S4793)),"Czech Republic",
ISNUMBER(SEARCH("Türkiye",S4793)),"Turkey",
ISNUMBER(SEARCH("Ivory Coast",S4793)),"Côte d'Ivoire",
ISNUMBER(SEARCH("Korea Republic",S4793)),"South Korea",
ISNUMBER(SEARCH("Germany FR",S4793)),"FR Germany",
ISNUMBER(SEARCH("West Germany",S4793)),"FR Germany",
ISNUMBER(SEARCH("Germany DR",S4793)),"DR Germany",
ISNUMBER(SEARCH("Korea DPR",S4793)),"North Korea",
ISNUMBER(SEARCH("China PR",S4793)),"China",
ISNUMBER(SEARCH("IR Iran",S4793)),"Iran",
ISNUMBER(SEARCH("Congo DR",S4793)),"Democratic Republic of the Congo",
ISNUMBER(SEARCH("DR Congo",S4793)),"Democratic Republic of the Congo",
ISNUMBER(SEARCH("German DR",S4793)),"DR Germany",
ISNUMBER(SEARCH("rn""&gt;United Arab Emirates",S4793)),"United Arab Emirates",
ISNUMBER(SEARCH("rn""&gt;Republic of Ireland",S4793)),"Ireland",
ISNUMBER(SEARCH("rn""&gt;Bosnia and Herzegovina",S4793)),"Bosnia and Herzegovina",
ISNUMBER(SEARCH("rn""&gt;Trinidad and Tobago",S4793)),"Trinidad and Tobago",
ISNUMBER(SEARCH("rn""&gt;Serbia and Montenegro",S4793)),"Serbia and Montenegro",
ISNUMBER(SEARCH(_xlfn.UNICHAR(65533),S4793)),"Côte d'Ivoire",
TRUE,"-"
)</f>
        <v>-</v>
      </c>
      <c r="W4793" s="42" t="str">
        <f t="shared" si="297"/>
        <v>-</v>
      </c>
    </row>
    <row r="4794" spans="19:23">
      <c r="S4794" s="42" t="str">
        <v/>
      </c>
      <c r="T4794" s="42" t="str">
        <f t="shared" si="295"/>
        <v>-</v>
      </c>
      <c r="U4794" s="40" t="str">
        <f t="shared" si="296"/>
        <v>-</v>
      </c>
      <c r="V4794" s="42" t="str" cm="1">
        <f t="array" ref="V4794">_xlfn.IFS(
LEFT(S4794,16)="win on penalties",IF(VALUE(MID(S4794,19,1))&gt;VALUE(MID(S4794,23,1)),DATA_CLEANED!AK308,DATA_CLEANED!AN308),
ISNUMBER(SEARCH("USA",S4794)),"United States",
ISNUMBER(SEARCH("Republic of Ireland",S4794)),"Ireland",
ISNUMBER(SEARCH("Republic of Korea",S4794)),"South Korea",
ISNUMBER(SEARCH("Cape Verde",S4794)),"Cabo Verde",
ISNUMBER(SEARCH("Czechia",S4794)),"Czech Republic",
ISNUMBER(SEARCH("Türkiye",S4794)),"Turkey",
ISNUMBER(SEARCH("Ivory Coast",S4794)),"Côte d'Ivoire",
ISNUMBER(SEARCH("Korea Republic",S4794)),"South Korea",
ISNUMBER(SEARCH("Germany FR",S4794)),"FR Germany",
ISNUMBER(SEARCH("West Germany",S4794)),"FR Germany",
ISNUMBER(SEARCH("Germany DR",S4794)),"DR Germany",
ISNUMBER(SEARCH("Korea DPR",S4794)),"North Korea",
ISNUMBER(SEARCH("China PR",S4794)),"China",
ISNUMBER(SEARCH("IR Iran",S4794)),"Iran",
ISNUMBER(SEARCH("Congo DR",S4794)),"Democratic Republic of the Congo",
ISNUMBER(SEARCH("DR Congo",S4794)),"Democratic Republic of the Congo",
ISNUMBER(SEARCH("German DR",S4794)),"DR Germany",
ISNUMBER(SEARCH("rn""&gt;United Arab Emirates",S4794)),"United Arab Emirates",
ISNUMBER(SEARCH("rn""&gt;Republic of Ireland",S4794)),"Ireland",
ISNUMBER(SEARCH("rn""&gt;Bosnia and Herzegovina",S4794)),"Bosnia and Herzegovina",
ISNUMBER(SEARCH("rn""&gt;Trinidad and Tobago",S4794)),"Trinidad and Tobago",
ISNUMBER(SEARCH("rn""&gt;Serbia and Montenegro",S4794)),"Serbia and Montenegro",
ISNUMBER(SEARCH(_xlfn.UNICHAR(65533),S4794)),"Côte d'Ivoire",
TRUE,"-"
)</f>
        <v>-</v>
      </c>
      <c r="W4794" s="42" t="str">
        <f t="shared" si="297"/>
        <v>-</v>
      </c>
    </row>
    <row r="4795" spans="19:23">
      <c r="S4795" s="42" t="str">
        <v/>
      </c>
      <c r="T4795" s="42" t="str">
        <f t="shared" si="295"/>
        <v>-</v>
      </c>
      <c r="U4795" s="40" t="str">
        <f t="shared" si="296"/>
        <v>-</v>
      </c>
      <c r="V4795" s="42" t="str" cm="1">
        <f t="array" ref="V4795">_xlfn.IFS(
LEFT(S4795,16)="win on penalties",IF(VALUE(MID(S4795,19,1))&gt;VALUE(MID(S4795,23,1)),DATA_CLEANED!AK309,DATA_CLEANED!AN309),
ISNUMBER(SEARCH("USA",S4795)),"United States",
ISNUMBER(SEARCH("Republic of Ireland",S4795)),"Ireland",
ISNUMBER(SEARCH("Republic of Korea",S4795)),"South Korea",
ISNUMBER(SEARCH("Cape Verde",S4795)),"Cabo Verde",
ISNUMBER(SEARCH("Czechia",S4795)),"Czech Republic",
ISNUMBER(SEARCH("Türkiye",S4795)),"Turkey",
ISNUMBER(SEARCH("Ivory Coast",S4795)),"Côte d'Ivoire",
ISNUMBER(SEARCH("Korea Republic",S4795)),"South Korea",
ISNUMBER(SEARCH("Germany FR",S4795)),"FR Germany",
ISNUMBER(SEARCH("West Germany",S4795)),"FR Germany",
ISNUMBER(SEARCH("Germany DR",S4795)),"DR Germany",
ISNUMBER(SEARCH("Korea DPR",S4795)),"North Korea",
ISNUMBER(SEARCH("China PR",S4795)),"China",
ISNUMBER(SEARCH("IR Iran",S4795)),"Iran",
ISNUMBER(SEARCH("Congo DR",S4795)),"Democratic Republic of the Congo",
ISNUMBER(SEARCH("DR Congo",S4795)),"Democratic Republic of the Congo",
ISNUMBER(SEARCH("German DR",S4795)),"DR Germany",
ISNUMBER(SEARCH("rn""&gt;United Arab Emirates",S4795)),"United Arab Emirates",
ISNUMBER(SEARCH("rn""&gt;Republic of Ireland",S4795)),"Ireland",
ISNUMBER(SEARCH("rn""&gt;Bosnia and Herzegovina",S4795)),"Bosnia and Herzegovina",
ISNUMBER(SEARCH("rn""&gt;Trinidad and Tobago",S4795)),"Trinidad and Tobago",
ISNUMBER(SEARCH("rn""&gt;Serbia and Montenegro",S4795)),"Serbia and Montenegro",
ISNUMBER(SEARCH(_xlfn.UNICHAR(65533),S4795)),"Côte d'Ivoire",
TRUE,"-"
)</f>
        <v>-</v>
      </c>
      <c r="W4795" s="42" t="str">
        <f t="shared" si="297"/>
        <v>-</v>
      </c>
    </row>
    <row r="4796" spans="19:23">
      <c r="S4796" s="42" t="str">
        <v>Argentina win after extra time</v>
      </c>
      <c r="T4796" s="42" t="str">
        <f t="shared" si="295"/>
        <v>Argentina</v>
      </c>
      <c r="U4796" s="40" t="str">
        <f t="shared" si="296"/>
        <v>AUCUNE</v>
      </c>
      <c r="V4796" s="42" t="str" cm="1">
        <f t="array" ref="V4796">_xlfn.IFS(
LEFT(S4796,16)="win on penalties",IF(VALUE(MID(S4796,19,1))&gt;VALUE(MID(S4796,23,1)),DATA_CLEANED!AK310,DATA_CLEANED!AN310),
ISNUMBER(SEARCH("USA",S4796)),"United States",
ISNUMBER(SEARCH("Republic of Ireland",S4796)),"Ireland",
ISNUMBER(SEARCH("Republic of Korea",S4796)),"South Korea",
ISNUMBER(SEARCH("Cape Verde",S4796)),"Cabo Verde",
ISNUMBER(SEARCH("Czechia",S4796)),"Czech Republic",
ISNUMBER(SEARCH("Türkiye",S4796)),"Turkey",
ISNUMBER(SEARCH("Ivory Coast",S4796)),"Côte d'Ivoire",
ISNUMBER(SEARCH("Korea Republic",S4796)),"South Korea",
ISNUMBER(SEARCH("Germany FR",S4796)),"FR Germany",
ISNUMBER(SEARCH("West Germany",S4796)),"FR Germany",
ISNUMBER(SEARCH("Germany DR",S4796)),"DR Germany",
ISNUMBER(SEARCH("Korea DPR",S4796)),"North Korea",
ISNUMBER(SEARCH("China PR",S4796)),"China",
ISNUMBER(SEARCH("IR Iran",S4796)),"Iran",
ISNUMBER(SEARCH("Congo DR",S4796)),"Democratic Republic of the Congo",
ISNUMBER(SEARCH("DR Congo",S4796)),"Democratic Republic of the Congo",
ISNUMBER(SEARCH("German DR",S4796)),"DR Germany",
ISNUMBER(SEARCH("rn""&gt;United Arab Emirates",S4796)),"United Arab Emirates",
ISNUMBER(SEARCH("rn""&gt;Republic of Ireland",S4796)),"Ireland",
ISNUMBER(SEARCH("rn""&gt;Bosnia and Herzegovina",S4796)),"Bosnia and Herzegovina",
ISNUMBER(SEARCH("rn""&gt;Trinidad and Tobago",S4796)),"Trinidad and Tobago",
ISNUMBER(SEARCH("rn""&gt;Serbia and Montenegro",S4796)),"Serbia and Montenegro",
ISNUMBER(SEARCH(_xlfn.UNICHAR(65533),S4796)),"Côte d'Ivoire",
TRUE,"-"
)</f>
        <v>-</v>
      </c>
      <c r="W4796" s="42" t="str">
        <f t="shared" si="297"/>
        <v>Argentina win after extra time</v>
      </c>
    </row>
    <row r="4797" spans="19:23">
      <c r="S4797" s="42" t="str">
        <v/>
      </c>
      <c r="T4797" s="42" t="str">
        <f t="shared" si="295"/>
        <v>-</v>
      </c>
      <c r="U4797" s="40" t="str">
        <f t="shared" si="296"/>
        <v>-</v>
      </c>
      <c r="V4797" s="42" t="str" cm="1">
        <f t="array" ref="V4797">_xlfn.IFS(
LEFT(S4797,16)="win on penalties",IF(VALUE(MID(S4797,19,1))&gt;VALUE(MID(S4797,23,1)),DATA_CLEANED!AK311,DATA_CLEANED!AN311),
ISNUMBER(SEARCH("USA",S4797)),"United States",
ISNUMBER(SEARCH("Republic of Ireland",S4797)),"Ireland",
ISNUMBER(SEARCH("Republic of Korea",S4797)),"South Korea",
ISNUMBER(SEARCH("Cape Verde",S4797)),"Cabo Verde",
ISNUMBER(SEARCH("Czechia",S4797)),"Czech Republic",
ISNUMBER(SEARCH("Türkiye",S4797)),"Turkey",
ISNUMBER(SEARCH("Ivory Coast",S4797)),"Côte d'Ivoire",
ISNUMBER(SEARCH("Korea Republic",S4797)),"South Korea",
ISNUMBER(SEARCH("Germany FR",S4797)),"FR Germany",
ISNUMBER(SEARCH("West Germany",S4797)),"FR Germany",
ISNUMBER(SEARCH("Germany DR",S4797)),"DR Germany",
ISNUMBER(SEARCH("Korea DPR",S4797)),"North Korea",
ISNUMBER(SEARCH("China PR",S4797)),"China",
ISNUMBER(SEARCH("IR Iran",S4797)),"Iran",
ISNUMBER(SEARCH("Congo DR",S4797)),"Democratic Republic of the Congo",
ISNUMBER(SEARCH("DR Congo",S4797)),"Democratic Republic of the Congo",
ISNUMBER(SEARCH("German DR",S4797)),"DR Germany",
ISNUMBER(SEARCH("rn""&gt;United Arab Emirates",S4797)),"United Arab Emirates",
ISNUMBER(SEARCH("rn""&gt;Republic of Ireland",S4797)),"Ireland",
ISNUMBER(SEARCH("rn""&gt;Bosnia and Herzegovina",S4797)),"Bosnia and Herzegovina",
ISNUMBER(SEARCH("rn""&gt;Trinidad and Tobago",S4797)),"Trinidad and Tobago",
ISNUMBER(SEARCH("rn""&gt;Serbia and Montenegro",S4797)),"Serbia and Montenegro",
ISNUMBER(SEARCH(_xlfn.UNICHAR(65533),S4797)),"Côte d'Ivoire",
TRUE,"-"
)</f>
        <v>-</v>
      </c>
      <c r="W4797" s="42" t="str">
        <f t="shared" si="297"/>
        <v>-</v>
      </c>
    </row>
    <row r="4798" spans="19:23">
      <c r="S4798" s="42" t="str">
        <v/>
      </c>
      <c r="T4798" s="42" t="str">
        <f t="shared" si="295"/>
        <v>-</v>
      </c>
      <c r="U4798" s="40" t="str">
        <f t="shared" si="296"/>
        <v>-</v>
      </c>
      <c r="V4798" s="42" t="str" cm="1">
        <f t="array" ref="V4798">_xlfn.IFS(
LEFT(S4798,16)="win on penalties",IF(VALUE(MID(S4798,19,1))&gt;VALUE(MID(S4798,23,1)),DATA_CLEANED!AK312,DATA_CLEANED!AN312),
ISNUMBER(SEARCH("USA",S4798)),"United States",
ISNUMBER(SEARCH("Republic of Ireland",S4798)),"Ireland",
ISNUMBER(SEARCH("Republic of Korea",S4798)),"South Korea",
ISNUMBER(SEARCH("Cape Verde",S4798)),"Cabo Verde",
ISNUMBER(SEARCH("Czechia",S4798)),"Czech Republic",
ISNUMBER(SEARCH("Türkiye",S4798)),"Turkey",
ISNUMBER(SEARCH("Ivory Coast",S4798)),"Côte d'Ivoire",
ISNUMBER(SEARCH("Korea Republic",S4798)),"South Korea",
ISNUMBER(SEARCH("Germany FR",S4798)),"FR Germany",
ISNUMBER(SEARCH("West Germany",S4798)),"FR Germany",
ISNUMBER(SEARCH("Germany DR",S4798)),"DR Germany",
ISNUMBER(SEARCH("Korea DPR",S4798)),"North Korea",
ISNUMBER(SEARCH("China PR",S4798)),"China",
ISNUMBER(SEARCH("IR Iran",S4798)),"Iran",
ISNUMBER(SEARCH("Congo DR",S4798)),"Democratic Republic of the Congo",
ISNUMBER(SEARCH("DR Congo",S4798)),"Democratic Republic of the Congo",
ISNUMBER(SEARCH("German DR",S4798)),"DR Germany",
ISNUMBER(SEARCH("rn""&gt;United Arab Emirates",S4798)),"United Arab Emirates",
ISNUMBER(SEARCH("rn""&gt;Republic of Ireland",S4798)),"Ireland",
ISNUMBER(SEARCH("rn""&gt;Bosnia and Herzegovina",S4798)),"Bosnia and Herzegovina",
ISNUMBER(SEARCH("rn""&gt;Trinidad and Tobago",S4798)),"Trinidad and Tobago",
ISNUMBER(SEARCH("rn""&gt;Serbia and Montenegro",S4798)),"Serbia and Montenegro",
ISNUMBER(SEARCH(_xlfn.UNICHAR(65533),S4798)),"Côte d'Ivoire",
TRUE,"-"
)</f>
        <v>-</v>
      </c>
      <c r="W4798" s="42" t="str">
        <f t="shared" si="297"/>
        <v>-</v>
      </c>
    </row>
    <row r="4799" spans="19:23">
      <c r="S4799" s="42" t="str">
        <v/>
      </c>
      <c r="T4799" s="42" t="str">
        <f t="shared" si="295"/>
        <v>-</v>
      </c>
      <c r="U4799" s="40" t="str">
        <f t="shared" si="296"/>
        <v>-</v>
      </c>
      <c r="V4799" s="42" t="str" cm="1">
        <f t="array" ref="V4799">_xlfn.IFS(
LEFT(S4799,16)="win on penalties",IF(VALUE(MID(S4799,19,1))&gt;VALUE(MID(S4799,23,1)),DATA_CLEANED!AK313,DATA_CLEANED!AN313),
ISNUMBER(SEARCH("USA",S4799)),"United States",
ISNUMBER(SEARCH("Republic of Ireland",S4799)),"Ireland",
ISNUMBER(SEARCH("Republic of Korea",S4799)),"South Korea",
ISNUMBER(SEARCH("Cape Verde",S4799)),"Cabo Verde",
ISNUMBER(SEARCH("Czechia",S4799)),"Czech Republic",
ISNUMBER(SEARCH("Türkiye",S4799)),"Turkey",
ISNUMBER(SEARCH("Ivory Coast",S4799)),"Côte d'Ivoire",
ISNUMBER(SEARCH("Korea Republic",S4799)),"South Korea",
ISNUMBER(SEARCH("Germany FR",S4799)),"FR Germany",
ISNUMBER(SEARCH("West Germany",S4799)),"FR Germany",
ISNUMBER(SEARCH("Germany DR",S4799)),"DR Germany",
ISNUMBER(SEARCH("Korea DPR",S4799)),"North Korea",
ISNUMBER(SEARCH("China PR",S4799)),"China",
ISNUMBER(SEARCH("IR Iran",S4799)),"Iran",
ISNUMBER(SEARCH("Congo DR",S4799)),"Democratic Republic of the Congo",
ISNUMBER(SEARCH("DR Congo",S4799)),"Democratic Republic of the Congo",
ISNUMBER(SEARCH("German DR",S4799)),"DR Germany",
ISNUMBER(SEARCH("rn""&gt;United Arab Emirates",S4799)),"United Arab Emirates",
ISNUMBER(SEARCH("rn""&gt;Republic of Ireland",S4799)),"Ireland",
ISNUMBER(SEARCH("rn""&gt;Bosnia and Herzegovina",S4799)),"Bosnia and Herzegovina",
ISNUMBER(SEARCH("rn""&gt;Trinidad and Tobago",S4799)),"Trinidad and Tobago",
ISNUMBER(SEARCH("rn""&gt;Serbia and Montenegro",S4799)),"Serbia and Montenegro",
ISNUMBER(SEARCH(_xlfn.UNICHAR(65533),S4799)),"Côte d'Ivoire",
TRUE,"-"
)</f>
        <v>-</v>
      </c>
      <c r="W4799" s="42" t="str">
        <f t="shared" si="297"/>
        <v>-</v>
      </c>
    </row>
    <row r="4800" spans="19:23">
      <c r="S4800" s="42" t="str">
        <v/>
      </c>
      <c r="T4800" s="42" t="str">
        <f t="shared" si="295"/>
        <v>-</v>
      </c>
      <c r="U4800" s="40" t="str">
        <f t="shared" si="296"/>
        <v>-</v>
      </c>
      <c r="V4800" s="42" t="str" cm="1">
        <f t="array" ref="V4800">_xlfn.IFS(
LEFT(S4800,16)="win on penalties",IF(VALUE(MID(S4800,19,1))&gt;VALUE(MID(S4800,23,1)),DATA_CLEANED!AK314,DATA_CLEANED!AN314),
ISNUMBER(SEARCH("USA",S4800)),"United States",
ISNUMBER(SEARCH("Republic of Ireland",S4800)),"Ireland",
ISNUMBER(SEARCH("Republic of Korea",S4800)),"South Korea",
ISNUMBER(SEARCH("Cape Verde",S4800)),"Cabo Verde",
ISNUMBER(SEARCH("Czechia",S4800)),"Czech Republic",
ISNUMBER(SEARCH("Türkiye",S4800)),"Turkey",
ISNUMBER(SEARCH("Ivory Coast",S4800)),"Côte d'Ivoire",
ISNUMBER(SEARCH("Korea Republic",S4800)),"South Korea",
ISNUMBER(SEARCH("Germany FR",S4800)),"FR Germany",
ISNUMBER(SEARCH("West Germany",S4800)),"FR Germany",
ISNUMBER(SEARCH("Germany DR",S4800)),"DR Germany",
ISNUMBER(SEARCH("Korea DPR",S4800)),"North Korea",
ISNUMBER(SEARCH("China PR",S4800)),"China",
ISNUMBER(SEARCH("IR Iran",S4800)),"Iran",
ISNUMBER(SEARCH("Congo DR",S4800)),"Democratic Republic of the Congo",
ISNUMBER(SEARCH("DR Congo",S4800)),"Democratic Republic of the Congo",
ISNUMBER(SEARCH("German DR",S4800)),"DR Germany",
ISNUMBER(SEARCH("rn""&gt;United Arab Emirates",S4800)),"United Arab Emirates",
ISNUMBER(SEARCH("rn""&gt;Republic of Ireland",S4800)),"Ireland",
ISNUMBER(SEARCH("rn""&gt;Bosnia and Herzegovina",S4800)),"Bosnia and Herzegovina",
ISNUMBER(SEARCH("rn""&gt;Trinidad and Tobago",S4800)),"Trinidad and Tobago",
ISNUMBER(SEARCH("rn""&gt;Serbia and Montenegro",S4800)),"Serbia and Montenegro",
ISNUMBER(SEARCH(_xlfn.UNICHAR(65533),S4800)),"Côte d'Ivoire",
TRUE,"-"
)</f>
        <v>-</v>
      </c>
      <c r="W4800" s="42" t="str">
        <f t="shared" si="297"/>
        <v>-</v>
      </c>
    </row>
    <row r="4801" spans="19:23">
      <c r="S4801" s="42" t="str">
        <v/>
      </c>
      <c r="T4801" s="42" t="str">
        <f t="shared" si="295"/>
        <v>-</v>
      </c>
      <c r="U4801" s="40" t="str">
        <f t="shared" si="296"/>
        <v>-</v>
      </c>
      <c r="V4801" s="42" t="str" cm="1">
        <f t="array" ref="V4801">_xlfn.IFS(
LEFT(S4801,16)="win on penalties",IF(VALUE(MID(S4801,19,1))&gt;VALUE(MID(S4801,23,1)),DATA_CLEANED!AK315,DATA_CLEANED!AN315),
ISNUMBER(SEARCH("USA",S4801)),"United States",
ISNUMBER(SEARCH("Republic of Ireland",S4801)),"Ireland",
ISNUMBER(SEARCH("Republic of Korea",S4801)),"South Korea",
ISNUMBER(SEARCH("Cape Verde",S4801)),"Cabo Verde",
ISNUMBER(SEARCH("Czechia",S4801)),"Czech Republic",
ISNUMBER(SEARCH("Türkiye",S4801)),"Turkey",
ISNUMBER(SEARCH("Ivory Coast",S4801)),"Côte d'Ivoire",
ISNUMBER(SEARCH("Korea Republic",S4801)),"South Korea",
ISNUMBER(SEARCH("Germany FR",S4801)),"FR Germany",
ISNUMBER(SEARCH("West Germany",S4801)),"FR Germany",
ISNUMBER(SEARCH("Germany DR",S4801)),"DR Germany",
ISNUMBER(SEARCH("Korea DPR",S4801)),"North Korea",
ISNUMBER(SEARCH("China PR",S4801)),"China",
ISNUMBER(SEARCH("IR Iran",S4801)),"Iran",
ISNUMBER(SEARCH("Congo DR",S4801)),"Democratic Republic of the Congo",
ISNUMBER(SEARCH("DR Congo",S4801)),"Democratic Republic of the Congo",
ISNUMBER(SEARCH("German DR",S4801)),"DR Germany",
ISNUMBER(SEARCH("rn""&gt;United Arab Emirates",S4801)),"United Arab Emirates",
ISNUMBER(SEARCH("rn""&gt;Republic of Ireland",S4801)),"Ireland",
ISNUMBER(SEARCH("rn""&gt;Bosnia and Herzegovina",S4801)),"Bosnia and Herzegovina",
ISNUMBER(SEARCH("rn""&gt;Trinidad and Tobago",S4801)),"Trinidad and Tobago",
ISNUMBER(SEARCH("rn""&gt;Serbia and Montenegro",S4801)),"Serbia and Montenegro",
ISNUMBER(SEARCH(_xlfn.UNICHAR(65533),S4801)),"Côte d'Ivoire",
TRUE,"-"
)</f>
        <v>-</v>
      </c>
      <c r="W4801" s="42" t="str">
        <f t="shared" si="297"/>
        <v>-</v>
      </c>
    </row>
    <row r="4802" spans="19:23">
      <c r="S4802" s="42" t="str">
        <v/>
      </c>
      <c r="T4802" s="42" t="str">
        <f t="shared" si="295"/>
        <v>-</v>
      </c>
      <c r="U4802" s="40" t="str">
        <f t="shared" si="296"/>
        <v>-</v>
      </c>
      <c r="V4802" s="42" t="str" cm="1">
        <f t="array" ref="V4802">_xlfn.IFS(
LEFT(S4802,16)="win on penalties",IF(VALUE(MID(S4802,19,1))&gt;VALUE(MID(S4802,23,1)),DATA_CLEANED!AK316,DATA_CLEANED!AN316),
ISNUMBER(SEARCH("USA",S4802)),"United States",
ISNUMBER(SEARCH("Republic of Ireland",S4802)),"Ireland",
ISNUMBER(SEARCH("Republic of Korea",S4802)),"South Korea",
ISNUMBER(SEARCH("Cape Verde",S4802)),"Cabo Verde",
ISNUMBER(SEARCH("Czechia",S4802)),"Czech Republic",
ISNUMBER(SEARCH("Türkiye",S4802)),"Turkey",
ISNUMBER(SEARCH("Ivory Coast",S4802)),"Côte d'Ivoire",
ISNUMBER(SEARCH("Korea Republic",S4802)),"South Korea",
ISNUMBER(SEARCH("Germany FR",S4802)),"FR Germany",
ISNUMBER(SEARCH("West Germany",S4802)),"FR Germany",
ISNUMBER(SEARCH("Germany DR",S4802)),"DR Germany",
ISNUMBER(SEARCH("Korea DPR",S4802)),"North Korea",
ISNUMBER(SEARCH("China PR",S4802)),"China",
ISNUMBER(SEARCH("IR Iran",S4802)),"Iran",
ISNUMBER(SEARCH("Congo DR",S4802)),"Democratic Republic of the Congo",
ISNUMBER(SEARCH("DR Congo",S4802)),"Democratic Republic of the Congo",
ISNUMBER(SEARCH("German DR",S4802)),"DR Germany",
ISNUMBER(SEARCH("rn""&gt;United Arab Emirates",S4802)),"United Arab Emirates",
ISNUMBER(SEARCH("rn""&gt;Republic of Ireland",S4802)),"Ireland",
ISNUMBER(SEARCH("rn""&gt;Bosnia and Herzegovina",S4802)),"Bosnia and Herzegovina",
ISNUMBER(SEARCH("rn""&gt;Trinidad and Tobago",S4802)),"Trinidad and Tobago",
ISNUMBER(SEARCH("rn""&gt;Serbia and Montenegro",S4802)),"Serbia and Montenegro",
ISNUMBER(SEARCH(_xlfn.UNICHAR(65533),S4802)),"Côte d'Ivoire",
TRUE,"-"
)</f>
        <v>-</v>
      </c>
      <c r="W4802" s="42" t="str">
        <f t="shared" si="297"/>
        <v>-</v>
      </c>
    </row>
    <row r="4803" spans="19:23">
      <c r="S4803" s="42" t="str">
        <v/>
      </c>
      <c r="T4803" s="42" t="str">
        <f t="shared" si="295"/>
        <v>-</v>
      </c>
      <c r="U4803" s="40" t="str">
        <f t="shared" si="296"/>
        <v>-</v>
      </c>
      <c r="V4803" s="42" t="str" cm="1">
        <f t="array" ref="V4803">_xlfn.IFS(
LEFT(S4803,16)="win on penalties",IF(VALUE(MID(S4803,19,1))&gt;VALUE(MID(S4803,23,1)),DATA_CLEANED!AK317,DATA_CLEANED!AN317),
ISNUMBER(SEARCH("USA",S4803)),"United States",
ISNUMBER(SEARCH("Republic of Ireland",S4803)),"Ireland",
ISNUMBER(SEARCH("Republic of Korea",S4803)),"South Korea",
ISNUMBER(SEARCH("Cape Verde",S4803)),"Cabo Verde",
ISNUMBER(SEARCH("Czechia",S4803)),"Czech Republic",
ISNUMBER(SEARCH("Türkiye",S4803)),"Turkey",
ISNUMBER(SEARCH("Ivory Coast",S4803)),"Côte d'Ivoire",
ISNUMBER(SEARCH("Korea Republic",S4803)),"South Korea",
ISNUMBER(SEARCH("Germany FR",S4803)),"FR Germany",
ISNUMBER(SEARCH("West Germany",S4803)),"FR Germany",
ISNUMBER(SEARCH("Germany DR",S4803)),"DR Germany",
ISNUMBER(SEARCH("Korea DPR",S4803)),"North Korea",
ISNUMBER(SEARCH("China PR",S4803)),"China",
ISNUMBER(SEARCH("IR Iran",S4803)),"Iran",
ISNUMBER(SEARCH("Congo DR",S4803)),"Democratic Republic of the Congo",
ISNUMBER(SEARCH("DR Congo",S4803)),"Democratic Republic of the Congo",
ISNUMBER(SEARCH("German DR",S4803)),"DR Germany",
ISNUMBER(SEARCH("rn""&gt;United Arab Emirates",S4803)),"United Arab Emirates",
ISNUMBER(SEARCH("rn""&gt;Republic of Ireland",S4803)),"Ireland",
ISNUMBER(SEARCH("rn""&gt;Bosnia and Herzegovina",S4803)),"Bosnia and Herzegovina",
ISNUMBER(SEARCH("rn""&gt;Trinidad and Tobago",S4803)),"Trinidad and Tobago",
ISNUMBER(SEARCH("rn""&gt;Serbia and Montenegro",S4803)),"Serbia and Montenegro",
ISNUMBER(SEARCH(_xlfn.UNICHAR(65533),S4803)),"Côte d'Ivoire",
TRUE,"-"
)</f>
        <v>-</v>
      </c>
      <c r="W4803" s="42" t="str">
        <f t="shared" si="297"/>
        <v>-</v>
      </c>
    </row>
    <row r="4804" spans="19:23">
      <c r="S4804" s="42" t="str">
        <v/>
      </c>
      <c r="T4804" s="42" t="str">
        <f t="shared" si="295"/>
        <v>-</v>
      </c>
      <c r="U4804" s="40" t="str">
        <f t="shared" si="296"/>
        <v>-</v>
      </c>
      <c r="V4804" s="42" t="str" cm="1">
        <f t="array" ref="V4804">_xlfn.IFS(
LEFT(S4804,16)="win on penalties",IF(VALUE(MID(S4804,19,1))&gt;VALUE(MID(S4804,23,1)),DATA_CLEANED!AK318,DATA_CLEANED!AN318),
ISNUMBER(SEARCH("USA",S4804)),"United States",
ISNUMBER(SEARCH("Republic of Ireland",S4804)),"Ireland",
ISNUMBER(SEARCH("Republic of Korea",S4804)),"South Korea",
ISNUMBER(SEARCH("Cape Verde",S4804)),"Cabo Verde",
ISNUMBER(SEARCH("Czechia",S4804)),"Czech Republic",
ISNUMBER(SEARCH("Türkiye",S4804)),"Turkey",
ISNUMBER(SEARCH("Ivory Coast",S4804)),"Côte d'Ivoire",
ISNUMBER(SEARCH("Korea Republic",S4804)),"South Korea",
ISNUMBER(SEARCH("Germany FR",S4804)),"FR Germany",
ISNUMBER(SEARCH("West Germany",S4804)),"FR Germany",
ISNUMBER(SEARCH("Germany DR",S4804)),"DR Germany",
ISNUMBER(SEARCH("Korea DPR",S4804)),"North Korea",
ISNUMBER(SEARCH("China PR",S4804)),"China",
ISNUMBER(SEARCH("IR Iran",S4804)),"Iran",
ISNUMBER(SEARCH("Congo DR",S4804)),"Democratic Republic of the Congo",
ISNUMBER(SEARCH("DR Congo",S4804)),"Democratic Republic of the Congo",
ISNUMBER(SEARCH("German DR",S4804)),"DR Germany",
ISNUMBER(SEARCH("rn""&gt;United Arab Emirates",S4804)),"United Arab Emirates",
ISNUMBER(SEARCH("rn""&gt;Republic of Ireland",S4804)),"Ireland",
ISNUMBER(SEARCH("rn""&gt;Bosnia and Herzegovina",S4804)),"Bosnia and Herzegovina",
ISNUMBER(SEARCH("rn""&gt;Trinidad and Tobago",S4804)),"Trinidad and Tobago",
ISNUMBER(SEARCH("rn""&gt;Serbia and Montenegro",S4804)),"Serbia and Montenegro",
ISNUMBER(SEARCH(_xlfn.UNICHAR(65533),S4804)),"Côte d'Ivoire",
TRUE,"-"
)</f>
        <v>-</v>
      </c>
      <c r="W4804" s="42" t="str">
        <f t="shared" si="297"/>
        <v>-</v>
      </c>
    </row>
    <row r="4805" spans="19:23">
      <c r="S4805" s="42" t="str">
        <v/>
      </c>
      <c r="T4805" s="42" t="str">
        <f t="shared" si="295"/>
        <v>-</v>
      </c>
      <c r="U4805" s="40" t="str">
        <f t="shared" si="296"/>
        <v>-</v>
      </c>
      <c r="V4805" s="42" t="str" cm="1">
        <f t="array" ref="V4805">_xlfn.IFS(
LEFT(S4805,16)="win on penalties",IF(VALUE(MID(S4805,19,1))&gt;VALUE(MID(S4805,23,1)),DATA_CLEANED!AK319,DATA_CLEANED!AN319),
ISNUMBER(SEARCH("USA",S4805)),"United States",
ISNUMBER(SEARCH("Republic of Ireland",S4805)),"Ireland",
ISNUMBER(SEARCH("Republic of Korea",S4805)),"South Korea",
ISNUMBER(SEARCH("Cape Verde",S4805)),"Cabo Verde",
ISNUMBER(SEARCH("Czechia",S4805)),"Czech Republic",
ISNUMBER(SEARCH("Türkiye",S4805)),"Turkey",
ISNUMBER(SEARCH("Ivory Coast",S4805)),"Côte d'Ivoire",
ISNUMBER(SEARCH("Korea Republic",S4805)),"South Korea",
ISNUMBER(SEARCH("Germany FR",S4805)),"FR Germany",
ISNUMBER(SEARCH("West Germany",S4805)),"FR Germany",
ISNUMBER(SEARCH("Germany DR",S4805)),"DR Germany",
ISNUMBER(SEARCH("Korea DPR",S4805)),"North Korea",
ISNUMBER(SEARCH("China PR",S4805)),"China",
ISNUMBER(SEARCH("IR Iran",S4805)),"Iran",
ISNUMBER(SEARCH("Congo DR",S4805)),"Democratic Republic of the Congo",
ISNUMBER(SEARCH("DR Congo",S4805)),"Democratic Republic of the Congo",
ISNUMBER(SEARCH("German DR",S4805)),"DR Germany",
ISNUMBER(SEARCH("rn""&gt;United Arab Emirates",S4805)),"United Arab Emirates",
ISNUMBER(SEARCH("rn""&gt;Republic of Ireland",S4805)),"Ireland",
ISNUMBER(SEARCH("rn""&gt;Bosnia and Herzegovina",S4805)),"Bosnia and Herzegovina",
ISNUMBER(SEARCH("rn""&gt;Trinidad and Tobago",S4805)),"Trinidad and Tobago",
ISNUMBER(SEARCH("rn""&gt;Serbia and Montenegro",S4805)),"Serbia and Montenegro",
ISNUMBER(SEARCH(_xlfn.UNICHAR(65533),S4805)),"Côte d'Ivoire",
TRUE,"-"
)</f>
        <v>-</v>
      </c>
      <c r="W4805" s="42" t="str">
        <f t="shared" si="297"/>
        <v>-</v>
      </c>
    </row>
    <row r="4806" spans="19:23">
      <c r="S4806" s="42" t="str">
        <v/>
      </c>
      <c r="T4806" s="42" t="str">
        <f t="shared" si="295"/>
        <v>-</v>
      </c>
      <c r="U4806" s="40" t="str">
        <f t="shared" si="296"/>
        <v>-</v>
      </c>
      <c r="V4806" s="42" t="str" cm="1">
        <f t="array" ref="V4806">_xlfn.IFS(
LEFT(S4806,16)="win on penalties",IF(VALUE(MID(S4806,19,1))&gt;VALUE(MID(S4806,23,1)),DATA_CLEANED!AK320,DATA_CLEANED!AN320),
ISNUMBER(SEARCH("USA",S4806)),"United States",
ISNUMBER(SEARCH("Republic of Ireland",S4806)),"Ireland",
ISNUMBER(SEARCH("Republic of Korea",S4806)),"South Korea",
ISNUMBER(SEARCH("Cape Verde",S4806)),"Cabo Verde",
ISNUMBER(SEARCH("Czechia",S4806)),"Czech Republic",
ISNUMBER(SEARCH("Türkiye",S4806)),"Turkey",
ISNUMBER(SEARCH("Ivory Coast",S4806)),"Côte d'Ivoire",
ISNUMBER(SEARCH("Korea Republic",S4806)),"South Korea",
ISNUMBER(SEARCH("Germany FR",S4806)),"FR Germany",
ISNUMBER(SEARCH("West Germany",S4806)),"FR Germany",
ISNUMBER(SEARCH("Germany DR",S4806)),"DR Germany",
ISNUMBER(SEARCH("Korea DPR",S4806)),"North Korea",
ISNUMBER(SEARCH("China PR",S4806)),"China",
ISNUMBER(SEARCH("IR Iran",S4806)),"Iran",
ISNUMBER(SEARCH("Congo DR",S4806)),"Democratic Republic of the Congo",
ISNUMBER(SEARCH("DR Congo",S4806)),"Democratic Republic of the Congo",
ISNUMBER(SEARCH("German DR",S4806)),"DR Germany",
ISNUMBER(SEARCH("rn""&gt;United Arab Emirates",S4806)),"United Arab Emirates",
ISNUMBER(SEARCH("rn""&gt;Republic of Ireland",S4806)),"Ireland",
ISNUMBER(SEARCH("rn""&gt;Bosnia and Herzegovina",S4806)),"Bosnia and Herzegovina",
ISNUMBER(SEARCH("rn""&gt;Trinidad and Tobago",S4806)),"Trinidad and Tobago",
ISNUMBER(SEARCH("rn""&gt;Serbia and Montenegro",S4806)),"Serbia and Montenegro",
ISNUMBER(SEARCH(_xlfn.UNICHAR(65533),S4806)),"Côte d'Ivoire",
TRUE,"-"
)</f>
        <v>-</v>
      </c>
      <c r="W4806" s="42" t="str">
        <f t="shared" si="297"/>
        <v>-</v>
      </c>
    </row>
    <row r="4807" spans="19:23">
      <c r="S4807" s="42" t="str">
        <v/>
      </c>
      <c r="T4807" s="42" t="str">
        <f t="shared" si="295"/>
        <v>-</v>
      </c>
      <c r="U4807" s="40" t="str">
        <f t="shared" si="296"/>
        <v>-</v>
      </c>
      <c r="V4807" s="42" t="str" cm="1">
        <f t="array" ref="V4807">_xlfn.IFS(
LEFT(S4807,16)="win on penalties",IF(VALUE(MID(S4807,19,1))&gt;VALUE(MID(S4807,23,1)),DATA_CLEANED!AK321,DATA_CLEANED!AN321),
ISNUMBER(SEARCH("USA",S4807)),"United States",
ISNUMBER(SEARCH("Republic of Ireland",S4807)),"Ireland",
ISNUMBER(SEARCH("Republic of Korea",S4807)),"South Korea",
ISNUMBER(SEARCH("Cape Verde",S4807)),"Cabo Verde",
ISNUMBER(SEARCH("Czechia",S4807)),"Czech Republic",
ISNUMBER(SEARCH("Türkiye",S4807)),"Turkey",
ISNUMBER(SEARCH("Ivory Coast",S4807)),"Côte d'Ivoire",
ISNUMBER(SEARCH("Korea Republic",S4807)),"South Korea",
ISNUMBER(SEARCH("Germany FR",S4807)),"FR Germany",
ISNUMBER(SEARCH("West Germany",S4807)),"FR Germany",
ISNUMBER(SEARCH("Germany DR",S4807)),"DR Germany",
ISNUMBER(SEARCH("Korea DPR",S4807)),"North Korea",
ISNUMBER(SEARCH("China PR",S4807)),"China",
ISNUMBER(SEARCH("IR Iran",S4807)),"Iran",
ISNUMBER(SEARCH("Congo DR",S4807)),"Democratic Republic of the Congo",
ISNUMBER(SEARCH("DR Congo",S4807)),"Democratic Republic of the Congo",
ISNUMBER(SEARCH("German DR",S4807)),"DR Germany",
ISNUMBER(SEARCH("rn""&gt;United Arab Emirates",S4807)),"United Arab Emirates",
ISNUMBER(SEARCH("rn""&gt;Republic of Ireland",S4807)),"Ireland",
ISNUMBER(SEARCH("rn""&gt;Bosnia and Herzegovina",S4807)),"Bosnia and Herzegovina",
ISNUMBER(SEARCH("rn""&gt;Trinidad and Tobago",S4807)),"Trinidad and Tobago",
ISNUMBER(SEARCH("rn""&gt;Serbia and Montenegro",S4807)),"Serbia and Montenegro",
ISNUMBER(SEARCH(_xlfn.UNICHAR(65533),S4807)),"Côte d'Ivoire",
TRUE,"-"
)</f>
        <v>-</v>
      </c>
      <c r="W4807" s="42" t="str">
        <f t="shared" si="297"/>
        <v>-</v>
      </c>
    </row>
    <row r="4808" spans="19:23">
      <c r="S4808" s="42" t="str">
        <v/>
      </c>
      <c r="T4808" s="42" t="str">
        <f t="shared" si="295"/>
        <v>-</v>
      </c>
      <c r="U4808" s="40" t="str">
        <f t="shared" si="296"/>
        <v>-</v>
      </c>
      <c r="V4808" s="42" t="str" cm="1">
        <f t="array" ref="V4808">_xlfn.IFS(
LEFT(S4808,16)="win on penalties",IF(VALUE(MID(S4808,19,1))&gt;VALUE(MID(S4808,23,1)),DATA_CLEANED!AK322,DATA_CLEANED!AN322),
ISNUMBER(SEARCH("USA",S4808)),"United States",
ISNUMBER(SEARCH("Republic of Ireland",S4808)),"Ireland",
ISNUMBER(SEARCH("Republic of Korea",S4808)),"South Korea",
ISNUMBER(SEARCH("Cape Verde",S4808)),"Cabo Verde",
ISNUMBER(SEARCH("Czechia",S4808)),"Czech Republic",
ISNUMBER(SEARCH("Türkiye",S4808)),"Turkey",
ISNUMBER(SEARCH("Ivory Coast",S4808)),"Côte d'Ivoire",
ISNUMBER(SEARCH("Korea Republic",S4808)),"South Korea",
ISNUMBER(SEARCH("Germany FR",S4808)),"FR Germany",
ISNUMBER(SEARCH("West Germany",S4808)),"FR Germany",
ISNUMBER(SEARCH("Germany DR",S4808)),"DR Germany",
ISNUMBER(SEARCH("Korea DPR",S4808)),"North Korea",
ISNUMBER(SEARCH("China PR",S4808)),"China",
ISNUMBER(SEARCH("IR Iran",S4808)),"Iran",
ISNUMBER(SEARCH("Congo DR",S4808)),"Democratic Republic of the Congo",
ISNUMBER(SEARCH("DR Congo",S4808)),"Democratic Republic of the Congo",
ISNUMBER(SEARCH("German DR",S4808)),"DR Germany",
ISNUMBER(SEARCH("rn""&gt;United Arab Emirates",S4808)),"United Arab Emirates",
ISNUMBER(SEARCH("rn""&gt;Republic of Ireland",S4808)),"Ireland",
ISNUMBER(SEARCH("rn""&gt;Bosnia and Herzegovina",S4808)),"Bosnia and Herzegovina",
ISNUMBER(SEARCH("rn""&gt;Trinidad and Tobago",S4808)),"Trinidad and Tobago",
ISNUMBER(SEARCH("rn""&gt;Serbia and Montenegro",S4808)),"Serbia and Montenegro",
ISNUMBER(SEARCH(_xlfn.UNICHAR(65533),S4808)),"Côte d'Ivoire",
TRUE,"-"
)</f>
        <v>-</v>
      </c>
      <c r="W4808" s="42" t="str">
        <f t="shared" si="297"/>
        <v>-</v>
      </c>
    </row>
    <row r="4809" spans="19:23">
      <c r="S4809" s="42" t="str">
        <v/>
      </c>
      <c r="T4809" s="42" t="str">
        <f t="shared" si="295"/>
        <v>-</v>
      </c>
      <c r="U4809" s="40" t="str">
        <f t="shared" si="296"/>
        <v>-</v>
      </c>
      <c r="V4809" s="42" t="str" cm="1">
        <f t="array" ref="V4809">_xlfn.IFS(
LEFT(S4809,16)="win on penalties",IF(VALUE(MID(S4809,19,1))&gt;VALUE(MID(S4809,23,1)),DATA_CLEANED!AK323,DATA_CLEANED!AN323),
ISNUMBER(SEARCH("USA",S4809)),"United States",
ISNUMBER(SEARCH("Republic of Ireland",S4809)),"Ireland",
ISNUMBER(SEARCH("Republic of Korea",S4809)),"South Korea",
ISNUMBER(SEARCH("Cape Verde",S4809)),"Cabo Verde",
ISNUMBER(SEARCH("Czechia",S4809)),"Czech Republic",
ISNUMBER(SEARCH("Türkiye",S4809)),"Turkey",
ISNUMBER(SEARCH("Ivory Coast",S4809)),"Côte d'Ivoire",
ISNUMBER(SEARCH("Korea Republic",S4809)),"South Korea",
ISNUMBER(SEARCH("Germany FR",S4809)),"FR Germany",
ISNUMBER(SEARCH("West Germany",S4809)),"FR Germany",
ISNUMBER(SEARCH("Germany DR",S4809)),"DR Germany",
ISNUMBER(SEARCH("Korea DPR",S4809)),"North Korea",
ISNUMBER(SEARCH("China PR",S4809)),"China",
ISNUMBER(SEARCH("IR Iran",S4809)),"Iran",
ISNUMBER(SEARCH("Congo DR",S4809)),"Democratic Republic of the Congo",
ISNUMBER(SEARCH("DR Congo",S4809)),"Democratic Republic of the Congo",
ISNUMBER(SEARCH("German DR",S4809)),"DR Germany",
ISNUMBER(SEARCH("rn""&gt;United Arab Emirates",S4809)),"United Arab Emirates",
ISNUMBER(SEARCH("rn""&gt;Republic of Ireland",S4809)),"Ireland",
ISNUMBER(SEARCH("rn""&gt;Bosnia and Herzegovina",S4809)),"Bosnia and Herzegovina",
ISNUMBER(SEARCH("rn""&gt;Trinidad and Tobago",S4809)),"Trinidad and Tobago",
ISNUMBER(SEARCH("rn""&gt;Serbia and Montenegro",S4809)),"Serbia and Montenegro",
ISNUMBER(SEARCH(_xlfn.UNICHAR(65533),S4809)),"Côte d'Ivoire",
TRUE,"-"
)</f>
        <v>-</v>
      </c>
      <c r="W4809" s="42" t="str">
        <f t="shared" si="297"/>
        <v>-</v>
      </c>
    </row>
    <row r="4810" spans="19:23">
      <c r="S4810" s="42" t="str">
        <v/>
      </c>
      <c r="T4810" s="42" t="str">
        <f t="shared" ref="T4810:T4873" si="298">IF(S4810="","-",IFERROR(LEFT(S4810,SEARCH(" win",S4810)-1),"-"))</f>
        <v>-</v>
      </c>
      <c r="U4810" s="40" t="str">
        <f t="shared" ref="U4810:U4873" si="299">IF(T4810="-","-",IF(COUNTIF(_xlfn.ANCHORARRAY(X$13),T4810)=1,"AUCUNE","RENOMMER"))</f>
        <v>-</v>
      </c>
      <c r="V4810" s="42" t="str" cm="1">
        <f t="array" ref="V4810">_xlfn.IFS(
LEFT(S4810,16)="win on penalties",IF(VALUE(MID(S4810,19,1))&gt;VALUE(MID(S4810,23,1)),DATA_CLEANED!AK324,DATA_CLEANED!AN324),
ISNUMBER(SEARCH("USA",S4810)),"United States",
ISNUMBER(SEARCH("Republic of Ireland",S4810)),"Ireland",
ISNUMBER(SEARCH("Republic of Korea",S4810)),"South Korea",
ISNUMBER(SEARCH("Cape Verde",S4810)),"Cabo Verde",
ISNUMBER(SEARCH("Czechia",S4810)),"Czech Republic",
ISNUMBER(SEARCH("Türkiye",S4810)),"Turkey",
ISNUMBER(SEARCH("Ivory Coast",S4810)),"Côte d'Ivoire",
ISNUMBER(SEARCH("Korea Republic",S4810)),"South Korea",
ISNUMBER(SEARCH("Germany FR",S4810)),"FR Germany",
ISNUMBER(SEARCH("West Germany",S4810)),"FR Germany",
ISNUMBER(SEARCH("Germany DR",S4810)),"DR Germany",
ISNUMBER(SEARCH("Korea DPR",S4810)),"North Korea",
ISNUMBER(SEARCH("China PR",S4810)),"China",
ISNUMBER(SEARCH("IR Iran",S4810)),"Iran",
ISNUMBER(SEARCH("Congo DR",S4810)),"Democratic Republic of the Congo",
ISNUMBER(SEARCH("DR Congo",S4810)),"Democratic Republic of the Congo",
ISNUMBER(SEARCH("German DR",S4810)),"DR Germany",
ISNUMBER(SEARCH("rn""&gt;United Arab Emirates",S4810)),"United Arab Emirates",
ISNUMBER(SEARCH("rn""&gt;Republic of Ireland",S4810)),"Ireland",
ISNUMBER(SEARCH("rn""&gt;Bosnia and Herzegovina",S4810)),"Bosnia and Herzegovina",
ISNUMBER(SEARCH("rn""&gt;Trinidad and Tobago",S4810)),"Trinidad and Tobago",
ISNUMBER(SEARCH("rn""&gt;Serbia and Montenegro",S4810)),"Serbia and Montenegro",
ISNUMBER(SEARCH(_xlfn.UNICHAR(65533),S4810)),"Côte d'Ivoire",
TRUE,"-"
)</f>
        <v>-</v>
      </c>
      <c r="W4810" s="42" t="str">
        <f t="shared" ref="W4810:W4873" si="300">IF(S4810="","-",IF(AND(U4810="RENOMMER",T4810&lt;&gt;"-",V4810&lt;&gt;"-"),SUBSTITUTE(S4810,T4810,V4810),S4810))</f>
        <v>-</v>
      </c>
    </row>
    <row r="4811" spans="19:23">
      <c r="S4811" s="42" t="str">
        <v/>
      </c>
      <c r="T4811" s="42" t="str">
        <f t="shared" si="298"/>
        <v>-</v>
      </c>
      <c r="U4811" s="40" t="str">
        <f t="shared" si="299"/>
        <v>-</v>
      </c>
      <c r="V4811" s="42" t="str" cm="1">
        <f t="array" ref="V4811">_xlfn.IFS(
LEFT(S4811,16)="win on penalties",IF(VALUE(MID(S4811,19,1))&gt;VALUE(MID(S4811,23,1)),DATA_CLEANED!AK325,DATA_CLEANED!AN325),
ISNUMBER(SEARCH("USA",S4811)),"United States",
ISNUMBER(SEARCH("Republic of Ireland",S4811)),"Ireland",
ISNUMBER(SEARCH("Republic of Korea",S4811)),"South Korea",
ISNUMBER(SEARCH("Cape Verde",S4811)),"Cabo Verde",
ISNUMBER(SEARCH("Czechia",S4811)),"Czech Republic",
ISNUMBER(SEARCH("Türkiye",S4811)),"Turkey",
ISNUMBER(SEARCH("Ivory Coast",S4811)),"Côte d'Ivoire",
ISNUMBER(SEARCH("Korea Republic",S4811)),"South Korea",
ISNUMBER(SEARCH("Germany FR",S4811)),"FR Germany",
ISNUMBER(SEARCH("West Germany",S4811)),"FR Germany",
ISNUMBER(SEARCH("Germany DR",S4811)),"DR Germany",
ISNUMBER(SEARCH("Korea DPR",S4811)),"North Korea",
ISNUMBER(SEARCH("China PR",S4811)),"China",
ISNUMBER(SEARCH("IR Iran",S4811)),"Iran",
ISNUMBER(SEARCH("Congo DR",S4811)),"Democratic Republic of the Congo",
ISNUMBER(SEARCH("DR Congo",S4811)),"Democratic Republic of the Congo",
ISNUMBER(SEARCH("German DR",S4811)),"DR Germany",
ISNUMBER(SEARCH("rn""&gt;United Arab Emirates",S4811)),"United Arab Emirates",
ISNUMBER(SEARCH("rn""&gt;Republic of Ireland",S4811)),"Ireland",
ISNUMBER(SEARCH("rn""&gt;Bosnia and Herzegovina",S4811)),"Bosnia and Herzegovina",
ISNUMBER(SEARCH("rn""&gt;Trinidad and Tobago",S4811)),"Trinidad and Tobago",
ISNUMBER(SEARCH("rn""&gt;Serbia and Montenegro",S4811)),"Serbia and Montenegro",
ISNUMBER(SEARCH(_xlfn.UNICHAR(65533),S4811)),"Côte d'Ivoire",
TRUE,"-"
)</f>
        <v>-</v>
      </c>
      <c r="W4811" s="42" t="str">
        <f t="shared" si="300"/>
        <v>-</v>
      </c>
    </row>
    <row r="4812" spans="19:23">
      <c r="S4812" s="42" t="str">
        <v/>
      </c>
      <c r="T4812" s="42" t="str">
        <f t="shared" si="298"/>
        <v>-</v>
      </c>
      <c r="U4812" s="40" t="str">
        <f t="shared" si="299"/>
        <v>-</v>
      </c>
      <c r="V4812" s="42" t="str" cm="1">
        <f t="array" ref="V4812">_xlfn.IFS(
LEFT(S4812,16)="win on penalties",IF(VALUE(MID(S4812,19,1))&gt;VALUE(MID(S4812,23,1)),DATA_CLEANED!AK326,DATA_CLEANED!AN326),
ISNUMBER(SEARCH("USA",S4812)),"United States",
ISNUMBER(SEARCH("Republic of Ireland",S4812)),"Ireland",
ISNUMBER(SEARCH("Republic of Korea",S4812)),"South Korea",
ISNUMBER(SEARCH("Cape Verde",S4812)),"Cabo Verde",
ISNUMBER(SEARCH("Czechia",S4812)),"Czech Republic",
ISNUMBER(SEARCH("Türkiye",S4812)),"Turkey",
ISNUMBER(SEARCH("Ivory Coast",S4812)),"Côte d'Ivoire",
ISNUMBER(SEARCH("Korea Republic",S4812)),"South Korea",
ISNUMBER(SEARCH("Germany FR",S4812)),"FR Germany",
ISNUMBER(SEARCH("West Germany",S4812)),"FR Germany",
ISNUMBER(SEARCH("Germany DR",S4812)),"DR Germany",
ISNUMBER(SEARCH("Korea DPR",S4812)),"North Korea",
ISNUMBER(SEARCH("China PR",S4812)),"China",
ISNUMBER(SEARCH("IR Iran",S4812)),"Iran",
ISNUMBER(SEARCH("Congo DR",S4812)),"Democratic Republic of the Congo",
ISNUMBER(SEARCH("DR Congo",S4812)),"Democratic Republic of the Congo",
ISNUMBER(SEARCH("German DR",S4812)),"DR Germany",
ISNUMBER(SEARCH("rn""&gt;United Arab Emirates",S4812)),"United Arab Emirates",
ISNUMBER(SEARCH("rn""&gt;Republic of Ireland",S4812)),"Ireland",
ISNUMBER(SEARCH("rn""&gt;Bosnia and Herzegovina",S4812)),"Bosnia and Herzegovina",
ISNUMBER(SEARCH("rn""&gt;Trinidad and Tobago",S4812)),"Trinidad and Tobago",
ISNUMBER(SEARCH("rn""&gt;Serbia and Montenegro",S4812)),"Serbia and Montenegro",
ISNUMBER(SEARCH(_xlfn.UNICHAR(65533),S4812)),"Côte d'Ivoire",
TRUE,"-"
)</f>
        <v>-</v>
      </c>
      <c r="W4812" s="42" t="str">
        <f t="shared" si="300"/>
        <v>-</v>
      </c>
    </row>
    <row r="4813" spans="19:23">
      <c r="S4813" s="42" t="str">
        <v/>
      </c>
      <c r="T4813" s="42" t="str">
        <f t="shared" si="298"/>
        <v>-</v>
      </c>
      <c r="U4813" s="40" t="str">
        <f t="shared" si="299"/>
        <v>-</v>
      </c>
      <c r="V4813" s="42" t="str" cm="1">
        <f t="array" ref="V4813">_xlfn.IFS(
LEFT(S4813,16)="win on penalties",IF(VALUE(MID(S4813,19,1))&gt;VALUE(MID(S4813,23,1)),DATA_CLEANED!AK327,DATA_CLEANED!AN327),
ISNUMBER(SEARCH("USA",S4813)),"United States",
ISNUMBER(SEARCH("Republic of Ireland",S4813)),"Ireland",
ISNUMBER(SEARCH("Republic of Korea",S4813)),"South Korea",
ISNUMBER(SEARCH("Cape Verde",S4813)),"Cabo Verde",
ISNUMBER(SEARCH("Czechia",S4813)),"Czech Republic",
ISNUMBER(SEARCH("Türkiye",S4813)),"Turkey",
ISNUMBER(SEARCH("Ivory Coast",S4813)),"Côte d'Ivoire",
ISNUMBER(SEARCH("Korea Republic",S4813)),"South Korea",
ISNUMBER(SEARCH("Germany FR",S4813)),"FR Germany",
ISNUMBER(SEARCH("West Germany",S4813)),"FR Germany",
ISNUMBER(SEARCH("Germany DR",S4813)),"DR Germany",
ISNUMBER(SEARCH("Korea DPR",S4813)),"North Korea",
ISNUMBER(SEARCH("China PR",S4813)),"China",
ISNUMBER(SEARCH("IR Iran",S4813)),"Iran",
ISNUMBER(SEARCH("Congo DR",S4813)),"Democratic Republic of the Congo",
ISNUMBER(SEARCH("DR Congo",S4813)),"Democratic Republic of the Congo",
ISNUMBER(SEARCH("German DR",S4813)),"DR Germany",
ISNUMBER(SEARCH("rn""&gt;United Arab Emirates",S4813)),"United Arab Emirates",
ISNUMBER(SEARCH("rn""&gt;Republic of Ireland",S4813)),"Ireland",
ISNUMBER(SEARCH("rn""&gt;Bosnia and Herzegovina",S4813)),"Bosnia and Herzegovina",
ISNUMBER(SEARCH("rn""&gt;Trinidad and Tobago",S4813)),"Trinidad and Tobago",
ISNUMBER(SEARCH("rn""&gt;Serbia and Montenegro",S4813)),"Serbia and Montenegro",
ISNUMBER(SEARCH(_xlfn.UNICHAR(65533),S4813)),"Côte d'Ivoire",
TRUE,"-"
)</f>
        <v>-</v>
      </c>
      <c r="W4813" s="42" t="str">
        <f t="shared" si="300"/>
        <v>-</v>
      </c>
    </row>
    <row r="4814" spans="19:23">
      <c r="S4814" s="42" t="str">
        <v/>
      </c>
      <c r="T4814" s="42" t="str">
        <f t="shared" si="298"/>
        <v>-</v>
      </c>
      <c r="U4814" s="40" t="str">
        <f t="shared" si="299"/>
        <v>-</v>
      </c>
      <c r="V4814" s="42" t="str" cm="1">
        <f t="array" ref="V4814">_xlfn.IFS(
LEFT(S4814,16)="win on penalties",IF(VALUE(MID(S4814,19,1))&gt;VALUE(MID(S4814,23,1)),DATA_CLEANED!AK328,DATA_CLEANED!AN328),
ISNUMBER(SEARCH("USA",S4814)),"United States",
ISNUMBER(SEARCH("Republic of Ireland",S4814)),"Ireland",
ISNUMBER(SEARCH("Republic of Korea",S4814)),"South Korea",
ISNUMBER(SEARCH("Cape Verde",S4814)),"Cabo Verde",
ISNUMBER(SEARCH("Czechia",S4814)),"Czech Republic",
ISNUMBER(SEARCH("Türkiye",S4814)),"Turkey",
ISNUMBER(SEARCH("Ivory Coast",S4814)),"Côte d'Ivoire",
ISNUMBER(SEARCH("Korea Republic",S4814)),"South Korea",
ISNUMBER(SEARCH("Germany FR",S4814)),"FR Germany",
ISNUMBER(SEARCH("West Germany",S4814)),"FR Germany",
ISNUMBER(SEARCH("Germany DR",S4814)),"DR Germany",
ISNUMBER(SEARCH("Korea DPR",S4814)),"North Korea",
ISNUMBER(SEARCH("China PR",S4814)),"China",
ISNUMBER(SEARCH("IR Iran",S4814)),"Iran",
ISNUMBER(SEARCH("Congo DR",S4814)),"Democratic Republic of the Congo",
ISNUMBER(SEARCH("DR Congo",S4814)),"Democratic Republic of the Congo",
ISNUMBER(SEARCH("German DR",S4814)),"DR Germany",
ISNUMBER(SEARCH("rn""&gt;United Arab Emirates",S4814)),"United Arab Emirates",
ISNUMBER(SEARCH("rn""&gt;Republic of Ireland",S4814)),"Ireland",
ISNUMBER(SEARCH("rn""&gt;Bosnia and Herzegovina",S4814)),"Bosnia and Herzegovina",
ISNUMBER(SEARCH("rn""&gt;Trinidad and Tobago",S4814)),"Trinidad and Tobago",
ISNUMBER(SEARCH("rn""&gt;Serbia and Montenegro",S4814)),"Serbia and Montenegro",
ISNUMBER(SEARCH(_xlfn.UNICHAR(65533),S4814)),"Côte d'Ivoire",
TRUE,"-"
)</f>
        <v>-</v>
      </c>
      <c r="W4814" s="42" t="str">
        <f t="shared" si="300"/>
        <v>-</v>
      </c>
    </row>
    <row r="4815" spans="19:23">
      <c r="S4815" s="42" t="str">
        <v/>
      </c>
      <c r="T4815" s="42" t="str">
        <f t="shared" si="298"/>
        <v>-</v>
      </c>
      <c r="U4815" s="40" t="str">
        <f t="shared" si="299"/>
        <v>-</v>
      </c>
      <c r="V4815" s="42" t="str" cm="1">
        <f t="array" ref="V4815">_xlfn.IFS(
LEFT(S4815,16)="win on penalties",IF(VALUE(MID(S4815,19,1))&gt;VALUE(MID(S4815,23,1)),DATA_CLEANED!AK329,DATA_CLEANED!AN329),
ISNUMBER(SEARCH("USA",S4815)),"United States",
ISNUMBER(SEARCH("Republic of Ireland",S4815)),"Ireland",
ISNUMBER(SEARCH("Republic of Korea",S4815)),"South Korea",
ISNUMBER(SEARCH("Cape Verde",S4815)),"Cabo Verde",
ISNUMBER(SEARCH("Czechia",S4815)),"Czech Republic",
ISNUMBER(SEARCH("Türkiye",S4815)),"Turkey",
ISNUMBER(SEARCH("Ivory Coast",S4815)),"Côte d'Ivoire",
ISNUMBER(SEARCH("Korea Republic",S4815)),"South Korea",
ISNUMBER(SEARCH("Germany FR",S4815)),"FR Germany",
ISNUMBER(SEARCH("West Germany",S4815)),"FR Germany",
ISNUMBER(SEARCH("Germany DR",S4815)),"DR Germany",
ISNUMBER(SEARCH("Korea DPR",S4815)),"North Korea",
ISNUMBER(SEARCH("China PR",S4815)),"China",
ISNUMBER(SEARCH("IR Iran",S4815)),"Iran",
ISNUMBER(SEARCH("Congo DR",S4815)),"Democratic Republic of the Congo",
ISNUMBER(SEARCH("DR Congo",S4815)),"Democratic Republic of the Congo",
ISNUMBER(SEARCH("German DR",S4815)),"DR Germany",
ISNUMBER(SEARCH("rn""&gt;United Arab Emirates",S4815)),"United Arab Emirates",
ISNUMBER(SEARCH("rn""&gt;Republic of Ireland",S4815)),"Ireland",
ISNUMBER(SEARCH("rn""&gt;Bosnia and Herzegovina",S4815)),"Bosnia and Herzegovina",
ISNUMBER(SEARCH("rn""&gt;Trinidad and Tobago",S4815)),"Trinidad and Tobago",
ISNUMBER(SEARCH("rn""&gt;Serbia and Montenegro",S4815)),"Serbia and Montenegro",
ISNUMBER(SEARCH(_xlfn.UNICHAR(65533),S4815)),"Côte d'Ivoire",
TRUE,"-"
)</f>
        <v>-</v>
      </c>
      <c r="W4815" s="42" t="str">
        <f t="shared" si="300"/>
        <v>-</v>
      </c>
    </row>
    <row r="4816" spans="19:23">
      <c r="S4816" s="42" t="str">
        <v/>
      </c>
      <c r="T4816" s="42" t="str">
        <f t="shared" si="298"/>
        <v>-</v>
      </c>
      <c r="U4816" s="40" t="str">
        <f t="shared" si="299"/>
        <v>-</v>
      </c>
      <c r="V4816" s="42" t="str" cm="1">
        <f t="array" ref="V4816">_xlfn.IFS(
LEFT(S4816,16)="win on penalties",IF(VALUE(MID(S4816,19,1))&gt;VALUE(MID(S4816,23,1)),DATA_CLEANED!AK330,DATA_CLEANED!AN330),
ISNUMBER(SEARCH("USA",S4816)),"United States",
ISNUMBER(SEARCH("Republic of Ireland",S4816)),"Ireland",
ISNUMBER(SEARCH("Republic of Korea",S4816)),"South Korea",
ISNUMBER(SEARCH("Cape Verde",S4816)),"Cabo Verde",
ISNUMBER(SEARCH("Czechia",S4816)),"Czech Republic",
ISNUMBER(SEARCH("Türkiye",S4816)),"Turkey",
ISNUMBER(SEARCH("Ivory Coast",S4816)),"Côte d'Ivoire",
ISNUMBER(SEARCH("Korea Republic",S4816)),"South Korea",
ISNUMBER(SEARCH("Germany FR",S4816)),"FR Germany",
ISNUMBER(SEARCH("West Germany",S4816)),"FR Germany",
ISNUMBER(SEARCH("Germany DR",S4816)),"DR Germany",
ISNUMBER(SEARCH("Korea DPR",S4816)),"North Korea",
ISNUMBER(SEARCH("China PR",S4816)),"China",
ISNUMBER(SEARCH("IR Iran",S4816)),"Iran",
ISNUMBER(SEARCH("Congo DR",S4816)),"Democratic Republic of the Congo",
ISNUMBER(SEARCH("DR Congo",S4816)),"Democratic Republic of the Congo",
ISNUMBER(SEARCH("German DR",S4816)),"DR Germany",
ISNUMBER(SEARCH("rn""&gt;United Arab Emirates",S4816)),"United Arab Emirates",
ISNUMBER(SEARCH("rn""&gt;Republic of Ireland",S4816)),"Ireland",
ISNUMBER(SEARCH("rn""&gt;Bosnia and Herzegovina",S4816)),"Bosnia and Herzegovina",
ISNUMBER(SEARCH("rn""&gt;Trinidad and Tobago",S4816)),"Trinidad and Tobago",
ISNUMBER(SEARCH("rn""&gt;Serbia and Montenegro",S4816)),"Serbia and Montenegro",
ISNUMBER(SEARCH(_xlfn.UNICHAR(65533),S4816)),"Côte d'Ivoire",
TRUE,"-"
)</f>
        <v>-</v>
      </c>
      <c r="W4816" s="42" t="str">
        <f t="shared" si="300"/>
        <v>-</v>
      </c>
    </row>
    <row r="4817" spans="19:23">
      <c r="S4817" s="42" t="str">
        <v/>
      </c>
      <c r="T4817" s="42" t="str">
        <f t="shared" si="298"/>
        <v>-</v>
      </c>
      <c r="U4817" s="40" t="str">
        <f t="shared" si="299"/>
        <v>-</v>
      </c>
      <c r="V4817" s="42" t="str" cm="1">
        <f t="array" ref="V4817">_xlfn.IFS(
LEFT(S4817,16)="win on penalties",IF(VALUE(MID(S4817,19,1))&gt;VALUE(MID(S4817,23,1)),DATA_CLEANED!AK331,DATA_CLEANED!AN331),
ISNUMBER(SEARCH("USA",S4817)),"United States",
ISNUMBER(SEARCH("Republic of Ireland",S4817)),"Ireland",
ISNUMBER(SEARCH("Republic of Korea",S4817)),"South Korea",
ISNUMBER(SEARCH("Cape Verde",S4817)),"Cabo Verde",
ISNUMBER(SEARCH("Czechia",S4817)),"Czech Republic",
ISNUMBER(SEARCH("Türkiye",S4817)),"Turkey",
ISNUMBER(SEARCH("Ivory Coast",S4817)),"Côte d'Ivoire",
ISNUMBER(SEARCH("Korea Republic",S4817)),"South Korea",
ISNUMBER(SEARCH("Germany FR",S4817)),"FR Germany",
ISNUMBER(SEARCH("West Germany",S4817)),"FR Germany",
ISNUMBER(SEARCH("Germany DR",S4817)),"DR Germany",
ISNUMBER(SEARCH("Korea DPR",S4817)),"North Korea",
ISNUMBER(SEARCH("China PR",S4817)),"China",
ISNUMBER(SEARCH("IR Iran",S4817)),"Iran",
ISNUMBER(SEARCH("Congo DR",S4817)),"Democratic Republic of the Congo",
ISNUMBER(SEARCH("DR Congo",S4817)),"Democratic Republic of the Congo",
ISNUMBER(SEARCH("German DR",S4817)),"DR Germany",
ISNUMBER(SEARCH("rn""&gt;United Arab Emirates",S4817)),"United Arab Emirates",
ISNUMBER(SEARCH("rn""&gt;Republic of Ireland",S4817)),"Ireland",
ISNUMBER(SEARCH("rn""&gt;Bosnia and Herzegovina",S4817)),"Bosnia and Herzegovina",
ISNUMBER(SEARCH("rn""&gt;Trinidad and Tobago",S4817)),"Trinidad and Tobago",
ISNUMBER(SEARCH("rn""&gt;Serbia and Montenegro",S4817)),"Serbia and Montenegro",
ISNUMBER(SEARCH(_xlfn.UNICHAR(65533),S4817)),"Côte d'Ivoire",
TRUE,"-"
)</f>
        <v>-</v>
      </c>
      <c r="W4817" s="42" t="str">
        <f t="shared" si="300"/>
        <v>-</v>
      </c>
    </row>
    <row r="4818" spans="19:23">
      <c r="S4818" s="42" t="str">
        <v/>
      </c>
      <c r="T4818" s="42" t="str">
        <f t="shared" si="298"/>
        <v>-</v>
      </c>
      <c r="U4818" s="40" t="str">
        <f t="shared" si="299"/>
        <v>-</v>
      </c>
      <c r="V4818" s="42" t="str" cm="1">
        <f t="array" ref="V4818">_xlfn.IFS(
LEFT(S4818,16)="win on penalties",IF(VALUE(MID(S4818,19,1))&gt;VALUE(MID(S4818,23,1)),DATA_CLEANED!AK332,DATA_CLEANED!AN332),
ISNUMBER(SEARCH("USA",S4818)),"United States",
ISNUMBER(SEARCH("Republic of Ireland",S4818)),"Ireland",
ISNUMBER(SEARCH("Republic of Korea",S4818)),"South Korea",
ISNUMBER(SEARCH("Cape Verde",S4818)),"Cabo Verde",
ISNUMBER(SEARCH("Czechia",S4818)),"Czech Republic",
ISNUMBER(SEARCH("Türkiye",S4818)),"Turkey",
ISNUMBER(SEARCH("Ivory Coast",S4818)),"Côte d'Ivoire",
ISNUMBER(SEARCH("Korea Republic",S4818)),"South Korea",
ISNUMBER(SEARCH("Germany FR",S4818)),"FR Germany",
ISNUMBER(SEARCH("West Germany",S4818)),"FR Germany",
ISNUMBER(SEARCH("Germany DR",S4818)),"DR Germany",
ISNUMBER(SEARCH("Korea DPR",S4818)),"North Korea",
ISNUMBER(SEARCH("China PR",S4818)),"China",
ISNUMBER(SEARCH("IR Iran",S4818)),"Iran",
ISNUMBER(SEARCH("Congo DR",S4818)),"Democratic Republic of the Congo",
ISNUMBER(SEARCH("DR Congo",S4818)),"Democratic Republic of the Congo",
ISNUMBER(SEARCH("German DR",S4818)),"DR Germany",
ISNUMBER(SEARCH("rn""&gt;United Arab Emirates",S4818)),"United Arab Emirates",
ISNUMBER(SEARCH("rn""&gt;Republic of Ireland",S4818)),"Ireland",
ISNUMBER(SEARCH("rn""&gt;Bosnia and Herzegovina",S4818)),"Bosnia and Herzegovina",
ISNUMBER(SEARCH("rn""&gt;Trinidad and Tobago",S4818)),"Trinidad and Tobago",
ISNUMBER(SEARCH("rn""&gt;Serbia and Montenegro",S4818)),"Serbia and Montenegro",
ISNUMBER(SEARCH(_xlfn.UNICHAR(65533),S4818)),"Côte d'Ivoire",
TRUE,"-"
)</f>
        <v>-</v>
      </c>
      <c r="W4818" s="42" t="str">
        <f t="shared" si="300"/>
        <v>-</v>
      </c>
    </row>
    <row r="4819" spans="19:23">
      <c r="S4819" s="42" t="str">
        <v/>
      </c>
      <c r="T4819" s="42" t="str">
        <f t="shared" si="298"/>
        <v>-</v>
      </c>
      <c r="U4819" s="40" t="str">
        <f t="shared" si="299"/>
        <v>-</v>
      </c>
      <c r="V4819" s="42" t="str" cm="1">
        <f t="array" ref="V4819">_xlfn.IFS(
LEFT(S4819,16)="win on penalties",IF(VALUE(MID(S4819,19,1))&gt;VALUE(MID(S4819,23,1)),DATA_CLEANED!AK333,DATA_CLEANED!AN333),
ISNUMBER(SEARCH("USA",S4819)),"United States",
ISNUMBER(SEARCH("Republic of Ireland",S4819)),"Ireland",
ISNUMBER(SEARCH("Republic of Korea",S4819)),"South Korea",
ISNUMBER(SEARCH("Cape Verde",S4819)),"Cabo Verde",
ISNUMBER(SEARCH("Czechia",S4819)),"Czech Republic",
ISNUMBER(SEARCH("Türkiye",S4819)),"Turkey",
ISNUMBER(SEARCH("Ivory Coast",S4819)),"Côte d'Ivoire",
ISNUMBER(SEARCH("Korea Republic",S4819)),"South Korea",
ISNUMBER(SEARCH("Germany FR",S4819)),"FR Germany",
ISNUMBER(SEARCH("West Germany",S4819)),"FR Germany",
ISNUMBER(SEARCH("Germany DR",S4819)),"DR Germany",
ISNUMBER(SEARCH("Korea DPR",S4819)),"North Korea",
ISNUMBER(SEARCH("China PR",S4819)),"China",
ISNUMBER(SEARCH("IR Iran",S4819)),"Iran",
ISNUMBER(SEARCH("Congo DR",S4819)),"Democratic Republic of the Congo",
ISNUMBER(SEARCH("DR Congo",S4819)),"Democratic Republic of the Congo",
ISNUMBER(SEARCH("German DR",S4819)),"DR Germany",
ISNUMBER(SEARCH("rn""&gt;United Arab Emirates",S4819)),"United Arab Emirates",
ISNUMBER(SEARCH("rn""&gt;Republic of Ireland",S4819)),"Ireland",
ISNUMBER(SEARCH("rn""&gt;Bosnia and Herzegovina",S4819)),"Bosnia and Herzegovina",
ISNUMBER(SEARCH("rn""&gt;Trinidad and Tobago",S4819)),"Trinidad and Tobago",
ISNUMBER(SEARCH("rn""&gt;Serbia and Montenegro",S4819)),"Serbia and Montenegro",
ISNUMBER(SEARCH(_xlfn.UNICHAR(65533),S4819)),"Côte d'Ivoire",
TRUE,"-"
)</f>
        <v>-</v>
      </c>
      <c r="W4819" s="42" t="str">
        <f t="shared" si="300"/>
        <v>-</v>
      </c>
    </row>
    <row r="4820" spans="19:23">
      <c r="S4820" s="42" t="str">
        <v/>
      </c>
      <c r="T4820" s="42" t="str">
        <f t="shared" si="298"/>
        <v>-</v>
      </c>
      <c r="U4820" s="40" t="str">
        <f t="shared" si="299"/>
        <v>-</v>
      </c>
      <c r="V4820" s="42" t="str" cm="1">
        <f t="array" ref="V4820">_xlfn.IFS(
LEFT(S4820,16)="win on penalties",IF(VALUE(MID(S4820,19,1))&gt;VALUE(MID(S4820,23,1)),DATA_CLEANED!AK334,DATA_CLEANED!AN334),
ISNUMBER(SEARCH("USA",S4820)),"United States",
ISNUMBER(SEARCH("Republic of Ireland",S4820)),"Ireland",
ISNUMBER(SEARCH("Republic of Korea",S4820)),"South Korea",
ISNUMBER(SEARCH("Cape Verde",S4820)),"Cabo Verde",
ISNUMBER(SEARCH("Czechia",S4820)),"Czech Republic",
ISNUMBER(SEARCH("Türkiye",S4820)),"Turkey",
ISNUMBER(SEARCH("Ivory Coast",S4820)),"Côte d'Ivoire",
ISNUMBER(SEARCH("Korea Republic",S4820)),"South Korea",
ISNUMBER(SEARCH("Germany FR",S4820)),"FR Germany",
ISNUMBER(SEARCH("West Germany",S4820)),"FR Germany",
ISNUMBER(SEARCH("Germany DR",S4820)),"DR Germany",
ISNUMBER(SEARCH("Korea DPR",S4820)),"North Korea",
ISNUMBER(SEARCH("China PR",S4820)),"China",
ISNUMBER(SEARCH("IR Iran",S4820)),"Iran",
ISNUMBER(SEARCH("Congo DR",S4820)),"Democratic Republic of the Congo",
ISNUMBER(SEARCH("DR Congo",S4820)),"Democratic Republic of the Congo",
ISNUMBER(SEARCH("German DR",S4820)),"DR Germany",
ISNUMBER(SEARCH("rn""&gt;United Arab Emirates",S4820)),"United Arab Emirates",
ISNUMBER(SEARCH("rn""&gt;Republic of Ireland",S4820)),"Ireland",
ISNUMBER(SEARCH("rn""&gt;Bosnia and Herzegovina",S4820)),"Bosnia and Herzegovina",
ISNUMBER(SEARCH("rn""&gt;Trinidad and Tobago",S4820)),"Trinidad and Tobago",
ISNUMBER(SEARCH("rn""&gt;Serbia and Montenegro",S4820)),"Serbia and Montenegro",
ISNUMBER(SEARCH(_xlfn.UNICHAR(65533),S4820)),"Côte d'Ivoire",
TRUE,"-"
)</f>
        <v>-</v>
      </c>
      <c r="W4820" s="42" t="str">
        <f t="shared" si="300"/>
        <v>-</v>
      </c>
    </row>
    <row r="4821" spans="19:23">
      <c r="S4821" s="42" t="str">
        <v/>
      </c>
      <c r="T4821" s="42" t="str">
        <f t="shared" si="298"/>
        <v>-</v>
      </c>
      <c r="U4821" s="40" t="str">
        <f t="shared" si="299"/>
        <v>-</v>
      </c>
      <c r="V4821" s="42" t="str" cm="1">
        <f t="array" ref="V4821">_xlfn.IFS(
LEFT(S4821,16)="win on penalties",IF(VALUE(MID(S4821,19,1))&gt;VALUE(MID(S4821,23,1)),DATA_CLEANED!AK335,DATA_CLEANED!AN335),
ISNUMBER(SEARCH("USA",S4821)),"United States",
ISNUMBER(SEARCH("Republic of Ireland",S4821)),"Ireland",
ISNUMBER(SEARCH("Republic of Korea",S4821)),"South Korea",
ISNUMBER(SEARCH("Cape Verde",S4821)),"Cabo Verde",
ISNUMBER(SEARCH("Czechia",S4821)),"Czech Republic",
ISNUMBER(SEARCH("Türkiye",S4821)),"Turkey",
ISNUMBER(SEARCH("Ivory Coast",S4821)),"Côte d'Ivoire",
ISNUMBER(SEARCH("Korea Republic",S4821)),"South Korea",
ISNUMBER(SEARCH("Germany FR",S4821)),"FR Germany",
ISNUMBER(SEARCH("West Germany",S4821)),"FR Germany",
ISNUMBER(SEARCH("Germany DR",S4821)),"DR Germany",
ISNUMBER(SEARCH("Korea DPR",S4821)),"North Korea",
ISNUMBER(SEARCH("China PR",S4821)),"China",
ISNUMBER(SEARCH("IR Iran",S4821)),"Iran",
ISNUMBER(SEARCH("Congo DR",S4821)),"Democratic Republic of the Congo",
ISNUMBER(SEARCH("DR Congo",S4821)),"Democratic Republic of the Congo",
ISNUMBER(SEARCH("German DR",S4821)),"DR Germany",
ISNUMBER(SEARCH("rn""&gt;United Arab Emirates",S4821)),"United Arab Emirates",
ISNUMBER(SEARCH("rn""&gt;Republic of Ireland",S4821)),"Ireland",
ISNUMBER(SEARCH("rn""&gt;Bosnia and Herzegovina",S4821)),"Bosnia and Herzegovina",
ISNUMBER(SEARCH("rn""&gt;Trinidad and Tobago",S4821)),"Trinidad and Tobago",
ISNUMBER(SEARCH("rn""&gt;Serbia and Montenegro",S4821)),"Serbia and Montenegro",
ISNUMBER(SEARCH(_xlfn.UNICHAR(65533),S4821)),"Côte d'Ivoire",
TRUE,"-"
)</f>
        <v>-</v>
      </c>
      <c r="W4821" s="42" t="str">
        <f t="shared" si="300"/>
        <v>-</v>
      </c>
    </row>
    <row r="4822" spans="19:23">
      <c r="S4822" s="42" t="str">
        <v/>
      </c>
      <c r="T4822" s="42" t="str">
        <f t="shared" si="298"/>
        <v>-</v>
      </c>
      <c r="U4822" s="40" t="str">
        <f t="shared" si="299"/>
        <v>-</v>
      </c>
      <c r="V4822" s="42" t="str" cm="1">
        <f t="array" ref="V4822">_xlfn.IFS(
LEFT(S4822,16)="win on penalties",IF(VALUE(MID(S4822,19,1))&gt;VALUE(MID(S4822,23,1)),DATA_CLEANED!AK336,DATA_CLEANED!AN336),
ISNUMBER(SEARCH("USA",S4822)),"United States",
ISNUMBER(SEARCH("Republic of Ireland",S4822)),"Ireland",
ISNUMBER(SEARCH("Republic of Korea",S4822)),"South Korea",
ISNUMBER(SEARCH("Cape Verde",S4822)),"Cabo Verde",
ISNUMBER(SEARCH("Czechia",S4822)),"Czech Republic",
ISNUMBER(SEARCH("Türkiye",S4822)),"Turkey",
ISNUMBER(SEARCH("Ivory Coast",S4822)),"Côte d'Ivoire",
ISNUMBER(SEARCH("Korea Republic",S4822)),"South Korea",
ISNUMBER(SEARCH("Germany FR",S4822)),"FR Germany",
ISNUMBER(SEARCH("West Germany",S4822)),"FR Germany",
ISNUMBER(SEARCH("Germany DR",S4822)),"DR Germany",
ISNUMBER(SEARCH("Korea DPR",S4822)),"North Korea",
ISNUMBER(SEARCH("China PR",S4822)),"China",
ISNUMBER(SEARCH("IR Iran",S4822)),"Iran",
ISNUMBER(SEARCH("Congo DR",S4822)),"Democratic Republic of the Congo",
ISNUMBER(SEARCH("DR Congo",S4822)),"Democratic Republic of the Congo",
ISNUMBER(SEARCH("German DR",S4822)),"DR Germany",
ISNUMBER(SEARCH("rn""&gt;United Arab Emirates",S4822)),"United Arab Emirates",
ISNUMBER(SEARCH("rn""&gt;Republic of Ireland",S4822)),"Ireland",
ISNUMBER(SEARCH("rn""&gt;Bosnia and Herzegovina",S4822)),"Bosnia and Herzegovina",
ISNUMBER(SEARCH("rn""&gt;Trinidad and Tobago",S4822)),"Trinidad and Tobago",
ISNUMBER(SEARCH("rn""&gt;Serbia and Montenegro",S4822)),"Serbia and Montenegro",
ISNUMBER(SEARCH(_xlfn.UNICHAR(65533),S4822)),"Côte d'Ivoire",
TRUE,"-"
)</f>
        <v>-</v>
      </c>
      <c r="W4822" s="42" t="str">
        <f t="shared" si="300"/>
        <v>-</v>
      </c>
    </row>
    <row r="4823" spans="19:23">
      <c r="S4823" s="42" t="str">
        <v/>
      </c>
      <c r="T4823" s="42" t="str">
        <f t="shared" si="298"/>
        <v>-</v>
      </c>
      <c r="U4823" s="40" t="str">
        <f t="shared" si="299"/>
        <v>-</v>
      </c>
      <c r="V4823" s="42" t="str" cm="1">
        <f t="array" ref="V4823">_xlfn.IFS(
LEFT(S4823,16)="win on penalties",IF(VALUE(MID(S4823,19,1))&gt;VALUE(MID(S4823,23,1)),DATA_CLEANED!AK337,DATA_CLEANED!AN337),
ISNUMBER(SEARCH("USA",S4823)),"United States",
ISNUMBER(SEARCH("Republic of Ireland",S4823)),"Ireland",
ISNUMBER(SEARCH("Republic of Korea",S4823)),"South Korea",
ISNUMBER(SEARCH("Cape Verde",S4823)),"Cabo Verde",
ISNUMBER(SEARCH("Czechia",S4823)),"Czech Republic",
ISNUMBER(SEARCH("Türkiye",S4823)),"Turkey",
ISNUMBER(SEARCH("Ivory Coast",S4823)),"Côte d'Ivoire",
ISNUMBER(SEARCH("Korea Republic",S4823)),"South Korea",
ISNUMBER(SEARCH("Germany FR",S4823)),"FR Germany",
ISNUMBER(SEARCH("West Germany",S4823)),"FR Germany",
ISNUMBER(SEARCH("Germany DR",S4823)),"DR Germany",
ISNUMBER(SEARCH("Korea DPR",S4823)),"North Korea",
ISNUMBER(SEARCH("China PR",S4823)),"China",
ISNUMBER(SEARCH("IR Iran",S4823)),"Iran",
ISNUMBER(SEARCH("Congo DR",S4823)),"Democratic Republic of the Congo",
ISNUMBER(SEARCH("DR Congo",S4823)),"Democratic Republic of the Congo",
ISNUMBER(SEARCH("German DR",S4823)),"DR Germany",
ISNUMBER(SEARCH("rn""&gt;United Arab Emirates",S4823)),"United Arab Emirates",
ISNUMBER(SEARCH("rn""&gt;Republic of Ireland",S4823)),"Ireland",
ISNUMBER(SEARCH("rn""&gt;Bosnia and Herzegovina",S4823)),"Bosnia and Herzegovina",
ISNUMBER(SEARCH("rn""&gt;Trinidad and Tobago",S4823)),"Trinidad and Tobago",
ISNUMBER(SEARCH("rn""&gt;Serbia and Montenegro",S4823)),"Serbia and Montenegro",
ISNUMBER(SEARCH(_xlfn.UNICHAR(65533),S4823)),"Côte d'Ivoire",
TRUE,"-"
)</f>
        <v>-</v>
      </c>
      <c r="W4823" s="42" t="str">
        <f t="shared" si="300"/>
        <v>-</v>
      </c>
    </row>
    <row r="4824" spans="19:23">
      <c r="S4824" s="42" t="str">
        <v/>
      </c>
      <c r="T4824" s="42" t="str">
        <f t="shared" si="298"/>
        <v>-</v>
      </c>
      <c r="U4824" s="40" t="str">
        <f t="shared" si="299"/>
        <v>-</v>
      </c>
      <c r="V4824" s="42" t="str" cm="1">
        <f t="array" ref="V4824">_xlfn.IFS(
LEFT(S4824,16)="win on penalties",IF(VALUE(MID(S4824,19,1))&gt;VALUE(MID(S4824,23,1)),DATA_CLEANED!AK338,DATA_CLEANED!AN338),
ISNUMBER(SEARCH("USA",S4824)),"United States",
ISNUMBER(SEARCH("Republic of Ireland",S4824)),"Ireland",
ISNUMBER(SEARCH("Republic of Korea",S4824)),"South Korea",
ISNUMBER(SEARCH("Cape Verde",S4824)),"Cabo Verde",
ISNUMBER(SEARCH("Czechia",S4824)),"Czech Republic",
ISNUMBER(SEARCH("Türkiye",S4824)),"Turkey",
ISNUMBER(SEARCH("Ivory Coast",S4824)),"Côte d'Ivoire",
ISNUMBER(SEARCH("Korea Republic",S4824)),"South Korea",
ISNUMBER(SEARCH("Germany FR",S4824)),"FR Germany",
ISNUMBER(SEARCH("West Germany",S4824)),"FR Germany",
ISNUMBER(SEARCH("Germany DR",S4824)),"DR Germany",
ISNUMBER(SEARCH("Korea DPR",S4824)),"North Korea",
ISNUMBER(SEARCH("China PR",S4824)),"China",
ISNUMBER(SEARCH("IR Iran",S4824)),"Iran",
ISNUMBER(SEARCH("Congo DR",S4824)),"Democratic Republic of the Congo",
ISNUMBER(SEARCH("DR Congo",S4824)),"Democratic Republic of the Congo",
ISNUMBER(SEARCH("German DR",S4824)),"DR Germany",
ISNUMBER(SEARCH("rn""&gt;United Arab Emirates",S4824)),"United Arab Emirates",
ISNUMBER(SEARCH("rn""&gt;Republic of Ireland",S4824)),"Ireland",
ISNUMBER(SEARCH("rn""&gt;Bosnia and Herzegovina",S4824)),"Bosnia and Herzegovina",
ISNUMBER(SEARCH("rn""&gt;Trinidad and Tobago",S4824)),"Trinidad and Tobago",
ISNUMBER(SEARCH("rn""&gt;Serbia and Montenegro",S4824)),"Serbia and Montenegro",
ISNUMBER(SEARCH(_xlfn.UNICHAR(65533),S4824)),"Côte d'Ivoire",
TRUE,"-"
)</f>
        <v>-</v>
      </c>
      <c r="W4824" s="42" t="str">
        <f t="shared" si="300"/>
        <v>-</v>
      </c>
    </row>
    <row r="4825" spans="19:23">
      <c r="S4825" s="42" t="str">
        <v/>
      </c>
      <c r="T4825" s="42" t="str">
        <f t="shared" si="298"/>
        <v>-</v>
      </c>
      <c r="U4825" s="40" t="str">
        <f t="shared" si="299"/>
        <v>-</v>
      </c>
      <c r="V4825" s="42" t="str" cm="1">
        <f t="array" ref="V4825">_xlfn.IFS(
LEFT(S4825,16)="win on penalties",IF(VALUE(MID(S4825,19,1))&gt;VALUE(MID(S4825,23,1)),DATA_CLEANED!AK339,DATA_CLEANED!AN339),
ISNUMBER(SEARCH("USA",S4825)),"United States",
ISNUMBER(SEARCH("Republic of Ireland",S4825)),"Ireland",
ISNUMBER(SEARCH("Republic of Korea",S4825)),"South Korea",
ISNUMBER(SEARCH("Cape Verde",S4825)),"Cabo Verde",
ISNUMBER(SEARCH("Czechia",S4825)),"Czech Republic",
ISNUMBER(SEARCH("Türkiye",S4825)),"Turkey",
ISNUMBER(SEARCH("Ivory Coast",S4825)),"Côte d'Ivoire",
ISNUMBER(SEARCH("Korea Republic",S4825)),"South Korea",
ISNUMBER(SEARCH("Germany FR",S4825)),"FR Germany",
ISNUMBER(SEARCH("West Germany",S4825)),"FR Germany",
ISNUMBER(SEARCH("Germany DR",S4825)),"DR Germany",
ISNUMBER(SEARCH("Korea DPR",S4825)),"North Korea",
ISNUMBER(SEARCH("China PR",S4825)),"China",
ISNUMBER(SEARCH("IR Iran",S4825)),"Iran",
ISNUMBER(SEARCH("Congo DR",S4825)),"Democratic Republic of the Congo",
ISNUMBER(SEARCH("DR Congo",S4825)),"Democratic Republic of the Congo",
ISNUMBER(SEARCH("German DR",S4825)),"DR Germany",
ISNUMBER(SEARCH("rn""&gt;United Arab Emirates",S4825)),"United Arab Emirates",
ISNUMBER(SEARCH("rn""&gt;Republic of Ireland",S4825)),"Ireland",
ISNUMBER(SEARCH("rn""&gt;Bosnia and Herzegovina",S4825)),"Bosnia and Herzegovina",
ISNUMBER(SEARCH("rn""&gt;Trinidad and Tobago",S4825)),"Trinidad and Tobago",
ISNUMBER(SEARCH("rn""&gt;Serbia and Montenegro",S4825)),"Serbia and Montenegro",
ISNUMBER(SEARCH(_xlfn.UNICHAR(65533),S4825)),"Côte d'Ivoire",
TRUE,"-"
)</f>
        <v>-</v>
      </c>
      <c r="W4825" s="42" t="str">
        <f t="shared" si="300"/>
        <v>-</v>
      </c>
    </row>
    <row r="4826" spans="19:23">
      <c r="S4826" s="42" t="str">
        <v/>
      </c>
      <c r="T4826" s="42" t="str">
        <f t="shared" si="298"/>
        <v>-</v>
      </c>
      <c r="U4826" s="40" t="str">
        <f t="shared" si="299"/>
        <v>-</v>
      </c>
      <c r="V4826" s="42" t="str" cm="1">
        <f t="array" ref="V4826">_xlfn.IFS(
LEFT(S4826,16)="win on penalties",IF(VALUE(MID(S4826,19,1))&gt;VALUE(MID(S4826,23,1)),DATA_CLEANED!AK340,DATA_CLEANED!AN340),
ISNUMBER(SEARCH("USA",S4826)),"United States",
ISNUMBER(SEARCH("Republic of Ireland",S4826)),"Ireland",
ISNUMBER(SEARCH("Republic of Korea",S4826)),"South Korea",
ISNUMBER(SEARCH("Cape Verde",S4826)),"Cabo Verde",
ISNUMBER(SEARCH("Czechia",S4826)),"Czech Republic",
ISNUMBER(SEARCH("Türkiye",S4826)),"Turkey",
ISNUMBER(SEARCH("Ivory Coast",S4826)),"Côte d'Ivoire",
ISNUMBER(SEARCH("Korea Republic",S4826)),"South Korea",
ISNUMBER(SEARCH("Germany FR",S4826)),"FR Germany",
ISNUMBER(SEARCH("West Germany",S4826)),"FR Germany",
ISNUMBER(SEARCH("Germany DR",S4826)),"DR Germany",
ISNUMBER(SEARCH("Korea DPR",S4826)),"North Korea",
ISNUMBER(SEARCH("China PR",S4826)),"China",
ISNUMBER(SEARCH("IR Iran",S4826)),"Iran",
ISNUMBER(SEARCH("Congo DR",S4826)),"Democratic Republic of the Congo",
ISNUMBER(SEARCH("DR Congo",S4826)),"Democratic Republic of the Congo",
ISNUMBER(SEARCH("German DR",S4826)),"DR Germany",
ISNUMBER(SEARCH("rn""&gt;United Arab Emirates",S4826)),"United Arab Emirates",
ISNUMBER(SEARCH("rn""&gt;Republic of Ireland",S4826)),"Ireland",
ISNUMBER(SEARCH("rn""&gt;Bosnia and Herzegovina",S4826)),"Bosnia and Herzegovina",
ISNUMBER(SEARCH("rn""&gt;Trinidad and Tobago",S4826)),"Trinidad and Tobago",
ISNUMBER(SEARCH("rn""&gt;Serbia and Montenegro",S4826)),"Serbia and Montenegro",
ISNUMBER(SEARCH(_xlfn.UNICHAR(65533),S4826)),"Côte d'Ivoire",
TRUE,"-"
)</f>
        <v>-</v>
      </c>
      <c r="W4826" s="42" t="str">
        <f t="shared" si="300"/>
        <v>-</v>
      </c>
    </row>
    <row r="4827" spans="19:23">
      <c r="S4827" s="42" t="str">
        <v/>
      </c>
      <c r="T4827" s="42" t="str">
        <f t="shared" si="298"/>
        <v>-</v>
      </c>
      <c r="U4827" s="40" t="str">
        <f t="shared" si="299"/>
        <v>-</v>
      </c>
      <c r="V4827" s="42" t="str" cm="1">
        <f t="array" ref="V4827">_xlfn.IFS(
LEFT(S4827,16)="win on penalties",IF(VALUE(MID(S4827,19,1))&gt;VALUE(MID(S4827,23,1)),DATA_CLEANED!AK341,DATA_CLEANED!AN341),
ISNUMBER(SEARCH("USA",S4827)),"United States",
ISNUMBER(SEARCH("Republic of Ireland",S4827)),"Ireland",
ISNUMBER(SEARCH("Republic of Korea",S4827)),"South Korea",
ISNUMBER(SEARCH("Cape Verde",S4827)),"Cabo Verde",
ISNUMBER(SEARCH("Czechia",S4827)),"Czech Republic",
ISNUMBER(SEARCH("Türkiye",S4827)),"Turkey",
ISNUMBER(SEARCH("Ivory Coast",S4827)),"Côte d'Ivoire",
ISNUMBER(SEARCH("Korea Republic",S4827)),"South Korea",
ISNUMBER(SEARCH("Germany FR",S4827)),"FR Germany",
ISNUMBER(SEARCH("West Germany",S4827)),"FR Germany",
ISNUMBER(SEARCH("Germany DR",S4827)),"DR Germany",
ISNUMBER(SEARCH("Korea DPR",S4827)),"North Korea",
ISNUMBER(SEARCH("China PR",S4827)),"China",
ISNUMBER(SEARCH("IR Iran",S4827)),"Iran",
ISNUMBER(SEARCH("Congo DR",S4827)),"Democratic Republic of the Congo",
ISNUMBER(SEARCH("DR Congo",S4827)),"Democratic Republic of the Congo",
ISNUMBER(SEARCH("German DR",S4827)),"DR Germany",
ISNUMBER(SEARCH("rn""&gt;United Arab Emirates",S4827)),"United Arab Emirates",
ISNUMBER(SEARCH("rn""&gt;Republic of Ireland",S4827)),"Ireland",
ISNUMBER(SEARCH("rn""&gt;Bosnia and Herzegovina",S4827)),"Bosnia and Herzegovina",
ISNUMBER(SEARCH("rn""&gt;Trinidad and Tobago",S4827)),"Trinidad and Tobago",
ISNUMBER(SEARCH("rn""&gt;Serbia and Montenegro",S4827)),"Serbia and Montenegro",
ISNUMBER(SEARCH(_xlfn.UNICHAR(65533),S4827)),"Côte d'Ivoire",
TRUE,"-"
)</f>
        <v>-</v>
      </c>
      <c r="W4827" s="42" t="str">
        <f t="shared" si="300"/>
        <v>-</v>
      </c>
    </row>
    <row r="4828" spans="19:23">
      <c r="S4828" s="42" t="str">
        <v/>
      </c>
      <c r="T4828" s="42" t="str">
        <f t="shared" si="298"/>
        <v>-</v>
      </c>
      <c r="U4828" s="40" t="str">
        <f t="shared" si="299"/>
        <v>-</v>
      </c>
      <c r="V4828" s="42" t="str" cm="1">
        <f t="array" ref="V4828">_xlfn.IFS(
LEFT(S4828,16)="win on penalties",IF(VALUE(MID(S4828,19,1))&gt;VALUE(MID(S4828,23,1)),DATA_CLEANED!AK342,DATA_CLEANED!AN342),
ISNUMBER(SEARCH("USA",S4828)),"United States",
ISNUMBER(SEARCH("Republic of Ireland",S4828)),"Ireland",
ISNUMBER(SEARCH("Republic of Korea",S4828)),"South Korea",
ISNUMBER(SEARCH("Cape Verde",S4828)),"Cabo Verde",
ISNUMBER(SEARCH("Czechia",S4828)),"Czech Republic",
ISNUMBER(SEARCH("Türkiye",S4828)),"Turkey",
ISNUMBER(SEARCH("Ivory Coast",S4828)),"Côte d'Ivoire",
ISNUMBER(SEARCH("Korea Republic",S4828)),"South Korea",
ISNUMBER(SEARCH("Germany FR",S4828)),"FR Germany",
ISNUMBER(SEARCH("West Germany",S4828)),"FR Germany",
ISNUMBER(SEARCH("Germany DR",S4828)),"DR Germany",
ISNUMBER(SEARCH("Korea DPR",S4828)),"North Korea",
ISNUMBER(SEARCH("China PR",S4828)),"China",
ISNUMBER(SEARCH("IR Iran",S4828)),"Iran",
ISNUMBER(SEARCH("Congo DR",S4828)),"Democratic Republic of the Congo",
ISNUMBER(SEARCH("DR Congo",S4828)),"Democratic Republic of the Congo",
ISNUMBER(SEARCH("German DR",S4828)),"DR Germany",
ISNUMBER(SEARCH("rn""&gt;United Arab Emirates",S4828)),"United Arab Emirates",
ISNUMBER(SEARCH("rn""&gt;Republic of Ireland",S4828)),"Ireland",
ISNUMBER(SEARCH("rn""&gt;Bosnia and Herzegovina",S4828)),"Bosnia and Herzegovina",
ISNUMBER(SEARCH("rn""&gt;Trinidad and Tobago",S4828)),"Trinidad and Tobago",
ISNUMBER(SEARCH("rn""&gt;Serbia and Montenegro",S4828)),"Serbia and Montenegro",
ISNUMBER(SEARCH(_xlfn.UNICHAR(65533),S4828)),"Côte d'Ivoire",
TRUE,"-"
)</f>
        <v>-</v>
      </c>
      <c r="W4828" s="42" t="str">
        <f t="shared" si="300"/>
        <v>-</v>
      </c>
    </row>
    <row r="4829" spans="19:23">
      <c r="S4829" s="42" t="str">
        <v/>
      </c>
      <c r="T4829" s="42" t="str">
        <f t="shared" si="298"/>
        <v>-</v>
      </c>
      <c r="U4829" s="40" t="str">
        <f t="shared" si="299"/>
        <v>-</v>
      </c>
      <c r="V4829" s="42" t="str" cm="1">
        <f t="array" ref="V4829">_xlfn.IFS(
LEFT(S4829,16)="win on penalties",IF(VALUE(MID(S4829,19,1))&gt;VALUE(MID(S4829,23,1)),DATA_CLEANED!AK343,DATA_CLEANED!AN343),
ISNUMBER(SEARCH("USA",S4829)),"United States",
ISNUMBER(SEARCH("Republic of Ireland",S4829)),"Ireland",
ISNUMBER(SEARCH("Republic of Korea",S4829)),"South Korea",
ISNUMBER(SEARCH("Cape Verde",S4829)),"Cabo Verde",
ISNUMBER(SEARCH("Czechia",S4829)),"Czech Republic",
ISNUMBER(SEARCH("Türkiye",S4829)),"Turkey",
ISNUMBER(SEARCH("Ivory Coast",S4829)),"Côte d'Ivoire",
ISNUMBER(SEARCH("Korea Republic",S4829)),"South Korea",
ISNUMBER(SEARCH("Germany FR",S4829)),"FR Germany",
ISNUMBER(SEARCH("West Germany",S4829)),"FR Germany",
ISNUMBER(SEARCH("Germany DR",S4829)),"DR Germany",
ISNUMBER(SEARCH("Korea DPR",S4829)),"North Korea",
ISNUMBER(SEARCH("China PR",S4829)),"China",
ISNUMBER(SEARCH("IR Iran",S4829)),"Iran",
ISNUMBER(SEARCH("Congo DR",S4829)),"Democratic Republic of the Congo",
ISNUMBER(SEARCH("DR Congo",S4829)),"Democratic Republic of the Congo",
ISNUMBER(SEARCH("German DR",S4829)),"DR Germany",
ISNUMBER(SEARCH("rn""&gt;United Arab Emirates",S4829)),"United Arab Emirates",
ISNUMBER(SEARCH("rn""&gt;Republic of Ireland",S4829)),"Ireland",
ISNUMBER(SEARCH("rn""&gt;Bosnia and Herzegovina",S4829)),"Bosnia and Herzegovina",
ISNUMBER(SEARCH("rn""&gt;Trinidad and Tobago",S4829)),"Trinidad and Tobago",
ISNUMBER(SEARCH("rn""&gt;Serbia and Montenegro",S4829)),"Serbia and Montenegro",
ISNUMBER(SEARCH(_xlfn.UNICHAR(65533),S4829)),"Côte d'Ivoire",
TRUE,"-"
)</f>
        <v>-</v>
      </c>
      <c r="W4829" s="42" t="str">
        <f t="shared" si="300"/>
        <v>-</v>
      </c>
    </row>
    <row r="4830" spans="19:23">
      <c r="S4830" s="42" t="str">
        <v/>
      </c>
      <c r="T4830" s="42" t="str">
        <f t="shared" si="298"/>
        <v>-</v>
      </c>
      <c r="U4830" s="40" t="str">
        <f t="shared" si="299"/>
        <v>-</v>
      </c>
      <c r="V4830" s="42" t="str" cm="1">
        <f t="array" ref="V4830">_xlfn.IFS(
LEFT(S4830,16)="win on penalties",IF(VALUE(MID(S4830,19,1))&gt;VALUE(MID(S4830,23,1)),DATA_CLEANED!AK344,DATA_CLEANED!AN344),
ISNUMBER(SEARCH("USA",S4830)),"United States",
ISNUMBER(SEARCH("Republic of Ireland",S4830)),"Ireland",
ISNUMBER(SEARCH("Republic of Korea",S4830)),"South Korea",
ISNUMBER(SEARCH("Cape Verde",S4830)),"Cabo Verde",
ISNUMBER(SEARCH("Czechia",S4830)),"Czech Republic",
ISNUMBER(SEARCH("Türkiye",S4830)),"Turkey",
ISNUMBER(SEARCH("Ivory Coast",S4830)),"Côte d'Ivoire",
ISNUMBER(SEARCH("Korea Republic",S4830)),"South Korea",
ISNUMBER(SEARCH("Germany FR",S4830)),"FR Germany",
ISNUMBER(SEARCH("West Germany",S4830)),"FR Germany",
ISNUMBER(SEARCH("Germany DR",S4830)),"DR Germany",
ISNUMBER(SEARCH("Korea DPR",S4830)),"North Korea",
ISNUMBER(SEARCH("China PR",S4830)),"China",
ISNUMBER(SEARCH("IR Iran",S4830)),"Iran",
ISNUMBER(SEARCH("Congo DR",S4830)),"Democratic Republic of the Congo",
ISNUMBER(SEARCH("DR Congo",S4830)),"Democratic Republic of the Congo",
ISNUMBER(SEARCH("German DR",S4830)),"DR Germany",
ISNUMBER(SEARCH("rn""&gt;United Arab Emirates",S4830)),"United Arab Emirates",
ISNUMBER(SEARCH("rn""&gt;Republic of Ireland",S4830)),"Ireland",
ISNUMBER(SEARCH("rn""&gt;Bosnia and Herzegovina",S4830)),"Bosnia and Herzegovina",
ISNUMBER(SEARCH("rn""&gt;Trinidad and Tobago",S4830)),"Trinidad and Tobago",
ISNUMBER(SEARCH("rn""&gt;Serbia and Montenegro",S4830)),"Serbia and Montenegro",
ISNUMBER(SEARCH(_xlfn.UNICHAR(65533),S4830)),"Côte d'Ivoire",
TRUE,"-"
)</f>
        <v>-</v>
      </c>
      <c r="W4830" s="42" t="str">
        <f t="shared" si="300"/>
        <v>-</v>
      </c>
    </row>
    <row r="4831" spans="19:23">
      <c r="S4831" s="42" t="str">
        <v/>
      </c>
      <c r="T4831" s="42" t="str">
        <f t="shared" si="298"/>
        <v>-</v>
      </c>
      <c r="U4831" s="40" t="str">
        <f t="shared" si="299"/>
        <v>-</v>
      </c>
      <c r="V4831" s="42" t="str" cm="1">
        <f t="array" ref="V4831">_xlfn.IFS(
LEFT(S4831,16)="win on penalties",IF(VALUE(MID(S4831,19,1))&gt;VALUE(MID(S4831,23,1)),DATA_CLEANED!AK345,DATA_CLEANED!AN345),
ISNUMBER(SEARCH("USA",S4831)),"United States",
ISNUMBER(SEARCH("Republic of Ireland",S4831)),"Ireland",
ISNUMBER(SEARCH("Republic of Korea",S4831)),"South Korea",
ISNUMBER(SEARCH("Cape Verde",S4831)),"Cabo Verde",
ISNUMBER(SEARCH("Czechia",S4831)),"Czech Republic",
ISNUMBER(SEARCH("Türkiye",S4831)),"Turkey",
ISNUMBER(SEARCH("Ivory Coast",S4831)),"Côte d'Ivoire",
ISNUMBER(SEARCH("Korea Republic",S4831)),"South Korea",
ISNUMBER(SEARCH("Germany FR",S4831)),"FR Germany",
ISNUMBER(SEARCH("West Germany",S4831)),"FR Germany",
ISNUMBER(SEARCH("Germany DR",S4831)),"DR Germany",
ISNUMBER(SEARCH("Korea DPR",S4831)),"North Korea",
ISNUMBER(SEARCH("China PR",S4831)),"China",
ISNUMBER(SEARCH("IR Iran",S4831)),"Iran",
ISNUMBER(SEARCH("Congo DR",S4831)),"Democratic Republic of the Congo",
ISNUMBER(SEARCH("DR Congo",S4831)),"Democratic Republic of the Congo",
ISNUMBER(SEARCH("German DR",S4831)),"DR Germany",
ISNUMBER(SEARCH("rn""&gt;United Arab Emirates",S4831)),"United Arab Emirates",
ISNUMBER(SEARCH("rn""&gt;Republic of Ireland",S4831)),"Ireland",
ISNUMBER(SEARCH("rn""&gt;Bosnia and Herzegovina",S4831)),"Bosnia and Herzegovina",
ISNUMBER(SEARCH("rn""&gt;Trinidad and Tobago",S4831)),"Trinidad and Tobago",
ISNUMBER(SEARCH("rn""&gt;Serbia and Montenegro",S4831)),"Serbia and Montenegro",
ISNUMBER(SEARCH(_xlfn.UNICHAR(65533),S4831)),"Côte d'Ivoire",
TRUE,"-"
)</f>
        <v>-</v>
      </c>
      <c r="W4831" s="42" t="str">
        <f t="shared" si="300"/>
        <v>-</v>
      </c>
    </row>
    <row r="4832" spans="19:23">
      <c r="S4832" s="42" t="str">
        <v/>
      </c>
      <c r="T4832" s="42" t="str">
        <f t="shared" si="298"/>
        <v>-</v>
      </c>
      <c r="U4832" s="40" t="str">
        <f t="shared" si="299"/>
        <v>-</v>
      </c>
      <c r="V4832" s="42" t="str" cm="1">
        <f t="array" ref="V4832">_xlfn.IFS(
LEFT(S4832,16)="win on penalties",IF(VALUE(MID(S4832,19,1))&gt;VALUE(MID(S4832,23,1)),DATA_CLEANED!AK346,DATA_CLEANED!AN346),
ISNUMBER(SEARCH("USA",S4832)),"United States",
ISNUMBER(SEARCH("Republic of Ireland",S4832)),"Ireland",
ISNUMBER(SEARCH("Republic of Korea",S4832)),"South Korea",
ISNUMBER(SEARCH("Cape Verde",S4832)),"Cabo Verde",
ISNUMBER(SEARCH("Czechia",S4832)),"Czech Republic",
ISNUMBER(SEARCH("Türkiye",S4832)),"Turkey",
ISNUMBER(SEARCH("Ivory Coast",S4832)),"Côte d'Ivoire",
ISNUMBER(SEARCH("Korea Republic",S4832)),"South Korea",
ISNUMBER(SEARCH("Germany FR",S4832)),"FR Germany",
ISNUMBER(SEARCH("West Germany",S4832)),"FR Germany",
ISNUMBER(SEARCH("Germany DR",S4832)),"DR Germany",
ISNUMBER(SEARCH("Korea DPR",S4832)),"North Korea",
ISNUMBER(SEARCH("China PR",S4832)),"China",
ISNUMBER(SEARCH("IR Iran",S4832)),"Iran",
ISNUMBER(SEARCH("Congo DR",S4832)),"Democratic Republic of the Congo",
ISNUMBER(SEARCH("DR Congo",S4832)),"Democratic Republic of the Congo",
ISNUMBER(SEARCH("German DR",S4832)),"DR Germany",
ISNUMBER(SEARCH("rn""&gt;United Arab Emirates",S4832)),"United Arab Emirates",
ISNUMBER(SEARCH("rn""&gt;Republic of Ireland",S4832)),"Ireland",
ISNUMBER(SEARCH("rn""&gt;Bosnia and Herzegovina",S4832)),"Bosnia and Herzegovina",
ISNUMBER(SEARCH("rn""&gt;Trinidad and Tobago",S4832)),"Trinidad and Tobago",
ISNUMBER(SEARCH("rn""&gt;Serbia and Montenegro",S4832)),"Serbia and Montenegro",
ISNUMBER(SEARCH(_xlfn.UNICHAR(65533),S4832)),"Côte d'Ivoire",
TRUE,"-"
)</f>
        <v>-</v>
      </c>
      <c r="W4832" s="42" t="str">
        <f t="shared" si="300"/>
        <v>-</v>
      </c>
    </row>
    <row r="4833" spans="19:23">
      <c r="S4833" s="42" t="str">
        <v/>
      </c>
      <c r="T4833" s="42" t="str">
        <f t="shared" si="298"/>
        <v>-</v>
      </c>
      <c r="U4833" s="40" t="str">
        <f t="shared" si="299"/>
        <v>-</v>
      </c>
      <c r="V4833" s="42" t="str" cm="1">
        <f t="array" ref="V4833">_xlfn.IFS(
LEFT(S4833,16)="win on penalties",IF(VALUE(MID(S4833,19,1))&gt;VALUE(MID(S4833,23,1)),DATA_CLEANED!AK347,DATA_CLEANED!AN347),
ISNUMBER(SEARCH("USA",S4833)),"United States",
ISNUMBER(SEARCH("Republic of Ireland",S4833)),"Ireland",
ISNUMBER(SEARCH("Republic of Korea",S4833)),"South Korea",
ISNUMBER(SEARCH("Cape Verde",S4833)),"Cabo Verde",
ISNUMBER(SEARCH("Czechia",S4833)),"Czech Republic",
ISNUMBER(SEARCH("Türkiye",S4833)),"Turkey",
ISNUMBER(SEARCH("Ivory Coast",S4833)),"Côte d'Ivoire",
ISNUMBER(SEARCH("Korea Republic",S4833)),"South Korea",
ISNUMBER(SEARCH("Germany FR",S4833)),"FR Germany",
ISNUMBER(SEARCH("West Germany",S4833)),"FR Germany",
ISNUMBER(SEARCH("Germany DR",S4833)),"DR Germany",
ISNUMBER(SEARCH("Korea DPR",S4833)),"North Korea",
ISNUMBER(SEARCH("China PR",S4833)),"China",
ISNUMBER(SEARCH("IR Iran",S4833)),"Iran",
ISNUMBER(SEARCH("Congo DR",S4833)),"Democratic Republic of the Congo",
ISNUMBER(SEARCH("DR Congo",S4833)),"Democratic Republic of the Congo",
ISNUMBER(SEARCH("German DR",S4833)),"DR Germany",
ISNUMBER(SEARCH("rn""&gt;United Arab Emirates",S4833)),"United Arab Emirates",
ISNUMBER(SEARCH("rn""&gt;Republic of Ireland",S4833)),"Ireland",
ISNUMBER(SEARCH("rn""&gt;Bosnia and Herzegovina",S4833)),"Bosnia and Herzegovina",
ISNUMBER(SEARCH("rn""&gt;Trinidad and Tobago",S4833)),"Trinidad and Tobago",
ISNUMBER(SEARCH("rn""&gt;Serbia and Montenegro",S4833)),"Serbia and Montenegro",
ISNUMBER(SEARCH(_xlfn.UNICHAR(65533),S4833)),"Côte d'Ivoire",
TRUE,"-"
)</f>
        <v>-</v>
      </c>
      <c r="W4833" s="42" t="str">
        <f t="shared" si="300"/>
        <v>-</v>
      </c>
    </row>
    <row r="4834" spans="19:23">
      <c r="S4834" s="42" t="str">
        <v/>
      </c>
      <c r="T4834" s="42" t="str">
        <f t="shared" si="298"/>
        <v>-</v>
      </c>
      <c r="U4834" s="40" t="str">
        <f t="shared" si="299"/>
        <v>-</v>
      </c>
      <c r="V4834" s="42" t="str" cm="1">
        <f t="array" ref="V4834">_xlfn.IFS(
LEFT(S4834,16)="win on penalties",IF(VALUE(MID(S4834,19,1))&gt;VALUE(MID(S4834,23,1)),DATA_CLEANED!AK348,DATA_CLEANED!AN348),
ISNUMBER(SEARCH("USA",S4834)),"United States",
ISNUMBER(SEARCH("Republic of Ireland",S4834)),"Ireland",
ISNUMBER(SEARCH("Republic of Korea",S4834)),"South Korea",
ISNUMBER(SEARCH("Cape Verde",S4834)),"Cabo Verde",
ISNUMBER(SEARCH("Czechia",S4834)),"Czech Republic",
ISNUMBER(SEARCH("Türkiye",S4834)),"Turkey",
ISNUMBER(SEARCH("Ivory Coast",S4834)),"Côte d'Ivoire",
ISNUMBER(SEARCH("Korea Republic",S4834)),"South Korea",
ISNUMBER(SEARCH("Germany FR",S4834)),"FR Germany",
ISNUMBER(SEARCH("West Germany",S4834)),"FR Germany",
ISNUMBER(SEARCH("Germany DR",S4834)),"DR Germany",
ISNUMBER(SEARCH("Korea DPR",S4834)),"North Korea",
ISNUMBER(SEARCH("China PR",S4834)),"China",
ISNUMBER(SEARCH("IR Iran",S4834)),"Iran",
ISNUMBER(SEARCH("Congo DR",S4834)),"Democratic Republic of the Congo",
ISNUMBER(SEARCH("DR Congo",S4834)),"Democratic Republic of the Congo",
ISNUMBER(SEARCH("German DR",S4834)),"DR Germany",
ISNUMBER(SEARCH("rn""&gt;United Arab Emirates",S4834)),"United Arab Emirates",
ISNUMBER(SEARCH("rn""&gt;Republic of Ireland",S4834)),"Ireland",
ISNUMBER(SEARCH("rn""&gt;Bosnia and Herzegovina",S4834)),"Bosnia and Herzegovina",
ISNUMBER(SEARCH("rn""&gt;Trinidad and Tobago",S4834)),"Trinidad and Tobago",
ISNUMBER(SEARCH("rn""&gt;Serbia and Montenegro",S4834)),"Serbia and Montenegro",
ISNUMBER(SEARCH(_xlfn.UNICHAR(65533),S4834)),"Côte d'Ivoire",
TRUE,"-"
)</f>
        <v>-</v>
      </c>
      <c r="W4834" s="42" t="str">
        <f t="shared" si="300"/>
        <v>-</v>
      </c>
    </row>
    <row r="4835" spans="19:23">
      <c r="S4835" s="42" t="str">
        <v/>
      </c>
      <c r="T4835" s="42" t="str">
        <f t="shared" si="298"/>
        <v>-</v>
      </c>
      <c r="U4835" s="40" t="str">
        <f t="shared" si="299"/>
        <v>-</v>
      </c>
      <c r="V4835" s="42" t="str" cm="1">
        <f t="array" ref="V4835">_xlfn.IFS(
LEFT(S4835,16)="win on penalties",IF(VALUE(MID(S4835,19,1))&gt;VALUE(MID(S4835,23,1)),DATA_CLEANED!AK349,DATA_CLEANED!AN349),
ISNUMBER(SEARCH("USA",S4835)),"United States",
ISNUMBER(SEARCH("Republic of Ireland",S4835)),"Ireland",
ISNUMBER(SEARCH("Republic of Korea",S4835)),"South Korea",
ISNUMBER(SEARCH("Cape Verde",S4835)),"Cabo Verde",
ISNUMBER(SEARCH("Czechia",S4835)),"Czech Republic",
ISNUMBER(SEARCH("Türkiye",S4835)),"Turkey",
ISNUMBER(SEARCH("Ivory Coast",S4835)),"Côte d'Ivoire",
ISNUMBER(SEARCH("Korea Republic",S4835)),"South Korea",
ISNUMBER(SEARCH("Germany FR",S4835)),"FR Germany",
ISNUMBER(SEARCH("West Germany",S4835)),"FR Germany",
ISNUMBER(SEARCH("Germany DR",S4835)),"DR Germany",
ISNUMBER(SEARCH("Korea DPR",S4835)),"North Korea",
ISNUMBER(SEARCH("China PR",S4835)),"China",
ISNUMBER(SEARCH("IR Iran",S4835)),"Iran",
ISNUMBER(SEARCH("Congo DR",S4835)),"Democratic Republic of the Congo",
ISNUMBER(SEARCH("DR Congo",S4835)),"Democratic Republic of the Congo",
ISNUMBER(SEARCH("German DR",S4835)),"DR Germany",
ISNUMBER(SEARCH("rn""&gt;United Arab Emirates",S4835)),"United Arab Emirates",
ISNUMBER(SEARCH("rn""&gt;Republic of Ireland",S4835)),"Ireland",
ISNUMBER(SEARCH("rn""&gt;Bosnia and Herzegovina",S4835)),"Bosnia and Herzegovina",
ISNUMBER(SEARCH("rn""&gt;Trinidad and Tobago",S4835)),"Trinidad and Tobago",
ISNUMBER(SEARCH("rn""&gt;Serbia and Montenegro",S4835)),"Serbia and Montenegro",
ISNUMBER(SEARCH(_xlfn.UNICHAR(65533),S4835)),"Côte d'Ivoire",
TRUE,"-"
)</f>
        <v>-</v>
      </c>
      <c r="W4835" s="42" t="str">
        <f t="shared" si="300"/>
        <v>-</v>
      </c>
    </row>
    <row r="4836" spans="19:23">
      <c r="S4836" s="42" t="str">
        <v/>
      </c>
      <c r="T4836" s="42" t="str">
        <f t="shared" si="298"/>
        <v>-</v>
      </c>
      <c r="U4836" s="40" t="str">
        <f t="shared" si="299"/>
        <v>-</v>
      </c>
      <c r="V4836" s="42" t="str" cm="1">
        <f t="array" ref="V4836">_xlfn.IFS(
LEFT(S4836,16)="win on penalties",IF(VALUE(MID(S4836,19,1))&gt;VALUE(MID(S4836,23,1)),DATA_CLEANED!AK350,DATA_CLEANED!AN350),
ISNUMBER(SEARCH("USA",S4836)),"United States",
ISNUMBER(SEARCH("Republic of Ireland",S4836)),"Ireland",
ISNUMBER(SEARCH("Republic of Korea",S4836)),"South Korea",
ISNUMBER(SEARCH("Cape Verde",S4836)),"Cabo Verde",
ISNUMBER(SEARCH("Czechia",S4836)),"Czech Republic",
ISNUMBER(SEARCH("Türkiye",S4836)),"Turkey",
ISNUMBER(SEARCH("Ivory Coast",S4836)),"Côte d'Ivoire",
ISNUMBER(SEARCH("Korea Republic",S4836)),"South Korea",
ISNUMBER(SEARCH("Germany FR",S4836)),"FR Germany",
ISNUMBER(SEARCH("West Germany",S4836)),"FR Germany",
ISNUMBER(SEARCH("Germany DR",S4836)),"DR Germany",
ISNUMBER(SEARCH("Korea DPR",S4836)),"North Korea",
ISNUMBER(SEARCH("China PR",S4836)),"China",
ISNUMBER(SEARCH("IR Iran",S4836)),"Iran",
ISNUMBER(SEARCH("Congo DR",S4836)),"Democratic Republic of the Congo",
ISNUMBER(SEARCH("DR Congo",S4836)),"Democratic Republic of the Congo",
ISNUMBER(SEARCH("German DR",S4836)),"DR Germany",
ISNUMBER(SEARCH("rn""&gt;United Arab Emirates",S4836)),"United Arab Emirates",
ISNUMBER(SEARCH("rn""&gt;Republic of Ireland",S4836)),"Ireland",
ISNUMBER(SEARCH("rn""&gt;Bosnia and Herzegovina",S4836)),"Bosnia and Herzegovina",
ISNUMBER(SEARCH("rn""&gt;Trinidad and Tobago",S4836)),"Trinidad and Tobago",
ISNUMBER(SEARCH("rn""&gt;Serbia and Montenegro",S4836)),"Serbia and Montenegro",
ISNUMBER(SEARCH(_xlfn.UNICHAR(65533),S4836)),"Côte d'Ivoire",
TRUE,"-"
)</f>
        <v>-</v>
      </c>
      <c r="W4836" s="42" t="str">
        <f t="shared" si="300"/>
        <v>-</v>
      </c>
    </row>
    <row r="4837" spans="19:23">
      <c r="S4837" s="42" t="str">
        <v/>
      </c>
      <c r="T4837" s="42" t="str">
        <f t="shared" si="298"/>
        <v>-</v>
      </c>
      <c r="U4837" s="40" t="str">
        <f t="shared" si="299"/>
        <v>-</v>
      </c>
      <c r="V4837" s="42" t="str" cm="1">
        <f t="array" ref="V4837">_xlfn.IFS(
LEFT(S4837,16)="win on penalties",IF(VALUE(MID(S4837,19,1))&gt;VALUE(MID(S4837,23,1)),DATA_CLEANED!AK351,DATA_CLEANED!AN351),
ISNUMBER(SEARCH("USA",S4837)),"United States",
ISNUMBER(SEARCH("Republic of Ireland",S4837)),"Ireland",
ISNUMBER(SEARCH("Republic of Korea",S4837)),"South Korea",
ISNUMBER(SEARCH("Cape Verde",S4837)),"Cabo Verde",
ISNUMBER(SEARCH("Czechia",S4837)),"Czech Republic",
ISNUMBER(SEARCH("Türkiye",S4837)),"Turkey",
ISNUMBER(SEARCH("Ivory Coast",S4837)),"Côte d'Ivoire",
ISNUMBER(SEARCH("Korea Republic",S4837)),"South Korea",
ISNUMBER(SEARCH("Germany FR",S4837)),"FR Germany",
ISNUMBER(SEARCH("West Germany",S4837)),"FR Germany",
ISNUMBER(SEARCH("Germany DR",S4837)),"DR Germany",
ISNUMBER(SEARCH("Korea DPR",S4837)),"North Korea",
ISNUMBER(SEARCH("China PR",S4837)),"China",
ISNUMBER(SEARCH("IR Iran",S4837)),"Iran",
ISNUMBER(SEARCH("Congo DR",S4837)),"Democratic Republic of the Congo",
ISNUMBER(SEARCH("DR Congo",S4837)),"Democratic Republic of the Congo",
ISNUMBER(SEARCH("German DR",S4837)),"DR Germany",
ISNUMBER(SEARCH("rn""&gt;United Arab Emirates",S4837)),"United Arab Emirates",
ISNUMBER(SEARCH("rn""&gt;Republic of Ireland",S4837)),"Ireland",
ISNUMBER(SEARCH("rn""&gt;Bosnia and Herzegovina",S4837)),"Bosnia and Herzegovina",
ISNUMBER(SEARCH("rn""&gt;Trinidad and Tobago",S4837)),"Trinidad and Tobago",
ISNUMBER(SEARCH("rn""&gt;Serbia and Montenegro",S4837)),"Serbia and Montenegro",
ISNUMBER(SEARCH(_xlfn.UNICHAR(65533),S4837)),"Côte d'Ivoire",
TRUE,"-"
)</f>
        <v>-</v>
      </c>
      <c r="W4837" s="42" t="str">
        <f t="shared" si="300"/>
        <v>-</v>
      </c>
    </row>
    <row r="4838" spans="19:23">
      <c r="S4838" s="42" t="str">
        <v/>
      </c>
      <c r="T4838" s="42" t="str">
        <f t="shared" si="298"/>
        <v>-</v>
      </c>
      <c r="U4838" s="40" t="str">
        <f t="shared" si="299"/>
        <v>-</v>
      </c>
      <c r="V4838" s="42" t="str" cm="1">
        <f t="array" ref="V4838">_xlfn.IFS(
LEFT(S4838,16)="win on penalties",IF(VALUE(MID(S4838,19,1))&gt;VALUE(MID(S4838,23,1)),DATA_CLEANED!AK352,DATA_CLEANED!AN352),
ISNUMBER(SEARCH("USA",S4838)),"United States",
ISNUMBER(SEARCH("Republic of Ireland",S4838)),"Ireland",
ISNUMBER(SEARCH("Republic of Korea",S4838)),"South Korea",
ISNUMBER(SEARCH("Cape Verde",S4838)),"Cabo Verde",
ISNUMBER(SEARCH("Czechia",S4838)),"Czech Republic",
ISNUMBER(SEARCH("Türkiye",S4838)),"Turkey",
ISNUMBER(SEARCH("Ivory Coast",S4838)),"Côte d'Ivoire",
ISNUMBER(SEARCH("Korea Republic",S4838)),"South Korea",
ISNUMBER(SEARCH("Germany FR",S4838)),"FR Germany",
ISNUMBER(SEARCH("West Germany",S4838)),"FR Germany",
ISNUMBER(SEARCH("Germany DR",S4838)),"DR Germany",
ISNUMBER(SEARCH("Korea DPR",S4838)),"North Korea",
ISNUMBER(SEARCH("China PR",S4838)),"China",
ISNUMBER(SEARCH("IR Iran",S4838)),"Iran",
ISNUMBER(SEARCH("Congo DR",S4838)),"Democratic Republic of the Congo",
ISNUMBER(SEARCH("DR Congo",S4838)),"Democratic Republic of the Congo",
ISNUMBER(SEARCH("German DR",S4838)),"DR Germany",
ISNUMBER(SEARCH("rn""&gt;United Arab Emirates",S4838)),"United Arab Emirates",
ISNUMBER(SEARCH("rn""&gt;Republic of Ireland",S4838)),"Ireland",
ISNUMBER(SEARCH("rn""&gt;Bosnia and Herzegovina",S4838)),"Bosnia and Herzegovina",
ISNUMBER(SEARCH("rn""&gt;Trinidad and Tobago",S4838)),"Trinidad and Tobago",
ISNUMBER(SEARCH("rn""&gt;Serbia and Montenegro",S4838)),"Serbia and Montenegro",
ISNUMBER(SEARCH(_xlfn.UNICHAR(65533),S4838)),"Côte d'Ivoire",
TRUE,"-"
)</f>
        <v>-</v>
      </c>
      <c r="W4838" s="42" t="str">
        <f t="shared" si="300"/>
        <v>-</v>
      </c>
    </row>
    <row r="4839" spans="19:23">
      <c r="S4839" s="42" t="str">
        <v/>
      </c>
      <c r="T4839" s="42" t="str">
        <f t="shared" si="298"/>
        <v>-</v>
      </c>
      <c r="U4839" s="40" t="str">
        <f t="shared" si="299"/>
        <v>-</v>
      </c>
      <c r="V4839" s="42" t="str" cm="1">
        <f t="array" ref="V4839">_xlfn.IFS(
LEFT(S4839,16)="win on penalties",IF(VALUE(MID(S4839,19,1))&gt;VALUE(MID(S4839,23,1)),DATA_CLEANED!AK353,DATA_CLEANED!AN353),
ISNUMBER(SEARCH("USA",S4839)),"United States",
ISNUMBER(SEARCH("Republic of Ireland",S4839)),"Ireland",
ISNUMBER(SEARCH("Republic of Korea",S4839)),"South Korea",
ISNUMBER(SEARCH("Cape Verde",S4839)),"Cabo Verde",
ISNUMBER(SEARCH("Czechia",S4839)),"Czech Republic",
ISNUMBER(SEARCH("Türkiye",S4839)),"Turkey",
ISNUMBER(SEARCH("Ivory Coast",S4839)),"Côte d'Ivoire",
ISNUMBER(SEARCH("Korea Republic",S4839)),"South Korea",
ISNUMBER(SEARCH("Germany FR",S4839)),"FR Germany",
ISNUMBER(SEARCH("West Germany",S4839)),"FR Germany",
ISNUMBER(SEARCH("Germany DR",S4839)),"DR Germany",
ISNUMBER(SEARCH("Korea DPR",S4839)),"North Korea",
ISNUMBER(SEARCH("China PR",S4839)),"China",
ISNUMBER(SEARCH("IR Iran",S4839)),"Iran",
ISNUMBER(SEARCH("Congo DR",S4839)),"Democratic Republic of the Congo",
ISNUMBER(SEARCH("DR Congo",S4839)),"Democratic Republic of the Congo",
ISNUMBER(SEARCH("German DR",S4839)),"DR Germany",
ISNUMBER(SEARCH("rn""&gt;United Arab Emirates",S4839)),"United Arab Emirates",
ISNUMBER(SEARCH("rn""&gt;Republic of Ireland",S4839)),"Ireland",
ISNUMBER(SEARCH("rn""&gt;Bosnia and Herzegovina",S4839)),"Bosnia and Herzegovina",
ISNUMBER(SEARCH("rn""&gt;Trinidad and Tobago",S4839)),"Trinidad and Tobago",
ISNUMBER(SEARCH("rn""&gt;Serbia and Montenegro",S4839)),"Serbia and Montenegro",
ISNUMBER(SEARCH(_xlfn.UNICHAR(65533),S4839)),"Côte d'Ivoire",
TRUE,"-"
)</f>
        <v>-</v>
      </c>
      <c r="W4839" s="42" t="str">
        <f t="shared" si="300"/>
        <v>-</v>
      </c>
    </row>
    <row r="4840" spans="19:23">
      <c r="S4840" s="42" t="str">
        <v/>
      </c>
      <c r="T4840" s="42" t="str">
        <f t="shared" si="298"/>
        <v>-</v>
      </c>
      <c r="U4840" s="40" t="str">
        <f t="shared" si="299"/>
        <v>-</v>
      </c>
      <c r="V4840" s="42" t="str" cm="1">
        <f t="array" ref="V4840">_xlfn.IFS(
LEFT(S4840,16)="win on penalties",IF(VALUE(MID(S4840,19,1))&gt;VALUE(MID(S4840,23,1)),DATA_CLEANED!AK354,DATA_CLEANED!AN354),
ISNUMBER(SEARCH("USA",S4840)),"United States",
ISNUMBER(SEARCH("Republic of Ireland",S4840)),"Ireland",
ISNUMBER(SEARCH("Republic of Korea",S4840)),"South Korea",
ISNUMBER(SEARCH("Cape Verde",S4840)),"Cabo Verde",
ISNUMBER(SEARCH("Czechia",S4840)),"Czech Republic",
ISNUMBER(SEARCH("Türkiye",S4840)),"Turkey",
ISNUMBER(SEARCH("Ivory Coast",S4840)),"Côte d'Ivoire",
ISNUMBER(SEARCH("Korea Republic",S4840)),"South Korea",
ISNUMBER(SEARCH("Germany FR",S4840)),"FR Germany",
ISNUMBER(SEARCH("West Germany",S4840)),"FR Germany",
ISNUMBER(SEARCH("Germany DR",S4840)),"DR Germany",
ISNUMBER(SEARCH("Korea DPR",S4840)),"North Korea",
ISNUMBER(SEARCH("China PR",S4840)),"China",
ISNUMBER(SEARCH("IR Iran",S4840)),"Iran",
ISNUMBER(SEARCH("Congo DR",S4840)),"Democratic Republic of the Congo",
ISNUMBER(SEARCH("DR Congo",S4840)),"Democratic Republic of the Congo",
ISNUMBER(SEARCH("German DR",S4840)),"DR Germany",
ISNUMBER(SEARCH("rn""&gt;United Arab Emirates",S4840)),"United Arab Emirates",
ISNUMBER(SEARCH("rn""&gt;Republic of Ireland",S4840)),"Ireland",
ISNUMBER(SEARCH("rn""&gt;Bosnia and Herzegovina",S4840)),"Bosnia and Herzegovina",
ISNUMBER(SEARCH("rn""&gt;Trinidad and Tobago",S4840)),"Trinidad and Tobago",
ISNUMBER(SEARCH("rn""&gt;Serbia and Montenegro",S4840)),"Serbia and Montenegro",
ISNUMBER(SEARCH(_xlfn.UNICHAR(65533),S4840)),"Côte d'Ivoire",
TRUE,"-"
)</f>
        <v>-</v>
      </c>
      <c r="W4840" s="42" t="str">
        <f t="shared" si="300"/>
        <v>-</v>
      </c>
    </row>
    <row r="4841" spans="19:23">
      <c r="S4841" s="42" t="str">
        <v/>
      </c>
      <c r="T4841" s="42" t="str">
        <f t="shared" si="298"/>
        <v>-</v>
      </c>
      <c r="U4841" s="40" t="str">
        <f t="shared" si="299"/>
        <v>-</v>
      </c>
      <c r="V4841" s="42" t="str" cm="1">
        <f t="array" ref="V4841">_xlfn.IFS(
LEFT(S4841,16)="win on penalties",IF(VALUE(MID(S4841,19,1))&gt;VALUE(MID(S4841,23,1)),DATA_CLEANED!AK355,DATA_CLEANED!AN355),
ISNUMBER(SEARCH("USA",S4841)),"United States",
ISNUMBER(SEARCH("Republic of Ireland",S4841)),"Ireland",
ISNUMBER(SEARCH("Republic of Korea",S4841)),"South Korea",
ISNUMBER(SEARCH("Cape Verde",S4841)),"Cabo Verde",
ISNUMBER(SEARCH("Czechia",S4841)),"Czech Republic",
ISNUMBER(SEARCH("Türkiye",S4841)),"Turkey",
ISNUMBER(SEARCH("Ivory Coast",S4841)),"Côte d'Ivoire",
ISNUMBER(SEARCH("Korea Republic",S4841)),"South Korea",
ISNUMBER(SEARCH("Germany FR",S4841)),"FR Germany",
ISNUMBER(SEARCH("West Germany",S4841)),"FR Germany",
ISNUMBER(SEARCH("Germany DR",S4841)),"DR Germany",
ISNUMBER(SEARCH("Korea DPR",S4841)),"North Korea",
ISNUMBER(SEARCH("China PR",S4841)),"China",
ISNUMBER(SEARCH("IR Iran",S4841)),"Iran",
ISNUMBER(SEARCH("Congo DR",S4841)),"Democratic Republic of the Congo",
ISNUMBER(SEARCH("DR Congo",S4841)),"Democratic Republic of the Congo",
ISNUMBER(SEARCH("German DR",S4841)),"DR Germany",
ISNUMBER(SEARCH("rn""&gt;United Arab Emirates",S4841)),"United Arab Emirates",
ISNUMBER(SEARCH("rn""&gt;Republic of Ireland",S4841)),"Ireland",
ISNUMBER(SEARCH("rn""&gt;Bosnia and Herzegovina",S4841)),"Bosnia and Herzegovina",
ISNUMBER(SEARCH("rn""&gt;Trinidad and Tobago",S4841)),"Trinidad and Tobago",
ISNUMBER(SEARCH("rn""&gt;Serbia and Montenegro",S4841)),"Serbia and Montenegro",
ISNUMBER(SEARCH(_xlfn.UNICHAR(65533),S4841)),"Côte d'Ivoire",
TRUE,"-"
)</f>
        <v>-</v>
      </c>
      <c r="W4841" s="42" t="str">
        <f t="shared" si="300"/>
        <v>-</v>
      </c>
    </row>
    <row r="4842" spans="19:23">
      <c r="S4842" s="42" t="str">
        <v/>
      </c>
      <c r="T4842" s="42" t="str">
        <f t="shared" si="298"/>
        <v>-</v>
      </c>
      <c r="U4842" s="40" t="str">
        <f t="shared" si="299"/>
        <v>-</v>
      </c>
      <c r="V4842" s="42" t="str" cm="1">
        <f t="array" ref="V4842">_xlfn.IFS(
LEFT(S4842,16)="win on penalties",IF(VALUE(MID(S4842,19,1))&gt;VALUE(MID(S4842,23,1)),DATA_CLEANED!AK356,DATA_CLEANED!AN356),
ISNUMBER(SEARCH("USA",S4842)),"United States",
ISNUMBER(SEARCH("Republic of Ireland",S4842)),"Ireland",
ISNUMBER(SEARCH("Republic of Korea",S4842)),"South Korea",
ISNUMBER(SEARCH("Cape Verde",S4842)),"Cabo Verde",
ISNUMBER(SEARCH("Czechia",S4842)),"Czech Republic",
ISNUMBER(SEARCH("Türkiye",S4842)),"Turkey",
ISNUMBER(SEARCH("Ivory Coast",S4842)),"Côte d'Ivoire",
ISNUMBER(SEARCH("Korea Republic",S4842)),"South Korea",
ISNUMBER(SEARCH("Germany FR",S4842)),"FR Germany",
ISNUMBER(SEARCH("West Germany",S4842)),"FR Germany",
ISNUMBER(SEARCH("Germany DR",S4842)),"DR Germany",
ISNUMBER(SEARCH("Korea DPR",S4842)),"North Korea",
ISNUMBER(SEARCH("China PR",S4842)),"China",
ISNUMBER(SEARCH("IR Iran",S4842)),"Iran",
ISNUMBER(SEARCH("Congo DR",S4842)),"Democratic Republic of the Congo",
ISNUMBER(SEARCH("DR Congo",S4842)),"Democratic Republic of the Congo",
ISNUMBER(SEARCH("German DR",S4842)),"DR Germany",
ISNUMBER(SEARCH("rn""&gt;United Arab Emirates",S4842)),"United Arab Emirates",
ISNUMBER(SEARCH("rn""&gt;Republic of Ireland",S4842)),"Ireland",
ISNUMBER(SEARCH("rn""&gt;Bosnia and Herzegovina",S4842)),"Bosnia and Herzegovina",
ISNUMBER(SEARCH("rn""&gt;Trinidad and Tobago",S4842)),"Trinidad and Tobago",
ISNUMBER(SEARCH("rn""&gt;Serbia and Montenegro",S4842)),"Serbia and Montenegro",
ISNUMBER(SEARCH(_xlfn.UNICHAR(65533),S4842)),"Côte d'Ivoire",
TRUE,"-"
)</f>
        <v>-</v>
      </c>
      <c r="W4842" s="42" t="str">
        <f t="shared" si="300"/>
        <v>-</v>
      </c>
    </row>
    <row r="4843" spans="19:23">
      <c r="S4843" s="42" t="str">
        <v/>
      </c>
      <c r="T4843" s="42" t="str">
        <f t="shared" si="298"/>
        <v>-</v>
      </c>
      <c r="U4843" s="40" t="str">
        <f t="shared" si="299"/>
        <v>-</v>
      </c>
      <c r="V4843" s="42" t="str" cm="1">
        <f t="array" ref="V4843">_xlfn.IFS(
LEFT(S4843,16)="win on penalties",IF(VALUE(MID(S4843,19,1))&gt;VALUE(MID(S4843,23,1)),DATA_CLEANED!AK357,DATA_CLEANED!AN357),
ISNUMBER(SEARCH("USA",S4843)),"United States",
ISNUMBER(SEARCH("Republic of Ireland",S4843)),"Ireland",
ISNUMBER(SEARCH("Republic of Korea",S4843)),"South Korea",
ISNUMBER(SEARCH("Cape Verde",S4843)),"Cabo Verde",
ISNUMBER(SEARCH("Czechia",S4843)),"Czech Republic",
ISNUMBER(SEARCH("Türkiye",S4843)),"Turkey",
ISNUMBER(SEARCH("Ivory Coast",S4843)),"Côte d'Ivoire",
ISNUMBER(SEARCH("Korea Republic",S4843)),"South Korea",
ISNUMBER(SEARCH("Germany FR",S4843)),"FR Germany",
ISNUMBER(SEARCH("West Germany",S4843)),"FR Germany",
ISNUMBER(SEARCH("Germany DR",S4843)),"DR Germany",
ISNUMBER(SEARCH("Korea DPR",S4843)),"North Korea",
ISNUMBER(SEARCH("China PR",S4843)),"China",
ISNUMBER(SEARCH("IR Iran",S4843)),"Iran",
ISNUMBER(SEARCH("Congo DR",S4843)),"Democratic Republic of the Congo",
ISNUMBER(SEARCH("DR Congo",S4843)),"Democratic Republic of the Congo",
ISNUMBER(SEARCH("German DR",S4843)),"DR Germany",
ISNUMBER(SEARCH("rn""&gt;United Arab Emirates",S4843)),"United Arab Emirates",
ISNUMBER(SEARCH("rn""&gt;Republic of Ireland",S4843)),"Ireland",
ISNUMBER(SEARCH("rn""&gt;Bosnia and Herzegovina",S4843)),"Bosnia and Herzegovina",
ISNUMBER(SEARCH("rn""&gt;Trinidad and Tobago",S4843)),"Trinidad and Tobago",
ISNUMBER(SEARCH("rn""&gt;Serbia and Montenegro",S4843)),"Serbia and Montenegro",
ISNUMBER(SEARCH(_xlfn.UNICHAR(65533),S4843)),"Côte d'Ivoire",
TRUE,"-"
)</f>
        <v>-</v>
      </c>
      <c r="W4843" s="42" t="str">
        <f t="shared" si="300"/>
        <v>-</v>
      </c>
    </row>
    <row r="4844" spans="19:23">
      <c r="S4844" s="42" t="str">
        <v/>
      </c>
      <c r="T4844" s="42" t="str">
        <f t="shared" si="298"/>
        <v>-</v>
      </c>
      <c r="U4844" s="40" t="str">
        <f t="shared" si="299"/>
        <v>-</v>
      </c>
      <c r="V4844" s="42" t="str" cm="1">
        <f t="array" ref="V4844">_xlfn.IFS(
LEFT(S4844,16)="win on penalties",IF(VALUE(MID(S4844,19,1))&gt;VALUE(MID(S4844,23,1)),DATA_CLEANED!AK358,DATA_CLEANED!AN358),
ISNUMBER(SEARCH("USA",S4844)),"United States",
ISNUMBER(SEARCH("Republic of Ireland",S4844)),"Ireland",
ISNUMBER(SEARCH("Republic of Korea",S4844)),"South Korea",
ISNUMBER(SEARCH("Cape Verde",S4844)),"Cabo Verde",
ISNUMBER(SEARCH("Czechia",S4844)),"Czech Republic",
ISNUMBER(SEARCH("Türkiye",S4844)),"Turkey",
ISNUMBER(SEARCH("Ivory Coast",S4844)),"Côte d'Ivoire",
ISNUMBER(SEARCH("Korea Republic",S4844)),"South Korea",
ISNUMBER(SEARCH("Germany FR",S4844)),"FR Germany",
ISNUMBER(SEARCH("West Germany",S4844)),"FR Germany",
ISNUMBER(SEARCH("Germany DR",S4844)),"DR Germany",
ISNUMBER(SEARCH("Korea DPR",S4844)),"North Korea",
ISNUMBER(SEARCH("China PR",S4844)),"China",
ISNUMBER(SEARCH("IR Iran",S4844)),"Iran",
ISNUMBER(SEARCH("Congo DR",S4844)),"Democratic Republic of the Congo",
ISNUMBER(SEARCH("DR Congo",S4844)),"Democratic Republic of the Congo",
ISNUMBER(SEARCH("German DR",S4844)),"DR Germany",
ISNUMBER(SEARCH("rn""&gt;United Arab Emirates",S4844)),"United Arab Emirates",
ISNUMBER(SEARCH("rn""&gt;Republic of Ireland",S4844)),"Ireland",
ISNUMBER(SEARCH("rn""&gt;Bosnia and Herzegovina",S4844)),"Bosnia and Herzegovina",
ISNUMBER(SEARCH("rn""&gt;Trinidad and Tobago",S4844)),"Trinidad and Tobago",
ISNUMBER(SEARCH("rn""&gt;Serbia and Montenegro",S4844)),"Serbia and Montenegro",
ISNUMBER(SEARCH(_xlfn.UNICHAR(65533),S4844)),"Côte d'Ivoire",
TRUE,"-"
)</f>
        <v>-</v>
      </c>
      <c r="W4844" s="42" t="str">
        <f t="shared" si="300"/>
        <v>-</v>
      </c>
    </row>
    <row r="4845" spans="19:23">
      <c r="S4845" s="42" t="str">
        <v/>
      </c>
      <c r="T4845" s="42" t="str">
        <f t="shared" si="298"/>
        <v>-</v>
      </c>
      <c r="U4845" s="40" t="str">
        <f t="shared" si="299"/>
        <v>-</v>
      </c>
      <c r="V4845" s="42" t="str" cm="1">
        <f t="array" ref="V4845">_xlfn.IFS(
LEFT(S4845,16)="win on penalties",IF(VALUE(MID(S4845,19,1))&gt;VALUE(MID(S4845,23,1)),DATA_CLEANED!AK359,DATA_CLEANED!AN359),
ISNUMBER(SEARCH("USA",S4845)),"United States",
ISNUMBER(SEARCH("Republic of Ireland",S4845)),"Ireland",
ISNUMBER(SEARCH("Republic of Korea",S4845)),"South Korea",
ISNUMBER(SEARCH("Cape Verde",S4845)),"Cabo Verde",
ISNUMBER(SEARCH("Czechia",S4845)),"Czech Republic",
ISNUMBER(SEARCH("Türkiye",S4845)),"Turkey",
ISNUMBER(SEARCH("Ivory Coast",S4845)),"Côte d'Ivoire",
ISNUMBER(SEARCH("Korea Republic",S4845)),"South Korea",
ISNUMBER(SEARCH("Germany FR",S4845)),"FR Germany",
ISNUMBER(SEARCH("West Germany",S4845)),"FR Germany",
ISNUMBER(SEARCH("Germany DR",S4845)),"DR Germany",
ISNUMBER(SEARCH("Korea DPR",S4845)),"North Korea",
ISNUMBER(SEARCH("China PR",S4845)),"China",
ISNUMBER(SEARCH("IR Iran",S4845)),"Iran",
ISNUMBER(SEARCH("Congo DR",S4845)),"Democratic Republic of the Congo",
ISNUMBER(SEARCH("DR Congo",S4845)),"Democratic Republic of the Congo",
ISNUMBER(SEARCH("German DR",S4845)),"DR Germany",
ISNUMBER(SEARCH("rn""&gt;United Arab Emirates",S4845)),"United Arab Emirates",
ISNUMBER(SEARCH("rn""&gt;Republic of Ireland",S4845)),"Ireland",
ISNUMBER(SEARCH("rn""&gt;Bosnia and Herzegovina",S4845)),"Bosnia and Herzegovina",
ISNUMBER(SEARCH("rn""&gt;Trinidad and Tobago",S4845)),"Trinidad and Tobago",
ISNUMBER(SEARCH("rn""&gt;Serbia and Montenegro",S4845)),"Serbia and Montenegro",
ISNUMBER(SEARCH(_xlfn.UNICHAR(65533),S4845)),"Côte d'Ivoire",
TRUE,"-"
)</f>
        <v>-</v>
      </c>
      <c r="W4845" s="42" t="str">
        <f t="shared" si="300"/>
        <v>-</v>
      </c>
    </row>
    <row r="4846" spans="19:23">
      <c r="S4846" s="42" t="str">
        <v>win on penalties (5 - 4)</v>
      </c>
      <c r="T4846" s="42" t="str">
        <f t="shared" si="298"/>
        <v>-</v>
      </c>
      <c r="U4846" s="40" t="str">
        <f t="shared" si="299"/>
        <v>-</v>
      </c>
      <c r="V4846" s="42" t="str" cm="1">
        <f t="array" ref="V4846">_xlfn.IFS(
LEFT(S4846,16)="win on penalties",IF(VALUE(MID(S4846,19,1))&gt;VALUE(MID(S4846,23,1)),DATA_CLEANED!AK360,DATA_CLEANED!AN360),
ISNUMBER(SEARCH("USA",S4846)),"United States",
ISNUMBER(SEARCH("Republic of Ireland",S4846)),"Ireland",
ISNUMBER(SEARCH("Republic of Korea",S4846)),"South Korea",
ISNUMBER(SEARCH("Cape Verde",S4846)),"Cabo Verde",
ISNUMBER(SEARCH("Czechia",S4846)),"Czech Republic",
ISNUMBER(SEARCH("Türkiye",S4846)),"Turkey",
ISNUMBER(SEARCH("Ivory Coast",S4846)),"Côte d'Ivoire",
ISNUMBER(SEARCH("Korea Republic",S4846)),"South Korea",
ISNUMBER(SEARCH("Germany FR",S4846)),"FR Germany",
ISNUMBER(SEARCH("West Germany",S4846)),"FR Germany",
ISNUMBER(SEARCH("Germany DR",S4846)),"DR Germany",
ISNUMBER(SEARCH("Korea DPR",S4846)),"North Korea",
ISNUMBER(SEARCH("China PR",S4846)),"China",
ISNUMBER(SEARCH("IR Iran",S4846)),"Iran",
ISNUMBER(SEARCH("Congo DR",S4846)),"Democratic Republic of the Congo",
ISNUMBER(SEARCH("DR Congo",S4846)),"Democratic Republic of the Congo",
ISNUMBER(SEARCH("German DR",S4846)),"DR Germany",
ISNUMBER(SEARCH("rn""&gt;United Arab Emirates",S4846)),"United Arab Emirates",
ISNUMBER(SEARCH("rn""&gt;Republic of Ireland",S4846)),"Ireland",
ISNUMBER(SEARCH("rn""&gt;Bosnia and Herzegovina",S4846)),"Bosnia and Herzegovina",
ISNUMBER(SEARCH("rn""&gt;Trinidad and Tobago",S4846)),"Trinidad and Tobago",
ISNUMBER(SEARCH("rn""&gt;Serbia and Montenegro",S4846)),"Serbia and Montenegro",
ISNUMBER(SEARCH(_xlfn.UNICHAR(65533),S4846)),"Côte d'Ivoire",
TRUE,"-"
)</f>
        <v>FR Germany</v>
      </c>
      <c r="W4846" s="42" t="str">
        <f t="shared" si="300"/>
        <v>win on penalties (5 - 4)</v>
      </c>
    </row>
    <row r="4847" spans="19:23">
      <c r="S4847" s="42" t="str">
        <v/>
      </c>
      <c r="T4847" s="42" t="str">
        <f t="shared" si="298"/>
        <v>-</v>
      </c>
      <c r="U4847" s="40" t="str">
        <f t="shared" si="299"/>
        <v>-</v>
      </c>
      <c r="V4847" s="42" t="str" cm="1">
        <f t="array" ref="V4847">_xlfn.IFS(
LEFT(S4847,16)="win on penalties",IF(VALUE(MID(S4847,19,1))&gt;VALUE(MID(S4847,23,1)),DATA_CLEANED!AK361,DATA_CLEANED!AN361),
ISNUMBER(SEARCH("USA",S4847)),"United States",
ISNUMBER(SEARCH("Republic of Ireland",S4847)),"Ireland",
ISNUMBER(SEARCH("Republic of Korea",S4847)),"South Korea",
ISNUMBER(SEARCH("Cape Verde",S4847)),"Cabo Verde",
ISNUMBER(SEARCH("Czechia",S4847)),"Czech Republic",
ISNUMBER(SEARCH("Türkiye",S4847)),"Turkey",
ISNUMBER(SEARCH("Ivory Coast",S4847)),"Côte d'Ivoire",
ISNUMBER(SEARCH("Korea Republic",S4847)),"South Korea",
ISNUMBER(SEARCH("Germany FR",S4847)),"FR Germany",
ISNUMBER(SEARCH("West Germany",S4847)),"FR Germany",
ISNUMBER(SEARCH("Germany DR",S4847)),"DR Germany",
ISNUMBER(SEARCH("Korea DPR",S4847)),"North Korea",
ISNUMBER(SEARCH("China PR",S4847)),"China",
ISNUMBER(SEARCH("IR Iran",S4847)),"Iran",
ISNUMBER(SEARCH("Congo DR",S4847)),"Democratic Republic of the Congo",
ISNUMBER(SEARCH("DR Congo",S4847)),"Democratic Republic of the Congo",
ISNUMBER(SEARCH("German DR",S4847)),"DR Germany",
ISNUMBER(SEARCH("rn""&gt;United Arab Emirates",S4847)),"United Arab Emirates",
ISNUMBER(SEARCH("rn""&gt;Republic of Ireland",S4847)),"Ireland",
ISNUMBER(SEARCH("rn""&gt;Bosnia and Herzegovina",S4847)),"Bosnia and Herzegovina",
ISNUMBER(SEARCH("rn""&gt;Trinidad and Tobago",S4847)),"Trinidad and Tobago",
ISNUMBER(SEARCH("rn""&gt;Serbia and Montenegro",S4847)),"Serbia and Montenegro",
ISNUMBER(SEARCH(_xlfn.UNICHAR(65533),S4847)),"Côte d'Ivoire",
TRUE,"-"
)</f>
        <v>-</v>
      </c>
      <c r="W4847" s="42" t="str">
        <f t="shared" si="300"/>
        <v>-</v>
      </c>
    </row>
    <row r="4848" spans="19:23">
      <c r="S4848" s="42" t="str">
        <v/>
      </c>
      <c r="T4848" s="42" t="str">
        <f t="shared" si="298"/>
        <v>-</v>
      </c>
      <c r="U4848" s="40" t="str">
        <f t="shared" si="299"/>
        <v>-</v>
      </c>
      <c r="V4848" s="42" t="str" cm="1">
        <f t="array" ref="V4848">_xlfn.IFS(
LEFT(S4848,16)="win on penalties",IF(VALUE(MID(S4848,19,1))&gt;VALUE(MID(S4848,23,1)),DATA_CLEANED!AK362,DATA_CLEANED!AN362),
ISNUMBER(SEARCH("USA",S4848)),"United States",
ISNUMBER(SEARCH("Republic of Ireland",S4848)),"Ireland",
ISNUMBER(SEARCH("Republic of Korea",S4848)),"South Korea",
ISNUMBER(SEARCH("Cape Verde",S4848)),"Cabo Verde",
ISNUMBER(SEARCH("Czechia",S4848)),"Czech Republic",
ISNUMBER(SEARCH("Türkiye",S4848)),"Turkey",
ISNUMBER(SEARCH("Ivory Coast",S4848)),"Côte d'Ivoire",
ISNUMBER(SEARCH("Korea Republic",S4848)),"South Korea",
ISNUMBER(SEARCH("Germany FR",S4848)),"FR Germany",
ISNUMBER(SEARCH("West Germany",S4848)),"FR Germany",
ISNUMBER(SEARCH("Germany DR",S4848)),"DR Germany",
ISNUMBER(SEARCH("Korea DPR",S4848)),"North Korea",
ISNUMBER(SEARCH("China PR",S4848)),"China",
ISNUMBER(SEARCH("IR Iran",S4848)),"Iran",
ISNUMBER(SEARCH("Congo DR",S4848)),"Democratic Republic of the Congo",
ISNUMBER(SEARCH("DR Congo",S4848)),"Democratic Republic of the Congo",
ISNUMBER(SEARCH("German DR",S4848)),"DR Germany",
ISNUMBER(SEARCH("rn""&gt;United Arab Emirates",S4848)),"United Arab Emirates",
ISNUMBER(SEARCH("rn""&gt;Republic of Ireland",S4848)),"Ireland",
ISNUMBER(SEARCH("rn""&gt;Bosnia and Herzegovina",S4848)),"Bosnia and Herzegovina",
ISNUMBER(SEARCH("rn""&gt;Trinidad and Tobago",S4848)),"Trinidad and Tobago",
ISNUMBER(SEARCH("rn""&gt;Serbia and Montenegro",S4848)),"Serbia and Montenegro",
ISNUMBER(SEARCH(_xlfn.UNICHAR(65533),S4848)),"Côte d'Ivoire",
TRUE,"-"
)</f>
        <v>-</v>
      </c>
      <c r="W4848" s="42" t="str">
        <f t="shared" si="300"/>
        <v>-</v>
      </c>
    </row>
    <row r="4849" spans="19:23">
      <c r="S4849" s="42" t="str">
        <v/>
      </c>
      <c r="T4849" s="42" t="str">
        <f t="shared" si="298"/>
        <v>-</v>
      </c>
      <c r="U4849" s="40" t="str">
        <f t="shared" si="299"/>
        <v>-</v>
      </c>
      <c r="V4849" s="42" t="str" cm="1">
        <f t="array" ref="V4849">_xlfn.IFS(
LEFT(S4849,16)="win on penalties",IF(VALUE(MID(S4849,19,1))&gt;VALUE(MID(S4849,23,1)),DATA_CLEANED!AK363,DATA_CLEANED!AN363),
ISNUMBER(SEARCH("USA",S4849)),"United States",
ISNUMBER(SEARCH("Republic of Ireland",S4849)),"Ireland",
ISNUMBER(SEARCH("Republic of Korea",S4849)),"South Korea",
ISNUMBER(SEARCH("Cape Verde",S4849)),"Cabo Verde",
ISNUMBER(SEARCH("Czechia",S4849)),"Czech Republic",
ISNUMBER(SEARCH("Türkiye",S4849)),"Turkey",
ISNUMBER(SEARCH("Ivory Coast",S4849)),"Côte d'Ivoire",
ISNUMBER(SEARCH("Korea Republic",S4849)),"South Korea",
ISNUMBER(SEARCH("Germany FR",S4849)),"FR Germany",
ISNUMBER(SEARCH("West Germany",S4849)),"FR Germany",
ISNUMBER(SEARCH("Germany DR",S4849)),"DR Germany",
ISNUMBER(SEARCH("Korea DPR",S4849)),"North Korea",
ISNUMBER(SEARCH("China PR",S4849)),"China",
ISNUMBER(SEARCH("IR Iran",S4849)),"Iran",
ISNUMBER(SEARCH("Congo DR",S4849)),"Democratic Republic of the Congo",
ISNUMBER(SEARCH("DR Congo",S4849)),"Democratic Republic of the Congo",
ISNUMBER(SEARCH("German DR",S4849)),"DR Germany",
ISNUMBER(SEARCH("rn""&gt;United Arab Emirates",S4849)),"United Arab Emirates",
ISNUMBER(SEARCH("rn""&gt;Republic of Ireland",S4849)),"Ireland",
ISNUMBER(SEARCH("rn""&gt;Bosnia and Herzegovina",S4849)),"Bosnia and Herzegovina",
ISNUMBER(SEARCH("rn""&gt;Trinidad and Tobago",S4849)),"Trinidad and Tobago",
ISNUMBER(SEARCH("rn""&gt;Serbia and Montenegro",S4849)),"Serbia and Montenegro",
ISNUMBER(SEARCH(_xlfn.UNICHAR(65533),S4849)),"Côte d'Ivoire",
TRUE,"-"
)</f>
        <v>-</v>
      </c>
      <c r="W4849" s="42" t="str">
        <f t="shared" si="300"/>
        <v>-</v>
      </c>
    </row>
    <row r="4850" spans="19:23">
      <c r="S4850" s="42" t="str">
        <v/>
      </c>
      <c r="T4850" s="42" t="str">
        <f t="shared" si="298"/>
        <v>-</v>
      </c>
      <c r="U4850" s="40" t="str">
        <f t="shared" si="299"/>
        <v>-</v>
      </c>
      <c r="V4850" s="42" t="str" cm="1">
        <f t="array" ref="V4850">_xlfn.IFS(
LEFT(S4850,16)="win on penalties",IF(VALUE(MID(S4850,19,1))&gt;VALUE(MID(S4850,23,1)),DATA_CLEANED!AK364,DATA_CLEANED!AN364),
ISNUMBER(SEARCH("USA",S4850)),"United States",
ISNUMBER(SEARCH("Republic of Ireland",S4850)),"Ireland",
ISNUMBER(SEARCH("Republic of Korea",S4850)),"South Korea",
ISNUMBER(SEARCH("Cape Verde",S4850)),"Cabo Verde",
ISNUMBER(SEARCH("Czechia",S4850)),"Czech Republic",
ISNUMBER(SEARCH("Türkiye",S4850)),"Turkey",
ISNUMBER(SEARCH("Ivory Coast",S4850)),"Côte d'Ivoire",
ISNUMBER(SEARCH("Korea Republic",S4850)),"South Korea",
ISNUMBER(SEARCH("Germany FR",S4850)),"FR Germany",
ISNUMBER(SEARCH("West Germany",S4850)),"FR Germany",
ISNUMBER(SEARCH("Germany DR",S4850)),"DR Germany",
ISNUMBER(SEARCH("Korea DPR",S4850)),"North Korea",
ISNUMBER(SEARCH("China PR",S4850)),"China",
ISNUMBER(SEARCH("IR Iran",S4850)),"Iran",
ISNUMBER(SEARCH("Congo DR",S4850)),"Democratic Republic of the Congo",
ISNUMBER(SEARCH("DR Congo",S4850)),"Democratic Republic of the Congo",
ISNUMBER(SEARCH("German DR",S4850)),"DR Germany",
ISNUMBER(SEARCH("rn""&gt;United Arab Emirates",S4850)),"United Arab Emirates",
ISNUMBER(SEARCH("rn""&gt;Republic of Ireland",S4850)),"Ireland",
ISNUMBER(SEARCH("rn""&gt;Bosnia and Herzegovina",S4850)),"Bosnia and Herzegovina",
ISNUMBER(SEARCH("rn""&gt;Trinidad and Tobago",S4850)),"Trinidad and Tobago",
ISNUMBER(SEARCH("rn""&gt;Serbia and Montenegro",S4850)),"Serbia and Montenegro",
ISNUMBER(SEARCH(_xlfn.UNICHAR(65533),S4850)),"Côte d'Ivoire",
TRUE,"-"
)</f>
        <v>-</v>
      </c>
      <c r="W4850" s="42" t="str">
        <f t="shared" si="300"/>
        <v>-</v>
      </c>
    </row>
    <row r="4851" spans="19:23">
      <c r="S4851" s="42" t="str">
        <v/>
      </c>
      <c r="T4851" s="42" t="str">
        <f t="shared" si="298"/>
        <v>-</v>
      </c>
      <c r="U4851" s="40" t="str">
        <f t="shared" si="299"/>
        <v>-</v>
      </c>
      <c r="V4851" s="42" t="str" cm="1">
        <f t="array" ref="V4851">_xlfn.IFS(
LEFT(S4851,16)="win on penalties",IF(VALUE(MID(S4851,19,1))&gt;VALUE(MID(S4851,23,1)),DATA_CLEANED!AK365,DATA_CLEANED!AN365),
ISNUMBER(SEARCH("USA",S4851)),"United States",
ISNUMBER(SEARCH("Republic of Ireland",S4851)),"Ireland",
ISNUMBER(SEARCH("Republic of Korea",S4851)),"South Korea",
ISNUMBER(SEARCH("Cape Verde",S4851)),"Cabo Verde",
ISNUMBER(SEARCH("Czechia",S4851)),"Czech Republic",
ISNUMBER(SEARCH("Türkiye",S4851)),"Turkey",
ISNUMBER(SEARCH("Ivory Coast",S4851)),"Côte d'Ivoire",
ISNUMBER(SEARCH("Korea Republic",S4851)),"South Korea",
ISNUMBER(SEARCH("Germany FR",S4851)),"FR Germany",
ISNUMBER(SEARCH("West Germany",S4851)),"FR Germany",
ISNUMBER(SEARCH("Germany DR",S4851)),"DR Germany",
ISNUMBER(SEARCH("Korea DPR",S4851)),"North Korea",
ISNUMBER(SEARCH("China PR",S4851)),"China",
ISNUMBER(SEARCH("IR Iran",S4851)),"Iran",
ISNUMBER(SEARCH("Congo DR",S4851)),"Democratic Republic of the Congo",
ISNUMBER(SEARCH("DR Congo",S4851)),"Democratic Republic of the Congo",
ISNUMBER(SEARCH("German DR",S4851)),"DR Germany",
ISNUMBER(SEARCH("rn""&gt;United Arab Emirates",S4851)),"United Arab Emirates",
ISNUMBER(SEARCH("rn""&gt;Republic of Ireland",S4851)),"Ireland",
ISNUMBER(SEARCH("rn""&gt;Bosnia and Herzegovina",S4851)),"Bosnia and Herzegovina",
ISNUMBER(SEARCH("rn""&gt;Trinidad and Tobago",S4851)),"Trinidad and Tobago",
ISNUMBER(SEARCH("rn""&gt;Serbia and Montenegro",S4851)),"Serbia and Montenegro",
ISNUMBER(SEARCH(_xlfn.UNICHAR(65533),S4851)),"Côte d'Ivoire",
TRUE,"-"
)</f>
        <v>-</v>
      </c>
      <c r="W4851" s="42" t="str">
        <f t="shared" si="300"/>
        <v>-</v>
      </c>
    </row>
    <row r="4852" spans="19:23">
      <c r="S4852" s="42" t="str">
        <v/>
      </c>
      <c r="T4852" s="42" t="str">
        <f t="shared" si="298"/>
        <v>-</v>
      </c>
      <c r="U4852" s="40" t="str">
        <f t="shared" si="299"/>
        <v>-</v>
      </c>
      <c r="V4852" s="42" t="str" cm="1">
        <f t="array" ref="V4852">_xlfn.IFS(
LEFT(S4852,16)="win on penalties",IF(VALUE(MID(S4852,19,1))&gt;VALUE(MID(S4852,23,1)),DATA_CLEANED!AK366,DATA_CLEANED!AN366),
ISNUMBER(SEARCH("USA",S4852)),"United States",
ISNUMBER(SEARCH("Republic of Ireland",S4852)),"Ireland",
ISNUMBER(SEARCH("Republic of Korea",S4852)),"South Korea",
ISNUMBER(SEARCH("Cape Verde",S4852)),"Cabo Verde",
ISNUMBER(SEARCH("Czechia",S4852)),"Czech Republic",
ISNUMBER(SEARCH("Türkiye",S4852)),"Turkey",
ISNUMBER(SEARCH("Ivory Coast",S4852)),"Côte d'Ivoire",
ISNUMBER(SEARCH("Korea Republic",S4852)),"South Korea",
ISNUMBER(SEARCH("Germany FR",S4852)),"FR Germany",
ISNUMBER(SEARCH("West Germany",S4852)),"FR Germany",
ISNUMBER(SEARCH("Germany DR",S4852)),"DR Germany",
ISNUMBER(SEARCH("Korea DPR",S4852)),"North Korea",
ISNUMBER(SEARCH("China PR",S4852)),"China",
ISNUMBER(SEARCH("IR Iran",S4852)),"Iran",
ISNUMBER(SEARCH("Congo DR",S4852)),"Democratic Republic of the Congo",
ISNUMBER(SEARCH("DR Congo",S4852)),"Democratic Republic of the Congo",
ISNUMBER(SEARCH("German DR",S4852)),"DR Germany",
ISNUMBER(SEARCH("rn""&gt;United Arab Emirates",S4852)),"United Arab Emirates",
ISNUMBER(SEARCH("rn""&gt;Republic of Ireland",S4852)),"Ireland",
ISNUMBER(SEARCH("rn""&gt;Bosnia and Herzegovina",S4852)),"Bosnia and Herzegovina",
ISNUMBER(SEARCH("rn""&gt;Trinidad and Tobago",S4852)),"Trinidad and Tobago",
ISNUMBER(SEARCH("rn""&gt;Serbia and Montenegro",S4852)),"Serbia and Montenegro",
ISNUMBER(SEARCH(_xlfn.UNICHAR(65533),S4852)),"Côte d'Ivoire",
TRUE,"-"
)</f>
        <v>-</v>
      </c>
      <c r="W4852" s="42" t="str">
        <f t="shared" si="300"/>
        <v>-</v>
      </c>
    </row>
    <row r="4853" spans="19:23">
      <c r="S4853" s="42" t="str">
        <v/>
      </c>
      <c r="T4853" s="42" t="str">
        <f t="shared" si="298"/>
        <v>-</v>
      </c>
      <c r="U4853" s="40" t="str">
        <f t="shared" si="299"/>
        <v>-</v>
      </c>
      <c r="V4853" s="42" t="str" cm="1">
        <f t="array" ref="V4853">_xlfn.IFS(
LEFT(S4853,16)="win on penalties",IF(VALUE(MID(S4853,19,1))&gt;VALUE(MID(S4853,23,1)),DATA_CLEANED!AK367,DATA_CLEANED!AN367),
ISNUMBER(SEARCH("USA",S4853)),"United States",
ISNUMBER(SEARCH("Republic of Ireland",S4853)),"Ireland",
ISNUMBER(SEARCH("Republic of Korea",S4853)),"South Korea",
ISNUMBER(SEARCH("Cape Verde",S4853)),"Cabo Verde",
ISNUMBER(SEARCH("Czechia",S4853)),"Czech Republic",
ISNUMBER(SEARCH("Türkiye",S4853)),"Turkey",
ISNUMBER(SEARCH("Ivory Coast",S4853)),"Côte d'Ivoire",
ISNUMBER(SEARCH("Korea Republic",S4853)),"South Korea",
ISNUMBER(SEARCH("Germany FR",S4853)),"FR Germany",
ISNUMBER(SEARCH("West Germany",S4853)),"FR Germany",
ISNUMBER(SEARCH("Germany DR",S4853)),"DR Germany",
ISNUMBER(SEARCH("Korea DPR",S4853)),"North Korea",
ISNUMBER(SEARCH("China PR",S4853)),"China",
ISNUMBER(SEARCH("IR Iran",S4853)),"Iran",
ISNUMBER(SEARCH("Congo DR",S4853)),"Democratic Republic of the Congo",
ISNUMBER(SEARCH("DR Congo",S4853)),"Democratic Republic of the Congo",
ISNUMBER(SEARCH("German DR",S4853)),"DR Germany",
ISNUMBER(SEARCH("rn""&gt;United Arab Emirates",S4853)),"United Arab Emirates",
ISNUMBER(SEARCH("rn""&gt;Republic of Ireland",S4853)),"Ireland",
ISNUMBER(SEARCH("rn""&gt;Bosnia and Herzegovina",S4853)),"Bosnia and Herzegovina",
ISNUMBER(SEARCH("rn""&gt;Trinidad and Tobago",S4853)),"Trinidad and Tobago",
ISNUMBER(SEARCH("rn""&gt;Serbia and Montenegro",S4853)),"Serbia and Montenegro",
ISNUMBER(SEARCH(_xlfn.UNICHAR(65533),S4853)),"Côte d'Ivoire",
TRUE,"-"
)</f>
        <v>-</v>
      </c>
      <c r="W4853" s="42" t="str">
        <f t="shared" si="300"/>
        <v>-</v>
      </c>
    </row>
    <row r="4854" spans="19:23">
      <c r="S4854" s="42" t="str">
        <v/>
      </c>
      <c r="T4854" s="42" t="str">
        <f t="shared" si="298"/>
        <v>-</v>
      </c>
      <c r="U4854" s="40" t="str">
        <f t="shared" si="299"/>
        <v>-</v>
      </c>
      <c r="V4854" s="42" t="str" cm="1">
        <f t="array" ref="V4854">_xlfn.IFS(
LEFT(S4854,16)="win on penalties",IF(VALUE(MID(S4854,19,1))&gt;VALUE(MID(S4854,23,1)),DATA_CLEANED!AK368,DATA_CLEANED!AN368),
ISNUMBER(SEARCH("USA",S4854)),"United States",
ISNUMBER(SEARCH("Republic of Ireland",S4854)),"Ireland",
ISNUMBER(SEARCH("Republic of Korea",S4854)),"South Korea",
ISNUMBER(SEARCH("Cape Verde",S4854)),"Cabo Verde",
ISNUMBER(SEARCH("Czechia",S4854)),"Czech Republic",
ISNUMBER(SEARCH("Türkiye",S4854)),"Turkey",
ISNUMBER(SEARCH("Ivory Coast",S4854)),"Côte d'Ivoire",
ISNUMBER(SEARCH("Korea Republic",S4854)),"South Korea",
ISNUMBER(SEARCH("Germany FR",S4854)),"FR Germany",
ISNUMBER(SEARCH("West Germany",S4854)),"FR Germany",
ISNUMBER(SEARCH("Germany DR",S4854)),"DR Germany",
ISNUMBER(SEARCH("Korea DPR",S4854)),"North Korea",
ISNUMBER(SEARCH("China PR",S4854)),"China",
ISNUMBER(SEARCH("IR Iran",S4854)),"Iran",
ISNUMBER(SEARCH("Congo DR",S4854)),"Democratic Republic of the Congo",
ISNUMBER(SEARCH("DR Congo",S4854)),"Democratic Republic of the Congo",
ISNUMBER(SEARCH("German DR",S4854)),"DR Germany",
ISNUMBER(SEARCH("rn""&gt;United Arab Emirates",S4854)),"United Arab Emirates",
ISNUMBER(SEARCH("rn""&gt;Republic of Ireland",S4854)),"Ireland",
ISNUMBER(SEARCH("rn""&gt;Bosnia and Herzegovina",S4854)),"Bosnia and Herzegovina",
ISNUMBER(SEARCH("rn""&gt;Trinidad and Tobago",S4854)),"Trinidad and Tobago",
ISNUMBER(SEARCH("rn""&gt;Serbia and Montenegro",S4854)),"Serbia and Montenegro",
ISNUMBER(SEARCH(_xlfn.UNICHAR(65533),S4854)),"Côte d'Ivoire",
TRUE,"-"
)</f>
        <v>-</v>
      </c>
      <c r="W4854" s="42" t="str">
        <f t="shared" si="300"/>
        <v>-</v>
      </c>
    </row>
    <row r="4855" spans="19:23">
      <c r="S4855" s="42" t="str">
        <v/>
      </c>
      <c r="T4855" s="42" t="str">
        <f t="shared" si="298"/>
        <v>-</v>
      </c>
      <c r="U4855" s="40" t="str">
        <f t="shared" si="299"/>
        <v>-</v>
      </c>
      <c r="V4855" s="42" t="str" cm="1">
        <f t="array" ref="V4855">_xlfn.IFS(
LEFT(S4855,16)="win on penalties",IF(VALUE(MID(S4855,19,1))&gt;VALUE(MID(S4855,23,1)),DATA_CLEANED!AK369,DATA_CLEANED!AN369),
ISNUMBER(SEARCH("USA",S4855)),"United States",
ISNUMBER(SEARCH("Republic of Ireland",S4855)),"Ireland",
ISNUMBER(SEARCH("Republic of Korea",S4855)),"South Korea",
ISNUMBER(SEARCH("Cape Verde",S4855)),"Cabo Verde",
ISNUMBER(SEARCH("Czechia",S4855)),"Czech Republic",
ISNUMBER(SEARCH("Türkiye",S4855)),"Turkey",
ISNUMBER(SEARCH("Ivory Coast",S4855)),"Côte d'Ivoire",
ISNUMBER(SEARCH("Korea Republic",S4855)),"South Korea",
ISNUMBER(SEARCH("Germany FR",S4855)),"FR Germany",
ISNUMBER(SEARCH("West Germany",S4855)),"FR Germany",
ISNUMBER(SEARCH("Germany DR",S4855)),"DR Germany",
ISNUMBER(SEARCH("Korea DPR",S4855)),"North Korea",
ISNUMBER(SEARCH("China PR",S4855)),"China",
ISNUMBER(SEARCH("IR Iran",S4855)),"Iran",
ISNUMBER(SEARCH("Congo DR",S4855)),"Democratic Republic of the Congo",
ISNUMBER(SEARCH("DR Congo",S4855)),"Democratic Republic of the Congo",
ISNUMBER(SEARCH("German DR",S4855)),"DR Germany",
ISNUMBER(SEARCH("rn""&gt;United Arab Emirates",S4855)),"United Arab Emirates",
ISNUMBER(SEARCH("rn""&gt;Republic of Ireland",S4855)),"Ireland",
ISNUMBER(SEARCH("rn""&gt;Bosnia and Herzegovina",S4855)),"Bosnia and Herzegovina",
ISNUMBER(SEARCH("rn""&gt;Trinidad and Tobago",S4855)),"Trinidad and Tobago",
ISNUMBER(SEARCH("rn""&gt;Serbia and Montenegro",S4855)),"Serbia and Montenegro",
ISNUMBER(SEARCH(_xlfn.UNICHAR(65533),S4855)),"Côte d'Ivoire",
TRUE,"-"
)</f>
        <v>-</v>
      </c>
      <c r="W4855" s="42" t="str">
        <f t="shared" si="300"/>
        <v>-</v>
      </c>
    </row>
    <row r="4856" spans="19:23">
      <c r="S4856" s="42" t="str">
        <v/>
      </c>
      <c r="T4856" s="42" t="str">
        <f t="shared" si="298"/>
        <v>-</v>
      </c>
      <c r="U4856" s="40" t="str">
        <f t="shared" si="299"/>
        <v>-</v>
      </c>
      <c r="V4856" s="42" t="str" cm="1">
        <f t="array" ref="V4856">_xlfn.IFS(
LEFT(S4856,16)="win on penalties",IF(VALUE(MID(S4856,19,1))&gt;VALUE(MID(S4856,23,1)),DATA_CLEANED!AK370,DATA_CLEANED!AN370),
ISNUMBER(SEARCH("USA",S4856)),"United States",
ISNUMBER(SEARCH("Republic of Ireland",S4856)),"Ireland",
ISNUMBER(SEARCH("Republic of Korea",S4856)),"South Korea",
ISNUMBER(SEARCH("Cape Verde",S4856)),"Cabo Verde",
ISNUMBER(SEARCH("Czechia",S4856)),"Czech Republic",
ISNUMBER(SEARCH("Türkiye",S4856)),"Turkey",
ISNUMBER(SEARCH("Ivory Coast",S4856)),"Côte d'Ivoire",
ISNUMBER(SEARCH("Korea Republic",S4856)),"South Korea",
ISNUMBER(SEARCH("Germany FR",S4856)),"FR Germany",
ISNUMBER(SEARCH("West Germany",S4856)),"FR Germany",
ISNUMBER(SEARCH("Germany DR",S4856)),"DR Germany",
ISNUMBER(SEARCH("Korea DPR",S4856)),"North Korea",
ISNUMBER(SEARCH("China PR",S4856)),"China",
ISNUMBER(SEARCH("IR Iran",S4856)),"Iran",
ISNUMBER(SEARCH("Congo DR",S4856)),"Democratic Republic of the Congo",
ISNUMBER(SEARCH("DR Congo",S4856)),"Democratic Republic of the Congo",
ISNUMBER(SEARCH("German DR",S4856)),"DR Germany",
ISNUMBER(SEARCH("rn""&gt;United Arab Emirates",S4856)),"United Arab Emirates",
ISNUMBER(SEARCH("rn""&gt;Republic of Ireland",S4856)),"Ireland",
ISNUMBER(SEARCH("rn""&gt;Bosnia and Herzegovina",S4856)),"Bosnia and Herzegovina",
ISNUMBER(SEARCH("rn""&gt;Trinidad and Tobago",S4856)),"Trinidad and Tobago",
ISNUMBER(SEARCH("rn""&gt;Serbia and Montenegro",S4856)),"Serbia and Montenegro",
ISNUMBER(SEARCH(_xlfn.UNICHAR(65533),S4856)),"Côte d'Ivoire",
TRUE,"-"
)</f>
        <v>-</v>
      </c>
      <c r="W4856" s="42" t="str">
        <f t="shared" si="300"/>
        <v>-</v>
      </c>
    </row>
    <row r="4857" spans="19:23">
      <c r="S4857" s="42" t="str">
        <v/>
      </c>
      <c r="T4857" s="42" t="str">
        <f t="shared" si="298"/>
        <v>-</v>
      </c>
      <c r="U4857" s="40" t="str">
        <f t="shared" si="299"/>
        <v>-</v>
      </c>
      <c r="V4857" s="42" t="str" cm="1">
        <f t="array" ref="V4857">_xlfn.IFS(
LEFT(S4857,16)="win on penalties",IF(VALUE(MID(S4857,19,1))&gt;VALUE(MID(S4857,23,1)),DATA_CLEANED!AK371,DATA_CLEANED!AN371),
ISNUMBER(SEARCH("USA",S4857)),"United States",
ISNUMBER(SEARCH("Republic of Ireland",S4857)),"Ireland",
ISNUMBER(SEARCH("Republic of Korea",S4857)),"South Korea",
ISNUMBER(SEARCH("Cape Verde",S4857)),"Cabo Verde",
ISNUMBER(SEARCH("Czechia",S4857)),"Czech Republic",
ISNUMBER(SEARCH("Türkiye",S4857)),"Turkey",
ISNUMBER(SEARCH("Ivory Coast",S4857)),"Côte d'Ivoire",
ISNUMBER(SEARCH("Korea Republic",S4857)),"South Korea",
ISNUMBER(SEARCH("Germany FR",S4857)),"FR Germany",
ISNUMBER(SEARCH("West Germany",S4857)),"FR Germany",
ISNUMBER(SEARCH("Germany DR",S4857)),"DR Germany",
ISNUMBER(SEARCH("Korea DPR",S4857)),"North Korea",
ISNUMBER(SEARCH("China PR",S4857)),"China",
ISNUMBER(SEARCH("IR Iran",S4857)),"Iran",
ISNUMBER(SEARCH("Congo DR",S4857)),"Democratic Republic of the Congo",
ISNUMBER(SEARCH("DR Congo",S4857)),"Democratic Republic of the Congo",
ISNUMBER(SEARCH("German DR",S4857)),"DR Germany",
ISNUMBER(SEARCH("rn""&gt;United Arab Emirates",S4857)),"United Arab Emirates",
ISNUMBER(SEARCH("rn""&gt;Republic of Ireland",S4857)),"Ireland",
ISNUMBER(SEARCH("rn""&gt;Bosnia and Herzegovina",S4857)),"Bosnia and Herzegovina",
ISNUMBER(SEARCH("rn""&gt;Trinidad and Tobago",S4857)),"Trinidad and Tobago",
ISNUMBER(SEARCH("rn""&gt;Serbia and Montenegro",S4857)),"Serbia and Montenegro",
ISNUMBER(SEARCH(_xlfn.UNICHAR(65533),S4857)),"Côte d'Ivoire",
TRUE,"-"
)</f>
        <v>-</v>
      </c>
      <c r="W4857" s="42" t="str">
        <f t="shared" si="300"/>
        <v>-</v>
      </c>
    </row>
    <row r="4858" spans="19:23">
      <c r="S4858" s="42" t="str">
        <v/>
      </c>
      <c r="T4858" s="42" t="str">
        <f t="shared" si="298"/>
        <v>-</v>
      </c>
      <c r="U4858" s="40" t="str">
        <f t="shared" si="299"/>
        <v>-</v>
      </c>
      <c r="V4858" s="42" t="str" cm="1">
        <f t="array" ref="V4858">_xlfn.IFS(
LEFT(S4858,16)="win on penalties",IF(VALUE(MID(S4858,19,1))&gt;VALUE(MID(S4858,23,1)),DATA_CLEANED!AK372,DATA_CLEANED!AN372),
ISNUMBER(SEARCH("USA",S4858)),"United States",
ISNUMBER(SEARCH("Republic of Ireland",S4858)),"Ireland",
ISNUMBER(SEARCH("Republic of Korea",S4858)),"South Korea",
ISNUMBER(SEARCH("Cape Verde",S4858)),"Cabo Verde",
ISNUMBER(SEARCH("Czechia",S4858)),"Czech Republic",
ISNUMBER(SEARCH("Türkiye",S4858)),"Turkey",
ISNUMBER(SEARCH("Ivory Coast",S4858)),"Côte d'Ivoire",
ISNUMBER(SEARCH("Korea Republic",S4858)),"South Korea",
ISNUMBER(SEARCH("Germany FR",S4858)),"FR Germany",
ISNUMBER(SEARCH("West Germany",S4858)),"FR Germany",
ISNUMBER(SEARCH("Germany DR",S4858)),"DR Germany",
ISNUMBER(SEARCH("Korea DPR",S4858)),"North Korea",
ISNUMBER(SEARCH("China PR",S4858)),"China",
ISNUMBER(SEARCH("IR Iran",S4858)),"Iran",
ISNUMBER(SEARCH("Congo DR",S4858)),"Democratic Republic of the Congo",
ISNUMBER(SEARCH("DR Congo",S4858)),"Democratic Republic of the Congo",
ISNUMBER(SEARCH("German DR",S4858)),"DR Germany",
ISNUMBER(SEARCH("rn""&gt;United Arab Emirates",S4858)),"United Arab Emirates",
ISNUMBER(SEARCH("rn""&gt;Republic of Ireland",S4858)),"Ireland",
ISNUMBER(SEARCH("rn""&gt;Bosnia and Herzegovina",S4858)),"Bosnia and Herzegovina",
ISNUMBER(SEARCH("rn""&gt;Trinidad and Tobago",S4858)),"Trinidad and Tobago",
ISNUMBER(SEARCH("rn""&gt;Serbia and Montenegro",S4858)),"Serbia and Montenegro",
ISNUMBER(SEARCH(_xlfn.UNICHAR(65533),S4858)),"Côte d'Ivoire",
TRUE,"-"
)</f>
        <v>-</v>
      </c>
      <c r="W4858" s="42" t="str">
        <f t="shared" si="300"/>
        <v>-</v>
      </c>
    </row>
    <row r="4859" spans="19:23">
      <c r="S4859" s="42" t="str">
        <v/>
      </c>
      <c r="T4859" s="42" t="str">
        <f t="shared" si="298"/>
        <v>-</v>
      </c>
      <c r="U4859" s="40" t="str">
        <f t="shared" si="299"/>
        <v>-</v>
      </c>
      <c r="V4859" s="42" t="str" cm="1">
        <f t="array" ref="V4859">_xlfn.IFS(
LEFT(S4859,16)="win on penalties",IF(VALUE(MID(S4859,19,1))&gt;VALUE(MID(S4859,23,1)),DATA_CLEANED!AK373,DATA_CLEANED!AN373),
ISNUMBER(SEARCH("USA",S4859)),"United States",
ISNUMBER(SEARCH("Republic of Ireland",S4859)),"Ireland",
ISNUMBER(SEARCH("Republic of Korea",S4859)),"South Korea",
ISNUMBER(SEARCH("Cape Verde",S4859)),"Cabo Verde",
ISNUMBER(SEARCH("Czechia",S4859)),"Czech Republic",
ISNUMBER(SEARCH("Türkiye",S4859)),"Turkey",
ISNUMBER(SEARCH("Ivory Coast",S4859)),"Côte d'Ivoire",
ISNUMBER(SEARCH("Korea Republic",S4859)),"South Korea",
ISNUMBER(SEARCH("Germany FR",S4859)),"FR Germany",
ISNUMBER(SEARCH("West Germany",S4859)),"FR Germany",
ISNUMBER(SEARCH("Germany DR",S4859)),"DR Germany",
ISNUMBER(SEARCH("Korea DPR",S4859)),"North Korea",
ISNUMBER(SEARCH("China PR",S4859)),"China",
ISNUMBER(SEARCH("IR Iran",S4859)),"Iran",
ISNUMBER(SEARCH("Congo DR",S4859)),"Democratic Republic of the Congo",
ISNUMBER(SEARCH("DR Congo",S4859)),"Democratic Republic of the Congo",
ISNUMBER(SEARCH("German DR",S4859)),"DR Germany",
ISNUMBER(SEARCH("rn""&gt;United Arab Emirates",S4859)),"United Arab Emirates",
ISNUMBER(SEARCH("rn""&gt;Republic of Ireland",S4859)),"Ireland",
ISNUMBER(SEARCH("rn""&gt;Bosnia and Herzegovina",S4859)),"Bosnia and Herzegovina",
ISNUMBER(SEARCH("rn""&gt;Trinidad and Tobago",S4859)),"Trinidad and Tobago",
ISNUMBER(SEARCH("rn""&gt;Serbia and Montenegro",S4859)),"Serbia and Montenegro",
ISNUMBER(SEARCH(_xlfn.UNICHAR(65533),S4859)),"Côte d'Ivoire",
TRUE,"-"
)</f>
        <v>-</v>
      </c>
      <c r="W4859" s="42" t="str">
        <f t="shared" si="300"/>
        <v>-</v>
      </c>
    </row>
    <row r="4860" spans="19:23">
      <c r="S4860" s="42" t="str">
        <v/>
      </c>
      <c r="T4860" s="42" t="str">
        <f t="shared" si="298"/>
        <v>-</v>
      </c>
      <c r="U4860" s="40" t="str">
        <f t="shared" si="299"/>
        <v>-</v>
      </c>
      <c r="V4860" s="42" t="str" cm="1">
        <f t="array" ref="V4860">_xlfn.IFS(
LEFT(S4860,16)="win on penalties",IF(VALUE(MID(S4860,19,1))&gt;VALUE(MID(S4860,23,1)),DATA_CLEANED!AK374,DATA_CLEANED!AN374),
ISNUMBER(SEARCH("USA",S4860)),"United States",
ISNUMBER(SEARCH("Republic of Ireland",S4860)),"Ireland",
ISNUMBER(SEARCH("Republic of Korea",S4860)),"South Korea",
ISNUMBER(SEARCH("Cape Verde",S4860)),"Cabo Verde",
ISNUMBER(SEARCH("Czechia",S4860)),"Czech Republic",
ISNUMBER(SEARCH("Türkiye",S4860)),"Turkey",
ISNUMBER(SEARCH("Ivory Coast",S4860)),"Côte d'Ivoire",
ISNUMBER(SEARCH("Korea Republic",S4860)),"South Korea",
ISNUMBER(SEARCH("Germany FR",S4860)),"FR Germany",
ISNUMBER(SEARCH("West Germany",S4860)),"FR Germany",
ISNUMBER(SEARCH("Germany DR",S4860)),"DR Germany",
ISNUMBER(SEARCH("Korea DPR",S4860)),"North Korea",
ISNUMBER(SEARCH("China PR",S4860)),"China",
ISNUMBER(SEARCH("IR Iran",S4860)),"Iran",
ISNUMBER(SEARCH("Congo DR",S4860)),"Democratic Republic of the Congo",
ISNUMBER(SEARCH("DR Congo",S4860)),"Democratic Republic of the Congo",
ISNUMBER(SEARCH("German DR",S4860)),"DR Germany",
ISNUMBER(SEARCH("rn""&gt;United Arab Emirates",S4860)),"United Arab Emirates",
ISNUMBER(SEARCH("rn""&gt;Republic of Ireland",S4860)),"Ireland",
ISNUMBER(SEARCH("rn""&gt;Bosnia and Herzegovina",S4860)),"Bosnia and Herzegovina",
ISNUMBER(SEARCH("rn""&gt;Trinidad and Tobago",S4860)),"Trinidad and Tobago",
ISNUMBER(SEARCH("rn""&gt;Serbia and Montenegro",S4860)),"Serbia and Montenegro",
ISNUMBER(SEARCH(_xlfn.UNICHAR(65533),S4860)),"Côte d'Ivoire",
TRUE,"-"
)</f>
        <v>-</v>
      </c>
      <c r="W4860" s="42" t="str">
        <f t="shared" si="300"/>
        <v>-</v>
      </c>
    </row>
    <row r="4861" spans="19:23">
      <c r="S4861" s="42" t="str">
        <v/>
      </c>
      <c r="T4861" s="42" t="str">
        <f t="shared" si="298"/>
        <v>-</v>
      </c>
      <c r="U4861" s="40" t="str">
        <f t="shared" si="299"/>
        <v>-</v>
      </c>
      <c r="V4861" s="42" t="str" cm="1">
        <f t="array" ref="V4861">_xlfn.IFS(
LEFT(S4861,16)="win on penalties",IF(VALUE(MID(S4861,19,1))&gt;VALUE(MID(S4861,23,1)),DATA_CLEANED!AK375,DATA_CLEANED!AN375),
ISNUMBER(SEARCH("USA",S4861)),"United States",
ISNUMBER(SEARCH("Republic of Ireland",S4861)),"Ireland",
ISNUMBER(SEARCH("Republic of Korea",S4861)),"South Korea",
ISNUMBER(SEARCH("Cape Verde",S4861)),"Cabo Verde",
ISNUMBER(SEARCH("Czechia",S4861)),"Czech Republic",
ISNUMBER(SEARCH("Türkiye",S4861)),"Turkey",
ISNUMBER(SEARCH("Ivory Coast",S4861)),"Côte d'Ivoire",
ISNUMBER(SEARCH("Korea Republic",S4861)),"South Korea",
ISNUMBER(SEARCH("Germany FR",S4861)),"FR Germany",
ISNUMBER(SEARCH("West Germany",S4861)),"FR Germany",
ISNUMBER(SEARCH("Germany DR",S4861)),"DR Germany",
ISNUMBER(SEARCH("Korea DPR",S4861)),"North Korea",
ISNUMBER(SEARCH("China PR",S4861)),"China",
ISNUMBER(SEARCH("IR Iran",S4861)),"Iran",
ISNUMBER(SEARCH("Congo DR",S4861)),"Democratic Republic of the Congo",
ISNUMBER(SEARCH("DR Congo",S4861)),"Democratic Republic of the Congo",
ISNUMBER(SEARCH("German DR",S4861)),"DR Germany",
ISNUMBER(SEARCH("rn""&gt;United Arab Emirates",S4861)),"United Arab Emirates",
ISNUMBER(SEARCH("rn""&gt;Republic of Ireland",S4861)),"Ireland",
ISNUMBER(SEARCH("rn""&gt;Bosnia and Herzegovina",S4861)),"Bosnia and Herzegovina",
ISNUMBER(SEARCH("rn""&gt;Trinidad and Tobago",S4861)),"Trinidad and Tobago",
ISNUMBER(SEARCH("rn""&gt;Serbia and Montenegro",S4861)),"Serbia and Montenegro",
ISNUMBER(SEARCH(_xlfn.UNICHAR(65533),S4861)),"Côte d'Ivoire",
TRUE,"-"
)</f>
        <v>-</v>
      </c>
      <c r="W4861" s="42" t="str">
        <f t="shared" si="300"/>
        <v>-</v>
      </c>
    </row>
    <row r="4862" spans="19:23">
      <c r="S4862" s="42" t="str">
        <v/>
      </c>
      <c r="T4862" s="42" t="str">
        <f t="shared" si="298"/>
        <v>-</v>
      </c>
      <c r="U4862" s="40" t="str">
        <f t="shared" si="299"/>
        <v>-</v>
      </c>
      <c r="V4862" s="42" t="str" cm="1">
        <f t="array" ref="V4862">_xlfn.IFS(
LEFT(S4862,16)="win on penalties",IF(VALUE(MID(S4862,19,1))&gt;VALUE(MID(S4862,23,1)),DATA_CLEANED!AK376,DATA_CLEANED!AN376),
ISNUMBER(SEARCH("USA",S4862)),"United States",
ISNUMBER(SEARCH("Republic of Ireland",S4862)),"Ireland",
ISNUMBER(SEARCH("Republic of Korea",S4862)),"South Korea",
ISNUMBER(SEARCH("Cape Verde",S4862)),"Cabo Verde",
ISNUMBER(SEARCH("Czechia",S4862)),"Czech Republic",
ISNUMBER(SEARCH("Türkiye",S4862)),"Turkey",
ISNUMBER(SEARCH("Ivory Coast",S4862)),"Côte d'Ivoire",
ISNUMBER(SEARCH("Korea Republic",S4862)),"South Korea",
ISNUMBER(SEARCH("Germany FR",S4862)),"FR Germany",
ISNUMBER(SEARCH("West Germany",S4862)),"FR Germany",
ISNUMBER(SEARCH("Germany DR",S4862)),"DR Germany",
ISNUMBER(SEARCH("Korea DPR",S4862)),"North Korea",
ISNUMBER(SEARCH("China PR",S4862)),"China",
ISNUMBER(SEARCH("IR Iran",S4862)),"Iran",
ISNUMBER(SEARCH("Congo DR",S4862)),"Democratic Republic of the Congo",
ISNUMBER(SEARCH("DR Congo",S4862)),"Democratic Republic of the Congo",
ISNUMBER(SEARCH("German DR",S4862)),"DR Germany",
ISNUMBER(SEARCH("rn""&gt;United Arab Emirates",S4862)),"United Arab Emirates",
ISNUMBER(SEARCH("rn""&gt;Republic of Ireland",S4862)),"Ireland",
ISNUMBER(SEARCH("rn""&gt;Bosnia and Herzegovina",S4862)),"Bosnia and Herzegovina",
ISNUMBER(SEARCH("rn""&gt;Trinidad and Tobago",S4862)),"Trinidad and Tobago",
ISNUMBER(SEARCH("rn""&gt;Serbia and Montenegro",S4862)),"Serbia and Montenegro",
ISNUMBER(SEARCH(_xlfn.UNICHAR(65533),S4862)),"Côte d'Ivoire",
TRUE,"-"
)</f>
        <v>-</v>
      </c>
      <c r="W4862" s="42" t="str">
        <f t="shared" si="300"/>
        <v>-</v>
      </c>
    </row>
    <row r="4863" spans="19:23">
      <c r="S4863" s="42" t="str">
        <v/>
      </c>
      <c r="T4863" s="42" t="str">
        <f t="shared" si="298"/>
        <v>-</v>
      </c>
      <c r="U4863" s="40" t="str">
        <f t="shared" si="299"/>
        <v>-</v>
      </c>
      <c r="V4863" s="42" t="str" cm="1">
        <f t="array" ref="V4863">_xlfn.IFS(
LEFT(S4863,16)="win on penalties",IF(VALUE(MID(S4863,19,1))&gt;VALUE(MID(S4863,23,1)),DATA_CLEANED!AK377,DATA_CLEANED!AN377),
ISNUMBER(SEARCH("USA",S4863)),"United States",
ISNUMBER(SEARCH("Republic of Ireland",S4863)),"Ireland",
ISNUMBER(SEARCH("Republic of Korea",S4863)),"South Korea",
ISNUMBER(SEARCH("Cape Verde",S4863)),"Cabo Verde",
ISNUMBER(SEARCH("Czechia",S4863)),"Czech Republic",
ISNUMBER(SEARCH("Türkiye",S4863)),"Turkey",
ISNUMBER(SEARCH("Ivory Coast",S4863)),"Côte d'Ivoire",
ISNUMBER(SEARCH("Korea Republic",S4863)),"South Korea",
ISNUMBER(SEARCH("Germany FR",S4863)),"FR Germany",
ISNUMBER(SEARCH("West Germany",S4863)),"FR Germany",
ISNUMBER(SEARCH("Germany DR",S4863)),"DR Germany",
ISNUMBER(SEARCH("Korea DPR",S4863)),"North Korea",
ISNUMBER(SEARCH("China PR",S4863)),"China",
ISNUMBER(SEARCH("IR Iran",S4863)),"Iran",
ISNUMBER(SEARCH("Congo DR",S4863)),"Democratic Republic of the Congo",
ISNUMBER(SEARCH("DR Congo",S4863)),"Democratic Republic of the Congo",
ISNUMBER(SEARCH("German DR",S4863)),"DR Germany",
ISNUMBER(SEARCH("rn""&gt;United Arab Emirates",S4863)),"United Arab Emirates",
ISNUMBER(SEARCH("rn""&gt;Republic of Ireland",S4863)),"Ireland",
ISNUMBER(SEARCH("rn""&gt;Bosnia and Herzegovina",S4863)),"Bosnia and Herzegovina",
ISNUMBER(SEARCH("rn""&gt;Trinidad and Tobago",S4863)),"Trinidad and Tobago",
ISNUMBER(SEARCH("rn""&gt;Serbia and Montenegro",S4863)),"Serbia and Montenegro",
ISNUMBER(SEARCH(_xlfn.UNICHAR(65533),S4863)),"Côte d'Ivoire",
TRUE,"-"
)</f>
        <v>-</v>
      </c>
      <c r="W4863" s="42" t="str">
        <f t="shared" si="300"/>
        <v>-</v>
      </c>
    </row>
    <row r="4864" spans="19:23">
      <c r="S4864" s="42" t="str">
        <v/>
      </c>
      <c r="T4864" s="42" t="str">
        <f t="shared" si="298"/>
        <v>-</v>
      </c>
      <c r="U4864" s="40" t="str">
        <f t="shared" si="299"/>
        <v>-</v>
      </c>
      <c r="V4864" s="42" t="str" cm="1">
        <f t="array" ref="V4864">_xlfn.IFS(
LEFT(S4864,16)="win on penalties",IF(VALUE(MID(S4864,19,1))&gt;VALUE(MID(S4864,23,1)),DATA_CLEANED!AK378,DATA_CLEANED!AN378),
ISNUMBER(SEARCH("USA",S4864)),"United States",
ISNUMBER(SEARCH("Republic of Ireland",S4864)),"Ireland",
ISNUMBER(SEARCH("Republic of Korea",S4864)),"South Korea",
ISNUMBER(SEARCH("Cape Verde",S4864)),"Cabo Verde",
ISNUMBER(SEARCH("Czechia",S4864)),"Czech Republic",
ISNUMBER(SEARCH("Türkiye",S4864)),"Turkey",
ISNUMBER(SEARCH("Ivory Coast",S4864)),"Côte d'Ivoire",
ISNUMBER(SEARCH("Korea Republic",S4864)),"South Korea",
ISNUMBER(SEARCH("Germany FR",S4864)),"FR Germany",
ISNUMBER(SEARCH("West Germany",S4864)),"FR Germany",
ISNUMBER(SEARCH("Germany DR",S4864)),"DR Germany",
ISNUMBER(SEARCH("Korea DPR",S4864)),"North Korea",
ISNUMBER(SEARCH("China PR",S4864)),"China",
ISNUMBER(SEARCH("IR Iran",S4864)),"Iran",
ISNUMBER(SEARCH("Congo DR",S4864)),"Democratic Republic of the Congo",
ISNUMBER(SEARCH("DR Congo",S4864)),"Democratic Republic of the Congo",
ISNUMBER(SEARCH("German DR",S4864)),"DR Germany",
ISNUMBER(SEARCH("rn""&gt;United Arab Emirates",S4864)),"United Arab Emirates",
ISNUMBER(SEARCH("rn""&gt;Republic of Ireland",S4864)),"Ireland",
ISNUMBER(SEARCH("rn""&gt;Bosnia and Herzegovina",S4864)),"Bosnia and Herzegovina",
ISNUMBER(SEARCH("rn""&gt;Trinidad and Tobago",S4864)),"Trinidad and Tobago",
ISNUMBER(SEARCH("rn""&gt;Serbia and Montenegro",S4864)),"Serbia and Montenegro",
ISNUMBER(SEARCH(_xlfn.UNICHAR(65533),S4864)),"Côte d'Ivoire",
TRUE,"-"
)</f>
        <v>-</v>
      </c>
      <c r="W4864" s="42" t="str">
        <f t="shared" si="300"/>
        <v>-</v>
      </c>
    </row>
    <row r="4865" spans="19:23">
      <c r="S4865" s="42" t="str">
        <v/>
      </c>
      <c r="T4865" s="42" t="str">
        <f t="shared" si="298"/>
        <v>-</v>
      </c>
      <c r="U4865" s="40" t="str">
        <f t="shared" si="299"/>
        <v>-</v>
      </c>
      <c r="V4865" s="42" t="str" cm="1">
        <f t="array" ref="V4865">_xlfn.IFS(
LEFT(S4865,16)="win on penalties",IF(VALUE(MID(S4865,19,1))&gt;VALUE(MID(S4865,23,1)),DATA_CLEANED!AK379,DATA_CLEANED!AN379),
ISNUMBER(SEARCH("USA",S4865)),"United States",
ISNUMBER(SEARCH("Republic of Ireland",S4865)),"Ireland",
ISNUMBER(SEARCH("Republic of Korea",S4865)),"South Korea",
ISNUMBER(SEARCH("Cape Verde",S4865)),"Cabo Verde",
ISNUMBER(SEARCH("Czechia",S4865)),"Czech Republic",
ISNUMBER(SEARCH("Türkiye",S4865)),"Turkey",
ISNUMBER(SEARCH("Ivory Coast",S4865)),"Côte d'Ivoire",
ISNUMBER(SEARCH("Korea Republic",S4865)),"South Korea",
ISNUMBER(SEARCH("Germany FR",S4865)),"FR Germany",
ISNUMBER(SEARCH("West Germany",S4865)),"FR Germany",
ISNUMBER(SEARCH("Germany DR",S4865)),"DR Germany",
ISNUMBER(SEARCH("Korea DPR",S4865)),"North Korea",
ISNUMBER(SEARCH("China PR",S4865)),"China",
ISNUMBER(SEARCH("IR Iran",S4865)),"Iran",
ISNUMBER(SEARCH("Congo DR",S4865)),"Democratic Republic of the Congo",
ISNUMBER(SEARCH("DR Congo",S4865)),"Democratic Republic of the Congo",
ISNUMBER(SEARCH("German DR",S4865)),"DR Germany",
ISNUMBER(SEARCH("rn""&gt;United Arab Emirates",S4865)),"United Arab Emirates",
ISNUMBER(SEARCH("rn""&gt;Republic of Ireland",S4865)),"Ireland",
ISNUMBER(SEARCH("rn""&gt;Bosnia and Herzegovina",S4865)),"Bosnia and Herzegovina",
ISNUMBER(SEARCH("rn""&gt;Trinidad and Tobago",S4865)),"Trinidad and Tobago",
ISNUMBER(SEARCH("rn""&gt;Serbia and Montenegro",S4865)),"Serbia and Montenegro",
ISNUMBER(SEARCH(_xlfn.UNICHAR(65533),S4865)),"Côte d'Ivoire",
TRUE,"-"
)</f>
        <v>-</v>
      </c>
      <c r="W4865" s="42" t="str">
        <f t="shared" si="300"/>
        <v>-</v>
      </c>
    </row>
    <row r="4866" spans="19:23">
      <c r="S4866" s="42" t="str">
        <v/>
      </c>
      <c r="T4866" s="42" t="str">
        <f t="shared" si="298"/>
        <v>-</v>
      </c>
      <c r="U4866" s="40" t="str">
        <f t="shared" si="299"/>
        <v>-</v>
      </c>
      <c r="V4866" s="42" t="str" cm="1">
        <f t="array" ref="V4866">_xlfn.IFS(
LEFT(S4866,16)="win on penalties",IF(VALUE(MID(S4866,19,1))&gt;VALUE(MID(S4866,23,1)),DATA_CLEANED!AK380,DATA_CLEANED!AN380),
ISNUMBER(SEARCH("USA",S4866)),"United States",
ISNUMBER(SEARCH("Republic of Ireland",S4866)),"Ireland",
ISNUMBER(SEARCH("Republic of Korea",S4866)),"South Korea",
ISNUMBER(SEARCH("Cape Verde",S4866)),"Cabo Verde",
ISNUMBER(SEARCH("Czechia",S4866)),"Czech Republic",
ISNUMBER(SEARCH("Türkiye",S4866)),"Turkey",
ISNUMBER(SEARCH("Ivory Coast",S4866)),"Côte d'Ivoire",
ISNUMBER(SEARCH("Korea Republic",S4866)),"South Korea",
ISNUMBER(SEARCH("Germany FR",S4866)),"FR Germany",
ISNUMBER(SEARCH("West Germany",S4866)),"FR Germany",
ISNUMBER(SEARCH("Germany DR",S4866)),"DR Germany",
ISNUMBER(SEARCH("Korea DPR",S4866)),"North Korea",
ISNUMBER(SEARCH("China PR",S4866)),"China",
ISNUMBER(SEARCH("IR Iran",S4866)),"Iran",
ISNUMBER(SEARCH("Congo DR",S4866)),"Democratic Republic of the Congo",
ISNUMBER(SEARCH("DR Congo",S4866)),"Democratic Republic of the Congo",
ISNUMBER(SEARCH("German DR",S4866)),"DR Germany",
ISNUMBER(SEARCH("rn""&gt;United Arab Emirates",S4866)),"United Arab Emirates",
ISNUMBER(SEARCH("rn""&gt;Republic of Ireland",S4866)),"Ireland",
ISNUMBER(SEARCH("rn""&gt;Bosnia and Herzegovina",S4866)),"Bosnia and Herzegovina",
ISNUMBER(SEARCH("rn""&gt;Trinidad and Tobago",S4866)),"Trinidad and Tobago",
ISNUMBER(SEARCH("rn""&gt;Serbia and Montenegro",S4866)),"Serbia and Montenegro",
ISNUMBER(SEARCH(_xlfn.UNICHAR(65533),S4866)),"Côte d'Ivoire",
TRUE,"-"
)</f>
        <v>-</v>
      </c>
      <c r="W4866" s="42" t="str">
        <f t="shared" si="300"/>
        <v>-</v>
      </c>
    </row>
    <row r="4867" spans="19:23">
      <c r="S4867" s="42" t="str">
        <v/>
      </c>
      <c r="T4867" s="42" t="str">
        <f t="shared" si="298"/>
        <v>-</v>
      </c>
      <c r="U4867" s="40" t="str">
        <f t="shared" si="299"/>
        <v>-</v>
      </c>
      <c r="V4867" s="42" t="str" cm="1">
        <f t="array" ref="V4867">_xlfn.IFS(
LEFT(S4867,16)="win on penalties",IF(VALUE(MID(S4867,19,1))&gt;VALUE(MID(S4867,23,1)),DATA_CLEANED!AK381,DATA_CLEANED!AN381),
ISNUMBER(SEARCH("USA",S4867)),"United States",
ISNUMBER(SEARCH("Republic of Ireland",S4867)),"Ireland",
ISNUMBER(SEARCH("Republic of Korea",S4867)),"South Korea",
ISNUMBER(SEARCH("Cape Verde",S4867)),"Cabo Verde",
ISNUMBER(SEARCH("Czechia",S4867)),"Czech Republic",
ISNUMBER(SEARCH("Türkiye",S4867)),"Turkey",
ISNUMBER(SEARCH("Ivory Coast",S4867)),"Côte d'Ivoire",
ISNUMBER(SEARCH("Korea Republic",S4867)),"South Korea",
ISNUMBER(SEARCH("Germany FR",S4867)),"FR Germany",
ISNUMBER(SEARCH("West Germany",S4867)),"FR Germany",
ISNUMBER(SEARCH("Germany DR",S4867)),"DR Germany",
ISNUMBER(SEARCH("Korea DPR",S4867)),"North Korea",
ISNUMBER(SEARCH("China PR",S4867)),"China",
ISNUMBER(SEARCH("IR Iran",S4867)),"Iran",
ISNUMBER(SEARCH("Congo DR",S4867)),"Democratic Republic of the Congo",
ISNUMBER(SEARCH("DR Congo",S4867)),"Democratic Republic of the Congo",
ISNUMBER(SEARCH("German DR",S4867)),"DR Germany",
ISNUMBER(SEARCH("rn""&gt;United Arab Emirates",S4867)),"United Arab Emirates",
ISNUMBER(SEARCH("rn""&gt;Republic of Ireland",S4867)),"Ireland",
ISNUMBER(SEARCH("rn""&gt;Bosnia and Herzegovina",S4867)),"Bosnia and Herzegovina",
ISNUMBER(SEARCH("rn""&gt;Trinidad and Tobago",S4867)),"Trinidad and Tobago",
ISNUMBER(SEARCH("rn""&gt;Serbia and Montenegro",S4867)),"Serbia and Montenegro",
ISNUMBER(SEARCH(_xlfn.UNICHAR(65533),S4867)),"Côte d'Ivoire",
TRUE,"-"
)</f>
        <v>-</v>
      </c>
      <c r="W4867" s="42" t="str">
        <f t="shared" si="300"/>
        <v>-</v>
      </c>
    </row>
    <row r="4868" spans="19:23">
      <c r="S4868" s="42" t="str">
        <v/>
      </c>
      <c r="T4868" s="42" t="str">
        <f t="shared" si="298"/>
        <v>-</v>
      </c>
      <c r="U4868" s="40" t="str">
        <f t="shared" si="299"/>
        <v>-</v>
      </c>
      <c r="V4868" s="42" t="str" cm="1">
        <f t="array" ref="V4868">_xlfn.IFS(
LEFT(S4868,16)="win on penalties",IF(VALUE(MID(S4868,19,1))&gt;VALUE(MID(S4868,23,1)),DATA_CLEANED!AK382,DATA_CLEANED!AN382),
ISNUMBER(SEARCH("USA",S4868)),"United States",
ISNUMBER(SEARCH("Republic of Ireland",S4868)),"Ireland",
ISNUMBER(SEARCH("Republic of Korea",S4868)),"South Korea",
ISNUMBER(SEARCH("Cape Verde",S4868)),"Cabo Verde",
ISNUMBER(SEARCH("Czechia",S4868)),"Czech Republic",
ISNUMBER(SEARCH("Türkiye",S4868)),"Turkey",
ISNUMBER(SEARCH("Ivory Coast",S4868)),"Côte d'Ivoire",
ISNUMBER(SEARCH("Korea Republic",S4868)),"South Korea",
ISNUMBER(SEARCH("Germany FR",S4868)),"FR Germany",
ISNUMBER(SEARCH("West Germany",S4868)),"FR Germany",
ISNUMBER(SEARCH("Germany DR",S4868)),"DR Germany",
ISNUMBER(SEARCH("Korea DPR",S4868)),"North Korea",
ISNUMBER(SEARCH("China PR",S4868)),"China",
ISNUMBER(SEARCH("IR Iran",S4868)),"Iran",
ISNUMBER(SEARCH("Congo DR",S4868)),"Democratic Republic of the Congo",
ISNUMBER(SEARCH("DR Congo",S4868)),"Democratic Republic of the Congo",
ISNUMBER(SEARCH("German DR",S4868)),"DR Germany",
ISNUMBER(SEARCH("rn""&gt;United Arab Emirates",S4868)),"United Arab Emirates",
ISNUMBER(SEARCH("rn""&gt;Republic of Ireland",S4868)),"Ireland",
ISNUMBER(SEARCH("rn""&gt;Bosnia and Herzegovina",S4868)),"Bosnia and Herzegovina",
ISNUMBER(SEARCH("rn""&gt;Trinidad and Tobago",S4868)),"Trinidad and Tobago",
ISNUMBER(SEARCH("rn""&gt;Serbia and Montenegro",S4868)),"Serbia and Montenegro",
ISNUMBER(SEARCH(_xlfn.UNICHAR(65533),S4868)),"Côte d'Ivoire",
TRUE,"-"
)</f>
        <v>-</v>
      </c>
      <c r="W4868" s="42" t="str">
        <f t="shared" si="300"/>
        <v>-</v>
      </c>
    </row>
    <row r="4869" spans="19:23">
      <c r="S4869" s="42" t="str">
        <v/>
      </c>
      <c r="T4869" s="42" t="str">
        <f t="shared" si="298"/>
        <v>-</v>
      </c>
      <c r="U4869" s="40" t="str">
        <f t="shared" si="299"/>
        <v>-</v>
      </c>
      <c r="V4869" s="42" t="str" cm="1">
        <f t="array" ref="V4869">_xlfn.IFS(
LEFT(S4869,16)="win on penalties",IF(VALUE(MID(S4869,19,1))&gt;VALUE(MID(S4869,23,1)),DATA_CLEANED!AK383,DATA_CLEANED!AN383),
ISNUMBER(SEARCH("USA",S4869)),"United States",
ISNUMBER(SEARCH("Republic of Ireland",S4869)),"Ireland",
ISNUMBER(SEARCH("Republic of Korea",S4869)),"South Korea",
ISNUMBER(SEARCH("Cape Verde",S4869)),"Cabo Verde",
ISNUMBER(SEARCH("Czechia",S4869)),"Czech Republic",
ISNUMBER(SEARCH("Türkiye",S4869)),"Turkey",
ISNUMBER(SEARCH("Ivory Coast",S4869)),"Côte d'Ivoire",
ISNUMBER(SEARCH("Korea Republic",S4869)),"South Korea",
ISNUMBER(SEARCH("Germany FR",S4869)),"FR Germany",
ISNUMBER(SEARCH("West Germany",S4869)),"FR Germany",
ISNUMBER(SEARCH("Germany DR",S4869)),"DR Germany",
ISNUMBER(SEARCH("Korea DPR",S4869)),"North Korea",
ISNUMBER(SEARCH("China PR",S4869)),"China",
ISNUMBER(SEARCH("IR Iran",S4869)),"Iran",
ISNUMBER(SEARCH("Congo DR",S4869)),"Democratic Republic of the Congo",
ISNUMBER(SEARCH("DR Congo",S4869)),"Democratic Republic of the Congo",
ISNUMBER(SEARCH("German DR",S4869)),"DR Germany",
ISNUMBER(SEARCH("rn""&gt;United Arab Emirates",S4869)),"United Arab Emirates",
ISNUMBER(SEARCH("rn""&gt;Republic of Ireland",S4869)),"Ireland",
ISNUMBER(SEARCH("rn""&gt;Bosnia and Herzegovina",S4869)),"Bosnia and Herzegovina",
ISNUMBER(SEARCH("rn""&gt;Trinidad and Tobago",S4869)),"Trinidad and Tobago",
ISNUMBER(SEARCH("rn""&gt;Serbia and Montenegro",S4869)),"Serbia and Montenegro",
ISNUMBER(SEARCH(_xlfn.UNICHAR(65533),S4869)),"Côte d'Ivoire",
TRUE,"-"
)</f>
        <v>-</v>
      </c>
      <c r="W4869" s="42" t="str">
        <f t="shared" si="300"/>
        <v>-</v>
      </c>
    </row>
    <row r="4870" spans="19:23">
      <c r="S4870" s="42" t="str">
        <v/>
      </c>
      <c r="T4870" s="42" t="str">
        <f t="shared" si="298"/>
        <v>-</v>
      </c>
      <c r="U4870" s="40" t="str">
        <f t="shared" si="299"/>
        <v>-</v>
      </c>
      <c r="V4870" s="42" t="str" cm="1">
        <f t="array" ref="V4870">_xlfn.IFS(
LEFT(S4870,16)="win on penalties",IF(VALUE(MID(S4870,19,1))&gt;VALUE(MID(S4870,23,1)),DATA_CLEANED!AK384,DATA_CLEANED!AN384),
ISNUMBER(SEARCH("USA",S4870)),"United States",
ISNUMBER(SEARCH("Republic of Ireland",S4870)),"Ireland",
ISNUMBER(SEARCH("Republic of Korea",S4870)),"South Korea",
ISNUMBER(SEARCH("Cape Verde",S4870)),"Cabo Verde",
ISNUMBER(SEARCH("Czechia",S4870)),"Czech Republic",
ISNUMBER(SEARCH("Türkiye",S4870)),"Turkey",
ISNUMBER(SEARCH("Ivory Coast",S4870)),"Côte d'Ivoire",
ISNUMBER(SEARCH("Korea Republic",S4870)),"South Korea",
ISNUMBER(SEARCH("Germany FR",S4870)),"FR Germany",
ISNUMBER(SEARCH("West Germany",S4870)),"FR Germany",
ISNUMBER(SEARCH("Germany DR",S4870)),"DR Germany",
ISNUMBER(SEARCH("Korea DPR",S4870)),"North Korea",
ISNUMBER(SEARCH("China PR",S4870)),"China",
ISNUMBER(SEARCH("IR Iran",S4870)),"Iran",
ISNUMBER(SEARCH("Congo DR",S4870)),"Democratic Republic of the Congo",
ISNUMBER(SEARCH("DR Congo",S4870)),"Democratic Republic of the Congo",
ISNUMBER(SEARCH("German DR",S4870)),"DR Germany",
ISNUMBER(SEARCH("rn""&gt;United Arab Emirates",S4870)),"United Arab Emirates",
ISNUMBER(SEARCH("rn""&gt;Republic of Ireland",S4870)),"Ireland",
ISNUMBER(SEARCH("rn""&gt;Bosnia and Herzegovina",S4870)),"Bosnia and Herzegovina",
ISNUMBER(SEARCH("rn""&gt;Trinidad and Tobago",S4870)),"Trinidad and Tobago",
ISNUMBER(SEARCH("rn""&gt;Serbia and Montenegro",S4870)),"Serbia and Montenegro",
ISNUMBER(SEARCH(_xlfn.UNICHAR(65533),S4870)),"Côte d'Ivoire",
TRUE,"-"
)</f>
        <v>-</v>
      </c>
      <c r="W4870" s="42" t="str">
        <f t="shared" si="300"/>
        <v>-</v>
      </c>
    </row>
    <row r="4871" spans="19:23">
      <c r="S4871" s="42" t="str">
        <v/>
      </c>
      <c r="T4871" s="42" t="str">
        <f t="shared" si="298"/>
        <v>-</v>
      </c>
      <c r="U4871" s="40" t="str">
        <f t="shared" si="299"/>
        <v>-</v>
      </c>
      <c r="V4871" s="42" t="str" cm="1">
        <f t="array" ref="V4871">_xlfn.IFS(
LEFT(S4871,16)="win on penalties",IF(VALUE(MID(S4871,19,1))&gt;VALUE(MID(S4871,23,1)),DATA_CLEANED!AK385,DATA_CLEANED!AN385),
ISNUMBER(SEARCH("USA",S4871)),"United States",
ISNUMBER(SEARCH("Republic of Ireland",S4871)),"Ireland",
ISNUMBER(SEARCH("Republic of Korea",S4871)),"South Korea",
ISNUMBER(SEARCH("Cape Verde",S4871)),"Cabo Verde",
ISNUMBER(SEARCH("Czechia",S4871)),"Czech Republic",
ISNUMBER(SEARCH("Türkiye",S4871)),"Turkey",
ISNUMBER(SEARCH("Ivory Coast",S4871)),"Côte d'Ivoire",
ISNUMBER(SEARCH("Korea Republic",S4871)),"South Korea",
ISNUMBER(SEARCH("Germany FR",S4871)),"FR Germany",
ISNUMBER(SEARCH("West Germany",S4871)),"FR Germany",
ISNUMBER(SEARCH("Germany DR",S4871)),"DR Germany",
ISNUMBER(SEARCH("Korea DPR",S4871)),"North Korea",
ISNUMBER(SEARCH("China PR",S4871)),"China",
ISNUMBER(SEARCH("IR Iran",S4871)),"Iran",
ISNUMBER(SEARCH("Congo DR",S4871)),"Democratic Republic of the Congo",
ISNUMBER(SEARCH("DR Congo",S4871)),"Democratic Republic of the Congo",
ISNUMBER(SEARCH("German DR",S4871)),"DR Germany",
ISNUMBER(SEARCH("rn""&gt;United Arab Emirates",S4871)),"United Arab Emirates",
ISNUMBER(SEARCH("rn""&gt;Republic of Ireland",S4871)),"Ireland",
ISNUMBER(SEARCH("rn""&gt;Bosnia and Herzegovina",S4871)),"Bosnia and Herzegovina",
ISNUMBER(SEARCH("rn""&gt;Trinidad and Tobago",S4871)),"Trinidad and Tobago",
ISNUMBER(SEARCH("rn""&gt;Serbia and Montenegro",S4871)),"Serbia and Montenegro",
ISNUMBER(SEARCH(_xlfn.UNICHAR(65533),S4871)),"Côte d'Ivoire",
TRUE,"-"
)</f>
        <v>-</v>
      </c>
      <c r="W4871" s="42" t="str">
        <f t="shared" si="300"/>
        <v>-</v>
      </c>
    </row>
    <row r="4872" spans="19:23">
      <c r="S4872" s="42" t="str">
        <v/>
      </c>
      <c r="T4872" s="42" t="str">
        <f t="shared" si="298"/>
        <v>-</v>
      </c>
      <c r="U4872" s="40" t="str">
        <f t="shared" si="299"/>
        <v>-</v>
      </c>
      <c r="V4872" s="42" t="str" cm="1">
        <f t="array" ref="V4872">_xlfn.IFS(
LEFT(S4872,16)="win on penalties",IF(VALUE(MID(S4872,19,1))&gt;VALUE(MID(S4872,23,1)),DATA_CLEANED!AK386,DATA_CLEANED!AN386),
ISNUMBER(SEARCH("USA",S4872)),"United States",
ISNUMBER(SEARCH("Republic of Ireland",S4872)),"Ireland",
ISNUMBER(SEARCH("Republic of Korea",S4872)),"South Korea",
ISNUMBER(SEARCH("Cape Verde",S4872)),"Cabo Verde",
ISNUMBER(SEARCH("Czechia",S4872)),"Czech Republic",
ISNUMBER(SEARCH("Türkiye",S4872)),"Turkey",
ISNUMBER(SEARCH("Ivory Coast",S4872)),"Côte d'Ivoire",
ISNUMBER(SEARCH("Korea Republic",S4872)),"South Korea",
ISNUMBER(SEARCH("Germany FR",S4872)),"FR Germany",
ISNUMBER(SEARCH("West Germany",S4872)),"FR Germany",
ISNUMBER(SEARCH("Germany DR",S4872)),"DR Germany",
ISNUMBER(SEARCH("Korea DPR",S4872)),"North Korea",
ISNUMBER(SEARCH("China PR",S4872)),"China",
ISNUMBER(SEARCH("IR Iran",S4872)),"Iran",
ISNUMBER(SEARCH("Congo DR",S4872)),"Democratic Republic of the Congo",
ISNUMBER(SEARCH("DR Congo",S4872)),"Democratic Republic of the Congo",
ISNUMBER(SEARCH("German DR",S4872)),"DR Germany",
ISNUMBER(SEARCH("rn""&gt;United Arab Emirates",S4872)),"United Arab Emirates",
ISNUMBER(SEARCH("rn""&gt;Republic of Ireland",S4872)),"Ireland",
ISNUMBER(SEARCH("rn""&gt;Bosnia and Herzegovina",S4872)),"Bosnia and Herzegovina",
ISNUMBER(SEARCH("rn""&gt;Trinidad and Tobago",S4872)),"Trinidad and Tobago",
ISNUMBER(SEARCH("rn""&gt;Serbia and Montenegro",S4872)),"Serbia and Montenegro",
ISNUMBER(SEARCH(_xlfn.UNICHAR(65533),S4872)),"Côte d'Ivoire",
TRUE,"-"
)</f>
        <v>-</v>
      </c>
      <c r="W4872" s="42" t="str">
        <f t="shared" si="300"/>
        <v>-</v>
      </c>
    </row>
    <row r="4873" spans="19:23">
      <c r="S4873" s="42" t="str">
        <v/>
      </c>
      <c r="T4873" s="42" t="str">
        <f t="shared" si="298"/>
        <v>-</v>
      </c>
      <c r="U4873" s="40" t="str">
        <f t="shared" si="299"/>
        <v>-</v>
      </c>
      <c r="V4873" s="42" t="str" cm="1">
        <f t="array" ref="V4873">_xlfn.IFS(
LEFT(S4873,16)="win on penalties",IF(VALUE(MID(S4873,19,1))&gt;VALUE(MID(S4873,23,1)),DATA_CLEANED!AK387,DATA_CLEANED!AN387),
ISNUMBER(SEARCH("USA",S4873)),"United States",
ISNUMBER(SEARCH("Republic of Ireland",S4873)),"Ireland",
ISNUMBER(SEARCH("Republic of Korea",S4873)),"South Korea",
ISNUMBER(SEARCH("Cape Verde",S4873)),"Cabo Verde",
ISNUMBER(SEARCH("Czechia",S4873)),"Czech Republic",
ISNUMBER(SEARCH("Türkiye",S4873)),"Turkey",
ISNUMBER(SEARCH("Ivory Coast",S4873)),"Côte d'Ivoire",
ISNUMBER(SEARCH("Korea Republic",S4873)),"South Korea",
ISNUMBER(SEARCH("Germany FR",S4873)),"FR Germany",
ISNUMBER(SEARCH("West Germany",S4873)),"FR Germany",
ISNUMBER(SEARCH("Germany DR",S4873)),"DR Germany",
ISNUMBER(SEARCH("Korea DPR",S4873)),"North Korea",
ISNUMBER(SEARCH("China PR",S4873)),"China",
ISNUMBER(SEARCH("IR Iran",S4873)),"Iran",
ISNUMBER(SEARCH("Congo DR",S4873)),"Democratic Republic of the Congo",
ISNUMBER(SEARCH("DR Congo",S4873)),"Democratic Republic of the Congo",
ISNUMBER(SEARCH("German DR",S4873)),"DR Germany",
ISNUMBER(SEARCH("rn""&gt;United Arab Emirates",S4873)),"United Arab Emirates",
ISNUMBER(SEARCH("rn""&gt;Republic of Ireland",S4873)),"Ireland",
ISNUMBER(SEARCH("rn""&gt;Bosnia and Herzegovina",S4873)),"Bosnia and Herzegovina",
ISNUMBER(SEARCH("rn""&gt;Trinidad and Tobago",S4873)),"Trinidad and Tobago",
ISNUMBER(SEARCH("rn""&gt;Serbia and Montenegro",S4873)),"Serbia and Montenegro",
ISNUMBER(SEARCH(_xlfn.UNICHAR(65533),S4873)),"Côte d'Ivoire",
TRUE,"-"
)</f>
        <v>-</v>
      </c>
      <c r="W4873" s="42" t="str">
        <f t="shared" si="300"/>
        <v>-</v>
      </c>
    </row>
    <row r="4874" spans="19:23">
      <c r="S4874" s="42" t="str">
        <v/>
      </c>
      <c r="T4874" s="42" t="str">
        <f t="shared" ref="T4874:T4937" si="301">IF(S4874="","-",IFERROR(LEFT(S4874,SEARCH(" win",S4874)-1),"-"))</f>
        <v>-</v>
      </c>
      <c r="U4874" s="40" t="str">
        <f t="shared" ref="U4874:U4937" si="302">IF(T4874="-","-",IF(COUNTIF(_xlfn.ANCHORARRAY(X$13),T4874)=1,"AUCUNE","RENOMMER"))</f>
        <v>-</v>
      </c>
      <c r="V4874" s="42" t="str" cm="1">
        <f t="array" ref="V4874">_xlfn.IFS(
LEFT(S4874,16)="win on penalties",IF(VALUE(MID(S4874,19,1))&gt;VALUE(MID(S4874,23,1)),DATA_CLEANED!AK388,DATA_CLEANED!AN388),
ISNUMBER(SEARCH("USA",S4874)),"United States",
ISNUMBER(SEARCH("Republic of Ireland",S4874)),"Ireland",
ISNUMBER(SEARCH("Republic of Korea",S4874)),"South Korea",
ISNUMBER(SEARCH("Cape Verde",S4874)),"Cabo Verde",
ISNUMBER(SEARCH("Czechia",S4874)),"Czech Republic",
ISNUMBER(SEARCH("Türkiye",S4874)),"Turkey",
ISNUMBER(SEARCH("Ivory Coast",S4874)),"Côte d'Ivoire",
ISNUMBER(SEARCH("Korea Republic",S4874)),"South Korea",
ISNUMBER(SEARCH("Germany FR",S4874)),"FR Germany",
ISNUMBER(SEARCH("West Germany",S4874)),"FR Germany",
ISNUMBER(SEARCH("Germany DR",S4874)),"DR Germany",
ISNUMBER(SEARCH("Korea DPR",S4874)),"North Korea",
ISNUMBER(SEARCH("China PR",S4874)),"China",
ISNUMBER(SEARCH("IR Iran",S4874)),"Iran",
ISNUMBER(SEARCH("Congo DR",S4874)),"Democratic Republic of the Congo",
ISNUMBER(SEARCH("DR Congo",S4874)),"Democratic Republic of the Congo",
ISNUMBER(SEARCH("German DR",S4874)),"DR Germany",
ISNUMBER(SEARCH("rn""&gt;United Arab Emirates",S4874)),"United Arab Emirates",
ISNUMBER(SEARCH("rn""&gt;Republic of Ireland",S4874)),"Ireland",
ISNUMBER(SEARCH("rn""&gt;Bosnia and Herzegovina",S4874)),"Bosnia and Herzegovina",
ISNUMBER(SEARCH("rn""&gt;Trinidad and Tobago",S4874)),"Trinidad and Tobago",
ISNUMBER(SEARCH("rn""&gt;Serbia and Montenegro",S4874)),"Serbia and Montenegro",
ISNUMBER(SEARCH(_xlfn.UNICHAR(65533),S4874)),"Côte d'Ivoire",
TRUE,"-"
)</f>
        <v>-</v>
      </c>
      <c r="W4874" s="42" t="str">
        <f t="shared" ref="W4874:W4937" si="303">IF(S4874="","-",IF(AND(U4874="RENOMMER",T4874&lt;&gt;"-",V4874&lt;&gt;"-"),SUBSTITUTE(S4874,T4874,V4874),S4874))</f>
        <v>-</v>
      </c>
    </row>
    <row r="4875" spans="19:23">
      <c r="S4875" s="42" t="str">
        <v/>
      </c>
      <c r="T4875" s="42" t="str">
        <f t="shared" si="301"/>
        <v>-</v>
      </c>
      <c r="U4875" s="40" t="str">
        <f t="shared" si="302"/>
        <v>-</v>
      </c>
      <c r="V4875" s="42" t="str" cm="1">
        <f t="array" ref="V4875">_xlfn.IFS(
LEFT(S4875,16)="win on penalties",IF(VALUE(MID(S4875,19,1))&gt;VALUE(MID(S4875,23,1)),DATA_CLEANED!AK389,DATA_CLEANED!AN389),
ISNUMBER(SEARCH("USA",S4875)),"United States",
ISNUMBER(SEARCH("Republic of Ireland",S4875)),"Ireland",
ISNUMBER(SEARCH("Republic of Korea",S4875)),"South Korea",
ISNUMBER(SEARCH("Cape Verde",S4875)),"Cabo Verde",
ISNUMBER(SEARCH("Czechia",S4875)),"Czech Republic",
ISNUMBER(SEARCH("Türkiye",S4875)),"Turkey",
ISNUMBER(SEARCH("Ivory Coast",S4875)),"Côte d'Ivoire",
ISNUMBER(SEARCH("Korea Republic",S4875)),"South Korea",
ISNUMBER(SEARCH("Germany FR",S4875)),"FR Germany",
ISNUMBER(SEARCH("West Germany",S4875)),"FR Germany",
ISNUMBER(SEARCH("Germany DR",S4875)),"DR Germany",
ISNUMBER(SEARCH("Korea DPR",S4875)),"North Korea",
ISNUMBER(SEARCH("China PR",S4875)),"China",
ISNUMBER(SEARCH("IR Iran",S4875)),"Iran",
ISNUMBER(SEARCH("Congo DR",S4875)),"Democratic Republic of the Congo",
ISNUMBER(SEARCH("DR Congo",S4875)),"Democratic Republic of the Congo",
ISNUMBER(SEARCH("German DR",S4875)),"DR Germany",
ISNUMBER(SEARCH("rn""&gt;United Arab Emirates",S4875)),"United Arab Emirates",
ISNUMBER(SEARCH("rn""&gt;Republic of Ireland",S4875)),"Ireland",
ISNUMBER(SEARCH("rn""&gt;Bosnia and Herzegovina",S4875)),"Bosnia and Herzegovina",
ISNUMBER(SEARCH("rn""&gt;Trinidad and Tobago",S4875)),"Trinidad and Tobago",
ISNUMBER(SEARCH("rn""&gt;Serbia and Montenegro",S4875)),"Serbia and Montenegro",
ISNUMBER(SEARCH(_xlfn.UNICHAR(65533),S4875)),"Côte d'Ivoire",
TRUE,"-"
)</f>
        <v>-</v>
      </c>
      <c r="W4875" s="42" t="str">
        <f t="shared" si="303"/>
        <v>-</v>
      </c>
    </row>
    <row r="4876" spans="19:23">
      <c r="S4876" s="42" t="str">
        <v/>
      </c>
      <c r="T4876" s="42" t="str">
        <f t="shared" si="301"/>
        <v>-</v>
      </c>
      <c r="U4876" s="40" t="str">
        <f t="shared" si="302"/>
        <v>-</v>
      </c>
      <c r="V4876" s="42" t="str" cm="1">
        <f t="array" ref="V4876">_xlfn.IFS(
LEFT(S4876,16)="win on penalties",IF(VALUE(MID(S4876,19,1))&gt;VALUE(MID(S4876,23,1)),DATA_CLEANED!AK390,DATA_CLEANED!AN390),
ISNUMBER(SEARCH("USA",S4876)),"United States",
ISNUMBER(SEARCH("Republic of Ireland",S4876)),"Ireland",
ISNUMBER(SEARCH("Republic of Korea",S4876)),"South Korea",
ISNUMBER(SEARCH("Cape Verde",S4876)),"Cabo Verde",
ISNUMBER(SEARCH("Czechia",S4876)),"Czech Republic",
ISNUMBER(SEARCH("Türkiye",S4876)),"Turkey",
ISNUMBER(SEARCH("Ivory Coast",S4876)),"Côte d'Ivoire",
ISNUMBER(SEARCH("Korea Republic",S4876)),"South Korea",
ISNUMBER(SEARCH("Germany FR",S4876)),"FR Germany",
ISNUMBER(SEARCH("West Germany",S4876)),"FR Germany",
ISNUMBER(SEARCH("Germany DR",S4876)),"DR Germany",
ISNUMBER(SEARCH("Korea DPR",S4876)),"North Korea",
ISNUMBER(SEARCH("China PR",S4876)),"China",
ISNUMBER(SEARCH("IR Iran",S4876)),"Iran",
ISNUMBER(SEARCH("Congo DR",S4876)),"Democratic Republic of the Congo",
ISNUMBER(SEARCH("DR Congo",S4876)),"Democratic Republic of the Congo",
ISNUMBER(SEARCH("German DR",S4876)),"DR Germany",
ISNUMBER(SEARCH("rn""&gt;United Arab Emirates",S4876)),"United Arab Emirates",
ISNUMBER(SEARCH("rn""&gt;Republic of Ireland",S4876)),"Ireland",
ISNUMBER(SEARCH("rn""&gt;Bosnia and Herzegovina",S4876)),"Bosnia and Herzegovina",
ISNUMBER(SEARCH("rn""&gt;Trinidad and Tobago",S4876)),"Trinidad and Tobago",
ISNUMBER(SEARCH("rn""&gt;Serbia and Montenegro",S4876)),"Serbia and Montenegro",
ISNUMBER(SEARCH(_xlfn.UNICHAR(65533),S4876)),"Côte d'Ivoire",
TRUE,"-"
)</f>
        <v>-</v>
      </c>
      <c r="W4876" s="42" t="str">
        <f t="shared" si="303"/>
        <v>-</v>
      </c>
    </row>
    <row r="4877" spans="19:23">
      <c r="S4877" s="42" t="str">
        <v/>
      </c>
      <c r="T4877" s="42" t="str">
        <f t="shared" si="301"/>
        <v>-</v>
      </c>
      <c r="U4877" s="40" t="str">
        <f t="shared" si="302"/>
        <v>-</v>
      </c>
      <c r="V4877" s="42" t="str" cm="1">
        <f t="array" ref="V4877">_xlfn.IFS(
LEFT(S4877,16)="win on penalties",IF(VALUE(MID(S4877,19,1))&gt;VALUE(MID(S4877,23,1)),DATA_CLEANED!AK391,DATA_CLEANED!AN391),
ISNUMBER(SEARCH("USA",S4877)),"United States",
ISNUMBER(SEARCH("Republic of Ireland",S4877)),"Ireland",
ISNUMBER(SEARCH("Republic of Korea",S4877)),"South Korea",
ISNUMBER(SEARCH("Cape Verde",S4877)),"Cabo Verde",
ISNUMBER(SEARCH("Czechia",S4877)),"Czech Republic",
ISNUMBER(SEARCH("Türkiye",S4877)),"Turkey",
ISNUMBER(SEARCH("Ivory Coast",S4877)),"Côte d'Ivoire",
ISNUMBER(SEARCH("Korea Republic",S4877)),"South Korea",
ISNUMBER(SEARCH("Germany FR",S4877)),"FR Germany",
ISNUMBER(SEARCH("West Germany",S4877)),"FR Germany",
ISNUMBER(SEARCH("Germany DR",S4877)),"DR Germany",
ISNUMBER(SEARCH("Korea DPR",S4877)),"North Korea",
ISNUMBER(SEARCH("China PR",S4877)),"China",
ISNUMBER(SEARCH("IR Iran",S4877)),"Iran",
ISNUMBER(SEARCH("Congo DR",S4877)),"Democratic Republic of the Congo",
ISNUMBER(SEARCH("DR Congo",S4877)),"Democratic Republic of the Congo",
ISNUMBER(SEARCH("German DR",S4877)),"DR Germany",
ISNUMBER(SEARCH("rn""&gt;United Arab Emirates",S4877)),"United Arab Emirates",
ISNUMBER(SEARCH("rn""&gt;Republic of Ireland",S4877)),"Ireland",
ISNUMBER(SEARCH("rn""&gt;Bosnia and Herzegovina",S4877)),"Bosnia and Herzegovina",
ISNUMBER(SEARCH("rn""&gt;Trinidad and Tobago",S4877)),"Trinidad and Tobago",
ISNUMBER(SEARCH("rn""&gt;Serbia and Montenegro",S4877)),"Serbia and Montenegro",
ISNUMBER(SEARCH(_xlfn.UNICHAR(65533),S4877)),"Côte d'Ivoire",
TRUE,"-"
)</f>
        <v>-</v>
      </c>
      <c r="W4877" s="42" t="str">
        <f t="shared" si="303"/>
        <v>-</v>
      </c>
    </row>
    <row r="4878" spans="19:23">
      <c r="S4878" s="42" t="str">
        <v/>
      </c>
      <c r="T4878" s="42" t="str">
        <f t="shared" si="301"/>
        <v>-</v>
      </c>
      <c r="U4878" s="40" t="str">
        <f t="shared" si="302"/>
        <v>-</v>
      </c>
      <c r="V4878" s="42" t="str" cm="1">
        <f t="array" ref="V4878">_xlfn.IFS(
LEFT(S4878,16)="win on penalties",IF(VALUE(MID(S4878,19,1))&gt;VALUE(MID(S4878,23,1)),DATA_CLEANED!AK392,DATA_CLEANED!AN392),
ISNUMBER(SEARCH("USA",S4878)),"United States",
ISNUMBER(SEARCH("Republic of Ireland",S4878)),"Ireland",
ISNUMBER(SEARCH("Republic of Korea",S4878)),"South Korea",
ISNUMBER(SEARCH("Cape Verde",S4878)),"Cabo Verde",
ISNUMBER(SEARCH("Czechia",S4878)),"Czech Republic",
ISNUMBER(SEARCH("Türkiye",S4878)),"Turkey",
ISNUMBER(SEARCH("Ivory Coast",S4878)),"Côte d'Ivoire",
ISNUMBER(SEARCH("Korea Republic",S4878)),"South Korea",
ISNUMBER(SEARCH("Germany FR",S4878)),"FR Germany",
ISNUMBER(SEARCH("West Germany",S4878)),"FR Germany",
ISNUMBER(SEARCH("Germany DR",S4878)),"DR Germany",
ISNUMBER(SEARCH("Korea DPR",S4878)),"North Korea",
ISNUMBER(SEARCH("China PR",S4878)),"China",
ISNUMBER(SEARCH("IR Iran",S4878)),"Iran",
ISNUMBER(SEARCH("Congo DR",S4878)),"Democratic Republic of the Congo",
ISNUMBER(SEARCH("DR Congo",S4878)),"Democratic Republic of the Congo",
ISNUMBER(SEARCH("German DR",S4878)),"DR Germany",
ISNUMBER(SEARCH("rn""&gt;United Arab Emirates",S4878)),"United Arab Emirates",
ISNUMBER(SEARCH("rn""&gt;Republic of Ireland",S4878)),"Ireland",
ISNUMBER(SEARCH("rn""&gt;Bosnia and Herzegovina",S4878)),"Bosnia and Herzegovina",
ISNUMBER(SEARCH("rn""&gt;Trinidad and Tobago",S4878)),"Trinidad and Tobago",
ISNUMBER(SEARCH("rn""&gt;Serbia and Montenegro",S4878)),"Serbia and Montenegro",
ISNUMBER(SEARCH(_xlfn.UNICHAR(65533),S4878)),"Côte d'Ivoire",
TRUE,"-"
)</f>
        <v>-</v>
      </c>
      <c r="W4878" s="42" t="str">
        <f t="shared" si="303"/>
        <v>-</v>
      </c>
    </row>
    <row r="4879" spans="19:23">
      <c r="S4879" s="42" t="str">
        <v/>
      </c>
      <c r="T4879" s="42" t="str">
        <f t="shared" si="301"/>
        <v>-</v>
      </c>
      <c r="U4879" s="40" t="str">
        <f t="shared" si="302"/>
        <v>-</v>
      </c>
      <c r="V4879" s="42" t="str" cm="1">
        <f t="array" ref="V4879">_xlfn.IFS(
LEFT(S4879,16)="win on penalties",IF(VALUE(MID(S4879,19,1))&gt;VALUE(MID(S4879,23,1)),DATA_CLEANED!AK393,DATA_CLEANED!AN393),
ISNUMBER(SEARCH("USA",S4879)),"United States",
ISNUMBER(SEARCH("Republic of Ireland",S4879)),"Ireland",
ISNUMBER(SEARCH("Republic of Korea",S4879)),"South Korea",
ISNUMBER(SEARCH("Cape Verde",S4879)),"Cabo Verde",
ISNUMBER(SEARCH("Czechia",S4879)),"Czech Republic",
ISNUMBER(SEARCH("Türkiye",S4879)),"Turkey",
ISNUMBER(SEARCH("Ivory Coast",S4879)),"Côte d'Ivoire",
ISNUMBER(SEARCH("Korea Republic",S4879)),"South Korea",
ISNUMBER(SEARCH("Germany FR",S4879)),"FR Germany",
ISNUMBER(SEARCH("West Germany",S4879)),"FR Germany",
ISNUMBER(SEARCH("Germany DR",S4879)),"DR Germany",
ISNUMBER(SEARCH("Korea DPR",S4879)),"North Korea",
ISNUMBER(SEARCH("China PR",S4879)),"China",
ISNUMBER(SEARCH("IR Iran",S4879)),"Iran",
ISNUMBER(SEARCH("Congo DR",S4879)),"Democratic Republic of the Congo",
ISNUMBER(SEARCH("DR Congo",S4879)),"Democratic Republic of the Congo",
ISNUMBER(SEARCH("German DR",S4879)),"DR Germany",
ISNUMBER(SEARCH("rn""&gt;United Arab Emirates",S4879)),"United Arab Emirates",
ISNUMBER(SEARCH("rn""&gt;Republic of Ireland",S4879)),"Ireland",
ISNUMBER(SEARCH("rn""&gt;Bosnia and Herzegovina",S4879)),"Bosnia and Herzegovina",
ISNUMBER(SEARCH("rn""&gt;Trinidad and Tobago",S4879)),"Trinidad and Tobago",
ISNUMBER(SEARCH("rn""&gt;Serbia and Montenegro",S4879)),"Serbia and Montenegro",
ISNUMBER(SEARCH(_xlfn.UNICHAR(65533),S4879)),"Côte d'Ivoire",
TRUE,"-"
)</f>
        <v>-</v>
      </c>
      <c r="W4879" s="42" t="str">
        <f t="shared" si="303"/>
        <v>-</v>
      </c>
    </row>
    <row r="4880" spans="19:23">
      <c r="S4880" s="42" t="str">
        <v/>
      </c>
      <c r="T4880" s="42" t="str">
        <f t="shared" si="301"/>
        <v>-</v>
      </c>
      <c r="U4880" s="40" t="str">
        <f t="shared" si="302"/>
        <v>-</v>
      </c>
      <c r="V4880" s="42" t="str" cm="1">
        <f t="array" ref="V4880">_xlfn.IFS(
LEFT(S4880,16)="win on penalties",IF(VALUE(MID(S4880,19,1))&gt;VALUE(MID(S4880,23,1)),DATA_CLEANED!AK394,DATA_CLEANED!AN394),
ISNUMBER(SEARCH("USA",S4880)),"United States",
ISNUMBER(SEARCH("Republic of Ireland",S4880)),"Ireland",
ISNUMBER(SEARCH("Republic of Korea",S4880)),"South Korea",
ISNUMBER(SEARCH("Cape Verde",S4880)),"Cabo Verde",
ISNUMBER(SEARCH("Czechia",S4880)),"Czech Republic",
ISNUMBER(SEARCH("Türkiye",S4880)),"Turkey",
ISNUMBER(SEARCH("Ivory Coast",S4880)),"Côte d'Ivoire",
ISNUMBER(SEARCH("Korea Republic",S4880)),"South Korea",
ISNUMBER(SEARCH("Germany FR",S4880)),"FR Germany",
ISNUMBER(SEARCH("West Germany",S4880)),"FR Germany",
ISNUMBER(SEARCH("Germany DR",S4880)),"DR Germany",
ISNUMBER(SEARCH("Korea DPR",S4880)),"North Korea",
ISNUMBER(SEARCH("China PR",S4880)),"China",
ISNUMBER(SEARCH("IR Iran",S4880)),"Iran",
ISNUMBER(SEARCH("Congo DR",S4880)),"Democratic Republic of the Congo",
ISNUMBER(SEARCH("DR Congo",S4880)),"Democratic Republic of the Congo",
ISNUMBER(SEARCH("German DR",S4880)),"DR Germany",
ISNUMBER(SEARCH("rn""&gt;United Arab Emirates",S4880)),"United Arab Emirates",
ISNUMBER(SEARCH("rn""&gt;Republic of Ireland",S4880)),"Ireland",
ISNUMBER(SEARCH("rn""&gt;Bosnia and Herzegovina",S4880)),"Bosnia and Herzegovina",
ISNUMBER(SEARCH("rn""&gt;Trinidad and Tobago",S4880)),"Trinidad and Tobago",
ISNUMBER(SEARCH("rn""&gt;Serbia and Montenegro",S4880)),"Serbia and Montenegro",
ISNUMBER(SEARCH(_xlfn.UNICHAR(65533),S4880)),"Côte d'Ivoire",
TRUE,"-"
)</f>
        <v>-</v>
      </c>
      <c r="W4880" s="42" t="str">
        <f t="shared" si="303"/>
        <v>-</v>
      </c>
    </row>
    <row r="4881" spans="19:23">
      <c r="S4881" s="42" t="str">
        <v/>
      </c>
      <c r="T4881" s="42" t="str">
        <f t="shared" si="301"/>
        <v>-</v>
      </c>
      <c r="U4881" s="40" t="str">
        <f t="shared" si="302"/>
        <v>-</v>
      </c>
      <c r="V4881" s="42" t="str" cm="1">
        <f t="array" ref="V4881">_xlfn.IFS(
LEFT(S4881,16)="win on penalties",IF(VALUE(MID(S4881,19,1))&gt;VALUE(MID(S4881,23,1)),DATA_CLEANED!AK395,DATA_CLEANED!AN395),
ISNUMBER(SEARCH("USA",S4881)),"United States",
ISNUMBER(SEARCH("Republic of Ireland",S4881)),"Ireland",
ISNUMBER(SEARCH("Republic of Korea",S4881)),"South Korea",
ISNUMBER(SEARCH("Cape Verde",S4881)),"Cabo Verde",
ISNUMBER(SEARCH("Czechia",S4881)),"Czech Republic",
ISNUMBER(SEARCH("Türkiye",S4881)),"Turkey",
ISNUMBER(SEARCH("Ivory Coast",S4881)),"Côte d'Ivoire",
ISNUMBER(SEARCH("Korea Republic",S4881)),"South Korea",
ISNUMBER(SEARCH("Germany FR",S4881)),"FR Germany",
ISNUMBER(SEARCH("West Germany",S4881)),"FR Germany",
ISNUMBER(SEARCH("Germany DR",S4881)),"DR Germany",
ISNUMBER(SEARCH("Korea DPR",S4881)),"North Korea",
ISNUMBER(SEARCH("China PR",S4881)),"China",
ISNUMBER(SEARCH("IR Iran",S4881)),"Iran",
ISNUMBER(SEARCH("Congo DR",S4881)),"Democratic Republic of the Congo",
ISNUMBER(SEARCH("DR Congo",S4881)),"Democratic Republic of the Congo",
ISNUMBER(SEARCH("German DR",S4881)),"DR Germany",
ISNUMBER(SEARCH("rn""&gt;United Arab Emirates",S4881)),"United Arab Emirates",
ISNUMBER(SEARCH("rn""&gt;Republic of Ireland",S4881)),"Ireland",
ISNUMBER(SEARCH("rn""&gt;Bosnia and Herzegovina",S4881)),"Bosnia and Herzegovina",
ISNUMBER(SEARCH("rn""&gt;Trinidad and Tobago",S4881)),"Trinidad and Tobago",
ISNUMBER(SEARCH("rn""&gt;Serbia and Montenegro",S4881)),"Serbia and Montenegro",
ISNUMBER(SEARCH(_xlfn.UNICHAR(65533),S4881)),"Côte d'Ivoire",
TRUE,"-"
)</f>
        <v>-</v>
      </c>
      <c r="W4881" s="42" t="str">
        <f t="shared" si="303"/>
        <v>-</v>
      </c>
    </row>
    <row r="4882" spans="19:23">
      <c r="S4882" s="42" t="str">
        <v/>
      </c>
      <c r="T4882" s="42" t="str">
        <f t="shared" si="301"/>
        <v>-</v>
      </c>
      <c r="U4882" s="40" t="str">
        <f t="shared" si="302"/>
        <v>-</v>
      </c>
      <c r="V4882" s="42" t="str" cm="1">
        <f t="array" ref="V4882">_xlfn.IFS(
LEFT(S4882,16)="win on penalties",IF(VALUE(MID(S4882,19,1))&gt;VALUE(MID(S4882,23,1)),DATA_CLEANED!AK396,DATA_CLEANED!AN396),
ISNUMBER(SEARCH("USA",S4882)),"United States",
ISNUMBER(SEARCH("Republic of Ireland",S4882)),"Ireland",
ISNUMBER(SEARCH("Republic of Korea",S4882)),"South Korea",
ISNUMBER(SEARCH("Cape Verde",S4882)),"Cabo Verde",
ISNUMBER(SEARCH("Czechia",S4882)),"Czech Republic",
ISNUMBER(SEARCH("Türkiye",S4882)),"Turkey",
ISNUMBER(SEARCH("Ivory Coast",S4882)),"Côte d'Ivoire",
ISNUMBER(SEARCH("Korea Republic",S4882)),"South Korea",
ISNUMBER(SEARCH("Germany FR",S4882)),"FR Germany",
ISNUMBER(SEARCH("West Germany",S4882)),"FR Germany",
ISNUMBER(SEARCH("Germany DR",S4882)),"DR Germany",
ISNUMBER(SEARCH("Korea DPR",S4882)),"North Korea",
ISNUMBER(SEARCH("China PR",S4882)),"China",
ISNUMBER(SEARCH("IR Iran",S4882)),"Iran",
ISNUMBER(SEARCH("Congo DR",S4882)),"Democratic Republic of the Congo",
ISNUMBER(SEARCH("DR Congo",S4882)),"Democratic Republic of the Congo",
ISNUMBER(SEARCH("German DR",S4882)),"DR Germany",
ISNUMBER(SEARCH("rn""&gt;United Arab Emirates",S4882)),"United Arab Emirates",
ISNUMBER(SEARCH("rn""&gt;Republic of Ireland",S4882)),"Ireland",
ISNUMBER(SEARCH("rn""&gt;Bosnia and Herzegovina",S4882)),"Bosnia and Herzegovina",
ISNUMBER(SEARCH("rn""&gt;Trinidad and Tobago",S4882)),"Trinidad and Tobago",
ISNUMBER(SEARCH("rn""&gt;Serbia and Montenegro",S4882)),"Serbia and Montenegro",
ISNUMBER(SEARCH(_xlfn.UNICHAR(65533),S4882)),"Côte d'Ivoire",
TRUE,"-"
)</f>
        <v>-</v>
      </c>
      <c r="W4882" s="42" t="str">
        <f t="shared" si="303"/>
        <v>-</v>
      </c>
    </row>
    <row r="4883" spans="19:23">
      <c r="S4883" s="42" t="str">
        <v/>
      </c>
      <c r="T4883" s="42" t="str">
        <f t="shared" si="301"/>
        <v>-</v>
      </c>
      <c r="U4883" s="40" t="str">
        <f t="shared" si="302"/>
        <v>-</v>
      </c>
      <c r="V4883" s="42" t="str" cm="1">
        <f t="array" ref="V4883">_xlfn.IFS(
LEFT(S4883,16)="win on penalties",IF(VALUE(MID(S4883,19,1))&gt;VALUE(MID(S4883,23,1)),DATA_CLEANED!AK397,DATA_CLEANED!AN397),
ISNUMBER(SEARCH("USA",S4883)),"United States",
ISNUMBER(SEARCH("Republic of Ireland",S4883)),"Ireland",
ISNUMBER(SEARCH("Republic of Korea",S4883)),"South Korea",
ISNUMBER(SEARCH("Cape Verde",S4883)),"Cabo Verde",
ISNUMBER(SEARCH("Czechia",S4883)),"Czech Republic",
ISNUMBER(SEARCH("Türkiye",S4883)),"Turkey",
ISNUMBER(SEARCH("Ivory Coast",S4883)),"Côte d'Ivoire",
ISNUMBER(SEARCH("Korea Republic",S4883)),"South Korea",
ISNUMBER(SEARCH("Germany FR",S4883)),"FR Germany",
ISNUMBER(SEARCH("West Germany",S4883)),"FR Germany",
ISNUMBER(SEARCH("Germany DR",S4883)),"DR Germany",
ISNUMBER(SEARCH("Korea DPR",S4883)),"North Korea",
ISNUMBER(SEARCH("China PR",S4883)),"China",
ISNUMBER(SEARCH("IR Iran",S4883)),"Iran",
ISNUMBER(SEARCH("Congo DR",S4883)),"Democratic Republic of the Congo",
ISNUMBER(SEARCH("DR Congo",S4883)),"Democratic Republic of the Congo",
ISNUMBER(SEARCH("German DR",S4883)),"DR Germany",
ISNUMBER(SEARCH("rn""&gt;United Arab Emirates",S4883)),"United Arab Emirates",
ISNUMBER(SEARCH("rn""&gt;Republic of Ireland",S4883)),"Ireland",
ISNUMBER(SEARCH("rn""&gt;Bosnia and Herzegovina",S4883)),"Bosnia and Herzegovina",
ISNUMBER(SEARCH("rn""&gt;Trinidad and Tobago",S4883)),"Trinidad and Tobago",
ISNUMBER(SEARCH("rn""&gt;Serbia and Montenegro",S4883)),"Serbia and Montenegro",
ISNUMBER(SEARCH(_xlfn.UNICHAR(65533),S4883)),"Côte d'Ivoire",
TRUE,"-"
)</f>
        <v>-</v>
      </c>
      <c r="W4883" s="42" t="str">
        <f t="shared" si="303"/>
        <v>-</v>
      </c>
    </row>
    <row r="4884" spans="19:23">
      <c r="S4884" s="42" t="str">
        <v/>
      </c>
      <c r="T4884" s="42" t="str">
        <f t="shared" si="301"/>
        <v>-</v>
      </c>
      <c r="U4884" s="40" t="str">
        <f t="shared" si="302"/>
        <v>-</v>
      </c>
      <c r="V4884" s="42" t="str" cm="1">
        <f t="array" ref="V4884">_xlfn.IFS(
LEFT(S4884,16)="win on penalties",IF(VALUE(MID(S4884,19,1))&gt;VALUE(MID(S4884,23,1)),DATA_CLEANED!AK398,DATA_CLEANED!AN398),
ISNUMBER(SEARCH("USA",S4884)),"United States",
ISNUMBER(SEARCH("Republic of Ireland",S4884)),"Ireland",
ISNUMBER(SEARCH("Republic of Korea",S4884)),"South Korea",
ISNUMBER(SEARCH("Cape Verde",S4884)),"Cabo Verde",
ISNUMBER(SEARCH("Czechia",S4884)),"Czech Republic",
ISNUMBER(SEARCH("Türkiye",S4884)),"Turkey",
ISNUMBER(SEARCH("Ivory Coast",S4884)),"Côte d'Ivoire",
ISNUMBER(SEARCH("Korea Republic",S4884)),"South Korea",
ISNUMBER(SEARCH("Germany FR",S4884)),"FR Germany",
ISNUMBER(SEARCH("West Germany",S4884)),"FR Germany",
ISNUMBER(SEARCH("Germany DR",S4884)),"DR Germany",
ISNUMBER(SEARCH("Korea DPR",S4884)),"North Korea",
ISNUMBER(SEARCH("China PR",S4884)),"China",
ISNUMBER(SEARCH("IR Iran",S4884)),"Iran",
ISNUMBER(SEARCH("Congo DR",S4884)),"Democratic Republic of the Congo",
ISNUMBER(SEARCH("DR Congo",S4884)),"Democratic Republic of the Congo",
ISNUMBER(SEARCH("German DR",S4884)),"DR Germany",
ISNUMBER(SEARCH("rn""&gt;United Arab Emirates",S4884)),"United Arab Emirates",
ISNUMBER(SEARCH("rn""&gt;Republic of Ireland",S4884)),"Ireland",
ISNUMBER(SEARCH("rn""&gt;Bosnia and Herzegovina",S4884)),"Bosnia and Herzegovina",
ISNUMBER(SEARCH("rn""&gt;Trinidad and Tobago",S4884)),"Trinidad and Tobago",
ISNUMBER(SEARCH("rn""&gt;Serbia and Montenegro",S4884)),"Serbia and Montenegro",
ISNUMBER(SEARCH(_xlfn.UNICHAR(65533),S4884)),"Côte d'Ivoire",
TRUE,"-"
)</f>
        <v>-</v>
      </c>
      <c r="W4884" s="42" t="str">
        <f t="shared" si="303"/>
        <v>-</v>
      </c>
    </row>
    <row r="4885" spans="19:23">
      <c r="S4885" s="42" t="str">
        <v>Belgium win after extra time</v>
      </c>
      <c r="T4885" s="42" t="str">
        <f t="shared" si="301"/>
        <v>Belgium</v>
      </c>
      <c r="U4885" s="40" t="str">
        <f t="shared" si="302"/>
        <v>AUCUNE</v>
      </c>
      <c r="V4885" s="42" t="str" cm="1">
        <f t="array" ref="V4885">_xlfn.IFS(
LEFT(S4885,16)="win on penalties",IF(VALUE(MID(S4885,19,1))&gt;VALUE(MID(S4885,23,1)),DATA_CLEANED!AK399,DATA_CLEANED!AN399),
ISNUMBER(SEARCH("USA",S4885)),"United States",
ISNUMBER(SEARCH("Republic of Ireland",S4885)),"Ireland",
ISNUMBER(SEARCH("Republic of Korea",S4885)),"South Korea",
ISNUMBER(SEARCH("Cape Verde",S4885)),"Cabo Verde",
ISNUMBER(SEARCH("Czechia",S4885)),"Czech Republic",
ISNUMBER(SEARCH("Türkiye",S4885)),"Turkey",
ISNUMBER(SEARCH("Ivory Coast",S4885)),"Côte d'Ivoire",
ISNUMBER(SEARCH("Korea Republic",S4885)),"South Korea",
ISNUMBER(SEARCH("Germany FR",S4885)),"FR Germany",
ISNUMBER(SEARCH("West Germany",S4885)),"FR Germany",
ISNUMBER(SEARCH("Germany DR",S4885)),"DR Germany",
ISNUMBER(SEARCH("Korea DPR",S4885)),"North Korea",
ISNUMBER(SEARCH("China PR",S4885)),"China",
ISNUMBER(SEARCH("IR Iran",S4885)),"Iran",
ISNUMBER(SEARCH("Congo DR",S4885)),"Democratic Republic of the Congo",
ISNUMBER(SEARCH("DR Congo",S4885)),"Democratic Republic of the Congo",
ISNUMBER(SEARCH("German DR",S4885)),"DR Germany",
ISNUMBER(SEARCH("rn""&gt;United Arab Emirates",S4885)),"United Arab Emirates",
ISNUMBER(SEARCH("rn""&gt;Republic of Ireland",S4885)),"Ireland",
ISNUMBER(SEARCH("rn""&gt;Bosnia and Herzegovina",S4885)),"Bosnia and Herzegovina",
ISNUMBER(SEARCH("rn""&gt;Trinidad and Tobago",S4885)),"Trinidad and Tobago",
ISNUMBER(SEARCH("rn""&gt;Serbia and Montenegro",S4885)),"Serbia and Montenegro",
ISNUMBER(SEARCH(_xlfn.UNICHAR(65533),S4885)),"Côte d'Ivoire",
TRUE,"-"
)</f>
        <v>-</v>
      </c>
      <c r="W4885" s="42" t="str">
        <f t="shared" si="303"/>
        <v>Belgium win after extra time</v>
      </c>
    </row>
    <row r="4886" spans="19:23">
      <c r="S4886" s="42" t="str">
        <v/>
      </c>
      <c r="T4886" s="42" t="str">
        <f t="shared" si="301"/>
        <v>-</v>
      </c>
      <c r="U4886" s="40" t="str">
        <f t="shared" si="302"/>
        <v>-</v>
      </c>
      <c r="V4886" s="42" t="str" cm="1">
        <f t="array" ref="V4886">_xlfn.IFS(
LEFT(S4886,16)="win on penalties",IF(VALUE(MID(S4886,19,1))&gt;VALUE(MID(S4886,23,1)),DATA_CLEANED!AK400,DATA_CLEANED!AN400),
ISNUMBER(SEARCH("USA",S4886)),"United States",
ISNUMBER(SEARCH("Republic of Ireland",S4886)),"Ireland",
ISNUMBER(SEARCH("Republic of Korea",S4886)),"South Korea",
ISNUMBER(SEARCH("Cape Verde",S4886)),"Cabo Verde",
ISNUMBER(SEARCH("Czechia",S4886)),"Czech Republic",
ISNUMBER(SEARCH("Türkiye",S4886)),"Turkey",
ISNUMBER(SEARCH("Ivory Coast",S4886)),"Côte d'Ivoire",
ISNUMBER(SEARCH("Korea Republic",S4886)),"South Korea",
ISNUMBER(SEARCH("Germany FR",S4886)),"FR Germany",
ISNUMBER(SEARCH("West Germany",S4886)),"FR Germany",
ISNUMBER(SEARCH("Germany DR",S4886)),"DR Germany",
ISNUMBER(SEARCH("Korea DPR",S4886)),"North Korea",
ISNUMBER(SEARCH("China PR",S4886)),"China",
ISNUMBER(SEARCH("IR Iran",S4886)),"Iran",
ISNUMBER(SEARCH("Congo DR",S4886)),"Democratic Republic of the Congo",
ISNUMBER(SEARCH("DR Congo",S4886)),"Democratic Republic of the Congo",
ISNUMBER(SEARCH("German DR",S4886)),"DR Germany",
ISNUMBER(SEARCH("rn""&gt;United Arab Emirates",S4886)),"United Arab Emirates",
ISNUMBER(SEARCH("rn""&gt;Republic of Ireland",S4886)),"Ireland",
ISNUMBER(SEARCH("rn""&gt;Bosnia and Herzegovina",S4886)),"Bosnia and Herzegovina",
ISNUMBER(SEARCH("rn""&gt;Trinidad and Tobago",S4886)),"Trinidad and Tobago",
ISNUMBER(SEARCH("rn""&gt;Serbia and Montenegro",S4886)),"Serbia and Montenegro",
ISNUMBER(SEARCH(_xlfn.UNICHAR(65533),S4886)),"Côte d'Ivoire",
TRUE,"-"
)</f>
        <v>-</v>
      </c>
      <c r="W4886" s="42" t="str">
        <f t="shared" si="303"/>
        <v>-</v>
      </c>
    </row>
    <row r="4887" spans="19:23">
      <c r="S4887" s="42" t="str">
        <v/>
      </c>
      <c r="T4887" s="42" t="str">
        <f t="shared" si="301"/>
        <v>-</v>
      </c>
      <c r="U4887" s="40" t="str">
        <f t="shared" si="302"/>
        <v>-</v>
      </c>
      <c r="V4887" s="42" t="str" cm="1">
        <f t="array" ref="V4887">_xlfn.IFS(
LEFT(S4887,16)="win on penalties",IF(VALUE(MID(S4887,19,1))&gt;VALUE(MID(S4887,23,1)),DATA_CLEANED!AK401,DATA_CLEANED!AN401),
ISNUMBER(SEARCH("USA",S4887)),"United States",
ISNUMBER(SEARCH("Republic of Ireland",S4887)),"Ireland",
ISNUMBER(SEARCH("Republic of Korea",S4887)),"South Korea",
ISNUMBER(SEARCH("Cape Verde",S4887)),"Cabo Verde",
ISNUMBER(SEARCH("Czechia",S4887)),"Czech Republic",
ISNUMBER(SEARCH("Türkiye",S4887)),"Turkey",
ISNUMBER(SEARCH("Ivory Coast",S4887)),"Côte d'Ivoire",
ISNUMBER(SEARCH("Korea Republic",S4887)),"South Korea",
ISNUMBER(SEARCH("Germany FR",S4887)),"FR Germany",
ISNUMBER(SEARCH("West Germany",S4887)),"FR Germany",
ISNUMBER(SEARCH("Germany DR",S4887)),"DR Germany",
ISNUMBER(SEARCH("Korea DPR",S4887)),"North Korea",
ISNUMBER(SEARCH("China PR",S4887)),"China",
ISNUMBER(SEARCH("IR Iran",S4887)),"Iran",
ISNUMBER(SEARCH("Congo DR",S4887)),"Democratic Republic of the Congo",
ISNUMBER(SEARCH("DR Congo",S4887)),"Democratic Republic of the Congo",
ISNUMBER(SEARCH("German DR",S4887)),"DR Germany",
ISNUMBER(SEARCH("rn""&gt;United Arab Emirates",S4887)),"United Arab Emirates",
ISNUMBER(SEARCH("rn""&gt;Republic of Ireland",S4887)),"Ireland",
ISNUMBER(SEARCH("rn""&gt;Bosnia and Herzegovina",S4887)),"Bosnia and Herzegovina",
ISNUMBER(SEARCH("rn""&gt;Trinidad and Tobago",S4887)),"Trinidad and Tobago",
ISNUMBER(SEARCH("rn""&gt;Serbia and Montenegro",S4887)),"Serbia and Montenegro",
ISNUMBER(SEARCH(_xlfn.UNICHAR(65533),S4887)),"Côte d'Ivoire",
TRUE,"-"
)</f>
        <v>-</v>
      </c>
      <c r="W4887" s="42" t="str">
        <f t="shared" si="303"/>
        <v>-</v>
      </c>
    </row>
    <row r="4888" spans="19:23">
      <c r="S4888" s="42" t="str">
        <v/>
      </c>
      <c r="T4888" s="42" t="str">
        <f t="shared" si="301"/>
        <v>-</v>
      </c>
      <c r="U4888" s="40" t="str">
        <f t="shared" si="302"/>
        <v>-</v>
      </c>
      <c r="V4888" s="42" t="str" cm="1">
        <f t="array" ref="V4888">_xlfn.IFS(
LEFT(S4888,16)="win on penalties",IF(VALUE(MID(S4888,19,1))&gt;VALUE(MID(S4888,23,1)),DATA_CLEANED!AK402,DATA_CLEANED!AN402),
ISNUMBER(SEARCH("USA",S4888)),"United States",
ISNUMBER(SEARCH("Republic of Ireland",S4888)),"Ireland",
ISNUMBER(SEARCH("Republic of Korea",S4888)),"South Korea",
ISNUMBER(SEARCH("Cape Verde",S4888)),"Cabo Verde",
ISNUMBER(SEARCH("Czechia",S4888)),"Czech Republic",
ISNUMBER(SEARCH("Türkiye",S4888)),"Turkey",
ISNUMBER(SEARCH("Ivory Coast",S4888)),"Côte d'Ivoire",
ISNUMBER(SEARCH("Korea Republic",S4888)),"South Korea",
ISNUMBER(SEARCH("Germany FR",S4888)),"FR Germany",
ISNUMBER(SEARCH("West Germany",S4888)),"FR Germany",
ISNUMBER(SEARCH("Germany DR",S4888)),"DR Germany",
ISNUMBER(SEARCH("Korea DPR",S4888)),"North Korea",
ISNUMBER(SEARCH("China PR",S4888)),"China",
ISNUMBER(SEARCH("IR Iran",S4888)),"Iran",
ISNUMBER(SEARCH("Congo DR",S4888)),"Democratic Republic of the Congo",
ISNUMBER(SEARCH("DR Congo",S4888)),"Democratic Republic of the Congo",
ISNUMBER(SEARCH("German DR",S4888)),"DR Germany",
ISNUMBER(SEARCH("rn""&gt;United Arab Emirates",S4888)),"United Arab Emirates",
ISNUMBER(SEARCH("rn""&gt;Republic of Ireland",S4888)),"Ireland",
ISNUMBER(SEARCH("rn""&gt;Bosnia and Herzegovina",S4888)),"Bosnia and Herzegovina",
ISNUMBER(SEARCH("rn""&gt;Trinidad and Tobago",S4888)),"Trinidad and Tobago",
ISNUMBER(SEARCH("rn""&gt;Serbia and Montenegro",S4888)),"Serbia and Montenegro",
ISNUMBER(SEARCH(_xlfn.UNICHAR(65533),S4888)),"Côte d'Ivoire",
TRUE,"-"
)</f>
        <v>-</v>
      </c>
      <c r="W4888" s="42" t="str">
        <f t="shared" si="303"/>
        <v>-</v>
      </c>
    </row>
    <row r="4889" spans="19:23">
      <c r="S4889" s="42" t="str">
        <v/>
      </c>
      <c r="T4889" s="42" t="str">
        <f t="shared" si="301"/>
        <v>-</v>
      </c>
      <c r="U4889" s="40" t="str">
        <f t="shared" si="302"/>
        <v>-</v>
      </c>
      <c r="V4889" s="42" t="str" cm="1">
        <f t="array" ref="V4889">_xlfn.IFS(
LEFT(S4889,16)="win on penalties",IF(VALUE(MID(S4889,19,1))&gt;VALUE(MID(S4889,23,1)),DATA_CLEANED!AK403,DATA_CLEANED!AN403),
ISNUMBER(SEARCH("USA",S4889)),"United States",
ISNUMBER(SEARCH("Republic of Ireland",S4889)),"Ireland",
ISNUMBER(SEARCH("Republic of Korea",S4889)),"South Korea",
ISNUMBER(SEARCH("Cape Verde",S4889)),"Cabo Verde",
ISNUMBER(SEARCH("Czechia",S4889)),"Czech Republic",
ISNUMBER(SEARCH("Türkiye",S4889)),"Turkey",
ISNUMBER(SEARCH("Ivory Coast",S4889)),"Côte d'Ivoire",
ISNUMBER(SEARCH("Korea Republic",S4889)),"South Korea",
ISNUMBER(SEARCH("Germany FR",S4889)),"FR Germany",
ISNUMBER(SEARCH("West Germany",S4889)),"FR Germany",
ISNUMBER(SEARCH("Germany DR",S4889)),"DR Germany",
ISNUMBER(SEARCH("Korea DPR",S4889)),"North Korea",
ISNUMBER(SEARCH("China PR",S4889)),"China",
ISNUMBER(SEARCH("IR Iran",S4889)),"Iran",
ISNUMBER(SEARCH("Congo DR",S4889)),"Democratic Republic of the Congo",
ISNUMBER(SEARCH("DR Congo",S4889)),"Democratic Republic of the Congo",
ISNUMBER(SEARCH("German DR",S4889)),"DR Germany",
ISNUMBER(SEARCH("rn""&gt;United Arab Emirates",S4889)),"United Arab Emirates",
ISNUMBER(SEARCH("rn""&gt;Republic of Ireland",S4889)),"Ireland",
ISNUMBER(SEARCH("rn""&gt;Bosnia and Herzegovina",S4889)),"Bosnia and Herzegovina",
ISNUMBER(SEARCH("rn""&gt;Trinidad and Tobago",S4889)),"Trinidad and Tobago",
ISNUMBER(SEARCH("rn""&gt;Serbia and Montenegro",S4889)),"Serbia and Montenegro",
ISNUMBER(SEARCH(_xlfn.UNICHAR(65533),S4889)),"Côte d'Ivoire",
TRUE,"-"
)</f>
        <v>-</v>
      </c>
      <c r="W4889" s="42" t="str">
        <f t="shared" si="303"/>
        <v>-</v>
      </c>
    </row>
    <row r="4890" spans="19:23">
      <c r="S4890" s="42" t="str">
        <v/>
      </c>
      <c r="T4890" s="42" t="str">
        <f t="shared" si="301"/>
        <v>-</v>
      </c>
      <c r="U4890" s="40" t="str">
        <f t="shared" si="302"/>
        <v>-</v>
      </c>
      <c r="V4890" s="42" t="str" cm="1">
        <f t="array" ref="V4890">_xlfn.IFS(
LEFT(S4890,16)="win on penalties",IF(VALUE(MID(S4890,19,1))&gt;VALUE(MID(S4890,23,1)),DATA_CLEANED!AK404,DATA_CLEANED!AN404),
ISNUMBER(SEARCH("USA",S4890)),"United States",
ISNUMBER(SEARCH("Republic of Ireland",S4890)),"Ireland",
ISNUMBER(SEARCH("Republic of Korea",S4890)),"South Korea",
ISNUMBER(SEARCH("Cape Verde",S4890)),"Cabo Verde",
ISNUMBER(SEARCH("Czechia",S4890)),"Czech Republic",
ISNUMBER(SEARCH("Türkiye",S4890)),"Turkey",
ISNUMBER(SEARCH("Ivory Coast",S4890)),"Côte d'Ivoire",
ISNUMBER(SEARCH("Korea Republic",S4890)),"South Korea",
ISNUMBER(SEARCH("Germany FR",S4890)),"FR Germany",
ISNUMBER(SEARCH("West Germany",S4890)),"FR Germany",
ISNUMBER(SEARCH("Germany DR",S4890)),"DR Germany",
ISNUMBER(SEARCH("Korea DPR",S4890)),"North Korea",
ISNUMBER(SEARCH("China PR",S4890)),"China",
ISNUMBER(SEARCH("IR Iran",S4890)),"Iran",
ISNUMBER(SEARCH("Congo DR",S4890)),"Democratic Republic of the Congo",
ISNUMBER(SEARCH("DR Congo",S4890)),"Democratic Republic of the Congo",
ISNUMBER(SEARCH("German DR",S4890)),"DR Germany",
ISNUMBER(SEARCH("rn""&gt;United Arab Emirates",S4890)),"United Arab Emirates",
ISNUMBER(SEARCH("rn""&gt;Republic of Ireland",S4890)),"Ireland",
ISNUMBER(SEARCH("rn""&gt;Bosnia and Herzegovina",S4890)),"Bosnia and Herzegovina",
ISNUMBER(SEARCH("rn""&gt;Trinidad and Tobago",S4890)),"Trinidad and Tobago",
ISNUMBER(SEARCH("rn""&gt;Serbia and Montenegro",S4890)),"Serbia and Montenegro",
ISNUMBER(SEARCH(_xlfn.UNICHAR(65533),S4890)),"Côte d'Ivoire",
TRUE,"-"
)</f>
        <v>-</v>
      </c>
      <c r="W4890" s="42" t="str">
        <f t="shared" si="303"/>
        <v>-</v>
      </c>
    </row>
    <row r="4891" spans="19:23">
      <c r="S4891" s="42" t="str">
        <v/>
      </c>
      <c r="T4891" s="42" t="str">
        <f t="shared" si="301"/>
        <v>-</v>
      </c>
      <c r="U4891" s="40" t="str">
        <f t="shared" si="302"/>
        <v>-</v>
      </c>
      <c r="V4891" s="42" t="str" cm="1">
        <f t="array" ref="V4891">_xlfn.IFS(
LEFT(S4891,16)="win on penalties",IF(VALUE(MID(S4891,19,1))&gt;VALUE(MID(S4891,23,1)),DATA_CLEANED!AK405,DATA_CLEANED!AN405),
ISNUMBER(SEARCH("USA",S4891)),"United States",
ISNUMBER(SEARCH("Republic of Ireland",S4891)),"Ireland",
ISNUMBER(SEARCH("Republic of Korea",S4891)),"South Korea",
ISNUMBER(SEARCH("Cape Verde",S4891)),"Cabo Verde",
ISNUMBER(SEARCH("Czechia",S4891)),"Czech Republic",
ISNUMBER(SEARCH("Türkiye",S4891)),"Turkey",
ISNUMBER(SEARCH("Ivory Coast",S4891)),"Côte d'Ivoire",
ISNUMBER(SEARCH("Korea Republic",S4891)),"South Korea",
ISNUMBER(SEARCH("Germany FR",S4891)),"FR Germany",
ISNUMBER(SEARCH("West Germany",S4891)),"FR Germany",
ISNUMBER(SEARCH("Germany DR",S4891)),"DR Germany",
ISNUMBER(SEARCH("Korea DPR",S4891)),"North Korea",
ISNUMBER(SEARCH("China PR",S4891)),"China",
ISNUMBER(SEARCH("IR Iran",S4891)),"Iran",
ISNUMBER(SEARCH("Congo DR",S4891)),"Democratic Republic of the Congo",
ISNUMBER(SEARCH("DR Congo",S4891)),"Democratic Republic of the Congo",
ISNUMBER(SEARCH("German DR",S4891)),"DR Germany",
ISNUMBER(SEARCH("rn""&gt;United Arab Emirates",S4891)),"United Arab Emirates",
ISNUMBER(SEARCH("rn""&gt;Republic of Ireland",S4891)),"Ireland",
ISNUMBER(SEARCH("rn""&gt;Bosnia and Herzegovina",S4891)),"Bosnia and Herzegovina",
ISNUMBER(SEARCH("rn""&gt;Trinidad and Tobago",S4891)),"Trinidad and Tobago",
ISNUMBER(SEARCH("rn""&gt;Serbia and Montenegro",S4891)),"Serbia and Montenegro",
ISNUMBER(SEARCH(_xlfn.UNICHAR(65533),S4891)),"Côte d'Ivoire",
TRUE,"-"
)</f>
        <v>-</v>
      </c>
      <c r="W4891" s="42" t="str">
        <f t="shared" si="303"/>
        <v>-</v>
      </c>
    </row>
    <row r="4892" spans="19:23">
      <c r="S4892" s="42" t="str">
        <v/>
      </c>
      <c r="T4892" s="42" t="str">
        <f t="shared" si="301"/>
        <v>-</v>
      </c>
      <c r="U4892" s="40" t="str">
        <f t="shared" si="302"/>
        <v>-</v>
      </c>
      <c r="V4892" s="42" t="str" cm="1">
        <f t="array" ref="V4892">_xlfn.IFS(
LEFT(S4892,16)="win on penalties",IF(VALUE(MID(S4892,19,1))&gt;VALUE(MID(S4892,23,1)),DATA_CLEANED!AK406,DATA_CLEANED!AN406),
ISNUMBER(SEARCH("USA",S4892)),"United States",
ISNUMBER(SEARCH("Republic of Ireland",S4892)),"Ireland",
ISNUMBER(SEARCH("Republic of Korea",S4892)),"South Korea",
ISNUMBER(SEARCH("Cape Verde",S4892)),"Cabo Verde",
ISNUMBER(SEARCH("Czechia",S4892)),"Czech Republic",
ISNUMBER(SEARCH("Türkiye",S4892)),"Turkey",
ISNUMBER(SEARCH("Ivory Coast",S4892)),"Côte d'Ivoire",
ISNUMBER(SEARCH("Korea Republic",S4892)),"South Korea",
ISNUMBER(SEARCH("Germany FR",S4892)),"FR Germany",
ISNUMBER(SEARCH("West Germany",S4892)),"FR Germany",
ISNUMBER(SEARCH("Germany DR",S4892)),"DR Germany",
ISNUMBER(SEARCH("Korea DPR",S4892)),"North Korea",
ISNUMBER(SEARCH("China PR",S4892)),"China",
ISNUMBER(SEARCH("IR Iran",S4892)),"Iran",
ISNUMBER(SEARCH("Congo DR",S4892)),"Democratic Republic of the Congo",
ISNUMBER(SEARCH("DR Congo",S4892)),"Democratic Republic of the Congo",
ISNUMBER(SEARCH("German DR",S4892)),"DR Germany",
ISNUMBER(SEARCH("rn""&gt;United Arab Emirates",S4892)),"United Arab Emirates",
ISNUMBER(SEARCH("rn""&gt;Republic of Ireland",S4892)),"Ireland",
ISNUMBER(SEARCH("rn""&gt;Bosnia and Herzegovina",S4892)),"Bosnia and Herzegovina",
ISNUMBER(SEARCH("rn""&gt;Trinidad and Tobago",S4892)),"Trinidad and Tobago",
ISNUMBER(SEARCH("rn""&gt;Serbia and Montenegro",S4892)),"Serbia and Montenegro",
ISNUMBER(SEARCH(_xlfn.UNICHAR(65533),S4892)),"Côte d'Ivoire",
TRUE,"-"
)</f>
        <v>-</v>
      </c>
      <c r="W4892" s="42" t="str">
        <f t="shared" si="303"/>
        <v>-</v>
      </c>
    </row>
    <row r="4893" spans="19:23">
      <c r="S4893" s="42" t="str">
        <v>France win on penalties (3 - 4)</v>
      </c>
      <c r="T4893" s="42" t="str">
        <f t="shared" si="301"/>
        <v>France</v>
      </c>
      <c r="U4893" s="40" t="str">
        <f t="shared" si="302"/>
        <v>AUCUNE</v>
      </c>
      <c r="V4893" s="42" t="str" cm="1">
        <f t="array" ref="V4893">_xlfn.IFS(
LEFT(S4893,16)="win on penalties",IF(VALUE(MID(S4893,19,1))&gt;VALUE(MID(S4893,23,1)),DATA_CLEANED!AK407,DATA_CLEANED!AN407),
ISNUMBER(SEARCH("USA",S4893)),"United States",
ISNUMBER(SEARCH("Republic of Ireland",S4893)),"Ireland",
ISNUMBER(SEARCH("Republic of Korea",S4893)),"South Korea",
ISNUMBER(SEARCH("Cape Verde",S4893)),"Cabo Verde",
ISNUMBER(SEARCH("Czechia",S4893)),"Czech Republic",
ISNUMBER(SEARCH("Türkiye",S4893)),"Turkey",
ISNUMBER(SEARCH("Ivory Coast",S4893)),"Côte d'Ivoire",
ISNUMBER(SEARCH("Korea Republic",S4893)),"South Korea",
ISNUMBER(SEARCH("Germany FR",S4893)),"FR Germany",
ISNUMBER(SEARCH("West Germany",S4893)),"FR Germany",
ISNUMBER(SEARCH("Germany DR",S4893)),"DR Germany",
ISNUMBER(SEARCH("Korea DPR",S4893)),"North Korea",
ISNUMBER(SEARCH("China PR",S4893)),"China",
ISNUMBER(SEARCH("IR Iran",S4893)),"Iran",
ISNUMBER(SEARCH("Congo DR",S4893)),"Democratic Republic of the Congo",
ISNUMBER(SEARCH("DR Congo",S4893)),"Democratic Republic of the Congo",
ISNUMBER(SEARCH("German DR",S4893)),"DR Germany",
ISNUMBER(SEARCH("rn""&gt;United Arab Emirates",S4893)),"United Arab Emirates",
ISNUMBER(SEARCH("rn""&gt;Republic of Ireland",S4893)),"Ireland",
ISNUMBER(SEARCH("rn""&gt;Bosnia and Herzegovina",S4893)),"Bosnia and Herzegovina",
ISNUMBER(SEARCH("rn""&gt;Trinidad and Tobago",S4893)),"Trinidad and Tobago",
ISNUMBER(SEARCH("rn""&gt;Serbia and Montenegro",S4893)),"Serbia and Montenegro",
ISNUMBER(SEARCH(_xlfn.UNICHAR(65533),S4893)),"Côte d'Ivoire",
TRUE,"-"
)</f>
        <v>-</v>
      </c>
      <c r="W4893" s="42" t="str">
        <f t="shared" si="303"/>
        <v>France win on penalties (3 - 4)</v>
      </c>
    </row>
    <row r="4894" spans="19:23">
      <c r="S4894" s="42" t="str">
        <v>Germany FR win on penalties (4 - 1)</v>
      </c>
      <c r="T4894" s="42" t="str">
        <f t="shared" si="301"/>
        <v>Germany FR</v>
      </c>
      <c r="U4894" s="40" t="str">
        <f t="shared" si="302"/>
        <v>RENOMMER</v>
      </c>
      <c r="V4894" s="42" t="str" cm="1">
        <f t="array" ref="V4894">_xlfn.IFS(
LEFT(S4894,16)="win on penalties",IF(VALUE(MID(S4894,19,1))&gt;VALUE(MID(S4894,23,1)),DATA_CLEANED!AK408,DATA_CLEANED!AN408),
ISNUMBER(SEARCH("USA",S4894)),"United States",
ISNUMBER(SEARCH("Republic of Ireland",S4894)),"Ireland",
ISNUMBER(SEARCH("Republic of Korea",S4894)),"South Korea",
ISNUMBER(SEARCH("Cape Verde",S4894)),"Cabo Verde",
ISNUMBER(SEARCH("Czechia",S4894)),"Czech Republic",
ISNUMBER(SEARCH("Türkiye",S4894)),"Turkey",
ISNUMBER(SEARCH("Ivory Coast",S4894)),"Côte d'Ivoire",
ISNUMBER(SEARCH("Korea Republic",S4894)),"South Korea",
ISNUMBER(SEARCH("Germany FR",S4894)),"FR Germany",
ISNUMBER(SEARCH("West Germany",S4894)),"FR Germany",
ISNUMBER(SEARCH("Germany DR",S4894)),"DR Germany",
ISNUMBER(SEARCH("Korea DPR",S4894)),"North Korea",
ISNUMBER(SEARCH("China PR",S4894)),"China",
ISNUMBER(SEARCH("IR Iran",S4894)),"Iran",
ISNUMBER(SEARCH("Congo DR",S4894)),"Democratic Republic of the Congo",
ISNUMBER(SEARCH("DR Congo",S4894)),"Democratic Republic of the Congo",
ISNUMBER(SEARCH("German DR",S4894)),"DR Germany",
ISNUMBER(SEARCH("rn""&gt;United Arab Emirates",S4894)),"United Arab Emirates",
ISNUMBER(SEARCH("rn""&gt;Republic of Ireland",S4894)),"Ireland",
ISNUMBER(SEARCH("rn""&gt;Bosnia and Herzegovina",S4894)),"Bosnia and Herzegovina",
ISNUMBER(SEARCH("rn""&gt;Trinidad and Tobago",S4894)),"Trinidad and Tobago",
ISNUMBER(SEARCH("rn""&gt;Serbia and Montenegro",S4894)),"Serbia and Montenegro",
ISNUMBER(SEARCH(_xlfn.UNICHAR(65533),S4894)),"Côte d'Ivoire",
TRUE,"-"
)</f>
        <v>FR Germany</v>
      </c>
      <c r="W4894" s="42" t="str">
        <f t="shared" si="303"/>
        <v>FR Germany win on penalties (4 - 1)</v>
      </c>
    </row>
    <row r="4895" spans="19:23">
      <c r="S4895" s="42" t="str">
        <v>Belgium win on penalties (4 - 5)</v>
      </c>
      <c r="T4895" s="42" t="str">
        <f t="shared" si="301"/>
        <v>Belgium</v>
      </c>
      <c r="U4895" s="40" t="str">
        <f t="shared" si="302"/>
        <v>AUCUNE</v>
      </c>
      <c r="V4895" s="42" t="str" cm="1">
        <f t="array" ref="V4895">_xlfn.IFS(
LEFT(S4895,16)="win on penalties",IF(VALUE(MID(S4895,19,1))&gt;VALUE(MID(S4895,23,1)),DATA_CLEANED!AK409,DATA_CLEANED!AN409),
ISNUMBER(SEARCH("USA",S4895)),"United States",
ISNUMBER(SEARCH("Republic of Ireland",S4895)),"Ireland",
ISNUMBER(SEARCH("Republic of Korea",S4895)),"South Korea",
ISNUMBER(SEARCH("Cape Verde",S4895)),"Cabo Verde",
ISNUMBER(SEARCH("Czechia",S4895)),"Czech Republic",
ISNUMBER(SEARCH("Türkiye",S4895)),"Turkey",
ISNUMBER(SEARCH("Ivory Coast",S4895)),"Côte d'Ivoire",
ISNUMBER(SEARCH("Korea Republic",S4895)),"South Korea",
ISNUMBER(SEARCH("Germany FR",S4895)),"FR Germany",
ISNUMBER(SEARCH("West Germany",S4895)),"FR Germany",
ISNUMBER(SEARCH("Germany DR",S4895)),"DR Germany",
ISNUMBER(SEARCH("Korea DPR",S4895)),"North Korea",
ISNUMBER(SEARCH("China PR",S4895)),"China",
ISNUMBER(SEARCH("IR Iran",S4895)),"Iran",
ISNUMBER(SEARCH("Congo DR",S4895)),"Democratic Republic of the Congo",
ISNUMBER(SEARCH("DR Congo",S4895)),"Democratic Republic of the Congo",
ISNUMBER(SEARCH("German DR",S4895)),"DR Germany",
ISNUMBER(SEARCH("rn""&gt;United Arab Emirates",S4895)),"United Arab Emirates",
ISNUMBER(SEARCH("rn""&gt;Republic of Ireland",S4895)),"Ireland",
ISNUMBER(SEARCH("rn""&gt;Bosnia and Herzegovina",S4895)),"Bosnia and Herzegovina",
ISNUMBER(SEARCH("rn""&gt;Trinidad and Tobago",S4895)),"Trinidad and Tobago",
ISNUMBER(SEARCH("rn""&gt;Serbia and Montenegro",S4895)),"Serbia and Montenegro",
ISNUMBER(SEARCH(_xlfn.UNICHAR(65533),S4895)),"Côte d'Ivoire",
TRUE,"-"
)</f>
        <v>-</v>
      </c>
      <c r="W4895" s="42" t="str">
        <f t="shared" si="303"/>
        <v>Belgium win on penalties (4 - 5)</v>
      </c>
    </row>
    <row r="4896" spans="19:23">
      <c r="S4896" s="42" t="str">
        <v/>
      </c>
      <c r="T4896" s="42" t="str">
        <f t="shared" si="301"/>
        <v>-</v>
      </c>
      <c r="U4896" s="40" t="str">
        <f t="shared" si="302"/>
        <v>-</v>
      </c>
      <c r="V4896" s="42" t="str" cm="1">
        <f t="array" ref="V4896">_xlfn.IFS(
LEFT(S4896,16)="win on penalties",IF(VALUE(MID(S4896,19,1))&gt;VALUE(MID(S4896,23,1)),DATA_CLEANED!AK410,DATA_CLEANED!AN410),
ISNUMBER(SEARCH("USA",S4896)),"United States",
ISNUMBER(SEARCH("Republic of Ireland",S4896)),"Ireland",
ISNUMBER(SEARCH("Republic of Korea",S4896)),"South Korea",
ISNUMBER(SEARCH("Cape Verde",S4896)),"Cabo Verde",
ISNUMBER(SEARCH("Czechia",S4896)),"Czech Republic",
ISNUMBER(SEARCH("Türkiye",S4896)),"Turkey",
ISNUMBER(SEARCH("Ivory Coast",S4896)),"Côte d'Ivoire",
ISNUMBER(SEARCH("Korea Republic",S4896)),"South Korea",
ISNUMBER(SEARCH("Germany FR",S4896)),"FR Germany",
ISNUMBER(SEARCH("West Germany",S4896)),"FR Germany",
ISNUMBER(SEARCH("Germany DR",S4896)),"DR Germany",
ISNUMBER(SEARCH("Korea DPR",S4896)),"North Korea",
ISNUMBER(SEARCH("China PR",S4896)),"China",
ISNUMBER(SEARCH("IR Iran",S4896)),"Iran",
ISNUMBER(SEARCH("Congo DR",S4896)),"Democratic Republic of the Congo",
ISNUMBER(SEARCH("DR Congo",S4896)),"Democratic Republic of the Congo",
ISNUMBER(SEARCH("German DR",S4896)),"DR Germany",
ISNUMBER(SEARCH("rn""&gt;United Arab Emirates",S4896)),"United Arab Emirates",
ISNUMBER(SEARCH("rn""&gt;Republic of Ireland",S4896)),"Ireland",
ISNUMBER(SEARCH("rn""&gt;Bosnia and Herzegovina",S4896)),"Bosnia and Herzegovina",
ISNUMBER(SEARCH("rn""&gt;Trinidad and Tobago",S4896)),"Trinidad and Tobago",
ISNUMBER(SEARCH("rn""&gt;Serbia and Montenegro",S4896)),"Serbia and Montenegro",
ISNUMBER(SEARCH(_xlfn.UNICHAR(65533),S4896)),"Côte d'Ivoire",
TRUE,"-"
)</f>
        <v>-</v>
      </c>
      <c r="W4896" s="42" t="str">
        <f t="shared" si="303"/>
        <v>-</v>
      </c>
    </row>
    <row r="4897" spans="19:23">
      <c r="S4897" s="42" t="str">
        <v/>
      </c>
      <c r="T4897" s="42" t="str">
        <f t="shared" si="301"/>
        <v>-</v>
      </c>
      <c r="U4897" s="40" t="str">
        <f t="shared" si="302"/>
        <v>-</v>
      </c>
      <c r="V4897" s="42" t="str" cm="1">
        <f t="array" ref="V4897">_xlfn.IFS(
LEFT(S4897,16)="win on penalties",IF(VALUE(MID(S4897,19,1))&gt;VALUE(MID(S4897,23,1)),DATA_CLEANED!AK411,DATA_CLEANED!AN411),
ISNUMBER(SEARCH("USA",S4897)),"United States",
ISNUMBER(SEARCH("Republic of Ireland",S4897)),"Ireland",
ISNUMBER(SEARCH("Republic of Korea",S4897)),"South Korea",
ISNUMBER(SEARCH("Cape Verde",S4897)),"Cabo Verde",
ISNUMBER(SEARCH("Czechia",S4897)),"Czech Republic",
ISNUMBER(SEARCH("Türkiye",S4897)),"Turkey",
ISNUMBER(SEARCH("Ivory Coast",S4897)),"Côte d'Ivoire",
ISNUMBER(SEARCH("Korea Republic",S4897)),"South Korea",
ISNUMBER(SEARCH("Germany FR",S4897)),"FR Germany",
ISNUMBER(SEARCH("West Germany",S4897)),"FR Germany",
ISNUMBER(SEARCH("Germany DR",S4897)),"DR Germany",
ISNUMBER(SEARCH("Korea DPR",S4897)),"North Korea",
ISNUMBER(SEARCH("China PR",S4897)),"China",
ISNUMBER(SEARCH("IR Iran",S4897)),"Iran",
ISNUMBER(SEARCH("Congo DR",S4897)),"Democratic Republic of the Congo",
ISNUMBER(SEARCH("DR Congo",S4897)),"Democratic Republic of the Congo",
ISNUMBER(SEARCH("German DR",S4897)),"DR Germany",
ISNUMBER(SEARCH("rn""&gt;United Arab Emirates",S4897)),"United Arab Emirates",
ISNUMBER(SEARCH("rn""&gt;Republic of Ireland",S4897)),"Ireland",
ISNUMBER(SEARCH("rn""&gt;Bosnia and Herzegovina",S4897)),"Bosnia and Herzegovina",
ISNUMBER(SEARCH("rn""&gt;Trinidad and Tobago",S4897)),"Trinidad and Tobago",
ISNUMBER(SEARCH("rn""&gt;Serbia and Montenegro",S4897)),"Serbia and Montenegro",
ISNUMBER(SEARCH(_xlfn.UNICHAR(65533),S4897)),"Côte d'Ivoire",
TRUE,"-"
)</f>
        <v>-</v>
      </c>
      <c r="W4897" s="42" t="str">
        <f t="shared" si="303"/>
        <v>-</v>
      </c>
    </row>
    <row r="4898" spans="19:23">
      <c r="S4898" s="42" t="str">
        <v/>
      </c>
      <c r="T4898" s="42" t="str">
        <f t="shared" si="301"/>
        <v>-</v>
      </c>
      <c r="U4898" s="40" t="str">
        <f t="shared" si="302"/>
        <v>-</v>
      </c>
      <c r="V4898" s="42" t="str" cm="1">
        <f t="array" ref="V4898">_xlfn.IFS(
LEFT(S4898,16)="win on penalties",IF(VALUE(MID(S4898,19,1))&gt;VALUE(MID(S4898,23,1)),DATA_CLEANED!AK412,DATA_CLEANED!AN412),
ISNUMBER(SEARCH("USA",S4898)),"United States",
ISNUMBER(SEARCH("Republic of Ireland",S4898)),"Ireland",
ISNUMBER(SEARCH("Republic of Korea",S4898)),"South Korea",
ISNUMBER(SEARCH("Cape Verde",S4898)),"Cabo Verde",
ISNUMBER(SEARCH("Czechia",S4898)),"Czech Republic",
ISNUMBER(SEARCH("Türkiye",S4898)),"Turkey",
ISNUMBER(SEARCH("Ivory Coast",S4898)),"Côte d'Ivoire",
ISNUMBER(SEARCH("Korea Republic",S4898)),"South Korea",
ISNUMBER(SEARCH("Germany FR",S4898)),"FR Germany",
ISNUMBER(SEARCH("West Germany",S4898)),"FR Germany",
ISNUMBER(SEARCH("Germany DR",S4898)),"DR Germany",
ISNUMBER(SEARCH("Korea DPR",S4898)),"North Korea",
ISNUMBER(SEARCH("China PR",S4898)),"China",
ISNUMBER(SEARCH("IR Iran",S4898)),"Iran",
ISNUMBER(SEARCH("Congo DR",S4898)),"Democratic Republic of the Congo",
ISNUMBER(SEARCH("DR Congo",S4898)),"Democratic Republic of the Congo",
ISNUMBER(SEARCH("German DR",S4898)),"DR Germany",
ISNUMBER(SEARCH("rn""&gt;United Arab Emirates",S4898)),"United Arab Emirates",
ISNUMBER(SEARCH("rn""&gt;Republic of Ireland",S4898)),"Ireland",
ISNUMBER(SEARCH("rn""&gt;Bosnia and Herzegovina",S4898)),"Bosnia and Herzegovina",
ISNUMBER(SEARCH("rn""&gt;Trinidad and Tobago",S4898)),"Trinidad and Tobago",
ISNUMBER(SEARCH("rn""&gt;Serbia and Montenegro",S4898)),"Serbia and Montenegro",
ISNUMBER(SEARCH(_xlfn.UNICHAR(65533),S4898)),"Côte d'Ivoire",
TRUE,"-"
)</f>
        <v>-</v>
      </c>
      <c r="W4898" s="42" t="str">
        <f t="shared" si="303"/>
        <v>-</v>
      </c>
    </row>
    <row r="4899" spans="19:23">
      <c r="S4899" s="42" t="str">
        <v>France win after extra time</v>
      </c>
      <c r="T4899" s="42" t="str">
        <f t="shared" si="301"/>
        <v>France</v>
      </c>
      <c r="U4899" s="40" t="str">
        <f t="shared" si="302"/>
        <v>AUCUNE</v>
      </c>
      <c r="V4899" s="42" t="str" cm="1">
        <f t="array" ref="V4899">_xlfn.IFS(
LEFT(S4899,16)="win on penalties",IF(VALUE(MID(S4899,19,1))&gt;VALUE(MID(S4899,23,1)),DATA_CLEANED!AK413,DATA_CLEANED!AN413),
ISNUMBER(SEARCH("USA",S4899)),"United States",
ISNUMBER(SEARCH("Republic of Ireland",S4899)),"Ireland",
ISNUMBER(SEARCH("Republic of Korea",S4899)),"South Korea",
ISNUMBER(SEARCH("Cape Verde",S4899)),"Cabo Verde",
ISNUMBER(SEARCH("Czechia",S4899)),"Czech Republic",
ISNUMBER(SEARCH("Türkiye",S4899)),"Turkey",
ISNUMBER(SEARCH("Ivory Coast",S4899)),"Côte d'Ivoire",
ISNUMBER(SEARCH("Korea Republic",S4899)),"South Korea",
ISNUMBER(SEARCH("Germany FR",S4899)),"FR Germany",
ISNUMBER(SEARCH("West Germany",S4899)),"FR Germany",
ISNUMBER(SEARCH("Germany DR",S4899)),"DR Germany",
ISNUMBER(SEARCH("Korea DPR",S4899)),"North Korea",
ISNUMBER(SEARCH("China PR",S4899)),"China",
ISNUMBER(SEARCH("IR Iran",S4899)),"Iran",
ISNUMBER(SEARCH("Congo DR",S4899)),"Democratic Republic of the Congo",
ISNUMBER(SEARCH("DR Congo",S4899)),"Democratic Republic of the Congo",
ISNUMBER(SEARCH("German DR",S4899)),"DR Germany",
ISNUMBER(SEARCH("rn""&gt;United Arab Emirates",S4899)),"United Arab Emirates",
ISNUMBER(SEARCH("rn""&gt;Republic of Ireland",S4899)),"Ireland",
ISNUMBER(SEARCH("rn""&gt;Bosnia and Herzegovina",S4899)),"Bosnia and Herzegovina",
ISNUMBER(SEARCH("rn""&gt;Trinidad and Tobago",S4899)),"Trinidad and Tobago",
ISNUMBER(SEARCH("rn""&gt;Serbia and Montenegro",S4899)),"Serbia and Montenegro",
ISNUMBER(SEARCH(_xlfn.UNICHAR(65533),S4899)),"Côte d'Ivoire",
TRUE,"-"
)</f>
        <v>-</v>
      </c>
      <c r="W4899" s="42" t="str">
        <f t="shared" si="303"/>
        <v>France win after extra time</v>
      </c>
    </row>
    <row r="4900" spans="19:23">
      <c r="S4900" s="42" t="str">
        <v/>
      </c>
      <c r="T4900" s="42" t="str">
        <f t="shared" si="301"/>
        <v>-</v>
      </c>
      <c r="U4900" s="40" t="str">
        <f t="shared" si="302"/>
        <v>-</v>
      </c>
      <c r="V4900" s="42" t="str" cm="1">
        <f t="array" ref="V4900">_xlfn.IFS(
LEFT(S4900,16)="win on penalties",IF(VALUE(MID(S4900,19,1))&gt;VALUE(MID(S4900,23,1)),DATA_CLEANED!AK414,DATA_CLEANED!AN414),
ISNUMBER(SEARCH("USA",S4900)),"United States",
ISNUMBER(SEARCH("Republic of Ireland",S4900)),"Ireland",
ISNUMBER(SEARCH("Republic of Korea",S4900)),"South Korea",
ISNUMBER(SEARCH("Cape Verde",S4900)),"Cabo Verde",
ISNUMBER(SEARCH("Czechia",S4900)),"Czech Republic",
ISNUMBER(SEARCH("Türkiye",S4900)),"Turkey",
ISNUMBER(SEARCH("Ivory Coast",S4900)),"Côte d'Ivoire",
ISNUMBER(SEARCH("Korea Republic",S4900)),"South Korea",
ISNUMBER(SEARCH("Germany FR",S4900)),"FR Germany",
ISNUMBER(SEARCH("West Germany",S4900)),"FR Germany",
ISNUMBER(SEARCH("Germany DR",S4900)),"DR Germany",
ISNUMBER(SEARCH("Korea DPR",S4900)),"North Korea",
ISNUMBER(SEARCH("China PR",S4900)),"China",
ISNUMBER(SEARCH("IR Iran",S4900)),"Iran",
ISNUMBER(SEARCH("Congo DR",S4900)),"Democratic Republic of the Congo",
ISNUMBER(SEARCH("DR Congo",S4900)),"Democratic Republic of the Congo",
ISNUMBER(SEARCH("German DR",S4900)),"DR Germany",
ISNUMBER(SEARCH("rn""&gt;United Arab Emirates",S4900)),"United Arab Emirates",
ISNUMBER(SEARCH("rn""&gt;Republic of Ireland",S4900)),"Ireland",
ISNUMBER(SEARCH("rn""&gt;Bosnia and Herzegovina",S4900)),"Bosnia and Herzegovina",
ISNUMBER(SEARCH("rn""&gt;Trinidad and Tobago",S4900)),"Trinidad and Tobago",
ISNUMBER(SEARCH("rn""&gt;Serbia and Montenegro",S4900)),"Serbia and Montenegro",
ISNUMBER(SEARCH(_xlfn.UNICHAR(65533),S4900)),"Côte d'Ivoire",
TRUE,"-"
)</f>
        <v>-</v>
      </c>
      <c r="W4900" s="42" t="str">
        <f t="shared" si="303"/>
        <v>-</v>
      </c>
    </row>
    <row r="4901" spans="19:23">
      <c r="S4901" s="42" t="str">
        <v/>
      </c>
      <c r="T4901" s="42" t="str">
        <f t="shared" si="301"/>
        <v>-</v>
      </c>
      <c r="U4901" s="40" t="str">
        <f t="shared" si="302"/>
        <v>-</v>
      </c>
      <c r="V4901" s="42" t="str" cm="1">
        <f t="array" ref="V4901">_xlfn.IFS(
LEFT(S4901,16)="win on penalties",IF(VALUE(MID(S4901,19,1))&gt;VALUE(MID(S4901,23,1)),DATA_CLEANED!AK415,DATA_CLEANED!AN415),
ISNUMBER(SEARCH("USA",S4901)),"United States",
ISNUMBER(SEARCH("Republic of Ireland",S4901)),"Ireland",
ISNUMBER(SEARCH("Republic of Korea",S4901)),"South Korea",
ISNUMBER(SEARCH("Cape Verde",S4901)),"Cabo Verde",
ISNUMBER(SEARCH("Czechia",S4901)),"Czech Republic",
ISNUMBER(SEARCH("Türkiye",S4901)),"Turkey",
ISNUMBER(SEARCH("Ivory Coast",S4901)),"Côte d'Ivoire",
ISNUMBER(SEARCH("Korea Republic",S4901)),"South Korea",
ISNUMBER(SEARCH("Germany FR",S4901)),"FR Germany",
ISNUMBER(SEARCH("West Germany",S4901)),"FR Germany",
ISNUMBER(SEARCH("Germany DR",S4901)),"DR Germany",
ISNUMBER(SEARCH("Korea DPR",S4901)),"North Korea",
ISNUMBER(SEARCH("China PR",S4901)),"China",
ISNUMBER(SEARCH("IR Iran",S4901)),"Iran",
ISNUMBER(SEARCH("Congo DR",S4901)),"Democratic Republic of the Congo",
ISNUMBER(SEARCH("DR Congo",S4901)),"Democratic Republic of the Congo",
ISNUMBER(SEARCH("German DR",S4901)),"DR Germany",
ISNUMBER(SEARCH("rn""&gt;United Arab Emirates",S4901)),"United Arab Emirates",
ISNUMBER(SEARCH("rn""&gt;Republic of Ireland",S4901)),"Ireland",
ISNUMBER(SEARCH("rn""&gt;Bosnia and Herzegovina",S4901)),"Bosnia and Herzegovina",
ISNUMBER(SEARCH("rn""&gt;Trinidad and Tobago",S4901)),"Trinidad and Tobago",
ISNUMBER(SEARCH("rn""&gt;Serbia and Montenegro",S4901)),"Serbia and Montenegro",
ISNUMBER(SEARCH(_xlfn.UNICHAR(65533),S4901)),"Côte d'Ivoire",
TRUE,"-"
)</f>
        <v>-</v>
      </c>
      <c r="W4901" s="42" t="str">
        <f t="shared" si="303"/>
        <v>-</v>
      </c>
    </row>
    <row r="4902" spans="19:23">
      <c r="S4902" s="42" t="str">
        <v/>
      </c>
      <c r="T4902" s="42" t="str">
        <f t="shared" si="301"/>
        <v>-</v>
      </c>
      <c r="U4902" s="40" t="str">
        <f t="shared" si="302"/>
        <v>-</v>
      </c>
      <c r="V4902" s="42" t="str" cm="1">
        <f t="array" ref="V4902">_xlfn.IFS(
LEFT(S4902,16)="win on penalties",IF(VALUE(MID(S4902,19,1))&gt;VALUE(MID(S4902,23,1)),DATA_CLEANED!AK416,DATA_CLEANED!AN416),
ISNUMBER(SEARCH("USA",S4902)),"United States",
ISNUMBER(SEARCH("Republic of Ireland",S4902)),"Ireland",
ISNUMBER(SEARCH("Republic of Korea",S4902)),"South Korea",
ISNUMBER(SEARCH("Cape Verde",S4902)),"Cabo Verde",
ISNUMBER(SEARCH("Czechia",S4902)),"Czech Republic",
ISNUMBER(SEARCH("Türkiye",S4902)),"Turkey",
ISNUMBER(SEARCH("Ivory Coast",S4902)),"Côte d'Ivoire",
ISNUMBER(SEARCH("Korea Republic",S4902)),"South Korea",
ISNUMBER(SEARCH("Germany FR",S4902)),"FR Germany",
ISNUMBER(SEARCH("West Germany",S4902)),"FR Germany",
ISNUMBER(SEARCH("Germany DR",S4902)),"DR Germany",
ISNUMBER(SEARCH("Korea DPR",S4902)),"North Korea",
ISNUMBER(SEARCH("China PR",S4902)),"China",
ISNUMBER(SEARCH("IR Iran",S4902)),"Iran",
ISNUMBER(SEARCH("Congo DR",S4902)),"Democratic Republic of the Congo",
ISNUMBER(SEARCH("DR Congo",S4902)),"Democratic Republic of the Congo",
ISNUMBER(SEARCH("German DR",S4902)),"DR Germany",
ISNUMBER(SEARCH("rn""&gt;United Arab Emirates",S4902)),"United Arab Emirates",
ISNUMBER(SEARCH("rn""&gt;Republic of Ireland",S4902)),"Ireland",
ISNUMBER(SEARCH("rn""&gt;Bosnia and Herzegovina",S4902)),"Bosnia and Herzegovina",
ISNUMBER(SEARCH("rn""&gt;Trinidad and Tobago",S4902)),"Trinidad and Tobago",
ISNUMBER(SEARCH("rn""&gt;Serbia and Montenegro",S4902)),"Serbia and Montenegro",
ISNUMBER(SEARCH(_xlfn.UNICHAR(65533),S4902)),"Côte d'Ivoire",
TRUE,"-"
)</f>
        <v>-</v>
      </c>
      <c r="W4902" s="42" t="str">
        <f t="shared" si="303"/>
        <v>-</v>
      </c>
    </row>
    <row r="4903" spans="19:23">
      <c r="S4903" s="42" t="str">
        <v/>
      </c>
      <c r="T4903" s="42" t="str">
        <f t="shared" si="301"/>
        <v>-</v>
      </c>
      <c r="U4903" s="40" t="str">
        <f t="shared" si="302"/>
        <v>-</v>
      </c>
      <c r="V4903" s="42" t="str" cm="1">
        <f t="array" ref="V4903">_xlfn.IFS(
LEFT(S4903,16)="win on penalties",IF(VALUE(MID(S4903,19,1))&gt;VALUE(MID(S4903,23,1)),DATA_CLEANED!AK417,DATA_CLEANED!AN417),
ISNUMBER(SEARCH("USA",S4903)),"United States",
ISNUMBER(SEARCH("Republic of Ireland",S4903)),"Ireland",
ISNUMBER(SEARCH("Republic of Korea",S4903)),"South Korea",
ISNUMBER(SEARCH("Cape Verde",S4903)),"Cabo Verde",
ISNUMBER(SEARCH("Czechia",S4903)),"Czech Republic",
ISNUMBER(SEARCH("Türkiye",S4903)),"Turkey",
ISNUMBER(SEARCH("Ivory Coast",S4903)),"Côte d'Ivoire",
ISNUMBER(SEARCH("Korea Republic",S4903)),"South Korea",
ISNUMBER(SEARCH("Germany FR",S4903)),"FR Germany",
ISNUMBER(SEARCH("West Germany",S4903)),"FR Germany",
ISNUMBER(SEARCH("Germany DR",S4903)),"DR Germany",
ISNUMBER(SEARCH("Korea DPR",S4903)),"North Korea",
ISNUMBER(SEARCH("China PR",S4903)),"China",
ISNUMBER(SEARCH("IR Iran",S4903)),"Iran",
ISNUMBER(SEARCH("Congo DR",S4903)),"Democratic Republic of the Congo",
ISNUMBER(SEARCH("DR Congo",S4903)),"Democratic Republic of the Congo",
ISNUMBER(SEARCH("German DR",S4903)),"DR Germany",
ISNUMBER(SEARCH("rn""&gt;United Arab Emirates",S4903)),"United Arab Emirates",
ISNUMBER(SEARCH("rn""&gt;Republic of Ireland",S4903)),"Ireland",
ISNUMBER(SEARCH("rn""&gt;Bosnia and Herzegovina",S4903)),"Bosnia and Herzegovina",
ISNUMBER(SEARCH("rn""&gt;Trinidad and Tobago",S4903)),"Trinidad and Tobago",
ISNUMBER(SEARCH("rn""&gt;Serbia and Montenegro",S4903)),"Serbia and Montenegro",
ISNUMBER(SEARCH(_xlfn.UNICHAR(65533),S4903)),"Côte d'Ivoire",
TRUE,"-"
)</f>
        <v>-</v>
      </c>
      <c r="W4903" s="42" t="str">
        <f t="shared" si="303"/>
        <v>-</v>
      </c>
    </row>
    <row r="4904" spans="19:23">
      <c r="S4904" s="42" t="str">
        <v/>
      </c>
      <c r="T4904" s="42" t="str">
        <f t="shared" si="301"/>
        <v>-</v>
      </c>
      <c r="U4904" s="40" t="str">
        <f t="shared" si="302"/>
        <v>-</v>
      </c>
      <c r="V4904" s="42" t="str" cm="1">
        <f t="array" ref="V4904">_xlfn.IFS(
LEFT(S4904,16)="win on penalties",IF(VALUE(MID(S4904,19,1))&gt;VALUE(MID(S4904,23,1)),DATA_CLEANED!AK418,DATA_CLEANED!AN418),
ISNUMBER(SEARCH("USA",S4904)),"United States",
ISNUMBER(SEARCH("Republic of Ireland",S4904)),"Ireland",
ISNUMBER(SEARCH("Republic of Korea",S4904)),"South Korea",
ISNUMBER(SEARCH("Cape Verde",S4904)),"Cabo Verde",
ISNUMBER(SEARCH("Czechia",S4904)),"Czech Republic",
ISNUMBER(SEARCH("Türkiye",S4904)),"Turkey",
ISNUMBER(SEARCH("Ivory Coast",S4904)),"Côte d'Ivoire",
ISNUMBER(SEARCH("Korea Republic",S4904)),"South Korea",
ISNUMBER(SEARCH("Germany FR",S4904)),"FR Germany",
ISNUMBER(SEARCH("West Germany",S4904)),"FR Germany",
ISNUMBER(SEARCH("Germany DR",S4904)),"DR Germany",
ISNUMBER(SEARCH("Korea DPR",S4904)),"North Korea",
ISNUMBER(SEARCH("China PR",S4904)),"China",
ISNUMBER(SEARCH("IR Iran",S4904)),"Iran",
ISNUMBER(SEARCH("Congo DR",S4904)),"Democratic Republic of the Congo",
ISNUMBER(SEARCH("DR Congo",S4904)),"Democratic Republic of the Congo",
ISNUMBER(SEARCH("German DR",S4904)),"DR Germany",
ISNUMBER(SEARCH("rn""&gt;United Arab Emirates",S4904)),"United Arab Emirates",
ISNUMBER(SEARCH("rn""&gt;Republic of Ireland",S4904)),"Ireland",
ISNUMBER(SEARCH("rn""&gt;Bosnia and Herzegovina",S4904)),"Bosnia and Herzegovina",
ISNUMBER(SEARCH("rn""&gt;Trinidad and Tobago",S4904)),"Trinidad and Tobago",
ISNUMBER(SEARCH("rn""&gt;Serbia and Montenegro",S4904)),"Serbia and Montenegro",
ISNUMBER(SEARCH(_xlfn.UNICHAR(65533),S4904)),"Côte d'Ivoire",
TRUE,"-"
)</f>
        <v>-</v>
      </c>
      <c r="W4904" s="42" t="str">
        <f t="shared" si="303"/>
        <v>-</v>
      </c>
    </row>
    <row r="4905" spans="19:23">
      <c r="S4905" s="42" t="str">
        <v/>
      </c>
      <c r="T4905" s="42" t="str">
        <f t="shared" si="301"/>
        <v>-</v>
      </c>
      <c r="U4905" s="40" t="str">
        <f t="shared" si="302"/>
        <v>-</v>
      </c>
      <c r="V4905" s="42" t="str" cm="1">
        <f t="array" ref="V4905">_xlfn.IFS(
LEFT(S4905,16)="win on penalties",IF(VALUE(MID(S4905,19,1))&gt;VALUE(MID(S4905,23,1)),DATA_CLEANED!AK419,DATA_CLEANED!AN419),
ISNUMBER(SEARCH("USA",S4905)),"United States",
ISNUMBER(SEARCH("Republic of Ireland",S4905)),"Ireland",
ISNUMBER(SEARCH("Republic of Korea",S4905)),"South Korea",
ISNUMBER(SEARCH("Cape Verde",S4905)),"Cabo Verde",
ISNUMBER(SEARCH("Czechia",S4905)),"Czech Republic",
ISNUMBER(SEARCH("Türkiye",S4905)),"Turkey",
ISNUMBER(SEARCH("Ivory Coast",S4905)),"Côte d'Ivoire",
ISNUMBER(SEARCH("Korea Republic",S4905)),"South Korea",
ISNUMBER(SEARCH("Germany FR",S4905)),"FR Germany",
ISNUMBER(SEARCH("West Germany",S4905)),"FR Germany",
ISNUMBER(SEARCH("Germany DR",S4905)),"DR Germany",
ISNUMBER(SEARCH("Korea DPR",S4905)),"North Korea",
ISNUMBER(SEARCH("China PR",S4905)),"China",
ISNUMBER(SEARCH("IR Iran",S4905)),"Iran",
ISNUMBER(SEARCH("Congo DR",S4905)),"Democratic Republic of the Congo",
ISNUMBER(SEARCH("DR Congo",S4905)),"Democratic Republic of the Congo",
ISNUMBER(SEARCH("German DR",S4905)),"DR Germany",
ISNUMBER(SEARCH("rn""&gt;United Arab Emirates",S4905)),"United Arab Emirates",
ISNUMBER(SEARCH("rn""&gt;Republic of Ireland",S4905)),"Ireland",
ISNUMBER(SEARCH("rn""&gt;Bosnia and Herzegovina",S4905)),"Bosnia and Herzegovina",
ISNUMBER(SEARCH("rn""&gt;Trinidad and Tobago",S4905)),"Trinidad and Tobago",
ISNUMBER(SEARCH("rn""&gt;Serbia and Montenegro",S4905)),"Serbia and Montenegro",
ISNUMBER(SEARCH(_xlfn.UNICHAR(65533),S4905)),"Côte d'Ivoire",
TRUE,"-"
)</f>
        <v>-</v>
      </c>
      <c r="W4905" s="42" t="str">
        <f t="shared" si="303"/>
        <v>-</v>
      </c>
    </row>
    <row r="4906" spans="19:23">
      <c r="S4906" s="42" t="str">
        <v/>
      </c>
      <c r="T4906" s="42" t="str">
        <f t="shared" si="301"/>
        <v>-</v>
      </c>
      <c r="U4906" s="40" t="str">
        <f t="shared" si="302"/>
        <v>-</v>
      </c>
      <c r="V4906" s="42" t="str" cm="1">
        <f t="array" ref="V4906">_xlfn.IFS(
LEFT(S4906,16)="win on penalties",IF(VALUE(MID(S4906,19,1))&gt;VALUE(MID(S4906,23,1)),DATA_CLEANED!AK420,DATA_CLEANED!AN420),
ISNUMBER(SEARCH("USA",S4906)),"United States",
ISNUMBER(SEARCH("Republic of Ireland",S4906)),"Ireland",
ISNUMBER(SEARCH("Republic of Korea",S4906)),"South Korea",
ISNUMBER(SEARCH("Cape Verde",S4906)),"Cabo Verde",
ISNUMBER(SEARCH("Czechia",S4906)),"Czech Republic",
ISNUMBER(SEARCH("Türkiye",S4906)),"Turkey",
ISNUMBER(SEARCH("Ivory Coast",S4906)),"Côte d'Ivoire",
ISNUMBER(SEARCH("Korea Republic",S4906)),"South Korea",
ISNUMBER(SEARCH("Germany FR",S4906)),"FR Germany",
ISNUMBER(SEARCH("West Germany",S4906)),"FR Germany",
ISNUMBER(SEARCH("Germany DR",S4906)),"DR Germany",
ISNUMBER(SEARCH("Korea DPR",S4906)),"North Korea",
ISNUMBER(SEARCH("China PR",S4906)),"China",
ISNUMBER(SEARCH("IR Iran",S4906)),"Iran",
ISNUMBER(SEARCH("Congo DR",S4906)),"Democratic Republic of the Congo",
ISNUMBER(SEARCH("DR Congo",S4906)),"Democratic Republic of the Congo",
ISNUMBER(SEARCH("German DR",S4906)),"DR Germany",
ISNUMBER(SEARCH("rn""&gt;United Arab Emirates",S4906)),"United Arab Emirates",
ISNUMBER(SEARCH("rn""&gt;Republic of Ireland",S4906)),"Ireland",
ISNUMBER(SEARCH("rn""&gt;Bosnia and Herzegovina",S4906)),"Bosnia and Herzegovina",
ISNUMBER(SEARCH("rn""&gt;Trinidad and Tobago",S4906)),"Trinidad and Tobago",
ISNUMBER(SEARCH("rn""&gt;Serbia and Montenegro",S4906)),"Serbia and Montenegro",
ISNUMBER(SEARCH(_xlfn.UNICHAR(65533),S4906)),"Côte d'Ivoire",
TRUE,"-"
)</f>
        <v>-</v>
      </c>
      <c r="W4906" s="42" t="str">
        <f t="shared" si="303"/>
        <v>-</v>
      </c>
    </row>
    <row r="4907" spans="19:23">
      <c r="S4907" s="42" t="str">
        <v/>
      </c>
      <c r="T4907" s="42" t="str">
        <f t="shared" si="301"/>
        <v>-</v>
      </c>
      <c r="U4907" s="40" t="str">
        <f t="shared" si="302"/>
        <v>-</v>
      </c>
      <c r="V4907" s="42" t="str" cm="1">
        <f t="array" ref="V4907">_xlfn.IFS(
LEFT(S4907,16)="win on penalties",IF(VALUE(MID(S4907,19,1))&gt;VALUE(MID(S4907,23,1)),DATA_CLEANED!AK421,DATA_CLEANED!AN421),
ISNUMBER(SEARCH("USA",S4907)),"United States",
ISNUMBER(SEARCH("Republic of Ireland",S4907)),"Ireland",
ISNUMBER(SEARCH("Republic of Korea",S4907)),"South Korea",
ISNUMBER(SEARCH("Cape Verde",S4907)),"Cabo Verde",
ISNUMBER(SEARCH("Czechia",S4907)),"Czech Republic",
ISNUMBER(SEARCH("Türkiye",S4907)),"Turkey",
ISNUMBER(SEARCH("Ivory Coast",S4907)),"Côte d'Ivoire",
ISNUMBER(SEARCH("Korea Republic",S4907)),"South Korea",
ISNUMBER(SEARCH("Germany FR",S4907)),"FR Germany",
ISNUMBER(SEARCH("West Germany",S4907)),"FR Germany",
ISNUMBER(SEARCH("Germany DR",S4907)),"DR Germany",
ISNUMBER(SEARCH("Korea DPR",S4907)),"North Korea",
ISNUMBER(SEARCH("China PR",S4907)),"China",
ISNUMBER(SEARCH("IR Iran",S4907)),"Iran",
ISNUMBER(SEARCH("Congo DR",S4907)),"Democratic Republic of the Congo",
ISNUMBER(SEARCH("DR Congo",S4907)),"Democratic Republic of the Congo",
ISNUMBER(SEARCH("German DR",S4907)),"DR Germany",
ISNUMBER(SEARCH("rn""&gt;United Arab Emirates",S4907)),"United Arab Emirates",
ISNUMBER(SEARCH("rn""&gt;Republic of Ireland",S4907)),"Ireland",
ISNUMBER(SEARCH("rn""&gt;Bosnia and Herzegovina",S4907)),"Bosnia and Herzegovina",
ISNUMBER(SEARCH("rn""&gt;Trinidad and Tobago",S4907)),"Trinidad and Tobago",
ISNUMBER(SEARCH("rn""&gt;Serbia and Montenegro",S4907)),"Serbia and Montenegro",
ISNUMBER(SEARCH(_xlfn.UNICHAR(65533),S4907)),"Côte d'Ivoire",
TRUE,"-"
)</f>
        <v>-</v>
      </c>
      <c r="W4907" s="42" t="str">
        <f t="shared" si="303"/>
        <v>-</v>
      </c>
    </row>
    <row r="4908" spans="19:23">
      <c r="S4908" s="42" t="str">
        <v/>
      </c>
      <c r="T4908" s="42" t="str">
        <f t="shared" si="301"/>
        <v>-</v>
      </c>
      <c r="U4908" s="40" t="str">
        <f t="shared" si="302"/>
        <v>-</v>
      </c>
      <c r="V4908" s="42" t="str" cm="1">
        <f t="array" ref="V4908">_xlfn.IFS(
LEFT(S4908,16)="win on penalties",IF(VALUE(MID(S4908,19,1))&gt;VALUE(MID(S4908,23,1)),DATA_CLEANED!AK422,DATA_CLEANED!AN422),
ISNUMBER(SEARCH("USA",S4908)),"United States",
ISNUMBER(SEARCH("Republic of Ireland",S4908)),"Ireland",
ISNUMBER(SEARCH("Republic of Korea",S4908)),"South Korea",
ISNUMBER(SEARCH("Cape Verde",S4908)),"Cabo Verde",
ISNUMBER(SEARCH("Czechia",S4908)),"Czech Republic",
ISNUMBER(SEARCH("Türkiye",S4908)),"Turkey",
ISNUMBER(SEARCH("Ivory Coast",S4908)),"Côte d'Ivoire",
ISNUMBER(SEARCH("Korea Republic",S4908)),"South Korea",
ISNUMBER(SEARCH("Germany FR",S4908)),"FR Germany",
ISNUMBER(SEARCH("West Germany",S4908)),"FR Germany",
ISNUMBER(SEARCH("Germany DR",S4908)),"DR Germany",
ISNUMBER(SEARCH("Korea DPR",S4908)),"North Korea",
ISNUMBER(SEARCH("China PR",S4908)),"China",
ISNUMBER(SEARCH("IR Iran",S4908)),"Iran",
ISNUMBER(SEARCH("Congo DR",S4908)),"Democratic Republic of the Congo",
ISNUMBER(SEARCH("DR Congo",S4908)),"Democratic Republic of the Congo",
ISNUMBER(SEARCH("German DR",S4908)),"DR Germany",
ISNUMBER(SEARCH("rn""&gt;United Arab Emirates",S4908)),"United Arab Emirates",
ISNUMBER(SEARCH("rn""&gt;Republic of Ireland",S4908)),"Ireland",
ISNUMBER(SEARCH("rn""&gt;Bosnia and Herzegovina",S4908)),"Bosnia and Herzegovina",
ISNUMBER(SEARCH("rn""&gt;Trinidad and Tobago",S4908)),"Trinidad and Tobago",
ISNUMBER(SEARCH("rn""&gt;Serbia and Montenegro",S4908)),"Serbia and Montenegro",
ISNUMBER(SEARCH(_xlfn.UNICHAR(65533),S4908)),"Côte d'Ivoire",
TRUE,"-"
)</f>
        <v>-</v>
      </c>
      <c r="W4908" s="42" t="str">
        <f t="shared" si="303"/>
        <v>-</v>
      </c>
    </row>
    <row r="4909" spans="19:23">
      <c r="S4909" s="42" t="str">
        <v/>
      </c>
      <c r="T4909" s="42" t="str">
        <f t="shared" si="301"/>
        <v>-</v>
      </c>
      <c r="U4909" s="40" t="str">
        <f t="shared" si="302"/>
        <v>-</v>
      </c>
      <c r="V4909" s="42" t="str" cm="1">
        <f t="array" ref="V4909">_xlfn.IFS(
LEFT(S4909,16)="win on penalties",IF(VALUE(MID(S4909,19,1))&gt;VALUE(MID(S4909,23,1)),DATA_CLEANED!AK423,DATA_CLEANED!AN423),
ISNUMBER(SEARCH("USA",S4909)),"United States",
ISNUMBER(SEARCH("Republic of Ireland",S4909)),"Ireland",
ISNUMBER(SEARCH("Republic of Korea",S4909)),"South Korea",
ISNUMBER(SEARCH("Cape Verde",S4909)),"Cabo Verde",
ISNUMBER(SEARCH("Czechia",S4909)),"Czech Republic",
ISNUMBER(SEARCH("Türkiye",S4909)),"Turkey",
ISNUMBER(SEARCH("Ivory Coast",S4909)),"Côte d'Ivoire",
ISNUMBER(SEARCH("Korea Republic",S4909)),"South Korea",
ISNUMBER(SEARCH("Germany FR",S4909)),"FR Germany",
ISNUMBER(SEARCH("West Germany",S4909)),"FR Germany",
ISNUMBER(SEARCH("Germany DR",S4909)),"DR Germany",
ISNUMBER(SEARCH("Korea DPR",S4909)),"North Korea",
ISNUMBER(SEARCH("China PR",S4909)),"China",
ISNUMBER(SEARCH("IR Iran",S4909)),"Iran",
ISNUMBER(SEARCH("Congo DR",S4909)),"Democratic Republic of the Congo",
ISNUMBER(SEARCH("DR Congo",S4909)),"Democratic Republic of the Congo",
ISNUMBER(SEARCH("German DR",S4909)),"DR Germany",
ISNUMBER(SEARCH("rn""&gt;United Arab Emirates",S4909)),"United Arab Emirates",
ISNUMBER(SEARCH("rn""&gt;Republic of Ireland",S4909)),"Ireland",
ISNUMBER(SEARCH("rn""&gt;Bosnia and Herzegovina",S4909)),"Bosnia and Herzegovina",
ISNUMBER(SEARCH("rn""&gt;Trinidad and Tobago",S4909)),"Trinidad and Tobago",
ISNUMBER(SEARCH("rn""&gt;Serbia and Montenegro",S4909)),"Serbia and Montenegro",
ISNUMBER(SEARCH(_xlfn.UNICHAR(65533),S4909)),"Côte d'Ivoire",
TRUE,"-"
)</f>
        <v>-</v>
      </c>
      <c r="W4909" s="42" t="str">
        <f t="shared" si="303"/>
        <v>-</v>
      </c>
    </row>
    <row r="4910" spans="19:23">
      <c r="S4910" s="42" t="str">
        <v/>
      </c>
      <c r="T4910" s="42" t="str">
        <f t="shared" si="301"/>
        <v>-</v>
      </c>
      <c r="U4910" s="40" t="str">
        <f t="shared" si="302"/>
        <v>-</v>
      </c>
      <c r="V4910" s="42" t="str" cm="1">
        <f t="array" ref="V4910">_xlfn.IFS(
LEFT(S4910,16)="win on penalties",IF(VALUE(MID(S4910,19,1))&gt;VALUE(MID(S4910,23,1)),DATA_CLEANED!AK424,DATA_CLEANED!AN424),
ISNUMBER(SEARCH("USA",S4910)),"United States",
ISNUMBER(SEARCH("Republic of Ireland",S4910)),"Ireland",
ISNUMBER(SEARCH("Republic of Korea",S4910)),"South Korea",
ISNUMBER(SEARCH("Cape Verde",S4910)),"Cabo Verde",
ISNUMBER(SEARCH("Czechia",S4910)),"Czech Republic",
ISNUMBER(SEARCH("Türkiye",S4910)),"Turkey",
ISNUMBER(SEARCH("Ivory Coast",S4910)),"Côte d'Ivoire",
ISNUMBER(SEARCH("Korea Republic",S4910)),"South Korea",
ISNUMBER(SEARCH("Germany FR",S4910)),"FR Germany",
ISNUMBER(SEARCH("West Germany",S4910)),"FR Germany",
ISNUMBER(SEARCH("Germany DR",S4910)),"DR Germany",
ISNUMBER(SEARCH("Korea DPR",S4910)),"North Korea",
ISNUMBER(SEARCH("China PR",S4910)),"China",
ISNUMBER(SEARCH("IR Iran",S4910)),"Iran",
ISNUMBER(SEARCH("Congo DR",S4910)),"Democratic Republic of the Congo",
ISNUMBER(SEARCH("DR Congo",S4910)),"Democratic Republic of the Congo",
ISNUMBER(SEARCH("German DR",S4910)),"DR Germany",
ISNUMBER(SEARCH("rn""&gt;United Arab Emirates",S4910)),"United Arab Emirates",
ISNUMBER(SEARCH("rn""&gt;Republic of Ireland",S4910)),"Ireland",
ISNUMBER(SEARCH("rn""&gt;Bosnia and Herzegovina",S4910)),"Bosnia and Herzegovina",
ISNUMBER(SEARCH("rn""&gt;Trinidad and Tobago",S4910)),"Trinidad and Tobago",
ISNUMBER(SEARCH("rn""&gt;Serbia and Montenegro",S4910)),"Serbia and Montenegro",
ISNUMBER(SEARCH(_xlfn.UNICHAR(65533),S4910)),"Côte d'Ivoire",
TRUE,"-"
)</f>
        <v>-</v>
      </c>
      <c r="W4910" s="42" t="str">
        <f t="shared" si="303"/>
        <v>-</v>
      </c>
    </row>
    <row r="4911" spans="19:23">
      <c r="S4911" s="42" t="str">
        <v/>
      </c>
      <c r="T4911" s="42" t="str">
        <f t="shared" si="301"/>
        <v>-</v>
      </c>
      <c r="U4911" s="40" t="str">
        <f t="shared" si="302"/>
        <v>-</v>
      </c>
      <c r="V4911" s="42" t="str" cm="1">
        <f t="array" ref="V4911">_xlfn.IFS(
LEFT(S4911,16)="win on penalties",IF(VALUE(MID(S4911,19,1))&gt;VALUE(MID(S4911,23,1)),DATA_CLEANED!AK425,DATA_CLEANED!AN425),
ISNUMBER(SEARCH("USA",S4911)),"United States",
ISNUMBER(SEARCH("Republic of Ireland",S4911)),"Ireland",
ISNUMBER(SEARCH("Republic of Korea",S4911)),"South Korea",
ISNUMBER(SEARCH("Cape Verde",S4911)),"Cabo Verde",
ISNUMBER(SEARCH("Czechia",S4911)),"Czech Republic",
ISNUMBER(SEARCH("Türkiye",S4911)),"Turkey",
ISNUMBER(SEARCH("Ivory Coast",S4911)),"Côte d'Ivoire",
ISNUMBER(SEARCH("Korea Republic",S4911)),"South Korea",
ISNUMBER(SEARCH("Germany FR",S4911)),"FR Germany",
ISNUMBER(SEARCH("West Germany",S4911)),"FR Germany",
ISNUMBER(SEARCH("Germany DR",S4911)),"DR Germany",
ISNUMBER(SEARCH("Korea DPR",S4911)),"North Korea",
ISNUMBER(SEARCH("China PR",S4911)),"China",
ISNUMBER(SEARCH("IR Iran",S4911)),"Iran",
ISNUMBER(SEARCH("Congo DR",S4911)),"Democratic Republic of the Congo",
ISNUMBER(SEARCH("DR Congo",S4911)),"Democratic Republic of the Congo",
ISNUMBER(SEARCH("German DR",S4911)),"DR Germany",
ISNUMBER(SEARCH("rn""&gt;United Arab Emirates",S4911)),"United Arab Emirates",
ISNUMBER(SEARCH("rn""&gt;Republic of Ireland",S4911)),"Ireland",
ISNUMBER(SEARCH("rn""&gt;Bosnia and Herzegovina",S4911)),"Bosnia and Herzegovina",
ISNUMBER(SEARCH("rn""&gt;Trinidad and Tobago",S4911)),"Trinidad and Tobago",
ISNUMBER(SEARCH("rn""&gt;Serbia and Montenegro",S4911)),"Serbia and Montenegro",
ISNUMBER(SEARCH(_xlfn.UNICHAR(65533),S4911)),"Côte d'Ivoire",
TRUE,"-"
)</f>
        <v>-</v>
      </c>
      <c r="W4911" s="42" t="str">
        <f t="shared" si="303"/>
        <v>-</v>
      </c>
    </row>
    <row r="4912" spans="19:23">
      <c r="S4912" s="42" t="str">
        <v/>
      </c>
      <c r="T4912" s="42" t="str">
        <f t="shared" si="301"/>
        <v>-</v>
      </c>
      <c r="U4912" s="40" t="str">
        <f t="shared" si="302"/>
        <v>-</v>
      </c>
      <c r="V4912" s="42" t="str" cm="1">
        <f t="array" ref="V4912">_xlfn.IFS(
LEFT(S4912,16)="win on penalties",IF(VALUE(MID(S4912,19,1))&gt;VALUE(MID(S4912,23,1)),DATA_CLEANED!AK426,DATA_CLEANED!AN426),
ISNUMBER(SEARCH("USA",S4912)),"United States",
ISNUMBER(SEARCH("Republic of Ireland",S4912)),"Ireland",
ISNUMBER(SEARCH("Republic of Korea",S4912)),"South Korea",
ISNUMBER(SEARCH("Cape Verde",S4912)),"Cabo Verde",
ISNUMBER(SEARCH("Czechia",S4912)),"Czech Republic",
ISNUMBER(SEARCH("Türkiye",S4912)),"Turkey",
ISNUMBER(SEARCH("Ivory Coast",S4912)),"Côte d'Ivoire",
ISNUMBER(SEARCH("Korea Republic",S4912)),"South Korea",
ISNUMBER(SEARCH("Germany FR",S4912)),"FR Germany",
ISNUMBER(SEARCH("West Germany",S4912)),"FR Germany",
ISNUMBER(SEARCH("Germany DR",S4912)),"DR Germany",
ISNUMBER(SEARCH("Korea DPR",S4912)),"North Korea",
ISNUMBER(SEARCH("China PR",S4912)),"China",
ISNUMBER(SEARCH("IR Iran",S4912)),"Iran",
ISNUMBER(SEARCH("Congo DR",S4912)),"Democratic Republic of the Congo",
ISNUMBER(SEARCH("DR Congo",S4912)),"Democratic Republic of the Congo",
ISNUMBER(SEARCH("German DR",S4912)),"DR Germany",
ISNUMBER(SEARCH("rn""&gt;United Arab Emirates",S4912)),"United Arab Emirates",
ISNUMBER(SEARCH("rn""&gt;Republic of Ireland",S4912)),"Ireland",
ISNUMBER(SEARCH("rn""&gt;Bosnia and Herzegovina",S4912)),"Bosnia and Herzegovina",
ISNUMBER(SEARCH("rn""&gt;Trinidad and Tobago",S4912)),"Trinidad and Tobago",
ISNUMBER(SEARCH("rn""&gt;Serbia and Montenegro",S4912)),"Serbia and Montenegro",
ISNUMBER(SEARCH(_xlfn.UNICHAR(65533),S4912)),"Côte d'Ivoire",
TRUE,"-"
)</f>
        <v>-</v>
      </c>
      <c r="W4912" s="42" t="str">
        <f t="shared" si="303"/>
        <v>-</v>
      </c>
    </row>
    <row r="4913" spans="19:23">
      <c r="S4913" s="42" t="str">
        <v/>
      </c>
      <c r="T4913" s="42" t="str">
        <f t="shared" si="301"/>
        <v>-</v>
      </c>
      <c r="U4913" s="40" t="str">
        <f t="shared" si="302"/>
        <v>-</v>
      </c>
      <c r="V4913" s="42" t="str" cm="1">
        <f t="array" ref="V4913">_xlfn.IFS(
LEFT(S4913,16)="win on penalties",IF(VALUE(MID(S4913,19,1))&gt;VALUE(MID(S4913,23,1)),DATA_CLEANED!AK427,DATA_CLEANED!AN427),
ISNUMBER(SEARCH("USA",S4913)),"United States",
ISNUMBER(SEARCH("Republic of Ireland",S4913)),"Ireland",
ISNUMBER(SEARCH("Republic of Korea",S4913)),"South Korea",
ISNUMBER(SEARCH("Cape Verde",S4913)),"Cabo Verde",
ISNUMBER(SEARCH("Czechia",S4913)),"Czech Republic",
ISNUMBER(SEARCH("Türkiye",S4913)),"Turkey",
ISNUMBER(SEARCH("Ivory Coast",S4913)),"Côte d'Ivoire",
ISNUMBER(SEARCH("Korea Republic",S4913)),"South Korea",
ISNUMBER(SEARCH("Germany FR",S4913)),"FR Germany",
ISNUMBER(SEARCH("West Germany",S4913)),"FR Germany",
ISNUMBER(SEARCH("Germany DR",S4913)),"DR Germany",
ISNUMBER(SEARCH("Korea DPR",S4913)),"North Korea",
ISNUMBER(SEARCH("China PR",S4913)),"China",
ISNUMBER(SEARCH("IR Iran",S4913)),"Iran",
ISNUMBER(SEARCH("Congo DR",S4913)),"Democratic Republic of the Congo",
ISNUMBER(SEARCH("DR Congo",S4913)),"Democratic Republic of the Congo",
ISNUMBER(SEARCH("German DR",S4913)),"DR Germany",
ISNUMBER(SEARCH("rn""&gt;United Arab Emirates",S4913)),"United Arab Emirates",
ISNUMBER(SEARCH("rn""&gt;Republic of Ireland",S4913)),"Ireland",
ISNUMBER(SEARCH("rn""&gt;Bosnia and Herzegovina",S4913)),"Bosnia and Herzegovina",
ISNUMBER(SEARCH("rn""&gt;Trinidad and Tobago",S4913)),"Trinidad and Tobago",
ISNUMBER(SEARCH("rn""&gt;Serbia and Montenegro",S4913)),"Serbia and Montenegro",
ISNUMBER(SEARCH(_xlfn.UNICHAR(65533),S4913)),"Côte d'Ivoire",
TRUE,"-"
)</f>
        <v>-</v>
      </c>
      <c r="W4913" s="42" t="str">
        <f t="shared" si="303"/>
        <v>-</v>
      </c>
    </row>
    <row r="4914" spans="19:23">
      <c r="S4914" s="42" t="str">
        <v/>
      </c>
      <c r="T4914" s="42" t="str">
        <f t="shared" si="301"/>
        <v>-</v>
      </c>
      <c r="U4914" s="40" t="str">
        <f t="shared" si="302"/>
        <v>-</v>
      </c>
      <c r="V4914" s="42" t="str" cm="1">
        <f t="array" ref="V4914">_xlfn.IFS(
LEFT(S4914,16)="win on penalties",IF(VALUE(MID(S4914,19,1))&gt;VALUE(MID(S4914,23,1)),DATA_CLEANED!AK428,DATA_CLEANED!AN428),
ISNUMBER(SEARCH("USA",S4914)),"United States",
ISNUMBER(SEARCH("Republic of Ireland",S4914)),"Ireland",
ISNUMBER(SEARCH("Republic of Korea",S4914)),"South Korea",
ISNUMBER(SEARCH("Cape Verde",S4914)),"Cabo Verde",
ISNUMBER(SEARCH("Czechia",S4914)),"Czech Republic",
ISNUMBER(SEARCH("Türkiye",S4914)),"Turkey",
ISNUMBER(SEARCH("Ivory Coast",S4914)),"Côte d'Ivoire",
ISNUMBER(SEARCH("Korea Republic",S4914)),"South Korea",
ISNUMBER(SEARCH("Germany FR",S4914)),"FR Germany",
ISNUMBER(SEARCH("West Germany",S4914)),"FR Germany",
ISNUMBER(SEARCH("Germany DR",S4914)),"DR Germany",
ISNUMBER(SEARCH("Korea DPR",S4914)),"North Korea",
ISNUMBER(SEARCH("China PR",S4914)),"China",
ISNUMBER(SEARCH("IR Iran",S4914)),"Iran",
ISNUMBER(SEARCH("Congo DR",S4914)),"Democratic Republic of the Congo",
ISNUMBER(SEARCH("DR Congo",S4914)),"Democratic Republic of the Congo",
ISNUMBER(SEARCH("German DR",S4914)),"DR Germany",
ISNUMBER(SEARCH("rn""&gt;United Arab Emirates",S4914)),"United Arab Emirates",
ISNUMBER(SEARCH("rn""&gt;Republic of Ireland",S4914)),"Ireland",
ISNUMBER(SEARCH("rn""&gt;Bosnia and Herzegovina",S4914)),"Bosnia and Herzegovina",
ISNUMBER(SEARCH("rn""&gt;Trinidad and Tobago",S4914)),"Trinidad and Tobago",
ISNUMBER(SEARCH("rn""&gt;Serbia and Montenegro",S4914)),"Serbia and Montenegro",
ISNUMBER(SEARCH(_xlfn.UNICHAR(65533),S4914)),"Côte d'Ivoire",
TRUE,"-"
)</f>
        <v>-</v>
      </c>
      <c r="W4914" s="42" t="str">
        <f t="shared" si="303"/>
        <v>-</v>
      </c>
    </row>
    <row r="4915" spans="19:23">
      <c r="S4915" s="42" t="str">
        <v/>
      </c>
      <c r="T4915" s="42" t="str">
        <f t="shared" si="301"/>
        <v>-</v>
      </c>
      <c r="U4915" s="40" t="str">
        <f t="shared" si="302"/>
        <v>-</v>
      </c>
      <c r="V4915" s="42" t="str" cm="1">
        <f t="array" ref="V4915">_xlfn.IFS(
LEFT(S4915,16)="win on penalties",IF(VALUE(MID(S4915,19,1))&gt;VALUE(MID(S4915,23,1)),DATA_CLEANED!AK429,DATA_CLEANED!AN429),
ISNUMBER(SEARCH("USA",S4915)),"United States",
ISNUMBER(SEARCH("Republic of Ireland",S4915)),"Ireland",
ISNUMBER(SEARCH("Republic of Korea",S4915)),"South Korea",
ISNUMBER(SEARCH("Cape Verde",S4915)),"Cabo Verde",
ISNUMBER(SEARCH("Czechia",S4915)),"Czech Republic",
ISNUMBER(SEARCH("Türkiye",S4915)),"Turkey",
ISNUMBER(SEARCH("Ivory Coast",S4915)),"Côte d'Ivoire",
ISNUMBER(SEARCH("Korea Republic",S4915)),"South Korea",
ISNUMBER(SEARCH("Germany FR",S4915)),"FR Germany",
ISNUMBER(SEARCH("West Germany",S4915)),"FR Germany",
ISNUMBER(SEARCH("Germany DR",S4915)),"DR Germany",
ISNUMBER(SEARCH("Korea DPR",S4915)),"North Korea",
ISNUMBER(SEARCH("China PR",S4915)),"China",
ISNUMBER(SEARCH("IR Iran",S4915)),"Iran",
ISNUMBER(SEARCH("Congo DR",S4915)),"Democratic Republic of the Congo",
ISNUMBER(SEARCH("DR Congo",S4915)),"Democratic Republic of the Congo",
ISNUMBER(SEARCH("German DR",S4915)),"DR Germany",
ISNUMBER(SEARCH("rn""&gt;United Arab Emirates",S4915)),"United Arab Emirates",
ISNUMBER(SEARCH("rn""&gt;Republic of Ireland",S4915)),"Ireland",
ISNUMBER(SEARCH("rn""&gt;Bosnia and Herzegovina",S4915)),"Bosnia and Herzegovina",
ISNUMBER(SEARCH("rn""&gt;Trinidad and Tobago",S4915)),"Trinidad and Tobago",
ISNUMBER(SEARCH("rn""&gt;Serbia and Montenegro",S4915)),"Serbia and Montenegro",
ISNUMBER(SEARCH(_xlfn.UNICHAR(65533),S4915)),"Côte d'Ivoire",
TRUE,"-"
)</f>
        <v>-</v>
      </c>
      <c r="W4915" s="42" t="str">
        <f t="shared" si="303"/>
        <v>-</v>
      </c>
    </row>
    <row r="4916" spans="19:23">
      <c r="S4916" s="42" t="str">
        <v/>
      </c>
      <c r="T4916" s="42" t="str">
        <f t="shared" si="301"/>
        <v>-</v>
      </c>
      <c r="U4916" s="40" t="str">
        <f t="shared" si="302"/>
        <v>-</v>
      </c>
      <c r="V4916" s="42" t="str" cm="1">
        <f t="array" ref="V4916">_xlfn.IFS(
LEFT(S4916,16)="win on penalties",IF(VALUE(MID(S4916,19,1))&gt;VALUE(MID(S4916,23,1)),DATA_CLEANED!AK430,DATA_CLEANED!AN430),
ISNUMBER(SEARCH("USA",S4916)),"United States",
ISNUMBER(SEARCH("Republic of Ireland",S4916)),"Ireland",
ISNUMBER(SEARCH("Republic of Korea",S4916)),"South Korea",
ISNUMBER(SEARCH("Cape Verde",S4916)),"Cabo Verde",
ISNUMBER(SEARCH("Czechia",S4916)),"Czech Republic",
ISNUMBER(SEARCH("Türkiye",S4916)),"Turkey",
ISNUMBER(SEARCH("Ivory Coast",S4916)),"Côte d'Ivoire",
ISNUMBER(SEARCH("Korea Republic",S4916)),"South Korea",
ISNUMBER(SEARCH("Germany FR",S4916)),"FR Germany",
ISNUMBER(SEARCH("West Germany",S4916)),"FR Germany",
ISNUMBER(SEARCH("Germany DR",S4916)),"DR Germany",
ISNUMBER(SEARCH("Korea DPR",S4916)),"North Korea",
ISNUMBER(SEARCH("China PR",S4916)),"China",
ISNUMBER(SEARCH("IR Iran",S4916)),"Iran",
ISNUMBER(SEARCH("Congo DR",S4916)),"Democratic Republic of the Congo",
ISNUMBER(SEARCH("DR Congo",S4916)),"Democratic Republic of the Congo",
ISNUMBER(SEARCH("German DR",S4916)),"DR Germany",
ISNUMBER(SEARCH("rn""&gt;United Arab Emirates",S4916)),"United Arab Emirates",
ISNUMBER(SEARCH("rn""&gt;Republic of Ireland",S4916)),"Ireland",
ISNUMBER(SEARCH("rn""&gt;Bosnia and Herzegovina",S4916)),"Bosnia and Herzegovina",
ISNUMBER(SEARCH("rn""&gt;Trinidad and Tobago",S4916)),"Trinidad and Tobago",
ISNUMBER(SEARCH("rn""&gt;Serbia and Montenegro",S4916)),"Serbia and Montenegro",
ISNUMBER(SEARCH(_xlfn.UNICHAR(65533),S4916)),"Côte d'Ivoire",
TRUE,"-"
)</f>
        <v>-</v>
      </c>
      <c r="W4916" s="42" t="str">
        <f t="shared" si="303"/>
        <v>-</v>
      </c>
    </row>
    <row r="4917" spans="19:23">
      <c r="S4917" s="42" t="str">
        <v/>
      </c>
      <c r="T4917" s="42" t="str">
        <f t="shared" si="301"/>
        <v>-</v>
      </c>
      <c r="U4917" s="40" t="str">
        <f t="shared" si="302"/>
        <v>-</v>
      </c>
      <c r="V4917" s="42" t="str" cm="1">
        <f t="array" ref="V4917">_xlfn.IFS(
LEFT(S4917,16)="win on penalties",IF(VALUE(MID(S4917,19,1))&gt;VALUE(MID(S4917,23,1)),DATA_CLEANED!AK431,DATA_CLEANED!AN431),
ISNUMBER(SEARCH("USA",S4917)),"United States",
ISNUMBER(SEARCH("Republic of Ireland",S4917)),"Ireland",
ISNUMBER(SEARCH("Republic of Korea",S4917)),"South Korea",
ISNUMBER(SEARCH("Cape Verde",S4917)),"Cabo Verde",
ISNUMBER(SEARCH("Czechia",S4917)),"Czech Republic",
ISNUMBER(SEARCH("Türkiye",S4917)),"Turkey",
ISNUMBER(SEARCH("Ivory Coast",S4917)),"Côte d'Ivoire",
ISNUMBER(SEARCH("Korea Republic",S4917)),"South Korea",
ISNUMBER(SEARCH("Germany FR",S4917)),"FR Germany",
ISNUMBER(SEARCH("West Germany",S4917)),"FR Germany",
ISNUMBER(SEARCH("Germany DR",S4917)),"DR Germany",
ISNUMBER(SEARCH("Korea DPR",S4917)),"North Korea",
ISNUMBER(SEARCH("China PR",S4917)),"China",
ISNUMBER(SEARCH("IR Iran",S4917)),"Iran",
ISNUMBER(SEARCH("Congo DR",S4917)),"Democratic Republic of the Congo",
ISNUMBER(SEARCH("DR Congo",S4917)),"Democratic Republic of the Congo",
ISNUMBER(SEARCH("German DR",S4917)),"DR Germany",
ISNUMBER(SEARCH("rn""&gt;United Arab Emirates",S4917)),"United Arab Emirates",
ISNUMBER(SEARCH("rn""&gt;Republic of Ireland",S4917)),"Ireland",
ISNUMBER(SEARCH("rn""&gt;Bosnia and Herzegovina",S4917)),"Bosnia and Herzegovina",
ISNUMBER(SEARCH("rn""&gt;Trinidad and Tobago",S4917)),"Trinidad and Tobago",
ISNUMBER(SEARCH("rn""&gt;Serbia and Montenegro",S4917)),"Serbia and Montenegro",
ISNUMBER(SEARCH(_xlfn.UNICHAR(65533),S4917)),"Côte d'Ivoire",
TRUE,"-"
)</f>
        <v>-</v>
      </c>
      <c r="W4917" s="42" t="str">
        <f t="shared" si="303"/>
        <v>-</v>
      </c>
    </row>
    <row r="4918" spans="19:23">
      <c r="S4918" s="42" t="str">
        <v/>
      </c>
      <c r="T4918" s="42" t="str">
        <f t="shared" si="301"/>
        <v>-</v>
      </c>
      <c r="U4918" s="40" t="str">
        <f t="shared" si="302"/>
        <v>-</v>
      </c>
      <c r="V4918" s="42" t="str" cm="1">
        <f t="array" ref="V4918">_xlfn.IFS(
LEFT(S4918,16)="win on penalties",IF(VALUE(MID(S4918,19,1))&gt;VALUE(MID(S4918,23,1)),DATA_CLEANED!AK432,DATA_CLEANED!AN432),
ISNUMBER(SEARCH("USA",S4918)),"United States",
ISNUMBER(SEARCH("Republic of Ireland",S4918)),"Ireland",
ISNUMBER(SEARCH("Republic of Korea",S4918)),"South Korea",
ISNUMBER(SEARCH("Cape Verde",S4918)),"Cabo Verde",
ISNUMBER(SEARCH("Czechia",S4918)),"Czech Republic",
ISNUMBER(SEARCH("Türkiye",S4918)),"Turkey",
ISNUMBER(SEARCH("Ivory Coast",S4918)),"Côte d'Ivoire",
ISNUMBER(SEARCH("Korea Republic",S4918)),"South Korea",
ISNUMBER(SEARCH("Germany FR",S4918)),"FR Germany",
ISNUMBER(SEARCH("West Germany",S4918)),"FR Germany",
ISNUMBER(SEARCH("Germany DR",S4918)),"DR Germany",
ISNUMBER(SEARCH("Korea DPR",S4918)),"North Korea",
ISNUMBER(SEARCH("China PR",S4918)),"China",
ISNUMBER(SEARCH("IR Iran",S4918)),"Iran",
ISNUMBER(SEARCH("Congo DR",S4918)),"Democratic Republic of the Congo",
ISNUMBER(SEARCH("DR Congo",S4918)),"Democratic Republic of the Congo",
ISNUMBER(SEARCH("German DR",S4918)),"DR Germany",
ISNUMBER(SEARCH("rn""&gt;United Arab Emirates",S4918)),"United Arab Emirates",
ISNUMBER(SEARCH("rn""&gt;Republic of Ireland",S4918)),"Ireland",
ISNUMBER(SEARCH("rn""&gt;Bosnia and Herzegovina",S4918)),"Bosnia and Herzegovina",
ISNUMBER(SEARCH("rn""&gt;Trinidad and Tobago",S4918)),"Trinidad and Tobago",
ISNUMBER(SEARCH("rn""&gt;Serbia and Montenegro",S4918)),"Serbia and Montenegro",
ISNUMBER(SEARCH(_xlfn.UNICHAR(65533),S4918)),"Côte d'Ivoire",
TRUE,"-"
)</f>
        <v>-</v>
      </c>
      <c r="W4918" s="42" t="str">
        <f t="shared" si="303"/>
        <v>-</v>
      </c>
    </row>
    <row r="4919" spans="19:23">
      <c r="S4919" s="42" t="str">
        <v/>
      </c>
      <c r="T4919" s="42" t="str">
        <f t="shared" si="301"/>
        <v>-</v>
      </c>
      <c r="U4919" s="40" t="str">
        <f t="shared" si="302"/>
        <v>-</v>
      </c>
      <c r="V4919" s="42" t="str" cm="1">
        <f t="array" ref="V4919">_xlfn.IFS(
LEFT(S4919,16)="win on penalties",IF(VALUE(MID(S4919,19,1))&gt;VALUE(MID(S4919,23,1)),DATA_CLEANED!AK433,DATA_CLEANED!AN433),
ISNUMBER(SEARCH("USA",S4919)),"United States",
ISNUMBER(SEARCH("Republic of Ireland",S4919)),"Ireland",
ISNUMBER(SEARCH("Republic of Korea",S4919)),"South Korea",
ISNUMBER(SEARCH("Cape Verde",S4919)),"Cabo Verde",
ISNUMBER(SEARCH("Czechia",S4919)),"Czech Republic",
ISNUMBER(SEARCH("Türkiye",S4919)),"Turkey",
ISNUMBER(SEARCH("Ivory Coast",S4919)),"Côte d'Ivoire",
ISNUMBER(SEARCH("Korea Republic",S4919)),"South Korea",
ISNUMBER(SEARCH("Germany FR",S4919)),"FR Germany",
ISNUMBER(SEARCH("West Germany",S4919)),"FR Germany",
ISNUMBER(SEARCH("Germany DR",S4919)),"DR Germany",
ISNUMBER(SEARCH("Korea DPR",S4919)),"North Korea",
ISNUMBER(SEARCH("China PR",S4919)),"China",
ISNUMBER(SEARCH("IR Iran",S4919)),"Iran",
ISNUMBER(SEARCH("Congo DR",S4919)),"Democratic Republic of the Congo",
ISNUMBER(SEARCH("DR Congo",S4919)),"Democratic Republic of the Congo",
ISNUMBER(SEARCH("German DR",S4919)),"DR Germany",
ISNUMBER(SEARCH("rn""&gt;United Arab Emirates",S4919)),"United Arab Emirates",
ISNUMBER(SEARCH("rn""&gt;Republic of Ireland",S4919)),"Ireland",
ISNUMBER(SEARCH("rn""&gt;Bosnia and Herzegovina",S4919)),"Bosnia and Herzegovina",
ISNUMBER(SEARCH("rn""&gt;Trinidad and Tobago",S4919)),"Trinidad and Tobago",
ISNUMBER(SEARCH("rn""&gt;Serbia and Montenegro",S4919)),"Serbia and Montenegro",
ISNUMBER(SEARCH(_xlfn.UNICHAR(65533),S4919)),"Côte d'Ivoire",
TRUE,"-"
)</f>
        <v>-</v>
      </c>
      <c r="W4919" s="42" t="str">
        <f t="shared" si="303"/>
        <v>-</v>
      </c>
    </row>
    <row r="4920" spans="19:23">
      <c r="S4920" s="42" t="str">
        <v/>
      </c>
      <c r="T4920" s="42" t="str">
        <f t="shared" si="301"/>
        <v>-</v>
      </c>
      <c r="U4920" s="40" t="str">
        <f t="shared" si="302"/>
        <v>-</v>
      </c>
      <c r="V4920" s="42" t="str" cm="1">
        <f t="array" ref="V4920">_xlfn.IFS(
LEFT(S4920,16)="win on penalties",IF(VALUE(MID(S4920,19,1))&gt;VALUE(MID(S4920,23,1)),DATA_CLEANED!AK434,DATA_CLEANED!AN434),
ISNUMBER(SEARCH("USA",S4920)),"United States",
ISNUMBER(SEARCH("Republic of Ireland",S4920)),"Ireland",
ISNUMBER(SEARCH("Republic of Korea",S4920)),"South Korea",
ISNUMBER(SEARCH("Cape Verde",S4920)),"Cabo Verde",
ISNUMBER(SEARCH("Czechia",S4920)),"Czech Republic",
ISNUMBER(SEARCH("Türkiye",S4920)),"Turkey",
ISNUMBER(SEARCH("Ivory Coast",S4920)),"Côte d'Ivoire",
ISNUMBER(SEARCH("Korea Republic",S4920)),"South Korea",
ISNUMBER(SEARCH("Germany FR",S4920)),"FR Germany",
ISNUMBER(SEARCH("West Germany",S4920)),"FR Germany",
ISNUMBER(SEARCH("Germany DR",S4920)),"DR Germany",
ISNUMBER(SEARCH("Korea DPR",S4920)),"North Korea",
ISNUMBER(SEARCH("China PR",S4920)),"China",
ISNUMBER(SEARCH("IR Iran",S4920)),"Iran",
ISNUMBER(SEARCH("Congo DR",S4920)),"Democratic Republic of the Congo",
ISNUMBER(SEARCH("DR Congo",S4920)),"Democratic Republic of the Congo",
ISNUMBER(SEARCH("German DR",S4920)),"DR Germany",
ISNUMBER(SEARCH("rn""&gt;United Arab Emirates",S4920)),"United Arab Emirates",
ISNUMBER(SEARCH("rn""&gt;Republic of Ireland",S4920)),"Ireland",
ISNUMBER(SEARCH("rn""&gt;Bosnia and Herzegovina",S4920)),"Bosnia and Herzegovina",
ISNUMBER(SEARCH("rn""&gt;Trinidad and Tobago",S4920)),"Trinidad and Tobago",
ISNUMBER(SEARCH("rn""&gt;Serbia and Montenegro",S4920)),"Serbia and Montenegro",
ISNUMBER(SEARCH(_xlfn.UNICHAR(65533),S4920)),"Côte d'Ivoire",
TRUE,"-"
)</f>
        <v>-</v>
      </c>
      <c r="W4920" s="42" t="str">
        <f t="shared" si="303"/>
        <v>-</v>
      </c>
    </row>
    <row r="4921" spans="19:23">
      <c r="S4921" s="42" t="str">
        <v/>
      </c>
      <c r="T4921" s="42" t="str">
        <f t="shared" si="301"/>
        <v>-</v>
      </c>
      <c r="U4921" s="40" t="str">
        <f t="shared" si="302"/>
        <v>-</v>
      </c>
      <c r="V4921" s="42" t="str" cm="1">
        <f t="array" ref="V4921">_xlfn.IFS(
LEFT(S4921,16)="win on penalties",IF(VALUE(MID(S4921,19,1))&gt;VALUE(MID(S4921,23,1)),DATA_CLEANED!AK435,DATA_CLEANED!AN435),
ISNUMBER(SEARCH("USA",S4921)),"United States",
ISNUMBER(SEARCH("Republic of Ireland",S4921)),"Ireland",
ISNUMBER(SEARCH("Republic of Korea",S4921)),"South Korea",
ISNUMBER(SEARCH("Cape Verde",S4921)),"Cabo Verde",
ISNUMBER(SEARCH("Czechia",S4921)),"Czech Republic",
ISNUMBER(SEARCH("Türkiye",S4921)),"Turkey",
ISNUMBER(SEARCH("Ivory Coast",S4921)),"Côte d'Ivoire",
ISNUMBER(SEARCH("Korea Republic",S4921)),"South Korea",
ISNUMBER(SEARCH("Germany FR",S4921)),"FR Germany",
ISNUMBER(SEARCH("West Germany",S4921)),"FR Germany",
ISNUMBER(SEARCH("Germany DR",S4921)),"DR Germany",
ISNUMBER(SEARCH("Korea DPR",S4921)),"North Korea",
ISNUMBER(SEARCH("China PR",S4921)),"China",
ISNUMBER(SEARCH("IR Iran",S4921)),"Iran",
ISNUMBER(SEARCH("Congo DR",S4921)),"Democratic Republic of the Congo",
ISNUMBER(SEARCH("DR Congo",S4921)),"Democratic Republic of the Congo",
ISNUMBER(SEARCH("German DR",S4921)),"DR Germany",
ISNUMBER(SEARCH("rn""&gt;United Arab Emirates",S4921)),"United Arab Emirates",
ISNUMBER(SEARCH("rn""&gt;Republic of Ireland",S4921)),"Ireland",
ISNUMBER(SEARCH("rn""&gt;Bosnia and Herzegovina",S4921)),"Bosnia and Herzegovina",
ISNUMBER(SEARCH("rn""&gt;Trinidad and Tobago",S4921)),"Trinidad and Tobago",
ISNUMBER(SEARCH("rn""&gt;Serbia and Montenegro",S4921)),"Serbia and Montenegro",
ISNUMBER(SEARCH(_xlfn.UNICHAR(65533),S4921)),"Côte d'Ivoire",
TRUE,"-"
)</f>
        <v>-</v>
      </c>
      <c r="W4921" s="42" t="str">
        <f t="shared" si="303"/>
        <v>-</v>
      </c>
    </row>
    <row r="4922" spans="19:23">
      <c r="S4922" s="42" t="str">
        <v/>
      </c>
      <c r="T4922" s="42" t="str">
        <f t="shared" si="301"/>
        <v>-</v>
      </c>
      <c r="U4922" s="40" t="str">
        <f t="shared" si="302"/>
        <v>-</v>
      </c>
      <c r="V4922" s="42" t="str" cm="1">
        <f t="array" ref="V4922">_xlfn.IFS(
LEFT(S4922,16)="win on penalties",IF(VALUE(MID(S4922,19,1))&gt;VALUE(MID(S4922,23,1)),DATA_CLEANED!AK436,DATA_CLEANED!AN436),
ISNUMBER(SEARCH("USA",S4922)),"United States",
ISNUMBER(SEARCH("Republic of Ireland",S4922)),"Ireland",
ISNUMBER(SEARCH("Republic of Korea",S4922)),"South Korea",
ISNUMBER(SEARCH("Cape Verde",S4922)),"Cabo Verde",
ISNUMBER(SEARCH("Czechia",S4922)),"Czech Republic",
ISNUMBER(SEARCH("Türkiye",S4922)),"Turkey",
ISNUMBER(SEARCH("Ivory Coast",S4922)),"Côte d'Ivoire",
ISNUMBER(SEARCH("Korea Republic",S4922)),"South Korea",
ISNUMBER(SEARCH("Germany FR",S4922)),"FR Germany",
ISNUMBER(SEARCH("West Germany",S4922)),"FR Germany",
ISNUMBER(SEARCH("Germany DR",S4922)),"DR Germany",
ISNUMBER(SEARCH("Korea DPR",S4922)),"North Korea",
ISNUMBER(SEARCH("China PR",S4922)),"China",
ISNUMBER(SEARCH("IR Iran",S4922)),"Iran",
ISNUMBER(SEARCH("Congo DR",S4922)),"Democratic Republic of the Congo",
ISNUMBER(SEARCH("DR Congo",S4922)),"Democratic Republic of the Congo",
ISNUMBER(SEARCH("German DR",S4922)),"DR Germany",
ISNUMBER(SEARCH("rn""&gt;United Arab Emirates",S4922)),"United Arab Emirates",
ISNUMBER(SEARCH("rn""&gt;Republic of Ireland",S4922)),"Ireland",
ISNUMBER(SEARCH("rn""&gt;Bosnia and Herzegovina",S4922)),"Bosnia and Herzegovina",
ISNUMBER(SEARCH("rn""&gt;Trinidad and Tobago",S4922)),"Trinidad and Tobago",
ISNUMBER(SEARCH("rn""&gt;Serbia and Montenegro",S4922)),"Serbia and Montenegro",
ISNUMBER(SEARCH(_xlfn.UNICHAR(65533),S4922)),"Côte d'Ivoire",
TRUE,"-"
)</f>
        <v>-</v>
      </c>
      <c r="W4922" s="42" t="str">
        <f t="shared" si="303"/>
        <v>-</v>
      </c>
    </row>
    <row r="4923" spans="19:23">
      <c r="S4923" s="42" t="str">
        <v/>
      </c>
      <c r="T4923" s="42" t="str">
        <f t="shared" si="301"/>
        <v>-</v>
      </c>
      <c r="U4923" s="40" t="str">
        <f t="shared" si="302"/>
        <v>-</v>
      </c>
      <c r="V4923" s="42" t="str" cm="1">
        <f t="array" ref="V4923">_xlfn.IFS(
LEFT(S4923,16)="win on penalties",IF(VALUE(MID(S4923,19,1))&gt;VALUE(MID(S4923,23,1)),DATA_CLEANED!AK437,DATA_CLEANED!AN437),
ISNUMBER(SEARCH("USA",S4923)),"United States",
ISNUMBER(SEARCH("Republic of Ireland",S4923)),"Ireland",
ISNUMBER(SEARCH("Republic of Korea",S4923)),"South Korea",
ISNUMBER(SEARCH("Cape Verde",S4923)),"Cabo Verde",
ISNUMBER(SEARCH("Czechia",S4923)),"Czech Republic",
ISNUMBER(SEARCH("Türkiye",S4923)),"Turkey",
ISNUMBER(SEARCH("Ivory Coast",S4923)),"Côte d'Ivoire",
ISNUMBER(SEARCH("Korea Republic",S4923)),"South Korea",
ISNUMBER(SEARCH("Germany FR",S4923)),"FR Germany",
ISNUMBER(SEARCH("West Germany",S4923)),"FR Germany",
ISNUMBER(SEARCH("Germany DR",S4923)),"DR Germany",
ISNUMBER(SEARCH("Korea DPR",S4923)),"North Korea",
ISNUMBER(SEARCH("China PR",S4923)),"China",
ISNUMBER(SEARCH("IR Iran",S4923)),"Iran",
ISNUMBER(SEARCH("Congo DR",S4923)),"Democratic Republic of the Congo",
ISNUMBER(SEARCH("DR Congo",S4923)),"Democratic Republic of the Congo",
ISNUMBER(SEARCH("German DR",S4923)),"DR Germany",
ISNUMBER(SEARCH("rn""&gt;United Arab Emirates",S4923)),"United Arab Emirates",
ISNUMBER(SEARCH("rn""&gt;Republic of Ireland",S4923)),"Ireland",
ISNUMBER(SEARCH("rn""&gt;Bosnia and Herzegovina",S4923)),"Bosnia and Herzegovina",
ISNUMBER(SEARCH("rn""&gt;Trinidad and Tobago",S4923)),"Trinidad and Tobago",
ISNUMBER(SEARCH("rn""&gt;Serbia and Montenegro",S4923)),"Serbia and Montenegro",
ISNUMBER(SEARCH(_xlfn.UNICHAR(65533),S4923)),"Côte d'Ivoire",
TRUE,"-"
)</f>
        <v>-</v>
      </c>
      <c r="W4923" s="42" t="str">
        <f t="shared" si="303"/>
        <v>-</v>
      </c>
    </row>
    <row r="4924" spans="19:23">
      <c r="S4924" s="42" t="str">
        <v/>
      </c>
      <c r="T4924" s="42" t="str">
        <f t="shared" si="301"/>
        <v>-</v>
      </c>
      <c r="U4924" s="40" t="str">
        <f t="shared" si="302"/>
        <v>-</v>
      </c>
      <c r="V4924" s="42" t="str" cm="1">
        <f t="array" ref="V4924">_xlfn.IFS(
LEFT(S4924,16)="win on penalties",IF(VALUE(MID(S4924,19,1))&gt;VALUE(MID(S4924,23,1)),DATA_CLEANED!AK438,DATA_CLEANED!AN438),
ISNUMBER(SEARCH("USA",S4924)),"United States",
ISNUMBER(SEARCH("Republic of Ireland",S4924)),"Ireland",
ISNUMBER(SEARCH("Republic of Korea",S4924)),"South Korea",
ISNUMBER(SEARCH("Cape Verde",S4924)),"Cabo Verde",
ISNUMBER(SEARCH("Czechia",S4924)),"Czech Republic",
ISNUMBER(SEARCH("Türkiye",S4924)),"Turkey",
ISNUMBER(SEARCH("Ivory Coast",S4924)),"Côte d'Ivoire",
ISNUMBER(SEARCH("Korea Republic",S4924)),"South Korea",
ISNUMBER(SEARCH("Germany FR",S4924)),"FR Germany",
ISNUMBER(SEARCH("West Germany",S4924)),"FR Germany",
ISNUMBER(SEARCH("Germany DR",S4924)),"DR Germany",
ISNUMBER(SEARCH("Korea DPR",S4924)),"North Korea",
ISNUMBER(SEARCH("China PR",S4924)),"China",
ISNUMBER(SEARCH("IR Iran",S4924)),"Iran",
ISNUMBER(SEARCH("Congo DR",S4924)),"Democratic Republic of the Congo",
ISNUMBER(SEARCH("DR Congo",S4924)),"Democratic Republic of the Congo",
ISNUMBER(SEARCH("German DR",S4924)),"DR Germany",
ISNUMBER(SEARCH("rn""&gt;United Arab Emirates",S4924)),"United Arab Emirates",
ISNUMBER(SEARCH("rn""&gt;Republic of Ireland",S4924)),"Ireland",
ISNUMBER(SEARCH("rn""&gt;Bosnia and Herzegovina",S4924)),"Bosnia and Herzegovina",
ISNUMBER(SEARCH("rn""&gt;Trinidad and Tobago",S4924)),"Trinidad and Tobago",
ISNUMBER(SEARCH("rn""&gt;Serbia and Montenegro",S4924)),"Serbia and Montenegro",
ISNUMBER(SEARCH(_xlfn.UNICHAR(65533),S4924)),"Côte d'Ivoire",
TRUE,"-"
)</f>
        <v>-</v>
      </c>
      <c r="W4924" s="42" t="str">
        <f t="shared" si="303"/>
        <v>-</v>
      </c>
    </row>
    <row r="4925" spans="19:23">
      <c r="S4925" s="42" t="str">
        <v/>
      </c>
      <c r="T4925" s="42" t="str">
        <f t="shared" si="301"/>
        <v>-</v>
      </c>
      <c r="U4925" s="40" t="str">
        <f t="shared" si="302"/>
        <v>-</v>
      </c>
      <c r="V4925" s="42" t="str" cm="1">
        <f t="array" ref="V4925">_xlfn.IFS(
LEFT(S4925,16)="win on penalties",IF(VALUE(MID(S4925,19,1))&gt;VALUE(MID(S4925,23,1)),DATA_CLEANED!AK439,DATA_CLEANED!AN439),
ISNUMBER(SEARCH("USA",S4925)),"United States",
ISNUMBER(SEARCH("Republic of Ireland",S4925)),"Ireland",
ISNUMBER(SEARCH("Republic of Korea",S4925)),"South Korea",
ISNUMBER(SEARCH("Cape Verde",S4925)),"Cabo Verde",
ISNUMBER(SEARCH("Czechia",S4925)),"Czech Republic",
ISNUMBER(SEARCH("Türkiye",S4925)),"Turkey",
ISNUMBER(SEARCH("Ivory Coast",S4925)),"Côte d'Ivoire",
ISNUMBER(SEARCH("Korea Republic",S4925)),"South Korea",
ISNUMBER(SEARCH("Germany FR",S4925)),"FR Germany",
ISNUMBER(SEARCH("West Germany",S4925)),"FR Germany",
ISNUMBER(SEARCH("Germany DR",S4925)),"DR Germany",
ISNUMBER(SEARCH("Korea DPR",S4925)),"North Korea",
ISNUMBER(SEARCH("China PR",S4925)),"China",
ISNUMBER(SEARCH("IR Iran",S4925)),"Iran",
ISNUMBER(SEARCH("Congo DR",S4925)),"Democratic Republic of the Congo",
ISNUMBER(SEARCH("DR Congo",S4925)),"Democratic Republic of the Congo",
ISNUMBER(SEARCH("German DR",S4925)),"DR Germany",
ISNUMBER(SEARCH("rn""&gt;United Arab Emirates",S4925)),"United Arab Emirates",
ISNUMBER(SEARCH("rn""&gt;Republic of Ireland",S4925)),"Ireland",
ISNUMBER(SEARCH("rn""&gt;Bosnia and Herzegovina",S4925)),"Bosnia and Herzegovina",
ISNUMBER(SEARCH("rn""&gt;Trinidad and Tobago",S4925)),"Trinidad and Tobago",
ISNUMBER(SEARCH("rn""&gt;Serbia and Montenegro",S4925)),"Serbia and Montenegro",
ISNUMBER(SEARCH(_xlfn.UNICHAR(65533),S4925)),"Côte d'Ivoire",
TRUE,"-"
)</f>
        <v>-</v>
      </c>
      <c r="W4925" s="42" t="str">
        <f t="shared" si="303"/>
        <v>-</v>
      </c>
    </row>
    <row r="4926" spans="19:23">
      <c r="S4926" s="42" t="str">
        <v/>
      </c>
      <c r="T4926" s="42" t="str">
        <f t="shared" si="301"/>
        <v>-</v>
      </c>
      <c r="U4926" s="40" t="str">
        <f t="shared" si="302"/>
        <v>-</v>
      </c>
      <c r="V4926" s="42" t="str" cm="1">
        <f t="array" ref="V4926">_xlfn.IFS(
LEFT(S4926,16)="win on penalties",IF(VALUE(MID(S4926,19,1))&gt;VALUE(MID(S4926,23,1)),DATA_CLEANED!AK440,DATA_CLEANED!AN440),
ISNUMBER(SEARCH("USA",S4926)),"United States",
ISNUMBER(SEARCH("Republic of Ireland",S4926)),"Ireland",
ISNUMBER(SEARCH("Republic of Korea",S4926)),"South Korea",
ISNUMBER(SEARCH("Cape Verde",S4926)),"Cabo Verde",
ISNUMBER(SEARCH("Czechia",S4926)),"Czech Republic",
ISNUMBER(SEARCH("Türkiye",S4926)),"Turkey",
ISNUMBER(SEARCH("Ivory Coast",S4926)),"Côte d'Ivoire",
ISNUMBER(SEARCH("Korea Republic",S4926)),"South Korea",
ISNUMBER(SEARCH("Germany FR",S4926)),"FR Germany",
ISNUMBER(SEARCH("West Germany",S4926)),"FR Germany",
ISNUMBER(SEARCH("Germany DR",S4926)),"DR Germany",
ISNUMBER(SEARCH("Korea DPR",S4926)),"North Korea",
ISNUMBER(SEARCH("China PR",S4926)),"China",
ISNUMBER(SEARCH("IR Iran",S4926)),"Iran",
ISNUMBER(SEARCH("Congo DR",S4926)),"Democratic Republic of the Congo",
ISNUMBER(SEARCH("DR Congo",S4926)),"Democratic Republic of the Congo",
ISNUMBER(SEARCH("German DR",S4926)),"DR Germany",
ISNUMBER(SEARCH("rn""&gt;United Arab Emirates",S4926)),"United Arab Emirates",
ISNUMBER(SEARCH("rn""&gt;Republic of Ireland",S4926)),"Ireland",
ISNUMBER(SEARCH("rn""&gt;Bosnia and Herzegovina",S4926)),"Bosnia and Herzegovina",
ISNUMBER(SEARCH("rn""&gt;Trinidad and Tobago",S4926)),"Trinidad and Tobago",
ISNUMBER(SEARCH("rn""&gt;Serbia and Montenegro",S4926)),"Serbia and Montenegro",
ISNUMBER(SEARCH(_xlfn.UNICHAR(65533),S4926)),"Côte d'Ivoire",
TRUE,"-"
)</f>
        <v>-</v>
      </c>
      <c r="W4926" s="42" t="str">
        <f t="shared" si="303"/>
        <v>-</v>
      </c>
    </row>
    <row r="4927" spans="19:23">
      <c r="S4927" s="42" t="str">
        <v/>
      </c>
      <c r="T4927" s="42" t="str">
        <f t="shared" si="301"/>
        <v>-</v>
      </c>
      <c r="U4927" s="40" t="str">
        <f t="shared" si="302"/>
        <v>-</v>
      </c>
      <c r="V4927" s="42" t="str" cm="1">
        <f t="array" ref="V4927">_xlfn.IFS(
LEFT(S4927,16)="win on penalties",IF(VALUE(MID(S4927,19,1))&gt;VALUE(MID(S4927,23,1)),DATA_CLEANED!AK441,DATA_CLEANED!AN441),
ISNUMBER(SEARCH("USA",S4927)),"United States",
ISNUMBER(SEARCH("Republic of Ireland",S4927)),"Ireland",
ISNUMBER(SEARCH("Republic of Korea",S4927)),"South Korea",
ISNUMBER(SEARCH("Cape Verde",S4927)),"Cabo Verde",
ISNUMBER(SEARCH("Czechia",S4927)),"Czech Republic",
ISNUMBER(SEARCH("Türkiye",S4927)),"Turkey",
ISNUMBER(SEARCH("Ivory Coast",S4927)),"Côte d'Ivoire",
ISNUMBER(SEARCH("Korea Republic",S4927)),"South Korea",
ISNUMBER(SEARCH("Germany FR",S4927)),"FR Germany",
ISNUMBER(SEARCH("West Germany",S4927)),"FR Germany",
ISNUMBER(SEARCH("Germany DR",S4927)),"DR Germany",
ISNUMBER(SEARCH("Korea DPR",S4927)),"North Korea",
ISNUMBER(SEARCH("China PR",S4927)),"China",
ISNUMBER(SEARCH("IR Iran",S4927)),"Iran",
ISNUMBER(SEARCH("Congo DR",S4927)),"Democratic Republic of the Congo",
ISNUMBER(SEARCH("DR Congo",S4927)),"Democratic Republic of the Congo",
ISNUMBER(SEARCH("German DR",S4927)),"DR Germany",
ISNUMBER(SEARCH("rn""&gt;United Arab Emirates",S4927)),"United Arab Emirates",
ISNUMBER(SEARCH("rn""&gt;Republic of Ireland",S4927)),"Ireland",
ISNUMBER(SEARCH("rn""&gt;Bosnia and Herzegovina",S4927)),"Bosnia and Herzegovina",
ISNUMBER(SEARCH("rn""&gt;Trinidad and Tobago",S4927)),"Trinidad and Tobago",
ISNUMBER(SEARCH("rn""&gt;Serbia and Montenegro",S4927)),"Serbia and Montenegro",
ISNUMBER(SEARCH(_xlfn.UNICHAR(65533),S4927)),"Côte d'Ivoire",
TRUE,"-"
)</f>
        <v>-</v>
      </c>
      <c r="W4927" s="42" t="str">
        <f t="shared" si="303"/>
        <v>-</v>
      </c>
    </row>
    <row r="4928" spans="19:23">
      <c r="S4928" s="42" t="str">
        <v/>
      </c>
      <c r="T4928" s="42" t="str">
        <f t="shared" si="301"/>
        <v>-</v>
      </c>
      <c r="U4928" s="40" t="str">
        <f t="shared" si="302"/>
        <v>-</v>
      </c>
      <c r="V4928" s="42" t="str" cm="1">
        <f t="array" ref="V4928">_xlfn.IFS(
LEFT(S4928,16)="win on penalties",IF(VALUE(MID(S4928,19,1))&gt;VALUE(MID(S4928,23,1)),DATA_CLEANED!AK442,DATA_CLEANED!AN442),
ISNUMBER(SEARCH("USA",S4928)),"United States",
ISNUMBER(SEARCH("Republic of Ireland",S4928)),"Ireland",
ISNUMBER(SEARCH("Republic of Korea",S4928)),"South Korea",
ISNUMBER(SEARCH("Cape Verde",S4928)),"Cabo Verde",
ISNUMBER(SEARCH("Czechia",S4928)),"Czech Republic",
ISNUMBER(SEARCH("Türkiye",S4928)),"Turkey",
ISNUMBER(SEARCH("Ivory Coast",S4928)),"Côte d'Ivoire",
ISNUMBER(SEARCH("Korea Republic",S4928)),"South Korea",
ISNUMBER(SEARCH("Germany FR",S4928)),"FR Germany",
ISNUMBER(SEARCH("West Germany",S4928)),"FR Germany",
ISNUMBER(SEARCH("Germany DR",S4928)),"DR Germany",
ISNUMBER(SEARCH("Korea DPR",S4928)),"North Korea",
ISNUMBER(SEARCH("China PR",S4928)),"China",
ISNUMBER(SEARCH("IR Iran",S4928)),"Iran",
ISNUMBER(SEARCH("Congo DR",S4928)),"Democratic Republic of the Congo",
ISNUMBER(SEARCH("DR Congo",S4928)),"Democratic Republic of the Congo",
ISNUMBER(SEARCH("German DR",S4928)),"DR Germany",
ISNUMBER(SEARCH("rn""&gt;United Arab Emirates",S4928)),"United Arab Emirates",
ISNUMBER(SEARCH("rn""&gt;Republic of Ireland",S4928)),"Ireland",
ISNUMBER(SEARCH("rn""&gt;Bosnia and Herzegovina",S4928)),"Bosnia and Herzegovina",
ISNUMBER(SEARCH("rn""&gt;Trinidad and Tobago",S4928)),"Trinidad and Tobago",
ISNUMBER(SEARCH("rn""&gt;Serbia and Montenegro",S4928)),"Serbia and Montenegro",
ISNUMBER(SEARCH(_xlfn.UNICHAR(65533),S4928)),"Côte d'Ivoire",
TRUE,"-"
)</f>
        <v>-</v>
      </c>
      <c r="W4928" s="42" t="str">
        <f t="shared" si="303"/>
        <v>-</v>
      </c>
    </row>
    <row r="4929" spans="19:23">
      <c r="S4929" s="42" t="str">
        <v/>
      </c>
      <c r="T4929" s="42" t="str">
        <f t="shared" si="301"/>
        <v>-</v>
      </c>
      <c r="U4929" s="40" t="str">
        <f t="shared" si="302"/>
        <v>-</v>
      </c>
      <c r="V4929" s="42" t="str" cm="1">
        <f t="array" ref="V4929">_xlfn.IFS(
LEFT(S4929,16)="win on penalties",IF(VALUE(MID(S4929,19,1))&gt;VALUE(MID(S4929,23,1)),DATA_CLEANED!AK443,DATA_CLEANED!AN443),
ISNUMBER(SEARCH("USA",S4929)),"United States",
ISNUMBER(SEARCH("Republic of Ireland",S4929)),"Ireland",
ISNUMBER(SEARCH("Republic of Korea",S4929)),"South Korea",
ISNUMBER(SEARCH("Cape Verde",S4929)),"Cabo Verde",
ISNUMBER(SEARCH("Czechia",S4929)),"Czech Republic",
ISNUMBER(SEARCH("Türkiye",S4929)),"Turkey",
ISNUMBER(SEARCH("Ivory Coast",S4929)),"Côte d'Ivoire",
ISNUMBER(SEARCH("Korea Republic",S4929)),"South Korea",
ISNUMBER(SEARCH("Germany FR",S4929)),"FR Germany",
ISNUMBER(SEARCH("West Germany",S4929)),"FR Germany",
ISNUMBER(SEARCH("Germany DR",S4929)),"DR Germany",
ISNUMBER(SEARCH("Korea DPR",S4929)),"North Korea",
ISNUMBER(SEARCH("China PR",S4929)),"China",
ISNUMBER(SEARCH("IR Iran",S4929)),"Iran",
ISNUMBER(SEARCH("Congo DR",S4929)),"Democratic Republic of the Congo",
ISNUMBER(SEARCH("DR Congo",S4929)),"Democratic Republic of the Congo",
ISNUMBER(SEARCH("German DR",S4929)),"DR Germany",
ISNUMBER(SEARCH("rn""&gt;United Arab Emirates",S4929)),"United Arab Emirates",
ISNUMBER(SEARCH("rn""&gt;Republic of Ireland",S4929)),"Ireland",
ISNUMBER(SEARCH("rn""&gt;Bosnia and Herzegovina",S4929)),"Bosnia and Herzegovina",
ISNUMBER(SEARCH("rn""&gt;Trinidad and Tobago",S4929)),"Trinidad and Tobago",
ISNUMBER(SEARCH("rn""&gt;Serbia and Montenegro",S4929)),"Serbia and Montenegro",
ISNUMBER(SEARCH(_xlfn.UNICHAR(65533),S4929)),"Côte d'Ivoire",
TRUE,"-"
)</f>
        <v>-</v>
      </c>
      <c r="W4929" s="42" t="str">
        <f t="shared" si="303"/>
        <v>-</v>
      </c>
    </row>
    <row r="4930" spans="19:23">
      <c r="S4930" s="42" t="str">
        <v/>
      </c>
      <c r="T4930" s="42" t="str">
        <f t="shared" si="301"/>
        <v>-</v>
      </c>
      <c r="U4930" s="40" t="str">
        <f t="shared" si="302"/>
        <v>-</v>
      </c>
      <c r="V4930" s="42" t="str" cm="1">
        <f t="array" ref="V4930">_xlfn.IFS(
LEFT(S4930,16)="win on penalties",IF(VALUE(MID(S4930,19,1))&gt;VALUE(MID(S4930,23,1)),DATA_CLEANED!AK444,DATA_CLEANED!AN444),
ISNUMBER(SEARCH("USA",S4930)),"United States",
ISNUMBER(SEARCH("Republic of Ireland",S4930)),"Ireland",
ISNUMBER(SEARCH("Republic of Korea",S4930)),"South Korea",
ISNUMBER(SEARCH("Cape Verde",S4930)),"Cabo Verde",
ISNUMBER(SEARCH("Czechia",S4930)),"Czech Republic",
ISNUMBER(SEARCH("Türkiye",S4930)),"Turkey",
ISNUMBER(SEARCH("Ivory Coast",S4930)),"Côte d'Ivoire",
ISNUMBER(SEARCH("Korea Republic",S4930)),"South Korea",
ISNUMBER(SEARCH("Germany FR",S4930)),"FR Germany",
ISNUMBER(SEARCH("West Germany",S4930)),"FR Germany",
ISNUMBER(SEARCH("Germany DR",S4930)),"DR Germany",
ISNUMBER(SEARCH("Korea DPR",S4930)),"North Korea",
ISNUMBER(SEARCH("China PR",S4930)),"China",
ISNUMBER(SEARCH("IR Iran",S4930)),"Iran",
ISNUMBER(SEARCH("Congo DR",S4930)),"Democratic Republic of the Congo",
ISNUMBER(SEARCH("DR Congo",S4930)),"Democratic Republic of the Congo",
ISNUMBER(SEARCH("German DR",S4930)),"DR Germany",
ISNUMBER(SEARCH("rn""&gt;United Arab Emirates",S4930)),"United Arab Emirates",
ISNUMBER(SEARCH("rn""&gt;Republic of Ireland",S4930)),"Ireland",
ISNUMBER(SEARCH("rn""&gt;Bosnia and Herzegovina",S4930)),"Bosnia and Herzegovina",
ISNUMBER(SEARCH("rn""&gt;Trinidad and Tobago",S4930)),"Trinidad and Tobago",
ISNUMBER(SEARCH("rn""&gt;Serbia and Montenegro",S4930)),"Serbia and Montenegro",
ISNUMBER(SEARCH(_xlfn.UNICHAR(65533),S4930)),"Côte d'Ivoire",
TRUE,"-"
)</f>
        <v>-</v>
      </c>
      <c r="W4930" s="42" t="str">
        <f t="shared" si="303"/>
        <v>-</v>
      </c>
    </row>
    <row r="4931" spans="19:23">
      <c r="S4931" s="42" t="str">
        <v/>
      </c>
      <c r="T4931" s="42" t="str">
        <f t="shared" si="301"/>
        <v>-</v>
      </c>
      <c r="U4931" s="40" t="str">
        <f t="shared" si="302"/>
        <v>-</v>
      </c>
      <c r="V4931" s="42" t="str" cm="1">
        <f t="array" ref="V4931">_xlfn.IFS(
LEFT(S4931,16)="win on penalties",IF(VALUE(MID(S4931,19,1))&gt;VALUE(MID(S4931,23,1)),DATA_CLEANED!AK445,DATA_CLEANED!AN445),
ISNUMBER(SEARCH("USA",S4931)),"United States",
ISNUMBER(SEARCH("Republic of Ireland",S4931)),"Ireland",
ISNUMBER(SEARCH("Republic of Korea",S4931)),"South Korea",
ISNUMBER(SEARCH("Cape Verde",S4931)),"Cabo Verde",
ISNUMBER(SEARCH("Czechia",S4931)),"Czech Republic",
ISNUMBER(SEARCH("Türkiye",S4931)),"Turkey",
ISNUMBER(SEARCH("Ivory Coast",S4931)),"Côte d'Ivoire",
ISNUMBER(SEARCH("Korea Republic",S4931)),"South Korea",
ISNUMBER(SEARCH("Germany FR",S4931)),"FR Germany",
ISNUMBER(SEARCH("West Germany",S4931)),"FR Germany",
ISNUMBER(SEARCH("Germany DR",S4931)),"DR Germany",
ISNUMBER(SEARCH("Korea DPR",S4931)),"North Korea",
ISNUMBER(SEARCH("China PR",S4931)),"China",
ISNUMBER(SEARCH("IR Iran",S4931)),"Iran",
ISNUMBER(SEARCH("Congo DR",S4931)),"Democratic Republic of the Congo",
ISNUMBER(SEARCH("DR Congo",S4931)),"Democratic Republic of the Congo",
ISNUMBER(SEARCH("German DR",S4931)),"DR Germany",
ISNUMBER(SEARCH("rn""&gt;United Arab Emirates",S4931)),"United Arab Emirates",
ISNUMBER(SEARCH("rn""&gt;Republic of Ireland",S4931)),"Ireland",
ISNUMBER(SEARCH("rn""&gt;Bosnia and Herzegovina",S4931)),"Bosnia and Herzegovina",
ISNUMBER(SEARCH("rn""&gt;Trinidad and Tobago",S4931)),"Trinidad and Tobago",
ISNUMBER(SEARCH("rn""&gt;Serbia and Montenegro",S4931)),"Serbia and Montenegro",
ISNUMBER(SEARCH(_xlfn.UNICHAR(65533),S4931)),"Côte d'Ivoire",
TRUE,"-"
)</f>
        <v>-</v>
      </c>
      <c r="W4931" s="42" t="str">
        <f t="shared" si="303"/>
        <v>-</v>
      </c>
    </row>
    <row r="4932" spans="19:23">
      <c r="S4932" s="42" t="str">
        <v/>
      </c>
      <c r="T4932" s="42" t="str">
        <f t="shared" si="301"/>
        <v>-</v>
      </c>
      <c r="U4932" s="40" t="str">
        <f t="shared" si="302"/>
        <v>-</v>
      </c>
      <c r="V4932" s="42" t="str" cm="1">
        <f t="array" ref="V4932">_xlfn.IFS(
LEFT(S4932,16)="win on penalties",IF(VALUE(MID(S4932,19,1))&gt;VALUE(MID(S4932,23,1)),DATA_CLEANED!AK446,DATA_CLEANED!AN446),
ISNUMBER(SEARCH("USA",S4932)),"United States",
ISNUMBER(SEARCH("Republic of Ireland",S4932)),"Ireland",
ISNUMBER(SEARCH("Republic of Korea",S4932)),"South Korea",
ISNUMBER(SEARCH("Cape Verde",S4932)),"Cabo Verde",
ISNUMBER(SEARCH("Czechia",S4932)),"Czech Republic",
ISNUMBER(SEARCH("Türkiye",S4932)),"Turkey",
ISNUMBER(SEARCH("Ivory Coast",S4932)),"Côte d'Ivoire",
ISNUMBER(SEARCH("Korea Republic",S4932)),"South Korea",
ISNUMBER(SEARCH("Germany FR",S4932)),"FR Germany",
ISNUMBER(SEARCH("West Germany",S4932)),"FR Germany",
ISNUMBER(SEARCH("Germany DR",S4932)),"DR Germany",
ISNUMBER(SEARCH("Korea DPR",S4932)),"North Korea",
ISNUMBER(SEARCH("China PR",S4932)),"China",
ISNUMBER(SEARCH("IR Iran",S4932)),"Iran",
ISNUMBER(SEARCH("Congo DR",S4932)),"Democratic Republic of the Congo",
ISNUMBER(SEARCH("DR Congo",S4932)),"Democratic Republic of the Congo",
ISNUMBER(SEARCH("German DR",S4932)),"DR Germany",
ISNUMBER(SEARCH("rn""&gt;United Arab Emirates",S4932)),"United Arab Emirates",
ISNUMBER(SEARCH("rn""&gt;Republic of Ireland",S4932)),"Ireland",
ISNUMBER(SEARCH("rn""&gt;Bosnia and Herzegovina",S4932)),"Bosnia and Herzegovina",
ISNUMBER(SEARCH("rn""&gt;Trinidad and Tobago",S4932)),"Trinidad and Tobago",
ISNUMBER(SEARCH("rn""&gt;Serbia and Montenegro",S4932)),"Serbia and Montenegro",
ISNUMBER(SEARCH(_xlfn.UNICHAR(65533),S4932)),"Côte d'Ivoire",
TRUE,"-"
)</f>
        <v>-</v>
      </c>
      <c r="W4932" s="42" t="str">
        <f t="shared" si="303"/>
        <v>-</v>
      </c>
    </row>
    <row r="4933" spans="19:23">
      <c r="S4933" s="42" t="str">
        <v/>
      </c>
      <c r="T4933" s="42" t="str">
        <f t="shared" si="301"/>
        <v>-</v>
      </c>
      <c r="U4933" s="40" t="str">
        <f t="shared" si="302"/>
        <v>-</v>
      </c>
      <c r="V4933" s="42" t="str" cm="1">
        <f t="array" ref="V4933">_xlfn.IFS(
LEFT(S4933,16)="win on penalties",IF(VALUE(MID(S4933,19,1))&gt;VALUE(MID(S4933,23,1)),DATA_CLEANED!AK447,DATA_CLEANED!AN447),
ISNUMBER(SEARCH("USA",S4933)),"United States",
ISNUMBER(SEARCH("Republic of Ireland",S4933)),"Ireland",
ISNUMBER(SEARCH("Republic of Korea",S4933)),"South Korea",
ISNUMBER(SEARCH("Cape Verde",S4933)),"Cabo Verde",
ISNUMBER(SEARCH("Czechia",S4933)),"Czech Republic",
ISNUMBER(SEARCH("Türkiye",S4933)),"Turkey",
ISNUMBER(SEARCH("Ivory Coast",S4933)),"Côte d'Ivoire",
ISNUMBER(SEARCH("Korea Republic",S4933)),"South Korea",
ISNUMBER(SEARCH("Germany FR",S4933)),"FR Germany",
ISNUMBER(SEARCH("West Germany",S4933)),"FR Germany",
ISNUMBER(SEARCH("Germany DR",S4933)),"DR Germany",
ISNUMBER(SEARCH("Korea DPR",S4933)),"North Korea",
ISNUMBER(SEARCH("China PR",S4933)),"China",
ISNUMBER(SEARCH("IR Iran",S4933)),"Iran",
ISNUMBER(SEARCH("Congo DR",S4933)),"Democratic Republic of the Congo",
ISNUMBER(SEARCH("DR Congo",S4933)),"Democratic Republic of the Congo",
ISNUMBER(SEARCH("German DR",S4933)),"DR Germany",
ISNUMBER(SEARCH("rn""&gt;United Arab Emirates",S4933)),"United Arab Emirates",
ISNUMBER(SEARCH("rn""&gt;Republic of Ireland",S4933)),"Ireland",
ISNUMBER(SEARCH("rn""&gt;Bosnia and Herzegovina",S4933)),"Bosnia and Herzegovina",
ISNUMBER(SEARCH("rn""&gt;Trinidad and Tobago",S4933)),"Trinidad and Tobago",
ISNUMBER(SEARCH("rn""&gt;Serbia and Montenegro",S4933)),"Serbia and Montenegro",
ISNUMBER(SEARCH(_xlfn.UNICHAR(65533),S4933)),"Côte d'Ivoire",
TRUE,"-"
)</f>
        <v>-</v>
      </c>
      <c r="W4933" s="42" t="str">
        <f t="shared" si="303"/>
        <v>-</v>
      </c>
    </row>
    <row r="4934" spans="19:23">
      <c r="S4934" s="42" t="str">
        <v/>
      </c>
      <c r="T4934" s="42" t="str">
        <f t="shared" si="301"/>
        <v>-</v>
      </c>
      <c r="U4934" s="40" t="str">
        <f t="shared" si="302"/>
        <v>-</v>
      </c>
      <c r="V4934" s="42" t="str" cm="1">
        <f t="array" ref="V4934">_xlfn.IFS(
LEFT(S4934,16)="win on penalties",IF(VALUE(MID(S4934,19,1))&gt;VALUE(MID(S4934,23,1)),DATA_CLEANED!AK448,DATA_CLEANED!AN448),
ISNUMBER(SEARCH("USA",S4934)),"United States",
ISNUMBER(SEARCH("Republic of Ireland",S4934)),"Ireland",
ISNUMBER(SEARCH("Republic of Korea",S4934)),"South Korea",
ISNUMBER(SEARCH("Cape Verde",S4934)),"Cabo Verde",
ISNUMBER(SEARCH("Czechia",S4934)),"Czech Republic",
ISNUMBER(SEARCH("Türkiye",S4934)),"Turkey",
ISNUMBER(SEARCH("Ivory Coast",S4934)),"Côte d'Ivoire",
ISNUMBER(SEARCH("Korea Republic",S4934)),"South Korea",
ISNUMBER(SEARCH("Germany FR",S4934)),"FR Germany",
ISNUMBER(SEARCH("West Germany",S4934)),"FR Germany",
ISNUMBER(SEARCH("Germany DR",S4934)),"DR Germany",
ISNUMBER(SEARCH("Korea DPR",S4934)),"North Korea",
ISNUMBER(SEARCH("China PR",S4934)),"China",
ISNUMBER(SEARCH("IR Iran",S4934)),"Iran",
ISNUMBER(SEARCH("Congo DR",S4934)),"Democratic Republic of the Congo",
ISNUMBER(SEARCH("DR Congo",S4934)),"Democratic Republic of the Congo",
ISNUMBER(SEARCH("German DR",S4934)),"DR Germany",
ISNUMBER(SEARCH("rn""&gt;United Arab Emirates",S4934)),"United Arab Emirates",
ISNUMBER(SEARCH("rn""&gt;Republic of Ireland",S4934)),"Ireland",
ISNUMBER(SEARCH("rn""&gt;Bosnia and Herzegovina",S4934)),"Bosnia and Herzegovina",
ISNUMBER(SEARCH("rn""&gt;Trinidad and Tobago",S4934)),"Trinidad and Tobago",
ISNUMBER(SEARCH("rn""&gt;Serbia and Montenegro",S4934)),"Serbia and Montenegro",
ISNUMBER(SEARCH(_xlfn.UNICHAR(65533),S4934)),"Côte d'Ivoire",
TRUE,"-"
)</f>
        <v>-</v>
      </c>
      <c r="W4934" s="42" t="str">
        <f t="shared" si="303"/>
        <v>-</v>
      </c>
    </row>
    <row r="4935" spans="19:23">
      <c r="S4935" s="42" t="str">
        <v/>
      </c>
      <c r="T4935" s="42" t="str">
        <f t="shared" si="301"/>
        <v>-</v>
      </c>
      <c r="U4935" s="40" t="str">
        <f t="shared" si="302"/>
        <v>-</v>
      </c>
      <c r="V4935" s="42" t="str" cm="1">
        <f t="array" ref="V4935">_xlfn.IFS(
LEFT(S4935,16)="win on penalties",IF(VALUE(MID(S4935,19,1))&gt;VALUE(MID(S4935,23,1)),DATA_CLEANED!AK449,DATA_CLEANED!AN449),
ISNUMBER(SEARCH("USA",S4935)),"United States",
ISNUMBER(SEARCH("Republic of Ireland",S4935)),"Ireland",
ISNUMBER(SEARCH("Republic of Korea",S4935)),"South Korea",
ISNUMBER(SEARCH("Cape Verde",S4935)),"Cabo Verde",
ISNUMBER(SEARCH("Czechia",S4935)),"Czech Republic",
ISNUMBER(SEARCH("Türkiye",S4935)),"Turkey",
ISNUMBER(SEARCH("Ivory Coast",S4935)),"Côte d'Ivoire",
ISNUMBER(SEARCH("Korea Republic",S4935)),"South Korea",
ISNUMBER(SEARCH("Germany FR",S4935)),"FR Germany",
ISNUMBER(SEARCH("West Germany",S4935)),"FR Germany",
ISNUMBER(SEARCH("Germany DR",S4935)),"DR Germany",
ISNUMBER(SEARCH("Korea DPR",S4935)),"North Korea",
ISNUMBER(SEARCH("China PR",S4935)),"China",
ISNUMBER(SEARCH("IR Iran",S4935)),"Iran",
ISNUMBER(SEARCH("Congo DR",S4935)),"Democratic Republic of the Congo",
ISNUMBER(SEARCH("DR Congo",S4935)),"Democratic Republic of the Congo",
ISNUMBER(SEARCH("German DR",S4935)),"DR Germany",
ISNUMBER(SEARCH("rn""&gt;United Arab Emirates",S4935)),"United Arab Emirates",
ISNUMBER(SEARCH("rn""&gt;Republic of Ireland",S4935)),"Ireland",
ISNUMBER(SEARCH("rn""&gt;Bosnia and Herzegovina",S4935)),"Bosnia and Herzegovina",
ISNUMBER(SEARCH("rn""&gt;Trinidad and Tobago",S4935)),"Trinidad and Tobago",
ISNUMBER(SEARCH("rn""&gt;Serbia and Montenegro",S4935)),"Serbia and Montenegro",
ISNUMBER(SEARCH(_xlfn.UNICHAR(65533),S4935)),"Côte d'Ivoire",
TRUE,"-"
)</f>
        <v>-</v>
      </c>
      <c r="W4935" s="42" t="str">
        <f t="shared" si="303"/>
        <v>-</v>
      </c>
    </row>
    <row r="4936" spans="19:23">
      <c r="S4936" s="42" t="str">
        <v/>
      </c>
      <c r="T4936" s="42" t="str">
        <f t="shared" si="301"/>
        <v>-</v>
      </c>
      <c r="U4936" s="40" t="str">
        <f t="shared" si="302"/>
        <v>-</v>
      </c>
      <c r="V4936" s="42" t="str" cm="1">
        <f t="array" ref="V4936">_xlfn.IFS(
LEFT(S4936,16)="win on penalties",IF(VALUE(MID(S4936,19,1))&gt;VALUE(MID(S4936,23,1)),DATA_CLEANED!AK450,DATA_CLEANED!AN450),
ISNUMBER(SEARCH("USA",S4936)),"United States",
ISNUMBER(SEARCH("Republic of Ireland",S4936)),"Ireland",
ISNUMBER(SEARCH("Republic of Korea",S4936)),"South Korea",
ISNUMBER(SEARCH("Cape Verde",S4936)),"Cabo Verde",
ISNUMBER(SEARCH("Czechia",S4936)),"Czech Republic",
ISNUMBER(SEARCH("Türkiye",S4936)),"Turkey",
ISNUMBER(SEARCH("Ivory Coast",S4936)),"Côte d'Ivoire",
ISNUMBER(SEARCH("Korea Republic",S4936)),"South Korea",
ISNUMBER(SEARCH("Germany FR",S4936)),"FR Germany",
ISNUMBER(SEARCH("West Germany",S4936)),"FR Germany",
ISNUMBER(SEARCH("Germany DR",S4936)),"DR Germany",
ISNUMBER(SEARCH("Korea DPR",S4936)),"North Korea",
ISNUMBER(SEARCH("China PR",S4936)),"China",
ISNUMBER(SEARCH("IR Iran",S4936)),"Iran",
ISNUMBER(SEARCH("Congo DR",S4936)),"Democratic Republic of the Congo",
ISNUMBER(SEARCH("DR Congo",S4936)),"Democratic Republic of the Congo",
ISNUMBER(SEARCH("German DR",S4936)),"DR Germany",
ISNUMBER(SEARCH("rn""&gt;United Arab Emirates",S4936)),"United Arab Emirates",
ISNUMBER(SEARCH("rn""&gt;Republic of Ireland",S4936)),"Ireland",
ISNUMBER(SEARCH("rn""&gt;Bosnia and Herzegovina",S4936)),"Bosnia and Herzegovina",
ISNUMBER(SEARCH("rn""&gt;Trinidad and Tobago",S4936)),"Trinidad and Tobago",
ISNUMBER(SEARCH("rn""&gt;Serbia and Montenegro",S4936)),"Serbia and Montenegro",
ISNUMBER(SEARCH(_xlfn.UNICHAR(65533),S4936)),"Côte d'Ivoire",
TRUE,"-"
)</f>
        <v>-</v>
      </c>
      <c r="W4936" s="42" t="str">
        <f t="shared" si="303"/>
        <v>-</v>
      </c>
    </row>
    <row r="4937" spans="19:23">
      <c r="S4937" s="42" t="str">
        <v>Cameroon win after extra time</v>
      </c>
      <c r="T4937" s="42" t="str">
        <f t="shared" si="301"/>
        <v>Cameroon</v>
      </c>
      <c r="U4937" s="40" t="str">
        <f t="shared" si="302"/>
        <v>AUCUNE</v>
      </c>
      <c r="V4937" s="42" t="str" cm="1">
        <f t="array" ref="V4937">_xlfn.IFS(
LEFT(S4937,16)="win on penalties",IF(VALUE(MID(S4937,19,1))&gt;VALUE(MID(S4937,23,1)),DATA_CLEANED!AK451,DATA_CLEANED!AN451),
ISNUMBER(SEARCH("USA",S4937)),"United States",
ISNUMBER(SEARCH("Republic of Ireland",S4937)),"Ireland",
ISNUMBER(SEARCH("Republic of Korea",S4937)),"South Korea",
ISNUMBER(SEARCH("Cape Verde",S4937)),"Cabo Verde",
ISNUMBER(SEARCH("Czechia",S4937)),"Czech Republic",
ISNUMBER(SEARCH("Türkiye",S4937)),"Turkey",
ISNUMBER(SEARCH("Ivory Coast",S4937)),"Côte d'Ivoire",
ISNUMBER(SEARCH("Korea Republic",S4937)),"South Korea",
ISNUMBER(SEARCH("Germany FR",S4937)),"FR Germany",
ISNUMBER(SEARCH("West Germany",S4937)),"FR Germany",
ISNUMBER(SEARCH("Germany DR",S4937)),"DR Germany",
ISNUMBER(SEARCH("Korea DPR",S4937)),"North Korea",
ISNUMBER(SEARCH("China PR",S4937)),"China",
ISNUMBER(SEARCH("IR Iran",S4937)),"Iran",
ISNUMBER(SEARCH("Congo DR",S4937)),"Democratic Republic of the Congo",
ISNUMBER(SEARCH("DR Congo",S4937)),"Democratic Republic of the Congo",
ISNUMBER(SEARCH("German DR",S4937)),"DR Germany",
ISNUMBER(SEARCH("rn""&gt;United Arab Emirates",S4937)),"United Arab Emirates",
ISNUMBER(SEARCH("rn""&gt;Republic of Ireland",S4937)),"Ireland",
ISNUMBER(SEARCH("rn""&gt;Bosnia and Herzegovina",S4937)),"Bosnia and Herzegovina",
ISNUMBER(SEARCH("rn""&gt;Trinidad and Tobago",S4937)),"Trinidad and Tobago",
ISNUMBER(SEARCH("rn""&gt;Serbia and Montenegro",S4937)),"Serbia and Montenegro",
ISNUMBER(SEARCH(_xlfn.UNICHAR(65533),S4937)),"Côte d'Ivoire",
TRUE,"-"
)</f>
        <v>-</v>
      </c>
      <c r="W4937" s="42" t="str">
        <f t="shared" si="303"/>
        <v>Cameroon win after extra time</v>
      </c>
    </row>
    <row r="4938" spans="19:23">
      <c r="S4938" s="42" t="str">
        <v/>
      </c>
      <c r="T4938" s="42" t="str">
        <f t="shared" ref="T4938:T5001" si="304">IF(S4938="","-",IFERROR(LEFT(S4938,SEARCH(" win",S4938)-1),"-"))</f>
        <v>-</v>
      </c>
      <c r="U4938" s="40" t="str">
        <f t="shared" ref="U4938:U5001" si="305">IF(T4938="-","-",IF(COUNTIF(_xlfn.ANCHORARRAY(X$13),T4938)=1,"AUCUNE","RENOMMER"))</f>
        <v>-</v>
      </c>
      <c r="V4938" s="42" t="str" cm="1">
        <f t="array" ref="V4938">_xlfn.IFS(
LEFT(S4938,16)="win on penalties",IF(VALUE(MID(S4938,19,1))&gt;VALUE(MID(S4938,23,1)),DATA_CLEANED!AK452,DATA_CLEANED!AN452),
ISNUMBER(SEARCH("USA",S4938)),"United States",
ISNUMBER(SEARCH("Republic of Ireland",S4938)),"Ireland",
ISNUMBER(SEARCH("Republic of Korea",S4938)),"South Korea",
ISNUMBER(SEARCH("Cape Verde",S4938)),"Cabo Verde",
ISNUMBER(SEARCH("Czechia",S4938)),"Czech Republic",
ISNUMBER(SEARCH("Türkiye",S4938)),"Turkey",
ISNUMBER(SEARCH("Ivory Coast",S4938)),"Côte d'Ivoire",
ISNUMBER(SEARCH("Korea Republic",S4938)),"South Korea",
ISNUMBER(SEARCH("Germany FR",S4938)),"FR Germany",
ISNUMBER(SEARCH("West Germany",S4938)),"FR Germany",
ISNUMBER(SEARCH("Germany DR",S4938)),"DR Germany",
ISNUMBER(SEARCH("Korea DPR",S4938)),"North Korea",
ISNUMBER(SEARCH("China PR",S4938)),"China",
ISNUMBER(SEARCH("IR Iran",S4938)),"Iran",
ISNUMBER(SEARCH("Congo DR",S4938)),"Democratic Republic of the Congo",
ISNUMBER(SEARCH("DR Congo",S4938)),"Democratic Republic of the Congo",
ISNUMBER(SEARCH("German DR",S4938)),"DR Germany",
ISNUMBER(SEARCH("rn""&gt;United Arab Emirates",S4938)),"United Arab Emirates",
ISNUMBER(SEARCH("rn""&gt;Republic of Ireland",S4938)),"Ireland",
ISNUMBER(SEARCH("rn""&gt;Bosnia and Herzegovina",S4938)),"Bosnia and Herzegovina",
ISNUMBER(SEARCH("rn""&gt;Trinidad and Tobago",S4938)),"Trinidad and Tobago",
ISNUMBER(SEARCH("rn""&gt;Serbia and Montenegro",S4938)),"Serbia and Montenegro",
ISNUMBER(SEARCH(_xlfn.UNICHAR(65533),S4938)),"Côte d'Ivoire",
TRUE,"-"
)</f>
        <v>-</v>
      </c>
      <c r="W4938" s="42" t="str">
        <f t="shared" ref="W4938:W5001" si="306">IF(S4938="","-",IF(AND(U4938="RENOMMER",T4938&lt;&gt;"-",V4938&lt;&gt;"-"),SUBSTITUTE(S4938,T4938,V4938),S4938))</f>
        <v>-</v>
      </c>
    </row>
    <row r="4939" spans="19:23">
      <c r="S4939" s="42" t="str">
        <v/>
      </c>
      <c r="T4939" s="42" t="str">
        <f t="shared" si="304"/>
        <v>-</v>
      </c>
      <c r="U4939" s="40" t="str">
        <f t="shared" si="305"/>
        <v>-</v>
      </c>
      <c r="V4939" s="42" t="str" cm="1">
        <f t="array" ref="V4939">_xlfn.IFS(
LEFT(S4939,16)="win on penalties",IF(VALUE(MID(S4939,19,1))&gt;VALUE(MID(S4939,23,1)),DATA_CLEANED!AK453,DATA_CLEANED!AN453),
ISNUMBER(SEARCH("USA",S4939)),"United States",
ISNUMBER(SEARCH("Republic of Ireland",S4939)),"Ireland",
ISNUMBER(SEARCH("Republic of Korea",S4939)),"South Korea",
ISNUMBER(SEARCH("Cape Verde",S4939)),"Cabo Verde",
ISNUMBER(SEARCH("Czechia",S4939)),"Czech Republic",
ISNUMBER(SEARCH("Türkiye",S4939)),"Turkey",
ISNUMBER(SEARCH("Ivory Coast",S4939)),"Côte d'Ivoire",
ISNUMBER(SEARCH("Korea Republic",S4939)),"South Korea",
ISNUMBER(SEARCH("Germany FR",S4939)),"FR Germany",
ISNUMBER(SEARCH("West Germany",S4939)),"FR Germany",
ISNUMBER(SEARCH("Germany DR",S4939)),"DR Germany",
ISNUMBER(SEARCH("Korea DPR",S4939)),"North Korea",
ISNUMBER(SEARCH("China PR",S4939)),"China",
ISNUMBER(SEARCH("IR Iran",S4939)),"Iran",
ISNUMBER(SEARCH("Congo DR",S4939)),"Democratic Republic of the Congo",
ISNUMBER(SEARCH("DR Congo",S4939)),"Democratic Republic of the Congo",
ISNUMBER(SEARCH("German DR",S4939)),"DR Germany",
ISNUMBER(SEARCH("rn""&gt;United Arab Emirates",S4939)),"United Arab Emirates",
ISNUMBER(SEARCH("rn""&gt;Republic of Ireland",S4939)),"Ireland",
ISNUMBER(SEARCH("rn""&gt;Bosnia and Herzegovina",S4939)),"Bosnia and Herzegovina",
ISNUMBER(SEARCH("rn""&gt;Trinidad and Tobago",S4939)),"Trinidad and Tobago",
ISNUMBER(SEARCH("rn""&gt;Serbia and Montenegro",S4939)),"Serbia and Montenegro",
ISNUMBER(SEARCH(_xlfn.UNICHAR(65533),S4939)),"Côte d'Ivoire",
TRUE,"-"
)</f>
        <v>-</v>
      </c>
      <c r="W4939" s="42" t="str">
        <f t="shared" si="306"/>
        <v>-</v>
      </c>
    </row>
    <row r="4940" spans="19:23">
      <c r="S4940" s="42" t="str">
        <v/>
      </c>
      <c r="T4940" s="42" t="str">
        <f t="shared" si="304"/>
        <v>-</v>
      </c>
      <c r="U4940" s="40" t="str">
        <f t="shared" si="305"/>
        <v>-</v>
      </c>
      <c r="V4940" s="42" t="str" cm="1">
        <f t="array" ref="V4940">_xlfn.IFS(
LEFT(S4940,16)="win on penalties",IF(VALUE(MID(S4940,19,1))&gt;VALUE(MID(S4940,23,1)),DATA_CLEANED!AK454,DATA_CLEANED!AN454),
ISNUMBER(SEARCH("USA",S4940)),"United States",
ISNUMBER(SEARCH("Republic of Ireland",S4940)),"Ireland",
ISNUMBER(SEARCH("Republic of Korea",S4940)),"South Korea",
ISNUMBER(SEARCH("Cape Verde",S4940)),"Cabo Verde",
ISNUMBER(SEARCH("Czechia",S4940)),"Czech Republic",
ISNUMBER(SEARCH("Türkiye",S4940)),"Turkey",
ISNUMBER(SEARCH("Ivory Coast",S4940)),"Côte d'Ivoire",
ISNUMBER(SEARCH("Korea Republic",S4940)),"South Korea",
ISNUMBER(SEARCH("Germany FR",S4940)),"FR Germany",
ISNUMBER(SEARCH("West Germany",S4940)),"FR Germany",
ISNUMBER(SEARCH("Germany DR",S4940)),"DR Germany",
ISNUMBER(SEARCH("Korea DPR",S4940)),"North Korea",
ISNUMBER(SEARCH("China PR",S4940)),"China",
ISNUMBER(SEARCH("IR Iran",S4940)),"Iran",
ISNUMBER(SEARCH("Congo DR",S4940)),"Democratic Republic of the Congo",
ISNUMBER(SEARCH("DR Congo",S4940)),"Democratic Republic of the Congo",
ISNUMBER(SEARCH("German DR",S4940)),"DR Germany",
ISNUMBER(SEARCH("rn""&gt;United Arab Emirates",S4940)),"United Arab Emirates",
ISNUMBER(SEARCH("rn""&gt;Republic of Ireland",S4940)),"Ireland",
ISNUMBER(SEARCH("rn""&gt;Bosnia and Herzegovina",S4940)),"Bosnia and Herzegovina",
ISNUMBER(SEARCH("rn""&gt;Trinidad and Tobago",S4940)),"Trinidad and Tobago",
ISNUMBER(SEARCH("rn""&gt;Serbia and Montenegro",S4940)),"Serbia and Montenegro",
ISNUMBER(SEARCH(_xlfn.UNICHAR(65533),S4940)),"Côte d'Ivoire",
TRUE,"-"
)</f>
        <v>-</v>
      </c>
      <c r="W4940" s="42" t="str">
        <f t="shared" si="306"/>
        <v>-</v>
      </c>
    </row>
    <row r="4941" spans="19:23">
      <c r="S4941" s="42" t="str">
        <v>Republic of Ireland win on penalties (5 - 4)</v>
      </c>
      <c r="T4941" s="42" t="str">
        <f t="shared" si="304"/>
        <v>Republic of Ireland</v>
      </c>
      <c r="U4941" s="40" t="str">
        <f t="shared" si="305"/>
        <v>AUCUNE</v>
      </c>
      <c r="V4941" s="42" t="str" cm="1">
        <f t="array" ref="V4941">_xlfn.IFS(
LEFT(S4941,16)="win on penalties",IF(VALUE(MID(S4941,19,1))&gt;VALUE(MID(S4941,23,1)),DATA_CLEANED!AK455,DATA_CLEANED!AN455),
ISNUMBER(SEARCH("USA",S4941)),"United States",
ISNUMBER(SEARCH("Republic of Ireland",S4941)),"Ireland",
ISNUMBER(SEARCH("Republic of Korea",S4941)),"South Korea",
ISNUMBER(SEARCH("Cape Verde",S4941)),"Cabo Verde",
ISNUMBER(SEARCH("Czechia",S4941)),"Czech Republic",
ISNUMBER(SEARCH("Türkiye",S4941)),"Turkey",
ISNUMBER(SEARCH("Ivory Coast",S4941)),"Côte d'Ivoire",
ISNUMBER(SEARCH("Korea Republic",S4941)),"South Korea",
ISNUMBER(SEARCH("Germany FR",S4941)),"FR Germany",
ISNUMBER(SEARCH("West Germany",S4941)),"FR Germany",
ISNUMBER(SEARCH("Germany DR",S4941)),"DR Germany",
ISNUMBER(SEARCH("Korea DPR",S4941)),"North Korea",
ISNUMBER(SEARCH("China PR",S4941)),"China",
ISNUMBER(SEARCH("IR Iran",S4941)),"Iran",
ISNUMBER(SEARCH("Congo DR",S4941)),"Democratic Republic of the Congo",
ISNUMBER(SEARCH("DR Congo",S4941)),"Democratic Republic of the Congo",
ISNUMBER(SEARCH("German DR",S4941)),"DR Germany",
ISNUMBER(SEARCH("rn""&gt;United Arab Emirates",S4941)),"United Arab Emirates",
ISNUMBER(SEARCH("rn""&gt;Republic of Ireland",S4941)),"Ireland",
ISNUMBER(SEARCH("rn""&gt;Bosnia and Herzegovina",S4941)),"Bosnia and Herzegovina",
ISNUMBER(SEARCH("rn""&gt;Trinidad and Tobago",S4941)),"Trinidad and Tobago",
ISNUMBER(SEARCH("rn""&gt;Serbia and Montenegro",S4941)),"Serbia and Montenegro",
ISNUMBER(SEARCH(_xlfn.UNICHAR(65533),S4941)),"Côte d'Ivoire",
TRUE,"-"
)</f>
        <v>Ireland</v>
      </c>
      <c r="W4941" s="42" t="str">
        <f t="shared" si="306"/>
        <v>Republic of Ireland win on penalties (5 - 4)</v>
      </c>
    </row>
    <row r="4942" spans="19:23">
      <c r="S4942" s="42" t="str">
        <v/>
      </c>
      <c r="T4942" s="42" t="str">
        <f t="shared" si="304"/>
        <v>-</v>
      </c>
      <c r="U4942" s="40" t="str">
        <f t="shared" si="305"/>
        <v>-</v>
      </c>
      <c r="V4942" s="42" t="str" cm="1">
        <f t="array" ref="V4942">_xlfn.IFS(
LEFT(S4942,16)="win on penalties",IF(VALUE(MID(S4942,19,1))&gt;VALUE(MID(S4942,23,1)),DATA_CLEANED!AK456,DATA_CLEANED!AN456),
ISNUMBER(SEARCH("USA",S4942)),"United States",
ISNUMBER(SEARCH("Republic of Ireland",S4942)),"Ireland",
ISNUMBER(SEARCH("Republic of Korea",S4942)),"South Korea",
ISNUMBER(SEARCH("Cape Verde",S4942)),"Cabo Verde",
ISNUMBER(SEARCH("Czechia",S4942)),"Czech Republic",
ISNUMBER(SEARCH("Türkiye",S4942)),"Turkey",
ISNUMBER(SEARCH("Ivory Coast",S4942)),"Côte d'Ivoire",
ISNUMBER(SEARCH("Korea Republic",S4942)),"South Korea",
ISNUMBER(SEARCH("Germany FR",S4942)),"FR Germany",
ISNUMBER(SEARCH("West Germany",S4942)),"FR Germany",
ISNUMBER(SEARCH("Germany DR",S4942)),"DR Germany",
ISNUMBER(SEARCH("Korea DPR",S4942)),"North Korea",
ISNUMBER(SEARCH("China PR",S4942)),"China",
ISNUMBER(SEARCH("IR Iran",S4942)),"Iran",
ISNUMBER(SEARCH("Congo DR",S4942)),"Democratic Republic of the Congo",
ISNUMBER(SEARCH("DR Congo",S4942)),"Democratic Republic of the Congo",
ISNUMBER(SEARCH("German DR",S4942)),"DR Germany",
ISNUMBER(SEARCH("rn""&gt;United Arab Emirates",S4942)),"United Arab Emirates",
ISNUMBER(SEARCH("rn""&gt;Republic of Ireland",S4942)),"Ireland",
ISNUMBER(SEARCH("rn""&gt;Bosnia and Herzegovina",S4942)),"Bosnia and Herzegovina",
ISNUMBER(SEARCH("rn""&gt;Trinidad and Tobago",S4942)),"Trinidad and Tobago",
ISNUMBER(SEARCH("rn""&gt;Serbia and Montenegro",S4942)),"Serbia and Montenegro",
ISNUMBER(SEARCH(_xlfn.UNICHAR(65533),S4942)),"Côte d'Ivoire",
TRUE,"-"
)</f>
        <v>-</v>
      </c>
      <c r="W4942" s="42" t="str">
        <f t="shared" si="306"/>
        <v>-</v>
      </c>
    </row>
    <row r="4943" spans="19:23">
      <c r="S4943" s="42" t="str">
        <v>Yugoslavia win after extra time</v>
      </c>
      <c r="T4943" s="42" t="str">
        <f t="shared" si="304"/>
        <v>Yugoslavia</v>
      </c>
      <c r="U4943" s="40" t="str">
        <f t="shared" si="305"/>
        <v>AUCUNE</v>
      </c>
      <c r="V4943" s="42" t="str" cm="1">
        <f t="array" ref="V4943">_xlfn.IFS(
LEFT(S4943,16)="win on penalties",IF(VALUE(MID(S4943,19,1))&gt;VALUE(MID(S4943,23,1)),DATA_CLEANED!AK457,DATA_CLEANED!AN457),
ISNUMBER(SEARCH("USA",S4943)),"United States",
ISNUMBER(SEARCH("Republic of Ireland",S4943)),"Ireland",
ISNUMBER(SEARCH("Republic of Korea",S4943)),"South Korea",
ISNUMBER(SEARCH("Cape Verde",S4943)),"Cabo Verde",
ISNUMBER(SEARCH("Czechia",S4943)),"Czech Republic",
ISNUMBER(SEARCH("Türkiye",S4943)),"Turkey",
ISNUMBER(SEARCH("Ivory Coast",S4943)),"Côte d'Ivoire",
ISNUMBER(SEARCH("Korea Republic",S4943)),"South Korea",
ISNUMBER(SEARCH("Germany FR",S4943)),"FR Germany",
ISNUMBER(SEARCH("West Germany",S4943)),"FR Germany",
ISNUMBER(SEARCH("Germany DR",S4943)),"DR Germany",
ISNUMBER(SEARCH("Korea DPR",S4943)),"North Korea",
ISNUMBER(SEARCH("China PR",S4943)),"China",
ISNUMBER(SEARCH("IR Iran",S4943)),"Iran",
ISNUMBER(SEARCH("Congo DR",S4943)),"Democratic Republic of the Congo",
ISNUMBER(SEARCH("DR Congo",S4943)),"Democratic Republic of the Congo",
ISNUMBER(SEARCH("German DR",S4943)),"DR Germany",
ISNUMBER(SEARCH("rn""&gt;United Arab Emirates",S4943)),"United Arab Emirates",
ISNUMBER(SEARCH("rn""&gt;Republic of Ireland",S4943)),"Ireland",
ISNUMBER(SEARCH("rn""&gt;Bosnia and Herzegovina",S4943)),"Bosnia and Herzegovina",
ISNUMBER(SEARCH("rn""&gt;Trinidad and Tobago",S4943)),"Trinidad and Tobago",
ISNUMBER(SEARCH("rn""&gt;Serbia and Montenegro",S4943)),"Serbia and Montenegro",
ISNUMBER(SEARCH(_xlfn.UNICHAR(65533),S4943)),"Côte d'Ivoire",
TRUE,"-"
)</f>
        <v>-</v>
      </c>
      <c r="W4943" s="42" t="str">
        <f t="shared" si="306"/>
        <v>Yugoslavia win after extra time</v>
      </c>
    </row>
    <row r="4944" spans="19:23">
      <c r="S4944" s="42" t="str">
        <v>England win after extra time</v>
      </c>
      <c r="T4944" s="42" t="str">
        <f t="shared" si="304"/>
        <v>England</v>
      </c>
      <c r="U4944" s="40" t="str">
        <f t="shared" si="305"/>
        <v>AUCUNE</v>
      </c>
      <c r="V4944" s="42" t="str" cm="1">
        <f t="array" ref="V4944">_xlfn.IFS(
LEFT(S4944,16)="win on penalties",IF(VALUE(MID(S4944,19,1))&gt;VALUE(MID(S4944,23,1)),DATA_CLEANED!AK458,DATA_CLEANED!AN458),
ISNUMBER(SEARCH("USA",S4944)),"United States",
ISNUMBER(SEARCH("Republic of Ireland",S4944)),"Ireland",
ISNUMBER(SEARCH("Republic of Korea",S4944)),"South Korea",
ISNUMBER(SEARCH("Cape Verde",S4944)),"Cabo Verde",
ISNUMBER(SEARCH("Czechia",S4944)),"Czech Republic",
ISNUMBER(SEARCH("Türkiye",S4944)),"Turkey",
ISNUMBER(SEARCH("Ivory Coast",S4944)),"Côte d'Ivoire",
ISNUMBER(SEARCH("Korea Republic",S4944)),"South Korea",
ISNUMBER(SEARCH("Germany FR",S4944)),"FR Germany",
ISNUMBER(SEARCH("West Germany",S4944)),"FR Germany",
ISNUMBER(SEARCH("Germany DR",S4944)),"DR Germany",
ISNUMBER(SEARCH("Korea DPR",S4944)),"North Korea",
ISNUMBER(SEARCH("China PR",S4944)),"China",
ISNUMBER(SEARCH("IR Iran",S4944)),"Iran",
ISNUMBER(SEARCH("Congo DR",S4944)),"Democratic Republic of the Congo",
ISNUMBER(SEARCH("DR Congo",S4944)),"Democratic Republic of the Congo",
ISNUMBER(SEARCH("German DR",S4944)),"DR Germany",
ISNUMBER(SEARCH("rn""&gt;United Arab Emirates",S4944)),"United Arab Emirates",
ISNUMBER(SEARCH("rn""&gt;Republic of Ireland",S4944)),"Ireland",
ISNUMBER(SEARCH("rn""&gt;Bosnia and Herzegovina",S4944)),"Bosnia and Herzegovina",
ISNUMBER(SEARCH("rn""&gt;Trinidad and Tobago",S4944)),"Trinidad and Tobago",
ISNUMBER(SEARCH("rn""&gt;Serbia and Montenegro",S4944)),"Serbia and Montenegro",
ISNUMBER(SEARCH(_xlfn.UNICHAR(65533),S4944)),"Côte d'Ivoire",
TRUE,"-"
)</f>
        <v>-</v>
      </c>
      <c r="W4944" s="42" t="str">
        <f t="shared" si="306"/>
        <v>England win after extra time</v>
      </c>
    </row>
    <row r="4945" spans="19:23">
      <c r="S4945" s="42" t="str">
        <v>win on penalties (2 - 3)</v>
      </c>
      <c r="T4945" s="42" t="str">
        <f t="shared" si="304"/>
        <v>-</v>
      </c>
      <c r="U4945" s="40" t="str">
        <f t="shared" si="305"/>
        <v>-</v>
      </c>
      <c r="V4945" s="42" t="str" cm="1">
        <f t="array" ref="V4945">_xlfn.IFS(
LEFT(S4945,16)="win on penalties",IF(VALUE(MID(S4945,19,1))&gt;VALUE(MID(S4945,23,1)),DATA_CLEANED!AK459,DATA_CLEANED!AN459),
ISNUMBER(SEARCH("USA",S4945)),"United States",
ISNUMBER(SEARCH("Republic of Ireland",S4945)),"Ireland",
ISNUMBER(SEARCH("Republic of Korea",S4945)),"South Korea",
ISNUMBER(SEARCH("Cape Verde",S4945)),"Cabo Verde",
ISNUMBER(SEARCH("Czechia",S4945)),"Czech Republic",
ISNUMBER(SEARCH("Türkiye",S4945)),"Turkey",
ISNUMBER(SEARCH("Ivory Coast",S4945)),"Côte d'Ivoire",
ISNUMBER(SEARCH("Korea Republic",S4945)),"South Korea",
ISNUMBER(SEARCH("Germany FR",S4945)),"FR Germany",
ISNUMBER(SEARCH("West Germany",S4945)),"FR Germany",
ISNUMBER(SEARCH("Germany DR",S4945)),"DR Germany",
ISNUMBER(SEARCH("Korea DPR",S4945)),"North Korea",
ISNUMBER(SEARCH("China PR",S4945)),"China",
ISNUMBER(SEARCH("IR Iran",S4945)),"Iran",
ISNUMBER(SEARCH("Congo DR",S4945)),"Democratic Republic of the Congo",
ISNUMBER(SEARCH("DR Congo",S4945)),"Democratic Republic of the Congo",
ISNUMBER(SEARCH("German DR",S4945)),"DR Germany",
ISNUMBER(SEARCH("rn""&gt;United Arab Emirates",S4945)),"United Arab Emirates",
ISNUMBER(SEARCH("rn""&gt;Republic of Ireland",S4945)),"Ireland",
ISNUMBER(SEARCH("rn""&gt;Bosnia and Herzegovina",S4945)),"Bosnia and Herzegovina",
ISNUMBER(SEARCH("rn""&gt;Trinidad and Tobago",S4945)),"Trinidad and Tobago",
ISNUMBER(SEARCH("rn""&gt;Serbia and Montenegro",S4945)),"Serbia and Montenegro",
ISNUMBER(SEARCH(_xlfn.UNICHAR(65533),S4945)),"Côte d'Ivoire",
TRUE,"-"
)</f>
        <v>Argentina</v>
      </c>
      <c r="W4945" s="42" t="str">
        <f t="shared" si="306"/>
        <v>win on penalties (2 - 3)</v>
      </c>
    </row>
    <row r="4946" spans="19:23">
      <c r="S4946" s="42" t="str">
        <v/>
      </c>
      <c r="T4946" s="42" t="str">
        <f t="shared" si="304"/>
        <v>-</v>
      </c>
      <c r="U4946" s="40" t="str">
        <f t="shared" si="305"/>
        <v>-</v>
      </c>
      <c r="V4946" s="42" t="str" cm="1">
        <f t="array" ref="V4946">_xlfn.IFS(
LEFT(S4946,16)="win on penalties",IF(VALUE(MID(S4946,19,1))&gt;VALUE(MID(S4946,23,1)),DATA_CLEANED!AK460,DATA_CLEANED!AN460),
ISNUMBER(SEARCH("USA",S4946)),"United States",
ISNUMBER(SEARCH("Republic of Ireland",S4946)),"Ireland",
ISNUMBER(SEARCH("Republic of Korea",S4946)),"South Korea",
ISNUMBER(SEARCH("Cape Verde",S4946)),"Cabo Verde",
ISNUMBER(SEARCH("Czechia",S4946)),"Czech Republic",
ISNUMBER(SEARCH("Türkiye",S4946)),"Turkey",
ISNUMBER(SEARCH("Ivory Coast",S4946)),"Côte d'Ivoire",
ISNUMBER(SEARCH("Korea Republic",S4946)),"South Korea",
ISNUMBER(SEARCH("Germany FR",S4946)),"FR Germany",
ISNUMBER(SEARCH("West Germany",S4946)),"FR Germany",
ISNUMBER(SEARCH("Germany DR",S4946)),"DR Germany",
ISNUMBER(SEARCH("Korea DPR",S4946)),"North Korea",
ISNUMBER(SEARCH("China PR",S4946)),"China",
ISNUMBER(SEARCH("IR Iran",S4946)),"Iran",
ISNUMBER(SEARCH("Congo DR",S4946)),"Democratic Republic of the Congo",
ISNUMBER(SEARCH("DR Congo",S4946)),"Democratic Republic of the Congo",
ISNUMBER(SEARCH("German DR",S4946)),"DR Germany",
ISNUMBER(SEARCH("rn""&gt;United Arab Emirates",S4946)),"United Arab Emirates",
ISNUMBER(SEARCH("rn""&gt;Republic of Ireland",S4946)),"Ireland",
ISNUMBER(SEARCH("rn""&gt;Bosnia and Herzegovina",S4946)),"Bosnia and Herzegovina",
ISNUMBER(SEARCH("rn""&gt;Trinidad and Tobago",S4946)),"Trinidad and Tobago",
ISNUMBER(SEARCH("rn""&gt;Serbia and Montenegro",S4946)),"Serbia and Montenegro",
ISNUMBER(SEARCH(_xlfn.UNICHAR(65533),S4946)),"Côte d'Ivoire",
TRUE,"-"
)</f>
        <v>-</v>
      </c>
      <c r="W4946" s="42" t="str">
        <f t="shared" si="306"/>
        <v>-</v>
      </c>
    </row>
    <row r="4947" spans="19:23">
      <c r="S4947" s="42" t="str">
        <v/>
      </c>
      <c r="T4947" s="42" t="str">
        <f t="shared" si="304"/>
        <v>-</v>
      </c>
      <c r="U4947" s="40" t="str">
        <f t="shared" si="305"/>
        <v>-</v>
      </c>
      <c r="V4947" s="42" t="str" cm="1">
        <f t="array" ref="V4947">_xlfn.IFS(
LEFT(S4947,16)="win on penalties",IF(VALUE(MID(S4947,19,1))&gt;VALUE(MID(S4947,23,1)),DATA_CLEANED!AK461,DATA_CLEANED!AN461),
ISNUMBER(SEARCH("USA",S4947)),"United States",
ISNUMBER(SEARCH("Republic of Ireland",S4947)),"Ireland",
ISNUMBER(SEARCH("Republic of Korea",S4947)),"South Korea",
ISNUMBER(SEARCH("Cape Verde",S4947)),"Cabo Verde",
ISNUMBER(SEARCH("Czechia",S4947)),"Czech Republic",
ISNUMBER(SEARCH("Türkiye",S4947)),"Turkey",
ISNUMBER(SEARCH("Ivory Coast",S4947)),"Côte d'Ivoire",
ISNUMBER(SEARCH("Korea Republic",S4947)),"South Korea",
ISNUMBER(SEARCH("Germany FR",S4947)),"FR Germany",
ISNUMBER(SEARCH("West Germany",S4947)),"FR Germany",
ISNUMBER(SEARCH("Germany DR",S4947)),"DR Germany",
ISNUMBER(SEARCH("Korea DPR",S4947)),"North Korea",
ISNUMBER(SEARCH("China PR",S4947)),"China",
ISNUMBER(SEARCH("IR Iran",S4947)),"Iran",
ISNUMBER(SEARCH("Congo DR",S4947)),"Democratic Republic of the Congo",
ISNUMBER(SEARCH("DR Congo",S4947)),"Democratic Republic of the Congo",
ISNUMBER(SEARCH("German DR",S4947)),"DR Germany",
ISNUMBER(SEARCH("rn""&gt;United Arab Emirates",S4947)),"United Arab Emirates",
ISNUMBER(SEARCH("rn""&gt;Republic of Ireland",S4947)),"Ireland",
ISNUMBER(SEARCH("rn""&gt;Bosnia and Herzegovina",S4947)),"Bosnia and Herzegovina",
ISNUMBER(SEARCH("rn""&gt;Trinidad and Tobago",S4947)),"Trinidad and Tobago",
ISNUMBER(SEARCH("rn""&gt;Serbia and Montenegro",S4947)),"Serbia and Montenegro",
ISNUMBER(SEARCH(_xlfn.UNICHAR(65533),S4947)),"Côte d'Ivoire",
TRUE,"-"
)</f>
        <v>-</v>
      </c>
      <c r="W4947" s="42" t="str">
        <f t="shared" si="306"/>
        <v>-</v>
      </c>
    </row>
    <row r="4948" spans="19:23">
      <c r="S4948" s="42" t="str">
        <v>England win after extra time</v>
      </c>
      <c r="T4948" s="42" t="str">
        <f t="shared" si="304"/>
        <v>England</v>
      </c>
      <c r="U4948" s="40" t="str">
        <f t="shared" si="305"/>
        <v>AUCUNE</v>
      </c>
      <c r="V4948" s="42" t="str" cm="1">
        <f t="array" ref="V4948">_xlfn.IFS(
LEFT(S4948,16)="win on penalties",IF(VALUE(MID(S4948,19,1))&gt;VALUE(MID(S4948,23,1)),DATA_CLEANED!AK462,DATA_CLEANED!AN462),
ISNUMBER(SEARCH("USA",S4948)),"United States",
ISNUMBER(SEARCH("Republic of Ireland",S4948)),"Ireland",
ISNUMBER(SEARCH("Republic of Korea",S4948)),"South Korea",
ISNUMBER(SEARCH("Cape Verde",S4948)),"Cabo Verde",
ISNUMBER(SEARCH("Czechia",S4948)),"Czech Republic",
ISNUMBER(SEARCH("Türkiye",S4948)),"Turkey",
ISNUMBER(SEARCH("Ivory Coast",S4948)),"Côte d'Ivoire",
ISNUMBER(SEARCH("Korea Republic",S4948)),"South Korea",
ISNUMBER(SEARCH("Germany FR",S4948)),"FR Germany",
ISNUMBER(SEARCH("West Germany",S4948)),"FR Germany",
ISNUMBER(SEARCH("Germany DR",S4948)),"DR Germany",
ISNUMBER(SEARCH("Korea DPR",S4948)),"North Korea",
ISNUMBER(SEARCH("China PR",S4948)),"China",
ISNUMBER(SEARCH("IR Iran",S4948)),"Iran",
ISNUMBER(SEARCH("Congo DR",S4948)),"Democratic Republic of the Congo",
ISNUMBER(SEARCH("DR Congo",S4948)),"Democratic Republic of the Congo",
ISNUMBER(SEARCH("German DR",S4948)),"DR Germany",
ISNUMBER(SEARCH("rn""&gt;United Arab Emirates",S4948)),"United Arab Emirates",
ISNUMBER(SEARCH("rn""&gt;Republic of Ireland",S4948)),"Ireland",
ISNUMBER(SEARCH("rn""&gt;Bosnia and Herzegovina",S4948)),"Bosnia and Herzegovina",
ISNUMBER(SEARCH("rn""&gt;Trinidad and Tobago",S4948)),"Trinidad and Tobago",
ISNUMBER(SEARCH("rn""&gt;Serbia and Montenegro",S4948)),"Serbia and Montenegro",
ISNUMBER(SEARCH(_xlfn.UNICHAR(65533),S4948)),"Côte d'Ivoire",
TRUE,"-"
)</f>
        <v>-</v>
      </c>
      <c r="W4948" s="42" t="str">
        <f t="shared" si="306"/>
        <v>England win after extra time</v>
      </c>
    </row>
    <row r="4949" spans="19:23">
      <c r="S4949" s="42" t="str">
        <v>win on penalties (3 - 4)</v>
      </c>
      <c r="T4949" s="42" t="str">
        <f t="shared" si="304"/>
        <v>-</v>
      </c>
      <c r="U4949" s="40" t="str">
        <f t="shared" si="305"/>
        <v>-</v>
      </c>
      <c r="V4949" s="42" t="str" cm="1">
        <f t="array" ref="V4949">_xlfn.IFS(
LEFT(S4949,16)="win on penalties",IF(VALUE(MID(S4949,19,1))&gt;VALUE(MID(S4949,23,1)),DATA_CLEANED!AK463,DATA_CLEANED!AN463),
ISNUMBER(SEARCH("USA",S4949)),"United States",
ISNUMBER(SEARCH("Republic of Ireland",S4949)),"Ireland",
ISNUMBER(SEARCH("Republic of Korea",S4949)),"South Korea",
ISNUMBER(SEARCH("Cape Verde",S4949)),"Cabo Verde",
ISNUMBER(SEARCH("Czechia",S4949)),"Czech Republic",
ISNUMBER(SEARCH("Türkiye",S4949)),"Turkey",
ISNUMBER(SEARCH("Ivory Coast",S4949)),"Côte d'Ivoire",
ISNUMBER(SEARCH("Korea Republic",S4949)),"South Korea",
ISNUMBER(SEARCH("Germany FR",S4949)),"FR Germany",
ISNUMBER(SEARCH("West Germany",S4949)),"FR Germany",
ISNUMBER(SEARCH("Germany DR",S4949)),"DR Germany",
ISNUMBER(SEARCH("Korea DPR",S4949)),"North Korea",
ISNUMBER(SEARCH("China PR",S4949)),"China",
ISNUMBER(SEARCH("IR Iran",S4949)),"Iran",
ISNUMBER(SEARCH("Congo DR",S4949)),"Democratic Republic of the Congo",
ISNUMBER(SEARCH("DR Congo",S4949)),"Democratic Republic of the Congo",
ISNUMBER(SEARCH("German DR",S4949)),"DR Germany",
ISNUMBER(SEARCH("rn""&gt;United Arab Emirates",S4949)),"United Arab Emirates",
ISNUMBER(SEARCH("rn""&gt;Republic of Ireland",S4949)),"Ireland",
ISNUMBER(SEARCH("rn""&gt;Bosnia and Herzegovina",S4949)),"Bosnia and Herzegovina",
ISNUMBER(SEARCH("rn""&gt;Trinidad and Tobago",S4949)),"Trinidad and Tobago",
ISNUMBER(SEARCH("rn""&gt;Serbia and Montenegro",S4949)),"Serbia and Montenegro",
ISNUMBER(SEARCH(_xlfn.UNICHAR(65533),S4949)),"Côte d'Ivoire",
TRUE,"-"
)</f>
        <v>Argentina</v>
      </c>
      <c r="W4949" s="42" t="str">
        <f t="shared" si="306"/>
        <v>win on penalties (3 - 4)</v>
      </c>
    </row>
    <row r="4950" spans="19:23">
      <c r="S4950" s="42" t="str">
        <v>win on penalties (4 - 3)</v>
      </c>
      <c r="T4950" s="42" t="str">
        <f t="shared" si="304"/>
        <v>-</v>
      </c>
      <c r="U4950" s="40" t="str">
        <f t="shared" si="305"/>
        <v>-</v>
      </c>
      <c r="V4950" s="42" t="str" cm="1">
        <f t="array" ref="V4950">_xlfn.IFS(
LEFT(S4950,16)="win on penalties",IF(VALUE(MID(S4950,19,1))&gt;VALUE(MID(S4950,23,1)),DATA_CLEANED!AK464,DATA_CLEANED!AN464),
ISNUMBER(SEARCH("USA",S4950)),"United States",
ISNUMBER(SEARCH("Republic of Ireland",S4950)),"Ireland",
ISNUMBER(SEARCH("Republic of Korea",S4950)),"South Korea",
ISNUMBER(SEARCH("Cape Verde",S4950)),"Cabo Verde",
ISNUMBER(SEARCH("Czechia",S4950)),"Czech Republic",
ISNUMBER(SEARCH("Türkiye",S4950)),"Turkey",
ISNUMBER(SEARCH("Ivory Coast",S4950)),"Côte d'Ivoire",
ISNUMBER(SEARCH("Korea Republic",S4950)),"South Korea",
ISNUMBER(SEARCH("Germany FR",S4950)),"FR Germany",
ISNUMBER(SEARCH("West Germany",S4950)),"FR Germany",
ISNUMBER(SEARCH("Germany DR",S4950)),"DR Germany",
ISNUMBER(SEARCH("Korea DPR",S4950)),"North Korea",
ISNUMBER(SEARCH("China PR",S4950)),"China",
ISNUMBER(SEARCH("IR Iran",S4950)),"Iran",
ISNUMBER(SEARCH("Congo DR",S4950)),"Democratic Republic of the Congo",
ISNUMBER(SEARCH("DR Congo",S4950)),"Democratic Republic of the Congo",
ISNUMBER(SEARCH("German DR",S4950)),"DR Germany",
ISNUMBER(SEARCH("rn""&gt;United Arab Emirates",S4950)),"United Arab Emirates",
ISNUMBER(SEARCH("rn""&gt;Republic of Ireland",S4950)),"Ireland",
ISNUMBER(SEARCH("rn""&gt;Bosnia and Herzegovina",S4950)),"Bosnia and Herzegovina",
ISNUMBER(SEARCH("rn""&gt;Trinidad and Tobago",S4950)),"Trinidad and Tobago",
ISNUMBER(SEARCH("rn""&gt;Serbia and Montenegro",S4950)),"Serbia and Montenegro",
ISNUMBER(SEARCH(_xlfn.UNICHAR(65533),S4950)),"Côte d'Ivoire",
TRUE,"-"
)</f>
        <v>FR Germany</v>
      </c>
      <c r="W4950" s="42" t="str">
        <f t="shared" si="306"/>
        <v>win on penalties (4 - 3)</v>
      </c>
    </row>
    <row r="4951" spans="19:23">
      <c r="S4951" s="42" t="str">
        <v/>
      </c>
      <c r="T4951" s="42" t="str">
        <f t="shared" si="304"/>
        <v>-</v>
      </c>
      <c r="U4951" s="40" t="str">
        <f t="shared" si="305"/>
        <v>-</v>
      </c>
      <c r="V4951" s="42" t="str" cm="1">
        <f t="array" ref="V4951">_xlfn.IFS(
LEFT(S4951,16)="win on penalties",IF(VALUE(MID(S4951,19,1))&gt;VALUE(MID(S4951,23,1)),DATA_CLEANED!AK465,DATA_CLEANED!AN465),
ISNUMBER(SEARCH("USA",S4951)),"United States",
ISNUMBER(SEARCH("Republic of Ireland",S4951)),"Ireland",
ISNUMBER(SEARCH("Republic of Korea",S4951)),"South Korea",
ISNUMBER(SEARCH("Cape Verde",S4951)),"Cabo Verde",
ISNUMBER(SEARCH("Czechia",S4951)),"Czech Republic",
ISNUMBER(SEARCH("Türkiye",S4951)),"Turkey",
ISNUMBER(SEARCH("Ivory Coast",S4951)),"Côte d'Ivoire",
ISNUMBER(SEARCH("Korea Republic",S4951)),"South Korea",
ISNUMBER(SEARCH("Germany FR",S4951)),"FR Germany",
ISNUMBER(SEARCH("West Germany",S4951)),"FR Germany",
ISNUMBER(SEARCH("Germany DR",S4951)),"DR Germany",
ISNUMBER(SEARCH("Korea DPR",S4951)),"North Korea",
ISNUMBER(SEARCH("China PR",S4951)),"China",
ISNUMBER(SEARCH("IR Iran",S4951)),"Iran",
ISNUMBER(SEARCH("Congo DR",S4951)),"Democratic Republic of the Congo",
ISNUMBER(SEARCH("DR Congo",S4951)),"Democratic Republic of the Congo",
ISNUMBER(SEARCH("German DR",S4951)),"DR Germany",
ISNUMBER(SEARCH("rn""&gt;United Arab Emirates",S4951)),"United Arab Emirates",
ISNUMBER(SEARCH("rn""&gt;Republic of Ireland",S4951)),"Ireland",
ISNUMBER(SEARCH("rn""&gt;Bosnia and Herzegovina",S4951)),"Bosnia and Herzegovina",
ISNUMBER(SEARCH("rn""&gt;Trinidad and Tobago",S4951)),"Trinidad and Tobago",
ISNUMBER(SEARCH("rn""&gt;Serbia and Montenegro",S4951)),"Serbia and Montenegro",
ISNUMBER(SEARCH(_xlfn.UNICHAR(65533),S4951)),"Côte d'Ivoire",
TRUE,"-"
)</f>
        <v>-</v>
      </c>
      <c r="W4951" s="42" t="str">
        <f t="shared" si="306"/>
        <v>-</v>
      </c>
    </row>
    <row r="4952" spans="19:23">
      <c r="S4952" s="42" t="str">
        <v/>
      </c>
      <c r="T4952" s="42" t="str">
        <f t="shared" si="304"/>
        <v>-</v>
      </c>
      <c r="U4952" s="40" t="str">
        <f t="shared" si="305"/>
        <v>-</v>
      </c>
      <c r="V4952" s="42" t="str" cm="1">
        <f t="array" ref="V4952">_xlfn.IFS(
LEFT(S4952,16)="win on penalties",IF(VALUE(MID(S4952,19,1))&gt;VALUE(MID(S4952,23,1)),DATA_CLEANED!AK466,DATA_CLEANED!AN466),
ISNUMBER(SEARCH("USA",S4952)),"United States",
ISNUMBER(SEARCH("Republic of Ireland",S4952)),"Ireland",
ISNUMBER(SEARCH("Republic of Korea",S4952)),"South Korea",
ISNUMBER(SEARCH("Cape Verde",S4952)),"Cabo Verde",
ISNUMBER(SEARCH("Czechia",S4952)),"Czech Republic",
ISNUMBER(SEARCH("Türkiye",S4952)),"Turkey",
ISNUMBER(SEARCH("Ivory Coast",S4952)),"Côte d'Ivoire",
ISNUMBER(SEARCH("Korea Republic",S4952)),"South Korea",
ISNUMBER(SEARCH("Germany FR",S4952)),"FR Germany",
ISNUMBER(SEARCH("West Germany",S4952)),"FR Germany",
ISNUMBER(SEARCH("Germany DR",S4952)),"DR Germany",
ISNUMBER(SEARCH("Korea DPR",S4952)),"North Korea",
ISNUMBER(SEARCH("China PR",S4952)),"China",
ISNUMBER(SEARCH("IR Iran",S4952)),"Iran",
ISNUMBER(SEARCH("Congo DR",S4952)),"Democratic Republic of the Congo",
ISNUMBER(SEARCH("DR Congo",S4952)),"Democratic Republic of the Congo",
ISNUMBER(SEARCH("German DR",S4952)),"DR Germany",
ISNUMBER(SEARCH("rn""&gt;United Arab Emirates",S4952)),"United Arab Emirates",
ISNUMBER(SEARCH("rn""&gt;Republic of Ireland",S4952)),"Ireland",
ISNUMBER(SEARCH("rn""&gt;Bosnia and Herzegovina",S4952)),"Bosnia and Herzegovina",
ISNUMBER(SEARCH("rn""&gt;Trinidad and Tobago",S4952)),"Trinidad and Tobago",
ISNUMBER(SEARCH("rn""&gt;Serbia and Montenegro",S4952)),"Serbia and Montenegro",
ISNUMBER(SEARCH(_xlfn.UNICHAR(65533),S4952)),"Côte d'Ivoire",
TRUE,"-"
)</f>
        <v>-</v>
      </c>
      <c r="W4952" s="42" t="str">
        <f t="shared" si="306"/>
        <v>-</v>
      </c>
    </row>
    <row r="4953" spans="19:23">
      <c r="S4953" s="42" t="str">
        <v/>
      </c>
      <c r="T4953" s="42" t="str">
        <f t="shared" si="304"/>
        <v>-</v>
      </c>
      <c r="U4953" s="40" t="str">
        <f t="shared" si="305"/>
        <v>-</v>
      </c>
      <c r="V4953" s="42" t="str" cm="1">
        <f t="array" ref="V4953">_xlfn.IFS(
LEFT(S4953,16)="win on penalties",IF(VALUE(MID(S4953,19,1))&gt;VALUE(MID(S4953,23,1)),DATA_CLEANED!AK467,DATA_CLEANED!AN467),
ISNUMBER(SEARCH("USA",S4953)),"United States",
ISNUMBER(SEARCH("Republic of Ireland",S4953)),"Ireland",
ISNUMBER(SEARCH("Republic of Korea",S4953)),"South Korea",
ISNUMBER(SEARCH("Cape Verde",S4953)),"Cabo Verde",
ISNUMBER(SEARCH("Czechia",S4953)),"Czech Republic",
ISNUMBER(SEARCH("Türkiye",S4953)),"Turkey",
ISNUMBER(SEARCH("Ivory Coast",S4953)),"Côte d'Ivoire",
ISNUMBER(SEARCH("Korea Republic",S4953)),"South Korea",
ISNUMBER(SEARCH("Germany FR",S4953)),"FR Germany",
ISNUMBER(SEARCH("West Germany",S4953)),"FR Germany",
ISNUMBER(SEARCH("Germany DR",S4953)),"DR Germany",
ISNUMBER(SEARCH("Korea DPR",S4953)),"North Korea",
ISNUMBER(SEARCH("China PR",S4953)),"China",
ISNUMBER(SEARCH("IR Iran",S4953)),"Iran",
ISNUMBER(SEARCH("Congo DR",S4953)),"Democratic Republic of the Congo",
ISNUMBER(SEARCH("DR Congo",S4953)),"Democratic Republic of the Congo",
ISNUMBER(SEARCH("German DR",S4953)),"DR Germany",
ISNUMBER(SEARCH("rn""&gt;United Arab Emirates",S4953)),"United Arab Emirates",
ISNUMBER(SEARCH("rn""&gt;Republic of Ireland",S4953)),"Ireland",
ISNUMBER(SEARCH("rn""&gt;Bosnia and Herzegovina",S4953)),"Bosnia and Herzegovina",
ISNUMBER(SEARCH("rn""&gt;Trinidad and Tobago",S4953)),"Trinidad and Tobago",
ISNUMBER(SEARCH("rn""&gt;Serbia and Montenegro",S4953)),"Serbia and Montenegro",
ISNUMBER(SEARCH(_xlfn.UNICHAR(65533),S4953)),"Côte d'Ivoire",
TRUE,"-"
)</f>
        <v>-</v>
      </c>
      <c r="W4953" s="42" t="str">
        <f t="shared" si="306"/>
        <v>-</v>
      </c>
    </row>
    <row r="4954" spans="19:23">
      <c r="S4954" s="42" t="str">
        <v/>
      </c>
      <c r="T4954" s="42" t="str">
        <f t="shared" si="304"/>
        <v>-</v>
      </c>
      <c r="U4954" s="40" t="str">
        <f t="shared" si="305"/>
        <v>-</v>
      </c>
      <c r="V4954" s="42" t="str" cm="1">
        <f t="array" ref="V4954">_xlfn.IFS(
LEFT(S4954,16)="win on penalties",IF(VALUE(MID(S4954,19,1))&gt;VALUE(MID(S4954,23,1)),DATA_CLEANED!AK468,DATA_CLEANED!AN468),
ISNUMBER(SEARCH("USA",S4954)),"United States",
ISNUMBER(SEARCH("Republic of Ireland",S4954)),"Ireland",
ISNUMBER(SEARCH("Republic of Korea",S4954)),"South Korea",
ISNUMBER(SEARCH("Cape Verde",S4954)),"Cabo Verde",
ISNUMBER(SEARCH("Czechia",S4954)),"Czech Republic",
ISNUMBER(SEARCH("Türkiye",S4954)),"Turkey",
ISNUMBER(SEARCH("Ivory Coast",S4954)),"Côte d'Ivoire",
ISNUMBER(SEARCH("Korea Republic",S4954)),"South Korea",
ISNUMBER(SEARCH("Germany FR",S4954)),"FR Germany",
ISNUMBER(SEARCH("West Germany",S4954)),"FR Germany",
ISNUMBER(SEARCH("Germany DR",S4954)),"DR Germany",
ISNUMBER(SEARCH("Korea DPR",S4954)),"North Korea",
ISNUMBER(SEARCH("China PR",S4954)),"China",
ISNUMBER(SEARCH("IR Iran",S4954)),"Iran",
ISNUMBER(SEARCH("Congo DR",S4954)),"Democratic Republic of the Congo",
ISNUMBER(SEARCH("DR Congo",S4954)),"Democratic Republic of the Congo",
ISNUMBER(SEARCH("German DR",S4954)),"DR Germany",
ISNUMBER(SEARCH("rn""&gt;United Arab Emirates",S4954)),"United Arab Emirates",
ISNUMBER(SEARCH("rn""&gt;Republic of Ireland",S4954)),"Ireland",
ISNUMBER(SEARCH("rn""&gt;Bosnia and Herzegovina",S4954)),"Bosnia and Herzegovina",
ISNUMBER(SEARCH("rn""&gt;Trinidad and Tobago",S4954)),"Trinidad and Tobago",
ISNUMBER(SEARCH("rn""&gt;Serbia and Montenegro",S4954)),"Serbia and Montenegro",
ISNUMBER(SEARCH(_xlfn.UNICHAR(65533),S4954)),"Côte d'Ivoire",
TRUE,"-"
)</f>
        <v>-</v>
      </c>
      <c r="W4954" s="42" t="str">
        <f t="shared" si="306"/>
        <v>-</v>
      </c>
    </row>
    <row r="4955" spans="19:23">
      <c r="S4955" s="42" t="str">
        <v/>
      </c>
      <c r="T4955" s="42" t="str">
        <f t="shared" si="304"/>
        <v>-</v>
      </c>
      <c r="U4955" s="40" t="str">
        <f t="shared" si="305"/>
        <v>-</v>
      </c>
      <c r="V4955" s="42" t="str" cm="1">
        <f t="array" ref="V4955">_xlfn.IFS(
LEFT(S4955,16)="win on penalties",IF(VALUE(MID(S4955,19,1))&gt;VALUE(MID(S4955,23,1)),DATA_CLEANED!AK469,DATA_CLEANED!AN469),
ISNUMBER(SEARCH("USA",S4955)),"United States",
ISNUMBER(SEARCH("Republic of Ireland",S4955)),"Ireland",
ISNUMBER(SEARCH("Republic of Korea",S4955)),"South Korea",
ISNUMBER(SEARCH("Cape Verde",S4955)),"Cabo Verde",
ISNUMBER(SEARCH("Czechia",S4955)),"Czech Republic",
ISNUMBER(SEARCH("Türkiye",S4955)),"Turkey",
ISNUMBER(SEARCH("Ivory Coast",S4955)),"Côte d'Ivoire",
ISNUMBER(SEARCH("Korea Republic",S4955)),"South Korea",
ISNUMBER(SEARCH("Germany FR",S4955)),"FR Germany",
ISNUMBER(SEARCH("West Germany",S4955)),"FR Germany",
ISNUMBER(SEARCH("Germany DR",S4955)),"DR Germany",
ISNUMBER(SEARCH("Korea DPR",S4955)),"North Korea",
ISNUMBER(SEARCH("China PR",S4955)),"China",
ISNUMBER(SEARCH("IR Iran",S4955)),"Iran",
ISNUMBER(SEARCH("Congo DR",S4955)),"Democratic Republic of the Congo",
ISNUMBER(SEARCH("DR Congo",S4955)),"Democratic Republic of the Congo",
ISNUMBER(SEARCH("German DR",S4955)),"DR Germany",
ISNUMBER(SEARCH("rn""&gt;United Arab Emirates",S4955)),"United Arab Emirates",
ISNUMBER(SEARCH("rn""&gt;Republic of Ireland",S4955)),"Ireland",
ISNUMBER(SEARCH("rn""&gt;Bosnia and Herzegovina",S4955)),"Bosnia and Herzegovina",
ISNUMBER(SEARCH("rn""&gt;Trinidad and Tobago",S4955)),"Trinidad and Tobago",
ISNUMBER(SEARCH("rn""&gt;Serbia and Montenegro",S4955)),"Serbia and Montenegro",
ISNUMBER(SEARCH(_xlfn.UNICHAR(65533),S4955)),"Côte d'Ivoire",
TRUE,"-"
)</f>
        <v>-</v>
      </c>
      <c r="W4955" s="42" t="str">
        <f t="shared" si="306"/>
        <v>-</v>
      </c>
    </row>
    <row r="4956" spans="19:23">
      <c r="S4956" s="42" t="str">
        <v/>
      </c>
      <c r="T4956" s="42" t="str">
        <f t="shared" si="304"/>
        <v>-</v>
      </c>
      <c r="U4956" s="40" t="str">
        <f t="shared" si="305"/>
        <v>-</v>
      </c>
      <c r="V4956" s="42" t="str" cm="1">
        <f t="array" ref="V4956">_xlfn.IFS(
LEFT(S4956,16)="win on penalties",IF(VALUE(MID(S4956,19,1))&gt;VALUE(MID(S4956,23,1)),DATA_CLEANED!AK470,DATA_CLEANED!AN470),
ISNUMBER(SEARCH("USA",S4956)),"United States",
ISNUMBER(SEARCH("Republic of Ireland",S4956)),"Ireland",
ISNUMBER(SEARCH("Republic of Korea",S4956)),"South Korea",
ISNUMBER(SEARCH("Cape Verde",S4956)),"Cabo Verde",
ISNUMBER(SEARCH("Czechia",S4956)),"Czech Republic",
ISNUMBER(SEARCH("Türkiye",S4956)),"Turkey",
ISNUMBER(SEARCH("Ivory Coast",S4956)),"Côte d'Ivoire",
ISNUMBER(SEARCH("Korea Republic",S4956)),"South Korea",
ISNUMBER(SEARCH("Germany FR",S4956)),"FR Germany",
ISNUMBER(SEARCH("West Germany",S4956)),"FR Germany",
ISNUMBER(SEARCH("Germany DR",S4956)),"DR Germany",
ISNUMBER(SEARCH("Korea DPR",S4956)),"North Korea",
ISNUMBER(SEARCH("China PR",S4956)),"China",
ISNUMBER(SEARCH("IR Iran",S4956)),"Iran",
ISNUMBER(SEARCH("Congo DR",S4956)),"Democratic Republic of the Congo",
ISNUMBER(SEARCH("DR Congo",S4956)),"Democratic Republic of the Congo",
ISNUMBER(SEARCH("German DR",S4956)),"DR Germany",
ISNUMBER(SEARCH("rn""&gt;United Arab Emirates",S4956)),"United Arab Emirates",
ISNUMBER(SEARCH("rn""&gt;Republic of Ireland",S4956)),"Ireland",
ISNUMBER(SEARCH("rn""&gt;Bosnia and Herzegovina",S4956)),"Bosnia and Herzegovina",
ISNUMBER(SEARCH("rn""&gt;Trinidad and Tobago",S4956)),"Trinidad and Tobago",
ISNUMBER(SEARCH("rn""&gt;Serbia and Montenegro",S4956)),"Serbia and Montenegro",
ISNUMBER(SEARCH(_xlfn.UNICHAR(65533),S4956)),"Côte d'Ivoire",
TRUE,"-"
)</f>
        <v>-</v>
      </c>
      <c r="W4956" s="42" t="str">
        <f t="shared" si="306"/>
        <v>-</v>
      </c>
    </row>
    <row r="4957" spans="19:23">
      <c r="S4957" s="42" t="str">
        <v/>
      </c>
      <c r="T4957" s="42" t="str">
        <f t="shared" si="304"/>
        <v>-</v>
      </c>
      <c r="U4957" s="40" t="str">
        <f t="shared" si="305"/>
        <v>-</v>
      </c>
      <c r="V4957" s="42" t="str" cm="1">
        <f t="array" ref="V4957">_xlfn.IFS(
LEFT(S4957,16)="win on penalties",IF(VALUE(MID(S4957,19,1))&gt;VALUE(MID(S4957,23,1)),DATA_CLEANED!AK471,DATA_CLEANED!AN471),
ISNUMBER(SEARCH("USA",S4957)),"United States",
ISNUMBER(SEARCH("Republic of Ireland",S4957)),"Ireland",
ISNUMBER(SEARCH("Republic of Korea",S4957)),"South Korea",
ISNUMBER(SEARCH("Cape Verde",S4957)),"Cabo Verde",
ISNUMBER(SEARCH("Czechia",S4957)),"Czech Republic",
ISNUMBER(SEARCH("Türkiye",S4957)),"Turkey",
ISNUMBER(SEARCH("Ivory Coast",S4957)),"Côte d'Ivoire",
ISNUMBER(SEARCH("Korea Republic",S4957)),"South Korea",
ISNUMBER(SEARCH("Germany FR",S4957)),"FR Germany",
ISNUMBER(SEARCH("West Germany",S4957)),"FR Germany",
ISNUMBER(SEARCH("Germany DR",S4957)),"DR Germany",
ISNUMBER(SEARCH("Korea DPR",S4957)),"North Korea",
ISNUMBER(SEARCH("China PR",S4957)),"China",
ISNUMBER(SEARCH("IR Iran",S4957)),"Iran",
ISNUMBER(SEARCH("Congo DR",S4957)),"Democratic Republic of the Congo",
ISNUMBER(SEARCH("DR Congo",S4957)),"Democratic Republic of the Congo",
ISNUMBER(SEARCH("German DR",S4957)),"DR Germany",
ISNUMBER(SEARCH("rn""&gt;United Arab Emirates",S4957)),"United Arab Emirates",
ISNUMBER(SEARCH("rn""&gt;Republic of Ireland",S4957)),"Ireland",
ISNUMBER(SEARCH("rn""&gt;Bosnia and Herzegovina",S4957)),"Bosnia and Herzegovina",
ISNUMBER(SEARCH("rn""&gt;Trinidad and Tobago",S4957)),"Trinidad and Tobago",
ISNUMBER(SEARCH("rn""&gt;Serbia and Montenegro",S4957)),"Serbia and Montenegro",
ISNUMBER(SEARCH(_xlfn.UNICHAR(65533),S4957)),"Côte d'Ivoire",
TRUE,"-"
)</f>
        <v>-</v>
      </c>
      <c r="W4957" s="42" t="str">
        <f t="shared" si="306"/>
        <v>-</v>
      </c>
    </row>
    <row r="4958" spans="19:23">
      <c r="S4958" s="42" t="str">
        <v/>
      </c>
      <c r="T4958" s="42" t="str">
        <f t="shared" si="304"/>
        <v>-</v>
      </c>
      <c r="U4958" s="40" t="str">
        <f t="shared" si="305"/>
        <v>-</v>
      </c>
      <c r="V4958" s="42" t="str" cm="1">
        <f t="array" ref="V4958">_xlfn.IFS(
LEFT(S4958,16)="win on penalties",IF(VALUE(MID(S4958,19,1))&gt;VALUE(MID(S4958,23,1)),DATA_CLEANED!AK472,DATA_CLEANED!AN472),
ISNUMBER(SEARCH("USA",S4958)),"United States",
ISNUMBER(SEARCH("Republic of Ireland",S4958)),"Ireland",
ISNUMBER(SEARCH("Republic of Korea",S4958)),"South Korea",
ISNUMBER(SEARCH("Cape Verde",S4958)),"Cabo Verde",
ISNUMBER(SEARCH("Czechia",S4958)),"Czech Republic",
ISNUMBER(SEARCH("Türkiye",S4958)),"Turkey",
ISNUMBER(SEARCH("Ivory Coast",S4958)),"Côte d'Ivoire",
ISNUMBER(SEARCH("Korea Republic",S4958)),"South Korea",
ISNUMBER(SEARCH("Germany FR",S4958)),"FR Germany",
ISNUMBER(SEARCH("West Germany",S4958)),"FR Germany",
ISNUMBER(SEARCH("Germany DR",S4958)),"DR Germany",
ISNUMBER(SEARCH("Korea DPR",S4958)),"North Korea",
ISNUMBER(SEARCH("China PR",S4958)),"China",
ISNUMBER(SEARCH("IR Iran",S4958)),"Iran",
ISNUMBER(SEARCH("Congo DR",S4958)),"Democratic Republic of the Congo",
ISNUMBER(SEARCH("DR Congo",S4958)),"Democratic Republic of the Congo",
ISNUMBER(SEARCH("German DR",S4958)),"DR Germany",
ISNUMBER(SEARCH("rn""&gt;United Arab Emirates",S4958)),"United Arab Emirates",
ISNUMBER(SEARCH("rn""&gt;Republic of Ireland",S4958)),"Ireland",
ISNUMBER(SEARCH("rn""&gt;Bosnia and Herzegovina",S4958)),"Bosnia and Herzegovina",
ISNUMBER(SEARCH("rn""&gt;Trinidad and Tobago",S4958)),"Trinidad and Tobago",
ISNUMBER(SEARCH("rn""&gt;Serbia and Montenegro",S4958)),"Serbia and Montenegro",
ISNUMBER(SEARCH(_xlfn.UNICHAR(65533),S4958)),"Côte d'Ivoire",
TRUE,"-"
)</f>
        <v>-</v>
      </c>
      <c r="W4958" s="42" t="str">
        <f t="shared" si="306"/>
        <v>-</v>
      </c>
    </row>
    <row r="4959" spans="19:23">
      <c r="S4959" s="42" t="str">
        <v/>
      </c>
      <c r="T4959" s="42" t="str">
        <f t="shared" si="304"/>
        <v>-</v>
      </c>
      <c r="U4959" s="40" t="str">
        <f t="shared" si="305"/>
        <v>-</v>
      </c>
      <c r="V4959" s="42" t="str" cm="1">
        <f t="array" ref="V4959">_xlfn.IFS(
LEFT(S4959,16)="win on penalties",IF(VALUE(MID(S4959,19,1))&gt;VALUE(MID(S4959,23,1)),DATA_CLEANED!AK473,DATA_CLEANED!AN473),
ISNUMBER(SEARCH("USA",S4959)),"United States",
ISNUMBER(SEARCH("Republic of Ireland",S4959)),"Ireland",
ISNUMBER(SEARCH("Republic of Korea",S4959)),"South Korea",
ISNUMBER(SEARCH("Cape Verde",S4959)),"Cabo Verde",
ISNUMBER(SEARCH("Czechia",S4959)),"Czech Republic",
ISNUMBER(SEARCH("Türkiye",S4959)),"Turkey",
ISNUMBER(SEARCH("Ivory Coast",S4959)),"Côte d'Ivoire",
ISNUMBER(SEARCH("Korea Republic",S4959)),"South Korea",
ISNUMBER(SEARCH("Germany FR",S4959)),"FR Germany",
ISNUMBER(SEARCH("West Germany",S4959)),"FR Germany",
ISNUMBER(SEARCH("Germany DR",S4959)),"DR Germany",
ISNUMBER(SEARCH("Korea DPR",S4959)),"North Korea",
ISNUMBER(SEARCH("China PR",S4959)),"China",
ISNUMBER(SEARCH("IR Iran",S4959)),"Iran",
ISNUMBER(SEARCH("Congo DR",S4959)),"Democratic Republic of the Congo",
ISNUMBER(SEARCH("DR Congo",S4959)),"Democratic Republic of the Congo",
ISNUMBER(SEARCH("German DR",S4959)),"DR Germany",
ISNUMBER(SEARCH("rn""&gt;United Arab Emirates",S4959)),"United Arab Emirates",
ISNUMBER(SEARCH("rn""&gt;Republic of Ireland",S4959)),"Ireland",
ISNUMBER(SEARCH("rn""&gt;Bosnia and Herzegovina",S4959)),"Bosnia and Herzegovina",
ISNUMBER(SEARCH("rn""&gt;Trinidad and Tobago",S4959)),"Trinidad and Tobago",
ISNUMBER(SEARCH("rn""&gt;Serbia and Montenegro",S4959)),"Serbia and Montenegro",
ISNUMBER(SEARCH(_xlfn.UNICHAR(65533),S4959)),"Côte d'Ivoire",
TRUE,"-"
)</f>
        <v>-</v>
      </c>
      <c r="W4959" s="42" t="str">
        <f t="shared" si="306"/>
        <v>-</v>
      </c>
    </row>
    <row r="4960" spans="19:23">
      <c r="S4960" s="42" t="str">
        <v/>
      </c>
      <c r="T4960" s="42" t="str">
        <f t="shared" si="304"/>
        <v>-</v>
      </c>
      <c r="U4960" s="40" t="str">
        <f t="shared" si="305"/>
        <v>-</v>
      </c>
      <c r="V4960" s="42" t="str" cm="1">
        <f t="array" ref="V4960">_xlfn.IFS(
LEFT(S4960,16)="win on penalties",IF(VALUE(MID(S4960,19,1))&gt;VALUE(MID(S4960,23,1)),DATA_CLEANED!AK474,DATA_CLEANED!AN474),
ISNUMBER(SEARCH("USA",S4960)),"United States",
ISNUMBER(SEARCH("Republic of Ireland",S4960)),"Ireland",
ISNUMBER(SEARCH("Republic of Korea",S4960)),"South Korea",
ISNUMBER(SEARCH("Cape Verde",S4960)),"Cabo Verde",
ISNUMBER(SEARCH("Czechia",S4960)),"Czech Republic",
ISNUMBER(SEARCH("Türkiye",S4960)),"Turkey",
ISNUMBER(SEARCH("Ivory Coast",S4960)),"Côte d'Ivoire",
ISNUMBER(SEARCH("Korea Republic",S4960)),"South Korea",
ISNUMBER(SEARCH("Germany FR",S4960)),"FR Germany",
ISNUMBER(SEARCH("West Germany",S4960)),"FR Germany",
ISNUMBER(SEARCH("Germany DR",S4960)),"DR Germany",
ISNUMBER(SEARCH("Korea DPR",S4960)),"North Korea",
ISNUMBER(SEARCH("China PR",S4960)),"China",
ISNUMBER(SEARCH("IR Iran",S4960)),"Iran",
ISNUMBER(SEARCH("Congo DR",S4960)),"Democratic Republic of the Congo",
ISNUMBER(SEARCH("DR Congo",S4960)),"Democratic Republic of the Congo",
ISNUMBER(SEARCH("German DR",S4960)),"DR Germany",
ISNUMBER(SEARCH("rn""&gt;United Arab Emirates",S4960)),"United Arab Emirates",
ISNUMBER(SEARCH("rn""&gt;Republic of Ireland",S4960)),"Ireland",
ISNUMBER(SEARCH("rn""&gt;Bosnia and Herzegovina",S4960)),"Bosnia and Herzegovina",
ISNUMBER(SEARCH("rn""&gt;Trinidad and Tobago",S4960)),"Trinidad and Tobago",
ISNUMBER(SEARCH("rn""&gt;Serbia and Montenegro",S4960)),"Serbia and Montenegro",
ISNUMBER(SEARCH(_xlfn.UNICHAR(65533),S4960)),"Côte d'Ivoire",
TRUE,"-"
)</f>
        <v>-</v>
      </c>
      <c r="W4960" s="42" t="str">
        <f t="shared" si="306"/>
        <v>-</v>
      </c>
    </row>
    <row r="4961" spans="19:23">
      <c r="S4961" s="42" t="str">
        <v/>
      </c>
      <c r="T4961" s="42" t="str">
        <f t="shared" si="304"/>
        <v>-</v>
      </c>
      <c r="U4961" s="40" t="str">
        <f t="shared" si="305"/>
        <v>-</v>
      </c>
      <c r="V4961" s="42" t="str" cm="1">
        <f t="array" ref="V4961">_xlfn.IFS(
LEFT(S4961,16)="win on penalties",IF(VALUE(MID(S4961,19,1))&gt;VALUE(MID(S4961,23,1)),DATA_CLEANED!AK475,DATA_CLEANED!AN475),
ISNUMBER(SEARCH("USA",S4961)),"United States",
ISNUMBER(SEARCH("Republic of Ireland",S4961)),"Ireland",
ISNUMBER(SEARCH("Republic of Korea",S4961)),"South Korea",
ISNUMBER(SEARCH("Cape Verde",S4961)),"Cabo Verde",
ISNUMBER(SEARCH("Czechia",S4961)),"Czech Republic",
ISNUMBER(SEARCH("Türkiye",S4961)),"Turkey",
ISNUMBER(SEARCH("Ivory Coast",S4961)),"Côte d'Ivoire",
ISNUMBER(SEARCH("Korea Republic",S4961)),"South Korea",
ISNUMBER(SEARCH("Germany FR",S4961)),"FR Germany",
ISNUMBER(SEARCH("West Germany",S4961)),"FR Germany",
ISNUMBER(SEARCH("Germany DR",S4961)),"DR Germany",
ISNUMBER(SEARCH("Korea DPR",S4961)),"North Korea",
ISNUMBER(SEARCH("China PR",S4961)),"China",
ISNUMBER(SEARCH("IR Iran",S4961)),"Iran",
ISNUMBER(SEARCH("Congo DR",S4961)),"Democratic Republic of the Congo",
ISNUMBER(SEARCH("DR Congo",S4961)),"Democratic Republic of the Congo",
ISNUMBER(SEARCH("German DR",S4961)),"DR Germany",
ISNUMBER(SEARCH("rn""&gt;United Arab Emirates",S4961)),"United Arab Emirates",
ISNUMBER(SEARCH("rn""&gt;Republic of Ireland",S4961)),"Ireland",
ISNUMBER(SEARCH("rn""&gt;Bosnia and Herzegovina",S4961)),"Bosnia and Herzegovina",
ISNUMBER(SEARCH("rn""&gt;Trinidad and Tobago",S4961)),"Trinidad and Tobago",
ISNUMBER(SEARCH("rn""&gt;Serbia and Montenegro",S4961)),"Serbia and Montenegro",
ISNUMBER(SEARCH(_xlfn.UNICHAR(65533),S4961)),"Côte d'Ivoire",
TRUE,"-"
)</f>
        <v>-</v>
      </c>
      <c r="W4961" s="42" t="str">
        <f t="shared" si="306"/>
        <v>-</v>
      </c>
    </row>
    <row r="4962" spans="19:23">
      <c r="S4962" s="42" t="str">
        <v/>
      </c>
      <c r="T4962" s="42" t="str">
        <f t="shared" si="304"/>
        <v>-</v>
      </c>
      <c r="U4962" s="40" t="str">
        <f t="shared" si="305"/>
        <v>-</v>
      </c>
      <c r="V4962" s="42" t="str" cm="1">
        <f t="array" ref="V4962">_xlfn.IFS(
LEFT(S4962,16)="win on penalties",IF(VALUE(MID(S4962,19,1))&gt;VALUE(MID(S4962,23,1)),DATA_CLEANED!AK476,DATA_CLEANED!AN476),
ISNUMBER(SEARCH("USA",S4962)),"United States",
ISNUMBER(SEARCH("Republic of Ireland",S4962)),"Ireland",
ISNUMBER(SEARCH("Republic of Korea",S4962)),"South Korea",
ISNUMBER(SEARCH("Cape Verde",S4962)),"Cabo Verde",
ISNUMBER(SEARCH("Czechia",S4962)),"Czech Republic",
ISNUMBER(SEARCH("Türkiye",S4962)),"Turkey",
ISNUMBER(SEARCH("Ivory Coast",S4962)),"Côte d'Ivoire",
ISNUMBER(SEARCH("Korea Republic",S4962)),"South Korea",
ISNUMBER(SEARCH("Germany FR",S4962)),"FR Germany",
ISNUMBER(SEARCH("West Germany",S4962)),"FR Germany",
ISNUMBER(SEARCH("Germany DR",S4962)),"DR Germany",
ISNUMBER(SEARCH("Korea DPR",S4962)),"North Korea",
ISNUMBER(SEARCH("China PR",S4962)),"China",
ISNUMBER(SEARCH("IR Iran",S4962)),"Iran",
ISNUMBER(SEARCH("Congo DR",S4962)),"Democratic Republic of the Congo",
ISNUMBER(SEARCH("DR Congo",S4962)),"Democratic Republic of the Congo",
ISNUMBER(SEARCH("German DR",S4962)),"DR Germany",
ISNUMBER(SEARCH("rn""&gt;United Arab Emirates",S4962)),"United Arab Emirates",
ISNUMBER(SEARCH("rn""&gt;Republic of Ireland",S4962)),"Ireland",
ISNUMBER(SEARCH("rn""&gt;Bosnia and Herzegovina",S4962)),"Bosnia and Herzegovina",
ISNUMBER(SEARCH("rn""&gt;Trinidad and Tobago",S4962)),"Trinidad and Tobago",
ISNUMBER(SEARCH("rn""&gt;Serbia and Montenegro",S4962)),"Serbia and Montenegro",
ISNUMBER(SEARCH(_xlfn.UNICHAR(65533),S4962)),"Côte d'Ivoire",
TRUE,"-"
)</f>
        <v>-</v>
      </c>
      <c r="W4962" s="42" t="str">
        <f t="shared" si="306"/>
        <v>-</v>
      </c>
    </row>
    <row r="4963" spans="19:23">
      <c r="S4963" s="42" t="str">
        <v/>
      </c>
      <c r="T4963" s="42" t="str">
        <f t="shared" si="304"/>
        <v>-</v>
      </c>
      <c r="U4963" s="40" t="str">
        <f t="shared" si="305"/>
        <v>-</v>
      </c>
      <c r="V4963" s="42" t="str" cm="1">
        <f t="array" ref="V4963">_xlfn.IFS(
LEFT(S4963,16)="win on penalties",IF(VALUE(MID(S4963,19,1))&gt;VALUE(MID(S4963,23,1)),DATA_CLEANED!AK477,DATA_CLEANED!AN477),
ISNUMBER(SEARCH("USA",S4963)),"United States",
ISNUMBER(SEARCH("Republic of Ireland",S4963)),"Ireland",
ISNUMBER(SEARCH("Republic of Korea",S4963)),"South Korea",
ISNUMBER(SEARCH("Cape Verde",S4963)),"Cabo Verde",
ISNUMBER(SEARCH("Czechia",S4963)),"Czech Republic",
ISNUMBER(SEARCH("Türkiye",S4963)),"Turkey",
ISNUMBER(SEARCH("Ivory Coast",S4963)),"Côte d'Ivoire",
ISNUMBER(SEARCH("Korea Republic",S4963)),"South Korea",
ISNUMBER(SEARCH("Germany FR",S4963)),"FR Germany",
ISNUMBER(SEARCH("West Germany",S4963)),"FR Germany",
ISNUMBER(SEARCH("Germany DR",S4963)),"DR Germany",
ISNUMBER(SEARCH("Korea DPR",S4963)),"North Korea",
ISNUMBER(SEARCH("China PR",S4963)),"China",
ISNUMBER(SEARCH("IR Iran",S4963)),"Iran",
ISNUMBER(SEARCH("Congo DR",S4963)),"Democratic Republic of the Congo",
ISNUMBER(SEARCH("DR Congo",S4963)),"Democratic Republic of the Congo",
ISNUMBER(SEARCH("German DR",S4963)),"DR Germany",
ISNUMBER(SEARCH("rn""&gt;United Arab Emirates",S4963)),"United Arab Emirates",
ISNUMBER(SEARCH("rn""&gt;Republic of Ireland",S4963)),"Ireland",
ISNUMBER(SEARCH("rn""&gt;Bosnia and Herzegovina",S4963)),"Bosnia and Herzegovina",
ISNUMBER(SEARCH("rn""&gt;Trinidad and Tobago",S4963)),"Trinidad and Tobago",
ISNUMBER(SEARCH("rn""&gt;Serbia and Montenegro",S4963)),"Serbia and Montenegro",
ISNUMBER(SEARCH(_xlfn.UNICHAR(65533),S4963)),"Côte d'Ivoire",
TRUE,"-"
)</f>
        <v>-</v>
      </c>
      <c r="W4963" s="42" t="str">
        <f t="shared" si="306"/>
        <v>-</v>
      </c>
    </row>
    <row r="4964" spans="19:23">
      <c r="S4964" s="42" t="str">
        <v/>
      </c>
      <c r="T4964" s="42" t="str">
        <f t="shared" si="304"/>
        <v>-</v>
      </c>
      <c r="U4964" s="40" t="str">
        <f t="shared" si="305"/>
        <v>-</v>
      </c>
      <c r="V4964" s="42" t="str" cm="1">
        <f t="array" ref="V4964">_xlfn.IFS(
LEFT(S4964,16)="win on penalties",IF(VALUE(MID(S4964,19,1))&gt;VALUE(MID(S4964,23,1)),DATA_CLEANED!AK478,DATA_CLEANED!AN478),
ISNUMBER(SEARCH("USA",S4964)),"United States",
ISNUMBER(SEARCH("Republic of Ireland",S4964)),"Ireland",
ISNUMBER(SEARCH("Republic of Korea",S4964)),"South Korea",
ISNUMBER(SEARCH("Cape Verde",S4964)),"Cabo Verde",
ISNUMBER(SEARCH("Czechia",S4964)),"Czech Republic",
ISNUMBER(SEARCH("Türkiye",S4964)),"Turkey",
ISNUMBER(SEARCH("Ivory Coast",S4964)),"Côte d'Ivoire",
ISNUMBER(SEARCH("Korea Republic",S4964)),"South Korea",
ISNUMBER(SEARCH("Germany FR",S4964)),"FR Germany",
ISNUMBER(SEARCH("West Germany",S4964)),"FR Germany",
ISNUMBER(SEARCH("Germany DR",S4964)),"DR Germany",
ISNUMBER(SEARCH("Korea DPR",S4964)),"North Korea",
ISNUMBER(SEARCH("China PR",S4964)),"China",
ISNUMBER(SEARCH("IR Iran",S4964)),"Iran",
ISNUMBER(SEARCH("Congo DR",S4964)),"Democratic Republic of the Congo",
ISNUMBER(SEARCH("DR Congo",S4964)),"Democratic Republic of the Congo",
ISNUMBER(SEARCH("German DR",S4964)),"DR Germany",
ISNUMBER(SEARCH("rn""&gt;United Arab Emirates",S4964)),"United Arab Emirates",
ISNUMBER(SEARCH("rn""&gt;Republic of Ireland",S4964)),"Ireland",
ISNUMBER(SEARCH("rn""&gt;Bosnia and Herzegovina",S4964)),"Bosnia and Herzegovina",
ISNUMBER(SEARCH("rn""&gt;Trinidad and Tobago",S4964)),"Trinidad and Tobago",
ISNUMBER(SEARCH("rn""&gt;Serbia and Montenegro",S4964)),"Serbia and Montenegro",
ISNUMBER(SEARCH(_xlfn.UNICHAR(65533),S4964)),"Côte d'Ivoire",
TRUE,"-"
)</f>
        <v>-</v>
      </c>
      <c r="W4964" s="42" t="str">
        <f t="shared" si="306"/>
        <v>-</v>
      </c>
    </row>
    <row r="4965" spans="19:23">
      <c r="S4965" s="42" t="str">
        <v/>
      </c>
      <c r="T4965" s="42" t="str">
        <f t="shared" si="304"/>
        <v>-</v>
      </c>
      <c r="U4965" s="40" t="str">
        <f t="shared" si="305"/>
        <v>-</v>
      </c>
      <c r="V4965" s="42" t="str" cm="1">
        <f t="array" ref="V4965">_xlfn.IFS(
LEFT(S4965,16)="win on penalties",IF(VALUE(MID(S4965,19,1))&gt;VALUE(MID(S4965,23,1)),DATA_CLEANED!AK479,DATA_CLEANED!AN479),
ISNUMBER(SEARCH("USA",S4965)),"United States",
ISNUMBER(SEARCH("Republic of Ireland",S4965)),"Ireland",
ISNUMBER(SEARCH("Republic of Korea",S4965)),"South Korea",
ISNUMBER(SEARCH("Cape Verde",S4965)),"Cabo Verde",
ISNUMBER(SEARCH("Czechia",S4965)),"Czech Republic",
ISNUMBER(SEARCH("Türkiye",S4965)),"Turkey",
ISNUMBER(SEARCH("Ivory Coast",S4965)),"Côte d'Ivoire",
ISNUMBER(SEARCH("Korea Republic",S4965)),"South Korea",
ISNUMBER(SEARCH("Germany FR",S4965)),"FR Germany",
ISNUMBER(SEARCH("West Germany",S4965)),"FR Germany",
ISNUMBER(SEARCH("Germany DR",S4965)),"DR Germany",
ISNUMBER(SEARCH("Korea DPR",S4965)),"North Korea",
ISNUMBER(SEARCH("China PR",S4965)),"China",
ISNUMBER(SEARCH("IR Iran",S4965)),"Iran",
ISNUMBER(SEARCH("Congo DR",S4965)),"Democratic Republic of the Congo",
ISNUMBER(SEARCH("DR Congo",S4965)),"Democratic Republic of the Congo",
ISNUMBER(SEARCH("German DR",S4965)),"DR Germany",
ISNUMBER(SEARCH("rn""&gt;United Arab Emirates",S4965)),"United Arab Emirates",
ISNUMBER(SEARCH("rn""&gt;Republic of Ireland",S4965)),"Ireland",
ISNUMBER(SEARCH("rn""&gt;Bosnia and Herzegovina",S4965)),"Bosnia and Herzegovina",
ISNUMBER(SEARCH("rn""&gt;Trinidad and Tobago",S4965)),"Trinidad and Tobago",
ISNUMBER(SEARCH("rn""&gt;Serbia and Montenegro",S4965)),"Serbia and Montenegro",
ISNUMBER(SEARCH(_xlfn.UNICHAR(65533),S4965)),"Côte d'Ivoire",
TRUE,"-"
)</f>
        <v>-</v>
      </c>
      <c r="W4965" s="42" t="str">
        <f t="shared" si="306"/>
        <v>-</v>
      </c>
    </row>
    <row r="4966" spans="19:23">
      <c r="S4966" s="42" t="str">
        <v/>
      </c>
      <c r="T4966" s="42" t="str">
        <f t="shared" si="304"/>
        <v>-</v>
      </c>
      <c r="U4966" s="40" t="str">
        <f t="shared" si="305"/>
        <v>-</v>
      </c>
      <c r="V4966" s="42" t="str" cm="1">
        <f t="array" ref="V4966">_xlfn.IFS(
LEFT(S4966,16)="win on penalties",IF(VALUE(MID(S4966,19,1))&gt;VALUE(MID(S4966,23,1)),DATA_CLEANED!AK480,DATA_CLEANED!AN480),
ISNUMBER(SEARCH("USA",S4966)),"United States",
ISNUMBER(SEARCH("Republic of Ireland",S4966)),"Ireland",
ISNUMBER(SEARCH("Republic of Korea",S4966)),"South Korea",
ISNUMBER(SEARCH("Cape Verde",S4966)),"Cabo Verde",
ISNUMBER(SEARCH("Czechia",S4966)),"Czech Republic",
ISNUMBER(SEARCH("Türkiye",S4966)),"Turkey",
ISNUMBER(SEARCH("Ivory Coast",S4966)),"Côte d'Ivoire",
ISNUMBER(SEARCH("Korea Republic",S4966)),"South Korea",
ISNUMBER(SEARCH("Germany FR",S4966)),"FR Germany",
ISNUMBER(SEARCH("West Germany",S4966)),"FR Germany",
ISNUMBER(SEARCH("Germany DR",S4966)),"DR Germany",
ISNUMBER(SEARCH("Korea DPR",S4966)),"North Korea",
ISNUMBER(SEARCH("China PR",S4966)),"China",
ISNUMBER(SEARCH("IR Iran",S4966)),"Iran",
ISNUMBER(SEARCH("Congo DR",S4966)),"Democratic Republic of the Congo",
ISNUMBER(SEARCH("DR Congo",S4966)),"Democratic Republic of the Congo",
ISNUMBER(SEARCH("German DR",S4966)),"DR Germany",
ISNUMBER(SEARCH("rn""&gt;United Arab Emirates",S4966)),"United Arab Emirates",
ISNUMBER(SEARCH("rn""&gt;Republic of Ireland",S4966)),"Ireland",
ISNUMBER(SEARCH("rn""&gt;Bosnia and Herzegovina",S4966)),"Bosnia and Herzegovina",
ISNUMBER(SEARCH("rn""&gt;Trinidad and Tobago",S4966)),"Trinidad and Tobago",
ISNUMBER(SEARCH("rn""&gt;Serbia and Montenegro",S4966)),"Serbia and Montenegro",
ISNUMBER(SEARCH(_xlfn.UNICHAR(65533),S4966)),"Côte d'Ivoire",
TRUE,"-"
)</f>
        <v>-</v>
      </c>
      <c r="W4966" s="42" t="str">
        <f t="shared" si="306"/>
        <v>-</v>
      </c>
    </row>
    <row r="4967" spans="19:23">
      <c r="S4967" s="42" t="str">
        <v/>
      </c>
      <c r="T4967" s="42" t="str">
        <f t="shared" si="304"/>
        <v>-</v>
      </c>
      <c r="U4967" s="40" t="str">
        <f t="shared" si="305"/>
        <v>-</v>
      </c>
      <c r="V4967" s="42" t="str" cm="1">
        <f t="array" ref="V4967">_xlfn.IFS(
LEFT(S4967,16)="win on penalties",IF(VALUE(MID(S4967,19,1))&gt;VALUE(MID(S4967,23,1)),DATA_CLEANED!AK481,DATA_CLEANED!AN481),
ISNUMBER(SEARCH("USA",S4967)),"United States",
ISNUMBER(SEARCH("Republic of Ireland",S4967)),"Ireland",
ISNUMBER(SEARCH("Republic of Korea",S4967)),"South Korea",
ISNUMBER(SEARCH("Cape Verde",S4967)),"Cabo Verde",
ISNUMBER(SEARCH("Czechia",S4967)),"Czech Republic",
ISNUMBER(SEARCH("Türkiye",S4967)),"Turkey",
ISNUMBER(SEARCH("Ivory Coast",S4967)),"Côte d'Ivoire",
ISNUMBER(SEARCH("Korea Republic",S4967)),"South Korea",
ISNUMBER(SEARCH("Germany FR",S4967)),"FR Germany",
ISNUMBER(SEARCH("West Germany",S4967)),"FR Germany",
ISNUMBER(SEARCH("Germany DR",S4967)),"DR Germany",
ISNUMBER(SEARCH("Korea DPR",S4967)),"North Korea",
ISNUMBER(SEARCH("China PR",S4967)),"China",
ISNUMBER(SEARCH("IR Iran",S4967)),"Iran",
ISNUMBER(SEARCH("Congo DR",S4967)),"Democratic Republic of the Congo",
ISNUMBER(SEARCH("DR Congo",S4967)),"Democratic Republic of the Congo",
ISNUMBER(SEARCH("German DR",S4967)),"DR Germany",
ISNUMBER(SEARCH("rn""&gt;United Arab Emirates",S4967)),"United Arab Emirates",
ISNUMBER(SEARCH("rn""&gt;Republic of Ireland",S4967)),"Ireland",
ISNUMBER(SEARCH("rn""&gt;Bosnia and Herzegovina",S4967)),"Bosnia and Herzegovina",
ISNUMBER(SEARCH("rn""&gt;Trinidad and Tobago",S4967)),"Trinidad and Tobago",
ISNUMBER(SEARCH("rn""&gt;Serbia and Montenegro",S4967)),"Serbia and Montenegro",
ISNUMBER(SEARCH(_xlfn.UNICHAR(65533),S4967)),"Côte d'Ivoire",
TRUE,"-"
)</f>
        <v>-</v>
      </c>
      <c r="W4967" s="42" t="str">
        <f t="shared" si="306"/>
        <v>-</v>
      </c>
    </row>
    <row r="4968" spans="19:23">
      <c r="S4968" s="42" t="str">
        <v/>
      </c>
      <c r="T4968" s="42" t="str">
        <f t="shared" si="304"/>
        <v>-</v>
      </c>
      <c r="U4968" s="40" t="str">
        <f t="shared" si="305"/>
        <v>-</v>
      </c>
      <c r="V4968" s="42" t="str" cm="1">
        <f t="array" ref="V4968">_xlfn.IFS(
LEFT(S4968,16)="win on penalties",IF(VALUE(MID(S4968,19,1))&gt;VALUE(MID(S4968,23,1)),DATA_CLEANED!AK482,DATA_CLEANED!AN482),
ISNUMBER(SEARCH("USA",S4968)),"United States",
ISNUMBER(SEARCH("Republic of Ireland",S4968)),"Ireland",
ISNUMBER(SEARCH("Republic of Korea",S4968)),"South Korea",
ISNUMBER(SEARCH("Cape Verde",S4968)),"Cabo Verde",
ISNUMBER(SEARCH("Czechia",S4968)),"Czech Republic",
ISNUMBER(SEARCH("Türkiye",S4968)),"Turkey",
ISNUMBER(SEARCH("Ivory Coast",S4968)),"Côte d'Ivoire",
ISNUMBER(SEARCH("Korea Republic",S4968)),"South Korea",
ISNUMBER(SEARCH("Germany FR",S4968)),"FR Germany",
ISNUMBER(SEARCH("West Germany",S4968)),"FR Germany",
ISNUMBER(SEARCH("Germany DR",S4968)),"DR Germany",
ISNUMBER(SEARCH("Korea DPR",S4968)),"North Korea",
ISNUMBER(SEARCH("China PR",S4968)),"China",
ISNUMBER(SEARCH("IR Iran",S4968)),"Iran",
ISNUMBER(SEARCH("Congo DR",S4968)),"Democratic Republic of the Congo",
ISNUMBER(SEARCH("DR Congo",S4968)),"Democratic Republic of the Congo",
ISNUMBER(SEARCH("German DR",S4968)),"DR Germany",
ISNUMBER(SEARCH("rn""&gt;United Arab Emirates",S4968)),"United Arab Emirates",
ISNUMBER(SEARCH("rn""&gt;Republic of Ireland",S4968)),"Ireland",
ISNUMBER(SEARCH("rn""&gt;Bosnia and Herzegovina",S4968)),"Bosnia and Herzegovina",
ISNUMBER(SEARCH("rn""&gt;Trinidad and Tobago",S4968)),"Trinidad and Tobago",
ISNUMBER(SEARCH("rn""&gt;Serbia and Montenegro",S4968)),"Serbia and Montenegro",
ISNUMBER(SEARCH(_xlfn.UNICHAR(65533),S4968)),"Côte d'Ivoire",
TRUE,"-"
)</f>
        <v>-</v>
      </c>
      <c r="W4968" s="42" t="str">
        <f t="shared" si="306"/>
        <v>-</v>
      </c>
    </row>
    <row r="4969" spans="19:23">
      <c r="S4969" s="42" t="str">
        <v/>
      </c>
      <c r="T4969" s="42" t="str">
        <f t="shared" si="304"/>
        <v>-</v>
      </c>
      <c r="U4969" s="40" t="str">
        <f t="shared" si="305"/>
        <v>-</v>
      </c>
      <c r="V4969" s="42" t="str" cm="1">
        <f t="array" ref="V4969">_xlfn.IFS(
LEFT(S4969,16)="win on penalties",IF(VALUE(MID(S4969,19,1))&gt;VALUE(MID(S4969,23,1)),DATA_CLEANED!AK483,DATA_CLEANED!AN483),
ISNUMBER(SEARCH("USA",S4969)),"United States",
ISNUMBER(SEARCH("Republic of Ireland",S4969)),"Ireland",
ISNUMBER(SEARCH("Republic of Korea",S4969)),"South Korea",
ISNUMBER(SEARCH("Cape Verde",S4969)),"Cabo Verde",
ISNUMBER(SEARCH("Czechia",S4969)),"Czech Republic",
ISNUMBER(SEARCH("Türkiye",S4969)),"Turkey",
ISNUMBER(SEARCH("Ivory Coast",S4969)),"Côte d'Ivoire",
ISNUMBER(SEARCH("Korea Republic",S4969)),"South Korea",
ISNUMBER(SEARCH("Germany FR",S4969)),"FR Germany",
ISNUMBER(SEARCH("West Germany",S4969)),"FR Germany",
ISNUMBER(SEARCH("Germany DR",S4969)),"DR Germany",
ISNUMBER(SEARCH("Korea DPR",S4969)),"North Korea",
ISNUMBER(SEARCH("China PR",S4969)),"China",
ISNUMBER(SEARCH("IR Iran",S4969)),"Iran",
ISNUMBER(SEARCH("Congo DR",S4969)),"Democratic Republic of the Congo",
ISNUMBER(SEARCH("DR Congo",S4969)),"Democratic Republic of the Congo",
ISNUMBER(SEARCH("German DR",S4969)),"DR Germany",
ISNUMBER(SEARCH("rn""&gt;United Arab Emirates",S4969)),"United Arab Emirates",
ISNUMBER(SEARCH("rn""&gt;Republic of Ireland",S4969)),"Ireland",
ISNUMBER(SEARCH("rn""&gt;Bosnia and Herzegovina",S4969)),"Bosnia and Herzegovina",
ISNUMBER(SEARCH("rn""&gt;Trinidad and Tobago",S4969)),"Trinidad and Tobago",
ISNUMBER(SEARCH("rn""&gt;Serbia and Montenegro",S4969)),"Serbia and Montenegro",
ISNUMBER(SEARCH(_xlfn.UNICHAR(65533),S4969)),"Côte d'Ivoire",
TRUE,"-"
)</f>
        <v>-</v>
      </c>
      <c r="W4969" s="42" t="str">
        <f t="shared" si="306"/>
        <v>-</v>
      </c>
    </row>
    <row r="4970" spans="19:23">
      <c r="S4970" s="42" t="str">
        <v/>
      </c>
      <c r="T4970" s="42" t="str">
        <f t="shared" si="304"/>
        <v>-</v>
      </c>
      <c r="U4970" s="40" t="str">
        <f t="shared" si="305"/>
        <v>-</v>
      </c>
      <c r="V4970" s="42" t="str" cm="1">
        <f t="array" ref="V4970">_xlfn.IFS(
LEFT(S4970,16)="win on penalties",IF(VALUE(MID(S4970,19,1))&gt;VALUE(MID(S4970,23,1)),DATA_CLEANED!AK484,DATA_CLEANED!AN484),
ISNUMBER(SEARCH("USA",S4970)),"United States",
ISNUMBER(SEARCH("Republic of Ireland",S4970)),"Ireland",
ISNUMBER(SEARCH("Republic of Korea",S4970)),"South Korea",
ISNUMBER(SEARCH("Cape Verde",S4970)),"Cabo Verde",
ISNUMBER(SEARCH("Czechia",S4970)),"Czech Republic",
ISNUMBER(SEARCH("Türkiye",S4970)),"Turkey",
ISNUMBER(SEARCH("Ivory Coast",S4970)),"Côte d'Ivoire",
ISNUMBER(SEARCH("Korea Republic",S4970)),"South Korea",
ISNUMBER(SEARCH("Germany FR",S4970)),"FR Germany",
ISNUMBER(SEARCH("West Germany",S4970)),"FR Germany",
ISNUMBER(SEARCH("Germany DR",S4970)),"DR Germany",
ISNUMBER(SEARCH("Korea DPR",S4970)),"North Korea",
ISNUMBER(SEARCH("China PR",S4970)),"China",
ISNUMBER(SEARCH("IR Iran",S4970)),"Iran",
ISNUMBER(SEARCH("Congo DR",S4970)),"Democratic Republic of the Congo",
ISNUMBER(SEARCH("DR Congo",S4970)),"Democratic Republic of the Congo",
ISNUMBER(SEARCH("German DR",S4970)),"DR Germany",
ISNUMBER(SEARCH("rn""&gt;United Arab Emirates",S4970)),"United Arab Emirates",
ISNUMBER(SEARCH("rn""&gt;Republic of Ireland",S4970)),"Ireland",
ISNUMBER(SEARCH("rn""&gt;Bosnia and Herzegovina",S4970)),"Bosnia and Herzegovina",
ISNUMBER(SEARCH("rn""&gt;Trinidad and Tobago",S4970)),"Trinidad and Tobago",
ISNUMBER(SEARCH("rn""&gt;Serbia and Montenegro",S4970)),"Serbia and Montenegro",
ISNUMBER(SEARCH(_xlfn.UNICHAR(65533),S4970)),"Côte d'Ivoire",
TRUE,"-"
)</f>
        <v>-</v>
      </c>
      <c r="W4970" s="42" t="str">
        <f t="shared" si="306"/>
        <v>-</v>
      </c>
    </row>
    <row r="4971" spans="19:23">
      <c r="S4971" s="42" t="str">
        <v/>
      </c>
      <c r="T4971" s="42" t="str">
        <f t="shared" si="304"/>
        <v>-</v>
      </c>
      <c r="U4971" s="40" t="str">
        <f t="shared" si="305"/>
        <v>-</v>
      </c>
      <c r="V4971" s="42" t="str" cm="1">
        <f t="array" ref="V4971">_xlfn.IFS(
LEFT(S4971,16)="win on penalties",IF(VALUE(MID(S4971,19,1))&gt;VALUE(MID(S4971,23,1)),DATA_CLEANED!AK485,DATA_CLEANED!AN485),
ISNUMBER(SEARCH("USA",S4971)),"United States",
ISNUMBER(SEARCH("Republic of Ireland",S4971)),"Ireland",
ISNUMBER(SEARCH("Republic of Korea",S4971)),"South Korea",
ISNUMBER(SEARCH("Cape Verde",S4971)),"Cabo Verde",
ISNUMBER(SEARCH("Czechia",S4971)),"Czech Republic",
ISNUMBER(SEARCH("Türkiye",S4971)),"Turkey",
ISNUMBER(SEARCH("Ivory Coast",S4971)),"Côte d'Ivoire",
ISNUMBER(SEARCH("Korea Republic",S4971)),"South Korea",
ISNUMBER(SEARCH("Germany FR",S4971)),"FR Germany",
ISNUMBER(SEARCH("West Germany",S4971)),"FR Germany",
ISNUMBER(SEARCH("Germany DR",S4971)),"DR Germany",
ISNUMBER(SEARCH("Korea DPR",S4971)),"North Korea",
ISNUMBER(SEARCH("China PR",S4971)),"China",
ISNUMBER(SEARCH("IR Iran",S4971)),"Iran",
ISNUMBER(SEARCH("Congo DR",S4971)),"Democratic Republic of the Congo",
ISNUMBER(SEARCH("DR Congo",S4971)),"Democratic Republic of the Congo",
ISNUMBER(SEARCH("German DR",S4971)),"DR Germany",
ISNUMBER(SEARCH("rn""&gt;United Arab Emirates",S4971)),"United Arab Emirates",
ISNUMBER(SEARCH("rn""&gt;Republic of Ireland",S4971)),"Ireland",
ISNUMBER(SEARCH("rn""&gt;Bosnia and Herzegovina",S4971)),"Bosnia and Herzegovina",
ISNUMBER(SEARCH("rn""&gt;Trinidad and Tobago",S4971)),"Trinidad and Tobago",
ISNUMBER(SEARCH("rn""&gt;Serbia and Montenegro",S4971)),"Serbia and Montenegro",
ISNUMBER(SEARCH(_xlfn.UNICHAR(65533),S4971)),"Côte d'Ivoire",
TRUE,"-"
)</f>
        <v>-</v>
      </c>
      <c r="W4971" s="42" t="str">
        <f t="shared" si="306"/>
        <v>-</v>
      </c>
    </row>
    <row r="4972" spans="19:23">
      <c r="S4972" s="42" t="str">
        <v/>
      </c>
      <c r="T4972" s="42" t="str">
        <f t="shared" si="304"/>
        <v>-</v>
      </c>
      <c r="U4972" s="40" t="str">
        <f t="shared" si="305"/>
        <v>-</v>
      </c>
      <c r="V4972" s="42" t="str" cm="1">
        <f t="array" ref="V4972">_xlfn.IFS(
LEFT(S4972,16)="win on penalties",IF(VALUE(MID(S4972,19,1))&gt;VALUE(MID(S4972,23,1)),DATA_CLEANED!AK486,DATA_CLEANED!AN486),
ISNUMBER(SEARCH("USA",S4972)),"United States",
ISNUMBER(SEARCH("Republic of Ireland",S4972)),"Ireland",
ISNUMBER(SEARCH("Republic of Korea",S4972)),"South Korea",
ISNUMBER(SEARCH("Cape Verde",S4972)),"Cabo Verde",
ISNUMBER(SEARCH("Czechia",S4972)),"Czech Republic",
ISNUMBER(SEARCH("Türkiye",S4972)),"Turkey",
ISNUMBER(SEARCH("Ivory Coast",S4972)),"Côte d'Ivoire",
ISNUMBER(SEARCH("Korea Republic",S4972)),"South Korea",
ISNUMBER(SEARCH("Germany FR",S4972)),"FR Germany",
ISNUMBER(SEARCH("West Germany",S4972)),"FR Germany",
ISNUMBER(SEARCH("Germany DR",S4972)),"DR Germany",
ISNUMBER(SEARCH("Korea DPR",S4972)),"North Korea",
ISNUMBER(SEARCH("China PR",S4972)),"China",
ISNUMBER(SEARCH("IR Iran",S4972)),"Iran",
ISNUMBER(SEARCH("Congo DR",S4972)),"Democratic Republic of the Congo",
ISNUMBER(SEARCH("DR Congo",S4972)),"Democratic Republic of the Congo",
ISNUMBER(SEARCH("German DR",S4972)),"DR Germany",
ISNUMBER(SEARCH("rn""&gt;United Arab Emirates",S4972)),"United Arab Emirates",
ISNUMBER(SEARCH("rn""&gt;Republic of Ireland",S4972)),"Ireland",
ISNUMBER(SEARCH("rn""&gt;Bosnia and Herzegovina",S4972)),"Bosnia and Herzegovina",
ISNUMBER(SEARCH("rn""&gt;Trinidad and Tobago",S4972)),"Trinidad and Tobago",
ISNUMBER(SEARCH("rn""&gt;Serbia and Montenegro",S4972)),"Serbia and Montenegro",
ISNUMBER(SEARCH(_xlfn.UNICHAR(65533),S4972)),"Côte d'Ivoire",
TRUE,"-"
)</f>
        <v>-</v>
      </c>
      <c r="W4972" s="42" t="str">
        <f t="shared" si="306"/>
        <v>-</v>
      </c>
    </row>
    <row r="4973" spans="19:23">
      <c r="S4973" s="42" t="str">
        <v/>
      </c>
      <c r="T4973" s="42" t="str">
        <f t="shared" si="304"/>
        <v>-</v>
      </c>
      <c r="U4973" s="40" t="str">
        <f t="shared" si="305"/>
        <v>-</v>
      </c>
      <c r="V4973" s="42" t="str" cm="1">
        <f t="array" ref="V4973">_xlfn.IFS(
LEFT(S4973,16)="win on penalties",IF(VALUE(MID(S4973,19,1))&gt;VALUE(MID(S4973,23,1)),DATA_CLEANED!AK487,DATA_CLEANED!AN487),
ISNUMBER(SEARCH("USA",S4973)),"United States",
ISNUMBER(SEARCH("Republic of Ireland",S4973)),"Ireland",
ISNUMBER(SEARCH("Republic of Korea",S4973)),"South Korea",
ISNUMBER(SEARCH("Cape Verde",S4973)),"Cabo Verde",
ISNUMBER(SEARCH("Czechia",S4973)),"Czech Republic",
ISNUMBER(SEARCH("Türkiye",S4973)),"Turkey",
ISNUMBER(SEARCH("Ivory Coast",S4973)),"Côte d'Ivoire",
ISNUMBER(SEARCH("Korea Republic",S4973)),"South Korea",
ISNUMBER(SEARCH("Germany FR",S4973)),"FR Germany",
ISNUMBER(SEARCH("West Germany",S4973)),"FR Germany",
ISNUMBER(SEARCH("Germany DR",S4973)),"DR Germany",
ISNUMBER(SEARCH("Korea DPR",S4973)),"North Korea",
ISNUMBER(SEARCH("China PR",S4973)),"China",
ISNUMBER(SEARCH("IR Iran",S4973)),"Iran",
ISNUMBER(SEARCH("Congo DR",S4973)),"Democratic Republic of the Congo",
ISNUMBER(SEARCH("DR Congo",S4973)),"Democratic Republic of the Congo",
ISNUMBER(SEARCH("German DR",S4973)),"DR Germany",
ISNUMBER(SEARCH("rn""&gt;United Arab Emirates",S4973)),"United Arab Emirates",
ISNUMBER(SEARCH("rn""&gt;Republic of Ireland",S4973)),"Ireland",
ISNUMBER(SEARCH("rn""&gt;Bosnia and Herzegovina",S4973)),"Bosnia and Herzegovina",
ISNUMBER(SEARCH("rn""&gt;Trinidad and Tobago",S4973)),"Trinidad and Tobago",
ISNUMBER(SEARCH("rn""&gt;Serbia and Montenegro",S4973)),"Serbia and Montenegro",
ISNUMBER(SEARCH(_xlfn.UNICHAR(65533),S4973)),"Côte d'Ivoire",
TRUE,"-"
)</f>
        <v>-</v>
      </c>
      <c r="W4973" s="42" t="str">
        <f t="shared" si="306"/>
        <v>-</v>
      </c>
    </row>
    <row r="4974" spans="19:23">
      <c r="S4974" s="42" t="str">
        <v/>
      </c>
      <c r="T4974" s="42" t="str">
        <f t="shared" si="304"/>
        <v>-</v>
      </c>
      <c r="U4974" s="40" t="str">
        <f t="shared" si="305"/>
        <v>-</v>
      </c>
      <c r="V4974" s="42" t="str" cm="1">
        <f t="array" ref="V4974">_xlfn.IFS(
LEFT(S4974,16)="win on penalties",IF(VALUE(MID(S4974,19,1))&gt;VALUE(MID(S4974,23,1)),DATA_CLEANED!AK488,DATA_CLEANED!AN488),
ISNUMBER(SEARCH("USA",S4974)),"United States",
ISNUMBER(SEARCH("Republic of Ireland",S4974)),"Ireland",
ISNUMBER(SEARCH("Republic of Korea",S4974)),"South Korea",
ISNUMBER(SEARCH("Cape Verde",S4974)),"Cabo Verde",
ISNUMBER(SEARCH("Czechia",S4974)),"Czech Republic",
ISNUMBER(SEARCH("Türkiye",S4974)),"Turkey",
ISNUMBER(SEARCH("Ivory Coast",S4974)),"Côte d'Ivoire",
ISNUMBER(SEARCH("Korea Republic",S4974)),"South Korea",
ISNUMBER(SEARCH("Germany FR",S4974)),"FR Germany",
ISNUMBER(SEARCH("West Germany",S4974)),"FR Germany",
ISNUMBER(SEARCH("Germany DR",S4974)),"DR Germany",
ISNUMBER(SEARCH("Korea DPR",S4974)),"North Korea",
ISNUMBER(SEARCH("China PR",S4974)),"China",
ISNUMBER(SEARCH("IR Iran",S4974)),"Iran",
ISNUMBER(SEARCH("Congo DR",S4974)),"Democratic Republic of the Congo",
ISNUMBER(SEARCH("DR Congo",S4974)),"Democratic Republic of the Congo",
ISNUMBER(SEARCH("German DR",S4974)),"DR Germany",
ISNUMBER(SEARCH("rn""&gt;United Arab Emirates",S4974)),"United Arab Emirates",
ISNUMBER(SEARCH("rn""&gt;Republic of Ireland",S4974)),"Ireland",
ISNUMBER(SEARCH("rn""&gt;Bosnia and Herzegovina",S4974)),"Bosnia and Herzegovina",
ISNUMBER(SEARCH("rn""&gt;Trinidad and Tobago",S4974)),"Trinidad and Tobago",
ISNUMBER(SEARCH("rn""&gt;Serbia and Montenegro",S4974)),"Serbia and Montenegro",
ISNUMBER(SEARCH(_xlfn.UNICHAR(65533),S4974)),"Côte d'Ivoire",
TRUE,"-"
)</f>
        <v>-</v>
      </c>
      <c r="W4974" s="42" t="str">
        <f t="shared" si="306"/>
        <v>-</v>
      </c>
    </row>
    <row r="4975" spans="19:23">
      <c r="S4975" s="42" t="str">
        <v/>
      </c>
      <c r="T4975" s="42" t="str">
        <f t="shared" si="304"/>
        <v>-</v>
      </c>
      <c r="U4975" s="40" t="str">
        <f t="shared" si="305"/>
        <v>-</v>
      </c>
      <c r="V4975" s="42" t="str" cm="1">
        <f t="array" ref="V4975">_xlfn.IFS(
LEFT(S4975,16)="win on penalties",IF(VALUE(MID(S4975,19,1))&gt;VALUE(MID(S4975,23,1)),DATA_CLEANED!AK489,DATA_CLEANED!AN489),
ISNUMBER(SEARCH("USA",S4975)),"United States",
ISNUMBER(SEARCH("Republic of Ireland",S4975)),"Ireland",
ISNUMBER(SEARCH("Republic of Korea",S4975)),"South Korea",
ISNUMBER(SEARCH("Cape Verde",S4975)),"Cabo Verde",
ISNUMBER(SEARCH("Czechia",S4975)),"Czech Republic",
ISNUMBER(SEARCH("Türkiye",S4975)),"Turkey",
ISNUMBER(SEARCH("Ivory Coast",S4975)),"Côte d'Ivoire",
ISNUMBER(SEARCH("Korea Republic",S4975)),"South Korea",
ISNUMBER(SEARCH("Germany FR",S4975)),"FR Germany",
ISNUMBER(SEARCH("West Germany",S4975)),"FR Germany",
ISNUMBER(SEARCH("Germany DR",S4975)),"DR Germany",
ISNUMBER(SEARCH("Korea DPR",S4975)),"North Korea",
ISNUMBER(SEARCH("China PR",S4975)),"China",
ISNUMBER(SEARCH("IR Iran",S4975)),"Iran",
ISNUMBER(SEARCH("Congo DR",S4975)),"Democratic Republic of the Congo",
ISNUMBER(SEARCH("DR Congo",S4975)),"Democratic Republic of the Congo",
ISNUMBER(SEARCH("German DR",S4975)),"DR Germany",
ISNUMBER(SEARCH("rn""&gt;United Arab Emirates",S4975)),"United Arab Emirates",
ISNUMBER(SEARCH("rn""&gt;Republic of Ireland",S4975)),"Ireland",
ISNUMBER(SEARCH("rn""&gt;Bosnia and Herzegovina",S4975)),"Bosnia and Herzegovina",
ISNUMBER(SEARCH("rn""&gt;Trinidad and Tobago",S4975)),"Trinidad and Tobago",
ISNUMBER(SEARCH("rn""&gt;Serbia and Montenegro",S4975)),"Serbia and Montenegro",
ISNUMBER(SEARCH(_xlfn.UNICHAR(65533),S4975)),"Côte d'Ivoire",
TRUE,"-"
)</f>
        <v>-</v>
      </c>
      <c r="W4975" s="42" t="str">
        <f t="shared" si="306"/>
        <v>-</v>
      </c>
    </row>
    <row r="4976" spans="19:23">
      <c r="S4976" s="42" t="str">
        <v/>
      </c>
      <c r="T4976" s="42" t="str">
        <f t="shared" si="304"/>
        <v>-</v>
      </c>
      <c r="U4976" s="40" t="str">
        <f t="shared" si="305"/>
        <v>-</v>
      </c>
      <c r="V4976" s="42" t="str" cm="1">
        <f t="array" ref="V4976">_xlfn.IFS(
LEFT(S4976,16)="win on penalties",IF(VALUE(MID(S4976,19,1))&gt;VALUE(MID(S4976,23,1)),DATA_CLEANED!AK490,DATA_CLEANED!AN490),
ISNUMBER(SEARCH("USA",S4976)),"United States",
ISNUMBER(SEARCH("Republic of Ireland",S4976)),"Ireland",
ISNUMBER(SEARCH("Republic of Korea",S4976)),"South Korea",
ISNUMBER(SEARCH("Cape Verde",S4976)),"Cabo Verde",
ISNUMBER(SEARCH("Czechia",S4976)),"Czech Republic",
ISNUMBER(SEARCH("Türkiye",S4976)),"Turkey",
ISNUMBER(SEARCH("Ivory Coast",S4976)),"Côte d'Ivoire",
ISNUMBER(SEARCH("Korea Republic",S4976)),"South Korea",
ISNUMBER(SEARCH("Germany FR",S4976)),"FR Germany",
ISNUMBER(SEARCH("West Germany",S4976)),"FR Germany",
ISNUMBER(SEARCH("Germany DR",S4976)),"DR Germany",
ISNUMBER(SEARCH("Korea DPR",S4976)),"North Korea",
ISNUMBER(SEARCH("China PR",S4976)),"China",
ISNUMBER(SEARCH("IR Iran",S4976)),"Iran",
ISNUMBER(SEARCH("Congo DR",S4976)),"Democratic Republic of the Congo",
ISNUMBER(SEARCH("DR Congo",S4976)),"Democratic Republic of the Congo",
ISNUMBER(SEARCH("German DR",S4976)),"DR Germany",
ISNUMBER(SEARCH("rn""&gt;United Arab Emirates",S4976)),"United Arab Emirates",
ISNUMBER(SEARCH("rn""&gt;Republic of Ireland",S4976)),"Ireland",
ISNUMBER(SEARCH("rn""&gt;Bosnia and Herzegovina",S4976)),"Bosnia and Herzegovina",
ISNUMBER(SEARCH("rn""&gt;Trinidad and Tobago",S4976)),"Trinidad and Tobago",
ISNUMBER(SEARCH("rn""&gt;Serbia and Montenegro",S4976)),"Serbia and Montenegro",
ISNUMBER(SEARCH(_xlfn.UNICHAR(65533),S4976)),"Côte d'Ivoire",
TRUE,"-"
)</f>
        <v>-</v>
      </c>
      <c r="W4976" s="42" t="str">
        <f t="shared" si="306"/>
        <v>-</v>
      </c>
    </row>
    <row r="4977" spans="19:23">
      <c r="S4977" s="42" t="str">
        <v/>
      </c>
      <c r="T4977" s="42" t="str">
        <f t="shared" si="304"/>
        <v>-</v>
      </c>
      <c r="U4977" s="40" t="str">
        <f t="shared" si="305"/>
        <v>-</v>
      </c>
      <c r="V4977" s="42" t="str" cm="1">
        <f t="array" ref="V4977">_xlfn.IFS(
LEFT(S4977,16)="win on penalties",IF(VALUE(MID(S4977,19,1))&gt;VALUE(MID(S4977,23,1)),DATA_CLEANED!AK491,DATA_CLEANED!AN491),
ISNUMBER(SEARCH("USA",S4977)),"United States",
ISNUMBER(SEARCH("Republic of Ireland",S4977)),"Ireland",
ISNUMBER(SEARCH("Republic of Korea",S4977)),"South Korea",
ISNUMBER(SEARCH("Cape Verde",S4977)),"Cabo Verde",
ISNUMBER(SEARCH("Czechia",S4977)),"Czech Republic",
ISNUMBER(SEARCH("Türkiye",S4977)),"Turkey",
ISNUMBER(SEARCH("Ivory Coast",S4977)),"Côte d'Ivoire",
ISNUMBER(SEARCH("Korea Republic",S4977)),"South Korea",
ISNUMBER(SEARCH("Germany FR",S4977)),"FR Germany",
ISNUMBER(SEARCH("West Germany",S4977)),"FR Germany",
ISNUMBER(SEARCH("Germany DR",S4977)),"DR Germany",
ISNUMBER(SEARCH("Korea DPR",S4977)),"North Korea",
ISNUMBER(SEARCH("China PR",S4977)),"China",
ISNUMBER(SEARCH("IR Iran",S4977)),"Iran",
ISNUMBER(SEARCH("Congo DR",S4977)),"Democratic Republic of the Congo",
ISNUMBER(SEARCH("DR Congo",S4977)),"Democratic Republic of the Congo",
ISNUMBER(SEARCH("German DR",S4977)),"DR Germany",
ISNUMBER(SEARCH("rn""&gt;United Arab Emirates",S4977)),"United Arab Emirates",
ISNUMBER(SEARCH("rn""&gt;Republic of Ireland",S4977)),"Ireland",
ISNUMBER(SEARCH("rn""&gt;Bosnia and Herzegovina",S4977)),"Bosnia and Herzegovina",
ISNUMBER(SEARCH("rn""&gt;Trinidad and Tobago",S4977)),"Trinidad and Tobago",
ISNUMBER(SEARCH("rn""&gt;Serbia and Montenegro",S4977)),"Serbia and Montenegro",
ISNUMBER(SEARCH(_xlfn.UNICHAR(65533),S4977)),"Côte d'Ivoire",
TRUE,"-"
)</f>
        <v>-</v>
      </c>
      <c r="W4977" s="42" t="str">
        <f t="shared" si="306"/>
        <v>-</v>
      </c>
    </row>
    <row r="4978" spans="19:23">
      <c r="S4978" s="42" t="str">
        <v/>
      </c>
      <c r="T4978" s="42" t="str">
        <f t="shared" si="304"/>
        <v>-</v>
      </c>
      <c r="U4978" s="40" t="str">
        <f t="shared" si="305"/>
        <v>-</v>
      </c>
      <c r="V4978" s="42" t="str" cm="1">
        <f t="array" ref="V4978">_xlfn.IFS(
LEFT(S4978,16)="win on penalties",IF(VALUE(MID(S4978,19,1))&gt;VALUE(MID(S4978,23,1)),DATA_CLEANED!AK492,DATA_CLEANED!AN492),
ISNUMBER(SEARCH("USA",S4978)),"United States",
ISNUMBER(SEARCH("Republic of Ireland",S4978)),"Ireland",
ISNUMBER(SEARCH("Republic of Korea",S4978)),"South Korea",
ISNUMBER(SEARCH("Cape Verde",S4978)),"Cabo Verde",
ISNUMBER(SEARCH("Czechia",S4978)),"Czech Republic",
ISNUMBER(SEARCH("Türkiye",S4978)),"Turkey",
ISNUMBER(SEARCH("Ivory Coast",S4978)),"Côte d'Ivoire",
ISNUMBER(SEARCH("Korea Republic",S4978)),"South Korea",
ISNUMBER(SEARCH("Germany FR",S4978)),"FR Germany",
ISNUMBER(SEARCH("West Germany",S4978)),"FR Germany",
ISNUMBER(SEARCH("Germany DR",S4978)),"DR Germany",
ISNUMBER(SEARCH("Korea DPR",S4978)),"North Korea",
ISNUMBER(SEARCH("China PR",S4978)),"China",
ISNUMBER(SEARCH("IR Iran",S4978)),"Iran",
ISNUMBER(SEARCH("Congo DR",S4978)),"Democratic Republic of the Congo",
ISNUMBER(SEARCH("DR Congo",S4978)),"Democratic Republic of the Congo",
ISNUMBER(SEARCH("German DR",S4978)),"DR Germany",
ISNUMBER(SEARCH("rn""&gt;United Arab Emirates",S4978)),"United Arab Emirates",
ISNUMBER(SEARCH("rn""&gt;Republic of Ireland",S4978)),"Ireland",
ISNUMBER(SEARCH("rn""&gt;Bosnia and Herzegovina",S4978)),"Bosnia and Herzegovina",
ISNUMBER(SEARCH("rn""&gt;Trinidad and Tobago",S4978)),"Trinidad and Tobago",
ISNUMBER(SEARCH("rn""&gt;Serbia and Montenegro",S4978)),"Serbia and Montenegro",
ISNUMBER(SEARCH(_xlfn.UNICHAR(65533),S4978)),"Côte d'Ivoire",
TRUE,"-"
)</f>
        <v>-</v>
      </c>
      <c r="W4978" s="42" t="str">
        <f t="shared" si="306"/>
        <v>-</v>
      </c>
    </row>
    <row r="4979" spans="19:23">
      <c r="S4979" s="42" t="str">
        <v/>
      </c>
      <c r="T4979" s="42" t="str">
        <f t="shared" si="304"/>
        <v>-</v>
      </c>
      <c r="U4979" s="40" t="str">
        <f t="shared" si="305"/>
        <v>-</v>
      </c>
      <c r="V4979" s="42" t="str" cm="1">
        <f t="array" ref="V4979">_xlfn.IFS(
LEFT(S4979,16)="win on penalties",IF(VALUE(MID(S4979,19,1))&gt;VALUE(MID(S4979,23,1)),DATA_CLEANED!AK493,DATA_CLEANED!AN493),
ISNUMBER(SEARCH("USA",S4979)),"United States",
ISNUMBER(SEARCH("Republic of Ireland",S4979)),"Ireland",
ISNUMBER(SEARCH("Republic of Korea",S4979)),"South Korea",
ISNUMBER(SEARCH("Cape Verde",S4979)),"Cabo Verde",
ISNUMBER(SEARCH("Czechia",S4979)),"Czech Republic",
ISNUMBER(SEARCH("Türkiye",S4979)),"Turkey",
ISNUMBER(SEARCH("Ivory Coast",S4979)),"Côte d'Ivoire",
ISNUMBER(SEARCH("Korea Republic",S4979)),"South Korea",
ISNUMBER(SEARCH("Germany FR",S4979)),"FR Germany",
ISNUMBER(SEARCH("West Germany",S4979)),"FR Germany",
ISNUMBER(SEARCH("Germany DR",S4979)),"DR Germany",
ISNUMBER(SEARCH("Korea DPR",S4979)),"North Korea",
ISNUMBER(SEARCH("China PR",S4979)),"China",
ISNUMBER(SEARCH("IR Iran",S4979)),"Iran",
ISNUMBER(SEARCH("Congo DR",S4979)),"Democratic Republic of the Congo",
ISNUMBER(SEARCH("DR Congo",S4979)),"Democratic Republic of the Congo",
ISNUMBER(SEARCH("German DR",S4979)),"DR Germany",
ISNUMBER(SEARCH("rn""&gt;United Arab Emirates",S4979)),"United Arab Emirates",
ISNUMBER(SEARCH("rn""&gt;Republic of Ireland",S4979)),"Ireland",
ISNUMBER(SEARCH("rn""&gt;Bosnia and Herzegovina",S4979)),"Bosnia and Herzegovina",
ISNUMBER(SEARCH("rn""&gt;Trinidad and Tobago",S4979)),"Trinidad and Tobago",
ISNUMBER(SEARCH("rn""&gt;Serbia and Montenegro",S4979)),"Serbia and Montenegro",
ISNUMBER(SEARCH(_xlfn.UNICHAR(65533),S4979)),"Côte d'Ivoire",
TRUE,"-"
)</f>
        <v>-</v>
      </c>
      <c r="W4979" s="42" t="str">
        <f t="shared" si="306"/>
        <v>-</v>
      </c>
    </row>
    <row r="4980" spans="19:23">
      <c r="S4980" s="42" t="str">
        <v/>
      </c>
      <c r="T4980" s="42" t="str">
        <f t="shared" si="304"/>
        <v>-</v>
      </c>
      <c r="U4980" s="40" t="str">
        <f t="shared" si="305"/>
        <v>-</v>
      </c>
      <c r="V4980" s="42" t="str" cm="1">
        <f t="array" ref="V4980">_xlfn.IFS(
LEFT(S4980,16)="win on penalties",IF(VALUE(MID(S4980,19,1))&gt;VALUE(MID(S4980,23,1)),DATA_CLEANED!AK494,DATA_CLEANED!AN494),
ISNUMBER(SEARCH("USA",S4980)),"United States",
ISNUMBER(SEARCH("Republic of Ireland",S4980)),"Ireland",
ISNUMBER(SEARCH("Republic of Korea",S4980)),"South Korea",
ISNUMBER(SEARCH("Cape Verde",S4980)),"Cabo Verde",
ISNUMBER(SEARCH("Czechia",S4980)),"Czech Republic",
ISNUMBER(SEARCH("Türkiye",S4980)),"Turkey",
ISNUMBER(SEARCH("Ivory Coast",S4980)),"Côte d'Ivoire",
ISNUMBER(SEARCH("Korea Republic",S4980)),"South Korea",
ISNUMBER(SEARCH("Germany FR",S4980)),"FR Germany",
ISNUMBER(SEARCH("West Germany",S4980)),"FR Germany",
ISNUMBER(SEARCH("Germany DR",S4980)),"DR Germany",
ISNUMBER(SEARCH("Korea DPR",S4980)),"North Korea",
ISNUMBER(SEARCH("China PR",S4980)),"China",
ISNUMBER(SEARCH("IR Iran",S4980)),"Iran",
ISNUMBER(SEARCH("Congo DR",S4980)),"Democratic Republic of the Congo",
ISNUMBER(SEARCH("DR Congo",S4980)),"Democratic Republic of the Congo",
ISNUMBER(SEARCH("German DR",S4980)),"DR Germany",
ISNUMBER(SEARCH("rn""&gt;United Arab Emirates",S4980)),"United Arab Emirates",
ISNUMBER(SEARCH("rn""&gt;Republic of Ireland",S4980)),"Ireland",
ISNUMBER(SEARCH("rn""&gt;Bosnia and Herzegovina",S4980)),"Bosnia and Herzegovina",
ISNUMBER(SEARCH("rn""&gt;Trinidad and Tobago",S4980)),"Trinidad and Tobago",
ISNUMBER(SEARCH("rn""&gt;Serbia and Montenegro",S4980)),"Serbia and Montenegro",
ISNUMBER(SEARCH(_xlfn.UNICHAR(65533),S4980)),"Côte d'Ivoire",
TRUE,"-"
)</f>
        <v>-</v>
      </c>
      <c r="W4980" s="42" t="str">
        <f t="shared" si="306"/>
        <v>-</v>
      </c>
    </row>
    <row r="4981" spans="19:23">
      <c r="S4981" s="42" t="str">
        <v/>
      </c>
      <c r="T4981" s="42" t="str">
        <f t="shared" si="304"/>
        <v>-</v>
      </c>
      <c r="U4981" s="40" t="str">
        <f t="shared" si="305"/>
        <v>-</v>
      </c>
      <c r="V4981" s="42" t="str" cm="1">
        <f t="array" ref="V4981">_xlfn.IFS(
LEFT(S4981,16)="win on penalties",IF(VALUE(MID(S4981,19,1))&gt;VALUE(MID(S4981,23,1)),DATA_CLEANED!AK495,DATA_CLEANED!AN495),
ISNUMBER(SEARCH("USA",S4981)),"United States",
ISNUMBER(SEARCH("Republic of Ireland",S4981)),"Ireland",
ISNUMBER(SEARCH("Republic of Korea",S4981)),"South Korea",
ISNUMBER(SEARCH("Cape Verde",S4981)),"Cabo Verde",
ISNUMBER(SEARCH("Czechia",S4981)),"Czech Republic",
ISNUMBER(SEARCH("Türkiye",S4981)),"Turkey",
ISNUMBER(SEARCH("Ivory Coast",S4981)),"Côte d'Ivoire",
ISNUMBER(SEARCH("Korea Republic",S4981)),"South Korea",
ISNUMBER(SEARCH("Germany FR",S4981)),"FR Germany",
ISNUMBER(SEARCH("West Germany",S4981)),"FR Germany",
ISNUMBER(SEARCH("Germany DR",S4981)),"DR Germany",
ISNUMBER(SEARCH("Korea DPR",S4981)),"North Korea",
ISNUMBER(SEARCH("China PR",S4981)),"China",
ISNUMBER(SEARCH("IR Iran",S4981)),"Iran",
ISNUMBER(SEARCH("Congo DR",S4981)),"Democratic Republic of the Congo",
ISNUMBER(SEARCH("DR Congo",S4981)),"Democratic Republic of the Congo",
ISNUMBER(SEARCH("German DR",S4981)),"DR Germany",
ISNUMBER(SEARCH("rn""&gt;United Arab Emirates",S4981)),"United Arab Emirates",
ISNUMBER(SEARCH("rn""&gt;Republic of Ireland",S4981)),"Ireland",
ISNUMBER(SEARCH("rn""&gt;Bosnia and Herzegovina",S4981)),"Bosnia and Herzegovina",
ISNUMBER(SEARCH("rn""&gt;Trinidad and Tobago",S4981)),"Trinidad and Tobago",
ISNUMBER(SEARCH("rn""&gt;Serbia and Montenegro",S4981)),"Serbia and Montenegro",
ISNUMBER(SEARCH(_xlfn.UNICHAR(65533),S4981)),"Côte d'Ivoire",
TRUE,"-"
)</f>
        <v>-</v>
      </c>
      <c r="W4981" s="42" t="str">
        <f t="shared" si="306"/>
        <v>-</v>
      </c>
    </row>
    <row r="4982" spans="19:23">
      <c r="S4982" s="42" t="str">
        <v/>
      </c>
      <c r="T4982" s="42" t="str">
        <f t="shared" si="304"/>
        <v>-</v>
      </c>
      <c r="U4982" s="40" t="str">
        <f t="shared" si="305"/>
        <v>-</v>
      </c>
      <c r="V4982" s="42" t="str" cm="1">
        <f t="array" ref="V4982">_xlfn.IFS(
LEFT(S4982,16)="win on penalties",IF(VALUE(MID(S4982,19,1))&gt;VALUE(MID(S4982,23,1)),DATA_CLEANED!AK496,DATA_CLEANED!AN496),
ISNUMBER(SEARCH("USA",S4982)),"United States",
ISNUMBER(SEARCH("Republic of Ireland",S4982)),"Ireland",
ISNUMBER(SEARCH("Republic of Korea",S4982)),"South Korea",
ISNUMBER(SEARCH("Cape Verde",S4982)),"Cabo Verde",
ISNUMBER(SEARCH("Czechia",S4982)),"Czech Republic",
ISNUMBER(SEARCH("Türkiye",S4982)),"Turkey",
ISNUMBER(SEARCH("Ivory Coast",S4982)),"Côte d'Ivoire",
ISNUMBER(SEARCH("Korea Republic",S4982)),"South Korea",
ISNUMBER(SEARCH("Germany FR",S4982)),"FR Germany",
ISNUMBER(SEARCH("West Germany",S4982)),"FR Germany",
ISNUMBER(SEARCH("Germany DR",S4982)),"DR Germany",
ISNUMBER(SEARCH("Korea DPR",S4982)),"North Korea",
ISNUMBER(SEARCH("China PR",S4982)),"China",
ISNUMBER(SEARCH("IR Iran",S4982)),"Iran",
ISNUMBER(SEARCH("Congo DR",S4982)),"Democratic Republic of the Congo",
ISNUMBER(SEARCH("DR Congo",S4982)),"Democratic Republic of the Congo",
ISNUMBER(SEARCH("German DR",S4982)),"DR Germany",
ISNUMBER(SEARCH("rn""&gt;United Arab Emirates",S4982)),"United Arab Emirates",
ISNUMBER(SEARCH("rn""&gt;Republic of Ireland",S4982)),"Ireland",
ISNUMBER(SEARCH("rn""&gt;Bosnia and Herzegovina",S4982)),"Bosnia and Herzegovina",
ISNUMBER(SEARCH("rn""&gt;Trinidad and Tobago",S4982)),"Trinidad and Tobago",
ISNUMBER(SEARCH("rn""&gt;Serbia and Montenegro",S4982)),"Serbia and Montenegro",
ISNUMBER(SEARCH(_xlfn.UNICHAR(65533),S4982)),"Côte d'Ivoire",
TRUE,"-"
)</f>
        <v>-</v>
      </c>
      <c r="W4982" s="42" t="str">
        <f t="shared" si="306"/>
        <v>-</v>
      </c>
    </row>
    <row r="4983" spans="19:23">
      <c r="S4983" s="42" t="str">
        <v/>
      </c>
      <c r="T4983" s="42" t="str">
        <f t="shared" si="304"/>
        <v>-</v>
      </c>
      <c r="U4983" s="40" t="str">
        <f t="shared" si="305"/>
        <v>-</v>
      </c>
      <c r="V4983" s="42" t="str" cm="1">
        <f t="array" ref="V4983">_xlfn.IFS(
LEFT(S4983,16)="win on penalties",IF(VALUE(MID(S4983,19,1))&gt;VALUE(MID(S4983,23,1)),DATA_CLEANED!AK497,DATA_CLEANED!AN497),
ISNUMBER(SEARCH("USA",S4983)),"United States",
ISNUMBER(SEARCH("Republic of Ireland",S4983)),"Ireland",
ISNUMBER(SEARCH("Republic of Korea",S4983)),"South Korea",
ISNUMBER(SEARCH("Cape Verde",S4983)),"Cabo Verde",
ISNUMBER(SEARCH("Czechia",S4983)),"Czech Republic",
ISNUMBER(SEARCH("Türkiye",S4983)),"Turkey",
ISNUMBER(SEARCH("Ivory Coast",S4983)),"Côte d'Ivoire",
ISNUMBER(SEARCH("Korea Republic",S4983)),"South Korea",
ISNUMBER(SEARCH("Germany FR",S4983)),"FR Germany",
ISNUMBER(SEARCH("West Germany",S4983)),"FR Germany",
ISNUMBER(SEARCH("Germany DR",S4983)),"DR Germany",
ISNUMBER(SEARCH("Korea DPR",S4983)),"North Korea",
ISNUMBER(SEARCH("China PR",S4983)),"China",
ISNUMBER(SEARCH("IR Iran",S4983)),"Iran",
ISNUMBER(SEARCH("Congo DR",S4983)),"Democratic Republic of the Congo",
ISNUMBER(SEARCH("DR Congo",S4983)),"Democratic Republic of the Congo",
ISNUMBER(SEARCH("German DR",S4983)),"DR Germany",
ISNUMBER(SEARCH("rn""&gt;United Arab Emirates",S4983)),"United Arab Emirates",
ISNUMBER(SEARCH("rn""&gt;Republic of Ireland",S4983)),"Ireland",
ISNUMBER(SEARCH("rn""&gt;Bosnia and Herzegovina",S4983)),"Bosnia and Herzegovina",
ISNUMBER(SEARCH("rn""&gt;Trinidad and Tobago",S4983)),"Trinidad and Tobago",
ISNUMBER(SEARCH("rn""&gt;Serbia and Montenegro",S4983)),"Serbia and Montenegro",
ISNUMBER(SEARCH(_xlfn.UNICHAR(65533),S4983)),"Côte d'Ivoire",
TRUE,"-"
)</f>
        <v>-</v>
      </c>
      <c r="W4983" s="42" t="str">
        <f t="shared" si="306"/>
        <v>-</v>
      </c>
    </row>
    <row r="4984" spans="19:23">
      <c r="S4984" s="42" t="str">
        <v/>
      </c>
      <c r="T4984" s="42" t="str">
        <f t="shared" si="304"/>
        <v>-</v>
      </c>
      <c r="U4984" s="40" t="str">
        <f t="shared" si="305"/>
        <v>-</v>
      </c>
      <c r="V4984" s="42" t="str" cm="1">
        <f t="array" ref="V4984">_xlfn.IFS(
LEFT(S4984,16)="win on penalties",IF(VALUE(MID(S4984,19,1))&gt;VALUE(MID(S4984,23,1)),DATA_CLEANED!AK498,DATA_CLEANED!AN498),
ISNUMBER(SEARCH("USA",S4984)),"United States",
ISNUMBER(SEARCH("Republic of Ireland",S4984)),"Ireland",
ISNUMBER(SEARCH("Republic of Korea",S4984)),"South Korea",
ISNUMBER(SEARCH("Cape Verde",S4984)),"Cabo Verde",
ISNUMBER(SEARCH("Czechia",S4984)),"Czech Republic",
ISNUMBER(SEARCH("Türkiye",S4984)),"Turkey",
ISNUMBER(SEARCH("Ivory Coast",S4984)),"Côte d'Ivoire",
ISNUMBER(SEARCH("Korea Republic",S4984)),"South Korea",
ISNUMBER(SEARCH("Germany FR",S4984)),"FR Germany",
ISNUMBER(SEARCH("West Germany",S4984)),"FR Germany",
ISNUMBER(SEARCH("Germany DR",S4984)),"DR Germany",
ISNUMBER(SEARCH("Korea DPR",S4984)),"North Korea",
ISNUMBER(SEARCH("China PR",S4984)),"China",
ISNUMBER(SEARCH("IR Iran",S4984)),"Iran",
ISNUMBER(SEARCH("Congo DR",S4984)),"Democratic Republic of the Congo",
ISNUMBER(SEARCH("DR Congo",S4984)),"Democratic Republic of the Congo",
ISNUMBER(SEARCH("German DR",S4984)),"DR Germany",
ISNUMBER(SEARCH("rn""&gt;United Arab Emirates",S4984)),"United Arab Emirates",
ISNUMBER(SEARCH("rn""&gt;Republic of Ireland",S4984)),"Ireland",
ISNUMBER(SEARCH("rn""&gt;Bosnia and Herzegovina",S4984)),"Bosnia and Herzegovina",
ISNUMBER(SEARCH("rn""&gt;Trinidad and Tobago",S4984)),"Trinidad and Tobago",
ISNUMBER(SEARCH("rn""&gt;Serbia and Montenegro",S4984)),"Serbia and Montenegro",
ISNUMBER(SEARCH(_xlfn.UNICHAR(65533),S4984)),"Côte d'Ivoire",
TRUE,"-"
)</f>
        <v>-</v>
      </c>
      <c r="W4984" s="42" t="str">
        <f t="shared" si="306"/>
        <v>-</v>
      </c>
    </row>
    <row r="4985" spans="19:23">
      <c r="S4985" s="42" t="str">
        <v/>
      </c>
      <c r="T4985" s="42" t="str">
        <f t="shared" si="304"/>
        <v>-</v>
      </c>
      <c r="U4985" s="40" t="str">
        <f t="shared" si="305"/>
        <v>-</v>
      </c>
      <c r="V4985" s="42" t="str" cm="1">
        <f t="array" ref="V4985">_xlfn.IFS(
LEFT(S4985,16)="win on penalties",IF(VALUE(MID(S4985,19,1))&gt;VALUE(MID(S4985,23,1)),DATA_CLEANED!AK499,DATA_CLEANED!AN499),
ISNUMBER(SEARCH("USA",S4985)),"United States",
ISNUMBER(SEARCH("Republic of Ireland",S4985)),"Ireland",
ISNUMBER(SEARCH("Republic of Korea",S4985)),"South Korea",
ISNUMBER(SEARCH("Cape Verde",S4985)),"Cabo Verde",
ISNUMBER(SEARCH("Czechia",S4985)),"Czech Republic",
ISNUMBER(SEARCH("Türkiye",S4985)),"Turkey",
ISNUMBER(SEARCH("Ivory Coast",S4985)),"Côte d'Ivoire",
ISNUMBER(SEARCH("Korea Republic",S4985)),"South Korea",
ISNUMBER(SEARCH("Germany FR",S4985)),"FR Germany",
ISNUMBER(SEARCH("West Germany",S4985)),"FR Germany",
ISNUMBER(SEARCH("Germany DR",S4985)),"DR Germany",
ISNUMBER(SEARCH("Korea DPR",S4985)),"North Korea",
ISNUMBER(SEARCH("China PR",S4985)),"China",
ISNUMBER(SEARCH("IR Iran",S4985)),"Iran",
ISNUMBER(SEARCH("Congo DR",S4985)),"Democratic Republic of the Congo",
ISNUMBER(SEARCH("DR Congo",S4985)),"Democratic Republic of the Congo",
ISNUMBER(SEARCH("German DR",S4985)),"DR Germany",
ISNUMBER(SEARCH("rn""&gt;United Arab Emirates",S4985)),"United Arab Emirates",
ISNUMBER(SEARCH("rn""&gt;Republic of Ireland",S4985)),"Ireland",
ISNUMBER(SEARCH("rn""&gt;Bosnia and Herzegovina",S4985)),"Bosnia and Herzegovina",
ISNUMBER(SEARCH("rn""&gt;Trinidad and Tobago",S4985)),"Trinidad and Tobago",
ISNUMBER(SEARCH("rn""&gt;Serbia and Montenegro",S4985)),"Serbia and Montenegro",
ISNUMBER(SEARCH(_xlfn.UNICHAR(65533),S4985)),"Côte d'Ivoire",
TRUE,"-"
)</f>
        <v>-</v>
      </c>
      <c r="W4985" s="42" t="str">
        <f t="shared" si="306"/>
        <v>-</v>
      </c>
    </row>
    <row r="4986" spans="19:23">
      <c r="S4986" s="42" t="str">
        <v/>
      </c>
      <c r="T4986" s="42" t="str">
        <f t="shared" si="304"/>
        <v>-</v>
      </c>
      <c r="U4986" s="40" t="str">
        <f t="shared" si="305"/>
        <v>-</v>
      </c>
      <c r="V4986" s="42" t="str" cm="1">
        <f t="array" ref="V4986">_xlfn.IFS(
LEFT(S4986,16)="win on penalties",IF(VALUE(MID(S4986,19,1))&gt;VALUE(MID(S4986,23,1)),DATA_CLEANED!AK500,DATA_CLEANED!AN500),
ISNUMBER(SEARCH("USA",S4986)),"United States",
ISNUMBER(SEARCH("Republic of Ireland",S4986)),"Ireland",
ISNUMBER(SEARCH("Republic of Korea",S4986)),"South Korea",
ISNUMBER(SEARCH("Cape Verde",S4986)),"Cabo Verde",
ISNUMBER(SEARCH("Czechia",S4986)),"Czech Republic",
ISNUMBER(SEARCH("Türkiye",S4986)),"Turkey",
ISNUMBER(SEARCH("Ivory Coast",S4986)),"Côte d'Ivoire",
ISNUMBER(SEARCH("Korea Republic",S4986)),"South Korea",
ISNUMBER(SEARCH("Germany FR",S4986)),"FR Germany",
ISNUMBER(SEARCH("West Germany",S4986)),"FR Germany",
ISNUMBER(SEARCH("Germany DR",S4986)),"DR Germany",
ISNUMBER(SEARCH("Korea DPR",S4986)),"North Korea",
ISNUMBER(SEARCH("China PR",S4986)),"China",
ISNUMBER(SEARCH("IR Iran",S4986)),"Iran",
ISNUMBER(SEARCH("Congo DR",S4986)),"Democratic Republic of the Congo",
ISNUMBER(SEARCH("DR Congo",S4986)),"Democratic Republic of the Congo",
ISNUMBER(SEARCH("German DR",S4986)),"DR Germany",
ISNUMBER(SEARCH("rn""&gt;United Arab Emirates",S4986)),"United Arab Emirates",
ISNUMBER(SEARCH("rn""&gt;Republic of Ireland",S4986)),"Ireland",
ISNUMBER(SEARCH("rn""&gt;Bosnia and Herzegovina",S4986)),"Bosnia and Herzegovina",
ISNUMBER(SEARCH("rn""&gt;Trinidad and Tobago",S4986)),"Trinidad and Tobago",
ISNUMBER(SEARCH("rn""&gt;Serbia and Montenegro",S4986)),"Serbia and Montenegro",
ISNUMBER(SEARCH(_xlfn.UNICHAR(65533),S4986)),"Côte d'Ivoire",
TRUE,"-"
)</f>
        <v>-</v>
      </c>
      <c r="W4986" s="42" t="str">
        <f t="shared" si="306"/>
        <v>-</v>
      </c>
    </row>
    <row r="4987" spans="19:23">
      <c r="S4987" s="42" t="str">
        <v/>
      </c>
      <c r="T4987" s="42" t="str">
        <f t="shared" si="304"/>
        <v>-</v>
      </c>
      <c r="U4987" s="40" t="str">
        <f t="shared" si="305"/>
        <v>-</v>
      </c>
      <c r="V4987" s="42" t="str" cm="1">
        <f t="array" ref="V4987">_xlfn.IFS(
LEFT(S4987,16)="win on penalties",IF(VALUE(MID(S4987,19,1))&gt;VALUE(MID(S4987,23,1)),DATA_CLEANED!AK501,DATA_CLEANED!AN501),
ISNUMBER(SEARCH("USA",S4987)),"United States",
ISNUMBER(SEARCH("Republic of Ireland",S4987)),"Ireland",
ISNUMBER(SEARCH("Republic of Korea",S4987)),"South Korea",
ISNUMBER(SEARCH("Cape Verde",S4987)),"Cabo Verde",
ISNUMBER(SEARCH("Czechia",S4987)),"Czech Republic",
ISNUMBER(SEARCH("Türkiye",S4987)),"Turkey",
ISNUMBER(SEARCH("Ivory Coast",S4987)),"Côte d'Ivoire",
ISNUMBER(SEARCH("Korea Republic",S4987)),"South Korea",
ISNUMBER(SEARCH("Germany FR",S4987)),"FR Germany",
ISNUMBER(SEARCH("West Germany",S4987)),"FR Germany",
ISNUMBER(SEARCH("Germany DR",S4987)),"DR Germany",
ISNUMBER(SEARCH("Korea DPR",S4987)),"North Korea",
ISNUMBER(SEARCH("China PR",S4987)),"China",
ISNUMBER(SEARCH("IR Iran",S4987)),"Iran",
ISNUMBER(SEARCH("Congo DR",S4987)),"Democratic Republic of the Congo",
ISNUMBER(SEARCH("DR Congo",S4987)),"Democratic Republic of the Congo",
ISNUMBER(SEARCH("German DR",S4987)),"DR Germany",
ISNUMBER(SEARCH("rn""&gt;United Arab Emirates",S4987)),"United Arab Emirates",
ISNUMBER(SEARCH("rn""&gt;Republic of Ireland",S4987)),"Ireland",
ISNUMBER(SEARCH("rn""&gt;Bosnia and Herzegovina",S4987)),"Bosnia and Herzegovina",
ISNUMBER(SEARCH("rn""&gt;Trinidad and Tobago",S4987)),"Trinidad and Tobago",
ISNUMBER(SEARCH("rn""&gt;Serbia and Montenegro",S4987)),"Serbia and Montenegro",
ISNUMBER(SEARCH(_xlfn.UNICHAR(65533),S4987)),"Côte d'Ivoire",
TRUE,"-"
)</f>
        <v>-</v>
      </c>
      <c r="W4987" s="42" t="str">
        <f t="shared" si="306"/>
        <v>-</v>
      </c>
    </row>
    <row r="4988" spans="19:23">
      <c r="S4988" s="42" t="str">
        <v/>
      </c>
      <c r="T4988" s="42" t="str">
        <f t="shared" si="304"/>
        <v>-</v>
      </c>
      <c r="U4988" s="40" t="str">
        <f t="shared" si="305"/>
        <v>-</v>
      </c>
      <c r="V4988" s="42" t="str" cm="1">
        <f t="array" ref="V4988">_xlfn.IFS(
LEFT(S4988,16)="win on penalties",IF(VALUE(MID(S4988,19,1))&gt;VALUE(MID(S4988,23,1)),DATA_CLEANED!AK502,DATA_CLEANED!AN502),
ISNUMBER(SEARCH("USA",S4988)),"United States",
ISNUMBER(SEARCH("Republic of Ireland",S4988)),"Ireland",
ISNUMBER(SEARCH("Republic of Korea",S4988)),"South Korea",
ISNUMBER(SEARCH("Cape Verde",S4988)),"Cabo Verde",
ISNUMBER(SEARCH("Czechia",S4988)),"Czech Republic",
ISNUMBER(SEARCH("Türkiye",S4988)),"Turkey",
ISNUMBER(SEARCH("Ivory Coast",S4988)),"Côte d'Ivoire",
ISNUMBER(SEARCH("Korea Republic",S4988)),"South Korea",
ISNUMBER(SEARCH("Germany FR",S4988)),"FR Germany",
ISNUMBER(SEARCH("West Germany",S4988)),"FR Germany",
ISNUMBER(SEARCH("Germany DR",S4988)),"DR Germany",
ISNUMBER(SEARCH("Korea DPR",S4988)),"North Korea",
ISNUMBER(SEARCH("China PR",S4988)),"China",
ISNUMBER(SEARCH("IR Iran",S4988)),"Iran",
ISNUMBER(SEARCH("Congo DR",S4988)),"Democratic Republic of the Congo",
ISNUMBER(SEARCH("DR Congo",S4988)),"Democratic Republic of the Congo",
ISNUMBER(SEARCH("German DR",S4988)),"DR Germany",
ISNUMBER(SEARCH("rn""&gt;United Arab Emirates",S4988)),"United Arab Emirates",
ISNUMBER(SEARCH("rn""&gt;Republic of Ireland",S4988)),"Ireland",
ISNUMBER(SEARCH("rn""&gt;Bosnia and Herzegovina",S4988)),"Bosnia and Herzegovina",
ISNUMBER(SEARCH("rn""&gt;Trinidad and Tobago",S4988)),"Trinidad and Tobago",
ISNUMBER(SEARCH("rn""&gt;Serbia and Montenegro",S4988)),"Serbia and Montenegro",
ISNUMBER(SEARCH(_xlfn.UNICHAR(65533),S4988)),"Côte d'Ivoire",
TRUE,"-"
)</f>
        <v>-</v>
      </c>
      <c r="W4988" s="42" t="str">
        <f t="shared" si="306"/>
        <v>-</v>
      </c>
    </row>
    <row r="4989" spans="19:23">
      <c r="S4989" s="42" t="str">
        <v/>
      </c>
      <c r="T4989" s="42" t="str">
        <f t="shared" si="304"/>
        <v>-</v>
      </c>
      <c r="U4989" s="40" t="str">
        <f t="shared" si="305"/>
        <v>-</v>
      </c>
      <c r="V4989" s="42" t="str" cm="1">
        <f t="array" ref="V4989">_xlfn.IFS(
LEFT(S4989,16)="win on penalties",IF(VALUE(MID(S4989,19,1))&gt;VALUE(MID(S4989,23,1)),DATA_CLEANED!AK503,DATA_CLEANED!AN503),
ISNUMBER(SEARCH("USA",S4989)),"United States",
ISNUMBER(SEARCH("Republic of Ireland",S4989)),"Ireland",
ISNUMBER(SEARCH("Republic of Korea",S4989)),"South Korea",
ISNUMBER(SEARCH("Cape Verde",S4989)),"Cabo Verde",
ISNUMBER(SEARCH("Czechia",S4989)),"Czech Republic",
ISNUMBER(SEARCH("Türkiye",S4989)),"Turkey",
ISNUMBER(SEARCH("Ivory Coast",S4989)),"Côte d'Ivoire",
ISNUMBER(SEARCH("Korea Republic",S4989)),"South Korea",
ISNUMBER(SEARCH("Germany FR",S4989)),"FR Germany",
ISNUMBER(SEARCH("West Germany",S4989)),"FR Germany",
ISNUMBER(SEARCH("Germany DR",S4989)),"DR Germany",
ISNUMBER(SEARCH("Korea DPR",S4989)),"North Korea",
ISNUMBER(SEARCH("China PR",S4989)),"China",
ISNUMBER(SEARCH("IR Iran",S4989)),"Iran",
ISNUMBER(SEARCH("Congo DR",S4989)),"Democratic Republic of the Congo",
ISNUMBER(SEARCH("DR Congo",S4989)),"Democratic Republic of the Congo",
ISNUMBER(SEARCH("German DR",S4989)),"DR Germany",
ISNUMBER(SEARCH("rn""&gt;United Arab Emirates",S4989)),"United Arab Emirates",
ISNUMBER(SEARCH("rn""&gt;Republic of Ireland",S4989)),"Ireland",
ISNUMBER(SEARCH("rn""&gt;Bosnia and Herzegovina",S4989)),"Bosnia and Herzegovina",
ISNUMBER(SEARCH("rn""&gt;Trinidad and Tobago",S4989)),"Trinidad and Tobago",
ISNUMBER(SEARCH("rn""&gt;Serbia and Montenegro",S4989)),"Serbia and Montenegro",
ISNUMBER(SEARCH(_xlfn.UNICHAR(65533),S4989)),"Côte d'Ivoire",
TRUE,"-"
)</f>
        <v>-</v>
      </c>
      <c r="W4989" s="42" t="str">
        <f t="shared" si="306"/>
        <v>-</v>
      </c>
    </row>
    <row r="4990" spans="19:23">
      <c r="S4990" s="42" t="str">
        <v/>
      </c>
      <c r="T4990" s="42" t="str">
        <f t="shared" si="304"/>
        <v>-</v>
      </c>
      <c r="U4990" s="40" t="str">
        <f t="shared" si="305"/>
        <v>-</v>
      </c>
      <c r="V4990" s="42" t="str" cm="1">
        <f t="array" ref="V4990">_xlfn.IFS(
LEFT(S4990,16)="win on penalties",IF(VALUE(MID(S4990,19,1))&gt;VALUE(MID(S4990,23,1)),DATA_CLEANED!AK504,DATA_CLEANED!AN504),
ISNUMBER(SEARCH("USA",S4990)),"United States",
ISNUMBER(SEARCH("Republic of Ireland",S4990)),"Ireland",
ISNUMBER(SEARCH("Republic of Korea",S4990)),"South Korea",
ISNUMBER(SEARCH("Cape Verde",S4990)),"Cabo Verde",
ISNUMBER(SEARCH("Czechia",S4990)),"Czech Republic",
ISNUMBER(SEARCH("Türkiye",S4990)),"Turkey",
ISNUMBER(SEARCH("Ivory Coast",S4990)),"Côte d'Ivoire",
ISNUMBER(SEARCH("Korea Republic",S4990)),"South Korea",
ISNUMBER(SEARCH("Germany FR",S4990)),"FR Germany",
ISNUMBER(SEARCH("West Germany",S4990)),"FR Germany",
ISNUMBER(SEARCH("Germany DR",S4990)),"DR Germany",
ISNUMBER(SEARCH("Korea DPR",S4990)),"North Korea",
ISNUMBER(SEARCH("China PR",S4990)),"China",
ISNUMBER(SEARCH("IR Iran",S4990)),"Iran",
ISNUMBER(SEARCH("Congo DR",S4990)),"Democratic Republic of the Congo",
ISNUMBER(SEARCH("DR Congo",S4990)),"Democratic Republic of the Congo",
ISNUMBER(SEARCH("German DR",S4990)),"DR Germany",
ISNUMBER(SEARCH("rn""&gt;United Arab Emirates",S4990)),"United Arab Emirates",
ISNUMBER(SEARCH("rn""&gt;Republic of Ireland",S4990)),"Ireland",
ISNUMBER(SEARCH("rn""&gt;Bosnia and Herzegovina",S4990)),"Bosnia and Herzegovina",
ISNUMBER(SEARCH("rn""&gt;Trinidad and Tobago",S4990)),"Trinidad and Tobago",
ISNUMBER(SEARCH("rn""&gt;Serbia and Montenegro",S4990)),"Serbia and Montenegro",
ISNUMBER(SEARCH(_xlfn.UNICHAR(65533),S4990)),"Côte d'Ivoire",
TRUE,"-"
)</f>
        <v>-</v>
      </c>
      <c r="W4990" s="42" t="str">
        <f t="shared" si="306"/>
        <v>-</v>
      </c>
    </row>
    <row r="4991" spans="19:23">
      <c r="S4991" s="42" t="str">
        <v/>
      </c>
      <c r="T4991" s="42" t="str">
        <f t="shared" si="304"/>
        <v>-</v>
      </c>
      <c r="U4991" s="40" t="str">
        <f t="shared" si="305"/>
        <v>-</v>
      </c>
      <c r="V4991" s="42" t="str" cm="1">
        <f t="array" ref="V4991">_xlfn.IFS(
LEFT(S4991,16)="win on penalties",IF(VALUE(MID(S4991,19,1))&gt;VALUE(MID(S4991,23,1)),DATA_CLEANED!AK505,DATA_CLEANED!AN505),
ISNUMBER(SEARCH("USA",S4991)),"United States",
ISNUMBER(SEARCH("Republic of Ireland",S4991)),"Ireland",
ISNUMBER(SEARCH("Republic of Korea",S4991)),"South Korea",
ISNUMBER(SEARCH("Cape Verde",S4991)),"Cabo Verde",
ISNUMBER(SEARCH("Czechia",S4991)),"Czech Republic",
ISNUMBER(SEARCH("Türkiye",S4991)),"Turkey",
ISNUMBER(SEARCH("Ivory Coast",S4991)),"Côte d'Ivoire",
ISNUMBER(SEARCH("Korea Republic",S4991)),"South Korea",
ISNUMBER(SEARCH("Germany FR",S4991)),"FR Germany",
ISNUMBER(SEARCH("West Germany",S4991)),"FR Germany",
ISNUMBER(SEARCH("Germany DR",S4991)),"DR Germany",
ISNUMBER(SEARCH("Korea DPR",S4991)),"North Korea",
ISNUMBER(SEARCH("China PR",S4991)),"China",
ISNUMBER(SEARCH("IR Iran",S4991)),"Iran",
ISNUMBER(SEARCH("Congo DR",S4991)),"Democratic Republic of the Congo",
ISNUMBER(SEARCH("DR Congo",S4991)),"Democratic Republic of the Congo",
ISNUMBER(SEARCH("German DR",S4991)),"DR Germany",
ISNUMBER(SEARCH("rn""&gt;United Arab Emirates",S4991)),"United Arab Emirates",
ISNUMBER(SEARCH("rn""&gt;Republic of Ireland",S4991)),"Ireland",
ISNUMBER(SEARCH("rn""&gt;Bosnia and Herzegovina",S4991)),"Bosnia and Herzegovina",
ISNUMBER(SEARCH("rn""&gt;Trinidad and Tobago",S4991)),"Trinidad and Tobago",
ISNUMBER(SEARCH("rn""&gt;Serbia and Montenegro",S4991)),"Serbia and Montenegro",
ISNUMBER(SEARCH(_xlfn.UNICHAR(65533),S4991)),"Côte d'Ivoire",
TRUE,"-"
)</f>
        <v>-</v>
      </c>
      <c r="W4991" s="42" t="str">
        <f t="shared" si="306"/>
        <v>-</v>
      </c>
    </row>
    <row r="4992" spans="19:23">
      <c r="S4992" s="42" t="str">
        <v/>
      </c>
      <c r="T4992" s="42" t="str">
        <f t="shared" si="304"/>
        <v>-</v>
      </c>
      <c r="U4992" s="40" t="str">
        <f t="shared" si="305"/>
        <v>-</v>
      </c>
      <c r="V4992" s="42" t="str" cm="1">
        <f t="array" ref="V4992">_xlfn.IFS(
LEFT(S4992,16)="win on penalties",IF(VALUE(MID(S4992,19,1))&gt;VALUE(MID(S4992,23,1)),DATA_CLEANED!AK506,DATA_CLEANED!AN506),
ISNUMBER(SEARCH("USA",S4992)),"United States",
ISNUMBER(SEARCH("Republic of Ireland",S4992)),"Ireland",
ISNUMBER(SEARCH("Republic of Korea",S4992)),"South Korea",
ISNUMBER(SEARCH("Cape Verde",S4992)),"Cabo Verde",
ISNUMBER(SEARCH("Czechia",S4992)),"Czech Republic",
ISNUMBER(SEARCH("Türkiye",S4992)),"Turkey",
ISNUMBER(SEARCH("Ivory Coast",S4992)),"Côte d'Ivoire",
ISNUMBER(SEARCH("Korea Republic",S4992)),"South Korea",
ISNUMBER(SEARCH("Germany FR",S4992)),"FR Germany",
ISNUMBER(SEARCH("West Germany",S4992)),"FR Germany",
ISNUMBER(SEARCH("Germany DR",S4992)),"DR Germany",
ISNUMBER(SEARCH("Korea DPR",S4992)),"North Korea",
ISNUMBER(SEARCH("China PR",S4992)),"China",
ISNUMBER(SEARCH("IR Iran",S4992)),"Iran",
ISNUMBER(SEARCH("Congo DR",S4992)),"Democratic Republic of the Congo",
ISNUMBER(SEARCH("DR Congo",S4992)),"Democratic Republic of the Congo",
ISNUMBER(SEARCH("German DR",S4992)),"DR Germany",
ISNUMBER(SEARCH("rn""&gt;United Arab Emirates",S4992)),"United Arab Emirates",
ISNUMBER(SEARCH("rn""&gt;Republic of Ireland",S4992)),"Ireland",
ISNUMBER(SEARCH("rn""&gt;Bosnia and Herzegovina",S4992)),"Bosnia and Herzegovina",
ISNUMBER(SEARCH("rn""&gt;Trinidad and Tobago",S4992)),"Trinidad and Tobago",
ISNUMBER(SEARCH("rn""&gt;Serbia and Montenegro",S4992)),"Serbia and Montenegro",
ISNUMBER(SEARCH(_xlfn.UNICHAR(65533),S4992)),"Côte d'Ivoire",
TRUE,"-"
)</f>
        <v>-</v>
      </c>
      <c r="W4992" s="42" t="str">
        <f t="shared" si="306"/>
        <v>-</v>
      </c>
    </row>
    <row r="4993" spans="19:23">
      <c r="S4993" s="42" t="str">
        <v/>
      </c>
      <c r="T4993" s="42" t="str">
        <f t="shared" si="304"/>
        <v>-</v>
      </c>
      <c r="U4993" s="40" t="str">
        <f t="shared" si="305"/>
        <v>-</v>
      </c>
      <c r="V4993" s="42" t="str" cm="1">
        <f t="array" ref="V4993">_xlfn.IFS(
LEFT(S4993,16)="win on penalties",IF(VALUE(MID(S4993,19,1))&gt;VALUE(MID(S4993,23,1)),DATA_CLEANED!AK507,DATA_CLEANED!AN507),
ISNUMBER(SEARCH("USA",S4993)),"United States",
ISNUMBER(SEARCH("Republic of Ireland",S4993)),"Ireland",
ISNUMBER(SEARCH("Republic of Korea",S4993)),"South Korea",
ISNUMBER(SEARCH("Cape Verde",S4993)),"Cabo Verde",
ISNUMBER(SEARCH("Czechia",S4993)),"Czech Republic",
ISNUMBER(SEARCH("Türkiye",S4993)),"Turkey",
ISNUMBER(SEARCH("Ivory Coast",S4993)),"Côte d'Ivoire",
ISNUMBER(SEARCH("Korea Republic",S4993)),"South Korea",
ISNUMBER(SEARCH("Germany FR",S4993)),"FR Germany",
ISNUMBER(SEARCH("West Germany",S4993)),"FR Germany",
ISNUMBER(SEARCH("Germany DR",S4993)),"DR Germany",
ISNUMBER(SEARCH("Korea DPR",S4993)),"North Korea",
ISNUMBER(SEARCH("China PR",S4993)),"China",
ISNUMBER(SEARCH("IR Iran",S4993)),"Iran",
ISNUMBER(SEARCH("Congo DR",S4993)),"Democratic Republic of the Congo",
ISNUMBER(SEARCH("DR Congo",S4993)),"Democratic Republic of the Congo",
ISNUMBER(SEARCH("German DR",S4993)),"DR Germany",
ISNUMBER(SEARCH("rn""&gt;United Arab Emirates",S4993)),"United Arab Emirates",
ISNUMBER(SEARCH("rn""&gt;Republic of Ireland",S4993)),"Ireland",
ISNUMBER(SEARCH("rn""&gt;Bosnia and Herzegovina",S4993)),"Bosnia and Herzegovina",
ISNUMBER(SEARCH("rn""&gt;Trinidad and Tobago",S4993)),"Trinidad and Tobago",
ISNUMBER(SEARCH("rn""&gt;Serbia and Montenegro",S4993)),"Serbia and Montenegro",
ISNUMBER(SEARCH(_xlfn.UNICHAR(65533),S4993)),"Côte d'Ivoire",
TRUE,"-"
)</f>
        <v>-</v>
      </c>
      <c r="W4993" s="42" t="str">
        <f t="shared" si="306"/>
        <v>-</v>
      </c>
    </row>
    <row r="4994" spans="19:23">
      <c r="S4994" s="42" t="str">
        <v/>
      </c>
      <c r="T4994" s="42" t="str">
        <f t="shared" si="304"/>
        <v>-</v>
      </c>
      <c r="U4994" s="40" t="str">
        <f t="shared" si="305"/>
        <v>-</v>
      </c>
      <c r="V4994" s="42" t="str" cm="1">
        <f t="array" ref="V4994">_xlfn.IFS(
LEFT(S4994,16)="win on penalties",IF(VALUE(MID(S4994,19,1))&gt;VALUE(MID(S4994,23,1)),DATA_CLEANED!AK508,DATA_CLEANED!AN508),
ISNUMBER(SEARCH("USA",S4994)),"United States",
ISNUMBER(SEARCH("Republic of Ireland",S4994)),"Ireland",
ISNUMBER(SEARCH("Republic of Korea",S4994)),"South Korea",
ISNUMBER(SEARCH("Cape Verde",S4994)),"Cabo Verde",
ISNUMBER(SEARCH("Czechia",S4994)),"Czech Republic",
ISNUMBER(SEARCH("Türkiye",S4994)),"Turkey",
ISNUMBER(SEARCH("Ivory Coast",S4994)),"Côte d'Ivoire",
ISNUMBER(SEARCH("Korea Republic",S4994)),"South Korea",
ISNUMBER(SEARCH("Germany FR",S4994)),"FR Germany",
ISNUMBER(SEARCH("West Germany",S4994)),"FR Germany",
ISNUMBER(SEARCH("Germany DR",S4994)),"DR Germany",
ISNUMBER(SEARCH("Korea DPR",S4994)),"North Korea",
ISNUMBER(SEARCH("China PR",S4994)),"China",
ISNUMBER(SEARCH("IR Iran",S4994)),"Iran",
ISNUMBER(SEARCH("Congo DR",S4994)),"Democratic Republic of the Congo",
ISNUMBER(SEARCH("DR Congo",S4994)),"Democratic Republic of the Congo",
ISNUMBER(SEARCH("German DR",S4994)),"DR Germany",
ISNUMBER(SEARCH("rn""&gt;United Arab Emirates",S4994)),"United Arab Emirates",
ISNUMBER(SEARCH("rn""&gt;Republic of Ireland",S4994)),"Ireland",
ISNUMBER(SEARCH("rn""&gt;Bosnia and Herzegovina",S4994)),"Bosnia and Herzegovina",
ISNUMBER(SEARCH("rn""&gt;Trinidad and Tobago",S4994)),"Trinidad and Tobago",
ISNUMBER(SEARCH("rn""&gt;Serbia and Montenegro",S4994)),"Serbia and Montenegro",
ISNUMBER(SEARCH(_xlfn.UNICHAR(65533),S4994)),"Côte d'Ivoire",
TRUE,"-"
)</f>
        <v>-</v>
      </c>
      <c r="W4994" s="42" t="str">
        <f t="shared" si="306"/>
        <v>-</v>
      </c>
    </row>
    <row r="4995" spans="19:23">
      <c r="S4995" s="42" t="str">
        <v>Italy win after extra time</v>
      </c>
      <c r="T4995" s="42" t="str">
        <f t="shared" si="304"/>
        <v>Italy</v>
      </c>
      <c r="U4995" s="40" t="str">
        <f t="shared" si="305"/>
        <v>AUCUNE</v>
      </c>
      <c r="V4995" s="42" t="str" cm="1">
        <f t="array" ref="V4995">_xlfn.IFS(
LEFT(S4995,16)="win on penalties",IF(VALUE(MID(S4995,19,1))&gt;VALUE(MID(S4995,23,1)),DATA_CLEANED!AK509,DATA_CLEANED!AN509),
ISNUMBER(SEARCH("USA",S4995)),"United States",
ISNUMBER(SEARCH("Republic of Ireland",S4995)),"Ireland",
ISNUMBER(SEARCH("Republic of Korea",S4995)),"South Korea",
ISNUMBER(SEARCH("Cape Verde",S4995)),"Cabo Verde",
ISNUMBER(SEARCH("Czechia",S4995)),"Czech Republic",
ISNUMBER(SEARCH("Türkiye",S4995)),"Turkey",
ISNUMBER(SEARCH("Ivory Coast",S4995)),"Côte d'Ivoire",
ISNUMBER(SEARCH("Korea Republic",S4995)),"South Korea",
ISNUMBER(SEARCH("Germany FR",S4995)),"FR Germany",
ISNUMBER(SEARCH("West Germany",S4995)),"FR Germany",
ISNUMBER(SEARCH("Germany DR",S4995)),"DR Germany",
ISNUMBER(SEARCH("Korea DPR",S4995)),"North Korea",
ISNUMBER(SEARCH("China PR",S4995)),"China",
ISNUMBER(SEARCH("IR Iran",S4995)),"Iran",
ISNUMBER(SEARCH("Congo DR",S4995)),"Democratic Republic of the Congo",
ISNUMBER(SEARCH("DR Congo",S4995)),"Democratic Republic of the Congo",
ISNUMBER(SEARCH("German DR",S4995)),"DR Germany",
ISNUMBER(SEARCH("rn""&gt;United Arab Emirates",S4995)),"United Arab Emirates",
ISNUMBER(SEARCH("rn""&gt;Republic of Ireland",S4995)),"Ireland",
ISNUMBER(SEARCH("rn""&gt;Bosnia and Herzegovina",S4995)),"Bosnia and Herzegovina",
ISNUMBER(SEARCH("rn""&gt;Trinidad and Tobago",S4995)),"Trinidad and Tobago",
ISNUMBER(SEARCH("rn""&gt;Serbia and Montenegro",S4995)),"Serbia and Montenegro",
ISNUMBER(SEARCH(_xlfn.UNICHAR(65533),S4995)),"Côte d'Ivoire",
TRUE,"-"
)</f>
        <v>-</v>
      </c>
      <c r="W4995" s="42" t="str">
        <f t="shared" si="306"/>
        <v>Italy win after extra time</v>
      </c>
    </row>
    <row r="4996" spans="19:23">
      <c r="S4996" s="42" t="str">
        <v>Bulgaria win on penalties (1 - 3)</v>
      </c>
      <c r="T4996" s="42" t="str">
        <f t="shared" si="304"/>
        <v>Bulgaria</v>
      </c>
      <c r="U4996" s="40" t="str">
        <f t="shared" si="305"/>
        <v>AUCUNE</v>
      </c>
      <c r="V4996" s="42" t="str" cm="1">
        <f t="array" ref="V4996">_xlfn.IFS(
LEFT(S4996,16)="win on penalties",IF(VALUE(MID(S4996,19,1))&gt;VALUE(MID(S4996,23,1)),DATA_CLEANED!AK510,DATA_CLEANED!AN510),
ISNUMBER(SEARCH("USA",S4996)),"United States",
ISNUMBER(SEARCH("Republic of Ireland",S4996)),"Ireland",
ISNUMBER(SEARCH("Republic of Korea",S4996)),"South Korea",
ISNUMBER(SEARCH("Cape Verde",S4996)),"Cabo Verde",
ISNUMBER(SEARCH("Czechia",S4996)),"Czech Republic",
ISNUMBER(SEARCH("Türkiye",S4996)),"Turkey",
ISNUMBER(SEARCH("Ivory Coast",S4996)),"Côte d'Ivoire",
ISNUMBER(SEARCH("Korea Republic",S4996)),"South Korea",
ISNUMBER(SEARCH("Germany FR",S4996)),"FR Germany",
ISNUMBER(SEARCH("West Germany",S4996)),"FR Germany",
ISNUMBER(SEARCH("Germany DR",S4996)),"DR Germany",
ISNUMBER(SEARCH("Korea DPR",S4996)),"North Korea",
ISNUMBER(SEARCH("China PR",S4996)),"China",
ISNUMBER(SEARCH("IR Iran",S4996)),"Iran",
ISNUMBER(SEARCH("Congo DR",S4996)),"Democratic Republic of the Congo",
ISNUMBER(SEARCH("DR Congo",S4996)),"Democratic Republic of the Congo",
ISNUMBER(SEARCH("German DR",S4996)),"DR Germany",
ISNUMBER(SEARCH("rn""&gt;United Arab Emirates",S4996)),"United Arab Emirates",
ISNUMBER(SEARCH("rn""&gt;Republic of Ireland",S4996)),"Ireland",
ISNUMBER(SEARCH("rn""&gt;Bosnia and Herzegovina",S4996)),"Bosnia and Herzegovina",
ISNUMBER(SEARCH("rn""&gt;Trinidad and Tobago",S4996)),"Trinidad and Tobago",
ISNUMBER(SEARCH("rn""&gt;Serbia and Montenegro",S4996)),"Serbia and Montenegro",
ISNUMBER(SEARCH(_xlfn.UNICHAR(65533),S4996)),"Côte d'Ivoire",
TRUE,"-"
)</f>
        <v>-</v>
      </c>
      <c r="W4996" s="42" t="str">
        <f t="shared" si="306"/>
        <v>Bulgaria win on penalties (1 - 3)</v>
      </c>
    </row>
    <row r="4997" spans="19:23">
      <c r="S4997" s="42" t="str">
        <v/>
      </c>
      <c r="T4997" s="42" t="str">
        <f t="shared" si="304"/>
        <v>-</v>
      </c>
      <c r="U4997" s="40" t="str">
        <f t="shared" si="305"/>
        <v>-</v>
      </c>
      <c r="V4997" s="42" t="str" cm="1">
        <f t="array" ref="V4997">_xlfn.IFS(
LEFT(S4997,16)="win on penalties",IF(VALUE(MID(S4997,19,1))&gt;VALUE(MID(S4997,23,1)),DATA_CLEANED!AK511,DATA_CLEANED!AN511),
ISNUMBER(SEARCH("USA",S4997)),"United States",
ISNUMBER(SEARCH("Republic of Ireland",S4997)),"Ireland",
ISNUMBER(SEARCH("Republic of Korea",S4997)),"South Korea",
ISNUMBER(SEARCH("Cape Verde",S4997)),"Cabo Verde",
ISNUMBER(SEARCH("Czechia",S4997)),"Czech Republic",
ISNUMBER(SEARCH("Türkiye",S4997)),"Turkey",
ISNUMBER(SEARCH("Ivory Coast",S4997)),"Côte d'Ivoire",
ISNUMBER(SEARCH("Korea Republic",S4997)),"South Korea",
ISNUMBER(SEARCH("Germany FR",S4997)),"FR Germany",
ISNUMBER(SEARCH("West Germany",S4997)),"FR Germany",
ISNUMBER(SEARCH("Germany DR",S4997)),"DR Germany",
ISNUMBER(SEARCH("Korea DPR",S4997)),"North Korea",
ISNUMBER(SEARCH("China PR",S4997)),"China",
ISNUMBER(SEARCH("IR Iran",S4997)),"Iran",
ISNUMBER(SEARCH("Congo DR",S4997)),"Democratic Republic of the Congo",
ISNUMBER(SEARCH("DR Congo",S4997)),"Democratic Republic of the Congo",
ISNUMBER(SEARCH("German DR",S4997)),"DR Germany",
ISNUMBER(SEARCH("rn""&gt;United Arab Emirates",S4997)),"United Arab Emirates",
ISNUMBER(SEARCH("rn""&gt;Republic of Ireland",S4997)),"Ireland",
ISNUMBER(SEARCH("rn""&gt;Bosnia and Herzegovina",S4997)),"Bosnia and Herzegovina",
ISNUMBER(SEARCH("rn""&gt;Trinidad and Tobago",S4997)),"Trinidad and Tobago",
ISNUMBER(SEARCH("rn""&gt;Serbia and Montenegro",S4997)),"Serbia and Montenegro",
ISNUMBER(SEARCH(_xlfn.UNICHAR(65533),S4997)),"Côte d'Ivoire",
TRUE,"-"
)</f>
        <v>-</v>
      </c>
      <c r="W4997" s="42" t="str">
        <f t="shared" si="306"/>
        <v>-</v>
      </c>
    </row>
    <row r="4998" spans="19:23">
      <c r="S4998" s="42" t="str">
        <v/>
      </c>
      <c r="T4998" s="42" t="str">
        <f t="shared" si="304"/>
        <v>-</v>
      </c>
      <c r="U4998" s="40" t="str">
        <f t="shared" si="305"/>
        <v>-</v>
      </c>
      <c r="V4998" s="42" t="str" cm="1">
        <f t="array" ref="V4998">_xlfn.IFS(
LEFT(S4998,16)="win on penalties",IF(VALUE(MID(S4998,19,1))&gt;VALUE(MID(S4998,23,1)),DATA_CLEANED!AK512,DATA_CLEANED!AN512),
ISNUMBER(SEARCH("USA",S4998)),"United States",
ISNUMBER(SEARCH("Republic of Ireland",S4998)),"Ireland",
ISNUMBER(SEARCH("Republic of Korea",S4998)),"South Korea",
ISNUMBER(SEARCH("Cape Verde",S4998)),"Cabo Verde",
ISNUMBER(SEARCH("Czechia",S4998)),"Czech Republic",
ISNUMBER(SEARCH("Türkiye",S4998)),"Turkey",
ISNUMBER(SEARCH("Ivory Coast",S4998)),"Côte d'Ivoire",
ISNUMBER(SEARCH("Korea Republic",S4998)),"South Korea",
ISNUMBER(SEARCH("Germany FR",S4998)),"FR Germany",
ISNUMBER(SEARCH("West Germany",S4998)),"FR Germany",
ISNUMBER(SEARCH("Germany DR",S4998)),"DR Germany",
ISNUMBER(SEARCH("Korea DPR",S4998)),"North Korea",
ISNUMBER(SEARCH("China PR",S4998)),"China",
ISNUMBER(SEARCH("IR Iran",S4998)),"Iran",
ISNUMBER(SEARCH("Congo DR",S4998)),"Democratic Republic of the Congo",
ISNUMBER(SEARCH("DR Congo",S4998)),"Democratic Republic of the Congo",
ISNUMBER(SEARCH("German DR",S4998)),"DR Germany",
ISNUMBER(SEARCH("rn""&gt;United Arab Emirates",S4998)),"United Arab Emirates",
ISNUMBER(SEARCH("rn""&gt;Republic of Ireland",S4998)),"Ireland",
ISNUMBER(SEARCH("rn""&gt;Bosnia and Herzegovina",S4998)),"Bosnia and Herzegovina",
ISNUMBER(SEARCH("rn""&gt;Trinidad and Tobago",S4998)),"Trinidad and Tobago",
ISNUMBER(SEARCH("rn""&gt;Serbia and Montenegro",S4998)),"Serbia and Montenegro",
ISNUMBER(SEARCH(_xlfn.UNICHAR(65533),S4998)),"Côte d'Ivoire",
TRUE,"-"
)</f>
        <v>-</v>
      </c>
      <c r="W4998" s="42" t="str">
        <f t="shared" si="306"/>
        <v>-</v>
      </c>
    </row>
    <row r="4999" spans="19:23">
      <c r="S4999" s="42" t="str">
        <v/>
      </c>
      <c r="T4999" s="42" t="str">
        <f t="shared" si="304"/>
        <v>-</v>
      </c>
      <c r="U4999" s="40" t="str">
        <f t="shared" si="305"/>
        <v>-</v>
      </c>
      <c r="V4999" s="42" t="str" cm="1">
        <f t="array" ref="V4999">_xlfn.IFS(
LEFT(S4999,16)="win on penalties",IF(VALUE(MID(S4999,19,1))&gt;VALUE(MID(S4999,23,1)),DATA_CLEANED!AK513,DATA_CLEANED!AN513),
ISNUMBER(SEARCH("USA",S4999)),"United States",
ISNUMBER(SEARCH("Republic of Ireland",S4999)),"Ireland",
ISNUMBER(SEARCH("Republic of Korea",S4999)),"South Korea",
ISNUMBER(SEARCH("Cape Verde",S4999)),"Cabo Verde",
ISNUMBER(SEARCH("Czechia",S4999)),"Czech Republic",
ISNUMBER(SEARCH("Türkiye",S4999)),"Turkey",
ISNUMBER(SEARCH("Ivory Coast",S4999)),"Côte d'Ivoire",
ISNUMBER(SEARCH("Korea Republic",S4999)),"South Korea",
ISNUMBER(SEARCH("Germany FR",S4999)),"FR Germany",
ISNUMBER(SEARCH("West Germany",S4999)),"FR Germany",
ISNUMBER(SEARCH("Germany DR",S4999)),"DR Germany",
ISNUMBER(SEARCH("Korea DPR",S4999)),"North Korea",
ISNUMBER(SEARCH("China PR",S4999)),"China",
ISNUMBER(SEARCH("IR Iran",S4999)),"Iran",
ISNUMBER(SEARCH("Congo DR",S4999)),"Democratic Republic of the Congo",
ISNUMBER(SEARCH("DR Congo",S4999)),"Democratic Republic of the Congo",
ISNUMBER(SEARCH("German DR",S4999)),"DR Germany",
ISNUMBER(SEARCH("rn""&gt;United Arab Emirates",S4999)),"United Arab Emirates",
ISNUMBER(SEARCH("rn""&gt;Republic of Ireland",S4999)),"Ireland",
ISNUMBER(SEARCH("rn""&gt;Bosnia and Herzegovina",S4999)),"Bosnia and Herzegovina",
ISNUMBER(SEARCH("rn""&gt;Trinidad and Tobago",S4999)),"Trinidad and Tobago",
ISNUMBER(SEARCH("rn""&gt;Serbia and Montenegro",S4999)),"Serbia and Montenegro",
ISNUMBER(SEARCH(_xlfn.UNICHAR(65533),S4999)),"Côte d'Ivoire",
TRUE,"-"
)</f>
        <v>-</v>
      </c>
      <c r="W4999" s="42" t="str">
        <f t="shared" si="306"/>
        <v>-</v>
      </c>
    </row>
    <row r="5000" spans="19:23">
      <c r="S5000" s="42" t="str">
        <v>Sweden win on penalties (4 - 5)</v>
      </c>
      <c r="T5000" s="42" t="str">
        <f t="shared" si="304"/>
        <v>Sweden</v>
      </c>
      <c r="U5000" s="40" t="str">
        <f t="shared" si="305"/>
        <v>AUCUNE</v>
      </c>
      <c r="V5000" s="42" t="str" cm="1">
        <f t="array" ref="V5000">_xlfn.IFS(
LEFT(S5000,16)="win on penalties",IF(VALUE(MID(S5000,19,1))&gt;VALUE(MID(S5000,23,1)),DATA_CLEANED!AK514,DATA_CLEANED!AN514),
ISNUMBER(SEARCH("USA",S5000)),"United States",
ISNUMBER(SEARCH("Republic of Ireland",S5000)),"Ireland",
ISNUMBER(SEARCH("Republic of Korea",S5000)),"South Korea",
ISNUMBER(SEARCH("Cape Verde",S5000)),"Cabo Verde",
ISNUMBER(SEARCH("Czechia",S5000)),"Czech Republic",
ISNUMBER(SEARCH("Türkiye",S5000)),"Turkey",
ISNUMBER(SEARCH("Ivory Coast",S5000)),"Côte d'Ivoire",
ISNUMBER(SEARCH("Korea Republic",S5000)),"South Korea",
ISNUMBER(SEARCH("Germany FR",S5000)),"FR Germany",
ISNUMBER(SEARCH("West Germany",S5000)),"FR Germany",
ISNUMBER(SEARCH("Germany DR",S5000)),"DR Germany",
ISNUMBER(SEARCH("Korea DPR",S5000)),"North Korea",
ISNUMBER(SEARCH("China PR",S5000)),"China",
ISNUMBER(SEARCH("IR Iran",S5000)),"Iran",
ISNUMBER(SEARCH("Congo DR",S5000)),"Democratic Republic of the Congo",
ISNUMBER(SEARCH("DR Congo",S5000)),"Democratic Republic of the Congo",
ISNUMBER(SEARCH("German DR",S5000)),"DR Germany",
ISNUMBER(SEARCH("rn""&gt;United Arab Emirates",S5000)),"United Arab Emirates",
ISNUMBER(SEARCH("rn""&gt;Republic of Ireland",S5000)),"Ireland",
ISNUMBER(SEARCH("rn""&gt;Bosnia and Herzegovina",S5000)),"Bosnia and Herzegovina",
ISNUMBER(SEARCH("rn""&gt;Trinidad and Tobago",S5000)),"Trinidad and Tobago",
ISNUMBER(SEARCH("rn""&gt;Serbia and Montenegro",S5000)),"Serbia and Montenegro",
ISNUMBER(SEARCH(_xlfn.UNICHAR(65533),S5000)),"Côte d'Ivoire",
TRUE,"-"
)</f>
        <v>-</v>
      </c>
      <c r="W5000" s="42" t="str">
        <f t="shared" si="306"/>
        <v>Sweden win on penalties (4 - 5)</v>
      </c>
    </row>
    <row r="5001" spans="19:23">
      <c r="S5001" s="42" t="str">
        <v/>
      </c>
      <c r="T5001" s="42" t="str">
        <f t="shared" si="304"/>
        <v>-</v>
      </c>
      <c r="U5001" s="40" t="str">
        <f t="shared" si="305"/>
        <v>-</v>
      </c>
      <c r="V5001" s="42" t="str" cm="1">
        <f t="array" ref="V5001">_xlfn.IFS(
LEFT(S5001,16)="win on penalties",IF(VALUE(MID(S5001,19,1))&gt;VALUE(MID(S5001,23,1)),DATA_CLEANED!AK515,DATA_CLEANED!AN515),
ISNUMBER(SEARCH("USA",S5001)),"United States",
ISNUMBER(SEARCH("Republic of Ireland",S5001)),"Ireland",
ISNUMBER(SEARCH("Republic of Korea",S5001)),"South Korea",
ISNUMBER(SEARCH("Cape Verde",S5001)),"Cabo Verde",
ISNUMBER(SEARCH("Czechia",S5001)),"Czech Republic",
ISNUMBER(SEARCH("Türkiye",S5001)),"Turkey",
ISNUMBER(SEARCH("Ivory Coast",S5001)),"Côte d'Ivoire",
ISNUMBER(SEARCH("Korea Republic",S5001)),"South Korea",
ISNUMBER(SEARCH("Germany FR",S5001)),"FR Germany",
ISNUMBER(SEARCH("West Germany",S5001)),"FR Germany",
ISNUMBER(SEARCH("Germany DR",S5001)),"DR Germany",
ISNUMBER(SEARCH("Korea DPR",S5001)),"North Korea",
ISNUMBER(SEARCH("China PR",S5001)),"China",
ISNUMBER(SEARCH("IR Iran",S5001)),"Iran",
ISNUMBER(SEARCH("Congo DR",S5001)),"Democratic Republic of the Congo",
ISNUMBER(SEARCH("DR Congo",S5001)),"Democratic Republic of the Congo",
ISNUMBER(SEARCH("German DR",S5001)),"DR Germany",
ISNUMBER(SEARCH("rn""&gt;United Arab Emirates",S5001)),"United Arab Emirates",
ISNUMBER(SEARCH("rn""&gt;Republic of Ireland",S5001)),"Ireland",
ISNUMBER(SEARCH("rn""&gt;Bosnia and Herzegovina",S5001)),"Bosnia and Herzegovina",
ISNUMBER(SEARCH("rn""&gt;Trinidad and Tobago",S5001)),"Trinidad and Tobago",
ISNUMBER(SEARCH("rn""&gt;Serbia and Montenegro",S5001)),"Serbia and Montenegro",
ISNUMBER(SEARCH(_xlfn.UNICHAR(65533),S5001)),"Côte d'Ivoire",
TRUE,"-"
)</f>
        <v>-</v>
      </c>
      <c r="W5001" s="42" t="str">
        <f t="shared" si="306"/>
        <v>-</v>
      </c>
    </row>
    <row r="5002" spans="19:23">
      <c r="S5002" s="42" t="str">
        <v/>
      </c>
      <c r="T5002" s="42" t="str">
        <f t="shared" ref="T5002:T5065" si="307">IF(S5002="","-",IFERROR(LEFT(S5002,SEARCH(" win",S5002)-1),"-"))</f>
        <v>-</v>
      </c>
      <c r="U5002" s="40" t="str">
        <f t="shared" ref="U5002:U5065" si="308">IF(T5002="-","-",IF(COUNTIF(_xlfn.ANCHORARRAY(X$13),T5002)=1,"AUCUNE","RENOMMER"))</f>
        <v>-</v>
      </c>
      <c r="V5002" s="42" t="str" cm="1">
        <f t="array" ref="V5002">_xlfn.IFS(
LEFT(S5002,16)="win on penalties",IF(VALUE(MID(S5002,19,1))&gt;VALUE(MID(S5002,23,1)),DATA_CLEANED!AK516,DATA_CLEANED!AN516),
ISNUMBER(SEARCH("USA",S5002)),"United States",
ISNUMBER(SEARCH("Republic of Ireland",S5002)),"Ireland",
ISNUMBER(SEARCH("Republic of Korea",S5002)),"South Korea",
ISNUMBER(SEARCH("Cape Verde",S5002)),"Cabo Verde",
ISNUMBER(SEARCH("Czechia",S5002)),"Czech Republic",
ISNUMBER(SEARCH("Türkiye",S5002)),"Turkey",
ISNUMBER(SEARCH("Ivory Coast",S5002)),"Côte d'Ivoire",
ISNUMBER(SEARCH("Korea Republic",S5002)),"South Korea",
ISNUMBER(SEARCH("Germany FR",S5002)),"FR Germany",
ISNUMBER(SEARCH("West Germany",S5002)),"FR Germany",
ISNUMBER(SEARCH("Germany DR",S5002)),"DR Germany",
ISNUMBER(SEARCH("Korea DPR",S5002)),"North Korea",
ISNUMBER(SEARCH("China PR",S5002)),"China",
ISNUMBER(SEARCH("IR Iran",S5002)),"Iran",
ISNUMBER(SEARCH("Congo DR",S5002)),"Democratic Republic of the Congo",
ISNUMBER(SEARCH("DR Congo",S5002)),"Democratic Republic of the Congo",
ISNUMBER(SEARCH("German DR",S5002)),"DR Germany",
ISNUMBER(SEARCH("rn""&gt;United Arab Emirates",S5002)),"United Arab Emirates",
ISNUMBER(SEARCH("rn""&gt;Republic of Ireland",S5002)),"Ireland",
ISNUMBER(SEARCH("rn""&gt;Bosnia and Herzegovina",S5002)),"Bosnia and Herzegovina",
ISNUMBER(SEARCH("rn""&gt;Trinidad and Tobago",S5002)),"Trinidad and Tobago",
ISNUMBER(SEARCH("rn""&gt;Serbia and Montenegro",S5002)),"Serbia and Montenegro",
ISNUMBER(SEARCH(_xlfn.UNICHAR(65533),S5002)),"Côte d'Ivoire",
TRUE,"-"
)</f>
        <v>-</v>
      </c>
      <c r="W5002" s="42" t="str">
        <f t="shared" ref="W5002:W5065" si="309">IF(S5002="","-",IF(AND(U5002="RENOMMER",T5002&lt;&gt;"-",V5002&lt;&gt;"-"),SUBSTITUTE(S5002,T5002,V5002),S5002))</f>
        <v>-</v>
      </c>
    </row>
    <row r="5003" spans="19:23">
      <c r="S5003" s="42" t="str">
        <v/>
      </c>
      <c r="T5003" s="42" t="str">
        <f t="shared" si="307"/>
        <v>-</v>
      </c>
      <c r="U5003" s="40" t="str">
        <f t="shared" si="308"/>
        <v>-</v>
      </c>
      <c r="V5003" s="42" t="str" cm="1">
        <f t="array" ref="V5003">_xlfn.IFS(
LEFT(S5003,16)="win on penalties",IF(VALUE(MID(S5003,19,1))&gt;VALUE(MID(S5003,23,1)),DATA_CLEANED!AK517,DATA_CLEANED!AN517),
ISNUMBER(SEARCH("USA",S5003)),"United States",
ISNUMBER(SEARCH("Republic of Ireland",S5003)),"Ireland",
ISNUMBER(SEARCH("Republic of Korea",S5003)),"South Korea",
ISNUMBER(SEARCH("Cape Verde",S5003)),"Cabo Verde",
ISNUMBER(SEARCH("Czechia",S5003)),"Czech Republic",
ISNUMBER(SEARCH("Türkiye",S5003)),"Turkey",
ISNUMBER(SEARCH("Ivory Coast",S5003)),"Côte d'Ivoire",
ISNUMBER(SEARCH("Korea Republic",S5003)),"South Korea",
ISNUMBER(SEARCH("Germany FR",S5003)),"FR Germany",
ISNUMBER(SEARCH("West Germany",S5003)),"FR Germany",
ISNUMBER(SEARCH("Germany DR",S5003)),"DR Germany",
ISNUMBER(SEARCH("Korea DPR",S5003)),"North Korea",
ISNUMBER(SEARCH("China PR",S5003)),"China",
ISNUMBER(SEARCH("IR Iran",S5003)),"Iran",
ISNUMBER(SEARCH("Congo DR",S5003)),"Democratic Republic of the Congo",
ISNUMBER(SEARCH("DR Congo",S5003)),"Democratic Republic of the Congo",
ISNUMBER(SEARCH("German DR",S5003)),"DR Germany",
ISNUMBER(SEARCH("rn""&gt;United Arab Emirates",S5003)),"United Arab Emirates",
ISNUMBER(SEARCH("rn""&gt;Republic of Ireland",S5003)),"Ireland",
ISNUMBER(SEARCH("rn""&gt;Bosnia and Herzegovina",S5003)),"Bosnia and Herzegovina",
ISNUMBER(SEARCH("rn""&gt;Trinidad and Tobago",S5003)),"Trinidad and Tobago",
ISNUMBER(SEARCH("rn""&gt;Serbia and Montenegro",S5003)),"Serbia and Montenegro",
ISNUMBER(SEARCH(_xlfn.UNICHAR(65533),S5003)),"Côte d'Ivoire",
TRUE,"-"
)</f>
        <v>-</v>
      </c>
      <c r="W5003" s="42" t="str">
        <f t="shared" si="309"/>
        <v>-</v>
      </c>
    </row>
    <row r="5004" spans="19:23">
      <c r="S5004" s="42" t="str">
        <v>Brazil win on penalties (3 - 2)</v>
      </c>
      <c r="T5004" s="42" t="str">
        <f t="shared" si="307"/>
        <v>Brazil</v>
      </c>
      <c r="U5004" s="40" t="str">
        <f t="shared" si="308"/>
        <v>AUCUNE</v>
      </c>
      <c r="V5004" s="42" t="str" cm="1">
        <f t="array" ref="V5004">_xlfn.IFS(
LEFT(S5004,16)="win on penalties",IF(VALUE(MID(S5004,19,1))&gt;VALUE(MID(S5004,23,1)),DATA_CLEANED!AK518,DATA_CLEANED!AN518),
ISNUMBER(SEARCH("USA",S5004)),"United States",
ISNUMBER(SEARCH("Republic of Ireland",S5004)),"Ireland",
ISNUMBER(SEARCH("Republic of Korea",S5004)),"South Korea",
ISNUMBER(SEARCH("Cape Verde",S5004)),"Cabo Verde",
ISNUMBER(SEARCH("Czechia",S5004)),"Czech Republic",
ISNUMBER(SEARCH("Türkiye",S5004)),"Turkey",
ISNUMBER(SEARCH("Ivory Coast",S5004)),"Côte d'Ivoire",
ISNUMBER(SEARCH("Korea Republic",S5004)),"South Korea",
ISNUMBER(SEARCH("Germany FR",S5004)),"FR Germany",
ISNUMBER(SEARCH("West Germany",S5004)),"FR Germany",
ISNUMBER(SEARCH("Germany DR",S5004)),"DR Germany",
ISNUMBER(SEARCH("Korea DPR",S5004)),"North Korea",
ISNUMBER(SEARCH("China PR",S5004)),"China",
ISNUMBER(SEARCH("IR Iran",S5004)),"Iran",
ISNUMBER(SEARCH("Congo DR",S5004)),"Democratic Republic of the Congo",
ISNUMBER(SEARCH("DR Congo",S5004)),"Democratic Republic of the Congo",
ISNUMBER(SEARCH("German DR",S5004)),"DR Germany",
ISNUMBER(SEARCH("rn""&gt;United Arab Emirates",S5004)),"United Arab Emirates",
ISNUMBER(SEARCH("rn""&gt;Republic of Ireland",S5004)),"Ireland",
ISNUMBER(SEARCH("rn""&gt;Bosnia and Herzegovina",S5004)),"Bosnia and Herzegovina",
ISNUMBER(SEARCH("rn""&gt;Trinidad and Tobago",S5004)),"Trinidad and Tobago",
ISNUMBER(SEARCH("rn""&gt;Serbia and Montenegro",S5004)),"Serbia and Montenegro",
ISNUMBER(SEARCH(_xlfn.UNICHAR(65533),S5004)),"Côte d'Ivoire",
TRUE,"-"
)</f>
        <v>-</v>
      </c>
      <c r="W5004" s="42" t="str">
        <f t="shared" si="309"/>
        <v>Brazil win on penalties (3 - 2)</v>
      </c>
    </row>
    <row r="5005" spans="19:23">
      <c r="S5005" s="42" t="str">
        <v/>
      </c>
      <c r="T5005" s="42" t="str">
        <f t="shared" si="307"/>
        <v>-</v>
      </c>
      <c r="U5005" s="40" t="str">
        <f t="shared" si="308"/>
        <v>-</v>
      </c>
      <c r="V5005" s="42" t="str" cm="1">
        <f t="array" ref="V5005">_xlfn.IFS(
LEFT(S5005,16)="win on penalties",IF(VALUE(MID(S5005,19,1))&gt;VALUE(MID(S5005,23,1)),DATA_CLEANED!AK519,DATA_CLEANED!AN519),
ISNUMBER(SEARCH("USA",S5005)),"United States",
ISNUMBER(SEARCH("Republic of Ireland",S5005)),"Ireland",
ISNUMBER(SEARCH("Republic of Korea",S5005)),"South Korea",
ISNUMBER(SEARCH("Cape Verde",S5005)),"Cabo Verde",
ISNUMBER(SEARCH("Czechia",S5005)),"Czech Republic",
ISNUMBER(SEARCH("Türkiye",S5005)),"Turkey",
ISNUMBER(SEARCH("Ivory Coast",S5005)),"Côte d'Ivoire",
ISNUMBER(SEARCH("Korea Republic",S5005)),"South Korea",
ISNUMBER(SEARCH("Germany FR",S5005)),"FR Germany",
ISNUMBER(SEARCH("West Germany",S5005)),"FR Germany",
ISNUMBER(SEARCH("Germany DR",S5005)),"DR Germany",
ISNUMBER(SEARCH("Korea DPR",S5005)),"North Korea",
ISNUMBER(SEARCH("China PR",S5005)),"China",
ISNUMBER(SEARCH("IR Iran",S5005)),"Iran",
ISNUMBER(SEARCH("Congo DR",S5005)),"Democratic Republic of the Congo",
ISNUMBER(SEARCH("DR Congo",S5005)),"Democratic Republic of the Congo",
ISNUMBER(SEARCH("German DR",S5005)),"DR Germany",
ISNUMBER(SEARCH("rn""&gt;United Arab Emirates",S5005)),"United Arab Emirates",
ISNUMBER(SEARCH("rn""&gt;Republic of Ireland",S5005)),"Ireland",
ISNUMBER(SEARCH("rn""&gt;Bosnia and Herzegovina",S5005)),"Bosnia and Herzegovina",
ISNUMBER(SEARCH("rn""&gt;Trinidad and Tobago",S5005)),"Trinidad and Tobago",
ISNUMBER(SEARCH("rn""&gt;Serbia and Montenegro",S5005)),"Serbia and Montenegro",
ISNUMBER(SEARCH(_xlfn.UNICHAR(65533),S5005)),"Côte d'Ivoire",
TRUE,"-"
)</f>
        <v>-</v>
      </c>
      <c r="W5005" s="42" t="str">
        <f t="shared" si="309"/>
        <v>-</v>
      </c>
    </row>
    <row r="5006" spans="19:23">
      <c r="S5006" s="42" t="str">
        <v/>
      </c>
      <c r="T5006" s="42" t="str">
        <f t="shared" si="307"/>
        <v>-</v>
      </c>
      <c r="U5006" s="40" t="str">
        <f t="shared" si="308"/>
        <v>-</v>
      </c>
      <c r="V5006" s="42" t="str" cm="1">
        <f t="array" ref="V5006">_xlfn.IFS(
LEFT(S5006,16)="win on penalties",IF(VALUE(MID(S5006,19,1))&gt;VALUE(MID(S5006,23,1)),DATA_CLEANED!AK520,DATA_CLEANED!AN520),
ISNUMBER(SEARCH("USA",S5006)),"United States",
ISNUMBER(SEARCH("Republic of Ireland",S5006)),"Ireland",
ISNUMBER(SEARCH("Republic of Korea",S5006)),"South Korea",
ISNUMBER(SEARCH("Cape Verde",S5006)),"Cabo Verde",
ISNUMBER(SEARCH("Czechia",S5006)),"Czech Republic",
ISNUMBER(SEARCH("Türkiye",S5006)),"Turkey",
ISNUMBER(SEARCH("Ivory Coast",S5006)),"Côte d'Ivoire",
ISNUMBER(SEARCH("Korea Republic",S5006)),"South Korea",
ISNUMBER(SEARCH("Germany FR",S5006)),"FR Germany",
ISNUMBER(SEARCH("West Germany",S5006)),"FR Germany",
ISNUMBER(SEARCH("Germany DR",S5006)),"DR Germany",
ISNUMBER(SEARCH("Korea DPR",S5006)),"North Korea",
ISNUMBER(SEARCH("China PR",S5006)),"China",
ISNUMBER(SEARCH("IR Iran",S5006)),"Iran",
ISNUMBER(SEARCH("Congo DR",S5006)),"Democratic Republic of the Congo",
ISNUMBER(SEARCH("DR Congo",S5006)),"Democratic Republic of the Congo",
ISNUMBER(SEARCH("German DR",S5006)),"DR Germany",
ISNUMBER(SEARCH("rn""&gt;United Arab Emirates",S5006)),"United Arab Emirates",
ISNUMBER(SEARCH("rn""&gt;Republic of Ireland",S5006)),"Ireland",
ISNUMBER(SEARCH("rn""&gt;Bosnia and Herzegovina",S5006)),"Bosnia and Herzegovina",
ISNUMBER(SEARCH("rn""&gt;Trinidad and Tobago",S5006)),"Trinidad and Tobago",
ISNUMBER(SEARCH("rn""&gt;Serbia and Montenegro",S5006)),"Serbia and Montenegro",
ISNUMBER(SEARCH(_xlfn.UNICHAR(65533),S5006)),"Côte d'Ivoire",
TRUE,"-"
)</f>
        <v>-</v>
      </c>
      <c r="W5006" s="42" t="str">
        <f t="shared" si="309"/>
        <v>-</v>
      </c>
    </row>
    <row r="5007" spans="19:23">
      <c r="S5007" s="42" t="str">
        <v/>
      </c>
      <c r="T5007" s="42" t="str">
        <f t="shared" si="307"/>
        <v>-</v>
      </c>
      <c r="U5007" s="40" t="str">
        <f t="shared" si="308"/>
        <v>-</v>
      </c>
      <c r="V5007" s="42" t="str" cm="1">
        <f t="array" ref="V5007">_xlfn.IFS(
LEFT(S5007,16)="win on penalties",IF(VALUE(MID(S5007,19,1))&gt;VALUE(MID(S5007,23,1)),DATA_CLEANED!AK521,DATA_CLEANED!AN521),
ISNUMBER(SEARCH("USA",S5007)),"United States",
ISNUMBER(SEARCH("Republic of Ireland",S5007)),"Ireland",
ISNUMBER(SEARCH("Republic of Korea",S5007)),"South Korea",
ISNUMBER(SEARCH("Cape Verde",S5007)),"Cabo Verde",
ISNUMBER(SEARCH("Czechia",S5007)),"Czech Republic",
ISNUMBER(SEARCH("Türkiye",S5007)),"Turkey",
ISNUMBER(SEARCH("Ivory Coast",S5007)),"Côte d'Ivoire",
ISNUMBER(SEARCH("Korea Republic",S5007)),"South Korea",
ISNUMBER(SEARCH("Germany FR",S5007)),"FR Germany",
ISNUMBER(SEARCH("West Germany",S5007)),"FR Germany",
ISNUMBER(SEARCH("Germany DR",S5007)),"DR Germany",
ISNUMBER(SEARCH("Korea DPR",S5007)),"North Korea",
ISNUMBER(SEARCH("China PR",S5007)),"China",
ISNUMBER(SEARCH("IR Iran",S5007)),"Iran",
ISNUMBER(SEARCH("Congo DR",S5007)),"Democratic Republic of the Congo",
ISNUMBER(SEARCH("DR Congo",S5007)),"Democratic Republic of the Congo",
ISNUMBER(SEARCH("German DR",S5007)),"DR Germany",
ISNUMBER(SEARCH("rn""&gt;United Arab Emirates",S5007)),"United Arab Emirates",
ISNUMBER(SEARCH("rn""&gt;Republic of Ireland",S5007)),"Ireland",
ISNUMBER(SEARCH("rn""&gt;Bosnia and Herzegovina",S5007)),"Bosnia and Herzegovina",
ISNUMBER(SEARCH("rn""&gt;Trinidad and Tobago",S5007)),"Trinidad and Tobago",
ISNUMBER(SEARCH("rn""&gt;Serbia and Montenegro",S5007)),"Serbia and Montenegro",
ISNUMBER(SEARCH(_xlfn.UNICHAR(65533),S5007)),"Côte d'Ivoire",
TRUE,"-"
)</f>
        <v>-</v>
      </c>
      <c r="W5007" s="42" t="str">
        <f t="shared" si="309"/>
        <v>-</v>
      </c>
    </row>
    <row r="5008" spans="19:23">
      <c r="S5008" s="42" t="str">
        <v/>
      </c>
      <c r="T5008" s="42" t="str">
        <f t="shared" si="307"/>
        <v>-</v>
      </c>
      <c r="U5008" s="40" t="str">
        <f t="shared" si="308"/>
        <v>-</v>
      </c>
      <c r="V5008" s="42" t="str" cm="1">
        <f t="array" ref="V5008">_xlfn.IFS(
LEFT(S5008,16)="win on penalties",IF(VALUE(MID(S5008,19,1))&gt;VALUE(MID(S5008,23,1)),DATA_CLEANED!AK522,DATA_CLEANED!AN522),
ISNUMBER(SEARCH("USA",S5008)),"United States",
ISNUMBER(SEARCH("Republic of Ireland",S5008)),"Ireland",
ISNUMBER(SEARCH("Republic of Korea",S5008)),"South Korea",
ISNUMBER(SEARCH("Cape Verde",S5008)),"Cabo Verde",
ISNUMBER(SEARCH("Czechia",S5008)),"Czech Republic",
ISNUMBER(SEARCH("Türkiye",S5008)),"Turkey",
ISNUMBER(SEARCH("Ivory Coast",S5008)),"Côte d'Ivoire",
ISNUMBER(SEARCH("Korea Republic",S5008)),"South Korea",
ISNUMBER(SEARCH("Germany FR",S5008)),"FR Germany",
ISNUMBER(SEARCH("West Germany",S5008)),"FR Germany",
ISNUMBER(SEARCH("Germany DR",S5008)),"DR Germany",
ISNUMBER(SEARCH("Korea DPR",S5008)),"North Korea",
ISNUMBER(SEARCH("China PR",S5008)),"China",
ISNUMBER(SEARCH("IR Iran",S5008)),"Iran",
ISNUMBER(SEARCH("Congo DR",S5008)),"Democratic Republic of the Congo",
ISNUMBER(SEARCH("DR Congo",S5008)),"Democratic Republic of the Congo",
ISNUMBER(SEARCH("German DR",S5008)),"DR Germany",
ISNUMBER(SEARCH("rn""&gt;United Arab Emirates",S5008)),"United Arab Emirates",
ISNUMBER(SEARCH("rn""&gt;Republic of Ireland",S5008)),"Ireland",
ISNUMBER(SEARCH("rn""&gt;Bosnia and Herzegovina",S5008)),"Bosnia and Herzegovina",
ISNUMBER(SEARCH("rn""&gt;Trinidad and Tobago",S5008)),"Trinidad and Tobago",
ISNUMBER(SEARCH("rn""&gt;Serbia and Montenegro",S5008)),"Serbia and Montenegro",
ISNUMBER(SEARCH(_xlfn.UNICHAR(65533),S5008)),"Côte d'Ivoire",
TRUE,"-"
)</f>
        <v>-</v>
      </c>
      <c r="W5008" s="42" t="str">
        <f t="shared" si="309"/>
        <v>-</v>
      </c>
    </row>
    <row r="5009" spans="19:23">
      <c r="S5009" s="42" t="str">
        <v/>
      </c>
      <c r="T5009" s="42" t="str">
        <f t="shared" si="307"/>
        <v>-</v>
      </c>
      <c r="U5009" s="40" t="str">
        <f t="shared" si="308"/>
        <v>-</v>
      </c>
      <c r="V5009" s="42" t="str" cm="1">
        <f t="array" ref="V5009">_xlfn.IFS(
LEFT(S5009,16)="win on penalties",IF(VALUE(MID(S5009,19,1))&gt;VALUE(MID(S5009,23,1)),DATA_CLEANED!AK523,DATA_CLEANED!AN523),
ISNUMBER(SEARCH("USA",S5009)),"United States",
ISNUMBER(SEARCH("Republic of Ireland",S5009)),"Ireland",
ISNUMBER(SEARCH("Republic of Korea",S5009)),"South Korea",
ISNUMBER(SEARCH("Cape Verde",S5009)),"Cabo Verde",
ISNUMBER(SEARCH("Czechia",S5009)),"Czech Republic",
ISNUMBER(SEARCH("Türkiye",S5009)),"Turkey",
ISNUMBER(SEARCH("Ivory Coast",S5009)),"Côte d'Ivoire",
ISNUMBER(SEARCH("Korea Republic",S5009)),"South Korea",
ISNUMBER(SEARCH("Germany FR",S5009)),"FR Germany",
ISNUMBER(SEARCH("West Germany",S5009)),"FR Germany",
ISNUMBER(SEARCH("Germany DR",S5009)),"DR Germany",
ISNUMBER(SEARCH("Korea DPR",S5009)),"North Korea",
ISNUMBER(SEARCH("China PR",S5009)),"China",
ISNUMBER(SEARCH("IR Iran",S5009)),"Iran",
ISNUMBER(SEARCH("Congo DR",S5009)),"Democratic Republic of the Congo",
ISNUMBER(SEARCH("DR Congo",S5009)),"Democratic Republic of the Congo",
ISNUMBER(SEARCH("German DR",S5009)),"DR Germany",
ISNUMBER(SEARCH("rn""&gt;United Arab Emirates",S5009)),"United Arab Emirates",
ISNUMBER(SEARCH("rn""&gt;Republic of Ireland",S5009)),"Ireland",
ISNUMBER(SEARCH("rn""&gt;Bosnia and Herzegovina",S5009)),"Bosnia and Herzegovina",
ISNUMBER(SEARCH("rn""&gt;Trinidad and Tobago",S5009)),"Trinidad and Tobago",
ISNUMBER(SEARCH("rn""&gt;Serbia and Montenegro",S5009)),"Serbia and Montenegro",
ISNUMBER(SEARCH(_xlfn.UNICHAR(65533),S5009)),"Côte d'Ivoire",
TRUE,"-"
)</f>
        <v>-</v>
      </c>
      <c r="W5009" s="42" t="str">
        <f t="shared" si="309"/>
        <v>-</v>
      </c>
    </row>
    <row r="5010" spans="19:23">
      <c r="S5010" s="42" t="str">
        <v/>
      </c>
      <c r="T5010" s="42" t="str">
        <f t="shared" si="307"/>
        <v>-</v>
      </c>
      <c r="U5010" s="40" t="str">
        <f t="shared" si="308"/>
        <v>-</v>
      </c>
      <c r="V5010" s="42" t="str" cm="1">
        <f t="array" ref="V5010">_xlfn.IFS(
LEFT(S5010,16)="win on penalties",IF(VALUE(MID(S5010,19,1))&gt;VALUE(MID(S5010,23,1)),DATA_CLEANED!AK524,DATA_CLEANED!AN524),
ISNUMBER(SEARCH("USA",S5010)),"United States",
ISNUMBER(SEARCH("Republic of Ireland",S5010)),"Ireland",
ISNUMBER(SEARCH("Republic of Korea",S5010)),"South Korea",
ISNUMBER(SEARCH("Cape Verde",S5010)),"Cabo Verde",
ISNUMBER(SEARCH("Czechia",S5010)),"Czech Republic",
ISNUMBER(SEARCH("Türkiye",S5010)),"Turkey",
ISNUMBER(SEARCH("Ivory Coast",S5010)),"Côte d'Ivoire",
ISNUMBER(SEARCH("Korea Republic",S5010)),"South Korea",
ISNUMBER(SEARCH("Germany FR",S5010)),"FR Germany",
ISNUMBER(SEARCH("West Germany",S5010)),"FR Germany",
ISNUMBER(SEARCH("Germany DR",S5010)),"DR Germany",
ISNUMBER(SEARCH("Korea DPR",S5010)),"North Korea",
ISNUMBER(SEARCH("China PR",S5010)),"China",
ISNUMBER(SEARCH("IR Iran",S5010)),"Iran",
ISNUMBER(SEARCH("Congo DR",S5010)),"Democratic Republic of the Congo",
ISNUMBER(SEARCH("DR Congo",S5010)),"Democratic Republic of the Congo",
ISNUMBER(SEARCH("German DR",S5010)),"DR Germany",
ISNUMBER(SEARCH("rn""&gt;United Arab Emirates",S5010)),"United Arab Emirates",
ISNUMBER(SEARCH("rn""&gt;Republic of Ireland",S5010)),"Ireland",
ISNUMBER(SEARCH("rn""&gt;Bosnia and Herzegovina",S5010)),"Bosnia and Herzegovina",
ISNUMBER(SEARCH("rn""&gt;Trinidad and Tobago",S5010)),"Trinidad and Tobago",
ISNUMBER(SEARCH("rn""&gt;Serbia and Montenegro",S5010)),"Serbia and Montenegro",
ISNUMBER(SEARCH(_xlfn.UNICHAR(65533),S5010)),"Côte d'Ivoire",
TRUE,"-"
)</f>
        <v>-</v>
      </c>
      <c r="W5010" s="42" t="str">
        <f t="shared" si="309"/>
        <v>-</v>
      </c>
    </row>
    <row r="5011" spans="19:23">
      <c r="S5011" s="42" t="str">
        <v/>
      </c>
      <c r="T5011" s="42" t="str">
        <f t="shared" si="307"/>
        <v>-</v>
      </c>
      <c r="U5011" s="40" t="str">
        <f t="shared" si="308"/>
        <v>-</v>
      </c>
      <c r="V5011" s="42" t="str" cm="1">
        <f t="array" ref="V5011">_xlfn.IFS(
LEFT(S5011,16)="win on penalties",IF(VALUE(MID(S5011,19,1))&gt;VALUE(MID(S5011,23,1)),DATA_CLEANED!AK525,DATA_CLEANED!AN525),
ISNUMBER(SEARCH("USA",S5011)),"United States",
ISNUMBER(SEARCH("Republic of Ireland",S5011)),"Ireland",
ISNUMBER(SEARCH("Republic of Korea",S5011)),"South Korea",
ISNUMBER(SEARCH("Cape Verde",S5011)),"Cabo Verde",
ISNUMBER(SEARCH("Czechia",S5011)),"Czech Republic",
ISNUMBER(SEARCH("Türkiye",S5011)),"Turkey",
ISNUMBER(SEARCH("Ivory Coast",S5011)),"Côte d'Ivoire",
ISNUMBER(SEARCH("Korea Republic",S5011)),"South Korea",
ISNUMBER(SEARCH("Germany FR",S5011)),"FR Germany",
ISNUMBER(SEARCH("West Germany",S5011)),"FR Germany",
ISNUMBER(SEARCH("Germany DR",S5011)),"DR Germany",
ISNUMBER(SEARCH("Korea DPR",S5011)),"North Korea",
ISNUMBER(SEARCH("China PR",S5011)),"China",
ISNUMBER(SEARCH("IR Iran",S5011)),"Iran",
ISNUMBER(SEARCH("Congo DR",S5011)),"Democratic Republic of the Congo",
ISNUMBER(SEARCH("DR Congo",S5011)),"Democratic Republic of the Congo",
ISNUMBER(SEARCH("German DR",S5011)),"DR Germany",
ISNUMBER(SEARCH("rn""&gt;United Arab Emirates",S5011)),"United Arab Emirates",
ISNUMBER(SEARCH("rn""&gt;Republic of Ireland",S5011)),"Ireland",
ISNUMBER(SEARCH("rn""&gt;Bosnia and Herzegovina",S5011)),"Bosnia and Herzegovina",
ISNUMBER(SEARCH("rn""&gt;Trinidad and Tobago",S5011)),"Trinidad and Tobago",
ISNUMBER(SEARCH("rn""&gt;Serbia and Montenegro",S5011)),"Serbia and Montenegro",
ISNUMBER(SEARCH(_xlfn.UNICHAR(65533),S5011)),"Côte d'Ivoire",
TRUE,"-"
)</f>
        <v>-</v>
      </c>
      <c r="W5011" s="42" t="str">
        <f t="shared" si="309"/>
        <v>-</v>
      </c>
    </row>
    <row r="5012" spans="19:23">
      <c r="S5012" s="42" t="str">
        <v/>
      </c>
      <c r="T5012" s="42" t="str">
        <f t="shared" si="307"/>
        <v>-</v>
      </c>
      <c r="U5012" s="40" t="str">
        <f t="shared" si="308"/>
        <v>-</v>
      </c>
      <c r="V5012" s="42" t="str" cm="1">
        <f t="array" ref="V5012">_xlfn.IFS(
LEFT(S5012,16)="win on penalties",IF(VALUE(MID(S5012,19,1))&gt;VALUE(MID(S5012,23,1)),DATA_CLEANED!AK526,DATA_CLEANED!AN526),
ISNUMBER(SEARCH("USA",S5012)),"United States",
ISNUMBER(SEARCH("Republic of Ireland",S5012)),"Ireland",
ISNUMBER(SEARCH("Republic of Korea",S5012)),"South Korea",
ISNUMBER(SEARCH("Cape Verde",S5012)),"Cabo Verde",
ISNUMBER(SEARCH("Czechia",S5012)),"Czech Republic",
ISNUMBER(SEARCH("Türkiye",S5012)),"Turkey",
ISNUMBER(SEARCH("Ivory Coast",S5012)),"Côte d'Ivoire",
ISNUMBER(SEARCH("Korea Republic",S5012)),"South Korea",
ISNUMBER(SEARCH("Germany FR",S5012)),"FR Germany",
ISNUMBER(SEARCH("West Germany",S5012)),"FR Germany",
ISNUMBER(SEARCH("Germany DR",S5012)),"DR Germany",
ISNUMBER(SEARCH("Korea DPR",S5012)),"North Korea",
ISNUMBER(SEARCH("China PR",S5012)),"China",
ISNUMBER(SEARCH("IR Iran",S5012)),"Iran",
ISNUMBER(SEARCH("Congo DR",S5012)),"Democratic Republic of the Congo",
ISNUMBER(SEARCH("DR Congo",S5012)),"Democratic Republic of the Congo",
ISNUMBER(SEARCH("German DR",S5012)),"DR Germany",
ISNUMBER(SEARCH("rn""&gt;United Arab Emirates",S5012)),"United Arab Emirates",
ISNUMBER(SEARCH("rn""&gt;Republic of Ireland",S5012)),"Ireland",
ISNUMBER(SEARCH("rn""&gt;Bosnia and Herzegovina",S5012)),"Bosnia and Herzegovina",
ISNUMBER(SEARCH("rn""&gt;Trinidad and Tobago",S5012)),"Trinidad and Tobago",
ISNUMBER(SEARCH("rn""&gt;Serbia and Montenegro",S5012)),"Serbia and Montenegro",
ISNUMBER(SEARCH(_xlfn.UNICHAR(65533),S5012)),"Côte d'Ivoire",
TRUE,"-"
)</f>
        <v>-</v>
      </c>
      <c r="W5012" s="42" t="str">
        <f t="shared" si="309"/>
        <v>-</v>
      </c>
    </row>
    <row r="5013" spans="19:23">
      <c r="S5013" s="42" t="str">
        <v/>
      </c>
      <c r="T5013" s="42" t="str">
        <f t="shared" si="307"/>
        <v>-</v>
      </c>
      <c r="U5013" s="40" t="str">
        <f t="shared" si="308"/>
        <v>-</v>
      </c>
      <c r="V5013" s="42" t="str" cm="1">
        <f t="array" ref="V5013">_xlfn.IFS(
LEFT(S5013,16)="win on penalties",IF(VALUE(MID(S5013,19,1))&gt;VALUE(MID(S5013,23,1)),DATA_CLEANED!AK527,DATA_CLEANED!AN527),
ISNUMBER(SEARCH("USA",S5013)),"United States",
ISNUMBER(SEARCH("Republic of Ireland",S5013)),"Ireland",
ISNUMBER(SEARCH("Republic of Korea",S5013)),"South Korea",
ISNUMBER(SEARCH("Cape Verde",S5013)),"Cabo Verde",
ISNUMBER(SEARCH("Czechia",S5013)),"Czech Republic",
ISNUMBER(SEARCH("Türkiye",S5013)),"Turkey",
ISNUMBER(SEARCH("Ivory Coast",S5013)),"Côte d'Ivoire",
ISNUMBER(SEARCH("Korea Republic",S5013)),"South Korea",
ISNUMBER(SEARCH("Germany FR",S5013)),"FR Germany",
ISNUMBER(SEARCH("West Germany",S5013)),"FR Germany",
ISNUMBER(SEARCH("Germany DR",S5013)),"DR Germany",
ISNUMBER(SEARCH("Korea DPR",S5013)),"North Korea",
ISNUMBER(SEARCH("China PR",S5013)),"China",
ISNUMBER(SEARCH("IR Iran",S5013)),"Iran",
ISNUMBER(SEARCH("Congo DR",S5013)),"Democratic Republic of the Congo",
ISNUMBER(SEARCH("DR Congo",S5013)),"Democratic Republic of the Congo",
ISNUMBER(SEARCH("German DR",S5013)),"DR Germany",
ISNUMBER(SEARCH("rn""&gt;United Arab Emirates",S5013)),"United Arab Emirates",
ISNUMBER(SEARCH("rn""&gt;Republic of Ireland",S5013)),"Ireland",
ISNUMBER(SEARCH("rn""&gt;Bosnia and Herzegovina",S5013)),"Bosnia and Herzegovina",
ISNUMBER(SEARCH("rn""&gt;Trinidad and Tobago",S5013)),"Trinidad and Tobago",
ISNUMBER(SEARCH("rn""&gt;Serbia and Montenegro",S5013)),"Serbia and Montenegro",
ISNUMBER(SEARCH(_xlfn.UNICHAR(65533),S5013)),"Côte d'Ivoire",
TRUE,"-"
)</f>
        <v>-</v>
      </c>
      <c r="W5013" s="42" t="str">
        <f t="shared" si="309"/>
        <v>-</v>
      </c>
    </row>
    <row r="5014" spans="19:23">
      <c r="S5014" s="42" t="str">
        <v/>
      </c>
      <c r="T5014" s="42" t="str">
        <f t="shared" si="307"/>
        <v>-</v>
      </c>
      <c r="U5014" s="40" t="str">
        <f t="shared" si="308"/>
        <v>-</v>
      </c>
      <c r="V5014" s="42" t="str" cm="1">
        <f t="array" ref="V5014">_xlfn.IFS(
LEFT(S5014,16)="win on penalties",IF(VALUE(MID(S5014,19,1))&gt;VALUE(MID(S5014,23,1)),DATA_CLEANED!AK528,DATA_CLEANED!AN528),
ISNUMBER(SEARCH("USA",S5014)),"United States",
ISNUMBER(SEARCH("Republic of Ireland",S5014)),"Ireland",
ISNUMBER(SEARCH("Republic of Korea",S5014)),"South Korea",
ISNUMBER(SEARCH("Cape Verde",S5014)),"Cabo Verde",
ISNUMBER(SEARCH("Czechia",S5014)),"Czech Republic",
ISNUMBER(SEARCH("Türkiye",S5014)),"Turkey",
ISNUMBER(SEARCH("Ivory Coast",S5014)),"Côte d'Ivoire",
ISNUMBER(SEARCH("Korea Republic",S5014)),"South Korea",
ISNUMBER(SEARCH("Germany FR",S5014)),"FR Germany",
ISNUMBER(SEARCH("West Germany",S5014)),"FR Germany",
ISNUMBER(SEARCH("Germany DR",S5014)),"DR Germany",
ISNUMBER(SEARCH("Korea DPR",S5014)),"North Korea",
ISNUMBER(SEARCH("China PR",S5014)),"China",
ISNUMBER(SEARCH("IR Iran",S5014)),"Iran",
ISNUMBER(SEARCH("Congo DR",S5014)),"Democratic Republic of the Congo",
ISNUMBER(SEARCH("DR Congo",S5014)),"Democratic Republic of the Congo",
ISNUMBER(SEARCH("German DR",S5014)),"DR Germany",
ISNUMBER(SEARCH("rn""&gt;United Arab Emirates",S5014)),"United Arab Emirates",
ISNUMBER(SEARCH("rn""&gt;Republic of Ireland",S5014)),"Ireland",
ISNUMBER(SEARCH("rn""&gt;Bosnia and Herzegovina",S5014)),"Bosnia and Herzegovina",
ISNUMBER(SEARCH("rn""&gt;Trinidad and Tobago",S5014)),"Trinidad and Tobago",
ISNUMBER(SEARCH("rn""&gt;Serbia and Montenegro",S5014)),"Serbia and Montenegro",
ISNUMBER(SEARCH(_xlfn.UNICHAR(65533),S5014)),"Côte d'Ivoire",
TRUE,"-"
)</f>
        <v>-</v>
      </c>
      <c r="W5014" s="42" t="str">
        <f t="shared" si="309"/>
        <v>-</v>
      </c>
    </row>
    <row r="5015" spans="19:23">
      <c r="S5015" s="42" t="str">
        <v/>
      </c>
      <c r="T5015" s="42" t="str">
        <f t="shared" si="307"/>
        <v>-</v>
      </c>
      <c r="U5015" s="40" t="str">
        <f t="shared" si="308"/>
        <v>-</v>
      </c>
      <c r="V5015" s="42" t="str" cm="1">
        <f t="array" ref="V5015">_xlfn.IFS(
LEFT(S5015,16)="win on penalties",IF(VALUE(MID(S5015,19,1))&gt;VALUE(MID(S5015,23,1)),DATA_CLEANED!AK529,DATA_CLEANED!AN529),
ISNUMBER(SEARCH("USA",S5015)),"United States",
ISNUMBER(SEARCH("Republic of Ireland",S5015)),"Ireland",
ISNUMBER(SEARCH("Republic of Korea",S5015)),"South Korea",
ISNUMBER(SEARCH("Cape Verde",S5015)),"Cabo Verde",
ISNUMBER(SEARCH("Czechia",S5015)),"Czech Republic",
ISNUMBER(SEARCH("Türkiye",S5015)),"Turkey",
ISNUMBER(SEARCH("Ivory Coast",S5015)),"Côte d'Ivoire",
ISNUMBER(SEARCH("Korea Republic",S5015)),"South Korea",
ISNUMBER(SEARCH("Germany FR",S5015)),"FR Germany",
ISNUMBER(SEARCH("West Germany",S5015)),"FR Germany",
ISNUMBER(SEARCH("Germany DR",S5015)),"DR Germany",
ISNUMBER(SEARCH("Korea DPR",S5015)),"North Korea",
ISNUMBER(SEARCH("China PR",S5015)),"China",
ISNUMBER(SEARCH("IR Iran",S5015)),"Iran",
ISNUMBER(SEARCH("Congo DR",S5015)),"Democratic Republic of the Congo",
ISNUMBER(SEARCH("DR Congo",S5015)),"Democratic Republic of the Congo",
ISNUMBER(SEARCH("German DR",S5015)),"DR Germany",
ISNUMBER(SEARCH("rn""&gt;United Arab Emirates",S5015)),"United Arab Emirates",
ISNUMBER(SEARCH("rn""&gt;Republic of Ireland",S5015)),"Ireland",
ISNUMBER(SEARCH("rn""&gt;Bosnia and Herzegovina",S5015)),"Bosnia and Herzegovina",
ISNUMBER(SEARCH("rn""&gt;Trinidad and Tobago",S5015)),"Trinidad and Tobago",
ISNUMBER(SEARCH("rn""&gt;Serbia and Montenegro",S5015)),"Serbia and Montenegro",
ISNUMBER(SEARCH(_xlfn.UNICHAR(65533),S5015)),"Côte d'Ivoire",
TRUE,"-"
)</f>
        <v>-</v>
      </c>
      <c r="W5015" s="42" t="str">
        <f t="shared" si="309"/>
        <v>-</v>
      </c>
    </row>
    <row r="5016" spans="19:23">
      <c r="S5016" s="42" t="str">
        <v/>
      </c>
      <c r="T5016" s="42" t="str">
        <f t="shared" si="307"/>
        <v>-</v>
      </c>
      <c r="U5016" s="40" t="str">
        <f t="shared" si="308"/>
        <v>-</v>
      </c>
      <c r="V5016" s="42" t="str" cm="1">
        <f t="array" ref="V5016">_xlfn.IFS(
LEFT(S5016,16)="win on penalties",IF(VALUE(MID(S5016,19,1))&gt;VALUE(MID(S5016,23,1)),DATA_CLEANED!AK530,DATA_CLEANED!AN530),
ISNUMBER(SEARCH("USA",S5016)),"United States",
ISNUMBER(SEARCH("Republic of Ireland",S5016)),"Ireland",
ISNUMBER(SEARCH("Republic of Korea",S5016)),"South Korea",
ISNUMBER(SEARCH("Cape Verde",S5016)),"Cabo Verde",
ISNUMBER(SEARCH("Czechia",S5016)),"Czech Republic",
ISNUMBER(SEARCH("Türkiye",S5016)),"Turkey",
ISNUMBER(SEARCH("Ivory Coast",S5016)),"Côte d'Ivoire",
ISNUMBER(SEARCH("Korea Republic",S5016)),"South Korea",
ISNUMBER(SEARCH("Germany FR",S5016)),"FR Germany",
ISNUMBER(SEARCH("West Germany",S5016)),"FR Germany",
ISNUMBER(SEARCH("Germany DR",S5016)),"DR Germany",
ISNUMBER(SEARCH("Korea DPR",S5016)),"North Korea",
ISNUMBER(SEARCH("China PR",S5016)),"China",
ISNUMBER(SEARCH("IR Iran",S5016)),"Iran",
ISNUMBER(SEARCH("Congo DR",S5016)),"Democratic Republic of the Congo",
ISNUMBER(SEARCH("DR Congo",S5016)),"Democratic Republic of the Congo",
ISNUMBER(SEARCH("German DR",S5016)),"DR Germany",
ISNUMBER(SEARCH("rn""&gt;United Arab Emirates",S5016)),"United Arab Emirates",
ISNUMBER(SEARCH("rn""&gt;Republic of Ireland",S5016)),"Ireland",
ISNUMBER(SEARCH("rn""&gt;Bosnia and Herzegovina",S5016)),"Bosnia and Herzegovina",
ISNUMBER(SEARCH("rn""&gt;Trinidad and Tobago",S5016)),"Trinidad and Tobago",
ISNUMBER(SEARCH("rn""&gt;Serbia and Montenegro",S5016)),"Serbia and Montenegro",
ISNUMBER(SEARCH(_xlfn.UNICHAR(65533),S5016)),"Côte d'Ivoire",
TRUE,"-"
)</f>
        <v>-</v>
      </c>
      <c r="W5016" s="42" t="str">
        <f t="shared" si="309"/>
        <v>-</v>
      </c>
    </row>
    <row r="5017" spans="19:23">
      <c r="S5017" s="42" t="str">
        <v/>
      </c>
      <c r="T5017" s="42" t="str">
        <f t="shared" si="307"/>
        <v>-</v>
      </c>
      <c r="U5017" s="40" t="str">
        <f t="shared" si="308"/>
        <v>-</v>
      </c>
      <c r="V5017" s="42" t="str" cm="1">
        <f t="array" ref="V5017">_xlfn.IFS(
LEFT(S5017,16)="win on penalties",IF(VALUE(MID(S5017,19,1))&gt;VALUE(MID(S5017,23,1)),DATA_CLEANED!AK531,DATA_CLEANED!AN531),
ISNUMBER(SEARCH("USA",S5017)),"United States",
ISNUMBER(SEARCH("Republic of Ireland",S5017)),"Ireland",
ISNUMBER(SEARCH("Republic of Korea",S5017)),"South Korea",
ISNUMBER(SEARCH("Cape Verde",S5017)),"Cabo Verde",
ISNUMBER(SEARCH("Czechia",S5017)),"Czech Republic",
ISNUMBER(SEARCH("Türkiye",S5017)),"Turkey",
ISNUMBER(SEARCH("Ivory Coast",S5017)),"Côte d'Ivoire",
ISNUMBER(SEARCH("Korea Republic",S5017)),"South Korea",
ISNUMBER(SEARCH("Germany FR",S5017)),"FR Germany",
ISNUMBER(SEARCH("West Germany",S5017)),"FR Germany",
ISNUMBER(SEARCH("Germany DR",S5017)),"DR Germany",
ISNUMBER(SEARCH("Korea DPR",S5017)),"North Korea",
ISNUMBER(SEARCH("China PR",S5017)),"China",
ISNUMBER(SEARCH("IR Iran",S5017)),"Iran",
ISNUMBER(SEARCH("Congo DR",S5017)),"Democratic Republic of the Congo",
ISNUMBER(SEARCH("DR Congo",S5017)),"Democratic Republic of the Congo",
ISNUMBER(SEARCH("German DR",S5017)),"DR Germany",
ISNUMBER(SEARCH("rn""&gt;United Arab Emirates",S5017)),"United Arab Emirates",
ISNUMBER(SEARCH("rn""&gt;Republic of Ireland",S5017)),"Ireland",
ISNUMBER(SEARCH("rn""&gt;Bosnia and Herzegovina",S5017)),"Bosnia and Herzegovina",
ISNUMBER(SEARCH("rn""&gt;Trinidad and Tobago",S5017)),"Trinidad and Tobago",
ISNUMBER(SEARCH("rn""&gt;Serbia and Montenegro",S5017)),"Serbia and Montenegro",
ISNUMBER(SEARCH(_xlfn.UNICHAR(65533),S5017)),"Côte d'Ivoire",
TRUE,"-"
)</f>
        <v>-</v>
      </c>
      <c r="W5017" s="42" t="str">
        <f t="shared" si="309"/>
        <v>-</v>
      </c>
    </row>
    <row r="5018" spans="19:23">
      <c r="S5018" s="42" t="str">
        <v/>
      </c>
      <c r="T5018" s="42" t="str">
        <f t="shared" si="307"/>
        <v>-</v>
      </c>
      <c r="U5018" s="40" t="str">
        <f t="shared" si="308"/>
        <v>-</v>
      </c>
      <c r="V5018" s="42" t="str" cm="1">
        <f t="array" ref="V5018">_xlfn.IFS(
LEFT(S5018,16)="win on penalties",IF(VALUE(MID(S5018,19,1))&gt;VALUE(MID(S5018,23,1)),DATA_CLEANED!AK532,DATA_CLEANED!AN532),
ISNUMBER(SEARCH("USA",S5018)),"United States",
ISNUMBER(SEARCH("Republic of Ireland",S5018)),"Ireland",
ISNUMBER(SEARCH("Republic of Korea",S5018)),"South Korea",
ISNUMBER(SEARCH("Cape Verde",S5018)),"Cabo Verde",
ISNUMBER(SEARCH("Czechia",S5018)),"Czech Republic",
ISNUMBER(SEARCH("Türkiye",S5018)),"Turkey",
ISNUMBER(SEARCH("Ivory Coast",S5018)),"Côte d'Ivoire",
ISNUMBER(SEARCH("Korea Republic",S5018)),"South Korea",
ISNUMBER(SEARCH("Germany FR",S5018)),"FR Germany",
ISNUMBER(SEARCH("West Germany",S5018)),"FR Germany",
ISNUMBER(SEARCH("Germany DR",S5018)),"DR Germany",
ISNUMBER(SEARCH("Korea DPR",S5018)),"North Korea",
ISNUMBER(SEARCH("China PR",S5018)),"China",
ISNUMBER(SEARCH("IR Iran",S5018)),"Iran",
ISNUMBER(SEARCH("Congo DR",S5018)),"Democratic Republic of the Congo",
ISNUMBER(SEARCH("DR Congo",S5018)),"Democratic Republic of the Congo",
ISNUMBER(SEARCH("German DR",S5018)),"DR Germany",
ISNUMBER(SEARCH("rn""&gt;United Arab Emirates",S5018)),"United Arab Emirates",
ISNUMBER(SEARCH("rn""&gt;Republic of Ireland",S5018)),"Ireland",
ISNUMBER(SEARCH("rn""&gt;Bosnia and Herzegovina",S5018)),"Bosnia and Herzegovina",
ISNUMBER(SEARCH("rn""&gt;Trinidad and Tobago",S5018)),"Trinidad and Tobago",
ISNUMBER(SEARCH("rn""&gt;Serbia and Montenegro",S5018)),"Serbia and Montenegro",
ISNUMBER(SEARCH(_xlfn.UNICHAR(65533),S5018)),"Côte d'Ivoire",
TRUE,"-"
)</f>
        <v>-</v>
      </c>
      <c r="W5018" s="42" t="str">
        <f t="shared" si="309"/>
        <v>-</v>
      </c>
    </row>
    <row r="5019" spans="19:23">
      <c r="S5019" s="42" t="str">
        <v/>
      </c>
      <c r="T5019" s="42" t="str">
        <f t="shared" si="307"/>
        <v>-</v>
      </c>
      <c r="U5019" s="40" t="str">
        <f t="shared" si="308"/>
        <v>-</v>
      </c>
      <c r="V5019" s="42" t="str" cm="1">
        <f t="array" ref="V5019">_xlfn.IFS(
LEFT(S5019,16)="win on penalties",IF(VALUE(MID(S5019,19,1))&gt;VALUE(MID(S5019,23,1)),DATA_CLEANED!AK533,DATA_CLEANED!AN533),
ISNUMBER(SEARCH("USA",S5019)),"United States",
ISNUMBER(SEARCH("Republic of Ireland",S5019)),"Ireland",
ISNUMBER(SEARCH("Republic of Korea",S5019)),"South Korea",
ISNUMBER(SEARCH("Cape Verde",S5019)),"Cabo Verde",
ISNUMBER(SEARCH("Czechia",S5019)),"Czech Republic",
ISNUMBER(SEARCH("Türkiye",S5019)),"Turkey",
ISNUMBER(SEARCH("Ivory Coast",S5019)),"Côte d'Ivoire",
ISNUMBER(SEARCH("Korea Republic",S5019)),"South Korea",
ISNUMBER(SEARCH("Germany FR",S5019)),"FR Germany",
ISNUMBER(SEARCH("West Germany",S5019)),"FR Germany",
ISNUMBER(SEARCH("Germany DR",S5019)),"DR Germany",
ISNUMBER(SEARCH("Korea DPR",S5019)),"North Korea",
ISNUMBER(SEARCH("China PR",S5019)),"China",
ISNUMBER(SEARCH("IR Iran",S5019)),"Iran",
ISNUMBER(SEARCH("Congo DR",S5019)),"Democratic Republic of the Congo",
ISNUMBER(SEARCH("DR Congo",S5019)),"Democratic Republic of the Congo",
ISNUMBER(SEARCH("German DR",S5019)),"DR Germany",
ISNUMBER(SEARCH("rn""&gt;United Arab Emirates",S5019)),"United Arab Emirates",
ISNUMBER(SEARCH("rn""&gt;Republic of Ireland",S5019)),"Ireland",
ISNUMBER(SEARCH("rn""&gt;Bosnia and Herzegovina",S5019)),"Bosnia and Herzegovina",
ISNUMBER(SEARCH("rn""&gt;Trinidad and Tobago",S5019)),"Trinidad and Tobago",
ISNUMBER(SEARCH("rn""&gt;Serbia and Montenegro",S5019)),"Serbia and Montenegro",
ISNUMBER(SEARCH(_xlfn.UNICHAR(65533),S5019)),"Côte d'Ivoire",
TRUE,"-"
)</f>
        <v>-</v>
      </c>
      <c r="W5019" s="42" t="str">
        <f t="shared" si="309"/>
        <v>-</v>
      </c>
    </row>
    <row r="5020" spans="19:23">
      <c r="S5020" s="42" t="str">
        <v/>
      </c>
      <c r="T5020" s="42" t="str">
        <f t="shared" si="307"/>
        <v>-</v>
      </c>
      <c r="U5020" s="40" t="str">
        <f t="shared" si="308"/>
        <v>-</v>
      </c>
      <c r="V5020" s="42" t="str" cm="1">
        <f t="array" ref="V5020">_xlfn.IFS(
LEFT(S5020,16)="win on penalties",IF(VALUE(MID(S5020,19,1))&gt;VALUE(MID(S5020,23,1)),DATA_CLEANED!AK534,DATA_CLEANED!AN534),
ISNUMBER(SEARCH("USA",S5020)),"United States",
ISNUMBER(SEARCH("Republic of Ireland",S5020)),"Ireland",
ISNUMBER(SEARCH("Republic of Korea",S5020)),"South Korea",
ISNUMBER(SEARCH("Cape Verde",S5020)),"Cabo Verde",
ISNUMBER(SEARCH("Czechia",S5020)),"Czech Republic",
ISNUMBER(SEARCH("Türkiye",S5020)),"Turkey",
ISNUMBER(SEARCH("Ivory Coast",S5020)),"Côte d'Ivoire",
ISNUMBER(SEARCH("Korea Republic",S5020)),"South Korea",
ISNUMBER(SEARCH("Germany FR",S5020)),"FR Germany",
ISNUMBER(SEARCH("West Germany",S5020)),"FR Germany",
ISNUMBER(SEARCH("Germany DR",S5020)),"DR Germany",
ISNUMBER(SEARCH("Korea DPR",S5020)),"North Korea",
ISNUMBER(SEARCH("China PR",S5020)),"China",
ISNUMBER(SEARCH("IR Iran",S5020)),"Iran",
ISNUMBER(SEARCH("Congo DR",S5020)),"Democratic Republic of the Congo",
ISNUMBER(SEARCH("DR Congo",S5020)),"Democratic Republic of the Congo",
ISNUMBER(SEARCH("German DR",S5020)),"DR Germany",
ISNUMBER(SEARCH("rn""&gt;United Arab Emirates",S5020)),"United Arab Emirates",
ISNUMBER(SEARCH("rn""&gt;Republic of Ireland",S5020)),"Ireland",
ISNUMBER(SEARCH("rn""&gt;Bosnia and Herzegovina",S5020)),"Bosnia and Herzegovina",
ISNUMBER(SEARCH("rn""&gt;Trinidad and Tobago",S5020)),"Trinidad and Tobago",
ISNUMBER(SEARCH("rn""&gt;Serbia and Montenegro",S5020)),"Serbia and Montenegro",
ISNUMBER(SEARCH(_xlfn.UNICHAR(65533),S5020)),"Côte d'Ivoire",
TRUE,"-"
)</f>
        <v>-</v>
      </c>
      <c r="W5020" s="42" t="str">
        <f t="shared" si="309"/>
        <v>-</v>
      </c>
    </row>
    <row r="5021" spans="19:23">
      <c r="S5021" s="42" t="str">
        <v/>
      </c>
      <c r="T5021" s="42" t="str">
        <f t="shared" si="307"/>
        <v>-</v>
      </c>
      <c r="U5021" s="40" t="str">
        <f t="shared" si="308"/>
        <v>-</v>
      </c>
      <c r="V5021" s="42" t="str" cm="1">
        <f t="array" ref="V5021">_xlfn.IFS(
LEFT(S5021,16)="win on penalties",IF(VALUE(MID(S5021,19,1))&gt;VALUE(MID(S5021,23,1)),DATA_CLEANED!AK535,DATA_CLEANED!AN535),
ISNUMBER(SEARCH("USA",S5021)),"United States",
ISNUMBER(SEARCH("Republic of Ireland",S5021)),"Ireland",
ISNUMBER(SEARCH("Republic of Korea",S5021)),"South Korea",
ISNUMBER(SEARCH("Cape Verde",S5021)),"Cabo Verde",
ISNUMBER(SEARCH("Czechia",S5021)),"Czech Republic",
ISNUMBER(SEARCH("Türkiye",S5021)),"Turkey",
ISNUMBER(SEARCH("Ivory Coast",S5021)),"Côte d'Ivoire",
ISNUMBER(SEARCH("Korea Republic",S5021)),"South Korea",
ISNUMBER(SEARCH("Germany FR",S5021)),"FR Germany",
ISNUMBER(SEARCH("West Germany",S5021)),"FR Germany",
ISNUMBER(SEARCH("Germany DR",S5021)),"DR Germany",
ISNUMBER(SEARCH("Korea DPR",S5021)),"North Korea",
ISNUMBER(SEARCH("China PR",S5021)),"China",
ISNUMBER(SEARCH("IR Iran",S5021)),"Iran",
ISNUMBER(SEARCH("Congo DR",S5021)),"Democratic Republic of the Congo",
ISNUMBER(SEARCH("DR Congo",S5021)),"Democratic Republic of the Congo",
ISNUMBER(SEARCH("German DR",S5021)),"DR Germany",
ISNUMBER(SEARCH("rn""&gt;United Arab Emirates",S5021)),"United Arab Emirates",
ISNUMBER(SEARCH("rn""&gt;Republic of Ireland",S5021)),"Ireland",
ISNUMBER(SEARCH("rn""&gt;Bosnia and Herzegovina",S5021)),"Bosnia and Herzegovina",
ISNUMBER(SEARCH("rn""&gt;Trinidad and Tobago",S5021)),"Trinidad and Tobago",
ISNUMBER(SEARCH("rn""&gt;Serbia and Montenegro",S5021)),"Serbia and Montenegro",
ISNUMBER(SEARCH(_xlfn.UNICHAR(65533),S5021)),"Côte d'Ivoire",
TRUE,"-"
)</f>
        <v>-</v>
      </c>
      <c r="W5021" s="42" t="str">
        <f t="shared" si="309"/>
        <v>-</v>
      </c>
    </row>
    <row r="5022" spans="19:23">
      <c r="S5022" s="42" t="str">
        <v/>
      </c>
      <c r="T5022" s="42" t="str">
        <f t="shared" si="307"/>
        <v>-</v>
      </c>
      <c r="U5022" s="40" t="str">
        <f t="shared" si="308"/>
        <v>-</v>
      </c>
      <c r="V5022" s="42" t="str" cm="1">
        <f t="array" ref="V5022">_xlfn.IFS(
LEFT(S5022,16)="win on penalties",IF(VALUE(MID(S5022,19,1))&gt;VALUE(MID(S5022,23,1)),DATA_CLEANED!AK536,DATA_CLEANED!AN536),
ISNUMBER(SEARCH("USA",S5022)),"United States",
ISNUMBER(SEARCH("Republic of Ireland",S5022)),"Ireland",
ISNUMBER(SEARCH("Republic of Korea",S5022)),"South Korea",
ISNUMBER(SEARCH("Cape Verde",S5022)),"Cabo Verde",
ISNUMBER(SEARCH("Czechia",S5022)),"Czech Republic",
ISNUMBER(SEARCH("Türkiye",S5022)),"Turkey",
ISNUMBER(SEARCH("Ivory Coast",S5022)),"Côte d'Ivoire",
ISNUMBER(SEARCH("Korea Republic",S5022)),"South Korea",
ISNUMBER(SEARCH("Germany FR",S5022)),"FR Germany",
ISNUMBER(SEARCH("West Germany",S5022)),"FR Germany",
ISNUMBER(SEARCH("Germany DR",S5022)),"DR Germany",
ISNUMBER(SEARCH("Korea DPR",S5022)),"North Korea",
ISNUMBER(SEARCH("China PR",S5022)),"China",
ISNUMBER(SEARCH("IR Iran",S5022)),"Iran",
ISNUMBER(SEARCH("Congo DR",S5022)),"Democratic Republic of the Congo",
ISNUMBER(SEARCH("DR Congo",S5022)),"Democratic Republic of the Congo",
ISNUMBER(SEARCH("German DR",S5022)),"DR Germany",
ISNUMBER(SEARCH("rn""&gt;United Arab Emirates",S5022)),"United Arab Emirates",
ISNUMBER(SEARCH("rn""&gt;Republic of Ireland",S5022)),"Ireland",
ISNUMBER(SEARCH("rn""&gt;Bosnia and Herzegovina",S5022)),"Bosnia and Herzegovina",
ISNUMBER(SEARCH("rn""&gt;Trinidad and Tobago",S5022)),"Trinidad and Tobago",
ISNUMBER(SEARCH("rn""&gt;Serbia and Montenegro",S5022)),"Serbia and Montenegro",
ISNUMBER(SEARCH(_xlfn.UNICHAR(65533),S5022)),"Côte d'Ivoire",
TRUE,"-"
)</f>
        <v>-</v>
      </c>
      <c r="W5022" s="42" t="str">
        <f t="shared" si="309"/>
        <v>-</v>
      </c>
    </row>
    <row r="5023" spans="19:23">
      <c r="S5023" s="42" t="str">
        <v/>
      </c>
      <c r="T5023" s="42" t="str">
        <f t="shared" si="307"/>
        <v>-</v>
      </c>
      <c r="U5023" s="40" t="str">
        <f t="shared" si="308"/>
        <v>-</v>
      </c>
      <c r="V5023" s="42" t="str" cm="1">
        <f t="array" ref="V5023">_xlfn.IFS(
LEFT(S5023,16)="win on penalties",IF(VALUE(MID(S5023,19,1))&gt;VALUE(MID(S5023,23,1)),DATA_CLEANED!AK537,DATA_CLEANED!AN537),
ISNUMBER(SEARCH("USA",S5023)),"United States",
ISNUMBER(SEARCH("Republic of Ireland",S5023)),"Ireland",
ISNUMBER(SEARCH("Republic of Korea",S5023)),"South Korea",
ISNUMBER(SEARCH("Cape Verde",S5023)),"Cabo Verde",
ISNUMBER(SEARCH("Czechia",S5023)),"Czech Republic",
ISNUMBER(SEARCH("Türkiye",S5023)),"Turkey",
ISNUMBER(SEARCH("Ivory Coast",S5023)),"Côte d'Ivoire",
ISNUMBER(SEARCH("Korea Republic",S5023)),"South Korea",
ISNUMBER(SEARCH("Germany FR",S5023)),"FR Germany",
ISNUMBER(SEARCH("West Germany",S5023)),"FR Germany",
ISNUMBER(SEARCH("Germany DR",S5023)),"DR Germany",
ISNUMBER(SEARCH("Korea DPR",S5023)),"North Korea",
ISNUMBER(SEARCH("China PR",S5023)),"China",
ISNUMBER(SEARCH("IR Iran",S5023)),"Iran",
ISNUMBER(SEARCH("Congo DR",S5023)),"Democratic Republic of the Congo",
ISNUMBER(SEARCH("DR Congo",S5023)),"Democratic Republic of the Congo",
ISNUMBER(SEARCH("German DR",S5023)),"DR Germany",
ISNUMBER(SEARCH("rn""&gt;United Arab Emirates",S5023)),"United Arab Emirates",
ISNUMBER(SEARCH("rn""&gt;Republic of Ireland",S5023)),"Ireland",
ISNUMBER(SEARCH("rn""&gt;Bosnia and Herzegovina",S5023)),"Bosnia and Herzegovina",
ISNUMBER(SEARCH("rn""&gt;Trinidad and Tobago",S5023)),"Trinidad and Tobago",
ISNUMBER(SEARCH("rn""&gt;Serbia and Montenegro",S5023)),"Serbia and Montenegro",
ISNUMBER(SEARCH(_xlfn.UNICHAR(65533),S5023)),"Côte d'Ivoire",
TRUE,"-"
)</f>
        <v>-</v>
      </c>
      <c r="W5023" s="42" t="str">
        <f t="shared" si="309"/>
        <v>-</v>
      </c>
    </row>
    <row r="5024" spans="19:23">
      <c r="S5024" s="42" t="str">
        <v/>
      </c>
      <c r="T5024" s="42" t="str">
        <f t="shared" si="307"/>
        <v>-</v>
      </c>
      <c r="U5024" s="40" t="str">
        <f t="shared" si="308"/>
        <v>-</v>
      </c>
      <c r="V5024" s="42" t="str" cm="1">
        <f t="array" ref="V5024">_xlfn.IFS(
LEFT(S5024,16)="win on penalties",IF(VALUE(MID(S5024,19,1))&gt;VALUE(MID(S5024,23,1)),DATA_CLEANED!AK538,DATA_CLEANED!AN538),
ISNUMBER(SEARCH("USA",S5024)),"United States",
ISNUMBER(SEARCH("Republic of Ireland",S5024)),"Ireland",
ISNUMBER(SEARCH("Republic of Korea",S5024)),"South Korea",
ISNUMBER(SEARCH("Cape Verde",S5024)),"Cabo Verde",
ISNUMBER(SEARCH("Czechia",S5024)),"Czech Republic",
ISNUMBER(SEARCH("Türkiye",S5024)),"Turkey",
ISNUMBER(SEARCH("Ivory Coast",S5024)),"Côte d'Ivoire",
ISNUMBER(SEARCH("Korea Republic",S5024)),"South Korea",
ISNUMBER(SEARCH("Germany FR",S5024)),"FR Germany",
ISNUMBER(SEARCH("West Germany",S5024)),"FR Germany",
ISNUMBER(SEARCH("Germany DR",S5024)),"DR Germany",
ISNUMBER(SEARCH("Korea DPR",S5024)),"North Korea",
ISNUMBER(SEARCH("China PR",S5024)),"China",
ISNUMBER(SEARCH("IR Iran",S5024)),"Iran",
ISNUMBER(SEARCH("Congo DR",S5024)),"Democratic Republic of the Congo",
ISNUMBER(SEARCH("DR Congo",S5024)),"Democratic Republic of the Congo",
ISNUMBER(SEARCH("German DR",S5024)),"DR Germany",
ISNUMBER(SEARCH("rn""&gt;United Arab Emirates",S5024)),"United Arab Emirates",
ISNUMBER(SEARCH("rn""&gt;Republic of Ireland",S5024)),"Ireland",
ISNUMBER(SEARCH("rn""&gt;Bosnia and Herzegovina",S5024)),"Bosnia and Herzegovina",
ISNUMBER(SEARCH("rn""&gt;Trinidad and Tobago",S5024)),"Trinidad and Tobago",
ISNUMBER(SEARCH("rn""&gt;Serbia and Montenegro",S5024)),"Serbia and Montenegro",
ISNUMBER(SEARCH(_xlfn.UNICHAR(65533),S5024)),"Côte d'Ivoire",
TRUE,"-"
)</f>
        <v>-</v>
      </c>
      <c r="W5024" s="42" t="str">
        <f t="shared" si="309"/>
        <v>-</v>
      </c>
    </row>
    <row r="5025" spans="19:23">
      <c r="S5025" s="42" t="str">
        <v/>
      </c>
      <c r="T5025" s="42" t="str">
        <f t="shared" si="307"/>
        <v>-</v>
      </c>
      <c r="U5025" s="40" t="str">
        <f t="shared" si="308"/>
        <v>-</v>
      </c>
      <c r="V5025" s="42" t="str" cm="1">
        <f t="array" ref="V5025">_xlfn.IFS(
LEFT(S5025,16)="win on penalties",IF(VALUE(MID(S5025,19,1))&gt;VALUE(MID(S5025,23,1)),DATA_CLEANED!AK539,DATA_CLEANED!AN539),
ISNUMBER(SEARCH("USA",S5025)),"United States",
ISNUMBER(SEARCH("Republic of Ireland",S5025)),"Ireland",
ISNUMBER(SEARCH("Republic of Korea",S5025)),"South Korea",
ISNUMBER(SEARCH("Cape Verde",S5025)),"Cabo Verde",
ISNUMBER(SEARCH("Czechia",S5025)),"Czech Republic",
ISNUMBER(SEARCH("Türkiye",S5025)),"Turkey",
ISNUMBER(SEARCH("Ivory Coast",S5025)),"Côte d'Ivoire",
ISNUMBER(SEARCH("Korea Republic",S5025)),"South Korea",
ISNUMBER(SEARCH("Germany FR",S5025)),"FR Germany",
ISNUMBER(SEARCH("West Germany",S5025)),"FR Germany",
ISNUMBER(SEARCH("Germany DR",S5025)),"DR Germany",
ISNUMBER(SEARCH("Korea DPR",S5025)),"North Korea",
ISNUMBER(SEARCH("China PR",S5025)),"China",
ISNUMBER(SEARCH("IR Iran",S5025)),"Iran",
ISNUMBER(SEARCH("Congo DR",S5025)),"Democratic Republic of the Congo",
ISNUMBER(SEARCH("DR Congo",S5025)),"Democratic Republic of the Congo",
ISNUMBER(SEARCH("German DR",S5025)),"DR Germany",
ISNUMBER(SEARCH("rn""&gt;United Arab Emirates",S5025)),"United Arab Emirates",
ISNUMBER(SEARCH("rn""&gt;Republic of Ireland",S5025)),"Ireland",
ISNUMBER(SEARCH("rn""&gt;Bosnia and Herzegovina",S5025)),"Bosnia and Herzegovina",
ISNUMBER(SEARCH("rn""&gt;Trinidad and Tobago",S5025)),"Trinidad and Tobago",
ISNUMBER(SEARCH("rn""&gt;Serbia and Montenegro",S5025)),"Serbia and Montenegro",
ISNUMBER(SEARCH(_xlfn.UNICHAR(65533),S5025)),"Côte d'Ivoire",
TRUE,"-"
)</f>
        <v>-</v>
      </c>
      <c r="W5025" s="42" t="str">
        <f t="shared" si="309"/>
        <v>-</v>
      </c>
    </row>
    <row r="5026" spans="19:23">
      <c r="S5026" s="42" t="str">
        <v/>
      </c>
      <c r="T5026" s="42" t="str">
        <f t="shared" si="307"/>
        <v>-</v>
      </c>
      <c r="U5026" s="40" t="str">
        <f t="shared" si="308"/>
        <v>-</v>
      </c>
      <c r="V5026" s="42" t="str" cm="1">
        <f t="array" ref="V5026">_xlfn.IFS(
LEFT(S5026,16)="win on penalties",IF(VALUE(MID(S5026,19,1))&gt;VALUE(MID(S5026,23,1)),DATA_CLEANED!AK540,DATA_CLEANED!AN540),
ISNUMBER(SEARCH("USA",S5026)),"United States",
ISNUMBER(SEARCH("Republic of Ireland",S5026)),"Ireland",
ISNUMBER(SEARCH("Republic of Korea",S5026)),"South Korea",
ISNUMBER(SEARCH("Cape Verde",S5026)),"Cabo Verde",
ISNUMBER(SEARCH("Czechia",S5026)),"Czech Republic",
ISNUMBER(SEARCH("Türkiye",S5026)),"Turkey",
ISNUMBER(SEARCH("Ivory Coast",S5026)),"Côte d'Ivoire",
ISNUMBER(SEARCH("Korea Republic",S5026)),"South Korea",
ISNUMBER(SEARCH("Germany FR",S5026)),"FR Germany",
ISNUMBER(SEARCH("West Germany",S5026)),"FR Germany",
ISNUMBER(SEARCH("Germany DR",S5026)),"DR Germany",
ISNUMBER(SEARCH("Korea DPR",S5026)),"North Korea",
ISNUMBER(SEARCH("China PR",S5026)),"China",
ISNUMBER(SEARCH("IR Iran",S5026)),"Iran",
ISNUMBER(SEARCH("Congo DR",S5026)),"Democratic Republic of the Congo",
ISNUMBER(SEARCH("DR Congo",S5026)),"Democratic Republic of the Congo",
ISNUMBER(SEARCH("German DR",S5026)),"DR Germany",
ISNUMBER(SEARCH("rn""&gt;United Arab Emirates",S5026)),"United Arab Emirates",
ISNUMBER(SEARCH("rn""&gt;Republic of Ireland",S5026)),"Ireland",
ISNUMBER(SEARCH("rn""&gt;Bosnia and Herzegovina",S5026)),"Bosnia and Herzegovina",
ISNUMBER(SEARCH("rn""&gt;Trinidad and Tobago",S5026)),"Trinidad and Tobago",
ISNUMBER(SEARCH("rn""&gt;Serbia and Montenegro",S5026)),"Serbia and Montenegro",
ISNUMBER(SEARCH(_xlfn.UNICHAR(65533),S5026)),"Côte d'Ivoire",
TRUE,"-"
)</f>
        <v>-</v>
      </c>
      <c r="W5026" s="42" t="str">
        <f t="shared" si="309"/>
        <v>-</v>
      </c>
    </row>
    <row r="5027" spans="19:23">
      <c r="S5027" s="42" t="str">
        <v/>
      </c>
      <c r="T5027" s="42" t="str">
        <f t="shared" si="307"/>
        <v>-</v>
      </c>
      <c r="U5027" s="40" t="str">
        <f t="shared" si="308"/>
        <v>-</v>
      </c>
      <c r="V5027" s="42" t="str" cm="1">
        <f t="array" ref="V5027">_xlfn.IFS(
LEFT(S5027,16)="win on penalties",IF(VALUE(MID(S5027,19,1))&gt;VALUE(MID(S5027,23,1)),DATA_CLEANED!AK541,DATA_CLEANED!AN541),
ISNUMBER(SEARCH("USA",S5027)),"United States",
ISNUMBER(SEARCH("Republic of Ireland",S5027)),"Ireland",
ISNUMBER(SEARCH("Republic of Korea",S5027)),"South Korea",
ISNUMBER(SEARCH("Cape Verde",S5027)),"Cabo Verde",
ISNUMBER(SEARCH("Czechia",S5027)),"Czech Republic",
ISNUMBER(SEARCH("Türkiye",S5027)),"Turkey",
ISNUMBER(SEARCH("Ivory Coast",S5027)),"Côte d'Ivoire",
ISNUMBER(SEARCH("Korea Republic",S5027)),"South Korea",
ISNUMBER(SEARCH("Germany FR",S5027)),"FR Germany",
ISNUMBER(SEARCH("West Germany",S5027)),"FR Germany",
ISNUMBER(SEARCH("Germany DR",S5027)),"DR Germany",
ISNUMBER(SEARCH("Korea DPR",S5027)),"North Korea",
ISNUMBER(SEARCH("China PR",S5027)),"China",
ISNUMBER(SEARCH("IR Iran",S5027)),"Iran",
ISNUMBER(SEARCH("Congo DR",S5027)),"Democratic Republic of the Congo",
ISNUMBER(SEARCH("DR Congo",S5027)),"Democratic Republic of the Congo",
ISNUMBER(SEARCH("German DR",S5027)),"DR Germany",
ISNUMBER(SEARCH("rn""&gt;United Arab Emirates",S5027)),"United Arab Emirates",
ISNUMBER(SEARCH("rn""&gt;Republic of Ireland",S5027)),"Ireland",
ISNUMBER(SEARCH("rn""&gt;Bosnia and Herzegovina",S5027)),"Bosnia and Herzegovina",
ISNUMBER(SEARCH("rn""&gt;Trinidad and Tobago",S5027)),"Trinidad and Tobago",
ISNUMBER(SEARCH("rn""&gt;Serbia and Montenegro",S5027)),"Serbia and Montenegro",
ISNUMBER(SEARCH(_xlfn.UNICHAR(65533),S5027)),"Côte d'Ivoire",
TRUE,"-"
)</f>
        <v>-</v>
      </c>
      <c r="W5027" s="42" t="str">
        <f t="shared" si="309"/>
        <v>-</v>
      </c>
    </row>
    <row r="5028" spans="19:23">
      <c r="S5028" s="42" t="str">
        <v/>
      </c>
      <c r="T5028" s="42" t="str">
        <f t="shared" si="307"/>
        <v>-</v>
      </c>
      <c r="U5028" s="40" t="str">
        <f t="shared" si="308"/>
        <v>-</v>
      </c>
      <c r="V5028" s="42" t="str" cm="1">
        <f t="array" ref="V5028">_xlfn.IFS(
LEFT(S5028,16)="win on penalties",IF(VALUE(MID(S5028,19,1))&gt;VALUE(MID(S5028,23,1)),DATA_CLEANED!AK542,DATA_CLEANED!AN542),
ISNUMBER(SEARCH("USA",S5028)),"United States",
ISNUMBER(SEARCH("Republic of Ireland",S5028)),"Ireland",
ISNUMBER(SEARCH("Republic of Korea",S5028)),"South Korea",
ISNUMBER(SEARCH("Cape Verde",S5028)),"Cabo Verde",
ISNUMBER(SEARCH("Czechia",S5028)),"Czech Republic",
ISNUMBER(SEARCH("Türkiye",S5028)),"Turkey",
ISNUMBER(SEARCH("Ivory Coast",S5028)),"Côte d'Ivoire",
ISNUMBER(SEARCH("Korea Republic",S5028)),"South Korea",
ISNUMBER(SEARCH("Germany FR",S5028)),"FR Germany",
ISNUMBER(SEARCH("West Germany",S5028)),"FR Germany",
ISNUMBER(SEARCH("Germany DR",S5028)),"DR Germany",
ISNUMBER(SEARCH("Korea DPR",S5028)),"North Korea",
ISNUMBER(SEARCH("China PR",S5028)),"China",
ISNUMBER(SEARCH("IR Iran",S5028)),"Iran",
ISNUMBER(SEARCH("Congo DR",S5028)),"Democratic Republic of the Congo",
ISNUMBER(SEARCH("DR Congo",S5028)),"Democratic Republic of the Congo",
ISNUMBER(SEARCH("German DR",S5028)),"DR Germany",
ISNUMBER(SEARCH("rn""&gt;United Arab Emirates",S5028)),"United Arab Emirates",
ISNUMBER(SEARCH("rn""&gt;Republic of Ireland",S5028)),"Ireland",
ISNUMBER(SEARCH("rn""&gt;Bosnia and Herzegovina",S5028)),"Bosnia and Herzegovina",
ISNUMBER(SEARCH("rn""&gt;Trinidad and Tobago",S5028)),"Trinidad and Tobago",
ISNUMBER(SEARCH("rn""&gt;Serbia and Montenegro",S5028)),"Serbia and Montenegro",
ISNUMBER(SEARCH(_xlfn.UNICHAR(65533),S5028)),"Côte d'Ivoire",
TRUE,"-"
)</f>
        <v>-</v>
      </c>
      <c r="W5028" s="42" t="str">
        <f t="shared" si="309"/>
        <v>-</v>
      </c>
    </row>
    <row r="5029" spans="19:23">
      <c r="S5029" s="42" t="str">
        <v/>
      </c>
      <c r="T5029" s="42" t="str">
        <f t="shared" si="307"/>
        <v>-</v>
      </c>
      <c r="U5029" s="40" t="str">
        <f t="shared" si="308"/>
        <v>-</v>
      </c>
      <c r="V5029" s="42" t="str" cm="1">
        <f t="array" ref="V5029">_xlfn.IFS(
LEFT(S5029,16)="win on penalties",IF(VALUE(MID(S5029,19,1))&gt;VALUE(MID(S5029,23,1)),DATA_CLEANED!AK543,DATA_CLEANED!AN543),
ISNUMBER(SEARCH("USA",S5029)),"United States",
ISNUMBER(SEARCH("Republic of Ireland",S5029)),"Ireland",
ISNUMBER(SEARCH("Republic of Korea",S5029)),"South Korea",
ISNUMBER(SEARCH("Cape Verde",S5029)),"Cabo Verde",
ISNUMBER(SEARCH("Czechia",S5029)),"Czech Republic",
ISNUMBER(SEARCH("Türkiye",S5029)),"Turkey",
ISNUMBER(SEARCH("Ivory Coast",S5029)),"Côte d'Ivoire",
ISNUMBER(SEARCH("Korea Republic",S5029)),"South Korea",
ISNUMBER(SEARCH("Germany FR",S5029)),"FR Germany",
ISNUMBER(SEARCH("West Germany",S5029)),"FR Germany",
ISNUMBER(SEARCH("Germany DR",S5029)),"DR Germany",
ISNUMBER(SEARCH("Korea DPR",S5029)),"North Korea",
ISNUMBER(SEARCH("China PR",S5029)),"China",
ISNUMBER(SEARCH("IR Iran",S5029)),"Iran",
ISNUMBER(SEARCH("Congo DR",S5029)),"Democratic Republic of the Congo",
ISNUMBER(SEARCH("DR Congo",S5029)),"Democratic Republic of the Congo",
ISNUMBER(SEARCH("German DR",S5029)),"DR Germany",
ISNUMBER(SEARCH("rn""&gt;United Arab Emirates",S5029)),"United Arab Emirates",
ISNUMBER(SEARCH("rn""&gt;Republic of Ireland",S5029)),"Ireland",
ISNUMBER(SEARCH("rn""&gt;Bosnia and Herzegovina",S5029)),"Bosnia and Herzegovina",
ISNUMBER(SEARCH("rn""&gt;Trinidad and Tobago",S5029)),"Trinidad and Tobago",
ISNUMBER(SEARCH("rn""&gt;Serbia and Montenegro",S5029)),"Serbia and Montenegro",
ISNUMBER(SEARCH(_xlfn.UNICHAR(65533),S5029)),"Côte d'Ivoire",
TRUE,"-"
)</f>
        <v>-</v>
      </c>
      <c r="W5029" s="42" t="str">
        <f t="shared" si="309"/>
        <v>-</v>
      </c>
    </row>
    <row r="5030" spans="19:23">
      <c r="S5030" s="42" t="str">
        <v/>
      </c>
      <c r="T5030" s="42" t="str">
        <f t="shared" si="307"/>
        <v>-</v>
      </c>
      <c r="U5030" s="40" t="str">
        <f t="shared" si="308"/>
        <v>-</v>
      </c>
      <c r="V5030" s="42" t="str" cm="1">
        <f t="array" ref="V5030">_xlfn.IFS(
LEFT(S5030,16)="win on penalties",IF(VALUE(MID(S5030,19,1))&gt;VALUE(MID(S5030,23,1)),DATA_CLEANED!AK544,DATA_CLEANED!AN544),
ISNUMBER(SEARCH("USA",S5030)),"United States",
ISNUMBER(SEARCH("Republic of Ireland",S5030)),"Ireland",
ISNUMBER(SEARCH("Republic of Korea",S5030)),"South Korea",
ISNUMBER(SEARCH("Cape Verde",S5030)),"Cabo Verde",
ISNUMBER(SEARCH("Czechia",S5030)),"Czech Republic",
ISNUMBER(SEARCH("Türkiye",S5030)),"Turkey",
ISNUMBER(SEARCH("Ivory Coast",S5030)),"Côte d'Ivoire",
ISNUMBER(SEARCH("Korea Republic",S5030)),"South Korea",
ISNUMBER(SEARCH("Germany FR",S5030)),"FR Germany",
ISNUMBER(SEARCH("West Germany",S5030)),"FR Germany",
ISNUMBER(SEARCH("Germany DR",S5030)),"DR Germany",
ISNUMBER(SEARCH("Korea DPR",S5030)),"North Korea",
ISNUMBER(SEARCH("China PR",S5030)),"China",
ISNUMBER(SEARCH("IR Iran",S5030)),"Iran",
ISNUMBER(SEARCH("Congo DR",S5030)),"Democratic Republic of the Congo",
ISNUMBER(SEARCH("DR Congo",S5030)),"Democratic Republic of the Congo",
ISNUMBER(SEARCH("German DR",S5030)),"DR Germany",
ISNUMBER(SEARCH("rn""&gt;United Arab Emirates",S5030)),"United Arab Emirates",
ISNUMBER(SEARCH("rn""&gt;Republic of Ireland",S5030)),"Ireland",
ISNUMBER(SEARCH("rn""&gt;Bosnia and Herzegovina",S5030)),"Bosnia and Herzegovina",
ISNUMBER(SEARCH("rn""&gt;Trinidad and Tobago",S5030)),"Trinidad and Tobago",
ISNUMBER(SEARCH("rn""&gt;Serbia and Montenegro",S5030)),"Serbia and Montenegro",
ISNUMBER(SEARCH(_xlfn.UNICHAR(65533),S5030)),"Côte d'Ivoire",
TRUE,"-"
)</f>
        <v>-</v>
      </c>
      <c r="W5030" s="42" t="str">
        <f t="shared" si="309"/>
        <v>-</v>
      </c>
    </row>
    <row r="5031" spans="19:23">
      <c r="S5031" s="42" t="str">
        <v/>
      </c>
      <c r="T5031" s="42" t="str">
        <f t="shared" si="307"/>
        <v>-</v>
      </c>
      <c r="U5031" s="40" t="str">
        <f t="shared" si="308"/>
        <v>-</v>
      </c>
      <c r="V5031" s="42" t="str" cm="1">
        <f t="array" ref="V5031">_xlfn.IFS(
LEFT(S5031,16)="win on penalties",IF(VALUE(MID(S5031,19,1))&gt;VALUE(MID(S5031,23,1)),DATA_CLEANED!AK545,DATA_CLEANED!AN545),
ISNUMBER(SEARCH("USA",S5031)),"United States",
ISNUMBER(SEARCH("Republic of Ireland",S5031)),"Ireland",
ISNUMBER(SEARCH("Republic of Korea",S5031)),"South Korea",
ISNUMBER(SEARCH("Cape Verde",S5031)),"Cabo Verde",
ISNUMBER(SEARCH("Czechia",S5031)),"Czech Republic",
ISNUMBER(SEARCH("Türkiye",S5031)),"Turkey",
ISNUMBER(SEARCH("Ivory Coast",S5031)),"Côte d'Ivoire",
ISNUMBER(SEARCH("Korea Republic",S5031)),"South Korea",
ISNUMBER(SEARCH("Germany FR",S5031)),"FR Germany",
ISNUMBER(SEARCH("West Germany",S5031)),"FR Germany",
ISNUMBER(SEARCH("Germany DR",S5031)),"DR Germany",
ISNUMBER(SEARCH("Korea DPR",S5031)),"North Korea",
ISNUMBER(SEARCH("China PR",S5031)),"China",
ISNUMBER(SEARCH("IR Iran",S5031)),"Iran",
ISNUMBER(SEARCH("Congo DR",S5031)),"Democratic Republic of the Congo",
ISNUMBER(SEARCH("DR Congo",S5031)),"Democratic Republic of the Congo",
ISNUMBER(SEARCH("German DR",S5031)),"DR Germany",
ISNUMBER(SEARCH("rn""&gt;United Arab Emirates",S5031)),"United Arab Emirates",
ISNUMBER(SEARCH("rn""&gt;Republic of Ireland",S5031)),"Ireland",
ISNUMBER(SEARCH("rn""&gt;Bosnia and Herzegovina",S5031)),"Bosnia and Herzegovina",
ISNUMBER(SEARCH("rn""&gt;Trinidad and Tobago",S5031)),"Trinidad and Tobago",
ISNUMBER(SEARCH("rn""&gt;Serbia and Montenegro",S5031)),"Serbia and Montenegro",
ISNUMBER(SEARCH(_xlfn.UNICHAR(65533),S5031)),"Côte d'Ivoire",
TRUE,"-"
)</f>
        <v>-</v>
      </c>
      <c r="W5031" s="42" t="str">
        <f t="shared" si="309"/>
        <v>-</v>
      </c>
    </row>
    <row r="5032" spans="19:23">
      <c r="S5032" s="42" t="str">
        <v/>
      </c>
      <c r="T5032" s="42" t="str">
        <f t="shared" si="307"/>
        <v>-</v>
      </c>
      <c r="U5032" s="40" t="str">
        <f t="shared" si="308"/>
        <v>-</v>
      </c>
      <c r="V5032" s="42" t="str" cm="1">
        <f t="array" ref="V5032">_xlfn.IFS(
LEFT(S5032,16)="win on penalties",IF(VALUE(MID(S5032,19,1))&gt;VALUE(MID(S5032,23,1)),DATA_CLEANED!AK546,DATA_CLEANED!AN546),
ISNUMBER(SEARCH("USA",S5032)),"United States",
ISNUMBER(SEARCH("Republic of Ireland",S5032)),"Ireland",
ISNUMBER(SEARCH("Republic of Korea",S5032)),"South Korea",
ISNUMBER(SEARCH("Cape Verde",S5032)),"Cabo Verde",
ISNUMBER(SEARCH("Czechia",S5032)),"Czech Republic",
ISNUMBER(SEARCH("Türkiye",S5032)),"Turkey",
ISNUMBER(SEARCH("Ivory Coast",S5032)),"Côte d'Ivoire",
ISNUMBER(SEARCH("Korea Republic",S5032)),"South Korea",
ISNUMBER(SEARCH("Germany FR",S5032)),"FR Germany",
ISNUMBER(SEARCH("West Germany",S5032)),"FR Germany",
ISNUMBER(SEARCH("Germany DR",S5032)),"DR Germany",
ISNUMBER(SEARCH("Korea DPR",S5032)),"North Korea",
ISNUMBER(SEARCH("China PR",S5032)),"China",
ISNUMBER(SEARCH("IR Iran",S5032)),"Iran",
ISNUMBER(SEARCH("Congo DR",S5032)),"Democratic Republic of the Congo",
ISNUMBER(SEARCH("DR Congo",S5032)),"Democratic Republic of the Congo",
ISNUMBER(SEARCH("German DR",S5032)),"DR Germany",
ISNUMBER(SEARCH("rn""&gt;United Arab Emirates",S5032)),"United Arab Emirates",
ISNUMBER(SEARCH("rn""&gt;Republic of Ireland",S5032)),"Ireland",
ISNUMBER(SEARCH("rn""&gt;Bosnia and Herzegovina",S5032)),"Bosnia and Herzegovina",
ISNUMBER(SEARCH("rn""&gt;Trinidad and Tobago",S5032)),"Trinidad and Tobago",
ISNUMBER(SEARCH("rn""&gt;Serbia and Montenegro",S5032)),"Serbia and Montenegro",
ISNUMBER(SEARCH(_xlfn.UNICHAR(65533),S5032)),"Côte d'Ivoire",
TRUE,"-"
)</f>
        <v>-</v>
      </c>
      <c r="W5032" s="42" t="str">
        <f t="shared" si="309"/>
        <v>-</v>
      </c>
    </row>
    <row r="5033" spans="19:23">
      <c r="S5033" s="42" t="str">
        <v/>
      </c>
      <c r="T5033" s="42" t="str">
        <f t="shared" si="307"/>
        <v>-</v>
      </c>
      <c r="U5033" s="40" t="str">
        <f t="shared" si="308"/>
        <v>-</v>
      </c>
      <c r="V5033" s="42" t="str" cm="1">
        <f t="array" ref="V5033">_xlfn.IFS(
LEFT(S5033,16)="win on penalties",IF(VALUE(MID(S5033,19,1))&gt;VALUE(MID(S5033,23,1)),DATA_CLEANED!AK547,DATA_CLEANED!AN547),
ISNUMBER(SEARCH("USA",S5033)),"United States",
ISNUMBER(SEARCH("Republic of Ireland",S5033)),"Ireland",
ISNUMBER(SEARCH("Republic of Korea",S5033)),"South Korea",
ISNUMBER(SEARCH("Cape Verde",S5033)),"Cabo Verde",
ISNUMBER(SEARCH("Czechia",S5033)),"Czech Republic",
ISNUMBER(SEARCH("Türkiye",S5033)),"Turkey",
ISNUMBER(SEARCH("Ivory Coast",S5033)),"Côte d'Ivoire",
ISNUMBER(SEARCH("Korea Republic",S5033)),"South Korea",
ISNUMBER(SEARCH("Germany FR",S5033)),"FR Germany",
ISNUMBER(SEARCH("West Germany",S5033)),"FR Germany",
ISNUMBER(SEARCH("Germany DR",S5033)),"DR Germany",
ISNUMBER(SEARCH("Korea DPR",S5033)),"North Korea",
ISNUMBER(SEARCH("China PR",S5033)),"China",
ISNUMBER(SEARCH("IR Iran",S5033)),"Iran",
ISNUMBER(SEARCH("Congo DR",S5033)),"Democratic Republic of the Congo",
ISNUMBER(SEARCH("DR Congo",S5033)),"Democratic Republic of the Congo",
ISNUMBER(SEARCH("German DR",S5033)),"DR Germany",
ISNUMBER(SEARCH("rn""&gt;United Arab Emirates",S5033)),"United Arab Emirates",
ISNUMBER(SEARCH("rn""&gt;Republic of Ireland",S5033)),"Ireland",
ISNUMBER(SEARCH("rn""&gt;Bosnia and Herzegovina",S5033)),"Bosnia and Herzegovina",
ISNUMBER(SEARCH("rn""&gt;Trinidad and Tobago",S5033)),"Trinidad and Tobago",
ISNUMBER(SEARCH("rn""&gt;Serbia and Montenegro",S5033)),"Serbia and Montenegro",
ISNUMBER(SEARCH(_xlfn.UNICHAR(65533),S5033)),"Côte d'Ivoire",
TRUE,"-"
)</f>
        <v>-</v>
      </c>
      <c r="W5033" s="42" t="str">
        <f t="shared" si="309"/>
        <v>-</v>
      </c>
    </row>
    <row r="5034" spans="19:23">
      <c r="S5034" s="42" t="str">
        <v/>
      </c>
      <c r="T5034" s="42" t="str">
        <f t="shared" si="307"/>
        <v>-</v>
      </c>
      <c r="U5034" s="40" t="str">
        <f t="shared" si="308"/>
        <v>-</v>
      </c>
      <c r="V5034" s="42" t="str" cm="1">
        <f t="array" ref="V5034">_xlfn.IFS(
LEFT(S5034,16)="win on penalties",IF(VALUE(MID(S5034,19,1))&gt;VALUE(MID(S5034,23,1)),DATA_CLEANED!AK548,DATA_CLEANED!AN548),
ISNUMBER(SEARCH("USA",S5034)),"United States",
ISNUMBER(SEARCH("Republic of Ireland",S5034)),"Ireland",
ISNUMBER(SEARCH("Republic of Korea",S5034)),"South Korea",
ISNUMBER(SEARCH("Cape Verde",S5034)),"Cabo Verde",
ISNUMBER(SEARCH("Czechia",S5034)),"Czech Republic",
ISNUMBER(SEARCH("Türkiye",S5034)),"Turkey",
ISNUMBER(SEARCH("Ivory Coast",S5034)),"Côte d'Ivoire",
ISNUMBER(SEARCH("Korea Republic",S5034)),"South Korea",
ISNUMBER(SEARCH("Germany FR",S5034)),"FR Germany",
ISNUMBER(SEARCH("West Germany",S5034)),"FR Germany",
ISNUMBER(SEARCH("Germany DR",S5034)),"DR Germany",
ISNUMBER(SEARCH("Korea DPR",S5034)),"North Korea",
ISNUMBER(SEARCH("China PR",S5034)),"China",
ISNUMBER(SEARCH("IR Iran",S5034)),"Iran",
ISNUMBER(SEARCH("Congo DR",S5034)),"Democratic Republic of the Congo",
ISNUMBER(SEARCH("DR Congo",S5034)),"Democratic Republic of the Congo",
ISNUMBER(SEARCH("German DR",S5034)),"DR Germany",
ISNUMBER(SEARCH("rn""&gt;United Arab Emirates",S5034)),"United Arab Emirates",
ISNUMBER(SEARCH("rn""&gt;Republic of Ireland",S5034)),"Ireland",
ISNUMBER(SEARCH("rn""&gt;Bosnia and Herzegovina",S5034)),"Bosnia and Herzegovina",
ISNUMBER(SEARCH("rn""&gt;Trinidad and Tobago",S5034)),"Trinidad and Tobago",
ISNUMBER(SEARCH("rn""&gt;Serbia and Montenegro",S5034)),"Serbia and Montenegro",
ISNUMBER(SEARCH(_xlfn.UNICHAR(65533),S5034)),"Côte d'Ivoire",
TRUE,"-"
)</f>
        <v>-</v>
      </c>
      <c r="W5034" s="42" t="str">
        <f t="shared" si="309"/>
        <v>-</v>
      </c>
    </row>
    <row r="5035" spans="19:23">
      <c r="S5035" s="42" t="str">
        <v/>
      </c>
      <c r="T5035" s="42" t="str">
        <f t="shared" si="307"/>
        <v>-</v>
      </c>
      <c r="U5035" s="40" t="str">
        <f t="shared" si="308"/>
        <v>-</v>
      </c>
      <c r="V5035" s="42" t="str" cm="1">
        <f t="array" ref="V5035">_xlfn.IFS(
LEFT(S5035,16)="win on penalties",IF(VALUE(MID(S5035,19,1))&gt;VALUE(MID(S5035,23,1)),DATA_CLEANED!AK549,DATA_CLEANED!AN549),
ISNUMBER(SEARCH("USA",S5035)),"United States",
ISNUMBER(SEARCH("Republic of Ireland",S5035)),"Ireland",
ISNUMBER(SEARCH("Republic of Korea",S5035)),"South Korea",
ISNUMBER(SEARCH("Cape Verde",S5035)),"Cabo Verde",
ISNUMBER(SEARCH("Czechia",S5035)),"Czech Republic",
ISNUMBER(SEARCH("Türkiye",S5035)),"Turkey",
ISNUMBER(SEARCH("Ivory Coast",S5035)),"Côte d'Ivoire",
ISNUMBER(SEARCH("Korea Republic",S5035)),"South Korea",
ISNUMBER(SEARCH("Germany FR",S5035)),"FR Germany",
ISNUMBER(SEARCH("West Germany",S5035)),"FR Germany",
ISNUMBER(SEARCH("Germany DR",S5035)),"DR Germany",
ISNUMBER(SEARCH("Korea DPR",S5035)),"North Korea",
ISNUMBER(SEARCH("China PR",S5035)),"China",
ISNUMBER(SEARCH("IR Iran",S5035)),"Iran",
ISNUMBER(SEARCH("Congo DR",S5035)),"Democratic Republic of the Congo",
ISNUMBER(SEARCH("DR Congo",S5035)),"Democratic Republic of the Congo",
ISNUMBER(SEARCH("German DR",S5035)),"DR Germany",
ISNUMBER(SEARCH("rn""&gt;United Arab Emirates",S5035)),"United Arab Emirates",
ISNUMBER(SEARCH("rn""&gt;Republic of Ireland",S5035)),"Ireland",
ISNUMBER(SEARCH("rn""&gt;Bosnia and Herzegovina",S5035)),"Bosnia and Herzegovina",
ISNUMBER(SEARCH("rn""&gt;Trinidad and Tobago",S5035)),"Trinidad and Tobago",
ISNUMBER(SEARCH("rn""&gt;Serbia and Montenegro",S5035)),"Serbia and Montenegro",
ISNUMBER(SEARCH(_xlfn.UNICHAR(65533),S5035)),"Côte d'Ivoire",
TRUE,"-"
)</f>
        <v>-</v>
      </c>
      <c r="W5035" s="42" t="str">
        <f t="shared" si="309"/>
        <v>-</v>
      </c>
    </row>
    <row r="5036" spans="19:23">
      <c r="S5036" s="42" t="str">
        <v/>
      </c>
      <c r="T5036" s="42" t="str">
        <f t="shared" si="307"/>
        <v>-</v>
      </c>
      <c r="U5036" s="40" t="str">
        <f t="shared" si="308"/>
        <v>-</v>
      </c>
      <c r="V5036" s="42" t="str" cm="1">
        <f t="array" ref="V5036">_xlfn.IFS(
LEFT(S5036,16)="win on penalties",IF(VALUE(MID(S5036,19,1))&gt;VALUE(MID(S5036,23,1)),DATA_CLEANED!AK550,DATA_CLEANED!AN550),
ISNUMBER(SEARCH("USA",S5036)),"United States",
ISNUMBER(SEARCH("Republic of Ireland",S5036)),"Ireland",
ISNUMBER(SEARCH("Republic of Korea",S5036)),"South Korea",
ISNUMBER(SEARCH("Cape Verde",S5036)),"Cabo Verde",
ISNUMBER(SEARCH("Czechia",S5036)),"Czech Republic",
ISNUMBER(SEARCH("Türkiye",S5036)),"Turkey",
ISNUMBER(SEARCH("Ivory Coast",S5036)),"Côte d'Ivoire",
ISNUMBER(SEARCH("Korea Republic",S5036)),"South Korea",
ISNUMBER(SEARCH("Germany FR",S5036)),"FR Germany",
ISNUMBER(SEARCH("West Germany",S5036)),"FR Germany",
ISNUMBER(SEARCH("Germany DR",S5036)),"DR Germany",
ISNUMBER(SEARCH("Korea DPR",S5036)),"North Korea",
ISNUMBER(SEARCH("China PR",S5036)),"China",
ISNUMBER(SEARCH("IR Iran",S5036)),"Iran",
ISNUMBER(SEARCH("Congo DR",S5036)),"Democratic Republic of the Congo",
ISNUMBER(SEARCH("DR Congo",S5036)),"Democratic Republic of the Congo",
ISNUMBER(SEARCH("German DR",S5036)),"DR Germany",
ISNUMBER(SEARCH("rn""&gt;United Arab Emirates",S5036)),"United Arab Emirates",
ISNUMBER(SEARCH("rn""&gt;Republic of Ireland",S5036)),"Ireland",
ISNUMBER(SEARCH("rn""&gt;Bosnia and Herzegovina",S5036)),"Bosnia and Herzegovina",
ISNUMBER(SEARCH("rn""&gt;Trinidad and Tobago",S5036)),"Trinidad and Tobago",
ISNUMBER(SEARCH("rn""&gt;Serbia and Montenegro",S5036)),"Serbia and Montenegro",
ISNUMBER(SEARCH(_xlfn.UNICHAR(65533),S5036)),"Côte d'Ivoire",
TRUE,"-"
)</f>
        <v>-</v>
      </c>
      <c r="W5036" s="42" t="str">
        <f t="shared" si="309"/>
        <v>-</v>
      </c>
    </row>
    <row r="5037" spans="19:23">
      <c r="S5037" s="42" t="str">
        <v/>
      </c>
      <c r="T5037" s="42" t="str">
        <f t="shared" si="307"/>
        <v>-</v>
      </c>
      <c r="U5037" s="40" t="str">
        <f t="shared" si="308"/>
        <v>-</v>
      </c>
      <c r="V5037" s="42" t="str" cm="1">
        <f t="array" ref="V5037">_xlfn.IFS(
LEFT(S5037,16)="win on penalties",IF(VALUE(MID(S5037,19,1))&gt;VALUE(MID(S5037,23,1)),DATA_CLEANED!AK551,DATA_CLEANED!AN551),
ISNUMBER(SEARCH("USA",S5037)),"United States",
ISNUMBER(SEARCH("Republic of Ireland",S5037)),"Ireland",
ISNUMBER(SEARCH("Republic of Korea",S5037)),"South Korea",
ISNUMBER(SEARCH("Cape Verde",S5037)),"Cabo Verde",
ISNUMBER(SEARCH("Czechia",S5037)),"Czech Republic",
ISNUMBER(SEARCH("Türkiye",S5037)),"Turkey",
ISNUMBER(SEARCH("Ivory Coast",S5037)),"Côte d'Ivoire",
ISNUMBER(SEARCH("Korea Republic",S5037)),"South Korea",
ISNUMBER(SEARCH("Germany FR",S5037)),"FR Germany",
ISNUMBER(SEARCH("West Germany",S5037)),"FR Germany",
ISNUMBER(SEARCH("Germany DR",S5037)),"DR Germany",
ISNUMBER(SEARCH("Korea DPR",S5037)),"North Korea",
ISNUMBER(SEARCH("China PR",S5037)),"China",
ISNUMBER(SEARCH("IR Iran",S5037)),"Iran",
ISNUMBER(SEARCH("Congo DR",S5037)),"Democratic Republic of the Congo",
ISNUMBER(SEARCH("DR Congo",S5037)),"Democratic Republic of the Congo",
ISNUMBER(SEARCH("German DR",S5037)),"DR Germany",
ISNUMBER(SEARCH("rn""&gt;United Arab Emirates",S5037)),"United Arab Emirates",
ISNUMBER(SEARCH("rn""&gt;Republic of Ireland",S5037)),"Ireland",
ISNUMBER(SEARCH("rn""&gt;Bosnia and Herzegovina",S5037)),"Bosnia and Herzegovina",
ISNUMBER(SEARCH("rn""&gt;Trinidad and Tobago",S5037)),"Trinidad and Tobago",
ISNUMBER(SEARCH("rn""&gt;Serbia and Montenegro",S5037)),"Serbia and Montenegro",
ISNUMBER(SEARCH(_xlfn.UNICHAR(65533),S5037)),"Côte d'Ivoire",
TRUE,"-"
)</f>
        <v>-</v>
      </c>
      <c r="W5037" s="42" t="str">
        <f t="shared" si="309"/>
        <v>-</v>
      </c>
    </row>
    <row r="5038" spans="19:23">
      <c r="S5038" s="42" t="str">
        <v/>
      </c>
      <c r="T5038" s="42" t="str">
        <f t="shared" si="307"/>
        <v>-</v>
      </c>
      <c r="U5038" s="40" t="str">
        <f t="shared" si="308"/>
        <v>-</v>
      </c>
      <c r="V5038" s="42" t="str" cm="1">
        <f t="array" ref="V5038">_xlfn.IFS(
LEFT(S5038,16)="win on penalties",IF(VALUE(MID(S5038,19,1))&gt;VALUE(MID(S5038,23,1)),DATA_CLEANED!AK552,DATA_CLEANED!AN552),
ISNUMBER(SEARCH("USA",S5038)),"United States",
ISNUMBER(SEARCH("Republic of Ireland",S5038)),"Ireland",
ISNUMBER(SEARCH("Republic of Korea",S5038)),"South Korea",
ISNUMBER(SEARCH("Cape Verde",S5038)),"Cabo Verde",
ISNUMBER(SEARCH("Czechia",S5038)),"Czech Republic",
ISNUMBER(SEARCH("Türkiye",S5038)),"Turkey",
ISNUMBER(SEARCH("Ivory Coast",S5038)),"Côte d'Ivoire",
ISNUMBER(SEARCH("Korea Republic",S5038)),"South Korea",
ISNUMBER(SEARCH("Germany FR",S5038)),"FR Germany",
ISNUMBER(SEARCH("West Germany",S5038)),"FR Germany",
ISNUMBER(SEARCH("Germany DR",S5038)),"DR Germany",
ISNUMBER(SEARCH("Korea DPR",S5038)),"North Korea",
ISNUMBER(SEARCH("China PR",S5038)),"China",
ISNUMBER(SEARCH("IR Iran",S5038)),"Iran",
ISNUMBER(SEARCH("Congo DR",S5038)),"Democratic Republic of the Congo",
ISNUMBER(SEARCH("DR Congo",S5038)),"Democratic Republic of the Congo",
ISNUMBER(SEARCH("German DR",S5038)),"DR Germany",
ISNUMBER(SEARCH("rn""&gt;United Arab Emirates",S5038)),"United Arab Emirates",
ISNUMBER(SEARCH("rn""&gt;Republic of Ireland",S5038)),"Ireland",
ISNUMBER(SEARCH("rn""&gt;Bosnia and Herzegovina",S5038)),"Bosnia and Herzegovina",
ISNUMBER(SEARCH("rn""&gt;Trinidad and Tobago",S5038)),"Trinidad and Tobago",
ISNUMBER(SEARCH("rn""&gt;Serbia and Montenegro",S5038)),"Serbia and Montenegro",
ISNUMBER(SEARCH(_xlfn.UNICHAR(65533),S5038)),"Côte d'Ivoire",
TRUE,"-"
)</f>
        <v>-</v>
      </c>
      <c r="W5038" s="42" t="str">
        <f t="shared" si="309"/>
        <v>-</v>
      </c>
    </row>
    <row r="5039" spans="19:23">
      <c r="S5039" s="42" t="str">
        <v/>
      </c>
      <c r="T5039" s="42" t="str">
        <f t="shared" si="307"/>
        <v>-</v>
      </c>
      <c r="U5039" s="40" t="str">
        <f t="shared" si="308"/>
        <v>-</v>
      </c>
      <c r="V5039" s="42" t="str" cm="1">
        <f t="array" ref="V5039">_xlfn.IFS(
LEFT(S5039,16)="win on penalties",IF(VALUE(MID(S5039,19,1))&gt;VALUE(MID(S5039,23,1)),DATA_CLEANED!AK553,DATA_CLEANED!AN553),
ISNUMBER(SEARCH("USA",S5039)),"United States",
ISNUMBER(SEARCH("Republic of Ireland",S5039)),"Ireland",
ISNUMBER(SEARCH("Republic of Korea",S5039)),"South Korea",
ISNUMBER(SEARCH("Cape Verde",S5039)),"Cabo Verde",
ISNUMBER(SEARCH("Czechia",S5039)),"Czech Republic",
ISNUMBER(SEARCH("Türkiye",S5039)),"Turkey",
ISNUMBER(SEARCH("Ivory Coast",S5039)),"Côte d'Ivoire",
ISNUMBER(SEARCH("Korea Republic",S5039)),"South Korea",
ISNUMBER(SEARCH("Germany FR",S5039)),"FR Germany",
ISNUMBER(SEARCH("West Germany",S5039)),"FR Germany",
ISNUMBER(SEARCH("Germany DR",S5039)),"DR Germany",
ISNUMBER(SEARCH("Korea DPR",S5039)),"North Korea",
ISNUMBER(SEARCH("China PR",S5039)),"China",
ISNUMBER(SEARCH("IR Iran",S5039)),"Iran",
ISNUMBER(SEARCH("Congo DR",S5039)),"Democratic Republic of the Congo",
ISNUMBER(SEARCH("DR Congo",S5039)),"Democratic Republic of the Congo",
ISNUMBER(SEARCH("German DR",S5039)),"DR Germany",
ISNUMBER(SEARCH("rn""&gt;United Arab Emirates",S5039)),"United Arab Emirates",
ISNUMBER(SEARCH("rn""&gt;Republic of Ireland",S5039)),"Ireland",
ISNUMBER(SEARCH("rn""&gt;Bosnia and Herzegovina",S5039)),"Bosnia and Herzegovina",
ISNUMBER(SEARCH("rn""&gt;Trinidad and Tobago",S5039)),"Trinidad and Tobago",
ISNUMBER(SEARCH("rn""&gt;Serbia and Montenegro",S5039)),"Serbia and Montenegro",
ISNUMBER(SEARCH(_xlfn.UNICHAR(65533),S5039)),"Côte d'Ivoire",
TRUE,"-"
)</f>
        <v>-</v>
      </c>
      <c r="W5039" s="42" t="str">
        <f t="shared" si="309"/>
        <v>-</v>
      </c>
    </row>
    <row r="5040" spans="19:23">
      <c r="S5040" s="42" t="str">
        <v/>
      </c>
      <c r="T5040" s="42" t="str">
        <f t="shared" si="307"/>
        <v>-</v>
      </c>
      <c r="U5040" s="40" t="str">
        <f t="shared" si="308"/>
        <v>-</v>
      </c>
      <c r="V5040" s="42" t="str" cm="1">
        <f t="array" ref="V5040">_xlfn.IFS(
LEFT(S5040,16)="win on penalties",IF(VALUE(MID(S5040,19,1))&gt;VALUE(MID(S5040,23,1)),DATA_CLEANED!AK554,DATA_CLEANED!AN554),
ISNUMBER(SEARCH("USA",S5040)),"United States",
ISNUMBER(SEARCH("Republic of Ireland",S5040)),"Ireland",
ISNUMBER(SEARCH("Republic of Korea",S5040)),"South Korea",
ISNUMBER(SEARCH("Cape Verde",S5040)),"Cabo Verde",
ISNUMBER(SEARCH("Czechia",S5040)),"Czech Republic",
ISNUMBER(SEARCH("Türkiye",S5040)),"Turkey",
ISNUMBER(SEARCH("Ivory Coast",S5040)),"Côte d'Ivoire",
ISNUMBER(SEARCH("Korea Republic",S5040)),"South Korea",
ISNUMBER(SEARCH("Germany FR",S5040)),"FR Germany",
ISNUMBER(SEARCH("West Germany",S5040)),"FR Germany",
ISNUMBER(SEARCH("Germany DR",S5040)),"DR Germany",
ISNUMBER(SEARCH("Korea DPR",S5040)),"North Korea",
ISNUMBER(SEARCH("China PR",S5040)),"China",
ISNUMBER(SEARCH("IR Iran",S5040)),"Iran",
ISNUMBER(SEARCH("Congo DR",S5040)),"Democratic Republic of the Congo",
ISNUMBER(SEARCH("DR Congo",S5040)),"Democratic Republic of the Congo",
ISNUMBER(SEARCH("German DR",S5040)),"DR Germany",
ISNUMBER(SEARCH("rn""&gt;United Arab Emirates",S5040)),"United Arab Emirates",
ISNUMBER(SEARCH("rn""&gt;Republic of Ireland",S5040)),"Ireland",
ISNUMBER(SEARCH("rn""&gt;Bosnia and Herzegovina",S5040)),"Bosnia and Herzegovina",
ISNUMBER(SEARCH("rn""&gt;Trinidad and Tobago",S5040)),"Trinidad and Tobago",
ISNUMBER(SEARCH("rn""&gt;Serbia and Montenegro",S5040)),"Serbia and Montenegro",
ISNUMBER(SEARCH(_xlfn.UNICHAR(65533),S5040)),"Côte d'Ivoire",
TRUE,"-"
)</f>
        <v>-</v>
      </c>
      <c r="W5040" s="42" t="str">
        <f t="shared" si="309"/>
        <v>-</v>
      </c>
    </row>
    <row r="5041" spans="19:23">
      <c r="S5041" s="42" t="str">
        <v/>
      </c>
      <c r="T5041" s="42" t="str">
        <f t="shared" si="307"/>
        <v>-</v>
      </c>
      <c r="U5041" s="40" t="str">
        <f t="shared" si="308"/>
        <v>-</v>
      </c>
      <c r="V5041" s="42" t="str" cm="1">
        <f t="array" ref="V5041">_xlfn.IFS(
LEFT(S5041,16)="win on penalties",IF(VALUE(MID(S5041,19,1))&gt;VALUE(MID(S5041,23,1)),DATA_CLEANED!AK555,DATA_CLEANED!AN555),
ISNUMBER(SEARCH("USA",S5041)),"United States",
ISNUMBER(SEARCH("Republic of Ireland",S5041)),"Ireland",
ISNUMBER(SEARCH("Republic of Korea",S5041)),"South Korea",
ISNUMBER(SEARCH("Cape Verde",S5041)),"Cabo Verde",
ISNUMBER(SEARCH("Czechia",S5041)),"Czech Republic",
ISNUMBER(SEARCH("Türkiye",S5041)),"Turkey",
ISNUMBER(SEARCH("Ivory Coast",S5041)),"Côte d'Ivoire",
ISNUMBER(SEARCH("Korea Republic",S5041)),"South Korea",
ISNUMBER(SEARCH("Germany FR",S5041)),"FR Germany",
ISNUMBER(SEARCH("West Germany",S5041)),"FR Germany",
ISNUMBER(SEARCH("Germany DR",S5041)),"DR Germany",
ISNUMBER(SEARCH("Korea DPR",S5041)),"North Korea",
ISNUMBER(SEARCH("China PR",S5041)),"China",
ISNUMBER(SEARCH("IR Iran",S5041)),"Iran",
ISNUMBER(SEARCH("Congo DR",S5041)),"Democratic Republic of the Congo",
ISNUMBER(SEARCH("DR Congo",S5041)),"Democratic Republic of the Congo",
ISNUMBER(SEARCH("German DR",S5041)),"DR Germany",
ISNUMBER(SEARCH("rn""&gt;United Arab Emirates",S5041)),"United Arab Emirates",
ISNUMBER(SEARCH("rn""&gt;Republic of Ireland",S5041)),"Ireland",
ISNUMBER(SEARCH("rn""&gt;Bosnia and Herzegovina",S5041)),"Bosnia and Herzegovina",
ISNUMBER(SEARCH("rn""&gt;Trinidad and Tobago",S5041)),"Trinidad and Tobago",
ISNUMBER(SEARCH("rn""&gt;Serbia and Montenegro",S5041)),"Serbia and Montenegro",
ISNUMBER(SEARCH(_xlfn.UNICHAR(65533),S5041)),"Côte d'Ivoire",
TRUE,"-"
)</f>
        <v>-</v>
      </c>
      <c r="W5041" s="42" t="str">
        <f t="shared" si="309"/>
        <v>-</v>
      </c>
    </row>
    <row r="5042" spans="19:23">
      <c r="S5042" s="42" t="str">
        <v/>
      </c>
      <c r="T5042" s="42" t="str">
        <f t="shared" si="307"/>
        <v>-</v>
      </c>
      <c r="U5042" s="40" t="str">
        <f t="shared" si="308"/>
        <v>-</v>
      </c>
      <c r="V5042" s="42" t="str" cm="1">
        <f t="array" ref="V5042">_xlfn.IFS(
LEFT(S5042,16)="win on penalties",IF(VALUE(MID(S5042,19,1))&gt;VALUE(MID(S5042,23,1)),DATA_CLEANED!AK556,DATA_CLEANED!AN556),
ISNUMBER(SEARCH("USA",S5042)),"United States",
ISNUMBER(SEARCH("Republic of Ireland",S5042)),"Ireland",
ISNUMBER(SEARCH("Republic of Korea",S5042)),"South Korea",
ISNUMBER(SEARCH("Cape Verde",S5042)),"Cabo Verde",
ISNUMBER(SEARCH("Czechia",S5042)),"Czech Republic",
ISNUMBER(SEARCH("Türkiye",S5042)),"Turkey",
ISNUMBER(SEARCH("Ivory Coast",S5042)),"Côte d'Ivoire",
ISNUMBER(SEARCH("Korea Republic",S5042)),"South Korea",
ISNUMBER(SEARCH("Germany FR",S5042)),"FR Germany",
ISNUMBER(SEARCH("West Germany",S5042)),"FR Germany",
ISNUMBER(SEARCH("Germany DR",S5042)),"DR Germany",
ISNUMBER(SEARCH("Korea DPR",S5042)),"North Korea",
ISNUMBER(SEARCH("China PR",S5042)),"China",
ISNUMBER(SEARCH("IR Iran",S5042)),"Iran",
ISNUMBER(SEARCH("Congo DR",S5042)),"Democratic Republic of the Congo",
ISNUMBER(SEARCH("DR Congo",S5042)),"Democratic Republic of the Congo",
ISNUMBER(SEARCH("German DR",S5042)),"DR Germany",
ISNUMBER(SEARCH("rn""&gt;United Arab Emirates",S5042)),"United Arab Emirates",
ISNUMBER(SEARCH("rn""&gt;Republic of Ireland",S5042)),"Ireland",
ISNUMBER(SEARCH("rn""&gt;Bosnia and Herzegovina",S5042)),"Bosnia and Herzegovina",
ISNUMBER(SEARCH("rn""&gt;Trinidad and Tobago",S5042)),"Trinidad and Tobago",
ISNUMBER(SEARCH("rn""&gt;Serbia and Montenegro",S5042)),"Serbia and Montenegro",
ISNUMBER(SEARCH(_xlfn.UNICHAR(65533),S5042)),"Côte d'Ivoire",
TRUE,"-"
)</f>
        <v>-</v>
      </c>
      <c r="W5042" s="42" t="str">
        <f t="shared" si="309"/>
        <v>-</v>
      </c>
    </row>
    <row r="5043" spans="19:23">
      <c r="S5043" s="42" t="str">
        <v/>
      </c>
      <c r="T5043" s="42" t="str">
        <f t="shared" si="307"/>
        <v>-</v>
      </c>
      <c r="U5043" s="40" t="str">
        <f t="shared" si="308"/>
        <v>-</v>
      </c>
      <c r="V5043" s="42" t="str" cm="1">
        <f t="array" ref="V5043">_xlfn.IFS(
LEFT(S5043,16)="win on penalties",IF(VALUE(MID(S5043,19,1))&gt;VALUE(MID(S5043,23,1)),DATA_CLEANED!AK557,DATA_CLEANED!AN557),
ISNUMBER(SEARCH("USA",S5043)),"United States",
ISNUMBER(SEARCH("Republic of Ireland",S5043)),"Ireland",
ISNUMBER(SEARCH("Republic of Korea",S5043)),"South Korea",
ISNUMBER(SEARCH("Cape Verde",S5043)),"Cabo Verde",
ISNUMBER(SEARCH("Czechia",S5043)),"Czech Republic",
ISNUMBER(SEARCH("Türkiye",S5043)),"Turkey",
ISNUMBER(SEARCH("Ivory Coast",S5043)),"Côte d'Ivoire",
ISNUMBER(SEARCH("Korea Republic",S5043)),"South Korea",
ISNUMBER(SEARCH("Germany FR",S5043)),"FR Germany",
ISNUMBER(SEARCH("West Germany",S5043)),"FR Germany",
ISNUMBER(SEARCH("Germany DR",S5043)),"DR Germany",
ISNUMBER(SEARCH("Korea DPR",S5043)),"North Korea",
ISNUMBER(SEARCH("China PR",S5043)),"China",
ISNUMBER(SEARCH("IR Iran",S5043)),"Iran",
ISNUMBER(SEARCH("Congo DR",S5043)),"Democratic Republic of the Congo",
ISNUMBER(SEARCH("DR Congo",S5043)),"Democratic Republic of the Congo",
ISNUMBER(SEARCH("German DR",S5043)),"DR Germany",
ISNUMBER(SEARCH("rn""&gt;United Arab Emirates",S5043)),"United Arab Emirates",
ISNUMBER(SEARCH("rn""&gt;Republic of Ireland",S5043)),"Ireland",
ISNUMBER(SEARCH("rn""&gt;Bosnia and Herzegovina",S5043)),"Bosnia and Herzegovina",
ISNUMBER(SEARCH("rn""&gt;Trinidad and Tobago",S5043)),"Trinidad and Tobago",
ISNUMBER(SEARCH("rn""&gt;Serbia and Montenegro",S5043)),"Serbia and Montenegro",
ISNUMBER(SEARCH(_xlfn.UNICHAR(65533),S5043)),"Côte d'Ivoire",
TRUE,"-"
)</f>
        <v>-</v>
      </c>
      <c r="W5043" s="42" t="str">
        <f t="shared" si="309"/>
        <v>-</v>
      </c>
    </row>
    <row r="5044" spans="19:23">
      <c r="S5044" s="42" t="str">
        <v/>
      </c>
      <c r="T5044" s="42" t="str">
        <f t="shared" si="307"/>
        <v>-</v>
      </c>
      <c r="U5044" s="40" t="str">
        <f t="shared" si="308"/>
        <v>-</v>
      </c>
      <c r="V5044" s="42" t="str" cm="1">
        <f t="array" ref="V5044">_xlfn.IFS(
LEFT(S5044,16)="win on penalties",IF(VALUE(MID(S5044,19,1))&gt;VALUE(MID(S5044,23,1)),DATA_CLEANED!AK558,DATA_CLEANED!AN558),
ISNUMBER(SEARCH("USA",S5044)),"United States",
ISNUMBER(SEARCH("Republic of Ireland",S5044)),"Ireland",
ISNUMBER(SEARCH("Republic of Korea",S5044)),"South Korea",
ISNUMBER(SEARCH("Cape Verde",S5044)),"Cabo Verde",
ISNUMBER(SEARCH("Czechia",S5044)),"Czech Republic",
ISNUMBER(SEARCH("Türkiye",S5044)),"Turkey",
ISNUMBER(SEARCH("Ivory Coast",S5044)),"Côte d'Ivoire",
ISNUMBER(SEARCH("Korea Republic",S5044)),"South Korea",
ISNUMBER(SEARCH("Germany FR",S5044)),"FR Germany",
ISNUMBER(SEARCH("West Germany",S5044)),"FR Germany",
ISNUMBER(SEARCH("Germany DR",S5044)),"DR Germany",
ISNUMBER(SEARCH("Korea DPR",S5044)),"North Korea",
ISNUMBER(SEARCH("China PR",S5044)),"China",
ISNUMBER(SEARCH("IR Iran",S5044)),"Iran",
ISNUMBER(SEARCH("Congo DR",S5044)),"Democratic Republic of the Congo",
ISNUMBER(SEARCH("DR Congo",S5044)),"Democratic Republic of the Congo",
ISNUMBER(SEARCH("German DR",S5044)),"DR Germany",
ISNUMBER(SEARCH("rn""&gt;United Arab Emirates",S5044)),"United Arab Emirates",
ISNUMBER(SEARCH("rn""&gt;Republic of Ireland",S5044)),"Ireland",
ISNUMBER(SEARCH("rn""&gt;Bosnia and Herzegovina",S5044)),"Bosnia and Herzegovina",
ISNUMBER(SEARCH("rn""&gt;Trinidad and Tobago",S5044)),"Trinidad and Tobago",
ISNUMBER(SEARCH("rn""&gt;Serbia and Montenegro",S5044)),"Serbia and Montenegro",
ISNUMBER(SEARCH(_xlfn.UNICHAR(65533),S5044)),"Côte d'Ivoire",
TRUE,"-"
)</f>
        <v>-</v>
      </c>
      <c r="W5044" s="42" t="str">
        <f t="shared" si="309"/>
        <v>-</v>
      </c>
    </row>
    <row r="5045" spans="19:23">
      <c r="S5045" s="42" t="str">
        <v/>
      </c>
      <c r="T5045" s="42" t="str">
        <f t="shared" si="307"/>
        <v>-</v>
      </c>
      <c r="U5045" s="40" t="str">
        <f t="shared" si="308"/>
        <v>-</v>
      </c>
      <c r="V5045" s="42" t="str" cm="1">
        <f t="array" ref="V5045">_xlfn.IFS(
LEFT(S5045,16)="win on penalties",IF(VALUE(MID(S5045,19,1))&gt;VALUE(MID(S5045,23,1)),DATA_CLEANED!AK559,DATA_CLEANED!AN559),
ISNUMBER(SEARCH("USA",S5045)),"United States",
ISNUMBER(SEARCH("Republic of Ireland",S5045)),"Ireland",
ISNUMBER(SEARCH("Republic of Korea",S5045)),"South Korea",
ISNUMBER(SEARCH("Cape Verde",S5045)),"Cabo Verde",
ISNUMBER(SEARCH("Czechia",S5045)),"Czech Republic",
ISNUMBER(SEARCH("Türkiye",S5045)),"Turkey",
ISNUMBER(SEARCH("Ivory Coast",S5045)),"Côte d'Ivoire",
ISNUMBER(SEARCH("Korea Republic",S5045)),"South Korea",
ISNUMBER(SEARCH("Germany FR",S5045)),"FR Germany",
ISNUMBER(SEARCH("West Germany",S5045)),"FR Germany",
ISNUMBER(SEARCH("Germany DR",S5045)),"DR Germany",
ISNUMBER(SEARCH("Korea DPR",S5045)),"North Korea",
ISNUMBER(SEARCH("China PR",S5045)),"China",
ISNUMBER(SEARCH("IR Iran",S5045)),"Iran",
ISNUMBER(SEARCH("Congo DR",S5045)),"Democratic Republic of the Congo",
ISNUMBER(SEARCH("DR Congo",S5045)),"Democratic Republic of the Congo",
ISNUMBER(SEARCH("German DR",S5045)),"DR Germany",
ISNUMBER(SEARCH("rn""&gt;United Arab Emirates",S5045)),"United Arab Emirates",
ISNUMBER(SEARCH("rn""&gt;Republic of Ireland",S5045)),"Ireland",
ISNUMBER(SEARCH("rn""&gt;Bosnia and Herzegovina",S5045)),"Bosnia and Herzegovina",
ISNUMBER(SEARCH("rn""&gt;Trinidad and Tobago",S5045)),"Trinidad and Tobago",
ISNUMBER(SEARCH("rn""&gt;Serbia and Montenegro",S5045)),"Serbia and Montenegro",
ISNUMBER(SEARCH(_xlfn.UNICHAR(65533),S5045)),"Côte d'Ivoire",
TRUE,"-"
)</f>
        <v>-</v>
      </c>
      <c r="W5045" s="42" t="str">
        <f t="shared" si="309"/>
        <v>-</v>
      </c>
    </row>
    <row r="5046" spans="19:23">
      <c r="S5046" s="42" t="str">
        <v/>
      </c>
      <c r="T5046" s="42" t="str">
        <f t="shared" si="307"/>
        <v>-</v>
      </c>
      <c r="U5046" s="40" t="str">
        <f t="shared" si="308"/>
        <v>-</v>
      </c>
      <c r="V5046" s="42" t="str" cm="1">
        <f t="array" ref="V5046">_xlfn.IFS(
LEFT(S5046,16)="win on penalties",IF(VALUE(MID(S5046,19,1))&gt;VALUE(MID(S5046,23,1)),DATA_CLEANED!AK560,DATA_CLEANED!AN560),
ISNUMBER(SEARCH("USA",S5046)),"United States",
ISNUMBER(SEARCH("Republic of Ireland",S5046)),"Ireland",
ISNUMBER(SEARCH("Republic of Korea",S5046)),"South Korea",
ISNUMBER(SEARCH("Cape Verde",S5046)),"Cabo Verde",
ISNUMBER(SEARCH("Czechia",S5046)),"Czech Republic",
ISNUMBER(SEARCH("Türkiye",S5046)),"Turkey",
ISNUMBER(SEARCH("Ivory Coast",S5046)),"Côte d'Ivoire",
ISNUMBER(SEARCH("Korea Republic",S5046)),"South Korea",
ISNUMBER(SEARCH("Germany FR",S5046)),"FR Germany",
ISNUMBER(SEARCH("West Germany",S5046)),"FR Germany",
ISNUMBER(SEARCH("Germany DR",S5046)),"DR Germany",
ISNUMBER(SEARCH("Korea DPR",S5046)),"North Korea",
ISNUMBER(SEARCH("China PR",S5046)),"China",
ISNUMBER(SEARCH("IR Iran",S5046)),"Iran",
ISNUMBER(SEARCH("Congo DR",S5046)),"Democratic Republic of the Congo",
ISNUMBER(SEARCH("DR Congo",S5046)),"Democratic Republic of the Congo",
ISNUMBER(SEARCH("German DR",S5046)),"DR Germany",
ISNUMBER(SEARCH("rn""&gt;United Arab Emirates",S5046)),"United Arab Emirates",
ISNUMBER(SEARCH("rn""&gt;Republic of Ireland",S5046)),"Ireland",
ISNUMBER(SEARCH("rn""&gt;Bosnia and Herzegovina",S5046)),"Bosnia and Herzegovina",
ISNUMBER(SEARCH("rn""&gt;Trinidad and Tobago",S5046)),"Trinidad and Tobago",
ISNUMBER(SEARCH("rn""&gt;Serbia and Montenegro",S5046)),"Serbia and Montenegro",
ISNUMBER(SEARCH(_xlfn.UNICHAR(65533),S5046)),"Côte d'Ivoire",
TRUE,"-"
)</f>
        <v>-</v>
      </c>
      <c r="W5046" s="42" t="str">
        <f t="shared" si="309"/>
        <v>-</v>
      </c>
    </row>
    <row r="5047" spans="19:23">
      <c r="S5047" s="42" t="str">
        <v/>
      </c>
      <c r="T5047" s="42" t="str">
        <f t="shared" si="307"/>
        <v>-</v>
      </c>
      <c r="U5047" s="40" t="str">
        <f t="shared" si="308"/>
        <v>-</v>
      </c>
      <c r="V5047" s="42" t="str" cm="1">
        <f t="array" ref="V5047">_xlfn.IFS(
LEFT(S5047,16)="win on penalties",IF(VALUE(MID(S5047,19,1))&gt;VALUE(MID(S5047,23,1)),DATA_CLEANED!AK561,DATA_CLEANED!AN561),
ISNUMBER(SEARCH("USA",S5047)),"United States",
ISNUMBER(SEARCH("Republic of Ireland",S5047)),"Ireland",
ISNUMBER(SEARCH("Republic of Korea",S5047)),"South Korea",
ISNUMBER(SEARCH("Cape Verde",S5047)),"Cabo Verde",
ISNUMBER(SEARCH("Czechia",S5047)),"Czech Republic",
ISNUMBER(SEARCH("Türkiye",S5047)),"Turkey",
ISNUMBER(SEARCH("Ivory Coast",S5047)),"Côte d'Ivoire",
ISNUMBER(SEARCH("Korea Republic",S5047)),"South Korea",
ISNUMBER(SEARCH("Germany FR",S5047)),"FR Germany",
ISNUMBER(SEARCH("West Germany",S5047)),"FR Germany",
ISNUMBER(SEARCH("Germany DR",S5047)),"DR Germany",
ISNUMBER(SEARCH("Korea DPR",S5047)),"North Korea",
ISNUMBER(SEARCH("China PR",S5047)),"China",
ISNUMBER(SEARCH("IR Iran",S5047)),"Iran",
ISNUMBER(SEARCH("Congo DR",S5047)),"Democratic Republic of the Congo",
ISNUMBER(SEARCH("DR Congo",S5047)),"Democratic Republic of the Congo",
ISNUMBER(SEARCH("German DR",S5047)),"DR Germany",
ISNUMBER(SEARCH("rn""&gt;United Arab Emirates",S5047)),"United Arab Emirates",
ISNUMBER(SEARCH("rn""&gt;Republic of Ireland",S5047)),"Ireland",
ISNUMBER(SEARCH("rn""&gt;Bosnia and Herzegovina",S5047)),"Bosnia and Herzegovina",
ISNUMBER(SEARCH("rn""&gt;Trinidad and Tobago",S5047)),"Trinidad and Tobago",
ISNUMBER(SEARCH("rn""&gt;Serbia and Montenegro",S5047)),"Serbia and Montenegro",
ISNUMBER(SEARCH(_xlfn.UNICHAR(65533),S5047)),"Côte d'Ivoire",
TRUE,"-"
)</f>
        <v>-</v>
      </c>
      <c r="W5047" s="42" t="str">
        <f t="shared" si="309"/>
        <v>-</v>
      </c>
    </row>
    <row r="5048" spans="19:23">
      <c r="S5048" s="42" t="str">
        <v/>
      </c>
      <c r="T5048" s="42" t="str">
        <f t="shared" si="307"/>
        <v>-</v>
      </c>
      <c r="U5048" s="40" t="str">
        <f t="shared" si="308"/>
        <v>-</v>
      </c>
      <c r="V5048" s="42" t="str" cm="1">
        <f t="array" ref="V5048">_xlfn.IFS(
LEFT(S5048,16)="win on penalties",IF(VALUE(MID(S5048,19,1))&gt;VALUE(MID(S5048,23,1)),DATA_CLEANED!AK562,DATA_CLEANED!AN562),
ISNUMBER(SEARCH("USA",S5048)),"United States",
ISNUMBER(SEARCH("Republic of Ireland",S5048)),"Ireland",
ISNUMBER(SEARCH("Republic of Korea",S5048)),"South Korea",
ISNUMBER(SEARCH("Cape Verde",S5048)),"Cabo Verde",
ISNUMBER(SEARCH("Czechia",S5048)),"Czech Republic",
ISNUMBER(SEARCH("Türkiye",S5048)),"Turkey",
ISNUMBER(SEARCH("Ivory Coast",S5048)),"Côte d'Ivoire",
ISNUMBER(SEARCH("Korea Republic",S5048)),"South Korea",
ISNUMBER(SEARCH("Germany FR",S5048)),"FR Germany",
ISNUMBER(SEARCH("West Germany",S5048)),"FR Germany",
ISNUMBER(SEARCH("Germany DR",S5048)),"DR Germany",
ISNUMBER(SEARCH("Korea DPR",S5048)),"North Korea",
ISNUMBER(SEARCH("China PR",S5048)),"China",
ISNUMBER(SEARCH("IR Iran",S5048)),"Iran",
ISNUMBER(SEARCH("Congo DR",S5048)),"Democratic Republic of the Congo",
ISNUMBER(SEARCH("DR Congo",S5048)),"Democratic Republic of the Congo",
ISNUMBER(SEARCH("German DR",S5048)),"DR Germany",
ISNUMBER(SEARCH("rn""&gt;United Arab Emirates",S5048)),"United Arab Emirates",
ISNUMBER(SEARCH("rn""&gt;Republic of Ireland",S5048)),"Ireland",
ISNUMBER(SEARCH("rn""&gt;Bosnia and Herzegovina",S5048)),"Bosnia and Herzegovina",
ISNUMBER(SEARCH("rn""&gt;Trinidad and Tobago",S5048)),"Trinidad and Tobago",
ISNUMBER(SEARCH("rn""&gt;Serbia and Montenegro",S5048)),"Serbia and Montenegro",
ISNUMBER(SEARCH(_xlfn.UNICHAR(65533),S5048)),"Côte d'Ivoire",
TRUE,"-"
)</f>
        <v>-</v>
      </c>
      <c r="W5048" s="42" t="str">
        <f t="shared" si="309"/>
        <v>-</v>
      </c>
    </row>
    <row r="5049" spans="19:23">
      <c r="S5049" s="42" t="str">
        <v/>
      </c>
      <c r="T5049" s="42" t="str">
        <f t="shared" si="307"/>
        <v>-</v>
      </c>
      <c r="U5049" s="40" t="str">
        <f t="shared" si="308"/>
        <v>-</v>
      </c>
      <c r="V5049" s="42" t="str" cm="1">
        <f t="array" ref="V5049">_xlfn.IFS(
LEFT(S5049,16)="win on penalties",IF(VALUE(MID(S5049,19,1))&gt;VALUE(MID(S5049,23,1)),DATA_CLEANED!AK563,DATA_CLEANED!AN563),
ISNUMBER(SEARCH("USA",S5049)),"United States",
ISNUMBER(SEARCH("Republic of Ireland",S5049)),"Ireland",
ISNUMBER(SEARCH("Republic of Korea",S5049)),"South Korea",
ISNUMBER(SEARCH("Cape Verde",S5049)),"Cabo Verde",
ISNUMBER(SEARCH("Czechia",S5049)),"Czech Republic",
ISNUMBER(SEARCH("Türkiye",S5049)),"Turkey",
ISNUMBER(SEARCH("Ivory Coast",S5049)),"Côte d'Ivoire",
ISNUMBER(SEARCH("Korea Republic",S5049)),"South Korea",
ISNUMBER(SEARCH("Germany FR",S5049)),"FR Germany",
ISNUMBER(SEARCH("West Germany",S5049)),"FR Germany",
ISNUMBER(SEARCH("Germany DR",S5049)),"DR Germany",
ISNUMBER(SEARCH("Korea DPR",S5049)),"North Korea",
ISNUMBER(SEARCH("China PR",S5049)),"China",
ISNUMBER(SEARCH("IR Iran",S5049)),"Iran",
ISNUMBER(SEARCH("Congo DR",S5049)),"Democratic Republic of the Congo",
ISNUMBER(SEARCH("DR Congo",S5049)),"Democratic Republic of the Congo",
ISNUMBER(SEARCH("German DR",S5049)),"DR Germany",
ISNUMBER(SEARCH("rn""&gt;United Arab Emirates",S5049)),"United Arab Emirates",
ISNUMBER(SEARCH("rn""&gt;Republic of Ireland",S5049)),"Ireland",
ISNUMBER(SEARCH("rn""&gt;Bosnia and Herzegovina",S5049)),"Bosnia and Herzegovina",
ISNUMBER(SEARCH("rn""&gt;Trinidad and Tobago",S5049)),"Trinidad and Tobago",
ISNUMBER(SEARCH("rn""&gt;Serbia and Montenegro",S5049)),"Serbia and Montenegro",
ISNUMBER(SEARCH(_xlfn.UNICHAR(65533),S5049)),"Côte d'Ivoire",
TRUE,"-"
)</f>
        <v>-</v>
      </c>
      <c r="W5049" s="42" t="str">
        <f t="shared" si="309"/>
        <v>-</v>
      </c>
    </row>
    <row r="5050" spans="19:23">
      <c r="S5050" s="42" t="str">
        <v/>
      </c>
      <c r="T5050" s="42" t="str">
        <f t="shared" si="307"/>
        <v>-</v>
      </c>
      <c r="U5050" s="40" t="str">
        <f t="shared" si="308"/>
        <v>-</v>
      </c>
      <c r="V5050" s="42" t="str" cm="1">
        <f t="array" ref="V5050">_xlfn.IFS(
LEFT(S5050,16)="win on penalties",IF(VALUE(MID(S5050,19,1))&gt;VALUE(MID(S5050,23,1)),DATA_CLEANED!AK564,DATA_CLEANED!AN564),
ISNUMBER(SEARCH("USA",S5050)),"United States",
ISNUMBER(SEARCH("Republic of Ireland",S5050)),"Ireland",
ISNUMBER(SEARCH("Republic of Korea",S5050)),"South Korea",
ISNUMBER(SEARCH("Cape Verde",S5050)),"Cabo Verde",
ISNUMBER(SEARCH("Czechia",S5050)),"Czech Republic",
ISNUMBER(SEARCH("Türkiye",S5050)),"Turkey",
ISNUMBER(SEARCH("Ivory Coast",S5050)),"Côte d'Ivoire",
ISNUMBER(SEARCH("Korea Republic",S5050)),"South Korea",
ISNUMBER(SEARCH("Germany FR",S5050)),"FR Germany",
ISNUMBER(SEARCH("West Germany",S5050)),"FR Germany",
ISNUMBER(SEARCH("Germany DR",S5050)),"DR Germany",
ISNUMBER(SEARCH("Korea DPR",S5050)),"North Korea",
ISNUMBER(SEARCH("China PR",S5050)),"China",
ISNUMBER(SEARCH("IR Iran",S5050)),"Iran",
ISNUMBER(SEARCH("Congo DR",S5050)),"Democratic Republic of the Congo",
ISNUMBER(SEARCH("DR Congo",S5050)),"Democratic Republic of the Congo",
ISNUMBER(SEARCH("German DR",S5050)),"DR Germany",
ISNUMBER(SEARCH("rn""&gt;United Arab Emirates",S5050)),"United Arab Emirates",
ISNUMBER(SEARCH("rn""&gt;Republic of Ireland",S5050)),"Ireland",
ISNUMBER(SEARCH("rn""&gt;Bosnia and Herzegovina",S5050)),"Bosnia and Herzegovina",
ISNUMBER(SEARCH("rn""&gt;Trinidad and Tobago",S5050)),"Trinidad and Tobago",
ISNUMBER(SEARCH("rn""&gt;Serbia and Montenegro",S5050)),"Serbia and Montenegro",
ISNUMBER(SEARCH(_xlfn.UNICHAR(65533),S5050)),"Côte d'Ivoire",
TRUE,"-"
)</f>
        <v>-</v>
      </c>
      <c r="W5050" s="42" t="str">
        <f t="shared" si="309"/>
        <v>-</v>
      </c>
    </row>
    <row r="5051" spans="19:23">
      <c r="S5051" s="42" t="str">
        <v/>
      </c>
      <c r="T5051" s="42" t="str">
        <f t="shared" si="307"/>
        <v>-</v>
      </c>
      <c r="U5051" s="40" t="str">
        <f t="shared" si="308"/>
        <v>-</v>
      </c>
      <c r="V5051" s="42" t="str" cm="1">
        <f t="array" ref="V5051">_xlfn.IFS(
LEFT(S5051,16)="win on penalties",IF(VALUE(MID(S5051,19,1))&gt;VALUE(MID(S5051,23,1)),DATA_CLEANED!AK565,DATA_CLEANED!AN565),
ISNUMBER(SEARCH("USA",S5051)),"United States",
ISNUMBER(SEARCH("Republic of Ireland",S5051)),"Ireland",
ISNUMBER(SEARCH("Republic of Korea",S5051)),"South Korea",
ISNUMBER(SEARCH("Cape Verde",S5051)),"Cabo Verde",
ISNUMBER(SEARCH("Czechia",S5051)),"Czech Republic",
ISNUMBER(SEARCH("Türkiye",S5051)),"Turkey",
ISNUMBER(SEARCH("Ivory Coast",S5051)),"Côte d'Ivoire",
ISNUMBER(SEARCH("Korea Republic",S5051)),"South Korea",
ISNUMBER(SEARCH("Germany FR",S5051)),"FR Germany",
ISNUMBER(SEARCH("West Germany",S5051)),"FR Germany",
ISNUMBER(SEARCH("Germany DR",S5051)),"DR Germany",
ISNUMBER(SEARCH("Korea DPR",S5051)),"North Korea",
ISNUMBER(SEARCH("China PR",S5051)),"China",
ISNUMBER(SEARCH("IR Iran",S5051)),"Iran",
ISNUMBER(SEARCH("Congo DR",S5051)),"Democratic Republic of the Congo",
ISNUMBER(SEARCH("DR Congo",S5051)),"Democratic Republic of the Congo",
ISNUMBER(SEARCH("German DR",S5051)),"DR Germany",
ISNUMBER(SEARCH("rn""&gt;United Arab Emirates",S5051)),"United Arab Emirates",
ISNUMBER(SEARCH("rn""&gt;Republic of Ireland",S5051)),"Ireland",
ISNUMBER(SEARCH("rn""&gt;Bosnia and Herzegovina",S5051)),"Bosnia and Herzegovina",
ISNUMBER(SEARCH("rn""&gt;Trinidad and Tobago",S5051)),"Trinidad and Tobago",
ISNUMBER(SEARCH("rn""&gt;Serbia and Montenegro",S5051)),"Serbia and Montenegro",
ISNUMBER(SEARCH(_xlfn.UNICHAR(65533),S5051)),"Côte d'Ivoire",
TRUE,"-"
)</f>
        <v>-</v>
      </c>
      <c r="W5051" s="42" t="str">
        <f t="shared" si="309"/>
        <v>-</v>
      </c>
    </row>
    <row r="5052" spans="19:23">
      <c r="S5052" s="42" t="str">
        <v/>
      </c>
      <c r="T5052" s="42" t="str">
        <f t="shared" si="307"/>
        <v>-</v>
      </c>
      <c r="U5052" s="40" t="str">
        <f t="shared" si="308"/>
        <v>-</v>
      </c>
      <c r="V5052" s="42" t="str" cm="1">
        <f t="array" ref="V5052">_xlfn.IFS(
LEFT(S5052,16)="win on penalties",IF(VALUE(MID(S5052,19,1))&gt;VALUE(MID(S5052,23,1)),DATA_CLEANED!AK566,DATA_CLEANED!AN566),
ISNUMBER(SEARCH("USA",S5052)),"United States",
ISNUMBER(SEARCH("Republic of Ireland",S5052)),"Ireland",
ISNUMBER(SEARCH("Republic of Korea",S5052)),"South Korea",
ISNUMBER(SEARCH("Cape Verde",S5052)),"Cabo Verde",
ISNUMBER(SEARCH("Czechia",S5052)),"Czech Republic",
ISNUMBER(SEARCH("Türkiye",S5052)),"Turkey",
ISNUMBER(SEARCH("Ivory Coast",S5052)),"Côte d'Ivoire",
ISNUMBER(SEARCH("Korea Republic",S5052)),"South Korea",
ISNUMBER(SEARCH("Germany FR",S5052)),"FR Germany",
ISNUMBER(SEARCH("West Germany",S5052)),"FR Germany",
ISNUMBER(SEARCH("Germany DR",S5052)),"DR Germany",
ISNUMBER(SEARCH("Korea DPR",S5052)),"North Korea",
ISNUMBER(SEARCH("China PR",S5052)),"China",
ISNUMBER(SEARCH("IR Iran",S5052)),"Iran",
ISNUMBER(SEARCH("Congo DR",S5052)),"Democratic Republic of the Congo",
ISNUMBER(SEARCH("DR Congo",S5052)),"Democratic Republic of the Congo",
ISNUMBER(SEARCH("German DR",S5052)),"DR Germany",
ISNUMBER(SEARCH("rn""&gt;United Arab Emirates",S5052)),"United Arab Emirates",
ISNUMBER(SEARCH("rn""&gt;Republic of Ireland",S5052)),"Ireland",
ISNUMBER(SEARCH("rn""&gt;Bosnia and Herzegovina",S5052)),"Bosnia and Herzegovina",
ISNUMBER(SEARCH("rn""&gt;Trinidad and Tobago",S5052)),"Trinidad and Tobago",
ISNUMBER(SEARCH("rn""&gt;Serbia and Montenegro",S5052)),"Serbia and Montenegro",
ISNUMBER(SEARCH(_xlfn.UNICHAR(65533),S5052)),"Côte d'Ivoire",
TRUE,"-"
)</f>
        <v>-</v>
      </c>
      <c r="W5052" s="42" t="str">
        <f t="shared" si="309"/>
        <v>-</v>
      </c>
    </row>
    <row r="5053" spans="19:23">
      <c r="S5053" s="42" t="str">
        <v/>
      </c>
      <c r="T5053" s="42" t="str">
        <f t="shared" si="307"/>
        <v>-</v>
      </c>
      <c r="U5053" s="40" t="str">
        <f t="shared" si="308"/>
        <v>-</v>
      </c>
      <c r="V5053" s="42" t="str" cm="1">
        <f t="array" ref="V5053">_xlfn.IFS(
LEFT(S5053,16)="win on penalties",IF(VALUE(MID(S5053,19,1))&gt;VALUE(MID(S5053,23,1)),DATA_CLEANED!AK567,DATA_CLEANED!AN567),
ISNUMBER(SEARCH("USA",S5053)),"United States",
ISNUMBER(SEARCH("Republic of Ireland",S5053)),"Ireland",
ISNUMBER(SEARCH("Republic of Korea",S5053)),"South Korea",
ISNUMBER(SEARCH("Cape Verde",S5053)),"Cabo Verde",
ISNUMBER(SEARCH("Czechia",S5053)),"Czech Republic",
ISNUMBER(SEARCH("Türkiye",S5053)),"Turkey",
ISNUMBER(SEARCH("Ivory Coast",S5053)),"Côte d'Ivoire",
ISNUMBER(SEARCH("Korea Republic",S5053)),"South Korea",
ISNUMBER(SEARCH("Germany FR",S5053)),"FR Germany",
ISNUMBER(SEARCH("West Germany",S5053)),"FR Germany",
ISNUMBER(SEARCH("Germany DR",S5053)),"DR Germany",
ISNUMBER(SEARCH("Korea DPR",S5053)),"North Korea",
ISNUMBER(SEARCH("China PR",S5053)),"China",
ISNUMBER(SEARCH("IR Iran",S5053)),"Iran",
ISNUMBER(SEARCH("Congo DR",S5053)),"Democratic Republic of the Congo",
ISNUMBER(SEARCH("DR Congo",S5053)),"Democratic Republic of the Congo",
ISNUMBER(SEARCH("German DR",S5053)),"DR Germany",
ISNUMBER(SEARCH("rn""&gt;United Arab Emirates",S5053)),"United Arab Emirates",
ISNUMBER(SEARCH("rn""&gt;Republic of Ireland",S5053)),"Ireland",
ISNUMBER(SEARCH("rn""&gt;Bosnia and Herzegovina",S5053)),"Bosnia and Herzegovina",
ISNUMBER(SEARCH("rn""&gt;Trinidad and Tobago",S5053)),"Trinidad and Tobago",
ISNUMBER(SEARCH("rn""&gt;Serbia and Montenegro",S5053)),"Serbia and Montenegro",
ISNUMBER(SEARCH(_xlfn.UNICHAR(65533),S5053)),"Côte d'Ivoire",
TRUE,"-"
)</f>
        <v>-</v>
      </c>
      <c r="W5053" s="42" t="str">
        <f t="shared" si="309"/>
        <v>-</v>
      </c>
    </row>
    <row r="5054" spans="19:23">
      <c r="S5054" s="42" t="str">
        <v/>
      </c>
      <c r="T5054" s="42" t="str">
        <f t="shared" si="307"/>
        <v>-</v>
      </c>
      <c r="U5054" s="40" t="str">
        <f t="shared" si="308"/>
        <v>-</v>
      </c>
      <c r="V5054" s="42" t="str" cm="1">
        <f t="array" ref="V5054">_xlfn.IFS(
LEFT(S5054,16)="win on penalties",IF(VALUE(MID(S5054,19,1))&gt;VALUE(MID(S5054,23,1)),DATA_CLEANED!AK568,DATA_CLEANED!AN568),
ISNUMBER(SEARCH("USA",S5054)),"United States",
ISNUMBER(SEARCH("Republic of Ireland",S5054)),"Ireland",
ISNUMBER(SEARCH("Republic of Korea",S5054)),"South Korea",
ISNUMBER(SEARCH("Cape Verde",S5054)),"Cabo Verde",
ISNUMBER(SEARCH("Czechia",S5054)),"Czech Republic",
ISNUMBER(SEARCH("Türkiye",S5054)),"Turkey",
ISNUMBER(SEARCH("Ivory Coast",S5054)),"Côte d'Ivoire",
ISNUMBER(SEARCH("Korea Republic",S5054)),"South Korea",
ISNUMBER(SEARCH("Germany FR",S5054)),"FR Germany",
ISNUMBER(SEARCH("West Germany",S5054)),"FR Germany",
ISNUMBER(SEARCH("Germany DR",S5054)),"DR Germany",
ISNUMBER(SEARCH("Korea DPR",S5054)),"North Korea",
ISNUMBER(SEARCH("China PR",S5054)),"China",
ISNUMBER(SEARCH("IR Iran",S5054)),"Iran",
ISNUMBER(SEARCH("Congo DR",S5054)),"Democratic Republic of the Congo",
ISNUMBER(SEARCH("DR Congo",S5054)),"Democratic Republic of the Congo",
ISNUMBER(SEARCH("German DR",S5054)),"DR Germany",
ISNUMBER(SEARCH("rn""&gt;United Arab Emirates",S5054)),"United Arab Emirates",
ISNUMBER(SEARCH("rn""&gt;Republic of Ireland",S5054)),"Ireland",
ISNUMBER(SEARCH("rn""&gt;Bosnia and Herzegovina",S5054)),"Bosnia and Herzegovina",
ISNUMBER(SEARCH("rn""&gt;Trinidad and Tobago",S5054)),"Trinidad and Tobago",
ISNUMBER(SEARCH("rn""&gt;Serbia and Montenegro",S5054)),"Serbia and Montenegro",
ISNUMBER(SEARCH(_xlfn.UNICHAR(65533),S5054)),"Côte d'Ivoire",
TRUE,"-"
)</f>
        <v>-</v>
      </c>
      <c r="W5054" s="42" t="str">
        <f t="shared" si="309"/>
        <v>-</v>
      </c>
    </row>
    <row r="5055" spans="19:23">
      <c r="S5055" s="42" t="str">
        <v>France win after extra time</v>
      </c>
      <c r="T5055" s="42" t="str">
        <f t="shared" si="307"/>
        <v>France</v>
      </c>
      <c r="U5055" s="40" t="str">
        <f t="shared" si="308"/>
        <v>AUCUNE</v>
      </c>
      <c r="V5055" s="42" t="str" cm="1">
        <f t="array" ref="V5055">_xlfn.IFS(
LEFT(S5055,16)="win on penalties",IF(VALUE(MID(S5055,19,1))&gt;VALUE(MID(S5055,23,1)),DATA_CLEANED!AK569,DATA_CLEANED!AN569),
ISNUMBER(SEARCH("USA",S5055)),"United States",
ISNUMBER(SEARCH("Republic of Ireland",S5055)),"Ireland",
ISNUMBER(SEARCH("Republic of Korea",S5055)),"South Korea",
ISNUMBER(SEARCH("Cape Verde",S5055)),"Cabo Verde",
ISNUMBER(SEARCH("Czechia",S5055)),"Czech Republic",
ISNUMBER(SEARCH("Türkiye",S5055)),"Turkey",
ISNUMBER(SEARCH("Ivory Coast",S5055)),"Côte d'Ivoire",
ISNUMBER(SEARCH("Korea Republic",S5055)),"South Korea",
ISNUMBER(SEARCH("Germany FR",S5055)),"FR Germany",
ISNUMBER(SEARCH("West Germany",S5055)),"FR Germany",
ISNUMBER(SEARCH("Germany DR",S5055)),"DR Germany",
ISNUMBER(SEARCH("Korea DPR",S5055)),"North Korea",
ISNUMBER(SEARCH("China PR",S5055)),"China",
ISNUMBER(SEARCH("IR Iran",S5055)),"Iran",
ISNUMBER(SEARCH("Congo DR",S5055)),"Democratic Republic of the Congo",
ISNUMBER(SEARCH("DR Congo",S5055)),"Democratic Republic of the Congo",
ISNUMBER(SEARCH("German DR",S5055)),"DR Germany",
ISNUMBER(SEARCH("rn""&gt;United Arab Emirates",S5055)),"United Arab Emirates",
ISNUMBER(SEARCH("rn""&gt;Republic of Ireland",S5055)),"Ireland",
ISNUMBER(SEARCH("rn""&gt;Bosnia and Herzegovina",S5055)),"Bosnia and Herzegovina",
ISNUMBER(SEARCH("rn""&gt;Trinidad and Tobago",S5055)),"Trinidad and Tobago",
ISNUMBER(SEARCH("rn""&gt;Serbia and Montenegro",S5055)),"Serbia and Montenegro",
ISNUMBER(SEARCH(_xlfn.UNICHAR(65533),S5055)),"Côte d'Ivoire",
TRUE,"-"
)</f>
        <v>-</v>
      </c>
      <c r="W5055" s="42" t="str">
        <f t="shared" si="309"/>
        <v>France win after extra time</v>
      </c>
    </row>
    <row r="5056" spans="19:23">
      <c r="S5056" s="42" t="str">
        <v/>
      </c>
      <c r="T5056" s="42" t="str">
        <f t="shared" si="307"/>
        <v>-</v>
      </c>
      <c r="U5056" s="40" t="str">
        <f t="shared" si="308"/>
        <v>-</v>
      </c>
      <c r="V5056" s="42" t="str" cm="1">
        <f t="array" ref="V5056">_xlfn.IFS(
LEFT(S5056,16)="win on penalties",IF(VALUE(MID(S5056,19,1))&gt;VALUE(MID(S5056,23,1)),DATA_CLEANED!AK570,DATA_CLEANED!AN570),
ISNUMBER(SEARCH("USA",S5056)),"United States",
ISNUMBER(SEARCH("Republic of Ireland",S5056)),"Ireland",
ISNUMBER(SEARCH("Republic of Korea",S5056)),"South Korea",
ISNUMBER(SEARCH("Cape Verde",S5056)),"Cabo Verde",
ISNUMBER(SEARCH("Czechia",S5056)),"Czech Republic",
ISNUMBER(SEARCH("Türkiye",S5056)),"Turkey",
ISNUMBER(SEARCH("Ivory Coast",S5056)),"Côte d'Ivoire",
ISNUMBER(SEARCH("Korea Republic",S5056)),"South Korea",
ISNUMBER(SEARCH("Germany FR",S5056)),"FR Germany",
ISNUMBER(SEARCH("West Germany",S5056)),"FR Germany",
ISNUMBER(SEARCH("Germany DR",S5056)),"DR Germany",
ISNUMBER(SEARCH("Korea DPR",S5056)),"North Korea",
ISNUMBER(SEARCH("China PR",S5056)),"China",
ISNUMBER(SEARCH("IR Iran",S5056)),"Iran",
ISNUMBER(SEARCH("Congo DR",S5056)),"Democratic Republic of the Congo",
ISNUMBER(SEARCH("DR Congo",S5056)),"Democratic Republic of the Congo",
ISNUMBER(SEARCH("German DR",S5056)),"DR Germany",
ISNUMBER(SEARCH("rn""&gt;United Arab Emirates",S5056)),"United Arab Emirates",
ISNUMBER(SEARCH("rn""&gt;Republic of Ireland",S5056)),"Ireland",
ISNUMBER(SEARCH("rn""&gt;Bosnia and Herzegovina",S5056)),"Bosnia and Herzegovina",
ISNUMBER(SEARCH("rn""&gt;Trinidad and Tobago",S5056)),"Trinidad and Tobago",
ISNUMBER(SEARCH("rn""&gt;Serbia and Montenegro",S5056)),"Serbia and Montenegro",
ISNUMBER(SEARCH(_xlfn.UNICHAR(65533),S5056)),"Côte d'Ivoire",
TRUE,"-"
)</f>
        <v>-</v>
      </c>
      <c r="W5056" s="42" t="str">
        <f t="shared" si="309"/>
        <v>-</v>
      </c>
    </row>
    <row r="5057" spans="19:23">
      <c r="S5057" s="42" t="str">
        <v/>
      </c>
      <c r="T5057" s="42" t="str">
        <f t="shared" si="307"/>
        <v>-</v>
      </c>
      <c r="U5057" s="40" t="str">
        <f t="shared" si="308"/>
        <v>-</v>
      </c>
      <c r="V5057" s="42" t="str" cm="1">
        <f t="array" ref="V5057">_xlfn.IFS(
LEFT(S5057,16)="win on penalties",IF(VALUE(MID(S5057,19,1))&gt;VALUE(MID(S5057,23,1)),DATA_CLEANED!AK571,DATA_CLEANED!AN571),
ISNUMBER(SEARCH("USA",S5057)),"United States",
ISNUMBER(SEARCH("Republic of Ireland",S5057)),"Ireland",
ISNUMBER(SEARCH("Republic of Korea",S5057)),"South Korea",
ISNUMBER(SEARCH("Cape Verde",S5057)),"Cabo Verde",
ISNUMBER(SEARCH("Czechia",S5057)),"Czech Republic",
ISNUMBER(SEARCH("Türkiye",S5057)),"Turkey",
ISNUMBER(SEARCH("Ivory Coast",S5057)),"Côte d'Ivoire",
ISNUMBER(SEARCH("Korea Republic",S5057)),"South Korea",
ISNUMBER(SEARCH("Germany FR",S5057)),"FR Germany",
ISNUMBER(SEARCH("West Germany",S5057)),"FR Germany",
ISNUMBER(SEARCH("Germany DR",S5057)),"DR Germany",
ISNUMBER(SEARCH("Korea DPR",S5057)),"North Korea",
ISNUMBER(SEARCH("China PR",S5057)),"China",
ISNUMBER(SEARCH("IR Iran",S5057)),"Iran",
ISNUMBER(SEARCH("Congo DR",S5057)),"Democratic Republic of the Congo",
ISNUMBER(SEARCH("DR Congo",S5057)),"Democratic Republic of the Congo",
ISNUMBER(SEARCH("German DR",S5057)),"DR Germany",
ISNUMBER(SEARCH("rn""&gt;United Arab Emirates",S5057)),"United Arab Emirates",
ISNUMBER(SEARCH("rn""&gt;Republic of Ireland",S5057)),"Ireland",
ISNUMBER(SEARCH("rn""&gt;Bosnia and Herzegovina",S5057)),"Bosnia and Herzegovina",
ISNUMBER(SEARCH("rn""&gt;Trinidad and Tobago",S5057)),"Trinidad and Tobago",
ISNUMBER(SEARCH("rn""&gt;Serbia and Montenegro",S5057)),"Serbia and Montenegro",
ISNUMBER(SEARCH(_xlfn.UNICHAR(65533),S5057)),"Côte d'Ivoire",
TRUE,"-"
)</f>
        <v>-</v>
      </c>
      <c r="W5057" s="42" t="str">
        <f t="shared" si="309"/>
        <v>-</v>
      </c>
    </row>
    <row r="5058" spans="19:23">
      <c r="S5058" s="42" t="str">
        <v/>
      </c>
      <c r="T5058" s="42" t="str">
        <f t="shared" si="307"/>
        <v>-</v>
      </c>
      <c r="U5058" s="40" t="str">
        <f t="shared" si="308"/>
        <v>-</v>
      </c>
      <c r="V5058" s="42" t="str" cm="1">
        <f t="array" ref="V5058">_xlfn.IFS(
LEFT(S5058,16)="win on penalties",IF(VALUE(MID(S5058,19,1))&gt;VALUE(MID(S5058,23,1)),DATA_CLEANED!AK572,DATA_CLEANED!AN572),
ISNUMBER(SEARCH("USA",S5058)),"United States",
ISNUMBER(SEARCH("Republic of Ireland",S5058)),"Ireland",
ISNUMBER(SEARCH("Republic of Korea",S5058)),"South Korea",
ISNUMBER(SEARCH("Cape Verde",S5058)),"Cabo Verde",
ISNUMBER(SEARCH("Czechia",S5058)),"Czech Republic",
ISNUMBER(SEARCH("Türkiye",S5058)),"Turkey",
ISNUMBER(SEARCH("Ivory Coast",S5058)),"Côte d'Ivoire",
ISNUMBER(SEARCH("Korea Republic",S5058)),"South Korea",
ISNUMBER(SEARCH("Germany FR",S5058)),"FR Germany",
ISNUMBER(SEARCH("West Germany",S5058)),"FR Germany",
ISNUMBER(SEARCH("Germany DR",S5058)),"DR Germany",
ISNUMBER(SEARCH("Korea DPR",S5058)),"North Korea",
ISNUMBER(SEARCH("China PR",S5058)),"China",
ISNUMBER(SEARCH("IR Iran",S5058)),"Iran",
ISNUMBER(SEARCH("Congo DR",S5058)),"Democratic Republic of the Congo",
ISNUMBER(SEARCH("DR Congo",S5058)),"Democratic Republic of the Congo",
ISNUMBER(SEARCH("German DR",S5058)),"DR Germany",
ISNUMBER(SEARCH("rn""&gt;United Arab Emirates",S5058)),"United Arab Emirates",
ISNUMBER(SEARCH("rn""&gt;Republic of Ireland",S5058)),"Ireland",
ISNUMBER(SEARCH("rn""&gt;Bosnia and Herzegovina",S5058)),"Bosnia and Herzegovina",
ISNUMBER(SEARCH("rn""&gt;Trinidad and Tobago",S5058)),"Trinidad and Tobago",
ISNUMBER(SEARCH("rn""&gt;Serbia and Montenegro",S5058)),"Serbia and Montenegro",
ISNUMBER(SEARCH(_xlfn.UNICHAR(65533),S5058)),"Côte d'Ivoire",
TRUE,"-"
)</f>
        <v>-</v>
      </c>
      <c r="W5058" s="42" t="str">
        <f t="shared" si="309"/>
        <v>-</v>
      </c>
    </row>
    <row r="5059" spans="19:23">
      <c r="S5059" s="42" t="str">
        <v/>
      </c>
      <c r="T5059" s="42" t="str">
        <f t="shared" si="307"/>
        <v>-</v>
      </c>
      <c r="U5059" s="40" t="str">
        <f t="shared" si="308"/>
        <v>-</v>
      </c>
      <c r="V5059" s="42" t="str" cm="1">
        <f t="array" ref="V5059">_xlfn.IFS(
LEFT(S5059,16)="win on penalties",IF(VALUE(MID(S5059,19,1))&gt;VALUE(MID(S5059,23,1)),DATA_CLEANED!AK573,DATA_CLEANED!AN573),
ISNUMBER(SEARCH("USA",S5059)),"United States",
ISNUMBER(SEARCH("Republic of Ireland",S5059)),"Ireland",
ISNUMBER(SEARCH("Republic of Korea",S5059)),"South Korea",
ISNUMBER(SEARCH("Cape Verde",S5059)),"Cabo Verde",
ISNUMBER(SEARCH("Czechia",S5059)),"Czech Republic",
ISNUMBER(SEARCH("Türkiye",S5059)),"Turkey",
ISNUMBER(SEARCH("Ivory Coast",S5059)),"Côte d'Ivoire",
ISNUMBER(SEARCH("Korea Republic",S5059)),"South Korea",
ISNUMBER(SEARCH("Germany FR",S5059)),"FR Germany",
ISNUMBER(SEARCH("West Germany",S5059)),"FR Germany",
ISNUMBER(SEARCH("Germany DR",S5059)),"DR Germany",
ISNUMBER(SEARCH("Korea DPR",S5059)),"North Korea",
ISNUMBER(SEARCH("China PR",S5059)),"China",
ISNUMBER(SEARCH("IR Iran",S5059)),"Iran",
ISNUMBER(SEARCH("Congo DR",S5059)),"Democratic Republic of the Congo",
ISNUMBER(SEARCH("DR Congo",S5059)),"Democratic Republic of the Congo",
ISNUMBER(SEARCH("German DR",S5059)),"DR Germany",
ISNUMBER(SEARCH("rn""&gt;United Arab Emirates",S5059)),"United Arab Emirates",
ISNUMBER(SEARCH("rn""&gt;Republic of Ireland",S5059)),"Ireland",
ISNUMBER(SEARCH("rn""&gt;Bosnia and Herzegovina",S5059)),"Bosnia and Herzegovina",
ISNUMBER(SEARCH("rn""&gt;Trinidad and Tobago",S5059)),"Trinidad and Tobago",
ISNUMBER(SEARCH("rn""&gt;Serbia and Montenegro",S5059)),"Serbia and Montenegro",
ISNUMBER(SEARCH(_xlfn.UNICHAR(65533),S5059)),"Côte d'Ivoire",
TRUE,"-"
)</f>
        <v>-</v>
      </c>
      <c r="W5059" s="42" t="str">
        <f t="shared" si="309"/>
        <v>-</v>
      </c>
    </row>
    <row r="5060" spans="19:23">
      <c r="S5060" s="42" t="str">
        <v>Argentina win on penalties (4 - 3)</v>
      </c>
      <c r="T5060" s="42" t="str">
        <f t="shared" si="307"/>
        <v>Argentina</v>
      </c>
      <c r="U5060" s="40" t="str">
        <f t="shared" si="308"/>
        <v>AUCUNE</v>
      </c>
      <c r="V5060" s="42" t="str" cm="1">
        <f t="array" ref="V5060">_xlfn.IFS(
LEFT(S5060,16)="win on penalties",IF(VALUE(MID(S5060,19,1))&gt;VALUE(MID(S5060,23,1)),DATA_CLEANED!AK574,DATA_CLEANED!AN574),
ISNUMBER(SEARCH("USA",S5060)),"United States",
ISNUMBER(SEARCH("Republic of Ireland",S5060)),"Ireland",
ISNUMBER(SEARCH("Republic of Korea",S5060)),"South Korea",
ISNUMBER(SEARCH("Cape Verde",S5060)),"Cabo Verde",
ISNUMBER(SEARCH("Czechia",S5060)),"Czech Republic",
ISNUMBER(SEARCH("Türkiye",S5060)),"Turkey",
ISNUMBER(SEARCH("Ivory Coast",S5060)),"Côte d'Ivoire",
ISNUMBER(SEARCH("Korea Republic",S5060)),"South Korea",
ISNUMBER(SEARCH("Germany FR",S5060)),"FR Germany",
ISNUMBER(SEARCH("West Germany",S5060)),"FR Germany",
ISNUMBER(SEARCH("Germany DR",S5060)),"DR Germany",
ISNUMBER(SEARCH("Korea DPR",S5060)),"North Korea",
ISNUMBER(SEARCH("China PR",S5060)),"China",
ISNUMBER(SEARCH("IR Iran",S5060)),"Iran",
ISNUMBER(SEARCH("Congo DR",S5060)),"Democratic Republic of the Congo",
ISNUMBER(SEARCH("DR Congo",S5060)),"Democratic Republic of the Congo",
ISNUMBER(SEARCH("German DR",S5060)),"DR Germany",
ISNUMBER(SEARCH("rn""&gt;United Arab Emirates",S5060)),"United Arab Emirates",
ISNUMBER(SEARCH("rn""&gt;Republic of Ireland",S5060)),"Ireland",
ISNUMBER(SEARCH("rn""&gt;Bosnia and Herzegovina",S5060)),"Bosnia and Herzegovina",
ISNUMBER(SEARCH("rn""&gt;Trinidad and Tobago",S5060)),"Trinidad and Tobago",
ISNUMBER(SEARCH("rn""&gt;Serbia and Montenegro",S5060)),"Serbia and Montenegro",
ISNUMBER(SEARCH(_xlfn.UNICHAR(65533),S5060)),"Côte d'Ivoire",
TRUE,"-"
)</f>
        <v>-</v>
      </c>
      <c r="W5060" s="42" t="str">
        <f t="shared" si="309"/>
        <v>Argentina win on penalties (4 - 3)</v>
      </c>
    </row>
    <row r="5061" spans="19:23">
      <c r="S5061" s="42" t="str">
        <v>France win on penalties (3 - 4)</v>
      </c>
      <c r="T5061" s="42" t="str">
        <f t="shared" si="307"/>
        <v>France</v>
      </c>
      <c r="U5061" s="40" t="str">
        <f t="shared" si="308"/>
        <v>AUCUNE</v>
      </c>
      <c r="V5061" s="42" t="str" cm="1">
        <f t="array" ref="V5061">_xlfn.IFS(
LEFT(S5061,16)="win on penalties",IF(VALUE(MID(S5061,19,1))&gt;VALUE(MID(S5061,23,1)),DATA_CLEANED!AK575,DATA_CLEANED!AN575),
ISNUMBER(SEARCH("USA",S5061)),"United States",
ISNUMBER(SEARCH("Republic of Ireland",S5061)),"Ireland",
ISNUMBER(SEARCH("Republic of Korea",S5061)),"South Korea",
ISNUMBER(SEARCH("Cape Verde",S5061)),"Cabo Verde",
ISNUMBER(SEARCH("Czechia",S5061)),"Czech Republic",
ISNUMBER(SEARCH("Türkiye",S5061)),"Turkey",
ISNUMBER(SEARCH("Ivory Coast",S5061)),"Côte d'Ivoire",
ISNUMBER(SEARCH("Korea Republic",S5061)),"South Korea",
ISNUMBER(SEARCH("Germany FR",S5061)),"FR Germany",
ISNUMBER(SEARCH("West Germany",S5061)),"FR Germany",
ISNUMBER(SEARCH("Germany DR",S5061)),"DR Germany",
ISNUMBER(SEARCH("Korea DPR",S5061)),"North Korea",
ISNUMBER(SEARCH("China PR",S5061)),"China",
ISNUMBER(SEARCH("IR Iran",S5061)),"Iran",
ISNUMBER(SEARCH("Congo DR",S5061)),"Democratic Republic of the Congo",
ISNUMBER(SEARCH("DR Congo",S5061)),"Democratic Republic of the Congo",
ISNUMBER(SEARCH("German DR",S5061)),"DR Germany",
ISNUMBER(SEARCH("rn""&gt;United Arab Emirates",S5061)),"United Arab Emirates",
ISNUMBER(SEARCH("rn""&gt;Republic of Ireland",S5061)),"Ireland",
ISNUMBER(SEARCH("rn""&gt;Bosnia and Herzegovina",S5061)),"Bosnia and Herzegovina",
ISNUMBER(SEARCH("rn""&gt;Trinidad and Tobago",S5061)),"Trinidad and Tobago",
ISNUMBER(SEARCH("rn""&gt;Serbia and Montenegro",S5061)),"Serbia and Montenegro",
ISNUMBER(SEARCH(_xlfn.UNICHAR(65533),S5061)),"Côte d'Ivoire",
TRUE,"-"
)</f>
        <v>-</v>
      </c>
      <c r="W5061" s="42" t="str">
        <f t="shared" si="309"/>
        <v>France win on penalties (3 - 4)</v>
      </c>
    </row>
    <row r="5062" spans="19:23">
      <c r="S5062" s="42" t="str">
        <v/>
      </c>
      <c r="T5062" s="42" t="str">
        <f t="shared" si="307"/>
        <v>-</v>
      </c>
      <c r="U5062" s="40" t="str">
        <f t="shared" si="308"/>
        <v>-</v>
      </c>
      <c r="V5062" s="42" t="str" cm="1">
        <f t="array" ref="V5062">_xlfn.IFS(
LEFT(S5062,16)="win on penalties",IF(VALUE(MID(S5062,19,1))&gt;VALUE(MID(S5062,23,1)),DATA_CLEANED!AK576,DATA_CLEANED!AN576),
ISNUMBER(SEARCH("USA",S5062)),"United States",
ISNUMBER(SEARCH("Republic of Ireland",S5062)),"Ireland",
ISNUMBER(SEARCH("Republic of Korea",S5062)),"South Korea",
ISNUMBER(SEARCH("Cape Verde",S5062)),"Cabo Verde",
ISNUMBER(SEARCH("Czechia",S5062)),"Czech Republic",
ISNUMBER(SEARCH("Türkiye",S5062)),"Turkey",
ISNUMBER(SEARCH("Ivory Coast",S5062)),"Côte d'Ivoire",
ISNUMBER(SEARCH("Korea Republic",S5062)),"South Korea",
ISNUMBER(SEARCH("Germany FR",S5062)),"FR Germany",
ISNUMBER(SEARCH("West Germany",S5062)),"FR Germany",
ISNUMBER(SEARCH("Germany DR",S5062)),"DR Germany",
ISNUMBER(SEARCH("Korea DPR",S5062)),"North Korea",
ISNUMBER(SEARCH("China PR",S5062)),"China",
ISNUMBER(SEARCH("IR Iran",S5062)),"Iran",
ISNUMBER(SEARCH("Congo DR",S5062)),"Democratic Republic of the Congo",
ISNUMBER(SEARCH("DR Congo",S5062)),"Democratic Republic of the Congo",
ISNUMBER(SEARCH("German DR",S5062)),"DR Germany",
ISNUMBER(SEARCH("rn""&gt;United Arab Emirates",S5062)),"United Arab Emirates",
ISNUMBER(SEARCH("rn""&gt;Republic of Ireland",S5062)),"Ireland",
ISNUMBER(SEARCH("rn""&gt;Bosnia and Herzegovina",S5062)),"Bosnia and Herzegovina",
ISNUMBER(SEARCH("rn""&gt;Trinidad and Tobago",S5062)),"Trinidad and Tobago",
ISNUMBER(SEARCH("rn""&gt;Serbia and Montenegro",S5062)),"Serbia and Montenegro",
ISNUMBER(SEARCH(_xlfn.UNICHAR(65533),S5062)),"Côte d'Ivoire",
TRUE,"-"
)</f>
        <v>-</v>
      </c>
      <c r="W5062" s="42" t="str">
        <f t="shared" si="309"/>
        <v>-</v>
      </c>
    </row>
    <row r="5063" spans="19:23">
      <c r="S5063" s="42" t="str">
        <v/>
      </c>
      <c r="T5063" s="42" t="str">
        <f t="shared" si="307"/>
        <v>-</v>
      </c>
      <c r="U5063" s="40" t="str">
        <f t="shared" si="308"/>
        <v>-</v>
      </c>
      <c r="V5063" s="42" t="str" cm="1">
        <f t="array" ref="V5063">_xlfn.IFS(
LEFT(S5063,16)="win on penalties",IF(VALUE(MID(S5063,19,1))&gt;VALUE(MID(S5063,23,1)),DATA_CLEANED!AK577,DATA_CLEANED!AN577),
ISNUMBER(SEARCH("USA",S5063)),"United States",
ISNUMBER(SEARCH("Republic of Ireland",S5063)),"Ireland",
ISNUMBER(SEARCH("Republic of Korea",S5063)),"South Korea",
ISNUMBER(SEARCH("Cape Verde",S5063)),"Cabo Verde",
ISNUMBER(SEARCH("Czechia",S5063)),"Czech Republic",
ISNUMBER(SEARCH("Türkiye",S5063)),"Turkey",
ISNUMBER(SEARCH("Ivory Coast",S5063)),"Côte d'Ivoire",
ISNUMBER(SEARCH("Korea Republic",S5063)),"South Korea",
ISNUMBER(SEARCH("Germany FR",S5063)),"FR Germany",
ISNUMBER(SEARCH("West Germany",S5063)),"FR Germany",
ISNUMBER(SEARCH("Germany DR",S5063)),"DR Germany",
ISNUMBER(SEARCH("Korea DPR",S5063)),"North Korea",
ISNUMBER(SEARCH("China PR",S5063)),"China",
ISNUMBER(SEARCH("IR Iran",S5063)),"Iran",
ISNUMBER(SEARCH("Congo DR",S5063)),"Democratic Republic of the Congo",
ISNUMBER(SEARCH("DR Congo",S5063)),"Democratic Republic of the Congo",
ISNUMBER(SEARCH("German DR",S5063)),"DR Germany",
ISNUMBER(SEARCH("rn""&gt;United Arab Emirates",S5063)),"United Arab Emirates",
ISNUMBER(SEARCH("rn""&gt;Republic of Ireland",S5063)),"Ireland",
ISNUMBER(SEARCH("rn""&gt;Bosnia and Herzegovina",S5063)),"Bosnia and Herzegovina",
ISNUMBER(SEARCH("rn""&gt;Trinidad and Tobago",S5063)),"Trinidad and Tobago",
ISNUMBER(SEARCH("rn""&gt;Serbia and Montenegro",S5063)),"Serbia and Montenegro",
ISNUMBER(SEARCH(_xlfn.UNICHAR(65533),S5063)),"Côte d'Ivoire",
TRUE,"-"
)</f>
        <v>-</v>
      </c>
      <c r="W5063" s="42" t="str">
        <f t="shared" si="309"/>
        <v>-</v>
      </c>
    </row>
    <row r="5064" spans="19:23">
      <c r="S5064" s="42" t="str">
        <v/>
      </c>
      <c r="T5064" s="42" t="str">
        <f t="shared" si="307"/>
        <v>-</v>
      </c>
      <c r="U5064" s="40" t="str">
        <f t="shared" si="308"/>
        <v>-</v>
      </c>
      <c r="V5064" s="42" t="str" cm="1">
        <f t="array" ref="V5064">_xlfn.IFS(
LEFT(S5064,16)="win on penalties",IF(VALUE(MID(S5064,19,1))&gt;VALUE(MID(S5064,23,1)),DATA_CLEANED!AK578,DATA_CLEANED!AN578),
ISNUMBER(SEARCH("USA",S5064)),"United States",
ISNUMBER(SEARCH("Republic of Ireland",S5064)),"Ireland",
ISNUMBER(SEARCH("Republic of Korea",S5064)),"South Korea",
ISNUMBER(SEARCH("Cape Verde",S5064)),"Cabo Verde",
ISNUMBER(SEARCH("Czechia",S5064)),"Czech Republic",
ISNUMBER(SEARCH("Türkiye",S5064)),"Turkey",
ISNUMBER(SEARCH("Ivory Coast",S5064)),"Côte d'Ivoire",
ISNUMBER(SEARCH("Korea Republic",S5064)),"South Korea",
ISNUMBER(SEARCH("Germany FR",S5064)),"FR Germany",
ISNUMBER(SEARCH("West Germany",S5064)),"FR Germany",
ISNUMBER(SEARCH("Germany DR",S5064)),"DR Germany",
ISNUMBER(SEARCH("Korea DPR",S5064)),"North Korea",
ISNUMBER(SEARCH("China PR",S5064)),"China",
ISNUMBER(SEARCH("IR Iran",S5064)),"Iran",
ISNUMBER(SEARCH("Congo DR",S5064)),"Democratic Republic of the Congo",
ISNUMBER(SEARCH("DR Congo",S5064)),"Democratic Republic of the Congo",
ISNUMBER(SEARCH("German DR",S5064)),"DR Germany",
ISNUMBER(SEARCH("rn""&gt;United Arab Emirates",S5064)),"United Arab Emirates",
ISNUMBER(SEARCH("rn""&gt;Republic of Ireland",S5064)),"Ireland",
ISNUMBER(SEARCH("rn""&gt;Bosnia and Herzegovina",S5064)),"Bosnia and Herzegovina",
ISNUMBER(SEARCH("rn""&gt;Trinidad and Tobago",S5064)),"Trinidad and Tobago",
ISNUMBER(SEARCH("rn""&gt;Serbia and Montenegro",S5064)),"Serbia and Montenegro",
ISNUMBER(SEARCH(_xlfn.UNICHAR(65533),S5064)),"Côte d'Ivoire",
TRUE,"-"
)</f>
        <v>-</v>
      </c>
      <c r="W5064" s="42" t="str">
        <f t="shared" si="309"/>
        <v>-</v>
      </c>
    </row>
    <row r="5065" spans="19:23">
      <c r="S5065" s="42" t="str">
        <v>Brazil win on penalties (4 - 2)</v>
      </c>
      <c r="T5065" s="42" t="str">
        <f t="shared" si="307"/>
        <v>Brazil</v>
      </c>
      <c r="U5065" s="40" t="str">
        <f t="shared" si="308"/>
        <v>AUCUNE</v>
      </c>
      <c r="V5065" s="42" t="str" cm="1">
        <f t="array" ref="V5065">_xlfn.IFS(
LEFT(S5065,16)="win on penalties",IF(VALUE(MID(S5065,19,1))&gt;VALUE(MID(S5065,23,1)),DATA_CLEANED!AK579,DATA_CLEANED!AN579),
ISNUMBER(SEARCH("USA",S5065)),"United States",
ISNUMBER(SEARCH("Republic of Ireland",S5065)),"Ireland",
ISNUMBER(SEARCH("Republic of Korea",S5065)),"South Korea",
ISNUMBER(SEARCH("Cape Verde",S5065)),"Cabo Verde",
ISNUMBER(SEARCH("Czechia",S5065)),"Czech Republic",
ISNUMBER(SEARCH("Türkiye",S5065)),"Turkey",
ISNUMBER(SEARCH("Ivory Coast",S5065)),"Côte d'Ivoire",
ISNUMBER(SEARCH("Korea Republic",S5065)),"South Korea",
ISNUMBER(SEARCH("Germany FR",S5065)),"FR Germany",
ISNUMBER(SEARCH("West Germany",S5065)),"FR Germany",
ISNUMBER(SEARCH("Germany DR",S5065)),"DR Germany",
ISNUMBER(SEARCH("Korea DPR",S5065)),"North Korea",
ISNUMBER(SEARCH("China PR",S5065)),"China",
ISNUMBER(SEARCH("IR Iran",S5065)),"Iran",
ISNUMBER(SEARCH("Congo DR",S5065)),"Democratic Republic of the Congo",
ISNUMBER(SEARCH("DR Congo",S5065)),"Democratic Republic of the Congo",
ISNUMBER(SEARCH("German DR",S5065)),"DR Germany",
ISNUMBER(SEARCH("rn""&gt;United Arab Emirates",S5065)),"United Arab Emirates",
ISNUMBER(SEARCH("rn""&gt;Republic of Ireland",S5065)),"Ireland",
ISNUMBER(SEARCH("rn""&gt;Bosnia and Herzegovina",S5065)),"Bosnia and Herzegovina",
ISNUMBER(SEARCH("rn""&gt;Trinidad and Tobago",S5065)),"Trinidad and Tobago",
ISNUMBER(SEARCH("rn""&gt;Serbia and Montenegro",S5065)),"Serbia and Montenegro",
ISNUMBER(SEARCH(_xlfn.UNICHAR(65533),S5065)),"Côte d'Ivoire",
TRUE,"-"
)</f>
        <v>-</v>
      </c>
      <c r="W5065" s="42" t="str">
        <f t="shared" si="309"/>
        <v>Brazil win on penalties (4 - 2)</v>
      </c>
    </row>
    <row r="5066" spans="19:23">
      <c r="S5066" s="42" t="str">
        <v/>
      </c>
      <c r="T5066" s="42" t="str">
        <f t="shared" ref="T5066:T5129" si="310">IF(S5066="","-",IFERROR(LEFT(S5066,SEARCH(" win",S5066)-1),"-"))</f>
        <v>-</v>
      </c>
      <c r="U5066" s="40" t="str">
        <f t="shared" ref="U5066:U5129" si="311">IF(T5066="-","-",IF(COUNTIF(_xlfn.ANCHORARRAY(X$13),T5066)=1,"AUCUNE","RENOMMER"))</f>
        <v>-</v>
      </c>
      <c r="V5066" s="42" t="str" cm="1">
        <f t="array" ref="V5066">_xlfn.IFS(
LEFT(S5066,16)="win on penalties",IF(VALUE(MID(S5066,19,1))&gt;VALUE(MID(S5066,23,1)),DATA_CLEANED!AK580,DATA_CLEANED!AN580),
ISNUMBER(SEARCH("USA",S5066)),"United States",
ISNUMBER(SEARCH("Republic of Ireland",S5066)),"Ireland",
ISNUMBER(SEARCH("Republic of Korea",S5066)),"South Korea",
ISNUMBER(SEARCH("Cape Verde",S5066)),"Cabo Verde",
ISNUMBER(SEARCH("Czechia",S5066)),"Czech Republic",
ISNUMBER(SEARCH("Türkiye",S5066)),"Turkey",
ISNUMBER(SEARCH("Ivory Coast",S5066)),"Côte d'Ivoire",
ISNUMBER(SEARCH("Korea Republic",S5066)),"South Korea",
ISNUMBER(SEARCH("Germany FR",S5066)),"FR Germany",
ISNUMBER(SEARCH("West Germany",S5066)),"FR Germany",
ISNUMBER(SEARCH("Germany DR",S5066)),"DR Germany",
ISNUMBER(SEARCH("Korea DPR",S5066)),"North Korea",
ISNUMBER(SEARCH("China PR",S5066)),"China",
ISNUMBER(SEARCH("IR Iran",S5066)),"Iran",
ISNUMBER(SEARCH("Congo DR",S5066)),"Democratic Republic of the Congo",
ISNUMBER(SEARCH("DR Congo",S5066)),"Democratic Republic of the Congo",
ISNUMBER(SEARCH("German DR",S5066)),"DR Germany",
ISNUMBER(SEARCH("rn""&gt;United Arab Emirates",S5066)),"United Arab Emirates",
ISNUMBER(SEARCH("rn""&gt;Republic of Ireland",S5066)),"Ireland",
ISNUMBER(SEARCH("rn""&gt;Bosnia and Herzegovina",S5066)),"Bosnia and Herzegovina",
ISNUMBER(SEARCH("rn""&gt;Trinidad and Tobago",S5066)),"Trinidad and Tobago",
ISNUMBER(SEARCH("rn""&gt;Serbia and Montenegro",S5066)),"Serbia and Montenegro",
ISNUMBER(SEARCH(_xlfn.UNICHAR(65533),S5066)),"Côte d'Ivoire",
TRUE,"-"
)</f>
        <v>-</v>
      </c>
      <c r="W5066" s="42" t="str">
        <f t="shared" ref="W5066:W5129" si="312">IF(S5066="","-",IF(AND(U5066="RENOMMER",T5066&lt;&gt;"-",V5066&lt;&gt;"-"),SUBSTITUTE(S5066,T5066,V5066),S5066))</f>
        <v>-</v>
      </c>
    </row>
    <row r="5067" spans="19:23">
      <c r="S5067" s="42" t="str">
        <v/>
      </c>
      <c r="T5067" s="42" t="str">
        <f t="shared" si="310"/>
        <v>-</v>
      </c>
      <c r="U5067" s="40" t="str">
        <f t="shared" si="311"/>
        <v>-</v>
      </c>
      <c r="V5067" s="42" t="str" cm="1">
        <f t="array" ref="V5067">_xlfn.IFS(
LEFT(S5067,16)="win on penalties",IF(VALUE(MID(S5067,19,1))&gt;VALUE(MID(S5067,23,1)),DATA_CLEANED!AK581,DATA_CLEANED!AN581),
ISNUMBER(SEARCH("USA",S5067)),"United States",
ISNUMBER(SEARCH("Republic of Ireland",S5067)),"Ireland",
ISNUMBER(SEARCH("Republic of Korea",S5067)),"South Korea",
ISNUMBER(SEARCH("Cape Verde",S5067)),"Cabo Verde",
ISNUMBER(SEARCH("Czechia",S5067)),"Czech Republic",
ISNUMBER(SEARCH("Türkiye",S5067)),"Turkey",
ISNUMBER(SEARCH("Ivory Coast",S5067)),"Côte d'Ivoire",
ISNUMBER(SEARCH("Korea Republic",S5067)),"South Korea",
ISNUMBER(SEARCH("Germany FR",S5067)),"FR Germany",
ISNUMBER(SEARCH("West Germany",S5067)),"FR Germany",
ISNUMBER(SEARCH("Germany DR",S5067)),"DR Germany",
ISNUMBER(SEARCH("Korea DPR",S5067)),"North Korea",
ISNUMBER(SEARCH("China PR",S5067)),"China",
ISNUMBER(SEARCH("IR Iran",S5067)),"Iran",
ISNUMBER(SEARCH("Congo DR",S5067)),"Democratic Republic of the Congo",
ISNUMBER(SEARCH("DR Congo",S5067)),"Democratic Republic of the Congo",
ISNUMBER(SEARCH("German DR",S5067)),"DR Germany",
ISNUMBER(SEARCH("rn""&gt;United Arab Emirates",S5067)),"United Arab Emirates",
ISNUMBER(SEARCH("rn""&gt;Republic of Ireland",S5067)),"Ireland",
ISNUMBER(SEARCH("rn""&gt;Bosnia and Herzegovina",S5067)),"Bosnia and Herzegovina",
ISNUMBER(SEARCH("rn""&gt;Trinidad and Tobago",S5067)),"Trinidad and Tobago",
ISNUMBER(SEARCH("rn""&gt;Serbia and Montenegro",S5067)),"Serbia and Montenegro",
ISNUMBER(SEARCH(_xlfn.UNICHAR(65533),S5067)),"Côte d'Ivoire",
TRUE,"-"
)</f>
        <v>-</v>
      </c>
      <c r="W5067" s="42" t="str">
        <f t="shared" si="312"/>
        <v>-</v>
      </c>
    </row>
    <row r="5068" spans="19:23">
      <c r="S5068" s="42" t="str">
        <v/>
      </c>
      <c r="T5068" s="42" t="str">
        <f t="shared" si="310"/>
        <v>-</v>
      </c>
      <c r="U5068" s="40" t="str">
        <f t="shared" si="311"/>
        <v>-</v>
      </c>
      <c r="V5068" s="42" t="str" cm="1">
        <f t="array" ref="V5068">_xlfn.IFS(
LEFT(S5068,16)="win on penalties",IF(VALUE(MID(S5068,19,1))&gt;VALUE(MID(S5068,23,1)),DATA_CLEANED!AK582,DATA_CLEANED!AN582),
ISNUMBER(SEARCH("USA",S5068)),"United States",
ISNUMBER(SEARCH("Republic of Ireland",S5068)),"Ireland",
ISNUMBER(SEARCH("Republic of Korea",S5068)),"South Korea",
ISNUMBER(SEARCH("Cape Verde",S5068)),"Cabo Verde",
ISNUMBER(SEARCH("Czechia",S5068)),"Czech Republic",
ISNUMBER(SEARCH("Türkiye",S5068)),"Turkey",
ISNUMBER(SEARCH("Ivory Coast",S5068)),"Côte d'Ivoire",
ISNUMBER(SEARCH("Korea Republic",S5068)),"South Korea",
ISNUMBER(SEARCH("Germany FR",S5068)),"FR Germany",
ISNUMBER(SEARCH("West Germany",S5068)),"FR Germany",
ISNUMBER(SEARCH("Germany DR",S5068)),"DR Germany",
ISNUMBER(SEARCH("Korea DPR",S5068)),"North Korea",
ISNUMBER(SEARCH("China PR",S5068)),"China",
ISNUMBER(SEARCH("IR Iran",S5068)),"Iran",
ISNUMBER(SEARCH("Congo DR",S5068)),"Democratic Republic of the Congo",
ISNUMBER(SEARCH("DR Congo",S5068)),"Democratic Republic of the Congo",
ISNUMBER(SEARCH("German DR",S5068)),"DR Germany",
ISNUMBER(SEARCH("rn""&gt;United Arab Emirates",S5068)),"United Arab Emirates",
ISNUMBER(SEARCH("rn""&gt;Republic of Ireland",S5068)),"Ireland",
ISNUMBER(SEARCH("rn""&gt;Bosnia and Herzegovina",S5068)),"Bosnia and Herzegovina",
ISNUMBER(SEARCH("rn""&gt;Trinidad and Tobago",S5068)),"Trinidad and Tobago",
ISNUMBER(SEARCH("rn""&gt;Serbia and Montenegro",S5068)),"Serbia and Montenegro",
ISNUMBER(SEARCH(_xlfn.UNICHAR(65533),S5068)),"Côte d'Ivoire",
TRUE,"-"
)</f>
        <v>-</v>
      </c>
      <c r="W5068" s="42" t="str">
        <f t="shared" si="312"/>
        <v>-</v>
      </c>
    </row>
    <row r="5069" spans="19:23">
      <c r="S5069" s="42" t="str">
        <v/>
      </c>
      <c r="T5069" s="42" t="str">
        <f t="shared" si="310"/>
        <v>-</v>
      </c>
      <c r="U5069" s="40" t="str">
        <f t="shared" si="311"/>
        <v>-</v>
      </c>
      <c r="V5069" s="42" t="str" cm="1">
        <f t="array" ref="V5069">_xlfn.IFS(
LEFT(S5069,16)="win on penalties",IF(VALUE(MID(S5069,19,1))&gt;VALUE(MID(S5069,23,1)),DATA_CLEANED!AK583,DATA_CLEANED!AN583),
ISNUMBER(SEARCH("USA",S5069)),"United States",
ISNUMBER(SEARCH("Republic of Ireland",S5069)),"Ireland",
ISNUMBER(SEARCH("Republic of Korea",S5069)),"South Korea",
ISNUMBER(SEARCH("Cape Verde",S5069)),"Cabo Verde",
ISNUMBER(SEARCH("Czechia",S5069)),"Czech Republic",
ISNUMBER(SEARCH("Türkiye",S5069)),"Turkey",
ISNUMBER(SEARCH("Ivory Coast",S5069)),"Côte d'Ivoire",
ISNUMBER(SEARCH("Korea Republic",S5069)),"South Korea",
ISNUMBER(SEARCH("Germany FR",S5069)),"FR Germany",
ISNUMBER(SEARCH("West Germany",S5069)),"FR Germany",
ISNUMBER(SEARCH("Germany DR",S5069)),"DR Germany",
ISNUMBER(SEARCH("Korea DPR",S5069)),"North Korea",
ISNUMBER(SEARCH("China PR",S5069)),"China",
ISNUMBER(SEARCH("IR Iran",S5069)),"Iran",
ISNUMBER(SEARCH("Congo DR",S5069)),"Democratic Republic of the Congo",
ISNUMBER(SEARCH("DR Congo",S5069)),"Democratic Republic of the Congo",
ISNUMBER(SEARCH("German DR",S5069)),"DR Germany",
ISNUMBER(SEARCH("rn""&gt;United Arab Emirates",S5069)),"United Arab Emirates",
ISNUMBER(SEARCH("rn""&gt;Republic of Ireland",S5069)),"Ireland",
ISNUMBER(SEARCH("rn""&gt;Bosnia and Herzegovina",S5069)),"Bosnia and Herzegovina",
ISNUMBER(SEARCH("rn""&gt;Trinidad and Tobago",S5069)),"Trinidad and Tobago",
ISNUMBER(SEARCH("rn""&gt;Serbia and Montenegro",S5069)),"Serbia and Montenegro",
ISNUMBER(SEARCH(_xlfn.UNICHAR(65533),S5069)),"Côte d'Ivoire",
TRUE,"-"
)</f>
        <v>-</v>
      </c>
      <c r="W5069" s="42" t="str">
        <f t="shared" si="312"/>
        <v>-</v>
      </c>
    </row>
    <row r="5070" spans="19:23">
      <c r="S5070" s="42" t="str">
        <v/>
      </c>
      <c r="T5070" s="42" t="str">
        <f t="shared" si="310"/>
        <v>-</v>
      </c>
      <c r="U5070" s="40" t="str">
        <f t="shared" si="311"/>
        <v>-</v>
      </c>
      <c r="V5070" s="42" t="str" cm="1">
        <f t="array" ref="V5070">_xlfn.IFS(
LEFT(S5070,16)="win on penalties",IF(VALUE(MID(S5070,19,1))&gt;VALUE(MID(S5070,23,1)),DATA_CLEANED!AK584,DATA_CLEANED!AN584),
ISNUMBER(SEARCH("USA",S5070)),"United States",
ISNUMBER(SEARCH("Republic of Ireland",S5070)),"Ireland",
ISNUMBER(SEARCH("Republic of Korea",S5070)),"South Korea",
ISNUMBER(SEARCH("Cape Verde",S5070)),"Cabo Verde",
ISNUMBER(SEARCH("Czechia",S5070)),"Czech Republic",
ISNUMBER(SEARCH("Türkiye",S5070)),"Turkey",
ISNUMBER(SEARCH("Ivory Coast",S5070)),"Côte d'Ivoire",
ISNUMBER(SEARCH("Korea Republic",S5070)),"South Korea",
ISNUMBER(SEARCH("Germany FR",S5070)),"FR Germany",
ISNUMBER(SEARCH("West Germany",S5070)),"FR Germany",
ISNUMBER(SEARCH("Germany DR",S5070)),"DR Germany",
ISNUMBER(SEARCH("Korea DPR",S5070)),"North Korea",
ISNUMBER(SEARCH("China PR",S5070)),"China",
ISNUMBER(SEARCH("IR Iran",S5070)),"Iran",
ISNUMBER(SEARCH("Congo DR",S5070)),"Democratic Republic of the Congo",
ISNUMBER(SEARCH("DR Congo",S5070)),"Democratic Republic of the Congo",
ISNUMBER(SEARCH("German DR",S5070)),"DR Germany",
ISNUMBER(SEARCH("rn""&gt;United Arab Emirates",S5070)),"United Arab Emirates",
ISNUMBER(SEARCH("rn""&gt;Republic of Ireland",S5070)),"Ireland",
ISNUMBER(SEARCH("rn""&gt;Bosnia and Herzegovina",S5070)),"Bosnia and Herzegovina",
ISNUMBER(SEARCH("rn""&gt;Trinidad and Tobago",S5070)),"Trinidad and Tobago",
ISNUMBER(SEARCH("rn""&gt;Serbia and Montenegro",S5070)),"Serbia and Montenegro",
ISNUMBER(SEARCH(_xlfn.UNICHAR(65533),S5070)),"Côte d'Ivoire",
TRUE,"-"
)</f>
        <v>-</v>
      </c>
      <c r="W5070" s="42" t="str">
        <f t="shared" si="312"/>
        <v>-</v>
      </c>
    </row>
    <row r="5071" spans="19:23">
      <c r="S5071" s="42" t="str">
        <v/>
      </c>
      <c r="T5071" s="42" t="str">
        <f t="shared" si="310"/>
        <v>-</v>
      </c>
      <c r="U5071" s="40" t="str">
        <f t="shared" si="311"/>
        <v>-</v>
      </c>
      <c r="V5071" s="42" t="str" cm="1">
        <f t="array" ref="V5071">_xlfn.IFS(
LEFT(S5071,16)="win on penalties",IF(VALUE(MID(S5071,19,1))&gt;VALUE(MID(S5071,23,1)),DATA_CLEANED!AK585,DATA_CLEANED!AN585),
ISNUMBER(SEARCH("USA",S5071)),"United States",
ISNUMBER(SEARCH("Republic of Ireland",S5071)),"Ireland",
ISNUMBER(SEARCH("Republic of Korea",S5071)),"South Korea",
ISNUMBER(SEARCH("Cape Verde",S5071)),"Cabo Verde",
ISNUMBER(SEARCH("Czechia",S5071)),"Czech Republic",
ISNUMBER(SEARCH("Türkiye",S5071)),"Turkey",
ISNUMBER(SEARCH("Ivory Coast",S5071)),"Côte d'Ivoire",
ISNUMBER(SEARCH("Korea Republic",S5071)),"South Korea",
ISNUMBER(SEARCH("Germany FR",S5071)),"FR Germany",
ISNUMBER(SEARCH("West Germany",S5071)),"FR Germany",
ISNUMBER(SEARCH("Germany DR",S5071)),"DR Germany",
ISNUMBER(SEARCH("Korea DPR",S5071)),"North Korea",
ISNUMBER(SEARCH("China PR",S5071)),"China",
ISNUMBER(SEARCH("IR Iran",S5071)),"Iran",
ISNUMBER(SEARCH("Congo DR",S5071)),"Democratic Republic of the Congo",
ISNUMBER(SEARCH("DR Congo",S5071)),"Democratic Republic of the Congo",
ISNUMBER(SEARCH("German DR",S5071)),"DR Germany",
ISNUMBER(SEARCH("rn""&gt;United Arab Emirates",S5071)),"United Arab Emirates",
ISNUMBER(SEARCH("rn""&gt;Republic of Ireland",S5071)),"Ireland",
ISNUMBER(SEARCH("rn""&gt;Bosnia and Herzegovina",S5071)),"Bosnia and Herzegovina",
ISNUMBER(SEARCH("rn""&gt;Trinidad and Tobago",S5071)),"Trinidad and Tobago",
ISNUMBER(SEARCH("rn""&gt;Serbia and Montenegro",S5071)),"Serbia and Montenegro",
ISNUMBER(SEARCH(_xlfn.UNICHAR(65533),S5071)),"Côte d'Ivoire",
TRUE,"-"
)</f>
        <v>-</v>
      </c>
      <c r="W5071" s="42" t="str">
        <f t="shared" si="312"/>
        <v>-</v>
      </c>
    </row>
    <row r="5072" spans="19:23">
      <c r="S5072" s="42" t="str">
        <v/>
      </c>
      <c r="T5072" s="42" t="str">
        <f t="shared" si="310"/>
        <v>-</v>
      </c>
      <c r="U5072" s="40" t="str">
        <f t="shared" si="311"/>
        <v>-</v>
      </c>
      <c r="V5072" s="42" t="str" cm="1">
        <f t="array" ref="V5072">_xlfn.IFS(
LEFT(S5072,16)="win on penalties",IF(VALUE(MID(S5072,19,1))&gt;VALUE(MID(S5072,23,1)),DATA_CLEANED!AK586,DATA_CLEANED!AN586),
ISNUMBER(SEARCH("USA",S5072)),"United States",
ISNUMBER(SEARCH("Republic of Ireland",S5072)),"Ireland",
ISNUMBER(SEARCH("Republic of Korea",S5072)),"South Korea",
ISNUMBER(SEARCH("Cape Verde",S5072)),"Cabo Verde",
ISNUMBER(SEARCH("Czechia",S5072)),"Czech Republic",
ISNUMBER(SEARCH("Türkiye",S5072)),"Turkey",
ISNUMBER(SEARCH("Ivory Coast",S5072)),"Côte d'Ivoire",
ISNUMBER(SEARCH("Korea Republic",S5072)),"South Korea",
ISNUMBER(SEARCH("Germany FR",S5072)),"FR Germany",
ISNUMBER(SEARCH("West Germany",S5072)),"FR Germany",
ISNUMBER(SEARCH("Germany DR",S5072)),"DR Germany",
ISNUMBER(SEARCH("Korea DPR",S5072)),"North Korea",
ISNUMBER(SEARCH("China PR",S5072)),"China",
ISNUMBER(SEARCH("IR Iran",S5072)),"Iran",
ISNUMBER(SEARCH("Congo DR",S5072)),"Democratic Republic of the Congo",
ISNUMBER(SEARCH("DR Congo",S5072)),"Democratic Republic of the Congo",
ISNUMBER(SEARCH("German DR",S5072)),"DR Germany",
ISNUMBER(SEARCH("rn""&gt;United Arab Emirates",S5072)),"United Arab Emirates",
ISNUMBER(SEARCH("rn""&gt;Republic of Ireland",S5072)),"Ireland",
ISNUMBER(SEARCH("rn""&gt;Bosnia and Herzegovina",S5072)),"Bosnia and Herzegovina",
ISNUMBER(SEARCH("rn""&gt;Trinidad and Tobago",S5072)),"Trinidad and Tobago",
ISNUMBER(SEARCH("rn""&gt;Serbia and Montenegro",S5072)),"Serbia and Montenegro",
ISNUMBER(SEARCH(_xlfn.UNICHAR(65533),S5072)),"Côte d'Ivoire",
TRUE,"-"
)</f>
        <v>-</v>
      </c>
      <c r="W5072" s="42" t="str">
        <f t="shared" si="312"/>
        <v>-</v>
      </c>
    </row>
    <row r="5073" spans="19:23">
      <c r="S5073" s="42" t="str">
        <v/>
      </c>
      <c r="T5073" s="42" t="str">
        <f t="shared" si="310"/>
        <v>-</v>
      </c>
      <c r="U5073" s="40" t="str">
        <f t="shared" si="311"/>
        <v>-</v>
      </c>
      <c r="V5073" s="42" t="str" cm="1">
        <f t="array" ref="V5073">_xlfn.IFS(
LEFT(S5073,16)="win on penalties",IF(VALUE(MID(S5073,19,1))&gt;VALUE(MID(S5073,23,1)),DATA_CLEANED!AK587,DATA_CLEANED!AN587),
ISNUMBER(SEARCH("USA",S5073)),"United States",
ISNUMBER(SEARCH("Republic of Ireland",S5073)),"Ireland",
ISNUMBER(SEARCH("Republic of Korea",S5073)),"South Korea",
ISNUMBER(SEARCH("Cape Verde",S5073)),"Cabo Verde",
ISNUMBER(SEARCH("Czechia",S5073)),"Czech Republic",
ISNUMBER(SEARCH("Türkiye",S5073)),"Turkey",
ISNUMBER(SEARCH("Ivory Coast",S5073)),"Côte d'Ivoire",
ISNUMBER(SEARCH("Korea Republic",S5073)),"South Korea",
ISNUMBER(SEARCH("Germany FR",S5073)),"FR Germany",
ISNUMBER(SEARCH("West Germany",S5073)),"FR Germany",
ISNUMBER(SEARCH("Germany DR",S5073)),"DR Germany",
ISNUMBER(SEARCH("Korea DPR",S5073)),"North Korea",
ISNUMBER(SEARCH("China PR",S5073)),"China",
ISNUMBER(SEARCH("IR Iran",S5073)),"Iran",
ISNUMBER(SEARCH("Congo DR",S5073)),"Democratic Republic of the Congo",
ISNUMBER(SEARCH("DR Congo",S5073)),"Democratic Republic of the Congo",
ISNUMBER(SEARCH("German DR",S5073)),"DR Germany",
ISNUMBER(SEARCH("rn""&gt;United Arab Emirates",S5073)),"United Arab Emirates",
ISNUMBER(SEARCH("rn""&gt;Republic of Ireland",S5073)),"Ireland",
ISNUMBER(SEARCH("rn""&gt;Bosnia and Herzegovina",S5073)),"Bosnia and Herzegovina",
ISNUMBER(SEARCH("rn""&gt;Trinidad and Tobago",S5073)),"Trinidad and Tobago",
ISNUMBER(SEARCH("rn""&gt;Serbia and Montenegro",S5073)),"Serbia and Montenegro",
ISNUMBER(SEARCH(_xlfn.UNICHAR(65533),S5073)),"Côte d'Ivoire",
TRUE,"-"
)</f>
        <v>-</v>
      </c>
      <c r="W5073" s="42" t="str">
        <f t="shared" si="312"/>
        <v>-</v>
      </c>
    </row>
    <row r="5074" spans="19:23">
      <c r="S5074" s="42" t="str">
        <v/>
      </c>
      <c r="T5074" s="42" t="str">
        <f t="shared" si="310"/>
        <v>-</v>
      </c>
      <c r="U5074" s="40" t="str">
        <f t="shared" si="311"/>
        <v>-</v>
      </c>
      <c r="V5074" s="42" t="str" cm="1">
        <f t="array" ref="V5074">_xlfn.IFS(
LEFT(S5074,16)="win on penalties",IF(VALUE(MID(S5074,19,1))&gt;VALUE(MID(S5074,23,1)),DATA_CLEANED!AK588,DATA_CLEANED!AN588),
ISNUMBER(SEARCH("USA",S5074)),"United States",
ISNUMBER(SEARCH("Republic of Ireland",S5074)),"Ireland",
ISNUMBER(SEARCH("Republic of Korea",S5074)),"South Korea",
ISNUMBER(SEARCH("Cape Verde",S5074)),"Cabo Verde",
ISNUMBER(SEARCH("Czechia",S5074)),"Czech Republic",
ISNUMBER(SEARCH("Türkiye",S5074)),"Turkey",
ISNUMBER(SEARCH("Ivory Coast",S5074)),"Côte d'Ivoire",
ISNUMBER(SEARCH("Korea Republic",S5074)),"South Korea",
ISNUMBER(SEARCH("Germany FR",S5074)),"FR Germany",
ISNUMBER(SEARCH("West Germany",S5074)),"FR Germany",
ISNUMBER(SEARCH("Germany DR",S5074)),"DR Germany",
ISNUMBER(SEARCH("Korea DPR",S5074)),"North Korea",
ISNUMBER(SEARCH("China PR",S5074)),"China",
ISNUMBER(SEARCH("IR Iran",S5074)),"Iran",
ISNUMBER(SEARCH("Congo DR",S5074)),"Democratic Republic of the Congo",
ISNUMBER(SEARCH("DR Congo",S5074)),"Democratic Republic of the Congo",
ISNUMBER(SEARCH("German DR",S5074)),"DR Germany",
ISNUMBER(SEARCH("rn""&gt;United Arab Emirates",S5074)),"United Arab Emirates",
ISNUMBER(SEARCH("rn""&gt;Republic of Ireland",S5074)),"Ireland",
ISNUMBER(SEARCH("rn""&gt;Bosnia and Herzegovina",S5074)),"Bosnia and Herzegovina",
ISNUMBER(SEARCH("rn""&gt;Trinidad and Tobago",S5074)),"Trinidad and Tobago",
ISNUMBER(SEARCH("rn""&gt;Serbia and Montenegro",S5074)),"Serbia and Montenegro",
ISNUMBER(SEARCH(_xlfn.UNICHAR(65533),S5074)),"Côte d'Ivoire",
TRUE,"-"
)</f>
        <v>-</v>
      </c>
      <c r="W5074" s="42" t="str">
        <f t="shared" si="312"/>
        <v>-</v>
      </c>
    </row>
    <row r="5075" spans="19:23">
      <c r="S5075" s="42" t="str">
        <v/>
      </c>
      <c r="T5075" s="42" t="str">
        <f t="shared" si="310"/>
        <v>-</v>
      </c>
      <c r="U5075" s="40" t="str">
        <f t="shared" si="311"/>
        <v>-</v>
      </c>
      <c r="V5075" s="42" t="str" cm="1">
        <f t="array" ref="V5075">_xlfn.IFS(
LEFT(S5075,16)="win on penalties",IF(VALUE(MID(S5075,19,1))&gt;VALUE(MID(S5075,23,1)),DATA_CLEANED!AK589,DATA_CLEANED!AN589),
ISNUMBER(SEARCH("USA",S5075)),"United States",
ISNUMBER(SEARCH("Republic of Ireland",S5075)),"Ireland",
ISNUMBER(SEARCH("Republic of Korea",S5075)),"South Korea",
ISNUMBER(SEARCH("Cape Verde",S5075)),"Cabo Verde",
ISNUMBER(SEARCH("Czechia",S5075)),"Czech Republic",
ISNUMBER(SEARCH("Türkiye",S5075)),"Turkey",
ISNUMBER(SEARCH("Ivory Coast",S5075)),"Côte d'Ivoire",
ISNUMBER(SEARCH("Korea Republic",S5075)),"South Korea",
ISNUMBER(SEARCH("Germany FR",S5075)),"FR Germany",
ISNUMBER(SEARCH("West Germany",S5075)),"FR Germany",
ISNUMBER(SEARCH("Germany DR",S5075)),"DR Germany",
ISNUMBER(SEARCH("Korea DPR",S5075)),"North Korea",
ISNUMBER(SEARCH("China PR",S5075)),"China",
ISNUMBER(SEARCH("IR Iran",S5075)),"Iran",
ISNUMBER(SEARCH("Congo DR",S5075)),"Democratic Republic of the Congo",
ISNUMBER(SEARCH("DR Congo",S5075)),"Democratic Republic of the Congo",
ISNUMBER(SEARCH("German DR",S5075)),"DR Germany",
ISNUMBER(SEARCH("rn""&gt;United Arab Emirates",S5075)),"United Arab Emirates",
ISNUMBER(SEARCH("rn""&gt;Republic of Ireland",S5075)),"Ireland",
ISNUMBER(SEARCH("rn""&gt;Bosnia and Herzegovina",S5075)),"Bosnia and Herzegovina",
ISNUMBER(SEARCH("rn""&gt;Trinidad and Tobago",S5075)),"Trinidad and Tobago",
ISNUMBER(SEARCH("rn""&gt;Serbia and Montenegro",S5075)),"Serbia and Montenegro",
ISNUMBER(SEARCH(_xlfn.UNICHAR(65533),S5075)),"Côte d'Ivoire",
TRUE,"-"
)</f>
        <v>-</v>
      </c>
      <c r="W5075" s="42" t="str">
        <f t="shared" si="312"/>
        <v>-</v>
      </c>
    </row>
    <row r="5076" spans="19:23">
      <c r="S5076" s="42" t="str">
        <v/>
      </c>
      <c r="T5076" s="42" t="str">
        <f t="shared" si="310"/>
        <v>-</v>
      </c>
      <c r="U5076" s="40" t="str">
        <f t="shared" si="311"/>
        <v>-</v>
      </c>
      <c r="V5076" s="42" t="str" cm="1">
        <f t="array" ref="V5076">_xlfn.IFS(
LEFT(S5076,16)="win on penalties",IF(VALUE(MID(S5076,19,1))&gt;VALUE(MID(S5076,23,1)),DATA_CLEANED!AK590,DATA_CLEANED!AN590),
ISNUMBER(SEARCH("USA",S5076)),"United States",
ISNUMBER(SEARCH("Republic of Ireland",S5076)),"Ireland",
ISNUMBER(SEARCH("Republic of Korea",S5076)),"South Korea",
ISNUMBER(SEARCH("Cape Verde",S5076)),"Cabo Verde",
ISNUMBER(SEARCH("Czechia",S5076)),"Czech Republic",
ISNUMBER(SEARCH("Türkiye",S5076)),"Turkey",
ISNUMBER(SEARCH("Ivory Coast",S5076)),"Côte d'Ivoire",
ISNUMBER(SEARCH("Korea Republic",S5076)),"South Korea",
ISNUMBER(SEARCH("Germany FR",S5076)),"FR Germany",
ISNUMBER(SEARCH("West Germany",S5076)),"FR Germany",
ISNUMBER(SEARCH("Germany DR",S5076)),"DR Germany",
ISNUMBER(SEARCH("Korea DPR",S5076)),"North Korea",
ISNUMBER(SEARCH("China PR",S5076)),"China",
ISNUMBER(SEARCH("IR Iran",S5076)),"Iran",
ISNUMBER(SEARCH("Congo DR",S5076)),"Democratic Republic of the Congo",
ISNUMBER(SEARCH("DR Congo",S5076)),"Democratic Republic of the Congo",
ISNUMBER(SEARCH("German DR",S5076)),"DR Germany",
ISNUMBER(SEARCH("rn""&gt;United Arab Emirates",S5076)),"United Arab Emirates",
ISNUMBER(SEARCH("rn""&gt;Republic of Ireland",S5076)),"Ireland",
ISNUMBER(SEARCH("rn""&gt;Bosnia and Herzegovina",S5076)),"Bosnia and Herzegovina",
ISNUMBER(SEARCH("rn""&gt;Trinidad and Tobago",S5076)),"Trinidad and Tobago",
ISNUMBER(SEARCH("rn""&gt;Serbia and Montenegro",S5076)),"Serbia and Montenegro",
ISNUMBER(SEARCH(_xlfn.UNICHAR(65533),S5076)),"Côte d'Ivoire",
TRUE,"-"
)</f>
        <v>-</v>
      </c>
      <c r="W5076" s="42" t="str">
        <f t="shared" si="312"/>
        <v>-</v>
      </c>
    </row>
    <row r="5077" spans="19:23">
      <c r="S5077" s="42" t="str">
        <v/>
      </c>
      <c r="T5077" s="42" t="str">
        <f t="shared" si="310"/>
        <v>-</v>
      </c>
      <c r="U5077" s="40" t="str">
        <f t="shared" si="311"/>
        <v>-</v>
      </c>
      <c r="V5077" s="42" t="str" cm="1">
        <f t="array" ref="V5077">_xlfn.IFS(
LEFT(S5077,16)="win on penalties",IF(VALUE(MID(S5077,19,1))&gt;VALUE(MID(S5077,23,1)),DATA_CLEANED!AK591,DATA_CLEANED!AN591),
ISNUMBER(SEARCH("USA",S5077)),"United States",
ISNUMBER(SEARCH("Republic of Ireland",S5077)),"Ireland",
ISNUMBER(SEARCH("Republic of Korea",S5077)),"South Korea",
ISNUMBER(SEARCH("Cape Verde",S5077)),"Cabo Verde",
ISNUMBER(SEARCH("Czechia",S5077)),"Czech Republic",
ISNUMBER(SEARCH("Türkiye",S5077)),"Turkey",
ISNUMBER(SEARCH("Ivory Coast",S5077)),"Côte d'Ivoire",
ISNUMBER(SEARCH("Korea Republic",S5077)),"South Korea",
ISNUMBER(SEARCH("Germany FR",S5077)),"FR Germany",
ISNUMBER(SEARCH("West Germany",S5077)),"FR Germany",
ISNUMBER(SEARCH("Germany DR",S5077)),"DR Germany",
ISNUMBER(SEARCH("Korea DPR",S5077)),"North Korea",
ISNUMBER(SEARCH("China PR",S5077)),"China",
ISNUMBER(SEARCH("IR Iran",S5077)),"Iran",
ISNUMBER(SEARCH("Congo DR",S5077)),"Democratic Republic of the Congo",
ISNUMBER(SEARCH("DR Congo",S5077)),"Democratic Republic of the Congo",
ISNUMBER(SEARCH("German DR",S5077)),"DR Germany",
ISNUMBER(SEARCH("rn""&gt;United Arab Emirates",S5077)),"United Arab Emirates",
ISNUMBER(SEARCH("rn""&gt;Republic of Ireland",S5077)),"Ireland",
ISNUMBER(SEARCH("rn""&gt;Bosnia and Herzegovina",S5077)),"Bosnia and Herzegovina",
ISNUMBER(SEARCH("rn""&gt;Trinidad and Tobago",S5077)),"Trinidad and Tobago",
ISNUMBER(SEARCH("rn""&gt;Serbia and Montenegro",S5077)),"Serbia and Montenegro",
ISNUMBER(SEARCH(_xlfn.UNICHAR(65533),S5077)),"Côte d'Ivoire",
TRUE,"-"
)</f>
        <v>-</v>
      </c>
      <c r="W5077" s="42" t="str">
        <f t="shared" si="312"/>
        <v>-</v>
      </c>
    </row>
    <row r="5078" spans="19:23">
      <c r="S5078" s="42" t="str">
        <v/>
      </c>
      <c r="T5078" s="42" t="str">
        <f t="shared" si="310"/>
        <v>-</v>
      </c>
      <c r="U5078" s="40" t="str">
        <f t="shared" si="311"/>
        <v>-</v>
      </c>
      <c r="V5078" s="42" t="str" cm="1">
        <f t="array" ref="V5078">_xlfn.IFS(
LEFT(S5078,16)="win on penalties",IF(VALUE(MID(S5078,19,1))&gt;VALUE(MID(S5078,23,1)),DATA_CLEANED!AK592,DATA_CLEANED!AN592),
ISNUMBER(SEARCH("USA",S5078)),"United States",
ISNUMBER(SEARCH("Republic of Ireland",S5078)),"Ireland",
ISNUMBER(SEARCH("Republic of Korea",S5078)),"South Korea",
ISNUMBER(SEARCH("Cape Verde",S5078)),"Cabo Verde",
ISNUMBER(SEARCH("Czechia",S5078)),"Czech Republic",
ISNUMBER(SEARCH("Türkiye",S5078)),"Turkey",
ISNUMBER(SEARCH("Ivory Coast",S5078)),"Côte d'Ivoire",
ISNUMBER(SEARCH("Korea Republic",S5078)),"South Korea",
ISNUMBER(SEARCH("Germany FR",S5078)),"FR Germany",
ISNUMBER(SEARCH("West Germany",S5078)),"FR Germany",
ISNUMBER(SEARCH("Germany DR",S5078)),"DR Germany",
ISNUMBER(SEARCH("Korea DPR",S5078)),"North Korea",
ISNUMBER(SEARCH("China PR",S5078)),"China",
ISNUMBER(SEARCH("IR Iran",S5078)),"Iran",
ISNUMBER(SEARCH("Congo DR",S5078)),"Democratic Republic of the Congo",
ISNUMBER(SEARCH("DR Congo",S5078)),"Democratic Republic of the Congo",
ISNUMBER(SEARCH("German DR",S5078)),"DR Germany",
ISNUMBER(SEARCH("rn""&gt;United Arab Emirates",S5078)),"United Arab Emirates",
ISNUMBER(SEARCH("rn""&gt;Republic of Ireland",S5078)),"Ireland",
ISNUMBER(SEARCH("rn""&gt;Bosnia and Herzegovina",S5078)),"Bosnia and Herzegovina",
ISNUMBER(SEARCH("rn""&gt;Trinidad and Tobago",S5078)),"Trinidad and Tobago",
ISNUMBER(SEARCH("rn""&gt;Serbia and Montenegro",S5078)),"Serbia and Montenegro",
ISNUMBER(SEARCH(_xlfn.UNICHAR(65533),S5078)),"Côte d'Ivoire",
TRUE,"-"
)</f>
        <v>-</v>
      </c>
      <c r="W5078" s="42" t="str">
        <f t="shared" si="312"/>
        <v>-</v>
      </c>
    </row>
    <row r="5079" spans="19:23">
      <c r="S5079" s="42" t="str">
        <v/>
      </c>
      <c r="T5079" s="42" t="str">
        <f t="shared" si="310"/>
        <v>-</v>
      </c>
      <c r="U5079" s="40" t="str">
        <f t="shared" si="311"/>
        <v>-</v>
      </c>
      <c r="V5079" s="42" t="str" cm="1">
        <f t="array" ref="V5079">_xlfn.IFS(
LEFT(S5079,16)="win on penalties",IF(VALUE(MID(S5079,19,1))&gt;VALUE(MID(S5079,23,1)),DATA_CLEANED!AK593,DATA_CLEANED!AN593),
ISNUMBER(SEARCH("USA",S5079)),"United States",
ISNUMBER(SEARCH("Republic of Ireland",S5079)),"Ireland",
ISNUMBER(SEARCH("Republic of Korea",S5079)),"South Korea",
ISNUMBER(SEARCH("Cape Verde",S5079)),"Cabo Verde",
ISNUMBER(SEARCH("Czechia",S5079)),"Czech Republic",
ISNUMBER(SEARCH("Türkiye",S5079)),"Turkey",
ISNUMBER(SEARCH("Ivory Coast",S5079)),"Côte d'Ivoire",
ISNUMBER(SEARCH("Korea Republic",S5079)),"South Korea",
ISNUMBER(SEARCH("Germany FR",S5079)),"FR Germany",
ISNUMBER(SEARCH("West Germany",S5079)),"FR Germany",
ISNUMBER(SEARCH("Germany DR",S5079)),"DR Germany",
ISNUMBER(SEARCH("Korea DPR",S5079)),"North Korea",
ISNUMBER(SEARCH("China PR",S5079)),"China",
ISNUMBER(SEARCH("IR Iran",S5079)),"Iran",
ISNUMBER(SEARCH("Congo DR",S5079)),"Democratic Republic of the Congo",
ISNUMBER(SEARCH("DR Congo",S5079)),"Democratic Republic of the Congo",
ISNUMBER(SEARCH("German DR",S5079)),"DR Germany",
ISNUMBER(SEARCH("rn""&gt;United Arab Emirates",S5079)),"United Arab Emirates",
ISNUMBER(SEARCH("rn""&gt;Republic of Ireland",S5079)),"Ireland",
ISNUMBER(SEARCH("rn""&gt;Bosnia and Herzegovina",S5079)),"Bosnia and Herzegovina",
ISNUMBER(SEARCH("rn""&gt;Trinidad and Tobago",S5079)),"Trinidad and Tobago",
ISNUMBER(SEARCH("rn""&gt;Serbia and Montenegro",S5079)),"Serbia and Montenegro",
ISNUMBER(SEARCH(_xlfn.UNICHAR(65533),S5079)),"Côte d'Ivoire",
TRUE,"-"
)</f>
        <v>-</v>
      </c>
      <c r="W5079" s="42" t="str">
        <f t="shared" si="312"/>
        <v>-</v>
      </c>
    </row>
    <row r="5080" spans="19:23">
      <c r="S5080" s="42" t="str">
        <v/>
      </c>
      <c r="T5080" s="42" t="str">
        <f t="shared" si="310"/>
        <v>-</v>
      </c>
      <c r="U5080" s="40" t="str">
        <f t="shared" si="311"/>
        <v>-</v>
      </c>
      <c r="V5080" s="42" t="str" cm="1">
        <f t="array" ref="V5080">_xlfn.IFS(
LEFT(S5080,16)="win on penalties",IF(VALUE(MID(S5080,19,1))&gt;VALUE(MID(S5080,23,1)),DATA_CLEANED!AK594,DATA_CLEANED!AN594),
ISNUMBER(SEARCH("USA",S5080)),"United States",
ISNUMBER(SEARCH("Republic of Ireland",S5080)),"Ireland",
ISNUMBER(SEARCH("Republic of Korea",S5080)),"South Korea",
ISNUMBER(SEARCH("Cape Verde",S5080)),"Cabo Verde",
ISNUMBER(SEARCH("Czechia",S5080)),"Czech Republic",
ISNUMBER(SEARCH("Türkiye",S5080)),"Turkey",
ISNUMBER(SEARCH("Ivory Coast",S5080)),"Côte d'Ivoire",
ISNUMBER(SEARCH("Korea Republic",S5080)),"South Korea",
ISNUMBER(SEARCH("Germany FR",S5080)),"FR Germany",
ISNUMBER(SEARCH("West Germany",S5080)),"FR Germany",
ISNUMBER(SEARCH("Germany DR",S5080)),"DR Germany",
ISNUMBER(SEARCH("Korea DPR",S5080)),"North Korea",
ISNUMBER(SEARCH("China PR",S5080)),"China",
ISNUMBER(SEARCH("IR Iran",S5080)),"Iran",
ISNUMBER(SEARCH("Congo DR",S5080)),"Democratic Republic of the Congo",
ISNUMBER(SEARCH("DR Congo",S5080)),"Democratic Republic of the Congo",
ISNUMBER(SEARCH("German DR",S5080)),"DR Germany",
ISNUMBER(SEARCH("rn""&gt;United Arab Emirates",S5080)),"United Arab Emirates",
ISNUMBER(SEARCH("rn""&gt;Republic of Ireland",S5080)),"Ireland",
ISNUMBER(SEARCH("rn""&gt;Bosnia and Herzegovina",S5080)),"Bosnia and Herzegovina",
ISNUMBER(SEARCH("rn""&gt;Trinidad and Tobago",S5080)),"Trinidad and Tobago",
ISNUMBER(SEARCH("rn""&gt;Serbia and Montenegro",S5080)),"Serbia and Montenegro",
ISNUMBER(SEARCH(_xlfn.UNICHAR(65533),S5080)),"Côte d'Ivoire",
TRUE,"-"
)</f>
        <v>-</v>
      </c>
      <c r="W5080" s="42" t="str">
        <f t="shared" si="312"/>
        <v>-</v>
      </c>
    </row>
    <row r="5081" spans="19:23">
      <c r="S5081" s="42" t="str">
        <v/>
      </c>
      <c r="T5081" s="42" t="str">
        <f t="shared" si="310"/>
        <v>-</v>
      </c>
      <c r="U5081" s="40" t="str">
        <f t="shared" si="311"/>
        <v>-</v>
      </c>
      <c r="V5081" s="42" t="str" cm="1">
        <f t="array" ref="V5081">_xlfn.IFS(
LEFT(S5081,16)="win on penalties",IF(VALUE(MID(S5081,19,1))&gt;VALUE(MID(S5081,23,1)),DATA_CLEANED!AK595,DATA_CLEANED!AN595),
ISNUMBER(SEARCH("USA",S5081)),"United States",
ISNUMBER(SEARCH("Republic of Ireland",S5081)),"Ireland",
ISNUMBER(SEARCH("Republic of Korea",S5081)),"South Korea",
ISNUMBER(SEARCH("Cape Verde",S5081)),"Cabo Verde",
ISNUMBER(SEARCH("Czechia",S5081)),"Czech Republic",
ISNUMBER(SEARCH("Türkiye",S5081)),"Turkey",
ISNUMBER(SEARCH("Ivory Coast",S5081)),"Côte d'Ivoire",
ISNUMBER(SEARCH("Korea Republic",S5081)),"South Korea",
ISNUMBER(SEARCH("Germany FR",S5081)),"FR Germany",
ISNUMBER(SEARCH("West Germany",S5081)),"FR Germany",
ISNUMBER(SEARCH("Germany DR",S5081)),"DR Germany",
ISNUMBER(SEARCH("Korea DPR",S5081)),"North Korea",
ISNUMBER(SEARCH("China PR",S5081)),"China",
ISNUMBER(SEARCH("IR Iran",S5081)),"Iran",
ISNUMBER(SEARCH("Congo DR",S5081)),"Democratic Republic of the Congo",
ISNUMBER(SEARCH("DR Congo",S5081)),"Democratic Republic of the Congo",
ISNUMBER(SEARCH("German DR",S5081)),"DR Germany",
ISNUMBER(SEARCH("rn""&gt;United Arab Emirates",S5081)),"United Arab Emirates",
ISNUMBER(SEARCH("rn""&gt;Republic of Ireland",S5081)),"Ireland",
ISNUMBER(SEARCH("rn""&gt;Bosnia and Herzegovina",S5081)),"Bosnia and Herzegovina",
ISNUMBER(SEARCH("rn""&gt;Trinidad and Tobago",S5081)),"Trinidad and Tobago",
ISNUMBER(SEARCH("rn""&gt;Serbia and Montenegro",S5081)),"Serbia and Montenegro",
ISNUMBER(SEARCH(_xlfn.UNICHAR(65533),S5081)),"Côte d'Ivoire",
TRUE,"-"
)</f>
        <v>-</v>
      </c>
      <c r="W5081" s="42" t="str">
        <f t="shared" si="312"/>
        <v>-</v>
      </c>
    </row>
    <row r="5082" spans="19:23">
      <c r="S5082" s="42" t="str">
        <v/>
      </c>
      <c r="T5082" s="42" t="str">
        <f t="shared" si="310"/>
        <v>-</v>
      </c>
      <c r="U5082" s="40" t="str">
        <f t="shared" si="311"/>
        <v>-</v>
      </c>
      <c r="V5082" s="42" t="str" cm="1">
        <f t="array" ref="V5082">_xlfn.IFS(
LEFT(S5082,16)="win on penalties",IF(VALUE(MID(S5082,19,1))&gt;VALUE(MID(S5082,23,1)),DATA_CLEANED!AK596,DATA_CLEANED!AN596),
ISNUMBER(SEARCH("USA",S5082)),"United States",
ISNUMBER(SEARCH("Republic of Ireland",S5082)),"Ireland",
ISNUMBER(SEARCH("Republic of Korea",S5082)),"South Korea",
ISNUMBER(SEARCH("Cape Verde",S5082)),"Cabo Verde",
ISNUMBER(SEARCH("Czechia",S5082)),"Czech Republic",
ISNUMBER(SEARCH("Türkiye",S5082)),"Turkey",
ISNUMBER(SEARCH("Ivory Coast",S5082)),"Côte d'Ivoire",
ISNUMBER(SEARCH("Korea Republic",S5082)),"South Korea",
ISNUMBER(SEARCH("Germany FR",S5082)),"FR Germany",
ISNUMBER(SEARCH("West Germany",S5082)),"FR Germany",
ISNUMBER(SEARCH("Germany DR",S5082)),"DR Germany",
ISNUMBER(SEARCH("Korea DPR",S5082)),"North Korea",
ISNUMBER(SEARCH("China PR",S5082)),"China",
ISNUMBER(SEARCH("IR Iran",S5082)),"Iran",
ISNUMBER(SEARCH("Congo DR",S5082)),"Democratic Republic of the Congo",
ISNUMBER(SEARCH("DR Congo",S5082)),"Democratic Republic of the Congo",
ISNUMBER(SEARCH("German DR",S5082)),"DR Germany",
ISNUMBER(SEARCH("rn""&gt;United Arab Emirates",S5082)),"United Arab Emirates",
ISNUMBER(SEARCH("rn""&gt;Republic of Ireland",S5082)),"Ireland",
ISNUMBER(SEARCH("rn""&gt;Bosnia and Herzegovina",S5082)),"Bosnia and Herzegovina",
ISNUMBER(SEARCH("rn""&gt;Trinidad and Tobago",S5082)),"Trinidad and Tobago",
ISNUMBER(SEARCH("rn""&gt;Serbia and Montenegro",S5082)),"Serbia and Montenegro",
ISNUMBER(SEARCH(_xlfn.UNICHAR(65533),S5082)),"Côte d'Ivoire",
TRUE,"-"
)</f>
        <v>-</v>
      </c>
      <c r="W5082" s="42" t="str">
        <f t="shared" si="312"/>
        <v>-</v>
      </c>
    </row>
    <row r="5083" spans="19:23">
      <c r="S5083" s="42" t="str">
        <v/>
      </c>
      <c r="T5083" s="42" t="str">
        <f t="shared" si="310"/>
        <v>-</v>
      </c>
      <c r="U5083" s="40" t="str">
        <f t="shared" si="311"/>
        <v>-</v>
      </c>
      <c r="V5083" s="42" t="str" cm="1">
        <f t="array" ref="V5083">_xlfn.IFS(
LEFT(S5083,16)="win on penalties",IF(VALUE(MID(S5083,19,1))&gt;VALUE(MID(S5083,23,1)),DATA_CLEANED!AK597,DATA_CLEANED!AN597),
ISNUMBER(SEARCH("USA",S5083)),"United States",
ISNUMBER(SEARCH("Republic of Ireland",S5083)),"Ireland",
ISNUMBER(SEARCH("Republic of Korea",S5083)),"South Korea",
ISNUMBER(SEARCH("Cape Verde",S5083)),"Cabo Verde",
ISNUMBER(SEARCH("Czechia",S5083)),"Czech Republic",
ISNUMBER(SEARCH("Türkiye",S5083)),"Turkey",
ISNUMBER(SEARCH("Ivory Coast",S5083)),"Côte d'Ivoire",
ISNUMBER(SEARCH("Korea Republic",S5083)),"South Korea",
ISNUMBER(SEARCH("Germany FR",S5083)),"FR Germany",
ISNUMBER(SEARCH("West Germany",S5083)),"FR Germany",
ISNUMBER(SEARCH("Germany DR",S5083)),"DR Germany",
ISNUMBER(SEARCH("Korea DPR",S5083)),"North Korea",
ISNUMBER(SEARCH("China PR",S5083)),"China",
ISNUMBER(SEARCH("IR Iran",S5083)),"Iran",
ISNUMBER(SEARCH("Congo DR",S5083)),"Democratic Republic of the Congo",
ISNUMBER(SEARCH("DR Congo",S5083)),"Democratic Republic of the Congo",
ISNUMBER(SEARCH("German DR",S5083)),"DR Germany",
ISNUMBER(SEARCH("rn""&gt;United Arab Emirates",S5083)),"United Arab Emirates",
ISNUMBER(SEARCH("rn""&gt;Republic of Ireland",S5083)),"Ireland",
ISNUMBER(SEARCH("rn""&gt;Bosnia and Herzegovina",S5083)),"Bosnia and Herzegovina",
ISNUMBER(SEARCH("rn""&gt;Trinidad and Tobago",S5083)),"Trinidad and Tobago",
ISNUMBER(SEARCH("rn""&gt;Serbia and Montenegro",S5083)),"Serbia and Montenegro",
ISNUMBER(SEARCH(_xlfn.UNICHAR(65533),S5083)),"Côte d'Ivoire",
TRUE,"-"
)</f>
        <v>-</v>
      </c>
      <c r="W5083" s="42" t="str">
        <f t="shared" si="312"/>
        <v>-</v>
      </c>
    </row>
    <row r="5084" spans="19:23">
      <c r="S5084" s="42" t="str">
        <v/>
      </c>
      <c r="T5084" s="42" t="str">
        <f t="shared" si="310"/>
        <v>-</v>
      </c>
      <c r="U5084" s="40" t="str">
        <f t="shared" si="311"/>
        <v>-</v>
      </c>
      <c r="V5084" s="42" t="str" cm="1">
        <f t="array" ref="V5084">_xlfn.IFS(
LEFT(S5084,16)="win on penalties",IF(VALUE(MID(S5084,19,1))&gt;VALUE(MID(S5084,23,1)),DATA_CLEANED!AK598,DATA_CLEANED!AN598),
ISNUMBER(SEARCH("USA",S5084)),"United States",
ISNUMBER(SEARCH("Republic of Ireland",S5084)),"Ireland",
ISNUMBER(SEARCH("Republic of Korea",S5084)),"South Korea",
ISNUMBER(SEARCH("Cape Verde",S5084)),"Cabo Verde",
ISNUMBER(SEARCH("Czechia",S5084)),"Czech Republic",
ISNUMBER(SEARCH("Türkiye",S5084)),"Turkey",
ISNUMBER(SEARCH("Ivory Coast",S5084)),"Côte d'Ivoire",
ISNUMBER(SEARCH("Korea Republic",S5084)),"South Korea",
ISNUMBER(SEARCH("Germany FR",S5084)),"FR Germany",
ISNUMBER(SEARCH("West Germany",S5084)),"FR Germany",
ISNUMBER(SEARCH("Germany DR",S5084)),"DR Germany",
ISNUMBER(SEARCH("Korea DPR",S5084)),"North Korea",
ISNUMBER(SEARCH("China PR",S5084)),"China",
ISNUMBER(SEARCH("IR Iran",S5084)),"Iran",
ISNUMBER(SEARCH("Congo DR",S5084)),"Democratic Republic of the Congo",
ISNUMBER(SEARCH("DR Congo",S5084)),"Democratic Republic of the Congo",
ISNUMBER(SEARCH("German DR",S5084)),"DR Germany",
ISNUMBER(SEARCH("rn""&gt;United Arab Emirates",S5084)),"United Arab Emirates",
ISNUMBER(SEARCH("rn""&gt;Republic of Ireland",S5084)),"Ireland",
ISNUMBER(SEARCH("rn""&gt;Bosnia and Herzegovina",S5084)),"Bosnia and Herzegovina",
ISNUMBER(SEARCH("rn""&gt;Trinidad and Tobago",S5084)),"Trinidad and Tobago",
ISNUMBER(SEARCH("rn""&gt;Serbia and Montenegro",S5084)),"Serbia and Montenegro",
ISNUMBER(SEARCH(_xlfn.UNICHAR(65533),S5084)),"Côte d'Ivoire",
TRUE,"-"
)</f>
        <v>-</v>
      </c>
      <c r="W5084" s="42" t="str">
        <f t="shared" si="312"/>
        <v>-</v>
      </c>
    </row>
    <row r="5085" spans="19:23">
      <c r="S5085" s="42" t="str">
        <v/>
      </c>
      <c r="T5085" s="42" t="str">
        <f t="shared" si="310"/>
        <v>-</v>
      </c>
      <c r="U5085" s="40" t="str">
        <f t="shared" si="311"/>
        <v>-</v>
      </c>
      <c r="V5085" s="42" t="str" cm="1">
        <f t="array" ref="V5085">_xlfn.IFS(
LEFT(S5085,16)="win on penalties",IF(VALUE(MID(S5085,19,1))&gt;VALUE(MID(S5085,23,1)),DATA_CLEANED!AK599,DATA_CLEANED!AN599),
ISNUMBER(SEARCH("USA",S5085)),"United States",
ISNUMBER(SEARCH("Republic of Ireland",S5085)),"Ireland",
ISNUMBER(SEARCH("Republic of Korea",S5085)),"South Korea",
ISNUMBER(SEARCH("Cape Verde",S5085)),"Cabo Verde",
ISNUMBER(SEARCH("Czechia",S5085)),"Czech Republic",
ISNUMBER(SEARCH("Türkiye",S5085)),"Turkey",
ISNUMBER(SEARCH("Ivory Coast",S5085)),"Côte d'Ivoire",
ISNUMBER(SEARCH("Korea Republic",S5085)),"South Korea",
ISNUMBER(SEARCH("Germany FR",S5085)),"FR Germany",
ISNUMBER(SEARCH("West Germany",S5085)),"FR Germany",
ISNUMBER(SEARCH("Germany DR",S5085)),"DR Germany",
ISNUMBER(SEARCH("Korea DPR",S5085)),"North Korea",
ISNUMBER(SEARCH("China PR",S5085)),"China",
ISNUMBER(SEARCH("IR Iran",S5085)),"Iran",
ISNUMBER(SEARCH("Congo DR",S5085)),"Democratic Republic of the Congo",
ISNUMBER(SEARCH("DR Congo",S5085)),"Democratic Republic of the Congo",
ISNUMBER(SEARCH("German DR",S5085)),"DR Germany",
ISNUMBER(SEARCH("rn""&gt;United Arab Emirates",S5085)),"United Arab Emirates",
ISNUMBER(SEARCH("rn""&gt;Republic of Ireland",S5085)),"Ireland",
ISNUMBER(SEARCH("rn""&gt;Bosnia and Herzegovina",S5085)),"Bosnia and Herzegovina",
ISNUMBER(SEARCH("rn""&gt;Trinidad and Tobago",S5085)),"Trinidad and Tobago",
ISNUMBER(SEARCH("rn""&gt;Serbia and Montenegro",S5085)),"Serbia and Montenegro",
ISNUMBER(SEARCH(_xlfn.UNICHAR(65533),S5085)),"Côte d'Ivoire",
TRUE,"-"
)</f>
        <v>-</v>
      </c>
      <c r="W5085" s="42" t="str">
        <f t="shared" si="312"/>
        <v>-</v>
      </c>
    </row>
    <row r="5086" spans="19:23">
      <c r="S5086" s="42" t="str">
        <v/>
      </c>
      <c r="T5086" s="42" t="str">
        <f t="shared" si="310"/>
        <v>-</v>
      </c>
      <c r="U5086" s="40" t="str">
        <f t="shared" si="311"/>
        <v>-</v>
      </c>
      <c r="V5086" s="42" t="str" cm="1">
        <f t="array" ref="V5086">_xlfn.IFS(
LEFT(S5086,16)="win on penalties",IF(VALUE(MID(S5086,19,1))&gt;VALUE(MID(S5086,23,1)),DATA_CLEANED!AK600,DATA_CLEANED!AN600),
ISNUMBER(SEARCH("USA",S5086)),"United States",
ISNUMBER(SEARCH("Republic of Ireland",S5086)),"Ireland",
ISNUMBER(SEARCH("Republic of Korea",S5086)),"South Korea",
ISNUMBER(SEARCH("Cape Verde",S5086)),"Cabo Verde",
ISNUMBER(SEARCH("Czechia",S5086)),"Czech Republic",
ISNUMBER(SEARCH("Türkiye",S5086)),"Turkey",
ISNUMBER(SEARCH("Ivory Coast",S5086)),"Côte d'Ivoire",
ISNUMBER(SEARCH("Korea Republic",S5086)),"South Korea",
ISNUMBER(SEARCH("Germany FR",S5086)),"FR Germany",
ISNUMBER(SEARCH("West Germany",S5086)),"FR Germany",
ISNUMBER(SEARCH("Germany DR",S5086)),"DR Germany",
ISNUMBER(SEARCH("Korea DPR",S5086)),"North Korea",
ISNUMBER(SEARCH("China PR",S5086)),"China",
ISNUMBER(SEARCH("IR Iran",S5086)),"Iran",
ISNUMBER(SEARCH("Congo DR",S5086)),"Democratic Republic of the Congo",
ISNUMBER(SEARCH("DR Congo",S5086)),"Democratic Republic of the Congo",
ISNUMBER(SEARCH("German DR",S5086)),"DR Germany",
ISNUMBER(SEARCH("rn""&gt;United Arab Emirates",S5086)),"United Arab Emirates",
ISNUMBER(SEARCH("rn""&gt;Republic of Ireland",S5086)),"Ireland",
ISNUMBER(SEARCH("rn""&gt;Bosnia and Herzegovina",S5086)),"Bosnia and Herzegovina",
ISNUMBER(SEARCH("rn""&gt;Trinidad and Tobago",S5086)),"Trinidad and Tobago",
ISNUMBER(SEARCH("rn""&gt;Serbia and Montenegro",S5086)),"Serbia and Montenegro",
ISNUMBER(SEARCH(_xlfn.UNICHAR(65533),S5086)),"Côte d'Ivoire",
TRUE,"-"
)</f>
        <v>-</v>
      </c>
      <c r="W5086" s="42" t="str">
        <f t="shared" si="312"/>
        <v>-</v>
      </c>
    </row>
    <row r="5087" spans="19:23">
      <c r="S5087" s="42" t="str">
        <v/>
      </c>
      <c r="T5087" s="42" t="str">
        <f t="shared" si="310"/>
        <v>-</v>
      </c>
      <c r="U5087" s="40" t="str">
        <f t="shared" si="311"/>
        <v>-</v>
      </c>
      <c r="V5087" s="42" t="str" cm="1">
        <f t="array" ref="V5087">_xlfn.IFS(
LEFT(S5087,16)="win on penalties",IF(VALUE(MID(S5087,19,1))&gt;VALUE(MID(S5087,23,1)),DATA_CLEANED!AK601,DATA_CLEANED!AN601),
ISNUMBER(SEARCH("USA",S5087)),"United States",
ISNUMBER(SEARCH("Republic of Ireland",S5087)),"Ireland",
ISNUMBER(SEARCH("Republic of Korea",S5087)),"South Korea",
ISNUMBER(SEARCH("Cape Verde",S5087)),"Cabo Verde",
ISNUMBER(SEARCH("Czechia",S5087)),"Czech Republic",
ISNUMBER(SEARCH("Türkiye",S5087)),"Turkey",
ISNUMBER(SEARCH("Ivory Coast",S5087)),"Côte d'Ivoire",
ISNUMBER(SEARCH("Korea Republic",S5087)),"South Korea",
ISNUMBER(SEARCH("Germany FR",S5087)),"FR Germany",
ISNUMBER(SEARCH("West Germany",S5087)),"FR Germany",
ISNUMBER(SEARCH("Germany DR",S5087)),"DR Germany",
ISNUMBER(SEARCH("Korea DPR",S5087)),"North Korea",
ISNUMBER(SEARCH("China PR",S5087)),"China",
ISNUMBER(SEARCH("IR Iran",S5087)),"Iran",
ISNUMBER(SEARCH("Congo DR",S5087)),"Democratic Republic of the Congo",
ISNUMBER(SEARCH("DR Congo",S5087)),"Democratic Republic of the Congo",
ISNUMBER(SEARCH("German DR",S5087)),"DR Germany",
ISNUMBER(SEARCH("rn""&gt;United Arab Emirates",S5087)),"United Arab Emirates",
ISNUMBER(SEARCH("rn""&gt;Republic of Ireland",S5087)),"Ireland",
ISNUMBER(SEARCH("rn""&gt;Bosnia and Herzegovina",S5087)),"Bosnia and Herzegovina",
ISNUMBER(SEARCH("rn""&gt;Trinidad and Tobago",S5087)),"Trinidad and Tobago",
ISNUMBER(SEARCH("rn""&gt;Serbia and Montenegro",S5087)),"Serbia and Montenegro",
ISNUMBER(SEARCH(_xlfn.UNICHAR(65533),S5087)),"Côte d'Ivoire",
TRUE,"-"
)</f>
        <v>-</v>
      </c>
      <c r="W5087" s="42" t="str">
        <f t="shared" si="312"/>
        <v>-</v>
      </c>
    </row>
    <row r="5088" spans="19:23">
      <c r="S5088" s="42" t="str">
        <v/>
      </c>
      <c r="T5088" s="42" t="str">
        <f t="shared" si="310"/>
        <v>-</v>
      </c>
      <c r="U5088" s="40" t="str">
        <f t="shared" si="311"/>
        <v>-</v>
      </c>
      <c r="V5088" s="42" t="str" cm="1">
        <f t="array" ref="V5088">_xlfn.IFS(
LEFT(S5088,16)="win on penalties",IF(VALUE(MID(S5088,19,1))&gt;VALUE(MID(S5088,23,1)),DATA_CLEANED!AK602,DATA_CLEANED!AN602),
ISNUMBER(SEARCH("USA",S5088)),"United States",
ISNUMBER(SEARCH("Republic of Ireland",S5088)),"Ireland",
ISNUMBER(SEARCH("Republic of Korea",S5088)),"South Korea",
ISNUMBER(SEARCH("Cape Verde",S5088)),"Cabo Verde",
ISNUMBER(SEARCH("Czechia",S5088)),"Czech Republic",
ISNUMBER(SEARCH("Türkiye",S5088)),"Turkey",
ISNUMBER(SEARCH("Ivory Coast",S5088)),"Côte d'Ivoire",
ISNUMBER(SEARCH("Korea Republic",S5088)),"South Korea",
ISNUMBER(SEARCH("Germany FR",S5088)),"FR Germany",
ISNUMBER(SEARCH("West Germany",S5088)),"FR Germany",
ISNUMBER(SEARCH("Germany DR",S5088)),"DR Germany",
ISNUMBER(SEARCH("Korea DPR",S5088)),"North Korea",
ISNUMBER(SEARCH("China PR",S5088)),"China",
ISNUMBER(SEARCH("IR Iran",S5088)),"Iran",
ISNUMBER(SEARCH("Congo DR",S5088)),"Democratic Republic of the Congo",
ISNUMBER(SEARCH("DR Congo",S5088)),"Democratic Republic of the Congo",
ISNUMBER(SEARCH("German DR",S5088)),"DR Germany",
ISNUMBER(SEARCH("rn""&gt;United Arab Emirates",S5088)),"United Arab Emirates",
ISNUMBER(SEARCH("rn""&gt;Republic of Ireland",S5088)),"Ireland",
ISNUMBER(SEARCH("rn""&gt;Bosnia and Herzegovina",S5088)),"Bosnia and Herzegovina",
ISNUMBER(SEARCH("rn""&gt;Trinidad and Tobago",S5088)),"Trinidad and Tobago",
ISNUMBER(SEARCH("rn""&gt;Serbia and Montenegro",S5088)),"Serbia and Montenegro",
ISNUMBER(SEARCH(_xlfn.UNICHAR(65533),S5088)),"Côte d'Ivoire",
TRUE,"-"
)</f>
        <v>-</v>
      </c>
      <c r="W5088" s="42" t="str">
        <f t="shared" si="312"/>
        <v>-</v>
      </c>
    </row>
    <row r="5089" spans="19:23">
      <c r="S5089" s="42" t="str">
        <v/>
      </c>
      <c r="T5089" s="42" t="str">
        <f t="shared" si="310"/>
        <v>-</v>
      </c>
      <c r="U5089" s="40" t="str">
        <f t="shared" si="311"/>
        <v>-</v>
      </c>
      <c r="V5089" s="42" t="str" cm="1">
        <f t="array" ref="V5089">_xlfn.IFS(
LEFT(S5089,16)="win on penalties",IF(VALUE(MID(S5089,19,1))&gt;VALUE(MID(S5089,23,1)),DATA_CLEANED!AK603,DATA_CLEANED!AN603),
ISNUMBER(SEARCH("USA",S5089)),"United States",
ISNUMBER(SEARCH("Republic of Ireland",S5089)),"Ireland",
ISNUMBER(SEARCH("Republic of Korea",S5089)),"South Korea",
ISNUMBER(SEARCH("Cape Verde",S5089)),"Cabo Verde",
ISNUMBER(SEARCH("Czechia",S5089)),"Czech Republic",
ISNUMBER(SEARCH("Türkiye",S5089)),"Turkey",
ISNUMBER(SEARCH("Ivory Coast",S5089)),"Côte d'Ivoire",
ISNUMBER(SEARCH("Korea Republic",S5089)),"South Korea",
ISNUMBER(SEARCH("Germany FR",S5089)),"FR Germany",
ISNUMBER(SEARCH("West Germany",S5089)),"FR Germany",
ISNUMBER(SEARCH("Germany DR",S5089)),"DR Germany",
ISNUMBER(SEARCH("Korea DPR",S5089)),"North Korea",
ISNUMBER(SEARCH("China PR",S5089)),"China",
ISNUMBER(SEARCH("IR Iran",S5089)),"Iran",
ISNUMBER(SEARCH("Congo DR",S5089)),"Democratic Republic of the Congo",
ISNUMBER(SEARCH("DR Congo",S5089)),"Democratic Republic of the Congo",
ISNUMBER(SEARCH("German DR",S5089)),"DR Germany",
ISNUMBER(SEARCH("rn""&gt;United Arab Emirates",S5089)),"United Arab Emirates",
ISNUMBER(SEARCH("rn""&gt;Republic of Ireland",S5089)),"Ireland",
ISNUMBER(SEARCH("rn""&gt;Bosnia and Herzegovina",S5089)),"Bosnia and Herzegovina",
ISNUMBER(SEARCH("rn""&gt;Trinidad and Tobago",S5089)),"Trinidad and Tobago",
ISNUMBER(SEARCH("rn""&gt;Serbia and Montenegro",S5089)),"Serbia and Montenegro",
ISNUMBER(SEARCH(_xlfn.UNICHAR(65533),S5089)),"Côte d'Ivoire",
TRUE,"-"
)</f>
        <v>-</v>
      </c>
      <c r="W5089" s="42" t="str">
        <f t="shared" si="312"/>
        <v>-</v>
      </c>
    </row>
    <row r="5090" spans="19:23">
      <c r="S5090" s="42" t="str">
        <v/>
      </c>
      <c r="T5090" s="42" t="str">
        <f t="shared" si="310"/>
        <v>-</v>
      </c>
      <c r="U5090" s="40" t="str">
        <f t="shared" si="311"/>
        <v>-</v>
      </c>
      <c r="V5090" s="42" t="str" cm="1">
        <f t="array" ref="V5090">_xlfn.IFS(
LEFT(S5090,16)="win on penalties",IF(VALUE(MID(S5090,19,1))&gt;VALUE(MID(S5090,23,1)),DATA_CLEANED!AK604,DATA_CLEANED!AN604),
ISNUMBER(SEARCH("USA",S5090)),"United States",
ISNUMBER(SEARCH("Republic of Ireland",S5090)),"Ireland",
ISNUMBER(SEARCH("Republic of Korea",S5090)),"South Korea",
ISNUMBER(SEARCH("Cape Verde",S5090)),"Cabo Verde",
ISNUMBER(SEARCH("Czechia",S5090)),"Czech Republic",
ISNUMBER(SEARCH("Türkiye",S5090)),"Turkey",
ISNUMBER(SEARCH("Ivory Coast",S5090)),"Côte d'Ivoire",
ISNUMBER(SEARCH("Korea Republic",S5090)),"South Korea",
ISNUMBER(SEARCH("Germany FR",S5090)),"FR Germany",
ISNUMBER(SEARCH("West Germany",S5090)),"FR Germany",
ISNUMBER(SEARCH("Germany DR",S5090)),"DR Germany",
ISNUMBER(SEARCH("Korea DPR",S5090)),"North Korea",
ISNUMBER(SEARCH("China PR",S5090)),"China",
ISNUMBER(SEARCH("IR Iran",S5090)),"Iran",
ISNUMBER(SEARCH("Congo DR",S5090)),"Democratic Republic of the Congo",
ISNUMBER(SEARCH("DR Congo",S5090)),"Democratic Republic of the Congo",
ISNUMBER(SEARCH("German DR",S5090)),"DR Germany",
ISNUMBER(SEARCH("rn""&gt;United Arab Emirates",S5090)),"United Arab Emirates",
ISNUMBER(SEARCH("rn""&gt;Republic of Ireland",S5090)),"Ireland",
ISNUMBER(SEARCH("rn""&gt;Bosnia and Herzegovina",S5090)),"Bosnia and Herzegovina",
ISNUMBER(SEARCH("rn""&gt;Trinidad and Tobago",S5090)),"Trinidad and Tobago",
ISNUMBER(SEARCH("rn""&gt;Serbia and Montenegro",S5090)),"Serbia and Montenegro",
ISNUMBER(SEARCH(_xlfn.UNICHAR(65533),S5090)),"Côte d'Ivoire",
TRUE,"-"
)</f>
        <v>-</v>
      </c>
      <c r="W5090" s="42" t="str">
        <f t="shared" si="312"/>
        <v>-</v>
      </c>
    </row>
    <row r="5091" spans="19:23">
      <c r="S5091" s="42" t="str">
        <v/>
      </c>
      <c r="T5091" s="42" t="str">
        <f t="shared" si="310"/>
        <v>-</v>
      </c>
      <c r="U5091" s="40" t="str">
        <f t="shared" si="311"/>
        <v>-</v>
      </c>
      <c r="V5091" s="42" t="str" cm="1">
        <f t="array" ref="V5091">_xlfn.IFS(
LEFT(S5091,16)="win on penalties",IF(VALUE(MID(S5091,19,1))&gt;VALUE(MID(S5091,23,1)),DATA_CLEANED!AK605,DATA_CLEANED!AN605),
ISNUMBER(SEARCH("USA",S5091)),"United States",
ISNUMBER(SEARCH("Republic of Ireland",S5091)),"Ireland",
ISNUMBER(SEARCH("Republic of Korea",S5091)),"South Korea",
ISNUMBER(SEARCH("Cape Verde",S5091)),"Cabo Verde",
ISNUMBER(SEARCH("Czechia",S5091)),"Czech Republic",
ISNUMBER(SEARCH("Türkiye",S5091)),"Turkey",
ISNUMBER(SEARCH("Ivory Coast",S5091)),"Côte d'Ivoire",
ISNUMBER(SEARCH("Korea Republic",S5091)),"South Korea",
ISNUMBER(SEARCH("Germany FR",S5091)),"FR Germany",
ISNUMBER(SEARCH("West Germany",S5091)),"FR Germany",
ISNUMBER(SEARCH("Germany DR",S5091)),"DR Germany",
ISNUMBER(SEARCH("Korea DPR",S5091)),"North Korea",
ISNUMBER(SEARCH("China PR",S5091)),"China",
ISNUMBER(SEARCH("IR Iran",S5091)),"Iran",
ISNUMBER(SEARCH("Congo DR",S5091)),"Democratic Republic of the Congo",
ISNUMBER(SEARCH("DR Congo",S5091)),"Democratic Republic of the Congo",
ISNUMBER(SEARCH("German DR",S5091)),"DR Germany",
ISNUMBER(SEARCH("rn""&gt;United Arab Emirates",S5091)),"United Arab Emirates",
ISNUMBER(SEARCH("rn""&gt;Republic of Ireland",S5091)),"Ireland",
ISNUMBER(SEARCH("rn""&gt;Bosnia and Herzegovina",S5091)),"Bosnia and Herzegovina",
ISNUMBER(SEARCH("rn""&gt;Trinidad and Tobago",S5091)),"Trinidad and Tobago",
ISNUMBER(SEARCH("rn""&gt;Serbia and Montenegro",S5091)),"Serbia and Montenegro",
ISNUMBER(SEARCH(_xlfn.UNICHAR(65533),S5091)),"Côte d'Ivoire",
TRUE,"-"
)</f>
        <v>-</v>
      </c>
      <c r="W5091" s="42" t="str">
        <f t="shared" si="312"/>
        <v>-</v>
      </c>
    </row>
    <row r="5092" spans="19:23">
      <c r="S5092" s="42" t="str">
        <v/>
      </c>
      <c r="T5092" s="42" t="str">
        <f t="shared" si="310"/>
        <v>-</v>
      </c>
      <c r="U5092" s="40" t="str">
        <f t="shared" si="311"/>
        <v>-</v>
      </c>
      <c r="V5092" s="42" t="str" cm="1">
        <f t="array" ref="V5092">_xlfn.IFS(
LEFT(S5092,16)="win on penalties",IF(VALUE(MID(S5092,19,1))&gt;VALUE(MID(S5092,23,1)),DATA_CLEANED!AK606,DATA_CLEANED!AN606),
ISNUMBER(SEARCH("USA",S5092)),"United States",
ISNUMBER(SEARCH("Republic of Ireland",S5092)),"Ireland",
ISNUMBER(SEARCH("Republic of Korea",S5092)),"South Korea",
ISNUMBER(SEARCH("Cape Verde",S5092)),"Cabo Verde",
ISNUMBER(SEARCH("Czechia",S5092)),"Czech Republic",
ISNUMBER(SEARCH("Türkiye",S5092)),"Turkey",
ISNUMBER(SEARCH("Ivory Coast",S5092)),"Côte d'Ivoire",
ISNUMBER(SEARCH("Korea Republic",S5092)),"South Korea",
ISNUMBER(SEARCH("Germany FR",S5092)),"FR Germany",
ISNUMBER(SEARCH("West Germany",S5092)),"FR Germany",
ISNUMBER(SEARCH("Germany DR",S5092)),"DR Germany",
ISNUMBER(SEARCH("Korea DPR",S5092)),"North Korea",
ISNUMBER(SEARCH("China PR",S5092)),"China",
ISNUMBER(SEARCH("IR Iran",S5092)),"Iran",
ISNUMBER(SEARCH("Congo DR",S5092)),"Democratic Republic of the Congo",
ISNUMBER(SEARCH("DR Congo",S5092)),"Democratic Republic of the Congo",
ISNUMBER(SEARCH("German DR",S5092)),"DR Germany",
ISNUMBER(SEARCH("rn""&gt;United Arab Emirates",S5092)),"United Arab Emirates",
ISNUMBER(SEARCH("rn""&gt;Republic of Ireland",S5092)),"Ireland",
ISNUMBER(SEARCH("rn""&gt;Bosnia and Herzegovina",S5092)),"Bosnia and Herzegovina",
ISNUMBER(SEARCH("rn""&gt;Trinidad and Tobago",S5092)),"Trinidad and Tobago",
ISNUMBER(SEARCH("rn""&gt;Serbia and Montenegro",S5092)),"Serbia and Montenegro",
ISNUMBER(SEARCH(_xlfn.UNICHAR(65533),S5092)),"Côte d'Ivoire",
TRUE,"-"
)</f>
        <v>-</v>
      </c>
      <c r="W5092" s="42" t="str">
        <f t="shared" si="312"/>
        <v>-</v>
      </c>
    </row>
    <row r="5093" spans="19:23">
      <c r="S5093" s="42" t="str">
        <v/>
      </c>
      <c r="T5093" s="42" t="str">
        <f t="shared" si="310"/>
        <v>-</v>
      </c>
      <c r="U5093" s="40" t="str">
        <f t="shared" si="311"/>
        <v>-</v>
      </c>
      <c r="V5093" s="42" t="str" cm="1">
        <f t="array" ref="V5093">_xlfn.IFS(
LEFT(S5093,16)="win on penalties",IF(VALUE(MID(S5093,19,1))&gt;VALUE(MID(S5093,23,1)),DATA_CLEANED!AK607,DATA_CLEANED!AN607),
ISNUMBER(SEARCH("USA",S5093)),"United States",
ISNUMBER(SEARCH("Republic of Ireland",S5093)),"Ireland",
ISNUMBER(SEARCH("Republic of Korea",S5093)),"South Korea",
ISNUMBER(SEARCH("Cape Verde",S5093)),"Cabo Verde",
ISNUMBER(SEARCH("Czechia",S5093)),"Czech Republic",
ISNUMBER(SEARCH("Türkiye",S5093)),"Turkey",
ISNUMBER(SEARCH("Ivory Coast",S5093)),"Côte d'Ivoire",
ISNUMBER(SEARCH("Korea Republic",S5093)),"South Korea",
ISNUMBER(SEARCH("Germany FR",S5093)),"FR Germany",
ISNUMBER(SEARCH("West Germany",S5093)),"FR Germany",
ISNUMBER(SEARCH("Germany DR",S5093)),"DR Germany",
ISNUMBER(SEARCH("Korea DPR",S5093)),"North Korea",
ISNUMBER(SEARCH("China PR",S5093)),"China",
ISNUMBER(SEARCH("IR Iran",S5093)),"Iran",
ISNUMBER(SEARCH("Congo DR",S5093)),"Democratic Republic of the Congo",
ISNUMBER(SEARCH("DR Congo",S5093)),"Democratic Republic of the Congo",
ISNUMBER(SEARCH("German DR",S5093)),"DR Germany",
ISNUMBER(SEARCH("rn""&gt;United Arab Emirates",S5093)),"United Arab Emirates",
ISNUMBER(SEARCH("rn""&gt;Republic of Ireland",S5093)),"Ireland",
ISNUMBER(SEARCH("rn""&gt;Bosnia and Herzegovina",S5093)),"Bosnia and Herzegovina",
ISNUMBER(SEARCH("rn""&gt;Trinidad and Tobago",S5093)),"Trinidad and Tobago",
ISNUMBER(SEARCH("rn""&gt;Serbia and Montenegro",S5093)),"Serbia and Montenegro",
ISNUMBER(SEARCH(_xlfn.UNICHAR(65533),S5093)),"Côte d'Ivoire",
TRUE,"-"
)</f>
        <v>-</v>
      </c>
      <c r="W5093" s="42" t="str">
        <f t="shared" si="312"/>
        <v>-</v>
      </c>
    </row>
    <row r="5094" spans="19:23">
      <c r="S5094" s="42" t="str">
        <v/>
      </c>
      <c r="T5094" s="42" t="str">
        <f t="shared" si="310"/>
        <v>-</v>
      </c>
      <c r="U5094" s="40" t="str">
        <f t="shared" si="311"/>
        <v>-</v>
      </c>
      <c r="V5094" s="42" t="str" cm="1">
        <f t="array" ref="V5094">_xlfn.IFS(
LEFT(S5094,16)="win on penalties",IF(VALUE(MID(S5094,19,1))&gt;VALUE(MID(S5094,23,1)),DATA_CLEANED!AK608,DATA_CLEANED!AN608),
ISNUMBER(SEARCH("USA",S5094)),"United States",
ISNUMBER(SEARCH("Republic of Ireland",S5094)),"Ireland",
ISNUMBER(SEARCH("Republic of Korea",S5094)),"South Korea",
ISNUMBER(SEARCH("Cape Verde",S5094)),"Cabo Verde",
ISNUMBER(SEARCH("Czechia",S5094)),"Czech Republic",
ISNUMBER(SEARCH("Türkiye",S5094)),"Turkey",
ISNUMBER(SEARCH("Ivory Coast",S5094)),"Côte d'Ivoire",
ISNUMBER(SEARCH("Korea Republic",S5094)),"South Korea",
ISNUMBER(SEARCH("Germany FR",S5094)),"FR Germany",
ISNUMBER(SEARCH("West Germany",S5094)),"FR Germany",
ISNUMBER(SEARCH("Germany DR",S5094)),"DR Germany",
ISNUMBER(SEARCH("Korea DPR",S5094)),"North Korea",
ISNUMBER(SEARCH("China PR",S5094)),"China",
ISNUMBER(SEARCH("IR Iran",S5094)),"Iran",
ISNUMBER(SEARCH("Congo DR",S5094)),"Democratic Republic of the Congo",
ISNUMBER(SEARCH("DR Congo",S5094)),"Democratic Republic of the Congo",
ISNUMBER(SEARCH("German DR",S5094)),"DR Germany",
ISNUMBER(SEARCH("rn""&gt;United Arab Emirates",S5094)),"United Arab Emirates",
ISNUMBER(SEARCH("rn""&gt;Republic of Ireland",S5094)),"Ireland",
ISNUMBER(SEARCH("rn""&gt;Bosnia and Herzegovina",S5094)),"Bosnia and Herzegovina",
ISNUMBER(SEARCH("rn""&gt;Trinidad and Tobago",S5094)),"Trinidad and Tobago",
ISNUMBER(SEARCH("rn""&gt;Serbia and Montenegro",S5094)),"Serbia and Montenegro",
ISNUMBER(SEARCH(_xlfn.UNICHAR(65533),S5094)),"Côte d'Ivoire",
TRUE,"-"
)</f>
        <v>-</v>
      </c>
      <c r="W5094" s="42" t="str">
        <f t="shared" si="312"/>
        <v>-</v>
      </c>
    </row>
    <row r="5095" spans="19:23">
      <c r="S5095" s="42" t="str">
        <v/>
      </c>
      <c r="T5095" s="42" t="str">
        <f t="shared" si="310"/>
        <v>-</v>
      </c>
      <c r="U5095" s="40" t="str">
        <f t="shared" si="311"/>
        <v>-</v>
      </c>
      <c r="V5095" s="42" t="str" cm="1">
        <f t="array" ref="V5095">_xlfn.IFS(
LEFT(S5095,16)="win on penalties",IF(VALUE(MID(S5095,19,1))&gt;VALUE(MID(S5095,23,1)),DATA_CLEANED!AK609,DATA_CLEANED!AN609),
ISNUMBER(SEARCH("USA",S5095)),"United States",
ISNUMBER(SEARCH("Republic of Ireland",S5095)),"Ireland",
ISNUMBER(SEARCH("Republic of Korea",S5095)),"South Korea",
ISNUMBER(SEARCH("Cape Verde",S5095)),"Cabo Verde",
ISNUMBER(SEARCH("Czechia",S5095)),"Czech Republic",
ISNUMBER(SEARCH("Türkiye",S5095)),"Turkey",
ISNUMBER(SEARCH("Ivory Coast",S5095)),"Côte d'Ivoire",
ISNUMBER(SEARCH("Korea Republic",S5095)),"South Korea",
ISNUMBER(SEARCH("Germany FR",S5095)),"FR Germany",
ISNUMBER(SEARCH("West Germany",S5095)),"FR Germany",
ISNUMBER(SEARCH("Germany DR",S5095)),"DR Germany",
ISNUMBER(SEARCH("Korea DPR",S5095)),"North Korea",
ISNUMBER(SEARCH("China PR",S5095)),"China",
ISNUMBER(SEARCH("IR Iran",S5095)),"Iran",
ISNUMBER(SEARCH("Congo DR",S5095)),"Democratic Republic of the Congo",
ISNUMBER(SEARCH("DR Congo",S5095)),"Democratic Republic of the Congo",
ISNUMBER(SEARCH("German DR",S5095)),"DR Germany",
ISNUMBER(SEARCH("rn""&gt;United Arab Emirates",S5095)),"United Arab Emirates",
ISNUMBER(SEARCH("rn""&gt;Republic of Ireland",S5095)),"Ireland",
ISNUMBER(SEARCH("rn""&gt;Bosnia and Herzegovina",S5095)),"Bosnia and Herzegovina",
ISNUMBER(SEARCH("rn""&gt;Trinidad and Tobago",S5095)),"Trinidad and Tobago",
ISNUMBER(SEARCH("rn""&gt;Serbia and Montenegro",S5095)),"Serbia and Montenegro",
ISNUMBER(SEARCH(_xlfn.UNICHAR(65533),S5095)),"Côte d'Ivoire",
TRUE,"-"
)</f>
        <v>-</v>
      </c>
      <c r="W5095" s="42" t="str">
        <f t="shared" si="312"/>
        <v>-</v>
      </c>
    </row>
    <row r="5096" spans="19:23">
      <c r="S5096" s="42" t="str">
        <v/>
      </c>
      <c r="T5096" s="42" t="str">
        <f t="shared" si="310"/>
        <v>-</v>
      </c>
      <c r="U5096" s="40" t="str">
        <f t="shared" si="311"/>
        <v>-</v>
      </c>
      <c r="V5096" s="42" t="str" cm="1">
        <f t="array" ref="V5096">_xlfn.IFS(
LEFT(S5096,16)="win on penalties",IF(VALUE(MID(S5096,19,1))&gt;VALUE(MID(S5096,23,1)),DATA_CLEANED!AK610,DATA_CLEANED!AN610),
ISNUMBER(SEARCH("USA",S5096)),"United States",
ISNUMBER(SEARCH("Republic of Ireland",S5096)),"Ireland",
ISNUMBER(SEARCH("Republic of Korea",S5096)),"South Korea",
ISNUMBER(SEARCH("Cape Verde",S5096)),"Cabo Verde",
ISNUMBER(SEARCH("Czechia",S5096)),"Czech Republic",
ISNUMBER(SEARCH("Türkiye",S5096)),"Turkey",
ISNUMBER(SEARCH("Ivory Coast",S5096)),"Côte d'Ivoire",
ISNUMBER(SEARCH("Korea Republic",S5096)),"South Korea",
ISNUMBER(SEARCH("Germany FR",S5096)),"FR Germany",
ISNUMBER(SEARCH("West Germany",S5096)),"FR Germany",
ISNUMBER(SEARCH("Germany DR",S5096)),"DR Germany",
ISNUMBER(SEARCH("Korea DPR",S5096)),"North Korea",
ISNUMBER(SEARCH("China PR",S5096)),"China",
ISNUMBER(SEARCH("IR Iran",S5096)),"Iran",
ISNUMBER(SEARCH("Congo DR",S5096)),"Democratic Republic of the Congo",
ISNUMBER(SEARCH("DR Congo",S5096)),"Democratic Republic of the Congo",
ISNUMBER(SEARCH("German DR",S5096)),"DR Germany",
ISNUMBER(SEARCH("rn""&gt;United Arab Emirates",S5096)),"United Arab Emirates",
ISNUMBER(SEARCH("rn""&gt;Republic of Ireland",S5096)),"Ireland",
ISNUMBER(SEARCH("rn""&gt;Bosnia and Herzegovina",S5096)),"Bosnia and Herzegovina",
ISNUMBER(SEARCH("rn""&gt;Trinidad and Tobago",S5096)),"Trinidad and Tobago",
ISNUMBER(SEARCH("rn""&gt;Serbia and Montenegro",S5096)),"Serbia and Montenegro",
ISNUMBER(SEARCH(_xlfn.UNICHAR(65533),S5096)),"Côte d'Ivoire",
TRUE,"-"
)</f>
        <v>-</v>
      </c>
      <c r="W5096" s="42" t="str">
        <f t="shared" si="312"/>
        <v>-</v>
      </c>
    </row>
    <row r="5097" spans="19:23">
      <c r="S5097" s="42" t="str">
        <v/>
      </c>
      <c r="T5097" s="42" t="str">
        <f t="shared" si="310"/>
        <v>-</v>
      </c>
      <c r="U5097" s="40" t="str">
        <f t="shared" si="311"/>
        <v>-</v>
      </c>
      <c r="V5097" s="42" t="str" cm="1">
        <f t="array" ref="V5097">_xlfn.IFS(
LEFT(S5097,16)="win on penalties",IF(VALUE(MID(S5097,19,1))&gt;VALUE(MID(S5097,23,1)),DATA_CLEANED!AK611,DATA_CLEANED!AN611),
ISNUMBER(SEARCH("USA",S5097)),"United States",
ISNUMBER(SEARCH("Republic of Ireland",S5097)),"Ireland",
ISNUMBER(SEARCH("Republic of Korea",S5097)),"South Korea",
ISNUMBER(SEARCH("Cape Verde",S5097)),"Cabo Verde",
ISNUMBER(SEARCH("Czechia",S5097)),"Czech Republic",
ISNUMBER(SEARCH("Türkiye",S5097)),"Turkey",
ISNUMBER(SEARCH("Ivory Coast",S5097)),"Côte d'Ivoire",
ISNUMBER(SEARCH("Korea Republic",S5097)),"South Korea",
ISNUMBER(SEARCH("Germany FR",S5097)),"FR Germany",
ISNUMBER(SEARCH("West Germany",S5097)),"FR Germany",
ISNUMBER(SEARCH("Germany DR",S5097)),"DR Germany",
ISNUMBER(SEARCH("Korea DPR",S5097)),"North Korea",
ISNUMBER(SEARCH("China PR",S5097)),"China",
ISNUMBER(SEARCH("IR Iran",S5097)),"Iran",
ISNUMBER(SEARCH("Congo DR",S5097)),"Democratic Republic of the Congo",
ISNUMBER(SEARCH("DR Congo",S5097)),"Democratic Republic of the Congo",
ISNUMBER(SEARCH("German DR",S5097)),"DR Germany",
ISNUMBER(SEARCH("rn""&gt;United Arab Emirates",S5097)),"United Arab Emirates",
ISNUMBER(SEARCH("rn""&gt;Republic of Ireland",S5097)),"Ireland",
ISNUMBER(SEARCH("rn""&gt;Bosnia and Herzegovina",S5097)),"Bosnia and Herzegovina",
ISNUMBER(SEARCH("rn""&gt;Trinidad and Tobago",S5097)),"Trinidad and Tobago",
ISNUMBER(SEARCH("rn""&gt;Serbia and Montenegro",S5097)),"Serbia and Montenegro",
ISNUMBER(SEARCH(_xlfn.UNICHAR(65533),S5097)),"Côte d'Ivoire",
TRUE,"-"
)</f>
        <v>-</v>
      </c>
      <c r="W5097" s="42" t="str">
        <f t="shared" si="312"/>
        <v>-</v>
      </c>
    </row>
    <row r="5098" spans="19:23">
      <c r="S5098" s="42" t="str">
        <v/>
      </c>
      <c r="T5098" s="42" t="str">
        <f t="shared" si="310"/>
        <v>-</v>
      </c>
      <c r="U5098" s="40" t="str">
        <f t="shared" si="311"/>
        <v>-</v>
      </c>
      <c r="V5098" s="42" t="str" cm="1">
        <f t="array" ref="V5098">_xlfn.IFS(
LEFT(S5098,16)="win on penalties",IF(VALUE(MID(S5098,19,1))&gt;VALUE(MID(S5098,23,1)),DATA_CLEANED!AK612,DATA_CLEANED!AN612),
ISNUMBER(SEARCH("USA",S5098)),"United States",
ISNUMBER(SEARCH("Republic of Ireland",S5098)),"Ireland",
ISNUMBER(SEARCH("Republic of Korea",S5098)),"South Korea",
ISNUMBER(SEARCH("Cape Verde",S5098)),"Cabo Verde",
ISNUMBER(SEARCH("Czechia",S5098)),"Czech Republic",
ISNUMBER(SEARCH("Türkiye",S5098)),"Turkey",
ISNUMBER(SEARCH("Ivory Coast",S5098)),"Côte d'Ivoire",
ISNUMBER(SEARCH("Korea Republic",S5098)),"South Korea",
ISNUMBER(SEARCH("Germany FR",S5098)),"FR Germany",
ISNUMBER(SEARCH("West Germany",S5098)),"FR Germany",
ISNUMBER(SEARCH("Germany DR",S5098)),"DR Germany",
ISNUMBER(SEARCH("Korea DPR",S5098)),"North Korea",
ISNUMBER(SEARCH("China PR",S5098)),"China",
ISNUMBER(SEARCH("IR Iran",S5098)),"Iran",
ISNUMBER(SEARCH("Congo DR",S5098)),"Democratic Republic of the Congo",
ISNUMBER(SEARCH("DR Congo",S5098)),"Democratic Republic of the Congo",
ISNUMBER(SEARCH("German DR",S5098)),"DR Germany",
ISNUMBER(SEARCH("rn""&gt;United Arab Emirates",S5098)),"United Arab Emirates",
ISNUMBER(SEARCH("rn""&gt;Republic of Ireland",S5098)),"Ireland",
ISNUMBER(SEARCH("rn""&gt;Bosnia and Herzegovina",S5098)),"Bosnia and Herzegovina",
ISNUMBER(SEARCH("rn""&gt;Trinidad and Tobago",S5098)),"Trinidad and Tobago",
ISNUMBER(SEARCH("rn""&gt;Serbia and Montenegro",S5098)),"Serbia and Montenegro",
ISNUMBER(SEARCH(_xlfn.UNICHAR(65533),S5098)),"Côte d'Ivoire",
TRUE,"-"
)</f>
        <v>-</v>
      </c>
      <c r="W5098" s="42" t="str">
        <f t="shared" si="312"/>
        <v>-</v>
      </c>
    </row>
    <row r="5099" spans="19:23">
      <c r="S5099" s="42" t="str">
        <v/>
      </c>
      <c r="T5099" s="42" t="str">
        <f t="shared" si="310"/>
        <v>-</v>
      </c>
      <c r="U5099" s="40" t="str">
        <f t="shared" si="311"/>
        <v>-</v>
      </c>
      <c r="V5099" s="42" t="str" cm="1">
        <f t="array" ref="V5099">_xlfn.IFS(
LEFT(S5099,16)="win on penalties",IF(VALUE(MID(S5099,19,1))&gt;VALUE(MID(S5099,23,1)),DATA_CLEANED!AK613,DATA_CLEANED!AN613),
ISNUMBER(SEARCH("USA",S5099)),"United States",
ISNUMBER(SEARCH("Republic of Ireland",S5099)),"Ireland",
ISNUMBER(SEARCH("Republic of Korea",S5099)),"South Korea",
ISNUMBER(SEARCH("Cape Verde",S5099)),"Cabo Verde",
ISNUMBER(SEARCH("Czechia",S5099)),"Czech Republic",
ISNUMBER(SEARCH("Türkiye",S5099)),"Turkey",
ISNUMBER(SEARCH("Ivory Coast",S5099)),"Côte d'Ivoire",
ISNUMBER(SEARCH("Korea Republic",S5099)),"South Korea",
ISNUMBER(SEARCH("Germany FR",S5099)),"FR Germany",
ISNUMBER(SEARCH("West Germany",S5099)),"FR Germany",
ISNUMBER(SEARCH("Germany DR",S5099)),"DR Germany",
ISNUMBER(SEARCH("Korea DPR",S5099)),"North Korea",
ISNUMBER(SEARCH("China PR",S5099)),"China",
ISNUMBER(SEARCH("IR Iran",S5099)),"Iran",
ISNUMBER(SEARCH("Congo DR",S5099)),"Democratic Republic of the Congo",
ISNUMBER(SEARCH("DR Congo",S5099)),"Democratic Republic of the Congo",
ISNUMBER(SEARCH("German DR",S5099)),"DR Germany",
ISNUMBER(SEARCH("rn""&gt;United Arab Emirates",S5099)),"United Arab Emirates",
ISNUMBER(SEARCH("rn""&gt;Republic of Ireland",S5099)),"Ireland",
ISNUMBER(SEARCH("rn""&gt;Bosnia and Herzegovina",S5099)),"Bosnia and Herzegovina",
ISNUMBER(SEARCH("rn""&gt;Trinidad and Tobago",S5099)),"Trinidad and Tobago",
ISNUMBER(SEARCH("rn""&gt;Serbia and Montenegro",S5099)),"Serbia and Montenegro",
ISNUMBER(SEARCH(_xlfn.UNICHAR(65533),S5099)),"Côte d'Ivoire",
TRUE,"-"
)</f>
        <v>-</v>
      </c>
      <c r="W5099" s="42" t="str">
        <f t="shared" si="312"/>
        <v>-</v>
      </c>
    </row>
    <row r="5100" spans="19:23">
      <c r="S5100" s="42" t="str">
        <v/>
      </c>
      <c r="T5100" s="42" t="str">
        <f t="shared" si="310"/>
        <v>-</v>
      </c>
      <c r="U5100" s="40" t="str">
        <f t="shared" si="311"/>
        <v>-</v>
      </c>
      <c r="V5100" s="42" t="str" cm="1">
        <f t="array" ref="V5100">_xlfn.IFS(
LEFT(S5100,16)="win on penalties",IF(VALUE(MID(S5100,19,1))&gt;VALUE(MID(S5100,23,1)),DATA_CLEANED!AK614,DATA_CLEANED!AN614),
ISNUMBER(SEARCH("USA",S5100)),"United States",
ISNUMBER(SEARCH("Republic of Ireland",S5100)),"Ireland",
ISNUMBER(SEARCH("Republic of Korea",S5100)),"South Korea",
ISNUMBER(SEARCH("Cape Verde",S5100)),"Cabo Verde",
ISNUMBER(SEARCH("Czechia",S5100)),"Czech Republic",
ISNUMBER(SEARCH("Türkiye",S5100)),"Turkey",
ISNUMBER(SEARCH("Ivory Coast",S5100)),"Côte d'Ivoire",
ISNUMBER(SEARCH("Korea Republic",S5100)),"South Korea",
ISNUMBER(SEARCH("Germany FR",S5100)),"FR Germany",
ISNUMBER(SEARCH("West Germany",S5100)),"FR Germany",
ISNUMBER(SEARCH("Germany DR",S5100)),"DR Germany",
ISNUMBER(SEARCH("Korea DPR",S5100)),"North Korea",
ISNUMBER(SEARCH("China PR",S5100)),"China",
ISNUMBER(SEARCH("IR Iran",S5100)),"Iran",
ISNUMBER(SEARCH("Congo DR",S5100)),"Democratic Republic of the Congo",
ISNUMBER(SEARCH("DR Congo",S5100)),"Democratic Republic of the Congo",
ISNUMBER(SEARCH("German DR",S5100)),"DR Germany",
ISNUMBER(SEARCH("rn""&gt;United Arab Emirates",S5100)),"United Arab Emirates",
ISNUMBER(SEARCH("rn""&gt;Republic of Ireland",S5100)),"Ireland",
ISNUMBER(SEARCH("rn""&gt;Bosnia and Herzegovina",S5100)),"Bosnia and Herzegovina",
ISNUMBER(SEARCH("rn""&gt;Trinidad and Tobago",S5100)),"Trinidad and Tobago",
ISNUMBER(SEARCH("rn""&gt;Serbia and Montenegro",S5100)),"Serbia and Montenegro",
ISNUMBER(SEARCH(_xlfn.UNICHAR(65533),S5100)),"Côte d'Ivoire",
TRUE,"-"
)</f>
        <v>-</v>
      </c>
      <c r="W5100" s="42" t="str">
        <f t="shared" si="312"/>
        <v>-</v>
      </c>
    </row>
    <row r="5101" spans="19:23">
      <c r="S5101" s="42" t="str">
        <v/>
      </c>
      <c r="T5101" s="42" t="str">
        <f t="shared" si="310"/>
        <v>-</v>
      </c>
      <c r="U5101" s="40" t="str">
        <f t="shared" si="311"/>
        <v>-</v>
      </c>
      <c r="V5101" s="42" t="str" cm="1">
        <f t="array" ref="V5101">_xlfn.IFS(
LEFT(S5101,16)="win on penalties",IF(VALUE(MID(S5101,19,1))&gt;VALUE(MID(S5101,23,1)),DATA_CLEANED!AK615,DATA_CLEANED!AN615),
ISNUMBER(SEARCH("USA",S5101)),"United States",
ISNUMBER(SEARCH("Republic of Ireland",S5101)),"Ireland",
ISNUMBER(SEARCH("Republic of Korea",S5101)),"South Korea",
ISNUMBER(SEARCH("Cape Verde",S5101)),"Cabo Verde",
ISNUMBER(SEARCH("Czechia",S5101)),"Czech Republic",
ISNUMBER(SEARCH("Türkiye",S5101)),"Turkey",
ISNUMBER(SEARCH("Ivory Coast",S5101)),"Côte d'Ivoire",
ISNUMBER(SEARCH("Korea Republic",S5101)),"South Korea",
ISNUMBER(SEARCH("Germany FR",S5101)),"FR Germany",
ISNUMBER(SEARCH("West Germany",S5101)),"FR Germany",
ISNUMBER(SEARCH("Germany DR",S5101)),"DR Germany",
ISNUMBER(SEARCH("Korea DPR",S5101)),"North Korea",
ISNUMBER(SEARCH("China PR",S5101)),"China",
ISNUMBER(SEARCH("IR Iran",S5101)),"Iran",
ISNUMBER(SEARCH("Congo DR",S5101)),"Democratic Republic of the Congo",
ISNUMBER(SEARCH("DR Congo",S5101)),"Democratic Republic of the Congo",
ISNUMBER(SEARCH("German DR",S5101)),"DR Germany",
ISNUMBER(SEARCH("rn""&gt;United Arab Emirates",S5101)),"United Arab Emirates",
ISNUMBER(SEARCH("rn""&gt;Republic of Ireland",S5101)),"Ireland",
ISNUMBER(SEARCH("rn""&gt;Bosnia and Herzegovina",S5101)),"Bosnia and Herzegovina",
ISNUMBER(SEARCH("rn""&gt;Trinidad and Tobago",S5101)),"Trinidad and Tobago",
ISNUMBER(SEARCH("rn""&gt;Serbia and Montenegro",S5101)),"Serbia and Montenegro",
ISNUMBER(SEARCH(_xlfn.UNICHAR(65533),S5101)),"Côte d'Ivoire",
TRUE,"-"
)</f>
        <v>-</v>
      </c>
      <c r="W5101" s="42" t="str">
        <f t="shared" si="312"/>
        <v>-</v>
      </c>
    </row>
    <row r="5102" spans="19:23">
      <c r="S5102" s="42" t="str">
        <v/>
      </c>
      <c r="T5102" s="42" t="str">
        <f t="shared" si="310"/>
        <v>-</v>
      </c>
      <c r="U5102" s="40" t="str">
        <f t="shared" si="311"/>
        <v>-</v>
      </c>
      <c r="V5102" s="42" t="str" cm="1">
        <f t="array" ref="V5102">_xlfn.IFS(
LEFT(S5102,16)="win on penalties",IF(VALUE(MID(S5102,19,1))&gt;VALUE(MID(S5102,23,1)),DATA_CLEANED!AK616,DATA_CLEANED!AN616),
ISNUMBER(SEARCH("USA",S5102)),"United States",
ISNUMBER(SEARCH("Republic of Ireland",S5102)),"Ireland",
ISNUMBER(SEARCH("Republic of Korea",S5102)),"South Korea",
ISNUMBER(SEARCH("Cape Verde",S5102)),"Cabo Verde",
ISNUMBER(SEARCH("Czechia",S5102)),"Czech Republic",
ISNUMBER(SEARCH("Türkiye",S5102)),"Turkey",
ISNUMBER(SEARCH("Ivory Coast",S5102)),"Côte d'Ivoire",
ISNUMBER(SEARCH("Korea Republic",S5102)),"South Korea",
ISNUMBER(SEARCH("Germany FR",S5102)),"FR Germany",
ISNUMBER(SEARCH("West Germany",S5102)),"FR Germany",
ISNUMBER(SEARCH("Germany DR",S5102)),"DR Germany",
ISNUMBER(SEARCH("Korea DPR",S5102)),"North Korea",
ISNUMBER(SEARCH("China PR",S5102)),"China",
ISNUMBER(SEARCH("IR Iran",S5102)),"Iran",
ISNUMBER(SEARCH("Congo DR",S5102)),"Democratic Republic of the Congo",
ISNUMBER(SEARCH("DR Congo",S5102)),"Democratic Republic of the Congo",
ISNUMBER(SEARCH("German DR",S5102)),"DR Germany",
ISNUMBER(SEARCH("rn""&gt;United Arab Emirates",S5102)),"United Arab Emirates",
ISNUMBER(SEARCH("rn""&gt;Republic of Ireland",S5102)),"Ireland",
ISNUMBER(SEARCH("rn""&gt;Bosnia and Herzegovina",S5102)),"Bosnia and Herzegovina",
ISNUMBER(SEARCH("rn""&gt;Trinidad and Tobago",S5102)),"Trinidad and Tobago",
ISNUMBER(SEARCH("rn""&gt;Serbia and Montenegro",S5102)),"Serbia and Montenegro",
ISNUMBER(SEARCH(_xlfn.UNICHAR(65533),S5102)),"Côte d'Ivoire",
TRUE,"-"
)</f>
        <v>-</v>
      </c>
      <c r="W5102" s="42" t="str">
        <f t="shared" si="312"/>
        <v>-</v>
      </c>
    </row>
    <row r="5103" spans="19:23">
      <c r="S5103" s="42" t="str">
        <v/>
      </c>
      <c r="T5103" s="42" t="str">
        <f t="shared" si="310"/>
        <v>-</v>
      </c>
      <c r="U5103" s="40" t="str">
        <f t="shared" si="311"/>
        <v>-</v>
      </c>
      <c r="V5103" s="42" t="str" cm="1">
        <f t="array" ref="V5103">_xlfn.IFS(
LEFT(S5103,16)="win on penalties",IF(VALUE(MID(S5103,19,1))&gt;VALUE(MID(S5103,23,1)),DATA_CLEANED!AK617,DATA_CLEANED!AN617),
ISNUMBER(SEARCH("USA",S5103)),"United States",
ISNUMBER(SEARCH("Republic of Ireland",S5103)),"Ireland",
ISNUMBER(SEARCH("Republic of Korea",S5103)),"South Korea",
ISNUMBER(SEARCH("Cape Verde",S5103)),"Cabo Verde",
ISNUMBER(SEARCH("Czechia",S5103)),"Czech Republic",
ISNUMBER(SEARCH("Türkiye",S5103)),"Turkey",
ISNUMBER(SEARCH("Ivory Coast",S5103)),"Côte d'Ivoire",
ISNUMBER(SEARCH("Korea Republic",S5103)),"South Korea",
ISNUMBER(SEARCH("Germany FR",S5103)),"FR Germany",
ISNUMBER(SEARCH("West Germany",S5103)),"FR Germany",
ISNUMBER(SEARCH("Germany DR",S5103)),"DR Germany",
ISNUMBER(SEARCH("Korea DPR",S5103)),"North Korea",
ISNUMBER(SEARCH("China PR",S5103)),"China",
ISNUMBER(SEARCH("IR Iran",S5103)),"Iran",
ISNUMBER(SEARCH("Congo DR",S5103)),"Democratic Republic of the Congo",
ISNUMBER(SEARCH("DR Congo",S5103)),"Democratic Republic of the Congo",
ISNUMBER(SEARCH("German DR",S5103)),"DR Germany",
ISNUMBER(SEARCH("rn""&gt;United Arab Emirates",S5103)),"United Arab Emirates",
ISNUMBER(SEARCH("rn""&gt;Republic of Ireland",S5103)),"Ireland",
ISNUMBER(SEARCH("rn""&gt;Bosnia and Herzegovina",S5103)),"Bosnia and Herzegovina",
ISNUMBER(SEARCH("rn""&gt;Trinidad and Tobago",S5103)),"Trinidad and Tobago",
ISNUMBER(SEARCH("rn""&gt;Serbia and Montenegro",S5103)),"Serbia and Montenegro",
ISNUMBER(SEARCH(_xlfn.UNICHAR(65533),S5103)),"Côte d'Ivoire",
TRUE,"-"
)</f>
        <v>-</v>
      </c>
      <c r="W5103" s="42" t="str">
        <f t="shared" si="312"/>
        <v>-</v>
      </c>
    </row>
    <row r="5104" spans="19:23">
      <c r="S5104" s="42" t="str">
        <v/>
      </c>
      <c r="T5104" s="42" t="str">
        <f t="shared" si="310"/>
        <v>-</v>
      </c>
      <c r="U5104" s="40" t="str">
        <f t="shared" si="311"/>
        <v>-</v>
      </c>
      <c r="V5104" s="42" t="str" cm="1">
        <f t="array" ref="V5104">_xlfn.IFS(
LEFT(S5104,16)="win on penalties",IF(VALUE(MID(S5104,19,1))&gt;VALUE(MID(S5104,23,1)),DATA_CLEANED!AK618,DATA_CLEANED!AN618),
ISNUMBER(SEARCH("USA",S5104)),"United States",
ISNUMBER(SEARCH("Republic of Ireland",S5104)),"Ireland",
ISNUMBER(SEARCH("Republic of Korea",S5104)),"South Korea",
ISNUMBER(SEARCH("Cape Verde",S5104)),"Cabo Verde",
ISNUMBER(SEARCH("Czechia",S5104)),"Czech Republic",
ISNUMBER(SEARCH("Türkiye",S5104)),"Turkey",
ISNUMBER(SEARCH("Ivory Coast",S5104)),"Côte d'Ivoire",
ISNUMBER(SEARCH("Korea Republic",S5104)),"South Korea",
ISNUMBER(SEARCH("Germany FR",S5104)),"FR Germany",
ISNUMBER(SEARCH("West Germany",S5104)),"FR Germany",
ISNUMBER(SEARCH("Germany DR",S5104)),"DR Germany",
ISNUMBER(SEARCH("Korea DPR",S5104)),"North Korea",
ISNUMBER(SEARCH("China PR",S5104)),"China",
ISNUMBER(SEARCH("IR Iran",S5104)),"Iran",
ISNUMBER(SEARCH("Congo DR",S5104)),"Democratic Republic of the Congo",
ISNUMBER(SEARCH("DR Congo",S5104)),"Democratic Republic of the Congo",
ISNUMBER(SEARCH("German DR",S5104)),"DR Germany",
ISNUMBER(SEARCH("rn""&gt;United Arab Emirates",S5104)),"United Arab Emirates",
ISNUMBER(SEARCH("rn""&gt;Republic of Ireland",S5104)),"Ireland",
ISNUMBER(SEARCH("rn""&gt;Bosnia and Herzegovina",S5104)),"Bosnia and Herzegovina",
ISNUMBER(SEARCH("rn""&gt;Trinidad and Tobago",S5104)),"Trinidad and Tobago",
ISNUMBER(SEARCH("rn""&gt;Serbia and Montenegro",S5104)),"Serbia and Montenegro",
ISNUMBER(SEARCH(_xlfn.UNICHAR(65533),S5104)),"Côte d'Ivoire",
TRUE,"-"
)</f>
        <v>-</v>
      </c>
      <c r="W5104" s="42" t="str">
        <f t="shared" si="312"/>
        <v>-</v>
      </c>
    </row>
    <row r="5105" spans="19:23">
      <c r="S5105" s="42" t="str">
        <v/>
      </c>
      <c r="T5105" s="42" t="str">
        <f t="shared" si="310"/>
        <v>-</v>
      </c>
      <c r="U5105" s="40" t="str">
        <f t="shared" si="311"/>
        <v>-</v>
      </c>
      <c r="V5105" s="42" t="str" cm="1">
        <f t="array" ref="V5105">_xlfn.IFS(
LEFT(S5105,16)="win on penalties",IF(VALUE(MID(S5105,19,1))&gt;VALUE(MID(S5105,23,1)),DATA_CLEANED!AK619,DATA_CLEANED!AN619),
ISNUMBER(SEARCH("USA",S5105)),"United States",
ISNUMBER(SEARCH("Republic of Ireland",S5105)),"Ireland",
ISNUMBER(SEARCH("Republic of Korea",S5105)),"South Korea",
ISNUMBER(SEARCH("Cape Verde",S5105)),"Cabo Verde",
ISNUMBER(SEARCH("Czechia",S5105)),"Czech Republic",
ISNUMBER(SEARCH("Türkiye",S5105)),"Turkey",
ISNUMBER(SEARCH("Ivory Coast",S5105)),"Côte d'Ivoire",
ISNUMBER(SEARCH("Korea Republic",S5105)),"South Korea",
ISNUMBER(SEARCH("Germany FR",S5105)),"FR Germany",
ISNUMBER(SEARCH("West Germany",S5105)),"FR Germany",
ISNUMBER(SEARCH("Germany DR",S5105)),"DR Germany",
ISNUMBER(SEARCH("Korea DPR",S5105)),"North Korea",
ISNUMBER(SEARCH("China PR",S5105)),"China",
ISNUMBER(SEARCH("IR Iran",S5105)),"Iran",
ISNUMBER(SEARCH("Congo DR",S5105)),"Democratic Republic of the Congo",
ISNUMBER(SEARCH("DR Congo",S5105)),"Democratic Republic of the Congo",
ISNUMBER(SEARCH("German DR",S5105)),"DR Germany",
ISNUMBER(SEARCH("rn""&gt;United Arab Emirates",S5105)),"United Arab Emirates",
ISNUMBER(SEARCH("rn""&gt;Republic of Ireland",S5105)),"Ireland",
ISNUMBER(SEARCH("rn""&gt;Bosnia and Herzegovina",S5105)),"Bosnia and Herzegovina",
ISNUMBER(SEARCH("rn""&gt;Trinidad and Tobago",S5105)),"Trinidad and Tobago",
ISNUMBER(SEARCH("rn""&gt;Serbia and Montenegro",S5105)),"Serbia and Montenegro",
ISNUMBER(SEARCH(_xlfn.UNICHAR(65533),S5105)),"Côte d'Ivoire",
TRUE,"-"
)</f>
        <v>-</v>
      </c>
      <c r="W5105" s="42" t="str">
        <f t="shared" si="312"/>
        <v>-</v>
      </c>
    </row>
    <row r="5106" spans="19:23">
      <c r="S5106" s="42" t="str">
        <v/>
      </c>
      <c r="T5106" s="42" t="str">
        <f t="shared" si="310"/>
        <v>-</v>
      </c>
      <c r="U5106" s="40" t="str">
        <f t="shared" si="311"/>
        <v>-</v>
      </c>
      <c r="V5106" s="42" t="str" cm="1">
        <f t="array" ref="V5106">_xlfn.IFS(
LEFT(S5106,16)="win on penalties",IF(VALUE(MID(S5106,19,1))&gt;VALUE(MID(S5106,23,1)),DATA_CLEANED!AK620,DATA_CLEANED!AN620),
ISNUMBER(SEARCH("USA",S5106)),"United States",
ISNUMBER(SEARCH("Republic of Ireland",S5106)),"Ireland",
ISNUMBER(SEARCH("Republic of Korea",S5106)),"South Korea",
ISNUMBER(SEARCH("Cape Verde",S5106)),"Cabo Verde",
ISNUMBER(SEARCH("Czechia",S5106)),"Czech Republic",
ISNUMBER(SEARCH("Türkiye",S5106)),"Turkey",
ISNUMBER(SEARCH("Ivory Coast",S5106)),"Côte d'Ivoire",
ISNUMBER(SEARCH("Korea Republic",S5106)),"South Korea",
ISNUMBER(SEARCH("Germany FR",S5106)),"FR Germany",
ISNUMBER(SEARCH("West Germany",S5106)),"FR Germany",
ISNUMBER(SEARCH("Germany DR",S5106)),"DR Germany",
ISNUMBER(SEARCH("Korea DPR",S5106)),"North Korea",
ISNUMBER(SEARCH("China PR",S5106)),"China",
ISNUMBER(SEARCH("IR Iran",S5106)),"Iran",
ISNUMBER(SEARCH("Congo DR",S5106)),"Democratic Republic of the Congo",
ISNUMBER(SEARCH("DR Congo",S5106)),"Democratic Republic of the Congo",
ISNUMBER(SEARCH("German DR",S5106)),"DR Germany",
ISNUMBER(SEARCH("rn""&gt;United Arab Emirates",S5106)),"United Arab Emirates",
ISNUMBER(SEARCH("rn""&gt;Republic of Ireland",S5106)),"Ireland",
ISNUMBER(SEARCH("rn""&gt;Bosnia and Herzegovina",S5106)),"Bosnia and Herzegovina",
ISNUMBER(SEARCH("rn""&gt;Trinidad and Tobago",S5106)),"Trinidad and Tobago",
ISNUMBER(SEARCH("rn""&gt;Serbia and Montenegro",S5106)),"Serbia and Montenegro",
ISNUMBER(SEARCH(_xlfn.UNICHAR(65533),S5106)),"Côte d'Ivoire",
TRUE,"-"
)</f>
        <v>-</v>
      </c>
      <c r="W5106" s="42" t="str">
        <f t="shared" si="312"/>
        <v>-</v>
      </c>
    </row>
    <row r="5107" spans="19:23">
      <c r="S5107" s="42" t="str">
        <v/>
      </c>
      <c r="T5107" s="42" t="str">
        <f t="shared" si="310"/>
        <v>-</v>
      </c>
      <c r="U5107" s="40" t="str">
        <f t="shared" si="311"/>
        <v>-</v>
      </c>
      <c r="V5107" s="42" t="str" cm="1">
        <f t="array" ref="V5107">_xlfn.IFS(
LEFT(S5107,16)="win on penalties",IF(VALUE(MID(S5107,19,1))&gt;VALUE(MID(S5107,23,1)),DATA_CLEANED!AK621,DATA_CLEANED!AN621),
ISNUMBER(SEARCH("USA",S5107)),"United States",
ISNUMBER(SEARCH("Republic of Ireland",S5107)),"Ireland",
ISNUMBER(SEARCH("Republic of Korea",S5107)),"South Korea",
ISNUMBER(SEARCH("Cape Verde",S5107)),"Cabo Verde",
ISNUMBER(SEARCH("Czechia",S5107)),"Czech Republic",
ISNUMBER(SEARCH("Türkiye",S5107)),"Turkey",
ISNUMBER(SEARCH("Ivory Coast",S5107)),"Côte d'Ivoire",
ISNUMBER(SEARCH("Korea Republic",S5107)),"South Korea",
ISNUMBER(SEARCH("Germany FR",S5107)),"FR Germany",
ISNUMBER(SEARCH("West Germany",S5107)),"FR Germany",
ISNUMBER(SEARCH("Germany DR",S5107)),"DR Germany",
ISNUMBER(SEARCH("Korea DPR",S5107)),"North Korea",
ISNUMBER(SEARCH("China PR",S5107)),"China",
ISNUMBER(SEARCH("IR Iran",S5107)),"Iran",
ISNUMBER(SEARCH("Congo DR",S5107)),"Democratic Republic of the Congo",
ISNUMBER(SEARCH("DR Congo",S5107)),"Democratic Republic of the Congo",
ISNUMBER(SEARCH("German DR",S5107)),"DR Germany",
ISNUMBER(SEARCH("rn""&gt;United Arab Emirates",S5107)),"United Arab Emirates",
ISNUMBER(SEARCH("rn""&gt;Republic of Ireland",S5107)),"Ireland",
ISNUMBER(SEARCH("rn""&gt;Bosnia and Herzegovina",S5107)),"Bosnia and Herzegovina",
ISNUMBER(SEARCH("rn""&gt;Trinidad and Tobago",S5107)),"Trinidad and Tobago",
ISNUMBER(SEARCH("rn""&gt;Serbia and Montenegro",S5107)),"Serbia and Montenegro",
ISNUMBER(SEARCH(_xlfn.UNICHAR(65533),S5107)),"Côte d'Ivoire",
TRUE,"-"
)</f>
        <v>-</v>
      </c>
      <c r="W5107" s="42" t="str">
        <f t="shared" si="312"/>
        <v>-</v>
      </c>
    </row>
    <row r="5108" spans="19:23">
      <c r="S5108" s="42" t="str">
        <v/>
      </c>
      <c r="T5108" s="42" t="str">
        <f t="shared" si="310"/>
        <v>-</v>
      </c>
      <c r="U5108" s="40" t="str">
        <f t="shared" si="311"/>
        <v>-</v>
      </c>
      <c r="V5108" s="42" t="str" cm="1">
        <f t="array" ref="V5108">_xlfn.IFS(
LEFT(S5108,16)="win on penalties",IF(VALUE(MID(S5108,19,1))&gt;VALUE(MID(S5108,23,1)),DATA_CLEANED!AK622,DATA_CLEANED!AN622),
ISNUMBER(SEARCH("USA",S5108)),"United States",
ISNUMBER(SEARCH("Republic of Ireland",S5108)),"Ireland",
ISNUMBER(SEARCH("Republic of Korea",S5108)),"South Korea",
ISNUMBER(SEARCH("Cape Verde",S5108)),"Cabo Verde",
ISNUMBER(SEARCH("Czechia",S5108)),"Czech Republic",
ISNUMBER(SEARCH("Türkiye",S5108)),"Turkey",
ISNUMBER(SEARCH("Ivory Coast",S5108)),"Côte d'Ivoire",
ISNUMBER(SEARCH("Korea Republic",S5108)),"South Korea",
ISNUMBER(SEARCH("Germany FR",S5108)),"FR Germany",
ISNUMBER(SEARCH("West Germany",S5108)),"FR Germany",
ISNUMBER(SEARCH("Germany DR",S5108)),"DR Germany",
ISNUMBER(SEARCH("Korea DPR",S5108)),"North Korea",
ISNUMBER(SEARCH("China PR",S5108)),"China",
ISNUMBER(SEARCH("IR Iran",S5108)),"Iran",
ISNUMBER(SEARCH("Congo DR",S5108)),"Democratic Republic of the Congo",
ISNUMBER(SEARCH("DR Congo",S5108)),"Democratic Republic of the Congo",
ISNUMBER(SEARCH("German DR",S5108)),"DR Germany",
ISNUMBER(SEARCH("rn""&gt;United Arab Emirates",S5108)),"United Arab Emirates",
ISNUMBER(SEARCH("rn""&gt;Republic of Ireland",S5108)),"Ireland",
ISNUMBER(SEARCH("rn""&gt;Bosnia and Herzegovina",S5108)),"Bosnia and Herzegovina",
ISNUMBER(SEARCH("rn""&gt;Trinidad and Tobago",S5108)),"Trinidad and Tobago",
ISNUMBER(SEARCH("rn""&gt;Serbia and Montenegro",S5108)),"Serbia and Montenegro",
ISNUMBER(SEARCH(_xlfn.UNICHAR(65533),S5108)),"Côte d'Ivoire",
TRUE,"-"
)</f>
        <v>-</v>
      </c>
      <c r="W5108" s="42" t="str">
        <f t="shared" si="312"/>
        <v>-</v>
      </c>
    </row>
    <row r="5109" spans="19:23">
      <c r="S5109" s="42" t="str">
        <v/>
      </c>
      <c r="T5109" s="42" t="str">
        <f t="shared" si="310"/>
        <v>-</v>
      </c>
      <c r="U5109" s="40" t="str">
        <f t="shared" si="311"/>
        <v>-</v>
      </c>
      <c r="V5109" s="42" t="str" cm="1">
        <f t="array" ref="V5109">_xlfn.IFS(
LEFT(S5109,16)="win on penalties",IF(VALUE(MID(S5109,19,1))&gt;VALUE(MID(S5109,23,1)),DATA_CLEANED!AK623,DATA_CLEANED!AN623),
ISNUMBER(SEARCH("USA",S5109)),"United States",
ISNUMBER(SEARCH("Republic of Ireland",S5109)),"Ireland",
ISNUMBER(SEARCH("Republic of Korea",S5109)),"South Korea",
ISNUMBER(SEARCH("Cape Verde",S5109)),"Cabo Verde",
ISNUMBER(SEARCH("Czechia",S5109)),"Czech Republic",
ISNUMBER(SEARCH("Türkiye",S5109)),"Turkey",
ISNUMBER(SEARCH("Ivory Coast",S5109)),"Côte d'Ivoire",
ISNUMBER(SEARCH("Korea Republic",S5109)),"South Korea",
ISNUMBER(SEARCH("Germany FR",S5109)),"FR Germany",
ISNUMBER(SEARCH("West Germany",S5109)),"FR Germany",
ISNUMBER(SEARCH("Germany DR",S5109)),"DR Germany",
ISNUMBER(SEARCH("Korea DPR",S5109)),"North Korea",
ISNUMBER(SEARCH("China PR",S5109)),"China",
ISNUMBER(SEARCH("IR Iran",S5109)),"Iran",
ISNUMBER(SEARCH("Congo DR",S5109)),"Democratic Republic of the Congo",
ISNUMBER(SEARCH("DR Congo",S5109)),"Democratic Republic of the Congo",
ISNUMBER(SEARCH("German DR",S5109)),"DR Germany",
ISNUMBER(SEARCH("rn""&gt;United Arab Emirates",S5109)),"United Arab Emirates",
ISNUMBER(SEARCH("rn""&gt;Republic of Ireland",S5109)),"Ireland",
ISNUMBER(SEARCH("rn""&gt;Bosnia and Herzegovina",S5109)),"Bosnia and Herzegovina",
ISNUMBER(SEARCH("rn""&gt;Trinidad and Tobago",S5109)),"Trinidad and Tobago",
ISNUMBER(SEARCH("rn""&gt;Serbia and Montenegro",S5109)),"Serbia and Montenegro",
ISNUMBER(SEARCH(_xlfn.UNICHAR(65533),S5109)),"Côte d'Ivoire",
TRUE,"-"
)</f>
        <v>-</v>
      </c>
      <c r="W5109" s="42" t="str">
        <f t="shared" si="312"/>
        <v>-</v>
      </c>
    </row>
    <row r="5110" spans="19:23">
      <c r="S5110" s="42" t="str">
        <v/>
      </c>
      <c r="T5110" s="42" t="str">
        <f t="shared" si="310"/>
        <v>-</v>
      </c>
      <c r="U5110" s="40" t="str">
        <f t="shared" si="311"/>
        <v>-</v>
      </c>
      <c r="V5110" s="42" t="str" cm="1">
        <f t="array" ref="V5110">_xlfn.IFS(
LEFT(S5110,16)="win on penalties",IF(VALUE(MID(S5110,19,1))&gt;VALUE(MID(S5110,23,1)),DATA_CLEANED!AK624,DATA_CLEANED!AN624),
ISNUMBER(SEARCH("USA",S5110)),"United States",
ISNUMBER(SEARCH("Republic of Ireland",S5110)),"Ireland",
ISNUMBER(SEARCH("Republic of Korea",S5110)),"South Korea",
ISNUMBER(SEARCH("Cape Verde",S5110)),"Cabo Verde",
ISNUMBER(SEARCH("Czechia",S5110)),"Czech Republic",
ISNUMBER(SEARCH("Türkiye",S5110)),"Turkey",
ISNUMBER(SEARCH("Ivory Coast",S5110)),"Côte d'Ivoire",
ISNUMBER(SEARCH("Korea Republic",S5110)),"South Korea",
ISNUMBER(SEARCH("Germany FR",S5110)),"FR Germany",
ISNUMBER(SEARCH("West Germany",S5110)),"FR Germany",
ISNUMBER(SEARCH("Germany DR",S5110)),"DR Germany",
ISNUMBER(SEARCH("Korea DPR",S5110)),"North Korea",
ISNUMBER(SEARCH("China PR",S5110)),"China",
ISNUMBER(SEARCH("IR Iran",S5110)),"Iran",
ISNUMBER(SEARCH("Congo DR",S5110)),"Democratic Republic of the Congo",
ISNUMBER(SEARCH("DR Congo",S5110)),"Democratic Republic of the Congo",
ISNUMBER(SEARCH("German DR",S5110)),"DR Germany",
ISNUMBER(SEARCH("rn""&gt;United Arab Emirates",S5110)),"United Arab Emirates",
ISNUMBER(SEARCH("rn""&gt;Republic of Ireland",S5110)),"Ireland",
ISNUMBER(SEARCH("rn""&gt;Bosnia and Herzegovina",S5110)),"Bosnia and Herzegovina",
ISNUMBER(SEARCH("rn""&gt;Trinidad and Tobago",S5110)),"Trinidad and Tobago",
ISNUMBER(SEARCH("rn""&gt;Serbia and Montenegro",S5110)),"Serbia and Montenegro",
ISNUMBER(SEARCH(_xlfn.UNICHAR(65533),S5110)),"Côte d'Ivoire",
TRUE,"-"
)</f>
        <v>-</v>
      </c>
      <c r="W5110" s="42" t="str">
        <f t="shared" si="312"/>
        <v>-</v>
      </c>
    </row>
    <row r="5111" spans="19:23">
      <c r="S5111" s="42" t="str">
        <v/>
      </c>
      <c r="T5111" s="42" t="str">
        <f t="shared" si="310"/>
        <v>-</v>
      </c>
      <c r="U5111" s="40" t="str">
        <f t="shared" si="311"/>
        <v>-</v>
      </c>
      <c r="V5111" s="42" t="str" cm="1">
        <f t="array" ref="V5111">_xlfn.IFS(
LEFT(S5111,16)="win on penalties",IF(VALUE(MID(S5111,19,1))&gt;VALUE(MID(S5111,23,1)),DATA_CLEANED!AK625,DATA_CLEANED!AN625),
ISNUMBER(SEARCH("USA",S5111)),"United States",
ISNUMBER(SEARCH("Republic of Ireland",S5111)),"Ireland",
ISNUMBER(SEARCH("Republic of Korea",S5111)),"South Korea",
ISNUMBER(SEARCH("Cape Verde",S5111)),"Cabo Verde",
ISNUMBER(SEARCH("Czechia",S5111)),"Czech Republic",
ISNUMBER(SEARCH("Türkiye",S5111)),"Turkey",
ISNUMBER(SEARCH("Ivory Coast",S5111)),"Côte d'Ivoire",
ISNUMBER(SEARCH("Korea Republic",S5111)),"South Korea",
ISNUMBER(SEARCH("Germany FR",S5111)),"FR Germany",
ISNUMBER(SEARCH("West Germany",S5111)),"FR Germany",
ISNUMBER(SEARCH("Germany DR",S5111)),"DR Germany",
ISNUMBER(SEARCH("Korea DPR",S5111)),"North Korea",
ISNUMBER(SEARCH("China PR",S5111)),"China",
ISNUMBER(SEARCH("IR Iran",S5111)),"Iran",
ISNUMBER(SEARCH("Congo DR",S5111)),"Democratic Republic of the Congo",
ISNUMBER(SEARCH("DR Congo",S5111)),"Democratic Republic of the Congo",
ISNUMBER(SEARCH("German DR",S5111)),"DR Germany",
ISNUMBER(SEARCH("rn""&gt;United Arab Emirates",S5111)),"United Arab Emirates",
ISNUMBER(SEARCH("rn""&gt;Republic of Ireland",S5111)),"Ireland",
ISNUMBER(SEARCH("rn""&gt;Bosnia and Herzegovina",S5111)),"Bosnia and Herzegovina",
ISNUMBER(SEARCH("rn""&gt;Trinidad and Tobago",S5111)),"Trinidad and Tobago",
ISNUMBER(SEARCH("rn""&gt;Serbia and Montenegro",S5111)),"Serbia and Montenegro",
ISNUMBER(SEARCH(_xlfn.UNICHAR(65533),S5111)),"Côte d'Ivoire",
TRUE,"-"
)</f>
        <v>-</v>
      </c>
      <c r="W5111" s="42" t="str">
        <f t="shared" si="312"/>
        <v>-</v>
      </c>
    </row>
    <row r="5112" spans="19:23">
      <c r="S5112" s="42" t="str">
        <v/>
      </c>
      <c r="T5112" s="42" t="str">
        <f t="shared" si="310"/>
        <v>-</v>
      </c>
      <c r="U5112" s="40" t="str">
        <f t="shared" si="311"/>
        <v>-</v>
      </c>
      <c r="V5112" s="42" t="str" cm="1">
        <f t="array" ref="V5112">_xlfn.IFS(
LEFT(S5112,16)="win on penalties",IF(VALUE(MID(S5112,19,1))&gt;VALUE(MID(S5112,23,1)),DATA_CLEANED!AK626,DATA_CLEANED!AN626),
ISNUMBER(SEARCH("USA",S5112)),"United States",
ISNUMBER(SEARCH("Republic of Ireland",S5112)),"Ireland",
ISNUMBER(SEARCH("Republic of Korea",S5112)),"South Korea",
ISNUMBER(SEARCH("Cape Verde",S5112)),"Cabo Verde",
ISNUMBER(SEARCH("Czechia",S5112)),"Czech Republic",
ISNUMBER(SEARCH("Türkiye",S5112)),"Turkey",
ISNUMBER(SEARCH("Ivory Coast",S5112)),"Côte d'Ivoire",
ISNUMBER(SEARCH("Korea Republic",S5112)),"South Korea",
ISNUMBER(SEARCH("Germany FR",S5112)),"FR Germany",
ISNUMBER(SEARCH("West Germany",S5112)),"FR Germany",
ISNUMBER(SEARCH("Germany DR",S5112)),"DR Germany",
ISNUMBER(SEARCH("Korea DPR",S5112)),"North Korea",
ISNUMBER(SEARCH("China PR",S5112)),"China",
ISNUMBER(SEARCH("IR Iran",S5112)),"Iran",
ISNUMBER(SEARCH("Congo DR",S5112)),"Democratic Republic of the Congo",
ISNUMBER(SEARCH("DR Congo",S5112)),"Democratic Republic of the Congo",
ISNUMBER(SEARCH("German DR",S5112)),"DR Germany",
ISNUMBER(SEARCH("rn""&gt;United Arab Emirates",S5112)),"United Arab Emirates",
ISNUMBER(SEARCH("rn""&gt;Republic of Ireland",S5112)),"Ireland",
ISNUMBER(SEARCH("rn""&gt;Bosnia and Herzegovina",S5112)),"Bosnia and Herzegovina",
ISNUMBER(SEARCH("rn""&gt;Trinidad and Tobago",S5112)),"Trinidad and Tobago",
ISNUMBER(SEARCH("rn""&gt;Serbia and Montenegro",S5112)),"Serbia and Montenegro",
ISNUMBER(SEARCH(_xlfn.UNICHAR(65533),S5112)),"Côte d'Ivoire",
TRUE,"-"
)</f>
        <v>-</v>
      </c>
      <c r="W5112" s="42" t="str">
        <f t="shared" si="312"/>
        <v>-</v>
      </c>
    </row>
    <row r="5113" spans="19:23">
      <c r="S5113" s="42" t="str">
        <v/>
      </c>
      <c r="T5113" s="42" t="str">
        <f t="shared" si="310"/>
        <v>-</v>
      </c>
      <c r="U5113" s="40" t="str">
        <f t="shared" si="311"/>
        <v>-</v>
      </c>
      <c r="V5113" s="42" t="str" cm="1">
        <f t="array" ref="V5113">_xlfn.IFS(
LEFT(S5113,16)="win on penalties",IF(VALUE(MID(S5113,19,1))&gt;VALUE(MID(S5113,23,1)),DATA_CLEANED!AK627,DATA_CLEANED!AN627),
ISNUMBER(SEARCH("USA",S5113)),"United States",
ISNUMBER(SEARCH("Republic of Ireland",S5113)),"Ireland",
ISNUMBER(SEARCH("Republic of Korea",S5113)),"South Korea",
ISNUMBER(SEARCH("Cape Verde",S5113)),"Cabo Verde",
ISNUMBER(SEARCH("Czechia",S5113)),"Czech Republic",
ISNUMBER(SEARCH("Türkiye",S5113)),"Turkey",
ISNUMBER(SEARCH("Ivory Coast",S5113)),"Côte d'Ivoire",
ISNUMBER(SEARCH("Korea Republic",S5113)),"South Korea",
ISNUMBER(SEARCH("Germany FR",S5113)),"FR Germany",
ISNUMBER(SEARCH("West Germany",S5113)),"FR Germany",
ISNUMBER(SEARCH("Germany DR",S5113)),"DR Germany",
ISNUMBER(SEARCH("Korea DPR",S5113)),"North Korea",
ISNUMBER(SEARCH("China PR",S5113)),"China",
ISNUMBER(SEARCH("IR Iran",S5113)),"Iran",
ISNUMBER(SEARCH("Congo DR",S5113)),"Democratic Republic of the Congo",
ISNUMBER(SEARCH("DR Congo",S5113)),"Democratic Republic of the Congo",
ISNUMBER(SEARCH("German DR",S5113)),"DR Germany",
ISNUMBER(SEARCH("rn""&gt;United Arab Emirates",S5113)),"United Arab Emirates",
ISNUMBER(SEARCH("rn""&gt;Republic of Ireland",S5113)),"Ireland",
ISNUMBER(SEARCH("rn""&gt;Bosnia and Herzegovina",S5113)),"Bosnia and Herzegovina",
ISNUMBER(SEARCH("rn""&gt;Trinidad and Tobago",S5113)),"Trinidad and Tobago",
ISNUMBER(SEARCH("rn""&gt;Serbia and Montenegro",S5113)),"Serbia and Montenegro",
ISNUMBER(SEARCH(_xlfn.UNICHAR(65533),S5113)),"Côte d'Ivoire",
TRUE,"-"
)</f>
        <v>-</v>
      </c>
      <c r="W5113" s="42" t="str">
        <f t="shared" si="312"/>
        <v>-</v>
      </c>
    </row>
    <row r="5114" spans="19:23">
      <c r="S5114" s="42" t="str">
        <v/>
      </c>
      <c r="T5114" s="42" t="str">
        <f t="shared" si="310"/>
        <v>-</v>
      </c>
      <c r="U5114" s="40" t="str">
        <f t="shared" si="311"/>
        <v>-</v>
      </c>
      <c r="V5114" s="42" t="str" cm="1">
        <f t="array" ref="V5114">_xlfn.IFS(
LEFT(S5114,16)="win on penalties",IF(VALUE(MID(S5114,19,1))&gt;VALUE(MID(S5114,23,1)),DATA_CLEANED!AK628,DATA_CLEANED!AN628),
ISNUMBER(SEARCH("USA",S5114)),"United States",
ISNUMBER(SEARCH("Republic of Ireland",S5114)),"Ireland",
ISNUMBER(SEARCH("Republic of Korea",S5114)),"South Korea",
ISNUMBER(SEARCH("Cape Verde",S5114)),"Cabo Verde",
ISNUMBER(SEARCH("Czechia",S5114)),"Czech Republic",
ISNUMBER(SEARCH("Türkiye",S5114)),"Turkey",
ISNUMBER(SEARCH("Ivory Coast",S5114)),"Côte d'Ivoire",
ISNUMBER(SEARCH("Korea Republic",S5114)),"South Korea",
ISNUMBER(SEARCH("Germany FR",S5114)),"FR Germany",
ISNUMBER(SEARCH("West Germany",S5114)),"FR Germany",
ISNUMBER(SEARCH("Germany DR",S5114)),"DR Germany",
ISNUMBER(SEARCH("Korea DPR",S5114)),"North Korea",
ISNUMBER(SEARCH("China PR",S5114)),"China",
ISNUMBER(SEARCH("IR Iran",S5114)),"Iran",
ISNUMBER(SEARCH("Congo DR",S5114)),"Democratic Republic of the Congo",
ISNUMBER(SEARCH("DR Congo",S5114)),"Democratic Republic of the Congo",
ISNUMBER(SEARCH("German DR",S5114)),"DR Germany",
ISNUMBER(SEARCH("rn""&gt;United Arab Emirates",S5114)),"United Arab Emirates",
ISNUMBER(SEARCH("rn""&gt;Republic of Ireland",S5114)),"Ireland",
ISNUMBER(SEARCH("rn""&gt;Bosnia and Herzegovina",S5114)),"Bosnia and Herzegovina",
ISNUMBER(SEARCH("rn""&gt;Trinidad and Tobago",S5114)),"Trinidad and Tobago",
ISNUMBER(SEARCH("rn""&gt;Serbia and Montenegro",S5114)),"Serbia and Montenegro",
ISNUMBER(SEARCH(_xlfn.UNICHAR(65533),S5114)),"Côte d'Ivoire",
TRUE,"-"
)</f>
        <v>-</v>
      </c>
      <c r="W5114" s="42" t="str">
        <f t="shared" si="312"/>
        <v>-</v>
      </c>
    </row>
    <row r="5115" spans="19:23">
      <c r="S5115" s="42" t="str">
        <v/>
      </c>
      <c r="T5115" s="42" t="str">
        <f t="shared" si="310"/>
        <v>-</v>
      </c>
      <c r="U5115" s="40" t="str">
        <f t="shared" si="311"/>
        <v>-</v>
      </c>
      <c r="V5115" s="42" t="str" cm="1">
        <f t="array" ref="V5115">_xlfn.IFS(
LEFT(S5115,16)="win on penalties",IF(VALUE(MID(S5115,19,1))&gt;VALUE(MID(S5115,23,1)),DATA_CLEANED!AK629,DATA_CLEANED!AN629),
ISNUMBER(SEARCH("USA",S5115)),"United States",
ISNUMBER(SEARCH("Republic of Ireland",S5115)),"Ireland",
ISNUMBER(SEARCH("Republic of Korea",S5115)),"South Korea",
ISNUMBER(SEARCH("Cape Verde",S5115)),"Cabo Verde",
ISNUMBER(SEARCH("Czechia",S5115)),"Czech Republic",
ISNUMBER(SEARCH("Türkiye",S5115)),"Turkey",
ISNUMBER(SEARCH("Ivory Coast",S5115)),"Côte d'Ivoire",
ISNUMBER(SEARCH("Korea Republic",S5115)),"South Korea",
ISNUMBER(SEARCH("Germany FR",S5115)),"FR Germany",
ISNUMBER(SEARCH("West Germany",S5115)),"FR Germany",
ISNUMBER(SEARCH("Germany DR",S5115)),"DR Germany",
ISNUMBER(SEARCH("Korea DPR",S5115)),"North Korea",
ISNUMBER(SEARCH("China PR",S5115)),"China",
ISNUMBER(SEARCH("IR Iran",S5115)),"Iran",
ISNUMBER(SEARCH("Congo DR",S5115)),"Democratic Republic of the Congo",
ISNUMBER(SEARCH("DR Congo",S5115)),"Democratic Republic of the Congo",
ISNUMBER(SEARCH("German DR",S5115)),"DR Germany",
ISNUMBER(SEARCH("rn""&gt;United Arab Emirates",S5115)),"United Arab Emirates",
ISNUMBER(SEARCH("rn""&gt;Republic of Ireland",S5115)),"Ireland",
ISNUMBER(SEARCH("rn""&gt;Bosnia and Herzegovina",S5115)),"Bosnia and Herzegovina",
ISNUMBER(SEARCH("rn""&gt;Trinidad and Tobago",S5115)),"Trinidad and Tobago",
ISNUMBER(SEARCH("rn""&gt;Serbia and Montenegro",S5115)),"Serbia and Montenegro",
ISNUMBER(SEARCH(_xlfn.UNICHAR(65533),S5115)),"Côte d'Ivoire",
TRUE,"-"
)</f>
        <v>-</v>
      </c>
      <c r="W5115" s="42" t="str">
        <f t="shared" si="312"/>
        <v>-</v>
      </c>
    </row>
    <row r="5116" spans="19:23">
      <c r="S5116" s="42" t="str">
        <v/>
      </c>
      <c r="T5116" s="42" t="str">
        <f t="shared" si="310"/>
        <v>-</v>
      </c>
      <c r="U5116" s="40" t="str">
        <f t="shared" si="311"/>
        <v>-</v>
      </c>
      <c r="V5116" s="42" t="str" cm="1">
        <f t="array" ref="V5116">_xlfn.IFS(
LEFT(S5116,16)="win on penalties",IF(VALUE(MID(S5116,19,1))&gt;VALUE(MID(S5116,23,1)),DATA_CLEANED!AK630,DATA_CLEANED!AN630),
ISNUMBER(SEARCH("USA",S5116)),"United States",
ISNUMBER(SEARCH("Republic of Ireland",S5116)),"Ireland",
ISNUMBER(SEARCH("Republic of Korea",S5116)),"South Korea",
ISNUMBER(SEARCH("Cape Verde",S5116)),"Cabo Verde",
ISNUMBER(SEARCH("Czechia",S5116)),"Czech Republic",
ISNUMBER(SEARCH("Türkiye",S5116)),"Turkey",
ISNUMBER(SEARCH("Ivory Coast",S5116)),"Côte d'Ivoire",
ISNUMBER(SEARCH("Korea Republic",S5116)),"South Korea",
ISNUMBER(SEARCH("Germany FR",S5116)),"FR Germany",
ISNUMBER(SEARCH("West Germany",S5116)),"FR Germany",
ISNUMBER(SEARCH("Germany DR",S5116)),"DR Germany",
ISNUMBER(SEARCH("Korea DPR",S5116)),"North Korea",
ISNUMBER(SEARCH("China PR",S5116)),"China",
ISNUMBER(SEARCH("IR Iran",S5116)),"Iran",
ISNUMBER(SEARCH("Congo DR",S5116)),"Democratic Republic of the Congo",
ISNUMBER(SEARCH("DR Congo",S5116)),"Democratic Republic of the Congo",
ISNUMBER(SEARCH("German DR",S5116)),"DR Germany",
ISNUMBER(SEARCH("rn""&gt;United Arab Emirates",S5116)),"United Arab Emirates",
ISNUMBER(SEARCH("rn""&gt;Republic of Ireland",S5116)),"Ireland",
ISNUMBER(SEARCH("rn""&gt;Bosnia and Herzegovina",S5116)),"Bosnia and Herzegovina",
ISNUMBER(SEARCH("rn""&gt;Trinidad and Tobago",S5116)),"Trinidad and Tobago",
ISNUMBER(SEARCH("rn""&gt;Serbia and Montenegro",S5116)),"Serbia and Montenegro",
ISNUMBER(SEARCH(_xlfn.UNICHAR(65533),S5116)),"Côte d'Ivoire",
TRUE,"-"
)</f>
        <v>-</v>
      </c>
      <c r="W5116" s="42" t="str">
        <f t="shared" si="312"/>
        <v>-</v>
      </c>
    </row>
    <row r="5117" spans="19:23">
      <c r="S5117" s="42" t="str">
        <v/>
      </c>
      <c r="T5117" s="42" t="str">
        <f t="shared" si="310"/>
        <v>-</v>
      </c>
      <c r="U5117" s="40" t="str">
        <f t="shared" si="311"/>
        <v>-</v>
      </c>
      <c r="V5117" s="42" t="str" cm="1">
        <f t="array" ref="V5117">_xlfn.IFS(
LEFT(S5117,16)="win on penalties",IF(VALUE(MID(S5117,19,1))&gt;VALUE(MID(S5117,23,1)),DATA_CLEANED!AK631,DATA_CLEANED!AN631),
ISNUMBER(SEARCH("USA",S5117)),"United States",
ISNUMBER(SEARCH("Republic of Ireland",S5117)),"Ireland",
ISNUMBER(SEARCH("Republic of Korea",S5117)),"South Korea",
ISNUMBER(SEARCH("Cape Verde",S5117)),"Cabo Verde",
ISNUMBER(SEARCH("Czechia",S5117)),"Czech Republic",
ISNUMBER(SEARCH("Türkiye",S5117)),"Turkey",
ISNUMBER(SEARCH("Ivory Coast",S5117)),"Côte d'Ivoire",
ISNUMBER(SEARCH("Korea Republic",S5117)),"South Korea",
ISNUMBER(SEARCH("Germany FR",S5117)),"FR Germany",
ISNUMBER(SEARCH("West Germany",S5117)),"FR Germany",
ISNUMBER(SEARCH("Germany DR",S5117)),"DR Germany",
ISNUMBER(SEARCH("Korea DPR",S5117)),"North Korea",
ISNUMBER(SEARCH("China PR",S5117)),"China",
ISNUMBER(SEARCH("IR Iran",S5117)),"Iran",
ISNUMBER(SEARCH("Congo DR",S5117)),"Democratic Republic of the Congo",
ISNUMBER(SEARCH("DR Congo",S5117)),"Democratic Republic of the Congo",
ISNUMBER(SEARCH("German DR",S5117)),"DR Germany",
ISNUMBER(SEARCH("rn""&gt;United Arab Emirates",S5117)),"United Arab Emirates",
ISNUMBER(SEARCH("rn""&gt;Republic of Ireland",S5117)),"Ireland",
ISNUMBER(SEARCH("rn""&gt;Bosnia and Herzegovina",S5117)),"Bosnia and Herzegovina",
ISNUMBER(SEARCH("rn""&gt;Trinidad and Tobago",S5117)),"Trinidad and Tobago",
ISNUMBER(SEARCH("rn""&gt;Serbia and Montenegro",S5117)),"Serbia and Montenegro",
ISNUMBER(SEARCH(_xlfn.UNICHAR(65533),S5117)),"Côte d'Ivoire",
TRUE,"-"
)</f>
        <v>-</v>
      </c>
      <c r="W5117" s="42" t="str">
        <f t="shared" si="312"/>
        <v>-</v>
      </c>
    </row>
    <row r="5118" spans="19:23">
      <c r="S5118" s="42" t="str">
        <v/>
      </c>
      <c r="T5118" s="42" t="str">
        <f t="shared" si="310"/>
        <v>-</v>
      </c>
      <c r="U5118" s="40" t="str">
        <f t="shared" si="311"/>
        <v>-</v>
      </c>
      <c r="V5118" s="42" t="str" cm="1">
        <f t="array" ref="V5118">_xlfn.IFS(
LEFT(S5118,16)="win on penalties",IF(VALUE(MID(S5118,19,1))&gt;VALUE(MID(S5118,23,1)),DATA_CLEANED!AK632,DATA_CLEANED!AN632),
ISNUMBER(SEARCH("USA",S5118)),"United States",
ISNUMBER(SEARCH("Republic of Ireland",S5118)),"Ireland",
ISNUMBER(SEARCH("Republic of Korea",S5118)),"South Korea",
ISNUMBER(SEARCH("Cape Verde",S5118)),"Cabo Verde",
ISNUMBER(SEARCH("Czechia",S5118)),"Czech Republic",
ISNUMBER(SEARCH("Türkiye",S5118)),"Turkey",
ISNUMBER(SEARCH("Ivory Coast",S5118)),"Côte d'Ivoire",
ISNUMBER(SEARCH("Korea Republic",S5118)),"South Korea",
ISNUMBER(SEARCH("Germany FR",S5118)),"FR Germany",
ISNUMBER(SEARCH("West Germany",S5118)),"FR Germany",
ISNUMBER(SEARCH("Germany DR",S5118)),"DR Germany",
ISNUMBER(SEARCH("Korea DPR",S5118)),"North Korea",
ISNUMBER(SEARCH("China PR",S5118)),"China",
ISNUMBER(SEARCH("IR Iran",S5118)),"Iran",
ISNUMBER(SEARCH("Congo DR",S5118)),"Democratic Republic of the Congo",
ISNUMBER(SEARCH("DR Congo",S5118)),"Democratic Republic of the Congo",
ISNUMBER(SEARCH("German DR",S5118)),"DR Germany",
ISNUMBER(SEARCH("rn""&gt;United Arab Emirates",S5118)),"United Arab Emirates",
ISNUMBER(SEARCH("rn""&gt;Republic of Ireland",S5118)),"Ireland",
ISNUMBER(SEARCH("rn""&gt;Bosnia and Herzegovina",S5118)),"Bosnia and Herzegovina",
ISNUMBER(SEARCH("rn""&gt;Trinidad and Tobago",S5118)),"Trinidad and Tobago",
ISNUMBER(SEARCH("rn""&gt;Serbia and Montenegro",S5118)),"Serbia and Montenegro",
ISNUMBER(SEARCH(_xlfn.UNICHAR(65533),S5118)),"Côte d'Ivoire",
TRUE,"-"
)</f>
        <v>-</v>
      </c>
      <c r="W5118" s="42" t="str">
        <f t="shared" si="312"/>
        <v>-</v>
      </c>
    </row>
    <row r="5119" spans="19:23">
      <c r="S5119" s="42" t="str">
        <v>Spain win on penalties (3 - 2)</v>
      </c>
      <c r="T5119" s="42" t="str">
        <f t="shared" si="310"/>
        <v>Spain</v>
      </c>
      <c r="U5119" s="40" t="str">
        <f t="shared" si="311"/>
        <v>AUCUNE</v>
      </c>
      <c r="V5119" s="42" t="str" cm="1">
        <f t="array" ref="V5119">_xlfn.IFS(
LEFT(S5119,16)="win on penalties",IF(VALUE(MID(S5119,19,1))&gt;VALUE(MID(S5119,23,1)),DATA_CLEANED!AK633,DATA_CLEANED!AN633),
ISNUMBER(SEARCH("USA",S5119)),"United States",
ISNUMBER(SEARCH("Republic of Ireland",S5119)),"Ireland",
ISNUMBER(SEARCH("Republic of Korea",S5119)),"South Korea",
ISNUMBER(SEARCH("Cape Verde",S5119)),"Cabo Verde",
ISNUMBER(SEARCH("Czechia",S5119)),"Czech Republic",
ISNUMBER(SEARCH("Türkiye",S5119)),"Turkey",
ISNUMBER(SEARCH("Ivory Coast",S5119)),"Côte d'Ivoire",
ISNUMBER(SEARCH("Korea Republic",S5119)),"South Korea",
ISNUMBER(SEARCH("Germany FR",S5119)),"FR Germany",
ISNUMBER(SEARCH("West Germany",S5119)),"FR Germany",
ISNUMBER(SEARCH("Germany DR",S5119)),"DR Germany",
ISNUMBER(SEARCH("Korea DPR",S5119)),"North Korea",
ISNUMBER(SEARCH("China PR",S5119)),"China",
ISNUMBER(SEARCH("IR Iran",S5119)),"Iran",
ISNUMBER(SEARCH("Congo DR",S5119)),"Democratic Republic of the Congo",
ISNUMBER(SEARCH("DR Congo",S5119)),"Democratic Republic of the Congo",
ISNUMBER(SEARCH("German DR",S5119)),"DR Germany",
ISNUMBER(SEARCH("rn""&gt;United Arab Emirates",S5119)),"United Arab Emirates",
ISNUMBER(SEARCH("rn""&gt;Republic of Ireland",S5119)),"Ireland",
ISNUMBER(SEARCH("rn""&gt;Bosnia and Herzegovina",S5119)),"Bosnia and Herzegovina",
ISNUMBER(SEARCH("rn""&gt;Trinidad and Tobago",S5119)),"Trinidad and Tobago",
ISNUMBER(SEARCH("rn""&gt;Serbia and Montenegro",S5119)),"Serbia and Montenegro",
ISNUMBER(SEARCH(_xlfn.UNICHAR(65533),S5119)),"Côte d'Ivoire",
TRUE,"-"
)</f>
        <v>-</v>
      </c>
      <c r="W5119" s="42" t="str">
        <f t="shared" si="312"/>
        <v>Spain win on penalties (3 - 2)</v>
      </c>
    </row>
    <row r="5120" spans="19:23">
      <c r="S5120" s="42" t="str">
        <v>Win on Golden Goal</v>
      </c>
      <c r="T5120" s="42" t="str">
        <f t="shared" si="310"/>
        <v>-</v>
      </c>
      <c r="U5120" s="40" t="str">
        <f t="shared" si="311"/>
        <v>-</v>
      </c>
      <c r="V5120" s="42" t="str" cm="1">
        <f t="array" ref="V5120">_xlfn.IFS(
LEFT(S5120,16)="win on penalties",IF(VALUE(MID(S5120,19,1))&gt;VALUE(MID(S5120,23,1)),DATA_CLEANED!AK634,DATA_CLEANED!AN634),
ISNUMBER(SEARCH("USA",S5120)),"United States",
ISNUMBER(SEARCH("Republic of Ireland",S5120)),"Ireland",
ISNUMBER(SEARCH("Republic of Korea",S5120)),"South Korea",
ISNUMBER(SEARCH("Cape Verde",S5120)),"Cabo Verde",
ISNUMBER(SEARCH("Czechia",S5120)),"Czech Republic",
ISNUMBER(SEARCH("Türkiye",S5120)),"Turkey",
ISNUMBER(SEARCH("Ivory Coast",S5120)),"Côte d'Ivoire",
ISNUMBER(SEARCH("Korea Republic",S5120)),"South Korea",
ISNUMBER(SEARCH("Germany FR",S5120)),"FR Germany",
ISNUMBER(SEARCH("West Germany",S5120)),"FR Germany",
ISNUMBER(SEARCH("Germany DR",S5120)),"DR Germany",
ISNUMBER(SEARCH("Korea DPR",S5120)),"North Korea",
ISNUMBER(SEARCH("China PR",S5120)),"China",
ISNUMBER(SEARCH("IR Iran",S5120)),"Iran",
ISNUMBER(SEARCH("Congo DR",S5120)),"Democratic Republic of the Congo",
ISNUMBER(SEARCH("DR Congo",S5120)),"Democratic Republic of the Congo",
ISNUMBER(SEARCH("German DR",S5120)),"DR Germany",
ISNUMBER(SEARCH("rn""&gt;United Arab Emirates",S5120)),"United Arab Emirates",
ISNUMBER(SEARCH("rn""&gt;Republic of Ireland",S5120)),"Ireland",
ISNUMBER(SEARCH("rn""&gt;Bosnia and Herzegovina",S5120)),"Bosnia and Herzegovina",
ISNUMBER(SEARCH("rn""&gt;Trinidad and Tobago",S5120)),"Trinidad and Tobago",
ISNUMBER(SEARCH("rn""&gt;Serbia and Montenegro",S5120)),"Serbia and Montenegro",
ISNUMBER(SEARCH(_xlfn.UNICHAR(65533),S5120)),"Côte d'Ivoire",
TRUE,"-"
)</f>
        <v>-</v>
      </c>
      <c r="W5120" s="42" t="str">
        <f t="shared" si="312"/>
        <v>Win on Golden Goal</v>
      </c>
    </row>
    <row r="5121" spans="19:23">
      <c r="S5121" s="42" t="str">
        <v/>
      </c>
      <c r="T5121" s="42" t="str">
        <f t="shared" si="310"/>
        <v>-</v>
      </c>
      <c r="U5121" s="40" t="str">
        <f t="shared" si="311"/>
        <v>-</v>
      </c>
      <c r="V5121" s="42" t="str" cm="1">
        <f t="array" ref="V5121">_xlfn.IFS(
LEFT(S5121,16)="win on penalties",IF(VALUE(MID(S5121,19,1))&gt;VALUE(MID(S5121,23,1)),DATA_CLEANED!AK635,DATA_CLEANED!AN635),
ISNUMBER(SEARCH("USA",S5121)),"United States",
ISNUMBER(SEARCH("Republic of Ireland",S5121)),"Ireland",
ISNUMBER(SEARCH("Republic of Korea",S5121)),"South Korea",
ISNUMBER(SEARCH("Cape Verde",S5121)),"Cabo Verde",
ISNUMBER(SEARCH("Czechia",S5121)),"Czech Republic",
ISNUMBER(SEARCH("Türkiye",S5121)),"Turkey",
ISNUMBER(SEARCH("Ivory Coast",S5121)),"Côte d'Ivoire",
ISNUMBER(SEARCH("Korea Republic",S5121)),"South Korea",
ISNUMBER(SEARCH("Germany FR",S5121)),"FR Germany",
ISNUMBER(SEARCH("West Germany",S5121)),"FR Germany",
ISNUMBER(SEARCH("Germany DR",S5121)),"DR Germany",
ISNUMBER(SEARCH("Korea DPR",S5121)),"North Korea",
ISNUMBER(SEARCH("China PR",S5121)),"China",
ISNUMBER(SEARCH("IR Iran",S5121)),"Iran",
ISNUMBER(SEARCH("Congo DR",S5121)),"Democratic Republic of the Congo",
ISNUMBER(SEARCH("DR Congo",S5121)),"Democratic Republic of the Congo",
ISNUMBER(SEARCH("German DR",S5121)),"DR Germany",
ISNUMBER(SEARCH("rn""&gt;United Arab Emirates",S5121)),"United Arab Emirates",
ISNUMBER(SEARCH("rn""&gt;Republic of Ireland",S5121)),"Ireland",
ISNUMBER(SEARCH("rn""&gt;Bosnia and Herzegovina",S5121)),"Bosnia and Herzegovina",
ISNUMBER(SEARCH("rn""&gt;Trinidad and Tobago",S5121)),"Trinidad and Tobago",
ISNUMBER(SEARCH("rn""&gt;Serbia and Montenegro",S5121)),"Serbia and Montenegro",
ISNUMBER(SEARCH(_xlfn.UNICHAR(65533),S5121)),"Côte d'Ivoire",
TRUE,"-"
)</f>
        <v>-</v>
      </c>
      <c r="W5121" s="42" t="str">
        <f t="shared" si="312"/>
        <v>-</v>
      </c>
    </row>
    <row r="5122" spans="19:23">
      <c r="S5122" s="42" t="str">
        <v/>
      </c>
      <c r="T5122" s="42" t="str">
        <f t="shared" si="310"/>
        <v>-</v>
      </c>
      <c r="U5122" s="40" t="str">
        <f t="shared" si="311"/>
        <v>-</v>
      </c>
      <c r="V5122" s="42" t="str" cm="1">
        <f t="array" ref="V5122">_xlfn.IFS(
LEFT(S5122,16)="win on penalties",IF(VALUE(MID(S5122,19,1))&gt;VALUE(MID(S5122,23,1)),DATA_CLEANED!AK636,DATA_CLEANED!AN636),
ISNUMBER(SEARCH("USA",S5122)),"United States",
ISNUMBER(SEARCH("Republic of Ireland",S5122)),"Ireland",
ISNUMBER(SEARCH("Republic of Korea",S5122)),"South Korea",
ISNUMBER(SEARCH("Cape Verde",S5122)),"Cabo Verde",
ISNUMBER(SEARCH("Czechia",S5122)),"Czech Republic",
ISNUMBER(SEARCH("Türkiye",S5122)),"Turkey",
ISNUMBER(SEARCH("Ivory Coast",S5122)),"Côte d'Ivoire",
ISNUMBER(SEARCH("Korea Republic",S5122)),"South Korea",
ISNUMBER(SEARCH("Germany FR",S5122)),"FR Germany",
ISNUMBER(SEARCH("West Germany",S5122)),"FR Germany",
ISNUMBER(SEARCH("Germany DR",S5122)),"DR Germany",
ISNUMBER(SEARCH("Korea DPR",S5122)),"North Korea",
ISNUMBER(SEARCH("China PR",S5122)),"China",
ISNUMBER(SEARCH("IR Iran",S5122)),"Iran",
ISNUMBER(SEARCH("Congo DR",S5122)),"Democratic Republic of the Congo",
ISNUMBER(SEARCH("DR Congo",S5122)),"Democratic Republic of the Congo",
ISNUMBER(SEARCH("German DR",S5122)),"DR Germany",
ISNUMBER(SEARCH("rn""&gt;United Arab Emirates",S5122)),"United Arab Emirates",
ISNUMBER(SEARCH("rn""&gt;Republic of Ireland",S5122)),"Ireland",
ISNUMBER(SEARCH("rn""&gt;Bosnia and Herzegovina",S5122)),"Bosnia and Herzegovina",
ISNUMBER(SEARCH("rn""&gt;Trinidad and Tobago",S5122)),"Trinidad and Tobago",
ISNUMBER(SEARCH("rn""&gt;Serbia and Montenegro",S5122)),"Serbia and Montenegro",
ISNUMBER(SEARCH(_xlfn.UNICHAR(65533),S5122)),"Côte d'Ivoire",
TRUE,"-"
)</f>
        <v>-</v>
      </c>
      <c r="W5122" s="42" t="str">
        <f t="shared" si="312"/>
        <v>-</v>
      </c>
    </row>
    <row r="5123" spans="19:23">
      <c r="S5123" s="42" t="str">
        <v/>
      </c>
      <c r="T5123" s="42" t="str">
        <f t="shared" si="310"/>
        <v>-</v>
      </c>
      <c r="U5123" s="40" t="str">
        <f t="shared" si="311"/>
        <v>-</v>
      </c>
      <c r="V5123" s="42" t="str" cm="1">
        <f t="array" ref="V5123">_xlfn.IFS(
LEFT(S5123,16)="win on penalties",IF(VALUE(MID(S5123,19,1))&gt;VALUE(MID(S5123,23,1)),DATA_CLEANED!AK637,DATA_CLEANED!AN637),
ISNUMBER(SEARCH("USA",S5123)),"United States",
ISNUMBER(SEARCH("Republic of Ireland",S5123)),"Ireland",
ISNUMBER(SEARCH("Republic of Korea",S5123)),"South Korea",
ISNUMBER(SEARCH("Cape Verde",S5123)),"Cabo Verde",
ISNUMBER(SEARCH("Czechia",S5123)),"Czech Republic",
ISNUMBER(SEARCH("Türkiye",S5123)),"Turkey",
ISNUMBER(SEARCH("Ivory Coast",S5123)),"Côte d'Ivoire",
ISNUMBER(SEARCH("Korea Republic",S5123)),"South Korea",
ISNUMBER(SEARCH("Germany FR",S5123)),"FR Germany",
ISNUMBER(SEARCH("West Germany",S5123)),"FR Germany",
ISNUMBER(SEARCH("Germany DR",S5123)),"DR Germany",
ISNUMBER(SEARCH("Korea DPR",S5123)),"North Korea",
ISNUMBER(SEARCH("China PR",S5123)),"China",
ISNUMBER(SEARCH("IR Iran",S5123)),"Iran",
ISNUMBER(SEARCH("Congo DR",S5123)),"Democratic Republic of the Congo",
ISNUMBER(SEARCH("DR Congo",S5123)),"Democratic Republic of the Congo",
ISNUMBER(SEARCH("German DR",S5123)),"DR Germany",
ISNUMBER(SEARCH("rn""&gt;United Arab Emirates",S5123)),"United Arab Emirates",
ISNUMBER(SEARCH("rn""&gt;Republic of Ireland",S5123)),"Ireland",
ISNUMBER(SEARCH("rn""&gt;Bosnia and Herzegovina",S5123)),"Bosnia and Herzegovina",
ISNUMBER(SEARCH("rn""&gt;Trinidad and Tobago",S5123)),"Trinidad and Tobago",
ISNUMBER(SEARCH("rn""&gt;Serbia and Montenegro",S5123)),"Serbia and Montenegro",
ISNUMBER(SEARCH(_xlfn.UNICHAR(65533),S5123)),"Côte d'Ivoire",
TRUE,"-"
)</f>
        <v>-</v>
      </c>
      <c r="W5123" s="42" t="str">
        <f t="shared" si="312"/>
        <v>-</v>
      </c>
    </row>
    <row r="5124" spans="19:23">
      <c r="S5124" s="42" t="str">
        <v>Win on Golden Goal</v>
      </c>
      <c r="T5124" s="42" t="str">
        <f t="shared" si="310"/>
        <v>-</v>
      </c>
      <c r="U5124" s="40" t="str">
        <f t="shared" si="311"/>
        <v>-</v>
      </c>
      <c r="V5124" s="42" t="str" cm="1">
        <f t="array" ref="V5124">_xlfn.IFS(
LEFT(S5124,16)="win on penalties",IF(VALUE(MID(S5124,19,1))&gt;VALUE(MID(S5124,23,1)),DATA_CLEANED!AK638,DATA_CLEANED!AN638),
ISNUMBER(SEARCH("USA",S5124)),"United States",
ISNUMBER(SEARCH("Republic of Ireland",S5124)),"Ireland",
ISNUMBER(SEARCH("Republic of Korea",S5124)),"South Korea",
ISNUMBER(SEARCH("Cape Verde",S5124)),"Cabo Verde",
ISNUMBER(SEARCH("Czechia",S5124)),"Czech Republic",
ISNUMBER(SEARCH("Türkiye",S5124)),"Turkey",
ISNUMBER(SEARCH("Ivory Coast",S5124)),"Côte d'Ivoire",
ISNUMBER(SEARCH("Korea Republic",S5124)),"South Korea",
ISNUMBER(SEARCH("Germany FR",S5124)),"FR Germany",
ISNUMBER(SEARCH("West Germany",S5124)),"FR Germany",
ISNUMBER(SEARCH("Germany DR",S5124)),"DR Germany",
ISNUMBER(SEARCH("Korea DPR",S5124)),"North Korea",
ISNUMBER(SEARCH("China PR",S5124)),"China",
ISNUMBER(SEARCH("IR Iran",S5124)),"Iran",
ISNUMBER(SEARCH("Congo DR",S5124)),"Democratic Republic of the Congo",
ISNUMBER(SEARCH("DR Congo",S5124)),"Democratic Republic of the Congo",
ISNUMBER(SEARCH("German DR",S5124)),"DR Germany",
ISNUMBER(SEARCH("rn""&gt;United Arab Emirates",S5124)),"United Arab Emirates",
ISNUMBER(SEARCH("rn""&gt;Republic of Ireland",S5124)),"Ireland",
ISNUMBER(SEARCH("rn""&gt;Bosnia and Herzegovina",S5124)),"Bosnia and Herzegovina",
ISNUMBER(SEARCH("rn""&gt;Trinidad and Tobago",S5124)),"Trinidad and Tobago",
ISNUMBER(SEARCH("rn""&gt;Serbia and Montenegro",S5124)),"Serbia and Montenegro",
ISNUMBER(SEARCH(_xlfn.UNICHAR(65533),S5124)),"Côte d'Ivoire",
TRUE,"-"
)</f>
        <v>-</v>
      </c>
      <c r="W5124" s="42" t="str">
        <f t="shared" si="312"/>
        <v>Win on Golden Goal</v>
      </c>
    </row>
    <row r="5125" spans="19:23">
      <c r="S5125" s="42" t="str">
        <v/>
      </c>
      <c r="T5125" s="42" t="str">
        <f t="shared" si="310"/>
        <v>-</v>
      </c>
      <c r="U5125" s="40" t="str">
        <f t="shared" si="311"/>
        <v>-</v>
      </c>
      <c r="V5125" s="42" t="str" cm="1">
        <f t="array" ref="V5125">_xlfn.IFS(
LEFT(S5125,16)="win on penalties",IF(VALUE(MID(S5125,19,1))&gt;VALUE(MID(S5125,23,1)),DATA_CLEANED!AK639,DATA_CLEANED!AN639),
ISNUMBER(SEARCH("USA",S5125)),"United States",
ISNUMBER(SEARCH("Republic of Ireland",S5125)),"Ireland",
ISNUMBER(SEARCH("Republic of Korea",S5125)),"South Korea",
ISNUMBER(SEARCH("Cape Verde",S5125)),"Cabo Verde",
ISNUMBER(SEARCH("Czechia",S5125)),"Czech Republic",
ISNUMBER(SEARCH("Türkiye",S5125)),"Turkey",
ISNUMBER(SEARCH("Ivory Coast",S5125)),"Côte d'Ivoire",
ISNUMBER(SEARCH("Korea Republic",S5125)),"South Korea",
ISNUMBER(SEARCH("Germany FR",S5125)),"FR Germany",
ISNUMBER(SEARCH("West Germany",S5125)),"FR Germany",
ISNUMBER(SEARCH("Germany DR",S5125)),"DR Germany",
ISNUMBER(SEARCH("Korea DPR",S5125)),"North Korea",
ISNUMBER(SEARCH("China PR",S5125)),"China",
ISNUMBER(SEARCH("IR Iran",S5125)),"Iran",
ISNUMBER(SEARCH("Congo DR",S5125)),"Democratic Republic of the Congo",
ISNUMBER(SEARCH("DR Congo",S5125)),"Democratic Republic of the Congo",
ISNUMBER(SEARCH("German DR",S5125)),"DR Germany",
ISNUMBER(SEARCH("rn""&gt;United Arab Emirates",S5125)),"United Arab Emirates",
ISNUMBER(SEARCH("rn""&gt;Republic of Ireland",S5125)),"Ireland",
ISNUMBER(SEARCH("rn""&gt;Bosnia and Herzegovina",S5125)),"Bosnia and Herzegovina",
ISNUMBER(SEARCH("rn""&gt;Trinidad and Tobago",S5125)),"Trinidad and Tobago",
ISNUMBER(SEARCH("rn""&gt;Serbia and Montenegro",S5125)),"Serbia and Montenegro",
ISNUMBER(SEARCH(_xlfn.UNICHAR(65533),S5125)),"Côte d'Ivoire",
TRUE,"-"
)</f>
        <v>-</v>
      </c>
      <c r="W5125" s="42" t="str">
        <f t="shared" si="312"/>
        <v>-</v>
      </c>
    </row>
    <row r="5126" spans="19:23">
      <c r="S5126" s="42" t="str">
        <v/>
      </c>
      <c r="T5126" s="42" t="str">
        <f t="shared" si="310"/>
        <v>-</v>
      </c>
      <c r="U5126" s="40" t="str">
        <f t="shared" si="311"/>
        <v>-</v>
      </c>
      <c r="V5126" s="42" t="str" cm="1">
        <f t="array" ref="V5126">_xlfn.IFS(
LEFT(S5126,16)="win on penalties",IF(VALUE(MID(S5126,19,1))&gt;VALUE(MID(S5126,23,1)),DATA_CLEANED!AK640,DATA_CLEANED!AN640),
ISNUMBER(SEARCH("USA",S5126)),"United States",
ISNUMBER(SEARCH("Republic of Ireland",S5126)),"Ireland",
ISNUMBER(SEARCH("Republic of Korea",S5126)),"South Korea",
ISNUMBER(SEARCH("Cape Verde",S5126)),"Cabo Verde",
ISNUMBER(SEARCH("Czechia",S5126)),"Czech Republic",
ISNUMBER(SEARCH("Türkiye",S5126)),"Turkey",
ISNUMBER(SEARCH("Ivory Coast",S5126)),"Côte d'Ivoire",
ISNUMBER(SEARCH("Korea Republic",S5126)),"South Korea",
ISNUMBER(SEARCH("Germany FR",S5126)),"FR Germany",
ISNUMBER(SEARCH("West Germany",S5126)),"FR Germany",
ISNUMBER(SEARCH("Germany DR",S5126)),"DR Germany",
ISNUMBER(SEARCH("Korea DPR",S5126)),"North Korea",
ISNUMBER(SEARCH("China PR",S5126)),"China",
ISNUMBER(SEARCH("IR Iran",S5126)),"Iran",
ISNUMBER(SEARCH("Congo DR",S5126)),"Democratic Republic of the Congo",
ISNUMBER(SEARCH("DR Congo",S5126)),"Democratic Republic of the Congo",
ISNUMBER(SEARCH("German DR",S5126)),"DR Germany",
ISNUMBER(SEARCH("rn""&gt;United Arab Emirates",S5126)),"United Arab Emirates",
ISNUMBER(SEARCH("rn""&gt;Republic of Ireland",S5126)),"Ireland",
ISNUMBER(SEARCH("rn""&gt;Bosnia and Herzegovina",S5126)),"Bosnia and Herzegovina",
ISNUMBER(SEARCH("rn""&gt;Trinidad and Tobago",S5126)),"Trinidad and Tobago",
ISNUMBER(SEARCH("rn""&gt;Serbia and Montenegro",S5126)),"Serbia and Montenegro",
ISNUMBER(SEARCH(_xlfn.UNICHAR(65533),S5126)),"Côte d'Ivoire",
TRUE,"-"
)</f>
        <v>-</v>
      </c>
      <c r="W5126" s="42" t="str">
        <f t="shared" si="312"/>
        <v>-</v>
      </c>
    </row>
    <row r="5127" spans="19:23">
      <c r="S5127" s="42" t="str">
        <v>Win on Golden Goal</v>
      </c>
      <c r="T5127" s="42" t="str">
        <f t="shared" si="310"/>
        <v>-</v>
      </c>
      <c r="U5127" s="40" t="str">
        <f t="shared" si="311"/>
        <v>-</v>
      </c>
      <c r="V5127" s="42" t="str" cm="1">
        <f t="array" ref="V5127">_xlfn.IFS(
LEFT(S5127,16)="win on penalties",IF(VALUE(MID(S5127,19,1))&gt;VALUE(MID(S5127,23,1)),DATA_CLEANED!AK641,DATA_CLEANED!AN641),
ISNUMBER(SEARCH("USA",S5127)),"United States",
ISNUMBER(SEARCH("Republic of Ireland",S5127)),"Ireland",
ISNUMBER(SEARCH("Republic of Korea",S5127)),"South Korea",
ISNUMBER(SEARCH("Cape Verde",S5127)),"Cabo Verde",
ISNUMBER(SEARCH("Czechia",S5127)),"Czech Republic",
ISNUMBER(SEARCH("Türkiye",S5127)),"Turkey",
ISNUMBER(SEARCH("Ivory Coast",S5127)),"Côte d'Ivoire",
ISNUMBER(SEARCH("Korea Republic",S5127)),"South Korea",
ISNUMBER(SEARCH("Germany FR",S5127)),"FR Germany",
ISNUMBER(SEARCH("West Germany",S5127)),"FR Germany",
ISNUMBER(SEARCH("Germany DR",S5127)),"DR Germany",
ISNUMBER(SEARCH("Korea DPR",S5127)),"North Korea",
ISNUMBER(SEARCH("China PR",S5127)),"China",
ISNUMBER(SEARCH("IR Iran",S5127)),"Iran",
ISNUMBER(SEARCH("Congo DR",S5127)),"Democratic Republic of the Congo",
ISNUMBER(SEARCH("DR Congo",S5127)),"Democratic Republic of the Congo",
ISNUMBER(SEARCH("German DR",S5127)),"DR Germany",
ISNUMBER(SEARCH("rn""&gt;United Arab Emirates",S5127)),"United Arab Emirates",
ISNUMBER(SEARCH("rn""&gt;Republic of Ireland",S5127)),"Ireland",
ISNUMBER(SEARCH("rn""&gt;Bosnia and Herzegovina",S5127)),"Bosnia and Herzegovina",
ISNUMBER(SEARCH("rn""&gt;Trinidad and Tobago",S5127)),"Trinidad and Tobago",
ISNUMBER(SEARCH("rn""&gt;Serbia and Montenegro",S5127)),"Serbia and Montenegro",
ISNUMBER(SEARCH(_xlfn.UNICHAR(65533),S5127)),"Côte d'Ivoire",
TRUE,"-"
)</f>
        <v>-</v>
      </c>
      <c r="W5127" s="42" t="str">
        <f t="shared" si="312"/>
        <v>Win on Golden Goal</v>
      </c>
    </row>
    <row r="5128" spans="19:23">
      <c r="S5128" s="42" t="str">
        <v>Korea Republic win on penalties (3 - 5)</v>
      </c>
      <c r="T5128" s="42" t="str">
        <f t="shared" si="310"/>
        <v>Korea Republic</v>
      </c>
      <c r="U5128" s="40" t="str">
        <f t="shared" si="311"/>
        <v>RENOMMER</v>
      </c>
      <c r="V5128" s="42" t="str" cm="1">
        <f t="array" ref="V5128">_xlfn.IFS(
LEFT(S5128,16)="win on penalties",IF(VALUE(MID(S5128,19,1))&gt;VALUE(MID(S5128,23,1)),DATA_CLEANED!AK642,DATA_CLEANED!AN642),
ISNUMBER(SEARCH("USA",S5128)),"United States",
ISNUMBER(SEARCH("Republic of Ireland",S5128)),"Ireland",
ISNUMBER(SEARCH("Republic of Korea",S5128)),"South Korea",
ISNUMBER(SEARCH("Cape Verde",S5128)),"Cabo Verde",
ISNUMBER(SEARCH("Czechia",S5128)),"Czech Republic",
ISNUMBER(SEARCH("Türkiye",S5128)),"Turkey",
ISNUMBER(SEARCH("Ivory Coast",S5128)),"Côte d'Ivoire",
ISNUMBER(SEARCH("Korea Republic",S5128)),"South Korea",
ISNUMBER(SEARCH("Germany FR",S5128)),"FR Germany",
ISNUMBER(SEARCH("West Germany",S5128)),"FR Germany",
ISNUMBER(SEARCH("Germany DR",S5128)),"DR Germany",
ISNUMBER(SEARCH("Korea DPR",S5128)),"North Korea",
ISNUMBER(SEARCH("China PR",S5128)),"China",
ISNUMBER(SEARCH("IR Iran",S5128)),"Iran",
ISNUMBER(SEARCH("Congo DR",S5128)),"Democratic Republic of the Congo",
ISNUMBER(SEARCH("DR Congo",S5128)),"Democratic Republic of the Congo",
ISNUMBER(SEARCH("German DR",S5128)),"DR Germany",
ISNUMBER(SEARCH("rn""&gt;United Arab Emirates",S5128)),"United Arab Emirates",
ISNUMBER(SEARCH("rn""&gt;Republic of Ireland",S5128)),"Ireland",
ISNUMBER(SEARCH("rn""&gt;Bosnia and Herzegovina",S5128)),"Bosnia and Herzegovina",
ISNUMBER(SEARCH("rn""&gt;Trinidad and Tobago",S5128)),"Trinidad and Tobago",
ISNUMBER(SEARCH("rn""&gt;Serbia and Montenegro",S5128)),"Serbia and Montenegro",
ISNUMBER(SEARCH(_xlfn.UNICHAR(65533),S5128)),"Côte d'Ivoire",
TRUE,"-"
)</f>
        <v>South Korea</v>
      </c>
      <c r="W5128" s="42" t="str">
        <f t="shared" si="312"/>
        <v>South Korea win on penalties (3 - 5)</v>
      </c>
    </row>
    <row r="5129" spans="19:23">
      <c r="S5129" s="42" t="str">
        <v/>
      </c>
      <c r="T5129" s="42" t="str">
        <f t="shared" si="310"/>
        <v>-</v>
      </c>
      <c r="U5129" s="40" t="str">
        <f t="shared" si="311"/>
        <v>-</v>
      </c>
      <c r="V5129" s="42" t="str" cm="1">
        <f t="array" ref="V5129">_xlfn.IFS(
LEFT(S5129,16)="win on penalties",IF(VALUE(MID(S5129,19,1))&gt;VALUE(MID(S5129,23,1)),DATA_CLEANED!AK643,DATA_CLEANED!AN643),
ISNUMBER(SEARCH("USA",S5129)),"United States",
ISNUMBER(SEARCH("Republic of Ireland",S5129)),"Ireland",
ISNUMBER(SEARCH("Republic of Korea",S5129)),"South Korea",
ISNUMBER(SEARCH("Cape Verde",S5129)),"Cabo Verde",
ISNUMBER(SEARCH("Czechia",S5129)),"Czech Republic",
ISNUMBER(SEARCH("Türkiye",S5129)),"Turkey",
ISNUMBER(SEARCH("Ivory Coast",S5129)),"Côte d'Ivoire",
ISNUMBER(SEARCH("Korea Republic",S5129)),"South Korea",
ISNUMBER(SEARCH("Germany FR",S5129)),"FR Germany",
ISNUMBER(SEARCH("West Germany",S5129)),"FR Germany",
ISNUMBER(SEARCH("Germany DR",S5129)),"DR Germany",
ISNUMBER(SEARCH("Korea DPR",S5129)),"North Korea",
ISNUMBER(SEARCH("China PR",S5129)),"China",
ISNUMBER(SEARCH("IR Iran",S5129)),"Iran",
ISNUMBER(SEARCH("Congo DR",S5129)),"Democratic Republic of the Congo",
ISNUMBER(SEARCH("DR Congo",S5129)),"Democratic Republic of the Congo",
ISNUMBER(SEARCH("German DR",S5129)),"DR Germany",
ISNUMBER(SEARCH("rn""&gt;United Arab Emirates",S5129)),"United Arab Emirates",
ISNUMBER(SEARCH("rn""&gt;Republic of Ireland",S5129)),"Ireland",
ISNUMBER(SEARCH("rn""&gt;Bosnia and Herzegovina",S5129)),"Bosnia and Herzegovina",
ISNUMBER(SEARCH("rn""&gt;Trinidad and Tobago",S5129)),"Trinidad and Tobago",
ISNUMBER(SEARCH("rn""&gt;Serbia and Montenegro",S5129)),"Serbia and Montenegro",
ISNUMBER(SEARCH(_xlfn.UNICHAR(65533),S5129)),"Côte d'Ivoire",
TRUE,"-"
)</f>
        <v>-</v>
      </c>
      <c r="W5129" s="42" t="str">
        <f t="shared" si="312"/>
        <v>-</v>
      </c>
    </row>
    <row r="5130" spans="19:23">
      <c r="S5130" s="42" t="str">
        <v/>
      </c>
      <c r="T5130" s="42" t="str">
        <f t="shared" ref="T5130:T5193" si="313">IF(S5130="","-",IFERROR(LEFT(S5130,SEARCH(" win",S5130)-1),"-"))</f>
        <v>-</v>
      </c>
      <c r="U5130" s="40" t="str">
        <f t="shared" ref="U5130:U5193" si="314">IF(T5130="-","-",IF(COUNTIF(_xlfn.ANCHORARRAY(X$13),T5130)=1,"AUCUNE","RENOMMER"))</f>
        <v>-</v>
      </c>
      <c r="V5130" s="42" t="str" cm="1">
        <f t="array" ref="V5130">_xlfn.IFS(
LEFT(S5130,16)="win on penalties",IF(VALUE(MID(S5130,19,1))&gt;VALUE(MID(S5130,23,1)),DATA_CLEANED!AK644,DATA_CLEANED!AN644),
ISNUMBER(SEARCH("USA",S5130)),"United States",
ISNUMBER(SEARCH("Republic of Ireland",S5130)),"Ireland",
ISNUMBER(SEARCH("Republic of Korea",S5130)),"South Korea",
ISNUMBER(SEARCH("Cape Verde",S5130)),"Cabo Verde",
ISNUMBER(SEARCH("Czechia",S5130)),"Czech Republic",
ISNUMBER(SEARCH("Türkiye",S5130)),"Turkey",
ISNUMBER(SEARCH("Ivory Coast",S5130)),"Côte d'Ivoire",
ISNUMBER(SEARCH("Korea Republic",S5130)),"South Korea",
ISNUMBER(SEARCH("Germany FR",S5130)),"FR Germany",
ISNUMBER(SEARCH("West Germany",S5130)),"FR Germany",
ISNUMBER(SEARCH("Germany DR",S5130)),"DR Germany",
ISNUMBER(SEARCH("Korea DPR",S5130)),"North Korea",
ISNUMBER(SEARCH("China PR",S5130)),"China",
ISNUMBER(SEARCH("IR Iran",S5130)),"Iran",
ISNUMBER(SEARCH("Congo DR",S5130)),"Democratic Republic of the Congo",
ISNUMBER(SEARCH("DR Congo",S5130)),"Democratic Republic of the Congo",
ISNUMBER(SEARCH("German DR",S5130)),"DR Germany",
ISNUMBER(SEARCH("rn""&gt;United Arab Emirates",S5130)),"United Arab Emirates",
ISNUMBER(SEARCH("rn""&gt;Republic of Ireland",S5130)),"Ireland",
ISNUMBER(SEARCH("rn""&gt;Bosnia and Herzegovina",S5130)),"Bosnia and Herzegovina",
ISNUMBER(SEARCH("rn""&gt;Trinidad and Tobago",S5130)),"Trinidad and Tobago",
ISNUMBER(SEARCH("rn""&gt;Serbia and Montenegro",S5130)),"Serbia and Montenegro",
ISNUMBER(SEARCH(_xlfn.UNICHAR(65533),S5130)),"Côte d'Ivoire",
TRUE,"-"
)</f>
        <v>-</v>
      </c>
      <c r="W5130" s="42" t="str">
        <f t="shared" ref="W5130:W5193" si="315">IF(S5130="","-",IF(AND(U5130="RENOMMER",T5130&lt;&gt;"-",V5130&lt;&gt;"-"),SUBSTITUTE(S5130,T5130,V5130),S5130))</f>
        <v>-</v>
      </c>
    </row>
    <row r="5131" spans="19:23">
      <c r="S5131" s="42" t="str">
        <v/>
      </c>
      <c r="T5131" s="42" t="str">
        <f t="shared" si="313"/>
        <v>-</v>
      </c>
      <c r="U5131" s="40" t="str">
        <f t="shared" si="314"/>
        <v>-</v>
      </c>
      <c r="V5131" s="42" t="str" cm="1">
        <f t="array" ref="V5131">_xlfn.IFS(
LEFT(S5131,16)="win on penalties",IF(VALUE(MID(S5131,19,1))&gt;VALUE(MID(S5131,23,1)),DATA_CLEANED!AK645,DATA_CLEANED!AN645),
ISNUMBER(SEARCH("USA",S5131)),"United States",
ISNUMBER(SEARCH("Republic of Ireland",S5131)),"Ireland",
ISNUMBER(SEARCH("Republic of Korea",S5131)),"South Korea",
ISNUMBER(SEARCH("Cape Verde",S5131)),"Cabo Verde",
ISNUMBER(SEARCH("Czechia",S5131)),"Czech Republic",
ISNUMBER(SEARCH("Türkiye",S5131)),"Turkey",
ISNUMBER(SEARCH("Ivory Coast",S5131)),"Côte d'Ivoire",
ISNUMBER(SEARCH("Korea Republic",S5131)),"South Korea",
ISNUMBER(SEARCH("Germany FR",S5131)),"FR Germany",
ISNUMBER(SEARCH("West Germany",S5131)),"FR Germany",
ISNUMBER(SEARCH("Germany DR",S5131)),"DR Germany",
ISNUMBER(SEARCH("Korea DPR",S5131)),"North Korea",
ISNUMBER(SEARCH("China PR",S5131)),"China",
ISNUMBER(SEARCH("IR Iran",S5131)),"Iran",
ISNUMBER(SEARCH("Congo DR",S5131)),"Democratic Republic of the Congo",
ISNUMBER(SEARCH("DR Congo",S5131)),"Democratic Republic of the Congo",
ISNUMBER(SEARCH("German DR",S5131)),"DR Germany",
ISNUMBER(SEARCH("rn""&gt;United Arab Emirates",S5131)),"United Arab Emirates",
ISNUMBER(SEARCH("rn""&gt;Republic of Ireland",S5131)),"Ireland",
ISNUMBER(SEARCH("rn""&gt;Bosnia and Herzegovina",S5131)),"Bosnia and Herzegovina",
ISNUMBER(SEARCH("rn""&gt;Trinidad and Tobago",S5131)),"Trinidad and Tobago",
ISNUMBER(SEARCH("rn""&gt;Serbia and Montenegro",S5131)),"Serbia and Montenegro",
ISNUMBER(SEARCH(_xlfn.UNICHAR(65533),S5131)),"Côte d'Ivoire",
TRUE,"-"
)</f>
        <v>-</v>
      </c>
      <c r="W5131" s="42" t="str">
        <f t="shared" si="315"/>
        <v>-</v>
      </c>
    </row>
    <row r="5132" spans="19:23">
      <c r="S5132" s="42" t="str">
        <v/>
      </c>
      <c r="T5132" s="42" t="str">
        <f t="shared" si="313"/>
        <v>-</v>
      </c>
      <c r="U5132" s="40" t="str">
        <f t="shared" si="314"/>
        <v>-</v>
      </c>
      <c r="V5132" s="42" t="str" cm="1">
        <f t="array" ref="V5132">_xlfn.IFS(
LEFT(S5132,16)="win on penalties",IF(VALUE(MID(S5132,19,1))&gt;VALUE(MID(S5132,23,1)),DATA_CLEANED!AK646,DATA_CLEANED!AN646),
ISNUMBER(SEARCH("USA",S5132)),"United States",
ISNUMBER(SEARCH("Republic of Ireland",S5132)),"Ireland",
ISNUMBER(SEARCH("Republic of Korea",S5132)),"South Korea",
ISNUMBER(SEARCH("Cape Verde",S5132)),"Cabo Verde",
ISNUMBER(SEARCH("Czechia",S5132)),"Czech Republic",
ISNUMBER(SEARCH("Türkiye",S5132)),"Turkey",
ISNUMBER(SEARCH("Ivory Coast",S5132)),"Côte d'Ivoire",
ISNUMBER(SEARCH("Korea Republic",S5132)),"South Korea",
ISNUMBER(SEARCH("Germany FR",S5132)),"FR Germany",
ISNUMBER(SEARCH("West Germany",S5132)),"FR Germany",
ISNUMBER(SEARCH("Germany DR",S5132)),"DR Germany",
ISNUMBER(SEARCH("Korea DPR",S5132)),"North Korea",
ISNUMBER(SEARCH("China PR",S5132)),"China",
ISNUMBER(SEARCH("IR Iran",S5132)),"Iran",
ISNUMBER(SEARCH("Congo DR",S5132)),"Democratic Republic of the Congo",
ISNUMBER(SEARCH("DR Congo",S5132)),"Democratic Republic of the Congo",
ISNUMBER(SEARCH("German DR",S5132)),"DR Germany",
ISNUMBER(SEARCH("rn""&gt;United Arab Emirates",S5132)),"United Arab Emirates",
ISNUMBER(SEARCH("rn""&gt;Republic of Ireland",S5132)),"Ireland",
ISNUMBER(SEARCH("rn""&gt;Bosnia and Herzegovina",S5132)),"Bosnia and Herzegovina",
ISNUMBER(SEARCH("rn""&gt;Trinidad and Tobago",S5132)),"Trinidad and Tobago",
ISNUMBER(SEARCH("rn""&gt;Serbia and Montenegro",S5132)),"Serbia and Montenegro",
ISNUMBER(SEARCH(_xlfn.UNICHAR(65533),S5132)),"Côte d'Ivoire",
TRUE,"-"
)</f>
        <v>-</v>
      </c>
      <c r="W5132" s="42" t="str">
        <f t="shared" si="315"/>
        <v>-</v>
      </c>
    </row>
    <row r="5133" spans="19:23">
      <c r="S5133" s="42" t="str">
        <v/>
      </c>
      <c r="T5133" s="42" t="str">
        <f t="shared" si="313"/>
        <v>-</v>
      </c>
      <c r="U5133" s="40" t="str">
        <f t="shared" si="314"/>
        <v>-</v>
      </c>
      <c r="V5133" s="42" t="str" cm="1">
        <f t="array" ref="V5133">_xlfn.IFS(
LEFT(S5133,16)="win on penalties",IF(VALUE(MID(S5133,19,1))&gt;VALUE(MID(S5133,23,1)),DATA_CLEANED!AK647,DATA_CLEANED!AN647),
ISNUMBER(SEARCH("USA",S5133)),"United States",
ISNUMBER(SEARCH("Republic of Ireland",S5133)),"Ireland",
ISNUMBER(SEARCH("Republic of Korea",S5133)),"South Korea",
ISNUMBER(SEARCH("Cape Verde",S5133)),"Cabo Verde",
ISNUMBER(SEARCH("Czechia",S5133)),"Czech Republic",
ISNUMBER(SEARCH("Türkiye",S5133)),"Turkey",
ISNUMBER(SEARCH("Ivory Coast",S5133)),"Côte d'Ivoire",
ISNUMBER(SEARCH("Korea Republic",S5133)),"South Korea",
ISNUMBER(SEARCH("Germany FR",S5133)),"FR Germany",
ISNUMBER(SEARCH("West Germany",S5133)),"FR Germany",
ISNUMBER(SEARCH("Germany DR",S5133)),"DR Germany",
ISNUMBER(SEARCH("Korea DPR",S5133)),"North Korea",
ISNUMBER(SEARCH("China PR",S5133)),"China",
ISNUMBER(SEARCH("IR Iran",S5133)),"Iran",
ISNUMBER(SEARCH("Congo DR",S5133)),"Democratic Republic of the Congo",
ISNUMBER(SEARCH("DR Congo",S5133)),"Democratic Republic of the Congo",
ISNUMBER(SEARCH("German DR",S5133)),"DR Germany",
ISNUMBER(SEARCH("rn""&gt;United Arab Emirates",S5133)),"United Arab Emirates",
ISNUMBER(SEARCH("rn""&gt;Republic of Ireland",S5133)),"Ireland",
ISNUMBER(SEARCH("rn""&gt;Bosnia and Herzegovina",S5133)),"Bosnia and Herzegovina",
ISNUMBER(SEARCH("rn""&gt;Trinidad and Tobago",S5133)),"Trinidad and Tobago",
ISNUMBER(SEARCH("rn""&gt;Serbia and Montenegro",S5133)),"Serbia and Montenegro",
ISNUMBER(SEARCH(_xlfn.UNICHAR(65533),S5133)),"Côte d'Ivoire",
TRUE,"-"
)</f>
        <v>-</v>
      </c>
      <c r="W5133" s="42" t="str">
        <f t="shared" si="315"/>
        <v>-</v>
      </c>
    </row>
    <row r="5134" spans="19:23">
      <c r="S5134" s="42" t="str">
        <v/>
      </c>
      <c r="T5134" s="42" t="str">
        <f t="shared" si="313"/>
        <v>-</v>
      </c>
      <c r="U5134" s="40" t="str">
        <f t="shared" si="314"/>
        <v>-</v>
      </c>
      <c r="V5134" s="42" t="str" cm="1">
        <f t="array" ref="V5134">_xlfn.IFS(
LEFT(S5134,16)="win on penalties",IF(VALUE(MID(S5134,19,1))&gt;VALUE(MID(S5134,23,1)),DATA_CLEANED!AK648,DATA_CLEANED!AN648),
ISNUMBER(SEARCH("USA",S5134)),"United States",
ISNUMBER(SEARCH("Republic of Ireland",S5134)),"Ireland",
ISNUMBER(SEARCH("Republic of Korea",S5134)),"South Korea",
ISNUMBER(SEARCH("Cape Verde",S5134)),"Cabo Verde",
ISNUMBER(SEARCH("Czechia",S5134)),"Czech Republic",
ISNUMBER(SEARCH("Türkiye",S5134)),"Turkey",
ISNUMBER(SEARCH("Ivory Coast",S5134)),"Côte d'Ivoire",
ISNUMBER(SEARCH("Korea Republic",S5134)),"South Korea",
ISNUMBER(SEARCH("Germany FR",S5134)),"FR Germany",
ISNUMBER(SEARCH("West Germany",S5134)),"FR Germany",
ISNUMBER(SEARCH("Germany DR",S5134)),"DR Germany",
ISNUMBER(SEARCH("Korea DPR",S5134)),"North Korea",
ISNUMBER(SEARCH("China PR",S5134)),"China",
ISNUMBER(SEARCH("IR Iran",S5134)),"Iran",
ISNUMBER(SEARCH("Congo DR",S5134)),"Democratic Republic of the Congo",
ISNUMBER(SEARCH("DR Congo",S5134)),"Democratic Republic of the Congo",
ISNUMBER(SEARCH("German DR",S5134)),"DR Germany",
ISNUMBER(SEARCH("rn""&gt;United Arab Emirates",S5134)),"United Arab Emirates",
ISNUMBER(SEARCH("rn""&gt;Republic of Ireland",S5134)),"Ireland",
ISNUMBER(SEARCH("rn""&gt;Bosnia and Herzegovina",S5134)),"Bosnia and Herzegovina",
ISNUMBER(SEARCH("rn""&gt;Trinidad and Tobago",S5134)),"Trinidad and Tobago",
ISNUMBER(SEARCH("rn""&gt;Serbia and Montenegro",S5134)),"Serbia and Montenegro",
ISNUMBER(SEARCH(_xlfn.UNICHAR(65533),S5134)),"Côte d'Ivoire",
TRUE,"-"
)</f>
        <v>-</v>
      </c>
      <c r="W5134" s="42" t="str">
        <f t="shared" si="315"/>
        <v>-</v>
      </c>
    </row>
    <row r="5135" spans="19:23">
      <c r="S5135" s="42" t="str">
        <v/>
      </c>
      <c r="T5135" s="42" t="str">
        <f t="shared" si="313"/>
        <v>-</v>
      </c>
      <c r="U5135" s="40" t="str">
        <f t="shared" si="314"/>
        <v>-</v>
      </c>
      <c r="V5135" s="42" t="str" cm="1">
        <f t="array" ref="V5135">_xlfn.IFS(
LEFT(S5135,16)="win on penalties",IF(VALUE(MID(S5135,19,1))&gt;VALUE(MID(S5135,23,1)),DATA_CLEANED!AK649,DATA_CLEANED!AN649),
ISNUMBER(SEARCH("USA",S5135)),"United States",
ISNUMBER(SEARCH("Republic of Ireland",S5135)),"Ireland",
ISNUMBER(SEARCH("Republic of Korea",S5135)),"South Korea",
ISNUMBER(SEARCH("Cape Verde",S5135)),"Cabo Verde",
ISNUMBER(SEARCH("Czechia",S5135)),"Czech Republic",
ISNUMBER(SEARCH("Türkiye",S5135)),"Turkey",
ISNUMBER(SEARCH("Ivory Coast",S5135)),"Côte d'Ivoire",
ISNUMBER(SEARCH("Korea Republic",S5135)),"South Korea",
ISNUMBER(SEARCH("Germany FR",S5135)),"FR Germany",
ISNUMBER(SEARCH("West Germany",S5135)),"FR Germany",
ISNUMBER(SEARCH("Germany DR",S5135)),"DR Germany",
ISNUMBER(SEARCH("Korea DPR",S5135)),"North Korea",
ISNUMBER(SEARCH("China PR",S5135)),"China",
ISNUMBER(SEARCH("IR Iran",S5135)),"Iran",
ISNUMBER(SEARCH("Congo DR",S5135)),"Democratic Republic of the Congo",
ISNUMBER(SEARCH("DR Congo",S5135)),"Democratic Republic of the Congo",
ISNUMBER(SEARCH("German DR",S5135)),"DR Germany",
ISNUMBER(SEARCH("rn""&gt;United Arab Emirates",S5135)),"United Arab Emirates",
ISNUMBER(SEARCH("rn""&gt;Republic of Ireland",S5135)),"Ireland",
ISNUMBER(SEARCH("rn""&gt;Bosnia and Herzegovina",S5135)),"Bosnia and Herzegovina",
ISNUMBER(SEARCH("rn""&gt;Trinidad and Tobago",S5135)),"Trinidad and Tobago",
ISNUMBER(SEARCH("rn""&gt;Serbia and Montenegro",S5135)),"Serbia and Montenegro",
ISNUMBER(SEARCH(_xlfn.UNICHAR(65533),S5135)),"Côte d'Ivoire",
TRUE,"-"
)</f>
        <v>-</v>
      </c>
      <c r="W5135" s="42" t="str">
        <f t="shared" si="315"/>
        <v>-</v>
      </c>
    </row>
    <row r="5136" spans="19:23">
      <c r="S5136" s="42" t="str">
        <v/>
      </c>
      <c r="T5136" s="42" t="str">
        <f t="shared" si="313"/>
        <v>-</v>
      </c>
      <c r="U5136" s="40" t="str">
        <f t="shared" si="314"/>
        <v>-</v>
      </c>
      <c r="V5136" s="42" t="str" cm="1">
        <f t="array" ref="V5136">_xlfn.IFS(
LEFT(S5136,16)="win on penalties",IF(VALUE(MID(S5136,19,1))&gt;VALUE(MID(S5136,23,1)),DATA_CLEANED!AK650,DATA_CLEANED!AN650),
ISNUMBER(SEARCH("USA",S5136)),"United States",
ISNUMBER(SEARCH("Republic of Ireland",S5136)),"Ireland",
ISNUMBER(SEARCH("Republic of Korea",S5136)),"South Korea",
ISNUMBER(SEARCH("Cape Verde",S5136)),"Cabo Verde",
ISNUMBER(SEARCH("Czechia",S5136)),"Czech Republic",
ISNUMBER(SEARCH("Türkiye",S5136)),"Turkey",
ISNUMBER(SEARCH("Ivory Coast",S5136)),"Côte d'Ivoire",
ISNUMBER(SEARCH("Korea Republic",S5136)),"South Korea",
ISNUMBER(SEARCH("Germany FR",S5136)),"FR Germany",
ISNUMBER(SEARCH("West Germany",S5136)),"FR Germany",
ISNUMBER(SEARCH("Germany DR",S5136)),"DR Germany",
ISNUMBER(SEARCH("Korea DPR",S5136)),"North Korea",
ISNUMBER(SEARCH("China PR",S5136)),"China",
ISNUMBER(SEARCH("IR Iran",S5136)),"Iran",
ISNUMBER(SEARCH("Congo DR",S5136)),"Democratic Republic of the Congo",
ISNUMBER(SEARCH("DR Congo",S5136)),"Democratic Republic of the Congo",
ISNUMBER(SEARCH("German DR",S5136)),"DR Germany",
ISNUMBER(SEARCH("rn""&gt;United Arab Emirates",S5136)),"United Arab Emirates",
ISNUMBER(SEARCH("rn""&gt;Republic of Ireland",S5136)),"Ireland",
ISNUMBER(SEARCH("rn""&gt;Bosnia and Herzegovina",S5136)),"Bosnia and Herzegovina",
ISNUMBER(SEARCH("rn""&gt;Trinidad and Tobago",S5136)),"Trinidad and Tobago",
ISNUMBER(SEARCH("rn""&gt;Serbia and Montenegro",S5136)),"Serbia and Montenegro",
ISNUMBER(SEARCH(_xlfn.UNICHAR(65533),S5136)),"Côte d'Ivoire",
TRUE,"-"
)</f>
        <v>-</v>
      </c>
      <c r="W5136" s="42" t="str">
        <f t="shared" si="315"/>
        <v>-</v>
      </c>
    </row>
    <row r="5137" spans="19:23">
      <c r="S5137" s="42" t="str">
        <v/>
      </c>
      <c r="T5137" s="42" t="str">
        <f t="shared" si="313"/>
        <v>-</v>
      </c>
      <c r="U5137" s="40" t="str">
        <f t="shared" si="314"/>
        <v>-</v>
      </c>
      <c r="V5137" s="42" t="str" cm="1">
        <f t="array" ref="V5137">_xlfn.IFS(
LEFT(S5137,16)="win on penalties",IF(VALUE(MID(S5137,19,1))&gt;VALUE(MID(S5137,23,1)),DATA_CLEANED!AK651,DATA_CLEANED!AN651),
ISNUMBER(SEARCH("USA",S5137)),"United States",
ISNUMBER(SEARCH("Republic of Ireland",S5137)),"Ireland",
ISNUMBER(SEARCH("Republic of Korea",S5137)),"South Korea",
ISNUMBER(SEARCH("Cape Verde",S5137)),"Cabo Verde",
ISNUMBER(SEARCH("Czechia",S5137)),"Czech Republic",
ISNUMBER(SEARCH("Türkiye",S5137)),"Turkey",
ISNUMBER(SEARCH("Ivory Coast",S5137)),"Côte d'Ivoire",
ISNUMBER(SEARCH("Korea Republic",S5137)),"South Korea",
ISNUMBER(SEARCH("Germany FR",S5137)),"FR Germany",
ISNUMBER(SEARCH("West Germany",S5137)),"FR Germany",
ISNUMBER(SEARCH("Germany DR",S5137)),"DR Germany",
ISNUMBER(SEARCH("Korea DPR",S5137)),"North Korea",
ISNUMBER(SEARCH("China PR",S5137)),"China",
ISNUMBER(SEARCH("IR Iran",S5137)),"Iran",
ISNUMBER(SEARCH("Congo DR",S5137)),"Democratic Republic of the Congo",
ISNUMBER(SEARCH("DR Congo",S5137)),"Democratic Republic of the Congo",
ISNUMBER(SEARCH("German DR",S5137)),"DR Germany",
ISNUMBER(SEARCH("rn""&gt;United Arab Emirates",S5137)),"United Arab Emirates",
ISNUMBER(SEARCH("rn""&gt;Republic of Ireland",S5137)),"Ireland",
ISNUMBER(SEARCH("rn""&gt;Bosnia and Herzegovina",S5137)),"Bosnia and Herzegovina",
ISNUMBER(SEARCH("rn""&gt;Trinidad and Tobago",S5137)),"Trinidad and Tobago",
ISNUMBER(SEARCH("rn""&gt;Serbia and Montenegro",S5137)),"Serbia and Montenegro",
ISNUMBER(SEARCH(_xlfn.UNICHAR(65533),S5137)),"Côte d'Ivoire",
TRUE,"-"
)</f>
        <v>-</v>
      </c>
      <c r="W5137" s="42" t="str">
        <f t="shared" si="315"/>
        <v>-</v>
      </c>
    </row>
    <row r="5138" spans="19:23">
      <c r="S5138" s="42" t="str">
        <v/>
      </c>
      <c r="T5138" s="42" t="str">
        <f t="shared" si="313"/>
        <v>-</v>
      </c>
      <c r="U5138" s="40" t="str">
        <f t="shared" si="314"/>
        <v>-</v>
      </c>
      <c r="V5138" s="42" t="str" cm="1">
        <f t="array" ref="V5138">_xlfn.IFS(
LEFT(S5138,16)="win on penalties",IF(VALUE(MID(S5138,19,1))&gt;VALUE(MID(S5138,23,1)),DATA_CLEANED!AK652,DATA_CLEANED!AN652),
ISNUMBER(SEARCH("USA",S5138)),"United States",
ISNUMBER(SEARCH("Republic of Ireland",S5138)),"Ireland",
ISNUMBER(SEARCH("Republic of Korea",S5138)),"South Korea",
ISNUMBER(SEARCH("Cape Verde",S5138)),"Cabo Verde",
ISNUMBER(SEARCH("Czechia",S5138)),"Czech Republic",
ISNUMBER(SEARCH("Türkiye",S5138)),"Turkey",
ISNUMBER(SEARCH("Ivory Coast",S5138)),"Côte d'Ivoire",
ISNUMBER(SEARCH("Korea Republic",S5138)),"South Korea",
ISNUMBER(SEARCH("Germany FR",S5138)),"FR Germany",
ISNUMBER(SEARCH("West Germany",S5138)),"FR Germany",
ISNUMBER(SEARCH("Germany DR",S5138)),"DR Germany",
ISNUMBER(SEARCH("Korea DPR",S5138)),"North Korea",
ISNUMBER(SEARCH("China PR",S5138)),"China",
ISNUMBER(SEARCH("IR Iran",S5138)),"Iran",
ISNUMBER(SEARCH("Congo DR",S5138)),"Democratic Republic of the Congo",
ISNUMBER(SEARCH("DR Congo",S5138)),"Democratic Republic of the Congo",
ISNUMBER(SEARCH("German DR",S5138)),"DR Germany",
ISNUMBER(SEARCH("rn""&gt;United Arab Emirates",S5138)),"United Arab Emirates",
ISNUMBER(SEARCH("rn""&gt;Republic of Ireland",S5138)),"Ireland",
ISNUMBER(SEARCH("rn""&gt;Bosnia and Herzegovina",S5138)),"Bosnia and Herzegovina",
ISNUMBER(SEARCH("rn""&gt;Trinidad and Tobago",S5138)),"Trinidad and Tobago",
ISNUMBER(SEARCH("rn""&gt;Serbia and Montenegro",S5138)),"Serbia and Montenegro",
ISNUMBER(SEARCH(_xlfn.UNICHAR(65533),S5138)),"Côte d'Ivoire",
TRUE,"-"
)</f>
        <v>-</v>
      </c>
      <c r="W5138" s="42" t="str">
        <f t="shared" si="315"/>
        <v>-</v>
      </c>
    </row>
    <row r="5139" spans="19:23">
      <c r="S5139" s="42" t="str">
        <v/>
      </c>
      <c r="T5139" s="42" t="str">
        <f t="shared" si="313"/>
        <v>-</v>
      </c>
      <c r="U5139" s="40" t="str">
        <f t="shared" si="314"/>
        <v>-</v>
      </c>
      <c r="V5139" s="42" t="str" cm="1">
        <f t="array" ref="V5139">_xlfn.IFS(
LEFT(S5139,16)="win on penalties",IF(VALUE(MID(S5139,19,1))&gt;VALUE(MID(S5139,23,1)),DATA_CLEANED!AK653,DATA_CLEANED!AN653),
ISNUMBER(SEARCH("USA",S5139)),"United States",
ISNUMBER(SEARCH("Republic of Ireland",S5139)),"Ireland",
ISNUMBER(SEARCH("Republic of Korea",S5139)),"South Korea",
ISNUMBER(SEARCH("Cape Verde",S5139)),"Cabo Verde",
ISNUMBER(SEARCH("Czechia",S5139)),"Czech Republic",
ISNUMBER(SEARCH("Türkiye",S5139)),"Turkey",
ISNUMBER(SEARCH("Ivory Coast",S5139)),"Côte d'Ivoire",
ISNUMBER(SEARCH("Korea Republic",S5139)),"South Korea",
ISNUMBER(SEARCH("Germany FR",S5139)),"FR Germany",
ISNUMBER(SEARCH("West Germany",S5139)),"FR Germany",
ISNUMBER(SEARCH("Germany DR",S5139)),"DR Germany",
ISNUMBER(SEARCH("Korea DPR",S5139)),"North Korea",
ISNUMBER(SEARCH("China PR",S5139)),"China",
ISNUMBER(SEARCH("IR Iran",S5139)),"Iran",
ISNUMBER(SEARCH("Congo DR",S5139)),"Democratic Republic of the Congo",
ISNUMBER(SEARCH("DR Congo",S5139)),"Democratic Republic of the Congo",
ISNUMBER(SEARCH("German DR",S5139)),"DR Germany",
ISNUMBER(SEARCH("rn""&gt;United Arab Emirates",S5139)),"United Arab Emirates",
ISNUMBER(SEARCH("rn""&gt;Republic of Ireland",S5139)),"Ireland",
ISNUMBER(SEARCH("rn""&gt;Bosnia and Herzegovina",S5139)),"Bosnia and Herzegovina",
ISNUMBER(SEARCH("rn""&gt;Trinidad and Tobago",S5139)),"Trinidad and Tobago",
ISNUMBER(SEARCH("rn""&gt;Serbia and Montenegro",S5139)),"Serbia and Montenegro",
ISNUMBER(SEARCH(_xlfn.UNICHAR(65533),S5139)),"Côte d'Ivoire",
TRUE,"-"
)</f>
        <v>-</v>
      </c>
      <c r="W5139" s="42" t="str">
        <f t="shared" si="315"/>
        <v>-</v>
      </c>
    </row>
    <row r="5140" spans="19:23">
      <c r="S5140" s="42" t="str">
        <v/>
      </c>
      <c r="T5140" s="42" t="str">
        <f t="shared" si="313"/>
        <v>-</v>
      </c>
      <c r="U5140" s="40" t="str">
        <f t="shared" si="314"/>
        <v>-</v>
      </c>
      <c r="V5140" s="42" t="str" cm="1">
        <f t="array" ref="V5140">_xlfn.IFS(
LEFT(S5140,16)="win on penalties",IF(VALUE(MID(S5140,19,1))&gt;VALUE(MID(S5140,23,1)),DATA_CLEANED!AK654,DATA_CLEANED!AN654),
ISNUMBER(SEARCH("USA",S5140)),"United States",
ISNUMBER(SEARCH("Republic of Ireland",S5140)),"Ireland",
ISNUMBER(SEARCH("Republic of Korea",S5140)),"South Korea",
ISNUMBER(SEARCH("Cape Verde",S5140)),"Cabo Verde",
ISNUMBER(SEARCH("Czechia",S5140)),"Czech Republic",
ISNUMBER(SEARCH("Türkiye",S5140)),"Turkey",
ISNUMBER(SEARCH("Ivory Coast",S5140)),"Côte d'Ivoire",
ISNUMBER(SEARCH("Korea Republic",S5140)),"South Korea",
ISNUMBER(SEARCH("Germany FR",S5140)),"FR Germany",
ISNUMBER(SEARCH("West Germany",S5140)),"FR Germany",
ISNUMBER(SEARCH("Germany DR",S5140)),"DR Germany",
ISNUMBER(SEARCH("Korea DPR",S5140)),"North Korea",
ISNUMBER(SEARCH("China PR",S5140)),"China",
ISNUMBER(SEARCH("IR Iran",S5140)),"Iran",
ISNUMBER(SEARCH("Congo DR",S5140)),"Democratic Republic of the Congo",
ISNUMBER(SEARCH("DR Congo",S5140)),"Democratic Republic of the Congo",
ISNUMBER(SEARCH("German DR",S5140)),"DR Germany",
ISNUMBER(SEARCH("rn""&gt;United Arab Emirates",S5140)),"United Arab Emirates",
ISNUMBER(SEARCH("rn""&gt;Republic of Ireland",S5140)),"Ireland",
ISNUMBER(SEARCH("rn""&gt;Bosnia and Herzegovina",S5140)),"Bosnia and Herzegovina",
ISNUMBER(SEARCH("rn""&gt;Trinidad and Tobago",S5140)),"Trinidad and Tobago",
ISNUMBER(SEARCH("rn""&gt;Serbia and Montenegro",S5140)),"Serbia and Montenegro",
ISNUMBER(SEARCH(_xlfn.UNICHAR(65533),S5140)),"Côte d'Ivoire",
TRUE,"-"
)</f>
        <v>-</v>
      </c>
      <c r="W5140" s="42" t="str">
        <f t="shared" si="315"/>
        <v>-</v>
      </c>
    </row>
    <row r="5141" spans="19:23">
      <c r="S5141" s="42" t="str">
        <v/>
      </c>
      <c r="T5141" s="42" t="str">
        <f t="shared" si="313"/>
        <v>-</v>
      </c>
      <c r="U5141" s="40" t="str">
        <f t="shared" si="314"/>
        <v>-</v>
      </c>
      <c r="V5141" s="42" t="str" cm="1">
        <f t="array" ref="V5141">_xlfn.IFS(
LEFT(S5141,16)="win on penalties",IF(VALUE(MID(S5141,19,1))&gt;VALUE(MID(S5141,23,1)),DATA_CLEANED!AK655,DATA_CLEANED!AN655),
ISNUMBER(SEARCH("USA",S5141)),"United States",
ISNUMBER(SEARCH("Republic of Ireland",S5141)),"Ireland",
ISNUMBER(SEARCH("Republic of Korea",S5141)),"South Korea",
ISNUMBER(SEARCH("Cape Verde",S5141)),"Cabo Verde",
ISNUMBER(SEARCH("Czechia",S5141)),"Czech Republic",
ISNUMBER(SEARCH("Türkiye",S5141)),"Turkey",
ISNUMBER(SEARCH("Ivory Coast",S5141)),"Côte d'Ivoire",
ISNUMBER(SEARCH("Korea Republic",S5141)),"South Korea",
ISNUMBER(SEARCH("Germany FR",S5141)),"FR Germany",
ISNUMBER(SEARCH("West Germany",S5141)),"FR Germany",
ISNUMBER(SEARCH("Germany DR",S5141)),"DR Germany",
ISNUMBER(SEARCH("Korea DPR",S5141)),"North Korea",
ISNUMBER(SEARCH("China PR",S5141)),"China",
ISNUMBER(SEARCH("IR Iran",S5141)),"Iran",
ISNUMBER(SEARCH("Congo DR",S5141)),"Democratic Republic of the Congo",
ISNUMBER(SEARCH("DR Congo",S5141)),"Democratic Republic of the Congo",
ISNUMBER(SEARCH("German DR",S5141)),"DR Germany",
ISNUMBER(SEARCH("rn""&gt;United Arab Emirates",S5141)),"United Arab Emirates",
ISNUMBER(SEARCH("rn""&gt;Republic of Ireland",S5141)),"Ireland",
ISNUMBER(SEARCH("rn""&gt;Bosnia and Herzegovina",S5141)),"Bosnia and Herzegovina",
ISNUMBER(SEARCH("rn""&gt;Trinidad and Tobago",S5141)),"Trinidad and Tobago",
ISNUMBER(SEARCH("rn""&gt;Serbia and Montenegro",S5141)),"Serbia and Montenegro",
ISNUMBER(SEARCH(_xlfn.UNICHAR(65533),S5141)),"Côte d'Ivoire",
TRUE,"-"
)</f>
        <v>-</v>
      </c>
      <c r="W5141" s="42" t="str">
        <f t="shared" si="315"/>
        <v>-</v>
      </c>
    </row>
    <row r="5142" spans="19:23">
      <c r="S5142" s="42" t="str">
        <v/>
      </c>
      <c r="T5142" s="42" t="str">
        <f t="shared" si="313"/>
        <v>-</v>
      </c>
      <c r="U5142" s="40" t="str">
        <f t="shared" si="314"/>
        <v>-</v>
      </c>
      <c r="V5142" s="42" t="str" cm="1">
        <f t="array" ref="V5142">_xlfn.IFS(
LEFT(S5142,16)="win on penalties",IF(VALUE(MID(S5142,19,1))&gt;VALUE(MID(S5142,23,1)),DATA_CLEANED!AK656,DATA_CLEANED!AN656),
ISNUMBER(SEARCH("USA",S5142)),"United States",
ISNUMBER(SEARCH("Republic of Ireland",S5142)),"Ireland",
ISNUMBER(SEARCH("Republic of Korea",S5142)),"South Korea",
ISNUMBER(SEARCH("Cape Verde",S5142)),"Cabo Verde",
ISNUMBER(SEARCH("Czechia",S5142)),"Czech Republic",
ISNUMBER(SEARCH("Türkiye",S5142)),"Turkey",
ISNUMBER(SEARCH("Ivory Coast",S5142)),"Côte d'Ivoire",
ISNUMBER(SEARCH("Korea Republic",S5142)),"South Korea",
ISNUMBER(SEARCH("Germany FR",S5142)),"FR Germany",
ISNUMBER(SEARCH("West Germany",S5142)),"FR Germany",
ISNUMBER(SEARCH("Germany DR",S5142)),"DR Germany",
ISNUMBER(SEARCH("Korea DPR",S5142)),"North Korea",
ISNUMBER(SEARCH("China PR",S5142)),"China",
ISNUMBER(SEARCH("IR Iran",S5142)),"Iran",
ISNUMBER(SEARCH("Congo DR",S5142)),"Democratic Republic of the Congo",
ISNUMBER(SEARCH("DR Congo",S5142)),"Democratic Republic of the Congo",
ISNUMBER(SEARCH("German DR",S5142)),"DR Germany",
ISNUMBER(SEARCH("rn""&gt;United Arab Emirates",S5142)),"United Arab Emirates",
ISNUMBER(SEARCH("rn""&gt;Republic of Ireland",S5142)),"Ireland",
ISNUMBER(SEARCH("rn""&gt;Bosnia and Herzegovina",S5142)),"Bosnia and Herzegovina",
ISNUMBER(SEARCH("rn""&gt;Trinidad and Tobago",S5142)),"Trinidad and Tobago",
ISNUMBER(SEARCH("rn""&gt;Serbia and Montenegro",S5142)),"Serbia and Montenegro",
ISNUMBER(SEARCH(_xlfn.UNICHAR(65533),S5142)),"Côte d'Ivoire",
TRUE,"-"
)</f>
        <v>-</v>
      </c>
      <c r="W5142" s="42" t="str">
        <f t="shared" si="315"/>
        <v>-</v>
      </c>
    </row>
    <row r="5143" spans="19:23">
      <c r="S5143" s="42" t="str">
        <v/>
      </c>
      <c r="T5143" s="42" t="str">
        <f t="shared" si="313"/>
        <v>-</v>
      </c>
      <c r="U5143" s="40" t="str">
        <f t="shared" si="314"/>
        <v>-</v>
      </c>
      <c r="V5143" s="42" t="str" cm="1">
        <f t="array" ref="V5143">_xlfn.IFS(
LEFT(S5143,16)="win on penalties",IF(VALUE(MID(S5143,19,1))&gt;VALUE(MID(S5143,23,1)),DATA_CLEANED!AK657,DATA_CLEANED!AN657),
ISNUMBER(SEARCH("USA",S5143)),"United States",
ISNUMBER(SEARCH("Republic of Ireland",S5143)),"Ireland",
ISNUMBER(SEARCH("Republic of Korea",S5143)),"South Korea",
ISNUMBER(SEARCH("Cape Verde",S5143)),"Cabo Verde",
ISNUMBER(SEARCH("Czechia",S5143)),"Czech Republic",
ISNUMBER(SEARCH("Türkiye",S5143)),"Turkey",
ISNUMBER(SEARCH("Ivory Coast",S5143)),"Côte d'Ivoire",
ISNUMBER(SEARCH("Korea Republic",S5143)),"South Korea",
ISNUMBER(SEARCH("Germany FR",S5143)),"FR Germany",
ISNUMBER(SEARCH("West Germany",S5143)),"FR Germany",
ISNUMBER(SEARCH("Germany DR",S5143)),"DR Germany",
ISNUMBER(SEARCH("Korea DPR",S5143)),"North Korea",
ISNUMBER(SEARCH("China PR",S5143)),"China",
ISNUMBER(SEARCH("IR Iran",S5143)),"Iran",
ISNUMBER(SEARCH("Congo DR",S5143)),"Democratic Republic of the Congo",
ISNUMBER(SEARCH("DR Congo",S5143)),"Democratic Republic of the Congo",
ISNUMBER(SEARCH("German DR",S5143)),"DR Germany",
ISNUMBER(SEARCH("rn""&gt;United Arab Emirates",S5143)),"United Arab Emirates",
ISNUMBER(SEARCH("rn""&gt;Republic of Ireland",S5143)),"Ireland",
ISNUMBER(SEARCH("rn""&gt;Bosnia and Herzegovina",S5143)),"Bosnia and Herzegovina",
ISNUMBER(SEARCH("rn""&gt;Trinidad and Tobago",S5143)),"Trinidad and Tobago",
ISNUMBER(SEARCH("rn""&gt;Serbia and Montenegro",S5143)),"Serbia and Montenegro",
ISNUMBER(SEARCH(_xlfn.UNICHAR(65533),S5143)),"Côte d'Ivoire",
TRUE,"-"
)</f>
        <v>-</v>
      </c>
      <c r="W5143" s="42" t="str">
        <f t="shared" si="315"/>
        <v>-</v>
      </c>
    </row>
    <row r="5144" spans="19:23">
      <c r="S5144" s="42" t="str">
        <v/>
      </c>
      <c r="T5144" s="42" t="str">
        <f t="shared" si="313"/>
        <v>-</v>
      </c>
      <c r="U5144" s="40" t="str">
        <f t="shared" si="314"/>
        <v>-</v>
      </c>
      <c r="V5144" s="42" t="str" cm="1">
        <f t="array" ref="V5144">_xlfn.IFS(
LEFT(S5144,16)="win on penalties",IF(VALUE(MID(S5144,19,1))&gt;VALUE(MID(S5144,23,1)),DATA_CLEANED!AK658,DATA_CLEANED!AN658),
ISNUMBER(SEARCH("USA",S5144)),"United States",
ISNUMBER(SEARCH("Republic of Ireland",S5144)),"Ireland",
ISNUMBER(SEARCH("Republic of Korea",S5144)),"South Korea",
ISNUMBER(SEARCH("Cape Verde",S5144)),"Cabo Verde",
ISNUMBER(SEARCH("Czechia",S5144)),"Czech Republic",
ISNUMBER(SEARCH("Türkiye",S5144)),"Turkey",
ISNUMBER(SEARCH("Ivory Coast",S5144)),"Côte d'Ivoire",
ISNUMBER(SEARCH("Korea Republic",S5144)),"South Korea",
ISNUMBER(SEARCH("Germany FR",S5144)),"FR Germany",
ISNUMBER(SEARCH("West Germany",S5144)),"FR Germany",
ISNUMBER(SEARCH("Germany DR",S5144)),"DR Germany",
ISNUMBER(SEARCH("Korea DPR",S5144)),"North Korea",
ISNUMBER(SEARCH("China PR",S5144)),"China",
ISNUMBER(SEARCH("IR Iran",S5144)),"Iran",
ISNUMBER(SEARCH("Congo DR",S5144)),"Democratic Republic of the Congo",
ISNUMBER(SEARCH("DR Congo",S5144)),"Democratic Republic of the Congo",
ISNUMBER(SEARCH("German DR",S5144)),"DR Germany",
ISNUMBER(SEARCH("rn""&gt;United Arab Emirates",S5144)),"United Arab Emirates",
ISNUMBER(SEARCH("rn""&gt;Republic of Ireland",S5144)),"Ireland",
ISNUMBER(SEARCH("rn""&gt;Bosnia and Herzegovina",S5144)),"Bosnia and Herzegovina",
ISNUMBER(SEARCH("rn""&gt;Trinidad and Tobago",S5144)),"Trinidad and Tobago",
ISNUMBER(SEARCH("rn""&gt;Serbia and Montenegro",S5144)),"Serbia and Montenegro",
ISNUMBER(SEARCH(_xlfn.UNICHAR(65533),S5144)),"Côte d'Ivoire",
TRUE,"-"
)</f>
        <v>-</v>
      </c>
      <c r="W5144" s="42" t="str">
        <f t="shared" si="315"/>
        <v>-</v>
      </c>
    </row>
    <row r="5145" spans="19:23">
      <c r="S5145" s="42" t="str">
        <v/>
      </c>
      <c r="T5145" s="42" t="str">
        <f t="shared" si="313"/>
        <v>-</v>
      </c>
      <c r="U5145" s="40" t="str">
        <f t="shared" si="314"/>
        <v>-</v>
      </c>
      <c r="V5145" s="42" t="str" cm="1">
        <f t="array" ref="V5145">_xlfn.IFS(
LEFT(S5145,16)="win on penalties",IF(VALUE(MID(S5145,19,1))&gt;VALUE(MID(S5145,23,1)),DATA_CLEANED!AK659,DATA_CLEANED!AN659),
ISNUMBER(SEARCH("USA",S5145)),"United States",
ISNUMBER(SEARCH("Republic of Ireland",S5145)),"Ireland",
ISNUMBER(SEARCH("Republic of Korea",S5145)),"South Korea",
ISNUMBER(SEARCH("Cape Verde",S5145)),"Cabo Verde",
ISNUMBER(SEARCH("Czechia",S5145)),"Czech Republic",
ISNUMBER(SEARCH("Türkiye",S5145)),"Turkey",
ISNUMBER(SEARCH("Ivory Coast",S5145)),"Côte d'Ivoire",
ISNUMBER(SEARCH("Korea Republic",S5145)),"South Korea",
ISNUMBER(SEARCH("Germany FR",S5145)),"FR Germany",
ISNUMBER(SEARCH("West Germany",S5145)),"FR Germany",
ISNUMBER(SEARCH("Germany DR",S5145)),"DR Germany",
ISNUMBER(SEARCH("Korea DPR",S5145)),"North Korea",
ISNUMBER(SEARCH("China PR",S5145)),"China",
ISNUMBER(SEARCH("IR Iran",S5145)),"Iran",
ISNUMBER(SEARCH("Congo DR",S5145)),"Democratic Republic of the Congo",
ISNUMBER(SEARCH("DR Congo",S5145)),"Democratic Republic of the Congo",
ISNUMBER(SEARCH("German DR",S5145)),"DR Germany",
ISNUMBER(SEARCH("rn""&gt;United Arab Emirates",S5145)),"United Arab Emirates",
ISNUMBER(SEARCH("rn""&gt;Republic of Ireland",S5145)),"Ireland",
ISNUMBER(SEARCH("rn""&gt;Bosnia and Herzegovina",S5145)),"Bosnia and Herzegovina",
ISNUMBER(SEARCH("rn""&gt;Trinidad and Tobago",S5145)),"Trinidad and Tobago",
ISNUMBER(SEARCH("rn""&gt;Serbia and Montenegro",S5145)),"Serbia and Montenegro",
ISNUMBER(SEARCH(_xlfn.UNICHAR(65533),S5145)),"Côte d'Ivoire",
TRUE,"-"
)</f>
        <v>-</v>
      </c>
      <c r="W5145" s="42" t="str">
        <f t="shared" si="315"/>
        <v>-</v>
      </c>
    </row>
    <row r="5146" spans="19:23">
      <c r="S5146" s="42" t="str">
        <v/>
      </c>
      <c r="T5146" s="42" t="str">
        <f t="shared" si="313"/>
        <v>-</v>
      </c>
      <c r="U5146" s="40" t="str">
        <f t="shared" si="314"/>
        <v>-</v>
      </c>
      <c r="V5146" s="42" t="str" cm="1">
        <f t="array" ref="V5146">_xlfn.IFS(
LEFT(S5146,16)="win on penalties",IF(VALUE(MID(S5146,19,1))&gt;VALUE(MID(S5146,23,1)),DATA_CLEANED!AK660,DATA_CLEANED!AN660),
ISNUMBER(SEARCH("USA",S5146)),"United States",
ISNUMBER(SEARCH("Republic of Ireland",S5146)),"Ireland",
ISNUMBER(SEARCH("Republic of Korea",S5146)),"South Korea",
ISNUMBER(SEARCH("Cape Verde",S5146)),"Cabo Verde",
ISNUMBER(SEARCH("Czechia",S5146)),"Czech Republic",
ISNUMBER(SEARCH("Türkiye",S5146)),"Turkey",
ISNUMBER(SEARCH("Ivory Coast",S5146)),"Côte d'Ivoire",
ISNUMBER(SEARCH("Korea Republic",S5146)),"South Korea",
ISNUMBER(SEARCH("Germany FR",S5146)),"FR Germany",
ISNUMBER(SEARCH("West Germany",S5146)),"FR Germany",
ISNUMBER(SEARCH("Germany DR",S5146)),"DR Germany",
ISNUMBER(SEARCH("Korea DPR",S5146)),"North Korea",
ISNUMBER(SEARCH("China PR",S5146)),"China",
ISNUMBER(SEARCH("IR Iran",S5146)),"Iran",
ISNUMBER(SEARCH("Congo DR",S5146)),"Democratic Republic of the Congo",
ISNUMBER(SEARCH("DR Congo",S5146)),"Democratic Republic of the Congo",
ISNUMBER(SEARCH("German DR",S5146)),"DR Germany",
ISNUMBER(SEARCH("rn""&gt;United Arab Emirates",S5146)),"United Arab Emirates",
ISNUMBER(SEARCH("rn""&gt;Republic of Ireland",S5146)),"Ireland",
ISNUMBER(SEARCH("rn""&gt;Bosnia and Herzegovina",S5146)),"Bosnia and Herzegovina",
ISNUMBER(SEARCH("rn""&gt;Trinidad and Tobago",S5146)),"Trinidad and Tobago",
ISNUMBER(SEARCH("rn""&gt;Serbia and Montenegro",S5146)),"Serbia and Montenegro",
ISNUMBER(SEARCH(_xlfn.UNICHAR(65533),S5146)),"Côte d'Ivoire",
TRUE,"-"
)</f>
        <v>-</v>
      </c>
      <c r="W5146" s="42" t="str">
        <f t="shared" si="315"/>
        <v>-</v>
      </c>
    </row>
    <row r="5147" spans="19:23">
      <c r="S5147" s="42" t="str">
        <v/>
      </c>
      <c r="T5147" s="42" t="str">
        <f t="shared" si="313"/>
        <v>-</v>
      </c>
      <c r="U5147" s="40" t="str">
        <f t="shared" si="314"/>
        <v>-</v>
      </c>
      <c r="V5147" s="42" t="str" cm="1">
        <f t="array" ref="V5147">_xlfn.IFS(
LEFT(S5147,16)="win on penalties",IF(VALUE(MID(S5147,19,1))&gt;VALUE(MID(S5147,23,1)),DATA_CLEANED!AK661,DATA_CLEANED!AN661),
ISNUMBER(SEARCH("USA",S5147)),"United States",
ISNUMBER(SEARCH("Republic of Ireland",S5147)),"Ireland",
ISNUMBER(SEARCH("Republic of Korea",S5147)),"South Korea",
ISNUMBER(SEARCH("Cape Verde",S5147)),"Cabo Verde",
ISNUMBER(SEARCH("Czechia",S5147)),"Czech Republic",
ISNUMBER(SEARCH("Türkiye",S5147)),"Turkey",
ISNUMBER(SEARCH("Ivory Coast",S5147)),"Côte d'Ivoire",
ISNUMBER(SEARCH("Korea Republic",S5147)),"South Korea",
ISNUMBER(SEARCH("Germany FR",S5147)),"FR Germany",
ISNUMBER(SEARCH("West Germany",S5147)),"FR Germany",
ISNUMBER(SEARCH("Germany DR",S5147)),"DR Germany",
ISNUMBER(SEARCH("Korea DPR",S5147)),"North Korea",
ISNUMBER(SEARCH("China PR",S5147)),"China",
ISNUMBER(SEARCH("IR Iran",S5147)),"Iran",
ISNUMBER(SEARCH("Congo DR",S5147)),"Democratic Republic of the Congo",
ISNUMBER(SEARCH("DR Congo",S5147)),"Democratic Republic of the Congo",
ISNUMBER(SEARCH("German DR",S5147)),"DR Germany",
ISNUMBER(SEARCH("rn""&gt;United Arab Emirates",S5147)),"United Arab Emirates",
ISNUMBER(SEARCH("rn""&gt;Republic of Ireland",S5147)),"Ireland",
ISNUMBER(SEARCH("rn""&gt;Bosnia and Herzegovina",S5147)),"Bosnia and Herzegovina",
ISNUMBER(SEARCH("rn""&gt;Trinidad and Tobago",S5147)),"Trinidad and Tobago",
ISNUMBER(SEARCH("rn""&gt;Serbia and Montenegro",S5147)),"Serbia and Montenegro",
ISNUMBER(SEARCH(_xlfn.UNICHAR(65533),S5147)),"Côte d'Ivoire",
TRUE,"-"
)</f>
        <v>-</v>
      </c>
      <c r="W5147" s="42" t="str">
        <f t="shared" si="315"/>
        <v>-</v>
      </c>
    </row>
    <row r="5148" spans="19:23">
      <c r="S5148" s="42" t="str">
        <v/>
      </c>
      <c r="T5148" s="42" t="str">
        <f t="shared" si="313"/>
        <v>-</v>
      </c>
      <c r="U5148" s="40" t="str">
        <f t="shared" si="314"/>
        <v>-</v>
      </c>
      <c r="V5148" s="42" t="str" cm="1">
        <f t="array" ref="V5148">_xlfn.IFS(
LEFT(S5148,16)="win on penalties",IF(VALUE(MID(S5148,19,1))&gt;VALUE(MID(S5148,23,1)),DATA_CLEANED!AK662,DATA_CLEANED!AN662),
ISNUMBER(SEARCH("USA",S5148)),"United States",
ISNUMBER(SEARCH("Republic of Ireland",S5148)),"Ireland",
ISNUMBER(SEARCH("Republic of Korea",S5148)),"South Korea",
ISNUMBER(SEARCH("Cape Verde",S5148)),"Cabo Verde",
ISNUMBER(SEARCH("Czechia",S5148)),"Czech Republic",
ISNUMBER(SEARCH("Türkiye",S5148)),"Turkey",
ISNUMBER(SEARCH("Ivory Coast",S5148)),"Côte d'Ivoire",
ISNUMBER(SEARCH("Korea Republic",S5148)),"South Korea",
ISNUMBER(SEARCH("Germany FR",S5148)),"FR Germany",
ISNUMBER(SEARCH("West Germany",S5148)),"FR Germany",
ISNUMBER(SEARCH("Germany DR",S5148)),"DR Germany",
ISNUMBER(SEARCH("Korea DPR",S5148)),"North Korea",
ISNUMBER(SEARCH("China PR",S5148)),"China",
ISNUMBER(SEARCH("IR Iran",S5148)),"Iran",
ISNUMBER(SEARCH("Congo DR",S5148)),"Democratic Republic of the Congo",
ISNUMBER(SEARCH("DR Congo",S5148)),"Democratic Republic of the Congo",
ISNUMBER(SEARCH("German DR",S5148)),"DR Germany",
ISNUMBER(SEARCH("rn""&gt;United Arab Emirates",S5148)),"United Arab Emirates",
ISNUMBER(SEARCH("rn""&gt;Republic of Ireland",S5148)),"Ireland",
ISNUMBER(SEARCH("rn""&gt;Bosnia and Herzegovina",S5148)),"Bosnia and Herzegovina",
ISNUMBER(SEARCH("rn""&gt;Trinidad and Tobago",S5148)),"Trinidad and Tobago",
ISNUMBER(SEARCH("rn""&gt;Serbia and Montenegro",S5148)),"Serbia and Montenegro",
ISNUMBER(SEARCH(_xlfn.UNICHAR(65533),S5148)),"Côte d'Ivoire",
TRUE,"-"
)</f>
        <v>-</v>
      </c>
      <c r="W5148" s="42" t="str">
        <f t="shared" si="315"/>
        <v>-</v>
      </c>
    </row>
    <row r="5149" spans="19:23">
      <c r="S5149" s="42" t="str">
        <v/>
      </c>
      <c r="T5149" s="42" t="str">
        <f t="shared" si="313"/>
        <v>-</v>
      </c>
      <c r="U5149" s="40" t="str">
        <f t="shared" si="314"/>
        <v>-</v>
      </c>
      <c r="V5149" s="42" t="str" cm="1">
        <f t="array" ref="V5149">_xlfn.IFS(
LEFT(S5149,16)="win on penalties",IF(VALUE(MID(S5149,19,1))&gt;VALUE(MID(S5149,23,1)),DATA_CLEANED!AK663,DATA_CLEANED!AN663),
ISNUMBER(SEARCH("USA",S5149)),"United States",
ISNUMBER(SEARCH("Republic of Ireland",S5149)),"Ireland",
ISNUMBER(SEARCH("Republic of Korea",S5149)),"South Korea",
ISNUMBER(SEARCH("Cape Verde",S5149)),"Cabo Verde",
ISNUMBER(SEARCH("Czechia",S5149)),"Czech Republic",
ISNUMBER(SEARCH("Türkiye",S5149)),"Turkey",
ISNUMBER(SEARCH("Ivory Coast",S5149)),"Côte d'Ivoire",
ISNUMBER(SEARCH("Korea Republic",S5149)),"South Korea",
ISNUMBER(SEARCH("Germany FR",S5149)),"FR Germany",
ISNUMBER(SEARCH("West Germany",S5149)),"FR Germany",
ISNUMBER(SEARCH("Germany DR",S5149)),"DR Germany",
ISNUMBER(SEARCH("Korea DPR",S5149)),"North Korea",
ISNUMBER(SEARCH("China PR",S5149)),"China",
ISNUMBER(SEARCH("IR Iran",S5149)),"Iran",
ISNUMBER(SEARCH("Congo DR",S5149)),"Democratic Republic of the Congo",
ISNUMBER(SEARCH("DR Congo",S5149)),"Democratic Republic of the Congo",
ISNUMBER(SEARCH("German DR",S5149)),"DR Germany",
ISNUMBER(SEARCH("rn""&gt;United Arab Emirates",S5149)),"United Arab Emirates",
ISNUMBER(SEARCH("rn""&gt;Republic of Ireland",S5149)),"Ireland",
ISNUMBER(SEARCH("rn""&gt;Bosnia and Herzegovina",S5149)),"Bosnia and Herzegovina",
ISNUMBER(SEARCH("rn""&gt;Trinidad and Tobago",S5149)),"Trinidad and Tobago",
ISNUMBER(SEARCH("rn""&gt;Serbia and Montenegro",S5149)),"Serbia and Montenegro",
ISNUMBER(SEARCH(_xlfn.UNICHAR(65533),S5149)),"Côte d'Ivoire",
TRUE,"-"
)</f>
        <v>-</v>
      </c>
      <c r="W5149" s="42" t="str">
        <f t="shared" si="315"/>
        <v>-</v>
      </c>
    </row>
    <row r="5150" spans="19:23">
      <c r="S5150" s="42" t="str">
        <v/>
      </c>
      <c r="T5150" s="42" t="str">
        <f t="shared" si="313"/>
        <v>-</v>
      </c>
      <c r="U5150" s="40" t="str">
        <f t="shared" si="314"/>
        <v>-</v>
      </c>
      <c r="V5150" s="42" t="str" cm="1">
        <f t="array" ref="V5150">_xlfn.IFS(
LEFT(S5150,16)="win on penalties",IF(VALUE(MID(S5150,19,1))&gt;VALUE(MID(S5150,23,1)),DATA_CLEANED!AK664,DATA_CLEANED!AN664),
ISNUMBER(SEARCH("USA",S5150)),"United States",
ISNUMBER(SEARCH("Republic of Ireland",S5150)),"Ireland",
ISNUMBER(SEARCH("Republic of Korea",S5150)),"South Korea",
ISNUMBER(SEARCH("Cape Verde",S5150)),"Cabo Verde",
ISNUMBER(SEARCH("Czechia",S5150)),"Czech Republic",
ISNUMBER(SEARCH("Türkiye",S5150)),"Turkey",
ISNUMBER(SEARCH("Ivory Coast",S5150)),"Côte d'Ivoire",
ISNUMBER(SEARCH("Korea Republic",S5150)),"South Korea",
ISNUMBER(SEARCH("Germany FR",S5150)),"FR Germany",
ISNUMBER(SEARCH("West Germany",S5150)),"FR Germany",
ISNUMBER(SEARCH("Germany DR",S5150)),"DR Germany",
ISNUMBER(SEARCH("Korea DPR",S5150)),"North Korea",
ISNUMBER(SEARCH("China PR",S5150)),"China",
ISNUMBER(SEARCH("IR Iran",S5150)),"Iran",
ISNUMBER(SEARCH("Congo DR",S5150)),"Democratic Republic of the Congo",
ISNUMBER(SEARCH("DR Congo",S5150)),"Democratic Republic of the Congo",
ISNUMBER(SEARCH("German DR",S5150)),"DR Germany",
ISNUMBER(SEARCH("rn""&gt;United Arab Emirates",S5150)),"United Arab Emirates",
ISNUMBER(SEARCH("rn""&gt;Republic of Ireland",S5150)),"Ireland",
ISNUMBER(SEARCH("rn""&gt;Bosnia and Herzegovina",S5150)),"Bosnia and Herzegovina",
ISNUMBER(SEARCH("rn""&gt;Trinidad and Tobago",S5150)),"Trinidad and Tobago",
ISNUMBER(SEARCH("rn""&gt;Serbia and Montenegro",S5150)),"Serbia and Montenegro",
ISNUMBER(SEARCH(_xlfn.UNICHAR(65533),S5150)),"Côte d'Ivoire",
TRUE,"-"
)</f>
        <v>-</v>
      </c>
      <c r="W5150" s="42" t="str">
        <f t="shared" si="315"/>
        <v>-</v>
      </c>
    </row>
    <row r="5151" spans="19:23">
      <c r="S5151" s="42" t="str">
        <v/>
      </c>
      <c r="T5151" s="42" t="str">
        <f t="shared" si="313"/>
        <v>-</v>
      </c>
      <c r="U5151" s="40" t="str">
        <f t="shared" si="314"/>
        <v>-</v>
      </c>
      <c r="V5151" s="42" t="str" cm="1">
        <f t="array" ref="V5151">_xlfn.IFS(
LEFT(S5151,16)="win on penalties",IF(VALUE(MID(S5151,19,1))&gt;VALUE(MID(S5151,23,1)),DATA_CLEANED!AK665,DATA_CLEANED!AN665),
ISNUMBER(SEARCH("USA",S5151)),"United States",
ISNUMBER(SEARCH("Republic of Ireland",S5151)),"Ireland",
ISNUMBER(SEARCH("Republic of Korea",S5151)),"South Korea",
ISNUMBER(SEARCH("Cape Verde",S5151)),"Cabo Verde",
ISNUMBER(SEARCH("Czechia",S5151)),"Czech Republic",
ISNUMBER(SEARCH("Türkiye",S5151)),"Turkey",
ISNUMBER(SEARCH("Ivory Coast",S5151)),"Côte d'Ivoire",
ISNUMBER(SEARCH("Korea Republic",S5151)),"South Korea",
ISNUMBER(SEARCH("Germany FR",S5151)),"FR Germany",
ISNUMBER(SEARCH("West Germany",S5151)),"FR Germany",
ISNUMBER(SEARCH("Germany DR",S5151)),"DR Germany",
ISNUMBER(SEARCH("Korea DPR",S5151)),"North Korea",
ISNUMBER(SEARCH("China PR",S5151)),"China",
ISNUMBER(SEARCH("IR Iran",S5151)),"Iran",
ISNUMBER(SEARCH("Congo DR",S5151)),"Democratic Republic of the Congo",
ISNUMBER(SEARCH("DR Congo",S5151)),"Democratic Republic of the Congo",
ISNUMBER(SEARCH("German DR",S5151)),"DR Germany",
ISNUMBER(SEARCH("rn""&gt;United Arab Emirates",S5151)),"United Arab Emirates",
ISNUMBER(SEARCH("rn""&gt;Republic of Ireland",S5151)),"Ireland",
ISNUMBER(SEARCH("rn""&gt;Bosnia and Herzegovina",S5151)),"Bosnia and Herzegovina",
ISNUMBER(SEARCH("rn""&gt;Trinidad and Tobago",S5151)),"Trinidad and Tobago",
ISNUMBER(SEARCH("rn""&gt;Serbia and Montenegro",S5151)),"Serbia and Montenegro",
ISNUMBER(SEARCH(_xlfn.UNICHAR(65533),S5151)),"Côte d'Ivoire",
TRUE,"-"
)</f>
        <v>-</v>
      </c>
      <c r="W5151" s="42" t="str">
        <f t="shared" si="315"/>
        <v>-</v>
      </c>
    </row>
    <row r="5152" spans="19:23">
      <c r="S5152" s="42" t="str">
        <v/>
      </c>
      <c r="T5152" s="42" t="str">
        <f t="shared" si="313"/>
        <v>-</v>
      </c>
      <c r="U5152" s="40" t="str">
        <f t="shared" si="314"/>
        <v>-</v>
      </c>
      <c r="V5152" s="42" t="str" cm="1">
        <f t="array" ref="V5152">_xlfn.IFS(
LEFT(S5152,16)="win on penalties",IF(VALUE(MID(S5152,19,1))&gt;VALUE(MID(S5152,23,1)),DATA_CLEANED!AK666,DATA_CLEANED!AN666),
ISNUMBER(SEARCH("USA",S5152)),"United States",
ISNUMBER(SEARCH("Republic of Ireland",S5152)),"Ireland",
ISNUMBER(SEARCH("Republic of Korea",S5152)),"South Korea",
ISNUMBER(SEARCH("Cape Verde",S5152)),"Cabo Verde",
ISNUMBER(SEARCH("Czechia",S5152)),"Czech Republic",
ISNUMBER(SEARCH("Türkiye",S5152)),"Turkey",
ISNUMBER(SEARCH("Ivory Coast",S5152)),"Côte d'Ivoire",
ISNUMBER(SEARCH("Korea Republic",S5152)),"South Korea",
ISNUMBER(SEARCH("Germany FR",S5152)),"FR Germany",
ISNUMBER(SEARCH("West Germany",S5152)),"FR Germany",
ISNUMBER(SEARCH("Germany DR",S5152)),"DR Germany",
ISNUMBER(SEARCH("Korea DPR",S5152)),"North Korea",
ISNUMBER(SEARCH("China PR",S5152)),"China",
ISNUMBER(SEARCH("IR Iran",S5152)),"Iran",
ISNUMBER(SEARCH("Congo DR",S5152)),"Democratic Republic of the Congo",
ISNUMBER(SEARCH("DR Congo",S5152)),"Democratic Republic of the Congo",
ISNUMBER(SEARCH("German DR",S5152)),"DR Germany",
ISNUMBER(SEARCH("rn""&gt;United Arab Emirates",S5152)),"United Arab Emirates",
ISNUMBER(SEARCH("rn""&gt;Republic of Ireland",S5152)),"Ireland",
ISNUMBER(SEARCH("rn""&gt;Bosnia and Herzegovina",S5152)),"Bosnia and Herzegovina",
ISNUMBER(SEARCH("rn""&gt;Trinidad and Tobago",S5152)),"Trinidad and Tobago",
ISNUMBER(SEARCH("rn""&gt;Serbia and Montenegro",S5152)),"Serbia and Montenegro",
ISNUMBER(SEARCH(_xlfn.UNICHAR(65533),S5152)),"Côte d'Ivoire",
TRUE,"-"
)</f>
        <v>-</v>
      </c>
      <c r="W5152" s="42" t="str">
        <f t="shared" si="315"/>
        <v>-</v>
      </c>
    </row>
    <row r="5153" spans="19:23">
      <c r="S5153" s="42" t="str">
        <v/>
      </c>
      <c r="T5153" s="42" t="str">
        <f t="shared" si="313"/>
        <v>-</v>
      </c>
      <c r="U5153" s="40" t="str">
        <f t="shared" si="314"/>
        <v>-</v>
      </c>
      <c r="V5153" s="42" t="str" cm="1">
        <f t="array" ref="V5153">_xlfn.IFS(
LEFT(S5153,16)="win on penalties",IF(VALUE(MID(S5153,19,1))&gt;VALUE(MID(S5153,23,1)),DATA_CLEANED!AK667,DATA_CLEANED!AN667),
ISNUMBER(SEARCH("USA",S5153)),"United States",
ISNUMBER(SEARCH("Republic of Ireland",S5153)),"Ireland",
ISNUMBER(SEARCH("Republic of Korea",S5153)),"South Korea",
ISNUMBER(SEARCH("Cape Verde",S5153)),"Cabo Verde",
ISNUMBER(SEARCH("Czechia",S5153)),"Czech Republic",
ISNUMBER(SEARCH("Türkiye",S5153)),"Turkey",
ISNUMBER(SEARCH("Ivory Coast",S5153)),"Côte d'Ivoire",
ISNUMBER(SEARCH("Korea Republic",S5153)),"South Korea",
ISNUMBER(SEARCH("Germany FR",S5153)),"FR Germany",
ISNUMBER(SEARCH("West Germany",S5153)),"FR Germany",
ISNUMBER(SEARCH("Germany DR",S5153)),"DR Germany",
ISNUMBER(SEARCH("Korea DPR",S5153)),"North Korea",
ISNUMBER(SEARCH("China PR",S5153)),"China",
ISNUMBER(SEARCH("IR Iran",S5153)),"Iran",
ISNUMBER(SEARCH("Congo DR",S5153)),"Democratic Republic of the Congo",
ISNUMBER(SEARCH("DR Congo",S5153)),"Democratic Republic of the Congo",
ISNUMBER(SEARCH("German DR",S5153)),"DR Germany",
ISNUMBER(SEARCH("rn""&gt;United Arab Emirates",S5153)),"United Arab Emirates",
ISNUMBER(SEARCH("rn""&gt;Republic of Ireland",S5153)),"Ireland",
ISNUMBER(SEARCH("rn""&gt;Bosnia and Herzegovina",S5153)),"Bosnia and Herzegovina",
ISNUMBER(SEARCH("rn""&gt;Trinidad and Tobago",S5153)),"Trinidad and Tobago",
ISNUMBER(SEARCH("rn""&gt;Serbia and Montenegro",S5153)),"Serbia and Montenegro",
ISNUMBER(SEARCH(_xlfn.UNICHAR(65533),S5153)),"Côte d'Ivoire",
TRUE,"-"
)</f>
        <v>-</v>
      </c>
      <c r="W5153" s="42" t="str">
        <f t="shared" si="315"/>
        <v>-</v>
      </c>
    </row>
    <row r="5154" spans="19:23">
      <c r="S5154" s="42" t="str">
        <v/>
      </c>
      <c r="T5154" s="42" t="str">
        <f t="shared" si="313"/>
        <v>-</v>
      </c>
      <c r="U5154" s="40" t="str">
        <f t="shared" si="314"/>
        <v>-</v>
      </c>
      <c r="V5154" s="42" t="str" cm="1">
        <f t="array" ref="V5154">_xlfn.IFS(
LEFT(S5154,16)="win on penalties",IF(VALUE(MID(S5154,19,1))&gt;VALUE(MID(S5154,23,1)),DATA_CLEANED!AK668,DATA_CLEANED!AN668),
ISNUMBER(SEARCH("USA",S5154)),"United States",
ISNUMBER(SEARCH("Republic of Ireland",S5154)),"Ireland",
ISNUMBER(SEARCH("Republic of Korea",S5154)),"South Korea",
ISNUMBER(SEARCH("Cape Verde",S5154)),"Cabo Verde",
ISNUMBER(SEARCH("Czechia",S5154)),"Czech Republic",
ISNUMBER(SEARCH("Türkiye",S5154)),"Turkey",
ISNUMBER(SEARCH("Ivory Coast",S5154)),"Côte d'Ivoire",
ISNUMBER(SEARCH("Korea Republic",S5154)),"South Korea",
ISNUMBER(SEARCH("Germany FR",S5154)),"FR Germany",
ISNUMBER(SEARCH("West Germany",S5154)),"FR Germany",
ISNUMBER(SEARCH("Germany DR",S5154)),"DR Germany",
ISNUMBER(SEARCH("Korea DPR",S5154)),"North Korea",
ISNUMBER(SEARCH("China PR",S5154)),"China",
ISNUMBER(SEARCH("IR Iran",S5154)),"Iran",
ISNUMBER(SEARCH("Congo DR",S5154)),"Democratic Republic of the Congo",
ISNUMBER(SEARCH("DR Congo",S5154)),"Democratic Republic of the Congo",
ISNUMBER(SEARCH("German DR",S5154)),"DR Germany",
ISNUMBER(SEARCH("rn""&gt;United Arab Emirates",S5154)),"United Arab Emirates",
ISNUMBER(SEARCH("rn""&gt;Republic of Ireland",S5154)),"Ireland",
ISNUMBER(SEARCH("rn""&gt;Bosnia and Herzegovina",S5154)),"Bosnia and Herzegovina",
ISNUMBER(SEARCH("rn""&gt;Trinidad and Tobago",S5154)),"Trinidad and Tobago",
ISNUMBER(SEARCH("rn""&gt;Serbia and Montenegro",S5154)),"Serbia and Montenegro",
ISNUMBER(SEARCH(_xlfn.UNICHAR(65533),S5154)),"Côte d'Ivoire",
TRUE,"-"
)</f>
        <v>-</v>
      </c>
      <c r="W5154" s="42" t="str">
        <f t="shared" si="315"/>
        <v>-</v>
      </c>
    </row>
    <row r="5155" spans="19:23">
      <c r="S5155" s="42" t="str">
        <v/>
      </c>
      <c r="T5155" s="42" t="str">
        <f t="shared" si="313"/>
        <v>-</v>
      </c>
      <c r="U5155" s="40" t="str">
        <f t="shared" si="314"/>
        <v>-</v>
      </c>
      <c r="V5155" s="42" t="str" cm="1">
        <f t="array" ref="V5155">_xlfn.IFS(
LEFT(S5155,16)="win on penalties",IF(VALUE(MID(S5155,19,1))&gt;VALUE(MID(S5155,23,1)),DATA_CLEANED!AK669,DATA_CLEANED!AN669),
ISNUMBER(SEARCH("USA",S5155)),"United States",
ISNUMBER(SEARCH("Republic of Ireland",S5155)),"Ireland",
ISNUMBER(SEARCH("Republic of Korea",S5155)),"South Korea",
ISNUMBER(SEARCH("Cape Verde",S5155)),"Cabo Verde",
ISNUMBER(SEARCH("Czechia",S5155)),"Czech Republic",
ISNUMBER(SEARCH("Türkiye",S5155)),"Turkey",
ISNUMBER(SEARCH("Ivory Coast",S5155)),"Côte d'Ivoire",
ISNUMBER(SEARCH("Korea Republic",S5155)),"South Korea",
ISNUMBER(SEARCH("Germany FR",S5155)),"FR Germany",
ISNUMBER(SEARCH("West Germany",S5155)),"FR Germany",
ISNUMBER(SEARCH("Germany DR",S5155)),"DR Germany",
ISNUMBER(SEARCH("Korea DPR",S5155)),"North Korea",
ISNUMBER(SEARCH("China PR",S5155)),"China",
ISNUMBER(SEARCH("IR Iran",S5155)),"Iran",
ISNUMBER(SEARCH("Congo DR",S5155)),"Democratic Republic of the Congo",
ISNUMBER(SEARCH("DR Congo",S5155)),"Democratic Republic of the Congo",
ISNUMBER(SEARCH("German DR",S5155)),"DR Germany",
ISNUMBER(SEARCH("rn""&gt;United Arab Emirates",S5155)),"United Arab Emirates",
ISNUMBER(SEARCH("rn""&gt;Republic of Ireland",S5155)),"Ireland",
ISNUMBER(SEARCH("rn""&gt;Bosnia and Herzegovina",S5155)),"Bosnia and Herzegovina",
ISNUMBER(SEARCH("rn""&gt;Trinidad and Tobago",S5155)),"Trinidad and Tobago",
ISNUMBER(SEARCH("rn""&gt;Serbia and Montenegro",S5155)),"Serbia and Montenegro",
ISNUMBER(SEARCH(_xlfn.UNICHAR(65533),S5155)),"Côte d'Ivoire",
TRUE,"-"
)</f>
        <v>-</v>
      </c>
      <c r="W5155" s="42" t="str">
        <f t="shared" si="315"/>
        <v>-</v>
      </c>
    </row>
    <row r="5156" spans="19:23">
      <c r="S5156" s="42" t="str">
        <v/>
      </c>
      <c r="T5156" s="42" t="str">
        <f t="shared" si="313"/>
        <v>-</v>
      </c>
      <c r="U5156" s="40" t="str">
        <f t="shared" si="314"/>
        <v>-</v>
      </c>
      <c r="V5156" s="42" t="str" cm="1">
        <f t="array" ref="V5156">_xlfn.IFS(
LEFT(S5156,16)="win on penalties",IF(VALUE(MID(S5156,19,1))&gt;VALUE(MID(S5156,23,1)),DATA_CLEANED!AK670,DATA_CLEANED!AN670),
ISNUMBER(SEARCH("USA",S5156)),"United States",
ISNUMBER(SEARCH("Republic of Ireland",S5156)),"Ireland",
ISNUMBER(SEARCH("Republic of Korea",S5156)),"South Korea",
ISNUMBER(SEARCH("Cape Verde",S5156)),"Cabo Verde",
ISNUMBER(SEARCH("Czechia",S5156)),"Czech Republic",
ISNUMBER(SEARCH("Türkiye",S5156)),"Turkey",
ISNUMBER(SEARCH("Ivory Coast",S5156)),"Côte d'Ivoire",
ISNUMBER(SEARCH("Korea Republic",S5156)),"South Korea",
ISNUMBER(SEARCH("Germany FR",S5156)),"FR Germany",
ISNUMBER(SEARCH("West Germany",S5156)),"FR Germany",
ISNUMBER(SEARCH("Germany DR",S5156)),"DR Germany",
ISNUMBER(SEARCH("Korea DPR",S5156)),"North Korea",
ISNUMBER(SEARCH("China PR",S5156)),"China",
ISNUMBER(SEARCH("IR Iran",S5156)),"Iran",
ISNUMBER(SEARCH("Congo DR",S5156)),"Democratic Republic of the Congo",
ISNUMBER(SEARCH("DR Congo",S5156)),"Democratic Republic of the Congo",
ISNUMBER(SEARCH("German DR",S5156)),"DR Germany",
ISNUMBER(SEARCH("rn""&gt;United Arab Emirates",S5156)),"United Arab Emirates",
ISNUMBER(SEARCH("rn""&gt;Republic of Ireland",S5156)),"Ireland",
ISNUMBER(SEARCH("rn""&gt;Bosnia and Herzegovina",S5156)),"Bosnia and Herzegovina",
ISNUMBER(SEARCH("rn""&gt;Trinidad and Tobago",S5156)),"Trinidad and Tobago",
ISNUMBER(SEARCH("rn""&gt;Serbia and Montenegro",S5156)),"Serbia and Montenegro",
ISNUMBER(SEARCH(_xlfn.UNICHAR(65533),S5156)),"Côte d'Ivoire",
TRUE,"-"
)</f>
        <v>-</v>
      </c>
      <c r="W5156" s="42" t="str">
        <f t="shared" si="315"/>
        <v>-</v>
      </c>
    </row>
    <row r="5157" spans="19:23">
      <c r="S5157" s="42" t="str">
        <v/>
      </c>
      <c r="T5157" s="42" t="str">
        <f t="shared" si="313"/>
        <v>-</v>
      </c>
      <c r="U5157" s="40" t="str">
        <f t="shared" si="314"/>
        <v>-</v>
      </c>
      <c r="V5157" s="42" t="str" cm="1">
        <f t="array" ref="V5157">_xlfn.IFS(
LEFT(S5157,16)="win on penalties",IF(VALUE(MID(S5157,19,1))&gt;VALUE(MID(S5157,23,1)),DATA_CLEANED!AK671,DATA_CLEANED!AN671),
ISNUMBER(SEARCH("USA",S5157)),"United States",
ISNUMBER(SEARCH("Republic of Ireland",S5157)),"Ireland",
ISNUMBER(SEARCH("Republic of Korea",S5157)),"South Korea",
ISNUMBER(SEARCH("Cape Verde",S5157)),"Cabo Verde",
ISNUMBER(SEARCH("Czechia",S5157)),"Czech Republic",
ISNUMBER(SEARCH("Türkiye",S5157)),"Turkey",
ISNUMBER(SEARCH("Ivory Coast",S5157)),"Côte d'Ivoire",
ISNUMBER(SEARCH("Korea Republic",S5157)),"South Korea",
ISNUMBER(SEARCH("Germany FR",S5157)),"FR Germany",
ISNUMBER(SEARCH("West Germany",S5157)),"FR Germany",
ISNUMBER(SEARCH("Germany DR",S5157)),"DR Germany",
ISNUMBER(SEARCH("Korea DPR",S5157)),"North Korea",
ISNUMBER(SEARCH("China PR",S5157)),"China",
ISNUMBER(SEARCH("IR Iran",S5157)),"Iran",
ISNUMBER(SEARCH("Congo DR",S5157)),"Democratic Republic of the Congo",
ISNUMBER(SEARCH("DR Congo",S5157)),"Democratic Republic of the Congo",
ISNUMBER(SEARCH("German DR",S5157)),"DR Germany",
ISNUMBER(SEARCH("rn""&gt;United Arab Emirates",S5157)),"United Arab Emirates",
ISNUMBER(SEARCH("rn""&gt;Republic of Ireland",S5157)),"Ireland",
ISNUMBER(SEARCH("rn""&gt;Bosnia and Herzegovina",S5157)),"Bosnia and Herzegovina",
ISNUMBER(SEARCH("rn""&gt;Trinidad and Tobago",S5157)),"Trinidad and Tobago",
ISNUMBER(SEARCH("rn""&gt;Serbia and Montenegro",S5157)),"Serbia and Montenegro",
ISNUMBER(SEARCH(_xlfn.UNICHAR(65533),S5157)),"Côte d'Ivoire",
TRUE,"-"
)</f>
        <v>-</v>
      </c>
      <c r="W5157" s="42" t="str">
        <f t="shared" si="315"/>
        <v>-</v>
      </c>
    </row>
    <row r="5158" spans="19:23">
      <c r="S5158" s="42" t="str">
        <v/>
      </c>
      <c r="T5158" s="42" t="str">
        <f t="shared" si="313"/>
        <v>-</v>
      </c>
      <c r="U5158" s="40" t="str">
        <f t="shared" si="314"/>
        <v>-</v>
      </c>
      <c r="V5158" s="42" t="str" cm="1">
        <f t="array" ref="V5158">_xlfn.IFS(
LEFT(S5158,16)="win on penalties",IF(VALUE(MID(S5158,19,1))&gt;VALUE(MID(S5158,23,1)),DATA_CLEANED!AK672,DATA_CLEANED!AN672),
ISNUMBER(SEARCH("USA",S5158)),"United States",
ISNUMBER(SEARCH("Republic of Ireland",S5158)),"Ireland",
ISNUMBER(SEARCH("Republic of Korea",S5158)),"South Korea",
ISNUMBER(SEARCH("Cape Verde",S5158)),"Cabo Verde",
ISNUMBER(SEARCH("Czechia",S5158)),"Czech Republic",
ISNUMBER(SEARCH("Türkiye",S5158)),"Turkey",
ISNUMBER(SEARCH("Ivory Coast",S5158)),"Côte d'Ivoire",
ISNUMBER(SEARCH("Korea Republic",S5158)),"South Korea",
ISNUMBER(SEARCH("Germany FR",S5158)),"FR Germany",
ISNUMBER(SEARCH("West Germany",S5158)),"FR Germany",
ISNUMBER(SEARCH("Germany DR",S5158)),"DR Germany",
ISNUMBER(SEARCH("Korea DPR",S5158)),"North Korea",
ISNUMBER(SEARCH("China PR",S5158)),"China",
ISNUMBER(SEARCH("IR Iran",S5158)),"Iran",
ISNUMBER(SEARCH("Congo DR",S5158)),"Democratic Republic of the Congo",
ISNUMBER(SEARCH("DR Congo",S5158)),"Democratic Republic of the Congo",
ISNUMBER(SEARCH("German DR",S5158)),"DR Germany",
ISNUMBER(SEARCH("rn""&gt;United Arab Emirates",S5158)),"United Arab Emirates",
ISNUMBER(SEARCH("rn""&gt;Republic of Ireland",S5158)),"Ireland",
ISNUMBER(SEARCH("rn""&gt;Bosnia and Herzegovina",S5158)),"Bosnia and Herzegovina",
ISNUMBER(SEARCH("rn""&gt;Trinidad and Tobago",S5158)),"Trinidad and Tobago",
ISNUMBER(SEARCH("rn""&gt;Serbia and Montenegro",S5158)),"Serbia and Montenegro",
ISNUMBER(SEARCH(_xlfn.UNICHAR(65533),S5158)),"Côte d'Ivoire",
TRUE,"-"
)</f>
        <v>-</v>
      </c>
      <c r="W5158" s="42" t="str">
        <f t="shared" si="315"/>
        <v>-</v>
      </c>
    </row>
    <row r="5159" spans="19:23">
      <c r="S5159" s="42" t="str">
        <v/>
      </c>
      <c r="T5159" s="42" t="str">
        <f t="shared" si="313"/>
        <v>-</v>
      </c>
      <c r="U5159" s="40" t="str">
        <f t="shared" si="314"/>
        <v>-</v>
      </c>
      <c r="V5159" s="42" t="str" cm="1">
        <f t="array" ref="V5159">_xlfn.IFS(
LEFT(S5159,16)="win on penalties",IF(VALUE(MID(S5159,19,1))&gt;VALUE(MID(S5159,23,1)),DATA_CLEANED!AK673,DATA_CLEANED!AN673),
ISNUMBER(SEARCH("USA",S5159)),"United States",
ISNUMBER(SEARCH("Republic of Ireland",S5159)),"Ireland",
ISNUMBER(SEARCH("Republic of Korea",S5159)),"South Korea",
ISNUMBER(SEARCH("Cape Verde",S5159)),"Cabo Verde",
ISNUMBER(SEARCH("Czechia",S5159)),"Czech Republic",
ISNUMBER(SEARCH("Türkiye",S5159)),"Turkey",
ISNUMBER(SEARCH("Ivory Coast",S5159)),"Côte d'Ivoire",
ISNUMBER(SEARCH("Korea Republic",S5159)),"South Korea",
ISNUMBER(SEARCH("Germany FR",S5159)),"FR Germany",
ISNUMBER(SEARCH("West Germany",S5159)),"FR Germany",
ISNUMBER(SEARCH("Germany DR",S5159)),"DR Germany",
ISNUMBER(SEARCH("Korea DPR",S5159)),"North Korea",
ISNUMBER(SEARCH("China PR",S5159)),"China",
ISNUMBER(SEARCH("IR Iran",S5159)),"Iran",
ISNUMBER(SEARCH("Congo DR",S5159)),"Democratic Republic of the Congo",
ISNUMBER(SEARCH("DR Congo",S5159)),"Democratic Republic of the Congo",
ISNUMBER(SEARCH("German DR",S5159)),"DR Germany",
ISNUMBER(SEARCH("rn""&gt;United Arab Emirates",S5159)),"United Arab Emirates",
ISNUMBER(SEARCH("rn""&gt;Republic of Ireland",S5159)),"Ireland",
ISNUMBER(SEARCH("rn""&gt;Bosnia and Herzegovina",S5159)),"Bosnia and Herzegovina",
ISNUMBER(SEARCH("rn""&gt;Trinidad and Tobago",S5159)),"Trinidad and Tobago",
ISNUMBER(SEARCH("rn""&gt;Serbia and Montenegro",S5159)),"Serbia and Montenegro",
ISNUMBER(SEARCH(_xlfn.UNICHAR(65533),S5159)),"Côte d'Ivoire",
TRUE,"-"
)</f>
        <v>-</v>
      </c>
      <c r="W5159" s="42" t="str">
        <f t="shared" si="315"/>
        <v>-</v>
      </c>
    </row>
    <row r="5160" spans="19:23">
      <c r="S5160" s="42" t="str">
        <v/>
      </c>
      <c r="T5160" s="42" t="str">
        <f t="shared" si="313"/>
        <v>-</v>
      </c>
      <c r="U5160" s="40" t="str">
        <f t="shared" si="314"/>
        <v>-</v>
      </c>
      <c r="V5160" s="42" t="str" cm="1">
        <f t="array" ref="V5160">_xlfn.IFS(
LEFT(S5160,16)="win on penalties",IF(VALUE(MID(S5160,19,1))&gt;VALUE(MID(S5160,23,1)),DATA_CLEANED!AK674,DATA_CLEANED!AN674),
ISNUMBER(SEARCH("USA",S5160)),"United States",
ISNUMBER(SEARCH("Republic of Ireland",S5160)),"Ireland",
ISNUMBER(SEARCH("Republic of Korea",S5160)),"South Korea",
ISNUMBER(SEARCH("Cape Verde",S5160)),"Cabo Verde",
ISNUMBER(SEARCH("Czechia",S5160)),"Czech Republic",
ISNUMBER(SEARCH("Türkiye",S5160)),"Turkey",
ISNUMBER(SEARCH("Ivory Coast",S5160)),"Côte d'Ivoire",
ISNUMBER(SEARCH("Korea Republic",S5160)),"South Korea",
ISNUMBER(SEARCH("Germany FR",S5160)),"FR Germany",
ISNUMBER(SEARCH("West Germany",S5160)),"FR Germany",
ISNUMBER(SEARCH("Germany DR",S5160)),"DR Germany",
ISNUMBER(SEARCH("Korea DPR",S5160)),"North Korea",
ISNUMBER(SEARCH("China PR",S5160)),"China",
ISNUMBER(SEARCH("IR Iran",S5160)),"Iran",
ISNUMBER(SEARCH("Congo DR",S5160)),"Democratic Republic of the Congo",
ISNUMBER(SEARCH("DR Congo",S5160)),"Democratic Republic of the Congo",
ISNUMBER(SEARCH("German DR",S5160)),"DR Germany",
ISNUMBER(SEARCH("rn""&gt;United Arab Emirates",S5160)),"United Arab Emirates",
ISNUMBER(SEARCH("rn""&gt;Republic of Ireland",S5160)),"Ireland",
ISNUMBER(SEARCH("rn""&gt;Bosnia and Herzegovina",S5160)),"Bosnia and Herzegovina",
ISNUMBER(SEARCH("rn""&gt;Trinidad and Tobago",S5160)),"Trinidad and Tobago",
ISNUMBER(SEARCH("rn""&gt;Serbia and Montenegro",S5160)),"Serbia and Montenegro",
ISNUMBER(SEARCH(_xlfn.UNICHAR(65533),S5160)),"Côte d'Ivoire",
TRUE,"-"
)</f>
        <v>-</v>
      </c>
      <c r="W5160" s="42" t="str">
        <f t="shared" si="315"/>
        <v>-</v>
      </c>
    </row>
    <row r="5161" spans="19:23">
      <c r="S5161" s="42" t="str">
        <v/>
      </c>
      <c r="T5161" s="42" t="str">
        <f t="shared" si="313"/>
        <v>-</v>
      </c>
      <c r="U5161" s="40" t="str">
        <f t="shared" si="314"/>
        <v>-</v>
      </c>
      <c r="V5161" s="42" t="str" cm="1">
        <f t="array" ref="V5161">_xlfn.IFS(
LEFT(S5161,16)="win on penalties",IF(VALUE(MID(S5161,19,1))&gt;VALUE(MID(S5161,23,1)),DATA_CLEANED!AK675,DATA_CLEANED!AN675),
ISNUMBER(SEARCH("USA",S5161)),"United States",
ISNUMBER(SEARCH("Republic of Ireland",S5161)),"Ireland",
ISNUMBER(SEARCH("Republic of Korea",S5161)),"South Korea",
ISNUMBER(SEARCH("Cape Verde",S5161)),"Cabo Verde",
ISNUMBER(SEARCH("Czechia",S5161)),"Czech Republic",
ISNUMBER(SEARCH("Türkiye",S5161)),"Turkey",
ISNUMBER(SEARCH("Ivory Coast",S5161)),"Côte d'Ivoire",
ISNUMBER(SEARCH("Korea Republic",S5161)),"South Korea",
ISNUMBER(SEARCH("Germany FR",S5161)),"FR Germany",
ISNUMBER(SEARCH("West Germany",S5161)),"FR Germany",
ISNUMBER(SEARCH("Germany DR",S5161)),"DR Germany",
ISNUMBER(SEARCH("Korea DPR",S5161)),"North Korea",
ISNUMBER(SEARCH("China PR",S5161)),"China",
ISNUMBER(SEARCH("IR Iran",S5161)),"Iran",
ISNUMBER(SEARCH("Congo DR",S5161)),"Democratic Republic of the Congo",
ISNUMBER(SEARCH("DR Congo",S5161)),"Democratic Republic of the Congo",
ISNUMBER(SEARCH("German DR",S5161)),"DR Germany",
ISNUMBER(SEARCH("rn""&gt;United Arab Emirates",S5161)),"United Arab Emirates",
ISNUMBER(SEARCH("rn""&gt;Republic of Ireland",S5161)),"Ireland",
ISNUMBER(SEARCH("rn""&gt;Bosnia and Herzegovina",S5161)),"Bosnia and Herzegovina",
ISNUMBER(SEARCH("rn""&gt;Trinidad and Tobago",S5161)),"Trinidad and Tobago",
ISNUMBER(SEARCH("rn""&gt;Serbia and Montenegro",S5161)),"Serbia and Montenegro",
ISNUMBER(SEARCH(_xlfn.UNICHAR(65533),S5161)),"Côte d'Ivoire",
TRUE,"-"
)</f>
        <v>-</v>
      </c>
      <c r="W5161" s="42" t="str">
        <f t="shared" si="315"/>
        <v>-</v>
      </c>
    </row>
    <row r="5162" spans="19:23">
      <c r="S5162" s="42" t="str">
        <v/>
      </c>
      <c r="T5162" s="42" t="str">
        <f t="shared" si="313"/>
        <v>-</v>
      </c>
      <c r="U5162" s="40" t="str">
        <f t="shared" si="314"/>
        <v>-</v>
      </c>
      <c r="V5162" s="42" t="str" cm="1">
        <f t="array" ref="V5162">_xlfn.IFS(
LEFT(S5162,16)="win on penalties",IF(VALUE(MID(S5162,19,1))&gt;VALUE(MID(S5162,23,1)),DATA_CLEANED!AK676,DATA_CLEANED!AN676),
ISNUMBER(SEARCH("USA",S5162)),"United States",
ISNUMBER(SEARCH("Republic of Ireland",S5162)),"Ireland",
ISNUMBER(SEARCH("Republic of Korea",S5162)),"South Korea",
ISNUMBER(SEARCH("Cape Verde",S5162)),"Cabo Verde",
ISNUMBER(SEARCH("Czechia",S5162)),"Czech Republic",
ISNUMBER(SEARCH("Türkiye",S5162)),"Turkey",
ISNUMBER(SEARCH("Ivory Coast",S5162)),"Côte d'Ivoire",
ISNUMBER(SEARCH("Korea Republic",S5162)),"South Korea",
ISNUMBER(SEARCH("Germany FR",S5162)),"FR Germany",
ISNUMBER(SEARCH("West Germany",S5162)),"FR Germany",
ISNUMBER(SEARCH("Germany DR",S5162)),"DR Germany",
ISNUMBER(SEARCH("Korea DPR",S5162)),"North Korea",
ISNUMBER(SEARCH("China PR",S5162)),"China",
ISNUMBER(SEARCH("IR Iran",S5162)),"Iran",
ISNUMBER(SEARCH("Congo DR",S5162)),"Democratic Republic of the Congo",
ISNUMBER(SEARCH("DR Congo",S5162)),"Democratic Republic of the Congo",
ISNUMBER(SEARCH("German DR",S5162)),"DR Germany",
ISNUMBER(SEARCH("rn""&gt;United Arab Emirates",S5162)),"United Arab Emirates",
ISNUMBER(SEARCH("rn""&gt;Republic of Ireland",S5162)),"Ireland",
ISNUMBER(SEARCH("rn""&gt;Bosnia and Herzegovina",S5162)),"Bosnia and Herzegovina",
ISNUMBER(SEARCH("rn""&gt;Trinidad and Tobago",S5162)),"Trinidad and Tobago",
ISNUMBER(SEARCH("rn""&gt;Serbia and Montenegro",S5162)),"Serbia and Montenegro",
ISNUMBER(SEARCH(_xlfn.UNICHAR(65533),S5162)),"Côte d'Ivoire",
TRUE,"-"
)</f>
        <v>-</v>
      </c>
      <c r="W5162" s="42" t="str">
        <f t="shared" si="315"/>
        <v>-</v>
      </c>
    </row>
    <row r="5163" spans="19:23">
      <c r="S5163" s="42" t="str">
        <v/>
      </c>
      <c r="T5163" s="42" t="str">
        <f t="shared" si="313"/>
        <v>-</v>
      </c>
      <c r="U5163" s="40" t="str">
        <f t="shared" si="314"/>
        <v>-</v>
      </c>
      <c r="V5163" s="42" t="str" cm="1">
        <f t="array" ref="V5163">_xlfn.IFS(
LEFT(S5163,16)="win on penalties",IF(VALUE(MID(S5163,19,1))&gt;VALUE(MID(S5163,23,1)),DATA_CLEANED!AK677,DATA_CLEANED!AN677),
ISNUMBER(SEARCH("USA",S5163)),"United States",
ISNUMBER(SEARCH("Republic of Ireland",S5163)),"Ireland",
ISNUMBER(SEARCH("Republic of Korea",S5163)),"South Korea",
ISNUMBER(SEARCH("Cape Verde",S5163)),"Cabo Verde",
ISNUMBER(SEARCH("Czechia",S5163)),"Czech Republic",
ISNUMBER(SEARCH("Türkiye",S5163)),"Turkey",
ISNUMBER(SEARCH("Ivory Coast",S5163)),"Côte d'Ivoire",
ISNUMBER(SEARCH("Korea Republic",S5163)),"South Korea",
ISNUMBER(SEARCH("Germany FR",S5163)),"FR Germany",
ISNUMBER(SEARCH("West Germany",S5163)),"FR Germany",
ISNUMBER(SEARCH("Germany DR",S5163)),"DR Germany",
ISNUMBER(SEARCH("Korea DPR",S5163)),"North Korea",
ISNUMBER(SEARCH("China PR",S5163)),"China",
ISNUMBER(SEARCH("IR Iran",S5163)),"Iran",
ISNUMBER(SEARCH("Congo DR",S5163)),"Democratic Republic of the Congo",
ISNUMBER(SEARCH("DR Congo",S5163)),"Democratic Republic of the Congo",
ISNUMBER(SEARCH("German DR",S5163)),"DR Germany",
ISNUMBER(SEARCH("rn""&gt;United Arab Emirates",S5163)),"United Arab Emirates",
ISNUMBER(SEARCH("rn""&gt;Republic of Ireland",S5163)),"Ireland",
ISNUMBER(SEARCH("rn""&gt;Bosnia and Herzegovina",S5163)),"Bosnia and Herzegovina",
ISNUMBER(SEARCH("rn""&gt;Trinidad and Tobago",S5163)),"Trinidad and Tobago",
ISNUMBER(SEARCH("rn""&gt;Serbia and Montenegro",S5163)),"Serbia and Montenegro",
ISNUMBER(SEARCH(_xlfn.UNICHAR(65533),S5163)),"Côte d'Ivoire",
TRUE,"-"
)</f>
        <v>-</v>
      </c>
      <c r="W5163" s="42" t="str">
        <f t="shared" si="315"/>
        <v>-</v>
      </c>
    </row>
    <row r="5164" spans="19:23">
      <c r="S5164" s="42" t="str">
        <v/>
      </c>
      <c r="T5164" s="42" t="str">
        <f t="shared" si="313"/>
        <v>-</v>
      </c>
      <c r="U5164" s="40" t="str">
        <f t="shared" si="314"/>
        <v>-</v>
      </c>
      <c r="V5164" s="42" t="str" cm="1">
        <f t="array" ref="V5164">_xlfn.IFS(
LEFT(S5164,16)="win on penalties",IF(VALUE(MID(S5164,19,1))&gt;VALUE(MID(S5164,23,1)),DATA_CLEANED!AK678,DATA_CLEANED!AN678),
ISNUMBER(SEARCH("USA",S5164)),"United States",
ISNUMBER(SEARCH("Republic of Ireland",S5164)),"Ireland",
ISNUMBER(SEARCH("Republic of Korea",S5164)),"South Korea",
ISNUMBER(SEARCH("Cape Verde",S5164)),"Cabo Verde",
ISNUMBER(SEARCH("Czechia",S5164)),"Czech Republic",
ISNUMBER(SEARCH("Türkiye",S5164)),"Turkey",
ISNUMBER(SEARCH("Ivory Coast",S5164)),"Côte d'Ivoire",
ISNUMBER(SEARCH("Korea Republic",S5164)),"South Korea",
ISNUMBER(SEARCH("Germany FR",S5164)),"FR Germany",
ISNUMBER(SEARCH("West Germany",S5164)),"FR Germany",
ISNUMBER(SEARCH("Germany DR",S5164)),"DR Germany",
ISNUMBER(SEARCH("Korea DPR",S5164)),"North Korea",
ISNUMBER(SEARCH("China PR",S5164)),"China",
ISNUMBER(SEARCH("IR Iran",S5164)),"Iran",
ISNUMBER(SEARCH("Congo DR",S5164)),"Democratic Republic of the Congo",
ISNUMBER(SEARCH("DR Congo",S5164)),"Democratic Republic of the Congo",
ISNUMBER(SEARCH("German DR",S5164)),"DR Germany",
ISNUMBER(SEARCH("rn""&gt;United Arab Emirates",S5164)),"United Arab Emirates",
ISNUMBER(SEARCH("rn""&gt;Republic of Ireland",S5164)),"Ireland",
ISNUMBER(SEARCH("rn""&gt;Bosnia and Herzegovina",S5164)),"Bosnia and Herzegovina",
ISNUMBER(SEARCH("rn""&gt;Trinidad and Tobago",S5164)),"Trinidad and Tobago",
ISNUMBER(SEARCH("rn""&gt;Serbia and Montenegro",S5164)),"Serbia and Montenegro",
ISNUMBER(SEARCH(_xlfn.UNICHAR(65533),S5164)),"Côte d'Ivoire",
TRUE,"-"
)</f>
        <v>-</v>
      </c>
      <c r="W5164" s="42" t="str">
        <f t="shared" si="315"/>
        <v>-</v>
      </c>
    </row>
    <row r="5165" spans="19:23">
      <c r="S5165" s="42" t="str">
        <v/>
      </c>
      <c r="T5165" s="42" t="str">
        <f t="shared" si="313"/>
        <v>-</v>
      </c>
      <c r="U5165" s="40" t="str">
        <f t="shared" si="314"/>
        <v>-</v>
      </c>
      <c r="V5165" s="42" t="str" cm="1">
        <f t="array" ref="V5165">_xlfn.IFS(
LEFT(S5165,16)="win on penalties",IF(VALUE(MID(S5165,19,1))&gt;VALUE(MID(S5165,23,1)),DATA_CLEANED!AK679,DATA_CLEANED!AN679),
ISNUMBER(SEARCH("USA",S5165)),"United States",
ISNUMBER(SEARCH("Republic of Ireland",S5165)),"Ireland",
ISNUMBER(SEARCH("Republic of Korea",S5165)),"South Korea",
ISNUMBER(SEARCH("Cape Verde",S5165)),"Cabo Verde",
ISNUMBER(SEARCH("Czechia",S5165)),"Czech Republic",
ISNUMBER(SEARCH("Türkiye",S5165)),"Turkey",
ISNUMBER(SEARCH("Ivory Coast",S5165)),"Côte d'Ivoire",
ISNUMBER(SEARCH("Korea Republic",S5165)),"South Korea",
ISNUMBER(SEARCH("Germany FR",S5165)),"FR Germany",
ISNUMBER(SEARCH("West Germany",S5165)),"FR Germany",
ISNUMBER(SEARCH("Germany DR",S5165)),"DR Germany",
ISNUMBER(SEARCH("Korea DPR",S5165)),"North Korea",
ISNUMBER(SEARCH("China PR",S5165)),"China",
ISNUMBER(SEARCH("IR Iran",S5165)),"Iran",
ISNUMBER(SEARCH("Congo DR",S5165)),"Democratic Republic of the Congo",
ISNUMBER(SEARCH("DR Congo",S5165)),"Democratic Republic of the Congo",
ISNUMBER(SEARCH("German DR",S5165)),"DR Germany",
ISNUMBER(SEARCH("rn""&gt;United Arab Emirates",S5165)),"United Arab Emirates",
ISNUMBER(SEARCH("rn""&gt;Republic of Ireland",S5165)),"Ireland",
ISNUMBER(SEARCH("rn""&gt;Bosnia and Herzegovina",S5165)),"Bosnia and Herzegovina",
ISNUMBER(SEARCH("rn""&gt;Trinidad and Tobago",S5165)),"Trinidad and Tobago",
ISNUMBER(SEARCH("rn""&gt;Serbia and Montenegro",S5165)),"Serbia and Montenegro",
ISNUMBER(SEARCH(_xlfn.UNICHAR(65533),S5165)),"Côte d'Ivoire",
TRUE,"-"
)</f>
        <v>-</v>
      </c>
      <c r="W5165" s="42" t="str">
        <f t="shared" si="315"/>
        <v>-</v>
      </c>
    </row>
    <row r="5166" spans="19:23">
      <c r="S5166" s="42" t="str">
        <v/>
      </c>
      <c r="T5166" s="42" t="str">
        <f t="shared" si="313"/>
        <v>-</v>
      </c>
      <c r="U5166" s="40" t="str">
        <f t="shared" si="314"/>
        <v>-</v>
      </c>
      <c r="V5166" s="42" t="str" cm="1">
        <f t="array" ref="V5166">_xlfn.IFS(
LEFT(S5166,16)="win on penalties",IF(VALUE(MID(S5166,19,1))&gt;VALUE(MID(S5166,23,1)),DATA_CLEANED!AK680,DATA_CLEANED!AN680),
ISNUMBER(SEARCH("USA",S5166)),"United States",
ISNUMBER(SEARCH("Republic of Ireland",S5166)),"Ireland",
ISNUMBER(SEARCH("Republic of Korea",S5166)),"South Korea",
ISNUMBER(SEARCH("Cape Verde",S5166)),"Cabo Verde",
ISNUMBER(SEARCH("Czechia",S5166)),"Czech Republic",
ISNUMBER(SEARCH("Türkiye",S5166)),"Turkey",
ISNUMBER(SEARCH("Ivory Coast",S5166)),"Côte d'Ivoire",
ISNUMBER(SEARCH("Korea Republic",S5166)),"South Korea",
ISNUMBER(SEARCH("Germany FR",S5166)),"FR Germany",
ISNUMBER(SEARCH("West Germany",S5166)),"FR Germany",
ISNUMBER(SEARCH("Germany DR",S5166)),"DR Germany",
ISNUMBER(SEARCH("Korea DPR",S5166)),"North Korea",
ISNUMBER(SEARCH("China PR",S5166)),"China",
ISNUMBER(SEARCH("IR Iran",S5166)),"Iran",
ISNUMBER(SEARCH("Congo DR",S5166)),"Democratic Republic of the Congo",
ISNUMBER(SEARCH("DR Congo",S5166)),"Democratic Republic of the Congo",
ISNUMBER(SEARCH("German DR",S5166)),"DR Germany",
ISNUMBER(SEARCH("rn""&gt;United Arab Emirates",S5166)),"United Arab Emirates",
ISNUMBER(SEARCH("rn""&gt;Republic of Ireland",S5166)),"Ireland",
ISNUMBER(SEARCH("rn""&gt;Bosnia and Herzegovina",S5166)),"Bosnia and Herzegovina",
ISNUMBER(SEARCH("rn""&gt;Trinidad and Tobago",S5166)),"Trinidad and Tobago",
ISNUMBER(SEARCH("rn""&gt;Serbia and Montenegro",S5166)),"Serbia and Montenegro",
ISNUMBER(SEARCH(_xlfn.UNICHAR(65533),S5166)),"Côte d'Ivoire",
TRUE,"-"
)</f>
        <v>-</v>
      </c>
      <c r="W5166" s="42" t="str">
        <f t="shared" si="315"/>
        <v>-</v>
      </c>
    </row>
    <row r="5167" spans="19:23">
      <c r="S5167" s="42" t="str">
        <v/>
      </c>
      <c r="T5167" s="42" t="str">
        <f t="shared" si="313"/>
        <v>-</v>
      </c>
      <c r="U5167" s="40" t="str">
        <f t="shared" si="314"/>
        <v>-</v>
      </c>
      <c r="V5167" s="42" t="str" cm="1">
        <f t="array" ref="V5167">_xlfn.IFS(
LEFT(S5167,16)="win on penalties",IF(VALUE(MID(S5167,19,1))&gt;VALUE(MID(S5167,23,1)),DATA_CLEANED!AK681,DATA_CLEANED!AN681),
ISNUMBER(SEARCH("USA",S5167)),"United States",
ISNUMBER(SEARCH("Republic of Ireland",S5167)),"Ireland",
ISNUMBER(SEARCH("Republic of Korea",S5167)),"South Korea",
ISNUMBER(SEARCH("Cape Verde",S5167)),"Cabo Verde",
ISNUMBER(SEARCH("Czechia",S5167)),"Czech Republic",
ISNUMBER(SEARCH("Türkiye",S5167)),"Turkey",
ISNUMBER(SEARCH("Ivory Coast",S5167)),"Côte d'Ivoire",
ISNUMBER(SEARCH("Korea Republic",S5167)),"South Korea",
ISNUMBER(SEARCH("Germany FR",S5167)),"FR Germany",
ISNUMBER(SEARCH("West Germany",S5167)),"FR Germany",
ISNUMBER(SEARCH("Germany DR",S5167)),"DR Germany",
ISNUMBER(SEARCH("Korea DPR",S5167)),"North Korea",
ISNUMBER(SEARCH("China PR",S5167)),"China",
ISNUMBER(SEARCH("IR Iran",S5167)),"Iran",
ISNUMBER(SEARCH("Congo DR",S5167)),"Democratic Republic of the Congo",
ISNUMBER(SEARCH("DR Congo",S5167)),"Democratic Republic of the Congo",
ISNUMBER(SEARCH("German DR",S5167)),"DR Germany",
ISNUMBER(SEARCH("rn""&gt;United Arab Emirates",S5167)),"United Arab Emirates",
ISNUMBER(SEARCH("rn""&gt;Republic of Ireland",S5167)),"Ireland",
ISNUMBER(SEARCH("rn""&gt;Bosnia and Herzegovina",S5167)),"Bosnia and Herzegovina",
ISNUMBER(SEARCH("rn""&gt;Trinidad and Tobago",S5167)),"Trinidad and Tobago",
ISNUMBER(SEARCH("rn""&gt;Serbia and Montenegro",S5167)),"Serbia and Montenegro",
ISNUMBER(SEARCH(_xlfn.UNICHAR(65533),S5167)),"Côte d'Ivoire",
TRUE,"-"
)</f>
        <v>-</v>
      </c>
      <c r="W5167" s="42" t="str">
        <f t="shared" si="315"/>
        <v>-</v>
      </c>
    </row>
    <row r="5168" spans="19:23">
      <c r="S5168" s="42" t="str">
        <v/>
      </c>
      <c r="T5168" s="42" t="str">
        <f t="shared" si="313"/>
        <v>-</v>
      </c>
      <c r="U5168" s="40" t="str">
        <f t="shared" si="314"/>
        <v>-</v>
      </c>
      <c r="V5168" s="42" t="str" cm="1">
        <f t="array" ref="V5168">_xlfn.IFS(
LEFT(S5168,16)="win on penalties",IF(VALUE(MID(S5168,19,1))&gt;VALUE(MID(S5168,23,1)),DATA_CLEANED!AK682,DATA_CLEANED!AN682),
ISNUMBER(SEARCH("USA",S5168)),"United States",
ISNUMBER(SEARCH("Republic of Ireland",S5168)),"Ireland",
ISNUMBER(SEARCH("Republic of Korea",S5168)),"South Korea",
ISNUMBER(SEARCH("Cape Verde",S5168)),"Cabo Verde",
ISNUMBER(SEARCH("Czechia",S5168)),"Czech Republic",
ISNUMBER(SEARCH("Türkiye",S5168)),"Turkey",
ISNUMBER(SEARCH("Ivory Coast",S5168)),"Côte d'Ivoire",
ISNUMBER(SEARCH("Korea Republic",S5168)),"South Korea",
ISNUMBER(SEARCH("Germany FR",S5168)),"FR Germany",
ISNUMBER(SEARCH("West Germany",S5168)),"FR Germany",
ISNUMBER(SEARCH("Germany DR",S5168)),"DR Germany",
ISNUMBER(SEARCH("Korea DPR",S5168)),"North Korea",
ISNUMBER(SEARCH("China PR",S5168)),"China",
ISNUMBER(SEARCH("IR Iran",S5168)),"Iran",
ISNUMBER(SEARCH("Congo DR",S5168)),"Democratic Republic of the Congo",
ISNUMBER(SEARCH("DR Congo",S5168)),"Democratic Republic of the Congo",
ISNUMBER(SEARCH("German DR",S5168)),"DR Germany",
ISNUMBER(SEARCH("rn""&gt;United Arab Emirates",S5168)),"United Arab Emirates",
ISNUMBER(SEARCH("rn""&gt;Republic of Ireland",S5168)),"Ireland",
ISNUMBER(SEARCH("rn""&gt;Bosnia and Herzegovina",S5168)),"Bosnia and Herzegovina",
ISNUMBER(SEARCH("rn""&gt;Trinidad and Tobago",S5168)),"Trinidad and Tobago",
ISNUMBER(SEARCH("rn""&gt;Serbia and Montenegro",S5168)),"Serbia and Montenegro",
ISNUMBER(SEARCH(_xlfn.UNICHAR(65533),S5168)),"Côte d'Ivoire",
TRUE,"-"
)</f>
        <v>-</v>
      </c>
      <c r="W5168" s="42" t="str">
        <f t="shared" si="315"/>
        <v>-</v>
      </c>
    </row>
    <row r="5169" spans="19:23">
      <c r="S5169" s="42" t="str">
        <v/>
      </c>
      <c r="T5169" s="42" t="str">
        <f t="shared" si="313"/>
        <v>-</v>
      </c>
      <c r="U5169" s="40" t="str">
        <f t="shared" si="314"/>
        <v>-</v>
      </c>
      <c r="V5169" s="42" t="str" cm="1">
        <f t="array" ref="V5169">_xlfn.IFS(
LEFT(S5169,16)="win on penalties",IF(VALUE(MID(S5169,19,1))&gt;VALUE(MID(S5169,23,1)),DATA_CLEANED!AK683,DATA_CLEANED!AN683),
ISNUMBER(SEARCH("USA",S5169)),"United States",
ISNUMBER(SEARCH("Republic of Ireland",S5169)),"Ireland",
ISNUMBER(SEARCH("Republic of Korea",S5169)),"South Korea",
ISNUMBER(SEARCH("Cape Verde",S5169)),"Cabo Verde",
ISNUMBER(SEARCH("Czechia",S5169)),"Czech Republic",
ISNUMBER(SEARCH("Türkiye",S5169)),"Turkey",
ISNUMBER(SEARCH("Ivory Coast",S5169)),"Côte d'Ivoire",
ISNUMBER(SEARCH("Korea Republic",S5169)),"South Korea",
ISNUMBER(SEARCH("Germany FR",S5169)),"FR Germany",
ISNUMBER(SEARCH("West Germany",S5169)),"FR Germany",
ISNUMBER(SEARCH("Germany DR",S5169)),"DR Germany",
ISNUMBER(SEARCH("Korea DPR",S5169)),"North Korea",
ISNUMBER(SEARCH("China PR",S5169)),"China",
ISNUMBER(SEARCH("IR Iran",S5169)),"Iran",
ISNUMBER(SEARCH("Congo DR",S5169)),"Democratic Republic of the Congo",
ISNUMBER(SEARCH("DR Congo",S5169)),"Democratic Republic of the Congo",
ISNUMBER(SEARCH("German DR",S5169)),"DR Germany",
ISNUMBER(SEARCH("rn""&gt;United Arab Emirates",S5169)),"United Arab Emirates",
ISNUMBER(SEARCH("rn""&gt;Republic of Ireland",S5169)),"Ireland",
ISNUMBER(SEARCH("rn""&gt;Bosnia and Herzegovina",S5169)),"Bosnia and Herzegovina",
ISNUMBER(SEARCH("rn""&gt;Trinidad and Tobago",S5169)),"Trinidad and Tobago",
ISNUMBER(SEARCH("rn""&gt;Serbia and Montenegro",S5169)),"Serbia and Montenegro",
ISNUMBER(SEARCH(_xlfn.UNICHAR(65533),S5169)),"Côte d'Ivoire",
TRUE,"-"
)</f>
        <v>-</v>
      </c>
      <c r="W5169" s="42" t="str">
        <f t="shared" si="315"/>
        <v>-</v>
      </c>
    </row>
    <row r="5170" spans="19:23">
      <c r="S5170" s="42" t="str">
        <v/>
      </c>
      <c r="T5170" s="42" t="str">
        <f t="shared" si="313"/>
        <v>-</v>
      </c>
      <c r="U5170" s="40" t="str">
        <f t="shared" si="314"/>
        <v>-</v>
      </c>
      <c r="V5170" s="42" t="str" cm="1">
        <f t="array" ref="V5170">_xlfn.IFS(
LEFT(S5170,16)="win on penalties",IF(VALUE(MID(S5170,19,1))&gt;VALUE(MID(S5170,23,1)),DATA_CLEANED!AK684,DATA_CLEANED!AN684),
ISNUMBER(SEARCH("USA",S5170)),"United States",
ISNUMBER(SEARCH("Republic of Ireland",S5170)),"Ireland",
ISNUMBER(SEARCH("Republic of Korea",S5170)),"South Korea",
ISNUMBER(SEARCH("Cape Verde",S5170)),"Cabo Verde",
ISNUMBER(SEARCH("Czechia",S5170)),"Czech Republic",
ISNUMBER(SEARCH("Türkiye",S5170)),"Turkey",
ISNUMBER(SEARCH("Ivory Coast",S5170)),"Côte d'Ivoire",
ISNUMBER(SEARCH("Korea Republic",S5170)),"South Korea",
ISNUMBER(SEARCH("Germany FR",S5170)),"FR Germany",
ISNUMBER(SEARCH("West Germany",S5170)),"FR Germany",
ISNUMBER(SEARCH("Germany DR",S5170)),"DR Germany",
ISNUMBER(SEARCH("Korea DPR",S5170)),"North Korea",
ISNUMBER(SEARCH("China PR",S5170)),"China",
ISNUMBER(SEARCH("IR Iran",S5170)),"Iran",
ISNUMBER(SEARCH("Congo DR",S5170)),"Democratic Republic of the Congo",
ISNUMBER(SEARCH("DR Congo",S5170)),"Democratic Republic of the Congo",
ISNUMBER(SEARCH("German DR",S5170)),"DR Germany",
ISNUMBER(SEARCH("rn""&gt;United Arab Emirates",S5170)),"United Arab Emirates",
ISNUMBER(SEARCH("rn""&gt;Republic of Ireland",S5170)),"Ireland",
ISNUMBER(SEARCH("rn""&gt;Bosnia and Herzegovina",S5170)),"Bosnia and Herzegovina",
ISNUMBER(SEARCH("rn""&gt;Trinidad and Tobago",S5170)),"Trinidad and Tobago",
ISNUMBER(SEARCH("rn""&gt;Serbia and Montenegro",S5170)),"Serbia and Montenegro",
ISNUMBER(SEARCH(_xlfn.UNICHAR(65533),S5170)),"Côte d'Ivoire",
TRUE,"-"
)</f>
        <v>-</v>
      </c>
      <c r="W5170" s="42" t="str">
        <f t="shared" si="315"/>
        <v>-</v>
      </c>
    </row>
    <row r="5171" spans="19:23">
      <c r="S5171" s="42" t="str">
        <v/>
      </c>
      <c r="T5171" s="42" t="str">
        <f t="shared" si="313"/>
        <v>-</v>
      </c>
      <c r="U5171" s="40" t="str">
        <f t="shared" si="314"/>
        <v>-</v>
      </c>
      <c r="V5171" s="42" t="str" cm="1">
        <f t="array" ref="V5171">_xlfn.IFS(
LEFT(S5171,16)="win on penalties",IF(VALUE(MID(S5171,19,1))&gt;VALUE(MID(S5171,23,1)),DATA_CLEANED!AK685,DATA_CLEANED!AN685),
ISNUMBER(SEARCH("USA",S5171)),"United States",
ISNUMBER(SEARCH("Republic of Ireland",S5171)),"Ireland",
ISNUMBER(SEARCH("Republic of Korea",S5171)),"South Korea",
ISNUMBER(SEARCH("Cape Verde",S5171)),"Cabo Verde",
ISNUMBER(SEARCH("Czechia",S5171)),"Czech Republic",
ISNUMBER(SEARCH("Türkiye",S5171)),"Turkey",
ISNUMBER(SEARCH("Ivory Coast",S5171)),"Côte d'Ivoire",
ISNUMBER(SEARCH("Korea Republic",S5171)),"South Korea",
ISNUMBER(SEARCH("Germany FR",S5171)),"FR Germany",
ISNUMBER(SEARCH("West Germany",S5171)),"FR Germany",
ISNUMBER(SEARCH("Germany DR",S5171)),"DR Germany",
ISNUMBER(SEARCH("Korea DPR",S5171)),"North Korea",
ISNUMBER(SEARCH("China PR",S5171)),"China",
ISNUMBER(SEARCH("IR Iran",S5171)),"Iran",
ISNUMBER(SEARCH("Congo DR",S5171)),"Democratic Republic of the Congo",
ISNUMBER(SEARCH("DR Congo",S5171)),"Democratic Republic of the Congo",
ISNUMBER(SEARCH("German DR",S5171)),"DR Germany",
ISNUMBER(SEARCH("rn""&gt;United Arab Emirates",S5171)),"United Arab Emirates",
ISNUMBER(SEARCH("rn""&gt;Republic of Ireland",S5171)),"Ireland",
ISNUMBER(SEARCH("rn""&gt;Bosnia and Herzegovina",S5171)),"Bosnia and Herzegovina",
ISNUMBER(SEARCH("rn""&gt;Trinidad and Tobago",S5171)),"Trinidad and Tobago",
ISNUMBER(SEARCH("rn""&gt;Serbia and Montenegro",S5171)),"Serbia and Montenegro",
ISNUMBER(SEARCH(_xlfn.UNICHAR(65533),S5171)),"Côte d'Ivoire",
TRUE,"-"
)</f>
        <v>-</v>
      </c>
      <c r="W5171" s="42" t="str">
        <f t="shared" si="315"/>
        <v>-</v>
      </c>
    </row>
    <row r="5172" spans="19:23">
      <c r="S5172" s="42" t="str">
        <v/>
      </c>
      <c r="T5172" s="42" t="str">
        <f t="shared" si="313"/>
        <v>-</v>
      </c>
      <c r="U5172" s="40" t="str">
        <f t="shared" si="314"/>
        <v>-</v>
      </c>
      <c r="V5172" s="42" t="str" cm="1">
        <f t="array" ref="V5172">_xlfn.IFS(
LEFT(S5172,16)="win on penalties",IF(VALUE(MID(S5172,19,1))&gt;VALUE(MID(S5172,23,1)),DATA_CLEANED!AK686,DATA_CLEANED!AN686),
ISNUMBER(SEARCH("USA",S5172)),"United States",
ISNUMBER(SEARCH("Republic of Ireland",S5172)),"Ireland",
ISNUMBER(SEARCH("Republic of Korea",S5172)),"South Korea",
ISNUMBER(SEARCH("Cape Verde",S5172)),"Cabo Verde",
ISNUMBER(SEARCH("Czechia",S5172)),"Czech Republic",
ISNUMBER(SEARCH("Türkiye",S5172)),"Turkey",
ISNUMBER(SEARCH("Ivory Coast",S5172)),"Côte d'Ivoire",
ISNUMBER(SEARCH("Korea Republic",S5172)),"South Korea",
ISNUMBER(SEARCH("Germany FR",S5172)),"FR Germany",
ISNUMBER(SEARCH("West Germany",S5172)),"FR Germany",
ISNUMBER(SEARCH("Germany DR",S5172)),"DR Germany",
ISNUMBER(SEARCH("Korea DPR",S5172)),"North Korea",
ISNUMBER(SEARCH("China PR",S5172)),"China",
ISNUMBER(SEARCH("IR Iran",S5172)),"Iran",
ISNUMBER(SEARCH("Congo DR",S5172)),"Democratic Republic of the Congo",
ISNUMBER(SEARCH("DR Congo",S5172)),"Democratic Republic of the Congo",
ISNUMBER(SEARCH("German DR",S5172)),"DR Germany",
ISNUMBER(SEARCH("rn""&gt;United Arab Emirates",S5172)),"United Arab Emirates",
ISNUMBER(SEARCH("rn""&gt;Republic of Ireland",S5172)),"Ireland",
ISNUMBER(SEARCH("rn""&gt;Bosnia and Herzegovina",S5172)),"Bosnia and Herzegovina",
ISNUMBER(SEARCH("rn""&gt;Trinidad and Tobago",S5172)),"Trinidad and Tobago",
ISNUMBER(SEARCH("rn""&gt;Serbia and Montenegro",S5172)),"Serbia and Montenegro",
ISNUMBER(SEARCH(_xlfn.UNICHAR(65533),S5172)),"Côte d'Ivoire",
TRUE,"-"
)</f>
        <v>-</v>
      </c>
      <c r="W5172" s="42" t="str">
        <f t="shared" si="315"/>
        <v>-</v>
      </c>
    </row>
    <row r="5173" spans="19:23">
      <c r="S5173" s="42" t="str">
        <v/>
      </c>
      <c r="T5173" s="42" t="str">
        <f t="shared" si="313"/>
        <v>-</v>
      </c>
      <c r="U5173" s="40" t="str">
        <f t="shared" si="314"/>
        <v>-</v>
      </c>
      <c r="V5173" s="42" t="str" cm="1">
        <f t="array" ref="V5173">_xlfn.IFS(
LEFT(S5173,16)="win on penalties",IF(VALUE(MID(S5173,19,1))&gt;VALUE(MID(S5173,23,1)),DATA_CLEANED!AK687,DATA_CLEANED!AN687),
ISNUMBER(SEARCH("USA",S5173)),"United States",
ISNUMBER(SEARCH("Republic of Ireland",S5173)),"Ireland",
ISNUMBER(SEARCH("Republic of Korea",S5173)),"South Korea",
ISNUMBER(SEARCH("Cape Verde",S5173)),"Cabo Verde",
ISNUMBER(SEARCH("Czechia",S5173)),"Czech Republic",
ISNUMBER(SEARCH("Türkiye",S5173)),"Turkey",
ISNUMBER(SEARCH("Ivory Coast",S5173)),"Côte d'Ivoire",
ISNUMBER(SEARCH("Korea Republic",S5173)),"South Korea",
ISNUMBER(SEARCH("Germany FR",S5173)),"FR Germany",
ISNUMBER(SEARCH("West Germany",S5173)),"FR Germany",
ISNUMBER(SEARCH("Germany DR",S5173)),"DR Germany",
ISNUMBER(SEARCH("Korea DPR",S5173)),"North Korea",
ISNUMBER(SEARCH("China PR",S5173)),"China",
ISNUMBER(SEARCH("IR Iran",S5173)),"Iran",
ISNUMBER(SEARCH("Congo DR",S5173)),"Democratic Republic of the Congo",
ISNUMBER(SEARCH("DR Congo",S5173)),"Democratic Republic of the Congo",
ISNUMBER(SEARCH("German DR",S5173)),"DR Germany",
ISNUMBER(SEARCH("rn""&gt;United Arab Emirates",S5173)),"United Arab Emirates",
ISNUMBER(SEARCH("rn""&gt;Republic of Ireland",S5173)),"Ireland",
ISNUMBER(SEARCH("rn""&gt;Bosnia and Herzegovina",S5173)),"Bosnia and Herzegovina",
ISNUMBER(SEARCH("rn""&gt;Trinidad and Tobago",S5173)),"Trinidad and Tobago",
ISNUMBER(SEARCH("rn""&gt;Serbia and Montenegro",S5173)),"Serbia and Montenegro",
ISNUMBER(SEARCH(_xlfn.UNICHAR(65533),S5173)),"Côte d'Ivoire",
TRUE,"-"
)</f>
        <v>-</v>
      </c>
      <c r="W5173" s="42" t="str">
        <f t="shared" si="315"/>
        <v>-</v>
      </c>
    </row>
    <row r="5174" spans="19:23">
      <c r="S5174" s="42" t="str">
        <v/>
      </c>
      <c r="T5174" s="42" t="str">
        <f t="shared" si="313"/>
        <v>-</v>
      </c>
      <c r="U5174" s="40" t="str">
        <f t="shared" si="314"/>
        <v>-</v>
      </c>
      <c r="V5174" s="42" t="str" cm="1">
        <f t="array" ref="V5174">_xlfn.IFS(
LEFT(S5174,16)="win on penalties",IF(VALUE(MID(S5174,19,1))&gt;VALUE(MID(S5174,23,1)),DATA_CLEANED!AK688,DATA_CLEANED!AN688),
ISNUMBER(SEARCH("USA",S5174)),"United States",
ISNUMBER(SEARCH("Republic of Ireland",S5174)),"Ireland",
ISNUMBER(SEARCH("Republic of Korea",S5174)),"South Korea",
ISNUMBER(SEARCH("Cape Verde",S5174)),"Cabo Verde",
ISNUMBER(SEARCH("Czechia",S5174)),"Czech Republic",
ISNUMBER(SEARCH("Türkiye",S5174)),"Turkey",
ISNUMBER(SEARCH("Ivory Coast",S5174)),"Côte d'Ivoire",
ISNUMBER(SEARCH("Korea Republic",S5174)),"South Korea",
ISNUMBER(SEARCH("Germany FR",S5174)),"FR Germany",
ISNUMBER(SEARCH("West Germany",S5174)),"FR Germany",
ISNUMBER(SEARCH("Germany DR",S5174)),"DR Germany",
ISNUMBER(SEARCH("Korea DPR",S5174)),"North Korea",
ISNUMBER(SEARCH("China PR",S5174)),"China",
ISNUMBER(SEARCH("IR Iran",S5174)),"Iran",
ISNUMBER(SEARCH("Congo DR",S5174)),"Democratic Republic of the Congo",
ISNUMBER(SEARCH("DR Congo",S5174)),"Democratic Republic of the Congo",
ISNUMBER(SEARCH("German DR",S5174)),"DR Germany",
ISNUMBER(SEARCH("rn""&gt;United Arab Emirates",S5174)),"United Arab Emirates",
ISNUMBER(SEARCH("rn""&gt;Republic of Ireland",S5174)),"Ireland",
ISNUMBER(SEARCH("rn""&gt;Bosnia and Herzegovina",S5174)),"Bosnia and Herzegovina",
ISNUMBER(SEARCH("rn""&gt;Trinidad and Tobago",S5174)),"Trinidad and Tobago",
ISNUMBER(SEARCH("rn""&gt;Serbia and Montenegro",S5174)),"Serbia and Montenegro",
ISNUMBER(SEARCH(_xlfn.UNICHAR(65533),S5174)),"Côte d'Ivoire",
TRUE,"-"
)</f>
        <v>-</v>
      </c>
      <c r="W5174" s="42" t="str">
        <f t="shared" si="315"/>
        <v>-</v>
      </c>
    </row>
    <row r="5175" spans="19:23">
      <c r="S5175" s="42" t="str">
        <v/>
      </c>
      <c r="T5175" s="42" t="str">
        <f t="shared" si="313"/>
        <v>-</v>
      </c>
      <c r="U5175" s="40" t="str">
        <f t="shared" si="314"/>
        <v>-</v>
      </c>
      <c r="V5175" s="42" t="str" cm="1">
        <f t="array" ref="V5175">_xlfn.IFS(
LEFT(S5175,16)="win on penalties",IF(VALUE(MID(S5175,19,1))&gt;VALUE(MID(S5175,23,1)),DATA_CLEANED!AK689,DATA_CLEANED!AN689),
ISNUMBER(SEARCH("USA",S5175)),"United States",
ISNUMBER(SEARCH("Republic of Ireland",S5175)),"Ireland",
ISNUMBER(SEARCH("Republic of Korea",S5175)),"South Korea",
ISNUMBER(SEARCH("Cape Verde",S5175)),"Cabo Verde",
ISNUMBER(SEARCH("Czechia",S5175)),"Czech Republic",
ISNUMBER(SEARCH("Türkiye",S5175)),"Turkey",
ISNUMBER(SEARCH("Ivory Coast",S5175)),"Côte d'Ivoire",
ISNUMBER(SEARCH("Korea Republic",S5175)),"South Korea",
ISNUMBER(SEARCH("Germany FR",S5175)),"FR Germany",
ISNUMBER(SEARCH("West Germany",S5175)),"FR Germany",
ISNUMBER(SEARCH("Germany DR",S5175)),"DR Germany",
ISNUMBER(SEARCH("Korea DPR",S5175)),"North Korea",
ISNUMBER(SEARCH("China PR",S5175)),"China",
ISNUMBER(SEARCH("IR Iran",S5175)),"Iran",
ISNUMBER(SEARCH("Congo DR",S5175)),"Democratic Republic of the Congo",
ISNUMBER(SEARCH("DR Congo",S5175)),"Democratic Republic of the Congo",
ISNUMBER(SEARCH("German DR",S5175)),"DR Germany",
ISNUMBER(SEARCH("rn""&gt;United Arab Emirates",S5175)),"United Arab Emirates",
ISNUMBER(SEARCH("rn""&gt;Republic of Ireland",S5175)),"Ireland",
ISNUMBER(SEARCH("rn""&gt;Bosnia and Herzegovina",S5175)),"Bosnia and Herzegovina",
ISNUMBER(SEARCH("rn""&gt;Trinidad and Tobago",S5175)),"Trinidad and Tobago",
ISNUMBER(SEARCH("rn""&gt;Serbia and Montenegro",S5175)),"Serbia and Montenegro",
ISNUMBER(SEARCH(_xlfn.UNICHAR(65533),S5175)),"Côte d'Ivoire",
TRUE,"-"
)</f>
        <v>-</v>
      </c>
      <c r="W5175" s="42" t="str">
        <f t="shared" si="315"/>
        <v>-</v>
      </c>
    </row>
    <row r="5176" spans="19:23">
      <c r="S5176" s="42" t="str">
        <v/>
      </c>
      <c r="T5176" s="42" t="str">
        <f t="shared" si="313"/>
        <v>-</v>
      </c>
      <c r="U5176" s="40" t="str">
        <f t="shared" si="314"/>
        <v>-</v>
      </c>
      <c r="V5176" s="42" t="str" cm="1">
        <f t="array" ref="V5176">_xlfn.IFS(
LEFT(S5176,16)="win on penalties",IF(VALUE(MID(S5176,19,1))&gt;VALUE(MID(S5176,23,1)),DATA_CLEANED!AK690,DATA_CLEANED!AN690),
ISNUMBER(SEARCH("USA",S5176)),"United States",
ISNUMBER(SEARCH("Republic of Ireland",S5176)),"Ireland",
ISNUMBER(SEARCH("Republic of Korea",S5176)),"South Korea",
ISNUMBER(SEARCH("Cape Verde",S5176)),"Cabo Verde",
ISNUMBER(SEARCH("Czechia",S5176)),"Czech Republic",
ISNUMBER(SEARCH("Türkiye",S5176)),"Turkey",
ISNUMBER(SEARCH("Ivory Coast",S5176)),"Côte d'Ivoire",
ISNUMBER(SEARCH("Korea Republic",S5176)),"South Korea",
ISNUMBER(SEARCH("Germany FR",S5176)),"FR Germany",
ISNUMBER(SEARCH("West Germany",S5176)),"FR Germany",
ISNUMBER(SEARCH("Germany DR",S5176)),"DR Germany",
ISNUMBER(SEARCH("Korea DPR",S5176)),"North Korea",
ISNUMBER(SEARCH("China PR",S5176)),"China",
ISNUMBER(SEARCH("IR Iran",S5176)),"Iran",
ISNUMBER(SEARCH("Congo DR",S5176)),"Democratic Republic of the Congo",
ISNUMBER(SEARCH("DR Congo",S5176)),"Democratic Republic of the Congo",
ISNUMBER(SEARCH("German DR",S5176)),"DR Germany",
ISNUMBER(SEARCH("rn""&gt;United Arab Emirates",S5176)),"United Arab Emirates",
ISNUMBER(SEARCH("rn""&gt;Republic of Ireland",S5176)),"Ireland",
ISNUMBER(SEARCH("rn""&gt;Bosnia and Herzegovina",S5176)),"Bosnia and Herzegovina",
ISNUMBER(SEARCH("rn""&gt;Trinidad and Tobago",S5176)),"Trinidad and Tobago",
ISNUMBER(SEARCH("rn""&gt;Serbia and Montenegro",S5176)),"Serbia and Montenegro",
ISNUMBER(SEARCH(_xlfn.UNICHAR(65533),S5176)),"Côte d'Ivoire",
TRUE,"-"
)</f>
        <v>-</v>
      </c>
      <c r="W5176" s="42" t="str">
        <f t="shared" si="315"/>
        <v>-</v>
      </c>
    </row>
    <row r="5177" spans="19:23">
      <c r="S5177" s="42" t="str">
        <v/>
      </c>
      <c r="T5177" s="42" t="str">
        <f t="shared" si="313"/>
        <v>-</v>
      </c>
      <c r="U5177" s="40" t="str">
        <f t="shared" si="314"/>
        <v>-</v>
      </c>
      <c r="V5177" s="42" t="str" cm="1">
        <f t="array" ref="V5177">_xlfn.IFS(
LEFT(S5177,16)="win on penalties",IF(VALUE(MID(S5177,19,1))&gt;VALUE(MID(S5177,23,1)),DATA_CLEANED!AK691,DATA_CLEANED!AN691),
ISNUMBER(SEARCH("USA",S5177)),"United States",
ISNUMBER(SEARCH("Republic of Ireland",S5177)),"Ireland",
ISNUMBER(SEARCH("Republic of Korea",S5177)),"South Korea",
ISNUMBER(SEARCH("Cape Verde",S5177)),"Cabo Verde",
ISNUMBER(SEARCH("Czechia",S5177)),"Czech Republic",
ISNUMBER(SEARCH("Türkiye",S5177)),"Turkey",
ISNUMBER(SEARCH("Ivory Coast",S5177)),"Côte d'Ivoire",
ISNUMBER(SEARCH("Korea Republic",S5177)),"South Korea",
ISNUMBER(SEARCH("Germany FR",S5177)),"FR Germany",
ISNUMBER(SEARCH("West Germany",S5177)),"FR Germany",
ISNUMBER(SEARCH("Germany DR",S5177)),"DR Germany",
ISNUMBER(SEARCH("Korea DPR",S5177)),"North Korea",
ISNUMBER(SEARCH("China PR",S5177)),"China",
ISNUMBER(SEARCH("IR Iran",S5177)),"Iran",
ISNUMBER(SEARCH("Congo DR",S5177)),"Democratic Republic of the Congo",
ISNUMBER(SEARCH("DR Congo",S5177)),"Democratic Republic of the Congo",
ISNUMBER(SEARCH("German DR",S5177)),"DR Germany",
ISNUMBER(SEARCH("rn""&gt;United Arab Emirates",S5177)),"United Arab Emirates",
ISNUMBER(SEARCH("rn""&gt;Republic of Ireland",S5177)),"Ireland",
ISNUMBER(SEARCH("rn""&gt;Bosnia and Herzegovina",S5177)),"Bosnia and Herzegovina",
ISNUMBER(SEARCH("rn""&gt;Trinidad and Tobago",S5177)),"Trinidad and Tobago",
ISNUMBER(SEARCH("rn""&gt;Serbia and Montenegro",S5177)),"Serbia and Montenegro",
ISNUMBER(SEARCH(_xlfn.UNICHAR(65533),S5177)),"Côte d'Ivoire",
TRUE,"-"
)</f>
        <v>-</v>
      </c>
      <c r="W5177" s="42" t="str">
        <f t="shared" si="315"/>
        <v>-</v>
      </c>
    </row>
    <row r="5178" spans="19:23">
      <c r="S5178" s="42" t="str">
        <v/>
      </c>
      <c r="T5178" s="42" t="str">
        <f t="shared" si="313"/>
        <v>-</v>
      </c>
      <c r="U5178" s="40" t="str">
        <f t="shared" si="314"/>
        <v>-</v>
      </c>
      <c r="V5178" s="42" t="str" cm="1">
        <f t="array" ref="V5178">_xlfn.IFS(
LEFT(S5178,16)="win on penalties",IF(VALUE(MID(S5178,19,1))&gt;VALUE(MID(S5178,23,1)),DATA_CLEANED!AK692,DATA_CLEANED!AN692),
ISNUMBER(SEARCH("USA",S5178)),"United States",
ISNUMBER(SEARCH("Republic of Ireland",S5178)),"Ireland",
ISNUMBER(SEARCH("Republic of Korea",S5178)),"South Korea",
ISNUMBER(SEARCH("Cape Verde",S5178)),"Cabo Verde",
ISNUMBER(SEARCH("Czechia",S5178)),"Czech Republic",
ISNUMBER(SEARCH("Türkiye",S5178)),"Turkey",
ISNUMBER(SEARCH("Ivory Coast",S5178)),"Côte d'Ivoire",
ISNUMBER(SEARCH("Korea Republic",S5178)),"South Korea",
ISNUMBER(SEARCH("Germany FR",S5178)),"FR Germany",
ISNUMBER(SEARCH("West Germany",S5178)),"FR Germany",
ISNUMBER(SEARCH("Germany DR",S5178)),"DR Germany",
ISNUMBER(SEARCH("Korea DPR",S5178)),"North Korea",
ISNUMBER(SEARCH("China PR",S5178)),"China",
ISNUMBER(SEARCH("IR Iran",S5178)),"Iran",
ISNUMBER(SEARCH("Congo DR",S5178)),"Democratic Republic of the Congo",
ISNUMBER(SEARCH("DR Congo",S5178)),"Democratic Republic of the Congo",
ISNUMBER(SEARCH("German DR",S5178)),"DR Germany",
ISNUMBER(SEARCH("rn""&gt;United Arab Emirates",S5178)),"United Arab Emirates",
ISNUMBER(SEARCH("rn""&gt;Republic of Ireland",S5178)),"Ireland",
ISNUMBER(SEARCH("rn""&gt;Bosnia and Herzegovina",S5178)),"Bosnia and Herzegovina",
ISNUMBER(SEARCH("rn""&gt;Trinidad and Tobago",S5178)),"Trinidad and Tobago",
ISNUMBER(SEARCH("rn""&gt;Serbia and Montenegro",S5178)),"Serbia and Montenegro",
ISNUMBER(SEARCH(_xlfn.UNICHAR(65533),S5178)),"Côte d'Ivoire",
TRUE,"-"
)</f>
        <v>-</v>
      </c>
      <c r="W5178" s="42" t="str">
        <f t="shared" si="315"/>
        <v>-</v>
      </c>
    </row>
    <row r="5179" spans="19:23">
      <c r="S5179" s="42" t="str">
        <v/>
      </c>
      <c r="T5179" s="42" t="str">
        <f t="shared" si="313"/>
        <v>-</v>
      </c>
      <c r="U5179" s="40" t="str">
        <f t="shared" si="314"/>
        <v>-</v>
      </c>
      <c r="V5179" s="42" t="str" cm="1">
        <f t="array" ref="V5179">_xlfn.IFS(
LEFT(S5179,16)="win on penalties",IF(VALUE(MID(S5179,19,1))&gt;VALUE(MID(S5179,23,1)),DATA_CLEANED!AK693,DATA_CLEANED!AN693),
ISNUMBER(SEARCH("USA",S5179)),"United States",
ISNUMBER(SEARCH("Republic of Ireland",S5179)),"Ireland",
ISNUMBER(SEARCH("Republic of Korea",S5179)),"South Korea",
ISNUMBER(SEARCH("Cape Verde",S5179)),"Cabo Verde",
ISNUMBER(SEARCH("Czechia",S5179)),"Czech Republic",
ISNUMBER(SEARCH("Türkiye",S5179)),"Turkey",
ISNUMBER(SEARCH("Ivory Coast",S5179)),"Côte d'Ivoire",
ISNUMBER(SEARCH("Korea Republic",S5179)),"South Korea",
ISNUMBER(SEARCH("Germany FR",S5179)),"FR Germany",
ISNUMBER(SEARCH("West Germany",S5179)),"FR Germany",
ISNUMBER(SEARCH("Germany DR",S5179)),"DR Germany",
ISNUMBER(SEARCH("Korea DPR",S5179)),"North Korea",
ISNUMBER(SEARCH("China PR",S5179)),"China",
ISNUMBER(SEARCH("IR Iran",S5179)),"Iran",
ISNUMBER(SEARCH("Congo DR",S5179)),"Democratic Republic of the Congo",
ISNUMBER(SEARCH("DR Congo",S5179)),"Democratic Republic of the Congo",
ISNUMBER(SEARCH("German DR",S5179)),"DR Germany",
ISNUMBER(SEARCH("rn""&gt;United Arab Emirates",S5179)),"United Arab Emirates",
ISNUMBER(SEARCH("rn""&gt;Republic of Ireland",S5179)),"Ireland",
ISNUMBER(SEARCH("rn""&gt;Bosnia and Herzegovina",S5179)),"Bosnia and Herzegovina",
ISNUMBER(SEARCH("rn""&gt;Trinidad and Tobago",S5179)),"Trinidad and Tobago",
ISNUMBER(SEARCH("rn""&gt;Serbia and Montenegro",S5179)),"Serbia and Montenegro",
ISNUMBER(SEARCH(_xlfn.UNICHAR(65533),S5179)),"Côte d'Ivoire",
TRUE,"-"
)</f>
        <v>-</v>
      </c>
      <c r="W5179" s="42" t="str">
        <f t="shared" si="315"/>
        <v>-</v>
      </c>
    </row>
    <row r="5180" spans="19:23">
      <c r="S5180" s="42" t="str">
        <v/>
      </c>
      <c r="T5180" s="42" t="str">
        <f t="shared" si="313"/>
        <v>-</v>
      </c>
      <c r="U5180" s="40" t="str">
        <f t="shared" si="314"/>
        <v>-</v>
      </c>
      <c r="V5180" s="42" t="str" cm="1">
        <f t="array" ref="V5180">_xlfn.IFS(
LEFT(S5180,16)="win on penalties",IF(VALUE(MID(S5180,19,1))&gt;VALUE(MID(S5180,23,1)),DATA_CLEANED!AK694,DATA_CLEANED!AN694),
ISNUMBER(SEARCH("USA",S5180)),"United States",
ISNUMBER(SEARCH("Republic of Ireland",S5180)),"Ireland",
ISNUMBER(SEARCH("Republic of Korea",S5180)),"South Korea",
ISNUMBER(SEARCH("Cape Verde",S5180)),"Cabo Verde",
ISNUMBER(SEARCH("Czechia",S5180)),"Czech Republic",
ISNUMBER(SEARCH("Türkiye",S5180)),"Turkey",
ISNUMBER(SEARCH("Ivory Coast",S5180)),"Côte d'Ivoire",
ISNUMBER(SEARCH("Korea Republic",S5180)),"South Korea",
ISNUMBER(SEARCH("Germany FR",S5180)),"FR Germany",
ISNUMBER(SEARCH("West Germany",S5180)),"FR Germany",
ISNUMBER(SEARCH("Germany DR",S5180)),"DR Germany",
ISNUMBER(SEARCH("Korea DPR",S5180)),"North Korea",
ISNUMBER(SEARCH("China PR",S5180)),"China",
ISNUMBER(SEARCH("IR Iran",S5180)),"Iran",
ISNUMBER(SEARCH("Congo DR",S5180)),"Democratic Republic of the Congo",
ISNUMBER(SEARCH("DR Congo",S5180)),"Democratic Republic of the Congo",
ISNUMBER(SEARCH("German DR",S5180)),"DR Germany",
ISNUMBER(SEARCH("rn""&gt;United Arab Emirates",S5180)),"United Arab Emirates",
ISNUMBER(SEARCH("rn""&gt;Republic of Ireland",S5180)),"Ireland",
ISNUMBER(SEARCH("rn""&gt;Bosnia and Herzegovina",S5180)),"Bosnia and Herzegovina",
ISNUMBER(SEARCH("rn""&gt;Trinidad and Tobago",S5180)),"Trinidad and Tobago",
ISNUMBER(SEARCH("rn""&gt;Serbia and Montenegro",S5180)),"Serbia and Montenegro",
ISNUMBER(SEARCH(_xlfn.UNICHAR(65533),S5180)),"Côte d'Ivoire",
TRUE,"-"
)</f>
        <v>-</v>
      </c>
      <c r="W5180" s="42" t="str">
        <f t="shared" si="315"/>
        <v>-</v>
      </c>
    </row>
    <row r="5181" spans="19:23">
      <c r="S5181" s="42" t="str">
        <v/>
      </c>
      <c r="T5181" s="42" t="str">
        <f t="shared" si="313"/>
        <v>-</v>
      </c>
      <c r="U5181" s="40" t="str">
        <f t="shared" si="314"/>
        <v>-</v>
      </c>
      <c r="V5181" s="42" t="str" cm="1">
        <f t="array" ref="V5181">_xlfn.IFS(
LEFT(S5181,16)="win on penalties",IF(VALUE(MID(S5181,19,1))&gt;VALUE(MID(S5181,23,1)),DATA_CLEANED!AK695,DATA_CLEANED!AN695),
ISNUMBER(SEARCH("USA",S5181)),"United States",
ISNUMBER(SEARCH("Republic of Ireland",S5181)),"Ireland",
ISNUMBER(SEARCH("Republic of Korea",S5181)),"South Korea",
ISNUMBER(SEARCH("Cape Verde",S5181)),"Cabo Verde",
ISNUMBER(SEARCH("Czechia",S5181)),"Czech Republic",
ISNUMBER(SEARCH("Türkiye",S5181)),"Turkey",
ISNUMBER(SEARCH("Ivory Coast",S5181)),"Côte d'Ivoire",
ISNUMBER(SEARCH("Korea Republic",S5181)),"South Korea",
ISNUMBER(SEARCH("Germany FR",S5181)),"FR Germany",
ISNUMBER(SEARCH("West Germany",S5181)),"FR Germany",
ISNUMBER(SEARCH("Germany DR",S5181)),"DR Germany",
ISNUMBER(SEARCH("Korea DPR",S5181)),"North Korea",
ISNUMBER(SEARCH("China PR",S5181)),"China",
ISNUMBER(SEARCH("IR Iran",S5181)),"Iran",
ISNUMBER(SEARCH("Congo DR",S5181)),"Democratic Republic of the Congo",
ISNUMBER(SEARCH("DR Congo",S5181)),"Democratic Republic of the Congo",
ISNUMBER(SEARCH("German DR",S5181)),"DR Germany",
ISNUMBER(SEARCH("rn""&gt;United Arab Emirates",S5181)),"United Arab Emirates",
ISNUMBER(SEARCH("rn""&gt;Republic of Ireland",S5181)),"Ireland",
ISNUMBER(SEARCH("rn""&gt;Bosnia and Herzegovina",S5181)),"Bosnia and Herzegovina",
ISNUMBER(SEARCH("rn""&gt;Trinidad and Tobago",S5181)),"Trinidad and Tobago",
ISNUMBER(SEARCH("rn""&gt;Serbia and Montenegro",S5181)),"Serbia and Montenegro",
ISNUMBER(SEARCH(_xlfn.UNICHAR(65533),S5181)),"Côte d'Ivoire",
TRUE,"-"
)</f>
        <v>-</v>
      </c>
      <c r="W5181" s="42" t="str">
        <f t="shared" si="315"/>
        <v>-</v>
      </c>
    </row>
    <row r="5182" spans="19:23">
      <c r="S5182" s="42" t="str">
        <v>Argentina win after extra time</v>
      </c>
      <c r="T5182" s="42" t="str">
        <f t="shared" si="313"/>
        <v>Argentina</v>
      </c>
      <c r="U5182" s="40" t="str">
        <f t="shared" si="314"/>
        <v>AUCUNE</v>
      </c>
      <c r="V5182" s="42" t="str" cm="1">
        <f t="array" ref="V5182">_xlfn.IFS(
LEFT(S5182,16)="win on penalties",IF(VALUE(MID(S5182,19,1))&gt;VALUE(MID(S5182,23,1)),DATA_CLEANED!AK696,DATA_CLEANED!AN696),
ISNUMBER(SEARCH("USA",S5182)),"United States",
ISNUMBER(SEARCH("Republic of Ireland",S5182)),"Ireland",
ISNUMBER(SEARCH("Republic of Korea",S5182)),"South Korea",
ISNUMBER(SEARCH("Cape Verde",S5182)),"Cabo Verde",
ISNUMBER(SEARCH("Czechia",S5182)),"Czech Republic",
ISNUMBER(SEARCH("Türkiye",S5182)),"Turkey",
ISNUMBER(SEARCH("Ivory Coast",S5182)),"Côte d'Ivoire",
ISNUMBER(SEARCH("Korea Republic",S5182)),"South Korea",
ISNUMBER(SEARCH("Germany FR",S5182)),"FR Germany",
ISNUMBER(SEARCH("West Germany",S5182)),"FR Germany",
ISNUMBER(SEARCH("Germany DR",S5182)),"DR Germany",
ISNUMBER(SEARCH("Korea DPR",S5182)),"North Korea",
ISNUMBER(SEARCH("China PR",S5182)),"China",
ISNUMBER(SEARCH("IR Iran",S5182)),"Iran",
ISNUMBER(SEARCH("Congo DR",S5182)),"Democratic Republic of the Congo",
ISNUMBER(SEARCH("DR Congo",S5182)),"Democratic Republic of the Congo",
ISNUMBER(SEARCH("German DR",S5182)),"DR Germany",
ISNUMBER(SEARCH("rn""&gt;United Arab Emirates",S5182)),"United Arab Emirates",
ISNUMBER(SEARCH("rn""&gt;Republic of Ireland",S5182)),"Ireland",
ISNUMBER(SEARCH("rn""&gt;Bosnia and Herzegovina",S5182)),"Bosnia and Herzegovina",
ISNUMBER(SEARCH("rn""&gt;Trinidad and Tobago",S5182)),"Trinidad and Tobago",
ISNUMBER(SEARCH("rn""&gt;Serbia and Montenegro",S5182)),"Serbia and Montenegro",
ISNUMBER(SEARCH(_xlfn.UNICHAR(65533),S5182)),"Côte d'Ivoire",
TRUE,"-"
)</f>
        <v>-</v>
      </c>
      <c r="W5182" s="42" t="str">
        <f t="shared" si="315"/>
        <v>Argentina win after extra time</v>
      </c>
    </row>
    <row r="5183" spans="19:23">
      <c r="S5183" s="42" t="str">
        <v/>
      </c>
      <c r="T5183" s="42" t="str">
        <f t="shared" si="313"/>
        <v>-</v>
      </c>
      <c r="U5183" s="40" t="str">
        <f t="shared" si="314"/>
        <v>-</v>
      </c>
      <c r="V5183" s="42" t="str" cm="1">
        <f t="array" ref="V5183">_xlfn.IFS(
LEFT(S5183,16)="win on penalties",IF(VALUE(MID(S5183,19,1))&gt;VALUE(MID(S5183,23,1)),DATA_CLEANED!AK697,DATA_CLEANED!AN697),
ISNUMBER(SEARCH("USA",S5183)),"United States",
ISNUMBER(SEARCH("Republic of Ireland",S5183)),"Ireland",
ISNUMBER(SEARCH("Republic of Korea",S5183)),"South Korea",
ISNUMBER(SEARCH("Cape Verde",S5183)),"Cabo Verde",
ISNUMBER(SEARCH("Czechia",S5183)),"Czech Republic",
ISNUMBER(SEARCH("Türkiye",S5183)),"Turkey",
ISNUMBER(SEARCH("Ivory Coast",S5183)),"Côte d'Ivoire",
ISNUMBER(SEARCH("Korea Republic",S5183)),"South Korea",
ISNUMBER(SEARCH("Germany FR",S5183)),"FR Germany",
ISNUMBER(SEARCH("West Germany",S5183)),"FR Germany",
ISNUMBER(SEARCH("Germany DR",S5183)),"DR Germany",
ISNUMBER(SEARCH("Korea DPR",S5183)),"North Korea",
ISNUMBER(SEARCH("China PR",S5183)),"China",
ISNUMBER(SEARCH("IR Iran",S5183)),"Iran",
ISNUMBER(SEARCH("Congo DR",S5183)),"Democratic Republic of the Congo",
ISNUMBER(SEARCH("DR Congo",S5183)),"Democratic Republic of the Congo",
ISNUMBER(SEARCH("German DR",S5183)),"DR Germany",
ISNUMBER(SEARCH("rn""&gt;United Arab Emirates",S5183)),"United Arab Emirates",
ISNUMBER(SEARCH("rn""&gt;Republic of Ireland",S5183)),"Ireland",
ISNUMBER(SEARCH("rn""&gt;Bosnia and Herzegovina",S5183)),"Bosnia and Herzegovina",
ISNUMBER(SEARCH("rn""&gt;Trinidad and Tobago",S5183)),"Trinidad and Tobago",
ISNUMBER(SEARCH("rn""&gt;Serbia and Montenegro",S5183)),"Serbia and Montenegro",
ISNUMBER(SEARCH(_xlfn.UNICHAR(65533),S5183)),"Côte d'Ivoire",
TRUE,"-"
)</f>
        <v>-</v>
      </c>
      <c r="W5183" s="42" t="str">
        <f t="shared" si="315"/>
        <v>-</v>
      </c>
    </row>
    <row r="5184" spans="19:23">
      <c r="S5184" s="42" t="str">
        <v/>
      </c>
      <c r="T5184" s="42" t="str">
        <f t="shared" si="313"/>
        <v>-</v>
      </c>
      <c r="U5184" s="40" t="str">
        <f t="shared" si="314"/>
        <v>-</v>
      </c>
      <c r="V5184" s="42" t="str" cm="1">
        <f t="array" ref="V5184">_xlfn.IFS(
LEFT(S5184,16)="win on penalties",IF(VALUE(MID(S5184,19,1))&gt;VALUE(MID(S5184,23,1)),DATA_CLEANED!AK698,DATA_CLEANED!AN698),
ISNUMBER(SEARCH("USA",S5184)),"United States",
ISNUMBER(SEARCH("Republic of Ireland",S5184)),"Ireland",
ISNUMBER(SEARCH("Republic of Korea",S5184)),"South Korea",
ISNUMBER(SEARCH("Cape Verde",S5184)),"Cabo Verde",
ISNUMBER(SEARCH("Czechia",S5184)),"Czech Republic",
ISNUMBER(SEARCH("Türkiye",S5184)),"Turkey",
ISNUMBER(SEARCH("Ivory Coast",S5184)),"Côte d'Ivoire",
ISNUMBER(SEARCH("Korea Republic",S5184)),"South Korea",
ISNUMBER(SEARCH("Germany FR",S5184)),"FR Germany",
ISNUMBER(SEARCH("West Germany",S5184)),"FR Germany",
ISNUMBER(SEARCH("Germany DR",S5184)),"DR Germany",
ISNUMBER(SEARCH("Korea DPR",S5184)),"North Korea",
ISNUMBER(SEARCH("China PR",S5184)),"China",
ISNUMBER(SEARCH("IR Iran",S5184)),"Iran",
ISNUMBER(SEARCH("Congo DR",S5184)),"Democratic Republic of the Congo",
ISNUMBER(SEARCH("DR Congo",S5184)),"Democratic Republic of the Congo",
ISNUMBER(SEARCH("German DR",S5184)),"DR Germany",
ISNUMBER(SEARCH("rn""&gt;United Arab Emirates",S5184)),"United Arab Emirates",
ISNUMBER(SEARCH("rn""&gt;Republic of Ireland",S5184)),"Ireland",
ISNUMBER(SEARCH("rn""&gt;Bosnia and Herzegovina",S5184)),"Bosnia and Herzegovina",
ISNUMBER(SEARCH("rn""&gt;Trinidad and Tobago",S5184)),"Trinidad and Tobago",
ISNUMBER(SEARCH("rn""&gt;Serbia and Montenegro",S5184)),"Serbia and Montenegro",
ISNUMBER(SEARCH(_xlfn.UNICHAR(65533),S5184)),"Côte d'Ivoire",
TRUE,"-"
)</f>
        <v>-</v>
      </c>
      <c r="W5184" s="42" t="str">
        <f t="shared" si="315"/>
        <v>-</v>
      </c>
    </row>
    <row r="5185" spans="19:23">
      <c r="S5185" s="42" t="str">
        <v/>
      </c>
      <c r="T5185" s="42" t="str">
        <f t="shared" si="313"/>
        <v>-</v>
      </c>
      <c r="U5185" s="40" t="str">
        <f t="shared" si="314"/>
        <v>-</v>
      </c>
      <c r="V5185" s="42" t="str" cm="1">
        <f t="array" ref="V5185">_xlfn.IFS(
LEFT(S5185,16)="win on penalties",IF(VALUE(MID(S5185,19,1))&gt;VALUE(MID(S5185,23,1)),DATA_CLEANED!AK699,DATA_CLEANED!AN699),
ISNUMBER(SEARCH("USA",S5185)),"United States",
ISNUMBER(SEARCH("Republic of Ireland",S5185)),"Ireland",
ISNUMBER(SEARCH("Republic of Korea",S5185)),"South Korea",
ISNUMBER(SEARCH("Cape Verde",S5185)),"Cabo Verde",
ISNUMBER(SEARCH("Czechia",S5185)),"Czech Republic",
ISNUMBER(SEARCH("Türkiye",S5185)),"Turkey",
ISNUMBER(SEARCH("Ivory Coast",S5185)),"Côte d'Ivoire",
ISNUMBER(SEARCH("Korea Republic",S5185)),"South Korea",
ISNUMBER(SEARCH("Germany FR",S5185)),"FR Germany",
ISNUMBER(SEARCH("West Germany",S5185)),"FR Germany",
ISNUMBER(SEARCH("Germany DR",S5185)),"DR Germany",
ISNUMBER(SEARCH("Korea DPR",S5185)),"North Korea",
ISNUMBER(SEARCH("China PR",S5185)),"China",
ISNUMBER(SEARCH("IR Iran",S5185)),"Iran",
ISNUMBER(SEARCH("Congo DR",S5185)),"Democratic Republic of the Congo",
ISNUMBER(SEARCH("DR Congo",S5185)),"Democratic Republic of the Congo",
ISNUMBER(SEARCH("German DR",S5185)),"DR Germany",
ISNUMBER(SEARCH("rn""&gt;United Arab Emirates",S5185)),"United Arab Emirates",
ISNUMBER(SEARCH("rn""&gt;Republic of Ireland",S5185)),"Ireland",
ISNUMBER(SEARCH("rn""&gt;Bosnia and Herzegovina",S5185)),"Bosnia and Herzegovina",
ISNUMBER(SEARCH("rn""&gt;Trinidad and Tobago",S5185)),"Trinidad and Tobago",
ISNUMBER(SEARCH("rn""&gt;Serbia and Montenegro",S5185)),"Serbia and Montenegro",
ISNUMBER(SEARCH(_xlfn.UNICHAR(65533),S5185)),"Côte d'Ivoire",
TRUE,"-"
)</f>
        <v>-</v>
      </c>
      <c r="W5185" s="42" t="str">
        <f t="shared" si="315"/>
        <v>-</v>
      </c>
    </row>
    <row r="5186" spans="19:23">
      <c r="S5186" s="42" t="str">
        <v>Ukraine win on penalties (0 - 3)</v>
      </c>
      <c r="T5186" s="42" t="str">
        <f t="shared" si="313"/>
        <v>Ukraine</v>
      </c>
      <c r="U5186" s="40" t="str">
        <f t="shared" si="314"/>
        <v>AUCUNE</v>
      </c>
      <c r="V5186" s="42" t="str" cm="1">
        <f t="array" ref="V5186">_xlfn.IFS(
LEFT(S5186,16)="win on penalties",IF(VALUE(MID(S5186,19,1))&gt;VALUE(MID(S5186,23,1)),DATA_CLEANED!AK700,DATA_CLEANED!AN700),
ISNUMBER(SEARCH("USA",S5186)),"United States",
ISNUMBER(SEARCH("Republic of Ireland",S5186)),"Ireland",
ISNUMBER(SEARCH("Republic of Korea",S5186)),"South Korea",
ISNUMBER(SEARCH("Cape Verde",S5186)),"Cabo Verde",
ISNUMBER(SEARCH("Czechia",S5186)),"Czech Republic",
ISNUMBER(SEARCH("Türkiye",S5186)),"Turkey",
ISNUMBER(SEARCH("Ivory Coast",S5186)),"Côte d'Ivoire",
ISNUMBER(SEARCH("Korea Republic",S5186)),"South Korea",
ISNUMBER(SEARCH("Germany FR",S5186)),"FR Germany",
ISNUMBER(SEARCH("West Germany",S5186)),"FR Germany",
ISNUMBER(SEARCH("Germany DR",S5186)),"DR Germany",
ISNUMBER(SEARCH("Korea DPR",S5186)),"North Korea",
ISNUMBER(SEARCH("China PR",S5186)),"China",
ISNUMBER(SEARCH("IR Iran",S5186)),"Iran",
ISNUMBER(SEARCH("Congo DR",S5186)),"Democratic Republic of the Congo",
ISNUMBER(SEARCH("DR Congo",S5186)),"Democratic Republic of the Congo",
ISNUMBER(SEARCH("German DR",S5186)),"DR Germany",
ISNUMBER(SEARCH("rn""&gt;United Arab Emirates",S5186)),"United Arab Emirates",
ISNUMBER(SEARCH("rn""&gt;Republic of Ireland",S5186)),"Ireland",
ISNUMBER(SEARCH("rn""&gt;Bosnia and Herzegovina",S5186)),"Bosnia and Herzegovina",
ISNUMBER(SEARCH("rn""&gt;Trinidad and Tobago",S5186)),"Trinidad and Tobago",
ISNUMBER(SEARCH("rn""&gt;Serbia and Montenegro",S5186)),"Serbia and Montenegro",
ISNUMBER(SEARCH(_xlfn.UNICHAR(65533),S5186)),"Côte d'Ivoire",
TRUE,"-"
)</f>
        <v>-</v>
      </c>
      <c r="W5186" s="42" t="str">
        <f t="shared" si="315"/>
        <v>Ukraine win on penalties (0 - 3)</v>
      </c>
    </row>
    <row r="5187" spans="19:23">
      <c r="S5187" s="42" t="str">
        <v/>
      </c>
      <c r="T5187" s="42" t="str">
        <f t="shared" si="313"/>
        <v>-</v>
      </c>
      <c r="U5187" s="40" t="str">
        <f t="shared" si="314"/>
        <v>-</v>
      </c>
      <c r="V5187" s="42" t="str" cm="1">
        <f t="array" ref="V5187">_xlfn.IFS(
LEFT(S5187,16)="win on penalties",IF(VALUE(MID(S5187,19,1))&gt;VALUE(MID(S5187,23,1)),DATA_CLEANED!AK701,DATA_CLEANED!AN701),
ISNUMBER(SEARCH("USA",S5187)),"United States",
ISNUMBER(SEARCH("Republic of Ireland",S5187)),"Ireland",
ISNUMBER(SEARCH("Republic of Korea",S5187)),"South Korea",
ISNUMBER(SEARCH("Cape Verde",S5187)),"Cabo Verde",
ISNUMBER(SEARCH("Czechia",S5187)),"Czech Republic",
ISNUMBER(SEARCH("Türkiye",S5187)),"Turkey",
ISNUMBER(SEARCH("Ivory Coast",S5187)),"Côte d'Ivoire",
ISNUMBER(SEARCH("Korea Republic",S5187)),"South Korea",
ISNUMBER(SEARCH("Germany FR",S5187)),"FR Germany",
ISNUMBER(SEARCH("West Germany",S5187)),"FR Germany",
ISNUMBER(SEARCH("Germany DR",S5187)),"DR Germany",
ISNUMBER(SEARCH("Korea DPR",S5187)),"North Korea",
ISNUMBER(SEARCH("China PR",S5187)),"China",
ISNUMBER(SEARCH("IR Iran",S5187)),"Iran",
ISNUMBER(SEARCH("Congo DR",S5187)),"Democratic Republic of the Congo",
ISNUMBER(SEARCH("DR Congo",S5187)),"Democratic Republic of the Congo",
ISNUMBER(SEARCH("German DR",S5187)),"DR Germany",
ISNUMBER(SEARCH("rn""&gt;United Arab Emirates",S5187)),"United Arab Emirates",
ISNUMBER(SEARCH("rn""&gt;Republic of Ireland",S5187)),"Ireland",
ISNUMBER(SEARCH("rn""&gt;Bosnia and Herzegovina",S5187)),"Bosnia and Herzegovina",
ISNUMBER(SEARCH("rn""&gt;Trinidad and Tobago",S5187)),"Trinidad and Tobago",
ISNUMBER(SEARCH("rn""&gt;Serbia and Montenegro",S5187)),"Serbia and Montenegro",
ISNUMBER(SEARCH(_xlfn.UNICHAR(65533),S5187)),"Côte d'Ivoire",
TRUE,"-"
)</f>
        <v>-</v>
      </c>
      <c r="W5187" s="42" t="str">
        <f t="shared" si="315"/>
        <v>-</v>
      </c>
    </row>
    <row r="5188" spans="19:23">
      <c r="S5188" s="42" t="str">
        <v/>
      </c>
      <c r="T5188" s="42" t="str">
        <f t="shared" si="313"/>
        <v>-</v>
      </c>
      <c r="U5188" s="40" t="str">
        <f t="shared" si="314"/>
        <v>-</v>
      </c>
      <c r="V5188" s="42" t="str" cm="1">
        <f t="array" ref="V5188">_xlfn.IFS(
LEFT(S5188,16)="win on penalties",IF(VALUE(MID(S5188,19,1))&gt;VALUE(MID(S5188,23,1)),DATA_CLEANED!AK702,DATA_CLEANED!AN702),
ISNUMBER(SEARCH("USA",S5188)),"United States",
ISNUMBER(SEARCH("Republic of Ireland",S5188)),"Ireland",
ISNUMBER(SEARCH("Republic of Korea",S5188)),"South Korea",
ISNUMBER(SEARCH("Cape Verde",S5188)),"Cabo Verde",
ISNUMBER(SEARCH("Czechia",S5188)),"Czech Republic",
ISNUMBER(SEARCH("Türkiye",S5188)),"Turkey",
ISNUMBER(SEARCH("Ivory Coast",S5188)),"Côte d'Ivoire",
ISNUMBER(SEARCH("Korea Republic",S5188)),"South Korea",
ISNUMBER(SEARCH("Germany FR",S5188)),"FR Germany",
ISNUMBER(SEARCH("West Germany",S5188)),"FR Germany",
ISNUMBER(SEARCH("Germany DR",S5188)),"DR Germany",
ISNUMBER(SEARCH("Korea DPR",S5188)),"North Korea",
ISNUMBER(SEARCH("China PR",S5188)),"China",
ISNUMBER(SEARCH("IR Iran",S5188)),"Iran",
ISNUMBER(SEARCH("Congo DR",S5188)),"Democratic Republic of the Congo",
ISNUMBER(SEARCH("DR Congo",S5188)),"Democratic Republic of the Congo",
ISNUMBER(SEARCH("German DR",S5188)),"DR Germany",
ISNUMBER(SEARCH("rn""&gt;United Arab Emirates",S5188)),"United Arab Emirates",
ISNUMBER(SEARCH("rn""&gt;Republic of Ireland",S5188)),"Ireland",
ISNUMBER(SEARCH("rn""&gt;Bosnia and Herzegovina",S5188)),"Bosnia and Herzegovina",
ISNUMBER(SEARCH("rn""&gt;Trinidad and Tobago",S5188)),"Trinidad and Tobago",
ISNUMBER(SEARCH("rn""&gt;Serbia and Montenegro",S5188)),"Serbia and Montenegro",
ISNUMBER(SEARCH(_xlfn.UNICHAR(65533),S5188)),"Côte d'Ivoire",
TRUE,"-"
)</f>
        <v>-</v>
      </c>
      <c r="W5188" s="42" t="str">
        <f t="shared" si="315"/>
        <v>-</v>
      </c>
    </row>
    <row r="5189" spans="19:23">
      <c r="S5189" s="42" t="str">
        <v>Germany win on penalties (4 - 2)</v>
      </c>
      <c r="T5189" s="42" t="str">
        <f t="shared" si="313"/>
        <v>Germany</v>
      </c>
      <c r="U5189" s="40" t="str">
        <f t="shared" si="314"/>
        <v>AUCUNE</v>
      </c>
      <c r="V5189" s="42" t="str" cm="1">
        <f t="array" ref="V5189">_xlfn.IFS(
LEFT(S5189,16)="win on penalties",IF(VALUE(MID(S5189,19,1))&gt;VALUE(MID(S5189,23,1)),DATA_CLEANED!AK703,DATA_CLEANED!AN703),
ISNUMBER(SEARCH("USA",S5189)),"United States",
ISNUMBER(SEARCH("Republic of Ireland",S5189)),"Ireland",
ISNUMBER(SEARCH("Republic of Korea",S5189)),"South Korea",
ISNUMBER(SEARCH("Cape Verde",S5189)),"Cabo Verde",
ISNUMBER(SEARCH("Czechia",S5189)),"Czech Republic",
ISNUMBER(SEARCH("Türkiye",S5189)),"Turkey",
ISNUMBER(SEARCH("Ivory Coast",S5189)),"Côte d'Ivoire",
ISNUMBER(SEARCH("Korea Republic",S5189)),"South Korea",
ISNUMBER(SEARCH("Germany FR",S5189)),"FR Germany",
ISNUMBER(SEARCH("West Germany",S5189)),"FR Germany",
ISNUMBER(SEARCH("Germany DR",S5189)),"DR Germany",
ISNUMBER(SEARCH("Korea DPR",S5189)),"North Korea",
ISNUMBER(SEARCH("China PR",S5189)),"China",
ISNUMBER(SEARCH("IR Iran",S5189)),"Iran",
ISNUMBER(SEARCH("Congo DR",S5189)),"Democratic Republic of the Congo",
ISNUMBER(SEARCH("DR Congo",S5189)),"Democratic Republic of the Congo",
ISNUMBER(SEARCH("German DR",S5189)),"DR Germany",
ISNUMBER(SEARCH("rn""&gt;United Arab Emirates",S5189)),"United Arab Emirates",
ISNUMBER(SEARCH("rn""&gt;Republic of Ireland",S5189)),"Ireland",
ISNUMBER(SEARCH("rn""&gt;Bosnia and Herzegovina",S5189)),"Bosnia and Herzegovina",
ISNUMBER(SEARCH("rn""&gt;Trinidad and Tobago",S5189)),"Trinidad and Tobago",
ISNUMBER(SEARCH("rn""&gt;Serbia and Montenegro",S5189)),"Serbia and Montenegro",
ISNUMBER(SEARCH(_xlfn.UNICHAR(65533),S5189)),"Côte d'Ivoire",
TRUE,"-"
)</f>
        <v>-</v>
      </c>
      <c r="W5189" s="42" t="str">
        <f t="shared" si="315"/>
        <v>Germany win on penalties (4 - 2)</v>
      </c>
    </row>
    <row r="5190" spans="19:23">
      <c r="S5190" s="42" t="str">
        <v/>
      </c>
      <c r="T5190" s="42" t="str">
        <f t="shared" si="313"/>
        <v>-</v>
      </c>
      <c r="U5190" s="40" t="str">
        <f t="shared" si="314"/>
        <v>-</v>
      </c>
      <c r="V5190" s="42" t="str" cm="1">
        <f t="array" ref="V5190">_xlfn.IFS(
LEFT(S5190,16)="win on penalties",IF(VALUE(MID(S5190,19,1))&gt;VALUE(MID(S5190,23,1)),DATA_CLEANED!AK704,DATA_CLEANED!AN704),
ISNUMBER(SEARCH("USA",S5190)),"United States",
ISNUMBER(SEARCH("Republic of Ireland",S5190)),"Ireland",
ISNUMBER(SEARCH("Republic of Korea",S5190)),"South Korea",
ISNUMBER(SEARCH("Cape Verde",S5190)),"Cabo Verde",
ISNUMBER(SEARCH("Czechia",S5190)),"Czech Republic",
ISNUMBER(SEARCH("Türkiye",S5190)),"Turkey",
ISNUMBER(SEARCH("Ivory Coast",S5190)),"Côte d'Ivoire",
ISNUMBER(SEARCH("Korea Republic",S5190)),"South Korea",
ISNUMBER(SEARCH("Germany FR",S5190)),"FR Germany",
ISNUMBER(SEARCH("West Germany",S5190)),"FR Germany",
ISNUMBER(SEARCH("Germany DR",S5190)),"DR Germany",
ISNUMBER(SEARCH("Korea DPR",S5190)),"North Korea",
ISNUMBER(SEARCH("China PR",S5190)),"China",
ISNUMBER(SEARCH("IR Iran",S5190)),"Iran",
ISNUMBER(SEARCH("Congo DR",S5190)),"Democratic Republic of the Congo",
ISNUMBER(SEARCH("DR Congo",S5190)),"Democratic Republic of the Congo",
ISNUMBER(SEARCH("German DR",S5190)),"DR Germany",
ISNUMBER(SEARCH("rn""&gt;United Arab Emirates",S5190)),"United Arab Emirates",
ISNUMBER(SEARCH("rn""&gt;Republic of Ireland",S5190)),"Ireland",
ISNUMBER(SEARCH("rn""&gt;Bosnia and Herzegovina",S5190)),"Bosnia and Herzegovina",
ISNUMBER(SEARCH("rn""&gt;Trinidad and Tobago",S5190)),"Trinidad and Tobago",
ISNUMBER(SEARCH("rn""&gt;Serbia and Montenegro",S5190)),"Serbia and Montenegro",
ISNUMBER(SEARCH(_xlfn.UNICHAR(65533),S5190)),"Côte d'Ivoire",
TRUE,"-"
)</f>
        <v>-</v>
      </c>
      <c r="W5190" s="42" t="str">
        <f t="shared" si="315"/>
        <v>-</v>
      </c>
    </row>
    <row r="5191" spans="19:23">
      <c r="S5191" s="42" t="str">
        <v>Portugal win on penalties (1 - 3)</v>
      </c>
      <c r="T5191" s="42" t="str">
        <f t="shared" si="313"/>
        <v>Portugal</v>
      </c>
      <c r="U5191" s="40" t="str">
        <f t="shared" si="314"/>
        <v>AUCUNE</v>
      </c>
      <c r="V5191" s="42" t="str" cm="1">
        <f t="array" ref="V5191">_xlfn.IFS(
LEFT(S5191,16)="win on penalties",IF(VALUE(MID(S5191,19,1))&gt;VALUE(MID(S5191,23,1)),DATA_CLEANED!AK705,DATA_CLEANED!AN705),
ISNUMBER(SEARCH("USA",S5191)),"United States",
ISNUMBER(SEARCH("Republic of Ireland",S5191)),"Ireland",
ISNUMBER(SEARCH("Republic of Korea",S5191)),"South Korea",
ISNUMBER(SEARCH("Cape Verde",S5191)),"Cabo Verde",
ISNUMBER(SEARCH("Czechia",S5191)),"Czech Republic",
ISNUMBER(SEARCH("Türkiye",S5191)),"Turkey",
ISNUMBER(SEARCH("Ivory Coast",S5191)),"Côte d'Ivoire",
ISNUMBER(SEARCH("Korea Republic",S5191)),"South Korea",
ISNUMBER(SEARCH("Germany FR",S5191)),"FR Germany",
ISNUMBER(SEARCH("West Germany",S5191)),"FR Germany",
ISNUMBER(SEARCH("Germany DR",S5191)),"DR Germany",
ISNUMBER(SEARCH("Korea DPR",S5191)),"North Korea",
ISNUMBER(SEARCH("China PR",S5191)),"China",
ISNUMBER(SEARCH("IR Iran",S5191)),"Iran",
ISNUMBER(SEARCH("Congo DR",S5191)),"Democratic Republic of the Congo",
ISNUMBER(SEARCH("DR Congo",S5191)),"Democratic Republic of the Congo",
ISNUMBER(SEARCH("German DR",S5191)),"DR Germany",
ISNUMBER(SEARCH("rn""&gt;United Arab Emirates",S5191)),"United Arab Emirates",
ISNUMBER(SEARCH("rn""&gt;Republic of Ireland",S5191)),"Ireland",
ISNUMBER(SEARCH("rn""&gt;Bosnia and Herzegovina",S5191)),"Bosnia and Herzegovina",
ISNUMBER(SEARCH("rn""&gt;Trinidad and Tobago",S5191)),"Trinidad and Tobago",
ISNUMBER(SEARCH("rn""&gt;Serbia and Montenegro",S5191)),"Serbia and Montenegro",
ISNUMBER(SEARCH(_xlfn.UNICHAR(65533),S5191)),"Côte d'Ivoire",
TRUE,"-"
)</f>
        <v>-</v>
      </c>
      <c r="W5191" s="42" t="str">
        <f t="shared" si="315"/>
        <v>Portugal win on penalties (1 - 3)</v>
      </c>
    </row>
    <row r="5192" spans="19:23">
      <c r="S5192" s="42" t="str">
        <v/>
      </c>
      <c r="T5192" s="42" t="str">
        <f t="shared" si="313"/>
        <v>-</v>
      </c>
      <c r="U5192" s="40" t="str">
        <f t="shared" si="314"/>
        <v>-</v>
      </c>
      <c r="V5192" s="42" t="str" cm="1">
        <f t="array" ref="V5192">_xlfn.IFS(
LEFT(S5192,16)="win on penalties",IF(VALUE(MID(S5192,19,1))&gt;VALUE(MID(S5192,23,1)),DATA_CLEANED!AK706,DATA_CLEANED!AN706),
ISNUMBER(SEARCH("USA",S5192)),"United States",
ISNUMBER(SEARCH("Republic of Ireland",S5192)),"Ireland",
ISNUMBER(SEARCH("Republic of Korea",S5192)),"South Korea",
ISNUMBER(SEARCH("Cape Verde",S5192)),"Cabo Verde",
ISNUMBER(SEARCH("Czechia",S5192)),"Czech Republic",
ISNUMBER(SEARCH("Türkiye",S5192)),"Turkey",
ISNUMBER(SEARCH("Ivory Coast",S5192)),"Côte d'Ivoire",
ISNUMBER(SEARCH("Korea Republic",S5192)),"South Korea",
ISNUMBER(SEARCH("Germany FR",S5192)),"FR Germany",
ISNUMBER(SEARCH("West Germany",S5192)),"FR Germany",
ISNUMBER(SEARCH("Germany DR",S5192)),"DR Germany",
ISNUMBER(SEARCH("Korea DPR",S5192)),"North Korea",
ISNUMBER(SEARCH("China PR",S5192)),"China",
ISNUMBER(SEARCH("IR Iran",S5192)),"Iran",
ISNUMBER(SEARCH("Congo DR",S5192)),"Democratic Republic of the Congo",
ISNUMBER(SEARCH("DR Congo",S5192)),"Democratic Republic of the Congo",
ISNUMBER(SEARCH("German DR",S5192)),"DR Germany",
ISNUMBER(SEARCH("rn""&gt;United Arab Emirates",S5192)),"United Arab Emirates",
ISNUMBER(SEARCH("rn""&gt;Republic of Ireland",S5192)),"Ireland",
ISNUMBER(SEARCH("rn""&gt;Bosnia and Herzegovina",S5192)),"Bosnia and Herzegovina",
ISNUMBER(SEARCH("rn""&gt;Trinidad and Tobago",S5192)),"Trinidad and Tobago",
ISNUMBER(SEARCH("rn""&gt;Serbia and Montenegro",S5192)),"Serbia and Montenegro",
ISNUMBER(SEARCH(_xlfn.UNICHAR(65533),S5192)),"Côte d'Ivoire",
TRUE,"-"
)</f>
        <v>-</v>
      </c>
      <c r="W5192" s="42" t="str">
        <f t="shared" si="315"/>
        <v>-</v>
      </c>
    </row>
    <row r="5193" spans="19:23">
      <c r="S5193" s="42" t="str">
        <v>Italy win after extra time</v>
      </c>
      <c r="T5193" s="42" t="str">
        <f t="shared" si="313"/>
        <v>Italy</v>
      </c>
      <c r="U5193" s="40" t="str">
        <f t="shared" si="314"/>
        <v>AUCUNE</v>
      </c>
      <c r="V5193" s="42" t="str" cm="1">
        <f t="array" ref="V5193">_xlfn.IFS(
LEFT(S5193,16)="win on penalties",IF(VALUE(MID(S5193,19,1))&gt;VALUE(MID(S5193,23,1)),DATA_CLEANED!AK707,DATA_CLEANED!AN707),
ISNUMBER(SEARCH("USA",S5193)),"United States",
ISNUMBER(SEARCH("Republic of Ireland",S5193)),"Ireland",
ISNUMBER(SEARCH("Republic of Korea",S5193)),"South Korea",
ISNUMBER(SEARCH("Cape Verde",S5193)),"Cabo Verde",
ISNUMBER(SEARCH("Czechia",S5193)),"Czech Republic",
ISNUMBER(SEARCH("Türkiye",S5193)),"Turkey",
ISNUMBER(SEARCH("Ivory Coast",S5193)),"Côte d'Ivoire",
ISNUMBER(SEARCH("Korea Republic",S5193)),"South Korea",
ISNUMBER(SEARCH("Germany FR",S5193)),"FR Germany",
ISNUMBER(SEARCH("West Germany",S5193)),"FR Germany",
ISNUMBER(SEARCH("Germany DR",S5193)),"DR Germany",
ISNUMBER(SEARCH("Korea DPR",S5193)),"North Korea",
ISNUMBER(SEARCH("China PR",S5193)),"China",
ISNUMBER(SEARCH("IR Iran",S5193)),"Iran",
ISNUMBER(SEARCH("Congo DR",S5193)),"Democratic Republic of the Congo",
ISNUMBER(SEARCH("DR Congo",S5193)),"Democratic Republic of the Congo",
ISNUMBER(SEARCH("German DR",S5193)),"DR Germany",
ISNUMBER(SEARCH("rn""&gt;United Arab Emirates",S5193)),"United Arab Emirates",
ISNUMBER(SEARCH("rn""&gt;Republic of Ireland",S5193)),"Ireland",
ISNUMBER(SEARCH("rn""&gt;Bosnia and Herzegovina",S5193)),"Bosnia and Herzegovina",
ISNUMBER(SEARCH("rn""&gt;Trinidad and Tobago",S5193)),"Trinidad and Tobago",
ISNUMBER(SEARCH("rn""&gt;Serbia and Montenegro",S5193)),"Serbia and Montenegro",
ISNUMBER(SEARCH(_xlfn.UNICHAR(65533),S5193)),"Côte d'Ivoire",
TRUE,"-"
)</f>
        <v>-</v>
      </c>
      <c r="W5193" s="42" t="str">
        <f t="shared" si="315"/>
        <v>Italy win after extra time</v>
      </c>
    </row>
    <row r="5194" spans="19:23">
      <c r="S5194" s="42" t="str">
        <v/>
      </c>
      <c r="T5194" s="42" t="str">
        <f t="shared" ref="T5194:T5257" si="316">IF(S5194="","-",IFERROR(LEFT(S5194,SEARCH(" win",S5194)-1),"-"))</f>
        <v>-</v>
      </c>
      <c r="U5194" s="40" t="str">
        <f t="shared" ref="U5194:U5257" si="317">IF(T5194="-","-",IF(COUNTIF(_xlfn.ANCHORARRAY(X$13),T5194)=1,"AUCUNE","RENOMMER"))</f>
        <v>-</v>
      </c>
      <c r="V5194" s="42" t="str" cm="1">
        <f t="array" ref="V5194">_xlfn.IFS(
LEFT(S5194,16)="win on penalties",IF(VALUE(MID(S5194,19,1))&gt;VALUE(MID(S5194,23,1)),DATA_CLEANED!AK708,DATA_CLEANED!AN708),
ISNUMBER(SEARCH("USA",S5194)),"United States",
ISNUMBER(SEARCH("Republic of Ireland",S5194)),"Ireland",
ISNUMBER(SEARCH("Republic of Korea",S5194)),"South Korea",
ISNUMBER(SEARCH("Cape Verde",S5194)),"Cabo Verde",
ISNUMBER(SEARCH("Czechia",S5194)),"Czech Republic",
ISNUMBER(SEARCH("Türkiye",S5194)),"Turkey",
ISNUMBER(SEARCH("Ivory Coast",S5194)),"Côte d'Ivoire",
ISNUMBER(SEARCH("Korea Republic",S5194)),"South Korea",
ISNUMBER(SEARCH("Germany FR",S5194)),"FR Germany",
ISNUMBER(SEARCH("West Germany",S5194)),"FR Germany",
ISNUMBER(SEARCH("Germany DR",S5194)),"DR Germany",
ISNUMBER(SEARCH("Korea DPR",S5194)),"North Korea",
ISNUMBER(SEARCH("China PR",S5194)),"China",
ISNUMBER(SEARCH("IR Iran",S5194)),"Iran",
ISNUMBER(SEARCH("Congo DR",S5194)),"Democratic Republic of the Congo",
ISNUMBER(SEARCH("DR Congo",S5194)),"Democratic Republic of the Congo",
ISNUMBER(SEARCH("German DR",S5194)),"DR Germany",
ISNUMBER(SEARCH("rn""&gt;United Arab Emirates",S5194)),"United Arab Emirates",
ISNUMBER(SEARCH("rn""&gt;Republic of Ireland",S5194)),"Ireland",
ISNUMBER(SEARCH("rn""&gt;Bosnia and Herzegovina",S5194)),"Bosnia and Herzegovina",
ISNUMBER(SEARCH("rn""&gt;Trinidad and Tobago",S5194)),"Trinidad and Tobago",
ISNUMBER(SEARCH("rn""&gt;Serbia and Montenegro",S5194)),"Serbia and Montenegro",
ISNUMBER(SEARCH(_xlfn.UNICHAR(65533),S5194)),"Côte d'Ivoire",
TRUE,"-"
)</f>
        <v>-</v>
      </c>
      <c r="W5194" s="42" t="str">
        <f t="shared" ref="W5194:W5257" si="318">IF(S5194="","-",IF(AND(U5194="RENOMMER",T5194&lt;&gt;"-",V5194&lt;&gt;"-"),SUBSTITUTE(S5194,T5194,V5194),S5194))</f>
        <v>-</v>
      </c>
    </row>
    <row r="5195" spans="19:23">
      <c r="S5195" s="42" t="str">
        <v/>
      </c>
      <c r="T5195" s="42" t="str">
        <f t="shared" si="316"/>
        <v>-</v>
      </c>
      <c r="U5195" s="40" t="str">
        <f t="shared" si="317"/>
        <v>-</v>
      </c>
      <c r="V5195" s="42" t="str" cm="1">
        <f t="array" ref="V5195">_xlfn.IFS(
LEFT(S5195,16)="win on penalties",IF(VALUE(MID(S5195,19,1))&gt;VALUE(MID(S5195,23,1)),DATA_CLEANED!AK709,DATA_CLEANED!AN709),
ISNUMBER(SEARCH("USA",S5195)),"United States",
ISNUMBER(SEARCH("Republic of Ireland",S5195)),"Ireland",
ISNUMBER(SEARCH("Republic of Korea",S5195)),"South Korea",
ISNUMBER(SEARCH("Cape Verde",S5195)),"Cabo Verde",
ISNUMBER(SEARCH("Czechia",S5195)),"Czech Republic",
ISNUMBER(SEARCH("Türkiye",S5195)),"Turkey",
ISNUMBER(SEARCH("Ivory Coast",S5195)),"Côte d'Ivoire",
ISNUMBER(SEARCH("Korea Republic",S5195)),"South Korea",
ISNUMBER(SEARCH("Germany FR",S5195)),"FR Germany",
ISNUMBER(SEARCH("West Germany",S5195)),"FR Germany",
ISNUMBER(SEARCH("Germany DR",S5195)),"DR Germany",
ISNUMBER(SEARCH("Korea DPR",S5195)),"North Korea",
ISNUMBER(SEARCH("China PR",S5195)),"China",
ISNUMBER(SEARCH("IR Iran",S5195)),"Iran",
ISNUMBER(SEARCH("Congo DR",S5195)),"Democratic Republic of the Congo",
ISNUMBER(SEARCH("DR Congo",S5195)),"Democratic Republic of the Congo",
ISNUMBER(SEARCH("German DR",S5195)),"DR Germany",
ISNUMBER(SEARCH("rn""&gt;United Arab Emirates",S5195)),"United Arab Emirates",
ISNUMBER(SEARCH("rn""&gt;Republic of Ireland",S5195)),"Ireland",
ISNUMBER(SEARCH("rn""&gt;Bosnia and Herzegovina",S5195)),"Bosnia and Herzegovina",
ISNUMBER(SEARCH("rn""&gt;Trinidad and Tobago",S5195)),"Trinidad and Tobago",
ISNUMBER(SEARCH("rn""&gt;Serbia and Montenegro",S5195)),"Serbia and Montenegro",
ISNUMBER(SEARCH(_xlfn.UNICHAR(65533),S5195)),"Côte d'Ivoire",
TRUE,"-"
)</f>
        <v>-</v>
      </c>
      <c r="W5195" s="42" t="str">
        <f t="shared" si="318"/>
        <v>-</v>
      </c>
    </row>
    <row r="5196" spans="19:23">
      <c r="S5196" s="42" t="str">
        <v>Italy win on penalties (5 - 3)</v>
      </c>
      <c r="T5196" s="42" t="str">
        <f t="shared" si="316"/>
        <v>Italy</v>
      </c>
      <c r="U5196" s="40" t="str">
        <f t="shared" si="317"/>
        <v>AUCUNE</v>
      </c>
      <c r="V5196" s="42" t="str" cm="1">
        <f t="array" ref="V5196">_xlfn.IFS(
LEFT(S5196,16)="win on penalties",IF(VALUE(MID(S5196,19,1))&gt;VALUE(MID(S5196,23,1)),DATA_CLEANED!AK710,DATA_CLEANED!AN710),
ISNUMBER(SEARCH("USA",S5196)),"United States",
ISNUMBER(SEARCH("Republic of Ireland",S5196)),"Ireland",
ISNUMBER(SEARCH("Republic of Korea",S5196)),"South Korea",
ISNUMBER(SEARCH("Cape Verde",S5196)),"Cabo Verde",
ISNUMBER(SEARCH("Czechia",S5196)),"Czech Republic",
ISNUMBER(SEARCH("Türkiye",S5196)),"Turkey",
ISNUMBER(SEARCH("Ivory Coast",S5196)),"Côte d'Ivoire",
ISNUMBER(SEARCH("Korea Republic",S5196)),"South Korea",
ISNUMBER(SEARCH("Germany FR",S5196)),"FR Germany",
ISNUMBER(SEARCH("West Germany",S5196)),"FR Germany",
ISNUMBER(SEARCH("Germany DR",S5196)),"DR Germany",
ISNUMBER(SEARCH("Korea DPR",S5196)),"North Korea",
ISNUMBER(SEARCH("China PR",S5196)),"China",
ISNUMBER(SEARCH("IR Iran",S5196)),"Iran",
ISNUMBER(SEARCH("Congo DR",S5196)),"Democratic Republic of the Congo",
ISNUMBER(SEARCH("DR Congo",S5196)),"Democratic Republic of the Congo",
ISNUMBER(SEARCH("German DR",S5196)),"DR Germany",
ISNUMBER(SEARCH("rn""&gt;United Arab Emirates",S5196)),"United Arab Emirates",
ISNUMBER(SEARCH("rn""&gt;Republic of Ireland",S5196)),"Ireland",
ISNUMBER(SEARCH("rn""&gt;Bosnia and Herzegovina",S5196)),"Bosnia and Herzegovina",
ISNUMBER(SEARCH("rn""&gt;Trinidad and Tobago",S5196)),"Trinidad and Tobago",
ISNUMBER(SEARCH("rn""&gt;Serbia and Montenegro",S5196)),"Serbia and Montenegro",
ISNUMBER(SEARCH(_xlfn.UNICHAR(65533),S5196)),"Côte d'Ivoire",
TRUE,"-"
)</f>
        <v>-</v>
      </c>
      <c r="W5196" s="42" t="str">
        <f t="shared" si="318"/>
        <v>Italy win on penalties (5 - 3)</v>
      </c>
    </row>
    <row r="5197" spans="19:23">
      <c r="S5197" s="42" t="str">
        <v/>
      </c>
      <c r="T5197" s="42" t="str">
        <f t="shared" si="316"/>
        <v>-</v>
      </c>
      <c r="U5197" s="40" t="str">
        <f t="shared" si="317"/>
        <v>-</v>
      </c>
      <c r="V5197" s="42" t="str" cm="1">
        <f t="array" ref="V5197">_xlfn.IFS(
LEFT(S5197,16)="win on penalties",IF(VALUE(MID(S5197,19,1))&gt;VALUE(MID(S5197,23,1)),DATA_CLEANED!AK711,DATA_CLEANED!AN711),
ISNUMBER(SEARCH("USA",S5197)),"United States",
ISNUMBER(SEARCH("Republic of Ireland",S5197)),"Ireland",
ISNUMBER(SEARCH("Republic of Korea",S5197)),"South Korea",
ISNUMBER(SEARCH("Cape Verde",S5197)),"Cabo Verde",
ISNUMBER(SEARCH("Czechia",S5197)),"Czech Republic",
ISNUMBER(SEARCH("Türkiye",S5197)),"Turkey",
ISNUMBER(SEARCH("Ivory Coast",S5197)),"Côte d'Ivoire",
ISNUMBER(SEARCH("Korea Republic",S5197)),"South Korea",
ISNUMBER(SEARCH("Germany FR",S5197)),"FR Germany",
ISNUMBER(SEARCH("West Germany",S5197)),"FR Germany",
ISNUMBER(SEARCH("Germany DR",S5197)),"DR Germany",
ISNUMBER(SEARCH("Korea DPR",S5197)),"North Korea",
ISNUMBER(SEARCH("China PR",S5197)),"China",
ISNUMBER(SEARCH("IR Iran",S5197)),"Iran",
ISNUMBER(SEARCH("Congo DR",S5197)),"Democratic Republic of the Congo",
ISNUMBER(SEARCH("DR Congo",S5197)),"Democratic Republic of the Congo",
ISNUMBER(SEARCH("German DR",S5197)),"DR Germany",
ISNUMBER(SEARCH("rn""&gt;United Arab Emirates",S5197)),"United Arab Emirates",
ISNUMBER(SEARCH("rn""&gt;Republic of Ireland",S5197)),"Ireland",
ISNUMBER(SEARCH("rn""&gt;Bosnia and Herzegovina",S5197)),"Bosnia and Herzegovina",
ISNUMBER(SEARCH("rn""&gt;Trinidad and Tobago",S5197)),"Trinidad and Tobago",
ISNUMBER(SEARCH("rn""&gt;Serbia and Montenegro",S5197)),"Serbia and Montenegro",
ISNUMBER(SEARCH(_xlfn.UNICHAR(65533),S5197)),"Côte d'Ivoire",
TRUE,"-"
)</f>
        <v>-</v>
      </c>
      <c r="W5197" s="42" t="str">
        <f t="shared" si="318"/>
        <v>-</v>
      </c>
    </row>
    <row r="5198" spans="19:23">
      <c r="S5198" s="42" t="str">
        <v/>
      </c>
      <c r="T5198" s="42" t="str">
        <f t="shared" si="316"/>
        <v>-</v>
      </c>
      <c r="U5198" s="40" t="str">
        <f t="shared" si="317"/>
        <v>-</v>
      </c>
      <c r="V5198" s="42" t="str" cm="1">
        <f t="array" ref="V5198">_xlfn.IFS(
LEFT(S5198,16)="win on penalties",IF(VALUE(MID(S5198,19,1))&gt;VALUE(MID(S5198,23,1)),DATA_CLEANED!AK712,DATA_CLEANED!AN712),
ISNUMBER(SEARCH("USA",S5198)),"United States",
ISNUMBER(SEARCH("Republic of Ireland",S5198)),"Ireland",
ISNUMBER(SEARCH("Republic of Korea",S5198)),"South Korea",
ISNUMBER(SEARCH("Cape Verde",S5198)),"Cabo Verde",
ISNUMBER(SEARCH("Czechia",S5198)),"Czech Republic",
ISNUMBER(SEARCH("Türkiye",S5198)),"Turkey",
ISNUMBER(SEARCH("Ivory Coast",S5198)),"Côte d'Ivoire",
ISNUMBER(SEARCH("Korea Republic",S5198)),"South Korea",
ISNUMBER(SEARCH("Germany FR",S5198)),"FR Germany",
ISNUMBER(SEARCH("West Germany",S5198)),"FR Germany",
ISNUMBER(SEARCH("Germany DR",S5198)),"DR Germany",
ISNUMBER(SEARCH("Korea DPR",S5198)),"North Korea",
ISNUMBER(SEARCH("China PR",S5198)),"China",
ISNUMBER(SEARCH("IR Iran",S5198)),"Iran",
ISNUMBER(SEARCH("Congo DR",S5198)),"Democratic Republic of the Congo",
ISNUMBER(SEARCH("DR Congo",S5198)),"Democratic Republic of the Congo",
ISNUMBER(SEARCH("German DR",S5198)),"DR Germany",
ISNUMBER(SEARCH("rn""&gt;United Arab Emirates",S5198)),"United Arab Emirates",
ISNUMBER(SEARCH("rn""&gt;Republic of Ireland",S5198)),"Ireland",
ISNUMBER(SEARCH("rn""&gt;Bosnia and Herzegovina",S5198)),"Bosnia and Herzegovina",
ISNUMBER(SEARCH("rn""&gt;Trinidad and Tobago",S5198)),"Trinidad and Tobago",
ISNUMBER(SEARCH("rn""&gt;Serbia and Montenegro",S5198)),"Serbia and Montenegro",
ISNUMBER(SEARCH(_xlfn.UNICHAR(65533),S5198)),"Côte d'Ivoire",
TRUE,"-"
)</f>
        <v>-</v>
      </c>
      <c r="W5198" s="42" t="str">
        <f t="shared" si="318"/>
        <v>-</v>
      </c>
    </row>
    <row r="5199" spans="19:23">
      <c r="S5199" s="42" t="str">
        <v/>
      </c>
      <c r="T5199" s="42" t="str">
        <f t="shared" si="316"/>
        <v>-</v>
      </c>
      <c r="U5199" s="40" t="str">
        <f t="shared" si="317"/>
        <v>-</v>
      </c>
      <c r="V5199" s="42" t="str" cm="1">
        <f t="array" ref="V5199">_xlfn.IFS(
LEFT(S5199,16)="win on penalties",IF(VALUE(MID(S5199,19,1))&gt;VALUE(MID(S5199,23,1)),DATA_CLEANED!AK713,DATA_CLEANED!AN713),
ISNUMBER(SEARCH("USA",S5199)),"United States",
ISNUMBER(SEARCH("Republic of Ireland",S5199)),"Ireland",
ISNUMBER(SEARCH("Republic of Korea",S5199)),"South Korea",
ISNUMBER(SEARCH("Cape Verde",S5199)),"Cabo Verde",
ISNUMBER(SEARCH("Czechia",S5199)),"Czech Republic",
ISNUMBER(SEARCH("Türkiye",S5199)),"Turkey",
ISNUMBER(SEARCH("Ivory Coast",S5199)),"Côte d'Ivoire",
ISNUMBER(SEARCH("Korea Republic",S5199)),"South Korea",
ISNUMBER(SEARCH("Germany FR",S5199)),"FR Germany",
ISNUMBER(SEARCH("West Germany",S5199)),"FR Germany",
ISNUMBER(SEARCH("Germany DR",S5199)),"DR Germany",
ISNUMBER(SEARCH("Korea DPR",S5199)),"North Korea",
ISNUMBER(SEARCH("China PR",S5199)),"China",
ISNUMBER(SEARCH("IR Iran",S5199)),"Iran",
ISNUMBER(SEARCH("Congo DR",S5199)),"Democratic Republic of the Congo",
ISNUMBER(SEARCH("DR Congo",S5199)),"Democratic Republic of the Congo",
ISNUMBER(SEARCH("German DR",S5199)),"DR Germany",
ISNUMBER(SEARCH("rn""&gt;United Arab Emirates",S5199)),"United Arab Emirates",
ISNUMBER(SEARCH("rn""&gt;Republic of Ireland",S5199)),"Ireland",
ISNUMBER(SEARCH("rn""&gt;Bosnia and Herzegovina",S5199)),"Bosnia and Herzegovina",
ISNUMBER(SEARCH("rn""&gt;Trinidad and Tobago",S5199)),"Trinidad and Tobago",
ISNUMBER(SEARCH("rn""&gt;Serbia and Montenegro",S5199)),"Serbia and Montenegro",
ISNUMBER(SEARCH(_xlfn.UNICHAR(65533),S5199)),"Côte d'Ivoire",
TRUE,"-"
)</f>
        <v>-</v>
      </c>
      <c r="W5199" s="42" t="str">
        <f t="shared" si="318"/>
        <v>-</v>
      </c>
    </row>
    <row r="5200" spans="19:23">
      <c r="S5200" s="42" t="str">
        <v/>
      </c>
      <c r="T5200" s="42" t="str">
        <f t="shared" si="316"/>
        <v>-</v>
      </c>
      <c r="U5200" s="40" t="str">
        <f t="shared" si="317"/>
        <v>-</v>
      </c>
      <c r="V5200" s="42" t="str" cm="1">
        <f t="array" ref="V5200">_xlfn.IFS(
LEFT(S5200,16)="win on penalties",IF(VALUE(MID(S5200,19,1))&gt;VALUE(MID(S5200,23,1)),DATA_CLEANED!AK714,DATA_CLEANED!AN714),
ISNUMBER(SEARCH("USA",S5200)),"United States",
ISNUMBER(SEARCH("Republic of Ireland",S5200)),"Ireland",
ISNUMBER(SEARCH("Republic of Korea",S5200)),"South Korea",
ISNUMBER(SEARCH("Cape Verde",S5200)),"Cabo Verde",
ISNUMBER(SEARCH("Czechia",S5200)),"Czech Republic",
ISNUMBER(SEARCH("Türkiye",S5200)),"Turkey",
ISNUMBER(SEARCH("Ivory Coast",S5200)),"Côte d'Ivoire",
ISNUMBER(SEARCH("Korea Republic",S5200)),"South Korea",
ISNUMBER(SEARCH("Germany FR",S5200)),"FR Germany",
ISNUMBER(SEARCH("West Germany",S5200)),"FR Germany",
ISNUMBER(SEARCH("Germany DR",S5200)),"DR Germany",
ISNUMBER(SEARCH("Korea DPR",S5200)),"North Korea",
ISNUMBER(SEARCH("China PR",S5200)),"China",
ISNUMBER(SEARCH("IR Iran",S5200)),"Iran",
ISNUMBER(SEARCH("Congo DR",S5200)),"Democratic Republic of the Congo",
ISNUMBER(SEARCH("DR Congo",S5200)),"Democratic Republic of the Congo",
ISNUMBER(SEARCH("German DR",S5200)),"DR Germany",
ISNUMBER(SEARCH("rn""&gt;United Arab Emirates",S5200)),"United Arab Emirates",
ISNUMBER(SEARCH("rn""&gt;Republic of Ireland",S5200)),"Ireland",
ISNUMBER(SEARCH("rn""&gt;Bosnia and Herzegovina",S5200)),"Bosnia and Herzegovina",
ISNUMBER(SEARCH("rn""&gt;Trinidad and Tobago",S5200)),"Trinidad and Tobago",
ISNUMBER(SEARCH("rn""&gt;Serbia and Montenegro",S5200)),"Serbia and Montenegro",
ISNUMBER(SEARCH(_xlfn.UNICHAR(65533),S5200)),"Côte d'Ivoire",
TRUE,"-"
)</f>
        <v>-</v>
      </c>
      <c r="W5200" s="42" t="str">
        <f t="shared" si="318"/>
        <v>-</v>
      </c>
    </row>
    <row r="5201" spans="19:23">
      <c r="S5201" s="42" t="str">
        <v/>
      </c>
      <c r="T5201" s="42" t="str">
        <f t="shared" si="316"/>
        <v>-</v>
      </c>
      <c r="U5201" s="40" t="str">
        <f t="shared" si="317"/>
        <v>-</v>
      </c>
      <c r="V5201" s="42" t="str" cm="1">
        <f t="array" ref="V5201">_xlfn.IFS(
LEFT(S5201,16)="win on penalties",IF(VALUE(MID(S5201,19,1))&gt;VALUE(MID(S5201,23,1)),DATA_CLEANED!AK715,DATA_CLEANED!AN715),
ISNUMBER(SEARCH("USA",S5201)),"United States",
ISNUMBER(SEARCH("Republic of Ireland",S5201)),"Ireland",
ISNUMBER(SEARCH("Republic of Korea",S5201)),"South Korea",
ISNUMBER(SEARCH("Cape Verde",S5201)),"Cabo Verde",
ISNUMBER(SEARCH("Czechia",S5201)),"Czech Republic",
ISNUMBER(SEARCH("Türkiye",S5201)),"Turkey",
ISNUMBER(SEARCH("Ivory Coast",S5201)),"Côte d'Ivoire",
ISNUMBER(SEARCH("Korea Republic",S5201)),"South Korea",
ISNUMBER(SEARCH("Germany FR",S5201)),"FR Germany",
ISNUMBER(SEARCH("West Germany",S5201)),"FR Germany",
ISNUMBER(SEARCH("Germany DR",S5201)),"DR Germany",
ISNUMBER(SEARCH("Korea DPR",S5201)),"North Korea",
ISNUMBER(SEARCH("China PR",S5201)),"China",
ISNUMBER(SEARCH("IR Iran",S5201)),"Iran",
ISNUMBER(SEARCH("Congo DR",S5201)),"Democratic Republic of the Congo",
ISNUMBER(SEARCH("DR Congo",S5201)),"Democratic Republic of the Congo",
ISNUMBER(SEARCH("German DR",S5201)),"DR Germany",
ISNUMBER(SEARCH("rn""&gt;United Arab Emirates",S5201)),"United Arab Emirates",
ISNUMBER(SEARCH("rn""&gt;Republic of Ireland",S5201)),"Ireland",
ISNUMBER(SEARCH("rn""&gt;Bosnia and Herzegovina",S5201)),"Bosnia and Herzegovina",
ISNUMBER(SEARCH("rn""&gt;Trinidad and Tobago",S5201)),"Trinidad and Tobago",
ISNUMBER(SEARCH("rn""&gt;Serbia and Montenegro",S5201)),"Serbia and Montenegro",
ISNUMBER(SEARCH(_xlfn.UNICHAR(65533),S5201)),"Côte d'Ivoire",
TRUE,"-"
)</f>
        <v>-</v>
      </c>
      <c r="W5201" s="42" t="str">
        <f t="shared" si="318"/>
        <v>-</v>
      </c>
    </row>
    <row r="5202" spans="19:23">
      <c r="S5202" s="42" t="str">
        <v/>
      </c>
      <c r="T5202" s="42" t="str">
        <f t="shared" si="316"/>
        <v>-</v>
      </c>
      <c r="U5202" s="40" t="str">
        <f t="shared" si="317"/>
        <v>-</v>
      </c>
      <c r="V5202" s="42" t="str" cm="1">
        <f t="array" ref="V5202">_xlfn.IFS(
LEFT(S5202,16)="win on penalties",IF(VALUE(MID(S5202,19,1))&gt;VALUE(MID(S5202,23,1)),DATA_CLEANED!AK716,DATA_CLEANED!AN716),
ISNUMBER(SEARCH("USA",S5202)),"United States",
ISNUMBER(SEARCH("Republic of Ireland",S5202)),"Ireland",
ISNUMBER(SEARCH("Republic of Korea",S5202)),"South Korea",
ISNUMBER(SEARCH("Cape Verde",S5202)),"Cabo Verde",
ISNUMBER(SEARCH("Czechia",S5202)),"Czech Republic",
ISNUMBER(SEARCH("Türkiye",S5202)),"Turkey",
ISNUMBER(SEARCH("Ivory Coast",S5202)),"Côte d'Ivoire",
ISNUMBER(SEARCH("Korea Republic",S5202)),"South Korea",
ISNUMBER(SEARCH("Germany FR",S5202)),"FR Germany",
ISNUMBER(SEARCH("West Germany",S5202)),"FR Germany",
ISNUMBER(SEARCH("Germany DR",S5202)),"DR Germany",
ISNUMBER(SEARCH("Korea DPR",S5202)),"North Korea",
ISNUMBER(SEARCH("China PR",S5202)),"China",
ISNUMBER(SEARCH("IR Iran",S5202)),"Iran",
ISNUMBER(SEARCH("Congo DR",S5202)),"Democratic Republic of the Congo",
ISNUMBER(SEARCH("DR Congo",S5202)),"Democratic Republic of the Congo",
ISNUMBER(SEARCH("German DR",S5202)),"DR Germany",
ISNUMBER(SEARCH("rn""&gt;United Arab Emirates",S5202)),"United Arab Emirates",
ISNUMBER(SEARCH("rn""&gt;Republic of Ireland",S5202)),"Ireland",
ISNUMBER(SEARCH("rn""&gt;Bosnia and Herzegovina",S5202)),"Bosnia and Herzegovina",
ISNUMBER(SEARCH("rn""&gt;Trinidad and Tobago",S5202)),"Trinidad and Tobago",
ISNUMBER(SEARCH("rn""&gt;Serbia and Montenegro",S5202)),"Serbia and Montenegro",
ISNUMBER(SEARCH(_xlfn.UNICHAR(65533),S5202)),"Côte d'Ivoire",
TRUE,"-"
)</f>
        <v>-</v>
      </c>
      <c r="W5202" s="42" t="str">
        <f t="shared" si="318"/>
        <v>-</v>
      </c>
    </row>
    <row r="5203" spans="19:23">
      <c r="S5203" s="42" t="str">
        <v/>
      </c>
      <c r="T5203" s="42" t="str">
        <f t="shared" si="316"/>
        <v>-</v>
      </c>
      <c r="U5203" s="40" t="str">
        <f t="shared" si="317"/>
        <v>-</v>
      </c>
      <c r="V5203" s="42" t="str" cm="1">
        <f t="array" ref="V5203">_xlfn.IFS(
LEFT(S5203,16)="win on penalties",IF(VALUE(MID(S5203,19,1))&gt;VALUE(MID(S5203,23,1)),DATA_CLEANED!AK717,DATA_CLEANED!AN717),
ISNUMBER(SEARCH("USA",S5203)),"United States",
ISNUMBER(SEARCH("Republic of Ireland",S5203)),"Ireland",
ISNUMBER(SEARCH("Republic of Korea",S5203)),"South Korea",
ISNUMBER(SEARCH("Cape Verde",S5203)),"Cabo Verde",
ISNUMBER(SEARCH("Czechia",S5203)),"Czech Republic",
ISNUMBER(SEARCH("Türkiye",S5203)),"Turkey",
ISNUMBER(SEARCH("Ivory Coast",S5203)),"Côte d'Ivoire",
ISNUMBER(SEARCH("Korea Republic",S5203)),"South Korea",
ISNUMBER(SEARCH("Germany FR",S5203)),"FR Germany",
ISNUMBER(SEARCH("West Germany",S5203)),"FR Germany",
ISNUMBER(SEARCH("Germany DR",S5203)),"DR Germany",
ISNUMBER(SEARCH("Korea DPR",S5203)),"North Korea",
ISNUMBER(SEARCH("China PR",S5203)),"China",
ISNUMBER(SEARCH("IR Iran",S5203)),"Iran",
ISNUMBER(SEARCH("Congo DR",S5203)),"Democratic Republic of the Congo",
ISNUMBER(SEARCH("DR Congo",S5203)),"Democratic Republic of the Congo",
ISNUMBER(SEARCH("German DR",S5203)),"DR Germany",
ISNUMBER(SEARCH("rn""&gt;United Arab Emirates",S5203)),"United Arab Emirates",
ISNUMBER(SEARCH("rn""&gt;Republic of Ireland",S5203)),"Ireland",
ISNUMBER(SEARCH("rn""&gt;Bosnia and Herzegovina",S5203)),"Bosnia and Herzegovina",
ISNUMBER(SEARCH("rn""&gt;Trinidad and Tobago",S5203)),"Trinidad and Tobago",
ISNUMBER(SEARCH("rn""&gt;Serbia and Montenegro",S5203)),"Serbia and Montenegro",
ISNUMBER(SEARCH(_xlfn.UNICHAR(65533),S5203)),"Côte d'Ivoire",
TRUE,"-"
)</f>
        <v>-</v>
      </c>
      <c r="W5203" s="42" t="str">
        <f t="shared" si="318"/>
        <v>-</v>
      </c>
    </row>
    <row r="5204" spans="19:23">
      <c r="S5204" s="42" t="str">
        <v/>
      </c>
      <c r="T5204" s="42" t="str">
        <f t="shared" si="316"/>
        <v>-</v>
      </c>
      <c r="U5204" s="40" t="str">
        <f t="shared" si="317"/>
        <v>-</v>
      </c>
      <c r="V5204" s="42" t="str" cm="1">
        <f t="array" ref="V5204">_xlfn.IFS(
LEFT(S5204,16)="win on penalties",IF(VALUE(MID(S5204,19,1))&gt;VALUE(MID(S5204,23,1)),DATA_CLEANED!AK718,DATA_CLEANED!AN718),
ISNUMBER(SEARCH("USA",S5204)),"United States",
ISNUMBER(SEARCH("Republic of Ireland",S5204)),"Ireland",
ISNUMBER(SEARCH("Republic of Korea",S5204)),"South Korea",
ISNUMBER(SEARCH("Cape Verde",S5204)),"Cabo Verde",
ISNUMBER(SEARCH("Czechia",S5204)),"Czech Republic",
ISNUMBER(SEARCH("Türkiye",S5204)),"Turkey",
ISNUMBER(SEARCH("Ivory Coast",S5204)),"Côte d'Ivoire",
ISNUMBER(SEARCH("Korea Republic",S5204)),"South Korea",
ISNUMBER(SEARCH("Germany FR",S5204)),"FR Germany",
ISNUMBER(SEARCH("West Germany",S5204)),"FR Germany",
ISNUMBER(SEARCH("Germany DR",S5204)),"DR Germany",
ISNUMBER(SEARCH("Korea DPR",S5204)),"North Korea",
ISNUMBER(SEARCH("China PR",S5204)),"China",
ISNUMBER(SEARCH("IR Iran",S5204)),"Iran",
ISNUMBER(SEARCH("Congo DR",S5204)),"Democratic Republic of the Congo",
ISNUMBER(SEARCH("DR Congo",S5204)),"Democratic Republic of the Congo",
ISNUMBER(SEARCH("German DR",S5204)),"DR Germany",
ISNUMBER(SEARCH("rn""&gt;United Arab Emirates",S5204)),"United Arab Emirates",
ISNUMBER(SEARCH("rn""&gt;Republic of Ireland",S5204)),"Ireland",
ISNUMBER(SEARCH("rn""&gt;Bosnia and Herzegovina",S5204)),"Bosnia and Herzegovina",
ISNUMBER(SEARCH("rn""&gt;Trinidad and Tobago",S5204)),"Trinidad and Tobago",
ISNUMBER(SEARCH("rn""&gt;Serbia and Montenegro",S5204)),"Serbia and Montenegro",
ISNUMBER(SEARCH(_xlfn.UNICHAR(65533),S5204)),"Côte d'Ivoire",
TRUE,"-"
)</f>
        <v>-</v>
      </c>
      <c r="W5204" s="42" t="str">
        <f t="shared" si="318"/>
        <v>-</v>
      </c>
    </row>
    <row r="5205" spans="19:23">
      <c r="S5205" s="42" t="str">
        <v/>
      </c>
      <c r="T5205" s="42" t="str">
        <f t="shared" si="316"/>
        <v>-</v>
      </c>
      <c r="U5205" s="40" t="str">
        <f t="shared" si="317"/>
        <v>-</v>
      </c>
      <c r="V5205" s="42" t="str" cm="1">
        <f t="array" ref="V5205">_xlfn.IFS(
LEFT(S5205,16)="win on penalties",IF(VALUE(MID(S5205,19,1))&gt;VALUE(MID(S5205,23,1)),DATA_CLEANED!AK719,DATA_CLEANED!AN719),
ISNUMBER(SEARCH("USA",S5205)),"United States",
ISNUMBER(SEARCH("Republic of Ireland",S5205)),"Ireland",
ISNUMBER(SEARCH("Republic of Korea",S5205)),"South Korea",
ISNUMBER(SEARCH("Cape Verde",S5205)),"Cabo Verde",
ISNUMBER(SEARCH("Czechia",S5205)),"Czech Republic",
ISNUMBER(SEARCH("Türkiye",S5205)),"Turkey",
ISNUMBER(SEARCH("Ivory Coast",S5205)),"Côte d'Ivoire",
ISNUMBER(SEARCH("Korea Republic",S5205)),"South Korea",
ISNUMBER(SEARCH("Germany FR",S5205)),"FR Germany",
ISNUMBER(SEARCH("West Germany",S5205)),"FR Germany",
ISNUMBER(SEARCH("Germany DR",S5205)),"DR Germany",
ISNUMBER(SEARCH("Korea DPR",S5205)),"North Korea",
ISNUMBER(SEARCH("China PR",S5205)),"China",
ISNUMBER(SEARCH("IR Iran",S5205)),"Iran",
ISNUMBER(SEARCH("Congo DR",S5205)),"Democratic Republic of the Congo",
ISNUMBER(SEARCH("DR Congo",S5205)),"Democratic Republic of the Congo",
ISNUMBER(SEARCH("German DR",S5205)),"DR Germany",
ISNUMBER(SEARCH("rn""&gt;United Arab Emirates",S5205)),"United Arab Emirates",
ISNUMBER(SEARCH("rn""&gt;Republic of Ireland",S5205)),"Ireland",
ISNUMBER(SEARCH("rn""&gt;Bosnia and Herzegovina",S5205)),"Bosnia and Herzegovina",
ISNUMBER(SEARCH("rn""&gt;Trinidad and Tobago",S5205)),"Trinidad and Tobago",
ISNUMBER(SEARCH("rn""&gt;Serbia and Montenegro",S5205)),"Serbia and Montenegro",
ISNUMBER(SEARCH(_xlfn.UNICHAR(65533),S5205)),"Côte d'Ivoire",
TRUE,"-"
)</f>
        <v>-</v>
      </c>
      <c r="W5205" s="42" t="str">
        <f t="shared" si="318"/>
        <v>-</v>
      </c>
    </row>
    <row r="5206" spans="19:23">
      <c r="S5206" s="42" t="str">
        <v/>
      </c>
      <c r="T5206" s="42" t="str">
        <f t="shared" si="316"/>
        <v>-</v>
      </c>
      <c r="U5206" s="40" t="str">
        <f t="shared" si="317"/>
        <v>-</v>
      </c>
      <c r="V5206" s="42" t="str" cm="1">
        <f t="array" ref="V5206">_xlfn.IFS(
LEFT(S5206,16)="win on penalties",IF(VALUE(MID(S5206,19,1))&gt;VALUE(MID(S5206,23,1)),DATA_CLEANED!AK720,DATA_CLEANED!AN720),
ISNUMBER(SEARCH("USA",S5206)),"United States",
ISNUMBER(SEARCH("Republic of Ireland",S5206)),"Ireland",
ISNUMBER(SEARCH("Republic of Korea",S5206)),"South Korea",
ISNUMBER(SEARCH("Cape Verde",S5206)),"Cabo Verde",
ISNUMBER(SEARCH("Czechia",S5206)),"Czech Republic",
ISNUMBER(SEARCH("Türkiye",S5206)),"Turkey",
ISNUMBER(SEARCH("Ivory Coast",S5206)),"Côte d'Ivoire",
ISNUMBER(SEARCH("Korea Republic",S5206)),"South Korea",
ISNUMBER(SEARCH("Germany FR",S5206)),"FR Germany",
ISNUMBER(SEARCH("West Germany",S5206)),"FR Germany",
ISNUMBER(SEARCH("Germany DR",S5206)),"DR Germany",
ISNUMBER(SEARCH("Korea DPR",S5206)),"North Korea",
ISNUMBER(SEARCH("China PR",S5206)),"China",
ISNUMBER(SEARCH("IR Iran",S5206)),"Iran",
ISNUMBER(SEARCH("Congo DR",S5206)),"Democratic Republic of the Congo",
ISNUMBER(SEARCH("DR Congo",S5206)),"Democratic Republic of the Congo",
ISNUMBER(SEARCH("German DR",S5206)),"DR Germany",
ISNUMBER(SEARCH("rn""&gt;United Arab Emirates",S5206)),"United Arab Emirates",
ISNUMBER(SEARCH("rn""&gt;Republic of Ireland",S5206)),"Ireland",
ISNUMBER(SEARCH("rn""&gt;Bosnia and Herzegovina",S5206)),"Bosnia and Herzegovina",
ISNUMBER(SEARCH("rn""&gt;Trinidad and Tobago",S5206)),"Trinidad and Tobago",
ISNUMBER(SEARCH("rn""&gt;Serbia and Montenegro",S5206)),"Serbia and Montenegro",
ISNUMBER(SEARCH(_xlfn.UNICHAR(65533),S5206)),"Côte d'Ivoire",
TRUE,"-"
)</f>
        <v>-</v>
      </c>
      <c r="W5206" s="42" t="str">
        <f t="shared" si="318"/>
        <v>-</v>
      </c>
    </row>
    <row r="5207" spans="19:23">
      <c r="S5207" s="42" t="str">
        <v/>
      </c>
      <c r="T5207" s="42" t="str">
        <f t="shared" si="316"/>
        <v>-</v>
      </c>
      <c r="U5207" s="40" t="str">
        <f t="shared" si="317"/>
        <v>-</v>
      </c>
      <c r="V5207" s="42" t="str" cm="1">
        <f t="array" ref="V5207">_xlfn.IFS(
LEFT(S5207,16)="win on penalties",IF(VALUE(MID(S5207,19,1))&gt;VALUE(MID(S5207,23,1)),DATA_CLEANED!AK721,DATA_CLEANED!AN721),
ISNUMBER(SEARCH("USA",S5207)),"United States",
ISNUMBER(SEARCH("Republic of Ireland",S5207)),"Ireland",
ISNUMBER(SEARCH("Republic of Korea",S5207)),"South Korea",
ISNUMBER(SEARCH("Cape Verde",S5207)),"Cabo Verde",
ISNUMBER(SEARCH("Czechia",S5207)),"Czech Republic",
ISNUMBER(SEARCH("Türkiye",S5207)),"Turkey",
ISNUMBER(SEARCH("Ivory Coast",S5207)),"Côte d'Ivoire",
ISNUMBER(SEARCH("Korea Republic",S5207)),"South Korea",
ISNUMBER(SEARCH("Germany FR",S5207)),"FR Germany",
ISNUMBER(SEARCH("West Germany",S5207)),"FR Germany",
ISNUMBER(SEARCH("Germany DR",S5207)),"DR Germany",
ISNUMBER(SEARCH("Korea DPR",S5207)),"North Korea",
ISNUMBER(SEARCH("China PR",S5207)),"China",
ISNUMBER(SEARCH("IR Iran",S5207)),"Iran",
ISNUMBER(SEARCH("Congo DR",S5207)),"Democratic Republic of the Congo",
ISNUMBER(SEARCH("DR Congo",S5207)),"Democratic Republic of the Congo",
ISNUMBER(SEARCH("German DR",S5207)),"DR Germany",
ISNUMBER(SEARCH("rn""&gt;United Arab Emirates",S5207)),"United Arab Emirates",
ISNUMBER(SEARCH("rn""&gt;Republic of Ireland",S5207)),"Ireland",
ISNUMBER(SEARCH("rn""&gt;Bosnia and Herzegovina",S5207)),"Bosnia and Herzegovina",
ISNUMBER(SEARCH("rn""&gt;Trinidad and Tobago",S5207)),"Trinidad and Tobago",
ISNUMBER(SEARCH("rn""&gt;Serbia and Montenegro",S5207)),"Serbia and Montenegro",
ISNUMBER(SEARCH(_xlfn.UNICHAR(65533),S5207)),"Côte d'Ivoire",
TRUE,"-"
)</f>
        <v>-</v>
      </c>
      <c r="W5207" s="42" t="str">
        <f t="shared" si="318"/>
        <v>-</v>
      </c>
    </row>
    <row r="5208" spans="19:23">
      <c r="S5208" s="42" t="str">
        <v/>
      </c>
      <c r="T5208" s="42" t="str">
        <f t="shared" si="316"/>
        <v>-</v>
      </c>
      <c r="U5208" s="40" t="str">
        <f t="shared" si="317"/>
        <v>-</v>
      </c>
      <c r="V5208" s="42" t="str" cm="1">
        <f t="array" ref="V5208">_xlfn.IFS(
LEFT(S5208,16)="win on penalties",IF(VALUE(MID(S5208,19,1))&gt;VALUE(MID(S5208,23,1)),DATA_CLEANED!AK722,DATA_CLEANED!AN722),
ISNUMBER(SEARCH("USA",S5208)),"United States",
ISNUMBER(SEARCH("Republic of Ireland",S5208)),"Ireland",
ISNUMBER(SEARCH("Republic of Korea",S5208)),"South Korea",
ISNUMBER(SEARCH("Cape Verde",S5208)),"Cabo Verde",
ISNUMBER(SEARCH("Czechia",S5208)),"Czech Republic",
ISNUMBER(SEARCH("Türkiye",S5208)),"Turkey",
ISNUMBER(SEARCH("Ivory Coast",S5208)),"Côte d'Ivoire",
ISNUMBER(SEARCH("Korea Republic",S5208)),"South Korea",
ISNUMBER(SEARCH("Germany FR",S5208)),"FR Germany",
ISNUMBER(SEARCH("West Germany",S5208)),"FR Germany",
ISNUMBER(SEARCH("Germany DR",S5208)),"DR Germany",
ISNUMBER(SEARCH("Korea DPR",S5208)),"North Korea",
ISNUMBER(SEARCH("China PR",S5208)),"China",
ISNUMBER(SEARCH("IR Iran",S5208)),"Iran",
ISNUMBER(SEARCH("Congo DR",S5208)),"Democratic Republic of the Congo",
ISNUMBER(SEARCH("DR Congo",S5208)),"Democratic Republic of the Congo",
ISNUMBER(SEARCH("German DR",S5208)),"DR Germany",
ISNUMBER(SEARCH("rn""&gt;United Arab Emirates",S5208)),"United Arab Emirates",
ISNUMBER(SEARCH("rn""&gt;Republic of Ireland",S5208)),"Ireland",
ISNUMBER(SEARCH("rn""&gt;Bosnia and Herzegovina",S5208)),"Bosnia and Herzegovina",
ISNUMBER(SEARCH("rn""&gt;Trinidad and Tobago",S5208)),"Trinidad and Tobago",
ISNUMBER(SEARCH("rn""&gt;Serbia and Montenegro",S5208)),"Serbia and Montenegro",
ISNUMBER(SEARCH(_xlfn.UNICHAR(65533),S5208)),"Côte d'Ivoire",
TRUE,"-"
)</f>
        <v>-</v>
      </c>
      <c r="W5208" s="42" t="str">
        <f t="shared" si="318"/>
        <v>-</v>
      </c>
    </row>
    <row r="5209" spans="19:23">
      <c r="S5209" s="42" t="str">
        <v/>
      </c>
      <c r="T5209" s="42" t="str">
        <f t="shared" si="316"/>
        <v>-</v>
      </c>
      <c r="U5209" s="40" t="str">
        <f t="shared" si="317"/>
        <v>-</v>
      </c>
      <c r="V5209" s="42" t="str" cm="1">
        <f t="array" ref="V5209">_xlfn.IFS(
LEFT(S5209,16)="win on penalties",IF(VALUE(MID(S5209,19,1))&gt;VALUE(MID(S5209,23,1)),DATA_CLEANED!AK723,DATA_CLEANED!AN723),
ISNUMBER(SEARCH("USA",S5209)),"United States",
ISNUMBER(SEARCH("Republic of Ireland",S5209)),"Ireland",
ISNUMBER(SEARCH("Republic of Korea",S5209)),"South Korea",
ISNUMBER(SEARCH("Cape Verde",S5209)),"Cabo Verde",
ISNUMBER(SEARCH("Czechia",S5209)),"Czech Republic",
ISNUMBER(SEARCH("Türkiye",S5209)),"Turkey",
ISNUMBER(SEARCH("Ivory Coast",S5209)),"Côte d'Ivoire",
ISNUMBER(SEARCH("Korea Republic",S5209)),"South Korea",
ISNUMBER(SEARCH("Germany FR",S5209)),"FR Germany",
ISNUMBER(SEARCH("West Germany",S5209)),"FR Germany",
ISNUMBER(SEARCH("Germany DR",S5209)),"DR Germany",
ISNUMBER(SEARCH("Korea DPR",S5209)),"North Korea",
ISNUMBER(SEARCH("China PR",S5209)),"China",
ISNUMBER(SEARCH("IR Iran",S5209)),"Iran",
ISNUMBER(SEARCH("Congo DR",S5209)),"Democratic Republic of the Congo",
ISNUMBER(SEARCH("DR Congo",S5209)),"Democratic Republic of the Congo",
ISNUMBER(SEARCH("German DR",S5209)),"DR Germany",
ISNUMBER(SEARCH("rn""&gt;United Arab Emirates",S5209)),"United Arab Emirates",
ISNUMBER(SEARCH("rn""&gt;Republic of Ireland",S5209)),"Ireland",
ISNUMBER(SEARCH("rn""&gt;Bosnia and Herzegovina",S5209)),"Bosnia and Herzegovina",
ISNUMBER(SEARCH("rn""&gt;Trinidad and Tobago",S5209)),"Trinidad and Tobago",
ISNUMBER(SEARCH("rn""&gt;Serbia and Montenegro",S5209)),"Serbia and Montenegro",
ISNUMBER(SEARCH(_xlfn.UNICHAR(65533),S5209)),"Côte d'Ivoire",
TRUE,"-"
)</f>
        <v>-</v>
      </c>
      <c r="W5209" s="42" t="str">
        <f t="shared" si="318"/>
        <v>-</v>
      </c>
    </row>
    <row r="5210" spans="19:23">
      <c r="S5210" s="42" t="str">
        <v/>
      </c>
      <c r="T5210" s="42" t="str">
        <f t="shared" si="316"/>
        <v>-</v>
      </c>
      <c r="U5210" s="40" t="str">
        <f t="shared" si="317"/>
        <v>-</v>
      </c>
      <c r="V5210" s="42" t="str" cm="1">
        <f t="array" ref="V5210">_xlfn.IFS(
LEFT(S5210,16)="win on penalties",IF(VALUE(MID(S5210,19,1))&gt;VALUE(MID(S5210,23,1)),DATA_CLEANED!AK724,DATA_CLEANED!AN724),
ISNUMBER(SEARCH("USA",S5210)),"United States",
ISNUMBER(SEARCH("Republic of Ireland",S5210)),"Ireland",
ISNUMBER(SEARCH("Republic of Korea",S5210)),"South Korea",
ISNUMBER(SEARCH("Cape Verde",S5210)),"Cabo Verde",
ISNUMBER(SEARCH("Czechia",S5210)),"Czech Republic",
ISNUMBER(SEARCH("Türkiye",S5210)),"Turkey",
ISNUMBER(SEARCH("Ivory Coast",S5210)),"Côte d'Ivoire",
ISNUMBER(SEARCH("Korea Republic",S5210)),"South Korea",
ISNUMBER(SEARCH("Germany FR",S5210)),"FR Germany",
ISNUMBER(SEARCH("West Germany",S5210)),"FR Germany",
ISNUMBER(SEARCH("Germany DR",S5210)),"DR Germany",
ISNUMBER(SEARCH("Korea DPR",S5210)),"North Korea",
ISNUMBER(SEARCH("China PR",S5210)),"China",
ISNUMBER(SEARCH("IR Iran",S5210)),"Iran",
ISNUMBER(SEARCH("Congo DR",S5210)),"Democratic Republic of the Congo",
ISNUMBER(SEARCH("DR Congo",S5210)),"Democratic Republic of the Congo",
ISNUMBER(SEARCH("German DR",S5210)),"DR Germany",
ISNUMBER(SEARCH("rn""&gt;United Arab Emirates",S5210)),"United Arab Emirates",
ISNUMBER(SEARCH("rn""&gt;Republic of Ireland",S5210)),"Ireland",
ISNUMBER(SEARCH("rn""&gt;Bosnia and Herzegovina",S5210)),"Bosnia and Herzegovina",
ISNUMBER(SEARCH("rn""&gt;Trinidad and Tobago",S5210)),"Trinidad and Tobago",
ISNUMBER(SEARCH("rn""&gt;Serbia and Montenegro",S5210)),"Serbia and Montenegro",
ISNUMBER(SEARCH(_xlfn.UNICHAR(65533),S5210)),"Côte d'Ivoire",
TRUE,"-"
)</f>
        <v>-</v>
      </c>
      <c r="W5210" s="42" t="str">
        <f t="shared" si="318"/>
        <v>-</v>
      </c>
    </row>
    <row r="5211" spans="19:23">
      <c r="S5211" s="42" t="str">
        <v/>
      </c>
      <c r="T5211" s="42" t="str">
        <f t="shared" si="316"/>
        <v>-</v>
      </c>
      <c r="U5211" s="40" t="str">
        <f t="shared" si="317"/>
        <v>-</v>
      </c>
      <c r="V5211" s="42" t="str" cm="1">
        <f t="array" ref="V5211">_xlfn.IFS(
LEFT(S5211,16)="win on penalties",IF(VALUE(MID(S5211,19,1))&gt;VALUE(MID(S5211,23,1)),DATA_CLEANED!AK725,DATA_CLEANED!AN725),
ISNUMBER(SEARCH("USA",S5211)),"United States",
ISNUMBER(SEARCH("Republic of Ireland",S5211)),"Ireland",
ISNUMBER(SEARCH("Republic of Korea",S5211)),"South Korea",
ISNUMBER(SEARCH("Cape Verde",S5211)),"Cabo Verde",
ISNUMBER(SEARCH("Czechia",S5211)),"Czech Republic",
ISNUMBER(SEARCH("Türkiye",S5211)),"Turkey",
ISNUMBER(SEARCH("Ivory Coast",S5211)),"Côte d'Ivoire",
ISNUMBER(SEARCH("Korea Republic",S5211)),"South Korea",
ISNUMBER(SEARCH("Germany FR",S5211)),"FR Germany",
ISNUMBER(SEARCH("West Germany",S5211)),"FR Germany",
ISNUMBER(SEARCH("Germany DR",S5211)),"DR Germany",
ISNUMBER(SEARCH("Korea DPR",S5211)),"North Korea",
ISNUMBER(SEARCH("China PR",S5211)),"China",
ISNUMBER(SEARCH("IR Iran",S5211)),"Iran",
ISNUMBER(SEARCH("Congo DR",S5211)),"Democratic Republic of the Congo",
ISNUMBER(SEARCH("DR Congo",S5211)),"Democratic Republic of the Congo",
ISNUMBER(SEARCH("German DR",S5211)),"DR Germany",
ISNUMBER(SEARCH("rn""&gt;United Arab Emirates",S5211)),"United Arab Emirates",
ISNUMBER(SEARCH("rn""&gt;Republic of Ireland",S5211)),"Ireland",
ISNUMBER(SEARCH("rn""&gt;Bosnia and Herzegovina",S5211)),"Bosnia and Herzegovina",
ISNUMBER(SEARCH("rn""&gt;Trinidad and Tobago",S5211)),"Trinidad and Tobago",
ISNUMBER(SEARCH("rn""&gt;Serbia and Montenegro",S5211)),"Serbia and Montenegro",
ISNUMBER(SEARCH(_xlfn.UNICHAR(65533),S5211)),"Côte d'Ivoire",
TRUE,"-"
)</f>
        <v>-</v>
      </c>
      <c r="W5211" s="42" t="str">
        <f t="shared" si="318"/>
        <v>-</v>
      </c>
    </row>
    <row r="5212" spans="19:23">
      <c r="S5212" s="42" t="str">
        <v/>
      </c>
      <c r="T5212" s="42" t="str">
        <f t="shared" si="316"/>
        <v>-</v>
      </c>
      <c r="U5212" s="40" t="str">
        <f t="shared" si="317"/>
        <v>-</v>
      </c>
      <c r="V5212" s="42" t="str" cm="1">
        <f t="array" ref="V5212">_xlfn.IFS(
LEFT(S5212,16)="win on penalties",IF(VALUE(MID(S5212,19,1))&gt;VALUE(MID(S5212,23,1)),DATA_CLEANED!AK726,DATA_CLEANED!AN726),
ISNUMBER(SEARCH("USA",S5212)),"United States",
ISNUMBER(SEARCH("Republic of Ireland",S5212)),"Ireland",
ISNUMBER(SEARCH("Republic of Korea",S5212)),"South Korea",
ISNUMBER(SEARCH("Cape Verde",S5212)),"Cabo Verde",
ISNUMBER(SEARCH("Czechia",S5212)),"Czech Republic",
ISNUMBER(SEARCH("Türkiye",S5212)),"Turkey",
ISNUMBER(SEARCH("Ivory Coast",S5212)),"Côte d'Ivoire",
ISNUMBER(SEARCH("Korea Republic",S5212)),"South Korea",
ISNUMBER(SEARCH("Germany FR",S5212)),"FR Germany",
ISNUMBER(SEARCH("West Germany",S5212)),"FR Germany",
ISNUMBER(SEARCH("Germany DR",S5212)),"DR Germany",
ISNUMBER(SEARCH("Korea DPR",S5212)),"North Korea",
ISNUMBER(SEARCH("China PR",S5212)),"China",
ISNUMBER(SEARCH("IR Iran",S5212)),"Iran",
ISNUMBER(SEARCH("Congo DR",S5212)),"Democratic Republic of the Congo",
ISNUMBER(SEARCH("DR Congo",S5212)),"Democratic Republic of the Congo",
ISNUMBER(SEARCH("German DR",S5212)),"DR Germany",
ISNUMBER(SEARCH("rn""&gt;United Arab Emirates",S5212)),"United Arab Emirates",
ISNUMBER(SEARCH("rn""&gt;Republic of Ireland",S5212)),"Ireland",
ISNUMBER(SEARCH("rn""&gt;Bosnia and Herzegovina",S5212)),"Bosnia and Herzegovina",
ISNUMBER(SEARCH("rn""&gt;Trinidad and Tobago",S5212)),"Trinidad and Tobago",
ISNUMBER(SEARCH("rn""&gt;Serbia and Montenegro",S5212)),"Serbia and Montenegro",
ISNUMBER(SEARCH(_xlfn.UNICHAR(65533),S5212)),"Côte d'Ivoire",
TRUE,"-"
)</f>
        <v>-</v>
      </c>
      <c r="W5212" s="42" t="str">
        <f t="shared" si="318"/>
        <v>-</v>
      </c>
    </row>
    <row r="5213" spans="19:23">
      <c r="S5213" s="42" t="str">
        <v/>
      </c>
      <c r="T5213" s="42" t="str">
        <f t="shared" si="316"/>
        <v>-</v>
      </c>
      <c r="U5213" s="40" t="str">
        <f t="shared" si="317"/>
        <v>-</v>
      </c>
      <c r="V5213" s="42" t="str" cm="1">
        <f t="array" ref="V5213">_xlfn.IFS(
LEFT(S5213,16)="win on penalties",IF(VALUE(MID(S5213,19,1))&gt;VALUE(MID(S5213,23,1)),DATA_CLEANED!AK727,DATA_CLEANED!AN727),
ISNUMBER(SEARCH("USA",S5213)),"United States",
ISNUMBER(SEARCH("Republic of Ireland",S5213)),"Ireland",
ISNUMBER(SEARCH("Republic of Korea",S5213)),"South Korea",
ISNUMBER(SEARCH("Cape Verde",S5213)),"Cabo Verde",
ISNUMBER(SEARCH("Czechia",S5213)),"Czech Republic",
ISNUMBER(SEARCH("Türkiye",S5213)),"Turkey",
ISNUMBER(SEARCH("Ivory Coast",S5213)),"Côte d'Ivoire",
ISNUMBER(SEARCH("Korea Republic",S5213)),"South Korea",
ISNUMBER(SEARCH("Germany FR",S5213)),"FR Germany",
ISNUMBER(SEARCH("West Germany",S5213)),"FR Germany",
ISNUMBER(SEARCH("Germany DR",S5213)),"DR Germany",
ISNUMBER(SEARCH("Korea DPR",S5213)),"North Korea",
ISNUMBER(SEARCH("China PR",S5213)),"China",
ISNUMBER(SEARCH("IR Iran",S5213)),"Iran",
ISNUMBER(SEARCH("Congo DR",S5213)),"Democratic Republic of the Congo",
ISNUMBER(SEARCH("DR Congo",S5213)),"Democratic Republic of the Congo",
ISNUMBER(SEARCH("German DR",S5213)),"DR Germany",
ISNUMBER(SEARCH("rn""&gt;United Arab Emirates",S5213)),"United Arab Emirates",
ISNUMBER(SEARCH("rn""&gt;Republic of Ireland",S5213)),"Ireland",
ISNUMBER(SEARCH("rn""&gt;Bosnia and Herzegovina",S5213)),"Bosnia and Herzegovina",
ISNUMBER(SEARCH("rn""&gt;Trinidad and Tobago",S5213)),"Trinidad and Tobago",
ISNUMBER(SEARCH("rn""&gt;Serbia and Montenegro",S5213)),"Serbia and Montenegro",
ISNUMBER(SEARCH(_xlfn.UNICHAR(65533),S5213)),"Côte d'Ivoire",
TRUE,"-"
)</f>
        <v>-</v>
      </c>
      <c r="W5213" s="42" t="str">
        <f t="shared" si="318"/>
        <v>-</v>
      </c>
    </row>
    <row r="5214" spans="19:23">
      <c r="S5214" s="42" t="str">
        <v/>
      </c>
      <c r="T5214" s="42" t="str">
        <f t="shared" si="316"/>
        <v>-</v>
      </c>
      <c r="U5214" s="40" t="str">
        <f t="shared" si="317"/>
        <v>-</v>
      </c>
      <c r="V5214" s="42" t="str" cm="1">
        <f t="array" ref="V5214">_xlfn.IFS(
LEFT(S5214,16)="win on penalties",IF(VALUE(MID(S5214,19,1))&gt;VALUE(MID(S5214,23,1)),DATA_CLEANED!AK728,DATA_CLEANED!AN728),
ISNUMBER(SEARCH("USA",S5214)),"United States",
ISNUMBER(SEARCH("Republic of Ireland",S5214)),"Ireland",
ISNUMBER(SEARCH("Republic of Korea",S5214)),"South Korea",
ISNUMBER(SEARCH("Cape Verde",S5214)),"Cabo Verde",
ISNUMBER(SEARCH("Czechia",S5214)),"Czech Republic",
ISNUMBER(SEARCH("Türkiye",S5214)),"Turkey",
ISNUMBER(SEARCH("Ivory Coast",S5214)),"Côte d'Ivoire",
ISNUMBER(SEARCH("Korea Republic",S5214)),"South Korea",
ISNUMBER(SEARCH("Germany FR",S5214)),"FR Germany",
ISNUMBER(SEARCH("West Germany",S5214)),"FR Germany",
ISNUMBER(SEARCH("Germany DR",S5214)),"DR Germany",
ISNUMBER(SEARCH("Korea DPR",S5214)),"North Korea",
ISNUMBER(SEARCH("China PR",S5214)),"China",
ISNUMBER(SEARCH("IR Iran",S5214)),"Iran",
ISNUMBER(SEARCH("Congo DR",S5214)),"Democratic Republic of the Congo",
ISNUMBER(SEARCH("DR Congo",S5214)),"Democratic Republic of the Congo",
ISNUMBER(SEARCH("German DR",S5214)),"DR Germany",
ISNUMBER(SEARCH("rn""&gt;United Arab Emirates",S5214)),"United Arab Emirates",
ISNUMBER(SEARCH("rn""&gt;Republic of Ireland",S5214)),"Ireland",
ISNUMBER(SEARCH("rn""&gt;Bosnia and Herzegovina",S5214)),"Bosnia and Herzegovina",
ISNUMBER(SEARCH("rn""&gt;Trinidad and Tobago",S5214)),"Trinidad and Tobago",
ISNUMBER(SEARCH("rn""&gt;Serbia and Montenegro",S5214)),"Serbia and Montenegro",
ISNUMBER(SEARCH(_xlfn.UNICHAR(65533),S5214)),"Côte d'Ivoire",
TRUE,"-"
)</f>
        <v>-</v>
      </c>
      <c r="W5214" s="42" t="str">
        <f t="shared" si="318"/>
        <v>-</v>
      </c>
    </row>
    <row r="5215" spans="19:23">
      <c r="S5215" s="42" t="str">
        <v/>
      </c>
      <c r="T5215" s="42" t="str">
        <f t="shared" si="316"/>
        <v>-</v>
      </c>
      <c r="U5215" s="40" t="str">
        <f t="shared" si="317"/>
        <v>-</v>
      </c>
      <c r="V5215" s="42" t="str" cm="1">
        <f t="array" ref="V5215">_xlfn.IFS(
LEFT(S5215,16)="win on penalties",IF(VALUE(MID(S5215,19,1))&gt;VALUE(MID(S5215,23,1)),DATA_CLEANED!AK729,DATA_CLEANED!AN729),
ISNUMBER(SEARCH("USA",S5215)),"United States",
ISNUMBER(SEARCH("Republic of Ireland",S5215)),"Ireland",
ISNUMBER(SEARCH("Republic of Korea",S5215)),"South Korea",
ISNUMBER(SEARCH("Cape Verde",S5215)),"Cabo Verde",
ISNUMBER(SEARCH("Czechia",S5215)),"Czech Republic",
ISNUMBER(SEARCH("Türkiye",S5215)),"Turkey",
ISNUMBER(SEARCH("Ivory Coast",S5215)),"Côte d'Ivoire",
ISNUMBER(SEARCH("Korea Republic",S5215)),"South Korea",
ISNUMBER(SEARCH("Germany FR",S5215)),"FR Germany",
ISNUMBER(SEARCH("West Germany",S5215)),"FR Germany",
ISNUMBER(SEARCH("Germany DR",S5215)),"DR Germany",
ISNUMBER(SEARCH("Korea DPR",S5215)),"North Korea",
ISNUMBER(SEARCH("China PR",S5215)),"China",
ISNUMBER(SEARCH("IR Iran",S5215)),"Iran",
ISNUMBER(SEARCH("Congo DR",S5215)),"Democratic Republic of the Congo",
ISNUMBER(SEARCH("DR Congo",S5215)),"Democratic Republic of the Congo",
ISNUMBER(SEARCH("German DR",S5215)),"DR Germany",
ISNUMBER(SEARCH("rn""&gt;United Arab Emirates",S5215)),"United Arab Emirates",
ISNUMBER(SEARCH("rn""&gt;Republic of Ireland",S5215)),"Ireland",
ISNUMBER(SEARCH("rn""&gt;Bosnia and Herzegovina",S5215)),"Bosnia and Herzegovina",
ISNUMBER(SEARCH("rn""&gt;Trinidad and Tobago",S5215)),"Trinidad and Tobago",
ISNUMBER(SEARCH("rn""&gt;Serbia and Montenegro",S5215)),"Serbia and Montenegro",
ISNUMBER(SEARCH(_xlfn.UNICHAR(65533),S5215)),"Côte d'Ivoire",
TRUE,"-"
)</f>
        <v>-</v>
      </c>
      <c r="W5215" s="42" t="str">
        <f t="shared" si="318"/>
        <v>-</v>
      </c>
    </row>
    <row r="5216" spans="19:23">
      <c r="S5216" s="42" t="str">
        <v/>
      </c>
      <c r="T5216" s="42" t="str">
        <f t="shared" si="316"/>
        <v>-</v>
      </c>
      <c r="U5216" s="40" t="str">
        <f t="shared" si="317"/>
        <v>-</v>
      </c>
      <c r="V5216" s="42" t="str" cm="1">
        <f t="array" ref="V5216">_xlfn.IFS(
LEFT(S5216,16)="win on penalties",IF(VALUE(MID(S5216,19,1))&gt;VALUE(MID(S5216,23,1)),DATA_CLEANED!AK730,DATA_CLEANED!AN730),
ISNUMBER(SEARCH("USA",S5216)),"United States",
ISNUMBER(SEARCH("Republic of Ireland",S5216)),"Ireland",
ISNUMBER(SEARCH("Republic of Korea",S5216)),"South Korea",
ISNUMBER(SEARCH("Cape Verde",S5216)),"Cabo Verde",
ISNUMBER(SEARCH("Czechia",S5216)),"Czech Republic",
ISNUMBER(SEARCH("Türkiye",S5216)),"Turkey",
ISNUMBER(SEARCH("Ivory Coast",S5216)),"Côte d'Ivoire",
ISNUMBER(SEARCH("Korea Republic",S5216)),"South Korea",
ISNUMBER(SEARCH("Germany FR",S5216)),"FR Germany",
ISNUMBER(SEARCH("West Germany",S5216)),"FR Germany",
ISNUMBER(SEARCH("Germany DR",S5216)),"DR Germany",
ISNUMBER(SEARCH("Korea DPR",S5216)),"North Korea",
ISNUMBER(SEARCH("China PR",S5216)),"China",
ISNUMBER(SEARCH("IR Iran",S5216)),"Iran",
ISNUMBER(SEARCH("Congo DR",S5216)),"Democratic Republic of the Congo",
ISNUMBER(SEARCH("DR Congo",S5216)),"Democratic Republic of the Congo",
ISNUMBER(SEARCH("German DR",S5216)),"DR Germany",
ISNUMBER(SEARCH("rn""&gt;United Arab Emirates",S5216)),"United Arab Emirates",
ISNUMBER(SEARCH("rn""&gt;Republic of Ireland",S5216)),"Ireland",
ISNUMBER(SEARCH("rn""&gt;Bosnia and Herzegovina",S5216)),"Bosnia and Herzegovina",
ISNUMBER(SEARCH("rn""&gt;Trinidad and Tobago",S5216)),"Trinidad and Tobago",
ISNUMBER(SEARCH("rn""&gt;Serbia and Montenegro",S5216)),"Serbia and Montenegro",
ISNUMBER(SEARCH(_xlfn.UNICHAR(65533),S5216)),"Côte d'Ivoire",
TRUE,"-"
)</f>
        <v>-</v>
      </c>
      <c r="W5216" s="42" t="str">
        <f t="shared" si="318"/>
        <v>-</v>
      </c>
    </row>
    <row r="5217" spans="19:23">
      <c r="S5217" s="42" t="str">
        <v/>
      </c>
      <c r="T5217" s="42" t="str">
        <f t="shared" si="316"/>
        <v>-</v>
      </c>
      <c r="U5217" s="40" t="str">
        <f t="shared" si="317"/>
        <v>-</v>
      </c>
      <c r="V5217" s="42" t="str" cm="1">
        <f t="array" ref="V5217">_xlfn.IFS(
LEFT(S5217,16)="win on penalties",IF(VALUE(MID(S5217,19,1))&gt;VALUE(MID(S5217,23,1)),DATA_CLEANED!AK731,DATA_CLEANED!AN731),
ISNUMBER(SEARCH("USA",S5217)),"United States",
ISNUMBER(SEARCH("Republic of Ireland",S5217)),"Ireland",
ISNUMBER(SEARCH("Republic of Korea",S5217)),"South Korea",
ISNUMBER(SEARCH("Cape Verde",S5217)),"Cabo Verde",
ISNUMBER(SEARCH("Czechia",S5217)),"Czech Republic",
ISNUMBER(SEARCH("Türkiye",S5217)),"Turkey",
ISNUMBER(SEARCH("Ivory Coast",S5217)),"Côte d'Ivoire",
ISNUMBER(SEARCH("Korea Republic",S5217)),"South Korea",
ISNUMBER(SEARCH("Germany FR",S5217)),"FR Germany",
ISNUMBER(SEARCH("West Germany",S5217)),"FR Germany",
ISNUMBER(SEARCH("Germany DR",S5217)),"DR Germany",
ISNUMBER(SEARCH("Korea DPR",S5217)),"North Korea",
ISNUMBER(SEARCH("China PR",S5217)),"China",
ISNUMBER(SEARCH("IR Iran",S5217)),"Iran",
ISNUMBER(SEARCH("Congo DR",S5217)),"Democratic Republic of the Congo",
ISNUMBER(SEARCH("DR Congo",S5217)),"Democratic Republic of the Congo",
ISNUMBER(SEARCH("German DR",S5217)),"DR Germany",
ISNUMBER(SEARCH("rn""&gt;United Arab Emirates",S5217)),"United Arab Emirates",
ISNUMBER(SEARCH("rn""&gt;Republic of Ireland",S5217)),"Ireland",
ISNUMBER(SEARCH("rn""&gt;Bosnia and Herzegovina",S5217)),"Bosnia and Herzegovina",
ISNUMBER(SEARCH("rn""&gt;Trinidad and Tobago",S5217)),"Trinidad and Tobago",
ISNUMBER(SEARCH("rn""&gt;Serbia and Montenegro",S5217)),"Serbia and Montenegro",
ISNUMBER(SEARCH(_xlfn.UNICHAR(65533),S5217)),"Côte d'Ivoire",
TRUE,"-"
)</f>
        <v>-</v>
      </c>
      <c r="W5217" s="42" t="str">
        <f t="shared" si="318"/>
        <v>-</v>
      </c>
    </row>
    <row r="5218" spans="19:23">
      <c r="S5218" s="42" t="str">
        <v/>
      </c>
      <c r="T5218" s="42" t="str">
        <f t="shared" si="316"/>
        <v>-</v>
      </c>
      <c r="U5218" s="40" t="str">
        <f t="shared" si="317"/>
        <v>-</v>
      </c>
      <c r="V5218" s="42" t="str" cm="1">
        <f t="array" ref="V5218">_xlfn.IFS(
LEFT(S5218,16)="win on penalties",IF(VALUE(MID(S5218,19,1))&gt;VALUE(MID(S5218,23,1)),DATA_CLEANED!AK732,DATA_CLEANED!AN732),
ISNUMBER(SEARCH("USA",S5218)),"United States",
ISNUMBER(SEARCH("Republic of Ireland",S5218)),"Ireland",
ISNUMBER(SEARCH("Republic of Korea",S5218)),"South Korea",
ISNUMBER(SEARCH("Cape Verde",S5218)),"Cabo Verde",
ISNUMBER(SEARCH("Czechia",S5218)),"Czech Republic",
ISNUMBER(SEARCH("Türkiye",S5218)),"Turkey",
ISNUMBER(SEARCH("Ivory Coast",S5218)),"Côte d'Ivoire",
ISNUMBER(SEARCH("Korea Republic",S5218)),"South Korea",
ISNUMBER(SEARCH("Germany FR",S5218)),"FR Germany",
ISNUMBER(SEARCH("West Germany",S5218)),"FR Germany",
ISNUMBER(SEARCH("Germany DR",S5218)),"DR Germany",
ISNUMBER(SEARCH("Korea DPR",S5218)),"North Korea",
ISNUMBER(SEARCH("China PR",S5218)),"China",
ISNUMBER(SEARCH("IR Iran",S5218)),"Iran",
ISNUMBER(SEARCH("Congo DR",S5218)),"Democratic Republic of the Congo",
ISNUMBER(SEARCH("DR Congo",S5218)),"Democratic Republic of the Congo",
ISNUMBER(SEARCH("German DR",S5218)),"DR Germany",
ISNUMBER(SEARCH("rn""&gt;United Arab Emirates",S5218)),"United Arab Emirates",
ISNUMBER(SEARCH("rn""&gt;Republic of Ireland",S5218)),"Ireland",
ISNUMBER(SEARCH("rn""&gt;Bosnia and Herzegovina",S5218)),"Bosnia and Herzegovina",
ISNUMBER(SEARCH("rn""&gt;Trinidad and Tobago",S5218)),"Trinidad and Tobago",
ISNUMBER(SEARCH("rn""&gt;Serbia and Montenegro",S5218)),"Serbia and Montenegro",
ISNUMBER(SEARCH(_xlfn.UNICHAR(65533),S5218)),"Côte d'Ivoire",
TRUE,"-"
)</f>
        <v>-</v>
      </c>
      <c r="W5218" s="42" t="str">
        <f t="shared" si="318"/>
        <v>-</v>
      </c>
    </row>
    <row r="5219" spans="19:23">
      <c r="S5219" s="42" t="str">
        <v/>
      </c>
      <c r="T5219" s="42" t="str">
        <f t="shared" si="316"/>
        <v>-</v>
      </c>
      <c r="U5219" s="40" t="str">
        <f t="shared" si="317"/>
        <v>-</v>
      </c>
      <c r="V5219" s="42" t="str" cm="1">
        <f t="array" ref="V5219">_xlfn.IFS(
LEFT(S5219,16)="win on penalties",IF(VALUE(MID(S5219,19,1))&gt;VALUE(MID(S5219,23,1)),DATA_CLEANED!AK733,DATA_CLEANED!AN733),
ISNUMBER(SEARCH("USA",S5219)),"United States",
ISNUMBER(SEARCH("Republic of Ireland",S5219)),"Ireland",
ISNUMBER(SEARCH("Republic of Korea",S5219)),"South Korea",
ISNUMBER(SEARCH("Cape Verde",S5219)),"Cabo Verde",
ISNUMBER(SEARCH("Czechia",S5219)),"Czech Republic",
ISNUMBER(SEARCH("Türkiye",S5219)),"Turkey",
ISNUMBER(SEARCH("Ivory Coast",S5219)),"Côte d'Ivoire",
ISNUMBER(SEARCH("Korea Republic",S5219)),"South Korea",
ISNUMBER(SEARCH("Germany FR",S5219)),"FR Germany",
ISNUMBER(SEARCH("West Germany",S5219)),"FR Germany",
ISNUMBER(SEARCH("Germany DR",S5219)),"DR Germany",
ISNUMBER(SEARCH("Korea DPR",S5219)),"North Korea",
ISNUMBER(SEARCH("China PR",S5219)),"China",
ISNUMBER(SEARCH("IR Iran",S5219)),"Iran",
ISNUMBER(SEARCH("Congo DR",S5219)),"Democratic Republic of the Congo",
ISNUMBER(SEARCH("DR Congo",S5219)),"Democratic Republic of the Congo",
ISNUMBER(SEARCH("German DR",S5219)),"DR Germany",
ISNUMBER(SEARCH("rn""&gt;United Arab Emirates",S5219)),"United Arab Emirates",
ISNUMBER(SEARCH("rn""&gt;Republic of Ireland",S5219)),"Ireland",
ISNUMBER(SEARCH("rn""&gt;Bosnia and Herzegovina",S5219)),"Bosnia and Herzegovina",
ISNUMBER(SEARCH("rn""&gt;Trinidad and Tobago",S5219)),"Trinidad and Tobago",
ISNUMBER(SEARCH("rn""&gt;Serbia and Montenegro",S5219)),"Serbia and Montenegro",
ISNUMBER(SEARCH(_xlfn.UNICHAR(65533),S5219)),"Côte d'Ivoire",
TRUE,"-"
)</f>
        <v>-</v>
      </c>
      <c r="W5219" s="42" t="str">
        <f t="shared" si="318"/>
        <v>-</v>
      </c>
    </row>
    <row r="5220" spans="19:23">
      <c r="S5220" s="42" t="str">
        <v/>
      </c>
      <c r="T5220" s="42" t="str">
        <f t="shared" si="316"/>
        <v>-</v>
      </c>
      <c r="U5220" s="40" t="str">
        <f t="shared" si="317"/>
        <v>-</v>
      </c>
      <c r="V5220" s="42" t="str" cm="1">
        <f t="array" ref="V5220">_xlfn.IFS(
LEFT(S5220,16)="win on penalties",IF(VALUE(MID(S5220,19,1))&gt;VALUE(MID(S5220,23,1)),DATA_CLEANED!AK734,DATA_CLEANED!AN734),
ISNUMBER(SEARCH("USA",S5220)),"United States",
ISNUMBER(SEARCH("Republic of Ireland",S5220)),"Ireland",
ISNUMBER(SEARCH("Republic of Korea",S5220)),"South Korea",
ISNUMBER(SEARCH("Cape Verde",S5220)),"Cabo Verde",
ISNUMBER(SEARCH("Czechia",S5220)),"Czech Republic",
ISNUMBER(SEARCH("Türkiye",S5220)),"Turkey",
ISNUMBER(SEARCH("Ivory Coast",S5220)),"Côte d'Ivoire",
ISNUMBER(SEARCH("Korea Republic",S5220)),"South Korea",
ISNUMBER(SEARCH("Germany FR",S5220)),"FR Germany",
ISNUMBER(SEARCH("West Germany",S5220)),"FR Germany",
ISNUMBER(SEARCH("Germany DR",S5220)),"DR Germany",
ISNUMBER(SEARCH("Korea DPR",S5220)),"North Korea",
ISNUMBER(SEARCH("China PR",S5220)),"China",
ISNUMBER(SEARCH("IR Iran",S5220)),"Iran",
ISNUMBER(SEARCH("Congo DR",S5220)),"Democratic Republic of the Congo",
ISNUMBER(SEARCH("DR Congo",S5220)),"Democratic Republic of the Congo",
ISNUMBER(SEARCH("German DR",S5220)),"DR Germany",
ISNUMBER(SEARCH("rn""&gt;United Arab Emirates",S5220)),"United Arab Emirates",
ISNUMBER(SEARCH("rn""&gt;Republic of Ireland",S5220)),"Ireland",
ISNUMBER(SEARCH("rn""&gt;Bosnia and Herzegovina",S5220)),"Bosnia and Herzegovina",
ISNUMBER(SEARCH("rn""&gt;Trinidad and Tobago",S5220)),"Trinidad and Tobago",
ISNUMBER(SEARCH("rn""&gt;Serbia and Montenegro",S5220)),"Serbia and Montenegro",
ISNUMBER(SEARCH(_xlfn.UNICHAR(65533),S5220)),"Côte d'Ivoire",
TRUE,"-"
)</f>
        <v>-</v>
      </c>
      <c r="W5220" s="42" t="str">
        <f t="shared" si="318"/>
        <v>-</v>
      </c>
    </row>
    <row r="5221" spans="19:23">
      <c r="S5221" s="42" t="str">
        <v/>
      </c>
      <c r="T5221" s="42" t="str">
        <f t="shared" si="316"/>
        <v>-</v>
      </c>
      <c r="U5221" s="40" t="str">
        <f t="shared" si="317"/>
        <v>-</v>
      </c>
      <c r="V5221" s="42" t="str" cm="1">
        <f t="array" ref="V5221">_xlfn.IFS(
LEFT(S5221,16)="win on penalties",IF(VALUE(MID(S5221,19,1))&gt;VALUE(MID(S5221,23,1)),DATA_CLEANED!AK735,DATA_CLEANED!AN735),
ISNUMBER(SEARCH("USA",S5221)),"United States",
ISNUMBER(SEARCH("Republic of Ireland",S5221)),"Ireland",
ISNUMBER(SEARCH("Republic of Korea",S5221)),"South Korea",
ISNUMBER(SEARCH("Cape Verde",S5221)),"Cabo Verde",
ISNUMBER(SEARCH("Czechia",S5221)),"Czech Republic",
ISNUMBER(SEARCH("Türkiye",S5221)),"Turkey",
ISNUMBER(SEARCH("Ivory Coast",S5221)),"Côte d'Ivoire",
ISNUMBER(SEARCH("Korea Republic",S5221)),"South Korea",
ISNUMBER(SEARCH("Germany FR",S5221)),"FR Germany",
ISNUMBER(SEARCH("West Germany",S5221)),"FR Germany",
ISNUMBER(SEARCH("Germany DR",S5221)),"DR Germany",
ISNUMBER(SEARCH("Korea DPR",S5221)),"North Korea",
ISNUMBER(SEARCH("China PR",S5221)),"China",
ISNUMBER(SEARCH("IR Iran",S5221)),"Iran",
ISNUMBER(SEARCH("Congo DR",S5221)),"Democratic Republic of the Congo",
ISNUMBER(SEARCH("DR Congo",S5221)),"Democratic Republic of the Congo",
ISNUMBER(SEARCH("German DR",S5221)),"DR Germany",
ISNUMBER(SEARCH("rn""&gt;United Arab Emirates",S5221)),"United Arab Emirates",
ISNUMBER(SEARCH("rn""&gt;Republic of Ireland",S5221)),"Ireland",
ISNUMBER(SEARCH("rn""&gt;Bosnia and Herzegovina",S5221)),"Bosnia and Herzegovina",
ISNUMBER(SEARCH("rn""&gt;Trinidad and Tobago",S5221)),"Trinidad and Tobago",
ISNUMBER(SEARCH("rn""&gt;Serbia and Montenegro",S5221)),"Serbia and Montenegro",
ISNUMBER(SEARCH(_xlfn.UNICHAR(65533),S5221)),"Côte d'Ivoire",
TRUE,"-"
)</f>
        <v>-</v>
      </c>
      <c r="W5221" s="42" t="str">
        <f t="shared" si="318"/>
        <v>-</v>
      </c>
    </row>
    <row r="5222" spans="19:23">
      <c r="S5222" s="42" t="str">
        <v/>
      </c>
      <c r="T5222" s="42" t="str">
        <f t="shared" si="316"/>
        <v>-</v>
      </c>
      <c r="U5222" s="40" t="str">
        <f t="shared" si="317"/>
        <v>-</v>
      </c>
      <c r="V5222" s="42" t="str" cm="1">
        <f t="array" ref="V5222">_xlfn.IFS(
LEFT(S5222,16)="win on penalties",IF(VALUE(MID(S5222,19,1))&gt;VALUE(MID(S5222,23,1)),DATA_CLEANED!AK736,DATA_CLEANED!AN736),
ISNUMBER(SEARCH("USA",S5222)),"United States",
ISNUMBER(SEARCH("Republic of Ireland",S5222)),"Ireland",
ISNUMBER(SEARCH("Republic of Korea",S5222)),"South Korea",
ISNUMBER(SEARCH("Cape Verde",S5222)),"Cabo Verde",
ISNUMBER(SEARCH("Czechia",S5222)),"Czech Republic",
ISNUMBER(SEARCH("Türkiye",S5222)),"Turkey",
ISNUMBER(SEARCH("Ivory Coast",S5222)),"Côte d'Ivoire",
ISNUMBER(SEARCH("Korea Republic",S5222)),"South Korea",
ISNUMBER(SEARCH("Germany FR",S5222)),"FR Germany",
ISNUMBER(SEARCH("West Germany",S5222)),"FR Germany",
ISNUMBER(SEARCH("Germany DR",S5222)),"DR Germany",
ISNUMBER(SEARCH("Korea DPR",S5222)),"North Korea",
ISNUMBER(SEARCH("China PR",S5222)),"China",
ISNUMBER(SEARCH("IR Iran",S5222)),"Iran",
ISNUMBER(SEARCH("Congo DR",S5222)),"Democratic Republic of the Congo",
ISNUMBER(SEARCH("DR Congo",S5222)),"Democratic Republic of the Congo",
ISNUMBER(SEARCH("German DR",S5222)),"DR Germany",
ISNUMBER(SEARCH("rn""&gt;United Arab Emirates",S5222)),"United Arab Emirates",
ISNUMBER(SEARCH("rn""&gt;Republic of Ireland",S5222)),"Ireland",
ISNUMBER(SEARCH("rn""&gt;Bosnia and Herzegovina",S5222)),"Bosnia and Herzegovina",
ISNUMBER(SEARCH("rn""&gt;Trinidad and Tobago",S5222)),"Trinidad and Tobago",
ISNUMBER(SEARCH("rn""&gt;Serbia and Montenegro",S5222)),"Serbia and Montenegro",
ISNUMBER(SEARCH(_xlfn.UNICHAR(65533),S5222)),"Côte d'Ivoire",
TRUE,"-"
)</f>
        <v>-</v>
      </c>
      <c r="W5222" s="42" t="str">
        <f t="shared" si="318"/>
        <v>-</v>
      </c>
    </row>
    <row r="5223" spans="19:23">
      <c r="S5223" s="42" t="str">
        <v/>
      </c>
      <c r="T5223" s="42" t="str">
        <f t="shared" si="316"/>
        <v>-</v>
      </c>
      <c r="U5223" s="40" t="str">
        <f t="shared" si="317"/>
        <v>-</v>
      </c>
      <c r="V5223" s="42" t="str" cm="1">
        <f t="array" ref="V5223">_xlfn.IFS(
LEFT(S5223,16)="win on penalties",IF(VALUE(MID(S5223,19,1))&gt;VALUE(MID(S5223,23,1)),DATA_CLEANED!AK737,DATA_CLEANED!AN737),
ISNUMBER(SEARCH("USA",S5223)),"United States",
ISNUMBER(SEARCH("Republic of Ireland",S5223)),"Ireland",
ISNUMBER(SEARCH("Republic of Korea",S5223)),"South Korea",
ISNUMBER(SEARCH("Cape Verde",S5223)),"Cabo Verde",
ISNUMBER(SEARCH("Czechia",S5223)),"Czech Republic",
ISNUMBER(SEARCH("Türkiye",S5223)),"Turkey",
ISNUMBER(SEARCH("Ivory Coast",S5223)),"Côte d'Ivoire",
ISNUMBER(SEARCH("Korea Republic",S5223)),"South Korea",
ISNUMBER(SEARCH("Germany FR",S5223)),"FR Germany",
ISNUMBER(SEARCH("West Germany",S5223)),"FR Germany",
ISNUMBER(SEARCH("Germany DR",S5223)),"DR Germany",
ISNUMBER(SEARCH("Korea DPR",S5223)),"North Korea",
ISNUMBER(SEARCH("China PR",S5223)),"China",
ISNUMBER(SEARCH("IR Iran",S5223)),"Iran",
ISNUMBER(SEARCH("Congo DR",S5223)),"Democratic Republic of the Congo",
ISNUMBER(SEARCH("DR Congo",S5223)),"Democratic Republic of the Congo",
ISNUMBER(SEARCH("German DR",S5223)),"DR Germany",
ISNUMBER(SEARCH("rn""&gt;United Arab Emirates",S5223)),"United Arab Emirates",
ISNUMBER(SEARCH("rn""&gt;Republic of Ireland",S5223)),"Ireland",
ISNUMBER(SEARCH("rn""&gt;Bosnia and Herzegovina",S5223)),"Bosnia and Herzegovina",
ISNUMBER(SEARCH("rn""&gt;Trinidad and Tobago",S5223)),"Trinidad and Tobago",
ISNUMBER(SEARCH("rn""&gt;Serbia and Montenegro",S5223)),"Serbia and Montenegro",
ISNUMBER(SEARCH(_xlfn.UNICHAR(65533),S5223)),"Côte d'Ivoire",
TRUE,"-"
)</f>
        <v>-</v>
      </c>
      <c r="W5223" s="42" t="str">
        <f t="shared" si="318"/>
        <v>-</v>
      </c>
    </row>
    <row r="5224" spans="19:23">
      <c r="S5224" s="42" t="str">
        <v/>
      </c>
      <c r="T5224" s="42" t="str">
        <f t="shared" si="316"/>
        <v>-</v>
      </c>
      <c r="U5224" s="40" t="str">
        <f t="shared" si="317"/>
        <v>-</v>
      </c>
      <c r="V5224" s="42" t="str" cm="1">
        <f t="array" ref="V5224">_xlfn.IFS(
LEFT(S5224,16)="win on penalties",IF(VALUE(MID(S5224,19,1))&gt;VALUE(MID(S5224,23,1)),DATA_CLEANED!AK738,DATA_CLEANED!AN738),
ISNUMBER(SEARCH("USA",S5224)),"United States",
ISNUMBER(SEARCH("Republic of Ireland",S5224)),"Ireland",
ISNUMBER(SEARCH("Republic of Korea",S5224)),"South Korea",
ISNUMBER(SEARCH("Cape Verde",S5224)),"Cabo Verde",
ISNUMBER(SEARCH("Czechia",S5224)),"Czech Republic",
ISNUMBER(SEARCH("Türkiye",S5224)),"Turkey",
ISNUMBER(SEARCH("Ivory Coast",S5224)),"Côte d'Ivoire",
ISNUMBER(SEARCH("Korea Republic",S5224)),"South Korea",
ISNUMBER(SEARCH("Germany FR",S5224)),"FR Germany",
ISNUMBER(SEARCH("West Germany",S5224)),"FR Germany",
ISNUMBER(SEARCH("Germany DR",S5224)),"DR Germany",
ISNUMBER(SEARCH("Korea DPR",S5224)),"North Korea",
ISNUMBER(SEARCH("China PR",S5224)),"China",
ISNUMBER(SEARCH("IR Iran",S5224)),"Iran",
ISNUMBER(SEARCH("Congo DR",S5224)),"Democratic Republic of the Congo",
ISNUMBER(SEARCH("DR Congo",S5224)),"Democratic Republic of the Congo",
ISNUMBER(SEARCH("German DR",S5224)),"DR Germany",
ISNUMBER(SEARCH("rn""&gt;United Arab Emirates",S5224)),"United Arab Emirates",
ISNUMBER(SEARCH("rn""&gt;Republic of Ireland",S5224)),"Ireland",
ISNUMBER(SEARCH("rn""&gt;Bosnia and Herzegovina",S5224)),"Bosnia and Herzegovina",
ISNUMBER(SEARCH("rn""&gt;Trinidad and Tobago",S5224)),"Trinidad and Tobago",
ISNUMBER(SEARCH("rn""&gt;Serbia and Montenegro",S5224)),"Serbia and Montenegro",
ISNUMBER(SEARCH(_xlfn.UNICHAR(65533),S5224)),"Côte d'Ivoire",
TRUE,"-"
)</f>
        <v>-</v>
      </c>
      <c r="W5224" s="42" t="str">
        <f t="shared" si="318"/>
        <v>-</v>
      </c>
    </row>
    <row r="5225" spans="19:23">
      <c r="S5225" s="42" t="str">
        <v/>
      </c>
      <c r="T5225" s="42" t="str">
        <f t="shared" si="316"/>
        <v>-</v>
      </c>
      <c r="U5225" s="40" t="str">
        <f t="shared" si="317"/>
        <v>-</v>
      </c>
      <c r="V5225" s="42" t="str" cm="1">
        <f t="array" ref="V5225">_xlfn.IFS(
LEFT(S5225,16)="win on penalties",IF(VALUE(MID(S5225,19,1))&gt;VALUE(MID(S5225,23,1)),DATA_CLEANED!AK739,DATA_CLEANED!AN739),
ISNUMBER(SEARCH("USA",S5225)),"United States",
ISNUMBER(SEARCH("Republic of Ireland",S5225)),"Ireland",
ISNUMBER(SEARCH("Republic of Korea",S5225)),"South Korea",
ISNUMBER(SEARCH("Cape Verde",S5225)),"Cabo Verde",
ISNUMBER(SEARCH("Czechia",S5225)),"Czech Republic",
ISNUMBER(SEARCH("Türkiye",S5225)),"Turkey",
ISNUMBER(SEARCH("Ivory Coast",S5225)),"Côte d'Ivoire",
ISNUMBER(SEARCH("Korea Republic",S5225)),"South Korea",
ISNUMBER(SEARCH("Germany FR",S5225)),"FR Germany",
ISNUMBER(SEARCH("West Germany",S5225)),"FR Germany",
ISNUMBER(SEARCH("Germany DR",S5225)),"DR Germany",
ISNUMBER(SEARCH("Korea DPR",S5225)),"North Korea",
ISNUMBER(SEARCH("China PR",S5225)),"China",
ISNUMBER(SEARCH("IR Iran",S5225)),"Iran",
ISNUMBER(SEARCH("Congo DR",S5225)),"Democratic Republic of the Congo",
ISNUMBER(SEARCH("DR Congo",S5225)),"Democratic Republic of the Congo",
ISNUMBER(SEARCH("German DR",S5225)),"DR Germany",
ISNUMBER(SEARCH("rn""&gt;United Arab Emirates",S5225)),"United Arab Emirates",
ISNUMBER(SEARCH("rn""&gt;Republic of Ireland",S5225)),"Ireland",
ISNUMBER(SEARCH("rn""&gt;Bosnia and Herzegovina",S5225)),"Bosnia and Herzegovina",
ISNUMBER(SEARCH("rn""&gt;Trinidad and Tobago",S5225)),"Trinidad and Tobago",
ISNUMBER(SEARCH("rn""&gt;Serbia and Montenegro",S5225)),"Serbia and Montenegro",
ISNUMBER(SEARCH(_xlfn.UNICHAR(65533),S5225)),"Côte d'Ivoire",
TRUE,"-"
)</f>
        <v>-</v>
      </c>
      <c r="W5225" s="42" t="str">
        <f t="shared" si="318"/>
        <v>-</v>
      </c>
    </row>
    <row r="5226" spans="19:23">
      <c r="S5226" s="42" t="str">
        <v/>
      </c>
      <c r="T5226" s="42" t="str">
        <f t="shared" si="316"/>
        <v>-</v>
      </c>
      <c r="U5226" s="40" t="str">
        <f t="shared" si="317"/>
        <v>-</v>
      </c>
      <c r="V5226" s="42" t="str" cm="1">
        <f t="array" ref="V5226">_xlfn.IFS(
LEFT(S5226,16)="win on penalties",IF(VALUE(MID(S5226,19,1))&gt;VALUE(MID(S5226,23,1)),DATA_CLEANED!AK740,DATA_CLEANED!AN740),
ISNUMBER(SEARCH("USA",S5226)),"United States",
ISNUMBER(SEARCH("Republic of Ireland",S5226)),"Ireland",
ISNUMBER(SEARCH("Republic of Korea",S5226)),"South Korea",
ISNUMBER(SEARCH("Cape Verde",S5226)),"Cabo Verde",
ISNUMBER(SEARCH("Czechia",S5226)),"Czech Republic",
ISNUMBER(SEARCH("Türkiye",S5226)),"Turkey",
ISNUMBER(SEARCH("Ivory Coast",S5226)),"Côte d'Ivoire",
ISNUMBER(SEARCH("Korea Republic",S5226)),"South Korea",
ISNUMBER(SEARCH("Germany FR",S5226)),"FR Germany",
ISNUMBER(SEARCH("West Germany",S5226)),"FR Germany",
ISNUMBER(SEARCH("Germany DR",S5226)),"DR Germany",
ISNUMBER(SEARCH("Korea DPR",S5226)),"North Korea",
ISNUMBER(SEARCH("China PR",S5226)),"China",
ISNUMBER(SEARCH("IR Iran",S5226)),"Iran",
ISNUMBER(SEARCH("Congo DR",S5226)),"Democratic Republic of the Congo",
ISNUMBER(SEARCH("DR Congo",S5226)),"Democratic Republic of the Congo",
ISNUMBER(SEARCH("German DR",S5226)),"DR Germany",
ISNUMBER(SEARCH("rn""&gt;United Arab Emirates",S5226)),"United Arab Emirates",
ISNUMBER(SEARCH("rn""&gt;Republic of Ireland",S5226)),"Ireland",
ISNUMBER(SEARCH("rn""&gt;Bosnia and Herzegovina",S5226)),"Bosnia and Herzegovina",
ISNUMBER(SEARCH("rn""&gt;Trinidad and Tobago",S5226)),"Trinidad and Tobago",
ISNUMBER(SEARCH("rn""&gt;Serbia and Montenegro",S5226)),"Serbia and Montenegro",
ISNUMBER(SEARCH(_xlfn.UNICHAR(65533),S5226)),"Côte d'Ivoire",
TRUE,"-"
)</f>
        <v>-</v>
      </c>
      <c r="W5226" s="42" t="str">
        <f t="shared" si="318"/>
        <v>-</v>
      </c>
    </row>
    <row r="5227" spans="19:23">
      <c r="S5227" s="42" t="str">
        <v/>
      </c>
      <c r="T5227" s="42" t="str">
        <f t="shared" si="316"/>
        <v>-</v>
      </c>
      <c r="U5227" s="40" t="str">
        <f t="shared" si="317"/>
        <v>-</v>
      </c>
      <c r="V5227" s="42" t="str" cm="1">
        <f t="array" ref="V5227">_xlfn.IFS(
LEFT(S5227,16)="win on penalties",IF(VALUE(MID(S5227,19,1))&gt;VALUE(MID(S5227,23,1)),DATA_CLEANED!AK741,DATA_CLEANED!AN741),
ISNUMBER(SEARCH("USA",S5227)),"United States",
ISNUMBER(SEARCH("Republic of Ireland",S5227)),"Ireland",
ISNUMBER(SEARCH("Republic of Korea",S5227)),"South Korea",
ISNUMBER(SEARCH("Cape Verde",S5227)),"Cabo Verde",
ISNUMBER(SEARCH("Czechia",S5227)),"Czech Republic",
ISNUMBER(SEARCH("Türkiye",S5227)),"Turkey",
ISNUMBER(SEARCH("Ivory Coast",S5227)),"Côte d'Ivoire",
ISNUMBER(SEARCH("Korea Republic",S5227)),"South Korea",
ISNUMBER(SEARCH("Germany FR",S5227)),"FR Germany",
ISNUMBER(SEARCH("West Germany",S5227)),"FR Germany",
ISNUMBER(SEARCH("Germany DR",S5227)),"DR Germany",
ISNUMBER(SEARCH("Korea DPR",S5227)),"North Korea",
ISNUMBER(SEARCH("China PR",S5227)),"China",
ISNUMBER(SEARCH("IR Iran",S5227)),"Iran",
ISNUMBER(SEARCH("Congo DR",S5227)),"Democratic Republic of the Congo",
ISNUMBER(SEARCH("DR Congo",S5227)),"Democratic Republic of the Congo",
ISNUMBER(SEARCH("German DR",S5227)),"DR Germany",
ISNUMBER(SEARCH("rn""&gt;United Arab Emirates",S5227)),"United Arab Emirates",
ISNUMBER(SEARCH("rn""&gt;Republic of Ireland",S5227)),"Ireland",
ISNUMBER(SEARCH("rn""&gt;Bosnia and Herzegovina",S5227)),"Bosnia and Herzegovina",
ISNUMBER(SEARCH("rn""&gt;Trinidad and Tobago",S5227)),"Trinidad and Tobago",
ISNUMBER(SEARCH("rn""&gt;Serbia and Montenegro",S5227)),"Serbia and Montenegro",
ISNUMBER(SEARCH(_xlfn.UNICHAR(65533),S5227)),"Côte d'Ivoire",
TRUE,"-"
)</f>
        <v>-</v>
      </c>
      <c r="W5227" s="42" t="str">
        <f t="shared" si="318"/>
        <v>-</v>
      </c>
    </row>
    <row r="5228" spans="19:23">
      <c r="S5228" s="42" t="str">
        <v/>
      </c>
      <c r="T5228" s="42" t="str">
        <f t="shared" si="316"/>
        <v>-</v>
      </c>
      <c r="U5228" s="40" t="str">
        <f t="shared" si="317"/>
        <v>-</v>
      </c>
      <c r="V5228" s="42" t="str" cm="1">
        <f t="array" ref="V5228">_xlfn.IFS(
LEFT(S5228,16)="win on penalties",IF(VALUE(MID(S5228,19,1))&gt;VALUE(MID(S5228,23,1)),DATA_CLEANED!AK742,DATA_CLEANED!AN742),
ISNUMBER(SEARCH("USA",S5228)),"United States",
ISNUMBER(SEARCH("Republic of Ireland",S5228)),"Ireland",
ISNUMBER(SEARCH("Republic of Korea",S5228)),"South Korea",
ISNUMBER(SEARCH("Cape Verde",S5228)),"Cabo Verde",
ISNUMBER(SEARCH("Czechia",S5228)),"Czech Republic",
ISNUMBER(SEARCH("Türkiye",S5228)),"Turkey",
ISNUMBER(SEARCH("Ivory Coast",S5228)),"Côte d'Ivoire",
ISNUMBER(SEARCH("Korea Republic",S5228)),"South Korea",
ISNUMBER(SEARCH("Germany FR",S5228)),"FR Germany",
ISNUMBER(SEARCH("West Germany",S5228)),"FR Germany",
ISNUMBER(SEARCH("Germany DR",S5228)),"DR Germany",
ISNUMBER(SEARCH("Korea DPR",S5228)),"North Korea",
ISNUMBER(SEARCH("China PR",S5228)),"China",
ISNUMBER(SEARCH("IR Iran",S5228)),"Iran",
ISNUMBER(SEARCH("Congo DR",S5228)),"Democratic Republic of the Congo",
ISNUMBER(SEARCH("DR Congo",S5228)),"Democratic Republic of the Congo",
ISNUMBER(SEARCH("German DR",S5228)),"DR Germany",
ISNUMBER(SEARCH("rn""&gt;United Arab Emirates",S5228)),"United Arab Emirates",
ISNUMBER(SEARCH("rn""&gt;Republic of Ireland",S5228)),"Ireland",
ISNUMBER(SEARCH("rn""&gt;Bosnia and Herzegovina",S5228)),"Bosnia and Herzegovina",
ISNUMBER(SEARCH("rn""&gt;Trinidad and Tobago",S5228)),"Trinidad and Tobago",
ISNUMBER(SEARCH("rn""&gt;Serbia and Montenegro",S5228)),"Serbia and Montenegro",
ISNUMBER(SEARCH(_xlfn.UNICHAR(65533),S5228)),"Côte d'Ivoire",
TRUE,"-"
)</f>
        <v>-</v>
      </c>
      <c r="W5228" s="42" t="str">
        <f t="shared" si="318"/>
        <v>-</v>
      </c>
    </row>
    <row r="5229" spans="19:23">
      <c r="S5229" s="42" t="str">
        <v/>
      </c>
      <c r="T5229" s="42" t="str">
        <f t="shared" si="316"/>
        <v>-</v>
      </c>
      <c r="U5229" s="40" t="str">
        <f t="shared" si="317"/>
        <v>-</v>
      </c>
      <c r="V5229" s="42" t="str" cm="1">
        <f t="array" ref="V5229">_xlfn.IFS(
LEFT(S5229,16)="win on penalties",IF(VALUE(MID(S5229,19,1))&gt;VALUE(MID(S5229,23,1)),DATA_CLEANED!AK743,DATA_CLEANED!AN743),
ISNUMBER(SEARCH("USA",S5229)),"United States",
ISNUMBER(SEARCH("Republic of Ireland",S5229)),"Ireland",
ISNUMBER(SEARCH("Republic of Korea",S5229)),"South Korea",
ISNUMBER(SEARCH("Cape Verde",S5229)),"Cabo Verde",
ISNUMBER(SEARCH("Czechia",S5229)),"Czech Republic",
ISNUMBER(SEARCH("Türkiye",S5229)),"Turkey",
ISNUMBER(SEARCH("Ivory Coast",S5229)),"Côte d'Ivoire",
ISNUMBER(SEARCH("Korea Republic",S5229)),"South Korea",
ISNUMBER(SEARCH("Germany FR",S5229)),"FR Germany",
ISNUMBER(SEARCH("West Germany",S5229)),"FR Germany",
ISNUMBER(SEARCH("Germany DR",S5229)),"DR Germany",
ISNUMBER(SEARCH("Korea DPR",S5229)),"North Korea",
ISNUMBER(SEARCH("China PR",S5229)),"China",
ISNUMBER(SEARCH("IR Iran",S5229)),"Iran",
ISNUMBER(SEARCH("Congo DR",S5229)),"Democratic Republic of the Congo",
ISNUMBER(SEARCH("DR Congo",S5229)),"Democratic Republic of the Congo",
ISNUMBER(SEARCH("German DR",S5229)),"DR Germany",
ISNUMBER(SEARCH("rn""&gt;United Arab Emirates",S5229)),"United Arab Emirates",
ISNUMBER(SEARCH("rn""&gt;Republic of Ireland",S5229)),"Ireland",
ISNUMBER(SEARCH("rn""&gt;Bosnia and Herzegovina",S5229)),"Bosnia and Herzegovina",
ISNUMBER(SEARCH("rn""&gt;Trinidad and Tobago",S5229)),"Trinidad and Tobago",
ISNUMBER(SEARCH("rn""&gt;Serbia and Montenegro",S5229)),"Serbia and Montenegro",
ISNUMBER(SEARCH(_xlfn.UNICHAR(65533),S5229)),"Côte d'Ivoire",
TRUE,"-"
)</f>
        <v>-</v>
      </c>
      <c r="W5229" s="42" t="str">
        <f t="shared" si="318"/>
        <v>-</v>
      </c>
    </row>
    <row r="5230" spans="19:23">
      <c r="S5230" s="42" t="str">
        <v/>
      </c>
      <c r="T5230" s="42" t="str">
        <f t="shared" si="316"/>
        <v>-</v>
      </c>
      <c r="U5230" s="40" t="str">
        <f t="shared" si="317"/>
        <v>-</v>
      </c>
      <c r="V5230" s="42" t="str" cm="1">
        <f t="array" ref="V5230">_xlfn.IFS(
LEFT(S5230,16)="win on penalties",IF(VALUE(MID(S5230,19,1))&gt;VALUE(MID(S5230,23,1)),DATA_CLEANED!AK744,DATA_CLEANED!AN744),
ISNUMBER(SEARCH("USA",S5230)),"United States",
ISNUMBER(SEARCH("Republic of Ireland",S5230)),"Ireland",
ISNUMBER(SEARCH("Republic of Korea",S5230)),"South Korea",
ISNUMBER(SEARCH("Cape Verde",S5230)),"Cabo Verde",
ISNUMBER(SEARCH("Czechia",S5230)),"Czech Republic",
ISNUMBER(SEARCH("Türkiye",S5230)),"Turkey",
ISNUMBER(SEARCH("Ivory Coast",S5230)),"Côte d'Ivoire",
ISNUMBER(SEARCH("Korea Republic",S5230)),"South Korea",
ISNUMBER(SEARCH("Germany FR",S5230)),"FR Germany",
ISNUMBER(SEARCH("West Germany",S5230)),"FR Germany",
ISNUMBER(SEARCH("Germany DR",S5230)),"DR Germany",
ISNUMBER(SEARCH("Korea DPR",S5230)),"North Korea",
ISNUMBER(SEARCH("China PR",S5230)),"China",
ISNUMBER(SEARCH("IR Iran",S5230)),"Iran",
ISNUMBER(SEARCH("Congo DR",S5230)),"Democratic Republic of the Congo",
ISNUMBER(SEARCH("DR Congo",S5230)),"Democratic Republic of the Congo",
ISNUMBER(SEARCH("German DR",S5230)),"DR Germany",
ISNUMBER(SEARCH("rn""&gt;United Arab Emirates",S5230)),"United Arab Emirates",
ISNUMBER(SEARCH("rn""&gt;Republic of Ireland",S5230)),"Ireland",
ISNUMBER(SEARCH("rn""&gt;Bosnia and Herzegovina",S5230)),"Bosnia and Herzegovina",
ISNUMBER(SEARCH("rn""&gt;Trinidad and Tobago",S5230)),"Trinidad and Tobago",
ISNUMBER(SEARCH("rn""&gt;Serbia and Montenegro",S5230)),"Serbia and Montenegro",
ISNUMBER(SEARCH(_xlfn.UNICHAR(65533),S5230)),"Côte d'Ivoire",
TRUE,"-"
)</f>
        <v>-</v>
      </c>
      <c r="W5230" s="42" t="str">
        <f t="shared" si="318"/>
        <v>-</v>
      </c>
    </row>
    <row r="5231" spans="19:23">
      <c r="S5231" s="42" t="str">
        <v/>
      </c>
      <c r="T5231" s="42" t="str">
        <f t="shared" si="316"/>
        <v>-</v>
      </c>
      <c r="U5231" s="40" t="str">
        <f t="shared" si="317"/>
        <v>-</v>
      </c>
      <c r="V5231" s="42" t="str" cm="1">
        <f t="array" ref="V5231">_xlfn.IFS(
LEFT(S5231,16)="win on penalties",IF(VALUE(MID(S5231,19,1))&gt;VALUE(MID(S5231,23,1)),DATA_CLEANED!AK745,DATA_CLEANED!AN745),
ISNUMBER(SEARCH("USA",S5231)),"United States",
ISNUMBER(SEARCH("Republic of Ireland",S5231)),"Ireland",
ISNUMBER(SEARCH("Republic of Korea",S5231)),"South Korea",
ISNUMBER(SEARCH("Cape Verde",S5231)),"Cabo Verde",
ISNUMBER(SEARCH("Czechia",S5231)),"Czech Republic",
ISNUMBER(SEARCH("Türkiye",S5231)),"Turkey",
ISNUMBER(SEARCH("Ivory Coast",S5231)),"Côte d'Ivoire",
ISNUMBER(SEARCH("Korea Republic",S5231)),"South Korea",
ISNUMBER(SEARCH("Germany FR",S5231)),"FR Germany",
ISNUMBER(SEARCH("West Germany",S5231)),"FR Germany",
ISNUMBER(SEARCH("Germany DR",S5231)),"DR Germany",
ISNUMBER(SEARCH("Korea DPR",S5231)),"North Korea",
ISNUMBER(SEARCH("China PR",S5231)),"China",
ISNUMBER(SEARCH("IR Iran",S5231)),"Iran",
ISNUMBER(SEARCH("Congo DR",S5231)),"Democratic Republic of the Congo",
ISNUMBER(SEARCH("DR Congo",S5231)),"Democratic Republic of the Congo",
ISNUMBER(SEARCH("German DR",S5231)),"DR Germany",
ISNUMBER(SEARCH("rn""&gt;United Arab Emirates",S5231)),"United Arab Emirates",
ISNUMBER(SEARCH("rn""&gt;Republic of Ireland",S5231)),"Ireland",
ISNUMBER(SEARCH("rn""&gt;Bosnia and Herzegovina",S5231)),"Bosnia and Herzegovina",
ISNUMBER(SEARCH("rn""&gt;Trinidad and Tobago",S5231)),"Trinidad and Tobago",
ISNUMBER(SEARCH("rn""&gt;Serbia and Montenegro",S5231)),"Serbia and Montenegro",
ISNUMBER(SEARCH(_xlfn.UNICHAR(65533),S5231)),"Côte d'Ivoire",
TRUE,"-"
)</f>
        <v>-</v>
      </c>
      <c r="W5231" s="42" t="str">
        <f t="shared" si="318"/>
        <v>-</v>
      </c>
    </row>
    <row r="5232" spans="19:23">
      <c r="S5232" s="42" t="str">
        <v/>
      </c>
      <c r="T5232" s="42" t="str">
        <f t="shared" si="316"/>
        <v>-</v>
      </c>
      <c r="U5232" s="40" t="str">
        <f t="shared" si="317"/>
        <v>-</v>
      </c>
      <c r="V5232" s="42" t="str" cm="1">
        <f t="array" ref="V5232">_xlfn.IFS(
LEFT(S5232,16)="win on penalties",IF(VALUE(MID(S5232,19,1))&gt;VALUE(MID(S5232,23,1)),DATA_CLEANED!AK746,DATA_CLEANED!AN746),
ISNUMBER(SEARCH("USA",S5232)),"United States",
ISNUMBER(SEARCH("Republic of Ireland",S5232)),"Ireland",
ISNUMBER(SEARCH("Republic of Korea",S5232)),"South Korea",
ISNUMBER(SEARCH("Cape Verde",S5232)),"Cabo Verde",
ISNUMBER(SEARCH("Czechia",S5232)),"Czech Republic",
ISNUMBER(SEARCH("Türkiye",S5232)),"Turkey",
ISNUMBER(SEARCH("Ivory Coast",S5232)),"Côte d'Ivoire",
ISNUMBER(SEARCH("Korea Republic",S5232)),"South Korea",
ISNUMBER(SEARCH("Germany FR",S5232)),"FR Germany",
ISNUMBER(SEARCH("West Germany",S5232)),"FR Germany",
ISNUMBER(SEARCH("Germany DR",S5232)),"DR Germany",
ISNUMBER(SEARCH("Korea DPR",S5232)),"North Korea",
ISNUMBER(SEARCH("China PR",S5232)),"China",
ISNUMBER(SEARCH("IR Iran",S5232)),"Iran",
ISNUMBER(SEARCH("Congo DR",S5232)),"Democratic Republic of the Congo",
ISNUMBER(SEARCH("DR Congo",S5232)),"Democratic Republic of the Congo",
ISNUMBER(SEARCH("German DR",S5232)),"DR Germany",
ISNUMBER(SEARCH("rn""&gt;United Arab Emirates",S5232)),"United Arab Emirates",
ISNUMBER(SEARCH("rn""&gt;Republic of Ireland",S5232)),"Ireland",
ISNUMBER(SEARCH("rn""&gt;Bosnia and Herzegovina",S5232)),"Bosnia and Herzegovina",
ISNUMBER(SEARCH("rn""&gt;Trinidad and Tobago",S5232)),"Trinidad and Tobago",
ISNUMBER(SEARCH("rn""&gt;Serbia and Montenegro",S5232)),"Serbia and Montenegro",
ISNUMBER(SEARCH(_xlfn.UNICHAR(65533),S5232)),"Côte d'Ivoire",
TRUE,"-"
)</f>
        <v>-</v>
      </c>
      <c r="W5232" s="42" t="str">
        <f t="shared" si="318"/>
        <v>-</v>
      </c>
    </row>
    <row r="5233" spans="19:23">
      <c r="S5233" s="42" t="str">
        <v/>
      </c>
      <c r="T5233" s="42" t="str">
        <f t="shared" si="316"/>
        <v>-</v>
      </c>
      <c r="U5233" s="40" t="str">
        <f t="shared" si="317"/>
        <v>-</v>
      </c>
      <c r="V5233" s="42" t="str" cm="1">
        <f t="array" ref="V5233">_xlfn.IFS(
LEFT(S5233,16)="win on penalties",IF(VALUE(MID(S5233,19,1))&gt;VALUE(MID(S5233,23,1)),DATA_CLEANED!AK747,DATA_CLEANED!AN747),
ISNUMBER(SEARCH("USA",S5233)),"United States",
ISNUMBER(SEARCH("Republic of Ireland",S5233)),"Ireland",
ISNUMBER(SEARCH("Republic of Korea",S5233)),"South Korea",
ISNUMBER(SEARCH("Cape Verde",S5233)),"Cabo Verde",
ISNUMBER(SEARCH("Czechia",S5233)),"Czech Republic",
ISNUMBER(SEARCH("Türkiye",S5233)),"Turkey",
ISNUMBER(SEARCH("Ivory Coast",S5233)),"Côte d'Ivoire",
ISNUMBER(SEARCH("Korea Republic",S5233)),"South Korea",
ISNUMBER(SEARCH("Germany FR",S5233)),"FR Germany",
ISNUMBER(SEARCH("West Germany",S5233)),"FR Germany",
ISNUMBER(SEARCH("Germany DR",S5233)),"DR Germany",
ISNUMBER(SEARCH("Korea DPR",S5233)),"North Korea",
ISNUMBER(SEARCH("China PR",S5233)),"China",
ISNUMBER(SEARCH("IR Iran",S5233)),"Iran",
ISNUMBER(SEARCH("Congo DR",S5233)),"Democratic Republic of the Congo",
ISNUMBER(SEARCH("DR Congo",S5233)),"Democratic Republic of the Congo",
ISNUMBER(SEARCH("German DR",S5233)),"DR Germany",
ISNUMBER(SEARCH("rn""&gt;United Arab Emirates",S5233)),"United Arab Emirates",
ISNUMBER(SEARCH("rn""&gt;Republic of Ireland",S5233)),"Ireland",
ISNUMBER(SEARCH("rn""&gt;Bosnia and Herzegovina",S5233)),"Bosnia and Herzegovina",
ISNUMBER(SEARCH("rn""&gt;Trinidad and Tobago",S5233)),"Trinidad and Tobago",
ISNUMBER(SEARCH("rn""&gt;Serbia and Montenegro",S5233)),"Serbia and Montenegro",
ISNUMBER(SEARCH(_xlfn.UNICHAR(65533),S5233)),"Côte d'Ivoire",
TRUE,"-"
)</f>
        <v>-</v>
      </c>
      <c r="W5233" s="42" t="str">
        <f t="shared" si="318"/>
        <v>-</v>
      </c>
    </row>
    <row r="5234" spans="19:23">
      <c r="S5234" s="42" t="str">
        <v/>
      </c>
      <c r="T5234" s="42" t="str">
        <f t="shared" si="316"/>
        <v>-</v>
      </c>
      <c r="U5234" s="40" t="str">
        <f t="shared" si="317"/>
        <v>-</v>
      </c>
      <c r="V5234" s="42" t="str" cm="1">
        <f t="array" ref="V5234">_xlfn.IFS(
LEFT(S5234,16)="win on penalties",IF(VALUE(MID(S5234,19,1))&gt;VALUE(MID(S5234,23,1)),DATA_CLEANED!AK748,DATA_CLEANED!AN748),
ISNUMBER(SEARCH("USA",S5234)),"United States",
ISNUMBER(SEARCH("Republic of Ireland",S5234)),"Ireland",
ISNUMBER(SEARCH("Republic of Korea",S5234)),"South Korea",
ISNUMBER(SEARCH("Cape Verde",S5234)),"Cabo Verde",
ISNUMBER(SEARCH("Czechia",S5234)),"Czech Republic",
ISNUMBER(SEARCH("Türkiye",S5234)),"Turkey",
ISNUMBER(SEARCH("Ivory Coast",S5234)),"Côte d'Ivoire",
ISNUMBER(SEARCH("Korea Republic",S5234)),"South Korea",
ISNUMBER(SEARCH("Germany FR",S5234)),"FR Germany",
ISNUMBER(SEARCH("West Germany",S5234)),"FR Germany",
ISNUMBER(SEARCH("Germany DR",S5234)),"DR Germany",
ISNUMBER(SEARCH("Korea DPR",S5234)),"North Korea",
ISNUMBER(SEARCH("China PR",S5234)),"China",
ISNUMBER(SEARCH("IR Iran",S5234)),"Iran",
ISNUMBER(SEARCH("Congo DR",S5234)),"Democratic Republic of the Congo",
ISNUMBER(SEARCH("DR Congo",S5234)),"Democratic Republic of the Congo",
ISNUMBER(SEARCH("German DR",S5234)),"DR Germany",
ISNUMBER(SEARCH("rn""&gt;United Arab Emirates",S5234)),"United Arab Emirates",
ISNUMBER(SEARCH("rn""&gt;Republic of Ireland",S5234)),"Ireland",
ISNUMBER(SEARCH("rn""&gt;Bosnia and Herzegovina",S5234)),"Bosnia and Herzegovina",
ISNUMBER(SEARCH("rn""&gt;Trinidad and Tobago",S5234)),"Trinidad and Tobago",
ISNUMBER(SEARCH("rn""&gt;Serbia and Montenegro",S5234)),"Serbia and Montenegro",
ISNUMBER(SEARCH(_xlfn.UNICHAR(65533),S5234)),"Côte d'Ivoire",
TRUE,"-"
)</f>
        <v>-</v>
      </c>
      <c r="W5234" s="42" t="str">
        <f t="shared" si="318"/>
        <v>-</v>
      </c>
    </row>
    <row r="5235" spans="19:23">
      <c r="S5235" s="42" t="str">
        <v/>
      </c>
      <c r="T5235" s="42" t="str">
        <f t="shared" si="316"/>
        <v>-</v>
      </c>
      <c r="U5235" s="40" t="str">
        <f t="shared" si="317"/>
        <v>-</v>
      </c>
      <c r="V5235" s="42" t="str" cm="1">
        <f t="array" ref="V5235">_xlfn.IFS(
LEFT(S5235,16)="win on penalties",IF(VALUE(MID(S5235,19,1))&gt;VALUE(MID(S5235,23,1)),DATA_CLEANED!AK749,DATA_CLEANED!AN749),
ISNUMBER(SEARCH("USA",S5235)),"United States",
ISNUMBER(SEARCH("Republic of Ireland",S5235)),"Ireland",
ISNUMBER(SEARCH("Republic of Korea",S5235)),"South Korea",
ISNUMBER(SEARCH("Cape Verde",S5235)),"Cabo Verde",
ISNUMBER(SEARCH("Czechia",S5235)),"Czech Republic",
ISNUMBER(SEARCH("Türkiye",S5235)),"Turkey",
ISNUMBER(SEARCH("Ivory Coast",S5235)),"Côte d'Ivoire",
ISNUMBER(SEARCH("Korea Republic",S5235)),"South Korea",
ISNUMBER(SEARCH("Germany FR",S5235)),"FR Germany",
ISNUMBER(SEARCH("West Germany",S5235)),"FR Germany",
ISNUMBER(SEARCH("Germany DR",S5235)),"DR Germany",
ISNUMBER(SEARCH("Korea DPR",S5235)),"North Korea",
ISNUMBER(SEARCH("China PR",S5235)),"China",
ISNUMBER(SEARCH("IR Iran",S5235)),"Iran",
ISNUMBER(SEARCH("Congo DR",S5235)),"Democratic Republic of the Congo",
ISNUMBER(SEARCH("DR Congo",S5235)),"Democratic Republic of the Congo",
ISNUMBER(SEARCH("German DR",S5235)),"DR Germany",
ISNUMBER(SEARCH("rn""&gt;United Arab Emirates",S5235)),"United Arab Emirates",
ISNUMBER(SEARCH("rn""&gt;Republic of Ireland",S5235)),"Ireland",
ISNUMBER(SEARCH("rn""&gt;Bosnia and Herzegovina",S5235)),"Bosnia and Herzegovina",
ISNUMBER(SEARCH("rn""&gt;Trinidad and Tobago",S5235)),"Trinidad and Tobago",
ISNUMBER(SEARCH("rn""&gt;Serbia and Montenegro",S5235)),"Serbia and Montenegro",
ISNUMBER(SEARCH(_xlfn.UNICHAR(65533),S5235)),"Côte d'Ivoire",
TRUE,"-"
)</f>
        <v>-</v>
      </c>
      <c r="W5235" s="42" t="str">
        <f t="shared" si="318"/>
        <v>-</v>
      </c>
    </row>
    <row r="5236" spans="19:23">
      <c r="S5236" s="42" t="str">
        <v/>
      </c>
      <c r="T5236" s="42" t="str">
        <f t="shared" si="316"/>
        <v>-</v>
      </c>
      <c r="U5236" s="40" t="str">
        <f t="shared" si="317"/>
        <v>-</v>
      </c>
      <c r="V5236" s="42" t="str" cm="1">
        <f t="array" ref="V5236">_xlfn.IFS(
LEFT(S5236,16)="win on penalties",IF(VALUE(MID(S5236,19,1))&gt;VALUE(MID(S5236,23,1)),DATA_CLEANED!AK750,DATA_CLEANED!AN750),
ISNUMBER(SEARCH("USA",S5236)),"United States",
ISNUMBER(SEARCH("Republic of Ireland",S5236)),"Ireland",
ISNUMBER(SEARCH("Republic of Korea",S5236)),"South Korea",
ISNUMBER(SEARCH("Cape Verde",S5236)),"Cabo Verde",
ISNUMBER(SEARCH("Czechia",S5236)),"Czech Republic",
ISNUMBER(SEARCH("Türkiye",S5236)),"Turkey",
ISNUMBER(SEARCH("Ivory Coast",S5236)),"Côte d'Ivoire",
ISNUMBER(SEARCH("Korea Republic",S5236)),"South Korea",
ISNUMBER(SEARCH("Germany FR",S5236)),"FR Germany",
ISNUMBER(SEARCH("West Germany",S5236)),"FR Germany",
ISNUMBER(SEARCH("Germany DR",S5236)),"DR Germany",
ISNUMBER(SEARCH("Korea DPR",S5236)),"North Korea",
ISNUMBER(SEARCH("China PR",S5236)),"China",
ISNUMBER(SEARCH("IR Iran",S5236)),"Iran",
ISNUMBER(SEARCH("Congo DR",S5236)),"Democratic Republic of the Congo",
ISNUMBER(SEARCH("DR Congo",S5236)),"Democratic Republic of the Congo",
ISNUMBER(SEARCH("German DR",S5236)),"DR Germany",
ISNUMBER(SEARCH("rn""&gt;United Arab Emirates",S5236)),"United Arab Emirates",
ISNUMBER(SEARCH("rn""&gt;Republic of Ireland",S5236)),"Ireland",
ISNUMBER(SEARCH("rn""&gt;Bosnia and Herzegovina",S5236)),"Bosnia and Herzegovina",
ISNUMBER(SEARCH("rn""&gt;Trinidad and Tobago",S5236)),"Trinidad and Tobago",
ISNUMBER(SEARCH("rn""&gt;Serbia and Montenegro",S5236)),"Serbia and Montenegro",
ISNUMBER(SEARCH(_xlfn.UNICHAR(65533),S5236)),"Côte d'Ivoire",
TRUE,"-"
)</f>
        <v>-</v>
      </c>
      <c r="W5236" s="42" t="str">
        <f t="shared" si="318"/>
        <v>-</v>
      </c>
    </row>
    <row r="5237" spans="19:23">
      <c r="S5237" s="42" t="str">
        <v/>
      </c>
      <c r="T5237" s="42" t="str">
        <f t="shared" si="316"/>
        <v>-</v>
      </c>
      <c r="U5237" s="40" t="str">
        <f t="shared" si="317"/>
        <v>-</v>
      </c>
      <c r="V5237" s="42" t="str" cm="1">
        <f t="array" ref="V5237">_xlfn.IFS(
LEFT(S5237,16)="win on penalties",IF(VALUE(MID(S5237,19,1))&gt;VALUE(MID(S5237,23,1)),DATA_CLEANED!AK751,DATA_CLEANED!AN751),
ISNUMBER(SEARCH("USA",S5237)),"United States",
ISNUMBER(SEARCH("Republic of Ireland",S5237)),"Ireland",
ISNUMBER(SEARCH("Republic of Korea",S5237)),"South Korea",
ISNUMBER(SEARCH("Cape Verde",S5237)),"Cabo Verde",
ISNUMBER(SEARCH("Czechia",S5237)),"Czech Republic",
ISNUMBER(SEARCH("Türkiye",S5237)),"Turkey",
ISNUMBER(SEARCH("Ivory Coast",S5237)),"Côte d'Ivoire",
ISNUMBER(SEARCH("Korea Republic",S5237)),"South Korea",
ISNUMBER(SEARCH("Germany FR",S5237)),"FR Germany",
ISNUMBER(SEARCH("West Germany",S5237)),"FR Germany",
ISNUMBER(SEARCH("Germany DR",S5237)),"DR Germany",
ISNUMBER(SEARCH("Korea DPR",S5237)),"North Korea",
ISNUMBER(SEARCH("China PR",S5237)),"China",
ISNUMBER(SEARCH("IR Iran",S5237)),"Iran",
ISNUMBER(SEARCH("Congo DR",S5237)),"Democratic Republic of the Congo",
ISNUMBER(SEARCH("DR Congo",S5237)),"Democratic Republic of the Congo",
ISNUMBER(SEARCH("German DR",S5237)),"DR Germany",
ISNUMBER(SEARCH("rn""&gt;United Arab Emirates",S5237)),"United Arab Emirates",
ISNUMBER(SEARCH("rn""&gt;Republic of Ireland",S5237)),"Ireland",
ISNUMBER(SEARCH("rn""&gt;Bosnia and Herzegovina",S5237)),"Bosnia and Herzegovina",
ISNUMBER(SEARCH("rn""&gt;Trinidad and Tobago",S5237)),"Trinidad and Tobago",
ISNUMBER(SEARCH("rn""&gt;Serbia and Montenegro",S5237)),"Serbia and Montenegro",
ISNUMBER(SEARCH(_xlfn.UNICHAR(65533),S5237)),"Côte d'Ivoire",
TRUE,"-"
)</f>
        <v>-</v>
      </c>
      <c r="W5237" s="42" t="str">
        <f t="shared" si="318"/>
        <v>-</v>
      </c>
    </row>
    <row r="5238" spans="19:23">
      <c r="S5238" s="42" t="str">
        <v/>
      </c>
      <c r="T5238" s="42" t="str">
        <f t="shared" si="316"/>
        <v>-</v>
      </c>
      <c r="U5238" s="40" t="str">
        <f t="shared" si="317"/>
        <v>-</v>
      </c>
      <c r="V5238" s="42" t="str" cm="1">
        <f t="array" ref="V5238">_xlfn.IFS(
LEFT(S5238,16)="win on penalties",IF(VALUE(MID(S5238,19,1))&gt;VALUE(MID(S5238,23,1)),DATA_CLEANED!AK752,DATA_CLEANED!AN752),
ISNUMBER(SEARCH("USA",S5238)),"United States",
ISNUMBER(SEARCH("Republic of Ireland",S5238)),"Ireland",
ISNUMBER(SEARCH("Republic of Korea",S5238)),"South Korea",
ISNUMBER(SEARCH("Cape Verde",S5238)),"Cabo Verde",
ISNUMBER(SEARCH("Czechia",S5238)),"Czech Republic",
ISNUMBER(SEARCH("Türkiye",S5238)),"Turkey",
ISNUMBER(SEARCH("Ivory Coast",S5238)),"Côte d'Ivoire",
ISNUMBER(SEARCH("Korea Republic",S5238)),"South Korea",
ISNUMBER(SEARCH("Germany FR",S5238)),"FR Germany",
ISNUMBER(SEARCH("West Germany",S5238)),"FR Germany",
ISNUMBER(SEARCH("Germany DR",S5238)),"DR Germany",
ISNUMBER(SEARCH("Korea DPR",S5238)),"North Korea",
ISNUMBER(SEARCH("China PR",S5238)),"China",
ISNUMBER(SEARCH("IR Iran",S5238)),"Iran",
ISNUMBER(SEARCH("Congo DR",S5238)),"Democratic Republic of the Congo",
ISNUMBER(SEARCH("DR Congo",S5238)),"Democratic Republic of the Congo",
ISNUMBER(SEARCH("German DR",S5238)),"DR Germany",
ISNUMBER(SEARCH("rn""&gt;United Arab Emirates",S5238)),"United Arab Emirates",
ISNUMBER(SEARCH("rn""&gt;Republic of Ireland",S5238)),"Ireland",
ISNUMBER(SEARCH("rn""&gt;Bosnia and Herzegovina",S5238)),"Bosnia and Herzegovina",
ISNUMBER(SEARCH("rn""&gt;Trinidad and Tobago",S5238)),"Trinidad and Tobago",
ISNUMBER(SEARCH("rn""&gt;Serbia and Montenegro",S5238)),"Serbia and Montenegro",
ISNUMBER(SEARCH(_xlfn.UNICHAR(65533),S5238)),"Côte d'Ivoire",
TRUE,"-"
)</f>
        <v>-</v>
      </c>
      <c r="W5238" s="42" t="str">
        <f t="shared" si="318"/>
        <v>-</v>
      </c>
    </row>
    <row r="5239" spans="19:23">
      <c r="S5239" s="42" t="str">
        <v/>
      </c>
      <c r="T5239" s="42" t="str">
        <f t="shared" si="316"/>
        <v>-</v>
      </c>
      <c r="U5239" s="40" t="str">
        <f t="shared" si="317"/>
        <v>-</v>
      </c>
      <c r="V5239" s="42" t="str" cm="1">
        <f t="array" ref="V5239">_xlfn.IFS(
LEFT(S5239,16)="win on penalties",IF(VALUE(MID(S5239,19,1))&gt;VALUE(MID(S5239,23,1)),DATA_CLEANED!AK753,DATA_CLEANED!AN753),
ISNUMBER(SEARCH("USA",S5239)),"United States",
ISNUMBER(SEARCH("Republic of Ireland",S5239)),"Ireland",
ISNUMBER(SEARCH("Republic of Korea",S5239)),"South Korea",
ISNUMBER(SEARCH("Cape Verde",S5239)),"Cabo Verde",
ISNUMBER(SEARCH("Czechia",S5239)),"Czech Republic",
ISNUMBER(SEARCH("Türkiye",S5239)),"Turkey",
ISNUMBER(SEARCH("Ivory Coast",S5239)),"Côte d'Ivoire",
ISNUMBER(SEARCH("Korea Republic",S5239)),"South Korea",
ISNUMBER(SEARCH("Germany FR",S5239)),"FR Germany",
ISNUMBER(SEARCH("West Germany",S5239)),"FR Germany",
ISNUMBER(SEARCH("Germany DR",S5239)),"DR Germany",
ISNUMBER(SEARCH("Korea DPR",S5239)),"North Korea",
ISNUMBER(SEARCH("China PR",S5239)),"China",
ISNUMBER(SEARCH("IR Iran",S5239)),"Iran",
ISNUMBER(SEARCH("Congo DR",S5239)),"Democratic Republic of the Congo",
ISNUMBER(SEARCH("DR Congo",S5239)),"Democratic Republic of the Congo",
ISNUMBER(SEARCH("German DR",S5239)),"DR Germany",
ISNUMBER(SEARCH("rn""&gt;United Arab Emirates",S5239)),"United Arab Emirates",
ISNUMBER(SEARCH("rn""&gt;Republic of Ireland",S5239)),"Ireland",
ISNUMBER(SEARCH("rn""&gt;Bosnia and Herzegovina",S5239)),"Bosnia and Herzegovina",
ISNUMBER(SEARCH("rn""&gt;Trinidad and Tobago",S5239)),"Trinidad and Tobago",
ISNUMBER(SEARCH("rn""&gt;Serbia and Montenegro",S5239)),"Serbia and Montenegro",
ISNUMBER(SEARCH(_xlfn.UNICHAR(65533),S5239)),"Côte d'Ivoire",
TRUE,"-"
)</f>
        <v>-</v>
      </c>
      <c r="W5239" s="42" t="str">
        <f t="shared" si="318"/>
        <v>-</v>
      </c>
    </row>
    <row r="5240" spans="19:23">
      <c r="S5240" s="42" t="str">
        <v/>
      </c>
      <c r="T5240" s="42" t="str">
        <f t="shared" si="316"/>
        <v>-</v>
      </c>
      <c r="U5240" s="40" t="str">
        <f t="shared" si="317"/>
        <v>-</v>
      </c>
      <c r="V5240" s="42" t="str" cm="1">
        <f t="array" ref="V5240">_xlfn.IFS(
LEFT(S5240,16)="win on penalties",IF(VALUE(MID(S5240,19,1))&gt;VALUE(MID(S5240,23,1)),DATA_CLEANED!AK754,DATA_CLEANED!AN754),
ISNUMBER(SEARCH("USA",S5240)),"United States",
ISNUMBER(SEARCH("Republic of Ireland",S5240)),"Ireland",
ISNUMBER(SEARCH("Republic of Korea",S5240)),"South Korea",
ISNUMBER(SEARCH("Cape Verde",S5240)),"Cabo Verde",
ISNUMBER(SEARCH("Czechia",S5240)),"Czech Republic",
ISNUMBER(SEARCH("Türkiye",S5240)),"Turkey",
ISNUMBER(SEARCH("Ivory Coast",S5240)),"Côte d'Ivoire",
ISNUMBER(SEARCH("Korea Republic",S5240)),"South Korea",
ISNUMBER(SEARCH("Germany FR",S5240)),"FR Germany",
ISNUMBER(SEARCH("West Germany",S5240)),"FR Germany",
ISNUMBER(SEARCH("Germany DR",S5240)),"DR Germany",
ISNUMBER(SEARCH("Korea DPR",S5240)),"North Korea",
ISNUMBER(SEARCH("China PR",S5240)),"China",
ISNUMBER(SEARCH("IR Iran",S5240)),"Iran",
ISNUMBER(SEARCH("Congo DR",S5240)),"Democratic Republic of the Congo",
ISNUMBER(SEARCH("DR Congo",S5240)),"Democratic Republic of the Congo",
ISNUMBER(SEARCH("German DR",S5240)),"DR Germany",
ISNUMBER(SEARCH("rn""&gt;United Arab Emirates",S5240)),"United Arab Emirates",
ISNUMBER(SEARCH("rn""&gt;Republic of Ireland",S5240)),"Ireland",
ISNUMBER(SEARCH("rn""&gt;Bosnia and Herzegovina",S5240)),"Bosnia and Herzegovina",
ISNUMBER(SEARCH("rn""&gt;Trinidad and Tobago",S5240)),"Trinidad and Tobago",
ISNUMBER(SEARCH("rn""&gt;Serbia and Montenegro",S5240)),"Serbia and Montenegro",
ISNUMBER(SEARCH(_xlfn.UNICHAR(65533),S5240)),"Côte d'Ivoire",
TRUE,"-"
)</f>
        <v>-</v>
      </c>
      <c r="W5240" s="42" t="str">
        <f t="shared" si="318"/>
        <v>-</v>
      </c>
    </row>
    <row r="5241" spans="19:23">
      <c r="S5241" s="42" t="str">
        <v/>
      </c>
      <c r="T5241" s="42" t="str">
        <f t="shared" si="316"/>
        <v>-</v>
      </c>
      <c r="U5241" s="40" t="str">
        <f t="shared" si="317"/>
        <v>-</v>
      </c>
      <c r="V5241" s="42" t="str" cm="1">
        <f t="array" ref="V5241">_xlfn.IFS(
LEFT(S5241,16)="win on penalties",IF(VALUE(MID(S5241,19,1))&gt;VALUE(MID(S5241,23,1)),DATA_CLEANED!AK755,DATA_CLEANED!AN755),
ISNUMBER(SEARCH("USA",S5241)),"United States",
ISNUMBER(SEARCH("Republic of Ireland",S5241)),"Ireland",
ISNUMBER(SEARCH("Republic of Korea",S5241)),"South Korea",
ISNUMBER(SEARCH("Cape Verde",S5241)),"Cabo Verde",
ISNUMBER(SEARCH("Czechia",S5241)),"Czech Republic",
ISNUMBER(SEARCH("Türkiye",S5241)),"Turkey",
ISNUMBER(SEARCH("Ivory Coast",S5241)),"Côte d'Ivoire",
ISNUMBER(SEARCH("Korea Republic",S5241)),"South Korea",
ISNUMBER(SEARCH("Germany FR",S5241)),"FR Germany",
ISNUMBER(SEARCH("West Germany",S5241)),"FR Germany",
ISNUMBER(SEARCH("Germany DR",S5241)),"DR Germany",
ISNUMBER(SEARCH("Korea DPR",S5241)),"North Korea",
ISNUMBER(SEARCH("China PR",S5241)),"China",
ISNUMBER(SEARCH("IR Iran",S5241)),"Iran",
ISNUMBER(SEARCH("Congo DR",S5241)),"Democratic Republic of the Congo",
ISNUMBER(SEARCH("DR Congo",S5241)),"Democratic Republic of the Congo",
ISNUMBER(SEARCH("German DR",S5241)),"DR Germany",
ISNUMBER(SEARCH("rn""&gt;United Arab Emirates",S5241)),"United Arab Emirates",
ISNUMBER(SEARCH("rn""&gt;Republic of Ireland",S5241)),"Ireland",
ISNUMBER(SEARCH("rn""&gt;Bosnia and Herzegovina",S5241)),"Bosnia and Herzegovina",
ISNUMBER(SEARCH("rn""&gt;Trinidad and Tobago",S5241)),"Trinidad and Tobago",
ISNUMBER(SEARCH("rn""&gt;Serbia and Montenegro",S5241)),"Serbia and Montenegro",
ISNUMBER(SEARCH(_xlfn.UNICHAR(65533),S5241)),"Côte d'Ivoire",
TRUE,"-"
)</f>
        <v>-</v>
      </c>
      <c r="W5241" s="42" t="str">
        <f t="shared" si="318"/>
        <v>-</v>
      </c>
    </row>
    <row r="5242" spans="19:23">
      <c r="S5242" s="42" t="str">
        <v/>
      </c>
      <c r="T5242" s="42" t="str">
        <f t="shared" si="316"/>
        <v>-</v>
      </c>
      <c r="U5242" s="40" t="str">
        <f t="shared" si="317"/>
        <v>-</v>
      </c>
      <c r="V5242" s="42" t="str" cm="1">
        <f t="array" ref="V5242">_xlfn.IFS(
LEFT(S5242,16)="win on penalties",IF(VALUE(MID(S5242,19,1))&gt;VALUE(MID(S5242,23,1)),DATA_CLEANED!AK756,DATA_CLEANED!AN756),
ISNUMBER(SEARCH("USA",S5242)),"United States",
ISNUMBER(SEARCH("Republic of Ireland",S5242)),"Ireland",
ISNUMBER(SEARCH("Republic of Korea",S5242)),"South Korea",
ISNUMBER(SEARCH("Cape Verde",S5242)),"Cabo Verde",
ISNUMBER(SEARCH("Czechia",S5242)),"Czech Republic",
ISNUMBER(SEARCH("Türkiye",S5242)),"Turkey",
ISNUMBER(SEARCH("Ivory Coast",S5242)),"Côte d'Ivoire",
ISNUMBER(SEARCH("Korea Republic",S5242)),"South Korea",
ISNUMBER(SEARCH("Germany FR",S5242)),"FR Germany",
ISNUMBER(SEARCH("West Germany",S5242)),"FR Germany",
ISNUMBER(SEARCH("Germany DR",S5242)),"DR Germany",
ISNUMBER(SEARCH("Korea DPR",S5242)),"North Korea",
ISNUMBER(SEARCH("China PR",S5242)),"China",
ISNUMBER(SEARCH("IR Iran",S5242)),"Iran",
ISNUMBER(SEARCH("Congo DR",S5242)),"Democratic Republic of the Congo",
ISNUMBER(SEARCH("DR Congo",S5242)),"Democratic Republic of the Congo",
ISNUMBER(SEARCH("German DR",S5242)),"DR Germany",
ISNUMBER(SEARCH("rn""&gt;United Arab Emirates",S5242)),"United Arab Emirates",
ISNUMBER(SEARCH("rn""&gt;Republic of Ireland",S5242)),"Ireland",
ISNUMBER(SEARCH("rn""&gt;Bosnia and Herzegovina",S5242)),"Bosnia and Herzegovina",
ISNUMBER(SEARCH("rn""&gt;Trinidad and Tobago",S5242)),"Trinidad and Tobago",
ISNUMBER(SEARCH("rn""&gt;Serbia and Montenegro",S5242)),"Serbia and Montenegro",
ISNUMBER(SEARCH(_xlfn.UNICHAR(65533),S5242)),"Côte d'Ivoire",
TRUE,"-"
)</f>
        <v>-</v>
      </c>
      <c r="W5242" s="42" t="str">
        <f t="shared" si="318"/>
        <v>-</v>
      </c>
    </row>
    <row r="5243" spans="19:23">
      <c r="S5243" s="42" t="str">
        <v/>
      </c>
      <c r="T5243" s="42" t="str">
        <f t="shared" si="316"/>
        <v>-</v>
      </c>
      <c r="U5243" s="40" t="str">
        <f t="shared" si="317"/>
        <v>-</v>
      </c>
      <c r="V5243" s="42" t="str" cm="1">
        <f t="array" ref="V5243">_xlfn.IFS(
LEFT(S5243,16)="win on penalties",IF(VALUE(MID(S5243,19,1))&gt;VALUE(MID(S5243,23,1)),DATA_CLEANED!AK757,DATA_CLEANED!AN757),
ISNUMBER(SEARCH("USA",S5243)),"United States",
ISNUMBER(SEARCH("Republic of Ireland",S5243)),"Ireland",
ISNUMBER(SEARCH("Republic of Korea",S5243)),"South Korea",
ISNUMBER(SEARCH("Cape Verde",S5243)),"Cabo Verde",
ISNUMBER(SEARCH("Czechia",S5243)),"Czech Republic",
ISNUMBER(SEARCH("Türkiye",S5243)),"Turkey",
ISNUMBER(SEARCH("Ivory Coast",S5243)),"Côte d'Ivoire",
ISNUMBER(SEARCH("Korea Republic",S5243)),"South Korea",
ISNUMBER(SEARCH("Germany FR",S5243)),"FR Germany",
ISNUMBER(SEARCH("West Germany",S5243)),"FR Germany",
ISNUMBER(SEARCH("Germany DR",S5243)),"DR Germany",
ISNUMBER(SEARCH("Korea DPR",S5243)),"North Korea",
ISNUMBER(SEARCH("China PR",S5243)),"China",
ISNUMBER(SEARCH("IR Iran",S5243)),"Iran",
ISNUMBER(SEARCH("Congo DR",S5243)),"Democratic Republic of the Congo",
ISNUMBER(SEARCH("DR Congo",S5243)),"Democratic Republic of the Congo",
ISNUMBER(SEARCH("German DR",S5243)),"DR Germany",
ISNUMBER(SEARCH("rn""&gt;United Arab Emirates",S5243)),"United Arab Emirates",
ISNUMBER(SEARCH("rn""&gt;Republic of Ireland",S5243)),"Ireland",
ISNUMBER(SEARCH("rn""&gt;Bosnia and Herzegovina",S5243)),"Bosnia and Herzegovina",
ISNUMBER(SEARCH("rn""&gt;Trinidad and Tobago",S5243)),"Trinidad and Tobago",
ISNUMBER(SEARCH("rn""&gt;Serbia and Montenegro",S5243)),"Serbia and Montenegro",
ISNUMBER(SEARCH(_xlfn.UNICHAR(65533),S5243)),"Côte d'Ivoire",
TRUE,"-"
)</f>
        <v>-</v>
      </c>
      <c r="W5243" s="42" t="str">
        <f t="shared" si="318"/>
        <v>-</v>
      </c>
    </row>
    <row r="5244" spans="19:23">
      <c r="S5244" s="42" t="str">
        <v/>
      </c>
      <c r="T5244" s="42" t="str">
        <f t="shared" si="316"/>
        <v>-</v>
      </c>
      <c r="U5244" s="40" t="str">
        <f t="shared" si="317"/>
        <v>-</v>
      </c>
      <c r="V5244" s="42" t="str" cm="1">
        <f t="array" ref="V5244">_xlfn.IFS(
LEFT(S5244,16)="win on penalties",IF(VALUE(MID(S5244,19,1))&gt;VALUE(MID(S5244,23,1)),DATA_CLEANED!AK758,DATA_CLEANED!AN758),
ISNUMBER(SEARCH("USA",S5244)),"United States",
ISNUMBER(SEARCH("Republic of Ireland",S5244)),"Ireland",
ISNUMBER(SEARCH("Republic of Korea",S5244)),"South Korea",
ISNUMBER(SEARCH("Cape Verde",S5244)),"Cabo Verde",
ISNUMBER(SEARCH("Czechia",S5244)),"Czech Republic",
ISNUMBER(SEARCH("Türkiye",S5244)),"Turkey",
ISNUMBER(SEARCH("Ivory Coast",S5244)),"Côte d'Ivoire",
ISNUMBER(SEARCH("Korea Republic",S5244)),"South Korea",
ISNUMBER(SEARCH("Germany FR",S5244)),"FR Germany",
ISNUMBER(SEARCH("West Germany",S5244)),"FR Germany",
ISNUMBER(SEARCH("Germany DR",S5244)),"DR Germany",
ISNUMBER(SEARCH("Korea DPR",S5244)),"North Korea",
ISNUMBER(SEARCH("China PR",S5244)),"China",
ISNUMBER(SEARCH("IR Iran",S5244)),"Iran",
ISNUMBER(SEARCH("Congo DR",S5244)),"Democratic Republic of the Congo",
ISNUMBER(SEARCH("DR Congo",S5244)),"Democratic Republic of the Congo",
ISNUMBER(SEARCH("German DR",S5244)),"DR Germany",
ISNUMBER(SEARCH("rn""&gt;United Arab Emirates",S5244)),"United Arab Emirates",
ISNUMBER(SEARCH("rn""&gt;Republic of Ireland",S5244)),"Ireland",
ISNUMBER(SEARCH("rn""&gt;Bosnia and Herzegovina",S5244)),"Bosnia and Herzegovina",
ISNUMBER(SEARCH("rn""&gt;Trinidad and Tobago",S5244)),"Trinidad and Tobago",
ISNUMBER(SEARCH("rn""&gt;Serbia and Montenegro",S5244)),"Serbia and Montenegro",
ISNUMBER(SEARCH(_xlfn.UNICHAR(65533),S5244)),"Côte d'Ivoire",
TRUE,"-"
)</f>
        <v>-</v>
      </c>
      <c r="W5244" s="42" t="str">
        <f t="shared" si="318"/>
        <v>-</v>
      </c>
    </row>
    <row r="5245" spans="19:23">
      <c r="S5245" s="42" t="str">
        <v/>
      </c>
      <c r="T5245" s="42" t="str">
        <f t="shared" si="316"/>
        <v>-</v>
      </c>
      <c r="U5245" s="40" t="str">
        <f t="shared" si="317"/>
        <v>-</v>
      </c>
      <c r="V5245" s="42" t="str" cm="1">
        <f t="array" ref="V5245">_xlfn.IFS(
LEFT(S5245,16)="win on penalties",IF(VALUE(MID(S5245,19,1))&gt;VALUE(MID(S5245,23,1)),DATA_CLEANED!AK759,DATA_CLEANED!AN759),
ISNUMBER(SEARCH("USA",S5245)),"United States",
ISNUMBER(SEARCH("Republic of Ireland",S5245)),"Ireland",
ISNUMBER(SEARCH("Republic of Korea",S5245)),"South Korea",
ISNUMBER(SEARCH("Cape Verde",S5245)),"Cabo Verde",
ISNUMBER(SEARCH("Czechia",S5245)),"Czech Republic",
ISNUMBER(SEARCH("Türkiye",S5245)),"Turkey",
ISNUMBER(SEARCH("Ivory Coast",S5245)),"Côte d'Ivoire",
ISNUMBER(SEARCH("Korea Republic",S5245)),"South Korea",
ISNUMBER(SEARCH("Germany FR",S5245)),"FR Germany",
ISNUMBER(SEARCH("West Germany",S5245)),"FR Germany",
ISNUMBER(SEARCH("Germany DR",S5245)),"DR Germany",
ISNUMBER(SEARCH("Korea DPR",S5245)),"North Korea",
ISNUMBER(SEARCH("China PR",S5245)),"China",
ISNUMBER(SEARCH("IR Iran",S5245)),"Iran",
ISNUMBER(SEARCH("Congo DR",S5245)),"Democratic Republic of the Congo",
ISNUMBER(SEARCH("DR Congo",S5245)),"Democratic Republic of the Congo",
ISNUMBER(SEARCH("German DR",S5245)),"DR Germany",
ISNUMBER(SEARCH("rn""&gt;United Arab Emirates",S5245)),"United Arab Emirates",
ISNUMBER(SEARCH("rn""&gt;Republic of Ireland",S5245)),"Ireland",
ISNUMBER(SEARCH("rn""&gt;Bosnia and Herzegovina",S5245)),"Bosnia and Herzegovina",
ISNUMBER(SEARCH("rn""&gt;Trinidad and Tobago",S5245)),"Trinidad and Tobago",
ISNUMBER(SEARCH("rn""&gt;Serbia and Montenegro",S5245)),"Serbia and Montenegro",
ISNUMBER(SEARCH(_xlfn.UNICHAR(65533),S5245)),"Côte d'Ivoire",
TRUE,"-"
)</f>
        <v>-</v>
      </c>
      <c r="W5245" s="42" t="str">
        <f t="shared" si="318"/>
        <v>-</v>
      </c>
    </row>
    <row r="5246" spans="19:23">
      <c r="S5246" s="42" t="str">
        <v>Ghana win after extra time</v>
      </c>
      <c r="T5246" s="42" t="str">
        <f t="shared" si="316"/>
        <v>Ghana</v>
      </c>
      <c r="U5246" s="40" t="str">
        <f t="shared" si="317"/>
        <v>AUCUNE</v>
      </c>
      <c r="V5246" s="42" t="str" cm="1">
        <f t="array" ref="V5246">_xlfn.IFS(
LEFT(S5246,16)="win on penalties",IF(VALUE(MID(S5246,19,1))&gt;VALUE(MID(S5246,23,1)),DATA_CLEANED!AK760,DATA_CLEANED!AN760),
ISNUMBER(SEARCH("USA",S5246)),"United States",
ISNUMBER(SEARCH("Republic of Ireland",S5246)),"Ireland",
ISNUMBER(SEARCH("Republic of Korea",S5246)),"South Korea",
ISNUMBER(SEARCH("Cape Verde",S5246)),"Cabo Verde",
ISNUMBER(SEARCH("Czechia",S5246)),"Czech Republic",
ISNUMBER(SEARCH("Türkiye",S5246)),"Turkey",
ISNUMBER(SEARCH("Ivory Coast",S5246)),"Côte d'Ivoire",
ISNUMBER(SEARCH("Korea Republic",S5246)),"South Korea",
ISNUMBER(SEARCH("Germany FR",S5246)),"FR Germany",
ISNUMBER(SEARCH("West Germany",S5246)),"FR Germany",
ISNUMBER(SEARCH("Germany DR",S5246)),"DR Germany",
ISNUMBER(SEARCH("Korea DPR",S5246)),"North Korea",
ISNUMBER(SEARCH("China PR",S5246)),"China",
ISNUMBER(SEARCH("IR Iran",S5246)),"Iran",
ISNUMBER(SEARCH("Congo DR",S5246)),"Democratic Republic of the Congo",
ISNUMBER(SEARCH("DR Congo",S5246)),"Democratic Republic of the Congo",
ISNUMBER(SEARCH("German DR",S5246)),"DR Germany",
ISNUMBER(SEARCH("rn""&gt;United Arab Emirates",S5246)),"United Arab Emirates",
ISNUMBER(SEARCH("rn""&gt;Republic of Ireland",S5246)),"Ireland",
ISNUMBER(SEARCH("rn""&gt;Bosnia and Herzegovina",S5246)),"Bosnia and Herzegovina",
ISNUMBER(SEARCH("rn""&gt;Trinidad and Tobago",S5246)),"Trinidad and Tobago",
ISNUMBER(SEARCH("rn""&gt;Serbia and Montenegro",S5246)),"Serbia and Montenegro",
ISNUMBER(SEARCH(_xlfn.UNICHAR(65533),S5246)),"Côte d'Ivoire",
TRUE,"-"
)</f>
        <v>-</v>
      </c>
      <c r="W5246" s="42" t="str">
        <f t="shared" si="318"/>
        <v>Ghana win after extra time</v>
      </c>
    </row>
    <row r="5247" spans="19:23">
      <c r="S5247" s="42" t="str">
        <v/>
      </c>
      <c r="T5247" s="42" t="str">
        <f t="shared" si="316"/>
        <v>-</v>
      </c>
      <c r="U5247" s="40" t="str">
        <f t="shared" si="317"/>
        <v>-</v>
      </c>
      <c r="V5247" s="42" t="str" cm="1">
        <f t="array" ref="V5247">_xlfn.IFS(
LEFT(S5247,16)="win on penalties",IF(VALUE(MID(S5247,19,1))&gt;VALUE(MID(S5247,23,1)),DATA_CLEANED!AK761,DATA_CLEANED!AN761),
ISNUMBER(SEARCH("USA",S5247)),"United States",
ISNUMBER(SEARCH("Republic of Ireland",S5247)),"Ireland",
ISNUMBER(SEARCH("Republic of Korea",S5247)),"South Korea",
ISNUMBER(SEARCH("Cape Verde",S5247)),"Cabo Verde",
ISNUMBER(SEARCH("Czechia",S5247)),"Czech Republic",
ISNUMBER(SEARCH("Türkiye",S5247)),"Turkey",
ISNUMBER(SEARCH("Ivory Coast",S5247)),"Côte d'Ivoire",
ISNUMBER(SEARCH("Korea Republic",S5247)),"South Korea",
ISNUMBER(SEARCH("Germany FR",S5247)),"FR Germany",
ISNUMBER(SEARCH("West Germany",S5247)),"FR Germany",
ISNUMBER(SEARCH("Germany DR",S5247)),"DR Germany",
ISNUMBER(SEARCH("Korea DPR",S5247)),"North Korea",
ISNUMBER(SEARCH("China PR",S5247)),"China",
ISNUMBER(SEARCH("IR Iran",S5247)),"Iran",
ISNUMBER(SEARCH("Congo DR",S5247)),"Democratic Republic of the Congo",
ISNUMBER(SEARCH("DR Congo",S5247)),"Democratic Republic of the Congo",
ISNUMBER(SEARCH("German DR",S5247)),"DR Germany",
ISNUMBER(SEARCH("rn""&gt;United Arab Emirates",S5247)),"United Arab Emirates",
ISNUMBER(SEARCH("rn""&gt;Republic of Ireland",S5247)),"Ireland",
ISNUMBER(SEARCH("rn""&gt;Bosnia and Herzegovina",S5247)),"Bosnia and Herzegovina",
ISNUMBER(SEARCH("rn""&gt;Trinidad and Tobago",S5247)),"Trinidad and Tobago",
ISNUMBER(SEARCH("rn""&gt;Serbia and Montenegro",S5247)),"Serbia and Montenegro",
ISNUMBER(SEARCH(_xlfn.UNICHAR(65533),S5247)),"Côte d'Ivoire",
TRUE,"-"
)</f>
        <v>-</v>
      </c>
      <c r="W5247" s="42" t="str">
        <f t="shared" si="318"/>
        <v>-</v>
      </c>
    </row>
    <row r="5248" spans="19:23">
      <c r="S5248" s="42" t="str">
        <v/>
      </c>
      <c r="T5248" s="42" t="str">
        <f t="shared" si="316"/>
        <v>-</v>
      </c>
      <c r="U5248" s="40" t="str">
        <f t="shared" si="317"/>
        <v>-</v>
      </c>
      <c r="V5248" s="42" t="str" cm="1">
        <f t="array" ref="V5248">_xlfn.IFS(
LEFT(S5248,16)="win on penalties",IF(VALUE(MID(S5248,19,1))&gt;VALUE(MID(S5248,23,1)),DATA_CLEANED!AK762,DATA_CLEANED!AN762),
ISNUMBER(SEARCH("USA",S5248)),"United States",
ISNUMBER(SEARCH("Republic of Ireland",S5248)),"Ireland",
ISNUMBER(SEARCH("Republic of Korea",S5248)),"South Korea",
ISNUMBER(SEARCH("Cape Verde",S5248)),"Cabo Verde",
ISNUMBER(SEARCH("Czechia",S5248)),"Czech Republic",
ISNUMBER(SEARCH("Türkiye",S5248)),"Turkey",
ISNUMBER(SEARCH("Ivory Coast",S5248)),"Côte d'Ivoire",
ISNUMBER(SEARCH("Korea Republic",S5248)),"South Korea",
ISNUMBER(SEARCH("Germany FR",S5248)),"FR Germany",
ISNUMBER(SEARCH("West Germany",S5248)),"FR Germany",
ISNUMBER(SEARCH("Germany DR",S5248)),"DR Germany",
ISNUMBER(SEARCH("Korea DPR",S5248)),"North Korea",
ISNUMBER(SEARCH("China PR",S5248)),"China",
ISNUMBER(SEARCH("IR Iran",S5248)),"Iran",
ISNUMBER(SEARCH("Congo DR",S5248)),"Democratic Republic of the Congo",
ISNUMBER(SEARCH("DR Congo",S5248)),"Democratic Republic of the Congo",
ISNUMBER(SEARCH("German DR",S5248)),"DR Germany",
ISNUMBER(SEARCH("rn""&gt;United Arab Emirates",S5248)),"United Arab Emirates",
ISNUMBER(SEARCH("rn""&gt;Republic of Ireland",S5248)),"Ireland",
ISNUMBER(SEARCH("rn""&gt;Bosnia and Herzegovina",S5248)),"Bosnia and Herzegovina",
ISNUMBER(SEARCH("rn""&gt;Trinidad and Tobago",S5248)),"Trinidad and Tobago",
ISNUMBER(SEARCH("rn""&gt;Serbia and Montenegro",S5248)),"Serbia and Montenegro",
ISNUMBER(SEARCH(_xlfn.UNICHAR(65533),S5248)),"Côte d'Ivoire",
TRUE,"-"
)</f>
        <v>-</v>
      </c>
      <c r="W5248" s="42" t="str">
        <f t="shared" si="318"/>
        <v>-</v>
      </c>
    </row>
    <row r="5249" spans="19:23">
      <c r="S5249" s="42" t="str">
        <v/>
      </c>
      <c r="T5249" s="42" t="str">
        <f t="shared" si="316"/>
        <v>-</v>
      </c>
      <c r="U5249" s="40" t="str">
        <f t="shared" si="317"/>
        <v>-</v>
      </c>
      <c r="V5249" s="42" t="str" cm="1">
        <f t="array" ref="V5249">_xlfn.IFS(
LEFT(S5249,16)="win on penalties",IF(VALUE(MID(S5249,19,1))&gt;VALUE(MID(S5249,23,1)),DATA_CLEANED!AK763,DATA_CLEANED!AN763),
ISNUMBER(SEARCH("USA",S5249)),"United States",
ISNUMBER(SEARCH("Republic of Ireland",S5249)),"Ireland",
ISNUMBER(SEARCH("Republic of Korea",S5249)),"South Korea",
ISNUMBER(SEARCH("Cape Verde",S5249)),"Cabo Verde",
ISNUMBER(SEARCH("Czechia",S5249)),"Czech Republic",
ISNUMBER(SEARCH("Türkiye",S5249)),"Turkey",
ISNUMBER(SEARCH("Ivory Coast",S5249)),"Côte d'Ivoire",
ISNUMBER(SEARCH("Korea Republic",S5249)),"South Korea",
ISNUMBER(SEARCH("Germany FR",S5249)),"FR Germany",
ISNUMBER(SEARCH("West Germany",S5249)),"FR Germany",
ISNUMBER(SEARCH("Germany DR",S5249)),"DR Germany",
ISNUMBER(SEARCH("Korea DPR",S5249)),"North Korea",
ISNUMBER(SEARCH("China PR",S5249)),"China",
ISNUMBER(SEARCH("IR Iran",S5249)),"Iran",
ISNUMBER(SEARCH("Congo DR",S5249)),"Democratic Republic of the Congo",
ISNUMBER(SEARCH("DR Congo",S5249)),"Democratic Republic of the Congo",
ISNUMBER(SEARCH("German DR",S5249)),"DR Germany",
ISNUMBER(SEARCH("rn""&gt;United Arab Emirates",S5249)),"United Arab Emirates",
ISNUMBER(SEARCH("rn""&gt;Republic of Ireland",S5249)),"Ireland",
ISNUMBER(SEARCH("rn""&gt;Bosnia and Herzegovina",S5249)),"Bosnia and Herzegovina",
ISNUMBER(SEARCH("rn""&gt;Trinidad and Tobago",S5249)),"Trinidad and Tobago",
ISNUMBER(SEARCH("rn""&gt;Serbia and Montenegro",S5249)),"Serbia and Montenegro",
ISNUMBER(SEARCH(_xlfn.UNICHAR(65533),S5249)),"Côte d'Ivoire",
TRUE,"-"
)</f>
        <v>-</v>
      </c>
      <c r="W5249" s="42" t="str">
        <f t="shared" si="318"/>
        <v>-</v>
      </c>
    </row>
    <row r="5250" spans="19:23">
      <c r="S5250" s="42" t="str">
        <v/>
      </c>
      <c r="T5250" s="42" t="str">
        <f t="shared" si="316"/>
        <v>-</v>
      </c>
      <c r="U5250" s="40" t="str">
        <f t="shared" si="317"/>
        <v>-</v>
      </c>
      <c r="V5250" s="42" t="str" cm="1">
        <f t="array" ref="V5250">_xlfn.IFS(
LEFT(S5250,16)="win on penalties",IF(VALUE(MID(S5250,19,1))&gt;VALUE(MID(S5250,23,1)),DATA_CLEANED!AK764,DATA_CLEANED!AN764),
ISNUMBER(SEARCH("USA",S5250)),"United States",
ISNUMBER(SEARCH("Republic of Ireland",S5250)),"Ireland",
ISNUMBER(SEARCH("Republic of Korea",S5250)),"South Korea",
ISNUMBER(SEARCH("Cape Verde",S5250)),"Cabo Verde",
ISNUMBER(SEARCH("Czechia",S5250)),"Czech Republic",
ISNUMBER(SEARCH("Türkiye",S5250)),"Turkey",
ISNUMBER(SEARCH("Ivory Coast",S5250)),"Côte d'Ivoire",
ISNUMBER(SEARCH("Korea Republic",S5250)),"South Korea",
ISNUMBER(SEARCH("Germany FR",S5250)),"FR Germany",
ISNUMBER(SEARCH("West Germany",S5250)),"FR Germany",
ISNUMBER(SEARCH("Germany DR",S5250)),"DR Germany",
ISNUMBER(SEARCH("Korea DPR",S5250)),"North Korea",
ISNUMBER(SEARCH("China PR",S5250)),"China",
ISNUMBER(SEARCH("IR Iran",S5250)),"Iran",
ISNUMBER(SEARCH("Congo DR",S5250)),"Democratic Republic of the Congo",
ISNUMBER(SEARCH("DR Congo",S5250)),"Democratic Republic of the Congo",
ISNUMBER(SEARCH("German DR",S5250)),"DR Germany",
ISNUMBER(SEARCH("rn""&gt;United Arab Emirates",S5250)),"United Arab Emirates",
ISNUMBER(SEARCH("rn""&gt;Republic of Ireland",S5250)),"Ireland",
ISNUMBER(SEARCH("rn""&gt;Bosnia and Herzegovina",S5250)),"Bosnia and Herzegovina",
ISNUMBER(SEARCH("rn""&gt;Trinidad and Tobago",S5250)),"Trinidad and Tobago",
ISNUMBER(SEARCH("rn""&gt;Serbia and Montenegro",S5250)),"Serbia and Montenegro",
ISNUMBER(SEARCH(_xlfn.UNICHAR(65533),S5250)),"Côte d'Ivoire",
TRUE,"-"
)</f>
        <v>-</v>
      </c>
      <c r="W5250" s="42" t="str">
        <f t="shared" si="318"/>
        <v>-</v>
      </c>
    </row>
    <row r="5251" spans="19:23">
      <c r="S5251" s="42" t="str">
        <v>Paraguay win on penalties (5 - 3)</v>
      </c>
      <c r="T5251" s="42" t="str">
        <f t="shared" si="316"/>
        <v>Paraguay</v>
      </c>
      <c r="U5251" s="40" t="str">
        <f t="shared" si="317"/>
        <v>AUCUNE</v>
      </c>
      <c r="V5251" s="42" t="str" cm="1">
        <f t="array" ref="V5251">_xlfn.IFS(
LEFT(S5251,16)="win on penalties",IF(VALUE(MID(S5251,19,1))&gt;VALUE(MID(S5251,23,1)),DATA_CLEANED!AK765,DATA_CLEANED!AN765),
ISNUMBER(SEARCH("USA",S5251)),"United States",
ISNUMBER(SEARCH("Republic of Ireland",S5251)),"Ireland",
ISNUMBER(SEARCH("Republic of Korea",S5251)),"South Korea",
ISNUMBER(SEARCH("Cape Verde",S5251)),"Cabo Verde",
ISNUMBER(SEARCH("Czechia",S5251)),"Czech Republic",
ISNUMBER(SEARCH("Türkiye",S5251)),"Turkey",
ISNUMBER(SEARCH("Ivory Coast",S5251)),"Côte d'Ivoire",
ISNUMBER(SEARCH("Korea Republic",S5251)),"South Korea",
ISNUMBER(SEARCH("Germany FR",S5251)),"FR Germany",
ISNUMBER(SEARCH("West Germany",S5251)),"FR Germany",
ISNUMBER(SEARCH("Germany DR",S5251)),"DR Germany",
ISNUMBER(SEARCH("Korea DPR",S5251)),"North Korea",
ISNUMBER(SEARCH("China PR",S5251)),"China",
ISNUMBER(SEARCH("IR Iran",S5251)),"Iran",
ISNUMBER(SEARCH("Congo DR",S5251)),"Democratic Republic of the Congo",
ISNUMBER(SEARCH("DR Congo",S5251)),"Democratic Republic of the Congo",
ISNUMBER(SEARCH("German DR",S5251)),"DR Germany",
ISNUMBER(SEARCH("rn""&gt;United Arab Emirates",S5251)),"United Arab Emirates",
ISNUMBER(SEARCH("rn""&gt;Republic of Ireland",S5251)),"Ireland",
ISNUMBER(SEARCH("rn""&gt;Bosnia and Herzegovina",S5251)),"Bosnia and Herzegovina",
ISNUMBER(SEARCH("rn""&gt;Trinidad and Tobago",S5251)),"Trinidad and Tobago",
ISNUMBER(SEARCH("rn""&gt;Serbia and Montenegro",S5251)),"Serbia and Montenegro",
ISNUMBER(SEARCH(_xlfn.UNICHAR(65533),S5251)),"Côte d'Ivoire",
TRUE,"-"
)</f>
        <v>-</v>
      </c>
      <c r="W5251" s="42" t="str">
        <f t="shared" si="318"/>
        <v>Paraguay win on penalties (5 - 3)</v>
      </c>
    </row>
    <row r="5252" spans="19:23">
      <c r="S5252" s="42" t="str">
        <v/>
      </c>
      <c r="T5252" s="42" t="str">
        <f t="shared" si="316"/>
        <v>-</v>
      </c>
      <c r="U5252" s="40" t="str">
        <f t="shared" si="317"/>
        <v>-</v>
      </c>
      <c r="V5252" s="42" t="str" cm="1">
        <f t="array" ref="V5252">_xlfn.IFS(
LEFT(S5252,16)="win on penalties",IF(VALUE(MID(S5252,19,1))&gt;VALUE(MID(S5252,23,1)),DATA_CLEANED!AK766,DATA_CLEANED!AN766),
ISNUMBER(SEARCH("USA",S5252)),"United States",
ISNUMBER(SEARCH("Republic of Ireland",S5252)),"Ireland",
ISNUMBER(SEARCH("Republic of Korea",S5252)),"South Korea",
ISNUMBER(SEARCH("Cape Verde",S5252)),"Cabo Verde",
ISNUMBER(SEARCH("Czechia",S5252)),"Czech Republic",
ISNUMBER(SEARCH("Türkiye",S5252)),"Turkey",
ISNUMBER(SEARCH("Ivory Coast",S5252)),"Côte d'Ivoire",
ISNUMBER(SEARCH("Korea Republic",S5252)),"South Korea",
ISNUMBER(SEARCH("Germany FR",S5252)),"FR Germany",
ISNUMBER(SEARCH("West Germany",S5252)),"FR Germany",
ISNUMBER(SEARCH("Germany DR",S5252)),"DR Germany",
ISNUMBER(SEARCH("Korea DPR",S5252)),"North Korea",
ISNUMBER(SEARCH("China PR",S5252)),"China",
ISNUMBER(SEARCH("IR Iran",S5252)),"Iran",
ISNUMBER(SEARCH("Congo DR",S5252)),"Democratic Republic of the Congo",
ISNUMBER(SEARCH("DR Congo",S5252)),"Democratic Republic of the Congo",
ISNUMBER(SEARCH("German DR",S5252)),"DR Germany",
ISNUMBER(SEARCH("rn""&gt;United Arab Emirates",S5252)),"United Arab Emirates",
ISNUMBER(SEARCH("rn""&gt;Republic of Ireland",S5252)),"Ireland",
ISNUMBER(SEARCH("rn""&gt;Bosnia and Herzegovina",S5252)),"Bosnia and Herzegovina",
ISNUMBER(SEARCH("rn""&gt;Trinidad and Tobago",S5252)),"Trinidad and Tobago",
ISNUMBER(SEARCH("rn""&gt;Serbia and Montenegro",S5252)),"Serbia and Montenegro",
ISNUMBER(SEARCH(_xlfn.UNICHAR(65533),S5252)),"Côte d'Ivoire",
TRUE,"-"
)</f>
        <v>-</v>
      </c>
      <c r="W5252" s="42" t="str">
        <f t="shared" si="318"/>
        <v>-</v>
      </c>
    </row>
    <row r="5253" spans="19:23">
      <c r="S5253" s="42" t="str">
        <v/>
      </c>
      <c r="T5253" s="42" t="str">
        <f t="shared" si="316"/>
        <v>-</v>
      </c>
      <c r="U5253" s="40" t="str">
        <f t="shared" si="317"/>
        <v>-</v>
      </c>
      <c r="V5253" s="42" t="str" cm="1">
        <f t="array" ref="V5253">_xlfn.IFS(
LEFT(S5253,16)="win on penalties",IF(VALUE(MID(S5253,19,1))&gt;VALUE(MID(S5253,23,1)),DATA_CLEANED!AK767,DATA_CLEANED!AN767),
ISNUMBER(SEARCH("USA",S5253)),"United States",
ISNUMBER(SEARCH("Republic of Ireland",S5253)),"Ireland",
ISNUMBER(SEARCH("Republic of Korea",S5253)),"South Korea",
ISNUMBER(SEARCH("Cape Verde",S5253)),"Cabo Verde",
ISNUMBER(SEARCH("Czechia",S5253)),"Czech Republic",
ISNUMBER(SEARCH("Türkiye",S5253)),"Turkey",
ISNUMBER(SEARCH("Ivory Coast",S5253)),"Côte d'Ivoire",
ISNUMBER(SEARCH("Korea Republic",S5253)),"South Korea",
ISNUMBER(SEARCH("Germany FR",S5253)),"FR Germany",
ISNUMBER(SEARCH("West Germany",S5253)),"FR Germany",
ISNUMBER(SEARCH("Germany DR",S5253)),"DR Germany",
ISNUMBER(SEARCH("Korea DPR",S5253)),"North Korea",
ISNUMBER(SEARCH("China PR",S5253)),"China",
ISNUMBER(SEARCH("IR Iran",S5253)),"Iran",
ISNUMBER(SEARCH("Congo DR",S5253)),"Democratic Republic of the Congo",
ISNUMBER(SEARCH("DR Congo",S5253)),"Democratic Republic of the Congo",
ISNUMBER(SEARCH("German DR",S5253)),"DR Germany",
ISNUMBER(SEARCH("rn""&gt;United Arab Emirates",S5253)),"United Arab Emirates",
ISNUMBER(SEARCH("rn""&gt;Republic of Ireland",S5253)),"Ireland",
ISNUMBER(SEARCH("rn""&gt;Bosnia and Herzegovina",S5253)),"Bosnia and Herzegovina",
ISNUMBER(SEARCH("rn""&gt;Trinidad and Tobago",S5253)),"Trinidad and Tobago",
ISNUMBER(SEARCH("rn""&gt;Serbia and Montenegro",S5253)),"Serbia and Montenegro",
ISNUMBER(SEARCH(_xlfn.UNICHAR(65533),S5253)),"Côte d'Ivoire",
TRUE,"-"
)</f>
        <v>-</v>
      </c>
      <c r="W5253" s="42" t="str">
        <f t="shared" si="318"/>
        <v>-</v>
      </c>
    </row>
    <row r="5254" spans="19:23">
      <c r="S5254" s="42" t="str">
        <v>Uruguay win on penalties (4 - 2)</v>
      </c>
      <c r="T5254" s="42" t="str">
        <f t="shared" si="316"/>
        <v>Uruguay</v>
      </c>
      <c r="U5254" s="40" t="str">
        <f t="shared" si="317"/>
        <v>AUCUNE</v>
      </c>
      <c r="V5254" s="42" t="str" cm="1">
        <f t="array" ref="V5254">_xlfn.IFS(
LEFT(S5254,16)="win on penalties",IF(VALUE(MID(S5254,19,1))&gt;VALUE(MID(S5254,23,1)),DATA_CLEANED!AK768,DATA_CLEANED!AN768),
ISNUMBER(SEARCH("USA",S5254)),"United States",
ISNUMBER(SEARCH("Republic of Ireland",S5254)),"Ireland",
ISNUMBER(SEARCH("Republic of Korea",S5254)),"South Korea",
ISNUMBER(SEARCH("Cape Verde",S5254)),"Cabo Verde",
ISNUMBER(SEARCH("Czechia",S5254)),"Czech Republic",
ISNUMBER(SEARCH("Türkiye",S5254)),"Turkey",
ISNUMBER(SEARCH("Ivory Coast",S5254)),"Côte d'Ivoire",
ISNUMBER(SEARCH("Korea Republic",S5254)),"South Korea",
ISNUMBER(SEARCH("Germany FR",S5254)),"FR Germany",
ISNUMBER(SEARCH("West Germany",S5254)),"FR Germany",
ISNUMBER(SEARCH("Germany DR",S5254)),"DR Germany",
ISNUMBER(SEARCH("Korea DPR",S5254)),"North Korea",
ISNUMBER(SEARCH("China PR",S5254)),"China",
ISNUMBER(SEARCH("IR Iran",S5254)),"Iran",
ISNUMBER(SEARCH("Congo DR",S5254)),"Democratic Republic of the Congo",
ISNUMBER(SEARCH("DR Congo",S5254)),"Democratic Republic of the Congo",
ISNUMBER(SEARCH("German DR",S5254)),"DR Germany",
ISNUMBER(SEARCH("rn""&gt;United Arab Emirates",S5254)),"United Arab Emirates",
ISNUMBER(SEARCH("rn""&gt;Republic of Ireland",S5254)),"Ireland",
ISNUMBER(SEARCH("rn""&gt;Bosnia and Herzegovina",S5254)),"Bosnia and Herzegovina",
ISNUMBER(SEARCH("rn""&gt;Trinidad and Tobago",S5254)),"Trinidad and Tobago",
ISNUMBER(SEARCH("rn""&gt;Serbia and Montenegro",S5254)),"Serbia and Montenegro",
ISNUMBER(SEARCH(_xlfn.UNICHAR(65533),S5254)),"Côte d'Ivoire",
TRUE,"-"
)</f>
        <v>-</v>
      </c>
      <c r="W5254" s="42" t="str">
        <f t="shared" si="318"/>
        <v>Uruguay win on penalties (4 - 2)</v>
      </c>
    </row>
    <row r="5255" spans="19:23">
      <c r="S5255" s="42" t="str">
        <v/>
      </c>
      <c r="T5255" s="42" t="str">
        <f t="shared" si="316"/>
        <v>-</v>
      </c>
      <c r="U5255" s="40" t="str">
        <f t="shared" si="317"/>
        <v>-</v>
      </c>
      <c r="V5255" s="42" t="str" cm="1">
        <f t="array" ref="V5255">_xlfn.IFS(
LEFT(S5255,16)="win on penalties",IF(VALUE(MID(S5255,19,1))&gt;VALUE(MID(S5255,23,1)),DATA_CLEANED!AK769,DATA_CLEANED!AN769),
ISNUMBER(SEARCH("USA",S5255)),"United States",
ISNUMBER(SEARCH("Republic of Ireland",S5255)),"Ireland",
ISNUMBER(SEARCH("Republic of Korea",S5255)),"South Korea",
ISNUMBER(SEARCH("Cape Verde",S5255)),"Cabo Verde",
ISNUMBER(SEARCH("Czechia",S5255)),"Czech Republic",
ISNUMBER(SEARCH("Türkiye",S5255)),"Turkey",
ISNUMBER(SEARCH("Ivory Coast",S5255)),"Côte d'Ivoire",
ISNUMBER(SEARCH("Korea Republic",S5255)),"South Korea",
ISNUMBER(SEARCH("Germany FR",S5255)),"FR Germany",
ISNUMBER(SEARCH("West Germany",S5255)),"FR Germany",
ISNUMBER(SEARCH("Germany DR",S5255)),"DR Germany",
ISNUMBER(SEARCH("Korea DPR",S5255)),"North Korea",
ISNUMBER(SEARCH("China PR",S5255)),"China",
ISNUMBER(SEARCH("IR Iran",S5255)),"Iran",
ISNUMBER(SEARCH("Congo DR",S5255)),"Democratic Republic of the Congo",
ISNUMBER(SEARCH("DR Congo",S5255)),"Democratic Republic of the Congo",
ISNUMBER(SEARCH("German DR",S5255)),"DR Germany",
ISNUMBER(SEARCH("rn""&gt;United Arab Emirates",S5255)),"United Arab Emirates",
ISNUMBER(SEARCH("rn""&gt;Republic of Ireland",S5255)),"Ireland",
ISNUMBER(SEARCH("rn""&gt;Bosnia and Herzegovina",S5255)),"Bosnia and Herzegovina",
ISNUMBER(SEARCH("rn""&gt;Trinidad and Tobago",S5255)),"Trinidad and Tobago",
ISNUMBER(SEARCH("rn""&gt;Serbia and Montenegro",S5255)),"Serbia and Montenegro",
ISNUMBER(SEARCH(_xlfn.UNICHAR(65533),S5255)),"Côte d'Ivoire",
TRUE,"-"
)</f>
        <v>-</v>
      </c>
      <c r="W5255" s="42" t="str">
        <f t="shared" si="318"/>
        <v>-</v>
      </c>
    </row>
    <row r="5256" spans="19:23">
      <c r="S5256" s="42" t="str">
        <v/>
      </c>
      <c r="T5256" s="42" t="str">
        <f t="shared" si="316"/>
        <v>-</v>
      </c>
      <c r="U5256" s="40" t="str">
        <f t="shared" si="317"/>
        <v>-</v>
      </c>
      <c r="V5256" s="42" t="str" cm="1">
        <f t="array" ref="V5256">_xlfn.IFS(
LEFT(S5256,16)="win on penalties",IF(VALUE(MID(S5256,19,1))&gt;VALUE(MID(S5256,23,1)),DATA_CLEANED!AK770,DATA_CLEANED!AN770),
ISNUMBER(SEARCH("USA",S5256)),"United States",
ISNUMBER(SEARCH("Republic of Ireland",S5256)),"Ireland",
ISNUMBER(SEARCH("Republic of Korea",S5256)),"South Korea",
ISNUMBER(SEARCH("Cape Verde",S5256)),"Cabo Verde",
ISNUMBER(SEARCH("Czechia",S5256)),"Czech Republic",
ISNUMBER(SEARCH("Türkiye",S5256)),"Turkey",
ISNUMBER(SEARCH("Ivory Coast",S5256)),"Côte d'Ivoire",
ISNUMBER(SEARCH("Korea Republic",S5256)),"South Korea",
ISNUMBER(SEARCH("Germany FR",S5256)),"FR Germany",
ISNUMBER(SEARCH("West Germany",S5256)),"FR Germany",
ISNUMBER(SEARCH("Germany DR",S5256)),"DR Germany",
ISNUMBER(SEARCH("Korea DPR",S5256)),"North Korea",
ISNUMBER(SEARCH("China PR",S5256)),"China",
ISNUMBER(SEARCH("IR Iran",S5256)),"Iran",
ISNUMBER(SEARCH("Congo DR",S5256)),"Democratic Republic of the Congo",
ISNUMBER(SEARCH("DR Congo",S5256)),"Democratic Republic of the Congo",
ISNUMBER(SEARCH("German DR",S5256)),"DR Germany",
ISNUMBER(SEARCH("rn""&gt;United Arab Emirates",S5256)),"United Arab Emirates",
ISNUMBER(SEARCH("rn""&gt;Republic of Ireland",S5256)),"Ireland",
ISNUMBER(SEARCH("rn""&gt;Bosnia and Herzegovina",S5256)),"Bosnia and Herzegovina",
ISNUMBER(SEARCH("rn""&gt;Trinidad and Tobago",S5256)),"Trinidad and Tobago",
ISNUMBER(SEARCH("rn""&gt;Serbia and Montenegro",S5256)),"Serbia and Montenegro",
ISNUMBER(SEARCH(_xlfn.UNICHAR(65533),S5256)),"Côte d'Ivoire",
TRUE,"-"
)</f>
        <v>-</v>
      </c>
      <c r="W5256" s="42" t="str">
        <f t="shared" si="318"/>
        <v>-</v>
      </c>
    </row>
    <row r="5257" spans="19:23">
      <c r="S5257" s="42" t="str">
        <v/>
      </c>
      <c r="T5257" s="42" t="str">
        <f t="shared" si="316"/>
        <v>-</v>
      </c>
      <c r="U5257" s="40" t="str">
        <f t="shared" si="317"/>
        <v>-</v>
      </c>
      <c r="V5257" s="42" t="str" cm="1">
        <f t="array" ref="V5257">_xlfn.IFS(
LEFT(S5257,16)="win on penalties",IF(VALUE(MID(S5257,19,1))&gt;VALUE(MID(S5257,23,1)),DATA_CLEANED!AK771,DATA_CLEANED!AN771),
ISNUMBER(SEARCH("USA",S5257)),"United States",
ISNUMBER(SEARCH("Republic of Ireland",S5257)),"Ireland",
ISNUMBER(SEARCH("Republic of Korea",S5257)),"South Korea",
ISNUMBER(SEARCH("Cape Verde",S5257)),"Cabo Verde",
ISNUMBER(SEARCH("Czechia",S5257)),"Czech Republic",
ISNUMBER(SEARCH("Türkiye",S5257)),"Turkey",
ISNUMBER(SEARCH("Ivory Coast",S5257)),"Côte d'Ivoire",
ISNUMBER(SEARCH("Korea Republic",S5257)),"South Korea",
ISNUMBER(SEARCH("Germany FR",S5257)),"FR Germany",
ISNUMBER(SEARCH("West Germany",S5257)),"FR Germany",
ISNUMBER(SEARCH("Germany DR",S5257)),"DR Germany",
ISNUMBER(SEARCH("Korea DPR",S5257)),"North Korea",
ISNUMBER(SEARCH("China PR",S5257)),"China",
ISNUMBER(SEARCH("IR Iran",S5257)),"Iran",
ISNUMBER(SEARCH("Congo DR",S5257)),"Democratic Republic of the Congo",
ISNUMBER(SEARCH("DR Congo",S5257)),"Democratic Republic of the Congo",
ISNUMBER(SEARCH("German DR",S5257)),"DR Germany",
ISNUMBER(SEARCH("rn""&gt;United Arab Emirates",S5257)),"United Arab Emirates",
ISNUMBER(SEARCH("rn""&gt;Republic of Ireland",S5257)),"Ireland",
ISNUMBER(SEARCH("rn""&gt;Bosnia and Herzegovina",S5257)),"Bosnia and Herzegovina",
ISNUMBER(SEARCH("rn""&gt;Trinidad and Tobago",S5257)),"Trinidad and Tobago",
ISNUMBER(SEARCH("rn""&gt;Serbia and Montenegro",S5257)),"Serbia and Montenegro",
ISNUMBER(SEARCH(_xlfn.UNICHAR(65533),S5257)),"Côte d'Ivoire",
TRUE,"-"
)</f>
        <v>-</v>
      </c>
      <c r="W5257" s="42" t="str">
        <f t="shared" si="318"/>
        <v>-</v>
      </c>
    </row>
    <row r="5258" spans="19:23">
      <c r="S5258" s="42" t="str">
        <v/>
      </c>
      <c r="T5258" s="42" t="str">
        <f t="shared" ref="T5258:T5321" si="319">IF(S5258="","-",IFERROR(LEFT(S5258,SEARCH(" win",S5258)-1),"-"))</f>
        <v>-</v>
      </c>
      <c r="U5258" s="40" t="str">
        <f t="shared" ref="U5258:U5321" si="320">IF(T5258="-","-",IF(COUNTIF(_xlfn.ANCHORARRAY(X$13),T5258)=1,"AUCUNE","RENOMMER"))</f>
        <v>-</v>
      </c>
      <c r="V5258" s="42" t="str" cm="1">
        <f t="array" ref="V5258">_xlfn.IFS(
LEFT(S5258,16)="win on penalties",IF(VALUE(MID(S5258,19,1))&gt;VALUE(MID(S5258,23,1)),DATA_CLEANED!AK772,DATA_CLEANED!AN772),
ISNUMBER(SEARCH("USA",S5258)),"United States",
ISNUMBER(SEARCH("Republic of Ireland",S5258)),"Ireland",
ISNUMBER(SEARCH("Republic of Korea",S5258)),"South Korea",
ISNUMBER(SEARCH("Cape Verde",S5258)),"Cabo Verde",
ISNUMBER(SEARCH("Czechia",S5258)),"Czech Republic",
ISNUMBER(SEARCH("Türkiye",S5258)),"Turkey",
ISNUMBER(SEARCH("Ivory Coast",S5258)),"Côte d'Ivoire",
ISNUMBER(SEARCH("Korea Republic",S5258)),"South Korea",
ISNUMBER(SEARCH("Germany FR",S5258)),"FR Germany",
ISNUMBER(SEARCH("West Germany",S5258)),"FR Germany",
ISNUMBER(SEARCH("Germany DR",S5258)),"DR Germany",
ISNUMBER(SEARCH("Korea DPR",S5258)),"North Korea",
ISNUMBER(SEARCH("China PR",S5258)),"China",
ISNUMBER(SEARCH("IR Iran",S5258)),"Iran",
ISNUMBER(SEARCH("Congo DR",S5258)),"Democratic Republic of the Congo",
ISNUMBER(SEARCH("DR Congo",S5258)),"Democratic Republic of the Congo",
ISNUMBER(SEARCH("German DR",S5258)),"DR Germany",
ISNUMBER(SEARCH("rn""&gt;United Arab Emirates",S5258)),"United Arab Emirates",
ISNUMBER(SEARCH("rn""&gt;Republic of Ireland",S5258)),"Ireland",
ISNUMBER(SEARCH("rn""&gt;Bosnia and Herzegovina",S5258)),"Bosnia and Herzegovina",
ISNUMBER(SEARCH("rn""&gt;Trinidad and Tobago",S5258)),"Trinidad and Tobago",
ISNUMBER(SEARCH("rn""&gt;Serbia and Montenegro",S5258)),"Serbia and Montenegro",
ISNUMBER(SEARCH(_xlfn.UNICHAR(65533),S5258)),"Côte d'Ivoire",
TRUE,"-"
)</f>
        <v>-</v>
      </c>
      <c r="W5258" s="42" t="str">
        <f t="shared" ref="W5258:W5321" si="321">IF(S5258="","-",IF(AND(U5258="RENOMMER",T5258&lt;&gt;"-",V5258&lt;&gt;"-"),SUBSTITUTE(S5258,T5258,V5258),S5258))</f>
        <v>-</v>
      </c>
    </row>
    <row r="5259" spans="19:23">
      <c r="S5259" s="42" t="str">
        <v/>
      </c>
      <c r="T5259" s="42" t="str">
        <f t="shared" si="319"/>
        <v>-</v>
      </c>
      <c r="U5259" s="40" t="str">
        <f t="shared" si="320"/>
        <v>-</v>
      </c>
      <c r="V5259" s="42" t="str" cm="1">
        <f t="array" ref="V5259">_xlfn.IFS(
LEFT(S5259,16)="win on penalties",IF(VALUE(MID(S5259,19,1))&gt;VALUE(MID(S5259,23,1)),DATA_CLEANED!AK773,DATA_CLEANED!AN773),
ISNUMBER(SEARCH("USA",S5259)),"United States",
ISNUMBER(SEARCH("Republic of Ireland",S5259)),"Ireland",
ISNUMBER(SEARCH("Republic of Korea",S5259)),"South Korea",
ISNUMBER(SEARCH("Cape Verde",S5259)),"Cabo Verde",
ISNUMBER(SEARCH("Czechia",S5259)),"Czech Republic",
ISNUMBER(SEARCH("Türkiye",S5259)),"Turkey",
ISNUMBER(SEARCH("Ivory Coast",S5259)),"Côte d'Ivoire",
ISNUMBER(SEARCH("Korea Republic",S5259)),"South Korea",
ISNUMBER(SEARCH("Germany FR",S5259)),"FR Germany",
ISNUMBER(SEARCH("West Germany",S5259)),"FR Germany",
ISNUMBER(SEARCH("Germany DR",S5259)),"DR Germany",
ISNUMBER(SEARCH("Korea DPR",S5259)),"North Korea",
ISNUMBER(SEARCH("China PR",S5259)),"China",
ISNUMBER(SEARCH("IR Iran",S5259)),"Iran",
ISNUMBER(SEARCH("Congo DR",S5259)),"Democratic Republic of the Congo",
ISNUMBER(SEARCH("DR Congo",S5259)),"Democratic Republic of the Congo",
ISNUMBER(SEARCH("German DR",S5259)),"DR Germany",
ISNUMBER(SEARCH("rn""&gt;United Arab Emirates",S5259)),"United Arab Emirates",
ISNUMBER(SEARCH("rn""&gt;Republic of Ireland",S5259)),"Ireland",
ISNUMBER(SEARCH("rn""&gt;Bosnia and Herzegovina",S5259)),"Bosnia and Herzegovina",
ISNUMBER(SEARCH("rn""&gt;Trinidad and Tobago",S5259)),"Trinidad and Tobago",
ISNUMBER(SEARCH("rn""&gt;Serbia and Montenegro",S5259)),"Serbia and Montenegro",
ISNUMBER(SEARCH(_xlfn.UNICHAR(65533),S5259)),"Côte d'Ivoire",
TRUE,"-"
)</f>
        <v>-</v>
      </c>
      <c r="W5259" s="42" t="str">
        <f t="shared" si="321"/>
        <v>-</v>
      </c>
    </row>
    <row r="5260" spans="19:23">
      <c r="S5260" s="42" t="str">
        <v>Spain win after extra time</v>
      </c>
      <c r="T5260" s="42" t="str">
        <f t="shared" si="319"/>
        <v>Spain</v>
      </c>
      <c r="U5260" s="40" t="str">
        <f t="shared" si="320"/>
        <v>AUCUNE</v>
      </c>
      <c r="V5260" s="42" t="str" cm="1">
        <f t="array" ref="V5260">_xlfn.IFS(
LEFT(S5260,16)="win on penalties",IF(VALUE(MID(S5260,19,1))&gt;VALUE(MID(S5260,23,1)),DATA_CLEANED!AK774,DATA_CLEANED!AN774),
ISNUMBER(SEARCH("USA",S5260)),"United States",
ISNUMBER(SEARCH("Republic of Ireland",S5260)),"Ireland",
ISNUMBER(SEARCH("Republic of Korea",S5260)),"South Korea",
ISNUMBER(SEARCH("Cape Verde",S5260)),"Cabo Verde",
ISNUMBER(SEARCH("Czechia",S5260)),"Czech Republic",
ISNUMBER(SEARCH("Türkiye",S5260)),"Turkey",
ISNUMBER(SEARCH("Ivory Coast",S5260)),"Côte d'Ivoire",
ISNUMBER(SEARCH("Korea Republic",S5260)),"South Korea",
ISNUMBER(SEARCH("Germany FR",S5260)),"FR Germany",
ISNUMBER(SEARCH("West Germany",S5260)),"FR Germany",
ISNUMBER(SEARCH("Germany DR",S5260)),"DR Germany",
ISNUMBER(SEARCH("Korea DPR",S5260)),"North Korea",
ISNUMBER(SEARCH("China PR",S5260)),"China",
ISNUMBER(SEARCH("IR Iran",S5260)),"Iran",
ISNUMBER(SEARCH("Congo DR",S5260)),"Democratic Republic of the Congo",
ISNUMBER(SEARCH("DR Congo",S5260)),"Democratic Republic of the Congo",
ISNUMBER(SEARCH("German DR",S5260)),"DR Germany",
ISNUMBER(SEARCH("rn""&gt;United Arab Emirates",S5260)),"United Arab Emirates",
ISNUMBER(SEARCH("rn""&gt;Republic of Ireland",S5260)),"Ireland",
ISNUMBER(SEARCH("rn""&gt;Bosnia and Herzegovina",S5260)),"Bosnia and Herzegovina",
ISNUMBER(SEARCH("rn""&gt;Trinidad and Tobago",S5260)),"Trinidad and Tobago",
ISNUMBER(SEARCH("rn""&gt;Serbia and Montenegro",S5260)),"Serbia and Montenegro",
ISNUMBER(SEARCH(_xlfn.UNICHAR(65533),S5260)),"Côte d'Ivoire",
TRUE,"-"
)</f>
        <v>-</v>
      </c>
      <c r="W5260" s="42" t="str">
        <f t="shared" si="321"/>
        <v>Spain win after extra time</v>
      </c>
    </row>
    <row r="5261" spans="19:23">
      <c r="S5261" s="42" t="str">
        <v/>
      </c>
      <c r="T5261" s="42" t="str">
        <f t="shared" si="319"/>
        <v>-</v>
      </c>
      <c r="U5261" s="40" t="str">
        <f t="shared" si="320"/>
        <v>-</v>
      </c>
      <c r="V5261" s="42" t="str" cm="1">
        <f t="array" ref="V5261">_xlfn.IFS(
LEFT(S5261,16)="win on penalties",IF(VALUE(MID(S5261,19,1))&gt;VALUE(MID(S5261,23,1)),DATA_CLEANED!AK775,DATA_CLEANED!AN775),
ISNUMBER(SEARCH("USA",S5261)),"United States",
ISNUMBER(SEARCH("Republic of Ireland",S5261)),"Ireland",
ISNUMBER(SEARCH("Republic of Korea",S5261)),"South Korea",
ISNUMBER(SEARCH("Cape Verde",S5261)),"Cabo Verde",
ISNUMBER(SEARCH("Czechia",S5261)),"Czech Republic",
ISNUMBER(SEARCH("Türkiye",S5261)),"Turkey",
ISNUMBER(SEARCH("Ivory Coast",S5261)),"Côte d'Ivoire",
ISNUMBER(SEARCH("Korea Republic",S5261)),"South Korea",
ISNUMBER(SEARCH("Germany FR",S5261)),"FR Germany",
ISNUMBER(SEARCH("West Germany",S5261)),"FR Germany",
ISNUMBER(SEARCH("Germany DR",S5261)),"DR Germany",
ISNUMBER(SEARCH("Korea DPR",S5261)),"North Korea",
ISNUMBER(SEARCH("China PR",S5261)),"China",
ISNUMBER(SEARCH("IR Iran",S5261)),"Iran",
ISNUMBER(SEARCH("Congo DR",S5261)),"Democratic Republic of the Congo",
ISNUMBER(SEARCH("DR Congo",S5261)),"Democratic Republic of the Congo",
ISNUMBER(SEARCH("German DR",S5261)),"DR Germany",
ISNUMBER(SEARCH("rn""&gt;United Arab Emirates",S5261)),"United Arab Emirates",
ISNUMBER(SEARCH("rn""&gt;Republic of Ireland",S5261)),"Ireland",
ISNUMBER(SEARCH("rn""&gt;Bosnia and Herzegovina",S5261)),"Bosnia and Herzegovina",
ISNUMBER(SEARCH("rn""&gt;Trinidad and Tobago",S5261)),"Trinidad and Tobago",
ISNUMBER(SEARCH("rn""&gt;Serbia and Montenegro",S5261)),"Serbia and Montenegro",
ISNUMBER(SEARCH(_xlfn.UNICHAR(65533),S5261)),"Côte d'Ivoire",
TRUE,"-"
)</f>
        <v>-</v>
      </c>
      <c r="W5261" s="42" t="str">
        <f t="shared" si="321"/>
        <v>-</v>
      </c>
    </row>
    <row r="5262" spans="19:23">
      <c r="S5262" s="42" t="str">
        <v/>
      </c>
      <c r="T5262" s="42" t="str">
        <f t="shared" si="319"/>
        <v>-</v>
      </c>
      <c r="U5262" s="40" t="str">
        <f t="shared" si="320"/>
        <v>-</v>
      </c>
      <c r="V5262" s="42" t="str" cm="1">
        <f t="array" ref="V5262">_xlfn.IFS(
LEFT(S5262,16)="win on penalties",IF(VALUE(MID(S5262,19,1))&gt;VALUE(MID(S5262,23,1)),DATA_CLEANED!AK776,DATA_CLEANED!AN776),
ISNUMBER(SEARCH("USA",S5262)),"United States",
ISNUMBER(SEARCH("Republic of Ireland",S5262)),"Ireland",
ISNUMBER(SEARCH("Republic of Korea",S5262)),"South Korea",
ISNUMBER(SEARCH("Cape Verde",S5262)),"Cabo Verde",
ISNUMBER(SEARCH("Czechia",S5262)),"Czech Republic",
ISNUMBER(SEARCH("Türkiye",S5262)),"Turkey",
ISNUMBER(SEARCH("Ivory Coast",S5262)),"Côte d'Ivoire",
ISNUMBER(SEARCH("Korea Republic",S5262)),"South Korea",
ISNUMBER(SEARCH("Germany FR",S5262)),"FR Germany",
ISNUMBER(SEARCH("West Germany",S5262)),"FR Germany",
ISNUMBER(SEARCH("Germany DR",S5262)),"DR Germany",
ISNUMBER(SEARCH("Korea DPR",S5262)),"North Korea",
ISNUMBER(SEARCH("China PR",S5262)),"China",
ISNUMBER(SEARCH("IR Iran",S5262)),"Iran",
ISNUMBER(SEARCH("Congo DR",S5262)),"Democratic Republic of the Congo",
ISNUMBER(SEARCH("DR Congo",S5262)),"Democratic Republic of the Congo",
ISNUMBER(SEARCH("German DR",S5262)),"DR Germany",
ISNUMBER(SEARCH("rn""&gt;United Arab Emirates",S5262)),"United Arab Emirates",
ISNUMBER(SEARCH("rn""&gt;Republic of Ireland",S5262)),"Ireland",
ISNUMBER(SEARCH("rn""&gt;Bosnia and Herzegovina",S5262)),"Bosnia and Herzegovina",
ISNUMBER(SEARCH("rn""&gt;Trinidad and Tobago",S5262)),"Trinidad and Tobago",
ISNUMBER(SEARCH("rn""&gt;Serbia and Montenegro",S5262)),"Serbia and Montenegro",
ISNUMBER(SEARCH(_xlfn.UNICHAR(65533),S5262)),"Côte d'Ivoire",
TRUE,"-"
)</f>
        <v>-</v>
      </c>
      <c r="W5262" s="42" t="str">
        <f t="shared" si="321"/>
        <v>-</v>
      </c>
    </row>
    <row r="5263" spans="19:23">
      <c r="S5263" s="42" t="str">
        <v/>
      </c>
      <c r="T5263" s="42" t="str">
        <f t="shared" si="319"/>
        <v>-</v>
      </c>
      <c r="U5263" s="40" t="str">
        <f t="shared" si="320"/>
        <v>-</v>
      </c>
      <c r="V5263" s="42" t="str" cm="1">
        <f t="array" ref="V5263">_xlfn.IFS(
LEFT(S5263,16)="win on penalties",IF(VALUE(MID(S5263,19,1))&gt;VALUE(MID(S5263,23,1)),DATA_CLEANED!AK777,DATA_CLEANED!AN777),
ISNUMBER(SEARCH("USA",S5263)),"United States",
ISNUMBER(SEARCH("Republic of Ireland",S5263)),"Ireland",
ISNUMBER(SEARCH("Republic of Korea",S5263)),"South Korea",
ISNUMBER(SEARCH("Cape Verde",S5263)),"Cabo Verde",
ISNUMBER(SEARCH("Czechia",S5263)),"Czech Republic",
ISNUMBER(SEARCH("Türkiye",S5263)),"Turkey",
ISNUMBER(SEARCH("Ivory Coast",S5263)),"Côte d'Ivoire",
ISNUMBER(SEARCH("Korea Republic",S5263)),"South Korea",
ISNUMBER(SEARCH("Germany FR",S5263)),"FR Germany",
ISNUMBER(SEARCH("West Germany",S5263)),"FR Germany",
ISNUMBER(SEARCH("Germany DR",S5263)),"DR Germany",
ISNUMBER(SEARCH("Korea DPR",S5263)),"North Korea",
ISNUMBER(SEARCH("China PR",S5263)),"China",
ISNUMBER(SEARCH("IR Iran",S5263)),"Iran",
ISNUMBER(SEARCH("Congo DR",S5263)),"Democratic Republic of the Congo",
ISNUMBER(SEARCH("DR Congo",S5263)),"Democratic Republic of the Congo",
ISNUMBER(SEARCH("German DR",S5263)),"DR Germany",
ISNUMBER(SEARCH("rn""&gt;United Arab Emirates",S5263)),"United Arab Emirates",
ISNUMBER(SEARCH("rn""&gt;Republic of Ireland",S5263)),"Ireland",
ISNUMBER(SEARCH("rn""&gt;Bosnia and Herzegovina",S5263)),"Bosnia and Herzegovina",
ISNUMBER(SEARCH("rn""&gt;Trinidad and Tobago",S5263)),"Trinidad and Tobago",
ISNUMBER(SEARCH("rn""&gt;Serbia and Montenegro",S5263)),"Serbia and Montenegro",
ISNUMBER(SEARCH(_xlfn.UNICHAR(65533),S5263)),"Côte d'Ivoire",
TRUE,"-"
)</f>
        <v>-</v>
      </c>
      <c r="W5263" s="42" t="str">
        <f t="shared" si="321"/>
        <v>-</v>
      </c>
    </row>
    <row r="5264" spans="19:23">
      <c r="S5264" s="42" t="str">
        <v/>
      </c>
      <c r="T5264" s="42" t="str">
        <f t="shared" si="319"/>
        <v>-</v>
      </c>
      <c r="U5264" s="40" t="str">
        <f t="shared" si="320"/>
        <v>-</v>
      </c>
      <c r="V5264" s="42" t="str" cm="1">
        <f t="array" ref="V5264">_xlfn.IFS(
LEFT(S5264,16)="win on penalties",IF(VALUE(MID(S5264,19,1))&gt;VALUE(MID(S5264,23,1)),DATA_CLEANED!AK778,DATA_CLEANED!AN778),
ISNUMBER(SEARCH("USA",S5264)),"United States",
ISNUMBER(SEARCH("Republic of Ireland",S5264)),"Ireland",
ISNUMBER(SEARCH("Republic of Korea",S5264)),"South Korea",
ISNUMBER(SEARCH("Cape Verde",S5264)),"Cabo Verde",
ISNUMBER(SEARCH("Czechia",S5264)),"Czech Republic",
ISNUMBER(SEARCH("Türkiye",S5264)),"Turkey",
ISNUMBER(SEARCH("Ivory Coast",S5264)),"Côte d'Ivoire",
ISNUMBER(SEARCH("Korea Republic",S5264)),"South Korea",
ISNUMBER(SEARCH("Germany FR",S5264)),"FR Germany",
ISNUMBER(SEARCH("West Germany",S5264)),"FR Germany",
ISNUMBER(SEARCH("Germany DR",S5264)),"DR Germany",
ISNUMBER(SEARCH("Korea DPR",S5264)),"North Korea",
ISNUMBER(SEARCH("China PR",S5264)),"China",
ISNUMBER(SEARCH("IR Iran",S5264)),"Iran",
ISNUMBER(SEARCH("Congo DR",S5264)),"Democratic Republic of the Congo",
ISNUMBER(SEARCH("DR Congo",S5264)),"Democratic Republic of the Congo",
ISNUMBER(SEARCH("German DR",S5264)),"DR Germany",
ISNUMBER(SEARCH("rn""&gt;United Arab Emirates",S5264)),"United Arab Emirates",
ISNUMBER(SEARCH("rn""&gt;Republic of Ireland",S5264)),"Ireland",
ISNUMBER(SEARCH("rn""&gt;Bosnia and Herzegovina",S5264)),"Bosnia and Herzegovina",
ISNUMBER(SEARCH("rn""&gt;Trinidad and Tobago",S5264)),"Trinidad and Tobago",
ISNUMBER(SEARCH("rn""&gt;Serbia and Montenegro",S5264)),"Serbia and Montenegro",
ISNUMBER(SEARCH(_xlfn.UNICHAR(65533),S5264)),"Côte d'Ivoire",
TRUE,"-"
)</f>
        <v>-</v>
      </c>
      <c r="W5264" s="42" t="str">
        <f t="shared" si="321"/>
        <v>-</v>
      </c>
    </row>
    <row r="5265" spans="19:23">
      <c r="S5265" s="42" t="str">
        <v/>
      </c>
      <c r="T5265" s="42" t="str">
        <f t="shared" si="319"/>
        <v>-</v>
      </c>
      <c r="U5265" s="40" t="str">
        <f t="shared" si="320"/>
        <v>-</v>
      </c>
      <c r="V5265" s="42" t="str" cm="1">
        <f t="array" ref="V5265">_xlfn.IFS(
LEFT(S5265,16)="win on penalties",IF(VALUE(MID(S5265,19,1))&gt;VALUE(MID(S5265,23,1)),DATA_CLEANED!AK779,DATA_CLEANED!AN779),
ISNUMBER(SEARCH("USA",S5265)),"United States",
ISNUMBER(SEARCH("Republic of Ireland",S5265)),"Ireland",
ISNUMBER(SEARCH("Republic of Korea",S5265)),"South Korea",
ISNUMBER(SEARCH("Cape Verde",S5265)),"Cabo Verde",
ISNUMBER(SEARCH("Czechia",S5265)),"Czech Republic",
ISNUMBER(SEARCH("Türkiye",S5265)),"Turkey",
ISNUMBER(SEARCH("Ivory Coast",S5265)),"Côte d'Ivoire",
ISNUMBER(SEARCH("Korea Republic",S5265)),"South Korea",
ISNUMBER(SEARCH("Germany FR",S5265)),"FR Germany",
ISNUMBER(SEARCH("West Germany",S5265)),"FR Germany",
ISNUMBER(SEARCH("Germany DR",S5265)),"DR Germany",
ISNUMBER(SEARCH("Korea DPR",S5265)),"North Korea",
ISNUMBER(SEARCH("China PR",S5265)),"China",
ISNUMBER(SEARCH("IR Iran",S5265)),"Iran",
ISNUMBER(SEARCH("Congo DR",S5265)),"Democratic Republic of the Congo",
ISNUMBER(SEARCH("DR Congo",S5265)),"Democratic Republic of the Congo",
ISNUMBER(SEARCH("German DR",S5265)),"DR Germany",
ISNUMBER(SEARCH("rn""&gt;United Arab Emirates",S5265)),"United Arab Emirates",
ISNUMBER(SEARCH("rn""&gt;Republic of Ireland",S5265)),"Ireland",
ISNUMBER(SEARCH("rn""&gt;Bosnia and Herzegovina",S5265)),"Bosnia and Herzegovina",
ISNUMBER(SEARCH("rn""&gt;Trinidad and Tobago",S5265)),"Trinidad and Tobago",
ISNUMBER(SEARCH("rn""&gt;Serbia and Montenegro",S5265)),"Serbia and Montenegro",
ISNUMBER(SEARCH(_xlfn.UNICHAR(65533),S5265)),"Côte d'Ivoire",
TRUE,"-"
)</f>
        <v>-</v>
      </c>
      <c r="W5265" s="42" t="str">
        <f t="shared" si="321"/>
        <v>-</v>
      </c>
    </row>
    <row r="5266" spans="19:23">
      <c r="S5266" s="42" t="str">
        <v/>
      </c>
      <c r="T5266" s="42" t="str">
        <f t="shared" si="319"/>
        <v>-</v>
      </c>
      <c r="U5266" s="40" t="str">
        <f t="shared" si="320"/>
        <v>-</v>
      </c>
      <c r="V5266" s="42" t="str" cm="1">
        <f t="array" ref="V5266">_xlfn.IFS(
LEFT(S5266,16)="win on penalties",IF(VALUE(MID(S5266,19,1))&gt;VALUE(MID(S5266,23,1)),DATA_CLEANED!AK780,DATA_CLEANED!AN780),
ISNUMBER(SEARCH("USA",S5266)),"United States",
ISNUMBER(SEARCH("Republic of Ireland",S5266)),"Ireland",
ISNUMBER(SEARCH("Republic of Korea",S5266)),"South Korea",
ISNUMBER(SEARCH("Cape Verde",S5266)),"Cabo Verde",
ISNUMBER(SEARCH("Czechia",S5266)),"Czech Republic",
ISNUMBER(SEARCH("Türkiye",S5266)),"Turkey",
ISNUMBER(SEARCH("Ivory Coast",S5266)),"Côte d'Ivoire",
ISNUMBER(SEARCH("Korea Republic",S5266)),"South Korea",
ISNUMBER(SEARCH("Germany FR",S5266)),"FR Germany",
ISNUMBER(SEARCH("West Germany",S5266)),"FR Germany",
ISNUMBER(SEARCH("Germany DR",S5266)),"DR Germany",
ISNUMBER(SEARCH("Korea DPR",S5266)),"North Korea",
ISNUMBER(SEARCH("China PR",S5266)),"China",
ISNUMBER(SEARCH("IR Iran",S5266)),"Iran",
ISNUMBER(SEARCH("Congo DR",S5266)),"Democratic Republic of the Congo",
ISNUMBER(SEARCH("DR Congo",S5266)),"Democratic Republic of the Congo",
ISNUMBER(SEARCH("German DR",S5266)),"DR Germany",
ISNUMBER(SEARCH("rn""&gt;United Arab Emirates",S5266)),"United Arab Emirates",
ISNUMBER(SEARCH("rn""&gt;Republic of Ireland",S5266)),"Ireland",
ISNUMBER(SEARCH("rn""&gt;Bosnia and Herzegovina",S5266)),"Bosnia and Herzegovina",
ISNUMBER(SEARCH("rn""&gt;Trinidad and Tobago",S5266)),"Trinidad and Tobago",
ISNUMBER(SEARCH("rn""&gt;Serbia and Montenegro",S5266)),"Serbia and Montenegro",
ISNUMBER(SEARCH(_xlfn.UNICHAR(65533),S5266)),"Côte d'Ivoire",
TRUE,"-"
)</f>
        <v>-</v>
      </c>
      <c r="W5266" s="42" t="str">
        <f t="shared" si="321"/>
        <v>-</v>
      </c>
    </row>
    <row r="5267" spans="19:23">
      <c r="S5267" s="42" t="str">
        <v/>
      </c>
      <c r="T5267" s="42" t="str">
        <f t="shared" si="319"/>
        <v>-</v>
      </c>
      <c r="U5267" s="40" t="str">
        <f t="shared" si="320"/>
        <v>-</v>
      </c>
      <c r="V5267" s="42" t="str" cm="1">
        <f t="array" ref="V5267">_xlfn.IFS(
LEFT(S5267,16)="win on penalties",IF(VALUE(MID(S5267,19,1))&gt;VALUE(MID(S5267,23,1)),DATA_CLEANED!AK781,DATA_CLEANED!AN781),
ISNUMBER(SEARCH("USA",S5267)),"United States",
ISNUMBER(SEARCH("Republic of Ireland",S5267)),"Ireland",
ISNUMBER(SEARCH("Republic of Korea",S5267)),"South Korea",
ISNUMBER(SEARCH("Cape Verde",S5267)),"Cabo Verde",
ISNUMBER(SEARCH("Czechia",S5267)),"Czech Republic",
ISNUMBER(SEARCH("Türkiye",S5267)),"Turkey",
ISNUMBER(SEARCH("Ivory Coast",S5267)),"Côte d'Ivoire",
ISNUMBER(SEARCH("Korea Republic",S5267)),"South Korea",
ISNUMBER(SEARCH("Germany FR",S5267)),"FR Germany",
ISNUMBER(SEARCH("West Germany",S5267)),"FR Germany",
ISNUMBER(SEARCH("Germany DR",S5267)),"DR Germany",
ISNUMBER(SEARCH("Korea DPR",S5267)),"North Korea",
ISNUMBER(SEARCH("China PR",S5267)),"China",
ISNUMBER(SEARCH("IR Iran",S5267)),"Iran",
ISNUMBER(SEARCH("Congo DR",S5267)),"Democratic Republic of the Congo",
ISNUMBER(SEARCH("DR Congo",S5267)),"Democratic Republic of the Congo",
ISNUMBER(SEARCH("German DR",S5267)),"DR Germany",
ISNUMBER(SEARCH("rn""&gt;United Arab Emirates",S5267)),"United Arab Emirates",
ISNUMBER(SEARCH("rn""&gt;Republic of Ireland",S5267)),"Ireland",
ISNUMBER(SEARCH("rn""&gt;Bosnia and Herzegovina",S5267)),"Bosnia and Herzegovina",
ISNUMBER(SEARCH("rn""&gt;Trinidad and Tobago",S5267)),"Trinidad and Tobago",
ISNUMBER(SEARCH("rn""&gt;Serbia and Montenegro",S5267)),"Serbia and Montenegro",
ISNUMBER(SEARCH(_xlfn.UNICHAR(65533),S5267)),"Côte d'Ivoire",
TRUE,"-"
)</f>
        <v>-</v>
      </c>
      <c r="W5267" s="42" t="str">
        <f t="shared" si="321"/>
        <v>-</v>
      </c>
    </row>
    <row r="5268" spans="19:23">
      <c r="S5268" s="42" t="str">
        <v/>
      </c>
      <c r="T5268" s="42" t="str">
        <f t="shared" si="319"/>
        <v>-</v>
      </c>
      <c r="U5268" s="40" t="str">
        <f t="shared" si="320"/>
        <v>-</v>
      </c>
      <c r="V5268" s="42" t="str" cm="1">
        <f t="array" ref="V5268">_xlfn.IFS(
LEFT(S5268,16)="win on penalties",IF(VALUE(MID(S5268,19,1))&gt;VALUE(MID(S5268,23,1)),DATA_CLEANED!AK782,DATA_CLEANED!AN782),
ISNUMBER(SEARCH("USA",S5268)),"United States",
ISNUMBER(SEARCH("Republic of Ireland",S5268)),"Ireland",
ISNUMBER(SEARCH("Republic of Korea",S5268)),"South Korea",
ISNUMBER(SEARCH("Cape Verde",S5268)),"Cabo Verde",
ISNUMBER(SEARCH("Czechia",S5268)),"Czech Republic",
ISNUMBER(SEARCH("Türkiye",S5268)),"Turkey",
ISNUMBER(SEARCH("Ivory Coast",S5268)),"Côte d'Ivoire",
ISNUMBER(SEARCH("Korea Republic",S5268)),"South Korea",
ISNUMBER(SEARCH("Germany FR",S5268)),"FR Germany",
ISNUMBER(SEARCH("West Germany",S5268)),"FR Germany",
ISNUMBER(SEARCH("Germany DR",S5268)),"DR Germany",
ISNUMBER(SEARCH("Korea DPR",S5268)),"North Korea",
ISNUMBER(SEARCH("China PR",S5268)),"China",
ISNUMBER(SEARCH("IR Iran",S5268)),"Iran",
ISNUMBER(SEARCH("Congo DR",S5268)),"Democratic Republic of the Congo",
ISNUMBER(SEARCH("DR Congo",S5268)),"Democratic Republic of the Congo",
ISNUMBER(SEARCH("German DR",S5268)),"DR Germany",
ISNUMBER(SEARCH("rn""&gt;United Arab Emirates",S5268)),"United Arab Emirates",
ISNUMBER(SEARCH("rn""&gt;Republic of Ireland",S5268)),"Ireland",
ISNUMBER(SEARCH("rn""&gt;Bosnia and Herzegovina",S5268)),"Bosnia and Herzegovina",
ISNUMBER(SEARCH("rn""&gt;Trinidad and Tobago",S5268)),"Trinidad and Tobago",
ISNUMBER(SEARCH("rn""&gt;Serbia and Montenegro",S5268)),"Serbia and Montenegro",
ISNUMBER(SEARCH(_xlfn.UNICHAR(65533),S5268)),"Côte d'Ivoire",
TRUE,"-"
)</f>
        <v>-</v>
      </c>
      <c r="W5268" s="42" t="str">
        <f t="shared" si="321"/>
        <v>-</v>
      </c>
    </row>
    <row r="5269" spans="19:23">
      <c r="S5269" s="42" t="str">
        <v/>
      </c>
      <c r="T5269" s="42" t="str">
        <f t="shared" si="319"/>
        <v>-</v>
      </c>
      <c r="U5269" s="40" t="str">
        <f t="shared" si="320"/>
        <v>-</v>
      </c>
      <c r="V5269" s="42" t="str" cm="1">
        <f t="array" ref="V5269">_xlfn.IFS(
LEFT(S5269,16)="win on penalties",IF(VALUE(MID(S5269,19,1))&gt;VALUE(MID(S5269,23,1)),DATA_CLEANED!AK783,DATA_CLEANED!AN783),
ISNUMBER(SEARCH("USA",S5269)),"United States",
ISNUMBER(SEARCH("Republic of Ireland",S5269)),"Ireland",
ISNUMBER(SEARCH("Republic of Korea",S5269)),"South Korea",
ISNUMBER(SEARCH("Cape Verde",S5269)),"Cabo Verde",
ISNUMBER(SEARCH("Czechia",S5269)),"Czech Republic",
ISNUMBER(SEARCH("Türkiye",S5269)),"Turkey",
ISNUMBER(SEARCH("Ivory Coast",S5269)),"Côte d'Ivoire",
ISNUMBER(SEARCH("Korea Republic",S5269)),"South Korea",
ISNUMBER(SEARCH("Germany FR",S5269)),"FR Germany",
ISNUMBER(SEARCH("West Germany",S5269)),"FR Germany",
ISNUMBER(SEARCH("Germany DR",S5269)),"DR Germany",
ISNUMBER(SEARCH("Korea DPR",S5269)),"North Korea",
ISNUMBER(SEARCH("China PR",S5269)),"China",
ISNUMBER(SEARCH("IR Iran",S5269)),"Iran",
ISNUMBER(SEARCH("Congo DR",S5269)),"Democratic Republic of the Congo",
ISNUMBER(SEARCH("DR Congo",S5269)),"Democratic Republic of the Congo",
ISNUMBER(SEARCH("German DR",S5269)),"DR Germany",
ISNUMBER(SEARCH("rn""&gt;United Arab Emirates",S5269)),"United Arab Emirates",
ISNUMBER(SEARCH("rn""&gt;Republic of Ireland",S5269)),"Ireland",
ISNUMBER(SEARCH("rn""&gt;Bosnia and Herzegovina",S5269)),"Bosnia and Herzegovina",
ISNUMBER(SEARCH("rn""&gt;Trinidad and Tobago",S5269)),"Trinidad and Tobago",
ISNUMBER(SEARCH("rn""&gt;Serbia and Montenegro",S5269)),"Serbia and Montenegro",
ISNUMBER(SEARCH(_xlfn.UNICHAR(65533),S5269)),"Côte d'Ivoire",
TRUE,"-"
)</f>
        <v>-</v>
      </c>
      <c r="W5269" s="42" t="str">
        <f t="shared" si="321"/>
        <v>-</v>
      </c>
    </row>
    <row r="5270" spans="19:23">
      <c r="S5270" s="42" t="str">
        <v/>
      </c>
      <c r="T5270" s="42" t="str">
        <f t="shared" si="319"/>
        <v>-</v>
      </c>
      <c r="U5270" s="40" t="str">
        <f t="shared" si="320"/>
        <v>-</v>
      </c>
      <c r="V5270" s="42" t="str" cm="1">
        <f t="array" ref="V5270">_xlfn.IFS(
LEFT(S5270,16)="win on penalties",IF(VALUE(MID(S5270,19,1))&gt;VALUE(MID(S5270,23,1)),DATA_CLEANED!AK784,DATA_CLEANED!AN784),
ISNUMBER(SEARCH("USA",S5270)),"United States",
ISNUMBER(SEARCH("Republic of Ireland",S5270)),"Ireland",
ISNUMBER(SEARCH("Republic of Korea",S5270)),"South Korea",
ISNUMBER(SEARCH("Cape Verde",S5270)),"Cabo Verde",
ISNUMBER(SEARCH("Czechia",S5270)),"Czech Republic",
ISNUMBER(SEARCH("Türkiye",S5270)),"Turkey",
ISNUMBER(SEARCH("Ivory Coast",S5270)),"Côte d'Ivoire",
ISNUMBER(SEARCH("Korea Republic",S5270)),"South Korea",
ISNUMBER(SEARCH("Germany FR",S5270)),"FR Germany",
ISNUMBER(SEARCH("West Germany",S5270)),"FR Germany",
ISNUMBER(SEARCH("Germany DR",S5270)),"DR Germany",
ISNUMBER(SEARCH("Korea DPR",S5270)),"North Korea",
ISNUMBER(SEARCH("China PR",S5270)),"China",
ISNUMBER(SEARCH("IR Iran",S5270)),"Iran",
ISNUMBER(SEARCH("Congo DR",S5270)),"Democratic Republic of the Congo",
ISNUMBER(SEARCH("DR Congo",S5270)),"Democratic Republic of the Congo",
ISNUMBER(SEARCH("German DR",S5270)),"DR Germany",
ISNUMBER(SEARCH("rn""&gt;United Arab Emirates",S5270)),"United Arab Emirates",
ISNUMBER(SEARCH("rn""&gt;Republic of Ireland",S5270)),"Ireland",
ISNUMBER(SEARCH("rn""&gt;Bosnia and Herzegovina",S5270)),"Bosnia and Herzegovina",
ISNUMBER(SEARCH("rn""&gt;Trinidad and Tobago",S5270)),"Trinidad and Tobago",
ISNUMBER(SEARCH("rn""&gt;Serbia and Montenegro",S5270)),"Serbia and Montenegro",
ISNUMBER(SEARCH(_xlfn.UNICHAR(65533),S5270)),"Côte d'Ivoire",
TRUE,"-"
)</f>
        <v>-</v>
      </c>
      <c r="W5270" s="42" t="str">
        <f t="shared" si="321"/>
        <v>-</v>
      </c>
    </row>
    <row r="5271" spans="19:23">
      <c r="S5271" s="42" t="str">
        <v/>
      </c>
      <c r="T5271" s="42" t="str">
        <f t="shared" si="319"/>
        <v>-</v>
      </c>
      <c r="U5271" s="40" t="str">
        <f t="shared" si="320"/>
        <v>-</v>
      </c>
      <c r="V5271" s="42" t="str" cm="1">
        <f t="array" ref="V5271">_xlfn.IFS(
LEFT(S5271,16)="win on penalties",IF(VALUE(MID(S5271,19,1))&gt;VALUE(MID(S5271,23,1)),DATA_CLEANED!AK785,DATA_CLEANED!AN785),
ISNUMBER(SEARCH("USA",S5271)),"United States",
ISNUMBER(SEARCH("Republic of Ireland",S5271)),"Ireland",
ISNUMBER(SEARCH("Republic of Korea",S5271)),"South Korea",
ISNUMBER(SEARCH("Cape Verde",S5271)),"Cabo Verde",
ISNUMBER(SEARCH("Czechia",S5271)),"Czech Republic",
ISNUMBER(SEARCH("Türkiye",S5271)),"Turkey",
ISNUMBER(SEARCH("Ivory Coast",S5271)),"Côte d'Ivoire",
ISNUMBER(SEARCH("Korea Republic",S5271)),"South Korea",
ISNUMBER(SEARCH("Germany FR",S5271)),"FR Germany",
ISNUMBER(SEARCH("West Germany",S5271)),"FR Germany",
ISNUMBER(SEARCH("Germany DR",S5271)),"DR Germany",
ISNUMBER(SEARCH("Korea DPR",S5271)),"North Korea",
ISNUMBER(SEARCH("China PR",S5271)),"China",
ISNUMBER(SEARCH("IR Iran",S5271)),"Iran",
ISNUMBER(SEARCH("Congo DR",S5271)),"Democratic Republic of the Congo",
ISNUMBER(SEARCH("DR Congo",S5271)),"Democratic Republic of the Congo",
ISNUMBER(SEARCH("German DR",S5271)),"DR Germany",
ISNUMBER(SEARCH("rn""&gt;United Arab Emirates",S5271)),"United Arab Emirates",
ISNUMBER(SEARCH("rn""&gt;Republic of Ireland",S5271)),"Ireland",
ISNUMBER(SEARCH("rn""&gt;Bosnia and Herzegovina",S5271)),"Bosnia and Herzegovina",
ISNUMBER(SEARCH("rn""&gt;Trinidad and Tobago",S5271)),"Trinidad and Tobago",
ISNUMBER(SEARCH("rn""&gt;Serbia and Montenegro",S5271)),"Serbia and Montenegro",
ISNUMBER(SEARCH(_xlfn.UNICHAR(65533),S5271)),"Côte d'Ivoire",
TRUE,"-"
)</f>
        <v>-</v>
      </c>
      <c r="W5271" s="42" t="str">
        <f t="shared" si="321"/>
        <v>-</v>
      </c>
    </row>
    <row r="5272" spans="19:23">
      <c r="S5272" s="42" t="str">
        <v/>
      </c>
      <c r="T5272" s="42" t="str">
        <f t="shared" si="319"/>
        <v>-</v>
      </c>
      <c r="U5272" s="40" t="str">
        <f t="shared" si="320"/>
        <v>-</v>
      </c>
      <c r="V5272" s="42" t="str" cm="1">
        <f t="array" ref="V5272">_xlfn.IFS(
LEFT(S5272,16)="win on penalties",IF(VALUE(MID(S5272,19,1))&gt;VALUE(MID(S5272,23,1)),DATA_CLEANED!AK786,DATA_CLEANED!AN786),
ISNUMBER(SEARCH("USA",S5272)),"United States",
ISNUMBER(SEARCH("Republic of Ireland",S5272)),"Ireland",
ISNUMBER(SEARCH("Republic of Korea",S5272)),"South Korea",
ISNUMBER(SEARCH("Cape Verde",S5272)),"Cabo Verde",
ISNUMBER(SEARCH("Czechia",S5272)),"Czech Republic",
ISNUMBER(SEARCH("Türkiye",S5272)),"Turkey",
ISNUMBER(SEARCH("Ivory Coast",S5272)),"Côte d'Ivoire",
ISNUMBER(SEARCH("Korea Republic",S5272)),"South Korea",
ISNUMBER(SEARCH("Germany FR",S5272)),"FR Germany",
ISNUMBER(SEARCH("West Germany",S5272)),"FR Germany",
ISNUMBER(SEARCH("Germany DR",S5272)),"DR Germany",
ISNUMBER(SEARCH("Korea DPR",S5272)),"North Korea",
ISNUMBER(SEARCH("China PR",S5272)),"China",
ISNUMBER(SEARCH("IR Iran",S5272)),"Iran",
ISNUMBER(SEARCH("Congo DR",S5272)),"Democratic Republic of the Congo",
ISNUMBER(SEARCH("DR Congo",S5272)),"Democratic Republic of the Congo",
ISNUMBER(SEARCH("German DR",S5272)),"DR Germany",
ISNUMBER(SEARCH("rn""&gt;United Arab Emirates",S5272)),"United Arab Emirates",
ISNUMBER(SEARCH("rn""&gt;Republic of Ireland",S5272)),"Ireland",
ISNUMBER(SEARCH("rn""&gt;Bosnia and Herzegovina",S5272)),"Bosnia and Herzegovina",
ISNUMBER(SEARCH("rn""&gt;Trinidad and Tobago",S5272)),"Trinidad and Tobago",
ISNUMBER(SEARCH("rn""&gt;Serbia and Montenegro",S5272)),"Serbia and Montenegro",
ISNUMBER(SEARCH(_xlfn.UNICHAR(65533),S5272)),"Côte d'Ivoire",
TRUE,"-"
)</f>
        <v>-</v>
      </c>
      <c r="W5272" s="42" t="str">
        <f t="shared" si="321"/>
        <v>-</v>
      </c>
    </row>
    <row r="5273" spans="19:23">
      <c r="S5273" s="42" t="str">
        <v/>
      </c>
      <c r="T5273" s="42" t="str">
        <f t="shared" si="319"/>
        <v>-</v>
      </c>
      <c r="U5273" s="40" t="str">
        <f t="shared" si="320"/>
        <v>-</v>
      </c>
      <c r="V5273" s="42" t="str" cm="1">
        <f t="array" ref="V5273">_xlfn.IFS(
LEFT(S5273,16)="win on penalties",IF(VALUE(MID(S5273,19,1))&gt;VALUE(MID(S5273,23,1)),DATA_CLEANED!AK787,DATA_CLEANED!AN787),
ISNUMBER(SEARCH("USA",S5273)),"United States",
ISNUMBER(SEARCH("Republic of Ireland",S5273)),"Ireland",
ISNUMBER(SEARCH("Republic of Korea",S5273)),"South Korea",
ISNUMBER(SEARCH("Cape Verde",S5273)),"Cabo Verde",
ISNUMBER(SEARCH("Czechia",S5273)),"Czech Republic",
ISNUMBER(SEARCH("Türkiye",S5273)),"Turkey",
ISNUMBER(SEARCH("Ivory Coast",S5273)),"Côte d'Ivoire",
ISNUMBER(SEARCH("Korea Republic",S5273)),"South Korea",
ISNUMBER(SEARCH("Germany FR",S5273)),"FR Germany",
ISNUMBER(SEARCH("West Germany",S5273)),"FR Germany",
ISNUMBER(SEARCH("Germany DR",S5273)),"DR Germany",
ISNUMBER(SEARCH("Korea DPR",S5273)),"North Korea",
ISNUMBER(SEARCH("China PR",S5273)),"China",
ISNUMBER(SEARCH("IR Iran",S5273)),"Iran",
ISNUMBER(SEARCH("Congo DR",S5273)),"Democratic Republic of the Congo",
ISNUMBER(SEARCH("DR Congo",S5273)),"Democratic Republic of the Congo",
ISNUMBER(SEARCH("German DR",S5273)),"DR Germany",
ISNUMBER(SEARCH("rn""&gt;United Arab Emirates",S5273)),"United Arab Emirates",
ISNUMBER(SEARCH("rn""&gt;Republic of Ireland",S5273)),"Ireland",
ISNUMBER(SEARCH("rn""&gt;Bosnia and Herzegovina",S5273)),"Bosnia and Herzegovina",
ISNUMBER(SEARCH("rn""&gt;Trinidad and Tobago",S5273)),"Trinidad and Tobago",
ISNUMBER(SEARCH("rn""&gt;Serbia and Montenegro",S5273)),"Serbia and Montenegro",
ISNUMBER(SEARCH(_xlfn.UNICHAR(65533),S5273)),"Côte d'Ivoire",
TRUE,"-"
)</f>
        <v>-</v>
      </c>
      <c r="W5273" s="42" t="str">
        <f t="shared" si="321"/>
        <v>-</v>
      </c>
    </row>
    <row r="5274" spans="19:23">
      <c r="S5274" s="42" t="str">
        <v/>
      </c>
      <c r="T5274" s="42" t="str">
        <f t="shared" si="319"/>
        <v>-</v>
      </c>
      <c r="U5274" s="40" t="str">
        <f t="shared" si="320"/>
        <v>-</v>
      </c>
      <c r="V5274" s="42" t="str" cm="1">
        <f t="array" ref="V5274">_xlfn.IFS(
LEFT(S5274,16)="win on penalties",IF(VALUE(MID(S5274,19,1))&gt;VALUE(MID(S5274,23,1)),DATA_CLEANED!AK788,DATA_CLEANED!AN788),
ISNUMBER(SEARCH("USA",S5274)),"United States",
ISNUMBER(SEARCH("Republic of Ireland",S5274)),"Ireland",
ISNUMBER(SEARCH("Republic of Korea",S5274)),"South Korea",
ISNUMBER(SEARCH("Cape Verde",S5274)),"Cabo Verde",
ISNUMBER(SEARCH("Czechia",S5274)),"Czech Republic",
ISNUMBER(SEARCH("Türkiye",S5274)),"Turkey",
ISNUMBER(SEARCH("Ivory Coast",S5274)),"Côte d'Ivoire",
ISNUMBER(SEARCH("Korea Republic",S5274)),"South Korea",
ISNUMBER(SEARCH("Germany FR",S5274)),"FR Germany",
ISNUMBER(SEARCH("West Germany",S5274)),"FR Germany",
ISNUMBER(SEARCH("Germany DR",S5274)),"DR Germany",
ISNUMBER(SEARCH("Korea DPR",S5274)),"North Korea",
ISNUMBER(SEARCH("China PR",S5274)),"China",
ISNUMBER(SEARCH("IR Iran",S5274)),"Iran",
ISNUMBER(SEARCH("Congo DR",S5274)),"Democratic Republic of the Congo",
ISNUMBER(SEARCH("DR Congo",S5274)),"Democratic Republic of the Congo",
ISNUMBER(SEARCH("German DR",S5274)),"DR Germany",
ISNUMBER(SEARCH("rn""&gt;United Arab Emirates",S5274)),"United Arab Emirates",
ISNUMBER(SEARCH("rn""&gt;Republic of Ireland",S5274)),"Ireland",
ISNUMBER(SEARCH("rn""&gt;Bosnia and Herzegovina",S5274)),"Bosnia and Herzegovina",
ISNUMBER(SEARCH("rn""&gt;Trinidad and Tobago",S5274)),"Trinidad and Tobago",
ISNUMBER(SEARCH("rn""&gt;Serbia and Montenegro",S5274)),"Serbia and Montenegro",
ISNUMBER(SEARCH(_xlfn.UNICHAR(65533),S5274)),"Côte d'Ivoire",
TRUE,"-"
)</f>
        <v>-</v>
      </c>
      <c r="W5274" s="42" t="str">
        <f t="shared" si="321"/>
        <v>-</v>
      </c>
    </row>
    <row r="5275" spans="19:23">
      <c r="S5275" s="42" t="str">
        <v/>
      </c>
      <c r="T5275" s="42" t="str">
        <f t="shared" si="319"/>
        <v>-</v>
      </c>
      <c r="U5275" s="40" t="str">
        <f t="shared" si="320"/>
        <v>-</v>
      </c>
      <c r="V5275" s="42" t="str" cm="1">
        <f t="array" ref="V5275">_xlfn.IFS(
LEFT(S5275,16)="win on penalties",IF(VALUE(MID(S5275,19,1))&gt;VALUE(MID(S5275,23,1)),DATA_CLEANED!AK789,DATA_CLEANED!AN789),
ISNUMBER(SEARCH("USA",S5275)),"United States",
ISNUMBER(SEARCH("Republic of Ireland",S5275)),"Ireland",
ISNUMBER(SEARCH("Republic of Korea",S5275)),"South Korea",
ISNUMBER(SEARCH("Cape Verde",S5275)),"Cabo Verde",
ISNUMBER(SEARCH("Czechia",S5275)),"Czech Republic",
ISNUMBER(SEARCH("Türkiye",S5275)),"Turkey",
ISNUMBER(SEARCH("Ivory Coast",S5275)),"Côte d'Ivoire",
ISNUMBER(SEARCH("Korea Republic",S5275)),"South Korea",
ISNUMBER(SEARCH("Germany FR",S5275)),"FR Germany",
ISNUMBER(SEARCH("West Germany",S5275)),"FR Germany",
ISNUMBER(SEARCH("Germany DR",S5275)),"DR Germany",
ISNUMBER(SEARCH("Korea DPR",S5275)),"North Korea",
ISNUMBER(SEARCH("China PR",S5275)),"China",
ISNUMBER(SEARCH("IR Iran",S5275)),"Iran",
ISNUMBER(SEARCH("Congo DR",S5275)),"Democratic Republic of the Congo",
ISNUMBER(SEARCH("DR Congo",S5275)),"Democratic Republic of the Congo",
ISNUMBER(SEARCH("German DR",S5275)),"DR Germany",
ISNUMBER(SEARCH("rn""&gt;United Arab Emirates",S5275)),"United Arab Emirates",
ISNUMBER(SEARCH("rn""&gt;Republic of Ireland",S5275)),"Ireland",
ISNUMBER(SEARCH("rn""&gt;Bosnia and Herzegovina",S5275)),"Bosnia and Herzegovina",
ISNUMBER(SEARCH("rn""&gt;Trinidad and Tobago",S5275)),"Trinidad and Tobago",
ISNUMBER(SEARCH("rn""&gt;Serbia and Montenegro",S5275)),"Serbia and Montenegro",
ISNUMBER(SEARCH(_xlfn.UNICHAR(65533),S5275)),"Côte d'Ivoire",
TRUE,"-"
)</f>
        <v>-</v>
      </c>
      <c r="W5275" s="42" t="str">
        <f t="shared" si="321"/>
        <v>-</v>
      </c>
    </row>
    <row r="5276" spans="19:23">
      <c r="S5276" s="42" t="str">
        <v/>
      </c>
      <c r="T5276" s="42" t="str">
        <f t="shared" si="319"/>
        <v>-</v>
      </c>
      <c r="U5276" s="40" t="str">
        <f t="shared" si="320"/>
        <v>-</v>
      </c>
      <c r="V5276" s="42" t="str" cm="1">
        <f t="array" ref="V5276">_xlfn.IFS(
LEFT(S5276,16)="win on penalties",IF(VALUE(MID(S5276,19,1))&gt;VALUE(MID(S5276,23,1)),DATA_CLEANED!AK790,DATA_CLEANED!AN790),
ISNUMBER(SEARCH("USA",S5276)),"United States",
ISNUMBER(SEARCH("Republic of Ireland",S5276)),"Ireland",
ISNUMBER(SEARCH("Republic of Korea",S5276)),"South Korea",
ISNUMBER(SEARCH("Cape Verde",S5276)),"Cabo Verde",
ISNUMBER(SEARCH("Czechia",S5276)),"Czech Republic",
ISNUMBER(SEARCH("Türkiye",S5276)),"Turkey",
ISNUMBER(SEARCH("Ivory Coast",S5276)),"Côte d'Ivoire",
ISNUMBER(SEARCH("Korea Republic",S5276)),"South Korea",
ISNUMBER(SEARCH("Germany FR",S5276)),"FR Germany",
ISNUMBER(SEARCH("West Germany",S5276)),"FR Germany",
ISNUMBER(SEARCH("Germany DR",S5276)),"DR Germany",
ISNUMBER(SEARCH("Korea DPR",S5276)),"North Korea",
ISNUMBER(SEARCH("China PR",S5276)),"China",
ISNUMBER(SEARCH("IR Iran",S5276)),"Iran",
ISNUMBER(SEARCH("Congo DR",S5276)),"Democratic Republic of the Congo",
ISNUMBER(SEARCH("DR Congo",S5276)),"Democratic Republic of the Congo",
ISNUMBER(SEARCH("German DR",S5276)),"DR Germany",
ISNUMBER(SEARCH("rn""&gt;United Arab Emirates",S5276)),"United Arab Emirates",
ISNUMBER(SEARCH("rn""&gt;Republic of Ireland",S5276)),"Ireland",
ISNUMBER(SEARCH("rn""&gt;Bosnia and Herzegovina",S5276)),"Bosnia and Herzegovina",
ISNUMBER(SEARCH("rn""&gt;Trinidad and Tobago",S5276)),"Trinidad and Tobago",
ISNUMBER(SEARCH("rn""&gt;Serbia and Montenegro",S5276)),"Serbia and Montenegro",
ISNUMBER(SEARCH(_xlfn.UNICHAR(65533),S5276)),"Côte d'Ivoire",
TRUE,"-"
)</f>
        <v>-</v>
      </c>
      <c r="W5276" s="42" t="str">
        <f t="shared" si="321"/>
        <v>-</v>
      </c>
    </row>
    <row r="5277" spans="19:23">
      <c r="S5277" s="42" t="str">
        <v/>
      </c>
      <c r="T5277" s="42" t="str">
        <f t="shared" si="319"/>
        <v>-</v>
      </c>
      <c r="U5277" s="40" t="str">
        <f t="shared" si="320"/>
        <v>-</v>
      </c>
      <c r="V5277" s="42" t="str" cm="1">
        <f t="array" ref="V5277">_xlfn.IFS(
LEFT(S5277,16)="win on penalties",IF(VALUE(MID(S5277,19,1))&gt;VALUE(MID(S5277,23,1)),DATA_CLEANED!AK791,DATA_CLEANED!AN791),
ISNUMBER(SEARCH("USA",S5277)),"United States",
ISNUMBER(SEARCH("Republic of Ireland",S5277)),"Ireland",
ISNUMBER(SEARCH("Republic of Korea",S5277)),"South Korea",
ISNUMBER(SEARCH("Cape Verde",S5277)),"Cabo Verde",
ISNUMBER(SEARCH("Czechia",S5277)),"Czech Republic",
ISNUMBER(SEARCH("Türkiye",S5277)),"Turkey",
ISNUMBER(SEARCH("Ivory Coast",S5277)),"Côte d'Ivoire",
ISNUMBER(SEARCH("Korea Republic",S5277)),"South Korea",
ISNUMBER(SEARCH("Germany FR",S5277)),"FR Germany",
ISNUMBER(SEARCH("West Germany",S5277)),"FR Germany",
ISNUMBER(SEARCH("Germany DR",S5277)),"DR Germany",
ISNUMBER(SEARCH("Korea DPR",S5277)),"North Korea",
ISNUMBER(SEARCH("China PR",S5277)),"China",
ISNUMBER(SEARCH("IR Iran",S5277)),"Iran",
ISNUMBER(SEARCH("Congo DR",S5277)),"Democratic Republic of the Congo",
ISNUMBER(SEARCH("DR Congo",S5277)),"Democratic Republic of the Congo",
ISNUMBER(SEARCH("German DR",S5277)),"DR Germany",
ISNUMBER(SEARCH("rn""&gt;United Arab Emirates",S5277)),"United Arab Emirates",
ISNUMBER(SEARCH("rn""&gt;Republic of Ireland",S5277)),"Ireland",
ISNUMBER(SEARCH("rn""&gt;Bosnia and Herzegovina",S5277)),"Bosnia and Herzegovina",
ISNUMBER(SEARCH("rn""&gt;Trinidad and Tobago",S5277)),"Trinidad and Tobago",
ISNUMBER(SEARCH("rn""&gt;Serbia and Montenegro",S5277)),"Serbia and Montenegro",
ISNUMBER(SEARCH(_xlfn.UNICHAR(65533),S5277)),"Côte d'Ivoire",
TRUE,"-"
)</f>
        <v>-</v>
      </c>
      <c r="W5277" s="42" t="str">
        <f t="shared" si="321"/>
        <v>-</v>
      </c>
    </row>
    <row r="5278" spans="19:23">
      <c r="S5278" s="42" t="str">
        <v/>
      </c>
      <c r="T5278" s="42" t="str">
        <f t="shared" si="319"/>
        <v>-</v>
      </c>
      <c r="U5278" s="40" t="str">
        <f t="shared" si="320"/>
        <v>-</v>
      </c>
      <c r="V5278" s="42" t="str" cm="1">
        <f t="array" ref="V5278">_xlfn.IFS(
LEFT(S5278,16)="win on penalties",IF(VALUE(MID(S5278,19,1))&gt;VALUE(MID(S5278,23,1)),DATA_CLEANED!AK792,DATA_CLEANED!AN792),
ISNUMBER(SEARCH("USA",S5278)),"United States",
ISNUMBER(SEARCH("Republic of Ireland",S5278)),"Ireland",
ISNUMBER(SEARCH("Republic of Korea",S5278)),"South Korea",
ISNUMBER(SEARCH("Cape Verde",S5278)),"Cabo Verde",
ISNUMBER(SEARCH("Czechia",S5278)),"Czech Republic",
ISNUMBER(SEARCH("Türkiye",S5278)),"Turkey",
ISNUMBER(SEARCH("Ivory Coast",S5278)),"Côte d'Ivoire",
ISNUMBER(SEARCH("Korea Republic",S5278)),"South Korea",
ISNUMBER(SEARCH("Germany FR",S5278)),"FR Germany",
ISNUMBER(SEARCH("West Germany",S5278)),"FR Germany",
ISNUMBER(SEARCH("Germany DR",S5278)),"DR Germany",
ISNUMBER(SEARCH("Korea DPR",S5278)),"North Korea",
ISNUMBER(SEARCH("China PR",S5278)),"China",
ISNUMBER(SEARCH("IR Iran",S5278)),"Iran",
ISNUMBER(SEARCH("Congo DR",S5278)),"Democratic Republic of the Congo",
ISNUMBER(SEARCH("DR Congo",S5278)),"Democratic Republic of the Congo",
ISNUMBER(SEARCH("German DR",S5278)),"DR Germany",
ISNUMBER(SEARCH("rn""&gt;United Arab Emirates",S5278)),"United Arab Emirates",
ISNUMBER(SEARCH("rn""&gt;Republic of Ireland",S5278)),"Ireland",
ISNUMBER(SEARCH("rn""&gt;Bosnia and Herzegovina",S5278)),"Bosnia and Herzegovina",
ISNUMBER(SEARCH("rn""&gt;Trinidad and Tobago",S5278)),"Trinidad and Tobago",
ISNUMBER(SEARCH("rn""&gt;Serbia and Montenegro",S5278)),"Serbia and Montenegro",
ISNUMBER(SEARCH(_xlfn.UNICHAR(65533),S5278)),"Côte d'Ivoire",
TRUE,"-"
)</f>
        <v>-</v>
      </c>
      <c r="W5278" s="42" t="str">
        <f t="shared" si="321"/>
        <v>-</v>
      </c>
    </row>
    <row r="5279" spans="19:23">
      <c r="S5279" s="42" t="str">
        <v/>
      </c>
      <c r="T5279" s="42" t="str">
        <f t="shared" si="319"/>
        <v>-</v>
      </c>
      <c r="U5279" s="40" t="str">
        <f t="shared" si="320"/>
        <v>-</v>
      </c>
      <c r="V5279" s="42" t="str" cm="1">
        <f t="array" ref="V5279">_xlfn.IFS(
LEFT(S5279,16)="win on penalties",IF(VALUE(MID(S5279,19,1))&gt;VALUE(MID(S5279,23,1)),DATA_CLEANED!AK793,DATA_CLEANED!AN793),
ISNUMBER(SEARCH("USA",S5279)),"United States",
ISNUMBER(SEARCH("Republic of Ireland",S5279)),"Ireland",
ISNUMBER(SEARCH("Republic of Korea",S5279)),"South Korea",
ISNUMBER(SEARCH("Cape Verde",S5279)),"Cabo Verde",
ISNUMBER(SEARCH("Czechia",S5279)),"Czech Republic",
ISNUMBER(SEARCH("Türkiye",S5279)),"Turkey",
ISNUMBER(SEARCH("Ivory Coast",S5279)),"Côte d'Ivoire",
ISNUMBER(SEARCH("Korea Republic",S5279)),"South Korea",
ISNUMBER(SEARCH("Germany FR",S5279)),"FR Germany",
ISNUMBER(SEARCH("West Germany",S5279)),"FR Germany",
ISNUMBER(SEARCH("Germany DR",S5279)),"DR Germany",
ISNUMBER(SEARCH("Korea DPR",S5279)),"North Korea",
ISNUMBER(SEARCH("China PR",S5279)),"China",
ISNUMBER(SEARCH("IR Iran",S5279)),"Iran",
ISNUMBER(SEARCH("Congo DR",S5279)),"Democratic Republic of the Congo",
ISNUMBER(SEARCH("DR Congo",S5279)),"Democratic Republic of the Congo",
ISNUMBER(SEARCH("German DR",S5279)),"DR Germany",
ISNUMBER(SEARCH("rn""&gt;United Arab Emirates",S5279)),"United Arab Emirates",
ISNUMBER(SEARCH("rn""&gt;Republic of Ireland",S5279)),"Ireland",
ISNUMBER(SEARCH("rn""&gt;Bosnia and Herzegovina",S5279)),"Bosnia and Herzegovina",
ISNUMBER(SEARCH("rn""&gt;Trinidad and Tobago",S5279)),"Trinidad and Tobago",
ISNUMBER(SEARCH("rn""&gt;Serbia and Montenegro",S5279)),"Serbia and Montenegro",
ISNUMBER(SEARCH(_xlfn.UNICHAR(65533),S5279)),"Côte d'Ivoire",
TRUE,"-"
)</f>
        <v>-</v>
      </c>
      <c r="W5279" s="42" t="str">
        <f t="shared" si="321"/>
        <v>-</v>
      </c>
    </row>
    <row r="5280" spans="19:23">
      <c r="S5280" s="42" t="str">
        <v/>
      </c>
      <c r="T5280" s="42" t="str">
        <f t="shared" si="319"/>
        <v>-</v>
      </c>
      <c r="U5280" s="40" t="str">
        <f t="shared" si="320"/>
        <v>-</v>
      </c>
      <c r="V5280" s="42" t="str" cm="1">
        <f t="array" ref="V5280">_xlfn.IFS(
LEFT(S5280,16)="win on penalties",IF(VALUE(MID(S5280,19,1))&gt;VALUE(MID(S5280,23,1)),DATA_CLEANED!AK794,DATA_CLEANED!AN794),
ISNUMBER(SEARCH("USA",S5280)),"United States",
ISNUMBER(SEARCH("Republic of Ireland",S5280)),"Ireland",
ISNUMBER(SEARCH("Republic of Korea",S5280)),"South Korea",
ISNUMBER(SEARCH("Cape Verde",S5280)),"Cabo Verde",
ISNUMBER(SEARCH("Czechia",S5280)),"Czech Republic",
ISNUMBER(SEARCH("Türkiye",S5280)),"Turkey",
ISNUMBER(SEARCH("Ivory Coast",S5280)),"Côte d'Ivoire",
ISNUMBER(SEARCH("Korea Republic",S5280)),"South Korea",
ISNUMBER(SEARCH("Germany FR",S5280)),"FR Germany",
ISNUMBER(SEARCH("West Germany",S5280)),"FR Germany",
ISNUMBER(SEARCH("Germany DR",S5280)),"DR Germany",
ISNUMBER(SEARCH("Korea DPR",S5280)),"North Korea",
ISNUMBER(SEARCH("China PR",S5280)),"China",
ISNUMBER(SEARCH("IR Iran",S5280)),"Iran",
ISNUMBER(SEARCH("Congo DR",S5280)),"Democratic Republic of the Congo",
ISNUMBER(SEARCH("DR Congo",S5280)),"Democratic Republic of the Congo",
ISNUMBER(SEARCH("German DR",S5280)),"DR Germany",
ISNUMBER(SEARCH("rn""&gt;United Arab Emirates",S5280)),"United Arab Emirates",
ISNUMBER(SEARCH("rn""&gt;Republic of Ireland",S5280)),"Ireland",
ISNUMBER(SEARCH("rn""&gt;Bosnia and Herzegovina",S5280)),"Bosnia and Herzegovina",
ISNUMBER(SEARCH("rn""&gt;Trinidad and Tobago",S5280)),"Trinidad and Tobago",
ISNUMBER(SEARCH("rn""&gt;Serbia and Montenegro",S5280)),"Serbia and Montenegro",
ISNUMBER(SEARCH(_xlfn.UNICHAR(65533),S5280)),"Côte d'Ivoire",
TRUE,"-"
)</f>
        <v>-</v>
      </c>
      <c r="W5280" s="42" t="str">
        <f t="shared" si="321"/>
        <v>-</v>
      </c>
    </row>
    <row r="5281" spans="19:23">
      <c r="S5281" s="42" t="str">
        <v/>
      </c>
      <c r="T5281" s="42" t="str">
        <f t="shared" si="319"/>
        <v>-</v>
      </c>
      <c r="U5281" s="40" t="str">
        <f t="shared" si="320"/>
        <v>-</v>
      </c>
      <c r="V5281" s="42" t="str" cm="1">
        <f t="array" ref="V5281">_xlfn.IFS(
LEFT(S5281,16)="win on penalties",IF(VALUE(MID(S5281,19,1))&gt;VALUE(MID(S5281,23,1)),DATA_CLEANED!AK795,DATA_CLEANED!AN795),
ISNUMBER(SEARCH("USA",S5281)),"United States",
ISNUMBER(SEARCH("Republic of Ireland",S5281)),"Ireland",
ISNUMBER(SEARCH("Republic of Korea",S5281)),"South Korea",
ISNUMBER(SEARCH("Cape Verde",S5281)),"Cabo Verde",
ISNUMBER(SEARCH("Czechia",S5281)),"Czech Republic",
ISNUMBER(SEARCH("Türkiye",S5281)),"Turkey",
ISNUMBER(SEARCH("Ivory Coast",S5281)),"Côte d'Ivoire",
ISNUMBER(SEARCH("Korea Republic",S5281)),"South Korea",
ISNUMBER(SEARCH("Germany FR",S5281)),"FR Germany",
ISNUMBER(SEARCH("West Germany",S5281)),"FR Germany",
ISNUMBER(SEARCH("Germany DR",S5281)),"DR Germany",
ISNUMBER(SEARCH("Korea DPR",S5281)),"North Korea",
ISNUMBER(SEARCH("China PR",S5281)),"China",
ISNUMBER(SEARCH("IR Iran",S5281)),"Iran",
ISNUMBER(SEARCH("Congo DR",S5281)),"Democratic Republic of the Congo",
ISNUMBER(SEARCH("DR Congo",S5281)),"Democratic Republic of the Congo",
ISNUMBER(SEARCH("German DR",S5281)),"DR Germany",
ISNUMBER(SEARCH("rn""&gt;United Arab Emirates",S5281)),"United Arab Emirates",
ISNUMBER(SEARCH("rn""&gt;Republic of Ireland",S5281)),"Ireland",
ISNUMBER(SEARCH("rn""&gt;Bosnia and Herzegovina",S5281)),"Bosnia and Herzegovina",
ISNUMBER(SEARCH("rn""&gt;Trinidad and Tobago",S5281)),"Trinidad and Tobago",
ISNUMBER(SEARCH("rn""&gt;Serbia and Montenegro",S5281)),"Serbia and Montenegro",
ISNUMBER(SEARCH(_xlfn.UNICHAR(65533),S5281)),"Côte d'Ivoire",
TRUE,"-"
)</f>
        <v>-</v>
      </c>
      <c r="W5281" s="42" t="str">
        <f t="shared" si="321"/>
        <v>-</v>
      </c>
    </row>
    <row r="5282" spans="19:23">
      <c r="S5282" s="42" t="str">
        <v/>
      </c>
      <c r="T5282" s="42" t="str">
        <f t="shared" si="319"/>
        <v>-</v>
      </c>
      <c r="U5282" s="40" t="str">
        <f t="shared" si="320"/>
        <v>-</v>
      </c>
      <c r="V5282" s="42" t="str" cm="1">
        <f t="array" ref="V5282">_xlfn.IFS(
LEFT(S5282,16)="win on penalties",IF(VALUE(MID(S5282,19,1))&gt;VALUE(MID(S5282,23,1)),DATA_CLEANED!AK796,DATA_CLEANED!AN796),
ISNUMBER(SEARCH("USA",S5282)),"United States",
ISNUMBER(SEARCH("Republic of Ireland",S5282)),"Ireland",
ISNUMBER(SEARCH("Republic of Korea",S5282)),"South Korea",
ISNUMBER(SEARCH("Cape Verde",S5282)),"Cabo Verde",
ISNUMBER(SEARCH("Czechia",S5282)),"Czech Republic",
ISNUMBER(SEARCH("Türkiye",S5282)),"Turkey",
ISNUMBER(SEARCH("Ivory Coast",S5282)),"Côte d'Ivoire",
ISNUMBER(SEARCH("Korea Republic",S5282)),"South Korea",
ISNUMBER(SEARCH("Germany FR",S5282)),"FR Germany",
ISNUMBER(SEARCH("West Germany",S5282)),"FR Germany",
ISNUMBER(SEARCH("Germany DR",S5282)),"DR Germany",
ISNUMBER(SEARCH("Korea DPR",S5282)),"North Korea",
ISNUMBER(SEARCH("China PR",S5282)),"China",
ISNUMBER(SEARCH("IR Iran",S5282)),"Iran",
ISNUMBER(SEARCH("Congo DR",S5282)),"Democratic Republic of the Congo",
ISNUMBER(SEARCH("DR Congo",S5282)),"Democratic Republic of the Congo",
ISNUMBER(SEARCH("German DR",S5282)),"DR Germany",
ISNUMBER(SEARCH("rn""&gt;United Arab Emirates",S5282)),"United Arab Emirates",
ISNUMBER(SEARCH("rn""&gt;Republic of Ireland",S5282)),"Ireland",
ISNUMBER(SEARCH("rn""&gt;Bosnia and Herzegovina",S5282)),"Bosnia and Herzegovina",
ISNUMBER(SEARCH("rn""&gt;Trinidad and Tobago",S5282)),"Trinidad and Tobago",
ISNUMBER(SEARCH("rn""&gt;Serbia and Montenegro",S5282)),"Serbia and Montenegro",
ISNUMBER(SEARCH(_xlfn.UNICHAR(65533),S5282)),"Côte d'Ivoire",
TRUE,"-"
)</f>
        <v>-</v>
      </c>
      <c r="W5282" s="42" t="str">
        <f t="shared" si="321"/>
        <v>-</v>
      </c>
    </row>
    <row r="5283" spans="19:23">
      <c r="S5283" s="42" t="str">
        <v/>
      </c>
      <c r="T5283" s="42" t="str">
        <f t="shared" si="319"/>
        <v>-</v>
      </c>
      <c r="U5283" s="40" t="str">
        <f t="shared" si="320"/>
        <v>-</v>
      </c>
      <c r="V5283" s="42" t="str" cm="1">
        <f t="array" ref="V5283">_xlfn.IFS(
LEFT(S5283,16)="win on penalties",IF(VALUE(MID(S5283,19,1))&gt;VALUE(MID(S5283,23,1)),DATA_CLEANED!AK797,DATA_CLEANED!AN797),
ISNUMBER(SEARCH("USA",S5283)),"United States",
ISNUMBER(SEARCH("Republic of Ireland",S5283)),"Ireland",
ISNUMBER(SEARCH("Republic of Korea",S5283)),"South Korea",
ISNUMBER(SEARCH("Cape Verde",S5283)),"Cabo Verde",
ISNUMBER(SEARCH("Czechia",S5283)),"Czech Republic",
ISNUMBER(SEARCH("Türkiye",S5283)),"Turkey",
ISNUMBER(SEARCH("Ivory Coast",S5283)),"Côte d'Ivoire",
ISNUMBER(SEARCH("Korea Republic",S5283)),"South Korea",
ISNUMBER(SEARCH("Germany FR",S5283)),"FR Germany",
ISNUMBER(SEARCH("West Germany",S5283)),"FR Germany",
ISNUMBER(SEARCH("Germany DR",S5283)),"DR Germany",
ISNUMBER(SEARCH("Korea DPR",S5283)),"North Korea",
ISNUMBER(SEARCH("China PR",S5283)),"China",
ISNUMBER(SEARCH("IR Iran",S5283)),"Iran",
ISNUMBER(SEARCH("Congo DR",S5283)),"Democratic Republic of the Congo",
ISNUMBER(SEARCH("DR Congo",S5283)),"Democratic Republic of the Congo",
ISNUMBER(SEARCH("German DR",S5283)),"DR Germany",
ISNUMBER(SEARCH("rn""&gt;United Arab Emirates",S5283)),"United Arab Emirates",
ISNUMBER(SEARCH("rn""&gt;Republic of Ireland",S5283)),"Ireland",
ISNUMBER(SEARCH("rn""&gt;Bosnia and Herzegovina",S5283)),"Bosnia and Herzegovina",
ISNUMBER(SEARCH("rn""&gt;Trinidad and Tobago",S5283)),"Trinidad and Tobago",
ISNUMBER(SEARCH("rn""&gt;Serbia and Montenegro",S5283)),"Serbia and Montenegro",
ISNUMBER(SEARCH(_xlfn.UNICHAR(65533),S5283)),"Côte d'Ivoire",
TRUE,"-"
)</f>
        <v>-</v>
      </c>
      <c r="W5283" s="42" t="str">
        <f t="shared" si="321"/>
        <v>-</v>
      </c>
    </row>
    <row r="5284" spans="19:23">
      <c r="S5284" s="42" t="str">
        <v/>
      </c>
      <c r="T5284" s="42" t="str">
        <f t="shared" si="319"/>
        <v>-</v>
      </c>
      <c r="U5284" s="40" t="str">
        <f t="shared" si="320"/>
        <v>-</v>
      </c>
      <c r="V5284" s="42" t="str" cm="1">
        <f t="array" ref="V5284">_xlfn.IFS(
LEFT(S5284,16)="win on penalties",IF(VALUE(MID(S5284,19,1))&gt;VALUE(MID(S5284,23,1)),DATA_CLEANED!AK798,DATA_CLEANED!AN798),
ISNUMBER(SEARCH("USA",S5284)),"United States",
ISNUMBER(SEARCH("Republic of Ireland",S5284)),"Ireland",
ISNUMBER(SEARCH("Republic of Korea",S5284)),"South Korea",
ISNUMBER(SEARCH("Cape Verde",S5284)),"Cabo Verde",
ISNUMBER(SEARCH("Czechia",S5284)),"Czech Republic",
ISNUMBER(SEARCH("Türkiye",S5284)),"Turkey",
ISNUMBER(SEARCH("Ivory Coast",S5284)),"Côte d'Ivoire",
ISNUMBER(SEARCH("Korea Republic",S5284)),"South Korea",
ISNUMBER(SEARCH("Germany FR",S5284)),"FR Germany",
ISNUMBER(SEARCH("West Germany",S5284)),"FR Germany",
ISNUMBER(SEARCH("Germany DR",S5284)),"DR Germany",
ISNUMBER(SEARCH("Korea DPR",S5284)),"North Korea",
ISNUMBER(SEARCH("China PR",S5284)),"China",
ISNUMBER(SEARCH("IR Iran",S5284)),"Iran",
ISNUMBER(SEARCH("Congo DR",S5284)),"Democratic Republic of the Congo",
ISNUMBER(SEARCH("DR Congo",S5284)),"Democratic Republic of the Congo",
ISNUMBER(SEARCH("German DR",S5284)),"DR Germany",
ISNUMBER(SEARCH("rn""&gt;United Arab Emirates",S5284)),"United Arab Emirates",
ISNUMBER(SEARCH("rn""&gt;Republic of Ireland",S5284)),"Ireland",
ISNUMBER(SEARCH("rn""&gt;Bosnia and Herzegovina",S5284)),"Bosnia and Herzegovina",
ISNUMBER(SEARCH("rn""&gt;Trinidad and Tobago",S5284)),"Trinidad and Tobago",
ISNUMBER(SEARCH("rn""&gt;Serbia and Montenegro",S5284)),"Serbia and Montenegro",
ISNUMBER(SEARCH(_xlfn.UNICHAR(65533),S5284)),"Côte d'Ivoire",
TRUE,"-"
)</f>
        <v>-</v>
      </c>
      <c r="W5284" s="42" t="str">
        <f t="shared" si="321"/>
        <v>-</v>
      </c>
    </row>
    <row r="5285" spans="19:23">
      <c r="S5285" s="42" t="str">
        <v/>
      </c>
      <c r="T5285" s="42" t="str">
        <f t="shared" si="319"/>
        <v>-</v>
      </c>
      <c r="U5285" s="40" t="str">
        <f t="shared" si="320"/>
        <v>-</v>
      </c>
      <c r="V5285" s="42" t="str" cm="1">
        <f t="array" ref="V5285">_xlfn.IFS(
LEFT(S5285,16)="win on penalties",IF(VALUE(MID(S5285,19,1))&gt;VALUE(MID(S5285,23,1)),DATA_CLEANED!AK799,DATA_CLEANED!AN799),
ISNUMBER(SEARCH("USA",S5285)),"United States",
ISNUMBER(SEARCH("Republic of Ireland",S5285)),"Ireland",
ISNUMBER(SEARCH("Republic of Korea",S5285)),"South Korea",
ISNUMBER(SEARCH("Cape Verde",S5285)),"Cabo Verde",
ISNUMBER(SEARCH("Czechia",S5285)),"Czech Republic",
ISNUMBER(SEARCH("Türkiye",S5285)),"Turkey",
ISNUMBER(SEARCH("Ivory Coast",S5285)),"Côte d'Ivoire",
ISNUMBER(SEARCH("Korea Republic",S5285)),"South Korea",
ISNUMBER(SEARCH("Germany FR",S5285)),"FR Germany",
ISNUMBER(SEARCH("West Germany",S5285)),"FR Germany",
ISNUMBER(SEARCH("Germany DR",S5285)),"DR Germany",
ISNUMBER(SEARCH("Korea DPR",S5285)),"North Korea",
ISNUMBER(SEARCH("China PR",S5285)),"China",
ISNUMBER(SEARCH("IR Iran",S5285)),"Iran",
ISNUMBER(SEARCH("Congo DR",S5285)),"Democratic Republic of the Congo",
ISNUMBER(SEARCH("DR Congo",S5285)),"Democratic Republic of the Congo",
ISNUMBER(SEARCH("German DR",S5285)),"DR Germany",
ISNUMBER(SEARCH("rn""&gt;United Arab Emirates",S5285)),"United Arab Emirates",
ISNUMBER(SEARCH("rn""&gt;Republic of Ireland",S5285)),"Ireland",
ISNUMBER(SEARCH("rn""&gt;Bosnia and Herzegovina",S5285)),"Bosnia and Herzegovina",
ISNUMBER(SEARCH("rn""&gt;Trinidad and Tobago",S5285)),"Trinidad and Tobago",
ISNUMBER(SEARCH("rn""&gt;Serbia and Montenegro",S5285)),"Serbia and Montenegro",
ISNUMBER(SEARCH(_xlfn.UNICHAR(65533),S5285)),"Côte d'Ivoire",
TRUE,"-"
)</f>
        <v>-</v>
      </c>
      <c r="W5285" s="42" t="str">
        <f t="shared" si="321"/>
        <v>-</v>
      </c>
    </row>
    <row r="5286" spans="19:23">
      <c r="S5286" s="42" t="str">
        <v/>
      </c>
      <c r="T5286" s="42" t="str">
        <f t="shared" si="319"/>
        <v>-</v>
      </c>
      <c r="U5286" s="40" t="str">
        <f t="shared" si="320"/>
        <v>-</v>
      </c>
      <c r="V5286" s="42" t="str" cm="1">
        <f t="array" ref="V5286">_xlfn.IFS(
LEFT(S5286,16)="win on penalties",IF(VALUE(MID(S5286,19,1))&gt;VALUE(MID(S5286,23,1)),DATA_CLEANED!AK800,DATA_CLEANED!AN800),
ISNUMBER(SEARCH("USA",S5286)),"United States",
ISNUMBER(SEARCH("Republic of Ireland",S5286)),"Ireland",
ISNUMBER(SEARCH("Republic of Korea",S5286)),"South Korea",
ISNUMBER(SEARCH("Cape Verde",S5286)),"Cabo Verde",
ISNUMBER(SEARCH("Czechia",S5286)),"Czech Republic",
ISNUMBER(SEARCH("Türkiye",S5286)),"Turkey",
ISNUMBER(SEARCH("Ivory Coast",S5286)),"Côte d'Ivoire",
ISNUMBER(SEARCH("Korea Republic",S5286)),"South Korea",
ISNUMBER(SEARCH("Germany FR",S5286)),"FR Germany",
ISNUMBER(SEARCH("West Germany",S5286)),"FR Germany",
ISNUMBER(SEARCH("Germany DR",S5286)),"DR Germany",
ISNUMBER(SEARCH("Korea DPR",S5286)),"North Korea",
ISNUMBER(SEARCH("China PR",S5286)),"China",
ISNUMBER(SEARCH("IR Iran",S5286)),"Iran",
ISNUMBER(SEARCH("Congo DR",S5286)),"Democratic Republic of the Congo",
ISNUMBER(SEARCH("DR Congo",S5286)),"Democratic Republic of the Congo",
ISNUMBER(SEARCH("German DR",S5286)),"DR Germany",
ISNUMBER(SEARCH("rn""&gt;United Arab Emirates",S5286)),"United Arab Emirates",
ISNUMBER(SEARCH("rn""&gt;Republic of Ireland",S5286)),"Ireland",
ISNUMBER(SEARCH("rn""&gt;Bosnia and Herzegovina",S5286)),"Bosnia and Herzegovina",
ISNUMBER(SEARCH("rn""&gt;Trinidad and Tobago",S5286)),"Trinidad and Tobago",
ISNUMBER(SEARCH("rn""&gt;Serbia and Montenegro",S5286)),"Serbia and Montenegro",
ISNUMBER(SEARCH(_xlfn.UNICHAR(65533),S5286)),"Côte d'Ivoire",
TRUE,"-"
)</f>
        <v>-</v>
      </c>
      <c r="W5286" s="42" t="str">
        <f t="shared" si="321"/>
        <v>-</v>
      </c>
    </row>
    <row r="5287" spans="19:23">
      <c r="S5287" s="42" t="str">
        <v/>
      </c>
      <c r="T5287" s="42" t="str">
        <f t="shared" si="319"/>
        <v>-</v>
      </c>
      <c r="U5287" s="40" t="str">
        <f t="shared" si="320"/>
        <v>-</v>
      </c>
      <c r="V5287" s="42" t="str" cm="1">
        <f t="array" ref="V5287">_xlfn.IFS(
LEFT(S5287,16)="win on penalties",IF(VALUE(MID(S5287,19,1))&gt;VALUE(MID(S5287,23,1)),DATA_CLEANED!AK801,DATA_CLEANED!AN801),
ISNUMBER(SEARCH("USA",S5287)),"United States",
ISNUMBER(SEARCH("Republic of Ireland",S5287)),"Ireland",
ISNUMBER(SEARCH("Republic of Korea",S5287)),"South Korea",
ISNUMBER(SEARCH("Cape Verde",S5287)),"Cabo Verde",
ISNUMBER(SEARCH("Czechia",S5287)),"Czech Republic",
ISNUMBER(SEARCH("Türkiye",S5287)),"Turkey",
ISNUMBER(SEARCH("Ivory Coast",S5287)),"Côte d'Ivoire",
ISNUMBER(SEARCH("Korea Republic",S5287)),"South Korea",
ISNUMBER(SEARCH("Germany FR",S5287)),"FR Germany",
ISNUMBER(SEARCH("West Germany",S5287)),"FR Germany",
ISNUMBER(SEARCH("Germany DR",S5287)),"DR Germany",
ISNUMBER(SEARCH("Korea DPR",S5287)),"North Korea",
ISNUMBER(SEARCH("China PR",S5287)),"China",
ISNUMBER(SEARCH("IR Iran",S5287)),"Iran",
ISNUMBER(SEARCH("Congo DR",S5287)),"Democratic Republic of the Congo",
ISNUMBER(SEARCH("DR Congo",S5287)),"Democratic Republic of the Congo",
ISNUMBER(SEARCH("German DR",S5287)),"DR Germany",
ISNUMBER(SEARCH("rn""&gt;United Arab Emirates",S5287)),"United Arab Emirates",
ISNUMBER(SEARCH("rn""&gt;Republic of Ireland",S5287)),"Ireland",
ISNUMBER(SEARCH("rn""&gt;Bosnia and Herzegovina",S5287)),"Bosnia and Herzegovina",
ISNUMBER(SEARCH("rn""&gt;Trinidad and Tobago",S5287)),"Trinidad and Tobago",
ISNUMBER(SEARCH("rn""&gt;Serbia and Montenegro",S5287)),"Serbia and Montenegro",
ISNUMBER(SEARCH(_xlfn.UNICHAR(65533),S5287)),"Côte d'Ivoire",
TRUE,"-"
)</f>
        <v>-</v>
      </c>
      <c r="W5287" s="42" t="str">
        <f t="shared" si="321"/>
        <v>-</v>
      </c>
    </row>
    <row r="5288" spans="19:23">
      <c r="S5288" s="42" t="str">
        <v/>
      </c>
      <c r="T5288" s="42" t="str">
        <f t="shared" si="319"/>
        <v>-</v>
      </c>
      <c r="U5288" s="40" t="str">
        <f t="shared" si="320"/>
        <v>-</v>
      </c>
      <c r="V5288" s="42" t="str" cm="1">
        <f t="array" ref="V5288">_xlfn.IFS(
LEFT(S5288,16)="win on penalties",IF(VALUE(MID(S5288,19,1))&gt;VALUE(MID(S5288,23,1)),DATA_CLEANED!AK802,DATA_CLEANED!AN802),
ISNUMBER(SEARCH("USA",S5288)),"United States",
ISNUMBER(SEARCH("Republic of Ireland",S5288)),"Ireland",
ISNUMBER(SEARCH("Republic of Korea",S5288)),"South Korea",
ISNUMBER(SEARCH("Cape Verde",S5288)),"Cabo Verde",
ISNUMBER(SEARCH("Czechia",S5288)),"Czech Republic",
ISNUMBER(SEARCH("Türkiye",S5288)),"Turkey",
ISNUMBER(SEARCH("Ivory Coast",S5288)),"Côte d'Ivoire",
ISNUMBER(SEARCH("Korea Republic",S5288)),"South Korea",
ISNUMBER(SEARCH("Germany FR",S5288)),"FR Germany",
ISNUMBER(SEARCH("West Germany",S5288)),"FR Germany",
ISNUMBER(SEARCH("Germany DR",S5288)),"DR Germany",
ISNUMBER(SEARCH("Korea DPR",S5288)),"North Korea",
ISNUMBER(SEARCH("China PR",S5288)),"China",
ISNUMBER(SEARCH("IR Iran",S5288)),"Iran",
ISNUMBER(SEARCH("Congo DR",S5288)),"Democratic Republic of the Congo",
ISNUMBER(SEARCH("DR Congo",S5288)),"Democratic Republic of the Congo",
ISNUMBER(SEARCH("German DR",S5288)),"DR Germany",
ISNUMBER(SEARCH("rn""&gt;United Arab Emirates",S5288)),"United Arab Emirates",
ISNUMBER(SEARCH("rn""&gt;Republic of Ireland",S5288)),"Ireland",
ISNUMBER(SEARCH("rn""&gt;Bosnia and Herzegovina",S5288)),"Bosnia and Herzegovina",
ISNUMBER(SEARCH("rn""&gt;Trinidad and Tobago",S5288)),"Trinidad and Tobago",
ISNUMBER(SEARCH("rn""&gt;Serbia and Montenegro",S5288)),"Serbia and Montenegro",
ISNUMBER(SEARCH(_xlfn.UNICHAR(65533),S5288)),"Côte d'Ivoire",
TRUE,"-"
)</f>
        <v>-</v>
      </c>
      <c r="W5288" s="42" t="str">
        <f t="shared" si="321"/>
        <v>-</v>
      </c>
    </row>
    <row r="5289" spans="19:23">
      <c r="S5289" s="42" t="str">
        <v/>
      </c>
      <c r="T5289" s="42" t="str">
        <f t="shared" si="319"/>
        <v>-</v>
      </c>
      <c r="U5289" s="40" t="str">
        <f t="shared" si="320"/>
        <v>-</v>
      </c>
      <c r="V5289" s="42" t="str" cm="1">
        <f t="array" ref="V5289">_xlfn.IFS(
LEFT(S5289,16)="win on penalties",IF(VALUE(MID(S5289,19,1))&gt;VALUE(MID(S5289,23,1)),DATA_CLEANED!AK803,DATA_CLEANED!AN803),
ISNUMBER(SEARCH("USA",S5289)),"United States",
ISNUMBER(SEARCH("Republic of Ireland",S5289)),"Ireland",
ISNUMBER(SEARCH("Republic of Korea",S5289)),"South Korea",
ISNUMBER(SEARCH("Cape Verde",S5289)),"Cabo Verde",
ISNUMBER(SEARCH("Czechia",S5289)),"Czech Republic",
ISNUMBER(SEARCH("Türkiye",S5289)),"Turkey",
ISNUMBER(SEARCH("Ivory Coast",S5289)),"Côte d'Ivoire",
ISNUMBER(SEARCH("Korea Republic",S5289)),"South Korea",
ISNUMBER(SEARCH("Germany FR",S5289)),"FR Germany",
ISNUMBER(SEARCH("West Germany",S5289)),"FR Germany",
ISNUMBER(SEARCH("Germany DR",S5289)),"DR Germany",
ISNUMBER(SEARCH("Korea DPR",S5289)),"North Korea",
ISNUMBER(SEARCH("China PR",S5289)),"China",
ISNUMBER(SEARCH("IR Iran",S5289)),"Iran",
ISNUMBER(SEARCH("Congo DR",S5289)),"Democratic Republic of the Congo",
ISNUMBER(SEARCH("DR Congo",S5289)),"Democratic Republic of the Congo",
ISNUMBER(SEARCH("German DR",S5289)),"DR Germany",
ISNUMBER(SEARCH("rn""&gt;United Arab Emirates",S5289)),"United Arab Emirates",
ISNUMBER(SEARCH("rn""&gt;Republic of Ireland",S5289)),"Ireland",
ISNUMBER(SEARCH("rn""&gt;Bosnia and Herzegovina",S5289)),"Bosnia and Herzegovina",
ISNUMBER(SEARCH("rn""&gt;Trinidad and Tobago",S5289)),"Trinidad and Tobago",
ISNUMBER(SEARCH("rn""&gt;Serbia and Montenegro",S5289)),"Serbia and Montenegro",
ISNUMBER(SEARCH(_xlfn.UNICHAR(65533),S5289)),"Côte d'Ivoire",
TRUE,"-"
)</f>
        <v>-</v>
      </c>
      <c r="W5289" s="42" t="str">
        <f t="shared" si="321"/>
        <v>-</v>
      </c>
    </row>
    <row r="5290" spans="19:23">
      <c r="S5290" s="42" t="str">
        <v/>
      </c>
      <c r="T5290" s="42" t="str">
        <f t="shared" si="319"/>
        <v>-</v>
      </c>
      <c r="U5290" s="40" t="str">
        <f t="shared" si="320"/>
        <v>-</v>
      </c>
      <c r="V5290" s="42" t="str" cm="1">
        <f t="array" ref="V5290">_xlfn.IFS(
LEFT(S5290,16)="win on penalties",IF(VALUE(MID(S5290,19,1))&gt;VALUE(MID(S5290,23,1)),DATA_CLEANED!AK804,DATA_CLEANED!AN804),
ISNUMBER(SEARCH("USA",S5290)),"United States",
ISNUMBER(SEARCH("Republic of Ireland",S5290)),"Ireland",
ISNUMBER(SEARCH("Republic of Korea",S5290)),"South Korea",
ISNUMBER(SEARCH("Cape Verde",S5290)),"Cabo Verde",
ISNUMBER(SEARCH("Czechia",S5290)),"Czech Republic",
ISNUMBER(SEARCH("Türkiye",S5290)),"Turkey",
ISNUMBER(SEARCH("Ivory Coast",S5290)),"Côte d'Ivoire",
ISNUMBER(SEARCH("Korea Republic",S5290)),"South Korea",
ISNUMBER(SEARCH("Germany FR",S5290)),"FR Germany",
ISNUMBER(SEARCH("West Germany",S5290)),"FR Germany",
ISNUMBER(SEARCH("Germany DR",S5290)),"DR Germany",
ISNUMBER(SEARCH("Korea DPR",S5290)),"North Korea",
ISNUMBER(SEARCH("China PR",S5290)),"China",
ISNUMBER(SEARCH("IR Iran",S5290)),"Iran",
ISNUMBER(SEARCH("Congo DR",S5290)),"Democratic Republic of the Congo",
ISNUMBER(SEARCH("DR Congo",S5290)),"Democratic Republic of the Congo",
ISNUMBER(SEARCH("German DR",S5290)),"DR Germany",
ISNUMBER(SEARCH("rn""&gt;United Arab Emirates",S5290)),"United Arab Emirates",
ISNUMBER(SEARCH("rn""&gt;Republic of Ireland",S5290)),"Ireland",
ISNUMBER(SEARCH("rn""&gt;Bosnia and Herzegovina",S5290)),"Bosnia and Herzegovina",
ISNUMBER(SEARCH("rn""&gt;Trinidad and Tobago",S5290)),"Trinidad and Tobago",
ISNUMBER(SEARCH("rn""&gt;Serbia and Montenegro",S5290)),"Serbia and Montenegro",
ISNUMBER(SEARCH(_xlfn.UNICHAR(65533),S5290)),"Côte d'Ivoire",
TRUE,"-"
)</f>
        <v>-</v>
      </c>
      <c r="W5290" s="42" t="str">
        <f t="shared" si="321"/>
        <v>-</v>
      </c>
    </row>
    <row r="5291" spans="19:23">
      <c r="S5291" s="42" t="str">
        <v/>
      </c>
      <c r="T5291" s="42" t="str">
        <f t="shared" si="319"/>
        <v>-</v>
      </c>
      <c r="U5291" s="40" t="str">
        <f t="shared" si="320"/>
        <v>-</v>
      </c>
      <c r="V5291" s="42" t="str" cm="1">
        <f t="array" ref="V5291">_xlfn.IFS(
LEFT(S5291,16)="win on penalties",IF(VALUE(MID(S5291,19,1))&gt;VALUE(MID(S5291,23,1)),DATA_CLEANED!AK805,DATA_CLEANED!AN805),
ISNUMBER(SEARCH("USA",S5291)),"United States",
ISNUMBER(SEARCH("Republic of Ireland",S5291)),"Ireland",
ISNUMBER(SEARCH("Republic of Korea",S5291)),"South Korea",
ISNUMBER(SEARCH("Cape Verde",S5291)),"Cabo Verde",
ISNUMBER(SEARCH("Czechia",S5291)),"Czech Republic",
ISNUMBER(SEARCH("Türkiye",S5291)),"Turkey",
ISNUMBER(SEARCH("Ivory Coast",S5291)),"Côte d'Ivoire",
ISNUMBER(SEARCH("Korea Republic",S5291)),"South Korea",
ISNUMBER(SEARCH("Germany FR",S5291)),"FR Germany",
ISNUMBER(SEARCH("West Germany",S5291)),"FR Germany",
ISNUMBER(SEARCH("Germany DR",S5291)),"DR Germany",
ISNUMBER(SEARCH("Korea DPR",S5291)),"North Korea",
ISNUMBER(SEARCH("China PR",S5291)),"China",
ISNUMBER(SEARCH("IR Iran",S5291)),"Iran",
ISNUMBER(SEARCH("Congo DR",S5291)),"Democratic Republic of the Congo",
ISNUMBER(SEARCH("DR Congo",S5291)),"Democratic Republic of the Congo",
ISNUMBER(SEARCH("German DR",S5291)),"DR Germany",
ISNUMBER(SEARCH("rn""&gt;United Arab Emirates",S5291)),"United Arab Emirates",
ISNUMBER(SEARCH("rn""&gt;Republic of Ireland",S5291)),"Ireland",
ISNUMBER(SEARCH("rn""&gt;Bosnia and Herzegovina",S5291)),"Bosnia and Herzegovina",
ISNUMBER(SEARCH("rn""&gt;Trinidad and Tobago",S5291)),"Trinidad and Tobago",
ISNUMBER(SEARCH("rn""&gt;Serbia and Montenegro",S5291)),"Serbia and Montenegro",
ISNUMBER(SEARCH(_xlfn.UNICHAR(65533),S5291)),"Côte d'Ivoire",
TRUE,"-"
)</f>
        <v>-</v>
      </c>
      <c r="W5291" s="42" t="str">
        <f t="shared" si="321"/>
        <v>-</v>
      </c>
    </row>
    <row r="5292" spans="19:23">
      <c r="S5292" s="42" t="str">
        <v/>
      </c>
      <c r="T5292" s="42" t="str">
        <f t="shared" si="319"/>
        <v>-</v>
      </c>
      <c r="U5292" s="40" t="str">
        <f t="shared" si="320"/>
        <v>-</v>
      </c>
      <c r="V5292" s="42" t="str" cm="1">
        <f t="array" ref="V5292">_xlfn.IFS(
LEFT(S5292,16)="win on penalties",IF(VALUE(MID(S5292,19,1))&gt;VALUE(MID(S5292,23,1)),DATA_CLEANED!AK806,DATA_CLEANED!AN806),
ISNUMBER(SEARCH("USA",S5292)),"United States",
ISNUMBER(SEARCH("Republic of Ireland",S5292)),"Ireland",
ISNUMBER(SEARCH("Republic of Korea",S5292)),"South Korea",
ISNUMBER(SEARCH("Cape Verde",S5292)),"Cabo Verde",
ISNUMBER(SEARCH("Czechia",S5292)),"Czech Republic",
ISNUMBER(SEARCH("Türkiye",S5292)),"Turkey",
ISNUMBER(SEARCH("Ivory Coast",S5292)),"Côte d'Ivoire",
ISNUMBER(SEARCH("Korea Republic",S5292)),"South Korea",
ISNUMBER(SEARCH("Germany FR",S5292)),"FR Germany",
ISNUMBER(SEARCH("West Germany",S5292)),"FR Germany",
ISNUMBER(SEARCH("Germany DR",S5292)),"DR Germany",
ISNUMBER(SEARCH("Korea DPR",S5292)),"North Korea",
ISNUMBER(SEARCH("China PR",S5292)),"China",
ISNUMBER(SEARCH("IR Iran",S5292)),"Iran",
ISNUMBER(SEARCH("Congo DR",S5292)),"Democratic Republic of the Congo",
ISNUMBER(SEARCH("DR Congo",S5292)),"Democratic Republic of the Congo",
ISNUMBER(SEARCH("German DR",S5292)),"DR Germany",
ISNUMBER(SEARCH("rn""&gt;United Arab Emirates",S5292)),"United Arab Emirates",
ISNUMBER(SEARCH("rn""&gt;Republic of Ireland",S5292)),"Ireland",
ISNUMBER(SEARCH("rn""&gt;Bosnia and Herzegovina",S5292)),"Bosnia and Herzegovina",
ISNUMBER(SEARCH("rn""&gt;Trinidad and Tobago",S5292)),"Trinidad and Tobago",
ISNUMBER(SEARCH("rn""&gt;Serbia and Montenegro",S5292)),"Serbia and Montenegro",
ISNUMBER(SEARCH(_xlfn.UNICHAR(65533),S5292)),"Côte d'Ivoire",
TRUE,"-"
)</f>
        <v>-</v>
      </c>
      <c r="W5292" s="42" t="str">
        <f t="shared" si="321"/>
        <v>-</v>
      </c>
    </row>
    <row r="5293" spans="19:23">
      <c r="S5293" s="42" t="str">
        <v/>
      </c>
      <c r="T5293" s="42" t="str">
        <f t="shared" si="319"/>
        <v>-</v>
      </c>
      <c r="U5293" s="40" t="str">
        <f t="shared" si="320"/>
        <v>-</v>
      </c>
      <c r="V5293" s="42" t="str" cm="1">
        <f t="array" ref="V5293">_xlfn.IFS(
LEFT(S5293,16)="win on penalties",IF(VALUE(MID(S5293,19,1))&gt;VALUE(MID(S5293,23,1)),DATA_CLEANED!AK807,DATA_CLEANED!AN807),
ISNUMBER(SEARCH("USA",S5293)),"United States",
ISNUMBER(SEARCH("Republic of Ireland",S5293)),"Ireland",
ISNUMBER(SEARCH("Republic of Korea",S5293)),"South Korea",
ISNUMBER(SEARCH("Cape Verde",S5293)),"Cabo Verde",
ISNUMBER(SEARCH("Czechia",S5293)),"Czech Republic",
ISNUMBER(SEARCH("Türkiye",S5293)),"Turkey",
ISNUMBER(SEARCH("Ivory Coast",S5293)),"Côte d'Ivoire",
ISNUMBER(SEARCH("Korea Republic",S5293)),"South Korea",
ISNUMBER(SEARCH("Germany FR",S5293)),"FR Germany",
ISNUMBER(SEARCH("West Germany",S5293)),"FR Germany",
ISNUMBER(SEARCH("Germany DR",S5293)),"DR Germany",
ISNUMBER(SEARCH("Korea DPR",S5293)),"North Korea",
ISNUMBER(SEARCH("China PR",S5293)),"China",
ISNUMBER(SEARCH("IR Iran",S5293)),"Iran",
ISNUMBER(SEARCH("Congo DR",S5293)),"Democratic Republic of the Congo",
ISNUMBER(SEARCH("DR Congo",S5293)),"Democratic Republic of the Congo",
ISNUMBER(SEARCH("German DR",S5293)),"DR Germany",
ISNUMBER(SEARCH("rn""&gt;United Arab Emirates",S5293)),"United Arab Emirates",
ISNUMBER(SEARCH("rn""&gt;Republic of Ireland",S5293)),"Ireland",
ISNUMBER(SEARCH("rn""&gt;Bosnia and Herzegovina",S5293)),"Bosnia and Herzegovina",
ISNUMBER(SEARCH("rn""&gt;Trinidad and Tobago",S5293)),"Trinidad and Tobago",
ISNUMBER(SEARCH("rn""&gt;Serbia and Montenegro",S5293)),"Serbia and Montenegro",
ISNUMBER(SEARCH(_xlfn.UNICHAR(65533),S5293)),"Côte d'Ivoire",
TRUE,"-"
)</f>
        <v>-</v>
      </c>
      <c r="W5293" s="42" t="str">
        <f t="shared" si="321"/>
        <v>-</v>
      </c>
    </row>
    <row r="5294" spans="19:23">
      <c r="S5294" s="42" t="str">
        <v/>
      </c>
      <c r="T5294" s="42" t="str">
        <f t="shared" si="319"/>
        <v>-</v>
      </c>
      <c r="U5294" s="40" t="str">
        <f t="shared" si="320"/>
        <v>-</v>
      </c>
      <c r="V5294" s="42" t="str" cm="1">
        <f t="array" ref="V5294">_xlfn.IFS(
LEFT(S5294,16)="win on penalties",IF(VALUE(MID(S5294,19,1))&gt;VALUE(MID(S5294,23,1)),DATA_CLEANED!AK808,DATA_CLEANED!AN808),
ISNUMBER(SEARCH("USA",S5294)),"United States",
ISNUMBER(SEARCH("Republic of Ireland",S5294)),"Ireland",
ISNUMBER(SEARCH("Republic of Korea",S5294)),"South Korea",
ISNUMBER(SEARCH("Cape Verde",S5294)),"Cabo Verde",
ISNUMBER(SEARCH("Czechia",S5294)),"Czech Republic",
ISNUMBER(SEARCH("Türkiye",S5294)),"Turkey",
ISNUMBER(SEARCH("Ivory Coast",S5294)),"Côte d'Ivoire",
ISNUMBER(SEARCH("Korea Republic",S5294)),"South Korea",
ISNUMBER(SEARCH("Germany FR",S5294)),"FR Germany",
ISNUMBER(SEARCH("West Germany",S5294)),"FR Germany",
ISNUMBER(SEARCH("Germany DR",S5294)),"DR Germany",
ISNUMBER(SEARCH("Korea DPR",S5294)),"North Korea",
ISNUMBER(SEARCH("China PR",S5294)),"China",
ISNUMBER(SEARCH("IR Iran",S5294)),"Iran",
ISNUMBER(SEARCH("Congo DR",S5294)),"Democratic Republic of the Congo",
ISNUMBER(SEARCH("DR Congo",S5294)),"Democratic Republic of the Congo",
ISNUMBER(SEARCH("German DR",S5294)),"DR Germany",
ISNUMBER(SEARCH("rn""&gt;United Arab Emirates",S5294)),"United Arab Emirates",
ISNUMBER(SEARCH("rn""&gt;Republic of Ireland",S5294)),"Ireland",
ISNUMBER(SEARCH("rn""&gt;Bosnia and Herzegovina",S5294)),"Bosnia and Herzegovina",
ISNUMBER(SEARCH("rn""&gt;Trinidad and Tobago",S5294)),"Trinidad and Tobago",
ISNUMBER(SEARCH("rn""&gt;Serbia and Montenegro",S5294)),"Serbia and Montenegro",
ISNUMBER(SEARCH(_xlfn.UNICHAR(65533),S5294)),"Côte d'Ivoire",
TRUE,"-"
)</f>
        <v>-</v>
      </c>
      <c r="W5294" s="42" t="str">
        <f t="shared" si="321"/>
        <v>-</v>
      </c>
    </row>
    <row r="5295" spans="19:23">
      <c r="S5295" s="42" t="str">
        <v/>
      </c>
      <c r="T5295" s="42" t="str">
        <f t="shared" si="319"/>
        <v>-</v>
      </c>
      <c r="U5295" s="40" t="str">
        <f t="shared" si="320"/>
        <v>-</v>
      </c>
      <c r="V5295" s="42" t="str" cm="1">
        <f t="array" ref="V5295">_xlfn.IFS(
LEFT(S5295,16)="win on penalties",IF(VALUE(MID(S5295,19,1))&gt;VALUE(MID(S5295,23,1)),DATA_CLEANED!AK809,DATA_CLEANED!AN809),
ISNUMBER(SEARCH("USA",S5295)),"United States",
ISNUMBER(SEARCH("Republic of Ireland",S5295)),"Ireland",
ISNUMBER(SEARCH("Republic of Korea",S5295)),"South Korea",
ISNUMBER(SEARCH("Cape Verde",S5295)),"Cabo Verde",
ISNUMBER(SEARCH("Czechia",S5295)),"Czech Republic",
ISNUMBER(SEARCH("Türkiye",S5295)),"Turkey",
ISNUMBER(SEARCH("Ivory Coast",S5295)),"Côte d'Ivoire",
ISNUMBER(SEARCH("Korea Republic",S5295)),"South Korea",
ISNUMBER(SEARCH("Germany FR",S5295)),"FR Germany",
ISNUMBER(SEARCH("West Germany",S5295)),"FR Germany",
ISNUMBER(SEARCH("Germany DR",S5295)),"DR Germany",
ISNUMBER(SEARCH("Korea DPR",S5295)),"North Korea",
ISNUMBER(SEARCH("China PR",S5295)),"China",
ISNUMBER(SEARCH("IR Iran",S5295)),"Iran",
ISNUMBER(SEARCH("Congo DR",S5295)),"Democratic Republic of the Congo",
ISNUMBER(SEARCH("DR Congo",S5295)),"Democratic Republic of the Congo",
ISNUMBER(SEARCH("German DR",S5295)),"DR Germany",
ISNUMBER(SEARCH("rn""&gt;United Arab Emirates",S5295)),"United Arab Emirates",
ISNUMBER(SEARCH("rn""&gt;Republic of Ireland",S5295)),"Ireland",
ISNUMBER(SEARCH("rn""&gt;Bosnia and Herzegovina",S5295)),"Bosnia and Herzegovina",
ISNUMBER(SEARCH("rn""&gt;Trinidad and Tobago",S5295)),"Trinidad and Tobago",
ISNUMBER(SEARCH("rn""&gt;Serbia and Montenegro",S5295)),"Serbia and Montenegro",
ISNUMBER(SEARCH(_xlfn.UNICHAR(65533),S5295)),"Côte d'Ivoire",
TRUE,"-"
)</f>
        <v>-</v>
      </c>
      <c r="W5295" s="42" t="str">
        <f t="shared" si="321"/>
        <v>-</v>
      </c>
    </row>
    <row r="5296" spans="19:23">
      <c r="S5296" s="42" t="str">
        <v/>
      </c>
      <c r="T5296" s="42" t="str">
        <f t="shared" si="319"/>
        <v>-</v>
      </c>
      <c r="U5296" s="40" t="str">
        <f t="shared" si="320"/>
        <v>-</v>
      </c>
      <c r="V5296" s="42" t="str" cm="1">
        <f t="array" ref="V5296">_xlfn.IFS(
LEFT(S5296,16)="win on penalties",IF(VALUE(MID(S5296,19,1))&gt;VALUE(MID(S5296,23,1)),DATA_CLEANED!AK810,DATA_CLEANED!AN810),
ISNUMBER(SEARCH("USA",S5296)),"United States",
ISNUMBER(SEARCH("Republic of Ireland",S5296)),"Ireland",
ISNUMBER(SEARCH("Republic of Korea",S5296)),"South Korea",
ISNUMBER(SEARCH("Cape Verde",S5296)),"Cabo Verde",
ISNUMBER(SEARCH("Czechia",S5296)),"Czech Republic",
ISNUMBER(SEARCH("Türkiye",S5296)),"Turkey",
ISNUMBER(SEARCH("Ivory Coast",S5296)),"Côte d'Ivoire",
ISNUMBER(SEARCH("Korea Republic",S5296)),"South Korea",
ISNUMBER(SEARCH("Germany FR",S5296)),"FR Germany",
ISNUMBER(SEARCH("West Germany",S5296)),"FR Germany",
ISNUMBER(SEARCH("Germany DR",S5296)),"DR Germany",
ISNUMBER(SEARCH("Korea DPR",S5296)),"North Korea",
ISNUMBER(SEARCH("China PR",S5296)),"China",
ISNUMBER(SEARCH("IR Iran",S5296)),"Iran",
ISNUMBER(SEARCH("Congo DR",S5296)),"Democratic Republic of the Congo",
ISNUMBER(SEARCH("DR Congo",S5296)),"Democratic Republic of the Congo",
ISNUMBER(SEARCH("German DR",S5296)),"DR Germany",
ISNUMBER(SEARCH("rn""&gt;United Arab Emirates",S5296)),"United Arab Emirates",
ISNUMBER(SEARCH("rn""&gt;Republic of Ireland",S5296)),"Ireland",
ISNUMBER(SEARCH("rn""&gt;Bosnia and Herzegovina",S5296)),"Bosnia and Herzegovina",
ISNUMBER(SEARCH("rn""&gt;Trinidad and Tobago",S5296)),"Trinidad and Tobago",
ISNUMBER(SEARCH("rn""&gt;Serbia and Montenegro",S5296)),"Serbia and Montenegro",
ISNUMBER(SEARCH(_xlfn.UNICHAR(65533),S5296)),"Côte d'Ivoire",
TRUE,"-"
)</f>
        <v>-</v>
      </c>
      <c r="W5296" s="42" t="str">
        <f t="shared" si="321"/>
        <v>-</v>
      </c>
    </row>
    <row r="5297" spans="19:23">
      <c r="S5297" s="42" t="str">
        <v/>
      </c>
      <c r="T5297" s="42" t="str">
        <f t="shared" si="319"/>
        <v>-</v>
      </c>
      <c r="U5297" s="40" t="str">
        <f t="shared" si="320"/>
        <v>-</v>
      </c>
      <c r="V5297" s="42" t="str" cm="1">
        <f t="array" ref="V5297">_xlfn.IFS(
LEFT(S5297,16)="win on penalties",IF(VALUE(MID(S5297,19,1))&gt;VALUE(MID(S5297,23,1)),DATA_CLEANED!AK811,DATA_CLEANED!AN811),
ISNUMBER(SEARCH("USA",S5297)),"United States",
ISNUMBER(SEARCH("Republic of Ireland",S5297)),"Ireland",
ISNUMBER(SEARCH("Republic of Korea",S5297)),"South Korea",
ISNUMBER(SEARCH("Cape Verde",S5297)),"Cabo Verde",
ISNUMBER(SEARCH("Czechia",S5297)),"Czech Republic",
ISNUMBER(SEARCH("Türkiye",S5297)),"Turkey",
ISNUMBER(SEARCH("Ivory Coast",S5297)),"Côte d'Ivoire",
ISNUMBER(SEARCH("Korea Republic",S5297)),"South Korea",
ISNUMBER(SEARCH("Germany FR",S5297)),"FR Germany",
ISNUMBER(SEARCH("West Germany",S5297)),"FR Germany",
ISNUMBER(SEARCH("Germany DR",S5297)),"DR Germany",
ISNUMBER(SEARCH("Korea DPR",S5297)),"North Korea",
ISNUMBER(SEARCH("China PR",S5297)),"China",
ISNUMBER(SEARCH("IR Iran",S5297)),"Iran",
ISNUMBER(SEARCH("Congo DR",S5297)),"Democratic Republic of the Congo",
ISNUMBER(SEARCH("DR Congo",S5297)),"Democratic Republic of the Congo",
ISNUMBER(SEARCH("German DR",S5297)),"DR Germany",
ISNUMBER(SEARCH("rn""&gt;United Arab Emirates",S5297)),"United Arab Emirates",
ISNUMBER(SEARCH("rn""&gt;Republic of Ireland",S5297)),"Ireland",
ISNUMBER(SEARCH("rn""&gt;Bosnia and Herzegovina",S5297)),"Bosnia and Herzegovina",
ISNUMBER(SEARCH("rn""&gt;Trinidad and Tobago",S5297)),"Trinidad and Tobago",
ISNUMBER(SEARCH("rn""&gt;Serbia and Montenegro",S5297)),"Serbia and Montenegro",
ISNUMBER(SEARCH(_xlfn.UNICHAR(65533),S5297)),"Côte d'Ivoire",
TRUE,"-"
)</f>
        <v>-</v>
      </c>
      <c r="W5297" s="42" t="str">
        <f t="shared" si="321"/>
        <v>-</v>
      </c>
    </row>
    <row r="5298" spans="19:23">
      <c r="S5298" s="42" t="str">
        <v/>
      </c>
      <c r="T5298" s="42" t="str">
        <f t="shared" si="319"/>
        <v>-</v>
      </c>
      <c r="U5298" s="40" t="str">
        <f t="shared" si="320"/>
        <v>-</v>
      </c>
      <c r="V5298" s="42" t="str" cm="1">
        <f t="array" ref="V5298">_xlfn.IFS(
LEFT(S5298,16)="win on penalties",IF(VALUE(MID(S5298,19,1))&gt;VALUE(MID(S5298,23,1)),DATA_CLEANED!AK812,DATA_CLEANED!AN812),
ISNUMBER(SEARCH("USA",S5298)),"United States",
ISNUMBER(SEARCH("Republic of Ireland",S5298)),"Ireland",
ISNUMBER(SEARCH("Republic of Korea",S5298)),"South Korea",
ISNUMBER(SEARCH("Cape Verde",S5298)),"Cabo Verde",
ISNUMBER(SEARCH("Czechia",S5298)),"Czech Republic",
ISNUMBER(SEARCH("Türkiye",S5298)),"Turkey",
ISNUMBER(SEARCH("Ivory Coast",S5298)),"Côte d'Ivoire",
ISNUMBER(SEARCH("Korea Republic",S5298)),"South Korea",
ISNUMBER(SEARCH("Germany FR",S5298)),"FR Germany",
ISNUMBER(SEARCH("West Germany",S5298)),"FR Germany",
ISNUMBER(SEARCH("Germany DR",S5298)),"DR Germany",
ISNUMBER(SEARCH("Korea DPR",S5298)),"North Korea",
ISNUMBER(SEARCH("China PR",S5298)),"China",
ISNUMBER(SEARCH("IR Iran",S5298)),"Iran",
ISNUMBER(SEARCH("Congo DR",S5298)),"Democratic Republic of the Congo",
ISNUMBER(SEARCH("DR Congo",S5298)),"Democratic Republic of the Congo",
ISNUMBER(SEARCH("German DR",S5298)),"DR Germany",
ISNUMBER(SEARCH("rn""&gt;United Arab Emirates",S5298)),"United Arab Emirates",
ISNUMBER(SEARCH("rn""&gt;Republic of Ireland",S5298)),"Ireland",
ISNUMBER(SEARCH("rn""&gt;Bosnia and Herzegovina",S5298)),"Bosnia and Herzegovina",
ISNUMBER(SEARCH("rn""&gt;Trinidad and Tobago",S5298)),"Trinidad and Tobago",
ISNUMBER(SEARCH("rn""&gt;Serbia and Montenegro",S5298)),"Serbia and Montenegro",
ISNUMBER(SEARCH(_xlfn.UNICHAR(65533),S5298)),"Côte d'Ivoire",
TRUE,"-"
)</f>
        <v>-</v>
      </c>
      <c r="W5298" s="42" t="str">
        <f t="shared" si="321"/>
        <v>-</v>
      </c>
    </row>
    <row r="5299" spans="19:23">
      <c r="S5299" s="42" t="str">
        <v/>
      </c>
      <c r="T5299" s="42" t="str">
        <f t="shared" si="319"/>
        <v>-</v>
      </c>
      <c r="U5299" s="40" t="str">
        <f t="shared" si="320"/>
        <v>-</v>
      </c>
      <c r="V5299" s="42" t="str" cm="1">
        <f t="array" ref="V5299">_xlfn.IFS(
LEFT(S5299,16)="win on penalties",IF(VALUE(MID(S5299,19,1))&gt;VALUE(MID(S5299,23,1)),DATA_CLEANED!AK813,DATA_CLEANED!AN813),
ISNUMBER(SEARCH("USA",S5299)),"United States",
ISNUMBER(SEARCH("Republic of Ireland",S5299)),"Ireland",
ISNUMBER(SEARCH("Republic of Korea",S5299)),"South Korea",
ISNUMBER(SEARCH("Cape Verde",S5299)),"Cabo Verde",
ISNUMBER(SEARCH("Czechia",S5299)),"Czech Republic",
ISNUMBER(SEARCH("Türkiye",S5299)),"Turkey",
ISNUMBER(SEARCH("Ivory Coast",S5299)),"Côte d'Ivoire",
ISNUMBER(SEARCH("Korea Republic",S5299)),"South Korea",
ISNUMBER(SEARCH("Germany FR",S5299)),"FR Germany",
ISNUMBER(SEARCH("West Germany",S5299)),"FR Germany",
ISNUMBER(SEARCH("Germany DR",S5299)),"DR Germany",
ISNUMBER(SEARCH("Korea DPR",S5299)),"North Korea",
ISNUMBER(SEARCH("China PR",S5299)),"China",
ISNUMBER(SEARCH("IR Iran",S5299)),"Iran",
ISNUMBER(SEARCH("Congo DR",S5299)),"Democratic Republic of the Congo",
ISNUMBER(SEARCH("DR Congo",S5299)),"Democratic Republic of the Congo",
ISNUMBER(SEARCH("German DR",S5299)),"DR Germany",
ISNUMBER(SEARCH("rn""&gt;United Arab Emirates",S5299)),"United Arab Emirates",
ISNUMBER(SEARCH("rn""&gt;Republic of Ireland",S5299)),"Ireland",
ISNUMBER(SEARCH("rn""&gt;Bosnia and Herzegovina",S5299)),"Bosnia and Herzegovina",
ISNUMBER(SEARCH("rn""&gt;Trinidad and Tobago",S5299)),"Trinidad and Tobago",
ISNUMBER(SEARCH("rn""&gt;Serbia and Montenegro",S5299)),"Serbia and Montenegro",
ISNUMBER(SEARCH(_xlfn.UNICHAR(65533),S5299)),"Côte d'Ivoire",
TRUE,"-"
)</f>
        <v>-</v>
      </c>
      <c r="W5299" s="42" t="str">
        <f t="shared" si="321"/>
        <v>-</v>
      </c>
    </row>
    <row r="5300" spans="19:23">
      <c r="S5300" s="42" t="str">
        <v/>
      </c>
      <c r="T5300" s="42" t="str">
        <f t="shared" si="319"/>
        <v>-</v>
      </c>
      <c r="U5300" s="40" t="str">
        <f t="shared" si="320"/>
        <v>-</v>
      </c>
      <c r="V5300" s="42" t="str" cm="1">
        <f t="array" ref="V5300">_xlfn.IFS(
LEFT(S5300,16)="win on penalties",IF(VALUE(MID(S5300,19,1))&gt;VALUE(MID(S5300,23,1)),DATA_CLEANED!AK814,DATA_CLEANED!AN814),
ISNUMBER(SEARCH("USA",S5300)),"United States",
ISNUMBER(SEARCH("Republic of Ireland",S5300)),"Ireland",
ISNUMBER(SEARCH("Republic of Korea",S5300)),"South Korea",
ISNUMBER(SEARCH("Cape Verde",S5300)),"Cabo Verde",
ISNUMBER(SEARCH("Czechia",S5300)),"Czech Republic",
ISNUMBER(SEARCH("Türkiye",S5300)),"Turkey",
ISNUMBER(SEARCH("Ivory Coast",S5300)),"Côte d'Ivoire",
ISNUMBER(SEARCH("Korea Republic",S5300)),"South Korea",
ISNUMBER(SEARCH("Germany FR",S5300)),"FR Germany",
ISNUMBER(SEARCH("West Germany",S5300)),"FR Germany",
ISNUMBER(SEARCH("Germany DR",S5300)),"DR Germany",
ISNUMBER(SEARCH("Korea DPR",S5300)),"North Korea",
ISNUMBER(SEARCH("China PR",S5300)),"China",
ISNUMBER(SEARCH("IR Iran",S5300)),"Iran",
ISNUMBER(SEARCH("Congo DR",S5300)),"Democratic Republic of the Congo",
ISNUMBER(SEARCH("DR Congo",S5300)),"Democratic Republic of the Congo",
ISNUMBER(SEARCH("German DR",S5300)),"DR Germany",
ISNUMBER(SEARCH("rn""&gt;United Arab Emirates",S5300)),"United Arab Emirates",
ISNUMBER(SEARCH("rn""&gt;Republic of Ireland",S5300)),"Ireland",
ISNUMBER(SEARCH("rn""&gt;Bosnia and Herzegovina",S5300)),"Bosnia and Herzegovina",
ISNUMBER(SEARCH("rn""&gt;Trinidad and Tobago",S5300)),"Trinidad and Tobago",
ISNUMBER(SEARCH("rn""&gt;Serbia and Montenegro",S5300)),"Serbia and Montenegro",
ISNUMBER(SEARCH(_xlfn.UNICHAR(65533),S5300)),"Côte d'Ivoire",
TRUE,"-"
)</f>
        <v>-</v>
      </c>
      <c r="W5300" s="42" t="str">
        <f t="shared" si="321"/>
        <v>-</v>
      </c>
    </row>
    <row r="5301" spans="19:23">
      <c r="S5301" s="42" t="str">
        <v/>
      </c>
      <c r="T5301" s="42" t="str">
        <f t="shared" si="319"/>
        <v>-</v>
      </c>
      <c r="U5301" s="40" t="str">
        <f t="shared" si="320"/>
        <v>-</v>
      </c>
      <c r="V5301" s="42" t="str" cm="1">
        <f t="array" ref="V5301">_xlfn.IFS(
LEFT(S5301,16)="win on penalties",IF(VALUE(MID(S5301,19,1))&gt;VALUE(MID(S5301,23,1)),DATA_CLEANED!AK815,DATA_CLEANED!AN815),
ISNUMBER(SEARCH("USA",S5301)),"United States",
ISNUMBER(SEARCH("Republic of Ireland",S5301)),"Ireland",
ISNUMBER(SEARCH("Republic of Korea",S5301)),"South Korea",
ISNUMBER(SEARCH("Cape Verde",S5301)),"Cabo Verde",
ISNUMBER(SEARCH("Czechia",S5301)),"Czech Republic",
ISNUMBER(SEARCH("Türkiye",S5301)),"Turkey",
ISNUMBER(SEARCH("Ivory Coast",S5301)),"Côte d'Ivoire",
ISNUMBER(SEARCH("Korea Republic",S5301)),"South Korea",
ISNUMBER(SEARCH("Germany FR",S5301)),"FR Germany",
ISNUMBER(SEARCH("West Germany",S5301)),"FR Germany",
ISNUMBER(SEARCH("Germany DR",S5301)),"DR Germany",
ISNUMBER(SEARCH("Korea DPR",S5301)),"North Korea",
ISNUMBER(SEARCH("China PR",S5301)),"China",
ISNUMBER(SEARCH("IR Iran",S5301)),"Iran",
ISNUMBER(SEARCH("Congo DR",S5301)),"Democratic Republic of the Congo",
ISNUMBER(SEARCH("DR Congo",S5301)),"Democratic Republic of the Congo",
ISNUMBER(SEARCH("German DR",S5301)),"DR Germany",
ISNUMBER(SEARCH("rn""&gt;United Arab Emirates",S5301)),"United Arab Emirates",
ISNUMBER(SEARCH("rn""&gt;Republic of Ireland",S5301)),"Ireland",
ISNUMBER(SEARCH("rn""&gt;Bosnia and Herzegovina",S5301)),"Bosnia and Herzegovina",
ISNUMBER(SEARCH("rn""&gt;Trinidad and Tobago",S5301)),"Trinidad and Tobago",
ISNUMBER(SEARCH("rn""&gt;Serbia and Montenegro",S5301)),"Serbia and Montenegro",
ISNUMBER(SEARCH(_xlfn.UNICHAR(65533),S5301)),"Côte d'Ivoire",
TRUE,"-"
)</f>
        <v>-</v>
      </c>
      <c r="W5301" s="42" t="str">
        <f t="shared" si="321"/>
        <v>-</v>
      </c>
    </row>
    <row r="5302" spans="19:23">
      <c r="S5302" s="42" t="str">
        <v/>
      </c>
      <c r="T5302" s="42" t="str">
        <f t="shared" si="319"/>
        <v>-</v>
      </c>
      <c r="U5302" s="40" t="str">
        <f t="shared" si="320"/>
        <v>-</v>
      </c>
      <c r="V5302" s="42" t="str" cm="1">
        <f t="array" ref="V5302">_xlfn.IFS(
LEFT(S5302,16)="win on penalties",IF(VALUE(MID(S5302,19,1))&gt;VALUE(MID(S5302,23,1)),DATA_CLEANED!AK816,DATA_CLEANED!AN816),
ISNUMBER(SEARCH("USA",S5302)),"United States",
ISNUMBER(SEARCH("Republic of Ireland",S5302)),"Ireland",
ISNUMBER(SEARCH("Republic of Korea",S5302)),"South Korea",
ISNUMBER(SEARCH("Cape Verde",S5302)),"Cabo Verde",
ISNUMBER(SEARCH("Czechia",S5302)),"Czech Republic",
ISNUMBER(SEARCH("Türkiye",S5302)),"Turkey",
ISNUMBER(SEARCH("Ivory Coast",S5302)),"Côte d'Ivoire",
ISNUMBER(SEARCH("Korea Republic",S5302)),"South Korea",
ISNUMBER(SEARCH("Germany FR",S5302)),"FR Germany",
ISNUMBER(SEARCH("West Germany",S5302)),"FR Germany",
ISNUMBER(SEARCH("Germany DR",S5302)),"DR Germany",
ISNUMBER(SEARCH("Korea DPR",S5302)),"North Korea",
ISNUMBER(SEARCH("China PR",S5302)),"China",
ISNUMBER(SEARCH("IR Iran",S5302)),"Iran",
ISNUMBER(SEARCH("Congo DR",S5302)),"Democratic Republic of the Congo",
ISNUMBER(SEARCH("DR Congo",S5302)),"Democratic Republic of the Congo",
ISNUMBER(SEARCH("German DR",S5302)),"DR Germany",
ISNUMBER(SEARCH("rn""&gt;United Arab Emirates",S5302)),"United Arab Emirates",
ISNUMBER(SEARCH("rn""&gt;Republic of Ireland",S5302)),"Ireland",
ISNUMBER(SEARCH("rn""&gt;Bosnia and Herzegovina",S5302)),"Bosnia and Herzegovina",
ISNUMBER(SEARCH("rn""&gt;Trinidad and Tobago",S5302)),"Trinidad and Tobago",
ISNUMBER(SEARCH("rn""&gt;Serbia and Montenegro",S5302)),"Serbia and Montenegro",
ISNUMBER(SEARCH(_xlfn.UNICHAR(65533),S5302)),"Côte d'Ivoire",
TRUE,"-"
)</f>
        <v>-</v>
      </c>
      <c r="W5302" s="42" t="str">
        <f t="shared" si="321"/>
        <v>-</v>
      </c>
    </row>
    <row r="5303" spans="19:23">
      <c r="S5303" s="42" t="str">
        <v/>
      </c>
      <c r="T5303" s="42" t="str">
        <f t="shared" si="319"/>
        <v>-</v>
      </c>
      <c r="U5303" s="40" t="str">
        <f t="shared" si="320"/>
        <v>-</v>
      </c>
      <c r="V5303" s="42" t="str" cm="1">
        <f t="array" ref="V5303">_xlfn.IFS(
LEFT(S5303,16)="win on penalties",IF(VALUE(MID(S5303,19,1))&gt;VALUE(MID(S5303,23,1)),DATA_CLEANED!AK817,DATA_CLEANED!AN817),
ISNUMBER(SEARCH("USA",S5303)),"United States",
ISNUMBER(SEARCH("Republic of Ireland",S5303)),"Ireland",
ISNUMBER(SEARCH("Republic of Korea",S5303)),"South Korea",
ISNUMBER(SEARCH("Cape Verde",S5303)),"Cabo Verde",
ISNUMBER(SEARCH("Czechia",S5303)),"Czech Republic",
ISNUMBER(SEARCH("Türkiye",S5303)),"Turkey",
ISNUMBER(SEARCH("Ivory Coast",S5303)),"Côte d'Ivoire",
ISNUMBER(SEARCH("Korea Republic",S5303)),"South Korea",
ISNUMBER(SEARCH("Germany FR",S5303)),"FR Germany",
ISNUMBER(SEARCH("West Germany",S5303)),"FR Germany",
ISNUMBER(SEARCH("Germany DR",S5303)),"DR Germany",
ISNUMBER(SEARCH("Korea DPR",S5303)),"North Korea",
ISNUMBER(SEARCH("China PR",S5303)),"China",
ISNUMBER(SEARCH("IR Iran",S5303)),"Iran",
ISNUMBER(SEARCH("Congo DR",S5303)),"Democratic Republic of the Congo",
ISNUMBER(SEARCH("DR Congo",S5303)),"Democratic Republic of the Congo",
ISNUMBER(SEARCH("German DR",S5303)),"DR Germany",
ISNUMBER(SEARCH("rn""&gt;United Arab Emirates",S5303)),"United Arab Emirates",
ISNUMBER(SEARCH("rn""&gt;Republic of Ireland",S5303)),"Ireland",
ISNUMBER(SEARCH("rn""&gt;Bosnia and Herzegovina",S5303)),"Bosnia and Herzegovina",
ISNUMBER(SEARCH("rn""&gt;Trinidad and Tobago",S5303)),"Trinidad and Tobago",
ISNUMBER(SEARCH("rn""&gt;Serbia and Montenegro",S5303)),"Serbia and Montenegro",
ISNUMBER(SEARCH(_xlfn.UNICHAR(65533),S5303)),"Côte d'Ivoire",
TRUE,"-"
)</f>
        <v>-</v>
      </c>
      <c r="W5303" s="42" t="str">
        <f t="shared" si="321"/>
        <v>-</v>
      </c>
    </row>
    <row r="5304" spans="19:23">
      <c r="S5304" s="42" t="str">
        <v/>
      </c>
      <c r="T5304" s="42" t="str">
        <f t="shared" si="319"/>
        <v>-</v>
      </c>
      <c r="U5304" s="40" t="str">
        <f t="shared" si="320"/>
        <v>-</v>
      </c>
      <c r="V5304" s="42" t="str" cm="1">
        <f t="array" ref="V5304">_xlfn.IFS(
LEFT(S5304,16)="win on penalties",IF(VALUE(MID(S5304,19,1))&gt;VALUE(MID(S5304,23,1)),DATA_CLEANED!AK818,DATA_CLEANED!AN818),
ISNUMBER(SEARCH("USA",S5304)),"United States",
ISNUMBER(SEARCH("Republic of Ireland",S5304)),"Ireland",
ISNUMBER(SEARCH("Republic of Korea",S5304)),"South Korea",
ISNUMBER(SEARCH("Cape Verde",S5304)),"Cabo Verde",
ISNUMBER(SEARCH("Czechia",S5304)),"Czech Republic",
ISNUMBER(SEARCH("Türkiye",S5304)),"Turkey",
ISNUMBER(SEARCH("Ivory Coast",S5304)),"Côte d'Ivoire",
ISNUMBER(SEARCH("Korea Republic",S5304)),"South Korea",
ISNUMBER(SEARCH("Germany FR",S5304)),"FR Germany",
ISNUMBER(SEARCH("West Germany",S5304)),"FR Germany",
ISNUMBER(SEARCH("Germany DR",S5304)),"DR Germany",
ISNUMBER(SEARCH("Korea DPR",S5304)),"North Korea",
ISNUMBER(SEARCH("China PR",S5304)),"China",
ISNUMBER(SEARCH("IR Iran",S5304)),"Iran",
ISNUMBER(SEARCH("Congo DR",S5304)),"Democratic Republic of the Congo",
ISNUMBER(SEARCH("DR Congo",S5304)),"Democratic Republic of the Congo",
ISNUMBER(SEARCH("German DR",S5304)),"DR Germany",
ISNUMBER(SEARCH("rn""&gt;United Arab Emirates",S5304)),"United Arab Emirates",
ISNUMBER(SEARCH("rn""&gt;Republic of Ireland",S5304)),"Ireland",
ISNUMBER(SEARCH("rn""&gt;Bosnia and Herzegovina",S5304)),"Bosnia and Herzegovina",
ISNUMBER(SEARCH("rn""&gt;Trinidad and Tobago",S5304)),"Trinidad and Tobago",
ISNUMBER(SEARCH("rn""&gt;Serbia and Montenegro",S5304)),"Serbia and Montenegro",
ISNUMBER(SEARCH(_xlfn.UNICHAR(65533),S5304)),"Côte d'Ivoire",
TRUE,"-"
)</f>
        <v>-</v>
      </c>
      <c r="W5304" s="42" t="str">
        <f t="shared" si="321"/>
        <v>-</v>
      </c>
    </row>
    <row r="5305" spans="19:23">
      <c r="S5305" s="42" t="str">
        <v/>
      </c>
      <c r="T5305" s="42" t="str">
        <f t="shared" si="319"/>
        <v>-</v>
      </c>
      <c r="U5305" s="40" t="str">
        <f t="shared" si="320"/>
        <v>-</v>
      </c>
      <c r="V5305" s="42" t="str" cm="1">
        <f t="array" ref="V5305">_xlfn.IFS(
LEFT(S5305,16)="win on penalties",IF(VALUE(MID(S5305,19,1))&gt;VALUE(MID(S5305,23,1)),DATA_CLEANED!AK819,DATA_CLEANED!AN819),
ISNUMBER(SEARCH("USA",S5305)),"United States",
ISNUMBER(SEARCH("Republic of Ireland",S5305)),"Ireland",
ISNUMBER(SEARCH("Republic of Korea",S5305)),"South Korea",
ISNUMBER(SEARCH("Cape Verde",S5305)),"Cabo Verde",
ISNUMBER(SEARCH("Czechia",S5305)),"Czech Republic",
ISNUMBER(SEARCH("Türkiye",S5305)),"Turkey",
ISNUMBER(SEARCH("Ivory Coast",S5305)),"Côte d'Ivoire",
ISNUMBER(SEARCH("Korea Republic",S5305)),"South Korea",
ISNUMBER(SEARCH("Germany FR",S5305)),"FR Germany",
ISNUMBER(SEARCH("West Germany",S5305)),"FR Germany",
ISNUMBER(SEARCH("Germany DR",S5305)),"DR Germany",
ISNUMBER(SEARCH("Korea DPR",S5305)),"North Korea",
ISNUMBER(SEARCH("China PR",S5305)),"China",
ISNUMBER(SEARCH("IR Iran",S5305)),"Iran",
ISNUMBER(SEARCH("Congo DR",S5305)),"Democratic Republic of the Congo",
ISNUMBER(SEARCH("DR Congo",S5305)),"Democratic Republic of the Congo",
ISNUMBER(SEARCH("German DR",S5305)),"DR Germany",
ISNUMBER(SEARCH("rn""&gt;United Arab Emirates",S5305)),"United Arab Emirates",
ISNUMBER(SEARCH("rn""&gt;Republic of Ireland",S5305)),"Ireland",
ISNUMBER(SEARCH("rn""&gt;Bosnia and Herzegovina",S5305)),"Bosnia and Herzegovina",
ISNUMBER(SEARCH("rn""&gt;Trinidad and Tobago",S5305)),"Trinidad and Tobago",
ISNUMBER(SEARCH("rn""&gt;Serbia and Montenegro",S5305)),"Serbia and Montenegro",
ISNUMBER(SEARCH(_xlfn.UNICHAR(65533),S5305)),"Côte d'Ivoire",
TRUE,"-"
)</f>
        <v>-</v>
      </c>
      <c r="W5305" s="42" t="str">
        <f t="shared" si="321"/>
        <v>-</v>
      </c>
    </row>
    <row r="5306" spans="19:23">
      <c r="S5306" s="42" t="str">
        <v/>
      </c>
      <c r="T5306" s="42" t="str">
        <f t="shared" si="319"/>
        <v>-</v>
      </c>
      <c r="U5306" s="40" t="str">
        <f t="shared" si="320"/>
        <v>-</v>
      </c>
      <c r="V5306" s="42" t="str" cm="1">
        <f t="array" ref="V5306">_xlfn.IFS(
LEFT(S5306,16)="win on penalties",IF(VALUE(MID(S5306,19,1))&gt;VALUE(MID(S5306,23,1)),DATA_CLEANED!AK820,DATA_CLEANED!AN820),
ISNUMBER(SEARCH("USA",S5306)),"United States",
ISNUMBER(SEARCH("Republic of Ireland",S5306)),"Ireland",
ISNUMBER(SEARCH("Republic of Korea",S5306)),"South Korea",
ISNUMBER(SEARCH("Cape Verde",S5306)),"Cabo Verde",
ISNUMBER(SEARCH("Czechia",S5306)),"Czech Republic",
ISNUMBER(SEARCH("Türkiye",S5306)),"Turkey",
ISNUMBER(SEARCH("Ivory Coast",S5306)),"Côte d'Ivoire",
ISNUMBER(SEARCH("Korea Republic",S5306)),"South Korea",
ISNUMBER(SEARCH("Germany FR",S5306)),"FR Germany",
ISNUMBER(SEARCH("West Germany",S5306)),"FR Germany",
ISNUMBER(SEARCH("Germany DR",S5306)),"DR Germany",
ISNUMBER(SEARCH("Korea DPR",S5306)),"North Korea",
ISNUMBER(SEARCH("China PR",S5306)),"China",
ISNUMBER(SEARCH("IR Iran",S5306)),"Iran",
ISNUMBER(SEARCH("Congo DR",S5306)),"Democratic Republic of the Congo",
ISNUMBER(SEARCH("DR Congo",S5306)),"Democratic Republic of the Congo",
ISNUMBER(SEARCH("German DR",S5306)),"DR Germany",
ISNUMBER(SEARCH("rn""&gt;United Arab Emirates",S5306)),"United Arab Emirates",
ISNUMBER(SEARCH("rn""&gt;Republic of Ireland",S5306)),"Ireland",
ISNUMBER(SEARCH("rn""&gt;Bosnia and Herzegovina",S5306)),"Bosnia and Herzegovina",
ISNUMBER(SEARCH("rn""&gt;Trinidad and Tobago",S5306)),"Trinidad and Tobago",
ISNUMBER(SEARCH("rn""&gt;Serbia and Montenegro",S5306)),"Serbia and Montenegro",
ISNUMBER(SEARCH(_xlfn.UNICHAR(65533),S5306)),"Côte d'Ivoire",
TRUE,"-"
)</f>
        <v>-</v>
      </c>
      <c r="W5306" s="42" t="str">
        <f t="shared" si="321"/>
        <v>-</v>
      </c>
    </row>
    <row r="5307" spans="19:23">
      <c r="S5307" s="42" t="str">
        <v/>
      </c>
      <c r="T5307" s="42" t="str">
        <f t="shared" si="319"/>
        <v>-</v>
      </c>
      <c r="U5307" s="40" t="str">
        <f t="shared" si="320"/>
        <v>-</v>
      </c>
      <c r="V5307" s="42" t="str" cm="1">
        <f t="array" ref="V5307">_xlfn.IFS(
LEFT(S5307,16)="win on penalties",IF(VALUE(MID(S5307,19,1))&gt;VALUE(MID(S5307,23,1)),DATA_CLEANED!AK821,DATA_CLEANED!AN821),
ISNUMBER(SEARCH("USA",S5307)),"United States",
ISNUMBER(SEARCH("Republic of Ireland",S5307)),"Ireland",
ISNUMBER(SEARCH("Republic of Korea",S5307)),"South Korea",
ISNUMBER(SEARCH("Cape Verde",S5307)),"Cabo Verde",
ISNUMBER(SEARCH("Czechia",S5307)),"Czech Republic",
ISNUMBER(SEARCH("Türkiye",S5307)),"Turkey",
ISNUMBER(SEARCH("Ivory Coast",S5307)),"Côte d'Ivoire",
ISNUMBER(SEARCH("Korea Republic",S5307)),"South Korea",
ISNUMBER(SEARCH("Germany FR",S5307)),"FR Germany",
ISNUMBER(SEARCH("West Germany",S5307)),"FR Germany",
ISNUMBER(SEARCH("Germany DR",S5307)),"DR Germany",
ISNUMBER(SEARCH("Korea DPR",S5307)),"North Korea",
ISNUMBER(SEARCH("China PR",S5307)),"China",
ISNUMBER(SEARCH("IR Iran",S5307)),"Iran",
ISNUMBER(SEARCH("Congo DR",S5307)),"Democratic Republic of the Congo",
ISNUMBER(SEARCH("DR Congo",S5307)),"Democratic Republic of the Congo",
ISNUMBER(SEARCH("German DR",S5307)),"DR Germany",
ISNUMBER(SEARCH("rn""&gt;United Arab Emirates",S5307)),"United Arab Emirates",
ISNUMBER(SEARCH("rn""&gt;Republic of Ireland",S5307)),"Ireland",
ISNUMBER(SEARCH("rn""&gt;Bosnia and Herzegovina",S5307)),"Bosnia and Herzegovina",
ISNUMBER(SEARCH("rn""&gt;Trinidad and Tobago",S5307)),"Trinidad and Tobago",
ISNUMBER(SEARCH("rn""&gt;Serbia and Montenegro",S5307)),"Serbia and Montenegro",
ISNUMBER(SEARCH(_xlfn.UNICHAR(65533),S5307)),"Côte d'Ivoire",
TRUE,"-"
)</f>
        <v>-</v>
      </c>
      <c r="W5307" s="42" t="str">
        <f t="shared" si="321"/>
        <v>-</v>
      </c>
    </row>
    <row r="5308" spans="19:23">
      <c r="S5308" s="42" t="str">
        <v/>
      </c>
      <c r="T5308" s="42" t="str">
        <f t="shared" si="319"/>
        <v>-</v>
      </c>
      <c r="U5308" s="40" t="str">
        <f t="shared" si="320"/>
        <v>-</v>
      </c>
      <c r="V5308" s="42" t="str" cm="1">
        <f t="array" ref="V5308">_xlfn.IFS(
LEFT(S5308,16)="win on penalties",IF(VALUE(MID(S5308,19,1))&gt;VALUE(MID(S5308,23,1)),DATA_CLEANED!AK822,DATA_CLEANED!AN822),
ISNUMBER(SEARCH("USA",S5308)),"United States",
ISNUMBER(SEARCH("Republic of Ireland",S5308)),"Ireland",
ISNUMBER(SEARCH("Republic of Korea",S5308)),"South Korea",
ISNUMBER(SEARCH("Cape Verde",S5308)),"Cabo Verde",
ISNUMBER(SEARCH("Czechia",S5308)),"Czech Republic",
ISNUMBER(SEARCH("Türkiye",S5308)),"Turkey",
ISNUMBER(SEARCH("Ivory Coast",S5308)),"Côte d'Ivoire",
ISNUMBER(SEARCH("Korea Republic",S5308)),"South Korea",
ISNUMBER(SEARCH("Germany FR",S5308)),"FR Germany",
ISNUMBER(SEARCH("West Germany",S5308)),"FR Germany",
ISNUMBER(SEARCH("Germany DR",S5308)),"DR Germany",
ISNUMBER(SEARCH("Korea DPR",S5308)),"North Korea",
ISNUMBER(SEARCH("China PR",S5308)),"China",
ISNUMBER(SEARCH("IR Iran",S5308)),"Iran",
ISNUMBER(SEARCH("Congo DR",S5308)),"Democratic Republic of the Congo",
ISNUMBER(SEARCH("DR Congo",S5308)),"Democratic Republic of the Congo",
ISNUMBER(SEARCH("German DR",S5308)),"DR Germany",
ISNUMBER(SEARCH("rn""&gt;United Arab Emirates",S5308)),"United Arab Emirates",
ISNUMBER(SEARCH("rn""&gt;Republic of Ireland",S5308)),"Ireland",
ISNUMBER(SEARCH("rn""&gt;Bosnia and Herzegovina",S5308)),"Bosnia and Herzegovina",
ISNUMBER(SEARCH("rn""&gt;Trinidad and Tobago",S5308)),"Trinidad and Tobago",
ISNUMBER(SEARCH("rn""&gt;Serbia and Montenegro",S5308)),"Serbia and Montenegro",
ISNUMBER(SEARCH(_xlfn.UNICHAR(65533),S5308)),"Côte d'Ivoire",
TRUE,"-"
)</f>
        <v>-</v>
      </c>
      <c r="W5308" s="42" t="str">
        <f t="shared" si="321"/>
        <v>-</v>
      </c>
    </row>
    <row r="5309" spans="19:23">
      <c r="S5309" s="42" t="str">
        <v>Brazil win on penalties (3 - 2)</v>
      </c>
      <c r="T5309" s="42" t="str">
        <f t="shared" si="319"/>
        <v>Brazil</v>
      </c>
      <c r="U5309" s="40" t="str">
        <f t="shared" si="320"/>
        <v>AUCUNE</v>
      </c>
      <c r="V5309" s="42" t="str" cm="1">
        <f t="array" ref="V5309">_xlfn.IFS(
LEFT(S5309,16)="win on penalties",IF(VALUE(MID(S5309,19,1))&gt;VALUE(MID(S5309,23,1)),DATA_CLEANED!AK823,DATA_CLEANED!AN823),
ISNUMBER(SEARCH("USA",S5309)),"United States",
ISNUMBER(SEARCH("Republic of Ireland",S5309)),"Ireland",
ISNUMBER(SEARCH("Republic of Korea",S5309)),"South Korea",
ISNUMBER(SEARCH("Cape Verde",S5309)),"Cabo Verde",
ISNUMBER(SEARCH("Czechia",S5309)),"Czech Republic",
ISNUMBER(SEARCH("Türkiye",S5309)),"Turkey",
ISNUMBER(SEARCH("Ivory Coast",S5309)),"Côte d'Ivoire",
ISNUMBER(SEARCH("Korea Republic",S5309)),"South Korea",
ISNUMBER(SEARCH("Germany FR",S5309)),"FR Germany",
ISNUMBER(SEARCH("West Germany",S5309)),"FR Germany",
ISNUMBER(SEARCH("Germany DR",S5309)),"DR Germany",
ISNUMBER(SEARCH("Korea DPR",S5309)),"North Korea",
ISNUMBER(SEARCH("China PR",S5309)),"China",
ISNUMBER(SEARCH("IR Iran",S5309)),"Iran",
ISNUMBER(SEARCH("Congo DR",S5309)),"Democratic Republic of the Congo",
ISNUMBER(SEARCH("DR Congo",S5309)),"Democratic Republic of the Congo",
ISNUMBER(SEARCH("German DR",S5309)),"DR Germany",
ISNUMBER(SEARCH("rn""&gt;United Arab Emirates",S5309)),"United Arab Emirates",
ISNUMBER(SEARCH("rn""&gt;Republic of Ireland",S5309)),"Ireland",
ISNUMBER(SEARCH("rn""&gt;Bosnia and Herzegovina",S5309)),"Bosnia and Herzegovina",
ISNUMBER(SEARCH("rn""&gt;Trinidad and Tobago",S5309)),"Trinidad and Tobago",
ISNUMBER(SEARCH("rn""&gt;Serbia and Montenegro",S5309)),"Serbia and Montenegro",
ISNUMBER(SEARCH(_xlfn.UNICHAR(65533),S5309)),"Côte d'Ivoire",
TRUE,"-"
)</f>
        <v>-</v>
      </c>
      <c r="W5309" s="42" t="str">
        <f t="shared" si="321"/>
        <v>Brazil win on penalties (3 - 2)</v>
      </c>
    </row>
    <row r="5310" spans="19:23">
      <c r="S5310" s="42" t="str">
        <v/>
      </c>
      <c r="T5310" s="42" t="str">
        <f t="shared" si="319"/>
        <v>-</v>
      </c>
      <c r="U5310" s="40" t="str">
        <f t="shared" si="320"/>
        <v>-</v>
      </c>
      <c r="V5310" s="42" t="str" cm="1">
        <f t="array" ref="V5310">_xlfn.IFS(
LEFT(S5310,16)="win on penalties",IF(VALUE(MID(S5310,19,1))&gt;VALUE(MID(S5310,23,1)),DATA_CLEANED!AK824,DATA_CLEANED!AN824),
ISNUMBER(SEARCH("USA",S5310)),"United States",
ISNUMBER(SEARCH("Republic of Ireland",S5310)),"Ireland",
ISNUMBER(SEARCH("Republic of Korea",S5310)),"South Korea",
ISNUMBER(SEARCH("Cape Verde",S5310)),"Cabo Verde",
ISNUMBER(SEARCH("Czechia",S5310)),"Czech Republic",
ISNUMBER(SEARCH("Türkiye",S5310)),"Turkey",
ISNUMBER(SEARCH("Ivory Coast",S5310)),"Côte d'Ivoire",
ISNUMBER(SEARCH("Korea Republic",S5310)),"South Korea",
ISNUMBER(SEARCH("Germany FR",S5310)),"FR Germany",
ISNUMBER(SEARCH("West Germany",S5310)),"FR Germany",
ISNUMBER(SEARCH("Germany DR",S5310)),"DR Germany",
ISNUMBER(SEARCH("Korea DPR",S5310)),"North Korea",
ISNUMBER(SEARCH("China PR",S5310)),"China",
ISNUMBER(SEARCH("IR Iran",S5310)),"Iran",
ISNUMBER(SEARCH("Congo DR",S5310)),"Democratic Republic of the Congo",
ISNUMBER(SEARCH("DR Congo",S5310)),"Democratic Republic of the Congo",
ISNUMBER(SEARCH("German DR",S5310)),"DR Germany",
ISNUMBER(SEARCH("rn""&gt;United Arab Emirates",S5310)),"United Arab Emirates",
ISNUMBER(SEARCH("rn""&gt;Republic of Ireland",S5310)),"Ireland",
ISNUMBER(SEARCH("rn""&gt;Bosnia and Herzegovina",S5310)),"Bosnia and Herzegovina",
ISNUMBER(SEARCH("rn""&gt;Trinidad and Tobago",S5310)),"Trinidad and Tobago",
ISNUMBER(SEARCH("rn""&gt;Serbia and Montenegro",S5310)),"Serbia and Montenegro",
ISNUMBER(SEARCH(_xlfn.UNICHAR(65533),S5310)),"Côte d'Ivoire",
TRUE,"-"
)</f>
        <v>-</v>
      </c>
      <c r="W5310" s="42" t="str">
        <f t="shared" si="321"/>
        <v>-</v>
      </c>
    </row>
    <row r="5311" spans="19:23">
      <c r="S5311" s="42" t="str">
        <v/>
      </c>
      <c r="T5311" s="42" t="str">
        <f t="shared" si="319"/>
        <v>-</v>
      </c>
      <c r="U5311" s="40" t="str">
        <f t="shared" si="320"/>
        <v>-</v>
      </c>
      <c r="V5311" s="42" t="str" cm="1">
        <f t="array" ref="V5311">_xlfn.IFS(
LEFT(S5311,16)="win on penalties",IF(VALUE(MID(S5311,19,1))&gt;VALUE(MID(S5311,23,1)),DATA_CLEANED!AK825,DATA_CLEANED!AN825),
ISNUMBER(SEARCH("USA",S5311)),"United States",
ISNUMBER(SEARCH("Republic of Ireland",S5311)),"Ireland",
ISNUMBER(SEARCH("Republic of Korea",S5311)),"South Korea",
ISNUMBER(SEARCH("Cape Verde",S5311)),"Cabo Verde",
ISNUMBER(SEARCH("Czechia",S5311)),"Czech Republic",
ISNUMBER(SEARCH("Türkiye",S5311)),"Turkey",
ISNUMBER(SEARCH("Ivory Coast",S5311)),"Côte d'Ivoire",
ISNUMBER(SEARCH("Korea Republic",S5311)),"South Korea",
ISNUMBER(SEARCH("Germany FR",S5311)),"FR Germany",
ISNUMBER(SEARCH("West Germany",S5311)),"FR Germany",
ISNUMBER(SEARCH("Germany DR",S5311)),"DR Germany",
ISNUMBER(SEARCH("Korea DPR",S5311)),"North Korea",
ISNUMBER(SEARCH("China PR",S5311)),"China",
ISNUMBER(SEARCH("IR Iran",S5311)),"Iran",
ISNUMBER(SEARCH("Congo DR",S5311)),"Democratic Republic of the Congo",
ISNUMBER(SEARCH("DR Congo",S5311)),"Democratic Republic of the Congo",
ISNUMBER(SEARCH("German DR",S5311)),"DR Germany",
ISNUMBER(SEARCH("rn""&gt;United Arab Emirates",S5311)),"United Arab Emirates",
ISNUMBER(SEARCH("rn""&gt;Republic of Ireland",S5311)),"Ireland",
ISNUMBER(SEARCH("rn""&gt;Bosnia and Herzegovina",S5311)),"Bosnia and Herzegovina",
ISNUMBER(SEARCH("rn""&gt;Trinidad and Tobago",S5311)),"Trinidad and Tobago",
ISNUMBER(SEARCH("rn""&gt;Serbia and Montenegro",S5311)),"Serbia and Montenegro",
ISNUMBER(SEARCH(_xlfn.UNICHAR(65533),S5311)),"Côte d'Ivoire",
TRUE,"-"
)</f>
        <v>-</v>
      </c>
      <c r="W5311" s="42" t="str">
        <f t="shared" si="321"/>
        <v>-</v>
      </c>
    </row>
    <row r="5312" spans="19:23">
      <c r="S5312" s="42" t="str">
        <v>Germany win after extra time</v>
      </c>
      <c r="T5312" s="42" t="str">
        <f t="shared" si="319"/>
        <v>Germany</v>
      </c>
      <c r="U5312" s="40" t="str">
        <f t="shared" si="320"/>
        <v>AUCUNE</v>
      </c>
      <c r="V5312" s="42" t="str" cm="1">
        <f t="array" ref="V5312">_xlfn.IFS(
LEFT(S5312,16)="win on penalties",IF(VALUE(MID(S5312,19,1))&gt;VALUE(MID(S5312,23,1)),DATA_CLEANED!AK826,DATA_CLEANED!AN826),
ISNUMBER(SEARCH("USA",S5312)),"United States",
ISNUMBER(SEARCH("Republic of Ireland",S5312)),"Ireland",
ISNUMBER(SEARCH("Republic of Korea",S5312)),"South Korea",
ISNUMBER(SEARCH("Cape Verde",S5312)),"Cabo Verde",
ISNUMBER(SEARCH("Czechia",S5312)),"Czech Republic",
ISNUMBER(SEARCH("Türkiye",S5312)),"Turkey",
ISNUMBER(SEARCH("Ivory Coast",S5312)),"Côte d'Ivoire",
ISNUMBER(SEARCH("Korea Republic",S5312)),"South Korea",
ISNUMBER(SEARCH("Germany FR",S5312)),"FR Germany",
ISNUMBER(SEARCH("West Germany",S5312)),"FR Germany",
ISNUMBER(SEARCH("Germany DR",S5312)),"DR Germany",
ISNUMBER(SEARCH("Korea DPR",S5312)),"North Korea",
ISNUMBER(SEARCH("China PR",S5312)),"China",
ISNUMBER(SEARCH("IR Iran",S5312)),"Iran",
ISNUMBER(SEARCH("Congo DR",S5312)),"Democratic Republic of the Congo",
ISNUMBER(SEARCH("DR Congo",S5312)),"Democratic Republic of the Congo",
ISNUMBER(SEARCH("German DR",S5312)),"DR Germany",
ISNUMBER(SEARCH("rn""&gt;United Arab Emirates",S5312)),"United Arab Emirates",
ISNUMBER(SEARCH("rn""&gt;Republic of Ireland",S5312)),"Ireland",
ISNUMBER(SEARCH("rn""&gt;Bosnia and Herzegovina",S5312)),"Bosnia and Herzegovina",
ISNUMBER(SEARCH("rn""&gt;Trinidad and Tobago",S5312)),"Trinidad and Tobago",
ISNUMBER(SEARCH("rn""&gt;Serbia and Montenegro",S5312)),"Serbia and Montenegro",
ISNUMBER(SEARCH(_xlfn.UNICHAR(65533),S5312)),"Côte d'Ivoire",
TRUE,"-"
)</f>
        <v>-</v>
      </c>
      <c r="W5312" s="42" t="str">
        <f t="shared" si="321"/>
        <v>Germany win after extra time</v>
      </c>
    </row>
    <row r="5313" spans="19:23">
      <c r="S5313" s="42" t="str">
        <v/>
      </c>
      <c r="T5313" s="42" t="str">
        <f t="shared" si="319"/>
        <v>-</v>
      </c>
      <c r="U5313" s="40" t="str">
        <f t="shared" si="320"/>
        <v>-</v>
      </c>
      <c r="V5313" s="42" t="str" cm="1">
        <f t="array" ref="V5313">_xlfn.IFS(
LEFT(S5313,16)="win on penalties",IF(VALUE(MID(S5313,19,1))&gt;VALUE(MID(S5313,23,1)),DATA_CLEANED!AK827,DATA_CLEANED!AN827),
ISNUMBER(SEARCH("USA",S5313)),"United States",
ISNUMBER(SEARCH("Republic of Ireland",S5313)),"Ireland",
ISNUMBER(SEARCH("Republic of Korea",S5313)),"South Korea",
ISNUMBER(SEARCH("Cape Verde",S5313)),"Cabo Verde",
ISNUMBER(SEARCH("Czechia",S5313)),"Czech Republic",
ISNUMBER(SEARCH("Türkiye",S5313)),"Turkey",
ISNUMBER(SEARCH("Ivory Coast",S5313)),"Côte d'Ivoire",
ISNUMBER(SEARCH("Korea Republic",S5313)),"South Korea",
ISNUMBER(SEARCH("Germany FR",S5313)),"FR Germany",
ISNUMBER(SEARCH("West Germany",S5313)),"FR Germany",
ISNUMBER(SEARCH("Germany DR",S5313)),"DR Germany",
ISNUMBER(SEARCH("Korea DPR",S5313)),"North Korea",
ISNUMBER(SEARCH("China PR",S5313)),"China",
ISNUMBER(SEARCH("IR Iran",S5313)),"Iran",
ISNUMBER(SEARCH("Congo DR",S5313)),"Democratic Republic of the Congo",
ISNUMBER(SEARCH("DR Congo",S5313)),"Democratic Republic of the Congo",
ISNUMBER(SEARCH("German DR",S5313)),"DR Germany",
ISNUMBER(SEARCH("rn""&gt;United Arab Emirates",S5313)),"United Arab Emirates",
ISNUMBER(SEARCH("rn""&gt;Republic of Ireland",S5313)),"Ireland",
ISNUMBER(SEARCH("rn""&gt;Bosnia and Herzegovina",S5313)),"Bosnia and Herzegovina",
ISNUMBER(SEARCH("rn""&gt;Trinidad and Tobago",S5313)),"Trinidad and Tobago",
ISNUMBER(SEARCH("rn""&gt;Serbia and Montenegro",S5313)),"Serbia and Montenegro",
ISNUMBER(SEARCH(_xlfn.UNICHAR(65533),S5313)),"Côte d'Ivoire",
TRUE,"-"
)</f>
        <v>-</v>
      </c>
      <c r="W5313" s="42" t="str">
        <f t="shared" si="321"/>
        <v>-</v>
      </c>
    </row>
    <row r="5314" spans="19:23">
      <c r="S5314" s="42" t="str">
        <v/>
      </c>
      <c r="T5314" s="42" t="str">
        <f t="shared" si="319"/>
        <v>-</v>
      </c>
      <c r="U5314" s="40" t="str">
        <f t="shared" si="320"/>
        <v>-</v>
      </c>
      <c r="V5314" s="42" t="str" cm="1">
        <f t="array" ref="V5314">_xlfn.IFS(
LEFT(S5314,16)="win on penalties",IF(VALUE(MID(S5314,19,1))&gt;VALUE(MID(S5314,23,1)),DATA_CLEANED!AK828,DATA_CLEANED!AN828),
ISNUMBER(SEARCH("USA",S5314)),"United States",
ISNUMBER(SEARCH("Republic of Ireland",S5314)),"Ireland",
ISNUMBER(SEARCH("Republic of Korea",S5314)),"South Korea",
ISNUMBER(SEARCH("Cape Verde",S5314)),"Cabo Verde",
ISNUMBER(SEARCH("Czechia",S5314)),"Czech Republic",
ISNUMBER(SEARCH("Türkiye",S5314)),"Turkey",
ISNUMBER(SEARCH("Ivory Coast",S5314)),"Côte d'Ivoire",
ISNUMBER(SEARCH("Korea Republic",S5314)),"South Korea",
ISNUMBER(SEARCH("Germany FR",S5314)),"FR Germany",
ISNUMBER(SEARCH("West Germany",S5314)),"FR Germany",
ISNUMBER(SEARCH("Germany DR",S5314)),"DR Germany",
ISNUMBER(SEARCH("Korea DPR",S5314)),"North Korea",
ISNUMBER(SEARCH("China PR",S5314)),"China",
ISNUMBER(SEARCH("IR Iran",S5314)),"Iran",
ISNUMBER(SEARCH("Congo DR",S5314)),"Democratic Republic of the Congo",
ISNUMBER(SEARCH("DR Congo",S5314)),"Democratic Republic of the Congo",
ISNUMBER(SEARCH("German DR",S5314)),"DR Germany",
ISNUMBER(SEARCH("rn""&gt;United Arab Emirates",S5314)),"United Arab Emirates",
ISNUMBER(SEARCH("rn""&gt;Republic of Ireland",S5314)),"Ireland",
ISNUMBER(SEARCH("rn""&gt;Bosnia and Herzegovina",S5314)),"Bosnia and Herzegovina",
ISNUMBER(SEARCH("rn""&gt;Trinidad and Tobago",S5314)),"Trinidad and Tobago",
ISNUMBER(SEARCH("rn""&gt;Serbia and Montenegro",S5314)),"Serbia and Montenegro",
ISNUMBER(SEARCH(_xlfn.UNICHAR(65533),S5314)),"Côte d'Ivoire",
TRUE,"-"
)</f>
        <v>-</v>
      </c>
      <c r="W5314" s="42" t="str">
        <f t="shared" si="321"/>
        <v>-</v>
      </c>
    </row>
    <row r="5315" spans="19:23">
      <c r="S5315" s="42" t="str">
        <v/>
      </c>
      <c r="T5315" s="42" t="str">
        <f t="shared" si="319"/>
        <v>-</v>
      </c>
      <c r="U5315" s="40" t="str">
        <f t="shared" si="320"/>
        <v>-</v>
      </c>
      <c r="V5315" s="42" t="str" cm="1">
        <f t="array" ref="V5315">_xlfn.IFS(
LEFT(S5315,16)="win on penalties",IF(VALUE(MID(S5315,19,1))&gt;VALUE(MID(S5315,23,1)),DATA_CLEANED!AK829,DATA_CLEANED!AN829),
ISNUMBER(SEARCH("USA",S5315)),"United States",
ISNUMBER(SEARCH("Republic of Ireland",S5315)),"Ireland",
ISNUMBER(SEARCH("Republic of Korea",S5315)),"South Korea",
ISNUMBER(SEARCH("Cape Verde",S5315)),"Cabo Verde",
ISNUMBER(SEARCH("Czechia",S5315)),"Czech Republic",
ISNUMBER(SEARCH("Türkiye",S5315)),"Turkey",
ISNUMBER(SEARCH("Ivory Coast",S5315)),"Côte d'Ivoire",
ISNUMBER(SEARCH("Korea Republic",S5315)),"South Korea",
ISNUMBER(SEARCH("Germany FR",S5315)),"FR Germany",
ISNUMBER(SEARCH("West Germany",S5315)),"FR Germany",
ISNUMBER(SEARCH("Germany DR",S5315)),"DR Germany",
ISNUMBER(SEARCH("Korea DPR",S5315)),"North Korea",
ISNUMBER(SEARCH("China PR",S5315)),"China",
ISNUMBER(SEARCH("IR Iran",S5315)),"Iran",
ISNUMBER(SEARCH("Congo DR",S5315)),"Democratic Republic of the Congo",
ISNUMBER(SEARCH("DR Congo",S5315)),"Democratic Republic of the Congo",
ISNUMBER(SEARCH("German DR",S5315)),"DR Germany",
ISNUMBER(SEARCH("rn""&gt;United Arab Emirates",S5315)),"United Arab Emirates",
ISNUMBER(SEARCH("rn""&gt;Republic of Ireland",S5315)),"Ireland",
ISNUMBER(SEARCH("rn""&gt;Bosnia and Herzegovina",S5315)),"Bosnia and Herzegovina",
ISNUMBER(SEARCH("rn""&gt;Trinidad and Tobago",S5315)),"Trinidad and Tobago",
ISNUMBER(SEARCH("rn""&gt;Serbia and Montenegro",S5315)),"Serbia and Montenegro",
ISNUMBER(SEARCH(_xlfn.UNICHAR(65533),S5315)),"Côte d'Ivoire",
TRUE,"-"
)</f>
        <v>-</v>
      </c>
      <c r="W5315" s="42" t="str">
        <f t="shared" si="321"/>
        <v>-</v>
      </c>
    </row>
    <row r="5316" spans="19:23">
      <c r="S5316" s="42" t="str">
        <v/>
      </c>
      <c r="T5316" s="42" t="str">
        <f t="shared" si="319"/>
        <v>-</v>
      </c>
      <c r="U5316" s="40" t="str">
        <f t="shared" si="320"/>
        <v>-</v>
      </c>
      <c r="V5316" s="42" t="str" cm="1">
        <f t="array" ref="V5316">_xlfn.IFS(
LEFT(S5316,16)="win on penalties",IF(VALUE(MID(S5316,19,1))&gt;VALUE(MID(S5316,23,1)),DATA_CLEANED!AK830,DATA_CLEANED!AN830),
ISNUMBER(SEARCH("USA",S5316)),"United States",
ISNUMBER(SEARCH("Republic of Ireland",S5316)),"Ireland",
ISNUMBER(SEARCH("Republic of Korea",S5316)),"South Korea",
ISNUMBER(SEARCH("Cape Verde",S5316)),"Cabo Verde",
ISNUMBER(SEARCH("Czechia",S5316)),"Czech Republic",
ISNUMBER(SEARCH("Türkiye",S5316)),"Turkey",
ISNUMBER(SEARCH("Ivory Coast",S5316)),"Côte d'Ivoire",
ISNUMBER(SEARCH("Korea Republic",S5316)),"South Korea",
ISNUMBER(SEARCH("Germany FR",S5316)),"FR Germany",
ISNUMBER(SEARCH("West Germany",S5316)),"FR Germany",
ISNUMBER(SEARCH("Germany DR",S5316)),"DR Germany",
ISNUMBER(SEARCH("Korea DPR",S5316)),"North Korea",
ISNUMBER(SEARCH("China PR",S5316)),"China",
ISNUMBER(SEARCH("IR Iran",S5316)),"Iran",
ISNUMBER(SEARCH("Congo DR",S5316)),"Democratic Republic of the Congo",
ISNUMBER(SEARCH("DR Congo",S5316)),"Democratic Republic of the Congo",
ISNUMBER(SEARCH("German DR",S5316)),"DR Germany",
ISNUMBER(SEARCH("rn""&gt;United Arab Emirates",S5316)),"United Arab Emirates",
ISNUMBER(SEARCH("rn""&gt;Republic of Ireland",S5316)),"Ireland",
ISNUMBER(SEARCH("rn""&gt;Bosnia and Herzegovina",S5316)),"Bosnia and Herzegovina",
ISNUMBER(SEARCH("rn""&gt;Trinidad and Tobago",S5316)),"Trinidad and Tobago",
ISNUMBER(SEARCH("rn""&gt;Serbia and Montenegro",S5316)),"Serbia and Montenegro",
ISNUMBER(SEARCH(_xlfn.UNICHAR(65533),S5316)),"Côte d'Ivoire",
TRUE,"-"
)</f>
        <v>-</v>
      </c>
      <c r="W5316" s="42" t="str">
        <f t="shared" si="321"/>
        <v>-</v>
      </c>
    </row>
    <row r="5317" spans="19:23">
      <c r="S5317" s="42" t="str">
        <v>Germany win after extra time</v>
      </c>
      <c r="T5317" s="42" t="str">
        <f t="shared" si="319"/>
        <v>Germany</v>
      </c>
      <c r="U5317" s="40" t="str">
        <f t="shared" si="320"/>
        <v>AUCUNE</v>
      </c>
      <c r="V5317" s="42" t="str" cm="1">
        <f t="array" ref="V5317">_xlfn.IFS(
LEFT(S5317,16)="win on penalties",IF(VALUE(MID(S5317,19,1))&gt;VALUE(MID(S5317,23,1)),DATA_CLEANED!AK831,DATA_CLEANED!AN831),
ISNUMBER(SEARCH("USA",S5317)),"United States",
ISNUMBER(SEARCH("Republic of Ireland",S5317)),"Ireland",
ISNUMBER(SEARCH("Republic of Korea",S5317)),"South Korea",
ISNUMBER(SEARCH("Cape Verde",S5317)),"Cabo Verde",
ISNUMBER(SEARCH("Czechia",S5317)),"Czech Republic",
ISNUMBER(SEARCH("Türkiye",S5317)),"Turkey",
ISNUMBER(SEARCH("Ivory Coast",S5317)),"Côte d'Ivoire",
ISNUMBER(SEARCH("Korea Republic",S5317)),"South Korea",
ISNUMBER(SEARCH("Germany FR",S5317)),"FR Germany",
ISNUMBER(SEARCH("West Germany",S5317)),"FR Germany",
ISNUMBER(SEARCH("Germany DR",S5317)),"DR Germany",
ISNUMBER(SEARCH("Korea DPR",S5317)),"North Korea",
ISNUMBER(SEARCH("China PR",S5317)),"China",
ISNUMBER(SEARCH("IR Iran",S5317)),"Iran",
ISNUMBER(SEARCH("Congo DR",S5317)),"Democratic Republic of the Congo",
ISNUMBER(SEARCH("DR Congo",S5317)),"Democratic Republic of the Congo",
ISNUMBER(SEARCH("German DR",S5317)),"DR Germany",
ISNUMBER(SEARCH("rn""&gt;United Arab Emirates",S5317)),"United Arab Emirates",
ISNUMBER(SEARCH("rn""&gt;Republic of Ireland",S5317)),"Ireland",
ISNUMBER(SEARCH("rn""&gt;Bosnia and Herzegovina",S5317)),"Bosnia and Herzegovina",
ISNUMBER(SEARCH("rn""&gt;Trinidad and Tobago",S5317)),"Trinidad and Tobago",
ISNUMBER(SEARCH("rn""&gt;Serbia and Montenegro",S5317)),"Serbia and Montenegro",
ISNUMBER(SEARCH(_xlfn.UNICHAR(65533),S5317)),"Côte d'Ivoire",
TRUE,"-"
)</f>
        <v>-</v>
      </c>
      <c r="W5317" s="42" t="str">
        <f t="shared" si="321"/>
        <v>Germany win after extra time</v>
      </c>
    </row>
    <row r="5318" spans="19:23">
      <c r="S5318" s="42" t="str">
        <v>Argentina win on penalties (2 - 4)</v>
      </c>
      <c r="T5318" s="42" t="str">
        <f t="shared" si="319"/>
        <v>Argentina</v>
      </c>
      <c r="U5318" s="40" t="str">
        <f t="shared" si="320"/>
        <v>AUCUNE</v>
      </c>
      <c r="V5318" s="42" t="str" cm="1">
        <f t="array" ref="V5318">_xlfn.IFS(
LEFT(S5318,16)="win on penalties",IF(VALUE(MID(S5318,19,1))&gt;VALUE(MID(S5318,23,1)),DATA_CLEANED!AK832,DATA_CLEANED!AN832),
ISNUMBER(SEARCH("USA",S5318)),"United States",
ISNUMBER(SEARCH("Republic of Ireland",S5318)),"Ireland",
ISNUMBER(SEARCH("Republic of Korea",S5318)),"South Korea",
ISNUMBER(SEARCH("Cape Verde",S5318)),"Cabo Verde",
ISNUMBER(SEARCH("Czechia",S5318)),"Czech Republic",
ISNUMBER(SEARCH("Türkiye",S5318)),"Turkey",
ISNUMBER(SEARCH("Ivory Coast",S5318)),"Côte d'Ivoire",
ISNUMBER(SEARCH("Korea Republic",S5318)),"South Korea",
ISNUMBER(SEARCH("Germany FR",S5318)),"FR Germany",
ISNUMBER(SEARCH("West Germany",S5318)),"FR Germany",
ISNUMBER(SEARCH("Germany DR",S5318)),"DR Germany",
ISNUMBER(SEARCH("Korea DPR",S5318)),"North Korea",
ISNUMBER(SEARCH("China PR",S5318)),"China",
ISNUMBER(SEARCH("IR Iran",S5318)),"Iran",
ISNUMBER(SEARCH("Congo DR",S5318)),"Democratic Republic of the Congo",
ISNUMBER(SEARCH("DR Congo",S5318)),"Democratic Republic of the Congo",
ISNUMBER(SEARCH("German DR",S5318)),"DR Germany",
ISNUMBER(SEARCH("rn""&gt;United Arab Emirates",S5318)),"United Arab Emirates",
ISNUMBER(SEARCH("rn""&gt;Republic of Ireland",S5318)),"Ireland",
ISNUMBER(SEARCH("rn""&gt;Bosnia and Herzegovina",S5318)),"Bosnia and Herzegovina",
ISNUMBER(SEARCH("rn""&gt;Trinidad and Tobago",S5318)),"Trinidad and Tobago",
ISNUMBER(SEARCH("rn""&gt;Serbia and Montenegro",S5318)),"Serbia and Montenegro",
ISNUMBER(SEARCH(_xlfn.UNICHAR(65533),S5318)),"Côte d'Ivoire",
TRUE,"-"
)</f>
        <v>-</v>
      </c>
      <c r="W5318" s="42" t="str">
        <f t="shared" si="321"/>
        <v>Argentina win on penalties (2 - 4)</v>
      </c>
    </row>
    <row r="5319" spans="19:23">
      <c r="S5319" s="42" t="str">
        <v>Netherlands win on penalties (4 - 3)</v>
      </c>
      <c r="T5319" s="42" t="str">
        <f t="shared" si="319"/>
        <v>Netherlands</v>
      </c>
      <c r="U5319" s="40" t="str">
        <f t="shared" si="320"/>
        <v>AUCUNE</v>
      </c>
      <c r="V5319" s="42" t="str" cm="1">
        <f t="array" ref="V5319">_xlfn.IFS(
LEFT(S5319,16)="win on penalties",IF(VALUE(MID(S5319,19,1))&gt;VALUE(MID(S5319,23,1)),DATA_CLEANED!AK833,DATA_CLEANED!AN833),
ISNUMBER(SEARCH("USA",S5319)),"United States",
ISNUMBER(SEARCH("Republic of Ireland",S5319)),"Ireland",
ISNUMBER(SEARCH("Republic of Korea",S5319)),"South Korea",
ISNUMBER(SEARCH("Cape Verde",S5319)),"Cabo Verde",
ISNUMBER(SEARCH("Czechia",S5319)),"Czech Republic",
ISNUMBER(SEARCH("Türkiye",S5319)),"Turkey",
ISNUMBER(SEARCH("Ivory Coast",S5319)),"Côte d'Ivoire",
ISNUMBER(SEARCH("Korea Republic",S5319)),"South Korea",
ISNUMBER(SEARCH("Germany FR",S5319)),"FR Germany",
ISNUMBER(SEARCH("West Germany",S5319)),"FR Germany",
ISNUMBER(SEARCH("Germany DR",S5319)),"DR Germany",
ISNUMBER(SEARCH("Korea DPR",S5319)),"North Korea",
ISNUMBER(SEARCH("China PR",S5319)),"China",
ISNUMBER(SEARCH("IR Iran",S5319)),"Iran",
ISNUMBER(SEARCH("Congo DR",S5319)),"Democratic Republic of the Congo",
ISNUMBER(SEARCH("DR Congo",S5319)),"Democratic Republic of the Congo",
ISNUMBER(SEARCH("German DR",S5319)),"DR Germany",
ISNUMBER(SEARCH("rn""&gt;United Arab Emirates",S5319)),"United Arab Emirates",
ISNUMBER(SEARCH("rn""&gt;Republic of Ireland",S5319)),"Ireland",
ISNUMBER(SEARCH("rn""&gt;Bosnia and Herzegovina",S5319)),"Bosnia and Herzegovina",
ISNUMBER(SEARCH("rn""&gt;Trinidad and Tobago",S5319)),"Trinidad and Tobago",
ISNUMBER(SEARCH("rn""&gt;Serbia and Montenegro",S5319)),"Serbia and Montenegro",
ISNUMBER(SEARCH(_xlfn.UNICHAR(65533),S5319)),"Côte d'Ivoire",
TRUE,"-"
)</f>
        <v>-</v>
      </c>
      <c r="W5319" s="42" t="str">
        <f t="shared" si="321"/>
        <v>Netherlands win on penalties (4 - 3)</v>
      </c>
    </row>
    <row r="5320" spans="19:23">
      <c r="S5320" s="42" t="str">
        <v/>
      </c>
      <c r="T5320" s="42" t="str">
        <f t="shared" si="319"/>
        <v>-</v>
      </c>
      <c r="U5320" s="40" t="str">
        <f t="shared" si="320"/>
        <v>-</v>
      </c>
      <c r="V5320" s="42" t="str" cm="1">
        <f t="array" ref="V5320">_xlfn.IFS(
LEFT(S5320,16)="win on penalties",IF(VALUE(MID(S5320,19,1))&gt;VALUE(MID(S5320,23,1)),DATA_CLEANED!AK834,DATA_CLEANED!AN834),
ISNUMBER(SEARCH("USA",S5320)),"United States",
ISNUMBER(SEARCH("Republic of Ireland",S5320)),"Ireland",
ISNUMBER(SEARCH("Republic of Korea",S5320)),"South Korea",
ISNUMBER(SEARCH("Cape Verde",S5320)),"Cabo Verde",
ISNUMBER(SEARCH("Czechia",S5320)),"Czech Republic",
ISNUMBER(SEARCH("Türkiye",S5320)),"Turkey",
ISNUMBER(SEARCH("Ivory Coast",S5320)),"Côte d'Ivoire",
ISNUMBER(SEARCH("Korea Republic",S5320)),"South Korea",
ISNUMBER(SEARCH("Germany FR",S5320)),"FR Germany",
ISNUMBER(SEARCH("West Germany",S5320)),"FR Germany",
ISNUMBER(SEARCH("Germany DR",S5320)),"DR Germany",
ISNUMBER(SEARCH("Korea DPR",S5320)),"North Korea",
ISNUMBER(SEARCH("China PR",S5320)),"China",
ISNUMBER(SEARCH("IR Iran",S5320)),"Iran",
ISNUMBER(SEARCH("Congo DR",S5320)),"Democratic Republic of the Congo",
ISNUMBER(SEARCH("DR Congo",S5320)),"Democratic Republic of the Congo",
ISNUMBER(SEARCH("German DR",S5320)),"DR Germany",
ISNUMBER(SEARCH("rn""&gt;United Arab Emirates",S5320)),"United Arab Emirates",
ISNUMBER(SEARCH("rn""&gt;Republic of Ireland",S5320)),"Ireland",
ISNUMBER(SEARCH("rn""&gt;Bosnia and Herzegovina",S5320)),"Bosnia and Herzegovina",
ISNUMBER(SEARCH("rn""&gt;Trinidad and Tobago",S5320)),"Trinidad and Tobago",
ISNUMBER(SEARCH("rn""&gt;Serbia and Montenegro",S5320)),"Serbia and Montenegro",
ISNUMBER(SEARCH(_xlfn.UNICHAR(65533),S5320)),"Côte d'Ivoire",
TRUE,"-"
)</f>
        <v>-</v>
      </c>
      <c r="W5320" s="42" t="str">
        <f t="shared" si="321"/>
        <v>-</v>
      </c>
    </row>
    <row r="5321" spans="19:23">
      <c r="S5321" s="42" t="str">
        <v/>
      </c>
      <c r="T5321" s="42" t="str">
        <f t="shared" si="319"/>
        <v>-</v>
      </c>
      <c r="U5321" s="40" t="str">
        <f t="shared" si="320"/>
        <v>-</v>
      </c>
      <c r="V5321" s="42" t="str" cm="1">
        <f t="array" ref="V5321">_xlfn.IFS(
LEFT(S5321,16)="win on penalties",IF(VALUE(MID(S5321,19,1))&gt;VALUE(MID(S5321,23,1)),DATA_CLEANED!AK835,DATA_CLEANED!AN835),
ISNUMBER(SEARCH("USA",S5321)),"United States",
ISNUMBER(SEARCH("Republic of Ireland",S5321)),"Ireland",
ISNUMBER(SEARCH("Republic of Korea",S5321)),"South Korea",
ISNUMBER(SEARCH("Cape Verde",S5321)),"Cabo Verde",
ISNUMBER(SEARCH("Czechia",S5321)),"Czech Republic",
ISNUMBER(SEARCH("Türkiye",S5321)),"Turkey",
ISNUMBER(SEARCH("Ivory Coast",S5321)),"Côte d'Ivoire",
ISNUMBER(SEARCH("Korea Republic",S5321)),"South Korea",
ISNUMBER(SEARCH("Germany FR",S5321)),"FR Germany",
ISNUMBER(SEARCH("West Germany",S5321)),"FR Germany",
ISNUMBER(SEARCH("Germany DR",S5321)),"DR Germany",
ISNUMBER(SEARCH("Korea DPR",S5321)),"North Korea",
ISNUMBER(SEARCH("China PR",S5321)),"China",
ISNUMBER(SEARCH("IR Iran",S5321)),"Iran",
ISNUMBER(SEARCH("Congo DR",S5321)),"Democratic Republic of the Congo",
ISNUMBER(SEARCH("DR Congo",S5321)),"Democratic Republic of the Congo",
ISNUMBER(SEARCH("German DR",S5321)),"DR Germany",
ISNUMBER(SEARCH("rn""&gt;United Arab Emirates",S5321)),"United Arab Emirates",
ISNUMBER(SEARCH("rn""&gt;Republic of Ireland",S5321)),"Ireland",
ISNUMBER(SEARCH("rn""&gt;Bosnia and Herzegovina",S5321)),"Bosnia and Herzegovina",
ISNUMBER(SEARCH("rn""&gt;Trinidad and Tobago",S5321)),"Trinidad and Tobago",
ISNUMBER(SEARCH("rn""&gt;Serbia and Montenegro",S5321)),"Serbia and Montenegro",
ISNUMBER(SEARCH(_xlfn.UNICHAR(65533),S5321)),"Côte d'Ivoire",
TRUE,"-"
)</f>
        <v>-</v>
      </c>
      <c r="W5321" s="42" t="str">
        <f t="shared" si="321"/>
        <v>-</v>
      </c>
    </row>
    <row r="5322" spans="19:23">
      <c r="S5322" s="42" t="str">
        <v>Costa Rica win on penalties (5 - 3)</v>
      </c>
      <c r="T5322" s="42" t="str">
        <f t="shared" ref="T5322:T5385" si="322">IF(S5322="","-",IFERROR(LEFT(S5322,SEARCH(" win",S5322)-1),"-"))</f>
        <v>Costa Rica</v>
      </c>
      <c r="U5322" s="40" t="str">
        <f t="shared" ref="U5322:U5385" si="323">IF(T5322="-","-",IF(COUNTIF(_xlfn.ANCHORARRAY(X$13),T5322)=1,"AUCUNE","RENOMMER"))</f>
        <v>AUCUNE</v>
      </c>
      <c r="V5322" s="42" t="str" cm="1">
        <f t="array" ref="V5322">_xlfn.IFS(
LEFT(S5322,16)="win on penalties",IF(VALUE(MID(S5322,19,1))&gt;VALUE(MID(S5322,23,1)),DATA_CLEANED!AK836,DATA_CLEANED!AN836),
ISNUMBER(SEARCH("USA",S5322)),"United States",
ISNUMBER(SEARCH("Republic of Ireland",S5322)),"Ireland",
ISNUMBER(SEARCH("Republic of Korea",S5322)),"South Korea",
ISNUMBER(SEARCH("Cape Verde",S5322)),"Cabo Verde",
ISNUMBER(SEARCH("Czechia",S5322)),"Czech Republic",
ISNUMBER(SEARCH("Türkiye",S5322)),"Turkey",
ISNUMBER(SEARCH("Ivory Coast",S5322)),"Côte d'Ivoire",
ISNUMBER(SEARCH("Korea Republic",S5322)),"South Korea",
ISNUMBER(SEARCH("Germany FR",S5322)),"FR Germany",
ISNUMBER(SEARCH("West Germany",S5322)),"FR Germany",
ISNUMBER(SEARCH("Germany DR",S5322)),"DR Germany",
ISNUMBER(SEARCH("Korea DPR",S5322)),"North Korea",
ISNUMBER(SEARCH("China PR",S5322)),"China",
ISNUMBER(SEARCH("IR Iran",S5322)),"Iran",
ISNUMBER(SEARCH("Congo DR",S5322)),"Democratic Republic of the Congo",
ISNUMBER(SEARCH("DR Congo",S5322)),"Democratic Republic of the Congo",
ISNUMBER(SEARCH("German DR",S5322)),"DR Germany",
ISNUMBER(SEARCH("rn""&gt;United Arab Emirates",S5322)),"United Arab Emirates",
ISNUMBER(SEARCH("rn""&gt;Republic of Ireland",S5322)),"Ireland",
ISNUMBER(SEARCH("rn""&gt;Bosnia and Herzegovina",S5322)),"Bosnia and Herzegovina",
ISNUMBER(SEARCH("rn""&gt;Trinidad and Tobago",S5322)),"Trinidad and Tobago",
ISNUMBER(SEARCH("rn""&gt;Serbia and Montenegro",S5322)),"Serbia and Montenegro",
ISNUMBER(SEARCH(_xlfn.UNICHAR(65533),S5322)),"Côte d'Ivoire",
TRUE,"-"
)</f>
        <v>-</v>
      </c>
      <c r="W5322" s="42" t="str">
        <f t="shared" ref="W5322:W5385" si="324">IF(S5322="","-",IF(AND(U5322="RENOMMER",T5322&lt;&gt;"-",V5322&lt;&gt;"-"),SUBSTITUTE(S5322,T5322,V5322),S5322))</f>
        <v>Costa Rica win on penalties (5 - 3)</v>
      </c>
    </row>
    <row r="5323" spans="19:23">
      <c r="S5323" s="42" t="str">
        <v>Argentina win after extra time</v>
      </c>
      <c r="T5323" s="42" t="str">
        <f t="shared" si="322"/>
        <v>Argentina</v>
      </c>
      <c r="U5323" s="40" t="str">
        <f t="shared" si="323"/>
        <v>AUCUNE</v>
      </c>
      <c r="V5323" s="42" t="str" cm="1">
        <f t="array" ref="V5323">_xlfn.IFS(
LEFT(S5323,16)="win on penalties",IF(VALUE(MID(S5323,19,1))&gt;VALUE(MID(S5323,23,1)),DATA_CLEANED!AK837,DATA_CLEANED!AN837),
ISNUMBER(SEARCH("USA",S5323)),"United States",
ISNUMBER(SEARCH("Republic of Ireland",S5323)),"Ireland",
ISNUMBER(SEARCH("Republic of Korea",S5323)),"South Korea",
ISNUMBER(SEARCH("Cape Verde",S5323)),"Cabo Verde",
ISNUMBER(SEARCH("Czechia",S5323)),"Czech Republic",
ISNUMBER(SEARCH("Türkiye",S5323)),"Turkey",
ISNUMBER(SEARCH("Ivory Coast",S5323)),"Côte d'Ivoire",
ISNUMBER(SEARCH("Korea Republic",S5323)),"South Korea",
ISNUMBER(SEARCH("Germany FR",S5323)),"FR Germany",
ISNUMBER(SEARCH("West Germany",S5323)),"FR Germany",
ISNUMBER(SEARCH("Germany DR",S5323)),"DR Germany",
ISNUMBER(SEARCH("Korea DPR",S5323)),"North Korea",
ISNUMBER(SEARCH("China PR",S5323)),"China",
ISNUMBER(SEARCH("IR Iran",S5323)),"Iran",
ISNUMBER(SEARCH("Congo DR",S5323)),"Democratic Republic of the Congo",
ISNUMBER(SEARCH("DR Congo",S5323)),"Democratic Republic of the Congo",
ISNUMBER(SEARCH("German DR",S5323)),"DR Germany",
ISNUMBER(SEARCH("rn""&gt;United Arab Emirates",S5323)),"United Arab Emirates",
ISNUMBER(SEARCH("rn""&gt;Republic of Ireland",S5323)),"Ireland",
ISNUMBER(SEARCH("rn""&gt;Bosnia and Herzegovina",S5323)),"Bosnia and Herzegovina",
ISNUMBER(SEARCH("rn""&gt;Trinidad and Tobago",S5323)),"Trinidad and Tobago",
ISNUMBER(SEARCH("rn""&gt;Serbia and Montenegro",S5323)),"Serbia and Montenegro",
ISNUMBER(SEARCH(_xlfn.UNICHAR(65533),S5323)),"Côte d'Ivoire",
TRUE,"-"
)</f>
        <v>-</v>
      </c>
      <c r="W5323" s="42" t="str">
        <f t="shared" si="324"/>
        <v>Argentina win after extra time</v>
      </c>
    </row>
    <row r="5324" spans="19:23">
      <c r="S5324" s="42" t="str">
        <v>Belgium win after extra time</v>
      </c>
      <c r="T5324" s="42" t="str">
        <f t="shared" si="322"/>
        <v>Belgium</v>
      </c>
      <c r="U5324" s="40" t="str">
        <f t="shared" si="323"/>
        <v>AUCUNE</v>
      </c>
      <c r="V5324" s="42" t="str" cm="1">
        <f t="array" ref="V5324">_xlfn.IFS(
LEFT(S5324,16)="win on penalties",IF(VALUE(MID(S5324,19,1))&gt;VALUE(MID(S5324,23,1)),DATA_CLEANED!AK838,DATA_CLEANED!AN838),
ISNUMBER(SEARCH("USA",S5324)),"United States",
ISNUMBER(SEARCH("Republic of Ireland",S5324)),"Ireland",
ISNUMBER(SEARCH("Republic of Korea",S5324)),"South Korea",
ISNUMBER(SEARCH("Cape Verde",S5324)),"Cabo Verde",
ISNUMBER(SEARCH("Czechia",S5324)),"Czech Republic",
ISNUMBER(SEARCH("Türkiye",S5324)),"Turkey",
ISNUMBER(SEARCH("Ivory Coast",S5324)),"Côte d'Ivoire",
ISNUMBER(SEARCH("Korea Republic",S5324)),"South Korea",
ISNUMBER(SEARCH("Germany FR",S5324)),"FR Germany",
ISNUMBER(SEARCH("West Germany",S5324)),"FR Germany",
ISNUMBER(SEARCH("Germany DR",S5324)),"DR Germany",
ISNUMBER(SEARCH("Korea DPR",S5324)),"North Korea",
ISNUMBER(SEARCH("China PR",S5324)),"China",
ISNUMBER(SEARCH("IR Iran",S5324)),"Iran",
ISNUMBER(SEARCH("Congo DR",S5324)),"Democratic Republic of the Congo",
ISNUMBER(SEARCH("DR Congo",S5324)),"Democratic Republic of the Congo",
ISNUMBER(SEARCH("German DR",S5324)),"DR Germany",
ISNUMBER(SEARCH("rn""&gt;United Arab Emirates",S5324)),"United Arab Emirates",
ISNUMBER(SEARCH("rn""&gt;Republic of Ireland",S5324)),"Ireland",
ISNUMBER(SEARCH("rn""&gt;Bosnia and Herzegovina",S5324)),"Bosnia and Herzegovina",
ISNUMBER(SEARCH("rn""&gt;Trinidad and Tobago",S5324)),"Trinidad and Tobago",
ISNUMBER(SEARCH("rn""&gt;Serbia and Montenegro",S5324)),"Serbia and Montenegro",
ISNUMBER(SEARCH(_xlfn.UNICHAR(65533),S5324)),"Côte d'Ivoire",
TRUE,"-"
)</f>
        <v>-</v>
      </c>
      <c r="W5324" s="42" t="str">
        <f t="shared" si="324"/>
        <v>Belgium win after extra time</v>
      </c>
    </row>
    <row r="5325" spans="19:23">
      <c r="S5325" s="42" t="str">
        <v/>
      </c>
      <c r="T5325" s="42" t="str">
        <f t="shared" si="322"/>
        <v>-</v>
      </c>
      <c r="U5325" s="40" t="str">
        <f t="shared" si="323"/>
        <v>-</v>
      </c>
      <c r="V5325" s="42" t="str" cm="1">
        <f t="array" ref="V5325">_xlfn.IFS(
LEFT(S5325,16)="win on penalties",IF(VALUE(MID(S5325,19,1))&gt;VALUE(MID(S5325,23,1)),DATA_CLEANED!AK839,DATA_CLEANED!AN839),
ISNUMBER(SEARCH("USA",S5325)),"United States",
ISNUMBER(SEARCH("Republic of Ireland",S5325)),"Ireland",
ISNUMBER(SEARCH("Republic of Korea",S5325)),"South Korea",
ISNUMBER(SEARCH("Cape Verde",S5325)),"Cabo Verde",
ISNUMBER(SEARCH("Czechia",S5325)),"Czech Republic",
ISNUMBER(SEARCH("Türkiye",S5325)),"Turkey",
ISNUMBER(SEARCH("Ivory Coast",S5325)),"Côte d'Ivoire",
ISNUMBER(SEARCH("Korea Republic",S5325)),"South Korea",
ISNUMBER(SEARCH("Germany FR",S5325)),"FR Germany",
ISNUMBER(SEARCH("West Germany",S5325)),"FR Germany",
ISNUMBER(SEARCH("Germany DR",S5325)),"DR Germany",
ISNUMBER(SEARCH("Korea DPR",S5325)),"North Korea",
ISNUMBER(SEARCH("China PR",S5325)),"China",
ISNUMBER(SEARCH("IR Iran",S5325)),"Iran",
ISNUMBER(SEARCH("Congo DR",S5325)),"Democratic Republic of the Congo",
ISNUMBER(SEARCH("DR Congo",S5325)),"Democratic Republic of the Congo",
ISNUMBER(SEARCH("German DR",S5325)),"DR Germany",
ISNUMBER(SEARCH("rn""&gt;United Arab Emirates",S5325)),"United Arab Emirates",
ISNUMBER(SEARCH("rn""&gt;Republic of Ireland",S5325)),"Ireland",
ISNUMBER(SEARCH("rn""&gt;Bosnia and Herzegovina",S5325)),"Bosnia and Herzegovina",
ISNUMBER(SEARCH("rn""&gt;Trinidad and Tobago",S5325)),"Trinidad and Tobago",
ISNUMBER(SEARCH("rn""&gt;Serbia and Montenegro",S5325)),"Serbia and Montenegro",
ISNUMBER(SEARCH(_xlfn.UNICHAR(65533),S5325)),"Côte d'Ivoire",
TRUE,"-"
)</f>
        <v>-</v>
      </c>
      <c r="W5325" s="42" t="str">
        <f t="shared" si="324"/>
        <v>-</v>
      </c>
    </row>
    <row r="5326" spans="19:23">
      <c r="S5326" s="42" t="str">
        <v/>
      </c>
      <c r="T5326" s="42" t="str">
        <f t="shared" si="322"/>
        <v>-</v>
      </c>
      <c r="U5326" s="40" t="str">
        <f t="shared" si="323"/>
        <v>-</v>
      </c>
      <c r="V5326" s="42" t="str" cm="1">
        <f t="array" ref="V5326">_xlfn.IFS(
LEFT(S5326,16)="win on penalties",IF(VALUE(MID(S5326,19,1))&gt;VALUE(MID(S5326,23,1)),DATA_CLEANED!AK840,DATA_CLEANED!AN840),
ISNUMBER(SEARCH("USA",S5326)),"United States",
ISNUMBER(SEARCH("Republic of Ireland",S5326)),"Ireland",
ISNUMBER(SEARCH("Republic of Korea",S5326)),"South Korea",
ISNUMBER(SEARCH("Cape Verde",S5326)),"Cabo Verde",
ISNUMBER(SEARCH("Czechia",S5326)),"Czech Republic",
ISNUMBER(SEARCH("Türkiye",S5326)),"Turkey",
ISNUMBER(SEARCH("Ivory Coast",S5326)),"Côte d'Ivoire",
ISNUMBER(SEARCH("Korea Republic",S5326)),"South Korea",
ISNUMBER(SEARCH("Germany FR",S5326)),"FR Germany",
ISNUMBER(SEARCH("West Germany",S5326)),"FR Germany",
ISNUMBER(SEARCH("Germany DR",S5326)),"DR Germany",
ISNUMBER(SEARCH("Korea DPR",S5326)),"North Korea",
ISNUMBER(SEARCH("China PR",S5326)),"China",
ISNUMBER(SEARCH("IR Iran",S5326)),"Iran",
ISNUMBER(SEARCH("Congo DR",S5326)),"Democratic Republic of the Congo",
ISNUMBER(SEARCH("DR Congo",S5326)),"Democratic Republic of the Congo",
ISNUMBER(SEARCH("German DR",S5326)),"DR Germany",
ISNUMBER(SEARCH("rn""&gt;United Arab Emirates",S5326)),"United Arab Emirates",
ISNUMBER(SEARCH("rn""&gt;Republic of Ireland",S5326)),"Ireland",
ISNUMBER(SEARCH("rn""&gt;Bosnia and Herzegovina",S5326)),"Bosnia and Herzegovina",
ISNUMBER(SEARCH("rn""&gt;Trinidad and Tobago",S5326)),"Trinidad and Tobago",
ISNUMBER(SEARCH("rn""&gt;Serbia and Montenegro",S5326)),"Serbia and Montenegro",
ISNUMBER(SEARCH(_xlfn.UNICHAR(65533),S5326)),"Côte d'Ivoire",
TRUE,"-"
)</f>
        <v>-</v>
      </c>
      <c r="W5326" s="42" t="str">
        <f t="shared" si="324"/>
        <v>-</v>
      </c>
    </row>
    <row r="5327" spans="19:23">
      <c r="S5327" s="42" t="str">
        <v/>
      </c>
      <c r="T5327" s="42" t="str">
        <f t="shared" si="322"/>
        <v>-</v>
      </c>
      <c r="U5327" s="40" t="str">
        <f t="shared" si="323"/>
        <v>-</v>
      </c>
      <c r="V5327" s="42" t="str" cm="1">
        <f t="array" ref="V5327">_xlfn.IFS(
LEFT(S5327,16)="win on penalties",IF(VALUE(MID(S5327,19,1))&gt;VALUE(MID(S5327,23,1)),DATA_CLEANED!AK841,DATA_CLEANED!AN841),
ISNUMBER(SEARCH("USA",S5327)),"United States",
ISNUMBER(SEARCH("Republic of Ireland",S5327)),"Ireland",
ISNUMBER(SEARCH("Republic of Korea",S5327)),"South Korea",
ISNUMBER(SEARCH("Cape Verde",S5327)),"Cabo Verde",
ISNUMBER(SEARCH("Czechia",S5327)),"Czech Republic",
ISNUMBER(SEARCH("Türkiye",S5327)),"Turkey",
ISNUMBER(SEARCH("Ivory Coast",S5327)),"Côte d'Ivoire",
ISNUMBER(SEARCH("Korea Republic",S5327)),"South Korea",
ISNUMBER(SEARCH("Germany FR",S5327)),"FR Germany",
ISNUMBER(SEARCH("West Germany",S5327)),"FR Germany",
ISNUMBER(SEARCH("Germany DR",S5327)),"DR Germany",
ISNUMBER(SEARCH("Korea DPR",S5327)),"North Korea",
ISNUMBER(SEARCH("China PR",S5327)),"China",
ISNUMBER(SEARCH("IR Iran",S5327)),"Iran",
ISNUMBER(SEARCH("Congo DR",S5327)),"Democratic Republic of the Congo",
ISNUMBER(SEARCH("DR Congo",S5327)),"Democratic Republic of the Congo",
ISNUMBER(SEARCH("German DR",S5327)),"DR Germany",
ISNUMBER(SEARCH("rn""&gt;United Arab Emirates",S5327)),"United Arab Emirates",
ISNUMBER(SEARCH("rn""&gt;Republic of Ireland",S5327)),"Ireland",
ISNUMBER(SEARCH("rn""&gt;Bosnia and Herzegovina",S5327)),"Bosnia and Herzegovina",
ISNUMBER(SEARCH("rn""&gt;Trinidad and Tobago",S5327)),"Trinidad and Tobago",
ISNUMBER(SEARCH("rn""&gt;Serbia and Montenegro",S5327)),"Serbia and Montenegro",
ISNUMBER(SEARCH(_xlfn.UNICHAR(65533),S5327)),"Côte d'Ivoire",
TRUE,"-"
)</f>
        <v>-</v>
      </c>
      <c r="W5327" s="42" t="str">
        <f t="shared" si="324"/>
        <v>-</v>
      </c>
    </row>
    <row r="5328" spans="19:23">
      <c r="S5328" s="42" t="str">
        <v/>
      </c>
      <c r="T5328" s="42" t="str">
        <f t="shared" si="322"/>
        <v>-</v>
      </c>
      <c r="U5328" s="40" t="str">
        <f t="shared" si="323"/>
        <v>-</v>
      </c>
      <c r="V5328" s="42" t="str" cm="1">
        <f t="array" ref="V5328">_xlfn.IFS(
LEFT(S5328,16)="win on penalties",IF(VALUE(MID(S5328,19,1))&gt;VALUE(MID(S5328,23,1)),DATA_CLEANED!AK842,DATA_CLEANED!AN842),
ISNUMBER(SEARCH("USA",S5328)),"United States",
ISNUMBER(SEARCH("Republic of Ireland",S5328)),"Ireland",
ISNUMBER(SEARCH("Republic of Korea",S5328)),"South Korea",
ISNUMBER(SEARCH("Cape Verde",S5328)),"Cabo Verde",
ISNUMBER(SEARCH("Czechia",S5328)),"Czech Republic",
ISNUMBER(SEARCH("Türkiye",S5328)),"Turkey",
ISNUMBER(SEARCH("Ivory Coast",S5328)),"Côte d'Ivoire",
ISNUMBER(SEARCH("Korea Republic",S5328)),"South Korea",
ISNUMBER(SEARCH("Germany FR",S5328)),"FR Germany",
ISNUMBER(SEARCH("West Germany",S5328)),"FR Germany",
ISNUMBER(SEARCH("Germany DR",S5328)),"DR Germany",
ISNUMBER(SEARCH("Korea DPR",S5328)),"North Korea",
ISNUMBER(SEARCH("China PR",S5328)),"China",
ISNUMBER(SEARCH("IR Iran",S5328)),"Iran",
ISNUMBER(SEARCH("Congo DR",S5328)),"Democratic Republic of the Congo",
ISNUMBER(SEARCH("DR Congo",S5328)),"Democratic Republic of the Congo",
ISNUMBER(SEARCH("German DR",S5328)),"DR Germany",
ISNUMBER(SEARCH("rn""&gt;United Arab Emirates",S5328)),"United Arab Emirates",
ISNUMBER(SEARCH("rn""&gt;Republic of Ireland",S5328)),"Ireland",
ISNUMBER(SEARCH("rn""&gt;Bosnia and Herzegovina",S5328)),"Bosnia and Herzegovina",
ISNUMBER(SEARCH("rn""&gt;Trinidad and Tobago",S5328)),"Trinidad and Tobago",
ISNUMBER(SEARCH("rn""&gt;Serbia and Montenegro",S5328)),"Serbia and Montenegro",
ISNUMBER(SEARCH(_xlfn.UNICHAR(65533),S5328)),"Côte d'Ivoire",
TRUE,"-"
)</f>
        <v>-</v>
      </c>
      <c r="W5328" s="42" t="str">
        <f t="shared" si="324"/>
        <v>-</v>
      </c>
    </row>
    <row r="5329" spans="19:23">
      <c r="S5329" s="42" t="str">
        <v/>
      </c>
      <c r="T5329" s="42" t="str">
        <f t="shared" si="322"/>
        <v>-</v>
      </c>
      <c r="U5329" s="40" t="str">
        <f t="shared" si="323"/>
        <v>-</v>
      </c>
      <c r="V5329" s="42" t="str" cm="1">
        <f t="array" ref="V5329">_xlfn.IFS(
LEFT(S5329,16)="win on penalties",IF(VALUE(MID(S5329,19,1))&gt;VALUE(MID(S5329,23,1)),DATA_CLEANED!AK843,DATA_CLEANED!AN843),
ISNUMBER(SEARCH("USA",S5329)),"United States",
ISNUMBER(SEARCH("Republic of Ireland",S5329)),"Ireland",
ISNUMBER(SEARCH("Republic of Korea",S5329)),"South Korea",
ISNUMBER(SEARCH("Cape Verde",S5329)),"Cabo Verde",
ISNUMBER(SEARCH("Czechia",S5329)),"Czech Republic",
ISNUMBER(SEARCH("Türkiye",S5329)),"Turkey",
ISNUMBER(SEARCH("Ivory Coast",S5329)),"Côte d'Ivoire",
ISNUMBER(SEARCH("Korea Republic",S5329)),"South Korea",
ISNUMBER(SEARCH("Germany FR",S5329)),"FR Germany",
ISNUMBER(SEARCH("West Germany",S5329)),"FR Germany",
ISNUMBER(SEARCH("Germany DR",S5329)),"DR Germany",
ISNUMBER(SEARCH("Korea DPR",S5329)),"North Korea",
ISNUMBER(SEARCH("China PR",S5329)),"China",
ISNUMBER(SEARCH("IR Iran",S5329)),"Iran",
ISNUMBER(SEARCH("Congo DR",S5329)),"Democratic Republic of the Congo",
ISNUMBER(SEARCH("DR Congo",S5329)),"Democratic Republic of the Congo",
ISNUMBER(SEARCH("German DR",S5329)),"DR Germany",
ISNUMBER(SEARCH("rn""&gt;United Arab Emirates",S5329)),"United Arab Emirates",
ISNUMBER(SEARCH("rn""&gt;Republic of Ireland",S5329)),"Ireland",
ISNUMBER(SEARCH("rn""&gt;Bosnia and Herzegovina",S5329)),"Bosnia and Herzegovina",
ISNUMBER(SEARCH("rn""&gt;Trinidad and Tobago",S5329)),"Trinidad and Tobago",
ISNUMBER(SEARCH("rn""&gt;Serbia and Montenegro",S5329)),"Serbia and Montenegro",
ISNUMBER(SEARCH(_xlfn.UNICHAR(65533),S5329)),"Côte d'Ivoire",
TRUE,"-"
)</f>
        <v>-</v>
      </c>
      <c r="W5329" s="42" t="str">
        <f t="shared" si="324"/>
        <v>-</v>
      </c>
    </row>
    <row r="5330" spans="19:23">
      <c r="S5330" s="42" t="str">
        <v/>
      </c>
      <c r="T5330" s="42" t="str">
        <f t="shared" si="322"/>
        <v>-</v>
      </c>
      <c r="U5330" s="40" t="str">
        <f t="shared" si="323"/>
        <v>-</v>
      </c>
      <c r="V5330" s="42" t="str" cm="1">
        <f t="array" ref="V5330">_xlfn.IFS(
LEFT(S5330,16)="win on penalties",IF(VALUE(MID(S5330,19,1))&gt;VALUE(MID(S5330,23,1)),DATA_CLEANED!AK844,DATA_CLEANED!AN844),
ISNUMBER(SEARCH("USA",S5330)),"United States",
ISNUMBER(SEARCH("Republic of Ireland",S5330)),"Ireland",
ISNUMBER(SEARCH("Republic of Korea",S5330)),"South Korea",
ISNUMBER(SEARCH("Cape Verde",S5330)),"Cabo Verde",
ISNUMBER(SEARCH("Czechia",S5330)),"Czech Republic",
ISNUMBER(SEARCH("Türkiye",S5330)),"Turkey",
ISNUMBER(SEARCH("Ivory Coast",S5330)),"Côte d'Ivoire",
ISNUMBER(SEARCH("Korea Republic",S5330)),"South Korea",
ISNUMBER(SEARCH("Germany FR",S5330)),"FR Germany",
ISNUMBER(SEARCH("West Germany",S5330)),"FR Germany",
ISNUMBER(SEARCH("Germany DR",S5330)),"DR Germany",
ISNUMBER(SEARCH("Korea DPR",S5330)),"North Korea",
ISNUMBER(SEARCH("China PR",S5330)),"China",
ISNUMBER(SEARCH("IR Iran",S5330)),"Iran",
ISNUMBER(SEARCH("Congo DR",S5330)),"Democratic Republic of the Congo",
ISNUMBER(SEARCH("DR Congo",S5330)),"Democratic Republic of the Congo",
ISNUMBER(SEARCH("German DR",S5330)),"DR Germany",
ISNUMBER(SEARCH("rn""&gt;United Arab Emirates",S5330)),"United Arab Emirates",
ISNUMBER(SEARCH("rn""&gt;Republic of Ireland",S5330)),"Ireland",
ISNUMBER(SEARCH("rn""&gt;Bosnia and Herzegovina",S5330)),"Bosnia and Herzegovina",
ISNUMBER(SEARCH("rn""&gt;Trinidad and Tobago",S5330)),"Trinidad and Tobago",
ISNUMBER(SEARCH("rn""&gt;Serbia and Montenegro",S5330)),"Serbia and Montenegro",
ISNUMBER(SEARCH(_xlfn.UNICHAR(65533),S5330)),"Côte d'Ivoire",
TRUE,"-"
)</f>
        <v>-</v>
      </c>
      <c r="W5330" s="42" t="str">
        <f t="shared" si="324"/>
        <v>-</v>
      </c>
    </row>
    <row r="5331" spans="19:23">
      <c r="S5331" s="42" t="str">
        <v/>
      </c>
      <c r="T5331" s="42" t="str">
        <f t="shared" si="322"/>
        <v>-</v>
      </c>
      <c r="U5331" s="40" t="str">
        <f t="shared" si="323"/>
        <v>-</v>
      </c>
      <c r="V5331" s="42" t="str" cm="1">
        <f t="array" ref="V5331">_xlfn.IFS(
LEFT(S5331,16)="win on penalties",IF(VALUE(MID(S5331,19,1))&gt;VALUE(MID(S5331,23,1)),DATA_CLEANED!AK845,DATA_CLEANED!AN845),
ISNUMBER(SEARCH("USA",S5331)),"United States",
ISNUMBER(SEARCH("Republic of Ireland",S5331)),"Ireland",
ISNUMBER(SEARCH("Republic of Korea",S5331)),"South Korea",
ISNUMBER(SEARCH("Cape Verde",S5331)),"Cabo Verde",
ISNUMBER(SEARCH("Czechia",S5331)),"Czech Republic",
ISNUMBER(SEARCH("Türkiye",S5331)),"Turkey",
ISNUMBER(SEARCH("Ivory Coast",S5331)),"Côte d'Ivoire",
ISNUMBER(SEARCH("Korea Republic",S5331)),"South Korea",
ISNUMBER(SEARCH("Germany FR",S5331)),"FR Germany",
ISNUMBER(SEARCH("West Germany",S5331)),"FR Germany",
ISNUMBER(SEARCH("Germany DR",S5331)),"DR Germany",
ISNUMBER(SEARCH("Korea DPR",S5331)),"North Korea",
ISNUMBER(SEARCH("China PR",S5331)),"China",
ISNUMBER(SEARCH("IR Iran",S5331)),"Iran",
ISNUMBER(SEARCH("Congo DR",S5331)),"Democratic Republic of the Congo",
ISNUMBER(SEARCH("DR Congo",S5331)),"Democratic Republic of the Congo",
ISNUMBER(SEARCH("German DR",S5331)),"DR Germany",
ISNUMBER(SEARCH("rn""&gt;United Arab Emirates",S5331)),"United Arab Emirates",
ISNUMBER(SEARCH("rn""&gt;Republic of Ireland",S5331)),"Ireland",
ISNUMBER(SEARCH("rn""&gt;Bosnia and Herzegovina",S5331)),"Bosnia and Herzegovina",
ISNUMBER(SEARCH("rn""&gt;Trinidad and Tobago",S5331)),"Trinidad and Tobago",
ISNUMBER(SEARCH("rn""&gt;Serbia and Montenegro",S5331)),"Serbia and Montenegro",
ISNUMBER(SEARCH(_xlfn.UNICHAR(65533),S5331)),"Côte d'Ivoire",
TRUE,"-"
)</f>
        <v>-</v>
      </c>
      <c r="W5331" s="42" t="str">
        <f t="shared" si="324"/>
        <v>-</v>
      </c>
    </row>
    <row r="5332" spans="19:23">
      <c r="S5332" s="42" t="str">
        <v/>
      </c>
      <c r="T5332" s="42" t="str">
        <f t="shared" si="322"/>
        <v>-</v>
      </c>
      <c r="U5332" s="40" t="str">
        <f t="shared" si="323"/>
        <v>-</v>
      </c>
      <c r="V5332" s="42" t="str" cm="1">
        <f t="array" ref="V5332">_xlfn.IFS(
LEFT(S5332,16)="win on penalties",IF(VALUE(MID(S5332,19,1))&gt;VALUE(MID(S5332,23,1)),DATA_CLEANED!AK846,DATA_CLEANED!AN846),
ISNUMBER(SEARCH("USA",S5332)),"United States",
ISNUMBER(SEARCH("Republic of Ireland",S5332)),"Ireland",
ISNUMBER(SEARCH("Republic of Korea",S5332)),"South Korea",
ISNUMBER(SEARCH("Cape Verde",S5332)),"Cabo Verde",
ISNUMBER(SEARCH("Czechia",S5332)),"Czech Republic",
ISNUMBER(SEARCH("Türkiye",S5332)),"Turkey",
ISNUMBER(SEARCH("Ivory Coast",S5332)),"Côte d'Ivoire",
ISNUMBER(SEARCH("Korea Republic",S5332)),"South Korea",
ISNUMBER(SEARCH("Germany FR",S5332)),"FR Germany",
ISNUMBER(SEARCH("West Germany",S5332)),"FR Germany",
ISNUMBER(SEARCH("Germany DR",S5332)),"DR Germany",
ISNUMBER(SEARCH("Korea DPR",S5332)),"North Korea",
ISNUMBER(SEARCH("China PR",S5332)),"China",
ISNUMBER(SEARCH("IR Iran",S5332)),"Iran",
ISNUMBER(SEARCH("Congo DR",S5332)),"Democratic Republic of the Congo",
ISNUMBER(SEARCH("DR Congo",S5332)),"Democratic Republic of the Congo",
ISNUMBER(SEARCH("German DR",S5332)),"DR Germany",
ISNUMBER(SEARCH("rn""&gt;United Arab Emirates",S5332)),"United Arab Emirates",
ISNUMBER(SEARCH("rn""&gt;Republic of Ireland",S5332)),"Ireland",
ISNUMBER(SEARCH("rn""&gt;Bosnia and Herzegovina",S5332)),"Bosnia and Herzegovina",
ISNUMBER(SEARCH("rn""&gt;Trinidad and Tobago",S5332)),"Trinidad and Tobago",
ISNUMBER(SEARCH("rn""&gt;Serbia and Montenegro",S5332)),"Serbia and Montenegro",
ISNUMBER(SEARCH(_xlfn.UNICHAR(65533),S5332)),"Côte d'Ivoire",
TRUE,"-"
)</f>
        <v>-</v>
      </c>
      <c r="W5332" s="42" t="str">
        <f t="shared" si="324"/>
        <v>-</v>
      </c>
    </row>
    <row r="5333" spans="19:23">
      <c r="S5333" s="42" t="str">
        <v/>
      </c>
      <c r="T5333" s="42" t="str">
        <f t="shared" si="322"/>
        <v>-</v>
      </c>
      <c r="U5333" s="40" t="str">
        <f t="shared" si="323"/>
        <v>-</v>
      </c>
      <c r="V5333" s="42" t="str" cm="1">
        <f t="array" ref="V5333">_xlfn.IFS(
LEFT(S5333,16)="win on penalties",IF(VALUE(MID(S5333,19,1))&gt;VALUE(MID(S5333,23,1)),DATA_CLEANED!AK847,DATA_CLEANED!AN847),
ISNUMBER(SEARCH("USA",S5333)),"United States",
ISNUMBER(SEARCH("Republic of Ireland",S5333)),"Ireland",
ISNUMBER(SEARCH("Republic of Korea",S5333)),"South Korea",
ISNUMBER(SEARCH("Cape Verde",S5333)),"Cabo Verde",
ISNUMBER(SEARCH("Czechia",S5333)),"Czech Republic",
ISNUMBER(SEARCH("Türkiye",S5333)),"Turkey",
ISNUMBER(SEARCH("Ivory Coast",S5333)),"Côte d'Ivoire",
ISNUMBER(SEARCH("Korea Republic",S5333)),"South Korea",
ISNUMBER(SEARCH("Germany FR",S5333)),"FR Germany",
ISNUMBER(SEARCH("West Germany",S5333)),"FR Germany",
ISNUMBER(SEARCH("Germany DR",S5333)),"DR Germany",
ISNUMBER(SEARCH("Korea DPR",S5333)),"North Korea",
ISNUMBER(SEARCH("China PR",S5333)),"China",
ISNUMBER(SEARCH("IR Iran",S5333)),"Iran",
ISNUMBER(SEARCH("Congo DR",S5333)),"Democratic Republic of the Congo",
ISNUMBER(SEARCH("DR Congo",S5333)),"Democratic Republic of the Congo",
ISNUMBER(SEARCH("German DR",S5333)),"DR Germany",
ISNUMBER(SEARCH("rn""&gt;United Arab Emirates",S5333)),"United Arab Emirates",
ISNUMBER(SEARCH("rn""&gt;Republic of Ireland",S5333)),"Ireland",
ISNUMBER(SEARCH("rn""&gt;Bosnia and Herzegovina",S5333)),"Bosnia and Herzegovina",
ISNUMBER(SEARCH("rn""&gt;Trinidad and Tobago",S5333)),"Trinidad and Tobago",
ISNUMBER(SEARCH("rn""&gt;Serbia and Montenegro",S5333)),"Serbia and Montenegro",
ISNUMBER(SEARCH(_xlfn.UNICHAR(65533),S5333)),"Côte d'Ivoire",
TRUE,"-"
)</f>
        <v>-</v>
      </c>
      <c r="W5333" s="42" t="str">
        <f t="shared" si="324"/>
        <v>-</v>
      </c>
    </row>
    <row r="5334" spans="19:23">
      <c r="S5334" s="42" t="str">
        <v/>
      </c>
      <c r="T5334" s="42" t="str">
        <f t="shared" si="322"/>
        <v>-</v>
      </c>
      <c r="U5334" s="40" t="str">
        <f t="shared" si="323"/>
        <v>-</v>
      </c>
      <c r="V5334" s="42" t="str" cm="1">
        <f t="array" ref="V5334">_xlfn.IFS(
LEFT(S5334,16)="win on penalties",IF(VALUE(MID(S5334,19,1))&gt;VALUE(MID(S5334,23,1)),DATA_CLEANED!AK848,DATA_CLEANED!AN848),
ISNUMBER(SEARCH("USA",S5334)),"United States",
ISNUMBER(SEARCH("Republic of Ireland",S5334)),"Ireland",
ISNUMBER(SEARCH("Republic of Korea",S5334)),"South Korea",
ISNUMBER(SEARCH("Cape Verde",S5334)),"Cabo Verde",
ISNUMBER(SEARCH("Czechia",S5334)),"Czech Republic",
ISNUMBER(SEARCH("Türkiye",S5334)),"Turkey",
ISNUMBER(SEARCH("Ivory Coast",S5334)),"Côte d'Ivoire",
ISNUMBER(SEARCH("Korea Republic",S5334)),"South Korea",
ISNUMBER(SEARCH("Germany FR",S5334)),"FR Germany",
ISNUMBER(SEARCH("West Germany",S5334)),"FR Germany",
ISNUMBER(SEARCH("Germany DR",S5334)),"DR Germany",
ISNUMBER(SEARCH("Korea DPR",S5334)),"North Korea",
ISNUMBER(SEARCH("China PR",S5334)),"China",
ISNUMBER(SEARCH("IR Iran",S5334)),"Iran",
ISNUMBER(SEARCH("Congo DR",S5334)),"Democratic Republic of the Congo",
ISNUMBER(SEARCH("DR Congo",S5334)),"Democratic Republic of the Congo",
ISNUMBER(SEARCH("German DR",S5334)),"DR Germany",
ISNUMBER(SEARCH("rn""&gt;United Arab Emirates",S5334)),"United Arab Emirates",
ISNUMBER(SEARCH("rn""&gt;Republic of Ireland",S5334)),"Ireland",
ISNUMBER(SEARCH("rn""&gt;Bosnia and Herzegovina",S5334)),"Bosnia and Herzegovina",
ISNUMBER(SEARCH("rn""&gt;Trinidad and Tobago",S5334)),"Trinidad and Tobago",
ISNUMBER(SEARCH("rn""&gt;Serbia and Montenegro",S5334)),"Serbia and Montenegro",
ISNUMBER(SEARCH(_xlfn.UNICHAR(65533),S5334)),"Côte d'Ivoire",
TRUE,"-"
)</f>
        <v>-</v>
      </c>
      <c r="W5334" s="42" t="str">
        <f t="shared" si="324"/>
        <v>-</v>
      </c>
    </row>
    <row r="5335" spans="19:23">
      <c r="S5335" s="42" t="str">
        <v/>
      </c>
      <c r="T5335" s="42" t="str">
        <f t="shared" si="322"/>
        <v>-</v>
      </c>
      <c r="U5335" s="40" t="str">
        <f t="shared" si="323"/>
        <v>-</v>
      </c>
      <c r="V5335" s="42" t="str" cm="1">
        <f t="array" ref="V5335">_xlfn.IFS(
LEFT(S5335,16)="win on penalties",IF(VALUE(MID(S5335,19,1))&gt;VALUE(MID(S5335,23,1)),DATA_CLEANED!AK849,DATA_CLEANED!AN849),
ISNUMBER(SEARCH("USA",S5335)),"United States",
ISNUMBER(SEARCH("Republic of Ireland",S5335)),"Ireland",
ISNUMBER(SEARCH("Republic of Korea",S5335)),"South Korea",
ISNUMBER(SEARCH("Cape Verde",S5335)),"Cabo Verde",
ISNUMBER(SEARCH("Czechia",S5335)),"Czech Republic",
ISNUMBER(SEARCH("Türkiye",S5335)),"Turkey",
ISNUMBER(SEARCH("Ivory Coast",S5335)),"Côte d'Ivoire",
ISNUMBER(SEARCH("Korea Republic",S5335)),"South Korea",
ISNUMBER(SEARCH("Germany FR",S5335)),"FR Germany",
ISNUMBER(SEARCH("West Germany",S5335)),"FR Germany",
ISNUMBER(SEARCH("Germany DR",S5335)),"DR Germany",
ISNUMBER(SEARCH("Korea DPR",S5335)),"North Korea",
ISNUMBER(SEARCH("China PR",S5335)),"China",
ISNUMBER(SEARCH("IR Iran",S5335)),"Iran",
ISNUMBER(SEARCH("Congo DR",S5335)),"Democratic Republic of the Congo",
ISNUMBER(SEARCH("DR Congo",S5335)),"Democratic Republic of the Congo",
ISNUMBER(SEARCH("German DR",S5335)),"DR Germany",
ISNUMBER(SEARCH("rn""&gt;United Arab Emirates",S5335)),"United Arab Emirates",
ISNUMBER(SEARCH("rn""&gt;Republic of Ireland",S5335)),"Ireland",
ISNUMBER(SEARCH("rn""&gt;Bosnia and Herzegovina",S5335)),"Bosnia and Herzegovina",
ISNUMBER(SEARCH("rn""&gt;Trinidad and Tobago",S5335)),"Trinidad and Tobago",
ISNUMBER(SEARCH("rn""&gt;Serbia and Montenegro",S5335)),"Serbia and Montenegro",
ISNUMBER(SEARCH(_xlfn.UNICHAR(65533),S5335)),"Côte d'Ivoire",
TRUE,"-"
)</f>
        <v>-</v>
      </c>
      <c r="W5335" s="42" t="str">
        <f t="shared" si="324"/>
        <v>-</v>
      </c>
    </row>
    <row r="5336" spans="19:23">
      <c r="S5336" s="42" t="str">
        <v/>
      </c>
      <c r="T5336" s="42" t="str">
        <f t="shared" si="322"/>
        <v>-</v>
      </c>
      <c r="U5336" s="40" t="str">
        <f t="shared" si="323"/>
        <v>-</v>
      </c>
      <c r="V5336" s="42" t="str" cm="1">
        <f t="array" ref="V5336">_xlfn.IFS(
LEFT(S5336,16)="win on penalties",IF(VALUE(MID(S5336,19,1))&gt;VALUE(MID(S5336,23,1)),DATA_CLEANED!AK850,DATA_CLEANED!AN850),
ISNUMBER(SEARCH("USA",S5336)),"United States",
ISNUMBER(SEARCH("Republic of Ireland",S5336)),"Ireland",
ISNUMBER(SEARCH("Republic of Korea",S5336)),"South Korea",
ISNUMBER(SEARCH("Cape Verde",S5336)),"Cabo Verde",
ISNUMBER(SEARCH("Czechia",S5336)),"Czech Republic",
ISNUMBER(SEARCH("Türkiye",S5336)),"Turkey",
ISNUMBER(SEARCH("Ivory Coast",S5336)),"Côte d'Ivoire",
ISNUMBER(SEARCH("Korea Republic",S5336)),"South Korea",
ISNUMBER(SEARCH("Germany FR",S5336)),"FR Germany",
ISNUMBER(SEARCH("West Germany",S5336)),"FR Germany",
ISNUMBER(SEARCH("Germany DR",S5336)),"DR Germany",
ISNUMBER(SEARCH("Korea DPR",S5336)),"North Korea",
ISNUMBER(SEARCH("China PR",S5336)),"China",
ISNUMBER(SEARCH("IR Iran",S5336)),"Iran",
ISNUMBER(SEARCH("Congo DR",S5336)),"Democratic Republic of the Congo",
ISNUMBER(SEARCH("DR Congo",S5336)),"Democratic Republic of the Congo",
ISNUMBER(SEARCH("German DR",S5336)),"DR Germany",
ISNUMBER(SEARCH("rn""&gt;United Arab Emirates",S5336)),"United Arab Emirates",
ISNUMBER(SEARCH("rn""&gt;Republic of Ireland",S5336)),"Ireland",
ISNUMBER(SEARCH("rn""&gt;Bosnia and Herzegovina",S5336)),"Bosnia and Herzegovina",
ISNUMBER(SEARCH("rn""&gt;Trinidad and Tobago",S5336)),"Trinidad and Tobago",
ISNUMBER(SEARCH("rn""&gt;Serbia and Montenegro",S5336)),"Serbia and Montenegro",
ISNUMBER(SEARCH(_xlfn.UNICHAR(65533),S5336)),"Côte d'Ivoire",
TRUE,"-"
)</f>
        <v>-</v>
      </c>
      <c r="W5336" s="42" t="str">
        <f t="shared" si="324"/>
        <v>-</v>
      </c>
    </row>
    <row r="5337" spans="19:23">
      <c r="S5337" s="42" t="str">
        <v/>
      </c>
      <c r="T5337" s="42" t="str">
        <f t="shared" si="322"/>
        <v>-</v>
      </c>
      <c r="U5337" s="40" t="str">
        <f t="shared" si="323"/>
        <v>-</v>
      </c>
      <c r="V5337" s="42" t="str" cm="1">
        <f t="array" ref="V5337">_xlfn.IFS(
LEFT(S5337,16)="win on penalties",IF(VALUE(MID(S5337,19,1))&gt;VALUE(MID(S5337,23,1)),DATA_CLEANED!AK851,DATA_CLEANED!AN851),
ISNUMBER(SEARCH("USA",S5337)),"United States",
ISNUMBER(SEARCH("Republic of Ireland",S5337)),"Ireland",
ISNUMBER(SEARCH("Republic of Korea",S5337)),"South Korea",
ISNUMBER(SEARCH("Cape Verde",S5337)),"Cabo Verde",
ISNUMBER(SEARCH("Czechia",S5337)),"Czech Republic",
ISNUMBER(SEARCH("Türkiye",S5337)),"Turkey",
ISNUMBER(SEARCH("Ivory Coast",S5337)),"Côte d'Ivoire",
ISNUMBER(SEARCH("Korea Republic",S5337)),"South Korea",
ISNUMBER(SEARCH("Germany FR",S5337)),"FR Germany",
ISNUMBER(SEARCH("West Germany",S5337)),"FR Germany",
ISNUMBER(SEARCH("Germany DR",S5337)),"DR Germany",
ISNUMBER(SEARCH("Korea DPR",S5337)),"North Korea",
ISNUMBER(SEARCH("China PR",S5337)),"China",
ISNUMBER(SEARCH("IR Iran",S5337)),"Iran",
ISNUMBER(SEARCH("Congo DR",S5337)),"Democratic Republic of the Congo",
ISNUMBER(SEARCH("DR Congo",S5337)),"Democratic Republic of the Congo",
ISNUMBER(SEARCH("German DR",S5337)),"DR Germany",
ISNUMBER(SEARCH("rn""&gt;United Arab Emirates",S5337)),"United Arab Emirates",
ISNUMBER(SEARCH("rn""&gt;Republic of Ireland",S5337)),"Ireland",
ISNUMBER(SEARCH("rn""&gt;Bosnia and Herzegovina",S5337)),"Bosnia and Herzegovina",
ISNUMBER(SEARCH("rn""&gt;Trinidad and Tobago",S5337)),"Trinidad and Tobago",
ISNUMBER(SEARCH("rn""&gt;Serbia and Montenegro",S5337)),"Serbia and Montenegro",
ISNUMBER(SEARCH(_xlfn.UNICHAR(65533),S5337)),"Côte d'Ivoire",
TRUE,"-"
)</f>
        <v>-</v>
      </c>
      <c r="W5337" s="42" t="str">
        <f t="shared" si="324"/>
        <v>-</v>
      </c>
    </row>
    <row r="5338" spans="19:23">
      <c r="S5338" s="42" t="str">
        <v/>
      </c>
      <c r="T5338" s="42" t="str">
        <f t="shared" si="322"/>
        <v>-</v>
      </c>
      <c r="U5338" s="40" t="str">
        <f t="shared" si="323"/>
        <v>-</v>
      </c>
      <c r="V5338" s="42" t="str" cm="1">
        <f t="array" ref="V5338">_xlfn.IFS(
LEFT(S5338,16)="win on penalties",IF(VALUE(MID(S5338,19,1))&gt;VALUE(MID(S5338,23,1)),DATA_CLEANED!AK852,DATA_CLEANED!AN852),
ISNUMBER(SEARCH("USA",S5338)),"United States",
ISNUMBER(SEARCH("Republic of Ireland",S5338)),"Ireland",
ISNUMBER(SEARCH("Republic of Korea",S5338)),"South Korea",
ISNUMBER(SEARCH("Cape Verde",S5338)),"Cabo Verde",
ISNUMBER(SEARCH("Czechia",S5338)),"Czech Republic",
ISNUMBER(SEARCH("Türkiye",S5338)),"Turkey",
ISNUMBER(SEARCH("Ivory Coast",S5338)),"Côte d'Ivoire",
ISNUMBER(SEARCH("Korea Republic",S5338)),"South Korea",
ISNUMBER(SEARCH("Germany FR",S5338)),"FR Germany",
ISNUMBER(SEARCH("West Germany",S5338)),"FR Germany",
ISNUMBER(SEARCH("Germany DR",S5338)),"DR Germany",
ISNUMBER(SEARCH("Korea DPR",S5338)),"North Korea",
ISNUMBER(SEARCH("China PR",S5338)),"China",
ISNUMBER(SEARCH("IR Iran",S5338)),"Iran",
ISNUMBER(SEARCH("Congo DR",S5338)),"Democratic Republic of the Congo",
ISNUMBER(SEARCH("DR Congo",S5338)),"Democratic Republic of the Congo",
ISNUMBER(SEARCH("German DR",S5338)),"DR Germany",
ISNUMBER(SEARCH("rn""&gt;United Arab Emirates",S5338)),"United Arab Emirates",
ISNUMBER(SEARCH("rn""&gt;Republic of Ireland",S5338)),"Ireland",
ISNUMBER(SEARCH("rn""&gt;Bosnia and Herzegovina",S5338)),"Bosnia and Herzegovina",
ISNUMBER(SEARCH("rn""&gt;Trinidad and Tobago",S5338)),"Trinidad and Tobago",
ISNUMBER(SEARCH("rn""&gt;Serbia and Montenegro",S5338)),"Serbia and Montenegro",
ISNUMBER(SEARCH(_xlfn.UNICHAR(65533),S5338)),"Côte d'Ivoire",
TRUE,"-"
)</f>
        <v>-</v>
      </c>
      <c r="W5338" s="42" t="str">
        <f t="shared" si="324"/>
        <v>-</v>
      </c>
    </row>
    <row r="5339" spans="19:23">
      <c r="S5339" s="42" t="str">
        <v/>
      </c>
      <c r="T5339" s="42" t="str">
        <f t="shared" si="322"/>
        <v>-</v>
      </c>
      <c r="U5339" s="40" t="str">
        <f t="shared" si="323"/>
        <v>-</v>
      </c>
      <c r="V5339" s="42" t="str" cm="1">
        <f t="array" ref="V5339">_xlfn.IFS(
LEFT(S5339,16)="win on penalties",IF(VALUE(MID(S5339,19,1))&gt;VALUE(MID(S5339,23,1)),DATA_CLEANED!AK853,DATA_CLEANED!AN853),
ISNUMBER(SEARCH("USA",S5339)),"United States",
ISNUMBER(SEARCH("Republic of Ireland",S5339)),"Ireland",
ISNUMBER(SEARCH("Republic of Korea",S5339)),"South Korea",
ISNUMBER(SEARCH("Cape Verde",S5339)),"Cabo Verde",
ISNUMBER(SEARCH("Czechia",S5339)),"Czech Republic",
ISNUMBER(SEARCH("Türkiye",S5339)),"Turkey",
ISNUMBER(SEARCH("Ivory Coast",S5339)),"Côte d'Ivoire",
ISNUMBER(SEARCH("Korea Republic",S5339)),"South Korea",
ISNUMBER(SEARCH("Germany FR",S5339)),"FR Germany",
ISNUMBER(SEARCH("West Germany",S5339)),"FR Germany",
ISNUMBER(SEARCH("Germany DR",S5339)),"DR Germany",
ISNUMBER(SEARCH("Korea DPR",S5339)),"North Korea",
ISNUMBER(SEARCH("China PR",S5339)),"China",
ISNUMBER(SEARCH("IR Iran",S5339)),"Iran",
ISNUMBER(SEARCH("Congo DR",S5339)),"Democratic Republic of the Congo",
ISNUMBER(SEARCH("DR Congo",S5339)),"Democratic Republic of the Congo",
ISNUMBER(SEARCH("German DR",S5339)),"DR Germany",
ISNUMBER(SEARCH("rn""&gt;United Arab Emirates",S5339)),"United Arab Emirates",
ISNUMBER(SEARCH("rn""&gt;Republic of Ireland",S5339)),"Ireland",
ISNUMBER(SEARCH("rn""&gt;Bosnia and Herzegovina",S5339)),"Bosnia and Herzegovina",
ISNUMBER(SEARCH("rn""&gt;Trinidad and Tobago",S5339)),"Trinidad and Tobago",
ISNUMBER(SEARCH("rn""&gt;Serbia and Montenegro",S5339)),"Serbia and Montenegro",
ISNUMBER(SEARCH(_xlfn.UNICHAR(65533),S5339)),"Côte d'Ivoire",
TRUE,"-"
)</f>
        <v>-</v>
      </c>
      <c r="W5339" s="42" t="str">
        <f t="shared" si="324"/>
        <v>-</v>
      </c>
    </row>
    <row r="5340" spans="19:23">
      <c r="S5340" s="42" t="str">
        <v/>
      </c>
      <c r="T5340" s="42" t="str">
        <f t="shared" si="322"/>
        <v>-</v>
      </c>
      <c r="U5340" s="40" t="str">
        <f t="shared" si="323"/>
        <v>-</v>
      </c>
      <c r="V5340" s="42" t="str" cm="1">
        <f t="array" ref="V5340">_xlfn.IFS(
LEFT(S5340,16)="win on penalties",IF(VALUE(MID(S5340,19,1))&gt;VALUE(MID(S5340,23,1)),DATA_CLEANED!AK854,DATA_CLEANED!AN854),
ISNUMBER(SEARCH("USA",S5340)),"United States",
ISNUMBER(SEARCH("Republic of Ireland",S5340)),"Ireland",
ISNUMBER(SEARCH("Republic of Korea",S5340)),"South Korea",
ISNUMBER(SEARCH("Cape Verde",S5340)),"Cabo Verde",
ISNUMBER(SEARCH("Czechia",S5340)),"Czech Republic",
ISNUMBER(SEARCH("Türkiye",S5340)),"Turkey",
ISNUMBER(SEARCH("Ivory Coast",S5340)),"Côte d'Ivoire",
ISNUMBER(SEARCH("Korea Republic",S5340)),"South Korea",
ISNUMBER(SEARCH("Germany FR",S5340)),"FR Germany",
ISNUMBER(SEARCH("West Germany",S5340)),"FR Germany",
ISNUMBER(SEARCH("Germany DR",S5340)),"DR Germany",
ISNUMBER(SEARCH("Korea DPR",S5340)),"North Korea",
ISNUMBER(SEARCH("China PR",S5340)),"China",
ISNUMBER(SEARCH("IR Iran",S5340)),"Iran",
ISNUMBER(SEARCH("Congo DR",S5340)),"Democratic Republic of the Congo",
ISNUMBER(SEARCH("DR Congo",S5340)),"Democratic Republic of the Congo",
ISNUMBER(SEARCH("German DR",S5340)),"DR Germany",
ISNUMBER(SEARCH("rn""&gt;United Arab Emirates",S5340)),"United Arab Emirates",
ISNUMBER(SEARCH("rn""&gt;Republic of Ireland",S5340)),"Ireland",
ISNUMBER(SEARCH("rn""&gt;Bosnia and Herzegovina",S5340)),"Bosnia and Herzegovina",
ISNUMBER(SEARCH("rn""&gt;Trinidad and Tobago",S5340)),"Trinidad and Tobago",
ISNUMBER(SEARCH("rn""&gt;Serbia and Montenegro",S5340)),"Serbia and Montenegro",
ISNUMBER(SEARCH(_xlfn.UNICHAR(65533),S5340)),"Côte d'Ivoire",
TRUE,"-"
)</f>
        <v>-</v>
      </c>
      <c r="W5340" s="42" t="str">
        <f t="shared" si="324"/>
        <v>-</v>
      </c>
    </row>
    <row r="5341" spans="19:23">
      <c r="S5341" s="42" t="str">
        <v/>
      </c>
      <c r="T5341" s="42" t="str">
        <f t="shared" si="322"/>
        <v>-</v>
      </c>
      <c r="U5341" s="40" t="str">
        <f t="shared" si="323"/>
        <v>-</v>
      </c>
      <c r="V5341" s="42" t="str" cm="1">
        <f t="array" ref="V5341">_xlfn.IFS(
LEFT(S5341,16)="win on penalties",IF(VALUE(MID(S5341,19,1))&gt;VALUE(MID(S5341,23,1)),DATA_CLEANED!AK855,DATA_CLEANED!AN855),
ISNUMBER(SEARCH("USA",S5341)),"United States",
ISNUMBER(SEARCH("Republic of Ireland",S5341)),"Ireland",
ISNUMBER(SEARCH("Republic of Korea",S5341)),"South Korea",
ISNUMBER(SEARCH("Cape Verde",S5341)),"Cabo Verde",
ISNUMBER(SEARCH("Czechia",S5341)),"Czech Republic",
ISNUMBER(SEARCH("Türkiye",S5341)),"Turkey",
ISNUMBER(SEARCH("Ivory Coast",S5341)),"Côte d'Ivoire",
ISNUMBER(SEARCH("Korea Republic",S5341)),"South Korea",
ISNUMBER(SEARCH("Germany FR",S5341)),"FR Germany",
ISNUMBER(SEARCH("West Germany",S5341)),"FR Germany",
ISNUMBER(SEARCH("Germany DR",S5341)),"DR Germany",
ISNUMBER(SEARCH("Korea DPR",S5341)),"North Korea",
ISNUMBER(SEARCH("China PR",S5341)),"China",
ISNUMBER(SEARCH("IR Iran",S5341)),"Iran",
ISNUMBER(SEARCH("Congo DR",S5341)),"Democratic Republic of the Congo",
ISNUMBER(SEARCH("DR Congo",S5341)),"Democratic Republic of the Congo",
ISNUMBER(SEARCH("German DR",S5341)),"DR Germany",
ISNUMBER(SEARCH("rn""&gt;United Arab Emirates",S5341)),"United Arab Emirates",
ISNUMBER(SEARCH("rn""&gt;Republic of Ireland",S5341)),"Ireland",
ISNUMBER(SEARCH("rn""&gt;Bosnia and Herzegovina",S5341)),"Bosnia and Herzegovina",
ISNUMBER(SEARCH("rn""&gt;Trinidad and Tobago",S5341)),"Trinidad and Tobago",
ISNUMBER(SEARCH("rn""&gt;Serbia and Montenegro",S5341)),"Serbia and Montenegro",
ISNUMBER(SEARCH(_xlfn.UNICHAR(65533),S5341)),"Côte d'Ivoire",
TRUE,"-"
)</f>
        <v>-</v>
      </c>
      <c r="W5341" s="42" t="str">
        <f t="shared" si="324"/>
        <v>-</v>
      </c>
    </row>
    <row r="5342" spans="19:23">
      <c r="S5342" s="42" t="str">
        <v/>
      </c>
      <c r="T5342" s="42" t="str">
        <f t="shared" si="322"/>
        <v>-</v>
      </c>
      <c r="U5342" s="40" t="str">
        <f t="shared" si="323"/>
        <v>-</v>
      </c>
      <c r="V5342" s="42" t="str" cm="1">
        <f t="array" ref="V5342">_xlfn.IFS(
LEFT(S5342,16)="win on penalties",IF(VALUE(MID(S5342,19,1))&gt;VALUE(MID(S5342,23,1)),DATA_CLEANED!AK856,DATA_CLEANED!AN856),
ISNUMBER(SEARCH("USA",S5342)),"United States",
ISNUMBER(SEARCH("Republic of Ireland",S5342)),"Ireland",
ISNUMBER(SEARCH("Republic of Korea",S5342)),"South Korea",
ISNUMBER(SEARCH("Cape Verde",S5342)),"Cabo Verde",
ISNUMBER(SEARCH("Czechia",S5342)),"Czech Republic",
ISNUMBER(SEARCH("Türkiye",S5342)),"Turkey",
ISNUMBER(SEARCH("Ivory Coast",S5342)),"Côte d'Ivoire",
ISNUMBER(SEARCH("Korea Republic",S5342)),"South Korea",
ISNUMBER(SEARCH("Germany FR",S5342)),"FR Germany",
ISNUMBER(SEARCH("West Germany",S5342)),"FR Germany",
ISNUMBER(SEARCH("Germany DR",S5342)),"DR Germany",
ISNUMBER(SEARCH("Korea DPR",S5342)),"North Korea",
ISNUMBER(SEARCH("China PR",S5342)),"China",
ISNUMBER(SEARCH("IR Iran",S5342)),"Iran",
ISNUMBER(SEARCH("Congo DR",S5342)),"Democratic Republic of the Congo",
ISNUMBER(SEARCH("DR Congo",S5342)),"Democratic Republic of the Congo",
ISNUMBER(SEARCH("German DR",S5342)),"DR Germany",
ISNUMBER(SEARCH("rn""&gt;United Arab Emirates",S5342)),"United Arab Emirates",
ISNUMBER(SEARCH("rn""&gt;Republic of Ireland",S5342)),"Ireland",
ISNUMBER(SEARCH("rn""&gt;Bosnia and Herzegovina",S5342)),"Bosnia and Herzegovina",
ISNUMBER(SEARCH("rn""&gt;Trinidad and Tobago",S5342)),"Trinidad and Tobago",
ISNUMBER(SEARCH("rn""&gt;Serbia and Montenegro",S5342)),"Serbia and Montenegro",
ISNUMBER(SEARCH(_xlfn.UNICHAR(65533),S5342)),"Côte d'Ivoire",
TRUE,"-"
)</f>
        <v>-</v>
      </c>
      <c r="W5342" s="42" t="str">
        <f t="shared" si="324"/>
        <v>-</v>
      </c>
    </row>
    <row r="5343" spans="19:23">
      <c r="S5343" s="42" t="str">
        <v/>
      </c>
      <c r="T5343" s="42" t="str">
        <f t="shared" si="322"/>
        <v>-</v>
      </c>
      <c r="U5343" s="40" t="str">
        <f t="shared" si="323"/>
        <v>-</v>
      </c>
      <c r="V5343" s="42" t="str" cm="1">
        <f t="array" ref="V5343">_xlfn.IFS(
LEFT(S5343,16)="win on penalties",IF(VALUE(MID(S5343,19,1))&gt;VALUE(MID(S5343,23,1)),DATA_CLEANED!AK857,DATA_CLEANED!AN857),
ISNUMBER(SEARCH("USA",S5343)),"United States",
ISNUMBER(SEARCH("Republic of Ireland",S5343)),"Ireland",
ISNUMBER(SEARCH("Republic of Korea",S5343)),"South Korea",
ISNUMBER(SEARCH("Cape Verde",S5343)),"Cabo Verde",
ISNUMBER(SEARCH("Czechia",S5343)),"Czech Republic",
ISNUMBER(SEARCH("Türkiye",S5343)),"Turkey",
ISNUMBER(SEARCH("Ivory Coast",S5343)),"Côte d'Ivoire",
ISNUMBER(SEARCH("Korea Republic",S5343)),"South Korea",
ISNUMBER(SEARCH("Germany FR",S5343)),"FR Germany",
ISNUMBER(SEARCH("West Germany",S5343)),"FR Germany",
ISNUMBER(SEARCH("Germany DR",S5343)),"DR Germany",
ISNUMBER(SEARCH("Korea DPR",S5343)),"North Korea",
ISNUMBER(SEARCH("China PR",S5343)),"China",
ISNUMBER(SEARCH("IR Iran",S5343)),"Iran",
ISNUMBER(SEARCH("Congo DR",S5343)),"Democratic Republic of the Congo",
ISNUMBER(SEARCH("DR Congo",S5343)),"Democratic Republic of the Congo",
ISNUMBER(SEARCH("German DR",S5343)),"DR Germany",
ISNUMBER(SEARCH("rn""&gt;United Arab Emirates",S5343)),"United Arab Emirates",
ISNUMBER(SEARCH("rn""&gt;Republic of Ireland",S5343)),"Ireland",
ISNUMBER(SEARCH("rn""&gt;Bosnia and Herzegovina",S5343)),"Bosnia and Herzegovina",
ISNUMBER(SEARCH("rn""&gt;Trinidad and Tobago",S5343)),"Trinidad and Tobago",
ISNUMBER(SEARCH("rn""&gt;Serbia and Montenegro",S5343)),"Serbia and Montenegro",
ISNUMBER(SEARCH(_xlfn.UNICHAR(65533),S5343)),"Côte d'Ivoire",
TRUE,"-"
)</f>
        <v>-</v>
      </c>
      <c r="W5343" s="42" t="str">
        <f t="shared" si="324"/>
        <v>-</v>
      </c>
    </row>
    <row r="5344" spans="19:23">
      <c r="S5344" s="42" t="str">
        <v/>
      </c>
      <c r="T5344" s="42" t="str">
        <f t="shared" si="322"/>
        <v>-</v>
      </c>
      <c r="U5344" s="40" t="str">
        <f t="shared" si="323"/>
        <v>-</v>
      </c>
      <c r="V5344" s="42" t="str" cm="1">
        <f t="array" ref="V5344">_xlfn.IFS(
LEFT(S5344,16)="win on penalties",IF(VALUE(MID(S5344,19,1))&gt;VALUE(MID(S5344,23,1)),DATA_CLEANED!AK858,DATA_CLEANED!AN858),
ISNUMBER(SEARCH("USA",S5344)),"United States",
ISNUMBER(SEARCH("Republic of Ireland",S5344)),"Ireland",
ISNUMBER(SEARCH("Republic of Korea",S5344)),"South Korea",
ISNUMBER(SEARCH("Cape Verde",S5344)),"Cabo Verde",
ISNUMBER(SEARCH("Czechia",S5344)),"Czech Republic",
ISNUMBER(SEARCH("Türkiye",S5344)),"Turkey",
ISNUMBER(SEARCH("Ivory Coast",S5344)),"Côte d'Ivoire",
ISNUMBER(SEARCH("Korea Republic",S5344)),"South Korea",
ISNUMBER(SEARCH("Germany FR",S5344)),"FR Germany",
ISNUMBER(SEARCH("West Germany",S5344)),"FR Germany",
ISNUMBER(SEARCH("Germany DR",S5344)),"DR Germany",
ISNUMBER(SEARCH("Korea DPR",S5344)),"North Korea",
ISNUMBER(SEARCH("China PR",S5344)),"China",
ISNUMBER(SEARCH("IR Iran",S5344)),"Iran",
ISNUMBER(SEARCH("Congo DR",S5344)),"Democratic Republic of the Congo",
ISNUMBER(SEARCH("DR Congo",S5344)),"Democratic Republic of the Congo",
ISNUMBER(SEARCH("German DR",S5344)),"DR Germany",
ISNUMBER(SEARCH("rn""&gt;United Arab Emirates",S5344)),"United Arab Emirates",
ISNUMBER(SEARCH("rn""&gt;Republic of Ireland",S5344)),"Ireland",
ISNUMBER(SEARCH("rn""&gt;Bosnia and Herzegovina",S5344)),"Bosnia and Herzegovina",
ISNUMBER(SEARCH("rn""&gt;Trinidad and Tobago",S5344)),"Trinidad and Tobago",
ISNUMBER(SEARCH("rn""&gt;Serbia and Montenegro",S5344)),"Serbia and Montenegro",
ISNUMBER(SEARCH(_xlfn.UNICHAR(65533),S5344)),"Côte d'Ivoire",
TRUE,"-"
)</f>
        <v>-</v>
      </c>
      <c r="W5344" s="42" t="str">
        <f t="shared" si="324"/>
        <v>-</v>
      </c>
    </row>
    <row r="5345" spans="19:23">
      <c r="S5345" s="42" t="str">
        <v/>
      </c>
      <c r="T5345" s="42" t="str">
        <f t="shared" si="322"/>
        <v>-</v>
      </c>
      <c r="U5345" s="40" t="str">
        <f t="shared" si="323"/>
        <v>-</v>
      </c>
      <c r="V5345" s="42" t="str" cm="1">
        <f t="array" ref="V5345">_xlfn.IFS(
LEFT(S5345,16)="win on penalties",IF(VALUE(MID(S5345,19,1))&gt;VALUE(MID(S5345,23,1)),DATA_CLEANED!AK859,DATA_CLEANED!AN859),
ISNUMBER(SEARCH("USA",S5345)),"United States",
ISNUMBER(SEARCH("Republic of Ireland",S5345)),"Ireland",
ISNUMBER(SEARCH("Republic of Korea",S5345)),"South Korea",
ISNUMBER(SEARCH("Cape Verde",S5345)),"Cabo Verde",
ISNUMBER(SEARCH("Czechia",S5345)),"Czech Republic",
ISNUMBER(SEARCH("Türkiye",S5345)),"Turkey",
ISNUMBER(SEARCH("Ivory Coast",S5345)),"Côte d'Ivoire",
ISNUMBER(SEARCH("Korea Republic",S5345)),"South Korea",
ISNUMBER(SEARCH("Germany FR",S5345)),"FR Germany",
ISNUMBER(SEARCH("West Germany",S5345)),"FR Germany",
ISNUMBER(SEARCH("Germany DR",S5345)),"DR Germany",
ISNUMBER(SEARCH("Korea DPR",S5345)),"North Korea",
ISNUMBER(SEARCH("China PR",S5345)),"China",
ISNUMBER(SEARCH("IR Iran",S5345)),"Iran",
ISNUMBER(SEARCH("Congo DR",S5345)),"Democratic Republic of the Congo",
ISNUMBER(SEARCH("DR Congo",S5345)),"Democratic Republic of the Congo",
ISNUMBER(SEARCH("German DR",S5345)),"DR Germany",
ISNUMBER(SEARCH("rn""&gt;United Arab Emirates",S5345)),"United Arab Emirates",
ISNUMBER(SEARCH("rn""&gt;Republic of Ireland",S5345)),"Ireland",
ISNUMBER(SEARCH("rn""&gt;Bosnia and Herzegovina",S5345)),"Bosnia and Herzegovina",
ISNUMBER(SEARCH("rn""&gt;Trinidad and Tobago",S5345)),"Trinidad and Tobago",
ISNUMBER(SEARCH("rn""&gt;Serbia and Montenegro",S5345)),"Serbia and Montenegro",
ISNUMBER(SEARCH(_xlfn.UNICHAR(65533),S5345)),"Côte d'Ivoire",
TRUE,"-"
)</f>
        <v>-</v>
      </c>
      <c r="W5345" s="42" t="str">
        <f t="shared" si="324"/>
        <v>-</v>
      </c>
    </row>
    <row r="5346" spans="19:23">
      <c r="S5346" s="42" t="str">
        <v/>
      </c>
      <c r="T5346" s="42" t="str">
        <f t="shared" si="322"/>
        <v>-</v>
      </c>
      <c r="U5346" s="40" t="str">
        <f t="shared" si="323"/>
        <v>-</v>
      </c>
      <c r="V5346" s="42" t="str" cm="1">
        <f t="array" ref="V5346">_xlfn.IFS(
LEFT(S5346,16)="win on penalties",IF(VALUE(MID(S5346,19,1))&gt;VALUE(MID(S5346,23,1)),DATA_CLEANED!AK860,DATA_CLEANED!AN860),
ISNUMBER(SEARCH("USA",S5346)),"United States",
ISNUMBER(SEARCH("Republic of Ireland",S5346)),"Ireland",
ISNUMBER(SEARCH("Republic of Korea",S5346)),"South Korea",
ISNUMBER(SEARCH("Cape Verde",S5346)),"Cabo Verde",
ISNUMBER(SEARCH("Czechia",S5346)),"Czech Republic",
ISNUMBER(SEARCH("Türkiye",S5346)),"Turkey",
ISNUMBER(SEARCH("Ivory Coast",S5346)),"Côte d'Ivoire",
ISNUMBER(SEARCH("Korea Republic",S5346)),"South Korea",
ISNUMBER(SEARCH("Germany FR",S5346)),"FR Germany",
ISNUMBER(SEARCH("West Germany",S5346)),"FR Germany",
ISNUMBER(SEARCH("Germany DR",S5346)),"DR Germany",
ISNUMBER(SEARCH("Korea DPR",S5346)),"North Korea",
ISNUMBER(SEARCH("China PR",S5346)),"China",
ISNUMBER(SEARCH("IR Iran",S5346)),"Iran",
ISNUMBER(SEARCH("Congo DR",S5346)),"Democratic Republic of the Congo",
ISNUMBER(SEARCH("DR Congo",S5346)),"Democratic Republic of the Congo",
ISNUMBER(SEARCH("German DR",S5346)),"DR Germany",
ISNUMBER(SEARCH("rn""&gt;United Arab Emirates",S5346)),"United Arab Emirates",
ISNUMBER(SEARCH("rn""&gt;Republic of Ireland",S5346)),"Ireland",
ISNUMBER(SEARCH("rn""&gt;Bosnia and Herzegovina",S5346)),"Bosnia and Herzegovina",
ISNUMBER(SEARCH("rn""&gt;Trinidad and Tobago",S5346)),"Trinidad and Tobago",
ISNUMBER(SEARCH("rn""&gt;Serbia and Montenegro",S5346)),"Serbia and Montenegro",
ISNUMBER(SEARCH(_xlfn.UNICHAR(65533),S5346)),"Côte d'Ivoire",
TRUE,"-"
)</f>
        <v>-</v>
      </c>
      <c r="W5346" s="42" t="str">
        <f t="shared" si="324"/>
        <v>-</v>
      </c>
    </row>
    <row r="5347" spans="19:23">
      <c r="S5347" s="42" t="str">
        <v/>
      </c>
      <c r="T5347" s="42" t="str">
        <f t="shared" si="322"/>
        <v>-</v>
      </c>
      <c r="U5347" s="40" t="str">
        <f t="shared" si="323"/>
        <v>-</v>
      </c>
      <c r="V5347" s="42" t="str" cm="1">
        <f t="array" ref="V5347">_xlfn.IFS(
LEFT(S5347,16)="win on penalties",IF(VALUE(MID(S5347,19,1))&gt;VALUE(MID(S5347,23,1)),DATA_CLEANED!AK861,DATA_CLEANED!AN861),
ISNUMBER(SEARCH("USA",S5347)),"United States",
ISNUMBER(SEARCH("Republic of Ireland",S5347)),"Ireland",
ISNUMBER(SEARCH("Republic of Korea",S5347)),"South Korea",
ISNUMBER(SEARCH("Cape Verde",S5347)),"Cabo Verde",
ISNUMBER(SEARCH("Czechia",S5347)),"Czech Republic",
ISNUMBER(SEARCH("Türkiye",S5347)),"Turkey",
ISNUMBER(SEARCH("Ivory Coast",S5347)),"Côte d'Ivoire",
ISNUMBER(SEARCH("Korea Republic",S5347)),"South Korea",
ISNUMBER(SEARCH("Germany FR",S5347)),"FR Germany",
ISNUMBER(SEARCH("West Germany",S5347)),"FR Germany",
ISNUMBER(SEARCH("Germany DR",S5347)),"DR Germany",
ISNUMBER(SEARCH("Korea DPR",S5347)),"North Korea",
ISNUMBER(SEARCH("China PR",S5347)),"China",
ISNUMBER(SEARCH("IR Iran",S5347)),"Iran",
ISNUMBER(SEARCH("Congo DR",S5347)),"Democratic Republic of the Congo",
ISNUMBER(SEARCH("DR Congo",S5347)),"Democratic Republic of the Congo",
ISNUMBER(SEARCH("German DR",S5347)),"DR Germany",
ISNUMBER(SEARCH("rn""&gt;United Arab Emirates",S5347)),"United Arab Emirates",
ISNUMBER(SEARCH("rn""&gt;Republic of Ireland",S5347)),"Ireland",
ISNUMBER(SEARCH("rn""&gt;Bosnia and Herzegovina",S5347)),"Bosnia and Herzegovina",
ISNUMBER(SEARCH("rn""&gt;Trinidad and Tobago",S5347)),"Trinidad and Tobago",
ISNUMBER(SEARCH("rn""&gt;Serbia and Montenegro",S5347)),"Serbia and Montenegro",
ISNUMBER(SEARCH(_xlfn.UNICHAR(65533),S5347)),"Côte d'Ivoire",
TRUE,"-"
)</f>
        <v>-</v>
      </c>
      <c r="W5347" s="42" t="str">
        <f t="shared" si="324"/>
        <v>-</v>
      </c>
    </row>
    <row r="5348" spans="19:23">
      <c r="S5348" s="42" t="str">
        <v/>
      </c>
      <c r="T5348" s="42" t="str">
        <f t="shared" si="322"/>
        <v>-</v>
      </c>
      <c r="U5348" s="40" t="str">
        <f t="shared" si="323"/>
        <v>-</v>
      </c>
      <c r="V5348" s="42" t="str" cm="1">
        <f t="array" ref="V5348">_xlfn.IFS(
LEFT(S5348,16)="win on penalties",IF(VALUE(MID(S5348,19,1))&gt;VALUE(MID(S5348,23,1)),DATA_CLEANED!AK862,DATA_CLEANED!AN862),
ISNUMBER(SEARCH("USA",S5348)),"United States",
ISNUMBER(SEARCH("Republic of Ireland",S5348)),"Ireland",
ISNUMBER(SEARCH("Republic of Korea",S5348)),"South Korea",
ISNUMBER(SEARCH("Cape Verde",S5348)),"Cabo Verde",
ISNUMBER(SEARCH("Czechia",S5348)),"Czech Republic",
ISNUMBER(SEARCH("Türkiye",S5348)),"Turkey",
ISNUMBER(SEARCH("Ivory Coast",S5348)),"Côte d'Ivoire",
ISNUMBER(SEARCH("Korea Republic",S5348)),"South Korea",
ISNUMBER(SEARCH("Germany FR",S5348)),"FR Germany",
ISNUMBER(SEARCH("West Germany",S5348)),"FR Germany",
ISNUMBER(SEARCH("Germany DR",S5348)),"DR Germany",
ISNUMBER(SEARCH("Korea DPR",S5348)),"North Korea",
ISNUMBER(SEARCH("China PR",S5348)),"China",
ISNUMBER(SEARCH("IR Iran",S5348)),"Iran",
ISNUMBER(SEARCH("Congo DR",S5348)),"Democratic Republic of the Congo",
ISNUMBER(SEARCH("DR Congo",S5348)),"Democratic Republic of the Congo",
ISNUMBER(SEARCH("German DR",S5348)),"DR Germany",
ISNUMBER(SEARCH("rn""&gt;United Arab Emirates",S5348)),"United Arab Emirates",
ISNUMBER(SEARCH("rn""&gt;Republic of Ireland",S5348)),"Ireland",
ISNUMBER(SEARCH("rn""&gt;Bosnia and Herzegovina",S5348)),"Bosnia and Herzegovina",
ISNUMBER(SEARCH("rn""&gt;Trinidad and Tobago",S5348)),"Trinidad and Tobago",
ISNUMBER(SEARCH("rn""&gt;Serbia and Montenegro",S5348)),"Serbia and Montenegro",
ISNUMBER(SEARCH(_xlfn.UNICHAR(65533),S5348)),"Côte d'Ivoire",
TRUE,"-"
)</f>
        <v>-</v>
      </c>
      <c r="W5348" s="42" t="str">
        <f t="shared" si="324"/>
        <v>-</v>
      </c>
    </row>
    <row r="5349" spans="19:23">
      <c r="S5349" s="42" t="str">
        <v/>
      </c>
      <c r="T5349" s="42" t="str">
        <f t="shared" si="322"/>
        <v>-</v>
      </c>
      <c r="U5349" s="40" t="str">
        <f t="shared" si="323"/>
        <v>-</v>
      </c>
      <c r="V5349" s="42" t="str" cm="1">
        <f t="array" ref="V5349">_xlfn.IFS(
LEFT(S5349,16)="win on penalties",IF(VALUE(MID(S5349,19,1))&gt;VALUE(MID(S5349,23,1)),DATA_CLEANED!AK863,DATA_CLEANED!AN863),
ISNUMBER(SEARCH("USA",S5349)),"United States",
ISNUMBER(SEARCH("Republic of Ireland",S5349)),"Ireland",
ISNUMBER(SEARCH("Republic of Korea",S5349)),"South Korea",
ISNUMBER(SEARCH("Cape Verde",S5349)),"Cabo Verde",
ISNUMBER(SEARCH("Czechia",S5349)),"Czech Republic",
ISNUMBER(SEARCH("Türkiye",S5349)),"Turkey",
ISNUMBER(SEARCH("Ivory Coast",S5349)),"Côte d'Ivoire",
ISNUMBER(SEARCH("Korea Republic",S5349)),"South Korea",
ISNUMBER(SEARCH("Germany FR",S5349)),"FR Germany",
ISNUMBER(SEARCH("West Germany",S5349)),"FR Germany",
ISNUMBER(SEARCH("Germany DR",S5349)),"DR Germany",
ISNUMBER(SEARCH("Korea DPR",S5349)),"North Korea",
ISNUMBER(SEARCH("China PR",S5349)),"China",
ISNUMBER(SEARCH("IR Iran",S5349)),"Iran",
ISNUMBER(SEARCH("Congo DR",S5349)),"Democratic Republic of the Congo",
ISNUMBER(SEARCH("DR Congo",S5349)),"Democratic Republic of the Congo",
ISNUMBER(SEARCH("German DR",S5349)),"DR Germany",
ISNUMBER(SEARCH("rn""&gt;United Arab Emirates",S5349)),"United Arab Emirates",
ISNUMBER(SEARCH("rn""&gt;Republic of Ireland",S5349)),"Ireland",
ISNUMBER(SEARCH("rn""&gt;Bosnia and Herzegovina",S5349)),"Bosnia and Herzegovina",
ISNUMBER(SEARCH("rn""&gt;Trinidad and Tobago",S5349)),"Trinidad and Tobago",
ISNUMBER(SEARCH("rn""&gt;Serbia and Montenegro",S5349)),"Serbia and Montenegro",
ISNUMBER(SEARCH(_xlfn.UNICHAR(65533),S5349)),"Côte d'Ivoire",
TRUE,"-"
)</f>
        <v>-</v>
      </c>
      <c r="W5349" s="42" t="str">
        <f t="shared" si="324"/>
        <v>-</v>
      </c>
    </row>
    <row r="5350" spans="19:23">
      <c r="S5350" s="42" t="str">
        <v/>
      </c>
      <c r="T5350" s="42" t="str">
        <f t="shared" si="322"/>
        <v>-</v>
      </c>
      <c r="U5350" s="40" t="str">
        <f t="shared" si="323"/>
        <v>-</v>
      </c>
      <c r="V5350" s="42" t="str" cm="1">
        <f t="array" ref="V5350">_xlfn.IFS(
LEFT(S5350,16)="win on penalties",IF(VALUE(MID(S5350,19,1))&gt;VALUE(MID(S5350,23,1)),DATA_CLEANED!AK864,DATA_CLEANED!AN864),
ISNUMBER(SEARCH("USA",S5350)),"United States",
ISNUMBER(SEARCH("Republic of Ireland",S5350)),"Ireland",
ISNUMBER(SEARCH("Republic of Korea",S5350)),"South Korea",
ISNUMBER(SEARCH("Cape Verde",S5350)),"Cabo Verde",
ISNUMBER(SEARCH("Czechia",S5350)),"Czech Republic",
ISNUMBER(SEARCH("Türkiye",S5350)),"Turkey",
ISNUMBER(SEARCH("Ivory Coast",S5350)),"Côte d'Ivoire",
ISNUMBER(SEARCH("Korea Republic",S5350)),"South Korea",
ISNUMBER(SEARCH("Germany FR",S5350)),"FR Germany",
ISNUMBER(SEARCH("West Germany",S5350)),"FR Germany",
ISNUMBER(SEARCH("Germany DR",S5350)),"DR Germany",
ISNUMBER(SEARCH("Korea DPR",S5350)),"North Korea",
ISNUMBER(SEARCH("China PR",S5350)),"China",
ISNUMBER(SEARCH("IR Iran",S5350)),"Iran",
ISNUMBER(SEARCH("Congo DR",S5350)),"Democratic Republic of the Congo",
ISNUMBER(SEARCH("DR Congo",S5350)),"Democratic Republic of the Congo",
ISNUMBER(SEARCH("German DR",S5350)),"DR Germany",
ISNUMBER(SEARCH("rn""&gt;United Arab Emirates",S5350)),"United Arab Emirates",
ISNUMBER(SEARCH("rn""&gt;Republic of Ireland",S5350)),"Ireland",
ISNUMBER(SEARCH("rn""&gt;Bosnia and Herzegovina",S5350)),"Bosnia and Herzegovina",
ISNUMBER(SEARCH("rn""&gt;Trinidad and Tobago",S5350)),"Trinidad and Tobago",
ISNUMBER(SEARCH("rn""&gt;Serbia and Montenegro",S5350)),"Serbia and Montenegro",
ISNUMBER(SEARCH(_xlfn.UNICHAR(65533),S5350)),"Côte d'Ivoire",
TRUE,"-"
)</f>
        <v>-</v>
      </c>
      <c r="W5350" s="42" t="str">
        <f t="shared" si="324"/>
        <v>-</v>
      </c>
    </row>
    <row r="5351" spans="19:23">
      <c r="S5351" s="42" t="str">
        <v/>
      </c>
      <c r="T5351" s="42" t="str">
        <f t="shared" si="322"/>
        <v>-</v>
      </c>
      <c r="U5351" s="40" t="str">
        <f t="shared" si="323"/>
        <v>-</v>
      </c>
      <c r="V5351" s="42" t="str" cm="1">
        <f t="array" ref="V5351">_xlfn.IFS(
LEFT(S5351,16)="win on penalties",IF(VALUE(MID(S5351,19,1))&gt;VALUE(MID(S5351,23,1)),DATA_CLEANED!AK865,DATA_CLEANED!AN865),
ISNUMBER(SEARCH("USA",S5351)),"United States",
ISNUMBER(SEARCH("Republic of Ireland",S5351)),"Ireland",
ISNUMBER(SEARCH("Republic of Korea",S5351)),"South Korea",
ISNUMBER(SEARCH("Cape Verde",S5351)),"Cabo Verde",
ISNUMBER(SEARCH("Czechia",S5351)),"Czech Republic",
ISNUMBER(SEARCH("Türkiye",S5351)),"Turkey",
ISNUMBER(SEARCH("Ivory Coast",S5351)),"Côte d'Ivoire",
ISNUMBER(SEARCH("Korea Republic",S5351)),"South Korea",
ISNUMBER(SEARCH("Germany FR",S5351)),"FR Germany",
ISNUMBER(SEARCH("West Germany",S5351)),"FR Germany",
ISNUMBER(SEARCH("Germany DR",S5351)),"DR Germany",
ISNUMBER(SEARCH("Korea DPR",S5351)),"North Korea",
ISNUMBER(SEARCH("China PR",S5351)),"China",
ISNUMBER(SEARCH("IR Iran",S5351)),"Iran",
ISNUMBER(SEARCH("Congo DR",S5351)),"Democratic Republic of the Congo",
ISNUMBER(SEARCH("DR Congo",S5351)),"Democratic Republic of the Congo",
ISNUMBER(SEARCH("German DR",S5351)),"DR Germany",
ISNUMBER(SEARCH("rn""&gt;United Arab Emirates",S5351)),"United Arab Emirates",
ISNUMBER(SEARCH("rn""&gt;Republic of Ireland",S5351)),"Ireland",
ISNUMBER(SEARCH("rn""&gt;Bosnia and Herzegovina",S5351)),"Bosnia and Herzegovina",
ISNUMBER(SEARCH("rn""&gt;Trinidad and Tobago",S5351)),"Trinidad and Tobago",
ISNUMBER(SEARCH("rn""&gt;Serbia and Montenegro",S5351)),"Serbia and Montenegro",
ISNUMBER(SEARCH(_xlfn.UNICHAR(65533),S5351)),"Côte d'Ivoire",
TRUE,"-"
)</f>
        <v>-</v>
      </c>
      <c r="W5351" s="42" t="str">
        <f t="shared" si="324"/>
        <v>-</v>
      </c>
    </row>
    <row r="5352" spans="19:23">
      <c r="S5352" s="42" t="str">
        <v/>
      </c>
      <c r="T5352" s="42" t="str">
        <f t="shared" si="322"/>
        <v>-</v>
      </c>
      <c r="U5352" s="40" t="str">
        <f t="shared" si="323"/>
        <v>-</v>
      </c>
      <c r="V5352" s="42" t="str" cm="1">
        <f t="array" ref="V5352">_xlfn.IFS(
LEFT(S5352,16)="win on penalties",IF(VALUE(MID(S5352,19,1))&gt;VALUE(MID(S5352,23,1)),DATA_CLEANED!AK866,DATA_CLEANED!AN866),
ISNUMBER(SEARCH("USA",S5352)),"United States",
ISNUMBER(SEARCH("Republic of Ireland",S5352)),"Ireland",
ISNUMBER(SEARCH("Republic of Korea",S5352)),"South Korea",
ISNUMBER(SEARCH("Cape Verde",S5352)),"Cabo Verde",
ISNUMBER(SEARCH("Czechia",S5352)),"Czech Republic",
ISNUMBER(SEARCH("Türkiye",S5352)),"Turkey",
ISNUMBER(SEARCH("Ivory Coast",S5352)),"Côte d'Ivoire",
ISNUMBER(SEARCH("Korea Republic",S5352)),"South Korea",
ISNUMBER(SEARCH("Germany FR",S5352)),"FR Germany",
ISNUMBER(SEARCH("West Germany",S5352)),"FR Germany",
ISNUMBER(SEARCH("Germany DR",S5352)),"DR Germany",
ISNUMBER(SEARCH("Korea DPR",S5352)),"North Korea",
ISNUMBER(SEARCH("China PR",S5352)),"China",
ISNUMBER(SEARCH("IR Iran",S5352)),"Iran",
ISNUMBER(SEARCH("Congo DR",S5352)),"Democratic Republic of the Congo",
ISNUMBER(SEARCH("DR Congo",S5352)),"Democratic Republic of the Congo",
ISNUMBER(SEARCH("German DR",S5352)),"DR Germany",
ISNUMBER(SEARCH("rn""&gt;United Arab Emirates",S5352)),"United Arab Emirates",
ISNUMBER(SEARCH("rn""&gt;Republic of Ireland",S5352)),"Ireland",
ISNUMBER(SEARCH("rn""&gt;Bosnia and Herzegovina",S5352)),"Bosnia and Herzegovina",
ISNUMBER(SEARCH("rn""&gt;Trinidad and Tobago",S5352)),"Trinidad and Tobago",
ISNUMBER(SEARCH("rn""&gt;Serbia and Montenegro",S5352)),"Serbia and Montenegro",
ISNUMBER(SEARCH(_xlfn.UNICHAR(65533),S5352)),"Côte d'Ivoire",
TRUE,"-"
)</f>
        <v>-</v>
      </c>
      <c r="W5352" s="42" t="str">
        <f t="shared" si="324"/>
        <v>-</v>
      </c>
    </row>
    <row r="5353" spans="19:23">
      <c r="S5353" s="42" t="str">
        <v/>
      </c>
      <c r="T5353" s="42" t="str">
        <f t="shared" si="322"/>
        <v>-</v>
      </c>
      <c r="U5353" s="40" t="str">
        <f t="shared" si="323"/>
        <v>-</v>
      </c>
      <c r="V5353" s="42" t="str" cm="1">
        <f t="array" ref="V5353">_xlfn.IFS(
LEFT(S5353,16)="win on penalties",IF(VALUE(MID(S5353,19,1))&gt;VALUE(MID(S5353,23,1)),DATA_CLEANED!AK867,DATA_CLEANED!AN867),
ISNUMBER(SEARCH("USA",S5353)),"United States",
ISNUMBER(SEARCH("Republic of Ireland",S5353)),"Ireland",
ISNUMBER(SEARCH("Republic of Korea",S5353)),"South Korea",
ISNUMBER(SEARCH("Cape Verde",S5353)),"Cabo Verde",
ISNUMBER(SEARCH("Czechia",S5353)),"Czech Republic",
ISNUMBER(SEARCH("Türkiye",S5353)),"Turkey",
ISNUMBER(SEARCH("Ivory Coast",S5353)),"Côte d'Ivoire",
ISNUMBER(SEARCH("Korea Republic",S5353)),"South Korea",
ISNUMBER(SEARCH("Germany FR",S5353)),"FR Germany",
ISNUMBER(SEARCH("West Germany",S5353)),"FR Germany",
ISNUMBER(SEARCH("Germany DR",S5353)),"DR Germany",
ISNUMBER(SEARCH("Korea DPR",S5353)),"North Korea",
ISNUMBER(SEARCH("China PR",S5353)),"China",
ISNUMBER(SEARCH("IR Iran",S5353)),"Iran",
ISNUMBER(SEARCH("Congo DR",S5353)),"Democratic Republic of the Congo",
ISNUMBER(SEARCH("DR Congo",S5353)),"Democratic Republic of the Congo",
ISNUMBER(SEARCH("German DR",S5353)),"DR Germany",
ISNUMBER(SEARCH("rn""&gt;United Arab Emirates",S5353)),"United Arab Emirates",
ISNUMBER(SEARCH("rn""&gt;Republic of Ireland",S5353)),"Ireland",
ISNUMBER(SEARCH("rn""&gt;Bosnia and Herzegovina",S5353)),"Bosnia and Herzegovina",
ISNUMBER(SEARCH("rn""&gt;Trinidad and Tobago",S5353)),"Trinidad and Tobago",
ISNUMBER(SEARCH("rn""&gt;Serbia and Montenegro",S5353)),"Serbia and Montenegro",
ISNUMBER(SEARCH(_xlfn.UNICHAR(65533),S5353)),"Côte d'Ivoire",
TRUE,"-"
)</f>
        <v>-</v>
      </c>
      <c r="W5353" s="42" t="str">
        <f t="shared" si="324"/>
        <v>-</v>
      </c>
    </row>
    <row r="5354" spans="19:23">
      <c r="S5354" s="42" t="str">
        <v/>
      </c>
      <c r="T5354" s="42" t="str">
        <f t="shared" si="322"/>
        <v>-</v>
      </c>
      <c r="U5354" s="40" t="str">
        <f t="shared" si="323"/>
        <v>-</v>
      </c>
      <c r="V5354" s="42" t="str" cm="1">
        <f t="array" ref="V5354">_xlfn.IFS(
LEFT(S5354,16)="win on penalties",IF(VALUE(MID(S5354,19,1))&gt;VALUE(MID(S5354,23,1)),DATA_CLEANED!AK868,DATA_CLEANED!AN868),
ISNUMBER(SEARCH("USA",S5354)),"United States",
ISNUMBER(SEARCH("Republic of Ireland",S5354)),"Ireland",
ISNUMBER(SEARCH("Republic of Korea",S5354)),"South Korea",
ISNUMBER(SEARCH("Cape Verde",S5354)),"Cabo Verde",
ISNUMBER(SEARCH("Czechia",S5354)),"Czech Republic",
ISNUMBER(SEARCH("Türkiye",S5354)),"Turkey",
ISNUMBER(SEARCH("Ivory Coast",S5354)),"Côte d'Ivoire",
ISNUMBER(SEARCH("Korea Republic",S5354)),"South Korea",
ISNUMBER(SEARCH("Germany FR",S5354)),"FR Germany",
ISNUMBER(SEARCH("West Germany",S5354)),"FR Germany",
ISNUMBER(SEARCH("Germany DR",S5354)),"DR Germany",
ISNUMBER(SEARCH("Korea DPR",S5354)),"North Korea",
ISNUMBER(SEARCH("China PR",S5354)),"China",
ISNUMBER(SEARCH("IR Iran",S5354)),"Iran",
ISNUMBER(SEARCH("Congo DR",S5354)),"Democratic Republic of the Congo",
ISNUMBER(SEARCH("DR Congo",S5354)),"Democratic Republic of the Congo",
ISNUMBER(SEARCH("German DR",S5354)),"DR Germany",
ISNUMBER(SEARCH("rn""&gt;United Arab Emirates",S5354)),"United Arab Emirates",
ISNUMBER(SEARCH("rn""&gt;Republic of Ireland",S5354)),"Ireland",
ISNUMBER(SEARCH("rn""&gt;Bosnia and Herzegovina",S5354)),"Bosnia and Herzegovina",
ISNUMBER(SEARCH("rn""&gt;Trinidad and Tobago",S5354)),"Trinidad and Tobago",
ISNUMBER(SEARCH("rn""&gt;Serbia and Montenegro",S5354)),"Serbia and Montenegro",
ISNUMBER(SEARCH(_xlfn.UNICHAR(65533),S5354)),"Côte d'Ivoire",
TRUE,"-"
)</f>
        <v>-</v>
      </c>
      <c r="W5354" s="42" t="str">
        <f t="shared" si="324"/>
        <v>-</v>
      </c>
    </row>
    <row r="5355" spans="19:23">
      <c r="S5355" s="42" t="str">
        <v/>
      </c>
      <c r="T5355" s="42" t="str">
        <f t="shared" si="322"/>
        <v>-</v>
      </c>
      <c r="U5355" s="40" t="str">
        <f t="shared" si="323"/>
        <v>-</v>
      </c>
      <c r="V5355" s="42" t="str" cm="1">
        <f t="array" ref="V5355">_xlfn.IFS(
LEFT(S5355,16)="win on penalties",IF(VALUE(MID(S5355,19,1))&gt;VALUE(MID(S5355,23,1)),DATA_CLEANED!AK869,DATA_CLEANED!AN869),
ISNUMBER(SEARCH("USA",S5355)),"United States",
ISNUMBER(SEARCH("Republic of Ireland",S5355)),"Ireland",
ISNUMBER(SEARCH("Republic of Korea",S5355)),"South Korea",
ISNUMBER(SEARCH("Cape Verde",S5355)),"Cabo Verde",
ISNUMBER(SEARCH("Czechia",S5355)),"Czech Republic",
ISNUMBER(SEARCH("Türkiye",S5355)),"Turkey",
ISNUMBER(SEARCH("Ivory Coast",S5355)),"Côte d'Ivoire",
ISNUMBER(SEARCH("Korea Republic",S5355)),"South Korea",
ISNUMBER(SEARCH("Germany FR",S5355)),"FR Germany",
ISNUMBER(SEARCH("West Germany",S5355)),"FR Germany",
ISNUMBER(SEARCH("Germany DR",S5355)),"DR Germany",
ISNUMBER(SEARCH("Korea DPR",S5355)),"North Korea",
ISNUMBER(SEARCH("China PR",S5355)),"China",
ISNUMBER(SEARCH("IR Iran",S5355)),"Iran",
ISNUMBER(SEARCH("Congo DR",S5355)),"Democratic Republic of the Congo",
ISNUMBER(SEARCH("DR Congo",S5355)),"Democratic Republic of the Congo",
ISNUMBER(SEARCH("German DR",S5355)),"DR Germany",
ISNUMBER(SEARCH("rn""&gt;United Arab Emirates",S5355)),"United Arab Emirates",
ISNUMBER(SEARCH("rn""&gt;Republic of Ireland",S5355)),"Ireland",
ISNUMBER(SEARCH("rn""&gt;Bosnia and Herzegovina",S5355)),"Bosnia and Herzegovina",
ISNUMBER(SEARCH("rn""&gt;Trinidad and Tobago",S5355)),"Trinidad and Tobago",
ISNUMBER(SEARCH("rn""&gt;Serbia and Montenegro",S5355)),"Serbia and Montenegro",
ISNUMBER(SEARCH(_xlfn.UNICHAR(65533),S5355)),"Côte d'Ivoire",
TRUE,"-"
)</f>
        <v>-</v>
      </c>
      <c r="W5355" s="42" t="str">
        <f t="shared" si="324"/>
        <v>-</v>
      </c>
    </row>
    <row r="5356" spans="19:23">
      <c r="S5356" s="42" t="str">
        <v/>
      </c>
      <c r="T5356" s="42" t="str">
        <f t="shared" si="322"/>
        <v>-</v>
      </c>
      <c r="U5356" s="40" t="str">
        <f t="shared" si="323"/>
        <v>-</v>
      </c>
      <c r="V5356" s="42" t="str" cm="1">
        <f t="array" ref="V5356">_xlfn.IFS(
LEFT(S5356,16)="win on penalties",IF(VALUE(MID(S5356,19,1))&gt;VALUE(MID(S5356,23,1)),DATA_CLEANED!AK870,DATA_CLEANED!AN870),
ISNUMBER(SEARCH("USA",S5356)),"United States",
ISNUMBER(SEARCH("Republic of Ireland",S5356)),"Ireland",
ISNUMBER(SEARCH("Republic of Korea",S5356)),"South Korea",
ISNUMBER(SEARCH("Cape Verde",S5356)),"Cabo Verde",
ISNUMBER(SEARCH("Czechia",S5356)),"Czech Republic",
ISNUMBER(SEARCH("Türkiye",S5356)),"Turkey",
ISNUMBER(SEARCH("Ivory Coast",S5356)),"Côte d'Ivoire",
ISNUMBER(SEARCH("Korea Republic",S5356)),"South Korea",
ISNUMBER(SEARCH("Germany FR",S5356)),"FR Germany",
ISNUMBER(SEARCH("West Germany",S5356)),"FR Germany",
ISNUMBER(SEARCH("Germany DR",S5356)),"DR Germany",
ISNUMBER(SEARCH("Korea DPR",S5356)),"North Korea",
ISNUMBER(SEARCH("China PR",S5356)),"China",
ISNUMBER(SEARCH("IR Iran",S5356)),"Iran",
ISNUMBER(SEARCH("Congo DR",S5356)),"Democratic Republic of the Congo",
ISNUMBER(SEARCH("DR Congo",S5356)),"Democratic Republic of the Congo",
ISNUMBER(SEARCH("German DR",S5356)),"DR Germany",
ISNUMBER(SEARCH("rn""&gt;United Arab Emirates",S5356)),"United Arab Emirates",
ISNUMBER(SEARCH("rn""&gt;Republic of Ireland",S5356)),"Ireland",
ISNUMBER(SEARCH("rn""&gt;Bosnia and Herzegovina",S5356)),"Bosnia and Herzegovina",
ISNUMBER(SEARCH("rn""&gt;Trinidad and Tobago",S5356)),"Trinidad and Tobago",
ISNUMBER(SEARCH("rn""&gt;Serbia and Montenegro",S5356)),"Serbia and Montenegro",
ISNUMBER(SEARCH(_xlfn.UNICHAR(65533),S5356)),"Côte d'Ivoire",
TRUE,"-"
)</f>
        <v>-</v>
      </c>
      <c r="W5356" s="42" t="str">
        <f t="shared" si="324"/>
        <v>-</v>
      </c>
    </row>
    <row r="5357" spans="19:23">
      <c r="S5357" s="42" t="str">
        <v/>
      </c>
      <c r="T5357" s="42" t="str">
        <f t="shared" si="322"/>
        <v>-</v>
      </c>
      <c r="U5357" s="40" t="str">
        <f t="shared" si="323"/>
        <v>-</v>
      </c>
      <c r="V5357" s="42" t="str" cm="1">
        <f t="array" ref="V5357">_xlfn.IFS(
LEFT(S5357,16)="win on penalties",IF(VALUE(MID(S5357,19,1))&gt;VALUE(MID(S5357,23,1)),DATA_CLEANED!AK871,DATA_CLEANED!AN871),
ISNUMBER(SEARCH("USA",S5357)),"United States",
ISNUMBER(SEARCH("Republic of Ireland",S5357)),"Ireland",
ISNUMBER(SEARCH("Republic of Korea",S5357)),"South Korea",
ISNUMBER(SEARCH("Cape Verde",S5357)),"Cabo Verde",
ISNUMBER(SEARCH("Czechia",S5357)),"Czech Republic",
ISNUMBER(SEARCH("Türkiye",S5357)),"Turkey",
ISNUMBER(SEARCH("Ivory Coast",S5357)),"Côte d'Ivoire",
ISNUMBER(SEARCH("Korea Republic",S5357)),"South Korea",
ISNUMBER(SEARCH("Germany FR",S5357)),"FR Germany",
ISNUMBER(SEARCH("West Germany",S5357)),"FR Germany",
ISNUMBER(SEARCH("Germany DR",S5357)),"DR Germany",
ISNUMBER(SEARCH("Korea DPR",S5357)),"North Korea",
ISNUMBER(SEARCH("China PR",S5357)),"China",
ISNUMBER(SEARCH("IR Iran",S5357)),"Iran",
ISNUMBER(SEARCH("Congo DR",S5357)),"Democratic Republic of the Congo",
ISNUMBER(SEARCH("DR Congo",S5357)),"Democratic Republic of the Congo",
ISNUMBER(SEARCH("German DR",S5357)),"DR Germany",
ISNUMBER(SEARCH("rn""&gt;United Arab Emirates",S5357)),"United Arab Emirates",
ISNUMBER(SEARCH("rn""&gt;Republic of Ireland",S5357)),"Ireland",
ISNUMBER(SEARCH("rn""&gt;Bosnia and Herzegovina",S5357)),"Bosnia and Herzegovina",
ISNUMBER(SEARCH("rn""&gt;Trinidad and Tobago",S5357)),"Trinidad and Tobago",
ISNUMBER(SEARCH("rn""&gt;Serbia and Montenegro",S5357)),"Serbia and Montenegro",
ISNUMBER(SEARCH(_xlfn.UNICHAR(65533),S5357)),"Côte d'Ivoire",
TRUE,"-"
)</f>
        <v>-</v>
      </c>
      <c r="W5357" s="42" t="str">
        <f t="shared" si="324"/>
        <v>-</v>
      </c>
    </row>
    <row r="5358" spans="19:23">
      <c r="S5358" s="42" t="str">
        <v/>
      </c>
      <c r="T5358" s="42" t="str">
        <f t="shared" si="322"/>
        <v>-</v>
      </c>
      <c r="U5358" s="40" t="str">
        <f t="shared" si="323"/>
        <v>-</v>
      </c>
      <c r="V5358" s="42" t="str" cm="1">
        <f t="array" ref="V5358">_xlfn.IFS(
LEFT(S5358,16)="win on penalties",IF(VALUE(MID(S5358,19,1))&gt;VALUE(MID(S5358,23,1)),DATA_CLEANED!AK872,DATA_CLEANED!AN872),
ISNUMBER(SEARCH("USA",S5358)),"United States",
ISNUMBER(SEARCH("Republic of Ireland",S5358)),"Ireland",
ISNUMBER(SEARCH("Republic of Korea",S5358)),"South Korea",
ISNUMBER(SEARCH("Cape Verde",S5358)),"Cabo Verde",
ISNUMBER(SEARCH("Czechia",S5358)),"Czech Republic",
ISNUMBER(SEARCH("Türkiye",S5358)),"Turkey",
ISNUMBER(SEARCH("Ivory Coast",S5358)),"Côte d'Ivoire",
ISNUMBER(SEARCH("Korea Republic",S5358)),"South Korea",
ISNUMBER(SEARCH("Germany FR",S5358)),"FR Germany",
ISNUMBER(SEARCH("West Germany",S5358)),"FR Germany",
ISNUMBER(SEARCH("Germany DR",S5358)),"DR Germany",
ISNUMBER(SEARCH("Korea DPR",S5358)),"North Korea",
ISNUMBER(SEARCH("China PR",S5358)),"China",
ISNUMBER(SEARCH("IR Iran",S5358)),"Iran",
ISNUMBER(SEARCH("Congo DR",S5358)),"Democratic Republic of the Congo",
ISNUMBER(SEARCH("DR Congo",S5358)),"Democratic Republic of the Congo",
ISNUMBER(SEARCH("German DR",S5358)),"DR Germany",
ISNUMBER(SEARCH("rn""&gt;United Arab Emirates",S5358)),"United Arab Emirates",
ISNUMBER(SEARCH("rn""&gt;Republic of Ireland",S5358)),"Ireland",
ISNUMBER(SEARCH("rn""&gt;Bosnia and Herzegovina",S5358)),"Bosnia and Herzegovina",
ISNUMBER(SEARCH("rn""&gt;Trinidad and Tobago",S5358)),"Trinidad and Tobago",
ISNUMBER(SEARCH("rn""&gt;Serbia and Montenegro",S5358)),"Serbia and Montenegro",
ISNUMBER(SEARCH(_xlfn.UNICHAR(65533),S5358)),"Côte d'Ivoire",
TRUE,"-"
)</f>
        <v>-</v>
      </c>
      <c r="W5358" s="42" t="str">
        <f t="shared" si="324"/>
        <v>-</v>
      </c>
    </row>
    <row r="5359" spans="19:23">
      <c r="S5359" s="42" t="str">
        <v/>
      </c>
      <c r="T5359" s="42" t="str">
        <f t="shared" si="322"/>
        <v>-</v>
      </c>
      <c r="U5359" s="40" t="str">
        <f t="shared" si="323"/>
        <v>-</v>
      </c>
      <c r="V5359" s="42" t="str" cm="1">
        <f t="array" ref="V5359">_xlfn.IFS(
LEFT(S5359,16)="win on penalties",IF(VALUE(MID(S5359,19,1))&gt;VALUE(MID(S5359,23,1)),DATA_CLEANED!AK873,DATA_CLEANED!AN873),
ISNUMBER(SEARCH("USA",S5359)),"United States",
ISNUMBER(SEARCH("Republic of Ireland",S5359)),"Ireland",
ISNUMBER(SEARCH("Republic of Korea",S5359)),"South Korea",
ISNUMBER(SEARCH("Cape Verde",S5359)),"Cabo Verde",
ISNUMBER(SEARCH("Czechia",S5359)),"Czech Republic",
ISNUMBER(SEARCH("Türkiye",S5359)),"Turkey",
ISNUMBER(SEARCH("Ivory Coast",S5359)),"Côte d'Ivoire",
ISNUMBER(SEARCH("Korea Republic",S5359)),"South Korea",
ISNUMBER(SEARCH("Germany FR",S5359)),"FR Germany",
ISNUMBER(SEARCH("West Germany",S5359)),"FR Germany",
ISNUMBER(SEARCH("Germany DR",S5359)),"DR Germany",
ISNUMBER(SEARCH("Korea DPR",S5359)),"North Korea",
ISNUMBER(SEARCH("China PR",S5359)),"China",
ISNUMBER(SEARCH("IR Iran",S5359)),"Iran",
ISNUMBER(SEARCH("Congo DR",S5359)),"Democratic Republic of the Congo",
ISNUMBER(SEARCH("DR Congo",S5359)),"Democratic Republic of the Congo",
ISNUMBER(SEARCH("German DR",S5359)),"DR Germany",
ISNUMBER(SEARCH("rn""&gt;United Arab Emirates",S5359)),"United Arab Emirates",
ISNUMBER(SEARCH("rn""&gt;Republic of Ireland",S5359)),"Ireland",
ISNUMBER(SEARCH("rn""&gt;Bosnia and Herzegovina",S5359)),"Bosnia and Herzegovina",
ISNUMBER(SEARCH("rn""&gt;Trinidad and Tobago",S5359)),"Trinidad and Tobago",
ISNUMBER(SEARCH("rn""&gt;Serbia and Montenegro",S5359)),"Serbia and Montenegro",
ISNUMBER(SEARCH(_xlfn.UNICHAR(65533),S5359)),"Côte d'Ivoire",
TRUE,"-"
)</f>
        <v>-</v>
      </c>
      <c r="W5359" s="42" t="str">
        <f t="shared" si="324"/>
        <v>-</v>
      </c>
    </row>
    <row r="5360" spans="19:23">
      <c r="S5360" s="42" t="str">
        <v/>
      </c>
      <c r="T5360" s="42" t="str">
        <f t="shared" si="322"/>
        <v>-</v>
      </c>
      <c r="U5360" s="40" t="str">
        <f t="shared" si="323"/>
        <v>-</v>
      </c>
      <c r="V5360" s="42" t="str" cm="1">
        <f t="array" ref="V5360">_xlfn.IFS(
LEFT(S5360,16)="win on penalties",IF(VALUE(MID(S5360,19,1))&gt;VALUE(MID(S5360,23,1)),DATA_CLEANED!AK874,DATA_CLEANED!AN874),
ISNUMBER(SEARCH("USA",S5360)),"United States",
ISNUMBER(SEARCH("Republic of Ireland",S5360)),"Ireland",
ISNUMBER(SEARCH("Republic of Korea",S5360)),"South Korea",
ISNUMBER(SEARCH("Cape Verde",S5360)),"Cabo Verde",
ISNUMBER(SEARCH("Czechia",S5360)),"Czech Republic",
ISNUMBER(SEARCH("Türkiye",S5360)),"Turkey",
ISNUMBER(SEARCH("Ivory Coast",S5360)),"Côte d'Ivoire",
ISNUMBER(SEARCH("Korea Republic",S5360)),"South Korea",
ISNUMBER(SEARCH("Germany FR",S5360)),"FR Germany",
ISNUMBER(SEARCH("West Germany",S5360)),"FR Germany",
ISNUMBER(SEARCH("Germany DR",S5360)),"DR Germany",
ISNUMBER(SEARCH("Korea DPR",S5360)),"North Korea",
ISNUMBER(SEARCH("China PR",S5360)),"China",
ISNUMBER(SEARCH("IR Iran",S5360)),"Iran",
ISNUMBER(SEARCH("Congo DR",S5360)),"Democratic Republic of the Congo",
ISNUMBER(SEARCH("DR Congo",S5360)),"Democratic Republic of the Congo",
ISNUMBER(SEARCH("German DR",S5360)),"DR Germany",
ISNUMBER(SEARCH("rn""&gt;United Arab Emirates",S5360)),"United Arab Emirates",
ISNUMBER(SEARCH("rn""&gt;Republic of Ireland",S5360)),"Ireland",
ISNUMBER(SEARCH("rn""&gt;Bosnia and Herzegovina",S5360)),"Bosnia and Herzegovina",
ISNUMBER(SEARCH("rn""&gt;Trinidad and Tobago",S5360)),"Trinidad and Tobago",
ISNUMBER(SEARCH("rn""&gt;Serbia and Montenegro",S5360)),"Serbia and Montenegro",
ISNUMBER(SEARCH(_xlfn.UNICHAR(65533),S5360)),"Côte d'Ivoire",
TRUE,"-"
)</f>
        <v>-</v>
      </c>
      <c r="W5360" s="42" t="str">
        <f t="shared" si="324"/>
        <v>-</v>
      </c>
    </row>
    <row r="5361" spans="19:23">
      <c r="S5361" s="42" t="str">
        <v/>
      </c>
      <c r="T5361" s="42" t="str">
        <f t="shared" si="322"/>
        <v>-</v>
      </c>
      <c r="U5361" s="40" t="str">
        <f t="shared" si="323"/>
        <v>-</v>
      </c>
      <c r="V5361" s="42" t="str" cm="1">
        <f t="array" ref="V5361">_xlfn.IFS(
LEFT(S5361,16)="win on penalties",IF(VALUE(MID(S5361,19,1))&gt;VALUE(MID(S5361,23,1)),DATA_CLEANED!AK875,DATA_CLEANED!AN875),
ISNUMBER(SEARCH("USA",S5361)),"United States",
ISNUMBER(SEARCH("Republic of Ireland",S5361)),"Ireland",
ISNUMBER(SEARCH("Republic of Korea",S5361)),"South Korea",
ISNUMBER(SEARCH("Cape Verde",S5361)),"Cabo Verde",
ISNUMBER(SEARCH("Czechia",S5361)),"Czech Republic",
ISNUMBER(SEARCH("Türkiye",S5361)),"Turkey",
ISNUMBER(SEARCH("Ivory Coast",S5361)),"Côte d'Ivoire",
ISNUMBER(SEARCH("Korea Republic",S5361)),"South Korea",
ISNUMBER(SEARCH("Germany FR",S5361)),"FR Germany",
ISNUMBER(SEARCH("West Germany",S5361)),"FR Germany",
ISNUMBER(SEARCH("Germany DR",S5361)),"DR Germany",
ISNUMBER(SEARCH("Korea DPR",S5361)),"North Korea",
ISNUMBER(SEARCH("China PR",S5361)),"China",
ISNUMBER(SEARCH("IR Iran",S5361)),"Iran",
ISNUMBER(SEARCH("Congo DR",S5361)),"Democratic Republic of the Congo",
ISNUMBER(SEARCH("DR Congo",S5361)),"Democratic Republic of the Congo",
ISNUMBER(SEARCH("German DR",S5361)),"DR Germany",
ISNUMBER(SEARCH("rn""&gt;United Arab Emirates",S5361)),"United Arab Emirates",
ISNUMBER(SEARCH("rn""&gt;Republic of Ireland",S5361)),"Ireland",
ISNUMBER(SEARCH("rn""&gt;Bosnia and Herzegovina",S5361)),"Bosnia and Herzegovina",
ISNUMBER(SEARCH("rn""&gt;Trinidad and Tobago",S5361)),"Trinidad and Tobago",
ISNUMBER(SEARCH("rn""&gt;Serbia and Montenegro",S5361)),"Serbia and Montenegro",
ISNUMBER(SEARCH(_xlfn.UNICHAR(65533),S5361)),"Côte d'Ivoire",
TRUE,"-"
)</f>
        <v>-</v>
      </c>
      <c r="W5361" s="42" t="str">
        <f t="shared" si="324"/>
        <v>-</v>
      </c>
    </row>
    <row r="5362" spans="19:23">
      <c r="S5362" s="42" t="str">
        <v/>
      </c>
      <c r="T5362" s="42" t="str">
        <f t="shared" si="322"/>
        <v>-</v>
      </c>
      <c r="U5362" s="40" t="str">
        <f t="shared" si="323"/>
        <v>-</v>
      </c>
      <c r="V5362" s="42" t="str" cm="1">
        <f t="array" ref="V5362">_xlfn.IFS(
LEFT(S5362,16)="win on penalties",IF(VALUE(MID(S5362,19,1))&gt;VALUE(MID(S5362,23,1)),DATA_CLEANED!AK876,DATA_CLEANED!AN876),
ISNUMBER(SEARCH("USA",S5362)),"United States",
ISNUMBER(SEARCH("Republic of Ireland",S5362)),"Ireland",
ISNUMBER(SEARCH("Republic of Korea",S5362)),"South Korea",
ISNUMBER(SEARCH("Cape Verde",S5362)),"Cabo Verde",
ISNUMBER(SEARCH("Czechia",S5362)),"Czech Republic",
ISNUMBER(SEARCH("Türkiye",S5362)),"Turkey",
ISNUMBER(SEARCH("Ivory Coast",S5362)),"Côte d'Ivoire",
ISNUMBER(SEARCH("Korea Republic",S5362)),"South Korea",
ISNUMBER(SEARCH("Germany FR",S5362)),"FR Germany",
ISNUMBER(SEARCH("West Germany",S5362)),"FR Germany",
ISNUMBER(SEARCH("Germany DR",S5362)),"DR Germany",
ISNUMBER(SEARCH("Korea DPR",S5362)),"North Korea",
ISNUMBER(SEARCH("China PR",S5362)),"China",
ISNUMBER(SEARCH("IR Iran",S5362)),"Iran",
ISNUMBER(SEARCH("Congo DR",S5362)),"Democratic Republic of the Congo",
ISNUMBER(SEARCH("DR Congo",S5362)),"Democratic Republic of the Congo",
ISNUMBER(SEARCH("German DR",S5362)),"DR Germany",
ISNUMBER(SEARCH("rn""&gt;United Arab Emirates",S5362)),"United Arab Emirates",
ISNUMBER(SEARCH("rn""&gt;Republic of Ireland",S5362)),"Ireland",
ISNUMBER(SEARCH("rn""&gt;Bosnia and Herzegovina",S5362)),"Bosnia and Herzegovina",
ISNUMBER(SEARCH("rn""&gt;Trinidad and Tobago",S5362)),"Trinidad and Tobago",
ISNUMBER(SEARCH("rn""&gt;Serbia and Montenegro",S5362)),"Serbia and Montenegro",
ISNUMBER(SEARCH(_xlfn.UNICHAR(65533),S5362)),"Côte d'Ivoire",
TRUE,"-"
)</f>
        <v>-</v>
      </c>
      <c r="W5362" s="42" t="str">
        <f t="shared" si="324"/>
        <v>-</v>
      </c>
    </row>
    <row r="5363" spans="19:23">
      <c r="S5363" s="42" t="str">
        <v/>
      </c>
      <c r="T5363" s="42" t="str">
        <f t="shared" si="322"/>
        <v>-</v>
      </c>
      <c r="U5363" s="40" t="str">
        <f t="shared" si="323"/>
        <v>-</v>
      </c>
      <c r="V5363" s="42" t="str" cm="1">
        <f t="array" ref="V5363">_xlfn.IFS(
LEFT(S5363,16)="win on penalties",IF(VALUE(MID(S5363,19,1))&gt;VALUE(MID(S5363,23,1)),DATA_CLEANED!AK877,DATA_CLEANED!AN877),
ISNUMBER(SEARCH("USA",S5363)),"United States",
ISNUMBER(SEARCH("Republic of Ireland",S5363)),"Ireland",
ISNUMBER(SEARCH("Republic of Korea",S5363)),"South Korea",
ISNUMBER(SEARCH("Cape Verde",S5363)),"Cabo Verde",
ISNUMBER(SEARCH("Czechia",S5363)),"Czech Republic",
ISNUMBER(SEARCH("Türkiye",S5363)),"Turkey",
ISNUMBER(SEARCH("Ivory Coast",S5363)),"Côte d'Ivoire",
ISNUMBER(SEARCH("Korea Republic",S5363)),"South Korea",
ISNUMBER(SEARCH("Germany FR",S5363)),"FR Germany",
ISNUMBER(SEARCH("West Germany",S5363)),"FR Germany",
ISNUMBER(SEARCH("Germany DR",S5363)),"DR Germany",
ISNUMBER(SEARCH("Korea DPR",S5363)),"North Korea",
ISNUMBER(SEARCH("China PR",S5363)),"China",
ISNUMBER(SEARCH("IR Iran",S5363)),"Iran",
ISNUMBER(SEARCH("Congo DR",S5363)),"Democratic Republic of the Congo",
ISNUMBER(SEARCH("DR Congo",S5363)),"Democratic Republic of the Congo",
ISNUMBER(SEARCH("German DR",S5363)),"DR Germany",
ISNUMBER(SEARCH("rn""&gt;United Arab Emirates",S5363)),"United Arab Emirates",
ISNUMBER(SEARCH("rn""&gt;Republic of Ireland",S5363)),"Ireland",
ISNUMBER(SEARCH("rn""&gt;Bosnia and Herzegovina",S5363)),"Bosnia and Herzegovina",
ISNUMBER(SEARCH("rn""&gt;Trinidad and Tobago",S5363)),"Trinidad and Tobago",
ISNUMBER(SEARCH("rn""&gt;Serbia and Montenegro",S5363)),"Serbia and Montenegro",
ISNUMBER(SEARCH(_xlfn.UNICHAR(65533),S5363)),"Côte d'Ivoire",
TRUE,"-"
)</f>
        <v>-</v>
      </c>
      <c r="W5363" s="42" t="str">
        <f t="shared" si="324"/>
        <v>-</v>
      </c>
    </row>
    <row r="5364" spans="19:23">
      <c r="S5364" s="42" t="str">
        <v/>
      </c>
      <c r="T5364" s="42" t="str">
        <f t="shared" si="322"/>
        <v>-</v>
      </c>
      <c r="U5364" s="40" t="str">
        <f t="shared" si="323"/>
        <v>-</v>
      </c>
      <c r="V5364" s="42" t="str" cm="1">
        <f t="array" ref="V5364">_xlfn.IFS(
LEFT(S5364,16)="win on penalties",IF(VALUE(MID(S5364,19,1))&gt;VALUE(MID(S5364,23,1)),DATA_CLEANED!AK878,DATA_CLEANED!AN878),
ISNUMBER(SEARCH("USA",S5364)),"United States",
ISNUMBER(SEARCH("Republic of Ireland",S5364)),"Ireland",
ISNUMBER(SEARCH("Republic of Korea",S5364)),"South Korea",
ISNUMBER(SEARCH("Cape Verde",S5364)),"Cabo Verde",
ISNUMBER(SEARCH("Czechia",S5364)),"Czech Republic",
ISNUMBER(SEARCH("Türkiye",S5364)),"Turkey",
ISNUMBER(SEARCH("Ivory Coast",S5364)),"Côte d'Ivoire",
ISNUMBER(SEARCH("Korea Republic",S5364)),"South Korea",
ISNUMBER(SEARCH("Germany FR",S5364)),"FR Germany",
ISNUMBER(SEARCH("West Germany",S5364)),"FR Germany",
ISNUMBER(SEARCH("Germany DR",S5364)),"DR Germany",
ISNUMBER(SEARCH("Korea DPR",S5364)),"North Korea",
ISNUMBER(SEARCH("China PR",S5364)),"China",
ISNUMBER(SEARCH("IR Iran",S5364)),"Iran",
ISNUMBER(SEARCH("Congo DR",S5364)),"Democratic Republic of the Congo",
ISNUMBER(SEARCH("DR Congo",S5364)),"Democratic Republic of the Congo",
ISNUMBER(SEARCH("German DR",S5364)),"DR Germany",
ISNUMBER(SEARCH("rn""&gt;United Arab Emirates",S5364)),"United Arab Emirates",
ISNUMBER(SEARCH("rn""&gt;Republic of Ireland",S5364)),"Ireland",
ISNUMBER(SEARCH("rn""&gt;Bosnia and Herzegovina",S5364)),"Bosnia and Herzegovina",
ISNUMBER(SEARCH("rn""&gt;Trinidad and Tobago",S5364)),"Trinidad and Tobago",
ISNUMBER(SEARCH("rn""&gt;Serbia and Montenegro",S5364)),"Serbia and Montenegro",
ISNUMBER(SEARCH(_xlfn.UNICHAR(65533),S5364)),"Côte d'Ivoire",
TRUE,"-"
)</f>
        <v>-</v>
      </c>
      <c r="W5364" s="42" t="str">
        <f t="shared" si="324"/>
        <v>-</v>
      </c>
    </row>
    <row r="5365" spans="19:23">
      <c r="S5365" s="42" t="str">
        <v/>
      </c>
      <c r="T5365" s="42" t="str">
        <f t="shared" si="322"/>
        <v>-</v>
      </c>
      <c r="U5365" s="40" t="str">
        <f t="shared" si="323"/>
        <v>-</v>
      </c>
      <c r="V5365" s="42" t="str" cm="1">
        <f t="array" ref="V5365">_xlfn.IFS(
LEFT(S5365,16)="win on penalties",IF(VALUE(MID(S5365,19,1))&gt;VALUE(MID(S5365,23,1)),DATA_CLEANED!AK879,DATA_CLEANED!AN879),
ISNUMBER(SEARCH("USA",S5365)),"United States",
ISNUMBER(SEARCH("Republic of Ireland",S5365)),"Ireland",
ISNUMBER(SEARCH("Republic of Korea",S5365)),"South Korea",
ISNUMBER(SEARCH("Cape Verde",S5365)),"Cabo Verde",
ISNUMBER(SEARCH("Czechia",S5365)),"Czech Republic",
ISNUMBER(SEARCH("Türkiye",S5365)),"Turkey",
ISNUMBER(SEARCH("Ivory Coast",S5365)),"Côte d'Ivoire",
ISNUMBER(SEARCH("Korea Republic",S5365)),"South Korea",
ISNUMBER(SEARCH("Germany FR",S5365)),"FR Germany",
ISNUMBER(SEARCH("West Germany",S5365)),"FR Germany",
ISNUMBER(SEARCH("Germany DR",S5365)),"DR Germany",
ISNUMBER(SEARCH("Korea DPR",S5365)),"North Korea",
ISNUMBER(SEARCH("China PR",S5365)),"China",
ISNUMBER(SEARCH("IR Iran",S5365)),"Iran",
ISNUMBER(SEARCH("Congo DR",S5365)),"Democratic Republic of the Congo",
ISNUMBER(SEARCH("DR Congo",S5365)),"Democratic Republic of the Congo",
ISNUMBER(SEARCH("German DR",S5365)),"DR Germany",
ISNUMBER(SEARCH("rn""&gt;United Arab Emirates",S5365)),"United Arab Emirates",
ISNUMBER(SEARCH("rn""&gt;Republic of Ireland",S5365)),"Ireland",
ISNUMBER(SEARCH("rn""&gt;Bosnia and Herzegovina",S5365)),"Bosnia and Herzegovina",
ISNUMBER(SEARCH("rn""&gt;Trinidad and Tobago",S5365)),"Trinidad and Tobago",
ISNUMBER(SEARCH("rn""&gt;Serbia and Montenegro",S5365)),"Serbia and Montenegro",
ISNUMBER(SEARCH(_xlfn.UNICHAR(65533),S5365)),"Côte d'Ivoire",
TRUE,"-"
)</f>
        <v>-</v>
      </c>
      <c r="W5365" s="42" t="str">
        <f t="shared" si="324"/>
        <v>-</v>
      </c>
    </row>
    <row r="5366" spans="19:23">
      <c r="S5366" s="42" t="str">
        <v/>
      </c>
      <c r="T5366" s="42" t="str">
        <f t="shared" si="322"/>
        <v>-</v>
      </c>
      <c r="U5366" s="40" t="str">
        <f t="shared" si="323"/>
        <v>-</v>
      </c>
      <c r="V5366" s="42" t="str" cm="1">
        <f t="array" ref="V5366">_xlfn.IFS(
LEFT(S5366,16)="win on penalties",IF(VALUE(MID(S5366,19,1))&gt;VALUE(MID(S5366,23,1)),DATA_CLEANED!AK880,DATA_CLEANED!AN880),
ISNUMBER(SEARCH("USA",S5366)),"United States",
ISNUMBER(SEARCH("Republic of Ireland",S5366)),"Ireland",
ISNUMBER(SEARCH("Republic of Korea",S5366)),"South Korea",
ISNUMBER(SEARCH("Cape Verde",S5366)),"Cabo Verde",
ISNUMBER(SEARCH("Czechia",S5366)),"Czech Republic",
ISNUMBER(SEARCH("Türkiye",S5366)),"Turkey",
ISNUMBER(SEARCH("Ivory Coast",S5366)),"Côte d'Ivoire",
ISNUMBER(SEARCH("Korea Republic",S5366)),"South Korea",
ISNUMBER(SEARCH("Germany FR",S5366)),"FR Germany",
ISNUMBER(SEARCH("West Germany",S5366)),"FR Germany",
ISNUMBER(SEARCH("Germany DR",S5366)),"DR Germany",
ISNUMBER(SEARCH("Korea DPR",S5366)),"North Korea",
ISNUMBER(SEARCH("China PR",S5366)),"China",
ISNUMBER(SEARCH("IR Iran",S5366)),"Iran",
ISNUMBER(SEARCH("Congo DR",S5366)),"Democratic Republic of the Congo",
ISNUMBER(SEARCH("DR Congo",S5366)),"Democratic Republic of the Congo",
ISNUMBER(SEARCH("German DR",S5366)),"DR Germany",
ISNUMBER(SEARCH("rn""&gt;United Arab Emirates",S5366)),"United Arab Emirates",
ISNUMBER(SEARCH("rn""&gt;Republic of Ireland",S5366)),"Ireland",
ISNUMBER(SEARCH("rn""&gt;Bosnia and Herzegovina",S5366)),"Bosnia and Herzegovina",
ISNUMBER(SEARCH("rn""&gt;Trinidad and Tobago",S5366)),"Trinidad and Tobago",
ISNUMBER(SEARCH("rn""&gt;Serbia and Montenegro",S5366)),"Serbia and Montenegro",
ISNUMBER(SEARCH(_xlfn.UNICHAR(65533),S5366)),"Côte d'Ivoire",
TRUE,"-"
)</f>
        <v>-</v>
      </c>
      <c r="W5366" s="42" t="str">
        <f t="shared" si="324"/>
        <v>-</v>
      </c>
    </row>
    <row r="5367" spans="19:23">
      <c r="S5367" s="42" t="str">
        <v/>
      </c>
      <c r="T5367" s="42" t="str">
        <f t="shared" si="322"/>
        <v>-</v>
      </c>
      <c r="U5367" s="40" t="str">
        <f t="shared" si="323"/>
        <v>-</v>
      </c>
      <c r="V5367" s="42" t="str" cm="1">
        <f t="array" ref="V5367">_xlfn.IFS(
LEFT(S5367,16)="win on penalties",IF(VALUE(MID(S5367,19,1))&gt;VALUE(MID(S5367,23,1)),DATA_CLEANED!AK881,DATA_CLEANED!AN881),
ISNUMBER(SEARCH("USA",S5367)),"United States",
ISNUMBER(SEARCH("Republic of Ireland",S5367)),"Ireland",
ISNUMBER(SEARCH("Republic of Korea",S5367)),"South Korea",
ISNUMBER(SEARCH("Cape Verde",S5367)),"Cabo Verde",
ISNUMBER(SEARCH("Czechia",S5367)),"Czech Republic",
ISNUMBER(SEARCH("Türkiye",S5367)),"Turkey",
ISNUMBER(SEARCH("Ivory Coast",S5367)),"Côte d'Ivoire",
ISNUMBER(SEARCH("Korea Republic",S5367)),"South Korea",
ISNUMBER(SEARCH("Germany FR",S5367)),"FR Germany",
ISNUMBER(SEARCH("West Germany",S5367)),"FR Germany",
ISNUMBER(SEARCH("Germany DR",S5367)),"DR Germany",
ISNUMBER(SEARCH("Korea DPR",S5367)),"North Korea",
ISNUMBER(SEARCH("China PR",S5367)),"China",
ISNUMBER(SEARCH("IR Iran",S5367)),"Iran",
ISNUMBER(SEARCH("Congo DR",S5367)),"Democratic Republic of the Congo",
ISNUMBER(SEARCH("DR Congo",S5367)),"Democratic Republic of the Congo",
ISNUMBER(SEARCH("German DR",S5367)),"DR Germany",
ISNUMBER(SEARCH("rn""&gt;United Arab Emirates",S5367)),"United Arab Emirates",
ISNUMBER(SEARCH("rn""&gt;Republic of Ireland",S5367)),"Ireland",
ISNUMBER(SEARCH("rn""&gt;Bosnia and Herzegovina",S5367)),"Bosnia and Herzegovina",
ISNUMBER(SEARCH("rn""&gt;Trinidad and Tobago",S5367)),"Trinidad and Tobago",
ISNUMBER(SEARCH("rn""&gt;Serbia and Montenegro",S5367)),"Serbia and Montenegro",
ISNUMBER(SEARCH(_xlfn.UNICHAR(65533),S5367)),"Côte d'Ivoire",
TRUE,"-"
)</f>
        <v>-</v>
      </c>
      <c r="W5367" s="42" t="str">
        <f t="shared" si="324"/>
        <v>-</v>
      </c>
    </row>
    <row r="5368" spans="19:23">
      <c r="S5368" s="42" t="str">
        <v/>
      </c>
      <c r="T5368" s="42" t="str">
        <f t="shared" si="322"/>
        <v>-</v>
      </c>
      <c r="U5368" s="40" t="str">
        <f t="shared" si="323"/>
        <v>-</v>
      </c>
      <c r="V5368" s="42" t="str" cm="1">
        <f t="array" ref="V5368">_xlfn.IFS(
LEFT(S5368,16)="win on penalties",IF(VALUE(MID(S5368,19,1))&gt;VALUE(MID(S5368,23,1)),DATA_CLEANED!AK882,DATA_CLEANED!AN882),
ISNUMBER(SEARCH("USA",S5368)),"United States",
ISNUMBER(SEARCH("Republic of Ireland",S5368)),"Ireland",
ISNUMBER(SEARCH("Republic of Korea",S5368)),"South Korea",
ISNUMBER(SEARCH("Cape Verde",S5368)),"Cabo Verde",
ISNUMBER(SEARCH("Czechia",S5368)),"Czech Republic",
ISNUMBER(SEARCH("Türkiye",S5368)),"Turkey",
ISNUMBER(SEARCH("Ivory Coast",S5368)),"Côte d'Ivoire",
ISNUMBER(SEARCH("Korea Republic",S5368)),"South Korea",
ISNUMBER(SEARCH("Germany FR",S5368)),"FR Germany",
ISNUMBER(SEARCH("West Germany",S5368)),"FR Germany",
ISNUMBER(SEARCH("Germany DR",S5368)),"DR Germany",
ISNUMBER(SEARCH("Korea DPR",S5368)),"North Korea",
ISNUMBER(SEARCH("China PR",S5368)),"China",
ISNUMBER(SEARCH("IR Iran",S5368)),"Iran",
ISNUMBER(SEARCH("Congo DR",S5368)),"Democratic Republic of the Congo",
ISNUMBER(SEARCH("DR Congo",S5368)),"Democratic Republic of the Congo",
ISNUMBER(SEARCH("German DR",S5368)),"DR Germany",
ISNUMBER(SEARCH("rn""&gt;United Arab Emirates",S5368)),"United Arab Emirates",
ISNUMBER(SEARCH("rn""&gt;Republic of Ireland",S5368)),"Ireland",
ISNUMBER(SEARCH("rn""&gt;Bosnia and Herzegovina",S5368)),"Bosnia and Herzegovina",
ISNUMBER(SEARCH("rn""&gt;Trinidad and Tobago",S5368)),"Trinidad and Tobago",
ISNUMBER(SEARCH("rn""&gt;Serbia and Montenegro",S5368)),"Serbia and Montenegro",
ISNUMBER(SEARCH(_xlfn.UNICHAR(65533),S5368)),"Côte d'Ivoire",
TRUE,"-"
)</f>
        <v>-</v>
      </c>
      <c r="W5368" s="42" t="str">
        <f t="shared" si="324"/>
        <v>-</v>
      </c>
    </row>
    <row r="5369" spans="19:23">
      <c r="S5369" s="42" t="str">
        <v/>
      </c>
      <c r="T5369" s="42" t="str">
        <f t="shared" si="322"/>
        <v>-</v>
      </c>
      <c r="U5369" s="40" t="str">
        <f t="shared" si="323"/>
        <v>-</v>
      </c>
      <c r="V5369" s="42" t="str" cm="1">
        <f t="array" ref="V5369">_xlfn.IFS(
LEFT(S5369,16)="win on penalties",IF(VALUE(MID(S5369,19,1))&gt;VALUE(MID(S5369,23,1)),DATA_CLEANED!AK883,DATA_CLEANED!AN883),
ISNUMBER(SEARCH("USA",S5369)),"United States",
ISNUMBER(SEARCH("Republic of Ireland",S5369)),"Ireland",
ISNUMBER(SEARCH("Republic of Korea",S5369)),"South Korea",
ISNUMBER(SEARCH("Cape Verde",S5369)),"Cabo Verde",
ISNUMBER(SEARCH("Czechia",S5369)),"Czech Republic",
ISNUMBER(SEARCH("Türkiye",S5369)),"Turkey",
ISNUMBER(SEARCH("Ivory Coast",S5369)),"Côte d'Ivoire",
ISNUMBER(SEARCH("Korea Republic",S5369)),"South Korea",
ISNUMBER(SEARCH("Germany FR",S5369)),"FR Germany",
ISNUMBER(SEARCH("West Germany",S5369)),"FR Germany",
ISNUMBER(SEARCH("Germany DR",S5369)),"DR Germany",
ISNUMBER(SEARCH("Korea DPR",S5369)),"North Korea",
ISNUMBER(SEARCH("China PR",S5369)),"China",
ISNUMBER(SEARCH("IR Iran",S5369)),"Iran",
ISNUMBER(SEARCH("Congo DR",S5369)),"Democratic Republic of the Congo",
ISNUMBER(SEARCH("DR Congo",S5369)),"Democratic Republic of the Congo",
ISNUMBER(SEARCH("German DR",S5369)),"DR Germany",
ISNUMBER(SEARCH("rn""&gt;United Arab Emirates",S5369)),"United Arab Emirates",
ISNUMBER(SEARCH("rn""&gt;Republic of Ireland",S5369)),"Ireland",
ISNUMBER(SEARCH("rn""&gt;Bosnia and Herzegovina",S5369)),"Bosnia and Herzegovina",
ISNUMBER(SEARCH("rn""&gt;Trinidad and Tobago",S5369)),"Trinidad and Tobago",
ISNUMBER(SEARCH("rn""&gt;Serbia and Montenegro",S5369)),"Serbia and Montenegro",
ISNUMBER(SEARCH(_xlfn.UNICHAR(65533),S5369)),"Côte d'Ivoire",
TRUE,"-"
)</f>
        <v>-</v>
      </c>
      <c r="W5369" s="42" t="str">
        <f t="shared" si="324"/>
        <v>-</v>
      </c>
    </row>
    <row r="5370" spans="19:23">
      <c r="S5370" s="42" t="str">
        <v/>
      </c>
      <c r="T5370" s="42" t="str">
        <f t="shared" si="322"/>
        <v>-</v>
      </c>
      <c r="U5370" s="40" t="str">
        <f t="shared" si="323"/>
        <v>-</v>
      </c>
      <c r="V5370" s="42" t="str" cm="1">
        <f t="array" ref="V5370">_xlfn.IFS(
LEFT(S5370,16)="win on penalties",IF(VALUE(MID(S5370,19,1))&gt;VALUE(MID(S5370,23,1)),DATA_CLEANED!AK884,DATA_CLEANED!AN884),
ISNUMBER(SEARCH("USA",S5370)),"United States",
ISNUMBER(SEARCH("Republic of Ireland",S5370)),"Ireland",
ISNUMBER(SEARCH("Republic of Korea",S5370)),"South Korea",
ISNUMBER(SEARCH("Cape Verde",S5370)),"Cabo Verde",
ISNUMBER(SEARCH("Czechia",S5370)),"Czech Republic",
ISNUMBER(SEARCH("Türkiye",S5370)),"Turkey",
ISNUMBER(SEARCH("Ivory Coast",S5370)),"Côte d'Ivoire",
ISNUMBER(SEARCH("Korea Republic",S5370)),"South Korea",
ISNUMBER(SEARCH("Germany FR",S5370)),"FR Germany",
ISNUMBER(SEARCH("West Germany",S5370)),"FR Germany",
ISNUMBER(SEARCH("Germany DR",S5370)),"DR Germany",
ISNUMBER(SEARCH("Korea DPR",S5370)),"North Korea",
ISNUMBER(SEARCH("China PR",S5370)),"China",
ISNUMBER(SEARCH("IR Iran",S5370)),"Iran",
ISNUMBER(SEARCH("Congo DR",S5370)),"Democratic Republic of the Congo",
ISNUMBER(SEARCH("DR Congo",S5370)),"Democratic Republic of the Congo",
ISNUMBER(SEARCH("German DR",S5370)),"DR Germany",
ISNUMBER(SEARCH("rn""&gt;United Arab Emirates",S5370)),"United Arab Emirates",
ISNUMBER(SEARCH("rn""&gt;Republic of Ireland",S5370)),"Ireland",
ISNUMBER(SEARCH("rn""&gt;Bosnia and Herzegovina",S5370)),"Bosnia and Herzegovina",
ISNUMBER(SEARCH("rn""&gt;Trinidad and Tobago",S5370)),"Trinidad and Tobago",
ISNUMBER(SEARCH("rn""&gt;Serbia and Montenegro",S5370)),"Serbia and Montenegro",
ISNUMBER(SEARCH(_xlfn.UNICHAR(65533),S5370)),"Côte d'Ivoire",
TRUE,"-"
)</f>
        <v>-</v>
      </c>
      <c r="W5370" s="42" t="str">
        <f t="shared" si="324"/>
        <v>-</v>
      </c>
    </row>
    <row r="5371" spans="19:23">
      <c r="S5371" s="42" t="str">
        <v/>
      </c>
      <c r="T5371" s="42" t="str">
        <f t="shared" si="322"/>
        <v>-</v>
      </c>
      <c r="U5371" s="40" t="str">
        <f t="shared" si="323"/>
        <v>-</v>
      </c>
      <c r="V5371" s="42" t="str" cm="1">
        <f t="array" ref="V5371">_xlfn.IFS(
LEFT(S5371,16)="win on penalties",IF(VALUE(MID(S5371,19,1))&gt;VALUE(MID(S5371,23,1)),DATA_CLEANED!AK885,DATA_CLEANED!AN885),
ISNUMBER(SEARCH("USA",S5371)),"United States",
ISNUMBER(SEARCH("Republic of Ireland",S5371)),"Ireland",
ISNUMBER(SEARCH("Republic of Korea",S5371)),"South Korea",
ISNUMBER(SEARCH("Cape Verde",S5371)),"Cabo Verde",
ISNUMBER(SEARCH("Czechia",S5371)),"Czech Republic",
ISNUMBER(SEARCH("Türkiye",S5371)),"Turkey",
ISNUMBER(SEARCH("Ivory Coast",S5371)),"Côte d'Ivoire",
ISNUMBER(SEARCH("Korea Republic",S5371)),"South Korea",
ISNUMBER(SEARCH("Germany FR",S5371)),"FR Germany",
ISNUMBER(SEARCH("West Germany",S5371)),"FR Germany",
ISNUMBER(SEARCH("Germany DR",S5371)),"DR Germany",
ISNUMBER(SEARCH("Korea DPR",S5371)),"North Korea",
ISNUMBER(SEARCH("China PR",S5371)),"China",
ISNUMBER(SEARCH("IR Iran",S5371)),"Iran",
ISNUMBER(SEARCH("Congo DR",S5371)),"Democratic Republic of the Congo",
ISNUMBER(SEARCH("DR Congo",S5371)),"Democratic Republic of the Congo",
ISNUMBER(SEARCH("German DR",S5371)),"DR Germany",
ISNUMBER(SEARCH("rn""&gt;United Arab Emirates",S5371)),"United Arab Emirates",
ISNUMBER(SEARCH("rn""&gt;Republic of Ireland",S5371)),"Ireland",
ISNUMBER(SEARCH("rn""&gt;Bosnia and Herzegovina",S5371)),"Bosnia and Herzegovina",
ISNUMBER(SEARCH("rn""&gt;Trinidad and Tobago",S5371)),"Trinidad and Tobago",
ISNUMBER(SEARCH("rn""&gt;Serbia and Montenegro",S5371)),"Serbia and Montenegro",
ISNUMBER(SEARCH(_xlfn.UNICHAR(65533),S5371)),"Côte d'Ivoire",
TRUE,"-"
)</f>
        <v>-</v>
      </c>
      <c r="W5371" s="42" t="str">
        <f t="shared" si="324"/>
        <v>-</v>
      </c>
    </row>
    <row r="5372" spans="19:23">
      <c r="S5372" s="42" t="str">
        <v/>
      </c>
      <c r="T5372" s="42" t="str">
        <f t="shared" si="322"/>
        <v>-</v>
      </c>
      <c r="U5372" s="40" t="str">
        <f t="shared" si="323"/>
        <v>-</v>
      </c>
      <c r="V5372" s="42" t="str" cm="1">
        <f t="array" ref="V5372">_xlfn.IFS(
LEFT(S5372,16)="win on penalties",IF(VALUE(MID(S5372,19,1))&gt;VALUE(MID(S5372,23,1)),DATA_CLEANED!AK886,DATA_CLEANED!AN886),
ISNUMBER(SEARCH("USA",S5372)),"United States",
ISNUMBER(SEARCH("Republic of Ireland",S5372)),"Ireland",
ISNUMBER(SEARCH("Republic of Korea",S5372)),"South Korea",
ISNUMBER(SEARCH("Cape Verde",S5372)),"Cabo Verde",
ISNUMBER(SEARCH("Czechia",S5372)),"Czech Republic",
ISNUMBER(SEARCH("Türkiye",S5372)),"Turkey",
ISNUMBER(SEARCH("Ivory Coast",S5372)),"Côte d'Ivoire",
ISNUMBER(SEARCH("Korea Republic",S5372)),"South Korea",
ISNUMBER(SEARCH("Germany FR",S5372)),"FR Germany",
ISNUMBER(SEARCH("West Germany",S5372)),"FR Germany",
ISNUMBER(SEARCH("Germany DR",S5372)),"DR Germany",
ISNUMBER(SEARCH("Korea DPR",S5372)),"North Korea",
ISNUMBER(SEARCH("China PR",S5372)),"China",
ISNUMBER(SEARCH("IR Iran",S5372)),"Iran",
ISNUMBER(SEARCH("Congo DR",S5372)),"Democratic Republic of the Congo",
ISNUMBER(SEARCH("DR Congo",S5372)),"Democratic Republic of the Congo",
ISNUMBER(SEARCH("German DR",S5372)),"DR Germany",
ISNUMBER(SEARCH("rn""&gt;United Arab Emirates",S5372)),"United Arab Emirates",
ISNUMBER(SEARCH("rn""&gt;Republic of Ireland",S5372)),"Ireland",
ISNUMBER(SEARCH("rn""&gt;Bosnia and Herzegovina",S5372)),"Bosnia and Herzegovina",
ISNUMBER(SEARCH("rn""&gt;Trinidad and Tobago",S5372)),"Trinidad and Tobago",
ISNUMBER(SEARCH("rn""&gt;Serbia and Montenegro",S5372)),"Serbia and Montenegro",
ISNUMBER(SEARCH(_xlfn.UNICHAR(65533),S5372)),"Côte d'Ivoire",
TRUE,"-"
)</f>
        <v>-</v>
      </c>
      <c r="W5372" s="42" t="str">
        <f t="shared" si="324"/>
        <v>-</v>
      </c>
    </row>
    <row r="5373" spans="19:23">
      <c r="S5373" s="42" t="str">
        <v/>
      </c>
      <c r="T5373" s="42" t="str">
        <f t="shared" si="322"/>
        <v>-</v>
      </c>
      <c r="U5373" s="40" t="str">
        <f t="shared" si="323"/>
        <v>-</v>
      </c>
      <c r="V5373" s="42" t="str" cm="1">
        <f t="array" ref="V5373">_xlfn.IFS(
LEFT(S5373,16)="win on penalties",IF(VALUE(MID(S5373,19,1))&gt;VALUE(MID(S5373,23,1)),DATA_CLEANED!AK887,DATA_CLEANED!AN887),
ISNUMBER(SEARCH("USA",S5373)),"United States",
ISNUMBER(SEARCH("Republic of Ireland",S5373)),"Ireland",
ISNUMBER(SEARCH("Republic of Korea",S5373)),"South Korea",
ISNUMBER(SEARCH("Cape Verde",S5373)),"Cabo Verde",
ISNUMBER(SEARCH("Czechia",S5373)),"Czech Republic",
ISNUMBER(SEARCH("Türkiye",S5373)),"Turkey",
ISNUMBER(SEARCH("Ivory Coast",S5373)),"Côte d'Ivoire",
ISNUMBER(SEARCH("Korea Republic",S5373)),"South Korea",
ISNUMBER(SEARCH("Germany FR",S5373)),"FR Germany",
ISNUMBER(SEARCH("West Germany",S5373)),"FR Germany",
ISNUMBER(SEARCH("Germany DR",S5373)),"DR Germany",
ISNUMBER(SEARCH("Korea DPR",S5373)),"North Korea",
ISNUMBER(SEARCH("China PR",S5373)),"China",
ISNUMBER(SEARCH("IR Iran",S5373)),"Iran",
ISNUMBER(SEARCH("Congo DR",S5373)),"Democratic Republic of the Congo",
ISNUMBER(SEARCH("DR Congo",S5373)),"Democratic Republic of the Congo",
ISNUMBER(SEARCH("German DR",S5373)),"DR Germany",
ISNUMBER(SEARCH("rn""&gt;United Arab Emirates",S5373)),"United Arab Emirates",
ISNUMBER(SEARCH("rn""&gt;Republic of Ireland",S5373)),"Ireland",
ISNUMBER(SEARCH("rn""&gt;Bosnia and Herzegovina",S5373)),"Bosnia and Herzegovina",
ISNUMBER(SEARCH("rn""&gt;Trinidad and Tobago",S5373)),"Trinidad and Tobago",
ISNUMBER(SEARCH("rn""&gt;Serbia and Montenegro",S5373)),"Serbia and Montenegro",
ISNUMBER(SEARCH(_xlfn.UNICHAR(65533),S5373)),"Côte d'Ivoire",
TRUE,"-"
)</f>
        <v>-</v>
      </c>
      <c r="W5373" s="42" t="str">
        <f t="shared" si="324"/>
        <v>-</v>
      </c>
    </row>
    <row r="5374" spans="19:23">
      <c r="S5374" s="42" t="str">
        <v/>
      </c>
      <c r="T5374" s="42" t="str">
        <f t="shared" si="322"/>
        <v>-</v>
      </c>
      <c r="U5374" s="40" t="str">
        <f t="shared" si="323"/>
        <v>-</v>
      </c>
      <c r="V5374" s="42" t="str" cm="1">
        <f t="array" ref="V5374">_xlfn.IFS(
LEFT(S5374,16)="win on penalties",IF(VALUE(MID(S5374,19,1))&gt;VALUE(MID(S5374,23,1)),DATA_CLEANED!AK888,DATA_CLEANED!AN888),
ISNUMBER(SEARCH("USA",S5374)),"United States",
ISNUMBER(SEARCH("Republic of Ireland",S5374)),"Ireland",
ISNUMBER(SEARCH("Republic of Korea",S5374)),"South Korea",
ISNUMBER(SEARCH("Cape Verde",S5374)),"Cabo Verde",
ISNUMBER(SEARCH("Czechia",S5374)),"Czech Republic",
ISNUMBER(SEARCH("Türkiye",S5374)),"Turkey",
ISNUMBER(SEARCH("Ivory Coast",S5374)),"Côte d'Ivoire",
ISNUMBER(SEARCH("Korea Republic",S5374)),"South Korea",
ISNUMBER(SEARCH("Germany FR",S5374)),"FR Germany",
ISNUMBER(SEARCH("West Germany",S5374)),"FR Germany",
ISNUMBER(SEARCH("Germany DR",S5374)),"DR Germany",
ISNUMBER(SEARCH("Korea DPR",S5374)),"North Korea",
ISNUMBER(SEARCH("China PR",S5374)),"China",
ISNUMBER(SEARCH("IR Iran",S5374)),"Iran",
ISNUMBER(SEARCH("Congo DR",S5374)),"Democratic Republic of the Congo",
ISNUMBER(SEARCH("DR Congo",S5374)),"Democratic Republic of the Congo",
ISNUMBER(SEARCH("German DR",S5374)),"DR Germany",
ISNUMBER(SEARCH("rn""&gt;United Arab Emirates",S5374)),"United Arab Emirates",
ISNUMBER(SEARCH("rn""&gt;Republic of Ireland",S5374)),"Ireland",
ISNUMBER(SEARCH("rn""&gt;Bosnia and Herzegovina",S5374)),"Bosnia and Herzegovina",
ISNUMBER(SEARCH("rn""&gt;Trinidad and Tobago",S5374)),"Trinidad and Tobago",
ISNUMBER(SEARCH("rn""&gt;Serbia and Montenegro",S5374)),"Serbia and Montenegro",
ISNUMBER(SEARCH(_xlfn.UNICHAR(65533),S5374)),"Côte d'Ivoire",
TRUE,"-"
)</f>
        <v>-</v>
      </c>
      <c r="W5374" s="42" t="str">
        <f t="shared" si="324"/>
        <v>-</v>
      </c>
    </row>
    <row r="5375" spans="19:23">
      <c r="S5375" s="42" t="str">
        <v>Russia win on penalties (4 - 3)</v>
      </c>
      <c r="T5375" s="42" t="str">
        <f t="shared" si="322"/>
        <v>Russia</v>
      </c>
      <c r="U5375" s="40" t="str">
        <f t="shared" si="323"/>
        <v>AUCUNE</v>
      </c>
      <c r="V5375" s="42" t="str" cm="1">
        <f t="array" ref="V5375">_xlfn.IFS(
LEFT(S5375,16)="win on penalties",IF(VALUE(MID(S5375,19,1))&gt;VALUE(MID(S5375,23,1)),DATA_CLEANED!AK889,DATA_CLEANED!AN889),
ISNUMBER(SEARCH("USA",S5375)),"United States",
ISNUMBER(SEARCH("Republic of Ireland",S5375)),"Ireland",
ISNUMBER(SEARCH("Republic of Korea",S5375)),"South Korea",
ISNUMBER(SEARCH("Cape Verde",S5375)),"Cabo Verde",
ISNUMBER(SEARCH("Czechia",S5375)),"Czech Republic",
ISNUMBER(SEARCH("Türkiye",S5375)),"Turkey",
ISNUMBER(SEARCH("Ivory Coast",S5375)),"Côte d'Ivoire",
ISNUMBER(SEARCH("Korea Republic",S5375)),"South Korea",
ISNUMBER(SEARCH("Germany FR",S5375)),"FR Germany",
ISNUMBER(SEARCH("West Germany",S5375)),"FR Germany",
ISNUMBER(SEARCH("Germany DR",S5375)),"DR Germany",
ISNUMBER(SEARCH("Korea DPR",S5375)),"North Korea",
ISNUMBER(SEARCH("China PR",S5375)),"China",
ISNUMBER(SEARCH("IR Iran",S5375)),"Iran",
ISNUMBER(SEARCH("Congo DR",S5375)),"Democratic Republic of the Congo",
ISNUMBER(SEARCH("DR Congo",S5375)),"Democratic Republic of the Congo",
ISNUMBER(SEARCH("German DR",S5375)),"DR Germany",
ISNUMBER(SEARCH("rn""&gt;United Arab Emirates",S5375)),"United Arab Emirates",
ISNUMBER(SEARCH("rn""&gt;Republic of Ireland",S5375)),"Ireland",
ISNUMBER(SEARCH("rn""&gt;Bosnia and Herzegovina",S5375)),"Bosnia and Herzegovina",
ISNUMBER(SEARCH("rn""&gt;Trinidad and Tobago",S5375)),"Trinidad and Tobago",
ISNUMBER(SEARCH("rn""&gt;Serbia and Montenegro",S5375)),"Serbia and Montenegro",
ISNUMBER(SEARCH(_xlfn.UNICHAR(65533),S5375)),"Côte d'Ivoire",
TRUE,"-"
)</f>
        <v>-</v>
      </c>
      <c r="W5375" s="42" t="str">
        <f t="shared" si="324"/>
        <v>Russia win on penalties (4 - 3)</v>
      </c>
    </row>
    <row r="5376" spans="19:23">
      <c r="S5376" s="42" t="str">
        <v>Croatia win on penalties (3 - 2)</v>
      </c>
      <c r="T5376" s="42" t="str">
        <f t="shared" si="322"/>
        <v>Croatia</v>
      </c>
      <c r="U5376" s="40" t="str">
        <f t="shared" si="323"/>
        <v>AUCUNE</v>
      </c>
      <c r="V5376" s="42" t="str" cm="1">
        <f t="array" ref="V5376">_xlfn.IFS(
LEFT(S5376,16)="win on penalties",IF(VALUE(MID(S5376,19,1))&gt;VALUE(MID(S5376,23,1)),DATA_CLEANED!AK890,DATA_CLEANED!AN890),
ISNUMBER(SEARCH("USA",S5376)),"United States",
ISNUMBER(SEARCH("Republic of Ireland",S5376)),"Ireland",
ISNUMBER(SEARCH("Republic of Korea",S5376)),"South Korea",
ISNUMBER(SEARCH("Cape Verde",S5376)),"Cabo Verde",
ISNUMBER(SEARCH("Czechia",S5376)),"Czech Republic",
ISNUMBER(SEARCH("Türkiye",S5376)),"Turkey",
ISNUMBER(SEARCH("Ivory Coast",S5376)),"Côte d'Ivoire",
ISNUMBER(SEARCH("Korea Republic",S5376)),"South Korea",
ISNUMBER(SEARCH("Germany FR",S5376)),"FR Germany",
ISNUMBER(SEARCH("West Germany",S5376)),"FR Germany",
ISNUMBER(SEARCH("Germany DR",S5376)),"DR Germany",
ISNUMBER(SEARCH("Korea DPR",S5376)),"North Korea",
ISNUMBER(SEARCH("China PR",S5376)),"China",
ISNUMBER(SEARCH("IR Iran",S5376)),"Iran",
ISNUMBER(SEARCH("Congo DR",S5376)),"Democratic Republic of the Congo",
ISNUMBER(SEARCH("DR Congo",S5376)),"Democratic Republic of the Congo",
ISNUMBER(SEARCH("German DR",S5376)),"DR Germany",
ISNUMBER(SEARCH("rn""&gt;United Arab Emirates",S5376)),"United Arab Emirates",
ISNUMBER(SEARCH("rn""&gt;Republic of Ireland",S5376)),"Ireland",
ISNUMBER(SEARCH("rn""&gt;Bosnia and Herzegovina",S5376)),"Bosnia and Herzegovina",
ISNUMBER(SEARCH("rn""&gt;Trinidad and Tobago",S5376)),"Trinidad and Tobago",
ISNUMBER(SEARCH("rn""&gt;Serbia and Montenegro",S5376)),"Serbia and Montenegro",
ISNUMBER(SEARCH(_xlfn.UNICHAR(65533),S5376)),"Côte d'Ivoire",
TRUE,"-"
)</f>
        <v>-</v>
      </c>
      <c r="W5376" s="42" t="str">
        <f t="shared" si="324"/>
        <v>Croatia win on penalties (3 - 2)</v>
      </c>
    </row>
    <row r="5377" spans="19:23">
      <c r="S5377" s="42" t="str">
        <v/>
      </c>
      <c r="T5377" s="42" t="str">
        <f t="shared" si="322"/>
        <v>-</v>
      </c>
      <c r="U5377" s="40" t="str">
        <f t="shared" si="323"/>
        <v>-</v>
      </c>
      <c r="V5377" s="42" t="str" cm="1">
        <f t="array" ref="V5377">_xlfn.IFS(
LEFT(S5377,16)="win on penalties",IF(VALUE(MID(S5377,19,1))&gt;VALUE(MID(S5377,23,1)),DATA_CLEANED!AK891,DATA_CLEANED!AN891),
ISNUMBER(SEARCH("USA",S5377)),"United States",
ISNUMBER(SEARCH("Republic of Ireland",S5377)),"Ireland",
ISNUMBER(SEARCH("Republic of Korea",S5377)),"South Korea",
ISNUMBER(SEARCH("Cape Verde",S5377)),"Cabo Verde",
ISNUMBER(SEARCH("Czechia",S5377)),"Czech Republic",
ISNUMBER(SEARCH("Türkiye",S5377)),"Turkey",
ISNUMBER(SEARCH("Ivory Coast",S5377)),"Côte d'Ivoire",
ISNUMBER(SEARCH("Korea Republic",S5377)),"South Korea",
ISNUMBER(SEARCH("Germany FR",S5377)),"FR Germany",
ISNUMBER(SEARCH("West Germany",S5377)),"FR Germany",
ISNUMBER(SEARCH("Germany DR",S5377)),"DR Germany",
ISNUMBER(SEARCH("Korea DPR",S5377)),"North Korea",
ISNUMBER(SEARCH("China PR",S5377)),"China",
ISNUMBER(SEARCH("IR Iran",S5377)),"Iran",
ISNUMBER(SEARCH("Congo DR",S5377)),"Democratic Republic of the Congo",
ISNUMBER(SEARCH("DR Congo",S5377)),"Democratic Republic of the Congo",
ISNUMBER(SEARCH("German DR",S5377)),"DR Germany",
ISNUMBER(SEARCH("rn""&gt;United Arab Emirates",S5377)),"United Arab Emirates",
ISNUMBER(SEARCH("rn""&gt;Republic of Ireland",S5377)),"Ireland",
ISNUMBER(SEARCH("rn""&gt;Bosnia and Herzegovina",S5377)),"Bosnia and Herzegovina",
ISNUMBER(SEARCH("rn""&gt;Trinidad and Tobago",S5377)),"Trinidad and Tobago",
ISNUMBER(SEARCH("rn""&gt;Serbia and Montenegro",S5377)),"Serbia and Montenegro",
ISNUMBER(SEARCH(_xlfn.UNICHAR(65533),S5377)),"Côte d'Ivoire",
TRUE,"-"
)</f>
        <v>-</v>
      </c>
      <c r="W5377" s="42" t="str">
        <f t="shared" si="324"/>
        <v>-</v>
      </c>
    </row>
    <row r="5378" spans="19:23">
      <c r="S5378" s="42" t="str">
        <v/>
      </c>
      <c r="T5378" s="42" t="str">
        <f t="shared" si="322"/>
        <v>-</v>
      </c>
      <c r="U5378" s="40" t="str">
        <f t="shared" si="323"/>
        <v>-</v>
      </c>
      <c r="V5378" s="42" t="str" cm="1">
        <f t="array" ref="V5378">_xlfn.IFS(
LEFT(S5378,16)="win on penalties",IF(VALUE(MID(S5378,19,1))&gt;VALUE(MID(S5378,23,1)),DATA_CLEANED!AK892,DATA_CLEANED!AN892),
ISNUMBER(SEARCH("USA",S5378)),"United States",
ISNUMBER(SEARCH("Republic of Ireland",S5378)),"Ireland",
ISNUMBER(SEARCH("Republic of Korea",S5378)),"South Korea",
ISNUMBER(SEARCH("Cape Verde",S5378)),"Cabo Verde",
ISNUMBER(SEARCH("Czechia",S5378)),"Czech Republic",
ISNUMBER(SEARCH("Türkiye",S5378)),"Turkey",
ISNUMBER(SEARCH("Ivory Coast",S5378)),"Côte d'Ivoire",
ISNUMBER(SEARCH("Korea Republic",S5378)),"South Korea",
ISNUMBER(SEARCH("Germany FR",S5378)),"FR Germany",
ISNUMBER(SEARCH("West Germany",S5378)),"FR Germany",
ISNUMBER(SEARCH("Germany DR",S5378)),"DR Germany",
ISNUMBER(SEARCH("Korea DPR",S5378)),"North Korea",
ISNUMBER(SEARCH("China PR",S5378)),"China",
ISNUMBER(SEARCH("IR Iran",S5378)),"Iran",
ISNUMBER(SEARCH("Congo DR",S5378)),"Democratic Republic of the Congo",
ISNUMBER(SEARCH("DR Congo",S5378)),"Democratic Republic of the Congo",
ISNUMBER(SEARCH("German DR",S5378)),"DR Germany",
ISNUMBER(SEARCH("rn""&gt;United Arab Emirates",S5378)),"United Arab Emirates",
ISNUMBER(SEARCH("rn""&gt;Republic of Ireland",S5378)),"Ireland",
ISNUMBER(SEARCH("rn""&gt;Bosnia and Herzegovina",S5378)),"Bosnia and Herzegovina",
ISNUMBER(SEARCH("rn""&gt;Trinidad and Tobago",S5378)),"Trinidad and Tobago",
ISNUMBER(SEARCH("rn""&gt;Serbia and Montenegro",S5378)),"Serbia and Montenegro",
ISNUMBER(SEARCH(_xlfn.UNICHAR(65533),S5378)),"Côte d'Ivoire",
TRUE,"-"
)</f>
        <v>-</v>
      </c>
      <c r="W5378" s="42" t="str">
        <f t="shared" si="324"/>
        <v>-</v>
      </c>
    </row>
    <row r="5379" spans="19:23">
      <c r="S5379" s="42" t="str">
        <v/>
      </c>
      <c r="T5379" s="42" t="str">
        <f t="shared" si="322"/>
        <v>-</v>
      </c>
      <c r="U5379" s="40" t="str">
        <f t="shared" si="323"/>
        <v>-</v>
      </c>
      <c r="V5379" s="42" t="str" cm="1">
        <f t="array" ref="V5379">_xlfn.IFS(
LEFT(S5379,16)="win on penalties",IF(VALUE(MID(S5379,19,1))&gt;VALUE(MID(S5379,23,1)),DATA_CLEANED!AK893,DATA_CLEANED!AN893),
ISNUMBER(SEARCH("USA",S5379)),"United States",
ISNUMBER(SEARCH("Republic of Ireland",S5379)),"Ireland",
ISNUMBER(SEARCH("Republic of Korea",S5379)),"South Korea",
ISNUMBER(SEARCH("Cape Verde",S5379)),"Cabo Verde",
ISNUMBER(SEARCH("Czechia",S5379)),"Czech Republic",
ISNUMBER(SEARCH("Türkiye",S5379)),"Turkey",
ISNUMBER(SEARCH("Ivory Coast",S5379)),"Côte d'Ivoire",
ISNUMBER(SEARCH("Korea Republic",S5379)),"South Korea",
ISNUMBER(SEARCH("Germany FR",S5379)),"FR Germany",
ISNUMBER(SEARCH("West Germany",S5379)),"FR Germany",
ISNUMBER(SEARCH("Germany DR",S5379)),"DR Germany",
ISNUMBER(SEARCH("Korea DPR",S5379)),"North Korea",
ISNUMBER(SEARCH("China PR",S5379)),"China",
ISNUMBER(SEARCH("IR Iran",S5379)),"Iran",
ISNUMBER(SEARCH("Congo DR",S5379)),"Democratic Republic of the Congo",
ISNUMBER(SEARCH("DR Congo",S5379)),"Democratic Republic of the Congo",
ISNUMBER(SEARCH("German DR",S5379)),"DR Germany",
ISNUMBER(SEARCH("rn""&gt;United Arab Emirates",S5379)),"United Arab Emirates",
ISNUMBER(SEARCH("rn""&gt;Republic of Ireland",S5379)),"Ireland",
ISNUMBER(SEARCH("rn""&gt;Bosnia and Herzegovina",S5379)),"Bosnia and Herzegovina",
ISNUMBER(SEARCH("rn""&gt;Trinidad and Tobago",S5379)),"Trinidad and Tobago",
ISNUMBER(SEARCH("rn""&gt;Serbia and Montenegro",S5379)),"Serbia and Montenegro",
ISNUMBER(SEARCH(_xlfn.UNICHAR(65533),S5379)),"Côte d'Ivoire",
TRUE,"-"
)</f>
        <v>-</v>
      </c>
      <c r="W5379" s="42" t="str">
        <f t="shared" si="324"/>
        <v>-</v>
      </c>
    </row>
    <row r="5380" spans="19:23">
      <c r="S5380" s="42" t="str">
        <v>England win on penalties (4 - 3)</v>
      </c>
      <c r="T5380" s="42" t="str">
        <f t="shared" si="322"/>
        <v>England</v>
      </c>
      <c r="U5380" s="40" t="str">
        <f t="shared" si="323"/>
        <v>AUCUNE</v>
      </c>
      <c r="V5380" s="42" t="str" cm="1">
        <f t="array" ref="V5380">_xlfn.IFS(
LEFT(S5380,16)="win on penalties",IF(VALUE(MID(S5380,19,1))&gt;VALUE(MID(S5380,23,1)),DATA_CLEANED!AK894,DATA_CLEANED!AN894),
ISNUMBER(SEARCH("USA",S5380)),"United States",
ISNUMBER(SEARCH("Republic of Ireland",S5380)),"Ireland",
ISNUMBER(SEARCH("Republic of Korea",S5380)),"South Korea",
ISNUMBER(SEARCH("Cape Verde",S5380)),"Cabo Verde",
ISNUMBER(SEARCH("Czechia",S5380)),"Czech Republic",
ISNUMBER(SEARCH("Türkiye",S5380)),"Turkey",
ISNUMBER(SEARCH("Ivory Coast",S5380)),"Côte d'Ivoire",
ISNUMBER(SEARCH("Korea Republic",S5380)),"South Korea",
ISNUMBER(SEARCH("Germany FR",S5380)),"FR Germany",
ISNUMBER(SEARCH("West Germany",S5380)),"FR Germany",
ISNUMBER(SEARCH("Germany DR",S5380)),"DR Germany",
ISNUMBER(SEARCH("Korea DPR",S5380)),"North Korea",
ISNUMBER(SEARCH("China PR",S5380)),"China",
ISNUMBER(SEARCH("IR Iran",S5380)),"Iran",
ISNUMBER(SEARCH("Congo DR",S5380)),"Democratic Republic of the Congo",
ISNUMBER(SEARCH("DR Congo",S5380)),"Democratic Republic of the Congo",
ISNUMBER(SEARCH("German DR",S5380)),"DR Germany",
ISNUMBER(SEARCH("rn""&gt;United Arab Emirates",S5380)),"United Arab Emirates",
ISNUMBER(SEARCH("rn""&gt;Republic of Ireland",S5380)),"Ireland",
ISNUMBER(SEARCH("rn""&gt;Bosnia and Herzegovina",S5380)),"Bosnia and Herzegovina",
ISNUMBER(SEARCH("rn""&gt;Trinidad and Tobago",S5380)),"Trinidad and Tobago",
ISNUMBER(SEARCH("rn""&gt;Serbia and Montenegro",S5380)),"Serbia and Montenegro",
ISNUMBER(SEARCH(_xlfn.UNICHAR(65533),S5380)),"Côte d'Ivoire",
TRUE,"-"
)</f>
        <v>-</v>
      </c>
      <c r="W5380" s="42" t="str">
        <f t="shared" si="324"/>
        <v>England win on penalties (4 - 3)</v>
      </c>
    </row>
    <row r="5381" spans="19:23">
      <c r="S5381" s="42" t="str">
        <v/>
      </c>
      <c r="T5381" s="42" t="str">
        <f t="shared" si="322"/>
        <v>-</v>
      </c>
      <c r="U5381" s="40" t="str">
        <f t="shared" si="323"/>
        <v>-</v>
      </c>
      <c r="V5381" s="42" t="str" cm="1">
        <f t="array" ref="V5381">_xlfn.IFS(
LEFT(S5381,16)="win on penalties",IF(VALUE(MID(S5381,19,1))&gt;VALUE(MID(S5381,23,1)),DATA_CLEANED!AK895,DATA_CLEANED!AN895),
ISNUMBER(SEARCH("USA",S5381)),"United States",
ISNUMBER(SEARCH("Republic of Ireland",S5381)),"Ireland",
ISNUMBER(SEARCH("Republic of Korea",S5381)),"South Korea",
ISNUMBER(SEARCH("Cape Verde",S5381)),"Cabo Verde",
ISNUMBER(SEARCH("Czechia",S5381)),"Czech Republic",
ISNUMBER(SEARCH("Türkiye",S5381)),"Turkey",
ISNUMBER(SEARCH("Ivory Coast",S5381)),"Côte d'Ivoire",
ISNUMBER(SEARCH("Korea Republic",S5381)),"South Korea",
ISNUMBER(SEARCH("Germany FR",S5381)),"FR Germany",
ISNUMBER(SEARCH("West Germany",S5381)),"FR Germany",
ISNUMBER(SEARCH("Germany DR",S5381)),"DR Germany",
ISNUMBER(SEARCH("Korea DPR",S5381)),"North Korea",
ISNUMBER(SEARCH("China PR",S5381)),"China",
ISNUMBER(SEARCH("IR Iran",S5381)),"Iran",
ISNUMBER(SEARCH("Congo DR",S5381)),"Democratic Republic of the Congo",
ISNUMBER(SEARCH("DR Congo",S5381)),"Democratic Republic of the Congo",
ISNUMBER(SEARCH("German DR",S5381)),"DR Germany",
ISNUMBER(SEARCH("rn""&gt;United Arab Emirates",S5381)),"United Arab Emirates",
ISNUMBER(SEARCH("rn""&gt;Republic of Ireland",S5381)),"Ireland",
ISNUMBER(SEARCH("rn""&gt;Bosnia and Herzegovina",S5381)),"Bosnia and Herzegovina",
ISNUMBER(SEARCH("rn""&gt;Trinidad and Tobago",S5381)),"Trinidad and Tobago",
ISNUMBER(SEARCH("rn""&gt;Serbia and Montenegro",S5381)),"Serbia and Montenegro",
ISNUMBER(SEARCH(_xlfn.UNICHAR(65533),S5381)),"Côte d'Ivoire",
TRUE,"-"
)</f>
        <v>-</v>
      </c>
      <c r="W5381" s="42" t="str">
        <f t="shared" si="324"/>
        <v>-</v>
      </c>
    </row>
    <row r="5382" spans="19:23">
      <c r="S5382" s="42" t="str">
        <v/>
      </c>
      <c r="T5382" s="42" t="str">
        <f t="shared" si="322"/>
        <v>-</v>
      </c>
      <c r="U5382" s="40" t="str">
        <f t="shared" si="323"/>
        <v>-</v>
      </c>
      <c r="V5382" s="42" t="str" cm="1">
        <f t="array" ref="V5382">_xlfn.IFS(
LEFT(S5382,16)="win on penalties",IF(VALUE(MID(S5382,19,1))&gt;VALUE(MID(S5382,23,1)),DATA_CLEANED!AK896,DATA_CLEANED!AN896),
ISNUMBER(SEARCH("USA",S5382)),"United States",
ISNUMBER(SEARCH("Republic of Ireland",S5382)),"Ireland",
ISNUMBER(SEARCH("Republic of Korea",S5382)),"South Korea",
ISNUMBER(SEARCH("Cape Verde",S5382)),"Cabo Verde",
ISNUMBER(SEARCH("Czechia",S5382)),"Czech Republic",
ISNUMBER(SEARCH("Türkiye",S5382)),"Turkey",
ISNUMBER(SEARCH("Ivory Coast",S5382)),"Côte d'Ivoire",
ISNUMBER(SEARCH("Korea Republic",S5382)),"South Korea",
ISNUMBER(SEARCH("Germany FR",S5382)),"FR Germany",
ISNUMBER(SEARCH("West Germany",S5382)),"FR Germany",
ISNUMBER(SEARCH("Germany DR",S5382)),"DR Germany",
ISNUMBER(SEARCH("Korea DPR",S5382)),"North Korea",
ISNUMBER(SEARCH("China PR",S5382)),"China",
ISNUMBER(SEARCH("IR Iran",S5382)),"Iran",
ISNUMBER(SEARCH("Congo DR",S5382)),"Democratic Republic of the Congo",
ISNUMBER(SEARCH("DR Congo",S5382)),"Democratic Republic of the Congo",
ISNUMBER(SEARCH("German DR",S5382)),"DR Germany",
ISNUMBER(SEARCH("rn""&gt;United Arab Emirates",S5382)),"United Arab Emirates",
ISNUMBER(SEARCH("rn""&gt;Republic of Ireland",S5382)),"Ireland",
ISNUMBER(SEARCH("rn""&gt;Bosnia and Herzegovina",S5382)),"Bosnia and Herzegovina",
ISNUMBER(SEARCH("rn""&gt;Trinidad and Tobago",S5382)),"Trinidad and Tobago",
ISNUMBER(SEARCH("rn""&gt;Serbia and Montenegro",S5382)),"Serbia and Montenegro",
ISNUMBER(SEARCH(_xlfn.UNICHAR(65533),S5382)),"Côte d'Ivoire",
TRUE,"-"
)</f>
        <v>-</v>
      </c>
      <c r="W5382" s="42" t="str">
        <f t="shared" si="324"/>
        <v>-</v>
      </c>
    </row>
    <row r="5383" spans="19:23">
      <c r="S5383" s="42" t="str">
        <v/>
      </c>
      <c r="T5383" s="42" t="str">
        <f t="shared" si="322"/>
        <v>-</v>
      </c>
      <c r="U5383" s="40" t="str">
        <f t="shared" si="323"/>
        <v>-</v>
      </c>
      <c r="V5383" s="42" t="str" cm="1">
        <f t="array" ref="V5383">_xlfn.IFS(
LEFT(S5383,16)="win on penalties",IF(VALUE(MID(S5383,19,1))&gt;VALUE(MID(S5383,23,1)),DATA_CLEANED!AK897,DATA_CLEANED!AN897),
ISNUMBER(SEARCH("USA",S5383)),"United States",
ISNUMBER(SEARCH("Republic of Ireland",S5383)),"Ireland",
ISNUMBER(SEARCH("Republic of Korea",S5383)),"South Korea",
ISNUMBER(SEARCH("Cape Verde",S5383)),"Cabo Verde",
ISNUMBER(SEARCH("Czechia",S5383)),"Czech Republic",
ISNUMBER(SEARCH("Türkiye",S5383)),"Turkey",
ISNUMBER(SEARCH("Ivory Coast",S5383)),"Côte d'Ivoire",
ISNUMBER(SEARCH("Korea Republic",S5383)),"South Korea",
ISNUMBER(SEARCH("Germany FR",S5383)),"FR Germany",
ISNUMBER(SEARCH("West Germany",S5383)),"FR Germany",
ISNUMBER(SEARCH("Germany DR",S5383)),"DR Germany",
ISNUMBER(SEARCH("Korea DPR",S5383)),"North Korea",
ISNUMBER(SEARCH("China PR",S5383)),"China",
ISNUMBER(SEARCH("IR Iran",S5383)),"Iran",
ISNUMBER(SEARCH("Congo DR",S5383)),"Democratic Republic of the Congo",
ISNUMBER(SEARCH("DR Congo",S5383)),"Democratic Republic of the Congo",
ISNUMBER(SEARCH("German DR",S5383)),"DR Germany",
ISNUMBER(SEARCH("rn""&gt;United Arab Emirates",S5383)),"United Arab Emirates",
ISNUMBER(SEARCH("rn""&gt;Republic of Ireland",S5383)),"Ireland",
ISNUMBER(SEARCH("rn""&gt;Bosnia and Herzegovina",S5383)),"Bosnia and Herzegovina",
ISNUMBER(SEARCH("rn""&gt;Trinidad and Tobago",S5383)),"Trinidad and Tobago",
ISNUMBER(SEARCH("rn""&gt;Serbia and Montenegro",S5383)),"Serbia and Montenegro",
ISNUMBER(SEARCH(_xlfn.UNICHAR(65533),S5383)),"Côte d'Ivoire",
TRUE,"-"
)</f>
        <v>-</v>
      </c>
      <c r="W5383" s="42" t="str">
        <f t="shared" si="324"/>
        <v>-</v>
      </c>
    </row>
    <row r="5384" spans="19:23">
      <c r="S5384" s="42" t="str">
        <v>Croatia win on penalties (4 - 3)</v>
      </c>
      <c r="T5384" s="42" t="str">
        <f t="shared" si="322"/>
        <v>Croatia</v>
      </c>
      <c r="U5384" s="40" t="str">
        <f t="shared" si="323"/>
        <v>AUCUNE</v>
      </c>
      <c r="V5384" s="42" t="str" cm="1">
        <f t="array" ref="V5384">_xlfn.IFS(
LEFT(S5384,16)="win on penalties",IF(VALUE(MID(S5384,19,1))&gt;VALUE(MID(S5384,23,1)),DATA_CLEANED!AK898,DATA_CLEANED!AN898),
ISNUMBER(SEARCH("USA",S5384)),"United States",
ISNUMBER(SEARCH("Republic of Ireland",S5384)),"Ireland",
ISNUMBER(SEARCH("Republic of Korea",S5384)),"South Korea",
ISNUMBER(SEARCH("Cape Verde",S5384)),"Cabo Verde",
ISNUMBER(SEARCH("Czechia",S5384)),"Czech Republic",
ISNUMBER(SEARCH("Türkiye",S5384)),"Turkey",
ISNUMBER(SEARCH("Ivory Coast",S5384)),"Côte d'Ivoire",
ISNUMBER(SEARCH("Korea Republic",S5384)),"South Korea",
ISNUMBER(SEARCH("Germany FR",S5384)),"FR Germany",
ISNUMBER(SEARCH("West Germany",S5384)),"FR Germany",
ISNUMBER(SEARCH("Germany DR",S5384)),"DR Germany",
ISNUMBER(SEARCH("Korea DPR",S5384)),"North Korea",
ISNUMBER(SEARCH("China PR",S5384)),"China",
ISNUMBER(SEARCH("IR Iran",S5384)),"Iran",
ISNUMBER(SEARCH("Congo DR",S5384)),"Democratic Republic of the Congo",
ISNUMBER(SEARCH("DR Congo",S5384)),"Democratic Republic of the Congo",
ISNUMBER(SEARCH("German DR",S5384)),"DR Germany",
ISNUMBER(SEARCH("rn""&gt;United Arab Emirates",S5384)),"United Arab Emirates",
ISNUMBER(SEARCH("rn""&gt;Republic of Ireland",S5384)),"Ireland",
ISNUMBER(SEARCH("rn""&gt;Bosnia and Herzegovina",S5384)),"Bosnia and Herzegovina",
ISNUMBER(SEARCH("rn""&gt;Trinidad and Tobago",S5384)),"Trinidad and Tobago",
ISNUMBER(SEARCH("rn""&gt;Serbia and Montenegro",S5384)),"Serbia and Montenegro",
ISNUMBER(SEARCH(_xlfn.UNICHAR(65533),S5384)),"Côte d'Ivoire",
TRUE,"-"
)</f>
        <v>-</v>
      </c>
      <c r="W5384" s="42" t="str">
        <f t="shared" si="324"/>
        <v>Croatia win on penalties (4 - 3)</v>
      </c>
    </row>
    <row r="5385" spans="19:23">
      <c r="S5385" s="42" t="str">
        <v/>
      </c>
      <c r="T5385" s="42" t="str">
        <f t="shared" si="322"/>
        <v>-</v>
      </c>
      <c r="U5385" s="40" t="str">
        <f t="shared" si="323"/>
        <v>-</v>
      </c>
      <c r="V5385" s="42" t="str" cm="1">
        <f t="array" ref="V5385">_xlfn.IFS(
LEFT(S5385,16)="win on penalties",IF(VALUE(MID(S5385,19,1))&gt;VALUE(MID(S5385,23,1)),DATA_CLEANED!AK899,DATA_CLEANED!AN899),
ISNUMBER(SEARCH("USA",S5385)),"United States",
ISNUMBER(SEARCH("Republic of Ireland",S5385)),"Ireland",
ISNUMBER(SEARCH("Republic of Korea",S5385)),"South Korea",
ISNUMBER(SEARCH("Cape Verde",S5385)),"Cabo Verde",
ISNUMBER(SEARCH("Czechia",S5385)),"Czech Republic",
ISNUMBER(SEARCH("Türkiye",S5385)),"Turkey",
ISNUMBER(SEARCH("Ivory Coast",S5385)),"Côte d'Ivoire",
ISNUMBER(SEARCH("Korea Republic",S5385)),"South Korea",
ISNUMBER(SEARCH("Germany FR",S5385)),"FR Germany",
ISNUMBER(SEARCH("West Germany",S5385)),"FR Germany",
ISNUMBER(SEARCH("Germany DR",S5385)),"DR Germany",
ISNUMBER(SEARCH("Korea DPR",S5385)),"North Korea",
ISNUMBER(SEARCH("China PR",S5385)),"China",
ISNUMBER(SEARCH("IR Iran",S5385)),"Iran",
ISNUMBER(SEARCH("Congo DR",S5385)),"Democratic Republic of the Congo",
ISNUMBER(SEARCH("DR Congo",S5385)),"Democratic Republic of the Congo",
ISNUMBER(SEARCH("German DR",S5385)),"DR Germany",
ISNUMBER(SEARCH("rn""&gt;United Arab Emirates",S5385)),"United Arab Emirates",
ISNUMBER(SEARCH("rn""&gt;Republic of Ireland",S5385)),"Ireland",
ISNUMBER(SEARCH("rn""&gt;Bosnia and Herzegovina",S5385)),"Bosnia and Herzegovina",
ISNUMBER(SEARCH("rn""&gt;Trinidad and Tobago",S5385)),"Trinidad and Tobago",
ISNUMBER(SEARCH("rn""&gt;Serbia and Montenegro",S5385)),"Serbia and Montenegro",
ISNUMBER(SEARCH(_xlfn.UNICHAR(65533),S5385)),"Côte d'Ivoire",
TRUE,"-"
)</f>
        <v>-</v>
      </c>
      <c r="W5385" s="42" t="str">
        <f t="shared" si="324"/>
        <v>-</v>
      </c>
    </row>
    <row r="5386" spans="19:23">
      <c r="S5386" s="42" t="str">
        <v>Croatia win after extra time</v>
      </c>
      <c r="T5386" s="42" t="str">
        <f t="shared" ref="T5386:T5449" si="325">IF(S5386="","-",IFERROR(LEFT(S5386,SEARCH(" win",S5386)-1),"-"))</f>
        <v>Croatia</v>
      </c>
      <c r="U5386" s="40" t="str">
        <f t="shared" ref="U5386:U5449" si="326">IF(T5386="-","-",IF(COUNTIF(_xlfn.ANCHORARRAY(X$13),T5386)=1,"AUCUNE","RENOMMER"))</f>
        <v>AUCUNE</v>
      </c>
      <c r="V5386" s="42" t="str" cm="1">
        <f t="array" ref="V5386">_xlfn.IFS(
LEFT(S5386,16)="win on penalties",IF(VALUE(MID(S5386,19,1))&gt;VALUE(MID(S5386,23,1)),DATA_CLEANED!AK900,DATA_CLEANED!AN900),
ISNUMBER(SEARCH("USA",S5386)),"United States",
ISNUMBER(SEARCH("Republic of Ireland",S5386)),"Ireland",
ISNUMBER(SEARCH("Republic of Korea",S5386)),"South Korea",
ISNUMBER(SEARCH("Cape Verde",S5386)),"Cabo Verde",
ISNUMBER(SEARCH("Czechia",S5386)),"Czech Republic",
ISNUMBER(SEARCH("Türkiye",S5386)),"Turkey",
ISNUMBER(SEARCH("Ivory Coast",S5386)),"Côte d'Ivoire",
ISNUMBER(SEARCH("Korea Republic",S5386)),"South Korea",
ISNUMBER(SEARCH("Germany FR",S5386)),"FR Germany",
ISNUMBER(SEARCH("West Germany",S5386)),"FR Germany",
ISNUMBER(SEARCH("Germany DR",S5386)),"DR Germany",
ISNUMBER(SEARCH("Korea DPR",S5386)),"North Korea",
ISNUMBER(SEARCH("China PR",S5386)),"China",
ISNUMBER(SEARCH("IR Iran",S5386)),"Iran",
ISNUMBER(SEARCH("Congo DR",S5386)),"Democratic Republic of the Congo",
ISNUMBER(SEARCH("DR Congo",S5386)),"Democratic Republic of the Congo",
ISNUMBER(SEARCH("German DR",S5386)),"DR Germany",
ISNUMBER(SEARCH("rn""&gt;United Arab Emirates",S5386)),"United Arab Emirates",
ISNUMBER(SEARCH("rn""&gt;Republic of Ireland",S5386)),"Ireland",
ISNUMBER(SEARCH("rn""&gt;Bosnia and Herzegovina",S5386)),"Bosnia and Herzegovina",
ISNUMBER(SEARCH("rn""&gt;Trinidad and Tobago",S5386)),"Trinidad and Tobago",
ISNUMBER(SEARCH("rn""&gt;Serbia and Montenegro",S5386)),"Serbia and Montenegro",
ISNUMBER(SEARCH(_xlfn.UNICHAR(65533),S5386)),"Côte d'Ivoire",
TRUE,"-"
)</f>
        <v>-</v>
      </c>
      <c r="W5386" s="42" t="str">
        <f t="shared" ref="W5386:W5449" si="327">IF(S5386="","-",IF(AND(U5386="RENOMMER",T5386&lt;&gt;"-",V5386&lt;&gt;"-"),SUBSTITUTE(S5386,T5386,V5386),S5386))</f>
        <v>Croatia win after extra time</v>
      </c>
    </row>
    <row r="5387" spans="19:23">
      <c r="S5387" s="42" t="str">
        <v/>
      </c>
      <c r="T5387" s="42" t="str">
        <f t="shared" si="325"/>
        <v>-</v>
      </c>
      <c r="U5387" s="40" t="str">
        <f t="shared" si="326"/>
        <v>-</v>
      </c>
      <c r="V5387" s="42" t="str" cm="1">
        <f t="array" ref="V5387">_xlfn.IFS(
LEFT(S5387,16)="win on penalties",IF(VALUE(MID(S5387,19,1))&gt;VALUE(MID(S5387,23,1)),DATA_CLEANED!AK901,DATA_CLEANED!AN901),
ISNUMBER(SEARCH("USA",S5387)),"United States",
ISNUMBER(SEARCH("Republic of Ireland",S5387)),"Ireland",
ISNUMBER(SEARCH("Republic of Korea",S5387)),"South Korea",
ISNUMBER(SEARCH("Cape Verde",S5387)),"Cabo Verde",
ISNUMBER(SEARCH("Czechia",S5387)),"Czech Republic",
ISNUMBER(SEARCH("Türkiye",S5387)),"Turkey",
ISNUMBER(SEARCH("Ivory Coast",S5387)),"Côte d'Ivoire",
ISNUMBER(SEARCH("Korea Republic",S5387)),"South Korea",
ISNUMBER(SEARCH("Germany FR",S5387)),"FR Germany",
ISNUMBER(SEARCH("West Germany",S5387)),"FR Germany",
ISNUMBER(SEARCH("Germany DR",S5387)),"DR Germany",
ISNUMBER(SEARCH("Korea DPR",S5387)),"North Korea",
ISNUMBER(SEARCH("China PR",S5387)),"China",
ISNUMBER(SEARCH("IR Iran",S5387)),"Iran",
ISNUMBER(SEARCH("Congo DR",S5387)),"Democratic Republic of the Congo",
ISNUMBER(SEARCH("DR Congo",S5387)),"Democratic Republic of the Congo",
ISNUMBER(SEARCH("German DR",S5387)),"DR Germany",
ISNUMBER(SEARCH("rn""&gt;United Arab Emirates",S5387)),"United Arab Emirates",
ISNUMBER(SEARCH("rn""&gt;Republic of Ireland",S5387)),"Ireland",
ISNUMBER(SEARCH("rn""&gt;Bosnia and Herzegovina",S5387)),"Bosnia and Herzegovina",
ISNUMBER(SEARCH("rn""&gt;Trinidad and Tobago",S5387)),"Trinidad and Tobago",
ISNUMBER(SEARCH("rn""&gt;Serbia and Montenegro",S5387)),"Serbia and Montenegro",
ISNUMBER(SEARCH(_xlfn.UNICHAR(65533),S5387)),"Côte d'Ivoire",
TRUE,"-"
)</f>
        <v>-</v>
      </c>
      <c r="W5387" s="42" t="str">
        <f t="shared" si="327"/>
        <v>-</v>
      </c>
    </row>
    <row r="5388" spans="19:23">
      <c r="S5388" s="42" t="str">
        <v/>
      </c>
      <c r="T5388" s="42" t="str">
        <f t="shared" si="325"/>
        <v>-</v>
      </c>
      <c r="U5388" s="40" t="str">
        <f t="shared" si="326"/>
        <v>-</v>
      </c>
      <c r="V5388" s="42" t="str" cm="1">
        <f t="array" ref="V5388">_xlfn.IFS(
LEFT(S5388,16)="win on penalties",IF(VALUE(MID(S5388,19,1))&gt;VALUE(MID(S5388,23,1)),DATA_CLEANED!AK902,DATA_CLEANED!AN902),
ISNUMBER(SEARCH("USA",S5388)),"United States",
ISNUMBER(SEARCH("Republic of Ireland",S5388)),"Ireland",
ISNUMBER(SEARCH("Republic of Korea",S5388)),"South Korea",
ISNUMBER(SEARCH("Cape Verde",S5388)),"Cabo Verde",
ISNUMBER(SEARCH("Czechia",S5388)),"Czech Republic",
ISNUMBER(SEARCH("Türkiye",S5388)),"Turkey",
ISNUMBER(SEARCH("Ivory Coast",S5388)),"Côte d'Ivoire",
ISNUMBER(SEARCH("Korea Republic",S5388)),"South Korea",
ISNUMBER(SEARCH("Germany FR",S5388)),"FR Germany",
ISNUMBER(SEARCH("West Germany",S5388)),"FR Germany",
ISNUMBER(SEARCH("Germany DR",S5388)),"DR Germany",
ISNUMBER(SEARCH("Korea DPR",S5388)),"North Korea",
ISNUMBER(SEARCH("China PR",S5388)),"China",
ISNUMBER(SEARCH("IR Iran",S5388)),"Iran",
ISNUMBER(SEARCH("Congo DR",S5388)),"Democratic Republic of the Congo",
ISNUMBER(SEARCH("DR Congo",S5388)),"Democratic Republic of the Congo",
ISNUMBER(SEARCH("German DR",S5388)),"DR Germany",
ISNUMBER(SEARCH("rn""&gt;United Arab Emirates",S5388)),"United Arab Emirates",
ISNUMBER(SEARCH("rn""&gt;Republic of Ireland",S5388)),"Ireland",
ISNUMBER(SEARCH("rn""&gt;Bosnia and Herzegovina",S5388)),"Bosnia and Herzegovina",
ISNUMBER(SEARCH("rn""&gt;Trinidad and Tobago",S5388)),"Trinidad and Tobago",
ISNUMBER(SEARCH("rn""&gt;Serbia and Montenegro",S5388)),"Serbia and Montenegro",
ISNUMBER(SEARCH(_xlfn.UNICHAR(65533),S5388)),"Côte d'Ivoire",
TRUE,"-"
)</f>
        <v>-</v>
      </c>
      <c r="W5388" s="42" t="str">
        <f t="shared" si="327"/>
        <v>-</v>
      </c>
    </row>
    <row r="5389" spans="19:23">
      <c r="S5389" s="42" t="str">
        <v/>
      </c>
      <c r="T5389" s="42" t="str">
        <f t="shared" si="325"/>
        <v>-</v>
      </c>
      <c r="U5389" s="40" t="str">
        <f t="shared" si="326"/>
        <v>-</v>
      </c>
      <c r="V5389" s="42" t="str" cm="1">
        <f t="array" ref="V5389">_xlfn.IFS(
LEFT(S5389,16)="win on penalties",IF(VALUE(MID(S5389,19,1))&gt;VALUE(MID(S5389,23,1)),DATA_CLEANED!AK903,DATA_CLEANED!AN903),
ISNUMBER(SEARCH("USA",S5389)),"United States",
ISNUMBER(SEARCH("Republic of Ireland",S5389)),"Ireland",
ISNUMBER(SEARCH("Republic of Korea",S5389)),"South Korea",
ISNUMBER(SEARCH("Cape Verde",S5389)),"Cabo Verde",
ISNUMBER(SEARCH("Czechia",S5389)),"Czech Republic",
ISNUMBER(SEARCH("Türkiye",S5389)),"Turkey",
ISNUMBER(SEARCH("Ivory Coast",S5389)),"Côte d'Ivoire",
ISNUMBER(SEARCH("Korea Republic",S5389)),"South Korea",
ISNUMBER(SEARCH("Germany FR",S5389)),"FR Germany",
ISNUMBER(SEARCH("West Germany",S5389)),"FR Germany",
ISNUMBER(SEARCH("Germany DR",S5389)),"DR Germany",
ISNUMBER(SEARCH("Korea DPR",S5389)),"North Korea",
ISNUMBER(SEARCH("China PR",S5389)),"China",
ISNUMBER(SEARCH("IR Iran",S5389)),"Iran",
ISNUMBER(SEARCH("Congo DR",S5389)),"Democratic Republic of the Congo",
ISNUMBER(SEARCH("DR Congo",S5389)),"Democratic Republic of the Congo",
ISNUMBER(SEARCH("German DR",S5389)),"DR Germany",
ISNUMBER(SEARCH("rn""&gt;United Arab Emirates",S5389)),"United Arab Emirates",
ISNUMBER(SEARCH("rn""&gt;Republic of Ireland",S5389)),"Ireland",
ISNUMBER(SEARCH("rn""&gt;Bosnia and Herzegovina",S5389)),"Bosnia and Herzegovina",
ISNUMBER(SEARCH("rn""&gt;Trinidad and Tobago",S5389)),"Trinidad and Tobago",
ISNUMBER(SEARCH("rn""&gt;Serbia and Montenegro",S5389)),"Serbia and Montenegro",
ISNUMBER(SEARCH(_xlfn.UNICHAR(65533),S5389)),"Côte d'Ivoire",
TRUE,"-"
)</f>
        <v>-</v>
      </c>
      <c r="W5389" s="42" t="str">
        <f t="shared" si="327"/>
        <v>-</v>
      </c>
    </row>
    <row r="5390" spans="19:23">
      <c r="S5390" s="42" t="str">
        <v/>
      </c>
      <c r="T5390" s="42" t="str">
        <f t="shared" si="325"/>
        <v>-</v>
      </c>
      <c r="U5390" s="40" t="str">
        <f t="shared" si="326"/>
        <v>-</v>
      </c>
      <c r="V5390" s="42" t="str" cm="1">
        <f t="array" ref="V5390">_xlfn.IFS(
LEFT(S5390,16)="win on penalties",IF(VALUE(MID(S5390,19,1))&gt;VALUE(MID(S5390,23,1)),DATA_CLEANED!AK904,DATA_CLEANED!AN904),
ISNUMBER(SEARCH("USA",S5390)),"United States",
ISNUMBER(SEARCH("Republic of Ireland",S5390)),"Ireland",
ISNUMBER(SEARCH("Republic of Korea",S5390)),"South Korea",
ISNUMBER(SEARCH("Cape Verde",S5390)),"Cabo Verde",
ISNUMBER(SEARCH("Czechia",S5390)),"Czech Republic",
ISNUMBER(SEARCH("Türkiye",S5390)),"Turkey",
ISNUMBER(SEARCH("Ivory Coast",S5390)),"Côte d'Ivoire",
ISNUMBER(SEARCH("Korea Republic",S5390)),"South Korea",
ISNUMBER(SEARCH("Germany FR",S5390)),"FR Germany",
ISNUMBER(SEARCH("West Germany",S5390)),"FR Germany",
ISNUMBER(SEARCH("Germany DR",S5390)),"DR Germany",
ISNUMBER(SEARCH("Korea DPR",S5390)),"North Korea",
ISNUMBER(SEARCH("China PR",S5390)),"China",
ISNUMBER(SEARCH("IR Iran",S5390)),"Iran",
ISNUMBER(SEARCH("Congo DR",S5390)),"Democratic Republic of the Congo",
ISNUMBER(SEARCH("DR Congo",S5390)),"Democratic Republic of the Congo",
ISNUMBER(SEARCH("German DR",S5390)),"DR Germany",
ISNUMBER(SEARCH("rn""&gt;United Arab Emirates",S5390)),"United Arab Emirates",
ISNUMBER(SEARCH("rn""&gt;Republic of Ireland",S5390)),"Ireland",
ISNUMBER(SEARCH("rn""&gt;Bosnia and Herzegovina",S5390)),"Bosnia and Herzegovina",
ISNUMBER(SEARCH("rn""&gt;Trinidad and Tobago",S5390)),"Trinidad and Tobago",
ISNUMBER(SEARCH("rn""&gt;Serbia and Montenegro",S5390)),"Serbia and Montenegro",
ISNUMBER(SEARCH(_xlfn.UNICHAR(65533),S5390)),"Côte d'Ivoire",
TRUE,"-"
)</f>
        <v>-</v>
      </c>
      <c r="W5390" s="42" t="str">
        <f t="shared" si="327"/>
        <v>-</v>
      </c>
    </row>
    <row r="5391" spans="19:23">
      <c r="S5391" s="42" t="str">
        <v/>
      </c>
      <c r="T5391" s="42" t="str">
        <f t="shared" si="325"/>
        <v>-</v>
      </c>
      <c r="U5391" s="40" t="str">
        <f t="shared" si="326"/>
        <v>-</v>
      </c>
      <c r="V5391" s="42" t="str" cm="1">
        <f t="array" ref="V5391">_xlfn.IFS(
LEFT(S5391,16)="win on penalties",IF(VALUE(MID(S5391,19,1))&gt;VALUE(MID(S5391,23,1)),DATA_CLEANED!AK905,DATA_CLEANED!AN905),
ISNUMBER(SEARCH("USA",S5391)),"United States",
ISNUMBER(SEARCH("Republic of Ireland",S5391)),"Ireland",
ISNUMBER(SEARCH("Republic of Korea",S5391)),"South Korea",
ISNUMBER(SEARCH("Cape Verde",S5391)),"Cabo Verde",
ISNUMBER(SEARCH("Czechia",S5391)),"Czech Republic",
ISNUMBER(SEARCH("Türkiye",S5391)),"Turkey",
ISNUMBER(SEARCH("Ivory Coast",S5391)),"Côte d'Ivoire",
ISNUMBER(SEARCH("Korea Republic",S5391)),"South Korea",
ISNUMBER(SEARCH("Germany FR",S5391)),"FR Germany",
ISNUMBER(SEARCH("West Germany",S5391)),"FR Germany",
ISNUMBER(SEARCH("Germany DR",S5391)),"DR Germany",
ISNUMBER(SEARCH("Korea DPR",S5391)),"North Korea",
ISNUMBER(SEARCH("China PR",S5391)),"China",
ISNUMBER(SEARCH("IR Iran",S5391)),"Iran",
ISNUMBER(SEARCH("Congo DR",S5391)),"Democratic Republic of the Congo",
ISNUMBER(SEARCH("DR Congo",S5391)),"Democratic Republic of the Congo",
ISNUMBER(SEARCH("German DR",S5391)),"DR Germany",
ISNUMBER(SEARCH("rn""&gt;United Arab Emirates",S5391)),"United Arab Emirates",
ISNUMBER(SEARCH("rn""&gt;Republic of Ireland",S5391)),"Ireland",
ISNUMBER(SEARCH("rn""&gt;Bosnia and Herzegovina",S5391)),"Bosnia and Herzegovina",
ISNUMBER(SEARCH("rn""&gt;Trinidad and Tobago",S5391)),"Trinidad and Tobago",
ISNUMBER(SEARCH("rn""&gt;Serbia and Montenegro",S5391)),"Serbia and Montenegro",
ISNUMBER(SEARCH(_xlfn.UNICHAR(65533),S5391)),"Côte d'Ivoire",
TRUE,"-"
)</f>
        <v>-</v>
      </c>
      <c r="W5391" s="42" t="str">
        <f t="shared" si="327"/>
        <v>-</v>
      </c>
    </row>
    <row r="5392" spans="19:23">
      <c r="S5392" s="42" t="str">
        <v/>
      </c>
      <c r="T5392" s="42" t="str">
        <f t="shared" si="325"/>
        <v>-</v>
      </c>
      <c r="U5392" s="40" t="str">
        <f t="shared" si="326"/>
        <v>-</v>
      </c>
      <c r="V5392" s="42" t="str" cm="1">
        <f t="array" ref="V5392">_xlfn.IFS(
LEFT(S5392,16)="win on penalties",IF(VALUE(MID(S5392,19,1))&gt;VALUE(MID(S5392,23,1)),DATA_CLEANED!AK906,DATA_CLEANED!AN906),
ISNUMBER(SEARCH("USA",S5392)),"United States",
ISNUMBER(SEARCH("Republic of Ireland",S5392)),"Ireland",
ISNUMBER(SEARCH("Republic of Korea",S5392)),"South Korea",
ISNUMBER(SEARCH("Cape Verde",S5392)),"Cabo Verde",
ISNUMBER(SEARCH("Czechia",S5392)),"Czech Republic",
ISNUMBER(SEARCH("Türkiye",S5392)),"Turkey",
ISNUMBER(SEARCH("Ivory Coast",S5392)),"Côte d'Ivoire",
ISNUMBER(SEARCH("Korea Republic",S5392)),"South Korea",
ISNUMBER(SEARCH("Germany FR",S5392)),"FR Germany",
ISNUMBER(SEARCH("West Germany",S5392)),"FR Germany",
ISNUMBER(SEARCH("Germany DR",S5392)),"DR Germany",
ISNUMBER(SEARCH("Korea DPR",S5392)),"North Korea",
ISNUMBER(SEARCH("China PR",S5392)),"China",
ISNUMBER(SEARCH("IR Iran",S5392)),"Iran",
ISNUMBER(SEARCH("Congo DR",S5392)),"Democratic Republic of the Congo",
ISNUMBER(SEARCH("DR Congo",S5392)),"Democratic Republic of the Congo",
ISNUMBER(SEARCH("German DR",S5392)),"DR Germany",
ISNUMBER(SEARCH("rn""&gt;United Arab Emirates",S5392)),"United Arab Emirates",
ISNUMBER(SEARCH("rn""&gt;Republic of Ireland",S5392)),"Ireland",
ISNUMBER(SEARCH("rn""&gt;Bosnia and Herzegovina",S5392)),"Bosnia and Herzegovina",
ISNUMBER(SEARCH("rn""&gt;Trinidad and Tobago",S5392)),"Trinidad and Tobago",
ISNUMBER(SEARCH("rn""&gt;Serbia and Montenegro",S5392)),"Serbia and Montenegro",
ISNUMBER(SEARCH(_xlfn.UNICHAR(65533),S5392)),"Côte d'Ivoire",
TRUE,"-"
)</f>
        <v>-</v>
      </c>
      <c r="W5392" s="42" t="str">
        <f t="shared" si="327"/>
        <v>-</v>
      </c>
    </row>
    <row r="5393" spans="19:23">
      <c r="S5393" s="42" t="str">
        <v/>
      </c>
      <c r="T5393" s="42" t="str">
        <f t="shared" si="325"/>
        <v>-</v>
      </c>
      <c r="U5393" s="40" t="str">
        <f t="shared" si="326"/>
        <v>-</v>
      </c>
      <c r="V5393" s="42" t="str" cm="1">
        <f t="array" ref="V5393">_xlfn.IFS(
LEFT(S5393,16)="win on penalties",IF(VALUE(MID(S5393,19,1))&gt;VALUE(MID(S5393,23,1)),DATA_CLEANED!AK907,DATA_CLEANED!AN907),
ISNUMBER(SEARCH("USA",S5393)),"United States",
ISNUMBER(SEARCH("Republic of Ireland",S5393)),"Ireland",
ISNUMBER(SEARCH("Republic of Korea",S5393)),"South Korea",
ISNUMBER(SEARCH("Cape Verde",S5393)),"Cabo Verde",
ISNUMBER(SEARCH("Czechia",S5393)),"Czech Republic",
ISNUMBER(SEARCH("Türkiye",S5393)),"Turkey",
ISNUMBER(SEARCH("Ivory Coast",S5393)),"Côte d'Ivoire",
ISNUMBER(SEARCH("Korea Republic",S5393)),"South Korea",
ISNUMBER(SEARCH("Germany FR",S5393)),"FR Germany",
ISNUMBER(SEARCH("West Germany",S5393)),"FR Germany",
ISNUMBER(SEARCH("Germany DR",S5393)),"DR Germany",
ISNUMBER(SEARCH("Korea DPR",S5393)),"North Korea",
ISNUMBER(SEARCH("China PR",S5393)),"China",
ISNUMBER(SEARCH("IR Iran",S5393)),"Iran",
ISNUMBER(SEARCH("Congo DR",S5393)),"Democratic Republic of the Congo",
ISNUMBER(SEARCH("DR Congo",S5393)),"Democratic Republic of the Congo",
ISNUMBER(SEARCH("German DR",S5393)),"DR Germany",
ISNUMBER(SEARCH("rn""&gt;United Arab Emirates",S5393)),"United Arab Emirates",
ISNUMBER(SEARCH("rn""&gt;Republic of Ireland",S5393)),"Ireland",
ISNUMBER(SEARCH("rn""&gt;Bosnia and Herzegovina",S5393)),"Bosnia and Herzegovina",
ISNUMBER(SEARCH("rn""&gt;Trinidad and Tobago",S5393)),"Trinidad and Tobago",
ISNUMBER(SEARCH("rn""&gt;Serbia and Montenegro",S5393)),"Serbia and Montenegro",
ISNUMBER(SEARCH(_xlfn.UNICHAR(65533),S5393)),"Côte d'Ivoire",
TRUE,"-"
)</f>
        <v>-</v>
      </c>
      <c r="W5393" s="42" t="str">
        <f t="shared" si="327"/>
        <v>-</v>
      </c>
    </row>
    <row r="5394" spans="19:23">
      <c r="S5394" s="42" t="str">
        <v/>
      </c>
      <c r="T5394" s="42" t="str">
        <f t="shared" si="325"/>
        <v>-</v>
      </c>
      <c r="U5394" s="40" t="str">
        <f t="shared" si="326"/>
        <v>-</v>
      </c>
      <c r="V5394" s="42" t="str" cm="1">
        <f t="array" ref="V5394">_xlfn.IFS(
LEFT(S5394,16)="win on penalties",IF(VALUE(MID(S5394,19,1))&gt;VALUE(MID(S5394,23,1)),DATA_CLEANED!AK908,DATA_CLEANED!AN908),
ISNUMBER(SEARCH("USA",S5394)),"United States",
ISNUMBER(SEARCH("Republic of Ireland",S5394)),"Ireland",
ISNUMBER(SEARCH("Republic of Korea",S5394)),"South Korea",
ISNUMBER(SEARCH("Cape Verde",S5394)),"Cabo Verde",
ISNUMBER(SEARCH("Czechia",S5394)),"Czech Republic",
ISNUMBER(SEARCH("Türkiye",S5394)),"Turkey",
ISNUMBER(SEARCH("Ivory Coast",S5394)),"Côte d'Ivoire",
ISNUMBER(SEARCH("Korea Republic",S5394)),"South Korea",
ISNUMBER(SEARCH("Germany FR",S5394)),"FR Germany",
ISNUMBER(SEARCH("West Germany",S5394)),"FR Germany",
ISNUMBER(SEARCH("Germany DR",S5394)),"DR Germany",
ISNUMBER(SEARCH("Korea DPR",S5394)),"North Korea",
ISNUMBER(SEARCH("China PR",S5394)),"China",
ISNUMBER(SEARCH("IR Iran",S5394)),"Iran",
ISNUMBER(SEARCH("Congo DR",S5394)),"Democratic Republic of the Congo",
ISNUMBER(SEARCH("DR Congo",S5394)),"Democratic Republic of the Congo",
ISNUMBER(SEARCH("German DR",S5394)),"DR Germany",
ISNUMBER(SEARCH("rn""&gt;United Arab Emirates",S5394)),"United Arab Emirates",
ISNUMBER(SEARCH("rn""&gt;Republic of Ireland",S5394)),"Ireland",
ISNUMBER(SEARCH("rn""&gt;Bosnia and Herzegovina",S5394)),"Bosnia and Herzegovina",
ISNUMBER(SEARCH("rn""&gt;Trinidad and Tobago",S5394)),"Trinidad and Tobago",
ISNUMBER(SEARCH("rn""&gt;Serbia and Montenegro",S5394)),"Serbia and Montenegro",
ISNUMBER(SEARCH(_xlfn.UNICHAR(65533),S5394)),"Côte d'Ivoire",
TRUE,"-"
)</f>
        <v>-</v>
      </c>
      <c r="W5394" s="42" t="str">
        <f t="shared" si="327"/>
        <v>-</v>
      </c>
    </row>
    <row r="5395" spans="19:23">
      <c r="S5395" s="42" t="str">
        <v/>
      </c>
      <c r="T5395" s="42" t="str">
        <f t="shared" si="325"/>
        <v>-</v>
      </c>
      <c r="U5395" s="40" t="str">
        <f t="shared" si="326"/>
        <v>-</v>
      </c>
      <c r="V5395" s="42" t="str" cm="1">
        <f t="array" ref="V5395">_xlfn.IFS(
LEFT(S5395,16)="win on penalties",IF(VALUE(MID(S5395,19,1))&gt;VALUE(MID(S5395,23,1)),DATA_CLEANED!AK909,DATA_CLEANED!AN909),
ISNUMBER(SEARCH("USA",S5395)),"United States",
ISNUMBER(SEARCH("Republic of Ireland",S5395)),"Ireland",
ISNUMBER(SEARCH("Republic of Korea",S5395)),"South Korea",
ISNUMBER(SEARCH("Cape Verde",S5395)),"Cabo Verde",
ISNUMBER(SEARCH("Czechia",S5395)),"Czech Republic",
ISNUMBER(SEARCH("Türkiye",S5395)),"Turkey",
ISNUMBER(SEARCH("Ivory Coast",S5395)),"Côte d'Ivoire",
ISNUMBER(SEARCH("Korea Republic",S5395)),"South Korea",
ISNUMBER(SEARCH("Germany FR",S5395)),"FR Germany",
ISNUMBER(SEARCH("West Germany",S5395)),"FR Germany",
ISNUMBER(SEARCH("Germany DR",S5395)),"DR Germany",
ISNUMBER(SEARCH("Korea DPR",S5395)),"North Korea",
ISNUMBER(SEARCH("China PR",S5395)),"China",
ISNUMBER(SEARCH("IR Iran",S5395)),"Iran",
ISNUMBER(SEARCH("Congo DR",S5395)),"Democratic Republic of the Congo",
ISNUMBER(SEARCH("DR Congo",S5395)),"Democratic Republic of the Congo",
ISNUMBER(SEARCH("German DR",S5395)),"DR Germany",
ISNUMBER(SEARCH("rn""&gt;United Arab Emirates",S5395)),"United Arab Emirates",
ISNUMBER(SEARCH("rn""&gt;Republic of Ireland",S5395)),"Ireland",
ISNUMBER(SEARCH("rn""&gt;Bosnia and Herzegovina",S5395)),"Bosnia and Herzegovina",
ISNUMBER(SEARCH("rn""&gt;Trinidad and Tobago",S5395)),"Trinidad and Tobago",
ISNUMBER(SEARCH("rn""&gt;Serbia and Montenegro",S5395)),"Serbia and Montenegro",
ISNUMBER(SEARCH(_xlfn.UNICHAR(65533),S5395)),"Côte d'Ivoire",
TRUE,"-"
)</f>
        <v>-</v>
      </c>
      <c r="W5395" s="42" t="str">
        <f t="shared" si="327"/>
        <v>-</v>
      </c>
    </row>
    <row r="5396" spans="19:23">
      <c r="S5396" s="42" t="str">
        <v/>
      </c>
      <c r="T5396" s="42" t="str">
        <f t="shared" si="325"/>
        <v>-</v>
      </c>
      <c r="U5396" s="40" t="str">
        <f t="shared" si="326"/>
        <v>-</v>
      </c>
      <c r="V5396" s="42" t="str" cm="1">
        <f t="array" ref="V5396">_xlfn.IFS(
LEFT(S5396,16)="win on penalties",IF(VALUE(MID(S5396,19,1))&gt;VALUE(MID(S5396,23,1)),DATA_CLEANED!AK910,DATA_CLEANED!AN910),
ISNUMBER(SEARCH("USA",S5396)),"United States",
ISNUMBER(SEARCH("Republic of Ireland",S5396)),"Ireland",
ISNUMBER(SEARCH("Republic of Korea",S5396)),"South Korea",
ISNUMBER(SEARCH("Cape Verde",S5396)),"Cabo Verde",
ISNUMBER(SEARCH("Czechia",S5396)),"Czech Republic",
ISNUMBER(SEARCH("Türkiye",S5396)),"Turkey",
ISNUMBER(SEARCH("Ivory Coast",S5396)),"Côte d'Ivoire",
ISNUMBER(SEARCH("Korea Republic",S5396)),"South Korea",
ISNUMBER(SEARCH("Germany FR",S5396)),"FR Germany",
ISNUMBER(SEARCH("West Germany",S5396)),"FR Germany",
ISNUMBER(SEARCH("Germany DR",S5396)),"DR Germany",
ISNUMBER(SEARCH("Korea DPR",S5396)),"North Korea",
ISNUMBER(SEARCH("China PR",S5396)),"China",
ISNUMBER(SEARCH("IR Iran",S5396)),"Iran",
ISNUMBER(SEARCH("Congo DR",S5396)),"Democratic Republic of the Congo",
ISNUMBER(SEARCH("DR Congo",S5396)),"Democratic Republic of the Congo",
ISNUMBER(SEARCH("German DR",S5396)),"DR Germany",
ISNUMBER(SEARCH("rn""&gt;United Arab Emirates",S5396)),"United Arab Emirates",
ISNUMBER(SEARCH("rn""&gt;Republic of Ireland",S5396)),"Ireland",
ISNUMBER(SEARCH("rn""&gt;Bosnia and Herzegovina",S5396)),"Bosnia and Herzegovina",
ISNUMBER(SEARCH("rn""&gt;Trinidad and Tobago",S5396)),"Trinidad and Tobago",
ISNUMBER(SEARCH("rn""&gt;Serbia and Montenegro",S5396)),"Serbia and Montenegro",
ISNUMBER(SEARCH(_xlfn.UNICHAR(65533),S5396)),"Côte d'Ivoire",
TRUE,"-"
)</f>
        <v>-</v>
      </c>
      <c r="W5396" s="42" t="str">
        <f t="shared" si="327"/>
        <v>-</v>
      </c>
    </row>
    <row r="5397" spans="19:23">
      <c r="S5397" s="42" t="str">
        <v/>
      </c>
      <c r="T5397" s="42" t="str">
        <f t="shared" si="325"/>
        <v>-</v>
      </c>
      <c r="U5397" s="40" t="str">
        <f t="shared" si="326"/>
        <v>-</v>
      </c>
      <c r="V5397" s="42" t="str" cm="1">
        <f t="array" ref="V5397">_xlfn.IFS(
LEFT(S5397,16)="win on penalties",IF(VALUE(MID(S5397,19,1))&gt;VALUE(MID(S5397,23,1)),DATA_CLEANED!AK911,DATA_CLEANED!AN911),
ISNUMBER(SEARCH("USA",S5397)),"United States",
ISNUMBER(SEARCH("Republic of Ireland",S5397)),"Ireland",
ISNUMBER(SEARCH("Republic of Korea",S5397)),"South Korea",
ISNUMBER(SEARCH("Cape Verde",S5397)),"Cabo Verde",
ISNUMBER(SEARCH("Czechia",S5397)),"Czech Republic",
ISNUMBER(SEARCH("Türkiye",S5397)),"Turkey",
ISNUMBER(SEARCH("Ivory Coast",S5397)),"Côte d'Ivoire",
ISNUMBER(SEARCH("Korea Republic",S5397)),"South Korea",
ISNUMBER(SEARCH("Germany FR",S5397)),"FR Germany",
ISNUMBER(SEARCH("West Germany",S5397)),"FR Germany",
ISNUMBER(SEARCH("Germany DR",S5397)),"DR Germany",
ISNUMBER(SEARCH("Korea DPR",S5397)),"North Korea",
ISNUMBER(SEARCH("China PR",S5397)),"China",
ISNUMBER(SEARCH("IR Iran",S5397)),"Iran",
ISNUMBER(SEARCH("Congo DR",S5397)),"Democratic Republic of the Congo",
ISNUMBER(SEARCH("DR Congo",S5397)),"Democratic Republic of the Congo",
ISNUMBER(SEARCH("German DR",S5397)),"DR Germany",
ISNUMBER(SEARCH("rn""&gt;United Arab Emirates",S5397)),"United Arab Emirates",
ISNUMBER(SEARCH("rn""&gt;Republic of Ireland",S5397)),"Ireland",
ISNUMBER(SEARCH("rn""&gt;Bosnia and Herzegovina",S5397)),"Bosnia and Herzegovina",
ISNUMBER(SEARCH("rn""&gt;Trinidad and Tobago",S5397)),"Trinidad and Tobago",
ISNUMBER(SEARCH("rn""&gt;Serbia and Montenegro",S5397)),"Serbia and Montenegro",
ISNUMBER(SEARCH(_xlfn.UNICHAR(65533),S5397)),"Côte d'Ivoire",
TRUE,"-"
)</f>
        <v>-</v>
      </c>
      <c r="W5397" s="42" t="str">
        <f t="shared" si="327"/>
        <v>-</v>
      </c>
    </row>
    <row r="5398" spans="19:23">
      <c r="S5398" s="42" t="str">
        <v/>
      </c>
      <c r="T5398" s="42" t="str">
        <f t="shared" si="325"/>
        <v>-</v>
      </c>
      <c r="U5398" s="40" t="str">
        <f t="shared" si="326"/>
        <v>-</v>
      </c>
      <c r="V5398" s="42" t="str" cm="1">
        <f t="array" ref="V5398">_xlfn.IFS(
LEFT(S5398,16)="win on penalties",IF(VALUE(MID(S5398,19,1))&gt;VALUE(MID(S5398,23,1)),DATA_CLEANED!AK912,DATA_CLEANED!AN912),
ISNUMBER(SEARCH("USA",S5398)),"United States",
ISNUMBER(SEARCH("Republic of Ireland",S5398)),"Ireland",
ISNUMBER(SEARCH("Republic of Korea",S5398)),"South Korea",
ISNUMBER(SEARCH("Cape Verde",S5398)),"Cabo Verde",
ISNUMBER(SEARCH("Czechia",S5398)),"Czech Republic",
ISNUMBER(SEARCH("Türkiye",S5398)),"Turkey",
ISNUMBER(SEARCH("Ivory Coast",S5398)),"Côte d'Ivoire",
ISNUMBER(SEARCH("Korea Republic",S5398)),"South Korea",
ISNUMBER(SEARCH("Germany FR",S5398)),"FR Germany",
ISNUMBER(SEARCH("West Germany",S5398)),"FR Germany",
ISNUMBER(SEARCH("Germany DR",S5398)),"DR Germany",
ISNUMBER(SEARCH("Korea DPR",S5398)),"North Korea",
ISNUMBER(SEARCH("China PR",S5398)),"China",
ISNUMBER(SEARCH("IR Iran",S5398)),"Iran",
ISNUMBER(SEARCH("Congo DR",S5398)),"Democratic Republic of the Congo",
ISNUMBER(SEARCH("DR Congo",S5398)),"Democratic Republic of the Congo",
ISNUMBER(SEARCH("German DR",S5398)),"DR Germany",
ISNUMBER(SEARCH("rn""&gt;United Arab Emirates",S5398)),"United Arab Emirates",
ISNUMBER(SEARCH("rn""&gt;Republic of Ireland",S5398)),"Ireland",
ISNUMBER(SEARCH("rn""&gt;Bosnia and Herzegovina",S5398)),"Bosnia and Herzegovina",
ISNUMBER(SEARCH("rn""&gt;Trinidad and Tobago",S5398)),"Trinidad and Tobago",
ISNUMBER(SEARCH("rn""&gt;Serbia and Montenegro",S5398)),"Serbia and Montenegro",
ISNUMBER(SEARCH(_xlfn.UNICHAR(65533),S5398)),"Côte d'Ivoire",
TRUE,"-"
)</f>
        <v>-</v>
      </c>
      <c r="W5398" s="42" t="str">
        <f t="shared" si="327"/>
        <v>-</v>
      </c>
    </row>
    <row r="5399" spans="19:23">
      <c r="S5399" s="42" t="str">
        <v/>
      </c>
      <c r="T5399" s="42" t="str">
        <f t="shared" si="325"/>
        <v>-</v>
      </c>
      <c r="U5399" s="40" t="str">
        <f t="shared" si="326"/>
        <v>-</v>
      </c>
      <c r="V5399" s="42" t="str" cm="1">
        <f t="array" ref="V5399">_xlfn.IFS(
LEFT(S5399,16)="win on penalties",IF(VALUE(MID(S5399,19,1))&gt;VALUE(MID(S5399,23,1)),DATA_CLEANED!AK913,DATA_CLEANED!AN913),
ISNUMBER(SEARCH("USA",S5399)),"United States",
ISNUMBER(SEARCH("Republic of Ireland",S5399)),"Ireland",
ISNUMBER(SEARCH("Republic of Korea",S5399)),"South Korea",
ISNUMBER(SEARCH("Cape Verde",S5399)),"Cabo Verde",
ISNUMBER(SEARCH("Czechia",S5399)),"Czech Republic",
ISNUMBER(SEARCH("Türkiye",S5399)),"Turkey",
ISNUMBER(SEARCH("Ivory Coast",S5399)),"Côte d'Ivoire",
ISNUMBER(SEARCH("Korea Republic",S5399)),"South Korea",
ISNUMBER(SEARCH("Germany FR",S5399)),"FR Germany",
ISNUMBER(SEARCH("West Germany",S5399)),"FR Germany",
ISNUMBER(SEARCH("Germany DR",S5399)),"DR Germany",
ISNUMBER(SEARCH("Korea DPR",S5399)),"North Korea",
ISNUMBER(SEARCH("China PR",S5399)),"China",
ISNUMBER(SEARCH("IR Iran",S5399)),"Iran",
ISNUMBER(SEARCH("Congo DR",S5399)),"Democratic Republic of the Congo",
ISNUMBER(SEARCH("DR Congo",S5399)),"Democratic Republic of the Congo",
ISNUMBER(SEARCH("German DR",S5399)),"DR Germany",
ISNUMBER(SEARCH("rn""&gt;United Arab Emirates",S5399)),"United Arab Emirates",
ISNUMBER(SEARCH("rn""&gt;Republic of Ireland",S5399)),"Ireland",
ISNUMBER(SEARCH("rn""&gt;Bosnia and Herzegovina",S5399)),"Bosnia and Herzegovina",
ISNUMBER(SEARCH("rn""&gt;Trinidad and Tobago",S5399)),"Trinidad and Tobago",
ISNUMBER(SEARCH("rn""&gt;Serbia and Montenegro",S5399)),"Serbia and Montenegro",
ISNUMBER(SEARCH(_xlfn.UNICHAR(65533),S5399)),"Côte d'Ivoire",
TRUE,"-"
)</f>
        <v>-</v>
      </c>
      <c r="W5399" s="42" t="str">
        <f t="shared" si="327"/>
        <v>-</v>
      </c>
    </row>
    <row r="5400" spans="19:23">
      <c r="S5400" s="42" t="str">
        <v/>
      </c>
      <c r="T5400" s="42" t="str">
        <f t="shared" si="325"/>
        <v>-</v>
      </c>
      <c r="U5400" s="40" t="str">
        <f t="shared" si="326"/>
        <v>-</v>
      </c>
      <c r="V5400" s="42" t="str" cm="1">
        <f t="array" ref="V5400">_xlfn.IFS(
LEFT(S5400,16)="win on penalties",IF(VALUE(MID(S5400,19,1))&gt;VALUE(MID(S5400,23,1)),DATA_CLEANED!AK914,DATA_CLEANED!AN914),
ISNUMBER(SEARCH("USA",S5400)),"United States",
ISNUMBER(SEARCH("Republic of Ireland",S5400)),"Ireland",
ISNUMBER(SEARCH("Republic of Korea",S5400)),"South Korea",
ISNUMBER(SEARCH("Cape Verde",S5400)),"Cabo Verde",
ISNUMBER(SEARCH("Czechia",S5400)),"Czech Republic",
ISNUMBER(SEARCH("Türkiye",S5400)),"Turkey",
ISNUMBER(SEARCH("Ivory Coast",S5400)),"Côte d'Ivoire",
ISNUMBER(SEARCH("Korea Republic",S5400)),"South Korea",
ISNUMBER(SEARCH("Germany FR",S5400)),"FR Germany",
ISNUMBER(SEARCH("West Germany",S5400)),"FR Germany",
ISNUMBER(SEARCH("Germany DR",S5400)),"DR Germany",
ISNUMBER(SEARCH("Korea DPR",S5400)),"North Korea",
ISNUMBER(SEARCH("China PR",S5400)),"China",
ISNUMBER(SEARCH("IR Iran",S5400)),"Iran",
ISNUMBER(SEARCH("Congo DR",S5400)),"Democratic Republic of the Congo",
ISNUMBER(SEARCH("DR Congo",S5400)),"Democratic Republic of the Congo",
ISNUMBER(SEARCH("German DR",S5400)),"DR Germany",
ISNUMBER(SEARCH("rn""&gt;United Arab Emirates",S5400)),"United Arab Emirates",
ISNUMBER(SEARCH("rn""&gt;Republic of Ireland",S5400)),"Ireland",
ISNUMBER(SEARCH("rn""&gt;Bosnia and Herzegovina",S5400)),"Bosnia and Herzegovina",
ISNUMBER(SEARCH("rn""&gt;Trinidad and Tobago",S5400)),"Trinidad and Tobago",
ISNUMBER(SEARCH("rn""&gt;Serbia and Montenegro",S5400)),"Serbia and Montenegro",
ISNUMBER(SEARCH(_xlfn.UNICHAR(65533),S5400)),"Côte d'Ivoire",
TRUE,"-"
)</f>
        <v>-</v>
      </c>
      <c r="W5400" s="42" t="str">
        <f t="shared" si="327"/>
        <v>-</v>
      </c>
    </row>
    <row r="5401" spans="19:23">
      <c r="S5401" s="42" t="str">
        <v/>
      </c>
      <c r="T5401" s="42" t="str">
        <f t="shared" si="325"/>
        <v>-</v>
      </c>
      <c r="U5401" s="40" t="str">
        <f t="shared" si="326"/>
        <v>-</v>
      </c>
      <c r="V5401" s="42" t="str" cm="1">
        <f t="array" ref="V5401">_xlfn.IFS(
LEFT(S5401,16)="win on penalties",IF(VALUE(MID(S5401,19,1))&gt;VALUE(MID(S5401,23,1)),DATA_CLEANED!AK915,DATA_CLEANED!AN915),
ISNUMBER(SEARCH("USA",S5401)),"United States",
ISNUMBER(SEARCH("Republic of Ireland",S5401)),"Ireland",
ISNUMBER(SEARCH("Republic of Korea",S5401)),"South Korea",
ISNUMBER(SEARCH("Cape Verde",S5401)),"Cabo Verde",
ISNUMBER(SEARCH("Czechia",S5401)),"Czech Republic",
ISNUMBER(SEARCH("Türkiye",S5401)),"Turkey",
ISNUMBER(SEARCH("Ivory Coast",S5401)),"Côte d'Ivoire",
ISNUMBER(SEARCH("Korea Republic",S5401)),"South Korea",
ISNUMBER(SEARCH("Germany FR",S5401)),"FR Germany",
ISNUMBER(SEARCH("West Germany",S5401)),"FR Germany",
ISNUMBER(SEARCH("Germany DR",S5401)),"DR Germany",
ISNUMBER(SEARCH("Korea DPR",S5401)),"North Korea",
ISNUMBER(SEARCH("China PR",S5401)),"China",
ISNUMBER(SEARCH("IR Iran",S5401)),"Iran",
ISNUMBER(SEARCH("Congo DR",S5401)),"Democratic Republic of the Congo",
ISNUMBER(SEARCH("DR Congo",S5401)),"Democratic Republic of the Congo",
ISNUMBER(SEARCH("German DR",S5401)),"DR Germany",
ISNUMBER(SEARCH("rn""&gt;United Arab Emirates",S5401)),"United Arab Emirates",
ISNUMBER(SEARCH("rn""&gt;Republic of Ireland",S5401)),"Ireland",
ISNUMBER(SEARCH("rn""&gt;Bosnia and Herzegovina",S5401)),"Bosnia and Herzegovina",
ISNUMBER(SEARCH("rn""&gt;Trinidad and Tobago",S5401)),"Trinidad and Tobago",
ISNUMBER(SEARCH("rn""&gt;Serbia and Montenegro",S5401)),"Serbia and Montenegro",
ISNUMBER(SEARCH(_xlfn.UNICHAR(65533),S5401)),"Côte d'Ivoire",
TRUE,"-"
)</f>
        <v>-</v>
      </c>
      <c r="W5401" s="42" t="str">
        <f t="shared" si="327"/>
        <v>-</v>
      </c>
    </row>
    <row r="5402" spans="19:23">
      <c r="S5402" s="42" t="str">
        <v/>
      </c>
      <c r="T5402" s="42" t="str">
        <f t="shared" si="325"/>
        <v>-</v>
      </c>
      <c r="U5402" s="40" t="str">
        <f t="shared" si="326"/>
        <v>-</v>
      </c>
      <c r="V5402" s="42" t="str" cm="1">
        <f t="array" ref="V5402">_xlfn.IFS(
LEFT(S5402,16)="win on penalties",IF(VALUE(MID(S5402,19,1))&gt;VALUE(MID(S5402,23,1)),DATA_CLEANED!AK916,DATA_CLEANED!AN916),
ISNUMBER(SEARCH("USA",S5402)),"United States",
ISNUMBER(SEARCH("Republic of Ireland",S5402)),"Ireland",
ISNUMBER(SEARCH("Republic of Korea",S5402)),"South Korea",
ISNUMBER(SEARCH("Cape Verde",S5402)),"Cabo Verde",
ISNUMBER(SEARCH("Czechia",S5402)),"Czech Republic",
ISNUMBER(SEARCH("Türkiye",S5402)),"Turkey",
ISNUMBER(SEARCH("Ivory Coast",S5402)),"Côte d'Ivoire",
ISNUMBER(SEARCH("Korea Republic",S5402)),"South Korea",
ISNUMBER(SEARCH("Germany FR",S5402)),"FR Germany",
ISNUMBER(SEARCH("West Germany",S5402)),"FR Germany",
ISNUMBER(SEARCH("Germany DR",S5402)),"DR Germany",
ISNUMBER(SEARCH("Korea DPR",S5402)),"North Korea",
ISNUMBER(SEARCH("China PR",S5402)),"China",
ISNUMBER(SEARCH("IR Iran",S5402)),"Iran",
ISNUMBER(SEARCH("Congo DR",S5402)),"Democratic Republic of the Congo",
ISNUMBER(SEARCH("DR Congo",S5402)),"Democratic Republic of the Congo",
ISNUMBER(SEARCH("German DR",S5402)),"DR Germany",
ISNUMBER(SEARCH("rn""&gt;United Arab Emirates",S5402)),"United Arab Emirates",
ISNUMBER(SEARCH("rn""&gt;Republic of Ireland",S5402)),"Ireland",
ISNUMBER(SEARCH("rn""&gt;Bosnia and Herzegovina",S5402)),"Bosnia and Herzegovina",
ISNUMBER(SEARCH("rn""&gt;Trinidad and Tobago",S5402)),"Trinidad and Tobago",
ISNUMBER(SEARCH("rn""&gt;Serbia and Montenegro",S5402)),"Serbia and Montenegro",
ISNUMBER(SEARCH(_xlfn.UNICHAR(65533),S5402)),"Côte d'Ivoire",
TRUE,"-"
)</f>
        <v>-</v>
      </c>
      <c r="W5402" s="42" t="str">
        <f t="shared" si="327"/>
        <v>-</v>
      </c>
    </row>
    <row r="5403" spans="19:23">
      <c r="S5403" s="42" t="str">
        <v/>
      </c>
      <c r="T5403" s="42" t="str">
        <f t="shared" si="325"/>
        <v>-</v>
      </c>
      <c r="U5403" s="40" t="str">
        <f t="shared" si="326"/>
        <v>-</v>
      </c>
      <c r="V5403" s="42" t="str" cm="1">
        <f t="array" ref="V5403">_xlfn.IFS(
LEFT(S5403,16)="win on penalties",IF(VALUE(MID(S5403,19,1))&gt;VALUE(MID(S5403,23,1)),DATA_CLEANED!AK917,DATA_CLEANED!AN917),
ISNUMBER(SEARCH("USA",S5403)),"United States",
ISNUMBER(SEARCH("Republic of Ireland",S5403)),"Ireland",
ISNUMBER(SEARCH("Republic of Korea",S5403)),"South Korea",
ISNUMBER(SEARCH("Cape Verde",S5403)),"Cabo Verde",
ISNUMBER(SEARCH("Czechia",S5403)),"Czech Republic",
ISNUMBER(SEARCH("Türkiye",S5403)),"Turkey",
ISNUMBER(SEARCH("Ivory Coast",S5403)),"Côte d'Ivoire",
ISNUMBER(SEARCH("Korea Republic",S5403)),"South Korea",
ISNUMBER(SEARCH("Germany FR",S5403)),"FR Germany",
ISNUMBER(SEARCH("West Germany",S5403)),"FR Germany",
ISNUMBER(SEARCH("Germany DR",S5403)),"DR Germany",
ISNUMBER(SEARCH("Korea DPR",S5403)),"North Korea",
ISNUMBER(SEARCH("China PR",S5403)),"China",
ISNUMBER(SEARCH("IR Iran",S5403)),"Iran",
ISNUMBER(SEARCH("Congo DR",S5403)),"Democratic Republic of the Congo",
ISNUMBER(SEARCH("DR Congo",S5403)),"Democratic Republic of the Congo",
ISNUMBER(SEARCH("German DR",S5403)),"DR Germany",
ISNUMBER(SEARCH("rn""&gt;United Arab Emirates",S5403)),"United Arab Emirates",
ISNUMBER(SEARCH("rn""&gt;Republic of Ireland",S5403)),"Ireland",
ISNUMBER(SEARCH("rn""&gt;Bosnia and Herzegovina",S5403)),"Bosnia and Herzegovina",
ISNUMBER(SEARCH("rn""&gt;Trinidad and Tobago",S5403)),"Trinidad and Tobago",
ISNUMBER(SEARCH("rn""&gt;Serbia and Montenegro",S5403)),"Serbia and Montenegro",
ISNUMBER(SEARCH(_xlfn.UNICHAR(65533),S5403)),"Côte d'Ivoire",
TRUE,"-"
)</f>
        <v>-</v>
      </c>
      <c r="W5403" s="42" t="str">
        <f t="shared" si="327"/>
        <v>-</v>
      </c>
    </row>
    <row r="5404" spans="19:23">
      <c r="S5404" s="42" t="str">
        <v/>
      </c>
      <c r="T5404" s="42" t="str">
        <f t="shared" si="325"/>
        <v>-</v>
      </c>
      <c r="U5404" s="40" t="str">
        <f t="shared" si="326"/>
        <v>-</v>
      </c>
      <c r="V5404" s="42" t="str" cm="1">
        <f t="array" ref="V5404">_xlfn.IFS(
LEFT(S5404,16)="win on penalties",IF(VALUE(MID(S5404,19,1))&gt;VALUE(MID(S5404,23,1)),DATA_CLEANED!AK918,DATA_CLEANED!AN918),
ISNUMBER(SEARCH("USA",S5404)),"United States",
ISNUMBER(SEARCH("Republic of Ireland",S5404)),"Ireland",
ISNUMBER(SEARCH("Republic of Korea",S5404)),"South Korea",
ISNUMBER(SEARCH("Cape Verde",S5404)),"Cabo Verde",
ISNUMBER(SEARCH("Czechia",S5404)),"Czech Republic",
ISNUMBER(SEARCH("Türkiye",S5404)),"Turkey",
ISNUMBER(SEARCH("Ivory Coast",S5404)),"Côte d'Ivoire",
ISNUMBER(SEARCH("Korea Republic",S5404)),"South Korea",
ISNUMBER(SEARCH("Germany FR",S5404)),"FR Germany",
ISNUMBER(SEARCH("West Germany",S5404)),"FR Germany",
ISNUMBER(SEARCH("Germany DR",S5404)),"DR Germany",
ISNUMBER(SEARCH("Korea DPR",S5404)),"North Korea",
ISNUMBER(SEARCH("China PR",S5404)),"China",
ISNUMBER(SEARCH("IR Iran",S5404)),"Iran",
ISNUMBER(SEARCH("Congo DR",S5404)),"Democratic Republic of the Congo",
ISNUMBER(SEARCH("DR Congo",S5404)),"Democratic Republic of the Congo",
ISNUMBER(SEARCH("German DR",S5404)),"DR Germany",
ISNUMBER(SEARCH("rn""&gt;United Arab Emirates",S5404)),"United Arab Emirates",
ISNUMBER(SEARCH("rn""&gt;Republic of Ireland",S5404)),"Ireland",
ISNUMBER(SEARCH("rn""&gt;Bosnia and Herzegovina",S5404)),"Bosnia and Herzegovina",
ISNUMBER(SEARCH("rn""&gt;Trinidad and Tobago",S5404)),"Trinidad and Tobago",
ISNUMBER(SEARCH("rn""&gt;Serbia and Montenegro",S5404)),"Serbia and Montenegro",
ISNUMBER(SEARCH(_xlfn.UNICHAR(65533),S5404)),"Côte d'Ivoire",
TRUE,"-"
)</f>
        <v>-</v>
      </c>
      <c r="W5404" s="42" t="str">
        <f t="shared" si="327"/>
        <v>-</v>
      </c>
    </row>
    <row r="5405" spans="19:23">
      <c r="S5405" s="42" t="str">
        <v/>
      </c>
      <c r="T5405" s="42" t="str">
        <f t="shared" si="325"/>
        <v>-</v>
      </c>
      <c r="U5405" s="40" t="str">
        <f t="shared" si="326"/>
        <v>-</v>
      </c>
      <c r="V5405" s="42" t="str" cm="1">
        <f t="array" ref="V5405">_xlfn.IFS(
LEFT(S5405,16)="win on penalties",IF(VALUE(MID(S5405,19,1))&gt;VALUE(MID(S5405,23,1)),DATA_CLEANED!AK919,DATA_CLEANED!AN919),
ISNUMBER(SEARCH("USA",S5405)),"United States",
ISNUMBER(SEARCH("Republic of Ireland",S5405)),"Ireland",
ISNUMBER(SEARCH("Republic of Korea",S5405)),"South Korea",
ISNUMBER(SEARCH("Cape Verde",S5405)),"Cabo Verde",
ISNUMBER(SEARCH("Czechia",S5405)),"Czech Republic",
ISNUMBER(SEARCH("Türkiye",S5405)),"Turkey",
ISNUMBER(SEARCH("Ivory Coast",S5405)),"Côte d'Ivoire",
ISNUMBER(SEARCH("Korea Republic",S5405)),"South Korea",
ISNUMBER(SEARCH("Germany FR",S5405)),"FR Germany",
ISNUMBER(SEARCH("West Germany",S5405)),"FR Germany",
ISNUMBER(SEARCH("Germany DR",S5405)),"DR Germany",
ISNUMBER(SEARCH("Korea DPR",S5405)),"North Korea",
ISNUMBER(SEARCH("China PR",S5405)),"China",
ISNUMBER(SEARCH("IR Iran",S5405)),"Iran",
ISNUMBER(SEARCH("Congo DR",S5405)),"Democratic Republic of the Congo",
ISNUMBER(SEARCH("DR Congo",S5405)),"Democratic Republic of the Congo",
ISNUMBER(SEARCH("German DR",S5405)),"DR Germany",
ISNUMBER(SEARCH("rn""&gt;United Arab Emirates",S5405)),"United Arab Emirates",
ISNUMBER(SEARCH("rn""&gt;Republic of Ireland",S5405)),"Ireland",
ISNUMBER(SEARCH("rn""&gt;Bosnia and Herzegovina",S5405)),"Bosnia and Herzegovina",
ISNUMBER(SEARCH("rn""&gt;Trinidad and Tobago",S5405)),"Trinidad and Tobago",
ISNUMBER(SEARCH("rn""&gt;Serbia and Montenegro",S5405)),"Serbia and Montenegro",
ISNUMBER(SEARCH(_xlfn.UNICHAR(65533),S5405)),"Côte d'Ivoire",
TRUE,"-"
)</f>
        <v>-</v>
      </c>
      <c r="W5405" s="42" t="str">
        <f t="shared" si="327"/>
        <v>-</v>
      </c>
    </row>
    <row r="5406" spans="19:23">
      <c r="S5406" s="42" t="str">
        <v/>
      </c>
      <c r="T5406" s="42" t="str">
        <f t="shared" si="325"/>
        <v>-</v>
      </c>
      <c r="U5406" s="40" t="str">
        <f t="shared" si="326"/>
        <v>-</v>
      </c>
      <c r="V5406" s="42" t="str" cm="1">
        <f t="array" ref="V5406">_xlfn.IFS(
LEFT(S5406,16)="win on penalties",IF(VALUE(MID(S5406,19,1))&gt;VALUE(MID(S5406,23,1)),DATA_CLEANED!AK920,DATA_CLEANED!AN920),
ISNUMBER(SEARCH("USA",S5406)),"United States",
ISNUMBER(SEARCH("Republic of Ireland",S5406)),"Ireland",
ISNUMBER(SEARCH("Republic of Korea",S5406)),"South Korea",
ISNUMBER(SEARCH("Cape Verde",S5406)),"Cabo Verde",
ISNUMBER(SEARCH("Czechia",S5406)),"Czech Republic",
ISNUMBER(SEARCH("Türkiye",S5406)),"Turkey",
ISNUMBER(SEARCH("Ivory Coast",S5406)),"Côte d'Ivoire",
ISNUMBER(SEARCH("Korea Republic",S5406)),"South Korea",
ISNUMBER(SEARCH("Germany FR",S5406)),"FR Germany",
ISNUMBER(SEARCH("West Germany",S5406)),"FR Germany",
ISNUMBER(SEARCH("Germany DR",S5406)),"DR Germany",
ISNUMBER(SEARCH("Korea DPR",S5406)),"North Korea",
ISNUMBER(SEARCH("China PR",S5406)),"China",
ISNUMBER(SEARCH("IR Iran",S5406)),"Iran",
ISNUMBER(SEARCH("Congo DR",S5406)),"Democratic Republic of the Congo",
ISNUMBER(SEARCH("DR Congo",S5406)),"Democratic Republic of the Congo",
ISNUMBER(SEARCH("German DR",S5406)),"DR Germany",
ISNUMBER(SEARCH("rn""&gt;United Arab Emirates",S5406)),"United Arab Emirates",
ISNUMBER(SEARCH("rn""&gt;Republic of Ireland",S5406)),"Ireland",
ISNUMBER(SEARCH("rn""&gt;Bosnia and Herzegovina",S5406)),"Bosnia and Herzegovina",
ISNUMBER(SEARCH("rn""&gt;Trinidad and Tobago",S5406)),"Trinidad and Tobago",
ISNUMBER(SEARCH("rn""&gt;Serbia and Montenegro",S5406)),"Serbia and Montenegro",
ISNUMBER(SEARCH(_xlfn.UNICHAR(65533),S5406)),"Côte d'Ivoire",
TRUE,"-"
)</f>
        <v>-</v>
      </c>
      <c r="W5406" s="42" t="str">
        <f t="shared" si="327"/>
        <v>-</v>
      </c>
    </row>
    <row r="5407" spans="19:23">
      <c r="S5407" s="42" t="str">
        <v/>
      </c>
      <c r="T5407" s="42" t="str">
        <f t="shared" si="325"/>
        <v>-</v>
      </c>
      <c r="U5407" s="40" t="str">
        <f t="shared" si="326"/>
        <v>-</v>
      </c>
      <c r="V5407" s="42" t="str" cm="1">
        <f t="array" ref="V5407">_xlfn.IFS(
LEFT(S5407,16)="win on penalties",IF(VALUE(MID(S5407,19,1))&gt;VALUE(MID(S5407,23,1)),DATA_CLEANED!AK921,DATA_CLEANED!AN921),
ISNUMBER(SEARCH("USA",S5407)),"United States",
ISNUMBER(SEARCH("Republic of Ireland",S5407)),"Ireland",
ISNUMBER(SEARCH("Republic of Korea",S5407)),"South Korea",
ISNUMBER(SEARCH("Cape Verde",S5407)),"Cabo Verde",
ISNUMBER(SEARCH("Czechia",S5407)),"Czech Republic",
ISNUMBER(SEARCH("Türkiye",S5407)),"Turkey",
ISNUMBER(SEARCH("Ivory Coast",S5407)),"Côte d'Ivoire",
ISNUMBER(SEARCH("Korea Republic",S5407)),"South Korea",
ISNUMBER(SEARCH("Germany FR",S5407)),"FR Germany",
ISNUMBER(SEARCH("West Germany",S5407)),"FR Germany",
ISNUMBER(SEARCH("Germany DR",S5407)),"DR Germany",
ISNUMBER(SEARCH("Korea DPR",S5407)),"North Korea",
ISNUMBER(SEARCH("China PR",S5407)),"China",
ISNUMBER(SEARCH("IR Iran",S5407)),"Iran",
ISNUMBER(SEARCH("Congo DR",S5407)),"Democratic Republic of the Congo",
ISNUMBER(SEARCH("DR Congo",S5407)),"Democratic Republic of the Congo",
ISNUMBER(SEARCH("German DR",S5407)),"DR Germany",
ISNUMBER(SEARCH("rn""&gt;United Arab Emirates",S5407)),"United Arab Emirates",
ISNUMBER(SEARCH("rn""&gt;Republic of Ireland",S5407)),"Ireland",
ISNUMBER(SEARCH("rn""&gt;Bosnia and Herzegovina",S5407)),"Bosnia and Herzegovina",
ISNUMBER(SEARCH("rn""&gt;Trinidad and Tobago",S5407)),"Trinidad and Tobago",
ISNUMBER(SEARCH("rn""&gt;Serbia and Montenegro",S5407)),"Serbia and Montenegro",
ISNUMBER(SEARCH(_xlfn.UNICHAR(65533),S5407)),"Côte d'Ivoire",
TRUE,"-"
)</f>
        <v>-</v>
      </c>
      <c r="W5407" s="42" t="str">
        <f t="shared" si="327"/>
        <v>-</v>
      </c>
    </row>
    <row r="5408" spans="19:23">
      <c r="S5408" s="42" t="str">
        <v/>
      </c>
      <c r="T5408" s="42" t="str">
        <f t="shared" si="325"/>
        <v>-</v>
      </c>
      <c r="U5408" s="40" t="str">
        <f t="shared" si="326"/>
        <v>-</v>
      </c>
      <c r="V5408" s="42" t="str" cm="1">
        <f t="array" ref="V5408">_xlfn.IFS(
LEFT(S5408,16)="win on penalties",IF(VALUE(MID(S5408,19,1))&gt;VALUE(MID(S5408,23,1)),DATA_CLEANED!AK922,DATA_CLEANED!AN922),
ISNUMBER(SEARCH("USA",S5408)),"United States",
ISNUMBER(SEARCH("Republic of Ireland",S5408)),"Ireland",
ISNUMBER(SEARCH("Republic of Korea",S5408)),"South Korea",
ISNUMBER(SEARCH("Cape Verde",S5408)),"Cabo Verde",
ISNUMBER(SEARCH("Czechia",S5408)),"Czech Republic",
ISNUMBER(SEARCH("Türkiye",S5408)),"Turkey",
ISNUMBER(SEARCH("Ivory Coast",S5408)),"Côte d'Ivoire",
ISNUMBER(SEARCH("Korea Republic",S5408)),"South Korea",
ISNUMBER(SEARCH("Germany FR",S5408)),"FR Germany",
ISNUMBER(SEARCH("West Germany",S5408)),"FR Germany",
ISNUMBER(SEARCH("Germany DR",S5408)),"DR Germany",
ISNUMBER(SEARCH("Korea DPR",S5408)),"North Korea",
ISNUMBER(SEARCH("China PR",S5408)),"China",
ISNUMBER(SEARCH("IR Iran",S5408)),"Iran",
ISNUMBER(SEARCH("Congo DR",S5408)),"Democratic Republic of the Congo",
ISNUMBER(SEARCH("DR Congo",S5408)),"Democratic Republic of the Congo",
ISNUMBER(SEARCH("German DR",S5408)),"DR Germany",
ISNUMBER(SEARCH("rn""&gt;United Arab Emirates",S5408)),"United Arab Emirates",
ISNUMBER(SEARCH("rn""&gt;Republic of Ireland",S5408)),"Ireland",
ISNUMBER(SEARCH("rn""&gt;Bosnia and Herzegovina",S5408)),"Bosnia and Herzegovina",
ISNUMBER(SEARCH("rn""&gt;Trinidad and Tobago",S5408)),"Trinidad and Tobago",
ISNUMBER(SEARCH("rn""&gt;Serbia and Montenegro",S5408)),"Serbia and Montenegro",
ISNUMBER(SEARCH(_xlfn.UNICHAR(65533),S5408)),"Côte d'Ivoire",
TRUE,"-"
)</f>
        <v>-</v>
      </c>
      <c r="W5408" s="42" t="str">
        <f t="shared" si="327"/>
        <v>-</v>
      </c>
    </row>
    <row r="5409" spans="19:23">
      <c r="S5409" s="42" t="str">
        <v/>
      </c>
      <c r="T5409" s="42" t="str">
        <f t="shared" si="325"/>
        <v>-</v>
      </c>
      <c r="U5409" s="40" t="str">
        <f t="shared" si="326"/>
        <v>-</v>
      </c>
      <c r="V5409" s="42" t="str" cm="1">
        <f t="array" ref="V5409">_xlfn.IFS(
LEFT(S5409,16)="win on penalties",IF(VALUE(MID(S5409,19,1))&gt;VALUE(MID(S5409,23,1)),DATA_CLEANED!AK923,DATA_CLEANED!AN923),
ISNUMBER(SEARCH("USA",S5409)),"United States",
ISNUMBER(SEARCH("Republic of Ireland",S5409)),"Ireland",
ISNUMBER(SEARCH("Republic of Korea",S5409)),"South Korea",
ISNUMBER(SEARCH("Cape Verde",S5409)),"Cabo Verde",
ISNUMBER(SEARCH("Czechia",S5409)),"Czech Republic",
ISNUMBER(SEARCH("Türkiye",S5409)),"Turkey",
ISNUMBER(SEARCH("Ivory Coast",S5409)),"Côte d'Ivoire",
ISNUMBER(SEARCH("Korea Republic",S5409)),"South Korea",
ISNUMBER(SEARCH("Germany FR",S5409)),"FR Germany",
ISNUMBER(SEARCH("West Germany",S5409)),"FR Germany",
ISNUMBER(SEARCH("Germany DR",S5409)),"DR Germany",
ISNUMBER(SEARCH("Korea DPR",S5409)),"North Korea",
ISNUMBER(SEARCH("China PR",S5409)),"China",
ISNUMBER(SEARCH("IR Iran",S5409)),"Iran",
ISNUMBER(SEARCH("Congo DR",S5409)),"Democratic Republic of the Congo",
ISNUMBER(SEARCH("DR Congo",S5409)),"Democratic Republic of the Congo",
ISNUMBER(SEARCH("German DR",S5409)),"DR Germany",
ISNUMBER(SEARCH("rn""&gt;United Arab Emirates",S5409)),"United Arab Emirates",
ISNUMBER(SEARCH("rn""&gt;Republic of Ireland",S5409)),"Ireland",
ISNUMBER(SEARCH("rn""&gt;Bosnia and Herzegovina",S5409)),"Bosnia and Herzegovina",
ISNUMBER(SEARCH("rn""&gt;Trinidad and Tobago",S5409)),"Trinidad and Tobago",
ISNUMBER(SEARCH("rn""&gt;Serbia and Montenegro",S5409)),"Serbia and Montenegro",
ISNUMBER(SEARCH(_xlfn.UNICHAR(65533),S5409)),"Côte d'Ivoire",
TRUE,"-"
)</f>
        <v>-</v>
      </c>
      <c r="W5409" s="42" t="str">
        <f t="shared" si="327"/>
        <v>-</v>
      </c>
    </row>
    <row r="5410" spans="19:23">
      <c r="S5410" s="42" t="str">
        <v/>
      </c>
      <c r="T5410" s="42" t="str">
        <f t="shared" si="325"/>
        <v>-</v>
      </c>
      <c r="U5410" s="40" t="str">
        <f t="shared" si="326"/>
        <v>-</v>
      </c>
      <c r="V5410" s="42" t="str" cm="1">
        <f t="array" ref="V5410">_xlfn.IFS(
LEFT(S5410,16)="win on penalties",IF(VALUE(MID(S5410,19,1))&gt;VALUE(MID(S5410,23,1)),DATA_CLEANED!AK924,DATA_CLEANED!AN924),
ISNUMBER(SEARCH("USA",S5410)),"United States",
ISNUMBER(SEARCH("Republic of Ireland",S5410)),"Ireland",
ISNUMBER(SEARCH("Republic of Korea",S5410)),"South Korea",
ISNUMBER(SEARCH("Cape Verde",S5410)),"Cabo Verde",
ISNUMBER(SEARCH("Czechia",S5410)),"Czech Republic",
ISNUMBER(SEARCH("Türkiye",S5410)),"Turkey",
ISNUMBER(SEARCH("Ivory Coast",S5410)),"Côte d'Ivoire",
ISNUMBER(SEARCH("Korea Republic",S5410)),"South Korea",
ISNUMBER(SEARCH("Germany FR",S5410)),"FR Germany",
ISNUMBER(SEARCH("West Germany",S5410)),"FR Germany",
ISNUMBER(SEARCH("Germany DR",S5410)),"DR Germany",
ISNUMBER(SEARCH("Korea DPR",S5410)),"North Korea",
ISNUMBER(SEARCH("China PR",S5410)),"China",
ISNUMBER(SEARCH("IR Iran",S5410)),"Iran",
ISNUMBER(SEARCH("Congo DR",S5410)),"Democratic Republic of the Congo",
ISNUMBER(SEARCH("DR Congo",S5410)),"Democratic Republic of the Congo",
ISNUMBER(SEARCH("German DR",S5410)),"DR Germany",
ISNUMBER(SEARCH("rn""&gt;United Arab Emirates",S5410)),"United Arab Emirates",
ISNUMBER(SEARCH("rn""&gt;Republic of Ireland",S5410)),"Ireland",
ISNUMBER(SEARCH("rn""&gt;Bosnia and Herzegovina",S5410)),"Bosnia and Herzegovina",
ISNUMBER(SEARCH("rn""&gt;Trinidad and Tobago",S5410)),"Trinidad and Tobago",
ISNUMBER(SEARCH("rn""&gt;Serbia and Montenegro",S5410)),"Serbia and Montenegro",
ISNUMBER(SEARCH(_xlfn.UNICHAR(65533),S5410)),"Côte d'Ivoire",
TRUE,"-"
)</f>
        <v>-</v>
      </c>
      <c r="W5410" s="42" t="str">
        <f t="shared" si="327"/>
        <v>-</v>
      </c>
    </row>
    <row r="5411" spans="19:23">
      <c r="S5411" s="42" t="str">
        <v/>
      </c>
      <c r="T5411" s="42" t="str">
        <f t="shared" si="325"/>
        <v>-</v>
      </c>
      <c r="U5411" s="40" t="str">
        <f t="shared" si="326"/>
        <v>-</v>
      </c>
      <c r="V5411" s="42" t="str" cm="1">
        <f t="array" ref="V5411">_xlfn.IFS(
LEFT(S5411,16)="win on penalties",IF(VALUE(MID(S5411,19,1))&gt;VALUE(MID(S5411,23,1)),DATA_CLEANED!AK925,DATA_CLEANED!AN925),
ISNUMBER(SEARCH("USA",S5411)),"United States",
ISNUMBER(SEARCH("Republic of Ireland",S5411)),"Ireland",
ISNUMBER(SEARCH("Republic of Korea",S5411)),"South Korea",
ISNUMBER(SEARCH("Cape Verde",S5411)),"Cabo Verde",
ISNUMBER(SEARCH("Czechia",S5411)),"Czech Republic",
ISNUMBER(SEARCH("Türkiye",S5411)),"Turkey",
ISNUMBER(SEARCH("Ivory Coast",S5411)),"Côte d'Ivoire",
ISNUMBER(SEARCH("Korea Republic",S5411)),"South Korea",
ISNUMBER(SEARCH("Germany FR",S5411)),"FR Germany",
ISNUMBER(SEARCH("West Germany",S5411)),"FR Germany",
ISNUMBER(SEARCH("Germany DR",S5411)),"DR Germany",
ISNUMBER(SEARCH("Korea DPR",S5411)),"North Korea",
ISNUMBER(SEARCH("China PR",S5411)),"China",
ISNUMBER(SEARCH("IR Iran",S5411)),"Iran",
ISNUMBER(SEARCH("Congo DR",S5411)),"Democratic Republic of the Congo",
ISNUMBER(SEARCH("DR Congo",S5411)),"Democratic Republic of the Congo",
ISNUMBER(SEARCH("German DR",S5411)),"DR Germany",
ISNUMBER(SEARCH("rn""&gt;United Arab Emirates",S5411)),"United Arab Emirates",
ISNUMBER(SEARCH("rn""&gt;Republic of Ireland",S5411)),"Ireland",
ISNUMBER(SEARCH("rn""&gt;Bosnia and Herzegovina",S5411)),"Bosnia and Herzegovina",
ISNUMBER(SEARCH("rn""&gt;Trinidad and Tobago",S5411)),"Trinidad and Tobago",
ISNUMBER(SEARCH("rn""&gt;Serbia and Montenegro",S5411)),"Serbia and Montenegro",
ISNUMBER(SEARCH(_xlfn.UNICHAR(65533),S5411)),"Côte d'Ivoire",
TRUE,"-"
)</f>
        <v>-</v>
      </c>
      <c r="W5411" s="42" t="str">
        <f t="shared" si="327"/>
        <v>-</v>
      </c>
    </row>
    <row r="5412" spans="19:23">
      <c r="S5412" s="42" t="str">
        <v/>
      </c>
      <c r="T5412" s="42" t="str">
        <f t="shared" si="325"/>
        <v>-</v>
      </c>
      <c r="U5412" s="40" t="str">
        <f t="shared" si="326"/>
        <v>-</v>
      </c>
      <c r="V5412" s="42" t="str" cm="1">
        <f t="array" ref="V5412">_xlfn.IFS(
LEFT(S5412,16)="win on penalties",IF(VALUE(MID(S5412,19,1))&gt;VALUE(MID(S5412,23,1)),DATA_CLEANED!AK926,DATA_CLEANED!AN926),
ISNUMBER(SEARCH("USA",S5412)),"United States",
ISNUMBER(SEARCH("Republic of Ireland",S5412)),"Ireland",
ISNUMBER(SEARCH("Republic of Korea",S5412)),"South Korea",
ISNUMBER(SEARCH("Cape Verde",S5412)),"Cabo Verde",
ISNUMBER(SEARCH("Czechia",S5412)),"Czech Republic",
ISNUMBER(SEARCH("Türkiye",S5412)),"Turkey",
ISNUMBER(SEARCH("Ivory Coast",S5412)),"Côte d'Ivoire",
ISNUMBER(SEARCH("Korea Republic",S5412)),"South Korea",
ISNUMBER(SEARCH("Germany FR",S5412)),"FR Germany",
ISNUMBER(SEARCH("West Germany",S5412)),"FR Germany",
ISNUMBER(SEARCH("Germany DR",S5412)),"DR Germany",
ISNUMBER(SEARCH("Korea DPR",S5412)),"North Korea",
ISNUMBER(SEARCH("China PR",S5412)),"China",
ISNUMBER(SEARCH("IR Iran",S5412)),"Iran",
ISNUMBER(SEARCH("Congo DR",S5412)),"Democratic Republic of the Congo",
ISNUMBER(SEARCH("DR Congo",S5412)),"Democratic Republic of the Congo",
ISNUMBER(SEARCH("German DR",S5412)),"DR Germany",
ISNUMBER(SEARCH("rn""&gt;United Arab Emirates",S5412)),"United Arab Emirates",
ISNUMBER(SEARCH("rn""&gt;Republic of Ireland",S5412)),"Ireland",
ISNUMBER(SEARCH("rn""&gt;Bosnia and Herzegovina",S5412)),"Bosnia and Herzegovina",
ISNUMBER(SEARCH("rn""&gt;Trinidad and Tobago",S5412)),"Trinidad and Tobago",
ISNUMBER(SEARCH("rn""&gt;Serbia and Montenegro",S5412)),"Serbia and Montenegro",
ISNUMBER(SEARCH(_xlfn.UNICHAR(65533),S5412)),"Côte d'Ivoire",
TRUE,"-"
)</f>
        <v>-</v>
      </c>
      <c r="W5412" s="42" t="str">
        <f t="shared" si="327"/>
        <v>-</v>
      </c>
    </row>
    <row r="5413" spans="19:23">
      <c r="S5413" s="42" t="str">
        <v/>
      </c>
      <c r="T5413" s="42" t="str">
        <f t="shared" si="325"/>
        <v>-</v>
      </c>
      <c r="U5413" s="40" t="str">
        <f t="shared" si="326"/>
        <v>-</v>
      </c>
      <c r="V5413" s="42" t="str" cm="1">
        <f t="array" ref="V5413">_xlfn.IFS(
LEFT(S5413,16)="win on penalties",IF(VALUE(MID(S5413,19,1))&gt;VALUE(MID(S5413,23,1)),DATA_CLEANED!AK927,DATA_CLEANED!AN927),
ISNUMBER(SEARCH("USA",S5413)),"United States",
ISNUMBER(SEARCH("Republic of Ireland",S5413)),"Ireland",
ISNUMBER(SEARCH("Republic of Korea",S5413)),"South Korea",
ISNUMBER(SEARCH("Cape Verde",S5413)),"Cabo Verde",
ISNUMBER(SEARCH("Czechia",S5413)),"Czech Republic",
ISNUMBER(SEARCH("Türkiye",S5413)),"Turkey",
ISNUMBER(SEARCH("Ivory Coast",S5413)),"Côte d'Ivoire",
ISNUMBER(SEARCH("Korea Republic",S5413)),"South Korea",
ISNUMBER(SEARCH("Germany FR",S5413)),"FR Germany",
ISNUMBER(SEARCH("West Germany",S5413)),"FR Germany",
ISNUMBER(SEARCH("Germany DR",S5413)),"DR Germany",
ISNUMBER(SEARCH("Korea DPR",S5413)),"North Korea",
ISNUMBER(SEARCH("China PR",S5413)),"China",
ISNUMBER(SEARCH("IR Iran",S5413)),"Iran",
ISNUMBER(SEARCH("Congo DR",S5413)),"Democratic Republic of the Congo",
ISNUMBER(SEARCH("DR Congo",S5413)),"Democratic Republic of the Congo",
ISNUMBER(SEARCH("German DR",S5413)),"DR Germany",
ISNUMBER(SEARCH("rn""&gt;United Arab Emirates",S5413)),"United Arab Emirates",
ISNUMBER(SEARCH("rn""&gt;Republic of Ireland",S5413)),"Ireland",
ISNUMBER(SEARCH("rn""&gt;Bosnia and Herzegovina",S5413)),"Bosnia and Herzegovina",
ISNUMBER(SEARCH("rn""&gt;Trinidad and Tobago",S5413)),"Trinidad and Tobago",
ISNUMBER(SEARCH("rn""&gt;Serbia and Montenegro",S5413)),"Serbia and Montenegro",
ISNUMBER(SEARCH(_xlfn.UNICHAR(65533),S5413)),"Côte d'Ivoire",
TRUE,"-"
)</f>
        <v>-</v>
      </c>
      <c r="W5413" s="42" t="str">
        <f t="shared" si="327"/>
        <v>-</v>
      </c>
    </row>
    <row r="5414" spans="19:23">
      <c r="S5414" s="42" t="str">
        <v/>
      </c>
      <c r="T5414" s="42" t="str">
        <f t="shared" si="325"/>
        <v>-</v>
      </c>
      <c r="U5414" s="40" t="str">
        <f t="shared" si="326"/>
        <v>-</v>
      </c>
      <c r="V5414" s="42" t="str" cm="1">
        <f t="array" ref="V5414">_xlfn.IFS(
LEFT(S5414,16)="win on penalties",IF(VALUE(MID(S5414,19,1))&gt;VALUE(MID(S5414,23,1)),DATA_CLEANED!AK928,DATA_CLEANED!AN928),
ISNUMBER(SEARCH("USA",S5414)),"United States",
ISNUMBER(SEARCH("Republic of Ireland",S5414)),"Ireland",
ISNUMBER(SEARCH("Republic of Korea",S5414)),"South Korea",
ISNUMBER(SEARCH("Cape Verde",S5414)),"Cabo Verde",
ISNUMBER(SEARCH("Czechia",S5414)),"Czech Republic",
ISNUMBER(SEARCH("Türkiye",S5414)),"Turkey",
ISNUMBER(SEARCH("Ivory Coast",S5414)),"Côte d'Ivoire",
ISNUMBER(SEARCH("Korea Republic",S5414)),"South Korea",
ISNUMBER(SEARCH("Germany FR",S5414)),"FR Germany",
ISNUMBER(SEARCH("West Germany",S5414)),"FR Germany",
ISNUMBER(SEARCH("Germany DR",S5414)),"DR Germany",
ISNUMBER(SEARCH("Korea DPR",S5414)),"North Korea",
ISNUMBER(SEARCH("China PR",S5414)),"China",
ISNUMBER(SEARCH("IR Iran",S5414)),"Iran",
ISNUMBER(SEARCH("Congo DR",S5414)),"Democratic Republic of the Congo",
ISNUMBER(SEARCH("DR Congo",S5414)),"Democratic Republic of the Congo",
ISNUMBER(SEARCH("German DR",S5414)),"DR Germany",
ISNUMBER(SEARCH("rn""&gt;United Arab Emirates",S5414)),"United Arab Emirates",
ISNUMBER(SEARCH("rn""&gt;Republic of Ireland",S5414)),"Ireland",
ISNUMBER(SEARCH("rn""&gt;Bosnia and Herzegovina",S5414)),"Bosnia and Herzegovina",
ISNUMBER(SEARCH("rn""&gt;Trinidad and Tobago",S5414)),"Trinidad and Tobago",
ISNUMBER(SEARCH("rn""&gt;Serbia and Montenegro",S5414)),"Serbia and Montenegro",
ISNUMBER(SEARCH(_xlfn.UNICHAR(65533),S5414)),"Côte d'Ivoire",
TRUE,"-"
)</f>
        <v>-</v>
      </c>
      <c r="W5414" s="42" t="str">
        <f t="shared" si="327"/>
        <v>-</v>
      </c>
    </row>
    <row r="5415" spans="19:23">
      <c r="S5415" s="42" t="str">
        <v/>
      </c>
      <c r="T5415" s="42" t="str">
        <f t="shared" si="325"/>
        <v>-</v>
      </c>
      <c r="U5415" s="40" t="str">
        <f t="shared" si="326"/>
        <v>-</v>
      </c>
      <c r="V5415" s="42" t="str" cm="1">
        <f t="array" ref="V5415">_xlfn.IFS(
LEFT(S5415,16)="win on penalties",IF(VALUE(MID(S5415,19,1))&gt;VALUE(MID(S5415,23,1)),DATA_CLEANED!AK929,DATA_CLEANED!AN929),
ISNUMBER(SEARCH("USA",S5415)),"United States",
ISNUMBER(SEARCH("Republic of Ireland",S5415)),"Ireland",
ISNUMBER(SEARCH("Republic of Korea",S5415)),"South Korea",
ISNUMBER(SEARCH("Cape Verde",S5415)),"Cabo Verde",
ISNUMBER(SEARCH("Czechia",S5415)),"Czech Republic",
ISNUMBER(SEARCH("Türkiye",S5415)),"Turkey",
ISNUMBER(SEARCH("Ivory Coast",S5415)),"Côte d'Ivoire",
ISNUMBER(SEARCH("Korea Republic",S5415)),"South Korea",
ISNUMBER(SEARCH("Germany FR",S5415)),"FR Germany",
ISNUMBER(SEARCH("West Germany",S5415)),"FR Germany",
ISNUMBER(SEARCH("Germany DR",S5415)),"DR Germany",
ISNUMBER(SEARCH("Korea DPR",S5415)),"North Korea",
ISNUMBER(SEARCH("China PR",S5415)),"China",
ISNUMBER(SEARCH("IR Iran",S5415)),"Iran",
ISNUMBER(SEARCH("Congo DR",S5415)),"Democratic Republic of the Congo",
ISNUMBER(SEARCH("DR Congo",S5415)),"Democratic Republic of the Congo",
ISNUMBER(SEARCH("German DR",S5415)),"DR Germany",
ISNUMBER(SEARCH("rn""&gt;United Arab Emirates",S5415)),"United Arab Emirates",
ISNUMBER(SEARCH("rn""&gt;Republic of Ireland",S5415)),"Ireland",
ISNUMBER(SEARCH("rn""&gt;Bosnia and Herzegovina",S5415)),"Bosnia and Herzegovina",
ISNUMBER(SEARCH("rn""&gt;Trinidad and Tobago",S5415)),"Trinidad and Tobago",
ISNUMBER(SEARCH("rn""&gt;Serbia and Montenegro",S5415)),"Serbia and Montenegro",
ISNUMBER(SEARCH(_xlfn.UNICHAR(65533),S5415)),"Côte d'Ivoire",
TRUE,"-"
)</f>
        <v>-</v>
      </c>
      <c r="W5415" s="42" t="str">
        <f t="shared" si="327"/>
        <v>-</v>
      </c>
    </row>
    <row r="5416" spans="19:23">
      <c r="S5416" s="42" t="str">
        <v/>
      </c>
      <c r="T5416" s="42" t="str">
        <f t="shared" si="325"/>
        <v>-</v>
      </c>
      <c r="U5416" s="40" t="str">
        <f t="shared" si="326"/>
        <v>-</v>
      </c>
      <c r="V5416" s="42" t="str" cm="1">
        <f t="array" ref="V5416">_xlfn.IFS(
LEFT(S5416,16)="win on penalties",IF(VALUE(MID(S5416,19,1))&gt;VALUE(MID(S5416,23,1)),DATA_CLEANED!AK930,DATA_CLEANED!AN930),
ISNUMBER(SEARCH("USA",S5416)),"United States",
ISNUMBER(SEARCH("Republic of Ireland",S5416)),"Ireland",
ISNUMBER(SEARCH("Republic of Korea",S5416)),"South Korea",
ISNUMBER(SEARCH("Cape Verde",S5416)),"Cabo Verde",
ISNUMBER(SEARCH("Czechia",S5416)),"Czech Republic",
ISNUMBER(SEARCH("Türkiye",S5416)),"Turkey",
ISNUMBER(SEARCH("Ivory Coast",S5416)),"Côte d'Ivoire",
ISNUMBER(SEARCH("Korea Republic",S5416)),"South Korea",
ISNUMBER(SEARCH("Germany FR",S5416)),"FR Germany",
ISNUMBER(SEARCH("West Germany",S5416)),"FR Germany",
ISNUMBER(SEARCH("Germany DR",S5416)),"DR Germany",
ISNUMBER(SEARCH("Korea DPR",S5416)),"North Korea",
ISNUMBER(SEARCH("China PR",S5416)),"China",
ISNUMBER(SEARCH("IR Iran",S5416)),"Iran",
ISNUMBER(SEARCH("Congo DR",S5416)),"Democratic Republic of the Congo",
ISNUMBER(SEARCH("DR Congo",S5416)),"Democratic Republic of the Congo",
ISNUMBER(SEARCH("German DR",S5416)),"DR Germany",
ISNUMBER(SEARCH("rn""&gt;United Arab Emirates",S5416)),"United Arab Emirates",
ISNUMBER(SEARCH("rn""&gt;Republic of Ireland",S5416)),"Ireland",
ISNUMBER(SEARCH("rn""&gt;Bosnia and Herzegovina",S5416)),"Bosnia and Herzegovina",
ISNUMBER(SEARCH("rn""&gt;Trinidad and Tobago",S5416)),"Trinidad and Tobago",
ISNUMBER(SEARCH("rn""&gt;Serbia and Montenegro",S5416)),"Serbia and Montenegro",
ISNUMBER(SEARCH(_xlfn.UNICHAR(65533),S5416)),"Côte d'Ivoire",
TRUE,"-"
)</f>
        <v>-</v>
      </c>
      <c r="W5416" s="42" t="str">
        <f t="shared" si="327"/>
        <v>-</v>
      </c>
    </row>
    <row r="5417" spans="19:23">
      <c r="S5417" s="42" t="str">
        <v/>
      </c>
      <c r="T5417" s="42" t="str">
        <f t="shared" si="325"/>
        <v>-</v>
      </c>
      <c r="U5417" s="40" t="str">
        <f t="shared" si="326"/>
        <v>-</v>
      </c>
      <c r="V5417" s="42" t="str" cm="1">
        <f t="array" ref="V5417">_xlfn.IFS(
LEFT(S5417,16)="win on penalties",IF(VALUE(MID(S5417,19,1))&gt;VALUE(MID(S5417,23,1)),DATA_CLEANED!AK931,DATA_CLEANED!AN931),
ISNUMBER(SEARCH("USA",S5417)),"United States",
ISNUMBER(SEARCH("Republic of Ireland",S5417)),"Ireland",
ISNUMBER(SEARCH("Republic of Korea",S5417)),"South Korea",
ISNUMBER(SEARCH("Cape Verde",S5417)),"Cabo Verde",
ISNUMBER(SEARCH("Czechia",S5417)),"Czech Republic",
ISNUMBER(SEARCH("Türkiye",S5417)),"Turkey",
ISNUMBER(SEARCH("Ivory Coast",S5417)),"Côte d'Ivoire",
ISNUMBER(SEARCH("Korea Republic",S5417)),"South Korea",
ISNUMBER(SEARCH("Germany FR",S5417)),"FR Germany",
ISNUMBER(SEARCH("West Germany",S5417)),"FR Germany",
ISNUMBER(SEARCH("Germany DR",S5417)),"DR Germany",
ISNUMBER(SEARCH("Korea DPR",S5417)),"North Korea",
ISNUMBER(SEARCH("China PR",S5417)),"China",
ISNUMBER(SEARCH("IR Iran",S5417)),"Iran",
ISNUMBER(SEARCH("Congo DR",S5417)),"Democratic Republic of the Congo",
ISNUMBER(SEARCH("DR Congo",S5417)),"Democratic Republic of the Congo",
ISNUMBER(SEARCH("German DR",S5417)),"DR Germany",
ISNUMBER(SEARCH("rn""&gt;United Arab Emirates",S5417)),"United Arab Emirates",
ISNUMBER(SEARCH("rn""&gt;Republic of Ireland",S5417)),"Ireland",
ISNUMBER(SEARCH("rn""&gt;Bosnia and Herzegovina",S5417)),"Bosnia and Herzegovina",
ISNUMBER(SEARCH("rn""&gt;Trinidad and Tobago",S5417)),"Trinidad and Tobago",
ISNUMBER(SEARCH("rn""&gt;Serbia and Montenegro",S5417)),"Serbia and Montenegro",
ISNUMBER(SEARCH(_xlfn.UNICHAR(65533),S5417)),"Côte d'Ivoire",
TRUE,"-"
)</f>
        <v>-</v>
      </c>
      <c r="W5417" s="42" t="str">
        <f t="shared" si="327"/>
        <v>-</v>
      </c>
    </row>
    <row r="5418" spans="19:23">
      <c r="S5418" s="42" t="str">
        <v/>
      </c>
      <c r="T5418" s="42" t="str">
        <f t="shared" si="325"/>
        <v>-</v>
      </c>
      <c r="U5418" s="40" t="str">
        <f t="shared" si="326"/>
        <v>-</v>
      </c>
      <c r="V5418" s="42" t="str" cm="1">
        <f t="array" ref="V5418">_xlfn.IFS(
LEFT(S5418,16)="win on penalties",IF(VALUE(MID(S5418,19,1))&gt;VALUE(MID(S5418,23,1)),DATA_CLEANED!AK932,DATA_CLEANED!AN932),
ISNUMBER(SEARCH("USA",S5418)),"United States",
ISNUMBER(SEARCH("Republic of Ireland",S5418)),"Ireland",
ISNUMBER(SEARCH("Republic of Korea",S5418)),"South Korea",
ISNUMBER(SEARCH("Cape Verde",S5418)),"Cabo Verde",
ISNUMBER(SEARCH("Czechia",S5418)),"Czech Republic",
ISNUMBER(SEARCH("Türkiye",S5418)),"Turkey",
ISNUMBER(SEARCH("Ivory Coast",S5418)),"Côte d'Ivoire",
ISNUMBER(SEARCH("Korea Republic",S5418)),"South Korea",
ISNUMBER(SEARCH("Germany FR",S5418)),"FR Germany",
ISNUMBER(SEARCH("West Germany",S5418)),"FR Germany",
ISNUMBER(SEARCH("Germany DR",S5418)),"DR Germany",
ISNUMBER(SEARCH("Korea DPR",S5418)),"North Korea",
ISNUMBER(SEARCH("China PR",S5418)),"China",
ISNUMBER(SEARCH("IR Iran",S5418)),"Iran",
ISNUMBER(SEARCH("Congo DR",S5418)),"Democratic Republic of the Congo",
ISNUMBER(SEARCH("DR Congo",S5418)),"Democratic Republic of the Congo",
ISNUMBER(SEARCH("German DR",S5418)),"DR Germany",
ISNUMBER(SEARCH("rn""&gt;United Arab Emirates",S5418)),"United Arab Emirates",
ISNUMBER(SEARCH("rn""&gt;Republic of Ireland",S5418)),"Ireland",
ISNUMBER(SEARCH("rn""&gt;Bosnia and Herzegovina",S5418)),"Bosnia and Herzegovina",
ISNUMBER(SEARCH("rn""&gt;Trinidad and Tobago",S5418)),"Trinidad and Tobago",
ISNUMBER(SEARCH("rn""&gt;Serbia and Montenegro",S5418)),"Serbia and Montenegro",
ISNUMBER(SEARCH(_xlfn.UNICHAR(65533),S5418)),"Côte d'Ivoire",
TRUE,"-"
)</f>
        <v>-</v>
      </c>
      <c r="W5418" s="42" t="str">
        <f t="shared" si="327"/>
        <v>-</v>
      </c>
    </row>
    <row r="5419" spans="19:23">
      <c r="S5419" s="42" t="str">
        <v/>
      </c>
      <c r="T5419" s="42" t="str">
        <f t="shared" si="325"/>
        <v>-</v>
      </c>
      <c r="U5419" s="40" t="str">
        <f t="shared" si="326"/>
        <v>-</v>
      </c>
      <c r="V5419" s="42" t="str" cm="1">
        <f t="array" ref="V5419">_xlfn.IFS(
LEFT(S5419,16)="win on penalties",IF(VALUE(MID(S5419,19,1))&gt;VALUE(MID(S5419,23,1)),DATA_CLEANED!AK933,DATA_CLEANED!AN933),
ISNUMBER(SEARCH("USA",S5419)),"United States",
ISNUMBER(SEARCH("Republic of Ireland",S5419)),"Ireland",
ISNUMBER(SEARCH("Republic of Korea",S5419)),"South Korea",
ISNUMBER(SEARCH("Cape Verde",S5419)),"Cabo Verde",
ISNUMBER(SEARCH("Czechia",S5419)),"Czech Republic",
ISNUMBER(SEARCH("Türkiye",S5419)),"Turkey",
ISNUMBER(SEARCH("Ivory Coast",S5419)),"Côte d'Ivoire",
ISNUMBER(SEARCH("Korea Republic",S5419)),"South Korea",
ISNUMBER(SEARCH("Germany FR",S5419)),"FR Germany",
ISNUMBER(SEARCH("West Germany",S5419)),"FR Germany",
ISNUMBER(SEARCH("Germany DR",S5419)),"DR Germany",
ISNUMBER(SEARCH("Korea DPR",S5419)),"North Korea",
ISNUMBER(SEARCH("China PR",S5419)),"China",
ISNUMBER(SEARCH("IR Iran",S5419)),"Iran",
ISNUMBER(SEARCH("Congo DR",S5419)),"Democratic Republic of the Congo",
ISNUMBER(SEARCH("DR Congo",S5419)),"Democratic Republic of the Congo",
ISNUMBER(SEARCH("German DR",S5419)),"DR Germany",
ISNUMBER(SEARCH("rn""&gt;United Arab Emirates",S5419)),"United Arab Emirates",
ISNUMBER(SEARCH("rn""&gt;Republic of Ireland",S5419)),"Ireland",
ISNUMBER(SEARCH("rn""&gt;Bosnia and Herzegovina",S5419)),"Bosnia and Herzegovina",
ISNUMBER(SEARCH("rn""&gt;Trinidad and Tobago",S5419)),"Trinidad and Tobago",
ISNUMBER(SEARCH("rn""&gt;Serbia and Montenegro",S5419)),"Serbia and Montenegro",
ISNUMBER(SEARCH(_xlfn.UNICHAR(65533),S5419)),"Côte d'Ivoire",
TRUE,"-"
)</f>
        <v>-</v>
      </c>
      <c r="W5419" s="42" t="str">
        <f t="shared" si="327"/>
        <v>-</v>
      </c>
    </row>
    <row r="5420" spans="19:23">
      <c r="S5420" s="42" t="str">
        <v/>
      </c>
      <c r="T5420" s="42" t="str">
        <f t="shared" si="325"/>
        <v>-</v>
      </c>
      <c r="U5420" s="40" t="str">
        <f t="shared" si="326"/>
        <v>-</v>
      </c>
      <c r="V5420" s="42" t="str" cm="1">
        <f t="array" ref="V5420">_xlfn.IFS(
LEFT(S5420,16)="win on penalties",IF(VALUE(MID(S5420,19,1))&gt;VALUE(MID(S5420,23,1)),DATA_CLEANED!AK934,DATA_CLEANED!AN934),
ISNUMBER(SEARCH("USA",S5420)),"United States",
ISNUMBER(SEARCH("Republic of Ireland",S5420)),"Ireland",
ISNUMBER(SEARCH("Republic of Korea",S5420)),"South Korea",
ISNUMBER(SEARCH("Cape Verde",S5420)),"Cabo Verde",
ISNUMBER(SEARCH("Czechia",S5420)),"Czech Republic",
ISNUMBER(SEARCH("Türkiye",S5420)),"Turkey",
ISNUMBER(SEARCH("Ivory Coast",S5420)),"Côte d'Ivoire",
ISNUMBER(SEARCH("Korea Republic",S5420)),"South Korea",
ISNUMBER(SEARCH("Germany FR",S5420)),"FR Germany",
ISNUMBER(SEARCH("West Germany",S5420)),"FR Germany",
ISNUMBER(SEARCH("Germany DR",S5420)),"DR Germany",
ISNUMBER(SEARCH("Korea DPR",S5420)),"North Korea",
ISNUMBER(SEARCH("China PR",S5420)),"China",
ISNUMBER(SEARCH("IR Iran",S5420)),"Iran",
ISNUMBER(SEARCH("Congo DR",S5420)),"Democratic Republic of the Congo",
ISNUMBER(SEARCH("DR Congo",S5420)),"Democratic Republic of the Congo",
ISNUMBER(SEARCH("German DR",S5420)),"DR Germany",
ISNUMBER(SEARCH("rn""&gt;United Arab Emirates",S5420)),"United Arab Emirates",
ISNUMBER(SEARCH("rn""&gt;Republic of Ireland",S5420)),"Ireland",
ISNUMBER(SEARCH("rn""&gt;Bosnia and Herzegovina",S5420)),"Bosnia and Herzegovina",
ISNUMBER(SEARCH("rn""&gt;Trinidad and Tobago",S5420)),"Trinidad and Tobago",
ISNUMBER(SEARCH("rn""&gt;Serbia and Montenegro",S5420)),"Serbia and Montenegro",
ISNUMBER(SEARCH(_xlfn.UNICHAR(65533),S5420)),"Côte d'Ivoire",
TRUE,"-"
)</f>
        <v>-</v>
      </c>
      <c r="W5420" s="42" t="str">
        <f t="shared" si="327"/>
        <v>-</v>
      </c>
    </row>
    <row r="5421" spans="19:23">
      <c r="S5421" s="42" t="str">
        <v/>
      </c>
      <c r="T5421" s="42" t="str">
        <f t="shared" si="325"/>
        <v>-</v>
      </c>
      <c r="U5421" s="40" t="str">
        <f t="shared" si="326"/>
        <v>-</v>
      </c>
      <c r="V5421" s="42" t="str" cm="1">
        <f t="array" ref="V5421">_xlfn.IFS(
LEFT(S5421,16)="win on penalties",IF(VALUE(MID(S5421,19,1))&gt;VALUE(MID(S5421,23,1)),DATA_CLEANED!AK935,DATA_CLEANED!AN935),
ISNUMBER(SEARCH("USA",S5421)),"United States",
ISNUMBER(SEARCH("Republic of Ireland",S5421)),"Ireland",
ISNUMBER(SEARCH("Republic of Korea",S5421)),"South Korea",
ISNUMBER(SEARCH("Cape Verde",S5421)),"Cabo Verde",
ISNUMBER(SEARCH("Czechia",S5421)),"Czech Republic",
ISNUMBER(SEARCH("Türkiye",S5421)),"Turkey",
ISNUMBER(SEARCH("Ivory Coast",S5421)),"Côte d'Ivoire",
ISNUMBER(SEARCH("Korea Republic",S5421)),"South Korea",
ISNUMBER(SEARCH("Germany FR",S5421)),"FR Germany",
ISNUMBER(SEARCH("West Germany",S5421)),"FR Germany",
ISNUMBER(SEARCH("Germany DR",S5421)),"DR Germany",
ISNUMBER(SEARCH("Korea DPR",S5421)),"North Korea",
ISNUMBER(SEARCH("China PR",S5421)),"China",
ISNUMBER(SEARCH("IR Iran",S5421)),"Iran",
ISNUMBER(SEARCH("Congo DR",S5421)),"Democratic Republic of the Congo",
ISNUMBER(SEARCH("DR Congo",S5421)),"Democratic Republic of the Congo",
ISNUMBER(SEARCH("German DR",S5421)),"DR Germany",
ISNUMBER(SEARCH("rn""&gt;United Arab Emirates",S5421)),"United Arab Emirates",
ISNUMBER(SEARCH("rn""&gt;Republic of Ireland",S5421)),"Ireland",
ISNUMBER(SEARCH("rn""&gt;Bosnia and Herzegovina",S5421)),"Bosnia and Herzegovina",
ISNUMBER(SEARCH("rn""&gt;Trinidad and Tobago",S5421)),"Trinidad and Tobago",
ISNUMBER(SEARCH("rn""&gt;Serbia and Montenegro",S5421)),"Serbia and Montenegro",
ISNUMBER(SEARCH(_xlfn.UNICHAR(65533),S5421)),"Côte d'Ivoire",
TRUE,"-"
)</f>
        <v>-</v>
      </c>
      <c r="W5421" s="42" t="str">
        <f t="shared" si="327"/>
        <v>-</v>
      </c>
    </row>
    <row r="5422" spans="19:23">
      <c r="S5422" s="42" t="str">
        <v/>
      </c>
      <c r="T5422" s="42" t="str">
        <f t="shared" si="325"/>
        <v>-</v>
      </c>
      <c r="U5422" s="40" t="str">
        <f t="shared" si="326"/>
        <v>-</v>
      </c>
      <c r="V5422" s="42" t="str" cm="1">
        <f t="array" ref="V5422">_xlfn.IFS(
LEFT(S5422,16)="win on penalties",IF(VALUE(MID(S5422,19,1))&gt;VALUE(MID(S5422,23,1)),DATA_CLEANED!AK936,DATA_CLEANED!AN936),
ISNUMBER(SEARCH("USA",S5422)),"United States",
ISNUMBER(SEARCH("Republic of Ireland",S5422)),"Ireland",
ISNUMBER(SEARCH("Republic of Korea",S5422)),"South Korea",
ISNUMBER(SEARCH("Cape Verde",S5422)),"Cabo Verde",
ISNUMBER(SEARCH("Czechia",S5422)),"Czech Republic",
ISNUMBER(SEARCH("Türkiye",S5422)),"Turkey",
ISNUMBER(SEARCH("Ivory Coast",S5422)),"Côte d'Ivoire",
ISNUMBER(SEARCH("Korea Republic",S5422)),"South Korea",
ISNUMBER(SEARCH("Germany FR",S5422)),"FR Germany",
ISNUMBER(SEARCH("West Germany",S5422)),"FR Germany",
ISNUMBER(SEARCH("Germany DR",S5422)),"DR Germany",
ISNUMBER(SEARCH("Korea DPR",S5422)),"North Korea",
ISNUMBER(SEARCH("China PR",S5422)),"China",
ISNUMBER(SEARCH("IR Iran",S5422)),"Iran",
ISNUMBER(SEARCH("Congo DR",S5422)),"Democratic Republic of the Congo",
ISNUMBER(SEARCH("DR Congo",S5422)),"Democratic Republic of the Congo",
ISNUMBER(SEARCH("German DR",S5422)),"DR Germany",
ISNUMBER(SEARCH("rn""&gt;United Arab Emirates",S5422)),"United Arab Emirates",
ISNUMBER(SEARCH("rn""&gt;Republic of Ireland",S5422)),"Ireland",
ISNUMBER(SEARCH("rn""&gt;Bosnia and Herzegovina",S5422)),"Bosnia and Herzegovina",
ISNUMBER(SEARCH("rn""&gt;Trinidad and Tobago",S5422)),"Trinidad and Tobago",
ISNUMBER(SEARCH("rn""&gt;Serbia and Montenegro",S5422)),"Serbia and Montenegro",
ISNUMBER(SEARCH(_xlfn.UNICHAR(65533),S5422)),"Côte d'Ivoire",
TRUE,"-"
)</f>
        <v>-</v>
      </c>
      <c r="W5422" s="42" t="str">
        <f t="shared" si="327"/>
        <v>-</v>
      </c>
    </row>
    <row r="5423" spans="19:23">
      <c r="S5423" s="42" t="str">
        <v/>
      </c>
      <c r="T5423" s="42" t="str">
        <f t="shared" si="325"/>
        <v>-</v>
      </c>
      <c r="U5423" s="40" t="str">
        <f t="shared" si="326"/>
        <v>-</v>
      </c>
      <c r="V5423" s="42" t="str" cm="1">
        <f t="array" ref="V5423">_xlfn.IFS(
LEFT(S5423,16)="win on penalties",IF(VALUE(MID(S5423,19,1))&gt;VALUE(MID(S5423,23,1)),DATA_CLEANED!AK937,DATA_CLEANED!AN937),
ISNUMBER(SEARCH("USA",S5423)),"United States",
ISNUMBER(SEARCH("Republic of Ireland",S5423)),"Ireland",
ISNUMBER(SEARCH("Republic of Korea",S5423)),"South Korea",
ISNUMBER(SEARCH("Cape Verde",S5423)),"Cabo Verde",
ISNUMBER(SEARCH("Czechia",S5423)),"Czech Republic",
ISNUMBER(SEARCH("Türkiye",S5423)),"Turkey",
ISNUMBER(SEARCH("Ivory Coast",S5423)),"Côte d'Ivoire",
ISNUMBER(SEARCH("Korea Republic",S5423)),"South Korea",
ISNUMBER(SEARCH("Germany FR",S5423)),"FR Germany",
ISNUMBER(SEARCH("West Germany",S5423)),"FR Germany",
ISNUMBER(SEARCH("Germany DR",S5423)),"DR Germany",
ISNUMBER(SEARCH("Korea DPR",S5423)),"North Korea",
ISNUMBER(SEARCH("China PR",S5423)),"China",
ISNUMBER(SEARCH("IR Iran",S5423)),"Iran",
ISNUMBER(SEARCH("Congo DR",S5423)),"Democratic Republic of the Congo",
ISNUMBER(SEARCH("DR Congo",S5423)),"Democratic Republic of the Congo",
ISNUMBER(SEARCH("German DR",S5423)),"DR Germany",
ISNUMBER(SEARCH("rn""&gt;United Arab Emirates",S5423)),"United Arab Emirates",
ISNUMBER(SEARCH("rn""&gt;Republic of Ireland",S5423)),"Ireland",
ISNUMBER(SEARCH("rn""&gt;Bosnia and Herzegovina",S5423)),"Bosnia and Herzegovina",
ISNUMBER(SEARCH("rn""&gt;Trinidad and Tobago",S5423)),"Trinidad and Tobago",
ISNUMBER(SEARCH("rn""&gt;Serbia and Montenegro",S5423)),"Serbia and Montenegro",
ISNUMBER(SEARCH(_xlfn.UNICHAR(65533),S5423)),"Côte d'Ivoire",
TRUE,"-"
)</f>
        <v>-</v>
      </c>
      <c r="W5423" s="42" t="str">
        <f t="shared" si="327"/>
        <v>-</v>
      </c>
    </row>
    <row r="5424" spans="19:23">
      <c r="S5424" s="42" t="str">
        <v/>
      </c>
      <c r="T5424" s="42" t="str">
        <f t="shared" si="325"/>
        <v>-</v>
      </c>
      <c r="U5424" s="40" t="str">
        <f t="shared" si="326"/>
        <v>-</v>
      </c>
      <c r="V5424" s="42" t="str" cm="1">
        <f t="array" ref="V5424">_xlfn.IFS(
LEFT(S5424,16)="win on penalties",IF(VALUE(MID(S5424,19,1))&gt;VALUE(MID(S5424,23,1)),DATA_CLEANED!AK938,DATA_CLEANED!AN938),
ISNUMBER(SEARCH("USA",S5424)),"United States",
ISNUMBER(SEARCH("Republic of Ireland",S5424)),"Ireland",
ISNUMBER(SEARCH("Republic of Korea",S5424)),"South Korea",
ISNUMBER(SEARCH("Cape Verde",S5424)),"Cabo Verde",
ISNUMBER(SEARCH("Czechia",S5424)),"Czech Republic",
ISNUMBER(SEARCH("Türkiye",S5424)),"Turkey",
ISNUMBER(SEARCH("Ivory Coast",S5424)),"Côte d'Ivoire",
ISNUMBER(SEARCH("Korea Republic",S5424)),"South Korea",
ISNUMBER(SEARCH("Germany FR",S5424)),"FR Germany",
ISNUMBER(SEARCH("West Germany",S5424)),"FR Germany",
ISNUMBER(SEARCH("Germany DR",S5424)),"DR Germany",
ISNUMBER(SEARCH("Korea DPR",S5424)),"North Korea",
ISNUMBER(SEARCH("China PR",S5424)),"China",
ISNUMBER(SEARCH("IR Iran",S5424)),"Iran",
ISNUMBER(SEARCH("Congo DR",S5424)),"Democratic Republic of the Congo",
ISNUMBER(SEARCH("DR Congo",S5424)),"Democratic Republic of the Congo",
ISNUMBER(SEARCH("German DR",S5424)),"DR Germany",
ISNUMBER(SEARCH("rn""&gt;United Arab Emirates",S5424)),"United Arab Emirates",
ISNUMBER(SEARCH("rn""&gt;Republic of Ireland",S5424)),"Ireland",
ISNUMBER(SEARCH("rn""&gt;Bosnia and Herzegovina",S5424)),"Bosnia and Herzegovina",
ISNUMBER(SEARCH("rn""&gt;Trinidad and Tobago",S5424)),"Trinidad and Tobago",
ISNUMBER(SEARCH("rn""&gt;Serbia and Montenegro",S5424)),"Serbia and Montenegro",
ISNUMBER(SEARCH(_xlfn.UNICHAR(65533),S5424)),"Côte d'Ivoire",
TRUE,"-"
)</f>
        <v>-</v>
      </c>
      <c r="W5424" s="42" t="str">
        <f t="shared" si="327"/>
        <v>-</v>
      </c>
    </row>
    <row r="5425" spans="19:23">
      <c r="S5425" s="42" t="str">
        <v/>
      </c>
      <c r="T5425" s="42" t="str">
        <f t="shared" si="325"/>
        <v>-</v>
      </c>
      <c r="U5425" s="40" t="str">
        <f t="shared" si="326"/>
        <v>-</v>
      </c>
      <c r="V5425" s="42" t="str" cm="1">
        <f t="array" ref="V5425">_xlfn.IFS(
LEFT(S5425,16)="win on penalties",IF(VALUE(MID(S5425,19,1))&gt;VALUE(MID(S5425,23,1)),DATA_CLEANED!AK939,DATA_CLEANED!AN939),
ISNUMBER(SEARCH("USA",S5425)),"United States",
ISNUMBER(SEARCH("Republic of Ireland",S5425)),"Ireland",
ISNUMBER(SEARCH("Republic of Korea",S5425)),"South Korea",
ISNUMBER(SEARCH("Cape Verde",S5425)),"Cabo Verde",
ISNUMBER(SEARCH("Czechia",S5425)),"Czech Republic",
ISNUMBER(SEARCH("Türkiye",S5425)),"Turkey",
ISNUMBER(SEARCH("Ivory Coast",S5425)),"Côte d'Ivoire",
ISNUMBER(SEARCH("Korea Republic",S5425)),"South Korea",
ISNUMBER(SEARCH("Germany FR",S5425)),"FR Germany",
ISNUMBER(SEARCH("West Germany",S5425)),"FR Germany",
ISNUMBER(SEARCH("Germany DR",S5425)),"DR Germany",
ISNUMBER(SEARCH("Korea DPR",S5425)),"North Korea",
ISNUMBER(SEARCH("China PR",S5425)),"China",
ISNUMBER(SEARCH("IR Iran",S5425)),"Iran",
ISNUMBER(SEARCH("Congo DR",S5425)),"Democratic Republic of the Congo",
ISNUMBER(SEARCH("DR Congo",S5425)),"Democratic Republic of the Congo",
ISNUMBER(SEARCH("German DR",S5425)),"DR Germany",
ISNUMBER(SEARCH("rn""&gt;United Arab Emirates",S5425)),"United Arab Emirates",
ISNUMBER(SEARCH("rn""&gt;Republic of Ireland",S5425)),"Ireland",
ISNUMBER(SEARCH("rn""&gt;Bosnia and Herzegovina",S5425)),"Bosnia and Herzegovina",
ISNUMBER(SEARCH("rn""&gt;Trinidad and Tobago",S5425)),"Trinidad and Tobago",
ISNUMBER(SEARCH("rn""&gt;Serbia and Montenegro",S5425)),"Serbia and Montenegro",
ISNUMBER(SEARCH(_xlfn.UNICHAR(65533),S5425)),"Côte d'Ivoire",
TRUE,"-"
)</f>
        <v>-</v>
      </c>
      <c r="W5425" s="42" t="str">
        <f t="shared" si="327"/>
        <v>-</v>
      </c>
    </row>
    <row r="5426" spans="19:23">
      <c r="S5426" s="42" t="str">
        <v/>
      </c>
      <c r="T5426" s="42" t="str">
        <f t="shared" si="325"/>
        <v>-</v>
      </c>
      <c r="U5426" s="40" t="str">
        <f t="shared" si="326"/>
        <v>-</v>
      </c>
      <c r="V5426" s="42" t="str" cm="1">
        <f t="array" ref="V5426">_xlfn.IFS(
LEFT(S5426,16)="win on penalties",IF(VALUE(MID(S5426,19,1))&gt;VALUE(MID(S5426,23,1)),DATA_CLEANED!AK940,DATA_CLEANED!AN940),
ISNUMBER(SEARCH("USA",S5426)),"United States",
ISNUMBER(SEARCH("Republic of Ireland",S5426)),"Ireland",
ISNUMBER(SEARCH("Republic of Korea",S5426)),"South Korea",
ISNUMBER(SEARCH("Cape Verde",S5426)),"Cabo Verde",
ISNUMBER(SEARCH("Czechia",S5426)),"Czech Republic",
ISNUMBER(SEARCH("Türkiye",S5426)),"Turkey",
ISNUMBER(SEARCH("Ivory Coast",S5426)),"Côte d'Ivoire",
ISNUMBER(SEARCH("Korea Republic",S5426)),"South Korea",
ISNUMBER(SEARCH("Germany FR",S5426)),"FR Germany",
ISNUMBER(SEARCH("West Germany",S5426)),"FR Germany",
ISNUMBER(SEARCH("Germany DR",S5426)),"DR Germany",
ISNUMBER(SEARCH("Korea DPR",S5426)),"North Korea",
ISNUMBER(SEARCH("China PR",S5426)),"China",
ISNUMBER(SEARCH("IR Iran",S5426)),"Iran",
ISNUMBER(SEARCH("Congo DR",S5426)),"Democratic Republic of the Congo",
ISNUMBER(SEARCH("DR Congo",S5426)),"Democratic Republic of the Congo",
ISNUMBER(SEARCH("German DR",S5426)),"DR Germany",
ISNUMBER(SEARCH("rn""&gt;United Arab Emirates",S5426)),"United Arab Emirates",
ISNUMBER(SEARCH("rn""&gt;Republic of Ireland",S5426)),"Ireland",
ISNUMBER(SEARCH("rn""&gt;Bosnia and Herzegovina",S5426)),"Bosnia and Herzegovina",
ISNUMBER(SEARCH("rn""&gt;Trinidad and Tobago",S5426)),"Trinidad and Tobago",
ISNUMBER(SEARCH("rn""&gt;Serbia and Montenegro",S5426)),"Serbia and Montenegro",
ISNUMBER(SEARCH(_xlfn.UNICHAR(65533),S5426)),"Côte d'Ivoire",
TRUE,"-"
)</f>
        <v>-</v>
      </c>
      <c r="W5426" s="42" t="str">
        <f t="shared" si="327"/>
        <v>-</v>
      </c>
    </row>
    <row r="5427" spans="19:23">
      <c r="S5427" s="42" t="str">
        <v/>
      </c>
      <c r="T5427" s="42" t="str">
        <f t="shared" si="325"/>
        <v>-</v>
      </c>
      <c r="U5427" s="40" t="str">
        <f t="shared" si="326"/>
        <v>-</v>
      </c>
      <c r="V5427" s="42" t="str" cm="1">
        <f t="array" ref="V5427">_xlfn.IFS(
LEFT(S5427,16)="win on penalties",IF(VALUE(MID(S5427,19,1))&gt;VALUE(MID(S5427,23,1)),DATA_CLEANED!AK941,DATA_CLEANED!AN941),
ISNUMBER(SEARCH("USA",S5427)),"United States",
ISNUMBER(SEARCH("Republic of Ireland",S5427)),"Ireland",
ISNUMBER(SEARCH("Republic of Korea",S5427)),"South Korea",
ISNUMBER(SEARCH("Cape Verde",S5427)),"Cabo Verde",
ISNUMBER(SEARCH("Czechia",S5427)),"Czech Republic",
ISNUMBER(SEARCH("Türkiye",S5427)),"Turkey",
ISNUMBER(SEARCH("Ivory Coast",S5427)),"Côte d'Ivoire",
ISNUMBER(SEARCH("Korea Republic",S5427)),"South Korea",
ISNUMBER(SEARCH("Germany FR",S5427)),"FR Germany",
ISNUMBER(SEARCH("West Germany",S5427)),"FR Germany",
ISNUMBER(SEARCH("Germany DR",S5427)),"DR Germany",
ISNUMBER(SEARCH("Korea DPR",S5427)),"North Korea",
ISNUMBER(SEARCH("China PR",S5427)),"China",
ISNUMBER(SEARCH("IR Iran",S5427)),"Iran",
ISNUMBER(SEARCH("Congo DR",S5427)),"Democratic Republic of the Congo",
ISNUMBER(SEARCH("DR Congo",S5427)),"Democratic Republic of the Congo",
ISNUMBER(SEARCH("German DR",S5427)),"DR Germany",
ISNUMBER(SEARCH("rn""&gt;United Arab Emirates",S5427)),"United Arab Emirates",
ISNUMBER(SEARCH("rn""&gt;Republic of Ireland",S5427)),"Ireland",
ISNUMBER(SEARCH("rn""&gt;Bosnia and Herzegovina",S5427)),"Bosnia and Herzegovina",
ISNUMBER(SEARCH("rn""&gt;Trinidad and Tobago",S5427)),"Trinidad and Tobago",
ISNUMBER(SEARCH("rn""&gt;Serbia and Montenegro",S5427)),"Serbia and Montenegro",
ISNUMBER(SEARCH(_xlfn.UNICHAR(65533),S5427)),"Côte d'Ivoire",
TRUE,"-"
)</f>
        <v>-</v>
      </c>
      <c r="W5427" s="42" t="str">
        <f t="shared" si="327"/>
        <v>-</v>
      </c>
    </row>
    <row r="5428" spans="19:23">
      <c r="S5428" s="42" t="str">
        <v/>
      </c>
      <c r="T5428" s="42" t="str">
        <f t="shared" si="325"/>
        <v>-</v>
      </c>
      <c r="U5428" s="40" t="str">
        <f t="shared" si="326"/>
        <v>-</v>
      </c>
      <c r="V5428" s="42" t="str" cm="1">
        <f t="array" ref="V5428">_xlfn.IFS(
LEFT(S5428,16)="win on penalties",IF(VALUE(MID(S5428,19,1))&gt;VALUE(MID(S5428,23,1)),DATA_CLEANED!AK942,DATA_CLEANED!AN942),
ISNUMBER(SEARCH("USA",S5428)),"United States",
ISNUMBER(SEARCH("Republic of Ireland",S5428)),"Ireland",
ISNUMBER(SEARCH("Republic of Korea",S5428)),"South Korea",
ISNUMBER(SEARCH("Cape Verde",S5428)),"Cabo Verde",
ISNUMBER(SEARCH("Czechia",S5428)),"Czech Republic",
ISNUMBER(SEARCH("Türkiye",S5428)),"Turkey",
ISNUMBER(SEARCH("Ivory Coast",S5428)),"Côte d'Ivoire",
ISNUMBER(SEARCH("Korea Republic",S5428)),"South Korea",
ISNUMBER(SEARCH("Germany FR",S5428)),"FR Germany",
ISNUMBER(SEARCH("West Germany",S5428)),"FR Germany",
ISNUMBER(SEARCH("Germany DR",S5428)),"DR Germany",
ISNUMBER(SEARCH("Korea DPR",S5428)),"North Korea",
ISNUMBER(SEARCH("China PR",S5428)),"China",
ISNUMBER(SEARCH("IR Iran",S5428)),"Iran",
ISNUMBER(SEARCH("Congo DR",S5428)),"Democratic Republic of the Congo",
ISNUMBER(SEARCH("DR Congo",S5428)),"Democratic Republic of the Congo",
ISNUMBER(SEARCH("German DR",S5428)),"DR Germany",
ISNUMBER(SEARCH("rn""&gt;United Arab Emirates",S5428)),"United Arab Emirates",
ISNUMBER(SEARCH("rn""&gt;Republic of Ireland",S5428)),"Ireland",
ISNUMBER(SEARCH("rn""&gt;Bosnia and Herzegovina",S5428)),"Bosnia and Herzegovina",
ISNUMBER(SEARCH("rn""&gt;Trinidad and Tobago",S5428)),"Trinidad and Tobago",
ISNUMBER(SEARCH("rn""&gt;Serbia and Montenegro",S5428)),"Serbia and Montenegro",
ISNUMBER(SEARCH(_xlfn.UNICHAR(65533),S5428)),"Côte d'Ivoire",
TRUE,"-"
)</f>
        <v>-</v>
      </c>
      <c r="W5428" s="42" t="str">
        <f t="shared" si="327"/>
        <v>-</v>
      </c>
    </row>
    <row r="5429" spans="19:23">
      <c r="S5429" s="42" t="str">
        <v/>
      </c>
      <c r="T5429" s="42" t="str">
        <f t="shared" si="325"/>
        <v>-</v>
      </c>
      <c r="U5429" s="40" t="str">
        <f t="shared" si="326"/>
        <v>-</v>
      </c>
      <c r="V5429" s="42" t="str" cm="1">
        <f t="array" ref="V5429">_xlfn.IFS(
LEFT(S5429,16)="win on penalties",IF(VALUE(MID(S5429,19,1))&gt;VALUE(MID(S5429,23,1)),DATA_CLEANED!AK943,DATA_CLEANED!AN943),
ISNUMBER(SEARCH("USA",S5429)),"United States",
ISNUMBER(SEARCH("Republic of Ireland",S5429)),"Ireland",
ISNUMBER(SEARCH("Republic of Korea",S5429)),"South Korea",
ISNUMBER(SEARCH("Cape Verde",S5429)),"Cabo Verde",
ISNUMBER(SEARCH("Czechia",S5429)),"Czech Republic",
ISNUMBER(SEARCH("Türkiye",S5429)),"Turkey",
ISNUMBER(SEARCH("Ivory Coast",S5429)),"Côte d'Ivoire",
ISNUMBER(SEARCH("Korea Republic",S5429)),"South Korea",
ISNUMBER(SEARCH("Germany FR",S5429)),"FR Germany",
ISNUMBER(SEARCH("West Germany",S5429)),"FR Germany",
ISNUMBER(SEARCH("Germany DR",S5429)),"DR Germany",
ISNUMBER(SEARCH("Korea DPR",S5429)),"North Korea",
ISNUMBER(SEARCH("China PR",S5429)),"China",
ISNUMBER(SEARCH("IR Iran",S5429)),"Iran",
ISNUMBER(SEARCH("Congo DR",S5429)),"Democratic Republic of the Congo",
ISNUMBER(SEARCH("DR Congo",S5429)),"Democratic Republic of the Congo",
ISNUMBER(SEARCH("German DR",S5429)),"DR Germany",
ISNUMBER(SEARCH("rn""&gt;United Arab Emirates",S5429)),"United Arab Emirates",
ISNUMBER(SEARCH("rn""&gt;Republic of Ireland",S5429)),"Ireland",
ISNUMBER(SEARCH("rn""&gt;Bosnia and Herzegovina",S5429)),"Bosnia and Herzegovina",
ISNUMBER(SEARCH("rn""&gt;Trinidad and Tobago",S5429)),"Trinidad and Tobago",
ISNUMBER(SEARCH("rn""&gt;Serbia and Montenegro",S5429)),"Serbia and Montenegro",
ISNUMBER(SEARCH(_xlfn.UNICHAR(65533),S5429)),"Côte d'Ivoire",
TRUE,"-"
)</f>
        <v>-</v>
      </c>
      <c r="W5429" s="42" t="str">
        <f t="shared" si="327"/>
        <v>-</v>
      </c>
    </row>
    <row r="5430" spans="19:23">
      <c r="S5430" s="42" t="str">
        <v/>
      </c>
      <c r="T5430" s="42" t="str">
        <f t="shared" si="325"/>
        <v>-</v>
      </c>
      <c r="U5430" s="40" t="str">
        <f t="shared" si="326"/>
        <v>-</v>
      </c>
      <c r="V5430" s="42" t="str" cm="1">
        <f t="array" ref="V5430">_xlfn.IFS(
LEFT(S5430,16)="win on penalties",IF(VALUE(MID(S5430,19,1))&gt;VALUE(MID(S5430,23,1)),DATA_CLEANED!AK944,DATA_CLEANED!AN944),
ISNUMBER(SEARCH("USA",S5430)),"United States",
ISNUMBER(SEARCH("Republic of Ireland",S5430)),"Ireland",
ISNUMBER(SEARCH("Republic of Korea",S5430)),"South Korea",
ISNUMBER(SEARCH("Cape Verde",S5430)),"Cabo Verde",
ISNUMBER(SEARCH("Czechia",S5430)),"Czech Republic",
ISNUMBER(SEARCH("Türkiye",S5430)),"Turkey",
ISNUMBER(SEARCH("Ivory Coast",S5430)),"Côte d'Ivoire",
ISNUMBER(SEARCH("Korea Republic",S5430)),"South Korea",
ISNUMBER(SEARCH("Germany FR",S5430)),"FR Germany",
ISNUMBER(SEARCH("West Germany",S5430)),"FR Germany",
ISNUMBER(SEARCH("Germany DR",S5430)),"DR Germany",
ISNUMBER(SEARCH("Korea DPR",S5430)),"North Korea",
ISNUMBER(SEARCH("China PR",S5430)),"China",
ISNUMBER(SEARCH("IR Iran",S5430)),"Iran",
ISNUMBER(SEARCH("Congo DR",S5430)),"Democratic Republic of the Congo",
ISNUMBER(SEARCH("DR Congo",S5430)),"Democratic Republic of the Congo",
ISNUMBER(SEARCH("German DR",S5430)),"DR Germany",
ISNUMBER(SEARCH("rn""&gt;United Arab Emirates",S5430)),"United Arab Emirates",
ISNUMBER(SEARCH("rn""&gt;Republic of Ireland",S5430)),"Ireland",
ISNUMBER(SEARCH("rn""&gt;Bosnia and Herzegovina",S5430)),"Bosnia and Herzegovina",
ISNUMBER(SEARCH("rn""&gt;Trinidad and Tobago",S5430)),"Trinidad and Tobago",
ISNUMBER(SEARCH("rn""&gt;Serbia and Montenegro",S5430)),"Serbia and Montenegro",
ISNUMBER(SEARCH(_xlfn.UNICHAR(65533),S5430)),"Côte d'Ivoire",
TRUE,"-"
)</f>
        <v>-</v>
      </c>
      <c r="W5430" s="42" t="str">
        <f t="shared" si="327"/>
        <v>-</v>
      </c>
    </row>
    <row r="5431" spans="19:23">
      <c r="S5431" s="42" t="str">
        <v/>
      </c>
      <c r="T5431" s="42" t="str">
        <f t="shared" si="325"/>
        <v>-</v>
      </c>
      <c r="U5431" s="40" t="str">
        <f t="shared" si="326"/>
        <v>-</v>
      </c>
      <c r="V5431" s="42" t="str" cm="1">
        <f t="array" ref="V5431">_xlfn.IFS(
LEFT(S5431,16)="win on penalties",IF(VALUE(MID(S5431,19,1))&gt;VALUE(MID(S5431,23,1)),DATA_CLEANED!AK945,DATA_CLEANED!AN945),
ISNUMBER(SEARCH("USA",S5431)),"United States",
ISNUMBER(SEARCH("Republic of Ireland",S5431)),"Ireland",
ISNUMBER(SEARCH("Republic of Korea",S5431)),"South Korea",
ISNUMBER(SEARCH("Cape Verde",S5431)),"Cabo Verde",
ISNUMBER(SEARCH("Czechia",S5431)),"Czech Republic",
ISNUMBER(SEARCH("Türkiye",S5431)),"Turkey",
ISNUMBER(SEARCH("Ivory Coast",S5431)),"Côte d'Ivoire",
ISNUMBER(SEARCH("Korea Republic",S5431)),"South Korea",
ISNUMBER(SEARCH("Germany FR",S5431)),"FR Germany",
ISNUMBER(SEARCH("West Germany",S5431)),"FR Germany",
ISNUMBER(SEARCH("Germany DR",S5431)),"DR Germany",
ISNUMBER(SEARCH("Korea DPR",S5431)),"North Korea",
ISNUMBER(SEARCH("China PR",S5431)),"China",
ISNUMBER(SEARCH("IR Iran",S5431)),"Iran",
ISNUMBER(SEARCH("Congo DR",S5431)),"Democratic Republic of the Congo",
ISNUMBER(SEARCH("DR Congo",S5431)),"Democratic Republic of the Congo",
ISNUMBER(SEARCH("German DR",S5431)),"DR Germany",
ISNUMBER(SEARCH("rn""&gt;United Arab Emirates",S5431)),"United Arab Emirates",
ISNUMBER(SEARCH("rn""&gt;Republic of Ireland",S5431)),"Ireland",
ISNUMBER(SEARCH("rn""&gt;Bosnia and Herzegovina",S5431)),"Bosnia and Herzegovina",
ISNUMBER(SEARCH("rn""&gt;Trinidad and Tobago",S5431)),"Trinidad and Tobago",
ISNUMBER(SEARCH("rn""&gt;Serbia and Montenegro",S5431)),"Serbia and Montenegro",
ISNUMBER(SEARCH(_xlfn.UNICHAR(65533),S5431)),"Côte d'Ivoire",
TRUE,"-"
)</f>
        <v>-</v>
      </c>
      <c r="W5431" s="42" t="str">
        <f t="shared" si="327"/>
        <v>-</v>
      </c>
    </row>
    <row r="5432" spans="19:23">
      <c r="S5432" s="42" t="str">
        <v/>
      </c>
      <c r="T5432" s="42" t="str">
        <f t="shared" si="325"/>
        <v>-</v>
      </c>
      <c r="U5432" s="40" t="str">
        <f t="shared" si="326"/>
        <v>-</v>
      </c>
      <c r="V5432" s="42" t="str" cm="1">
        <f t="array" ref="V5432">_xlfn.IFS(
LEFT(S5432,16)="win on penalties",IF(VALUE(MID(S5432,19,1))&gt;VALUE(MID(S5432,23,1)),DATA_CLEANED!AK946,DATA_CLEANED!AN946),
ISNUMBER(SEARCH("USA",S5432)),"United States",
ISNUMBER(SEARCH("Republic of Ireland",S5432)),"Ireland",
ISNUMBER(SEARCH("Republic of Korea",S5432)),"South Korea",
ISNUMBER(SEARCH("Cape Verde",S5432)),"Cabo Verde",
ISNUMBER(SEARCH("Czechia",S5432)),"Czech Republic",
ISNUMBER(SEARCH("Türkiye",S5432)),"Turkey",
ISNUMBER(SEARCH("Ivory Coast",S5432)),"Côte d'Ivoire",
ISNUMBER(SEARCH("Korea Republic",S5432)),"South Korea",
ISNUMBER(SEARCH("Germany FR",S5432)),"FR Germany",
ISNUMBER(SEARCH("West Germany",S5432)),"FR Germany",
ISNUMBER(SEARCH("Germany DR",S5432)),"DR Germany",
ISNUMBER(SEARCH("Korea DPR",S5432)),"North Korea",
ISNUMBER(SEARCH("China PR",S5432)),"China",
ISNUMBER(SEARCH("IR Iran",S5432)),"Iran",
ISNUMBER(SEARCH("Congo DR",S5432)),"Democratic Republic of the Congo",
ISNUMBER(SEARCH("DR Congo",S5432)),"Democratic Republic of the Congo",
ISNUMBER(SEARCH("German DR",S5432)),"DR Germany",
ISNUMBER(SEARCH("rn""&gt;United Arab Emirates",S5432)),"United Arab Emirates",
ISNUMBER(SEARCH("rn""&gt;Republic of Ireland",S5432)),"Ireland",
ISNUMBER(SEARCH("rn""&gt;Bosnia and Herzegovina",S5432)),"Bosnia and Herzegovina",
ISNUMBER(SEARCH("rn""&gt;Trinidad and Tobago",S5432)),"Trinidad and Tobago",
ISNUMBER(SEARCH("rn""&gt;Serbia and Montenegro",S5432)),"Serbia and Montenegro",
ISNUMBER(SEARCH(_xlfn.UNICHAR(65533),S5432)),"Côte d'Ivoire",
TRUE,"-"
)</f>
        <v>-</v>
      </c>
      <c r="W5432" s="42" t="str">
        <f t="shared" si="327"/>
        <v>-</v>
      </c>
    </row>
    <row r="5433" spans="19:23">
      <c r="S5433" s="42" t="str">
        <v/>
      </c>
      <c r="T5433" s="42" t="str">
        <f t="shared" si="325"/>
        <v>-</v>
      </c>
      <c r="U5433" s="40" t="str">
        <f t="shared" si="326"/>
        <v>-</v>
      </c>
      <c r="V5433" s="42" t="str" cm="1">
        <f t="array" ref="V5433">_xlfn.IFS(
LEFT(S5433,16)="win on penalties",IF(VALUE(MID(S5433,19,1))&gt;VALUE(MID(S5433,23,1)),DATA_CLEANED!AK947,DATA_CLEANED!AN947),
ISNUMBER(SEARCH("USA",S5433)),"United States",
ISNUMBER(SEARCH("Republic of Ireland",S5433)),"Ireland",
ISNUMBER(SEARCH("Republic of Korea",S5433)),"South Korea",
ISNUMBER(SEARCH("Cape Verde",S5433)),"Cabo Verde",
ISNUMBER(SEARCH("Czechia",S5433)),"Czech Republic",
ISNUMBER(SEARCH("Türkiye",S5433)),"Turkey",
ISNUMBER(SEARCH("Ivory Coast",S5433)),"Côte d'Ivoire",
ISNUMBER(SEARCH("Korea Republic",S5433)),"South Korea",
ISNUMBER(SEARCH("Germany FR",S5433)),"FR Germany",
ISNUMBER(SEARCH("West Germany",S5433)),"FR Germany",
ISNUMBER(SEARCH("Germany DR",S5433)),"DR Germany",
ISNUMBER(SEARCH("Korea DPR",S5433)),"North Korea",
ISNUMBER(SEARCH("China PR",S5433)),"China",
ISNUMBER(SEARCH("IR Iran",S5433)),"Iran",
ISNUMBER(SEARCH("Congo DR",S5433)),"Democratic Republic of the Congo",
ISNUMBER(SEARCH("DR Congo",S5433)),"Democratic Republic of the Congo",
ISNUMBER(SEARCH("German DR",S5433)),"DR Germany",
ISNUMBER(SEARCH("rn""&gt;United Arab Emirates",S5433)),"United Arab Emirates",
ISNUMBER(SEARCH("rn""&gt;Republic of Ireland",S5433)),"Ireland",
ISNUMBER(SEARCH("rn""&gt;Bosnia and Herzegovina",S5433)),"Bosnia and Herzegovina",
ISNUMBER(SEARCH("rn""&gt;Trinidad and Tobago",S5433)),"Trinidad and Tobago",
ISNUMBER(SEARCH("rn""&gt;Serbia and Montenegro",S5433)),"Serbia and Montenegro",
ISNUMBER(SEARCH(_xlfn.UNICHAR(65533),S5433)),"Côte d'Ivoire",
TRUE,"-"
)</f>
        <v>-</v>
      </c>
      <c r="W5433" s="42" t="str">
        <f t="shared" si="327"/>
        <v>-</v>
      </c>
    </row>
    <row r="5434" spans="19:23">
      <c r="S5434" s="42" t="str">
        <v/>
      </c>
      <c r="T5434" s="42" t="str">
        <f t="shared" si="325"/>
        <v>-</v>
      </c>
      <c r="U5434" s="40" t="str">
        <f t="shared" si="326"/>
        <v>-</v>
      </c>
      <c r="V5434" s="42" t="str" cm="1">
        <f t="array" ref="V5434">_xlfn.IFS(
LEFT(S5434,16)="win on penalties",IF(VALUE(MID(S5434,19,1))&gt;VALUE(MID(S5434,23,1)),DATA_CLEANED!AK948,DATA_CLEANED!AN948),
ISNUMBER(SEARCH("USA",S5434)),"United States",
ISNUMBER(SEARCH("Republic of Ireland",S5434)),"Ireland",
ISNUMBER(SEARCH("Republic of Korea",S5434)),"South Korea",
ISNUMBER(SEARCH("Cape Verde",S5434)),"Cabo Verde",
ISNUMBER(SEARCH("Czechia",S5434)),"Czech Republic",
ISNUMBER(SEARCH("Türkiye",S5434)),"Turkey",
ISNUMBER(SEARCH("Ivory Coast",S5434)),"Côte d'Ivoire",
ISNUMBER(SEARCH("Korea Republic",S5434)),"South Korea",
ISNUMBER(SEARCH("Germany FR",S5434)),"FR Germany",
ISNUMBER(SEARCH("West Germany",S5434)),"FR Germany",
ISNUMBER(SEARCH("Germany DR",S5434)),"DR Germany",
ISNUMBER(SEARCH("Korea DPR",S5434)),"North Korea",
ISNUMBER(SEARCH("China PR",S5434)),"China",
ISNUMBER(SEARCH("IR Iran",S5434)),"Iran",
ISNUMBER(SEARCH("Congo DR",S5434)),"Democratic Republic of the Congo",
ISNUMBER(SEARCH("DR Congo",S5434)),"Democratic Republic of the Congo",
ISNUMBER(SEARCH("German DR",S5434)),"DR Germany",
ISNUMBER(SEARCH("rn""&gt;United Arab Emirates",S5434)),"United Arab Emirates",
ISNUMBER(SEARCH("rn""&gt;Republic of Ireland",S5434)),"Ireland",
ISNUMBER(SEARCH("rn""&gt;Bosnia and Herzegovina",S5434)),"Bosnia and Herzegovina",
ISNUMBER(SEARCH("rn""&gt;Trinidad and Tobago",S5434)),"Trinidad and Tobago",
ISNUMBER(SEARCH("rn""&gt;Serbia and Montenegro",S5434)),"Serbia and Montenegro",
ISNUMBER(SEARCH(_xlfn.UNICHAR(65533),S5434)),"Côte d'Ivoire",
TRUE,"-"
)</f>
        <v>-</v>
      </c>
      <c r="W5434" s="42" t="str">
        <f t="shared" si="327"/>
        <v>-</v>
      </c>
    </row>
    <row r="5435" spans="19:23">
      <c r="S5435" s="42" t="str">
        <v/>
      </c>
      <c r="T5435" s="42" t="str">
        <f t="shared" si="325"/>
        <v>-</v>
      </c>
      <c r="U5435" s="40" t="str">
        <f t="shared" si="326"/>
        <v>-</v>
      </c>
      <c r="V5435" s="42" t="str" cm="1">
        <f t="array" ref="V5435">_xlfn.IFS(
LEFT(S5435,16)="win on penalties",IF(VALUE(MID(S5435,19,1))&gt;VALUE(MID(S5435,23,1)),DATA_CLEANED!AK949,DATA_CLEANED!AN949),
ISNUMBER(SEARCH("USA",S5435)),"United States",
ISNUMBER(SEARCH("Republic of Ireland",S5435)),"Ireland",
ISNUMBER(SEARCH("Republic of Korea",S5435)),"South Korea",
ISNUMBER(SEARCH("Cape Verde",S5435)),"Cabo Verde",
ISNUMBER(SEARCH("Czechia",S5435)),"Czech Republic",
ISNUMBER(SEARCH("Türkiye",S5435)),"Turkey",
ISNUMBER(SEARCH("Ivory Coast",S5435)),"Côte d'Ivoire",
ISNUMBER(SEARCH("Korea Republic",S5435)),"South Korea",
ISNUMBER(SEARCH("Germany FR",S5435)),"FR Germany",
ISNUMBER(SEARCH("West Germany",S5435)),"FR Germany",
ISNUMBER(SEARCH("Germany DR",S5435)),"DR Germany",
ISNUMBER(SEARCH("Korea DPR",S5435)),"North Korea",
ISNUMBER(SEARCH("China PR",S5435)),"China",
ISNUMBER(SEARCH("IR Iran",S5435)),"Iran",
ISNUMBER(SEARCH("Congo DR",S5435)),"Democratic Republic of the Congo",
ISNUMBER(SEARCH("DR Congo",S5435)),"Democratic Republic of the Congo",
ISNUMBER(SEARCH("German DR",S5435)),"DR Germany",
ISNUMBER(SEARCH("rn""&gt;United Arab Emirates",S5435)),"United Arab Emirates",
ISNUMBER(SEARCH("rn""&gt;Republic of Ireland",S5435)),"Ireland",
ISNUMBER(SEARCH("rn""&gt;Bosnia and Herzegovina",S5435)),"Bosnia and Herzegovina",
ISNUMBER(SEARCH("rn""&gt;Trinidad and Tobago",S5435)),"Trinidad and Tobago",
ISNUMBER(SEARCH("rn""&gt;Serbia and Montenegro",S5435)),"Serbia and Montenegro",
ISNUMBER(SEARCH(_xlfn.UNICHAR(65533),S5435)),"Côte d'Ivoire",
TRUE,"-"
)</f>
        <v>-</v>
      </c>
      <c r="W5435" s="42" t="str">
        <f t="shared" si="327"/>
        <v>-</v>
      </c>
    </row>
    <row r="5436" spans="19:23">
      <c r="S5436" s="42" t="str">
        <v/>
      </c>
      <c r="T5436" s="42" t="str">
        <f t="shared" si="325"/>
        <v>-</v>
      </c>
      <c r="U5436" s="40" t="str">
        <f t="shared" si="326"/>
        <v>-</v>
      </c>
      <c r="V5436" s="42" t="str" cm="1">
        <f t="array" ref="V5436">_xlfn.IFS(
LEFT(S5436,16)="win on penalties",IF(VALUE(MID(S5436,19,1))&gt;VALUE(MID(S5436,23,1)),DATA_CLEANED!AK950,DATA_CLEANED!AN950),
ISNUMBER(SEARCH("USA",S5436)),"United States",
ISNUMBER(SEARCH("Republic of Ireland",S5436)),"Ireland",
ISNUMBER(SEARCH("Republic of Korea",S5436)),"South Korea",
ISNUMBER(SEARCH("Cape Verde",S5436)),"Cabo Verde",
ISNUMBER(SEARCH("Czechia",S5436)),"Czech Republic",
ISNUMBER(SEARCH("Türkiye",S5436)),"Turkey",
ISNUMBER(SEARCH("Ivory Coast",S5436)),"Côte d'Ivoire",
ISNUMBER(SEARCH("Korea Republic",S5436)),"South Korea",
ISNUMBER(SEARCH("Germany FR",S5436)),"FR Germany",
ISNUMBER(SEARCH("West Germany",S5436)),"FR Germany",
ISNUMBER(SEARCH("Germany DR",S5436)),"DR Germany",
ISNUMBER(SEARCH("Korea DPR",S5436)),"North Korea",
ISNUMBER(SEARCH("China PR",S5436)),"China",
ISNUMBER(SEARCH("IR Iran",S5436)),"Iran",
ISNUMBER(SEARCH("Congo DR",S5436)),"Democratic Republic of the Congo",
ISNUMBER(SEARCH("DR Congo",S5436)),"Democratic Republic of the Congo",
ISNUMBER(SEARCH("German DR",S5436)),"DR Germany",
ISNUMBER(SEARCH("rn""&gt;United Arab Emirates",S5436)),"United Arab Emirates",
ISNUMBER(SEARCH("rn""&gt;Republic of Ireland",S5436)),"Ireland",
ISNUMBER(SEARCH("rn""&gt;Bosnia and Herzegovina",S5436)),"Bosnia and Herzegovina",
ISNUMBER(SEARCH("rn""&gt;Trinidad and Tobago",S5436)),"Trinidad and Tobago",
ISNUMBER(SEARCH("rn""&gt;Serbia and Montenegro",S5436)),"Serbia and Montenegro",
ISNUMBER(SEARCH(_xlfn.UNICHAR(65533),S5436)),"Côte d'Ivoire",
TRUE,"-"
)</f>
        <v>-</v>
      </c>
      <c r="W5436" s="42" t="str">
        <f t="shared" si="327"/>
        <v>-</v>
      </c>
    </row>
    <row r="5437" spans="19:23">
      <c r="S5437" s="42" t="str">
        <v/>
      </c>
      <c r="T5437" s="42" t="str">
        <f t="shared" si="325"/>
        <v>-</v>
      </c>
      <c r="U5437" s="40" t="str">
        <f t="shared" si="326"/>
        <v>-</v>
      </c>
      <c r="V5437" s="42" t="str" cm="1">
        <f t="array" ref="V5437">_xlfn.IFS(
LEFT(S5437,16)="win on penalties",IF(VALUE(MID(S5437,19,1))&gt;VALUE(MID(S5437,23,1)),DATA_CLEANED!AK951,DATA_CLEANED!AN951),
ISNUMBER(SEARCH("USA",S5437)),"United States",
ISNUMBER(SEARCH("Republic of Ireland",S5437)),"Ireland",
ISNUMBER(SEARCH("Republic of Korea",S5437)),"South Korea",
ISNUMBER(SEARCH("Cape Verde",S5437)),"Cabo Verde",
ISNUMBER(SEARCH("Czechia",S5437)),"Czech Republic",
ISNUMBER(SEARCH("Türkiye",S5437)),"Turkey",
ISNUMBER(SEARCH("Ivory Coast",S5437)),"Côte d'Ivoire",
ISNUMBER(SEARCH("Korea Republic",S5437)),"South Korea",
ISNUMBER(SEARCH("Germany FR",S5437)),"FR Germany",
ISNUMBER(SEARCH("West Germany",S5437)),"FR Germany",
ISNUMBER(SEARCH("Germany DR",S5437)),"DR Germany",
ISNUMBER(SEARCH("Korea DPR",S5437)),"North Korea",
ISNUMBER(SEARCH("China PR",S5437)),"China",
ISNUMBER(SEARCH("IR Iran",S5437)),"Iran",
ISNUMBER(SEARCH("Congo DR",S5437)),"Democratic Republic of the Congo",
ISNUMBER(SEARCH("DR Congo",S5437)),"Democratic Republic of the Congo",
ISNUMBER(SEARCH("German DR",S5437)),"DR Germany",
ISNUMBER(SEARCH("rn""&gt;United Arab Emirates",S5437)),"United Arab Emirates",
ISNUMBER(SEARCH("rn""&gt;Republic of Ireland",S5437)),"Ireland",
ISNUMBER(SEARCH("rn""&gt;Bosnia and Herzegovina",S5437)),"Bosnia and Herzegovina",
ISNUMBER(SEARCH("rn""&gt;Trinidad and Tobago",S5437)),"Trinidad and Tobago",
ISNUMBER(SEARCH("rn""&gt;Serbia and Montenegro",S5437)),"Serbia and Montenegro",
ISNUMBER(SEARCH(_xlfn.UNICHAR(65533),S5437)),"Côte d'Ivoire",
TRUE,"-"
)</f>
        <v>-</v>
      </c>
      <c r="W5437" s="42" t="str">
        <f t="shared" si="327"/>
        <v>-</v>
      </c>
    </row>
    <row r="5438" spans="19:23">
      <c r="S5438" s="42" t="str">
        <v/>
      </c>
      <c r="T5438" s="42" t="str">
        <f t="shared" si="325"/>
        <v>-</v>
      </c>
      <c r="U5438" s="40" t="str">
        <f t="shared" si="326"/>
        <v>-</v>
      </c>
      <c r="V5438" s="42" t="str" cm="1">
        <f t="array" ref="V5438">_xlfn.IFS(
LEFT(S5438,16)="win on penalties",IF(VALUE(MID(S5438,19,1))&gt;VALUE(MID(S5438,23,1)),DATA_CLEANED!AK952,DATA_CLEANED!AN952),
ISNUMBER(SEARCH("USA",S5438)),"United States",
ISNUMBER(SEARCH("Republic of Ireland",S5438)),"Ireland",
ISNUMBER(SEARCH("Republic of Korea",S5438)),"South Korea",
ISNUMBER(SEARCH("Cape Verde",S5438)),"Cabo Verde",
ISNUMBER(SEARCH("Czechia",S5438)),"Czech Republic",
ISNUMBER(SEARCH("Türkiye",S5438)),"Turkey",
ISNUMBER(SEARCH("Ivory Coast",S5438)),"Côte d'Ivoire",
ISNUMBER(SEARCH("Korea Republic",S5438)),"South Korea",
ISNUMBER(SEARCH("Germany FR",S5438)),"FR Germany",
ISNUMBER(SEARCH("West Germany",S5438)),"FR Germany",
ISNUMBER(SEARCH("Germany DR",S5438)),"DR Germany",
ISNUMBER(SEARCH("Korea DPR",S5438)),"North Korea",
ISNUMBER(SEARCH("China PR",S5438)),"China",
ISNUMBER(SEARCH("IR Iran",S5438)),"Iran",
ISNUMBER(SEARCH("Congo DR",S5438)),"Democratic Republic of the Congo",
ISNUMBER(SEARCH("DR Congo",S5438)),"Democratic Republic of the Congo",
ISNUMBER(SEARCH("German DR",S5438)),"DR Germany",
ISNUMBER(SEARCH("rn""&gt;United Arab Emirates",S5438)),"United Arab Emirates",
ISNUMBER(SEARCH("rn""&gt;Republic of Ireland",S5438)),"Ireland",
ISNUMBER(SEARCH("rn""&gt;Bosnia and Herzegovina",S5438)),"Bosnia and Herzegovina",
ISNUMBER(SEARCH("rn""&gt;Trinidad and Tobago",S5438)),"Trinidad and Tobago",
ISNUMBER(SEARCH("rn""&gt;Serbia and Montenegro",S5438)),"Serbia and Montenegro",
ISNUMBER(SEARCH(_xlfn.UNICHAR(65533),S5438)),"Côte d'Ivoire",
TRUE,"-"
)</f>
        <v>-</v>
      </c>
      <c r="W5438" s="42" t="str">
        <f t="shared" si="327"/>
        <v>-</v>
      </c>
    </row>
    <row r="5439" spans="19:23">
      <c r="S5439" s="42" t="str">
        <v/>
      </c>
      <c r="T5439" s="42" t="str">
        <f t="shared" si="325"/>
        <v>-</v>
      </c>
      <c r="U5439" s="40" t="str">
        <f t="shared" si="326"/>
        <v>-</v>
      </c>
      <c r="V5439" s="42" t="str" cm="1">
        <f t="array" ref="V5439">_xlfn.IFS(
LEFT(S5439,16)="win on penalties",IF(VALUE(MID(S5439,19,1))&gt;VALUE(MID(S5439,23,1)),DATA_CLEANED!AK953,DATA_CLEANED!AN953),
ISNUMBER(SEARCH("USA",S5439)),"United States",
ISNUMBER(SEARCH("Republic of Ireland",S5439)),"Ireland",
ISNUMBER(SEARCH("Republic of Korea",S5439)),"South Korea",
ISNUMBER(SEARCH("Cape Verde",S5439)),"Cabo Verde",
ISNUMBER(SEARCH("Czechia",S5439)),"Czech Republic",
ISNUMBER(SEARCH("Türkiye",S5439)),"Turkey",
ISNUMBER(SEARCH("Ivory Coast",S5439)),"Côte d'Ivoire",
ISNUMBER(SEARCH("Korea Republic",S5439)),"South Korea",
ISNUMBER(SEARCH("Germany FR",S5439)),"FR Germany",
ISNUMBER(SEARCH("West Germany",S5439)),"FR Germany",
ISNUMBER(SEARCH("Germany DR",S5439)),"DR Germany",
ISNUMBER(SEARCH("Korea DPR",S5439)),"North Korea",
ISNUMBER(SEARCH("China PR",S5439)),"China",
ISNUMBER(SEARCH("IR Iran",S5439)),"Iran",
ISNUMBER(SEARCH("Congo DR",S5439)),"Democratic Republic of the Congo",
ISNUMBER(SEARCH("DR Congo",S5439)),"Democratic Republic of the Congo",
ISNUMBER(SEARCH("German DR",S5439)),"DR Germany",
ISNUMBER(SEARCH("rn""&gt;United Arab Emirates",S5439)),"United Arab Emirates",
ISNUMBER(SEARCH("rn""&gt;Republic of Ireland",S5439)),"Ireland",
ISNUMBER(SEARCH("rn""&gt;Bosnia and Herzegovina",S5439)),"Bosnia and Herzegovina",
ISNUMBER(SEARCH("rn""&gt;Trinidad and Tobago",S5439)),"Trinidad and Tobago",
ISNUMBER(SEARCH("rn""&gt;Serbia and Montenegro",S5439)),"Serbia and Montenegro",
ISNUMBER(SEARCH(_xlfn.UNICHAR(65533),S5439)),"Côte d'Ivoire",
TRUE,"-"
)</f>
        <v>-</v>
      </c>
      <c r="W5439" s="42" t="str">
        <f t="shared" si="327"/>
        <v>-</v>
      </c>
    </row>
    <row r="5440" spans="19:23">
      <c r="S5440" s="42" t="str">
        <v/>
      </c>
      <c r="T5440" s="42" t="str">
        <f t="shared" si="325"/>
        <v>-</v>
      </c>
      <c r="U5440" s="40" t="str">
        <f t="shared" si="326"/>
        <v>-</v>
      </c>
      <c r="V5440" s="42" t="str" cm="1">
        <f t="array" ref="V5440">_xlfn.IFS(
LEFT(S5440,16)="win on penalties",IF(VALUE(MID(S5440,19,1))&gt;VALUE(MID(S5440,23,1)),DATA_CLEANED!AK954,DATA_CLEANED!AN954),
ISNUMBER(SEARCH("USA",S5440)),"United States",
ISNUMBER(SEARCH("Republic of Ireland",S5440)),"Ireland",
ISNUMBER(SEARCH("Republic of Korea",S5440)),"South Korea",
ISNUMBER(SEARCH("Cape Verde",S5440)),"Cabo Verde",
ISNUMBER(SEARCH("Czechia",S5440)),"Czech Republic",
ISNUMBER(SEARCH("Türkiye",S5440)),"Turkey",
ISNUMBER(SEARCH("Ivory Coast",S5440)),"Côte d'Ivoire",
ISNUMBER(SEARCH("Korea Republic",S5440)),"South Korea",
ISNUMBER(SEARCH("Germany FR",S5440)),"FR Germany",
ISNUMBER(SEARCH("West Germany",S5440)),"FR Germany",
ISNUMBER(SEARCH("Germany DR",S5440)),"DR Germany",
ISNUMBER(SEARCH("Korea DPR",S5440)),"North Korea",
ISNUMBER(SEARCH("China PR",S5440)),"China",
ISNUMBER(SEARCH("IR Iran",S5440)),"Iran",
ISNUMBER(SEARCH("Congo DR",S5440)),"Democratic Republic of the Congo",
ISNUMBER(SEARCH("DR Congo",S5440)),"Democratic Republic of the Congo",
ISNUMBER(SEARCH("German DR",S5440)),"DR Germany",
ISNUMBER(SEARCH("rn""&gt;United Arab Emirates",S5440)),"United Arab Emirates",
ISNUMBER(SEARCH("rn""&gt;Republic of Ireland",S5440)),"Ireland",
ISNUMBER(SEARCH("rn""&gt;Bosnia and Herzegovina",S5440)),"Bosnia and Herzegovina",
ISNUMBER(SEARCH("rn""&gt;Trinidad and Tobago",S5440)),"Trinidad and Tobago",
ISNUMBER(SEARCH("rn""&gt;Serbia and Montenegro",S5440)),"Serbia and Montenegro",
ISNUMBER(SEARCH(_xlfn.UNICHAR(65533),S5440)),"Côte d'Ivoire",
TRUE,"-"
)</f>
        <v>-</v>
      </c>
      <c r="W5440" s="42" t="str">
        <f t="shared" si="327"/>
        <v>-</v>
      </c>
    </row>
    <row r="5441" spans="19:23">
      <c r="S5441" s="42" t="str">
        <v>Croatia win on penalties (3 - 1)</v>
      </c>
      <c r="T5441" s="42" t="str">
        <f t="shared" si="325"/>
        <v>Croatia</v>
      </c>
      <c r="U5441" s="40" t="str">
        <f t="shared" si="326"/>
        <v>AUCUNE</v>
      </c>
      <c r="V5441" s="42" t="str" cm="1">
        <f t="array" ref="V5441">_xlfn.IFS(
LEFT(S5441,16)="win on penalties",IF(VALUE(MID(S5441,19,1))&gt;VALUE(MID(S5441,23,1)),DATA_CLEANED!AK955,DATA_CLEANED!AN955),
ISNUMBER(SEARCH("USA",S5441)),"United States",
ISNUMBER(SEARCH("Republic of Ireland",S5441)),"Ireland",
ISNUMBER(SEARCH("Republic of Korea",S5441)),"South Korea",
ISNUMBER(SEARCH("Cape Verde",S5441)),"Cabo Verde",
ISNUMBER(SEARCH("Czechia",S5441)),"Czech Republic",
ISNUMBER(SEARCH("Türkiye",S5441)),"Turkey",
ISNUMBER(SEARCH("Ivory Coast",S5441)),"Côte d'Ivoire",
ISNUMBER(SEARCH("Korea Republic",S5441)),"South Korea",
ISNUMBER(SEARCH("Germany FR",S5441)),"FR Germany",
ISNUMBER(SEARCH("West Germany",S5441)),"FR Germany",
ISNUMBER(SEARCH("Germany DR",S5441)),"DR Germany",
ISNUMBER(SEARCH("Korea DPR",S5441)),"North Korea",
ISNUMBER(SEARCH("China PR",S5441)),"China",
ISNUMBER(SEARCH("IR Iran",S5441)),"Iran",
ISNUMBER(SEARCH("Congo DR",S5441)),"Democratic Republic of the Congo",
ISNUMBER(SEARCH("DR Congo",S5441)),"Democratic Republic of the Congo",
ISNUMBER(SEARCH("German DR",S5441)),"DR Germany",
ISNUMBER(SEARCH("rn""&gt;United Arab Emirates",S5441)),"United Arab Emirates",
ISNUMBER(SEARCH("rn""&gt;Republic of Ireland",S5441)),"Ireland",
ISNUMBER(SEARCH("rn""&gt;Bosnia and Herzegovina",S5441)),"Bosnia and Herzegovina",
ISNUMBER(SEARCH("rn""&gt;Trinidad and Tobago",S5441)),"Trinidad and Tobago",
ISNUMBER(SEARCH("rn""&gt;Serbia and Montenegro",S5441)),"Serbia and Montenegro",
ISNUMBER(SEARCH(_xlfn.UNICHAR(65533),S5441)),"Côte d'Ivoire",
TRUE,"-"
)</f>
        <v>-</v>
      </c>
      <c r="W5441" s="42" t="str">
        <f t="shared" si="327"/>
        <v>Croatia win on penalties (3 - 1)</v>
      </c>
    </row>
    <row r="5442" spans="19:23">
      <c r="S5442" s="42" t="str">
        <v/>
      </c>
      <c r="T5442" s="42" t="str">
        <f t="shared" si="325"/>
        <v>-</v>
      </c>
      <c r="U5442" s="40" t="str">
        <f t="shared" si="326"/>
        <v>-</v>
      </c>
      <c r="V5442" s="42" t="str" cm="1">
        <f t="array" ref="V5442">_xlfn.IFS(
LEFT(S5442,16)="win on penalties",IF(VALUE(MID(S5442,19,1))&gt;VALUE(MID(S5442,23,1)),DATA_CLEANED!AK956,DATA_CLEANED!AN956),
ISNUMBER(SEARCH("USA",S5442)),"United States",
ISNUMBER(SEARCH("Republic of Ireland",S5442)),"Ireland",
ISNUMBER(SEARCH("Republic of Korea",S5442)),"South Korea",
ISNUMBER(SEARCH("Cape Verde",S5442)),"Cabo Verde",
ISNUMBER(SEARCH("Czechia",S5442)),"Czech Republic",
ISNUMBER(SEARCH("Türkiye",S5442)),"Turkey",
ISNUMBER(SEARCH("Ivory Coast",S5442)),"Côte d'Ivoire",
ISNUMBER(SEARCH("Korea Republic",S5442)),"South Korea",
ISNUMBER(SEARCH("Germany FR",S5442)),"FR Germany",
ISNUMBER(SEARCH("West Germany",S5442)),"FR Germany",
ISNUMBER(SEARCH("Germany DR",S5442)),"DR Germany",
ISNUMBER(SEARCH("Korea DPR",S5442)),"North Korea",
ISNUMBER(SEARCH("China PR",S5442)),"China",
ISNUMBER(SEARCH("IR Iran",S5442)),"Iran",
ISNUMBER(SEARCH("Congo DR",S5442)),"Democratic Republic of the Congo",
ISNUMBER(SEARCH("DR Congo",S5442)),"Democratic Republic of the Congo",
ISNUMBER(SEARCH("German DR",S5442)),"DR Germany",
ISNUMBER(SEARCH("rn""&gt;United Arab Emirates",S5442)),"United Arab Emirates",
ISNUMBER(SEARCH("rn""&gt;Republic of Ireland",S5442)),"Ireland",
ISNUMBER(SEARCH("rn""&gt;Bosnia and Herzegovina",S5442)),"Bosnia and Herzegovina",
ISNUMBER(SEARCH("rn""&gt;Trinidad and Tobago",S5442)),"Trinidad and Tobago",
ISNUMBER(SEARCH("rn""&gt;Serbia and Montenegro",S5442)),"Serbia and Montenegro",
ISNUMBER(SEARCH(_xlfn.UNICHAR(65533),S5442)),"Côte d'Ivoire",
TRUE,"-"
)</f>
        <v>-</v>
      </c>
      <c r="W5442" s="42" t="str">
        <f t="shared" si="327"/>
        <v>-</v>
      </c>
    </row>
    <row r="5443" spans="19:23">
      <c r="S5443" s="42" t="str">
        <v>Morocco win on penalties (3 - 0)</v>
      </c>
      <c r="T5443" s="42" t="str">
        <f t="shared" si="325"/>
        <v>Morocco</v>
      </c>
      <c r="U5443" s="40" t="str">
        <f t="shared" si="326"/>
        <v>AUCUNE</v>
      </c>
      <c r="V5443" s="42" t="str" cm="1">
        <f t="array" ref="V5443">_xlfn.IFS(
LEFT(S5443,16)="win on penalties",IF(VALUE(MID(S5443,19,1))&gt;VALUE(MID(S5443,23,1)),DATA_CLEANED!AK957,DATA_CLEANED!AN957),
ISNUMBER(SEARCH("USA",S5443)),"United States",
ISNUMBER(SEARCH("Republic of Ireland",S5443)),"Ireland",
ISNUMBER(SEARCH("Republic of Korea",S5443)),"South Korea",
ISNUMBER(SEARCH("Cape Verde",S5443)),"Cabo Verde",
ISNUMBER(SEARCH("Czechia",S5443)),"Czech Republic",
ISNUMBER(SEARCH("Türkiye",S5443)),"Turkey",
ISNUMBER(SEARCH("Ivory Coast",S5443)),"Côte d'Ivoire",
ISNUMBER(SEARCH("Korea Republic",S5443)),"South Korea",
ISNUMBER(SEARCH("Germany FR",S5443)),"FR Germany",
ISNUMBER(SEARCH("West Germany",S5443)),"FR Germany",
ISNUMBER(SEARCH("Germany DR",S5443)),"DR Germany",
ISNUMBER(SEARCH("Korea DPR",S5443)),"North Korea",
ISNUMBER(SEARCH("China PR",S5443)),"China",
ISNUMBER(SEARCH("IR Iran",S5443)),"Iran",
ISNUMBER(SEARCH("Congo DR",S5443)),"Democratic Republic of the Congo",
ISNUMBER(SEARCH("DR Congo",S5443)),"Democratic Republic of the Congo",
ISNUMBER(SEARCH("German DR",S5443)),"DR Germany",
ISNUMBER(SEARCH("rn""&gt;United Arab Emirates",S5443)),"United Arab Emirates",
ISNUMBER(SEARCH("rn""&gt;Republic of Ireland",S5443)),"Ireland",
ISNUMBER(SEARCH("rn""&gt;Bosnia and Herzegovina",S5443)),"Bosnia and Herzegovina",
ISNUMBER(SEARCH("rn""&gt;Trinidad and Tobago",S5443)),"Trinidad and Tobago",
ISNUMBER(SEARCH("rn""&gt;Serbia and Montenegro",S5443)),"Serbia and Montenegro",
ISNUMBER(SEARCH(_xlfn.UNICHAR(65533),S5443)),"Côte d'Ivoire",
TRUE,"-"
)</f>
        <v>-</v>
      </c>
      <c r="W5443" s="42" t="str">
        <f t="shared" si="327"/>
        <v>Morocco win on penalties (3 - 0)</v>
      </c>
    </row>
    <row r="5444" spans="19:23">
      <c r="S5444" s="42" t="str">
        <v/>
      </c>
      <c r="T5444" s="42" t="str">
        <f t="shared" si="325"/>
        <v>-</v>
      </c>
      <c r="U5444" s="40" t="str">
        <f t="shared" si="326"/>
        <v>-</v>
      </c>
      <c r="V5444" s="42" t="str" cm="1">
        <f t="array" ref="V5444">_xlfn.IFS(
LEFT(S5444,16)="win on penalties",IF(VALUE(MID(S5444,19,1))&gt;VALUE(MID(S5444,23,1)),DATA_CLEANED!AK958,DATA_CLEANED!AN958),
ISNUMBER(SEARCH("USA",S5444)),"United States",
ISNUMBER(SEARCH("Republic of Ireland",S5444)),"Ireland",
ISNUMBER(SEARCH("Republic of Korea",S5444)),"South Korea",
ISNUMBER(SEARCH("Cape Verde",S5444)),"Cabo Verde",
ISNUMBER(SEARCH("Czechia",S5444)),"Czech Republic",
ISNUMBER(SEARCH("Türkiye",S5444)),"Turkey",
ISNUMBER(SEARCH("Ivory Coast",S5444)),"Côte d'Ivoire",
ISNUMBER(SEARCH("Korea Republic",S5444)),"South Korea",
ISNUMBER(SEARCH("Germany FR",S5444)),"FR Germany",
ISNUMBER(SEARCH("West Germany",S5444)),"FR Germany",
ISNUMBER(SEARCH("Germany DR",S5444)),"DR Germany",
ISNUMBER(SEARCH("Korea DPR",S5444)),"North Korea",
ISNUMBER(SEARCH("China PR",S5444)),"China",
ISNUMBER(SEARCH("IR Iran",S5444)),"Iran",
ISNUMBER(SEARCH("Congo DR",S5444)),"Democratic Republic of the Congo",
ISNUMBER(SEARCH("DR Congo",S5444)),"Democratic Republic of the Congo",
ISNUMBER(SEARCH("German DR",S5444)),"DR Germany",
ISNUMBER(SEARCH("rn""&gt;United Arab Emirates",S5444)),"United Arab Emirates",
ISNUMBER(SEARCH("rn""&gt;Republic of Ireland",S5444)),"Ireland",
ISNUMBER(SEARCH("rn""&gt;Bosnia and Herzegovina",S5444)),"Bosnia and Herzegovina",
ISNUMBER(SEARCH("rn""&gt;Trinidad and Tobago",S5444)),"Trinidad and Tobago",
ISNUMBER(SEARCH("rn""&gt;Serbia and Montenegro",S5444)),"Serbia and Montenegro",
ISNUMBER(SEARCH(_xlfn.UNICHAR(65533),S5444)),"Côte d'Ivoire",
TRUE,"-"
)</f>
        <v>-</v>
      </c>
      <c r="W5444" s="42" t="str">
        <f t="shared" si="327"/>
        <v>-</v>
      </c>
    </row>
    <row r="5445" spans="19:23">
      <c r="S5445" s="42" t="str">
        <v>Croatia win on penalties (4 - 2)</v>
      </c>
      <c r="T5445" s="42" t="str">
        <f t="shared" si="325"/>
        <v>Croatia</v>
      </c>
      <c r="U5445" s="40" t="str">
        <f t="shared" si="326"/>
        <v>AUCUNE</v>
      </c>
      <c r="V5445" s="42" t="str" cm="1">
        <f t="array" ref="V5445">_xlfn.IFS(
LEFT(S5445,16)="win on penalties",IF(VALUE(MID(S5445,19,1))&gt;VALUE(MID(S5445,23,1)),DATA_CLEANED!AK959,DATA_CLEANED!AN959),
ISNUMBER(SEARCH("USA",S5445)),"United States",
ISNUMBER(SEARCH("Republic of Ireland",S5445)),"Ireland",
ISNUMBER(SEARCH("Republic of Korea",S5445)),"South Korea",
ISNUMBER(SEARCH("Cape Verde",S5445)),"Cabo Verde",
ISNUMBER(SEARCH("Czechia",S5445)),"Czech Republic",
ISNUMBER(SEARCH("Türkiye",S5445)),"Turkey",
ISNUMBER(SEARCH("Ivory Coast",S5445)),"Côte d'Ivoire",
ISNUMBER(SEARCH("Korea Republic",S5445)),"South Korea",
ISNUMBER(SEARCH("Germany FR",S5445)),"FR Germany",
ISNUMBER(SEARCH("West Germany",S5445)),"FR Germany",
ISNUMBER(SEARCH("Germany DR",S5445)),"DR Germany",
ISNUMBER(SEARCH("Korea DPR",S5445)),"North Korea",
ISNUMBER(SEARCH("China PR",S5445)),"China",
ISNUMBER(SEARCH("IR Iran",S5445)),"Iran",
ISNUMBER(SEARCH("Congo DR",S5445)),"Democratic Republic of the Congo",
ISNUMBER(SEARCH("DR Congo",S5445)),"Democratic Republic of the Congo",
ISNUMBER(SEARCH("German DR",S5445)),"DR Germany",
ISNUMBER(SEARCH("rn""&gt;United Arab Emirates",S5445)),"United Arab Emirates",
ISNUMBER(SEARCH("rn""&gt;Republic of Ireland",S5445)),"Ireland",
ISNUMBER(SEARCH("rn""&gt;Bosnia and Herzegovina",S5445)),"Bosnia and Herzegovina",
ISNUMBER(SEARCH("rn""&gt;Trinidad and Tobago",S5445)),"Trinidad and Tobago",
ISNUMBER(SEARCH("rn""&gt;Serbia and Montenegro",S5445)),"Serbia and Montenegro",
ISNUMBER(SEARCH(_xlfn.UNICHAR(65533),S5445)),"Côte d'Ivoire",
TRUE,"-"
)</f>
        <v>-</v>
      </c>
      <c r="W5445" s="42" t="str">
        <f t="shared" si="327"/>
        <v>Croatia win on penalties (4 - 2)</v>
      </c>
    </row>
    <row r="5446" spans="19:23">
      <c r="S5446" s="42" t="str">
        <v>Argentina win on penalties (4 - 3)</v>
      </c>
      <c r="T5446" s="42" t="str">
        <f t="shared" si="325"/>
        <v>Argentina</v>
      </c>
      <c r="U5446" s="40" t="str">
        <f t="shared" si="326"/>
        <v>AUCUNE</v>
      </c>
      <c r="V5446" s="42" t="str" cm="1">
        <f t="array" ref="V5446">_xlfn.IFS(
LEFT(S5446,16)="win on penalties",IF(VALUE(MID(S5446,19,1))&gt;VALUE(MID(S5446,23,1)),DATA_CLEANED!AK960,DATA_CLEANED!AN960),
ISNUMBER(SEARCH("USA",S5446)),"United States",
ISNUMBER(SEARCH("Republic of Ireland",S5446)),"Ireland",
ISNUMBER(SEARCH("Republic of Korea",S5446)),"South Korea",
ISNUMBER(SEARCH("Cape Verde",S5446)),"Cabo Verde",
ISNUMBER(SEARCH("Czechia",S5446)),"Czech Republic",
ISNUMBER(SEARCH("Türkiye",S5446)),"Turkey",
ISNUMBER(SEARCH("Ivory Coast",S5446)),"Côte d'Ivoire",
ISNUMBER(SEARCH("Korea Republic",S5446)),"South Korea",
ISNUMBER(SEARCH("Germany FR",S5446)),"FR Germany",
ISNUMBER(SEARCH("West Germany",S5446)),"FR Germany",
ISNUMBER(SEARCH("Germany DR",S5446)),"DR Germany",
ISNUMBER(SEARCH("Korea DPR",S5446)),"North Korea",
ISNUMBER(SEARCH("China PR",S5446)),"China",
ISNUMBER(SEARCH("IR Iran",S5446)),"Iran",
ISNUMBER(SEARCH("Congo DR",S5446)),"Democratic Republic of the Congo",
ISNUMBER(SEARCH("DR Congo",S5446)),"Democratic Republic of the Congo",
ISNUMBER(SEARCH("German DR",S5446)),"DR Germany",
ISNUMBER(SEARCH("rn""&gt;United Arab Emirates",S5446)),"United Arab Emirates",
ISNUMBER(SEARCH("rn""&gt;Republic of Ireland",S5446)),"Ireland",
ISNUMBER(SEARCH("rn""&gt;Bosnia and Herzegovina",S5446)),"Bosnia and Herzegovina",
ISNUMBER(SEARCH("rn""&gt;Trinidad and Tobago",S5446)),"Trinidad and Tobago",
ISNUMBER(SEARCH("rn""&gt;Serbia and Montenegro",S5446)),"Serbia and Montenegro",
ISNUMBER(SEARCH(_xlfn.UNICHAR(65533),S5446)),"Côte d'Ivoire",
TRUE,"-"
)</f>
        <v>-</v>
      </c>
      <c r="W5446" s="42" t="str">
        <f t="shared" si="327"/>
        <v>Argentina win on penalties (4 - 3)</v>
      </c>
    </row>
    <row r="5447" spans="19:23">
      <c r="S5447" s="42" t="str">
        <v/>
      </c>
      <c r="T5447" s="42" t="str">
        <f t="shared" si="325"/>
        <v>-</v>
      </c>
      <c r="U5447" s="40" t="str">
        <f t="shared" si="326"/>
        <v>-</v>
      </c>
      <c r="V5447" s="42" t="str" cm="1">
        <f t="array" ref="V5447">_xlfn.IFS(
LEFT(S5447,16)="win on penalties",IF(VALUE(MID(S5447,19,1))&gt;VALUE(MID(S5447,23,1)),DATA_CLEANED!AK961,DATA_CLEANED!AN961),
ISNUMBER(SEARCH("USA",S5447)),"United States",
ISNUMBER(SEARCH("Republic of Ireland",S5447)),"Ireland",
ISNUMBER(SEARCH("Republic of Korea",S5447)),"South Korea",
ISNUMBER(SEARCH("Cape Verde",S5447)),"Cabo Verde",
ISNUMBER(SEARCH("Czechia",S5447)),"Czech Republic",
ISNUMBER(SEARCH("Türkiye",S5447)),"Turkey",
ISNUMBER(SEARCH("Ivory Coast",S5447)),"Côte d'Ivoire",
ISNUMBER(SEARCH("Korea Republic",S5447)),"South Korea",
ISNUMBER(SEARCH("Germany FR",S5447)),"FR Germany",
ISNUMBER(SEARCH("West Germany",S5447)),"FR Germany",
ISNUMBER(SEARCH("Germany DR",S5447)),"DR Germany",
ISNUMBER(SEARCH("Korea DPR",S5447)),"North Korea",
ISNUMBER(SEARCH("China PR",S5447)),"China",
ISNUMBER(SEARCH("IR Iran",S5447)),"Iran",
ISNUMBER(SEARCH("Congo DR",S5447)),"Democratic Republic of the Congo",
ISNUMBER(SEARCH("DR Congo",S5447)),"Democratic Republic of the Congo",
ISNUMBER(SEARCH("German DR",S5447)),"DR Germany",
ISNUMBER(SEARCH("rn""&gt;United Arab Emirates",S5447)),"United Arab Emirates",
ISNUMBER(SEARCH("rn""&gt;Republic of Ireland",S5447)),"Ireland",
ISNUMBER(SEARCH("rn""&gt;Bosnia and Herzegovina",S5447)),"Bosnia and Herzegovina",
ISNUMBER(SEARCH("rn""&gt;Trinidad and Tobago",S5447)),"Trinidad and Tobago",
ISNUMBER(SEARCH("rn""&gt;Serbia and Montenegro",S5447)),"Serbia and Montenegro",
ISNUMBER(SEARCH(_xlfn.UNICHAR(65533),S5447)),"Côte d'Ivoire",
TRUE,"-"
)</f>
        <v>-</v>
      </c>
      <c r="W5447" s="42" t="str">
        <f t="shared" si="327"/>
        <v>-</v>
      </c>
    </row>
    <row r="5448" spans="19:23">
      <c r="S5448" s="42" t="str">
        <v/>
      </c>
      <c r="T5448" s="42" t="str">
        <f t="shared" si="325"/>
        <v>-</v>
      </c>
      <c r="U5448" s="40" t="str">
        <f t="shared" si="326"/>
        <v>-</v>
      </c>
      <c r="V5448" s="42" t="str" cm="1">
        <f t="array" ref="V5448">_xlfn.IFS(
LEFT(S5448,16)="win on penalties",IF(VALUE(MID(S5448,19,1))&gt;VALUE(MID(S5448,23,1)),DATA_CLEANED!AK962,DATA_CLEANED!AN962),
ISNUMBER(SEARCH("USA",S5448)),"United States",
ISNUMBER(SEARCH("Republic of Ireland",S5448)),"Ireland",
ISNUMBER(SEARCH("Republic of Korea",S5448)),"South Korea",
ISNUMBER(SEARCH("Cape Verde",S5448)),"Cabo Verde",
ISNUMBER(SEARCH("Czechia",S5448)),"Czech Republic",
ISNUMBER(SEARCH("Türkiye",S5448)),"Turkey",
ISNUMBER(SEARCH("Ivory Coast",S5448)),"Côte d'Ivoire",
ISNUMBER(SEARCH("Korea Republic",S5448)),"South Korea",
ISNUMBER(SEARCH("Germany FR",S5448)),"FR Germany",
ISNUMBER(SEARCH("West Germany",S5448)),"FR Germany",
ISNUMBER(SEARCH("Germany DR",S5448)),"DR Germany",
ISNUMBER(SEARCH("Korea DPR",S5448)),"North Korea",
ISNUMBER(SEARCH("China PR",S5448)),"China",
ISNUMBER(SEARCH("IR Iran",S5448)),"Iran",
ISNUMBER(SEARCH("Congo DR",S5448)),"Democratic Republic of the Congo",
ISNUMBER(SEARCH("DR Congo",S5448)),"Democratic Republic of the Congo",
ISNUMBER(SEARCH("German DR",S5448)),"DR Germany",
ISNUMBER(SEARCH("rn""&gt;United Arab Emirates",S5448)),"United Arab Emirates",
ISNUMBER(SEARCH("rn""&gt;Republic of Ireland",S5448)),"Ireland",
ISNUMBER(SEARCH("rn""&gt;Bosnia and Herzegovina",S5448)),"Bosnia and Herzegovina",
ISNUMBER(SEARCH("rn""&gt;Trinidad and Tobago",S5448)),"Trinidad and Tobago",
ISNUMBER(SEARCH("rn""&gt;Serbia and Montenegro",S5448)),"Serbia and Montenegro",
ISNUMBER(SEARCH(_xlfn.UNICHAR(65533),S5448)),"Côte d'Ivoire",
TRUE,"-"
)</f>
        <v>-</v>
      </c>
      <c r="W5448" s="42" t="str">
        <f t="shared" si="327"/>
        <v>-</v>
      </c>
    </row>
    <row r="5449" spans="19:23">
      <c r="S5449" s="42" t="str">
        <v/>
      </c>
      <c r="T5449" s="42" t="str">
        <f t="shared" si="325"/>
        <v>-</v>
      </c>
      <c r="U5449" s="40" t="str">
        <f t="shared" si="326"/>
        <v>-</v>
      </c>
      <c r="V5449" s="42" t="str" cm="1">
        <f t="array" ref="V5449">_xlfn.IFS(
LEFT(S5449,16)="win on penalties",IF(VALUE(MID(S5449,19,1))&gt;VALUE(MID(S5449,23,1)),DATA_CLEANED!AK963,DATA_CLEANED!AN963),
ISNUMBER(SEARCH("USA",S5449)),"United States",
ISNUMBER(SEARCH("Republic of Ireland",S5449)),"Ireland",
ISNUMBER(SEARCH("Republic of Korea",S5449)),"South Korea",
ISNUMBER(SEARCH("Cape Verde",S5449)),"Cabo Verde",
ISNUMBER(SEARCH("Czechia",S5449)),"Czech Republic",
ISNUMBER(SEARCH("Türkiye",S5449)),"Turkey",
ISNUMBER(SEARCH("Ivory Coast",S5449)),"Côte d'Ivoire",
ISNUMBER(SEARCH("Korea Republic",S5449)),"South Korea",
ISNUMBER(SEARCH("Germany FR",S5449)),"FR Germany",
ISNUMBER(SEARCH("West Germany",S5449)),"FR Germany",
ISNUMBER(SEARCH("Germany DR",S5449)),"DR Germany",
ISNUMBER(SEARCH("Korea DPR",S5449)),"North Korea",
ISNUMBER(SEARCH("China PR",S5449)),"China",
ISNUMBER(SEARCH("IR Iran",S5449)),"Iran",
ISNUMBER(SEARCH("Congo DR",S5449)),"Democratic Republic of the Congo",
ISNUMBER(SEARCH("DR Congo",S5449)),"Democratic Republic of the Congo",
ISNUMBER(SEARCH("German DR",S5449)),"DR Germany",
ISNUMBER(SEARCH("rn""&gt;United Arab Emirates",S5449)),"United Arab Emirates",
ISNUMBER(SEARCH("rn""&gt;Republic of Ireland",S5449)),"Ireland",
ISNUMBER(SEARCH("rn""&gt;Bosnia and Herzegovina",S5449)),"Bosnia and Herzegovina",
ISNUMBER(SEARCH("rn""&gt;Trinidad and Tobago",S5449)),"Trinidad and Tobago",
ISNUMBER(SEARCH("rn""&gt;Serbia and Montenegro",S5449)),"Serbia and Montenegro",
ISNUMBER(SEARCH(_xlfn.UNICHAR(65533),S5449)),"Côte d'Ivoire",
TRUE,"-"
)</f>
        <v>-</v>
      </c>
      <c r="W5449" s="42" t="str">
        <f t="shared" si="327"/>
        <v>-</v>
      </c>
    </row>
    <row r="5450" spans="19:23">
      <c r="S5450" s="42" t="str">
        <v/>
      </c>
      <c r="T5450" s="42" t="str">
        <f t="shared" ref="T5450:T5513" si="328">IF(S5450="","-",IFERROR(LEFT(S5450,SEARCH(" win",S5450)-1),"-"))</f>
        <v>-</v>
      </c>
      <c r="U5450" s="40" t="str">
        <f t="shared" ref="U5450:U5513" si="329">IF(T5450="-","-",IF(COUNTIF(_xlfn.ANCHORARRAY(X$13),T5450)=1,"AUCUNE","RENOMMER"))</f>
        <v>-</v>
      </c>
      <c r="V5450" s="42" t="str" cm="1">
        <f t="array" ref="V5450">_xlfn.IFS(
LEFT(S5450,16)="win on penalties",IF(VALUE(MID(S5450,19,1))&gt;VALUE(MID(S5450,23,1)),DATA_CLEANED!AK964,DATA_CLEANED!AN964),
ISNUMBER(SEARCH("USA",S5450)),"United States",
ISNUMBER(SEARCH("Republic of Ireland",S5450)),"Ireland",
ISNUMBER(SEARCH("Republic of Korea",S5450)),"South Korea",
ISNUMBER(SEARCH("Cape Verde",S5450)),"Cabo Verde",
ISNUMBER(SEARCH("Czechia",S5450)),"Czech Republic",
ISNUMBER(SEARCH("Türkiye",S5450)),"Turkey",
ISNUMBER(SEARCH("Ivory Coast",S5450)),"Côte d'Ivoire",
ISNUMBER(SEARCH("Korea Republic",S5450)),"South Korea",
ISNUMBER(SEARCH("Germany FR",S5450)),"FR Germany",
ISNUMBER(SEARCH("West Germany",S5450)),"FR Germany",
ISNUMBER(SEARCH("Germany DR",S5450)),"DR Germany",
ISNUMBER(SEARCH("Korea DPR",S5450)),"North Korea",
ISNUMBER(SEARCH("China PR",S5450)),"China",
ISNUMBER(SEARCH("IR Iran",S5450)),"Iran",
ISNUMBER(SEARCH("Congo DR",S5450)),"Democratic Republic of the Congo",
ISNUMBER(SEARCH("DR Congo",S5450)),"Democratic Republic of the Congo",
ISNUMBER(SEARCH("German DR",S5450)),"DR Germany",
ISNUMBER(SEARCH("rn""&gt;United Arab Emirates",S5450)),"United Arab Emirates",
ISNUMBER(SEARCH("rn""&gt;Republic of Ireland",S5450)),"Ireland",
ISNUMBER(SEARCH("rn""&gt;Bosnia and Herzegovina",S5450)),"Bosnia and Herzegovina",
ISNUMBER(SEARCH("rn""&gt;Trinidad and Tobago",S5450)),"Trinidad and Tobago",
ISNUMBER(SEARCH("rn""&gt;Serbia and Montenegro",S5450)),"Serbia and Montenegro",
ISNUMBER(SEARCH(_xlfn.UNICHAR(65533),S5450)),"Côte d'Ivoire",
TRUE,"-"
)</f>
        <v>-</v>
      </c>
      <c r="W5450" s="42" t="str">
        <f t="shared" ref="W5450:W5513" si="330">IF(S5450="","-",IF(AND(U5450="RENOMMER",T5450&lt;&gt;"-",V5450&lt;&gt;"-"),SUBSTITUTE(S5450,T5450,V5450),S5450))</f>
        <v>-</v>
      </c>
    </row>
    <row r="5451" spans="19:23">
      <c r="S5451" s="42" t="str">
        <v/>
      </c>
      <c r="T5451" s="42" t="str">
        <f t="shared" si="328"/>
        <v>-</v>
      </c>
      <c r="U5451" s="40" t="str">
        <f t="shared" si="329"/>
        <v>-</v>
      </c>
      <c r="V5451" s="42" t="str" cm="1">
        <f t="array" ref="V5451">_xlfn.IFS(
LEFT(S5451,16)="win on penalties",IF(VALUE(MID(S5451,19,1))&gt;VALUE(MID(S5451,23,1)),DATA_CLEANED!AK965,DATA_CLEANED!AN965),
ISNUMBER(SEARCH("USA",S5451)),"United States",
ISNUMBER(SEARCH("Republic of Ireland",S5451)),"Ireland",
ISNUMBER(SEARCH("Republic of Korea",S5451)),"South Korea",
ISNUMBER(SEARCH("Cape Verde",S5451)),"Cabo Verde",
ISNUMBER(SEARCH("Czechia",S5451)),"Czech Republic",
ISNUMBER(SEARCH("Türkiye",S5451)),"Turkey",
ISNUMBER(SEARCH("Ivory Coast",S5451)),"Côte d'Ivoire",
ISNUMBER(SEARCH("Korea Republic",S5451)),"South Korea",
ISNUMBER(SEARCH("Germany FR",S5451)),"FR Germany",
ISNUMBER(SEARCH("West Germany",S5451)),"FR Germany",
ISNUMBER(SEARCH("Germany DR",S5451)),"DR Germany",
ISNUMBER(SEARCH("Korea DPR",S5451)),"North Korea",
ISNUMBER(SEARCH("China PR",S5451)),"China",
ISNUMBER(SEARCH("IR Iran",S5451)),"Iran",
ISNUMBER(SEARCH("Congo DR",S5451)),"Democratic Republic of the Congo",
ISNUMBER(SEARCH("DR Congo",S5451)),"Democratic Republic of the Congo",
ISNUMBER(SEARCH("German DR",S5451)),"DR Germany",
ISNUMBER(SEARCH("rn""&gt;United Arab Emirates",S5451)),"United Arab Emirates",
ISNUMBER(SEARCH("rn""&gt;Republic of Ireland",S5451)),"Ireland",
ISNUMBER(SEARCH("rn""&gt;Bosnia and Herzegovina",S5451)),"Bosnia and Herzegovina",
ISNUMBER(SEARCH("rn""&gt;Trinidad and Tobago",S5451)),"Trinidad and Tobago",
ISNUMBER(SEARCH("rn""&gt;Serbia and Montenegro",S5451)),"Serbia and Montenegro",
ISNUMBER(SEARCH(_xlfn.UNICHAR(65533),S5451)),"Côte d'Ivoire",
TRUE,"-"
)</f>
        <v>-</v>
      </c>
      <c r="W5451" s="42" t="str">
        <f t="shared" si="330"/>
        <v>-</v>
      </c>
    </row>
    <row r="5452" spans="19:23">
      <c r="S5452" s="42" t="str">
        <v>Argentina win on penalties (4 - 2)</v>
      </c>
      <c r="T5452" s="42" t="str">
        <f t="shared" si="328"/>
        <v>Argentina</v>
      </c>
      <c r="U5452" s="40" t="str">
        <f t="shared" si="329"/>
        <v>AUCUNE</v>
      </c>
      <c r="V5452" s="42" t="str" cm="1">
        <f t="array" ref="V5452">_xlfn.IFS(
LEFT(S5452,16)="win on penalties",IF(VALUE(MID(S5452,19,1))&gt;VALUE(MID(S5452,23,1)),DATA_CLEANED!AK966,DATA_CLEANED!AN966),
ISNUMBER(SEARCH("USA",S5452)),"United States",
ISNUMBER(SEARCH("Republic of Ireland",S5452)),"Ireland",
ISNUMBER(SEARCH("Republic of Korea",S5452)),"South Korea",
ISNUMBER(SEARCH("Cape Verde",S5452)),"Cabo Verde",
ISNUMBER(SEARCH("Czechia",S5452)),"Czech Republic",
ISNUMBER(SEARCH("Türkiye",S5452)),"Turkey",
ISNUMBER(SEARCH("Ivory Coast",S5452)),"Côte d'Ivoire",
ISNUMBER(SEARCH("Korea Republic",S5452)),"South Korea",
ISNUMBER(SEARCH("Germany FR",S5452)),"FR Germany",
ISNUMBER(SEARCH("West Germany",S5452)),"FR Germany",
ISNUMBER(SEARCH("Germany DR",S5452)),"DR Germany",
ISNUMBER(SEARCH("Korea DPR",S5452)),"North Korea",
ISNUMBER(SEARCH("China PR",S5452)),"China",
ISNUMBER(SEARCH("IR Iran",S5452)),"Iran",
ISNUMBER(SEARCH("Congo DR",S5452)),"Democratic Republic of the Congo",
ISNUMBER(SEARCH("DR Congo",S5452)),"Democratic Republic of the Congo",
ISNUMBER(SEARCH("German DR",S5452)),"DR Germany",
ISNUMBER(SEARCH("rn""&gt;United Arab Emirates",S5452)),"United Arab Emirates",
ISNUMBER(SEARCH("rn""&gt;Republic of Ireland",S5452)),"Ireland",
ISNUMBER(SEARCH("rn""&gt;Bosnia and Herzegovina",S5452)),"Bosnia and Herzegovina",
ISNUMBER(SEARCH("rn""&gt;Trinidad and Tobago",S5452)),"Trinidad and Tobago",
ISNUMBER(SEARCH("rn""&gt;Serbia and Montenegro",S5452)),"Serbia and Montenegro",
ISNUMBER(SEARCH(_xlfn.UNICHAR(65533),S5452)),"Côte d'Ivoire",
TRUE,"-"
)</f>
        <v>-</v>
      </c>
      <c r="W5452" s="42" t="str">
        <f t="shared" si="330"/>
        <v>Argentina win on penalties (4 - 2)</v>
      </c>
    </row>
    <row r="5453" spans="19:23">
      <c r="S5453" s="42" t="str">
        <v/>
      </c>
      <c r="T5453" s="42" t="str">
        <f t="shared" si="328"/>
        <v>-</v>
      </c>
      <c r="U5453" s="40" t="str">
        <f t="shared" si="329"/>
        <v>-</v>
      </c>
      <c r="V5453" s="42" t="str" cm="1">
        <f t="array" ref="V5453">_xlfn.IFS(
LEFT(S5453,16)="win on penalties",IF(VALUE(MID(S5453,19,1))&gt;VALUE(MID(S5453,23,1)),DATA_CLEANED!AK967,DATA_CLEANED!AN967),
ISNUMBER(SEARCH("USA",S5453)),"United States",
ISNUMBER(SEARCH("Republic of Ireland",S5453)),"Ireland",
ISNUMBER(SEARCH("Republic of Korea",S5453)),"South Korea",
ISNUMBER(SEARCH("Cape Verde",S5453)),"Cabo Verde",
ISNUMBER(SEARCH("Czechia",S5453)),"Czech Republic",
ISNUMBER(SEARCH("Türkiye",S5453)),"Turkey",
ISNUMBER(SEARCH("Ivory Coast",S5453)),"Côte d'Ivoire",
ISNUMBER(SEARCH("Korea Republic",S5453)),"South Korea",
ISNUMBER(SEARCH("Germany FR",S5453)),"FR Germany",
ISNUMBER(SEARCH("West Germany",S5453)),"FR Germany",
ISNUMBER(SEARCH("Germany DR",S5453)),"DR Germany",
ISNUMBER(SEARCH("Korea DPR",S5453)),"North Korea",
ISNUMBER(SEARCH("China PR",S5453)),"China",
ISNUMBER(SEARCH("IR Iran",S5453)),"Iran",
ISNUMBER(SEARCH("Congo DR",S5453)),"Democratic Republic of the Congo",
ISNUMBER(SEARCH("DR Congo",S5453)),"Democratic Republic of the Congo",
ISNUMBER(SEARCH("German DR",S5453)),"DR Germany",
ISNUMBER(SEARCH("rn""&gt;United Arab Emirates",S5453)),"United Arab Emirates",
ISNUMBER(SEARCH("rn""&gt;Republic of Ireland",S5453)),"Ireland",
ISNUMBER(SEARCH("rn""&gt;Bosnia and Herzegovina",S5453)),"Bosnia and Herzegovina",
ISNUMBER(SEARCH("rn""&gt;Trinidad and Tobago",S5453)),"Trinidad and Tobago",
ISNUMBER(SEARCH("rn""&gt;Serbia and Montenegro",S5453)),"Serbia and Montenegro",
ISNUMBER(SEARCH(_xlfn.UNICHAR(65533),S5453)),"Côte d'Ivoire",
TRUE,"-"
)</f>
        <v>-</v>
      </c>
      <c r="W5453" s="42" t="str">
        <f t="shared" si="330"/>
        <v>-</v>
      </c>
    </row>
    <row r="5454" spans="19:23">
      <c r="S5454" s="42" t="str">
        <v/>
      </c>
      <c r="T5454" s="42" t="str">
        <f t="shared" si="328"/>
        <v>-</v>
      </c>
      <c r="U5454" s="40" t="str">
        <f t="shared" si="329"/>
        <v>-</v>
      </c>
      <c r="V5454" s="42" t="str" cm="1">
        <f t="array" ref="V5454">_xlfn.IFS(
LEFT(S5454,16)="win on penalties",IF(VALUE(MID(S5454,19,1))&gt;VALUE(MID(S5454,23,1)),DATA_CLEANED!AK968,DATA_CLEANED!AN968),
ISNUMBER(SEARCH("USA",S5454)),"United States",
ISNUMBER(SEARCH("Republic of Ireland",S5454)),"Ireland",
ISNUMBER(SEARCH("Republic of Korea",S5454)),"South Korea",
ISNUMBER(SEARCH("Cape Verde",S5454)),"Cabo Verde",
ISNUMBER(SEARCH("Czechia",S5454)),"Czech Republic",
ISNUMBER(SEARCH("Türkiye",S5454)),"Turkey",
ISNUMBER(SEARCH("Ivory Coast",S5454)),"Côte d'Ivoire",
ISNUMBER(SEARCH("Korea Republic",S5454)),"South Korea",
ISNUMBER(SEARCH("Germany FR",S5454)),"FR Germany",
ISNUMBER(SEARCH("West Germany",S5454)),"FR Germany",
ISNUMBER(SEARCH("Germany DR",S5454)),"DR Germany",
ISNUMBER(SEARCH("Korea DPR",S5454)),"North Korea",
ISNUMBER(SEARCH("China PR",S5454)),"China",
ISNUMBER(SEARCH("IR Iran",S5454)),"Iran",
ISNUMBER(SEARCH("Congo DR",S5454)),"Democratic Republic of the Congo",
ISNUMBER(SEARCH("DR Congo",S5454)),"Democratic Republic of the Congo",
ISNUMBER(SEARCH("German DR",S5454)),"DR Germany",
ISNUMBER(SEARCH("rn""&gt;United Arab Emirates",S5454)),"United Arab Emirates",
ISNUMBER(SEARCH("rn""&gt;Republic of Ireland",S5454)),"Ireland",
ISNUMBER(SEARCH("rn""&gt;Bosnia and Herzegovina",S5454)),"Bosnia and Herzegovina",
ISNUMBER(SEARCH("rn""&gt;Trinidad and Tobago",S5454)),"Trinidad and Tobago",
ISNUMBER(SEARCH("rn""&gt;Serbia and Montenegro",S5454)),"Serbia and Montenegro",
ISNUMBER(SEARCH(_xlfn.UNICHAR(65533),S5454)),"Côte d'Ivoire",
TRUE,"-"
)</f>
        <v>-</v>
      </c>
      <c r="W5454" s="42" t="str">
        <f t="shared" si="330"/>
        <v>-</v>
      </c>
    </row>
    <row r="5455" spans="19:23">
      <c r="S5455" s="42" t="str">
        <v/>
      </c>
      <c r="T5455" s="42" t="str">
        <f t="shared" si="328"/>
        <v>-</v>
      </c>
      <c r="U5455" s="40" t="str">
        <f t="shared" si="329"/>
        <v>-</v>
      </c>
      <c r="V5455" s="42" t="str" cm="1">
        <f t="array" ref="V5455">_xlfn.IFS(
LEFT(S5455,16)="win on penalties",IF(VALUE(MID(S5455,19,1))&gt;VALUE(MID(S5455,23,1)),DATA_CLEANED!AK969,DATA_CLEANED!AN969),
ISNUMBER(SEARCH("USA",S5455)),"United States",
ISNUMBER(SEARCH("Republic of Ireland",S5455)),"Ireland",
ISNUMBER(SEARCH("Republic of Korea",S5455)),"South Korea",
ISNUMBER(SEARCH("Cape Verde",S5455)),"Cabo Verde",
ISNUMBER(SEARCH("Czechia",S5455)),"Czech Republic",
ISNUMBER(SEARCH("Türkiye",S5455)),"Turkey",
ISNUMBER(SEARCH("Ivory Coast",S5455)),"Côte d'Ivoire",
ISNUMBER(SEARCH("Korea Republic",S5455)),"South Korea",
ISNUMBER(SEARCH("Germany FR",S5455)),"FR Germany",
ISNUMBER(SEARCH("West Germany",S5455)),"FR Germany",
ISNUMBER(SEARCH("Germany DR",S5455)),"DR Germany",
ISNUMBER(SEARCH("Korea DPR",S5455)),"North Korea",
ISNUMBER(SEARCH("China PR",S5455)),"China",
ISNUMBER(SEARCH("IR Iran",S5455)),"Iran",
ISNUMBER(SEARCH("Congo DR",S5455)),"Democratic Republic of the Congo",
ISNUMBER(SEARCH("DR Congo",S5455)),"Democratic Republic of the Congo",
ISNUMBER(SEARCH("German DR",S5455)),"DR Germany",
ISNUMBER(SEARCH("rn""&gt;United Arab Emirates",S5455)),"United Arab Emirates",
ISNUMBER(SEARCH("rn""&gt;Republic of Ireland",S5455)),"Ireland",
ISNUMBER(SEARCH("rn""&gt;Bosnia and Herzegovina",S5455)),"Bosnia and Herzegovina",
ISNUMBER(SEARCH("rn""&gt;Trinidad and Tobago",S5455)),"Trinidad and Tobago",
ISNUMBER(SEARCH("rn""&gt;Serbia and Montenegro",S5455)),"Serbia and Montenegro",
ISNUMBER(SEARCH(_xlfn.UNICHAR(65533),S5455)),"Côte d'Ivoire",
TRUE,"-"
)</f>
        <v>-</v>
      </c>
      <c r="W5455" s="42" t="str">
        <f t="shared" si="330"/>
        <v>-</v>
      </c>
    </row>
    <row r="5456" spans="19:23">
      <c r="S5456" s="42" t="str">
        <v/>
      </c>
      <c r="T5456" s="42" t="str">
        <f t="shared" si="328"/>
        <v>-</v>
      </c>
      <c r="U5456" s="40" t="str">
        <f t="shared" si="329"/>
        <v>-</v>
      </c>
      <c r="V5456" s="42" t="str" cm="1">
        <f t="array" ref="V5456">_xlfn.IFS(
LEFT(S5456,16)="win on penalties",IF(VALUE(MID(S5456,19,1))&gt;VALUE(MID(S5456,23,1)),DATA_CLEANED!AK970,DATA_CLEANED!AN970),
ISNUMBER(SEARCH("USA",S5456)),"United States",
ISNUMBER(SEARCH("Republic of Ireland",S5456)),"Ireland",
ISNUMBER(SEARCH("Republic of Korea",S5456)),"South Korea",
ISNUMBER(SEARCH("Cape Verde",S5456)),"Cabo Verde",
ISNUMBER(SEARCH("Czechia",S5456)),"Czech Republic",
ISNUMBER(SEARCH("Türkiye",S5456)),"Turkey",
ISNUMBER(SEARCH("Ivory Coast",S5456)),"Côte d'Ivoire",
ISNUMBER(SEARCH("Korea Republic",S5456)),"South Korea",
ISNUMBER(SEARCH("Germany FR",S5456)),"FR Germany",
ISNUMBER(SEARCH("West Germany",S5456)),"FR Germany",
ISNUMBER(SEARCH("Germany DR",S5456)),"DR Germany",
ISNUMBER(SEARCH("Korea DPR",S5456)),"North Korea",
ISNUMBER(SEARCH("China PR",S5456)),"China",
ISNUMBER(SEARCH("IR Iran",S5456)),"Iran",
ISNUMBER(SEARCH("Congo DR",S5456)),"Democratic Republic of the Congo",
ISNUMBER(SEARCH("DR Congo",S5456)),"Democratic Republic of the Congo",
ISNUMBER(SEARCH("German DR",S5456)),"DR Germany",
ISNUMBER(SEARCH("rn""&gt;United Arab Emirates",S5456)),"United Arab Emirates",
ISNUMBER(SEARCH("rn""&gt;Republic of Ireland",S5456)),"Ireland",
ISNUMBER(SEARCH("rn""&gt;Bosnia and Herzegovina",S5456)),"Bosnia and Herzegovina",
ISNUMBER(SEARCH("rn""&gt;Trinidad and Tobago",S5456)),"Trinidad and Tobago",
ISNUMBER(SEARCH("rn""&gt;Serbia and Montenegro",S5456)),"Serbia and Montenegro",
ISNUMBER(SEARCH(_xlfn.UNICHAR(65533),S5456)),"Côte d'Ivoire",
TRUE,"-"
)</f>
        <v>-</v>
      </c>
      <c r="W5456" s="42" t="str">
        <f t="shared" si="330"/>
        <v>-</v>
      </c>
    </row>
    <row r="5457" spans="19:23">
      <c r="S5457" s="42" t="str">
        <v/>
      </c>
      <c r="T5457" s="42" t="str">
        <f t="shared" si="328"/>
        <v>-</v>
      </c>
      <c r="U5457" s="40" t="str">
        <f t="shared" si="329"/>
        <v>-</v>
      </c>
      <c r="V5457" s="42" t="str" cm="1">
        <f t="array" ref="V5457">_xlfn.IFS(
LEFT(S5457,16)="win on penalties",IF(VALUE(MID(S5457,19,1))&gt;VALUE(MID(S5457,23,1)),DATA_CLEANED!AK971,DATA_CLEANED!AN971),
ISNUMBER(SEARCH("USA",S5457)),"United States",
ISNUMBER(SEARCH("Republic of Ireland",S5457)),"Ireland",
ISNUMBER(SEARCH("Republic of Korea",S5457)),"South Korea",
ISNUMBER(SEARCH("Cape Verde",S5457)),"Cabo Verde",
ISNUMBER(SEARCH("Czechia",S5457)),"Czech Republic",
ISNUMBER(SEARCH("Türkiye",S5457)),"Turkey",
ISNUMBER(SEARCH("Ivory Coast",S5457)),"Côte d'Ivoire",
ISNUMBER(SEARCH("Korea Republic",S5457)),"South Korea",
ISNUMBER(SEARCH("Germany FR",S5457)),"FR Germany",
ISNUMBER(SEARCH("West Germany",S5457)),"FR Germany",
ISNUMBER(SEARCH("Germany DR",S5457)),"DR Germany",
ISNUMBER(SEARCH("Korea DPR",S5457)),"North Korea",
ISNUMBER(SEARCH("China PR",S5457)),"China",
ISNUMBER(SEARCH("IR Iran",S5457)),"Iran",
ISNUMBER(SEARCH("Congo DR",S5457)),"Democratic Republic of the Congo",
ISNUMBER(SEARCH("DR Congo",S5457)),"Democratic Republic of the Congo",
ISNUMBER(SEARCH("German DR",S5457)),"DR Germany",
ISNUMBER(SEARCH("rn""&gt;United Arab Emirates",S5457)),"United Arab Emirates",
ISNUMBER(SEARCH("rn""&gt;Republic of Ireland",S5457)),"Ireland",
ISNUMBER(SEARCH("rn""&gt;Bosnia and Herzegovina",S5457)),"Bosnia and Herzegovina",
ISNUMBER(SEARCH("rn""&gt;Trinidad and Tobago",S5457)),"Trinidad and Tobago",
ISNUMBER(SEARCH("rn""&gt;Serbia and Montenegro",S5457)),"Serbia and Montenegro",
ISNUMBER(SEARCH(_xlfn.UNICHAR(65533),S5457)),"Côte d'Ivoire",
TRUE,"-"
)</f>
        <v>-</v>
      </c>
      <c r="W5457" s="42" t="str">
        <f t="shared" si="330"/>
        <v>-</v>
      </c>
    </row>
    <row r="5458" spans="19:23">
      <c r="S5458" s="42" t="str">
        <v/>
      </c>
      <c r="T5458" s="42" t="str">
        <f t="shared" si="328"/>
        <v>-</v>
      </c>
      <c r="U5458" s="40" t="str">
        <f t="shared" si="329"/>
        <v>-</v>
      </c>
      <c r="V5458" s="42" t="str" cm="1">
        <f t="array" ref="V5458">_xlfn.IFS(
LEFT(S5458,16)="win on penalties",IF(VALUE(MID(S5458,19,1))&gt;VALUE(MID(S5458,23,1)),DATA_CLEANED!AK972,DATA_CLEANED!AN972),
ISNUMBER(SEARCH("USA",S5458)),"United States",
ISNUMBER(SEARCH("Republic of Ireland",S5458)),"Ireland",
ISNUMBER(SEARCH("Republic of Korea",S5458)),"South Korea",
ISNUMBER(SEARCH("Cape Verde",S5458)),"Cabo Verde",
ISNUMBER(SEARCH("Czechia",S5458)),"Czech Republic",
ISNUMBER(SEARCH("Türkiye",S5458)),"Turkey",
ISNUMBER(SEARCH("Ivory Coast",S5458)),"Côte d'Ivoire",
ISNUMBER(SEARCH("Korea Republic",S5458)),"South Korea",
ISNUMBER(SEARCH("Germany FR",S5458)),"FR Germany",
ISNUMBER(SEARCH("West Germany",S5458)),"FR Germany",
ISNUMBER(SEARCH("Germany DR",S5458)),"DR Germany",
ISNUMBER(SEARCH("Korea DPR",S5458)),"North Korea",
ISNUMBER(SEARCH("China PR",S5458)),"China",
ISNUMBER(SEARCH("IR Iran",S5458)),"Iran",
ISNUMBER(SEARCH("Congo DR",S5458)),"Democratic Republic of the Congo",
ISNUMBER(SEARCH("DR Congo",S5458)),"Democratic Republic of the Congo",
ISNUMBER(SEARCH("German DR",S5458)),"DR Germany",
ISNUMBER(SEARCH("rn""&gt;United Arab Emirates",S5458)),"United Arab Emirates",
ISNUMBER(SEARCH("rn""&gt;Republic of Ireland",S5458)),"Ireland",
ISNUMBER(SEARCH("rn""&gt;Bosnia and Herzegovina",S5458)),"Bosnia and Herzegovina",
ISNUMBER(SEARCH("rn""&gt;Trinidad and Tobago",S5458)),"Trinidad and Tobago",
ISNUMBER(SEARCH("rn""&gt;Serbia and Montenegro",S5458)),"Serbia and Montenegro",
ISNUMBER(SEARCH(_xlfn.UNICHAR(65533),S5458)),"Côte d'Ivoire",
TRUE,"-"
)</f>
        <v>-</v>
      </c>
      <c r="W5458" s="42" t="str">
        <f t="shared" si="330"/>
        <v>-</v>
      </c>
    </row>
    <row r="5459" spans="19:23">
      <c r="S5459" s="42" t="str">
        <v/>
      </c>
      <c r="T5459" s="42" t="str">
        <f t="shared" si="328"/>
        <v>-</v>
      </c>
      <c r="U5459" s="40" t="str">
        <f t="shared" si="329"/>
        <v>-</v>
      </c>
      <c r="V5459" s="42" t="str" cm="1">
        <f t="array" ref="V5459">_xlfn.IFS(
LEFT(S5459,16)="win on penalties",IF(VALUE(MID(S5459,19,1))&gt;VALUE(MID(S5459,23,1)),DATA_CLEANED!AK973,DATA_CLEANED!AN973),
ISNUMBER(SEARCH("USA",S5459)),"United States",
ISNUMBER(SEARCH("Republic of Ireland",S5459)),"Ireland",
ISNUMBER(SEARCH("Republic of Korea",S5459)),"South Korea",
ISNUMBER(SEARCH("Cape Verde",S5459)),"Cabo Verde",
ISNUMBER(SEARCH("Czechia",S5459)),"Czech Republic",
ISNUMBER(SEARCH("Türkiye",S5459)),"Turkey",
ISNUMBER(SEARCH("Ivory Coast",S5459)),"Côte d'Ivoire",
ISNUMBER(SEARCH("Korea Republic",S5459)),"South Korea",
ISNUMBER(SEARCH("Germany FR",S5459)),"FR Germany",
ISNUMBER(SEARCH("West Germany",S5459)),"FR Germany",
ISNUMBER(SEARCH("Germany DR",S5459)),"DR Germany",
ISNUMBER(SEARCH("Korea DPR",S5459)),"North Korea",
ISNUMBER(SEARCH("China PR",S5459)),"China",
ISNUMBER(SEARCH("IR Iran",S5459)),"Iran",
ISNUMBER(SEARCH("Congo DR",S5459)),"Democratic Republic of the Congo",
ISNUMBER(SEARCH("DR Congo",S5459)),"Democratic Republic of the Congo",
ISNUMBER(SEARCH("German DR",S5459)),"DR Germany",
ISNUMBER(SEARCH("rn""&gt;United Arab Emirates",S5459)),"United Arab Emirates",
ISNUMBER(SEARCH("rn""&gt;Republic of Ireland",S5459)),"Ireland",
ISNUMBER(SEARCH("rn""&gt;Bosnia and Herzegovina",S5459)),"Bosnia and Herzegovina",
ISNUMBER(SEARCH("rn""&gt;Trinidad and Tobago",S5459)),"Trinidad and Tobago",
ISNUMBER(SEARCH("rn""&gt;Serbia and Montenegro",S5459)),"Serbia and Montenegro",
ISNUMBER(SEARCH(_xlfn.UNICHAR(65533),S5459)),"Côte d'Ivoire",
TRUE,"-"
)</f>
        <v>-</v>
      </c>
      <c r="W5459" s="42" t="str">
        <f t="shared" si="330"/>
        <v>-</v>
      </c>
    </row>
    <row r="5460" spans="19:23">
      <c r="S5460" s="42" t="str">
        <v/>
      </c>
      <c r="T5460" s="42" t="str">
        <f t="shared" si="328"/>
        <v>-</v>
      </c>
      <c r="U5460" s="40" t="str">
        <f t="shared" si="329"/>
        <v>-</v>
      </c>
      <c r="V5460" s="42" t="str" cm="1">
        <f t="array" ref="V5460">_xlfn.IFS(
LEFT(S5460,16)="win on penalties",IF(VALUE(MID(S5460,19,1))&gt;VALUE(MID(S5460,23,1)),DATA_CLEANED!AK974,DATA_CLEANED!AN974),
ISNUMBER(SEARCH("USA",S5460)),"United States",
ISNUMBER(SEARCH("Republic of Ireland",S5460)),"Ireland",
ISNUMBER(SEARCH("Republic of Korea",S5460)),"South Korea",
ISNUMBER(SEARCH("Cape Verde",S5460)),"Cabo Verde",
ISNUMBER(SEARCH("Czechia",S5460)),"Czech Republic",
ISNUMBER(SEARCH("Türkiye",S5460)),"Turkey",
ISNUMBER(SEARCH("Ivory Coast",S5460)),"Côte d'Ivoire",
ISNUMBER(SEARCH("Korea Republic",S5460)),"South Korea",
ISNUMBER(SEARCH("Germany FR",S5460)),"FR Germany",
ISNUMBER(SEARCH("West Germany",S5460)),"FR Germany",
ISNUMBER(SEARCH("Germany DR",S5460)),"DR Germany",
ISNUMBER(SEARCH("Korea DPR",S5460)),"North Korea",
ISNUMBER(SEARCH("China PR",S5460)),"China",
ISNUMBER(SEARCH("IR Iran",S5460)),"Iran",
ISNUMBER(SEARCH("Congo DR",S5460)),"Democratic Republic of the Congo",
ISNUMBER(SEARCH("DR Congo",S5460)),"Democratic Republic of the Congo",
ISNUMBER(SEARCH("German DR",S5460)),"DR Germany",
ISNUMBER(SEARCH("rn""&gt;United Arab Emirates",S5460)),"United Arab Emirates",
ISNUMBER(SEARCH("rn""&gt;Republic of Ireland",S5460)),"Ireland",
ISNUMBER(SEARCH("rn""&gt;Bosnia and Herzegovina",S5460)),"Bosnia and Herzegovina",
ISNUMBER(SEARCH("rn""&gt;Trinidad and Tobago",S5460)),"Trinidad and Tobago",
ISNUMBER(SEARCH("rn""&gt;Serbia and Montenegro",S5460)),"Serbia and Montenegro",
ISNUMBER(SEARCH(_xlfn.UNICHAR(65533),S5460)),"Côte d'Ivoire",
TRUE,"-"
)</f>
        <v>-</v>
      </c>
      <c r="W5460" s="42" t="str">
        <f t="shared" si="330"/>
        <v>-</v>
      </c>
    </row>
    <row r="5461" spans="19:23">
      <c r="S5461" s="42" t="str">
        <v/>
      </c>
      <c r="T5461" s="42" t="str">
        <f t="shared" si="328"/>
        <v>-</v>
      </c>
      <c r="U5461" s="40" t="str">
        <f t="shared" si="329"/>
        <v>-</v>
      </c>
      <c r="V5461" s="42" t="str" cm="1">
        <f t="array" ref="V5461">_xlfn.IFS(
LEFT(S5461,16)="win on penalties",IF(VALUE(MID(S5461,19,1))&gt;VALUE(MID(S5461,23,1)),DATA_CLEANED!AK975,DATA_CLEANED!AN975),
ISNUMBER(SEARCH("USA",S5461)),"United States",
ISNUMBER(SEARCH("Republic of Ireland",S5461)),"Ireland",
ISNUMBER(SEARCH("Republic of Korea",S5461)),"South Korea",
ISNUMBER(SEARCH("Cape Verde",S5461)),"Cabo Verde",
ISNUMBER(SEARCH("Czechia",S5461)),"Czech Republic",
ISNUMBER(SEARCH("Türkiye",S5461)),"Turkey",
ISNUMBER(SEARCH("Ivory Coast",S5461)),"Côte d'Ivoire",
ISNUMBER(SEARCH("Korea Republic",S5461)),"South Korea",
ISNUMBER(SEARCH("Germany FR",S5461)),"FR Germany",
ISNUMBER(SEARCH("West Germany",S5461)),"FR Germany",
ISNUMBER(SEARCH("Germany DR",S5461)),"DR Germany",
ISNUMBER(SEARCH("Korea DPR",S5461)),"North Korea",
ISNUMBER(SEARCH("China PR",S5461)),"China",
ISNUMBER(SEARCH("IR Iran",S5461)),"Iran",
ISNUMBER(SEARCH("Congo DR",S5461)),"Democratic Republic of the Congo",
ISNUMBER(SEARCH("DR Congo",S5461)),"Democratic Republic of the Congo",
ISNUMBER(SEARCH("German DR",S5461)),"DR Germany",
ISNUMBER(SEARCH("rn""&gt;United Arab Emirates",S5461)),"United Arab Emirates",
ISNUMBER(SEARCH("rn""&gt;Republic of Ireland",S5461)),"Ireland",
ISNUMBER(SEARCH("rn""&gt;Bosnia and Herzegovina",S5461)),"Bosnia and Herzegovina",
ISNUMBER(SEARCH("rn""&gt;Trinidad and Tobago",S5461)),"Trinidad and Tobago",
ISNUMBER(SEARCH("rn""&gt;Serbia and Montenegro",S5461)),"Serbia and Montenegro",
ISNUMBER(SEARCH(_xlfn.UNICHAR(65533),S5461)),"Côte d'Ivoire",
TRUE,"-"
)</f>
        <v>-</v>
      </c>
      <c r="W5461" s="42" t="str">
        <f t="shared" si="330"/>
        <v>-</v>
      </c>
    </row>
    <row r="5462" spans="19:23">
      <c r="S5462" s="42" t="str">
        <v/>
      </c>
      <c r="T5462" s="42" t="str">
        <f t="shared" si="328"/>
        <v>-</v>
      </c>
      <c r="U5462" s="40" t="str">
        <f t="shared" si="329"/>
        <v>-</v>
      </c>
      <c r="V5462" s="42" t="str" cm="1">
        <f t="array" ref="V5462">_xlfn.IFS(
LEFT(S5462,16)="win on penalties",IF(VALUE(MID(S5462,19,1))&gt;VALUE(MID(S5462,23,1)),DATA_CLEANED!AK976,DATA_CLEANED!AN976),
ISNUMBER(SEARCH("USA",S5462)),"United States",
ISNUMBER(SEARCH("Republic of Ireland",S5462)),"Ireland",
ISNUMBER(SEARCH("Republic of Korea",S5462)),"South Korea",
ISNUMBER(SEARCH("Cape Verde",S5462)),"Cabo Verde",
ISNUMBER(SEARCH("Czechia",S5462)),"Czech Republic",
ISNUMBER(SEARCH("Türkiye",S5462)),"Turkey",
ISNUMBER(SEARCH("Ivory Coast",S5462)),"Côte d'Ivoire",
ISNUMBER(SEARCH("Korea Republic",S5462)),"South Korea",
ISNUMBER(SEARCH("Germany FR",S5462)),"FR Germany",
ISNUMBER(SEARCH("West Germany",S5462)),"FR Germany",
ISNUMBER(SEARCH("Germany DR",S5462)),"DR Germany",
ISNUMBER(SEARCH("Korea DPR",S5462)),"North Korea",
ISNUMBER(SEARCH("China PR",S5462)),"China",
ISNUMBER(SEARCH("IR Iran",S5462)),"Iran",
ISNUMBER(SEARCH("Congo DR",S5462)),"Democratic Republic of the Congo",
ISNUMBER(SEARCH("DR Congo",S5462)),"Democratic Republic of the Congo",
ISNUMBER(SEARCH("German DR",S5462)),"DR Germany",
ISNUMBER(SEARCH("rn""&gt;United Arab Emirates",S5462)),"United Arab Emirates",
ISNUMBER(SEARCH("rn""&gt;Republic of Ireland",S5462)),"Ireland",
ISNUMBER(SEARCH("rn""&gt;Bosnia and Herzegovina",S5462)),"Bosnia and Herzegovina",
ISNUMBER(SEARCH("rn""&gt;Trinidad and Tobago",S5462)),"Trinidad and Tobago",
ISNUMBER(SEARCH("rn""&gt;Serbia and Montenegro",S5462)),"Serbia and Montenegro",
ISNUMBER(SEARCH(_xlfn.UNICHAR(65533),S5462)),"Côte d'Ivoire",
TRUE,"-"
)</f>
        <v>-</v>
      </c>
      <c r="W5462" s="42" t="str">
        <f t="shared" si="330"/>
        <v>-</v>
      </c>
    </row>
    <row r="5463" spans="19:23">
      <c r="S5463" s="42" t="str">
        <v/>
      </c>
      <c r="T5463" s="42" t="str">
        <f t="shared" si="328"/>
        <v>-</v>
      </c>
      <c r="U5463" s="40" t="str">
        <f t="shared" si="329"/>
        <v>-</v>
      </c>
      <c r="V5463" s="42" t="str" cm="1">
        <f t="array" ref="V5463">_xlfn.IFS(
LEFT(S5463,16)="win on penalties",IF(VALUE(MID(S5463,19,1))&gt;VALUE(MID(S5463,23,1)),DATA_CLEANED!AK977,DATA_CLEANED!AN977),
ISNUMBER(SEARCH("USA",S5463)),"United States",
ISNUMBER(SEARCH("Republic of Ireland",S5463)),"Ireland",
ISNUMBER(SEARCH("Republic of Korea",S5463)),"South Korea",
ISNUMBER(SEARCH("Cape Verde",S5463)),"Cabo Verde",
ISNUMBER(SEARCH("Czechia",S5463)),"Czech Republic",
ISNUMBER(SEARCH("Türkiye",S5463)),"Turkey",
ISNUMBER(SEARCH("Ivory Coast",S5463)),"Côte d'Ivoire",
ISNUMBER(SEARCH("Korea Republic",S5463)),"South Korea",
ISNUMBER(SEARCH("Germany FR",S5463)),"FR Germany",
ISNUMBER(SEARCH("West Germany",S5463)),"FR Germany",
ISNUMBER(SEARCH("Germany DR",S5463)),"DR Germany",
ISNUMBER(SEARCH("Korea DPR",S5463)),"North Korea",
ISNUMBER(SEARCH("China PR",S5463)),"China",
ISNUMBER(SEARCH("IR Iran",S5463)),"Iran",
ISNUMBER(SEARCH("Congo DR",S5463)),"Democratic Republic of the Congo",
ISNUMBER(SEARCH("DR Congo",S5463)),"Democratic Republic of the Congo",
ISNUMBER(SEARCH("German DR",S5463)),"DR Germany",
ISNUMBER(SEARCH("rn""&gt;United Arab Emirates",S5463)),"United Arab Emirates",
ISNUMBER(SEARCH("rn""&gt;Republic of Ireland",S5463)),"Ireland",
ISNUMBER(SEARCH("rn""&gt;Bosnia and Herzegovina",S5463)),"Bosnia and Herzegovina",
ISNUMBER(SEARCH("rn""&gt;Trinidad and Tobago",S5463)),"Trinidad and Tobago",
ISNUMBER(SEARCH("rn""&gt;Serbia and Montenegro",S5463)),"Serbia and Montenegro",
ISNUMBER(SEARCH(_xlfn.UNICHAR(65533),S5463)),"Côte d'Ivoire",
TRUE,"-"
)</f>
        <v>-</v>
      </c>
      <c r="W5463" s="42" t="str">
        <f t="shared" si="330"/>
        <v>-</v>
      </c>
    </row>
    <row r="5464" spans="19:23">
      <c r="S5464" s="42" t="str">
        <v/>
      </c>
      <c r="T5464" s="42" t="str">
        <f t="shared" si="328"/>
        <v>-</v>
      </c>
      <c r="U5464" s="40" t="str">
        <f t="shared" si="329"/>
        <v>-</v>
      </c>
      <c r="V5464" s="42" t="str" cm="1">
        <f t="array" ref="V5464">_xlfn.IFS(
LEFT(S5464,16)="win on penalties",IF(VALUE(MID(S5464,19,1))&gt;VALUE(MID(S5464,23,1)),DATA_CLEANED!AK978,DATA_CLEANED!AN978),
ISNUMBER(SEARCH("USA",S5464)),"United States",
ISNUMBER(SEARCH("Republic of Ireland",S5464)),"Ireland",
ISNUMBER(SEARCH("Republic of Korea",S5464)),"South Korea",
ISNUMBER(SEARCH("Cape Verde",S5464)),"Cabo Verde",
ISNUMBER(SEARCH("Czechia",S5464)),"Czech Republic",
ISNUMBER(SEARCH("Türkiye",S5464)),"Turkey",
ISNUMBER(SEARCH("Ivory Coast",S5464)),"Côte d'Ivoire",
ISNUMBER(SEARCH("Korea Republic",S5464)),"South Korea",
ISNUMBER(SEARCH("Germany FR",S5464)),"FR Germany",
ISNUMBER(SEARCH("West Germany",S5464)),"FR Germany",
ISNUMBER(SEARCH("Germany DR",S5464)),"DR Germany",
ISNUMBER(SEARCH("Korea DPR",S5464)),"North Korea",
ISNUMBER(SEARCH("China PR",S5464)),"China",
ISNUMBER(SEARCH("IR Iran",S5464)),"Iran",
ISNUMBER(SEARCH("Congo DR",S5464)),"Democratic Republic of the Congo",
ISNUMBER(SEARCH("DR Congo",S5464)),"Democratic Republic of the Congo",
ISNUMBER(SEARCH("German DR",S5464)),"DR Germany",
ISNUMBER(SEARCH("rn""&gt;United Arab Emirates",S5464)),"United Arab Emirates",
ISNUMBER(SEARCH("rn""&gt;Republic of Ireland",S5464)),"Ireland",
ISNUMBER(SEARCH("rn""&gt;Bosnia and Herzegovina",S5464)),"Bosnia and Herzegovina",
ISNUMBER(SEARCH("rn""&gt;Trinidad and Tobago",S5464)),"Trinidad and Tobago",
ISNUMBER(SEARCH("rn""&gt;Serbia and Montenegro",S5464)),"Serbia and Montenegro",
ISNUMBER(SEARCH(_xlfn.UNICHAR(65533),S5464)),"Côte d'Ivoire",
TRUE,"-"
)</f>
        <v>-</v>
      </c>
      <c r="W5464" s="42" t="str">
        <f t="shared" si="330"/>
        <v>-</v>
      </c>
    </row>
    <row r="5465" spans="19:23">
      <c r="S5465" s="42" t="str">
        <v/>
      </c>
      <c r="T5465" s="42" t="str">
        <f t="shared" si="328"/>
        <v>-</v>
      </c>
      <c r="U5465" s="40" t="str">
        <f t="shared" si="329"/>
        <v>-</v>
      </c>
      <c r="V5465" s="42" t="str" cm="1">
        <f t="array" ref="V5465">_xlfn.IFS(
LEFT(S5465,16)="win on penalties",IF(VALUE(MID(S5465,19,1))&gt;VALUE(MID(S5465,23,1)),DATA_CLEANED!AK979,DATA_CLEANED!AN979),
ISNUMBER(SEARCH("USA",S5465)),"United States",
ISNUMBER(SEARCH("Republic of Ireland",S5465)),"Ireland",
ISNUMBER(SEARCH("Republic of Korea",S5465)),"South Korea",
ISNUMBER(SEARCH("Cape Verde",S5465)),"Cabo Verde",
ISNUMBER(SEARCH("Czechia",S5465)),"Czech Republic",
ISNUMBER(SEARCH("Türkiye",S5465)),"Turkey",
ISNUMBER(SEARCH("Ivory Coast",S5465)),"Côte d'Ivoire",
ISNUMBER(SEARCH("Korea Republic",S5465)),"South Korea",
ISNUMBER(SEARCH("Germany FR",S5465)),"FR Germany",
ISNUMBER(SEARCH("West Germany",S5465)),"FR Germany",
ISNUMBER(SEARCH("Germany DR",S5465)),"DR Germany",
ISNUMBER(SEARCH("Korea DPR",S5465)),"North Korea",
ISNUMBER(SEARCH("China PR",S5465)),"China",
ISNUMBER(SEARCH("IR Iran",S5465)),"Iran",
ISNUMBER(SEARCH("Congo DR",S5465)),"Democratic Republic of the Congo",
ISNUMBER(SEARCH("DR Congo",S5465)),"Democratic Republic of the Congo",
ISNUMBER(SEARCH("German DR",S5465)),"DR Germany",
ISNUMBER(SEARCH("rn""&gt;United Arab Emirates",S5465)),"United Arab Emirates",
ISNUMBER(SEARCH("rn""&gt;Republic of Ireland",S5465)),"Ireland",
ISNUMBER(SEARCH("rn""&gt;Bosnia and Herzegovina",S5465)),"Bosnia and Herzegovina",
ISNUMBER(SEARCH("rn""&gt;Trinidad and Tobago",S5465)),"Trinidad and Tobago",
ISNUMBER(SEARCH("rn""&gt;Serbia and Montenegro",S5465)),"Serbia and Montenegro",
ISNUMBER(SEARCH(_xlfn.UNICHAR(65533),S5465)),"Côte d'Ivoire",
TRUE,"-"
)</f>
        <v>-</v>
      </c>
      <c r="W5465" s="42" t="str">
        <f t="shared" si="330"/>
        <v>-</v>
      </c>
    </row>
    <row r="5466" spans="19:23">
      <c r="S5466" s="42" t="str">
        <v/>
      </c>
      <c r="T5466" s="42" t="str">
        <f t="shared" si="328"/>
        <v>-</v>
      </c>
      <c r="U5466" s="40" t="str">
        <f t="shared" si="329"/>
        <v>-</v>
      </c>
      <c r="V5466" s="42" t="str" cm="1">
        <f t="array" ref="V5466">_xlfn.IFS(
LEFT(S5466,16)="win on penalties",IF(VALUE(MID(S5466,19,1))&gt;VALUE(MID(S5466,23,1)),DATA_CLEANED!AK980,DATA_CLEANED!AN980),
ISNUMBER(SEARCH("USA",S5466)),"United States",
ISNUMBER(SEARCH("Republic of Ireland",S5466)),"Ireland",
ISNUMBER(SEARCH("Republic of Korea",S5466)),"South Korea",
ISNUMBER(SEARCH("Cape Verde",S5466)),"Cabo Verde",
ISNUMBER(SEARCH("Czechia",S5466)),"Czech Republic",
ISNUMBER(SEARCH("Türkiye",S5466)),"Turkey",
ISNUMBER(SEARCH("Ivory Coast",S5466)),"Côte d'Ivoire",
ISNUMBER(SEARCH("Korea Republic",S5466)),"South Korea",
ISNUMBER(SEARCH("Germany FR",S5466)),"FR Germany",
ISNUMBER(SEARCH("West Germany",S5466)),"FR Germany",
ISNUMBER(SEARCH("Germany DR",S5466)),"DR Germany",
ISNUMBER(SEARCH("Korea DPR",S5466)),"North Korea",
ISNUMBER(SEARCH("China PR",S5466)),"China",
ISNUMBER(SEARCH("IR Iran",S5466)),"Iran",
ISNUMBER(SEARCH("Congo DR",S5466)),"Democratic Republic of the Congo",
ISNUMBER(SEARCH("DR Congo",S5466)),"Democratic Republic of the Congo",
ISNUMBER(SEARCH("German DR",S5466)),"DR Germany",
ISNUMBER(SEARCH("rn""&gt;United Arab Emirates",S5466)),"United Arab Emirates",
ISNUMBER(SEARCH("rn""&gt;Republic of Ireland",S5466)),"Ireland",
ISNUMBER(SEARCH("rn""&gt;Bosnia and Herzegovina",S5466)),"Bosnia and Herzegovina",
ISNUMBER(SEARCH("rn""&gt;Trinidad and Tobago",S5466)),"Trinidad and Tobago",
ISNUMBER(SEARCH("rn""&gt;Serbia and Montenegro",S5466)),"Serbia and Montenegro",
ISNUMBER(SEARCH(_xlfn.UNICHAR(65533),S5466)),"Côte d'Ivoire",
TRUE,"-"
)</f>
        <v>-</v>
      </c>
      <c r="W5466" s="42" t="str">
        <f t="shared" si="330"/>
        <v>-</v>
      </c>
    </row>
    <row r="5467" spans="19:23">
      <c r="S5467" s="42" t="str">
        <v/>
      </c>
      <c r="T5467" s="42" t="str">
        <f t="shared" si="328"/>
        <v>-</v>
      </c>
      <c r="U5467" s="40" t="str">
        <f t="shared" si="329"/>
        <v>-</v>
      </c>
      <c r="V5467" s="42" t="str" cm="1">
        <f t="array" ref="V5467">_xlfn.IFS(
LEFT(S5467,16)="win on penalties",IF(VALUE(MID(S5467,19,1))&gt;VALUE(MID(S5467,23,1)),DATA_CLEANED!AK981,DATA_CLEANED!AN981),
ISNUMBER(SEARCH("USA",S5467)),"United States",
ISNUMBER(SEARCH("Republic of Ireland",S5467)),"Ireland",
ISNUMBER(SEARCH("Republic of Korea",S5467)),"South Korea",
ISNUMBER(SEARCH("Cape Verde",S5467)),"Cabo Verde",
ISNUMBER(SEARCH("Czechia",S5467)),"Czech Republic",
ISNUMBER(SEARCH("Türkiye",S5467)),"Turkey",
ISNUMBER(SEARCH("Ivory Coast",S5467)),"Côte d'Ivoire",
ISNUMBER(SEARCH("Korea Republic",S5467)),"South Korea",
ISNUMBER(SEARCH("Germany FR",S5467)),"FR Germany",
ISNUMBER(SEARCH("West Germany",S5467)),"FR Germany",
ISNUMBER(SEARCH("Germany DR",S5467)),"DR Germany",
ISNUMBER(SEARCH("Korea DPR",S5467)),"North Korea",
ISNUMBER(SEARCH("China PR",S5467)),"China",
ISNUMBER(SEARCH("IR Iran",S5467)),"Iran",
ISNUMBER(SEARCH("Congo DR",S5467)),"Democratic Republic of the Congo",
ISNUMBER(SEARCH("DR Congo",S5467)),"Democratic Republic of the Congo",
ISNUMBER(SEARCH("German DR",S5467)),"DR Germany",
ISNUMBER(SEARCH("rn""&gt;United Arab Emirates",S5467)),"United Arab Emirates",
ISNUMBER(SEARCH("rn""&gt;Republic of Ireland",S5467)),"Ireland",
ISNUMBER(SEARCH("rn""&gt;Bosnia and Herzegovina",S5467)),"Bosnia and Herzegovina",
ISNUMBER(SEARCH("rn""&gt;Trinidad and Tobago",S5467)),"Trinidad and Tobago",
ISNUMBER(SEARCH("rn""&gt;Serbia and Montenegro",S5467)),"Serbia and Montenegro",
ISNUMBER(SEARCH(_xlfn.UNICHAR(65533),S5467)),"Côte d'Ivoire",
TRUE,"-"
)</f>
        <v>-</v>
      </c>
      <c r="W5467" s="42" t="str">
        <f t="shared" si="330"/>
        <v>-</v>
      </c>
    </row>
    <row r="5468" spans="19:23">
      <c r="S5468" s="42" t="str">
        <v/>
      </c>
      <c r="T5468" s="42" t="str">
        <f t="shared" si="328"/>
        <v>-</v>
      </c>
      <c r="U5468" s="40" t="str">
        <f t="shared" si="329"/>
        <v>-</v>
      </c>
      <c r="V5468" s="42" t="str" cm="1">
        <f t="array" ref="V5468">_xlfn.IFS(
LEFT(S5468,16)="win on penalties",IF(VALUE(MID(S5468,19,1))&gt;VALUE(MID(S5468,23,1)),DATA_CLEANED!AK982,DATA_CLEANED!AN982),
ISNUMBER(SEARCH("USA",S5468)),"United States",
ISNUMBER(SEARCH("Republic of Ireland",S5468)),"Ireland",
ISNUMBER(SEARCH("Republic of Korea",S5468)),"South Korea",
ISNUMBER(SEARCH("Cape Verde",S5468)),"Cabo Verde",
ISNUMBER(SEARCH("Czechia",S5468)),"Czech Republic",
ISNUMBER(SEARCH("Türkiye",S5468)),"Turkey",
ISNUMBER(SEARCH("Ivory Coast",S5468)),"Côte d'Ivoire",
ISNUMBER(SEARCH("Korea Republic",S5468)),"South Korea",
ISNUMBER(SEARCH("Germany FR",S5468)),"FR Germany",
ISNUMBER(SEARCH("West Germany",S5468)),"FR Germany",
ISNUMBER(SEARCH("Germany DR",S5468)),"DR Germany",
ISNUMBER(SEARCH("Korea DPR",S5468)),"North Korea",
ISNUMBER(SEARCH("China PR",S5468)),"China",
ISNUMBER(SEARCH("IR Iran",S5468)),"Iran",
ISNUMBER(SEARCH("Congo DR",S5468)),"Democratic Republic of the Congo",
ISNUMBER(SEARCH("DR Congo",S5468)),"Democratic Republic of the Congo",
ISNUMBER(SEARCH("German DR",S5468)),"DR Germany",
ISNUMBER(SEARCH("rn""&gt;United Arab Emirates",S5468)),"United Arab Emirates",
ISNUMBER(SEARCH("rn""&gt;Republic of Ireland",S5468)),"Ireland",
ISNUMBER(SEARCH("rn""&gt;Bosnia and Herzegovina",S5468)),"Bosnia and Herzegovina",
ISNUMBER(SEARCH("rn""&gt;Trinidad and Tobago",S5468)),"Trinidad and Tobago",
ISNUMBER(SEARCH("rn""&gt;Serbia and Montenegro",S5468)),"Serbia and Montenegro",
ISNUMBER(SEARCH(_xlfn.UNICHAR(65533),S5468)),"Côte d'Ivoire",
TRUE,"-"
)</f>
        <v>-</v>
      </c>
      <c r="W5468" s="42" t="str">
        <f t="shared" si="330"/>
        <v>-</v>
      </c>
    </row>
    <row r="5469" spans="19:23">
      <c r="S5469" s="42" t="str">
        <v/>
      </c>
      <c r="T5469" s="42" t="str">
        <f t="shared" si="328"/>
        <v>-</v>
      </c>
      <c r="U5469" s="40" t="str">
        <f t="shared" si="329"/>
        <v>-</v>
      </c>
      <c r="V5469" s="42" t="str" cm="1">
        <f t="array" ref="V5469">_xlfn.IFS(
LEFT(S5469,16)="win on penalties",IF(VALUE(MID(S5469,19,1))&gt;VALUE(MID(S5469,23,1)),DATA_CLEANED!AK983,DATA_CLEANED!AN983),
ISNUMBER(SEARCH("USA",S5469)),"United States",
ISNUMBER(SEARCH("Republic of Ireland",S5469)),"Ireland",
ISNUMBER(SEARCH("Republic of Korea",S5469)),"South Korea",
ISNUMBER(SEARCH("Cape Verde",S5469)),"Cabo Verde",
ISNUMBER(SEARCH("Czechia",S5469)),"Czech Republic",
ISNUMBER(SEARCH("Türkiye",S5469)),"Turkey",
ISNUMBER(SEARCH("Ivory Coast",S5469)),"Côte d'Ivoire",
ISNUMBER(SEARCH("Korea Republic",S5469)),"South Korea",
ISNUMBER(SEARCH("Germany FR",S5469)),"FR Germany",
ISNUMBER(SEARCH("West Germany",S5469)),"FR Germany",
ISNUMBER(SEARCH("Germany DR",S5469)),"DR Germany",
ISNUMBER(SEARCH("Korea DPR",S5469)),"North Korea",
ISNUMBER(SEARCH("China PR",S5469)),"China",
ISNUMBER(SEARCH("IR Iran",S5469)),"Iran",
ISNUMBER(SEARCH("Congo DR",S5469)),"Democratic Republic of the Congo",
ISNUMBER(SEARCH("DR Congo",S5469)),"Democratic Republic of the Congo",
ISNUMBER(SEARCH("German DR",S5469)),"DR Germany",
ISNUMBER(SEARCH("rn""&gt;United Arab Emirates",S5469)),"United Arab Emirates",
ISNUMBER(SEARCH("rn""&gt;Republic of Ireland",S5469)),"Ireland",
ISNUMBER(SEARCH("rn""&gt;Bosnia and Herzegovina",S5469)),"Bosnia and Herzegovina",
ISNUMBER(SEARCH("rn""&gt;Trinidad and Tobago",S5469)),"Trinidad and Tobago",
ISNUMBER(SEARCH("rn""&gt;Serbia and Montenegro",S5469)),"Serbia and Montenegro",
ISNUMBER(SEARCH(_xlfn.UNICHAR(65533),S5469)),"Côte d'Ivoire",
TRUE,"-"
)</f>
        <v>-</v>
      </c>
      <c r="W5469" s="42" t="str">
        <f t="shared" si="330"/>
        <v>-</v>
      </c>
    </row>
    <row r="5470" spans="19:23">
      <c r="S5470" s="42" t="str">
        <v/>
      </c>
      <c r="T5470" s="42" t="str">
        <f t="shared" si="328"/>
        <v>-</v>
      </c>
      <c r="U5470" s="40" t="str">
        <f t="shared" si="329"/>
        <v>-</v>
      </c>
      <c r="V5470" s="42" t="str" cm="1">
        <f t="array" ref="V5470">_xlfn.IFS(
LEFT(S5470,16)="win on penalties",IF(VALUE(MID(S5470,19,1))&gt;VALUE(MID(S5470,23,1)),DATA_CLEANED!AK984,DATA_CLEANED!AN984),
ISNUMBER(SEARCH("USA",S5470)),"United States",
ISNUMBER(SEARCH("Republic of Ireland",S5470)),"Ireland",
ISNUMBER(SEARCH("Republic of Korea",S5470)),"South Korea",
ISNUMBER(SEARCH("Cape Verde",S5470)),"Cabo Verde",
ISNUMBER(SEARCH("Czechia",S5470)),"Czech Republic",
ISNUMBER(SEARCH("Türkiye",S5470)),"Turkey",
ISNUMBER(SEARCH("Ivory Coast",S5470)),"Côte d'Ivoire",
ISNUMBER(SEARCH("Korea Republic",S5470)),"South Korea",
ISNUMBER(SEARCH("Germany FR",S5470)),"FR Germany",
ISNUMBER(SEARCH("West Germany",S5470)),"FR Germany",
ISNUMBER(SEARCH("Germany DR",S5470)),"DR Germany",
ISNUMBER(SEARCH("Korea DPR",S5470)),"North Korea",
ISNUMBER(SEARCH("China PR",S5470)),"China",
ISNUMBER(SEARCH("IR Iran",S5470)),"Iran",
ISNUMBER(SEARCH("Congo DR",S5470)),"Democratic Republic of the Congo",
ISNUMBER(SEARCH("DR Congo",S5470)),"Democratic Republic of the Congo",
ISNUMBER(SEARCH("German DR",S5470)),"DR Germany",
ISNUMBER(SEARCH("rn""&gt;United Arab Emirates",S5470)),"United Arab Emirates",
ISNUMBER(SEARCH("rn""&gt;Republic of Ireland",S5470)),"Ireland",
ISNUMBER(SEARCH("rn""&gt;Bosnia and Herzegovina",S5470)),"Bosnia and Herzegovina",
ISNUMBER(SEARCH("rn""&gt;Trinidad and Tobago",S5470)),"Trinidad and Tobago",
ISNUMBER(SEARCH("rn""&gt;Serbia and Montenegro",S5470)),"Serbia and Montenegro",
ISNUMBER(SEARCH(_xlfn.UNICHAR(65533),S5470)),"Côte d'Ivoire",
TRUE,"-"
)</f>
        <v>-</v>
      </c>
      <c r="W5470" s="42" t="str">
        <f t="shared" si="330"/>
        <v>-</v>
      </c>
    </row>
    <row r="5471" spans="19:23">
      <c r="S5471" s="42" t="str">
        <v/>
      </c>
      <c r="T5471" s="42" t="str">
        <f t="shared" si="328"/>
        <v>-</v>
      </c>
      <c r="U5471" s="40" t="str">
        <f t="shared" si="329"/>
        <v>-</v>
      </c>
      <c r="V5471" s="42" t="str" cm="1">
        <f t="array" ref="V5471">_xlfn.IFS(
LEFT(S5471,16)="win on penalties",IF(VALUE(MID(S5471,19,1))&gt;VALUE(MID(S5471,23,1)),DATA_CLEANED!AK985,DATA_CLEANED!AN985),
ISNUMBER(SEARCH("USA",S5471)),"United States",
ISNUMBER(SEARCH("Republic of Ireland",S5471)),"Ireland",
ISNUMBER(SEARCH("Republic of Korea",S5471)),"South Korea",
ISNUMBER(SEARCH("Cape Verde",S5471)),"Cabo Verde",
ISNUMBER(SEARCH("Czechia",S5471)),"Czech Republic",
ISNUMBER(SEARCH("Türkiye",S5471)),"Turkey",
ISNUMBER(SEARCH("Ivory Coast",S5471)),"Côte d'Ivoire",
ISNUMBER(SEARCH("Korea Republic",S5471)),"South Korea",
ISNUMBER(SEARCH("Germany FR",S5471)),"FR Germany",
ISNUMBER(SEARCH("West Germany",S5471)),"FR Germany",
ISNUMBER(SEARCH("Germany DR",S5471)),"DR Germany",
ISNUMBER(SEARCH("Korea DPR",S5471)),"North Korea",
ISNUMBER(SEARCH("China PR",S5471)),"China",
ISNUMBER(SEARCH("IR Iran",S5471)),"Iran",
ISNUMBER(SEARCH("Congo DR",S5471)),"Democratic Republic of the Congo",
ISNUMBER(SEARCH("DR Congo",S5471)),"Democratic Republic of the Congo",
ISNUMBER(SEARCH("German DR",S5471)),"DR Germany",
ISNUMBER(SEARCH("rn""&gt;United Arab Emirates",S5471)),"United Arab Emirates",
ISNUMBER(SEARCH("rn""&gt;Republic of Ireland",S5471)),"Ireland",
ISNUMBER(SEARCH("rn""&gt;Bosnia and Herzegovina",S5471)),"Bosnia and Herzegovina",
ISNUMBER(SEARCH("rn""&gt;Trinidad and Tobago",S5471)),"Trinidad and Tobago",
ISNUMBER(SEARCH("rn""&gt;Serbia and Montenegro",S5471)),"Serbia and Montenegro",
ISNUMBER(SEARCH(_xlfn.UNICHAR(65533),S5471)),"Côte d'Ivoire",
TRUE,"-"
)</f>
        <v>-</v>
      </c>
      <c r="W5471" s="42" t="str">
        <f t="shared" si="330"/>
        <v>-</v>
      </c>
    </row>
    <row r="5472" spans="19:23">
      <c r="S5472" s="42" t="str">
        <v/>
      </c>
      <c r="T5472" s="42" t="str">
        <f t="shared" si="328"/>
        <v>-</v>
      </c>
      <c r="U5472" s="40" t="str">
        <f t="shared" si="329"/>
        <v>-</v>
      </c>
      <c r="V5472" s="42" t="str" cm="1">
        <f t="array" ref="V5472">_xlfn.IFS(
LEFT(S5472,16)="win on penalties",IF(VALUE(MID(S5472,19,1))&gt;VALUE(MID(S5472,23,1)),DATA_CLEANED!AK986,DATA_CLEANED!AN986),
ISNUMBER(SEARCH("USA",S5472)),"United States",
ISNUMBER(SEARCH("Republic of Ireland",S5472)),"Ireland",
ISNUMBER(SEARCH("Republic of Korea",S5472)),"South Korea",
ISNUMBER(SEARCH("Cape Verde",S5472)),"Cabo Verde",
ISNUMBER(SEARCH("Czechia",S5472)),"Czech Republic",
ISNUMBER(SEARCH("Türkiye",S5472)),"Turkey",
ISNUMBER(SEARCH("Ivory Coast",S5472)),"Côte d'Ivoire",
ISNUMBER(SEARCH("Korea Republic",S5472)),"South Korea",
ISNUMBER(SEARCH("Germany FR",S5472)),"FR Germany",
ISNUMBER(SEARCH("West Germany",S5472)),"FR Germany",
ISNUMBER(SEARCH("Germany DR",S5472)),"DR Germany",
ISNUMBER(SEARCH("Korea DPR",S5472)),"North Korea",
ISNUMBER(SEARCH("China PR",S5472)),"China",
ISNUMBER(SEARCH("IR Iran",S5472)),"Iran",
ISNUMBER(SEARCH("Congo DR",S5472)),"Democratic Republic of the Congo",
ISNUMBER(SEARCH("DR Congo",S5472)),"Democratic Republic of the Congo",
ISNUMBER(SEARCH("German DR",S5472)),"DR Germany",
ISNUMBER(SEARCH("rn""&gt;United Arab Emirates",S5472)),"United Arab Emirates",
ISNUMBER(SEARCH("rn""&gt;Republic of Ireland",S5472)),"Ireland",
ISNUMBER(SEARCH("rn""&gt;Bosnia and Herzegovina",S5472)),"Bosnia and Herzegovina",
ISNUMBER(SEARCH("rn""&gt;Trinidad and Tobago",S5472)),"Trinidad and Tobago",
ISNUMBER(SEARCH("rn""&gt;Serbia and Montenegro",S5472)),"Serbia and Montenegro",
ISNUMBER(SEARCH(_xlfn.UNICHAR(65533),S5472)),"Côte d'Ivoire",
TRUE,"-"
)</f>
        <v>-</v>
      </c>
      <c r="W5472" s="42" t="str">
        <f t="shared" si="330"/>
        <v>-</v>
      </c>
    </row>
    <row r="5473" spans="19:23">
      <c r="S5473" s="42" t="str">
        <v/>
      </c>
      <c r="T5473" s="42" t="str">
        <f t="shared" si="328"/>
        <v>-</v>
      </c>
      <c r="U5473" s="40" t="str">
        <f t="shared" si="329"/>
        <v>-</v>
      </c>
      <c r="V5473" s="42" t="str" cm="1">
        <f t="array" ref="V5473">_xlfn.IFS(
LEFT(S5473,16)="win on penalties",IF(VALUE(MID(S5473,19,1))&gt;VALUE(MID(S5473,23,1)),DATA_CLEANED!AK987,DATA_CLEANED!AN987),
ISNUMBER(SEARCH("USA",S5473)),"United States",
ISNUMBER(SEARCH("Republic of Ireland",S5473)),"Ireland",
ISNUMBER(SEARCH("Republic of Korea",S5473)),"South Korea",
ISNUMBER(SEARCH("Cape Verde",S5473)),"Cabo Verde",
ISNUMBER(SEARCH("Czechia",S5473)),"Czech Republic",
ISNUMBER(SEARCH("Türkiye",S5473)),"Turkey",
ISNUMBER(SEARCH("Ivory Coast",S5473)),"Côte d'Ivoire",
ISNUMBER(SEARCH("Korea Republic",S5473)),"South Korea",
ISNUMBER(SEARCH("Germany FR",S5473)),"FR Germany",
ISNUMBER(SEARCH("West Germany",S5473)),"FR Germany",
ISNUMBER(SEARCH("Germany DR",S5473)),"DR Germany",
ISNUMBER(SEARCH("Korea DPR",S5473)),"North Korea",
ISNUMBER(SEARCH("China PR",S5473)),"China",
ISNUMBER(SEARCH("IR Iran",S5473)),"Iran",
ISNUMBER(SEARCH("Congo DR",S5473)),"Democratic Republic of the Congo",
ISNUMBER(SEARCH("DR Congo",S5473)),"Democratic Republic of the Congo",
ISNUMBER(SEARCH("German DR",S5473)),"DR Germany",
ISNUMBER(SEARCH("rn""&gt;United Arab Emirates",S5473)),"United Arab Emirates",
ISNUMBER(SEARCH("rn""&gt;Republic of Ireland",S5473)),"Ireland",
ISNUMBER(SEARCH("rn""&gt;Bosnia and Herzegovina",S5473)),"Bosnia and Herzegovina",
ISNUMBER(SEARCH("rn""&gt;Trinidad and Tobago",S5473)),"Trinidad and Tobago",
ISNUMBER(SEARCH("rn""&gt;Serbia and Montenegro",S5473)),"Serbia and Montenegro",
ISNUMBER(SEARCH(_xlfn.UNICHAR(65533),S5473)),"Côte d'Ivoire",
TRUE,"-"
)</f>
        <v>-</v>
      </c>
      <c r="W5473" s="42" t="str">
        <f t="shared" si="330"/>
        <v>-</v>
      </c>
    </row>
    <row r="5474" spans="19:23">
      <c r="S5474" s="42" t="str">
        <v/>
      </c>
      <c r="T5474" s="42" t="str">
        <f t="shared" si="328"/>
        <v>-</v>
      </c>
      <c r="U5474" s="40" t="str">
        <f t="shared" si="329"/>
        <v>-</v>
      </c>
      <c r="V5474" s="42" t="str" cm="1">
        <f t="array" ref="V5474">_xlfn.IFS(
LEFT(S5474,16)="win on penalties",IF(VALUE(MID(S5474,19,1))&gt;VALUE(MID(S5474,23,1)),DATA_CLEANED!AK988,DATA_CLEANED!AN988),
ISNUMBER(SEARCH("USA",S5474)),"United States",
ISNUMBER(SEARCH("Republic of Ireland",S5474)),"Ireland",
ISNUMBER(SEARCH("Republic of Korea",S5474)),"South Korea",
ISNUMBER(SEARCH("Cape Verde",S5474)),"Cabo Verde",
ISNUMBER(SEARCH("Czechia",S5474)),"Czech Republic",
ISNUMBER(SEARCH("Türkiye",S5474)),"Turkey",
ISNUMBER(SEARCH("Ivory Coast",S5474)),"Côte d'Ivoire",
ISNUMBER(SEARCH("Korea Republic",S5474)),"South Korea",
ISNUMBER(SEARCH("Germany FR",S5474)),"FR Germany",
ISNUMBER(SEARCH("West Germany",S5474)),"FR Germany",
ISNUMBER(SEARCH("Germany DR",S5474)),"DR Germany",
ISNUMBER(SEARCH("Korea DPR",S5474)),"North Korea",
ISNUMBER(SEARCH("China PR",S5474)),"China",
ISNUMBER(SEARCH("IR Iran",S5474)),"Iran",
ISNUMBER(SEARCH("Congo DR",S5474)),"Democratic Republic of the Congo",
ISNUMBER(SEARCH("DR Congo",S5474)),"Democratic Republic of the Congo",
ISNUMBER(SEARCH("German DR",S5474)),"DR Germany",
ISNUMBER(SEARCH("rn""&gt;United Arab Emirates",S5474)),"United Arab Emirates",
ISNUMBER(SEARCH("rn""&gt;Republic of Ireland",S5474)),"Ireland",
ISNUMBER(SEARCH("rn""&gt;Bosnia and Herzegovina",S5474)),"Bosnia and Herzegovina",
ISNUMBER(SEARCH("rn""&gt;Trinidad and Tobago",S5474)),"Trinidad and Tobago",
ISNUMBER(SEARCH("rn""&gt;Serbia and Montenegro",S5474)),"Serbia and Montenegro",
ISNUMBER(SEARCH(_xlfn.UNICHAR(65533),S5474)),"Côte d'Ivoire",
TRUE,"-"
)</f>
        <v>-</v>
      </c>
      <c r="W5474" s="42" t="str">
        <f t="shared" si="330"/>
        <v>-</v>
      </c>
    </row>
    <row r="5475" spans="19:23">
      <c r="S5475" s="42" t="str">
        <v/>
      </c>
      <c r="T5475" s="42" t="str">
        <f t="shared" si="328"/>
        <v>-</v>
      </c>
      <c r="U5475" s="40" t="str">
        <f t="shared" si="329"/>
        <v>-</v>
      </c>
      <c r="V5475" s="42" t="str" cm="1">
        <f t="array" ref="V5475">_xlfn.IFS(
LEFT(S5475,16)="win on penalties",IF(VALUE(MID(S5475,19,1))&gt;VALUE(MID(S5475,23,1)),DATA_CLEANED!AK989,DATA_CLEANED!AN989),
ISNUMBER(SEARCH("USA",S5475)),"United States",
ISNUMBER(SEARCH("Republic of Ireland",S5475)),"Ireland",
ISNUMBER(SEARCH("Republic of Korea",S5475)),"South Korea",
ISNUMBER(SEARCH("Cape Verde",S5475)),"Cabo Verde",
ISNUMBER(SEARCH("Czechia",S5475)),"Czech Republic",
ISNUMBER(SEARCH("Türkiye",S5475)),"Turkey",
ISNUMBER(SEARCH("Ivory Coast",S5475)),"Côte d'Ivoire",
ISNUMBER(SEARCH("Korea Republic",S5475)),"South Korea",
ISNUMBER(SEARCH("Germany FR",S5475)),"FR Germany",
ISNUMBER(SEARCH("West Germany",S5475)),"FR Germany",
ISNUMBER(SEARCH("Germany DR",S5475)),"DR Germany",
ISNUMBER(SEARCH("Korea DPR",S5475)),"North Korea",
ISNUMBER(SEARCH("China PR",S5475)),"China",
ISNUMBER(SEARCH("IR Iran",S5475)),"Iran",
ISNUMBER(SEARCH("Congo DR",S5475)),"Democratic Republic of the Congo",
ISNUMBER(SEARCH("DR Congo",S5475)),"Democratic Republic of the Congo",
ISNUMBER(SEARCH("German DR",S5475)),"DR Germany",
ISNUMBER(SEARCH("rn""&gt;United Arab Emirates",S5475)),"United Arab Emirates",
ISNUMBER(SEARCH("rn""&gt;Republic of Ireland",S5475)),"Ireland",
ISNUMBER(SEARCH("rn""&gt;Bosnia and Herzegovina",S5475)),"Bosnia and Herzegovina",
ISNUMBER(SEARCH("rn""&gt;Trinidad and Tobago",S5475)),"Trinidad and Tobago",
ISNUMBER(SEARCH("rn""&gt;Serbia and Montenegro",S5475)),"Serbia and Montenegro",
ISNUMBER(SEARCH(_xlfn.UNICHAR(65533),S5475)),"Côte d'Ivoire",
TRUE,"-"
)</f>
        <v>-</v>
      </c>
      <c r="W5475" s="42" t="str">
        <f t="shared" si="330"/>
        <v>-</v>
      </c>
    </row>
    <row r="5476" spans="19:23">
      <c r="S5476" s="42" t="str">
        <v/>
      </c>
      <c r="T5476" s="42" t="str">
        <f t="shared" si="328"/>
        <v>-</v>
      </c>
      <c r="U5476" s="40" t="str">
        <f t="shared" si="329"/>
        <v>-</v>
      </c>
      <c r="V5476" s="42" t="str" cm="1">
        <f t="array" ref="V5476">_xlfn.IFS(
LEFT(S5476,16)="win on penalties",IF(VALUE(MID(S5476,19,1))&gt;VALUE(MID(S5476,23,1)),DATA_CLEANED!AK990,DATA_CLEANED!AN990),
ISNUMBER(SEARCH("USA",S5476)),"United States",
ISNUMBER(SEARCH("Republic of Ireland",S5476)),"Ireland",
ISNUMBER(SEARCH("Republic of Korea",S5476)),"South Korea",
ISNUMBER(SEARCH("Cape Verde",S5476)),"Cabo Verde",
ISNUMBER(SEARCH("Czechia",S5476)),"Czech Republic",
ISNUMBER(SEARCH("Türkiye",S5476)),"Turkey",
ISNUMBER(SEARCH("Ivory Coast",S5476)),"Côte d'Ivoire",
ISNUMBER(SEARCH("Korea Republic",S5476)),"South Korea",
ISNUMBER(SEARCH("Germany FR",S5476)),"FR Germany",
ISNUMBER(SEARCH("West Germany",S5476)),"FR Germany",
ISNUMBER(SEARCH("Germany DR",S5476)),"DR Germany",
ISNUMBER(SEARCH("Korea DPR",S5476)),"North Korea",
ISNUMBER(SEARCH("China PR",S5476)),"China",
ISNUMBER(SEARCH("IR Iran",S5476)),"Iran",
ISNUMBER(SEARCH("Congo DR",S5476)),"Democratic Republic of the Congo",
ISNUMBER(SEARCH("DR Congo",S5476)),"Democratic Republic of the Congo",
ISNUMBER(SEARCH("German DR",S5476)),"DR Germany",
ISNUMBER(SEARCH("rn""&gt;United Arab Emirates",S5476)),"United Arab Emirates",
ISNUMBER(SEARCH("rn""&gt;Republic of Ireland",S5476)),"Ireland",
ISNUMBER(SEARCH("rn""&gt;Bosnia and Herzegovina",S5476)),"Bosnia and Herzegovina",
ISNUMBER(SEARCH("rn""&gt;Trinidad and Tobago",S5476)),"Trinidad and Tobago",
ISNUMBER(SEARCH("rn""&gt;Serbia and Montenegro",S5476)),"Serbia and Montenegro",
ISNUMBER(SEARCH(_xlfn.UNICHAR(65533),S5476)),"Côte d'Ivoire",
TRUE,"-"
)</f>
        <v>-</v>
      </c>
      <c r="W5476" s="42" t="str">
        <f t="shared" si="330"/>
        <v>-</v>
      </c>
    </row>
    <row r="5477" spans="19:23">
      <c r="S5477" s="42" t="str">
        <v/>
      </c>
      <c r="T5477" s="42" t="str">
        <f t="shared" si="328"/>
        <v>-</v>
      </c>
      <c r="U5477" s="40" t="str">
        <f t="shared" si="329"/>
        <v>-</v>
      </c>
      <c r="V5477" s="42" t="str" cm="1">
        <f t="array" ref="V5477">_xlfn.IFS(
LEFT(S5477,16)="win on penalties",IF(VALUE(MID(S5477,19,1))&gt;VALUE(MID(S5477,23,1)),DATA_CLEANED!AK991,DATA_CLEANED!AN991),
ISNUMBER(SEARCH("USA",S5477)),"United States",
ISNUMBER(SEARCH("Republic of Ireland",S5477)),"Ireland",
ISNUMBER(SEARCH("Republic of Korea",S5477)),"South Korea",
ISNUMBER(SEARCH("Cape Verde",S5477)),"Cabo Verde",
ISNUMBER(SEARCH("Czechia",S5477)),"Czech Republic",
ISNUMBER(SEARCH("Türkiye",S5477)),"Turkey",
ISNUMBER(SEARCH("Ivory Coast",S5477)),"Côte d'Ivoire",
ISNUMBER(SEARCH("Korea Republic",S5477)),"South Korea",
ISNUMBER(SEARCH("Germany FR",S5477)),"FR Germany",
ISNUMBER(SEARCH("West Germany",S5477)),"FR Germany",
ISNUMBER(SEARCH("Germany DR",S5477)),"DR Germany",
ISNUMBER(SEARCH("Korea DPR",S5477)),"North Korea",
ISNUMBER(SEARCH("China PR",S5477)),"China",
ISNUMBER(SEARCH("IR Iran",S5477)),"Iran",
ISNUMBER(SEARCH("Congo DR",S5477)),"Democratic Republic of the Congo",
ISNUMBER(SEARCH("DR Congo",S5477)),"Democratic Republic of the Congo",
ISNUMBER(SEARCH("German DR",S5477)),"DR Germany",
ISNUMBER(SEARCH("rn""&gt;United Arab Emirates",S5477)),"United Arab Emirates",
ISNUMBER(SEARCH("rn""&gt;Republic of Ireland",S5477)),"Ireland",
ISNUMBER(SEARCH("rn""&gt;Bosnia and Herzegovina",S5477)),"Bosnia and Herzegovina",
ISNUMBER(SEARCH("rn""&gt;Trinidad and Tobago",S5477)),"Trinidad and Tobago",
ISNUMBER(SEARCH("rn""&gt;Serbia and Montenegro",S5477)),"Serbia and Montenegro",
ISNUMBER(SEARCH(_xlfn.UNICHAR(65533),S5477)),"Côte d'Ivoire",
TRUE,"-"
)</f>
        <v>-</v>
      </c>
      <c r="W5477" s="42" t="str">
        <f t="shared" si="330"/>
        <v>-</v>
      </c>
    </row>
    <row r="5478" spans="19:23">
      <c r="S5478" s="42" t="str">
        <v/>
      </c>
      <c r="T5478" s="42" t="str">
        <f t="shared" si="328"/>
        <v>-</v>
      </c>
      <c r="U5478" s="40" t="str">
        <f t="shared" si="329"/>
        <v>-</v>
      </c>
      <c r="V5478" s="42" t="str" cm="1">
        <f t="array" ref="V5478">_xlfn.IFS(
LEFT(S5478,16)="win on penalties",IF(VALUE(MID(S5478,19,1))&gt;VALUE(MID(S5478,23,1)),DATA_CLEANED!AK992,DATA_CLEANED!AN992),
ISNUMBER(SEARCH("USA",S5478)),"United States",
ISNUMBER(SEARCH("Republic of Ireland",S5478)),"Ireland",
ISNUMBER(SEARCH("Republic of Korea",S5478)),"South Korea",
ISNUMBER(SEARCH("Cape Verde",S5478)),"Cabo Verde",
ISNUMBER(SEARCH("Czechia",S5478)),"Czech Republic",
ISNUMBER(SEARCH("Türkiye",S5478)),"Turkey",
ISNUMBER(SEARCH("Ivory Coast",S5478)),"Côte d'Ivoire",
ISNUMBER(SEARCH("Korea Republic",S5478)),"South Korea",
ISNUMBER(SEARCH("Germany FR",S5478)),"FR Germany",
ISNUMBER(SEARCH("West Germany",S5478)),"FR Germany",
ISNUMBER(SEARCH("Germany DR",S5478)),"DR Germany",
ISNUMBER(SEARCH("Korea DPR",S5478)),"North Korea",
ISNUMBER(SEARCH("China PR",S5478)),"China",
ISNUMBER(SEARCH("IR Iran",S5478)),"Iran",
ISNUMBER(SEARCH("Congo DR",S5478)),"Democratic Republic of the Congo",
ISNUMBER(SEARCH("DR Congo",S5478)),"Democratic Republic of the Congo",
ISNUMBER(SEARCH("German DR",S5478)),"DR Germany",
ISNUMBER(SEARCH("rn""&gt;United Arab Emirates",S5478)),"United Arab Emirates",
ISNUMBER(SEARCH("rn""&gt;Republic of Ireland",S5478)),"Ireland",
ISNUMBER(SEARCH("rn""&gt;Bosnia and Herzegovina",S5478)),"Bosnia and Herzegovina",
ISNUMBER(SEARCH("rn""&gt;Trinidad and Tobago",S5478)),"Trinidad and Tobago",
ISNUMBER(SEARCH("rn""&gt;Serbia and Montenegro",S5478)),"Serbia and Montenegro",
ISNUMBER(SEARCH(_xlfn.UNICHAR(65533),S5478)),"Côte d'Ivoire",
TRUE,"-"
)</f>
        <v>-</v>
      </c>
      <c r="W5478" s="42" t="str">
        <f t="shared" si="330"/>
        <v>-</v>
      </c>
    </row>
    <row r="5479" spans="19:23">
      <c r="S5479" s="42" t="str">
        <v/>
      </c>
      <c r="T5479" s="42" t="str">
        <f t="shared" si="328"/>
        <v>-</v>
      </c>
      <c r="U5479" s="40" t="str">
        <f t="shared" si="329"/>
        <v>-</v>
      </c>
      <c r="V5479" s="42" t="str" cm="1">
        <f t="array" ref="V5479">_xlfn.IFS(
LEFT(S5479,16)="win on penalties",IF(VALUE(MID(S5479,19,1))&gt;VALUE(MID(S5479,23,1)),DATA_CLEANED!AK993,DATA_CLEANED!AN993),
ISNUMBER(SEARCH("USA",S5479)),"United States",
ISNUMBER(SEARCH("Republic of Ireland",S5479)),"Ireland",
ISNUMBER(SEARCH("Republic of Korea",S5479)),"South Korea",
ISNUMBER(SEARCH("Cape Verde",S5479)),"Cabo Verde",
ISNUMBER(SEARCH("Czechia",S5479)),"Czech Republic",
ISNUMBER(SEARCH("Türkiye",S5479)),"Turkey",
ISNUMBER(SEARCH("Ivory Coast",S5479)),"Côte d'Ivoire",
ISNUMBER(SEARCH("Korea Republic",S5479)),"South Korea",
ISNUMBER(SEARCH("Germany FR",S5479)),"FR Germany",
ISNUMBER(SEARCH("West Germany",S5479)),"FR Germany",
ISNUMBER(SEARCH("Germany DR",S5479)),"DR Germany",
ISNUMBER(SEARCH("Korea DPR",S5479)),"North Korea",
ISNUMBER(SEARCH("China PR",S5479)),"China",
ISNUMBER(SEARCH("IR Iran",S5479)),"Iran",
ISNUMBER(SEARCH("Congo DR",S5479)),"Democratic Republic of the Congo",
ISNUMBER(SEARCH("DR Congo",S5479)),"Democratic Republic of the Congo",
ISNUMBER(SEARCH("German DR",S5479)),"DR Germany",
ISNUMBER(SEARCH("rn""&gt;United Arab Emirates",S5479)),"United Arab Emirates",
ISNUMBER(SEARCH("rn""&gt;Republic of Ireland",S5479)),"Ireland",
ISNUMBER(SEARCH("rn""&gt;Bosnia and Herzegovina",S5479)),"Bosnia and Herzegovina",
ISNUMBER(SEARCH("rn""&gt;Trinidad and Tobago",S5479)),"Trinidad and Tobago",
ISNUMBER(SEARCH("rn""&gt;Serbia and Montenegro",S5479)),"Serbia and Montenegro",
ISNUMBER(SEARCH(_xlfn.UNICHAR(65533),S5479)),"Côte d'Ivoire",
TRUE,"-"
)</f>
        <v>-</v>
      </c>
      <c r="W5479" s="42" t="str">
        <f t="shared" si="330"/>
        <v>-</v>
      </c>
    </row>
    <row r="5480" spans="19:23">
      <c r="S5480" s="42" t="str">
        <v/>
      </c>
      <c r="T5480" s="42" t="str">
        <f t="shared" si="328"/>
        <v>-</v>
      </c>
      <c r="U5480" s="40" t="str">
        <f t="shared" si="329"/>
        <v>-</v>
      </c>
      <c r="V5480" s="42" t="str" cm="1">
        <f t="array" ref="V5480">_xlfn.IFS(
LEFT(S5480,16)="win on penalties",IF(VALUE(MID(S5480,19,1))&gt;VALUE(MID(S5480,23,1)),DATA_CLEANED!AK994,DATA_CLEANED!AN994),
ISNUMBER(SEARCH("USA",S5480)),"United States",
ISNUMBER(SEARCH("Republic of Ireland",S5480)),"Ireland",
ISNUMBER(SEARCH("Republic of Korea",S5480)),"South Korea",
ISNUMBER(SEARCH("Cape Verde",S5480)),"Cabo Verde",
ISNUMBER(SEARCH("Czechia",S5480)),"Czech Republic",
ISNUMBER(SEARCH("Türkiye",S5480)),"Turkey",
ISNUMBER(SEARCH("Ivory Coast",S5480)),"Côte d'Ivoire",
ISNUMBER(SEARCH("Korea Republic",S5480)),"South Korea",
ISNUMBER(SEARCH("Germany FR",S5480)),"FR Germany",
ISNUMBER(SEARCH("West Germany",S5480)),"FR Germany",
ISNUMBER(SEARCH("Germany DR",S5480)),"DR Germany",
ISNUMBER(SEARCH("Korea DPR",S5480)),"North Korea",
ISNUMBER(SEARCH("China PR",S5480)),"China",
ISNUMBER(SEARCH("IR Iran",S5480)),"Iran",
ISNUMBER(SEARCH("Congo DR",S5480)),"Democratic Republic of the Congo",
ISNUMBER(SEARCH("DR Congo",S5480)),"Democratic Republic of the Congo",
ISNUMBER(SEARCH("German DR",S5480)),"DR Germany",
ISNUMBER(SEARCH("rn""&gt;United Arab Emirates",S5480)),"United Arab Emirates",
ISNUMBER(SEARCH("rn""&gt;Republic of Ireland",S5480)),"Ireland",
ISNUMBER(SEARCH("rn""&gt;Bosnia and Herzegovina",S5480)),"Bosnia and Herzegovina",
ISNUMBER(SEARCH("rn""&gt;Trinidad and Tobago",S5480)),"Trinidad and Tobago",
ISNUMBER(SEARCH("rn""&gt;Serbia and Montenegro",S5480)),"Serbia and Montenegro",
ISNUMBER(SEARCH(_xlfn.UNICHAR(65533),S5480)),"Côte d'Ivoire",
TRUE,"-"
)</f>
        <v>-</v>
      </c>
      <c r="W5480" s="42" t="str">
        <f t="shared" si="330"/>
        <v>-</v>
      </c>
    </row>
    <row r="5481" spans="19:23">
      <c r="S5481" s="42" t="str">
        <v/>
      </c>
      <c r="T5481" s="42" t="str">
        <f t="shared" si="328"/>
        <v>-</v>
      </c>
      <c r="U5481" s="40" t="str">
        <f t="shared" si="329"/>
        <v>-</v>
      </c>
      <c r="V5481" s="42" t="str" cm="1">
        <f t="array" ref="V5481">_xlfn.IFS(
LEFT(S5481,16)="win on penalties",IF(VALUE(MID(S5481,19,1))&gt;VALUE(MID(S5481,23,1)),DATA_CLEANED!AK995,DATA_CLEANED!AN995),
ISNUMBER(SEARCH("USA",S5481)),"United States",
ISNUMBER(SEARCH("Republic of Ireland",S5481)),"Ireland",
ISNUMBER(SEARCH("Republic of Korea",S5481)),"South Korea",
ISNUMBER(SEARCH("Cape Verde",S5481)),"Cabo Verde",
ISNUMBER(SEARCH("Czechia",S5481)),"Czech Republic",
ISNUMBER(SEARCH("Türkiye",S5481)),"Turkey",
ISNUMBER(SEARCH("Ivory Coast",S5481)),"Côte d'Ivoire",
ISNUMBER(SEARCH("Korea Republic",S5481)),"South Korea",
ISNUMBER(SEARCH("Germany FR",S5481)),"FR Germany",
ISNUMBER(SEARCH("West Germany",S5481)),"FR Germany",
ISNUMBER(SEARCH("Germany DR",S5481)),"DR Germany",
ISNUMBER(SEARCH("Korea DPR",S5481)),"North Korea",
ISNUMBER(SEARCH("China PR",S5481)),"China",
ISNUMBER(SEARCH("IR Iran",S5481)),"Iran",
ISNUMBER(SEARCH("Congo DR",S5481)),"Democratic Republic of the Congo",
ISNUMBER(SEARCH("DR Congo",S5481)),"Democratic Republic of the Congo",
ISNUMBER(SEARCH("German DR",S5481)),"DR Germany",
ISNUMBER(SEARCH("rn""&gt;United Arab Emirates",S5481)),"United Arab Emirates",
ISNUMBER(SEARCH("rn""&gt;Republic of Ireland",S5481)),"Ireland",
ISNUMBER(SEARCH("rn""&gt;Bosnia and Herzegovina",S5481)),"Bosnia and Herzegovina",
ISNUMBER(SEARCH("rn""&gt;Trinidad and Tobago",S5481)),"Trinidad and Tobago",
ISNUMBER(SEARCH("rn""&gt;Serbia and Montenegro",S5481)),"Serbia and Montenegro",
ISNUMBER(SEARCH(_xlfn.UNICHAR(65533),S5481)),"Côte d'Ivoire",
TRUE,"-"
)</f>
        <v>-</v>
      </c>
      <c r="W5481" s="42" t="str">
        <f t="shared" si="330"/>
        <v>-</v>
      </c>
    </row>
    <row r="5482" spans="19:23">
      <c r="S5482" s="42" t="str">
        <v/>
      </c>
      <c r="T5482" s="42" t="str">
        <f t="shared" si="328"/>
        <v>-</v>
      </c>
      <c r="U5482" s="40" t="str">
        <f t="shared" si="329"/>
        <v>-</v>
      </c>
      <c r="V5482" s="42" t="str" cm="1">
        <f t="array" ref="V5482">_xlfn.IFS(
LEFT(S5482,16)="win on penalties",IF(VALUE(MID(S5482,19,1))&gt;VALUE(MID(S5482,23,1)),DATA_CLEANED!AK996,DATA_CLEANED!AN996),
ISNUMBER(SEARCH("USA",S5482)),"United States",
ISNUMBER(SEARCH("Republic of Ireland",S5482)),"Ireland",
ISNUMBER(SEARCH("Republic of Korea",S5482)),"South Korea",
ISNUMBER(SEARCH("Cape Verde",S5482)),"Cabo Verde",
ISNUMBER(SEARCH("Czechia",S5482)),"Czech Republic",
ISNUMBER(SEARCH("Türkiye",S5482)),"Turkey",
ISNUMBER(SEARCH("Ivory Coast",S5482)),"Côte d'Ivoire",
ISNUMBER(SEARCH("Korea Republic",S5482)),"South Korea",
ISNUMBER(SEARCH("Germany FR",S5482)),"FR Germany",
ISNUMBER(SEARCH("West Germany",S5482)),"FR Germany",
ISNUMBER(SEARCH("Germany DR",S5482)),"DR Germany",
ISNUMBER(SEARCH("Korea DPR",S5482)),"North Korea",
ISNUMBER(SEARCH("China PR",S5482)),"China",
ISNUMBER(SEARCH("IR Iran",S5482)),"Iran",
ISNUMBER(SEARCH("Congo DR",S5482)),"Democratic Republic of the Congo",
ISNUMBER(SEARCH("DR Congo",S5482)),"Democratic Republic of the Congo",
ISNUMBER(SEARCH("German DR",S5482)),"DR Germany",
ISNUMBER(SEARCH("rn""&gt;United Arab Emirates",S5482)),"United Arab Emirates",
ISNUMBER(SEARCH("rn""&gt;Republic of Ireland",S5482)),"Ireland",
ISNUMBER(SEARCH("rn""&gt;Bosnia and Herzegovina",S5482)),"Bosnia and Herzegovina",
ISNUMBER(SEARCH("rn""&gt;Trinidad and Tobago",S5482)),"Trinidad and Tobago",
ISNUMBER(SEARCH("rn""&gt;Serbia and Montenegro",S5482)),"Serbia and Montenegro",
ISNUMBER(SEARCH(_xlfn.UNICHAR(65533),S5482)),"Côte d'Ivoire",
TRUE,"-"
)</f>
        <v>-</v>
      </c>
      <c r="W5482" s="42" t="str">
        <f t="shared" si="330"/>
        <v>-</v>
      </c>
    </row>
    <row r="5483" spans="19:23">
      <c r="S5483" s="42" t="str">
        <v/>
      </c>
      <c r="T5483" s="42" t="str">
        <f t="shared" si="328"/>
        <v>-</v>
      </c>
      <c r="U5483" s="40" t="str">
        <f t="shared" si="329"/>
        <v>-</v>
      </c>
      <c r="V5483" s="42" t="str" cm="1">
        <f t="array" ref="V5483">_xlfn.IFS(
LEFT(S5483,16)="win on penalties",IF(VALUE(MID(S5483,19,1))&gt;VALUE(MID(S5483,23,1)),DATA_CLEANED!AK997,DATA_CLEANED!AN997),
ISNUMBER(SEARCH("USA",S5483)),"United States",
ISNUMBER(SEARCH("Republic of Ireland",S5483)),"Ireland",
ISNUMBER(SEARCH("Republic of Korea",S5483)),"South Korea",
ISNUMBER(SEARCH("Cape Verde",S5483)),"Cabo Verde",
ISNUMBER(SEARCH("Czechia",S5483)),"Czech Republic",
ISNUMBER(SEARCH("Türkiye",S5483)),"Turkey",
ISNUMBER(SEARCH("Ivory Coast",S5483)),"Côte d'Ivoire",
ISNUMBER(SEARCH("Korea Republic",S5483)),"South Korea",
ISNUMBER(SEARCH("Germany FR",S5483)),"FR Germany",
ISNUMBER(SEARCH("West Germany",S5483)),"FR Germany",
ISNUMBER(SEARCH("Germany DR",S5483)),"DR Germany",
ISNUMBER(SEARCH("Korea DPR",S5483)),"North Korea",
ISNUMBER(SEARCH("China PR",S5483)),"China",
ISNUMBER(SEARCH("IR Iran",S5483)),"Iran",
ISNUMBER(SEARCH("Congo DR",S5483)),"Democratic Republic of the Congo",
ISNUMBER(SEARCH("DR Congo",S5483)),"Democratic Republic of the Congo",
ISNUMBER(SEARCH("German DR",S5483)),"DR Germany",
ISNUMBER(SEARCH("rn""&gt;United Arab Emirates",S5483)),"United Arab Emirates",
ISNUMBER(SEARCH("rn""&gt;Republic of Ireland",S5483)),"Ireland",
ISNUMBER(SEARCH("rn""&gt;Bosnia and Herzegovina",S5483)),"Bosnia and Herzegovina",
ISNUMBER(SEARCH("rn""&gt;Trinidad and Tobago",S5483)),"Trinidad and Tobago",
ISNUMBER(SEARCH("rn""&gt;Serbia and Montenegro",S5483)),"Serbia and Montenegro",
ISNUMBER(SEARCH(_xlfn.UNICHAR(65533),S5483)),"Côte d'Ivoire",
TRUE,"-"
)</f>
        <v>-</v>
      </c>
      <c r="W5483" s="42" t="str">
        <f t="shared" si="330"/>
        <v>-</v>
      </c>
    </row>
    <row r="5484" spans="19:23">
      <c r="S5484" s="42" t="str">
        <v/>
      </c>
      <c r="T5484" s="42" t="str">
        <f t="shared" si="328"/>
        <v>-</v>
      </c>
      <c r="U5484" s="40" t="str">
        <f t="shared" si="329"/>
        <v>-</v>
      </c>
      <c r="V5484" s="42" t="str" cm="1">
        <f t="array" ref="V5484">_xlfn.IFS(
LEFT(S5484,16)="win on penalties",IF(VALUE(MID(S5484,19,1))&gt;VALUE(MID(S5484,23,1)),DATA_CLEANED!AK998,DATA_CLEANED!AN998),
ISNUMBER(SEARCH("USA",S5484)),"United States",
ISNUMBER(SEARCH("Republic of Ireland",S5484)),"Ireland",
ISNUMBER(SEARCH("Republic of Korea",S5484)),"South Korea",
ISNUMBER(SEARCH("Cape Verde",S5484)),"Cabo Verde",
ISNUMBER(SEARCH("Czechia",S5484)),"Czech Republic",
ISNUMBER(SEARCH("Türkiye",S5484)),"Turkey",
ISNUMBER(SEARCH("Ivory Coast",S5484)),"Côte d'Ivoire",
ISNUMBER(SEARCH("Korea Republic",S5484)),"South Korea",
ISNUMBER(SEARCH("Germany FR",S5484)),"FR Germany",
ISNUMBER(SEARCH("West Germany",S5484)),"FR Germany",
ISNUMBER(SEARCH("Germany DR",S5484)),"DR Germany",
ISNUMBER(SEARCH("Korea DPR",S5484)),"North Korea",
ISNUMBER(SEARCH("China PR",S5484)),"China",
ISNUMBER(SEARCH("IR Iran",S5484)),"Iran",
ISNUMBER(SEARCH("Congo DR",S5484)),"Democratic Republic of the Congo",
ISNUMBER(SEARCH("DR Congo",S5484)),"Democratic Republic of the Congo",
ISNUMBER(SEARCH("German DR",S5484)),"DR Germany",
ISNUMBER(SEARCH("rn""&gt;United Arab Emirates",S5484)),"United Arab Emirates",
ISNUMBER(SEARCH("rn""&gt;Republic of Ireland",S5484)),"Ireland",
ISNUMBER(SEARCH("rn""&gt;Bosnia and Herzegovina",S5484)),"Bosnia and Herzegovina",
ISNUMBER(SEARCH("rn""&gt;Trinidad and Tobago",S5484)),"Trinidad and Tobago",
ISNUMBER(SEARCH("rn""&gt;Serbia and Montenegro",S5484)),"Serbia and Montenegro",
ISNUMBER(SEARCH(_xlfn.UNICHAR(65533),S5484)),"Côte d'Ivoire",
TRUE,"-"
)</f>
        <v>-</v>
      </c>
      <c r="W5484" s="42" t="str">
        <f t="shared" si="330"/>
        <v>-</v>
      </c>
    </row>
    <row r="5485" spans="19:23">
      <c r="S5485" s="42" t="str">
        <v/>
      </c>
      <c r="T5485" s="42" t="str">
        <f t="shared" si="328"/>
        <v>-</v>
      </c>
      <c r="U5485" s="40" t="str">
        <f t="shared" si="329"/>
        <v>-</v>
      </c>
      <c r="V5485" s="42" t="str" cm="1">
        <f t="array" ref="V5485">_xlfn.IFS(
LEFT(S5485,16)="win on penalties",IF(VALUE(MID(S5485,19,1))&gt;VALUE(MID(S5485,23,1)),DATA_CLEANED!AK999,DATA_CLEANED!AN999),
ISNUMBER(SEARCH("USA",S5485)),"United States",
ISNUMBER(SEARCH("Republic of Ireland",S5485)),"Ireland",
ISNUMBER(SEARCH("Republic of Korea",S5485)),"South Korea",
ISNUMBER(SEARCH("Cape Verde",S5485)),"Cabo Verde",
ISNUMBER(SEARCH("Czechia",S5485)),"Czech Republic",
ISNUMBER(SEARCH("Türkiye",S5485)),"Turkey",
ISNUMBER(SEARCH("Ivory Coast",S5485)),"Côte d'Ivoire",
ISNUMBER(SEARCH("Korea Republic",S5485)),"South Korea",
ISNUMBER(SEARCH("Germany FR",S5485)),"FR Germany",
ISNUMBER(SEARCH("West Germany",S5485)),"FR Germany",
ISNUMBER(SEARCH("Germany DR",S5485)),"DR Germany",
ISNUMBER(SEARCH("Korea DPR",S5485)),"North Korea",
ISNUMBER(SEARCH("China PR",S5485)),"China",
ISNUMBER(SEARCH("IR Iran",S5485)),"Iran",
ISNUMBER(SEARCH("Congo DR",S5485)),"Democratic Republic of the Congo",
ISNUMBER(SEARCH("DR Congo",S5485)),"Democratic Republic of the Congo",
ISNUMBER(SEARCH("German DR",S5485)),"DR Germany",
ISNUMBER(SEARCH("rn""&gt;United Arab Emirates",S5485)),"United Arab Emirates",
ISNUMBER(SEARCH("rn""&gt;Republic of Ireland",S5485)),"Ireland",
ISNUMBER(SEARCH("rn""&gt;Bosnia and Herzegovina",S5485)),"Bosnia and Herzegovina",
ISNUMBER(SEARCH("rn""&gt;Trinidad and Tobago",S5485)),"Trinidad and Tobago",
ISNUMBER(SEARCH("rn""&gt;Serbia and Montenegro",S5485)),"Serbia and Montenegro",
ISNUMBER(SEARCH(_xlfn.UNICHAR(65533),S5485)),"Côte d'Ivoire",
TRUE,"-"
)</f>
        <v>-</v>
      </c>
      <c r="W5485" s="42" t="str">
        <f t="shared" si="330"/>
        <v>-</v>
      </c>
    </row>
    <row r="5486" spans="19:23">
      <c r="S5486" s="42" t="str">
        <v/>
      </c>
      <c r="T5486" s="42" t="str">
        <f t="shared" si="328"/>
        <v>-</v>
      </c>
      <c r="U5486" s="40" t="str">
        <f t="shared" si="329"/>
        <v>-</v>
      </c>
      <c r="V5486" s="42" t="str" cm="1">
        <f t="array" ref="V5486">_xlfn.IFS(
LEFT(S5486,16)="win on penalties",IF(VALUE(MID(S5486,19,1))&gt;VALUE(MID(S5486,23,1)),DATA_CLEANED!AK1000,DATA_CLEANED!AN1000),
ISNUMBER(SEARCH("USA",S5486)),"United States",
ISNUMBER(SEARCH("Republic of Ireland",S5486)),"Ireland",
ISNUMBER(SEARCH("Republic of Korea",S5486)),"South Korea",
ISNUMBER(SEARCH("Cape Verde",S5486)),"Cabo Verde",
ISNUMBER(SEARCH("Czechia",S5486)),"Czech Republic",
ISNUMBER(SEARCH("Türkiye",S5486)),"Turkey",
ISNUMBER(SEARCH("Ivory Coast",S5486)),"Côte d'Ivoire",
ISNUMBER(SEARCH("Korea Republic",S5486)),"South Korea",
ISNUMBER(SEARCH("Germany FR",S5486)),"FR Germany",
ISNUMBER(SEARCH("West Germany",S5486)),"FR Germany",
ISNUMBER(SEARCH("Germany DR",S5486)),"DR Germany",
ISNUMBER(SEARCH("Korea DPR",S5486)),"North Korea",
ISNUMBER(SEARCH("China PR",S5486)),"China",
ISNUMBER(SEARCH("IR Iran",S5486)),"Iran",
ISNUMBER(SEARCH("Congo DR",S5486)),"Democratic Republic of the Congo",
ISNUMBER(SEARCH("DR Congo",S5486)),"Democratic Republic of the Congo",
ISNUMBER(SEARCH("German DR",S5486)),"DR Germany",
ISNUMBER(SEARCH("rn""&gt;United Arab Emirates",S5486)),"United Arab Emirates",
ISNUMBER(SEARCH("rn""&gt;Republic of Ireland",S5486)),"Ireland",
ISNUMBER(SEARCH("rn""&gt;Bosnia and Herzegovina",S5486)),"Bosnia and Herzegovina",
ISNUMBER(SEARCH("rn""&gt;Trinidad and Tobago",S5486)),"Trinidad and Tobago",
ISNUMBER(SEARCH("rn""&gt;Serbia and Montenegro",S5486)),"Serbia and Montenegro",
ISNUMBER(SEARCH(_xlfn.UNICHAR(65533),S5486)),"Côte d'Ivoire",
TRUE,"-"
)</f>
        <v>-</v>
      </c>
      <c r="W5486" s="42" t="str">
        <f t="shared" si="330"/>
        <v>-</v>
      </c>
    </row>
    <row r="5487" spans="19:23">
      <c r="S5487" s="42" t="str">
        <v/>
      </c>
      <c r="T5487" s="42" t="str">
        <f t="shared" si="328"/>
        <v>-</v>
      </c>
      <c r="U5487" s="40" t="str">
        <f t="shared" si="329"/>
        <v>-</v>
      </c>
      <c r="V5487" s="42" t="str" cm="1">
        <f t="array" ref="V5487">_xlfn.IFS(
LEFT(S5487,16)="win on penalties",IF(VALUE(MID(S5487,19,1))&gt;VALUE(MID(S5487,23,1)),DATA_CLEANED!AK1001,DATA_CLEANED!AN1001),
ISNUMBER(SEARCH("USA",S5487)),"United States",
ISNUMBER(SEARCH("Republic of Ireland",S5487)),"Ireland",
ISNUMBER(SEARCH("Republic of Korea",S5487)),"South Korea",
ISNUMBER(SEARCH("Cape Verde",S5487)),"Cabo Verde",
ISNUMBER(SEARCH("Czechia",S5487)),"Czech Republic",
ISNUMBER(SEARCH("Türkiye",S5487)),"Turkey",
ISNUMBER(SEARCH("Ivory Coast",S5487)),"Côte d'Ivoire",
ISNUMBER(SEARCH("Korea Republic",S5487)),"South Korea",
ISNUMBER(SEARCH("Germany FR",S5487)),"FR Germany",
ISNUMBER(SEARCH("West Germany",S5487)),"FR Germany",
ISNUMBER(SEARCH("Germany DR",S5487)),"DR Germany",
ISNUMBER(SEARCH("Korea DPR",S5487)),"North Korea",
ISNUMBER(SEARCH("China PR",S5487)),"China",
ISNUMBER(SEARCH("IR Iran",S5487)),"Iran",
ISNUMBER(SEARCH("Congo DR",S5487)),"Democratic Republic of the Congo",
ISNUMBER(SEARCH("DR Congo",S5487)),"Democratic Republic of the Congo",
ISNUMBER(SEARCH("German DR",S5487)),"DR Germany",
ISNUMBER(SEARCH("rn""&gt;United Arab Emirates",S5487)),"United Arab Emirates",
ISNUMBER(SEARCH("rn""&gt;Republic of Ireland",S5487)),"Ireland",
ISNUMBER(SEARCH("rn""&gt;Bosnia and Herzegovina",S5487)),"Bosnia and Herzegovina",
ISNUMBER(SEARCH("rn""&gt;Trinidad and Tobago",S5487)),"Trinidad and Tobago",
ISNUMBER(SEARCH("rn""&gt;Serbia and Montenegro",S5487)),"Serbia and Montenegro",
ISNUMBER(SEARCH(_xlfn.UNICHAR(65533),S5487)),"Côte d'Ivoire",
TRUE,"-"
)</f>
        <v>-</v>
      </c>
      <c r="W5487" s="42" t="str">
        <f t="shared" si="330"/>
        <v>-</v>
      </c>
    </row>
    <row r="5488" spans="19:23">
      <c r="S5488" s="42" t="str">
        <v/>
      </c>
      <c r="T5488" s="42" t="str">
        <f t="shared" si="328"/>
        <v>-</v>
      </c>
      <c r="U5488" s="40" t="str">
        <f t="shared" si="329"/>
        <v>-</v>
      </c>
      <c r="V5488" s="42" t="str" cm="1">
        <f t="array" ref="V5488">_xlfn.IFS(
LEFT(S5488,16)="win on penalties",IF(VALUE(MID(S5488,19,1))&gt;VALUE(MID(S5488,23,1)),DATA_CLEANED!AK1002,DATA_CLEANED!AN1002),
ISNUMBER(SEARCH("USA",S5488)),"United States",
ISNUMBER(SEARCH("Republic of Ireland",S5488)),"Ireland",
ISNUMBER(SEARCH("Republic of Korea",S5488)),"South Korea",
ISNUMBER(SEARCH("Cape Verde",S5488)),"Cabo Verde",
ISNUMBER(SEARCH("Czechia",S5488)),"Czech Republic",
ISNUMBER(SEARCH("Türkiye",S5488)),"Turkey",
ISNUMBER(SEARCH("Ivory Coast",S5488)),"Côte d'Ivoire",
ISNUMBER(SEARCH("Korea Republic",S5488)),"South Korea",
ISNUMBER(SEARCH("Germany FR",S5488)),"FR Germany",
ISNUMBER(SEARCH("West Germany",S5488)),"FR Germany",
ISNUMBER(SEARCH("Germany DR",S5488)),"DR Germany",
ISNUMBER(SEARCH("Korea DPR",S5488)),"North Korea",
ISNUMBER(SEARCH("China PR",S5488)),"China",
ISNUMBER(SEARCH("IR Iran",S5488)),"Iran",
ISNUMBER(SEARCH("Congo DR",S5488)),"Democratic Republic of the Congo",
ISNUMBER(SEARCH("DR Congo",S5488)),"Democratic Republic of the Congo",
ISNUMBER(SEARCH("German DR",S5488)),"DR Germany",
ISNUMBER(SEARCH("rn""&gt;United Arab Emirates",S5488)),"United Arab Emirates",
ISNUMBER(SEARCH("rn""&gt;Republic of Ireland",S5488)),"Ireland",
ISNUMBER(SEARCH("rn""&gt;Bosnia and Herzegovina",S5488)),"Bosnia and Herzegovina",
ISNUMBER(SEARCH("rn""&gt;Trinidad and Tobago",S5488)),"Trinidad and Tobago",
ISNUMBER(SEARCH("rn""&gt;Serbia and Montenegro",S5488)),"Serbia and Montenegro",
ISNUMBER(SEARCH(_xlfn.UNICHAR(65533),S5488)),"Côte d'Ivoire",
TRUE,"-"
)</f>
        <v>-</v>
      </c>
      <c r="W5488" s="42" t="str">
        <f t="shared" si="330"/>
        <v>-</v>
      </c>
    </row>
    <row r="5489" spans="19:23">
      <c r="S5489" s="42" t="str">
        <v/>
      </c>
      <c r="T5489" s="42" t="str">
        <f t="shared" si="328"/>
        <v>-</v>
      </c>
      <c r="U5489" s="40" t="str">
        <f t="shared" si="329"/>
        <v>-</v>
      </c>
      <c r="V5489" s="42" t="str" cm="1">
        <f t="array" ref="V5489">_xlfn.IFS(
LEFT(S5489,16)="win on penalties",IF(VALUE(MID(S5489,19,1))&gt;VALUE(MID(S5489,23,1)),DATA_CLEANED!AK1003,DATA_CLEANED!AN1003),
ISNUMBER(SEARCH("USA",S5489)),"United States",
ISNUMBER(SEARCH("Republic of Ireland",S5489)),"Ireland",
ISNUMBER(SEARCH("Republic of Korea",S5489)),"South Korea",
ISNUMBER(SEARCH("Cape Verde",S5489)),"Cabo Verde",
ISNUMBER(SEARCH("Czechia",S5489)),"Czech Republic",
ISNUMBER(SEARCH("Türkiye",S5489)),"Turkey",
ISNUMBER(SEARCH("Ivory Coast",S5489)),"Côte d'Ivoire",
ISNUMBER(SEARCH("Korea Republic",S5489)),"South Korea",
ISNUMBER(SEARCH("Germany FR",S5489)),"FR Germany",
ISNUMBER(SEARCH("West Germany",S5489)),"FR Germany",
ISNUMBER(SEARCH("Germany DR",S5489)),"DR Germany",
ISNUMBER(SEARCH("Korea DPR",S5489)),"North Korea",
ISNUMBER(SEARCH("China PR",S5489)),"China",
ISNUMBER(SEARCH("IR Iran",S5489)),"Iran",
ISNUMBER(SEARCH("Congo DR",S5489)),"Democratic Republic of the Congo",
ISNUMBER(SEARCH("DR Congo",S5489)),"Democratic Republic of the Congo",
ISNUMBER(SEARCH("German DR",S5489)),"DR Germany",
ISNUMBER(SEARCH("rn""&gt;United Arab Emirates",S5489)),"United Arab Emirates",
ISNUMBER(SEARCH("rn""&gt;Republic of Ireland",S5489)),"Ireland",
ISNUMBER(SEARCH("rn""&gt;Bosnia and Herzegovina",S5489)),"Bosnia and Herzegovina",
ISNUMBER(SEARCH("rn""&gt;Trinidad and Tobago",S5489)),"Trinidad and Tobago",
ISNUMBER(SEARCH("rn""&gt;Serbia and Montenegro",S5489)),"Serbia and Montenegro",
ISNUMBER(SEARCH(_xlfn.UNICHAR(65533),S5489)),"Côte d'Ivoire",
TRUE,"-"
)</f>
        <v>-</v>
      </c>
      <c r="W5489" s="42" t="str">
        <f t="shared" si="330"/>
        <v>-</v>
      </c>
    </row>
    <row r="5490" spans="19:23">
      <c r="S5490" s="42" t="str">
        <v/>
      </c>
      <c r="T5490" s="42" t="str">
        <f t="shared" si="328"/>
        <v>-</v>
      </c>
      <c r="U5490" s="40" t="str">
        <f t="shared" si="329"/>
        <v>-</v>
      </c>
      <c r="V5490" s="42" t="str" cm="1">
        <f t="array" ref="V5490">_xlfn.IFS(
LEFT(S5490,16)="win on penalties",IF(VALUE(MID(S5490,19,1))&gt;VALUE(MID(S5490,23,1)),DATA_CLEANED!AK1004,DATA_CLEANED!AN1004),
ISNUMBER(SEARCH("USA",S5490)),"United States",
ISNUMBER(SEARCH("Republic of Ireland",S5490)),"Ireland",
ISNUMBER(SEARCH("Republic of Korea",S5490)),"South Korea",
ISNUMBER(SEARCH("Cape Verde",S5490)),"Cabo Verde",
ISNUMBER(SEARCH("Czechia",S5490)),"Czech Republic",
ISNUMBER(SEARCH("Türkiye",S5490)),"Turkey",
ISNUMBER(SEARCH("Ivory Coast",S5490)),"Côte d'Ivoire",
ISNUMBER(SEARCH("Korea Republic",S5490)),"South Korea",
ISNUMBER(SEARCH("Germany FR",S5490)),"FR Germany",
ISNUMBER(SEARCH("West Germany",S5490)),"FR Germany",
ISNUMBER(SEARCH("Germany DR",S5490)),"DR Germany",
ISNUMBER(SEARCH("Korea DPR",S5490)),"North Korea",
ISNUMBER(SEARCH("China PR",S5490)),"China",
ISNUMBER(SEARCH("IR Iran",S5490)),"Iran",
ISNUMBER(SEARCH("Congo DR",S5490)),"Democratic Republic of the Congo",
ISNUMBER(SEARCH("DR Congo",S5490)),"Democratic Republic of the Congo",
ISNUMBER(SEARCH("German DR",S5490)),"DR Germany",
ISNUMBER(SEARCH("rn""&gt;United Arab Emirates",S5490)),"United Arab Emirates",
ISNUMBER(SEARCH("rn""&gt;Republic of Ireland",S5490)),"Ireland",
ISNUMBER(SEARCH("rn""&gt;Bosnia and Herzegovina",S5490)),"Bosnia and Herzegovina",
ISNUMBER(SEARCH("rn""&gt;Trinidad and Tobago",S5490)),"Trinidad and Tobago",
ISNUMBER(SEARCH("rn""&gt;Serbia and Montenegro",S5490)),"Serbia and Montenegro",
ISNUMBER(SEARCH(_xlfn.UNICHAR(65533),S5490)),"Côte d'Ivoire",
TRUE,"-"
)</f>
        <v>-</v>
      </c>
      <c r="W5490" s="42" t="str">
        <f t="shared" si="330"/>
        <v>-</v>
      </c>
    </row>
    <row r="5491" spans="19:23">
      <c r="S5491" s="42" t="str">
        <v/>
      </c>
      <c r="T5491" s="42" t="str">
        <f t="shared" si="328"/>
        <v>-</v>
      </c>
      <c r="U5491" s="40" t="str">
        <f t="shared" si="329"/>
        <v>-</v>
      </c>
      <c r="V5491" s="42" t="str" cm="1">
        <f t="array" ref="V5491">_xlfn.IFS(
LEFT(S5491,16)="win on penalties",IF(VALUE(MID(S5491,19,1))&gt;VALUE(MID(S5491,23,1)),DATA_CLEANED!AK1005,DATA_CLEANED!AN1005),
ISNUMBER(SEARCH("USA",S5491)),"United States",
ISNUMBER(SEARCH("Republic of Ireland",S5491)),"Ireland",
ISNUMBER(SEARCH("Republic of Korea",S5491)),"South Korea",
ISNUMBER(SEARCH("Cape Verde",S5491)),"Cabo Verde",
ISNUMBER(SEARCH("Czechia",S5491)),"Czech Republic",
ISNUMBER(SEARCH("Türkiye",S5491)),"Turkey",
ISNUMBER(SEARCH("Ivory Coast",S5491)),"Côte d'Ivoire",
ISNUMBER(SEARCH("Korea Republic",S5491)),"South Korea",
ISNUMBER(SEARCH("Germany FR",S5491)),"FR Germany",
ISNUMBER(SEARCH("West Germany",S5491)),"FR Germany",
ISNUMBER(SEARCH("Germany DR",S5491)),"DR Germany",
ISNUMBER(SEARCH("Korea DPR",S5491)),"North Korea",
ISNUMBER(SEARCH("China PR",S5491)),"China",
ISNUMBER(SEARCH("IR Iran",S5491)),"Iran",
ISNUMBER(SEARCH("Congo DR",S5491)),"Democratic Republic of the Congo",
ISNUMBER(SEARCH("DR Congo",S5491)),"Democratic Republic of the Congo",
ISNUMBER(SEARCH("German DR",S5491)),"DR Germany",
ISNUMBER(SEARCH("rn""&gt;United Arab Emirates",S5491)),"United Arab Emirates",
ISNUMBER(SEARCH("rn""&gt;Republic of Ireland",S5491)),"Ireland",
ISNUMBER(SEARCH("rn""&gt;Bosnia and Herzegovina",S5491)),"Bosnia and Herzegovina",
ISNUMBER(SEARCH("rn""&gt;Trinidad and Tobago",S5491)),"Trinidad and Tobago",
ISNUMBER(SEARCH("rn""&gt;Serbia and Montenegro",S5491)),"Serbia and Montenegro",
ISNUMBER(SEARCH(_xlfn.UNICHAR(65533),S5491)),"Côte d'Ivoire",
TRUE,"-"
)</f>
        <v>-</v>
      </c>
      <c r="W5491" s="42" t="str">
        <f t="shared" si="330"/>
        <v>-</v>
      </c>
    </row>
    <row r="5492" spans="19:23">
      <c r="S5492" s="42" t="str">
        <v/>
      </c>
      <c r="T5492" s="42" t="str">
        <f t="shared" si="328"/>
        <v>-</v>
      </c>
      <c r="U5492" s="40" t="str">
        <f t="shared" si="329"/>
        <v>-</v>
      </c>
      <c r="V5492" s="42" t="str" cm="1">
        <f t="array" ref="V5492">_xlfn.IFS(
LEFT(S5492,16)="win on penalties",IF(VALUE(MID(S5492,19,1))&gt;VALUE(MID(S5492,23,1)),DATA_CLEANED!AK1006,DATA_CLEANED!AN1006),
ISNUMBER(SEARCH("USA",S5492)),"United States",
ISNUMBER(SEARCH("Republic of Ireland",S5492)),"Ireland",
ISNUMBER(SEARCH("Republic of Korea",S5492)),"South Korea",
ISNUMBER(SEARCH("Cape Verde",S5492)),"Cabo Verde",
ISNUMBER(SEARCH("Czechia",S5492)),"Czech Republic",
ISNUMBER(SEARCH("Türkiye",S5492)),"Turkey",
ISNUMBER(SEARCH("Ivory Coast",S5492)),"Côte d'Ivoire",
ISNUMBER(SEARCH("Korea Republic",S5492)),"South Korea",
ISNUMBER(SEARCH("Germany FR",S5492)),"FR Germany",
ISNUMBER(SEARCH("West Germany",S5492)),"FR Germany",
ISNUMBER(SEARCH("Germany DR",S5492)),"DR Germany",
ISNUMBER(SEARCH("Korea DPR",S5492)),"North Korea",
ISNUMBER(SEARCH("China PR",S5492)),"China",
ISNUMBER(SEARCH("IR Iran",S5492)),"Iran",
ISNUMBER(SEARCH("Congo DR",S5492)),"Democratic Republic of the Congo",
ISNUMBER(SEARCH("DR Congo",S5492)),"Democratic Republic of the Congo",
ISNUMBER(SEARCH("German DR",S5492)),"DR Germany",
ISNUMBER(SEARCH("rn""&gt;United Arab Emirates",S5492)),"United Arab Emirates",
ISNUMBER(SEARCH("rn""&gt;Republic of Ireland",S5492)),"Ireland",
ISNUMBER(SEARCH("rn""&gt;Bosnia and Herzegovina",S5492)),"Bosnia and Herzegovina",
ISNUMBER(SEARCH("rn""&gt;Trinidad and Tobago",S5492)),"Trinidad and Tobago",
ISNUMBER(SEARCH("rn""&gt;Serbia and Montenegro",S5492)),"Serbia and Montenegro",
ISNUMBER(SEARCH(_xlfn.UNICHAR(65533),S5492)),"Côte d'Ivoire",
TRUE,"-"
)</f>
        <v>-</v>
      </c>
      <c r="W5492" s="42" t="str">
        <f t="shared" si="330"/>
        <v>-</v>
      </c>
    </row>
    <row r="5493" spans="19:23">
      <c r="S5493" s="42" t="str">
        <v/>
      </c>
      <c r="T5493" s="42" t="str">
        <f t="shared" si="328"/>
        <v>-</v>
      </c>
      <c r="U5493" s="40" t="str">
        <f t="shared" si="329"/>
        <v>-</v>
      </c>
      <c r="V5493" s="42" t="str" cm="1">
        <f t="array" ref="V5493">_xlfn.IFS(
LEFT(S5493,16)="win on penalties",IF(VALUE(MID(S5493,19,1))&gt;VALUE(MID(S5493,23,1)),DATA_CLEANED!AK1007,DATA_CLEANED!AN1007),
ISNUMBER(SEARCH("USA",S5493)),"United States",
ISNUMBER(SEARCH("Republic of Ireland",S5493)),"Ireland",
ISNUMBER(SEARCH("Republic of Korea",S5493)),"South Korea",
ISNUMBER(SEARCH("Cape Verde",S5493)),"Cabo Verde",
ISNUMBER(SEARCH("Czechia",S5493)),"Czech Republic",
ISNUMBER(SEARCH("Türkiye",S5493)),"Turkey",
ISNUMBER(SEARCH("Ivory Coast",S5493)),"Côte d'Ivoire",
ISNUMBER(SEARCH("Korea Republic",S5493)),"South Korea",
ISNUMBER(SEARCH("Germany FR",S5493)),"FR Germany",
ISNUMBER(SEARCH("West Germany",S5493)),"FR Germany",
ISNUMBER(SEARCH("Germany DR",S5493)),"DR Germany",
ISNUMBER(SEARCH("Korea DPR",S5493)),"North Korea",
ISNUMBER(SEARCH("China PR",S5493)),"China",
ISNUMBER(SEARCH("IR Iran",S5493)),"Iran",
ISNUMBER(SEARCH("Congo DR",S5493)),"Democratic Republic of the Congo",
ISNUMBER(SEARCH("DR Congo",S5493)),"Democratic Republic of the Congo",
ISNUMBER(SEARCH("German DR",S5493)),"DR Germany",
ISNUMBER(SEARCH("rn""&gt;United Arab Emirates",S5493)),"United Arab Emirates",
ISNUMBER(SEARCH("rn""&gt;Republic of Ireland",S5493)),"Ireland",
ISNUMBER(SEARCH("rn""&gt;Bosnia and Herzegovina",S5493)),"Bosnia and Herzegovina",
ISNUMBER(SEARCH("rn""&gt;Trinidad and Tobago",S5493)),"Trinidad and Tobago",
ISNUMBER(SEARCH("rn""&gt;Serbia and Montenegro",S5493)),"Serbia and Montenegro",
ISNUMBER(SEARCH(_xlfn.UNICHAR(65533),S5493)),"Côte d'Ivoire",
TRUE,"-"
)</f>
        <v>-</v>
      </c>
      <c r="W5493" s="42" t="str">
        <f t="shared" si="330"/>
        <v>-</v>
      </c>
    </row>
    <row r="5494" spans="19:23">
      <c r="S5494" s="42" t="str">
        <v/>
      </c>
      <c r="T5494" s="42" t="str">
        <f t="shared" si="328"/>
        <v>-</v>
      </c>
      <c r="U5494" s="40" t="str">
        <f t="shared" si="329"/>
        <v>-</v>
      </c>
      <c r="V5494" s="42" t="str" cm="1">
        <f t="array" ref="V5494">_xlfn.IFS(
LEFT(S5494,16)="win on penalties",IF(VALUE(MID(S5494,19,1))&gt;VALUE(MID(S5494,23,1)),DATA_CLEANED!AK1008,DATA_CLEANED!AN1008),
ISNUMBER(SEARCH("USA",S5494)),"United States",
ISNUMBER(SEARCH("Republic of Ireland",S5494)),"Ireland",
ISNUMBER(SEARCH("Republic of Korea",S5494)),"South Korea",
ISNUMBER(SEARCH("Cape Verde",S5494)),"Cabo Verde",
ISNUMBER(SEARCH("Czechia",S5494)),"Czech Republic",
ISNUMBER(SEARCH("Türkiye",S5494)),"Turkey",
ISNUMBER(SEARCH("Ivory Coast",S5494)),"Côte d'Ivoire",
ISNUMBER(SEARCH("Korea Republic",S5494)),"South Korea",
ISNUMBER(SEARCH("Germany FR",S5494)),"FR Germany",
ISNUMBER(SEARCH("West Germany",S5494)),"FR Germany",
ISNUMBER(SEARCH("Germany DR",S5494)),"DR Germany",
ISNUMBER(SEARCH("Korea DPR",S5494)),"North Korea",
ISNUMBER(SEARCH("China PR",S5494)),"China",
ISNUMBER(SEARCH("IR Iran",S5494)),"Iran",
ISNUMBER(SEARCH("Congo DR",S5494)),"Democratic Republic of the Congo",
ISNUMBER(SEARCH("DR Congo",S5494)),"Democratic Republic of the Congo",
ISNUMBER(SEARCH("German DR",S5494)),"DR Germany",
ISNUMBER(SEARCH("rn""&gt;United Arab Emirates",S5494)),"United Arab Emirates",
ISNUMBER(SEARCH("rn""&gt;Republic of Ireland",S5494)),"Ireland",
ISNUMBER(SEARCH("rn""&gt;Bosnia and Herzegovina",S5494)),"Bosnia and Herzegovina",
ISNUMBER(SEARCH("rn""&gt;Trinidad and Tobago",S5494)),"Trinidad and Tobago",
ISNUMBER(SEARCH("rn""&gt;Serbia and Montenegro",S5494)),"Serbia and Montenegro",
ISNUMBER(SEARCH(_xlfn.UNICHAR(65533),S5494)),"Côte d'Ivoire",
TRUE,"-"
)</f>
        <v>-</v>
      </c>
      <c r="W5494" s="42" t="str">
        <f t="shared" si="330"/>
        <v>-</v>
      </c>
    </row>
    <row r="5495" spans="19:23">
      <c r="S5495" s="42" t="str">
        <v/>
      </c>
      <c r="T5495" s="42" t="str">
        <f t="shared" si="328"/>
        <v>-</v>
      </c>
      <c r="U5495" s="40" t="str">
        <f t="shared" si="329"/>
        <v>-</v>
      </c>
      <c r="V5495" s="42" t="str" cm="1">
        <f t="array" ref="V5495">_xlfn.IFS(
LEFT(S5495,16)="win on penalties",IF(VALUE(MID(S5495,19,1))&gt;VALUE(MID(S5495,23,1)),DATA_CLEANED!AK1009,DATA_CLEANED!AN1009),
ISNUMBER(SEARCH("USA",S5495)),"United States",
ISNUMBER(SEARCH("Republic of Ireland",S5495)),"Ireland",
ISNUMBER(SEARCH("Republic of Korea",S5495)),"South Korea",
ISNUMBER(SEARCH("Cape Verde",S5495)),"Cabo Verde",
ISNUMBER(SEARCH("Czechia",S5495)),"Czech Republic",
ISNUMBER(SEARCH("Türkiye",S5495)),"Turkey",
ISNUMBER(SEARCH("Ivory Coast",S5495)),"Côte d'Ivoire",
ISNUMBER(SEARCH("Korea Republic",S5495)),"South Korea",
ISNUMBER(SEARCH("Germany FR",S5495)),"FR Germany",
ISNUMBER(SEARCH("West Germany",S5495)),"FR Germany",
ISNUMBER(SEARCH("Germany DR",S5495)),"DR Germany",
ISNUMBER(SEARCH("Korea DPR",S5495)),"North Korea",
ISNUMBER(SEARCH("China PR",S5495)),"China",
ISNUMBER(SEARCH("IR Iran",S5495)),"Iran",
ISNUMBER(SEARCH("Congo DR",S5495)),"Democratic Republic of the Congo",
ISNUMBER(SEARCH("DR Congo",S5495)),"Democratic Republic of the Congo",
ISNUMBER(SEARCH("German DR",S5495)),"DR Germany",
ISNUMBER(SEARCH("rn""&gt;United Arab Emirates",S5495)),"United Arab Emirates",
ISNUMBER(SEARCH("rn""&gt;Republic of Ireland",S5495)),"Ireland",
ISNUMBER(SEARCH("rn""&gt;Bosnia and Herzegovina",S5495)),"Bosnia and Herzegovina",
ISNUMBER(SEARCH("rn""&gt;Trinidad and Tobago",S5495)),"Trinidad and Tobago",
ISNUMBER(SEARCH("rn""&gt;Serbia and Montenegro",S5495)),"Serbia and Montenegro",
ISNUMBER(SEARCH(_xlfn.UNICHAR(65533),S5495)),"Côte d'Ivoire",
TRUE,"-"
)</f>
        <v>-</v>
      </c>
      <c r="W5495" s="42" t="str">
        <f t="shared" si="330"/>
        <v>-</v>
      </c>
    </row>
    <row r="5496" spans="19:23">
      <c r="S5496" s="42" t="str">
        <v/>
      </c>
      <c r="T5496" s="42" t="str">
        <f t="shared" si="328"/>
        <v>-</v>
      </c>
      <c r="U5496" s="40" t="str">
        <f t="shared" si="329"/>
        <v>-</v>
      </c>
      <c r="V5496" s="42" t="str" cm="1">
        <f t="array" ref="V5496">_xlfn.IFS(
LEFT(S5496,16)="win on penalties",IF(VALUE(MID(S5496,19,1))&gt;VALUE(MID(S5496,23,1)),DATA_CLEANED!AK1010,DATA_CLEANED!AN1010),
ISNUMBER(SEARCH("USA",S5496)),"United States",
ISNUMBER(SEARCH("Republic of Ireland",S5496)),"Ireland",
ISNUMBER(SEARCH("Republic of Korea",S5496)),"South Korea",
ISNUMBER(SEARCH("Cape Verde",S5496)),"Cabo Verde",
ISNUMBER(SEARCH("Czechia",S5496)),"Czech Republic",
ISNUMBER(SEARCH("Türkiye",S5496)),"Turkey",
ISNUMBER(SEARCH("Ivory Coast",S5496)),"Côte d'Ivoire",
ISNUMBER(SEARCH("Korea Republic",S5496)),"South Korea",
ISNUMBER(SEARCH("Germany FR",S5496)),"FR Germany",
ISNUMBER(SEARCH("West Germany",S5496)),"FR Germany",
ISNUMBER(SEARCH("Germany DR",S5496)),"DR Germany",
ISNUMBER(SEARCH("Korea DPR",S5496)),"North Korea",
ISNUMBER(SEARCH("China PR",S5496)),"China",
ISNUMBER(SEARCH("IR Iran",S5496)),"Iran",
ISNUMBER(SEARCH("Congo DR",S5496)),"Democratic Republic of the Congo",
ISNUMBER(SEARCH("DR Congo",S5496)),"Democratic Republic of the Congo",
ISNUMBER(SEARCH("German DR",S5496)),"DR Germany",
ISNUMBER(SEARCH("rn""&gt;United Arab Emirates",S5496)),"United Arab Emirates",
ISNUMBER(SEARCH("rn""&gt;Republic of Ireland",S5496)),"Ireland",
ISNUMBER(SEARCH("rn""&gt;Bosnia and Herzegovina",S5496)),"Bosnia and Herzegovina",
ISNUMBER(SEARCH("rn""&gt;Trinidad and Tobago",S5496)),"Trinidad and Tobago",
ISNUMBER(SEARCH("rn""&gt;Serbia and Montenegro",S5496)),"Serbia and Montenegro",
ISNUMBER(SEARCH(_xlfn.UNICHAR(65533),S5496)),"Côte d'Ivoire",
TRUE,"-"
)</f>
        <v>-</v>
      </c>
      <c r="W5496" s="42" t="str">
        <f t="shared" si="330"/>
        <v>-</v>
      </c>
    </row>
    <row r="5497" spans="19:23">
      <c r="S5497" s="42" t="str">
        <v/>
      </c>
      <c r="T5497" s="42" t="str">
        <f t="shared" si="328"/>
        <v>-</v>
      </c>
      <c r="U5497" s="40" t="str">
        <f t="shared" si="329"/>
        <v>-</v>
      </c>
      <c r="V5497" s="42" t="str" cm="1">
        <f t="array" ref="V5497">_xlfn.IFS(
LEFT(S5497,16)="win on penalties",IF(VALUE(MID(S5497,19,1))&gt;VALUE(MID(S5497,23,1)),DATA_CLEANED!AK1011,DATA_CLEANED!AN1011),
ISNUMBER(SEARCH("USA",S5497)),"United States",
ISNUMBER(SEARCH("Republic of Ireland",S5497)),"Ireland",
ISNUMBER(SEARCH("Republic of Korea",S5497)),"South Korea",
ISNUMBER(SEARCH("Cape Verde",S5497)),"Cabo Verde",
ISNUMBER(SEARCH("Czechia",S5497)),"Czech Republic",
ISNUMBER(SEARCH("Türkiye",S5497)),"Turkey",
ISNUMBER(SEARCH("Ivory Coast",S5497)),"Côte d'Ivoire",
ISNUMBER(SEARCH("Korea Republic",S5497)),"South Korea",
ISNUMBER(SEARCH("Germany FR",S5497)),"FR Germany",
ISNUMBER(SEARCH("West Germany",S5497)),"FR Germany",
ISNUMBER(SEARCH("Germany DR",S5497)),"DR Germany",
ISNUMBER(SEARCH("Korea DPR",S5497)),"North Korea",
ISNUMBER(SEARCH("China PR",S5497)),"China",
ISNUMBER(SEARCH("IR Iran",S5497)),"Iran",
ISNUMBER(SEARCH("Congo DR",S5497)),"Democratic Republic of the Congo",
ISNUMBER(SEARCH("DR Congo",S5497)),"Democratic Republic of the Congo",
ISNUMBER(SEARCH("German DR",S5497)),"DR Germany",
ISNUMBER(SEARCH("rn""&gt;United Arab Emirates",S5497)),"United Arab Emirates",
ISNUMBER(SEARCH("rn""&gt;Republic of Ireland",S5497)),"Ireland",
ISNUMBER(SEARCH("rn""&gt;Bosnia and Herzegovina",S5497)),"Bosnia and Herzegovina",
ISNUMBER(SEARCH("rn""&gt;Trinidad and Tobago",S5497)),"Trinidad and Tobago",
ISNUMBER(SEARCH("rn""&gt;Serbia and Montenegro",S5497)),"Serbia and Montenegro",
ISNUMBER(SEARCH(_xlfn.UNICHAR(65533),S5497)),"Côte d'Ivoire",
TRUE,"-"
)</f>
        <v>-</v>
      </c>
      <c r="W5497" s="42" t="str">
        <f t="shared" si="330"/>
        <v>-</v>
      </c>
    </row>
    <row r="5498" spans="19:23">
      <c r="S5498" s="42" t="str">
        <v/>
      </c>
      <c r="T5498" s="42" t="str">
        <f t="shared" si="328"/>
        <v>-</v>
      </c>
      <c r="U5498" s="40" t="str">
        <f t="shared" si="329"/>
        <v>-</v>
      </c>
      <c r="V5498" s="42" t="str" cm="1">
        <f t="array" ref="V5498">_xlfn.IFS(
LEFT(S5498,16)="win on penalties",IF(VALUE(MID(S5498,19,1))&gt;VALUE(MID(S5498,23,1)),DATA_CLEANED!AK1012,DATA_CLEANED!AN1012),
ISNUMBER(SEARCH("USA",S5498)),"United States",
ISNUMBER(SEARCH("Republic of Ireland",S5498)),"Ireland",
ISNUMBER(SEARCH("Republic of Korea",S5498)),"South Korea",
ISNUMBER(SEARCH("Cape Verde",S5498)),"Cabo Verde",
ISNUMBER(SEARCH("Czechia",S5498)),"Czech Republic",
ISNUMBER(SEARCH("Türkiye",S5498)),"Turkey",
ISNUMBER(SEARCH("Ivory Coast",S5498)),"Côte d'Ivoire",
ISNUMBER(SEARCH("Korea Republic",S5498)),"South Korea",
ISNUMBER(SEARCH("Germany FR",S5498)),"FR Germany",
ISNUMBER(SEARCH("West Germany",S5498)),"FR Germany",
ISNUMBER(SEARCH("Germany DR",S5498)),"DR Germany",
ISNUMBER(SEARCH("Korea DPR",S5498)),"North Korea",
ISNUMBER(SEARCH("China PR",S5498)),"China",
ISNUMBER(SEARCH("IR Iran",S5498)),"Iran",
ISNUMBER(SEARCH("Congo DR",S5498)),"Democratic Republic of the Congo",
ISNUMBER(SEARCH("DR Congo",S5498)),"Democratic Republic of the Congo",
ISNUMBER(SEARCH("German DR",S5498)),"DR Germany",
ISNUMBER(SEARCH("rn""&gt;United Arab Emirates",S5498)),"United Arab Emirates",
ISNUMBER(SEARCH("rn""&gt;Republic of Ireland",S5498)),"Ireland",
ISNUMBER(SEARCH("rn""&gt;Bosnia and Herzegovina",S5498)),"Bosnia and Herzegovina",
ISNUMBER(SEARCH("rn""&gt;Trinidad and Tobago",S5498)),"Trinidad and Tobago",
ISNUMBER(SEARCH("rn""&gt;Serbia and Montenegro",S5498)),"Serbia and Montenegro",
ISNUMBER(SEARCH(_xlfn.UNICHAR(65533),S5498)),"Côte d'Ivoire",
TRUE,"-"
)</f>
        <v>-</v>
      </c>
      <c r="W5498" s="42" t="str">
        <f t="shared" si="330"/>
        <v>-</v>
      </c>
    </row>
    <row r="5499" spans="19:23">
      <c r="S5499" s="42" t="str">
        <v/>
      </c>
      <c r="T5499" s="42" t="str">
        <f t="shared" si="328"/>
        <v>-</v>
      </c>
      <c r="U5499" s="40" t="str">
        <f t="shared" si="329"/>
        <v>-</v>
      </c>
      <c r="V5499" s="42" t="str" cm="1">
        <f t="array" ref="V5499">_xlfn.IFS(
LEFT(S5499,16)="win on penalties",IF(VALUE(MID(S5499,19,1))&gt;VALUE(MID(S5499,23,1)),DATA_CLEANED!AK1013,DATA_CLEANED!AN1013),
ISNUMBER(SEARCH("USA",S5499)),"United States",
ISNUMBER(SEARCH("Republic of Ireland",S5499)),"Ireland",
ISNUMBER(SEARCH("Republic of Korea",S5499)),"South Korea",
ISNUMBER(SEARCH("Cape Verde",S5499)),"Cabo Verde",
ISNUMBER(SEARCH("Czechia",S5499)),"Czech Republic",
ISNUMBER(SEARCH("Türkiye",S5499)),"Turkey",
ISNUMBER(SEARCH("Ivory Coast",S5499)),"Côte d'Ivoire",
ISNUMBER(SEARCH("Korea Republic",S5499)),"South Korea",
ISNUMBER(SEARCH("Germany FR",S5499)),"FR Germany",
ISNUMBER(SEARCH("West Germany",S5499)),"FR Germany",
ISNUMBER(SEARCH("Germany DR",S5499)),"DR Germany",
ISNUMBER(SEARCH("Korea DPR",S5499)),"North Korea",
ISNUMBER(SEARCH("China PR",S5499)),"China",
ISNUMBER(SEARCH("IR Iran",S5499)),"Iran",
ISNUMBER(SEARCH("Congo DR",S5499)),"Democratic Republic of the Congo",
ISNUMBER(SEARCH("DR Congo",S5499)),"Democratic Republic of the Congo",
ISNUMBER(SEARCH("German DR",S5499)),"DR Germany",
ISNUMBER(SEARCH("rn""&gt;United Arab Emirates",S5499)),"United Arab Emirates",
ISNUMBER(SEARCH("rn""&gt;Republic of Ireland",S5499)),"Ireland",
ISNUMBER(SEARCH("rn""&gt;Bosnia and Herzegovina",S5499)),"Bosnia and Herzegovina",
ISNUMBER(SEARCH("rn""&gt;Trinidad and Tobago",S5499)),"Trinidad and Tobago",
ISNUMBER(SEARCH("rn""&gt;Serbia and Montenegro",S5499)),"Serbia and Montenegro",
ISNUMBER(SEARCH(_xlfn.UNICHAR(65533),S5499)),"Côte d'Ivoire",
TRUE,"-"
)</f>
        <v>-</v>
      </c>
      <c r="W5499" s="42" t="str">
        <f t="shared" si="330"/>
        <v>-</v>
      </c>
    </row>
    <row r="5500" spans="19:23">
      <c r="S5500" s="42" t="str">
        <v/>
      </c>
      <c r="T5500" s="42" t="str">
        <f t="shared" si="328"/>
        <v>-</v>
      </c>
      <c r="U5500" s="40" t="str">
        <f t="shared" si="329"/>
        <v>-</v>
      </c>
      <c r="V5500" s="42" t="str" cm="1">
        <f t="array" ref="V5500">_xlfn.IFS(
LEFT(S5500,16)="win on penalties",IF(VALUE(MID(S5500,19,1))&gt;VALUE(MID(S5500,23,1)),DATA_CLEANED!AK1014,DATA_CLEANED!AN1014),
ISNUMBER(SEARCH("USA",S5500)),"United States",
ISNUMBER(SEARCH("Republic of Ireland",S5500)),"Ireland",
ISNUMBER(SEARCH("Republic of Korea",S5500)),"South Korea",
ISNUMBER(SEARCH("Cape Verde",S5500)),"Cabo Verde",
ISNUMBER(SEARCH("Czechia",S5500)),"Czech Republic",
ISNUMBER(SEARCH("Türkiye",S5500)),"Turkey",
ISNUMBER(SEARCH("Ivory Coast",S5500)),"Côte d'Ivoire",
ISNUMBER(SEARCH("Korea Republic",S5500)),"South Korea",
ISNUMBER(SEARCH("Germany FR",S5500)),"FR Germany",
ISNUMBER(SEARCH("West Germany",S5500)),"FR Germany",
ISNUMBER(SEARCH("Germany DR",S5500)),"DR Germany",
ISNUMBER(SEARCH("Korea DPR",S5500)),"North Korea",
ISNUMBER(SEARCH("China PR",S5500)),"China",
ISNUMBER(SEARCH("IR Iran",S5500)),"Iran",
ISNUMBER(SEARCH("Congo DR",S5500)),"Democratic Republic of the Congo",
ISNUMBER(SEARCH("DR Congo",S5500)),"Democratic Republic of the Congo",
ISNUMBER(SEARCH("German DR",S5500)),"DR Germany",
ISNUMBER(SEARCH("rn""&gt;United Arab Emirates",S5500)),"United Arab Emirates",
ISNUMBER(SEARCH("rn""&gt;Republic of Ireland",S5500)),"Ireland",
ISNUMBER(SEARCH("rn""&gt;Bosnia and Herzegovina",S5500)),"Bosnia and Herzegovina",
ISNUMBER(SEARCH("rn""&gt;Trinidad and Tobago",S5500)),"Trinidad and Tobago",
ISNUMBER(SEARCH("rn""&gt;Serbia and Montenegro",S5500)),"Serbia and Montenegro",
ISNUMBER(SEARCH(_xlfn.UNICHAR(65533),S5500)),"Côte d'Ivoire",
TRUE,"-"
)</f>
        <v>-</v>
      </c>
      <c r="W5500" s="42" t="str">
        <f t="shared" si="330"/>
        <v>-</v>
      </c>
    </row>
    <row r="5501" spans="19:23">
      <c r="S5501" s="42" t="str">
        <v/>
      </c>
      <c r="T5501" s="42" t="str">
        <f t="shared" si="328"/>
        <v>-</v>
      </c>
      <c r="U5501" s="40" t="str">
        <f t="shared" si="329"/>
        <v>-</v>
      </c>
      <c r="V5501" s="42" t="str" cm="1">
        <f t="array" ref="V5501">_xlfn.IFS(
LEFT(S5501,16)="win on penalties",IF(VALUE(MID(S5501,19,1))&gt;VALUE(MID(S5501,23,1)),DATA_CLEANED!AK1015,DATA_CLEANED!AN1015),
ISNUMBER(SEARCH("USA",S5501)),"United States",
ISNUMBER(SEARCH("Republic of Ireland",S5501)),"Ireland",
ISNUMBER(SEARCH("Republic of Korea",S5501)),"South Korea",
ISNUMBER(SEARCH("Cape Verde",S5501)),"Cabo Verde",
ISNUMBER(SEARCH("Czechia",S5501)),"Czech Republic",
ISNUMBER(SEARCH("Türkiye",S5501)),"Turkey",
ISNUMBER(SEARCH("Ivory Coast",S5501)),"Côte d'Ivoire",
ISNUMBER(SEARCH("Korea Republic",S5501)),"South Korea",
ISNUMBER(SEARCH("Germany FR",S5501)),"FR Germany",
ISNUMBER(SEARCH("West Germany",S5501)),"FR Germany",
ISNUMBER(SEARCH("Germany DR",S5501)),"DR Germany",
ISNUMBER(SEARCH("Korea DPR",S5501)),"North Korea",
ISNUMBER(SEARCH("China PR",S5501)),"China",
ISNUMBER(SEARCH("IR Iran",S5501)),"Iran",
ISNUMBER(SEARCH("Congo DR",S5501)),"Democratic Republic of the Congo",
ISNUMBER(SEARCH("DR Congo",S5501)),"Democratic Republic of the Congo",
ISNUMBER(SEARCH("German DR",S5501)),"DR Germany",
ISNUMBER(SEARCH("rn""&gt;United Arab Emirates",S5501)),"United Arab Emirates",
ISNUMBER(SEARCH("rn""&gt;Republic of Ireland",S5501)),"Ireland",
ISNUMBER(SEARCH("rn""&gt;Bosnia and Herzegovina",S5501)),"Bosnia and Herzegovina",
ISNUMBER(SEARCH("rn""&gt;Trinidad and Tobago",S5501)),"Trinidad and Tobago",
ISNUMBER(SEARCH("rn""&gt;Serbia and Montenegro",S5501)),"Serbia and Montenegro",
ISNUMBER(SEARCH(_xlfn.UNICHAR(65533),S5501)),"Côte d'Ivoire",
TRUE,"-"
)</f>
        <v>-</v>
      </c>
      <c r="W5501" s="42" t="str">
        <f t="shared" si="330"/>
        <v>-</v>
      </c>
    </row>
    <row r="5502" spans="19:23">
      <c r="S5502" s="42" t="str">
        <v/>
      </c>
      <c r="T5502" s="42" t="str">
        <f t="shared" si="328"/>
        <v>-</v>
      </c>
      <c r="U5502" s="40" t="str">
        <f t="shared" si="329"/>
        <v>-</v>
      </c>
      <c r="V5502" s="42" t="str" cm="1">
        <f t="array" ref="V5502">_xlfn.IFS(
LEFT(S5502,16)="win on penalties",IF(VALUE(MID(S5502,19,1))&gt;VALUE(MID(S5502,23,1)),DATA_CLEANED!AK1016,DATA_CLEANED!AN1016),
ISNUMBER(SEARCH("USA",S5502)),"United States",
ISNUMBER(SEARCH("Republic of Ireland",S5502)),"Ireland",
ISNUMBER(SEARCH("Republic of Korea",S5502)),"South Korea",
ISNUMBER(SEARCH("Cape Verde",S5502)),"Cabo Verde",
ISNUMBER(SEARCH("Czechia",S5502)),"Czech Republic",
ISNUMBER(SEARCH("Türkiye",S5502)),"Turkey",
ISNUMBER(SEARCH("Ivory Coast",S5502)),"Côte d'Ivoire",
ISNUMBER(SEARCH("Korea Republic",S5502)),"South Korea",
ISNUMBER(SEARCH("Germany FR",S5502)),"FR Germany",
ISNUMBER(SEARCH("West Germany",S5502)),"FR Germany",
ISNUMBER(SEARCH("Germany DR",S5502)),"DR Germany",
ISNUMBER(SEARCH("Korea DPR",S5502)),"North Korea",
ISNUMBER(SEARCH("China PR",S5502)),"China",
ISNUMBER(SEARCH("IR Iran",S5502)),"Iran",
ISNUMBER(SEARCH("Congo DR",S5502)),"Democratic Republic of the Congo",
ISNUMBER(SEARCH("DR Congo",S5502)),"Democratic Republic of the Congo",
ISNUMBER(SEARCH("German DR",S5502)),"DR Germany",
ISNUMBER(SEARCH("rn""&gt;United Arab Emirates",S5502)),"United Arab Emirates",
ISNUMBER(SEARCH("rn""&gt;Republic of Ireland",S5502)),"Ireland",
ISNUMBER(SEARCH("rn""&gt;Bosnia and Herzegovina",S5502)),"Bosnia and Herzegovina",
ISNUMBER(SEARCH("rn""&gt;Trinidad and Tobago",S5502)),"Trinidad and Tobago",
ISNUMBER(SEARCH("rn""&gt;Serbia and Montenegro",S5502)),"Serbia and Montenegro",
ISNUMBER(SEARCH(_xlfn.UNICHAR(65533),S5502)),"Côte d'Ivoire",
TRUE,"-"
)</f>
        <v>-</v>
      </c>
      <c r="W5502" s="42" t="str">
        <f t="shared" si="330"/>
        <v>-</v>
      </c>
    </row>
    <row r="5503" spans="19:23">
      <c r="S5503" s="42" t="str">
        <v/>
      </c>
      <c r="T5503" s="42" t="str">
        <f t="shared" si="328"/>
        <v>-</v>
      </c>
      <c r="U5503" s="40" t="str">
        <f t="shared" si="329"/>
        <v>-</v>
      </c>
      <c r="V5503" s="42" t="str" cm="1">
        <f t="array" ref="V5503">_xlfn.IFS(
LEFT(S5503,16)="win on penalties",IF(VALUE(MID(S5503,19,1))&gt;VALUE(MID(S5503,23,1)),DATA_CLEANED!AK1017,DATA_CLEANED!AN1017),
ISNUMBER(SEARCH("USA",S5503)),"United States",
ISNUMBER(SEARCH("Republic of Ireland",S5503)),"Ireland",
ISNUMBER(SEARCH("Republic of Korea",S5503)),"South Korea",
ISNUMBER(SEARCH("Cape Verde",S5503)),"Cabo Verde",
ISNUMBER(SEARCH("Czechia",S5503)),"Czech Republic",
ISNUMBER(SEARCH("Türkiye",S5503)),"Turkey",
ISNUMBER(SEARCH("Ivory Coast",S5503)),"Côte d'Ivoire",
ISNUMBER(SEARCH("Korea Republic",S5503)),"South Korea",
ISNUMBER(SEARCH("Germany FR",S5503)),"FR Germany",
ISNUMBER(SEARCH("West Germany",S5503)),"FR Germany",
ISNUMBER(SEARCH("Germany DR",S5503)),"DR Germany",
ISNUMBER(SEARCH("Korea DPR",S5503)),"North Korea",
ISNUMBER(SEARCH("China PR",S5503)),"China",
ISNUMBER(SEARCH("IR Iran",S5503)),"Iran",
ISNUMBER(SEARCH("Congo DR",S5503)),"Democratic Republic of the Congo",
ISNUMBER(SEARCH("DR Congo",S5503)),"Democratic Republic of the Congo",
ISNUMBER(SEARCH("German DR",S5503)),"DR Germany",
ISNUMBER(SEARCH("rn""&gt;United Arab Emirates",S5503)),"United Arab Emirates",
ISNUMBER(SEARCH("rn""&gt;Republic of Ireland",S5503)),"Ireland",
ISNUMBER(SEARCH("rn""&gt;Bosnia and Herzegovina",S5503)),"Bosnia and Herzegovina",
ISNUMBER(SEARCH("rn""&gt;Trinidad and Tobago",S5503)),"Trinidad and Tobago",
ISNUMBER(SEARCH("rn""&gt;Serbia and Montenegro",S5503)),"Serbia and Montenegro",
ISNUMBER(SEARCH(_xlfn.UNICHAR(65533),S5503)),"Côte d'Ivoire",
TRUE,"-"
)</f>
        <v>-</v>
      </c>
      <c r="W5503" s="42" t="str">
        <f t="shared" si="330"/>
        <v>-</v>
      </c>
    </row>
    <row r="5504" spans="19:23">
      <c r="S5504" s="42" t="str">
        <v/>
      </c>
      <c r="T5504" s="42" t="str">
        <f t="shared" si="328"/>
        <v>-</v>
      </c>
      <c r="U5504" s="40" t="str">
        <f t="shared" si="329"/>
        <v>-</v>
      </c>
      <c r="V5504" s="42" t="str" cm="1">
        <f t="array" ref="V5504">_xlfn.IFS(
LEFT(S5504,16)="win on penalties",IF(VALUE(MID(S5504,19,1))&gt;VALUE(MID(S5504,23,1)),DATA_CLEANED!AK1018,DATA_CLEANED!AN1018),
ISNUMBER(SEARCH("USA",S5504)),"United States",
ISNUMBER(SEARCH("Republic of Ireland",S5504)),"Ireland",
ISNUMBER(SEARCH("Republic of Korea",S5504)),"South Korea",
ISNUMBER(SEARCH("Cape Verde",S5504)),"Cabo Verde",
ISNUMBER(SEARCH("Czechia",S5504)),"Czech Republic",
ISNUMBER(SEARCH("Türkiye",S5504)),"Turkey",
ISNUMBER(SEARCH("Ivory Coast",S5504)),"Côte d'Ivoire",
ISNUMBER(SEARCH("Korea Republic",S5504)),"South Korea",
ISNUMBER(SEARCH("Germany FR",S5504)),"FR Germany",
ISNUMBER(SEARCH("West Germany",S5504)),"FR Germany",
ISNUMBER(SEARCH("Germany DR",S5504)),"DR Germany",
ISNUMBER(SEARCH("Korea DPR",S5504)),"North Korea",
ISNUMBER(SEARCH("China PR",S5504)),"China",
ISNUMBER(SEARCH("IR Iran",S5504)),"Iran",
ISNUMBER(SEARCH("Congo DR",S5504)),"Democratic Republic of the Congo",
ISNUMBER(SEARCH("DR Congo",S5504)),"Democratic Republic of the Congo",
ISNUMBER(SEARCH("German DR",S5504)),"DR Germany",
ISNUMBER(SEARCH("rn""&gt;United Arab Emirates",S5504)),"United Arab Emirates",
ISNUMBER(SEARCH("rn""&gt;Republic of Ireland",S5504)),"Ireland",
ISNUMBER(SEARCH("rn""&gt;Bosnia and Herzegovina",S5504)),"Bosnia and Herzegovina",
ISNUMBER(SEARCH("rn""&gt;Trinidad and Tobago",S5504)),"Trinidad and Tobago",
ISNUMBER(SEARCH("rn""&gt;Serbia and Montenegro",S5504)),"Serbia and Montenegro",
ISNUMBER(SEARCH(_xlfn.UNICHAR(65533),S5504)),"Côte d'Ivoire",
TRUE,"-"
)</f>
        <v>-</v>
      </c>
      <c r="W5504" s="42" t="str">
        <f t="shared" si="330"/>
        <v>-</v>
      </c>
    </row>
    <row r="5505" spans="19:23">
      <c r="S5505" s="42" t="str">
        <v/>
      </c>
      <c r="T5505" s="42" t="str">
        <f t="shared" si="328"/>
        <v>-</v>
      </c>
      <c r="U5505" s="40" t="str">
        <f t="shared" si="329"/>
        <v>-</v>
      </c>
      <c r="V5505" s="42" t="str" cm="1">
        <f t="array" ref="V5505">_xlfn.IFS(
LEFT(S5505,16)="win on penalties",IF(VALUE(MID(S5505,19,1))&gt;VALUE(MID(S5505,23,1)),DATA_CLEANED!AK1019,DATA_CLEANED!AN1019),
ISNUMBER(SEARCH("USA",S5505)),"United States",
ISNUMBER(SEARCH("Republic of Ireland",S5505)),"Ireland",
ISNUMBER(SEARCH("Republic of Korea",S5505)),"South Korea",
ISNUMBER(SEARCH("Cape Verde",S5505)),"Cabo Verde",
ISNUMBER(SEARCH("Czechia",S5505)),"Czech Republic",
ISNUMBER(SEARCH("Türkiye",S5505)),"Turkey",
ISNUMBER(SEARCH("Ivory Coast",S5505)),"Côte d'Ivoire",
ISNUMBER(SEARCH("Korea Republic",S5505)),"South Korea",
ISNUMBER(SEARCH("Germany FR",S5505)),"FR Germany",
ISNUMBER(SEARCH("West Germany",S5505)),"FR Germany",
ISNUMBER(SEARCH("Germany DR",S5505)),"DR Germany",
ISNUMBER(SEARCH("Korea DPR",S5505)),"North Korea",
ISNUMBER(SEARCH("China PR",S5505)),"China",
ISNUMBER(SEARCH("IR Iran",S5505)),"Iran",
ISNUMBER(SEARCH("Congo DR",S5505)),"Democratic Republic of the Congo",
ISNUMBER(SEARCH("DR Congo",S5505)),"Democratic Republic of the Congo",
ISNUMBER(SEARCH("German DR",S5505)),"DR Germany",
ISNUMBER(SEARCH("rn""&gt;United Arab Emirates",S5505)),"United Arab Emirates",
ISNUMBER(SEARCH("rn""&gt;Republic of Ireland",S5505)),"Ireland",
ISNUMBER(SEARCH("rn""&gt;Bosnia and Herzegovina",S5505)),"Bosnia and Herzegovina",
ISNUMBER(SEARCH("rn""&gt;Trinidad and Tobago",S5505)),"Trinidad and Tobago",
ISNUMBER(SEARCH("rn""&gt;Serbia and Montenegro",S5505)),"Serbia and Montenegro",
ISNUMBER(SEARCH(_xlfn.UNICHAR(65533),S5505)),"Côte d'Ivoire",
TRUE,"-"
)</f>
        <v>-</v>
      </c>
      <c r="W5505" s="42" t="str">
        <f t="shared" si="330"/>
        <v>-</v>
      </c>
    </row>
    <row r="5506" spans="19:23">
      <c r="S5506" s="42" t="str">
        <v/>
      </c>
      <c r="T5506" s="42" t="str">
        <f t="shared" si="328"/>
        <v>-</v>
      </c>
      <c r="U5506" s="40" t="str">
        <f t="shared" si="329"/>
        <v>-</v>
      </c>
      <c r="V5506" s="42" t="str" cm="1">
        <f t="array" ref="V5506">_xlfn.IFS(
LEFT(S5506,16)="win on penalties",IF(VALUE(MID(S5506,19,1))&gt;VALUE(MID(S5506,23,1)),DATA_CLEANED!AK1020,DATA_CLEANED!AN1020),
ISNUMBER(SEARCH("USA",S5506)),"United States",
ISNUMBER(SEARCH("Republic of Ireland",S5506)),"Ireland",
ISNUMBER(SEARCH("Republic of Korea",S5506)),"South Korea",
ISNUMBER(SEARCH("Cape Verde",S5506)),"Cabo Verde",
ISNUMBER(SEARCH("Czechia",S5506)),"Czech Republic",
ISNUMBER(SEARCH("Türkiye",S5506)),"Turkey",
ISNUMBER(SEARCH("Ivory Coast",S5506)),"Côte d'Ivoire",
ISNUMBER(SEARCH("Korea Republic",S5506)),"South Korea",
ISNUMBER(SEARCH("Germany FR",S5506)),"FR Germany",
ISNUMBER(SEARCH("West Germany",S5506)),"FR Germany",
ISNUMBER(SEARCH("Germany DR",S5506)),"DR Germany",
ISNUMBER(SEARCH("Korea DPR",S5506)),"North Korea",
ISNUMBER(SEARCH("China PR",S5506)),"China",
ISNUMBER(SEARCH("IR Iran",S5506)),"Iran",
ISNUMBER(SEARCH("Congo DR",S5506)),"Democratic Republic of the Congo",
ISNUMBER(SEARCH("DR Congo",S5506)),"Democratic Republic of the Congo",
ISNUMBER(SEARCH("German DR",S5506)),"DR Germany",
ISNUMBER(SEARCH("rn""&gt;United Arab Emirates",S5506)),"United Arab Emirates",
ISNUMBER(SEARCH("rn""&gt;Republic of Ireland",S5506)),"Ireland",
ISNUMBER(SEARCH("rn""&gt;Bosnia and Herzegovina",S5506)),"Bosnia and Herzegovina",
ISNUMBER(SEARCH("rn""&gt;Trinidad and Tobago",S5506)),"Trinidad and Tobago",
ISNUMBER(SEARCH("rn""&gt;Serbia and Montenegro",S5506)),"Serbia and Montenegro",
ISNUMBER(SEARCH(_xlfn.UNICHAR(65533),S5506)),"Côte d'Ivoire",
TRUE,"-"
)</f>
        <v>-</v>
      </c>
      <c r="W5506" s="42" t="str">
        <f t="shared" si="330"/>
        <v>-</v>
      </c>
    </row>
    <row r="5507" spans="19:23">
      <c r="S5507" s="42" t="str">
        <v/>
      </c>
      <c r="T5507" s="42" t="str">
        <f t="shared" si="328"/>
        <v>-</v>
      </c>
      <c r="U5507" s="40" t="str">
        <f t="shared" si="329"/>
        <v>-</v>
      </c>
      <c r="V5507" s="42" t="str" cm="1">
        <f t="array" ref="V5507">_xlfn.IFS(
LEFT(S5507,16)="win on penalties",IF(VALUE(MID(S5507,19,1))&gt;VALUE(MID(S5507,23,1)),DATA_CLEANED!AK1021,DATA_CLEANED!AN1021),
ISNUMBER(SEARCH("USA",S5507)),"United States",
ISNUMBER(SEARCH("Republic of Ireland",S5507)),"Ireland",
ISNUMBER(SEARCH("Republic of Korea",S5507)),"South Korea",
ISNUMBER(SEARCH("Cape Verde",S5507)),"Cabo Verde",
ISNUMBER(SEARCH("Czechia",S5507)),"Czech Republic",
ISNUMBER(SEARCH("Türkiye",S5507)),"Turkey",
ISNUMBER(SEARCH("Ivory Coast",S5507)),"Côte d'Ivoire",
ISNUMBER(SEARCH("Korea Republic",S5507)),"South Korea",
ISNUMBER(SEARCH("Germany FR",S5507)),"FR Germany",
ISNUMBER(SEARCH("West Germany",S5507)),"FR Germany",
ISNUMBER(SEARCH("Germany DR",S5507)),"DR Germany",
ISNUMBER(SEARCH("Korea DPR",S5507)),"North Korea",
ISNUMBER(SEARCH("China PR",S5507)),"China",
ISNUMBER(SEARCH("IR Iran",S5507)),"Iran",
ISNUMBER(SEARCH("Congo DR",S5507)),"Democratic Republic of the Congo",
ISNUMBER(SEARCH("DR Congo",S5507)),"Democratic Republic of the Congo",
ISNUMBER(SEARCH("German DR",S5507)),"DR Germany",
ISNUMBER(SEARCH("rn""&gt;United Arab Emirates",S5507)),"United Arab Emirates",
ISNUMBER(SEARCH("rn""&gt;Republic of Ireland",S5507)),"Ireland",
ISNUMBER(SEARCH("rn""&gt;Bosnia and Herzegovina",S5507)),"Bosnia and Herzegovina",
ISNUMBER(SEARCH("rn""&gt;Trinidad and Tobago",S5507)),"Trinidad and Tobago",
ISNUMBER(SEARCH("rn""&gt;Serbia and Montenegro",S5507)),"Serbia and Montenegro",
ISNUMBER(SEARCH(_xlfn.UNICHAR(65533),S5507)),"Côte d'Ivoire",
TRUE,"-"
)</f>
        <v>-</v>
      </c>
      <c r="W5507" s="42" t="str">
        <f t="shared" si="330"/>
        <v>-</v>
      </c>
    </row>
    <row r="5508" spans="19:23">
      <c r="S5508" s="42" t="str">
        <v/>
      </c>
      <c r="T5508" s="42" t="str">
        <f t="shared" si="328"/>
        <v>-</v>
      </c>
      <c r="U5508" s="40" t="str">
        <f t="shared" si="329"/>
        <v>-</v>
      </c>
      <c r="V5508" s="42" t="str" cm="1">
        <f t="array" ref="V5508">_xlfn.IFS(
LEFT(S5508,16)="win on penalties",IF(VALUE(MID(S5508,19,1))&gt;VALUE(MID(S5508,23,1)),DATA_CLEANED!AK1022,DATA_CLEANED!AN1022),
ISNUMBER(SEARCH("USA",S5508)),"United States",
ISNUMBER(SEARCH("Republic of Ireland",S5508)),"Ireland",
ISNUMBER(SEARCH("Republic of Korea",S5508)),"South Korea",
ISNUMBER(SEARCH("Cape Verde",S5508)),"Cabo Verde",
ISNUMBER(SEARCH("Czechia",S5508)),"Czech Republic",
ISNUMBER(SEARCH("Türkiye",S5508)),"Turkey",
ISNUMBER(SEARCH("Ivory Coast",S5508)),"Côte d'Ivoire",
ISNUMBER(SEARCH("Korea Republic",S5508)),"South Korea",
ISNUMBER(SEARCH("Germany FR",S5508)),"FR Germany",
ISNUMBER(SEARCH("West Germany",S5508)),"FR Germany",
ISNUMBER(SEARCH("Germany DR",S5508)),"DR Germany",
ISNUMBER(SEARCH("Korea DPR",S5508)),"North Korea",
ISNUMBER(SEARCH("China PR",S5508)),"China",
ISNUMBER(SEARCH("IR Iran",S5508)),"Iran",
ISNUMBER(SEARCH("Congo DR",S5508)),"Democratic Republic of the Congo",
ISNUMBER(SEARCH("DR Congo",S5508)),"Democratic Republic of the Congo",
ISNUMBER(SEARCH("German DR",S5508)),"DR Germany",
ISNUMBER(SEARCH("rn""&gt;United Arab Emirates",S5508)),"United Arab Emirates",
ISNUMBER(SEARCH("rn""&gt;Republic of Ireland",S5508)),"Ireland",
ISNUMBER(SEARCH("rn""&gt;Bosnia and Herzegovina",S5508)),"Bosnia and Herzegovina",
ISNUMBER(SEARCH("rn""&gt;Trinidad and Tobago",S5508)),"Trinidad and Tobago",
ISNUMBER(SEARCH("rn""&gt;Serbia and Montenegro",S5508)),"Serbia and Montenegro",
ISNUMBER(SEARCH(_xlfn.UNICHAR(65533),S5508)),"Côte d'Ivoire",
TRUE,"-"
)</f>
        <v>-</v>
      </c>
      <c r="W5508" s="42" t="str">
        <f t="shared" si="330"/>
        <v>-</v>
      </c>
    </row>
    <row r="5509" spans="19:23">
      <c r="S5509" s="42" t="str">
        <v/>
      </c>
      <c r="T5509" s="42" t="str">
        <f t="shared" si="328"/>
        <v>-</v>
      </c>
      <c r="U5509" s="40" t="str">
        <f t="shared" si="329"/>
        <v>-</v>
      </c>
      <c r="V5509" s="42" t="str" cm="1">
        <f t="array" ref="V5509">_xlfn.IFS(
LEFT(S5509,16)="win on penalties",IF(VALUE(MID(S5509,19,1))&gt;VALUE(MID(S5509,23,1)),DATA_CLEANED!AK1023,DATA_CLEANED!AN1023),
ISNUMBER(SEARCH("USA",S5509)),"United States",
ISNUMBER(SEARCH("Republic of Ireland",S5509)),"Ireland",
ISNUMBER(SEARCH("Republic of Korea",S5509)),"South Korea",
ISNUMBER(SEARCH("Cape Verde",S5509)),"Cabo Verde",
ISNUMBER(SEARCH("Czechia",S5509)),"Czech Republic",
ISNUMBER(SEARCH("Türkiye",S5509)),"Turkey",
ISNUMBER(SEARCH("Ivory Coast",S5509)),"Côte d'Ivoire",
ISNUMBER(SEARCH("Korea Republic",S5509)),"South Korea",
ISNUMBER(SEARCH("Germany FR",S5509)),"FR Germany",
ISNUMBER(SEARCH("West Germany",S5509)),"FR Germany",
ISNUMBER(SEARCH("Germany DR",S5509)),"DR Germany",
ISNUMBER(SEARCH("Korea DPR",S5509)),"North Korea",
ISNUMBER(SEARCH("China PR",S5509)),"China",
ISNUMBER(SEARCH("IR Iran",S5509)),"Iran",
ISNUMBER(SEARCH("Congo DR",S5509)),"Democratic Republic of the Congo",
ISNUMBER(SEARCH("DR Congo",S5509)),"Democratic Republic of the Congo",
ISNUMBER(SEARCH("German DR",S5509)),"DR Germany",
ISNUMBER(SEARCH("rn""&gt;United Arab Emirates",S5509)),"United Arab Emirates",
ISNUMBER(SEARCH("rn""&gt;Republic of Ireland",S5509)),"Ireland",
ISNUMBER(SEARCH("rn""&gt;Bosnia and Herzegovina",S5509)),"Bosnia and Herzegovina",
ISNUMBER(SEARCH("rn""&gt;Trinidad and Tobago",S5509)),"Trinidad and Tobago",
ISNUMBER(SEARCH("rn""&gt;Serbia and Montenegro",S5509)),"Serbia and Montenegro",
ISNUMBER(SEARCH(_xlfn.UNICHAR(65533),S5509)),"Côte d'Ivoire",
TRUE,"-"
)</f>
        <v>-</v>
      </c>
      <c r="W5509" s="42" t="str">
        <f t="shared" si="330"/>
        <v>-</v>
      </c>
    </row>
    <row r="5510" spans="19:23">
      <c r="S5510" s="42" t="str">
        <v/>
      </c>
      <c r="T5510" s="42" t="str">
        <f t="shared" si="328"/>
        <v>-</v>
      </c>
      <c r="U5510" s="40" t="str">
        <f t="shared" si="329"/>
        <v>-</v>
      </c>
      <c r="V5510" s="42" t="str" cm="1">
        <f t="array" ref="V5510">_xlfn.IFS(
LEFT(S5510,16)="win on penalties",IF(VALUE(MID(S5510,19,1))&gt;VALUE(MID(S5510,23,1)),DATA_CLEANED!AK1024,DATA_CLEANED!AN1024),
ISNUMBER(SEARCH("USA",S5510)),"United States",
ISNUMBER(SEARCH("Republic of Ireland",S5510)),"Ireland",
ISNUMBER(SEARCH("Republic of Korea",S5510)),"South Korea",
ISNUMBER(SEARCH("Cape Verde",S5510)),"Cabo Verde",
ISNUMBER(SEARCH("Czechia",S5510)),"Czech Republic",
ISNUMBER(SEARCH("Türkiye",S5510)),"Turkey",
ISNUMBER(SEARCH("Ivory Coast",S5510)),"Côte d'Ivoire",
ISNUMBER(SEARCH("Korea Republic",S5510)),"South Korea",
ISNUMBER(SEARCH("Germany FR",S5510)),"FR Germany",
ISNUMBER(SEARCH("West Germany",S5510)),"FR Germany",
ISNUMBER(SEARCH("Germany DR",S5510)),"DR Germany",
ISNUMBER(SEARCH("Korea DPR",S5510)),"North Korea",
ISNUMBER(SEARCH("China PR",S5510)),"China",
ISNUMBER(SEARCH("IR Iran",S5510)),"Iran",
ISNUMBER(SEARCH("Congo DR",S5510)),"Democratic Republic of the Congo",
ISNUMBER(SEARCH("DR Congo",S5510)),"Democratic Republic of the Congo",
ISNUMBER(SEARCH("German DR",S5510)),"DR Germany",
ISNUMBER(SEARCH("rn""&gt;United Arab Emirates",S5510)),"United Arab Emirates",
ISNUMBER(SEARCH("rn""&gt;Republic of Ireland",S5510)),"Ireland",
ISNUMBER(SEARCH("rn""&gt;Bosnia and Herzegovina",S5510)),"Bosnia and Herzegovina",
ISNUMBER(SEARCH("rn""&gt;Trinidad and Tobago",S5510)),"Trinidad and Tobago",
ISNUMBER(SEARCH("rn""&gt;Serbia and Montenegro",S5510)),"Serbia and Montenegro",
ISNUMBER(SEARCH(_xlfn.UNICHAR(65533),S5510)),"Côte d'Ivoire",
TRUE,"-"
)</f>
        <v>-</v>
      </c>
      <c r="W5510" s="42" t="str">
        <f t="shared" si="330"/>
        <v>-</v>
      </c>
    </row>
    <row r="5511" spans="19:23">
      <c r="S5511" s="42" t="str">
        <v/>
      </c>
      <c r="T5511" s="42" t="str">
        <f t="shared" si="328"/>
        <v>-</v>
      </c>
      <c r="U5511" s="40" t="str">
        <f t="shared" si="329"/>
        <v>-</v>
      </c>
      <c r="V5511" s="42" t="str" cm="1">
        <f t="array" ref="V5511">_xlfn.IFS(
LEFT(S5511,16)="win on penalties",IF(VALUE(MID(S5511,19,1))&gt;VALUE(MID(S5511,23,1)),DATA_CLEANED!AK1025,DATA_CLEANED!AN1025),
ISNUMBER(SEARCH("USA",S5511)),"United States",
ISNUMBER(SEARCH("Republic of Ireland",S5511)),"Ireland",
ISNUMBER(SEARCH("Republic of Korea",S5511)),"South Korea",
ISNUMBER(SEARCH("Cape Verde",S5511)),"Cabo Verde",
ISNUMBER(SEARCH("Czechia",S5511)),"Czech Republic",
ISNUMBER(SEARCH("Türkiye",S5511)),"Turkey",
ISNUMBER(SEARCH("Ivory Coast",S5511)),"Côte d'Ivoire",
ISNUMBER(SEARCH("Korea Republic",S5511)),"South Korea",
ISNUMBER(SEARCH("Germany FR",S5511)),"FR Germany",
ISNUMBER(SEARCH("West Germany",S5511)),"FR Germany",
ISNUMBER(SEARCH("Germany DR",S5511)),"DR Germany",
ISNUMBER(SEARCH("Korea DPR",S5511)),"North Korea",
ISNUMBER(SEARCH("China PR",S5511)),"China",
ISNUMBER(SEARCH("IR Iran",S5511)),"Iran",
ISNUMBER(SEARCH("Congo DR",S5511)),"Democratic Republic of the Congo",
ISNUMBER(SEARCH("DR Congo",S5511)),"Democratic Republic of the Congo",
ISNUMBER(SEARCH("German DR",S5511)),"DR Germany",
ISNUMBER(SEARCH("rn""&gt;United Arab Emirates",S5511)),"United Arab Emirates",
ISNUMBER(SEARCH("rn""&gt;Republic of Ireland",S5511)),"Ireland",
ISNUMBER(SEARCH("rn""&gt;Bosnia and Herzegovina",S5511)),"Bosnia and Herzegovina",
ISNUMBER(SEARCH("rn""&gt;Trinidad and Tobago",S5511)),"Trinidad and Tobago",
ISNUMBER(SEARCH("rn""&gt;Serbia and Montenegro",S5511)),"Serbia and Montenegro",
ISNUMBER(SEARCH(_xlfn.UNICHAR(65533),S5511)),"Côte d'Ivoire",
TRUE,"-"
)</f>
        <v>-</v>
      </c>
      <c r="W5511" s="42" t="str">
        <f t="shared" si="330"/>
        <v>-</v>
      </c>
    </row>
    <row r="5512" spans="19:23">
      <c r="S5512" s="42" t="str">
        <v/>
      </c>
      <c r="T5512" s="42" t="str">
        <f t="shared" si="328"/>
        <v>-</v>
      </c>
      <c r="U5512" s="40" t="str">
        <f t="shared" si="329"/>
        <v>-</v>
      </c>
      <c r="V5512" s="42" t="str" cm="1">
        <f t="array" ref="V5512">_xlfn.IFS(
LEFT(S5512,16)="win on penalties",IF(VALUE(MID(S5512,19,1))&gt;VALUE(MID(S5512,23,1)),DATA_CLEANED!AK1026,DATA_CLEANED!AN1026),
ISNUMBER(SEARCH("USA",S5512)),"United States",
ISNUMBER(SEARCH("Republic of Ireland",S5512)),"Ireland",
ISNUMBER(SEARCH("Republic of Korea",S5512)),"South Korea",
ISNUMBER(SEARCH("Cape Verde",S5512)),"Cabo Verde",
ISNUMBER(SEARCH("Czechia",S5512)),"Czech Republic",
ISNUMBER(SEARCH("Türkiye",S5512)),"Turkey",
ISNUMBER(SEARCH("Ivory Coast",S5512)),"Côte d'Ivoire",
ISNUMBER(SEARCH("Korea Republic",S5512)),"South Korea",
ISNUMBER(SEARCH("Germany FR",S5512)),"FR Germany",
ISNUMBER(SEARCH("West Germany",S5512)),"FR Germany",
ISNUMBER(SEARCH("Germany DR",S5512)),"DR Germany",
ISNUMBER(SEARCH("Korea DPR",S5512)),"North Korea",
ISNUMBER(SEARCH("China PR",S5512)),"China",
ISNUMBER(SEARCH("IR Iran",S5512)),"Iran",
ISNUMBER(SEARCH("Congo DR",S5512)),"Democratic Republic of the Congo",
ISNUMBER(SEARCH("DR Congo",S5512)),"Democratic Republic of the Congo",
ISNUMBER(SEARCH("German DR",S5512)),"DR Germany",
ISNUMBER(SEARCH("rn""&gt;United Arab Emirates",S5512)),"United Arab Emirates",
ISNUMBER(SEARCH("rn""&gt;Republic of Ireland",S5512)),"Ireland",
ISNUMBER(SEARCH("rn""&gt;Bosnia and Herzegovina",S5512)),"Bosnia and Herzegovina",
ISNUMBER(SEARCH("rn""&gt;Trinidad and Tobago",S5512)),"Trinidad and Tobago",
ISNUMBER(SEARCH("rn""&gt;Serbia and Montenegro",S5512)),"Serbia and Montenegro",
ISNUMBER(SEARCH(_xlfn.UNICHAR(65533),S5512)),"Côte d'Ivoire",
TRUE,"-"
)</f>
        <v>-</v>
      </c>
      <c r="W5512" s="42" t="str">
        <f t="shared" si="330"/>
        <v>-</v>
      </c>
    </row>
    <row r="5513" spans="19:23">
      <c r="S5513" s="42" t="str">
        <v/>
      </c>
      <c r="T5513" s="42" t="str">
        <f t="shared" si="328"/>
        <v>-</v>
      </c>
      <c r="U5513" s="40" t="str">
        <f t="shared" si="329"/>
        <v>-</v>
      </c>
      <c r="V5513" s="42" t="str" cm="1">
        <f t="array" ref="V5513">_xlfn.IFS(
LEFT(S5513,16)="win on penalties",IF(VALUE(MID(S5513,19,1))&gt;VALUE(MID(S5513,23,1)),DATA_CLEANED!AK1027,DATA_CLEANED!AN1027),
ISNUMBER(SEARCH("USA",S5513)),"United States",
ISNUMBER(SEARCH("Republic of Ireland",S5513)),"Ireland",
ISNUMBER(SEARCH("Republic of Korea",S5513)),"South Korea",
ISNUMBER(SEARCH("Cape Verde",S5513)),"Cabo Verde",
ISNUMBER(SEARCH("Czechia",S5513)),"Czech Republic",
ISNUMBER(SEARCH("Türkiye",S5513)),"Turkey",
ISNUMBER(SEARCH("Ivory Coast",S5513)),"Côte d'Ivoire",
ISNUMBER(SEARCH("Korea Republic",S5513)),"South Korea",
ISNUMBER(SEARCH("Germany FR",S5513)),"FR Germany",
ISNUMBER(SEARCH("West Germany",S5513)),"FR Germany",
ISNUMBER(SEARCH("Germany DR",S5513)),"DR Germany",
ISNUMBER(SEARCH("Korea DPR",S5513)),"North Korea",
ISNUMBER(SEARCH("China PR",S5513)),"China",
ISNUMBER(SEARCH("IR Iran",S5513)),"Iran",
ISNUMBER(SEARCH("Congo DR",S5513)),"Democratic Republic of the Congo",
ISNUMBER(SEARCH("DR Congo",S5513)),"Democratic Republic of the Congo",
ISNUMBER(SEARCH("German DR",S5513)),"DR Germany",
ISNUMBER(SEARCH("rn""&gt;United Arab Emirates",S5513)),"United Arab Emirates",
ISNUMBER(SEARCH("rn""&gt;Republic of Ireland",S5513)),"Ireland",
ISNUMBER(SEARCH("rn""&gt;Bosnia and Herzegovina",S5513)),"Bosnia and Herzegovina",
ISNUMBER(SEARCH("rn""&gt;Trinidad and Tobago",S5513)),"Trinidad and Tobago",
ISNUMBER(SEARCH("rn""&gt;Serbia and Montenegro",S5513)),"Serbia and Montenegro",
ISNUMBER(SEARCH(_xlfn.UNICHAR(65533),S5513)),"Côte d'Ivoire",
TRUE,"-"
)</f>
        <v>-</v>
      </c>
      <c r="W5513" s="42" t="str">
        <f t="shared" si="330"/>
        <v>-</v>
      </c>
    </row>
    <row r="5514" spans="19:23">
      <c r="S5514" s="42" t="str">
        <v/>
      </c>
      <c r="T5514" s="42" t="str">
        <f t="shared" ref="T5514:T5546" si="331">IF(S5514="","-",IFERROR(LEFT(S5514,SEARCH(" win",S5514)-1),"-"))</f>
        <v>-</v>
      </c>
      <c r="U5514" s="40" t="str">
        <f t="shared" ref="U5514:U5546" si="332">IF(T5514="-","-",IF(COUNTIF(_xlfn.ANCHORARRAY(X$13),T5514)=1,"AUCUNE","RENOMMER"))</f>
        <v>-</v>
      </c>
      <c r="V5514" s="42" t="str" cm="1">
        <f t="array" ref="V5514">_xlfn.IFS(
LEFT(S5514,16)="win on penalties",IF(VALUE(MID(S5514,19,1))&gt;VALUE(MID(S5514,23,1)),DATA_CLEANED!AK1028,DATA_CLEANED!AN1028),
ISNUMBER(SEARCH("USA",S5514)),"United States",
ISNUMBER(SEARCH("Republic of Ireland",S5514)),"Ireland",
ISNUMBER(SEARCH("Republic of Korea",S5514)),"South Korea",
ISNUMBER(SEARCH("Cape Verde",S5514)),"Cabo Verde",
ISNUMBER(SEARCH("Czechia",S5514)),"Czech Republic",
ISNUMBER(SEARCH("Türkiye",S5514)),"Turkey",
ISNUMBER(SEARCH("Ivory Coast",S5514)),"Côte d'Ivoire",
ISNUMBER(SEARCH("Korea Republic",S5514)),"South Korea",
ISNUMBER(SEARCH("Germany FR",S5514)),"FR Germany",
ISNUMBER(SEARCH("West Germany",S5514)),"FR Germany",
ISNUMBER(SEARCH("Germany DR",S5514)),"DR Germany",
ISNUMBER(SEARCH("Korea DPR",S5514)),"North Korea",
ISNUMBER(SEARCH("China PR",S5514)),"China",
ISNUMBER(SEARCH("IR Iran",S5514)),"Iran",
ISNUMBER(SEARCH("Congo DR",S5514)),"Democratic Republic of the Congo",
ISNUMBER(SEARCH("DR Congo",S5514)),"Democratic Republic of the Congo",
ISNUMBER(SEARCH("German DR",S5514)),"DR Germany",
ISNUMBER(SEARCH("rn""&gt;United Arab Emirates",S5514)),"United Arab Emirates",
ISNUMBER(SEARCH("rn""&gt;Republic of Ireland",S5514)),"Ireland",
ISNUMBER(SEARCH("rn""&gt;Bosnia and Herzegovina",S5514)),"Bosnia and Herzegovina",
ISNUMBER(SEARCH("rn""&gt;Trinidad and Tobago",S5514)),"Trinidad and Tobago",
ISNUMBER(SEARCH("rn""&gt;Serbia and Montenegro",S5514)),"Serbia and Montenegro",
ISNUMBER(SEARCH(_xlfn.UNICHAR(65533),S5514)),"Côte d'Ivoire",
TRUE,"-"
)</f>
        <v>-</v>
      </c>
      <c r="W5514" s="42" t="str">
        <f t="shared" ref="W5514:W5546" si="333">IF(S5514="","-",IF(AND(U5514="RENOMMER",T5514&lt;&gt;"-",V5514&lt;&gt;"-"),SUBSTITUTE(S5514,T5514,V5514),S5514))</f>
        <v>-</v>
      </c>
    </row>
    <row r="5515" spans="19:23">
      <c r="S5515" s="42" t="str">
        <v/>
      </c>
      <c r="T5515" s="42" t="str">
        <f t="shared" si="331"/>
        <v>-</v>
      </c>
      <c r="U5515" s="40" t="str">
        <f t="shared" si="332"/>
        <v>-</v>
      </c>
      <c r="V5515" s="42" t="str" cm="1">
        <f t="array" ref="V5515">_xlfn.IFS(
LEFT(S5515,16)="win on penalties",IF(VALUE(MID(S5515,19,1))&gt;VALUE(MID(S5515,23,1)),DATA_CLEANED!AK1029,DATA_CLEANED!AN1029),
ISNUMBER(SEARCH("USA",S5515)),"United States",
ISNUMBER(SEARCH("Republic of Ireland",S5515)),"Ireland",
ISNUMBER(SEARCH("Republic of Korea",S5515)),"South Korea",
ISNUMBER(SEARCH("Cape Verde",S5515)),"Cabo Verde",
ISNUMBER(SEARCH("Czechia",S5515)),"Czech Republic",
ISNUMBER(SEARCH("Türkiye",S5515)),"Turkey",
ISNUMBER(SEARCH("Ivory Coast",S5515)),"Côte d'Ivoire",
ISNUMBER(SEARCH("Korea Republic",S5515)),"South Korea",
ISNUMBER(SEARCH("Germany FR",S5515)),"FR Germany",
ISNUMBER(SEARCH("West Germany",S5515)),"FR Germany",
ISNUMBER(SEARCH("Germany DR",S5515)),"DR Germany",
ISNUMBER(SEARCH("Korea DPR",S5515)),"North Korea",
ISNUMBER(SEARCH("China PR",S5515)),"China",
ISNUMBER(SEARCH("IR Iran",S5515)),"Iran",
ISNUMBER(SEARCH("Congo DR",S5515)),"Democratic Republic of the Congo",
ISNUMBER(SEARCH("DR Congo",S5515)),"Democratic Republic of the Congo",
ISNUMBER(SEARCH("German DR",S5515)),"DR Germany",
ISNUMBER(SEARCH("rn""&gt;United Arab Emirates",S5515)),"United Arab Emirates",
ISNUMBER(SEARCH("rn""&gt;Republic of Ireland",S5515)),"Ireland",
ISNUMBER(SEARCH("rn""&gt;Bosnia and Herzegovina",S5515)),"Bosnia and Herzegovina",
ISNUMBER(SEARCH("rn""&gt;Trinidad and Tobago",S5515)),"Trinidad and Tobago",
ISNUMBER(SEARCH("rn""&gt;Serbia and Montenegro",S5515)),"Serbia and Montenegro",
ISNUMBER(SEARCH(_xlfn.UNICHAR(65533),S5515)),"Côte d'Ivoire",
TRUE,"-"
)</f>
        <v>-</v>
      </c>
      <c r="W5515" s="42" t="str">
        <f t="shared" si="333"/>
        <v>-</v>
      </c>
    </row>
    <row r="5516" spans="19:23">
      <c r="S5516" s="42" t="str">
        <v>Paraguay win on penalties (4 - 3)</v>
      </c>
      <c r="T5516" s="42" t="str">
        <f t="shared" si="331"/>
        <v>Paraguay</v>
      </c>
      <c r="U5516" s="40" t="str">
        <f t="shared" si="332"/>
        <v>AUCUNE</v>
      </c>
      <c r="V5516" s="42" t="str" cm="1">
        <f t="array" ref="V5516">_xlfn.IFS(
LEFT(S5516,16)="win on penalties",IF(VALUE(MID(S5516,19,1))&gt;VALUE(MID(S5516,23,1)),DATA_CLEANED!AK1030,DATA_CLEANED!AN1030),
ISNUMBER(SEARCH("USA",S5516)),"United States",
ISNUMBER(SEARCH("Republic of Ireland",S5516)),"Ireland",
ISNUMBER(SEARCH("Republic of Korea",S5516)),"South Korea",
ISNUMBER(SEARCH("Cape Verde",S5516)),"Cabo Verde",
ISNUMBER(SEARCH("Czechia",S5516)),"Czech Republic",
ISNUMBER(SEARCH("Türkiye",S5516)),"Turkey",
ISNUMBER(SEARCH("Ivory Coast",S5516)),"Côte d'Ivoire",
ISNUMBER(SEARCH("Korea Republic",S5516)),"South Korea",
ISNUMBER(SEARCH("Germany FR",S5516)),"FR Germany",
ISNUMBER(SEARCH("West Germany",S5516)),"FR Germany",
ISNUMBER(SEARCH("Germany DR",S5516)),"DR Germany",
ISNUMBER(SEARCH("Korea DPR",S5516)),"North Korea",
ISNUMBER(SEARCH("China PR",S5516)),"China",
ISNUMBER(SEARCH("IR Iran",S5516)),"Iran",
ISNUMBER(SEARCH("Congo DR",S5516)),"Democratic Republic of the Congo",
ISNUMBER(SEARCH("DR Congo",S5516)),"Democratic Republic of the Congo",
ISNUMBER(SEARCH("German DR",S5516)),"DR Germany",
ISNUMBER(SEARCH("rn""&gt;United Arab Emirates",S5516)),"United Arab Emirates",
ISNUMBER(SEARCH("rn""&gt;Republic of Ireland",S5516)),"Ireland",
ISNUMBER(SEARCH("rn""&gt;Bosnia and Herzegovina",S5516)),"Bosnia and Herzegovina",
ISNUMBER(SEARCH("rn""&gt;Trinidad and Tobago",S5516)),"Trinidad and Tobago",
ISNUMBER(SEARCH("rn""&gt;Serbia and Montenegro",S5516)),"Serbia and Montenegro",
ISNUMBER(SEARCH(_xlfn.UNICHAR(65533),S5516)),"Côte d'Ivoire",
TRUE,"-"
)</f>
        <v>-</v>
      </c>
      <c r="W5516" s="42" t="str">
        <f t="shared" si="333"/>
        <v>Paraguay win on penalties (4 - 3)</v>
      </c>
    </row>
    <row r="5517" spans="19:23">
      <c r="S5517" s="42" t="str">
        <v>Morocco win on penalties (3 - 2)</v>
      </c>
      <c r="T5517" s="42" t="str">
        <f t="shared" si="331"/>
        <v>Morocco</v>
      </c>
      <c r="U5517" s="40" t="str">
        <f t="shared" si="332"/>
        <v>AUCUNE</v>
      </c>
      <c r="V5517" s="42" t="str" cm="1">
        <f t="array" ref="V5517">_xlfn.IFS(
LEFT(S5517,16)="win on penalties",IF(VALUE(MID(S5517,19,1))&gt;VALUE(MID(S5517,23,1)),DATA_CLEANED!AK1031,DATA_CLEANED!AN1031),
ISNUMBER(SEARCH("USA",S5517)),"United States",
ISNUMBER(SEARCH("Republic of Ireland",S5517)),"Ireland",
ISNUMBER(SEARCH("Republic of Korea",S5517)),"South Korea",
ISNUMBER(SEARCH("Cape Verde",S5517)),"Cabo Verde",
ISNUMBER(SEARCH("Czechia",S5517)),"Czech Republic",
ISNUMBER(SEARCH("Türkiye",S5517)),"Turkey",
ISNUMBER(SEARCH("Ivory Coast",S5517)),"Côte d'Ivoire",
ISNUMBER(SEARCH("Korea Republic",S5517)),"South Korea",
ISNUMBER(SEARCH("Germany FR",S5517)),"FR Germany",
ISNUMBER(SEARCH("West Germany",S5517)),"FR Germany",
ISNUMBER(SEARCH("Germany DR",S5517)),"DR Germany",
ISNUMBER(SEARCH("Korea DPR",S5517)),"North Korea",
ISNUMBER(SEARCH("China PR",S5517)),"China",
ISNUMBER(SEARCH("IR Iran",S5517)),"Iran",
ISNUMBER(SEARCH("Congo DR",S5517)),"Democratic Republic of the Congo",
ISNUMBER(SEARCH("DR Congo",S5517)),"Democratic Republic of the Congo",
ISNUMBER(SEARCH("German DR",S5517)),"DR Germany",
ISNUMBER(SEARCH("rn""&gt;United Arab Emirates",S5517)),"United Arab Emirates",
ISNUMBER(SEARCH("rn""&gt;Republic of Ireland",S5517)),"Ireland",
ISNUMBER(SEARCH("rn""&gt;Bosnia and Herzegovina",S5517)),"Bosnia and Herzegovina",
ISNUMBER(SEARCH("rn""&gt;Trinidad and Tobago",S5517)),"Trinidad and Tobago",
ISNUMBER(SEARCH("rn""&gt;Serbia and Montenegro",S5517)),"Serbia and Montenegro",
ISNUMBER(SEARCH(_xlfn.UNICHAR(65533),S5517)),"Côte d'Ivoire",
TRUE,"-"
)</f>
        <v>-</v>
      </c>
      <c r="W5517" s="42" t="str">
        <f t="shared" si="333"/>
        <v>Morocco win on penalties (3 - 2)</v>
      </c>
    </row>
    <row r="5518" spans="19:23">
      <c r="S5518" s="42" t="str">
        <v/>
      </c>
      <c r="T5518" s="42" t="str">
        <f t="shared" si="331"/>
        <v>-</v>
      </c>
      <c r="U5518" s="40" t="str">
        <f t="shared" si="332"/>
        <v>-</v>
      </c>
      <c r="V5518" s="42" t="str" cm="1">
        <f t="array" ref="V5518">_xlfn.IFS(
LEFT(S5518,16)="win on penalties",IF(VALUE(MID(S5518,19,1))&gt;VALUE(MID(S5518,23,1)),DATA_CLEANED!AK1032,DATA_CLEANED!AN1032),
ISNUMBER(SEARCH("USA",S5518)),"United States",
ISNUMBER(SEARCH("Republic of Ireland",S5518)),"Ireland",
ISNUMBER(SEARCH("Republic of Korea",S5518)),"South Korea",
ISNUMBER(SEARCH("Cape Verde",S5518)),"Cabo Verde",
ISNUMBER(SEARCH("Czechia",S5518)),"Czech Republic",
ISNUMBER(SEARCH("Türkiye",S5518)),"Turkey",
ISNUMBER(SEARCH("Ivory Coast",S5518)),"Côte d'Ivoire",
ISNUMBER(SEARCH("Korea Republic",S5518)),"South Korea",
ISNUMBER(SEARCH("Germany FR",S5518)),"FR Germany",
ISNUMBER(SEARCH("West Germany",S5518)),"FR Germany",
ISNUMBER(SEARCH("Germany DR",S5518)),"DR Germany",
ISNUMBER(SEARCH("Korea DPR",S5518)),"North Korea",
ISNUMBER(SEARCH("China PR",S5518)),"China",
ISNUMBER(SEARCH("IR Iran",S5518)),"Iran",
ISNUMBER(SEARCH("Congo DR",S5518)),"Democratic Republic of the Congo",
ISNUMBER(SEARCH("DR Congo",S5518)),"Democratic Republic of the Congo",
ISNUMBER(SEARCH("German DR",S5518)),"DR Germany",
ISNUMBER(SEARCH("rn""&gt;United Arab Emirates",S5518)),"United Arab Emirates",
ISNUMBER(SEARCH("rn""&gt;Republic of Ireland",S5518)),"Ireland",
ISNUMBER(SEARCH("rn""&gt;Bosnia and Herzegovina",S5518)),"Bosnia and Herzegovina",
ISNUMBER(SEARCH("rn""&gt;Trinidad and Tobago",S5518)),"Trinidad and Tobago",
ISNUMBER(SEARCH("rn""&gt;Serbia and Montenegro",S5518)),"Serbia and Montenegro",
ISNUMBER(SEARCH(_xlfn.UNICHAR(65533),S5518)),"Côte d'Ivoire",
TRUE,"-"
)</f>
        <v>-</v>
      </c>
      <c r="W5518" s="42" t="str">
        <f t="shared" si="333"/>
        <v>-</v>
      </c>
    </row>
    <row r="5519" spans="19:23">
      <c r="S5519" s="42" t="str">
        <v/>
      </c>
      <c r="T5519" s="42" t="str">
        <f t="shared" si="331"/>
        <v>-</v>
      </c>
      <c r="U5519" s="40" t="str">
        <f t="shared" si="332"/>
        <v>-</v>
      </c>
      <c r="V5519" s="42" t="str" cm="1">
        <f t="array" ref="V5519">_xlfn.IFS(
LEFT(S5519,16)="win on penalties",IF(VALUE(MID(S5519,19,1))&gt;VALUE(MID(S5519,23,1)),DATA_CLEANED!AK1033,DATA_CLEANED!AN1033),
ISNUMBER(SEARCH("USA",S5519)),"United States",
ISNUMBER(SEARCH("Republic of Ireland",S5519)),"Ireland",
ISNUMBER(SEARCH("Republic of Korea",S5519)),"South Korea",
ISNUMBER(SEARCH("Cape Verde",S5519)),"Cabo Verde",
ISNUMBER(SEARCH("Czechia",S5519)),"Czech Republic",
ISNUMBER(SEARCH("Türkiye",S5519)),"Turkey",
ISNUMBER(SEARCH("Ivory Coast",S5519)),"Côte d'Ivoire",
ISNUMBER(SEARCH("Korea Republic",S5519)),"South Korea",
ISNUMBER(SEARCH("Germany FR",S5519)),"FR Germany",
ISNUMBER(SEARCH("West Germany",S5519)),"FR Germany",
ISNUMBER(SEARCH("Germany DR",S5519)),"DR Germany",
ISNUMBER(SEARCH("Korea DPR",S5519)),"North Korea",
ISNUMBER(SEARCH("China PR",S5519)),"China",
ISNUMBER(SEARCH("IR Iran",S5519)),"Iran",
ISNUMBER(SEARCH("Congo DR",S5519)),"Democratic Republic of the Congo",
ISNUMBER(SEARCH("DR Congo",S5519)),"Democratic Republic of the Congo",
ISNUMBER(SEARCH("German DR",S5519)),"DR Germany",
ISNUMBER(SEARCH("rn""&gt;United Arab Emirates",S5519)),"United Arab Emirates",
ISNUMBER(SEARCH("rn""&gt;Republic of Ireland",S5519)),"Ireland",
ISNUMBER(SEARCH("rn""&gt;Bosnia and Herzegovina",S5519)),"Bosnia and Herzegovina",
ISNUMBER(SEARCH("rn""&gt;Trinidad and Tobago",S5519)),"Trinidad and Tobago",
ISNUMBER(SEARCH("rn""&gt;Serbia and Montenegro",S5519)),"Serbia and Montenegro",
ISNUMBER(SEARCH(_xlfn.UNICHAR(65533),S5519)),"Côte d'Ivoire",
TRUE,"-"
)</f>
        <v>-</v>
      </c>
      <c r="W5519" s="42" t="str">
        <f t="shared" si="333"/>
        <v>-</v>
      </c>
    </row>
    <row r="5520" spans="19:23">
      <c r="S5520" s="42" t="str">
        <v/>
      </c>
      <c r="T5520" s="42" t="str">
        <f t="shared" si="331"/>
        <v>-</v>
      </c>
      <c r="U5520" s="40" t="str">
        <f t="shared" si="332"/>
        <v>-</v>
      </c>
      <c r="V5520" s="42" t="str" cm="1">
        <f t="array" ref="V5520">_xlfn.IFS(
LEFT(S5520,16)="win on penalties",IF(VALUE(MID(S5520,19,1))&gt;VALUE(MID(S5520,23,1)),DATA_CLEANED!AK1034,DATA_CLEANED!AN1034),
ISNUMBER(SEARCH("USA",S5520)),"United States",
ISNUMBER(SEARCH("Republic of Ireland",S5520)),"Ireland",
ISNUMBER(SEARCH("Republic of Korea",S5520)),"South Korea",
ISNUMBER(SEARCH("Cape Verde",S5520)),"Cabo Verde",
ISNUMBER(SEARCH("Czechia",S5520)),"Czech Republic",
ISNUMBER(SEARCH("Türkiye",S5520)),"Turkey",
ISNUMBER(SEARCH("Ivory Coast",S5520)),"Côte d'Ivoire",
ISNUMBER(SEARCH("Korea Republic",S5520)),"South Korea",
ISNUMBER(SEARCH("Germany FR",S5520)),"FR Germany",
ISNUMBER(SEARCH("West Germany",S5520)),"FR Germany",
ISNUMBER(SEARCH("Germany DR",S5520)),"DR Germany",
ISNUMBER(SEARCH("Korea DPR",S5520)),"North Korea",
ISNUMBER(SEARCH("China PR",S5520)),"China",
ISNUMBER(SEARCH("IR Iran",S5520)),"Iran",
ISNUMBER(SEARCH("Congo DR",S5520)),"Democratic Republic of the Congo",
ISNUMBER(SEARCH("DR Congo",S5520)),"Democratic Republic of the Congo",
ISNUMBER(SEARCH("German DR",S5520)),"DR Germany",
ISNUMBER(SEARCH("rn""&gt;United Arab Emirates",S5520)),"United Arab Emirates",
ISNUMBER(SEARCH("rn""&gt;Republic of Ireland",S5520)),"Ireland",
ISNUMBER(SEARCH("rn""&gt;Bosnia and Herzegovina",S5520)),"Bosnia and Herzegovina",
ISNUMBER(SEARCH("rn""&gt;Trinidad and Tobago",S5520)),"Trinidad and Tobago",
ISNUMBER(SEARCH("rn""&gt;Serbia and Montenegro",S5520)),"Serbia and Montenegro",
ISNUMBER(SEARCH(_xlfn.UNICHAR(65533),S5520)),"Côte d'Ivoire",
TRUE,"-"
)</f>
        <v>-</v>
      </c>
      <c r="W5520" s="42" t="str">
        <f t="shared" si="333"/>
        <v>-</v>
      </c>
    </row>
    <row r="5521" spans="19:23">
      <c r="S5521" s="42" t="str">
        <v/>
      </c>
      <c r="T5521" s="42" t="str">
        <f t="shared" si="331"/>
        <v>-</v>
      </c>
      <c r="U5521" s="40" t="str">
        <f t="shared" si="332"/>
        <v>-</v>
      </c>
      <c r="V5521" s="42" t="str" cm="1">
        <f t="array" ref="V5521">_xlfn.IFS(
LEFT(S5521,16)="win on penalties",IF(VALUE(MID(S5521,19,1))&gt;VALUE(MID(S5521,23,1)),DATA_CLEANED!AK1035,DATA_CLEANED!AN1035),
ISNUMBER(SEARCH("USA",S5521)),"United States",
ISNUMBER(SEARCH("Republic of Ireland",S5521)),"Ireland",
ISNUMBER(SEARCH("Republic of Korea",S5521)),"South Korea",
ISNUMBER(SEARCH("Cape Verde",S5521)),"Cabo Verde",
ISNUMBER(SEARCH("Czechia",S5521)),"Czech Republic",
ISNUMBER(SEARCH("Türkiye",S5521)),"Turkey",
ISNUMBER(SEARCH("Ivory Coast",S5521)),"Côte d'Ivoire",
ISNUMBER(SEARCH("Korea Republic",S5521)),"South Korea",
ISNUMBER(SEARCH("Germany FR",S5521)),"FR Germany",
ISNUMBER(SEARCH("West Germany",S5521)),"FR Germany",
ISNUMBER(SEARCH("Germany DR",S5521)),"DR Germany",
ISNUMBER(SEARCH("Korea DPR",S5521)),"North Korea",
ISNUMBER(SEARCH("China PR",S5521)),"China",
ISNUMBER(SEARCH("IR Iran",S5521)),"Iran",
ISNUMBER(SEARCH("Congo DR",S5521)),"Democratic Republic of the Congo",
ISNUMBER(SEARCH("DR Congo",S5521)),"Democratic Republic of the Congo",
ISNUMBER(SEARCH("German DR",S5521)),"DR Germany",
ISNUMBER(SEARCH("rn""&gt;United Arab Emirates",S5521)),"United Arab Emirates",
ISNUMBER(SEARCH("rn""&gt;Republic of Ireland",S5521)),"Ireland",
ISNUMBER(SEARCH("rn""&gt;Bosnia and Herzegovina",S5521)),"Bosnia and Herzegovina",
ISNUMBER(SEARCH("rn""&gt;Trinidad and Tobago",S5521)),"Trinidad and Tobago",
ISNUMBER(SEARCH("rn""&gt;Serbia and Montenegro",S5521)),"Serbia and Montenegro",
ISNUMBER(SEARCH(_xlfn.UNICHAR(65533),S5521)),"Côte d'Ivoire",
TRUE,"-"
)</f>
        <v>-</v>
      </c>
      <c r="W5521" s="42" t="str">
        <f t="shared" si="333"/>
        <v>-</v>
      </c>
    </row>
    <row r="5522" spans="19:23">
      <c r="S5522" s="42" t="str">
        <v/>
      </c>
      <c r="T5522" s="42" t="str">
        <f t="shared" si="331"/>
        <v>-</v>
      </c>
      <c r="U5522" s="40" t="str">
        <f t="shared" si="332"/>
        <v>-</v>
      </c>
      <c r="V5522" s="42" t="str" cm="1">
        <f t="array" ref="V5522">_xlfn.IFS(
LEFT(S5522,16)="win on penalties",IF(VALUE(MID(S5522,19,1))&gt;VALUE(MID(S5522,23,1)),DATA_CLEANED!AK1036,DATA_CLEANED!AN1036),
ISNUMBER(SEARCH("USA",S5522)),"United States",
ISNUMBER(SEARCH("Republic of Ireland",S5522)),"Ireland",
ISNUMBER(SEARCH("Republic of Korea",S5522)),"South Korea",
ISNUMBER(SEARCH("Cape Verde",S5522)),"Cabo Verde",
ISNUMBER(SEARCH("Czechia",S5522)),"Czech Republic",
ISNUMBER(SEARCH("Türkiye",S5522)),"Turkey",
ISNUMBER(SEARCH("Ivory Coast",S5522)),"Côte d'Ivoire",
ISNUMBER(SEARCH("Korea Republic",S5522)),"South Korea",
ISNUMBER(SEARCH("Germany FR",S5522)),"FR Germany",
ISNUMBER(SEARCH("West Germany",S5522)),"FR Germany",
ISNUMBER(SEARCH("Germany DR",S5522)),"DR Germany",
ISNUMBER(SEARCH("Korea DPR",S5522)),"North Korea",
ISNUMBER(SEARCH("China PR",S5522)),"China",
ISNUMBER(SEARCH("IR Iran",S5522)),"Iran",
ISNUMBER(SEARCH("Congo DR",S5522)),"Democratic Republic of the Congo",
ISNUMBER(SEARCH("DR Congo",S5522)),"Democratic Republic of the Congo",
ISNUMBER(SEARCH("German DR",S5522)),"DR Germany",
ISNUMBER(SEARCH("rn""&gt;United Arab Emirates",S5522)),"United Arab Emirates",
ISNUMBER(SEARCH("rn""&gt;Republic of Ireland",S5522)),"Ireland",
ISNUMBER(SEARCH("rn""&gt;Bosnia and Herzegovina",S5522)),"Bosnia and Herzegovina",
ISNUMBER(SEARCH("rn""&gt;Trinidad and Tobago",S5522)),"Trinidad and Tobago",
ISNUMBER(SEARCH("rn""&gt;Serbia and Montenegro",S5522)),"Serbia and Montenegro",
ISNUMBER(SEARCH(_xlfn.UNICHAR(65533),S5522)),"Côte d'Ivoire",
TRUE,"-"
)</f>
        <v>-</v>
      </c>
      <c r="W5522" s="42" t="str">
        <f t="shared" si="333"/>
        <v>-</v>
      </c>
    </row>
    <row r="5523" spans="19:23">
      <c r="S5523" s="42" t="str">
        <v>Belgium win after extra time</v>
      </c>
      <c r="T5523" s="42" t="str">
        <f t="shared" si="331"/>
        <v>Belgium</v>
      </c>
      <c r="U5523" s="40" t="str">
        <f t="shared" si="332"/>
        <v>AUCUNE</v>
      </c>
      <c r="V5523" s="42" t="str" cm="1">
        <f t="array" ref="V5523">_xlfn.IFS(
LEFT(S5523,16)="win on penalties",IF(VALUE(MID(S5523,19,1))&gt;VALUE(MID(S5523,23,1)),DATA_CLEANED!AK1037,DATA_CLEANED!AN1037),
ISNUMBER(SEARCH("USA",S5523)),"United States",
ISNUMBER(SEARCH("Republic of Ireland",S5523)),"Ireland",
ISNUMBER(SEARCH("Republic of Korea",S5523)),"South Korea",
ISNUMBER(SEARCH("Cape Verde",S5523)),"Cabo Verde",
ISNUMBER(SEARCH("Czechia",S5523)),"Czech Republic",
ISNUMBER(SEARCH("Türkiye",S5523)),"Turkey",
ISNUMBER(SEARCH("Ivory Coast",S5523)),"Côte d'Ivoire",
ISNUMBER(SEARCH("Korea Republic",S5523)),"South Korea",
ISNUMBER(SEARCH("Germany FR",S5523)),"FR Germany",
ISNUMBER(SEARCH("West Germany",S5523)),"FR Germany",
ISNUMBER(SEARCH("Germany DR",S5523)),"DR Germany",
ISNUMBER(SEARCH("Korea DPR",S5523)),"North Korea",
ISNUMBER(SEARCH("China PR",S5523)),"China",
ISNUMBER(SEARCH("IR Iran",S5523)),"Iran",
ISNUMBER(SEARCH("Congo DR",S5523)),"Democratic Republic of the Congo",
ISNUMBER(SEARCH("DR Congo",S5523)),"Democratic Republic of the Congo",
ISNUMBER(SEARCH("German DR",S5523)),"DR Germany",
ISNUMBER(SEARCH("rn""&gt;United Arab Emirates",S5523)),"United Arab Emirates",
ISNUMBER(SEARCH("rn""&gt;Republic of Ireland",S5523)),"Ireland",
ISNUMBER(SEARCH("rn""&gt;Bosnia and Herzegovina",S5523)),"Bosnia and Herzegovina",
ISNUMBER(SEARCH("rn""&gt;Trinidad and Tobago",S5523)),"Trinidad and Tobago",
ISNUMBER(SEARCH("rn""&gt;Serbia and Montenegro",S5523)),"Serbia and Montenegro",
ISNUMBER(SEARCH(_xlfn.UNICHAR(65533),S5523)),"Côte d'Ivoire",
TRUE,"-"
)</f>
        <v>-</v>
      </c>
      <c r="W5523" s="42" t="str">
        <f t="shared" si="333"/>
        <v>Belgium win after extra time</v>
      </c>
    </row>
    <row r="5524" spans="19:23">
      <c r="S5524" s="42" t="str">
        <v/>
      </c>
      <c r="T5524" s="42" t="str">
        <f t="shared" si="331"/>
        <v>-</v>
      </c>
      <c r="U5524" s="40" t="str">
        <f t="shared" si="332"/>
        <v>-</v>
      </c>
      <c r="V5524" s="42" t="str" cm="1">
        <f t="array" ref="V5524">_xlfn.IFS(
LEFT(S5524,16)="win on penalties",IF(VALUE(MID(S5524,19,1))&gt;VALUE(MID(S5524,23,1)),DATA_CLEANED!AK1038,DATA_CLEANED!AN1038),
ISNUMBER(SEARCH("USA",S5524)),"United States",
ISNUMBER(SEARCH("Republic of Ireland",S5524)),"Ireland",
ISNUMBER(SEARCH("Republic of Korea",S5524)),"South Korea",
ISNUMBER(SEARCH("Cape Verde",S5524)),"Cabo Verde",
ISNUMBER(SEARCH("Czechia",S5524)),"Czech Republic",
ISNUMBER(SEARCH("Türkiye",S5524)),"Turkey",
ISNUMBER(SEARCH("Ivory Coast",S5524)),"Côte d'Ivoire",
ISNUMBER(SEARCH("Korea Republic",S5524)),"South Korea",
ISNUMBER(SEARCH("Germany FR",S5524)),"FR Germany",
ISNUMBER(SEARCH("West Germany",S5524)),"FR Germany",
ISNUMBER(SEARCH("Germany DR",S5524)),"DR Germany",
ISNUMBER(SEARCH("Korea DPR",S5524)),"North Korea",
ISNUMBER(SEARCH("China PR",S5524)),"China",
ISNUMBER(SEARCH("IR Iran",S5524)),"Iran",
ISNUMBER(SEARCH("Congo DR",S5524)),"Democratic Republic of the Congo",
ISNUMBER(SEARCH("DR Congo",S5524)),"Democratic Republic of the Congo",
ISNUMBER(SEARCH("German DR",S5524)),"DR Germany",
ISNUMBER(SEARCH("rn""&gt;United Arab Emirates",S5524)),"United Arab Emirates",
ISNUMBER(SEARCH("rn""&gt;Republic of Ireland",S5524)),"Ireland",
ISNUMBER(SEARCH("rn""&gt;Bosnia and Herzegovina",S5524)),"Bosnia and Herzegovina",
ISNUMBER(SEARCH("rn""&gt;Trinidad and Tobago",S5524)),"Trinidad and Tobago",
ISNUMBER(SEARCH("rn""&gt;Serbia and Montenegro",S5524)),"Serbia and Montenegro",
ISNUMBER(SEARCH(_xlfn.UNICHAR(65533),S5524)),"Côte d'Ivoire",
TRUE,"-"
)</f>
        <v>-</v>
      </c>
      <c r="W5524" s="42" t="str">
        <f t="shared" si="333"/>
        <v>-</v>
      </c>
    </row>
    <row r="5525" spans="19:23">
      <c r="S5525" s="42" t="str">
        <v/>
      </c>
      <c r="T5525" s="42" t="str">
        <f t="shared" si="331"/>
        <v>-</v>
      </c>
      <c r="U5525" s="40" t="str">
        <f t="shared" si="332"/>
        <v>-</v>
      </c>
      <c r="V5525" s="42" t="str" cm="1">
        <f t="array" ref="V5525">_xlfn.IFS(
LEFT(S5525,16)="win on penalties",IF(VALUE(MID(S5525,19,1))&gt;VALUE(MID(S5525,23,1)),DATA_CLEANED!AK1039,DATA_CLEANED!AN1039),
ISNUMBER(SEARCH("USA",S5525)),"United States",
ISNUMBER(SEARCH("Republic of Ireland",S5525)),"Ireland",
ISNUMBER(SEARCH("Republic of Korea",S5525)),"South Korea",
ISNUMBER(SEARCH("Cape Verde",S5525)),"Cabo Verde",
ISNUMBER(SEARCH("Czechia",S5525)),"Czech Republic",
ISNUMBER(SEARCH("Türkiye",S5525)),"Turkey",
ISNUMBER(SEARCH("Ivory Coast",S5525)),"Côte d'Ivoire",
ISNUMBER(SEARCH("Korea Republic",S5525)),"South Korea",
ISNUMBER(SEARCH("Germany FR",S5525)),"FR Germany",
ISNUMBER(SEARCH("West Germany",S5525)),"FR Germany",
ISNUMBER(SEARCH("Germany DR",S5525)),"DR Germany",
ISNUMBER(SEARCH("Korea DPR",S5525)),"North Korea",
ISNUMBER(SEARCH("China PR",S5525)),"China",
ISNUMBER(SEARCH("IR Iran",S5525)),"Iran",
ISNUMBER(SEARCH("Congo DR",S5525)),"Democratic Republic of the Congo",
ISNUMBER(SEARCH("DR Congo",S5525)),"Democratic Republic of the Congo",
ISNUMBER(SEARCH("German DR",S5525)),"DR Germany",
ISNUMBER(SEARCH("rn""&gt;United Arab Emirates",S5525)),"United Arab Emirates",
ISNUMBER(SEARCH("rn""&gt;Republic of Ireland",S5525)),"Ireland",
ISNUMBER(SEARCH("rn""&gt;Bosnia and Herzegovina",S5525)),"Bosnia and Herzegovina",
ISNUMBER(SEARCH("rn""&gt;Trinidad and Tobago",S5525)),"Trinidad and Tobago",
ISNUMBER(SEARCH("rn""&gt;Serbia and Montenegro",S5525)),"Serbia and Montenegro",
ISNUMBER(SEARCH(_xlfn.UNICHAR(65533),S5525)),"Côte d'Ivoire",
TRUE,"-"
)</f>
        <v>-</v>
      </c>
      <c r="W5525" s="42" t="str">
        <f t="shared" si="333"/>
        <v>-</v>
      </c>
    </row>
    <row r="5526" spans="19:23">
      <c r="S5526" s="42" t="str">
        <v/>
      </c>
      <c r="T5526" s="42" t="str">
        <f t="shared" si="331"/>
        <v>-</v>
      </c>
      <c r="U5526" s="40" t="str">
        <f t="shared" si="332"/>
        <v>-</v>
      </c>
      <c r="V5526" s="42" t="str" cm="1">
        <f t="array" ref="V5526">_xlfn.IFS(
LEFT(S5526,16)="win on penalties",IF(VALUE(MID(S5526,19,1))&gt;VALUE(MID(S5526,23,1)),DATA_CLEANED!AK1040,DATA_CLEANED!AN1040),
ISNUMBER(SEARCH("USA",S5526)),"United States",
ISNUMBER(SEARCH("Republic of Ireland",S5526)),"Ireland",
ISNUMBER(SEARCH("Republic of Korea",S5526)),"South Korea",
ISNUMBER(SEARCH("Cape Verde",S5526)),"Cabo Verde",
ISNUMBER(SEARCH("Czechia",S5526)),"Czech Republic",
ISNUMBER(SEARCH("Türkiye",S5526)),"Turkey",
ISNUMBER(SEARCH("Ivory Coast",S5526)),"Côte d'Ivoire",
ISNUMBER(SEARCH("Korea Republic",S5526)),"South Korea",
ISNUMBER(SEARCH("Germany FR",S5526)),"FR Germany",
ISNUMBER(SEARCH("West Germany",S5526)),"FR Germany",
ISNUMBER(SEARCH("Germany DR",S5526)),"DR Germany",
ISNUMBER(SEARCH("Korea DPR",S5526)),"North Korea",
ISNUMBER(SEARCH("China PR",S5526)),"China",
ISNUMBER(SEARCH("IR Iran",S5526)),"Iran",
ISNUMBER(SEARCH("Congo DR",S5526)),"Democratic Republic of the Congo",
ISNUMBER(SEARCH("DR Congo",S5526)),"Democratic Republic of the Congo",
ISNUMBER(SEARCH("German DR",S5526)),"DR Germany",
ISNUMBER(SEARCH("rn""&gt;United Arab Emirates",S5526)),"United Arab Emirates",
ISNUMBER(SEARCH("rn""&gt;Republic of Ireland",S5526)),"Ireland",
ISNUMBER(SEARCH("rn""&gt;Bosnia and Herzegovina",S5526)),"Bosnia and Herzegovina",
ISNUMBER(SEARCH("rn""&gt;Trinidad and Tobago",S5526)),"Trinidad and Tobago",
ISNUMBER(SEARCH("rn""&gt;Serbia and Montenegro",S5526)),"Serbia and Montenegro",
ISNUMBER(SEARCH(_xlfn.UNICHAR(65533),S5526)),"Côte d'Ivoire",
TRUE,"-"
)</f>
        <v>-</v>
      </c>
      <c r="W5526" s="42" t="str">
        <f t="shared" si="333"/>
        <v>-</v>
      </c>
    </row>
    <row r="5527" spans="19:23">
      <c r="S5527" s="42" t="str">
        <v/>
      </c>
      <c r="T5527" s="42" t="str">
        <f t="shared" si="331"/>
        <v>-</v>
      </c>
      <c r="U5527" s="40" t="str">
        <f t="shared" si="332"/>
        <v>-</v>
      </c>
      <c r="V5527" s="42" t="str" cm="1">
        <f t="array" ref="V5527">_xlfn.IFS(
LEFT(S5527,16)="win on penalties",IF(VALUE(MID(S5527,19,1))&gt;VALUE(MID(S5527,23,1)),DATA_CLEANED!AK1041,DATA_CLEANED!AN1041),
ISNUMBER(SEARCH("USA",S5527)),"United States",
ISNUMBER(SEARCH("Republic of Ireland",S5527)),"Ireland",
ISNUMBER(SEARCH("Republic of Korea",S5527)),"South Korea",
ISNUMBER(SEARCH("Cape Verde",S5527)),"Cabo Verde",
ISNUMBER(SEARCH("Czechia",S5527)),"Czech Republic",
ISNUMBER(SEARCH("Türkiye",S5527)),"Turkey",
ISNUMBER(SEARCH("Ivory Coast",S5527)),"Côte d'Ivoire",
ISNUMBER(SEARCH("Korea Republic",S5527)),"South Korea",
ISNUMBER(SEARCH("Germany FR",S5527)),"FR Germany",
ISNUMBER(SEARCH("West Germany",S5527)),"FR Germany",
ISNUMBER(SEARCH("Germany DR",S5527)),"DR Germany",
ISNUMBER(SEARCH("Korea DPR",S5527)),"North Korea",
ISNUMBER(SEARCH("China PR",S5527)),"China",
ISNUMBER(SEARCH("IR Iran",S5527)),"Iran",
ISNUMBER(SEARCH("Congo DR",S5527)),"Democratic Republic of the Congo",
ISNUMBER(SEARCH("DR Congo",S5527)),"Democratic Republic of the Congo",
ISNUMBER(SEARCH("German DR",S5527)),"DR Germany",
ISNUMBER(SEARCH("rn""&gt;United Arab Emirates",S5527)),"United Arab Emirates",
ISNUMBER(SEARCH("rn""&gt;Republic of Ireland",S5527)),"Ireland",
ISNUMBER(SEARCH("rn""&gt;Bosnia and Herzegovina",S5527)),"Bosnia and Herzegovina",
ISNUMBER(SEARCH("rn""&gt;Trinidad and Tobago",S5527)),"Trinidad and Tobago",
ISNUMBER(SEARCH("rn""&gt;Serbia and Montenegro",S5527)),"Serbia and Montenegro",
ISNUMBER(SEARCH(_xlfn.UNICHAR(65533),S5527)),"Côte d'Ivoire",
TRUE,"-"
)</f>
        <v>-</v>
      </c>
      <c r="W5527" s="42" t="str">
        <f t="shared" si="333"/>
        <v>-</v>
      </c>
    </row>
    <row r="5528" spans="19:23">
      <c r="S5528" s="42" t="str">
        <v>Egypt win on penalties (4 - 2)</v>
      </c>
      <c r="T5528" s="42" t="str">
        <f t="shared" si="331"/>
        <v>Egypt</v>
      </c>
      <c r="U5528" s="40" t="str">
        <f t="shared" si="332"/>
        <v>AUCUNE</v>
      </c>
      <c r="V5528" s="42" t="str" cm="1">
        <f t="array" ref="V5528">_xlfn.IFS(
LEFT(S5528,16)="win on penalties",IF(VALUE(MID(S5528,19,1))&gt;VALUE(MID(S5528,23,1)),DATA_CLEANED!AK1042,DATA_CLEANED!AN1042),
ISNUMBER(SEARCH("USA",S5528)),"United States",
ISNUMBER(SEARCH("Republic of Ireland",S5528)),"Ireland",
ISNUMBER(SEARCH("Republic of Korea",S5528)),"South Korea",
ISNUMBER(SEARCH("Cape Verde",S5528)),"Cabo Verde",
ISNUMBER(SEARCH("Czechia",S5528)),"Czech Republic",
ISNUMBER(SEARCH("Türkiye",S5528)),"Turkey",
ISNUMBER(SEARCH("Ivory Coast",S5528)),"Côte d'Ivoire",
ISNUMBER(SEARCH("Korea Republic",S5528)),"South Korea",
ISNUMBER(SEARCH("Germany FR",S5528)),"FR Germany",
ISNUMBER(SEARCH("West Germany",S5528)),"FR Germany",
ISNUMBER(SEARCH("Germany DR",S5528)),"DR Germany",
ISNUMBER(SEARCH("Korea DPR",S5528)),"North Korea",
ISNUMBER(SEARCH("China PR",S5528)),"China",
ISNUMBER(SEARCH("IR Iran",S5528)),"Iran",
ISNUMBER(SEARCH("Congo DR",S5528)),"Democratic Republic of the Congo",
ISNUMBER(SEARCH("DR Congo",S5528)),"Democratic Republic of the Congo",
ISNUMBER(SEARCH("German DR",S5528)),"DR Germany",
ISNUMBER(SEARCH("rn""&gt;United Arab Emirates",S5528)),"United Arab Emirates",
ISNUMBER(SEARCH("rn""&gt;Republic of Ireland",S5528)),"Ireland",
ISNUMBER(SEARCH("rn""&gt;Bosnia and Herzegovina",S5528)),"Bosnia and Herzegovina",
ISNUMBER(SEARCH("rn""&gt;Trinidad and Tobago",S5528)),"Trinidad and Tobago",
ISNUMBER(SEARCH("rn""&gt;Serbia and Montenegro",S5528)),"Serbia and Montenegro",
ISNUMBER(SEARCH(_xlfn.UNICHAR(65533),S5528)),"Côte d'Ivoire",
TRUE,"-"
)</f>
        <v>-</v>
      </c>
      <c r="W5528" s="42" t="str">
        <f t="shared" si="333"/>
        <v>Egypt win on penalties (4 - 2)</v>
      </c>
    </row>
    <row r="5529" spans="19:23">
      <c r="S5529" s="42" t="str">
        <v>Argentina win after extra time</v>
      </c>
      <c r="T5529" s="42" t="str">
        <f t="shared" si="331"/>
        <v>Argentina</v>
      </c>
      <c r="U5529" s="40" t="str">
        <f t="shared" si="332"/>
        <v>AUCUNE</v>
      </c>
      <c r="V5529" s="42" t="str" cm="1">
        <f t="array" ref="V5529">_xlfn.IFS(
LEFT(S5529,16)="win on penalties",IF(VALUE(MID(S5529,19,1))&gt;VALUE(MID(S5529,23,1)),DATA_CLEANED!AK1043,DATA_CLEANED!AN1043),
ISNUMBER(SEARCH("USA",S5529)),"United States",
ISNUMBER(SEARCH("Republic of Ireland",S5529)),"Ireland",
ISNUMBER(SEARCH("Republic of Korea",S5529)),"South Korea",
ISNUMBER(SEARCH("Cape Verde",S5529)),"Cabo Verde",
ISNUMBER(SEARCH("Czechia",S5529)),"Czech Republic",
ISNUMBER(SEARCH("Türkiye",S5529)),"Turkey",
ISNUMBER(SEARCH("Ivory Coast",S5529)),"Côte d'Ivoire",
ISNUMBER(SEARCH("Korea Republic",S5529)),"South Korea",
ISNUMBER(SEARCH("Germany FR",S5529)),"FR Germany",
ISNUMBER(SEARCH("West Germany",S5529)),"FR Germany",
ISNUMBER(SEARCH("Germany DR",S5529)),"DR Germany",
ISNUMBER(SEARCH("Korea DPR",S5529)),"North Korea",
ISNUMBER(SEARCH("China PR",S5529)),"China",
ISNUMBER(SEARCH("IR Iran",S5529)),"Iran",
ISNUMBER(SEARCH("Congo DR",S5529)),"Democratic Republic of the Congo",
ISNUMBER(SEARCH("DR Congo",S5529)),"Democratic Republic of the Congo",
ISNUMBER(SEARCH("German DR",S5529)),"DR Germany",
ISNUMBER(SEARCH("rn""&gt;United Arab Emirates",S5529)),"United Arab Emirates",
ISNUMBER(SEARCH("rn""&gt;Republic of Ireland",S5529)),"Ireland",
ISNUMBER(SEARCH("rn""&gt;Bosnia and Herzegovina",S5529)),"Bosnia and Herzegovina",
ISNUMBER(SEARCH("rn""&gt;Trinidad and Tobago",S5529)),"Trinidad and Tobago",
ISNUMBER(SEARCH("rn""&gt;Serbia and Montenegro",S5529)),"Serbia and Montenegro",
ISNUMBER(SEARCH(_xlfn.UNICHAR(65533),S5529)),"Côte d'Ivoire",
TRUE,"-"
)</f>
        <v>-</v>
      </c>
      <c r="W5529" s="42" t="str">
        <f t="shared" si="333"/>
        <v>Argentina win after extra time</v>
      </c>
    </row>
    <row r="5530" spans="19:23">
      <c r="S5530" s="42" t="str">
        <v/>
      </c>
      <c r="T5530" s="42" t="str">
        <f t="shared" si="331"/>
        <v>-</v>
      </c>
      <c r="U5530" s="40" t="str">
        <f t="shared" si="332"/>
        <v>-</v>
      </c>
      <c r="V5530" s="42" t="str" cm="1">
        <f t="array" ref="V5530">_xlfn.IFS(
LEFT(S5530,16)="win on penalties",IF(VALUE(MID(S5530,19,1))&gt;VALUE(MID(S5530,23,1)),DATA_CLEANED!AK1044,DATA_CLEANED!AN1044),
ISNUMBER(SEARCH("USA",S5530)),"United States",
ISNUMBER(SEARCH("Republic of Ireland",S5530)),"Ireland",
ISNUMBER(SEARCH("Republic of Korea",S5530)),"South Korea",
ISNUMBER(SEARCH("Cape Verde",S5530)),"Cabo Verde",
ISNUMBER(SEARCH("Czechia",S5530)),"Czech Republic",
ISNUMBER(SEARCH("Türkiye",S5530)),"Turkey",
ISNUMBER(SEARCH("Ivory Coast",S5530)),"Côte d'Ivoire",
ISNUMBER(SEARCH("Korea Republic",S5530)),"South Korea",
ISNUMBER(SEARCH("Germany FR",S5530)),"FR Germany",
ISNUMBER(SEARCH("West Germany",S5530)),"FR Germany",
ISNUMBER(SEARCH("Germany DR",S5530)),"DR Germany",
ISNUMBER(SEARCH("Korea DPR",S5530)),"North Korea",
ISNUMBER(SEARCH("China PR",S5530)),"China",
ISNUMBER(SEARCH("IR Iran",S5530)),"Iran",
ISNUMBER(SEARCH("Congo DR",S5530)),"Democratic Republic of the Congo",
ISNUMBER(SEARCH("DR Congo",S5530)),"Democratic Republic of the Congo",
ISNUMBER(SEARCH("German DR",S5530)),"DR Germany",
ISNUMBER(SEARCH("rn""&gt;United Arab Emirates",S5530)),"United Arab Emirates",
ISNUMBER(SEARCH("rn""&gt;Republic of Ireland",S5530)),"Ireland",
ISNUMBER(SEARCH("rn""&gt;Bosnia and Herzegovina",S5530)),"Bosnia and Herzegovina",
ISNUMBER(SEARCH("rn""&gt;Trinidad and Tobago",S5530)),"Trinidad and Tobago",
ISNUMBER(SEARCH("rn""&gt;Serbia and Montenegro",S5530)),"Serbia and Montenegro",
ISNUMBER(SEARCH(_xlfn.UNICHAR(65533),S5530)),"Côte d'Ivoire",
TRUE,"-"
)</f>
        <v>-</v>
      </c>
      <c r="W5530" s="42" t="str">
        <f t="shared" si="333"/>
        <v>-</v>
      </c>
    </row>
    <row r="5531" spans="19:23">
      <c r="S5531" s="42" t="str">
        <v/>
      </c>
      <c r="T5531" s="42" t="str">
        <f t="shared" si="331"/>
        <v>-</v>
      </c>
      <c r="U5531" s="40" t="str">
        <f t="shared" si="332"/>
        <v>-</v>
      </c>
      <c r="V5531" s="42" t="str" cm="1">
        <f t="array" ref="V5531">_xlfn.IFS(
LEFT(S5531,16)="win on penalties",IF(VALUE(MID(S5531,19,1))&gt;VALUE(MID(S5531,23,1)),DATA_CLEANED!AK1045,DATA_CLEANED!AN1045),
ISNUMBER(SEARCH("USA",S5531)),"United States",
ISNUMBER(SEARCH("Republic of Ireland",S5531)),"Ireland",
ISNUMBER(SEARCH("Republic of Korea",S5531)),"South Korea",
ISNUMBER(SEARCH("Cape Verde",S5531)),"Cabo Verde",
ISNUMBER(SEARCH("Czechia",S5531)),"Czech Republic",
ISNUMBER(SEARCH("Türkiye",S5531)),"Turkey",
ISNUMBER(SEARCH("Ivory Coast",S5531)),"Côte d'Ivoire",
ISNUMBER(SEARCH("Korea Republic",S5531)),"South Korea",
ISNUMBER(SEARCH("Germany FR",S5531)),"FR Germany",
ISNUMBER(SEARCH("West Germany",S5531)),"FR Germany",
ISNUMBER(SEARCH("Germany DR",S5531)),"DR Germany",
ISNUMBER(SEARCH("Korea DPR",S5531)),"North Korea",
ISNUMBER(SEARCH("China PR",S5531)),"China",
ISNUMBER(SEARCH("IR Iran",S5531)),"Iran",
ISNUMBER(SEARCH("Congo DR",S5531)),"Democratic Republic of the Congo",
ISNUMBER(SEARCH("DR Congo",S5531)),"Democratic Republic of the Congo",
ISNUMBER(SEARCH("German DR",S5531)),"DR Germany",
ISNUMBER(SEARCH("rn""&gt;United Arab Emirates",S5531)),"United Arab Emirates",
ISNUMBER(SEARCH("rn""&gt;Republic of Ireland",S5531)),"Ireland",
ISNUMBER(SEARCH("rn""&gt;Bosnia and Herzegovina",S5531)),"Bosnia and Herzegovina",
ISNUMBER(SEARCH("rn""&gt;Trinidad and Tobago",S5531)),"Trinidad and Tobago",
ISNUMBER(SEARCH("rn""&gt;Serbia and Montenegro",S5531)),"Serbia and Montenegro",
ISNUMBER(SEARCH(_xlfn.UNICHAR(65533),S5531)),"Côte d'Ivoire",
TRUE,"-"
)</f>
        <v>-</v>
      </c>
      <c r="W5531" s="42" t="str">
        <f t="shared" si="333"/>
        <v>-</v>
      </c>
    </row>
    <row r="5532" spans="19:23">
      <c r="S5532" s="42" t="str">
        <v/>
      </c>
      <c r="T5532" s="42" t="str">
        <f t="shared" si="331"/>
        <v>-</v>
      </c>
      <c r="U5532" s="40" t="str">
        <f t="shared" si="332"/>
        <v>-</v>
      </c>
      <c r="V5532" s="42" t="str" cm="1">
        <f t="array" ref="V5532">_xlfn.IFS(
LEFT(S5532,16)="win on penalties",IF(VALUE(MID(S5532,19,1))&gt;VALUE(MID(S5532,23,1)),DATA_CLEANED!AK1046,DATA_CLEANED!AN1046),
ISNUMBER(SEARCH("USA",S5532)),"United States",
ISNUMBER(SEARCH("Republic of Ireland",S5532)),"Ireland",
ISNUMBER(SEARCH("Republic of Korea",S5532)),"South Korea",
ISNUMBER(SEARCH("Cape Verde",S5532)),"Cabo Verde",
ISNUMBER(SEARCH("Czechia",S5532)),"Czech Republic",
ISNUMBER(SEARCH("Türkiye",S5532)),"Turkey",
ISNUMBER(SEARCH("Ivory Coast",S5532)),"Côte d'Ivoire",
ISNUMBER(SEARCH("Korea Republic",S5532)),"South Korea",
ISNUMBER(SEARCH("Germany FR",S5532)),"FR Germany",
ISNUMBER(SEARCH("West Germany",S5532)),"FR Germany",
ISNUMBER(SEARCH("Germany DR",S5532)),"DR Germany",
ISNUMBER(SEARCH("Korea DPR",S5532)),"North Korea",
ISNUMBER(SEARCH("China PR",S5532)),"China",
ISNUMBER(SEARCH("IR Iran",S5532)),"Iran",
ISNUMBER(SEARCH("Congo DR",S5532)),"Democratic Republic of the Congo",
ISNUMBER(SEARCH("DR Congo",S5532)),"Democratic Republic of the Congo",
ISNUMBER(SEARCH("German DR",S5532)),"DR Germany",
ISNUMBER(SEARCH("rn""&gt;United Arab Emirates",S5532)),"United Arab Emirates",
ISNUMBER(SEARCH("rn""&gt;Republic of Ireland",S5532)),"Ireland",
ISNUMBER(SEARCH("rn""&gt;Bosnia and Herzegovina",S5532)),"Bosnia and Herzegovina",
ISNUMBER(SEARCH("rn""&gt;Trinidad and Tobago",S5532)),"Trinidad and Tobago",
ISNUMBER(SEARCH("rn""&gt;Serbia and Montenegro",S5532)),"Serbia and Montenegro",
ISNUMBER(SEARCH(_xlfn.UNICHAR(65533),S5532)),"Côte d'Ivoire",
TRUE,"-"
)</f>
        <v>-</v>
      </c>
      <c r="W5532" s="42" t="str">
        <f t="shared" si="333"/>
        <v>-</v>
      </c>
    </row>
    <row r="5533" spans="19:23">
      <c r="S5533" s="42" t="str">
        <v/>
      </c>
      <c r="T5533" s="42" t="str">
        <f t="shared" si="331"/>
        <v>-</v>
      </c>
      <c r="U5533" s="40" t="str">
        <f t="shared" si="332"/>
        <v>-</v>
      </c>
      <c r="V5533" s="42" t="str" cm="1">
        <f t="array" ref="V5533">_xlfn.IFS(
LEFT(S5533,16)="win on penalties",IF(VALUE(MID(S5533,19,1))&gt;VALUE(MID(S5533,23,1)),DATA_CLEANED!AK1047,DATA_CLEANED!AN1047),
ISNUMBER(SEARCH("USA",S5533)),"United States",
ISNUMBER(SEARCH("Republic of Ireland",S5533)),"Ireland",
ISNUMBER(SEARCH("Republic of Korea",S5533)),"South Korea",
ISNUMBER(SEARCH("Cape Verde",S5533)),"Cabo Verde",
ISNUMBER(SEARCH("Czechia",S5533)),"Czech Republic",
ISNUMBER(SEARCH("Türkiye",S5533)),"Turkey",
ISNUMBER(SEARCH("Ivory Coast",S5533)),"Côte d'Ivoire",
ISNUMBER(SEARCH("Korea Republic",S5533)),"South Korea",
ISNUMBER(SEARCH("Germany FR",S5533)),"FR Germany",
ISNUMBER(SEARCH("West Germany",S5533)),"FR Germany",
ISNUMBER(SEARCH("Germany DR",S5533)),"DR Germany",
ISNUMBER(SEARCH("Korea DPR",S5533)),"North Korea",
ISNUMBER(SEARCH("China PR",S5533)),"China",
ISNUMBER(SEARCH("IR Iran",S5533)),"Iran",
ISNUMBER(SEARCH("Congo DR",S5533)),"Democratic Republic of the Congo",
ISNUMBER(SEARCH("DR Congo",S5533)),"Democratic Republic of the Congo",
ISNUMBER(SEARCH("German DR",S5533)),"DR Germany",
ISNUMBER(SEARCH("rn""&gt;United Arab Emirates",S5533)),"United Arab Emirates",
ISNUMBER(SEARCH("rn""&gt;Republic of Ireland",S5533)),"Ireland",
ISNUMBER(SEARCH("rn""&gt;Bosnia and Herzegovina",S5533)),"Bosnia and Herzegovina",
ISNUMBER(SEARCH("rn""&gt;Trinidad and Tobago",S5533)),"Trinidad and Tobago",
ISNUMBER(SEARCH("rn""&gt;Serbia and Montenegro",S5533)),"Serbia and Montenegro",
ISNUMBER(SEARCH(_xlfn.UNICHAR(65533),S5533)),"Côte d'Ivoire",
TRUE,"-"
)</f>
        <v>-</v>
      </c>
      <c r="W5533" s="42" t="str">
        <f t="shared" si="333"/>
        <v>-</v>
      </c>
    </row>
    <row r="5534" spans="19:23">
      <c r="S5534" s="42" t="str">
        <v/>
      </c>
      <c r="T5534" s="42" t="str">
        <f t="shared" si="331"/>
        <v>-</v>
      </c>
      <c r="U5534" s="40" t="str">
        <f t="shared" si="332"/>
        <v>-</v>
      </c>
      <c r="V5534" s="42" t="str" cm="1">
        <f t="array" ref="V5534">_xlfn.IFS(
LEFT(S5534,16)="win on penalties",IF(VALUE(MID(S5534,19,1))&gt;VALUE(MID(S5534,23,1)),DATA_CLEANED!AK1048,DATA_CLEANED!AN1048),
ISNUMBER(SEARCH("USA",S5534)),"United States",
ISNUMBER(SEARCH("Republic of Ireland",S5534)),"Ireland",
ISNUMBER(SEARCH("Republic of Korea",S5534)),"South Korea",
ISNUMBER(SEARCH("Cape Verde",S5534)),"Cabo Verde",
ISNUMBER(SEARCH("Czechia",S5534)),"Czech Republic",
ISNUMBER(SEARCH("Türkiye",S5534)),"Turkey",
ISNUMBER(SEARCH("Ivory Coast",S5534)),"Côte d'Ivoire",
ISNUMBER(SEARCH("Korea Republic",S5534)),"South Korea",
ISNUMBER(SEARCH("Germany FR",S5534)),"FR Germany",
ISNUMBER(SEARCH("West Germany",S5534)),"FR Germany",
ISNUMBER(SEARCH("Germany DR",S5534)),"DR Germany",
ISNUMBER(SEARCH("Korea DPR",S5534)),"North Korea",
ISNUMBER(SEARCH("China PR",S5534)),"China",
ISNUMBER(SEARCH("IR Iran",S5534)),"Iran",
ISNUMBER(SEARCH("Congo DR",S5534)),"Democratic Republic of the Congo",
ISNUMBER(SEARCH("DR Congo",S5534)),"Democratic Republic of the Congo",
ISNUMBER(SEARCH("German DR",S5534)),"DR Germany",
ISNUMBER(SEARCH("rn""&gt;United Arab Emirates",S5534)),"United Arab Emirates",
ISNUMBER(SEARCH("rn""&gt;Republic of Ireland",S5534)),"Ireland",
ISNUMBER(SEARCH("rn""&gt;Bosnia and Herzegovina",S5534)),"Bosnia and Herzegovina",
ISNUMBER(SEARCH("rn""&gt;Trinidad and Tobago",S5534)),"Trinidad and Tobago",
ISNUMBER(SEARCH("rn""&gt;Serbia and Montenegro",S5534)),"Serbia and Montenegro",
ISNUMBER(SEARCH(_xlfn.UNICHAR(65533),S5534)),"Côte d'Ivoire",
TRUE,"-"
)</f>
        <v>-</v>
      </c>
      <c r="W5534" s="42" t="str">
        <f t="shared" si="333"/>
        <v>-</v>
      </c>
    </row>
    <row r="5535" spans="19:23">
      <c r="S5535" s="42" t="str">
        <v/>
      </c>
      <c r="T5535" s="42" t="str">
        <f t="shared" si="331"/>
        <v>-</v>
      </c>
      <c r="U5535" s="40" t="str">
        <f t="shared" si="332"/>
        <v>-</v>
      </c>
      <c r="V5535" s="42" t="str" cm="1">
        <f t="array" ref="V5535">_xlfn.IFS(
LEFT(S5535,16)="win on penalties",IF(VALUE(MID(S5535,19,1))&gt;VALUE(MID(S5535,23,1)),DATA_CLEANED!AK1049,DATA_CLEANED!AN1049),
ISNUMBER(SEARCH("USA",S5535)),"United States",
ISNUMBER(SEARCH("Republic of Ireland",S5535)),"Ireland",
ISNUMBER(SEARCH("Republic of Korea",S5535)),"South Korea",
ISNUMBER(SEARCH("Cape Verde",S5535)),"Cabo Verde",
ISNUMBER(SEARCH("Czechia",S5535)),"Czech Republic",
ISNUMBER(SEARCH("Türkiye",S5535)),"Turkey",
ISNUMBER(SEARCH("Ivory Coast",S5535)),"Côte d'Ivoire",
ISNUMBER(SEARCH("Korea Republic",S5535)),"South Korea",
ISNUMBER(SEARCH("Germany FR",S5535)),"FR Germany",
ISNUMBER(SEARCH("West Germany",S5535)),"FR Germany",
ISNUMBER(SEARCH("Germany DR",S5535)),"DR Germany",
ISNUMBER(SEARCH("Korea DPR",S5535)),"North Korea",
ISNUMBER(SEARCH("China PR",S5535)),"China",
ISNUMBER(SEARCH("IR Iran",S5535)),"Iran",
ISNUMBER(SEARCH("Congo DR",S5535)),"Democratic Republic of the Congo",
ISNUMBER(SEARCH("DR Congo",S5535)),"Democratic Republic of the Congo",
ISNUMBER(SEARCH("German DR",S5535)),"DR Germany",
ISNUMBER(SEARCH("rn""&gt;United Arab Emirates",S5535)),"United Arab Emirates",
ISNUMBER(SEARCH("rn""&gt;Republic of Ireland",S5535)),"Ireland",
ISNUMBER(SEARCH("rn""&gt;Bosnia and Herzegovina",S5535)),"Bosnia and Herzegovina",
ISNUMBER(SEARCH("rn""&gt;Trinidad and Tobago",S5535)),"Trinidad and Tobago",
ISNUMBER(SEARCH("rn""&gt;Serbia and Montenegro",S5535)),"Serbia and Montenegro",
ISNUMBER(SEARCH(_xlfn.UNICHAR(65533),S5535)),"Côte d'Ivoire",
TRUE,"-"
)</f>
        <v>-</v>
      </c>
      <c r="W5535" s="42" t="str">
        <f t="shared" si="333"/>
        <v>-</v>
      </c>
    </row>
    <row r="5536" spans="19:23">
      <c r="S5536" s="42" t="str">
        <v/>
      </c>
      <c r="T5536" s="42" t="str">
        <f t="shared" si="331"/>
        <v>-</v>
      </c>
      <c r="U5536" s="40" t="str">
        <f t="shared" si="332"/>
        <v>-</v>
      </c>
      <c r="V5536" s="42" t="str" cm="1">
        <f t="array" ref="V5536">_xlfn.IFS(
LEFT(S5536,16)="win on penalties",IF(VALUE(MID(S5536,19,1))&gt;VALUE(MID(S5536,23,1)),DATA_CLEANED!AK1050,DATA_CLEANED!AN1050),
ISNUMBER(SEARCH("USA",S5536)),"United States",
ISNUMBER(SEARCH("Republic of Ireland",S5536)),"Ireland",
ISNUMBER(SEARCH("Republic of Korea",S5536)),"South Korea",
ISNUMBER(SEARCH("Cape Verde",S5536)),"Cabo Verde",
ISNUMBER(SEARCH("Czechia",S5536)),"Czech Republic",
ISNUMBER(SEARCH("Türkiye",S5536)),"Turkey",
ISNUMBER(SEARCH("Ivory Coast",S5536)),"Côte d'Ivoire",
ISNUMBER(SEARCH("Korea Republic",S5536)),"South Korea",
ISNUMBER(SEARCH("Germany FR",S5536)),"FR Germany",
ISNUMBER(SEARCH("West Germany",S5536)),"FR Germany",
ISNUMBER(SEARCH("Germany DR",S5536)),"DR Germany",
ISNUMBER(SEARCH("Korea DPR",S5536)),"North Korea",
ISNUMBER(SEARCH("China PR",S5536)),"China",
ISNUMBER(SEARCH("IR Iran",S5536)),"Iran",
ISNUMBER(SEARCH("Congo DR",S5536)),"Democratic Republic of the Congo",
ISNUMBER(SEARCH("DR Congo",S5536)),"Democratic Republic of the Congo",
ISNUMBER(SEARCH("German DR",S5536)),"DR Germany",
ISNUMBER(SEARCH("rn""&gt;United Arab Emirates",S5536)),"United Arab Emirates",
ISNUMBER(SEARCH("rn""&gt;Republic of Ireland",S5536)),"Ireland",
ISNUMBER(SEARCH("rn""&gt;Bosnia and Herzegovina",S5536)),"Bosnia and Herzegovina",
ISNUMBER(SEARCH("rn""&gt;Trinidad and Tobago",S5536)),"Trinidad and Tobago",
ISNUMBER(SEARCH("rn""&gt;Serbia and Montenegro",S5536)),"Serbia and Montenegro",
ISNUMBER(SEARCH(_xlfn.UNICHAR(65533),S5536)),"Côte d'Ivoire",
TRUE,"-"
)</f>
        <v>-</v>
      </c>
      <c r="W5536" s="42" t="str">
        <f t="shared" si="333"/>
        <v>-</v>
      </c>
    </row>
    <row r="5537" spans="19:23">
      <c r="S5537" s="42" t="str">
        <v/>
      </c>
      <c r="T5537" s="42" t="str">
        <f t="shared" si="331"/>
        <v>-</v>
      </c>
      <c r="U5537" s="40" t="str">
        <f t="shared" si="332"/>
        <v>-</v>
      </c>
      <c r="V5537" s="42" t="str" cm="1">
        <f t="array" ref="V5537">_xlfn.IFS(
LEFT(S5537,16)="win on penalties",IF(VALUE(MID(S5537,19,1))&gt;VALUE(MID(S5537,23,1)),DATA_CLEANED!AK1051,DATA_CLEANED!AN1051),
ISNUMBER(SEARCH("USA",S5537)),"United States",
ISNUMBER(SEARCH("Republic of Ireland",S5537)),"Ireland",
ISNUMBER(SEARCH("Republic of Korea",S5537)),"South Korea",
ISNUMBER(SEARCH("Cape Verde",S5537)),"Cabo Verde",
ISNUMBER(SEARCH("Czechia",S5537)),"Czech Republic",
ISNUMBER(SEARCH("Türkiye",S5537)),"Turkey",
ISNUMBER(SEARCH("Ivory Coast",S5537)),"Côte d'Ivoire",
ISNUMBER(SEARCH("Korea Republic",S5537)),"South Korea",
ISNUMBER(SEARCH("Germany FR",S5537)),"FR Germany",
ISNUMBER(SEARCH("West Germany",S5537)),"FR Germany",
ISNUMBER(SEARCH("Germany DR",S5537)),"DR Germany",
ISNUMBER(SEARCH("Korea DPR",S5537)),"North Korea",
ISNUMBER(SEARCH("China PR",S5537)),"China",
ISNUMBER(SEARCH("IR Iran",S5537)),"Iran",
ISNUMBER(SEARCH("Congo DR",S5537)),"Democratic Republic of the Congo",
ISNUMBER(SEARCH("DR Congo",S5537)),"Democratic Republic of the Congo",
ISNUMBER(SEARCH("German DR",S5537)),"DR Germany",
ISNUMBER(SEARCH("rn""&gt;United Arab Emirates",S5537)),"United Arab Emirates",
ISNUMBER(SEARCH("rn""&gt;Republic of Ireland",S5537)),"Ireland",
ISNUMBER(SEARCH("rn""&gt;Bosnia and Herzegovina",S5537)),"Bosnia and Herzegovina",
ISNUMBER(SEARCH("rn""&gt;Trinidad and Tobago",S5537)),"Trinidad and Tobago",
ISNUMBER(SEARCH("rn""&gt;Serbia and Montenegro",S5537)),"Serbia and Montenegro",
ISNUMBER(SEARCH(_xlfn.UNICHAR(65533),S5537)),"Côte d'Ivoire",
TRUE,"-"
)</f>
        <v>-</v>
      </c>
      <c r="W5537" s="42" t="str">
        <f t="shared" si="333"/>
        <v>-</v>
      </c>
    </row>
    <row r="5538" spans="19:23">
      <c r="S5538" s="42" t="str">
        <v>Switzerland win on penalties (4 - 3)</v>
      </c>
      <c r="T5538" s="42" t="str">
        <f t="shared" si="331"/>
        <v>Switzerland</v>
      </c>
      <c r="U5538" s="40" t="str">
        <f t="shared" si="332"/>
        <v>AUCUNE</v>
      </c>
      <c r="V5538" s="42" t="str" cm="1">
        <f t="array" ref="V5538">_xlfn.IFS(
LEFT(S5538,16)="win on penalties",IF(VALUE(MID(S5538,19,1))&gt;VALUE(MID(S5538,23,1)),DATA_CLEANED!AK1052,DATA_CLEANED!AN1052),
ISNUMBER(SEARCH("USA",S5538)),"United States",
ISNUMBER(SEARCH("Republic of Ireland",S5538)),"Ireland",
ISNUMBER(SEARCH("Republic of Korea",S5538)),"South Korea",
ISNUMBER(SEARCH("Cape Verde",S5538)),"Cabo Verde",
ISNUMBER(SEARCH("Czechia",S5538)),"Czech Republic",
ISNUMBER(SEARCH("Türkiye",S5538)),"Turkey",
ISNUMBER(SEARCH("Ivory Coast",S5538)),"Côte d'Ivoire",
ISNUMBER(SEARCH("Korea Republic",S5538)),"South Korea",
ISNUMBER(SEARCH("Germany FR",S5538)),"FR Germany",
ISNUMBER(SEARCH("West Germany",S5538)),"FR Germany",
ISNUMBER(SEARCH("Germany DR",S5538)),"DR Germany",
ISNUMBER(SEARCH("Korea DPR",S5538)),"North Korea",
ISNUMBER(SEARCH("China PR",S5538)),"China",
ISNUMBER(SEARCH("IR Iran",S5538)),"Iran",
ISNUMBER(SEARCH("Congo DR",S5538)),"Democratic Republic of the Congo",
ISNUMBER(SEARCH("DR Congo",S5538)),"Democratic Republic of the Congo",
ISNUMBER(SEARCH("German DR",S5538)),"DR Germany",
ISNUMBER(SEARCH("rn""&gt;United Arab Emirates",S5538)),"United Arab Emirates",
ISNUMBER(SEARCH("rn""&gt;Republic of Ireland",S5538)),"Ireland",
ISNUMBER(SEARCH("rn""&gt;Bosnia and Herzegovina",S5538)),"Bosnia and Herzegovina",
ISNUMBER(SEARCH("rn""&gt;Trinidad and Tobago",S5538)),"Trinidad and Tobago",
ISNUMBER(SEARCH("rn""&gt;Serbia and Montenegro",S5538)),"Serbia and Montenegro",
ISNUMBER(SEARCH(_xlfn.UNICHAR(65533),S5538)),"Côte d'Ivoire",
TRUE,"-"
)</f>
        <v>-</v>
      </c>
      <c r="W5538" s="42" t="str">
        <f t="shared" si="333"/>
        <v>Switzerland win on penalties (4 - 3)</v>
      </c>
    </row>
    <row r="5539" spans="19:23">
      <c r="S5539" s="42" t="str">
        <v/>
      </c>
      <c r="T5539" s="42" t="str">
        <f t="shared" si="331"/>
        <v>-</v>
      </c>
      <c r="U5539" s="40" t="str">
        <f t="shared" si="332"/>
        <v>-</v>
      </c>
      <c r="V5539" s="42" t="str" cm="1">
        <f t="array" ref="V5539">_xlfn.IFS(
LEFT(S5539,16)="win on penalties",IF(VALUE(MID(S5539,19,1))&gt;VALUE(MID(S5539,23,1)),DATA_CLEANED!AK1053,DATA_CLEANED!AN1053),
ISNUMBER(SEARCH("USA",S5539)),"United States",
ISNUMBER(SEARCH("Republic of Ireland",S5539)),"Ireland",
ISNUMBER(SEARCH("Republic of Korea",S5539)),"South Korea",
ISNUMBER(SEARCH("Cape Verde",S5539)),"Cabo Verde",
ISNUMBER(SEARCH("Czechia",S5539)),"Czech Republic",
ISNUMBER(SEARCH("Türkiye",S5539)),"Turkey",
ISNUMBER(SEARCH("Ivory Coast",S5539)),"Côte d'Ivoire",
ISNUMBER(SEARCH("Korea Republic",S5539)),"South Korea",
ISNUMBER(SEARCH("Germany FR",S5539)),"FR Germany",
ISNUMBER(SEARCH("West Germany",S5539)),"FR Germany",
ISNUMBER(SEARCH("Germany DR",S5539)),"DR Germany",
ISNUMBER(SEARCH("Korea DPR",S5539)),"North Korea",
ISNUMBER(SEARCH("China PR",S5539)),"China",
ISNUMBER(SEARCH("IR Iran",S5539)),"Iran",
ISNUMBER(SEARCH("Congo DR",S5539)),"Democratic Republic of the Congo",
ISNUMBER(SEARCH("DR Congo",S5539)),"Democratic Republic of the Congo",
ISNUMBER(SEARCH("German DR",S5539)),"DR Germany",
ISNUMBER(SEARCH("rn""&gt;United Arab Emirates",S5539)),"United Arab Emirates",
ISNUMBER(SEARCH("rn""&gt;Republic of Ireland",S5539)),"Ireland",
ISNUMBER(SEARCH("rn""&gt;Bosnia and Herzegovina",S5539)),"Bosnia and Herzegovina",
ISNUMBER(SEARCH("rn""&gt;Trinidad and Tobago",S5539)),"Trinidad and Tobago",
ISNUMBER(SEARCH("rn""&gt;Serbia and Montenegro",S5539)),"Serbia and Montenegro",
ISNUMBER(SEARCH(_xlfn.UNICHAR(65533),S5539)),"Côte d'Ivoire",
TRUE,"-"
)</f>
        <v>-</v>
      </c>
      <c r="W5539" s="42" t="str">
        <f t="shared" si="333"/>
        <v>-</v>
      </c>
    </row>
    <row r="5540" spans="19:23">
      <c r="S5540" s="42" t="str">
        <v/>
      </c>
      <c r="T5540" s="42" t="str">
        <f t="shared" si="331"/>
        <v>-</v>
      </c>
      <c r="U5540" s="40" t="str">
        <f t="shared" si="332"/>
        <v>-</v>
      </c>
      <c r="V5540" s="42" t="str" cm="1">
        <f t="array" ref="V5540">_xlfn.IFS(
LEFT(S5540,16)="win on penalties",IF(VALUE(MID(S5540,19,1))&gt;VALUE(MID(S5540,23,1)),DATA_CLEANED!AK1054,DATA_CLEANED!AN1054),
ISNUMBER(SEARCH("USA",S5540)),"United States",
ISNUMBER(SEARCH("Republic of Ireland",S5540)),"Ireland",
ISNUMBER(SEARCH("Republic of Korea",S5540)),"South Korea",
ISNUMBER(SEARCH("Cape Verde",S5540)),"Cabo Verde",
ISNUMBER(SEARCH("Czechia",S5540)),"Czech Republic",
ISNUMBER(SEARCH("Türkiye",S5540)),"Turkey",
ISNUMBER(SEARCH("Ivory Coast",S5540)),"Côte d'Ivoire",
ISNUMBER(SEARCH("Korea Republic",S5540)),"South Korea",
ISNUMBER(SEARCH("Germany FR",S5540)),"FR Germany",
ISNUMBER(SEARCH("West Germany",S5540)),"FR Germany",
ISNUMBER(SEARCH("Germany DR",S5540)),"DR Germany",
ISNUMBER(SEARCH("Korea DPR",S5540)),"North Korea",
ISNUMBER(SEARCH("China PR",S5540)),"China",
ISNUMBER(SEARCH("IR Iran",S5540)),"Iran",
ISNUMBER(SEARCH("Congo DR",S5540)),"Democratic Republic of the Congo",
ISNUMBER(SEARCH("DR Congo",S5540)),"Democratic Republic of the Congo",
ISNUMBER(SEARCH("German DR",S5540)),"DR Germany",
ISNUMBER(SEARCH("rn""&gt;United Arab Emirates",S5540)),"United Arab Emirates",
ISNUMBER(SEARCH("rn""&gt;Republic of Ireland",S5540)),"Ireland",
ISNUMBER(SEARCH("rn""&gt;Bosnia and Herzegovina",S5540)),"Bosnia and Herzegovina",
ISNUMBER(SEARCH("rn""&gt;Trinidad and Tobago",S5540)),"Trinidad and Tobago",
ISNUMBER(SEARCH("rn""&gt;Serbia and Montenegro",S5540)),"Serbia and Montenegro",
ISNUMBER(SEARCH(_xlfn.UNICHAR(65533),S5540)),"Côte d'Ivoire",
TRUE,"-"
)</f>
        <v>-</v>
      </c>
      <c r="W5540" s="42" t="str">
        <f t="shared" si="333"/>
        <v>-</v>
      </c>
    </row>
    <row r="5541" spans="19:23">
      <c r="S5541" s="42" t="str">
        <v>England win after extra time</v>
      </c>
      <c r="T5541" s="42" t="str">
        <f t="shared" si="331"/>
        <v>England</v>
      </c>
      <c r="U5541" s="40" t="str">
        <f t="shared" si="332"/>
        <v>AUCUNE</v>
      </c>
      <c r="V5541" s="42" t="str" cm="1">
        <f t="array" ref="V5541">_xlfn.IFS(
LEFT(S5541,16)="win on penalties",IF(VALUE(MID(S5541,19,1))&gt;VALUE(MID(S5541,23,1)),DATA_CLEANED!AK1055,DATA_CLEANED!AN1055),
ISNUMBER(SEARCH("USA",S5541)),"United States",
ISNUMBER(SEARCH("Republic of Ireland",S5541)),"Ireland",
ISNUMBER(SEARCH("Republic of Korea",S5541)),"South Korea",
ISNUMBER(SEARCH("Cape Verde",S5541)),"Cabo Verde",
ISNUMBER(SEARCH("Czechia",S5541)),"Czech Republic",
ISNUMBER(SEARCH("Türkiye",S5541)),"Turkey",
ISNUMBER(SEARCH("Ivory Coast",S5541)),"Côte d'Ivoire",
ISNUMBER(SEARCH("Korea Republic",S5541)),"South Korea",
ISNUMBER(SEARCH("Germany FR",S5541)),"FR Germany",
ISNUMBER(SEARCH("West Germany",S5541)),"FR Germany",
ISNUMBER(SEARCH("Germany DR",S5541)),"DR Germany",
ISNUMBER(SEARCH("Korea DPR",S5541)),"North Korea",
ISNUMBER(SEARCH("China PR",S5541)),"China",
ISNUMBER(SEARCH("IR Iran",S5541)),"Iran",
ISNUMBER(SEARCH("Congo DR",S5541)),"Democratic Republic of the Congo",
ISNUMBER(SEARCH("DR Congo",S5541)),"Democratic Republic of the Congo",
ISNUMBER(SEARCH("German DR",S5541)),"DR Germany",
ISNUMBER(SEARCH("rn""&gt;United Arab Emirates",S5541)),"United Arab Emirates",
ISNUMBER(SEARCH("rn""&gt;Republic of Ireland",S5541)),"Ireland",
ISNUMBER(SEARCH("rn""&gt;Bosnia and Herzegovina",S5541)),"Bosnia and Herzegovina",
ISNUMBER(SEARCH("rn""&gt;Trinidad and Tobago",S5541)),"Trinidad and Tobago",
ISNUMBER(SEARCH("rn""&gt;Serbia and Montenegro",S5541)),"Serbia and Montenegro",
ISNUMBER(SEARCH(_xlfn.UNICHAR(65533),S5541)),"Côte d'Ivoire",
TRUE,"-"
)</f>
        <v>-</v>
      </c>
      <c r="W5541" s="42" t="str">
        <f t="shared" si="333"/>
        <v>England win after extra time</v>
      </c>
    </row>
    <row r="5542" spans="19:23">
      <c r="S5542" s="42" t="str">
        <v>Argentina win after extra time</v>
      </c>
      <c r="T5542" s="42" t="str">
        <f t="shared" si="331"/>
        <v>Argentina</v>
      </c>
      <c r="U5542" s="40" t="str">
        <f t="shared" si="332"/>
        <v>AUCUNE</v>
      </c>
      <c r="V5542" s="42" t="str" cm="1">
        <f t="array" ref="V5542">_xlfn.IFS(
LEFT(S5542,16)="win on penalties",IF(VALUE(MID(S5542,19,1))&gt;VALUE(MID(S5542,23,1)),DATA_CLEANED!AK1056,DATA_CLEANED!AN1056),
ISNUMBER(SEARCH("USA",S5542)),"United States",
ISNUMBER(SEARCH("Republic of Ireland",S5542)),"Ireland",
ISNUMBER(SEARCH("Republic of Korea",S5542)),"South Korea",
ISNUMBER(SEARCH("Cape Verde",S5542)),"Cabo Verde",
ISNUMBER(SEARCH("Czechia",S5542)),"Czech Republic",
ISNUMBER(SEARCH("Türkiye",S5542)),"Turkey",
ISNUMBER(SEARCH("Ivory Coast",S5542)),"Côte d'Ivoire",
ISNUMBER(SEARCH("Korea Republic",S5542)),"South Korea",
ISNUMBER(SEARCH("Germany FR",S5542)),"FR Germany",
ISNUMBER(SEARCH("West Germany",S5542)),"FR Germany",
ISNUMBER(SEARCH("Germany DR",S5542)),"DR Germany",
ISNUMBER(SEARCH("Korea DPR",S5542)),"North Korea",
ISNUMBER(SEARCH("China PR",S5542)),"China",
ISNUMBER(SEARCH("IR Iran",S5542)),"Iran",
ISNUMBER(SEARCH("Congo DR",S5542)),"Democratic Republic of the Congo",
ISNUMBER(SEARCH("DR Congo",S5542)),"Democratic Republic of the Congo",
ISNUMBER(SEARCH("German DR",S5542)),"DR Germany",
ISNUMBER(SEARCH("rn""&gt;United Arab Emirates",S5542)),"United Arab Emirates",
ISNUMBER(SEARCH("rn""&gt;Republic of Ireland",S5542)),"Ireland",
ISNUMBER(SEARCH("rn""&gt;Bosnia and Herzegovina",S5542)),"Bosnia and Herzegovina",
ISNUMBER(SEARCH("rn""&gt;Trinidad and Tobago",S5542)),"Trinidad and Tobago",
ISNUMBER(SEARCH("rn""&gt;Serbia and Montenegro",S5542)),"Serbia and Montenegro",
ISNUMBER(SEARCH(_xlfn.UNICHAR(65533),S5542)),"Côte d'Ivoire",
TRUE,"-"
)</f>
        <v>-</v>
      </c>
      <c r="W5542" s="42" t="str">
        <f t="shared" si="333"/>
        <v>Argentina win after extra time</v>
      </c>
    </row>
    <row r="5543" spans="19:23">
      <c r="S5543" s="42" t="str">
        <v/>
      </c>
      <c r="T5543" s="42" t="str">
        <f t="shared" si="331"/>
        <v>-</v>
      </c>
      <c r="U5543" s="40" t="str">
        <f t="shared" si="332"/>
        <v>-</v>
      </c>
      <c r="V5543" s="42" t="str" cm="1">
        <f t="array" ref="V5543">_xlfn.IFS(
LEFT(S5543,16)="win on penalties",IF(VALUE(MID(S5543,19,1))&gt;VALUE(MID(S5543,23,1)),DATA_CLEANED!AK1057,DATA_CLEANED!AN1057),
ISNUMBER(SEARCH("USA",S5543)),"United States",
ISNUMBER(SEARCH("Republic of Ireland",S5543)),"Ireland",
ISNUMBER(SEARCH("Republic of Korea",S5543)),"South Korea",
ISNUMBER(SEARCH("Cape Verde",S5543)),"Cabo Verde",
ISNUMBER(SEARCH("Czechia",S5543)),"Czech Republic",
ISNUMBER(SEARCH("Türkiye",S5543)),"Turkey",
ISNUMBER(SEARCH("Ivory Coast",S5543)),"Côte d'Ivoire",
ISNUMBER(SEARCH("Korea Republic",S5543)),"South Korea",
ISNUMBER(SEARCH("Germany FR",S5543)),"FR Germany",
ISNUMBER(SEARCH("West Germany",S5543)),"FR Germany",
ISNUMBER(SEARCH("Germany DR",S5543)),"DR Germany",
ISNUMBER(SEARCH("Korea DPR",S5543)),"North Korea",
ISNUMBER(SEARCH("China PR",S5543)),"China",
ISNUMBER(SEARCH("IR Iran",S5543)),"Iran",
ISNUMBER(SEARCH("Congo DR",S5543)),"Democratic Republic of the Congo",
ISNUMBER(SEARCH("DR Congo",S5543)),"Democratic Republic of the Congo",
ISNUMBER(SEARCH("German DR",S5543)),"DR Germany",
ISNUMBER(SEARCH("rn""&gt;United Arab Emirates",S5543)),"United Arab Emirates",
ISNUMBER(SEARCH("rn""&gt;Republic of Ireland",S5543)),"Ireland",
ISNUMBER(SEARCH("rn""&gt;Bosnia and Herzegovina",S5543)),"Bosnia and Herzegovina",
ISNUMBER(SEARCH("rn""&gt;Trinidad and Tobago",S5543)),"Trinidad and Tobago",
ISNUMBER(SEARCH("rn""&gt;Serbia and Montenegro",S5543)),"Serbia and Montenegro",
ISNUMBER(SEARCH(_xlfn.UNICHAR(65533),S5543)),"Côte d'Ivoire",
TRUE,"-"
)</f>
        <v>-</v>
      </c>
      <c r="W5543" s="42" t="str">
        <f t="shared" si="333"/>
        <v>-</v>
      </c>
    </row>
    <row r="5544" spans="19:23">
      <c r="S5544" s="42" t="str">
        <v/>
      </c>
      <c r="T5544" s="42" t="str">
        <f t="shared" si="331"/>
        <v>-</v>
      </c>
      <c r="U5544" s="40" t="str">
        <f t="shared" si="332"/>
        <v>-</v>
      </c>
      <c r="V5544" s="42" t="str" cm="1">
        <f t="array" ref="V5544">_xlfn.IFS(
LEFT(S5544,16)="win on penalties",IF(VALUE(MID(S5544,19,1))&gt;VALUE(MID(S5544,23,1)),DATA_CLEANED!AK1058,DATA_CLEANED!AN1058),
ISNUMBER(SEARCH("USA",S5544)),"United States",
ISNUMBER(SEARCH("Republic of Ireland",S5544)),"Ireland",
ISNUMBER(SEARCH("Republic of Korea",S5544)),"South Korea",
ISNUMBER(SEARCH("Cape Verde",S5544)),"Cabo Verde",
ISNUMBER(SEARCH("Czechia",S5544)),"Czech Republic",
ISNUMBER(SEARCH("Türkiye",S5544)),"Turkey",
ISNUMBER(SEARCH("Ivory Coast",S5544)),"Côte d'Ivoire",
ISNUMBER(SEARCH("Korea Republic",S5544)),"South Korea",
ISNUMBER(SEARCH("Germany FR",S5544)),"FR Germany",
ISNUMBER(SEARCH("West Germany",S5544)),"FR Germany",
ISNUMBER(SEARCH("Germany DR",S5544)),"DR Germany",
ISNUMBER(SEARCH("Korea DPR",S5544)),"North Korea",
ISNUMBER(SEARCH("China PR",S5544)),"China",
ISNUMBER(SEARCH("IR Iran",S5544)),"Iran",
ISNUMBER(SEARCH("Congo DR",S5544)),"Democratic Republic of the Congo",
ISNUMBER(SEARCH("DR Congo",S5544)),"Democratic Republic of the Congo",
ISNUMBER(SEARCH("German DR",S5544)),"DR Germany",
ISNUMBER(SEARCH("rn""&gt;United Arab Emirates",S5544)),"United Arab Emirates",
ISNUMBER(SEARCH("rn""&gt;Republic of Ireland",S5544)),"Ireland",
ISNUMBER(SEARCH("rn""&gt;Bosnia and Herzegovina",S5544)),"Bosnia and Herzegovina",
ISNUMBER(SEARCH("rn""&gt;Trinidad and Tobago",S5544)),"Trinidad and Tobago",
ISNUMBER(SEARCH("rn""&gt;Serbia and Montenegro",S5544)),"Serbia and Montenegro",
ISNUMBER(SEARCH(_xlfn.UNICHAR(65533),S5544)),"Côte d'Ivoire",
TRUE,"-"
)</f>
        <v>-</v>
      </c>
      <c r="W5544" s="42" t="str">
        <f t="shared" si="333"/>
        <v>-</v>
      </c>
    </row>
    <row r="5545" spans="19:23">
      <c r="S5545" s="42" t="str">
        <v/>
      </c>
      <c r="T5545" s="42" t="str">
        <f t="shared" si="331"/>
        <v>-</v>
      </c>
      <c r="U5545" s="40" t="str">
        <f t="shared" si="332"/>
        <v>-</v>
      </c>
      <c r="V5545" s="42" t="str" cm="1">
        <f t="array" ref="V5545">_xlfn.IFS(
LEFT(S5545,16)="win on penalties",IF(VALUE(MID(S5545,19,1))&gt;VALUE(MID(S5545,23,1)),DATA_CLEANED!AK1059,DATA_CLEANED!AN1059),
ISNUMBER(SEARCH("USA",S5545)),"United States",
ISNUMBER(SEARCH("Republic of Ireland",S5545)),"Ireland",
ISNUMBER(SEARCH("Republic of Korea",S5545)),"South Korea",
ISNUMBER(SEARCH("Cape Verde",S5545)),"Cabo Verde",
ISNUMBER(SEARCH("Czechia",S5545)),"Czech Republic",
ISNUMBER(SEARCH("Türkiye",S5545)),"Turkey",
ISNUMBER(SEARCH("Ivory Coast",S5545)),"Côte d'Ivoire",
ISNUMBER(SEARCH("Korea Republic",S5545)),"South Korea",
ISNUMBER(SEARCH("Germany FR",S5545)),"FR Germany",
ISNUMBER(SEARCH("West Germany",S5545)),"FR Germany",
ISNUMBER(SEARCH("Germany DR",S5545)),"DR Germany",
ISNUMBER(SEARCH("Korea DPR",S5545)),"North Korea",
ISNUMBER(SEARCH("China PR",S5545)),"China",
ISNUMBER(SEARCH("IR Iran",S5545)),"Iran",
ISNUMBER(SEARCH("Congo DR",S5545)),"Democratic Republic of the Congo",
ISNUMBER(SEARCH("DR Congo",S5545)),"Democratic Republic of the Congo",
ISNUMBER(SEARCH("German DR",S5545)),"DR Germany",
ISNUMBER(SEARCH("rn""&gt;United Arab Emirates",S5545)),"United Arab Emirates",
ISNUMBER(SEARCH("rn""&gt;Republic of Ireland",S5545)),"Ireland",
ISNUMBER(SEARCH("rn""&gt;Bosnia and Herzegovina",S5545)),"Bosnia and Herzegovina",
ISNUMBER(SEARCH("rn""&gt;Trinidad and Tobago",S5545)),"Trinidad and Tobago",
ISNUMBER(SEARCH("rn""&gt;Serbia and Montenegro",S5545)),"Serbia and Montenegro",
ISNUMBER(SEARCH(_xlfn.UNICHAR(65533),S5545)),"Côte d'Ivoire",
TRUE,"-"
)</f>
        <v>-</v>
      </c>
      <c r="W5545" s="42" t="str">
        <f t="shared" si="333"/>
        <v>-</v>
      </c>
    </row>
    <row r="5546" spans="19:23">
      <c r="S5546" s="42" t="str">
        <v>Spain win after extra time</v>
      </c>
      <c r="T5546" s="42" t="str">
        <f t="shared" si="331"/>
        <v>Spain</v>
      </c>
      <c r="U5546" s="40" t="str">
        <f t="shared" si="332"/>
        <v>AUCUNE</v>
      </c>
      <c r="V5546" s="42" t="str" cm="1">
        <f t="array" ref="V5546">_xlfn.IFS(
LEFT(S5546,16)="win on penalties",IF(VALUE(MID(S5546,19,1))&gt;VALUE(MID(S5546,23,1)),DATA_CLEANED!AK1060,DATA_CLEANED!AN1060),
ISNUMBER(SEARCH("USA",S5546)),"United States",
ISNUMBER(SEARCH("Republic of Ireland",S5546)),"Ireland",
ISNUMBER(SEARCH("Republic of Korea",S5546)),"South Korea",
ISNUMBER(SEARCH("Cape Verde",S5546)),"Cabo Verde",
ISNUMBER(SEARCH("Czechia",S5546)),"Czech Republic",
ISNUMBER(SEARCH("Türkiye",S5546)),"Turkey",
ISNUMBER(SEARCH("Ivory Coast",S5546)),"Côte d'Ivoire",
ISNUMBER(SEARCH("Korea Republic",S5546)),"South Korea",
ISNUMBER(SEARCH("Germany FR",S5546)),"FR Germany",
ISNUMBER(SEARCH("West Germany",S5546)),"FR Germany",
ISNUMBER(SEARCH("Germany DR",S5546)),"DR Germany",
ISNUMBER(SEARCH("Korea DPR",S5546)),"North Korea",
ISNUMBER(SEARCH("China PR",S5546)),"China",
ISNUMBER(SEARCH("IR Iran",S5546)),"Iran",
ISNUMBER(SEARCH("Congo DR",S5546)),"Democratic Republic of the Congo",
ISNUMBER(SEARCH("DR Congo",S5546)),"Democratic Republic of the Congo",
ISNUMBER(SEARCH("German DR",S5546)),"DR Germany",
ISNUMBER(SEARCH("rn""&gt;United Arab Emirates",S5546)),"United Arab Emirates",
ISNUMBER(SEARCH("rn""&gt;Republic of Ireland",S5546)),"Ireland",
ISNUMBER(SEARCH("rn""&gt;Bosnia and Herzegovina",S5546)),"Bosnia and Herzegovina",
ISNUMBER(SEARCH("rn""&gt;Trinidad and Tobago",S5546)),"Trinidad and Tobago",
ISNUMBER(SEARCH("rn""&gt;Serbia and Montenegro",S5546)),"Serbia and Montenegro",
ISNUMBER(SEARCH(_xlfn.UNICHAR(65533),S5546)),"Côte d'Ivoire",
TRUE,"-"
)</f>
        <v>-</v>
      </c>
      <c r="W5546" s="42" t="str">
        <f t="shared" si="333"/>
        <v>Spain win after extra time</v>
      </c>
    </row>
    <row r="5580" spans="26:26">
      <c r="Z5580" t="str">
        <f>SUBSTITUTE(W5550,"win on penalties","")</f>
        <v/>
      </c>
    </row>
    <row r="5582" spans="26:26">
      <c r="Z5582" t="str">
        <f>MID(W5550,20,1)</f>
        <v/>
      </c>
    </row>
  </sheetData>
  <mergeCells count="17">
    <mergeCell ref="B1687:K1687"/>
    <mergeCell ref="C3:D3"/>
    <mergeCell ref="B10:D10"/>
    <mergeCell ref="B29:H29"/>
    <mergeCell ref="B81:P81"/>
    <mergeCell ref="B30:H30"/>
    <mergeCell ref="B436:H436"/>
    <mergeCell ref="Z29:AC29"/>
    <mergeCell ref="AA17:AA22"/>
    <mergeCell ref="AS11:AU11"/>
    <mergeCell ref="R3:S3"/>
    <mergeCell ref="BK3:BL3"/>
    <mergeCell ref="AY3:AZ3"/>
    <mergeCell ref="BE3:BF3"/>
    <mergeCell ref="AS3:AT3"/>
    <mergeCell ref="AE3:AF3"/>
    <mergeCell ref="Z3:AA3"/>
  </mergeCells>
  <conditionalFormatting sqref="AY11:BC71">
    <cfRule type="expression" dxfId="17" priority="3">
      <formula>MOD(ROW(),2)=0</formula>
    </cfRule>
  </conditionalFormatting>
  <conditionalFormatting sqref="BE11:BI1069">
    <cfRule type="expression" dxfId="16" priority="4">
      <formula>MOD(ROW(),2)=0</formula>
    </cfRule>
  </conditionalFormatting>
  <conditionalFormatting sqref="BK11">
    <cfRule type="expression" dxfId="15" priority="2">
      <formula>MOD(ROW(),2)=0</formula>
    </cfRule>
  </conditionalFormatting>
  <conditionalFormatting sqref="BK12:BN34">
    <cfRule type="expression" dxfId="14" priority="1">
      <formula>MOD(ROW(),2)=0</formula>
    </cfRule>
  </conditionalFormatting>
  <hyperlinks>
    <hyperlink ref="C1" location="DATA_QUALITE!C3" display="DOUBLONS" xr:uid="{08B06075-9B33-40B0-A6C1-D92353DEB636}"/>
    <hyperlink ref="D1" location="DATA_QUALITE!R3" display="NOM DE PAYS" xr:uid="{BD1646B0-319F-449F-A753-C11707EC582F}"/>
    <hyperlink ref="R4" location="DATA_QUALITE!S11" display="Dataset : 2026_Team_ Summaries" xr:uid="{2E710285-01EA-476B-B673-2E4C36A9735A}"/>
    <hyperlink ref="R5" location="DATA_QUALITE!S61" display="Dataset : Penalty Shootouts (1982-2026)" xr:uid="{671F44EA-1662-447C-84F8-8DCF1EFE8C66}"/>
    <hyperlink ref="R6" location="DATA_QUALITE!S1119" display="Dataset : 2026 Squads" xr:uid="{494ACDF9-76B0-4A79-BF71-626907704054}"/>
    <hyperlink ref="R7" location="DATA_QUALITE!S2369" display="Dataset : Matches (1930-2026)" xr:uid="{337C7FD5-95B4-46F8-A430-D117A694E6EC}"/>
    <hyperlink ref="C4" location="DATA_QUALITE!B30" display="Dataset : 2026_Team_ Summaries" xr:uid="{5158602E-874F-4034-881C-7326F7BF325E}"/>
    <hyperlink ref="C5" location="DATA_QUALITE!B81" display="Dataset : Penalty Shootouts (1982-2026)" xr:uid="{70B7A5CC-4A61-4076-BFE7-FDE29EA8D819}"/>
    <hyperlink ref="C6" location="DATA_QUALITE!B436" display="Dataset : 2026 Squads" xr:uid="{94E729EA-4BC1-4224-8401-C0FE4D50CFBE}"/>
    <hyperlink ref="C7" location="DATA_QUALITE!B1687" display="Dataset : Matches (1930-2026)" xr:uid="{DB2DB1A2-3384-408A-8344-13889D980B4D}"/>
    <hyperlink ref="E1" location="DATA_QUALITE!Z3" display="CARACTERE SPECIAL" xr:uid="{0034E4C6-0B30-4F17-A3FA-E9A893148B00}"/>
    <hyperlink ref="F1" location="DATA_QUALITE!AE3" display="DONNEES NUMERIQUES" xr:uid="{891A559B-1E87-4ECA-8C3D-6108CED6940C}"/>
    <hyperlink ref="AE4" location="DATA_QUALITE!AE12" display="Dataset : 2026_Team_ Summaries" xr:uid="{A4C17EC8-1970-4CA9-B689-CF5C8AD352FD}"/>
    <hyperlink ref="AE5" location="DATA_QUALITE!AE64" display="Dataset : Penalty Shootouts (1982-2026)" xr:uid="{35B39F39-AD59-4E8E-AA56-06DE38F95042}"/>
    <hyperlink ref="AE6" location="DATA_QUALITE!AE71" display="Dataset : 2026 Squads" xr:uid="{D1DB69B9-4FE7-4D7B-AEF8-19834B630B61}"/>
    <hyperlink ref="AE7" location="DATA_QUALITE!AE78" display="Dataset : Matches (1930-2026)" xr:uid="{D17594AF-5C90-44BC-9017-81C903AF0410}"/>
    <hyperlink ref="G1" location="DATA_QUALITE!AS3" display="ETAPES DU CHAMPIONNAT" xr:uid="{8AC4D394-5C0F-4D19-B65B-67CCE4FA26C8}"/>
    <hyperlink ref="B1" location="DATA_QUALITE!H2" display="HAUT DE PAGE" xr:uid="{5D05E0CD-9306-4BCE-8E18-1FB93FEB2DC7}"/>
    <hyperlink ref="A2" location="DATA_QUALITE!H2" display="HAUT DE PAGE" xr:uid="{A412B777-2F55-428E-8F7A-3ACCC039E8AA}"/>
    <hyperlink ref="A3" location="DATA_QUALITE!C3" display="DOUBLONS" xr:uid="{A2362521-DF5B-4884-B76F-337BAEC0B1AB}"/>
    <hyperlink ref="A4" location="DATA_QUALITE!R3" display="NOM DE PAYS" xr:uid="{EA7AEEDD-344E-4BBF-92B2-38D81D8CA5E6}"/>
    <hyperlink ref="A5" location="DATA_QUALITE!Z3" display="CARACTERE SPECIAL" xr:uid="{56DB4B66-9995-4E9E-8EF7-BAF0956C8D30}"/>
    <hyperlink ref="A6" location="DATA_QUALITE!AE3" display="DONNEES NUMERIQUES" xr:uid="{9BCE7DE9-77CB-495E-9568-4F6CE23D39B9}"/>
    <hyperlink ref="A7" location="DATA_QUALITE!AS3" display="ETAPES DU CHAMPIONNAT" xr:uid="{C52DA809-A9FC-4622-8273-9EC097DFFA3C}"/>
    <hyperlink ref="R8" location="DATA_QUALITE!S4519" display="Colonne Win Conditions" xr:uid="{95A243C7-1371-4CB7-A881-8BCCD4AEEF7C}"/>
    <hyperlink ref="A10" location="DATA_QUALITE!BJ3" display="Nombres de matchs" xr:uid="{55760292-0159-4C3A-AEEA-A9BF73768ADC}"/>
    <hyperlink ref="A9" location="DATA_QUALITE!BD3" display="VERIFICATION DU SCORE" xr:uid="{19F83E64-6B6D-430E-92FF-C4091C855CF1}"/>
    <hyperlink ref="A8" location="DATA_QUALITE!AX3" display="ETAPES DU CHAMPIONNAT | VERIFICATION" xr:uid="{734A5FCE-6E0B-4527-B386-D54E7E9C7371}"/>
  </hyperlinks>
  <pageMargins left="0.7" right="0.7" top="0.75" bottom="0.75" header="0.3" footer="0.3"/>
  <pageSetup paperSize="9" orientation="portrait" verticalDpi="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64F2D-58ED-416D-A466-6050EBC450C5}">
  <dimension ref="A1:AO2121"/>
  <sheetViews>
    <sheetView zoomScale="85" zoomScaleNormal="85" workbookViewId="0">
      <selection activeCell="AM3" sqref="AM3"/>
    </sheetView>
  </sheetViews>
  <sheetFormatPr baseColWidth="10" defaultRowHeight="15"/>
  <cols>
    <col min="1" max="1" width="28.42578125" bestFit="1" customWidth="1"/>
    <col min="2" max="2" width="23.42578125" bestFit="1" customWidth="1"/>
    <col min="3" max="3" width="44.5703125" bestFit="1" customWidth="1"/>
    <col min="4" max="4" width="36.140625" bestFit="1" customWidth="1"/>
    <col min="5" max="5" width="33.140625" bestFit="1" customWidth="1"/>
    <col min="6" max="6" width="27.85546875" bestFit="1" customWidth="1"/>
    <col min="7" max="7" width="25.28515625" bestFit="1" customWidth="1"/>
    <col min="8" max="8" width="19.5703125" bestFit="1" customWidth="1"/>
    <col min="9" max="9" width="26.85546875" bestFit="1" customWidth="1"/>
    <col min="10" max="10" width="25.28515625" bestFit="1" customWidth="1"/>
    <col min="11" max="11" width="20" bestFit="1" customWidth="1"/>
    <col min="12" max="12" width="20.5703125" bestFit="1" customWidth="1"/>
    <col min="13" max="13" width="25.28515625" bestFit="1" customWidth="1"/>
    <col min="14" max="14" width="29.7109375" bestFit="1" customWidth="1"/>
    <col min="15" max="15" width="26.85546875" bestFit="1" customWidth="1"/>
    <col min="16" max="16" width="25.28515625" bestFit="1" customWidth="1"/>
    <col min="17" max="17" width="20" bestFit="1" customWidth="1"/>
    <col min="18" max="18" width="22.140625" bestFit="1" customWidth="1"/>
    <col min="19" max="19" width="21.7109375" bestFit="1" customWidth="1"/>
    <col min="20" max="20" width="27.42578125" bestFit="1" customWidth="1"/>
    <col min="21" max="21" width="53" bestFit="1" customWidth="1"/>
    <col min="22" max="22" width="35" bestFit="1" customWidth="1"/>
    <col min="23" max="23" width="28.5703125" bestFit="1" customWidth="1"/>
    <col min="24" max="24" width="24.42578125" bestFit="1" customWidth="1"/>
    <col min="25" max="25" width="39.42578125" bestFit="1" customWidth="1"/>
    <col min="26" max="26" width="66.5703125" bestFit="1" customWidth="1"/>
    <col min="27" max="27" width="55.5703125" bestFit="1" customWidth="1"/>
    <col min="28" max="28" width="50.85546875" bestFit="1" customWidth="1"/>
    <col min="29" max="29" width="24.42578125" bestFit="1" customWidth="1"/>
    <col min="30" max="30" width="25.140625" bestFit="1" customWidth="1"/>
    <col min="31" max="31" width="20.85546875" customWidth="1"/>
    <col min="32" max="32" width="36.28515625" bestFit="1" customWidth="1"/>
    <col min="33" max="33" width="33.140625" bestFit="1" customWidth="1"/>
    <col min="34" max="34" width="16.140625" bestFit="1" customWidth="1"/>
    <col min="35" max="35" width="49.5703125" bestFit="1" customWidth="1"/>
    <col min="36" max="36" width="32.7109375" bestFit="1" customWidth="1"/>
    <col min="37" max="37" width="24.85546875" bestFit="1" customWidth="1"/>
    <col min="38" max="38" width="24.42578125" bestFit="1" customWidth="1"/>
    <col min="39" max="39" width="23.5703125" bestFit="1" customWidth="1"/>
    <col min="40" max="40" width="33.5703125" customWidth="1"/>
    <col min="41" max="41" width="39" bestFit="1" customWidth="1"/>
  </cols>
  <sheetData>
    <row r="1" spans="1:41" ht="26.25">
      <c r="A1" s="245" t="s">
        <v>3577</v>
      </c>
      <c r="B1" s="245"/>
      <c r="C1" s="245"/>
      <c r="D1" s="245"/>
      <c r="E1" s="245"/>
      <c r="G1" s="246" t="s">
        <v>3578</v>
      </c>
      <c r="H1" s="247"/>
      <c r="I1" s="247"/>
      <c r="J1" s="247"/>
      <c r="K1" s="247"/>
      <c r="L1" s="247"/>
      <c r="M1" s="247"/>
      <c r="N1" s="247"/>
      <c r="O1" s="247"/>
      <c r="P1" s="247"/>
      <c r="Q1" s="247"/>
      <c r="R1" s="247"/>
      <c r="S1" s="248"/>
      <c r="T1" s="249" t="s">
        <v>3795</v>
      </c>
      <c r="U1" s="250"/>
      <c r="V1" s="251"/>
      <c r="X1" s="244" t="s">
        <v>570</v>
      </c>
      <c r="Y1" s="244"/>
      <c r="Z1" s="244"/>
      <c r="AA1" s="244"/>
      <c r="AB1" s="244"/>
      <c r="AC1" s="244"/>
      <c r="AD1" s="244"/>
      <c r="AF1" s="252" t="s">
        <v>3579</v>
      </c>
      <c r="AG1" s="253"/>
      <c r="AH1" s="253"/>
      <c r="AI1" s="253"/>
      <c r="AJ1" s="253"/>
      <c r="AK1" s="253"/>
      <c r="AL1" s="253"/>
      <c r="AM1" s="253"/>
      <c r="AN1" s="253"/>
      <c r="AO1" s="254"/>
    </row>
    <row r="2" spans="1:41" ht="21">
      <c r="A2" s="67" t="str" cm="1">
        <f t="array" ref="A2:E2">DATA_BRUT!A2:E2</f>
        <v>Country</v>
      </c>
      <c r="B2" s="67" t="str">
        <v>2026_Average_Age</v>
      </c>
      <c r="C2" s="67" t="str">
        <v>2026_Unique_Clubs_Represented</v>
      </c>
      <c r="D2" s="67" t="str">
        <v>Historical_Matches_Played</v>
      </c>
      <c r="E2" s="67" t="str">
        <v>Historical_Goals_Scored</v>
      </c>
      <c r="G2" s="72" t="str" cm="1">
        <f t="array" ref="G2:S2">_xlfn.UNIQUE(DATA_BRUT!G2:S2)</f>
        <v>Tournament_Year</v>
      </c>
      <c r="H2" s="72" t="str">
        <v>Match_Stage</v>
      </c>
      <c r="I2" s="72" t="str">
        <v>Team_A</v>
      </c>
      <c r="J2" s="72" t="str">
        <v>Team_B</v>
      </c>
      <c r="K2" s="72" t="str">
        <v>Shooter_Team</v>
      </c>
      <c r="L2" s="72" t="str">
        <v>Shooter_Name</v>
      </c>
      <c r="M2" s="72" t="str">
        <v>Goalkeeper_Name</v>
      </c>
      <c r="N2" s="72" t="str">
        <v>Kick_Number</v>
      </c>
      <c r="O2" s="72" t="str">
        <v>Team_Kick_Number</v>
      </c>
      <c r="P2" s="72" t="str">
        <v>Score_Before_Kick</v>
      </c>
      <c r="Q2" s="72" t="str">
        <v>Is_Must_Score</v>
      </c>
      <c r="R2" s="72" t="str">
        <v>Is_Winning_Kick</v>
      </c>
      <c r="S2" s="72" t="str">
        <v>Shoot_Outcome</v>
      </c>
      <c r="T2" s="72" t="s">
        <v>3573</v>
      </c>
      <c r="U2" s="72" t="s">
        <v>3571</v>
      </c>
      <c r="V2" s="72" t="s">
        <v>3572</v>
      </c>
      <c r="X2" s="17" t="str" cm="1">
        <f t="array" ref="X2:AD2">DATA_QUALITE!B437:H437</f>
        <v>index</v>
      </c>
      <c r="Y2" s="17" t="str">
        <v>name</v>
      </c>
      <c r="Z2" s="17" t="str">
        <v>age</v>
      </c>
      <c r="AA2" s="17" t="str">
        <v>country</v>
      </c>
      <c r="AB2" s="17" t="str">
        <v>position</v>
      </c>
      <c r="AC2" s="17" t="str">
        <v>club</v>
      </c>
      <c r="AD2" s="17" t="str">
        <v>jersey_number</v>
      </c>
      <c r="AF2" s="78" t="str" cm="1">
        <f t="array" ref="AF2:AO2">DATA_QUALITE!B1688:K1688</f>
        <v>Year</v>
      </c>
      <c r="AG2" s="78" t="str">
        <v>Datetime</v>
      </c>
      <c r="AH2" s="78" t="str">
        <v>Stage</v>
      </c>
      <c r="AI2" s="78" t="str">
        <v>Stadium</v>
      </c>
      <c r="AJ2" s="78" t="str">
        <v>City</v>
      </c>
      <c r="AK2" s="78" t="str">
        <v>Home Team Name</v>
      </c>
      <c r="AL2" s="78" t="str">
        <v>Home Team Goals</v>
      </c>
      <c r="AM2" s="78" t="str">
        <v>Away Team Goals</v>
      </c>
      <c r="AN2" s="78" t="str">
        <v>Away Team Name</v>
      </c>
      <c r="AO2" s="78" t="str">
        <v>Win conditions</v>
      </c>
    </row>
    <row r="3" spans="1:41">
      <c r="A3" s="13" t="str" cm="1">
        <f t="array" ref="A3:A50">DATA_QUALITE!W13:W60</f>
        <v>Brazil</v>
      </c>
      <c r="B3" s="13" cm="1">
        <f t="array" ref="B3:B50">_xlfn.ANCHORARRAY(DATA_QUALITE!AF15)</f>
        <v>28.8</v>
      </c>
      <c r="C3" s="13" cm="1">
        <f t="array" ref="C3:C50">DATA_BRUT!C3:C50</f>
        <v>20</v>
      </c>
      <c r="D3" s="13" cm="1">
        <f t="array" ref="D3:E50">DATA_BRUT!D3:E50</f>
        <v>123</v>
      </c>
      <c r="E3" s="13">
        <v>251</v>
      </c>
      <c r="G3" s="30" cm="1">
        <f t="array" ref="G3:G354">DATA_BRUT!G3:G354</f>
        <v>1982</v>
      </c>
      <c r="H3" s="30" t="str" cm="1">
        <f t="array" ref="H3:H354">_xlfn.ANCHORARRAY(DATA_QUALITE!AV12)</f>
        <v>SEMI_FINALS</v>
      </c>
      <c r="I3" s="30" t="str" cm="1">
        <f t="array" ref="I3:I354">DATA_QUALITE!W63:W414</f>
        <v>FR Germany</v>
      </c>
      <c r="J3" s="30" t="str" cm="1">
        <f t="array" ref="J3:J354">DATA_QUALITE!W415:W766</f>
        <v>France</v>
      </c>
      <c r="K3" s="30" t="str" cm="1">
        <f t="array" ref="K3:K354">DATA_QUALITE!W767:W1118</f>
        <v>France</v>
      </c>
      <c r="L3" s="30" t="str" cm="1">
        <f t="array" ref="L3:S354">DATA_QUALITE!G83:N434</f>
        <v>Alain Giresse</v>
      </c>
      <c r="M3" s="30" t="str">
        <v>Harald Schumacher</v>
      </c>
      <c r="N3" s="30">
        <v>1</v>
      </c>
      <c r="O3" s="30">
        <v>1</v>
      </c>
      <c r="P3" s="30" t="str">
        <v>'0-0</v>
      </c>
      <c r="Q3" s="30" t="str">
        <v>No</v>
      </c>
      <c r="R3" s="30" t="str">
        <v>No</v>
      </c>
      <c r="S3" s="30" t="str">
        <v>Goal</v>
      </c>
      <c r="T3" s="30" t="str">
        <f t="shared" ref="T3:T66" si="0">SUBSTITUTE(P3,"'","")</f>
        <v>0-0</v>
      </c>
      <c r="U3" s="30">
        <f t="shared" ref="U3:U66" si="1">VALUE(LEFT(T3,1))</f>
        <v>0</v>
      </c>
      <c r="V3" s="30">
        <f t="shared" ref="V3:V66" si="2">VALUE(RIGHT(T3,1))</f>
        <v>0</v>
      </c>
      <c r="X3" s="12" cm="1">
        <f t="array" ref="X3:X1250">DATA_QUALITE!B438:B1685</f>
        <v>1</v>
      </c>
      <c r="Y3" s="12" t="str" cm="1">
        <f t="array" ref="Y3:Y1250">DATA_QUALITE!C438:C1685</f>
        <v>Matěj Kovář</v>
      </c>
      <c r="Z3" s="12" cm="1">
        <f t="array" ref="Z3:Z1250">DATA_QUALITE!D438:D1685</f>
        <v>26</v>
      </c>
      <c r="AA3" s="12" t="str" cm="1">
        <f t="array" ref="AA3:AA1250">DATA_QUALITE!W1121:W2368</f>
        <v>Czech Republic</v>
      </c>
      <c r="AB3" s="12" t="str" cm="1">
        <f t="array" ref="AB3:AB1250">DATA_QUALITE!F438:F1685</f>
        <v>GK</v>
      </c>
      <c r="AC3" s="12" t="str" cm="1">
        <f t="array" ref="AC3:AD1250">DATA_QUALITE!G438:H1685</f>
        <v>PSV Eindhoven</v>
      </c>
      <c r="AD3" s="12">
        <v>1</v>
      </c>
      <c r="AF3" s="42" cm="1">
        <f t="array" ref="AF3:AF1060">_xlfn.ANCHORARRAY(DATA_QUALITE!AE83)</f>
        <v>1930</v>
      </c>
      <c r="AG3" s="42" t="str" cm="1">
        <f t="array" ref="AG3:AG1060">_xlfn._xlws.FILTER(DATA_QUALITE!C1689:C2762,DATA_QUALITE!M1689:M2762="OK")</f>
        <v xml:space="preserve">13 Jul 1930 - 15:00 </v>
      </c>
      <c r="AH3" s="42" t="str" cm="1">
        <f t="array" ref="AH3:AH1060">_xlfn.ANCHORARRAY(DATA_QUALITE!AW12)</f>
        <v>GROUP_STAGE</v>
      </c>
      <c r="AI3" s="42" t="str" cm="1">
        <f t="array" ref="AI3:AI1060">DATA_QUALITE!AA40:AA1097</f>
        <v>Pocitos</v>
      </c>
      <c r="AJ3" s="42" t="str" cm="1">
        <f t="array" ref="AJ3:AJ1060">DATA_QUALITE!AC40:AC1097</f>
        <v xml:space="preserve">Montevideo </v>
      </c>
      <c r="AK3" s="42" t="str" cm="1">
        <f t="array" ref="AK3:AK1060">DATA_QUALITE!W2371:W3428</f>
        <v>France</v>
      </c>
      <c r="AL3" s="42" cm="1">
        <f t="array" ref="AL3:AL1060">DATA_QUALITE!AK83:'DATA_QUALITE'!AK1140</f>
        <v>4</v>
      </c>
      <c r="AM3" s="42" cm="1">
        <f t="array" ref="AM3:AM1060">_xlfn.ANCHORARRAY(DATA_QUALITE!AL83)</f>
        <v>1</v>
      </c>
      <c r="AN3" s="42" t="str" cm="1">
        <f t="array" ref="AN3:AN1060">DATA_QUALITE!W3429:W4486</f>
        <v>Mexico</v>
      </c>
      <c r="AO3" s="42" t="str" cm="1">
        <f t="array" ref="AO3:AO1060">DATA_QUALITE!W4489:W5546</f>
        <v>-</v>
      </c>
    </row>
    <row r="4" spans="1:41">
      <c r="A4" s="13" t="str">
        <v>Argentina</v>
      </c>
      <c r="B4" s="13">
        <v>28.7</v>
      </c>
      <c r="C4" s="13">
        <v>19</v>
      </c>
      <c r="D4" s="13">
        <v>98</v>
      </c>
      <c r="E4" s="13">
        <v>168</v>
      </c>
      <c r="G4" s="30">
        <v>1982</v>
      </c>
      <c r="H4" s="30" t="str">
        <v>SEMI_FINALS</v>
      </c>
      <c r="I4" s="30" t="str">
        <v>FR Germany</v>
      </c>
      <c r="J4" s="30" t="str">
        <v>France</v>
      </c>
      <c r="K4" s="30" t="str">
        <v>FR Germany</v>
      </c>
      <c r="L4" s="30" t="str">
        <v>Manfred Kaltz</v>
      </c>
      <c r="M4" s="30" t="str">
        <v>Jean-Luc Ettori</v>
      </c>
      <c r="N4" s="30">
        <v>2</v>
      </c>
      <c r="O4" s="30">
        <v>1</v>
      </c>
      <c r="P4" s="30" t="str">
        <v>'0-1</v>
      </c>
      <c r="Q4" s="30" t="str">
        <v>No</v>
      </c>
      <c r="R4" s="30" t="str">
        <v>No</v>
      </c>
      <c r="S4" s="30" t="str">
        <v>Goal</v>
      </c>
      <c r="T4" s="30" t="str">
        <f t="shared" si="0"/>
        <v>0-1</v>
      </c>
      <c r="U4" s="30">
        <f t="shared" si="1"/>
        <v>0</v>
      </c>
      <c r="V4" s="30">
        <f t="shared" si="2"/>
        <v>1</v>
      </c>
      <c r="X4" s="12">
        <v>2</v>
      </c>
      <c r="Y4" s="12" t="str">
        <v>Jindřich Staněk</v>
      </c>
      <c r="Z4" s="12">
        <v>30</v>
      </c>
      <c r="AA4" s="12" t="str">
        <v>Czech Republic</v>
      </c>
      <c r="AB4" s="12" t="str">
        <v>GK</v>
      </c>
      <c r="AC4" s="12" t="str">
        <v>Slavia Prague</v>
      </c>
      <c r="AD4" s="12">
        <v>16</v>
      </c>
      <c r="AF4" s="42">
        <v>1930</v>
      </c>
      <c r="AG4" s="42" t="str">
        <v xml:space="preserve">13 Jul 1930 - 15:00 </v>
      </c>
      <c r="AH4" s="42" t="str">
        <v>GROUP_STAGE</v>
      </c>
      <c r="AI4" s="42" t="str">
        <v>Parque Central</v>
      </c>
      <c r="AJ4" s="42" t="str">
        <v xml:space="preserve">Montevideo </v>
      </c>
      <c r="AK4" s="42" t="str">
        <v>United States</v>
      </c>
      <c r="AL4" s="42">
        <v>3</v>
      </c>
      <c r="AM4" s="42">
        <v>0</v>
      </c>
      <c r="AN4" s="42" t="str">
        <v>Belgium</v>
      </c>
      <c r="AO4" s="42" t="str">
        <v>-</v>
      </c>
    </row>
    <row r="5" spans="1:41">
      <c r="A5" s="13" t="str">
        <v>France</v>
      </c>
      <c r="B5" s="13">
        <v>26.6</v>
      </c>
      <c r="C5" s="13">
        <v>18</v>
      </c>
      <c r="D5" s="13">
        <v>82</v>
      </c>
      <c r="E5" s="13">
        <v>155</v>
      </c>
      <c r="G5" s="30">
        <v>1982</v>
      </c>
      <c r="H5" s="30" t="str">
        <v>SEMI_FINALS</v>
      </c>
      <c r="I5" s="30" t="str">
        <v>FR Germany</v>
      </c>
      <c r="J5" s="30" t="str">
        <v>France</v>
      </c>
      <c r="K5" s="30" t="str">
        <v>France</v>
      </c>
      <c r="L5" s="30" t="str">
        <v>Manuel Amoros</v>
      </c>
      <c r="M5" s="30" t="str">
        <v>Harald Schumacher</v>
      </c>
      <c r="N5" s="30">
        <v>3</v>
      </c>
      <c r="O5" s="30">
        <v>2</v>
      </c>
      <c r="P5" s="30" t="str">
        <v>'1-1</v>
      </c>
      <c r="Q5" s="30" t="str">
        <v>No</v>
      </c>
      <c r="R5" s="30" t="str">
        <v>No</v>
      </c>
      <c r="S5" s="30" t="str">
        <v>Goal</v>
      </c>
      <c r="T5" s="30" t="str">
        <f t="shared" si="0"/>
        <v>1-1</v>
      </c>
      <c r="U5" s="30">
        <f t="shared" si="1"/>
        <v>1</v>
      </c>
      <c r="V5" s="30">
        <f t="shared" si="2"/>
        <v>1</v>
      </c>
      <c r="X5" s="12">
        <v>3</v>
      </c>
      <c r="Y5" s="12" t="str">
        <v>Lukáš Horníček</v>
      </c>
      <c r="Z5" s="12">
        <v>23</v>
      </c>
      <c r="AA5" s="12" t="str">
        <v>Czech Republic</v>
      </c>
      <c r="AB5" s="12" t="str">
        <v>GK</v>
      </c>
      <c r="AC5" s="12" t="str">
        <v>Braga</v>
      </c>
      <c r="AD5" s="12">
        <v>23</v>
      </c>
      <c r="AF5" s="42">
        <v>1930</v>
      </c>
      <c r="AG5" s="42" t="str">
        <v xml:space="preserve">14 Jul 1930 - 12:45 </v>
      </c>
      <c r="AH5" s="42" t="str">
        <v>GROUP_STAGE</v>
      </c>
      <c r="AI5" s="42" t="str">
        <v>Parque Central</v>
      </c>
      <c r="AJ5" s="42" t="str">
        <v xml:space="preserve">Montevideo </v>
      </c>
      <c r="AK5" s="42" t="str">
        <v>Yugoslavia</v>
      </c>
      <c r="AL5" s="42">
        <v>2</v>
      </c>
      <c r="AM5" s="42">
        <v>1</v>
      </c>
      <c r="AN5" s="42" t="str">
        <v>Brazil</v>
      </c>
      <c r="AO5" s="42" t="str">
        <v>-</v>
      </c>
    </row>
    <row r="6" spans="1:41">
      <c r="A6" s="13" t="str">
        <v>England</v>
      </c>
      <c r="B6" s="13">
        <v>26.7</v>
      </c>
      <c r="C6" s="13">
        <v>16</v>
      </c>
      <c r="D6" s="13">
        <v>81</v>
      </c>
      <c r="E6" s="13">
        <v>124</v>
      </c>
      <c r="G6" s="30">
        <v>1982</v>
      </c>
      <c r="H6" s="30" t="str">
        <v>SEMI_FINALS</v>
      </c>
      <c r="I6" s="30" t="str">
        <v>FR Germany</v>
      </c>
      <c r="J6" s="30" t="str">
        <v>France</v>
      </c>
      <c r="K6" s="30" t="str">
        <v>FR Germany</v>
      </c>
      <c r="L6" s="30" t="str">
        <v>Paul Breitner</v>
      </c>
      <c r="M6" s="30" t="str">
        <v>Jean-Luc Ettori</v>
      </c>
      <c r="N6" s="30">
        <v>4</v>
      </c>
      <c r="O6" s="30">
        <v>2</v>
      </c>
      <c r="P6" s="30" t="str">
        <v>'1-2</v>
      </c>
      <c r="Q6" s="30" t="str">
        <v>No</v>
      </c>
      <c r="R6" s="30" t="str">
        <v>No</v>
      </c>
      <c r="S6" s="30" t="str">
        <v>Goal</v>
      </c>
      <c r="T6" s="30" t="str">
        <f t="shared" si="0"/>
        <v>1-2</v>
      </c>
      <c r="U6" s="30">
        <f t="shared" si="1"/>
        <v>1</v>
      </c>
      <c r="V6" s="30">
        <f t="shared" si="2"/>
        <v>2</v>
      </c>
      <c r="X6" s="12">
        <v>4</v>
      </c>
      <c r="Y6" s="12" t="str">
        <v>David Zima</v>
      </c>
      <c r="Z6" s="12">
        <v>25</v>
      </c>
      <c r="AA6" s="12" t="str">
        <v>Czech Republic</v>
      </c>
      <c r="AB6" s="12" t="str">
        <v>CB</v>
      </c>
      <c r="AC6" s="12" t="str">
        <v>Slavia Prague</v>
      </c>
      <c r="AD6" s="12">
        <v>2</v>
      </c>
      <c r="AF6" s="42">
        <v>1930</v>
      </c>
      <c r="AG6" s="42" t="str">
        <v xml:space="preserve">14 Jul 1930 - 14:50 </v>
      </c>
      <c r="AH6" s="42" t="str">
        <v>GROUP_STAGE</v>
      </c>
      <c r="AI6" s="42" t="str">
        <v>Pocitos</v>
      </c>
      <c r="AJ6" s="42" t="str">
        <v xml:space="preserve">Montevideo </v>
      </c>
      <c r="AK6" s="42" t="str">
        <v>Romania</v>
      </c>
      <c r="AL6" s="42">
        <v>3</v>
      </c>
      <c r="AM6" s="42">
        <v>1</v>
      </c>
      <c r="AN6" s="42" t="str">
        <v>Peru</v>
      </c>
      <c r="AO6" s="42" t="str">
        <v>-</v>
      </c>
    </row>
    <row r="7" spans="1:41">
      <c r="A7" s="13" t="str">
        <v>Germany</v>
      </c>
      <c r="B7" s="13">
        <v>27.6</v>
      </c>
      <c r="C7" s="13">
        <v>13</v>
      </c>
      <c r="D7" s="13">
        <v>58</v>
      </c>
      <c r="E7" s="13">
        <v>123</v>
      </c>
      <c r="G7" s="30">
        <v>1982</v>
      </c>
      <c r="H7" s="30" t="str">
        <v>SEMI_FINALS</v>
      </c>
      <c r="I7" s="30" t="str">
        <v>FR Germany</v>
      </c>
      <c r="J7" s="30" t="str">
        <v>France</v>
      </c>
      <c r="K7" s="30" t="str">
        <v>France</v>
      </c>
      <c r="L7" s="30" t="str">
        <v>Dominique Rocheteau</v>
      </c>
      <c r="M7" s="30" t="str">
        <v>Harald Schumacher</v>
      </c>
      <c r="N7" s="30">
        <v>5</v>
      </c>
      <c r="O7" s="30">
        <v>3</v>
      </c>
      <c r="P7" s="30" t="str">
        <v>'2-2</v>
      </c>
      <c r="Q7" s="30" t="str">
        <v>No</v>
      </c>
      <c r="R7" s="30" t="str">
        <v>No</v>
      </c>
      <c r="S7" s="30" t="str">
        <v>Goal</v>
      </c>
      <c r="T7" s="30" t="str">
        <f t="shared" si="0"/>
        <v>2-2</v>
      </c>
      <c r="U7" s="30">
        <f t="shared" si="1"/>
        <v>2</v>
      </c>
      <c r="V7" s="30">
        <f t="shared" si="2"/>
        <v>2</v>
      </c>
      <c r="X7" s="12">
        <v>5</v>
      </c>
      <c r="Y7" s="12" t="str">
        <v>Tomáš Holeš</v>
      </c>
      <c r="Z7" s="12">
        <v>33</v>
      </c>
      <c r="AA7" s="12" t="str">
        <v>Czech Republic</v>
      </c>
      <c r="AB7" s="12" t="str">
        <v>CB</v>
      </c>
      <c r="AC7" s="12" t="str">
        <v>Slavia Prague</v>
      </c>
      <c r="AD7" s="12">
        <v>3</v>
      </c>
      <c r="AF7" s="42">
        <v>1930</v>
      </c>
      <c r="AG7" s="42" t="str">
        <v xml:space="preserve">15 Jul 1930 - 16:00 </v>
      </c>
      <c r="AH7" s="42" t="str">
        <v>GROUP_STAGE</v>
      </c>
      <c r="AI7" s="42" t="str">
        <v>Parque Central</v>
      </c>
      <c r="AJ7" s="42" t="str">
        <v xml:space="preserve">Montevideo </v>
      </c>
      <c r="AK7" s="42" t="str">
        <v>Argentina</v>
      </c>
      <c r="AL7" s="42">
        <v>1</v>
      </c>
      <c r="AM7" s="42">
        <v>0</v>
      </c>
      <c r="AN7" s="42" t="str">
        <v>France</v>
      </c>
      <c r="AO7" s="42" t="str">
        <v>-</v>
      </c>
    </row>
    <row r="8" spans="1:41">
      <c r="A8" s="13" t="str">
        <v>Spain</v>
      </c>
      <c r="B8" s="13">
        <v>26.2</v>
      </c>
      <c r="C8" s="13">
        <v>13</v>
      </c>
      <c r="D8" s="13">
        <v>75</v>
      </c>
      <c r="E8" s="13">
        <v>122</v>
      </c>
      <c r="G8" s="30">
        <v>1982</v>
      </c>
      <c r="H8" s="30" t="str">
        <v>SEMI_FINALS</v>
      </c>
      <c r="I8" s="30" t="str">
        <v>FR Germany</v>
      </c>
      <c r="J8" s="30" t="str">
        <v>France</v>
      </c>
      <c r="K8" s="30" t="str">
        <v>FR Germany</v>
      </c>
      <c r="L8" s="30" t="str">
        <v>Uli Stielike</v>
      </c>
      <c r="M8" s="30" t="str">
        <v>Jean-Luc Ettori</v>
      </c>
      <c r="N8" s="30">
        <v>6</v>
      </c>
      <c r="O8" s="30">
        <v>3</v>
      </c>
      <c r="P8" s="30" t="str">
        <v>'2-3</v>
      </c>
      <c r="Q8" s="30" t="str">
        <v>No</v>
      </c>
      <c r="R8" s="30" t="str">
        <v>No</v>
      </c>
      <c r="S8" s="30" t="str">
        <v>Saved</v>
      </c>
      <c r="T8" s="30" t="str">
        <f t="shared" si="0"/>
        <v>2-3</v>
      </c>
      <c r="U8" s="30">
        <f t="shared" si="1"/>
        <v>2</v>
      </c>
      <c r="V8" s="30">
        <f t="shared" si="2"/>
        <v>3</v>
      </c>
      <c r="X8" s="12">
        <v>6</v>
      </c>
      <c r="Y8" s="12" t="str">
        <v>Robin Hranáč</v>
      </c>
      <c r="Z8" s="12">
        <v>26</v>
      </c>
      <c r="AA8" s="12" t="str">
        <v>Czech Republic</v>
      </c>
      <c r="AB8" s="12" t="str">
        <v>CB</v>
      </c>
      <c r="AC8" s="12" t="str">
        <v>TSG Hoffenheim</v>
      </c>
      <c r="AD8" s="12">
        <v>4</v>
      </c>
      <c r="AF8" s="42">
        <v>1930</v>
      </c>
      <c r="AG8" s="42" t="str">
        <v xml:space="preserve">16 Jul 1930 - 14:45 </v>
      </c>
      <c r="AH8" s="42" t="str">
        <v>GROUP_STAGE</v>
      </c>
      <c r="AI8" s="42" t="str">
        <v>Parque Central</v>
      </c>
      <c r="AJ8" s="42" t="str">
        <v xml:space="preserve">Montevideo </v>
      </c>
      <c r="AK8" s="42" t="str">
        <v>Chile</v>
      </c>
      <c r="AL8" s="42">
        <v>3</v>
      </c>
      <c r="AM8" s="42">
        <v>0</v>
      </c>
      <c r="AN8" s="42" t="str">
        <v>Mexico</v>
      </c>
      <c r="AO8" s="42" t="str">
        <v>-</v>
      </c>
    </row>
    <row r="9" spans="1:41">
      <c r="A9" s="13" t="str">
        <v>Netherlands</v>
      </c>
      <c r="B9" s="13">
        <v>27.3</v>
      </c>
      <c r="C9" s="13">
        <v>19</v>
      </c>
      <c r="D9" s="13">
        <v>63</v>
      </c>
      <c r="E9" s="13">
        <v>112</v>
      </c>
      <c r="G9" s="30">
        <v>1982</v>
      </c>
      <c r="H9" s="30" t="str">
        <v>SEMI_FINALS</v>
      </c>
      <c r="I9" s="30" t="str">
        <v>FR Germany</v>
      </c>
      <c r="J9" s="30" t="str">
        <v>France</v>
      </c>
      <c r="K9" s="30" t="str">
        <v>France</v>
      </c>
      <c r="L9" s="30" t="str">
        <v>Didier Six</v>
      </c>
      <c r="M9" s="30" t="str">
        <v>Harald Schumacher</v>
      </c>
      <c r="N9" s="30">
        <v>7</v>
      </c>
      <c r="O9" s="30">
        <v>4</v>
      </c>
      <c r="P9" s="30" t="str">
        <v>'2-3</v>
      </c>
      <c r="Q9" s="30" t="str">
        <v>No</v>
      </c>
      <c r="R9" s="30" t="str">
        <v>No</v>
      </c>
      <c r="S9" s="30" t="str">
        <v>Saved</v>
      </c>
      <c r="T9" s="30" t="str">
        <f t="shared" si="0"/>
        <v>2-3</v>
      </c>
      <c r="U9" s="30">
        <f t="shared" si="1"/>
        <v>2</v>
      </c>
      <c r="V9" s="30">
        <f t="shared" si="2"/>
        <v>3</v>
      </c>
      <c r="X9" s="12">
        <v>7</v>
      </c>
      <c r="Y9" s="12" t="str">
        <v>Štěpán Chaloupek</v>
      </c>
      <c r="Z9" s="12">
        <v>23</v>
      </c>
      <c r="AA9" s="12" t="str">
        <v>Czech Republic</v>
      </c>
      <c r="AB9" s="12" t="str">
        <v>CB</v>
      </c>
      <c r="AC9" s="12" t="str">
        <v>Slavia Prague</v>
      </c>
      <c r="AD9" s="12">
        <v>6</v>
      </c>
      <c r="AF9" s="42">
        <v>1930</v>
      </c>
      <c r="AG9" s="42" t="str">
        <v xml:space="preserve">17 Jul 1930 - 12:45 </v>
      </c>
      <c r="AH9" s="42" t="str">
        <v>GROUP_STAGE</v>
      </c>
      <c r="AI9" s="42" t="str">
        <v>Parque Central</v>
      </c>
      <c r="AJ9" s="42" t="str">
        <v xml:space="preserve">Montevideo </v>
      </c>
      <c r="AK9" s="42" t="str">
        <v>Yugoslavia</v>
      </c>
      <c r="AL9" s="42">
        <v>4</v>
      </c>
      <c r="AM9" s="42">
        <v>0</v>
      </c>
      <c r="AN9" s="42" t="str">
        <v>Bolivia</v>
      </c>
      <c r="AO9" s="42" t="str">
        <v>-</v>
      </c>
    </row>
    <row r="10" spans="1:41">
      <c r="A10" s="13" t="str">
        <v>Uruguay</v>
      </c>
      <c r="B10" s="13">
        <v>28.2</v>
      </c>
      <c r="C10" s="13">
        <v>22</v>
      </c>
      <c r="D10" s="13">
        <v>63</v>
      </c>
      <c r="E10" s="13">
        <v>92</v>
      </c>
      <c r="G10" s="30">
        <v>1982</v>
      </c>
      <c r="H10" s="30" t="str">
        <v>SEMI_FINALS</v>
      </c>
      <c r="I10" s="30" t="str">
        <v>FR Germany</v>
      </c>
      <c r="J10" s="30" t="str">
        <v>France</v>
      </c>
      <c r="K10" s="30" t="str">
        <v>FR Germany</v>
      </c>
      <c r="L10" s="30" t="str">
        <v>Pierre Littbarski</v>
      </c>
      <c r="M10" s="30" t="str">
        <v>Jean-Luc Ettori</v>
      </c>
      <c r="N10" s="30">
        <v>8</v>
      </c>
      <c r="O10" s="30">
        <v>4</v>
      </c>
      <c r="P10" s="30" t="str">
        <v>'2-3</v>
      </c>
      <c r="Q10" s="30" t="str">
        <v>No</v>
      </c>
      <c r="R10" s="30" t="str">
        <v>No</v>
      </c>
      <c r="S10" s="30" t="str">
        <v>Goal</v>
      </c>
      <c r="T10" s="30" t="str">
        <f t="shared" si="0"/>
        <v>2-3</v>
      </c>
      <c r="U10" s="30">
        <f t="shared" si="1"/>
        <v>2</v>
      </c>
      <c r="V10" s="30">
        <f t="shared" si="2"/>
        <v>3</v>
      </c>
      <c r="X10" s="12">
        <v>8</v>
      </c>
      <c r="Y10" s="12" t="str">
        <v>Ladislav Krejčí</v>
      </c>
      <c r="Z10" s="12">
        <v>27</v>
      </c>
      <c r="AA10" s="12" t="str">
        <v>Czech Republic</v>
      </c>
      <c r="AB10" s="12" t="str">
        <v>CB</v>
      </c>
      <c r="AC10" s="12" t="str">
        <v>Wolverhampton Wanderers</v>
      </c>
      <c r="AD10" s="12">
        <v>7</v>
      </c>
      <c r="AF10" s="42">
        <v>1930</v>
      </c>
      <c r="AG10" s="42" t="str">
        <v xml:space="preserve">17 Jul 1930 - 14:45 </v>
      </c>
      <c r="AH10" s="42" t="str">
        <v>GROUP_STAGE</v>
      </c>
      <c r="AI10" s="42" t="str">
        <v>Parque Central</v>
      </c>
      <c r="AJ10" s="42" t="str">
        <v xml:space="preserve">Montevideo </v>
      </c>
      <c r="AK10" s="42" t="str">
        <v>United States</v>
      </c>
      <c r="AL10" s="42">
        <v>3</v>
      </c>
      <c r="AM10" s="42">
        <v>0</v>
      </c>
      <c r="AN10" s="42" t="str">
        <v>Paraguay</v>
      </c>
      <c r="AO10" s="42" t="str">
        <v>-</v>
      </c>
    </row>
    <row r="11" spans="1:41">
      <c r="A11" s="13" t="str">
        <v>Sweden</v>
      </c>
      <c r="B11" s="13">
        <v>27</v>
      </c>
      <c r="C11" s="13">
        <v>26</v>
      </c>
      <c r="D11" s="13">
        <v>55</v>
      </c>
      <c r="E11" s="13">
        <v>87</v>
      </c>
      <c r="G11" s="30">
        <v>1982</v>
      </c>
      <c r="H11" s="30" t="str">
        <v>SEMI_FINALS</v>
      </c>
      <c r="I11" s="30" t="str">
        <v>FR Germany</v>
      </c>
      <c r="J11" s="30" t="str">
        <v>France</v>
      </c>
      <c r="K11" s="30" t="str">
        <v>France</v>
      </c>
      <c r="L11" s="30" t="str">
        <v>Michel Platini</v>
      </c>
      <c r="M11" s="30" t="str">
        <v>Harald Schumacher</v>
      </c>
      <c r="N11" s="30">
        <v>9</v>
      </c>
      <c r="O11" s="30">
        <v>5</v>
      </c>
      <c r="P11" s="30" t="str">
        <v>'3-3</v>
      </c>
      <c r="Q11" s="30" t="str">
        <v>No</v>
      </c>
      <c r="R11" s="30" t="str">
        <v>No</v>
      </c>
      <c r="S11" s="30" t="str">
        <v>Goal</v>
      </c>
      <c r="T11" s="30" t="str">
        <f t="shared" si="0"/>
        <v>3-3</v>
      </c>
      <c r="U11" s="30">
        <f t="shared" si="1"/>
        <v>3</v>
      </c>
      <c r="V11" s="30">
        <f t="shared" si="2"/>
        <v>3</v>
      </c>
      <c r="X11" s="12">
        <v>9</v>
      </c>
      <c r="Y11" s="12" t="str">
        <v>David Jurásek</v>
      </c>
      <c r="Z11" s="12">
        <v>25</v>
      </c>
      <c r="AA11" s="12" t="str">
        <v>Czech Republic</v>
      </c>
      <c r="AB11" s="12" t="str">
        <v>LB</v>
      </c>
      <c r="AC11" s="12" t="str">
        <v>Slavia Prague</v>
      </c>
      <c r="AD11" s="12">
        <v>14</v>
      </c>
      <c r="AF11" s="42">
        <v>1930</v>
      </c>
      <c r="AG11" s="42" t="str">
        <v xml:space="preserve">18 Jul 1930 - 14:30 </v>
      </c>
      <c r="AH11" s="42" t="str">
        <v>GROUP_STAGE</v>
      </c>
      <c r="AI11" s="42" t="str">
        <v>Estadio Centenario</v>
      </c>
      <c r="AJ11" s="42" t="str">
        <v xml:space="preserve">Montevideo </v>
      </c>
      <c r="AK11" s="42" t="str">
        <v>Uruguay</v>
      </c>
      <c r="AL11" s="42">
        <v>1</v>
      </c>
      <c r="AM11" s="42">
        <v>0</v>
      </c>
      <c r="AN11" s="42" t="str">
        <v>Peru</v>
      </c>
      <c r="AO11" s="42" t="str">
        <v>-</v>
      </c>
    </row>
    <row r="12" spans="1:41">
      <c r="A12" s="13" t="str">
        <v>Belgium</v>
      </c>
      <c r="B12" s="13">
        <v>27.1</v>
      </c>
      <c r="C12" s="13">
        <v>18</v>
      </c>
      <c r="D12" s="13">
        <v>59</v>
      </c>
      <c r="E12" s="13">
        <v>85</v>
      </c>
      <c r="G12" s="30">
        <v>1982</v>
      </c>
      <c r="H12" s="30" t="str">
        <v>SEMI_FINALS</v>
      </c>
      <c r="I12" s="30" t="str">
        <v>FR Germany</v>
      </c>
      <c r="J12" s="30" t="str">
        <v>France</v>
      </c>
      <c r="K12" s="30" t="str">
        <v>FR Germany</v>
      </c>
      <c r="L12" s="30" t="str">
        <v>Karl-Heinz Rummenigge</v>
      </c>
      <c r="M12" s="30" t="str">
        <v>Jean-Luc Ettori</v>
      </c>
      <c r="N12" s="30">
        <v>10</v>
      </c>
      <c r="O12" s="30">
        <v>5</v>
      </c>
      <c r="P12" s="30" t="str">
        <v>'3-4</v>
      </c>
      <c r="Q12" s="30" t="str">
        <v>Yes</v>
      </c>
      <c r="R12" s="30" t="str">
        <v>No</v>
      </c>
      <c r="S12" s="30" t="str">
        <v>Goal</v>
      </c>
      <c r="T12" s="30" t="str">
        <f t="shared" si="0"/>
        <v>3-4</v>
      </c>
      <c r="U12" s="30">
        <f t="shared" si="1"/>
        <v>3</v>
      </c>
      <c r="V12" s="30">
        <f t="shared" si="2"/>
        <v>4</v>
      </c>
      <c r="X12" s="12">
        <v>10</v>
      </c>
      <c r="Y12" s="12" t="str">
        <v>Jaroslav Zelený</v>
      </c>
      <c r="Z12" s="12">
        <v>33</v>
      </c>
      <c r="AA12" s="12" t="str">
        <v>Czech Republic</v>
      </c>
      <c r="AB12" s="12" t="str">
        <v>LB</v>
      </c>
      <c r="AC12" s="12" t="str">
        <v>Sparta Prague</v>
      </c>
      <c r="AD12" s="12">
        <v>20</v>
      </c>
      <c r="AF12" s="42">
        <v>1930</v>
      </c>
      <c r="AG12" s="42" t="str">
        <v xml:space="preserve">19 Jul 1930 - 12:50 </v>
      </c>
      <c r="AH12" s="42" t="str">
        <v>GROUP_STAGE</v>
      </c>
      <c r="AI12" s="42" t="str">
        <v>Estadio Centenario</v>
      </c>
      <c r="AJ12" s="42" t="str">
        <v xml:space="preserve">Montevideo </v>
      </c>
      <c r="AK12" s="42" t="str">
        <v>Chile</v>
      </c>
      <c r="AL12" s="42">
        <v>1</v>
      </c>
      <c r="AM12" s="42">
        <v>0</v>
      </c>
      <c r="AN12" s="42" t="str">
        <v>France</v>
      </c>
      <c r="AO12" s="42" t="str">
        <v>-</v>
      </c>
    </row>
    <row r="13" spans="1:41">
      <c r="A13" s="13" t="str">
        <v>Mexico</v>
      </c>
      <c r="B13" s="13">
        <v>27.5</v>
      </c>
      <c r="C13" s="13">
        <v>21</v>
      </c>
      <c r="D13" s="13">
        <v>66</v>
      </c>
      <c r="E13" s="13">
        <v>73</v>
      </c>
      <c r="G13" s="30">
        <v>1982</v>
      </c>
      <c r="H13" s="30" t="str">
        <v>SEMI_FINALS</v>
      </c>
      <c r="I13" s="30" t="str">
        <v>FR Germany</v>
      </c>
      <c r="J13" s="30" t="str">
        <v>France</v>
      </c>
      <c r="K13" s="30" t="str">
        <v>France</v>
      </c>
      <c r="L13" s="30" t="str">
        <v>Maxime Bossis</v>
      </c>
      <c r="M13" s="30" t="str">
        <v>Harald Schumacher</v>
      </c>
      <c r="N13" s="30">
        <v>11</v>
      </c>
      <c r="O13" s="30">
        <v>6</v>
      </c>
      <c r="P13" s="30" t="str">
        <v>'4-4</v>
      </c>
      <c r="Q13" s="30" t="str">
        <v>No</v>
      </c>
      <c r="R13" s="30" t="str">
        <v>No</v>
      </c>
      <c r="S13" s="30" t="str">
        <v>Saved</v>
      </c>
      <c r="T13" s="30" t="str">
        <f t="shared" si="0"/>
        <v>4-4</v>
      </c>
      <c r="U13" s="30">
        <f t="shared" si="1"/>
        <v>4</v>
      </c>
      <c r="V13" s="30">
        <f t="shared" si="2"/>
        <v>4</v>
      </c>
      <c r="X13" s="12">
        <v>11</v>
      </c>
      <c r="Y13" s="12" t="str">
        <v>Vladimír Coufal</v>
      </c>
      <c r="Z13" s="12">
        <v>33</v>
      </c>
      <c r="AA13" s="12" t="str">
        <v>Czech Republic</v>
      </c>
      <c r="AB13" s="12" t="str">
        <v>RB</v>
      </c>
      <c r="AC13" s="12" t="str">
        <v>TSG Hoffenheim</v>
      </c>
      <c r="AD13" s="12">
        <v>5</v>
      </c>
      <c r="AF13" s="42">
        <v>1930</v>
      </c>
      <c r="AG13" s="42" t="str">
        <v xml:space="preserve">19 Jul 1930 - 15:00 </v>
      </c>
      <c r="AH13" s="42" t="str">
        <v>GROUP_STAGE</v>
      </c>
      <c r="AI13" s="42" t="str">
        <v>Estadio Centenario</v>
      </c>
      <c r="AJ13" s="42" t="str">
        <v xml:space="preserve">Montevideo </v>
      </c>
      <c r="AK13" s="42" t="str">
        <v>Argentina</v>
      </c>
      <c r="AL13" s="42">
        <v>6</v>
      </c>
      <c r="AM13" s="42">
        <v>3</v>
      </c>
      <c r="AN13" s="42" t="str">
        <v>Mexico</v>
      </c>
      <c r="AO13" s="42" t="str">
        <v>-</v>
      </c>
    </row>
    <row r="14" spans="1:41">
      <c r="A14" s="13" t="str">
        <v>Switzerland</v>
      </c>
      <c r="B14" s="13">
        <v>27.8</v>
      </c>
      <c r="C14" s="13">
        <v>24</v>
      </c>
      <c r="D14" s="13">
        <v>48</v>
      </c>
      <c r="E14" s="13">
        <v>65</v>
      </c>
      <c r="G14" s="30">
        <v>1982</v>
      </c>
      <c r="H14" s="30" t="str">
        <v>SEMI_FINALS</v>
      </c>
      <c r="I14" s="30" t="str">
        <v>FR Germany</v>
      </c>
      <c r="J14" s="30" t="str">
        <v>France</v>
      </c>
      <c r="K14" s="30" t="str">
        <v>FR Germany</v>
      </c>
      <c r="L14" s="30" t="str">
        <v>Horst Hrubesch</v>
      </c>
      <c r="M14" s="30" t="str">
        <v>Jean-Luc Ettori</v>
      </c>
      <c r="N14" s="30">
        <v>12</v>
      </c>
      <c r="O14" s="30">
        <v>6</v>
      </c>
      <c r="P14" s="30" t="str">
        <v>'4-4</v>
      </c>
      <c r="Q14" s="30" t="str">
        <v>No</v>
      </c>
      <c r="R14" s="30" t="str">
        <v>Yes</v>
      </c>
      <c r="S14" s="30" t="str">
        <v>Goal</v>
      </c>
      <c r="T14" s="30" t="str">
        <f t="shared" si="0"/>
        <v>4-4</v>
      </c>
      <c r="U14" s="30">
        <f t="shared" si="1"/>
        <v>4</v>
      </c>
      <c r="V14" s="30">
        <f t="shared" si="2"/>
        <v>4</v>
      </c>
      <c r="X14" s="12">
        <v>12</v>
      </c>
      <c r="Y14" s="12" t="str">
        <v>David Douděra</v>
      </c>
      <c r="Z14" s="12">
        <v>28</v>
      </c>
      <c r="AA14" s="12" t="str">
        <v>Czech Republic</v>
      </c>
      <c r="AB14" s="12" t="str">
        <v>RB</v>
      </c>
      <c r="AC14" s="12" t="str">
        <v>Slavia Prague</v>
      </c>
      <c r="AD14" s="12">
        <v>21</v>
      </c>
      <c r="AF14" s="42">
        <v>1930</v>
      </c>
      <c r="AG14" s="42" t="str">
        <v xml:space="preserve">20 Jul 1930 - 13:00 </v>
      </c>
      <c r="AH14" s="42" t="str">
        <v>GROUP_STAGE</v>
      </c>
      <c r="AI14" s="42" t="str">
        <v>Estadio Centenario</v>
      </c>
      <c r="AJ14" s="42" t="str">
        <v xml:space="preserve">Montevideo </v>
      </c>
      <c r="AK14" s="42" t="str">
        <v>Brazil</v>
      </c>
      <c r="AL14" s="42">
        <v>4</v>
      </c>
      <c r="AM14" s="42">
        <v>0</v>
      </c>
      <c r="AN14" s="42" t="str">
        <v>Bolivia</v>
      </c>
      <c r="AO14" s="42" t="str">
        <v>-</v>
      </c>
    </row>
    <row r="15" spans="1:41">
      <c r="A15" s="13" t="str">
        <v>Portugal</v>
      </c>
      <c r="B15" s="13">
        <v>27.5</v>
      </c>
      <c r="C15" s="13">
        <v>17</v>
      </c>
      <c r="D15" s="13">
        <v>38</v>
      </c>
      <c r="E15" s="13">
        <v>64</v>
      </c>
      <c r="G15" s="30">
        <v>1986</v>
      </c>
      <c r="H15" s="30" t="str">
        <v>QUARTER_FINALS</v>
      </c>
      <c r="I15" s="30" t="str">
        <v>Belgium</v>
      </c>
      <c r="J15" s="30" t="str">
        <v>Spain</v>
      </c>
      <c r="K15" s="30" t="str">
        <v>Belgium</v>
      </c>
      <c r="L15" s="30" t="str">
        <v>Franky Vercauteren</v>
      </c>
      <c r="M15" s="30" t="str">
        <v>Andoni Zubizarreta</v>
      </c>
      <c r="N15" s="30">
        <v>1</v>
      </c>
      <c r="O15" s="30">
        <v>1</v>
      </c>
      <c r="P15" s="30" t="str">
        <v>'0-0</v>
      </c>
      <c r="Q15" s="30" t="str">
        <v>No</v>
      </c>
      <c r="R15" s="30" t="str">
        <v>No</v>
      </c>
      <c r="S15" s="30" t="str">
        <v>Goal</v>
      </c>
      <c r="T15" s="30" t="str">
        <f t="shared" si="0"/>
        <v>0-0</v>
      </c>
      <c r="U15" s="30">
        <f t="shared" si="1"/>
        <v>0</v>
      </c>
      <c r="V15" s="30">
        <f t="shared" si="2"/>
        <v>0</v>
      </c>
      <c r="X15" s="12">
        <v>13</v>
      </c>
      <c r="Y15" s="12" t="str">
        <v>Lukáš Červ</v>
      </c>
      <c r="Z15" s="12">
        <v>25</v>
      </c>
      <c r="AA15" s="12" t="str">
        <v>Czech Republic</v>
      </c>
      <c r="AB15" s="12" t="str">
        <v>CDM</v>
      </c>
      <c r="AC15" s="12" t="str">
        <v>Viktoria Plzeň</v>
      </c>
      <c r="AD15" s="12">
        <v>12</v>
      </c>
      <c r="AF15" s="42">
        <v>1930</v>
      </c>
      <c r="AG15" s="42" t="str">
        <v xml:space="preserve">20 Jul 1930 - 15:00 </v>
      </c>
      <c r="AH15" s="42" t="str">
        <v>GROUP_STAGE</v>
      </c>
      <c r="AI15" s="42" t="str">
        <v>Estadio Centenario</v>
      </c>
      <c r="AJ15" s="42" t="str">
        <v xml:space="preserve">Montevideo </v>
      </c>
      <c r="AK15" s="42" t="str">
        <v>Paraguay</v>
      </c>
      <c r="AL15" s="42">
        <v>1</v>
      </c>
      <c r="AM15" s="42">
        <v>0</v>
      </c>
      <c r="AN15" s="42" t="str">
        <v>Belgium</v>
      </c>
      <c r="AO15" s="42" t="str">
        <v>-</v>
      </c>
    </row>
    <row r="16" spans="1:41">
      <c r="A16" s="13" t="str">
        <v>Croatia</v>
      </c>
      <c r="B16" s="13">
        <v>27.9</v>
      </c>
      <c r="C16" s="13">
        <v>24</v>
      </c>
      <c r="D16" s="13">
        <v>34</v>
      </c>
      <c r="E16" s="13">
        <v>49</v>
      </c>
      <c r="G16" s="30">
        <v>1986</v>
      </c>
      <c r="H16" s="30" t="str">
        <v>QUARTER_FINALS</v>
      </c>
      <c r="I16" s="30" t="str">
        <v>Belgium</v>
      </c>
      <c r="J16" s="30" t="str">
        <v>Spain</v>
      </c>
      <c r="K16" s="30" t="str">
        <v>Spain</v>
      </c>
      <c r="L16" s="30" t="str">
        <v>Señor</v>
      </c>
      <c r="M16" s="30" t="str">
        <v>Jean-Marie Pfaff</v>
      </c>
      <c r="N16" s="30">
        <v>2</v>
      </c>
      <c r="O16" s="30">
        <v>1</v>
      </c>
      <c r="P16" s="30" t="str">
        <v>'1-0</v>
      </c>
      <c r="Q16" s="30" t="str">
        <v>No</v>
      </c>
      <c r="R16" s="30" t="str">
        <v>No</v>
      </c>
      <c r="S16" s="30" t="str">
        <v>Goal</v>
      </c>
      <c r="T16" s="30" t="str">
        <f t="shared" si="0"/>
        <v>1-0</v>
      </c>
      <c r="U16" s="30">
        <f t="shared" si="1"/>
        <v>1</v>
      </c>
      <c r="V16" s="30">
        <f t="shared" si="2"/>
        <v>0</v>
      </c>
      <c r="X16" s="12">
        <v>14</v>
      </c>
      <c r="Y16" s="12" t="str">
        <v>Tomáš Souček</v>
      </c>
      <c r="Z16" s="12">
        <v>31</v>
      </c>
      <c r="AA16" s="12" t="str">
        <v>Czech Republic</v>
      </c>
      <c r="AB16" s="12" t="str">
        <v>CDM</v>
      </c>
      <c r="AC16" s="12" t="str">
        <v>West Ham United</v>
      </c>
      <c r="AD16" s="12">
        <v>22</v>
      </c>
      <c r="AF16" s="42">
        <v>1930</v>
      </c>
      <c r="AG16" s="42" t="str">
        <v xml:space="preserve">21 Jul 1930 - 14:50 </v>
      </c>
      <c r="AH16" s="42" t="str">
        <v>GROUP_STAGE</v>
      </c>
      <c r="AI16" s="42" t="str">
        <v>Estadio Centenario</v>
      </c>
      <c r="AJ16" s="42" t="str">
        <v xml:space="preserve">Montevideo </v>
      </c>
      <c r="AK16" s="42" t="str">
        <v>Uruguay</v>
      </c>
      <c r="AL16" s="42">
        <v>4</v>
      </c>
      <c r="AM16" s="42">
        <v>0</v>
      </c>
      <c r="AN16" s="42" t="str">
        <v>Romania</v>
      </c>
      <c r="AO16" s="42" t="str">
        <v>-</v>
      </c>
    </row>
    <row r="17" spans="1:41">
      <c r="A17" s="13" t="str">
        <v>Austria</v>
      </c>
      <c r="B17" s="13">
        <v>28.2</v>
      </c>
      <c r="C17" s="13">
        <v>22</v>
      </c>
      <c r="D17" s="13">
        <v>31</v>
      </c>
      <c r="E17" s="13">
        <v>46</v>
      </c>
      <c r="G17" s="30">
        <v>1986</v>
      </c>
      <c r="H17" s="30" t="str">
        <v>QUARTER_FINALS</v>
      </c>
      <c r="I17" s="30" t="str">
        <v>Belgium</v>
      </c>
      <c r="J17" s="30" t="str">
        <v>Spain</v>
      </c>
      <c r="K17" s="30" t="str">
        <v>Belgium</v>
      </c>
      <c r="L17" s="30" t="str">
        <v>Enzo Scifo</v>
      </c>
      <c r="M17" s="30" t="str">
        <v>Andoni Zubizarreta</v>
      </c>
      <c r="N17" s="30">
        <v>3</v>
      </c>
      <c r="O17" s="30">
        <v>2</v>
      </c>
      <c r="P17" s="30" t="str">
        <v>'1-1</v>
      </c>
      <c r="Q17" s="30" t="str">
        <v>No</v>
      </c>
      <c r="R17" s="30" t="str">
        <v>No</v>
      </c>
      <c r="S17" s="30" t="str">
        <v>Goal</v>
      </c>
      <c r="T17" s="30" t="str">
        <f t="shared" si="0"/>
        <v>1-1</v>
      </c>
      <c r="U17" s="30">
        <f t="shared" si="1"/>
        <v>1</v>
      </c>
      <c r="V17" s="30">
        <f t="shared" si="2"/>
        <v>1</v>
      </c>
      <c r="X17" s="12">
        <v>15</v>
      </c>
      <c r="Y17" s="12" t="str">
        <v>Vladimír Darida</v>
      </c>
      <c r="Z17" s="12">
        <v>35</v>
      </c>
      <c r="AA17" s="12" t="str">
        <v>Czech Republic</v>
      </c>
      <c r="AB17" s="12" t="str">
        <v>CM</v>
      </c>
      <c r="AC17" s="12" t="str">
        <v>Hradec Králové</v>
      </c>
      <c r="AD17" s="12">
        <v>8</v>
      </c>
      <c r="AF17" s="42">
        <v>1930</v>
      </c>
      <c r="AG17" s="42" t="str">
        <v xml:space="preserve">22 Jul 1930 - 14:45 </v>
      </c>
      <c r="AH17" s="42" t="str">
        <v>GROUP_STAGE</v>
      </c>
      <c r="AI17" s="42" t="str">
        <v>Estadio Centenario</v>
      </c>
      <c r="AJ17" s="42" t="str">
        <v xml:space="preserve">Montevideo </v>
      </c>
      <c r="AK17" s="42" t="str">
        <v>Argentina</v>
      </c>
      <c r="AL17" s="42">
        <v>3</v>
      </c>
      <c r="AM17" s="42">
        <v>1</v>
      </c>
      <c r="AN17" s="42" t="str">
        <v>Chile</v>
      </c>
      <c r="AO17" s="42" t="str">
        <v>-</v>
      </c>
    </row>
    <row r="18" spans="1:41">
      <c r="A18" s="13" t="str">
        <v>Colombia</v>
      </c>
      <c r="B18" s="13">
        <v>29.6</v>
      </c>
      <c r="C18" s="13">
        <v>24</v>
      </c>
      <c r="D18" s="13">
        <v>28</v>
      </c>
      <c r="E18" s="13">
        <v>40</v>
      </c>
      <c r="G18" s="30">
        <v>1986</v>
      </c>
      <c r="H18" s="30" t="str">
        <v>QUARTER_FINALS</v>
      </c>
      <c r="I18" s="30" t="str">
        <v>Belgium</v>
      </c>
      <c r="J18" s="30" t="str">
        <v>Spain</v>
      </c>
      <c r="K18" s="30" t="str">
        <v>Spain</v>
      </c>
      <c r="L18" s="30" t="str">
        <v>Eloy Olaya</v>
      </c>
      <c r="M18" s="30" t="str">
        <v>Jean-Marie Pfaff</v>
      </c>
      <c r="N18" s="30">
        <v>4</v>
      </c>
      <c r="O18" s="30">
        <v>2</v>
      </c>
      <c r="P18" s="30" t="str">
        <v>'1-2</v>
      </c>
      <c r="Q18" s="30" t="str">
        <v>No</v>
      </c>
      <c r="R18" s="30" t="str">
        <v>No</v>
      </c>
      <c r="S18" s="30" t="str">
        <v>Saved</v>
      </c>
      <c r="T18" s="30" t="str">
        <f t="shared" si="0"/>
        <v>1-2</v>
      </c>
      <c r="U18" s="30">
        <f t="shared" si="1"/>
        <v>1</v>
      </c>
      <c r="V18" s="30">
        <f t="shared" si="2"/>
        <v>2</v>
      </c>
      <c r="X18" s="12">
        <v>16</v>
      </c>
      <c r="Y18" s="12" t="str">
        <v>Lukáš Provod</v>
      </c>
      <c r="Z18" s="12">
        <v>29</v>
      </c>
      <c r="AA18" s="12" t="str">
        <v>Czech Republic</v>
      </c>
      <c r="AB18" s="12" t="str">
        <v>CM</v>
      </c>
      <c r="AC18" s="12" t="str">
        <v>Slavia Prague</v>
      </c>
      <c r="AD18" s="12">
        <v>17</v>
      </c>
      <c r="AF18" s="42">
        <v>1930</v>
      </c>
      <c r="AG18" s="42" t="str">
        <v xml:space="preserve">26 Jul 1930 - 14:45 </v>
      </c>
      <c r="AH18" s="42" t="str">
        <v>SEMI_FINALS</v>
      </c>
      <c r="AI18" s="42" t="str">
        <v>Estadio Centenario</v>
      </c>
      <c r="AJ18" s="42" t="str">
        <v xml:space="preserve">Montevideo </v>
      </c>
      <c r="AK18" s="42" t="str">
        <v>Argentina</v>
      </c>
      <c r="AL18" s="42">
        <v>6</v>
      </c>
      <c r="AM18" s="42">
        <v>1</v>
      </c>
      <c r="AN18" s="42" t="str">
        <v>United States</v>
      </c>
      <c r="AO18" s="42" t="str">
        <v>-</v>
      </c>
    </row>
    <row r="19" spans="1:41">
      <c r="A19" s="13" t="str">
        <v>Paraguay</v>
      </c>
      <c r="B19" s="13">
        <v>28.5</v>
      </c>
      <c r="C19" s="13">
        <v>22</v>
      </c>
      <c r="D19" s="13">
        <v>32</v>
      </c>
      <c r="E19" s="13">
        <v>33</v>
      </c>
      <c r="G19" s="30">
        <v>1986</v>
      </c>
      <c r="H19" s="30" t="str">
        <v>QUARTER_FINALS</v>
      </c>
      <c r="I19" s="30" t="str">
        <v>Belgium</v>
      </c>
      <c r="J19" s="30" t="str">
        <v>Spain</v>
      </c>
      <c r="K19" s="30" t="str">
        <v>Belgium</v>
      </c>
      <c r="L19" s="30" t="str">
        <v>Hugo Broos</v>
      </c>
      <c r="M19" s="30" t="str">
        <v>Andoni Zubizarreta</v>
      </c>
      <c r="N19" s="30">
        <v>5</v>
      </c>
      <c r="O19" s="30">
        <v>3</v>
      </c>
      <c r="P19" s="30" t="str">
        <v>'1-2</v>
      </c>
      <c r="Q19" s="30" t="str">
        <v>No</v>
      </c>
      <c r="R19" s="30" t="str">
        <v>No</v>
      </c>
      <c r="S19" s="30" t="str">
        <v>Goal</v>
      </c>
      <c r="T19" s="30" t="str">
        <f t="shared" si="0"/>
        <v>1-2</v>
      </c>
      <c r="U19" s="30">
        <f t="shared" si="1"/>
        <v>1</v>
      </c>
      <c r="V19" s="30">
        <f t="shared" si="2"/>
        <v>2</v>
      </c>
      <c r="X19" s="12">
        <v>17</v>
      </c>
      <c r="Y19" s="12" t="str">
        <v>Michal Sadílek</v>
      </c>
      <c r="Z19" s="12">
        <v>27</v>
      </c>
      <c r="AA19" s="12" t="str">
        <v>Czech Republic</v>
      </c>
      <c r="AB19" s="12" t="str">
        <v>CM</v>
      </c>
      <c r="AC19" s="12" t="str">
        <v>Slavia Prague</v>
      </c>
      <c r="AD19" s="12">
        <v>18</v>
      </c>
      <c r="AF19" s="42">
        <v>1930</v>
      </c>
      <c r="AG19" s="42" t="str">
        <v xml:space="preserve">27 Jul 1930 - 14:45 </v>
      </c>
      <c r="AH19" s="42" t="str">
        <v>SEMI_FINALS</v>
      </c>
      <c r="AI19" s="42" t="str">
        <v>Estadio Centenario</v>
      </c>
      <c r="AJ19" s="42" t="str">
        <v xml:space="preserve">Montevideo </v>
      </c>
      <c r="AK19" s="42" t="str">
        <v>Uruguay</v>
      </c>
      <c r="AL19" s="42">
        <v>6</v>
      </c>
      <c r="AM19" s="42">
        <v>1</v>
      </c>
      <c r="AN19" s="42" t="str">
        <v>Yugoslavia</v>
      </c>
      <c r="AO19" s="42" t="str">
        <v>-</v>
      </c>
    </row>
    <row r="20" spans="1:41">
      <c r="A20" s="13" t="str">
        <v>Japan</v>
      </c>
      <c r="B20" s="13">
        <v>26.9</v>
      </c>
      <c r="C20" s="13">
        <v>23</v>
      </c>
      <c r="D20" s="13">
        <v>29</v>
      </c>
      <c r="E20" s="13">
        <v>33</v>
      </c>
      <c r="G20" s="30">
        <v>1986</v>
      </c>
      <c r="H20" s="30" t="str">
        <v>QUARTER_FINALS</v>
      </c>
      <c r="I20" s="30" t="str">
        <v>Belgium</v>
      </c>
      <c r="J20" s="30" t="str">
        <v>Spain</v>
      </c>
      <c r="K20" s="30" t="str">
        <v>Spain</v>
      </c>
      <c r="L20" s="30" t="str">
        <v>Chendo</v>
      </c>
      <c r="M20" s="30" t="str">
        <v>Jean-Marie Pfaff</v>
      </c>
      <c r="N20" s="30">
        <v>6</v>
      </c>
      <c r="O20" s="30">
        <v>3</v>
      </c>
      <c r="P20" s="30" t="str">
        <v>'1-3</v>
      </c>
      <c r="Q20" s="30" t="str">
        <v>No</v>
      </c>
      <c r="R20" s="30" t="str">
        <v>No</v>
      </c>
      <c r="S20" s="30" t="str">
        <v>Goal</v>
      </c>
      <c r="T20" s="30" t="str">
        <f t="shared" si="0"/>
        <v>1-3</v>
      </c>
      <c r="U20" s="30">
        <f t="shared" si="1"/>
        <v>1</v>
      </c>
      <c r="V20" s="30">
        <f t="shared" si="2"/>
        <v>3</v>
      </c>
      <c r="X20" s="12">
        <v>18</v>
      </c>
      <c r="Y20" s="12" t="str">
        <v>Alexandr Sojka</v>
      </c>
      <c r="Z20" s="12">
        <v>23</v>
      </c>
      <c r="AA20" s="12" t="str">
        <v>Czech Republic</v>
      </c>
      <c r="AB20" s="12" t="str">
        <v>CM</v>
      </c>
      <c r="AC20" s="12" t="str">
        <v>Viktoria Plzeň</v>
      </c>
      <c r="AD20" s="12">
        <v>24</v>
      </c>
      <c r="AF20" s="42">
        <v>1930</v>
      </c>
      <c r="AG20" s="42" t="str">
        <v xml:space="preserve">30 Jul 1930 - 14:15 </v>
      </c>
      <c r="AH20" s="42" t="str">
        <v>FINAL</v>
      </c>
      <c r="AI20" s="42" t="str">
        <v>Estadio Centenario</v>
      </c>
      <c r="AJ20" s="42" t="str">
        <v xml:space="preserve">Montevideo </v>
      </c>
      <c r="AK20" s="42" t="str">
        <v>Uruguay</v>
      </c>
      <c r="AL20" s="42">
        <v>4</v>
      </c>
      <c r="AM20" s="42">
        <v>2</v>
      </c>
      <c r="AN20" s="42" t="str">
        <v>Argentina</v>
      </c>
      <c r="AO20" s="42" t="str">
        <v>-</v>
      </c>
    </row>
    <row r="21" spans="1:41">
      <c r="A21" s="13" t="str">
        <v>Morocco</v>
      </c>
      <c r="B21" s="13">
        <v>26.1</v>
      </c>
      <c r="C21" s="13">
        <v>24</v>
      </c>
      <c r="D21" s="13">
        <v>29</v>
      </c>
      <c r="E21" s="13">
        <v>30</v>
      </c>
      <c r="G21" s="30">
        <v>1986</v>
      </c>
      <c r="H21" s="30" t="str">
        <v>QUARTER_FINALS</v>
      </c>
      <c r="I21" s="30" t="str">
        <v>Belgium</v>
      </c>
      <c r="J21" s="30" t="str">
        <v>Spain</v>
      </c>
      <c r="K21" s="30" t="str">
        <v>Belgium</v>
      </c>
      <c r="L21" s="30" t="str">
        <v>Stephane Demol</v>
      </c>
      <c r="M21" s="30" t="str">
        <v>Andoni Zubizarreta</v>
      </c>
      <c r="N21" s="30">
        <v>7</v>
      </c>
      <c r="O21" s="30">
        <v>4</v>
      </c>
      <c r="P21" s="30" t="str">
        <v>'2-3</v>
      </c>
      <c r="Q21" s="30" t="str">
        <v>No</v>
      </c>
      <c r="R21" s="30" t="str">
        <v>No</v>
      </c>
      <c r="S21" s="30" t="str">
        <v>Goal</v>
      </c>
      <c r="T21" s="30" t="str">
        <f t="shared" si="0"/>
        <v>2-3</v>
      </c>
      <c r="U21" s="30">
        <f t="shared" si="1"/>
        <v>2</v>
      </c>
      <c r="V21" s="30">
        <f t="shared" si="2"/>
        <v>3</v>
      </c>
      <c r="X21" s="12">
        <v>19</v>
      </c>
      <c r="Y21" s="12" t="str">
        <v>Pavel Šulc</v>
      </c>
      <c r="Z21" s="12">
        <v>25</v>
      </c>
      <c r="AA21" s="12" t="str">
        <v>Czech Republic</v>
      </c>
      <c r="AB21" s="12" t="str">
        <v>CAM</v>
      </c>
      <c r="AC21" s="12" t="str">
        <v>Lyon</v>
      </c>
      <c r="AD21" s="12">
        <v>15</v>
      </c>
      <c r="AF21" s="42">
        <v>1934</v>
      </c>
      <c r="AG21" s="42" t="str">
        <v xml:space="preserve">27 May 1934 - 16:30 </v>
      </c>
      <c r="AH21" s="42" t="str">
        <v>GROUP_STAGE</v>
      </c>
      <c r="AI21" s="42" t="str">
        <v>Stadio Benito Mussolini</v>
      </c>
      <c r="AJ21" s="42" t="str">
        <v xml:space="preserve">Turin </v>
      </c>
      <c r="AK21" s="42" t="str">
        <v>Austria</v>
      </c>
      <c r="AL21" s="42">
        <v>3</v>
      </c>
      <c r="AM21" s="42">
        <v>2</v>
      </c>
      <c r="AN21" s="42" t="str">
        <v>France</v>
      </c>
      <c r="AO21" s="42" t="str">
        <v>Austria win after extra time</v>
      </c>
    </row>
    <row r="22" spans="1:41">
      <c r="A22" s="13" t="str">
        <v>Scotland</v>
      </c>
      <c r="B22" s="13">
        <v>28.7</v>
      </c>
      <c r="C22" s="13">
        <v>22</v>
      </c>
      <c r="D22" s="13">
        <v>26</v>
      </c>
      <c r="E22" s="13">
        <v>26</v>
      </c>
      <c r="G22" s="30">
        <v>1986</v>
      </c>
      <c r="H22" s="30" t="str">
        <v>QUARTER_FINALS</v>
      </c>
      <c r="I22" s="30" t="str">
        <v>Belgium</v>
      </c>
      <c r="J22" s="30" t="str">
        <v>Spain</v>
      </c>
      <c r="K22" s="30" t="str">
        <v>Spain</v>
      </c>
      <c r="L22" s="30" t="str">
        <v>Butragueño</v>
      </c>
      <c r="M22" s="30" t="str">
        <v>Andoni Zubizarreta</v>
      </c>
      <c r="N22" s="30">
        <v>8</v>
      </c>
      <c r="O22" s="30">
        <v>4</v>
      </c>
      <c r="P22" s="30" t="str">
        <v>'2-4</v>
      </c>
      <c r="Q22" s="30" t="str">
        <v>No</v>
      </c>
      <c r="R22" s="30" t="str">
        <v>No</v>
      </c>
      <c r="S22" s="30" t="str">
        <v>Goal</v>
      </c>
      <c r="T22" s="30" t="str">
        <f t="shared" si="0"/>
        <v>2-4</v>
      </c>
      <c r="U22" s="30">
        <f t="shared" si="1"/>
        <v>2</v>
      </c>
      <c r="V22" s="30">
        <f t="shared" si="2"/>
        <v>4</v>
      </c>
      <c r="X22" s="12">
        <v>20</v>
      </c>
      <c r="Y22" s="12" t="str">
        <v>Hugo Sochůrek</v>
      </c>
      <c r="Z22" s="12">
        <v>18</v>
      </c>
      <c r="AA22" s="12" t="str">
        <v>Czech Republic</v>
      </c>
      <c r="AB22" s="12" t="str">
        <v>CAM</v>
      </c>
      <c r="AC22" s="12" t="str">
        <v>Sparta Prague</v>
      </c>
      <c r="AD22" s="12">
        <v>25</v>
      </c>
      <c r="AF22" s="42">
        <v>1934</v>
      </c>
      <c r="AG22" s="42" t="str">
        <v xml:space="preserve">27 May 1934 - 16:30 </v>
      </c>
      <c r="AH22" s="42" t="str">
        <v>GROUP_STAGE</v>
      </c>
      <c r="AI22" s="42" t="str">
        <v>Giorgio Ascarelli</v>
      </c>
      <c r="AJ22" s="42" t="str">
        <v xml:space="preserve">Naples </v>
      </c>
      <c r="AK22" s="42" t="str">
        <v>Hungary</v>
      </c>
      <c r="AL22" s="42">
        <v>4</v>
      </c>
      <c r="AM22" s="42">
        <v>2</v>
      </c>
      <c r="AN22" s="42" t="str">
        <v>Egypt</v>
      </c>
      <c r="AO22" s="42" t="str">
        <v>-</v>
      </c>
    </row>
    <row r="23" spans="1:41">
      <c r="A23" s="13" t="str">
        <v>Senegal</v>
      </c>
      <c r="B23" s="13">
        <v>26.6</v>
      </c>
      <c r="C23" s="13">
        <v>22</v>
      </c>
      <c r="D23" s="13">
        <v>15</v>
      </c>
      <c r="E23" s="13">
        <v>24</v>
      </c>
      <c r="G23" s="30">
        <v>1986</v>
      </c>
      <c r="H23" s="30" t="str">
        <v>QUARTER_FINALS</v>
      </c>
      <c r="I23" s="30" t="str">
        <v>Belgium</v>
      </c>
      <c r="J23" s="30" t="str">
        <v>Spain</v>
      </c>
      <c r="K23" s="30" t="str">
        <v>Belgium</v>
      </c>
      <c r="L23" s="30" t="str">
        <v>Leo Van Der Elst</v>
      </c>
      <c r="M23" s="30" t="str">
        <v>Andoni Zubizarreta</v>
      </c>
      <c r="N23" s="30">
        <v>9</v>
      </c>
      <c r="O23" s="30">
        <v>5</v>
      </c>
      <c r="P23" s="30" t="str">
        <v>'3-4</v>
      </c>
      <c r="Q23" s="30" t="str">
        <v>No</v>
      </c>
      <c r="R23" s="30" t="str">
        <v>Yes</v>
      </c>
      <c r="S23" s="30" t="str">
        <v>Goal</v>
      </c>
      <c r="T23" s="30" t="str">
        <f t="shared" si="0"/>
        <v>3-4</v>
      </c>
      <c r="U23" s="30">
        <f t="shared" si="1"/>
        <v>3</v>
      </c>
      <c r="V23" s="30">
        <f t="shared" si="2"/>
        <v>4</v>
      </c>
      <c r="X23" s="12">
        <v>21</v>
      </c>
      <c r="Y23" s="12" t="str">
        <v>Adam Hložek</v>
      </c>
      <c r="Z23" s="12">
        <v>23</v>
      </c>
      <c r="AA23" s="12" t="str">
        <v>Czech Republic</v>
      </c>
      <c r="AB23" s="12" t="str">
        <v>LW</v>
      </c>
      <c r="AC23" s="12" t="str">
        <v>TSG Hoffenheim</v>
      </c>
      <c r="AD23" s="12">
        <v>9</v>
      </c>
      <c r="AF23" s="42">
        <v>1934</v>
      </c>
      <c r="AG23" s="42" t="str">
        <v xml:space="preserve">27 May 1934 - 16:30 </v>
      </c>
      <c r="AH23" s="42" t="str">
        <v>GROUP_STAGE</v>
      </c>
      <c r="AI23" s="42" t="str">
        <v>San Siro</v>
      </c>
      <c r="AJ23" s="42" t="str">
        <v xml:space="preserve">Milan </v>
      </c>
      <c r="AK23" s="42" t="str">
        <v>Switzerland</v>
      </c>
      <c r="AL23" s="42">
        <v>3</v>
      </c>
      <c r="AM23" s="42">
        <v>2</v>
      </c>
      <c r="AN23" s="42" t="str">
        <v>Netherlands</v>
      </c>
      <c r="AO23" s="42" t="str">
        <v>-</v>
      </c>
    </row>
    <row r="24" spans="1:41">
      <c r="A24" s="13" t="str">
        <v>Turkey</v>
      </c>
      <c r="B24" s="13">
        <v>27.2</v>
      </c>
      <c r="C24" s="13">
        <v>16</v>
      </c>
      <c r="D24" s="13">
        <v>10</v>
      </c>
      <c r="E24" s="13">
        <v>20</v>
      </c>
      <c r="G24" s="30">
        <v>1986</v>
      </c>
      <c r="H24" s="30" t="str">
        <v>QUARTER_FINALS</v>
      </c>
      <c r="I24" s="30" t="str">
        <v>Brazil</v>
      </c>
      <c r="J24" s="30" t="str">
        <v>France</v>
      </c>
      <c r="K24" s="30" t="str">
        <v>Brazil</v>
      </c>
      <c r="L24" s="30" t="str">
        <v>Sócrates</v>
      </c>
      <c r="M24" s="30" t="str">
        <v>Joël Bats</v>
      </c>
      <c r="N24" s="30">
        <v>1</v>
      </c>
      <c r="O24" s="30">
        <v>1</v>
      </c>
      <c r="P24" s="30" t="str">
        <v>'0-0</v>
      </c>
      <c r="Q24" s="30" t="str">
        <v>No</v>
      </c>
      <c r="R24" s="30" t="str">
        <v>No</v>
      </c>
      <c r="S24" s="30" t="str">
        <v>Saved</v>
      </c>
      <c r="T24" s="30" t="str">
        <f t="shared" si="0"/>
        <v>0-0</v>
      </c>
      <c r="U24" s="30">
        <f t="shared" si="1"/>
        <v>0</v>
      </c>
      <c r="V24" s="30">
        <f t="shared" si="2"/>
        <v>0</v>
      </c>
      <c r="X24" s="12">
        <v>22</v>
      </c>
      <c r="Y24" s="12" t="str">
        <v>Denis Višinský</v>
      </c>
      <c r="Z24" s="12">
        <v>23</v>
      </c>
      <c r="AA24" s="12" t="str">
        <v>Czech Republic</v>
      </c>
      <c r="AB24" s="12" t="str">
        <v>RW</v>
      </c>
      <c r="AC24" s="12" t="str">
        <v>Viktoria Plzeň</v>
      </c>
      <c r="AD24" s="12">
        <v>26</v>
      </c>
      <c r="AF24" s="42">
        <v>1934</v>
      </c>
      <c r="AG24" s="42" t="str">
        <v xml:space="preserve">27 May 1934 - 16:30 </v>
      </c>
      <c r="AH24" s="42" t="str">
        <v>GROUP_STAGE</v>
      </c>
      <c r="AI24" s="42" t="str">
        <v>Littorale</v>
      </c>
      <c r="AJ24" s="42" t="str">
        <v xml:space="preserve">Bologna </v>
      </c>
      <c r="AK24" s="42" t="str">
        <v>Sweden</v>
      </c>
      <c r="AL24" s="42">
        <v>3</v>
      </c>
      <c r="AM24" s="42">
        <v>2</v>
      </c>
      <c r="AN24" s="42" t="str">
        <v>Argentina</v>
      </c>
      <c r="AO24" s="42" t="str">
        <v>-</v>
      </c>
    </row>
    <row r="25" spans="1:41">
      <c r="A25" s="13" t="str">
        <v>Australia</v>
      </c>
      <c r="B25" s="13">
        <v>26.9</v>
      </c>
      <c r="C25" s="13">
        <v>22</v>
      </c>
      <c r="D25" s="13">
        <v>24</v>
      </c>
      <c r="E25" s="13">
        <v>20</v>
      </c>
      <c r="G25" s="30">
        <v>1986</v>
      </c>
      <c r="H25" s="30" t="str">
        <v>QUARTER_FINALS</v>
      </c>
      <c r="I25" s="30" t="str">
        <v>Brazil</v>
      </c>
      <c r="J25" s="30" t="str">
        <v>France</v>
      </c>
      <c r="K25" s="30" t="str">
        <v>France</v>
      </c>
      <c r="L25" s="30" t="str">
        <v>Yannick Stopyra</v>
      </c>
      <c r="M25" s="30" t="str">
        <v>Carlos</v>
      </c>
      <c r="N25" s="30">
        <v>2</v>
      </c>
      <c r="O25" s="30">
        <v>1</v>
      </c>
      <c r="P25" s="30" t="str">
        <v>'0-0</v>
      </c>
      <c r="Q25" s="30" t="str">
        <v>No</v>
      </c>
      <c r="R25" s="30" t="str">
        <v>No</v>
      </c>
      <c r="S25" s="30" t="str">
        <v>Goal</v>
      </c>
      <c r="T25" s="30" t="str">
        <f t="shared" si="0"/>
        <v>0-0</v>
      </c>
      <c r="U25" s="30">
        <f t="shared" si="1"/>
        <v>0</v>
      </c>
      <c r="V25" s="30">
        <f t="shared" si="2"/>
        <v>0</v>
      </c>
      <c r="X25" s="12">
        <v>23</v>
      </c>
      <c r="Y25" s="12" t="str">
        <v>Patrik Schick</v>
      </c>
      <c r="Z25" s="12">
        <v>30</v>
      </c>
      <c r="AA25" s="12" t="str">
        <v>Czech Republic</v>
      </c>
      <c r="AB25" s="12" t="str">
        <v>ST</v>
      </c>
      <c r="AC25" s="12" t="str">
        <v>Bayer Leverkusen</v>
      </c>
      <c r="AD25" s="12">
        <v>10</v>
      </c>
      <c r="AF25" s="42">
        <v>1934</v>
      </c>
      <c r="AG25" s="42" t="str">
        <v xml:space="preserve">27 May 1934 - 16:30 </v>
      </c>
      <c r="AH25" s="42" t="str">
        <v>GROUP_STAGE</v>
      </c>
      <c r="AI25" s="42" t="str">
        <v>Giovanni Berta</v>
      </c>
      <c r="AJ25" s="42" t="str">
        <v xml:space="preserve">Florence </v>
      </c>
      <c r="AK25" s="42" t="str">
        <v>Germany</v>
      </c>
      <c r="AL25" s="42">
        <v>5</v>
      </c>
      <c r="AM25" s="42">
        <v>2</v>
      </c>
      <c r="AN25" s="42" t="str">
        <v>Belgium</v>
      </c>
      <c r="AO25" s="42" t="str">
        <v>-</v>
      </c>
    </row>
    <row r="26" spans="1:41">
      <c r="A26" s="13" t="str">
        <v>Ghana</v>
      </c>
      <c r="B26" s="13">
        <v>26.4</v>
      </c>
      <c r="C26" s="13">
        <v>23</v>
      </c>
      <c r="D26" s="13">
        <v>18</v>
      </c>
      <c r="E26" s="13">
        <v>20</v>
      </c>
      <c r="G26" s="30">
        <v>1986</v>
      </c>
      <c r="H26" s="30" t="str">
        <v>QUARTER_FINALS</v>
      </c>
      <c r="I26" s="30" t="str">
        <v>Brazil</v>
      </c>
      <c r="J26" s="30" t="str">
        <v>France</v>
      </c>
      <c r="K26" s="30" t="str">
        <v>Brazil</v>
      </c>
      <c r="L26" s="30" t="str">
        <v>Alemão</v>
      </c>
      <c r="M26" s="30" t="str">
        <v>Joël Bats</v>
      </c>
      <c r="N26" s="30">
        <v>3</v>
      </c>
      <c r="O26" s="30">
        <v>2</v>
      </c>
      <c r="P26" s="30" t="str">
        <v>'0-1</v>
      </c>
      <c r="Q26" s="30" t="str">
        <v>No</v>
      </c>
      <c r="R26" s="30" t="str">
        <v>No</v>
      </c>
      <c r="S26" s="30" t="str">
        <v>Goal</v>
      </c>
      <c r="T26" s="30" t="str">
        <f t="shared" si="0"/>
        <v>0-1</v>
      </c>
      <c r="U26" s="30">
        <f t="shared" si="1"/>
        <v>0</v>
      </c>
      <c r="V26" s="30">
        <f t="shared" si="2"/>
        <v>1</v>
      </c>
      <c r="X26" s="12">
        <v>24</v>
      </c>
      <c r="Y26" s="12" t="str">
        <v>Jan Kuchta</v>
      </c>
      <c r="Z26" s="12">
        <v>29</v>
      </c>
      <c r="AA26" s="12" t="str">
        <v>Czech Republic</v>
      </c>
      <c r="AB26" s="12" t="str">
        <v>ST</v>
      </c>
      <c r="AC26" s="12" t="str">
        <v>Sparta Prague</v>
      </c>
      <c r="AD26" s="12">
        <v>11</v>
      </c>
      <c r="AF26" s="42">
        <v>1934</v>
      </c>
      <c r="AG26" s="42" t="str">
        <v xml:space="preserve">27 May 1934 - 16:30 </v>
      </c>
      <c r="AH26" s="42" t="str">
        <v>GROUP_STAGE</v>
      </c>
      <c r="AI26" s="42" t="str">
        <v>Luigi Ferraris</v>
      </c>
      <c r="AJ26" s="42" t="str">
        <v xml:space="preserve">Genoa </v>
      </c>
      <c r="AK26" s="42" t="str">
        <v>Spain</v>
      </c>
      <c r="AL26" s="42">
        <v>3</v>
      </c>
      <c r="AM26" s="42">
        <v>1</v>
      </c>
      <c r="AN26" s="42" t="str">
        <v>Brazil</v>
      </c>
      <c r="AO26" s="42" t="str">
        <v>-</v>
      </c>
    </row>
    <row r="27" spans="1:41">
      <c r="A27" s="13" t="str">
        <v>Norway</v>
      </c>
      <c r="B27" s="13">
        <v>26.3</v>
      </c>
      <c r="C27" s="13">
        <v>22</v>
      </c>
      <c r="D27" s="13">
        <v>13</v>
      </c>
      <c r="E27" s="13">
        <v>17</v>
      </c>
      <c r="G27" s="30">
        <v>1986</v>
      </c>
      <c r="H27" s="30" t="str">
        <v>QUARTER_FINALS</v>
      </c>
      <c r="I27" s="30" t="str">
        <v>Brazil</v>
      </c>
      <c r="J27" s="30" t="str">
        <v>France</v>
      </c>
      <c r="K27" s="30" t="str">
        <v>Brazil</v>
      </c>
      <c r="L27" s="30" t="str">
        <v>Alemão</v>
      </c>
      <c r="M27" s="30" t="str">
        <v>Joël Bats</v>
      </c>
      <c r="N27" s="30">
        <v>3</v>
      </c>
      <c r="O27" s="30">
        <v>2</v>
      </c>
      <c r="P27" s="30" t="str">
        <v>'1-0</v>
      </c>
      <c r="Q27" s="30" t="str">
        <v>No</v>
      </c>
      <c r="R27" s="30" t="str">
        <v>No</v>
      </c>
      <c r="S27" s="30" t="str">
        <v>Goal</v>
      </c>
      <c r="T27" s="30" t="str">
        <f t="shared" si="0"/>
        <v>1-0</v>
      </c>
      <c r="U27" s="30">
        <f t="shared" si="1"/>
        <v>1</v>
      </c>
      <c r="V27" s="30">
        <f t="shared" si="2"/>
        <v>0</v>
      </c>
      <c r="X27" s="12">
        <v>25</v>
      </c>
      <c r="Y27" s="12" t="str">
        <v>Mojmír Chytil</v>
      </c>
      <c r="Z27" s="12">
        <v>27</v>
      </c>
      <c r="AA27" s="12" t="str">
        <v>Czech Republic</v>
      </c>
      <c r="AB27" s="12" t="str">
        <v>ST</v>
      </c>
      <c r="AC27" s="12" t="str">
        <v>Slavia Prague</v>
      </c>
      <c r="AD27" s="12">
        <v>13</v>
      </c>
      <c r="AF27" s="42">
        <v>1934</v>
      </c>
      <c r="AG27" s="42" t="str">
        <v xml:space="preserve">27 May 1934 - 16:30 </v>
      </c>
      <c r="AH27" s="42" t="str">
        <v>GROUP_STAGE</v>
      </c>
      <c r="AI27" s="42" t="str">
        <v>Nazionale PNF</v>
      </c>
      <c r="AJ27" s="42" t="str">
        <v xml:space="preserve">Rome </v>
      </c>
      <c r="AK27" s="42" t="str">
        <v>Italy</v>
      </c>
      <c r="AL27" s="42">
        <v>7</v>
      </c>
      <c r="AM27" s="42">
        <v>1</v>
      </c>
      <c r="AN27" s="42" t="str">
        <v>United States</v>
      </c>
      <c r="AO27" s="42" t="str">
        <v>-</v>
      </c>
    </row>
    <row r="28" spans="1:41">
      <c r="A28" s="13" t="str">
        <v>Ecuador</v>
      </c>
      <c r="B28" s="13">
        <v>25.6</v>
      </c>
      <c r="C28" s="13">
        <v>23</v>
      </c>
      <c r="D28" s="13">
        <v>17</v>
      </c>
      <c r="E28" s="13">
        <v>16</v>
      </c>
      <c r="G28" s="30">
        <v>1986</v>
      </c>
      <c r="H28" s="30" t="str">
        <v>QUARTER_FINALS</v>
      </c>
      <c r="I28" s="30" t="str">
        <v>Brazil</v>
      </c>
      <c r="J28" s="30" t="str">
        <v>France</v>
      </c>
      <c r="K28" s="30" t="str">
        <v>France</v>
      </c>
      <c r="L28" s="30" t="str">
        <v>Manuel Amoros</v>
      </c>
      <c r="M28" s="30" t="str">
        <v>Carlos</v>
      </c>
      <c r="N28" s="30">
        <v>4</v>
      </c>
      <c r="O28" s="30">
        <v>2</v>
      </c>
      <c r="P28" s="30" t="str">
        <v>'1-1</v>
      </c>
      <c r="Q28" s="30" t="str">
        <v>No</v>
      </c>
      <c r="R28" s="30" t="str">
        <v>No</v>
      </c>
      <c r="S28" s="30" t="str">
        <v>Goal</v>
      </c>
      <c r="T28" s="30" t="str">
        <f t="shared" si="0"/>
        <v>1-1</v>
      </c>
      <c r="U28" s="30">
        <f t="shared" si="1"/>
        <v>1</v>
      </c>
      <c r="V28" s="30">
        <f t="shared" si="2"/>
        <v>1</v>
      </c>
      <c r="X28" s="12">
        <v>26</v>
      </c>
      <c r="Y28" s="12" t="str">
        <v>Tomáš Chorý</v>
      </c>
      <c r="Z28" s="12">
        <v>31</v>
      </c>
      <c r="AA28" s="12" t="str">
        <v>Czech Republic</v>
      </c>
      <c r="AB28" s="12" t="str">
        <v>ST</v>
      </c>
      <c r="AC28" s="12" t="str">
        <v>Slavia Prague</v>
      </c>
      <c r="AD28" s="12">
        <v>19</v>
      </c>
      <c r="AF28" s="42">
        <v>1934</v>
      </c>
      <c r="AG28" s="42" t="str">
        <v xml:space="preserve">27 May 1934 - 16:30 </v>
      </c>
      <c r="AH28" s="42" t="str">
        <v>GROUP_STAGE</v>
      </c>
      <c r="AI28" s="42" t="str">
        <v>Littorio</v>
      </c>
      <c r="AJ28" s="42" t="str">
        <v xml:space="preserve">Trieste </v>
      </c>
      <c r="AK28" s="42" t="str">
        <v>Czechoslovakia</v>
      </c>
      <c r="AL28" s="42">
        <v>2</v>
      </c>
      <c r="AM28" s="42">
        <v>1</v>
      </c>
      <c r="AN28" s="42" t="str">
        <v>Romania</v>
      </c>
      <c r="AO28" s="42" t="str">
        <v>-</v>
      </c>
    </row>
    <row r="29" spans="1:41">
      <c r="A29" s="13" t="str">
        <v>Tunisia</v>
      </c>
      <c r="B29" s="13">
        <v>26.2</v>
      </c>
      <c r="C29" s="13">
        <v>24</v>
      </c>
      <c r="D29" s="13">
        <v>21</v>
      </c>
      <c r="E29" s="13">
        <v>16</v>
      </c>
      <c r="G29" s="30">
        <v>1986</v>
      </c>
      <c r="H29" s="30" t="str">
        <v>QUARTER_FINALS</v>
      </c>
      <c r="I29" s="30" t="str">
        <v>Brazil</v>
      </c>
      <c r="J29" s="30" t="str">
        <v>France</v>
      </c>
      <c r="K29" s="30" t="str">
        <v>Brazil</v>
      </c>
      <c r="L29" s="30" t="str">
        <v>Zico</v>
      </c>
      <c r="M29" s="30" t="str">
        <v>Joël Bats</v>
      </c>
      <c r="N29" s="30">
        <v>5</v>
      </c>
      <c r="O29" s="30">
        <v>3</v>
      </c>
      <c r="P29" s="30" t="str">
        <v>'2-1</v>
      </c>
      <c r="Q29" s="30" t="str">
        <v>No</v>
      </c>
      <c r="R29" s="30" t="str">
        <v>No</v>
      </c>
      <c r="S29" s="30" t="str">
        <v>Goal</v>
      </c>
      <c r="T29" s="30" t="str">
        <f t="shared" si="0"/>
        <v>2-1</v>
      </c>
      <c r="U29" s="30">
        <f t="shared" si="1"/>
        <v>2</v>
      </c>
      <c r="V29" s="30">
        <f t="shared" si="2"/>
        <v>1</v>
      </c>
      <c r="X29" s="12">
        <v>27</v>
      </c>
      <c r="Y29" s="12" t="str">
        <v>Raúl Rangel</v>
      </c>
      <c r="Z29" s="12">
        <v>26</v>
      </c>
      <c r="AA29" s="12" t="str">
        <v>Mexico</v>
      </c>
      <c r="AB29" s="12" t="str">
        <v>GK</v>
      </c>
      <c r="AC29" s="12" t="str">
        <v>Guadalajara</v>
      </c>
      <c r="AD29" s="12">
        <v>1</v>
      </c>
      <c r="AF29" s="42">
        <v>1934</v>
      </c>
      <c r="AG29" s="42" t="str">
        <v xml:space="preserve">31 May 1934 - 16:30 </v>
      </c>
      <c r="AH29" s="42" t="str">
        <v>QUARTER_FINALS</v>
      </c>
      <c r="AI29" s="42" t="str">
        <v>Stadio Benito Mussolini</v>
      </c>
      <c r="AJ29" s="42" t="str">
        <v xml:space="preserve">Turin </v>
      </c>
      <c r="AK29" s="42" t="str">
        <v>Czechoslovakia</v>
      </c>
      <c r="AL29" s="42">
        <v>3</v>
      </c>
      <c r="AM29" s="42">
        <v>2</v>
      </c>
      <c r="AN29" s="42" t="str">
        <v>Switzerland</v>
      </c>
      <c r="AO29" s="42" t="str">
        <v>-</v>
      </c>
    </row>
    <row r="30" spans="1:41">
      <c r="A30" s="13" t="str">
        <v>Saudi Arabia</v>
      </c>
      <c r="B30" s="13">
        <v>28</v>
      </c>
      <c r="C30" s="13">
        <v>9</v>
      </c>
      <c r="D30" s="13">
        <v>22</v>
      </c>
      <c r="E30" s="13">
        <v>15</v>
      </c>
      <c r="G30" s="30">
        <v>1986</v>
      </c>
      <c r="H30" s="30" t="str">
        <v>QUARTER_FINALS</v>
      </c>
      <c r="I30" s="30" t="str">
        <v>Brazil</v>
      </c>
      <c r="J30" s="30" t="str">
        <v>France</v>
      </c>
      <c r="K30" s="30" t="str">
        <v>France</v>
      </c>
      <c r="L30" s="30" t="str">
        <v>Bruno Bellone</v>
      </c>
      <c r="M30" s="30" t="str">
        <v>Carlos</v>
      </c>
      <c r="N30" s="30">
        <v>6</v>
      </c>
      <c r="O30" s="30">
        <v>3</v>
      </c>
      <c r="P30" s="30" t="str">
        <v>'2-2</v>
      </c>
      <c r="Q30" s="30" t="str">
        <v>No</v>
      </c>
      <c r="R30" s="30" t="str">
        <v>No</v>
      </c>
      <c r="S30" s="30" t="str">
        <v>Goal</v>
      </c>
      <c r="T30" s="30" t="str">
        <f t="shared" si="0"/>
        <v>2-2</v>
      </c>
      <c r="U30" s="30">
        <f t="shared" si="1"/>
        <v>2</v>
      </c>
      <c r="V30" s="30">
        <f t="shared" si="2"/>
        <v>2</v>
      </c>
      <c r="X30" s="12">
        <v>28</v>
      </c>
      <c r="Y30" s="12" t="str">
        <v>Carlos Acevedo</v>
      </c>
      <c r="Z30" s="12">
        <v>30</v>
      </c>
      <c r="AA30" s="12" t="str">
        <v>Mexico</v>
      </c>
      <c r="AB30" s="12" t="str">
        <v>GK</v>
      </c>
      <c r="AC30" s="12" t="str">
        <v>Santos Laguna</v>
      </c>
      <c r="AD30" s="12">
        <v>12</v>
      </c>
      <c r="AF30" s="42">
        <v>1934</v>
      </c>
      <c r="AG30" s="42" t="str">
        <v xml:space="preserve">31 May 1934 - 16:30 </v>
      </c>
      <c r="AH30" s="42" t="str">
        <v>QUARTER_FINALS</v>
      </c>
      <c r="AI30" s="42" t="str">
        <v>San Siro</v>
      </c>
      <c r="AJ30" s="42" t="str">
        <v xml:space="preserve">Milan </v>
      </c>
      <c r="AK30" s="42" t="str">
        <v>Germany</v>
      </c>
      <c r="AL30" s="42">
        <v>2</v>
      </c>
      <c r="AM30" s="42">
        <v>1</v>
      </c>
      <c r="AN30" s="42" t="str">
        <v>Sweden</v>
      </c>
      <c r="AO30" s="42" t="str">
        <v>-</v>
      </c>
    </row>
    <row r="31" spans="1:41">
      <c r="A31" s="13" t="str">
        <v>Algeria</v>
      </c>
      <c r="B31" s="13">
        <v>26.5</v>
      </c>
      <c r="C31" s="13">
        <v>24</v>
      </c>
      <c r="D31" s="13">
        <v>16</v>
      </c>
      <c r="E31" s="13">
        <v>14</v>
      </c>
      <c r="G31" s="30">
        <v>1986</v>
      </c>
      <c r="H31" s="30" t="str">
        <v>QUARTER_FINALS</v>
      </c>
      <c r="I31" s="30" t="str">
        <v>Brazil</v>
      </c>
      <c r="J31" s="30" t="str">
        <v>France</v>
      </c>
      <c r="K31" s="30" t="str">
        <v>Brazil</v>
      </c>
      <c r="L31" s="30" t="str">
        <v>Branco</v>
      </c>
      <c r="M31" s="30" t="str">
        <v>Joël Bats</v>
      </c>
      <c r="N31" s="30">
        <v>7</v>
      </c>
      <c r="O31" s="30">
        <v>4</v>
      </c>
      <c r="P31" s="30" t="str">
        <v>'3-2</v>
      </c>
      <c r="Q31" s="30" t="str">
        <v>No</v>
      </c>
      <c r="R31" s="30" t="str">
        <v>No</v>
      </c>
      <c r="S31" s="30" t="str">
        <v>Goal</v>
      </c>
      <c r="T31" s="30" t="str">
        <f t="shared" si="0"/>
        <v>3-2</v>
      </c>
      <c r="U31" s="30">
        <f t="shared" si="1"/>
        <v>3</v>
      </c>
      <c r="V31" s="30">
        <f t="shared" si="2"/>
        <v>2</v>
      </c>
      <c r="X31" s="12">
        <v>29</v>
      </c>
      <c r="Y31" s="12" t="str">
        <v>Guillermo Ochoa</v>
      </c>
      <c r="Z31" s="12">
        <v>40</v>
      </c>
      <c r="AA31" s="12" t="str">
        <v>Mexico</v>
      </c>
      <c r="AB31" s="12" t="str">
        <v>GK</v>
      </c>
      <c r="AC31" s="12" t="str">
        <v>AEL Limassol</v>
      </c>
      <c r="AD31" s="12">
        <v>13</v>
      </c>
      <c r="AF31" s="42">
        <v>1934</v>
      </c>
      <c r="AG31" s="42" t="str">
        <v xml:space="preserve">31 May 1934 - 16:30 </v>
      </c>
      <c r="AH31" s="42" t="str">
        <v>QUARTER_FINALS</v>
      </c>
      <c r="AI31" s="42" t="str">
        <v>Giovanni Berta</v>
      </c>
      <c r="AJ31" s="42" t="str">
        <v xml:space="preserve">Florence </v>
      </c>
      <c r="AK31" s="42" t="str">
        <v>Italy</v>
      </c>
      <c r="AL31" s="42">
        <v>1</v>
      </c>
      <c r="AM31" s="42">
        <v>1</v>
      </c>
      <c r="AN31" s="42" t="str">
        <v>Spain</v>
      </c>
      <c r="AO31" s="42" t="str">
        <v>-</v>
      </c>
    </row>
    <row r="32" spans="1:41">
      <c r="A32" s="13" t="str">
        <v>Iran</v>
      </c>
      <c r="B32" s="13">
        <v>29.8</v>
      </c>
      <c r="C32" s="13">
        <v>14</v>
      </c>
      <c r="D32" s="13">
        <v>15</v>
      </c>
      <c r="E32" s="13">
        <v>14</v>
      </c>
      <c r="G32" s="30">
        <v>1986</v>
      </c>
      <c r="H32" s="30" t="str">
        <v>QUARTER_FINALS</v>
      </c>
      <c r="I32" s="30" t="str">
        <v>Brazil</v>
      </c>
      <c r="J32" s="30" t="str">
        <v>France</v>
      </c>
      <c r="K32" s="30" t="str">
        <v>France</v>
      </c>
      <c r="L32" s="30" t="str">
        <v>Michel Platini</v>
      </c>
      <c r="M32" s="30" t="str">
        <v>Carlos</v>
      </c>
      <c r="N32" s="30">
        <v>8</v>
      </c>
      <c r="O32" s="30">
        <v>4</v>
      </c>
      <c r="P32" s="30" t="str">
        <v>'3-3</v>
      </c>
      <c r="Q32" s="30" t="str">
        <v>No</v>
      </c>
      <c r="R32" s="30" t="str">
        <v>No</v>
      </c>
      <c r="S32" s="30" t="str">
        <v>Missed</v>
      </c>
      <c r="T32" s="30" t="str">
        <f t="shared" si="0"/>
        <v>3-3</v>
      </c>
      <c r="U32" s="30">
        <f t="shared" si="1"/>
        <v>3</v>
      </c>
      <c r="V32" s="30">
        <f t="shared" si="2"/>
        <v>3</v>
      </c>
      <c r="X32" s="12">
        <v>30</v>
      </c>
      <c r="Y32" s="12" t="str">
        <v>César Montes</v>
      </c>
      <c r="Z32" s="12">
        <v>29</v>
      </c>
      <c r="AA32" s="12" t="str">
        <v>Mexico</v>
      </c>
      <c r="AB32" s="12" t="str">
        <v>CB</v>
      </c>
      <c r="AC32" s="12" t="str">
        <v>Lokomotiv Moscow</v>
      </c>
      <c r="AD32" s="12">
        <v>3</v>
      </c>
      <c r="AF32" s="42">
        <v>1934</v>
      </c>
      <c r="AG32" s="42" t="str">
        <v xml:space="preserve">31 May 1934 - 16:30 </v>
      </c>
      <c r="AH32" s="42" t="str">
        <v>QUARTER_FINALS</v>
      </c>
      <c r="AI32" s="42" t="str">
        <v>Littorale</v>
      </c>
      <c r="AJ32" s="42" t="str">
        <v xml:space="preserve">Bologna </v>
      </c>
      <c r="AK32" s="42" t="str">
        <v>Austria</v>
      </c>
      <c r="AL32" s="42">
        <v>2</v>
      </c>
      <c r="AM32" s="42">
        <v>1</v>
      </c>
      <c r="AN32" s="42" t="str">
        <v>Hungary</v>
      </c>
      <c r="AO32" s="42" t="str">
        <v>-</v>
      </c>
    </row>
    <row r="33" spans="1:41">
      <c r="A33" s="13" t="str">
        <v>Egypt</v>
      </c>
      <c r="B33" s="13">
        <v>28.7</v>
      </c>
      <c r="C33" s="13">
        <v>14</v>
      </c>
      <c r="D33" s="13">
        <v>12</v>
      </c>
      <c r="E33" s="13">
        <v>13</v>
      </c>
      <c r="G33" s="30">
        <v>1986</v>
      </c>
      <c r="H33" s="30" t="str">
        <v>QUARTER_FINALS</v>
      </c>
      <c r="I33" s="30" t="str">
        <v>Brazil</v>
      </c>
      <c r="J33" s="30" t="str">
        <v>France</v>
      </c>
      <c r="K33" s="30" t="str">
        <v>Brazil</v>
      </c>
      <c r="L33" s="30" t="str">
        <v>Júlio César</v>
      </c>
      <c r="M33" s="30" t="str">
        <v>Joël Bats</v>
      </c>
      <c r="N33" s="30">
        <v>9</v>
      </c>
      <c r="O33" s="30">
        <v>5</v>
      </c>
      <c r="P33" s="30" t="str">
        <v>'3-3</v>
      </c>
      <c r="Q33" s="30" t="str">
        <v>No</v>
      </c>
      <c r="R33" s="30" t="str">
        <v>No</v>
      </c>
      <c r="S33" s="30" t="str">
        <v>Missed</v>
      </c>
      <c r="T33" s="30" t="str">
        <f t="shared" si="0"/>
        <v>3-3</v>
      </c>
      <c r="U33" s="30">
        <f t="shared" si="1"/>
        <v>3</v>
      </c>
      <c r="V33" s="30">
        <f t="shared" si="2"/>
        <v>3</v>
      </c>
      <c r="X33" s="12">
        <v>31</v>
      </c>
      <c r="Y33" s="12" t="str">
        <v>Johan Vásquez</v>
      </c>
      <c r="Z33" s="12">
        <v>27</v>
      </c>
      <c r="AA33" s="12" t="str">
        <v>Mexico</v>
      </c>
      <c r="AB33" s="12" t="str">
        <v>CB</v>
      </c>
      <c r="AC33" s="12" t="str">
        <v>Genoa</v>
      </c>
      <c r="AD33" s="12">
        <v>5</v>
      </c>
      <c r="AF33" s="42">
        <v>1934</v>
      </c>
      <c r="AG33" s="42" t="str">
        <v xml:space="preserve">01 Jun 1934 - 16:30 </v>
      </c>
      <c r="AH33" s="42" t="str">
        <v>QUARTER_FINALS</v>
      </c>
      <c r="AI33" s="42" t="str">
        <v>Giovanni Berta</v>
      </c>
      <c r="AJ33" s="42" t="str">
        <v xml:space="preserve">Florence </v>
      </c>
      <c r="AK33" s="42" t="str">
        <v>Italy</v>
      </c>
      <c r="AL33" s="42">
        <v>1</v>
      </c>
      <c r="AM33" s="42">
        <v>0</v>
      </c>
      <c r="AN33" s="42" t="str">
        <v>Spain</v>
      </c>
      <c r="AO33" s="42" t="str">
        <v>-</v>
      </c>
    </row>
    <row r="34" spans="1:41">
      <c r="A34" s="13" t="str">
        <v>South Africa</v>
      </c>
      <c r="B34" s="13">
        <v>26.3</v>
      </c>
      <c r="C34" s="13">
        <v>12</v>
      </c>
      <c r="D34" s="13">
        <v>13</v>
      </c>
      <c r="E34" s="13">
        <v>13</v>
      </c>
      <c r="G34" s="30">
        <v>1986</v>
      </c>
      <c r="H34" s="30" t="str">
        <v>QUARTER_FINALS</v>
      </c>
      <c r="I34" s="30" t="str">
        <v>Brazil</v>
      </c>
      <c r="J34" s="30" t="str">
        <v>France</v>
      </c>
      <c r="K34" s="30" t="str">
        <v>France</v>
      </c>
      <c r="L34" s="30" t="str">
        <v>Luis Fernández</v>
      </c>
      <c r="M34" s="30" t="str">
        <v>Carlos</v>
      </c>
      <c r="N34" s="30">
        <v>10</v>
      </c>
      <c r="O34" s="30">
        <v>5</v>
      </c>
      <c r="P34" s="30" t="str">
        <v>'3-3</v>
      </c>
      <c r="Q34" s="30" t="str">
        <v>No</v>
      </c>
      <c r="R34" s="30" t="str">
        <v>Yes</v>
      </c>
      <c r="S34" s="30" t="str">
        <v>Goal</v>
      </c>
      <c r="T34" s="30" t="str">
        <f t="shared" si="0"/>
        <v>3-3</v>
      </c>
      <c r="U34" s="30">
        <f t="shared" si="1"/>
        <v>3</v>
      </c>
      <c r="V34" s="30">
        <f t="shared" si="2"/>
        <v>3</v>
      </c>
      <c r="X34" s="12">
        <v>32</v>
      </c>
      <c r="Y34" s="12" t="str">
        <v>Israel Reyes</v>
      </c>
      <c r="Z34" s="12">
        <v>26</v>
      </c>
      <c r="AA34" s="12" t="str">
        <v>Mexico</v>
      </c>
      <c r="AB34" s="12" t="str">
        <v>CB</v>
      </c>
      <c r="AC34" s="12" t="str">
        <v>América</v>
      </c>
      <c r="AD34" s="12">
        <v>15</v>
      </c>
      <c r="AF34" s="42">
        <v>1934</v>
      </c>
      <c r="AG34" s="42" t="str">
        <v xml:space="preserve">03 Jun 1934 - 16:30 </v>
      </c>
      <c r="AH34" s="42" t="str">
        <v>SEMI_FINALS</v>
      </c>
      <c r="AI34" s="42" t="str">
        <v>San Siro</v>
      </c>
      <c r="AJ34" s="42" t="str">
        <v xml:space="preserve">Milan </v>
      </c>
      <c r="AK34" s="42" t="str">
        <v>Italy</v>
      </c>
      <c r="AL34" s="42">
        <v>1</v>
      </c>
      <c r="AM34" s="42">
        <v>0</v>
      </c>
      <c r="AN34" s="42" t="str">
        <v>Austria</v>
      </c>
      <c r="AO34" s="42" t="str">
        <v>-</v>
      </c>
    </row>
    <row r="35" spans="1:41">
      <c r="A35" s="13" t="str">
        <v>Canada</v>
      </c>
      <c r="B35" s="13">
        <v>26.5</v>
      </c>
      <c r="C35" s="13">
        <v>22</v>
      </c>
      <c r="D35" s="13">
        <v>11</v>
      </c>
      <c r="E35" s="13">
        <v>11</v>
      </c>
      <c r="G35" s="30">
        <v>1986</v>
      </c>
      <c r="H35" s="30" t="str">
        <v>QUARTER_FINALS</v>
      </c>
      <c r="I35" s="30" t="str">
        <v>FR Germany</v>
      </c>
      <c r="J35" s="30" t="str">
        <v>Mexico</v>
      </c>
      <c r="K35" s="30" t="str">
        <v>FR Germany</v>
      </c>
      <c r="L35" s="30" t="str">
        <v>Klaus Allofs</v>
      </c>
      <c r="M35" s="30" t="str">
        <v>Pablo Larios</v>
      </c>
      <c r="N35" s="30">
        <v>1</v>
      </c>
      <c r="O35" s="30">
        <v>1</v>
      </c>
      <c r="P35" s="30" t="str">
        <v>'0-0</v>
      </c>
      <c r="Q35" s="30" t="str">
        <v>No</v>
      </c>
      <c r="R35" s="30" t="str">
        <v>No</v>
      </c>
      <c r="S35" s="30" t="str">
        <v>Goal</v>
      </c>
      <c r="T35" s="30" t="str">
        <f t="shared" si="0"/>
        <v>0-0</v>
      </c>
      <c r="U35" s="30">
        <f t="shared" si="1"/>
        <v>0</v>
      </c>
      <c r="V35" s="30">
        <f t="shared" si="2"/>
        <v>0</v>
      </c>
      <c r="X35" s="12">
        <v>33</v>
      </c>
      <c r="Y35" s="12" t="str">
        <v>Mateo Chávez</v>
      </c>
      <c r="Z35" s="12">
        <v>22</v>
      </c>
      <c r="AA35" s="12" t="str">
        <v>Mexico</v>
      </c>
      <c r="AB35" s="12" t="str">
        <v>LB</v>
      </c>
      <c r="AC35" s="12" t="str">
        <v>AZ</v>
      </c>
      <c r="AD35" s="12">
        <v>20</v>
      </c>
      <c r="AF35" s="42">
        <v>1934</v>
      </c>
      <c r="AG35" s="42" t="str">
        <v xml:space="preserve">03 Jun 1934 - 16:30 </v>
      </c>
      <c r="AH35" s="42" t="str">
        <v>SEMI_FINALS</v>
      </c>
      <c r="AI35" s="42" t="str">
        <v>Nazionale PNF</v>
      </c>
      <c r="AJ35" s="42" t="str">
        <v xml:space="preserve">Rome </v>
      </c>
      <c r="AK35" s="42" t="str">
        <v>Czechoslovakia</v>
      </c>
      <c r="AL35" s="42">
        <v>3</v>
      </c>
      <c r="AM35" s="42">
        <v>1</v>
      </c>
      <c r="AN35" s="42" t="str">
        <v>Germany</v>
      </c>
      <c r="AO35" s="42" t="str">
        <v>-</v>
      </c>
    </row>
    <row r="36" spans="1:41">
      <c r="A36" s="13" t="str">
        <v>New Zealand</v>
      </c>
      <c r="B36" s="13">
        <v>27.8</v>
      </c>
      <c r="C36" s="13">
        <v>19</v>
      </c>
      <c r="D36" s="13">
        <v>9</v>
      </c>
      <c r="E36" s="13">
        <v>8</v>
      </c>
      <c r="G36" s="30">
        <v>1986</v>
      </c>
      <c r="H36" s="30" t="str">
        <v>QUARTER_FINALS</v>
      </c>
      <c r="I36" s="30" t="str">
        <v>FR Germany</v>
      </c>
      <c r="J36" s="30" t="str">
        <v>Mexico</v>
      </c>
      <c r="K36" s="30" t="str">
        <v>Mexico</v>
      </c>
      <c r="L36" s="30" t="str">
        <v>Manuel Negrete</v>
      </c>
      <c r="M36" s="30" t="str">
        <v>Harald Schumacher</v>
      </c>
      <c r="N36" s="30">
        <v>2</v>
      </c>
      <c r="O36" s="30">
        <v>1</v>
      </c>
      <c r="P36" s="30" t="str">
        <v>'1-0</v>
      </c>
      <c r="Q36" s="30" t="str">
        <v>No</v>
      </c>
      <c r="R36" s="30" t="str">
        <v>No</v>
      </c>
      <c r="S36" s="30" t="str">
        <v>Goal</v>
      </c>
      <c r="T36" s="30" t="str">
        <f t="shared" si="0"/>
        <v>1-0</v>
      </c>
      <c r="U36" s="30">
        <f t="shared" si="1"/>
        <v>1</v>
      </c>
      <c r="V36" s="30">
        <f t="shared" si="2"/>
        <v>0</v>
      </c>
      <c r="X36" s="12">
        <v>34</v>
      </c>
      <c r="Y36" s="12" t="str">
        <v>Jesús Gallardo</v>
      </c>
      <c r="Z36" s="12">
        <v>31</v>
      </c>
      <c r="AA36" s="12" t="str">
        <v>Mexico</v>
      </c>
      <c r="AB36" s="12" t="str">
        <v>LB</v>
      </c>
      <c r="AC36" s="12" t="str">
        <v>Toluca</v>
      </c>
      <c r="AD36" s="12">
        <v>23</v>
      </c>
      <c r="AF36" s="42">
        <v>1934</v>
      </c>
      <c r="AG36" s="42" t="str">
        <v xml:space="preserve">07 Jun 1934 - 18:00 </v>
      </c>
      <c r="AH36" s="42" t="str">
        <v>THIRD_PLACE</v>
      </c>
      <c r="AI36" s="42" t="str">
        <v>Giorgio Ascarelli</v>
      </c>
      <c r="AJ36" s="42" t="str">
        <v xml:space="preserve">Naples </v>
      </c>
      <c r="AK36" s="42" t="str">
        <v>Germany</v>
      </c>
      <c r="AL36" s="42">
        <v>3</v>
      </c>
      <c r="AM36" s="42">
        <v>2</v>
      </c>
      <c r="AN36" s="42" t="str">
        <v>Austria</v>
      </c>
      <c r="AO36" s="42" t="str">
        <v>-</v>
      </c>
    </row>
    <row r="37" spans="1:41">
      <c r="A37" s="13" t="str">
        <v>Bosnia and Herzegovina</v>
      </c>
      <c r="B37" s="13">
        <v>26</v>
      </c>
      <c r="C37" s="13">
        <v>24</v>
      </c>
      <c r="D37" s="13">
        <v>4</v>
      </c>
      <c r="E37" s="13">
        <v>5</v>
      </c>
      <c r="G37" s="30">
        <v>1986</v>
      </c>
      <c r="H37" s="30" t="str">
        <v>QUARTER_FINALS</v>
      </c>
      <c r="I37" s="30" t="str">
        <v>FR Germany</v>
      </c>
      <c r="J37" s="30" t="str">
        <v>Mexico</v>
      </c>
      <c r="K37" s="30" t="str">
        <v>FR Germany</v>
      </c>
      <c r="L37" s="30" t="str">
        <v>Andreas Brehme</v>
      </c>
      <c r="M37" s="30" t="str">
        <v>Pablo Larios</v>
      </c>
      <c r="N37" s="30">
        <v>3</v>
      </c>
      <c r="O37" s="30">
        <v>2</v>
      </c>
      <c r="P37" s="30" t="str">
        <v>'1-1</v>
      </c>
      <c r="Q37" s="30" t="str">
        <v>No</v>
      </c>
      <c r="R37" s="30" t="str">
        <v>No</v>
      </c>
      <c r="S37" s="30" t="str">
        <v>Goal</v>
      </c>
      <c r="T37" s="30" t="str">
        <f t="shared" si="0"/>
        <v>1-1</v>
      </c>
      <c r="U37" s="30">
        <f t="shared" si="1"/>
        <v>1</v>
      </c>
      <c r="V37" s="30">
        <f t="shared" si="2"/>
        <v>1</v>
      </c>
      <c r="X37" s="12">
        <v>35</v>
      </c>
      <c r="Y37" s="12" t="str">
        <v>Jorge Sánchez</v>
      </c>
      <c r="Z37" s="12">
        <v>28</v>
      </c>
      <c r="AA37" s="12" t="str">
        <v>Mexico</v>
      </c>
      <c r="AB37" s="12" t="str">
        <v>RB</v>
      </c>
      <c r="AC37" s="12" t="str">
        <v>PAOK</v>
      </c>
      <c r="AD37" s="12">
        <v>2</v>
      </c>
      <c r="AF37" s="42">
        <v>1934</v>
      </c>
      <c r="AG37" s="42" t="str">
        <v xml:space="preserve">10 Jun 1934 - 17:30 </v>
      </c>
      <c r="AH37" s="42" t="str">
        <v>FINAL</v>
      </c>
      <c r="AI37" s="42" t="str">
        <v>Nazionale PNF</v>
      </c>
      <c r="AJ37" s="42" t="str">
        <v xml:space="preserve">Rome </v>
      </c>
      <c r="AK37" s="42" t="str">
        <v>Italy</v>
      </c>
      <c r="AL37" s="42">
        <v>2</v>
      </c>
      <c r="AM37" s="42">
        <v>1</v>
      </c>
      <c r="AN37" s="42" t="str">
        <v>Czechoslovakia</v>
      </c>
      <c r="AO37" s="42" t="str">
        <v>Italy win after extra time</v>
      </c>
    </row>
    <row r="38" spans="1:41">
      <c r="A38" s="13" t="str">
        <v>Côte d'Ivoire</v>
      </c>
      <c r="B38" s="13">
        <v>25.3</v>
      </c>
      <c r="C38" s="13">
        <v>25</v>
      </c>
      <c r="D38" s="13">
        <v>3</v>
      </c>
      <c r="E38" s="13">
        <v>4</v>
      </c>
      <c r="G38" s="30">
        <v>1986</v>
      </c>
      <c r="H38" s="30" t="str">
        <v>QUARTER_FINALS</v>
      </c>
      <c r="I38" s="30" t="str">
        <v>FR Germany</v>
      </c>
      <c r="J38" s="30" t="str">
        <v>Mexico</v>
      </c>
      <c r="K38" s="30" t="str">
        <v>Mexico</v>
      </c>
      <c r="L38" s="30" t="str">
        <v>Fernando Quirarte</v>
      </c>
      <c r="M38" s="30" t="str">
        <v>Harald Schumacher</v>
      </c>
      <c r="N38" s="30">
        <v>4</v>
      </c>
      <c r="O38" s="30">
        <v>2</v>
      </c>
      <c r="P38" s="30" t="str">
        <v>'1-2</v>
      </c>
      <c r="Q38" s="30" t="str">
        <v>No</v>
      </c>
      <c r="R38" s="30" t="str">
        <v>No</v>
      </c>
      <c r="S38" s="30" t="str">
        <v>Saved</v>
      </c>
      <c r="T38" s="30" t="str">
        <f t="shared" si="0"/>
        <v>1-2</v>
      </c>
      <c r="U38" s="30">
        <f t="shared" si="1"/>
        <v>1</v>
      </c>
      <c r="V38" s="30">
        <f t="shared" si="2"/>
        <v>2</v>
      </c>
      <c r="X38" s="12">
        <v>36</v>
      </c>
      <c r="Y38" s="12" t="str">
        <v>Edson Álvarez</v>
      </c>
      <c r="Z38" s="12">
        <v>28</v>
      </c>
      <c r="AA38" s="12" t="str">
        <v>Mexico</v>
      </c>
      <c r="AB38" s="12" t="str">
        <v>CDM</v>
      </c>
      <c r="AC38" s="12" t="str">
        <v>Fenerbahçe</v>
      </c>
      <c r="AD38" s="12">
        <v>4</v>
      </c>
      <c r="AF38" s="42">
        <v>1938</v>
      </c>
      <c r="AG38" s="42" t="str">
        <v xml:space="preserve">04 Jun 1938 - 17:00 </v>
      </c>
      <c r="AH38" s="42" t="str">
        <v>GROUP_STAGE</v>
      </c>
      <c r="AI38" s="42" t="str">
        <v>Parc des Princes</v>
      </c>
      <c r="AJ38" s="42" t="str">
        <v xml:space="preserve">Paris </v>
      </c>
      <c r="AK38" s="42" t="str">
        <v>Switzerland</v>
      </c>
      <c r="AL38" s="42">
        <v>1</v>
      </c>
      <c r="AM38" s="42">
        <v>1</v>
      </c>
      <c r="AN38" s="42" t="str">
        <v>Germany</v>
      </c>
      <c r="AO38" s="42" t="str">
        <v>-</v>
      </c>
    </row>
    <row r="39" spans="1:41">
      <c r="A39" s="13" t="str">
        <v>Haiti</v>
      </c>
      <c r="B39" s="13">
        <v>27</v>
      </c>
      <c r="C39" s="13">
        <v>25</v>
      </c>
      <c r="D39" s="13">
        <v>6</v>
      </c>
      <c r="E39" s="13">
        <v>4</v>
      </c>
      <c r="G39" s="30">
        <v>1986</v>
      </c>
      <c r="H39" s="30" t="str">
        <v>QUARTER_FINALS</v>
      </c>
      <c r="I39" s="30" t="str">
        <v>FR Germany</v>
      </c>
      <c r="J39" s="30" t="str">
        <v>Mexico</v>
      </c>
      <c r="K39" s="30" t="str">
        <v>FR Germany</v>
      </c>
      <c r="L39" s="30" t="str">
        <v>Lothar Matthäus</v>
      </c>
      <c r="M39" s="30" t="str">
        <v>Pablo Larios</v>
      </c>
      <c r="N39" s="30">
        <v>5</v>
      </c>
      <c r="O39" s="30">
        <v>3</v>
      </c>
      <c r="P39" s="30" t="str">
        <v>'1-2</v>
      </c>
      <c r="Q39" s="30" t="str">
        <v>No</v>
      </c>
      <c r="R39" s="30" t="str">
        <v>No</v>
      </c>
      <c r="S39" s="30" t="str">
        <v>Goal</v>
      </c>
      <c r="T39" s="30" t="str">
        <f t="shared" si="0"/>
        <v>1-2</v>
      </c>
      <c r="U39" s="30">
        <f t="shared" si="1"/>
        <v>1</v>
      </c>
      <c r="V39" s="30">
        <f t="shared" si="2"/>
        <v>2</v>
      </c>
      <c r="X39" s="12">
        <v>37</v>
      </c>
      <c r="Y39" s="12" t="str">
        <v>Érik Lira</v>
      </c>
      <c r="Z39" s="12">
        <v>26</v>
      </c>
      <c r="AA39" s="12" t="str">
        <v>Mexico</v>
      </c>
      <c r="AB39" s="12" t="str">
        <v>CDM</v>
      </c>
      <c r="AC39" s="12" t="str">
        <v>Cruz Azul</v>
      </c>
      <c r="AD39" s="12">
        <v>6</v>
      </c>
      <c r="AF39" s="42">
        <v>1938</v>
      </c>
      <c r="AG39" s="42" t="str">
        <v xml:space="preserve">05 Jun 1938 - 17:00 </v>
      </c>
      <c r="AH39" s="42" t="str">
        <v>GROUP_STAGE</v>
      </c>
      <c r="AI39" s="42" t="str">
        <v>Velodrome Municipale</v>
      </c>
      <c r="AJ39" s="42" t="str">
        <v xml:space="preserve">Reims </v>
      </c>
      <c r="AK39" s="42" t="str">
        <v>Hungary</v>
      </c>
      <c r="AL39" s="42">
        <v>6</v>
      </c>
      <c r="AM39" s="42">
        <v>0</v>
      </c>
      <c r="AN39" s="42" t="str">
        <v>Dutch East Indies</v>
      </c>
      <c r="AO39" s="42" t="str">
        <v>-</v>
      </c>
    </row>
    <row r="40" spans="1:41">
      <c r="A40" s="13" t="str">
        <v>United States</v>
      </c>
      <c r="B40" s="13">
        <v>26.4</v>
      </c>
      <c r="C40" s="13">
        <v>24</v>
      </c>
      <c r="D40" s="13">
        <v>5</v>
      </c>
      <c r="E40" s="13">
        <v>4</v>
      </c>
      <c r="G40" s="30">
        <v>1986</v>
      </c>
      <c r="H40" s="30" t="str">
        <v>QUARTER_FINALS</v>
      </c>
      <c r="I40" s="30" t="str">
        <v>FR Germany</v>
      </c>
      <c r="J40" s="30" t="str">
        <v>Mexico</v>
      </c>
      <c r="K40" s="30" t="str">
        <v>Mexico</v>
      </c>
      <c r="L40" s="30" t="str">
        <v>Raúl Servín</v>
      </c>
      <c r="M40" s="30" t="str">
        <v>Harald Schumacher</v>
      </c>
      <c r="N40" s="30">
        <v>6</v>
      </c>
      <c r="O40" s="30">
        <v>3</v>
      </c>
      <c r="P40" s="30" t="str">
        <v>'1-3</v>
      </c>
      <c r="Q40" s="30" t="str">
        <v>No</v>
      </c>
      <c r="R40" s="30" t="str">
        <v>No</v>
      </c>
      <c r="S40" s="30" t="str">
        <v>Saved</v>
      </c>
      <c r="T40" s="30" t="str">
        <f t="shared" si="0"/>
        <v>1-3</v>
      </c>
      <c r="U40" s="30">
        <f t="shared" si="1"/>
        <v>1</v>
      </c>
      <c r="V40" s="30">
        <f t="shared" si="2"/>
        <v>3</v>
      </c>
      <c r="X40" s="12">
        <v>38</v>
      </c>
      <c r="Y40" s="12" t="str">
        <v>Obed Vargas</v>
      </c>
      <c r="Z40" s="12">
        <v>20</v>
      </c>
      <c r="AA40" s="12" t="str">
        <v>Mexico</v>
      </c>
      <c r="AB40" s="12" t="str">
        <v>CDM</v>
      </c>
      <c r="AC40" s="12" t="str">
        <v>Atlético Madrid</v>
      </c>
      <c r="AD40" s="12">
        <v>18</v>
      </c>
      <c r="AF40" s="42">
        <v>1938</v>
      </c>
      <c r="AG40" s="42" t="str">
        <v xml:space="preserve">05 Jun 1938 - 17:00 </v>
      </c>
      <c r="AH40" s="42" t="str">
        <v>GROUP_STAGE</v>
      </c>
      <c r="AI40" s="42" t="str">
        <v>Stade Olympique</v>
      </c>
      <c r="AJ40" s="42" t="str">
        <v xml:space="preserve">Colombes </v>
      </c>
      <c r="AK40" s="42" t="str">
        <v>France</v>
      </c>
      <c r="AL40" s="42">
        <v>3</v>
      </c>
      <c r="AM40" s="42">
        <v>1</v>
      </c>
      <c r="AN40" s="42" t="str">
        <v>Belgium</v>
      </c>
      <c r="AO40" s="42" t="str">
        <v>-</v>
      </c>
    </row>
    <row r="41" spans="1:41">
      <c r="A41" s="13" t="str">
        <v>Qatar</v>
      </c>
      <c r="B41" s="13">
        <v>28.9</v>
      </c>
      <c r="C41" s="13">
        <v>8</v>
      </c>
      <c r="D41" s="13">
        <v>6</v>
      </c>
      <c r="E41" s="13">
        <v>3</v>
      </c>
      <c r="G41" s="30">
        <v>1986</v>
      </c>
      <c r="H41" s="30" t="str">
        <v>QUARTER_FINALS</v>
      </c>
      <c r="I41" s="30" t="str">
        <v>FR Germany</v>
      </c>
      <c r="J41" s="30" t="str">
        <v>Mexico</v>
      </c>
      <c r="K41" s="30" t="str">
        <v>FR Germany</v>
      </c>
      <c r="L41" s="30" t="str">
        <v>Pierre Littbarski</v>
      </c>
      <c r="M41" s="30" t="str">
        <v>Pablo Larios</v>
      </c>
      <c r="N41" s="30">
        <v>7</v>
      </c>
      <c r="O41" s="30">
        <v>4</v>
      </c>
      <c r="P41" s="30" t="str">
        <v>'1-3</v>
      </c>
      <c r="Q41" s="30" t="str">
        <v>No</v>
      </c>
      <c r="R41" s="30" t="str">
        <v>Yes</v>
      </c>
      <c r="S41" s="30" t="str">
        <v>Goal</v>
      </c>
      <c r="T41" s="30" t="str">
        <f t="shared" si="0"/>
        <v>1-3</v>
      </c>
      <c r="U41" s="30">
        <f t="shared" si="1"/>
        <v>1</v>
      </c>
      <c r="V41" s="30">
        <f t="shared" si="2"/>
        <v>3</v>
      </c>
      <c r="X41" s="12">
        <v>39</v>
      </c>
      <c r="Y41" s="12" t="str">
        <v>Luis Romo</v>
      </c>
      <c r="Z41" s="12">
        <v>31</v>
      </c>
      <c r="AA41" s="12" t="str">
        <v>Mexico</v>
      </c>
      <c r="AB41" s="12" t="str">
        <v>CM</v>
      </c>
      <c r="AC41" s="12" t="str">
        <v>Guadalajara</v>
      </c>
      <c r="AD41" s="12">
        <v>7</v>
      </c>
      <c r="AF41" s="42">
        <v>1938</v>
      </c>
      <c r="AG41" s="42" t="str">
        <v xml:space="preserve">05 Jun 1938 - 17:00 </v>
      </c>
      <c r="AH41" s="42" t="str">
        <v>GROUP_STAGE</v>
      </c>
      <c r="AI41" s="42" t="str">
        <v>Stade Municipal</v>
      </c>
      <c r="AJ41" s="42" t="str">
        <v xml:space="preserve">Toulouse </v>
      </c>
      <c r="AK41" s="42" t="str">
        <v>Cuba</v>
      </c>
      <c r="AL41" s="42">
        <v>3</v>
      </c>
      <c r="AM41" s="42">
        <v>3</v>
      </c>
      <c r="AN41" s="42" t="str">
        <v>Romania</v>
      </c>
      <c r="AO41" s="42" t="str">
        <v>-</v>
      </c>
    </row>
    <row r="42" spans="1:41">
      <c r="A42" s="13" t="str">
        <v>Czech Republic</v>
      </c>
      <c r="B42" s="13">
        <v>27.2</v>
      </c>
      <c r="C42" s="13">
        <v>11</v>
      </c>
      <c r="D42" s="13">
        <v>3</v>
      </c>
      <c r="E42" s="13">
        <v>2</v>
      </c>
      <c r="G42" s="30">
        <v>1990</v>
      </c>
      <c r="H42" s="30" t="str">
        <v>ROUND_OF_16</v>
      </c>
      <c r="I42" s="30" t="str">
        <v>Republic of Ireland</v>
      </c>
      <c r="J42" s="30" t="str">
        <v>Romania</v>
      </c>
      <c r="K42" s="30" t="str">
        <v>Republic of Ireland</v>
      </c>
      <c r="L42" s="30" t="str">
        <v>Kevin Sheedy</v>
      </c>
      <c r="M42" s="30" t="str">
        <v>Silviu Lung</v>
      </c>
      <c r="N42" s="30">
        <v>1</v>
      </c>
      <c r="O42" s="30">
        <v>1</v>
      </c>
      <c r="P42" s="30" t="str">
        <v>'0-0</v>
      </c>
      <c r="Q42" s="30" t="str">
        <v>No</v>
      </c>
      <c r="R42" s="30" t="str">
        <v>No</v>
      </c>
      <c r="S42" s="30" t="str">
        <v>Goal</v>
      </c>
      <c r="T42" s="30" t="str">
        <f t="shared" si="0"/>
        <v>0-0</v>
      </c>
      <c r="U42" s="30">
        <f t="shared" si="1"/>
        <v>0</v>
      </c>
      <c r="V42" s="30">
        <f t="shared" si="2"/>
        <v>0</v>
      </c>
      <c r="X42" s="12">
        <v>40</v>
      </c>
      <c r="Y42" s="12" t="str">
        <v>Álvaro Fidalgo</v>
      </c>
      <c r="Z42" s="12">
        <v>29</v>
      </c>
      <c r="AA42" s="12" t="str">
        <v>Mexico</v>
      </c>
      <c r="AB42" s="12" t="str">
        <v>CM</v>
      </c>
      <c r="AC42" s="12" t="str">
        <v>Real Betis</v>
      </c>
      <c r="AD42" s="12">
        <v>8</v>
      </c>
      <c r="AF42" s="42">
        <v>1938</v>
      </c>
      <c r="AG42" s="42" t="str">
        <v xml:space="preserve">05 Jun 1938 - 17:00 </v>
      </c>
      <c r="AH42" s="42" t="str">
        <v>GROUP_STAGE</v>
      </c>
      <c r="AI42" s="42" t="str">
        <v>Stade Vélodrome</v>
      </c>
      <c r="AJ42" s="42" t="str">
        <v xml:space="preserve">Marseilles </v>
      </c>
      <c r="AK42" s="42" t="str">
        <v>Italy</v>
      </c>
      <c r="AL42" s="42">
        <v>2</v>
      </c>
      <c r="AM42" s="42">
        <v>1</v>
      </c>
      <c r="AN42" s="42" t="str">
        <v>Norway</v>
      </c>
      <c r="AO42" s="42" t="str">
        <v>Italy win after extra time</v>
      </c>
    </row>
    <row r="43" spans="1:41">
      <c r="A43" s="13" t="str">
        <v>Panama</v>
      </c>
      <c r="B43" s="13">
        <v>30</v>
      </c>
      <c r="C43" s="13">
        <v>23</v>
      </c>
      <c r="D43" s="13">
        <v>6</v>
      </c>
      <c r="E43" s="13">
        <v>2</v>
      </c>
      <c r="G43" s="30">
        <v>1990</v>
      </c>
      <c r="H43" s="30" t="str">
        <v>ROUND_OF_16</v>
      </c>
      <c r="I43" s="30" t="str">
        <v>Republic of Ireland</v>
      </c>
      <c r="J43" s="30" t="str">
        <v>Romania</v>
      </c>
      <c r="K43" s="30" t="str">
        <v>Romania</v>
      </c>
      <c r="L43" s="30" t="str">
        <v>Gheorghe Hagi</v>
      </c>
      <c r="M43" s="30" t="str">
        <v>Pat Bonner</v>
      </c>
      <c r="N43" s="30">
        <v>2</v>
      </c>
      <c r="O43" s="30">
        <v>1</v>
      </c>
      <c r="P43" s="30" t="str">
        <v>'1-0</v>
      </c>
      <c r="Q43" s="30" t="str">
        <v>No</v>
      </c>
      <c r="R43" s="30" t="str">
        <v>No</v>
      </c>
      <c r="S43" s="30" t="str">
        <v>Goal</v>
      </c>
      <c r="T43" s="30" t="str">
        <f t="shared" si="0"/>
        <v>1-0</v>
      </c>
      <c r="U43" s="30">
        <f t="shared" si="1"/>
        <v>1</v>
      </c>
      <c r="V43" s="30">
        <f t="shared" si="2"/>
        <v>0</v>
      </c>
      <c r="X43" s="12">
        <v>41</v>
      </c>
      <c r="Y43" s="12" t="str">
        <v>Luis Chávez</v>
      </c>
      <c r="Z43" s="12">
        <v>30</v>
      </c>
      <c r="AA43" s="12" t="str">
        <v>Mexico</v>
      </c>
      <c r="AB43" s="12" t="str">
        <v>CM</v>
      </c>
      <c r="AC43" s="12" t="str">
        <v>Dynamo Moscow</v>
      </c>
      <c r="AD43" s="12">
        <v>24</v>
      </c>
      <c r="AF43" s="42">
        <v>1938</v>
      </c>
      <c r="AG43" s="42" t="str">
        <v xml:space="preserve">05 Jun 1938 - 17:30 </v>
      </c>
      <c r="AH43" s="42" t="str">
        <v>GROUP_STAGE</v>
      </c>
      <c r="AI43" s="42" t="str">
        <v>Stade de la Meinau</v>
      </c>
      <c r="AJ43" s="42" t="str">
        <v xml:space="preserve">Strasbourg </v>
      </c>
      <c r="AK43" s="42" t="str">
        <v>Brazil</v>
      </c>
      <c r="AL43" s="42">
        <v>6</v>
      </c>
      <c r="AM43" s="42">
        <v>5</v>
      </c>
      <c r="AN43" s="42" t="str">
        <v>Poland</v>
      </c>
      <c r="AO43" s="42" t="str">
        <v>Brazil win after extra time</v>
      </c>
    </row>
    <row r="44" spans="1:41">
      <c r="A44" s="13" t="str">
        <v>Iraq</v>
      </c>
      <c r="B44" s="13">
        <v>26.4</v>
      </c>
      <c r="C44" s="13">
        <v>20</v>
      </c>
      <c r="D44" s="13">
        <v>5</v>
      </c>
      <c r="E44" s="13">
        <v>2</v>
      </c>
      <c r="G44" s="30">
        <v>1990</v>
      </c>
      <c r="H44" s="30" t="str">
        <v>ROUND_OF_16</v>
      </c>
      <c r="I44" s="30" t="str">
        <v>Republic of Ireland</v>
      </c>
      <c r="J44" s="30" t="str">
        <v>Romania</v>
      </c>
      <c r="K44" s="30" t="str">
        <v>Republic of Ireland</v>
      </c>
      <c r="L44" s="30" t="str">
        <v>Ray Houghton</v>
      </c>
      <c r="M44" s="30" t="str">
        <v>Silviu Lung</v>
      </c>
      <c r="N44" s="30">
        <v>3</v>
      </c>
      <c r="O44" s="30">
        <v>2</v>
      </c>
      <c r="P44" s="30" t="str">
        <v>'1-1</v>
      </c>
      <c r="Q44" s="30" t="str">
        <v>No</v>
      </c>
      <c r="R44" s="30" t="str">
        <v>No</v>
      </c>
      <c r="S44" s="30" t="str">
        <v>Goal</v>
      </c>
      <c r="T44" s="30" t="str">
        <f t="shared" si="0"/>
        <v>1-1</v>
      </c>
      <c r="U44" s="30">
        <f t="shared" si="1"/>
        <v>1</v>
      </c>
      <c r="V44" s="30">
        <f t="shared" si="2"/>
        <v>1</v>
      </c>
      <c r="X44" s="12">
        <v>42</v>
      </c>
      <c r="Y44" s="12" t="str">
        <v>Orbelín Pineda</v>
      </c>
      <c r="Z44" s="12">
        <v>30</v>
      </c>
      <c r="AA44" s="12" t="str">
        <v>Mexico</v>
      </c>
      <c r="AB44" s="12" t="str">
        <v>CAM</v>
      </c>
      <c r="AC44" s="12" t="str">
        <v>AEK Athens</v>
      </c>
      <c r="AD44" s="12">
        <v>17</v>
      </c>
      <c r="AF44" s="42">
        <v>1938</v>
      </c>
      <c r="AG44" s="42" t="str">
        <v xml:space="preserve">05 Jun 1938 - 18:30 </v>
      </c>
      <c r="AH44" s="42" t="str">
        <v>GROUP_STAGE</v>
      </c>
      <c r="AI44" s="42" t="str">
        <v>Cavee Verte</v>
      </c>
      <c r="AJ44" s="42" t="str">
        <v xml:space="preserve">Le Havre </v>
      </c>
      <c r="AK44" s="42" t="str">
        <v>Czechoslovakia</v>
      </c>
      <c r="AL44" s="42">
        <v>3</v>
      </c>
      <c r="AM44" s="42">
        <v>0</v>
      </c>
      <c r="AN44" s="42" t="str">
        <v>Netherlands</v>
      </c>
      <c r="AO44" s="42" t="str">
        <v>Czechoslovakia win after extra time</v>
      </c>
    </row>
    <row r="45" spans="1:41">
      <c r="A45" s="13" t="str">
        <v>Uzbekistan</v>
      </c>
      <c r="B45" s="13">
        <v>27.7</v>
      </c>
      <c r="C45" s="13">
        <v>16</v>
      </c>
      <c r="D45" s="13">
        <v>1</v>
      </c>
      <c r="E45" s="13">
        <v>1</v>
      </c>
      <c r="G45" s="30">
        <v>1990</v>
      </c>
      <c r="H45" s="30" t="str">
        <v>ROUND_OF_16</v>
      </c>
      <c r="I45" s="30" t="str">
        <v>Republic of Ireland</v>
      </c>
      <c r="J45" s="30" t="str">
        <v>Romania</v>
      </c>
      <c r="K45" s="30" t="str">
        <v>Romania</v>
      </c>
      <c r="L45" s="30" t="str">
        <v>Dănuț Lupu</v>
      </c>
      <c r="M45" s="30" t="str">
        <v>Pat Bonner</v>
      </c>
      <c r="N45" s="30">
        <v>4</v>
      </c>
      <c r="O45" s="30">
        <v>2</v>
      </c>
      <c r="P45" s="30" t="str">
        <v>'1-2</v>
      </c>
      <c r="Q45" s="30" t="str">
        <v>No</v>
      </c>
      <c r="R45" s="30" t="str">
        <v>No</v>
      </c>
      <c r="S45" s="30" t="str">
        <v>Goal</v>
      </c>
      <c r="T45" s="30" t="str">
        <f t="shared" si="0"/>
        <v>1-2</v>
      </c>
      <c r="U45" s="30">
        <f t="shared" si="1"/>
        <v>1</v>
      </c>
      <c r="V45" s="30">
        <f t="shared" si="2"/>
        <v>2</v>
      </c>
      <c r="X45" s="12">
        <v>43</v>
      </c>
      <c r="Y45" s="12" t="str">
        <v>Gilberto Mora</v>
      </c>
      <c r="Z45" s="12">
        <v>17</v>
      </c>
      <c r="AA45" s="12" t="str">
        <v>Mexico</v>
      </c>
      <c r="AB45" s="12" t="str">
        <v>CAM</v>
      </c>
      <c r="AC45" s="12" t="str">
        <v>Tijuana</v>
      </c>
      <c r="AD45" s="12">
        <v>19</v>
      </c>
      <c r="AF45" s="42">
        <v>1938</v>
      </c>
      <c r="AG45" s="42" t="str">
        <v xml:space="preserve">09 Jun 1938 - 18:00 </v>
      </c>
      <c r="AH45" s="42" t="str">
        <v>GROUP_STAGE</v>
      </c>
      <c r="AI45" s="42" t="str">
        <v>Stade Municipal</v>
      </c>
      <c r="AJ45" s="42" t="str">
        <v xml:space="preserve">Toulouse </v>
      </c>
      <c r="AK45" s="42" t="str">
        <v>Cuba</v>
      </c>
      <c r="AL45" s="42">
        <v>2</v>
      </c>
      <c r="AM45" s="42">
        <v>1</v>
      </c>
      <c r="AN45" s="42" t="str">
        <v>Romania</v>
      </c>
      <c r="AO45" s="42" t="str">
        <v>-</v>
      </c>
    </row>
    <row r="46" spans="1:41">
      <c r="A46" s="13" t="str">
        <v>Curaçao</v>
      </c>
      <c r="B46" s="13">
        <v>27.5</v>
      </c>
      <c r="C46" s="13">
        <v>22</v>
      </c>
      <c r="D46" s="13">
        <v>3</v>
      </c>
      <c r="E46" s="13">
        <v>1</v>
      </c>
      <c r="G46" s="30">
        <v>1990</v>
      </c>
      <c r="H46" s="30" t="str">
        <v>ROUND_OF_16</v>
      </c>
      <c r="I46" s="30" t="str">
        <v>Republic of Ireland</v>
      </c>
      <c r="J46" s="30" t="str">
        <v>Romania</v>
      </c>
      <c r="K46" s="30" t="str">
        <v>Republic of Ireland</v>
      </c>
      <c r="L46" s="30" t="str">
        <v>Andy Townsend</v>
      </c>
      <c r="M46" s="30" t="str">
        <v>Silviu Lung</v>
      </c>
      <c r="N46" s="30">
        <v>5</v>
      </c>
      <c r="O46" s="30">
        <v>3</v>
      </c>
      <c r="P46" s="30" t="str">
        <v>'2-2</v>
      </c>
      <c r="Q46" s="30" t="str">
        <v>No</v>
      </c>
      <c r="R46" s="30" t="str">
        <v>No</v>
      </c>
      <c r="S46" s="30" t="str">
        <v>Goal</v>
      </c>
      <c r="T46" s="30" t="str">
        <f t="shared" si="0"/>
        <v>2-2</v>
      </c>
      <c r="U46" s="30">
        <f t="shared" si="1"/>
        <v>2</v>
      </c>
      <c r="V46" s="30">
        <f t="shared" si="2"/>
        <v>2</v>
      </c>
      <c r="X46" s="12">
        <v>44</v>
      </c>
      <c r="Y46" s="12" t="str">
        <v>Brian Gutiérrez</v>
      </c>
      <c r="Z46" s="12">
        <v>22</v>
      </c>
      <c r="AA46" s="12" t="str">
        <v>Mexico</v>
      </c>
      <c r="AB46" s="12" t="str">
        <v>CAM</v>
      </c>
      <c r="AC46" s="12" t="str">
        <v>Guadalajara</v>
      </c>
      <c r="AD46" s="12">
        <v>26</v>
      </c>
      <c r="AF46" s="42">
        <v>1938</v>
      </c>
      <c r="AG46" s="42" t="str">
        <v xml:space="preserve">09 Jun 1938 - 18:00 </v>
      </c>
      <c r="AH46" s="42" t="str">
        <v>GROUP_STAGE</v>
      </c>
      <c r="AI46" s="42" t="str">
        <v>Parc des Princes</v>
      </c>
      <c r="AJ46" s="42" t="str">
        <v xml:space="preserve">Paris </v>
      </c>
      <c r="AK46" s="42" t="str">
        <v>Switzerland</v>
      </c>
      <c r="AL46" s="42">
        <v>4</v>
      </c>
      <c r="AM46" s="42">
        <v>2</v>
      </c>
      <c r="AN46" s="42" t="str">
        <v>Germany</v>
      </c>
      <c r="AO46" s="42" t="str">
        <v>-</v>
      </c>
    </row>
    <row r="47" spans="1:41">
      <c r="A47" s="13" t="str">
        <v>Jordan</v>
      </c>
      <c r="B47" s="13">
        <v>28.1</v>
      </c>
      <c r="C47" s="13">
        <v>14</v>
      </c>
      <c r="D47" s="13">
        <v>1</v>
      </c>
      <c r="E47" s="13">
        <v>1</v>
      </c>
      <c r="G47" s="30">
        <v>1990</v>
      </c>
      <c r="H47" s="30" t="str">
        <v>ROUND_OF_16</v>
      </c>
      <c r="I47" s="30" t="str">
        <v>Republic of Ireland</v>
      </c>
      <c r="J47" s="30" t="str">
        <v>Romania</v>
      </c>
      <c r="K47" s="30" t="str">
        <v>Romania</v>
      </c>
      <c r="L47" s="30" t="str">
        <v>Ioan Sabău</v>
      </c>
      <c r="M47" s="30" t="str">
        <v>Pat Bonner</v>
      </c>
      <c r="N47" s="30">
        <v>6</v>
      </c>
      <c r="O47" s="30">
        <v>3</v>
      </c>
      <c r="P47" s="30" t="str">
        <v>'2-3</v>
      </c>
      <c r="Q47" s="30" t="str">
        <v>No</v>
      </c>
      <c r="R47" s="30" t="str">
        <v>No</v>
      </c>
      <c r="S47" s="30" t="str">
        <v>Goal</v>
      </c>
      <c r="T47" s="30" t="str">
        <f t="shared" si="0"/>
        <v>2-3</v>
      </c>
      <c r="U47" s="30">
        <f t="shared" si="1"/>
        <v>2</v>
      </c>
      <c r="V47" s="30">
        <f t="shared" si="2"/>
        <v>3</v>
      </c>
      <c r="X47" s="12">
        <v>45</v>
      </c>
      <c r="Y47" s="12" t="str">
        <v>Alexis Vega</v>
      </c>
      <c r="Z47" s="12">
        <v>28</v>
      </c>
      <c r="AA47" s="12" t="str">
        <v>Mexico</v>
      </c>
      <c r="AB47" s="12" t="str">
        <v>LW</v>
      </c>
      <c r="AC47" s="12" t="str">
        <v>Toluca</v>
      </c>
      <c r="AD47" s="12">
        <v>10</v>
      </c>
      <c r="AF47" s="42">
        <v>1938</v>
      </c>
      <c r="AG47" s="42" t="str">
        <v xml:space="preserve">12 Jun 1938 - 17:00 </v>
      </c>
      <c r="AH47" s="42" t="str">
        <v>QUARTER_FINALS</v>
      </c>
      <c r="AI47" s="42" t="str">
        <v>Stade du Parc Lescure</v>
      </c>
      <c r="AJ47" s="42" t="str">
        <v xml:space="preserve">Bordeaux </v>
      </c>
      <c r="AK47" s="42" t="str">
        <v>Brazil</v>
      </c>
      <c r="AL47" s="42">
        <v>1</v>
      </c>
      <c r="AM47" s="42">
        <v>1</v>
      </c>
      <c r="AN47" s="42" t="str">
        <v>Czechoslovakia</v>
      </c>
      <c r="AO47" s="42" t="str">
        <v>-</v>
      </c>
    </row>
    <row r="48" spans="1:41">
      <c r="A48" s="13" t="str">
        <v>South Korea</v>
      </c>
      <c r="B48" s="13">
        <v>27.5</v>
      </c>
      <c r="C48" s="13">
        <v>22</v>
      </c>
      <c r="D48" s="13">
        <v>0</v>
      </c>
      <c r="E48" s="13">
        <v>0</v>
      </c>
      <c r="G48" s="30">
        <v>1990</v>
      </c>
      <c r="H48" s="30" t="str">
        <v>ROUND_OF_16</v>
      </c>
      <c r="I48" s="30" t="str">
        <v>Republic of Ireland</v>
      </c>
      <c r="J48" s="30" t="str">
        <v>Romania</v>
      </c>
      <c r="K48" s="30" t="str">
        <v>Republic of Ireland</v>
      </c>
      <c r="L48" s="30" t="str">
        <v>Tony Cascarino</v>
      </c>
      <c r="M48" s="30" t="str">
        <v>Silviu Lung</v>
      </c>
      <c r="N48" s="30">
        <v>7</v>
      </c>
      <c r="O48" s="30">
        <v>4</v>
      </c>
      <c r="P48" s="30" t="str">
        <v>'3-3</v>
      </c>
      <c r="Q48" s="30" t="str">
        <v>No</v>
      </c>
      <c r="R48" s="30" t="str">
        <v>No</v>
      </c>
      <c r="S48" s="30" t="str">
        <v>Goal</v>
      </c>
      <c r="T48" s="30" t="str">
        <f t="shared" si="0"/>
        <v>3-3</v>
      </c>
      <c r="U48" s="30">
        <f t="shared" si="1"/>
        <v>3</v>
      </c>
      <c r="V48" s="30">
        <f t="shared" si="2"/>
        <v>3</v>
      </c>
      <c r="X48" s="12">
        <v>46</v>
      </c>
      <c r="Y48" s="12" t="str">
        <v>César Huerta</v>
      </c>
      <c r="Z48" s="12">
        <v>25</v>
      </c>
      <c r="AA48" s="12" t="str">
        <v>Mexico</v>
      </c>
      <c r="AB48" s="12" t="str">
        <v>LW</v>
      </c>
      <c r="AC48" s="12" t="str">
        <v>Anderlecht</v>
      </c>
      <c r="AD48" s="12">
        <v>21</v>
      </c>
      <c r="AF48" s="42">
        <v>1938</v>
      </c>
      <c r="AG48" s="42" t="str">
        <v xml:space="preserve">12 Jun 1938 - 17:00 </v>
      </c>
      <c r="AH48" s="42" t="str">
        <v>QUARTER_FINALS</v>
      </c>
      <c r="AI48" s="42" t="str">
        <v>Victor Boucquey</v>
      </c>
      <c r="AJ48" s="42" t="str">
        <v xml:space="preserve">Lille </v>
      </c>
      <c r="AK48" s="42" t="str">
        <v>Hungary</v>
      </c>
      <c r="AL48" s="42">
        <v>2</v>
      </c>
      <c r="AM48" s="42">
        <v>0</v>
      </c>
      <c r="AN48" s="42" t="str">
        <v>Switzerland</v>
      </c>
      <c r="AO48" s="42" t="str">
        <v>-</v>
      </c>
    </row>
    <row r="49" spans="1:41">
      <c r="A49" s="13" t="str">
        <v>Cabo Verde</v>
      </c>
      <c r="B49" s="13">
        <v>29.2</v>
      </c>
      <c r="C49" s="13">
        <v>26</v>
      </c>
      <c r="D49" s="13">
        <v>0</v>
      </c>
      <c r="E49" s="13">
        <v>0</v>
      </c>
      <c r="G49" s="30">
        <v>1990</v>
      </c>
      <c r="H49" s="30" t="str">
        <v>ROUND_OF_16</v>
      </c>
      <c r="I49" s="30" t="str">
        <v>Republic of Ireland</v>
      </c>
      <c r="J49" s="30" t="str">
        <v>Romania</v>
      </c>
      <c r="K49" s="30" t="str">
        <v>Romania</v>
      </c>
      <c r="L49" s="30" t="str">
        <v>Ioan Lupescu</v>
      </c>
      <c r="M49" s="30" t="str">
        <v>Pat Bonner</v>
      </c>
      <c r="N49" s="30">
        <v>8</v>
      </c>
      <c r="O49" s="30">
        <v>4</v>
      </c>
      <c r="P49" s="30" t="str">
        <v>'3-4</v>
      </c>
      <c r="Q49" s="30" t="str">
        <v>No</v>
      </c>
      <c r="R49" s="30" t="str">
        <v>No</v>
      </c>
      <c r="S49" s="30" t="str">
        <v>Goal</v>
      </c>
      <c r="T49" s="30" t="str">
        <f t="shared" si="0"/>
        <v>3-4</v>
      </c>
      <c r="U49" s="30">
        <f t="shared" si="1"/>
        <v>3</v>
      </c>
      <c r="V49" s="30">
        <f t="shared" si="2"/>
        <v>4</v>
      </c>
      <c r="X49" s="12">
        <v>47</v>
      </c>
      <c r="Y49" s="12" t="str">
        <v>Julián Quiñones</v>
      </c>
      <c r="Z49" s="12">
        <v>29</v>
      </c>
      <c r="AA49" s="12" t="str">
        <v>Mexico</v>
      </c>
      <c r="AB49" s="12" t="str">
        <v>RW</v>
      </c>
      <c r="AC49" s="12" t="str">
        <v>Al-Qadsiah</v>
      </c>
      <c r="AD49" s="12">
        <v>16</v>
      </c>
      <c r="AF49" s="42">
        <v>1938</v>
      </c>
      <c r="AG49" s="42" t="str">
        <v xml:space="preserve">12 Jun 1938 - 17:00 </v>
      </c>
      <c r="AH49" s="42" t="str">
        <v>QUARTER_FINALS</v>
      </c>
      <c r="AI49" s="42" t="str">
        <v>Fort Carree</v>
      </c>
      <c r="AJ49" s="42" t="str">
        <v xml:space="preserve">Antibes </v>
      </c>
      <c r="AK49" s="42" t="str">
        <v>Sweden</v>
      </c>
      <c r="AL49" s="42">
        <v>8</v>
      </c>
      <c r="AM49" s="42">
        <v>0</v>
      </c>
      <c r="AN49" s="42" t="str">
        <v>Cuba</v>
      </c>
      <c r="AO49" s="42" t="str">
        <v>-</v>
      </c>
    </row>
    <row r="50" spans="1:41">
      <c r="A50" s="13" t="str">
        <v>Democratic Republic of the Congo</v>
      </c>
      <c r="B50" s="13">
        <v>28.5</v>
      </c>
      <c r="C50" s="13">
        <v>24</v>
      </c>
      <c r="D50" s="13">
        <v>0</v>
      </c>
      <c r="E50" s="13">
        <v>0</v>
      </c>
      <c r="G50" s="30">
        <v>1990</v>
      </c>
      <c r="H50" s="30" t="str">
        <v>ROUND_OF_16</v>
      </c>
      <c r="I50" s="30" t="str">
        <v>Republic of Ireland</v>
      </c>
      <c r="J50" s="30" t="str">
        <v>Romania</v>
      </c>
      <c r="K50" s="30" t="str">
        <v>Republic of Ireland</v>
      </c>
      <c r="L50" s="30" t="str">
        <v>David O'Leary</v>
      </c>
      <c r="M50" s="30" t="str">
        <v>Silviu Lung</v>
      </c>
      <c r="N50" s="30">
        <v>9</v>
      </c>
      <c r="O50" s="30">
        <v>5</v>
      </c>
      <c r="P50" s="30" t="str">
        <v>'4-4</v>
      </c>
      <c r="Q50" s="30" t="str">
        <v>No</v>
      </c>
      <c r="R50" s="30" t="str">
        <v>No</v>
      </c>
      <c r="S50" s="30" t="str">
        <v>Goal</v>
      </c>
      <c r="T50" s="30" t="str">
        <f t="shared" si="0"/>
        <v>4-4</v>
      </c>
      <c r="U50" s="30">
        <f t="shared" si="1"/>
        <v>4</v>
      </c>
      <c r="V50" s="30">
        <f t="shared" si="2"/>
        <v>4</v>
      </c>
      <c r="X50" s="12">
        <v>48</v>
      </c>
      <c r="Y50" s="12" t="str">
        <v>Roberto Alvarado</v>
      </c>
      <c r="Z50" s="12">
        <v>27</v>
      </c>
      <c r="AA50" s="12" t="str">
        <v>Mexico</v>
      </c>
      <c r="AB50" s="12" t="str">
        <v>RW</v>
      </c>
      <c r="AC50" s="12" t="str">
        <v>Guadalajara</v>
      </c>
      <c r="AD50" s="12">
        <v>25</v>
      </c>
      <c r="AF50" s="42">
        <v>1938</v>
      </c>
      <c r="AG50" s="42" t="str">
        <v xml:space="preserve">12 Jun 1938 - 17:00 </v>
      </c>
      <c r="AH50" s="42" t="str">
        <v>QUARTER_FINALS</v>
      </c>
      <c r="AI50" s="42" t="str">
        <v>Stade Olympique</v>
      </c>
      <c r="AJ50" s="42" t="str">
        <v xml:space="preserve">Colombes </v>
      </c>
      <c r="AK50" s="42" t="str">
        <v>Italy</v>
      </c>
      <c r="AL50" s="42">
        <v>3</v>
      </c>
      <c r="AM50" s="42">
        <v>1</v>
      </c>
      <c r="AN50" s="42" t="str">
        <v>France</v>
      </c>
      <c r="AO50" s="42" t="str">
        <v>-</v>
      </c>
    </row>
    <row r="51" spans="1:41">
      <c r="G51" s="30">
        <v>1990</v>
      </c>
      <c r="H51" s="30" t="str">
        <v>ROUND_OF_16</v>
      </c>
      <c r="I51" s="30" t="str">
        <v>Republic of Ireland</v>
      </c>
      <c r="J51" s="30" t="str">
        <v>Romania</v>
      </c>
      <c r="K51" s="30" t="str">
        <v>Romania</v>
      </c>
      <c r="L51" s="30" t="str">
        <v>Daniel Timofte</v>
      </c>
      <c r="M51" s="30" t="str">
        <v>Pat Bonner</v>
      </c>
      <c r="N51" s="30">
        <v>10</v>
      </c>
      <c r="O51" s="30">
        <v>5</v>
      </c>
      <c r="P51" s="30" t="str">
        <v>'4-5</v>
      </c>
      <c r="Q51" s="30" t="str">
        <v>Yes</v>
      </c>
      <c r="R51" s="30" t="str">
        <v>Yes</v>
      </c>
      <c r="S51" s="30" t="str">
        <v>Saved</v>
      </c>
      <c r="T51" s="30" t="str">
        <f t="shared" si="0"/>
        <v>4-5</v>
      </c>
      <c r="U51" s="30">
        <f t="shared" si="1"/>
        <v>4</v>
      </c>
      <c r="V51" s="30">
        <f t="shared" si="2"/>
        <v>5</v>
      </c>
      <c r="X51" s="12">
        <v>49</v>
      </c>
      <c r="Y51" s="12" t="str">
        <v>Raúl Jiménez</v>
      </c>
      <c r="Z51" s="12">
        <v>35</v>
      </c>
      <c r="AA51" s="12" t="str">
        <v>Mexico</v>
      </c>
      <c r="AB51" s="12" t="str">
        <v>ST</v>
      </c>
      <c r="AC51" s="12" t="str">
        <v>Fulham</v>
      </c>
      <c r="AD51" s="12">
        <v>9</v>
      </c>
      <c r="AF51" s="42">
        <v>1938</v>
      </c>
      <c r="AG51" s="42" t="str">
        <v xml:space="preserve">14 Jun 1938 - 18:00 </v>
      </c>
      <c r="AH51" s="42" t="str">
        <v>QUARTER_FINALS</v>
      </c>
      <c r="AI51" s="42" t="str">
        <v>Stade du Parc Lescure</v>
      </c>
      <c r="AJ51" s="42" t="str">
        <v xml:space="preserve">Bordeaux </v>
      </c>
      <c r="AK51" s="42" t="str">
        <v>Brazil</v>
      </c>
      <c r="AL51" s="42">
        <v>2</v>
      </c>
      <c r="AM51" s="42">
        <v>1</v>
      </c>
      <c r="AN51" s="42" t="str">
        <v>Czechoslovakia</v>
      </c>
      <c r="AO51" s="42" t="str">
        <v>-</v>
      </c>
    </row>
    <row r="52" spans="1:41">
      <c r="G52" s="30">
        <v>1990</v>
      </c>
      <c r="H52" s="30" t="str">
        <v>QUARTER_FINALS</v>
      </c>
      <c r="I52" s="30" t="str">
        <v>Argentina</v>
      </c>
      <c r="J52" s="30" t="str">
        <v>Yugoslavia</v>
      </c>
      <c r="K52" s="30" t="str">
        <v>Argentina</v>
      </c>
      <c r="L52" s="30" t="str">
        <v>José Serrizuela</v>
      </c>
      <c r="M52" s="30" t="str">
        <v>Tomislav Ivković</v>
      </c>
      <c r="N52" s="30">
        <v>1</v>
      </c>
      <c r="O52" s="30">
        <v>1</v>
      </c>
      <c r="P52" s="30" t="str">
        <v>'0-0</v>
      </c>
      <c r="Q52" s="30" t="str">
        <v>No</v>
      </c>
      <c r="R52" s="30" t="str">
        <v>No</v>
      </c>
      <c r="S52" s="30" t="str">
        <v>Goal</v>
      </c>
      <c r="T52" s="30" t="str">
        <f t="shared" si="0"/>
        <v>0-0</v>
      </c>
      <c r="U52" s="30">
        <f t="shared" si="1"/>
        <v>0</v>
      </c>
      <c r="V52" s="30">
        <f t="shared" si="2"/>
        <v>0</v>
      </c>
      <c r="X52" s="12">
        <v>50</v>
      </c>
      <c r="Y52" s="12" t="str">
        <v>Santiago Giménez</v>
      </c>
      <c r="Z52" s="12">
        <v>25</v>
      </c>
      <c r="AA52" s="12" t="str">
        <v>Mexico</v>
      </c>
      <c r="AB52" s="12" t="str">
        <v>ST</v>
      </c>
      <c r="AC52" s="12" t="str">
        <v>AC Milan</v>
      </c>
      <c r="AD52" s="12">
        <v>11</v>
      </c>
      <c r="AF52" s="42">
        <v>1938</v>
      </c>
      <c r="AG52" s="42" t="str">
        <v xml:space="preserve">16 Jun 1938 - 18:00 </v>
      </c>
      <c r="AH52" s="42" t="str">
        <v>SEMI_FINALS</v>
      </c>
      <c r="AI52" s="42" t="str">
        <v>Parc des Princes</v>
      </c>
      <c r="AJ52" s="42" t="str">
        <v xml:space="preserve">Paris </v>
      </c>
      <c r="AK52" s="42" t="str">
        <v>Hungary</v>
      </c>
      <c r="AL52" s="42">
        <v>5</v>
      </c>
      <c r="AM52" s="42">
        <v>1</v>
      </c>
      <c r="AN52" s="42" t="str">
        <v>Sweden</v>
      </c>
      <c r="AO52" s="42" t="str">
        <v>-</v>
      </c>
    </row>
    <row r="53" spans="1:41">
      <c r="G53" s="30">
        <v>1990</v>
      </c>
      <c r="H53" s="30" t="str">
        <v>QUARTER_FINALS</v>
      </c>
      <c r="I53" s="30" t="str">
        <v>Argentina</v>
      </c>
      <c r="J53" s="30" t="str">
        <v>Yugoslavia</v>
      </c>
      <c r="K53" s="30" t="str">
        <v>Yugoslavia</v>
      </c>
      <c r="L53" s="30" t="str">
        <v>Dragan Stojković</v>
      </c>
      <c r="M53" s="30" t="str">
        <v>Sergio Goycochea</v>
      </c>
      <c r="N53" s="30">
        <v>2</v>
      </c>
      <c r="O53" s="30">
        <v>1</v>
      </c>
      <c r="P53" s="30" t="str">
        <v>'1-0</v>
      </c>
      <c r="Q53" s="30" t="str">
        <v>No</v>
      </c>
      <c r="R53" s="30" t="str">
        <v>No</v>
      </c>
      <c r="S53" s="30" t="str">
        <v>Missed</v>
      </c>
      <c r="T53" s="30" t="str">
        <f t="shared" si="0"/>
        <v>1-0</v>
      </c>
      <c r="U53" s="30">
        <f t="shared" si="1"/>
        <v>1</v>
      </c>
      <c r="V53" s="30">
        <f t="shared" si="2"/>
        <v>0</v>
      </c>
      <c r="X53" s="12">
        <v>51</v>
      </c>
      <c r="Y53" s="12" t="str">
        <v>Armando González</v>
      </c>
      <c r="Z53" s="12">
        <v>23</v>
      </c>
      <c r="AA53" s="12" t="str">
        <v>Mexico</v>
      </c>
      <c r="AB53" s="12" t="str">
        <v>ST</v>
      </c>
      <c r="AC53" s="12" t="str">
        <v>Guadalajara</v>
      </c>
      <c r="AD53" s="12">
        <v>14</v>
      </c>
      <c r="AF53" s="42">
        <v>1938</v>
      </c>
      <c r="AG53" s="42" t="str">
        <v xml:space="preserve">16 Jun 1938 - 18:00 </v>
      </c>
      <c r="AH53" s="42" t="str">
        <v>SEMI_FINALS</v>
      </c>
      <c r="AI53" s="42" t="str">
        <v>Stade Vélodrome</v>
      </c>
      <c r="AJ53" s="42" t="str">
        <v xml:space="preserve">Marseilles </v>
      </c>
      <c r="AK53" s="42" t="str">
        <v>Italy</v>
      </c>
      <c r="AL53" s="42">
        <v>2</v>
      </c>
      <c r="AM53" s="42">
        <v>1</v>
      </c>
      <c r="AN53" s="42" t="str">
        <v>Brazil</v>
      </c>
      <c r="AO53" s="42" t="str">
        <v>-</v>
      </c>
    </row>
    <row r="54" spans="1:41">
      <c r="G54" s="30">
        <v>1990</v>
      </c>
      <c r="H54" s="30" t="str">
        <v>QUARTER_FINALS</v>
      </c>
      <c r="I54" s="30" t="str">
        <v>Argentina</v>
      </c>
      <c r="J54" s="30" t="str">
        <v>Yugoslavia</v>
      </c>
      <c r="K54" s="30" t="str">
        <v>Argentina</v>
      </c>
      <c r="L54" s="30" t="str">
        <v>Jorge Burruchaga</v>
      </c>
      <c r="M54" s="30" t="str">
        <v>Tomislav Ivković</v>
      </c>
      <c r="N54" s="30">
        <v>3</v>
      </c>
      <c r="O54" s="30">
        <v>2</v>
      </c>
      <c r="P54" s="30" t="str">
        <v>'1-0</v>
      </c>
      <c r="Q54" s="30" t="str">
        <v>No</v>
      </c>
      <c r="R54" s="30" t="str">
        <v>No</v>
      </c>
      <c r="S54" s="30" t="str">
        <v>Goal</v>
      </c>
      <c r="T54" s="30" t="str">
        <f t="shared" si="0"/>
        <v>1-0</v>
      </c>
      <c r="U54" s="30">
        <f t="shared" si="1"/>
        <v>1</v>
      </c>
      <c r="V54" s="30">
        <f t="shared" si="2"/>
        <v>0</v>
      </c>
      <c r="X54" s="12">
        <v>52</v>
      </c>
      <c r="Y54" s="12" t="str">
        <v>Guillermo Martínez</v>
      </c>
      <c r="Z54" s="12">
        <v>31</v>
      </c>
      <c r="AA54" s="12" t="str">
        <v>Mexico</v>
      </c>
      <c r="AB54" s="12" t="str">
        <v>ST</v>
      </c>
      <c r="AC54" s="12" t="str">
        <v>Pumas UNAM</v>
      </c>
      <c r="AD54" s="12">
        <v>22</v>
      </c>
      <c r="AF54" s="42">
        <v>1938</v>
      </c>
      <c r="AG54" s="42" t="str">
        <v xml:space="preserve">19 Jun 1938 - 17:00 </v>
      </c>
      <c r="AH54" s="42" t="str">
        <v>THIRD_PLACE</v>
      </c>
      <c r="AI54" s="42" t="str">
        <v>Stade du Parc Lescure</v>
      </c>
      <c r="AJ54" s="42" t="str">
        <v xml:space="preserve">Bordeaux </v>
      </c>
      <c r="AK54" s="42" t="str">
        <v>Brazil</v>
      </c>
      <c r="AL54" s="42">
        <v>4</v>
      </c>
      <c r="AM54" s="42">
        <v>2</v>
      </c>
      <c r="AN54" s="42" t="str">
        <v>Sweden</v>
      </c>
      <c r="AO54" s="42" t="str">
        <v>-</v>
      </c>
    </row>
    <row r="55" spans="1:41">
      <c r="G55" s="30">
        <v>1990</v>
      </c>
      <c r="H55" s="30" t="str">
        <v>QUARTER_FINALS</v>
      </c>
      <c r="I55" s="30" t="str">
        <v>Argentina</v>
      </c>
      <c r="J55" s="30" t="str">
        <v>Yugoslavia</v>
      </c>
      <c r="K55" s="30" t="str">
        <v>Yugoslavia</v>
      </c>
      <c r="L55" s="30" t="str">
        <v>Robert Prosinečki</v>
      </c>
      <c r="M55" s="30" t="str">
        <v>Sergio Goycochea</v>
      </c>
      <c r="N55" s="30">
        <v>4</v>
      </c>
      <c r="O55" s="30">
        <v>2</v>
      </c>
      <c r="P55" s="30" t="str">
        <v>'2-0</v>
      </c>
      <c r="Q55" s="30" t="str">
        <v>No</v>
      </c>
      <c r="R55" s="30" t="str">
        <v>No</v>
      </c>
      <c r="S55" s="30" t="str">
        <v>Goal</v>
      </c>
      <c r="T55" s="30" t="str">
        <f t="shared" si="0"/>
        <v>2-0</v>
      </c>
      <c r="U55" s="30">
        <f t="shared" si="1"/>
        <v>2</v>
      </c>
      <c r="V55" s="30">
        <f t="shared" si="2"/>
        <v>0</v>
      </c>
      <c r="X55" s="12">
        <v>53</v>
      </c>
      <c r="Y55" s="12" t="str">
        <v>Ronwen Williams</v>
      </c>
      <c r="Z55" s="12">
        <v>34</v>
      </c>
      <c r="AA55" s="12" t="str">
        <v>South Africa</v>
      </c>
      <c r="AB55" s="12" t="str">
        <v>GK</v>
      </c>
      <c r="AC55" s="12" t="str">
        <v>Mamelodi Sundowns</v>
      </c>
      <c r="AD55" s="12">
        <v>1</v>
      </c>
      <c r="AF55" s="42">
        <v>1938</v>
      </c>
      <c r="AG55" s="42" t="str">
        <v xml:space="preserve">19 Jun 1938 - 17:00 </v>
      </c>
      <c r="AH55" s="42" t="str">
        <v>FINAL</v>
      </c>
      <c r="AI55" s="42" t="str">
        <v>Stade Olympique</v>
      </c>
      <c r="AJ55" s="42" t="str">
        <v xml:space="preserve">Colombes </v>
      </c>
      <c r="AK55" s="42" t="str">
        <v>Italy</v>
      </c>
      <c r="AL55" s="42">
        <v>4</v>
      </c>
      <c r="AM55" s="42">
        <v>2</v>
      </c>
      <c r="AN55" s="42" t="str">
        <v>Hungary</v>
      </c>
      <c r="AO55" s="42" t="str">
        <v>-</v>
      </c>
    </row>
    <row r="56" spans="1:41">
      <c r="G56" s="30">
        <v>1990</v>
      </c>
      <c r="H56" s="30" t="str">
        <v>QUARTER_FINALS</v>
      </c>
      <c r="I56" s="30" t="str">
        <v>Argentina</v>
      </c>
      <c r="J56" s="30" t="str">
        <v>Yugoslavia</v>
      </c>
      <c r="K56" s="30" t="str">
        <v>Argentina</v>
      </c>
      <c r="L56" s="30" t="str">
        <v>Diego Maradona</v>
      </c>
      <c r="M56" s="30" t="str">
        <v>Tomislav Ivković</v>
      </c>
      <c r="N56" s="30">
        <v>5</v>
      </c>
      <c r="O56" s="30">
        <v>3</v>
      </c>
      <c r="P56" s="30" t="str">
        <v>'1-2</v>
      </c>
      <c r="Q56" s="30" t="str">
        <v>No</v>
      </c>
      <c r="R56" s="30" t="str">
        <v>No</v>
      </c>
      <c r="S56" s="30" t="str">
        <v>Saved</v>
      </c>
      <c r="T56" s="30" t="str">
        <f t="shared" si="0"/>
        <v>1-2</v>
      </c>
      <c r="U56" s="30">
        <f t="shared" si="1"/>
        <v>1</v>
      </c>
      <c r="V56" s="30">
        <f t="shared" si="2"/>
        <v>2</v>
      </c>
      <c r="X56" s="12">
        <v>54</v>
      </c>
      <c r="Y56" s="12" t="str">
        <v>Sipho Chaine</v>
      </c>
      <c r="Z56" s="12">
        <v>29</v>
      </c>
      <c r="AA56" s="12" t="str">
        <v>South Africa</v>
      </c>
      <c r="AB56" s="12" t="str">
        <v>GK</v>
      </c>
      <c r="AC56" s="12" t="str">
        <v>Orlando Pirates</v>
      </c>
      <c r="AD56" s="12">
        <v>16</v>
      </c>
      <c r="AF56" s="42">
        <v>1950</v>
      </c>
      <c r="AG56" s="42" t="str">
        <v xml:space="preserve">24 Jun 1950 - 15:00 </v>
      </c>
      <c r="AH56" s="42" t="str">
        <v>GROUP_STAGE</v>
      </c>
      <c r="AI56" s="42" t="str">
        <v>Maracanã - Estádio Jornalista Mário Filho</v>
      </c>
      <c r="AJ56" s="42" t="str">
        <v xml:space="preserve">Rio De Janeiro </v>
      </c>
      <c r="AK56" s="42" t="str">
        <v>Brazil</v>
      </c>
      <c r="AL56" s="42">
        <v>4</v>
      </c>
      <c r="AM56" s="42">
        <v>0</v>
      </c>
      <c r="AN56" s="42" t="str">
        <v>Mexico</v>
      </c>
      <c r="AO56" s="42" t="str">
        <v>-</v>
      </c>
    </row>
    <row r="57" spans="1:41">
      <c r="G57" s="30">
        <v>1990</v>
      </c>
      <c r="H57" s="30" t="str">
        <v>QUARTER_FINALS</v>
      </c>
      <c r="I57" s="30" t="str">
        <v>Argentina</v>
      </c>
      <c r="J57" s="30" t="str">
        <v>Yugoslavia</v>
      </c>
      <c r="K57" s="30" t="str">
        <v>Yugoslavia</v>
      </c>
      <c r="L57" s="30" t="str">
        <v>Dejan Savićević</v>
      </c>
      <c r="M57" s="30" t="str">
        <v>Sergio Goycochea</v>
      </c>
      <c r="N57" s="30">
        <v>6</v>
      </c>
      <c r="O57" s="30">
        <v>3</v>
      </c>
      <c r="P57" s="30" t="str">
        <v>'1-2</v>
      </c>
      <c r="Q57" s="30" t="str">
        <v>No</v>
      </c>
      <c r="R57" s="30" t="str">
        <v>No</v>
      </c>
      <c r="S57" s="30" t="str">
        <v>Goal</v>
      </c>
      <c r="T57" s="30" t="str">
        <f t="shared" si="0"/>
        <v>1-2</v>
      </c>
      <c r="U57" s="30">
        <f t="shared" si="1"/>
        <v>1</v>
      </c>
      <c r="V57" s="30">
        <f t="shared" si="2"/>
        <v>2</v>
      </c>
      <c r="X57" s="12">
        <v>55</v>
      </c>
      <c r="Y57" s="12" t="str">
        <v>Ricardo Goss</v>
      </c>
      <c r="Z57" s="12">
        <v>32</v>
      </c>
      <c r="AA57" s="12" t="str">
        <v>South Africa</v>
      </c>
      <c r="AB57" s="12" t="str">
        <v>GK</v>
      </c>
      <c r="AC57" s="12" t="str">
        <v>Siwelele</v>
      </c>
      <c r="AD57" s="12">
        <v>22</v>
      </c>
      <c r="AF57" s="42">
        <v>1950</v>
      </c>
      <c r="AG57" s="42" t="str">
        <v xml:space="preserve">25 Jun 1950 - 15:00 </v>
      </c>
      <c r="AH57" s="42" t="str">
        <v>GROUP_STAGE</v>
      </c>
      <c r="AI57" s="42" t="str">
        <v>Maracanã - Estádio Jornalista Mário Filho</v>
      </c>
      <c r="AJ57" s="42" t="str">
        <v xml:space="preserve">Rio De Janeiro </v>
      </c>
      <c r="AK57" s="42" t="str">
        <v>England</v>
      </c>
      <c r="AL57" s="42">
        <v>2</v>
      </c>
      <c r="AM57" s="42">
        <v>0</v>
      </c>
      <c r="AN57" s="42" t="str">
        <v>Chile</v>
      </c>
      <c r="AO57" s="42" t="str">
        <v>-</v>
      </c>
    </row>
    <row r="58" spans="1:41">
      <c r="G58" s="30">
        <v>1990</v>
      </c>
      <c r="H58" s="30" t="str">
        <v>QUARTER_FINALS</v>
      </c>
      <c r="I58" s="30" t="str">
        <v>Argentina</v>
      </c>
      <c r="J58" s="30" t="str">
        <v>Yugoslavia</v>
      </c>
      <c r="K58" s="30" t="str">
        <v>Argentina</v>
      </c>
      <c r="L58" s="30" t="str">
        <v>Pedro Troglio</v>
      </c>
      <c r="M58" s="30" t="str">
        <v>Tomislav Ivković</v>
      </c>
      <c r="N58" s="30">
        <v>7</v>
      </c>
      <c r="O58" s="30">
        <v>4</v>
      </c>
      <c r="P58" s="30" t="str">
        <v>'2-2</v>
      </c>
      <c r="Q58" s="30" t="str">
        <v>No</v>
      </c>
      <c r="R58" s="30" t="str">
        <v>No</v>
      </c>
      <c r="S58" s="30" t="str">
        <v>Missed</v>
      </c>
      <c r="T58" s="30" t="str">
        <f t="shared" si="0"/>
        <v>2-2</v>
      </c>
      <c r="U58" s="30">
        <f t="shared" si="1"/>
        <v>2</v>
      </c>
      <c r="V58" s="30">
        <f t="shared" si="2"/>
        <v>2</v>
      </c>
      <c r="X58" s="12">
        <v>56</v>
      </c>
      <c r="Y58" s="12" t="str">
        <v>Khulumani Ndamane</v>
      </c>
      <c r="Z58" s="12">
        <v>22</v>
      </c>
      <c r="AA58" s="12" t="str">
        <v>South Africa</v>
      </c>
      <c r="AB58" s="12" t="str">
        <v>CB</v>
      </c>
      <c r="AC58" s="12" t="str">
        <v>Mamelodi Sundowns</v>
      </c>
      <c r="AD58" s="12">
        <v>3</v>
      </c>
      <c r="AF58" s="42">
        <v>1950</v>
      </c>
      <c r="AG58" s="42" t="str">
        <v xml:space="preserve">25 Jun 1950 - 15:00 </v>
      </c>
      <c r="AH58" s="42" t="str">
        <v>GROUP_STAGE</v>
      </c>
      <c r="AI58" s="42" t="str">
        <v>Durival de Brito</v>
      </c>
      <c r="AJ58" s="42" t="str">
        <v xml:space="preserve">Curitiba </v>
      </c>
      <c r="AK58" s="42" t="str">
        <v>Spain</v>
      </c>
      <c r="AL58" s="42">
        <v>3</v>
      </c>
      <c r="AM58" s="42">
        <v>1</v>
      </c>
      <c r="AN58" s="42" t="str">
        <v>United States</v>
      </c>
      <c r="AO58" s="42" t="str">
        <v>-</v>
      </c>
    </row>
    <row r="59" spans="1:41">
      <c r="G59" s="30">
        <v>1990</v>
      </c>
      <c r="H59" s="30" t="str">
        <v>QUARTER_FINALS</v>
      </c>
      <c r="I59" s="30" t="str">
        <v>Argentina</v>
      </c>
      <c r="J59" s="30" t="str">
        <v>Yugoslavia</v>
      </c>
      <c r="K59" s="30" t="str">
        <v>Yugoslavia</v>
      </c>
      <c r="L59" s="30" t="str">
        <v>Dragoljub Brnović</v>
      </c>
      <c r="M59" s="30" t="str">
        <v>Sergio Goycochea</v>
      </c>
      <c r="N59" s="30">
        <v>8</v>
      </c>
      <c r="O59" s="30">
        <v>4</v>
      </c>
      <c r="P59" s="30" t="str">
        <v>'2-2</v>
      </c>
      <c r="Q59" s="30" t="str">
        <v>No</v>
      </c>
      <c r="R59" s="30" t="str">
        <v>No</v>
      </c>
      <c r="S59" s="30" t="str">
        <v>Saved</v>
      </c>
      <c r="T59" s="30" t="str">
        <f t="shared" si="0"/>
        <v>2-2</v>
      </c>
      <c r="U59" s="30">
        <f t="shared" si="1"/>
        <v>2</v>
      </c>
      <c r="V59" s="30">
        <f t="shared" si="2"/>
        <v>2</v>
      </c>
      <c r="X59" s="12">
        <v>57</v>
      </c>
      <c r="Y59" s="12" t="str">
        <v>Mbekezeli Mbokazi</v>
      </c>
      <c r="Z59" s="12">
        <v>20</v>
      </c>
      <c r="AA59" s="12" t="str">
        <v>South Africa</v>
      </c>
      <c r="AB59" s="12" t="str">
        <v>CB</v>
      </c>
      <c r="AC59" s="12" t="str">
        <v>Chicago Fire FC</v>
      </c>
      <c r="AD59" s="12">
        <v>14</v>
      </c>
      <c r="AF59" s="42">
        <v>1950</v>
      </c>
      <c r="AG59" s="42" t="str">
        <v xml:space="preserve">25 Jun 1950 - 15:00 </v>
      </c>
      <c r="AH59" s="42" t="str">
        <v>GROUP_STAGE</v>
      </c>
      <c r="AI59" s="42" t="str">
        <v>Pacaembu</v>
      </c>
      <c r="AJ59" s="42" t="str">
        <v xml:space="preserve">Sao Paulo </v>
      </c>
      <c r="AK59" s="42" t="str">
        <v>Sweden</v>
      </c>
      <c r="AL59" s="42">
        <v>3</v>
      </c>
      <c r="AM59" s="42">
        <v>2</v>
      </c>
      <c r="AN59" s="42" t="str">
        <v>Italy</v>
      </c>
      <c r="AO59" s="42" t="str">
        <v>-</v>
      </c>
    </row>
    <row r="60" spans="1:41">
      <c r="G60" s="30">
        <v>1990</v>
      </c>
      <c r="H60" s="30" t="str">
        <v>QUARTER_FINALS</v>
      </c>
      <c r="I60" s="30" t="str">
        <v>Argentina</v>
      </c>
      <c r="J60" s="30" t="str">
        <v>Yugoslavia</v>
      </c>
      <c r="K60" s="30" t="str">
        <v>Argentina</v>
      </c>
      <c r="L60" s="30" t="str">
        <v>Gustavo Dezotti</v>
      </c>
      <c r="M60" s="30" t="str">
        <v>Tomislav Ivković</v>
      </c>
      <c r="N60" s="30">
        <v>9</v>
      </c>
      <c r="O60" s="30">
        <v>5</v>
      </c>
      <c r="P60" s="30" t="str">
        <v>'2-2</v>
      </c>
      <c r="Q60" s="30" t="str">
        <v>No</v>
      </c>
      <c r="R60" s="30" t="str">
        <v>No</v>
      </c>
      <c r="S60" s="30" t="str">
        <v>Goal</v>
      </c>
      <c r="T60" s="30" t="str">
        <f t="shared" si="0"/>
        <v>2-2</v>
      </c>
      <c r="U60" s="30">
        <f t="shared" si="1"/>
        <v>2</v>
      </c>
      <c r="V60" s="30">
        <f t="shared" si="2"/>
        <v>2</v>
      </c>
      <c r="X60" s="12">
        <v>58</v>
      </c>
      <c r="Y60" s="12" t="str">
        <v>Nkosinathi Sibisi</v>
      </c>
      <c r="Z60" s="12">
        <v>30</v>
      </c>
      <c r="AA60" s="12" t="str">
        <v>South Africa</v>
      </c>
      <c r="AB60" s="12" t="str">
        <v>CB</v>
      </c>
      <c r="AC60" s="12" t="str">
        <v>Orlando Pirates</v>
      </c>
      <c r="AD60" s="12">
        <v>19</v>
      </c>
      <c r="AF60" s="42">
        <v>1950</v>
      </c>
      <c r="AG60" s="42" t="str">
        <v xml:space="preserve">25 Jun 1950 - 15:00 </v>
      </c>
      <c r="AH60" s="42" t="str">
        <v>GROUP_STAGE</v>
      </c>
      <c r="AI60" s="42" t="str">
        <v>Independencia</v>
      </c>
      <c r="AJ60" s="42" t="str">
        <v xml:space="preserve">Belo Horizonte </v>
      </c>
      <c r="AK60" s="42" t="str">
        <v>Yugoslavia</v>
      </c>
      <c r="AL60" s="42">
        <v>3</v>
      </c>
      <c r="AM60" s="42">
        <v>0</v>
      </c>
      <c r="AN60" s="42" t="str">
        <v>Switzerland</v>
      </c>
      <c r="AO60" s="42" t="str">
        <v>-</v>
      </c>
    </row>
    <row r="61" spans="1:41">
      <c r="G61" s="30">
        <v>1990</v>
      </c>
      <c r="H61" s="30" t="str">
        <v>QUARTER_FINALS</v>
      </c>
      <c r="I61" s="30" t="str">
        <v>Argentina</v>
      </c>
      <c r="J61" s="30" t="str">
        <v>Yugoslavia</v>
      </c>
      <c r="K61" s="30" t="str">
        <v>Yugoslavia</v>
      </c>
      <c r="L61" s="30" t="str">
        <v>Faruk Hadžibegić</v>
      </c>
      <c r="M61" s="30" t="str">
        <v>Sergio Goycochea</v>
      </c>
      <c r="N61" s="30">
        <v>10</v>
      </c>
      <c r="O61" s="30">
        <v>5</v>
      </c>
      <c r="P61" s="30" t="str">
        <v>'2-3</v>
      </c>
      <c r="Q61" s="30" t="str">
        <v>Yes</v>
      </c>
      <c r="R61" s="30" t="str">
        <v>Yes</v>
      </c>
      <c r="S61" s="30" t="str">
        <v>Saved</v>
      </c>
      <c r="T61" s="30" t="str">
        <f t="shared" si="0"/>
        <v>2-3</v>
      </c>
      <c r="U61" s="30">
        <f t="shared" si="1"/>
        <v>2</v>
      </c>
      <c r="V61" s="30">
        <f t="shared" si="2"/>
        <v>3</v>
      </c>
      <c r="X61" s="12">
        <v>59</v>
      </c>
      <c r="Y61" s="12" t="str">
        <v>Ime Okon</v>
      </c>
      <c r="Z61" s="12">
        <v>22</v>
      </c>
      <c r="AA61" s="12" t="str">
        <v>South Africa</v>
      </c>
      <c r="AB61" s="12" t="str">
        <v>CB</v>
      </c>
      <c r="AC61" s="12" t="str">
        <v>Hannover 96</v>
      </c>
      <c r="AD61" s="12">
        <v>21</v>
      </c>
      <c r="AF61" s="42">
        <v>1950</v>
      </c>
      <c r="AG61" s="42" t="str">
        <v xml:space="preserve">28 Jun 1950 - 15:00 </v>
      </c>
      <c r="AH61" s="42" t="str">
        <v>GROUP_STAGE</v>
      </c>
      <c r="AI61" s="42" t="str">
        <v>Pacaembu</v>
      </c>
      <c r="AJ61" s="42" t="str">
        <v xml:space="preserve">Sao Paulo </v>
      </c>
      <c r="AK61" s="42" t="str">
        <v>Brazil</v>
      </c>
      <c r="AL61" s="42">
        <v>2</v>
      </c>
      <c r="AM61" s="42">
        <v>2</v>
      </c>
      <c r="AN61" s="42" t="str">
        <v>Switzerland</v>
      </c>
      <c r="AO61" s="42" t="str">
        <v>-</v>
      </c>
    </row>
    <row r="62" spans="1:41">
      <c r="G62" s="30">
        <v>1990</v>
      </c>
      <c r="H62" s="30" t="str">
        <v>SEMI_FINALS</v>
      </c>
      <c r="I62" s="30" t="str">
        <v>Argentina</v>
      </c>
      <c r="J62" s="30" t="str">
        <v>Italy</v>
      </c>
      <c r="K62" s="30" t="str">
        <v>Italy</v>
      </c>
      <c r="L62" s="30" t="str">
        <v>Franco Baresi</v>
      </c>
      <c r="M62" s="30" t="str">
        <v>Sergio Goycochea</v>
      </c>
      <c r="N62" s="30">
        <v>1</v>
      </c>
      <c r="O62" s="30">
        <v>1</v>
      </c>
      <c r="P62" s="30" t="str">
        <v>'0-0</v>
      </c>
      <c r="Q62" s="30" t="str">
        <v>No</v>
      </c>
      <c r="R62" s="30" t="str">
        <v>No</v>
      </c>
      <c r="S62" s="30" t="str">
        <v>Goal</v>
      </c>
      <c r="T62" s="30" t="str">
        <f t="shared" si="0"/>
        <v>0-0</v>
      </c>
      <c r="U62" s="30">
        <f t="shared" si="1"/>
        <v>0</v>
      </c>
      <c r="V62" s="30">
        <f t="shared" si="2"/>
        <v>0</v>
      </c>
      <c r="X62" s="12">
        <v>60</v>
      </c>
      <c r="Y62" s="12" t="str">
        <v>Olwethu Makhanya</v>
      </c>
      <c r="Z62" s="12">
        <v>22</v>
      </c>
      <c r="AA62" s="12" t="str">
        <v>South Africa</v>
      </c>
      <c r="AB62" s="12" t="str">
        <v>CB</v>
      </c>
      <c r="AC62" s="12" t="str">
        <v>Philadelphia Union</v>
      </c>
      <c r="AD62" s="12">
        <v>24</v>
      </c>
      <c r="AF62" s="42">
        <v>1950</v>
      </c>
      <c r="AG62" s="42" t="str">
        <v xml:space="preserve">28 Jun 1950 - 15:00 </v>
      </c>
      <c r="AH62" s="42" t="str">
        <v>GROUP_STAGE</v>
      </c>
      <c r="AI62" s="42" t="str">
        <v>Eucaliptos</v>
      </c>
      <c r="AJ62" s="42" t="str">
        <v xml:space="preserve">Porto Alegre </v>
      </c>
      <c r="AK62" s="42" t="str">
        <v>Yugoslavia</v>
      </c>
      <c r="AL62" s="42">
        <v>4</v>
      </c>
      <c r="AM62" s="42">
        <v>1</v>
      </c>
      <c r="AN62" s="42" t="str">
        <v>Mexico</v>
      </c>
      <c r="AO62" s="42" t="str">
        <v>-</v>
      </c>
    </row>
    <row r="63" spans="1:41">
      <c r="G63" s="30">
        <v>1990</v>
      </c>
      <c r="H63" s="30" t="str">
        <v>SEMI_FINALS</v>
      </c>
      <c r="I63" s="30" t="str">
        <v>Argentina</v>
      </c>
      <c r="J63" s="30" t="str">
        <v>Italy</v>
      </c>
      <c r="K63" s="30" t="str">
        <v>Argentina</v>
      </c>
      <c r="L63" s="30" t="str">
        <v>José Serrizuela</v>
      </c>
      <c r="M63" s="30" t="str">
        <v>Walter Zenga</v>
      </c>
      <c r="N63" s="30">
        <v>2</v>
      </c>
      <c r="O63" s="30">
        <v>1</v>
      </c>
      <c r="P63" s="30" t="str">
        <v>'0-1</v>
      </c>
      <c r="Q63" s="30" t="str">
        <v>No</v>
      </c>
      <c r="R63" s="30" t="str">
        <v>No</v>
      </c>
      <c r="S63" s="30" t="str">
        <v>Goal</v>
      </c>
      <c r="T63" s="30" t="str">
        <f t="shared" si="0"/>
        <v>0-1</v>
      </c>
      <c r="U63" s="30">
        <f t="shared" si="1"/>
        <v>0</v>
      </c>
      <c r="V63" s="30">
        <f t="shared" si="2"/>
        <v>1</v>
      </c>
      <c r="X63" s="12">
        <v>61</v>
      </c>
      <c r="Y63" s="12" t="str">
        <v>Aubrey Modiba</v>
      </c>
      <c r="Z63" s="12">
        <v>30</v>
      </c>
      <c r="AA63" s="12" t="str">
        <v>South Africa</v>
      </c>
      <c r="AB63" s="12" t="str">
        <v>LB</v>
      </c>
      <c r="AC63" s="12" t="str">
        <v>Mamelodi Sundowns</v>
      </c>
      <c r="AD63" s="12">
        <v>6</v>
      </c>
      <c r="AF63" s="42">
        <v>1950</v>
      </c>
      <c r="AG63" s="42" t="str">
        <v xml:space="preserve">29 Jun 1950 - 15:00 </v>
      </c>
      <c r="AH63" s="42" t="str">
        <v>GROUP_STAGE</v>
      </c>
      <c r="AI63" s="42" t="str">
        <v>Maracanã - Estádio Jornalista Mário Filho</v>
      </c>
      <c r="AJ63" s="42" t="str">
        <v xml:space="preserve">Rio De Janeiro </v>
      </c>
      <c r="AK63" s="42" t="str">
        <v>Spain</v>
      </c>
      <c r="AL63" s="42">
        <v>2</v>
      </c>
      <c r="AM63" s="42">
        <v>0</v>
      </c>
      <c r="AN63" s="42" t="str">
        <v>Chile</v>
      </c>
      <c r="AO63" s="42" t="str">
        <v>-</v>
      </c>
    </row>
    <row r="64" spans="1:41">
      <c r="G64" s="30">
        <v>1990</v>
      </c>
      <c r="H64" s="30" t="str">
        <v>SEMI_FINALS</v>
      </c>
      <c r="I64" s="30" t="str">
        <v>Argentina</v>
      </c>
      <c r="J64" s="30" t="str">
        <v>Italy</v>
      </c>
      <c r="K64" s="30" t="str">
        <v>Italy</v>
      </c>
      <c r="L64" s="30" t="str">
        <v>Roberto Baggio</v>
      </c>
      <c r="M64" s="30" t="str">
        <v>Sergio Goycochea</v>
      </c>
      <c r="N64" s="30">
        <v>3</v>
      </c>
      <c r="O64" s="30">
        <v>2</v>
      </c>
      <c r="P64" s="30" t="str">
        <v>'1-1</v>
      </c>
      <c r="Q64" s="30" t="str">
        <v>No</v>
      </c>
      <c r="R64" s="30" t="str">
        <v>No</v>
      </c>
      <c r="S64" s="30" t="str">
        <v>Goal</v>
      </c>
      <c r="T64" s="30" t="str">
        <f t="shared" si="0"/>
        <v>1-1</v>
      </c>
      <c r="U64" s="30">
        <f t="shared" si="1"/>
        <v>1</v>
      </c>
      <c r="V64" s="30">
        <f t="shared" si="2"/>
        <v>1</v>
      </c>
      <c r="X64" s="12">
        <v>62</v>
      </c>
      <c r="Y64" s="12" t="str">
        <v>Samukele Kabini</v>
      </c>
      <c r="Z64" s="12">
        <v>22</v>
      </c>
      <c r="AA64" s="12" t="str">
        <v>South Africa</v>
      </c>
      <c r="AB64" s="12" t="str">
        <v>LB</v>
      </c>
      <c r="AC64" s="12" t="str">
        <v>Molde</v>
      </c>
      <c r="AD64" s="12">
        <v>18</v>
      </c>
      <c r="AF64" s="42">
        <v>1950</v>
      </c>
      <c r="AG64" s="42" t="str">
        <v xml:space="preserve">29 Jun 1950 - 15:30 </v>
      </c>
      <c r="AH64" s="42" t="str">
        <v>GROUP_STAGE</v>
      </c>
      <c r="AI64" s="42" t="str">
        <v>Durival de Brito</v>
      </c>
      <c r="AJ64" s="42" t="str">
        <v xml:space="preserve">Curitiba </v>
      </c>
      <c r="AK64" s="42" t="str">
        <v>Sweden</v>
      </c>
      <c r="AL64" s="42">
        <v>2</v>
      </c>
      <c r="AM64" s="42">
        <v>2</v>
      </c>
      <c r="AN64" s="42" t="str">
        <v>Paraguay</v>
      </c>
      <c r="AO64" s="42" t="str">
        <v>-</v>
      </c>
    </row>
    <row r="65" spans="7:41">
      <c r="G65" s="30">
        <v>1990</v>
      </c>
      <c r="H65" s="30" t="str">
        <v>SEMI_FINALS</v>
      </c>
      <c r="I65" s="30" t="str">
        <v>Argentina</v>
      </c>
      <c r="J65" s="30" t="str">
        <v>Italy</v>
      </c>
      <c r="K65" s="30" t="str">
        <v>Argentina</v>
      </c>
      <c r="L65" s="30" t="str">
        <v>Jorge Burruchaga</v>
      </c>
      <c r="M65" s="30" t="str">
        <v>Walter Zenga</v>
      </c>
      <c r="N65" s="30">
        <v>4</v>
      </c>
      <c r="O65" s="30">
        <v>2</v>
      </c>
      <c r="P65" s="30" t="str">
        <v>'2-1</v>
      </c>
      <c r="Q65" s="30" t="str">
        <v>No</v>
      </c>
      <c r="R65" s="30" t="str">
        <v>No</v>
      </c>
      <c r="S65" s="30" t="str">
        <v>Goal</v>
      </c>
      <c r="T65" s="30" t="str">
        <f t="shared" si="0"/>
        <v>2-1</v>
      </c>
      <c r="U65" s="30">
        <f t="shared" si="1"/>
        <v>2</v>
      </c>
      <c r="V65" s="30">
        <f t="shared" si="2"/>
        <v>1</v>
      </c>
      <c r="X65" s="12">
        <v>63</v>
      </c>
      <c r="Y65" s="12" t="str">
        <v>Bradley Cross</v>
      </c>
      <c r="Z65" s="12">
        <v>25</v>
      </c>
      <c r="AA65" s="12" t="str">
        <v>South Africa</v>
      </c>
      <c r="AB65" s="12" t="str">
        <v>LB</v>
      </c>
      <c r="AC65" s="12" t="str">
        <v>Kaizer Chiefs</v>
      </c>
      <c r="AD65" s="12">
        <v>26</v>
      </c>
      <c r="AF65" s="42">
        <v>1950</v>
      </c>
      <c r="AG65" s="42" t="str">
        <v xml:space="preserve">29 Jun 1950 - 15:00 </v>
      </c>
      <c r="AH65" s="42" t="str">
        <v>GROUP_STAGE</v>
      </c>
      <c r="AI65" s="42" t="str">
        <v>Independencia</v>
      </c>
      <c r="AJ65" s="42" t="str">
        <v xml:space="preserve">Belo Horizonte </v>
      </c>
      <c r="AK65" s="42" t="str">
        <v>United States</v>
      </c>
      <c r="AL65" s="42">
        <v>1</v>
      </c>
      <c r="AM65" s="42">
        <v>0</v>
      </c>
      <c r="AN65" s="42" t="str">
        <v>England</v>
      </c>
      <c r="AO65" s="42" t="str">
        <v>-</v>
      </c>
    </row>
    <row r="66" spans="7:41">
      <c r="G66" s="30">
        <v>1990</v>
      </c>
      <c r="H66" s="30" t="str">
        <v>SEMI_FINALS</v>
      </c>
      <c r="I66" s="30" t="str">
        <v>Argentina</v>
      </c>
      <c r="J66" s="30" t="str">
        <v>Italy</v>
      </c>
      <c r="K66" s="30" t="str">
        <v>Italy</v>
      </c>
      <c r="L66" s="30" t="str">
        <v>Luigi De Agostini</v>
      </c>
      <c r="M66" s="30" t="str">
        <v>Sergio Goycochea</v>
      </c>
      <c r="N66" s="30">
        <v>5</v>
      </c>
      <c r="O66" s="30">
        <v>3</v>
      </c>
      <c r="P66" s="30" t="str">
        <v>'2-2</v>
      </c>
      <c r="Q66" s="30" t="str">
        <v>No</v>
      </c>
      <c r="R66" s="30" t="str">
        <v>No</v>
      </c>
      <c r="S66" s="30" t="str">
        <v>Goal</v>
      </c>
      <c r="T66" s="30" t="str">
        <f t="shared" si="0"/>
        <v>2-2</v>
      </c>
      <c r="U66" s="30">
        <f t="shared" si="1"/>
        <v>2</v>
      </c>
      <c r="V66" s="30">
        <f t="shared" si="2"/>
        <v>2</v>
      </c>
      <c r="X66" s="12">
        <v>64</v>
      </c>
      <c r="Y66" s="12" t="str">
        <v>Thabang Matuludi</v>
      </c>
      <c r="Z66" s="12">
        <v>27</v>
      </c>
      <c r="AA66" s="12" t="str">
        <v>South Africa</v>
      </c>
      <c r="AB66" s="12" t="str">
        <v>RB</v>
      </c>
      <c r="AC66" s="12" t="str">
        <v>Polokwane City</v>
      </c>
      <c r="AD66" s="12">
        <v>2</v>
      </c>
      <c r="AF66" s="42">
        <v>1950</v>
      </c>
      <c r="AG66" s="42" t="str">
        <v xml:space="preserve">01 Jul 1950 - 15:00 </v>
      </c>
      <c r="AH66" s="42" t="str">
        <v>GROUP_STAGE</v>
      </c>
      <c r="AI66" s="42" t="str">
        <v>Maracanã - Estádio Jornalista Mário Filho</v>
      </c>
      <c r="AJ66" s="42" t="str">
        <v xml:space="preserve">Rio De Janeiro </v>
      </c>
      <c r="AK66" s="42" t="str">
        <v>Brazil</v>
      </c>
      <c r="AL66" s="42">
        <v>2</v>
      </c>
      <c r="AM66" s="42">
        <v>0</v>
      </c>
      <c r="AN66" s="42" t="str">
        <v>Yugoslavia</v>
      </c>
      <c r="AO66" s="42" t="str">
        <v>-</v>
      </c>
    </row>
    <row r="67" spans="7:41">
      <c r="G67" s="30">
        <v>1990</v>
      </c>
      <c r="H67" s="30" t="str">
        <v>SEMI_FINALS</v>
      </c>
      <c r="I67" s="30" t="str">
        <v>Argentina</v>
      </c>
      <c r="J67" s="30" t="str">
        <v>Italy</v>
      </c>
      <c r="K67" s="30" t="str">
        <v>Argentina</v>
      </c>
      <c r="L67" s="30" t="str">
        <v>Julio Olarticoechea</v>
      </c>
      <c r="M67" s="30" t="str">
        <v>Walter Zenga</v>
      </c>
      <c r="N67" s="30">
        <v>6</v>
      </c>
      <c r="O67" s="30">
        <v>3</v>
      </c>
      <c r="P67" s="30" t="str">
        <v>'3-2</v>
      </c>
      <c r="Q67" s="30" t="str">
        <v>No</v>
      </c>
      <c r="R67" s="30" t="str">
        <v>No</v>
      </c>
      <c r="S67" s="30" t="str">
        <v>Goal</v>
      </c>
      <c r="T67" s="30" t="str">
        <f t="shared" ref="T67:T130" si="3">SUBSTITUTE(P67,"'","")</f>
        <v>3-2</v>
      </c>
      <c r="U67" s="30">
        <f t="shared" ref="U67:U130" si="4">VALUE(LEFT(T67,1))</f>
        <v>3</v>
      </c>
      <c r="V67" s="30">
        <f t="shared" ref="V67:V130" si="5">VALUE(RIGHT(T67,1))</f>
        <v>2</v>
      </c>
      <c r="X67" s="12">
        <v>65</v>
      </c>
      <c r="Y67" s="12" t="str">
        <v>Khuliso Mudau</v>
      </c>
      <c r="Z67" s="12">
        <v>31</v>
      </c>
      <c r="AA67" s="12" t="str">
        <v>South Africa</v>
      </c>
      <c r="AB67" s="12" t="str">
        <v>RB</v>
      </c>
      <c r="AC67" s="12" t="str">
        <v>Mamelodi Sundowns</v>
      </c>
      <c r="AD67" s="12">
        <v>20</v>
      </c>
      <c r="AF67" s="42">
        <v>1950</v>
      </c>
      <c r="AG67" s="42" t="str">
        <v xml:space="preserve">02 Jul 1950 - 15:00 </v>
      </c>
      <c r="AH67" s="42" t="str">
        <v>GROUP_STAGE</v>
      </c>
      <c r="AI67" s="42" t="str">
        <v>Maracanã - Estádio Jornalista Mário Filho</v>
      </c>
      <c r="AJ67" s="42" t="str">
        <v xml:space="preserve">Rio De Janeiro </v>
      </c>
      <c r="AK67" s="42" t="str">
        <v>Spain</v>
      </c>
      <c r="AL67" s="42">
        <v>1</v>
      </c>
      <c r="AM67" s="42">
        <v>0</v>
      </c>
      <c r="AN67" s="42" t="str">
        <v>England</v>
      </c>
      <c r="AO67" s="42" t="str">
        <v>-</v>
      </c>
    </row>
    <row r="68" spans="7:41">
      <c r="G68" s="30">
        <v>1990</v>
      </c>
      <c r="H68" s="30" t="str">
        <v>SEMI_FINALS</v>
      </c>
      <c r="I68" s="30" t="str">
        <v>Argentina</v>
      </c>
      <c r="J68" s="30" t="str">
        <v>Italy</v>
      </c>
      <c r="K68" s="30" t="str">
        <v>Italy</v>
      </c>
      <c r="L68" s="30" t="str">
        <v>Roberto Donadoni</v>
      </c>
      <c r="M68" s="30" t="str">
        <v>Sergio Goycochea</v>
      </c>
      <c r="N68" s="30">
        <v>7</v>
      </c>
      <c r="O68" s="30">
        <v>4</v>
      </c>
      <c r="P68" s="30" t="str">
        <v>'3-3</v>
      </c>
      <c r="Q68" s="30" t="str">
        <v>No</v>
      </c>
      <c r="R68" s="30" t="str">
        <v>No</v>
      </c>
      <c r="S68" s="30" t="str">
        <v>Saved</v>
      </c>
      <c r="T68" s="30" t="str">
        <f t="shared" si="3"/>
        <v>3-3</v>
      </c>
      <c r="U68" s="30">
        <f t="shared" si="4"/>
        <v>3</v>
      </c>
      <c r="V68" s="30">
        <f t="shared" si="5"/>
        <v>3</v>
      </c>
      <c r="X68" s="12">
        <v>66</v>
      </c>
      <c r="Y68" s="12" t="str">
        <v>Teboho Mokoena</v>
      </c>
      <c r="Z68" s="12">
        <v>29</v>
      </c>
      <c r="AA68" s="12" t="str">
        <v>South Africa</v>
      </c>
      <c r="AB68" s="12" t="str">
        <v>CDM</v>
      </c>
      <c r="AC68" s="12" t="str">
        <v>Mamelodi Sundowns</v>
      </c>
      <c r="AD68" s="12">
        <v>4</v>
      </c>
      <c r="AF68" s="42">
        <v>1950</v>
      </c>
      <c r="AG68" s="42" t="str">
        <v xml:space="preserve">02 Jul 1950 - 15:00 </v>
      </c>
      <c r="AH68" s="42" t="str">
        <v>GROUP_STAGE</v>
      </c>
      <c r="AI68" s="42" t="str">
        <v>Pacaembu</v>
      </c>
      <c r="AJ68" s="42" t="str">
        <v xml:space="preserve">Sao Paulo </v>
      </c>
      <c r="AK68" s="42" t="str">
        <v>Italy</v>
      </c>
      <c r="AL68" s="42">
        <v>2</v>
      </c>
      <c r="AM68" s="42">
        <v>0</v>
      </c>
      <c r="AN68" s="42" t="str">
        <v>Paraguay</v>
      </c>
      <c r="AO68" s="42" t="str">
        <v>-</v>
      </c>
    </row>
    <row r="69" spans="7:41">
      <c r="G69" s="30">
        <v>1990</v>
      </c>
      <c r="H69" s="30" t="str">
        <v>SEMI_FINALS</v>
      </c>
      <c r="I69" s="30" t="str">
        <v>Argentina</v>
      </c>
      <c r="J69" s="30" t="str">
        <v>Italy</v>
      </c>
      <c r="K69" s="30" t="str">
        <v>Argentina</v>
      </c>
      <c r="L69" s="30" t="str">
        <v>Diego Maradona</v>
      </c>
      <c r="M69" s="30" t="str">
        <v>Walter Zenga</v>
      </c>
      <c r="N69" s="30">
        <v>8</v>
      </c>
      <c r="O69" s="30">
        <v>4</v>
      </c>
      <c r="P69" s="30" t="str">
        <v>'3-3</v>
      </c>
      <c r="Q69" s="30" t="str">
        <v>No</v>
      </c>
      <c r="R69" s="30" t="str">
        <v>No</v>
      </c>
      <c r="S69" s="30" t="str">
        <v>Goal</v>
      </c>
      <c r="T69" s="30" t="str">
        <f t="shared" si="3"/>
        <v>3-3</v>
      </c>
      <c r="U69" s="30">
        <f t="shared" si="4"/>
        <v>3</v>
      </c>
      <c r="V69" s="30">
        <f t="shared" si="5"/>
        <v>3</v>
      </c>
      <c r="X69" s="12">
        <v>67</v>
      </c>
      <c r="Y69" s="12" t="str">
        <v>Sphephelo Sithole</v>
      </c>
      <c r="Z69" s="12">
        <v>27</v>
      </c>
      <c r="AA69" s="12" t="str">
        <v>South Africa</v>
      </c>
      <c r="AB69" s="12" t="str">
        <v>CDM</v>
      </c>
      <c r="AC69" s="12" t="str">
        <v>Tondela</v>
      </c>
      <c r="AD69" s="12">
        <v>13</v>
      </c>
      <c r="AF69" s="42">
        <v>1950</v>
      </c>
      <c r="AG69" s="42" t="str">
        <v xml:space="preserve">02 Jul 1950 - 15:00 </v>
      </c>
      <c r="AH69" s="42" t="str">
        <v>GROUP_STAGE</v>
      </c>
      <c r="AI69" s="42" t="str">
        <v>Independencia</v>
      </c>
      <c r="AJ69" s="42" t="str">
        <v xml:space="preserve">Belo Horizonte </v>
      </c>
      <c r="AK69" s="42" t="str">
        <v>Uruguay</v>
      </c>
      <c r="AL69" s="42">
        <v>8</v>
      </c>
      <c r="AM69" s="42">
        <v>0</v>
      </c>
      <c r="AN69" s="42" t="str">
        <v>Bolivia</v>
      </c>
      <c r="AO69" s="42" t="str">
        <v>-</v>
      </c>
    </row>
    <row r="70" spans="7:41">
      <c r="G70" s="30">
        <v>1990</v>
      </c>
      <c r="H70" s="30" t="str">
        <v>SEMI_FINALS</v>
      </c>
      <c r="I70" s="30" t="str">
        <v>Argentina</v>
      </c>
      <c r="J70" s="30" t="str">
        <v>Italy</v>
      </c>
      <c r="K70" s="30" t="str">
        <v>Italy</v>
      </c>
      <c r="L70" s="30" t="str">
        <v>Aldo Serena</v>
      </c>
      <c r="M70" s="30" t="str">
        <v>Sergio Goycochea</v>
      </c>
      <c r="N70" s="30">
        <v>9</v>
      </c>
      <c r="O70" s="30">
        <v>5</v>
      </c>
      <c r="P70" s="30" t="str">
        <v>'4-3</v>
      </c>
      <c r="Q70" s="30" t="str">
        <v>Yes</v>
      </c>
      <c r="R70" s="30" t="str">
        <v>Yes</v>
      </c>
      <c r="S70" s="30" t="str">
        <v>Saved</v>
      </c>
      <c r="T70" s="30" t="str">
        <f t="shared" si="3"/>
        <v>4-3</v>
      </c>
      <c r="U70" s="30">
        <f t="shared" si="4"/>
        <v>4</v>
      </c>
      <c r="V70" s="30">
        <f t="shared" si="5"/>
        <v>3</v>
      </c>
      <c r="X70" s="12">
        <v>68</v>
      </c>
      <c r="Y70" s="12" t="str">
        <v>Thalente Mbatha</v>
      </c>
      <c r="Z70" s="12">
        <v>26</v>
      </c>
      <c r="AA70" s="12" t="str">
        <v>South Africa</v>
      </c>
      <c r="AB70" s="12" t="str">
        <v>CM</v>
      </c>
      <c r="AC70" s="12" t="str">
        <v>Orlando Pirates</v>
      </c>
      <c r="AD70" s="12">
        <v>5</v>
      </c>
      <c r="AF70" s="42">
        <v>1950</v>
      </c>
      <c r="AG70" s="42" t="str">
        <v xml:space="preserve">02 Jul 1950 - 15:40 </v>
      </c>
      <c r="AH70" s="42" t="str">
        <v>GROUP_STAGE</v>
      </c>
      <c r="AI70" s="42" t="str">
        <v>Eucaliptos</v>
      </c>
      <c r="AJ70" s="42" t="str">
        <v xml:space="preserve">Porto Alegre </v>
      </c>
      <c r="AK70" s="42" t="str">
        <v>Switzerland</v>
      </c>
      <c r="AL70" s="42">
        <v>2</v>
      </c>
      <c r="AM70" s="42">
        <v>1</v>
      </c>
      <c r="AN70" s="42" t="str">
        <v>Mexico</v>
      </c>
      <c r="AO70" s="42" t="str">
        <v>-</v>
      </c>
    </row>
    <row r="71" spans="7:41">
      <c r="G71" s="30">
        <v>1990</v>
      </c>
      <c r="H71" s="30" t="str">
        <v>SEMI_FINALS</v>
      </c>
      <c r="I71" s="30" t="str">
        <v>FR Germany</v>
      </c>
      <c r="J71" s="30" t="str">
        <v>England</v>
      </c>
      <c r="K71" s="30" t="str">
        <v>FR Germany</v>
      </c>
      <c r="L71" s="30" t="str">
        <v>Andreas Brehme</v>
      </c>
      <c r="M71" s="30" t="str">
        <v>Peter Shilton</v>
      </c>
      <c r="N71" s="30">
        <v>1</v>
      </c>
      <c r="O71" s="30">
        <v>1</v>
      </c>
      <c r="P71" s="30" t="str">
        <v>'0-0</v>
      </c>
      <c r="Q71" s="30" t="str">
        <v>No</v>
      </c>
      <c r="R71" s="30" t="str">
        <v>No</v>
      </c>
      <c r="S71" s="30" t="str">
        <v>Goal</v>
      </c>
      <c r="T71" s="30" t="str">
        <f t="shared" si="3"/>
        <v>0-0</v>
      </c>
      <c r="U71" s="30">
        <f t="shared" si="4"/>
        <v>0</v>
      </c>
      <c r="V71" s="30">
        <f t="shared" si="5"/>
        <v>0</v>
      </c>
      <c r="X71" s="12">
        <v>69</v>
      </c>
      <c r="Y71" s="12" t="str">
        <v>Jayden Adams</v>
      </c>
      <c r="Z71" s="12">
        <v>25</v>
      </c>
      <c r="AA71" s="12" t="str">
        <v>South Africa</v>
      </c>
      <c r="AB71" s="12" t="str">
        <v>CM</v>
      </c>
      <c r="AC71" s="12" t="str">
        <v>Mamelodi Sundowns</v>
      </c>
      <c r="AD71" s="12">
        <v>23</v>
      </c>
      <c r="AF71" s="42">
        <v>1950</v>
      </c>
      <c r="AG71" s="42" t="str">
        <v xml:space="preserve">02 Jul 1950 - 15:00 </v>
      </c>
      <c r="AH71" s="42" t="str">
        <v>GROUP_STAGE</v>
      </c>
      <c r="AI71" s="42" t="str">
        <v>Ilha do Retiro</v>
      </c>
      <c r="AJ71" s="42" t="str">
        <v xml:space="preserve">Recife </v>
      </c>
      <c r="AK71" s="42" t="str">
        <v>Chile</v>
      </c>
      <c r="AL71" s="42">
        <v>5</v>
      </c>
      <c r="AM71" s="42">
        <v>2</v>
      </c>
      <c r="AN71" s="42" t="str">
        <v>United States</v>
      </c>
      <c r="AO71" s="42" t="str">
        <v>-</v>
      </c>
    </row>
    <row r="72" spans="7:41">
      <c r="G72" s="30">
        <v>1990</v>
      </c>
      <c r="H72" s="30" t="str">
        <v>SEMI_FINALS</v>
      </c>
      <c r="I72" s="30" t="str">
        <v>FR Germany</v>
      </c>
      <c r="J72" s="30" t="str">
        <v>England</v>
      </c>
      <c r="K72" s="30" t="str">
        <v>England</v>
      </c>
      <c r="L72" s="30" t="str">
        <v>Gary Lineker</v>
      </c>
      <c r="M72" s="30" t="str">
        <v>Bodo Illgner</v>
      </c>
      <c r="N72" s="30">
        <v>2</v>
      </c>
      <c r="O72" s="30">
        <v>1</v>
      </c>
      <c r="P72" s="30" t="str">
        <v>'1-0</v>
      </c>
      <c r="Q72" s="30" t="str">
        <v>No</v>
      </c>
      <c r="R72" s="30" t="str">
        <v>No</v>
      </c>
      <c r="S72" s="30" t="str">
        <v>Goal</v>
      </c>
      <c r="T72" s="30" t="str">
        <f t="shared" si="3"/>
        <v>1-0</v>
      </c>
      <c r="U72" s="30">
        <f t="shared" si="4"/>
        <v>1</v>
      </c>
      <c r="V72" s="30">
        <f t="shared" si="5"/>
        <v>0</v>
      </c>
      <c r="X72" s="12">
        <v>70</v>
      </c>
      <c r="Y72" s="12" t="str">
        <v>Themba Zwane</v>
      </c>
      <c r="Z72" s="12">
        <v>36</v>
      </c>
      <c r="AA72" s="12" t="str">
        <v>South Africa</v>
      </c>
      <c r="AB72" s="12" t="str">
        <v>CAM</v>
      </c>
      <c r="AC72" s="12" t="str">
        <v>Mamelodi Sundowns</v>
      </c>
      <c r="AD72" s="12">
        <v>11</v>
      </c>
      <c r="AF72" s="42">
        <v>1950</v>
      </c>
      <c r="AG72" s="42" t="str">
        <v xml:space="preserve">09 Jul 1950 - 15:00 </v>
      </c>
      <c r="AH72" s="42" t="str">
        <v>GROUP_STAGE</v>
      </c>
      <c r="AI72" s="42" t="str">
        <v>Pacaembu</v>
      </c>
      <c r="AJ72" s="42" t="str">
        <v xml:space="preserve">Sao Paulo </v>
      </c>
      <c r="AK72" s="42" t="str">
        <v>Uruguay</v>
      </c>
      <c r="AL72" s="42">
        <v>2</v>
      </c>
      <c r="AM72" s="42">
        <v>2</v>
      </c>
      <c r="AN72" s="42" t="str">
        <v>Spain</v>
      </c>
      <c r="AO72" s="42" t="str">
        <v>-</v>
      </c>
    </row>
    <row r="73" spans="7:41">
      <c r="G73" s="30">
        <v>1990</v>
      </c>
      <c r="H73" s="30" t="str">
        <v>SEMI_FINALS</v>
      </c>
      <c r="I73" s="30" t="str">
        <v>FR Germany</v>
      </c>
      <c r="J73" s="30" t="str">
        <v>England</v>
      </c>
      <c r="K73" s="30" t="str">
        <v>FR Germany</v>
      </c>
      <c r="L73" s="30" t="str">
        <v>Lothar Matthäus</v>
      </c>
      <c r="M73" s="30" t="str">
        <v>Peter Shilton</v>
      </c>
      <c r="N73" s="30">
        <v>3</v>
      </c>
      <c r="O73" s="30">
        <v>2</v>
      </c>
      <c r="P73" s="30" t="str">
        <v>'1-1</v>
      </c>
      <c r="Q73" s="30" t="str">
        <v>No</v>
      </c>
      <c r="R73" s="30" t="str">
        <v>No</v>
      </c>
      <c r="S73" s="30" t="str">
        <v>Goal</v>
      </c>
      <c r="T73" s="30" t="str">
        <f t="shared" si="3"/>
        <v>1-1</v>
      </c>
      <c r="U73" s="30">
        <f t="shared" si="4"/>
        <v>1</v>
      </c>
      <c r="V73" s="30">
        <f t="shared" si="5"/>
        <v>1</v>
      </c>
      <c r="X73" s="12">
        <v>71</v>
      </c>
      <c r="Y73" s="12" t="str">
        <v>Oswin Appollis</v>
      </c>
      <c r="Z73" s="12">
        <v>24</v>
      </c>
      <c r="AA73" s="12" t="str">
        <v>South Africa</v>
      </c>
      <c r="AB73" s="12" t="str">
        <v>LW</v>
      </c>
      <c r="AC73" s="12" t="str">
        <v>Orlando Pirates</v>
      </c>
      <c r="AD73" s="12">
        <v>7</v>
      </c>
      <c r="AF73" s="42">
        <v>1950</v>
      </c>
      <c r="AG73" s="42" t="str">
        <v xml:space="preserve">09 Jul 1950 - 15:00 </v>
      </c>
      <c r="AH73" s="42" t="str">
        <v>GROUP_STAGE</v>
      </c>
      <c r="AI73" s="42" t="str">
        <v>Maracanã - Estádio Jornalista Mário Filho</v>
      </c>
      <c r="AJ73" s="42" t="str">
        <v xml:space="preserve">Rio De Janeiro </v>
      </c>
      <c r="AK73" s="42" t="str">
        <v>Brazil</v>
      </c>
      <c r="AL73" s="42">
        <v>7</v>
      </c>
      <c r="AM73" s="42">
        <v>1</v>
      </c>
      <c r="AN73" s="42" t="str">
        <v>Sweden</v>
      </c>
      <c r="AO73" s="42" t="str">
        <v>-</v>
      </c>
    </row>
    <row r="74" spans="7:41">
      <c r="G74" s="30">
        <v>1990</v>
      </c>
      <c r="H74" s="30" t="str">
        <v>SEMI_FINALS</v>
      </c>
      <c r="I74" s="30" t="str">
        <v>FR Germany</v>
      </c>
      <c r="J74" s="30" t="str">
        <v>England</v>
      </c>
      <c r="K74" s="30" t="str">
        <v>England</v>
      </c>
      <c r="L74" s="30" t="str">
        <v>Peter Beardsley</v>
      </c>
      <c r="M74" s="30" t="str">
        <v>Bodo Illgner</v>
      </c>
      <c r="N74" s="30">
        <v>4</v>
      </c>
      <c r="O74" s="30">
        <v>2</v>
      </c>
      <c r="P74" s="30" t="str">
        <v>'1-2</v>
      </c>
      <c r="Q74" s="30" t="str">
        <v>No</v>
      </c>
      <c r="R74" s="30" t="str">
        <v>No</v>
      </c>
      <c r="S74" s="30" t="str">
        <v>Goal</v>
      </c>
      <c r="T74" s="30" t="str">
        <f t="shared" si="3"/>
        <v>1-2</v>
      </c>
      <c r="U74" s="30">
        <f t="shared" si="4"/>
        <v>1</v>
      </c>
      <c r="V74" s="30">
        <f t="shared" si="5"/>
        <v>2</v>
      </c>
      <c r="X74" s="12">
        <v>72</v>
      </c>
      <c r="Y74" s="12" t="str">
        <v>Relebohile Mofokeng</v>
      </c>
      <c r="Z74" s="12">
        <v>21</v>
      </c>
      <c r="AA74" s="12" t="str">
        <v>South Africa</v>
      </c>
      <c r="AB74" s="12" t="str">
        <v>LW</v>
      </c>
      <c r="AC74" s="12" t="str">
        <v>Orlando Pirates</v>
      </c>
      <c r="AD74" s="12">
        <v>10</v>
      </c>
      <c r="AF74" s="42">
        <v>1950</v>
      </c>
      <c r="AG74" s="42" t="str">
        <v xml:space="preserve">13 Jul 1950 - 15:00 </v>
      </c>
      <c r="AH74" s="42" t="str">
        <v>GROUP_STAGE</v>
      </c>
      <c r="AI74" s="42" t="str">
        <v>Maracanã - Estádio Jornalista Mário Filho</v>
      </c>
      <c r="AJ74" s="42" t="str">
        <v xml:space="preserve">Rio De Janeiro </v>
      </c>
      <c r="AK74" s="42" t="str">
        <v>Brazil</v>
      </c>
      <c r="AL74" s="42">
        <v>6</v>
      </c>
      <c r="AM74" s="42">
        <v>1</v>
      </c>
      <c r="AN74" s="42" t="str">
        <v>Spain</v>
      </c>
      <c r="AO74" s="42" t="str">
        <v>-</v>
      </c>
    </row>
    <row r="75" spans="7:41">
      <c r="G75" s="30">
        <v>1990</v>
      </c>
      <c r="H75" s="30" t="str">
        <v>SEMI_FINALS</v>
      </c>
      <c r="I75" s="30" t="str">
        <v>FR Germany</v>
      </c>
      <c r="J75" s="30" t="str">
        <v>England</v>
      </c>
      <c r="K75" s="30" t="str">
        <v>FR Germany</v>
      </c>
      <c r="L75" s="30" t="str">
        <v>Karl-Heinz Riedle</v>
      </c>
      <c r="M75" s="30" t="str">
        <v>Peter Shilton</v>
      </c>
      <c r="N75" s="30">
        <v>5</v>
      </c>
      <c r="O75" s="30">
        <v>3</v>
      </c>
      <c r="P75" s="30" t="str">
        <v>'2-2</v>
      </c>
      <c r="Q75" s="30" t="str">
        <v>No</v>
      </c>
      <c r="R75" s="30" t="str">
        <v>No</v>
      </c>
      <c r="S75" s="30" t="str">
        <v>Goal</v>
      </c>
      <c r="T75" s="30" t="str">
        <f t="shared" si="3"/>
        <v>2-2</v>
      </c>
      <c r="U75" s="30">
        <f t="shared" si="4"/>
        <v>2</v>
      </c>
      <c r="V75" s="30">
        <f t="shared" si="5"/>
        <v>2</v>
      </c>
      <c r="X75" s="12">
        <v>73</v>
      </c>
      <c r="Y75" s="12" t="str">
        <v>Tshepang Moremi</v>
      </c>
      <c r="Z75" s="12">
        <v>25</v>
      </c>
      <c r="AA75" s="12" t="str">
        <v>South Africa</v>
      </c>
      <c r="AB75" s="12" t="str">
        <v>RW</v>
      </c>
      <c r="AC75" s="12" t="str">
        <v>Orlando Pirates</v>
      </c>
      <c r="AD75" s="12">
        <v>8</v>
      </c>
      <c r="AF75" s="42">
        <v>1950</v>
      </c>
      <c r="AG75" s="42" t="str">
        <v xml:space="preserve">13 Jul 1950 - 15:00 </v>
      </c>
      <c r="AH75" s="42" t="str">
        <v>GROUP_STAGE</v>
      </c>
      <c r="AI75" s="42" t="str">
        <v>Pacaembu</v>
      </c>
      <c r="AJ75" s="42" t="str">
        <v xml:space="preserve">Sao Paulo </v>
      </c>
      <c r="AK75" s="42" t="str">
        <v>Uruguay</v>
      </c>
      <c r="AL75" s="42">
        <v>3</v>
      </c>
      <c r="AM75" s="42">
        <v>2</v>
      </c>
      <c r="AN75" s="42" t="str">
        <v>Sweden</v>
      </c>
      <c r="AO75" s="42" t="str">
        <v>-</v>
      </c>
    </row>
    <row r="76" spans="7:41">
      <c r="G76" s="30">
        <v>1990</v>
      </c>
      <c r="H76" s="30" t="str">
        <v>SEMI_FINALS</v>
      </c>
      <c r="I76" s="30" t="str">
        <v>FR Germany</v>
      </c>
      <c r="J76" s="30" t="str">
        <v>England</v>
      </c>
      <c r="K76" s="30" t="str">
        <v>England</v>
      </c>
      <c r="L76" s="30" t="str">
        <v>David Platt</v>
      </c>
      <c r="M76" s="30" t="str">
        <v>Bodo Illgner</v>
      </c>
      <c r="N76" s="30">
        <v>6</v>
      </c>
      <c r="O76" s="30">
        <v>3</v>
      </c>
      <c r="P76" s="30" t="str">
        <v>'2-3</v>
      </c>
      <c r="Q76" s="30" t="str">
        <v>No</v>
      </c>
      <c r="R76" s="30" t="str">
        <v>No</v>
      </c>
      <c r="S76" s="30" t="str">
        <v>Goal</v>
      </c>
      <c r="T76" s="30" t="str">
        <f t="shared" si="3"/>
        <v>2-3</v>
      </c>
      <c r="U76" s="30">
        <f t="shared" si="4"/>
        <v>2</v>
      </c>
      <c r="V76" s="30">
        <f t="shared" si="5"/>
        <v>3</v>
      </c>
      <c r="X76" s="12">
        <v>74</v>
      </c>
      <c r="Y76" s="12" t="str">
        <v>Thapelo Maseko</v>
      </c>
      <c r="Z76" s="12">
        <v>22</v>
      </c>
      <c r="AA76" s="12" t="str">
        <v>South Africa</v>
      </c>
      <c r="AB76" s="12" t="str">
        <v>RW</v>
      </c>
      <c r="AC76" s="12" t="str">
        <v>AEL Limassol</v>
      </c>
      <c r="AD76" s="12">
        <v>12</v>
      </c>
      <c r="AF76" s="42">
        <v>1950</v>
      </c>
      <c r="AG76" s="42" t="str">
        <v xml:space="preserve">16 Jul 1950 - 15:00 </v>
      </c>
      <c r="AH76" s="42" t="str">
        <v>GROUP_STAGE</v>
      </c>
      <c r="AI76" s="42" t="str">
        <v>Pacaembu</v>
      </c>
      <c r="AJ76" s="42" t="str">
        <v xml:space="preserve">Sao Paulo </v>
      </c>
      <c r="AK76" s="42" t="str">
        <v>Sweden</v>
      </c>
      <c r="AL76" s="42">
        <v>3</v>
      </c>
      <c r="AM76" s="42">
        <v>1</v>
      </c>
      <c r="AN76" s="42" t="str">
        <v>Spain</v>
      </c>
      <c r="AO76" s="42" t="str">
        <v>-</v>
      </c>
    </row>
    <row r="77" spans="7:41">
      <c r="G77" s="30">
        <v>1990</v>
      </c>
      <c r="H77" s="30" t="str">
        <v>SEMI_FINALS</v>
      </c>
      <c r="I77" s="30" t="str">
        <v>FR Germany</v>
      </c>
      <c r="J77" s="30" t="str">
        <v>England</v>
      </c>
      <c r="K77" s="30" t="str">
        <v>FR Germany</v>
      </c>
      <c r="L77" s="30" t="str">
        <v>Olaf Thon</v>
      </c>
      <c r="M77" s="30" t="str">
        <v>Peter Shilton</v>
      </c>
      <c r="N77" s="30">
        <v>7</v>
      </c>
      <c r="O77" s="30">
        <v>4</v>
      </c>
      <c r="P77" s="30" t="str">
        <v>'3-3</v>
      </c>
      <c r="Q77" s="30" t="str">
        <v>No</v>
      </c>
      <c r="R77" s="30" t="str">
        <v>No</v>
      </c>
      <c r="S77" s="30" t="str">
        <v>Goal</v>
      </c>
      <c r="T77" s="30" t="str">
        <f t="shared" si="3"/>
        <v>3-3</v>
      </c>
      <c r="U77" s="30">
        <f t="shared" si="4"/>
        <v>3</v>
      </c>
      <c r="V77" s="30">
        <f t="shared" si="5"/>
        <v>3</v>
      </c>
      <c r="X77" s="12">
        <v>75</v>
      </c>
      <c r="Y77" s="12" t="str">
        <v>Kamogelo Sebelebele</v>
      </c>
      <c r="Z77" s="12">
        <v>23</v>
      </c>
      <c r="AA77" s="12" t="str">
        <v>South Africa</v>
      </c>
      <c r="AB77" s="12" t="str">
        <v>RW</v>
      </c>
      <c r="AC77" s="12" t="str">
        <v>Orlando Pirates</v>
      </c>
      <c r="AD77" s="12">
        <v>25</v>
      </c>
      <c r="AF77" s="42">
        <v>1950</v>
      </c>
      <c r="AG77" s="42" t="str">
        <v xml:space="preserve">16 Jul 1950 - 15:00 </v>
      </c>
      <c r="AH77" s="42" t="str">
        <v>GROUP_STAGE</v>
      </c>
      <c r="AI77" s="42" t="str">
        <v>Maracanã - Estádio Jornalista Mário Filho</v>
      </c>
      <c r="AJ77" s="42" t="str">
        <v xml:space="preserve">Rio De Janeiro </v>
      </c>
      <c r="AK77" s="42" t="str">
        <v>Uruguay</v>
      </c>
      <c r="AL77" s="42">
        <v>2</v>
      </c>
      <c r="AM77" s="42">
        <v>1</v>
      </c>
      <c r="AN77" s="42" t="str">
        <v>Brazil</v>
      </c>
      <c r="AO77" s="42" t="str">
        <v>-</v>
      </c>
    </row>
    <row r="78" spans="7:41">
      <c r="G78" s="30">
        <v>1990</v>
      </c>
      <c r="H78" s="30" t="str">
        <v>SEMI_FINALS</v>
      </c>
      <c r="I78" s="30" t="str">
        <v>FR Germany</v>
      </c>
      <c r="J78" s="30" t="str">
        <v>England</v>
      </c>
      <c r="K78" s="30" t="str">
        <v>England</v>
      </c>
      <c r="L78" s="30" t="str">
        <v>Stuart Pearce</v>
      </c>
      <c r="M78" s="30" t="str">
        <v>Bodo Illgner</v>
      </c>
      <c r="N78" s="30">
        <v>8</v>
      </c>
      <c r="O78" s="30">
        <v>4</v>
      </c>
      <c r="P78" s="30" t="str">
        <v>'3-4</v>
      </c>
      <c r="Q78" s="30" t="str">
        <v>No</v>
      </c>
      <c r="R78" s="30" t="str">
        <v>No</v>
      </c>
      <c r="S78" s="30" t="str">
        <v>Saved</v>
      </c>
      <c r="T78" s="30" t="str">
        <f t="shared" si="3"/>
        <v>3-4</v>
      </c>
      <c r="U78" s="30">
        <f t="shared" si="4"/>
        <v>3</v>
      </c>
      <c r="V78" s="30">
        <f t="shared" si="5"/>
        <v>4</v>
      </c>
      <c r="X78" s="12">
        <v>76</v>
      </c>
      <c r="Y78" s="12" t="str">
        <v>Lyle Foster</v>
      </c>
      <c r="Z78" s="12">
        <v>25</v>
      </c>
      <c r="AA78" s="12" t="str">
        <v>South Africa</v>
      </c>
      <c r="AB78" s="12" t="str">
        <v>ST</v>
      </c>
      <c r="AC78" s="12" t="str">
        <v>Burnley</v>
      </c>
      <c r="AD78" s="12">
        <v>9</v>
      </c>
      <c r="AF78" s="42">
        <v>1954</v>
      </c>
      <c r="AG78" s="42" t="str">
        <v xml:space="preserve">16 Jun 1954 - 18:00 </v>
      </c>
      <c r="AH78" s="42" t="str">
        <v>GROUP_STAGE</v>
      </c>
      <c r="AI78" s="42" t="str">
        <v>Wankdorf Stadium</v>
      </c>
      <c r="AJ78" s="42" t="str">
        <v xml:space="preserve">Berne </v>
      </c>
      <c r="AK78" s="42" t="str">
        <v>Uruguay</v>
      </c>
      <c r="AL78" s="42">
        <v>2</v>
      </c>
      <c r="AM78" s="42">
        <v>0</v>
      </c>
      <c r="AN78" s="42" t="str">
        <v>Czechoslovakia</v>
      </c>
      <c r="AO78" s="42" t="str">
        <v>-</v>
      </c>
    </row>
    <row r="79" spans="7:41">
      <c r="G79" s="30">
        <v>1990</v>
      </c>
      <c r="H79" s="30" t="str">
        <v>SEMI_FINALS</v>
      </c>
      <c r="I79" s="30" t="str">
        <v>FR Germany</v>
      </c>
      <c r="J79" s="30" t="str">
        <v>England</v>
      </c>
      <c r="K79" s="30" t="str">
        <v>England</v>
      </c>
      <c r="L79" s="30" t="str">
        <v>Chris Waddle</v>
      </c>
      <c r="M79" s="30" t="str">
        <v>Bodo Illgner</v>
      </c>
      <c r="N79" s="30">
        <v>9</v>
      </c>
      <c r="O79" s="30">
        <v>5</v>
      </c>
      <c r="P79" s="30" t="str">
        <v>'3-4</v>
      </c>
      <c r="Q79" s="30" t="str">
        <v>Yes</v>
      </c>
      <c r="R79" s="30" t="str">
        <v>Yes</v>
      </c>
      <c r="S79" s="30" t="str">
        <v>Missed</v>
      </c>
      <c r="T79" s="30" t="str">
        <f t="shared" si="3"/>
        <v>3-4</v>
      </c>
      <c r="U79" s="30">
        <f t="shared" si="4"/>
        <v>3</v>
      </c>
      <c r="V79" s="30">
        <f t="shared" si="5"/>
        <v>4</v>
      </c>
      <c r="X79" s="12">
        <v>77</v>
      </c>
      <c r="Y79" s="12" t="str">
        <v>Iqraam Rayners</v>
      </c>
      <c r="Z79" s="12">
        <v>30</v>
      </c>
      <c r="AA79" s="12" t="str">
        <v>South Africa</v>
      </c>
      <c r="AB79" s="12" t="str">
        <v>ST</v>
      </c>
      <c r="AC79" s="12" t="str">
        <v>Mamelodi Sundowns</v>
      </c>
      <c r="AD79" s="12">
        <v>15</v>
      </c>
      <c r="AF79" s="42">
        <v>1954</v>
      </c>
      <c r="AG79" s="42" t="str">
        <v xml:space="preserve">16 Jun 1954 - 18:00 </v>
      </c>
      <c r="AH79" s="42" t="str">
        <v>GROUP_STAGE</v>
      </c>
      <c r="AI79" s="42" t="str">
        <v>Hardturm</v>
      </c>
      <c r="AJ79" s="42" t="str">
        <v xml:space="preserve">Zurich </v>
      </c>
      <c r="AK79" s="42" t="str">
        <v>Austria</v>
      </c>
      <c r="AL79" s="42">
        <v>1</v>
      </c>
      <c r="AM79" s="42">
        <v>0</v>
      </c>
      <c r="AN79" s="42" t="str">
        <v>Scotland</v>
      </c>
      <c r="AO79" s="42" t="str">
        <v>-</v>
      </c>
    </row>
    <row r="80" spans="7:41">
      <c r="G80" s="30">
        <v>1994</v>
      </c>
      <c r="H80" s="30" t="str">
        <v>ROUND_OF_16</v>
      </c>
      <c r="I80" s="30" t="str">
        <v>Mexico</v>
      </c>
      <c r="J80" s="30" t="str">
        <v>Bulgaria</v>
      </c>
      <c r="K80" s="30" t="str">
        <v>Bulgaria</v>
      </c>
      <c r="L80" s="30" t="str">
        <v>Krasimir Balakov</v>
      </c>
      <c r="M80" s="30" t="str">
        <v>Jorge Campos</v>
      </c>
      <c r="N80" s="30">
        <v>1</v>
      </c>
      <c r="O80" s="30">
        <v>1</v>
      </c>
      <c r="P80" s="30" t="str">
        <v>'0-0</v>
      </c>
      <c r="Q80" s="30" t="str">
        <v>No</v>
      </c>
      <c r="R80" s="30" t="str">
        <v>No</v>
      </c>
      <c r="S80" s="30" t="str">
        <v>Saved</v>
      </c>
      <c r="T80" s="30" t="str">
        <f t="shared" si="3"/>
        <v>0-0</v>
      </c>
      <c r="U80" s="30">
        <f t="shared" si="4"/>
        <v>0</v>
      </c>
      <c r="V80" s="30">
        <f t="shared" si="5"/>
        <v>0</v>
      </c>
      <c r="X80" s="12">
        <v>78</v>
      </c>
      <c r="Y80" s="12" t="str">
        <v>Evidence Makgopa</v>
      </c>
      <c r="Z80" s="12">
        <v>26</v>
      </c>
      <c r="AA80" s="12" t="str">
        <v>South Africa</v>
      </c>
      <c r="AB80" s="12" t="str">
        <v>ST</v>
      </c>
      <c r="AC80" s="12" t="str">
        <v>Orlando Pirates</v>
      </c>
      <c r="AD80" s="12">
        <v>17</v>
      </c>
      <c r="AF80" s="42">
        <v>1954</v>
      </c>
      <c r="AG80" s="42" t="str">
        <v xml:space="preserve">16 Jun 1954 - 18:00 </v>
      </c>
      <c r="AH80" s="42" t="str">
        <v>GROUP_STAGE</v>
      </c>
      <c r="AI80" s="42" t="str">
        <v>Charmilles</v>
      </c>
      <c r="AJ80" s="42" t="str">
        <v xml:space="preserve">Geneva </v>
      </c>
      <c r="AK80" s="42" t="str">
        <v>Brazil</v>
      </c>
      <c r="AL80" s="42">
        <v>5</v>
      </c>
      <c r="AM80" s="42">
        <v>0</v>
      </c>
      <c r="AN80" s="42" t="str">
        <v>Mexico</v>
      </c>
      <c r="AO80" s="42" t="str">
        <v>-</v>
      </c>
    </row>
    <row r="81" spans="7:41">
      <c r="G81" s="30">
        <v>1994</v>
      </c>
      <c r="H81" s="30" t="str">
        <v>ROUND_OF_16</v>
      </c>
      <c r="I81" s="30" t="str">
        <v>Mexico</v>
      </c>
      <c r="J81" s="30" t="str">
        <v>Bulgaria</v>
      </c>
      <c r="K81" s="30" t="str">
        <v>Mexico</v>
      </c>
      <c r="L81" s="30" t="str">
        <v>Alberto García Aspe</v>
      </c>
      <c r="M81" s="30" t="str">
        <v>Borislav Mihaylov</v>
      </c>
      <c r="N81" s="30">
        <v>2</v>
      </c>
      <c r="O81" s="30">
        <v>1</v>
      </c>
      <c r="P81" s="30" t="str">
        <v>'0-0</v>
      </c>
      <c r="Q81" s="30" t="str">
        <v>No</v>
      </c>
      <c r="R81" s="30" t="str">
        <v>No</v>
      </c>
      <c r="S81" s="30" t="str">
        <v>Missed</v>
      </c>
      <c r="T81" s="30" t="str">
        <f t="shared" si="3"/>
        <v>0-0</v>
      </c>
      <c r="U81" s="30">
        <f t="shared" si="4"/>
        <v>0</v>
      </c>
      <c r="V81" s="30">
        <f t="shared" si="5"/>
        <v>0</v>
      </c>
      <c r="X81" s="12">
        <v>79</v>
      </c>
      <c r="Y81" s="12" t="str">
        <v>Kim Seung-gyu</v>
      </c>
      <c r="Z81" s="12">
        <v>35</v>
      </c>
      <c r="AA81" s="12" t="str">
        <v>South Korea</v>
      </c>
      <c r="AB81" s="12" t="str">
        <v>GK</v>
      </c>
      <c r="AC81" s="12" t="str">
        <v>FC Tokyo</v>
      </c>
      <c r="AD81" s="12">
        <v>1</v>
      </c>
      <c r="AF81" s="42">
        <v>1954</v>
      </c>
      <c r="AG81" s="42" t="str">
        <v xml:space="preserve">16 Jun 1954 - 18:00 </v>
      </c>
      <c r="AH81" s="42" t="str">
        <v>GROUP_STAGE</v>
      </c>
      <c r="AI81" s="42" t="str">
        <v>La Pontaise</v>
      </c>
      <c r="AJ81" s="42" t="str">
        <v xml:space="preserve">Lausanne </v>
      </c>
      <c r="AK81" s="42" t="str">
        <v>Yugoslavia</v>
      </c>
      <c r="AL81" s="42">
        <v>1</v>
      </c>
      <c r="AM81" s="42">
        <v>0</v>
      </c>
      <c r="AN81" s="42" t="str">
        <v>France</v>
      </c>
      <c r="AO81" s="42" t="str">
        <v>-</v>
      </c>
    </row>
    <row r="82" spans="7:41">
      <c r="G82" s="30">
        <v>1994</v>
      </c>
      <c r="H82" s="30" t="str">
        <v>ROUND_OF_16</v>
      </c>
      <c r="I82" s="30" t="str">
        <v>Mexico</v>
      </c>
      <c r="J82" s="30" t="str">
        <v>Bulgaria</v>
      </c>
      <c r="K82" s="30" t="str">
        <v>Bulgaria</v>
      </c>
      <c r="L82" s="30" t="str">
        <v>Boncho Genchev</v>
      </c>
      <c r="M82" s="30" t="str">
        <v>Jorge Campos</v>
      </c>
      <c r="N82" s="30">
        <v>3</v>
      </c>
      <c r="O82" s="30">
        <v>2</v>
      </c>
      <c r="P82" s="30" t="str">
        <v>'0-0</v>
      </c>
      <c r="Q82" s="30" t="str">
        <v>No</v>
      </c>
      <c r="R82" s="30" t="str">
        <v>No</v>
      </c>
      <c r="S82" s="30" t="str">
        <v>Goal</v>
      </c>
      <c r="T82" s="30" t="str">
        <f t="shared" si="3"/>
        <v>0-0</v>
      </c>
      <c r="U82" s="30">
        <f t="shared" si="4"/>
        <v>0</v>
      </c>
      <c r="V82" s="30">
        <f t="shared" si="5"/>
        <v>0</v>
      </c>
      <c r="X82" s="12">
        <v>80</v>
      </c>
      <c r="Y82" s="12" t="str">
        <v>Song Bum-keun</v>
      </c>
      <c r="Z82" s="12">
        <v>28</v>
      </c>
      <c r="AA82" s="12" t="str">
        <v>South Korea</v>
      </c>
      <c r="AB82" s="12" t="str">
        <v>GK</v>
      </c>
      <c r="AC82" s="12" t="str">
        <v>Jeonbuk Hyundai Motors</v>
      </c>
      <c r="AD82" s="12">
        <v>12</v>
      </c>
      <c r="AF82" s="42">
        <v>1954</v>
      </c>
      <c r="AG82" s="42" t="str">
        <v xml:space="preserve">17 Jun 1954 - 18:00 </v>
      </c>
      <c r="AH82" s="42" t="str">
        <v>GROUP_STAGE</v>
      </c>
      <c r="AI82" s="42" t="str">
        <v>Wankdorf Stadium</v>
      </c>
      <c r="AJ82" s="42" t="str">
        <v xml:space="preserve">Berne </v>
      </c>
      <c r="AK82" s="42" t="str">
        <v>FR Germany</v>
      </c>
      <c r="AL82" s="42">
        <v>4</v>
      </c>
      <c r="AM82" s="42">
        <v>1</v>
      </c>
      <c r="AN82" s="42" t="str">
        <v>Turkey</v>
      </c>
      <c r="AO82" s="42" t="str">
        <v>-</v>
      </c>
    </row>
    <row r="83" spans="7:41">
      <c r="G83" s="30">
        <v>1994</v>
      </c>
      <c r="H83" s="30" t="str">
        <v>ROUND_OF_16</v>
      </c>
      <c r="I83" s="30" t="str">
        <v>Mexico</v>
      </c>
      <c r="J83" s="30" t="str">
        <v>Bulgaria</v>
      </c>
      <c r="K83" s="30" t="str">
        <v>Mexico</v>
      </c>
      <c r="L83" s="30" t="str">
        <v>Marcelino Bernal</v>
      </c>
      <c r="M83" s="30" t="str">
        <v>Borislav Mihaylov</v>
      </c>
      <c r="N83" s="30">
        <v>4</v>
      </c>
      <c r="O83" s="30">
        <v>2</v>
      </c>
      <c r="P83" s="30" t="str">
        <v>'0-1</v>
      </c>
      <c r="Q83" s="30" t="str">
        <v>No</v>
      </c>
      <c r="R83" s="30" t="str">
        <v>No</v>
      </c>
      <c r="S83" s="30" t="str">
        <v>Saved</v>
      </c>
      <c r="T83" s="30" t="str">
        <f t="shared" si="3"/>
        <v>0-1</v>
      </c>
      <c r="U83" s="30">
        <f t="shared" si="4"/>
        <v>0</v>
      </c>
      <c r="V83" s="30">
        <f t="shared" si="5"/>
        <v>1</v>
      </c>
      <c r="X83" s="12">
        <v>81</v>
      </c>
      <c r="Y83" s="12" t="str">
        <v>Jo Hyeon-woo</v>
      </c>
      <c r="Z83" s="12">
        <v>34</v>
      </c>
      <c r="AA83" s="12" t="str">
        <v>South Korea</v>
      </c>
      <c r="AB83" s="12" t="str">
        <v>GK</v>
      </c>
      <c r="AC83" s="12" t="str">
        <v>Ulsan HD</v>
      </c>
      <c r="AD83" s="12">
        <v>21</v>
      </c>
      <c r="AF83" s="42">
        <v>1954</v>
      </c>
      <c r="AG83" s="42" t="str">
        <v xml:space="preserve">17 Jun 1954 - 18:00 </v>
      </c>
      <c r="AH83" s="42" t="str">
        <v>GROUP_STAGE</v>
      </c>
      <c r="AI83" s="42" t="str">
        <v>Hardturm</v>
      </c>
      <c r="AJ83" s="42" t="str">
        <v xml:space="preserve">Zurich </v>
      </c>
      <c r="AK83" s="42" t="str">
        <v>Hungary</v>
      </c>
      <c r="AL83" s="42">
        <v>9</v>
      </c>
      <c r="AM83" s="42">
        <v>0</v>
      </c>
      <c r="AN83" s="42" t="str">
        <v>South Korea</v>
      </c>
      <c r="AO83" s="42" t="str">
        <v>-</v>
      </c>
    </row>
    <row r="84" spans="7:41">
      <c r="G84" s="30">
        <v>1994</v>
      </c>
      <c r="H84" s="30" t="str">
        <v>ROUND_OF_16</v>
      </c>
      <c r="I84" s="30" t="str">
        <v>Mexico</v>
      </c>
      <c r="J84" s="30" t="str">
        <v>Bulgaria</v>
      </c>
      <c r="K84" s="30" t="str">
        <v>Bulgaria</v>
      </c>
      <c r="L84" s="30" t="str">
        <v>Daniel Borimirov</v>
      </c>
      <c r="M84" s="30" t="str">
        <v>Jorge Campos</v>
      </c>
      <c r="N84" s="30">
        <v>5</v>
      </c>
      <c r="O84" s="30">
        <v>3</v>
      </c>
      <c r="P84" s="30" t="str">
        <v>'0-1</v>
      </c>
      <c r="Q84" s="30" t="str">
        <v>No</v>
      </c>
      <c r="R84" s="30" t="str">
        <v>No</v>
      </c>
      <c r="S84" s="30" t="str">
        <v>Goal</v>
      </c>
      <c r="T84" s="30" t="str">
        <f t="shared" si="3"/>
        <v>0-1</v>
      </c>
      <c r="U84" s="30">
        <f t="shared" si="4"/>
        <v>0</v>
      </c>
      <c r="V84" s="30">
        <f t="shared" si="5"/>
        <v>1</v>
      </c>
      <c r="X84" s="12">
        <v>82</v>
      </c>
      <c r="Y84" s="12" t="str">
        <v>Lee Han-beom</v>
      </c>
      <c r="Z84" s="12">
        <v>23</v>
      </c>
      <c r="AA84" s="12" t="str">
        <v>South Korea</v>
      </c>
      <c r="AB84" s="12" t="str">
        <v>CB</v>
      </c>
      <c r="AC84" s="12" t="str">
        <v>Midtjylland</v>
      </c>
      <c r="AD84" s="12">
        <v>2</v>
      </c>
      <c r="AF84" s="42">
        <v>1954</v>
      </c>
      <c r="AG84" s="42" t="str">
        <v xml:space="preserve">17 Jun 1954 - 18:10 </v>
      </c>
      <c r="AH84" s="42" t="str">
        <v>GROUP_STAGE</v>
      </c>
      <c r="AI84" s="42" t="str">
        <v>St. Jakob</v>
      </c>
      <c r="AJ84" s="42" t="str">
        <v xml:space="preserve">Basel </v>
      </c>
      <c r="AK84" s="42" t="str">
        <v>England</v>
      </c>
      <c r="AL84" s="42">
        <v>4</v>
      </c>
      <c r="AM84" s="42">
        <v>4</v>
      </c>
      <c r="AN84" s="42" t="str">
        <v>Belgium</v>
      </c>
      <c r="AO84" s="42" t="str">
        <v>-</v>
      </c>
    </row>
    <row r="85" spans="7:41">
      <c r="G85" s="30">
        <v>1994</v>
      </c>
      <c r="H85" s="30" t="str">
        <v>ROUND_OF_16</v>
      </c>
      <c r="I85" s="30" t="str">
        <v>Mexico</v>
      </c>
      <c r="J85" s="30" t="str">
        <v>Bulgaria</v>
      </c>
      <c r="K85" s="30" t="str">
        <v>Mexico</v>
      </c>
      <c r="L85" s="30" t="str">
        <v>Jorge Rodríguez</v>
      </c>
      <c r="M85" s="30" t="str">
        <v>Borislav Mihaylov</v>
      </c>
      <c r="N85" s="30">
        <v>6</v>
      </c>
      <c r="O85" s="30">
        <v>3</v>
      </c>
      <c r="P85" s="30" t="str">
        <v>'0-2</v>
      </c>
      <c r="Q85" s="30" t="str">
        <v>No</v>
      </c>
      <c r="R85" s="30" t="str">
        <v>No</v>
      </c>
      <c r="S85" s="30" t="str">
        <v>Saved</v>
      </c>
      <c r="T85" s="30" t="str">
        <f t="shared" si="3"/>
        <v>0-2</v>
      </c>
      <c r="U85" s="30">
        <f t="shared" si="4"/>
        <v>0</v>
      </c>
      <c r="V85" s="30">
        <f t="shared" si="5"/>
        <v>2</v>
      </c>
      <c r="X85" s="12">
        <v>83</v>
      </c>
      <c r="Y85" s="12" t="str">
        <v>Kim Min-jae</v>
      </c>
      <c r="Z85" s="12">
        <v>29</v>
      </c>
      <c r="AA85" s="12" t="str">
        <v>South Korea</v>
      </c>
      <c r="AB85" s="12" t="str">
        <v>CB</v>
      </c>
      <c r="AC85" s="12" t="str">
        <v>Bayern Munich</v>
      </c>
      <c r="AD85" s="12">
        <v>4</v>
      </c>
      <c r="AF85" s="42">
        <v>1954</v>
      </c>
      <c r="AG85" s="42" t="str">
        <v xml:space="preserve">17 Jun 1954 - 17:50 </v>
      </c>
      <c r="AH85" s="42" t="str">
        <v>GROUP_STAGE</v>
      </c>
      <c r="AI85" s="42" t="str">
        <v>La Pontaise</v>
      </c>
      <c r="AJ85" s="42" t="str">
        <v xml:space="preserve">Lausanne </v>
      </c>
      <c r="AK85" s="42" t="str">
        <v>Switzerland</v>
      </c>
      <c r="AL85" s="42">
        <v>2</v>
      </c>
      <c r="AM85" s="42">
        <v>1</v>
      </c>
      <c r="AN85" s="42" t="str">
        <v>Italy</v>
      </c>
      <c r="AO85" s="42" t="str">
        <v>-</v>
      </c>
    </row>
    <row r="86" spans="7:41">
      <c r="G86" s="30">
        <v>1994</v>
      </c>
      <c r="H86" s="30" t="str">
        <v>ROUND_OF_16</v>
      </c>
      <c r="I86" s="30" t="str">
        <v>Mexico</v>
      </c>
      <c r="J86" s="30" t="str">
        <v>Bulgaria</v>
      </c>
      <c r="K86" s="30" t="str">
        <v>Bulgaria</v>
      </c>
      <c r="L86" s="30" t="str">
        <v>Yordan Letchkov</v>
      </c>
      <c r="M86" s="30" t="str">
        <v>Jorge Campos</v>
      </c>
      <c r="N86" s="30">
        <v>7</v>
      </c>
      <c r="O86" s="30">
        <v>4</v>
      </c>
      <c r="P86" s="30" t="str">
        <v>'0-2</v>
      </c>
      <c r="Q86" s="30" t="str">
        <v>No</v>
      </c>
      <c r="R86" s="30" t="str">
        <v>Yes</v>
      </c>
      <c r="S86" s="30" t="str">
        <v>Goal</v>
      </c>
      <c r="T86" s="30" t="str">
        <f t="shared" si="3"/>
        <v>0-2</v>
      </c>
      <c r="U86" s="30">
        <f t="shared" si="4"/>
        <v>0</v>
      </c>
      <c r="V86" s="30">
        <f t="shared" si="5"/>
        <v>2</v>
      </c>
      <c r="X86" s="12">
        <v>84</v>
      </c>
      <c r="Y86" s="12" t="str">
        <v>Kim Tae-hyeon</v>
      </c>
      <c r="Z86" s="12">
        <v>25</v>
      </c>
      <c r="AA86" s="12" t="str">
        <v>South Korea</v>
      </c>
      <c r="AB86" s="12" t="str">
        <v>CB</v>
      </c>
      <c r="AC86" s="12" t="str">
        <v>Kashima Antlers</v>
      </c>
      <c r="AD86" s="12">
        <v>5</v>
      </c>
      <c r="AF86" s="42">
        <v>1954</v>
      </c>
      <c r="AG86" s="42" t="str">
        <v xml:space="preserve">19 Jun 1954 - 16:50 </v>
      </c>
      <c r="AH86" s="42" t="str">
        <v>GROUP_STAGE</v>
      </c>
      <c r="AI86" s="42" t="str">
        <v>St. Jakob</v>
      </c>
      <c r="AJ86" s="42" t="str">
        <v xml:space="preserve">Basel </v>
      </c>
      <c r="AK86" s="42" t="str">
        <v>Uruguay</v>
      </c>
      <c r="AL86" s="42">
        <v>7</v>
      </c>
      <c r="AM86" s="42">
        <v>0</v>
      </c>
      <c r="AN86" s="42" t="str">
        <v>Scotland</v>
      </c>
      <c r="AO86" s="42" t="str">
        <v>-</v>
      </c>
    </row>
    <row r="87" spans="7:41">
      <c r="G87" s="30">
        <v>1994</v>
      </c>
      <c r="H87" s="30" t="str">
        <v>ROUND_OF_16</v>
      </c>
      <c r="I87" s="30" t="str">
        <v>Mexico</v>
      </c>
      <c r="J87" s="30" t="str">
        <v>Bulgaria</v>
      </c>
      <c r="K87" s="30" t="str">
        <v>Mexico</v>
      </c>
      <c r="L87" s="30" t="str">
        <v>Claudio Suárez</v>
      </c>
      <c r="M87" s="30" t="str">
        <v>Borislav Mihaylov</v>
      </c>
      <c r="N87" s="30">
        <v>8</v>
      </c>
      <c r="O87" s="30">
        <v>4</v>
      </c>
      <c r="P87" s="30" t="str">
        <v>'2-1</v>
      </c>
      <c r="Q87" s="30" t="str">
        <v>Yes</v>
      </c>
      <c r="R87" s="30" t="str">
        <v>No</v>
      </c>
      <c r="S87" s="30" t="str">
        <v>Goal</v>
      </c>
      <c r="T87" s="30" t="str">
        <f t="shared" si="3"/>
        <v>2-1</v>
      </c>
      <c r="U87" s="30">
        <f t="shared" si="4"/>
        <v>2</v>
      </c>
      <c r="V87" s="30">
        <f t="shared" si="5"/>
        <v>1</v>
      </c>
      <c r="X87" s="12">
        <v>85</v>
      </c>
      <c r="Y87" s="12" t="str">
        <v>Cho Wi-je</v>
      </c>
      <c r="Z87" s="12">
        <v>24</v>
      </c>
      <c r="AA87" s="12" t="str">
        <v>South Korea</v>
      </c>
      <c r="AB87" s="12" t="str">
        <v>CB</v>
      </c>
      <c r="AC87" s="12" t="str">
        <v>Jeonbuk Hyundai Motors</v>
      </c>
      <c r="AD87" s="12">
        <v>14</v>
      </c>
      <c r="AF87" s="42">
        <v>1954</v>
      </c>
      <c r="AG87" s="42" t="str">
        <v xml:space="preserve">19 Jun 1954 - 17:00 </v>
      </c>
      <c r="AH87" s="42" t="str">
        <v>GROUP_STAGE</v>
      </c>
      <c r="AI87" s="42" t="str">
        <v>Hardturm</v>
      </c>
      <c r="AJ87" s="42" t="str">
        <v xml:space="preserve">Zurich </v>
      </c>
      <c r="AK87" s="42" t="str">
        <v>Austria</v>
      </c>
      <c r="AL87" s="42">
        <v>5</v>
      </c>
      <c r="AM87" s="42">
        <v>0</v>
      </c>
      <c r="AN87" s="42" t="str">
        <v>Czechoslovakia</v>
      </c>
      <c r="AO87" s="42" t="str">
        <v>-</v>
      </c>
    </row>
    <row r="88" spans="7:41">
      <c r="G88" s="30">
        <v>1994</v>
      </c>
      <c r="H88" s="30" t="str">
        <v>QUARTER_FINALS</v>
      </c>
      <c r="I88" s="30" t="str">
        <v>Romania</v>
      </c>
      <c r="J88" s="30" t="str">
        <v>Sweden</v>
      </c>
      <c r="K88" s="30" t="str">
        <v>Sweden</v>
      </c>
      <c r="L88" s="30" t="str">
        <v>Håkan Mild</v>
      </c>
      <c r="M88" s="30" t="str">
        <v>Florian Prunea</v>
      </c>
      <c r="N88" s="30">
        <v>1</v>
      </c>
      <c r="O88" s="30">
        <v>1</v>
      </c>
      <c r="P88" s="30" t="str">
        <v>'0-0</v>
      </c>
      <c r="Q88" s="30" t="str">
        <v>No</v>
      </c>
      <c r="R88" s="30" t="str">
        <v>No</v>
      </c>
      <c r="S88" s="30" t="str">
        <v>Missed</v>
      </c>
      <c r="T88" s="30" t="str">
        <f t="shared" si="3"/>
        <v>0-0</v>
      </c>
      <c r="U88" s="30">
        <f t="shared" si="4"/>
        <v>0</v>
      </c>
      <c r="V88" s="30">
        <f t="shared" si="5"/>
        <v>0</v>
      </c>
      <c r="X88" s="12">
        <v>86</v>
      </c>
      <c r="Y88" s="12" t="str">
        <v>Park Jin-seob</v>
      </c>
      <c r="Z88" s="12">
        <v>30</v>
      </c>
      <c r="AA88" s="12" t="str">
        <v>South Korea</v>
      </c>
      <c r="AB88" s="12" t="str">
        <v>CB</v>
      </c>
      <c r="AC88" s="12" t="str">
        <v>Zhejiang</v>
      </c>
      <c r="AD88" s="12">
        <v>16</v>
      </c>
      <c r="AF88" s="42">
        <v>1954</v>
      </c>
      <c r="AG88" s="42" t="str">
        <v xml:space="preserve">19 Jun 1954 - 17:10 </v>
      </c>
      <c r="AH88" s="42" t="str">
        <v>GROUP_STAGE</v>
      </c>
      <c r="AI88" s="42" t="str">
        <v>Charmilles</v>
      </c>
      <c r="AJ88" s="42" t="str">
        <v xml:space="preserve">Geneva </v>
      </c>
      <c r="AK88" s="42" t="str">
        <v>France</v>
      </c>
      <c r="AL88" s="42">
        <v>3</v>
      </c>
      <c r="AM88" s="42">
        <v>2</v>
      </c>
      <c r="AN88" s="42" t="str">
        <v>Mexico</v>
      </c>
      <c r="AO88" s="42" t="str">
        <v>-</v>
      </c>
    </row>
    <row r="89" spans="7:41">
      <c r="G89" s="30">
        <v>1994</v>
      </c>
      <c r="H89" s="30" t="str">
        <v>QUARTER_FINALS</v>
      </c>
      <c r="I89" s="30" t="str">
        <v>Romania</v>
      </c>
      <c r="J89" s="30" t="str">
        <v>Sweden</v>
      </c>
      <c r="K89" s="30" t="str">
        <v>Romania</v>
      </c>
      <c r="L89" s="30" t="str">
        <v>Radu Răducioiu</v>
      </c>
      <c r="M89" s="30" t="str">
        <v>Thomas Ravelli</v>
      </c>
      <c r="N89" s="30">
        <v>2</v>
      </c>
      <c r="O89" s="30">
        <v>1</v>
      </c>
      <c r="P89" s="30" t="str">
        <v>'0-0</v>
      </c>
      <c r="Q89" s="30" t="str">
        <v>No</v>
      </c>
      <c r="R89" s="30" t="str">
        <v>No</v>
      </c>
      <c r="S89" s="30" t="str">
        <v>Goal</v>
      </c>
      <c r="T89" s="30" t="str">
        <f t="shared" si="3"/>
        <v>0-0</v>
      </c>
      <c r="U89" s="30">
        <f t="shared" si="4"/>
        <v>0</v>
      </c>
      <c r="V89" s="30">
        <f t="shared" si="5"/>
        <v>0</v>
      </c>
      <c r="X89" s="12">
        <v>87</v>
      </c>
      <c r="Y89" s="12" t="str">
        <v>Lee Tae-seok</v>
      </c>
      <c r="Z89" s="12">
        <v>23</v>
      </c>
      <c r="AA89" s="12" t="str">
        <v>South Korea</v>
      </c>
      <c r="AB89" s="12" t="str">
        <v>LB</v>
      </c>
      <c r="AC89" s="12" t="str">
        <v>Austria Wien</v>
      </c>
      <c r="AD89" s="12">
        <v>13</v>
      </c>
      <c r="AF89" s="42">
        <v>1954</v>
      </c>
      <c r="AG89" s="42" t="str">
        <v xml:space="preserve">19 Jun 1954 - 17:00 </v>
      </c>
      <c r="AH89" s="42" t="str">
        <v>GROUP_STAGE</v>
      </c>
      <c r="AI89" s="42" t="str">
        <v>La Pontaise</v>
      </c>
      <c r="AJ89" s="42" t="str">
        <v xml:space="preserve">Lausanne </v>
      </c>
      <c r="AK89" s="42" t="str">
        <v>Brazil</v>
      </c>
      <c r="AL89" s="42">
        <v>1</v>
      </c>
      <c r="AM89" s="42">
        <v>1</v>
      </c>
      <c r="AN89" s="42" t="str">
        <v>Yugoslavia</v>
      </c>
      <c r="AO89" s="42" t="str">
        <v>-</v>
      </c>
    </row>
    <row r="90" spans="7:41">
      <c r="G90" s="30">
        <v>1994</v>
      </c>
      <c r="H90" s="30" t="str">
        <v>QUARTER_FINALS</v>
      </c>
      <c r="I90" s="30" t="str">
        <v>Romania</v>
      </c>
      <c r="J90" s="30" t="str">
        <v>Sweden</v>
      </c>
      <c r="K90" s="30" t="str">
        <v>Sweden</v>
      </c>
      <c r="L90" s="30" t="str">
        <v>Kennet Andersson</v>
      </c>
      <c r="M90" s="30" t="str">
        <v>Florian Prunea</v>
      </c>
      <c r="N90" s="30">
        <v>3</v>
      </c>
      <c r="O90" s="30">
        <v>2</v>
      </c>
      <c r="P90" s="30" t="str">
        <v>'0-1</v>
      </c>
      <c r="Q90" s="30" t="str">
        <v>No</v>
      </c>
      <c r="R90" s="30" t="str">
        <v>No</v>
      </c>
      <c r="S90" s="30" t="str">
        <v>Goal</v>
      </c>
      <c r="T90" s="30" t="str">
        <f t="shared" si="3"/>
        <v>0-1</v>
      </c>
      <c r="U90" s="30">
        <f t="shared" si="4"/>
        <v>0</v>
      </c>
      <c r="V90" s="30">
        <f t="shared" si="5"/>
        <v>1</v>
      </c>
      <c r="X90" s="12">
        <v>88</v>
      </c>
      <c r="Y90" s="12" t="str">
        <v>Kim Moon-hwan</v>
      </c>
      <c r="Z90" s="12">
        <v>30</v>
      </c>
      <c r="AA90" s="12" t="str">
        <v>South Korea</v>
      </c>
      <c r="AB90" s="12" t="str">
        <v>RB</v>
      </c>
      <c r="AC90" s="12" t="str">
        <v>Daejeon Hana Citizen</v>
      </c>
      <c r="AD90" s="12">
        <v>15</v>
      </c>
      <c r="AF90" s="42">
        <v>1954</v>
      </c>
      <c r="AG90" s="42" t="str">
        <v xml:space="preserve">20 Jun 1954 - 16:50 </v>
      </c>
      <c r="AH90" s="42" t="str">
        <v>GROUP_STAGE</v>
      </c>
      <c r="AI90" s="42" t="str">
        <v>St. Jakob</v>
      </c>
      <c r="AJ90" s="42" t="str">
        <v xml:space="preserve">Basel </v>
      </c>
      <c r="AK90" s="42" t="str">
        <v>Hungary</v>
      </c>
      <c r="AL90" s="42">
        <v>8</v>
      </c>
      <c r="AM90" s="42">
        <v>3</v>
      </c>
      <c r="AN90" s="42" t="str">
        <v>FR Germany</v>
      </c>
      <c r="AO90" s="42" t="str">
        <v>-</v>
      </c>
    </row>
    <row r="91" spans="7:41">
      <c r="G91" s="30">
        <v>1994</v>
      </c>
      <c r="H91" s="30" t="str">
        <v>QUARTER_FINALS</v>
      </c>
      <c r="I91" s="30" t="str">
        <v>Romania</v>
      </c>
      <c r="J91" s="30" t="str">
        <v>Sweden</v>
      </c>
      <c r="K91" s="30" t="str">
        <v>Romania</v>
      </c>
      <c r="L91" s="30" t="str">
        <v>Gheorghe Hagi</v>
      </c>
      <c r="M91" s="30" t="str">
        <v>Thomas Ravelli</v>
      </c>
      <c r="N91" s="30">
        <v>4</v>
      </c>
      <c r="O91" s="30">
        <v>2</v>
      </c>
      <c r="P91" s="30" t="str">
        <v>'1-1</v>
      </c>
      <c r="Q91" s="30" t="str">
        <v>No</v>
      </c>
      <c r="R91" s="30" t="str">
        <v>No</v>
      </c>
      <c r="S91" s="30" t="str">
        <v>Goal</v>
      </c>
      <c r="T91" s="30" t="str">
        <f t="shared" si="3"/>
        <v>1-1</v>
      </c>
      <c r="U91" s="30">
        <f t="shared" si="4"/>
        <v>1</v>
      </c>
      <c r="V91" s="30">
        <f t="shared" si="5"/>
        <v>1</v>
      </c>
      <c r="X91" s="12">
        <v>89</v>
      </c>
      <c r="Y91" s="12" t="str">
        <v>Seol Young-woo</v>
      </c>
      <c r="Z91" s="12">
        <v>27</v>
      </c>
      <c r="AA91" s="12" t="str">
        <v>South Korea</v>
      </c>
      <c r="AB91" s="12" t="str">
        <v>RB</v>
      </c>
      <c r="AC91" s="12" t="str">
        <v>Red Star Belgrade</v>
      </c>
      <c r="AD91" s="12">
        <v>22</v>
      </c>
      <c r="AF91" s="42">
        <v>1954</v>
      </c>
      <c r="AG91" s="42" t="str">
        <v xml:space="preserve">20 Jun 1954 - 17:00 </v>
      </c>
      <c r="AH91" s="42" t="str">
        <v>GROUP_STAGE</v>
      </c>
      <c r="AI91" s="42" t="str">
        <v>Charmilles</v>
      </c>
      <c r="AJ91" s="42" t="str">
        <v xml:space="preserve">Geneva </v>
      </c>
      <c r="AK91" s="42" t="str">
        <v>Turkey</v>
      </c>
      <c r="AL91" s="42">
        <v>7</v>
      </c>
      <c r="AM91" s="42">
        <v>0</v>
      </c>
      <c r="AN91" s="42" t="str">
        <v>South Korea</v>
      </c>
      <c r="AO91" s="42" t="str">
        <v>-</v>
      </c>
    </row>
    <row r="92" spans="7:41">
      <c r="G92" s="30">
        <v>1994</v>
      </c>
      <c r="H92" s="30" t="str">
        <v>QUARTER_FINALS</v>
      </c>
      <c r="I92" s="30" t="str">
        <v>Romania</v>
      </c>
      <c r="J92" s="30" t="str">
        <v>Sweden</v>
      </c>
      <c r="K92" s="30" t="str">
        <v>Sweden</v>
      </c>
      <c r="L92" s="30" t="str">
        <v>Tomas Brolin</v>
      </c>
      <c r="M92" s="30" t="str">
        <v>Florian Prunea</v>
      </c>
      <c r="N92" s="30">
        <v>5</v>
      </c>
      <c r="O92" s="30">
        <v>3</v>
      </c>
      <c r="P92" s="30" t="str">
        <v>'2-1</v>
      </c>
      <c r="Q92" s="30" t="str">
        <v>No</v>
      </c>
      <c r="R92" s="30" t="str">
        <v>No</v>
      </c>
      <c r="S92" s="30" t="str">
        <v>Goal</v>
      </c>
      <c r="T92" s="30" t="str">
        <f t="shared" si="3"/>
        <v>2-1</v>
      </c>
      <c r="U92" s="30">
        <f t="shared" si="4"/>
        <v>2</v>
      </c>
      <c r="V92" s="30">
        <f t="shared" si="5"/>
        <v>1</v>
      </c>
      <c r="X92" s="12">
        <v>90</v>
      </c>
      <c r="Y92" s="12" t="str">
        <v>Jens Castrop</v>
      </c>
      <c r="Z92" s="12">
        <v>22</v>
      </c>
      <c r="AA92" s="12" t="str">
        <v>South Korea</v>
      </c>
      <c r="AB92" s="12" t="str">
        <v>RB</v>
      </c>
      <c r="AC92" s="12" t="str">
        <v>Borussia Mönchengladbach</v>
      </c>
      <c r="AD92" s="12">
        <v>23</v>
      </c>
      <c r="AF92" s="42">
        <v>1954</v>
      </c>
      <c r="AG92" s="42" t="str">
        <v xml:space="preserve">20 Jun 1954 - 17:10 </v>
      </c>
      <c r="AH92" s="42" t="str">
        <v>GROUP_STAGE</v>
      </c>
      <c r="AI92" s="42" t="str">
        <v>Wankdorf Stadium</v>
      </c>
      <c r="AJ92" s="42" t="str">
        <v xml:space="preserve">Berne </v>
      </c>
      <c r="AK92" s="42" t="str">
        <v>England</v>
      </c>
      <c r="AL92" s="42">
        <v>2</v>
      </c>
      <c r="AM92" s="42">
        <v>0</v>
      </c>
      <c r="AN92" s="42" t="str">
        <v>Switzerland</v>
      </c>
      <c r="AO92" s="42" t="str">
        <v>-</v>
      </c>
    </row>
    <row r="93" spans="7:41">
      <c r="G93" s="30">
        <v>1994</v>
      </c>
      <c r="H93" s="30" t="str">
        <v>QUARTER_FINALS</v>
      </c>
      <c r="I93" s="30" t="str">
        <v>Romania</v>
      </c>
      <c r="J93" s="30" t="str">
        <v>Sweden</v>
      </c>
      <c r="K93" s="30" t="str">
        <v>Romania</v>
      </c>
      <c r="L93" s="30" t="str">
        <v>Ioan Lupescu</v>
      </c>
      <c r="M93" s="30" t="str">
        <v>Thomas Ravelli</v>
      </c>
      <c r="N93" s="30">
        <v>6</v>
      </c>
      <c r="O93" s="30">
        <v>3</v>
      </c>
      <c r="P93" s="30" t="str">
        <v>'2-2</v>
      </c>
      <c r="Q93" s="30" t="str">
        <v>No</v>
      </c>
      <c r="R93" s="30" t="str">
        <v>No</v>
      </c>
      <c r="S93" s="30" t="str">
        <v>Goal</v>
      </c>
      <c r="T93" s="30" t="str">
        <f t="shared" si="3"/>
        <v>2-2</v>
      </c>
      <c r="U93" s="30">
        <f t="shared" si="4"/>
        <v>2</v>
      </c>
      <c r="V93" s="30">
        <f t="shared" si="5"/>
        <v>2</v>
      </c>
      <c r="X93" s="12">
        <v>91</v>
      </c>
      <c r="Y93" s="12" t="str">
        <v>Lee Gi-hyuk</v>
      </c>
      <c r="Z93" s="12">
        <v>25</v>
      </c>
      <c r="AA93" s="12" t="str">
        <v>South Korea</v>
      </c>
      <c r="AB93" s="12" t="str">
        <v>CM</v>
      </c>
      <c r="AC93" s="12" t="str">
        <v>Gangwon FC</v>
      </c>
      <c r="AD93" s="12">
        <v>3</v>
      </c>
      <c r="AF93" s="42">
        <v>1954</v>
      </c>
      <c r="AG93" s="42" t="str">
        <v xml:space="preserve">20 Jun 1954 - 17:00 </v>
      </c>
      <c r="AH93" s="42" t="str">
        <v>GROUP_STAGE</v>
      </c>
      <c r="AI93" s="42" t="str">
        <v>Comunale di Cornaredo</v>
      </c>
      <c r="AJ93" s="42" t="str">
        <v xml:space="preserve">Lugano </v>
      </c>
      <c r="AK93" s="42" t="str">
        <v>Italy</v>
      </c>
      <c r="AL93" s="42">
        <v>4</v>
      </c>
      <c r="AM93" s="42">
        <v>1</v>
      </c>
      <c r="AN93" s="42" t="str">
        <v>Belgium</v>
      </c>
      <c r="AO93" s="42" t="str">
        <v>-</v>
      </c>
    </row>
    <row r="94" spans="7:41">
      <c r="G94" s="30">
        <v>1994</v>
      </c>
      <c r="H94" s="30" t="str">
        <v>QUARTER_FINALS</v>
      </c>
      <c r="I94" s="30" t="str">
        <v>Romania</v>
      </c>
      <c r="J94" s="30" t="str">
        <v>Sweden</v>
      </c>
      <c r="K94" s="30" t="str">
        <v>Sweden</v>
      </c>
      <c r="L94" s="30" t="str">
        <v>Klas Ingesson</v>
      </c>
      <c r="M94" s="30" t="str">
        <v>Florian Prunea</v>
      </c>
      <c r="N94" s="30">
        <v>7</v>
      </c>
      <c r="O94" s="30">
        <v>4</v>
      </c>
      <c r="P94" s="30" t="str">
        <v>'3-2</v>
      </c>
      <c r="Q94" s="30" t="str">
        <v>No</v>
      </c>
      <c r="R94" s="30" t="str">
        <v>No</v>
      </c>
      <c r="S94" s="30" t="str">
        <v>Goal</v>
      </c>
      <c r="T94" s="30" t="str">
        <f t="shared" si="3"/>
        <v>3-2</v>
      </c>
      <c r="U94" s="30">
        <f t="shared" si="4"/>
        <v>3</v>
      </c>
      <c r="V94" s="30">
        <f t="shared" si="5"/>
        <v>2</v>
      </c>
      <c r="X94" s="12">
        <v>92</v>
      </c>
      <c r="Y94" s="12" t="str">
        <v>Hwang In-beom</v>
      </c>
      <c r="Z94" s="12">
        <v>29</v>
      </c>
      <c r="AA94" s="12" t="str">
        <v>South Korea</v>
      </c>
      <c r="AB94" s="12" t="str">
        <v>CM</v>
      </c>
      <c r="AC94" s="12" t="str">
        <v>Feyenoord</v>
      </c>
      <c r="AD94" s="12">
        <v>6</v>
      </c>
      <c r="AF94" s="42">
        <v>1954</v>
      </c>
      <c r="AG94" s="42" t="str">
        <v xml:space="preserve">23 Jun 1954 - 18:00 </v>
      </c>
      <c r="AH94" s="42" t="str">
        <v>GROUP_STAGE</v>
      </c>
      <c r="AI94" s="42" t="str">
        <v>Hardturm</v>
      </c>
      <c r="AJ94" s="42" t="str">
        <v xml:space="preserve">Zurich </v>
      </c>
      <c r="AK94" s="42" t="str">
        <v>FR Germany</v>
      </c>
      <c r="AL94" s="42">
        <v>7</v>
      </c>
      <c r="AM94" s="42">
        <v>2</v>
      </c>
      <c r="AN94" s="42" t="str">
        <v>Turkey</v>
      </c>
      <c r="AO94" s="42" t="str">
        <v>-</v>
      </c>
    </row>
    <row r="95" spans="7:41">
      <c r="G95" s="30">
        <v>1994</v>
      </c>
      <c r="H95" s="30" t="str">
        <v>QUARTER_FINALS</v>
      </c>
      <c r="I95" s="30" t="str">
        <v>Romania</v>
      </c>
      <c r="J95" s="30" t="str">
        <v>Sweden</v>
      </c>
      <c r="K95" s="30" t="str">
        <v>Romania</v>
      </c>
      <c r="L95" s="30" t="str">
        <v>Dan Petrescu</v>
      </c>
      <c r="M95" s="30" t="str">
        <v>Thomas Ravelli</v>
      </c>
      <c r="N95" s="30">
        <v>8</v>
      </c>
      <c r="O95" s="30">
        <v>4</v>
      </c>
      <c r="P95" s="30" t="str">
        <v>'3-3</v>
      </c>
      <c r="Q95" s="30" t="str">
        <v>No</v>
      </c>
      <c r="R95" s="30" t="str">
        <v>No</v>
      </c>
      <c r="S95" s="30" t="str">
        <v>Saved</v>
      </c>
      <c r="T95" s="30" t="str">
        <f t="shared" si="3"/>
        <v>3-3</v>
      </c>
      <c r="U95" s="30">
        <f t="shared" si="4"/>
        <v>3</v>
      </c>
      <c r="V95" s="30">
        <f t="shared" si="5"/>
        <v>3</v>
      </c>
      <c r="X95" s="12">
        <v>93</v>
      </c>
      <c r="Y95" s="12" t="str">
        <v>Paik Seung-ho</v>
      </c>
      <c r="Z95" s="12">
        <v>29</v>
      </c>
      <c r="AA95" s="12" t="str">
        <v>South Korea</v>
      </c>
      <c r="AB95" s="12" t="str">
        <v>CM</v>
      </c>
      <c r="AC95" s="12" t="str">
        <v>Birmingham City</v>
      </c>
      <c r="AD95" s="12">
        <v>8</v>
      </c>
      <c r="AF95" s="42">
        <v>1954</v>
      </c>
      <c r="AG95" s="42" t="str">
        <v xml:space="preserve">23 Jun 1954 - 18:00 </v>
      </c>
      <c r="AH95" s="42" t="str">
        <v>GROUP_STAGE</v>
      </c>
      <c r="AI95" s="42" t="str">
        <v>St. Jakob</v>
      </c>
      <c r="AJ95" s="42" t="str">
        <v xml:space="preserve">Basel </v>
      </c>
      <c r="AK95" s="42" t="str">
        <v>Switzerland</v>
      </c>
      <c r="AL95" s="42">
        <v>4</v>
      </c>
      <c r="AM95" s="42">
        <v>1</v>
      </c>
      <c r="AN95" s="42" t="str">
        <v>Italy</v>
      </c>
      <c r="AO95" s="42" t="str">
        <v>-</v>
      </c>
    </row>
    <row r="96" spans="7:41">
      <c r="G96" s="30">
        <v>1994</v>
      </c>
      <c r="H96" s="30" t="str">
        <v>QUARTER_FINALS</v>
      </c>
      <c r="I96" s="30" t="str">
        <v>Romania</v>
      </c>
      <c r="J96" s="30" t="str">
        <v>Sweden</v>
      </c>
      <c r="K96" s="30" t="str">
        <v>Sweden</v>
      </c>
      <c r="L96" s="30" t="str">
        <v>Roland Nilsson</v>
      </c>
      <c r="M96" s="30" t="str">
        <v>Florian Prunea</v>
      </c>
      <c r="N96" s="30">
        <v>9</v>
      </c>
      <c r="O96" s="30">
        <v>5</v>
      </c>
      <c r="P96" s="30" t="str">
        <v>'3-3</v>
      </c>
      <c r="Q96" s="30" t="str">
        <v>No</v>
      </c>
      <c r="R96" s="30" t="str">
        <v>No</v>
      </c>
      <c r="S96" s="30" t="str">
        <v>Goal</v>
      </c>
      <c r="T96" s="30" t="str">
        <f t="shared" si="3"/>
        <v>3-3</v>
      </c>
      <c r="U96" s="30">
        <f t="shared" si="4"/>
        <v>3</v>
      </c>
      <c r="V96" s="30">
        <f t="shared" si="5"/>
        <v>3</v>
      </c>
      <c r="X96" s="12">
        <v>94</v>
      </c>
      <c r="Y96" s="12" t="str">
        <v>Kim Jin-gyu</v>
      </c>
      <c r="Z96" s="12">
        <v>29</v>
      </c>
      <c r="AA96" s="12" t="str">
        <v>South Korea</v>
      </c>
      <c r="AB96" s="12" t="str">
        <v>CM</v>
      </c>
      <c r="AC96" s="12" t="str">
        <v>Jeonbuk Hyundai Motors</v>
      </c>
      <c r="AD96" s="12">
        <v>24</v>
      </c>
      <c r="AF96" s="42">
        <v>1954</v>
      </c>
      <c r="AG96" s="42" t="str">
        <v xml:space="preserve">26 Jun 1954 - 17:00 </v>
      </c>
      <c r="AH96" s="42" t="str">
        <v>QUARTER_FINALS</v>
      </c>
      <c r="AI96" s="42" t="str">
        <v>St. Jakob</v>
      </c>
      <c r="AJ96" s="42" t="str">
        <v xml:space="preserve">Basel </v>
      </c>
      <c r="AK96" s="42" t="str">
        <v>Uruguay</v>
      </c>
      <c r="AL96" s="42">
        <v>4</v>
      </c>
      <c r="AM96" s="42">
        <v>2</v>
      </c>
      <c r="AN96" s="42" t="str">
        <v>England</v>
      </c>
      <c r="AO96" s="42" t="str">
        <v>-</v>
      </c>
    </row>
    <row r="97" spans="7:41">
      <c r="G97" s="30">
        <v>1994</v>
      </c>
      <c r="H97" s="30" t="str">
        <v>QUARTER_FINALS</v>
      </c>
      <c r="I97" s="30" t="str">
        <v>Romania</v>
      </c>
      <c r="J97" s="30" t="str">
        <v>Sweden</v>
      </c>
      <c r="K97" s="30" t="str">
        <v>Romania</v>
      </c>
      <c r="L97" s="30" t="str">
        <v>Ilie Dumitrescu</v>
      </c>
      <c r="M97" s="30" t="str">
        <v>Thomas Ravelli</v>
      </c>
      <c r="N97" s="30">
        <v>10</v>
      </c>
      <c r="O97" s="30">
        <v>5</v>
      </c>
      <c r="P97" s="30" t="str">
        <v>'3-4</v>
      </c>
      <c r="Q97" s="30" t="str">
        <v>Yes</v>
      </c>
      <c r="R97" s="30" t="str">
        <v>No</v>
      </c>
      <c r="S97" s="30" t="str">
        <v>Goal</v>
      </c>
      <c r="T97" s="30" t="str">
        <f t="shared" si="3"/>
        <v>3-4</v>
      </c>
      <c r="U97" s="30">
        <f t="shared" si="4"/>
        <v>3</v>
      </c>
      <c r="V97" s="30">
        <f t="shared" si="5"/>
        <v>4</v>
      </c>
      <c r="X97" s="12">
        <v>95</v>
      </c>
      <c r="Y97" s="12" t="str">
        <v>Lee Jae-sung</v>
      </c>
      <c r="Z97" s="12">
        <v>33</v>
      </c>
      <c r="AA97" s="12" t="str">
        <v>South Korea</v>
      </c>
      <c r="AB97" s="12" t="str">
        <v>CAM</v>
      </c>
      <c r="AC97" s="12" t="str">
        <v>Mainz 05</v>
      </c>
      <c r="AD97" s="12">
        <v>10</v>
      </c>
      <c r="AF97" s="42">
        <v>1954</v>
      </c>
      <c r="AG97" s="42" t="str">
        <v xml:space="preserve">26 Jun 1954 - 17:00 </v>
      </c>
      <c r="AH97" s="42" t="str">
        <v>QUARTER_FINALS</v>
      </c>
      <c r="AI97" s="42" t="str">
        <v>La Pontaise</v>
      </c>
      <c r="AJ97" s="42" t="str">
        <v xml:space="preserve">Lausanne </v>
      </c>
      <c r="AK97" s="42" t="str">
        <v>Austria</v>
      </c>
      <c r="AL97" s="42">
        <v>7</v>
      </c>
      <c r="AM97" s="42">
        <v>5</v>
      </c>
      <c r="AN97" s="42" t="str">
        <v>Switzerland</v>
      </c>
      <c r="AO97" s="42" t="str">
        <v>-</v>
      </c>
    </row>
    <row r="98" spans="7:41">
      <c r="G98" s="30">
        <v>1994</v>
      </c>
      <c r="H98" s="30" t="str">
        <v>QUARTER_FINALS</v>
      </c>
      <c r="I98" s="30" t="str">
        <v>Romania</v>
      </c>
      <c r="J98" s="30" t="str">
        <v>Sweden</v>
      </c>
      <c r="K98" s="30" t="str">
        <v>Sweden</v>
      </c>
      <c r="L98" s="30" t="str">
        <v>Henrik Larsson</v>
      </c>
      <c r="M98" s="30" t="str">
        <v>Florian Prunea</v>
      </c>
      <c r="N98" s="30">
        <v>11</v>
      </c>
      <c r="O98" s="30">
        <v>6</v>
      </c>
      <c r="P98" s="30" t="str">
        <v>'4-4</v>
      </c>
      <c r="Q98" s="30" t="str">
        <v>No</v>
      </c>
      <c r="R98" s="30" t="str">
        <v>No</v>
      </c>
      <c r="S98" s="30" t="str">
        <v>Goal</v>
      </c>
      <c r="T98" s="30" t="str">
        <f t="shared" si="3"/>
        <v>4-4</v>
      </c>
      <c r="U98" s="30">
        <f t="shared" si="4"/>
        <v>4</v>
      </c>
      <c r="V98" s="30">
        <f t="shared" si="5"/>
        <v>4</v>
      </c>
      <c r="X98" s="12">
        <v>96</v>
      </c>
      <c r="Y98" s="12" t="str">
        <v>Bae Jun-ho</v>
      </c>
      <c r="Z98" s="12">
        <v>22</v>
      </c>
      <c r="AA98" s="12" t="str">
        <v>South Korea</v>
      </c>
      <c r="AB98" s="12" t="str">
        <v>CAM</v>
      </c>
      <c r="AC98" s="12" t="str">
        <v>Stoke City</v>
      </c>
      <c r="AD98" s="12">
        <v>17</v>
      </c>
      <c r="AF98" s="42">
        <v>1954</v>
      </c>
      <c r="AG98" s="42" t="str">
        <v xml:space="preserve">27 Jun 1954 - 17:00 </v>
      </c>
      <c r="AH98" s="42" t="str">
        <v>QUARTER_FINALS</v>
      </c>
      <c r="AI98" s="42" t="str">
        <v>Charmilles</v>
      </c>
      <c r="AJ98" s="42" t="str">
        <v xml:space="preserve">Geneva </v>
      </c>
      <c r="AK98" s="42" t="str">
        <v>FR Germany</v>
      </c>
      <c r="AL98" s="42">
        <v>2</v>
      </c>
      <c r="AM98" s="42">
        <v>0</v>
      </c>
      <c r="AN98" s="42" t="str">
        <v>Yugoslavia</v>
      </c>
      <c r="AO98" s="42" t="str">
        <v>-</v>
      </c>
    </row>
    <row r="99" spans="7:41">
      <c r="G99" s="30">
        <v>1994</v>
      </c>
      <c r="H99" s="30" t="str">
        <v>QUARTER_FINALS</v>
      </c>
      <c r="I99" s="30" t="str">
        <v>Romania</v>
      </c>
      <c r="J99" s="30" t="str">
        <v>Sweden</v>
      </c>
      <c r="K99" s="30" t="str">
        <v>Romania</v>
      </c>
      <c r="L99" s="30" t="str">
        <v>Miodrag Belodedici</v>
      </c>
      <c r="M99" s="30" t="str">
        <v>Thomas Ravelli</v>
      </c>
      <c r="N99" s="30">
        <v>12</v>
      </c>
      <c r="O99" s="30">
        <v>6</v>
      </c>
      <c r="P99" s="30" t="str">
        <v>'5-4</v>
      </c>
      <c r="Q99" s="30" t="str">
        <v>Yes</v>
      </c>
      <c r="R99" s="30" t="str">
        <v>Yes</v>
      </c>
      <c r="S99" s="30" t="str">
        <v>Saved</v>
      </c>
      <c r="T99" s="30" t="str">
        <f t="shared" si="3"/>
        <v>5-4</v>
      </c>
      <c r="U99" s="30">
        <f t="shared" si="4"/>
        <v>5</v>
      </c>
      <c r="V99" s="30">
        <f t="shared" si="5"/>
        <v>4</v>
      </c>
      <c r="X99" s="12">
        <v>97</v>
      </c>
      <c r="Y99" s="12" t="str">
        <v>Lee Dong-gyeong</v>
      </c>
      <c r="Z99" s="12">
        <v>28</v>
      </c>
      <c r="AA99" s="12" t="str">
        <v>South Korea</v>
      </c>
      <c r="AB99" s="12" t="str">
        <v>CAM</v>
      </c>
      <c r="AC99" s="12" t="str">
        <v>Ulsan HD</v>
      </c>
      <c r="AD99" s="12">
        <v>26</v>
      </c>
      <c r="AF99" s="42">
        <v>1954</v>
      </c>
      <c r="AG99" s="42" t="str">
        <v xml:space="preserve">27 Jun 1954 - 17:00 </v>
      </c>
      <c r="AH99" s="42" t="str">
        <v>QUARTER_FINALS</v>
      </c>
      <c r="AI99" s="42" t="str">
        <v>Wankdorf Stadium</v>
      </c>
      <c r="AJ99" s="42" t="str">
        <v xml:space="preserve">Berne </v>
      </c>
      <c r="AK99" s="42" t="str">
        <v>Hungary</v>
      </c>
      <c r="AL99" s="42">
        <v>4</v>
      </c>
      <c r="AM99" s="42">
        <v>2</v>
      </c>
      <c r="AN99" s="42" t="str">
        <v>Brazil</v>
      </c>
      <c r="AO99" s="42" t="str">
        <v>-</v>
      </c>
    </row>
    <row r="100" spans="7:41">
      <c r="G100" s="30">
        <v>1994</v>
      </c>
      <c r="H100" s="30" t="str">
        <v>FINAL</v>
      </c>
      <c r="I100" s="30" t="str">
        <v>Brazil</v>
      </c>
      <c r="J100" s="30" t="str">
        <v>Italy</v>
      </c>
      <c r="K100" s="30" t="str">
        <v>Italy</v>
      </c>
      <c r="L100" s="30" t="str">
        <v>Franco Baresi</v>
      </c>
      <c r="M100" s="30" t="str">
        <v>Taffarel</v>
      </c>
      <c r="N100" s="30">
        <v>1</v>
      </c>
      <c r="O100" s="30">
        <v>1</v>
      </c>
      <c r="P100" s="30" t="str">
        <v>'0-0</v>
      </c>
      <c r="Q100" s="30" t="str">
        <v>No</v>
      </c>
      <c r="R100" s="30" t="str">
        <v>No</v>
      </c>
      <c r="S100" s="30" t="str">
        <v>Missed</v>
      </c>
      <c r="T100" s="30" t="str">
        <f t="shared" si="3"/>
        <v>0-0</v>
      </c>
      <c r="U100" s="30">
        <f t="shared" si="4"/>
        <v>0</v>
      </c>
      <c r="V100" s="30">
        <f t="shared" si="5"/>
        <v>0</v>
      </c>
      <c r="X100" s="12">
        <v>98</v>
      </c>
      <c r="Y100" s="12" t="str">
        <v>Son Heung-min</v>
      </c>
      <c r="Z100" s="12">
        <v>33</v>
      </c>
      <c r="AA100" s="12" t="str">
        <v>South Korea</v>
      </c>
      <c r="AB100" s="12" t="str">
        <v>LW</v>
      </c>
      <c r="AC100" s="12" t="str">
        <v>Los Angeles FC</v>
      </c>
      <c r="AD100" s="12">
        <v>7</v>
      </c>
      <c r="AF100" s="42">
        <v>1954</v>
      </c>
      <c r="AG100" s="42" t="str">
        <v xml:space="preserve">30 Jun 1954 - 18:00 </v>
      </c>
      <c r="AH100" s="42" t="str">
        <v>SEMI_FINALS</v>
      </c>
      <c r="AI100" s="42" t="str">
        <v>St. Jakob</v>
      </c>
      <c r="AJ100" s="42" t="str">
        <v xml:space="preserve">Basel </v>
      </c>
      <c r="AK100" s="42" t="str">
        <v>FR Germany</v>
      </c>
      <c r="AL100" s="42">
        <v>6</v>
      </c>
      <c r="AM100" s="42">
        <v>1</v>
      </c>
      <c r="AN100" s="42" t="str">
        <v>Austria</v>
      </c>
      <c r="AO100" s="42" t="str">
        <v>-</v>
      </c>
    </row>
    <row r="101" spans="7:41">
      <c r="G101" s="30">
        <v>1994</v>
      </c>
      <c r="H101" s="30" t="str">
        <v>FINAL</v>
      </c>
      <c r="I101" s="30" t="str">
        <v>Brazil</v>
      </c>
      <c r="J101" s="30" t="str">
        <v>Italy</v>
      </c>
      <c r="K101" s="30" t="str">
        <v>Brazil</v>
      </c>
      <c r="L101" s="30" t="str">
        <v>Márcio Santos</v>
      </c>
      <c r="M101" s="30" t="str">
        <v>Gianluca Pagliuca</v>
      </c>
      <c r="N101" s="30">
        <v>2</v>
      </c>
      <c r="O101" s="30">
        <v>1</v>
      </c>
      <c r="P101" s="30" t="str">
        <v>'0-0</v>
      </c>
      <c r="Q101" s="30" t="str">
        <v>No</v>
      </c>
      <c r="R101" s="30" t="str">
        <v>No</v>
      </c>
      <c r="S101" s="30" t="str">
        <v>Saved</v>
      </c>
      <c r="T101" s="30" t="str">
        <f t="shared" si="3"/>
        <v>0-0</v>
      </c>
      <c r="U101" s="30">
        <f t="shared" si="4"/>
        <v>0</v>
      </c>
      <c r="V101" s="30">
        <f t="shared" si="5"/>
        <v>0</v>
      </c>
      <c r="X101" s="12">
        <v>99</v>
      </c>
      <c r="Y101" s="12" t="str">
        <v>Hwang Hee-chan</v>
      </c>
      <c r="Z101" s="12">
        <v>30</v>
      </c>
      <c r="AA101" s="12" t="str">
        <v>South Korea</v>
      </c>
      <c r="AB101" s="12" t="str">
        <v>LW</v>
      </c>
      <c r="AC101" s="12" t="str">
        <v>Wolverhampton Wanderers</v>
      </c>
      <c r="AD101" s="12">
        <v>11</v>
      </c>
      <c r="AF101" s="42">
        <v>1954</v>
      </c>
      <c r="AG101" s="42" t="str">
        <v xml:space="preserve">30 Jun 1954 - 18:00 </v>
      </c>
      <c r="AH101" s="42" t="str">
        <v>SEMI_FINALS</v>
      </c>
      <c r="AI101" s="42" t="str">
        <v>La Pontaise</v>
      </c>
      <c r="AJ101" s="42" t="str">
        <v xml:space="preserve">Lausanne </v>
      </c>
      <c r="AK101" s="42" t="str">
        <v>Hungary</v>
      </c>
      <c r="AL101" s="42">
        <v>4</v>
      </c>
      <c r="AM101" s="42">
        <v>2</v>
      </c>
      <c r="AN101" s="42" t="str">
        <v>Uruguay</v>
      </c>
      <c r="AO101" s="42" t="str">
        <v>Hungary win after extra time</v>
      </c>
    </row>
    <row r="102" spans="7:41">
      <c r="G102" s="30">
        <v>1994</v>
      </c>
      <c r="H102" s="30" t="str">
        <v>FINAL</v>
      </c>
      <c r="I102" s="30" t="str">
        <v>Brazil</v>
      </c>
      <c r="J102" s="30" t="str">
        <v>Italy</v>
      </c>
      <c r="K102" s="30" t="str">
        <v>Italy</v>
      </c>
      <c r="L102" s="30" t="str">
        <v>Demetrio Albertini</v>
      </c>
      <c r="M102" s="30" t="str">
        <v>Taffarel</v>
      </c>
      <c r="N102" s="30">
        <v>3</v>
      </c>
      <c r="O102" s="30">
        <v>2</v>
      </c>
      <c r="P102" s="30" t="str">
        <v>'0-0</v>
      </c>
      <c r="Q102" s="30" t="str">
        <v>No</v>
      </c>
      <c r="R102" s="30" t="str">
        <v>No</v>
      </c>
      <c r="S102" s="30" t="str">
        <v>Goal</v>
      </c>
      <c r="T102" s="30" t="str">
        <f t="shared" si="3"/>
        <v>0-0</v>
      </c>
      <c r="U102" s="30">
        <f t="shared" si="4"/>
        <v>0</v>
      </c>
      <c r="V102" s="30">
        <f t="shared" si="5"/>
        <v>0</v>
      </c>
      <c r="X102" s="12">
        <v>100</v>
      </c>
      <c r="Y102" s="12" t="str">
        <v>Eom Ji-sung</v>
      </c>
      <c r="Z102" s="12">
        <v>24</v>
      </c>
      <c r="AA102" s="12" t="str">
        <v>South Korea</v>
      </c>
      <c r="AB102" s="12" t="str">
        <v>LW</v>
      </c>
      <c r="AC102" s="12" t="str">
        <v>Swansea City</v>
      </c>
      <c r="AD102" s="12">
        <v>25</v>
      </c>
      <c r="AF102" s="42">
        <v>1954</v>
      </c>
      <c r="AG102" s="42" t="str">
        <v xml:space="preserve">03 Jul 1954 - 17:00 </v>
      </c>
      <c r="AH102" s="42" t="str">
        <v>THIRD_PLACE</v>
      </c>
      <c r="AI102" s="42" t="str">
        <v>Hardturm</v>
      </c>
      <c r="AJ102" s="42" t="str">
        <v xml:space="preserve">Zurich </v>
      </c>
      <c r="AK102" s="42" t="str">
        <v>Austria</v>
      </c>
      <c r="AL102" s="42">
        <v>3</v>
      </c>
      <c r="AM102" s="42">
        <v>1</v>
      </c>
      <c r="AN102" s="42" t="str">
        <v>Uruguay</v>
      </c>
      <c r="AO102" s="42" t="str">
        <v>-</v>
      </c>
    </row>
    <row r="103" spans="7:41">
      <c r="G103" s="30">
        <v>1994</v>
      </c>
      <c r="H103" s="30" t="str">
        <v>FINAL</v>
      </c>
      <c r="I103" s="30" t="str">
        <v>Brazil</v>
      </c>
      <c r="J103" s="30" t="str">
        <v>Italy</v>
      </c>
      <c r="K103" s="30" t="str">
        <v>Brazil</v>
      </c>
      <c r="L103" s="30" t="str">
        <v>Romário</v>
      </c>
      <c r="M103" s="30" t="str">
        <v>Gianluca Pagliuca</v>
      </c>
      <c r="N103" s="30">
        <v>4</v>
      </c>
      <c r="O103" s="30">
        <v>2</v>
      </c>
      <c r="P103" s="30" t="str">
        <v>'0-1</v>
      </c>
      <c r="Q103" s="30" t="str">
        <v>No</v>
      </c>
      <c r="R103" s="30" t="str">
        <v>No</v>
      </c>
      <c r="S103" s="30" t="str">
        <v>Goal</v>
      </c>
      <c r="T103" s="30" t="str">
        <f t="shared" si="3"/>
        <v>0-1</v>
      </c>
      <c r="U103" s="30">
        <f t="shared" si="4"/>
        <v>0</v>
      </c>
      <c r="V103" s="30">
        <f t="shared" si="5"/>
        <v>1</v>
      </c>
      <c r="X103" s="12">
        <v>101</v>
      </c>
      <c r="Y103" s="12" t="str">
        <v>Lee Kang-in</v>
      </c>
      <c r="Z103" s="12">
        <v>25</v>
      </c>
      <c r="AA103" s="12" t="str">
        <v>South Korea</v>
      </c>
      <c r="AB103" s="12" t="str">
        <v>RW</v>
      </c>
      <c r="AC103" s="12" t="str">
        <v>Paris Saint-Germain</v>
      </c>
      <c r="AD103" s="12">
        <v>19</v>
      </c>
      <c r="AF103" s="42">
        <v>1954</v>
      </c>
      <c r="AG103" s="42" t="str">
        <v xml:space="preserve">04 Jul 1954 - 17:00 </v>
      </c>
      <c r="AH103" s="42" t="str">
        <v>FINAL</v>
      </c>
      <c r="AI103" s="42" t="str">
        <v>Wankdorf Stadium</v>
      </c>
      <c r="AJ103" s="42" t="str">
        <v xml:space="preserve">Berne </v>
      </c>
      <c r="AK103" s="42" t="str">
        <v>FR Germany</v>
      </c>
      <c r="AL103" s="42">
        <v>3</v>
      </c>
      <c r="AM103" s="42">
        <v>2</v>
      </c>
      <c r="AN103" s="42" t="str">
        <v>Hungary</v>
      </c>
      <c r="AO103" s="42" t="str">
        <v>-</v>
      </c>
    </row>
    <row r="104" spans="7:41">
      <c r="G104" s="30">
        <v>1994</v>
      </c>
      <c r="H104" s="30" t="str">
        <v>FINAL</v>
      </c>
      <c r="I104" s="30" t="str">
        <v>Brazil</v>
      </c>
      <c r="J104" s="30" t="str">
        <v>Italy</v>
      </c>
      <c r="K104" s="30" t="str">
        <v>Italy</v>
      </c>
      <c r="L104" s="30" t="str">
        <v>Alberico Evani</v>
      </c>
      <c r="M104" s="30" t="str">
        <v>Taffarel</v>
      </c>
      <c r="N104" s="30">
        <v>5</v>
      </c>
      <c r="O104" s="30">
        <v>3</v>
      </c>
      <c r="P104" s="30" t="str">
        <v>'1-1</v>
      </c>
      <c r="Q104" s="30" t="str">
        <v>No</v>
      </c>
      <c r="R104" s="30" t="str">
        <v>No</v>
      </c>
      <c r="S104" s="30" t="str">
        <v>Goal</v>
      </c>
      <c r="T104" s="30" t="str">
        <f t="shared" si="3"/>
        <v>1-1</v>
      </c>
      <c r="U104" s="30">
        <f t="shared" si="4"/>
        <v>1</v>
      </c>
      <c r="V104" s="30">
        <f t="shared" si="5"/>
        <v>1</v>
      </c>
      <c r="X104" s="12">
        <v>102</v>
      </c>
      <c r="Y104" s="12" t="str">
        <v>Yang Hyun-jun</v>
      </c>
      <c r="Z104" s="12">
        <v>24</v>
      </c>
      <c r="AA104" s="12" t="str">
        <v>South Korea</v>
      </c>
      <c r="AB104" s="12" t="str">
        <v>RW</v>
      </c>
      <c r="AC104" s="12" t="str">
        <v>Celtic</v>
      </c>
      <c r="AD104" s="12">
        <v>20</v>
      </c>
      <c r="AF104" s="42">
        <v>1958</v>
      </c>
      <c r="AG104" s="42" t="str">
        <v xml:space="preserve">08 Jun 1958 - 14:00 </v>
      </c>
      <c r="AH104" s="42" t="str">
        <v>GROUP_STAGE</v>
      </c>
      <c r="AI104" s="42" t="str">
        <v>Rasunda Stadium</v>
      </c>
      <c r="AJ104" s="42" t="str">
        <v xml:space="preserve">Solna </v>
      </c>
      <c r="AK104" s="42" t="str">
        <v>Sweden</v>
      </c>
      <c r="AL104" s="42">
        <v>3</v>
      </c>
      <c r="AM104" s="42">
        <v>0</v>
      </c>
      <c r="AN104" s="42" t="str">
        <v>Mexico</v>
      </c>
      <c r="AO104" s="42" t="str">
        <v>-</v>
      </c>
    </row>
    <row r="105" spans="7:41">
      <c r="G105" s="30">
        <v>1994</v>
      </c>
      <c r="H105" s="30" t="str">
        <v>FINAL</v>
      </c>
      <c r="I105" s="30" t="str">
        <v>Brazil</v>
      </c>
      <c r="J105" s="30" t="str">
        <v>Italy</v>
      </c>
      <c r="K105" s="30" t="str">
        <v>Brazil</v>
      </c>
      <c r="L105" s="30" t="str">
        <v>Branco</v>
      </c>
      <c r="M105" s="30" t="str">
        <v>Gianluca Pagliuca</v>
      </c>
      <c r="N105" s="30">
        <v>6</v>
      </c>
      <c r="O105" s="30">
        <v>3</v>
      </c>
      <c r="P105" s="30" t="str">
        <v>'2-1</v>
      </c>
      <c r="Q105" s="30" t="str">
        <v>No</v>
      </c>
      <c r="R105" s="30" t="str">
        <v>No</v>
      </c>
      <c r="S105" s="30" t="str">
        <v>Goal</v>
      </c>
      <c r="T105" s="30" t="str">
        <f t="shared" si="3"/>
        <v>2-1</v>
      </c>
      <c r="U105" s="30">
        <f t="shared" si="4"/>
        <v>2</v>
      </c>
      <c r="V105" s="30">
        <f t="shared" si="5"/>
        <v>1</v>
      </c>
      <c r="X105" s="12">
        <v>103</v>
      </c>
      <c r="Y105" s="12" t="str">
        <v>Cho Gue-sung</v>
      </c>
      <c r="Z105" s="12">
        <v>28</v>
      </c>
      <c r="AA105" s="12" t="str">
        <v>South Korea</v>
      </c>
      <c r="AB105" s="12" t="str">
        <v>ST</v>
      </c>
      <c r="AC105" s="12" t="str">
        <v>Midtjylland</v>
      </c>
      <c r="AD105" s="12">
        <v>9</v>
      </c>
      <c r="AF105" s="42">
        <v>1958</v>
      </c>
      <c r="AG105" s="42" t="str">
        <v xml:space="preserve">08 Jun 1958 - 19:00 </v>
      </c>
      <c r="AH105" s="42" t="str">
        <v>GROUP_STAGE</v>
      </c>
      <c r="AI105" s="42" t="str">
        <v>Nya Ullevi</v>
      </c>
      <c r="AJ105" s="42" t="str">
        <v xml:space="preserve">Gothenburg </v>
      </c>
      <c r="AK105" s="42" t="str">
        <v>Soviet Union</v>
      </c>
      <c r="AL105" s="42">
        <v>2</v>
      </c>
      <c r="AM105" s="42">
        <v>2</v>
      </c>
      <c r="AN105" s="42" t="str">
        <v>England</v>
      </c>
      <c r="AO105" s="42" t="str">
        <v>-</v>
      </c>
    </row>
    <row r="106" spans="7:41">
      <c r="G106" s="30">
        <v>1994</v>
      </c>
      <c r="H106" s="30" t="str">
        <v>FINAL</v>
      </c>
      <c r="I106" s="30" t="str">
        <v>Brazil</v>
      </c>
      <c r="J106" s="30" t="str">
        <v>Italy</v>
      </c>
      <c r="K106" s="30" t="str">
        <v>Italy</v>
      </c>
      <c r="L106" s="30" t="str">
        <v>Daniele Massaro</v>
      </c>
      <c r="M106" s="30" t="str">
        <v>Taffarel</v>
      </c>
      <c r="N106" s="30">
        <v>7</v>
      </c>
      <c r="O106" s="30">
        <v>4</v>
      </c>
      <c r="P106" s="30" t="str">
        <v>'2-2</v>
      </c>
      <c r="Q106" s="30" t="str">
        <v>No</v>
      </c>
      <c r="R106" s="30" t="str">
        <v>No</v>
      </c>
      <c r="S106" s="30" t="str">
        <v>Saved</v>
      </c>
      <c r="T106" s="30" t="str">
        <f t="shared" si="3"/>
        <v>2-2</v>
      </c>
      <c r="U106" s="30">
        <f t="shared" si="4"/>
        <v>2</v>
      </c>
      <c r="V106" s="30">
        <f t="shared" si="5"/>
        <v>2</v>
      </c>
      <c r="X106" s="12">
        <v>104</v>
      </c>
      <c r="Y106" s="12" t="str">
        <v>Oh Hyeon-gyu</v>
      </c>
      <c r="Z106" s="12">
        <v>25</v>
      </c>
      <c r="AA106" s="12" t="str">
        <v>South Korea</v>
      </c>
      <c r="AB106" s="12" t="str">
        <v>ST</v>
      </c>
      <c r="AC106" s="12" t="str">
        <v>Beşiktaş</v>
      </c>
      <c r="AD106" s="12">
        <v>18</v>
      </c>
      <c r="AF106" s="42">
        <v>1958</v>
      </c>
      <c r="AG106" s="42" t="str">
        <v xml:space="preserve">08 Jun 1958 - 19:00 </v>
      </c>
      <c r="AH106" s="42" t="str">
        <v>GROUP_STAGE</v>
      </c>
      <c r="AI106" s="42" t="str">
        <v>Malmo Stadion</v>
      </c>
      <c r="AJ106" s="42" t="str">
        <v>Malmö</v>
      </c>
      <c r="AK106" s="42" t="str">
        <v>Argentina</v>
      </c>
      <c r="AL106" s="42">
        <v>1</v>
      </c>
      <c r="AM106" s="42">
        <v>3</v>
      </c>
      <c r="AN106" s="42" t="str">
        <v>FR Germany</v>
      </c>
      <c r="AO106" s="42" t="str">
        <v>-</v>
      </c>
    </row>
    <row r="107" spans="7:41">
      <c r="G107" s="30">
        <v>1994</v>
      </c>
      <c r="H107" s="30" t="str">
        <v>FINAL</v>
      </c>
      <c r="I107" s="30" t="str">
        <v>Brazil</v>
      </c>
      <c r="J107" s="30" t="str">
        <v>Italy</v>
      </c>
      <c r="K107" s="30" t="str">
        <v>Brazil</v>
      </c>
      <c r="L107" s="30" t="str">
        <v>Dunga</v>
      </c>
      <c r="M107" s="30" t="str">
        <v>Gianluca Pagliuca</v>
      </c>
      <c r="N107" s="30">
        <v>8</v>
      </c>
      <c r="O107" s="30">
        <v>4</v>
      </c>
      <c r="P107" s="30" t="str">
        <v>'2-2</v>
      </c>
      <c r="Q107" s="30" t="str">
        <v>No</v>
      </c>
      <c r="R107" s="30" t="str">
        <v>No</v>
      </c>
      <c r="S107" s="30" t="str">
        <v>Goal</v>
      </c>
      <c r="T107" s="30" t="str">
        <f t="shared" si="3"/>
        <v>2-2</v>
      </c>
      <c r="U107" s="30">
        <f t="shared" si="4"/>
        <v>2</v>
      </c>
      <c r="V107" s="30">
        <f t="shared" si="5"/>
        <v>2</v>
      </c>
      <c r="X107" s="12">
        <v>105</v>
      </c>
      <c r="Y107" s="12" t="str">
        <v>Nikola Vasilj</v>
      </c>
      <c r="Z107" s="12">
        <v>30</v>
      </c>
      <c r="AA107" s="12" t="str">
        <v>Bosnia and Herzegovina</v>
      </c>
      <c r="AB107" s="12" t="str">
        <v>GK</v>
      </c>
      <c r="AC107" s="12" t="str">
        <v>FC St. Pauli</v>
      </c>
      <c r="AD107" s="12">
        <v>1</v>
      </c>
      <c r="AF107" s="42">
        <v>1958</v>
      </c>
      <c r="AG107" s="42" t="str">
        <v xml:space="preserve">08 Jun 1958 - 19:00 </v>
      </c>
      <c r="AH107" s="42" t="str">
        <v>GROUP_STAGE</v>
      </c>
      <c r="AI107" s="42" t="str">
        <v>Jarnvallen</v>
      </c>
      <c r="AJ107" s="42" t="str">
        <v xml:space="preserve">Sandviken </v>
      </c>
      <c r="AK107" s="42" t="str">
        <v>Hungary</v>
      </c>
      <c r="AL107" s="42">
        <v>1</v>
      </c>
      <c r="AM107" s="42">
        <v>1</v>
      </c>
      <c r="AN107" s="42" t="str">
        <v>Wales</v>
      </c>
      <c r="AO107" s="42" t="str">
        <v>-</v>
      </c>
    </row>
    <row r="108" spans="7:41">
      <c r="G108" s="30">
        <v>1994</v>
      </c>
      <c r="H108" s="30" t="str">
        <v>FINAL</v>
      </c>
      <c r="I108" s="30" t="str">
        <v>Brazil</v>
      </c>
      <c r="J108" s="30" t="str">
        <v>Italy</v>
      </c>
      <c r="K108" s="30" t="str">
        <v>Italy</v>
      </c>
      <c r="L108" s="30" t="str">
        <v>Roberto Baggio</v>
      </c>
      <c r="M108" s="30" t="str">
        <v>Taffarel</v>
      </c>
      <c r="N108" s="30">
        <v>9</v>
      </c>
      <c r="O108" s="30">
        <v>5</v>
      </c>
      <c r="P108" s="30" t="str">
        <v>'3-2</v>
      </c>
      <c r="Q108" s="30" t="str">
        <v>Yes</v>
      </c>
      <c r="R108" s="30" t="str">
        <v>Yes</v>
      </c>
      <c r="S108" s="30" t="str">
        <v>Missed</v>
      </c>
      <c r="T108" s="30" t="str">
        <f t="shared" si="3"/>
        <v>3-2</v>
      </c>
      <c r="U108" s="30">
        <f t="shared" si="4"/>
        <v>3</v>
      </c>
      <c r="V108" s="30">
        <f t="shared" si="5"/>
        <v>2</v>
      </c>
      <c r="X108" s="12">
        <v>106</v>
      </c>
      <c r="Y108" s="12" t="str">
        <v>Mladen Jurkas</v>
      </c>
      <c r="Z108" s="12">
        <v>18</v>
      </c>
      <c r="AA108" s="12" t="str">
        <v>Bosnia and Herzegovina</v>
      </c>
      <c r="AB108" s="12" t="str">
        <v>GK</v>
      </c>
      <c r="AC108" s="12" t="str">
        <v>Borac Banja Luka</v>
      </c>
      <c r="AD108" s="12">
        <v>12</v>
      </c>
      <c r="AF108" s="42">
        <v>1958</v>
      </c>
      <c r="AG108" s="42" t="str">
        <v xml:space="preserve">08 Jun 1958 - 19:00 </v>
      </c>
      <c r="AH108" s="42" t="str">
        <v>GROUP_STAGE</v>
      </c>
      <c r="AI108" s="42" t="str">
        <v>Idrottsparken</v>
      </c>
      <c r="AJ108" s="42" t="str">
        <v>Norrköping</v>
      </c>
      <c r="AK108" s="42" t="str">
        <v>France</v>
      </c>
      <c r="AL108" s="42">
        <v>7</v>
      </c>
      <c r="AM108" s="42">
        <v>3</v>
      </c>
      <c r="AN108" s="42" t="str">
        <v>Paraguay</v>
      </c>
      <c r="AO108" s="42" t="str">
        <v>-</v>
      </c>
    </row>
    <row r="109" spans="7:41">
      <c r="G109" s="30">
        <v>1998</v>
      </c>
      <c r="H109" s="30" t="str">
        <v>ROUND_OF_16</v>
      </c>
      <c r="I109" s="30" t="str">
        <v>Argentina</v>
      </c>
      <c r="J109" s="30" t="str">
        <v>England</v>
      </c>
      <c r="K109" s="30" t="str">
        <v>England</v>
      </c>
      <c r="L109" s="30" t="str">
        <v>Alan Shearer</v>
      </c>
      <c r="M109" s="30" t="str">
        <v>Carlos Roa</v>
      </c>
      <c r="N109" s="30">
        <v>1</v>
      </c>
      <c r="O109" s="30">
        <v>1</v>
      </c>
      <c r="P109" s="30" t="str">
        <v>'0-0</v>
      </c>
      <c r="Q109" s="30" t="str">
        <v>No</v>
      </c>
      <c r="R109" s="30" t="str">
        <v>No</v>
      </c>
      <c r="S109" s="30" t="str">
        <v>Goal</v>
      </c>
      <c r="T109" s="30" t="str">
        <f t="shared" si="3"/>
        <v>0-0</v>
      </c>
      <c r="U109" s="30">
        <f t="shared" si="4"/>
        <v>0</v>
      </c>
      <c r="V109" s="30">
        <f t="shared" si="5"/>
        <v>0</v>
      </c>
      <c r="X109" s="12">
        <v>107</v>
      </c>
      <c r="Y109" s="12" t="str">
        <v>Martin Zlomislić</v>
      </c>
      <c r="Z109" s="12">
        <v>27</v>
      </c>
      <c r="AA109" s="12" t="str">
        <v>Bosnia and Herzegovina</v>
      </c>
      <c r="AB109" s="12" t="str">
        <v>GK</v>
      </c>
      <c r="AC109" s="12" t="str">
        <v>Rijeka</v>
      </c>
      <c r="AD109" s="12">
        <v>22</v>
      </c>
      <c r="AF109" s="42">
        <v>1958</v>
      </c>
      <c r="AG109" s="42" t="str">
        <v xml:space="preserve">08 Jun 1958 - 19:00 </v>
      </c>
      <c r="AH109" s="42" t="str">
        <v>GROUP_STAGE</v>
      </c>
      <c r="AI109" s="42" t="str">
        <v>Arosvallen</v>
      </c>
      <c r="AJ109" s="42" t="str">
        <v xml:space="preserve">Vasteras </v>
      </c>
      <c r="AK109" s="42" t="str">
        <v>Yugoslavia</v>
      </c>
      <c r="AL109" s="42">
        <v>1</v>
      </c>
      <c r="AM109" s="42">
        <v>1</v>
      </c>
      <c r="AN109" s="42" t="str">
        <v>Scotland</v>
      </c>
      <c r="AO109" s="42" t="str">
        <v>-</v>
      </c>
    </row>
    <row r="110" spans="7:41">
      <c r="G110" s="30">
        <v>1998</v>
      </c>
      <c r="H110" s="30" t="str">
        <v>ROUND_OF_16</v>
      </c>
      <c r="I110" s="30" t="str">
        <v>Argentina</v>
      </c>
      <c r="J110" s="30" t="str">
        <v>England</v>
      </c>
      <c r="K110" s="30" t="str">
        <v>Argentina</v>
      </c>
      <c r="L110" s="30" t="str">
        <v>Sergio Berti</v>
      </c>
      <c r="M110" s="30" t="str">
        <v>Carlos Roa</v>
      </c>
      <c r="N110" s="30">
        <v>2</v>
      </c>
      <c r="O110" s="30">
        <v>1</v>
      </c>
      <c r="P110" s="30" t="str">
        <v>'0-1</v>
      </c>
      <c r="Q110" s="30" t="str">
        <v>No</v>
      </c>
      <c r="R110" s="30" t="str">
        <v>No</v>
      </c>
      <c r="S110" s="30" t="str">
        <v>Goal</v>
      </c>
      <c r="T110" s="30" t="str">
        <f t="shared" si="3"/>
        <v>0-1</v>
      </c>
      <c r="U110" s="30">
        <f t="shared" si="4"/>
        <v>0</v>
      </c>
      <c r="V110" s="30">
        <f t="shared" si="5"/>
        <v>1</v>
      </c>
      <c r="X110" s="12">
        <v>108</v>
      </c>
      <c r="Y110" s="12" t="str">
        <v>Nihad Mujakić</v>
      </c>
      <c r="Z110" s="12">
        <v>28</v>
      </c>
      <c r="AA110" s="12" t="str">
        <v>Bosnia and Herzegovina</v>
      </c>
      <c r="AB110" s="12" t="str">
        <v>CB</v>
      </c>
      <c r="AC110" s="12" t="str">
        <v>Gaziantep</v>
      </c>
      <c r="AD110" s="12">
        <v>2</v>
      </c>
      <c r="AF110" s="42">
        <v>1958</v>
      </c>
      <c r="AG110" s="42" t="str">
        <v xml:space="preserve">08 Jun 1958 - 19:00 </v>
      </c>
      <c r="AH110" s="42" t="str">
        <v>GROUP_STAGE</v>
      </c>
      <c r="AI110" s="42" t="str">
        <v>Rimnersvallen</v>
      </c>
      <c r="AJ110" s="42" t="str">
        <v xml:space="preserve">Udevalla </v>
      </c>
      <c r="AK110" s="42" t="str">
        <v>Brazil</v>
      </c>
      <c r="AL110" s="42">
        <v>3</v>
      </c>
      <c r="AM110" s="42">
        <v>0</v>
      </c>
      <c r="AN110" s="42" t="str">
        <v>Austria</v>
      </c>
      <c r="AO110" s="42" t="str">
        <v>-</v>
      </c>
    </row>
    <row r="111" spans="7:41">
      <c r="G111" s="30">
        <v>1998</v>
      </c>
      <c r="H111" s="30" t="str">
        <v>ROUND_OF_16</v>
      </c>
      <c r="I111" s="30" t="str">
        <v>Argentina</v>
      </c>
      <c r="J111" s="30" t="str">
        <v>England</v>
      </c>
      <c r="K111" s="30" t="str">
        <v>England</v>
      </c>
      <c r="L111" s="30" t="str">
        <v>Paul Ince</v>
      </c>
      <c r="M111" s="30" t="str">
        <v>Carlos Roa</v>
      </c>
      <c r="N111" s="30">
        <v>3</v>
      </c>
      <c r="O111" s="30">
        <v>2</v>
      </c>
      <c r="P111" s="30" t="str">
        <v>'1-1</v>
      </c>
      <c r="Q111" s="30" t="str">
        <v>No</v>
      </c>
      <c r="R111" s="30" t="str">
        <v>No</v>
      </c>
      <c r="S111" s="30" t="str">
        <v>Saved</v>
      </c>
      <c r="T111" s="30" t="str">
        <f t="shared" si="3"/>
        <v>1-1</v>
      </c>
      <c r="U111" s="30">
        <f t="shared" si="4"/>
        <v>1</v>
      </c>
      <c r="V111" s="30">
        <f t="shared" si="5"/>
        <v>1</v>
      </c>
      <c r="X111" s="12">
        <v>109</v>
      </c>
      <c r="Y111" s="12" t="str">
        <v>Dennis Hadžikadunić</v>
      </c>
      <c r="Z111" s="12">
        <v>27</v>
      </c>
      <c r="AA111" s="12" t="str">
        <v>Bosnia and Herzegovina</v>
      </c>
      <c r="AB111" s="12" t="str">
        <v>CB</v>
      </c>
      <c r="AC111" s="12" t="str">
        <v>Sampdoria</v>
      </c>
      <c r="AD111" s="12">
        <v>3</v>
      </c>
      <c r="AF111" s="42">
        <v>1958</v>
      </c>
      <c r="AG111" s="42" t="str">
        <v xml:space="preserve">08 Jun 1958 - 19:00 </v>
      </c>
      <c r="AH111" s="42" t="str">
        <v>GROUP_STAGE</v>
      </c>
      <c r="AI111" s="42" t="str">
        <v>Orjans Vall</v>
      </c>
      <c r="AJ111" s="42" t="str">
        <v xml:space="preserve">Halmstad </v>
      </c>
      <c r="AK111" s="42" t="str">
        <v>Northern Ireland</v>
      </c>
      <c r="AL111" s="42">
        <v>1</v>
      </c>
      <c r="AM111" s="42">
        <v>0</v>
      </c>
      <c r="AN111" s="42" t="str">
        <v>Czechoslovakia</v>
      </c>
      <c r="AO111" s="42" t="str">
        <v>-</v>
      </c>
    </row>
    <row r="112" spans="7:41">
      <c r="G112" s="30">
        <v>1998</v>
      </c>
      <c r="H112" s="30" t="str">
        <v>ROUND_OF_16</v>
      </c>
      <c r="I112" s="30" t="str">
        <v>Argentina</v>
      </c>
      <c r="J112" s="30" t="str">
        <v>England</v>
      </c>
      <c r="K112" s="30" t="str">
        <v>Argentina</v>
      </c>
      <c r="L112" s="30" t="str">
        <v>Hernán Crespo</v>
      </c>
      <c r="M112" s="30" t="str">
        <v>David Seaman</v>
      </c>
      <c r="N112" s="30">
        <v>4</v>
      </c>
      <c r="O112" s="30">
        <v>2</v>
      </c>
      <c r="P112" s="30" t="str">
        <v>'1-1</v>
      </c>
      <c r="Q112" s="30" t="str">
        <v>No</v>
      </c>
      <c r="R112" s="30" t="str">
        <v>No</v>
      </c>
      <c r="S112" s="30" t="str">
        <v>Saved</v>
      </c>
      <c r="T112" s="30" t="str">
        <f t="shared" si="3"/>
        <v>1-1</v>
      </c>
      <c r="U112" s="30">
        <f t="shared" si="4"/>
        <v>1</v>
      </c>
      <c r="V112" s="30">
        <f t="shared" si="5"/>
        <v>1</v>
      </c>
      <c r="X112" s="12">
        <v>110</v>
      </c>
      <c r="Y112" s="12" t="str">
        <v>Tarik Muharemović</v>
      </c>
      <c r="Z112" s="12">
        <v>23</v>
      </c>
      <c r="AA112" s="12" t="str">
        <v>Bosnia and Herzegovina</v>
      </c>
      <c r="AB112" s="12" t="str">
        <v>CB</v>
      </c>
      <c r="AC112" s="12" t="str">
        <v>Sassuolo</v>
      </c>
      <c r="AD112" s="12">
        <v>4</v>
      </c>
      <c r="AF112" s="42">
        <v>1958</v>
      </c>
      <c r="AG112" s="42" t="str">
        <v xml:space="preserve">11 Jun 1958 - 19:00 </v>
      </c>
      <c r="AH112" s="42" t="str">
        <v>GROUP_STAGE</v>
      </c>
      <c r="AI112" s="42" t="str">
        <v>Nya Ullevi</v>
      </c>
      <c r="AJ112" s="42" t="str">
        <v xml:space="preserve">Gothenburg </v>
      </c>
      <c r="AK112" s="42" t="str">
        <v>Brazil</v>
      </c>
      <c r="AL112" s="42">
        <v>0</v>
      </c>
      <c r="AM112" s="42">
        <v>0</v>
      </c>
      <c r="AN112" s="42" t="str">
        <v>England</v>
      </c>
      <c r="AO112" s="42" t="str">
        <v>-</v>
      </c>
    </row>
    <row r="113" spans="7:41">
      <c r="G113" s="30">
        <v>1998</v>
      </c>
      <c r="H113" s="30" t="str">
        <v>ROUND_OF_16</v>
      </c>
      <c r="I113" s="30" t="str">
        <v>Argentina</v>
      </c>
      <c r="J113" s="30" t="str">
        <v>England</v>
      </c>
      <c r="K113" s="30" t="str">
        <v>England</v>
      </c>
      <c r="L113" s="30" t="str">
        <v>Paul Merson</v>
      </c>
      <c r="M113" s="30" t="str">
        <v>Carlos Roa</v>
      </c>
      <c r="N113" s="30">
        <v>5</v>
      </c>
      <c r="O113" s="30">
        <v>3</v>
      </c>
      <c r="P113" s="30" t="str">
        <v>'1-1</v>
      </c>
      <c r="Q113" s="30" t="str">
        <v>No</v>
      </c>
      <c r="R113" s="30" t="str">
        <v>No</v>
      </c>
      <c r="S113" s="30" t="str">
        <v>Goal</v>
      </c>
      <c r="T113" s="30" t="str">
        <f t="shared" si="3"/>
        <v>1-1</v>
      </c>
      <c r="U113" s="30">
        <f t="shared" si="4"/>
        <v>1</v>
      </c>
      <c r="V113" s="30">
        <f t="shared" si="5"/>
        <v>1</v>
      </c>
      <c r="X113" s="12">
        <v>111</v>
      </c>
      <c r="Y113" s="12" t="str">
        <v>Nikola Katić</v>
      </c>
      <c r="Z113" s="12">
        <v>29</v>
      </c>
      <c r="AA113" s="12" t="str">
        <v>Bosnia and Herzegovina</v>
      </c>
      <c r="AB113" s="12" t="str">
        <v>CB</v>
      </c>
      <c r="AC113" s="12" t="str">
        <v>Schalke 04</v>
      </c>
      <c r="AD113" s="12">
        <v>18</v>
      </c>
      <c r="AF113" s="42">
        <v>1958</v>
      </c>
      <c r="AG113" s="42" t="str">
        <v xml:space="preserve">11 Jun 1958 - 19:00 </v>
      </c>
      <c r="AH113" s="42" t="str">
        <v>GROUP_STAGE</v>
      </c>
      <c r="AI113" s="42" t="str">
        <v>Rasunda Stadium</v>
      </c>
      <c r="AJ113" s="42" t="str">
        <v xml:space="preserve">Solna </v>
      </c>
      <c r="AK113" s="42" t="str">
        <v>Mexico</v>
      </c>
      <c r="AL113" s="42">
        <v>1</v>
      </c>
      <c r="AM113" s="42">
        <v>1</v>
      </c>
      <c r="AN113" s="42" t="str">
        <v>Wales</v>
      </c>
      <c r="AO113" s="42" t="str">
        <v>-</v>
      </c>
    </row>
    <row r="114" spans="7:41">
      <c r="G114" s="30">
        <v>1998</v>
      </c>
      <c r="H114" s="30" t="str">
        <v>ROUND_OF_16</v>
      </c>
      <c r="I114" s="30" t="str">
        <v>Argentina</v>
      </c>
      <c r="J114" s="30" t="str">
        <v>England</v>
      </c>
      <c r="K114" s="30" t="str">
        <v>Argentina</v>
      </c>
      <c r="L114" s="30" t="str">
        <v>Juan Sebastián Verón</v>
      </c>
      <c r="M114" s="30" t="str">
        <v>David Seaman</v>
      </c>
      <c r="N114" s="30">
        <v>6</v>
      </c>
      <c r="O114" s="30">
        <v>3</v>
      </c>
      <c r="P114" s="30" t="str">
        <v>'2-1</v>
      </c>
      <c r="Q114" s="30" t="str">
        <v>No</v>
      </c>
      <c r="R114" s="30" t="str">
        <v>No</v>
      </c>
      <c r="S114" s="30" t="str">
        <v>Goal</v>
      </c>
      <c r="T114" s="30" t="str">
        <f t="shared" si="3"/>
        <v>2-1</v>
      </c>
      <c r="U114" s="30">
        <f t="shared" si="4"/>
        <v>2</v>
      </c>
      <c r="V114" s="30">
        <f t="shared" si="5"/>
        <v>1</v>
      </c>
      <c r="X114" s="12">
        <v>112</v>
      </c>
      <c r="Y114" s="12" t="str">
        <v>Stjepan Radeljić</v>
      </c>
      <c r="Z114" s="12">
        <v>28</v>
      </c>
      <c r="AA114" s="12" t="str">
        <v>Bosnia and Herzegovina</v>
      </c>
      <c r="AB114" s="12" t="str">
        <v>CB</v>
      </c>
      <c r="AC114" s="12" t="str">
        <v>Rijeka</v>
      </c>
      <c r="AD114" s="12">
        <v>21</v>
      </c>
      <c r="AF114" s="42">
        <v>1958</v>
      </c>
      <c r="AG114" s="42" t="str">
        <v xml:space="preserve">11 Jun 1958 - 19:00 </v>
      </c>
      <c r="AH114" s="42" t="str">
        <v>GROUP_STAGE</v>
      </c>
      <c r="AI114" s="42" t="str">
        <v>Idrottsparken</v>
      </c>
      <c r="AJ114" s="42" t="str">
        <v>Norrköping</v>
      </c>
      <c r="AK114" s="42" t="str">
        <v>Paraguay</v>
      </c>
      <c r="AL114" s="42">
        <v>3</v>
      </c>
      <c r="AM114" s="42">
        <v>2</v>
      </c>
      <c r="AN114" s="42" t="str">
        <v>Scotland</v>
      </c>
      <c r="AO114" s="42" t="str">
        <v>-</v>
      </c>
    </row>
    <row r="115" spans="7:41">
      <c r="G115" s="30">
        <v>1998</v>
      </c>
      <c r="H115" s="30" t="str">
        <v>ROUND_OF_16</v>
      </c>
      <c r="I115" s="30" t="str">
        <v>Argentina</v>
      </c>
      <c r="J115" s="30" t="str">
        <v>England</v>
      </c>
      <c r="K115" s="30" t="str">
        <v>England</v>
      </c>
      <c r="L115" s="30" t="str">
        <v>Michael Owen</v>
      </c>
      <c r="M115" s="30" t="str">
        <v>Carlos Roa</v>
      </c>
      <c r="N115" s="30">
        <v>7</v>
      </c>
      <c r="O115" s="30">
        <v>4</v>
      </c>
      <c r="P115" s="30" t="str">
        <v>'2-2</v>
      </c>
      <c r="Q115" s="30" t="str">
        <v>No</v>
      </c>
      <c r="R115" s="30" t="str">
        <v>No</v>
      </c>
      <c r="S115" s="30" t="str">
        <v>Goal</v>
      </c>
      <c r="T115" s="30" t="str">
        <f t="shared" si="3"/>
        <v>2-2</v>
      </c>
      <c r="U115" s="30">
        <f t="shared" si="4"/>
        <v>2</v>
      </c>
      <c r="V115" s="30">
        <f t="shared" si="5"/>
        <v>2</v>
      </c>
      <c r="X115" s="12">
        <v>113</v>
      </c>
      <c r="Y115" s="12" t="str">
        <v>Arjan Malić</v>
      </c>
      <c r="Z115" s="12">
        <v>20</v>
      </c>
      <c r="AA115" s="12" t="str">
        <v>Bosnia and Herzegovina</v>
      </c>
      <c r="AB115" s="12" t="str">
        <v>CB</v>
      </c>
      <c r="AC115" s="12" t="str">
        <v>Sturm Graz</v>
      </c>
      <c r="AD115" s="12">
        <v>24</v>
      </c>
      <c r="AF115" s="42">
        <v>1958</v>
      </c>
      <c r="AG115" s="42" t="str">
        <v xml:space="preserve">11 Jun 1958 - 19:00 </v>
      </c>
      <c r="AH115" s="42" t="str">
        <v>GROUP_STAGE</v>
      </c>
      <c r="AI115" s="42" t="str">
        <v>Arosvallen</v>
      </c>
      <c r="AJ115" s="42" t="str">
        <v xml:space="preserve">Vasteras </v>
      </c>
      <c r="AK115" s="42" t="str">
        <v>Yugoslavia</v>
      </c>
      <c r="AL115" s="42">
        <v>3</v>
      </c>
      <c r="AM115" s="42">
        <v>2</v>
      </c>
      <c r="AN115" s="42" t="str">
        <v>France</v>
      </c>
      <c r="AO115" s="42" t="str">
        <v>-</v>
      </c>
    </row>
    <row r="116" spans="7:41">
      <c r="G116" s="30">
        <v>1998</v>
      </c>
      <c r="H116" s="30" t="str">
        <v>ROUND_OF_16</v>
      </c>
      <c r="I116" s="30" t="str">
        <v>Argentina</v>
      </c>
      <c r="J116" s="30" t="str">
        <v>England</v>
      </c>
      <c r="K116" s="30" t="str">
        <v>Argentina</v>
      </c>
      <c r="L116" s="30" t="str">
        <v>Marcelo Gallardo</v>
      </c>
      <c r="M116" s="30" t="str">
        <v>David Seaman</v>
      </c>
      <c r="N116" s="30">
        <v>8</v>
      </c>
      <c r="O116" s="30">
        <v>4</v>
      </c>
      <c r="P116" s="30" t="str">
        <v>'3-2</v>
      </c>
      <c r="Q116" s="30" t="str">
        <v>No</v>
      </c>
      <c r="R116" s="30" t="str">
        <v>No</v>
      </c>
      <c r="S116" s="30" t="str">
        <v>Goal</v>
      </c>
      <c r="T116" s="30" t="str">
        <f t="shared" si="3"/>
        <v>3-2</v>
      </c>
      <c r="U116" s="30">
        <f t="shared" si="4"/>
        <v>3</v>
      </c>
      <c r="V116" s="30">
        <f t="shared" si="5"/>
        <v>2</v>
      </c>
      <c r="X116" s="12">
        <v>114</v>
      </c>
      <c r="Y116" s="12" t="str">
        <v>Sead Kolašinac</v>
      </c>
      <c r="Z116" s="12">
        <v>32</v>
      </c>
      <c r="AA116" s="12" t="str">
        <v>Bosnia and Herzegovina</v>
      </c>
      <c r="AB116" s="12" t="str">
        <v>LB</v>
      </c>
      <c r="AC116" s="12" t="str">
        <v>Atalanta</v>
      </c>
      <c r="AD116" s="12">
        <v>5</v>
      </c>
      <c r="AF116" s="42">
        <v>1958</v>
      </c>
      <c r="AG116" s="42" t="str">
        <v xml:space="preserve">11 Jun 1958 - 19:00 </v>
      </c>
      <c r="AH116" s="42" t="str">
        <v>GROUP_STAGE</v>
      </c>
      <c r="AI116" s="42" t="str">
        <v>Ryavallen</v>
      </c>
      <c r="AJ116" s="42" t="str">
        <v xml:space="preserve">Boras </v>
      </c>
      <c r="AK116" s="42" t="str">
        <v>Soviet Union</v>
      </c>
      <c r="AL116" s="42">
        <v>2</v>
      </c>
      <c r="AM116" s="42">
        <v>0</v>
      </c>
      <c r="AN116" s="42" t="str">
        <v>Austria</v>
      </c>
      <c r="AO116" s="42" t="str">
        <v>-</v>
      </c>
    </row>
    <row r="117" spans="7:41">
      <c r="G117" s="30">
        <v>1998</v>
      </c>
      <c r="H117" s="30" t="str">
        <v>ROUND_OF_16</v>
      </c>
      <c r="I117" s="30" t="str">
        <v>Argentina</v>
      </c>
      <c r="J117" s="30" t="str">
        <v>England</v>
      </c>
      <c r="K117" s="30" t="str">
        <v>England</v>
      </c>
      <c r="L117" s="30" t="str">
        <v>David Batty</v>
      </c>
      <c r="M117" s="30" t="str">
        <v>Carlos Roa</v>
      </c>
      <c r="N117" s="30">
        <v>9</v>
      </c>
      <c r="O117" s="30">
        <v>5</v>
      </c>
      <c r="P117" s="30" t="str">
        <v>'3-3</v>
      </c>
      <c r="Q117" s="30" t="str">
        <v>Yes</v>
      </c>
      <c r="R117" s="30" t="str">
        <v>Yes</v>
      </c>
      <c r="S117" s="30" t="str">
        <v>Saved</v>
      </c>
      <c r="T117" s="30" t="str">
        <f t="shared" si="3"/>
        <v>3-3</v>
      </c>
      <c r="U117" s="30">
        <f t="shared" si="4"/>
        <v>3</v>
      </c>
      <c r="V117" s="30">
        <f t="shared" si="5"/>
        <v>3</v>
      </c>
      <c r="X117" s="12">
        <v>115</v>
      </c>
      <c r="Y117" s="12" t="str">
        <v>Amar Dedić</v>
      </c>
      <c r="Z117" s="12">
        <v>23</v>
      </c>
      <c r="AA117" s="12" t="str">
        <v>Bosnia and Herzegovina</v>
      </c>
      <c r="AB117" s="12" t="str">
        <v>RB</v>
      </c>
      <c r="AC117" s="12" t="str">
        <v>Benfica</v>
      </c>
      <c r="AD117" s="12">
        <v>7</v>
      </c>
      <c r="AF117" s="42">
        <v>1958</v>
      </c>
      <c r="AG117" s="42" t="str">
        <v xml:space="preserve">11 Jun 1958 - 19:00 </v>
      </c>
      <c r="AH117" s="42" t="str">
        <v>GROUP_STAGE</v>
      </c>
      <c r="AI117" s="42" t="str">
        <v>Olympia Stadium</v>
      </c>
      <c r="AJ117" s="42" t="str">
        <v xml:space="preserve">Helsingborg </v>
      </c>
      <c r="AK117" s="42" t="str">
        <v>FR Germany</v>
      </c>
      <c r="AL117" s="42">
        <v>2</v>
      </c>
      <c r="AM117" s="42">
        <v>2</v>
      </c>
      <c r="AN117" s="42" t="str">
        <v>Czechoslovakia</v>
      </c>
      <c r="AO117" s="42" t="str">
        <v>-</v>
      </c>
    </row>
    <row r="118" spans="7:41">
      <c r="G118" s="30">
        <v>1998</v>
      </c>
      <c r="H118" s="30" t="str">
        <v>QUARTER_FINALS</v>
      </c>
      <c r="I118" s="30" t="str">
        <v>Italy</v>
      </c>
      <c r="J118" s="30" t="str">
        <v>France</v>
      </c>
      <c r="K118" s="30" t="str">
        <v>France</v>
      </c>
      <c r="L118" s="30" t="str">
        <v>Zinedine Zidane</v>
      </c>
      <c r="M118" s="30" t="str">
        <v>Gianluca Pagliuca</v>
      </c>
      <c r="N118" s="30">
        <v>1</v>
      </c>
      <c r="O118" s="30">
        <v>1</v>
      </c>
      <c r="P118" s="30" t="str">
        <v>'0-0</v>
      </c>
      <c r="Q118" s="30" t="str">
        <v>No</v>
      </c>
      <c r="R118" s="30" t="str">
        <v>No</v>
      </c>
      <c r="S118" s="30" t="str">
        <v>Goal</v>
      </c>
      <c r="T118" s="30" t="str">
        <f t="shared" si="3"/>
        <v>0-0</v>
      </c>
      <c r="U118" s="30">
        <f t="shared" si="4"/>
        <v>0</v>
      </c>
      <c r="V118" s="30">
        <f t="shared" si="5"/>
        <v>0</v>
      </c>
      <c r="X118" s="12">
        <v>116</v>
      </c>
      <c r="Y118" s="12" t="str">
        <v>Benjamin Tahirović</v>
      </c>
      <c r="Z118" s="12">
        <v>23</v>
      </c>
      <c r="AA118" s="12" t="str">
        <v>Bosnia and Herzegovina</v>
      </c>
      <c r="AB118" s="12" t="str">
        <v>CDM</v>
      </c>
      <c r="AC118" s="12" t="str">
        <v>Brøndby</v>
      </c>
      <c r="AD118" s="12">
        <v>6</v>
      </c>
      <c r="AF118" s="42">
        <v>1958</v>
      </c>
      <c r="AG118" s="42" t="str">
        <v xml:space="preserve">11 Jun 1958 - 19:00 </v>
      </c>
      <c r="AH118" s="42" t="str">
        <v>GROUP_STAGE</v>
      </c>
      <c r="AI118" s="42" t="str">
        <v>Orjans Vall</v>
      </c>
      <c r="AJ118" s="42" t="str">
        <v xml:space="preserve">Halmstad </v>
      </c>
      <c r="AK118" s="42" t="str">
        <v>Argentina</v>
      </c>
      <c r="AL118" s="42">
        <v>3</v>
      </c>
      <c r="AM118" s="42">
        <v>1</v>
      </c>
      <c r="AN118" s="42" t="str">
        <v>Northern Ireland</v>
      </c>
      <c r="AO118" s="42" t="str">
        <v>-</v>
      </c>
    </row>
    <row r="119" spans="7:41">
      <c r="G119" s="30">
        <v>1998</v>
      </c>
      <c r="H119" s="30" t="str">
        <v>QUARTER_FINALS</v>
      </c>
      <c r="I119" s="30" t="str">
        <v>Italy</v>
      </c>
      <c r="J119" s="30" t="str">
        <v>France</v>
      </c>
      <c r="K119" s="30" t="str">
        <v>Italy</v>
      </c>
      <c r="L119" s="30" t="str">
        <v>Roberto Baggio</v>
      </c>
      <c r="M119" s="30" t="str">
        <v>Fabien Barthez</v>
      </c>
      <c r="N119" s="30">
        <v>2</v>
      </c>
      <c r="O119" s="30">
        <v>1</v>
      </c>
      <c r="P119" s="30" t="str">
        <v>'0-1</v>
      </c>
      <c r="Q119" s="30" t="str">
        <v>No</v>
      </c>
      <c r="R119" s="30" t="str">
        <v>No</v>
      </c>
      <c r="S119" s="30" t="str">
        <v>Goal</v>
      </c>
      <c r="T119" s="30" t="str">
        <f t="shared" si="3"/>
        <v>0-1</v>
      </c>
      <c r="U119" s="30">
        <f t="shared" si="4"/>
        <v>0</v>
      </c>
      <c r="V119" s="30">
        <f t="shared" si="5"/>
        <v>1</v>
      </c>
      <c r="X119" s="12">
        <v>117</v>
      </c>
      <c r="Y119" s="12" t="str">
        <v>Ivan Šunjić</v>
      </c>
      <c r="Z119" s="12">
        <v>29</v>
      </c>
      <c r="AA119" s="12" t="str">
        <v>Bosnia and Herzegovina</v>
      </c>
      <c r="AB119" s="12" t="str">
        <v>CDM</v>
      </c>
      <c r="AC119" s="12" t="str">
        <v>Pafos</v>
      </c>
      <c r="AD119" s="12">
        <v>14</v>
      </c>
      <c r="AF119" s="42">
        <v>1958</v>
      </c>
      <c r="AG119" s="42" t="str">
        <v xml:space="preserve">12 Jun 1958 - 19:00 </v>
      </c>
      <c r="AH119" s="42" t="str">
        <v>GROUP_STAGE</v>
      </c>
      <c r="AI119" s="42" t="str">
        <v>Rasunda Stadium</v>
      </c>
      <c r="AJ119" s="42" t="str">
        <v xml:space="preserve">Solna </v>
      </c>
      <c r="AK119" s="42" t="str">
        <v>Sweden</v>
      </c>
      <c r="AL119" s="42">
        <v>2</v>
      </c>
      <c r="AM119" s="42">
        <v>1</v>
      </c>
      <c r="AN119" s="42" t="str">
        <v>Hungary</v>
      </c>
      <c r="AO119" s="42" t="str">
        <v>-</v>
      </c>
    </row>
    <row r="120" spans="7:41">
      <c r="G120" s="30">
        <v>1998</v>
      </c>
      <c r="H120" s="30" t="str">
        <v>QUARTER_FINALS</v>
      </c>
      <c r="I120" s="30" t="str">
        <v>Italy</v>
      </c>
      <c r="J120" s="30" t="str">
        <v>France</v>
      </c>
      <c r="K120" s="30" t="str">
        <v>France</v>
      </c>
      <c r="L120" s="30" t="str">
        <v>Bixente Lizarazu</v>
      </c>
      <c r="M120" s="30" t="str">
        <v>Gianluca Pagliuca</v>
      </c>
      <c r="N120" s="30">
        <v>3</v>
      </c>
      <c r="O120" s="30">
        <v>2</v>
      </c>
      <c r="P120" s="30" t="str">
        <v>'1-1</v>
      </c>
      <c r="Q120" s="30" t="str">
        <v>No</v>
      </c>
      <c r="R120" s="30" t="str">
        <v>No</v>
      </c>
      <c r="S120" s="30" t="str">
        <v>Saved</v>
      </c>
      <c r="T120" s="30" t="str">
        <f t="shared" si="3"/>
        <v>1-1</v>
      </c>
      <c r="U120" s="30">
        <f t="shared" si="4"/>
        <v>1</v>
      </c>
      <c r="V120" s="30">
        <f t="shared" si="5"/>
        <v>1</v>
      </c>
      <c r="X120" s="12">
        <v>118</v>
      </c>
      <c r="Y120" s="12" t="str">
        <v>Armin Gigović</v>
      </c>
      <c r="Z120" s="12">
        <v>24</v>
      </c>
      <c r="AA120" s="12" t="str">
        <v>Bosnia and Herzegovina</v>
      </c>
      <c r="AB120" s="12" t="str">
        <v>CM</v>
      </c>
      <c r="AC120" s="12" t="str">
        <v>Young Boys</v>
      </c>
      <c r="AD120" s="12">
        <v>8</v>
      </c>
      <c r="AF120" s="42">
        <v>1958</v>
      </c>
      <c r="AG120" s="42" t="str">
        <v xml:space="preserve">15 Jun 1958 - 14:00 </v>
      </c>
      <c r="AH120" s="42" t="str">
        <v>GROUP_STAGE</v>
      </c>
      <c r="AI120" s="42" t="str">
        <v>Rasunda Stadium</v>
      </c>
      <c r="AJ120" s="42" t="str">
        <v xml:space="preserve">Solna </v>
      </c>
      <c r="AK120" s="42" t="str">
        <v>Sweden</v>
      </c>
      <c r="AL120" s="42">
        <v>0</v>
      </c>
      <c r="AM120" s="42">
        <v>0</v>
      </c>
      <c r="AN120" s="42" t="str">
        <v>Wales</v>
      </c>
      <c r="AO120" s="42" t="str">
        <v>-</v>
      </c>
    </row>
    <row r="121" spans="7:41">
      <c r="G121" s="30">
        <v>1998</v>
      </c>
      <c r="H121" s="30" t="str">
        <v>QUARTER_FINALS</v>
      </c>
      <c r="I121" s="30" t="str">
        <v>Italy</v>
      </c>
      <c r="J121" s="30" t="str">
        <v>France</v>
      </c>
      <c r="K121" s="30" t="str">
        <v>Italy</v>
      </c>
      <c r="L121" s="30" t="str">
        <v>Demetrio Albertini</v>
      </c>
      <c r="M121" s="30" t="str">
        <v>Fabien Barthez</v>
      </c>
      <c r="N121" s="30">
        <v>4</v>
      </c>
      <c r="O121" s="30">
        <v>2</v>
      </c>
      <c r="P121" s="30" t="str">
        <v>'1-1</v>
      </c>
      <c r="Q121" s="30" t="str">
        <v>No</v>
      </c>
      <c r="R121" s="30" t="str">
        <v>No</v>
      </c>
      <c r="S121" s="30" t="str">
        <v>Saved</v>
      </c>
      <c r="T121" s="30" t="str">
        <f t="shared" si="3"/>
        <v>1-1</v>
      </c>
      <c r="U121" s="30">
        <f t="shared" si="4"/>
        <v>1</v>
      </c>
      <c r="V121" s="30">
        <f t="shared" si="5"/>
        <v>1</v>
      </c>
      <c r="X121" s="12">
        <v>119</v>
      </c>
      <c r="Y121" s="12" t="str">
        <v>Ivan Bašić</v>
      </c>
      <c r="Z121" s="12">
        <v>24</v>
      </c>
      <c r="AA121" s="12" t="str">
        <v>Bosnia and Herzegovina</v>
      </c>
      <c r="AB121" s="12" t="str">
        <v>CM</v>
      </c>
      <c r="AC121" s="12" t="str">
        <v>Astana</v>
      </c>
      <c r="AD121" s="12">
        <v>13</v>
      </c>
      <c r="AF121" s="42">
        <v>1958</v>
      </c>
      <c r="AG121" s="42" t="str">
        <v xml:space="preserve">15 Jun 1958 - 19:00 </v>
      </c>
      <c r="AH121" s="42" t="str">
        <v>GROUP_STAGE</v>
      </c>
      <c r="AI121" s="42" t="str">
        <v>Nya Ullevi</v>
      </c>
      <c r="AJ121" s="42" t="str">
        <v xml:space="preserve">Gothenburg </v>
      </c>
      <c r="AK121" s="42" t="str">
        <v>Brazil</v>
      </c>
      <c r="AL121" s="42">
        <v>2</v>
      </c>
      <c r="AM121" s="42">
        <v>0</v>
      </c>
      <c r="AN121" s="42" t="str">
        <v>Soviet Union</v>
      </c>
      <c r="AO121" s="42" t="str">
        <v>-</v>
      </c>
    </row>
    <row r="122" spans="7:41">
      <c r="G122" s="30">
        <v>1998</v>
      </c>
      <c r="H122" s="30" t="str">
        <v>QUARTER_FINALS</v>
      </c>
      <c r="I122" s="30" t="str">
        <v>Italy</v>
      </c>
      <c r="J122" s="30" t="str">
        <v>France</v>
      </c>
      <c r="K122" s="30" t="str">
        <v>France</v>
      </c>
      <c r="L122" s="30" t="str">
        <v>David Trezeguet</v>
      </c>
      <c r="M122" s="30" t="str">
        <v>Gianluca Pagliuca</v>
      </c>
      <c r="N122" s="30">
        <v>5</v>
      </c>
      <c r="O122" s="30">
        <v>3</v>
      </c>
      <c r="P122" s="30" t="str">
        <v>'1-1</v>
      </c>
      <c r="Q122" s="30" t="str">
        <v>No</v>
      </c>
      <c r="R122" s="30" t="str">
        <v>No</v>
      </c>
      <c r="S122" s="30" t="str">
        <v>Goal</v>
      </c>
      <c r="T122" s="30" t="str">
        <f t="shared" si="3"/>
        <v>1-1</v>
      </c>
      <c r="U122" s="30">
        <f t="shared" si="4"/>
        <v>1</v>
      </c>
      <c r="V122" s="30">
        <f t="shared" si="5"/>
        <v>1</v>
      </c>
      <c r="X122" s="12">
        <v>120</v>
      </c>
      <c r="Y122" s="12" t="str">
        <v>Amir Hadžiahmetović</v>
      </c>
      <c r="Z122" s="12">
        <v>29</v>
      </c>
      <c r="AA122" s="12" t="str">
        <v>Bosnia and Herzegovina</v>
      </c>
      <c r="AB122" s="12" t="str">
        <v>CM</v>
      </c>
      <c r="AC122" s="12" t="str">
        <v>Hull City</v>
      </c>
      <c r="AD122" s="12">
        <v>16</v>
      </c>
      <c r="AF122" s="42">
        <v>1958</v>
      </c>
      <c r="AG122" s="42" t="str">
        <v xml:space="preserve">15 Jun 1958 - 19:00 </v>
      </c>
      <c r="AH122" s="42" t="str">
        <v>GROUP_STAGE</v>
      </c>
      <c r="AI122" s="42" t="str">
        <v>Malmo Stadion</v>
      </c>
      <c r="AJ122" s="42" t="str">
        <v>Malmö</v>
      </c>
      <c r="AK122" s="42" t="str">
        <v>FR Germany</v>
      </c>
      <c r="AL122" s="42">
        <v>2</v>
      </c>
      <c r="AM122" s="42">
        <v>2</v>
      </c>
      <c r="AN122" s="42" t="str">
        <v>Northern Ireland</v>
      </c>
      <c r="AO122" s="42" t="str">
        <v>-</v>
      </c>
    </row>
    <row r="123" spans="7:41">
      <c r="G123" s="30">
        <v>1998</v>
      </c>
      <c r="H123" s="30" t="str">
        <v>QUARTER_FINALS</v>
      </c>
      <c r="I123" s="30" t="str">
        <v>Italy</v>
      </c>
      <c r="J123" s="30" t="str">
        <v>France</v>
      </c>
      <c r="K123" s="30" t="str">
        <v>Italy</v>
      </c>
      <c r="L123" s="30" t="str">
        <v>Alessandro Costacurta</v>
      </c>
      <c r="M123" s="30" t="str">
        <v>Fabien Barthez</v>
      </c>
      <c r="N123" s="30">
        <v>6</v>
      </c>
      <c r="O123" s="30">
        <v>3</v>
      </c>
      <c r="P123" s="30" t="str">
        <v>'2-1</v>
      </c>
      <c r="Q123" s="30" t="str">
        <v>No</v>
      </c>
      <c r="R123" s="30" t="str">
        <v>No</v>
      </c>
      <c r="S123" s="30" t="str">
        <v>Goal</v>
      </c>
      <c r="T123" s="30" t="str">
        <f t="shared" si="3"/>
        <v>2-1</v>
      </c>
      <c r="U123" s="30">
        <f t="shared" si="4"/>
        <v>2</v>
      </c>
      <c r="V123" s="30">
        <f t="shared" si="5"/>
        <v>1</v>
      </c>
      <c r="X123" s="12">
        <v>121</v>
      </c>
      <c r="Y123" s="12" t="str">
        <v>Dženis Burnić</v>
      </c>
      <c r="Z123" s="12">
        <v>28</v>
      </c>
      <c r="AA123" s="12" t="str">
        <v>Bosnia and Herzegovina</v>
      </c>
      <c r="AB123" s="12" t="str">
        <v>CM</v>
      </c>
      <c r="AC123" s="12" t="str">
        <v>Karlsruher SC</v>
      </c>
      <c r="AD123" s="12">
        <v>17</v>
      </c>
      <c r="AF123" s="42">
        <v>1958</v>
      </c>
      <c r="AG123" s="42" t="str">
        <v xml:space="preserve">15 Jun 1958 - 19:00 </v>
      </c>
      <c r="AH123" s="42" t="str">
        <v>GROUP_STAGE</v>
      </c>
      <c r="AI123" s="42" t="str">
        <v>Jarnvallen</v>
      </c>
      <c r="AJ123" s="42" t="str">
        <v xml:space="preserve">Sandviken </v>
      </c>
      <c r="AK123" s="42" t="str">
        <v>Hungary</v>
      </c>
      <c r="AL123" s="42">
        <v>4</v>
      </c>
      <c r="AM123" s="42">
        <v>0</v>
      </c>
      <c r="AN123" s="42" t="str">
        <v>Mexico</v>
      </c>
      <c r="AO123" s="42" t="str">
        <v>-</v>
      </c>
    </row>
    <row r="124" spans="7:41">
      <c r="G124" s="30">
        <v>1998</v>
      </c>
      <c r="H124" s="30" t="str">
        <v>QUARTER_FINALS</v>
      </c>
      <c r="I124" s="30" t="str">
        <v>Italy</v>
      </c>
      <c r="J124" s="30" t="str">
        <v>France</v>
      </c>
      <c r="K124" s="30" t="str">
        <v>France</v>
      </c>
      <c r="L124" s="30" t="str">
        <v>Thierry Henry</v>
      </c>
      <c r="M124" s="30" t="str">
        <v>Gianluca Pagliuca</v>
      </c>
      <c r="N124" s="30">
        <v>7</v>
      </c>
      <c r="O124" s="30">
        <v>4</v>
      </c>
      <c r="P124" s="30" t="str">
        <v>'2-2</v>
      </c>
      <c r="Q124" s="30" t="str">
        <v>No</v>
      </c>
      <c r="R124" s="30" t="str">
        <v>No</v>
      </c>
      <c r="S124" s="30" t="str">
        <v>Goal</v>
      </c>
      <c r="T124" s="30" t="str">
        <f t="shared" si="3"/>
        <v>2-2</v>
      </c>
      <c r="U124" s="30">
        <f t="shared" si="4"/>
        <v>2</v>
      </c>
      <c r="V124" s="30">
        <f t="shared" si="5"/>
        <v>2</v>
      </c>
      <c r="X124" s="12">
        <v>122</v>
      </c>
      <c r="Y124" s="12" t="str">
        <v>Amar Memić</v>
      </c>
      <c r="Z124" s="12">
        <v>25</v>
      </c>
      <c r="AA124" s="12" t="str">
        <v>Bosnia and Herzegovina</v>
      </c>
      <c r="AB124" s="12" t="str">
        <v>RM</v>
      </c>
      <c r="AC124" s="12" t="str">
        <v>Viktoria Plzeň</v>
      </c>
      <c r="AD124" s="12">
        <v>15</v>
      </c>
      <c r="AF124" s="42">
        <v>1958</v>
      </c>
      <c r="AG124" s="42" t="str">
        <v xml:space="preserve">15 Jun 1958 - 19:00 </v>
      </c>
      <c r="AH124" s="42" t="str">
        <v>GROUP_STAGE</v>
      </c>
      <c r="AI124" s="42" t="str">
        <v>Tunavallen</v>
      </c>
      <c r="AJ124" s="42" t="str">
        <v xml:space="preserve">Eskilstuna </v>
      </c>
      <c r="AK124" s="42" t="str">
        <v>Paraguay</v>
      </c>
      <c r="AL124" s="42">
        <v>3</v>
      </c>
      <c r="AM124" s="42">
        <v>3</v>
      </c>
      <c r="AN124" s="42" t="str">
        <v>Yugoslavia</v>
      </c>
      <c r="AO124" s="42" t="str">
        <v>-</v>
      </c>
    </row>
    <row r="125" spans="7:41">
      <c r="G125" s="30">
        <v>1998</v>
      </c>
      <c r="H125" s="30" t="str">
        <v>QUARTER_FINALS</v>
      </c>
      <c r="I125" s="30" t="str">
        <v>Italy</v>
      </c>
      <c r="J125" s="30" t="str">
        <v>France</v>
      </c>
      <c r="K125" s="30" t="str">
        <v>Italy</v>
      </c>
      <c r="L125" s="30" t="str">
        <v>Christian Vieri</v>
      </c>
      <c r="M125" s="30" t="str">
        <v>Fabien Barthez</v>
      </c>
      <c r="N125" s="30">
        <v>8</v>
      </c>
      <c r="O125" s="30">
        <v>4</v>
      </c>
      <c r="P125" s="30" t="str">
        <v>'3-2</v>
      </c>
      <c r="Q125" s="30" t="str">
        <v>No</v>
      </c>
      <c r="R125" s="30" t="str">
        <v>No</v>
      </c>
      <c r="S125" s="30" t="str">
        <v>Goal</v>
      </c>
      <c r="T125" s="30" t="str">
        <f t="shared" si="3"/>
        <v>3-2</v>
      </c>
      <c r="U125" s="30">
        <f t="shared" si="4"/>
        <v>3</v>
      </c>
      <c r="V125" s="30">
        <f t="shared" si="5"/>
        <v>2</v>
      </c>
      <c r="X125" s="12">
        <v>123</v>
      </c>
      <c r="Y125" s="12" t="str">
        <v>Ermin Mahmić</v>
      </c>
      <c r="Z125" s="12">
        <v>21</v>
      </c>
      <c r="AA125" s="12" t="str">
        <v>Bosnia and Herzegovina</v>
      </c>
      <c r="AB125" s="12" t="str">
        <v>LM</v>
      </c>
      <c r="AC125" s="12" t="str">
        <v>Slovan Liberec</v>
      </c>
      <c r="AD125" s="12">
        <v>26</v>
      </c>
      <c r="AF125" s="42">
        <v>1958</v>
      </c>
      <c r="AG125" s="42" t="str">
        <v xml:space="preserve">15 Jun 1958 - 19:00 </v>
      </c>
      <c r="AH125" s="42" t="str">
        <v>GROUP_STAGE</v>
      </c>
      <c r="AI125" s="42" t="str">
        <v>Eyravallen</v>
      </c>
      <c r="AJ125" s="42" t="str">
        <v xml:space="preserve">Orebro </v>
      </c>
      <c r="AK125" s="42" t="str">
        <v>France</v>
      </c>
      <c r="AL125" s="42">
        <v>2</v>
      </c>
      <c r="AM125" s="42">
        <v>1</v>
      </c>
      <c r="AN125" s="42" t="str">
        <v>Scotland</v>
      </c>
      <c r="AO125" s="42" t="str">
        <v>-</v>
      </c>
    </row>
    <row r="126" spans="7:41">
      <c r="G126" s="30">
        <v>1998</v>
      </c>
      <c r="H126" s="30" t="str">
        <v>QUARTER_FINALS</v>
      </c>
      <c r="I126" s="30" t="str">
        <v>Italy</v>
      </c>
      <c r="J126" s="30" t="str">
        <v>France</v>
      </c>
      <c r="K126" s="30" t="str">
        <v>France</v>
      </c>
      <c r="L126" s="30" t="str">
        <v>Laurent Blanc</v>
      </c>
      <c r="M126" s="30" t="str">
        <v>Gianluca Pagliuca</v>
      </c>
      <c r="N126" s="30">
        <v>9</v>
      </c>
      <c r="O126" s="30">
        <v>5</v>
      </c>
      <c r="P126" s="30" t="str">
        <v>'3-3</v>
      </c>
      <c r="Q126" s="30" t="str">
        <v>No</v>
      </c>
      <c r="R126" s="30" t="str">
        <v>No</v>
      </c>
      <c r="S126" s="30" t="str">
        <v>Goal</v>
      </c>
      <c r="T126" s="30" t="str">
        <f t="shared" si="3"/>
        <v>3-3</v>
      </c>
      <c r="U126" s="30">
        <f t="shared" si="4"/>
        <v>3</v>
      </c>
      <c r="V126" s="30">
        <f t="shared" si="5"/>
        <v>3</v>
      </c>
      <c r="X126" s="12">
        <v>124</v>
      </c>
      <c r="Y126" s="12" t="str">
        <v>Kerim Alajbegović</v>
      </c>
      <c r="Z126" s="12">
        <v>18</v>
      </c>
      <c r="AA126" s="12" t="str">
        <v>Bosnia and Herzegovina</v>
      </c>
      <c r="AB126" s="12" t="str">
        <v>LW</v>
      </c>
      <c r="AC126" s="12" t="str">
        <v>Red Bull Salzburg</v>
      </c>
      <c r="AD126" s="12">
        <v>19</v>
      </c>
      <c r="AF126" s="42">
        <v>1958</v>
      </c>
      <c r="AG126" s="42" t="str">
        <v xml:space="preserve">15 Jun 1958 - 19:00 </v>
      </c>
      <c r="AH126" s="42" t="str">
        <v>GROUP_STAGE</v>
      </c>
      <c r="AI126" s="42" t="str">
        <v>Ryavallen</v>
      </c>
      <c r="AJ126" s="42" t="str">
        <v xml:space="preserve">Boras </v>
      </c>
      <c r="AK126" s="42" t="str">
        <v>England</v>
      </c>
      <c r="AL126" s="42">
        <v>2</v>
      </c>
      <c r="AM126" s="42">
        <v>2</v>
      </c>
      <c r="AN126" s="42" t="str">
        <v>Austria</v>
      </c>
      <c r="AO126" s="42" t="str">
        <v>-</v>
      </c>
    </row>
    <row r="127" spans="7:41">
      <c r="G127" s="30">
        <v>1998</v>
      </c>
      <c r="H127" s="30" t="str">
        <v>QUARTER_FINALS</v>
      </c>
      <c r="I127" s="30" t="str">
        <v>Italy</v>
      </c>
      <c r="J127" s="30" t="str">
        <v>France</v>
      </c>
      <c r="K127" s="30" t="str">
        <v>Italy</v>
      </c>
      <c r="L127" s="30" t="str">
        <v>Luigi Di Biagio</v>
      </c>
      <c r="M127" s="30" t="str">
        <v>Fabien Barthez</v>
      </c>
      <c r="N127" s="30">
        <v>10</v>
      </c>
      <c r="O127" s="30">
        <v>5</v>
      </c>
      <c r="P127" s="30" t="str">
        <v>'4-3</v>
      </c>
      <c r="Q127" s="30" t="str">
        <v>Yes</v>
      </c>
      <c r="R127" s="30" t="str">
        <v>Yes</v>
      </c>
      <c r="S127" s="30" t="str">
        <v>Missed</v>
      </c>
      <c r="T127" s="30" t="str">
        <f t="shared" si="3"/>
        <v>4-3</v>
      </c>
      <c r="U127" s="30">
        <f t="shared" si="4"/>
        <v>4</v>
      </c>
      <c r="V127" s="30">
        <f t="shared" si="5"/>
        <v>3</v>
      </c>
      <c r="X127" s="12">
        <v>125</v>
      </c>
      <c r="Y127" s="12" t="str">
        <v>Esmir Bajraktarević</v>
      </c>
      <c r="Z127" s="12">
        <v>21</v>
      </c>
      <c r="AA127" s="12" t="str">
        <v>Bosnia and Herzegovina</v>
      </c>
      <c r="AB127" s="12" t="str">
        <v>LW</v>
      </c>
      <c r="AC127" s="12" t="str">
        <v>PSV Eindhoven</v>
      </c>
      <c r="AD127" s="12">
        <v>20</v>
      </c>
      <c r="AF127" s="42">
        <v>1958</v>
      </c>
      <c r="AG127" s="42" t="str">
        <v xml:space="preserve">15 Jun 1958 - 19:00 </v>
      </c>
      <c r="AH127" s="42" t="str">
        <v>GROUP_STAGE</v>
      </c>
      <c r="AI127" s="42" t="str">
        <v>Olympia Stadium</v>
      </c>
      <c r="AJ127" s="42" t="str">
        <v xml:space="preserve">Helsingborg </v>
      </c>
      <c r="AK127" s="42" t="str">
        <v>Czechoslovakia</v>
      </c>
      <c r="AL127" s="42">
        <v>6</v>
      </c>
      <c r="AM127" s="42">
        <v>1</v>
      </c>
      <c r="AN127" s="42" t="str">
        <v>Argentina</v>
      </c>
      <c r="AO127" s="42" t="str">
        <v>-</v>
      </c>
    </row>
    <row r="128" spans="7:41">
      <c r="G128" s="30">
        <v>1998</v>
      </c>
      <c r="H128" s="30" t="str">
        <v>SEMI_FINALS</v>
      </c>
      <c r="I128" s="30" t="str">
        <v>Brazil</v>
      </c>
      <c r="J128" s="30" t="str">
        <v>Netherlands</v>
      </c>
      <c r="K128" s="30" t="str">
        <v>Brazil</v>
      </c>
      <c r="L128" s="30" t="str">
        <v>Ronaldo</v>
      </c>
      <c r="M128" s="30" t="str">
        <v>Edwin van der Sar</v>
      </c>
      <c r="N128" s="30">
        <v>1</v>
      </c>
      <c r="O128" s="30">
        <v>1</v>
      </c>
      <c r="P128" s="30" t="str">
        <v>'0-0</v>
      </c>
      <c r="Q128" s="30" t="str">
        <v>No</v>
      </c>
      <c r="R128" s="30" t="str">
        <v>No</v>
      </c>
      <c r="S128" s="30" t="str">
        <v>Goal</v>
      </c>
      <c r="T128" s="30" t="str">
        <f t="shared" si="3"/>
        <v>0-0</v>
      </c>
      <c r="U128" s="30">
        <f t="shared" si="4"/>
        <v>0</v>
      </c>
      <c r="V128" s="30">
        <f t="shared" si="5"/>
        <v>0</v>
      </c>
      <c r="X128" s="12">
        <v>126</v>
      </c>
      <c r="Y128" s="12" t="str">
        <v>Samed Baždar</v>
      </c>
      <c r="Z128" s="12">
        <v>22</v>
      </c>
      <c r="AA128" s="12" t="str">
        <v>Bosnia and Herzegovina</v>
      </c>
      <c r="AB128" s="12" t="str">
        <v>ST</v>
      </c>
      <c r="AC128" s="12" t="str">
        <v>Jagiellonia Białystok</v>
      </c>
      <c r="AD128" s="12">
        <v>9</v>
      </c>
      <c r="AF128" s="42">
        <v>1958</v>
      </c>
      <c r="AG128" s="42" t="str">
        <v xml:space="preserve">17 Jun 1958 - 19:00 </v>
      </c>
      <c r="AH128" s="42" t="str">
        <v>GROUP_STAGE</v>
      </c>
      <c r="AI128" s="42" t="str">
        <v>Nya Ullevi</v>
      </c>
      <c r="AJ128" s="42" t="str">
        <v xml:space="preserve">Gothenburg </v>
      </c>
      <c r="AK128" s="42" t="str">
        <v>Soviet Union</v>
      </c>
      <c r="AL128" s="42">
        <v>1</v>
      </c>
      <c r="AM128" s="42">
        <v>0</v>
      </c>
      <c r="AN128" s="42" t="str">
        <v>England</v>
      </c>
      <c r="AO128" s="42" t="str">
        <v>-</v>
      </c>
    </row>
    <row r="129" spans="7:41">
      <c r="G129" s="30">
        <v>1998</v>
      </c>
      <c r="H129" s="30" t="str">
        <v>SEMI_FINALS</v>
      </c>
      <c r="I129" s="30" t="str">
        <v>Brazil</v>
      </c>
      <c r="J129" s="30" t="str">
        <v>Netherlands</v>
      </c>
      <c r="K129" s="30" t="str">
        <v>Netherlands</v>
      </c>
      <c r="L129" s="30" t="str">
        <v>Frank de Boer</v>
      </c>
      <c r="M129" s="30" t="str">
        <v>Taffarel</v>
      </c>
      <c r="N129" s="30">
        <v>2</v>
      </c>
      <c r="O129" s="30">
        <v>1</v>
      </c>
      <c r="P129" s="30" t="str">
        <v>'1-0</v>
      </c>
      <c r="Q129" s="30" t="str">
        <v>No</v>
      </c>
      <c r="R129" s="30" t="str">
        <v>No</v>
      </c>
      <c r="S129" s="30" t="str">
        <v>Goal</v>
      </c>
      <c r="T129" s="30" t="str">
        <f t="shared" si="3"/>
        <v>1-0</v>
      </c>
      <c r="U129" s="30">
        <f t="shared" si="4"/>
        <v>1</v>
      </c>
      <c r="V129" s="30">
        <f t="shared" si="5"/>
        <v>0</v>
      </c>
      <c r="X129" s="12">
        <v>127</v>
      </c>
      <c r="Y129" s="12" t="str">
        <v>Ermedin Demirović</v>
      </c>
      <c r="Z129" s="12">
        <v>28</v>
      </c>
      <c r="AA129" s="12" t="str">
        <v>Bosnia and Herzegovina</v>
      </c>
      <c r="AB129" s="12" t="str">
        <v>ST</v>
      </c>
      <c r="AC129" s="12" t="str">
        <v>VfB Stuttgart</v>
      </c>
      <c r="AD129" s="12">
        <v>10</v>
      </c>
      <c r="AF129" s="42">
        <v>1958</v>
      </c>
      <c r="AG129" s="42" t="str">
        <v xml:space="preserve">17 Jun 1958 - 19:00 </v>
      </c>
      <c r="AH129" s="42" t="str">
        <v>GROUP_STAGE</v>
      </c>
      <c r="AI129" s="42" t="str">
        <v>Malmo Stadion</v>
      </c>
      <c r="AJ129" s="42" t="str">
        <v>Malmö</v>
      </c>
      <c r="AK129" s="42" t="str">
        <v>Northern Ireland</v>
      </c>
      <c r="AL129" s="42">
        <v>2</v>
      </c>
      <c r="AM129" s="42">
        <v>1</v>
      </c>
      <c r="AN129" s="42" t="str">
        <v>Czechoslovakia</v>
      </c>
      <c r="AO129" s="42" t="str">
        <v>Northern Ireland win after extra time</v>
      </c>
    </row>
    <row r="130" spans="7:41">
      <c r="G130" s="30">
        <v>1998</v>
      </c>
      <c r="H130" s="30" t="str">
        <v>SEMI_FINALS</v>
      </c>
      <c r="I130" s="30" t="str">
        <v>Brazil</v>
      </c>
      <c r="J130" s="30" t="str">
        <v>Netherlands</v>
      </c>
      <c r="K130" s="30" t="str">
        <v>Brazil</v>
      </c>
      <c r="L130" s="30" t="str">
        <v>Rivaldo</v>
      </c>
      <c r="M130" s="30" t="str">
        <v>Edwin van der Sar</v>
      </c>
      <c r="N130" s="30">
        <v>3</v>
      </c>
      <c r="O130" s="30">
        <v>2</v>
      </c>
      <c r="P130" s="30" t="str">
        <v>'1-1</v>
      </c>
      <c r="Q130" s="30" t="str">
        <v>No</v>
      </c>
      <c r="R130" s="30" t="str">
        <v>No</v>
      </c>
      <c r="S130" s="30" t="str">
        <v>Goal</v>
      </c>
      <c r="T130" s="30" t="str">
        <f t="shared" si="3"/>
        <v>1-1</v>
      </c>
      <c r="U130" s="30">
        <f t="shared" si="4"/>
        <v>1</v>
      </c>
      <c r="V130" s="30">
        <f t="shared" si="5"/>
        <v>1</v>
      </c>
      <c r="X130" s="12">
        <v>128</v>
      </c>
      <c r="Y130" s="12" t="str">
        <v>Edin Džeko</v>
      </c>
      <c r="Z130" s="12">
        <v>40</v>
      </c>
      <c r="AA130" s="12" t="str">
        <v>Bosnia and Herzegovina</v>
      </c>
      <c r="AB130" s="12" t="str">
        <v>ST</v>
      </c>
      <c r="AC130" s="12" t="str">
        <v>Schalke 04</v>
      </c>
      <c r="AD130" s="12">
        <v>11</v>
      </c>
      <c r="AF130" s="42">
        <v>1958</v>
      </c>
      <c r="AG130" s="42" t="str">
        <v xml:space="preserve">17 Jun 1958 - 19:00 </v>
      </c>
      <c r="AH130" s="42" t="str">
        <v>GROUP_STAGE</v>
      </c>
      <c r="AI130" s="42" t="str">
        <v>Rasunda Stadium</v>
      </c>
      <c r="AJ130" s="42" t="str">
        <v xml:space="preserve">Solna </v>
      </c>
      <c r="AK130" s="42" t="str">
        <v>Wales</v>
      </c>
      <c r="AL130" s="42">
        <v>2</v>
      </c>
      <c r="AM130" s="42">
        <v>1</v>
      </c>
      <c r="AN130" s="42" t="str">
        <v>Hungary</v>
      </c>
      <c r="AO130" s="42" t="str">
        <v>-</v>
      </c>
    </row>
    <row r="131" spans="7:41">
      <c r="G131" s="30">
        <v>1998</v>
      </c>
      <c r="H131" s="30" t="str">
        <v>SEMI_FINALS</v>
      </c>
      <c r="I131" s="30" t="str">
        <v>Brazil</v>
      </c>
      <c r="J131" s="30" t="str">
        <v>Netherlands</v>
      </c>
      <c r="K131" s="30" t="str">
        <v>Netherlands</v>
      </c>
      <c r="L131" s="30" t="str">
        <v>Dennis Bergkamp</v>
      </c>
      <c r="M131" s="30" t="str">
        <v>Taffarel</v>
      </c>
      <c r="N131" s="30">
        <v>4</v>
      </c>
      <c r="O131" s="30">
        <v>2</v>
      </c>
      <c r="P131" s="30" t="str">
        <v>'1-2</v>
      </c>
      <c r="Q131" s="30" t="str">
        <v>No</v>
      </c>
      <c r="R131" s="30" t="str">
        <v>No</v>
      </c>
      <c r="S131" s="30" t="str">
        <v>Goal</v>
      </c>
      <c r="T131" s="30" t="str">
        <f t="shared" ref="T131:T194" si="6">SUBSTITUTE(P131,"'","")</f>
        <v>1-2</v>
      </c>
      <c r="U131" s="30">
        <f t="shared" ref="U131:U194" si="7">VALUE(LEFT(T131,1))</f>
        <v>1</v>
      </c>
      <c r="V131" s="30">
        <f t="shared" ref="V131:V194" si="8">VALUE(RIGHT(T131,1))</f>
        <v>2</v>
      </c>
      <c r="X131" s="12">
        <v>129</v>
      </c>
      <c r="Y131" s="12" t="str">
        <v>Haris Tabaković</v>
      </c>
      <c r="Z131" s="12">
        <v>31</v>
      </c>
      <c r="AA131" s="12" t="str">
        <v>Bosnia and Herzegovina</v>
      </c>
      <c r="AB131" s="12" t="str">
        <v>ST</v>
      </c>
      <c r="AC131" s="12" t="str">
        <v>Borussia Mönchengladbach</v>
      </c>
      <c r="AD131" s="12">
        <v>23</v>
      </c>
      <c r="AF131" s="42">
        <v>1958</v>
      </c>
      <c r="AG131" s="42" t="str">
        <v xml:space="preserve">19 Jun 1958 - 19:00 </v>
      </c>
      <c r="AH131" s="42" t="str">
        <v>QUARTER_FINALS</v>
      </c>
      <c r="AI131" s="42" t="str">
        <v>Nya Ullevi</v>
      </c>
      <c r="AJ131" s="42" t="str">
        <v xml:space="preserve">Gothenburg </v>
      </c>
      <c r="AK131" s="42" t="str">
        <v>Brazil</v>
      </c>
      <c r="AL131" s="42">
        <v>1</v>
      </c>
      <c r="AM131" s="42">
        <v>0</v>
      </c>
      <c r="AN131" s="42" t="str">
        <v>Wales</v>
      </c>
      <c r="AO131" s="42" t="str">
        <v>-</v>
      </c>
    </row>
    <row r="132" spans="7:41">
      <c r="G132" s="30">
        <v>1998</v>
      </c>
      <c r="H132" s="30" t="str">
        <v>SEMI_FINALS</v>
      </c>
      <c r="I132" s="30" t="str">
        <v>Brazil</v>
      </c>
      <c r="J132" s="30" t="str">
        <v>Netherlands</v>
      </c>
      <c r="K132" s="30" t="str">
        <v>Brazil</v>
      </c>
      <c r="L132" s="30" t="str">
        <v>Emerson</v>
      </c>
      <c r="M132" s="30" t="str">
        <v>Edwin van der Sar</v>
      </c>
      <c r="N132" s="30">
        <v>5</v>
      </c>
      <c r="O132" s="30">
        <v>3</v>
      </c>
      <c r="P132" s="30" t="str">
        <v>'2-2</v>
      </c>
      <c r="Q132" s="30" t="str">
        <v>No</v>
      </c>
      <c r="R132" s="30" t="str">
        <v>No</v>
      </c>
      <c r="S132" s="30" t="str">
        <v>Goal</v>
      </c>
      <c r="T132" s="30" t="str">
        <f t="shared" si="6"/>
        <v>2-2</v>
      </c>
      <c r="U132" s="30">
        <f t="shared" si="7"/>
        <v>2</v>
      </c>
      <c r="V132" s="30">
        <f t="shared" si="8"/>
        <v>2</v>
      </c>
      <c r="X132" s="12">
        <v>130</v>
      </c>
      <c r="Y132" s="12" t="str">
        <v>Jovo Lukić</v>
      </c>
      <c r="Z132" s="12">
        <v>27</v>
      </c>
      <c r="AA132" s="12" t="str">
        <v>Bosnia and Herzegovina</v>
      </c>
      <c r="AB132" s="12" t="str">
        <v>ST</v>
      </c>
      <c r="AC132" s="12" t="str">
        <v>Universitatea Cluj</v>
      </c>
      <c r="AD132" s="12">
        <v>25</v>
      </c>
      <c r="AF132" s="42">
        <v>1958</v>
      </c>
      <c r="AG132" s="42" t="str">
        <v xml:space="preserve">19 Jun 1958 - 19:00 </v>
      </c>
      <c r="AH132" s="42" t="str">
        <v>QUARTER_FINALS</v>
      </c>
      <c r="AI132" s="42" t="str">
        <v>Malmo Stadion</v>
      </c>
      <c r="AJ132" s="42" t="str">
        <v>Malmö</v>
      </c>
      <c r="AK132" s="42" t="str">
        <v>FR Germany</v>
      </c>
      <c r="AL132" s="42">
        <v>1</v>
      </c>
      <c r="AM132" s="42">
        <v>0</v>
      </c>
      <c r="AN132" s="42" t="str">
        <v>Yugoslavia</v>
      </c>
      <c r="AO132" s="42" t="str">
        <v>-</v>
      </c>
    </row>
    <row r="133" spans="7:41">
      <c r="G133" s="30">
        <v>1998</v>
      </c>
      <c r="H133" s="30" t="str">
        <v>SEMI_FINALS</v>
      </c>
      <c r="I133" s="30" t="str">
        <v>Brazil</v>
      </c>
      <c r="J133" s="30" t="str">
        <v>Netherlands</v>
      </c>
      <c r="K133" s="30" t="str">
        <v>Netherlands</v>
      </c>
      <c r="L133" s="30" t="str">
        <v>Phillip Cocu</v>
      </c>
      <c r="M133" s="30" t="str">
        <v>Taffarel</v>
      </c>
      <c r="N133" s="30">
        <v>6</v>
      </c>
      <c r="O133" s="30">
        <v>3</v>
      </c>
      <c r="P133" s="30" t="str">
        <v>'2-3</v>
      </c>
      <c r="Q133" s="30" t="str">
        <v>No</v>
      </c>
      <c r="R133" s="30" t="str">
        <v>No</v>
      </c>
      <c r="S133" s="30" t="str">
        <v>Saved</v>
      </c>
      <c r="T133" s="30" t="str">
        <f t="shared" si="6"/>
        <v>2-3</v>
      </c>
      <c r="U133" s="30">
        <f t="shared" si="7"/>
        <v>2</v>
      </c>
      <c r="V133" s="30">
        <f t="shared" si="8"/>
        <v>3</v>
      </c>
      <c r="X133" s="12">
        <v>131</v>
      </c>
      <c r="Y133" s="12" t="str">
        <v>Dayne St. Clair</v>
      </c>
      <c r="Z133" s="12">
        <v>29</v>
      </c>
      <c r="AA133" s="12" t="str">
        <v>Canada</v>
      </c>
      <c r="AB133" s="12" t="str">
        <v>GK</v>
      </c>
      <c r="AC133" s="12" t="str">
        <v>Inter Miami CF</v>
      </c>
      <c r="AD133" s="12">
        <v>1</v>
      </c>
      <c r="AF133" s="42">
        <v>1958</v>
      </c>
      <c r="AG133" s="42" t="str">
        <v xml:space="preserve">19 Jun 1958 - 19:00 </v>
      </c>
      <c r="AH133" s="42" t="str">
        <v>QUARTER_FINALS</v>
      </c>
      <c r="AI133" s="42" t="str">
        <v>Rasunda Stadium</v>
      </c>
      <c r="AJ133" s="42" t="str">
        <v xml:space="preserve">Solna </v>
      </c>
      <c r="AK133" s="42" t="str">
        <v>Sweden</v>
      </c>
      <c r="AL133" s="42">
        <v>2</v>
      </c>
      <c r="AM133" s="42">
        <v>0</v>
      </c>
      <c r="AN133" s="42" t="str">
        <v>Soviet Union</v>
      </c>
      <c r="AO133" s="42" t="str">
        <v>-</v>
      </c>
    </row>
    <row r="134" spans="7:41">
      <c r="G134" s="30">
        <v>1998</v>
      </c>
      <c r="H134" s="30" t="str">
        <v>SEMI_FINALS</v>
      </c>
      <c r="I134" s="30" t="str">
        <v>Brazil</v>
      </c>
      <c r="J134" s="30" t="str">
        <v>Netherlands</v>
      </c>
      <c r="K134" s="30" t="str">
        <v>Brazil</v>
      </c>
      <c r="L134" s="30" t="str">
        <v>Dunga</v>
      </c>
      <c r="M134" s="30" t="str">
        <v>Edwin van der Sar</v>
      </c>
      <c r="N134" s="30">
        <v>7</v>
      </c>
      <c r="O134" s="30">
        <v>4</v>
      </c>
      <c r="P134" s="30" t="str">
        <v>'2-3</v>
      </c>
      <c r="Q134" s="30" t="str">
        <v>No</v>
      </c>
      <c r="R134" s="30" t="str">
        <v>No</v>
      </c>
      <c r="S134" s="30" t="str">
        <v>Goal</v>
      </c>
      <c r="T134" s="30" t="str">
        <f t="shared" si="6"/>
        <v>2-3</v>
      </c>
      <c r="U134" s="30">
        <f t="shared" si="7"/>
        <v>2</v>
      </c>
      <c r="V134" s="30">
        <f t="shared" si="8"/>
        <v>3</v>
      </c>
      <c r="X134" s="12">
        <v>132</v>
      </c>
      <c r="Y134" s="12" t="str">
        <v>Maxime Crépeau</v>
      </c>
      <c r="Z134" s="12">
        <v>32</v>
      </c>
      <c r="AA134" s="12" t="str">
        <v>Canada</v>
      </c>
      <c r="AB134" s="12" t="str">
        <v>GK</v>
      </c>
      <c r="AC134" s="12" t="str">
        <v>Orlando City SC</v>
      </c>
      <c r="AD134" s="12">
        <v>16</v>
      </c>
      <c r="AF134" s="42">
        <v>1958</v>
      </c>
      <c r="AG134" s="42" t="str">
        <v xml:space="preserve">19 Jun 1958 - 19:00 </v>
      </c>
      <c r="AH134" s="42" t="str">
        <v>QUARTER_FINALS</v>
      </c>
      <c r="AI134" s="42" t="str">
        <v>Idrottsparken</v>
      </c>
      <c r="AJ134" s="42" t="str">
        <v>Norrköping</v>
      </c>
      <c r="AK134" s="42" t="str">
        <v>France</v>
      </c>
      <c r="AL134" s="42">
        <v>4</v>
      </c>
      <c r="AM134" s="42">
        <v>0</v>
      </c>
      <c r="AN134" s="42" t="str">
        <v>Northern Ireland</v>
      </c>
      <c r="AO134" s="42" t="str">
        <v>-</v>
      </c>
    </row>
    <row r="135" spans="7:41">
      <c r="G135" s="30">
        <v>1998</v>
      </c>
      <c r="H135" s="30" t="str">
        <v>SEMI_FINALS</v>
      </c>
      <c r="I135" s="30" t="str">
        <v>Brazil</v>
      </c>
      <c r="J135" s="30" t="str">
        <v>Netherlands</v>
      </c>
      <c r="K135" s="30" t="str">
        <v>Netherlands</v>
      </c>
      <c r="L135" s="30" t="str">
        <v>Ronald de Boer</v>
      </c>
      <c r="M135" s="30" t="str">
        <v>Taffarel</v>
      </c>
      <c r="N135" s="30">
        <v>8</v>
      </c>
      <c r="O135" s="30">
        <v>4</v>
      </c>
      <c r="P135" s="30" t="str">
        <v>'2-4</v>
      </c>
      <c r="Q135" s="30" t="str">
        <v>Yes</v>
      </c>
      <c r="R135" s="30" t="str">
        <v>Yes</v>
      </c>
      <c r="S135" s="30" t="str">
        <v>Saved</v>
      </c>
      <c r="T135" s="30" t="str">
        <f t="shared" si="6"/>
        <v>2-4</v>
      </c>
      <c r="U135" s="30">
        <f t="shared" si="7"/>
        <v>2</v>
      </c>
      <c r="V135" s="30">
        <f t="shared" si="8"/>
        <v>4</v>
      </c>
      <c r="X135" s="12">
        <v>133</v>
      </c>
      <c r="Y135" s="12" t="str">
        <v>Owen Goodman</v>
      </c>
      <c r="Z135" s="12">
        <v>22</v>
      </c>
      <c r="AA135" s="12" t="str">
        <v>Canada</v>
      </c>
      <c r="AB135" s="12" t="str">
        <v>GK</v>
      </c>
      <c r="AC135" s="12" t="str">
        <v>Barnsley</v>
      </c>
      <c r="AD135" s="12">
        <v>18</v>
      </c>
      <c r="AF135" s="42">
        <v>1958</v>
      </c>
      <c r="AG135" s="42" t="str">
        <v xml:space="preserve">24 Jun 1958 - 19:00 </v>
      </c>
      <c r="AH135" s="42" t="str">
        <v>SEMI_FINALS</v>
      </c>
      <c r="AI135" s="42" t="str">
        <v>Nya Ullevi</v>
      </c>
      <c r="AJ135" s="42" t="str">
        <v xml:space="preserve">Gothenburg </v>
      </c>
      <c r="AK135" s="42" t="str">
        <v>Sweden</v>
      </c>
      <c r="AL135" s="42">
        <v>3</v>
      </c>
      <c r="AM135" s="42">
        <v>1</v>
      </c>
      <c r="AN135" s="42" t="str">
        <v>FR Germany</v>
      </c>
      <c r="AO135" s="42" t="str">
        <v>-</v>
      </c>
    </row>
    <row r="136" spans="7:41">
      <c r="G136" s="30">
        <v>2002</v>
      </c>
      <c r="H136" s="30" t="str">
        <v>ROUND_OF_16</v>
      </c>
      <c r="I136" s="30" t="str">
        <v>Spain</v>
      </c>
      <c r="J136" s="30" t="str">
        <v>Republic of Ireland</v>
      </c>
      <c r="K136" s="30" t="str">
        <v>Spain</v>
      </c>
      <c r="L136" s="30" t="str">
        <v>Robbie Keane</v>
      </c>
      <c r="M136" s="30" t="str">
        <v>Iker Casillas</v>
      </c>
      <c r="N136" s="30">
        <v>1</v>
      </c>
      <c r="O136" s="30">
        <v>1</v>
      </c>
      <c r="P136" s="30" t="str">
        <v>'0-0</v>
      </c>
      <c r="Q136" s="30" t="str">
        <v>No</v>
      </c>
      <c r="R136" s="30" t="str">
        <v>No</v>
      </c>
      <c r="S136" s="30" t="str">
        <v>Goal</v>
      </c>
      <c r="T136" s="30" t="str">
        <f t="shared" si="6"/>
        <v>0-0</v>
      </c>
      <c r="U136" s="30">
        <f t="shared" si="7"/>
        <v>0</v>
      </c>
      <c r="V136" s="30">
        <f t="shared" si="8"/>
        <v>0</v>
      </c>
      <c r="X136" s="12">
        <v>134</v>
      </c>
      <c r="Y136" s="12" t="str">
        <v>Alfie Jones</v>
      </c>
      <c r="Z136" s="12">
        <v>28</v>
      </c>
      <c r="AA136" s="12" t="str">
        <v>Canada</v>
      </c>
      <c r="AB136" s="12" t="str">
        <v>CB</v>
      </c>
      <c r="AC136" s="12" t="str">
        <v>Middlesbrough</v>
      </c>
      <c r="AD136" s="12">
        <v>3</v>
      </c>
      <c r="AF136" s="42">
        <v>1958</v>
      </c>
      <c r="AG136" s="42" t="str">
        <v xml:space="preserve">24 Jun 1958 - 19:00 </v>
      </c>
      <c r="AH136" s="42" t="str">
        <v>SEMI_FINALS</v>
      </c>
      <c r="AI136" s="42" t="str">
        <v>Rasunda Stadium</v>
      </c>
      <c r="AJ136" s="42" t="str">
        <v xml:space="preserve">Solna </v>
      </c>
      <c r="AK136" s="42" t="str">
        <v>Brazil</v>
      </c>
      <c r="AL136" s="42">
        <v>5</v>
      </c>
      <c r="AM136" s="42">
        <v>2</v>
      </c>
      <c r="AN136" s="42" t="str">
        <v>France</v>
      </c>
      <c r="AO136" s="42" t="str">
        <v>-</v>
      </c>
    </row>
    <row r="137" spans="7:41">
      <c r="G137" s="30">
        <v>2002</v>
      </c>
      <c r="H137" s="30" t="str">
        <v>ROUND_OF_16</v>
      </c>
      <c r="I137" s="30" t="str">
        <v>Spain</v>
      </c>
      <c r="J137" s="30" t="str">
        <v>Republic of Ireland</v>
      </c>
      <c r="K137" s="30" t="str">
        <v>Republic of Ireland</v>
      </c>
      <c r="L137" s="30" t="str">
        <v>Ian Harte</v>
      </c>
      <c r="M137" s="30" t="str">
        <v>Iker Casillas</v>
      </c>
      <c r="N137" s="30">
        <v>2</v>
      </c>
      <c r="O137" s="30">
        <v>1</v>
      </c>
      <c r="P137" s="30" t="str">
        <v>'1-0</v>
      </c>
      <c r="Q137" s="30" t="str">
        <v>No</v>
      </c>
      <c r="R137" s="30" t="str">
        <v>No</v>
      </c>
      <c r="S137" s="30" t="str">
        <v>Saved</v>
      </c>
      <c r="T137" s="30" t="str">
        <f t="shared" si="6"/>
        <v>1-0</v>
      </c>
      <c r="U137" s="30">
        <f t="shared" si="7"/>
        <v>1</v>
      </c>
      <c r="V137" s="30">
        <f t="shared" si="8"/>
        <v>0</v>
      </c>
      <c r="X137" s="12">
        <v>135</v>
      </c>
      <c r="Y137" s="12" t="str">
        <v>Luc de Fougerolles</v>
      </c>
      <c r="Z137" s="12">
        <v>20</v>
      </c>
      <c r="AA137" s="12" t="str">
        <v>Canada</v>
      </c>
      <c r="AB137" s="12" t="str">
        <v>CB</v>
      </c>
      <c r="AC137" s="12" t="str">
        <v>Dender EH</v>
      </c>
      <c r="AD137" s="12">
        <v>4</v>
      </c>
      <c r="AF137" s="42">
        <v>1958</v>
      </c>
      <c r="AG137" s="42" t="str">
        <v xml:space="preserve">28 Jun 1958 - 17:00 </v>
      </c>
      <c r="AH137" s="42" t="str">
        <v>THIRD_PLACE</v>
      </c>
      <c r="AI137" s="42" t="str">
        <v>Nya Ullevi</v>
      </c>
      <c r="AJ137" s="42" t="str">
        <v xml:space="preserve">Gothenburg </v>
      </c>
      <c r="AK137" s="42" t="str">
        <v>France</v>
      </c>
      <c r="AL137" s="42">
        <v>6</v>
      </c>
      <c r="AM137" s="42">
        <v>3</v>
      </c>
      <c r="AN137" s="42" t="str">
        <v>FR Germany</v>
      </c>
      <c r="AO137" s="42" t="str">
        <v>-</v>
      </c>
    </row>
    <row r="138" spans="7:41">
      <c r="G138" s="30">
        <v>2002</v>
      </c>
      <c r="H138" s="30" t="str">
        <v>ROUND_OF_16</v>
      </c>
      <c r="I138" s="30" t="str">
        <v>Spain</v>
      </c>
      <c r="J138" s="30" t="str">
        <v>Republic of Ireland</v>
      </c>
      <c r="K138" s="30" t="str">
        <v>Spain</v>
      </c>
      <c r="L138" s="30" t="str">
        <v>Rubén Baraja</v>
      </c>
      <c r="M138" s="30" t="str">
        <v>Shay Given</v>
      </c>
      <c r="N138" s="30">
        <v>3</v>
      </c>
      <c r="O138" s="30">
        <v>2</v>
      </c>
      <c r="P138" s="30" t="str">
        <v>'1-0</v>
      </c>
      <c r="Q138" s="30" t="str">
        <v>No</v>
      </c>
      <c r="R138" s="30" t="str">
        <v>No</v>
      </c>
      <c r="S138" s="30" t="str">
        <v>Goal</v>
      </c>
      <c r="T138" s="30" t="str">
        <f t="shared" si="6"/>
        <v>1-0</v>
      </c>
      <c r="U138" s="30">
        <f t="shared" si="7"/>
        <v>1</v>
      </c>
      <c r="V138" s="30">
        <f t="shared" si="8"/>
        <v>0</v>
      </c>
      <c r="X138" s="12">
        <v>136</v>
      </c>
      <c r="Y138" s="12" t="str">
        <v>Joel Waterman</v>
      </c>
      <c r="Z138" s="12">
        <v>30</v>
      </c>
      <c r="AA138" s="12" t="str">
        <v>Canada</v>
      </c>
      <c r="AB138" s="12" t="str">
        <v>CB</v>
      </c>
      <c r="AC138" s="12" t="str">
        <v>Chicago Fire FC</v>
      </c>
      <c r="AD138" s="12">
        <v>5</v>
      </c>
      <c r="AF138" s="42">
        <v>1958</v>
      </c>
      <c r="AG138" s="42" t="str">
        <v xml:space="preserve">29 Jun 1958 - 15:00 </v>
      </c>
      <c r="AH138" s="42" t="str">
        <v>FINAL</v>
      </c>
      <c r="AI138" s="42" t="str">
        <v>Rasunda Stadium</v>
      </c>
      <c r="AJ138" s="42" t="str">
        <v xml:space="preserve">Solna </v>
      </c>
      <c r="AK138" s="42" t="str">
        <v>Brazil</v>
      </c>
      <c r="AL138" s="42">
        <v>5</v>
      </c>
      <c r="AM138" s="42">
        <v>2</v>
      </c>
      <c r="AN138" s="42" t="str">
        <v>Sweden</v>
      </c>
      <c r="AO138" s="42" t="str">
        <v>-</v>
      </c>
    </row>
    <row r="139" spans="7:41">
      <c r="G139" s="30">
        <v>2002</v>
      </c>
      <c r="H139" s="30" t="str">
        <v>ROUND_OF_16</v>
      </c>
      <c r="I139" s="30" t="str">
        <v>Spain</v>
      </c>
      <c r="J139" s="30" t="str">
        <v>Republic of Ireland</v>
      </c>
      <c r="K139" s="30" t="str">
        <v>Republic of Ireland</v>
      </c>
      <c r="L139" s="30" t="str">
        <v>David Connolly</v>
      </c>
      <c r="M139" s="30" t="str">
        <v>Iker Casillas</v>
      </c>
      <c r="N139" s="30">
        <v>4</v>
      </c>
      <c r="O139" s="30">
        <v>2</v>
      </c>
      <c r="P139" s="30" t="str">
        <v>'2-0</v>
      </c>
      <c r="Q139" s="30" t="str">
        <v>No</v>
      </c>
      <c r="R139" s="30" t="str">
        <v>No</v>
      </c>
      <c r="S139" s="30" t="str">
        <v>Saved</v>
      </c>
      <c r="T139" s="30" t="str">
        <f t="shared" si="6"/>
        <v>2-0</v>
      </c>
      <c r="U139" s="30">
        <f t="shared" si="7"/>
        <v>2</v>
      </c>
      <c r="V139" s="30">
        <f t="shared" si="8"/>
        <v>0</v>
      </c>
      <c r="X139" s="12">
        <v>137</v>
      </c>
      <c r="Y139" s="12" t="str">
        <v>Derek Cornelius</v>
      </c>
      <c r="Z139" s="12">
        <v>28</v>
      </c>
      <c r="AA139" s="12" t="str">
        <v>Canada</v>
      </c>
      <c r="AB139" s="12" t="str">
        <v>CB</v>
      </c>
      <c r="AC139" s="12" t="str">
        <v>Rangers</v>
      </c>
      <c r="AD139" s="12">
        <v>13</v>
      </c>
      <c r="AF139" s="42">
        <v>1962</v>
      </c>
      <c r="AG139" s="42" t="str">
        <v xml:space="preserve">30 May 1962 - 15:00 </v>
      </c>
      <c r="AH139" s="42" t="str">
        <v>GROUP_STAGE</v>
      </c>
      <c r="AI139" s="42" t="str">
        <v>Carlos Dittborn</v>
      </c>
      <c r="AJ139" s="42" t="str">
        <v xml:space="preserve">Arica </v>
      </c>
      <c r="AK139" s="42" t="str">
        <v>Uruguay</v>
      </c>
      <c r="AL139" s="42">
        <v>2</v>
      </c>
      <c r="AM139" s="42">
        <v>1</v>
      </c>
      <c r="AN139" s="42" t="str">
        <v>Colombia</v>
      </c>
      <c r="AO139" s="42" t="str">
        <v>-</v>
      </c>
    </row>
    <row r="140" spans="7:41">
      <c r="G140" s="30">
        <v>2002</v>
      </c>
      <c r="H140" s="30" t="str">
        <v>ROUND_OF_16</v>
      </c>
      <c r="I140" s="30" t="str">
        <v>Spain</v>
      </c>
      <c r="J140" s="30" t="str">
        <v>Republic of Ireland</v>
      </c>
      <c r="K140" s="30" t="str">
        <v>Spain</v>
      </c>
      <c r="L140" s="30" t="str">
        <v>Juanfran</v>
      </c>
      <c r="M140" s="30" t="str">
        <v>Shay Given</v>
      </c>
      <c r="N140" s="30">
        <v>5</v>
      </c>
      <c r="O140" s="30">
        <v>3</v>
      </c>
      <c r="P140" s="30" t="str">
        <v>'2-0</v>
      </c>
      <c r="Q140" s="30" t="str">
        <v>No</v>
      </c>
      <c r="R140" s="30" t="str">
        <v>No</v>
      </c>
      <c r="S140" s="30" t="str">
        <v>Missed</v>
      </c>
      <c r="T140" s="30" t="str">
        <f t="shared" si="6"/>
        <v>2-0</v>
      </c>
      <c r="U140" s="30">
        <f t="shared" si="7"/>
        <v>2</v>
      </c>
      <c r="V140" s="30">
        <f t="shared" si="8"/>
        <v>0</v>
      </c>
      <c r="X140" s="12">
        <v>138</v>
      </c>
      <c r="Y140" s="12" t="str">
        <v>Moïse Bombito</v>
      </c>
      <c r="Z140" s="12">
        <v>26</v>
      </c>
      <c r="AA140" s="12" t="str">
        <v>Canada</v>
      </c>
      <c r="AB140" s="12" t="str">
        <v>CB</v>
      </c>
      <c r="AC140" s="12" t="str">
        <v>Nice</v>
      </c>
      <c r="AD140" s="12">
        <v>15</v>
      </c>
      <c r="AF140" s="42">
        <v>1962</v>
      </c>
      <c r="AG140" s="42" t="str">
        <v xml:space="preserve">30 May 1962 - 15:00 </v>
      </c>
      <c r="AH140" s="42" t="str">
        <v>GROUP_STAGE</v>
      </c>
      <c r="AI140" s="42" t="str">
        <v>Estadio Sausalito</v>
      </c>
      <c r="AJ140" s="42" t="str">
        <v xml:space="preserve">Vina Del Mar </v>
      </c>
      <c r="AK140" s="42" t="str">
        <v>Brazil</v>
      </c>
      <c r="AL140" s="42">
        <v>2</v>
      </c>
      <c r="AM140" s="42">
        <v>0</v>
      </c>
      <c r="AN140" s="42" t="str">
        <v>Mexico</v>
      </c>
      <c r="AO140" s="42" t="str">
        <v>-</v>
      </c>
    </row>
    <row r="141" spans="7:41">
      <c r="G141" s="30">
        <v>2002</v>
      </c>
      <c r="H141" s="30" t="str">
        <v>ROUND_OF_16</v>
      </c>
      <c r="I141" s="30" t="str">
        <v>Spain</v>
      </c>
      <c r="J141" s="30" t="str">
        <v>Republic of Ireland</v>
      </c>
      <c r="K141" s="30" t="str">
        <v>Republic of Ireland</v>
      </c>
      <c r="L141" s="30" t="str">
        <v>Kevin Kilbane</v>
      </c>
      <c r="M141" s="30" t="str">
        <v>Iker Casillas</v>
      </c>
      <c r="N141" s="30">
        <v>6</v>
      </c>
      <c r="O141" s="30">
        <v>3</v>
      </c>
      <c r="P141" s="30" t="str">
        <v>'2-0</v>
      </c>
      <c r="Q141" s="30" t="str">
        <v>No</v>
      </c>
      <c r="R141" s="30" t="str">
        <v>No</v>
      </c>
      <c r="S141" s="30" t="str">
        <v>Saved</v>
      </c>
      <c r="T141" s="30" t="str">
        <f t="shared" si="6"/>
        <v>2-0</v>
      </c>
      <c r="U141" s="30">
        <f t="shared" si="7"/>
        <v>2</v>
      </c>
      <c r="V141" s="30">
        <f t="shared" si="8"/>
        <v>0</v>
      </c>
      <c r="X141" s="12">
        <v>139</v>
      </c>
      <c r="Y141" s="12" t="str">
        <v>Alphonso Davies</v>
      </c>
      <c r="Z141" s="12">
        <v>25</v>
      </c>
      <c r="AA141" s="12" t="str">
        <v>Canada</v>
      </c>
      <c r="AB141" s="12" t="str">
        <v>LB</v>
      </c>
      <c r="AC141" s="12" t="str">
        <v>Bayern Munich</v>
      </c>
      <c r="AD141" s="12">
        <v>19</v>
      </c>
      <c r="AF141" s="42">
        <v>1962</v>
      </c>
      <c r="AG141" s="42" t="str">
        <v xml:space="preserve">30 May 1962 - 15:00 </v>
      </c>
      <c r="AH141" s="42" t="str">
        <v>GROUP_STAGE</v>
      </c>
      <c r="AI141" s="42" t="str">
        <v>Estadio El Teniente-Codelco</v>
      </c>
      <c r="AJ141" s="42" t="str">
        <v xml:space="preserve">Rancagua </v>
      </c>
      <c r="AK141" s="42" t="str">
        <v>Argentina</v>
      </c>
      <c r="AL141" s="42">
        <v>1</v>
      </c>
      <c r="AM141" s="42">
        <v>0</v>
      </c>
      <c r="AN141" s="42" t="str">
        <v>Bulgaria</v>
      </c>
      <c r="AO141" s="42" t="str">
        <v>-</v>
      </c>
    </row>
    <row r="142" spans="7:41">
      <c r="G142" s="30">
        <v>2002</v>
      </c>
      <c r="H142" s="30" t="str">
        <v>ROUND_OF_16</v>
      </c>
      <c r="I142" s="30" t="str">
        <v>Spain</v>
      </c>
      <c r="J142" s="30" t="str">
        <v>Republic of Ireland</v>
      </c>
      <c r="K142" s="30" t="str">
        <v>Spain</v>
      </c>
      <c r="L142" s="30" t="str">
        <v>Juan Carlos Valerón</v>
      </c>
      <c r="M142" s="30" t="str">
        <v>Shay Given</v>
      </c>
      <c r="N142" s="30">
        <v>7</v>
      </c>
      <c r="O142" s="30">
        <v>4</v>
      </c>
      <c r="P142" s="30" t="str">
        <v>'2-0</v>
      </c>
      <c r="Q142" s="30" t="str">
        <v>No</v>
      </c>
      <c r="R142" s="30" t="str">
        <v>No</v>
      </c>
      <c r="S142" s="30" t="str">
        <v>Missed</v>
      </c>
      <c r="T142" s="30" t="str">
        <f t="shared" si="6"/>
        <v>2-0</v>
      </c>
      <c r="U142" s="30">
        <f t="shared" si="7"/>
        <v>2</v>
      </c>
      <c r="V142" s="30">
        <f t="shared" si="8"/>
        <v>0</v>
      </c>
      <c r="X142" s="12">
        <v>140</v>
      </c>
      <c r="Y142" s="12" t="str">
        <v>Alistair Johnston</v>
      </c>
      <c r="Z142" s="12">
        <v>27</v>
      </c>
      <c r="AA142" s="12" t="str">
        <v>Canada</v>
      </c>
      <c r="AB142" s="12" t="str">
        <v>RB</v>
      </c>
      <c r="AC142" s="12" t="str">
        <v>Celtic</v>
      </c>
      <c r="AD142" s="12">
        <v>2</v>
      </c>
      <c r="AF142" s="42">
        <v>1962</v>
      </c>
      <c r="AG142" s="42" t="str">
        <v xml:space="preserve">30 May 1962 - 15:00 </v>
      </c>
      <c r="AH142" s="42" t="str">
        <v>GROUP_STAGE</v>
      </c>
      <c r="AI142" s="42" t="str">
        <v>Nacional</v>
      </c>
      <c r="AJ142" s="42" t="str">
        <v xml:space="preserve">Santiago De Chile </v>
      </c>
      <c r="AK142" s="42" t="str">
        <v>Chile</v>
      </c>
      <c r="AL142" s="42">
        <v>3</v>
      </c>
      <c r="AM142" s="42">
        <v>1</v>
      </c>
      <c r="AN142" s="42" t="str">
        <v>Switzerland</v>
      </c>
      <c r="AO142" s="42" t="str">
        <v>-</v>
      </c>
    </row>
    <row r="143" spans="7:41">
      <c r="G143" s="30">
        <v>2002</v>
      </c>
      <c r="H143" s="30" t="str">
        <v>ROUND_OF_16</v>
      </c>
      <c r="I143" s="30" t="str">
        <v>Spain</v>
      </c>
      <c r="J143" s="30" t="str">
        <v>Republic of Ireland</v>
      </c>
      <c r="K143" s="30" t="str">
        <v>Republic of Ireland</v>
      </c>
      <c r="L143" s="30" t="str">
        <v>Matt Holland</v>
      </c>
      <c r="M143" s="30" t="str">
        <v>Iker Casillas</v>
      </c>
      <c r="N143" s="30">
        <v>8</v>
      </c>
      <c r="O143" s="30">
        <v>4</v>
      </c>
      <c r="P143" s="30" t="str">
        <v>'2-0</v>
      </c>
      <c r="Q143" s="30" t="str">
        <v>No</v>
      </c>
      <c r="R143" s="30" t="str">
        <v>No</v>
      </c>
      <c r="S143" s="30" t="str">
        <v>Goal</v>
      </c>
      <c r="T143" s="30" t="str">
        <f t="shared" si="6"/>
        <v>2-0</v>
      </c>
      <c r="U143" s="30">
        <f t="shared" si="7"/>
        <v>2</v>
      </c>
      <c r="V143" s="30">
        <f t="shared" si="8"/>
        <v>0</v>
      </c>
      <c r="X143" s="12">
        <v>141</v>
      </c>
      <c r="Y143" s="12" t="str">
        <v>Richie Laryea</v>
      </c>
      <c r="Z143" s="12">
        <v>31</v>
      </c>
      <c r="AA143" s="12" t="str">
        <v>Canada</v>
      </c>
      <c r="AB143" s="12" t="str">
        <v>RB</v>
      </c>
      <c r="AC143" s="12" t="str">
        <v>Toronto FC</v>
      </c>
      <c r="AD143" s="12">
        <v>22</v>
      </c>
      <c r="AF143" s="42">
        <v>1962</v>
      </c>
      <c r="AG143" s="42" t="str">
        <v xml:space="preserve">31 May 1962 - 15:00 </v>
      </c>
      <c r="AH143" s="42" t="str">
        <v>GROUP_STAGE</v>
      </c>
      <c r="AI143" s="42" t="str">
        <v>Carlos Dittborn</v>
      </c>
      <c r="AJ143" s="42" t="str">
        <v xml:space="preserve">Arica </v>
      </c>
      <c r="AK143" s="42" t="str">
        <v>Soviet Union</v>
      </c>
      <c r="AL143" s="42">
        <v>2</v>
      </c>
      <c r="AM143" s="42">
        <v>0</v>
      </c>
      <c r="AN143" s="42" t="str">
        <v>Yugoslavia</v>
      </c>
      <c r="AO143" s="42" t="str">
        <v>-</v>
      </c>
    </row>
    <row r="144" spans="7:41">
      <c r="G144" s="30">
        <v>2002</v>
      </c>
      <c r="H144" s="30" t="str">
        <v>ROUND_OF_16</v>
      </c>
      <c r="I144" s="30" t="str">
        <v>Spain</v>
      </c>
      <c r="J144" s="30" t="str">
        <v>Republic of Ireland</v>
      </c>
      <c r="K144" s="30" t="str">
        <v>Spain</v>
      </c>
      <c r="L144" s="30" t="str">
        <v>Gaizka Mendieta</v>
      </c>
      <c r="M144" s="30" t="str">
        <v>Shay Given</v>
      </c>
      <c r="N144" s="30">
        <v>9</v>
      </c>
      <c r="O144" s="30">
        <v>5</v>
      </c>
      <c r="P144" s="30" t="str">
        <v>'1-2</v>
      </c>
      <c r="Q144" s="30" t="str">
        <v>No</v>
      </c>
      <c r="R144" s="30" t="str">
        <v>Yes</v>
      </c>
      <c r="S144" s="30" t="str">
        <v>Goal</v>
      </c>
      <c r="T144" s="30" t="str">
        <f t="shared" si="6"/>
        <v>1-2</v>
      </c>
      <c r="U144" s="30">
        <f t="shared" si="7"/>
        <v>1</v>
      </c>
      <c r="V144" s="30">
        <f t="shared" si="8"/>
        <v>2</v>
      </c>
      <c r="X144" s="12">
        <v>142</v>
      </c>
      <c r="Y144" s="12" t="str">
        <v>Stephen Eustáquio</v>
      </c>
      <c r="Z144" s="12">
        <v>29</v>
      </c>
      <c r="AA144" s="12" t="str">
        <v>Canada</v>
      </c>
      <c r="AB144" s="12" t="str">
        <v>CDM</v>
      </c>
      <c r="AC144" s="12" t="str">
        <v>Los Angeles FC</v>
      </c>
      <c r="AD144" s="12">
        <v>7</v>
      </c>
      <c r="AF144" s="42">
        <v>1962</v>
      </c>
      <c r="AG144" s="42" t="str">
        <v xml:space="preserve">31 May 1962 - 15:00 </v>
      </c>
      <c r="AH144" s="42" t="str">
        <v>GROUP_STAGE</v>
      </c>
      <c r="AI144" s="42" t="str">
        <v>Estadio Sausalito</v>
      </c>
      <c r="AJ144" s="42" t="str">
        <v xml:space="preserve">Vina Del Mar </v>
      </c>
      <c r="AK144" s="42" t="str">
        <v>Czechoslovakia</v>
      </c>
      <c r="AL144" s="42">
        <v>1</v>
      </c>
      <c r="AM144" s="42">
        <v>0</v>
      </c>
      <c r="AN144" s="42" t="str">
        <v>Spain</v>
      </c>
      <c r="AO144" s="42" t="str">
        <v>-</v>
      </c>
    </row>
    <row r="145" spans="7:41">
      <c r="G145" s="30">
        <v>2002</v>
      </c>
      <c r="H145" s="30" t="str">
        <v>QUARTER_FINALS</v>
      </c>
      <c r="I145" s="30" t="str">
        <v>Spain</v>
      </c>
      <c r="J145" s="30" t="str">
        <v>South Korea</v>
      </c>
      <c r="K145" s="30" t="str">
        <v>Spain</v>
      </c>
      <c r="L145" s="30" t="str">
        <v>Joaquín</v>
      </c>
      <c r="M145" s="30" t="str">
        <v>Lee Woon-jae</v>
      </c>
      <c r="N145" s="30">
        <v>1</v>
      </c>
      <c r="O145" s="30">
        <v>1</v>
      </c>
      <c r="P145" s="30" t="str">
        <v>'0-0</v>
      </c>
      <c r="Q145" s="30" t="str">
        <v>No</v>
      </c>
      <c r="R145" s="30" t="str">
        <v>No</v>
      </c>
      <c r="S145" s="30" t="str">
        <v>Saved</v>
      </c>
      <c r="T145" s="30" t="str">
        <f t="shared" si="6"/>
        <v>0-0</v>
      </c>
      <c r="U145" s="30">
        <f t="shared" si="7"/>
        <v>0</v>
      </c>
      <c r="V145" s="30">
        <f t="shared" si="8"/>
        <v>0</v>
      </c>
      <c r="X145" s="12">
        <v>143</v>
      </c>
      <c r="Y145" s="12" t="str">
        <v>Niko Sigur</v>
      </c>
      <c r="Z145" s="12">
        <v>22</v>
      </c>
      <c r="AA145" s="12" t="str">
        <v>Canada</v>
      </c>
      <c r="AB145" s="12" t="str">
        <v>CDM</v>
      </c>
      <c r="AC145" s="12" t="str">
        <v>Hajduk Split</v>
      </c>
      <c r="AD145" s="12">
        <v>23</v>
      </c>
      <c r="AF145" s="42">
        <v>1962</v>
      </c>
      <c r="AG145" s="42" t="str">
        <v xml:space="preserve">31 May 1962 - 15:00 </v>
      </c>
      <c r="AH145" s="42" t="str">
        <v>GROUP_STAGE</v>
      </c>
      <c r="AI145" s="42" t="str">
        <v>Estadio El Teniente-Codelco</v>
      </c>
      <c r="AJ145" s="42" t="str">
        <v xml:space="preserve">Rancagua </v>
      </c>
      <c r="AK145" s="42" t="str">
        <v>Hungary</v>
      </c>
      <c r="AL145" s="42">
        <v>2</v>
      </c>
      <c r="AM145" s="42">
        <v>1</v>
      </c>
      <c r="AN145" s="42" t="str">
        <v>England</v>
      </c>
      <c r="AO145" s="42" t="str">
        <v>-</v>
      </c>
    </row>
    <row r="146" spans="7:41">
      <c r="G146" s="30">
        <v>2002</v>
      </c>
      <c r="H146" s="30" t="str">
        <v>QUARTER_FINALS</v>
      </c>
      <c r="I146" s="30" t="str">
        <v>Spain</v>
      </c>
      <c r="J146" s="30" t="str">
        <v>South Korea</v>
      </c>
      <c r="K146" s="30" t="str">
        <v>South Korea</v>
      </c>
      <c r="L146" s="30" t="str">
        <v>Hwang Sun-hong</v>
      </c>
      <c r="M146" s="30" t="str">
        <v>Iker Casillas</v>
      </c>
      <c r="N146" s="30">
        <v>2</v>
      </c>
      <c r="O146" s="30">
        <v>1</v>
      </c>
      <c r="P146" s="30" t="str">
        <v>'0-0</v>
      </c>
      <c r="Q146" s="30" t="str">
        <v>No</v>
      </c>
      <c r="R146" s="30" t="str">
        <v>No</v>
      </c>
      <c r="S146" s="30" t="str">
        <v>Goal</v>
      </c>
      <c r="T146" s="30" t="str">
        <f t="shared" si="6"/>
        <v>0-0</v>
      </c>
      <c r="U146" s="30">
        <f t="shared" si="7"/>
        <v>0</v>
      </c>
      <c r="V146" s="30">
        <f t="shared" si="8"/>
        <v>0</v>
      </c>
      <c r="X146" s="12">
        <v>144</v>
      </c>
      <c r="Y146" s="12" t="str">
        <v>Mathieu Choinière</v>
      </c>
      <c r="Z146" s="12">
        <v>27</v>
      </c>
      <c r="AA146" s="12" t="str">
        <v>Canada</v>
      </c>
      <c r="AB146" s="12" t="str">
        <v>CM</v>
      </c>
      <c r="AC146" s="12" t="str">
        <v>Los Angeles FC</v>
      </c>
      <c r="AD146" s="12">
        <v>6</v>
      </c>
      <c r="AF146" s="42">
        <v>1962</v>
      </c>
      <c r="AG146" s="42" t="str">
        <v xml:space="preserve">31 May 1962 - 15:00 </v>
      </c>
      <c r="AH146" s="42" t="str">
        <v>GROUP_STAGE</v>
      </c>
      <c r="AI146" s="42" t="str">
        <v>Nacional</v>
      </c>
      <c r="AJ146" s="42" t="str">
        <v xml:space="preserve">Santiago De Chile </v>
      </c>
      <c r="AK146" s="42" t="str">
        <v>FR Germany</v>
      </c>
      <c r="AL146" s="42">
        <v>0</v>
      </c>
      <c r="AM146" s="42">
        <v>0</v>
      </c>
      <c r="AN146" s="42" t="str">
        <v>Italy</v>
      </c>
      <c r="AO146" s="42" t="str">
        <v>-</v>
      </c>
    </row>
    <row r="147" spans="7:41">
      <c r="G147" s="30">
        <v>2002</v>
      </c>
      <c r="H147" s="30" t="str">
        <v>QUARTER_FINALS</v>
      </c>
      <c r="I147" s="30" t="str">
        <v>Spain</v>
      </c>
      <c r="J147" s="30" t="str">
        <v>South Korea</v>
      </c>
      <c r="K147" s="30" t="str">
        <v>Spain</v>
      </c>
      <c r="L147" s="30" t="str">
        <v>Rubén Baraja</v>
      </c>
      <c r="M147" s="30" t="str">
        <v>Lee Woon-jae</v>
      </c>
      <c r="N147" s="30">
        <v>3</v>
      </c>
      <c r="O147" s="30">
        <v>2</v>
      </c>
      <c r="P147" s="30" t="str">
        <v>'0-1</v>
      </c>
      <c r="Q147" s="30" t="str">
        <v>No</v>
      </c>
      <c r="R147" s="30" t="str">
        <v>No</v>
      </c>
      <c r="S147" s="30" t="str">
        <v>Goal</v>
      </c>
      <c r="T147" s="30" t="str">
        <f t="shared" si="6"/>
        <v>0-1</v>
      </c>
      <c r="U147" s="30">
        <f t="shared" si="7"/>
        <v>0</v>
      </c>
      <c r="V147" s="30">
        <f t="shared" si="8"/>
        <v>1</v>
      </c>
      <c r="X147" s="12">
        <v>145</v>
      </c>
      <c r="Y147" s="12" t="str">
        <v>Ismaël Koné</v>
      </c>
      <c r="Z147" s="12">
        <v>23</v>
      </c>
      <c r="AA147" s="12" t="str">
        <v>Canada</v>
      </c>
      <c r="AB147" s="12" t="str">
        <v>CM</v>
      </c>
      <c r="AC147" s="12" t="str">
        <v>Sassuolo</v>
      </c>
      <c r="AD147" s="12">
        <v>8</v>
      </c>
      <c r="AF147" s="42">
        <v>1962</v>
      </c>
      <c r="AG147" s="42" t="str">
        <v xml:space="preserve">02 Jun 1962 - 15:00 </v>
      </c>
      <c r="AH147" s="42" t="str">
        <v>GROUP_STAGE</v>
      </c>
      <c r="AI147" s="42" t="str">
        <v>Carlos Dittborn</v>
      </c>
      <c r="AJ147" s="42" t="str">
        <v xml:space="preserve">Arica </v>
      </c>
      <c r="AK147" s="42" t="str">
        <v>Yugoslavia</v>
      </c>
      <c r="AL147" s="42">
        <v>3</v>
      </c>
      <c r="AM147" s="42">
        <v>1</v>
      </c>
      <c r="AN147" s="42" t="str">
        <v>Uruguay</v>
      </c>
      <c r="AO147" s="42" t="str">
        <v>-</v>
      </c>
    </row>
    <row r="148" spans="7:41">
      <c r="G148" s="30">
        <v>2002</v>
      </c>
      <c r="H148" s="30" t="str">
        <v>QUARTER_FINALS</v>
      </c>
      <c r="I148" s="30" t="str">
        <v>Spain</v>
      </c>
      <c r="J148" s="30" t="str">
        <v>South Korea</v>
      </c>
      <c r="K148" s="30" t="str">
        <v>South Korea</v>
      </c>
      <c r="L148" s="30" t="str">
        <v>Park Ji-sung</v>
      </c>
      <c r="M148" s="30" t="str">
        <v>Iker Casillas</v>
      </c>
      <c r="N148" s="30">
        <v>4</v>
      </c>
      <c r="O148" s="30">
        <v>2</v>
      </c>
      <c r="P148" s="30" t="str">
        <v>'1-1</v>
      </c>
      <c r="Q148" s="30" t="str">
        <v>No</v>
      </c>
      <c r="R148" s="30" t="str">
        <v>No</v>
      </c>
      <c r="S148" s="30" t="str">
        <v>Goal</v>
      </c>
      <c r="T148" s="30" t="str">
        <f t="shared" si="6"/>
        <v>1-1</v>
      </c>
      <c r="U148" s="30">
        <f t="shared" si="7"/>
        <v>1</v>
      </c>
      <c r="V148" s="30">
        <f t="shared" si="8"/>
        <v>1</v>
      </c>
      <c r="X148" s="12">
        <v>146</v>
      </c>
      <c r="Y148" s="12" t="str">
        <v>Jonathan Osorio</v>
      </c>
      <c r="Z148" s="12">
        <v>33</v>
      </c>
      <c r="AA148" s="12" t="str">
        <v>Canada</v>
      </c>
      <c r="AB148" s="12" t="str">
        <v>CM</v>
      </c>
      <c r="AC148" s="12" t="str">
        <v>Toronto FC</v>
      </c>
      <c r="AD148" s="12">
        <v>21</v>
      </c>
      <c r="AF148" s="42">
        <v>1962</v>
      </c>
      <c r="AG148" s="42" t="str">
        <v xml:space="preserve">02 Jun 1962 - 15:00 </v>
      </c>
      <c r="AH148" s="42" t="str">
        <v>GROUP_STAGE</v>
      </c>
      <c r="AI148" s="42" t="str">
        <v>Estadio Sausalito</v>
      </c>
      <c r="AJ148" s="42" t="str">
        <v xml:space="preserve">Vina Del Mar </v>
      </c>
      <c r="AK148" s="42" t="str">
        <v>Brazil</v>
      </c>
      <c r="AL148" s="42">
        <v>0</v>
      </c>
      <c r="AM148" s="42">
        <v>0</v>
      </c>
      <c r="AN148" s="42" t="str">
        <v>Czechoslovakia</v>
      </c>
      <c r="AO148" s="42" t="str">
        <v>-</v>
      </c>
    </row>
    <row r="149" spans="7:41">
      <c r="G149" s="30">
        <v>2002</v>
      </c>
      <c r="H149" s="30" t="str">
        <v>QUARTER_FINALS</v>
      </c>
      <c r="I149" s="30" t="str">
        <v>Spain</v>
      </c>
      <c r="J149" s="30" t="str">
        <v>South Korea</v>
      </c>
      <c r="K149" s="30" t="str">
        <v>Spain</v>
      </c>
      <c r="L149" s="30" t="str">
        <v>Xavi</v>
      </c>
      <c r="M149" s="30" t="str">
        <v>Lee Woon-jae</v>
      </c>
      <c r="N149" s="30">
        <v>5</v>
      </c>
      <c r="O149" s="30">
        <v>3</v>
      </c>
      <c r="P149" s="30" t="str">
        <v>'2-1</v>
      </c>
      <c r="Q149" s="30" t="str">
        <v>No</v>
      </c>
      <c r="R149" s="30" t="str">
        <v>No</v>
      </c>
      <c r="S149" s="30" t="str">
        <v>Goal</v>
      </c>
      <c r="T149" s="30" t="str">
        <f t="shared" si="6"/>
        <v>2-1</v>
      </c>
      <c r="U149" s="30">
        <f t="shared" si="7"/>
        <v>2</v>
      </c>
      <c r="V149" s="30">
        <f t="shared" si="8"/>
        <v>1</v>
      </c>
      <c r="X149" s="12">
        <v>147</v>
      </c>
      <c r="Y149" s="12" t="str">
        <v>Nathan Saliba</v>
      </c>
      <c r="Z149" s="12">
        <v>22</v>
      </c>
      <c r="AA149" s="12" t="str">
        <v>Canada</v>
      </c>
      <c r="AB149" s="12" t="str">
        <v>CM</v>
      </c>
      <c r="AC149" s="12" t="str">
        <v>Anderlecht</v>
      </c>
      <c r="AD149" s="12">
        <v>25</v>
      </c>
      <c r="AF149" s="42">
        <v>1962</v>
      </c>
      <c r="AG149" s="42" t="str">
        <v xml:space="preserve">02 Jun 1962 - 15:00 </v>
      </c>
      <c r="AH149" s="42" t="str">
        <v>GROUP_STAGE</v>
      </c>
      <c r="AI149" s="42" t="str">
        <v>Estadio El Teniente-Codelco</v>
      </c>
      <c r="AJ149" s="42" t="str">
        <v xml:space="preserve">Rancagua </v>
      </c>
      <c r="AK149" s="42" t="str">
        <v>England</v>
      </c>
      <c r="AL149" s="42">
        <v>3</v>
      </c>
      <c r="AM149" s="42">
        <v>1</v>
      </c>
      <c r="AN149" s="42" t="str">
        <v>Argentina</v>
      </c>
      <c r="AO149" s="42" t="str">
        <v>-</v>
      </c>
    </row>
    <row r="150" spans="7:41">
      <c r="G150" s="30">
        <v>2002</v>
      </c>
      <c r="H150" s="30" t="str">
        <v>QUARTER_FINALS</v>
      </c>
      <c r="I150" s="30" t="str">
        <v>Spain</v>
      </c>
      <c r="J150" s="30" t="str">
        <v>South Korea</v>
      </c>
      <c r="K150" s="30" t="str">
        <v>South Korea</v>
      </c>
      <c r="L150" s="30" t="str">
        <v>Seol Ki-hyeon</v>
      </c>
      <c r="M150" s="30" t="str">
        <v>Iker Casillas</v>
      </c>
      <c r="N150" s="30">
        <v>6</v>
      </c>
      <c r="O150" s="30">
        <v>3</v>
      </c>
      <c r="P150" s="30" t="str">
        <v>'2-2</v>
      </c>
      <c r="Q150" s="30" t="str">
        <v>No</v>
      </c>
      <c r="R150" s="30" t="str">
        <v>No</v>
      </c>
      <c r="S150" s="30" t="str">
        <v>Goal</v>
      </c>
      <c r="T150" s="30" t="str">
        <f t="shared" si="6"/>
        <v>2-2</v>
      </c>
      <c r="U150" s="30">
        <f t="shared" si="7"/>
        <v>2</v>
      </c>
      <c r="V150" s="30">
        <f t="shared" si="8"/>
        <v>2</v>
      </c>
      <c r="X150" s="12">
        <v>148</v>
      </c>
      <c r="Y150" s="12" t="str">
        <v>Ali Ahmed</v>
      </c>
      <c r="Z150" s="12">
        <v>25</v>
      </c>
      <c r="AA150" s="12" t="str">
        <v>Canada</v>
      </c>
      <c r="AB150" s="12" t="str">
        <v>RM</v>
      </c>
      <c r="AC150" s="12" t="str">
        <v>Norwich City</v>
      </c>
      <c r="AD150" s="12">
        <v>20</v>
      </c>
      <c r="AF150" s="42">
        <v>1962</v>
      </c>
      <c r="AG150" s="42" t="str">
        <v xml:space="preserve">02 Jun 1962 - 15:00 </v>
      </c>
      <c r="AH150" s="42" t="str">
        <v>GROUP_STAGE</v>
      </c>
      <c r="AI150" s="42" t="str">
        <v>Nacional</v>
      </c>
      <c r="AJ150" s="42" t="str">
        <v xml:space="preserve">Santiago De Chile </v>
      </c>
      <c r="AK150" s="42" t="str">
        <v>Chile</v>
      </c>
      <c r="AL150" s="42">
        <v>2</v>
      </c>
      <c r="AM150" s="42">
        <v>0</v>
      </c>
      <c r="AN150" s="42" t="str">
        <v>Italy</v>
      </c>
      <c r="AO150" s="42" t="str">
        <v>-</v>
      </c>
    </row>
    <row r="151" spans="7:41">
      <c r="G151" s="30">
        <v>2002</v>
      </c>
      <c r="H151" s="30" t="str">
        <v>QUARTER_FINALS</v>
      </c>
      <c r="I151" s="30" t="str">
        <v>Spain</v>
      </c>
      <c r="J151" s="30" t="str">
        <v>South Korea</v>
      </c>
      <c r="K151" s="30" t="str">
        <v>Spain</v>
      </c>
      <c r="L151" s="30" t="str">
        <v>Fernando Morientes</v>
      </c>
      <c r="M151" s="30" t="str">
        <v>Lee Woon-jae</v>
      </c>
      <c r="N151" s="30">
        <v>7</v>
      </c>
      <c r="O151" s="30">
        <v>4</v>
      </c>
      <c r="P151" s="30" t="str">
        <v>'3-2</v>
      </c>
      <c r="Q151" s="30" t="str">
        <v>No</v>
      </c>
      <c r="R151" s="30" t="str">
        <v>No</v>
      </c>
      <c r="S151" s="30" t="str">
        <v>Goal</v>
      </c>
      <c r="T151" s="30" t="str">
        <f t="shared" si="6"/>
        <v>3-2</v>
      </c>
      <c r="U151" s="30">
        <f t="shared" si="7"/>
        <v>3</v>
      </c>
      <c r="V151" s="30">
        <f t="shared" si="8"/>
        <v>2</v>
      </c>
      <c r="X151" s="12">
        <v>149</v>
      </c>
      <c r="Y151" s="12" t="str">
        <v>Liam Millar</v>
      </c>
      <c r="Z151" s="12">
        <v>26</v>
      </c>
      <c r="AA151" s="12" t="str">
        <v>Canada</v>
      </c>
      <c r="AB151" s="12" t="str">
        <v>LM</v>
      </c>
      <c r="AC151" s="12" t="str">
        <v>Hull City</v>
      </c>
      <c r="AD151" s="12">
        <v>11</v>
      </c>
      <c r="AF151" s="42">
        <v>1962</v>
      </c>
      <c r="AG151" s="42" t="str">
        <v xml:space="preserve">03 Jun 1962 - 15:00 </v>
      </c>
      <c r="AH151" s="42" t="str">
        <v>GROUP_STAGE</v>
      </c>
      <c r="AI151" s="42" t="str">
        <v>Carlos Dittborn</v>
      </c>
      <c r="AJ151" s="42" t="str">
        <v xml:space="preserve">Arica </v>
      </c>
      <c r="AK151" s="42" t="str">
        <v>Soviet Union</v>
      </c>
      <c r="AL151" s="42">
        <v>4</v>
      </c>
      <c r="AM151" s="42">
        <v>4</v>
      </c>
      <c r="AN151" s="42" t="str">
        <v>Colombia</v>
      </c>
      <c r="AO151" s="42" t="str">
        <v>-</v>
      </c>
    </row>
    <row r="152" spans="7:41">
      <c r="G152" s="30">
        <v>2002</v>
      </c>
      <c r="H152" s="30" t="str">
        <v>QUARTER_FINALS</v>
      </c>
      <c r="I152" s="30" t="str">
        <v>Spain</v>
      </c>
      <c r="J152" s="30" t="str">
        <v>South Korea</v>
      </c>
      <c r="K152" s="30" t="str">
        <v>South Korea</v>
      </c>
      <c r="L152" s="30" t="str">
        <v>Ahn Jung-hwan</v>
      </c>
      <c r="M152" s="30" t="str">
        <v>Iker Casillas</v>
      </c>
      <c r="N152" s="30">
        <v>8</v>
      </c>
      <c r="O152" s="30">
        <v>4</v>
      </c>
      <c r="P152" s="30" t="str">
        <v>'3-3</v>
      </c>
      <c r="Q152" s="30" t="str">
        <v>No</v>
      </c>
      <c r="R152" s="30" t="str">
        <v>No</v>
      </c>
      <c r="S152" s="30" t="str">
        <v>Goal</v>
      </c>
      <c r="T152" s="30" t="str">
        <f t="shared" si="6"/>
        <v>3-3</v>
      </c>
      <c r="U152" s="30">
        <f t="shared" si="7"/>
        <v>3</v>
      </c>
      <c r="V152" s="30">
        <f t="shared" si="8"/>
        <v>3</v>
      </c>
      <c r="X152" s="12">
        <v>150</v>
      </c>
      <c r="Y152" s="12" t="str">
        <v>Jacob Shaffelburg</v>
      </c>
      <c r="Z152" s="12">
        <v>26</v>
      </c>
      <c r="AA152" s="12" t="str">
        <v>Canada</v>
      </c>
      <c r="AB152" s="12" t="str">
        <v>LW</v>
      </c>
      <c r="AC152" s="12" t="str">
        <v>Los Angeles FC</v>
      </c>
      <c r="AD152" s="12">
        <v>14</v>
      </c>
      <c r="AF152" s="42">
        <v>1962</v>
      </c>
      <c r="AG152" s="42" t="str">
        <v xml:space="preserve">03 Jun 1962 - 15:00 </v>
      </c>
      <c r="AH152" s="42" t="str">
        <v>GROUP_STAGE</v>
      </c>
      <c r="AI152" s="42" t="str">
        <v>Estadio Sausalito</v>
      </c>
      <c r="AJ152" s="42" t="str">
        <v xml:space="preserve">Vina Del Mar </v>
      </c>
      <c r="AK152" s="42" t="str">
        <v>Spain</v>
      </c>
      <c r="AL152" s="42">
        <v>1</v>
      </c>
      <c r="AM152" s="42">
        <v>0</v>
      </c>
      <c r="AN152" s="42" t="str">
        <v>Mexico</v>
      </c>
      <c r="AO152" s="42" t="str">
        <v>-</v>
      </c>
    </row>
    <row r="153" spans="7:41">
      <c r="G153" s="30">
        <v>2002</v>
      </c>
      <c r="H153" s="30" t="str">
        <v>QUARTER_FINALS</v>
      </c>
      <c r="I153" s="30" t="str">
        <v>Spain</v>
      </c>
      <c r="J153" s="30" t="str">
        <v>South Korea</v>
      </c>
      <c r="K153" s="30" t="str">
        <v>South Korea</v>
      </c>
      <c r="L153" s="30" t="str">
        <v>Hong Myung-bo</v>
      </c>
      <c r="M153" s="30" t="str">
        <v>Iker Casillas</v>
      </c>
      <c r="N153" s="30">
        <v>9</v>
      </c>
      <c r="O153" s="30">
        <v>5</v>
      </c>
      <c r="P153" s="30" t="str">
        <v>'4-3</v>
      </c>
      <c r="Q153" s="30" t="str">
        <v>No</v>
      </c>
      <c r="R153" s="30" t="str">
        <v>Yes</v>
      </c>
      <c r="S153" s="30" t="str">
        <v>Goal</v>
      </c>
      <c r="T153" s="30" t="str">
        <f t="shared" si="6"/>
        <v>4-3</v>
      </c>
      <c r="U153" s="30">
        <f t="shared" si="7"/>
        <v>4</v>
      </c>
      <c r="V153" s="30">
        <f t="shared" si="8"/>
        <v>3</v>
      </c>
      <c r="X153" s="12">
        <v>151</v>
      </c>
      <c r="Y153" s="12" t="str">
        <v>Jayden Nelson</v>
      </c>
      <c r="Z153" s="12">
        <v>23</v>
      </c>
      <c r="AA153" s="12" t="str">
        <v>Canada</v>
      </c>
      <c r="AB153" s="12" t="str">
        <v>LW</v>
      </c>
      <c r="AC153" s="12" t="str">
        <v>Austin FC</v>
      </c>
      <c r="AD153" s="12">
        <v>26</v>
      </c>
      <c r="AF153" s="42">
        <v>1962</v>
      </c>
      <c r="AG153" s="42" t="str">
        <v xml:space="preserve">03 Jun 1962 - 15:00 </v>
      </c>
      <c r="AH153" s="42" t="str">
        <v>GROUP_STAGE</v>
      </c>
      <c r="AI153" s="42" t="str">
        <v>Estadio El Teniente-Codelco</v>
      </c>
      <c r="AJ153" s="42" t="str">
        <v xml:space="preserve">Rancagua </v>
      </c>
      <c r="AK153" s="42" t="str">
        <v>Hungary</v>
      </c>
      <c r="AL153" s="42">
        <v>6</v>
      </c>
      <c r="AM153" s="42">
        <v>1</v>
      </c>
      <c r="AN153" s="42" t="str">
        <v>Bulgaria</v>
      </c>
      <c r="AO153" s="42" t="str">
        <v>-</v>
      </c>
    </row>
    <row r="154" spans="7:41">
      <c r="G154" s="30">
        <v>2006</v>
      </c>
      <c r="H154" s="30" t="str">
        <v>ROUND_OF_16</v>
      </c>
      <c r="I154" s="30" t="str">
        <v>Ukraine</v>
      </c>
      <c r="J154" s="30" t="str">
        <v>Switzerland</v>
      </c>
      <c r="K154" s="30" t="str">
        <v>Ukraine</v>
      </c>
      <c r="L154" s="30" t="str">
        <v>Andriy Shevchenko</v>
      </c>
      <c r="M154" s="30" t="str">
        <v>Pascal Zuberbühler</v>
      </c>
      <c r="N154" s="30">
        <v>1</v>
      </c>
      <c r="O154" s="30">
        <v>1</v>
      </c>
      <c r="P154" s="30" t="str">
        <v>'0-0</v>
      </c>
      <c r="Q154" s="30" t="str">
        <v>No</v>
      </c>
      <c r="R154" s="30" t="str">
        <v>No</v>
      </c>
      <c r="S154" s="30" t="str">
        <v>Saved</v>
      </c>
      <c r="T154" s="30" t="str">
        <f t="shared" si="6"/>
        <v>0-0</v>
      </c>
      <c r="U154" s="30">
        <f t="shared" si="7"/>
        <v>0</v>
      </c>
      <c r="V154" s="30">
        <f t="shared" si="8"/>
        <v>0</v>
      </c>
      <c r="X154" s="12">
        <v>152</v>
      </c>
      <c r="Y154" s="12" t="str">
        <v>Tajon Buchanan</v>
      </c>
      <c r="Z154" s="12">
        <v>27</v>
      </c>
      <c r="AA154" s="12" t="str">
        <v>Canada</v>
      </c>
      <c r="AB154" s="12" t="str">
        <v>RW</v>
      </c>
      <c r="AC154" s="12" t="str">
        <v>Villarreal</v>
      </c>
      <c r="AD154" s="12">
        <v>17</v>
      </c>
      <c r="AF154" s="42">
        <v>1962</v>
      </c>
      <c r="AG154" s="42" t="str">
        <v xml:space="preserve">03 Jun 1962 - 15:00 </v>
      </c>
      <c r="AH154" s="42" t="str">
        <v>GROUP_STAGE</v>
      </c>
      <c r="AI154" s="42" t="str">
        <v>Nacional</v>
      </c>
      <c r="AJ154" s="42" t="str">
        <v xml:space="preserve">Santiago De Chile </v>
      </c>
      <c r="AK154" s="42" t="str">
        <v>FR Germany</v>
      </c>
      <c r="AL154" s="42">
        <v>2</v>
      </c>
      <c r="AM154" s="42">
        <v>1</v>
      </c>
      <c r="AN154" s="42" t="str">
        <v>Switzerland</v>
      </c>
      <c r="AO154" s="42" t="str">
        <v>-</v>
      </c>
    </row>
    <row r="155" spans="7:41">
      <c r="G155" s="30">
        <v>2006</v>
      </c>
      <c r="H155" s="30" t="str">
        <v>ROUND_OF_16</v>
      </c>
      <c r="I155" s="30" t="str">
        <v>Ukraine</v>
      </c>
      <c r="J155" s="30" t="str">
        <v>Switzerland</v>
      </c>
      <c r="K155" s="30" t="str">
        <v>Switzerland</v>
      </c>
      <c r="L155" s="30" t="str">
        <v>Marco Streller</v>
      </c>
      <c r="M155" s="30" t="str">
        <v>Oleksandr Shovkovskyi</v>
      </c>
      <c r="N155" s="30">
        <v>2</v>
      </c>
      <c r="O155" s="30">
        <v>1</v>
      </c>
      <c r="P155" s="30" t="str">
        <v>'0-0</v>
      </c>
      <c r="Q155" s="30" t="str">
        <v>No</v>
      </c>
      <c r="R155" s="30" t="str">
        <v>No</v>
      </c>
      <c r="S155" s="30" t="str">
        <v>Saved</v>
      </c>
      <c r="T155" s="30" t="str">
        <f t="shared" si="6"/>
        <v>0-0</v>
      </c>
      <c r="U155" s="30">
        <f t="shared" si="7"/>
        <v>0</v>
      </c>
      <c r="V155" s="30">
        <f t="shared" si="8"/>
        <v>0</v>
      </c>
      <c r="X155" s="12">
        <v>153</v>
      </c>
      <c r="Y155" s="12" t="str">
        <v>Cyle Larin</v>
      </c>
      <c r="Z155" s="12">
        <v>31</v>
      </c>
      <c r="AA155" s="12" t="str">
        <v>Canada</v>
      </c>
      <c r="AB155" s="12" t="str">
        <v>ST</v>
      </c>
      <c r="AC155" s="12" t="str">
        <v>Southampton</v>
      </c>
      <c r="AD155" s="12">
        <v>9</v>
      </c>
      <c r="AF155" s="42">
        <v>1962</v>
      </c>
      <c r="AG155" s="42" t="str">
        <v xml:space="preserve">06 Jun 1962 - 15:00 </v>
      </c>
      <c r="AH155" s="42" t="str">
        <v>GROUP_STAGE</v>
      </c>
      <c r="AI155" s="42" t="str">
        <v>Carlos Dittborn</v>
      </c>
      <c r="AJ155" s="42" t="str">
        <v xml:space="preserve">Arica </v>
      </c>
      <c r="AK155" s="42" t="str">
        <v>Soviet Union</v>
      </c>
      <c r="AL155" s="42">
        <v>2</v>
      </c>
      <c r="AM155" s="42">
        <v>1</v>
      </c>
      <c r="AN155" s="42" t="str">
        <v>Uruguay</v>
      </c>
      <c r="AO155" s="42" t="str">
        <v>-</v>
      </c>
    </row>
    <row r="156" spans="7:41">
      <c r="G156" s="30">
        <v>2006</v>
      </c>
      <c r="H156" s="30" t="str">
        <v>ROUND_OF_16</v>
      </c>
      <c r="I156" s="30" t="str">
        <v>Ukraine</v>
      </c>
      <c r="J156" s="30" t="str">
        <v>Switzerland</v>
      </c>
      <c r="K156" s="30" t="str">
        <v>Ukraine</v>
      </c>
      <c r="L156" s="30" t="str">
        <v>Artem Milevskyi</v>
      </c>
      <c r="M156" s="30" t="str">
        <v>Pascal Zuberbühler</v>
      </c>
      <c r="N156" s="30">
        <v>3</v>
      </c>
      <c r="O156" s="30">
        <v>2</v>
      </c>
      <c r="P156" s="30" t="str">
        <v>'0-0</v>
      </c>
      <c r="Q156" s="30" t="str">
        <v>No</v>
      </c>
      <c r="R156" s="30" t="str">
        <v>No</v>
      </c>
      <c r="S156" s="30" t="str">
        <v>Goal</v>
      </c>
      <c r="T156" s="30" t="str">
        <f t="shared" si="6"/>
        <v>0-0</v>
      </c>
      <c r="U156" s="30">
        <f t="shared" si="7"/>
        <v>0</v>
      </c>
      <c r="V156" s="30">
        <f t="shared" si="8"/>
        <v>0</v>
      </c>
      <c r="X156" s="12">
        <v>154</v>
      </c>
      <c r="Y156" s="12" t="str">
        <v>Jonathan David</v>
      </c>
      <c r="Z156" s="12">
        <v>26</v>
      </c>
      <c r="AA156" s="12" t="str">
        <v>Canada</v>
      </c>
      <c r="AB156" s="12" t="str">
        <v>ST</v>
      </c>
      <c r="AC156" s="12" t="str">
        <v>Juventus</v>
      </c>
      <c r="AD156" s="12">
        <v>10</v>
      </c>
      <c r="AF156" s="42">
        <v>1962</v>
      </c>
      <c r="AG156" s="42" t="str">
        <v xml:space="preserve">06 Jun 1962 - 15:00 </v>
      </c>
      <c r="AH156" s="42" t="str">
        <v>GROUP_STAGE</v>
      </c>
      <c r="AI156" s="42" t="str">
        <v>Estadio Sausalito</v>
      </c>
      <c r="AJ156" s="42" t="str">
        <v xml:space="preserve">Vina Del Mar </v>
      </c>
      <c r="AK156" s="42" t="str">
        <v>Brazil</v>
      </c>
      <c r="AL156" s="42">
        <v>2</v>
      </c>
      <c r="AM156" s="42">
        <v>1</v>
      </c>
      <c r="AN156" s="42" t="str">
        <v>Spain</v>
      </c>
      <c r="AO156" s="42" t="str">
        <v>-</v>
      </c>
    </row>
    <row r="157" spans="7:41">
      <c r="G157" s="30">
        <v>2006</v>
      </c>
      <c r="H157" s="30" t="str">
        <v>ROUND_OF_16</v>
      </c>
      <c r="I157" s="30" t="str">
        <v>Ukraine</v>
      </c>
      <c r="J157" s="30" t="str">
        <v>Switzerland</v>
      </c>
      <c r="K157" s="30" t="str">
        <v>Switzerland</v>
      </c>
      <c r="L157" s="30" t="str">
        <v>Tranquillo Barnetta</v>
      </c>
      <c r="M157" s="30" t="str">
        <v>Oleksandr Shovkovskyi</v>
      </c>
      <c r="N157" s="30">
        <v>4</v>
      </c>
      <c r="O157" s="30">
        <v>2</v>
      </c>
      <c r="P157" s="30" t="str">
        <v>'1-0</v>
      </c>
      <c r="Q157" s="30" t="str">
        <v>No</v>
      </c>
      <c r="R157" s="30" t="str">
        <v>No</v>
      </c>
      <c r="S157" s="30" t="str">
        <v>Missed</v>
      </c>
      <c r="T157" s="30" t="str">
        <f t="shared" si="6"/>
        <v>1-0</v>
      </c>
      <c r="U157" s="30">
        <f t="shared" si="7"/>
        <v>1</v>
      </c>
      <c r="V157" s="30">
        <f t="shared" si="8"/>
        <v>0</v>
      </c>
      <c r="X157" s="12">
        <v>155</v>
      </c>
      <c r="Y157" s="12" t="str">
        <v>Tani Oluwaseyi</v>
      </c>
      <c r="Z157" s="12">
        <v>26</v>
      </c>
      <c r="AA157" s="12" t="str">
        <v>Canada</v>
      </c>
      <c r="AB157" s="12" t="str">
        <v>ST</v>
      </c>
      <c r="AC157" s="12" t="str">
        <v>Villarreal</v>
      </c>
      <c r="AD157" s="12">
        <v>12</v>
      </c>
      <c r="AF157" s="42">
        <v>1962</v>
      </c>
      <c r="AG157" s="42" t="str">
        <v xml:space="preserve">06 Jun 1962 - 15:00 </v>
      </c>
      <c r="AH157" s="42" t="str">
        <v>GROUP_STAGE</v>
      </c>
      <c r="AI157" s="42" t="str">
        <v>Estadio El Teniente-Codelco</v>
      </c>
      <c r="AJ157" s="42" t="str">
        <v xml:space="preserve">Rancagua </v>
      </c>
      <c r="AK157" s="42" t="str">
        <v>Hungary</v>
      </c>
      <c r="AL157" s="42">
        <v>0</v>
      </c>
      <c r="AM157" s="42">
        <v>0</v>
      </c>
      <c r="AN157" s="42" t="str">
        <v>Argentina</v>
      </c>
      <c r="AO157" s="42" t="str">
        <v>-</v>
      </c>
    </row>
    <row r="158" spans="7:41">
      <c r="G158" s="30">
        <v>2006</v>
      </c>
      <c r="H158" s="30" t="str">
        <v>ROUND_OF_16</v>
      </c>
      <c r="I158" s="30" t="str">
        <v>Ukraine</v>
      </c>
      <c r="J158" s="30" t="str">
        <v>Switzerland</v>
      </c>
      <c r="K158" s="30" t="str">
        <v>Ukraine</v>
      </c>
      <c r="L158" s="30" t="str">
        <v>Serhiy Rebrov</v>
      </c>
      <c r="M158" s="30" t="str">
        <v>Pascal Zuberbühler</v>
      </c>
      <c r="N158" s="30">
        <v>5</v>
      </c>
      <c r="O158" s="30">
        <v>3</v>
      </c>
      <c r="P158" s="30" t="str">
        <v>'1-0</v>
      </c>
      <c r="Q158" s="30" t="str">
        <v>No</v>
      </c>
      <c r="R158" s="30" t="str">
        <v>No</v>
      </c>
      <c r="S158" s="30" t="str">
        <v>Goal</v>
      </c>
      <c r="T158" s="30" t="str">
        <f t="shared" si="6"/>
        <v>1-0</v>
      </c>
      <c r="U158" s="30">
        <f t="shared" si="7"/>
        <v>1</v>
      </c>
      <c r="V158" s="30">
        <f t="shared" si="8"/>
        <v>0</v>
      </c>
      <c r="X158" s="12">
        <v>156</v>
      </c>
      <c r="Y158" s="12" t="str">
        <v>Promise David</v>
      </c>
      <c r="Z158" s="12">
        <v>24</v>
      </c>
      <c r="AA158" s="12" t="str">
        <v>Canada</v>
      </c>
      <c r="AB158" s="12" t="str">
        <v>ST</v>
      </c>
      <c r="AC158" s="12" t="str">
        <v>Union Saint-Gilloise</v>
      </c>
      <c r="AD158" s="12">
        <v>24</v>
      </c>
      <c r="AF158" s="42">
        <v>1962</v>
      </c>
      <c r="AG158" s="42" t="str">
        <v xml:space="preserve">06 Jun 1962 - 15:00 </v>
      </c>
      <c r="AH158" s="42" t="str">
        <v>GROUP_STAGE</v>
      </c>
      <c r="AI158" s="42" t="str">
        <v>Nacional</v>
      </c>
      <c r="AJ158" s="42" t="str">
        <v xml:space="preserve">Santiago De Chile </v>
      </c>
      <c r="AK158" s="42" t="str">
        <v>FR Germany</v>
      </c>
      <c r="AL158" s="42">
        <v>2</v>
      </c>
      <c r="AM158" s="42">
        <v>0</v>
      </c>
      <c r="AN158" s="42" t="str">
        <v>Chile</v>
      </c>
      <c r="AO158" s="42" t="str">
        <v>-</v>
      </c>
    </row>
    <row r="159" spans="7:41">
      <c r="G159" s="30">
        <v>2006</v>
      </c>
      <c r="H159" s="30" t="str">
        <v>ROUND_OF_16</v>
      </c>
      <c r="I159" s="30" t="str">
        <v>Ukraine</v>
      </c>
      <c r="J159" s="30" t="str">
        <v>Switzerland</v>
      </c>
      <c r="K159" s="30" t="str">
        <v>Switzerland</v>
      </c>
      <c r="L159" s="30" t="str">
        <v>Ricardo Cabanas</v>
      </c>
      <c r="M159" s="30" t="str">
        <v>Oleksandr Shovkovskyi</v>
      </c>
      <c r="N159" s="30">
        <v>6</v>
      </c>
      <c r="O159" s="30">
        <v>3</v>
      </c>
      <c r="P159" s="30" t="str">
        <v>'2-0</v>
      </c>
      <c r="Q159" s="30" t="str">
        <v>No</v>
      </c>
      <c r="R159" s="30" t="str">
        <v>No</v>
      </c>
      <c r="S159" s="30" t="str">
        <v>Saved</v>
      </c>
      <c r="T159" s="30" t="str">
        <f t="shared" si="6"/>
        <v>2-0</v>
      </c>
      <c r="U159" s="30">
        <f t="shared" si="7"/>
        <v>2</v>
      </c>
      <c r="V159" s="30">
        <f t="shared" si="8"/>
        <v>0</v>
      </c>
      <c r="X159" s="12">
        <v>157</v>
      </c>
      <c r="Y159" s="12" t="str">
        <v>Mahmud Abunada</v>
      </c>
      <c r="Z159" s="12">
        <v>26</v>
      </c>
      <c r="AA159" s="12" t="str">
        <v>Qatar</v>
      </c>
      <c r="AB159" s="12" t="str">
        <v>GK</v>
      </c>
      <c r="AC159" s="12" t="str">
        <v>Al-Rayyan</v>
      </c>
      <c r="AD159" s="12">
        <v>1</v>
      </c>
      <c r="AF159" s="42">
        <v>1962</v>
      </c>
      <c r="AG159" s="42" t="str">
        <v xml:space="preserve">07 Jun 1962 - 15:00 </v>
      </c>
      <c r="AH159" s="42" t="str">
        <v>GROUP_STAGE</v>
      </c>
      <c r="AI159" s="42" t="str">
        <v>Carlos Dittborn</v>
      </c>
      <c r="AJ159" s="42" t="str">
        <v xml:space="preserve">Arica </v>
      </c>
      <c r="AK159" s="42" t="str">
        <v>Yugoslavia</v>
      </c>
      <c r="AL159" s="42">
        <v>5</v>
      </c>
      <c r="AM159" s="42">
        <v>0</v>
      </c>
      <c r="AN159" s="42" t="str">
        <v>Colombia</v>
      </c>
      <c r="AO159" s="42" t="str">
        <v>-</v>
      </c>
    </row>
    <row r="160" spans="7:41">
      <c r="G160" s="30">
        <v>2006</v>
      </c>
      <c r="H160" s="30" t="str">
        <v>ROUND_OF_16</v>
      </c>
      <c r="I160" s="30" t="str">
        <v>Ukraine</v>
      </c>
      <c r="J160" s="30" t="str">
        <v>Switzerland</v>
      </c>
      <c r="K160" s="30" t="str">
        <v>Ukraine</v>
      </c>
      <c r="L160" s="30" t="str">
        <v>Oleh Husyev</v>
      </c>
      <c r="M160" s="30" t="str">
        <v>Pascal Zuberbühler</v>
      </c>
      <c r="N160" s="30">
        <v>7</v>
      </c>
      <c r="O160" s="30">
        <v>4</v>
      </c>
      <c r="P160" s="30" t="str">
        <v>'2-0</v>
      </c>
      <c r="Q160" s="30" t="str">
        <v>No</v>
      </c>
      <c r="R160" s="30" t="str">
        <v>Yes</v>
      </c>
      <c r="S160" s="30" t="str">
        <v>Goal</v>
      </c>
      <c r="T160" s="30" t="str">
        <f t="shared" si="6"/>
        <v>2-0</v>
      </c>
      <c r="U160" s="30">
        <f t="shared" si="7"/>
        <v>2</v>
      </c>
      <c r="V160" s="30">
        <f t="shared" si="8"/>
        <v>0</v>
      </c>
      <c r="X160" s="12">
        <v>158</v>
      </c>
      <c r="Y160" s="12" t="str">
        <v>Salah Zakaria</v>
      </c>
      <c r="Z160" s="12">
        <v>27</v>
      </c>
      <c r="AA160" s="12" t="str">
        <v>Qatar</v>
      </c>
      <c r="AB160" s="12" t="str">
        <v>GK</v>
      </c>
      <c r="AC160" s="12" t="str">
        <v>Al-Duhail</v>
      </c>
      <c r="AD160" s="12">
        <v>21</v>
      </c>
      <c r="AF160" s="42">
        <v>1962</v>
      </c>
      <c r="AG160" s="42" t="str">
        <v xml:space="preserve">07 Jun 1962 - 15:00 </v>
      </c>
      <c r="AH160" s="42" t="str">
        <v>GROUP_STAGE</v>
      </c>
      <c r="AI160" s="42" t="str">
        <v>Estadio Sausalito</v>
      </c>
      <c r="AJ160" s="42" t="str">
        <v xml:space="preserve">Vina Del Mar </v>
      </c>
      <c r="AK160" s="42" t="str">
        <v>Mexico</v>
      </c>
      <c r="AL160" s="42">
        <v>3</v>
      </c>
      <c r="AM160" s="42">
        <v>1</v>
      </c>
      <c r="AN160" s="42" t="str">
        <v>Czechoslovakia</v>
      </c>
      <c r="AO160" s="42" t="str">
        <v>-</v>
      </c>
    </row>
    <row r="161" spans="7:41">
      <c r="G161" s="30">
        <v>2006</v>
      </c>
      <c r="H161" s="30" t="str">
        <v>QUARTER_FINALS</v>
      </c>
      <c r="I161" s="30" t="str">
        <v>Germany</v>
      </c>
      <c r="J161" s="30" t="str">
        <v>Argentina</v>
      </c>
      <c r="K161" s="30" t="str">
        <v>Germany</v>
      </c>
      <c r="L161" s="30" t="str">
        <v>Oliver Neuville</v>
      </c>
      <c r="M161" s="30" t="str">
        <v>Leonardo Franco</v>
      </c>
      <c r="N161" s="30">
        <v>1</v>
      </c>
      <c r="O161" s="30">
        <v>1</v>
      </c>
      <c r="P161" s="30" t="str">
        <v>'0-0</v>
      </c>
      <c r="Q161" s="30" t="str">
        <v>No</v>
      </c>
      <c r="R161" s="30" t="str">
        <v>No</v>
      </c>
      <c r="S161" s="30" t="str">
        <v>Goal</v>
      </c>
      <c r="T161" s="30" t="str">
        <f t="shared" si="6"/>
        <v>0-0</v>
      </c>
      <c r="U161" s="30">
        <f t="shared" si="7"/>
        <v>0</v>
      </c>
      <c r="V161" s="30">
        <f t="shared" si="8"/>
        <v>0</v>
      </c>
      <c r="X161" s="12">
        <v>159</v>
      </c>
      <c r="Y161" s="12" t="str">
        <v>Meshaal Barsham</v>
      </c>
      <c r="Z161" s="12">
        <v>28</v>
      </c>
      <c r="AA161" s="12" t="str">
        <v>Qatar</v>
      </c>
      <c r="AB161" s="12" t="str">
        <v>GK</v>
      </c>
      <c r="AC161" s="12" t="str">
        <v>Al-Sadd</v>
      </c>
      <c r="AD161" s="12">
        <v>22</v>
      </c>
      <c r="AF161" s="42">
        <v>1962</v>
      </c>
      <c r="AG161" s="42" t="str">
        <v xml:space="preserve">07 Jun 1962 - 15:00 </v>
      </c>
      <c r="AH161" s="42" t="str">
        <v>GROUP_STAGE</v>
      </c>
      <c r="AI161" s="42" t="str">
        <v>Estadio El Teniente-Codelco</v>
      </c>
      <c r="AJ161" s="42" t="str">
        <v xml:space="preserve">Rancagua </v>
      </c>
      <c r="AK161" s="42" t="str">
        <v>England</v>
      </c>
      <c r="AL161" s="42">
        <v>0</v>
      </c>
      <c r="AM161" s="42">
        <v>0</v>
      </c>
      <c r="AN161" s="42" t="str">
        <v>Bulgaria</v>
      </c>
      <c r="AO161" s="42" t="str">
        <v>-</v>
      </c>
    </row>
    <row r="162" spans="7:41">
      <c r="G162" s="30">
        <v>2006</v>
      </c>
      <c r="H162" s="30" t="str">
        <v>QUARTER_FINALS</v>
      </c>
      <c r="I162" s="30" t="str">
        <v>Germany</v>
      </c>
      <c r="J162" s="30" t="str">
        <v>Argentina</v>
      </c>
      <c r="K162" s="30" t="str">
        <v>Argentina</v>
      </c>
      <c r="L162" s="30" t="str">
        <v>Julio Ricardo Cruz</v>
      </c>
      <c r="M162" s="30" t="str">
        <v>Jens Lehmann</v>
      </c>
      <c r="N162" s="30">
        <v>2</v>
      </c>
      <c r="O162" s="30">
        <v>1</v>
      </c>
      <c r="P162" s="30" t="str">
        <v>'1-0</v>
      </c>
      <c r="Q162" s="30" t="str">
        <v>No</v>
      </c>
      <c r="R162" s="30" t="str">
        <v>No</v>
      </c>
      <c r="S162" s="30" t="str">
        <v>Goal</v>
      </c>
      <c r="T162" s="30" t="str">
        <f t="shared" si="6"/>
        <v>1-0</v>
      </c>
      <c r="U162" s="30">
        <f t="shared" si="7"/>
        <v>1</v>
      </c>
      <c r="V162" s="30">
        <f t="shared" si="8"/>
        <v>0</v>
      </c>
      <c r="X162" s="12">
        <v>160</v>
      </c>
      <c r="Y162" s="12" t="str">
        <v>Lucas Mendes</v>
      </c>
      <c r="Z162" s="12">
        <v>35</v>
      </c>
      <c r="AA162" s="12" t="str">
        <v>Qatar</v>
      </c>
      <c r="AB162" s="12" t="str">
        <v>CB</v>
      </c>
      <c r="AC162" s="12" t="str">
        <v>Al-Wakrah</v>
      </c>
      <c r="AD162" s="12">
        <v>3</v>
      </c>
      <c r="AF162" s="42">
        <v>1962</v>
      </c>
      <c r="AG162" s="42" t="str">
        <v xml:space="preserve">07 Jun 1962 - 15:00 </v>
      </c>
      <c r="AH162" s="42" t="str">
        <v>GROUP_STAGE</v>
      </c>
      <c r="AI162" s="42" t="str">
        <v>Nacional</v>
      </c>
      <c r="AJ162" s="42" t="str">
        <v xml:space="preserve">Santiago De Chile </v>
      </c>
      <c r="AK162" s="42" t="str">
        <v>Italy</v>
      </c>
      <c r="AL162" s="42">
        <v>3</v>
      </c>
      <c r="AM162" s="42">
        <v>0</v>
      </c>
      <c r="AN162" s="42" t="str">
        <v>Switzerland</v>
      </c>
      <c r="AO162" s="42" t="str">
        <v>-</v>
      </c>
    </row>
    <row r="163" spans="7:41">
      <c r="G163" s="30">
        <v>2006</v>
      </c>
      <c r="H163" s="30" t="str">
        <v>QUARTER_FINALS</v>
      </c>
      <c r="I163" s="30" t="str">
        <v>Germany</v>
      </c>
      <c r="J163" s="30" t="str">
        <v>Argentina</v>
      </c>
      <c r="K163" s="30" t="str">
        <v>Germany</v>
      </c>
      <c r="L163" s="30" t="str">
        <v>Michael Ballack</v>
      </c>
      <c r="M163" s="30" t="str">
        <v>Leonardo Franco</v>
      </c>
      <c r="N163" s="30">
        <v>3</v>
      </c>
      <c r="O163" s="30">
        <v>2</v>
      </c>
      <c r="P163" s="30" t="str">
        <v>'1-1</v>
      </c>
      <c r="Q163" s="30" t="str">
        <v>No</v>
      </c>
      <c r="R163" s="30" t="str">
        <v>No</v>
      </c>
      <c r="S163" s="30" t="str">
        <v>Goal</v>
      </c>
      <c r="T163" s="30" t="str">
        <f t="shared" si="6"/>
        <v>1-1</v>
      </c>
      <c r="U163" s="30">
        <f t="shared" si="7"/>
        <v>1</v>
      </c>
      <c r="V163" s="30">
        <f t="shared" si="8"/>
        <v>1</v>
      </c>
      <c r="X163" s="12">
        <v>161</v>
      </c>
      <c r="Y163" s="12" t="str">
        <v>Issa Laye</v>
      </c>
      <c r="Z163" s="12">
        <v>28</v>
      </c>
      <c r="AA163" s="12" t="str">
        <v>Qatar</v>
      </c>
      <c r="AB163" s="12" t="str">
        <v>CB</v>
      </c>
      <c r="AC163" s="12" t="str">
        <v>Al-Arabi</v>
      </c>
      <c r="AD163" s="12">
        <v>4</v>
      </c>
      <c r="AF163" s="42">
        <v>1962</v>
      </c>
      <c r="AG163" s="42" t="str">
        <v xml:space="preserve">10 Jun 1962 - 14:30 </v>
      </c>
      <c r="AH163" s="42" t="str">
        <v>QUARTER_FINALS</v>
      </c>
      <c r="AI163" s="42" t="str">
        <v>Carlos Dittborn</v>
      </c>
      <c r="AJ163" s="42" t="str">
        <v xml:space="preserve">Arica </v>
      </c>
      <c r="AK163" s="42" t="str">
        <v>Chile</v>
      </c>
      <c r="AL163" s="42">
        <v>2</v>
      </c>
      <c r="AM163" s="42">
        <v>1</v>
      </c>
      <c r="AN163" s="42" t="str">
        <v>Soviet Union</v>
      </c>
      <c r="AO163" s="42" t="str">
        <v>-</v>
      </c>
    </row>
    <row r="164" spans="7:41">
      <c r="G164" s="30">
        <v>2006</v>
      </c>
      <c r="H164" s="30" t="str">
        <v>QUARTER_FINALS</v>
      </c>
      <c r="I164" s="30" t="str">
        <v>Germany</v>
      </c>
      <c r="J164" s="30" t="str">
        <v>Argentina</v>
      </c>
      <c r="K164" s="30" t="str">
        <v>Argentina</v>
      </c>
      <c r="L164" s="30" t="str">
        <v>Roberto Ayala</v>
      </c>
      <c r="M164" s="30" t="str">
        <v>Jens Lehmann</v>
      </c>
      <c r="N164" s="30">
        <v>4</v>
      </c>
      <c r="O164" s="30">
        <v>2</v>
      </c>
      <c r="P164" s="30" t="str">
        <v>'1-2</v>
      </c>
      <c r="Q164" s="30" t="str">
        <v>No</v>
      </c>
      <c r="R164" s="30" t="str">
        <v>No</v>
      </c>
      <c r="S164" s="30" t="str">
        <v>Saved</v>
      </c>
      <c r="T164" s="30" t="str">
        <f t="shared" si="6"/>
        <v>1-2</v>
      </c>
      <c r="U164" s="30">
        <f t="shared" si="7"/>
        <v>1</v>
      </c>
      <c r="V164" s="30">
        <f t="shared" si="8"/>
        <v>2</v>
      </c>
      <c r="X164" s="12">
        <v>162</v>
      </c>
      <c r="Y164" s="12" t="str">
        <v>Jassem Gaber</v>
      </c>
      <c r="Z164" s="12">
        <v>24</v>
      </c>
      <c r="AA164" s="12" t="str">
        <v>Qatar</v>
      </c>
      <c r="AB164" s="12" t="str">
        <v>CB</v>
      </c>
      <c r="AC164" s="12" t="str">
        <v>Al-Rayyan</v>
      </c>
      <c r="AD164" s="12">
        <v>5</v>
      </c>
      <c r="AF164" s="42">
        <v>1962</v>
      </c>
      <c r="AG164" s="42" t="str">
        <v xml:space="preserve">10 Jun 1962 - 14:30 </v>
      </c>
      <c r="AH164" s="42" t="str">
        <v>QUARTER_FINALS</v>
      </c>
      <c r="AI164" s="42" t="str">
        <v>Estadio Sausalito</v>
      </c>
      <c r="AJ164" s="42" t="str">
        <v xml:space="preserve">Vina Del Mar </v>
      </c>
      <c r="AK164" s="42" t="str">
        <v>Brazil</v>
      </c>
      <c r="AL164" s="42">
        <v>3</v>
      </c>
      <c r="AM164" s="42">
        <v>1</v>
      </c>
      <c r="AN164" s="42" t="str">
        <v>England</v>
      </c>
      <c r="AO164" s="42" t="str">
        <v>-</v>
      </c>
    </row>
    <row r="165" spans="7:41">
      <c r="G165" s="30">
        <v>2006</v>
      </c>
      <c r="H165" s="30" t="str">
        <v>QUARTER_FINALS</v>
      </c>
      <c r="I165" s="30" t="str">
        <v>Germany</v>
      </c>
      <c r="J165" s="30" t="str">
        <v>Argentina</v>
      </c>
      <c r="K165" s="30" t="str">
        <v>Germany</v>
      </c>
      <c r="L165" s="30" t="str">
        <v>Lukas Podolski</v>
      </c>
      <c r="M165" s="30" t="str">
        <v>Leonardo Franco</v>
      </c>
      <c r="N165" s="30">
        <v>5</v>
      </c>
      <c r="O165" s="30">
        <v>3</v>
      </c>
      <c r="P165" s="30" t="str">
        <v>'1-2</v>
      </c>
      <c r="Q165" s="30" t="str">
        <v>No</v>
      </c>
      <c r="R165" s="30" t="str">
        <v>No</v>
      </c>
      <c r="S165" s="30" t="str">
        <v>Goal</v>
      </c>
      <c r="T165" s="30" t="str">
        <f t="shared" si="6"/>
        <v>1-2</v>
      </c>
      <c r="U165" s="30">
        <f t="shared" si="7"/>
        <v>1</v>
      </c>
      <c r="V165" s="30">
        <f t="shared" si="8"/>
        <v>2</v>
      </c>
      <c r="X165" s="12">
        <v>163</v>
      </c>
      <c r="Y165" s="12" t="str">
        <v>Ayoub Al-Oui</v>
      </c>
      <c r="Z165" s="12">
        <v>21</v>
      </c>
      <c r="AA165" s="12" t="str">
        <v>Qatar</v>
      </c>
      <c r="AB165" s="12" t="str">
        <v>CB</v>
      </c>
      <c r="AC165" s="12" t="str">
        <v>Al-Gharafa</v>
      </c>
      <c r="AD165" s="12">
        <v>13</v>
      </c>
      <c r="AF165" s="42">
        <v>1962</v>
      </c>
      <c r="AG165" s="42" t="str">
        <v xml:space="preserve">10 Jun 1962 - 14:30 </v>
      </c>
      <c r="AH165" s="42" t="str">
        <v>QUARTER_FINALS</v>
      </c>
      <c r="AI165" s="42" t="str">
        <v>Estadio El Teniente-Codelco</v>
      </c>
      <c r="AJ165" s="42" t="str">
        <v xml:space="preserve">Rancagua </v>
      </c>
      <c r="AK165" s="42" t="str">
        <v>Czechoslovakia</v>
      </c>
      <c r="AL165" s="42">
        <v>1</v>
      </c>
      <c r="AM165" s="42">
        <v>0</v>
      </c>
      <c r="AN165" s="42" t="str">
        <v>Hungary</v>
      </c>
      <c r="AO165" s="42" t="str">
        <v>-</v>
      </c>
    </row>
    <row r="166" spans="7:41">
      <c r="G166" s="30">
        <v>2006</v>
      </c>
      <c r="H166" s="30" t="str">
        <v>QUARTER_FINALS</v>
      </c>
      <c r="I166" s="30" t="str">
        <v>Germany</v>
      </c>
      <c r="J166" s="30" t="str">
        <v>Argentina</v>
      </c>
      <c r="K166" s="30" t="str">
        <v>Argentina</v>
      </c>
      <c r="L166" s="30" t="str">
        <v>Maxi Rodríguez</v>
      </c>
      <c r="M166" s="30" t="str">
        <v>Jens Lehmann</v>
      </c>
      <c r="N166" s="30">
        <v>6</v>
      </c>
      <c r="O166" s="30">
        <v>3</v>
      </c>
      <c r="P166" s="30" t="str">
        <v>'1-3</v>
      </c>
      <c r="Q166" s="30" t="str">
        <v>No</v>
      </c>
      <c r="R166" s="30" t="str">
        <v>No</v>
      </c>
      <c r="S166" s="30" t="str">
        <v>Goal</v>
      </c>
      <c r="T166" s="30" t="str">
        <f t="shared" si="6"/>
        <v>1-3</v>
      </c>
      <c r="U166" s="30">
        <f t="shared" si="7"/>
        <v>1</v>
      </c>
      <c r="V166" s="30">
        <f t="shared" si="8"/>
        <v>3</v>
      </c>
      <c r="X166" s="12">
        <v>164</v>
      </c>
      <c r="Y166" s="12" t="str">
        <v>Boualem Khoukhi</v>
      </c>
      <c r="Z166" s="12">
        <v>35</v>
      </c>
      <c r="AA166" s="12" t="str">
        <v>Qatar</v>
      </c>
      <c r="AB166" s="12" t="str">
        <v>CB</v>
      </c>
      <c r="AC166" s="12" t="str">
        <v>Al-Sadd</v>
      </c>
      <c r="AD166" s="12">
        <v>16</v>
      </c>
      <c r="AF166" s="42">
        <v>1962</v>
      </c>
      <c r="AG166" s="42" t="str">
        <v xml:space="preserve">10 Jun 1962 - 14:30 </v>
      </c>
      <c r="AH166" s="42" t="str">
        <v>QUARTER_FINALS</v>
      </c>
      <c r="AI166" s="42" t="str">
        <v>Nacional</v>
      </c>
      <c r="AJ166" s="42" t="str">
        <v xml:space="preserve">Santiago De Chile </v>
      </c>
      <c r="AK166" s="42" t="str">
        <v>Yugoslavia</v>
      </c>
      <c r="AL166" s="42">
        <v>1</v>
      </c>
      <c r="AM166" s="42">
        <v>0</v>
      </c>
      <c r="AN166" s="42" t="str">
        <v>FR Germany</v>
      </c>
      <c r="AO166" s="42" t="str">
        <v>-</v>
      </c>
    </row>
    <row r="167" spans="7:41">
      <c r="G167" s="30">
        <v>2006</v>
      </c>
      <c r="H167" s="30" t="str">
        <v>QUARTER_FINALS</v>
      </c>
      <c r="I167" s="30" t="str">
        <v>Germany</v>
      </c>
      <c r="J167" s="30" t="str">
        <v>Argentina</v>
      </c>
      <c r="K167" s="30" t="str">
        <v>Germany</v>
      </c>
      <c r="L167" s="30" t="str">
        <v>Tim Borowski</v>
      </c>
      <c r="M167" s="30" t="str">
        <v>Leonardo Franco</v>
      </c>
      <c r="N167" s="30">
        <v>7</v>
      </c>
      <c r="O167" s="30">
        <v>4</v>
      </c>
      <c r="P167" s="30" t="str">
        <v>'2-3</v>
      </c>
      <c r="Q167" s="30" t="str">
        <v>No</v>
      </c>
      <c r="R167" s="30" t="str">
        <v>No</v>
      </c>
      <c r="S167" s="30" t="str">
        <v>Goal</v>
      </c>
      <c r="T167" s="30" t="str">
        <f t="shared" si="6"/>
        <v>2-3</v>
      </c>
      <c r="U167" s="30">
        <f t="shared" si="7"/>
        <v>2</v>
      </c>
      <c r="V167" s="30">
        <f t="shared" si="8"/>
        <v>3</v>
      </c>
      <c r="X167" s="12">
        <v>165</v>
      </c>
      <c r="Y167" s="12" t="str">
        <v>Al-Hashmi Al-Hussain</v>
      </c>
      <c r="Z167" s="12">
        <v>22</v>
      </c>
      <c r="AA167" s="12" t="str">
        <v>Qatar</v>
      </c>
      <c r="AB167" s="12" t="str">
        <v>CB</v>
      </c>
      <c r="AC167" s="12" t="str">
        <v>Al-Arabi</v>
      </c>
      <c r="AD167" s="12">
        <v>25</v>
      </c>
      <c r="AF167" s="42">
        <v>1962</v>
      </c>
      <c r="AG167" s="42" t="str">
        <v xml:space="preserve">13 Jun 1962 - 14:30 </v>
      </c>
      <c r="AH167" s="42" t="str">
        <v>SEMI_FINALS</v>
      </c>
      <c r="AI167" s="42" t="str">
        <v>Estadio Sausalito</v>
      </c>
      <c r="AJ167" s="42" t="str">
        <v xml:space="preserve">Vina Del Mar </v>
      </c>
      <c r="AK167" s="42" t="str">
        <v>Czechoslovakia</v>
      </c>
      <c r="AL167" s="42">
        <v>3</v>
      </c>
      <c r="AM167" s="42">
        <v>1</v>
      </c>
      <c r="AN167" s="42" t="str">
        <v>Yugoslavia</v>
      </c>
      <c r="AO167" s="42" t="str">
        <v>-</v>
      </c>
    </row>
    <row r="168" spans="7:41">
      <c r="G168" s="30">
        <v>2006</v>
      </c>
      <c r="H168" s="30" t="str">
        <v>QUARTER_FINALS</v>
      </c>
      <c r="I168" s="30" t="str">
        <v>Germany</v>
      </c>
      <c r="J168" s="30" t="str">
        <v>Argentina</v>
      </c>
      <c r="K168" s="30" t="str">
        <v>Argentina</v>
      </c>
      <c r="L168" s="30" t="str">
        <v>Esteban Cambiasso</v>
      </c>
      <c r="M168" s="30" t="str">
        <v>Jens Lehmann</v>
      </c>
      <c r="N168" s="30">
        <v>8</v>
      </c>
      <c r="O168" s="30">
        <v>4</v>
      </c>
      <c r="P168" s="30" t="str">
        <v>'2-4</v>
      </c>
      <c r="Q168" s="30" t="str">
        <v>Yes</v>
      </c>
      <c r="R168" s="30" t="str">
        <v>Yes</v>
      </c>
      <c r="S168" s="30" t="str">
        <v>Saved</v>
      </c>
      <c r="T168" s="30" t="str">
        <f t="shared" si="6"/>
        <v>2-4</v>
      </c>
      <c r="U168" s="30">
        <f t="shared" si="7"/>
        <v>2</v>
      </c>
      <c r="V168" s="30">
        <f t="shared" si="8"/>
        <v>4</v>
      </c>
      <c r="X168" s="12">
        <v>166</v>
      </c>
      <c r="Y168" s="12" t="str">
        <v>Homam Ahmed</v>
      </c>
      <c r="Z168" s="12">
        <v>26</v>
      </c>
      <c r="AA168" s="12" t="str">
        <v>Qatar</v>
      </c>
      <c r="AB168" s="12" t="str">
        <v>LB</v>
      </c>
      <c r="AC168" s="12" t="str">
        <v>Cultural Leonesa</v>
      </c>
      <c r="AD168" s="12">
        <v>14</v>
      </c>
      <c r="AF168" s="42">
        <v>1962</v>
      </c>
      <c r="AG168" s="42" t="str">
        <v xml:space="preserve">13 Jun 1962 - 14:30 </v>
      </c>
      <c r="AH168" s="42" t="str">
        <v>SEMI_FINALS</v>
      </c>
      <c r="AI168" s="42" t="str">
        <v>Nacional</v>
      </c>
      <c r="AJ168" s="42" t="str">
        <v xml:space="preserve">Santiago De Chile </v>
      </c>
      <c r="AK168" s="42" t="str">
        <v>Brazil</v>
      </c>
      <c r="AL168" s="42">
        <v>4</v>
      </c>
      <c r="AM168" s="42">
        <v>2</v>
      </c>
      <c r="AN168" s="42" t="str">
        <v>Chile</v>
      </c>
      <c r="AO168" s="42" t="str">
        <v>-</v>
      </c>
    </row>
    <row r="169" spans="7:41">
      <c r="G169" s="30">
        <v>2006</v>
      </c>
      <c r="H169" s="30" t="str">
        <v>QUARTER_FINALS</v>
      </c>
      <c r="I169" s="30" t="str">
        <v>Portugal</v>
      </c>
      <c r="J169" s="30" t="str">
        <v>England</v>
      </c>
      <c r="K169" s="30" t="str">
        <v>Portugal</v>
      </c>
      <c r="L169" s="30" t="str">
        <v>Simão Sabrosa</v>
      </c>
      <c r="M169" s="30" t="str">
        <v>Paul Robinson</v>
      </c>
      <c r="N169" s="30">
        <v>1</v>
      </c>
      <c r="O169" s="30">
        <v>1</v>
      </c>
      <c r="P169" s="30" t="str">
        <v>'0-0</v>
      </c>
      <c r="Q169" s="30" t="str">
        <v>No</v>
      </c>
      <c r="R169" s="30" t="str">
        <v>No</v>
      </c>
      <c r="S169" s="30" t="str">
        <v>Goal</v>
      </c>
      <c r="T169" s="30" t="str">
        <f t="shared" si="6"/>
        <v>0-0</v>
      </c>
      <c r="U169" s="30">
        <f t="shared" si="7"/>
        <v>0</v>
      </c>
      <c r="V169" s="30">
        <f t="shared" si="8"/>
        <v>0</v>
      </c>
      <c r="X169" s="12">
        <v>167</v>
      </c>
      <c r="Y169" s="12" t="str">
        <v>Sultan Al-Brake</v>
      </c>
      <c r="Z169" s="12">
        <v>30</v>
      </c>
      <c r="AA169" s="12" t="str">
        <v>Qatar</v>
      </c>
      <c r="AB169" s="12" t="str">
        <v>LB</v>
      </c>
      <c r="AC169" s="12" t="str">
        <v>Al-Duhail</v>
      </c>
      <c r="AD169" s="12">
        <v>18</v>
      </c>
      <c r="AF169" s="42">
        <v>1962</v>
      </c>
      <c r="AG169" s="42" t="str">
        <v xml:space="preserve">16 Jun 1962 - 14:30 </v>
      </c>
      <c r="AH169" s="42" t="str">
        <v>THIRD_PLACE</v>
      </c>
      <c r="AI169" s="42" t="str">
        <v>Nacional</v>
      </c>
      <c r="AJ169" s="42" t="str">
        <v xml:space="preserve">Santiago De Chile </v>
      </c>
      <c r="AK169" s="42" t="str">
        <v>Chile</v>
      </c>
      <c r="AL169" s="42">
        <v>1</v>
      </c>
      <c r="AM169" s="42">
        <v>0</v>
      </c>
      <c r="AN169" s="42" t="str">
        <v>Yugoslavia</v>
      </c>
      <c r="AO169" s="42" t="str">
        <v>-</v>
      </c>
    </row>
    <row r="170" spans="7:41">
      <c r="G170" s="30">
        <v>2006</v>
      </c>
      <c r="H170" s="30" t="str">
        <v>QUARTER_FINALS</v>
      </c>
      <c r="I170" s="30" t="str">
        <v>Portugal</v>
      </c>
      <c r="J170" s="30" t="str">
        <v>England</v>
      </c>
      <c r="K170" s="30" t="str">
        <v>England</v>
      </c>
      <c r="L170" s="30" t="str">
        <v>Frank Lampard</v>
      </c>
      <c r="M170" s="30" t="str">
        <v>Ricardo</v>
      </c>
      <c r="N170" s="30">
        <v>2</v>
      </c>
      <c r="O170" s="30">
        <v>1</v>
      </c>
      <c r="P170" s="30" t="str">
        <v>'1-0</v>
      </c>
      <c r="Q170" s="30" t="str">
        <v>No</v>
      </c>
      <c r="R170" s="30" t="str">
        <v>No</v>
      </c>
      <c r="S170" s="30" t="str">
        <v>Saved</v>
      </c>
      <c r="T170" s="30" t="str">
        <f t="shared" si="6"/>
        <v>1-0</v>
      </c>
      <c r="U170" s="30">
        <f t="shared" si="7"/>
        <v>1</v>
      </c>
      <c r="V170" s="30">
        <f t="shared" si="8"/>
        <v>0</v>
      </c>
      <c r="X170" s="12">
        <v>168</v>
      </c>
      <c r="Y170" s="12" t="str">
        <v>Pedro Miguel</v>
      </c>
      <c r="Z170" s="12">
        <v>35</v>
      </c>
      <c r="AA170" s="12" t="str">
        <v>Qatar</v>
      </c>
      <c r="AB170" s="12" t="str">
        <v>RB</v>
      </c>
      <c r="AC170" s="12" t="str">
        <v>Al-Sadd</v>
      </c>
      <c r="AD170" s="12">
        <v>2</v>
      </c>
      <c r="AF170" s="42">
        <v>1962</v>
      </c>
      <c r="AG170" s="42" t="str">
        <v xml:space="preserve">17 Jun 1962 - 14:30 </v>
      </c>
      <c r="AH170" s="42" t="str">
        <v>FINAL</v>
      </c>
      <c r="AI170" s="42" t="str">
        <v>Nacional</v>
      </c>
      <c r="AJ170" s="42" t="str">
        <v xml:space="preserve">Santiago De Chile </v>
      </c>
      <c r="AK170" s="42" t="str">
        <v>Brazil</v>
      </c>
      <c r="AL170" s="42">
        <v>3</v>
      </c>
      <c r="AM170" s="42">
        <v>1</v>
      </c>
      <c r="AN170" s="42" t="str">
        <v>Czechoslovakia</v>
      </c>
      <c r="AO170" s="42" t="str">
        <v>-</v>
      </c>
    </row>
    <row r="171" spans="7:41">
      <c r="G171" s="30">
        <v>2006</v>
      </c>
      <c r="H171" s="30" t="str">
        <v>QUARTER_FINALS</v>
      </c>
      <c r="I171" s="30" t="str">
        <v>Portugal</v>
      </c>
      <c r="J171" s="30" t="str">
        <v>England</v>
      </c>
      <c r="K171" s="30" t="str">
        <v>Portugal</v>
      </c>
      <c r="L171" s="30" t="str">
        <v>Hugo Viana</v>
      </c>
      <c r="M171" s="30" t="str">
        <v>Paul Robinson</v>
      </c>
      <c r="N171" s="30">
        <v>3</v>
      </c>
      <c r="O171" s="30">
        <v>2</v>
      </c>
      <c r="P171" s="30" t="str">
        <v>'1-0</v>
      </c>
      <c r="Q171" s="30" t="str">
        <v>No</v>
      </c>
      <c r="R171" s="30" t="str">
        <v>No</v>
      </c>
      <c r="S171" s="30" t="str">
        <v>Missed</v>
      </c>
      <c r="T171" s="30" t="str">
        <f t="shared" si="6"/>
        <v>1-0</v>
      </c>
      <c r="U171" s="30">
        <f t="shared" si="7"/>
        <v>1</v>
      </c>
      <c r="V171" s="30">
        <f t="shared" si="8"/>
        <v>0</v>
      </c>
      <c r="X171" s="12">
        <v>169</v>
      </c>
      <c r="Y171" s="12" t="str">
        <v>Ahmed Fathy</v>
      </c>
      <c r="Z171" s="12">
        <v>33</v>
      </c>
      <c r="AA171" s="12" t="str">
        <v>Qatar</v>
      </c>
      <c r="AB171" s="12" t="str">
        <v>CDM</v>
      </c>
      <c r="AC171" s="12" t="str">
        <v>Al-Arabi</v>
      </c>
      <c r="AD171" s="12">
        <v>20</v>
      </c>
      <c r="AF171" s="42">
        <v>1966</v>
      </c>
      <c r="AG171" s="42" t="str">
        <v xml:space="preserve">11 Jul 1966 - 19:30 </v>
      </c>
      <c r="AH171" s="42" t="str">
        <v>GROUP_STAGE</v>
      </c>
      <c r="AI171" s="42" t="str">
        <v>Wembley Stadium</v>
      </c>
      <c r="AJ171" s="42" t="str">
        <v xml:space="preserve">London </v>
      </c>
      <c r="AK171" s="42" t="str">
        <v>England</v>
      </c>
      <c r="AL171" s="42">
        <v>0</v>
      </c>
      <c r="AM171" s="42">
        <v>0</v>
      </c>
      <c r="AN171" s="42" t="str">
        <v>Uruguay</v>
      </c>
      <c r="AO171" s="42" t="str">
        <v>-</v>
      </c>
    </row>
    <row r="172" spans="7:41">
      <c r="G172" s="30">
        <v>2006</v>
      </c>
      <c r="H172" s="30" t="str">
        <v>QUARTER_FINALS</v>
      </c>
      <c r="I172" s="30" t="str">
        <v>Portugal</v>
      </c>
      <c r="J172" s="30" t="str">
        <v>England</v>
      </c>
      <c r="K172" s="30" t="str">
        <v>England</v>
      </c>
      <c r="L172" s="30" t="str">
        <v>Owen Hargreaves</v>
      </c>
      <c r="M172" s="30" t="str">
        <v>Ricardo</v>
      </c>
      <c r="N172" s="30">
        <v>4</v>
      </c>
      <c r="O172" s="30">
        <v>2</v>
      </c>
      <c r="P172" s="30" t="str">
        <v>'1-0</v>
      </c>
      <c r="Q172" s="30" t="str">
        <v>No</v>
      </c>
      <c r="R172" s="30" t="str">
        <v>No</v>
      </c>
      <c r="S172" s="30" t="str">
        <v>Goal</v>
      </c>
      <c r="T172" s="30" t="str">
        <f t="shared" si="6"/>
        <v>1-0</v>
      </c>
      <c r="U172" s="30">
        <f t="shared" si="7"/>
        <v>1</v>
      </c>
      <c r="V172" s="30">
        <f t="shared" si="8"/>
        <v>0</v>
      </c>
      <c r="X172" s="12">
        <v>170</v>
      </c>
      <c r="Y172" s="12" t="str">
        <v>Assim Madibo</v>
      </c>
      <c r="Z172" s="12">
        <v>29</v>
      </c>
      <c r="AA172" s="12" t="str">
        <v>Qatar</v>
      </c>
      <c r="AB172" s="12" t="str">
        <v>CDM</v>
      </c>
      <c r="AC172" s="12" t="str">
        <v>Al-Wakrah</v>
      </c>
      <c r="AD172" s="12">
        <v>23</v>
      </c>
      <c r="AF172" s="42">
        <v>1966</v>
      </c>
      <c r="AG172" s="42" t="str">
        <v xml:space="preserve">12 Jul 1966 - 19:30 </v>
      </c>
      <c r="AH172" s="42" t="str">
        <v>GROUP_STAGE</v>
      </c>
      <c r="AI172" s="42" t="str">
        <v>Hillsborough</v>
      </c>
      <c r="AJ172" s="42" t="str">
        <v xml:space="preserve">Sheffield </v>
      </c>
      <c r="AK172" s="42" t="str">
        <v>FR Germany</v>
      </c>
      <c r="AL172" s="42">
        <v>5</v>
      </c>
      <c r="AM172" s="42">
        <v>0</v>
      </c>
      <c r="AN172" s="42" t="str">
        <v>Switzerland</v>
      </c>
      <c r="AO172" s="42" t="str">
        <v>-</v>
      </c>
    </row>
    <row r="173" spans="7:41">
      <c r="G173" s="30">
        <v>2006</v>
      </c>
      <c r="H173" s="30" t="str">
        <v>QUARTER_FINALS</v>
      </c>
      <c r="I173" s="30" t="str">
        <v>Portugal</v>
      </c>
      <c r="J173" s="30" t="str">
        <v>England</v>
      </c>
      <c r="K173" s="30" t="str">
        <v>Portugal</v>
      </c>
      <c r="L173" s="30" t="str">
        <v>Petit</v>
      </c>
      <c r="M173" s="30" t="str">
        <v>Paul Robinson</v>
      </c>
      <c r="N173" s="30">
        <v>5</v>
      </c>
      <c r="O173" s="30">
        <v>3</v>
      </c>
      <c r="P173" s="30" t="str">
        <v>'1-1</v>
      </c>
      <c r="Q173" s="30" t="str">
        <v>No</v>
      </c>
      <c r="R173" s="30" t="str">
        <v>No</v>
      </c>
      <c r="S173" s="30" t="str">
        <v>Missed</v>
      </c>
      <c r="T173" s="30" t="str">
        <f t="shared" si="6"/>
        <v>1-1</v>
      </c>
      <c r="U173" s="30">
        <f t="shared" si="7"/>
        <v>1</v>
      </c>
      <c r="V173" s="30">
        <f t="shared" si="8"/>
        <v>1</v>
      </c>
      <c r="X173" s="12">
        <v>171</v>
      </c>
      <c r="Y173" s="12" t="str">
        <v>Abdulaziz Hatem</v>
      </c>
      <c r="Z173" s="12">
        <v>36</v>
      </c>
      <c r="AA173" s="12" t="str">
        <v>Qatar</v>
      </c>
      <c r="AB173" s="12" t="str">
        <v>CM</v>
      </c>
      <c r="AC173" s="12" t="str">
        <v>Al-Rayyan</v>
      </c>
      <c r="AD173" s="12">
        <v>6</v>
      </c>
      <c r="AF173" s="42">
        <v>1966</v>
      </c>
      <c r="AG173" s="42" t="str">
        <v xml:space="preserve">12 Jul 1966 - 19:30 </v>
      </c>
      <c r="AH173" s="42" t="str">
        <v>GROUP_STAGE</v>
      </c>
      <c r="AI173" s="42" t="str">
        <v>Goodison Park</v>
      </c>
      <c r="AJ173" s="42" t="str">
        <v xml:space="preserve">Liverpool </v>
      </c>
      <c r="AK173" s="42" t="str">
        <v>Brazil</v>
      </c>
      <c r="AL173" s="42">
        <v>2</v>
      </c>
      <c r="AM173" s="42">
        <v>0</v>
      </c>
      <c r="AN173" s="42" t="str">
        <v>Bulgaria</v>
      </c>
      <c r="AO173" s="42" t="str">
        <v>-</v>
      </c>
    </row>
    <row r="174" spans="7:41">
      <c r="G174" s="30">
        <v>2006</v>
      </c>
      <c r="H174" s="30" t="str">
        <v>QUARTER_FINALS</v>
      </c>
      <c r="I174" s="30" t="str">
        <v>Portugal</v>
      </c>
      <c r="J174" s="30" t="str">
        <v>England</v>
      </c>
      <c r="K174" s="30" t="str">
        <v>England</v>
      </c>
      <c r="L174" s="30" t="str">
        <v>Steven Gerrard</v>
      </c>
      <c r="M174" s="30" t="str">
        <v>Ricardo</v>
      </c>
      <c r="N174" s="30">
        <v>6</v>
      </c>
      <c r="O174" s="30">
        <v>3</v>
      </c>
      <c r="P174" s="30" t="str">
        <v>'1-1</v>
      </c>
      <c r="Q174" s="30" t="str">
        <v>No</v>
      </c>
      <c r="R174" s="30" t="str">
        <v>No</v>
      </c>
      <c r="S174" s="30" t="str">
        <v>Saved</v>
      </c>
      <c r="T174" s="30" t="str">
        <f t="shared" si="6"/>
        <v>1-1</v>
      </c>
      <c r="U174" s="30">
        <f t="shared" si="7"/>
        <v>1</v>
      </c>
      <c r="V174" s="30">
        <f t="shared" si="8"/>
        <v>1</v>
      </c>
      <c r="X174" s="12">
        <v>172</v>
      </c>
      <c r="Y174" s="12" t="str">
        <v>Karim Boudiaf</v>
      </c>
      <c r="Z174" s="12">
        <v>35</v>
      </c>
      <c r="AA174" s="12" t="str">
        <v>Qatar</v>
      </c>
      <c r="AB174" s="12" t="str">
        <v>CM</v>
      </c>
      <c r="AC174" s="12" t="str">
        <v>Al-Duhail</v>
      </c>
      <c r="AD174" s="12">
        <v>12</v>
      </c>
      <c r="AF174" s="42">
        <v>1966</v>
      </c>
      <c r="AG174" s="42" t="str">
        <v xml:space="preserve">12 Jul 1966 - 19:30 </v>
      </c>
      <c r="AH174" s="42" t="str">
        <v>GROUP_STAGE</v>
      </c>
      <c r="AI174" s="42" t="str">
        <v>Ayresome Park</v>
      </c>
      <c r="AJ174" s="42" t="str">
        <v xml:space="preserve">Middlesbrough </v>
      </c>
      <c r="AK174" s="42" t="str">
        <v>Soviet Union</v>
      </c>
      <c r="AL174" s="42">
        <v>3</v>
      </c>
      <c r="AM174" s="42">
        <v>0</v>
      </c>
      <c r="AN174" s="42" t="str">
        <v>North Korea</v>
      </c>
      <c r="AO174" s="42" t="str">
        <v>-</v>
      </c>
    </row>
    <row r="175" spans="7:41">
      <c r="G175" s="30">
        <v>2006</v>
      </c>
      <c r="H175" s="30" t="str">
        <v>QUARTER_FINALS</v>
      </c>
      <c r="I175" s="30" t="str">
        <v>Portugal</v>
      </c>
      <c r="J175" s="30" t="str">
        <v>England</v>
      </c>
      <c r="K175" s="30" t="str">
        <v>Portugal</v>
      </c>
      <c r="L175" s="30" t="str">
        <v>Hélder Postiga</v>
      </c>
      <c r="M175" s="30" t="str">
        <v>Paul Robinson</v>
      </c>
      <c r="N175" s="30">
        <v>7</v>
      </c>
      <c r="O175" s="30">
        <v>4</v>
      </c>
      <c r="P175" s="30" t="str">
        <v>'1-1</v>
      </c>
      <c r="Q175" s="30" t="str">
        <v>No</v>
      </c>
      <c r="R175" s="30" t="str">
        <v>No</v>
      </c>
      <c r="S175" s="30" t="str">
        <v>Goal</v>
      </c>
      <c r="T175" s="30" t="str">
        <f t="shared" si="6"/>
        <v>1-1</v>
      </c>
      <c r="U175" s="30">
        <f t="shared" si="7"/>
        <v>1</v>
      </c>
      <c r="V175" s="30">
        <f t="shared" si="8"/>
        <v>1</v>
      </c>
      <c r="X175" s="12">
        <v>173</v>
      </c>
      <c r="Y175" s="12" t="str">
        <v>Hassan Al-Haydos</v>
      </c>
      <c r="Z175" s="12">
        <v>35</v>
      </c>
      <c r="AA175" s="12" t="str">
        <v>Qatar</v>
      </c>
      <c r="AB175" s="12" t="str">
        <v>CAM</v>
      </c>
      <c r="AC175" s="12" t="str">
        <v>Al-Sadd</v>
      </c>
      <c r="AD175" s="12">
        <v>10</v>
      </c>
      <c r="AF175" s="42">
        <v>1966</v>
      </c>
      <c r="AG175" s="42" t="str">
        <v xml:space="preserve">13 Jul 1966 - 19:30 </v>
      </c>
      <c r="AH175" s="42" t="str">
        <v>GROUP_STAGE</v>
      </c>
      <c r="AI175" s="42" t="str">
        <v>Wembley Stadium</v>
      </c>
      <c r="AJ175" s="42" t="str">
        <v xml:space="preserve">London </v>
      </c>
      <c r="AK175" s="42" t="str">
        <v>France</v>
      </c>
      <c r="AL175" s="42">
        <v>1</v>
      </c>
      <c r="AM175" s="42">
        <v>1</v>
      </c>
      <c r="AN175" s="42" t="str">
        <v>Mexico</v>
      </c>
      <c r="AO175" s="42" t="str">
        <v>-</v>
      </c>
    </row>
    <row r="176" spans="7:41">
      <c r="G176" s="30">
        <v>2006</v>
      </c>
      <c r="H176" s="30" t="str">
        <v>QUARTER_FINALS</v>
      </c>
      <c r="I176" s="30" t="str">
        <v>Portugal</v>
      </c>
      <c r="J176" s="30" t="str">
        <v>England</v>
      </c>
      <c r="K176" s="30" t="str">
        <v>England</v>
      </c>
      <c r="L176" s="30" t="str">
        <v>Jamie Carragher</v>
      </c>
      <c r="M176" s="30" t="str">
        <v>Ricardo</v>
      </c>
      <c r="N176" s="30">
        <v>8</v>
      </c>
      <c r="O176" s="30">
        <v>4</v>
      </c>
      <c r="P176" s="30" t="str">
        <v>'1-2</v>
      </c>
      <c r="Q176" s="30" t="str">
        <v>No</v>
      </c>
      <c r="R176" s="30" t="str">
        <v>No</v>
      </c>
      <c r="S176" s="30" t="str">
        <v>Saved</v>
      </c>
      <c r="T176" s="30" t="str">
        <f t="shared" si="6"/>
        <v>1-2</v>
      </c>
      <c r="U176" s="30">
        <f t="shared" si="7"/>
        <v>1</v>
      </c>
      <c r="V176" s="30">
        <f t="shared" si="8"/>
        <v>2</v>
      </c>
      <c r="X176" s="12">
        <v>174</v>
      </c>
      <c r="Y176" s="12" t="str">
        <v>Ahmed Al-Ganehi</v>
      </c>
      <c r="Z176" s="12">
        <v>25</v>
      </c>
      <c r="AA176" s="12" t="str">
        <v>Qatar</v>
      </c>
      <c r="AB176" s="12" t="str">
        <v>LM</v>
      </c>
      <c r="AC176" s="12" t="str">
        <v>Al-Gharafa</v>
      </c>
      <c r="AD176" s="12">
        <v>17</v>
      </c>
      <c r="AF176" s="42">
        <v>1966</v>
      </c>
      <c r="AG176" s="42" t="str">
        <v xml:space="preserve">13 Jul 1966 - 19:30 </v>
      </c>
      <c r="AH176" s="42" t="str">
        <v>GROUP_STAGE</v>
      </c>
      <c r="AI176" s="42" t="str">
        <v>Old Trafford Stadium</v>
      </c>
      <c r="AJ176" s="42" t="str">
        <v xml:space="preserve">Manchester </v>
      </c>
      <c r="AK176" s="42" t="str">
        <v>Portugal</v>
      </c>
      <c r="AL176" s="42">
        <v>3</v>
      </c>
      <c r="AM176" s="42">
        <v>1</v>
      </c>
      <c r="AN176" s="42" t="str">
        <v>Hungary</v>
      </c>
      <c r="AO176" s="42" t="str">
        <v>-</v>
      </c>
    </row>
    <row r="177" spans="7:41">
      <c r="G177" s="30">
        <v>2006</v>
      </c>
      <c r="H177" s="30" t="str">
        <v>QUARTER_FINALS</v>
      </c>
      <c r="I177" s="30" t="str">
        <v>Portugal</v>
      </c>
      <c r="J177" s="30" t="str">
        <v>England</v>
      </c>
      <c r="K177" s="30" t="str">
        <v>Portugal</v>
      </c>
      <c r="L177" s="30" t="str">
        <v>Cristiano Ronaldo</v>
      </c>
      <c r="M177" s="30" t="str">
        <v>Paul Robinson</v>
      </c>
      <c r="N177" s="30">
        <v>9</v>
      </c>
      <c r="O177" s="30">
        <v>5</v>
      </c>
      <c r="P177" s="30" t="str">
        <v>'1-2</v>
      </c>
      <c r="Q177" s="30" t="str">
        <v>No</v>
      </c>
      <c r="R177" s="30" t="str">
        <v>Yes</v>
      </c>
      <c r="S177" s="30" t="str">
        <v>Goal</v>
      </c>
      <c r="T177" s="30" t="str">
        <f t="shared" si="6"/>
        <v>1-2</v>
      </c>
      <c r="U177" s="30">
        <f t="shared" si="7"/>
        <v>1</v>
      </c>
      <c r="V177" s="30">
        <f t="shared" si="8"/>
        <v>2</v>
      </c>
      <c r="X177" s="12">
        <v>175</v>
      </c>
      <c r="Y177" s="12" t="str">
        <v>Akram Afif</v>
      </c>
      <c r="Z177" s="12">
        <v>29</v>
      </c>
      <c r="AA177" s="12" t="str">
        <v>Qatar</v>
      </c>
      <c r="AB177" s="12" t="str">
        <v>LW</v>
      </c>
      <c r="AC177" s="12" t="str">
        <v>Al-Sadd</v>
      </c>
      <c r="AD177" s="12">
        <v>11</v>
      </c>
      <c r="AF177" s="42">
        <v>1966</v>
      </c>
      <c r="AG177" s="42" t="str">
        <v xml:space="preserve">13 Jul 1966 - 19:30 </v>
      </c>
      <c r="AH177" s="42" t="str">
        <v>GROUP_STAGE</v>
      </c>
      <c r="AI177" s="42" t="str">
        <v>Villa Park</v>
      </c>
      <c r="AJ177" s="42" t="str">
        <v xml:space="preserve">Birmingham </v>
      </c>
      <c r="AK177" s="42" t="str">
        <v>Argentina</v>
      </c>
      <c r="AL177" s="42">
        <v>2</v>
      </c>
      <c r="AM177" s="42">
        <v>1</v>
      </c>
      <c r="AN177" s="42" t="str">
        <v>Spain</v>
      </c>
      <c r="AO177" s="42" t="str">
        <v>-</v>
      </c>
    </row>
    <row r="178" spans="7:41">
      <c r="G178" s="30">
        <v>2006</v>
      </c>
      <c r="H178" s="30" t="str">
        <v>FINAL</v>
      </c>
      <c r="I178" s="30" t="str">
        <v>Italy</v>
      </c>
      <c r="J178" s="30" t="str">
        <v>France</v>
      </c>
      <c r="K178" s="30" t="str">
        <v>Italy</v>
      </c>
      <c r="L178" s="30" t="str">
        <v>Andrea Pirlo</v>
      </c>
      <c r="M178" s="30" t="str">
        <v>Fabien Barthez</v>
      </c>
      <c r="N178" s="30">
        <v>1</v>
      </c>
      <c r="O178" s="30">
        <v>1</v>
      </c>
      <c r="P178" s="30" t="str">
        <v>'0-0</v>
      </c>
      <c r="Q178" s="30" t="str">
        <v>No</v>
      </c>
      <c r="R178" s="30" t="str">
        <v>No</v>
      </c>
      <c r="S178" s="30" t="str">
        <v>Goal</v>
      </c>
      <c r="T178" s="30" t="str">
        <f t="shared" si="6"/>
        <v>0-0</v>
      </c>
      <c r="U178" s="30">
        <f t="shared" si="7"/>
        <v>0</v>
      </c>
      <c r="V178" s="30">
        <f t="shared" si="8"/>
        <v>0</v>
      </c>
      <c r="X178" s="12">
        <v>176</v>
      </c>
      <c r="Y178" s="12" t="str">
        <v>Edmilson Junior</v>
      </c>
      <c r="Z178" s="12">
        <v>31</v>
      </c>
      <c r="AA178" s="12" t="str">
        <v>Qatar</v>
      </c>
      <c r="AB178" s="12" t="str">
        <v>RW</v>
      </c>
      <c r="AC178" s="12" t="str">
        <v>Al-Duhail</v>
      </c>
      <c r="AD178" s="12">
        <v>8</v>
      </c>
      <c r="AF178" s="42">
        <v>1966</v>
      </c>
      <c r="AG178" s="42" t="str">
        <v xml:space="preserve">13 Jul 1966 - 19:30 </v>
      </c>
      <c r="AH178" s="42" t="str">
        <v>GROUP_STAGE</v>
      </c>
      <c r="AI178" s="42" t="str">
        <v>Roker Park Ground</v>
      </c>
      <c r="AJ178" s="42" t="str">
        <v xml:space="preserve">Sunderland </v>
      </c>
      <c r="AK178" s="42" t="str">
        <v>Italy</v>
      </c>
      <c r="AL178" s="42">
        <v>2</v>
      </c>
      <c r="AM178" s="42">
        <v>0</v>
      </c>
      <c r="AN178" s="42" t="str">
        <v>Chile</v>
      </c>
      <c r="AO178" s="42" t="str">
        <v>-</v>
      </c>
    </row>
    <row r="179" spans="7:41">
      <c r="G179" s="30">
        <v>2006</v>
      </c>
      <c r="H179" s="30" t="str">
        <v>FINAL</v>
      </c>
      <c r="I179" s="30" t="str">
        <v>Italy</v>
      </c>
      <c r="J179" s="30" t="str">
        <v>France</v>
      </c>
      <c r="K179" s="30" t="str">
        <v>France</v>
      </c>
      <c r="L179" s="30" t="str">
        <v>Sylvain Wiltord</v>
      </c>
      <c r="M179" s="30" t="str">
        <v>Gianluigi Buffon</v>
      </c>
      <c r="N179" s="30">
        <v>2</v>
      </c>
      <c r="O179" s="30">
        <v>1</v>
      </c>
      <c r="P179" s="30" t="str">
        <v>'1-0</v>
      </c>
      <c r="Q179" s="30" t="str">
        <v>No</v>
      </c>
      <c r="R179" s="30" t="str">
        <v>No</v>
      </c>
      <c r="S179" s="30" t="str">
        <v>Goal</v>
      </c>
      <c r="T179" s="30" t="str">
        <f t="shared" si="6"/>
        <v>1-0</v>
      </c>
      <c r="U179" s="30">
        <f t="shared" si="7"/>
        <v>1</v>
      </c>
      <c r="V179" s="30">
        <f t="shared" si="8"/>
        <v>0</v>
      </c>
      <c r="X179" s="12">
        <v>177</v>
      </c>
      <c r="Y179" s="12" t="str">
        <v>Yusuf Abdurisag</v>
      </c>
      <c r="Z179" s="12">
        <v>26</v>
      </c>
      <c r="AA179" s="12" t="str">
        <v>Qatar</v>
      </c>
      <c r="AB179" s="12" t="str">
        <v>RW</v>
      </c>
      <c r="AC179" s="12" t="str">
        <v>Al-Wakrah</v>
      </c>
      <c r="AD179" s="12">
        <v>15</v>
      </c>
      <c r="AF179" s="42">
        <v>1966</v>
      </c>
      <c r="AG179" s="42" t="str">
        <v xml:space="preserve">15 Jul 1966 - 19:30 </v>
      </c>
      <c r="AH179" s="42" t="str">
        <v>GROUP_STAGE</v>
      </c>
      <c r="AI179" s="42" t="str">
        <v>White City</v>
      </c>
      <c r="AJ179" s="42" t="str">
        <v xml:space="preserve">London </v>
      </c>
      <c r="AK179" s="42" t="str">
        <v>Uruguay</v>
      </c>
      <c r="AL179" s="42">
        <v>2</v>
      </c>
      <c r="AM179" s="42">
        <v>1</v>
      </c>
      <c r="AN179" s="42" t="str">
        <v>France</v>
      </c>
      <c r="AO179" s="42" t="str">
        <v>-</v>
      </c>
    </row>
    <row r="180" spans="7:41">
      <c r="G180" s="30">
        <v>2006</v>
      </c>
      <c r="H180" s="30" t="str">
        <v>FINAL</v>
      </c>
      <c r="I180" s="30" t="str">
        <v>Italy</v>
      </c>
      <c r="J180" s="30" t="str">
        <v>France</v>
      </c>
      <c r="K180" s="30" t="str">
        <v>Italy</v>
      </c>
      <c r="L180" s="30" t="str">
        <v>Marco Materazzi</v>
      </c>
      <c r="M180" s="30" t="str">
        <v>Fabien Barthez</v>
      </c>
      <c r="N180" s="30">
        <v>3</v>
      </c>
      <c r="O180" s="30">
        <v>2</v>
      </c>
      <c r="P180" s="30" t="str">
        <v>'1-1</v>
      </c>
      <c r="Q180" s="30" t="str">
        <v>No</v>
      </c>
      <c r="R180" s="30" t="str">
        <v>No</v>
      </c>
      <c r="S180" s="30" t="str">
        <v>Goal</v>
      </c>
      <c r="T180" s="30" t="str">
        <f t="shared" si="6"/>
        <v>1-1</v>
      </c>
      <c r="U180" s="30">
        <f t="shared" si="7"/>
        <v>1</v>
      </c>
      <c r="V180" s="30">
        <f t="shared" si="8"/>
        <v>1</v>
      </c>
      <c r="X180" s="12">
        <v>178</v>
      </c>
      <c r="Y180" s="12" t="str">
        <v>Tahsin Jamshid</v>
      </c>
      <c r="Z180" s="12">
        <v>19</v>
      </c>
      <c r="AA180" s="12" t="str">
        <v>Qatar</v>
      </c>
      <c r="AB180" s="12" t="str">
        <v>RW</v>
      </c>
      <c r="AC180" s="12" t="str">
        <v>Al-Duhail</v>
      </c>
      <c r="AD180" s="12">
        <v>24</v>
      </c>
      <c r="AF180" s="42">
        <v>1966</v>
      </c>
      <c r="AG180" s="42" t="str">
        <v xml:space="preserve">15 Jul 1966 - 19:30 </v>
      </c>
      <c r="AH180" s="42" t="str">
        <v>GROUP_STAGE</v>
      </c>
      <c r="AI180" s="42" t="str">
        <v>Hillsborough</v>
      </c>
      <c r="AJ180" s="42" t="str">
        <v xml:space="preserve">Sheffield </v>
      </c>
      <c r="AK180" s="42" t="str">
        <v>Spain</v>
      </c>
      <c r="AL180" s="42">
        <v>2</v>
      </c>
      <c r="AM180" s="42">
        <v>1</v>
      </c>
      <c r="AN180" s="42" t="str">
        <v>Switzerland</v>
      </c>
      <c r="AO180" s="42" t="str">
        <v>-</v>
      </c>
    </row>
    <row r="181" spans="7:41">
      <c r="G181" s="30">
        <v>2006</v>
      </c>
      <c r="H181" s="30" t="str">
        <v>FINAL</v>
      </c>
      <c r="I181" s="30" t="str">
        <v>Italy</v>
      </c>
      <c r="J181" s="30" t="str">
        <v>France</v>
      </c>
      <c r="K181" s="30" t="str">
        <v>France</v>
      </c>
      <c r="L181" s="30" t="str">
        <v>David Trezeguet</v>
      </c>
      <c r="M181" s="30" t="str">
        <v>Gianluigi Buffon</v>
      </c>
      <c r="N181" s="30">
        <v>4</v>
      </c>
      <c r="O181" s="30">
        <v>2</v>
      </c>
      <c r="P181" s="30" t="str">
        <v>'1-2</v>
      </c>
      <c r="Q181" s="30" t="str">
        <v>No</v>
      </c>
      <c r="R181" s="30" t="str">
        <v>No</v>
      </c>
      <c r="S181" s="30" t="str">
        <v>Missed</v>
      </c>
      <c r="T181" s="30" t="str">
        <f t="shared" si="6"/>
        <v>1-2</v>
      </c>
      <c r="U181" s="30">
        <f t="shared" si="7"/>
        <v>1</v>
      </c>
      <c r="V181" s="30">
        <f t="shared" si="8"/>
        <v>2</v>
      </c>
      <c r="X181" s="12">
        <v>179</v>
      </c>
      <c r="Y181" s="12" t="str">
        <v>Ahmed Alaaeldin</v>
      </c>
      <c r="Z181" s="12">
        <v>33</v>
      </c>
      <c r="AA181" s="12" t="str">
        <v>Qatar</v>
      </c>
      <c r="AB181" s="12" t="str">
        <v>ST</v>
      </c>
      <c r="AC181" s="12" t="str">
        <v>Al-Rayyan</v>
      </c>
      <c r="AD181" s="12">
        <v>7</v>
      </c>
      <c r="AF181" s="42">
        <v>1966</v>
      </c>
      <c r="AG181" s="42" t="str">
        <v xml:space="preserve">15 Jul 1966 - 19:30 </v>
      </c>
      <c r="AH181" s="42" t="str">
        <v>GROUP_STAGE</v>
      </c>
      <c r="AI181" s="42" t="str">
        <v>Goodison Park</v>
      </c>
      <c r="AJ181" s="42" t="str">
        <v xml:space="preserve">Liverpool </v>
      </c>
      <c r="AK181" s="42" t="str">
        <v>Hungary</v>
      </c>
      <c r="AL181" s="42">
        <v>3</v>
      </c>
      <c r="AM181" s="42">
        <v>1</v>
      </c>
      <c r="AN181" s="42" t="str">
        <v>Brazil</v>
      </c>
      <c r="AO181" s="42" t="str">
        <v>-</v>
      </c>
    </row>
    <row r="182" spans="7:41">
      <c r="G182" s="30">
        <v>2006</v>
      </c>
      <c r="H182" s="30" t="str">
        <v>FINAL</v>
      </c>
      <c r="I182" s="30" t="str">
        <v>Italy</v>
      </c>
      <c r="J182" s="30" t="str">
        <v>France</v>
      </c>
      <c r="K182" s="30" t="str">
        <v>Italy</v>
      </c>
      <c r="L182" s="30" t="str">
        <v>Daniele De Rossi</v>
      </c>
      <c r="M182" s="30" t="str">
        <v>Fabien Barthez</v>
      </c>
      <c r="N182" s="30">
        <v>5</v>
      </c>
      <c r="O182" s="30">
        <v>3</v>
      </c>
      <c r="P182" s="30" t="str">
        <v>'1-2</v>
      </c>
      <c r="Q182" s="30" t="str">
        <v>No</v>
      </c>
      <c r="R182" s="30" t="str">
        <v>No</v>
      </c>
      <c r="S182" s="30" t="str">
        <v>Goal</v>
      </c>
      <c r="T182" s="30" t="str">
        <f t="shared" si="6"/>
        <v>1-2</v>
      </c>
      <c r="U182" s="30">
        <f t="shared" si="7"/>
        <v>1</v>
      </c>
      <c r="V182" s="30">
        <f t="shared" si="8"/>
        <v>2</v>
      </c>
      <c r="X182" s="12">
        <v>180</v>
      </c>
      <c r="Y182" s="12" t="str">
        <v>Mohammed Muntari</v>
      </c>
      <c r="Z182" s="12">
        <v>32</v>
      </c>
      <c r="AA182" s="12" t="str">
        <v>Qatar</v>
      </c>
      <c r="AB182" s="12" t="str">
        <v>ST</v>
      </c>
      <c r="AC182" s="12" t="str">
        <v>Al-Gharafa</v>
      </c>
      <c r="AD182" s="12">
        <v>9</v>
      </c>
      <c r="AF182" s="42">
        <v>1966</v>
      </c>
      <c r="AG182" s="42" t="str">
        <v xml:space="preserve">15 Jul 1966 - 19:30 </v>
      </c>
      <c r="AH182" s="42" t="str">
        <v>GROUP_STAGE</v>
      </c>
      <c r="AI182" s="42" t="str">
        <v>Ayresome Park</v>
      </c>
      <c r="AJ182" s="42" t="str">
        <v xml:space="preserve">Middlesbrough </v>
      </c>
      <c r="AK182" s="42" t="str">
        <v>North Korea</v>
      </c>
      <c r="AL182" s="42">
        <v>1</v>
      </c>
      <c r="AM182" s="42">
        <v>1</v>
      </c>
      <c r="AN182" s="42" t="str">
        <v>Chile</v>
      </c>
      <c r="AO182" s="42" t="str">
        <v>-</v>
      </c>
    </row>
    <row r="183" spans="7:41">
      <c r="G183" s="30">
        <v>2006</v>
      </c>
      <c r="H183" s="30" t="str">
        <v>FINAL</v>
      </c>
      <c r="I183" s="30" t="str">
        <v>Italy</v>
      </c>
      <c r="J183" s="30" t="str">
        <v>France</v>
      </c>
      <c r="K183" s="30" t="str">
        <v>France</v>
      </c>
      <c r="L183" s="30" t="str">
        <v>Éric Abidal</v>
      </c>
      <c r="M183" s="30" t="str">
        <v>Gianluigi Buffon</v>
      </c>
      <c r="N183" s="30">
        <v>6</v>
      </c>
      <c r="O183" s="30">
        <v>3</v>
      </c>
      <c r="P183" s="30" t="str">
        <v>'1-3</v>
      </c>
      <c r="Q183" s="30" t="str">
        <v>No</v>
      </c>
      <c r="R183" s="30" t="str">
        <v>No</v>
      </c>
      <c r="S183" s="30" t="str">
        <v>Goal</v>
      </c>
      <c r="T183" s="30" t="str">
        <f t="shared" si="6"/>
        <v>1-3</v>
      </c>
      <c r="U183" s="30">
        <f t="shared" si="7"/>
        <v>1</v>
      </c>
      <c r="V183" s="30">
        <f t="shared" si="8"/>
        <v>3</v>
      </c>
      <c r="X183" s="12">
        <v>181</v>
      </c>
      <c r="Y183" s="12" t="str">
        <v>Almoez Ali</v>
      </c>
      <c r="Z183" s="12">
        <v>29</v>
      </c>
      <c r="AA183" s="12" t="str">
        <v>Qatar</v>
      </c>
      <c r="AB183" s="12" t="str">
        <v>ST</v>
      </c>
      <c r="AC183" s="12" t="str">
        <v>Al-Duhail</v>
      </c>
      <c r="AD183" s="12">
        <v>19</v>
      </c>
      <c r="AF183" s="42">
        <v>1966</v>
      </c>
      <c r="AG183" s="42" t="str">
        <v xml:space="preserve">16 Jul 1966 - 15:00 </v>
      </c>
      <c r="AH183" s="42" t="str">
        <v>GROUP_STAGE</v>
      </c>
      <c r="AI183" s="42" t="str">
        <v>Old Trafford Stadium</v>
      </c>
      <c r="AJ183" s="42" t="str">
        <v xml:space="preserve">Manchester </v>
      </c>
      <c r="AK183" s="42" t="str">
        <v>Portugal</v>
      </c>
      <c r="AL183" s="42">
        <v>3</v>
      </c>
      <c r="AM183" s="42">
        <v>0</v>
      </c>
      <c r="AN183" s="42" t="str">
        <v>Bulgaria</v>
      </c>
      <c r="AO183" s="42" t="str">
        <v>-</v>
      </c>
    </row>
    <row r="184" spans="7:41">
      <c r="G184" s="30">
        <v>2006</v>
      </c>
      <c r="H184" s="30" t="str">
        <v>FINAL</v>
      </c>
      <c r="I184" s="30" t="str">
        <v>Italy</v>
      </c>
      <c r="J184" s="30" t="str">
        <v>France</v>
      </c>
      <c r="K184" s="30" t="str">
        <v>Italy</v>
      </c>
      <c r="L184" s="30" t="str">
        <v>Alessandro Del Piero</v>
      </c>
      <c r="M184" s="30" t="str">
        <v>Fabien Barthez</v>
      </c>
      <c r="N184" s="30">
        <v>7</v>
      </c>
      <c r="O184" s="30">
        <v>4</v>
      </c>
      <c r="P184" s="30" t="str">
        <v>'2-3</v>
      </c>
      <c r="Q184" s="30" t="str">
        <v>No</v>
      </c>
      <c r="R184" s="30" t="str">
        <v>No</v>
      </c>
      <c r="S184" s="30" t="str">
        <v>Goal</v>
      </c>
      <c r="T184" s="30" t="str">
        <f t="shared" si="6"/>
        <v>2-3</v>
      </c>
      <c r="U184" s="30">
        <f t="shared" si="7"/>
        <v>2</v>
      </c>
      <c r="V184" s="30">
        <f t="shared" si="8"/>
        <v>3</v>
      </c>
      <c r="X184" s="12">
        <v>182</v>
      </c>
      <c r="Y184" s="12" t="str">
        <v>Mohamed Manai</v>
      </c>
      <c r="Z184" s="12">
        <v>23</v>
      </c>
      <c r="AA184" s="12" t="str">
        <v>Qatar</v>
      </c>
      <c r="AB184" s="12" t="str">
        <v>ST</v>
      </c>
      <c r="AC184" s="12" t="str">
        <v>Al-Shamal</v>
      </c>
      <c r="AD184" s="12">
        <v>26</v>
      </c>
      <c r="AF184" s="42">
        <v>1966</v>
      </c>
      <c r="AG184" s="42" t="str">
        <v xml:space="preserve">16 Jul 1966 - 15:00 </v>
      </c>
      <c r="AH184" s="42" t="str">
        <v>GROUP_STAGE</v>
      </c>
      <c r="AI184" s="42" t="str">
        <v>Villa Park</v>
      </c>
      <c r="AJ184" s="42" t="str">
        <v xml:space="preserve">Birmingham </v>
      </c>
      <c r="AK184" s="42" t="str">
        <v>FR Germany</v>
      </c>
      <c r="AL184" s="42">
        <v>0</v>
      </c>
      <c r="AM184" s="42">
        <v>0</v>
      </c>
      <c r="AN184" s="42" t="str">
        <v>Argentina</v>
      </c>
      <c r="AO184" s="42" t="str">
        <v>-</v>
      </c>
    </row>
    <row r="185" spans="7:41">
      <c r="G185" s="30">
        <v>2006</v>
      </c>
      <c r="H185" s="30" t="str">
        <v>FINAL</v>
      </c>
      <c r="I185" s="30" t="str">
        <v>Italy</v>
      </c>
      <c r="J185" s="30" t="str">
        <v>France</v>
      </c>
      <c r="K185" s="30" t="str">
        <v>France</v>
      </c>
      <c r="L185" s="30" t="str">
        <v>Willy Sagnol</v>
      </c>
      <c r="M185" s="30" t="str">
        <v>Gianluigi Buffon</v>
      </c>
      <c r="N185" s="30">
        <v>8</v>
      </c>
      <c r="O185" s="30">
        <v>4</v>
      </c>
      <c r="P185" s="30" t="str">
        <v>'2-4</v>
      </c>
      <c r="Q185" s="30" t="str">
        <v>No</v>
      </c>
      <c r="R185" s="30" t="str">
        <v>No</v>
      </c>
      <c r="S185" s="30" t="str">
        <v>Goal</v>
      </c>
      <c r="T185" s="30" t="str">
        <f t="shared" si="6"/>
        <v>2-4</v>
      </c>
      <c r="U185" s="30">
        <f t="shared" si="7"/>
        <v>2</v>
      </c>
      <c r="V185" s="30">
        <f t="shared" si="8"/>
        <v>4</v>
      </c>
      <c r="X185" s="12">
        <v>183</v>
      </c>
      <c r="Y185" s="12" t="str">
        <v>Gregor Kobel</v>
      </c>
      <c r="Z185" s="12">
        <v>28</v>
      </c>
      <c r="AA185" s="12" t="str">
        <v>Switzerland</v>
      </c>
      <c r="AB185" s="12" t="str">
        <v>GK</v>
      </c>
      <c r="AC185" s="12" t="str">
        <v>Borussia Dortmund</v>
      </c>
      <c r="AD185" s="12">
        <v>1</v>
      </c>
      <c r="AF185" s="42">
        <v>1966</v>
      </c>
      <c r="AG185" s="42" t="str">
        <v xml:space="preserve">16 Jul 1966 - 15:00 </v>
      </c>
      <c r="AH185" s="42" t="str">
        <v>GROUP_STAGE</v>
      </c>
      <c r="AI185" s="42" t="str">
        <v>Roker Park Ground</v>
      </c>
      <c r="AJ185" s="42" t="str">
        <v xml:space="preserve">Sunderland </v>
      </c>
      <c r="AK185" s="42" t="str">
        <v>Soviet Union</v>
      </c>
      <c r="AL185" s="42">
        <v>1</v>
      </c>
      <c r="AM185" s="42">
        <v>0</v>
      </c>
      <c r="AN185" s="42" t="str">
        <v>Italy</v>
      </c>
      <c r="AO185" s="42" t="str">
        <v>-</v>
      </c>
    </row>
    <row r="186" spans="7:41">
      <c r="G186" s="30">
        <v>2006</v>
      </c>
      <c r="H186" s="30" t="str">
        <v>FINAL</v>
      </c>
      <c r="I186" s="30" t="str">
        <v>Italy</v>
      </c>
      <c r="J186" s="30" t="str">
        <v>France</v>
      </c>
      <c r="K186" s="30" t="str">
        <v>Italy</v>
      </c>
      <c r="L186" s="30" t="str">
        <v>Fabio Grosso</v>
      </c>
      <c r="M186" s="30" t="str">
        <v>Fabien Barthez</v>
      </c>
      <c r="N186" s="30">
        <v>9</v>
      </c>
      <c r="O186" s="30">
        <v>5</v>
      </c>
      <c r="P186" s="30" t="str">
        <v>'3-4</v>
      </c>
      <c r="Q186" s="30" t="str">
        <v>No</v>
      </c>
      <c r="R186" s="30" t="str">
        <v>Yes</v>
      </c>
      <c r="S186" s="30" t="str">
        <v>Goal</v>
      </c>
      <c r="T186" s="30" t="str">
        <f t="shared" si="6"/>
        <v>3-4</v>
      </c>
      <c r="U186" s="30">
        <f t="shared" si="7"/>
        <v>3</v>
      </c>
      <c r="V186" s="30">
        <f t="shared" si="8"/>
        <v>4</v>
      </c>
      <c r="X186" s="12">
        <v>184</v>
      </c>
      <c r="Y186" s="12" t="str">
        <v>Yvon Mvogo</v>
      </c>
      <c r="Z186" s="12">
        <v>32</v>
      </c>
      <c r="AA186" s="12" t="str">
        <v>Switzerland</v>
      </c>
      <c r="AB186" s="12" t="str">
        <v>GK</v>
      </c>
      <c r="AC186" s="12" t="str">
        <v>Lorient</v>
      </c>
      <c r="AD186" s="12">
        <v>12</v>
      </c>
      <c r="AF186" s="42">
        <v>1966</v>
      </c>
      <c r="AG186" s="42" t="str">
        <v xml:space="preserve">16 Jul 1966 - 19:30 </v>
      </c>
      <c r="AH186" s="42" t="str">
        <v>GROUP_STAGE</v>
      </c>
      <c r="AI186" s="42" t="str">
        <v>Wembley Stadium</v>
      </c>
      <c r="AJ186" s="42" t="str">
        <v xml:space="preserve">London </v>
      </c>
      <c r="AK186" s="42" t="str">
        <v>England</v>
      </c>
      <c r="AL186" s="42">
        <v>2</v>
      </c>
      <c r="AM186" s="42">
        <v>0</v>
      </c>
      <c r="AN186" s="42" t="str">
        <v>Mexico</v>
      </c>
      <c r="AO186" s="42" t="str">
        <v>-</v>
      </c>
    </row>
    <row r="187" spans="7:41">
      <c r="G187" s="30">
        <v>2010</v>
      </c>
      <c r="H187" s="30" t="str">
        <v>ROUND_OF_16</v>
      </c>
      <c r="I187" s="30" t="str">
        <v>Paraguay</v>
      </c>
      <c r="J187" s="30" t="str">
        <v>Japan</v>
      </c>
      <c r="K187" s="30" t="str">
        <v>Paraguay</v>
      </c>
      <c r="L187" s="30" t="str">
        <v>Édgar Barreto</v>
      </c>
      <c r="M187" s="30" t="str">
        <v>Eiji Kawashima</v>
      </c>
      <c r="N187" s="30">
        <v>1</v>
      </c>
      <c r="O187" s="30">
        <v>1</v>
      </c>
      <c r="P187" s="30" t="str">
        <v>'0-0</v>
      </c>
      <c r="Q187" s="30" t="str">
        <v>No</v>
      </c>
      <c r="R187" s="30" t="str">
        <v>No</v>
      </c>
      <c r="S187" s="30" t="str">
        <v>Goal</v>
      </c>
      <c r="T187" s="30" t="str">
        <f t="shared" si="6"/>
        <v>0-0</v>
      </c>
      <c r="U187" s="30">
        <f t="shared" si="7"/>
        <v>0</v>
      </c>
      <c r="V187" s="30">
        <f t="shared" si="8"/>
        <v>0</v>
      </c>
      <c r="X187" s="12">
        <v>185</v>
      </c>
      <c r="Y187" s="12" t="str">
        <v>Marvin Keller</v>
      </c>
      <c r="Z187" s="12">
        <v>23</v>
      </c>
      <c r="AA187" s="12" t="str">
        <v>Switzerland</v>
      </c>
      <c r="AB187" s="12" t="str">
        <v>GK</v>
      </c>
      <c r="AC187" s="12" t="str">
        <v>Young Boys</v>
      </c>
      <c r="AD187" s="12">
        <v>21</v>
      </c>
      <c r="AF187" s="42">
        <v>1966</v>
      </c>
      <c r="AG187" s="42" t="str">
        <v xml:space="preserve">19 Jul 1966 - 16:30 </v>
      </c>
      <c r="AH187" s="42" t="str">
        <v>GROUP_STAGE</v>
      </c>
      <c r="AI187" s="42" t="str">
        <v>Wembley Stadium</v>
      </c>
      <c r="AJ187" s="42" t="str">
        <v xml:space="preserve">London </v>
      </c>
      <c r="AK187" s="42" t="str">
        <v>Uruguay</v>
      </c>
      <c r="AL187" s="42">
        <v>0</v>
      </c>
      <c r="AM187" s="42">
        <v>0</v>
      </c>
      <c r="AN187" s="42" t="str">
        <v>Mexico</v>
      </c>
      <c r="AO187" s="42" t="str">
        <v>-</v>
      </c>
    </row>
    <row r="188" spans="7:41">
      <c r="G188" s="30">
        <v>2010</v>
      </c>
      <c r="H188" s="30" t="str">
        <v>ROUND_OF_16</v>
      </c>
      <c r="I188" s="30" t="str">
        <v>Paraguay</v>
      </c>
      <c r="J188" s="30" t="str">
        <v>Japan</v>
      </c>
      <c r="K188" s="30" t="str">
        <v>Japan</v>
      </c>
      <c r="L188" s="30" t="str">
        <v>Yasuhito Endō</v>
      </c>
      <c r="M188" s="30" t="str">
        <v>Justo Villar</v>
      </c>
      <c r="N188" s="30">
        <v>2</v>
      </c>
      <c r="O188" s="30">
        <v>1</v>
      </c>
      <c r="P188" s="30" t="str">
        <v>'1-0</v>
      </c>
      <c r="Q188" s="30" t="str">
        <v>No</v>
      </c>
      <c r="R188" s="30" t="str">
        <v>No</v>
      </c>
      <c r="S188" s="30" t="str">
        <v>Goal</v>
      </c>
      <c r="T188" s="30" t="str">
        <f t="shared" si="6"/>
        <v>1-0</v>
      </c>
      <c r="U188" s="30">
        <f t="shared" si="7"/>
        <v>1</v>
      </c>
      <c r="V188" s="30">
        <f t="shared" si="8"/>
        <v>0</v>
      </c>
      <c r="X188" s="12">
        <v>186</v>
      </c>
      <c r="Y188" s="12" t="str">
        <v>Nico Elvedi</v>
      </c>
      <c r="Z188" s="12">
        <v>29</v>
      </c>
      <c r="AA188" s="12" t="str">
        <v>Switzerland</v>
      </c>
      <c r="AB188" s="12" t="str">
        <v>CB</v>
      </c>
      <c r="AC188" s="12" t="str">
        <v>Borussia Mönchengladbach</v>
      </c>
      <c r="AD188" s="12">
        <v>4</v>
      </c>
      <c r="AF188" s="42">
        <v>1966</v>
      </c>
      <c r="AG188" s="42" t="str">
        <v xml:space="preserve">19 Jul 1966 - 19:30 </v>
      </c>
      <c r="AH188" s="42" t="str">
        <v>GROUP_STAGE</v>
      </c>
      <c r="AI188" s="42" t="str">
        <v>Hillsborough</v>
      </c>
      <c r="AJ188" s="42" t="str">
        <v xml:space="preserve">Sheffield </v>
      </c>
      <c r="AK188" s="42" t="str">
        <v>Argentina</v>
      </c>
      <c r="AL188" s="42">
        <v>2</v>
      </c>
      <c r="AM188" s="42">
        <v>0</v>
      </c>
      <c r="AN188" s="42" t="str">
        <v>Switzerland</v>
      </c>
      <c r="AO188" s="42" t="str">
        <v>-</v>
      </c>
    </row>
    <row r="189" spans="7:41">
      <c r="G189" s="30">
        <v>2010</v>
      </c>
      <c r="H189" s="30" t="str">
        <v>ROUND_OF_16</v>
      </c>
      <c r="I189" s="30" t="str">
        <v>Paraguay</v>
      </c>
      <c r="J189" s="30" t="str">
        <v>Japan</v>
      </c>
      <c r="K189" s="30" t="str">
        <v>Paraguay</v>
      </c>
      <c r="L189" s="30" t="str">
        <v>Lucas Barrios</v>
      </c>
      <c r="M189" s="30" t="str">
        <v>Eiji Kawashima</v>
      </c>
      <c r="N189" s="30">
        <v>3</v>
      </c>
      <c r="O189" s="30">
        <v>2</v>
      </c>
      <c r="P189" s="30" t="str">
        <v>'1-1</v>
      </c>
      <c r="Q189" s="30" t="str">
        <v>No</v>
      </c>
      <c r="R189" s="30" t="str">
        <v>No</v>
      </c>
      <c r="S189" s="30" t="str">
        <v>Goal</v>
      </c>
      <c r="T189" s="30" t="str">
        <f t="shared" si="6"/>
        <v>1-1</v>
      </c>
      <c r="U189" s="30">
        <f t="shared" si="7"/>
        <v>1</v>
      </c>
      <c r="V189" s="30">
        <f t="shared" si="8"/>
        <v>1</v>
      </c>
      <c r="X189" s="12">
        <v>187</v>
      </c>
      <c r="Y189" s="12" t="str">
        <v>Manuel Akanji</v>
      </c>
      <c r="Z189" s="12">
        <v>30</v>
      </c>
      <c r="AA189" s="12" t="str">
        <v>Switzerland</v>
      </c>
      <c r="AB189" s="12" t="str">
        <v>CB</v>
      </c>
      <c r="AC189" s="12" t="str">
        <v>Inter Milan</v>
      </c>
      <c r="AD189" s="12">
        <v>5</v>
      </c>
      <c r="AF189" s="42">
        <v>1966</v>
      </c>
      <c r="AG189" s="42" t="str">
        <v xml:space="preserve">19 Jul 1966 - 19:30 </v>
      </c>
      <c r="AH189" s="42" t="str">
        <v>GROUP_STAGE</v>
      </c>
      <c r="AI189" s="42" t="str">
        <v>Goodison Park</v>
      </c>
      <c r="AJ189" s="42" t="str">
        <v xml:space="preserve">Liverpool </v>
      </c>
      <c r="AK189" s="42" t="str">
        <v>Portugal</v>
      </c>
      <c r="AL189" s="42">
        <v>3</v>
      </c>
      <c r="AM189" s="42">
        <v>1</v>
      </c>
      <c r="AN189" s="42" t="str">
        <v>Brazil</v>
      </c>
      <c r="AO189" s="42" t="str">
        <v>-</v>
      </c>
    </row>
    <row r="190" spans="7:41">
      <c r="G190" s="30">
        <v>2010</v>
      </c>
      <c r="H190" s="30" t="str">
        <v>ROUND_OF_16</v>
      </c>
      <c r="I190" s="30" t="str">
        <v>Paraguay</v>
      </c>
      <c r="J190" s="30" t="str">
        <v>Japan</v>
      </c>
      <c r="K190" s="30" t="str">
        <v>Japan</v>
      </c>
      <c r="L190" s="30" t="str">
        <v>Yuki Abe</v>
      </c>
      <c r="M190" s="30" t="str">
        <v>Justo Villar</v>
      </c>
      <c r="N190" s="30">
        <v>4</v>
      </c>
      <c r="O190" s="30">
        <v>2</v>
      </c>
      <c r="P190" s="30" t="str">
        <v>'1-2</v>
      </c>
      <c r="Q190" s="30" t="str">
        <v>No</v>
      </c>
      <c r="R190" s="30" t="str">
        <v>No</v>
      </c>
      <c r="S190" s="30" t="str">
        <v>Goal</v>
      </c>
      <c r="T190" s="30" t="str">
        <f t="shared" si="6"/>
        <v>1-2</v>
      </c>
      <c r="U190" s="30">
        <f t="shared" si="7"/>
        <v>1</v>
      </c>
      <c r="V190" s="30">
        <f t="shared" si="8"/>
        <v>2</v>
      </c>
      <c r="X190" s="12">
        <v>188</v>
      </c>
      <c r="Y190" s="12" t="str">
        <v>Eray Cömert</v>
      </c>
      <c r="Z190" s="12">
        <v>28</v>
      </c>
      <c r="AA190" s="12" t="str">
        <v>Switzerland</v>
      </c>
      <c r="AB190" s="12" t="str">
        <v>CB</v>
      </c>
      <c r="AC190" s="12" t="str">
        <v>Valencia</v>
      </c>
      <c r="AD190" s="12">
        <v>18</v>
      </c>
      <c r="AF190" s="42">
        <v>1966</v>
      </c>
      <c r="AG190" s="42" t="str">
        <v xml:space="preserve">19 Jul 1966 - 19:30 </v>
      </c>
      <c r="AH190" s="42" t="str">
        <v>GROUP_STAGE</v>
      </c>
      <c r="AI190" s="42" t="str">
        <v>Ayresome Park</v>
      </c>
      <c r="AJ190" s="42" t="str">
        <v xml:space="preserve">Middlesbrough </v>
      </c>
      <c r="AK190" s="42" t="str">
        <v>North Korea</v>
      </c>
      <c r="AL190" s="42">
        <v>1</v>
      </c>
      <c r="AM190" s="42">
        <v>0</v>
      </c>
      <c r="AN190" s="42" t="str">
        <v>Italy</v>
      </c>
      <c r="AO190" s="42" t="str">
        <v>-</v>
      </c>
    </row>
    <row r="191" spans="7:41">
      <c r="G191" s="30">
        <v>2010</v>
      </c>
      <c r="H191" s="30" t="str">
        <v>ROUND_OF_16</v>
      </c>
      <c r="I191" s="30" t="str">
        <v>Paraguay</v>
      </c>
      <c r="J191" s="30" t="str">
        <v>Japan</v>
      </c>
      <c r="K191" s="30" t="str">
        <v>Paraguay</v>
      </c>
      <c r="L191" s="30" t="str">
        <v>Cristian Riveros</v>
      </c>
      <c r="M191" s="30" t="str">
        <v>Eiji Kawashima</v>
      </c>
      <c r="N191" s="30">
        <v>5</v>
      </c>
      <c r="O191" s="30">
        <v>3</v>
      </c>
      <c r="P191" s="30" t="str">
        <v>'2-2</v>
      </c>
      <c r="Q191" s="30" t="str">
        <v>No</v>
      </c>
      <c r="R191" s="30" t="str">
        <v>No</v>
      </c>
      <c r="S191" s="30" t="str">
        <v>Goal</v>
      </c>
      <c r="T191" s="30" t="str">
        <f t="shared" si="6"/>
        <v>2-2</v>
      </c>
      <c r="U191" s="30">
        <f t="shared" si="7"/>
        <v>2</v>
      </c>
      <c r="V191" s="30">
        <f t="shared" si="8"/>
        <v>2</v>
      </c>
      <c r="X191" s="12">
        <v>189</v>
      </c>
      <c r="Y191" s="12" t="str">
        <v>Aurèle Amenda</v>
      </c>
      <c r="Z191" s="12">
        <v>22</v>
      </c>
      <c r="AA191" s="12" t="str">
        <v>Switzerland</v>
      </c>
      <c r="AB191" s="12" t="str">
        <v>CB</v>
      </c>
      <c r="AC191" s="12" t="str">
        <v>Eintracht Frankfurt</v>
      </c>
      <c r="AD191" s="12">
        <v>24</v>
      </c>
      <c r="AF191" s="42">
        <v>1966</v>
      </c>
      <c r="AG191" s="42" t="str">
        <v xml:space="preserve">20 Jul 1966 - 19:30 </v>
      </c>
      <c r="AH191" s="42" t="str">
        <v>GROUP_STAGE</v>
      </c>
      <c r="AI191" s="42" t="str">
        <v>Wembley Stadium</v>
      </c>
      <c r="AJ191" s="42" t="str">
        <v xml:space="preserve">London </v>
      </c>
      <c r="AK191" s="42" t="str">
        <v>England</v>
      </c>
      <c r="AL191" s="42">
        <v>2</v>
      </c>
      <c r="AM191" s="42">
        <v>0</v>
      </c>
      <c r="AN191" s="42" t="str">
        <v>France</v>
      </c>
      <c r="AO191" s="42" t="str">
        <v>-</v>
      </c>
    </row>
    <row r="192" spans="7:41">
      <c r="G192" s="30">
        <v>2010</v>
      </c>
      <c r="H192" s="30" t="str">
        <v>ROUND_OF_16</v>
      </c>
      <c r="I192" s="30" t="str">
        <v>Paraguay</v>
      </c>
      <c r="J192" s="30" t="str">
        <v>Japan</v>
      </c>
      <c r="K192" s="30" t="str">
        <v>Japan</v>
      </c>
      <c r="L192" s="30" t="str">
        <v>Yuichi Komano</v>
      </c>
      <c r="M192" s="30" t="str">
        <v>Justo Villar</v>
      </c>
      <c r="N192" s="30">
        <v>6</v>
      </c>
      <c r="O192" s="30">
        <v>3</v>
      </c>
      <c r="P192" s="30" t="str">
        <v>'2-3</v>
      </c>
      <c r="Q192" s="30" t="str">
        <v>No</v>
      </c>
      <c r="R192" s="30" t="str">
        <v>No</v>
      </c>
      <c r="S192" s="30" t="str">
        <v>Missed</v>
      </c>
      <c r="T192" s="30" t="str">
        <f t="shared" si="6"/>
        <v>2-3</v>
      </c>
      <c r="U192" s="30">
        <f t="shared" si="7"/>
        <v>2</v>
      </c>
      <c r="V192" s="30">
        <f t="shared" si="8"/>
        <v>3</v>
      </c>
      <c r="X192" s="12">
        <v>190</v>
      </c>
      <c r="Y192" s="12" t="str">
        <v>Luca Jaquez</v>
      </c>
      <c r="Z192" s="12">
        <v>23</v>
      </c>
      <c r="AA192" s="12" t="str">
        <v>Switzerland</v>
      </c>
      <c r="AB192" s="12" t="str">
        <v>CB</v>
      </c>
      <c r="AC192" s="12" t="str">
        <v>VfB Stuttgart</v>
      </c>
      <c r="AD192" s="12">
        <v>25</v>
      </c>
      <c r="AF192" s="42">
        <v>1966</v>
      </c>
      <c r="AG192" s="42" t="str">
        <v xml:space="preserve">20 Jul 1966 - 19:30 </v>
      </c>
      <c r="AH192" s="42" t="str">
        <v>GROUP_STAGE</v>
      </c>
      <c r="AI192" s="42" t="str">
        <v>Old Trafford Stadium</v>
      </c>
      <c r="AJ192" s="42" t="str">
        <v xml:space="preserve">Manchester </v>
      </c>
      <c r="AK192" s="42" t="str">
        <v>Hungary</v>
      </c>
      <c r="AL192" s="42">
        <v>3</v>
      </c>
      <c r="AM192" s="42">
        <v>1</v>
      </c>
      <c r="AN192" s="42" t="str">
        <v>Bulgaria</v>
      </c>
      <c r="AO192" s="42" t="str">
        <v>-</v>
      </c>
    </row>
    <row r="193" spans="7:41">
      <c r="G193" s="30">
        <v>2010</v>
      </c>
      <c r="H193" s="30" t="str">
        <v>ROUND_OF_16</v>
      </c>
      <c r="I193" s="30" t="str">
        <v>Paraguay</v>
      </c>
      <c r="J193" s="30" t="str">
        <v>Japan</v>
      </c>
      <c r="K193" s="30" t="str">
        <v>Paraguay</v>
      </c>
      <c r="L193" s="30" t="str">
        <v>Nelson Valdez</v>
      </c>
      <c r="M193" s="30" t="str">
        <v>Eiji Kawashima</v>
      </c>
      <c r="N193" s="30">
        <v>7</v>
      </c>
      <c r="O193" s="30">
        <v>4</v>
      </c>
      <c r="P193" s="30" t="str">
        <v>'2-3</v>
      </c>
      <c r="Q193" s="30" t="str">
        <v>No</v>
      </c>
      <c r="R193" s="30" t="str">
        <v>No</v>
      </c>
      <c r="S193" s="30" t="str">
        <v>Goal</v>
      </c>
      <c r="T193" s="30" t="str">
        <f t="shared" si="6"/>
        <v>2-3</v>
      </c>
      <c r="U193" s="30">
        <f t="shared" si="7"/>
        <v>2</v>
      </c>
      <c r="V193" s="30">
        <f t="shared" si="8"/>
        <v>3</v>
      </c>
      <c r="X193" s="12">
        <v>191</v>
      </c>
      <c r="Y193" s="12" t="str">
        <v>Miro Muheim</v>
      </c>
      <c r="Z193" s="12">
        <v>28</v>
      </c>
      <c r="AA193" s="12" t="str">
        <v>Switzerland</v>
      </c>
      <c r="AB193" s="12" t="str">
        <v>LB</v>
      </c>
      <c r="AC193" s="12" t="str">
        <v>Hamburger SV</v>
      </c>
      <c r="AD193" s="12">
        <v>2</v>
      </c>
      <c r="AF193" s="42">
        <v>1966</v>
      </c>
      <c r="AG193" s="42" t="str">
        <v xml:space="preserve">20 Jul 1966 - 19:30 </v>
      </c>
      <c r="AH193" s="42" t="str">
        <v>GROUP_STAGE</v>
      </c>
      <c r="AI193" s="42" t="str">
        <v>Villa Park</v>
      </c>
      <c r="AJ193" s="42" t="str">
        <v xml:space="preserve">Birmingham </v>
      </c>
      <c r="AK193" s="42" t="str">
        <v>FR Germany</v>
      </c>
      <c r="AL193" s="42">
        <v>2</v>
      </c>
      <c r="AM193" s="42">
        <v>1</v>
      </c>
      <c r="AN193" s="42" t="str">
        <v>Spain</v>
      </c>
      <c r="AO193" s="42" t="str">
        <v>-</v>
      </c>
    </row>
    <row r="194" spans="7:41">
      <c r="G194" s="30">
        <v>2010</v>
      </c>
      <c r="H194" s="30" t="str">
        <v>ROUND_OF_16</v>
      </c>
      <c r="I194" s="30" t="str">
        <v>Paraguay</v>
      </c>
      <c r="J194" s="30" t="str">
        <v>Japan</v>
      </c>
      <c r="K194" s="30" t="str">
        <v>Japan</v>
      </c>
      <c r="L194" s="30" t="str">
        <v>Keisuke Honda</v>
      </c>
      <c r="M194" s="30" t="str">
        <v>Justo Villar</v>
      </c>
      <c r="N194" s="30">
        <v>8</v>
      </c>
      <c r="O194" s="30">
        <v>4</v>
      </c>
      <c r="P194" s="30" t="str">
        <v>'2-4</v>
      </c>
      <c r="Q194" s="30" t="str">
        <v>No</v>
      </c>
      <c r="R194" s="30" t="str">
        <v>No</v>
      </c>
      <c r="S194" s="30" t="str">
        <v>Goal</v>
      </c>
      <c r="T194" s="30" t="str">
        <f t="shared" si="6"/>
        <v>2-4</v>
      </c>
      <c r="U194" s="30">
        <f t="shared" si="7"/>
        <v>2</v>
      </c>
      <c r="V194" s="30">
        <f t="shared" si="8"/>
        <v>4</v>
      </c>
      <c r="X194" s="12">
        <v>192</v>
      </c>
      <c r="Y194" s="12" t="str">
        <v>Ricardo Rodriguez</v>
      </c>
      <c r="Z194" s="12">
        <v>33</v>
      </c>
      <c r="AA194" s="12" t="str">
        <v>Switzerland</v>
      </c>
      <c r="AB194" s="12" t="str">
        <v>LB</v>
      </c>
      <c r="AC194" s="12" t="str">
        <v>Real Betis</v>
      </c>
      <c r="AD194" s="12">
        <v>13</v>
      </c>
      <c r="AF194" s="42">
        <v>1966</v>
      </c>
      <c r="AG194" s="42" t="str">
        <v xml:space="preserve">20 Jul 1966 - 19:30 </v>
      </c>
      <c r="AH194" s="42" t="str">
        <v>GROUP_STAGE</v>
      </c>
      <c r="AI194" s="42" t="str">
        <v>Roker Park Ground</v>
      </c>
      <c r="AJ194" s="42" t="str">
        <v xml:space="preserve">Sunderland </v>
      </c>
      <c r="AK194" s="42" t="str">
        <v>Soviet Union</v>
      </c>
      <c r="AL194" s="42">
        <v>2</v>
      </c>
      <c r="AM194" s="42">
        <v>1</v>
      </c>
      <c r="AN194" s="42" t="str">
        <v>Chile</v>
      </c>
      <c r="AO194" s="42" t="str">
        <v>-</v>
      </c>
    </row>
    <row r="195" spans="7:41">
      <c r="G195" s="30">
        <v>2010</v>
      </c>
      <c r="H195" s="30" t="str">
        <v>ROUND_OF_16</v>
      </c>
      <c r="I195" s="30" t="str">
        <v>Paraguay</v>
      </c>
      <c r="J195" s="30" t="str">
        <v>Japan</v>
      </c>
      <c r="K195" s="30" t="str">
        <v>Paraguay</v>
      </c>
      <c r="L195" s="30" t="str">
        <v>Óscar Cardozo</v>
      </c>
      <c r="M195" s="30" t="str">
        <v>Eiji Kawashima</v>
      </c>
      <c r="N195" s="30">
        <v>9</v>
      </c>
      <c r="O195" s="30">
        <v>5</v>
      </c>
      <c r="P195" s="30" t="str">
        <v>'3-4</v>
      </c>
      <c r="Q195" s="30" t="str">
        <v>No</v>
      </c>
      <c r="R195" s="30" t="str">
        <v>Yes</v>
      </c>
      <c r="S195" s="30" t="str">
        <v>Goal</v>
      </c>
      <c r="T195" s="30" t="str">
        <f t="shared" ref="T195:T258" si="9">SUBSTITUTE(P195,"'","")</f>
        <v>3-4</v>
      </c>
      <c r="U195" s="30">
        <f t="shared" ref="U195:U258" si="10">VALUE(LEFT(T195,1))</f>
        <v>3</v>
      </c>
      <c r="V195" s="30">
        <f t="shared" ref="V195:V258" si="11">VALUE(RIGHT(T195,1))</f>
        <v>4</v>
      </c>
      <c r="X195" s="12">
        <v>193</v>
      </c>
      <c r="Y195" s="12" t="str">
        <v>Silvan Widmer</v>
      </c>
      <c r="Z195" s="12">
        <v>33</v>
      </c>
      <c r="AA195" s="12" t="str">
        <v>Switzerland</v>
      </c>
      <c r="AB195" s="12" t="str">
        <v>RB</v>
      </c>
      <c r="AC195" s="12" t="str">
        <v>Mainz 05</v>
      </c>
      <c r="AD195" s="12">
        <v>3</v>
      </c>
      <c r="AF195" s="42">
        <v>1966</v>
      </c>
      <c r="AG195" s="42" t="str">
        <v xml:space="preserve">23 Jul 1966 - 15:00 </v>
      </c>
      <c r="AH195" s="42" t="str">
        <v>QUARTER_FINALS</v>
      </c>
      <c r="AI195" s="42" t="str">
        <v>Wembley Stadium</v>
      </c>
      <c r="AJ195" s="42" t="str">
        <v xml:space="preserve">London </v>
      </c>
      <c r="AK195" s="42" t="str">
        <v>England</v>
      </c>
      <c r="AL195" s="42">
        <v>1</v>
      </c>
      <c r="AM195" s="42">
        <v>0</v>
      </c>
      <c r="AN195" s="42" t="str">
        <v>Argentina</v>
      </c>
      <c r="AO195" s="42" t="str">
        <v>-</v>
      </c>
    </row>
    <row r="196" spans="7:41">
      <c r="G196" s="30">
        <v>2010</v>
      </c>
      <c r="H196" s="30" t="str">
        <v>QUARTER_FINALS</v>
      </c>
      <c r="I196" s="30" t="str">
        <v>Uruguay</v>
      </c>
      <c r="J196" s="30" t="str">
        <v>Ghana</v>
      </c>
      <c r="K196" s="30" t="str">
        <v>Uruguay</v>
      </c>
      <c r="L196" s="30" t="str">
        <v>Diego Forlán</v>
      </c>
      <c r="M196" s="30" t="str">
        <v>Richard Kingson</v>
      </c>
      <c r="N196" s="30">
        <v>1</v>
      </c>
      <c r="O196" s="30">
        <v>1</v>
      </c>
      <c r="P196" s="30" t="str">
        <v>'0-0</v>
      </c>
      <c r="Q196" s="30" t="str">
        <v>No</v>
      </c>
      <c r="R196" s="30" t="str">
        <v>No</v>
      </c>
      <c r="S196" s="30" t="str">
        <v>Goal</v>
      </c>
      <c r="T196" s="30" t="str">
        <f t="shared" si="9"/>
        <v>0-0</v>
      </c>
      <c r="U196" s="30">
        <f t="shared" si="10"/>
        <v>0</v>
      </c>
      <c r="V196" s="30">
        <f t="shared" si="11"/>
        <v>0</v>
      </c>
      <c r="X196" s="12">
        <v>194</v>
      </c>
      <c r="Y196" s="12" t="str">
        <v>Denis Zakaria</v>
      </c>
      <c r="Z196" s="12">
        <v>29</v>
      </c>
      <c r="AA196" s="12" t="str">
        <v>Switzerland</v>
      </c>
      <c r="AB196" s="12" t="str">
        <v>CDM</v>
      </c>
      <c r="AC196" s="12" t="str">
        <v>Monaco</v>
      </c>
      <c r="AD196" s="12">
        <v>6</v>
      </c>
      <c r="AF196" s="42">
        <v>1966</v>
      </c>
      <c r="AG196" s="42" t="str">
        <v xml:space="preserve">23 Jul 1966 - 15:00 </v>
      </c>
      <c r="AH196" s="42" t="str">
        <v>QUARTER_FINALS</v>
      </c>
      <c r="AI196" s="42" t="str">
        <v>Hillsborough</v>
      </c>
      <c r="AJ196" s="42" t="str">
        <v xml:space="preserve">Sheffield </v>
      </c>
      <c r="AK196" s="42" t="str">
        <v>FR Germany</v>
      </c>
      <c r="AL196" s="42">
        <v>4</v>
      </c>
      <c r="AM196" s="42">
        <v>0</v>
      </c>
      <c r="AN196" s="42" t="str">
        <v>Uruguay</v>
      </c>
      <c r="AO196" s="42" t="str">
        <v>-</v>
      </c>
    </row>
    <row r="197" spans="7:41">
      <c r="G197" s="30">
        <v>2010</v>
      </c>
      <c r="H197" s="30" t="str">
        <v>QUARTER_FINALS</v>
      </c>
      <c r="I197" s="30" t="str">
        <v>Uruguay</v>
      </c>
      <c r="J197" s="30" t="str">
        <v>Ghana</v>
      </c>
      <c r="K197" s="30" t="str">
        <v>Ghana</v>
      </c>
      <c r="L197" s="30" t="str">
        <v>Asamoah Gyan</v>
      </c>
      <c r="M197" s="30" t="str">
        <v>Fernando Muslera</v>
      </c>
      <c r="N197" s="30">
        <v>2</v>
      </c>
      <c r="O197" s="30">
        <v>1</v>
      </c>
      <c r="P197" s="30" t="str">
        <v>'1-0</v>
      </c>
      <c r="Q197" s="30" t="str">
        <v>No</v>
      </c>
      <c r="R197" s="30" t="str">
        <v>No</v>
      </c>
      <c r="S197" s="30" t="str">
        <v>Goal</v>
      </c>
      <c r="T197" s="30" t="str">
        <f t="shared" si="9"/>
        <v>1-0</v>
      </c>
      <c r="U197" s="30">
        <f t="shared" si="10"/>
        <v>1</v>
      </c>
      <c r="V197" s="30">
        <f t="shared" si="11"/>
        <v>0</v>
      </c>
      <c r="X197" s="12">
        <v>195</v>
      </c>
      <c r="Y197" s="12" t="str">
        <v>Ardon Jashari</v>
      </c>
      <c r="Z197" s="12">
        <v>23</v>
      </c>
      <c r="AA197" s="12" t="str">
        <v>Switzerland</v>
      </c>
      <c r="AB197" s="12" t="str">
        <v>CDM</v>
      </c>
      <c r="AC197" s="12" t="str">
        <v>AC Milan</v>
      </c>
      <c r="AD197" s="12">
        <v>14</v>
      </c>
      <c r="AF197" s="42">
        <v>1966</v>
      </c>
      <c r="AG197" s="42" t="str">
        <v xml:space="preserve">23 Jul 1966 - 15:00 </v>
      </c>
      <c r="AH197" s="42" t="str">
        <v>QUARTER_FINALS</v>
      </c>
      <c r="AI197" s="42" t="str">
        <v>Roker Park Ground</v>
      </c>
      <c r="AJ197" s="42" t="str">
        <v xml:space="preserve">Sunderland </v>
      </c>
      <c r="AK197" s="42" t="str">
        <v>Soviet Union</v>
      </c>
      <c r="AL197" s="42">
        <v>2</v>
      </c>
      <c r="AM197" s="42">
        <v>1</v>
      </c>
      <c r="AN197" s="42" t="str">
        <v>Hungary</v>
      </c>
      <c r="AO197" s="42" t="str">
        <v>-</v>
      </c>
    </row>
    <row r="198" spans="7:41">
      <c r="G198" s="30">
        <v>2010</v>
      </c>
      <c r="H198" s="30" t="str">
        <v>QUARTER_FINALS</v>
      </c>
      <c r="I198" s="30" t="str">
        <v>Uruguay</v>
      </c>
      <c r="J198" s="30" t="str">
        <v>Ghana</v>
      </c>
      <c r="K198" s="30" t="str">
        <v>Uruguay</v>
      </c>
      <c r="L198" s="30" t="str">
        <v>Mauricio Victorino</v>
      </c>
      <c r="M198" s="30" t="str">
        <v>Richard Kingson</v>
      </c>
      <c r="N198" s="30">
        <v>3</v>
      </c>
      <c r="O198" s="30">
        <v>2</v>
      </c>
      <c r="P198" s="30" t="str">
        <v>'1-1</v>
      </c>
      <c r="Q198" s="30" t="str">
        <v>No</v>
      </c>
      <c r="R198" s="30" t="str">
        <v>No</v>
      </c>
      <c r="S198" s="30" t="str">
        <v>Goal</v>
      </c>
      <c r="T198" s="30" t="str">
        <f t="shared" si="9"/>
        <v>1-1</v>
      </c>
      <c r="U198" s="30">
        <f t="shared" si="10"/>
        <v>1</v>
      </c>
      <c r="V198" s="30">
        <f t="shared" si="11"/>
        <v>1</v>
      </c>
      <c r="X198" s="12">
        <v>196</v>
      </c>
      <c r="Y198" s="12" t="str">
        <v>Remo Freuler</v>
      </c>
      <c r="Z198" s="12">
        <v>34</v>
      </c>
      <c r="AA198" s="12" t="str">
        <v>Switzerland</v>
      </c>
      <c r="AB198" s="12" t="str">
        <v>CM</v>
      </c>
      <c r="AC198" s="12" t="str">
        <v>Bologna</v>
      </c>
      <c r="AD198" s="12">
        <v>8</v>
      </c>
      <c r="AF198" s="42">
        <v>1966</v>
      </c>
      <c r="AG198" s="42" t="str">
        <v xml:space="preserve">23 Jul 1966 - 15:00 </v>
      </c>
      <c r="AH198" s="42" t="str">
        <v>QUARTER_FINALS</v>
      </c>
      <c r="AI198" s="42" t="str">
        <v>Goodison Park</v>
      </c>
      <c r="AJ198" s="42" t="str">
        <v xml:space="preserve">Liverpool </v>
      </c>
      <c r="AK198" s="42" t="str">
        <v>Portugal</v>
      </c>
      <c r="AL198" s="42">
        <v>5</v>
      </c>
      <c r="AM198" s="42">
        <v>3</v>
      </c>
      <c r="AN198" s="42" t="str">
        <v>North Korea</v>
      </c>
      <c r="AO198" s="42" t="str">
        <v>-</v>
      </c>
    </row>
    <row r="199" spans="7:41">
      <c r="G199" s="30">
        <v>2010</v>
      </c>
      <c r="H199" s="30" t="str">
        <v>QUARTER_FINALS</v>
      </c>
      <c r="I199" s="30" t="str">
        <v>Uruguay</v>
      </c>
      <c r="J199" s="30" t="str">
        <v>Ghana</v>
      </c>
      <c r="K199" s="30" t="str">
        <v>Ghana</v>
      </c>
      <c r="L199" s="30" t="str">
        <v>Appiah</v>
      </c>
      <c r="M199" s="30" t="str">
        <v>Fernando Muslera</v>
      </c>
      <c r="N199" s="30">
        <v>4</v>
      </c>
      <c r="O199" s="30">
        <v>2</v>
      </c>
      <c r="P199" s="30" t="str">
        <v>'1-2</v>
      </c>
      <c r="Q199" s="30" t="str">
        <v>No</v>
      </c>
      <c r="R199" s="30" t="str">
        <v>No</v>
      </c>
      <c r="S199" s="30" t="str">
        <v>Goal</v>
      </c>
      <c r="T199" s="30" t="str">
        <f t="shared" si="9"/>
        <v>1-2</v>
      </c>
      <c r="U199" s="30">
        <f t="shared" si="10"/>
        <v>1</v>
      </c>
      <c r="V199" s="30">
        <f t="shared" si="11"/>
        <v>2</v>
      </c>
      <c r="X199" s="12">
        <v>197</v>
      </c>
      <c r="Y199" s="12" t="str">
        <v>Johan Manzambi</v>
      </c>
      <c r="Z199" s="12">
        <v>20</v>
      </c>
      <c r="AA199" s="12" t="str">
        <v>Switzerland</v>
      </c>
      <c r="AB199" s="12" t="str">
        <v>CM</v>
      </c>
      <c r="AC199" s="12" t="str">
        <v>SC Freiburg</v>
      </c>
      <c r="AD199" s="12">
        <v>9</v>
      </c>
      <c r="AF199" s="42">
        <v>1966</v>
      </c>
      <c r="AG199" s="42" t="str">
        <v xml:space="preserve">25 Jul 1966 - 19:30 </v>
      </c>
      <c r="AH199" s="42" t="str">
        <v>SEMI_FINALS</v>
      </c>
      <c r="AI199" s="42" t="str">
        <v>Goodison Park</v>
      </c>
      <c r="AJ199" s="42" t="str">
        <v xml:space="preserve">Liverpool </v>
      </c>
      <c r="AK199" s="42" t="str">
        <v>FR Germany</v>
      </c>
      <c r="AL199" s="42">
        <v>2</v>
      </c>
      <c r="AM199" s="42">
        <v>1</v>
      </c>
      <c r="AN199" s="42" t="str">
        <v>Soviet Union</v>
      </c>
      <c r="AO199" s="42" t="str">
        <v>-</v>
      </c>
    </row>
    <row r="200" spans="7:41">
      <c r="G200" s="30">
        <v>2010</v>
      </c>
      <c r="H200" s="30" t="str">
        <v>QUARTER_FINALS</v>
      </c>
      <c r="I200" s="30" t="str">
        <v>Uruguay</v>
      </c>
      <c r="J200" s="30" t="str">
        <v>Ghana</v>
      </c>
      <c r="K200" s="30" t="str">
        <v>Uruguay</v>
      </c>
      <c r="L200" s="30" t="str">
        <v>Andrés Scotti</v>
      </c>
      <c r="M200" s="30" t="str">
        <v>Richard Kingson</v>
      </c>
      <c r="N200" s="30">
        <v>5</v>
      </c>
      <c r="O200" s="30">
        <v>3</v>
      </c>
      <c r="P200" s="30" t="str">
        <v>'2-2</v>
      </c>
      <c r="Q200" s="30" t="str">
        <v>No</v>
      </c>
      <c r="R200" s="30" t="str">
        <v>No</v>
      </c>
      <c r="S200" s="30" t="str">
        <v>Goal</v>
      </c>
      <c r="T200" s="30" t="str">
        <f t="shared" si="9"/>
        <v>2-2</v>
      </c>
      <c r="U200" s="30">
        <f t="shared" si="10"/>
        <v>2</v>
      </c>
      <c r="V200" s="30">
        <f t="shared" si="11"/>
        <v>2</v>
      </c>
      <c r="X200" s="12">
        <v>198</v>
      </c>
      <c r="Y200" s="12" t="str">
        <v>Granit Xhaka</v>
      </c>
      <c r="Z200" s="12">
        <v>33</v>
      </c>
      <c r="AA200" s="12" t="str">
        <v>Switzerland</v>
      </c>
      <c r="AB200" s="12" t="str">
        <v>CM</v>
      </c>
      <c r="AC200" s="12" t="str">
        <v>Sunderland</v>
      </c>
      <c r="AD200" s="12">
        <v>10</v>
      </c>
      <c r="AF200" s="42">
        <v>1966</v>
      </c>
      <c r="AG200" s="42" t="str">
        <v xml:space="preserve">26 Jul 1966 - 19:30 </v>
      </c>
      <c r="AH200" s="42" t="str">
        <v>SEMI_FINALS</v>
      </c>
      <c r="AI200" s="42" t="str">
        <v>Wembley Stadium</v>
      </c>
      <c r="AJ200" s="42" t="str">
        <v xml:space="preserve">London </v>
      </c>
      <c r="AK200" s="42" t="str">
        <v>England</v>
      </c>
      <c r="AL200" s="42">
        <v>2</v>
      </c>
      <c r="AM200" s="42">
        <v>1</v>
      </c>
      <c r="AN200" s="42" t="str">
        <v>Portugal</v>
      </c>
      <c r="AO200" s="42" t="str">
        <v>-</v>
      </c>
    </row>
    <row r="201" spans="7:41">
      <c r="G201" s="30">
        <v>2010</v>
      </c>
      <c r="H201" s="30" t="str">
        <v>QUARTER_FINALS</v>
      </c>
      <c r="I201" s="30" t="str">
        <v>Uruguay</v>
      </c>
      <c r="J201" s="30" t="str">
        <v>Ghana</v>
      </c>
      <c r="K201" s="30" t="str">
        <v>Ghana</v>
      </c>
      <c r="L201" s="30" t="str">
        <v>John Mensah</v>
      </c>
      <c r="M201" s="30" t="str">
        <v>Fernando Muslera</v>
      </c>
      <c r="N201" s="30">
        <v>6</v>
      </c>
      <c r="O201" s="30">
        <v>3</v>
      </c>
      <c r="P201" s="30" t="str">
        <v>'2-3</v>
      </c>
      <c r="Q201" s="30" t="str">
        <v>No</v>
      </c>
      <c r="R201" s="30" t="str">
        <v>No</v>
      </c>
      <c r="S201" s="30" t="str">
        <v>Saved</v>
      </c>
      <c r="T201" s="30" t="str">
        <f t="shared" si="9"/>
        <v>2-3</v>
      </c>
      <c r="U201" s="30">
        <f t="shared" si="10"/>
        <v>2</v>
      </c>
      <c r="V201" s="30">
        <f t="shared" si="11"/>
        <v>3</v>
      </c>
      <c r="X201" s="12">
        <v>199</v>
      </c>
      <c r="Y201" s="12" t="str">
        <v>Djibril Sow</v>
      </c>
      <c r="Z201" s="12">
        <v>29</v>
      </c>
      <c r="AA201" s="12" t="str">
        <v>Switzerland</v>
      </c>
      <c r="AB201" s="12" t="str">
        <v>CM</v>
      </c>
      <c r="AC201" s="12" t="str">
        <v>Sevilla</v>
      </c>
      <c r="AD201" s="12">
        <v>15</v>
      </c>
      <c r="AF201" s="42">
        <v>1966</v>
      </c>
      <c r="AG201" s="42" t="str">
        <v xml:space="preserve">28 Jul 1966 - 19:30 </v>
      </c>
      <c r="AH201" s="42" t="str">
        <v>THIRD_PLACE</v>
      </c>
      <c r="AI201" s="42" t="str">
        <v>Wembley Stadium</v>
      </c>
      <c r="AJ201" s="42" t="str">
        <v xml:space="preserve">London </v>
      </c>
      <c r="AK201" s="42" t="str">
        <v>Portugal</v>
      </c>
      <c r="AL201" s="42">
        <v>2</v>
      </c>
      <c r="AM201" s="42">
        <v>1</v>
      </c>
      <c r="AN201" s="42" t="str">
        <v>Soviet Union</v>
      </c>
      <c r="AO201" s="42" t="str">
        <v>-</v>
      </c>
    </row>
    <row r="202" spans="7:41">
      <c r="G202" s="30">
        <v>2010</v>
      </c>
      <c r="H202" s="30" t="str">
        <v>QUARTER_FINALS</v>
      </c>
      <c r="I202" s="30" t="str">
        <v>Uruguay</v>
      </c>
      <c r="J202" s="30" t="str">
        <v>Ghana</v>
      </c>
      <c r="K202" s="30" t="str">
        <v>Uruguay</v>
      </c>
      <c r="L202" s="30" t="str">
        <v>Maxi Pereira</v>
      </c>
      <c r="M202" s="30" t="str">
        <v>Richard Kingson</v>
      </c>
      <c r="N202" s="30">
        <v>7</v>
      </c>
      <c r="O202" s="30">
        <v>4</v>
      </c>
      <c r="P202" s="30" t="str">
        <v>'2-3</v>
      </c>
      <c r="Q202" s="30" t="str">
        <v>No</v>
      </c>
      <c r="R202" s="30" t="str">
        <v>No</v>
      </c>
      <c r="S202" s="30" t="str">
        <v>Missed</v>
      </c>
      <c r="T202" s="30" t="str">
        <f t="shared" si="9"/>
        <v>2-3</v>
      </c>
      <c r="U202" s="30">
        <f t="shared" si="10"/>
        <v>2</v>
      </c>
      <c r="V202" s="30">
        <f t="shared" si="11"/>
        <v>3</v>
      </c>
      <c r="X202" s="12">
        <v>200</v>
      </c>
      <c r="Y202" s="12" t="str">
        <v>Michel Aebischer</v>
      </c>
      <c r="Z202" s="12">
        <v>29</v>
      </c>
      <c r="AA202" s="12" t="str">
        <v>Switzerland</v>
      </c>
      <c r="AB202" s="12" t="str">
        <v>CM</v>
      </c>
      <c r="AC202" s="12" t="str">
        <v>Pisa</v>
      </c>
      <c r="AD202" s="12">
        <v>20</v>
      </c>
      <c r="AF202" s="42">
        <v>1966</v>
      </c>
      <c r="AG202" s="42" t="str">
        <v xml:space="preserve">30 Jul 1966 - 15:00 </v>
      </c>
      <c r="AH202" s="42" t="str">
        <v>FINAL</v>
      </c>
      <c r="AI202" s="42" t="str">
        <v>Wembley Stadium</v>
      </c>
      <c r="AJ202" s="42" t="str">
        <v xml:space="preserve">London </v>
      </c>
      <c r="AK202" s="42" t="str">
        <v>England</v>
      </c>
      <c r="AL202" s="42">
        <v>4</v>
      </c>
      <c r="AM202" s="42">
        <v>2</v>
      </c>
      <c r="AN202" s="42" t="str">
        <v>FR Germany</v>
      </c>
      <c r="AO202" s="42" t="str">
        <v>England win after extra time</v>
      </c>
    </row>
    <row r="203" spans="7:41">
      <c r="G203" s="30">
        <v>2010</v>
      </c>
      <c r="H203" s="30" t="str">
        <v>QUARTER_FINALS</v>
      </c>
      <c r="I203" s="30" t="str">
        <v>Uruguay</v>
      </c>
      <c r="J203" s="30" t="str">
        <v>Ghana</v>
      </c>
      <c r="K203" s="30" t="str">
        <v>Ghana</v>
      </c>
      <c r="L203" s="30" t="str">
        <v>Dominic Adiyiah</v>
      </c>
      <c r="M203" s="30" t="str">
        <v>Fernando Muslera</v>
      </c>
      <c r="N203" s="30">
        <v>8</v>
      </c>
      <c r="O203" s="30">
        <v>4</v>
      </c>
      <c r="P203" s="30" t="str">
        <v>'2-3</v>
      </c>
      <c r="Q203" s="30" t="str">
        <v>No</v>
      </c>
      <c r="R203" s="30" t="str">
        <v>No</v>
      </c>
      <c r="S203" s="30" t="str">
        <v>Saved</v>
      </c>
      <c r="T203" s="30" t="str">
        <f t="shared" si="9"/>
        <v>2-3</v>
      </c>
      <c r="U203" s="30">
        <f t="shared" si="10"/>
        <v>2</v>
      </c>
      <c r="V203" s="30">
        <f t="shared" si="11"/>
        <v>3</v>
      </c>
      <c r="X203" s="12">
        <v>201</v>
      </c>
      <c r="Y203" s="12" t="str">
        <v>Fabian Rieder</v>
      </c>
      <c r="Z203" s="12">
        <v>24</v>
      </c>
      <c r="AA203" s="12" t="str">
        <v>Switzerland</v>
      </c>
      <c r="AB203" s="12" t="str">
        <v>CAM</v>
      </c>
      <c r="AC203" s="12" t="str">
        <v>FC Augsburg</v>
      </c>
      <c r="AD203" s="12">
        <v>22</v>
      </c>
      <c r="AF203" s="42">
        <v>1970</v>
      </c>
      <c r="AG203" s="42" t="str">
        <v xml:space="preserve">31 May 1970 - 12:00 </v>
      </c>
      <c r="AH203" s="42" t="str">
        <v>GROUP_STAGE</v>
      </c>
      <c r="AI203" s="42" t="str">
        <v>Estadio Azteca</v>
      </c>
      <c r="AJ203" s="42" t="str">
        <v xml:space="preserve">Mexico City </v>
      </c>
      <c r="AK203" s="42" t="str">
        <v>Mexico</v>
      </c>
      <c r="AL203" s="42">
        <v>0</v>
      </c>
      <c r="AM203" s="42">
        <v>0</v>
      </c>
      <c r="AN203" s="42" t="str">
        <v>Soviet Union</v>
      </c>
      <c r="AO203" s="42" t="str">
        <v>-</v>
      </c>
    </row>
    <row r="204" spans="7:41">
      <c r="G204" s="30">
        <v>2010</v>
      </c>
      <c r="H204" s="30" t="str">
        <v>QUARTER_FINALS</v>
      </c>
      <c r="I204" s="30" t="str">
        <v>Uruguay</v>
      </c>
      <c r="J204" s="30" t="str">
        <v>Ghana</v>
      </c>
      <c r="K204" s="30" t="str">
        <v>Uruguay</v>
      </c>
      <c r="L204" s="30" t="str">
        <v>Sebastián Abreu</v>
      </c>
      <c r="M204" s="30" t="str">
        <v>Richard Kingson</v>
      </c>
      <c r="N204" s="30">
        <v>9</v>
      </c>
      <c r="O204" s="30">
        <v>5</v>
      </c>
      <c r="P204" s="30" t="str">
        <v>'2-3</v>
      </c>
      <c r="Q204" s="30" t="str">
        <v>No</v>
      </c>
      <c r="R204" s="30" t="str">
        <v>Yes</v>
      </c>
      <c r="S204" s="30" t="str">
        <v>Goal</v>
      </c>
      <c r="T204" s="30" t="str">
        <f t="shared" si="9"/>
        <v>2-3</v>
      </c>
      <c r="U204" s="30">
        <f t="shared" si="10"/>
        <v>2</v>
      </c>
      <c r="V204" s="30">
        <f t="shared" si="11"/>
        <v>3</v>
      </c>
      <c r="X204" s="12">
        <v>202</v>
      </c>
      <c r="Y204" s="12" t="str">
        <v>Christian Fassnacht</v>
      </c>
      <c r="Z204" s="12">
        <v>32</v>
      </c>
      <c r="AA204" s="12" t="str">
        <v>Switzerland</v>
      </c>
      <c r="AB204" s="12" t="str">
        <v>RM</v>
      </c>
      <c r="AC204" s="12" t="str">
        <v>Young Boys</v>
      </c>
      <c r="AD204" s="12">
        <v>16</v>
      </c>
      <c r="AF204" s="42">
        <v>1970</v>
      </c>
      <c r="AG204" s="42" t="str">
        <v xml:space="preserve">02 Jun 1970 - 16:00 </v>
      </c>
      <c r="AH204" s="42" t="str">
        <v>GROUP_STAGE</v>
      </c>
      <c r="AI204" s="42" t="str">
        <v>Cuauhtemoc</v>
      </c>
      <c r="AJ204" s="42" t="str">
        <v xml:space="preserve">Puebla </v>
      </c>
      <c r="AK204" s="42" t="str">
        <v>Uruguay</v>
      </c>
      <c r="AL204" s="42">
        <v>2</v>
      </c>
      <c r="AM204" s="42">
        <v>0</v>
      </c>
      <c r="AN204" s="42" t="str">
        <v>Israel</v>
      </c>
      <c r="AO204" s="42" t="str">
        <v>-</v>
      </c>
    </row>
    <row r="205" spans="7:41">
      <c r="G205" s="30">
        <v>2014</v>
      </c>
      <c r="H205" s="30" t="str">
        <v>ROUND_OF_16</v>
      </c>
      <c r="I205" s="30" t="str">
        <v>Brazil</v>
      </c>
      <c r="J205" s="30" t="str">
        <v>Chile</v>
      </c>
      <c r="K205" s="30" t="str">
        <v>Brazil</v>
      </c>
      <c r="L205" s="30" t="str">
        <v>David Luiz</v>
      </c>
      <c r="M205" s="30" t="str">
        <v>Claudio Bravo</v>
      </c>
      <c r="N205" s="30">
        <v>1</v>
      </c>
      <c r="O205" s="30">
        <v>1</v>
      </c>
      <c r="P205" s="30" t="str">
        <v>'0-0</v>
      </c>
      <c r="Q205" s="30" t="str">
        <v>No</v>
      </c>
      <c r="R205" s="30" t="str">
        <v>No</v>
      </c>
      <c r="S205" s="30" t="str">
        <v>Goal</v>
      </c>
      <c r="T205" s="30" t="str">
        <f t="shared" si="9"/>
        <v>0-0</v>
      </c>
      <c r="U205" s="30">
        <f t="shared" si="10"/>
        <v>0</v>
      </c>
      <c r="V205" s="30">
        <f t="shared" si="11"/>
        <v>0</v>
      </c>
      <c r="X205" s="12">
        <v>203</v>
      </c>
      <c r="Y205" s="12" t="str">
        <v>Rubén Vargas</v>
      </c>
      <c r="Z205" s="12">
        <v>27</v>
      </c>
      <c r="AA205" s="12" t="str">
        <v>Switzerland</v>
      </c>
      <c r="AB205" s="12" t="str">
        <v>LW</v>
      </c>
      <c r="AC205" s="12" t="str">
        <v>Sevilla</v>
      </c>
      <c r="AD205" s="12">
        <v>17</v>
      </c>
      <c r="AF205" s="42">
        <v>1970</v>
      </c>
      <c r="AG205" s="42" t="str">
        <v xml:space="preserve">02 Jun 1970 - 16:00 </v>
      </c>
      <c r="AH205" s="42" t="str">
        <v>GROUP_STAGE</v>
      </c>
      <c r="AI205" s="42" t="str">
        <v>Nou Camp - Estadio León</v>
      </c>
      <c r="AJ205" s="42" t="str">
        <v xml:space="preserve">Leon </v>
      </c>
      <c r="AK205" s="42" t="str">
        <v>Peru</v>
      </c>
      <c r="AL205" s="42">
        <v>3</v>
      </c>
      <c r="AM205" s="42">
        <v>2</v>
      </c>
      <c r="AN205" s="42" t="str">
        <v>Bulgaria</v>
      </c>
      <c r="AO205" s="42" t="str">
        <v>-</v>
      </c>
    </row>
    <row r="206" spans="7:41">
      <c r="G206" s="30">
        <v>2014</v>
      </c>
      <c r="H206" s="30" t="str">
        <v>ROUND_OF_16</v>
      </c>
      <c r="I206" s="30" t="str">
        <v>Brazil</v>
      </c>
      <c r="J206" s="30" t="str">
        <v>Chile</v>
      </c>
      <c r="K206" s="30" t="str">
        <v>Chile</v>
      </c>
      <c r="L206" s="30" t="str">
        <v>Mauricio Pinilla</v>
      </c>
      <c r="M206" s="30" t="str">
        <v>Júlio César</v>
      </c>
      <c r="N206" s="30">
        <v>2</v>
      </c>
      <c r="O206" s="30">
        <v>1</v>
      </c>
      <c r="P206" s="30" t="str">
        <v>'1-0</v>
      </c>
      <c r="Q206" s="30" t="str">
        <v>No</v>
      </c>
      <c r="R206" s="30" t="str">
        <v>No</v>
      </c>
      <c r="S206" s="30" t="str">
        <v>Saved</v>
      </c>
      <c r="T206" s="30" t="str">
        <f t="shared" si="9"/>
        <v>1-0</v>
      </c>
      <c r="U206" s="30">
        <f t="shared" si="10"/>
        <v>1</v>
      </c>
      <c r="V206" s="30">
        <f t="shared" si="11"/>
        <v>0</v>
      </c>
      <c r="X206" s="12">
        <v>204</v>
      </c>
      <c r="Y206" s="12" t="str">
        <v>Noah Okafor</v>
      </c>
      <c r="Z206" s="12">
        <v>26</v>
      </c>
      <c r="AA206" s="12" t="str">
        <v>Switzerland</v>
      </c>
      <c r="AB206" s="12" t="str">
        <v>LW</v>
      </c>
      <c r="AC206" s="12" t="str">
        <v>Leeds United</v>
      </c>
      <c r="AD206" s="12">
        <v>19</v>
      </c>
      <c r="AF206" s="42">
        <v>1970</v>
      </c>
      <c r="AG206" s="42" t="str">
        <v xml:space="preserve">02 Jun 1970 - 16:00 </v>
      </c>
      <c r="AH206" s="42" t="str">
        <v>GROUP_STAGE</v>
      </c>
      <c r="AI206" s="42" t="str">
        <v>Jalisco</v>
      </c>
      <c r="AJ206" s="42" t="str">
        <v xml:space="preserve">Guadalajara </v>
      </c>
      <c r="AK206" s="42" t="str">
        <v>England</v>
      </c>
      <c r="AL206" s="42">
        <v>1</v>
      </c>
      <c r="AM206" s="42">
        <v>0</v>
      </c>
      <c r="AN206" s="42" t="str">
        <v>Romania</v>
      </c>
      <c r="AO206" s="42" t="str">
        <v>-</v>
      </c>
    </row>
    <row r="207" spans="7:41">
      <c r="G207" s="30">
        <v>2014</v>
      </c>
      <c r="H207" s="30" t="str">
        <v>ROUND_OF_16</v>
      </c>
      <c r="I207" s="30" t="str">
        <v>Brazil</v>
      </c>
      <c r="J207" s="30" t="str">
        <v>Chile</v>
      </c>
      <c r="K207" s="30" t="str">
        <v>Brazil</v>
      </c>
      <c r="L207" s="30" t="str">
        <v>Willian</v>
      </c>
      <c r="M207" s="30" t="str">
        <v>Claudio Bravo</v>
      </c>
      <c r="N207" s="30">
        <v>3</v>
      </c>
      <c r="O207" s="30">
        <v>2</v>
      </c>
      <c r="P207" s="30" t="str">
        <v>'1-0</v>
      </c>
      <c r="Q207" s="30" t="str">
        <v>No</v>
      </c>
      <c r="R207" s="30" t="str">
        <v>No</v>
      </c>
      <c r="S207" s="30" t="str">
        <v>Missed</v>
      </c>
      <c r="T207" s="30" t="str">
        <f t="shared" si="9"/>
        <v>1-0</v>
      </c>
      <c r="U207" s="30">
        <f t="shared" si="10"/>
        <v>1</v>
      </c>
      <c r="V207" s="30">
        <f t="shared" si="11"/>
        <v>0</v>
      </c>
      <c r="X207" s="12">
        <v>205</v>
      </c>
      <c r="Y207" s="12" t="str">
        <v>Dan Ndoye</v>
      </c>
      <c r="Z207" s="12">
        <v>25</v>
      </c>
      <c r="AA207" s="12" t="str">
        <v>Switzerland</v>
      </c>
      <c r="AB207" s="12" t="str">
        <v>RW</v>
      </c>
      <c r="AC207" s="12" t="str">
        <v>Nottingham Forest</v>
      </c>
      <c r="AD207" s="12">
        <v>11</v>
      </c>
      <c r="AF207" s="42">
        <v>1970</v>
      </c>
      <c r="AG207" s="42" t="str">
        <v xml:space="preserve">03 Jun 1970 - 16:00 </v>
      </c>
      <c r="AH207" s="42" t="str">
        <v>GROUP_STAGE</v>
      </c>
      <c r="AI207" s="42" t="str">
        <v>Luis Dosal</v>
      </c>
      <c r="AJ207" s="42" t="str">
        <v xml:space="preserve">Toluca </v>
      </c>
      <c r="AK207" s="42" t="str">
        <v>Italy</v>
      </c>
      <c r="AL207" s="42">
        <v>1</v>
      </c>
      <c r="AM207" s="42">
        <v>0</v>
      </c>
      <c r="AN207" s="42" t="str">
        <v>Sweden</v>
      </c>
      <c r="AO207" s="42" t="str">
        <v>-</v>
      </c>
    </row>
    <row r="208" spans="7:41">
      <c r="G208" s="30">
        <v>2014</v>
      </c>
      <c r="H208" s="30" t="str">
        <v>ROUND_OF_16</v>
      </c>
      <c r="I208" s="30" t="str">
        <v>Brazil</v>
      </c>
      <c r="J208" s="30" t="str">
        <v>Chile</v>
      </c>
      <c r="K208" s="30" t="str">
        <v>Chile</v>
      </c>
      <c r="L208" s="30" t="str">
        <v>Alexis Sánchez</v>
      </c>
      <c r="M208" s="30" t="str">
        <v>Júlio César</v>
      </c>
      <c r="N208" s="30">
        <v>4</v>
      </c>
      <c r="O208" s="30">
        <v>2</v>
      </c>
      <c r="P208" s="30" t="str">
        <v>'1-0</v>
      </c>
      <c r="Q208" s="30" t="str">
        <v>No</v>
      </c>
      <c r="R208" s="30" t="str">
        <v>No</v>
      </c>
      <c r="S208" s="30" t="str">
        <v>Saved</v>
      </c>
      <c r="T208" s="30" t="str">
        <f t="shared" si="9"/>
        <v>1-0</v>
      </c>
      <c r="U208" s="30">
        <f t="shared" si="10"/>
        <v>1</v>
      </c>
      <c r="V208" s="30">
        <f t="shared" si="11"/>
        <v>0</v>
      </c>
      <c r="X208" s="12">
        <v>206</v>
      </c>
      <c r="Y208" s="12" t="str">
        <v>Breel Embolo</v>
      </c>
      <c r="Z208" s="12">
        <v>29</v>
      </c>
      <c r="AA208" s="12" t="str">
        <v>Switzerland</v>
      </c>
      <c r="AB208" s="12" t="str">
        <v>ST</v>
      </c>
      <c r="AC208" s="12" t="str">
        <v>Rennes</v>
      </c>
      <c r="AD208" s="12">
        <v>7</v>
      </c>
      <c r="AF208" s="42">
        <v>1970</v>
      </c>
      <c r="AG208" s="42" t="str">
        <v xml:space="preserve">03 Jun 1970 - 16:00 </v>
      </c>
      <c r="AH208" s="42" t="str">
        <v>GROUP_STAGE</v>
      </c>
      <c r="AI208" s="42" t="str">
        <v>Nou Camp - Estadio León</v>
      </c>
      <c r="AJ208" s="42" t="str">
        <v xml:space="preserve">Leon </v>
      </c>
      <c r="AK208" s="42" t="str">
        <v>FR Germany</v>
      </c>
      <c r="AL208" s="42">
        <v>2</v>
      </c>
      <c r="AM208" s="42">
        <v>1</v>
      </c>
      <c r="AN208" s="42" t="str">
        <v>Morocco</v>
      </c>
      <c r="AO208" s="42" t="str">
        <v>-</v>
      </c>
    </row>
    <row r="209" spans="7:41">
      <c r="G209" s="30">
        <v>2014</v>
      </c>
      <c r="H209" s="30" t="str">
        <v>ROUND_OF_16</v>
      </c>
      <c r="I209" s="30" t="str">
        <v>Brazil</v>
      </c>
      <c r="J209" s="30" t="str">
        <v>Chile</v>
      </c>
      <c r="K209" s="30" t="str">
        <v>Brazil</v>
      </c>
      <c r="L209" s="30" t="str">
        <v>Marcelo</v>
      </c>
      <c r="M209" s="30" t="str">
        <v>Claudio Bravo</v>
      </c>
      <c r="N209" s="30">
        <v>5</v>
      </c>
      <c r="O209" s="30">
        <v>3</v>
      </c>
      <c r="P209" s="30" t="str">
        <v>'1-0</v>
      </c>
      <c r="Q209" s="30" t="str">
        <v>No</v>
      </c>
      <c r="R209" s="30" t="str">
        <v>No</v>
      </c>
      <c r="S209" s="30" t="str">
        <v>Goal</v>
      </c>
      <c r="T209" s="30" t="str">
        <f t="shared" si="9"/>
        <v>1-0</v>
      </c>
      <c r="U209" s="30">
        <f t="shared" si="10"/>
        <v>1</v>
      </c>
      <c r="V209" s="30">
        <f t="shared" si="11"/>
        <v>0</v>
      </c>
      <c r="X209" s="12">
        <v>207</v>
      </c>
      <c r="Y209" s="12" t="str">
        <v>Zeki Amdouni</v>
      </c>
      <c r="Z209" s="12">
        <v>25</v>
      </c>
      <c r="AA209" s="12" t="str">
        <v>Switzerland</v>
      </c>
      <c r="AB209" s="12" t="str">
        <v>ST</v>
      </c>
      <c r="AC209" s="12" t="str">
        <v>Burnley</v>
      </c>
      <c r="AD209" s="12">
        <v>23</v>
      </c>
      <c r="AF209" s="42">
        <v>1970</v>
      </c>
      <c r="AG209" s="42" t="str">
        <v xml:space="preserve">03 Jun 1970 - 16:00 </v>
      </c>
      <c r="AH209" s="42" t="str">
        <v>GROUP_STAGE</v>
      </c>
      <c r="AI209" s="42" t="str">
        <v>Jalisco</v>
      </c>
      <c r="AJ209" s="42" t="str">
        <v xml:space="preserve">Guadalajara </v>
      </c>
      <c r="AK209" s="42" t="str">
        <v>Brazil</v>
      </c>
      <c r="AL209" s="42">
        <v>4</v>
      </c>
      <c r="AM209" s="42">
        <v>1</v>
      </c>
      <c r="AN209" s="42" t="str">
        <v>Czechoslovakia</v>
      </c>
      <c r="AO209" s="42" t="str">
        <v>-</v>
      </c>
    </row>
    <row r="210" spans="7:41">
      <c r="G210" s="30">
        <v>2014</v>
      </c>
      <c r="H210" s="30" t="str">
        <v>ROUND_OF_16</v>
      </c>
      <c r="I210" s="30" t="str">
        <v>Brazil</v>
      </c>
      <c r="J210" s="30" t="str">
        <v>Chile</v>
      </c>
      <c r="K210" s="30" t="str">
        <v>Chile</v>
      </c>
      <c r="L210" s="30" t="str">
        <v>Charles Aránguiz</v>
      </c>
      <c r="M210" s="30" t="str">
        <v>Júlio César</v>
      </c>
      <c r="N210" s="30">
        <v>6</v>
      </c>
      <c r="O210" s="30">
        <v>3</v>
      </c>
      <c r="P210" s="30" t="str">
        <v>'1-2</v>
      </c>
      <c r="Q210" s="30" t="str">
        <v>No</v>
      </c>
      <c r="R210" s="30" t="str">
        <v>No</v>
      </c>
      <c r="S210" s="30" t="str">
        <v>Goal</v>
      </c>
      <c r="T210" s="30" t="str">
        <f t="shared" si="9"/>
        <v>1-2</v>
      </c>
      <c r="U210" s="30">
        <f t="shared" si="10"/>
        <v>1</v>
      </c>
      <c r="V210" s="30">
        <f t="shared" si="11"/>
        <v>2</v>
      </c>
      <c r="X210" s="12">
        <v>208</v>
      </c>
      <c r="Y210" s="12" t="str">
        <v>Cedric Itten</v>
      </c>
      <c r="Z210" s="12">
        <v>29</v>
      </c>
      <c r="AA210" s="12" t="str">
        <v>Switzerland</v>
      </c>
      <c r="AB210" s="12" t="str">
        <v>ST</v>
      </c>
      <c r="AC210" s="12" t="str">
        <v>Fortuna Düsseldorf</v>
      </c>
      <c r="AD210" s="12">
        <v>26</v>
      </c>
      <c r="AF210" s="42">
        <v>1970</v>
      </c>
      <c r="AG210" s="42" t="str">
        <v xml:space="preserve">03 Jun 1970 - 16:00 </v>
      </c>
      <c r="AH210" s="42" t="str">
        <v>GROUP_STAGE</v>
      </c>
      <c r="AI210" s="42" t="str">
        <v>Estadio Azteca</v>
      </c>
      <c r="AJ210" s="42" t="str">
        <v xml:space="preserve">Mexico City </v>
      </c>
      <c r="AK210" s="42" t="str">
        <v>Belgium</v>
      </c>
      <c r="AL210" s="42">
        <v>3</v>
      </c>
      <c r="AM210" s="42">
        <v>0</v>
      </c>
      <c r="AN210" s="42" t="str">
        <v>El Salvador</v>
      </c>
      <c r="AO210" s="42" t="str">
        <v>-</v>
      </c>
    </row>
    <row r="211" spans="7:41">
      <c r="G211" s="30">
        <v>2014</v>
      </c>
      <c r="H211" s="30" t="str">
        <v>ROUND_OF_16</v>
      </c>
      <c r="I211" s="30" t="str">
        <v>Brazil</v>
      </c>
      <c r="J211" s="30" t="str">
        <v>Chile</v>
      </c>
      <c r="K211" s="30" t="str">
        <v>Brazil</v>
      </c>
      <c r="L211" s="30" t="str">
        <v>Hulk</v>
      </c>
      <c r="M211" s="30" t="str">
        <v>Claudio Bravo</v>
      </c>
      <c r="N211" s="30">
        <v>7</v>
      </c>
      <c r="O211" s="30">
        <v>4</v>
      </c>
      <c r="P211" s="30" t="str">
        <v>'1-2</v>
      </c>
      <c r="Q211" s="30" t="str">
        <v>No</v>
      </c>
      <c r="R211" s="30" t="str">
        <v>No</v>
      </c>
      <c r="S211" s="30" t="str">
        <v>Saved</v>
      </c>
      <c r="T211" s="30" t="str">
        <f t="shared" si="9"/>
        <v>1-2</v>
      </c>
      <c r="U211" s="30">
        <f t="shared" si="10"/>
        <v>1</v>
      </c>
      <c r="V211" s="30">
        <f t="shared" si="11"/>
        <v>2</v>
      </c>
      <c r="X211" s="12">
        <v>209</v>
      </c>
      <c r="Y211" s="12" t="str">
        <v>Alisson</v>
      </c>
      <c r="Z211" s="12">
        <v>33</v>
      </c>
      <c r="AA211" s="12" t="str">
        <v>Brazil</v>
      </c>
      <c r="AB211" s="12" t="str">
        <v>GK</v>
      </c>
      <c r="AC211" s="12" t="str">
        <v>Liverpool</v>
      </c>
      <c r="AD211" s="12">
        <v>1</v>
      </c>
      <c r="AF211" s="42">
        <v>1970</v>
      </c>
      <c r="AG211" s="42" t="str">
        <v xml:space="preserve">06 Jun 1970 - 16:00 </v>
      </c>
      <c r="AH211" s="42" t="str">
        <v>GROUP_STAGE</v>
      </c>
      <c r="AI211" s="42" t="str">
        <v>Cuauhtemoc</v>
      </c>
      <c r="AJ211" s="42" t="str">
        <v xml:space="preserve">Puebla </v>
      </c>
      <c r="AK211" s="42" t="str">
        <v>Uruguay</v>
      </c>
      <c r="AL211" s="42">
        <v>0</v>
      </c>
      <c r="AM211" s="42">
        <v>0</v>
      </c>
      <c r="AN211" s="42" t="str">
        <v>Italy</v>
      </c>
      <c r="AO211" s="42" t="str">
        <v>-</v>
      </c>
    </row>
    <row r="212" spans="7:41">
      <c r="G212" s="30">
        <v>2014</v>
      </c>
      <c r="H212" s="30" t="str">
        <v>ROUND_OF_16</v>
      </c>
      <c r="I212" s="30" t="str">
        <v>Brazil</v>
      </c>
      <c r="J212" s="30" t="str">
        <v>Chile</v>
      </c>
      <c r="K212" s="30" t="str">
        <v>Chile</v>
      </c>
      <c r="L212" s="30" t="str">
        <v>Marcelo Díaz</v>
      </c>
      <c r="M212" s="30" t="str">
        <v>Júlio César</v>
      </c>
      <c r="N212" s="30">
        <v>8</v>
      </c>
      <c r="O212" s="30">
        <v>4</v>
      </c>
      <c r="P212" s="30" t="str">
        <v>'2-2</v>
      </c>
      <c r="Q212" s="30" t="str">
        <v>No</v>
      </c>
      <c r="R212" s="30" t="str">
        <v>No</v>
      </c>
      <c r="S212" s="30" t="str">
        <v>Goal</v>
      </c>
      <c r="T212" s="30" t="str">
        <f t="shared" si="9"/>
        <v>2-2</v>
      </c>
      <c r="U212" s="30">
        <f t="shared" si="10"/>
        <v>2</v>
      </c>
      <c r="V212" s="30">
        <f t="shared" si="11"/>
        <v>2</v>
      </c>
      <c r="X212" s="12">
        <v>210</v>
      </c>
      <c r="Y212" s="12" t="str">
        <v>Weverton</v>
      </c>
      <c r="Z212" s="12">
        <v>38</v>
      </c>
      <c r="AA212" s="12" t="str">
        <v>Brazil</v>
      </c>
      <c r="AB212" s="12" t="str">
        <v>GK</v>
      </c>
      <c r="AC212" s="12" t="str">
        <v>Grêmio</v>
      </c>
      <c r="AD212" s="12">
        <v>12</v>
      </c>
      <c r="AF212" s="42">
        <v>1970</v>
      </c>
      <c r="AG212" s="42" t="str">
        <v xml:space="preserve">06 Jun 1970 - 16:00 </v>
      </c>
      <c r="AH212" s="42" t="str">
        <v>GROUP_STAGE</v>
      </c>
      <c r="AI212" s="42" t="str">
        <v>Nou Camp - Estadio León</v>
      </c>
      <c r="AJ212" s="42" t="str">
        <v xml:space="preserve">Leon </v>
      </c>
      <c r="AK212" s="42" t="str">
        <v>Peru</v>
      </c>
      <c r="AL212" s="42">
        <v>3</v>
      </c>
      <c r="AM212" s="42">
        <v>0</v>
      </c>
      <c r="AN212" s="42" t="str">
        <v>Morocco</v>
      </c>
      <c r="AO212" s="42" t="str">
        <v>-</v>
      </c>
    </row>
    <row r="213" spans="7:41">
      <c r="G213" s="30">
        <v>2014</v>
      </c>
      <c r="H213" s="30" t="str">
        <v>ROUND_OF_16</v>
      </c>
      <c r="I213" s="30" t="str">
        <v>Brazil</v>
      </c>
      <c r="J213" s="30" t="str">
        <v>Chile</v>
      </c>
      <c r="K213" s="30" t="str">
        <v>Brazil</v>
      </c>
      <c r="L213" s="30" t="str">
        <v>Neymar</v>
      </c>
      <c r="M213" s="30" t="str">
        <v>Claudio Bravo</v>
      </c>
      <c r="N213" s="30">
        <v>9</v>
      </c>
      <c r="O213" s="30">
        <v>5</v>
      </c>
      <c r="P213" s="30" t="str">
        <v>'2-2</v>
      </c>
      <c r="Q213" s="30" t="str">
        <v>No</v>
      </c>
      <c r="R213" s="30" t="str">
        <v>No</v>
      </c>
      <c r="S213" s="30" t="str">
        <v>Goal</v>
      </c>
      <c r="T213" s="30" t="str">
        <f t="shared" si="9"/>
        <v>2-2</v>
      </c>
      <c r="U213" s="30">
        <f t="shared" si="10"/>
        <v>2</v>
      </c>
      <c r="V213" s="30">
        <f t="shared" si="11"/>
        <v>2</v>
      </c>
      <c r="X213" s="12">
        <v>211</v>
      </c>
      <c r="Y213" s="12" t="str">
        <v>Ederson Moraes</v>
      </c>
      <c r="Z213" s="12">
        <v>32</v>
      </c>
      <c r="AA213" s="12" t="str">
        <v>Brazil</v>
      </c>
      <c r="AB213" s="12" t="str">
        <v>GK</v>
      </c>
      <c r="AC213" s="12" t="str">
        <v>Fenerbahçe</v>
      </c>
      <c r="AD213" s="12">
        <v>23</v>
      </c>
      <c r="AF213" s="42">
        <v>1970</v>
      </c>
      <c r="AG213" s="42" t="str">
        <v xml:space="preserve">06 Jun 1970 - 16:00 </v>
      </c>
      <c r="AH213" s="42" t="str">
        <v>GROUP_STAGE</v>
      </c>
      <c r="AI213" s="42" t="str">
        <v>Jalisco</v>
      </c>
      <c r="AJ213" s="42" t="str">
        <v xml:space="preserve">Guadalajara </v>
      </c>
      <c r="AK213" s="42" t="str">
        <v>Romania</v>
      </c>
      <c r="AL213" s="42">
        <v>2</v>
      </c>
      <c r="AM213" s="42">
        <v>1</v>
      </c>
      <c r="AN213" s="42" t="str">
        <v>Czechoslovakia</v>
      </c>
      <c r="AO213" s="42" t="str">
        <v>-</v>
      </c>
    </row>
    <row r="214" spans="7:41">
      <c r="G214" s="30">
        <v>2014</v>
      </c>
      <c r="H214" s="30" t="str">
        <v>ROUND_OF_16</v>
      </c>
      <c r="I214" s="30" t="str">
        <v>Brazil</v>
      </c>
      <c r="J214" s="30" t="str">
        <v>Chile</v>
      </c>
      <c r="K214" s="30" t="str">
        <v>Chile</v>
      </c>
      <c r="L214" s="30" t="str">
        <v>Gonzalo Jara</v>
      </c>
      <c r="M214" s="30" t="str">
        <v>Júlio César</v>
      </c>
      <c r="N214" s="30">
        <v>10</v>
      </c>
      <c r="O214" s="30">
        <v>5</v>
      </c>
      <c r="P214" s="30" t="str">
        <v>'2-3</v>
      </c>
      <c r="Q214" s="30" t="str">
        <v>Yes</v>
      </c>
      <c r="R214" s="30" t="str">
        <v>Yes</v>
      </c>
      <c r="S214" s="30" t="str">
        <v>Missed</v>
      </c>
      <c r="T214" s="30" t="str">
        <f t="shared" si="9"/>
        <v>2-3</v>
      </c>
      <c r="U214" s="30">
        <f t="shared" si="10"/>
        <v>2</v>
      </c>
      <c r="V214" s="30">
        <f t="shared" si="11"/>
        <v>3</v>
      </c>
      <c r="X214" s="12">
        <v>212</v>
      </c>
      <c r="Y214" s="12" t="str">
        <v>Gabriel Magalhães</v>
      </c>
      <c r="Z214" s="12">
        <v>28</v>
      </c>
      <c r="AA214" s="12" t="str">
        <v>Brazil</v>
      </c>
      <c r="AB214" s="12" t="str">
        <v>CB</v>
      </c>
      <c r="AC214" s="12" t="str">
        <v>Arsenal</v>
      </c>
      <c r="AD214" s="12">
        <v>3</v>
      </c>
      <c r="AF214" s="42">
        <v>1970</v>
      </c>
      <c r="AG214" s="42" t="str">
        <v xml:space="preserve">06 Jun 1970 - 16:00 </v>
      </c>
      <c r="AH214" s="42" t="str">
        <v>GROUP_STAGE</v>
      </c>
      <c r="AI214" s="42" t="str">
        <v>Estadio Azteca</v>
      </c>
      <c r="AJ214" s="42" t="str">
        <v xml:space="preserve">Mexico City </v>
      </c>
      <c r="AK214" s="42" t="str">
        <v>Soviet Union</v>
      </c>
      <c r="AL214" s="42">
        <v>4</v>
      </c>
      <c r="AM214" s="42">
        <v>1</v>
      </c>
      <c r="AN214" s="42" t="str">
        <v>Belgium</v>
      </c>
      <c r="AO214" s="42" t="str">
        <v>-</v>
      </c>
    </row>
    <row r="215" spans="7:41">
      <c r="G215" s="30">
        <v>2014</v>
      </c>
      <c r="H215" s="30" t="str">
        <v>ROUND_OF_16</v>
      </c>
      <c r="I215" s="30" t="str">
        <v>Costa Rica</v>
      </c>
      <c r="J215" s="30" t="str">
        <v>Greece</v>
      </c>
      <c r="K215" s="30" t="str">
        <v>Costa Rica</v>
      </c>
      <c r="L215" s="30" t="str">
        <v>Celso Borges</v>
      </c>
      <c r="M215" s="30" t="str">
        <v>Orestis Karnezis</v>
      </c>
      <c r="N215" s="30">
        <v>1</v>
      </c>
      <c r="O215" s="30">
        <v>1</v>
      </c>
      <c r="P215" s="30" t="str">
        <v>'0-0</v>
      </c>
      <c r="Q215" s="30" t="str">
        <v>No</v>
      </c>
      <c r="R215" s="30" t="str">
        <v>No</v>
      </c>
      <c r="S215" s="30" t="str">
        <v>Goal</v>
      </c>
      <c r="T215" s="30" t="str">
        <f t="shared" si="9"/>
        <v>0-0</v>
      </c>
      <c r="U215" s="30">
        <f t="shared" si="10"/>
        <v>0</v>
      </c>
      <c r="V215" s="30">
        <f t="shared" si="11"/>
        <v>0</v>
      </c>
      <c r="X215" s="12">
        <v>213</v>
      </c>
      <c r="Y215" s="12" t="str">
        <v>Marquinhos</v>
      </c>
      <c r="Z215" s="12">
        <v>32</v>
      </c>
      <c r="AA215" s="12" t="str">
        <v>Brazil</v>
      </c>
      <c r="AB215" s="12" t="str">
        <v>CB</v>
      </c>
      <c r="AC215" s="12" t="str">
        <v>Paris Saint-Germain</v>
      </c>
      <c r="AD215" s="12">
        <v>4</v>
      </c>
      <c r="AF215" s="42">
        <v>1970</v>
      </c>
      <c r="AG215" s="42" t="str">
        <v xml:space="preserve">07 Jun 1970 - 12:00 </v>
      </c>
      <c r="AH215" s="42" t="str">
        <v>GROUP_STAGE</v>
      </c>
      <c r="AI215" s="42" t="str">
        <v>Luis Dosal</v>
      </c>
      <c r="AJ215" s="42" t="str">
        <v xml:space="preserve">Toluca </v>
      </c>
      <c r="AK215" s="42" t="str">
        <v>Sweden</v>
      </c>
      <c r="AL215" s="42">
        <v>1</v>
      </c>
      <c r="AM215" s="42">
        <v>1</v>
      </c>
      <c r="AN215" s="42" t="str">
        <v>Israel</v>
      </c>
      <c r="AO215" s="42" t="str">
        <v>-</v>
      </c>
    </row>
    <row r="216" spans="7:41">
      <c r="G216" s="30">
        <v>2014</v>
      </c>
      <c r="H216" s="30" t="str">
        <v>ROUND_OF_16</v>
      </c>
      <c r="I216" s="30" t="str">
        <v>Costa Rica</v>
      </c>
      <c r="J216" s="30" t="str">
        <v>Greece</v>
      </c>
      <c r="K216" s="30" t="str">
        <v>Greece</v>
      </c>
      <c r="L216" s="30" t="str">
        <v>Mitroglou</v>
      </c>
      <c r="M216" s="30" t="str">
        <v>Keylor Navas</v>
      </c>
      <c r="N216" s="30">
        <v>2</v>
      </c>
      <c r="O216" s="30">
        <v>1</v>
      </c>
      <c r="P216" s="30" t="str">
        <v>'1-0</v>
      </c>
      <c r="Q216" s="30" t="str">
        <v>No</v>
      </c>
      <c r="R216" s="30" t="str">
        <v>No</v>
      </c>
      <c r="S216" s="30" t="str">
        <v>Goal</v>
      </c>
      <c r="T216" s="30" t="str">
        <f t="shared" si="9"/>
        <v>1-0</v>
      </c>
      <c r="U216" s="30">
        <f t="shared" si="10"/>
        <v>1</v>
      </c>
      <c r="V216" s="30">
        <f t="shared" si="11"/>
        <v>0</v>
      </c>
      <c r="X216" s="12">
        <v>214</v>
      </c>
      <c r="Y216" s="12" t="str">
        <v>Bremer</v>
      </c>
      <c r="Z216" s="12">
        <v>29</v>
      </c>
      <c r="AA216" s="12" t="str">
        <v>Brazil</v>
      </c>
      <c r="AB216" s="12" t="str">
        <v>CB</v>
      </c>
      <c r="AC216" s="12" t="str">
        <v>Juventus</v>
      </c>
      <c r="AD216" s="12">
        <v>14</v>
      </c>
      <c r="AF216" s="42">
        <v>1970</v>
      </c>
      <c r="AG216" s="42" t="str">
        <v xml:space="preserve">07 Jun 1970 - 12:00 </v>
      </c>
      <c r="AH216" s="42" t="str">
        <v>GROUP_STAGE</v>
      </c>
      <c r="AI216" s="42" t="str">
        <v>Nou Camp - Estadio León</v>
      </c>
      <c r="AJ216" s="42" t="str">
        <v xml:space="preserve">Leon </v>
      </c>
      <c r="AK216" s="42" t="str">
        <v>FR Germany</v>
      </c>
      <c r="AL216" s="42">
        <v>5</v>
      </c>
      <c r="AM216" s="42">
        <v>2</v>
      </c>
      <c r="AN216" s="42" t="str">
        <v>Bulgaria</v>
      </c>
      <c r="AO216" s="42" t="str">
        <v>-</v>
      </c>
    </row>
    <row r="217" spans="7:41">
      <c r="G217" s="30">
        <v>2014</v>
      </c>
      <c r="H217" s="30" t="str">
        <v>ROUND_OF_16</v>
      </c>
      <c r="I217" s="30" t="str">
        <v>Costa Rica</v>
      </c>
      <c r="J217" s="30" t="str">
        <v>Greece</v>
      </c>
      <c r="K217" s="30" t="str">
        <v>Costa Rica</v>
      </c>
      <c r="L217" s="30" t="str">
        <v>Bryan Ruiz</v>
      </c>
      <c r="M217" s="30" t="str">
        <v>Orestis Karnezis</v>
      </c>
      <c r="N217" s="30">
        <v>3</v>
      </c>
      <c r="O217" s="30">
        <v>2</v>
      </c>
      <c r="P217" s="30" t="str">
        <v>'1-1</v>
      </c>
      <c r="Q217" s="30" t="str">
        <v>No</v>
      </c>
      <c r="R217" s="30" t="str">
        <v>No</v>
      </c>
      <c r="S217" s="30" t="str">
        <v>Goal</v>
      </c>
      <c r="T217" s="30" t="str">
        <f t="shared" si="9"/>
        <v>1-1</v>
      </c>
      <c r="U217" s="30">
        <f t="shared" si="10"/>
        <v>1</v>
      </c>
      <c r="V217" s="30">
        <f t="shared" si="11"/>
        <v>1</v>
      </c>
      <c r="X217" s="12">
        <v>215</v>
      </c>
      <c r="Y217" s="12" t="str">
        <v>Léo Pereira</v>
      </c>
      <c r="Z217" s="12">
        <v>30</v>
      </c>
      <c r="AA217" s="12" t="str">
        <v>Brazil</v>
      </c>
      <c r="AB217" s="12" t="str">
        <v>CB</v>
      </c>
      <c r="AC217" s="12" t="str">
        <v>Flamengo</v>
      </c>
      <c r="AD217" s="12">
        <v>15</v>
      </c>
      <c r="AF217" s="42">
        <v>1970</v>
      </c>
      <c r="AG217" s="42" t="str">
        <v xml:space="preserve">07 Jun 1970 - 12:00 </v>
      </c>
      <c r="AH217" s="42" t="str">
        <v>GROUP_STAGE</v>
      </c>
      <c r="AI217" s="42" t="str">
        <v>Jalisco</v>
      </c>
      <c r="AJ217" s="42" t="str">
        <v xml:space="preserve">Guadalajara </v>
      </c>
      <c r="AK217" s="42" t="str">
        <v>Brazil</v>
      </c>
      <c r="AL217" s="42">
        <v>1</v>
      </c>
      <c r="AM217" s="42">
        <v>0</v>
      </c>
      <c r="AN217" s="42" t="str">
        <v>England</v>
      </c>
      <c r="AO217" s="42" t="str">
        <v>-</v>
      </c>
    </row>
    <row r="218" spans="7:41">
      <c r="G218" s="30">
        <v>2014</v>
      </c>
      <c r="H218" s="30" t="str">
        <v>ROUND_OF_16</v>
      </c>
      <c r="I218" s="30" t="str">
        <v>Costa Rica</v>
      </c>
      <c r="J218" s="30" t="str">
        <v>Greece</v>
      </c>
      <c r="K218" s="30" t="str">
        <v>Greece</v>
      </c>
      <c r="L218" s="30" t="str">
        <v>Lazaros Christodoulopoulos</v>
      </c>
      <c r="M218" s="30" t="str">
        <v>Keylor Navas</v>
      </c>
      <c r="N218" s="30">
        <v>4</v>
      </c>
      <c r="O218" s="30">
        <v>2</v>
      </c>
      <c r="P218" s="30" t="str">
        <v>'2-2</v>
      </c>
      <c r="Q218" s="30" t="str">
        <v>No</v>
      </c>
      <c r="R218" s="30" t="str">
        <v>No</v>
      </c>
      <c r="S218" s="30" t="str">
        <v>Goal</v>
      </c>
      <c r="T218" s="30" t="str">
        <f t="shared" si="9"/>
        <v>2-2</v>
      </c>
      <c r="U218" s="30">
        <f t="shared" si="10"/>
        <v>2</v>
      </c>
      <c r="V218" s="30">
        <f t="shared" si="11"/>
        <v>2</v>
      </c>
      <c r="X218" s="12">
        <v>216</v>
      </c>
      <c r="Y218" s="12" t="str">
        <v>Roger Ibañez</v>
      </c>
      <c r="Z218" s="12">
        <v>27</v>
      </c>
      <c r="AA218" s="12" t="str">
        <v>Brazil</v>
      </c>
      <c r="AB218" s="12" t="str">
        <v>CB</v>
      </c>
      <c r="AC218" s="12" t="str">
        <v>Al-Ahli</v>
      </c>
      <c r="AD218" s="12">
        <v>24</v>
      </c>
      <c r="AF218" s="42">
        <v>1970</v>
      </c>
      <c r="AG218" s="42" t="str">
        <v xml:space="preserve">07 Jun 1970 - 12:00 </v>
      </c>
      <c r="AH218" s="42" t="str">
        <v>GROUP_STAGE</v>
      </c>
      <c r="AI218" s="42" t="str">
        <v>Estadio Azteca</v>
      </c>
      <c r="AJ218" s="42" t="str">
        <v xml:space="preserve">Mexico City </v>
      </c>
      <c r="AK218" s="42" t="str">
        <v>Mexico</v>
      </c>
      <c r="AL218" s="42">
        <v>4</v>
      </c>
      <c r="AM218" s="42">
        <v>0</v>
      </c>
      <c r="AN218" s="42" t="str">
        <v>El Salvador</v>
      </c>
      <c r="AO218" s="42" t="str">
        <v>-</v>
      </c>
    </row>
    <row r="219" spans="7:41">
      <c r="G219" s="30">
        <v>2014</v>
      </c>
      <c r="H219" s="30" t="str">
        <v>ROUND_OF_16</v>
      </c>
      <c r="I219" s="30" t="str">
        <v>Costa Rica</v>
      </c>
      <c r="J219" s="30" t="str">
        <v>Greece</v>
      </c>
      <c r="K219" s="30" t="str">
        <v>Costa Rica</v>
      </c>
      <c r="L219" s="30" t="str">
        <v>Giancarlo González</v>
      </c>
      <c r="M219" s="30" t="str">
        <v>Orestis Karnezis</v>
      </c>
      <c r="N219" s="30">
        <v>5</v>
      </c>
      <c r="O219" s="30">
        <v>3</v>
      </c>
      <c r="P219" s="30" t="str">
        <v>'2-2</v>
      </c>
      <c r="Q219" s="30" t="str">
        <v>No</v>
      </c>
      <c r="R219" s="30" t="str">
        <v>No</v>
      </c>
      <c r="S219" s="30" t="str">
        <v>Goal</v>
      </c>
      <c r="T219" s="30" t="str">
        <f t="shared" si="9"/>
        <v>2-2</v>
      </c>
      <c r="U219" s="30">
        <f t="shared" si="10"/>
        <v>2</v>
      </c>
      <c r="V219" s="30">
        <f t="shared" si="11"/>
        <v>2</v>
      </c>
      <c r="X219" s="12">
        <v>217</v>
      </c>
      <c r="Y219" s="12" t="str">
        <v>Alex Sandro</v>
      </c>
      <c r="Z219" s="12">
        <v>35</v>
      </c>
      <c r="AA219" s="12" t="str">
        <v>Brazil</v>
      </c>
      <c r="AB219" s="12" t="str">
        <v>LB</v>
      </c>
      <c r="AC219" s="12" t="str">
        <v>Flamengo</v>
      </c>
      <c r="AD219" s="12">
        <v>6</v>
      </c>
      <c r="AF219" s="42">
        <v>1970</v>
      </c>
      <c r="AG219" s="42" t="str">
        <v xml:space="preserve">10 Jun 1970 - 16:00 </v>
      </c>
      <c r="AH219" s="42" t="str">
        <v>GROUP_STAGE</v>
      </c>
      <c r="AI219" s="42" t="str">
        <v>Cuauhtemoc</v>
      </c>
      <c r="AJ219" s="42" t="str">
        <v xml:space="preserve">Puebla </v>
      </c>
      <c r="AK219" s="42" t="str">
        <v>Sweden</v>
      </c>
      <c r="AL219" s="42">
        <v>1</v>
      </c>
      <c r="AM219" s="42">
        <v>0</v>
      </c>
      <c r="AN219" s="42" t="str">
        <v>Uruguay</v>
      </c>
      <c r="AO219" s="42" t="str">
        <v>-</v>
      </c>
    </row>
    <row r="220" spans="7:41">
      <c r="G220" s="30">
        <v>2014</v>
      </c>
      <c r="H220" s="30" t="str">
        <v>ROUND_OF_16</v>
      </c>
      <c r="I220" s="30" t="str">
        <v>Costa Rica</v>
      </c>
      <c r="J220" s="30" t="str">
        <v>Greece</v>
      </c>
      <c r="K220" s="30" t="str">
        <v>Greece</v>
      </c>
      <c r="L220" s="30" t="str">
        <v>José Holebas</v>
      </c>
      <c r="M220" s="30" t="str">
        <v>Keylor Navas</v>
      </c>
      <c r="N220" s="30">
        <v>6</v>
      </c>
      <c r="O220" s="30">
        <v>3</v>
      </c>
      <c r="P220" s="30" t="str">
        <v>'3-3</v>
      </c>
      <c r="Q220" s="30" t="str">
        <v>No</v>
      </c>
      <c r="R220" s="30" t="str">
        <v>No</v>
      </c>
      <c r="S220" s="30" t="str">
        <v>Goal</v>
      </c>
      <c r="T220" s="30" t="str">
        <f t="shared" si="9"/>
        <v>3-3</v>
      </c>
      <c r="U220" s="30">
        <f t="shared" si="10"/>
        <v>3</v>
      </c>
      <c r="V220" s="30">
        <f t="shared" si="11"/>
        <v>3</v>
      </c>
      <c r="X220" s="12">
        <v>218</v>
      </c>
      <c r="Y220" s="12" t="str">
        <v>Douglas Santos</v>
      </c>
      <c r="Z220" s="12">
        <v>32</v>
      </c>
      <c r="AA220" s="12" t="str">
        <v>Brazil</v>
      </c>
      <c r="AB220" s="12" t="str">
        <v>LB</v>
      </c>
      <c r="AC220" s="12" t="str">
        <v>Zenit Saint Petersburg</v>
      </c>
      <c r="AD220" s="12">
        <v>16</v>
      </c>
      <c r="AF220" s="42">
        <v>1970</v>
      </c>
      <c r="AG220" s="42" t="str">
        <v xml:space="preserve">10 Jun 1970 - 16:00 </v>
      </c>
      <c r="AH220" s="42" t="str">
        <v>GROUP_STAGE</v>
      </c>
      <c r="AI220" s="42" t="str">
        <v>Nou Camp - Estadio León</v>
      </c>
      <c r="AJ220" s="42" t="str">
        <v xml:space="preserve">Leon </v>
      </c>
      <c r="AK220" s="42" t="str">
        <v>FR Germany</v>
      </c>
      <c r="AL220" s="42">
        <v>3</v>
      </c>
      <c r="AM220" s="42">
        <v>1</v>
      </c>
      <c r="AN220" s="42" t="str">
        <v>Peru</v>
      </c>
      <c r="AO220" s="42" t="str">
        <v>-</v>
      </c>
    </row>
    <row r="221" spans="7:41">
      <c r="G221" s="30">
        <v>2014</v>
      </c>
      <c r="H221" s="30" t="str">
        <v>ROUND_OF_16</v>
      </c>
      <c r="I221" s="30" t="str">
        <v>Costa Rica</v>
      </c>
      <c r="J221" s="30" t="str">
        <v>Greece</v>
      </c>
      <c r="K221" s="30" t="str">
        <v>Costa Rica</v>
      </c>
      <c r="L221" s="30" t="str">
        <v>Joel Campbell</v>
      </c>
      <c r="M221" s="30" t="str">
        <v>Orestis Karnezis</v>
      </c>
      <c r="N221" s="30">
        <v>7</v>
      </c>
      <c r="O221" s="30">
        <v>4</v>
      </c>
      <c r="P221" s="30" t="str">
        <v>'3-3</v>
      </c>
      <c r="Q221" s="30" t="str">
        <v>No</v>
      </c>
      <c r="R221" s="30" t="str">
        <v>No</v>
      </c>
      <c r="S221" s="30" t="str">
        <v>Goal</v>
      </c>
      <c r="T221" s="30" t="str">
        <f t="shared" si="9"/>
        <v>3-3</v>
      </c>
      <c r="U221" s="30">
        <f t="shared" si="10"/>
        <v>3</v>
      </c>
      <c r="V221" s="30">
        <f t="shared" si="11"/>
        <v>3</v>
      </c>
      <c r="X221" s="12">
        <v>219</v>
      </c>
      <c r="Y221" s="12" t="str">
        <v>Danilo Luiz</v>
      </c>
      <c r="Z221" s="12">
        <v>34</v>
      </c>
      <c r="AA221" s="12" t="str">
        <v>Brazil</v>
      </c>
      <c r="AB221" s="12" t="str">
        <v>RB</v>
      </c>
      <c r="AC221" s="12" t="str">
        <v>Flamengo</v>
      </c>
      <c r="AD221" s="12">
        <v>13</v>
      </c>
      <c r="AF221" s="42">
        <v>1970</v>
      </c>
      <c r="AG221" s="42" t="str">
        <v xml:space="preserve">10 Jun 1970 - 16:00 </v>
      </c>
      <c r="AH221" s="42" t="str">
        <v>GROUP_STAGE</v>
      </c>
      <c r="AI221" s="42" t="str">
        <v>Jalisco</v>
      </c>
      <c r="AJ221" s="42" t="str">
        <v xml:space="preserve">Guadalajara </v>
      </c>
      <c r="AK221" s="42" t="str">
        <v>Brazil</v>
      </c>
      <c r="AL221" s="42">
        <v>3</v>
      </c>
      <c r="AM221" s="42">
        <v>2</v>
      </c>
      <c r="AN221" s="42" t="str">
        <v>Romania</v>
      </c>
      <c r="AO221" s="42" t="str">
        <v>-</v>
      </c>
    </row>
    <row r="222" spans="7:41">
      <c r="G222" s="30">
        <v>2014</v>
      </c>
      <c r="H222" s="30" t="str">
        <v>ROUND_OF_16</v>
      </c>
      <c r="I222" s="30" t="str">
        <v>Costa Rica</v>
      </c>
      <c r="J222" s="30" t="str">
        <v>Greece</v>
      </c>
      <c r="K222" s="30" t="str">
        <v>Greece</v>
      </c>
      <c r="L222" s="30" t="str">
        <v>Theofanis Gekas</v>
      </c>
      <c r="M222" s="30" t="str">
        <v>Keylor Navas</v>
      </c>
      <c r="N222" s="30">
        <v>8</v>
      </c>
      <c r="O222" s="30">
        <v>4</v>
      </c>
      <c r="P222" s="30" t="str">
        <v>'4-4</v>
      </c>
      <c r="Q222" s="30" t="str">
        <v>No</v>
      </c>
      <c r="R222" s="30" t="str">
        <v>No</v>
      </c>
      <c r="S222" s="30" t="str">
        <v>Saved</v>
      </c>
      <c r="T222" s="30" t="str">
        <f t="shared" si="9"/>
        <v>4-4</v>
      </c>
      <c r="U222" s="30">
        <f t="shared" si="10"/>
        <v>4</v>
      </c>
      <c r="V222" s="30">
        <f t="shared" si="11"/>
        <v>4</v>
      </c>
      <c r="X222" s="12">
        <v>220</v>
      </c>
      <c r="Y222" s="12" t="str">
        <v>Casemiro</v>
      </c>
      <c r="Z222" s="12">
        <v>34</v>
      </c>
      <c r="AA222" s="12" t="str">
        <v>Brazil</v>
      </c>
      <c r="AB222" s="12" t="str">
        <v>CDM</v>
      </c>
      <c r="AC222" s="12" t="str">
        <v>Manchester United</v>
      </c>
      <c r="AD222" s="12">
        <v>5</v>
      </c>
      <c r="AF222" s="42">
        <v>1970</v>
      </c>
      <c r="AG222" s="42" t="str">
        <v xml:space="preserve">10 Jun 1970 - 16:00 </v>
      </c>
      <c r="AH222" s="42" t="str">
        <v>GROUP_STAGE</v>
      </c>
      <c r="AI222" s="42" t="str">
        <v>Estadio Azteca</v>
      </c>
      <c r="AJ222" s="42" t="str">
        <v xml:space="preserve">Mexico City </v>
      </c>
      <c r="AK222" s="42" t="str">
        <v>Soviet Union</v>
      </c>
      <c r="AL222" s="42">
        <v>2</v>
      </c>
      <c r="AM222" s="42">
        <v>0</v>
      </c>
      <c r="AN222" s="42" t="str">
        <v>El Salvador</v>
      </c>
      <c r="AO222" s="42" t="str">
        <v>-</v>
      </c>
    </row>
    <row r="223" spans="7:41">
      <c r="G223" s="30">
        <v>2014</v>
      </c>
      <c r="H223" s="30" t="str">
        <v>ROUND_OF_16</v>
      </c>
      <c r="I223" s="30" t="str">
        <v>Costa Rica</v>
      </c>
      <c r="J223" s="30" t="str">
        <v>Greece</v>
      </c>
      <c r="K223" s="30" t="str">
        <v>Costa Rica</v>
      </c>
      <c r="L223" s="30" t="str">
        <v>Michael Umaña</v>
      </c>
      <c r="M223" s="30" t="str">
        <v>Orestis Karnezis</v>
      </c>
      <c r="N223" s="30">
        <v>9</v>
      </c>
      <c r="O223" s="30">
        <v>5</v>
      </c>
      <c r="P223" s="30" t="str">
        <v>'4-4</v>
      </c>
      <c r="Q223" s="30" t="str">
        <v>No</v>
      </c>
      <c r="R223" s="30" t="str">
        <v>Yes</v>
      </c>
      <c r="S223" s="30" t="str">
        <v>Goal</v>
      </c>
      <c r="T223" s="30" t="str">
        <f t="shared" si="9"/>
        <v>4-4</v>
      </c>
      <c r="U223" s="30">
        <f t="shared" si="10"/>
        <v>4</v>
      </c>
      <c r="V223" s="30">
        <f t="shared" si="11"/>
        <v>4</v>
      </c>
      <c r="X223" s="12">
        <v>221</v>
      </c>
      <c r="Y223" s="12" t="str">
        <v>Fabinho</v>
      </c>
      <c r="Z223" s="12">
        <v>32</v>
      </c>
      <c r="AA223" s="12" t="str">
        <v>Brazil</v>
      </c>
      <c r="AB223" s="12" t="str">
        <v>CDM</v>
      </c>
      <c r="AC223" s="12" t="str">
        <v>Al-Ittihad</v>
      </c>
      <c r="AD223" s="12">
        <v>17</v>
      </c>
      <c r="AF223" s="42">
        <v>1970</v>
      </c>
      <c r="AG223" s="42" t="str">
        <v xml:space="preserve">11 Jun 1970 - 16:00 </v>
      </c>
      <c r="AH223" s="42" t="str">
        <v>GROUP_STAGE</v>
      </c>
      <c r="AI223" s="42" t="str">
        <v>Luis Dosal</v>
      </c>
      <c r="AJ223" s="42" t="str">
        <v xml:space="preserve">Toluca </v>
      </c>
      <c r="AK223" s="42" t="str">
        <v>Italy</v>
      </c>
      <c r="AL223" s="42">
        <v>0</v>
      </c>
      <c r="AM223" s="42">
        <v>0</v>
      </c>
      <c r="AN223" s="42" t="str">
        <v>Israel</v>
      </c>
      <c r="AO223" s="42" t="str">
        <v>-</v>
      </c>
    </row>
    <row r="224" spans="7:41">
      <c r="G224" s="30">
        <v>2014</v>
      </c>
      <c r="H224" s="30" t="str">
        <v>QUARTER_FINALS</v>
      </c>
      <c r="I224" s="30" t="str">
        <v>Netherlands</v>
      </c>
      <c r="J224" s="30" t="str">
        <v>Costa Rica</v>
      </c>
      <c r="K224" s="30" t="str">
        <v>Netherlands</v>
      </c>
      <c r="L224" s="30" t="str">
        <v>Robin van Persie</v>
      </c>
      <c r="M224" s="30" t="str">
        <v>Keylor Navas</v>
      </c>
      <c r="N224" s="30">
        <v>1</v>
      </c>
      <c r="O224" s="30">
        <v>1</v>
      </c>
      <c r="P224" s="30" t="str">
        <v>'0-0</v>
      </c>
      <c r="Q224" s="30" t="str">
        <v>No</v>
      </c>
      <c r="R224" s="30" t="str">
        <v>No</v>
      </c>
      <c r="S224" s="30" t="str">
        <v>Goal</v>
      </c>
      <c r="T224" s="30" t="str">
        <f t="shared" si="9"/>
        <v>0-0</v>
      </c>
      <c r="U224" s="30">
        <f t="shared" si="10"/>
        <v>0</v>
      </c>
      <c r="V224" s="30">
        <f t="shared" si="11"/>
        <v>0</v>
      </c>
      <c r="X224" s="12">
        <v>222</v>
      </c>
      <c r="Y224" s="12" t="str">
        <v>Danilo Santos</v>
      </c>
      <c r="Z224" s="12">
        <v>25</v>
      </c>
      <c r="AA224" s="12" t="str">
        <v>Brazil</v>
      </c>
      <c r="AB224" s="12" t="str">
        <v>CDM</v>
      </c>
      <c r="AC224" s="12" t="str">
        <v>Botafogo</v>
      </c>
      <c r="AD224" s="12">
        <v>18</v>
      </c>
      <c r="AF224" s="42">
        <v>1970</v>
      </c>
      <c r="AG224" s="42" t="str">
        <v xml:space="preserve">11 Jun 1970 - 16:00 </v>
      </c>
      <c r="AH224" s="42" t="str">
        <v>GROUP_STAGE</v>
      </c>
      <c r="AI224" s="42" t="str">
        <v>Nou Camp - Estadio León</v>
      </c>
      <c r="AJ224" s="42" t="str">
        <v xml:space="preserve">Leon </v>
      </c>
      <c r="AK224" s="42" t="str">
        <v>Bulgaria</v>
      </c>
      <c r="AL224" s="42">
        <v>1</v>
      </c>
      <c r="AM224" s="42">
        <v>1</v>
      </c>
      <c r="AN224" s="42" t="str">
        <v>Morocco</v>
      </c>
      <c r="AO224" s="42" t="str">
        <v>-</v>
      </c>
    </row>
    <row r="225" spans="7:41">
      <c r="G225" s="30">
        <v>2014</v>
      </c>
      <c r="H225" s="30" t="str">
        <v>QUARTER_FINALS</v>
      </c>
      <c r="I225" s="30" t="str">
        <v>Netherlands</v>
      </c>
      <c r="J225" s="30" t="str">
        <v>Costa Rica</v>
      </c>
      <c r="K225" s="30" t="str">
        <v>Costa Rica</v>
      </c>
      <c r="L225" s="30" t="str">
        <v>Celso Borges</v>
      </c>
      <c r="M225" s="30" t="str">
        <v>Tim Krul</v>
      </c>
      <c r="N225" s="30">
        <v>2</v>
      </c>
      <c r="O225" s="30">
        <v>1</v>
      </c>
      <c r="P225" s="30" t="str">
        <v>'1-0</v>
      </c>
      <c r="Q225" s="30" t="str">
        <v>No</v>
      </c>
      <c r="R225" s="30" t="str">
        <v>No</v>
      </c>
      <c r="S225" s="30" t="str">
        <v>Goal</v>
      </c>
      <c r="T225" s="30" t="str">
        <f t="shared" si="9"/>
        <v>1-0</v>
      </c>
      <c r="U225" s="30">
        <f t="shared" si="10"/>
        <v>1</v>
      </c>
      <c r="V225" s="30">
        <f t="shared" si="11"/>
        <v>0</v>
      </c>
      <c r="X225" s="12">
        <v>223</v>
      </c>
      <c r="Y225" s="12" t="str">
        <v>Éderson Silva</v>
      </c>
      <c r="Z225" s="12">
        <v>26</v>
      </c>
      <c r="AA225" s="12" t="str">
        <v>Brazil</v>
      </c>
      <c r="AB225" s="12" t="str">
        <v>CM</v>
      </c>
      <c r="AC225" s="12" t="str">
        <v>Atalanta</v>
      </c>
      <c r="AD225" s="12">
        <v>2</v>
      </c>
      <c r="AF225" s="42">
        <v>1970</v>
      </c>
      <c r="AG225" s="42" t="str">
        <v xml:space="preserve">11 Jun 1970 - 16:00 </v>
      </c>
      <c r="AH225" s="42" t="str">
        <v>GROUP_STAGE</v>
      </c>
      <c r="AI225" s="42" t="str">
        <v>Jalisco</v>
      </c>
      <c r="AJ225" s="42" t="str">
        <v xml:space="preserve">Guadalajara </v>
      </c>
      <c r="AK225" s="42" t="str">
        <v>England</v>
      </c>
      <c r="AL225" s="42">
        <v>1</v>
      </c>
      <c r="AM225" s="42">
        <v>0</v>
      </c>
      <c r="AN225" s="42" t="str">
        <v>Czechoslovakia</v>
      </c>
      <c r="AO225" s="42" t="str">
        <v>-</v>
      </c>
    </row>
    <row r="226" spans="7:41">
      <c r="G226" s="30">
        <v>2014</v>
      </c>
      <c r="H226" s="30" t="str">
        <v>QUARTER_FINALS</v>
      </c>
      <c r="I226" s="30" t="str">
        <v>Netherlands</v>
      </c>
      <c r="J226" s="30" t="str">
        <v>Costa Rica</v>
      </c>
      <c r="K226" s="30" t="str">
        <v>Netherlands</v>
      </c>
      <c r="L226" s="30" t="str">
        <v>Arjen Robben</v>
      </c>
      <c r="M226" s="30" t="str">
        <v>Keylor Navas</v>
      </c>
      <c r="N226" s="30">
        <v>3</v>
      </c>
      <c r="O226" s="30">
        <v>2</v>
      </c>
      <c r="P226" s="30" t="str">
        <v>'1-1</v>
      </c>
      <c r="Q226" s="30" t="str">
        <v>No</v>
      </c>
      <c r="R226" s="30" t="str">
        <v>No</v>
      </c>
      <c r="S226" s="30" t="str">
        <v>Goal</v>
      </c>
      <c r="T226" s="30" t="str">
        <f t="shared" si="9"/>
        <v>1-1</v>
      </c>
      <c r="U226" s="30">
        <f t="shared" si="10"/>
        <v>1</v>
      </c>
      <c r="V226" s="30">
        <f t="shared" si="11"/>
        <v>1</v>
      </c>
      <c r="X226" s="12">
        <v>224</v>
      </c>
      <c r="Y226" s="12" t="str">
        <v>Bruno Guimarães</v>
      </c>
      <c r="Z226" s="12">
        <v>28</v>
      </c>
      <c r="AA226" s="12" t="str">
        <v>Brazil</v>
      </c>
      <c r="AB226" s="12" t="str">
        <v>CM</v>
      </c>
      <c r="AC226" s="12" t="str">
        <v>Newcastle United</v>
      </c>
      <c r="AD226" s="12">
        <v>8</v>
      </c>
      <c r="AF226" s="42">
        <v>1970</v>
      </c>
      <c r="AG226" s="42" t="str">
        <v xml:space="preserve">11 Jun 1970 - 16:00 </v>
      </c>
      <c r="AH226" s="42" t="str">
        <v>GROUP_STAGE</v>
      </c>
      <c r="AI226" s="42" t="str">
        <v>Estadio Azteca</v>
      </c>
      <c r="AJ226" s="42" t="str">
        <v xml:space="preserve">Mexico City </v>
      </c>
      <c r="AK226" s="42" t="str">
        <v>Mexico</v>
      </c>
      <c r="AL226" s="42">
        <v>1</v>
      </c>
      <c r="AM226" s="42">
        <v>0</v>
      </c>
      <c r="AN226" s="42" t="str">
        <v>Belgium</v>
      </c>
      <c r="AO226" s="42" t="str">
        <v>-</v>
      </c>
    </row>
    <row r="227" spans="7:41">
      <c r="G227" s="30">
        <v>2014</v>
      </c>
      <c r="H227" s="30" t="str">
        <v>QUARTER_FINALS</v>
      </c>
      <c r="I227" s="30" t="str">
        <v>Netherlands</v>
      </c>
      <c r="J227" s="30" t="str">
        <v>Costa Rica</v>
      </c>
      <c r="K227" s="30" t="str">
        <v>Costa Rica</v>
      </c>
      <c r="L227" s="30" t="str">
        <v>Bryan Ruiz</v>
      </c>
      <c r="M227" s="30" t="str">
        <v>Tim Krul</v>
      </c>
      <c r="N227" s="30">
        <v>4</v>
      </c>
      <c r="O227" s="30">
        <v>2</v>
      </c>
      <c r="P227" s="30" t="str">
        <v>'1-2</v>
      </c>
      <c r="Q227" s="30" t="str">
        <v>No</v>
      </c>
      <c r="R227" s="30" t="str">
        <v>No</v>
      </c>
      <c r="S227" s="30" t="str">
        <v>Saved</v>
      </c>
      <c r="T227" s="30" t="str">
        <f t="shared" si="9"/>
        <v>1-2</v>
      </c>
      <c r="U227" s="30">
        <f t="shared" si="10"/>
        <v>1</v>
      </c>
      <c r="V227" s="30">
        <f t="shared" si="11"/>
        <v>2</v>
      </c>
      <c r="X227" s="12">
        <v>225</v>
      </c>
      <c r="Y227" s="12" t="str">
        <v>Lucas Paquetá</v>
      </c>
      <c r="Z227" s="12">
        <v>28</v>
      </c>
      <c r="AA227" s="12" t="str">
        <v>Brazil</v>
      </c>
      <c r="AB227" s="12" t="str">
        <v>CAM</v>
      </c>
      <c r="AC227" s="12" t="str">
        <v>Flamengo</v>
      </c>
      <c r="AD227" s="12">
        <v>20</v>
      </c>
      <c r="AF227" s="42">
        <v>1970</v>
      </c>
      <c r="AG227" s="42" t="str">
        <v xml:space="preserve">14 Jun 1970 - 12:00 </v>
      </c>
      <c r="AH227" s="42" t="str">
        <v>QUARTER_FINALS</v>
      </c>
      <c r="AI227" s="42" t="str">
        <v>Luis Dosal</v>
      </c>
      <c r="AJ227" s="42" t="str">
        <v xml:space="preserve">Toluca </v>
      </c>
      <c r="AK227" s="42" t="str">
        <v>Italy</v>
      </c>
      <c r="AL227" s="42">
        <v>4</v>
      </c>
      <c r="AM227" s="42">
        <v>1</v>
      </c>
      <c r="AN227" s="42" t="str">
        <v>Mexico</v>
      </c>
      <c r="AO227" s="42" t="str">
        <v>-</v>
      </c>
    </row>
    <row r="228" spans="7:41">
      <c r="G228" s="30">
        <v>2014</v>
      </c>
      <c r="H228" s="30" t="str">
        <v>QUARTER_FINALS</v>
      </c>
      <c r="I228" s="30" t="str">
        <v>Netherlands</v>
      </c>
      <c r="J228" s="30" t="str">
        <v>Costa Rica</v>
      </c>
      <c r="K228" s="30" t="str">
        <v>Netherlands</v>
      </c>
      <c r="L228" s="30" t="str">
        <v>Wesley Sneijder</v>
      </c>
      <c r="M228" s="30" t="str">
        <v>Keylor Navas</v>
      </c>
      <c r="N228" s="30">
        <v>5</v>
      </c>
      <c r="O228" s="30">
        <v>3</v>
      </c>
      <c r="P228" s="30" t="str">
        <v>'1-2</v>
      </c>
      <c r="Q228" s="30" t="str">
        <v>No</v>
      </c>
      <c r="R228" s="30" t="str">
        <v>No</v>
      </c>
      <c r="S228" s="30" t="str">
        <v>Goal</v>
      </c>
      <c r="T228" s="30" t="str">
        <f t="shared" si="9"/>
        <v>1-2</v>
      </c>
      <c r="U228" s="30">
        <f t="shared" si="10"/>
        <v>1</v>
      </c>
      <c r="V228" s="30">
        <f t="shared" si="11"/>
        <v>2</v>
      </c>
      <c r="X228" s="12">
        <v>226</v>
      </c>
      <c r="Y228" s="12" t="str">
        <v>Vinícius Júnior</v>
      </c>
      <c r="Z228" s="12">
        <v>25</v>
      </c>
      <c r="AA228" s="12" t="str">
        <v>Brazil</v>
      </c>
      <c r="AB228" s="12" t="str">
        <v>LW</v>
      </c>
      <c r="AC228" s="12" t="str">
        <v>Real Madrid</v>
      </c>
      <c r="AD228" s="12">
        <v>7</v>
      </c>
      <c r="AF228" s="42">
        <v>1970</v>
      </c>
      <c r="AG228" s="42" t="str">
        <v xml:space="preserve">14 Jun 1970 - 12:00 </v>
      </c>
      <c r="AH228" s="42" t="str">
        <v>QUARTER_FINALS</v>
      </c>
      <c r="AI228" s="42" t="str">
        <v>Nou Camp - Estadio León</v>
      </c>
      <c r="AJ228" s="42" t="str">
        <v xml:space="preserve">Leon </v>
      </c>
      <c r="AK228" s="42" t="str">
        <v>FR Germany</v>
      </c>
      <c r="AL228" s="42">
        <v>3</v>
      </c>
      <c r="AM228" s="42">
        <v>2</v>
      </c>
      <c r="AN228" s="42" t="str">
        <v>England</v>
      </c>
      <c r="AO228" s="42" t="str">
        <v>FR Germany win after extra time</v>
      </c>
    </row>
    <row r="229" spans="7:41">
      <c r="G229" s="30">
        <v>2014</v>
      </c>
      <c r="H229" s="30" t="str">
        <v>QUARTER_FINALS</v>
      </c>
      <c r="I229" s="30" t="str">
        <v>Netherlands</v>
      </c>
      <c r="J229" s="30" t="str">
        <v>Costa Rica</v>
      </c>
      <c r="K229" s="30" t="str">
        <v>Costa Rica</v>
      </c>
      <c r="L229" s="30" t="str">
        <v>Giancarlo González</v>
      </c>
      <c r="M229" s="30" t="str">
        <v>Tim Krul</v>
      </c>
      <c r="N229" s="30">
        <v>6</v>
      </c>
      <c r="O229" s="30">
        <v>3</v>
      </c>
      <c r="P229" s="30" t="str">
        <v>'2-3</v>
      </c>
      <c r="Q229" s="30" t="str">
        <v>No</v>
      </c>
      <c r="R229" s="30" t="str">
        <v>No</v>
      </c>
      <c r="S229" s="30" t="str">
        <v>Goal</v>
      </c>
      <c r="T229" s="30" t="str">
        <f t="shared" si="9"/>
        <v>2-3</v>
      </c>
      <c r="U229" s="30">
        <f t="shared" si="10"/>
        <v>2</v>
      </c>
      <c r="V229" s="30">
        <f t="shared" si="11"/>
        <v>3</v>
      </c>
      <c r="X229" s="12">
        <v>227</v>
      </c>
      <c r="Y229" s="12" t="str">
        <v>Gabriel Martinelli</v>
      </c>
      <c r="Z229" s="12">
        <v>24</v>
      </c>
      <c r="AA229" s="12" t="str">
        <v>Brazil</v>
      </c>
      <c r="AB229" s="12" t="str">
        <v>LW</v>
      </c>
      <c r="AC229" s="12" t="str">
        <v>Arsenal</v>
      </c>
      <c r="AD229" s="12">
        <v>22</v>
      </c>
      <c r="AF229" s="42">
        <v>1970</v>
      </c>
      <c r="AG229" s="42" t="str">
        <v xml:space="preserve">14 Jun 1970 - 12:00 </v>
      </c>
      <c r="AH229" s="42" t="str">
        <v>QUARTER_FINALS</v>
      </c>
      <c r="AI229" s="42" t="str">
        <v>Jalisco</v>
      </c>
      <c r="AJ229" s="42" t="str">
        <v xml:space="preserve">Guadalajara </v>
      </c>
      <c r="AK229" s="42" t="str">
        <v>Brazil</v>
      </c>
      <c r="AL229" s="42">
        <v>4</v>
      </c>
      <c r="AM229" s="42">
        <v>2</v>
      </c>
      <c r="AN229" s="42" t="str">
        <v>Peru</v>
      </c>
      <c r="AO229" s="42" t="str">
        <v>-</v>
      </c>
    </row>
    <row r="230" spans="7:41">
      <c r="G230" s="30">
        <v>2014</v>
      </c>
      <c r="H230" s="30" t="str">
        <v>QUARTER_FINALS</v>
      </c>
      <c r="I230" s="30" t="str">
        <v>Netherlands</v>
      </c>
      <c r="J230" s="30" t="str">
        <v>Costa Rica</v>
      </c>
      <c r="K230" s="30" t="str">
        <v>Netherlands</v>
      </c>
      <c r="L230" s="30" t="str">
        <v>Dirk Kuyt</v>
      </c>
      <c r="M230" s="30" t="str">
        <v>Keylor Navas</v>
      </c>
      <c r="N230" s="30">
        <v>7</v>
      </c>
      <c r="O230" s="30">
        <v>4</v>
      </c>
      <c r="P230" s="30" t="str">
        <v>'2-3</v>
      </c>
      <c r="Q230" s="30" t="str">
        <v>No</v>
      </c>
      <c r="R230" s="30" t="str">
        <v>No</v>
      </c>
      <c r="S230" s="30" t="str">
        <v>Goal</v>
      </c>
      <c r="T230" s="30" t="str">
        <f t="shared" si="9"/>
        <v>2-3</v>
      </c>
      <c r="U230" s="30">
        <f t="shared" si="10"/>
        <v>2</v>
      </c>
      <c r="V230" s="30">
        <f t="shared" si="11"/>
        <v>3</v>
      </c>
      <c r="X230" s="12">
        <v>228</v>
      </c>
      <c r="Y230" s="12" t="str">
        <v>Raphinha</v>
      </c>
      <c r="Z230" s="12">
        <v>29</v>
      </c>
      <c r="AA230" s="12" t="str">
        <v>Brazil</v>
      </c>
      <c r="AB230" s="12" t="str">
        <v>RW</v>
      </c>
      <c r="AC230" s="12" t="str">
        <v>Barcelona</v>
      </c>
      <c r="AD230" s="12">
        <v>11</v>
      </c>
      <c r="AF230" s="42">
        <v>1970</v>
      </c>
      <c r="AG230" s="42" t="str">
        <v xml:space="preserve">14 Jun 1970 - 12:00 </v>
      </c>
      <c r="AH230" s="42" t="str">
        <v>QUARTER_FINALS</v>
      </c>
      <c r="AI230" s="42" t="str">
        <v>Estadio Azteca</v>
      </c>
      <c r="AJ230" s="42" t="str">
        <v xml:space="preserve">Mexico City </v>
      </c>
      <c r="AK230" s="42" t="str">
        <v>Uruguay</v>
      </c>
      <c r="AL230" s="42">
        <v>1</v>
      </c>
      <c r="AM230" s="42">
        <v>0</v>
      </c>
      <c r="AN230" s="42" t="str">
        <v>Soviet Union</v>
      </c>
      <c r="AO230" s="42" t="str">
        <v>Uruguay win after extra time</v>
      </c>
    </row>
    <row r="231" spans="7:41">
      <c r="G231" s="30">
        <v>2014</v>
      </c>
      <c r="H231" s="30" t="str">
        <v>QUARTER_FINALS</v>
      </c>
      <c r="I231" s="30" t="str">
        <v>Netherlands</v>
      </c>
      <c r="J231" s="30" t="str">
        <v>Costa Rica</v>
      </c>
      <c r="K231" s="30" t="str">
        <v>Costa Rica</v>
      </c>
      <c r="L231" s="30" t="str">
        <v>Michael Umaña</v>
      </c>
      <c r="M231" s="30" t="str">
        <v>Tim Krul</v>
      </c>
      <c r="N231" s="30">
        <v>8</v>
      </c>
      <c r="O231" s="30">
        <v>4</v>
      </c>
      <c r="P231" s="30" t="str">
        <v>'2-4</v>
      </c>
      <c r="Q231" s="30" t="str">
        <v>Yes</v>
      </c>
      <c r="R231" s="30" t="str">
        <v>Yes</v>
      </c>
      <c r="S231" s="30" t="str">
        <v>Saved</v>
      </c>
      <c r="T231" s="30" t="str">
        <f t="shared" si="9"/>
        <v>2-4</v>
      </c>
      <c r="U231" s="30">
        <f t="shared" si="10"/>
        <v>2</v>
      </c>
      <c r="V231" s="30">
        <f t="shared" si="11"/>
        <v>4</v>
      </c>
      <c r="X231" s="12">
        <v>229</v>
      </c>
      <c r="Y231" s="12" t="str">
        <v>Luiz Henrique</v>
      </c>
      <c r="Z231" s="12">
        <v>25</v>
      </c>
      <c r="AA231" s="12" t="str">
        <v>Brazil</v>
      </c>
      <c r="AB231" s="12" t="str">
        <v>RW</v>
      </c>
      <c r="AC231" s="12" t="str">
        <v>Zenit Saint Petersburg</v>
      </c>
      <c r="AD231" s="12">
        <v>21</v>
      </c>
      <c r="AF231" s="42">
        <v>1970</v>
      </c>
      <c r="AG231" s="42" t="str">
        <v xml:space="preserve">17 Jun 1970 - 16:00 </v>
      </c>
      <c r="AH231" s="42" t="str">
        <v>SEMI_FINALS</v>
      </c>
      <c r="AI231" s="42" t="str">
        <v>Jalisco</v>
      </c>
      <c r="AJ231" s="42" t="str">
        <v xml:space="preserve">Guadalajara </v>
      </c>
      <c r="AK231" s="42" t="str">
        <v>Brazil</v>
      </c>
      <c r="AL231" s="42">
        <v>3</v>
      </c>
      <c r="AM231" s="42">
        <v>1</v>
      </c>
      <c r="AN231" s="42" t="str">
        <v>Uruguay</v>
      </c>
      <c r="AO231" s="42" t="str">
        <v>-</v>
      </c>
    </row>
    <row r="232" spans="7:41">
      <c r="G232" s="30">
        <v>2014</v>
      </c>
      <c r="H232" s="30" t="str">
        <v>SEMI_FINALS</v>
      </c>
      <c r="I232" s="30" t="str">
        <v>Netherlands</v>
      </c>
      <c r="J232" s="30" t="str">
        <v>Argentina</v>
      </c>
      <c r="K232" s="30" t="str">
        <v>Argentina</v>
      </c>
      <c r="L232" s="30" t="str">
        <v>Ron Vlaar</v>
      </c>
      <c r="M232" s="30" t="str">
        <v>Sergio Romero</v>
      </c>
      <c r="N232" s="30">
        <v>1</v>
      </c>
      <c r="O232" s="30">
        <v>1</v>
      </c>
      <c r="P232" s="30" t="str">
        <v>'0-0</v>
      </c>
      <c r="Q232" s="30" t="str">
        <v>No</v>
      </c>
      <c r="R232" s="30" t="str">
        <v>No</v>
      </c>
      <c r="S232" s="30" t="str">
        <v>Saved</v>
      </c>
      <c r="T232" s="30" t="str">
        <f t="shared" si="9"/>
        <v>0-0</v>
      </c>
      <c r="U232" s="30">
        <f t="shared" si="10"/>
        <v>0</v>
      </c>
      <c r="V232" s="30">
        <f t="shared" si="11"/>
        <v>0</v>
      </c>
      <c r="X232" s="12">
        <v>230</v>
      </c>
      <c r="Y232" s="12" t="str">
        <v>Rayan</v>
      </c>
      <c r="Z232" s="12">
        <v>19</v>
      </c>
      <c r="AA232" s="12" t="str">
        <v>Brazil</v>
      </c>
      <c r="AB232" s="12" t="str">
        <v>RW</v>
      </c>
      <c r="AC232" s="12" t="str">
        <v>Bournemouth</v>
      </c>
      <c r="AD232" s="12">
        <v>26</v>
      </c>
      <c r="AF232" s="42">
        <v>1970</v>
      </c>
      <c r="AG232" s="42" t="str">
        <v xml:space="preserve">17 June 1970 - 16:00 </v>
      </c>
      <c r="AH232" s="42" t="str">
        <v>SEMI_FINALS</v>
      </c>
      <c r="AI232" s="42" t="str">
        <v>Estadio Azteca</v>
      </c>
      <c r="AJ232" s="42" t="str">
        <v xml:space="preserve">Mexico City </v>
      </c>
      <c r="AK232" s="42" t="str">
        <v>Italy</v>
      </c>
      <c r="AL232" s="42">
        <v>4</v>
      </c>
      <c r="AM232" s="42">
        <v>3</v>
      </c>
      <c r="AN232" s="42" t="str">
        <v>FR Germany</v>
      </c>
      <c r="AO232" s="42" t="str">
        <v>Italy win after extra time</v>
      </c>
    </row>
    <row r="233" spans="7:41">
      <c r="G233" s="30">
        <v>2014</v>
      </c>
      <c r="H233" s="30" t="str">
        <v>SEMI_FINALS</v>
      </c>
      <c r="I233" s="30" t="str">
        <v>Netherlands</v>
      </c>
      <c r="J233" s="30" t="str">
        <v>Argentina</v>
      </c>
      <c r="K233" s="30" t="str">
        <v>Netherlands</v>
      </c>
      <c r="L233" s="30" t="str">
        <v>Lionel Messi</v>
      </c>
      <c r="M233" s="30" t="str">
        <v>Jasper Cillessen</v>
      </c>
      <c r="N233" s="30">
        <v>2</v>
      </c>
      <c r="O233" s="30">
        <v>1</v>
      </c>
      <c r="P233" s="30" t="str">
        <v>'0-1</v>
      </c>
      <c r="Q233" s="30" t="str">
        <v>No</v>
      </c>
      <c r="R233" s="30" t="str">
        <v>No</v>
      </c>
      <c r="S233" s="30" t="str">
        <v>Goal</v>
      </c>
      <c r="T233" s="30" t="str">
        <f t="shared" si="9"/>
        <v>0-1</v>
      </c>
      <c r="U233" s="30">
        <f t="shared" si="10"/>
        <v>0</v>
      </c>
      <c r="V233" s="30">
        <f t="shared" si="11"/>
        <v>1</v>
      </c>
      <c r="X233" s="12">
        <v>231</v>
      </c>
      <c r="Y233" s="12" t="str">
        <v>Matheus Cunha</v>
      </c>
      <c r="Z233" s="12">
        <v>27</v>
      </c>
      <c r="AA233" s="12" t="str">
        <v>Brazil</v>
      </c>
      <c r="AB233" s="12" t="str">
        <v>ST</v>
      </c>
      <c r="AC233" s="12" t="str">
        <v>Manchester United</v>
      </c>
      <c r="AD233" s="12">
        <v>9</v>
      </c>
      <c r="AF233" s="42">
        <v>1970</v>
      </c>
      <c r="AG233" s="42" t="str">
        <v xml:space="preserve">20 Jun 1970 - 16:00 </v>
      </c>
      <c r="AH233" s="42" t="str">
        <v>THIRD_PLACE</v>
      </c>
      <c r="AI233" s="42" t="str">
        <v>Estadio Azteca</v>
      </c>
      <c r="AJ233" s="42" t="str">
        <v xml:space="preserve">Mexico City </v>
      </c>
      <c r="AK233" s="42" t="str">
        <v>FR Germany</v>
      </c>
      <c r="AL233" s="42">
        <v>1</v>
      </c>
      <c r="AM233" s="42">
        <v>0</v>
      </c>
      <c r="AN233" s="42" t="str">
        <v>Uruguay</v>
      </c>
      <c r="AO233" s="42" t="str">
        <v>-</v>
      </c>
    </row>
    <row r="234" spans="7:41">
      <c r="G234" s="30">
        <v>2014</v>
      </c>
      <c r="H234" s="30" t="str">
        <v>SEMI_FINALS</v>
      </c>
      <c r="I234" s="30" t="str">
        <v>Netherlands</v>
      </c>
      <c r="J234" s="30" t="str">
        <v>Argentina</v>
      </c>
      <c r="K234" s="30" t="str">
        <v>Argentina</v>
      </c>
      <c r="L234" s="30" t="str">
        <v>Arjen Robben</v>
      </c>
      <c r="M234" s="30" t="str">
        <v>Sergio Romero</v>
      </c>
      <c r="N234" s="30">
        <v>3</v>
      </c>
      <c r="O234" s="30">
        <v>2</v>
      </c>
      <c r="P234" s="30" t="str">
        <v>'1-1</v>
      </c>
      <c r="Q234" s="30" t="str">
        <v>No</v>
      </c>
      <c r="R234" s="30" t="str">
        <v>No</v>
      </c>
      <c r="S234" s="30" t="str">
        <v>Goal</v>
      </c>
      <c r="T234" s="30" t="str">
        <f t="shared" si="9"/>
        <v>1-1</v>
      </c>
      <c r="U234" s="30">
        <f t="shared" si="10"/>
        <v>1</v>
      </c>
      <c r="V234" s="30">
        <f t="shared" si="11"/>
        <v>1</v>
      </c>
      <c r="X234" s="12">
        <v>232</v>
      </c>
      <c r="Y234" s="12" t="str">
        <v>Neymar</v>
      </c>
      <c r="Z234" s="12">
        <v>34</v>
      </c>
      <c r="AA234" s="12" t="str">
        <v>Brazil</v>
      </c>
      <c r="AB234" s="12" t="str">
        <v>ST</v>
      </c>
      <c r="AC234" s="12" t="str">
        <v>Santos</v>
      </c>
      <c r="AD234" s="12">
        <v>10</v>
      </c>
      <c r="AF234" s="42">
        <v>1970</v>
      </c>
      <c r="AG234" s="42" t="str">
        <v xml:space="preserve">21 Jun 1970 - 12:00 </v>
      </c>
      <c r="AH234" s="42" t="str">
        <v>FINAL</v>
      </c>
      <c r="AI234" s="42" t="str">
        <v>Estadio Azteca</v>
      </c>
      <c r="AJ234" s="42" t="str">
        <v xml:space="preserve">Mexico City </v>
      </c>
      <c r="AK234" s="42" t="str">
        <v>Brazil</v>
      </c>
      <c r="AL234" s="42">
        <v>4</v>
      </c>
      <c r="AM234" s="42">
        <v>1</v>
      </c>
      <c r="AN234" s="42" t="str">
        <v>Italy</v>
      </c>
      <c r="AO234" s="42" t="str">
        <v>-</v>
      </c>
    </row>
    <row r="235" spans="7:41">
      <c r="G235" s="30">
        <v>2014</v>
      </c>
      <c r="H235" s="30" t="str">
        <v>SEMI_FINALS</v>
      </c>
      <c r="I235" s="30" t="str">
        <v>Netherlands</v>
      </c>
      <c r="J235" s="30" t="str">
        <v>Argentina</v>
      </c>
      <c r="K235" s="30" t="str">
        <v>Netherlands</v>
      </c>
      <c r="L235" s="30" t="str">
        <v>Ezequiel Garay</v>
      </c>
      <c r="M235" s="30" t="str">
        <v>Jasper Cillessen</v>
      </c>
      <c r="N235" s="30">
        <v>4</v>
      </c>
      <c r="O235" s="30">
        <v>2</v>
      </c>
      <c r="P235" s="30" t="str">
        <v>'2-1</v>
      </c>
      <c r="Q235" s="30" t="str">
        <v>No</v>
      </c>
      <c r="R235" s="30" t="str">
        <v>No</v>
      </c>
      <c r="S235" s="30" t="str">
        <v>Goal</v>
      </c>
      <c r="T235" s="30" t="str">
        <f t="shared" si="9"/>
        <v>2-1</v>
      </c>
      <c r="U235" s="30">
        <f t="shared" si="10"/>
        <v>2</v>
      </c>
      <c r="V235" s="30">
        <f t="shared" si="11"/>
        <v>1</v>
      </c>
      <c r="X235" s="12">
        <v>233</v>
      </c>
      <c r="Y235" s="12" t="str">
        <v>Endrick</v>
      </c>
      <c r="Z235" s="12">
        <v>19</v>
      </c>
      <c r="AA235" s="12" t="str">
        <v>Brazil</v>
      </c>
      <c r="AB235" s="12" t="str">
        <v>ST</v>
      </c>
      <c r="AC235" s="12" t="str">
        <v>Lyon</v>
      </c>
      <c r="AD235" s="12">
        <v>19</v>
      </c>
      <c r="AF235" s="42">
        <v>1974</v>
      </c>
      <c r="AG235" s="42" t="str">
        <v xml:space="preserve">13 Jun 1974 - 17:00 </v>
      </c>
      <c r="AH235" s="42" t="str">
        <v>GROUP_STAGE</v>
      </c>
      <c r="AI235" s="42" t="str">
        <v>Waldstadion</v>
      </c>
      <c r="AJ235" s="42" t="str">
        <v xml:space="preserve">Frankfurt/Main </v>
      </c>
      <c r="AK235" s="42" t="str">
        <v>Brazil</v>
      </c>
      <c r="AL235" s="42">
        <v>0</v>
      </c>
      <c r="AM235" s="42">
        <v>0</v>
      </c>
      <c r="AN235" s="42" t="str">
        <v>Yugoslavia</v>
      </c>
      <c r="AO235" s="42" t="str">
        <v>-</v>
      </c>
    </row>
    <row r="236" spans="7:41">
      <c r="G236" s="30">
        <v>2014</v>
      </c>
      <c r="H236" s="30" t="str">
        <v>SEMI_FINALS</v>
      </c>
      <c r="I236" s="30" t="str">
        <v>Netherlands</v>
      </c>
      <c r="J236" s="30" t="str">
        <v>Argentina</v>
      </c>
      <c r="K236" s="30" t="str">
        <v>Argentina</v>
      </c>
      <c r="L236" s="30" t="str">
        <v>Wesley Sneijder</v>
      </c>
      <c r="M236" s="30" t="str">
        <v>Sergio Romero</v>
      </c>
      <c r="N236" s="30">
        <v>5</v>
      </c>
      <c r="O236" s="30">
        <v>3</v>
      </c>
      <c r="P236" s="30" t="str">
        <v>'2-1</v>
      </c>
      <c r="Q236" s="30" t="str">
        <v>No</v>
      </c>
      <c r="R236" s="30" t="str">
        <v>No</v>
      </c>
      <c r="S236" s="30" t="str">
        <v>Saved</v>
      </c>
      <c r="T236" s="30" t="str">
        <f t="shared" si="9"/>
        <v>2-1</v>
      </c>
      <c r="U236" s="30">
        <f t="shared" si="10"/>
        <v>2</v>
      </c>
      <c r="V236" s="30">
        <f t="shared" si="11"/>
        <v>1</v>
      </c>
      <c r="X236" s="12">
        <v>234</v>
      </c>
      <c r="Y236" s="12" t="str">
        <v>Igor Thiago</v>
      </c>
      <c r="Z236" s="12">
        <v>24</v>
      </c>
      <c r="AA236" s="12" t="str">
        <v>Brazil</v>
      </c>
      <c r="AB236" s="12" t="str">
        <v>ST</v>
      </c>
      <c r="AC236" s="12" t="str">
        <v>Brentford</v>
      </c>
      <c r="AD236" s="12">
        <v>25</v>
      </c>
      <c r="AF236" s="42">
        <v>1974</v>
      </c>
      <c r="AG236" s="42" t="str">
        <v xml:space="preserve">14 Jun 1974 - 16:00 </v>
      </c>
      <c r="AH236" s="42" t="str">
        <v>GROUP_STAGE</v>
      </c>
      <c r="AI236" s="42" t="str">
        <v>Olympiastadion</v>
      </c>
      <c r="AJ236" s="42" t="str">
        <v xml:space="preserve">Berlin West </v>
      </c>
      <c r="AK236" s="42" t="str">
        <v>FR Germany</v>
      </c>
      <c r="AL236" s="42">
        <v>1</v>
      </c>
      <c r="AM236" s="42">
        <v>0</v>
      </c>
      <c r="AN236" s="42" t="str">
        <v>Chile</v>
      </c>
      <c r="AO236" s="42" t="str">
        <v>-</v>
      </c>
    </row>
    <row r="237" spans="7:41">
      <c r="G237" s="30">
        <v>2014</v>
      </c>
      <c r="H237" s="30" t="str">
        <v>SEMI_FINALS</v>
      </c>
      <c r="I237" s="30" t="str">
        <v>Netherlands</v>
      </c>
      <c r="J237" s="30" t="str">
        <v>Argentina</v>
      </c>
      <c r="K237" s="30" t="str">
        <v>Netherlands</v>
      </c>
      <c r="L237" s="30" t="str">
        <v>Sergio Agüero</v>
      </c>
      <c r="M237" s="30" t="str">
        <v>Jasper Cillessen</v>
      </c>
      <c r="N237" s="30">
        <v>6</v>
      </c>
      <c r="O237" s="30">
        <v>3</v>
      </c>
      <c r="P237" s="30" t="str">
        <v>'3-1</v>
      </c>
      <c r="Q237" s="30" t="str">
        <v>No</v>
      </c>
      <c r="R237" s="30" t="str">
        <v>No</v>
      </c>
      <c r="S237" s="30" t="str">
        <v>Goal</v>
      </c>
      <c r="T237" s="30" t="str">
        <f t="shared" si="9"/>
        <v>3-1</v>
      </c>
      <c r="U237" s="30">
        <f t="shared" si="10"/>
        <v>3</v>
      </c>
      <c r="V237" s="30">
        <f t="shared" si="11"/>
        <v>1</v>
      </c>
      <c r="X237" s="12">
        <v>235</v>
      </c>
      <c r="Y237" s="12" t="str">
        <v>Johny Placide</v>
      </c>
      <c r="Z237" s="12">
        <v>38</v>
      </c>
      <c r="AA237" s="12" t="str">
        <v>Haiti</v>
      </c>
      <c r="AB237" s="12" t="str">
        <v>GK</v>
      </c>
      <c r="AC237" s="12" t="str">
        <v>Bastia</v>
      </c>
      <c r="AD237" s="12">
        <v>1</v>
      </c>
      <c r="AF237" s="42">
        <v>1974</v>
      </c>
      <c r="AG237" s="42" t="str">
        <v xml:space="preserve">14 Jun 1974 - 19:30 </v>
      </c>
      <c r="AH237" s="42" t="str">
        <v>GROUP_STAGE</v>
      </c>
      <c r="AI237" s="42" t="str">
        <v>Volksparkstadion</v>
      </c>
      <c r="AJ237" s="42" t="str">
        <v xml:space="preserve">Hamburg </v>
      </c>
      <c r="AK237" s="42" t="str">
        <v>DR Germany</v>
      </c>
      <c r="AL237" s="42">
        <v>2</v>
      </c>
      <c r="AM237" s="42">
        <v>0</v>
      </c>
      <c r="AN237" s="42" t="str">
        <v>Australia</v>
      </c>
      <c r="AO237" s="42" t="str">
        <v>-</v>
      </c>
    </row>
    <row r="238" spans="7:41">
      <c r="G238" s="30">
        <v>2014</v>
      </c>
      <c r="H238" s="30" t="str">
        <v>SEMI_FINALS</v>
      </c>
      <c r="I238" s="30" t="str">
        <v>Netherlands</v>
      </c>
      <c r="J238" s="30" t="str">
        <v>Argentina</v>
      </c>
      <c r="K238" s="30" t="str">
        <v>Argentina</v>
      </c>
      <c r="L238" s="30" t="str">
        <v>Dirk Kuyt</v>
      </c>
      <c r="M238" s="30" t="str">
        <v>Sergio Romero</v>
      </c>
      <c r="N238" s="30">
        <v>7</v>
      </c>
      <c r="O238" s="30">
        <v>4</v>
      </c>
      <c r="P238" s="30" t="str">
        <v>'3-2</v>
      </c>
      <c r="Q238" s="30" t="str">
        <v>No</v>
      </c>
      <c r="R238" s="30" t="str">
        <v>No</v>
      </c>
      <c r="S238" s="30" t="str">
        <v>Goal</v>
      </c>
      <c r="T238" s="30" t="str">
        <f t="shared" si="9"/>
        <v>3-2</v>
      </c>
      <c r="U238" s="30">
        <f t="shared" si="10"/>
        <v>3</v>
      </c>
      <c r="V238" s="30">
        <f t="shared" si="11"/>
        <v>2</v>
      </c>
      <c r="X238" s="12">
        <v>236</v>
      </c>
      <c r="Y238" s="12" t="str">
        <v>Alexandre Pierre</v>
      </c>
      <c r="Z238" s="12">
        <v>25</v>
      </c>
      <c r="AA238" s="12" t="str">
        <v>Haiti</v>
      </c>
      <c r="AB238" s="12" t="str">
        <v>GK</v>
      </c>
      <c r="AC238" s="12" t="str">
        <v>Sochaux</v>
      </c>
      <c r="AD238" s="12">
        <v>12</v>
      </c>
      <c r="AF238" s="42">
        <v>1974</v>
      </c>
      <c r="AG238" s="42" t="str">
        <v xml:space="preserve">14 Jun 1974 - 19:30 </v>
      </c>
      <c r="AH238" s="42" t="str">
        <v>GROUP_STAGE</v>
      </c>
      <c r="AI238" s="42" t="str">
        <v>Westfalenstadion</v>
      </c>
      <c r="AJ238" s="42" t="str">
        <v xml:space="preserve">Dortmund </v>
      </c>
      <c r="AK238" s="42" t="str">
        <v>Zaire</v>
      </c>
      <c r="AL238" s="42">
        <v>0</v>
      </c>
      <c r="AM238" s="42">
        <v>2</v>
      </c>
      <c r="AN238" s="42" t="str">
        <v>Scotland</v>
      </c>
      <c r="AO238" s="42" t="str">
        <v>-</v>
      </c>
    </row>
    <row r="239" spans="7:41">
      <c r="G239" s="30">
        <v>2014</v>
      </c>
      <c r="H239" s="30" t="str">
        <v>SEMI_FINALS</v>
      </c>
      <c r="I239" s="30" t="str">
        <v>Netherlands</v>
      </c>
      <c r="J239" s="30" t="str">
        <v>Argentina</v>
      </c>
      <c r="K239" s="30" t="str">
        <v>Netherlands</v>
      </c>
      <c r="L239" s="30" t="str">
        <v>Maxi Rodríguez</v>
      </c>
      <c r="M239" s="30" t="str">
        <v>Jasper Cillessen</v>
      </c>
      <c r="N239" s="30">
        <v>8</v>
      </c>
      <c r="O239" s="30">
        <v>4</v>
      </c>
      <c r="P239" s="30" t="str">
        <v>'3-2</v>
      </c>
      <c r="Q239" s="30" t="str">
        <v>No</v>
      </c>
      <c r="R239" s="30" t="str">
        <v>Yes</v>
      </c>
      <c r="S239" s="30" t="str">
        <v>Goal</v>
      </c>
      <c r="T239" s="30" t="str">
        <f t="shared" si="9"/>
        <v>3-2</v>
      </c>
      <c r="U239" s="30">
        <f t="shared" si="10"/>
        <v>3</v>
      </c>
      <c r="V239" s="30">
        <f t="shared" si="11"/>
        <v>2</v>
      </c>
      <c r="X239" s="12">
        <v>237</v>
      </c>
      <c r="Y239" s="12" t="str">
        <v>Josué Duverger</v>
      </c>
      <c r="Z239" s="12">
        <v>26</v>
      </c>
      <c r="AA239" s="12" t="str">
        <v>Haiti</v>
      </c>
      <c r="AB239" s="12" t="str">
        <v>GK</v>
      </c>
      <c r="AC239" s="12" t="str">
        <v>Cosmos Koblenz</v>
      </c>
      <c r="AD239" s="12">
        <v>23</v>
      </c>
      <c r="AF239" s="42">
        <v>1974</v>
      </c>
      <c r="AG239" s="42" t="str">
        <v xml:space="preserve">15 Jun 1974 - 16:00 </v>
      </c>
      <c r="AH239" s="42" t="str">
        <v>GROUP_STAGE</v>
      </c>
      <c r="AI239" s="42" t="str">
        <v>Niedersachsenstadion</v>
      </c>
      <c r="AJ239" s="42" t="str">
        <v xml:space="preserve">Hanover </v>
      </c>
      <c r="AK239" s="42" t="str">
        <v>Uruguay</v>
      </c>
      <c r="AL239" s="42">
        <v>0</v>
      </c>
      <c r="AM239" s="42">
        <v>2</v>
      </c>
      <c r="AN239" s="42" t="str">
        <v>Netherlands</v>
      </c>
      <c r="AO239" s="42" t="str">
        <v>-</v>
      </c>
    </row>
    <row r="240" spans="7:41">
      <c r="G240" s="30">
        <v>2018</v>
      </c>
      <c r="H240" s="30" t="str">
        <v>ROUND_OF_16</v>
      </c>
      <c r="I240" s="30" t="str">
        <v>Colombia</v>
      </c>
      <c r="J240" s="30" t="str">
        <v>England</v>
      </c>
      <c r="K240" s="30" t="str">
        <v>Colombia</v>
      </c>
      <c r="L240" s="30" t="str">
        <v>Radamel Falcao</v>
      </c>
      <c r="M240" s="30" t="str">
        <v>Jordan Pickford</v>
      </c>
      <c r="N240" s="30">
        <v>1</v>
      </c>
      <c r="O240" s="30">
        <v>1</v>
      </c>
      <c r="P240" s="30" t="str">
        <v>'0-0</v>
      </c>
      <c r="Q240" s="30" t="str">
        <v>No</v>
      </c>
      <c r="R240" s="30" t="str">
        <v>No</v>
      </c>
      <c r="S240" s="30" t="str">
        <v>Goal</v>
      </c>
      <c r="T240" s="30" t="str">
        <f t="shared" si="9"/>
        <v>0-0</v>
      </c>
      <c r="U240" s="30">
        <f t="shared" si="10"/>
        <v>0</v>
      </c>
      <c r="V240" s="30">
        <f t="shared" si="11"/>
        <v>0</v>
      </c>
      <c r="X240" s="12">
        <v>238</v>
      </c>
      <c r="Y240" s="12" t="str">
        <v>Ricardo Adé</v>
      </c>
      <c r="Z240" s="12">
        <v>36</v>
      </c>
      <c r="AA240" s="12" t="str">
        <v>Haiti</v>
      </c>
      <c r="AB240" s="12" t="str">
        <v>CB</v>
      </c>
      <c r="AC240" s="12" t="str">
        <v>LDU Quito</v>
      </c>
      <c r="AD240" s="12">
        <v>4</v>
      </c>
      <c r="AF240" s="42">
        <v>1974</v>
      </c>
      <c r="AG240" s="42" t="str">
        <v xml:space="preserve">15 Jun 1974 - 16:00 </v>
      </c>
      <c r="AH240" s="42" t="str">
        <v>GROUP_STAGE</v>
      </c>
      <c r="AI240" s="42" t="str">
        <v>Rheinstadion</v>
      </c>
      <c r="AJ240" s="42" t="str">
        <v>Düsseldorf</v>
      </c>
      <c r="AK240" s="42" t="str">
        <v>Sweden</v>
      </c>
      <c r="AL240" s="42">
        <v>0</v>
      </c>
      <c r="AM240" s="42">
        <v>0</v>
      </c>
      <c r="AN240" s="42" t="str">
        <v>Bulgaria</v>
      </c>
      <c r="AO240" s="42" t="str">
        <v>-</v>
      </c>
    </row>
    <row r="241" spans="7:41">
      <c r="G241" s="30">
        <v>2018</v>
      </c>
      <c r="H241" s="30" t="str">
        <v>ROUND_OF_16</v>
      </c>
      <c r="I241" s="30" t="str">
        <v>Colombia</v>
      </c>
      <c r="J241" s="30" t="str">
        <v>England</v>
      </c>
      <c r="K241" s="30" t="str">
        <v>England</v>
      </c>
      <c r="L241" s="30" t="str">
        <v>Harry Kane</v>
      </c>
      <c r="M241" s="30" t="str">
        <v>David Ospina</v>
      </c>
      <c r="N241" s="30">
        <v>2</v>
      </c>
      <c r="O241" s="30">
        <v>1</v>
      </c>
      <c r="P241" s="30" t="str">
        <v>'1-0</v>
      </c>
      <c r="Q241" s="30" t="str">
        <v>No</v>
      </c>
      <c r="R241" s="30" t="str">
        <v>No</v>
      </c>
      <c r="S241" s="30" t="str">
        <v>Goal</v>
      </c>
      <c r="T241" s="30" t="str">
        <f t="shared" si="9"/>
        <v>1-0</v>
      </c>
      <c r="U241" s="30">
        <f t="shared" si="10"/>
        <v>1</v>
      </c>
      <c r="V241" s="30">
        <f t="shared" si="11"/>
        <v>0</v>
      </c>
      <c r="X241" s="12">
        <v>239</v>
      </c>
      <c r="Y241" s="12" t="str">
        <v>Hannes Delcroix</v>
      </c>
      <c r="Z241" s="12">
        <v>27</v>
      </c>
      <c r="AA241" s="12" t="str">
        <v>Haiti</v>
      </c>
      <c r="AB241" s="12" t="str">
        <v>CB</v>
      </c>
      <c r="AC241" s="12" t="str">
        <v>Lugano</v>
      </c>
      <c r="AD241" s="12">
        <v>5</v>
      </c>
      <c r="AF241" s="42">
        <v>1974</v>
      </c>
      <c r="AG241" s="42" t="str">
        <v xml:space="preserve">15 Jun 1974 - 18:00 </v>
      </c>
      <c r="AH241" s="42" t="str">
        <v>GROUP_STAGE</v>
      </c>
      <c r="AI241" s="42" t="str">
        <v>Olympiastadion</v>
      </c>
      <c r="AJ241" s="42" t="str">
        <v xml:space="preserve">Munich </v>
      </c>
      <c r="AK241" s="42" t="str">
        <v>Italy</v>
      </c>
      <c r="AL241" s="42">
        <v>3</v>
      </c>
      <c r="AM241" s="42">
        <v>1</v>
      </c>
      <c r="AN241" s="42" t="str">
        <v>Haiti</v>
      </c>
      <c r="AO241" s="42" t="str">
        <v>-</v>
      </c>
    </row>
    <row r="242" spans="7:41">
      <c r="G242" s="30">
        <v>2018</v>
      </c>
      <c r="H242" s="30" t="str">
        <v>ROUND_OF_16</v>
      </c>
      <c r="I242" s="30" t="str">
        <v>Colombia</v>
      </c>
      <c r="J242" s="30" t="str">
        <v>England</v>
      </c>
      <c r="K242" s="30" t="str">
        <v>Colombia</v>
      </c>
      <c r="L242" s="30" t="str">
        <v>Juan Cuadrado</v>
      </c>
      <c r="M242" s="30" t="str">
        <v>Jordan Pickford</v>
      </c>
      <c r="N242" s="30">
        <v>3</v>
      </c>
      <c r="O242" s="30">
        <v>2</v>
      </c>
      <c r="P242" s="30" t="str">
        <v>'1-1</v>
      </c>
      <c r="Q242" s="30" t="str">
        <v>No</v>
      </c>
      <c r="R242" s="30" t="str">
        <v>No</v>
      </c>
      <c r="S242" s="30" t="str">
        <v>Goal</v>
      </c>
      <c r="T242" s="30" t="str">
        <f t="shared" si="9"/>
        <v>1-1</v>
      </c>
      <c r="U242" s="30">
        <f t="shared" si="10"/>
        <v>1</v>
      </c>
      <c r="V242" s="30">
        <f t="shared" si="11"/>
        <v>1</v>
      </c>
      <c r="X242" s="12">
        <v>240</v>
      </c>
      <c r="Y242" s="12" t="str">
        <v>Garven Metusala</v>
      </c>
      <c r="Z242" s="12">
        <v>26</v>
      </c>
      <c r="AA242" s="12" t="str">
        <v>Haiti</v>
      </c>
      <c r="AB242" s="12" t="str">
        <v>CB</v>
      </c>
      <c r="AC242" s="12" t="str">
        <v>Colorado Springs Switchbacks FC</v>
      </c>
      <c r="AD242" s="12">
        <v>14</v>
      </c>
      <c r="AF242" s="42">
        <v>1974</v>
      </c>
      <c r="AG242" s="42" t="str">
        <v xml:space="preserve">15 Jun 1974 - 18:00 </v>
      </c>
      <c r="AH242" s="42" t="str">
        <v>GROUP_STAGE</v>
      </c>
      <c r="AI242" s="42" t="str">
        <v>Neckarstadion</v>
      </c>
      <c r="AJ242" s="42" t="str">
        <v xml:space="preserve">Stuttgart </v>
      </c>
      <c r="AK242" s="42" t="str">
        <v>Poland</v>
      </c>
      <c r="AL242" s="42">
        <v>3</v>
      </c>
      <c r="AM242" s="42">
        <v>2</v>
      </c>
      <c r="AN242" s="42" t="str">
        <v>Argentina</v>
      </c>
      <c r="AO242" s="42" t="str">
        <v>-</v>
      </c>
    </row>
    <row r="243" spans="7:41">
      <c r="G243" s="30">
        <v>2018</v>
      </c>
      <c r="H243" s="30" t="str">
        <v>ROUND_OF_16</v>
      </c>
      <c r="I243" s="30" t="str">
        <v>Colombia</v>
      </c>
      <c r="J243" s="30" t="str">
        <v>England</v>
      </c>
      <c r="K243" s="30" t="str">
        <v>England</v>
      </c>
      <c r="L243" s="30" t="str">
        <v>Marcus Rashford</v>
      </c>
      <c r="M243" s="30" t="str">
        <v>David Ospina</v>
      </c>
      <c r="N243" s="30">
        <v>4</v>
      </c>
      <c r="O243" s="30">
        <v>2</v>
      </c>
      <c r="P243" s="30" t="str">
        <v>'1-2</v>
      </c>
      <c r="Q243" s="30" t="str">
        <v>No</v>
      </c>
      <c r="R243" s="30" t="str">
        <v>No</v>
      </c>
      <c r="S243" s="30" t="str">
        <v>Goal</v>
      </c>
      <c r="T243" s="30" t="str">
        <f t="shared" si="9"/>
        <v>1-2</v>
      </c>
      <c r="U243" s="30">
        <f t="shared" si="10"/>
        <v>1</v>
      </c>
      <c r="V243" s="30">
        <f t="shared" si="11"/>
        <v>2</v>
      </c>
      <c r="X243" s="12">
        <v>241</v>
      </c>
      <c r="Y243" s="12" t="str">
        <v>Jean-Kévin Duverne</v>
      </c>
      <c r="Z243" s="12">
        <v>28</v>
      </c>
      <c r="AA243" s="12" t="str">
        <v>Haiti</v>
      </c>
      <c r="AB243" s="12" t="str">
        <v>CB</v>
      </c>
      <c r="AC243" s="12" t="str">
        <v>Gent</v>
      </c>
      <c r="AD243" s="12">
        <v>22</v>
      </c>
      <c r="AF243" s="42">
        <v>1974</v>
      </c>
      <c r="AG243" s="42" t="str">
        <v xml:space="preserve">18 Jun 1974 - 16:00 </v>
      </c>
      <c r="AH243" s="42" t="str">
        <v>GROUP_STAGE</v>
      </c>
      <c r="AI243" s="42" t="str">
        <v>Volksparkstadion</v>
      </c>
      <c r="AJ243" s="42" t="str">
        <v xml:space="preserve">Hamburg </v>
      </c>
      <c r="AK243" s="42" t="str">
        <v>Australia</v>
      </c>
      <c r="AL243" s="42">
        <v>0</v>
      </c>
      <c r="AM243" s="42">
        <v>3</v>
      </c>
      <c r="AN243" s="42" t="str">
        <v>FR Germany</v>
      </c>
      <c r="AO243" s="42" t="str">
        <v>-</v>
      </c>
    </row>
    <row r="244" spans="7:41">
      <c r="G244" s="30">
        <v>2018</v>
      </c>
      <c r="H244" s="30" t="str">
        <v>ROUND_OF_16</v>
      </c>
      <c r="I244" s="30" t="str">
        <v>Colombia</v>
      </c>
      <c r="J244" s="30" t="str">
        <v>England</v>
      </c>
      <c r="K244" s="30" t="str">
        <v>Colombia</v>
      </c>
      <c r="L244" s="30" t="str">
        <v>Luis Muriel</v>
      </c>
      <c r="M244" s="30" t="str">
        <v>Jordan Pickford</v>
      </c>
      <c r="N244" s="30">
        <v>5</v>
      </c>
      <c r="O244" s="30">
        <v>3</v>
      </c>
      <c r="P244" s="30" t="str">
        <v>'2-2</v>
      </c>
      <c r="Q244" s="30" t="str">
        <v>No</v>
      </c>
      <c r="R244" s="30" t="str">
        <v>No</v>
      </c>
      <c r="S244" s="30" t="str">
        <v>Goal</v>
      </c>
      <c r="T244" s="30" t="str">
        <f t="shared" si="9"/>
        <v>2-2</v>
      </c>
      <c r="U244" s="30">
        <f t="shared" si="10"/>
        <v>2</v>
      </c>
      <c r="V244" s="30">
        <f t="shared" si="11"/>
        <v>2</v>
      </c>
      <c r="X244" s="12">
        <v>242</v>
      </c>
      <c r="Y244" s="12" t="str">
        <v>Wilguens Paugain</v>
      </c>
      <c r="Z244" s="12">
        <v>24</v>
      </c>
      <c r="AA244" s="12" t="str">
        <v>Haiti</v>
      </c>
      <c r="AB244" s="12" t="str">
        <v>CB</v>
      </c>
      <c r="AC244" s="12" t="str">
        <v>Zulte Waregem</v>
      </c>
      <c r="AD244" s="12">
        <v>24</v>
      </c>
      <c r="AF244" s="42">
        <v>1974</v>
      </c>
      <c r="AG244" s="42" t="str">
        <v xml:space="preserve">18 Jun 1974 - 19:30 </v>
      </c>
      <c r="AH244" s="42" t="str">
        <v>GROUP_STAGE</v>
      </c>
      <c r="AI244" s="42" t="str">
        <v>Waldstadion</v>
      </c>
      <c r="AJ244" s="42" t="str">
        <v xml:space="preserve">Frankfurt/Main </v>
      </c>
      <c r="AK244" s="42" t="str">
        <v>Scotland</v>
      </c>
      <c r="AL244" s="42">
        <v>0</v>
      </c>
      <c r="AM244" s="42">
        <v>0</v>
      </c>
      <c r="AN244" s="42" t="str">
        <v>Brazil</v>
      </c>
      <c r="AO244" s="42" t="str">
        <v>-</v>
      </c>
    </row>
    <row r="245" spans="7:41">
      <c r="G245" s="30">
        <v>2018</v>
      </c>
      <c r="H245" s="30" t="str">
        <v>ROUND_OF_16</v>
      </c>
      <c r="I245" s="30" t="str">
        <v>Colombia</v>
      </c>
      <c r="J245" s="30" t="str">
        <v>England</v>
      </c>
      <c r="K245" s="30" t="str">
        <v>England</v>
      </c>
      <c r="L245" s="30" t="str">
        <v>Jordan Henderson</v>
      </c>
      <c r="M245" s="30" t="str">
        <v>David Ospina</v>
      </c>
      <c r="N245" s="30">
        <v>6</v>
      </c>
      <c r="O245" s="30">
        <v>3</v>
      </c>
      <c r="P245" s="30" t="str">
        <v>'2-3</v>
      </c>
      <c r="Q245" s="30" t="str">
        <v>No</v>
      </c>
      <c r="R245" s="30" t="str">
        <v>No</v>
      </c>
      <c r="S245" s="30" t="str">
        <v>Saved</v>
      </c>
      <c r="T245" s="30" t="str">
        <f t="shared" si="9"/>
        <v>2-3</v>
      </c>
      <c r="U245" s="30">
        <f t="shared" si="10"/>
        <v>2</v>
      </c>
      <c r="V245" s="30">
        <f t="shared" si="11"/>
        <v>3</v>
      </c>
      <c r="X245" s="12">
        <v>243</v>
      </c>
      <c r="Y245" s="12" t="str">
        <v>Martin Expérience</v>
      </c>
      <c r="Z245" s="12">
        <v>27</v>
      </c>
      <c r="AA245" s="12" t="str">
        <v>Haiti</v>
      </c>
      <c r="AB245" s="12" t="str">
        <v>LB</v>
      </c>
      <c r="AC245" s="12" t="str">
        <v>Nancy</v>
      </c>
      <c r="AD245" s="12">
        <v>8</v>
      </c>
      <c r="AF245" s="42">
        <v>1974</v>
      </c>
      <c r="AG245" s="42" t="str">
        <v xml:space="preserve">18 Jun 1974 - 19:30 </v>
      </c>
      <c r="AH245" s="42" t="str">
        <v>GROUP_STAGE</v>
      </c>
      <c r="AI245" s="42" t="str">
        <v>Olympiastadion</v>
      </c>
      <c r="AJ245" s="42" t="str">
        <v xml:space="preserve">Berlin West </v>
      </c>
      <c r="AK245" s="42" t="str">
        <v>Chile</v>
      </c>
      <c r="AL245" s="42">
        <v>1</v>
      </c>
      <c r="AM245" s="42">
        <v>1</v>
      </c>
      <c r="AN245" s="42" t="str">
        <v>DR Germany</v>
      </c>
      <c r="AO245" s="42" t="str">
        <v>-</v>
      </c>
    </row>
    <row r="246" spans="7:41">
      <c r="G246" s="30">
        <v>2018</v>
      </c>
      <c r="H246" s="30" t="str">
        <v>ROUND_OF_16</v>
      </c>
      <c r="I246" s="30" t="str">
        <v>Colombia</v>
      </c>
      <c r="J246" s="30" t="str">
        <v>England</v>
      </c>
      <c r="K246" s="30" t="str">
        <v>Colombia</v>
      </c>
      <c r="L246" s="30" t="str">
        <v>Mateus Uribe</v>
      </c>
      <c r="M246" s="30" t="str">
        <v>Jordan Pickford</v>
      </c>
      <c r="N246" s="30">
        <v>7</v>
      </c>
      <c r="O246" s="30">
        <v>4</v>
      </c>
      <c r="P246" s="30" t="str">
        <v>'2-3</v>
      </c>
      <c r="Q246" s="30" t="str">
        <v>No</v>
      </c>
      <c r="R246" s="30" t="str">
        <v>No</v>
      </c>
      <c r="S246" s="30" t="str">
        <v>Missed</v>
      </c>
      <c r="T246" s="30" t="str">
        <f t="shared" si="9"/>
        <v>2-3</v>
      </c>
      <c r="U246" s="30">
        <f t="shared" si="10"/>
        <v>2</v>
      </c>
      <c r="V246" s="30">
        <f t="shared" si="11"/>
        <v>3</v>
      </c>
      <c r="X246" s="12">
        <v>244</v>
      </c>
      <c r="Y246" s="12" t="str">
        <v>Duke Lacroix</v>
      </c>
      <c r="Z246" s="12">
        <v>32</v>
      </c>
      <c r="AA246" s="12" t="str">
        <v>Haiti</v>
      </c>
      <c r="AB246" s="12" t="str">
        <v>LB</v>
      </c>
      <c r="AC246" s="12" t="str">
        <v>Colorado Springs Switchbacks FC</v>
      </c>
      <c r="AD246" s="12">
        <v>13</v>
      </c>
      <c r="AF246" s="42">
        <v>1974</v>
      </c>
      <c r="AG246" s="42" t="str">
        <v xml:space="preserve">18 Jun 1974 - 19:30 </v>
      </c>
      <c r="AH246" s="42" t="str">
        <v>GROUP_STAGE</v>
      </c>
      <c r="AI246" s="42" t="str">
        <v>Parkstadion</v>
      </c>
      <c r="AJ246" s="42" t="str">
        <v xml:space="preserve">Gelsenkirchen </v>
      </c>
      <c r="AK246" s="42" t="str">
        <v>Yugoslavia</v>
      </c>
      <c r="AL246" s="42">
        <v>9</v>
      </c>
      <c r="AM246" s="42">
        <v>0</v>
      </c>
      <c r="AN246" s="42" t="str">
        <v>Zaire</v>
      </c>
      <c r="AO246" s="42" t="str">
        <v>-</v>
      </c>
    </row>
    <row r="247" spans="7:41">
      <c r="G247" s="30">
        <v>2018</v>
      </c>
      <c r="H247" s="30" t="str">
        <v>ROUND_OF_16</v>
      </c>
      <c r="I247" s="30" t="str">
        <v>Colombia</v>
      </c>
      <c r="J247" s="30" t="str">
        <v>England</v>
      </c>
      <c r="K247" s="30" t="str">
        <v>England</v>
      </c>
      <c r="L247" s="30" t="str">
        <v>Kieran Trippier</v>
      </c>
      <c r="M247" s="30" t="str">
        <v>David Ospina</v>
      </c>
      <c r="N247" s="30">
        <v>8</v>
      </c>
      <c r="O247" s="30">
        <v>4</v>
      </c>
      <c r="P247" s="30" t="str">
        <v>'2-3</v>
      </c>
      <c r="Q247" s="30" t="str">
        <v>No</v>
      </c>
      <c r="R247" s="30" t="str">
        <v>No</v>
      </c>
      <c r="S247" s="30" t="str">
        <v>Goal</v>
      </c>
      <c r="T247" s="30" t="str">
        <f t="shared" si="9"/>
        <v>2-3</v>
      </c>
      <c r="U247" s="30">
        <f t="shared" si="10"/>
        <v>2</v>
      </c>
      <c r="V247" s="30">
        <f t="shared" si="11"/>
        <v>3</v>
      </c>
      <c r="X247" s="12">
        <v>245</v>
      </c>
      <c r="Y247" s="12" t="str">
        <v>Carlens Arcus</v>
      </c>
      <c r="Z247" s="12">
        <v>29</v>
      </c>
      <c r="AA247" s="12" t="str">
        <v>Haiti</v>
      </c>
      <c r="AB247" s="12" t="str">
        <v>RB</v>
      </c>
      <c r="AC247" s="12" t="str">
        <v>Angers</v>
      </c>
      <c r="AD247" s="12">
        <v>2</v>
      </c>
      <c r="AF247" s="42">
        <v>1974</v>
      </c>
      <c r="AG247" s="42" t="str">
        <v xml:space="preserve">19 Jun 1974 - 19:30 </v>
      </c>
      <c r="AH247" s="42" t="str">
        <v>GROUP_STAGE</v>
      </c>
      <c r="AI247" s="42" t="str">
        <v>Westfalenstadion</v>
      </c>
      <c r="AJ247" s="42" t="str">
        <v xml:space="preserve">Dortmund </v>
      </c>
      <c r="AK247" s="42" t="str">
        <v>Netherlands</v>
      </c>
      <c r="AL247" s="42">
        <v>0</v>
      </c>
      <c r="AM247" s="42">
        <v>0</v>
      </c>
      <c r="AN247" s="42" t="str">
        <v>Sweden</v>
      </c>
      <c r="AO247" s="42" t="str">
        <v>-</v>
      </c>
    </row>
    <row r="248" spans="7:41">
      <c r="G248" s="30">
        <v>2018</v>
      </c>
      <c r="H248" s="30" t="str">
        <v>ROUND_OF_16</v>
      </c>
      <c r="I248" s="30" t="str">
        <v>Colombia</v>
      </c>
      <c r="J248" s="30" t="str">
        <v>England</v>
      </c>
      <c r="K248" s="30" t="str">
        <v>Colombia</v>
      </c>
      <c r="L248" s="30" t="str">
        <v>Carlos Bacca</v>
      </c>
      <c r="M248" s="30" t="str">
        <v>Jordan Pickford</v>
      </c>
      <c r="N248" s="30">
        <v>9</v>
      </c>
      <c r="O248" s="30">
        <v>5</v>
      </c>
      <c r="P248" s="30" t="str">
        <v>'3-3</v>
      </c>
      <c r="Q248" s="30" t="str">
        <v>No</v>
      </c>
      <c r="R248" s="30" t="str">
        <v>No</v>
      </c>
      <c r="S248" s="30" t="str">
        <v>Saved</v>
      </c>
      <c r="T248" s="30" t="str">
        <f t="shared" si="9"/>
        <v>3-3</v>
      </c>
      <c r="U248" s="30">
        <f t="shared" si="10"/>
        <v>3</v>
      </c>
      <c r="V248" s="30">
        <f t="shared" si="11"/>
        <v>3</v>
      </c>
      <c r="X248" s="12">
        <v>246</v>
      </c>
      <c r="Y248" s="12" t="str">
        <v>Keeto Thermoncy</v>
      </c>
      <c r="Z248" s="12">
        <v>20</v>
      </c>
      <c r="AA248" s="12" t="str">
        <v>Haiti</v>
      </c>
      <c r="AB248" s="12" t="str">
        <v>RB</v>
      </c>
      <c r="AC248" s="12" t="str">
        <v>Young Boys</v>
      </c>
      <c r="AD248" s="12">
        <v>3</v>
      </c>
      <c r="AF248" s="42">
        <v>1974</v>
      </c>
      <c r="AG248" s="42" t="str">
        <v xml:space="preserve">19 Jun 1974 - 19:30 </v>
      </c>
      <c r="AH248" s="42" t="str">
        <v>GROUP_STAGE</v>
      </c>
      <c r="AI248" s="42" t="str">
        <v>Niedersachsenstadion</v>
      </c>
      <c r="AJ248" s="42" t="str">
        <v xml:space="preserve">Hanover </v>
      </c>
      <c r="AK248" s="42" t="str">
        <v>Bulgaria</v>
      </c>
      <c r="AL248" s="42">
        <v>1</v>
      </c>
      <c r="AM248" s="42">
        <v>1</v>
      </c>
      <c r="AN248" s="42" t="str">
        <v>Uruguay</v>
      </c>
      <c r="AO248" s="42" t="str">
        <v>-</v>
      </c>
    </row>
    <row r="249" spans="7:41">
      <c r="G249" s="30">
        <v>2018</v>
      </c>
      <c r="H249" s="30" t="str">
        <v>ROUND_OF_16</v>
      </c>
      <c r="I249" s="30" t="str">
        <v>Colombia</v>
      </c>
      <c r="J249" s="30" t="str">
        <v>England</v>
      </c>
      <c r="K249" s="30" t="str">
        <v>England</v>
      </c>
      <c r="L249" s="30" t="str">
        <v>Eric Dier</v>
      </c>
      <c r="M249" s="30" t="str">
        <v>David Ospina</v>
      </c>
      <c r="N249" s="30">
        <v>10</v>
      </c>
      <c r="O249" s="30">
        <v>5</v>
      </c>
      <c r="P249" s="30" t="str">
        <v>'3-3</v>
      </c>
      <c r="Q249" s="30" t="str">
        <v>No</v>
      </c>
      <c r="R249" s="30" t="str">
        <v>Yes</v>
      </c>
      <c r="S249" s="30" t="str">
        <v>Goal</v>
      </c>
      <c r="T249" s="30" t="str">
        <f t="shared" si="9"/>
        <v>3-3</v>
      </c>
      <c r="U249" s="30">
        <f t="shared" si="10"/>
        <v>3</v>
      </c>
      <c r="V249" s="30">
        <f t="shared" si="11"/>
        <v>3</v>
      </c>
      <c r="X249" s="12">
        <v>247</v>
      </c>
      <c r="Y249" s="12" t="str">
        <v>Carl Sainté</v>
      </c>
      <c r="Z249" s="12">
        <v>23</v>
      </c>
      <c r="AA249" s="12" t="str">
        <v>Haiti</v>
      </c>
      <c r="AB249" s="12" t="str">
        <v>CDM</v>
      </c>
      <c r="AC249" s="12" t="str">
        <v>El Paso Locomotive FC</v>
      </c>
      <c r="AD249" s="12">
        <v>6</v>
      </c>
      <c r="AF249" s="42">
        <v>1974</v>
      </c>
      <c r="AG249" s="42" t="str">
        <v xml:space="preserve">19 Jun 1974 - 19:30 </v>
      </c>
      <c r="AH249" s="42" t="str">
        <v>GROUP_STAGE</v>
      </c>
      <c r="AI249" s="42" t="str">
        <v>Olympiastadion</v>
      </c>
      <c r="AJ249" s="42" t="str">
        <v xml:space="preserve">Munich </v>
      </c>
      <c r="AK249" s="42" t="str">
        <v>Haiti</v>
      </c>
      <c r="AL249" s="42">
        <v>0</v>
      </c>
      <c r="AM249" s="42">
        <v>7</v>
      </c>
      <c r="AN249" s="42" t="str">
        <v>Poland</v>
      </c>
      <c r="AO249" s="42" t="str">
        <v>-</v>
      </c>
    </row>
    <row r="250" spans="7:41">
      <c r="G250" s="30">
        <v>2018</v>
      </c>
      <c r="H250" s="30" t="str">
        <v>ROUND_OF_16</v>
      </c>
      <c r="I250" s="30" t="str">
        <v>Croatia</v>
      </c>
      <c r="J250" s="30" t="str">
        <v>Denmark</v>
      </c>
      <c r="K250" s="30" t="str">
        <v>Denmark</v>
      </c>
      <c r="L250" s="30" t="str">
        <v>Christian Eriksen</v>
      </c>
      <c r="M250" s="30" t="str">
        <v>Danijel Subašić</v>
      </c>
      <c r="N250" s="30">
        <v>1</v>
      </c>
      <c r="O250" s="30">
        <v>1</v>
      </c>
      <c r="P250" s="30" t="str">
        <v>'0-0</v>
      </c>
      <c r="Q250" s="30" t="str">
        <v>No</v>
      </c>
      <c r="R250" s="30" t="str">
        <v>No</v>
      </c>
      <c r="S250" s="30" t="str">
        <v>Saved</v>
      </c>
      <c r="T250" s="30" t="str">
        <f t="shared" si="9"/>
        <v>0-0</v>
      </c>
      <c r="U250" s="30">
        <f t="shared" si="10"/>
        <v>0</v>
      </c>
      <c r="V250" s="30">
        <f t="shared" si="11"/>
        <v>0</v>
      </c>
      <c r="X250" s="12">
        <v>248</v>
      </c>
      <c r="Y250" s="12" t="str">
        <v>Danley Jean Jacques</v>
      </c>
      <c r="Z250" s="12">
        <v>26</v>
      </c>
      <c r="AA250" s="12" t="str">
        <v>Haiti</v>
      </c>
      <c r="AB250" s="12" t="str">
        <v>CDM</v>
      </c>
      <c r="AC250" s="12" t="str">
        <v>Philadelphia Union</v>
      </c>
      <c r="AD250" s="12">
        <v>17</v>
      </c>
      <c r="AF250" s="42">
        <v>1974</v>
      </c>
      <c r="AG250" s="42" t="str">
        <v xml:space="preserve">19 Jun 1974 - 19:30 </v>
      </c>
      <c r="AH250" s="42" t="str">
        <v>GROUP_STAGE</v>
      </c>
      <c r="AI250" s="42" t="str">
        <v>Neckarstadion</v>
      </c>
      <c r="AJ250" s="42" t="str">
        <v xml:space="preserve">Stuttgart </v>
      </c>
      <c r="AK250" s="42" t="str">
        <v>Argentina</v>
      </c>
      <c r="AL250" s="42">
        <v>1</v>
      </c>
      <c r="AM250" s="42">
        <v>1</v>
      </c>
      <c r="AN250" s="42" t="str">
        <v>Italy</v>
      </c>
      <c r="AO250" s="42" t="str">
        <v>-</v>
      </c>
    </row>
    <row r="251" spans="7:41">
      <c r="G251" s="30">
        <v>2018</v>
      </c>
      <c r="H251" s="30" t="str">
        <v>ROUND_OF_16</v>
      </c>
      <c r="I251" s="30" t="str">
        <v>Croatia</v>
      </c>
      <c r="J251" s="30" t="str">
        <v>Denmark</v>
      </c>
      <c r="K251" s="30" t="str">
        <v>Croatia</v>
      </c>
      <c r="L251" s="30" t="str">
        <v>Milan Badelj</v>
      </c>
      <c r="M251" s="30" t="str">
        <v>Kasper Schmeichel</v>
      </c>
      <c r="N251" s="30">
        <v>2</v>
      </c>
      <c r="O251" s="30">
        <v>1</v>
      </c>
      <c r="P251" s="30" t="str">
        <v>'0-0</v>
      </c>
      <c r="Q251" s="30" t="str">
        <v>No</v>
      </c>
      <c r="R251" s="30" t="str">
        <v>No</v>
      </c>
      <c r="S251" s="30" t="str">
        <v>Saved</v>
      </c>
      <c r="T251" s="30" t="str">
        <f t="shared" si="9"/>
        <v>0-0</v>
      </c>
      <c r="U251" s="30">
        <f t="shared" si="10"/>
        <v>0</v>
      </c>
      <c r="V251" s="30">
        <f t="shared" si="11"/>
        <v>0</v>
      </c>
      <c r="X251" s="12">
        <v>249</v>
      </c>
      <c r="Y251" s="12" t="str">
        <v>Dominique Simon</v>
      </c>
      <c r="Z251" s="12">
        <v>25</v>
      </c>
      <c r="AA251" s="12" t="str">
        <v>Haiti</v>
      </c>
      <c r="AB251" s="12" t="str">
        <v>CM</v>
      </c>
      <c r="AC251" s="12" t="str">
        <v>Tatran Prešov</v>
      </c>
      <c r="AD251" s="12">
        <v>25</v>
      </c>
      <c r="AF251" s="42">
        <v>1974</v>
      </c>
      <c r="AG251" s="42" t="str">
        <v xml:space="preserve">22 Jun 1974 - 16:00 </v>
      </c>
      <c r="AH251" s="42" t="str">
        <v>GROUP_STAGE</v>
      </c>
      <c r="AI251" s="42" t="str">
        <v>Waldstadion</v>
      </c>
      <c r="AJ251" s="42" t="str">
        <v xml:space="preserve">Frankfurt/Main </v>
      </c>
      <c r="AK251" s="42" t="str">
        <v>Scotland</v>
      </c>
      <c r="AL251" s="42">
        <v>1</v>
      </c>
      <c r="AM251" s="42">
        <v>1</v>
      </c>
      <c r="AN251" s="42" t="str">
        <v>Yugoslavia</v>
      </c>
      <c r="AO251" s="42" t="str">
        <v>-</v>
      </c>
    </row>
    <row r="252" spans="7:41">
      <c r="G252" s="30">
        <v>2018</v>
      </c>
      <c r="H252" s="30" t="str">
        <v>ROUND_OF_16</v>
      </c>
      <c r="I252" s="30" t="str">
        <v>Croatia</v>
      </c>
      <c r="J252" s="30" t="str">
        <v>Denmark</v>
      </c>
      <c r="K252" s="30" t="str">
        <v>Denmark</v>
      </c>
      <c r="L252" s="30" t="str">
        <v>Simon Kjær</v>
      </c>
      <c r="M252" s="30" t="str">
        <v>Danijel Subašić</v>
      </c>
      <c r="N252" s="30">
        <v>3</v>
      </c>
      <c r="O252" s="30">
        <v>2</v>
      </c>
      <c r="P252" s="30" t="str">
        <v>'0-0</v>
      </c>
      <c r="Q252" s="30" t="str">
        <v>No</v>
      </c>
      <c r="R252" s="30" t="str">
        <v>No</v>
      </c>
      <c r="S252" s="30" t="str">
        <v>Goal</v>
      </c>
      <c r="T252" s="30" t="str">
        <f t="shared" si="9"/>
        <v>0-0</v>
      </c>
      <c r="U252" s="30">
        <f t="shared" si="10"/>
        <v>0</v>
      </c>
      <c r="V252" s="30">
        <f t="shared" si="11"/>
        <v>0</v>
      </c>
      <c r="X252" s="12">
        <v>250</v>
      </c>
      <c r="Y252" s="12" t="str">
        <v>Woodensky Pierre</v>
      </c>
      <c r="Z252" s="12">
        <v>21</v>
      </c>
      <c r="AA252" s="12" t="str">
        <v>Haiti</v>
      </c>
      <c r="AB252" s="12" t="str">
        <v>CM</v>
      </c>
      <c r="AC252" s="12" t="str">
        <v>Violette</v>
      </c>
      <c r="AD252" s="12">
        <v>26</v>
      </c>
      <c r="AF252" s="42">
        <v>1974</v>
      </c>
      <c r="AG252" s="42" t="str">
        <v xml:space="preserve">22 Jun 1974 - 16:00 </v>
      </c>
      <c r="AH252" s="42" t="str">
        <v>GROUP_STAGE</v>
      </c>
      <c r="AI252" s="42" t="str">
        <v>Olympiastadion</v>
      </c>
      <c r="AJ252" s="42" t="str">
        <v xml:space="preserve">Berlin West </v>
      </c>
      <c r="AK252" s="42" t="str">
        <v>Australia</v>
      </c>
      <c r="AL252" s="42">
        <v>0</v>
      </c>
      <c r="AM252" s="42">
        <v>0</v>
      </c>
      <c r="AN252" s="42" t="str">
        <v>Chile</v>
      </c>
      <c r="AO252" s="42" t="str">
        <v>-</v>
      </c>
    </row>
    <row r="253" spans="7:41">
      <c r="G253" s="30">
        <v>2018</v>
      </c>
      <c r="H253" s="30" t="str">
        <v>ROUND_OF_16</v>
      </c>
      <c r="I253" s="30" t="str">
        <v>Croatia</v>
      </c>
      <c r="J253" s="30" t="str">
        <v>Denmark</v>
      </c>
      <c r="K253" s="30" t="str">
        <v>Croatia</v>
      </c>
      <c r="L253" s="30" t="str">
        <v>Andrej Kramarić</v>
      </c>
      <c r="M253" s="30" t="str">
        <v>Kasper Schmeichel</v>
      </c>
      <c r="N253" s="30">
        <v>4</v>
      </c>
      <c r="O253" s="30">
        <v>2</v>
      </c>
      <c r="P253" s="30" t="str">
        <v>'0-1</v>
      </c>
      <c r="Q253" s="30" t="str">
        <v>No</v>
      </c>
      <c r="R253" s="30" t="str">
        <v>No</v>
      </c>
      <c r="S253" s="30" t="str">
        <v>Goal</v>
      </c>
      <c r="T253" s="30" t="str">
        <f t="shared" si="9"/>
        <v>0-1</v>
      </c>
      <c r="U253" s="30">
        <f t="shared" si="10"/>
        <v>0</v>
      </c>
      <c r="V253" s="30">
        <f t="shared" si="11"/>
        <v>1</v>
      </c>
      <c r="X253" s="12">
        <v>251</v>
      </c>
      <c r="Y253" s="12" t="str">
        <v>Jean-Ricner Bellegarde</v>
      </c>
      <c r="Z253" s="12">
        <v>27</v>
      </c>
      <c r="AA253" s="12" t="str">
        <v>Haiti</v>
      </c>
      <c r="AB253" s="12" t="str">
        <v>CAM</v>
      </c>
      <c r="AC253" s="12" t="str">
        <v>Wolverhampton Wanderers</v>
      </c>
      <c r="AD253" s="12">
        <v>10</v>
      </c>
      <c r="AF253" s="42">
        <v>1974</v>
      </c>
      <c r="AG253" s="42" t="str">
        <v xml:space="preserve">22 Jun 1974 - 16:00 </v>
      </c>
      <c r="AH253" s="42" t="str">
        <v>GROUP_STAGE</v>
      </c>
      <c r="AI253" s="42" t="str">
        <v>Parkstadion</v>
      </c>
      <c r="AJ253" s="42" t="str">
        <v xml:space="preserve">Gelsenkirchen </v>
      </c>
      <c r="AK253" s="42" t="str">
        <v>Zaire</v>
      </c>
      <c r="AL253" s="42">
        <v>0</v>
      </c>
      <c r="AM253" s="42">
        <v>3</v>
      </c>
      <c r="AN253" s="42" t="str">
        <v>Brazil</v>
      </c>
      <c r="AO253" s="42" t="str">
        <v>-</v>
      </c>
    </row>
    <row r="254" spans="7:41">
      <c r="G254" s="30">
        <v>2018</v>
      </c>
      <c r="H254" s="30" t="str">
        <v>ROUND_OF_16</v>
      </c>
      <c r="I254" s="30" t="str">
        <v>Croatia</v>
      </c>
      <c r="J254" s="30" t="str">
        <v>Denmark</v>
      </c>
      <c r="K254" s="30" t="str">
        <v>Denmark</v>
      </c>
      <c r="L254" s="30" t="str">
        <v>Michael Krohn-Dehli</v>
      </c>
      <c r="M254" s="30" t="str">
        <v>Danijel Subašić</v>
      </c>
      <c r="N254" s="30">
        <v>5</v>
      </c>
      <c r="O254" s="30">
        <v>3</v>
      </c>
      <c r="P254" s="30" t="str">
        <v>'1-1</v>
      </c>
      <c r="Q254" s="30" t="str">
        <v>No</v>
      </c>
      <c r="R254" s="30" t="str">
        <v>No</v>
      </c>
      <c r="S254" s="30" t="str">
        <v>Goal</v>
      </c>
      <c r="T254" s="30" t="str">
        <f t="shared" si="9"/>
        <v>1-1</v>
      </c>
      <c r="U254" s="30">
        <f t="shared" si="10"/>
        <v>1</v>
      </c>
      <c r="V254" s="30">
        <f t="shared" si="11"/>
        <v>1</v>
      </c>
      <c r="X254" s="12">
        <v>252</v>
      </c>
      <c r="Y254" s="12" t="str">
        <v>Derrick Etienne Jr.</v>
      </c>
      <c r="Z254" s="12">
        <v>29</v>
      </c>
      <c r="AA254" s="12" t="str">
        <v>Haiti</v>
      </c>
      <c r="AB254" s="12" t="str">
        <v>LW</v>
      </c>
      <c r="AC254" s="12" t="str">
        <v>Toronto FC</v>
      </c>
      <c r="AD254" s="12">
        <v>7</v>
      </c>
      <c r="AF254" s="42">
        <v>1974</v>
      </c>
      <c r="AG254" s="42" t="str">
        <v xml:space="preserve">22 June 1974 - 19:30 </v>
      </c>
      <c r="AH254" s="42" t="str">
        <v>GROUP_STAGE</v>
      </c>
      <c r="AI254" s="42" t="str">
        <v>Volksparkstadion</v>
      </c>
      <c r="AJ254" s="42" t="str">
        <v xml:space="preserve">Hamburg </v>
      </c>
      <c r="AK254" s="42" t="str">
        <v>DR Germany</v>
      </c>
      <c r="AL254" s="42">
        <v>1</v>
      </c>
      <c r="AM254" s="42">
        <v>0</v>
      </c>
      <c r="AN254" s="42" t="str">
        <v>FR Germany</v>
      </c>
      <c r="AO254" s="42" t="str">
        <v>-</v>
      </c>
    </row>
    <row r="255" spans="7:41">
      <c r="G255" s="30">
        <v>2018</v>
      </c>
      <c r="H255" s="30" t="str">
        <v>ROUND_OF_16</v>
      </c>
      <c r="I255" s="30" t="str">
        <v>Croatia</v>
      </c>
      <c r="J255" s="30" t="str">
        <v>Denmark</v>
      </c>
      <c r="K255" s="30" t="str">
        <v>Croatia</v>
      </c>
      <c r="L255" s="30" t="str">
        <v>Luka Modrić</v>
      </c>
      <c r="M255" s="30" t="str">
        <v>Kasper Schmeichel</v>
      </c>
      <c r="N255" s="30">
        <v>6</v>
      </c>
      <c r="O255" s="30">
        <v>3</v>
      </c>
      <c r="P255" s="30" t="str">
        <v>'2-1</v>
      </c>
      <c r="Q255" s="30" t="str">
        <v>No</v>
      </c>
      <c r="R255" s="30" t="str">
        <v>No</v>
      </c>
      <c r="S255" s="30" t="str">
        <v>Goal</v>
      </c>
      <c r="T255" s="30" t="str">
        <f t="shared" si="9"/>
        <v>2-1</v>
      </c>
      <c r="U255" s="30">
        <f t="shared" si="10"/>
        <v>2</v>
      </c>
      <c r="V255" s="30">
        <f t="shared" si="11"/>
        <v>1</v>
      </c>
      <c r="X255" s="12">
        <v>253</v>
      </c>
      <c r="Y255" s="12" t="str">
        <v>Ruben Providence</v>
      </c>
      <c r="Z255" s="12">
        <v>24</v>
      </c>
      <c r="AA255" s="12" t="str">
        <v>Haiti</v>
      </c>
      <c r="AB255" s="12" t="str">
        <v>LW</v>
      </c>
      <c r="AC255" s="12" t="str">
        <v>Almere City</v>
      </c>
      <c r="AD255" s="12">
        <v>15</v>
      </c>
      <c r="AF255" s="42">
        <v>1974</v>
      </c>
      <c r="AG255" s="42" t="str">
        <v xml:space="preserve">23 Jun 1974 - 16:00 </v>
      </c>
      <c r="AH255" s="42" t="str">
        <v>GROUP_STAGE</v>
      </c>
      <c r="AI255" s="42" t="str">
        <v>Westfalenstadion</v>
      </c>
      <c r="AJ255" s="42" t="str">
        <v xml:space="preserve">Dortmund </v>
      </c>
      <c r="AK255" s="42" t="str">
        <v>Bulgaria</v>
      </c>
      <c r="AL255" s="42">
        <v>1</v>
      </c>
      <c r="AM255" s="42">
        <v>4</v>
      </c>
      <c r="AN255" s="42" t="str">
        <v>Netherlands</v>
      </c>
      <c r="AO255" s="42" t="str">
        <v>-</v>
      </c>
    </row>
    <row r="256" spans="7:41">
      <c r="G256" s="30">
        <v>2018</v>
      </c>
      <c r="H256" s="30" t="str">
        <v>ROUND_OF_16</v>
      </c>
      <c r="I256" s="30" t="str">
        <v>Croatia</v>
      </c>
      <c r="J256" s="30" t="str">
        <v>Denmark</v>
      </c>
      <c r="K256" s="30" t="str">
        <v>Denmark</v>
      </c>
      <c r="L256" s="30" t="str">
        <v>Lasse Schöne</v>
      </c>
      <c r="M256" s="30" t="str">
        <v>Danijel Subašić</v>
      </c>
      <c r="N256" s="30">
        <v>7</v>
      </c>
      <c r="O256" s="30">
        <v>4</v>
      </c>
      <c r="P256" s="30" t="str">
        <v>'2-2</v>
      </c>
      <c r="Q256" s="30" t="str">
        <v>No</v>
      </c>
      <c r="R256" s="30" t="str">
        <v>No</v>
      </c>
      <c r="S256" s="30" t="str">
        <v>Saved</v>
      </c>
      <c r="T256" s="30" t="str">
        <f t="shared" si="9"/>
        <v>2-2</v>
      </c>
      <c r="U256" s="30">
        <f t="shared" si="10"/>
        <v>2</v>
      </c>
      <c r="V256" s="30">
        <f t="shared" si="11"/>
        <v>2</v>
      </c>
      <c r="X256" s="12">
        <v>254</v>
      </c>
      <c r="Y256" s="12" t="str">
        <v>Yassin Fortuné</v>
      </c>
      <c r="Z256" s="12">
        <v>27</v>
      </c>
      <c r="AA256" s="12" t="str">
        <v>Haiti</v>
      </c>
      <c r="AB256" s="12" t="str">
        <v>LW</v>
      </c>
      <c r="AC256" s="12" t="str">
        <v>Vizela</v>
      </c>
      <c r="AD256" s="12">
        <v>19</v>
      </c>
      <c r="AF256" s="42">
        <v>1974</v>
      </c>
      <c r="AG256" s="42" t="str">
        <v xml:space="preserve">23 Jun 1974 - 16:00 </v>
      </c>
      <c r="AH256" s="42" t="str">
        <v>GROUP_STAGE</v>
      </c>
      <c r="AI256" s="42" t="str">
        <v>Olympiastadion</v>
      </c>
      <c r="AJ256" s="42" t="str">
        <v xml:space="preserve">Munich </v>
      </c>
      <c r="AK256" s="42" t="str">
        <v>Argentina</v>
      </c>
      <c r="AL256" s="42">
        <v>4</v>
      </c>
      <c r="AM256" s="42">
        <v>1</v>
      </c>
      <c r="AN256" s="42" t="str">
        <v>Haiti</v>
      </c>
      <c r="AO256" s="42" t="str">
        <v>-</v>
      </c>
    </row>
    <row r="257" spans="7:41">
      <c r="G257" s="30">
        <v>2018</v>
      </c>
      <c r="H257" s="30" t="str">
        <v>ROUND_OF_16</v>
      </c>
      <c r="I257" s="30" t="str">
        <v>Croatia</v>
      </c>
      <c r="J257" s="30" t="str">
        <v>Denmark</v>
      </c>
      <c r="K257" s="30" t="str">
        <v>Croatia</v>
      </c>
      <c r="L257" s="30" t="str">
        <v>Josip Pivarić</v>
      </c>
      <c r="M257" s="30" t="str">
        <v>Kasper Schmeichel</v>
      </c>
      <c r="N257" s="30">
        <v>8</v>
      </c>
      <c r="O257" s="30">
        <v>4</v>
      </c>
      <c r="P257" s="30" t="str">
        <v>'2-2</v>
      </c>
      <c r="Q257" s="30" t="str">
        <v>No</v>
      </c>
      <c r="R257" s="30" t="str">
        <v>No</v>
      </c>
      <c r="S257" s="30" t="str">
        <v>Saved</v>
      </c>
      <c r="T257" s="30" t="str">
        <f t="shared" si="9"/>
        <v>2-2</v>
      </c>
      <c r="U257" s="30">
        <f t="shared" si="10"/>
        <v>2</v>
      </c>
      <c r="V257" s="30">
        <f t="shared" si="11"/>
        <v>2</v>
      </c>
      <c r="X257" s="12">
        <v>255</v>
      </c>
      <c r="Y257" s="12" t="str">
        <v>Louicius Deedson</v>
      </c>
      <c r="Z257" s="12">
        <v>25</v>
      </c>
      <c r="AA257" s="12" t="str">
        <v>Haiti</v>
      </c>
      <c r="AB257" s="12" t="str">
        <v>RW</v>
      </c>
      <c r="AC257" s="12" t="str">
        <v>FC Dallas</v>
      </c>
      <c r="AD257" s="12">
        <v>11</v>
      </c>
      <c r="AF257" s="42">
        <v>1974</v>
      </c>
      <c r="AG257" s="42" t="str">
        <v xml:space="preserve">23 Jun 1974 - 16:00 </v>
      </c>
      <c r="AH257" s="42" t="str">
        <v>GROUP_STAGE</v>
      </c>
      <c r="AI257" s="42" t="str">
        <v>Rheinstadion</v>
      </c>
      <c r="AJ257" s="42" t="str">
        <v>Düsseldorf</v>
      </c>
      <c r="AK257" s="42" t="str">
        <v>Sweden</v>
      </c>
      <c r="AL257" s="42">
        <v>3</v>
      </c>
      <c r="AM257" s="42">
        <v>0</v>
      </c>
      <c r="AN257" s="42" t="str">
        <v>Uruguay</v>
      </c>
      <c r="AO257" s="42" t="str">
        <v>-</v>
      </c>
    </row>
    <row r="258" spans="7:41">
      <c r="G258" s="30">
        <v>2018</v>
      </c>
      <c r="H258" s="30" t="str">
        <v>ROUND_OF_16</v>
      </c>
      <c r="I258" s="30" t="str">
        <v>Croatia</v>
      </c>
      <c r="J258" s="30" t="str">
        <v>Denmark</v>
      </c>
      <c r="K258" s="30" t="str">
        <v>Denmark</v>
      </c>
      <c r="L258" s="30" t="str">
        <v>Nicolai Jørgensen</v>
      </c>
      <c r="M258" s="30" t="str">
        <v>Danijel Subašić</v>
      </c>
      <c r="N258" s="30">
        <v>9</v>
      </c>
      <c r="O258" s="30">
        <v>5</v>
      </c>
      <c r="P258" s="30" t="str">
        <v>'2-2</v>
      </c>
      <c r="Q258" s="30" t="str">
        <v>No</v>
      </c>
      <c r="R258" s="30" t="str">
        <v>No</v>
      </c>
      <c r="S258" s="30" t="str">
        <v>Saved</v>
      </c>
      <c r="T258" s="30" t="str">
        <f t="shared" si="9"/>
        <v>2-2</v>
      </c>
      <c r="U258" s="30">
        <f t="shared" si="10"/>
        <v>2</v>
      </c>
      <c r="V258" s="30">
        <f t="shared" si="11"/>
        <v>2</v>
      </c>
      <c r="X258" s="12">
        <v>256</v>
      </c>
      <c r="Y258" s="12" t="str">
        <v>Lenny Joseph</v>
      </c>
      <c r="Z258" s="12">
        <v>25</v>
      </c>
      <c r="AA258" s="12" t="str">
        <v>Haiti</v>
      </c>
      <c r="AB258" s="12" t="str">
        <v>RW</v>
      </c>
      <c r="AC258" s="12" t="str">
        <v>Ferencváros</v>
      </c>
      <c r="AD258" s="12">
        <v>16</v>
      </c>
      <c r="AF258" s="42">
        <v>1974</v>
      </c>
      <c r="AG258" s="42" t="str">
        <v xml:space="preserve">23 Jun 1974 - 16:00 </v>
      </c>
      <c r="AH258" s="42" t="str">
        <v>GROUP_STAGE</v>
      </c>
      <c r="AI258" s="42" t="str">
        <v>Neckarstadion</v>
      </c>
      <c r="AJ258" s="42" t="str">
        <v xml:space="preserve">Stuttgart </v>
      </c>
      <c r="AK258" s="42" t="str">
        <v>Poland</v>
      </c>
      <c r="AL258" s="42">
        <v>2</v>
      </c>
      <c r="AM258" s="42">
        <v>1</v>
      </c>
      <c r="AN258" s="42" t="str">
        <v>Italy</v>
      </c>
      <c r="AO258" s="42" t="str">
        <v>-</v>
      </c>
    </row>
    <row r="259" spans="7:41">
      <c r="G259" s="30">
        <v>2018</v>
      </c>
      <c r="H259" s="30" t="str">
        <v>ROUND_OF_16</v>
      </c>
      <c r="I259" s="30" t="str">
        <v>Croatia</v>
      </c>
      <c r="J259" s="30" t="str">
        <v>Denmark</v>
      </c>
      <c r="K259" s="30" t="str">
        <v>Croatia</v>
      </c>
      <c r="L259" s="30" t="str">
        <v>Ivan Rakitić</v>
      </c>
      <c r="M259" s="30" t="str">
        <v>Kasper Schmeichel</v>
      </c>
      <c r="N259" s="30">
        <v>10</v>
      </c>
      <c r="O259" s="30">
        <v>5</v>
      </c>
      <c r="P259" s="30" t="str">
        <v>'2-2</v>
      </c>
      <c r="Q259" s="30" t="str">
        <v>No</v>
      </c>
      <c r="R259" s="30" t="str">
        <v>Yes</v>
      </c>
      <c r="S259" s="30" t="str">
        <v>Goal</v>
      </c>
      <c r="T259" s="30" t="str">
        <f t="shared" ref="T259:T322" si="12">SUBSTITUTE(P259,"'","")</f>
        <v>2-2</v>
      </c>
      <c r="U259" s="30">
        <f t="shared" ref="U259:U322" si="13">VALUE(LEFT(T259,1))</f>
        <v>2</v>
      </c>
      <c r="V259" s="30">
        <f t="shared" ref="V259:V322" si="14">VALUE(RIGHT(T259,1))</f>
        <v>2</v>
      </c>
      <c r="X259" s="12">
        <v>257</v>
      </c>
      <c r="Y259" s="12" t="str">
        <v>Josué Casimir</v>
      </c>
      <c r="Z259" s="12">
        <v>24</v>
      </c>
      <c r="AA259" s="12" t="str">
        <v>Haiti</v>
      </c>
      <c r="AB259" s="12" t="str">
        <v>RW</v>
      </c>
      <c r="AC259" s="12" t="str">
        <v>Auxerre</v>
      </c>
      <c r="AD259" s="12">
        <v>21</v>
      </c>
      <c r="AF259" s="42">
        <v>1974</v>
      </c>
      <c r="AG259" s="42" t="str">
        <v xml:space="preserve">26 Jun 1974 - 16:00 </v>
      </c>
      <c r="AH259" s="42" t="str">
        <v>GROUP_STAGE</v>
      </c>
      <c r="AI259" s="42" t="str">
        <v>Rheinstadion</v>
      </c>
      <c r="AJ259" s="42" t="str">
        <v>Düsseldorf</v>
      </c>
      <c r="AK259" s="42" t="str">
        <v>Yugoslavia</v>
      </c>
      <c r="AL259" s="42">
        <v>0</v>
      </c>
      <c r="AM259" s="42">
        <v>2</v>
      </c>
      <c r="AN259" s="42" t="str">
        <v>FR Germany</v>
      </c>
      <c r="AO259" s="42" t="str">
        <v>-</v>
      </c>
    </row>
    <row r="260" spans="7:41">
      <c r="G260" s="30">
        <v>2018</v>
      </c>
      <c r="H260" s="30" t="str">
        <v>ROUND_OF_16</v>
      </c>
      <c r="I260" s="30" t="str">
        <v>Spain</v>
      </c>
      <c r="J260" s="30" t="str">
        <v>Russia</v>
      </c>
      <c r="K260" s="30" t="str">
        <v>Spain</v>
      </c>
      <c r="L260" s="30" t="str">
        <v>Andrés Iniesta</v>
      </c>
      <c r="M260" s="30" t="str">
        <v>Igor Akinfeev</v>
      </c>
      <c r="N260" s="30">
        <v>1</v>
      </c>
      <c r="O260" s="30">
        <v>1</v>
      </c>
      <c r="P260" s="30" t="str">
        <v>'0-0</v>
      </c>
      <c r="Q260" s="30" t="str">
        <v>No</v>
      </c>
      <c r="R260" s="30" t="str">
        <v>No</v>
      </c>
      <c r="S260" s="30" t="str">
        <v>Goal</v>
      </c>
      <c r="T260" s="30" t="str">
        <f t="shared" si="12"/>
        <v>0-0</v>
      </c>
      <c r="U260" s="30">
        <f t="shared" si="13"/>
        <v>0</v>
      </c>
      <c r="V260" s="30">
        <f t="shared" si="14"/>
        <v>0</v>
      </c>
      <c r="X260" s="12">
        <v>258</v>
      </c>
      <c r="Y260" s="12" t="str">
        <v>Duckens Nazon</v>
      </c>
      <c r="Z260" s="12">
        <v>32</v>
      </c>
      <c r="AA260" s="12" t="str">
        <v>Haiti</v>
      </c>
      <c r="AB260" s="12" t="str">
        <v>ST</v>
      </c>
      <c r="AC260" s="12" t="str">
        <v>Esteghlal</v>
      </c>
      <c r="AD260" s="12">
        <v>9</v>
      </c>
      <c r="AF260" s="42">
        <v>1974</v>
      </c>
      <c r="AG260" s="42" t="str">
        <v xml:space="preserve">26 Jun 1974 - 19:30 </v>
      </c>
      <c r="AH260" s="42" t="str">
        <v>GROUP_STAGE</v>
      </c>
      <c r="AI260" s="42" t="str">
        <v>Niedersachsenstadion</v>
      </c>
      <c r="AJ260" s="42" t="str">
        <v xml:space="preserve">Hanover </v>
      </c>
      <c r="AK260" s="42" t="str">
        <v>Brazil</v>
      </c>
      <c r="AL260" s="42">
        <v>1</v>
      </c>
      <c r="AM260" s="42">
        <v>0</v>
      </c>
      <c r="AN260" s="42" t="str">
        <v>DR Germany</v>
      </c>
      <c r="AO260" s="42" t="str">
        <v>-</v>
      </c>
    </row>
    <row r="261" spans="7:41">
      <c r="G261" s="30">
        <v>2018</v>
      </c>
      <c r="H261" s="30" t="str">
        <v>ROUND_OF_16</v>
      </c>
      <c r="I261" s="30" t="str">
        <v>Spain</v>
      </c>
      <c r="J261" s="30" t="str">
        <v>Russia</v>
      </c>
      <c r="K261" s="30" t="str">
        <v>Russia</v>
      </c>
      <c r="L261" s="30" t="str">
        <v>Fedor Smolov</v>
      </c>
      <c r="M261" s="30" t="str">
        <v>David de Gea</v>
      </c>
      <c r="N261" s="30">
        <v>2</v>
      </c>
      <c r="O261" s="30">
        <v>1</v>
      </c>
      <c r="P261" s="30" t="str">
        <v>'1-0</v>
      </c>
      <c r="Q261" s="30" t="str">
        <v>No</v>
      </c>
      <c r="R261" s="30" t="str">
        <v>No</v>
      </c>
      <c r="S261" s="30" t="str">
        <v>Goal</v>
      </c>
      <c r="T261" s="30" t="str">
        <f t="shared" si="12"/>
        <v>1-0</v>
      </c>
      <c r="U261" s="30">
        <f t="shared" si="13"/>
        <v>1</v>
      </c>
      <c r="V261" s="30">
        <f t="shared" si="14"/>
        <v>0</v>
      </c>
      <c r="X261" s="12">
        <v>259</v>
      </c>
      <c r="Y261" s="12" t="str">
        <v>Wilson Isidor</v>
      </c>
      <c r="Z261" s="12">
        <v>25</v>
      </c>
      <c r="AA261" s="12" t="str">
        <v>Haiti</v>
      </c>
      <c r="AB261" s="12" t="str">
        <v>ST</v>
      </c>
      <c r="AC261" s="12" t="str">
        <v>Sunderland</v>
      </c>
      <c r="AD261" s="12">
        <v>18</v>
      </c>
      <c r="AF261" s="42">
        <v>1974</v>
      </c>
      <c r="AG261" s="42" t="str">
        <v xml:space="preserve">26 Jun 1974 - 19:30 </v>
      </c>
      <c r="AH261" s="42" t="str">
        <v>GROUP_STAGE</v>
      </c>
      <c r="AI261" s="42" t="str">
        <v>Parkstadion</v>
      </c>
      <c r="AJ261" s="42" t="str">
        <v xml:space="preserve">Gelsenkirchen </v>
      </c>
      <c r="AK261" s="42" t="str">
        <v>Netherlands</v>
      </c>
      <c r="AL261" s="42">
        <v>4</v>
      </c>
      <c r="AM261" s="42">
        <v>0</v>
      </c>
      <c r="AN261" s="42" t="str">
        <v>Argentina</v>
      </c>
      <c r="AO261" s="42" t="str">
        <v>-</v>
      </c>
    </row>
    <row r="262" spans="7:41">
      <c r="G262" s="30">
        <v>2018</v>
      </c>
      <c r="H262" s="30" t="str">
        <v>ROUND_OF_16</v>
      </c>
      <c r="I262" s="30" t="str">
        <v>Spain</v>
      </c>
      <c r="J262" s="30" t="str">
        <v>Russia</v>
      </c>
      <c r="K262" s="30" t="str">
        <v>Spain</v>
      </c>
      <c r="L262" s="30" t="str">
        <v>Gerard Piqué</v>
      </c>
      <c r="M262" s="30" t="str">
        <v>Igor Akinfeev</v>
      </c>
      <c r="N262" s="30">
        <v>3</v>
      </c>
      <c r="O262" s="30">
        <v>2</v>
      </c>
      <c r="P262" s="30" t="str">
        <v>'1-1</v>
      </c>
      <c r="Q262" s="30" t="str">
        <v>No</v>
      </c>
      <c r="R262" s="30" t="str">
        <v>No</v>
      </c>
      <c r="S262" s="30" t="str">
        <v>Goal</v>
      </c>
      <c r="T262" s="30" t="str">
        <f t="shared" si="12"/>
        <v>1-1</v>
      </c>
      <c r="U262" s="30">
        <f t="shared" si="13"/>
        <v>1</v>
      </c>
      <c r="V262" s="30">
        <f t="shared" si="14"/>
        <v>1</v>
      </c>
      <c r="X262" s="12">
        <v>260</v>
      </c>
      <c r="Y262" s="12" t="str">
        <v>Frantzdy Pierrot</v>
      </c>
      <c r="Z262" s="12">
        <v>31</v>
      </c>
      <c r="AA262" s="12" t="str">
        <v>Haiti</v>
      </c>
      <c r="AB262" s="12" t="str">
        <v>ST</v>
      </c>
      <c r="AC262" s="12" t="str">
        <v>Çaykur Rizespor</v>
      </c>
      <c r="AD262" s="12">
        <v>20</v>
      </c>
      <c r="AF262" s="42">
        <v>1974</v>
      </c>
      <c r="AG262" s="42" t="str">
        <v xml:space="preserve">26 Jun 1974 - 19:30 </v>
      </c>
      <c r="AH262" s="42" t="str">
        <v>GROUP_STAGE</v>
      </c>
      <c r="AI262" s="42" t="str">
        <v>Neckarstadion</v>
      </c>
      <c r="AJ262" s="42" t="str">
        <v xml:space="preserve">Stuttgart </v>
      </c>
      <c r="AK262" s="42" t="str">
        <v>Sweden</v>
      </c>
      <c r="AL262" s="42">
        <v>0</v>
      </c>
      <c r="AM262" s="42">
        <v>1</v>
      </c>
      <c r="AN262" s="42" t="str">
        <v>Poland</v>
      </c>
      <c r="AO262" s="42" t="str">
        <v>-</v>
      </c>
    </row>
    <row r="263" spans="7:41">
      <c r="G263" s="30">
        <v>2018</v>
      </c>
      <c r="H263" s="30" t="str">
        <v>ROUND_OF_16</v>
      </c>
      <c r="I263" s="30" t="str">
        <v>Spain</v>
      </c>
      <c r="J263" s="30" t="str">
        <v>Russia</v>
      </c>
      <c r="K263" s="30" t="str">
        <v>Russia</v>
      </c>
      <c r="L263" s="30" t="str">
        <v>Sergey Ignashevich</v>
      </c>
      <c r="M263" s="30" t="str">
        <v>David de Gea</v>
      </c>
      <c r="N263" s="30">
        <v>4</v>
      </c>
      <c r="O263" s="30">
        <v>2</v>
      </c>
      <c r="P263" s="30" t="str">
        <v>'1-2</v>
      </c>
      <c r="Q263" s="30" t="str">
        <v>No</v>
      </c>
      <c r="R263" s="30" t="str">
        <v>No</v>
      </c>
      <c r="S263" s="30" t="str">
        <v>Goal</v>
      </c>
      <c r="T263" s="30" t="str">
        <f t="shared" si="12"/>
        <v>1-2</v>
      </c>
      <c r="U263" s="30">
        <f t="shared" si="13"/>
        <v>1</v>
      </c>
      <c r="V263" s="30">
        <f t="shared" si="14"/>
        <v>2</v>
      </c>
      <c r="X263" s="12">
        <v>261</v>
      </c>
      <c r="Y263" s="12" t="str">
        <v>Yassine Bounou</v>
      </c>
      <c r="Z263" s="12">
        <v>35</v>
      </c>
      <c r="AA263" s="12" t="str">
        <v>Morocco</v>
      </c>
      <c r="AB263" s="12" t="str">
        <v>GK</v>
      </c>
      <c r="AC263" s="12" t="str">
        <v>Al-Hilal</v>
      </c>
      <c r="AD263" s="12">
        <v>1</v>
      </c>
      <c r="AF263" s="42">
        <v>1974</v>
      </c>
      <c r="AG263" s="42" t="str">
        <v xml:space="preserve">30 Jun 1974 - 16:00 </v>
      </c>
      <c r="AH263" s="42" t="str">
        <v>GROUP_STAGE</v>
      </c>
      <c r="AI263" s="42" t="str">
        <v>Niedersachsenstadion</v>
      </c>
      <c r="AJ263" s="42" t="str">
        <v xml:space="preserve">Hanover </v>
      </c>
      <c r="AK263" s="42" t="str">
        <v>Argentina</v>
      </c>
      <c r="AL263" s="42">
        <v>1</v>
      </c>
      <c r="AM263" s="42">
        <v>2</v>
      </c>
      <c r="AN263" s="42" t="str">
        <v>Brazil</v>
      </c>
      <c r="AO263" s="42" t="str">
        <v>-</v>
      </c>
    </row>
    <row r="264" spans="7:41">
      <c r="G264" s="30">
        <v>2018</v>
      </c>
      <c r="H264" s="30" t="str">
        <v>ROUND_OF_16</v>
      </c>
      <c r="I264" s="30" t="str">
        <v>Spain</v>
      </c>
      <c r="J264" s="30" t="str">
        <v>Russia</v>
      </c>
      <c r="K264" s="30" t="str">
        <v>Spain</v>
      </c>
      <c r="L264" s="30" t="str">
        <v>Koke</v>
      </c>
      <c r="M264" s="30" t="str">
        <v>Igor Akinfeev</v>
      </c>
      <c r="N264" s="30">
        <v>5</v>
      </c>
      <c r="O264" s="30">
        <v>3</v>
      </c>
      <c r="P264" s="30" t="str">
        <v>'2-2</v>
      </c>
      <c r="Q264" s="30" t="str">
        <v>No</v>
      </c>
      <c r="R264" s="30" t="str">
        <v>No</v>
      </c>
      <c r="S264" s="30" t="str">
        <v>Saved</v>
      </c>
      <c r="T264" s="30" t="str">
        <f t="shared" si="12"/>
        <v>2-2</v>
      </c>
      <c r="U264" s="30">
        <f t="shared" si="13"/>
        <v>2</v>
      </c>
      <c r="V264" s="30">
        <f t="shared" si="14"/>
        <v>2</v>
      </c>
      <c r="X264" s="12">
        <v>262</v>
      </c>
      <c r="Y264" s="12" t="str">
        <v>Munir Mohamedi</v>
      </c>
      <c r="Z264" s="12">
        <v>37</v>
      </c>
      <c r="AA264" s="12" t="str">
        <v>Morocco</v>
      </c>
      <c r="AB264" s="12" t="str">
        <v>GK</v>
      </c>
      <c r="AC264" s="12" t="str">
        <v>RS Berkane</v>
      </c>
      <c r="AD264" s="12">
        <v>12</v>
      </c>
      <c r="AF264" s="42">
        <v>1974</v>
      </c>
      <c r="AG264" s="42" t="str">
        <v xml:space="preserve">30 Jun 1974 - 16:00 </v>
      </c>
      <c r="AH264" s="42" t="str">
        <v>GROUP_STAGE</v>
      </c>
      <c r="AI264" s="42" t="str">
        <v>Waldstadion</v>
      </c>
      <c r="AJ264" s="42" t="str">
        <v xml:space="preserve">Frankfurt/Main </v>
      </c>
      <c r="AK264" s="42" t="str">
        <v>Poland</v>
      </c>
      <c r="AL264" s="42">
        <v>2</v>
      </c>
      <c r="AM264" s="42">
        <v>1</v>
      </c>
      <c r="AN264" s="42" t="str">
        <v>Yugoslavia</v>
      </c>
      <c r="AO264" s="42" t="str">
        <v>-</v>
      </c>
    </row>
    <row r="265" spans="7:41">
      <c r="G265" s="30">
        <v>2018</v>
      </c>
      <c r="H265" s="30" t="str">
        <v>ROUND_OF_16</v>
      </c>
      <c r="I265" s="30" t="str">
        <v>Spain</v>
      </c>
      <c r="J265" s="30" t="str">
        <v>Russia</v>
      </c>
      <c r="K265" s="30" t="str">
        <v>Russia</v>
      </c>
      <c r="L265" s="30" t="str">
        <v>Aleksandr Golovin</v>
      </c>
      <c r="M265" s="30" t="str">
        <v>David de Gea</v>
      </c>
      <c r="N265" s="30">
        <v>6</v>
      </c>
      <c r="O265" s="30">
        <v>3</v>
      </c>
      <c r="P265" s="30" t="str">
        <v>'2-2</v>
      </c>
      <c r="Q265" s="30" t="str">
        <v>No</v>
      </c>
      <c r="R265" s="30" t="str">
        <v>No</v>
      </c>
      <c r="S265" s="30" t="str">
        <v>Goal</v>
      </c>
      <c r="T265" s="30" t="str">
        <f t="shared" si="12"/>
        <v>2-2</v>
      </c>
      <c r="U265" s="30">
        <f t="shared" si="13"/>
        <v>2</v>
      </c>
      <c r="V265" s="30">
        <f t="shared" si="14"/>
        <v>2</v>
      </c>
      <c r="X265" s="12">
        <v>263</v>
      </c>
      <c r="Y265" s="12" t="str">
        <v>Ahmed Reda Tagnaouti</v>
      </c>
      <c r="Z265" s="12">
        <v>30</v>
      </c>
      <c r="AA265" s="12" t="str">
        <v>Morocco</v>
      </c>
      <c r="AB265" s="12" t="str">
        <v>GK</v>
      </c>
      <c r="AC265" s="12" t="str">
        <v>AS FAR</v>
      </c>
      <c r="AD265" s="12">
        <v>22</v>
      </c>
      <c r="AF265" s="42">
        <v>1974</v>
      </c>
      <c r="AG265" s="42" t="str">
        <v xml:space="preserve">30 Jun 1974 - 16:00 </v>
      </c>
      <c r="AH265" s="42" t="str">
        <v>GROUP_STAGE</v>
      </c>
      <c r="AI265" s="42" t="str">
        <v>Parkstadion</v>
      </c>
      <c r="AJ265" s="42" t="str">
        <v xml:space="preserve">Gelsenkirchen </v>
      </c>
      <c r="AK265" s="42" t="str">
        <v>DR Germany</v>
      </c>
      <c r="AL265" s="42">
        <v>0</v>
      </c>
      <c r="AM265" s="42">
        <v>2</v>
      </c>
      <c r="AN265" s="42" t="str">
        <v>Netherlands</v>
      </c>
      <c r="AO265" s="42" t="str">
        <v>-</v>
      </c>
    </row>
    <row r="266" spans="7:41">
      <c r="G266" s="30">
        <v>2018</v>
      </c>
      <c r="H266" s="30" t="str">
        <v>ROUND_OF_16</v>
      </c>
      <c r="I266" s="30" t="str">
        <v>Spain</v>
      </c>
      <c r="J266" s="30" t="str">
        <v>Russia</v>
      </c>
      <c r="K266" s="30" t="str">
        <v>Spain</v>
      </c>
      <c r="L266" s="30" t="str">
        <v>Iago Aspas</v>
      </c>
      <c r="M266" s="30" t="str">
        <v>Igor Akinfeev</v>
      </c>
      <c r="N266" s="30">
        <v>7</v>
      </c>
      <c r="O266" s="30">
        <v>4</v>
      </c>
      <c r="P266" s="30" t="str">
        <v>'3-2</v>
      </c>
      <c r="Q266" s="30" t="str">
        <v>No</v>
      </c>
      <c r="R266" s="30" t="str">
        <v>No</v>
      </c>
      <c r="S266" s="30" t="str">
        <v>Saved</v>
      </c>
      <c r="T266" s="30" t="str">
        <f t="shared" si="12"/>
        <v>3-2</v>
      </c>
      <c r="U266" s="30">
        <f t="shared" si="13"/>
        <v>3</v>
      </c>
      <c r="V266" s="30">
        <f t="shared" si="14"/>
        <v>2</v>
      </c>
      <c r="X266" s="12">
        <v>264</v>
      </c>
      <c r="Y266" s="12" t="str">
        <v>Marwane Saâdane</v>
      </c>
      <c r="Z266" s="12">
        <v>34</v>
      </c>
      <c r="AA266" s="12" t="str">
        <v>Morocco</v>
      </c>
      <c r="AB266" s="12" t="str">
        <v>CB</v>
      </c>
      <c r="AC266" s="12" t="str">
        <v>Al-Fateh</v>
      </c>
      <c r="AD266" s="12">
        <v>5</v>
      </c>
      <c r="AF266" s="42">
        <v>1974</v>
      </c>
      <c r="AG266" s="42" t="str">
        <v xml:space="preserve">30 Jun 1974 - 19:30 </v>
      </c>
      <c r="AH266" s="42" t="str">
        <v>GROUP_STAGE</v>
      </c>
      <c r="AI266" s="42" t="str">
        <v>Rheinstadion</v>
      </c>
      <c r="AJ266" s="42" t="str">
        <v>Düsseldorf</v>
      </c>
      <c r="AK266" s="42" t="str">
        <v>FR Germany</v>
      </c>
      <c r="AL266" s="42">
        <v>4</v>
      </c>
      <c r="AM266" s="42">
        <v>2</v>
      </c>
      <c r="AN266" s="42" t="str">
        <v>Sweden</v>
      </c>
      <c r="AO266" s="42" t="str">
        <v>-</v>
      </c>
    </row>
    <row r="267" spans="7:41">
      <c r="G267" s="30">
        <v>2018</v>
      </c>
      <c r="H267" s="30" t="str">
        <v>ROUND_OF_16</v>
      </c>
      <c r="I267" s="30" t="str">
        <v>Spain</v>
      </c>
      <c r="J267" s="30" t="str">
        <v>Russia</v>
      </c>
      <c r="K267" s="30" t="str">
        <v>Russia</v>
      </c>
      <c r="L267" s="30" t="str">
        <v>Denis Cheryshev</v>
      </c>
      <c r="M267" s="30" t="str">
        <v>David de Gea</v>
      </c>
      <c r="N267" s="30">
        <v>8</v>
      </c>
      <c r="O267" s="30">
        <v>4</v>
      </c>
      <c r="P267" s="30" t="str">
        <v>'3-2</v>
      </c>
      <c r="Q267" s="30" t="str">
        <v>No</v>
      </c>
      <c r="R267" s="30" t="str">
        <v>No</v>
      </c>
      <c r="S267" s="30" t="str">
        <v>Goal</v>
      </c>
      <c r="T267" s="30" t="str">
        <f t="shared" si="12"/>
        <v>3-2</v>
      </c>
      <c r="U267" s="30">
        <f t="shared" si="13"/>
        <v>3</v>
      </c>
      <c r="V267" s="30">
        <f t="shared" si="14"/>
        <v>2</v>
      </c>
      <c r="X267" s="12">
        <v>265</v>
      </c>
      <c r="Y267" s="12" t="str">
        <v>Issa Diop</v>
      </c>
      <c r="Z267" s="12">
        <v>29</v>
      </c>
      <c r="AA267" s="12" t="str">
        <v>Morocco</v>
      </c>
      <c r="AB267" s="12" t="str">
        <v>CB</v>
      </c>
      <c r="AC267" s="12" t="str">
        <v>Fulham</v>
      </c>
      <c r="AD267" s="12">
        <v>14</v>
      </c>
      <c r="AF267" s="42">
        <v>1974</v>
      </c>
      <c r="AG267" s="42" t="str">
        <v xml:space="preserve">03 Jul 1974 - 17:00 </v>
      </c>
      <c r="AH267" s="42" t="str">
        <v>GROUP_STAGE</v>
      </c>
      <c r="AI267" s="42" t="str">
        <v>Waldstadion</v>
      </c>
      <c r="AJ267" s="42" t="str">
        <v xml:space="preserve">Frankfurt/Main </v>
      </c>
      <c r="AK267" s="42" t="str">
        <v>Poland</v>
      </c>
      <c r="AL267" s="42">
        <v>0</v>
      </c>
      <c r="AM267" s="42">
        <v>1</v>
      </c>
      <c r="AN267" s="42" t="str">
        <v>FR Germany</v>
      </c>
      <c r="AO267" s="42" t="str">
        <v>-</v>
      </c>
    </row>
    <row r="268" spans="7:41">
      <c r="G268" s="30">
        <v>2018</v>
      </c>
      <c r="H268" s="30" t="str">
        <v>QUARTER_FINALS</v>
      </c>
      <c r="I268" s="30" t="str">
        <v>Russia</v>
      </c>
      <c r="J268" s="30" t="str">
        <v>Croatia</v>
      </c>
      <c r="K268" s="30" t="str">
        <v>Russia</v>
      </c>
      <c r="L268" s="30" t="str">
        <v>Fedor Smolov</v>
      </c>
      <c r="M268" s="30" t="str">
        <v>Danijel Subašić</v>
      </c>
      <c r="N268" s="30">
        <v>1</v>
      </c>
      <c r="O268" s="30">
        <v>1</v>
      </c>
      <c r="P268" s="30" t="str">
        <v>'0-0</v>
      </c>
      <c r="Q268" s="30" t="str">
        <v>No</v>
      </c>
      <c r="R268" s="30" t="str">
        <v>No</v>
      </c>
      <c r="S268" s="30" t="str">
        <v>Saved</v>
      </c>
      <c r="T268" s="30" t="str">
        <f t="shared" si="12"/>
        <v>0-0</v>
      </c>
      <c r="U268" s="30">
        <f t="shared" si="13"/>
        <v>0</v>
      </c>
      <c r="V268" s="30">
        <f t="shared" si="14"/>
        <v>0</v>
      </c>
      <c r="X268" s="12">
        <v>266</v>
      </c>
      <c r="Y268" s="12" t="str">
        <v>Chadi Riad</v>
      </c>
      <c r="Z268" s="12">
        <v>22</v>
      </c>
      <c r="AA268" s="12" t="str">
        <v>Morocco</v>
      </c>
      <c r="AB268" s="12" t="str">
        <v>CB</v>
      </c>
      <c r="AC268" s="12" t="str">
        <v>Crystal Palace</v>
      </c>
      <c r="AD268" s="12">
        <v>18</v>
      </c>
      <c r="AF268" s="42">
        <v>1974</v>
      </c>
      <c r="AG268" s="42" t="str">
        <v xml:space="preserve">03 Jul 1974 - 19:30 </v>
      </c>
      <c r="AH268" s="42" t="str">
        <v>GROUP_STAGE</v>
      </c>
      <c r="AI268" s="42" t="str">
        <v>Westfalenstadion</v>
      </c>
      <c r="AJ268" s="42" t="str">
        <v xml:space="preserve">Dortmund </v>
      </c>
      <c r="AK268" s="42" t="str">
        <v>Netherlands</v>
      </c>
      <c r="AL268" s="42">
        <v>2</v>
      </c>
      <c r="AM268" s="42">
        <v>0</v>
      </c>
      <c r="AN268" s="42" t="str">
        <v>Brazil</v>
      </c>
      <c r="AO268" s="42" t="str">
        <v>-</v>
      </c>
    </row>
    <row r="269" spans="7:41">
      <c r="G269" s="30">
        <v>2018</v>
      </c>
      <c r="H269" s="30" t="str">
        <v>QUARTER_FINALS</v>
      </c>
      <c r="I269" s="30" t="str">
        <v>Russia</v>
      </c>
      <c r="J269" s="30" t="str">
        <v>Croatia</v>
      </c>
      <c r="K269" s="30" t="str">
        <v>Croatia</v>
      </c>
      <c r="L269" s="30" t="str">
        <v>Marcelo Brozović</v>
      </c>
      <c r="M269" s="30" t="str">
        <v>Igor Akinfeev</v>
      </c>
      <c r="N269" s="30">
        <v>2</v>
      </c>
      <c r="O269" s="30">
        <v>1</v>
      </c>
      <c r="P269" s="30" t="str">
        <v>'0-0</v>
      </c>
      <c r="Q269" s="30" t="str">
        <v>No</v>
      </c>
      <c r="R269" s="30" t="str">
        <v>No</v>
      </c>
      <c r="S269" s="30" t="str">
        <v>Goal</v>
      </c>
      <c r="T269" s="30" t="str">
        <f t="shared" si="12"/>
        <v>0-0</v>
      </c>
      <c r="U269" s="30">
        <f t="shared" si="13"/>
        <v>0</v>
      </c>
      <c r="V269" s="30">
        <f t="shared" si="14"/>
        <v>0</v>
      </c>
      <c r="X269" s="12">
        <v>267</v>
      </c>
      <c r="Y269" s="12" t="str">
        <v>Redouane Halhal</v>
      </c>
      <c r="Z269" s="12">
        <v>23</v>
      </c>
      <c r="AA269" s="12" t="str">
        <v>Morocco</v>
      </c>
      <c r="AB269" s="12" t="str">
        <v>CB</v>
      </c>
      <c r="AC269" s="12" t="str">
        <v>Mechelen</v>
      </c>
      <c r="AD269" s="12">
        <v>25</v>
      </c>
      <c r="AF269" s="42">
        <v>1974</v>
      </c>
      <c r="AG269" s="42" t="str">
        <v xml:space="preserve">03 Jul 1974 - 19:30 </v>
      </c>
      <c r="AH269" s="42" t="str">
        <v>GROUP_STAGE</v>
      </c>
      <c r="AI269" s="42" t="str">
        <v>Parkstadion</v>
      </c>
      <c r="AJ269" s="42" t="str">
        <v xml:space="preserve">Gelsenkirchen </v>
      </c>
      <c r="AK269" s="42" t="str">
        <v>Argentina</v>
      </c>
      <c r="AL269" s="42">
        <v>1</v>
      </c>
      <c r="AM269" s="42">
        <v>1</v>
      </c>
      <c r="AN269" s="42" t="str">
        <v>DR Germany</v>
      </c>
      <c r="AO269" s="42" t="str">
        <v>-</v>
      </c>
    </row>
    <row r="270" spans="7:41">
      <c r="G270" s="30">
        <v>2018</v>
      </c>
      <c r="H270" s="30" t="str">
        <v>QUARTER_FINALS</v>
      </c>
      <c r="I270" s="30" t="str">
        <v>Russia</v>
      </c>
      <c r="J270" s="30" t="str">
        <v>Croatia</v>
      </c>
      <c r="K270" s="30" t="str">
        <v>Russia</v>
      </c>
      <c r="L270" s="30" t="str">
        <v>Alan Dzagoev</v>
      </c>
      <c r="M270" s="30" t="str">
        <v>Danijel Subašić</v>
      </c>
      <c r="N270" s="30">
        <v>3</v>
      </c>
      <c r="O270" s="30">
        <v>2</v>
      </c>
      <c r="P270" s="30" t="str">
        <v>'0-1</v>
      </c>
      <c r="Q270" s="30" t="str">
        <v>No</v>
      </c>
      <c r="R270" s="30" t="str">
        <v>No</v>
      </c>
      <c r="S270" s="30" t="str">
        <v>Goal</v>
      </c>
      <c r="T270" s="30" t="str">
        <f t="shared" si="12"/>
        <v>0-1</v>
      </c>
      <c r="U270" s="30">
        <f t="shared" si="13"/>
        <v>0</v>
      </c>
      <c r="V270" s="30">
        <f t="shared" si="14"/>
        <v>1</v>
      </c>
      <c r="X270" s="12">
        <v>268</v>
      </c>
      <c r="Y270" s="12" t="str">
        <v>Noussair Mazraoui</v>
      </c>
      <c r="Z270" s="12">
        <v>28</v>
      </c>
      <c r="AA270" s="12" t="str">
        <v>Morocco</v>
      </c>
      <c r="AB270" s="12" t="str">
        <v>LB</v>
      </c>
      <c r="AC270" s="12" t="str">
        <v>Manchester United</v>
      </c>
      <c r="AD270" s="12">
        <v>3</v>
      </c>
      <c r="AF270" s="42">
        <v>1974</v>
      </c>
      <c r="AG270" s="42" t="str">
        <v xml:space="preserve">03 Jul 1974 - 19:30 </v>
      </c>
      <c r="AH270" s="42" t="str">
        <v>GROUP_STAGE</v>
      </c>
      <c r="AI270" s="42" t="str">
        <v>Rheinstadion</v>
      </c>
      <c r="AJ270" s="42" t="str">
        <v>Düsseldorf</v>
      </c>
      <c r="AK270" s="42" t="str">
        <v>Sweden</v>
      </c>
      <c r="AL270" s="42">
        <v>2</v>
      </c>
      <c r="AM270" s="42">
        <v>1</v>
      </c>
      <c r="AN270" s="42" t="str">
        <v>Yugoslavia</v>
      </c>
      <c r="AO270" s="42" t="str">
        <v>-</v>
      </c>
    </row>
    <row r="271" spans="7:41">
      <c r="G271" s="30">
        <v>2018</v>
      </c>
      <c r="H271" s="30" t="str">
        <v>QUARTER_FINALS</v>
      </c>
      <c r="I271" s="30" t="str">
        <v>Russia</v>
      </c>
      <c r="J271" s="30" t="str">
        <v>Croatia</v>
      </c>
      <c r="K271" s="30" t="str">
        <v>Croatia</v>
      </c>
      <c r="L271" s="30" t="str">
        <v>Mateo Kovačić</v>
      </c>
      <c r="M271" s="30" t="str">
        <v>Igor Akinfeev</v>
      </c>
      <c r="N271" s="30">
        <v>4</v>
      </c>
      <c r="O271" s="30">
        <v>2</v>
      </c>
      <c r="P271" s="30" t="str">
        <v>'1-1</v>
      </c>
      <c r="Q271" s="30" t="str">
        <v>No</v>
      </c>
      <c r="R271" s="30" t="str">
        <v>No</v>
      </c>
      <c r="S271" s="30" t="str">
        <v>Saved</v>
      </c>
      <c r="T271" s="30" t="str">
        <f t="shared" si="12"/>
        <v>1-1</v>
      </c>
      <c r="U271" s="30">
        <f t="shared" si="13"/>
        <v>1</v>
      </c>
      <c r="V271" s="30">
        <f t="shared" si="14"/>
        <v>1</v>
      </c>
      <c r="X271" s="12">
        <v>269</v>
      </c>
      <c r="Y271" s="12" t="str">
        <v>Youssef Belammari</v>
      </c>
      <c r="Z271" s="12">
        <v>27</v>
      </c>
      <c r="AA271" s="12" t="str">
        <v>Morocco</v>
      </c>
      <c r="AB271" s="12" t="str">
        <v>LB</v>
      </c>
      <c r="AC271" s="12" t="str">
        <v>Al Ahly</v>
      </c>
      <c r="AD271" s="12">
        <v>19</v>
      </c>
      <c r="AF271" s="42">
        <v>1974</v>
      </c>
      <c r="AG271" s="42" t="str">
        <v xml:space="preserve">06 Jul 1974 - 16:00 </v>
      </c>
      <c r="AH271" s="42" t="str">
        <v>THIRD_PLACE</v>
      </c>
      <c r="AI271" s="42" t="str">
        <v>Olympiastadion</v>
      </c>
      <c r="AJ271" s="42" t="str">
        <v xml:space="preserve">Munich </v>
      </c>
      <c r="AK271" s="42" t="str">
        <v>Brazil</v>
      </c>
      <c r="AL271" s="42">
        <v>0</v>
      </c>
      <c r="AM271" s="42">
        <v>1</v>
      </c>
      <c r="AN271" s="42" t="str">
        <v>Poland</v>
      </c>
      <c r="AO271" s="42" t="str">
        <v>-</v>
      </c>
    </row>
    <row r="272" spans="7:41">
      <c r="G272" s="30">
        <v>2018</v>
      </c>
      <c r="H272" s="30" t="str">
        <v>QUARTER_FINALS</v>
      </c>
      <c r="I272" s="30" t="str">
        <v>Russia</v>
      </c>
      <c r="J272" s="30" t="str">
        <v>Croatia</v>
      </c>
      <c r="K272" s="30" t="str">
        <v>Russia</v>
      </c>
      <c r="L272" s="30" t="str">
        <v>Mário Fernandes</v>
      </c>
      <c r="M272" s="30" t="str">
        <v>Danijel Subašić</v>
      </c>
      <c r="N272" s="30">
        <v>5</v>
      </c>
      <c r="O272" s="30">
        <v>3</v>
      </c>
      <c r="P272" s="30" t="str">
        <v>'1-1</v>
      </c>
      <c r="Q272" s="30" t="str">
        <v>No</v>
      </c>
      <c r="R272" s="30" t="str">
        <v>No</v>
      </c>
      <c r="S272" s="30" t="str">
        <v>Missed</v>
      </c>
      <c r="T272" s="30" t="str">
        <f t="shared" si="12"/>
        <v>1-1</v>
      </c>
      <c r="U272" s="30">
        <f t="shared" si="13"/>
        <v>1</v>
      </c>
      <c r="V272" s="30">
        <f t="shared" si="14"/>
        <v>1</v>
      </c>
      <c r="X272" s="12">
        <v>270</v>
      </c>
      <c r="Y272" s="12" t="str">
        <v>Anass Salah-Eddine</v>
      </c>
      <c r="Z272" s="12">
        <v>24</v>
      </c>
      <c r="AA272" s="12" t="str">
        <v>Morocco</v>
      </c>
      <c r="AB272" s="12" t="str">
        <v>LB</v>
      </c>
      <c r="AC272" s="12" t="str">
        <v>PSV Eindhoven</v>
      </c>
      <c r="AD272" s="12">
        <v>26</v>
      </c>
      <c r="AF272" s="42">
        <v>1974</v>
      </c>
      <c r="AG272" s="42" t="str">
        <v xml:space="preserve">07 July 1974 - 16:00 </v>
      </c>
      <c r="AH272" s="42" t="str">
        <v>FINAL</v>
      </c>
      <c r="AI272" s="42" t="str">
        <v>Olympiastadion</v>
      </c>
      <c r="AJ272" s="42" t="str">
        <v xml:space="preserve">Munich </v>
      </c>
      <c r="AK272" s="42" t="str">
        <v>Netherlands</v>
      </c>
      <c r="AL272" s="42">
        <v>1</v>
      </c>
      <c r="AM272" s="42">
        <v>2</v>
      </c>
      <c r="AN272" s="42" t="str">
        <v>FR Germany</v>
      </c>
      <c r="AO272" s="42" t="str">
        <v>-</v>
      </c>
    </row>
    <row r="273" spans="7:41">
      <c r="G273" s="30">
        <v>2018</v>
      </c>
      <c r="H273" s="30" t="str">
        <v>QUARTER_FINALS</v>
      </c>
      <c r="I273" s="30" t="str">
        <v>Russia</v>
      </c>
      <c r="J273" s="30" t="str">
        <v>Croatia</v>
      </c>
      <c r="K273" s="30" t="str">
        <v>Croatia</v>
      </c>
      <c r="L273" s="30" t="str">
        <v>Luka Modrić</v>
      </c>
      <c r="M273" s="30" t="str">
        <v>Igor Akinfeev</v>
      </c>
      <c r="N273" s="30">
        <v>6</v>
      </c>
      <c r="O273" s="30">
        <v>3</v>
      </c>
      <c r="P273" s="30" t="str">
        <v>'1-1</v>
      </c>
      <c r="Q273" s="30" t="str">
        <v>No</v>
      </c>
      <c r="R273" s="30" t="str">
        <v>No</v>
      </c>
      <c r="S273" s="30" t="str">
        <v>Goal</v>
      </c>
      <c r="T273" s="30" t="str">
        <f t="shared" si="12"/>
        <v>1-1</v>
      </c>
      <c r="U273" s="30">
        <f t="shared" si="13"/>
        <v>1</v>
      </c>
      <c r="V273" s="30">
        <f t="shared" si="14"/>
        <v>1</v>
      </c>
      <c r="X273" s="12">
        <v>271</v>
      </c>
      <c r="Y273" s="12" t="str">
        <v>Achraf Hakimi</v>
      </c>
      <c r="Z273" s="12">
        <v>27</v>
      </c>
      <c r="AA273" s="12" t="str">
        <v>Morocco</v>
      </c>
      <c r="AB273" s="12" t="str">
        <v>RB</v>
      </c>
      <c r="AC273" s="12" t="str">
        <v>Paris Saint-Germain</v>
      </c>
      <c r="AD273" s="12">
        <v>2</v>
      </c>
      <c r="AF273" s="42">
        <v>1978</v>
      </c>
      <c r="AG273" s="42" t="str">
        <v xml:space="preserve">01 Jun 1978 - 15:00 </v>
      </c>
      <c r="AH273" s="42" t="str">
        <v>GROUP_STAGE</v>
      </c>
      <c r="AI273" s="42" t="str">
        <v>El Monumental - Estadio Monumental Antonio Vespuci</v>
      </c>
      <c r="AJ273" s="42" t="str">
        <v xml:space="preserve">Buenos Aires </v>
      </c>
      <c r="AK273" s="42" t="str">
        <v>FR Germany</v>
      </c>
      <c r="AL273" s="42">
        <v>0</v>
      </c>
      <c r="AM273" s="42">
        <v>0</v>
      </c>
      <c r="AN273" s="42" t="str">
        <v>Poland</v>
      </c>
      <c r="AO273" s="42" t="str">
        <v>-</v>
      </c>
    </row>
    <row r="274" spans="7:41">
      <c r="G274" s="30">
        <v>2018</v>
      </c>
      <c r="H274" s="30" t="str">
        <v>QUARTER_FINALS</v>
      </c>
      <c r="I274" s="30" t="str">
        <v>Russia</v>
      </c>
      <c r="J274" s="30" t="str">
        <v>Croatia</v>
      </c>
      <c r="K274" s="30" t="str">
        <v>Russia</v>
      </c>
      <c r="L274" s="30" t="str">
        <v>Denis Cheryshev</v>
      </c>
      <c r="M274" s="30" t="str">
        <v>Danijel Subašić</v>
      </c>
      <c r="N274" s="30">
        <v>7</v>
      </c>
      <c r="O274" s="30">
        <v>4</v>
      </c>
      <c r="P274" s="30" t="str">
        <v>'2-1</v>
      </c>
      <c r="Q274" s="30" t="str">
        <v>No</v>
      </c>
      <c r="R274" s="30" t="str">
        <v>No</v>
      </c>
      <c r="S274" s="30" t="str">
        <v>Goal</v>
      </c>
      <c r="T274" s="30" t="str">
        <f t="shared" si="12"/>
        <v>2-1</v>
      </c>
      <c r="U274" s="30">
        <f t="shared" si="13"/>
        <v>2</v>
      </c>
      <c r="V274" s="30">
        <f t="shared" si="14"/>
        <v>1</v>
      </c>
      <c r="X274" s="12">
        <v>272</v>
      </c>
      <c r="Y274" s="12" t="str">
        <v>Zakaria El Ouahdi</v>
      </c>
      <c r="Z274" s="12">
        <v>24</v>
      </c>
      <c r="AA274" s="12" t="str">
        <v>Morocco</v>
      </c>
      <c r="AB274" s="12" t="str">
        <v>RB</v>
      </c>
      <c r="AC274" s="12" t="str">
        <v>Genk</v>
      </c>
      <c r="AD274" s="12">
        <v>13</v>
      </c>
      <c r="AF274" s="42">
        <v>1978</v>
      </c>
      <c r="AG274" s="42" t="str">
        <v xml:space="preserve">02 Jun 1978 - 13:45 </v>
      </c>
      <c r="AH274" s="42" t="str">
        <v>GROUP_STAGE</v>
      </c>
      <c r="AI274" s="42" t="str">
        <v>Estadio José María Minella</v>
      </c>
      <c r="AJ274" s="42" t="str">
        <v xml:space="preserve">Mar Del Plata </v>
      </c>
      <c r="AK274" s="42" t="str">
        <v>Italy</v>
      </c>
      <c r="AL274" s="42">
        <v>2</v>
      </c>
      <c r="AM274" s="42">
        <v>1</v>
      </c>
      <c r="AN274" s="42" t="str">
        <v>France</v>
      </c>
      <c r="AO274" s="42" t="str">
        <v>-</v>
      </c>
    </row>
    <row r="275" spans="7:41">
      <c r="G275" s="30">
        <v>2018</v>
      </c>
      <c r="H275" s="30" t="str">
        <v>QUARTER_FINALS</v>
      </c>
      <c r="I275" s="30" t="str">
        <v>Russia</v>
      </c>
      <c r="J275" s="30" t="str">
        <v>Croatia</v>
      </c>
      <c r="K275" s="30" t="str">
        <v>Croatia</v>
      </c>
      <c r="L275" s="30" t="str">
        <v>Domagoj Vida</v>
      </c>
      <c r="M275" s="30" t="str">
        <v>Igor Akinfeev</v>
      </c>
      <c r="N275" s="30">
        <v>8</v>
      </c>
      <c r="O275" s="30">
        <v>4</v>
      </c>
      <c r="P275" s="30" t="str">
        <v>'2-2</v>
      </c>
      <c r="Q275" s="30" t="str">
        <v>No</v>
      </c>
      <c r="R275" s="30" t="str">
        <v>No</v>
      </c>
      <c r="S275" s="30" t="str">
        <v>Goal</v>
      </c>
      <c r="T275" s="30" t="str">
        <f t="shared" si="12"/>
        <v>2-2</v>
      </c>
      <c r="U275" s="30">
        <f t="shared" si="13"/>
        <v>2</v>
      </c>
      <c r="V275" s="30">
        <f t="shared" si="14"/>
        <v>2</v>
      </c>
      <c r="X275" s="12">
        <v>273</v>
      </c>
      <c r="Y275" s="12" t="str">
        <v>Sofyan Amrabat</v>
      </c>
      <c r="Z275" s="12">
        <v>29</v>
      </c>
      <c r="AA275" s="12" t="str">
        <v>Morocco</v>
      </c>
      <c r="AB275" s="12" t="str">
        <v>CDM</v>
      </c>
      <c r="AC275" s="12" t="str">
        <v>Real Betis</v>
      </c>
      <c r="AD275" s="12">
        <v>4</v>
      </c>
      <c r="AF275" s="42">
        <v>1978</v>
      </c>
      <c r="AG275" s="42" t="str">
        <v xml:space="preserve">02 Jun 1978 - 16:45 </v>
      </c>
      <c r="AH275" s="42" t="str">
        <v>GROUP_STAGE</v>
      </c>
      <c r="AI275" s="42" t="str">
        <v>Arroyito - Estadio Dr. Lisandro de la Torre</v>
      </c>
      <c r="AJ275" s="42" t="str">
        <v xml:space="preserve">Rosario </v>
      </c>
      <c r="AK275" s="42" t="str">
        <v>Tunisia</v>
      </c>
      <c r="AL275" s="42">
        <v>3</v>
      </c>
      <c r="AM275" s="42">
        <v>1</v>
      </c>
      <c r="AN275" s="42" t="str">
        <v>Mexico</v>
      </c>
      <c r="AO275" s="42" t="str">
        <v>-</v>
      </c>
    </row>
    <row r="276" spans="7:41">
      <c r="G276" s="30">
        <v>2018</v>
      </c>
      <c r="H276" s="30" t="str">
        <v>QUARTER_FINALS</v>
      </c>
      <c r="I276" s="30" t="str">
        <v>Russia</v>
      </c>
      <c r="J276" s="30" t="str">
        <v>Croatia</v>
      </c>
      <c r="K276" s="30" t="str">
        <v>Russia</v>
      </c>
      <c r="L276" s="30" t="str">
        <v>Daler Kuzyayev</v>
      </c>
      <c r="M276" s="30" t="str">
        <v>Danijel Subašić</v>
      </c>
      <c r="N276" s="30">
        <v>9</v>
      </c>
      <c r="O276" s="30">
        <v>5</v>
      </c>
      <c r="P276" s="30" t="str">
        <v>'3-2</v>
      </c>
      <c r="Q276" s="30" t="str">
        <v>No</v>
      </c>
      <c r="R276" s="30" t="str">
        <v>No</v>
      </c>
      <c r="S276" s="30" t="str">
        <v>Goal</v>
      </c>
      <c r="T276" s="30" t="str">
        <f t="shared" si="12"/>
        <v>3-2</v>
      </c>
      <c r="U276" s="30">
        <f t="shared" si="13"/>
        <v>3</v>
      </c>
      <c r="V276" s="30">
        <f t="shared" si="14"/>
        <v>2</v>
      </c>
      <c r="X276" s="12">
        <v>274</v>
      </c>
      <c r="Y276" s="12" t="str">
        <v>Ayyoub Bouaddi</v>
      </c>
      <c r="Z276" s="12">
        <v>18</v>
      </c>
      <c r="AA276" s="12" t="str">
        <v>Morocco</v>
      </c>
      <c r="AB276" s="12" t="str">
        <v>CDM</v>
      </c>
      <c r="AC276" s="12" t="str">
        <v>Lille</v>
      </c>
      <c r="AD276" s="12">
        <v>6</v>
      </c>
      <c r="AF276" s="42">
        <v>1978</v>
      </c>
      <c r="AG276" s="42" t="str">
        <v xml:space="preserve">02 Jun 1978 - 19:15 </v>
      </c>
      <c r="AH276" s="42" t="str">
        <v>GROUP_STAGE</v>
      </c>
      <c r="AI276" s="42" t="str">
        <v>El Monumental - Estadio Monumental Antonio Vespuci</v>
      </c>
      <c r="AJ276" s="42" t="str">
        <v xml:space="preserve">Buenos Aires </v>
      </c>
      <c r="AK276" s="42" t="str">
        <v>Argentina</v>
      </c>
      <c r="AL276" s="42">
        <v>2</v>
      </c>
      <c r="AM276" s="42">
        <v>1</v>
      </c>
      <c r="AN276" s="42" t="str">
        <v>Hungary</v>
      </c>
      <c r="AO276" s="42" t="str">
        <v>-</v>
      </c>
    </row>
    <row r="277" spans="7:41">
      <c r="G277" s="30">
        <v>2018</v>
      </c>
      <c r="H277" s="30" t="str">
        <v>QUARTER_FINALS</v>
      </c>
      <c r="I277" s="30" t="str">
        <v>Russia</v>
      </c>
      <c r="J277" s="30" t="str">
        <v>Croatia</v>
      </c>
      <c r="K277" s="30" t="str">
        <v>Croatia</v>
      </c>
      <c r="L277" s="30" t="str">
        <v>Ivan Rakitić</v>
      </c>
      <c r="M277" s="30" t="str">
        <v>Igor Akinfeev</v>
      </c>
      <c r="N277" s="30">
        <v>10</v>
      </c>
      <c r="O277" s="30">
        <v>5</v>
      </c>
      <c r="P277" s="30" t="str">
        <v>'3-3</v>
      </c>
      <c r="Q277" s="30" t="str">
        <v>No</v>
      </c>
      <c r="R277" s="30" t="str">
        <v>Yes</v>
      </c>
      <c r="S277" s="30" t="str">
        <v>Goal</v>
      </c>
      <c r="T277" s="30" t="str">
        <f t="shared" si="12"/>
        <v>3-3</v>
      </c>
      <c r="U277" s="30">
        <f t="shared" si="13"/>
        <v>3</v>
      </c>
      <c r="V277" s="30">
        <f t="shared" si="14"/>
        <v>3</v>
      </c>
      <c r="X277" s="12">
        <v>275</v>
      </c>
      <c r="Y277" s="12" t="str">
        <v>Azzedine Ounahi</v>
      </c>
      <c r="Z277" s="12">
        <v>26</v>
      </c>
      <c r="AA277" s="12" t="str">
        <v>Morocco</v>
      </c>
      <c r="AB277" s="12" t="str">
        <v>CM</v>
      </c>
      <c r="AC277" s="12" t="str">
        <v>Girona</v>
      </c>
      <c r="AD277" s="12">
        <v>8</v>
      </c>
      <c r="AF277" s="42">
        <v>1978</v>
      </c>
      <c r="AG277" s="42" t="str">
        <v xml:space="preserve">03 Jun 1978 - 13:45 </v>
      </c>
      <c r="AH277" s="42" t="str">
        <v>GROUP_STAGE</v>
      </c>
      <c r="AI277" s="42" t="str">
        <v>Estadio José María Minella</v>
      </c>
      <c r="AJ277" s="42" t="str">
        <v xml:space="preserve">Mar Del Plata </v>
      </c>
      <c r="AK277" s="42" t="str">
        <v>Sweden</v>
      </c>
      <c r="AL277" s="42">
        <v>1</v>
      </c>
      <c r="AM277" s="42">
        <v>1</v>
      </c>
      <c r="AN277" s="42" t="str">
        <v>Brazil</v>
      </c>
      <c r="AO277" s="42" t="str">
        <v>-</v>
      </c>
    </row>
    <row r="278" spans="7:41">
      <c r="G278" s="30">
        <v>2022</v>
      </c>
      <c r="H278" s="30" t="str">
        <v>ROUND_OF_16</v>
      </c>
      <c r="I278" s="30" t="str">
        <v>Japan</v>
      </c>
      <c r="J278" s="30" t="str">
        <v>Croatia</v>
      </c>
      <c r="K278" s="30" t="str">
        <v>Japan</v>
      </c>
      <c r="L278" s="30" t="str">
        <v>Takumi Minamino</v>
      </c>
      <c r="M278" s="30" t="str">
        <v>Dominik Livaković</v>
      </c>
      <c r="N278" s="30">
        <v>1</v>
      </c>
      <c r="O278" s="30">
        <v>1</v>
      </c>
      <c r="P278" s="30" t="str">
        <v>'0-0</v>
      </c>
      <c r="Q278" s="30" t="str">
        <v>No</v>
      </c>
      <c r="R278" s="30" t="str">
        <v>No</v>
      </c>
      <c r="S278" s="30" t="str">
        <v>Saved</v>
      </c>
      <c r="T278" s="30" t="str">
        <f t="shared" si="12"/>
        <v>0-0</v>
      </c>
      <c r="U278" s="30">
        <f t="shared" si="13"/>
        <v>0</v>
      </c>
      <c r="V278" s="30">
        <f t="shared" si="14"/>
        <v>0</v>
      </c>
      <c r="X278" s="12">
        <v>276</v>
      </c>
      <c r="Y278" s="12" t="str">
        <v>Samir El Mourabet</v>
      </c>
      <c r="Z278" s="12">
        <v>20</v>
      </c>
      <c r="AA278" s="12" t="str">
        <v>Morocco</v>
      </c>
      <c r="AB278" s="12" t="str">
        <v>CM</v>
      </c>
      <c r="AC278" s="12" t="str">
        <v>Strasbourg</v>
      </c>
      <c r="AD278" s="12">
        <v>15</v>
      </c>
      <c r="AF278" s="42">
        <v>1978</v>
      </c>
      <c r="AG278" s="42" t="str">
        <v xml:space="preserve">03 Jun 1978 - 13:45 </v>
      </c>
      <c r="AH278" s="42" t="str">
        <v>GROUP_STAGE</v>
      </c>
      <c r="AI278" s="42" t="str">
        <v>Jose Amalfitani</v>
      </c>
      <c r="AJ278" s="42" t="str">
        <v xml:space="preserve">Buenos Aires </v>
      </c>
      <c r="AK278" s="42" t="str">
        <v>Austria</v>
      </c>
      <c r="AL278" s="42">
        <v>2</v>
      </c>
      <c r="AM278" s="42">
        <v>1</v>
      </c>
      <c r="AN278" s="42" t="str">
        <v>Spain</v>
      </c>
      <c r="AO278" s="42" t="str">
        <v>-</v>
      </c>
    </row>
    <row r="279" spans="7:41">
      <c r="G279" s="30">
        <v>2022</v>
      </c>
      <c r="H279" s="30" t="str">
        <v>ROUND_OF_16</v>
      </c>
      <c r="I279" s="30" t="str">
        <v>Japan</v>
      </c>
      <c r="J279" s="30" t="str">
        <v>Croatia</v>
      </c>
      <c r="K279" s="30" t="str">
        <v>Croatia</v>
      </c>
      <c r="L279" s="30" t="str">
        <v>Nikola Vlašić</v>
      </c>
      <c r="M279" s="30" t="str">
        <v>Shūichi Gonda</v>
      </c>
      <c r="N279" s="30">
        <v>2</v>
      </c>
      <c r="O279" s="30">
        <v>1</v>
      </c>
      <c r="P279" s="30" t="str">
        <v>'0-0</v>
      </c>
      <c r="Q279" s="30" t="str">
        <v>No</v>
      </c>
      <c r="R279" s="30" t="str">
        <v>No</v>
      </c>
      <c r="S279" s="30" t="str">
        <v>Goal</v>
      </c>
      <c r="T279" s="30" t="str">
        <f t="shared" si="12"/>
        <v>0-0</v>
      </c>
      <c r="U279" s="30">
        <f t="shared" si="13"/>
        <v>0</v>
      </c>
      <c r="V279" s="30">
        <f t="shared" si="14"/>
        <v>0</v>
      </c>
      <c r="X279" s="12">
        <v>277</v>
      </c>
      <c r="Y279" s="12" t="str">
        <v>Gessime Yassine</v>
      </c>
      <c r="Z279" s="12">
        <v>20</v>
      </c>
      <c r="AA279" s="12" t="str">
        <v>Morocco</v>
      </c>
      <c r="AB279" s="12" t="str">
        <v>CM</v>
      </c>
      <c r="AC279" s="12" t="str">
        <v>Strasbourg</v>
      </c>
      <c r="AD279" s="12">
        <v>16</v>
      </c>
      <c r="AF279" s="42">
        <v>1978</v>
      </c>
      <c r="AG279" s="42" t="str">
        <v xml:space="preserve">03 Jun 1978 - 16:45 </v>
      </c>
      <c r="AH279" s="42" t="str">
        <v>GROUP_STAGE</v>
      </c>
      <c r="AI279" s="42" t="str">
        <v>Estadio Olímpico Chateau Carreras</v>
      </c>
      <c r="AJ279" s="42" t="str">
        <v xml:space="preserve">Cordoba </v>
      </c>
      <c r="AK279" s="42" t="str">
        <v>Peru</v>
      </c>
      <c r="AL279" s="42">
        <v>3</v>
      </c>
      <c r="AM279" s="42">
        <v>1</v>
      </c>
      <c r="AN279" s="42" t="str">
        <v>Scotland</v>
      </c>
      <c r="AO279" s="42" t="str">
        <v>-</v>
      </c>
    </row>
    <row r="280" spans="7:41">
      <c r="G280" s="30">
        <v>2022</v>
      </c>
      <c r="H280" s="30" t="str">
        <v>ROUND_OF_16</v>
      </c>
      <c r="I280" s="30" t="str">
        <v>Japan</v>
      </c>
      <c r="J280" s="30" t="str">
        <v>Croatia</v>
      </c>
      <c r="K280" s="30" t="str">
        <v>Japan</v>
      </c>
      <c r="L280" s="30" t="str">
        <v>Kaoru Mitoma</v>
      </c>
      <c r="M280" s="30" t="str">
        <v>Dominik Livaković</v>
      </c>
      <c r="N280" s="30">
        <v>3</v>
      </c>
      <c r="O280" s="30">
        <v>2</v>
      </c>
      <c r="P280" s="30" t="str">
        <v>'0-1</v>
      </c>
      <c r="Q280" s="30" t="str">
        <v>No</v>
      </c>
      <c r="R280" s="30" t="str">
        <v>No</v>
      </c>
      <c r="S280" s="30" t="str">
        <v>Saved</v>
      </c>
      <c r="T280" s="30" t="str">
        <f t="shared" si="12"/>
        <v>0-1</v>
      </c>
      <c r="U280" s="30">
        <f t="shared" si="13"/>
        <v>0</v>
      </c>
      <c r="V280" s="30">
        <f t="shared" si="14"/>
        <v>1</v>
      </c>
      <c r="X280" s="12">
        <v>278</v>
      </c>
      <c r="Y280" s="12" t="str">
        <v>Neil El Aynaoui</v>
      </c>
      <c r="Z280" s="12">
        <v>24</v>
      </c>
      <c r="AA280" s="12" t="str">
        <v>Morocco</v>
      </c>
      <c r="AB280" s="12" t="str">
        <v>CM</v>
      </c>
      <c r="AC280" s="12" t="str">
        <v>Roma</v>
      </c>
      <c r="AD280" s="12">
        <v>24</v>
      </c>
      <c r="AF280" s="42">
        <v>1978</v>
      </c>
      <c r="AG280" s="42" t="str">
        <v xml:space="preserve">03 Jun 1978 - 16:45 </v>
      </c>
      <c r="AH280" s="42" t="str">
        <v>GROUP_STAGE</v>
      </c>
      <c r="AI280" s="42" t="str">
        <v>San Martin</v>
      </c>
      <c r="AJ280" s="42" t="str">
        <v xml:space="preserve">Mendoza </v>
      </c>
      <c r="AK280" s="42" t="str">
        <v>Netherlands</v>
      </c>
      <c r="AL280" s="42">
        <v>3</v>
      </c>
      <c r="AM280" s="42">
        <v>0</v>
      </c>
      <c r="AN280" s="42" t="str">
        <v>Iran</v>
      </c>
      <c r="AO280" s="42" t="str">
        <v>-</v>
      </c>
    </row>
    <row r="281" spans="7:41">
      <c r="G281" s="30">
        <v>2022</v>
      </c>
      <c r="H281" s="30" t="str">
        <v>ROUND_OF_16</v>
      </c>
      <c r="I281" s="30" t="str">
        <v>Japan</v>
      </c>
      <c r="J281" s="30" t="str">
        <v>Croatia</v>
      </c>
      <c r="K281" s="30" t="str">
        <v>Croatia</v>
      </c>
      <c r="L281" s="30" t="str">
        <v>Marcelo Brozović</v>
      </c>
      <c r="M281" s="30" t="str">
        <v>Shūichi Gonda</v>
      </c>
      <c r="N281" s="30">
        <v>4</v>
      </c>
      <c r="O281" s="30">
        <v>2</v>
      </c>
      <c r="P281" s="30" t="str">
        <v>'0-1</v>
      </c>
      <c r="Q281" s="30" t="str">
        <v>No</v>
      </c>
      <c r="R281" s="30" t="str">
        <v>No</v>
      </c>
      <c r="S281" s="30" t="str">
        <v>Goal</v>
      </c>
      <c r="T281" s="30" t="str">
        <f t="shared" si="12"/>
        <v>0-1</v>
      </c>
      <c r="U281" s="30">
        <f t="shared" si="13"/>
        <v>0</v>
      </c>
      <c r="V281" s="30">
        <f t="shared" si="14"/>
        <v>1</v>
      </c>
      <c r="X281" s="12">
        <v>279</v>
      </c>
      <c r="Y281" s="12" t="str">
        <v>Chemsdine Talbi</v>
      </c>
      <c r="Z281" s="12">
        <v>21</v>
      </c>
      <c r="AA281" s="12" t="str">
        <v>Morocco</v>
      </c>
      <c r="AB281" s="12" t="str">
        <v>CAM</v>
      </c>
      <c r="AC281" s="12" t="str">
        <v>Sunderland</v>
      </c>
      <c r="AD281" s="12">
        <v>7</v>
      </c>
      <c r="AF281" s="42">
        <v>1978</v>
      </c>
      <c r="AG281" s="42" t="str">
        <v xml:space="preserve">06 Jun 1978 - 13:45 </v>
      </c>
      <c r="AH281" s="42" t="str">
        <v>GROUP_STAGE</v>
      </c>
      <c r="AI281" s="42" t="str">
        <v>Estadio José María Minella</v>
      </c>
      <c r="AJ281" s="42" t="str">
        <v xml:space="preserve">Mar Del Plata </v>
      </c>
      <c r="AK281" s="42" t="str">
        <v>Italy</v>
      </c>
      <c r="AL281" s="42">
        <v>3</v>
      </c>
      <c r="AM281" s="42">
        <v>1</v>
      </c>
      <c r="AN281" s="42" t="str">
        <v>Hungary</v>
      </c>
      <c r="AO281" s="42" t="str">
        <v>-</v>
      </c>
    </row>
    <row r="282" spans="7:41">
      <c r="G282" s="30">
        <v>2022</v>
      </c>
      <c r="H282" s="30" t="str">
        <v>ROUND_OF_16</v>
      </c>
      <c r="I282" s="30" t="str">
        <v>Japan</v>
      </c>
      <c r="J282" s="30" t="str">
        <v>Croatia</v>
      </c>
      <c r="K282" s="30" t="str">
        <v>Japan</v>
      </c>
      <c r="L282" s="30" t="str">
        <v>Takuma Asano</v>
      </c>
      <c r="M282" s="30" t="str">
        <v>Dominik Livaković</v>
      </c>
      <c r="N282" s="30">
        <v>5</v>
      </c>
      <c r="O282" s="30">
        <v>3</v>
      </c>
      <c r="P282" s="30" t="str">
        <v>'0-2</v>
      </c>
      <c r="Q282" s="30" t="str">
        <v>No</v>
      </c>
      <c r="R282" s="30" t="str">
        <v>No</v>
      </c>
      <c r="S282" s="30" t="str">
        <v>Goal</v>
      </c>
      <c r="T282" s="30" t="str">
        <f t="shared" si="12"/>
        <v>0-2</v>
      </c>
      <c r="U282" s="30">
        <f t="shared" si="13"/>
        <v>0</v>
      </c>
      <c r="V282" s="30">
        <f t="shared" si="14"/>
        <v>2</v>
      </c>
      <c r="X282" s="12">
        <v>280</v>
      </c>
      <c r="Y282" s="12" t="str">
        <v>Ismael Saibari</v>
      </c>
      <c r="Z282" s="12">
        <v>25</v>
      </c>
      <c r="AA282" s="12" t="str">
        <v>Morocco</v>
      </c>
      <c r="AB282" s="12" t="str">
        <v>CAM</v>
      </c>
      <c r="AC282" s="12" t="str">
        <v>PSV Eindhoven</v>
      </c>
      <c r="AD282" s="12">
        <v>11</v>
      </c>
      <c r="AF282" s="42">
        <v>1978</v>
      </c>
      <c r="AG282" s="42" t="str">
        <v xml:space="preserve">06 Jun 1978 - 16:45 </v>
      </c>
      <c r="AH282" s="42" t="str">
        <v>GROUP_STAGE</v>
      </c>
      <c r="AI282" s="42" t="str">
        <v>Arroyito - Estadio Dr. Lisandro de la Torre</v>
      </c>
      <c r="AJ282" s="42" t="str">
        <v xml:space="preserve">Rosario </v>
      </c>
      <c r="AK282" s="42" t="str">
        <v>Poland</v>
      </c>
      <c r="AL282" s="42">
        <v>1</v>
      </c>
      <c r="AM282" s="42">
        <v>0</v>
      </c>
      <c r="AN282" s="42" t="str">
        <v>Tunisia</v>
      </c>
      <c r="AO282" s="42" t="str">
        <v>-</v>
      </c>
    </row>
    <row r="283" spans="7:41">
      <c r="G283" s="30">
        <v>2022</v>
      </c>
      <c r="H283" s="30" t="str">
        <v>ROUND_OF_16</v>
      </c>
      <c r="I283" s="30" t="str">
        <v>Japan</v>
      </c>
      <c r="J283" s="30" t="str">
        <v>Croatia</v>
      </c>
      <c r="K283" s="30" t="str">
        <v>Croatia</v>
      </c>
      <c r="L283" s="30" t="str">
        <v>Marko Livaja</v>
      </c>
      <c r="M283" s="30" t="str">
        <v>Shūichi Gonda</v>
      </c>
      <c r="N283" s="30">
        <v>6</v>
      </c>
      <c r="O283" s="30">
        <v>3</v>
      </c>
      <c r="P283" s="30" t="str">
        <v>'2-1</v>
      </c>
      <c r="Q283" s="30" t="str">
        <v>No</v>
      </c>
      <c r="R283" s="30" t="str">
        <v>No</v>
      </c>
      <c r="S283" s="30" t="str">
        <v>Missed</v>
      </c>
      <c r="T283" s="30" t="str">
        <f t="shared" si="12"/>
        <v>2-1</v>
      </c>
      <c r="U283" s="30">
        <f t="shared" si="13"/>
        <v>2</v>
      </c>
      <c r="V283" s="30">
        <f t="shared" si="14"/>
        <v>1</v>
      </c>
      <c r="X283" s="12">
        <v>281</v>
      </c>
      <c r="Y283" s="12" t="str">
        <v>Bilal El Khannouss</v>
      </c>
      <c r="Z283" s="12">
        <v>22</v>
      </c>
      <c r="AA283" s="12" t="str">
        <v>Morocco</v>
      </c>
      <c r="AB283" s="12" t="str">
        <v>CAM</v>
      </c>
      <c r="AC283" s="12" t="str">
        <v>VfB Stuttgart</v>
      </c>
      <c r="AD283" s="12">
        <v>23</v>
      </c>
      <c r="AF283" s="42">
        <v>1978</v>
      </c>
      <c r="AG283" s="42" t="str">
        <v xml:space="preserve">06 Jun 1978 - 16:45 </v>
      </c>
      <c r="AH283" s="42" t="str">
        <v>GROUP_STAGE</v>
      </c>
      <c r="AI283" s="42" t="str">
        <v>Estadio Olímpico Chateau Carreras</v>
      </c>
      <c r="AJ283" s="42" t="str">
        <v xml:space="preserve">Cordoba </v>
      </c>
      <c r="AK283" s="42" t="str">
        <v>FR Germany</v>
      </c>
      <c r="AL283" s="42">
        <v>6</v>
      </c>
      <c r="AM283" s="42">
        <v>0</v>
      </c>
      <c r="AN283" s="42" t="str">
        <v>Mexico</v>
      </c>
      <c r="AO283" s="42" t="str">
        <v>-</v>
      </c>
    </row>
    <row r="284" spans="7:41">
      <c r="G284" s="30">
        <v>2022</v>
      </c>
      <c r="H284" s="30" t="str">
        <v>ROUND_OF_16</v>
      </c>
      <c r="I284" s="30" t="str">
        <v>Japan</v>
      </c>
      <c r="J284" s="30" t="str">
        <v>Croatia</v>
      </c>
      <c r="K284" s="30" t="str">
        <v>Japan</v>
      </c>
      <c r="L284" s="30" t="str">
        <v>Maya Yoshida</v>
      </c>
      <c r="M284" s="30" t="str">
        <v>Dominik Livaković</v>
      </c>
      <c r="N284" s="30">
        <v>7</v>
      </c>
      <c r="O284" s="30">
        <v>4</v>
      </c>
      <c r="P284" s="30" t="str">
        <v>'2-1</v>
      </c>
      <c r="Q284" s="30" t="str">
        <v>No</v>
      </c>
      <c r="R284" s="30" t="str">
        <v>No</v>
      </c>
      <c r="S284" s="30" t="str">
        <v>Saved</v>
      </c>
      <c r="T284" s="30" t="str">
        <f t="shared" si="12"/>
        <v>2-1</v>
      </c>
      <c r="U284" s="30">
        <f t="shared" si="13"/>
        <v>2</v>
      </c>
      <c r="V284" s="30">
        <f t="shared" si="14"/>
        <v>1</v>
      </c>
      <c r="X284" s="12">
        <v>282</v>
      </c>
      <c r="Y284" s="12" t="str">
        <v>Brahim Díaz</v>
      </c>
      <c r="Z284" s="12">
        <v>26</v>
      </c>
      <c r="AA284" s="12" t="str">
        <v>Morocco</v>
      </c>
      <c r="AB284" s="12" t="str">
        <v>LW</v>
      </c>
      <c r="AC284" s="12" t="str">
        <v>Real Madrid</v>
      </c>
      <c r="AD284" s="12">
        <v>10</v>
      </c>
      <c r="AF284" s="42">
        <v>1978</v>
      </c>
      <c r="AG284" s="42" t="str">
        <v xml:space="preserve">06 Jun 1978 - 19:15 </v>
      </c>
      <c r="AH284" s="42" t="str">
        <v>GROUP_STAGE</v>
      </c>
      <c r="AI284" s="42" t="str">
        <v>El Monumental - Estadio Monumental Antonio Vespuci</v>
      </c>
      <c r="AJ284" s="42" t="str">
        <v xml:space="preserve">Buenos Aires </v>
      </c>
      <c r="AK284" s="42" t="str">
        <v>Argentina</v>
      </c>
      <c r="AL284" s="42">
        <v>2</v>
      </c>
      <c r="AM284" s="42">
        <v>1</v>
      </c>
      <c r="AN284" s="42" t="str">
        <v>France</v>
      </c>
      <c r="AO284" s="42" t="str">
        <v>-</v>
      </c>
    </row>
    <row r="285" spans="7:41">
      <c r="G285" s="30">
        <v>2022</v>
      </c>
      <c r="H285" s="30" t="str">
        <v>ROUND_OF_16</v>
      </c>
      <c r="I285" s="30" t="str">
        <v>Japan</v>
      </c>
      <c r="J285" s="30" t="str">
        <v>Croatia</v>
      </c>
      <c r="K285" s="30" t="str">
        <v>Croatia</v>
      </c>
      <c r="L285" s="30" t="str">
        <v>Mario Pašalić</v>
      </c>
      <c r="M285" s="30" t="str">
        <v>Shūichi Gonda</v>
      </c>
      <c r="N285" s="30">
        <v>8</v>
      </c>
      <c r="O285" s="30">
        <v>4</v>
      </c>
      <c r="P285" s="30" t="str">
        <v>'2-1</v>
      </c>
      <c r="Q285" s="30" t="str">
        <v>No</v>
      </c>
      <c r="R285" s="30" t="str">
        <v>Yes</v>
      </c>
      <c r="S285" s="30" t="str">
        <v>Goal</v>
      </c>
      <c r="T285" s="30" t="str">
        <f t="shared" si="12"/>
        <v>2-1</v>
      </c>
      <c r="U285" s="30">
        <f t="shared" si="13"/>
        <v>2</v>
      </c>
      <c r="V285" s="30">
        <f t="shared" si="14"/>
        <v>1</v>
      </c>
      <c r="X285" s="12">
        <v>283</v>
      </c>
      <c r="Y285" s="12" t="str">
        <v>Amine Sbaï</v>
      </c>
      <c r="Z285" s="12">
        <v>25</v>
      </c>
      <c r="AA285" s="12" t="str">
        <v>Morocco</v>
      </c>
      <c r="AB285" s="12" t="str">
        <v>LW</v>
      </c>
      <c r="AC285" s="12" t="str">
        <v>Angers</v>
      </c>
      <c r="AD285" s="12">
        <v>17</v>
      </c>
      <c r="AF285" s="42">
        <v>1978</v>
      </c>
      <c r="AG285" s="42" t="str">
        <v xml:space="preserve">07 Jun 1978 - 13:45 </v>
      </c>
      <c r="AH285" s="42" t="str">
        <v>GROUP_STAGE</v>
      </c>
      <c r="AI285" s="42" t="str">
        <v>Estadio José María Minella</v>
      </c>
      <c r="AJ285" s="42" t="str">
        <v xml:space="preserve">Mar Del Plata </v>
      </c>
      <c r="AK285" s="42" t="str">
        <v>Brazil</v>
      </c>
      <c r="AL285" s="42">
        <v>0</v>
      </c>
      <c r="AM285" s="42">
        <v>0</v>
      </c>
      <c r="AN285" s="42" t="str">
        <v>Spain</v>
      </c>
      <c r="AO285" s="42" t="str">
        <v>-</v>
      </c>
    </row>
    <row r="286" spans="7:41">
      <c r="G286" s="30">
        <v>2022</v>
      </c>
      <c r="H286" s="30" t="str">
        <v>ROUND_OF_16</v>
      </c>
      <c r="I286" s="30" t="str">
        <v>Morocco</v>
      </c>
      <c r="J286" s="30" t="str">
        <v>Spain</v>
      </c>
      <c r="K286" s="30" t="str">
        <v>Morocco</v>
      </c>
      <c r="L286" s="30" t="str">
        <v>Abdelhamid Sabiri</v>
      </c>
      <c r="M286" s="30" t="str">
        <v>Unai Simón</v>
      </c>
      <c r="N286" s="30">
        <v>1</v>
      </c>
      <c r="O286" s="30">
        <v>1</v>
      </c>
      <c r="P286" s="30" t="str">
        <v>'0-0</v>
      </c>
      <c r="Q286" s="30" t="str">
        <v>No</v>
      </c>
      <c r="R286" s="30" t="str">
        <v>No</v>
      </c>
      <c r="S286" s="30" t="str">
        <v>Goal</v>
      </c>
      <c r="T286" s="30" t="str">
        <f t="shared" si="12"/>
        <v>0-0</v>
      </c>
      <c r="U286" s="30">
        <f t="shared" si="13"/>
        <v>0</v>
      </c>
      <c r="V286" s="30">
        <f t="shared" si="14"/>
        <v>0</v>
      </c>
      <c r="X286" s="12">
        <v>284</v>
      </c>
      <c r="Y286" s="12" t="str">
        <v>Ayoube Amaimouni</v>
      </c>
      <c r="Z286" s="12">
        <v>21</v>
      </c>
      <c r="AA286" s="12" t="str">
        <v>Morocco</v>
      </c>
      <c r="AB286" s="12" t="str">
        <v>RW</v>
      </c>
      <c r="AC286" s="12" t="str">
        <v>Eintracht Frankfurt</v>
      </c>
      <c r="AD286" s="12">
        <v>21</v>
      </c>
      <c r="AF286" s="42">
        <v>1978</v>
      </c>
      <c r="AG286" s="42" t="str">
        <v xml:space="preserve">07 Jun 1978 - 13:45 </v>
      </c>
      <c r="AH286" s="42" t="str">
        <v>GROUP_STAGE</v>
      </c>
      <c r="AI286" s="42" t="str">
        <v>Jose Amalfitani</v>
      </c>
      <c r="AJ286" s="42" t="str">
        <v xml:space="preserve">Buenos Aires </v>
      </c>
      <c r="AK286" s="42" t="str">
        <v>Austria</v>
      </c>
      <c r="AL286" s="42">
        <v>1</v>
      </c>
      <c r="AM286" s="42">
        <v>0</v>
      </c>
      <c r="AN286" s="42" t="str">
        <v>Sweden</v>
      </c>
      <c r="AO286" s="42" t="str">
        <v>-</v>
      </c>
    </row>
    <row r="287" spans="7:41">
      <c r="G287" s="30">
        <v>2022</v>
      </c>
      <c r="H287" s="30" t="str">
        <v>ROUND_OF_16</v>
      </c>
      <c r="I287" s="30" t="str">
        <v>Morocco</v>
      </c>
      <c r="J287" s="30" t="str">
        <v>Spain</v>
      </c>
      <c r="K287" s="30" t="str">
        <v>Spain</v>
      </c>
      <c r="L287" s="30" t="str">
        <v>Pablo Sarabia</v>
      </c>
      <c r="M287" s="30" t="str">
        <v>Yassine Bounou</v>
      </c>
      <c r="N287" s="30">
        <v>2</v>
      </c>
      <c r="O287" s="30">
        <v>1</v>
      </c>
      <c r="P287" s="30" t="str">
        <v>'1-0</v>
      </c>
      <c r="Q287" s="30" t="str">
        <v>No</v>
      </c>
      <c r="R287" s="30" t="str">
        <v>No</v>
      </c>
      <c r="S287" s="30" t="str">
        <v>Missed</v>
      </c>
      <c r="T287" s="30" t="str">
        <f t="shared" si="12"/>
        <v>1-0</v>
      </c>
      <c r="U287" s="30">
        <f t="shared" si="13"/>
        <v>1</v>
      </c>
      <c r="V287" s="30">
        <f t="shared" si="14"/>
        <v>0</v>
      </c>
      <c r="X287" s="12">
        <v>285</v>
      </c>
      <c r="Y287" s="12" t="str">
        <v>Soufiane Rahimi</v>
      </c>
      <c r="Z287" s="12">
        <v>30</v>
      </c>
      <c r="AA287" s="12" t="str">
        <v>Morocco</v>
      </c>
      <c r="AB287" s="12" t="str">
        <v>ST</v>
      </c>
      <c r="AC287" s="12" t="str">
        <v>Al Ain</v>
      </c>
      <c r="AD287" s="12">
        <v>9</v>
      </c>
      <c r="AF287" s="42">
        <v>1978</v>
      </c>
      <c r="AG287" s="42" t="str">
        <v xml:space="preserve">07 Jun 1978 - 16:45 </v>
      </c>
      <c r="AH287" s="42" t="str">
        <v>GROUP_STAGE</v>
      </c>
      <c r="AI287" s="42" t="str">
        <v>Estadio Olímpico Chateau Carreras</v>
      </c>
      <c r="AJ287" s="42" t="str">
        <v xml:space="preserve">Cordoba </v>
      </c>
      <c r="AK287" s="42" t="str">
        <v>Scotland</v>
      </c>
      <c r="AL287" s="42">
        <v>1</v>
      </c>
      <c r="AM287" s="42">
        <v>1</v>
      </c>
      <c r="AN287" s="42" t="str">
        <v>Iran</v>
      </c>
      <c r="AO287" s="42" t="str">
        <v>-</v>
      </c>
    </row>
    <row r="288" spans="7:41">
      <c r="G288" s="30">
        <v>2022</v>
      </c>
      <c r="H288" s="30" t="str">
        <v>ROUND_OF_16</v>
      </c>
      <c r="I288" s="30" t="str">
        <v>Morocco</v>
      </c>
      <c r="J288" s="30" t="str">
        <v>Spain</v>
      </c>
      <c r="K288" s="30" t="str">
        <v>Morocco</v>
      </c>
      <c r="L288" s="30" t="str">
        <v>Hakim Ziyech</v>
      </c>
      <c r="M288" s="30" t="str">
        <v>Unai Simón</v>
      </c>
      <c r="N288" s="30">
        <v>3</v>
      </c>
      <c r="O288" s="30">
        <v>2</v>
      </c>
      <c r="P288" s="30" t="str">
        <v>'1-0</v>
      </c>
      <c r="Q288" s="30" t="str">
        <v>No</v>
      </c>
      <c r="R288" s="30" t="str">
        <v>No</v>
      </c>
      <c r="S288" s="30" t="str">
        <v>Goal</v>
      </c>
      <c r="T288" s="30" t="str">
        <f t="shared" si="12"/>
        <v>1-0</v>
      </c>
      <c r="U288" s="30">
        <f t="shared" si="13"/>
        <v>1</v>
      </c>
      <c r="V288" s="30">
        <f t="shared" si="14"/>
        <v>0</v>
      </c>
      <c r="X288" s="12">
        <v>286</v>
      </c>
      <c r="Y288" s="12" t="str">
        <v>Ayoub El Kaabi</v>
      </c>
      <c r="Z288" s="12">
        <v>32</v>
      </c>
      <c r="AA288" s="12" t="str">
        <v>Morocco</v>
      </c>
      <c r="AB288" s="12" t="str">
        <v>ST</v>
      </c>
      <c r="AC288" s="12" t="str">
        <v>Olympiacos</v>
      </c>
      <c r="AD288" s="12">
        <v>20</v>
      </c>
      <c r="AF288" s="42">
        <v>1978</v>
      </c>
      <c r="AG288" s="42" t="str">
        <v xml:space="preserve">07 Jun 1978 - 16:45 </v>
      </c>
      <c r="AH288" s="42" t="str">
        <v>GROUP_STAGE</v>
      </c>
      <c r="AI288" s="42" t="str">
        <v>San Martin</v>
      </c>
      <c r="AJ288" s="42" t="str">
        <v xml:space="preserve">Mendoza </v>
      </c>
      <c r="AK288" s="42" t="str">
        <v>Netherlands</v>
      </c>
      <c r="AL288" s="42">
        <v>0</v>
      </c>
      <c r="AM288" s="42">
        <v>0</v>
      </c>
      <c r="AN288" s="42" t="str">
        <v>Peru</v>
      </c>
      <c r="AO288" s="42" t="str">
        <v>-</v>
      </c>
    </row>
    <row r="289" spans="7:41">
      <c r="G289" s="30">
        <v>2022</v>
      </c>
      <c r="H289" s="30" t="str">
        <v>ROUND_OF_16</v>
      </c>
      <c r="I289" s="30" t="str">
        <v>Morocco</v>
      </c>
      <c r="J289" s="30" t="str">
        <v>Spain</v>
      </c>
      <c r="K289" s="30" t="str">
        <v>Spain</v>
      </c>
      <c r="L289" s="30" t="str">
        <v>Carlos Soler</v>
      </c>
      <c r="M289" s="30" t="str">
        <v>Yassine Bounou</v>
      </c>
      <c r="N289" s="30">
        <v>4</v>
      </c>
      <c r="O289" s="30">
        <v>2</v>
      </c>
      <c r="P289" s="30" t="str">
        <v>'2-0</v>
      </c>
      <c r="Q289" s="30" t="str">
        <v>No</v>
      </c>
      <c r="R289" s="30" t="str">
        <v>No</v>
      </c>
      <c r="S289" s="30" t="str">
        <v>Saved</v>
      </c>
      <c r="T289" s="30" t="str">
        <f t="shared" si="12"/>
        <v>2-0</v>
      </c>
      <c r="U289" s="30">
        <f t="shared" si="13"/>
        <v>2</v>
      </c>
      <c r="V289" s="30">
        <f t="shared" si="14"/>
        <v>0</v>
      </c>
      <c r="X289" s="12">
        <v>287</v>
      </c>
      <c r="Y289" s="12" t="str">
        <v>Angus Gunn</v>
      </c>
      <c r="Z289" s="12">
        <v>30</v>
      </c>
      <c r="AA289" s="12" t="str">
        <v>Scotland</v>
      </c>
      <c r="AB289" s="12" t="str">
        <v>GK</v>
      </c>
      <c r="AC289" s="12" t="str">
        <v>Nottingham Forest</v>
      </c>
      <c r="AD289" s="12">
        <v>1</v>
      </c>
      <c r="AF289" s="42">
        <v>1978</v>
      </c>
      <c r="AG289" s="42" t="str">
        <v xml:space="preserve">10 Jun 1978 - 15:10 </v>
      </c>
      <c r="AH289" s="42" t="str">
        <v>GROUP_STAGE</v>
      </c>
      <c r="AI289" s="42" t="str">
        <v>Estadio José María Minella</v>
      </c>
      <c r="AJ289" s="42" t="str">
        <v xml:space="preserve">Mar Del Plata </v>
      </c>
      <c r="AK289" s="42" t="str">
        <v>France</v>
      </c>
      <c r="AL289" s="42">
        <v>3</v>
      </c>
      <c r="AM289" s="42">
        <v>1</v>
      </c>
      <c r="AN289" s="42" t="str">
        <v>Hungary</v>
      </c>
      <c r="AO289" s="42" t="str">
        <v>-</v>
      </c>
    </row>
    <row r="290" spans="7:41">
      <c r="G290" s="30">
        <v>2022</v>
      </c>
      <c r="H290" s="30" t="str">
        <v>ROUND_OF_16</v>
      </c>
      <c r="I290" s="30" t="str">
        <v>Morocco</v>
      </c>
      <c r="J290" s="30" t="str">
        <v>Spain</v>
      </c>
      <c r="K290" s="30" t="str">
        <v>Morocco</v>
      </c>
      <c r="L290" s="30" t="str">
        <v>Badr Benoun</v>
      </c>
      <c r="M290" s="30" t="str">
        <v>Unai Simón</v>
      </c>
      <c r="N290" s="30">
        <v>5</v>
      </c>
      <c r="O290" s="30">
        <v>3</v>
      </c>
      <c r="P290" s="30" t="str">
        <v>'2-0</v>
      </c>
      <c r="Q290" s="30" t="str">
        <v>No</v>
      </c>
      <c r="R290" s="30" t="str">
        <v>No</v>
      </c>
      <c r="S290" s="30" t="str">
        <v>Saved</v>
      </c>
      <c r="T290" s="30" t="str">
        <f t="shared" si="12"/>
        <v>2-0</v>
      </c>
      <c r="U290" s="30">
        <f t="shared" si="13"/>
        <v>2</v>
      </c>
      <c r="V290" s="30">
        <f t="shared" si="14"/>
        <v>0</v>
      </c>
      <c r="X290" s="12">
        <v>288</v>
      </c>
      <c r="Y290" s="12" t="str">
        <v>Liam Kelly</v>
      </c>
      <c r="Z290" s="12">
        <v>30</v>
      </c>
      <c r="AA290" s="12" t="str">
        <v>Scotland</v>
      </c>
      <c r="AB290" s="12" t="str">
        <v>GK</v>
      </c>
      <c r="AC290" s="12" t="str">
        <v>Rangers</v>
      </c>
      <c r="AD290" s="12">
        <v>12</v>
      </c>
      <c r="AF290" s="42">
        <v>1978</v>
      </c>
      <c r="AG290" s="42" t="str">
        <v xml:space="preserve">10 Jun 1978 - 16:45 </v>
      </c>
      <c r="AH290" s="42" t="str">
        <v>GROUP_STAGE</v>
      </c>
      <c r="AI290" s="42" t="str">
        <v>Arroyito - Estadio Dr. Lisandro de la Torre</v>
      </c>
      <c r="AJ290" s="42" t="str">
        <v xml:space="preserve">Rosario </v>
      </c>
      <c r="AK290" s="42" t="str">
        <v>Poland</v>
      </c>
      <c r="AL290" s="42">
        <v>3</v>
      </c>
      <c r="AM290" s="42">
        <v>1</v>
      </c>
      <c r="AN290" s="42" t="str">
        <v>Mexico</v>
      </c>
      <c r="AO290" s="42" t="str">
        <v>-</v>
      </c>
    </row>
    <row r="291" spans="7:41">
      <c r="G291" s="30">
        <v>2022</v>
      </c>
      <c r="H291" s="30" t="str">
        <v>ROUND_OF_16</v>
      </c>
      <c r="I291" s="30" t="str">
        <v>Morocco</v>
      </c>
      <c r="J291" s="30" t="str">
        <v>Spain</v>
      </c>
      <c r="K291" s="30" t="str">
        <v>Spain</v>
      </c>
      <c r="L291" s="30" t="str">
        <v>Sergio Busquets</v>
      </c>
      <c r="M291" s="30" t="str">
        <v>Yassine Bounou</v>
      </c>
      <c r="N291" s="30">
        <v>6</v>
      </c>
      <c r="O291" s="30">
        <v>3</v>
      </c>
      <c r="P291" s="30" t="str">
        <v>'2-0</v>
      </c>
      <c r="Q291" s="30" t="str">
        <v>No</v>
      </c>
      <c r="R291" s="30" t="str">
        <v>No</v>
      </c>
      <c r="S291" s="30" t="str">
        <v>Saved</v>
      </c>
      <c r="T291" s="30" t="str">
        <f t="shared" si="12"/>
        <v>2-0</v>
      </c>
      <c r="U291" s="30">
        <f t="shared" si="13"/>
        <v>2</v>
      </c>
      <c r="V291" s="30">
        <f t="shared" si="14"/>
        <v>0</v>
      </c>
      <c r="X291" s="12">
        <v>289</v>
      </c>
      <c r="Y291" s="12" t="str">
        <v>Craig Gordon</v>
      </c>
      <c r="Z291" s="12">
        <v>43</v>
      </c>
      <c r="AA291" s="12" t="str">
        <v>Scotland</v>
      </c>
      <c r="AB291" s="12" t="str">
        <v>GK</v>
      </c>
      <c r="AC291" s="12" t="str">
        <v>Heart of Midlothian</v>
      </c>
      <c r="AD291" s="12">
        <v>21</v>
      </c>
      <c r="AF291" s="42">
        <v>1978</v>
      </c>
      <c r="AG291" s="42" t="str">
        <v xml:space="preserve">10 Jun 1978 - 16:45 </v>
      </c>
      <c r="AH291" s="42" t="str">
        <v>GROUP_STAGE</v>
      </c>
      <c r="AI291" s="42" t="str">
        <v>Estadio Olímpico Chateau Carreras</v>
      </c>
      <c r="AJ291" s="42" t="str">
        <v xml:space="preserve">Cordoba </v>
      </c>
      <c r="AK291" s="42" t="str">
        <v>FR Germany</v>
      </c>
      <c r="AL291" s="42">
        <v>0</v>
      </c>
      <c r="AM291" s="42">
        <v>0</v>
      </c>
      <c r="AN291" s="42" t="str">
        <v>Tunisia</v>
      </c>
      <c r="AO291" s="42" t="str">
        <v>-</v>
      </c>
    </row>
    <row r="292" spans="7:41">
      <c r="G292" s="30">
        <v>2022</v>
      </c>
      <c r="H292" s="30" t="str">
        <v>ROUND_OF_16</v>
      </c>
      <c r="I292" s="30" t="str">
        <v>Morocco</v>
      </c>
      <c r="J292" s="30" t="str">
        <v>Spain</v>
      </c>
      <c r="K292" s="30" t="str">
        <v>Morocco</v>
      </c>
      <c r="L292" s="30" t="str">
        <v>Achraf Hakimi</v>
      </c>
      <c r="M292" s="30" t="str">
        <v>Unai Simón</v>
      </c>
      <c r="N292" s="30">
        <v>7</v>
      </c>
      <c r="O292" s="30">
        <v>4</v>
      </c>
      <c r="P292" s="30" t="str">
        <v>'2-0</v>
      </c>
      <c r="Q292" s="30" t="str">
        <v>No</v>
      </c>
      <c r="R292" s="30" t="str">
        <v>Yes</v>
      </c>
      <c r="S292" s="30" t="str">
        <v>Goal</v>
      </c>
      <c r="T292" s="30" t="str">
        <f t="shared" si="12"/>
        <v>2-0</v>
      </c>
      <c r="U292" s="30">
        <f t="shared" si="13"/>
        <v>2</v>
      </c>
      <c r="V292" s="30">
        <f t="shared" si="14"/>
        <v>0</v>
      </c>
      <c r="X292" s="12">
        <v>290</v>
      </c>
      <c r="Y292" s="12" t="str">
        <v>Grant Hanley</v>
      </c>
      <c r="Z292" s="12">
        <v>34</v>
      </c>
      <c r="AA292" s="12" t="str">
        <v>Scotland</v>
      </c>
      <c r="AB292" s="12" t="str">
        <v>CB</v>
      </c>
      <c r="AC292" s="12" t="str">
        <v>Hibernian</v>
      </c>
      <c r="AD292" s="12">
        <v>5</v>
      </c>
      <c r="AF292" s="42">
        <v>1978</v>
      </c>
      <c r="AG292" s="42" t="str">
        <v xml:space="preserve">10 Jun 1978 - 19:15 </v>
      </c>
      <c r="AH292" s="42" t="str">
        <v>GROUP_STAGE</v>
      </c>
      <c r="AI292" s="42" t="str">
        <v>El Monumental - Estadio Monumental Antonio Vespuci</v>
      </c>
      <c r="AJ292" s="42" t="str">
        <v xml:space="preserve">Buenos Aires </v>
      </c>
      <c r="AK292" s="42" t="str">
        <v>Italy</v>
      </c>
      <c r="AL292" s="42">
        <v>1</v>
      </c>
      <c r="AM292" s="42">
        <v>0</v>
      </c>
      <c r="AN292" s="42" t="str">
        <v>Argentina</v>
      </c>
      <c r="AO292" s="42" t="str">
        <v>-</v>
      </c>
    </row>
    <row r="293" spans="7:41">
      <c r="G293" s="30">
        <v>2022</v>
      </c>
      <c r="H293" s="30" t="str">
        <v>QUARTER_FINALS</v>
      </c>
      <c r="I293" s="30" t="str">
        <v>Croatia</v>
      </c>
      <c r="J293" s="30" t="str">
        <v>Brazil</v>
      </c>
      <c r="K293" s="30" t="str">
        <v>Croatia</v>
      </c>
      <c r="L293" s="30" t="str">
        <v>Nikola Vlašić</v>
      </c>
      <c r="M293" s="30" t="str">
        <v>Alisson</v>
      </c>
      <c r="N293" s="30">
        <v>1</v>
      </c>
      <c r="O293" s="30">
        <v>1</v>
      </c>
      <c r="P293" s="30" t="str">
        <v>'0-0</v>
      </c>
      <c r="Q293" s="30" t="str">
        <v>No</v>
      </c>
      <c r="R293" s="30" t="str">
        <v>No</v>
      </c>
      <c r="S293" s="30" t="str">
        <v>Goal</v>
      </c>
      <c r="T293" s="30" t="str">
        <f t="shared" si="12"/>
        <v>0-0</v>
      </c>
      <c r="U293" s="30">
        <f t="shared" si="13"/>
        <v>0</v>
      </c>
      <c r="V293" s="30">
        <f t="shared" si="14"/>
        <v>0</v>
      </c>
      <c r="X293" s="12">
        <v>291</v>
      </c>
      <c r="Y293" s="12" t="str">
        <v>Kieran Tierney</v>
      </c>
      <c r="Z293" s="12">
        <v>29</v>
      </c>
      <c r="AA293" s="12" t="str">
        <v>Scotland</v>
      </c>
      <c r="AB293" s="12" t="str">
        <v>CB</v>
      </c>
      <c r="AC293" s="12" t="str">
        <v>Celtic</v>
      </c>
      <c r="AD293" s="12">
        <v>6</v>
      </c>
      <c r="AF293" s="42">
        <v>1978</v>
      </c>
      <c r="AG293" s="42" t="str">
        <v xml:space="preserve">11 Jun 1978 - 13:45 </v>
      </c>
      <c r="AH293" s="42" t="str">
        <v>GROUP_STAGE</v>
      </c>
      <c r="AI293" s="42" t="str">
        <v>Estadio José María Minella</v>
      </c>
      <c r="AJ293" s="42" t="str">
        <v xml:space="preserve">Mar Del Plata </v>
      </c>
      <c r="AK293" s="42" t="str">
        <v>Brazil</v>
      </c>
      <c r="AL293" s="42">
        <v>1</v>
      </c>
      <c r="AM293" s="42">
        <v>0</v>
      </c>
      <c r="AN293" s="42" t="str">
        <v>Austria</v>
      </c>
      <c r="AO293" s="42" t="str">
        <v>-</v>
      </c>
    </row>
    <row r="294" spans="7:41">
      <c r="G294" s="30">
        <v>2022</v>
      </c>
      <c r="H294" s="30" t="str">
        <v>QUARTER_FINALS</v>
      </c>
      <c r="I294" s="30" t="str">
        <v>Croatia</v>
      </c>
      <c r="J294" s="30" t="str">
        <v>Brazil</v>
      </c>
      <c r="K294" s="30" t="str">
        <v>Brazil</v>
      </c>
      <c r="L294" s="30" t="str">
        <v>Rodrygo</v>
      </c>
      <c r="M294" s="30" t="str">
        <v>Dominik Livaković</v>
      </c>
      <c r="N294" s="30">
        <v>2</v>
      </c>
      <c r="O294" s="30">
        <v>1</v>
      </c>
      <c r="P294" s="30" t="str">
        <v>'1-0</v>
      </c>
      <c r="Q294" s="30" t="str">
        <v>No</v>
      </c>
      <c r="R294" s="30" t="str">
        <v>No</v>
      </c>
      <c r="S294" s="30" t="str">
        <v>Saved</v>
      </c>
      <c r="T294" s="30" t="str">
        <f t="shared" si="12"/>
        <v>1-0</v>
      </c>
      <c r="U294" s="30">
        <f t="shared" si="13"/>
        <v>1</v>
      </c>
      <c r="V294" s="30">
        <f t="shared" si="14"/>
        <v>0</v>
      </c>
      <c r="X294" s="12">
        <v>292</v>
      </c>
      <c r="Y294" s="12" t="str">
        <v>Jack Hendry</v>
      </c>
      <c r="Z294" s="12">
        <v>31</v>
      </c>
      <c r="AA294" s="12" t="str">
        <v>Scotland</v>
      </c>
      <c r="AB294" s="12" t="str">
        <v>CB</v>
      </c>
      <c r="AC294" s="12" t="str">
        <v>Al-Ettifaq</v>
      </c>
      <c r="AD294" s="12">
        <v>13</v>
      </c>
      <c r="AF294" s="42">
        <v>1978</v>
      </c>
      <c r="AG294" s="42" t="str">
        <v xml:space="preserve">11 Jun 1978 - 13:45 </v>
      </c>
      <c r="AH294" s="42" t="str">
        <v>GROUP_STAGE</v>
      </c>
      <c r="AI294" s="42" t="str">
        <v>Jose Amalfitani</v>
      </c>
      <c r="AJ294" s="42" t="str">
        <v xml:space="preserve">Buenos Aires </v>
      </c>
      <c r="AK294" s="42" t="str">
        <v>Spain</v>
      </c>
      <c r="AL294" s="42">
        <v>1</v>
      </c>
      <c r="AM294" s="42">
        <v>0</v>
      </c>
      <c r="AN294" s="42" t="str">
        <v>Sweden</v>
      </c>
      <c r="AO294" s="42" t="str">
        <v>-</v>
      </c>
    </row>
    <row r="295" spans="7:41">
      <c r="G295" s="30">
        <v>2022</v>
      </c>
      <c r="H295" s="30" t="str">
        <v>QUARTER_FINALS</v>
      </c>
      <c r="I295" s="30" t="str">
        <v>Croatia</v>
      </c>
      <c r="J295" s="30" t="str">
        <v>Brazil</v>
      </c>
      <c r="K295" s="30" t="str">
        <v>Croatia</v>
      </c>
      <c r="L295" s="30" t="str">
        <v>Lovro Majer</v>
      </c>
      <c r="M295" s="30" t="str">
        <v>Alisson</v>
      </c>
      <c r="N295" s="30">
        <v>3</v>
      </c>
      <c r="O295" s="30">
        <v>2</v>
      </c>
      <c r="P295" s="30" t="str">
        <v>'1-0</v>
      </c>
      <c r="Q295" s="30" t="str">
        <v>No</v>
      </c>
      <c r="R295" s="30" t="str">
        <v>No</v>
      </c>
      <c r="S295" s="30" t="str">
        <v>Goal</v>
      </c>
      <c r="T295" s="30" t="str">
        <f t="shared" si="12"/>
        <v>1-0</v>
      </c>
      <c r="U295" s="30">
        <f t="shared" si="13"/>
        <v>1</v>
      </c>
      <c r="V295" s="30">
        <f t="shared" si="14"/>
        <v>0</v>
      </c>
      <c r="X295" s="12">
        <v>293</v>
      </c>
      <c r="Y295" s="12" t="str">
        <v>John Souttar</v>
      </c>
      <c r="Z295" s="12">
        <v>29</v>
      </c>
      <c r="AA295" s="12" t="str">
        <v>Scotland</v>
      </c>
      <c r="AB295" s="12" t="str">
        <v>CB</v>
      </c>
      <c r="AC295" s="12" t="str">
        <v>Rangers</v>
      </c>
      <c r="AD295" s="12">
        <v>15</v>
      </c>
      <c r="AF295" s="42">
        <v>1978</v>
      </c>
      <c r="AG295" s="42" t="str">
        <v xml:space="preserve">11 Jun 1978 - 16:45 </v>
      </c>
      <c r="AH295" s="42" t="str">
        <v>GROUP_STAGE</v>
      </c>
      <c r="AI295" s="42" t="str">
        <v>Estadio Olímpico Chateau Carreras</v>
      </c>
      <c r="AJ295" s="42" t="str">
        <v xml:space="preserve">Cordoba </v>
      </c>
      <c r="AK295" s="42" t="str">
        <v>Peru</v>
      </c>
      <c r="AL295" s="42">
        <v>4</v>
      </c>
      <c r="AM295" s="42">
        <v>1</v>
      </c>
      <c r="AN295" s="42" t="str">
        <v>Iran</v>
      </c>
      <c r="AO295" s="42" t="str">
        <v>-</v>
      </c>
    </row>
    <row r="296" spans="7:41">
      <c r="G296" s="30">
        <v>2022</v>
      </c>
      <c r="H296" s="30" t="str">
        <v>QUARTER_FINALS</v>
      </c>
      <c r="I296" s="30" t="str">
        <v>Croatia</v>
      </c>
      <c r="J296" s="30" t="str">
        <v>Brazil</v>
      </c>
      <c r="K296" s="30" t="str">
        <v>Brazil</v>
      </c>
      <c r="L296" s="30" t="str">
        <v>Casemiro</v>
      </c>
      <c r="M296" s="30" t="str">
        <v>Dominik Livaković</v>
      </c>
      <c r="N296" s="30">
        <v>4</v>
      </c>
      <c r="O296" s="30">
        <v>2</v>
      </c>
      <c r="P296" s="30" t="str">
        <v>'2-0</v>
      </c>
      <c r="Q296" s="30" t="str">
        <v>No</v>
      </c>
      <c r="R296" s="30" t="str">
        <v>No</v>
      </c>
      <c r="S296" s="30" t="str">
        <v>Goal</v>
      </c>
      <c r="T296" s="30" t="str">
        <f t="shared" si="12"/>
        <v>2-0</v>
      </c>
      <c r="U296" s="30">
        <f t="shared" si="13"/>
        <v>2</v>
      </c>
      <c r="V296" s="30">
        <f t="shared" si="14"/>
        <v>0</v>
      </c>
      <c r="X296" s="12">
        <v>294</v>
      </c>
      <c r="Y296" s="12" t="str">
        <v>Dominic Hyam</v>
      </c>
      <c r="Z296" s="12">
        <v>30</v>
      </c>
      <c r="AA296" s="12" t="str">
        <v>Scotland</v>
      </c>
      <c r="AB296" s="12" t="str">
        <v>CB</v>
      </c>
      <c r="AC296" s="12" t="str">
        <v>Wrexham</v>
      </c>
      <c r="AD296" s="12">
        <v>16</v>
      </c>
      <c r="AF296" s="42">
        <v>1978</v>
      </c>
      <c r="AG296" s="42" t="str">
        <v xml:space="preserve">11 Jun 1978 - 16:45 </v>
      </c>
      <c r="AH296" s="42" t="str">
        <v>GROUP_STAGE</v>
      </c>
      <c r="AI296" s="42" t="str">
        <v>San Martin</v>
      </c>
      <c r="AJ296" s="42" t="str">
        <v xml:space="preserve">Mendoza </v>
      </c>
      <c r="AK296" s="42" t="str">
        <v>Scotland</v>
      </c>
      <c r="AL296" s="42">
        <v>3</v>
      </c>
      <c r="AM296" s="42">
        <v>2</v>
      </c>
      <c r="AN296" s="42" t="str">
        <v>Netherlands</v>
      </c>
      <c r="AO296" s="42" t="str">
        <v>-</v>
      </c>
    </row>
    <row r="297" spans="7:41">
      <c r="G297" s="30">
        <v>2022</v>
      </c>
      <c r="H297" s="30" t="str">
        <v>QUARTER_FINALS</v>
      </c>
      <c r="I297" s="30" t="str">
        <v>Croatia</v>
      </c>
      <c r="J297" s="30" t="str">
        <v>Brazil</v>
      </c>
      <c r="K297" s="30" t="str">
        <v>Croatia</v>
      </c>
      <c r="L297" s="30" t="str">
        <v>Luka Modrić</v>
      </c>
      <c r="M297" s="30" t="str">
        <v>Alisson</v>
      </c>
      <c r="N297" s="30">
        <v>5</v>
      </c>
      <c r="O297" s="30">
        <v>3</v>
      </c>
      <c r="P297" s="30" t="str">
        <v>'1-2</v>
      </c>
      <c r="Q297" s="30" t="str">
        <v>No</v>
      </c>
      <c r="R297" s="30" t="str">
        <v>No</v>
      </c>
      <c r="S297" s="30" t="str">
        <v>Goal</v>
      </c>
      <c r="T297" s="30" t="str">
        <f t="shared" si="12"/>
        <v>1-2</v>
      </c>
      <c r="U297" s="30">
        <f t="shared" si="13"/>
        <v>1</v>
      </c>
      <c r="V297" s="30">
        <f t="shared" si="14"/>
        <v>2</v>
      </c>
      <c r="X297" s="12">
        <v>295</v>
      </c>
      <c r="Y297" s="12" t="str">
        <v>Scott McKenna</v>
      </c>
      <c r="Z297" s="12">
        <v>29</v>
      </c>
      <c r="AA297" s="12" t="str">
        <v>Scotland</v>
      </c>
      <c r="AB297" s="12" t="str">
        <v>CB</v>
      </c>
      <c r="AC297" s="12" t="str">
        <v>Dinamo Zagreb</v>
      </c>
      <c r="AD297" s="12">
        <v>26</v>
      </c>
      <c r="AF297" s="42">
        <v>1978</v>
      </c>
      <c r="AG297" s="42" t="str">
        <v xml:space="preserve">14 Jun 1978 - 13:45 </v>
      </c>
      <c r="AH297" s="42" t="str">
        <v>GROUP_STAGE</v>
      </c>
      <c r="AI297" s="42" t="str">
        <v>El Monumental - Estadio Monumental Antonio Vespuci</v>
      </c>
      <c r="AJ297" s="42" t="str">
        <v xml:space="preserve">Buenos Aires </v>
      </c>
      <c r="AK297" s="42" t="str">
        <v>FR Germany</v>
      </c>
      <c r="AL297" s="42">
        <v>0</v>
      </c>
      <c r="AM297" s="42">
        <v>0</v>
      </c>
      <c r="AN297" s="42" t="str">
        <v>Italy</v>
      </c>
      <c r="AO297" s="42" t="str">
        <v>-</v>
      </c>
    </row>
    <row r="298" spans="7:41">
      <c r="G298" s="30">
        <v>2022</v>
      </c>
      <c r="H298" s="30" t="str">
        <v>QUARTER_FINALS</v>
      </c>
      <c r="I298" s="30" t="str">
        <v>Croatia</v>
      </c>
      <c r="J298" s="30" t="str">
        <v>Brazil</v>
      </c>
      <c r="K298" s="30" t="str">
        <v>Brazil</v>
      </c>
      <c r="L298" s="30" t="str">
        <v>Pedro</v>
      </c>
      <c r="M298" s="30" t="str">
        <v>Dominik Livaković</v>
      </c>
      <c r="N298" s="30">
        <v>6</v>
      </c>
      <c r="O298" s="30">
        <v>3</v>
      </c>
      <c r="P298" s="30" t="str">
        <v>'1-3</v>
      </c>
      <c r="Q298" s="30" t="str">
        <v>No</v>
      </c>
      <c r="R298" s="30" t="str">
        <v>No</v>
      </c>
      <c r="S298" s="30" t="str">
        <v>Goal</v>
      </c>
      <c r="T298" s="30" t="str">
        <f t="shared" si="12"/>
        <v>1-3</v>
      </c>
      <c r="U298" s="30">
        <f t="shared" si="13"/>
        <v>1</v>
      </c>
      <c r="V298" s="30">
        <f t="shared" si="14"/>
        <v>3</v>
      </c>
      <c r="X298" s="12">
        <v>296</v>
      </c>
      <c r="Y298" s="12" t="str">
        <v>Andy Robertson</v>
      </c>
      <c r="Z298" s="12">
        <v>32</v>
      </c>
      <c r="AA298" s="12" t="str">
        <v>Scotland</v>
      </c>
      <c r="AB298" s="12" t="str">
        <v>LB</v>
      </c>
      <c r="AC298" s="12" t="str">
        <v>Liverpool</v>
      </c>
      <c r="AD298" s="12">
        <v>3</v>
      </c>
      <c r="AF298" s="42">
        <v>1978</v>
      </c>
      <c r="AG298" s="42" t="str">
        <v xml:space="preserve">14 Jun 1978 - 13:45 </v>
      </c>
      <c r="AH298" s="42" t="str">
        <v>GROUP_STAGE</v>
      </c>
      <c r="AI298" s="42" t="str">
        <v>Estadio Olímpico Chateau Carreras</v>
      </c>
      <c r="AJ298" s="42" t="str">
        <v xml:space="preserve">Cordoba </v>
      </c>
      <c r="AK298" s="42" t="str">
        <v>Netherlands</v>
      </c>
      <c r="AL298" s="42">
        <v>5</v>
      </c>
      <c r="AM298" s="42">
        <v>1</v>
      </c>
      <c r="AN298" s="42" t="str">
        <v>Austria</v>
      </c>
      <c r="AO298" s="42" t="str">
        <v>-</v>
      </c>
    </row>
    <row r="299" spans="7:41">
      <c r="G299" s="30">
        <v>2022</v>
      </c>
      <c r="H299" s="30" t="str">
        <v>QUARTER_FINALS</v>
      </c>
      <c r="I299" s="30" t="str">
        <v>Croatia</v>
      </c>
      <c r="J299" s="30" t="str">
        <v>Brazil</v>
      </c>
      <c r="K299" s="30" t="str">
        <v>Croatia</v>
      </c>
      <c r="L299" s="30" t="str">
        <v>Mislav Oršić</v>
      </c>
      <c r="M299" s="30" t="str">
        <v>Alisson</v>
      </c>
      <c r="N299" s="30">
        <v>7</v>
      </c>
      <c r="O299" s="30">
        <v>4</v>
      </c>
      <c r="P299" s="30" t="str">
        <v>'2-3</v>
      </c>
      <c r="Q299" s="30" t="str">
        <v>No</v>
      </c>
      <c r="R299" s="30" t="str">
        <v>No</v>
      </c>
      <c r="S299" s="30" t="str">
        <v>Goal</v>
      </c>
      <c r="T299" s="30" t="str">
        <f t="shared" si="12"/>
        <v>2-3</v>
      </c>
      <c r="U299" s="30">
        <f t="shared" si="13"/>
        <v>2</v>
      </c>
      <c r="V299" s="30">
        <f t="shared" si="14"/>
        <v>3</v>
      </c>
      <c r="X299" s="12">
        <v>297</v>
      </c>
      <c r="Y299" s="12" t="str">
        <v>Aaron Hickey</v>
      </c>
      <c r="Z299" s="12">
        <v>24</v>
      </c>
      <c r="AA299" s="12" t="str">
        <v>Scotland</v>
      </c>
      <c r="AB299" s="12" t="str">
        <v>RB</v>
      </c>
      <c r="AC299" s="12" t="str">
        <v>Brentford</v>
      </c>
      <c r="AD299" s="12">
        <v>2</v>
      </c>
      <c r="AF299" s="42">
        <v>1978</v>
      </c>
      <c r="AG299" s="42" t="str">
        <v xml:space="preserve">14 Jun 1978 - 16:45 </v>
      </c>
      <c r="AH299" s="42" t="str">
        <v>GROUP_STAGE</v>
      </c>
      <c r="AI299" s="42" t="str">
        <v>San Martin</v>
      </c>
      <c r="AJ299" s="42" t="str">
        <v xml:space="preserve">Mendoza </v>
      </c>
      <c r="AK299" s="42" t="str">
        <v>Brazil</v>
      </c>
      <c r="AL299" s="42">
        <v>3</v>
      </c>
      <c r="AM299" s="42">
        <v>0</v>
      </c>
      <c r="AN299" s="42" t="str">
        <v>Peru</v>
      </c>
      <c r="AO299" s="42" t="str">
        <v>-</v>
      </c>
    </row>
    <row r="300" spans="7:41">
      <c r="G300" s="30">
        <v>2022</v>
      </c>
      <c r="H300" s="30" t="str">
        <v>QUARTER_FINALS</v>
      </c>
      <c r="I300" s="30" t="str">
        <v>Croatia</v>
      </c>
      <c r="J300" s="30" t="str">
        <v>Brazil</v>
      </c>
      <c r="K300" s="30" t="str">
        <v>Brazil</v>
      </c>
      <c r="L300" s="30" t="str">
        <v>Marquinhos</v>
      </c>
      <c r="M300" s="30" t="str">
        <v>Dominik Livaković</v>
      </c>
      <c r="N300" s="30">
        <v>8</v>
      </c>
      <c r="O300" s="30">
        <v>4</v>
      </c>
      <c r="P300" s="30" t="str">
        <v>'2-4</v>
      </c>
      <c r="Q300" s="30" t="str">
        <v>Yes</v>
      </c>
      <c r="R300" s="30" t="str">
        <v>Yes</v>
      </c>
      <c r="S300" s="30" t="str">
        <v>Missed</v>
      </c>
      <c r="T300" s="30" t="str">
        <f t="shared" si="12"/>
        <v>2-4</v>
      </c>
      <c r="U300" s="30">
        <f t="shared" si="13"/>
        <v>2</v>
      </c>
      <c r="V300" s="30">
        <f t="shared" si="14"/>
        <v>4</v>
      </c>
      <c r="X300" s="12">
        <v>298</v>
      </c>
      <c r="Y300" s="12" t="str">
        <v>Nathan Patterson</v>
      </c>
      <c r="Z300" s="12">
        <v>24</v>
      </c>
      <c r="AA300" s="12" t="str">
        <v>Scotland</v>
      </c>
      <c r="AB300" s="12" t="str">
        <v>RB</v>
      </c>
      <c r="AC300" s="12" t="str">
        <v>Everton</v>
      </c>
      <c r="AD300" s="12">
        <v>22</v>
      </c>
      <c r="AF300" s="42">
        <v>1978</v>
      </c>
      <c r="AG300" s="42" t="str">
        <v xml:space="preserve">14 Jun 1978 - 19:15 </v>
      </c>
      <c r="AH300" s="42" t="str">
        <v>GROUP_STAGE</v>
      </c>
      <c r="AI300" s="42" t="str">
        <v>Arroyito - Estadio Dr. Lisandro de la Torre</v>
      </c>
      <c r="AJ300" s="42" t="str">
        <v xml:space="preserve">Rosario </v>
      </c>
      <c r="AK300" s="42" t="str">
        <v>Argentina</v>
      </c>
      <c r="AL300" s="42">
        <v>2</v>
      </c>
      <c r="AM300" s="42">
        <v>0</v>
      </c>
      <c r="AN300" s="42" t="str">
        <v>Poland</v>
      </c>
      <c r="AO300" s="42" t="str">
        <v>-</v>
      </c>
    </row>
    <row r="301" spans="7:41">
      <c r="G301" s="30">
        <v>2022</v>
      </c>
      <c r="H301" s="30" t="str">
        <v>QUARTER_FINALS</v>
      </c>
      <c r="I301" s="30" t="str">
        <v>Netherlands</v>
      </c>
      <c r="J301" s="30" t="str">
        <v>Argentina</v>
      </c>
      <c r="K301" s="30" t="str">
        <v>Netherlands</v>
      </c>
      <c r="L301" s="30" t="str">
        <v>Virgil van Dijk</v>
      </c>
      <c r="M301" s="30" t="str">
        <v>Emiliano Martínez</v>
      </c>
      <c r="N301" s="30">
        <v>1</v>
      </c>
      <c r="O301" s="30">
        <v>1</v>
      </c>
      <c r="P301" s="30" t="str">
        <v>'0-0</v>
      </c>
      <c r="Q301" s="30" t="str">
        <v>No</v>
      </c>
      <c r="R301" s="30" t="str">
        <v>No</v>
      </c>
      <c r="S301" s="30" t="str">
        <v>Saved</v>
      </c>
      <c r="T301" s="30" t="str">
        <f t="shared" si="12"/>
        <v>0-0</v>
      </c>
      <c r="U301" s="30">
        <f t="shared" si="13"/>
        <v>0</v>
      </c>
      <c r="V301" s="30">
        <f t="shared" si="14"/>
        <v>0</v>
      </c>
      <c r="X301" s="12">
        <v>299</v>
      </c>
      <c r="Y301" s="12" t="str">
        <v>Anthony Ralston</v>
      </c>
      <c r="Z301" s="12">
        <v>27</v>
      </c>
      <c r="AA301" s="12" t="str">
        <v>Scotland</v>
      </c>
      <c r="AB301" s="12" t="str">
        <v>RB</v>
      </c>
      <c r="AC301" s="12" t="str">
        <v>Celtic</v>
      </c>
      <c r="AD301" s="12">
        <v>24</v>
      </c>
      <c r="AF301" s="42">
        <v>1978</v>
      </c>
      <c r="AG301" s="42" t="str">
        <v xml:space="preserve">18 Jun 1978 - 13:45 </v>
      </c>
      <c r="AH301" s="42" t="str">
        <v>GROUP_STAGE</v>
      </c>
      <c r="AI301" s="42" t="str">
        <v>San Martin</v>
      </c>
      <c r="AJ301" s="42" t="str">
        <v xml:space="preserve">Mendoza </v>
      </c>
      <c r="AK301" s="42" t="str">
        <v>Poland</v>
      </c>
      <c r="AL301" s="42">
        <v>1</v>
      </c>
      <c r="AM301" s="42">
        <v>0</v>
      </c>
      <c r="AN301" s="42" t="str">
        <v>Peru</v>
      </c>
      <c r="AO301" s="42" t="str">
        <v>-</v>
      </c>
    </row>
    <row r="302" spans="7:41">
      <c r="G302" s="30">
        <v>2022</v>
      </c>
      <c r="H302" s="30" t="str">
        <v>QUARTER_FINALS</v>
      </c>
      <c r="I302" s="30" t="str">
        <v>Netherlands</v>
      </c>
      <c r="J302" s="30" t="str">
        <v>Argentina</v>
      </c>
      <c r="K302" s="30" t="str">
        <v>Argentina</v>
      </c>
      <c r="L302" s="30" t="str">
        <v>Lionel Messi</v>
      </c>
      <c r="M302" s="30" t="str">
        <v>Andries Noppert</v>
      </c>
      <c r="N302" s="30">
        <v>2</v>
      </c>
      <c r="O302" s="30">
        <v>1</v>
      </c>
      <c r="P302" s="30" t="str">
        <v>'0-0</v>
      </c>
      <c r="Q302" s="30" t="str">
        <v>No</v>
      </c>
      <c r="R302" s="30" t="str">
        <v>No</v>
      </c>
      <c r="S302" s="30" t="str">
        <v>Goal</v>
      </c>
      <c r="T302" s="30" t="str">
        <f t="shared" si="12"/>
        <v>0-0</v>
      </c>
      <c r="U302" s="30">
        <f t="shared" si="13"/>
        <v>0</v>
      </c>
      <c r="V302" s="30">
        <f t="shared" si="14"/>
        <v>0</v>
      </c>
      <c r="X302" s="12">
        <v>300</v>
      </c>
      <c r="Y302" s="12" t="str">
        <v>Tyler Fletcher</v>
      </c>
      <c r="Z302" s="12">
        <v>19</v>
      </c>
      <c r="AA302" s="12" t="str">
        <v>Scotland</v>
      </c>
      <c r="AB302" s="12" t="str">
        <v>CDM</v>
      </c>
      <c r="AC302" s="12" t="str">
        <v>Manchester United</v>
      </c>
      <c r="AD302" s="12">
        <v>8</v>
      </c>
      <c r="AF302" s="42">
        <v>1978</v>
      </c>
      <c r="AG302" s="42" t="str">
        <v xml:space="preserve">18 Jun 1978 - 16:45 </v>
      </c>
      <c r="AH302" s="42" t="str">
        <v>GROUP_STAGE</v>
      </c>
      <c r="AI302" s="42" t="str">
        <v>El Monumental - Estadio Monumental Antonio Vespuci</v>
      </c>
      <c r="AJ302" s="42" t="str">
        <v xml:space="preserve">Buenos Aires </v>
      </c>
      <c r="AK302" s="42" t="str">
        <v>Italy</v>
      </c>
      <c r="AL302" s="42">
        <v>1</v>
      </c>
      <c r="AM302" s="42">
        <v>0</v>
      </c>
      <c r="AN302" s="42" t="str">
        <v>Austria</v>
      </c>
      <c r="AO302" s="42" t="str">
        <v>-</v>
      </c>
    </row>
    <row r="303" spans="7:41">
      <c r="G303" s="30">
        <v>2022</v>
      </c>
      <c r="H303" s="30" t="str">
        <v>QUARTER_FINALS</v>
      </c>
      <c r="I303" s="30" t="str">
        <v>Netherlands</v>
      </c>
      <c r="J303" s="30" t="str">
        <v>Argentina</v>
      </c>
      <c r="K303" s="30" t="str">
        <v>Netherlands</v>
      </c>
      <c r="L303" s="30" t="str">
        <v>Steven Berghuis</v>
      </c>
      <c r="M303" s="30" t="str">
        <v>Emiliano Martínez</v>
      </c>
      <c r="N303" s="30">
        <v>3</v>
      </c>
      <c r="O303" s="30">
        <v>2</v>
      </c>
      <c r="P303" s="30" t="str">
        <v>'0-1</v>
      </c>
      <c r="Q303" s="30" t="str">
        <v>No</v>
      </c>
      <c r="R303" s="30" t="str">
        <v>No</v>
      </c>
      <c r="S303" s="30" t="str">
        <v>Saved</v>
      </c>
      <c r="T303" s="30" t="str">
        <f t="shared" si="12"/>
        <v>0-1</v>
      </c>
      <c r="U303" s="30">
        <f t="shared" si="13"/>
        <v>0</v>
      </c>
      <c r="V303" s="30">
        <f t="shared" si="14"/>
        <v>1</v>
      </c>
      <c r="X303" s="12">
        <v>301</v>
      </c>
      <c r="Y303" s="12" t="str">
        <v>Ryan Christie</v>
      </c>
      <c r="Z303" s="12">
        <v>31</v>
      </c>
      <c r="AA303" s="12" t="str">
        <v>Scotland</v>
      </c>
      <c r="AB303" s="12" t="str">
        <v>CM</v>
      </c>
      <c r="AC303" s="12" t="str">
        <v>Bournemouth</v>
      </c>
      <c r="AD303" s="12">
        <v>11</v>
      </c>
      <c r="AF303" s="42">
        <v>1978</v>
      </c>
      <c r="AG303" s="42" t="str">
        <v xml:space="preserve">18 Jun 1978 - 16:45 </v>
      </c>
      <c r="AH303" s="42" t="str">
        <v>GROUP_STAGE</v>
      </c>
      <c r="AI303" s="42" t="str">
        <v>Estadio Olímpico Chateau Carreras</v>
      </c>
      <c r="AJ303" s="42" t="str">
        <v xml:space="preserve">Cordoba </v>
      </c>
      <c r="AK303" s="42" t="str">
        <v>FR Germany</v>
      </c>
      <c r="AL303" s="42">
        <v>2</v>
      </c>
      <c r="AM303" s="42">
        <v>2</v>
      </c>
      <c r="AN303" s="42" t="str">
        <v>Netherlands</v>
      </c>
      <c r="AO303" s="42" t="str">
        <v>-</v>
      </c>
    </row>
    <row r="304" spans="7:41">
      <c r="G304" s="30">
        <v>2022</v>
      </c>
      <c r="H304" s="30" t="str">
        <v>QUARTER_FINALS</v>
      </c>
      <c r="I304" s="30" t="str">
        <v>Netherlands</v>
      </c>
      <c r="J304" s="30" t="str">
        <v>Argentina</v>
      </c>
      <c r="K304" s="30" t="str">
        <v>Argentina</v>
      </c>
      <c r="L304" s="30" t="str">
        <v>Leandro Paredes</v>
      </c>
      <c r="M304" s="30" t="str">
        <v>Andries Noppert</v>
      </c>
      <c r="N304" s="30">
        <v>4</v>
      </c>
      <c r="O304" s="30">
        <v>2</v>
      </c>
      <c r="P304" s="30" t="str">
        <v>'0-1</v>
      </c>
      <c r="Q304" s="30" t="str">
        <v>No</v>
      </c>
      <c r="R304" s="30" t="str">
        <v>No</v>
      </c>
      <c r="S304" s="30" t="str">
        <v>Goal</v>
      </c>
      <c r="T304" s="30" t="str">
        <f t="shared" si="12"/>
        <v>0-1</v>
      </c>
      <c r="U304" s="30">
        <f t="shared" si="13"/>
        <v>0</v>
      </c>
      <c r="V304" s="30">
        <f t="shared" si="14"/>
        <v>1</v>
      </c>
      <c r="X304" s="12">
        <v>302</v>
      </c>
      <c r="Y304" s="12" t="str">
        <v>Lewis Ferguson</v>
      </c>
      <c r="Z304" s="12">
        <v>26</v>
      </c>
      <c r="AA304" s="12" t="str">
        <v>Scotland</v>
      </c>
      <c r="AB304" s="12" t="str">
        <v>CM</v>
      </c>
      <c r="AC304" s="12" t="str">
        <v>Bologna</v>
      </c>
      <c r="AD304" s="12">
        <v>19</v>
      </c>
      <c r="AF304" s="42">
        <v>1978</v>
      </c>
      <c r="AG304" s="42" t="str">
        <v xml:space="preserve">18 Jun 1978 - 19:15 </v>
      </c>
      <c r="AH304" s="42" t="str">
        <v>GROUP_STAGE</v>
      </c>
      <c r="AI304" s="42" t="str">
        <v>Arroyito - Estadio Dr. Lisandro de la Torre</v>
      </c>
      <c r="AJ304" s="42" t="str">
        <v xml:space="preserve">Rosario </v>
      </c>
      <c r="AK304" s="42" t="str">
        <v>Argentina</v>
      </c>
      <c r="AL304" s="42">
        <v>0</v>
      </c>
      <c r="AM304" s="42">
        <v>0</v>
      </c>
      <c r="AN304" s="42" t="str">
        <v>Brazil</v>
      </c>
      <c r="AO304" s="42" t="str">
        <v>-</v>
      </c>
    </row>
    <row r="305" spans="7:41">
      <c r="G305" s="30">
        <v>2022</v>
      </c>
      <c r="H305" s="30" t="str">
        <v>QUARTER_FINALS</v>
      </c>
      <c r="I305" s="30" t="str">
        <v>Netherlands</v>
      </c>
      <c r="J305" s="30" t="str">
        <v>Argentina</v>
      </c>
      <c r="K305" s="30" t="str">
        <v>Netherlands</v>
      </c>
      <c r="L305" s="30" t="str">
        <v>Teun Koopmeiners</v>
      </c>
      <c r="M305" s="30" t="str">
        <v>Emiliano Martínez</v>
      </c>
      <c r="N305" s="30">
        <v>5</v>
      </c>
      <c r="O305" s="30">
        <v>3</v>
      </c>
      <c r="P305" s="30" t="str">
        <v>'0-2</v>
      </c>
      <c r="Q305" s="30" t="str">
        <v>No</v>
      </c>
      <c r="R305" s="30" t="str">
        <v>No</v>
      </c>
      <c r="S305" s="30" t="str">
        <v>Goal</v>
      </c>
      <c r="T305" s="30" t="str">
        <f t="shared" si="12"/>
        <v>0-2</v>
      </c>
      <c r="U305" s="30">
        <f t="shared" si="13"/>
        <v>0</v>
      </c>
      <c r="V305" s="30">
        <f t="shared" si="14"/>
        <v>2</v>
      </c>
      <c r="X305" s="12">
        <v>303</v>
      </c>
      <c r="Y305" s="12" t="str">
        <v>Kenny McLean</v>
      </c>
      <c r="Z305" s="12">
        <v>34</v>
      </c>
      <c r="AA305" s="12" t="str">
        <v>Scotland</v>
      </c>
      <c r="AB305" s="12" t="str">
        <v>CM</v>
      </c>
      <c r="AC305" s="12" t="str">
        <v>Norwich City</v>
      </c>
      <c r="AD305" s="12">
        <v>23</v>
      </c>
      <c r="AF305" s="42">
        <v>1978</v>
      </c>
      <c r="AG305" s="42" t="str">
        <v xml:space="preserve">21 Jun 1978 - 13:45 </v>
      </c>
      <c r="AH305" s="42" t="str">
        <v>GROUP_STAGE</v>
      </c>
      <c r="AI305" s="42" t="str">
        <v>El Monumental - Estadio Monumental Antonio Vespuci</v>
      </c>
      <c r="AJ305" s="42" t="str">
        <v xml:space="preserve">Buenos Aires </v>
      </c>
      <c r="AK305" s="42" t="str">
        <v>Netherlands</v>
      </c>
      <c r="AL305" s="42">
        <v>2</v>
      </c>
      <c r="AM305" s="42">
        <v>1</v>
      </c>
      <c r="AN305" s="42" t="str">
        <v>Italy</v>
      </c>
      <c r="AO305" s="42" t="str">
        <v>-</v>
      </c>
    </row>
    <row r="306" spans="7:41">
      <c r="G306" s="30">
        <v>2022</v>
      </c>
      <c r="H306" s="30" t="str">
        <v>QUARTER_FINALS</v>
      </c>
      <c r="I306" s="30" t="str">
        <v>Netherlands</v>
      </c>
      <c r="J306" s="30" t="str">
        <v>Argentina</v>
      </c>
      <c r="K306" s="30" t="str">
        <v>Argentina</v>
      </c>
      <c r="L306" s="30" t="str">
        <v>Gonzalo Montiel</v>
      </c>
      <c r="M306" s="30" t="str">
        <v>Andries Noppert</v>
      </c>
      <c r="N306" s="30">
        <v>6</v>
      </c>
      <c r="O306" s="30">
        <v>3</v>
      </c>
      <c r="P306" s="30" t="str">
        <v>'2-1</v>
      </c>
      <c r="Q306" s="30" t="str">
        <v>No</v>
      </c>
      <c r="R306" s="30" t="str">
        <v>No</v>
      </c>
      <c r="S306" s="30" t="str">
        <v>Goal</v>
      </c>
      <c r="T306" s="30" t="str">
        <f t="shared" si="12"/>
        <v>2-1</v>
      </c>
      <c r="U306" s="30">
        <f t="shared" si="13"/>
        <v>2</v>
      </c>
      <c r="V306" s="30">
        <f t="shared" si="14"/>
        <v>1</v>
      </c>
      <c r="X306" s="12">
        <v>304</v>
      </c>
      <c r="Y306" s="12" t="str">
        <v>Scott McTominay</v>
      </c>
      <c r="Z306" s="12">
        <v>29</v>
      </c>
      <c r="AA306" s="12" t="str">
        <v>Scotland</v>
      </c>
      <c r="AB306" s="12" t="str">
        <v>CAM</v>
      </c>
      <c r="AC306" s="12" t="str">
        <v>Napoli</v>
      </c>
      <c r="AD306" s="12">
        <v>4</v>
      </c>
      <c r="AF306" s="42">
        <v>1978</v>
      </c>
      <c r="AG306" s="42" t="str">
        <v xml:space="preserve">21 Jun 1978 - 13:45 </v>
      </c>
      <c r="AH306" s="42" t="str">
        <v>GROUP_STAGE</v>
      </c>
      <c r="AI306" s="42" t="str">
        <v>Estadio Olímpico Chateau Carreras</v>
      </c>
      <c r="AJ306" s="42" t="str">
        <v xml:space="preserve">Cordoba </v>
      </c>
      <c r="AK306" s="42" t="str">
        <v>Austria</v>
      </c>
      <c r="AL306" s="42">
        <v>3</v>
      </c>
      <c r="AM306" s="42">
        <v>2</v>
      </c>
      <c r="AN306" s="42" t="str">
        <v>FR Germany</v>
      </c>
      <c r="AO306" s="42" t="str">
        <v>-</v>
      </c>
    </row>
    <row r="307" spans="7:41">
      <c r="G307" s="30">
        <v>2022</v>
      </c>
      <c r="H307" s="30" t="str">
        <v>QUARTER_FINALS</v>
      </c>
      <c r="I307" s="30" t="str">
        <v>Netherlands</v>
      </c>
      <c r="J307" s="30" t="str">
        <v>Argentina</v>
      </c>
      <c r="K307" s="30" t="str">
        <v>Netherlands</v>
      </c>
      <c r="L307" s="30" t="str">
        <v>Wout Weghorst</v>
      </c>
      <c r="M307" s="30" t="str">
        <v>Emiliano Martínez</v>
      </c>
      <c r="N307" s="30">
        <v>7</v>
      </c>
      <c r="O307" s="30">
        <v>4</v>
      </c>
      <c r="P307" s="30" t="str">
        <v>'3-1</v>
      </c>
      <c r="Q307" s="30" t="str">
        <v>No</v>
      </c>
      <c r="R307" s="30" t="str">
        <v>No</v>
      </c>
      <c r="S307" s="30" t="str">
        <v>Goal</v>
      </c>
      <c r="T307" s="30" t="str">
        <f t="shared" si="12"/>
        <v>3-1</v>
      </c>
      <c r="U307" s="30">
        <f t="shared" si="13"/>
        <v>3</v>
      </c>
      <c r="V307" s="30">
        <f t="shared" si="14"/>
        <v>1</v>
      </c>
      <c r="X307" s="12">
        <v>305</v>
      </c>
      <c r="Y307" s="12" t="str">
        <v>John McGinn</v>
      </c>
      <c r="Z307" s="12">
        <v>31</v>
      </c>
      <c r="AA307" s="12" t="str">
        <v>Scotland</v>
      </c>
      <c r="AB307" s="12" t="str">
        <v>CAM</v>
      </c>
      <c r="AC307" s="12" t="str">
        <v>Aston Villa</v>
      </c>
      <c r="AD307" s="12">
        <v>7</v>
      </c>
      <c r="AF307" s="42">
        <v>1978</v>
      </c>
      <c r="AG307" s="42" t="str">
        <v xml:space="preserve">21 Jun 1978 - 16:45 </v>
      </c>
      <c r="AH307" s="42" t="str">
        <v>GROUP_STAGE</v>
      </c>
      <c r="AI307" s="42" t="str">
        <v>San Martin</v>
      </c>
      <c r="AJ307" s="42" t="str">
        <v xml:space="preserve">Mendoza </v>
      </c>
      <c r="AK307" s="42" t="str">
        <v>Brazil</v>
      </c>
      <c r="AL307" s="42">
        <v>3</v>
      </c>
      <c r="AM307" s="42">
        <v>1</v>
      </c>
      <c r="AN307" s="42" t="str">
        <v>Poland</v>
      </c>
      <c r="AO307" s="42" t="str">
        <v>-</v>
      </c>
    </row>
    <row r="308" spans="7:41">
      <c r="G308" s="30">
        <v>2022</v>
      </c>
      <c r="H308" s="30" t="str">
        <v>QUARTER_FINALS</v>
      </c>
      <c r="I308" s="30" t="str">
        <v>Netherlands</v>
      </c>
      <c r="J308" s="30" t="str">
        <v>Argentina</v>
      </c>
      <c r="K308" s="30" t="str">
        <v>Argentina</v>
      </c>
      <c r="L308" s="30" t="str">
        <v>Enzo Fernández</v>
      </c>
      <c r="M308" s="30" t="str">
        <v>Andries Noppert</v>
      </c>
      <c r="N308" s="30">
        <v>8</v>
      </c>
      <c r="O308" s="30">
        <v>4</v>
      </c>
      <c r="P308" s="30" t="str">
        <v>'3-2</v>
      </c>
      <c r="Q308" s="30" t="str">
        <v>No</v>
      </c>
      <c r="R308" s="30" t="str">
        <v>No</v>
      </c>
      <c r="S308" s="30" t="str">
        <v>Missed</v>
      </c>
      <c r="T308" s="30" t="str">
        <f t="shared" si="12"/>
        <v>3-2</v>
      </c>
      <c r="U308" s="30">
        <f t="shared" si="13"/>
        <v>3</v>
      </c>
      <c r="V308" s="30">
        <f t="shared" si="14"/>
        <v>2</v>
      </c>
      <c r="X308" s="12">
        <v>306</v>
      </c>
      <c r="Y308" s="12" t="str">
        <v>Ben Gannon-Doak</v>
      </c>
      <c r="Z308" s="12">
        <v>20</v>
      </c>
      <c r="AA308" s="12" t="str">
        <v>Scotland</v>
      </c>
      <c r="AB308" s="12" t="str">
        <v>LW</v>
      </c>
      <c r="AC308" s="12" t="str">
        <v>Bournemouth</v>
      </c>
      <c r="AD308" s="12">
        <v>17</v>
      </c>
      <c r="AF308" s="42">
        <v>1978</v>
      </c>
      <c r="AG308" s="42" t="str">
        <v xml:space="preserve">21 Jun 1978 - 19:15 </v>
      </c>
      <c r="AH308" s="42" t="str">
        <v>GROUP_STAGE</v>
      </c>
      <c r="AI308" s="42" t="str">
        <v>Arroyito - Estadio Dr. Lisandro de la Torre</v>
      </c>
      <c r="AJ308" s="42" t="str">
        <v xml:space="preserve">Rosario </v>
      </c>
      <c r="AK308" s="42" t="str">
        <v>Argentina</v>
      </c>
      <c r="AL308" s="42">
        <v>6</v>
      </c>
      <c r="AM308" s="42">
        <v>0</v>
      </c>
      <c r="AN308" s="42" t="str">
        <v>Peru</v>
      </c>
      <c r="AO308" s="42" t="str">
        <v>-</v>
      </c>
    </row>
    <row r="309" spans="7:41">
      <c r="G309" s="30">
        <v>2022</v>
      </c>
      <c r="H309" s="30" t="str">
        <v>QUARTER_FINALS</v>
      </c>
      <c r="I309" s="30" t="str">
        <v>Netherlands</v>
      </c>
      <c r="J309" s="30" t="str">
        <v>Argentina</v>
      </c>
      <c r="K309" s="30" t="str">
        <v>Netherlands</v>
      </c>
      <c r="L309" s="30" t="str">
        <v>Luuk de Jong</v>
      </c>
      <c r="M309" s="30" t="str">
        <v>Emiliano Martínez</v>
      </c>
      <c r="N309" s="30">
        <v>9</v>
      </c>
      <c r="O309" s="30">
        <v>5</v>
      </c>
      <c r="P309" s="30" t="str">
        <v>'3-2</v>
      </c>
      <c r="Q309" s="30" t="str">
        <v>No</v>
      </c>
      <c r="R309" s="30" t="str">
        <v>No</v>
      </c>
      <c r="S309" s="30" t="str">
        <v>Goal</v>
      </c>
      <c r="T309" s="30" t="str">
        <f t="shared" si="12"/>
        <v>3-2</v>
      </c>
      <c r="U309" s="30">
        <f t="shared" si="13"/>
        <v>3</v>
      </c>
      <c r="V309" s="30">
        <f t="shared" si="14"/>
        <v>2</v>
      </c>
      <c r="X309" s="12">
        <v>307</v>
      </c>
      <c r="Y309" s="12" t="str">
        <v>Findlay Curtis</v>
      </c>
      <c r="Z309" s="12">
        <v>20</v>
      </c>
      <c r="AA309" s="12" t="str">
        <v>Scotland</v>
      </c>
      <c r="AB309" s="12" t="str">
        <v>RW</v>
      </c>
      <c r="AC309" s="12" t="str">
        <v>Kilmarnock</v>
      </c>
      <c r="AD309" s="12">
        <v>25</v>
      </c>
      <c r="AF309" s="42">
        <v>1978</v>
      </c>
      <c r="AG309" s="42" t="str">
        <v xml:space="preserve">24 Jun 1978 - 15:00 </v>
      </c>
      <c r="AH309" s="42" t="str">
        <v>THIRD_PLACE</v>
      </c>
      <c r="AI309" s="42" t="str">
        <v>El Monumental - Estadio Monumental Antonio Vespuci</v>
      </c>
      <c r="AJ309" s="42" t="str">
        <v xml:space="preserve">Buenos Aires </v>
      </c>
      <c r="AK309" s="42" t="str">
        <v>Brazil</v>
      </c>
      <c r="AL309" s="42">
        <v>2</v>
      </c>
      <c r="AM309" s="42">
        <v>1</v>
      </c>
      <c r="AN309" s="42" t="str">
        <v>Italy</v>
      </c>
      <c r="AO309" s="42" t="str">
        <v>-</v>
      </c>
    </row>
    <row r="310" spans="7:41">
      <c r="G310" s="30">
        <v>2022</v>
      </c>
      <c r="H310" s="30" t="str">
        <v>QUARTER_FINALS</v>
      </c>
      <c r="I310" s="30" t="str">
        <v>Netherlands</v>
      </c>
      <c r="J310" s="30" t="str">
        <v>Argentina</v>
      </c>
      <c r="K310" s="30" t="str">
        <v>Argentina</v>
      </c>
      <c r="L310" s="30" t="str">
        <v>Lautaro Martínez</v>
      </c>
      <c r="M310" s="30" t="str">
        <v>Andries Noppert</v>
      </c>
      <c r="N310" s="30">
        <v>10</v>
      </c>
      <c r="O310" s="30">
        <v>5</v>
      </c>
      <c r="P310" s="30" t="str">
        <v>'3-3</v>
      </c>
      <c r="Q310" s="30" t="str">
        <v>No</v>
      </c>
      <c r="R310" s="30" t="str">
        <v>Yes</v>
      </c>
      <c r="S310" s="30" t="str">
        <v>Goal</v>
      </c>
      <c r="T310" s="30" t="str">
        <f t="shared" si="12"/>
        <v>3-3</v>
      </c>
      <c r="U310" s="30">
        <f t="shared" si="13"/>
        <v>3</v>
      </c>
      <c r="V310" s="30">
        <f t="shared" si="14"/>
        <v>3</v>
      </c>
      <c r="X310" s="12">
        <v>308</v>
      </c>
      <c r="Y310" s="12" t="str">
        <v>Lyndon Dykes</v>
      </c>
      <c r="Z310" s="12">
        <v>30</v>
      </c>
      <c r="AA310" s="12" t="str">
        <v>Scotland</v>
      </c>
      <c r="AB310" s="12" t="str">
        <v>ST</v>
      </c>
      <c r="AC310" s="12" t="str">
        <v>Charlton Athletic</v>
      </c>
      <c r="AD310" s="12">
        <v>9</v>
      </c>
      <c r="AF310" s="42">
        <v>1978</v>
      </c>
      <c r="AG310" s="42" t="str">
        <v xml:space="preserve">25 Jun 1978 - 15:00 </v>
      </c>
      <c r="AH310" s="42" t="str">
        <v>FINAL</v>
      </c>
      <c r="AI310" s="42" t="str">
        <v>El Monumental - Estadio Monumental Antonio Vespuci</v>
      </c>
      <c r="AJ310" s="42" t="str">
        <v xml:space="preserve">Buenos Aires </v>
      </c>
      <c r="AK310" s="42" t="str">
        <v>Argentina</v>
      </c>
      <c r="AL310" s="42">
        <v>3</v>
      </c>
      <c r="AM310" s="42">
        <v>1</v>
      </c>
      <c r="AN310" s="42" t="str">
        <v>Netherlands</v>
      </c>
      <c r="AO310" s="42" t="str">
        <v>Argentina win after extra time</v>
      </c>
    </row>
    <row r="311" spans="7:41">
      <c r="G311" s="30">
        <v>2022</v>
      </c>
      <c r="H311" s="30" t="str">
        <v>FINAL</v>
      </c>
      <c r="I311" s="30" t="str">
        <v>Argentina</v>
      </c>
      <c r="J311" s="30" t="str">
        <v>France</v>
      </c>
      <c r="K311" s="30" t="str">
        <v>France</v>
      </c>
      <c r="L311" s="30" t="str">
        <v>Kylian Mbappé</v>
      </c>
      <c r="M311" s="30" t="str">
        <v>Emiliano Martínez</v>
      </c>
      <c r="N311" s="30">
        <v>1</v>
      </c>
      <c r="O311" s="30">
        <v>1</v>
      </c>
      <c r="P311" s="30" t="str">
        <v>'0-0</v>
      </c>
      <c r="Q311" s="30" t="str">
        <v>No</v>
      </c>
      <c r="R311" s="30" t="str">
        <v>No</v>
      </c>
      <c r="S311" s="30" t="str">
        <v>Goal</v>
      </c>
      <c r="T311" s="30" t="str">
        <f t="shared" si="12"/>
        <v>0-0</v>
      </c>
      <c r="U311" s="30">
        <f t="shared" si="13"/>
        <v>0</v>
      </c>
      <c r="V311" s="30">
        <f t="shared" si="14"/>
        <v>0</v>
      </c>
      <c r="X311" s="12">
        <v>309</v>
      </c>
      <c r="Y311" s="12" t="str">
        <v>Ché Adams</v>
      </c>
      <c r="Z311" s="12">
        <v>29</v>
      </c>
      <c r="AA311" s="12" t="str">
        <v>Scotland</v>
      </c>
      <c r="AB311" s="12" t="str">
        <v>ST</v>
      </c>
      <c r="AC311" s="12" t="str">
        <v>Torino</v>
      </c>
      <c r="AD311" s="12">
        <v>10</v>
      </c>
      <c r="AF311" s="42">
        <v>1982</v>
      </c>
      <c r="AG311" s="42" t="str">
        <v xml:space="preserve">13 Jun 1982 - 20:00 </v>
      </c>
      <c r="AH311" s="42" t="str">
        <v>GROUP_STAGE</v>
      </c>
      <c r="AI311" s="42" t="str">
        <v>Camp Nou</v>
      </c>
      <c r="AJ311" s="42" t="str">
        <v xml:space="preserve">Barcelona </v>
      </c>
      <c r="AK311" s="42" t="str">
        <v>Argentina</v>
      </c>
      <c r="AL311" s="42">
        <v>0</v>
      </c>
      <c r="AM311" s="42">
        <v>1</v>
      </c>
      <c r="AN311" s="42" t="str">
        <v>Belgium</v>
      </c>
      <c r="AO311" s="42" t="str">
        <v>-</v>
      </c>
    </row>
    <row r="312" spans="7:41">
      <c r="G312" s="30">
        <v>2022</v>
      </c>
      <c r="H312" s="30" t="str">
        <v>FINAL</v>
      </c>
      <c r="I312" s="30" t="str">
        <v>Argentina</v>
      </c>
      <c r="J312" s="30" t="str">
        <v>France</v>
      </c>
      <c r="K312" s="30" t="str">
        <v>Argentina</v>
      </c>
      <c r="L312" s="30" t="str">
        <v>Lionel Messi</v>
      </c>
      <c r="M312" s="30" t="str">
        <v>Hugo Lloris</v>
      </c>
      <c r="N312" s="30">
        <v>2</v>
      </c>
      <c r="O312" s="30">
        <v>1</v>
      </c>
      <c r="P312" s="30" t="str">
        <v>'0-1</v>
      </c>
      <c r="Q312" s="30" t="str">
        <v>No</v>
      </c>
      <c r="R312" s="30" t="str">
        <v>No</v>
      </c>
      <c r="S312" s="30" t="str">
        <v>Goal</v>
      </c>
      <c r="T312" s="30" t="str">
        <f t="shared" si="12"/>
        <v>0-1</v>
      </c>
      <c r="U312" s="30">
        <f t="shared" si="13"/>
        <v>0</v>
      </c>
      <c r="V312" s="30">
        <f t="shared" si="14"/>
        <v>1</v>
      </c>
      <c r="X312" s="12">
        <v>310</v>
      </c>
      <c r="Y312" s="12" t="str">
        <v>Ross Stewart</v>
      </c>
      <c r="Z312" s="12">
        <v>29</v>
      </c>
      <c r="AA312" s="12" t="str">
        <v>Scotland</v>
      </c>
      <c r="AB312" s="12" t="str">
        <v>ST</v>
      </c>
      <c r="AC312" s="12" t="str">
        <v>Southampton</v>
      </c>
      <c r="AD312" s="12">
        <v>14</v>
      </c>
      <c r="AF312" s="42">
        <v>1982</v>
      </c>
      <c r="AG312" s="42" t="str">
        <v xml:space="preserve">14 Jun 1982 - 17:15 </v>
      </c>
      <c r="AH312" s="42" t="str">
        <v>GROUP_STAGE</v>
      </c>
      <c r="AI312" s="42" t="str">
        <v>Estadio Municipal de Balaídos</v>
      </c>
      <c r="AJ312" s="42" t="str">
        <v xml:space="preserve">Vigo </v>
      </c>
      <c r="AK312" s="42" t="str">
        <v>Italy</v>
      </c>
      <c r="AL312" s="42">
        <v>0</v>
      </c>
      <c r="AM312" s="42">
        <v>0</v>
      </c>
      <c r="AN312" s="42" t="str">
        <v>Poland</v>
      </c>
      <c r="AO312" s="42" t="str">
        <v>-</v>
      </c>
    </row>
    <row r="313" spans="7:41">
      <c r="G313" s="30">
        <v>2022</v>
      </c>
      <c r="H313" s="30" t="str">
        <v>FINAL</v>
      </c>
      <c r="I313" s="30" t="str">
        <v>Argentina</v>
      </c>
      <c r="J313" s="30" t="str">
        <v>France</v>
      </c>
      <c r="K313" s="30" t="str">
        <v>France</v>
      </c>
      <c r="L313" s="30" t="str">
        <v>Kingsley Coman</v>
      </c>
      <c r="M313" s="30" t="str">
        <v>Emiliano Martínez</v>
      </c>
      <c r="N313" s="30">
        <v>3</v>
      </c>
      <c r="O313" s="30">
        <v>2</v>
      </c>
      <c r="P313" s="30" t="str">
        <v>'1-1</v>
      </c>
      <c r="Q313" s="30" t="str">
        <v>No</v>
      </c>
      <c r="R313" s="30" t="str">
        <v>No</v>
      </c>
      <c r="S313" s="30" t="str">
        <v>Saved</v>
      </c>
      <c r="T313" s="30" t="str">
        <f t="shared" si="12"/>
        <v>1-1</v>
      </c>
      <c r="U313" s="30">
        <f t="shared" si="13"/>
        <v>1</v>
      </c>
      <c r="V313" s="30">
        <f t="shared" si="14"/>
        <v>1</v>
      </c>
      <c r="X313" s="12">
        <v>311</v>
      </c>
      <c r="Y313" s="12" t="str">
        <v>George Hirst</v>
      </c>
      <c r="Z313" s="12">
        <v>27</v>
      </c>
      <c r="AA313" s="12" t="str">
        <v>Scotland</v>
      </c>
      <c r="AB313" s="12" t="str">
        <v>ST</v>
      </c>
      <c r="AC313" s="12" t="str">
        <v>Ipswich Town</v>
      </c>
      <c r="AD313" s="12">
        <v>18</v>
      </c>
      <c r="AF313" s="42">
        <v>1982</v>
      </c>
      <c r="AG313" s="42" t="str">
        <v xml:space="preserve">14 Jun 1982 - 21:00 </v>
      </c>
      <c r="AH313" s="42" t="str">
        <v>GROUP_STAGE</v>
      </c>
      <c r="AI313" s="42" t="str">
        <v>Ramon Sanchez Pizjuan</v>
      </c>
      <c r="AJ313" s="42" t="str">
        <v xml:space="preserve">Seville </v>
      </c>
      <c r="AK313" s="42" t="str">
        <v>Brazil</v>
      </c>
      <c r="AL313" s="42">
        <v>2</v>
      </c>
      <c r="AM313" s="42">
        <v>1</v>
      </c>
      <c r="AN313" s="42" t="str">
        <v>Soviet Union</v>
      </c>
      <c r="AO313" s="42" t="str">
        <v>-</v>
      </c>
    </row>
    <row r="314" spans="7:41">
      <c r="G314" s="30">
        <v>2022</v>
      </c>
      <c r="H314" s="30" t="str">
        <v>FINAL</v>
      </c>
      <c r="I314" s="30" t="str">
        <v>Argentina</v>
      </c>
      <c r="J314" s="30" t="str">
        <v>France</v>
      </c>
      <c r="K314" s="30" t="str">
        <v>Argentina</v>
      </c>
      <c r="L314" s="30" t="str">
        <v>Paulo Dybala</v>
      </c>
      <c r="M314" s="30" t="str">
        <v>Hugo Lloris</v>
      </c>
      <c r="N314" s="30">
        <v>4</v>
      </c>
      <c r="O314" s="30">
        <v>2</v>
      </c>
      <c r="P314" s="30" t="str">
        <v>'1-1</v>
      </c>
      <c r="Q314" s="30" t="str">
        <v>No</v>
      </c>
      <c r="R314" s="30" t="str">
        <v>No</v>
      </c>
      <c r="S314" s="30" t="str">
        <v>Goal</v>
      </c>
      <c r="T314" s="30" t="str">
        <f t="shared" si="12"/>
        <v>1-1</v>
      </c>
      <c r="U314" s="30">
        <f t="shared" si="13"/>
        <v>1</v>
      </c>
      <c r="V314" s="30">
        <f t="shared" si="14"/>
        <v>1</v>
      </c>
      <c r="X314" s="12">
        <v>312</v>
      </c>
      <c r="Y314" s="12" t="str">
        <v>Lawrence Shankland</v>
      </c>
      <c r="Z314" s="12">
        <v>30</v>
      </c>
      <c r="AA314" s="12" t="str">
        <v>Scotland</v>
      </c>
      <c r="AB314" s="12" t="str">
        <v>ST</v>
      </c>
      <c r="AC314" s="12" t="str">
        <v>Heart of Midlothian</v>
      </c>
      <c r="AD314" s="12">
        <v>20</v>
      </c>
      <c r="AF314" s="42">
        <v>1982</v>
      </c>
      <c r="AG314" s="42" t="str">
        <v xml:space="preserve">15 Jun 1982 - 17:15 </v>
      </c>
      <c r="AH314" s="42" t="str">
        <v>GROUP_STAGE</v>
      </c>
      <c r="AI314" s="42" t="str">
        <v>Riazor</v>
      </c>
      <c r="AJ314" s="42" t="str">
        <v>La Coruña</v>
      </c>
      <c r="AK314" s="42" t="str">
        <v>Peru</v>
      </c>
      <c r="AL314" s="42">
        <v>0</v>
      </c>
      <c r="AM314" s="42">
        <v>0</v>
      </c>
      <c r="AN314" s="42" t="str">
        <v>Cameroon</v>
      </c>
      <c r="AO314" s="42" t="str">
        <v>-</v>
      </c>
    </row>
    <row r="315" spans="7:41">
      <c r="G315" s="30">
        <v>2022</v>
      </c>
      <c r="H315" s="30" t="str">
        <v>FINAL</v>
      </c>
      <c r="I315" s="30" t="str">
        <v>Argentina</v>
      </c>
      <c r="J315" s="30" t="str">
        <v>France</v>
      </c>
      <c r="K315" s="30" t="str">
        <v>France</v>
      </c>
      <c r="L315" s="30" t="str">
        <v>Aurélien Tchouaméni</v>
      </c>
      <c r="M315" s="30" t="str">
        <v>Emiliano Martínez</v>
      </c>
      <c r="N315" s="30">
        <v>5</v>
      </c>
      <c r="O315" s="30">
        <v>3</v>
      </c>
      <c r="P315" s="30" t="str">
        <v>'2-1</v>
      </c>
      <c r="Q315" s="30" t="str">
        <v>No</v>
      </c>
      <c r="R315" s="30" t="str">
        <v>No</v>
      </c>
      <c r="S315" s="30" t="str">
        <v>Missed</v>
      </c>
      <c r="T315" s="30" t="str">
        <f t="shared" si="12"/>
        <v>2-1</v>
      </c>
      <c r="U315" s="30">
        <f t="shared" si="13"/>
        <v>2</v>
      </c>
      <c r="V315" s="30">
        <f t="shared" si="14"/>
        <v>1</v>
      </c>
      <c r="X315" s="12">
        <v>313</v>
      </c>
      <c r="Y315" s="12" t="str">
        <v>Gatito Fernández</v>
      </c>
      <c r="Z315" s="12">
        <v>38</v>
      </c>
      <c r="AA315" s="12" t="str">
        <v>Paraguay</v>
      </c>
      <c r="AB315" s="12" t="str">
        <v>GK</v>
      </c>
      <c r="AC315" s="12" t="str">
        <v>Cerro Porteño</v>
      </c>
      <c r="AD315" s="12">
        <v>1</v>
      </c>
      <c r="AF315" s="42">
        <v>1982</v>
      </c>
      <c r="AG315" s="42" t="str">
        <v xml:space="preserve">15 Jun 1982 - 21:00 </v>
      </c>
      <c r="AH315" s="42" t="str">
        <v>GROUP_STAGE</v>
      </c>
      <c r="AI315" s="42" t="str">
        <v>Nuevo Estadio</v>
      </c>
      <c r="AJ315" s="42" t="str">
        <v xml:space="preserve">Elche </v>
      </c>
      <c r="AK315" s="42" t="str">
        <v>Hungary</v>
      </c>
      <c r="AL315" s="42">
        <v>10</v>
      </c>
      <c r="AM315" s="42">
        <v>1</v>
      </c>
      <c r="AN315" s="42" t="str">
        <v>El Salvador</v>
      </c>
      <c r="AO315" s="42" t="str">
        <v>-</v>
      </c>
    </row>
    <row r="316" spans="7:41">
      <c r="G316" s="30">
        <v>2022</v>
      </c>
      <c r="H316" s="30" t="str">
        <v>FINAL</v>
      </c>
      <c r="I316" s="30" t="str">
        <v>Argentina</v>
      </c>
      <c r="J316" s="30" t="str">
        <v>France</v>
      </c>
      <c r="K316" s="30" t="str">
        <v>Argentina</v>
      </c>
      <c r="L316" s="30" t="str">
        <v>Leandro Paredes</v>
      </c>
      <c r="M316" s="30" t="str">
        <v>Hugo Lloris</v>
      </c>
      <c r="N316" s="30">
        <v>6</v>
      </c>
      <c r="O316" s="30">
        <v>3</v>
      </c>
      <c r="P316" s="30" t="str">
        <v>'2-1</v>
      </c>
      <c r="Q316" s="30" t="str">
        <v>No</v>
      </c>
      <c r="R316" s="30" t="str">
        <v>No</v>
      </c>
      <c r="S316" s="30" t="str">
        <v>Goal</v>
      </c>
      <c r="T316" s="30" t="str">
        <f t="shared" si="12"/>
        <v>2-1</v>
      </c>
      <c r="U316" s="30">
        <f t="shared" si="13"/>
        <v>2</v>
      </c>
      <c r="V316" s="30">
        <f t="shared" si="14"/>
        <v>1</v>
      </c>
      <c r="X316" s="12">
        <v>314</v>
      </c>
      <c r="Y316" s="12" t="str">
        <v>Orlando Gill</v>
      </c>
      <c r="Z316" s="12">
        <v>26</v>
      </c>
      <c r="AA316" s="12" t="str">
        <v>Paraguay</v>
      </c>
      <c r="AB316" s="12" t="str">
        <v>GK</v>
      </c>
      <c r="AC316" s="12" t="str">
        <v>San Lorenzo</v>
      </c>
      <c r="AD316" s="12">
        <v>12</v>
      </c>
      <c r="AF316" s="42">
        <v>1982</v>
      </c>
      <c r="AG316" s="42" t="str">
        <v xml:space="preserve">15 Jun 1982 - 21:00 </v>
      </c>
      <c r="AH316" s="42" t="str">
        <v>GROUP_STAGE</v>
      </c>
      <c r="AI316" s="42" t="str">
        <v>La Rosaleda</v>
      </c>
      <c r="AJ316" s="42" t="str">
        <v xml:space="preserve">Malaga </v>
      </c>
      <c r="AK316" s="42" t="str">
        <v>Scotland</v>
      </c>
      <c r="AL316" s="42">
        <v>5</v>
      </c>
      <c r="AM316" s="42">
        <v>2</v>
      </c>
      <c r="AN316" s="42" t="str">
        <v>New Zealand</v>
      </c>
      <c r="AO316" s="42" t="str">
        <v>-</v>
      </c>
    </row>
    <row r="317" spans="7:41">
      <c r="G317" s="30">
        <v>2022</v>
      </c>
      <c r="H317" s="30" t="str">
        <v>FINAL</v>
      </c>
      <c r="I317" s="30" t="str">
        <v>Argentina</v>
      </c>
      <c r="J317" s="30" t="str">
        <v>France</v>
      </c>
      <c r="K317" s="30" t="str">
        <v>France</v>
      </c>
      <c r="L317" s="30" t="str">
        <v>Randal Kolo Muani</v>
      </c>
      <c r="M317" s="30" t="str">
        <v>Emiliano Martínez</v>
      </c>
      <c r="N317" s="30">
        <v>7</v>
      </c>
      <c r="O317" s="30">
        <v>4</v>
      </c>
      <c r="P317" s="30" t="str">
        <v>'3-1</v>
      </c>
      <c r="Q317" s="30" t="str">
        <v>No</v>
      </c>
      <c r="R317" s="30" t="str">
        <v>No</v>
      </c>
      <c r="S317" s="30" t="str">
        <v>Goal</v>
      </c>
      <c r="T317" s="30" t="str">
        <f t="shared" si="12"/>
        <v>3-1</v>
      </c>
      <c r="U317" s="30">
        <f t="shared" si="13"/>
        <v>3</v>
      </c>
      <c r="V317" s="30">
        <f t="shared" si="14"/>
        <v>1</v>
      </c>
      <c r="X317" s="12">
        <v>315</v>
      </c>
      <c r="Y317" s="12" t="str">
        <v>Gastón Olveira</v>
      </c>
      <c r="Z317" s="12">
        <v>33</v>
      </c>
      <c r="AA317" s="12" t="str">
        <v>Paraguay</v>
      </c>
      <c r="AB317" s="12" t="str">
        <v>GK</v>
      </c>
      <c r="AC317" s="12" t="str">
        <v>Olimpia</v>
      </c>
      <c r="AD317" s="12">
        <v>22</v>
      </c>
      <c r="AF317" s="42">
        <v>1982</v>
      </c>
      <c r="AG317" s="42" t="str">
        <v xml:space="preserve">16 Jun 1982 - 17:15 </v>
      </c>
      <c r="AH317" s="42" t="str">
        <v>GROUP_STAGE</v>
      </c>
      <c r="AI317" s="42" t="str">
        <v>El Molinon</v>
      </c>
      <c r="AJ317" s="42" t="str">
        <v xml:space="preserve">Gijon </v>
      </c>
      <c r="AK317" s="42" t="str">
        <v>FR Germany</v>
      </c>
      <c r="AL317" s="42">
        <v>1</v>
      </c>
      <c r="AM317" s="42">
        <v>2</v>
      </c>
      <c r="AN317" s="42" t="str">
        <v>Algeria</v>
      </c>
      <c r="AO317" s="42" t="str">
        <v>-</v>
      </c>
    </row>
    <row r="318" spans="7:41">
      <c r="G318" s="30">
        <v>2022</v>
      </c>
      <c r="H318" s="30" t="str">
        <v>FINAL</v>
      </c>
      <c r="I318" s="30" t="str">
        <v>Argentina</v>
      </c>
      <c r="J318" s="30" t="str">
        <v>France</v>
      </c>
      <c r="K318" s="30" t="str">
        <v>Argentina</v>
      </c>
      <c r="L318" s="30" t="str">
        <v>Gonzalo Montiel</v>
      </c>
      <c r="M318" s="30" t="str">
        <v>Hugo Lloris</v>
      </c>
      <c r="N318" s="30">
        <v>8</v>
      </c>
      <c r="O318" s="30">
        <v>4</v>
      </c>
      <c r="P318" s="30" t="str">
        <v>'3-2</v>
      </c>
      <c r="Q318" s="30" t="str">
        <v>No</v>
      </c>
      <c r="R318" s="30" t="str">
        <v>Yes</v>
      </c>
      <c r="S318" s="30" t="str">
        <v>Goal</v>
      </c>
      <c r="T318" s="30" t="str">
        <f t="shared" si="12"/>
        <v>3-2</v>
      </c>
      <c r="U318" s="30">
        <f t="shared" si="13"/>
        <v>3</v>
      </c>
      <c r="V318" s="30">
        <f t="shared" si="14"/>
        <v>2</v>
      </c>
      <c r="X318" s="12">
        <v>316</v>
      </c>
      <c r="Y318" s="12" t="str">
        <v>Omar Alderete</v>
      </c>
      <c r="Z318" s="12">
        <v>29</v>
      </c>
      <c r="AA318" s="12" t="str">
        <v>Paraguay</v>
      </c>
      <c r="AB318" s="12" t="str">
        <v>CB</v>
      </c>
      <c r="AC318" s="12" t="str">
        <v>Sunderland</v>
      </c>
      <c r="AD318" s="12">
        <v>3</v>
      </c>
      <c r="AF318" s="42">
        <v>1982</v>
      </c>
      <c r="AG318" s="42" t="str">
        <v xml:space="preserve">16 Jun 1982 - 17:15 </v>
      </c>
      <c r="AH318" s="42" t="str">
        <v>GROUP_STAGE</v>
      </c>
      <c r="AI318" s="42" t="str">
        <v>San Mames</v>
      </c>
      <c r="AJ318" s="42" t="str">
        <v xml:space="preserve">Bilbao </v>
      </c>
      <c r="AK318" s="42" t="str">
        <v>England</v>
      </c>
      <c r="AL318" s="42">
        <v>3</v>
      </c>
      <c r="AM318" s="42">
        <v>1</v>
      </c>
      <c r="AN318" s="42" t="str">
        <v>France</v>
      </c>
      <c r="AO318" s="42" t="str">
        <v>-</v>
      </c>
    </row>
    <row r="319" spans="7:41">
      <c r="G319" s="30">
        <v>2026</v>
      </c>
      <c r="H319" s="30" t="str">
        <v>ROUND_OF_32</v>
      </c>
      <c r="I319" s="30" t="str">
        <v>Germany</v>
      </c>
      <c r="J319" s="30" t="str">
        <v>Paraguay</v>
      </c>
      <c r="K319" s="30" t="str">
        <v>Germany</v>
      </c>
      <c r="L319" s="30" t="str">
        <v>Florian Wirtz</v>
      </c>
      <c r="M319" s="30" t="str">
        <v>Roberto Fernández</v>
      </c>
      <c r="N319" s="30">
        <v>1</v>
      </c>
      <c r="O319" s="30">
        <v>1</v>
      </c>
      <c r="P319" s="30" t="str">
        <v>0-0</v>
      </c>
      <c r="Q319" s="30" t="str">
        <v>No</v>
      </c>
      <c r="R319" s="30" t="str">
        <v>No</v>
      </c>
      <c r="S319" s="30" t="str">
        <v>Goal</v>
      </c>
      <c r="T319" s="30" t="str">
        <f t="shared" si="12"/>
        <v>0-0</v>
      </c>
      <c r="U319" s="30">
        <f t="shared" si="13"/>
        <v>0</v>
      </c>
      <c r="V319" s="30">
        <f t="shared" si="14"/>
        <v>0</v>
      </c>
      <c r="X319" s="12">
        <v>317</v>
      </c>
      <c r="Y319" s="12" t="str">
        <v>Fabián Balbuena</v>
      </c>
      <c r="Z319" s="12">
        <v>34</v>
      </c>
      <c r="AA319" s="12" t="str">
        <v>Paraguay</v>
      </c>
      <c r="AB319" s="12" t="str">
        <v>CB</v>
      </c>
      <c r="AC319" s="12" t="str">
        <v>Grêmio</v>
      </c>
      <c r="AD319" s="12">
        <v>5</v>
      </c>
      <c r="AF319" s="42">
        <v>1982</v>
      </c>
      <c r="AG319" s="42" t="str">
        <v xml:space="preserve">16 Jun 1982 - 21:00 </v>
      </c>
      <c r="AH319" s="42" t="str">
        <v>GROUP_STAGE</v>
      </c>
      <c r="AI319" s="42" t="str">
        <v>Luis Casanova</v>
      </c>
      <c r="AJ319" s="42" t="str">
        <v xml:space="preserve">Valencia </v>
      </c>
      <c r="AK319" s="42" t="str">
        <v>Spain</v>
      </c>
      <c r="AL319" s="42">
        <v>1</v>
      </c>
      <c r="AM319" s="42">
        <v>1</v>
      </c>
      <c r="AN319" s="42" t="str">
        <v>Honduras</v>
      </c>
      <c r="AO319" s="42" t="str">
        <v>-</v>
      </c>
    </row>
    <row r="320" spans="7:41">
      <c r="G320" s="30">
        <v>2026</v>
      </c>
      <c r="H320" s="30" t="str">
        <v>ROUND_OF_32</v>
      </c>
      <c r="I320" s="30" t="str">
        <v>Germany</v>
      </c>
      <c r="J320" s="30" t="str">
        <v>Paraguay</v>
      </c>
      <c r="K320" s="30" t="str">
        <v>Paraguay</v>
      </c>
      <c r="L320" s="30" t="str">
        <v>Julio Enciso</v>
      </c>
      <c r="M320" s="30" t="str">
        <v>Marc-André ter Stegen</v>
      </c>
      <c r="N320" s="30">
        <v>2</v>
      </c>
      <c r="O320" s="30">
        <v>1</v>
      </c>
      <c r="P320" s="30" t="str">
        <v>1-0</v>
      </c>
      <c r="Q320" s="30" t="str">
        <v>No</v>
      </c>
      <c r="R320" s="30" t="str">
        <v>No</v>
      </c>
      <c r="S320" s="30" t="str">
        <v>Goal</v>
      </c>
      <c r="T320" s="30" t="str">
        <f t="shared" si="12"/>
        <v>1-0</v>
      </c>
      <c r="U320" s="30">
        <f t="shared" si="13"/>
        <v>1</v>
      </c>
      <c r="V320" s="30">
        <f t="shared" si="14"/>
        <v>0</v>
      </c>
      <c r="X320" s="12">
        <v>318</v>
      </c>
      <c r="Y320" s="12" t="str">
        <v>José Canale</v>
      </c>
      <c r="Z320" s="12">
        <v>29</v>
      </c>
      <c r="AA320" s="12" t="str">
        <v>Paraguay</v>
      </c>
      <c r="AB320" s="12" t="str">
        <v>CB</v>
      </c>
      <c r="AC320" s="12" t="str">
        <v>Lanús</v>
      </c>
      <c r="AD320" s="12">
        <v>13</v>
      </c>
      <c r="AF320" s="42">
        <v>1982</v>
      </c>
      <c r="AG320" s="42" t="str">
        <v xml:space="preserve">17 Jun 1982 - 17:15 </v>
      </c>
      <c r="AH320" s="42" t="str">
        <v>GROUP_STAGE</v>
      </c>
      <c r="AI320" s="42" t="str">
        <v>Carlos Tartiere</v>
      </c>
      <c r="AJ320" s="42" t="str">
        <v xml:space="preserve">Oviedo </v>
      </c>
      <c r="AK320" s="42" t="str">
        <v>Chile</v>
      </c>
      <c r="AL320" s="42">
        <v>0</v>
      </c>
      <c r="AM320" s="42">
        <v>1</v>
      </c>
      <c r="AN320" s="42" t="str">
        <v>Austria</v>
      </c>
      <c r="AO320" s="42" t="str">
        <v>-</v>
      </c>
    </row>
    <row r="321" spans="7:41">
      <c r="G321" s="30">
        <v>2026</v>
      </c>
      <c r="H321" s="30" t="str">
        <v>ROUND_OF_32</v>
      </c>
      <c r="I321" s="30" t="str">
        <v>Germany</v>
      </c>
      <c r="J321" s="30" t="str">
        <v>Paraguay</v>
      </c>
      <c r="K321" s="30" t="str">
        <v>Germany</v>
      </c>
      <c r="L321" s="30" t="str">
        <v>Kai Havertz</v>
      </c>
      <c r="M321" s="30" t="str">
        <v>Roberto Fernández</v>
      </c>
      <c r="N321" s="30">
        <v>3</v>
      </c>
      <c r="O321" s="30">
        <v>2</v>
      </c>
      <c r="P321" s="30" t="str">
        <v>1-1</v>
      </c>
      <c r="Q321" s="30" t="str">
        <v>No</v>
      </c>
      <c r="R321" s="30" t="str">
        <v>No</v>
      </c>
      <c r="S321" s="30" t="str">
        <v>Miss</v>
      </c>
      <c r="T321" s="30" t="str">
        <f t="shared" si="12"/>
        <v>1-1</v>
      </c>
      <c r="U321" s="30">
        <f t="shared" si="13"/>
        <v>1</v>
      </c>
      <c r="V321" s="30">
        <f t="shared" si="14"/>
        <v>1</v>
      </c>
      <c r="X321" s="12">
        <v>319</v>
      </c>
      <c r="Y321" s="12" t="str">
        <v>Gustavo Gómez</v>
      </c>
      <c r="Z321" s="12">
        <v>33</v>
      </c>
      <c r="AA321" s="12" t="str">
        <v>Paraguay</v>
      </c>
      <c r="AB321" s="12" t="str">
        <v>CB</v>
      </c>
      <c r="AC321" s="12" t="str">
        <v>Palmeiras</v>
      </c>
      <c r="AD321" s="12">
        <v>15</v>
      </c>
      <c r="AF321" s="42">
        <v>1982</v>
      </c>
      <c r="AG321" s="42" t="str">
        <v xml:space="preserve">17 Jun 1982 - 17:45 </v>
      </c>
      <c r="AH321" s="42" t="str">
        <v>GROUP_STAGE</v>
      </c>
      <c r="AI321" s="42" t="str">
        <v>Jose Zorrilla</v>
      </c>
      <c r="AJ321" s="42" t="str">
        <v xml:space="preserve">Valladolid </v>
      </c>
      <c r="AK321" s="42" t="str">
        <v>Czechoslovakia</v>
      </c>
      <c r="AL321" s="42">
        <v>1</v>
      </c>
      <c r="AM321" s="42">
        <v>1</v>
      </c>
      <c r="AN321" s="42" t="str">
        <v>Kuwait</v>
      </c>
      <c r="AO321" s="42" t="str">
        <v>-</v>
      </c>
    </row>
    <row r="322" spans="7:41">
      <c r="G322" s="30">
        <v>2026</v>
      </c>
      <c r="H322" s="30" t="str">
        <v>ROUND_OF_32</v>
      </c>
      <c r="I322" s="30" t="str">
        <v>Germany</v>
      </c>
      <c r="J322" s="30" t="str">
        <v>Paraguay</v>
      </c>
      <c r="K322" s="30" t="str">
        <v>Paraguay</v>
      </c>
      <c r="L322" s="30" t="str">
        <v>Miguel Almirón</v>
      </c>
      <c r="M322" s="30" t="str">
        <v>Marc-André ter Stegen</v>
      </c>
      <c r="N322" s="30">
        <v>4</v>
      </c>
      <c r="O322" s="30">
        <v>2</v>
      </c>
      <c r="P322" s="30" t="str">
        <v>1-1</v>
      </c>
      <c r="Q322" s="30" t="str">
        <v>No</v>
      </c>
      <c r="R322" s="30" t="str">
        <v>No</v>
      </c>
      <c r="S322" s="30" t="str">
        <v>Goal</v>
      </c>
      <c r="T322" s="30" t="str">
        <f t="shared" si="12"/>
        <v>1-1</v>
      </c>
      <c r="U322" s="30">
        <f t="shared" si="13"/>
        <v>1</v>
      </c>
      <c r="V322" s="30">
        <f t="shared" si="14"/>
        <v>1</v>
      </c>
      <c r="X322" s="12">
        <v>320</v>
      </c>
      <c r="Y322" s="12" t="str">
        <v>Alexandro Maidana</v>
      </c>
      <c r="Z322" s="12">
        <v>20</v>
      </c>
      <c r="AA322" s="12" t="str">
        <v>Paraguay</v>
      </c>
      <c r="AB322" s="12" t="str">
        <v>CB</v>
      </c>
      <c r="AC322" s="12" t="str">
        <v>Talleres</v>
      </c>
      <c r="AD322" s="12">
        <v>26</v>
      </c>
      <c r="AF322" s="42">
        <v>1982</v>
      </c>
      <c r="AG322" s="42" t="str">
        <v xml:space="preserve">17 Jun 1982 - 21:00 </v>
      </c>
      <c r="AH322" s="42" t="str">
        <v>GROUP_STAGE</v>
      </c>
      <c r="AI322" s="42" t="str">
        <v>La Romareda</v>
      </c>
      <c r="AJ322" s="42" t="str">
        <v xml:space="preserve">Zaragoza </v>
      </c>
      <c r="AK322" s="42" t="str">
        <v>Yugoslavia</v>
      </c>
      <c r="AL322" s="42">
        <v>0</v>
      </c>
      <c r="AM322" s="42">
        <v>0</v>
      </c>
      <c r="AN322" s="42" t="str">
        <v>Northern Ireland</v>
      </c>
      <c r="AO322" s="42" t="str">
        <v>-</v>
      </c>
    </row>
    <row r="323" spans="7:41">
      <c r="G323" s="30">
        <v>2026</v>
      </c>
      <c r="H323" s="30" t="str">
        <v>ROUND_OF_32</v>
      </c>
      <c r="I323" s="30" t="str">
        <v>Germany</v>
      </c>
      <c r="J323" s="30" t="str">
        <v>Paraguay</v>
      </c>
      <c r="K323" s="30" t="str">
        <v>Germany</v>
      </c>
      <c r="L323" s="30" t="str">
        <v>Jamal Musiala</v>
      </c>
      <c r="M323" s="30" t="str">
        <v>Roberto Fernández</v>
      </c>
      <c r="N323" s="30">
        <v>5</v>
      </c>
      <c r="O323" s="30">
        <v>3</v>
      </c>
      <c r="P323" s="30" t="str">
        <v>1-2</v>
      </c>
      <c r="Q323" s="30" t="str">
        <v>No</v>
      </c>
      <c r="R323" s="30" t="str">
        <v>No</v>
      </c>
      <c r="S323" s="30" t="str">
        <v>Goal</v>
      </c>
      <c r="T323" s="30" t="str">
        <f t="shared" ref="T323:T354" si="15">SUBSTITUTE(P323,"'","")</f>
        <v>1-2</v>
      </c>
      <c r="U323" s="30">
        <f t="shared" ref="U323:U354" si="16">VALUE(LEFT(T323,1))</f>
        <v>1</v>
      </c>
      <c r="V323" s="30">
        <f t="shared" ref="V323:V354" si="17">VALUE(RIGHT(T323,1))</f>
        <v>2</v>
      </c>
      <c r="X323" s="12">
        <v>321</v>
      </c>
      <c r="Y323" s="12" t="str">
        <v>Júnior Alonso</v>
      </c>
      <c r="Z323" s="12">
        <v>33</v>
      </c>
      <c r="AA323" s="12" t="str">
        <v>Paraguay</v>
      </c>
      <c r="AB323" s="12" t="str">
        <v>LB</v>
      </c>
      <c r="AC323" s="12" t="str">
        <v>Atlético Mineiro</v>
      </c>
      <c r="AD323" s="12">
        <v>6</v>
      </c>
      <c r="AF323" s="42">
        <v>1982</v>
      </c>
      <c r="AG323" s="42" t="str">
        <v xml:space="preserve">18 Jun 1982 - 17:15 </v>
      </c>
      <c r="AH323" s="42" t="str">
        <v>GROUP_STAGE</v>
      </c>
      <c r="AI323" s="42" t="str">
        <v>Estadio Municipal de Balaídos</v>
      </c>
      <c r="AJ323" s="42" t="str">
        <v xml:space="preserve">Vigo </v>
      </c>
      <c r="AK323" s="42" t="str">
        <v>Italy</v>
      </c>
      <c r="AL323" s="42">
        <v>1</v>
      </c>
      <c r="AM323" s="42">
        <v>1</v>
      </c>
      <c r="AN323" s="42" t="str">
        <v>Peru</v>
      </c>
      <c r="AO323" s="42" t="str">
        <v>-</v>
      </c>
    </row>
    <row r="324" spans="7:41">
      <c r="G324" s="30">
        <v>2026</v>
      </c>
      <c r="H324" s="30" t="str">
        <v>ROUND_OF_32</v>
      </c>
      <c r="I324" s="30" t="str">
        <v>Germany</v>
      </c>
      <c r="J324" s="30" t="str">
        <v>Paraguay</v>
      </c>
      <c r="K324" s="30" t="str">
        <v>Paraguay</v>
      </c>
      <c r="L324" s="30" t="str">
        <v>Mathias Villasanti</v>
      </c>
      <c r="M324" s="30" t="str">
        <v>Marc-André ter Stegen</v>
      </c>
      <c r="N324" s="30">
        <v>6</v>
      </c>
      <c r="O324" s="30">
        <v>3</v>
      </c>
      <c r="P324" s="30" t="str">
        <v>2-2</v>
      </c>
      <c r="Q324" s="30" t="str">
        <v>No</v>
      </c>
      <c r="R324" s="30" t="str">
        <v>No</v>
      </c>
      <c r="S324" s="30" t="str">
        <v>Goal</v>
      </c>
      <c r="T324" s="30" t="str">
        <f t="shared" si="15"/>
        <v>2-2</v>
      </c>
      <c r="U324" s="30">
        <f t="shared" si="16"/>
        <v>2</v>
      </c>
      <c r="V324" s="30">
        <f t="shared" si="17"/>
        <v>2</v>
      </c>
      <c r="X324" s="12">
        <v>322</v>
      </c>
      <c r="Y324" s="12" t="str">
        <v>Gustavo Velázquez</v>
      </c>
      <c r="Z324" s="12">
        <v>35</v>
      </c>
      <c r="AA324" s="12" t="str">
        <v>Paraguay</v>
      </c>
      <c r="AB324" s="12" t="str">
        <v>RB</v>
      </c>
      <c r="AC324" s="12" t="str">
        <v>Cerro Porteño</v>
      </c>
      <c r="AD324" s="12">
        <v>2</v>
      </c>
      <c r="AF324" s="42">
        <v>1982</v>
      </c>
      <c r="AG324" s="42" t="str">
        <v xml:space="preserve">18 Jun 1982 - 21:00 </v>
      </c>
      <c r="AH324" s="42" t="str">
        <v>GROUP_STAGE</v>
      </c>
      <c r="AI324" s="42" t="str">
        <v>Jose Rico Perez</v>
      </c>
      <c r="AJ324" s="42" t="str">
        <v xml:space="preserve">Alicante </v>
      </c>
      <c r="AK324" s="42" t="str">
        <v>Argentina</v>
      </c>
      <c r="AL324" s="42">
        <v>4</v>
      </c>
      <c r="AM324" s="42">
        <v>1</v>
      </c>
      <c r="AN324" s="42" t="str">
        <v>Hungary</v>
      </c>
      <c r="AO324" s="42" t="str">
        <v>-</v>
      </c>
    </row>
    <row r="325" spans="7:41">
      <c r="G325" s="30">
        <v>2026</v>
      </c>
      <c r="H325" s="30" t="str">
        <v>ROUND_OF_32</v>
      </c>
      <c r="I325" s="30" t="str">
        <v>Germany</v>
      </c>
      <c r="J325" s="30" t="str">
        <v>Paraguay</v>
      </c>
      <c r="K325" s="30" t="str">
        <v>Germany</v>
      </c>
      <c r="L325" s="30" t="str">
        <v>Niclas Füllkrug</v>
      </c>
      <c r="M325" s="30" t="str">
        <v>Roberto Fernández</v>
      </c>
      <c r="N325" s="30">
        <v>7</v>
      </c>
      <c r="O325" s="30">
        <v>4</v>
      </c>
      <c r="P325" s="30" t="str">
        <v>2-3</v>
      </c>
      <c r="Q325" s="30" t="str">
        <v>No</v>
      </c>
      <c r="R325" s="30" t="str">
        <v>No</v>
      </c>
      <c r="S325" s="30" t="str">
        <v>Goal</v>
      </c>
      <c r="T325" s="30" t="str">
        <f t="shared" si="15"/>
        <v>2-3</v>
      </c>
      <c r="U325" s="30">
        <f t="shared" si="16"/>
        <v>2</v>
      </c>
      <c r="V325" s="30">
        <f t="shared" si="17"/>
        <v>3</v>
      </c>
      <c r="X325" s="12">
        <v>323</v>
      </c>
      <c r="Y325" s="12" t="str">
        <v>Juan José Cáceres</v>
      </c>
      <c r="Z325" s="12">
        <v>26</v>
      </c>
      <c r="AA325" s="12" t="str">
        <v>Paraguay</v>
      </c>
      <c r="AB325" s="12" t="str">
        <v>RB</v>
      </c>
      <c r="AC325" s="12" t="str">
        <v>Dynamo Moscow</v>
      </c>
      <c r="AD325" s="12">
        <v>4</v>
      </c>
      <c r="AF325" s="42">
        <v>1982</v>
      </c>
      <c r="AG325" s="42" t="str">
        <v xml:space="preserve">18 Jun 1982 - 21:00 </v>
      </c>
      <c r="AH325" s="42" t="str">
        <v>GROUP_STAGE</v>
      </c>
      <c r="AI325" s="42" t="str">
        <v>Benito Villamarin</v>
      </c>
      <c r="AJ325" s="42" t="str">
        <v xml:space="preserve">Seville </v>
      </c>
      <c r="AK325" s="42" t="str">
        <v>Brazil</v>
      </c>
      <c r="AL325" s="42">
        <v>4</v>
      </c>
      <c r="AM325" s="42">
        <v>1</v>
      </c>
      <c r="AN325" s="42" t="str">
        <v>Scotland</v>
      </c>
      <c r="AO325" s="42" t="str">
        <v>-</v>
      </c>
    </row>
    <row r="326" spans="7:41">
      <c r="G326" s="30">
        <v>2026</v>
      </c>
      <c r="H326" s="30" t="str">
        <v>ROUND_OF_32</v>
      </c>
      <c r="I326" s="30" t="str">
        <v>Germany</v>
      </c>
      <c r="J326" s="30" t="str">
        <v>Paraguay</v>
      </c>
      <c r="K326" s="30" t="str">
        <v>Paraguay</v>
      </c>
      <c r="L326" s="30" t="str">
        <v>Ramón Sosa</v>
      </c>
      <c r="M326" s="30" t="str">
        <v>Marc-André ter Stegen</v>
      </c>
      <c r="N326" s="30">
        <v>8</v>
      </c>
      <c r="O326" s="30">
        <v>4</v>
      </c>
      <c r="P326" s="30" t="str">
        <v>3-3</v>
      </c>
      <c r="Q326" s="30" t="str">
        <v>No</v>
      </c>
      <c r="R326" s="30" t="str">
        <v>No</v>
      </c>
      <c r="S326" s="30" t="str">
        <v>Miss</v>
      </c>
      <c r="T326" s="30" t="str">
        <f t="shared" si="15"/>
        <v>3-3</v>
      </c>
      <c r="U326" s="30">
        <f t="shared" si="16"/>
        <v>3</v>
      </c>
      <c r="V326" s="30">
        <f t="shared" si="17"/>
        <v>3</v>
      </c>
      <c r="X326" s="12">
        <v>324</v>
      </c>
      <c r="Y326" s="12" t="str">
        <v>Andrés Cubas</v>
      </c>
      <c r="Z326" s="12">
        <v>30</v>
      </c>
      <c r="AA326" s="12" t="str">
        <v>Paraguay</v>
      </c>
      <c r="AB326" s="12" t="str">
        <v>CDM</v>
      </c>
      <c r="AC326" s="12" t="str">
        <v>Vancouver Whitecaps FC</v>
      </c>
      <c r="AD326" s="12">
        <v>14</v>
      </c>
      <c r="AF326" s="42">
        <v>1982</v>
      </c>
      <c r="AG326" s="42" t="str">
        <v xml:space="preserve">19 Jun 1982 - 19:15 </v>
      </c>
      <c r="AH326" s="42" t="str">
        <v>GROUP_STAGE</v>
      </c>
      <c r="AI326" s="42" t="str">
        <v>Riazor</v>
      </c>
      <c r="AJ326" s="42" t="str">
        <v>La Coruña</v>
      </c>
      <c r="AK326" s="42" t="str">
        <v>Poland</v>
      </c>
      <c r="AL326" s="42">
        <v>0</v>
      </c>
      <c r="AM326" s="42">
        <v>0</v>
      </c>
      <c r="AN326" s="42" t="str">
        <v>Cameroon</v>
      </c>
      <c r="AO326" s="42" t="str">
        <v>-</v>
      </c>
    </row>
    <row r="327" spans="7:41">
      <c r="G327" s="30">
        <v>2026</v>
      </c>
      <c r="H327" s="30" t="str">
        <v>ROUND_OF_32</v>
      </c>
      <c r="I327" s="30" t="str">
        <v>Germany</v>
      </c>
      <c r="J327" s="30" t="str">
        <v>Paraguay</v>
      </c>
      <c r="K327" s="30" t="str">
        <v>Germany</v>
      </c>
      <c r="L327" s="30" t="str">
        <v>Joshua Kimmich</v>
      </c>
      <c r="M327" s="30" t="str">
        <v>Roberto Fernández</v>
      </c>
      <c r="N327" s="30">
        <v>9</v>
      </c>
      <c r="O327" s="30">
        <v>5</v>
      </c>
      <c r="P327" s="30" t="str">
        <v>3-3</v>
      </c>
      <c r="Q327" s="30" t="str">
        <v>No</v>
      </c>
      <c r="R327" s="30" t="str">
        <v>No</v>
      </c>
      <c r="S327" s="30" t="str">
        <v>Miss</v>
      </c>
      <c r="T327" s="30" t="str">
        <f t="shared" si="15"/>
        <v>3-3</v>
      </c>
      <c r="U327" s="30">
        <f t="shared" si="16"/>
        <v>3</v>
      </c>
      <c r="V327" s="30">
        <f t="shared" si="17"/>
        <v>3</v>
      </c>
      <c r="X327" s="12">
        <v>325</v>
      </c>
      <c r="Y327" s="12" t="str">
        <v>Braian Ojeda</v>
      </c>
      <c r="Z327" s="12">
        <v>25</v>
      </c>
      <c r="AA327" s="12" t="str">
        <v>Paraguay</v>
      </c>
      <c r="AB327" s="12" t="str">
        <v>CDM</v>
      </c>
      <c r="AC327" s="12" t="str">
        <v>Orlando City SC</v>
      </c>
      <c r="AD327" s="12">
        <v>20</v>
      </c>
      <c r="AF327" s="42">
        <v>1982</v>
      </c>
      <c r="AG327" s="42" t="str">
        <v xml:space="preserve">19 Jun 1982 - 21:00 </v>
      </c>
      <c r="AH327" s="42" t="str">
        <v>GROUP_STAGE</v>
      </c>
      <c r="AI327" s="42" t="str">
        <v>Nuevo Estadio</v>
      </c>
      <c r="AJ327" s="42" t="str">
        <v xml:space="preserve">Elche </v>
      </c>
      <c r="AK327" s="42" t="str">
        <v>Belgium</v>
      </c>
      <c r="AL327" s="42">
        <v>1</v>
      </c>
      <c r="AM327" s="42">
        <v>0</v>
      </c>
      <c r="AN327" s="42" t="str">
        <v>El Salvador</v>
      </c>
      <c r="AO327" s="42" t="str">
        <v>-</v>
      </c>
    </row>
    <row r="328" spans="7:41">
      <c r="G328" s="30">
        <v>2026</v>
      </c>
      <c r="H328" s="30" t="str">
        <v>ROUND_OF_32</v>
      </c>
      <c r="I328" s="30" t="str">
        <v>Germany</v>
      </c>
      <c r="J328" s="30" t="str">
        <v>Paraguay</v>
      </c>
      <c r="K328" s="30" t="str">
        <v>Paraguay</v>
      </c>
      <c r="L328" s="30" t="str">
        <v>Gustavo Gómez</v>
      </c>
      <c r="M328" s="30" t="str">
        <v>Marc-André ter Stegen</v>
      </c>
      <c r="N328" s="30">
        <v>10</v>
      </c>
      <c r="O328" s="30">
        <v>5</v>
      </c>
      <c r="P328" s="30" t="str">
        <v>3-3</v>
      </c>
      <c r="Q328" s="30" t="str">
        <v>No</v>
      </c>
      <c r="R328" s="30" t="str">
        <v>Yes</v>
      </c>
      <c r="S328" s="30" t="str">
        <v>Goal</v>
      </c>
      <c r="T328" s="30" t="str">
        <f t="shared" si="15"/>
        <v>3-3</v>
      </c>
      <c r="U328" s="30">
        <f t="shared" si="16"/>
        <v>3</v>
      </c>
      <c r="V328" s="30">
        <f t="shared" si="17"/>
        <v>3</v>
      </c>
      <c r="X328" s="12">
        <v>326</v>
      </c>
      <c r="Y328" s="12" t="str">
        <v>Diego Gómez</v>
      </c>
      <c r="Z328" s="12">
        <v>23</v>
      </c>
      <c r="AA328" s="12" t="str">
        <v>Paraguay</v>
      </c>
      <c r="AB328" s="12" t="str">
        <v>CM</v>
      </c>
      <c r="AC328" s="12" t="str">
        <v>Brighton &amp; Hove Albion</v>
      </c>
      <c r="AD328" s="12">
        <v>8</v>
      </c>
      <c r="AF328" s="42">
        <v>1982</v>
      </c>
      <c r="AG328" s="42" t="str">
        <v xml:space="preserve">19 Jun 1982 - 21:00 </v>
      </c>
      <c r="AH328" s="42" t="str">
        <v>GROUP_STAGE</v>
      </c>
      <c r="AI328" s="42" t="str">
        <v>La Rosaleda</v>
      </c>
      <c r="AJ328" s="42" t="str">
        <v xml:space="preserve">Malaga </v>
      </c>
      <c r="AK328" s="42" t="str">
        <v>Soviet Union</v>
      </c>
      <c r="AL328" s="42">
        <v>3</v>
      </c>
      <c r="AM328" s="42">
        <v>0</v>
      </c>
      <c r="AN328" s="42" t="str">
        <v>New Zealand</v>
      </c>
      <c r="AO328" s="42" t="str">
        <v>-</v>
      </c>
    </row>
    <row r="329" spans="7:41">
      <c r="G329" s="30">
        <v>2026</v>
      </c>
      <c r="H329" s="30" t="str">
        <v>ROUND_OF_32</v>
      </c>
      <c r="I329" s="30" t="str">
        <v>Netherlands</v>
      </c>
      <c r="J329" s="30" t="str">
        <v>Morocco</v>
      </c>
      <c r="K329" s="30" t="str">
        <v>Netherlands</v>
      </c>
      <c r="L329" s="30" t="str">
        <v>Cody Gakpo</v>
      </c>
      <c r="M329" s="30" t="str">
        <v>Yassine Bounou</v>
      </c>
      <c r="N329" s="30">
        <v>1</v>
      </c>
      <c r="O329" s="30">
        <v>1</v>
      </c>
      <c r="P329" s="30" t="str">
        <v>0-0</v>
      </c>
      <c r="Q329" s="30" t="str">
        <v>No</v>
      </c>
      <c r="R329" s="30" t="str">
        <v>No</v>
      </c>
      <c r="S329" s="30" t="str">
        <v>Goal</v>
      </c>
      <c r="T329" s="30" t="str">
        <f t="shared" si="15"/>
        <v>0-0</v>
      </c>
      <c r="U329" s="30">
        <f t="shared" si="16"/>
        <v>0</v>
      </c>
      <c r="V329" s="30">
        <f t="shared" si="17"/>
        <v>0</v>
      </c>
      <c r="X329" s="12">
        <v>327</v>
      </c>
      <c r="Y329" s="12" t="str">
        <v>Maurício</v>
      </c>
      <c r="Z329" s="12">
        <v>24</v>
      </c>
      <c r="AA329" s="12" t="str">
        <v>Paraguay</v>
      </c>
      <c r="AB329" s="12" t="str">
        <v>CM</v>
      </c>
      <c r="AC329" s="12" t="str">
        <v>Palmeiras</v>
      </c>
      <c r="AD329" s="12">
        <v>11</v>
      </c>
      <c r="AF329" s="42">
        <v>1982</v>
      </c>
      <c r="AG329" s="42" t="str">
        <v xml:space="preserve">20 Jun 1982 - 17:15 </v>
      </c>
      <c r="AH329" s="42" t="str">
        <v>GROUP_STAGE</v>
      </c>
      <c r="AI329" s="42" t="str">
        <v>El Molinon</v>
      </c>
      <c r="AJ329" s="42" t="str">
        <v xml:space="preserve">Gijon </v>
      </c>
      <c r="AK329" s="42" t="str">
        <v>FR Germany</v>
      </c>
      <c r="AL329" s="42">
        <v>4</v>
      </c>
      <c r="AM329" s="42">
        <v>1</v>
      </c>
      <c r="AN329" s="42" t="str">
        <v>Chile</v>
      </c>
      <c r="AO329" s="42" t="str">
        <v>-</v>
      </c>
    </row>
    <row r="330" spans="7:41">
      <c r="G330" s="30">
        <v>2026</v>
      </c>
      <c r="H330" s="30" t="str">
        <v>ROUND_OF_32</v>
      </c>
      <c r="I330" s="30" t="str">
        <v>Netherlands</v>
      </c>
      <c r="J330" s="30" t="str">
        <v>Morocco</v>
      </c>
      <c r="K330" s="30" t="str">
        <v>Morocco</v>
      </c>
      <c r="L330" s="30" t="str">
        <v>Achraf Hakimi</v>
      </c>
      <c r="M330" s="30" t="str">
        <v>Bart Verbruggen</v>
      </c>
      <c r="N330" s="30">
        <v>2</v>
      </c>
      <c r="O330" s="30">
        <v>1</v>
      </c>
      <c r="P330" s="30" t="str">
        <v>1-0</v>
      </c>
      <c r="Q330" s="30" t="str">
        <v>No</v>
      </c>
      <c r="R330" s="30" t="str">
        <v>No</v>
      </c>
      <c r="S330" s="30" t="str">
        <v>Goal</v>
      </c>
      <c r="T330" s="30" t="str">
        <f t="shared" si="15"/>
        <v>1-0</v>
      </c>
      <c r="U330" s="30">
        <f t="shared" si="16"/>
        <v>1</v>
      </c>
      <c r="V330" s="30">
        <f t="shared" si="17"/>
        <v>0</v>
      </c>
      <c r="X330" s="12">
        <v>328</v>
      </c>
      <c r="Y330" s="12" t="str">
        <v>Damián Bobadilla</v>
      </c>
      <c r="Z330" s="12">
        <v>24</v>
      </c>
      <c r="AA330" s="12" t="str">
        <v>Paraguay</v>
      </c>
      <c r="AB330" s="12" t="str">
        <v>CM</v>
      </c>
      <c r="AC330" s="12" t="str">
        <v>São Paulo</v>
      </c>
      <c r="AD330" s="12">
        <v>16</v>
      </c>
      <c r="AF330" s="42">
        <v>1982</v>
      </c>
      <c r="AG330" s="42" t="str">
        <v xml:space="preserve">20 Jun 1982 - 17:15 </v>
      </c>
      <c r="AH330" s="42" t="str">
        <v>GROUP_STAGE</v>
      </c>
      <c r="AI330" s="42" t="str">
        <v>San Mames</v>
      </c>
      <c r="AJ330" s="42" t="str">
        <v xml:space="preserve">Bilbao </v>
      </c>
      <c r="AK330" s="42" t="str">
        <v>England</v>
      </c>
      <c r="AL330" s="42">
        <v>2</v>
      </c>
      <c r="AM330" s="42">
        <v>0</v>
      </c>
      <c r="AN330" s="42" t="str">
        <v>Czechoslovakia</v>
      </c>
      <c r="AO330" s="42" t="str">
        <v>-</v>
      </c>
    </row>
    <row r="331" spans="7:41">
      <c r="G331" s="30">
        <v>2026</v>
      </c>
      <c r="H331" s="30" t="str">
        <v>ROUND_OF_32</v>
      </c>
      <c r="I331" s="30" t="str">
        <v>Netherlands</v>
      </c>
      <c r="J331" s="30" t="str">
        <v>Morocco</v>
      </c>
      <c r="K331" s="30" t="str">
        <v>Netherlands</v>
      </c>
      <c r="L331" s="30" t="str">
        <v>Xavi Simons</v>
      </c>
      <c r="M331" s="30" t="str">
        <v>Yassine Bounou</v>
      </c>
      <c r="N331" s="30">
        <v>3</v>
      </c>
      <c r="O331" s="30">
        <v>2</v>
      </c>
      <c r="P331" s="30" t="str">
        <v>1-1</v>
      </c>
      <c r="Q331" s="30" t="str">
        <v>No</v>
      </c>
      <c r="R331" s="30" t="str">
        <v>No</v>
      </c>
      <c r="S331" s="30" t="str">
        <v>Miss</v>
      </c>
      <c r="T331" s="30" t="str">
        <f t="shared" si="15"/>
        <v>1-1</v>
      </c>
      <c r="U331" s="30">
        <f t="shared" si="16"/>
        <v>1</v>
      </c>
      <c r="V331" s="30">
        <f t="shared" si="17"/>
        <v>1</v>
      </c>
      <c r="X331" s="12">
        <v>329</v>
      </c>
      <c r="Y331" s="12" t="str">
        <v>Matías Galarza</v>
      </c>
      <c r="Z331" s="12">
        <v>24</v>
      </c>
      <c r="AA331" s="12" t="str">
        <v>Paraguay</v>
      </c>
      <c r="AB331" s="12" t="str">
        <v>CM</v>
      </c>
      <c r="AC331" s="12" t="str">
        <v>Atlanta United FC</v>
      </c>
      <c r="AD331" s="12">
        <v>23</v>
      </c>
      <c r="AF331" s="42">
        <v>1982</v>
      </c>
      <c r="AG331" s="42" t="str">
        <v xml:space="preserve">20 Jun 1982 - 21:00 </v>
      </c>
      <c r="AH331" s="42" t="str">
        <v>GROUP_STAGE</v>
      </c>
      <c r="AI331" s="42" t="str">
        <v>Luis Casanova</v>
      </c>
      <c r="AJ331" s="42" t="str">
        <v xml:space="preserve">Valencia </v>
      </c>
      <c r="AK331" s="42" t="str">
        <v>Spain</v>
      </c>
      <c r="AL331" s="42">
        <v>2</v>
      </c>
      <c r="AM331" s="42">
        <v>1</v>
      </c>
      <c r="AN331" s="42" t="str">
        <v>Yugoslavia</v>
      </c>
      <c r="AO331" s="42" t="str">
        <v>-</v>
      </c>
    </row>
    <row r="332" spans="7:41">
      <c r="G332" s="30">
        <v>2026</v>
      </c>
      <c r="H332" s="30" t="str">
        <v>ROUND_OF_32</v>
      </c>
      <c r="I332" s="30" t="str">
        <v>Netherlands</v>
      </c>
      <c r="J332" s="30" t="str">
        <v>Morocco</v>
      </c>
      <c r="K332" s="30" t="str">
        <v>Morocco</v>
      </c>
      <c r="L332" s="30" t="str">
        <v>Hakim Ziyech</v>
      </c>
      <c r="M332" s="30" t="str">
        <v>Bart Verbruggen</v>
      </c>
      <c r="N332" s="30">
        <v>4</v>
      </c>
      <c r="O332" s="30">
        <v>2</v>
      </c>
      <c r="P332" s="30" t="str">
        <v>1-1</v>
      </c>
      <c r="Q332" s="30" t="str">
        <v>No</v>
      </c>
      <c r="R332" s="30" t="str">
        <v>No</v>
      </c>
      <c r="S332" s="30" t="str">
        <v>Goal</v>
      </c>
      <c r="T332" s="30" t="str">
        <f t="shared" si="15"/>
        <v>1-1</v>
      </c>
      <c r="U332" s="30">
        <f t="shared" si="16"/>
        <v>1</v>
      </c>
      <c r="V332" s="30">
        <f t="shared" si="17"/>
        <v>1</v>
      </c>
      <c r="X332" s="12">
        <v>330</v>
      </c>
      <c r="Y332" s="12" t="str">
        <v>Miguel Almirón</v>
      </c>
      <c r="Z332" s="12">
        <v>32</v>
      </c>
      <c r="AA332" s="12" t="str">
        <v>Paraguay</v>
      </c>
      <c r="AB332" s="12" t="str">
        <v>CAM</v>
      </c>
      <c r="AC332" s="12" t="str">
        <v>Atlanta United FC</v>
      </c>
      <c r="AD332" s="12">
        <v>10</v>
      </c>
      <c r="AF332" s="42">
        <v>1982</v>
      </c>
      <c r="AG332" s="42" t="str">
        <v xml:space="preserve">21 Jun 1982 - 17:15 </v>
      </c>
      <c r="AH332" s="42" t="str">
        <v>GROUP_STAGE</v>
      </c>
      <c r="AI332" s="42" t="str">
        <v>Carlos Tartiere</v>
      </c>
      <c r="AJ332" s="42" t="str">
        <v xml:space="preserve">Oviedo </v>
      </c>
      <c r="AK332" s="42" t="str">
        <v>Algeria</v>
      </c>
      <c r="AL332" s="42">
        <v>0</v>
      </c>
      <c r="AM332" s="42">
        <v>2</v>
      </c>
      <c r="AN332" s="42" t="str">
        <v>Austria</v>
      </c>
      <c r="AO332" s="42" t="str">
        <v>-</v>
      </c>
    </row>
    <row r="333" spans="7:41">
      <c r="G333" s="30">
        <v>2026</v>
      </c>
      <c r="H333" s="30" t="str">
        <v>ROUND_OF_32</v>
      </c>
      <c r="I333" s="30" t="str">
        <v>Netherlands</v>
      </c>
      <c r="J333" s="30" t="str">
        <v>Morocco</v>
      </c>
      <c r="K333" s="30" t="str">
        <v>Netherlands</v>
      </c>
      <c r="L333" s="30" t="str">
        <v>Tijjani Reijnders</v>
      </c>
      <c r="M333" s="30" t="str">
        <v>Yassine Bounou</v>
      </c>
      <c r="N333" s="30">
        <v>5</v>
      </c>
      <c r="O333" s="30">
        <v>3</v>
      </c>
      <c r="P333" s="30" t="str">
        <v>1-2</v>
      </c>
      <c r="Q333" s="30" t="str">
        <v>No</v>
      </c>
      <c r="R333" s="30" t="str">
        <v>No</v>
      </c>
      <c r="S333" s="30" t="str">
        <v>Goal</v>
      </c>
      <c r="T333" s="30" t="str">
        <f t="shared" si="15"/>
        <v>1-2</v>
      </c>
      <c r="U333" s="30">
        <f t="shared" si="16"/>
        <v>1</v>
      </c>
      <c r="V333" s="30">
        <f t="shared" si="17"/>
        <v>2</v>
      </c>
      <c r="X333" s="12">
        <v>331</v>
      </c>
      <c r="Y333" s="12" t="str">
        <v>Kaku</v>
      </c>
      <c r="Z333" s="12">
        <v>31</v>
      </c>
      <c r="AA333" s="12" t="str">
        <v>Paraguay</v>
      </c>
      <c r="AB333" s="12" t="str">
        <v>CAM</v>
      </c>
      <c r="AC333" s="12" t="str">
        <v>Al Ain</v>
      </c>
      <c r="AD333" s="12">
        <v>17</v>
      </c>
      <c r="AF333" s="42">
        <v>1982</v>
      </c>
      <c r="AG333" s="42" t="str">
        <v xml:space="preserve">21 Jun 1982 - 17:15 </v>
      </c>
      <c r="AH333" s="42" t="str">
        <v>GROUP_STAGE</v>
      </c>
      <c r="AI333" s="42" t="str">
        <v>Jose Zorrilla</v>
      </c>
      <c r="AJ333" s="42" t="str">
        <v xml:space="preserve">Valladolid </v>
      </c>
      <c r="AK333" s="42" t="str">
        <v>France</v>
      </c>
      <c r="AL333" s="42">
        <v>4</v>
      </c>
      <c r="AM333" s="42">
        <v>1</v>
      </c>
      <c r="AN333" s="42" t="str">
        <v>Kuwait</v>
      </c>
      <c r="AO333" s="42" t="str">
        <v>-</v>
      </c>
    </row>
    <row r="334" spans="7:41">
      <c r="G334" s="30">
        <v>2026</v>
      </c>
      <c r="H334" s="30" t="str">
        <v>ROUND_OF_32</v>
      </c>
      <c r="I334" s="30" t="str">
        <v>Netherlands</v>
      </c>
      <c r="J334" s="30" t="str">
        <v>Morocco</v>
      </c>
      <c r="K334" s="30" t="str">
        <v>Morocco</v>
      </c>
      <c r="L334" s="30" t="str">
        <v>Sofyan Amrabat</v>
      </c>
      <c r="M334" s="30" t="str">
        <v>Bart Verbruggen</v>
      </c>
      <c r="N334" s="30">
        <v>6</v>
      </c>
      <c r="O334" s="30">
        <v>3</v>
      </c>
      <c r="P334" s="30" t="str">
        <v>2-2</v>
      </c>
      <c r="Q334" s="30" t="str">
        <v>No</v>
      </c>
      <c r="R334" s="30" t="str">
        <v>No</v>
      </c>
      <c r="S334" s="30" t="str">
        <v>Miss</v>
      </c>
      <c r="T334" s="30" t="str">
        <f t="shared" si="15"/>
        <v>2-2</v>
      </c>
      <c r="U334" s="30">
        <f t="shared" si="16"/>
        <v>2</v>
      </c>
      <c r="V334" s="30">
        <f t="shared" si="17"/>
        <v>2</v>
      </c>
      <c r="X334" s="12">
        <v>332</v>
      </c>
      <c r="Y334" s="12" t="str">
        <v>Gustavo Caballero</v>
      </c>
      <c r="Z334" s="12">
        <v>24</v>
      </c>
      <c r="AA334" s="12" t="str">
        <v>Paraguay</v>
      </c>
      <c r="AB334" s="12" t="str">
        <v>CAM</v>
      </c>
      <c r="AC334" s="12" t="str">
        <v>Portsmouth</v>
      </c>
      <c r="AD334" s="12">
        <v>24</v>
      </c>
      <c r="AF334" s="42">
        <v>1982</v>
      </c>
      <c r="AG334" s="42" t="str">
        <v xml:space="preserve">21 Jun 1982 - 21:00 </v>
      </c>
      <c r="AH334" s="42" t="str">
        <v>GROUP_STAGE</v>
      </c>
      <c r="AI334" s="42" t="str">
        <v>La Romareda</v>
      </c>
      <c r="AJ334" s="42" t="str">
        <v xml:space="preserve">Zaragoza </v>
      </c>
      <c r="AK334" s="42" t="str">
        <v>Honduras</v>
      </c>
      <c r="AL334" s="42">
        <v>1</v>
      </c>
      <c r="AM334" s="42">
        <v>1</v>
      </c>
      <c r="AN334" s="42" t="str">
        <v>Northern Ireland</v>
      </c>
      <c r="AO334" s="42" t="str">
        <v>-</v>
      </c>
    </row>
    <row r="335" spans="7:41">
      <c r="G335" s="30">
        <v>2026</v>
      </c>
      <c r="H335" s="30" t="str">
        <v>ROUND_OF_32</v>
      </c>
      <c r="I335" s="30" t="str">
        <v>Netherlands</v>
      </c>
      <c r="J335" s="30" t="str">
        <v>Morocco</v>
      </c>
      <c r="K335" s="30" t="str">
        <v>Netherlands</v>
      </c>
      <c r="L335" s="30" t="str">
        <v>Donyell Malen</v>
      </c>
      <c r="M335" s="30" t="str">
        <v>Yassine Bounou</v>
      </c>
      <c r="N335" s="30">
        <v>7</v>
      </c>
      <c r="O335" s="30">
        <v>4</v>
      </c>
      <c r="P335" s="30" t="str">
        <v>2-2</v>
      </c>
      <c r="Q335" s="30" t="str">
        <v>No</v>
      </c>
      <c r="R335" s="30" t="str">
        <v>No</v>
      </c>
      <c r="S335" s="30" t="str">
        <v>Miss</v>
      </c>
      <c r="T335" s="30" t="str">
        <f t="shared" si="15"/>
        <v>2-2</v>
      </c>
      <c r="U335" s="30">
        <f t="shared" si="16"/>
        <v>2</v>
      </c>
      <c r="V335" s="30">
        <f t="shared" si="17"/>
        <v>2</v>
      </c>
      <c r="X335" s="12">
        <v>333</v>
      </c>
      <c r="Y335" s="12" t="str">
        <v>Ramón Sosa</v>
      </c>
      <c r="Z335" s="12">
        <v>26</v>
      </c>
      <c r="AA335" s="12" t="str">
        <v>Paraguay</v>
      </c>
      <c r="AB335" s="12" t="str">
        <v>LW</v>
      </c>
      <c r="AC335" s="12" t="str">
        <v>Palmeiras</v>
      </c>
      <c r="AD335" s="12">
        <v>7</v>
      </c>
      <c r="AF335" s="42">
        <v>1982</v>
      </c>
      <c r="AG335" s="42" t="str">
        <v xml:space="preserve">22 Jun 1982 - 17:15 </v>
      </c>
      <c r="AH335" s="42" t="str">
        <v>GROUP_STAGE</v>
      </c>
      <c r="AI335" s="42" t="str">
        <v>Riazor</v>
      </c>
      <c r="AJ335" s="42" t="str">
        <v>La Coruña</v>
      </c>
      <c r="AK335" s="42" t="str">
        <v>Poland</v>
      </c>
      <c r="AL335" s="42">
        <v>5</v>
      </c>
      <c r="AM335" s="42">
        <v>1</v>
      </c>
      <c r="AN335" s="42" t="str">
        <v>Peru</v>
      </c>
      <c r="AO335" s="42" t="str">
        <v>-</v>
      </c>
    </row>
    <row r="336" spans="7:41">
      <c r="G336" s="30">
        <v>2026</v>
      </c>
      <c r="H336" s="30" t="str">
        <v>ROUND_OF_32</v>
      </c>
      <c r="I336" s="30" t="str">
        <v>Netherlands</v>
      </c>
      <c r="J336" s="30" t="str">
        <v>Morocco</v>
      </c>
      <c r="K336" s="30" t="str">
        <v>Morocco</v>
      </c>
      <c r="L336" s="30" t="str">
        <v>Youssef En-Nesyri</v>
      </c>
      <c r="M336" s="30" t="str">
        <v>Bart Verbruggen</v>
      </c>
      <c r="N336" s="30">
        <v>8</v>
      </c>
      <c r="O336" s="30">
        <v>4</v>
      </c>
      <c r="P336" s="30" t="str">
        <v>2-2</v>
      </c>
      <c r="Q336" s="30" t="str">
        <v>No</v>
      </c>
      <c r="R336" s="30" t="str">
        <v>No</v>
      </c>
      <c r="S336" s="30" t="str">
        <v>Goal</v>
      </c>
      <c r="T336" s="30" t="str">
        <f t="shared" si="15"/>
        <v>2-2</v>
      </c>
      <c r="U336" s="30">
        <f t="shared" si="16"/>
        <v>2</v>
      </c>
      <c r="V336" s="30">
        <f t="shared" si="17"/>
        <v>2</v>
      </c>
      <c r="X336" s="12">
        <v>334</v>
      </c>
      <c r="Y336" s="12" t="str">
        <v>Julio Enciso</v>
      </c>
      <c r="Z336" s="12">
        <v>22</v>
      </c>
      <c r="AA336" s="12" t="str">
        <v>Paraguay</v>
      </c>
      <c r="AB336" s="12" t="str">
        <v>LW</v>
      </c>
      <c r="AC336" s="12" t="str">
        <v>Strasbourg</v>
      </c>
      <c r="AD336" s="12">
        <v>19</v>
      </c>
      <c r="AF336" s="42">
        <v>1982</v>
      </c>
      <c r="AG336" s="42" t="str">
        <v xml:space="preserve">22 Jun 1982 - 21:00 </v>
      </c>
      <c r="AH336" s="42" t="str">
        <v>GROUP_STAGE</v>
      </c>
      <c r="AI336" s="42" t="str">
        <v>Nuevo Estadio</v>
      </c>
      <c r="AJ336" s="42" t="str">
        <v xml:space="preserve">Elche </v>
      </c>
      <c r="AK336" s="42" t="str">
        <v>Belgium</v>
      </c>
      <c r="AL336" s="42">
        <v>1</v>
      </c>
      <c r="AM336" s="42">
        <v>1</v>
      </c>
      <c r="AN336" s="42" t="str">
        <v>Hungary</v>
      </c>
      <c r="AO336" s="42" t="str">
        <v>-</v>
      </c>
    </row>
    <row r="337" spans="7:41">
      <c r="G337" s="30">
        <v>2026</v>
      </c>
      <c r="H337" s="30" t="str">
        <v>ROUND_OF_32</v>
      </c>
      <c r="I337" s="30" t="str">
        <v>Netherlands</v>
      </c>
      <c r="J337" s="30" t="str">
        <v>Morocco</v>
      </c>
      <c r="K337" s="30" t="str">
        <v>Netherlands</v>
      </c>
      <c r="L337" s="30" t="str">
        <v>Jeremie Frimpong</v>
      </c>
      <c r="M337" s="30" t="str">
        <v>Yassine Bounou</v>
      </c>
      <c r="N337" s="30">
        <v>9</v>
      </c>
      <c r="O337" s="30">
        <v>5</v>
      </c>
      <c r="P337" s="30" t="str">
        <v>2-3</v>
      </c>
      <c r="Q337" s="30" t="str">
        <v>Yes</v>
      </c>
      <c r="R337" s="30" t="str">
        <v>No</v>
      </c>
      <c r="S337" s="30" t="str">
        <v>Miss</v>
      </c>
      <c r="T337" s="30" t="str">
        <f t="shared" si="15"/>
        <v>2-3</v>
      </c>
      <c r="U337" s="30">
        <f t="shared" si="16"/>
        <v>2</v>
      </c>
      <c r="V337" s="30">
        <f t="shared" si="17"/>
        <v>3</v>
      </c>
      <c r="X337" s="12">
        <v>335</v>
      </c>
      <c r="Y337" s="12" t="str">
        <v>Isidro Pitta</v>
      </c>
      <c r="Z337" s="12">
        <v>26</v>
      </c>
      <c r="AA337" s="12" t="str">
        <v>Paraguay</v>
      </c>
      <c r="AB337" s="12" t="str">
        <v>RW</v>
      </c>
      <c r="AC337" s="12" t="str">
        <v>Red Bull Bragantino</v>
      </c>
      <c r="AD337" s="12">
        <v>25</v>
      </c>
      <c r="AF337" s="42">
        <v>1982</v>
      </c>
      <c r="AG337" s="42" t="str">
        <v xml:space="preserve">22 Jun 1982 - 21:00 </v>
      </c>
      <c r="AH337" s="42" t="str">
        <v>GROUP_STAGE</v>
      </c>
      <c r="AI337" s="42" t="str">
        <v>La Rosaleda</v>
      </c>
      <c r="AJ337" s="42" t="str">
        <v xml:space="preserve">Malaga </v>
      </c>
      <c r="AK337" s="42" t="str">
        <v>Soviet Union</v>
      </c>
      <c r="AL337" s="42">
        <v>2</v>
      </c>
      <c r="AM337" s="42">
        <v>2</v>
      </c>
      <c r="AN337" s="42" t="str">
        <v>Scotland</v>
      </c>
      <c r="AO337" s="42" t="str">
        <v>-</v>
      </c>
    </row>
    <row r="338" spans="7:41">
      <c r="G338" s="30">
        <v>2026</v>
      </c>
      <c r="H338" s="30" t="str">
        <v>ROUND_OF_32</v>
      </c>
      <c r="I338" s="30" t="str">
        <v>Australia</v>
      </c>
      <c r="J338" s="30" t="str">
        <v>Egypt</v>
      </c>
      <c r="K338" s="30" t="str">
        <v>Australia</v>
      </c>
      <c r="L338" s="30" t="str">
        <v>Harry Souttar</v>
      </c>
      <c r="M338" s="30" t="str">
        <v>Mohamed El Shenawy</v>
      </c>
      <c r="N338" s="30">
        <v>1</v>
      </c>
      <c r="O338" s="30">
        <v>1</v>
      </c>
      <c r="P338" s="30" t="str">
        <v>0-0</v>
      </c>
      <c r="Q338" s="30" t="str">
        <v>No</v>
      </c>
      <c r="R338" s="30" t="str">
        <v>No</v>
      </c>
      <c r="S338" s="30" t="str">
        <v>Miss</v>
      </c>
      <c r="T338" s="30" t="str">
        <f t="shared" si="15"/>
        <v>0-0</v>
      </c>
      <c r="U338" s="30">
        <f t="shared" si="16"/>
        <v>0</v>
      </c>
      <c r="V338" s="30">
        <f t="shared" si="17"/>
        <v>0</v>
      </c>
      <c r="X338" s="12">
        <v>336</v>
      </c>
      <c r="Y338" s="12" t="str">
        <v>Antonio Sanabria</v>
      </c>
      <c r="Z338" s="12">
        <v>30</v>
      </c>
      <c r="AA338" s="12" t="str">
        <v>Paraguay</v>
      </c>
      <c r="AB338" s="12" t="str">
        <v>ST</v>
      </c>
      <c r="AC338" s="12" t="str">
        <v>Cremonese</v>
      </c>
      <c r="AD338" s="12">
        <v>9</v>
      </c>
      <c r="AF338" s="42">
        <v>1982</v>
      </c>
      <c r="AG338" s="42" t="str">
        <v xml:space="preserve">23 Jun 1982 - 17:15 </v>
      </c>
      <c r="AH338" s="42" t="str">
        <v>GROUP_STAGE</v>
      </c>
      <c r="AI338" s="42" t="str">
        <v>Estadio Municipal de Balaídos</v>
      </c>
      <c r="AJ338" s="42" t="str">
        <v xml:space="preserve">Vigo </v>
      </c>
      <c r="AK338" s="42" t="str">
        <v>Italy</v>
      </c>
      <c r="AL338" s="42">
        <v>1</v>
      </c>
      <c r="AM338" s="42">
        <v>1</v>
      </c>
      <c r="AN338" s="42" t="str">
        <v>Cameroon</v>
      </c>
      <c r="AO338" s="42" t="str">
        <v>-</v>
      </c>
    </row>
    <row r="339" spans="7:41">
      <c r="G339" s="30">
        <v>2026</v>
      </c>
      <c r="H339" s="30" t="str">
        <v>ROUND_OF_32</v>
      </c>
      <c r="I339" s="30" t="str">
        <v>Australia</v>
      </c>
      <c r="J339" s="30" t="str">
        <v>Egypt</v>
      </c>
      <c r="K339" s="30" t="str">
        <v>Egypt</v>
      </c>
      <c r="L339" s="30" t="str">
        <v>Mostafa Mohamed</v>
      </c>
      <c r="M339" s="30" t="str">
        <v>Mathew Ryan</v>
      </c>
      <c r="N339" s="30">
        <v>2</v>
      </c>
      <c r="O339" s="30">
        <v>1</v>
      </c>
      <c r="P339" s="30" t="str">
        <v>0-0</v>
      </c>
      <c r="Q339" s="30" t="str">
        <v>No</v>
      </c>
      <c r="R339" s="30" t="str">
        <v>No</v>
      </c>
      <c r="S339" s="30" t="str">
        <v>Goal</v>
      </c>
      <c r="T339" s="30" t="str">
        <f t="shared" si="15"/>
        <v>0-0</v>
      </c>
      <c r="U339" s="30">
        <f t="shared" si="16"/>
        <v>0</v>
      </c>
      <c r="V339" s="30">
        <f t="shared" si="17"/>
        <v>0</v>
      </c>
      <c r="X339" s="12">
        <v>337</v>
      </c>
      <c r="Y339" s="12" t="str">
        <v>Álex Arce</v>
      </c>
      <c r="Z339" s="12">
        <v>30</v>
      </c>
      <c r="AA339" s="12" t="str">
        <v>Paraguay</v>
      </c>
      <c r="AB339" s="12" t="str">
        <v>ST</v>
      </c>
      <c r="AC339" s="12" t="str">
        <v>Independiente Rivadavia</v>
      </c>
      <c r="AD339" s="12">
        <v>18</v>
      </c>
      <c r="AF339" s="42">
        <v>1982</v>
      </c>
      <c r="AG339" s="42" t="str">
        <v xml:space="preserve">23 Jun 1982 - 21:00 </v>
      </c>
      <c r="AH339" s="42" t="str">
        <v>GROUP_STAGE</v>
      </c>
      <c r="AI339" s="42" t="str">
        <v>Jose Rico Perez</v>
      </c>
      <c r="AJ339" s="42" t="str">
        <v xml:space="preserve">Alicante </v>
      </c>
      <c r="AK339" s="42" t="str">
        <v>Argentina</v>
      </c>
      <c r="AL339" s="42">
        <v>2</v>
      </c>
      <c r="AM339" s="42">
        <v>0</v>
      </c>
      <c r="AN339" s="42" t="str">
        <v>El Salvador</v>
      </c>
      <c r="AO339" s="42" t="str">
        <v>-</v>
      </c>
    </row>
    <row r="340" spans="7:41">
      <c r="G340" s="30">
        <v>2026</v>
      </c>
      <c r="H340" s="30" t="str">
        <v>ROUND_OF_32</v>
      </c>
      <c r="I340" s="30" t="str">
        <v>Australia</v>
      </c>
      <c r="J340" s="30" t="str">
        <v>Egypt</v>
      </c>
      <c r="K340" s="30" t="str">
        <v>Australia</v>
      </c>
      <c r="L340" s="30" t="str">
        <v>Jackson Irvine</v>
      </c>
      <c r="M340" s="30" t="str">
        <v>Mohamed El Shenawy</v>
      </c>
      <c r="N340" s="30">
        <v>3</v>
      </c>
      <c r="O340" s="30">
        <v>2</v>
      </c>
      <c r="P340" s="30" t="str">
        <v>0-1</v>
      </c>
      <c r="Q340" s="30" t="str">
        <v>No</v>
      </c>
      <c r="R340" s="30" t="str">
        <v>No</v>
      </c>
      <c r="S340" s="30" t="str">
        <v>Goal</v>
      </c>
      <c r="T340" s="30" t="str">
        <f t="shared" si="15"/>
        <v>0-1</v>
      </c>
      <c r="U340" s="30">
        <f t="shared" si="16"/>
        <v>0</v>
      </c>
      <c r="V340" s="30">
        <f t="shared" si="17"/>
        <v>1</v>
      </c>
      <c r="X340" s="12">
        <v>338</v>
      </c>
      <c r="Y340" s="12" t="str">
        <v>Gabriel Ávalos</v>
      </c>
      <c r="Z340" s="12">
        <v>34</v>
      </c>
      <c r="AA340" s="12" t="str">
        <v>Paraguay</v>
      </c>
      <c r="AB340" s="12" t="str">
        <v>ST</v>
      </c>
      <c r="AC340" s="12" t="str">
        <v>Independiente</v>
      </c>
      <c r="AD340" s="12">
        <v>21</v>
      </c>
      <c r="AF340" s="42">
        <v>1982</v>
      </c>
      <c r="AG340" s="42" t="str">
        <v xml:space="preserve">23 Jun 1982 - 21:00 </v>
      </c>
      <c r="AH340" s="42" t="str">
        <v>GROUP_STAGE</v>
      </c>
      <c r="AI340" s="42" t="str">
        <v>Benito Villamarin</v>
      </c>
      <c r="AJ340" s="42" t="str">
        <v xml:space="preserve">Seville </v>
      </c>
      <c r="AK340" s="42" t="str">
        <v>Brazil</v>
      </c>
      <c r="AL340" s="42">
        <v>4</v>
      </c>
      <c r="AM340" s="42">
        <v>0</v>
      </c>
      <c r="AN340" s="42" t="str">
        <v>New Zealand</v>
      </c>
      <c r="AO340" s="42" t="str">
        <v>-</v>
      </c>
    </row>
    <row r="341" spans="7:41">
      <c r="G341" s="30">
        <v>2026</v>
      </c>
      <c r="H341" s="30" t="str">
        <v>ROUND_OF_32</v>
      </c>
      <c r="I341" s="30" t="str">
        <v>Australia</v>
      </c>
      <c r="J341" s="30" t="str">
        <v>Egypt</v>
      </c>
      <c r="K341" s="30" t="str">
        <v>Egypt</v>
      </c>
      <c r="L341" s="30" t="str">
        <v>Omar Marmoush</v>
      </c>
      <c r="M341" s="30" t="str">
        <v>Mathew Ryan</v>
      </c>
      <c r="N341" s="30">
        <v>4</v>
      </c>
      <c r="O341" s="30">
        <v>2</v>
      </c>
      <c r="P341" s="30" t="str">
        <v>1-1</v>
      </c>
      <c r="Q341" s="30" t="str">
        <v>No</v>
      </c>
      <c r="R341" s="30" t="str">
        <v>No</v>
      </c>
      <c r="S341" s="30" t="str">
        <v>Goal</v>
      </c>
      <c r="T341" s="30" t="str">
        <f t="shared" si="15"/>
        <v>1-1</v>
      </c>
      <c r="U341" s="30">
        <f t="shared" si="16"/>
        <v>1</v>
      </c>
      <c r="V341" s="30">
        <f t="shared" si="17"/>
        <v>1</v>
      </c>
      <c r="X341" s="12">
        <v>339</v>
      </c>
      <c r="Y341" s="12" t="str">
        <v>Mert Günok</v>
      </c>
      <c r="Z341" s="12">
        <v>37</v>
      </c>
      <c r="AA341" s="12" t="str">
        <v>Turkey</v>
      </c>
      <c r="AB341" s="12" t="str">
        <v>GK</v>
      </c>
      <c r="AC341" s="12" t="str">
        <v>Fenerbahçe</v>
      </c>
      <c r="AD341" s="12">
        <v>1</v>
      </c>
      <c r="AF341" s="42">
        <v>1982</v>
      </c>
      <c r="AG341" s="42" t="str">
        <v xml:space="preserve">24 Jun 1982 - 17:15 </v>
      </c>
      <c r="AH341" s="42" t="str">
        <v>GROUP_STAGE</v>
      </c>
      <c r="AI341" s="42" t="str">
        <v>Carlos Tartiere</v>
      </c>
      <c r="AJ341" s="42" t="str">
        <v xml:space="preserve">Oviedo </v>
      </c>
      <c r="AK341" s="42" t="str">
        <v>Algeria</v>
      </c>
      <c r="AL341" s="42">
        <v>3</v>
      </c>
      <c r="AM341" s="42">
        <v>2</v>
      </c>
      <c r="AN341" s="42" t="str">
        <v>Chile</v>
      </c>
      <c r="AO341" s="42" t="str">
        <v>-</v>
      </c>
    </row>
    <row r="342" spans="7:41">
      <c r="G342" s="30">
        <v>2026</v>
      </c>
      <c r="H342" s="30" t="str">
        <v>ROUND_OF_32</v>
      </c>
      <c r="I342" s="30" t="str">
        <v>Australia</v>
      </c>
      <c r="J342" s="30" t="str">
        <v>Egypt</v>
      </c>
      <c r="K342" s="30" t="str">
        <v>Australia</v>
      </c>
      <c r="L342" s="30" t="str">
        <v>Craig Goodwin</v>
      </c>
      <c r="M342" s="30" t="str">
        <v>Mohamed El Shenawy</v>
      </c>
      <c r="N342" s="30">
        <v>5</v>
      </c>
      <c r="O342" s="30">
        <v>3</v>
      </c>
      <c r="P342" s="30" t="str">
        <v>1-2</v>
      </c>
      <c r="Q342" s="30" t="str">
        <v>No</v>
      </c>
      <c r="R342" s="30" t="str">
        <v>No</v>
      </c>
      <c r="S342" s="30" t="str">
        <v>Goal</v>
      </c>
      <c r="T342" s="30" t="str">
        <f t="shared" si="15"/>
        <v>1-2</v>
      </c>
      <c r="U342" s="30">
        <f t="shared" si="16"/>
        <v>1</v>
      </c>
      <c r="V342" s="30">
        <f t="shared" si="17"/>
        <v>2</v>
      </c>
      <c r="X342" s="12">
        <v>340</v>
      </c>
      <c r="Y342" s="12" t="str">
        <v>Altay Bayındır</v>
      </c>
      <c r="Z342" s="12">
        <v>28</v>
      </c>
      <c r="AA342" s="12" t="str">
        <v>Turkey</v>
      </c>
      <c r="AB342" s="12" t="str">
        <v>GK</v>
      </c>
      <c r="AC342" s="12" t="str">
        <v>Manchester United</v>
      </c>
      <c r="AD342" s="12">
        <v>12</v>
      </c>
      <c r="AF342" s="42">
        <v>1982</v>
      </c>
      <c r="AG342" s="42" t="str">
        <v xml:space="preserve">24 Jun 1982 - 17:15 </v>
      </c>
      <c r="AH342" s="42" t="str">
        <v>GROUP_STAGE</v>
      </c>
      <c r="AI342" s="42" t="str">
        <v>Jose Zorrilla</v>
      </c>
      <c r="AJ342" s="42" t="str">
        <v xml:space="preserve">Valladolid </v>
      </c>
      <c r="AK342" s="42" t="str">
        <v>France</v>
      </c>
      <c r="AL342" s="42">
        <v>1</v>
      </c>
      <c r="AM342" s="42">
        <v>1</v>
      </c>
      <c r="AN342" s="42" t="str">
        <v>Czechoslovakia</v>
      </c>
      <c r="AO342" s="42" t="str">
        <v>-</v>
      </c>
    </row>
    <row r="343" spans="7:41">
      <c r="G343" s="30">
        <v>2026</v>
      </c>
      <c r="H343" s="30" t="str">
        <v>ROUND_OF_32</v>
      </c>
      <c r="I343" s="30" t="str">
        <v>Australia</v>
      </c>
      <c r="J343" s="30" t="str">
        <v>Egypt</v>
      </c>
      <c r="K343" s="30" t="str">
        <v>Egypt</v>
      </c>
      <c r="L343" s="30" t="str">
        <v>Trezeguet</v>
      </c>
      <c r="M343" s="30" t="str">
        <v>Mathew Ryan</v>
      </c>
      <c r="N343" s="30">
        <v>6</v>
      </c>
      <c r="O343" s="30">
        <v>3</v>
      </c>
      <c r="P343" s="30" t="str">
        <v>2-2</v>
      </c>
      <c r="Q343" s="30" t="str">
        <v>No</v>
      </c>
      <c r="R343" s="30" t="str">
        <v>No</v>
      </c>
      <c r="S343" s="30" t="str">
        <v>Goal</v>
      </c>
      <c r="T343" s="30" t="str">
        <f t="shared" si="15"/>
        <v>2-2</v>
      </c>
      <c r="U343" s="30">
        <f t="shared" si="16"/>
        <v>2</v>
      </c>
      <c r="V343" s="30">
        <f t="shared" si="17"/>
        <v>2</v>
      </c>
      <c r="X343" s="12">
        <v>341</v>
      </c>
      <c r="Y343" s="12" t="str">
        <v>Uğurcan Çakır</v>
      </c>
      <c r="Z343" s="12">
        <v>30</v>
      </c>
      <c r="AA343" s="12" t="str">
        <v>Turkey</v>
      </c>
      <c r="AB343" s="12" t="str">
        <v>GK</v>
      </c>
      <c r="AC343" s="12" t="str">
        <v>Galatasaray</v>
      </c>
      <c r="AD343" s="12">
        <v>23</v>
      </c>
      <c r="AF343" s="42">
        <v>1982</v>
      </c>
      <c r="AG343" s="42" t="str">
        <v xml:space="preserve">24 Jun 1982 - 21:00 </v>
      </c>
      <c r="AH343" s="42" t="str">
        <v>GROUP_STAGE</v>
      </c>
      <c r="AI343" s="42" t="str">
        <v>La Romareda</v>
      </c>
      <c r="AJ343" s="42" t="str">
        <v xml:space="preserve">Zaragoza </v>
      </c>
      <c r="AK343" s="42" t="str">
        <v>Honduras</v>
      </c>
      <c r="AL343" s="42">
        <v>0</v>
      </c>
      <c r="AM343" s="42">
        <v>1</v>
      </c>
      <c r="AN343" s="42" t="str">
        <v>Yugoslavia</v>
      </c>
      <c r="AO343" s="42" t="str">
        <v>-</v>
      </c>
    </row>
    <row r="344" spans="7:41">
      <c r="G344" s="30">
        <v>2026</v>
      </c>
      <c r="H344" s="30" t="str">
        <v>ROUND_OF_32</v>
      </c>
      <c r="I344" s="30" t="str">
        <v>Australia</v>
      </c>
      <c r="J344" s="30" t="str">
        <v>Egypt</v>
      </c>
      <c r="K344" s="30" t="str">
        <v>Australia</v>
      </c>
      <c r="L344" s="30" t="str">
        <v>Riley McGree</v>
      </c>
      <c r="M344" s="30" t="str">
        <v>Mohamed El Shenawy</v>
      </c>
      <c r="N344" s="30">
        <v>7</v>
      </c>
      <c r="O344" s="30">
        <v>4</v>
      </c>
      <c r="P344" s="30" t="str">
        <v>2-3</v>
      </c>
      <c r="Q344" s="30" t="str">
        <v>No</v>
      </c>
      <c r="R344" s="30" t="str">
        <v>No</v>
      </c>
      <c r="S344" s="30" t="str">
        <v>Miss</v>
      </c>
      <c r="T344" s="30" t="str">
        <f t="shared" si="15"/>
        <v>2-3</v>
      </c>
      <c r="U344" s="30">
        <f t="shared" si="16"/>
        <v>2</v>
      </c>
      <c r="V344" s="30">
        <f t="shared" si="17"/>
        <v>3</v>
      </c>
      <c r="X344" s="12">
        <v>342</v>
      </c>
      <c r="Y344" s="12" t="str">
        <v>Merih Demiral</v>
      </c>
      <c r="Z344" s="12">
        <v>28</v>
      </c>
      <c r="AA344" s="12" t="str">
        <v>Turkey</v>
      </c>
      <c r="AB344" s="12" t="str">
        <v>CB</v>
      </c>
      <c r="AC344" s="12" t="str">
        <v>Al-Ahli</v>
      </c>
      <c r="AD344" s="12">
        <v>3</v>
      </c>
      <c r="AF344" s="42">
        <v>1982</v>
      </c>
      <c r="AG344" s="42" t="str">
        <v xml:space="preserve">25 Jun 1982 - 17:15 </v>
      </c>
      <c r="AH344" s="42" t="str">
        <v>GROUP_STAGE</v>
      </c>
      <c r="AI344" s="42" t="str">
        <v>El Molinon</v>
      </c>
      <c r="AJ344" s="42" t="str">
        <v xml:space="preserve">Gijon </v>
      </c>
      <c r="AK344" s="42" t="str">
        <v>FR Germany</v>
      </c>
      <c r="AL344" s="42">
        <v>1</v>
      </c>
      <c r="AM344" s="42">
        <v>0</v>
      </c>
      <c r="AN344" s="42" t="str">
        <v>Austria</v>
      </c>
      <c r="AO344" s="42" t="str">
        <v>-</v>
      </c>
    </row>
    <row r="345" spans="7:41">
      <c r="G345" s="30">
        <v>2026</v>
      </c>
      <c r="H345" s="30" t="str">
        <v>ROUND_OF_32</v>
      </c>
      <c r="I345" s="30" t="str">
        <v>Australia</v>
      </c>
      <c r="J345" s="30" t="str">
        <v>Egypt</v>
      </c>
      <c r="K345" s="30" t="str">
        <v>Egypt</v>
      </c>
      <c r="L345" s="30" t="str">
        <v>Mohamed Salah</v>
      </c>
      <c r="M345" s="30" t="str">
        <v>Mathew Ryan</v>
      </c>
      <c r="N345" s="30">
        <v>8</v>
      </c>
      <c r="O345" s="30">
        <v>4</v>
      </c>
      <c r="P345" s="30" t="str">
        <v>2-3</v>
      </c>
      <c r="Q345" s="30" t="str">
        <v>No</v>
      </c>
      <c r="R345" s="30" t="str">
        <v>Yes</v>
      </c>
      <c r="S345" s="30" t="str">
        <v>Goal</v>
      </c>
      <c r="T345" s="30" t="str">
        <f t="shared" si="15"/>
        <v>2-3</v>
      </c>
      <c r="U345" s="30">
        <f t="shared" si="16"/>
        <v>2</v>
      </c>
      <c r="V345" s="30">
        <f t="shared" si="17"/>
        <v>3</v>
      </c>
      <c r="X345" s="12">
        <v>343</v>
      </c>
      <c r="Y345" s="12" t="str">
        <v>Çağlar Söyüncü</v>
      </c>
      <c r="Z345" s="12">
        <v>30</v>
      </c>
      <c r="AA345" s="12" t="str">
        <v>Turkey</v>
      </c>
      <c r="AB345" s="12" t="str">
        <v>CB</v>
      </c>
      <c r="AC345" s="12" t="str">
        <v>Fenerbahçe</v>
      </c>
      <c r="AD345" s="12">
        <v>4</v>
      </c>
      <c r="AF345" s="42">
        <v>1982</v>
      </c>
      <c r="AG345" s="42" t="str">
        <v xml:space="preserve">25 Jun 1982 - 17:15 </v>
      </c>
      <c r="AH345" s="42" t="str">
        <v>GROUP_STAGE</v>
      </c>
      <c r="AI345" s="42" t="str">
        <v>San Mames</v>
      </c>
      <c r="AJ345" s="42" t="str">
        <v xml:space="preserve">Bilbao </v>
      </c>
      <c r="AK345" s="42" t="str">
        <v>England</v>
      </c>
      <c r="AL345" s="42">
        <v>1</v>
      </c>
      <c r="AM345" s="42">
        <v>0</v>
      </c>
      <c r="AN345" s="42" t="str">
        <v>Kuwait</v>
      </c>
      <c r="AO345" s="42" t="str">
        <v>-</v>
      </c>
    </row>
    <row r="346" spans="7:41">
      <c r="G346" s="30">
        <v>2026</v>
      </c>
      <c r="H346" s="30" t="str">
        <v>ROUND_OF_16</v>
      </c>
      <c r="I346" s="30" t="str">
        <v>Switzerland</v>
      </c>
      <c r="J346" s="30" t="str">
        <v>Colombia</v>
      </c>
      <c r="K346" s="30" t="str">
        <v>Switzerland</v>
      </c>
      <c r="L346" s="30" t="str">
        <v>Manuel Akanji</v>
      </c>
      <c r="M346" s="30" t="str">
        <v>Camilo Vargas</v>
      </c>
      <c r="N346" s="30">
        <v>1</v>
      </c>
      <c r="O346" s="30">
        <v>1</v>
      </c>
      <c r="P346" s="30" t="str">
        <v>0-0</v>
      </c>
      <c r="Q346" s="30" t="str">
        <v>No</v>
      </c>
      <c r="R346" s="30" t="str">
        <v>No</v>
      </c>
      <c r="S346" s="30" t="str">
        <v>Goal</v>
      </c>
      <c r="T346" s="30" t="str">
        <f t="shared" si="15"/>
        <v>0-0</v>
      </c>
      <c r="U346" s="30">
        <f t="shared" si="16"/>
        <v>0</v>
      </c>
      <c r="V346" s="30">
        <f t="shared" si="17"/>
        <v>0</v>
      </c>
      <c r="X346" s="12">
        <v>344</v>
      </c>
      <c r="Y346" s="12" t="str">
        <v>Abdülkerim Bardakcı</v>
      </c>
      <c r="Z346" s="12">
        <v>31</v>
      </c>
      <c r="AA346" s="12" t="str">
        <v>Turkey</v>
      </c>
      <c r="AB346" s="12" t="str">
        <v>CB</v>
      </c>
      <c r="AC346" s="12" t="str">
        <v>Galatasaray</v>
      </c>
      <c r="AD346" s="12">
        <v>14</v>
      </c>
      <c r="AF346" s="42">
        <v>1982</v>
      </c>
      <c r="AG346" s="42" t="str">
        <v xml:space="preserve">25 Jun 1982 - 21:00 </v>
      </c>
      <c r="AH346" s="42" t="str">
        <v>GROUP_STAGE</v>
      </c>
      <c r="AI346" s="42" t="str">
        <v>Luis Casanova</v>
      </c>
      <c r="AJ346" s="42" t="str">
        <v xml:space="preserve">Valencia </v>
      </c>
      <c r="AK346" s="42" t="str">
        <v>Northern Ireland</v>
      </c>
      <c r="AL346" s="42">
        <v>1</v>
      </c>
      <c r="AM346" s="42">
        <v>0</v>
      </c>
      <c r="AN346" s="42" t="str">
        <v>Spain</v>
      </c>
      <c r="AO346" s="42" t="str">
        <v>-</v>
      </c>
    </row>
    <row r="347" spans="7:41">
      <c r="G347" s="30">
        <v>2026</v>
      </c>
      <c r="H347" s="30" t="str">
        <v>ROUND_OF_16</v>
      </c>
      <c r="I347" s="30" t="str">
        <v>Switzerland</v>
      </c>
      <c r="J347" s="30" t="str">
        <v>Colombia</v>
      </c>
      <c r="K347" s="30" t="str">
        <v>Colombia</v>
      </c>
      <c r="L347" s="30" t="str">
        <v>Luis Díaz</v>
      </c>
      <c r="M347" s="30" t="str">
        <v>Yann Sommer</v>
      </c>
      <c r="N347" s="30">
        <v>2</v>
      </c>
      <c r="O347" s="30">
        <v>1</v>
      </c>
      <c r="P347" s="30" t="str">
        <v>1-0</v>
      </c>
      <c r="Q347" s="30" t="str">
        <v>No</v>
      </c>
      <c r="R347" s="30" t="str">
        <v>No</v>
      </c>
      <c r="S347" s="30" t="str">
        <v>Goal</v>
      </c>
      <c r="T347" s="30" t="str">
        <f t="shared" si="15"/>
        <v>1-0</v>
      </c>
      <c r="U347" s="30">
        <f t="shared" si="16"/>
        <v>1</v>
      </c>
      <c r="V347" s="30">
        <f t="shared" si="17"/>
        <v>0</v>
      </c>
      <c r="X347" s="12">
        <v>345</v>
      </c>
      <c r="Y347" s="12" t="str">
        <v>Ozan Kabak</v>
      </c>
      <c r="Z347" s="12">
        <v>26</v>
      </c>
      <c r="AA347" s="12" t="str">
        <v>Turkey</v>
      </c>
      <c r="AB347" s="12" t="str">
        <v>CB</v>
      </c>
      <c r="AC347" s="12" t="str">
        <v>TSG Hoffenheim</v>
      </c>
      <c r="AD347" s="12">
        <v>15</v>
      </c>
      <c r="AF347" s="42">
        <v>1982</v>
      </c>
      <c r="AG347" s="42" t="str">
        <v xml:space="preserve">28 Jun 1982 - 17:15 </v>
      </c>
      <c r="AH347" s="42" t="str">
        <v>GROUP_STAGE</v>
      </c>
      <c r="AI347" s="42" t="str">
        <v>Vicente Calderon</v>
      </c>
      <c r="AJ347" s="42" t="str">
        <v xml:space="preserve">Madrid </v>
      </c>
      <c r="AK347" s="42" t="str">
        <v>Austria</v>
      </c>
      <c r="AL347" s="42">
        <v>0</v>
      </c>
      <c r="AM347" s="42">
        <v>1</v>
      </c>
      <c r="AN347" s="42" t="str">
        <v>France</v>
      </c>
      <c r="AO347" s="42" t="str">
        <v>-</v>
      </c>
    </row>
    <row r="348" spans="7:41">
      <c r="G348" s="30">
        <v>2026</v>
      </c>
      <c r="H348" s="30" t="str">
        <v>ROUND_OF_16</v>
      </c>
      <c r="I348" s="30" t="str">
        <v>Switzerland</v>
      </c>
      <c r="J348" s="30" t="str">
        <v>Colombia</v>
      </c>
      <c r="K348" s="30" t="str">
        <v>Switzerland</v>
      </c>
      <c r="L348" s="30" t="str">
        <v>Granit Xhaka</v>
      </c>
      <c r="M348" s="30" t="str">
        <v>Camilo Vargas</v>
      </c>
      <c r="N348" s="30">
        <v>3</v>
      </c>
      <c r="O348" s="30">
        <v>2</v>
      </c>
      <c r="P348" s="30" t="str">
        <v>1-1</v>
      </c>
      <c r="Q348" s="30" t="str">
        <v>No</v>
      </c>
      <c r="R348" s="30" t="str">
        <v>No</v>
      </c>
      <c r="S348" s="30" t="str">
        <v>Goal</v>
      </c>
      <c r="T348" s="30" t="str">
        <f t="shared" si="15"/>
        <v>1-1</v>
      </c>
      <c r="U348" s="30">
        <f t="shared" si="16"/>
        <v>1</v>
      </c>
      <c r="V348" s="30">
        <f t="shared" si="17"/>
        <v>1</v>
      </c>
      <c r="X348" s="12">
        <v>346</v>
      </c>
      <c r="Y348" s="12" t="str">
        <v>Samet Akaydin</v>
      </c>
      <c r="Z348" s="12">
        <v>32</v>
      </c>
      <c r="AA348" s="12" t="str">
        <v>Turkey</v>
      </c>
      <c r="AB348" s="12" t="str">
        <v>CB</v>
      </c>
      <c r="AC348" s="12" t="str">
        <v>Çaykur Rizespor</v>
      </c>
      <c r="AD348" s="12">
        <v>25</v>
      </c>
      <c r="AF348" s="42">
        <v>1982</v>
      </c>
      <c r="AG348" s="42" t="str">
        <v xml:space="preserve">28 Jun 1982 - 21:00 </v>
      </c>
      <c r="AH348" s="42" t="str">
        <v>GROUP_STAGE</v>
      </c>
      <c r="AI348" s="42" t="str">
        <v>Camp Nou</v>
      </c>
      <c r="AJ348" s="42" t="str">
        <v xml:space="preserve">Barcelona </v>
      </c>
      <c r="AK348" s="42" t="str">
        <v>Poland</v>
      </c>
      <c r="AL348" s="42">
        <v>3</v>
      </c>
      <c r="AM348" s="42">
        <v>0</v>
      </c>
      <c r="AN348" s="42" t="str">
        <v>Belgium</v>
      </c>
      <c r="AO348" s="42" t="str">
        <v>-</v>
      </c>
    </row>
    <row r="349" spans="7:41">
      <c r="G349" s="30">
        <v>2026</v>
      </c>
      <c r="H349" s="30" t="str">
        <v>ROUND_OF_16</v>
      </c>
      <c r="I349" s="30" t="str">
        <v>Switzerland</v>
      </c>
      <c r="J349" s="30" t="str">
        <v>Colombia</v>
      </c>
      <c r="K349" s="30" t="str">
        <v>Colombia</v>
      </c>
      <c r="L349" s="30" t="str">
        <v>James Rodríguez</v>
      </c>
      <c r="M349" s="30" t="str">
        <v>Yann Sommer</v>
      </c>
      <c r="N349" s="30">
        <v>4</v>
      </c>
      <c r="O349" s="30">
        <v>2</v>
      </c>
      <c r="P349" s="30" t="str">
        <v>2-1</v>
      </c>
      <c r="Q349" s="30" t="str">
        <v>No</v>
      </c>
      <c r="R349" s="30" t="str">
        <v>No</v>
      </c>
      <c r="S349" s="30" t="str">
        <v>Miss</v>
      </c>
      <c r="T349" s="30" t="str">
        <f t="shared" si="15"/>
        <v>2-1</v>
      </c>
      <c r="U349" s="30">
        <f t="shared" si="16"/>
        <v>2</v>
      </c>
      <c r="V349" s="30">
        <f t="shared" si="17"/>
        <v>1</v>
      </c>
      <c r="X349" s="12">
        <v>347</v>
      </c>
      <c r="Y349" s="12" t="str">
        <v>Eren Elmalı</v>
      </c>
      <c r="Z349" s="12">
        <v>25</v>
      </c>
      <c r="AA349" s="12" t="str">
        <v>Turkey</v>
      </c>
      <c r="AB349" s="12" t="str">
        <v>LB</v>
      </c>
      <c r="AC349" s="12" t="str">
        <v>Galatasaray</v>
      </c>
      <c r="AD349" s="12">
        <v>13</v>
      </c>
      <c r="AF349" s="42">
        <v>1982</v>
      </c>
      <c r="AG349" s="42" t="str">
        <v xml:space="preserve">29 Jun 1982 - 17:15 </v>
      </c>
      <c r="AH349" s="42" t="str">
        <v>GROUP_STAGE</v>
      </c>
      <c r="AI349" s="42" t="str">
        <v>Sarria</v>
      </c>
      <c r="AJ349" s="42" t="str">
        <v xml:space="preserve">Barcelona </v>
      </c>
      <c r="AK349" s="42" t="str">
        <v>Italy</v>
      </c>
      <c r="AL349" s="42">
        <v>2</v>
      </c>
      <c r="AM349" s="42">
        <v>1</v>
      </c>
      <c r="AN349" s="42" t="str">
        <v>Argentina</v>
      </c>
      <c r="AO349" s="42" t="str">
        <v>-</v>
      </c>
    </row>
    <row r="350" spans="7:41">
      <c r="G350" s="30">
        <v>2026</v>
      </c>
      <c r="H350" s="30" t="str">
        <v>ROUND_OF_16</v>
      </c>
      <c r="I350" s="30" t="str">
        <v>Switzerland</v>
      </c>
      <c r="J350" s="30" t="str">
        <v>Colombia</v>
      </c>
      <c r="K350" s="30" t="str">
        <v>Switzerland</v>
      </c>
      <c r="L350" s="30" t="str">
        <v>Remo Freuler</v>
      </c>
      <c r="M350" s="30" t="str">
        <v>Camilo Vargas</v>
      </c>
      <c r="N350" s="30">
        <v>5</v>
      </c>
      <c r="O350" s="30">
        <v>3</v>
      </c>
      <c r="P350" s="30" t="str">
        <v>2-1</v>
      </c>
      <c r="Q350" s="30" t="str">
        <v>No</v>
      </c>
      <c r="R350" s="30" t="str">
        <v>No</v>
      </c>
      <c r="S350" s="30" t="str">
        <v>Goal</v>
      </c>
      <c r="T350" s="30" t="str">
        <f t="shared" si="15"/>
        <v>2-1</v>
      </c>
      <c r="U350" s="30">
        <f t="shared" si="16"/>
        <v>2</v>
      </c>
      <c r="V350" s="30">
        <f t="shared" si="17"/>
        <v>1</v>
      </c>
      <c r="X350" s="12">
        <v>348</v>
      </c>
      <c r="Y350" s="12" t="str">
        <v>Ferdi Kadıoğlu</v>
      </c>
      <c r="Z350" s="12">
        <v>26</v>
      </c>
      <c r="AA350" s="12" t="str">
        <v>Turkey</v>
      </c>
      <c r="AB350" s="12" t="str">
        <v>LB</v>
      </c>
      <c r="AC350" s="12" t="str">
        <v>Brighton &amp; Hove Albion</v>
      </c>
      <c r="AD350" s="12">
        <v>20</v>
      </c>
      <c r="AF350" s="42">
        <v>1982</v>
      </c>
      <c r="AG350" s="42" t="str">
        <v xml:space="preserve">29 Jun 1982 - 21:00 </v>
      </c>
      <c r="AH350" s="42" t="str">
        <v>GROUP_STAGE</v>
      </c>
      <c r="AI350" s="42" t="str">
        <v>Santiago Bernabeu</v>
      </c>
      <c r="AJ350" s="42" t="str">
        <v xml:space="preserve">Madrid </v>
      </c>
      <c r="AK350" s="42" t="str">
        <v>FR Germany</v>
      </c>
      <c r="AL350" s="42">
        <v>0</v>
      </c>
      <c r="AM350" s="42">
        <v>0</v>
      </c>
      <c r="AN350" s="42" t="str">
        <v>England</v>
      </c>
      <c r="AO350" s="42" t="str">
        <v>-</v>
      </c>
    </row>
    <row r="351" spans="7:41">
      <c r="G351" s="30">
        <v>2026</v>
      </c>
      <c r="H351" s="30" t="str">
        <v>ROUND_OF_16</v>
      </c>
      <c r="I351" s="30" t="str">
        <v>Switzerland</v>
      </c>
      <c r="J351" s="30" t="str">
        <v>Colombia</v>
      </c>
      <c r="K351" s="30" t="str">
        <v>Colombia</v>
      </c>
      <c r="L351" s="30" t="str">
        <v>Jhon Durán</v>
      </c>
      <c r="M351" s="30" t="str">
        <v>Yann Sommer</v>
      </c>
      <c r="N351" s="30">
        <v>6</v>
      </c>
      <c r="O351" s="30">
        <v>3</v>
      </c>
      <c r="P351" s="30" t="str">
        <v>3-1</v>
      </c>
      <c r="Q351" s="30" t="str">
        <v>No</v>
      </c>
      <c r="R351" s="30" t="str">
        <v>No</v>
      </c>
      <c r="S351" s="30" t="str">
        <v>Goal</v>
      </c>
      <c r="T351" s="30" t="str">
        <f t="shared" si="15"/>
        <v>3-1</v>
      </c>
      <c r="U351" s="30">
        <f t="shared" si="16"/>
        <v>3</v>
      </c>
      <c r="V351" s="30">
        <f t="shared" si="17"/>
        <v>1</v>
      </c>
      <c r="X351" s="12">
        <v>349</v>
      </c>
      <c r="Y351" s="12" t="str">
        <v>Zeki Çelik</v>
      </c>
      <c r="Z351" s="12">
        <v>29</v>
      </c>
      <c r="AA351" s="12" t="str">
        <v>Turkey</v>
      </c>
      <c r="AB351" s="12" t="str">
        <v>RB</v>
      </c>
      <c r="AC351" s="12" t="str">
        <v>Roma</v>
      </c>
      <c r="AD351" s="12">
        <v>2</v>
      </c>
      <c r="AF351" s="42">
        <v>1982</v>
      </c>
      <c r="AG351" s="42" t="str">
        <v xml:space="preserve">01 Jul 1982 - 17:15 </v>
      </c>
      <c r="AH351" s="42" t="str">
        <v>GROUP_STAGE</v>
      </c>
      <c r="AI351" s="42" t="str">
        <v>Vicente Calderon</v>
      </c>
      <c r="AJ351" s="42" t="str">
        <v xml:space="preserve">Madrid </v>
      </c>
      <c r="AK351" s="42" t="str">
        <v>Austria</v>
      </c>
      <c r="AL351" s="42">
        <v>2</v>
      </c>
      <c r="AM351" s="42">
        <v>2</v>
      </c>
      <c r="AN351" s="42" t="str">
        <v>Northern Ireland</v>
      </c>
      <c r="AO351" s="42" t="str">
        <v>-</v>
      </c>
    </row>
    <row r="352" spans="7:41">
      <c r="G352" s="30">
        <v>2026</v>
      </c>
      <c r="H352" s="30" t="str">
        <v>ROUND_OF_16</v>
      </c>
      <c r="I352" s="30" t="str">
        <v>Switzerland</v>
      </c>
      <c r="J352" s="30" t="str">
        <v>Colombia</v>
      </c>
      <c r="K352" s="30" t="str">
        <v>Switzerland</v>
      </c>
      <c r="L352" s="30" t="str">
        <v>Breel Embolo</v>
      </c>
      <c r="M352" s="30" t="str">
        <v>Camilo Vargas</v>
      </c>
      <c r="N352" s="30">
        <v>7</v>
      </c>
      <c r="O352" s="30">
        <v>4</v>
      </c>
      <c r="P352" s="30" t="str">
        <v>3-2</v>
      </c>
      <c r="Q352" s="30" t="str">
        <v>No</v>
      </c>
      <c r="R352" s="30" t="str">
        <v>No</v>
      </c>
      <c r="S352" s="30" t="str">
        <v>Miss</v>
      </c>
      <c r="T352" s="30" t="str">
        <f t="shared" si="15"/>
        <v>3-2</v>
      </c>
      <c r="U352" s="30">
        <f t="shared" si="16"/>
        <v>3</v>
      </c>
      <c r="V352" s="30">
        <f t="shared" si="17"/>
        <v>2</v>
      </c>
      <c r="X352" s="12">
        <v>350</v>
      </c>
      <c r="Y352" s="12" t="str">
        <v>Mert Müldür</v>
      </c>
      <c r="Z352" s="12">
        <v>27</v>
      </c>
      <c r="AA352" s="12" t="str">
        <v>Turkey</v>
      </c>
      <c r="AB352" s="12" t="str">
        <v>RB</v>
      </c>
      <c r="AC352" s="12" t="str">
        <v>Fenerbahçe</v>
      </c>
      <c r="AD352" s="12">
        <v>18</v>
      </c>
      <c r="AF352" s="42">
        <v>1982</v>
      </c>
      <c r="AG352" s="42" t="str">
        <v xml:space="preserve">01 Jul 1982 - 21:00 </v>
      </c>
      <c r="AH352" s="42" t="str">
        <v>GROUP_STAGE</v>
      </c>
      <c r="AI352" s="42" t="str">
        <v>Camp Nou</v>
      </c>
      <c r="AJ352" s="42" t="str">
        <v xml:space="preserve">Barcelona </v>
      </c>
      <c r="AK352" s="42" t="str">
        <v>Belgium</v>
      </c>
      <c r="AL352" s="42">
        <v>0</v>
      </c>
      <c r="AM352" s="42">
        <v>1</v>
      </c>
      <c r="AN352" s="42" t="str">
        <v>Soviet Union</v>
      </c>
      <c r="AO352" s="42" t="str">
        <v>-</v>
      </c>
    </row>
    <row r="353" spans="7:41">
      <c r="G353" s="30">
        <v>2026</v>
      </c>
      <c r="H353" s="30" t="str">
        <v>ROUND_OF_16</v>
      </c>
      <c r="I353" s="30" t="str">
        <v>Switzerland</v>
      </c>
      <c r="J353" s="30" t="str">
        <v>Colombia</v>
      </c>
      <c r="K353" s="30" t="str">
        <v>Colombia</v>
      </c>
      <c r="L353" s="30" t="str">
        <v>Daniel Muñoz</v>
      </c>
      <c r="M353" s="30" t="str">
        <v>Yann Sommer</v>
      </c>
      <c r="N353" s="30">
        <v>8</v>
      </c>
      <c r="O353" s="30">
        <v>4</v>
      </c>
      <c r="P353" s="30" t="str">
        <v>3-2</v>
      </c>
      <c r="Q353" s="30" t="str">
        <v>No</v>
      </c>
      <c r="R353" s="30" t="str">
        <v>No</v>
      </c>
      <c r="S353" s="30" t="str">
        <v>Goal</v>
      </c>
      <c r="T353" s="30" t="str">
        <f t="shared" si="15"/>
        <v>3-2</v>
      </c>
      <c r="U353" s="30">
        <f t="shared" si="16"/>
        <v>3</v>
      </c>
      <c r="V353" s="30">
        <f t="shared" si="17"/>
        <v>2</v>
      </c>
      <c r="X353" s="12">
        <v>351</v>
      </c>
      <c r="Y353" s="12" t="str">
        <v>Salih Özcan</v>
      </c>
      <c r="Z353" s="12">
        <v>28</v>
      </c>
      <c r="AA353" s="12" t="str">
        <v>Turkey</v>
      </c>
      <c r="AB353" s="12" t="str">
        <v>CDM</v>
      </c>
      <c r="AC353" s="12" t="str">
        <v>Borussia Dortmund</v>
      </c>
      <c r="AD353" s="12">
        <v>5</v>
      </c>
      <c r="AF353" s="42">
        <v>1982</v>
      </c>
      <c r="AG353" s="42" t="str">
        <v xml:space="preserve">02 Jul 1982 - 17:15 </v>
      </c>
      <c r="AH353" s="42" t="str">
        <v>GROUP_STAGE</v>
      </c>
      <c r="AI353" s="42" t="str">
        <v>Sarria</v>
      </c>
      <c r="AJ353" s="42" t="str">
        <v xml:space="preserve">Barcelona </v>
      </c>
      <c r="AK353" s="42" t="str">
        <v>Argentina</v>
      </c>
      <c r="AL353" s="42">
        <v>1</v>
      </c>
      <c r="AM353" s="42">
        <v>3</v>
      </c>
      <c r="AN353" s="42" t="str">
        <v>Brazil</v>
      </c>
      <c r="AO353" s="42" t="str">
        <v>-</v>
      </c>
    </row>
    <row r="354" spans="7:41">
      <c r="G354" s="30">
        <v>2026</v>
      </c>
      <c r="H354" s="30" t="str">
        <v>ROUND_OF_16</v>
      </c>
      <c r="I354" s="30" t="str">
        <v>Switzerland</v>
      </c>
      <c r="J354" s="30" t="str">
        <v>Colombia</v>
      </c>
      <c r="K354" s="30" t="str">
        <v>Switzerland</v>
      </c>
      <c r="L354" s="30" t="str">
        <v>Zeki Amdouni</v>
      </c>
      <c r="M354" s="30" t="str">
        <v>Camilo Vargas</v>
      </c>
      <c r="N354" s="30">
        <v>9</v>
      </c>
      <c r="O354" s="30">
        <v>5</v>
      </c>
      <c r="P354" s="30" t="str">
        <v>3-3</v>
      </c>
      <c r="Q354" s="30" t="str">
        <v>No</v>
      </c>
      <c r="R354" s="30" t="str">
        <v>Yes</v>
      </c>
      <c r="S354" s="30" t="str">
        <v>Goal</v>
      </c>
      <c r="T354" s="30" t="str">
        <f t="shared" si="15"/>
        <v>3-3</v>
      </c>
      <c r="U354" s="30">
        <f t="shared" si="16"/>
        <v>3</v>
      </c>
      <c r="V354" s="30">
        <f t="shared" si="17"/>
        <v>3</v>
      </c>
      <c r="X354" s="12">
        <v>352</v>
      </c>
      <c r="Y354" s="12" t="str">
        <v>İsmail Yüksek</v>
      </c>
      <c r="Z354" s="12">
        <v>27</v>
      </c>
      <c r="AA354" s="12" t="str">
        <v>Turkey</v>
      </c>
      <c r="AB354" s="12" t="str">
        <v>CDM</v>
      </c>
      <c r="AC354" s="12" t="str">
        <v>Fenerbahçe</v>
      </c>
      <c r="AD354" s="12">
        <v>16</v>
      </c>
      <c r="AF354" s="42">
        <v>1982</v>
      </c>
      <c r="AG354" s="42" t="str">
        <v xml:space="preserve">02 Jul 1982 - 21:00 </v>
      </c>
      <c r="AH354" s="42" t="str">
        <v>GROUP_STAGE</v>
      </c>
      <c r="AI354" s="42" t="str">
        <v>Santiago Bernabeu</v>
      </c>
      <c r="AJ354" s="42" t="str">
        <v xml:space="preserve">Madrid </v>
      </c>
      <c r="AK354" s="42" t="str">
        <v>FR Germany</v>
      </c>
      <c r="AL354" s="42">
        <v>2</v>
      </c>
      <c r="AM354" s="42">
        <v>1</v>
      </c>
      <c r="AN354" s="42" t="str">
        <v>Spain</v>
      </c>
      <c r="AO354" s="42" t="str">
        <v>-</v>
      </c>
    </row>
    <row r="355" spans="7:41">
      <c r="X355" s="15">
        <v>353</v>
      </c>
      <c r="Y355" s="15" t="str">
        <v>Kaan Ayhan</v>
      </c>
      <c r="Z355" s="15">
        <v>31</v>
      </c>
      <c r="AA355" s="15" t="str">
        <v>Turkey</v>
      </c>
      <c r="AB355" s="15" t="str">
        <v>CDM</v>
      </c>
      <c r="AC355" s="15" t="str">
        <v>Galatasaray</v>
      </c>
      <c r="AD355" s="15">
        <v>22</v>
      </c>
      <c r="AF355" s="42">
        <v>1982</v>
      </c>
      <c r="AG355" s="42" t="str">
        <v xml:space="preserve">04 Jul 1982 - 17:15 </v>
      </c>
      <c r="AH355" s="42" t="str">
        <v>GROUP_STAGE</v>
      </c>
      <c r="AI355" s="42" t="str">
        <v>Vicente Calderon</v>
      </c>
      <c r="AJ355" s="42" t="str">
        <v xml:space="preserve">Madrid </v>
      </c>
      <c r="AK355" s="42" t="str">
        <v>France</v>
      </c>
      <c r="AL355" s="42">
        <v>4</v>
      </c>
      <c r="AM355" s="42">
        <v>1</v>
      </c>
      <c r="AN355" s="42" t="str">
        <v>Northern Ireland</v>
      </c>
      <c r="AO355" s="42" t="str">
        <v>-</v>
      </c>
    </row>
    <row r="356" spans="7:41">
      <c r="X356" s="15">
        <v>354</v>
      </c>
      <c r="Y356" s="15" t="str">
        <v>Orkun Kökçü</v>
      </c>
      <c r="Z356" s="15">
        <v>25</v>
      </c>
      <c r="AA356" s="15" t="str">
        <v>Turkey</v>
      </c>
      <c r="AB356" s="15" t="str">
        <v>CM</v>
      </c>
      <c r="AC356" s="15" t="str">
        <v>Beşiktaş</v>
      </c>
      <c r="AD356" s="15">
        <v>6</v>
      </c>
      <c r="AF356" s="42">
        <v>1982</v>
      </c>
      <c r="AG356" s="42" t="str">
        <v xml:space="preserve">04 Jul 1982 - 21:00 </v>
      </c>
      <c r="AH356" s="42" t="str">
        <v>GROUP_STAGE</v>
      </c>
      <c r="AI356" s="42" t="str">
        <v>Camp Nou</v>
      </c>
      <c r="AJ356" s="42" t="str">
        <v xml:space="preserve">Barcelona </v>
      </c>
      <c r="AK356" s="42" t="str">
        <v>Poland</v>
      </c>
      <c r="AL356" s="42">
        <v>0</v>
      </c>
      <c r="AM356" s="42">
        <v>0</v>
      </c>
      <c r="AN356" s="42" t="str">
        <v>Soviet Union</v>
      </c>
      <c r="AO356" s="42" t="str">
        <v>-</v>
      </c>
    </row>
    <row r="357" spans="7:41">
      <c r="X357" s="15">
        <v>355</v>
      </c>
      <c r="Y357" s="15" t="str">
        <v>Arda Güler</v>
      </c>
      <c r="Z357" s="15">
        <v>21</v>
      </c>
      <c r="AA357" s="15" t="str">
        <v>Turkey</v>
      </c>
      <c r="AB357" s="15" t="str">
        <v>CAM</v>
      </c>
      <c r="AC357" s="15" t="str">
        <v>Real Madrid</v>
      </c>
      <c r="AD357" s="15">
        <v>8</v>
      </c>
      <c r="AF357" s="42">
        <v>1982</v>
      </c>
      <c r="AG357" s="42" t="str">
        <v xml:space="preserve">05 Jul 1982 - 17:15 </v>
      </c>
      <c r="AH357" s="42" t="str">
        <v>GROUP_STAGE</v>
      </c>
      <c r="AI357" s="42" t="str">
        <v>Sarria</v>
      </c>
      <c r="AJ357" s="42" t="str">
        <v xml:space="preserve">Barcelona </v>
      </c>
      <c r="AK357" s="42" t="str">
        <v>Italy</v>
      </c>
      <c r="AL357" s="42">
        <v>3</v>
      </c>
      <c r="AM357" s="42">
        <v>2</v>
      </c>
      <c r="AN357" s="42" t="str">
        <v>Brazil</v>
      </c>
      <c r="AO357" s="42" t="str">
        <v>-</v>
      </c>
    </row>
    <row r="358" spans="7:41">
      <c r="X358" s="15">
        <v>356</v>
      </c>
      <c r="Y358" s="15" t="str">
        <v>Hakan Çalhanoğlu</v>
      </c>
      <c r="Z358" s="15">
        <v>32</v>
      </c>
      <c r="AA358" s="15" t="str">
        <v>Turkey</v>
      </c>
      <c r="AB358" s="15" t="str">
        <v>CAM</v>
      </c>
      <c r="AC358" s="15" t="str">
        <v>Inter Milan</v>
      </c>
      <c r="AD358" s="15">
        <v>10</v>
      </c>
      <c r="AF358" s="42">
        <v>1982</v>
      </c>
      <c r="AG358" s="42" t="str">
        <v xml:space="preserve">05 Jul 1982 - 21:00 </v>
      </c>
      <c r="AH358" s="42" t="str">
        <v>GROUP_STAGE</v>
      </c>
      <c r="AI358" s="42" t="str">
        <v>Santiago Bernabeu</v>
      </c>
      <c r="AJ358" s="42" t="str">
        <v xml:space="preserve">Madrid </v>
      </c>
      <c r="AK358" s="42" t="str">
        <v>Spain</v>
      </c>
      <c r="AL358" s="42">
        <v>0</v>
      </c>
      <c r="AM358" s="42">
        <v>0</v>
      </c>
      <c r="AN358" s="42" t="str">
        <v>England</v>
      </c>
      <c r="AO358" s="42" t="str">
        <v>-</v>
      </c>
    </row>
    <row r="359" spans="7:41">
      <c r="X359" s="15">
        <v>357</v>
      </c>
      <c r="Y359" s="15" t="str">
        <v>Kerem Aktürkoğlu</v>
      </c>
      <c r="Z359" s="15">
        <v>27</v>
      </c>
      <c r="AA359" s="15" t="str">
        <v>Turkey</v>
      </c>
      <c r="AB359" s="15" t="str">
        <v>LW</v>
      </c>
      <c r="AC359" s="15" t="str">
        <v>Fenerbahçe</v>
      </c>
      <c r="AD359" s="15">
        <v>7</v>
      </c>
      <c r="AF359" s="42">
        <v>1982</v>
      </c>
      <c r="AG359" s="42" t="str">
        <v xml:space="preserve">08 Jul 1982 - 17:15 </v>
      </c>
      <c r="AH359" s="42" t="str">
        <v>SEMI_FINALS</v>
      </c>
      <c r="AI359" s="42" t="str">
        <v>Camp Nou</v>
      </c>
      <c r="AJ359" s="42" t="str">
        <v xml:space="preserve">Barcelona </v>
      </c>
      <c r="AK359" s="42" t="str">
        <v>Poland</v>
      </c>
      <c r="AL359" s="42">
        <v>0</v>
      </c>
      <c r="AM359" s="42">
        <v>2</v>
      </c>
      <c r="AN359" s="42" t="str">
        <v>Italy</v>
      </c>
      <c r="AO359" s="42" t="str">
        <v>-</v>
      </c>
    </row>
    <row r="360" spans="7:41">
      <c r="X360" s="15">
        <v>358</v>
      </c>
      <c r="Y360" s="15" t="str">
        <v>Kenan Yıldız</v>
      </c>
      <c r="Z360" s="15">
        <v>21</v>
      </c>
      <c r="AA360" s="15" t="str">
        <v>Turkey</v>
      </c>
      <c r="AB360" s="15" t="str">
        <v>LW</v>
      </c>
      <c r="AC360" s="15" t="str">
        <v>Juventus</v>
      </c>
      <c r="AD360" s="15">
        <v>11</v>
      </c>
      <c r="AF360" s="42">
        <v>1982</v>
      </c>
      <c r="AG360" s="42" t="str">
        <v xml:space="preserve">08 Jul 1982 - 21:00 </v>
      </c>
      <c r="AH360" s="42" t="str">
        <v>SEMI_FINALS</v>
      </c>
      <c r="AI360" s="42" t="str">
        <v>Ramon Sanchez Pizjuan</v>
      </c>
      <c r="AJ360" s="42" t="str">
        <v xml:space="preserve">Seville </v>
      </c>
      <c r="AK360" s="42" t="str">
        <v>FR Germany</v>
      </c>
      <c r="AL360" s="42">
        <v>3</v>
      </c>
      <c r="AM360" s="42">
        <v>3</v>
      </c>
      <c r="AN360" s="42" t="str">
        <v>France</v>
      </c>
      <c r="AO360" s="42" t="str">
        <v>win on penalties (5 - 4)</v>
      </c>
    </row>
    <row r="361" spans="7:41">
      <c r="X361" s="15">
        <v>359</v>
      </c>
      <c r="Y361" s="15" t="str">
        <v>İrfan Can Kahveci</v>
      </c>
      <c r="Z361" s="15">
        <v>30</v>
      </c>
      <c r="AA361" s="15" t="str">
        <v>Turkey</v>
      </c>
      <c r="AB361" s="15" t="str">
        <v>RW</v>
      </c>
      <c r="AC361" s="15" t="str">
        <v>Kasımpaşa</v>
      </c>
      <c r="AD361" s="15">
        <v>17</v>
      </c>
      <c r="AF361" s="42">
        <v>1982</v>
      </c>
      <c r="AG361" s="42" t="str">
        <v xml:space="preserve">10 Jul 1982 - 20:00 </v>
      </c>
      <c r="AH361" s="42" t="str">
        <v>THIRD_PLACE</v>
      </c>
      <c r="AI361" s="42" t="str">
        <v>Jose Rico Perez</v>
      </c>
      <c r="AJ361" s="42" t="str">
        <v xml:space="preserve">Alicante </v>
      </c>
      <c r="AK361" s="42" t="str">
        <v>Poland</v>
      </c>
      <c r="AL361" s="42">
        <v>3</v>
      </c>
      <c r="AM361" s="42">
        <v>2</v>
      </c>
      <c r="AN361" s="42" t="str">
        <v>France</v>
      </c>
      <c r="AO361" s="42" t="str">
        <v>-</v>
      </c>
    </row>
    <row r="362" spans="7:41">
      <c r="X362" s="15">
        <v>360</v>
      </c>
      <c r="Y362" s="15" t="str">
        <v>Yunus Akgün</v>
      </c>
      <c r="Z362" s="15">
        <v>25</v>
      </c>
      <c r="AA362" s="15" t="str">
        <v>Turkey</v>
      </c>
      <c r="AB362" s="15" t="str">
        <v>RW</v>
      </c>
      <c r="AC362" s="15" t="str">
        <v>Galatasaray</v>
      </c>
      <c r="AD362" s="15">
        <v>19</v>
      </c>
      <c r="AF362" s="42">
        <v>1982</v>
      </c>
      <c r="AG362" s="42" t="str">
        <v xml:space="preserve">11 Jul 1982 - 20:00 </v>
      </c>
      <c r="AH362" s="42" t="str">
        <v>FINAL</v>
      </c>
      <c r="AI362" s="42" t="str">
        <v>Santiago Bernabeu</v>
      </c>
      <c r="AJ362" s="42" t="str">
        <v xml:space="preserve">Madrid </v>
      </c>
      <c r="AK362" s="42" t="str">
        <v>Italy</v>
      </c>
      <c r="AL362" s="42">
        <v>3</v>
      </c>
      <c r="AM362" s="42">
        <v>1</v>
      </c>
      <c r="AN362" s="42" t="str">
        <v>FR Germany</v>
      </c>
      <c r="AO362" s="42" t="str">
        <v>-</v>
      </c>
    </row>
    <row r="363" spans="7:41">
      <c r="X363" s="15">
        <v>361</v>
      </c>
      <c r="Y363" s="15" t="str">
        <v>Oğuz Aydın</v>
      </c>
      <c r="Z363" s="15">
        <v>25</v>
      </c>
      <c r="AA363" s="15" t="str">
        <v>Turkey</v>
      </c>
      <c r="AB363" s="15" t="str">
        <v>RW</v>
      </c>
      <c r="AC363" s="15" t="str">
        <v>Fenerbahçe</v>
      </c>
      <c r="AD363" s="15">
        <v>24</v>
      </c>
      <c r="AF363" s="42">
        <v>1986</v>
      </c>
      <c r="AG363" s="42" t="str">
        <v xml:space="preserve">31 May 1986 - 12:00 </v>
      </c>
      <c r="AH363" s="42" t="str">
        <v>GROUP_STAGE</v>
      </c>
      <c r="AI363" s="42" t="str">
        <v>Estadio Azteca</v>
      </c>
      <c r="AJ363" s="42" t="str">
        <v xml:space="preserve">Mexico City </v>
      </c>
      <c r="AK363" s="42" t="str">
        <v>Bulgaria</v>
      </c>
      <c r="AL363" s="42">
        <v>1</v>
      </c>
      <c r="AM363" s="42">
        <v>1</v>
      </c>
      <c r="AN363" s="42" t="str">
        <v>Italy</v>
      </c>
      <c r="AO363" s="42" t="str">
        <v>-</v>
      </c>
    </row>
    <row r="364" spans="7:41">
      <c r="X364" s="15">
        <v>362</v>
      </c>
      <c r="Y364" s="15" t="str">
        <v>Deniz Gül</v>
      </c>
      <c r="Z364" s="15">
        <v>21</v>
      </c>
      <c r="AA364" s="15" t="str">
        <v>Turkey</v>
      </c>
      <c r="AB364" s="15" t="str">
        <v>ST</v>
      </c>
      <c r="AC364" s="15" t="str">
        <v>Porto</v>
      </c>
      <c r="AD364" s="15">
        <v>9</v>
      </c>
      <c r="AF364" s="42">
        <v>1986</v>
      </c>
      <c r="AG364" s="42" t="str">
        <v xml:space="preserve">01 Jun 1986 - 16:00 </v>
      </c>
      <c r="AH364" s="42" t="str">
        <v>GROUP_STAGE</v>
      </c>
      <c r="AI364" s="42" t="str">
        <v>Nou Camp - Estadio León</v>
      </c>
      <c r="AJ364" s="42" t="str">
        <v xml:space="preserve">Leon </v>
      </c>
      <c r="AK364" s="42" t="str">
        <v>Canada</v>
      </c>
      <c r="AL364" s="42">
        <v>0</v>
      </c>
      <c r="AM364" s="42">
        <v>1</v>
      </c>
      <c r="AN364" s="42" t="str">
        <v>France</v>
      </c>
      <c r="AO364" s="42" t="str">
        <v>-</v>
      </c>
    </row>
    <row r="365" spans="7:41">
      <c r="X365" s="15">
        <v>363</v>
      </c>
      <c r="Y365" s="15" t="str">
        <v>Barış Alper Yılmaz</v>
      </c>
      <c r="Z365" s="15">
        <v>26</v>
      </c>
      <c r="AA365" s="15" t="str">
        <v>Turkey</v>
      </c>
      <c r="AB365" s="15" t="str">
        <v>ST</v>
      </c>
      <c r="AC365" s="15" t="str">
        <v>Galatasaray</v>
      </c>
      <c r="AD365" s="15">
        <v>21</v>
      </c>
      <c r="AF365" s="42">
        <v>1986</v>
      </c>
      <c r="AG365" s="42" t="str">
        <v xml:space="preserve">01 Jun 1986 - 12:00 </v>
      </c>
      <c r="AH365" s="42" t="str">
        <v>GROUP_STAGE</v>
      </c>
      <c r="AI365" s="42" t="str">
        <v>Jalisco</v>
      </c>
      <c r="AJ365" s="42" t="str">
        <v xml:space="preserve">Guadalajara </v>
      </c>
      <c r="AK365" s="42" t="str">
        <v>Spain</v>
      </c>
      <c r="AL365" s="42">
        <v>0</v>
      </c>
      <c r="AM365" s="42">
        <v>1</v>
      </c>
      <c r="AN365" s="42" t="str">
        <v>Brazil</v>
      </c>
      <c r="AO365" s="42" t="str">
        <v>-</v>
      </c>
    </row>
    <row r="366" spans="7:41">
      <c r="X366" s="15">
        <v>364</v>
      </c>
      <c r="Y366" s="15" t="str">
        <v>Can Uzun</v>
      </c>
      <c r="Z366" s="15">
        <v>20</v>
      </c>
      <c r="AA366" s="15" t="str">
        <v>Turkey</v>
      </c>
      <c r="AB366" s="15" t="str">
        <v>ST</v>
      </c>
      <c r="AC366" s="15" t="str">
        <v>Eintracht Frankfurt</v>
      </c>
      <c r="AD366" s="15">
        <v>26</v>
      </c>
      <c r="AF366" s="42">
        <v>1986</v>
      </c>
      <c r="AG366" s="42" t="str">
        <v xml:space="preserve">02 Jun 1986 - 12:00 </v>
      </c>
      <c r="AH366" s="42" t="str">
        <v>GROUP_STAGE</v>
      </c>
      <c r="AI366" s="42" t="str">
        <v>Estadio Irapuato</v>
      </c>
      <c r="AJ366" s="42" t="str">
        <v xml:space="preserve">Irapuato </v>
      </c>
      <c r="AK366" s="42" t="str">
        <v>Soviet Union</v>
      </c>
      <c r="AL366" s="42">
        <v>6</v>
      </c>
      <c r="AM366" s="42">
        <v>0</v>
      </c>
      <c r="AN366" s="42" t="str">
        <v>Hungary</v>
      </c>
      <c r="AO366" s="42" t="str">
        <v>-</v>
      </c>
    </row>
    <row r="367" spans="7:41">
      <c r="X367" s="15">
        <v>365</v>
      </c>
      <c r="Y367" s="15" t="str">
        <v>Mathew Ryan</v>
      </c>
      <c r="Z367" s="15">
        <v>34</v>
      </c>
      <c r="AA367" s="15" t="str">
        <v>Australia</v>
      </c>
      <c r="AB367" s="15" t="str">
        <v>GK</v>
      </c>
      <c r="AC367" s="15" t="str">
        <v>Levante</v>
      </c>
      <c r="AD367" s="15">
        <v>1</v>
      </c>
      <c r="AF367" s="42">
        <v>1986</v>
      </c>
      <c r="AG367" s="42" t="str">
        <v xml:space="preserve">02 Jun 1986 - 12:00 </v>
      </c>
      <c r="AH367" s="42" t="str">
        <v>GROUP_STAGE</v>
      </c>
      <c r="AI367" s="42" t="str">
        <v>Estadio Olímpico Universitario</v>
      </c>
      <c r="AJ367" s="42" t="str">
        <v xml:space="preserve">Mexico City </v>
      </c>
      <c r="AK367" s="42" t="str">
        <v>Argentina</v>
      </c>
      <c r="AL367" s="42">
        <v>3</v>
      </c>
      <c r="AM367" s="42">
        <v>1</v>
      </c>
      <c r="AN367" s="42" t="str">
        <v>South Korea</v>
      </c>
      <c r="AO367" s="42" t="str">
        <v>-</v>
      </c>
    </row>
    <row r="368" spans="7:41">
      <c r="X368" s="15">
        <v>366</v>
      </c>
      <c r="Y368" s="15" t="str">
        <v>Paul Izzo</v>
      </c>
      <c r="Z368" s="15">
        <v>31</v>
      </c>
      <c r="AA368" s="15" t="str">
        <v>Australia</v>
      </c>
      <c r="AB368" s="15" t="str">
        <v>GK</v>
      </c>
      <c r="AC368" s="15" t="str">
        <v>Randers</v>
      </c>
      <c r="AD368" s="15">
        <v>12</v>
      </c>
      <c r="AF368" s="42">
        <v>1986</v>
      </c>
      <c r="AG368" s="42" t="str">
        <v xml:space="preserve">02 Jun 1986 - 16:00 </v>
      </c>
      <c r="AH368" s="42" t="str">
        <v>GROUP_STAGE</v>
      </c>
      <c r="AI368" s="42" t="str">
        <v>Estadio Universitario</v>
      </c>
      <c r="AJ368" s="42" t="str">
        <v xml:space="preserve">Monterrey </v>
      </c>
      <c r="AK368" s="42" t="str">
        <v>Morocco</v>
      </c>
      <c r="AL368" s="42">
        <v>0</v>
      </c>
      <c r="AM368" s="42">
        <v>0</v>
      </c>
      <c r="AN368" s="42" t="str">
        <v>Poland</v>
      </c>
      <c r="AO368" s="42" t="str">
        <v>-</v>
      </c>
    </row>
    <row r="369" spans="24:41">
      <c r="X369" s="15">
        <v>367</v>
      </c>
      <c r="Y369" s="15" t="str">
        <v>Patrick Beach</v>
      </c>
      <c r="Z369" s="15">
        <v>22</v>
      </c>
      <c r="AA369" s="15" t="str">
        <v>Australia</v>
      </c>
      <c r="AB369" s="15" t="str">
        <v>GK</v>
      </c>
      <c r="AC369" s="15" t="str">
        <v>Melbourne City</v>
      </c>
      <c r="AD369" s="15">
        <v>18</v>
      </c>
      <c r="AF369" s="42">
        <v>1986</v>
      </c>
      <c r="AG369" s="42" t="str">
        <v xml:space="preserve">03 Jun 1986 - 12:00 </v>
      </c>
      <c r="AH369" s="42" t="str">
        <v>GROUP_STAGE</v>
      </c>
      <c r="AI369" s="42" t="str">
        <v>Tres de Marzo</v>
      </c>
      <c r="AJ369" s="42" t="str">
        <v xml:space="preserve">Guadalajara </v>
      </c>
      <c r="AK369" s="42" t="str">
        <v>Algeria</v>
      </c>
      <c r="AL369" s="42">
        <v>1</v>
      </c>
      <c r="AM369" s="42">
        <v>1</v>
      </c>
      <c r="AN369" s="42" t="str">
        <v>Northern Ireland</v>
      </c>
      <c r="AO369" s="42" t="str">
        <v>-</v>
      </c>
    </row>
    <row r="370" spans="24:41">
      <c r="X370" s="15">
        <v>368</v>
      </c>
      <c r="Y370" s="15" t="str">
        <v>Miloš Degenek</v>
      </c>
      <c r="Z370" s="15">
        <v>32</v>
      </c>
      <c r="AA370" s="15" t="str">
        <v>Australia</v>
      </c>
      <c r="AB370" s="15" t="str">
        <v>CB</v>
      </c>
      <c r="AC370" s="15" t="str">
        <v>APOEL</v>
      </c>
      <c r="AD370" s="15">
        <v>2</v>
      </c>
      <c r="AF370" s="42">
        <v>1986</v>
      </c>
      <c r="AG370" s="42" t="str">
        <v xml:space="preserve">03 Jun 1986 - 12:00 </v>
      </c>
      <c r="AH370" s="42" t="str">
        <v>GROUP_STAGE</v>
      </c>
      <c r="AI370" s="42" t="str">
        <v>Estadio Azteca</v>
      </c>
      <c r="AJ370" s="42" t="str">
        <v xml:space="preserve">Mexico City </v>
      </c>
      <c r="AK370" s="42" t="str">
        <v>Belgium</v>
      </c>
      <c r="AL370" s="42">
        <v>1</v>
      </c>
      <c r="AM370" s="42">
        <v>2</v>
      </c>
      <c r="AN370" s="42" t="str">
        <v>Mexico</v>
      </c>
      <c r="AO370" s="42" t="str">
        <v>-</v>
      </c>
    </row>
    <row r="371" spans="24:41">
      <c r="X371" s="15">
        <v>369</v>
      </c>
      <c r="Y371" s="15" t="str">
        <v>Alessandro Circati</v>
      </c>
      <c r="Z371" s="15">
        <v>22</v>
      </c>
      <c r="AA371" s="15" t="str">
        <v>Australia</v>
      </c>
      <c r="AB371" s="15" t="str">
        <v>CB</v>
      </c>
      <c r="AC371" s="15" t="str">
        <v>Parma</v>
      </c>
      <c r="AD371" s="15">
        <v>3</v>
      </c>
      <c r="AF371" s="42">
        <v>1986</v>
      </c>
      <c r="AG371" s="42" t="str">
        <v xml:space="preserve">03 Jun 1986 - 16:00 </v>
      </c>
      <c r="AH371" s="42" t="str">
        <v>GROUP_STAGE</v>
      </c>
      <c r="AI371" s="42" t="str">
        <v>Tecnologico</v>
      </c>
      <c r="AJ371" s="42" t="str">
        <v xml:space="preserve">Monterrey </v>
      </c>
      <c r="AK371" s="42" t="str">
        <v>Portugal</v>
      </c>
      <c r="AL371" s="42">
        <v>1</v>
      </c>
      <c r="AM371" s="42">
        <v>0</v>
      </c>
      <c r="AN371" s="42" t="str">
        <v>England</v>
      </c>
      <c r="AO371" s="42" t="str">
        <v>-</v>
      </c>
    </row>
    <row r="372" spans="24:41">
      <c r="X372" s="15">
        <v>370</v>
      </c>
      <c r="Y372" s="15" t="str">
        <v>Kai Trewin</v>
      </c>
      <c r="Z372" s="15">
        <v>25</v>
      </c>
      <c r="AA372" s="15" t="str">
        <v>Australia</v>
      </c>
      <c r="AB372" s="15" t="str">
        <v>CB</v>
      </c>
      <c r="AC372" s="15" t="str">
        <v>New York City FC</v>
      </c>
      <c r="AD372" s="15">
        <v>15</v>
      </c>
      <c r="AF372" s="42">
        <v>1986</v>
      </c>
      <c r="AG372" s="42" t="str">
        <v xml:space="preserve">04 Jun 1986 - 12:00 </v>
      </c>
      <c r="AH372" s="42" t="str">
        <v>GROUP_STAGE</v>
      </c>
      <c r="AI372" s="42" t="str">
        <v>Bombonera - Estadio Nemesio Diez</v>
      </c>
      <c r="AJ372" s="42" t="str">
        <v xml:space="preserve">Toluca </v>
      </c>
      <c r="AK372" s="42" t="str">
        <v>Paraguay</v>
      </c>
      <c r="AL372" s="42">
        <v>1</v>
      </c>
      <c r="AM372" s="42">
        <v>0</v>
      </c>
      <c r="AN372" s="42" t="str">
        <v>Iraq</v>
      </c>
      <c r="AO372" s="42" t="str">
        <v>-</v>
      </c>
    </row>
    <row r="373" spans="24:41">
      <c r="X373" s="15">
        <v>371</v>
      </c>
      <c r="Y373" s="15" t="str">
        <v>Harry Souttar</v>
      </c>
      <c r="Z373" s="15">
        <v>27</v>
      </c>
      <c r="AA373" s="15" t="str">
        <v>Australia</v>
      </c>
      <c r="AB373" s="15" t="str">
        <v>CB</v>
      </c>
      <c r="AC373" s="15" t="str">
        <v>Leicester City</v>
      </c>
      <c r="AD373" s="15">
        <v>19</v>
      </c>
      <c r="AF373" s="42">
        <v>1986</v>
      </c>
      <c r="AG373" s="42" t="str">
        <v xml:space="preserve">04 Jun 1986 - 16:00 </v>
      </c>
      <c r="AH373" s="42" t="str">
        <v>GROUP_STAGE</v>
      </c>
      <c r="AI373" s="42" t="str">
        <v>Neza</v>
      </c>
      <c r="AJ373" s="42" t="str">
        <v xml:space="preserve">Nezahualcoyotl </v>
      </c>
      <c r="AK373" s="42" t="str">
        <v>Scotland</v>
      </c>
      <c r="AL373" s="42">
        <v>0</v>
      </c>
      <c r="AM373" s="42">
        <v>1</v>
      </c>
      <c r="AN373" s="42" t="str">
        <v>Denmark</v>
      </c>
      <c r="AO373" s="42" t="str">
        <v>-</v>
      </c>
    </row>
    <row r="374" spans="24:41">
      <c r="X374" s="15">
        <v>372</v>
      </c>
      <c r="Y374" s="15" t="str">
        <v>Cameron Burgess</v>
      </c>
      <c r="Z374" s="15">
        <v>30</v>
      </c>
      <c r="AA374" s="15" t="str">
        <v>Australia</v>
      </c>
      <c r="AB374" s="15" t="str">
        <v>CB</v>
      </c>
      <c r="AC374" s="15" t="str">
        <v>Swansea City</v>
      </c>
      <c r="AD374" s="15">
        <v>21</v>
      </c>
      <c r="AF374" s="42">
        <v>1986</v>
      </c>
      <c r="AG374" s="42" t="str">
        <v xml:space="preserve">04 Jun 1986 - 12:00 </v>
      </c>
      <c r="AH374" s="42" t="str">
        <v>GROUP_STAGE</v>
      </c>
      <c r="AI374" s="42" t="str">
        <v>Estadio Corregidora</v>
      </c>
      <c r="AJ374" s="42" t="str">
        <v xml:space="preserve">Queretaro </v>
      </c>
      <c r="AK374" s="42" t="str">
        <v>Uruguay</v>
      </c>
      <c r="AL374" s="42">
        <v>1</v>
      </c>
      <c r="AM374" s="42">
        <v>1</v>
      </c>
      <c r="AN374" s="42" t="str">
        <v>FR Germany</v>
      </c>
      <c r="AO374" s="42" t="str">
        <v>-</v>
      </c>
    </row>
    <row r="375" spans="24:41">
      <c r="X375" s="15">
        <v>373</v>
      </c>
      <c r="Y375" s="15" t="str">
        <v>Lucas Herrington</v>
      </c>
      <c r="Z375" s="15">
        <v>18</v>
      </c>
      <c r="AA375" s="15" t="str">
        <v>Australia</v>
      </c>
      <c r="AB375" s="15" t="str">
        <v>CB</v>
      </c>
      <c r="AC375" s="15" t="str">
        <v>Colorado Rapids</v>
      </c>
      <c r="AD375" s="15">
        <v>25</v>
      </c>
      <c r="AF375" s="42">
        <v>1986</v>
      </c>
      <c r="AG375" s="42" t="str">
        <v xml:space="preserve">05 Jun 1986 - 12:00 </v>
      </c>
      <c r="AH375" s="42" t="str">
        <v>GROUP_STAGE</v>
      </c>
      <c r="AI375" s="42" t="str">
        <v>Cuauhtemoc</v>
      </c>
      <c r="AJ375" s="42" t="str">
        <v xml:space="preserve">Puebla </v>
      </c>
      <c r="AK375" s="42" t="str">
        <v>Italy</v>
      </c>
      <c r="AL375" s="42">
        <v>1</v>
      </c>
      <c r="AM375" s="42">
        <v>1</v>
      </c>
      <c r="AN375" s="42" t="str">
        <v>Argentina</v>
      </c>
      <c r="AO375" s="42" t="str">
        <v>-</v>
      </c>
    </row>
    <row r="376" spans="24:41">
      <c r="X376" s="15">
        <v>374</v>
      </c>
      <c r="Y376" s="15" t="str">
        <v>Jordan Bos</v>
      </c>
      <c r="Z376" s="15">
        <v>23</v>
      </c>
      <c r="AA376" s="15" t="str">
        <v>Australia</v>
      </c>
      <c r="AB376" s="15" t="str">
        <v>LB</v>
      </c>
      <c r="AC376" s="15" t="str">
        <v>Feyenoord</v>
      </c>
      <c r="AD376" s="15">
        <v>5</v>
      </c>
      <c r="AF376" s="42">
        <v>1986</v>
      </c>
      <c r="AG376" s="42" t="str">
        <v xml:space="preserve">05 Jun 1986 - 12:00 </v>
      </c>
      <c r="AH376" s="42" t="str">
        <v>GROUP_STAGE</v>
      </c>
      <c r="AI376" s="42" t="str">
        <v>Nou Camp - Estadio León</v>
      </c>
      <c r="AJ376" s="42" t="str">
        <v xml:space="preserve">Leon </v>
      </c>
      <c r="AK376" s="42" t="str">
        <v>France</v>
      </c>
      <c r="AL376" s="42">
        <v>1</v>
      </c>
      <c r="AM376" s="42">
        <v>1</v>
      </c>
      <c r="AN376" s="42" t="str">
        <v>Soviet Union</v>
      </c>
      <c r="AO376" s="42" t="str">
        <v>-</v>
      </c>
    </row>
    <row r="377" spans="24:41">
      <c r="X377" s="15">
        <v>375</v>
      </c>
      <c r="Y377" s="15" t="str">
        <v>Aziz Behich</v>
      </c>
      <c r="Z377" s="15">
        <v>35</v>
      </c>
      <c r="AA377" s="15" t="str">
        <v>Australia</v>
      </c>
      <c r="AB377" s="15" t="str">
        <v>LB</v>
      </c>
      <c r="AC377" s="15" t="str">
        <v>Melbourne City</v>
      </c>
      <c r="AD377" s="15">
        <v>16</v>
      </c>
      <c r="AF377" s="42">
        <v>1986</v>
      </c>
      <c r="AG377" s="42" t="str">
        <v xml:space="preserve">05 Jun 1986 - 16:00 </v>
      </c>
      <c r="AH377" s="42" t="str">
        <v>GROUP_STAGE</v>
      </c>
      <c r="AI377" s="42" t="str">
        <v>Estadio Olímpico Universitario</v>
      </c>
      <c r="AJ377" s="42" t="str">
        <v xml:space="preserve">Mexico City </v>
      </c>
      <c r="AK377" s="42" t="str">
        <v>South Korea</v>
      </c>
      <c r="AL377" s="42">
        <v>1</v>
      </c>
      <c r="AM377" s="42">
        <v>1</v>
      </c>
      <c r="AN377" s="42" t="str">
        <v>Bulgaria</v>
      </c>
      <c r="AO377" s="42" t="str">
        <v>-</v>
      </c>
    </row>
    <row r="378" spans="24:41">
      <c r="X378" s="15">
        <v>376</v>
      </c>
      <c r="Y378" s="15" t="str">
        <v>Jacob Italiano</v>
      </c>
      <c r="Z378" s="15">
        <v>24</v>
      </c>
      <c r="AA378" s="15" t="str">
        <v>Australia</v>
      </c>
      <c r="AB378" s="15" t="str">
        <v>RB</v>
      </c>
      <c r="AC378" s="15" t="str">
        <v>Grazer AK</v>
      </c>
      <c r="AD378" s="15">
        <v>4</v>
      </c>
      <c r="AF378" s="42">
        <v>1986</v>
      </c>
      <c r="AG378" s="42" t="str">
        <v xml:space="preserve">06 Jun 1986 - 12:00 </v>
      </c>
      <c r="AH378" s="42" t="str">
        <v>GROUP_STAGE</v>
      </c>
      <c r="AI378" s="42" t="str">
        <v>Estadio Irapuato</v>
      </c>
      <c r="AJ378" s="42" t="str">
        <v xml:space="preserve">Irapuato </v>
      </c>
      <c r="AK378" s="42" t="str">
        <v>Hungary</v>
      </c>
      <c r="AL378" s="42">
        <v>2</v>
      </c>
      <c r="AM378" s="42">
        <v>0</v>
      </c>
      <c r="AN378" s="42" t="str">
        <v>Canada</v>
      </c>
      <c r="AO378" s="42" t="str">
        <v>-</v>
      </c>
    </row>
    <row r="379" spans="24:41">
      <c r="X379" s="15">
        <v>377</v>
      </c>
      <c r="Y379" s="15" t="str">
        <v>Jason Geria</v>
      </c>
      <c r="Z379" s="15">
        <v>33</v>
      </c>
      <c r="AA379" s="15" t="str">
        <v>Australia</v>
      </c>
      <c r="AB379" s="15" t="str">
        <v>RB</v>
      </c>
      <c r="AC379" s="15" t="str">
        <v>Albirex Niigata</v>
      </c>
      <c r="AD379" s="15">
        <v>6</v>
      </c>
      <c r="AF379" s="42">
        <v>1986</v>
      </c>
      <c r="AG379" s="42" t="str">
        <v xml:space="preserve">06 Jun 1986 - 12:00 </v>
      </c>
      <c r="AH379" s="42" t="str">
        <v>GROUP_STAGE</v>
      </c>
      <c r="AI379" s="42" t="str">
        <v>Jalisco</v>
      </c>
      <c r="AJ379" s="42" t="str">
        <v xml:space="preserve">Guadalajara </v>
      </c>
      <c r="AK379" s="42" t="str">
        <v>Brazil</v>
      </c>
      <c r="AL379" s="42">
        <v>1</v>
      </c>
      <c r="AM379" s="42">
        <v>0</v>
      </c>
      <c r="AN379" s="42" t="str">
        <v>Algeria</v>
      </c>
      <c r="AO379" s="42" t="str">
        <v>-</v>
      </c>
    </row>
    <row r="380" spans="24:41">
      <c r="X380" s="15">
        <v>378</v>
      </c>
      <c r="Y380" s="15" t="str">
        <v>Aiden O'Neill</v>
      </c>
      <c r="Z380" s="15">
        <v>27</v>
      </c>
      <c r="AA380" s="15" t="str">
        <v>Australia</v>
      </c>
      <c r="AB380" s="15" t="str">
        <v>CDM</v>
      </c>
      <c r="AC380" s="15" t="str">
        <v>New York City FC</v>
      </c>
      <c r="AD380" s="15">
        <v>13</v>
      </c>
      <c r="AF380" s="42">
        <v>1986</v>
      </c>
      <c r="AG380" s="42" t="str">
        <v xml:space="preserve">06 Jun 1986 - 16:00 </v>
      </c>
      <c r="AH380" s="42" t="str">
        <v>GROUP_STAGE</v>
      </c>
      <c r="AI380" s="42" t="str">
        <v>Tecnologico</v>
      </c>
      <c r="AJ380" s="42" t="str">
        <v xml:space="preserve">Monterrey </v>
      </c>
      <c r="AK380" s="42" t="str">
        <v>England</v>
      </c>
      <c r="AL380" s="42">
        <v>0</v>
      </c>
      <c r="AM380" s="42">
        <v>0</v>
      </c>
      <c r="AN380" s="42" t="str">
        <v>Morocco</v>
      </c>
      <c r="AO380" s="42" t="str">
        <v>-</v>
      </c>
    </row>
    <row r="381" spans="24:41">
      <c r="X381" s="15">
        <v>379</v>
      </c>
      <c r="Y381" s="15" t="str">
        <v>Cammy Devlin</v>
      </c>
      <c r="Z381" s="15">
        <v>28</v>
      </c>
      <c r="AA381" s="15" t="str">
        <v>Australia</v>
      </c>
      <c r="AB381" s="15" t="str">
        <v>CDM</v>
      </c>
      <c r="AC381" s="15" t="str">
        <v>Heart of Midlothian</v>
      </c>
      <c r="AD381" s="15">
        <v>14</v>
      </c>
      <c r="AF381" s="42">
        <v>1986</v>
      </c>
      <c r="AG381" s="42" t="str">
        <v xml:space="preserve">07 Jun 1986 - 12:00 </v>
      </c>
      <c r="AH381" s="42" t="str">
        <v>GROUP_STAGE</v>
      </c>
      <c r="AI381" s="42" t="str">
        <v>Tres de Marzo</v>
      </c>
      <c r="AJ381" s="42" t="str">
        <v xml:space="preserve">Guadalajara </v>
      </c>
      <c r="AK381" s="42" t="str">
        <v>Northern Ireland</v>
      </c>
      <c r="AL381" s="42">
        <v>1</v>
      </c>
      <c r="AM381" s="42">
        <v>2</v>
      </c>
      <c r="AN381" s="42" t="str">
        <v>Spain</v>
      </c>
      <c r="AO381" s="42" t="str">
        <v>-</v>
      </c>
    </row>
    <row r="382" spans="24:41">
      <c r="X382" s="15">
        <v>380</v>
      </c>
      <c r="Y382" s="15" t="str">
        <v>Connor Metcalfe</v>
      </c>
      <c r="Z382" s="15">
        <v>26</v>
      </c>
      <c r="AA382" s="15" t="str">
        <v>Australia</v>
      </c>
      <c r="AB382" s="15" t="str">
        <v>CM</v>
      </c>
      <c r="AC382" s="15" t="str">
        <v>FC St. Pauli</v>
      </c>
      <c r="AD382" s="15">
        <v>8</v>
      </c>
      <c r="AF382" s="42">
        <v>1986</v>
      </c>
      <c r="AG382" s="42" t="str">
        <v xml:space="preserve">07 Jun 1986 - 12:00 </v>
      </c>
      <c r="AH382" s="42" t="str">
        <v>GROUP_STAGE</v>
      </c>
      <c r="AI382" s="42" t="str">
        <v>Estadio Azteca</v>
      </c>
      <c r="AJ382" s="42" t="str">
        <v xml:space="preserve">Mexico City </v>
      </c>
      <c r="AK382" s="42" t="str">
        <v>Mexico</v>
      </c>
      <c r="AL382" s="42">
        <v>1</v>
      </c>
      <c r="AM382" s="42">
        <v>1</v>
      </c>
      <c r="AN382" s="42" t="str">
        <v>Paraguay</v>
      </c>
      <c r="AO382" s="42" t="str">
        <v>-</v>
      </c>
    </row>
    <row r="383" spans="24:41">
      <c r="X383" s="15">
        <v>381</v>
      </c>
      <c r="Y383" s="15" t="str">
        <v>Jackson Irvine</v>
      </c>
      <c r="Z383" s="15">
        <v>33</v>
      </c>
      <c r="AA383" s="15" t="str">
        <v>Australia</v>
      </c>
      <c r="AB383" s="15" t="str">
        <v>CM</v>
      </c>
      <c r="AC383" s="15" t="str">
        <v>FC St. Pauli</v>
      </c>
      <c r="AD383" s="15">
        <v>22</v>
      </c>
      <c r="AF383" s="42">
        <v>1986</v>
      </c>
      <c r="AG383" s="42" t="str">
        <v xml:space="preserve">07 Jun 1986 - 16:00 </v>
      </c>
      <c r="AH383" s="42" t="str">
        <v>GROUP_STAGE</v>
      </c>
      <c r="AI383" s="42" t="str">
        <v>Estadio Universitario</v>
      </c>
      <c r="AJ383" s="42" t="str">
        <v xml:space="preserve">Monterrey </v>
      </c>
      <c r="AK383" s="42" t="str">
        <v>Poland</v>
      </c>
      <c r="AL383" s="42">
        <v>1</v>
      </c>
      <c r="AM383" s="42">
        <v>0</v>
      </c>
      <c r="AN383" s="42" t="str">
        <v>Portugal</v>
      </c>
      <c r="AO383" s="42" t="str">
        <v>-</v>
      </c>
    </row>
    <row r="384" spans="24:41">
      <c r="X384" s="15">
        <v>382</v>
      </c>
      <c r="Y384" s="15" t="str">
        <v>Paul Okon-Engstler</v>
      </c>
      <c r="Z384" s="15">
        <v>21</v>
      </c>
      <c r="AA384" s="15" t="str">
        <v>Australia</v>
      </c>
      <c r="AB384" s="15" t="str">
        <v>CM</v>
      </c>
      <c r="AC384" s="15" t="str">
        <v>Sydney FC</v>
      </c>
      <c r="AD384" s="15">
        <v>24</v>
      </c>
      <c r="AF384" s="42">
        <v>1986</v>
      </c>
      <c r="AG384" s="42" t="str">
        <v xml:space="preserve">08 Jun 1986 - 12:00 </v>
      </c>
      <c r="AH384" s="42" t="str">
        <v>GROUP_STAGE</v>
      </c>
      <c r="AI384" s="42" t="str">
        <v>Bombonera - Estadio Nemesio Diez</v>
      </c>
      <c r="AJ384" s="42" t="str">
        <v xml:space="preserve">Toluca </v>
      </c>
      <c r="AK384" s="42" t="str">
        <v>Iraq</v>
      </c>
      <c r="AL384" s="42">
        <v>1</v>
      </c>
      <c r="AM384" s="42">
        <v>2</v>
      </c>
      <c r="AN384" s="42" t="str">
        <v>Belgium</v>
      </c>
      <c r="AO384" s="42" t="str">
        <v>-</v>
      </c>
    </row>
    <row r="385" spans="24:41">
      <c r="X385" s="15">
        <v>383</v>
      </c>
      <c r="Y385" s="15" t="str">
        <v>Ajdin Hrustic</v>
      </c>
      <c r="Z385" s="15">
        <v>29</v>
      </c>
      <c r="AA385" s="15" t="str">
        <v>Australia</v>
      </c>
      <c r="AB385" s="15" t="str">
        <v>CAM</v>
      </c>
      <c r="AC385" s="15" t="str">
        <v>Heracles Almelo</v>
      </c>
      <c r="AD385" s="15">
        <v>10</v>
      </c>
      <c r="AF385" s="42">
        <v>1986</v>
      </c>
      <c r="AG385" s="42" t="str">
        <v xml:space="preserve">08 Jun 1986 - 16:00 </v>
      </c>
      <c r="AH385" s="42" t="str">
        <v>GROUP_STAGE</v>
      </c>
      <c r="AI385" s="42" t="str">
        <v>Neza</v>
      </c>
      <c r="AJ385" s="42" t="str">
        <v xml:space="preserve">Nezahualcoyotl </v>
      </c>
      <c r="AK385" s="42" t="str">
        <v>Denmark</v>
      </c>
      <c r="AL385" s="42">
        <v>6</v>
      </c>
      <c r="AM385" s="42">
        <v>1</v>
      </c>
      <c r="AN385" s="42" t="str">
        <v>Uruguay</v>
      </c>
      <c r="AO385" s="42" t="str">
        <v>-</v>
      </c>
    </row>
    <row r="386" spans="24:41">
      <c r="X386" s="15">
        <v>384</v>
      </c>
      <c r="Y386" s="15" t="str">
        <v>Mathew Leckie</v>
      </c>
      <c r="Z386" s="15">
        <v>35</v>
      </c>
      <c r="AA386" s="15" t="str">
        <v>Australia</v>
      </c>
      <c r="AB386" s="15" t="str">
        <v>LW</v>
      </c>
      <c r="AC386" s="15" t="str">
        <v>Melbourne City</v>
      </c>
      <c r="AD386" s="15">
        <v>7</v>
      </c>
      <c r="AF386" s="42">
        <v>1986</v>
      </c>
      <c r="AG386" s="42" t="str">
        <v xml:space="preserve">08 Jun 1986 - 12:00 </v>
      </c>
      <c r="AH386" s="42" t="str">
        <v>GROUP_STAGE</v>
      </c>
      <c r="AI386" s="42" t="str">
        <v>Estadio Corregidora</v>
      </c>
      <c r="AJ386" s="42" t="str">
        <v xml:space="preserve">Queretaro </v>
      </c>
      <c r="AK386" s="42" t="str">
        <v>FR Germany</v>
      </c>
      <c r="AL386" s="42">
        <v>2</v>
      </c>
      <c r="AM386" s="42">
        <v>1</v>
      </c>
      <c r="AN386" s="42" t="str">
        <v>Scotland</v>
      </c>
      <c r="AO386" s="42" t="str">
        <v>-</v>
      </c>
    </row>
    <row r="387" spans="24:41">
      <c r="X387" s="15">
        <v>385</v>
      </c>
      <c r="Y387" s="15" t="str">
        <v>Awer Mabil</v>
      </c>
      <c r="Z387" s="15">
        <v>30</v>
      </c>
      <c r="AA387" s="15" t="str">
        <v>Australia</v>
      </c>
      <c r="AB387" s="15" t="str">
        <v>LW</v>
      </c>
      <c r="AC387" s="15" t="str">
        <v>Castellón</v>
      </c>
      <c r="AD387" s="15">
        <v>11</v>
      </c>
      <c r="AF387" s="42">
        <v>1986</v>
      </c>
      <c r="AG387" s="42" t="str">
        <v xml:space="preserve">09 Jun 1986 - 12:00 </v>
      </c>
      <c r="AH387" s="42" t="str">
        <v>GROUP_STAGE</v>
      </c>
      <c r="AI387" s="42" t="str">
        <v>Nou Camp - Estadio León</v>
      </c>
      <c r="AJ387" s="42" t="str">
        <v xml:space="preserve">Leon </v>
      </c>
      <c r="AK387" s="42" t="str">
        <v>Hungary</v>
      </c>
      <c r="AL387" s="42">
        <v>0</v>
      </c>
      <c r="AM387" s="42">
        <v>3</v>
      </c>
      <c r="AN387" s="42" t="str">
        <v>France</v>
      </c>
      <c r="AO387" s="42" t="str">
        <v>-</v>
      </c>
    </row>
    <row r="388" spans="24:41">
      <c r="X388" s="15">
        <v>386</v>
      </c>
      <c r="Y388" s="15" t="str">
        <v>Nishan Velupillay</v>
      </c>
      <c r="Z388" s="15">
        <v>25</v>
      </c>
      <c r="AA388" s="15" t="str">
        <v>Australia</v>
      </c>
      <c r="AB388" s="15" t="str">
        <v>LW</v>
      </c>
      <c r="AC388" s="15" t="str">
        <v>Melbourne Victory</v>
      </c>
      <c r="AD388" s="15">
        <v>23</v>
      </c>
      <c r="AF388" s="42">
        <v>1986</v>
      </c>
      <c r="AG388" s="42" t="str">
        <v xml:space="preserve">09 Jun 1986 - 12:00 </v>
      </c>
      <c r="AH388" s="42" t="str">
        <v>GROUP_STAGE</v>
      </c>
      <c r="AI388" s="42" t="str">
        <v>Estadio Irapuato</v>
      </c>
      <c r="AJ388" s="42" t="str">
        <v xml:space="preserve">Irapuato </v>
      </c>
      <c r="AK388" s="42" t="str">
        <v>Soviet Union</v>
      </c>
      <c r="AL388" s="42">
        <v>2</v>
      </c>
      <c r="AM388" s="42">
        <v>0</v>
      </c>
      <c r="AN388" s="42" t="str">
        <v>Canada</v>
      </c>
      <c r="AO388" s="42" t="str">
        <v>-</v>
      </c>
    </row>
    <row r="389" spans="24:41">
      <c r="X389" s="15">
        <v>387</v>
      </c>
      <c r="Y389" s="15" t="str">
        <v>Nestory Irankunda</v>
      </c>
      <c r="Z389" s="15">
        <v>20</v>
      </c>
      <c r="AA389" s="15" t="str">
        <v>Australia</v>
      </c>
      <c r="AB389" s="15" t="str">
        <v>RW</v>
      </c>
      <c r="AC389" s="15" t="str">
        <v>Watford</v>
      </c>
      <c r="AD389" s="15">
        <v>17</v>
      </c>
      <c r="AF389" s="42">
        <v>1986</v>
      </c>
      <c r="AG389" s="42" t="str">
        <v xml:space="preserve">10 Jun 1986 - 12:00 </v>
      </c>
      <c r="AH389" s="42" t="str">
        <v>GROUP_STAGE</v>
      </c>
      <c r="AI389" s="42" t="str">
        <v>Cuauhtemoc</v>
      </c>
      <c r="AJ389" s="42" t="str">
        <v xml:space="preserve">Puebla </v>
      </c>
      <c r="AK389" s="42" t="str">
        <v>South Korea</v>
      </c>
      <c r="AL389" s="42">
        <v>2</v>
      </c>
      <c r="AM389" s="42">
        <v>3</v>
      </c>
      <c r="AN389" s="42" t="str">
        <v>Italy</v>
      </c>
      <c r="AO389" s="42" t="str">
        <v>-</v>
      </c>
    </row>
    <row r="390" spans="24:41">
      <c r="X390" s="15">
        <v>388</v>
      </c>
      <c r="Y390" s="15" t="str">
        <v>Cristian Volpato</v>
      </c>
      <c r="Z390" s="15">
        <v>22</v>
      </c>
      <c r="AA390" s="15" t="str">
        <v>Australia</v>
      </c>
      <c r="AB390" s="15" t="str">
        <v>RW</v>
      </c>
      <c r="AC390" s="15" t="str">
        <v>Sassuolo</v>
      </c>
      <c r="AD390" s="15">
        <v>20</v>
      </c>
      <c r="AF390" s="42">
        <v>1986</v>
      </c>
      <c r="AG390" s="42" t="str">
        <v xml:space="preserve">10 Jun 1986 - 12:00 </v>
      </c>
      <c r="AH390" s="42" t="str">
        <v>GROUP_STAGE</v>
      </c>
      <c r="AI390" s="42" t="str">
        <v>Estadio Olímpico Universitario</v>
      </c>
      <c r="AJ390" s="42" t="str">
        <v xml:space="preserve">Mexico City </v>
      </c>
      <c r="AK390" s="42" t="str">
        <v>Argentina</v>
      </c>
      <c r="AL390" s="42">
        <v>2</v>
      </c>
      <c r="AM390" s="42">
        <v>0</v>
      </c>
      <c r="AN390" s="42" t="str">
        <v>Bulgaria</v>
      </c>
      <c r="AO390" s="42" t="str">
        <v>-</v>
      </c>
    </row>
    <row r="391" spans="24:41">
      <c r="X391" s="15">
        <v>389</v>
      </c>
      <c r="Y391" s="15" t="str">
        <v>Mohamed Touré</v>
      </c>
      <c r="Z391" s="15">
        <v>22</v>
      </c>
      <c r="AA391" s="15" t="str">
        <v>Australia</v>
      </c>
      <c r="AB391" s="15" t="str">
        <v>ST</v>
      </c>
      <c r="AC391" s="15" t="str">
        <v>Norwich City</v>
      </c>
      <c r="AD391" s="15">
        <v>9</v>
      </c>
      <c r="AF391" s="42">
        <v>1986</v>
      </c>
      <c r="AG391" s="42" t="str">
        <v xml:space="preserve">11 Jun 1986 - 12:00 </v>
      </c>
      <c r="AH391" s="42" t="str">
        <v>GROUP_STAGE</v>
      </c>
      <c r="AI391" s="42" t="str">
        <v>Bombonera - Estadio Nemesio Diez</v>
      </c>
      <c r="AJ391" s="42" t="str">
        <v xml:space="preserve">Toluca </v>
      </c>
      <c r="AK391" s="42" t="str">
        <v>Paraguay</v>
      </c>
      <c r="AL391" s="42">
        <v>2</v>
      </c>
      <c r="AM391" s="42">
        <v>2</v>
      </c>
      <c r="AN391" s="42" t="str">
        <v>Belgium</v>
      </c>
      <c r="AO391" s="42" t="str">
        <v>-</v>
      </c>
    </row>
    <row r="392" spans="24:41">
      <c r="X392" s="15">
        <v>390</v>
      </c>
      <c r="Y392" s="15" t="str">
        <v>Tete Yengi</v>
      </c>
      <c r="Z392" s="15">
        <v>25</v>
      </c>
      <c r="AA392" s="15" t="str">
        <v>Australia</v>
      </c>
      <c r="AB392" s="15" t="str">
        <v>ST</v>
      </c>
      <c r="AC392" s="15" t="str">
        <v>Machida Zelvia</v>
      </c>
      <c r="AD392" s="15">
        <v>26</v>
      </c>
      <c r="AF392" s="42">
        <v>1986</v>
      </c>
      <c r="AG392" s="42" t="str">
        <v xml:space="preserve">11 Jun 1986 - 12:00 </v>
      </c>
      <c r="AH392" s="42" t="str">
        <v>GROUP_STAGE</v>
      </c>
      <c r="AI392" s="42" t="str">
        <v>Estadio Azteca</v>
      </c>
      <c r="AJ392" s="42" t="str">
        <v xml:space="preserve">Mexico City </v>
      </c>
      <c r="AK392" s="42" t="str">
        <v>Iraq</v>
      </c>
      <c r="AL392" s="42">
        <v>0</v>
      </c>
      <c r="AM392" s="42">
        <v>1</v>
      </c>
      <c r="AN392" s="42" t="str">
        <v>Mexico</v>
      </c>
      <c r="AO392" s="42" t="str">
        <v>-</v>
      </c>
    </row>
    <row r="393" spans="24:41">
      <c r="X393" s="15">
        <v>391</v>
      </c>
      <c r="Y393" s="15" t="str">
        <v>Matt Turner</v>
      </c>
      <c r="Z393" s="15">
        <v>31</v>
      </c>
      <c r="AA393" s="15" t="str">
        <v>United States</v>
      </c>
      <c r="AB393" s="15" t="str">
        <v>GK</v>
      </c>
      <c r="AC393" s="15" t="str">
        <v>New England Revolution</v>
      </c>
      <c r="AD393" s="15">
        <v>1</v>
      </c>
      <c r="AF393" s="42">
        <v>1986</v>
      </c>
      <c r="AG393" s="42" t="str">
        <v xml:space="preserve">11 Jun 1986 - 16:00 </v>
      </c>
      <c r="AH393" s="42" t="str">
        <v>GROUP_STAGE</v>
      </c>
      <c r="AI393" s="42" t="str">
        <v>Tres de Marzo</v>
      </c>
      <c r="AJ393" s="42" t="str">
        <v xml:space="preserve">Guadalajara </v>
      </c>
      <c r="AK393" s="42" t="str">
        <v>Portugal</v>
      </c>
      <c r="AL393" s="42">
        <v>1</v>
      </c>
      <c r="AM393" s="42">
        <v>3</v>
      </c>
      <c r="AN393" s="42" t="str">
        <v>Morocco</v>
      </c>
      <c r="AO393" s="42" t="str">
        <v>-</v>
      </c>
    </row>
    <row r="394" spans="24:41">
      <c r="X394" s="15">
        <v>392</v>
      </c>
      <c r="Y394" s="15" t="str">
        <v>Matt Freese</v>
      </c>
      <c r="Z394" s="15">
        <v>27</v>
      </c>
      <c r="AA394" s="15" t="str">
        <v>United States</v>
      </c>
      <c r="AB394" s="15" t="str">
        <v>GK</v>
      </c>
      <c r="AC394" s="15" t="str">
        <v>New York City FC</v>
      </c>
      <c r="AD394" s="15">
        <v>24</v>
      </c>
      <c r="AF394" s="42">
        <v>1986</v>
      </c>
      <c r="AG394" s="42" t="str">
        <v xml:space="preserve">11 Jun 1986 - 16:00 </v>
      </c>
      <c r="AH394" s="42" t="str">
        <v>GROUP_STAGE</v>
      </c>
      <c r="AI394" s="42" t="str">
        <v>Tecnologico</v>
      </c>
      <c r="AJ394" s="42" t="str">
        <v xml:space="preserve">Monterrey </v>
      </c>
      <c r="AK394" s="42" t="str">
        <v>England</v>
      </c>
      <c r="AL394" s="42">
        <v>3</v>
      </c>
      <c r="AM394" s="42">
        <v>0</v>
      </c>
      <c r="AN394" s="42" t="str">
        <v>Poland</v>
      </c>
      <c r="AO394" s="42" t="str">
        <v>-</v>
      </c>
    </row>
    <row r="395" spans="24:41">
      <c r="X395" s="15">
        <v>393</v>
      </c>
      <c r="Y395" s="15" t="str">
        <v>Chris Brady</v>
      </c>
      <c r="Z395" s="15">
        <v>22</v>
      </c>
      <c r="AA395" s="15" t="str">
        <v>United States</v>
      </c>
      <c r="AB395" s="15" t="str">
        <v>GK</v>
      </c>
      <c r="AC395" s="15" t="str">
        <v>Chicago Fire FC</v>
      </c>
      <c r="AD395" s="15">
        <v>25</v>
      </c>
      <c r="AF395" s="42">
        <v>1986</v>
      </c>
      <c r="AG395" s="42" t="str">
        <v xml:space="preserve">12 Jun 1986 - 12:00 </v>
      </c>
      <c r="AH395" s="42" t="str">
        <v>GROUP_STAGE</v>
      </c>
      <c r="AI395" s="42" t="str">
        <v>Jalisco</v>
      </c>
      <c r="AJ395" s="42" t="str">
        <v xml:space="preserve">Guadalajara </v>
      </c>
      <c r="AK395" s="42" t="str">
        <v>Northern Ireland</v>
      </c>
      <c r="AL395" s="42">
        <v>0</v>
      </c>
      <c r="AM395" s="42">
        <v>3</v>
      </c>
      <c r="AN395" s="42" t="str">
        <v>Brazil</v>
      </c>
      <c r="AO395" s="42" t="str">
        <v>-</v>
      </c>
    </row>
    <row r="396" spans="24:41">
      <c r="X396" s="15">
        <v>394</v>
      </c>
      <c r="Y396" s="15" t="str">
        <v>Chris Richards</v>
      </c>
      <c r="Z396" s="15">
        <v>26</v>
      </c>
      <c r="AA396" s="15" t="str">
        <v>United States</v>
      </c>
      <c r="AB396" s="15" t="str">
        <v>CB</v>
      </c>
      <c r="AC396" s="15" t="str">
        <v>Crystal Palace</v>
      </c>
      <c r="AD396" s="15">
        <v>3</v>
      </c>
      <c r="AF396" s="42">
        <v>1986</v>
      </c>
      <c r="AG396" s="42" t="str">
        <v xml:space="preserve">12 Jun 1986 - 12:00 </v>
      </c>
      <c r="AH396" s="42" t="str">
        <v>GROUP_STAGE</v>
      </c>
      <c r="AI396" s="42" t="str">
        <v>Tecnologico</v>
      </c>
      <c r="AJ396" s="42" t="str">
        <v xml:space="preserve">Monterrey </v>
      </c>
      <c r="AK396" s="42" t="str">
        <v>Algeria</v>
      </c>
      <c r="AL396" s="42">
        <v>0</v>
      </c>
      <c r="AM396" s="42">
        <v>3</v>
      </c>
      <c r="AN396" s="42" t="str">
        <v>Spain</v>
      </c>
      <c r="AO396" s="42" t="str">
        <v>-</v>
      </c>
    </row>
    <row r="397" spans="24:41">
      <c r="X397" s="15">
        <v>395</v>
      </c>
      <c r="Y397" s="15" t="str">
        <v>Auston Trusty</v>
      </c>
      <c r="Z397" s="15">
        <v>27</v>
      </c>
      <c r="AA397" s="15" t="str">
        <v>United States</v>
      </c>
      <c r="AB397" s="15" t="str">
        <v>CB</v>
      </c>
      <c r="AC397" s="15" t="str">
        <v>Celtic</v>
      </c>
      <c r="AD397" s="15">
        <v>6</v>
      </c>
      <c r="AF397" s="42">
        <v>1986</v>
      </c>
      <c r="AG397" s="42" t="str">
        <v xml:space="preserve">13 Jun 1986 - 12:00 </v>
      </c>
      <c r="AH397" s="42" t="str">
        <v>GROUP_STAGE</v>
      </c>
      <c r="AI397" s="42" t="str">
        <v>Neza</v>
      </c>
      <c r="AJ397" s="42" t="str">
        <v xml:space="preserve">Nezahualcoyotl </v>
      </c>
      <c r="AK397" s="42" t="str">
        <v>Scotland</v>
      </c>
      <c r="AL397" s="42">
        <v>0</v>
      </c>
      <c r="AM397" s="42">
        <v>0</v>
      </c>
      <c r="AN397" s="42" t="str">
        <v>Uruguay</v>
      </c>
      <c r="AO397" s="42" t="str">
        <v>-</v>
      </c>
    </row>
    <row r="398" spans="24:41">
      <c r="X398" s="15">
        <v>396</v>
      </c>
      <c r="Y398" s="15" t="str">
        <v>Miles Robinson</v>
      </c>
      <c r="Z398" s="15">
        <v>29</v>
      </c>
      <c r="AA398" s="15" t="str">
        <v>United States</v>
      </c>
      <c r="AB398" s="15" t="str">
        <v>CB</v>
      </c>
      <c r="AC398" s="15" t="str">
        <v>FC Cincinnati</v>
      </c>
      <c r="AD398" s="15">
        <v>12</v>
      </c>
      <c r="AF398" s="42">
        <v>1986</v>
      </c>
      <c r="AG398" s="42" t="str">
        <v xml:space="preserve">13 Jun 1986 - 12:00 </v>
      </c>
      <c r="AH398" s="42" t="str">
        <v>GROUP_STAGE</v>
      </c>
      <c r="AI398" s="42" t="str">
        <v>Estadio Corregidora</v>
      </c>
      <c r="AJ398" s="42" t="str">
        <v xml:space="preserve">Queretaro </v>
      </c>
      <c r="AK398" s="42" t="str">
        <v>Denmark</v>
      </c>
      <c r="AL398" s="42">
        <v>2</v>
      </c>
      <c r="AM398" s="42">
        <v>0</v>
      </c>
      <c r="AN398" s="42" t="str">
        <v>FR Germany</v>
      </c>
      <c r="AO398" s="42" t="str">
        <v>-</v>
      </c>
    </row>
    <row r="399" spans="24:41">
      <c r="X399" s="15">
        <v>397</v>
      </c>
      <c r="Y399" s="15" t="str">
        <v>Tim Ream</v>
      </c>
      <c r="Z399" s="15">
        <v>38</v>
      </c>
      <c r="AA399" s="15" t="str">
        <v>United States</v>
      </c>
      <c r="AB399" s="15" t="str">
        <v>CB</v>
      </c>
      <c r="AC399" s="15" t="str">
        <v>Charlotte FC</v>
      </c>
      <c r="AD399" s="15">
        <v>13</v>
      </c>
      <c r="AF399" s="42">
        <v>1986</v>
      </c>
      <c r="AG399" s="42" t="str">
        <v xml:space="preserve">15 Jun 1986 - 16:00 </v>
      </c>
      <c r="AH399" s="42" t="str">
        <v>ROUND_OF_16</v>
      </c>
      <c r="AI399" s="42" t="str">
        <v>Nou Camp - Estadio León</v>
      </c>
      <c r="AJ399" s="42" t="str">
        <v xml:space="preserve">Leon </v>
      </c>
      <c r="AK399" s="42" t="str">
        <v>Soviet Union</v>
      </c>
      <c r="AL399" s="42">
        <v>3</v>
      </c>
      <c r="AM399" s="42">
        <v>4</v>
      </c>
      <c r="AN399" s="42" t="str">
        <v>Belgium</v>
      </c>
      <c r="AO399" s="42" t="str">
        <v>Belgium win after extra time</v>
      </c>
    </row>
    <row r="400" spans="24:41">
      <c r="X400" s="15">
        <v>398</v>
      </c>
      <c r="Y400" s="15" t="str">
        <v>Mark McKenzie</v>
      </c>
      <c r="Z400" s="15">
        <v>27</v>
      </c>
      <c r="AA400" s="15" t="str">
        <v>United States</v>
      </c>
      <c r="AB400" s="15" t="str">
        <v>CB</v>
      </c>
      <c r="AC400" s="15" t="str">
        <v>Toulouse</v>
      </c>
      <c r="AD400" s="15">
        <v>22</v>
      </c>
      <c r="AF400" s="42">
        <v>1986</v>
      </c>
      <c r="AG400" s="42" t="str">
        <v xml:space="preserve">15 Jun 1986 - 12:00 </v>
      </c>
      <c r="AH400" s="42" t="str">
        <v>ROUND_OF_16</v>
      </c>
      <c r="AI400" s="42" t="str">
        <v>Estadio Azteca</v>
      </c>
      <c r="AJ400" s="42" t="str">
        <v xml:space="preserve">Mexico City </v>
      </c>
      <c r="AK400" s="42" t="str">
        <v>Mexico</v>
      </c>
      <c r="AL400" s="42">
        <v>2</v>
      </c>
      <c r="AM400" s="42">
        <v>0</v>
      </c>
      <c r="AN400" s="42" t="str">
        <v>Bulgaria</v>
      </c>
      <c r="AO400" s="42" t="str">
        <v>-</v>
      </c>
    </row>
    <row r="401" spans="24:41">
      <c r="X401" s="15">
        <v>399</v>
      </c>
      <c r="Y401" s="15" t="str">
        <v>Antonee Robinson</v>
      </c>
      <c r="Z401" s="15">
        <v>28</v>
      </c>
      <c r="AA401" s="15" t="str">
        <v>United States</v>
      </c>
      <c r="AB401" s="15" t="str">
        <v>LB</v>
      </c>
      <c r="AC401" s="15" t="str">
        <v>Fulham</v>
      </c>
      <c r="AD401" s="15">
        <v>5</v>
      </c>
      <c r="AF401" s="42">
        <v>1986</v>
      </c>
      <c r="AG401" s="42" t="str">
        <v xml:space="preserve">16 Jun 1986 - 16:00 </v>
      </c>
      <c r="AH401" s="42" t="str">
        <v>ROUND_OF_16</v>
      </c>
      <c r="AI401" s="42" t="str">
        <v>Cuauhtemoc</v>
      </c>
      <c r="AJ401" s="42" t="str">
        <v xml:space="preserve">Puebla </v>
      </c>
      <c r="AK401" s="42" t="str">
        <v>Argentina</v>
      </c>
      <c r="AL401" s="42">
        <v>1</v>
      </c>
      <c r="AM401" s="42">
        <v>0</v>
      </c>
      <c r="AN401" s="42" t="str">
        <v>Uruguay</v>
      </c>
      <c r="AO401" s="42" t="str">
        <v>-</v>
      </c>
    </row>
    <row r="402" spans="24:41">
      <c r="X402" s="15">
        <v>400</v>
      </c>
      <c r="Y402" s="15" t="str">
        <v>Max Arfsten</v>
      </c>
      <c r="Z402" s="15">
        <v>25</v>
      </c>
      <c r="AA402" s="15" t="str">
        <v>United States</v>
      </c>
      <c r="AB402" s="15" t="str">
        <v>LB</v>
      </c>
      <c r="AC402" s="15" t="str">
        <v>Columbus Crew</v>
      </c>
      <c r="AD402" s="15">
        <v>18</v>
      </c>
      <c r="AF402" s="42">
        <v>1986</v>
      </c>
      <c r="AG402" s="42" t="str">
        <v xml:space="preserve">16 Jun 1986 - 12:00 </v>
      </c>
      <c r="AH402" s="42" t="str">
        <v>ROUND_OF_16</v>
      </c>
      <c r="AI402" s="42" t="str">
        <v>Jalisco</v>
      </c>
      <c r="AJ402" s="42" t="str">
        <v xml:space="preserve">Guadalajara </v>
      </c>
      <c r="AK402" s="42" t="str">
        <v>Brazil</v>
      </c>
      <c r="AL402" s="42">
        <v>4</v>
      </c>
      <c r="AM402" s="42">
        <v>0</v>
      </c>
      <c r="AN402" s="42" t="str">
        <v>Poland</v>
      </c>
      <c r="AO402" s="42" t="str">
        <v>-</v>
      </c>
    </row>
    <row r="403" spans="24:41">
      <c r="X403" s="15">
        <v>401</v>
      </c>
      <c r="Y403" s="15" t="str">
        <v>Sergiño Dest</v>
      </c>
      <c r="Z403" s="15">
        <v>25</v>
      </c>
      <c r="AA403" s="15" t="str">
        <v>United States</v>
      </c>
      <c r="AB403" s="15" t="str">
        <v>RB</v>
      </c>
      <c r="AC403" s="15" t="str">
        <v>PSV Eindhoven</v>
      </c>
      <c r="AD403" s="15">
        <v>2</v>
      </c>
      <c r="AF403" s="42">
        <v>1986</v>
      </c>
      <c r="AG403" s="42" t="str">
        <v xml:space="preserve">17 Jun 1986 - 12:00 </v>
      </c>
      <c r="AH403" s="42" t="str">
        <v>ROUND_OF_16</v>
      </c>
      <c r="AI403" s="42" t="str">
        <v>Estadio Olímpico Universitario</v>
      </c>
      <c r="AJ403" s="42" t="str">
        <v xml:space="preserve">Mexico City </v>
      </c>
      <c r="AK403" s="42" t="str">
        <v>Italy</v>
      </c>
      <c r="AL403" s="42">
        <v>0</v>
      </c>
      <c r="AM403" s="42">
        <v>2</v>
      </c>
      <c r="AN403" s="42" t="str">
        <v>France</v>
      </c>
      <c r="AO403" s="42" t="str">
        <v>-</v>
      </c>
    </row>
    <row r="404" spans="24:41">
      <c r="X404" s="15">
        <v>402</v>
      </c>
      <c r="Y404" s="15" t="str">
        <v>Alex Freeman</v>
      </c>
      <c r="Z404" s="15">
        <v>21</v>
      </c>
      <c r="AA404" s="15" t="str">
        <v>United States</v>
      </c>
      <c r="AB404" s="15" t="str">
        <v>RB</v>
      </c>
      <c r="AC404" s="15" t="str">
        <v>Villarreal</v>
      </c>
      <c r="AD404" s="15">
        <v>16</v>
      </c>
      <c r="AF404" s="42">
        <v>1986</v>
      </c>
      <c r="AG404" s="42" t="str">
        <v xml:space="preserve">17 Jun 1986 - 16:00 </v>
      </c>
      <c r="AH404" s="42" t="str">
        <v>ROUND_OF_16</v>
      </c>
      <c r="AI404" s="42" t="str">
        <v>Estadio Universitario</v>
      </c>
      <c r="AJ404" s="42" t="str">
        <v xml:space="preserve">Monterrey </v>
      </c>
      <c r="AK404" s="42" t="str">
        <v>Morocco</v>
      </c>
      <c r="AL404" s="42">
        <v>0</v>
      </c>
      <c r="AM404" s="42">
        <v>1</v>
      </c>
      <c r="AN404" s="42" t="str">
        <v>FR Germany</v>
      </c>
      <c r="AO404" s="42" t="str">
        <v>-</v>
      </c>
    </row>
    <row r="405" spans="24:41">
      <c r="X405" s="15">
        <v>403</v>
      </c>
      <c r="Y405" s="15" t="str">
        <v>Joe Scally</v>
      </c>
      <c r="Z405" s="15">
        <v>23</v>
      </c>
      <c r="AA405" s="15" t="str">
        <v>United States</v>
      </c>
      <c r="AB405" s="15" t="str">
        <v>RB</v>
      </c>
      <c r="AC405" s="15" t="str">
        <v>Borussia Mönchengladbach</v>
      </c>
      <c r="AD405" s="15">
        <v>23</v>
      </c>
      <c r="AF405" s="42">
        <v>1986</v>
      </c>
      <c r="AG405" s="42" t="str">
        <v xml:space="preserve">18 Jun 1986 - 12:00 </v>
      </c>
      <c r="AH405" s="42" t="str">
        <v>ROUND_OF_16</v>
      </c>
      <c r="AI405" s="42" t="str">
        <v>Estadio Azteca</v>
      </c>
      <c r="AJ405" s="42" t="str">
        <v xml:space="preserve">Mexico City </v>
      </c>
      <c r="AK405" s="42" t="str">
        <v>England</v>
      </c>
      <c r="AL405" s="42">
        <v>3</v>
      </c>
      <c r="AM405" s="42">
        <v>0</v>
      </c>
      <c r="AN405" s="42" t="str">
        <v>Paraguay</v>
      </c>
      <c r="AO405" s="42" t="str">
        <v>-</v>
      </c>
    </row>
    <row r="406" spans="24:41">
      <c r="X406" s="15">
        <v>404</v>
      </c>
      <c r="Y406" s="15" t="str">
        <v>Tyler Adams</v>
      </c>
      <c r="Z406" s="15">
        <v>27</v>
      </c>
      <c r="AA406" s="15" t="str">
        <v>United States</v>
      </c>
      <c r="AB406" s="15" t="str">
        <v>CDM</v>
      </c>
      <c r="AC406" s="15" t="str">
        <v>Bournemouth</v>
      </c>
      <c r="AD406" s="15">
        <v>4</v>
      </c>
      <c r="AF406" s="42">
        <v>1986</v>
      </c>
      <c r="AG406" s="42" t="str">
        <v xml:space="preserve">18 Jun 1986 - 16:00 </v>
      </c>
      <c r="AH406" s="42" t="str">
        <v>ROUND_OF_16</v>
      </c>
      <c r="AI406" s="42" t="str">
        <v>Estadio Corregidora</v>
      </c>
      <c r="AJ406" s="42" t="str">
        <v xml:space="preserve">Queretaro </v>
      </c>
      <c r="AK406" s="42" t="str">
        <v>Denmark</v>
      </c>
      <c r="AL406" s="42">
        <v>1</v>
      </c>
      <c r="AM406" s="42">
        <v>5</v>
      </c>
      <c r="AN406" s="42" t="str">
        <v>Spain</v>
      </c>
      <c r="AO406" s="42" t="str">
        <v>-</v>
      </c>
    </row>
    <row r="407" spans="24:41">
      <c r="X407" s="15">
        <v>405</v>
      </c>
      <c r="Y407" s="15" t="str">
        <v>Sebastian Berhalter</v>
      </c>
      <c r="Z407" s="15">
        <v>25</v>
      </c>
      <c r="AA407" s="15" t="str">
        <v>United States</v>
      </c>
      <c r="AB407" s="15" t="str">
        <v>CDM</v>
      </c>
      <c r="AC407" s="15" t="str">
        <v>Vancouver Whitecaps FC</v>
      </c>
      <c r="AD407" s="15">
        <v>14</v>
      </c>
      <c r="AF407" s="42">
        <v>1986</v>
      </c>
      <c r="AG407" s="42" t="str">
        <v xml:space="preserve">21 Jun 1986 - 12:00 </v>
      </c>
      <c r="AH407" s="42" t="str">
        <v>QUARTER_FINALS</v>
      </c>
      <c r="AI407" s="42" t="str">
        <v>Jalisco</v>
      </c>
      <c r="AJ407" s="42" t="str">
        <v xml:space="preserve">Guadalajara </v>
      </c>
      <c r="AK407" s="42" t="str">
        <v>Brazil</v>
      </c>
      <c r="AL407" s="42">
        <v>1</v>
      </c>
      <c r="AM407" s="42">
        <v>1</v>
      </c>
      <c r="AN407" s="42" t="str">
        <v>France</v>
      </c>
      <c r="AO407" s="42" t="str">
        <v>France win on penalties (3 - 4)</v>
      </c>
    </row>
    <row r="408" spans="24:41">
      <c r="X408" s="15">
        <v>406</v>
      </c>
      <c r="Y408" s="15" t="str">
        <v>Weston McKennie</v>
      </c>
      <c r="Z408" s="15">
        <v>27</v>
      </c>
      <c r="AA408" s="15" t="str">
        <v>United States</v>
      </c>
      <c r="AB408" s="15" t="str">
        <v>CM</v>
      </c>
      <c r="AC408" s="15" t="str">
        <v>Juventus</v>
      </c>
      <c r="AD408" s="15">
        <v>8</v>
      </c>
      <c r="AF408" s="42">
        <v>1986</v>
      </c>
      <c r="AG408" s="42" t="str">
        <v xml:space="preserve">21 Jun 1986 - 16:00 </v>
      </c>
      <c r="AH408" s="42" t="str">
        <v>QUARTER_FINALS</v>
      </c>
      <c r="AI408" s="42" t="str">
        <v>Estadio Universitario</v>
      </c>
      <c r="AJ408" s="42" t="str">
        <v xml:space="preserve">Monterrey </v>
      </c>
      <c r="AK408" s="42" t="str">
        <v>FR Germany</v>
      </c>
      <c r="AL408" s="42">
        <v>0</v>
      </c>
      <c r="AM408" s="42">
        <v>0</v>
      </c>
      <c r="AN408" s="42" t="str">
        <v>Mexico</v>
      </c>
      <c r="AO408" s="42" t="str">
        <v>FR Germany win on penalties (4 - 1)</v>
      </c>
    </row>
    <row r="409" spans="24:41">
      <c r="X409" s="15">
        <v>407</v>
      </c>
      <c r="Y409" s="15" t="str">
        <v>Cristian Roldan</v>
      </c>
      <c r="Z409" s="15">
        <v>31</v>
      </c>
      <c r="AA409" s="15" t="str">
        <v>United States</v>
      </c>
      <c r="AB409" s="15" t="str">
        <v>CM</v>
      </c>
      <c r="AC409" s="15" t="str">
        <v>Seattle Sounders FC</v>
      </c>
      <c r="AD409" s="15">
        <v>15</v>
      </c>
      <c r="AF409" s="42">
        <v>1986</v>
      </c>
      <c r="AG409" s="42" t="str">
        <v xml:space="preserve">22 Jun 1986 - 16:00 </v>
      </c>
      <c r="AH409" s="42" t="str">
        <v>QUARTER_FINALS</v>
      </c>
      <c r="AI409" s="42" t="str">
        <v>Cuauhtemoc</v>
      </c>
      <c r="AJ409" s="42" t="str">
        <v xml:space="preserve">Puebla </v>
      </c>
      <c r="AK409" s="42" t="str">
        <v>Spain</v>
      </c>
      <c r="AL409" s="42">
        <v>1</v>
      </c>
      <c r="AM409" s="42">
        <v>1</v>
      </c>
      <c r="AN409" s="42" t="str">
        <v>Belgium</v>
      </c>
      <c r="AO409" s="42" t="str">
        <v>Belgium win on penalties (4 - 5)</v>
      </c>
    </row>
    <row r="410" spans="24:41">
      <c r="X410" s="15">
        <v>408</v>
      </c>
      <c r="Y410" s="15" t="str">
        <v>Giovanni Reyna</v>
      </c>
      <c r="Z410" s="15">
        <v>23</v>
      </c>
      <c r="AA410" s="15" t="str">
        <v>United States</v>
      </c>
      <c r="AB410" s="15" t="str">
        <v>CAM</v>
      </c>
      <c r="AC410" s="15" t="str">
        <v>Borussia Mönchengladbach</v>
      </c>
      <c r="AD410" s="15">
        <v>7</v>
      </c>
      <c r="AF410" s="42">
        <v>1986</v>
      </c>
      <c r="AG410" s="42" t="str">
        <v xml:space="preserve">22 Jun 1986 - 12:00 </v>
      </c>
      <c r="AH410" s="42" t="str">
        <v>QUARTER_FINALS</v>
      </c>
      <c r="AI410" s="42" t="str">
        <v>Estadio Azteca</v>
      </c>
      <c r="AJ410" s="42" t="str">
        <v xml:space="preserve">Mexico City </v>
      </c>
      <c r="AK410" s="42" t="str">
        <v>Argentina</v>
      </c>
      <c r="AL410" s="42">
        <v>2</v>
      </c>
      <c r="AM410" s="42">
        <v>1</v>
      </c>
      <c r="AN410" s="42" t="str">
        <v>England</v>
      </c>
      <c r="AO410" s="42" t="str">
        <v>-</v>
      </c>
    </row>
    <row r="411" spans="24:41">
      <c r="X411" s="15">
        <v>409</v>
      </c>
      <c r="Y411" s="15" t="str">
        <v>Malik Tillman</v>
      </c>
      <c r="Z411" s="15">
        <v>24</v>
      </c>
      <c r="AA411" s="15" t="str">
        <v>United States</v>
      </c>
      <c r="AB411" s="15" t="str">
        <v>CAM</v>
      </c>
      <c r="AC411" s="15" t="str">
        <v>Bayer Leverkusen</v>
      </c>
      <c r="AD411" s="15">
        <v>17</v>
      </c>
      <c r="AF411" s="42">
        <v>1986</v>
      </c>
      <c r="AG411" s="42" t="str">
        <v xml:space="preserve">25 Jun 1986 - 12:00 </v>
      </c>
      <c r="AH411" s="42" t="str">
        <v>SEMI_FINALS</v>
      </c>
      <c r="AI411" s="42" t="str">
        <v>Jalisco</v>
      </c>
      <c r="AJ411" s="42" t="str">
        <v xml:space="preserve">Guadalajara </v>
      </c>
      <c r="AK411" s="42" t="str">
        <v>France</v>
      </c>
      <c r="AL411" s="42">
        <v>0</v>
      </c>
      <c r="AM411" s="42">
        <v>2</v>
      </c>
      <c r="AN411" s="42" t="str">
        <v>FR Germany</v>
      </c>
      <c r="AO411" s="42" t="str">
        <v>-</v>
      </c>
    </row>
    <row r="412" spans="24:41">
      <c r="X412" s="15">
        <v>410</v>
      </c>
      <c r="Y412" s="15" t="str">
        <v>Christian Pulisic</v>
      </c>
      <c r="Z412" s="15">
        <v>27</v>
      </c>
      <c r="AA412" s="15" t="str">
        <v>United States</v>
      </c>
      <c r="AB412" s="15" t="str">
        <v>LW</v>
      </c>
      <c r="AC412" s="15" t="str">
        <v>AC Milan</v>
      </c>
      <c r="AD412" s="15">
        <v>10</v>
      </c>
      <c r="AF412" s="42">
        <v>1986</v>
      </c>
      <c r="AG412" s="42" t="str">
        <v xml:space="preserve">25 Jun 1986 - 16:00 </v>
      </c>
      <c r="AH412" s="42" t="str">
        <v>SEMI_FINALS</v>
      </c>
      <c r="AI412" s="42" t="str">
        <v>Estadio Azteca</v>
      </c>
      <c r="AJ412" s="42" t="str">
        <v xml:space="preserve">Mexico City </v>
      </c>
      <c r="AK412" s="42" t="str">
        <v>Argentina</v>
      </c>
      <c r="AL412" s="42">
        <v>2</v>
      </c>
      <c r="AM412" s="42">
        <v>0</v>
      </c>
      <c r="AN412" s="42" t="str">
        <v>Belgium</v>
      </c>
      <c r="AO412" s="42" t="str">
        <v>-</v>
      </c>
    </row>
    <row r="413" spans="24:41">
      <c r="X413" s="15">
        <v>411</v>
      </c>
      <c r="Y413" s="15" t="str">
        <v>Brenden Aaronson</v>
      </c>
      <c r="Z413" s="15">
        <v>25</v>
      </c>
      <c r="AA413" s="15" t="str">
        <v>United States</v>
      </c>
      <c r="AB413" s="15" t="str">
        <v>LW</v>
      </c>
      <c r="AC413" s="15" t="str">
        <v>Leeds United</v>
      </c>
      <c r="AD413" s="15">
        <v>11</v>
      </c>
      <c r="AF413" s="42">
        <v>1986</v>
      </c>
      <c r="AG413" s="42" t="str">
        <v xml:space="preserve">28 Jun 1986 - 12:00 </v>
      </c>
      <c r="AH413" s="42" t="str">
        <v>THIRD_PLACE</v>
      </c>
      <c r="AI413" s="42" t="str">
        <v>Cuauhtemoc</v>
      </c>
      <c r="AJ413" s="42" t="str">
        <v xml:space="preserve">Puebla </v>
      </c>
      <c r="AK413" s="42" t="str">
        <v>France</v>
      </c>
      <c r="AL413" s="42">
        <v>4</v>
      </c>
      <c r="AM413" s="42">
        <v>2</v>
      </c>
      <c r="AN413" s="42" t="str">
        <v>Belgium</v>
      </c>
      <c r="AO413" s="42" t="str">
        <v>France win after extra time</v>
      </c>
    </row>
    <row r="414" spans="24:41">
      <c r="X414" s="15">
        <v>412</v>
      </c>
      <c r="Y414" s="15" t="str">
        <v>Haji Wright</v>
      </c>
      <c r="Z414" s="15">
        <v>28</v>
      </c>
      <c r="AA414" s="15" t="str">
        <v>United States</v>
      </c>
      <c r="AB414" s="15" t="str">
        <v>LW</v>
      </c>
      <c r="AC414" s="15" t="str">
        <v>Coventry City</v>
      </c>
      <c r="AD414" s="15">
        <v>19</v>
      </c>
      <c r="AF414" s="42">
        <v>1986</v>
      </c>
      <c r="AG414" s="42" t="str">
        <v xml:space="preserve">29 Jun 1986 - 12:00 </v>
      </c>
      <c r="AH414" s="42" t="str">
        <v>FINAL</v>
      </c>
      <c r="AI414" s="42" t="str">
        <v>Estadio Azteca</v>
      </c>
      <c r="AJ414" s="42" t="str">
        <v xml:space="preserve">Mexico City </v>
      </c>
      <c r="AK414" s="42" t="str">
        <v>Argentina</v>
      </c>
      <c r="AL414" s="42">
        <v>3</v>
      </c>
      <c r="AM414" s="42">
        <v>2</v>
      </c>
      <c r="AN414" s="42" t="str">
        <v>FR Germany</v>
      </c>
      <c r="AO414" s="42" t="str">
        <v>-</v>
      </c>
    </row>
    <row r="415" spans="24:41">
      <c r="X415" s="15">
        <v>413</v>
      </c>
      <c r="Y415" s="15" t="str">
        <v>Timothy Weah</v>
      </c>
      <c r="Z415" s="15">
        <v>26</v>
      </c>
      <c r="AA415" s="15" t="str">
        <v>United States</v>
      </c>
      <c r="AB415" s="15" t="str">
        <v>RW</v>
      </c>
      <c r="AC415" s="15" t="str">
        <v>Marseille</v>
      </c>
      <c r="AD415" s="15">
        <v>21</v>
      </c>
      <c r="AF415" s="42">
        <v>1990</v>
      </c>
      <c r="AG415" s="42" t="str">
        <v xml:space="preserve">08 Jun 1990 - 18:00 </v>
      </c>
      <c r="AH415" s="42" t="str">
        <v>GROUP_STAGE</v>
      </c>
      <c r="AI415" s="42" t="str">
        <v>Giuseppe Meazza</v>
      </c>
      <c r="AJ415" s="42" t="str">
        <v xml:space="preserve">Milan </v>
      </c>
      <c r="AK415" s="42" t="str">
        <v>Argentina</v>
      </c>
      <c r="AL415" s="42">
        <v>0</v>
      </c>
      <c r="AM415" s="42">
        <v>1</v>
      </c>
      <c r="AN415" s="42" t="str">
        <v>Cameroon</v>
      </c>
      <c r="AO415" s="42" t="str">
        <v>-</v>
      </c>
    </row>
    <row r="416" spans="24:41">
      <c r="X416" s="15">
        <v>414</v>
      </c>
      <c r="Y416" s="15" t="str">
        <v>Alejandro Zendejas</v>
      </c>
      <c r="Z416" s="15">
        <v>28</v>
      </c>
      <c r="AA416" s="15" t="str">
        <v>United States</v>
      </c>
      <c r="AB416" s="15" t="str">
        <v>RW</v>
      </c>
      <c r="AC416" s="15" t="str">
        <v>América</v>
      </c>
      <c r="AD416" s="15">
        <v>26</v>
      </c>
      <c r="AF416" s="42">
        <v>1990</v>
      </c>
      <c r="AG416" s="42" t="str">
        <v xml:space="preserve">09 Jun 1990 - 17:00 </v>
      </c>
      <c r="AH416" s="42" t="str">
        <v>GROUP_STAGE</v>
      </c>
      <c r="AI416" s="42" t="str">
        <v>Stadio San Nicola</v>
      </c>
      <c r="AJ416" s="42" t="str">
        <v xml:space="preserve">Bari </v>
      </c>
      <c r="AK416" s="42" t="str">
        <v>Soviet Union</v>
      </c>
      <c r="AL416" s="42">
        <v>0</v>
      </c>
      <c r="AM416" s="42">
        <v>2</v>
      </c>
      <c r="AN416" s="42" t="str">
        <v>Romania</v>
      </c>
      <c r="AO416" s="42" t="str">
        <v>-</v>
      </c>
    </row>
    <row r="417" spans="24:41">
      <c r="X417" s="15">
        <v>415</v>
      </c>
      <c r="Y417" s="15" t="str">
        <v>Ricardo Pepi</v>
      </c>
      <c r="Z417" s="15">
        <v>23</v>
      </c>
      <c r="AA417" s="15" t="str">
        <v>United States</v>
      </c>
      <c r="AB417" s="15" t="str">
        <v>ST</v>
      </c>
      <c r="AC417" s="15" t="str">
        <v>PSV Eindhoven</v>
      </c>
      <c r="AD417" s="15">
        <v>9</v>
      </c>
      <c r="AF417" s="42">
        <v>1990</v>
      </c>
      <c r="AG417" s="42" t="str">
        <v xml:space="preserve">09 Jun 1990 - 17:00 </v>
      </c>
      <c r="AH417" s="42" t="str">
        <v>GROUP_STAGE</v>
      </c>
      <c r="AI417" s="42" t="str">
        <v>Renato Dall Ara</v>
      </c>
      <c r="AJ417" s="42" t="str">
        <v xml:space="preserve">Bologna </v>
      </c>
      <c r="AK417" s="42" t="str">
        <v>United Arab Emirates</v>
      </c>
      <c r="AL417" s="42">
        <v>0</v>
      </c>
      <c r="AM417" s="42">
        <v>2</v>
      </c>
      <c r="AN417" s="42" t="str">
        <v>Colombia</v>
      </c>
      <c r="AO417" s="42" t="str">
        <v>-</v>
      </c>
    </row>
    <row r="418" spans="24:41">
      <c r="X418" s="15">
        <v>416</v>
      </c>
      <c r="Y418" s="15" t="str">
        <v>Folarin Balogun</v>
      </c>
      <c r="Z418" s="15">
        <v>24</v>
      </c>
      <c r="AA418" s="15" t="str">
        <v>United States</v>
      </c>
      <c r="AB418" s="15" t="str">
        <v>ST</v>
      </c>
      <c r="AC418" s="15" t="str">
        <v>Monaco</v>
      </c>
      <c r="AD418" s="15">
        <v>20</v>
      </c>
      <c r="AF418" s="42">
        <v>1990</v>
      </c>
      <c r="AG418" s="42" t="str">
        <v xml:space="preserve">09 Jun 1990 - 21:00 </v>
      </c>
      <c r="AH418" s="42" t="str">
        <v>GROUP_STAGE</v>
      </c>
      <c r="AI418" s="42" t="str">
        <v>Stadio Olimpico</v>
      </c>
      <c r="AJ418" s="42" t="str">
        <v xml:space="preserve">Rome </v>
      </c>
      <c r="AK418" s="42" t="str">
        <v>Italy</v>
      </c>
      <c r="AL418" s="42">
        <v>1</v>
      </c>
      <c r="AM418" s="42">
        <v>0</v>
      </c>
      <c r="AN418" s="42" t="str">
        <v>Austria</v>
      </c>
      <c r="AO418" s="42" t="str">
        <v>-</v>
      </c>
    </row>
    <row r="419" spans="24:41">
      <c r="X419" s="15">
        <v>417</v>
      </c>
      <c r="Y419" s="15" t="str">
        <v>Eloy Room</v>
      </c>
      <c r="Z419" s="15">
        <v>37</v>
      </c>
      <c r="AA419" s="15" t="str">
        <v>Curaçao</v>
      </c>
      <c r="AB419" s="15" t="str">
        <v>GK</v>
      </c>
      <c r="AC419" s="15" t="str">
        <v>Miami FC</v>
      </c>
      <c r="AD419" s="15">
        <v>1</v>
      </c>
      <c r="AF419" s="42">
        <v>1990</v>
      </c>
      <c r="AG419" s="42" t="str">
        <v xml:space="preserve">10 Jun 1990 - 17:00 </v>
      </c>
      <c r="AH419" s="42" t="str">
        <v>GROUP_STAGE</v>
      </c>
      <c r="AI419" s="42" t="str">
        <v>Comunale</v>
      </c>
      <c r="AJ419" s="42" t="str">
        <v xml:space="preserve">Florence </v>
      </c>
      <c r="AK419" s="42" t="str">
        <v>United States</v>
      </c>
      <c r="AL419" s="42">
        <v>1</v>
      </c>
      <c r="AM419" s="42">
        <v>5</v>
      </c>
      <c r="AN419" s="42" t="str">
        <v>Czechoslovakia</v>
      </c>
      <c r="AO419" s="42" t="str">
        <v>-</v>
      </c>
    </row>
    <row r="420" spans="24:41">
      <c r="X420" s="15">
        <v>418</v>
      </c>
      <c r="Y420" s="15" t="str">
        <v>Tyrick Bodak</v>
      </c>
      <c r="Z420" s="15">
        <v>24</v>
      </c>
      <c r="AA420" s="15" t="str">
        <v>Curaçao</v>
      </c>
      <c r="AB420" s="15" t="str">
        <v>GK</v>
      </c>
      <c r="AC420" s="15" t="str">
        <v>Telstar</v>
      </c>
      <c r="AD420" s="15">
        <v>25</v>
      </c>
      <c r="AF420" s="42">
        <v>1990</v>
      </c>
      <c r="AG420" s="42" t="str">
        <v xml:space="preserve">10 Jun 1990 - 21:00 </v>
      </c>
      <c r="AH420" s="42" t="str">
        <v>GROUP_STAGE</v>
      </c>
      <c r="AI420" s="42" t="str">
        <v>Stadio delle Alpi</v>
      </c>
      <c r="AJ420" s="42" t="str">
        <v xml:space="preserve">Turin </v>
      </c>
      <c r="AK420" s="42" t="str">
        <v>Brazil</v>
      </c>
      <c r="AL420" s="42">
        <v>2</v>
      </c>
      <c r="AM420" s="42">
        <v>1</v>
      </c>
      <c r="AN420" s="42" t="str">
        <v>Sweden</v>
      </c>
      <c r="AO420" s="42" t="str">
        <v>-</v>
      </c>
    </row>
    <row r="421" spans="24:41">
      <c r="X421" s="15">
        <v>419</v>
      </c>
      <c r="Y421" s="15" t="str">
        <v>Trevor Doornbusch</v>
      </c>
      <c r="Z421" s="15">
        <v>26</v>
      </c>
      <c r="AA421" s="15" t="str">
        <v>Curaçao</v>
      </c>
      <c r="AB421" s="15" t="str">
        <v>GK</v>
      </c>
      <c r="AC421" s="15" t="str">
        <v>VVV-Venlo</v>
      </c>
      <c r="AD421" s="15">
        <v>26</v>
      </c>
      <c r="AF421" s="42">
        <v>1990</v>
      </c>
      <c r="AG421" s="42" t="str">
        <v xml:space="preserve">10 Jun 1990 - 21:00 </v>
      </c>
      <c r="AH421" s="42" t="str">
        <v>GROUP_STAGE</v>
      </c>
      <c r="AI421" s="42" t="str">
        <v>Giuseppe Meazza</v>
      </c>
      <c r="AJ421" s="42" t="str">
        <v xml:space="preserve">Milan </v>
      </c>
      <c r="AK421" s="42" t="str">
        <v>FR Germany</v>
      </c>
      <c r="AL421" s="42">
        <v>4</v>
      </c>
      <c r="AM421" s="42">
        <v>1</v>
      </c>
      <c r="AN421" s="42" t="str">
        <v>Yugoslavia</v>
      </c>
      <c r="AO421" s="42" t="str">
        <v>-</v>
      </c>
    </row>
    <row r="422" spans="24:41">
      <c r="X422" s="15">
        <v>420</v>
      </c>
      <c r="Y422" s="15" t="str">
        <v>Juriën Gaari</v>
      </c>
      <c r="Z422" s="15">
        <v>32</v>
      </c>
      <c r="AA422" s="15" t="str">
        <v>Curaçao</v>
      </c>
      <c r="AB422" s="15" t="str">
        <v>CB</v>
      </c>
      <c r="AC422" s="15" t="str">
        <v>Abha</v>
      </c>
      <c r="AD422" s="15">
        <v>3</v>
      </c>
      <c r="AF422" s="42">
        <v>1990</v>
      </c>
      <c r="AG422" s="42" t="str">
        <v xml:space="preserve">11 Jun 1990 - 17:00 </v>
      </c>
      <c r="AH422" s="42" t="str">
        <v>GROUP_STAGE</v>
      </c>
      <c r="AI422" s="42" t="str">
        <v>Luigi Ferraris</v>
      </c>
      <c r="AJ422" s="42" t="str">
        <v xml:space="preserve">Genoa </v>
      </c>
      <c r="AK422" s="42" t="str">
        <v>Costa Rica</v>
      </c>
      <c r="AL422" s="42">
        <v>1</v>
      </c>
      <c r="AM422" s="42">
        <v>0</v>
      </c>
      <c r="AN422" s="42" t="str">
        <v>Scotland</v>
      </c>
      <c r="AO422" s="42" t="str">
        <v>-</v>
      </c>
    </row>
    <row r="423" spans="24:41">
      <c r="X423" s="15">
        <v>421</v>
      </c>
      <c r="Y423" s="15" t="str">
        <v>Roshon van Eijma</v>
      </c>
      <c r="Z423" s="15">
        <v>28</v>
      </c>
      <c r="AA423" s="15" t="str">
        <v>Curaçao</v>
      </c>
      <c r="AB423" s="15" t="str">
        <v>CB</v>
      </c>
      <c r="AC423" s="15" t="str">
        <v>RKC Waalwijk</v>
      </c>
      <c r="AD423" s="15">
        <v>4</v>
      </c>
      <c r="AF423" s="42">
        <v>1990</v>
      </c>
      <c r="AG423" s="42" t="str">
        <v xml:space="preserve">11 Jun 1990 - 21:00 </v>
      </c>
      <c r="AH423" s="42" t="str">
        <v>GROUP_STAGE</v>
      </c>
      <c r="AI423" s="42" t="str">
        <v>Sant Elia</v>
      </c>
      <c r="AJ423" s="42" t="str">
        <v xml:space="preserve">Cagliari </v>
      </c>
      <c r="AK423" s="42" t="str">
        <v>England</v>
      </c>
      <c r="AL423" s="42">
        <v>1</v>
      </c>
      <c r="AM423" s="42">
        <v>1</v>
      </c>
      <c r="AN423" s="42" t="str">
        <v>Ireland</v>
      </c>
      <c r="AO423" s="42" t="str">
        <v>-</v>
      </c>
    </row>
    <row r="424" spans="24:41">
      <c r="X424" s="15">
        <v>422</v>
      </c>
      <c r="Y424" s="15" t="str">
        <v>Armando Obispo</v>
      </c>
      <c r="Z424" s="15">
        <v>27</v>
      </c>
      <c r="AA424" s="15" t="str">
        <v>Curaçao</v>
      </c>
      <c r="AB424" s="15" t="str">
        <v>CB</v>
      </c>
      <c r="AC424" s="15" t="str">
        <v>PSV Eindhoven</v>
      </c>
      <c r="AD424" s="15">
        <v>18</v>
      </c>
      <c r="AF424" s="42">
        <v>1990</v>
      </c>
      <c r="AG424" s="42" t="str">
        <v xml:space="preserve">12 Jun 1990 - 17:00 </v>
      </c>
      <c r="AH424" s="42" t="str">
        <v>GROUP_STAGE</v>
      </c>
      <c r="AI424" s="42" t="str">
        <v>Marc Antonio Bentegodi</v>
      </c>
      <c r="AJ424" s="42" t="str">
        <v xml:space="preserve">Verona </v>
      </c>
      <c r="AK424" s="42" t="str">
        <v>Belgium</v>
      </c>
      <c r="AL424" s="42">
        <v>2</v>
      </c>
      <c r="AM424" s="42">
        <v>0</v>
      </c>
      <c r="AN424" s="42" t="str">
        <v>South Korea</v>
      </c>
      <c r="AO424" s="42" t="str">
        <v>-</v>
      </c>
    </row>
    <row r="425" spans="24:41">
      <c r="X425" s="15">
        <v>423</v>
      </c>
      <c r="Y425" s="15" t="str">
        <v>Riechedly Bazoer</v>
      </c>
      <c r="Z425" s="15">
        <v>29</v>
      </c>
      <c r="AA425" s="15" t="str">
        <v>Curaçao</v>
      </c>
      <c r="AB425" s="15" t="str">
        <v>CB</v>
      </c>
      <c r="AC425" s="15" t="str">
        <v>Konyaspor</v>
      </c>
      <c r="AD425" s="15">
        <v>23</v>
      </c>
      <c r="AF425" s="42">
        <v>1990</v>
      </c>
      <c r="AG425" s="42" t="str">
        <v xml:space="preserve">12 Jun 1990 - 21:00 </v>
      </c>
      <c r="AH425" s="42" t="str">
        <v>GROUP_STAGE</v>
      </c>
      <c r="AI425" s="42" t="str">
        <v>Della Favorita</v>
      </c>
      <c r="AJ425" s="42" t="str">
        <v xml:space="preserve">Palermo </v>
      </c>
      <c r="AK425" s="42" t="str">
        <v>Netherlands</v>
      </c>
      <c r="AL425" s="42">
        <v>1</v>
      </c>
      <c r="AM425" s="42">
        <v>1</v>
      </c>
      <c r="AN425" s="42" t="str">
        <v>Egypt</v>
      </c>
      <c r="AO425" s="42" t="str">
        <v>-</v>
      </c>
    </row>
    <row r="426" spans="24:41">
      <c r="X426" s="15">
        <v>424</v>
      </c>
      <c r="Y426" s="15" t="str">
        <v>Deveron Fonville</v>
      </c>
      <c r="Z426" s="15">
        <v>23</v>
      </c>
      <c r="AA426" s="15" t="str">
        <v>Curaçao</v>
      </c>
      <c r="AB426" s="15" t="str">
        <v>CB</v>
      </c>
      <c r="AC426" s="15" t="str">
        <v>NEC</v>
      </c>
      <c r="AD426" s="15">
        <v>24</v>
      </c>
      <c r="AF426" s="42">
        <v>1990</v>
      </c>
      <c r="AG426" s="42" t="str">
        <v xml:space="preserve">13 Jun 1990 - 17:00 </v>
      </c>
      <c r="AH426" s="42" t="str">
        <v>GROUP_STAGE</v>
      </c>
      <c r="AI426" s="42" t="str">
        <v>Dacia Arena</v>
      </c>
      <c r="AJ426" s="42" t="str">
        <v xml:space="preserve">Udine </v>
      </c>
      <c r="AK426" s="42" t="str">
        <v>Uruguay</v>
      </c>
      <c r="AL426" s="42">
        <v>0</v>
      </c>
      <c r="AM426" s="42">
        <v>0</v>
      </c>
      <c r="AN426" s="42" t="str">
        <v>Spain</v>
      </c>
      <c r="AO426" s="42" t="str">
        <v>-</v>
      </c>
    </row>
    <row r="427" spans="24:41">
      <c r="X427" s="15">
        <v>425</v>
      </c>
      <c r="Y427" s="15" t="str">
        <v>Sherel Floranus</v>
      </c>
      <c r="Z427" s="15">
        <v>27</v>
      </c>
      <c r="AA427" s="15" t="str">
        <v>Curaçao</v>
      </c>
      <c r="AB427" s="15" t="str">
        <v>LB</v>
      </c>
      <c r="AC427" s="15" t="str">
        <v>PEC Zwolle</v>
      </c>
      <c r="AD427" s="15">
        <v>5</v>
      </c>
      <c r="AF427" s="42">
        <v>1990</v>
      </c>
      <c r="AG427" s="42" t="str">
        <v xml:space="preserve">13 Jun 1990 - 21:00 </v>
      </c>
      <c r="AH427" s="42" t="str">
        <v>GROUP_STAGE</v>
      </c>
      <c r="AI427" s="42" t="str">
        <v>San Paolo</v>
      </c>
      <c r="AJ427" s="42" t="str">
        <v xml:space="preserve">Naples </v>
      </c>
      <c r="AK427" s="42" t="str">
        <v>Argentina</v>
      </c>
      <c r="AL427" s="42">
        <v>2</v>
      </c>
      <c r="AM427" s="42">
        <v>0</v>
      </c>
      <c r="AN427" s="42" t="str">
        <v>Soviet Union</v>
      </c>
      <c r="AO427" s="42" t="str">
        <v>-</v>
      </c>
    </row>
    <row r="428" spans="24:41">
      <c r="X428" s="15">
        <v>426</v>
      </c>
      <c r="Y428" s="15" t="str">
        <v>Shurandy Sambo</v>
      </c>
      <c r="Z428" s="15">
        <v>24</v>
      </c>
      <c r="AA428" s="15" t="str">
        <v>Curaçao</v>
      </c>
      <c r="AB428" s="15" t="str">
        <v>RB</v>
      </c>
      <c r="AC428" s="15" t="str">
        <v>Sparta Rotterdam</v>
      </c>
      <c r="AD428" s="15">
        <v>2</v>
      </c>
      <c r="AF428" s="42">
        <v>1990</v>
      </c>
      <c r="AG428" s="42" t="str">
        <v xml:space="preserve">14 Jun 1990 - 17:00 </v>
      </c>
      <c r="AH428" s="42" t="str">
        <v>GROUP_STAGE</v>
      </c>
      <c r="AI428" s="42" t="str">
        <v>Stadio San Nicola</v>
      </c>
      <c r="AJ428" s="42" t="str">
        <v xml:space="preserve">Bari </v>
      </c>
      <c r="AK428" s="42" t="str">
        <v>Cameroon</v>
      </c>
      <c r="AL428" s="42">
        <v>2</v>
      </c>
      <c r="AM428" s="42">
        <v>1</v>
      </c>
      <c r="AN428" s="42" t="str">
        <v>Romania</v>
      </c>
      <c r="AO428" s="42" t="str">
        <v>-</v>
      </c>
    </row>
    <row r="429" spans="24:41">
      <c r="X429" s="15">
        <v>427</v>
      </c>
      <c r="Y429" s="15" t="str">
        <v>Joshua Brenet</v>
      </c>
      <c r="Z429" s="15">
        <v>32</v>
      </c>
      <c r="AA429" s="15" t="str">
        <v>Curaçao</v>
      </c>
      <c r="AB429" s="15" t="str">
        <v>RB</v>
      </c>
      <c r="AC429" s="15" t="str">
        <v>Kayserispor</v>
      </c>
      <c r="AD429" s="15">
        <v>20</v>
      </c>
      <c r="AF429" s="42">
        <v>1990</v>
      </c>
      <c r="AG429" s="42" t="str">
        <v xml:space="preserve">14 Jun 1990 - 17:00 </v>
      </c>
      <c r="AH429" s="42" t="str">
        <v>GROUP_STAGE</v>
      </c>
      <c r="AI429" s="42" t="str">
        <v>Renato Dall Ara</v>
      </c>
      <c r="AJ429" s="42" t="str">
        <v xml:space="preserve">Bologna </v>
      </c>
      <c r="AK429" s="42" t="str">
        <v>Yugoslavia</v>
      </c>
      <c r="AL429" s="42">
        <v>1</v>
      </c>
      <c r="AM429" s="42">
        <v>0</v>
      </c>
      <c r="AN429" s="42" t="str">
        <v>Colombia</v>
      </c>
      <c r="AO429" s="42" t="str">
        <v>-</v>
      </c>
    </row>
    <row r="430" spans="24:41">
      <c r="X430" s="15">
        <v>428</v>
      </c>
      <c r="Y430" s="15" t="str">
        <v>Godfried Roemeratoe</v>
      </c>
      <c r="Z430" s="15">
        <v>26</v>
      </c>
      <c r="AA430" s="15" t="str">
        <v>Curaçao</v>
      </c>
      <c r="AB430" s="15" t="str">
        <v>CDM</v>
      </c>
      <c r="AC430" s="15" t="str">
        <v>RKC Waalwijk</v>
      </c>
      <c r="AD430" s="15">
        <v>6</v>
      </c>
      <c r="AF430" s="42">
        <v>1990</v>
      </c>
      <c r="AG430" s="42" t="str">
        <v xml:space="preserve">14 Jun 1990 - 21:00 </v>
      </c>
      <c r="AH430" s="42" t="str">
        <v>GROUP_STAGE</v>
      </c>
      <c r="AI430" s="42" t="str">
        <v>Stadio Olimpico</v>
      </c>
      <c r="AJ430" s="42" t="str">
        <v xml:space="preserve">Rome </v>
      </c>
      <c r="AK430" s="42" t="str">
        <v>Italy</v>
      </c>
      <c r="AL430" s="42">
        <v>1</v>
      </c>
      <c r="AM430" s="42">
        <v>0</v>
      </c>
      <c r="AN430" s="42" t="str">
        <v>United States</v>
      </c>
      <c r="AO430" s="42" t="str">
        <v>-</v>
      </c>
    </row>
    <row r="431" spans="24:41">
      <c r="X431" s="15">
        <v>429</v>
      </c>
      <c r="Y431" s="15" t="str">
        <v>Kevin Felida</v>
      </c>
      <c r="Z431" s="15">
        <v>26</v>
      </c>
      <c r="AA431" s="15" t="str">
        <v>Curaçao</v>
      </c>
      <c r="AB431" s="15" t="str">
        <v>CDM</v>
      </c>
      <c r="AC431" s="15" t="str">
        <v>Den Bosch</v>
      </c>
      <c r="AD431" s="15">
        <v>22</v>
      </c>
      <c r="AF431" s="42">
        <v>1990</v>
      </c>
      <c r="AG431" s="42" t="str">
        <v xml:space="preserve">15 Jun 1990 - 17:00 </v>
      </c>
      <c r="AH431" s="42" t="str">
        <v>GROUP_STAGE</v>
      </c>
      <c r="AI431" s="42" t="str">
        <v>Comunale</v>
      </c>
      <c r="AJ431" s="42" t="str">
        <v xml:space="preserve">Florence </v>
      </c>
      <c r="AK431" s="42" t="str">
        <v>Austria</v>
      </c>
      <c r="AL431" s="42">
        <v>0</v>
      </c>
      <c r="AM431" s="42">
        <v>1</v>
      </c>
      <c r="AN431" s="42" t="str">
        <v>Czechoslovakia</v>
      </c>
      <c r="AO431" s="42" t="str">
        <v>-</v>
      </c>
    </row>
    <row r="432" spans="24:41">
      <c r="X432" s="15">
        <v>430</v>
      </c>
      <c r="Y432" s="15" t="str">
        <v>Juninho Bacuna</v>
      </c>
      <c r="Z432" s="15">
        <v>28</v>
      </c>
      <c r="AA432" s="15" t="str">
        <v>Curaçao</v>
      </c>
      <c r="AB432" s="15" t="str">
        <v>CM</v>
      </c>
      <c r="AC432" s="15" t="str">
        <v>Volendam</v>
      </c>
      <c r="AD432" s="15">
        <v>7</v>
      </c>
      <c r="AF432" s="42">
        <v>1990</v>
      </c>
      <c r="AG432" s="42" t="str">
        <v xml:space="preserve">15 Jun 1990 - 21:00 </v>
      </c>
      <c r="AH432" s="42" t="str">
        <v>GROUP_STAGE</v>
      </c>
      <c r="AI432" s="42" t="str">
        <v>Giuseppe Meazza</v>
      </c>
      <c r="AJ432" s="42" t="str">
        <v xml:space="preserve">Milan </v>
      </c>
      <c r="AK432" s="42" t="str">
        <v>FR Germany</v>
      </c>
      <c r="AL432" s="42">
        <v>5</v>
      </c>
      <c r="AM432" s="42">
        <v>1</v>
      </c>
      <c r="AN432" s="42" t="str">
        <v>United Arab Emirates</v>
      </c>
      <c r="AO432" s="42" t="str">
        <v>-</v>
      </c>
    </row>
    <row r="433" spans="24:41">
      <c r="X433" s="15">
        <v>431</v>
      </c>
      <c r="Y433" s="15" t="str">
        <v>Livano Comenencia</v>
      </c>
      <c r="Z433" s="15">
        <v>22</v>
      </c>
      <c r="AA433" s="15" t="str">
        <v>Curaçao</v>
      </c>
      <c r="AB433" s="15" t="str">
        <v>CM</v>
      </c>
      <c r="AC433" s="15" t="str">
        <v>Zürich</v>
      </c>
      <c r="AD433" s="15">
        <v>8</v>
      </c>
      <c r="AF433" s="42">
        <v>1990</v>
      </c>
      <c r="AG433" s="42" t="str">
        <v xml:space="preserve">16 Jun 1990 - 17:00 </v>
      </c>
      <c r="AH433" s="42" t="str">
        <v>GROUP_STAGE</v>
      </c>
      <c r="AI433" s="42" t="str">
        <v>Stadio delle Alpi</v>
      </c>
      <c r="AJ433" s="42" t="str">
        <v xml:space="preserve">Turin </v>
      </c>
      <c r="AK433" s="42" t="str">
        <v>Brazil</v>
      </c>
      <c r="AL433" s="42">
        <v>1</v>
      </c>
      <c r="AM433" s="42">
        <v>0</v>
      </c>
      <c r="AN433" s="42" t="str">
        <v>Costa Rica</v>
      </c>
      <c r="AO433" s="42" t="str">
        <v>-</v>
      </c>
    </row>
    <row r="434" spans="24:41">
      <c r="X434" s="15">
        <v>432</v>
      </c>
      <c r="Y434" s="15" t="str">
        <v>Ar'jany Martha</v>
      </c>
      <c r="Z434" s="15">
        <v>22</v>
      </c>
      <c r="AA434" s="15" t="str">
        <v>Curaçao</v>
      </c>
      <c r="AB434" s="15" t="str">
        <v>CM</v>
      </c>
      <c r="AC434" s="15" t="str">
        <v>Rotherham United</v>
      </c>
      <c r="AD434" s="15">
        <v>15</v>
      </c>
      <c r="AF434" s="42">
        <v>1990</v>
      </c>
      <c r="AG434" s="42" t="str">
        <v xml:space="preserve">16 Jun 1990 - 21:00 </v>
      </c>
      <c r="AH434" s="42" t="str">
        <v>GROUP_STAGE</v>
      </c>
      <c r="AI434" s="42" t="str">
        <v>Luigi Ferraris</v>
      </c>
      <c r="AJ434" s="42" t="str">
        <v xml:space="preserve">Genoa </v>
      </c>
      <c r="AK434" s="42" t="str">
        <v>Sweden</v>
      </c>
      <c r="AL434" s="42">
        <v>1</v>
      </c>
      <c r="AM434" s="42">
        <v>2</v>
      </c>
      <c r="AN434" s="42" t="str">
        <v>Scotland</v>
      </c>
      <c r="AO434" s="42" t="str">
        <v>-</v>
      </c>
    </row>
    <row r="435" spans="24:41">
      <c r="X435" s="15">
        <v>433</v>
      </c>
      <c r="Y435" s="15" t="str">
        <v>Leandro Bacuna</v>
      </c>
      <c r="Z435" s="15">
        <v>34</v>
      </c>
      <c r="AA435" s="15" t="str">
        <v>Curaçao</v>
      </c>
      <c r="AB435" s="15" t="str">
        <v>CAM</v>
      </c>
      <c r="AC435" s="15" t="str">
        <v>Iğdır</v>
      </c>
      <c r="AD435" s="15">
        <v>10</v>
      </c>
      <c r="AF435" s="42">
        <v>1990</v>
      </c>
      <c r="AG435" s="42" t="str">
        <v xml:space="preserve">16 Jun 1990 - 21:00 </v>
      </c>
      <c r="AH435" s="42" t="str">
        <v>GROUP_STAGE</v>
      </c>
      <c r="AI435" s="42" t="str">
        <v>Sant Elia</v>
      </c>
      <c r="AJ435" s="42" t="str">
        <v xml:space="preserve">Cagliari </v>
      </c>
      <c r="AK435" s="42" t="str">
        <v>England</v>
      </c>
      <c r="AL435" s="42">
        <v>0</v>
      </c>
      <c r="AM435" s="42">
        <v>0</v>
      </c>
      <c r="AN435" s="42" t="str">
        <v>Netherlands</v>
      </c>
      <c r="AO435" s="42" t="str">
        <v>-</v>
      </c>
    </row>
    <row r="436" spans="24:41">
      <c r="X436" s="15">
        <v>434</v>
      </c>
      <c r="Y436" s="15" t="str">
        <v>Tahith Chong</v>
      </c>
      <c r="Z436" s="15">
        <v>26</v>
      </c>
      <c r="AA436" s="15" t="str">
        <v>Curaçao</v>
      </c>
      <c r="AB436" s="15" t="str">
        <v>CAM</v>
      </c>
      <c r="AC436" s="15" t="str">
        <v>Sheffield United</v>
      </c>
      <c r="AD436" s="15">
        <v>21</v>
      </c>
      <c r="AF436" s="42">
        <v>1990</v>
      </c>
      <c r="AG436" s="42" t="str">
        <v xml:space="preserve">17 Jun 1990 - 17:00 </v>
      </c>
      <c r="AH436" s="42" t="str">
        <v>GROUP_STAGE</v>
      </c>
      <c r="AI436" s="42" t="str">
        <v>Della Favorita</v>
      </c>
      <c r="AJ436" s="42" t="str">
        <v xml:space="preserve">Palermo </v>
      </c>
      <c r="AK436" s="42" t="str">
        <v>Ireland</v>
      </c>
      <c r="AL436" s="42">
        <v>0</v>
      </c>
      <c r="AM436" s="42">
        <v>0</v>
      </c>
      <c r="AN436" s="42" t="str">
        <v>Egypt</v>
      </c>
      <c r="AO436" s="42" t="str">
        <v>-</v>
      </c>
    </row>
    <row r="437" spans="24:41">
      <c r="X437" s="15">
        <v>435</v>
      </c>
      <c r="Y437" s="15" t="str">
        <v>Jeremy Antonisse</v>
      </c>
      <c r="Z437" s="15">
        <v>24</v>
      </c>
      <c r="AA437" s="15" t="str">
        <v>Curaçao</v>
      </c>
      <c r="AB437" s="15" t="str">
        <v>LW</v>
      </c>
      <c r="AC437" s="15" t="str">
        <v>Kifisia</v>
      </c>
      <c r="AD437" s="15">
        <v>11</v>
      </c>
      <c r="AF437" s="42">
        <v>1990</v>
      </c>
      <c r="AG437" s="42" t="str">
        <v xml:space="preserve">17 Jun 1990 - 21:00 </v>
      </c>
      <c r="AH437" s="42" t="str">
        <v>GROUP_STAGE</v>
      </c>
      <c r="AI437" s="42" t="str">
        <v>Dacia Arena</v>
      </c>
      <c r="AJ437" s="42" t="str">
        <v xml:space="preserve">Udine </v>
      </c>
      <c r="AK437" s="42" t="str">
        <v>South Korea</v>
      </c>
      <c r="AL437" s="42">
        <v>1</v>
      </c>
      <c r="AM437" s="42">
        <v>3</v>
      </c>
      <c r="AN437" s="42" t="str">
        <v>Spain</v>
      </c>
      <c r="AO437" s="42" t="str">
        <v>-</v>
      </c>
    </row>
    <row r="438" spans="24:41">
      <c r="X438" s="15">
        <v>436</v>
      </c>
      <c r="Y438" s="15" t="str">
        <v>Kenji Gorré</v>
      </c>
      <c r="Z438" s="15">
        <v>31</v>
      </c>
      <c r="AA438" s="15" t="str">
        <v>Curaçao</v>
      </c>
      <c r="AB438" s="15" t="str">
        <v>LW</v>
      </c>
      <c r="AC438" s="15" t="str">
        <v>Maccabi Haifa</v>
      </c>
      <c r="AD438" s="15">
        <v>14</v>
      </c>
      <c r="AF438" s="42">
        <v>1990</v>
      </c>
      <c r="AG438" s="42" t="str">
        <v xml:space="preserve">17 Jun 1990 - 21:00 </v>
      </c>
      <c r="AH438" s="42" t="str">
        <v>GROUP_STAGE</v>
      </c>
      <c r="AI438" s="42" t="str">
        <v>Marc Antonio Bentegodi</v>
      </c>
      <c r="AJ438" s="42" t="str">
        <v xml:space="preserve">Verona </v>
      </c>
      <c r="AK438" s="42" t="str">
        <v>Belgium</v>
      </c>
      <c r="AL438" s="42">
        <v>3</v>
      </c>
      <c r="AM438" s="42">
        <v>1</v>
      </c>
      <c r="AN438" s="42" t="str">
        <v>Uruguay</v>
      </c>
      <c r="AO438" s="42" t="str">
        <v>-</v>
      </c>
    </row>
    <row r="439" spans="24:41">
      <c r="X439" s="15">
        <v>437</v>
      </c>
      <c r="Y439" s="15" t="str">
        <v>Gervane Kastaneer</v>
      </c>
      <c r="Z439" s="15">
        <v>30</v>
      </c>
      <c r="AA439" s="15" t="str">
        <v>Curaçao</v>
      </c>
      <c r="AB439" s="15" t="str">
        <v>LW</v>
      </c>
      <c r="AC439" s="15" t="str">
        <v>Terengganu</v>
      </c>
      <c r="AD439" s="15">
        <v>19</v>
      </c>
      <c r="AF439" s="42">
        <v>1990</v>
      </c>
      <c r="AG439" s="42" t="str">
        <v xml:space="preserve">18 Jun 1990 - 21:00 </v>
      </c>
      <c r="AH439" s="42" t="str">
        <v>GROUP_STAGE</v>
      </c>
      <c r="AI439" s="42" t="str">
        <v>San Paolo</v>
      </c>
      <c r="AJ439" s="42" t="str">
        <v xml:space="preserve">Naples </v>
      </c>
      <c r="AK439" s="42" t="str">
        <v>Argentina</v>
      </c>
      <c r="AL439" s="42">
        <v>1</v>
      </c>
      <c r="AM439" s="42">
        <v>1</v>
      </c>
      <c r="AN439" s="42" t="str">
        <v>Romania</v>
      </c>
      <c r="AO439" s="42" t="str">
        <v>-</v>
      </c>
    </row>
    <row r="440" spans="24:41">
      <c r="X440" s="15">
        <v>438</v>
      </c>
      <c r="Y440" s="15" t="str">
        <v>Sontje Hansen</v>
      </c>
      <c r="Z440" s="15">
        <v>24</v>
      </c>
      <c r="AA440" s="15" t="str">
        <v>Curaçao</v>
      </c>
      <c r="AB440" s="15" t="str">
        <v>RW</v>
      </c>
      <c r="AC440" s="15" t="str">
        <v>Middlesbrough</v>
      </c>
      <c r="AD440" s="15">
        <v>12</v>
      </c>
      <c r="AF440" s="42">
        <v>1990</v>
      </c>
      <c r="AG440" s="42" t="str">
        <v xml:space="preserve">18 Jun 1990 - 21:00 </v>
      </c>
      <c r="AH440" s="42" t="str">
        <v>GROUP_STAGE</v>
      </c>
      <c r="AI440" s="42" t="str">
        <v>Stadio San Nicola</v>
      </c>
      <c r="AJ440" s="42" t="str">
        <v xml:space="preserve">Bari </v>
      </c>
      <c r="AK440" s="42" t="str">
        <v>Cameroon</v>
      </c>
      <c r="AL440" s="42">
        <v>0</v>
      </c>
      <c r="AM440" s="42">
        <v>4</v>
      </c>
      <c r="AN440" s="42" t="str">
        <v>Soviet Union</v>
      </c>
      <c r="AO440" s="42" t="str">
        <v>-</v>
      </c>
    </row>
    <row r="441" spans="24:41">
      <c r="X441" s="15">
        <v>439</v>
      </c>
      <c r="Y441" s="15" t="str">
        <v>Jearl Margaritha</v>
      </c>
      <c r="Z441" s="15">
        <v>26</v>
      </c>
      <c r="AA441" s="15" t="str">
        <v>Curaçao</v>
      </c>
      <c r="AB441" s="15" t="str">
        <v>RW</v>
      </c>
      <c r="AC441" s="15" t="str">
        <v>Beveren</v>
      </c>
      <c r="AD441" s="15">
        <v>16</v>
      </c>
      <c r="AF441" s="42">
        <v>1990</v>
      </c>
      <c r="AG441" s="42" t="str">
        <v xml:space="preserve">19 Jun 1990 - 17:00 </v>
      </c>
      <c r="AH441" s="42" t="str">
        <v>GROUP_STAGE</v>
      </c>
      <c r="AI441" s="42" t="str">
        <v>Giuseppe Meazza</v>
      </c>
      <c r="AJ441" s="42" t="str">
        <v xml:space="preserve">Milan </v>
      </c>
      <c r="AK441" s="42" t="str">
        <v>FR Germany</v>
      </c>
      <c r="AL441" s="42">
        <v>1</v>
      </c>
      <c r="AM441" s="42">
        <v>1</v>
      </c>
      <c r="AN441" s="42" t="str">
        <v>Colombia</v>
      </c>
      <c r="AO441" s="42" t="str">
        <v>-</v>
      </c>
    </row>
    <row r="442" spans="24:41">
      <c r="X442" s="15">
        <v>440</v>
      </c>
      <c r="Y442" s="15" t="str">
        <v>Brandley Kuwas</v>
      </c>
      <c r="Z442" s="15">
        <v>33</v>
      </c>
      <c r="AA442" s="15" t="str">
        <v>Curaçao</v>
      </c>
      <c r="AB442" s="15" t="str">
        <v>RW</v>
      </c>
      <c r="AC442" s="15" t="str">
        <v>Volendam</v>
      </c>
      <c r="AD442" s="15">
        <v>17</v>
      </c>
      <c r="AF442" s="42">
        <v>1990</v>
      </c>
      <c r="AG442" s="42" t="str">
        <v xml:space="preserve">19 Jun 1990 - 17:00 </v>
      </c>
      <c r="AH442" s="42" t="str">
        <v>GROUP_STAGE</v>
      </c>
      <c r="AI442" s="42" t="str">
        <v>Renato Dall Ara</v>
      </c>
      <c r="AJ442" s="42" t="str">
        <v xml:space="preserve">Bologna </v>
      </c>
      <c r="AK442" s="42" t="str">
        <v>Yugoslavia</v>
      </c>
      <c r="AL442" s="42">
        <v>4</v>
      </c>
      <c r="AM442" s="42">
        <v>1</v>
      </c>
      <c r="AN442" s="42" t="str">
        <v>United Arab Emirates</v>
      </c>
      <c r="AO442" s="42" t="str">
        <v>-</v>
      </c>
    </row>
    <row r="443" spans="24:41">
      <c r="X443" s="15">
        <v>441</v>
      </c>
      <c r="Y443" s="15" t="str">
        <v>Jürgen Locadia</v>
      </c>
      <c r="Z443" s="15">
        <v>32</v>
      </c>
      <c r="AA443" s="15" t="str">
        <v>Curaçao</v>
      </c>
      <c r="AB443" s="15" t="str">
        <v>ST</v>
      </c>
      <c r="AC443" s="15" t="str">
        <v>Miami FC</v>
      </c>
      <c r="AD443" s="15">
        <v>9</v>
      </c>
      <c r="AF443" s="42">
        <v>1990</v>
      </c>
      <c r="AG443" s="42" t="str">
        <v xml:space="preserve">19 Jun 1990 - 21:00 </v>
      </c>
      <c r="AH443" s="42" t="str">
        <v>GROUP_STAGE</v>
      </c>
      <c r="AI443" s="42" t="str">
        <v>Stadio Olimpico</v>
      </c>
      <c r="AJ443" s="42" t="str">
        <v xml:space="preserve">Rome </v>
      </c>
      <c r="AK443" s="42" t="str">
        <v>Italy</v>
      </c>
      <c r="AL443" s="42">
        <v>2</v>
      </c>
      <c r="AM443" s="42">
        <v>0</v>
      </c>
      <c r="AN443" s="42" t="str">
        <v>Czechoslovakia</v>
      </c>
      <c r="AO443" s="42" t="str">
        <v>-</v>
      </c>
    </row>
    <row r="444" spans="24:41">
      <c r="X444" s="15">
        <v>442</v>
      </c>
      <c r="Y444" s="15" t="str">
        <v>Tyrese Noslin</v>
      </c>
      <c r="Z444" s="15">
        <v>23</v>
      </c>
      <c r="AA444" s="15" t="str">
        <v>Curaçao</v>
      </c>
      <c r="AB444" s="15" t="str">
        <v>ST</v>
      </c>
      <c r="AC444" s="15" t="str">
        <v>Telstar</v>
      </c>
      <c r="AD444" s="15">
        <v>13</v>
      </c>
      <c r="AF444" s="42">
        <v>1990</v>
      </c>
      <c r="AG444" s="42" t="str">
        <v xml:space="preserve">19 Jun 1990 - 21:00 </v>
      </c>
      <c r="AH444" s="42" t="str">
        <v>GROUP_STAGE</v>
      </c>
      <c r="AI444" s="42" t="str">
        <v>Comunale</v>
      </c>
      <c r="AJ444" s="42" t="str">
        <v xml:space="preserve">Florence </v>
      </c>
      <c r="AK444" s="42" t="str">
        <v>Austria</v>
      </c>
      <c r="AL444" s="42">
        <v>2</v>
      </c>
      <c r="AM444" s="42">
        <v>1</v>
      </c>
      <c r="AN444" s="42" t="str">
        <v>United States</v>
      </c>
      <c r="AO444" s="42" t="str">
        <v>-</v>
      </c>
    </row>
    <row r="445" spans="24:41">
      <c r="X445" s="15">
        <v>443</v>
      </c>
      <c r="Y445" s="15" t="str">
        <v>Hernán Galíndez</v>
      </c>
      <c r="Z445" s="15">
        <v>39</v>
      </c>
      <c r="AA445" s="15" t="str">
        <v>Ecuador</v>
      </c>
      <c r="AB445" s="15" t="str">
        <v>GK</v>
      </c>
      <c r="AC445" s="15" t="str">
        <v>Huracán</v>
      </c>
      <c r="AD445" s="15">
        <v>1</v>
      </c>
      <c r="AF445" s="42">
        <v>1990</v>
      </c>
      <c r="AG445" s="42" t="str">
        <v xml:space="preserve">20 Jun 1990 - 21:00 </v>
      </c>
      <c r="AH445" s="42" t="str">
        <v>GROUP_STAGE</v>
      </c>
      <c r="AI445" s="42" t="str">
        <v>Stadio delle Alpi</v>
      </c>
      <c r="AJ445" s="42" t="str">
        <v xml:space="preserve">Turin </v>
      </c>
      <c r="AK445" s="42" t="str">
        <v>Brazil</v>
      </c>
      <c r="AL445" s="42">
        <v>1</v>
      </c>
      <c r="AM445" s="42">
        <v>0</v>
      </c>
      <c r="AN445" s="42" t="str">
        <v>Scotland</v>
      </c>
      <c r="AO445" s="42" t="str">
        <v>-</v>
      </c>
    </row>
    <row r="446" spans="24:41">
      <c r="X446" s="15">
        <v>444</v>
      </c>
      <c r="Y446" s="15" t="str">
        <v>Moisés Ramírez</v>
      </c>
      <c r="Z446" s="15">
        <v>25</v>
      </c>
      <c r="AA446" s="15" t="str">
        <v>Ecuador</v>
      </c>
      <c r="AB446" s="15" t="str">
        <v>GK</v>
      </c>
      <c r="AC446" s="15" t="str">
        <v>Kifisia</v>
      </c>
      <c r="AD446" s="15">
        <v>12</v>
      </c>
      <c r="AF446" s="42">
        <v>1990</v>
      </c>
      <c r="AG446" s="42" t="str">
        <v xml:space="preserve">20 Jun 1990 - 21:00 </v>
      </c>
      <c r="AH446" s="42" t="str">
        <v>GROUP_STAGE</v>
      </c>
      <c r="AI446" s="42" t="str">
        <v>Luigi Ferraris</v>
      </c>
      <c r="AJ446" s="42" t="str">
        <v xml:space="preserve">Genoa </v>
      </c>
      <c r="AK446" s="42" t="str">
        <v>Sweden</v>
      </c>
      <c r="AL446" s="42">
        <v>1</v>
      </c>
      <c r="AM446" s="42">
        <v>2</v>
      </c>
      <c r="AN446" s="42" t="str">
        <v>Costa Rica</v>
      </c>
      <c r="AO446" s="42" t="str">
        <v>-</v>
      </c>
    </row>
    <row r="447" spans="24:41">
      <c r="X447" s="15">
        <v>445</v>
      </c>
      <c r="Y447" s="15" t="str">
        <v>Gonzalo Valle</v>
      </c>
      <c r="Z447" s="15">
        <v>30</v>
      </c>
      <c r="AA447" s="15" t="str">
        <v>Ecuador</v>
      </c>
      <c r="AB447" s="15" t="str">
        <v>GK</v>
      </c>
      <c r="AC447" s="15" t="str">
        <v>LDU Quito</v>
      </c>
      <c r="AD447" s="15">
        <v>22</v>
      </c>
      <c r="AF447" s="42">
        <v>1990</v>
      </c>
      <c r="AG447" s="42" t="str">
        <v xml:space="preserve">21 Jun 1990 - 17:00 </v>
      </c>
      <c r="AH447" s="42" t="str">
        <v>GROUP_STAGE</v>
      </c>
      <c r="AI447" s="42" t="str">
        <v>Friuli</v>
      </c>
      <c r="AJ447" s="42" t="str">
        <v xml:space="preserve">Udine </v>
      </c>
      <c r="AK447" s="42" t="str">
        <v>South Korea</v>
      </c>
      <c r="AL447" s="42">
        <v>0</v>
      </c>
      <c r="AM447" s="42">
        <v>1</v>
      </c>
      <c r="AN447" s="42" t="str">
        <v>Uruguay</v>
      </c>
      <c r="AO447" s="42" t="str">
        <v>-</v>
      </c>
    </row>
    <row r="448" spans="24:41">
      <c r="X448" s="15">
        <v>446</v>
      </c>
      <c r="Y448" s="15" t="str">
        <v>Félix Torres</v>
      </c>
      <c r="Z448" s="15">
        <v>29</v>
      </c>
      <c r="AA448" s="15" t="str">
        <v>Ecuador</v>
      </c>
      <c r="AB448" s="15" t="str">
        <v>CB</v>
      </c>
      <c r="AC448" s="15" t="str">
        <v>Internacional</v>
      </c>
      <c r="AD448" s="15">
        <v>2</v>
      </c>
      <c r="AF448" s="42">
        <v>1990</v>
      </c>
      <c r="AG448" s="42" t="str">
        <v xml:space="preserve">21 Jun 1990 - 17:00 </v>
      </c>
      <c r="AH448" s="42" t="str">
        <v>GROUP_STAGE</v>
      </c>
      <c r="AI448" s="42" t="str">
        <v>Marc Antonio Bentegodi</v>
      </c>
      <c r="AJ448" s="42" t="str">
        <v xml:space="preserve">Verona </v>
      </c>
      <c r="AK448" s="42" t="str">
        <v>Belgium</v>
      </c>
      <c r="AL448" s="42">
        <v>1</v>
      </c>
      <c r="AM448" s="42">
        <v>2</v>
      </c>
      <c r="AN448" s="42" t="str">
        <v>Spain</v>
      </c>
      <c r="AO448" s="42" t="str">
        <v>-</v>
      </c>
    </row>
    <row r="449" spans="24:41">
      <c r="X449" s="15">
        <v>447</v>
      </c>
      <c r="Y449" s="15" t="str">
        <v>Piero Hincapié</v>
      </c>
      <c r="Z449" s="15">
        <v>24</v>
      </c>
      <c r="AA449" s="15" t="str">
        <v>Ecuador</v>
      </c>
      <c r="AB449" s="15" t="str">
        <v>CB</v>
      </c>
      <c r="AC449" s="15" t="str">
        <v>Arsenal</v>
      </c>
      <c r="AD449" s="15">
        <v>3</v>
      </c>
      <c r="AF449" s="42">
        <v>1990</v>
      </c>
      <c r="AG449" s="42" t="str">
        <v xml:space="preserve">21 Jun 1990 - 21:00 </v>
      </c>
      <c r="AH449" s="42" t="str">
        <v>GROUP_STAGE</v>
      </c>
      <c r="AI449" s="42" t="str">
        <v>Della Favorita</v>
      </c>
      <c r="AJ449" s="42" t="str">
        <v xml:space="preserve">Palermo </v>
      </c>
      <c r="AK449" s="42" t="str">
        <v>Ireland</v>
      </c>
      <c r="AL449" s="42">
        <v>1</v>
      </c>
      <c r="AM449" s="42">
        <v>1</v>
      </c>
      <c r="AN449" s="42" t="str">
        <v>Netherlands</v>
      </c>
      <c r="AO449" s="42" t="str">
        <v>-</v>
      </c>
    </row>
    <row r="450" spans="24:41">
      <c r="X450" s="15">
        <v>448</v>
      </c>
      <c r="Y450" s="15" t="str">
        <v>Joel Ordóñez</v>
      </c>
      <c r="Z450" s="15">
        <v>22</v>
      </c>
      <c r="AA450" s="15" t="str">
        <v>Ecuador</v>
      </c>
      <c r="AB450" s="15" t="str">
        <v>CB</v>
      </c>
      <c r="AC450" s="15" t="str">
        <v>Club Brugge</v>
      </c>
      <c r="AD450" s="15">
        <v>4</v>
      </c>
      <c r="AF450" s="42">
        <v>1990</v>
      </c>
      <c r="AG450" s="42" t="str">
        <v xml:space="preserve">21 Jun 1990 - 21:00 </v>
      </c>
      <c r="AH450" s="42" t="str">
        <v>GROUP_STAGE</v>
      </c>
      <c r="AI450" s="42" t="str">
        <v>Sant Elia</v>
      </c>
      <c r="AJ450" s="42" t="str">
        <v xml:space="preserve">Cagliari </v>
      </c>
      <c r="AK450" s="42" t="str">
        <v>England</v>
      </c>
      <c r="AL450" s="42">
        <v>1</v>
      </c>
      <c r="AM450" s="42">
        <v>0</v>
      </c>
      <c r="AN450" s="42" t="str">
        <v>Egypt</v>
      </c>
      <c r="AO450" s="42" t="str">
        <v>-</v>
      </c>
    </row>
    <row r="451" spans="24:41">
      <c r="X451" s="15">
        <v>449</v>
      </c>
      <c r="Y451" s="15" t="str">
        <v>Willian Pacho</v>
      </c>
      <c r="Z451" s="15">
        <v>24</v>
      </c>
      <c r="AA451" s="15" t="str">
        <v>Ecuador</v>
      </c>
      <c r="AB451" s="15" t="str">
        <v>CB</v>
      </c>
      <c r="AC451" s="15" t="str">
        <v>Paris Saint-Germain</v>
      </c>
      <c r="AD451" s="15">
        <v>6</v>
      </c>
      <c r="AF451" s="42">
        <v>1990</v>
      </c>
      <c r="AG451" s="42" t="str">
        <v xml:space="preserve">23 Jun 1990 - 17:00 </v>
      </c>
      <c r="AH451" s="42" t="str">
        <v>ROUND_OF_16</v>
      </c>
      <c r="AI451" s="42" t="str">
        <v>San Paolo</v>
      </c>
      <c r="AJ451" s="42" t="str">
        <v xml:space="preserve">Naples </v>
      </c>
      <c r="AK451" s="42" t="str">
        <v>Cameroon</v>
      </c>
      <c r="AL451" s="42">
        <v>2</v>
      </c>
      <c r="AM451" s="42">
        <v>1</v>
      </c>
      <c r="AN451" s="42" t="str">
        <v>Colombia</v>
      </c>
      <c r="AO451" s="42" t="str">
        <v>Cameroon win after extra time</v>
      </c>
    </row>
    <row r="452" spans="24:41">
      <c r="X452" s="15">
        <v>450</v>
      </c>
      <c r="Y452" s="15" t="str">
        <v>Jackson Porozo</v>
      </c>
      <c r="Z452" s="15">
        <v>25</v>
      </c>
      <c r="AA452" s="15" t="str">
        <v>Ecuador</v>
      </c>
      <c r="AB452" s="15" t="str">
        <v>CB</v>
      </c>
      <c r="AC452" s="15" t="str">
        <v>Tijuana</v>
      </c>
      <c r="AD452" s="15">
        <v>25</v>
      </c>
      <c r="AF452" s="42">
        <v>1990</v>
      </c>
      <c r="AG452" s="42" t="str">
        <v xml:space="preserve">23 Jun 1990 - 21:00 </v>
      </c>
      <c r="AH452" s="42" t="str">
        <v>ROUND_OF_16</v>
      </c>
      <c r="AI452" s="42" t="str">
        <v>Stadio San Nicola</v>
      </c>
      <c r="AJ452" s="42" t="str">
        <v xml:space="preserve">Bari </v>
      </c>
      <c r="AK452" s="42" t="str">
        <v>Czechoslovakia</v>
      </c>
      <c r="AL452" s="42">
        <v>4</v>
      </c>
      <c r="AM452" s="42">
        <v>1</v>
      </c>
      <c r="AN452" s="42" t="str">
        <v>Costa Rica</v>
      </c>
      <c r="AO452" s="42" t="str">
        <v>-</v>
      </c>
    </row>
    <row r="453" spans="24:41">
      <c r="X453" s="15">
        <v>451</v>
      </c>
      <c r="Y453" s="15" t="str">
        <v>Pervis Estupiñán</v>
      </c>
      <c r="Z453" s="15">
        <v>28</v>
      </c>
      <c r="AA453" s="15" t="str">
        <v>Ecuador</v>
      </c>
      <c r="AB453" s="15" t="str">
        <v>LB</v>
      </c>
      <c r="AC453" s="15" t="str">
        <v>AC Milan</v>
      </c>
      <c r="AD453" s="15">
        <v>7</v>
      </c>
      <c r="AF453" s="42">
        <v>1990</v>
      </c>
      <c r="AG453" s="42" t="str">
        <v xml:space="preserve">24 Jun 1990 - 17:00 </v>
      </c>
      <c r="AH453" s="42" t="str">
        <v>ROUND_OF_16</v>
      </c>
      <c r="AI453" s="42" t="str">
        <v>Stadio delle Alpi</v>
      </c>
      <c r="AJ453" s="42" t="str">
        <v xml:space="preserve">Turin </v>
      </c>
      <c r="AK453" s="42" t="str">
        <v>Brazil</v>
      </c>
      <c r="AL453" s="42">
        <v>0</v>
      </c>
      <c r="AM453" s="42">
        <v>1</v>
      </c>
      <c r="AN453" s="42" t="str">
        <v>Argentina</v>
      </c>
      <c r="AO453" s="42" t="str">
        <v>-</v>
      </c>
    </row>
    <row r="454" spans="24:41">
      <c r="X454" s="15">
        <v>452</v>
      </c>
      <c r="Y454" s="15" t="str">
        <v>Yaimar Medina</v>
      </c>
      <c r="Z454" s="15">
        <v>21</v>
      </c>
      <c r="AA454" s="15" t="str">
        <v>Ecuador</v>
      </c>
      <c r="AB454" s="15" t="str">
        <v>LB</v>
      </c>
      <c r="AC454" s="15" t="str">
        <v>Genk</v>
      </c>
      <c r="AD454" s="15">
        <v>26</v>
      </c>
      <c r="AF454" s="42">
        <v>1990</v>
      </c>
      <c r="AG454" s="42" t="str">
        <v xml:space="preserve">24 Jun 1990 - 21:00 </v>
      </c>
      <c r="AH454" s="42" t="str">
        <v>ROUND_OF_16</v>
      </c>
      <c r="AI454" s="42" t="str">
        <v>Giuseppe Meazza</v>
      </c>
      <c r="AJ454" s="42" t="str">
        <v xml:space="preserve">Milan </v>
      </c>
      <c r="AK454" s="42" t="str">
        <v>FR Germany</v>
      </c>
      <c r="AL454" s="42">
        <v>2</v>
      </c>
      <c r="AM454" s="42">
        <v>1</v>
      </c>
      <c r="AN454" s="42" t="str">
        <v>Netherlands</v>
      </c>
      <c r="AO454" s="42" t="str">
        <v>-</v>
      </c>
    </row>
    <row r="455" spans="24:41">
      <c r="X455" s="15">
        <v>453</v>
      </c>
      <c r="Y455" s="15" t="str">
        <v>Ángelo Preciado</v>
      </c>
      <c r="Z455" s="15">
        <v>28</v>
      </c>
      <c r="AA455" s="15" t="str">
        <v>Ecuador</v>
      </c>
      <c r="AB455" s="15" t="str">
        <v>RB</v>
      </c>
      <c r="AC455" s="15" t="str">
        <v>Atlético Mineiro</v>
      </c>
      <c r="AD455" s="15">
        <v>17</v>
      </c>
      <c r="AF455" s="42">
        <v>1990</v>
      </c>
      <c r="AG455" s="42" t="str">
        <v xml:space="preserve">25 Jun 1990 - 17:00 </v>
      </c>
      <c r="AH455" s="42" t="str">
        <v>ROUND_OF_16</v>
      </c>
      <c r="AI455" s="42" t="str">
        <v>Luigi Ferraris</v>
      </c>
      <c r="AJ455" s="42" t="str">
        <v xml:space="preserve">Genoa </v>
      </c>
      <c r="AK455" s="42" t="str">
        <v>Ireland</v>
      </c>
      <c r="AL455" s="42">
        <v>0</v>
      </c>
      <c r="AM455" s="42">
        <v>0</v>
      </c>
      <c r="AN455" s="42" t="str">
        <v>Romania</v>
      </c>
      <c r="AO455" s="42" t="str">
        <v>Republic of Ireland win on penalties (5 - 4)</v>
      </c>
    </row>
    <row r="456" spans="24:41">
      <c r="X456" s="15">
        <v>454</v>
      </c>
      <c r="Y456" s="15" t="str">
        <v>Moisés Caicedo</v>
      </c>
      <c r="Z456" s="15">
        <v>24</v>
      </c>
      <c r="AA456" s="15" t="str">
        <v>Ecuador</v>
      </c>
      <c r="AB456" s="15" t="str">
        <v>CDM</v>
      </c>
      <c r="AC456" s="15" t="str">
        <v>Chelsea</v>
      </c>
      <c r="AD456" s="15">
        <v>23</v>
      </c>
      <c r="AF456" s="42">
        <v>1990</v>
      </c>
      <c r="AG456" s="42" t="str">
        <v xml:space="preserve">25 Jun 1990 - 21:00 </v>
      </c>
      <c r="AH456" s="42" t="str">
        <v>ROUND_OF_16</v>
      </c>
      <c r="AI456" s="42" t="str">
        <v>Stadio Olimpico</v>
      </c>
      <c r="AJ456" s="42" t="str">
        <v xml:space="preserve">Rome </v>
      </c>
      <c r="AK456" s="42" t="str">
        <v>Italy</v>
      </c>
      <c r="AL456" s="42">
        <v>2</v>
      </c>
      <c r="AM456" s="42">
        <v>0</v>
      </c>
      <c r="AN456" s="42" t="str">
        <v>Uruguay</v>
      </c>
      <c r="AO456" s="42" t="str">
        <v>-</v>
      </c>
    </row>
    <row r="457" spans="24:41">
      <c r="X457" s="15">
        <v>455</v>
      </c>
      <c r="Y457" s="15" t="str">
        <v>Jordy Alcívar</v>
      </c>
      <c r="Z457" s="15">
        <v>26</v>
      </c>
      <c r="AA457" s="15" t="str">
        <v>Ecuador</v>
      </c>
      <c r="AB457" s="15" t="str">
        <v>CM</v>
      </c>
      <c r="AC457" s="15" t="str">
        <v>Independiente del Valle</v>
      </c>
      <c r="AD457" s="15">
        <v>5</v>
      </c>
      <c r="AF457" s="42">
        <v>1990</v>
      </c>
      <c r="AG457" s="42" t="str">
        <v xml:space="preserve">26 Jun 1990 - 17:00 </v>
      </c>
      <c r="AH457" s="42" t="str">
        <v>ROUND_OF_16</v>
      </c>
      <c r="AI457" s="42" t="str">
        <v>Marc Antonio Bentegodi</v>
      </c>
      <c r="AJ457" s="42" t="str">
        <v xml:space="preserve">Verona </v>
      </c>
      <c r="AK457" s="42" t="str">
        <v>Spain</v>
      </c>
      <c r="AL457" s="42">
        <v>1</v>
      </c>
      <c r="AM457" s="42">
        <v>2</v>
      </c>
      <c r="AN457" s="42" t="str">
        <v>Yugoslavia</v>
      </c>
      <c r="AO457" s="42" t="str">
        <v>Yugoslavia win after extra time</v>
      </c>
    </row>
    <row r="458" spans="24:41">
      <c r="X458" s="15">
        <v>456</v>
      </c>
      <c r="Y458" s="15" t="str">
        <v>Anthony Valencia</v>
      </c>
      <c r="Z458" s="15">
        <v>22</v>
      </c>
      <c r="AA458" s="15" t="str">
        <v>Ecuador</v>
      </c>
      <c r="AB458" s="15" t="str">
        <v>CM</v>
      </c>
      <c r="AC458" s="15" t="str">
        <v>Antwerp</v>
      </c>
      <c r="AD458" s="15">
        <v>8</v>
      </c>
      <c r="AF458" s="42">
        <v>1990</v>
      </c>
      <c r="AG458" s="42" t="str">
        <v xml:space="preserve">26 Jun 1990 - 21:00 </v>
      </c>
      <c r="AH458" s="42" t="str">
        <v>ROUND_OF_16</v>
      </c>
      <c r="AI458" s="42" t="str">
        <v>Renato Dall Ara</v>
      </c>
      <c r="AJ458" s="42" t="str">
        <v xml:space="preserve">Bologna </v>
      </c>
      <c r="AK458" s="42" t="str">
        <v>England</v>
      </c>
      <c r="AL458" s="42">
        <v>1</v>
      </c>
      <c r="AM458" s="42">
        <v>0</v>
      </c>
      <c r="AN458" s="42" t="str">
        <v>Belgium</v>
      </c>
      <c r="AO458" s="42" t="str">
        <v>England win after extra time</v>
      </c>
    </row>
    <row r="459" spans="24:41">
      <c r="X459" s="15">
        <v>457</v>
      </c>
      <c r="Y459" s="15" t="str">
        <v>Denil Castillo</v>
      </c>
      <c r="Z459" s="15">
        <v>22</v>
      </c>
      <c r="AA459" s="15" t="str">
        <v>Ecuador</v>
      </c>
      <c r="AB459" s="15" t="str">
        <v>CM</v>
      </c>
      <c r="AC459" s="15" t="str">
        <v>Midtjylland</v>
      </c>
      <c r="AD459" s="15">
        <v>18</v>
      </c>
      <c r="AF459" s="42">
        <v>1990</v>
      </c>
      <c r="AG459" s="42" t="str">
        <v xml:space="preserve">30 Jun 1990 - 17:00 </v>
      </c>
      <c r="AH459" s="42" t="str">
        <v>QUARTER_FINALS</v>
      </c>
      <c r="AI459" s="42" t="str">
        <v>Comunale</v>
      </c>
      <c r="AJ459" s="42" t="str">
        <v xml:space="preserve">Florence </v>
      </c>
      <c r="AK459" s="42" t="str">
        <v>Yugoslavia</v>
      </c>
      <c r="AL459" s="42">
        <v>0</v>
      </c>
      <c r="AM459" s="42">
        <v>0</v>
      </c>
      <c r="AN459" s="42" t="str">
        <v>Argentina</v>
      </c>
      <c r="AO459" s="42" t="str">
        <v>win on penalties (2 - 3)</v>
      </c>
    </row>
    <row r="460" spans="24:41">
      <c r="X460" s="15">
        <v>458</v>
      </c>
      <c r="Y460" s="15" t="str">
        <v>Alan Franco</v>
      </c>
      <c r="Z460" s="15">
        <v>27</v>
      </c>
      <c r="AA460" s="15" t="str">
        <v>Ecuador</v>
      </c>
      <c r="AB460" s="15" t="str">
        <v>CM</v>
      </c>
      <c r="AC460" s="15" t="str">
        <v>Atlético Mineiro</v>
      </c>
      <c r="AD460" s="15">
        <v>21</v>
      </c>
      <c r="AF460" s="42">
        <v>1990</v>
      </c>
      <c r="AG460" s="42" t="str">
        <v xml:space="preserve">30 Jun 1990 - 21:00 </v>
      </c>
      <c r="AH460" s="42" t="str">
        <v>QUARTER_FINALS</v>
      </c>
      <c r="AI460" s="42" t="str">
        <v>Stadio Olimpico</v>
      </c>
      <c r="AJ460" s="42" t="str">
        <v xml:space="preserve">Rome </v>
      </c>
      <c r="AK460" s="42" t="str">
        <v>Italy</v>
      </c>
      <c r="AL460" s="42">
        <v>1</v>
      </c>
      <c r="AM460" s="42">
        <v>0</v>
      </c>
      <c r="AN460" s="42" t="str">
        <v>Ireland</v>
      </c>
      <c r="AO460" s="42" t="str">
        <v>-</v>
      </c>
    </row>
    <row r="461" spans="24:41">
      <c r="X461" s="15">
        <v>459</v>
      </c>
      <c r="Y461" s="15" t="str">
        <v>Kendry Páez</v>
      </c>
      <c r="Z461" s="15">
        <v>19</v>
      </c>
      <c r="AA461" s="15" t="str">
        <v>Ecuador</v>
      </c>
      <c r="AB461" s="15" t="str">
        <v>CAM</v>
      </c>
      <c r="AC461" s="15" t="str">
        <v>River Plate</v>
      </c>
      <c r="AD461" s="15">
        <v>10</v>
      </c>
      <c r="AF461" s="42">
        <v>1990</v>
      </c>
      <c r="AG461" s="42" t="str">
        <v xml:space="preserve">01 Jul 1990 - 17:00 </v>
      </c>
      <c r="AH461" s="42" t="str">
        <v>QUARTER_FINALS</v>
      </c>
      <c r="AI461" s="42" t="str">
        <v>Giuseppe Meazza</v>
      </c>
      <c r="AJ461" s="42" t="str">
        <v xml:space="preserve">Milan </v>
      </c>
      <c r="AK461" s="42" t="str">
        <v>FR Germany</v>
      </c>
      <c r="AL461" s="42">
        <v>1</v>
      </c>
      <c r="AM461" s="42">
        <v>0</v>
      </c>
      <c r="AN461" s="42" t="str">
        <v>Czechoslovakia</v>
      </c>
      <c r="AO461" s="42" t="str">
        <v>-</v>
      </c>
    </row>
    <row r="462" spans="24:41">
      <c r="X462" s="15">
        <v>460</v>
      </c>
      <c r="Y462" s="15" t="str">
        <v>Pedro Vite</v>
      </c>
      <c r="Z462" s="15">
        <v>24</v>
      </c>
      <c r="AA462" s="15" t="str">
        <v>Ecuador</v>
      </c>
      <c r="AB462" s="15" t="str">
        <v>CAM</v>
      </c>
      <c r="AC462" s="15" t="str">
        <v>Pumas UNAM</v>
      </c>
      <c r="AD462" s="15">
        <v>15</v>
      </c>
      <c r="AF462" s="42">
        <v>1990</v>
      </c>
      <c r="AG462" s="42" t="str">
        <v xml:space="preserve">01 Jul 1990 - 21:00 </v>
      </c>
      <c r="AH462" s="42" t="str">
        <v>QUARTER_FINALS</v>
      </c>
      <c r="AI462" s="42" t="str">
        <v>San Paolo</v>
      </c>
      <c r="AJ462" s="42" t="str">
        <v xml:space="preserve">Naples </v>
      </c>
      <c r="AK462" s="42" t="str">
        <v>England</v>
      </c>
      <c r="AL462" s="42">
        <v>3</v>
      </c>
      <c r="AM462" s="42">
        <v>2</v>
      </c>
      <c r="AN462" s="42" t="str">
        <v>Cameroon</v>
      </c>
      <c r="AO462" s="42" t="str">
        <v>England win after extra time</v>
      </c>
    </row>
    <row r="463" spans="24:41">
      <c r="X463" s="15">
        <v>461</v>
      </c>
      <c r="Y463" s="15" t="str">
        <v>Alan Minda</v>
      </c>
      <c r="Z463" s="15">
        <v>23</v>
      </c>
      <c r="AA463" s="15" t="str">
        <v>Ecuador</v>
      </c>
      <c r="AB463" s="15" t="str">
        <v>LW</v>
      </c>
      <c r="AC463" s="15" t="str">
        <v>Atlético Mineiro</v>
      </c>
      <c r="AD463" s="15">
        <v>14</v>
      </c>
      <c r="AF463" s="42">
        <v>1990</v>
      </c>
      <c r="AG463" s="42" t="str">
        <v xml:space="preserve">03 Jul 1990 - 20:00 </v>
      </c>
      <c r="AH463" s="42" t="str">
        <v>SEMI_FINALS</v>
      </c>
      <c r="AI463" s="42" t="str">
        <v>San Paolo</v>
      </c>
      <c r="AJ463" s="42" t="str">
        <v xml:space="preserve">Naples </v>
      </c>
      <c r="AK463" s="42" t="str">
        <v>Italy</v>
      </c>
      <c r="AL463" s="42">
        <v>1</v>
      </c>
      <c r="AM463" s="42">
        <v>1</v>
      </c>
      <c r="AN463" s="42" t="str">
        <v>Argentina</v>
      </c>
      <c r="AO463" s="42" t="str">
        <v>win on penalties (3 - 4)</v>
      </c>
    </row>
    <row r="464" spans="24:41">
      <c r="X464" s="15">
        <v>462</v>
      </c>
      <c r="Y464" s="15" t="str">
        <v>Gonzalo Plata</v>
      </c>
      <c r="Z464" s="15">
        <v>25</v>
      </c>
      <c r="AA464" s="15" t="str">
        <v>Ecuador</v>
      </c>
      <c r="AB464" s="15" t="str">
        <v>LW</v>
      </c>
      <c r="AC464" s="15" t="str">
        <v>Flamengo</v>
      </c>
      <c r="AD464" s="15">
        <v>19</v>
      </c>
      <c r="AF464" s="42">
        <v>1990</v>
      </c>
      <c r="AG464" s="42" t="str">
        <v xml:space="preserve">04 Jul 1990 - 20:00 </v>
      </c>
      <c r="AH464" s="42" t="str">
        <v>SEMI_FINALS</v>
      </c>
      <c r="AI464" s="42" t="str">
        <v>Stadio delle Alpi</v>
      </c>
      <c r="AJ464" s="42" t="str">
        <v xml:space="preserve">Turin </v>
      </c>
      <c r="AK464" s="42" t="str">
        <v>FR Germany</v>
      </c>
      <c r="AL464" s="42">
        <v>1</v>
      </c>
      <c r="AM464" s="42">
        <v>1</v>
      </c>
      <c r="AN464" s="42" t="str">
        <v>England</v>
      </c>
      <c r="AO464" s="42" t="str">
        <v>win on penalties (4 - 3)</v>
      </c>
    </row>
    <row r="465" spans="24:41">
      <c r="X465" s="15">
        <v>463</v>
      </c>
      <c r="Y465" s="15" t="str">
        <v>Nilson Angulo</v>
      </c>
      <c r="Z465" s="15">
        <v>22</v>
      </c>
      <c r="AA465" s="15" t="str">
        <v>Ecuador</v>
      </c>
      <c r="AB465" s="15" t="str">
        <v>LW</v>
      </c>
      <c r="AC465" s="15" t="str">
        <v>Sunderland</v>
      </c>
      <c r="AD465" s="15">
        <v>20</v>
      </c>
      <c r="AF465" s="42">
        <v>1990</v>
      </c>
      <c r="AG465" s="42" t="str">
        <v xml:space="preserve">07 Jul 1990 - 20:00 </v>
      </c>
      <c r="AH465" s="42" t="str">
        <v>THIRD_PLACE</v>
      </c>
      <c r="AI465" s="42" t="str">
        <v>Stadio San Nicola</v>
      </c>
      <c r="AJ465" s="42" t="str">
        <v xml:space="preserve">Bari </v>
      </c>
      <c r="AK465" s="42" t="str">
        <v>Italy</v>
      </c>
      <c r="AL465" s="42">
        <v>2</v>
      </c>
      <c r="AM465" s="42">
        <v>1</v>
      </c>
      <c r="AN465" s="42" t="str">
        <v>England</v>
      </c>
      <c r="AO465" s="42" t="str">
        <v>-</v>
      </c>
    </row>
    <row r="466" spans="24:41">
      <c r="X466" s="15">
        <v>464</v>
      </c>
      <c r="Y466" s="15" t="str">
        <v>John Yeboah</v>
      </c>
      <c r="Z466" s="15">
        <v>25</v>
      </c>
      <c r="AA466" s="15" t="str">
        <v>Ecuador</v>
      </c>
      <c r="AB466" s="15" t="str">
        <v>RW</v>
      </c>
      <c r="AC466" s="15" t="str">
        <v>Venezia</v>
      </c>
      <c r="AD466" s="15">
        <v>9</v>
      </c>
      <c r="AF466" s="42">
        <v>1990</v>
      </c>
      <c r="AG466" s="42" t="str">
        <v xml:space="preserve">08 Jul 1990 - 20:00 </v>
      </c>
      <c r="AH466" s="42" t="str">
        <v>FINAL</v>
      </c>
      <c r="AI466" s="42" t="str">
        <v>Stadio Olimpico</v>
      </c>
      <c r="AJ466" s="42" t="str">
        <v xml:space="preserve">Rome </v>
      </c>
      <c r="AK466" s="42" t="str">
        <v>FR Germany</v>
      </c>
      <c r="AL466" s="42">
        <v>1</v>
      </c>
      <c r="AM466" s="42">
        <v>0</v>
      </c>
      <c r="AN466" s="42" t="str">
        <v>Argentina</v>
      </c>
      <c r="AO466" s="42" t="str">
        <v>-</v>
      </c>
    </row>
    <row r="467" spans="24:41">
      <c r="X467" s="15">
        <v>465</v>
      </c>
      <c r="Y467" s="15" t="str">
        <v>Jeremy Arévalo</v>
      </c>
      <c r="Z467" s="15">
        <v>21</v>
      </c>
      <c r="AA467" s="15" t="str">
        <v>Ecuador</v>
      </c>
      <c r="AB467" s="15" t="str">
        <v>RW</v>
      </c>
      <c r="AC467" s="15" t="str">
        <v>VfB Stuttgart</v>
      </c>
      <c r="AD467" s="15">
        <v>24</v>
      </c>
      <c r="AF467" s="42">
        <v>1994</v>
      </c>
      <c r="AG467" s="42" t="str">
        <v xml:space="preserve">17 Jun 1994 - 19:30 </v>
      </c>
      <c r="AH467" s="42" t="str">
        <v>GROUP_STAGE</v>
      </c>
      <c r="AI467" s="42" t="str">
        <v>Cotton Bowl</v>
      </c>
      <c r="AJ467" s="42" t="str">
        <v xml:space="preserve">Dallas </v>
      </c>
      <c r="AK467" s="42" t="str">
        <v>Spain</v>
      </c>
      <c r="AL467" s="42">
        <v>2</v>
      </c>
      <c r="AM467" s="42">
        <v>2</v>
      </c>
      <c r="AN467" s="42" t="str">
        <v>South Korea</v>
      </c>
      <c r="AO467" s="42" t="str">
        <v>-</v>
      </c>
    </row>
    <row r="468" spans="24:41">
      <c r="X468" s="15">
        <v>466</v>
      </c>
      <c r="Y468" s="15" t="str">
        <v>Kevin Rodríguez</v>
      </c>
      <c r="Z468" s="15">
        <v>26</v>
      </c>
      <c r="AA468" s="15" t="str">
        <v>Ecuador</v>
      </c>
      <c r="AB468" s="15" t="str">
        <v>ST</v>
      </c>
      <c r="AC468" s="15" t="str">
        <v>Union Saint-Gilloise</v>
      </c>
      <c r="AD468" s="15">
        <v>11</v>
      </c>
      <c r="AF468" s="42">
        <v>1994</v>
      </c>
      <c r="AG468" s="42" t="str">
        <v xml:space="preserve">17 Jun 1994 - 15:00 </v>
      </c>
      <c r="AH468" s="42" t="str">
        <v>GROUP_STAGE</v>
      </c>
      <c r="AI468" s="42" t="str">
        <v>Soldier Field</v>
      </c>
      <c r="AJ468" s="42" t="str">
        <v xml:space="preserve">Chicago </v>
      </c>
      <c r="AK468" s="42" t="str">
        <v>Germany</v>
      </c>
      <c r="AL468" s="42">
        <v>1</v>
      </c>
      <c r="AM468" s="42">
        <v>0</v>
      </c>
      <c r="AN468" s="42" t="str">
        <v>Bolivia</v>
      </c>
      <c r="AO468" s="42" t="str">
        <v>-</v>
      </c>
    </row>
    <row r="469" spans="24:41">
      <c r="X469" s="15">
        <v>467</v>
      </c>
      <c r="Y469" s="15" t="str">
        <v>Enner Valencia</v>
      </c>
      <c r="Z469" s="15">
        <v>36</v>
      </c>
      <c r="AA469" s="15" t="str">
        <v>Ecuador</v>
      </c>
      <c r="AB469" s="15" t="str">
        <v>ST</v>
      </c>
      <c r="AC469" s="15" t="str">
        <v>Pachuca</v>
      </c>
      <c r="AD469" s="15">
        <v>13</v>
      </c>
      <c r="AF469" s="42">
        <v>1994</v>
      </c>
      <c r="AG469" s="42" t="str">
        <v xml:space="preserve">18 Jun 1994 - 11:30 </v>
      </c>
      <c r="AH469" s="42" t="str">
        <v>GROUP_STAGE</v>
      </c>
      <c r="AI469" s="42" t="str">
        <v>Pontiac Silverdome</v>
      </c>
      <c r="AJ469" s="42" t="str">
        <v xml:space="preserve">Detroit </v>
      </c>
      <c r="AK469" s="42" t="str">
        <v>United States</v>
      </c>
      <c r="AL469" s="42">
        <v>1</v>
      </c>
      <c r="AM469" s="42">
        <v>1</v>
      </c>
      <c r="AN469" s="42" t="str">
        <v>Switzerland</v>
      </c>
      <c r="AO469" s="42" t="str">
        <v>-</v>
      </c>
    </row>
    <row r="470" spans="24:41">
      <c r="X470" s="15">
        <v>468</v>
      </c>
      <c r="Y470" s="15" t="str">
        <v>Jordy Caicedo</v>
      </c>
      <c r="Z470" s="15">
        <v>28</v>
      </c>
      <c r="AA470" s="15" t="str">
        <v>Ecuador</v>
      </c>
      <c r="AB470" s="15" t="str">
        <v>ST</v>
      </c>
      <c r="AC470" s="15" t="str">
        <v>Huracán</v>
      </c>
      <c r="AD470" s="15">
        <v>16</v>
      </c>
      <c r="AF470" s="42">
        <v>1994</v>
      </c>
      <c r="AG470" s="42" t="str">
        <v xml:space="preserve">18 Jun 1994 - 16:00 </v>
      </c>
      <c r="AH470" s="42" t="str">
        <v>GROUP_STAGE</v>
      </c>
      <c r="AI470" s="42" t="str">
        <v>Giants Stadium</v>
      </c>
      <c r="AJ470" s="42" t="str">
        <v xml:space="preserve">New York/New Jersey </v>
      </c>
      <c r="AK470" s="42" t="str">
        <v>Italy</v>
      </c>
      <c r="AL470" s="42">
        <v>0</v>
      </c>
      <c r="AM470" s="42">
        <v>1</v>
      </c>
      <c r="AN470" s="42" t="str">
        <v>Ireland</v>
      </c>
      <c r="AO470" s="42" t="str">
        <v>-</v>
      </c>
    </row>
    <row r="471" spans="24:41">
      <c r="X471" s="15">
        <v>469</v>
      </c>
      <c r="Y471" s="15" t="str">
        <v>Manuel Neuer</v>
      </c>
      <c r="Z471" s="15">
        <v>40</v>
      </c>
      <c r="AA471" s="15" t="str">
        <v>Germany</v>
      </c>
      <c r="AB471" s="15" t="str">
        <v>GK</v>
      </c>
      <c r="AC471" s="15" t="str">
        <v>Bayern Munich</v>
      </c>
      <c r="AD471" s="15">
        <v>1</v>
      </c>
      <c r="AF471" s="42">
        <v>1994</v>
      </c>
      <c r="AG471" s="42" t="str">
        <v xml:space="preserve">18 Jun 1994 - 19:30 </v>
      </c>
      <c r="AH471" s="42" t="str">
        <v>GROUP_STAGE</v>
      </c>
      <c r="AI471" s="42" t="str">
        <v>Rose Bowl</v>
      </c>
      <c r="AJ471" s="42" t="str">
        <v xml:space="preserve">Los Angeles </v>
      </c>
      <c r="AK471" s="42" t="str">
        <v>Colombia</v>
      </c>
      <c r="AL471" s="42">
        <v>1</v>
      </c>
      <c r="AM471" s="42">
        <v>3</v>
      </c>
      <c r="AN471" s="42" t="str">
        <v>Romania</v>
      </c>
      <c r="AO471" s="42" t="str">
        <v>-</v>
      </c>
    </row>
    <row r="472" spans="24:41">
      <c r="X472" s="15">
        <v>470</v>
      </c>
      <c r="Y472" s="15" t="str">
        <v>Oliver Baumann</v>
      </c>
      <c r="Z472" s="15">
        <v>36</v>
      </c>
      <c r="AA472" s="15" t="str">
        <v>Germany</v>
      </c>
      <c r="AB472" s="15" t="str">
        <v>GK</v>
      </c>
      <c r="AC472" s="15" t="str">
        <v>TSG Hoffenheim</v>
      </c>
      <c r="AD472" s="15">
        <v>12</v>
      </c>
      <c r="AF472" s="42">
        <v>1994</v>
      </c>
      <c r="AG472" s="42" t="str">
        <v xml:space="preserve">19 Jun 1994 - 12:30 </v>
      </c>
      <c r="AH472" s="42" t="str">
        <v>GROUP_STAGE</v>
      </c>
      <c r="AI472" s="42" t="str">
        <v>Citrus Bowl</v>
      </c>
      <c r="AJ472" s="42" t="str">
        <v xml:space="preserve">Orlando </v>
      </c>
      <c r="AK472" s="42" t="str">
        <v>Belgium</v>
      </c>
      <c r="AL472" s="42">
        <v>1</v>
      </c>
      <c r="AM472" s="42">
        <v>0</v>
      </c>
      <c r="AN472" s="42" t="str">
        <v>Morocco</v>
      </c>
      <c r="AO472" s="42" t="str">
        <v>-</v>
      </c>
    </row>
    <row r="473" spans="24:41">
      <c r="X473" s="15">
        <v>471</v>
      </c>
      <c r="Y473" s="15" t="str">
        <v>Alexander Nübel</v>
      </c>
      <c r="Z473" s="15">
        <v>29</v>
      </c>
      <c r="AA473" s="15" t="str">
        <v>Germany</v>
      </c>
      <c r="AB473" s="15" t="str">
        <v>GK</v>
      </c>
      <c r="AC473" s="15" t="str">
        <v>VfB Stuttgart</v>
      </c>
      <c r="AD473" s="15">
        <v>21</v>
      </c>
      <c r="AF473" s="42">
        <v>1994</v>
      </c>
      <c r="AG473" s="42" t="str">
        <v xml:space="preserve">19 Jun 1994 - 16:00 </v>
      </c>
      <c r="AH473" s="42" t="str">
        <v>GROUP_STAGE</v>
      </c>
      <c r="AI473" s="42" t="str">
        <v>RFK Stadium</v>
      </c>
      <c r="AJ473" s="42" t="str">
        <v xml:space="preserve">Washington Dc </v>
      </c>
      <c r="AK473" s="42" t="str">
        <v>Norway</v>
      </c>
      <c r="AL473" s="42">
        <v>1</v>
      </c>
      <c r="AM473" s="42">
        <v>0</v>
      </c>
      <c r="AN473" s="42" t="str">
        <v>Mexico</v>
      </c>
      <c r="AO473" s="42" t="str">
        <v>-</v>
      </c>
    </row>
    <row r="474" spans="24:41">
      <c r="X474" s="15">
        <v>472</v>
      </c>
      <c r="Y474" s="15" t="str">
        <v>Antonio Rüdiger</v>
      </c>
      <c r="Z474" s="15">
        <v>33</v>
      </c>
      <c r="AA474" s="15" t="str">
        <v>Germany</v>
      </c>
      <c r="AB474" s="15" t="str">
        <v>CB</v>
      </c>
      <c r="AC474" s="15" t="str">
        <v>Real Madrid</v>
      </c>
      <c r="AD474" s="15">
        <v>2</v>
      </c>
      <c r="AF474" s="42">
        <v>1994</v>
      </c>
      <c r="AG474" s="42" t="str">
        <v xml:space="preserve">19 Jun 1994 - 19:30 </v>
      </c>
      <c r="AH474" s="42" t="str">
        <v>GROUP_STAGE</v>
      </c>
      <c r="AI474" s="42" t="str">
        <v>Rose Bowl</v>
      </c>
      <c r="AJ474" s="42" t="str">
        <v xml:space="preserve">Los Angeles </v>
      </c>
      <c r="AK474" s="42" t="str">
        <v>Cameroon</v>
      </c>
      <c r="AL474" s="42">
        <v>2</v>
      </c>
      <c r="AM474" s="42">
        <v>2</v>
      </c>
      <c r="AN474" s="42" t="str">
        <v>Sweden</v>
      </c>
      <c r="AO474" s="42" t="str">
        <v>-</v>
      </c>
    </row>
    <row r="475" spans="24:41">
      <c r="X475" s="15">
        <v>473</v>
      </c>
      <c r="Y475" s="15" t="str">
        <v>Waldemar Anton</v>
      </c>
      <c r="Z475" s="15">
        <v>29</v>
      </c>
      <c r="AA475" s="15" t="str">
        <v>Germany</v>
      </c>
      <c r="AB475" s="15" t="str">
        <v>CB</v>
      </c>
      <c r="AC475" s="15" t="str">
        <v>Borussia Dortmund</v>
      </c>
      <c r="AD475" s="15">
        <v>3</v>
      </c>
      <c r="AF475" s="42">
        <v>1994</v>
      </c>
      <c r="AG475" s="42" t="str">
        <v xml:space="preserve">20 Jun 1994 - 19:30 </v>
      </c>
      <c r="AH475" s="42" t="str">
        <v>GROUP_STAGE</v>
      </c>
      <c r="AI475" s="42" t="str">
        <v>RFK Stadium</v>
      </c>
      <c r="AJ475" s="42" t="str">
        <v xml:space="preserve">Washington Dc </v>
      </c>
      <c r="AK475" s="42" t="str">
        <v>Netherlands</v>
      </c>
      <c r="AL475" s="42">
        <v>2</v>
      </c>
      <c r="AM475" s="42">
        <v>1</v>
      </c>
      <c r="AN475" s="42" t="str">
        <v>Saudi Arabia</v>
      </c>
      <c r="AO475" s="42" t="str">
        <v>-</v>
      </c>
    </row>
    <row r="476" spans="24:41">
      <c r="X476" s="15">
        <v>474</v>
      </c>
      <c r="Y476" s="15" t="str">
        <v>Jonathan Tah</v>
      </c>
      <c r="Z476" s="15">
        <v>30</v>
      </c>
      <c r="AA476" s="15" t="str">
        <v>Germany</v>
      </c>
      <c r="AB476" s="15" t="str">
        <v>CB</v>
      </c>
      <c r="AC476" s="15" t="str">
        <v>Bayern Munich</v>
      </c>
      <c r="AD476" s="15">
        <v>4</v>
      </c>
      <c r="AF476" s="42">
        <v>1994</v>
      </c>
      <c r="AG476" s="42" t="str">
        <v xml:space="preserve">20 Jun 1994 - 16:00 </v>
      </c>
      <c r="AH476" s="42" t="str">
        <v>GROUP_STAGE</v>
      </c>
      <c r="AI476" s="42" t="str">
        <v>Stanford Stadium</v>
      </c>
      <c r="AJ476" s="42" t="str">
        <v xml:space="preserve">San Francisco </v>
      </c>
      <c r="AK476" s="42" t="str">
        <v>Brazil</v>
      </c>
      <c r="AL476" s="42">
        <v>2</v>
      </c>
      <c r="AM476" s="42">
        <v>0</v>
      </c>
      <c r="AN476" s="42" t="str">
        <v>Russia</v>
      </c>
      <c r="AO476" s="42" t="str">
        <v>-</v>
      </c>
    </row>
    <row r="477" spans="24:41">
      <c r="X477" s="15">
        <v>475</v>
      </c>
      <c r="Y477" s="15" t="str">
        <v>Nico Schlotterbeck</v>
      </c>
      <c r="Z477" s="15">
        <v>26</v>
      </c>
      <c r="AA477" s="15" t="str">
        <v>Germany</v>
      </c>
      <c r="AB477" s="15" t="str">
        <v>CB</v>
      </c>
      <c r="AC477" s="15" t="str">
        <v>Borussia Dortmund</v>
      </c>
      <c r="AD477" s="15">
        <v>15</v>
      </c>
      <c r="AF477" s="42">
        <v>1994</v>
      </c>
      <c r="AG477" s="42" t="str">
        <v xml:space="preserve">21 Jun 1994 - 12:30 </v>
      </c>
      <c r="AH477" s="42" t="str">
        <v>GROUP_STAGE</v>
      </c>
      <c r="AI477" s="42" t="str">
        <v>Foxboro Stadium</v>
      </c>
      <c r="AJ477" s="42" t="str">
        <v xml:space="preserve">Boston </v>
      </c>
      <c r="AK477" s="42" t="str">
        <v>Argentina</v>
      </c>
      <c r="AL477" s="42">
        <v>4</v>
      </c>
      <c r="AM477" s="42">
        <v>0</v>
      </c>
      <c r="AN477" s="42" t="str">
        <v>Greece</v>
      </c>
      <c r="AO477" s="42" t="str">
        <v>-</v>
      </c>
    </row>
    <row r="478" spans="24:41">
      <c r="X478" s="15">
        <v>476</v>
      </c>
      <c r="Y478" s="15" t="str">
        <v>Malick Thiaw</v>
      </c>
      <c r="Z478" s="15">
        <v>24</v>
      </c>
      <c r="AA478" s="15" t="str">
        <v>Germany</v>
      </c>
      <c r="AB478" s="15" t="str">
        <v>CB</v>
      </c>
      <c r="AC478" s="15" t="str">
        <v>Newcastle United</v>
      </c>
      <c r="AD478" s="15">
        <v>24</v>
      </c>
      <c r="AF478" s="42">
        <v>1994</v>
      </c>
      <c r="AG478" s="42" t="str">
        <v xml:space="preserve">21 Jun 1994 - 19:30 </v>
      </c>
      <c r="AH478" s="42" t="str">
        <v>GROUP_STAGE</v>
      </c>
      <c r="AI478" s="42" t="str">
        <v>Cotton Bowl</v>
      </c>
      <c r="AJ478" s="42" t="str">
        <v xml:space="preserve">Dallas </v>
      </c>
      <c r="AK478" s="42" t="str">
        <v>Nigeria</v>
      </c>
      <c r="AL478" s="42">
        <v>3</v>
      </c>
      <c r="AM478" s="42">
        <v>0</v>
      </c>
      <c r="AN478" s="42" t="str">
        <v>Bulgaria</v>
      </c>
      <c r="AO478" s="42" t="str">
        <v>-</v>
      </c>
    </row>
    <row r="479" spans="24:41">
      <c r="X479" s="15">
        <v>477</v>
      </c>
      <c r="Y479" s="15" t="str">
        <v>Nathaniel Brown</v>
      </c>
      <c r="Z479" s="15">
        <v>22</v>
      </c>
      <c r="AA479" s="15" t="str">
        <v>Germany</v>
      </c>
      <c r="AB479" s="15" t="str">
        <v>LB</v>
      </c>
      <c r="AC479" s="15" t="str">
        <v>Eintracht Frankfurt</v>
      </c>
      <c r="AD479" s="15">
        <v>18</v>
      </c>
      <c r="AF479" s="42">
        <v>1994</v>
      </c>
      <c r="AG479" s="42" t="str">
        <v xml:space="preserve">21 Jun 1994 - 16:00 </v>
      </c>
      <c r="AH479" s="42" t="str">
        <v>GROUP_STAGE</v>
      </c>
      <c r="AI479" s="42" t="str">
        <v>Soldier Field</v>
      </c>
      <c r="AJ479" s="42" t="str">
        <v xml:space="preserve">Chicago </v>
      </c>
      <c r="AK479" s="42" t="str">
        <v>Germany</v>
      </c>
      <c r="AL479" s="42">
        <v>1</v>
      </c>
      <c r="AM479" s="42">
        <v>1</v>
      </c>
      <c r="AN479" s="42" t="str">
        <v>Spain</v>
      </c>
      <c r="AO479" s="42" t="str">
        <v>-</v>
      </c>
    </row>
    <row r="480" spans="24:41">
      <c r="X480" s="15">
        <v>478</v>
      </c>
      <c r="Y480" s="15" t="str">
        <v>David Raum</v>
      </c>
      <c r="Z480" s="15">
        <v>28</v>
      </c>
      <c r="AA480" s="15" t="str">
        <v>Germany</v>
      </c>
      <c r="AB480" s="15" t="str">
        <v>LB</v>
      </c>
      <c r="AC480" s="15" t="str">
        <v>RB Leipzig</v>
      </c>
      <c r="AD480" s="15">
        <v>22</v>
      </c>
      <c r="AF480" s="42">
        <v>1994</v>
      </c>
      <c r="AG480" s="42" t="str">
        <v xml:space="preserve">22 Jun 1994 - 16:00 </v>
      </c>
      <c r="AH480" s="42" t="str">
        <v>GROUP_STAGE</v>
      </c>
      <c r="AI480" s="42" t="str">
        <v>Pontiac Silverdome</v>
      </c>
      <c r="AJ480" s="42" t="str">
        <v xml:space="preserve">Detroit </v>
      </c>
      <c r="AK480" s="42" t="str">
        <v>Romania</v>
      </c>
      <c r="AL480" s="42">
        <v>1</v>
      </c>
      <c r="AM480" s="42">
        <v>4</v>
      </c>
      <c r="AN480" s="42" t="str">
        <v>Switzerland</v>
      </c>
      <c r="AO480" s="42" t="str">
        <v>-</v>
      </c>
    </row>
    <row r="481" spans="24:41">
      <c r="X481" s="15">
        <v>479</v>
      </c>
      <c r="Y481" s="15" t="str">
        <v>Joshua Kimmich</v>
      </c>
      <c r="Z481" s="15">
        <v>31</v>
      </c>
      <c r="AA481" s="15" t="str">
        <v>Germany</v>
      </c>
      <c r="AB481" s="15" t="str">
        <v>RB</v>
      </c>
      <c r="AC481" s="15" t="str">
        <v>Bayern Munich</v>
      </c>
      <c r="AD481" s="15">
        <v>6</v>
      </c>
      <c r="AF481" s="42">
        <v>1994</v>
      </c>
      <c r="AG481" s="42" t="str">
        <v xml:space="preserve">22 Jun 1994 - 19:30 </v>
      </c>
      <c r="AH481" s="42" t="str">
        <v>GROUP_STAGE</v>
      </c>
      <c r="AI481" s="42" t="str">
        <v>Rose Bowl</v>
      </c>
      <c r="AJ481" s="42" t="str">
        <v xml:space="preserve">Los Angeles </v>
      </c>
      <c r="AK481" s="42" t="str">
        <v>United States</v>
      </c>
      <c r="AL481" s="42">
        <v>2</v>
      </c>
      <c r="AM481" s="42">
        <v>1</v>
      </c>
      <c r="AN481" s="42" t="str">
        <v>Colombia</v>
      </c>
      <c r="AO481" s="42" t="str">
        <v>-</v>
      </c>
    </row>
    <row r="482" spans="24:41">
      <c r="X482" s="15">
        <v>480</v>
      </c>
      <c r="Y482" s="15" t="str">
        <v>Aleksandar Pavlović</v>
      </c>
      <c r="Z482" s="15">
        <v>22</v>
      </c>
      <c r="AA482" s="15" t="str">
        <v>Germany</v>
      </c>
      <c r="AB482" s="15" t="str">
        <v>CDM</v>
      </c>
      <c r="AC482" s="15" t="str">
        <v>Bayern Munich</v>
      </c>
      <c r="AD482" s="15">
        <v>5</v>
      </c>
      <c r="AF482" s="42">
        <v>1994</v>
      </c>
      <c r="AG482" s="42" t="str">
        <v xml:space="preserve">23 Jun 1994 - 16:00 </v>
      </c>
      <c r="AH482" s="42" t="str">
        <v>GROUP_STAGE</v>
      </c>
      <c r="AI482" s="42" t="str">
        <v>Giants Stadium</v>
      </c>
      <c r="AJ482" s="42" t="str">
        <v xml:space="preserve">New York/New Jersey </v>
      </c>
      <c r="AK482" s="42" t="str">
        <v>Italy</v>
      </c>
      <c r="AL482" s="42">
        <v>1</v>
      </c>
      <c r="AM482" s="42">
        <v>0</v>
      </c>
      <c r="AN482" s="42" t="str">
        <v>Norway</v>
      </c>
      <c r="AO482" s="42" t="str">
        <v>-</v>
      </c>
    </row>
    <row r="483" spans="24:41">
      <c r="X483" s="15">
        <v>481</v>
      </c>
      <c r="Y483" s="15" t="str">
        <v>Angelo Stiller</v>
      </c>
      <c r="Z483" s="15">
        <v>25</v>
      </c>
      <c r="AA483" s="15" t="str">
        <v>Germany</v>
      </c>
      <c r="AB483" s="15" t="str">
        <v>CDM</v>
      </c>
      <c r="AC483" s="15" t="str">
        <v>VfB Stuttgart</v>
      </c>
      <c r="AD483" s="15">
        <v>16</v>
      </c>
      <c r="AF483" s="42">
        <v>1994</v>
      </c>
      <c r="AG483" s="42" t="str">
        <v xml:space="preserve">23 Jun 1994 - 19:30 </v>
      </c>
      <c r="AH483" s="42" t="str">
        <v>GROUP_STAGE</v>
      </c>
      <c r="AI483" s="42" t="str">
        <v>Foxboro Stadium</v>
      </c>
      <c r="AJ483" s="42" t="str">
        <v xml:space="preserve">Boston </v>
      </c>
      <c r="AK483" s="42" t="str">
        <v>South Korea</v>
      </c>
      <c r="AL483" s="42">
        <v>0</v>
      </c>
      <c r="AM483" s="42">
        <v>0</v>
      </c>
      <c r="AN483" s="42" t="str">
        <v>Bolivia</v>
      </c>
      <c r="AO483" s="42" t="str">
        <v>-</v>
      </c>
    </row>
    <row r="484" spans="24:41">
      <c r="X484" s="15">
        <v>482</v>
      </c>
      <c r="Y484" s="15" t="str">
        <v>Leon Goretzka</v>
      </c>
      <c r="Z484" s="15">
        <v>31</v>
      </c>
      <c r="AA484" s="15" t="str">
        <v>Germany</v>
      </c>
      <c r="AB484" s="15" t="str">
        <v>CM</v>
      </c>
      <c r="AC484" s="15" t="str">
        <v>Bayern Munich</v>
      </c>
      <c r="AD484" s="15">
        <v>8</v>
      </c>
      <c r="AF484" s="42">
        <v>1994</v>
      </c>
      <c r="AG484" s="42" t="str">
        <v xml:space="preserve">24 Jun 1994 - 12:30 </v>
      </c>
      <c r="AH484" s="42" t="str">
        <v>GROUP_STAGE</v>
      </c>
      <c r="AI484" s="42" t="str">
        <v>Citrus Bowl</v>
      </c>
      <c r="AJ484" s="42" t="str">
        <v xml:space="preserve">Orlando </v>
      </c>
      <c r="AK484" s="42" t="str">
        <v>Mexico</v>
      </c>
      <c r="AL484" s="42">
        <v>2</v>
      </c>
      <c r="AM484" s="42">
        <v>1</v>
      </c>
      <c r="AN484" s="42" t="str">
        <v>Ireland</v>
      </c>
      <c r="AO484" s="42" t="str">
        <v>-</v>
      </c>
    </row>
    <row r="485" spans="24:41">
      <c r="X485" s="15">
        <v>483</v>
      </c>
      <c r="Y485" s="15" t="str">
        <v>Pascal Groß</v>
      </c>
      <c r="Z485" s="15">
        <v>34</v>
      </c>
      <c r="AA485" s="15" t="str">
        <v>Germany</v>
      </c>
      <c r="AB485" s="15" t="str">
        <v>CM</v>
      </c>
      <c r="AC485" s="15" t="str">
        <v>Brighton &amp; Hove Albion</v>
      </c>
      <c r="AD485" s="15">
        <v>13</v>
      </c>
      <c r="AF485" s="42">
        <v>1994</v>
      </c>
      <c r="AG485" s="42" t="str">
        <v xml:space="preserve">24 Jun 1994 - 19:30 </v>
      </c>
      <c r="AH485" s="42" t="str">
        <v>GROUP_STAGE</v>
      </c>
      <c r="AI485" s="42" t="str">
        <v>Pontiac Silverdome</v>
      </c>
      <c r="AJ485" s="42" t="str">
        <v xml:space="preserve">Detroit </v>
      </c>
      <c r="AK485" s="42" t="str">
        <v>Sweden</v>
      </c>
      <c r="AL485" s="42">
        <v>3</v>
      </c>
      <c r="AM485" s="42">
        <v>1</v>
      </c>
      <c r="AN485" s="42" t="str">
        <v>Russia</v>
      </c>
      <c r="AO485" s="42" t="str">
        <v>-</v>
      </c>
    </row>
    <row r="486" spans="24:41">
      <c r="X486" s="15">
        <v>484</v>
      </c>
      <c r="Y486" s="15" t="str">
        <v>Nadiem Amiri</v>
      </c>
      <c r="Z486" s="15">
        <v>29</v>
      </c>
      <c r="AA486" s="15" t="str">
        <v>Germany</v>
      </c>
      <c r="AB486" s="15" t="str">
        <v>CM</v>
      </c>
      <c r="AC486" s="15" t="str">
        <v>Mainz 05</v>
      </c>
      <c r="AD486" s="15">
        <v>20</v>
      </c>
      <c r="AF486" s="42">
        <v>1994</v>
      </c>
      <c r="AG486" s="42" t="str">
        <v xml:space="preserve">24 Jun 1994 - 16:00 </v>
      </c>
      <c r="AH486" s="42" t="str">
        <v>GROUP_STAGE</v>
      </c>
      <c r="AI486" s="42" t="str">
        <v>Stanford Stadium</v>
      </c>
      <c r="AJ486" s="42" t="str">
        <v xml:space="preserve">San Francisco </v>
      </c>
      <c r="AK486" s="42" t="str">
        <v>Brazil</v>
      </c>
      <c r="AL486" s="42">
        <v>3</v>
      </c>
      <c r="AM486" s="42">
        <v>0</v>
      </c>
      <c r="AN486" s="42" t="str">
        <v>Cameroon</v>
      </c>
      <c r="AO486" s="42" t="str">
        <v>-</v>
      </c>
    </row>
    <row r="487" spans="24:41">
      <c r="X487" s="15">
        <v>485</v>
      </c>
      <c r="Y487" s="15" t="str">
        <v>Felix Nmecha</v>
      </c>
      <c r="Z487" s="15">
        <v>25</v>
      </c>
      <c r="AA487" s="15" t="str">
        <v>Germany</v>
      </c>
      <c r="AB487" s="15" t="str">
        <v>CM</v>
      </c>
      <c r="AC487" s="15" t="str">
        <v>Borussia Dortmund</v>
      </c>
      <c r="AD487" s="15">
        <v>23</v>
      </c>
      <c r="AF487" s="42">
        <v>1994</v>
      </c>
      <c r="AG487" s="42" t="str">
        <v xml:space="preserve">25 Jun 1994 - 12:30 </v>
      </c>
      <c r="AH487" s="42" t="str">
        <v>GROUP_STAGE</v>
      </c>
      <c r="AI487" s="42" t="str">
        <v>Citrus Bowl</v>
      </c>
      <c r="AJ487" s="42" t="str">
        <v xml:space="preserve">Orlando </v>
      </c>
      <c r="AK487" s="42" t="str">
        <v>Belgium</v>
      </c>
      <c r="AL487" s="42">
        <v>1</v>
      </c>
      <c r="AM487" s="42">
        <v>0</v>
      </c>
      <c r="AN487" s="42" t="str">
        <v>Netherlands</v>
      </c>
      <c r="AO487" s="42" t="str">
        <v>-</v>
      </c>
    </row>
    <row r="488" spans="24:41">
      <c r="X488" s="15">
        <v>486</v>
      </c>
      <c r="Y488" s="15" t="str">
        <v>Assan Ouédraogo</v>
      </c>
      <c r="Z488" s="15">
        <v>20</v>
      </c>
      <c r="AA488" s="15" t="str">
        <v>Germany</v>
      </c>
      <c r="AB488" s="15" t="str">
        <v>CM</v>
      </c>
      <c r="AC488" s="15" t="str">
        <v>RB Leipzig</v>
      </c>
      <c r="AD488" s="15">
        <v>25</v>
      </c>
      <c r="AF488" s="42">
        <v>1994</v>
      </c>
      <c r="AG488" s="42" t="str">
        <v xml:space="preserve">25 Jun 1994 - 12:30 </v>
      </c>
      <c r="AH488" s="42" t="str">
        <v>GROUP_STAGE</v>
      </c>
      <c r="AI488" s="42" t="str">
        <v>Giants Stadium</v>
      </c>
      <c r="AJ488" s="42" t="str">
        <v xml:space="preserve">New York/New Jersey </v>
      </c>
      <c r="AK488" s="42" t="str">
        <v>Saudi Arabia</v>
      </c>
      <c r="AL488" s="42">
        <v>2</v>
      </c>
      <c r="AM488" s="42">
        <v>1</v>
      </c>
      <c r="AN488" s="42" t="str">
        <v>Morocco</v>
      </c>
      <c r="AO488" s="42" t="str">
        <v>-</v>
      </c>
    </row>
    <row r="489" spans="24:41">
      <c r="X489" s="15">
        <v>487</v>
      </c>
      <c r="Y489" s="15" t="str">
        <v>Jamal Musiala</v>
      </c>
      <c r="Z489" s="15">
        <v>23</v>
      </c>
      <c r="AA489" s="15" t="str">
        <v>Germany</v>
      </c>
      <c r="AB489" s="15" t="str">
        <v>CAM</v>
      </c>
      <c r="AC489" s="15" t="str">
        <v>Bayern Munich</v>
      </c>
      <c r="AD489" s="15">
        <v>10</v>
      </c>
      <c r="AF489" s="42">
        <v>1994</v>
      </c>
      <c r="AG489" s="42" t="str">
        <v xml:space="preserve">25 Jun 1994 - 16:00 </v>
      </c>
      <c r="AH489" s="42" t="str">
        <v>GROUP_STAGE</v>
      </c>
      <c r="AI489" s="42" t="str">
        <v>Foxboro Stadium</v>
      </c>
      <c r="AJ489" s="42" t="str">
        <v xml:space="preserve">Boston </v>
      </c>
      <c r="AK489" s="42" t="str">
        <v>Argentina</v>
      </c>
      <c r="AL489" s="42">
        <v>2</v>
      </c>
      <c r="AM489" s="42">
        <v>1</v>
      </c>
      <c r="AN489" s="42" t="str">
        <v>Nigeria</v>
      </c>
      <c r="AO489" s="42" t="str">
        <v>-</v>
      </c>
    </row>
    <row r="490" spans="24:41">
      <c r="X490" s="15">
        <v>488</v>
      </c>
      <c r="Y490" s="15" t="str">
        <v>Florian Wirtz</v>
      </c>
      <c r="Z490" s="15">
        <v>23</v>
      </c>
      <c r="AA490" s="15" t="str">
        <v>Germany</v>
      </c>
      <c r="AB490" s="15" t="str">
        <v>CAM</v>
      </c>
      <c r="AC490" s="15" t="str">
        <v>Liverpool</v>
      </c>
      <c r="AD490" s="15">
        <v>17</v>
      </c>
      <c r="AF490" s="42">
        <v>1994</v>
      </c>
      <c r="AG490" s="42" t="str">
        <v xml:space="preserve">26 Jun 1994 - 12:30 </v>
      </c>
      <c r="AH490" s="42" t="str">
        <v>GROUP_STAGE</v>
      </c>
      <c r="AI490" s="42" t="str">
        <v>Soldier Field</v>
      </c>
      <c r="AJ490" s="42" t="str">
        <v xml:space="preserve">Chicago </v>
      </c>
      <c r="AK490" s="42" t="str">
        <v>Bulgaria</v>
      </c>
      <c r="AL490" s="42">
        <v>4</v>
      </c>
      <c r="AM490" s="42">
        <v>0</v>
      </c>
      <c r="AN490" s="42" t="str">
        <v>Greece</v>
      </c>
      <c r="AO490" s="42" t="str">
        <v>-</v>
      </c>
    </row>
    <row r="491" spans="24:41">
      <c r="X491" s="15">
        <v>489</v>
      </c>
      <c r="Y491" s="15" t="str">
        <v>Jamie Leweling</v>
      </c>
      <c r="Z491" s="15">
        <v>25</v>
      </c>
      <c r="AA491" s="15" t="str">
        <v>Germany</v>
      </c>
      <c r="AB491" s="15" t="str">
        <v>LW</v>
      </c>
      <c r="AC491" s="15" t="str">
        <v>VfB Stuttgart</v>
      </c>
      <c r="AD491" s="15">
        <v>9</v>
      </c>
      <c r="AF491" s="42">
        <v>1994</v>
      </c>
      <c r="AG491" s="42" t="str">
        <v xml:space="preserve">26 Jun 1994 - 16:00 </v>
      </c>
      <c r="AH491" s="42" t="str">
        <v>GROUP_STAGE</v>
      </c>
      <c r="AI491" s="42" t="str">
        <v>Rose Bowl</v>
      </c>
      <c r="AJ491" s="42" t="str">
        <v xml:space="preserve">Los Angeles </v>
      </c>
      <c r="AK491" s="42" t="str">
        <v>United States</v>
      </c>
      <c r="AL491" s="42">
        <v>0</v>
      </c>
      <c r="AM491" s="42">
        <v>1</v>
      </c>
      <c r="AN491" s="42" t="str">
        <v>Romania</v>
      </c>
      <c r="AO491" s="42" t="str">
        <v>-</v>
      </c>
    </row>
    <row r="492" spans="24:41">
      <c r="X492" s="15">
        <v>490</v>
      </c>
      <c r="Y492" s="15" t="str">
        <v>Leroy Sané</v>
      </c>
      <c r="Z492" s="15">
        <v>30</v>
      </c>
      <c r="AA492" s="15" t="str">
        <v>Germany</v>
      </c>
      <c r="AB492" s="15" t="str">
        <v>LW</v>
      </c>
      <c r="AC492" s="15" t="str">
        <v>Galatasaray</v>
      </c>
      <c r="AD492" s="15">
        <v>19</v>
      </c>
      <c r="AF492" s="42">
        <v>1994</v>
      </c>
      <c r="AG492" s="42" t="str">
        <v xml:space="preserve">26 Jun 1994 - 16:00 </v>
      </c>
      <c r="AH492" s="42" t="str">
        <v>GROUP_STAGE</v>
      </c>
      <c r="AI492" s="42" t="str">
        <v>Stanford Stadium</v>
      </c>
      <c r="AJ492" s="42" t="str">
        <v xml:space="preserve">San Francisco </v>
      </c>
      <c r="AK492" s="42" t="str">
        <v>Switzerland</v>
      </c>
      <c r="AL492" s="42">
        <v>0</v>
      </c>
      <c r="AM492" s="42">
        <v>2</v>
      </c>
      <c r="AN492" s="42" t="str">
        <v>Colombia</v>
      </c>
      <c r="AO492" s="42" t="str">
        <v>-</v>
      </c>
    </row>
    <row r="493" spans="24:41">
      <c r="X493" s="15">
        <v>491</v>
      </c>
      <c r="Y493" s="15" t="str">
        <v>Maximilian Beier</v>
      </c>
      <c r="Z493" s="15">
        <v>23</v>
      </c>
      <c r="AA493" s="15" t="str">
        <v>Germany</v>
      </c>
      <c r="AB493" s="15" t="str">
        <v>RW</v>
      </c>
      <c r="AC493" s="15" t="str">
        <v>Borussia Dortmund</v>
      </c>
      <c r="AD493" s="15">
        <v>14</v>
      </c>
      <c r="AF493" s="42">
        <v>1994</v>
      </c>
      <c r="AG493" s="42" t="str">
        <v xml:space="preserve">27 Jun 1994 - 16:00 </v>
      </c>
      <c r="AH493" s="42" t="str">
        <v>GROUP_STAGE</v>
      </c>
      <c r="AI493" s="42" t="str">
        <v>Cotton Bowl</v>
      </c>
      <c r="AJ493" s="42" t="str">
        <v xml:space="preserve">Dallas </v>
      </c>
      <c r="AK493" s="42" t="str">
        <v>Germany</v>
      </c>
      <c r="AL493" s="42">
        <v>3</v>
      </c>
      <c r="AM493" s="42">
        <v>2</v>
      </c>
      <c r="AN493" s="42" t="str">
        <v>South Korea</v>
      </c>
      <c r="AO493" s="42" t="str">
        <v>-</v>
      </c>
    </row>
    <row r="494" spans="24:41">
      <c r="X494" s="15">
        <v>492</v>
      </c>
      <c r="Y494" s="15" t="str">
        <v>Kai Havertz</v>
      </c>
      <c r="Z494" s="15">
        <v>27</v>
      </c>
      <c r="AA494" s="15" t="str">
        <v>Germany</v>
      </c>
      <c r="AB494" s="15" t="str">
        <v>ST</v>
      </c>
      <c r="AC494" s="15" t="str">
        <v>Arsenal</v>
      </c>
      <c r="AD494" s="15">
        <v>7</v>
      </c>
      <c r="AF494" s="42">
        <v>1994</v>
      </c>
      <c r="AG494" s="42" t="str">
        <v xml:space="preserve">27 Jun 1994 - 16:00 </v>
      </c>
      <c r="AH494" s="42" t="str">
        <v>GROUP_STAGE</v>
      </c>
      <c r="AI494" s="42" t="str">
        <v>Soldier Field</v>
      </c>
      <c r="AJ494" s="42" t="str">
        <v xml:space="preserve">Chicago </v>
      </c>
      <c r="AK494" s="42" t="str">
        <v>Bolivia</v>
      </c>
      <c r="AL494" s="42">
        <v>1</v>
      </c>
      <c r="AM494" s="42">
        <v>3</v>
      </c>
      <c r="AN494" s="42" t="str">
        <v>Spain</v>
      </c>
      <c r="AO494" s="42" t="str">
        <v>-</v>
      </c>
    </row>
    <row r="495" spans="24:41">
      <c r="X495" s="15">
        <v>493</v>
      </c>
      <c r="Y495" s="15" t="str">
        <v>Nick Woltemade</v>
      </c>
      <c r="Z495" s="15">
        <v>24</v>
      </c>
      <c r="AA495" s="15" t="str">
        <v>Germany</v>
      </c>
      <c r="AB495" s="15" t="str">
        <v>ST</v>
      </c>
      <c r="AC495" s="15" t="str">
        <v>Newcastle United</v>
      </c>
      <c r="AD495" s="15">
        <v>11</v>
      </c>
      <c r="AF495" s="42">
        <v>1994</v>
      </c>
      <c r="AG495" s="42" t="str">
        <v xml:space="preserve">28 Jun 1994 - 12:30 </v>
      </c>
      <c r="AH495" s="42" t="str">
        <v>GROUP_STAGE</v>
      </c>
      <c r="AI495" s="42" t="str">
        <v>Giants Stadium</v>
      </c>
      <c r="AJ495" s="42" t="str">
        <v xml:space="preserve">New York/New Jersey </v>
      </c>
      <c r="AK495" s="42" t="str">
        <v>Ireland</v>
      </c>
      <c r="AL495" s="42">
        <v>0</v>
      </c>
      <c r="AM495" s="42">
        <v>0</v>
      </c>
      <c r="AN495" s="42" t="str">
        <v>Norway</v>
      </c>
      <c r="AO495" s="42" t="str">
        <v>-</v>
      </c>
    </row>
    <row r="496" spans="24:41">
      <c r="X496" s="15">
        <v>494</v>
      </c>
      <c r="Y496" s="15" t="str">
        <v>Deniz Undav</v>
      </c>
      <c r="Z496" s="15">
        <v>29</v>
      </c>
      <c r="AA496" s="15" t="str">
        <v>Germany</v>
      </c>
      <c r="AB496" s="15" t="str">
        <v>ST</v>
      </c>
      <c r="AC496" s="15" t="str">
        <v>VfB Stuttgart</v>
      </c>
      <c r="AD496" s="15">
        <v>26</v>
      </c>
      <c r="AF496" s="42">
        <v>1994</v>
      </c>
      <c r="AG496" s="42" t="str">
        <v xml:space="preserve">28 Jun 1994 - 16:00 </v>
      </c>
      <c r="AH496" s="42" t="str">
        <v>GROUP_STAGE</v>
      </c>
      <c r="AI496" s="42" t="str">
        <v>Pontiac Silverdome</v>
      </c>
      <c r="AJ496" s="42" t="str">
        <v xml:space="preserve">Detroit </v>
      </c>
      <c r="AK496" s="42" t="str">
        <v>Brazil</v>
      </c>
      <c r="AL496" s="42">
        <v>1</v>
      </c>
      <c r="AM496" s="42">
        <v>1</v>
      </c>
      <c r="AN496" s="42" t="str">
        <v>Sweden</v>
      </c>
      <c r="AO496" s="42" t="str">
        <v>-</v>
      </c>
    </row>
    <row r="497" spans="24:41">
      <c r="X497" s="15">
        <v>495</v>
      </c>
      <c r="Y497" s="15" t="str">
        <v>Yahia Fofana</v>
      </c>
      <c r="Z497" s="15">
        <v>25</v>
      </c>
      <c r="AA497" s="15" t="str">
        <v>Côte d'Ivoire</v>
      </c>
      <c r="AB497" s="15" t="str">
        <v>GK</v>
      </c>
      <c r="AC497" s="15" t="str">
        <v>Çaykur Rizespor</v>
      </c>
      <c r="AD497" s="15">
        <v>1</v>
      </c>
      <c r="AF497" s="42">
        <v>1994</v>
      </c>
      <c r="AG497" s="42" t="str">
        <v xml:space="preserve">28 Jun 1994 - 12:30 </v>
      </c>
      <c r="AH497" s="42" t="str">
        <v>GROUP_STAGE</v>
      </c>
      <c r="AI497" s="42" t="str">
        <v>RFK Stadium</v>
      </c>
      <c r="AJ497" s="42" t="str">
        <v xml:space="preserve">Washington Dc </v>
      </c>
      <c r="AK497" s="42" t="str">
        <v>Italy</v>
      </c>
      <c r="AL497" s="42">
        <v>1</v>
      </c>
      <c r="AM497" s="42">
        <v>1</v>
      </c>
      <c r="AN497" s="42" t="str">
        <v>Mexico</v>
      </c>
      <c r="AO497" s="42" t="str">
        <v>-</v>
      </c>
    </row>
    <row r="498" spans="24:41">
      <c r="X498" s="15">
        <v>496</v>
      </c>
      <c r="Y498" s="15" t="str">
        <v>Mohamed Koné</v>
      </c>
      <c r="Z498" s="15">
        <v>24</v>
      </c>
      <c r="AA498" s="15" t="str">
        <v>Côte d'Ivoire</v>
      </c>
      <c r="AB498" s="15" t="str">
        <v>GK</v>
      </c>
      <c r="AC498" s="15" t="str">
        <v>Charleroi</v>
      </c>
      <c r="AD498" s="15">
        <v>16</v>
      </c>
      <c r="AF498" s="42">
        <v>1994</v>
      </c>
      <c r="AG498" s="42" t="str">
        <v xml:space="preserve">28 Jun 1994 - 16:00 </v>
      </c>
      <c r="AH498" s="42" t="str">
        <v>GROUP_STAGE</v>
      </c>
      <c r="AI498" s="42" t="str">
        <v>Stanford Stadium</v>
      </c>
      <c r="AJ498" s="42" t="str">
        <v xml:space="preserve">San Francisco </v>
      </c>
      <c r="AK498" s="42" t="str">
        <v>Russia</v>
      </c>
      <c r="AL498" s="42">
        <v>6</v>
      </c>
      <c r="AM498" s="42">
        <v>1</v>
      </c>
      <c r="AN498" s="42" t="str">
        <v>Cameroon</v>
      </c>
      <c r="AO498" s="42" t="str">
        <v>-</v>
      </c>
    </row>
    <row r="499" spans="24:41">
      <c r="X499" s="15">
        <v>497</v>
      </c>
      <c r="Y499" s="15" t="str">
        <v>Alban Lafont</v>
      </c>
      <c r="Z499" s="15">
        <v>27</v>
      </c>
      <c r="AA499" s="15" t="str">
        <v>Côte d'Ivoire</v>
      </c>
      <c r="AB499" s="15" t="str">
        <v>GK</v>
      </c>
      <c r="AC499" s="15" t="str">
        <v>Panathinaikos</v>
      </c>
      <c r="AD499" s="15">
        <v>23</v>
      </c>
      <c r="AF499" s="42">
        <v>1994</v>
      </c>
      <c r="AG499" s="42" t="str">
        <v xml:space="preserve">29 Jun 1994 - 12:30 </v>
      </c>
      <c r="AH499" s="42" t="str">
        <v>GROUP_STAGE</v>
      </c>
      <c r="AI499" s="42" t="str">
        <v>Citrus Bowl</v>
      </c>
      <c r="AJ499" s="42" t="str">
        <v xml:space="preserve">Orlando </v>
      </c>
      <c r="AK499" s="42" t="str">
        <v>Morocco</v>
      </c>
      <c r="AL499" s="42">
        <v>1</v>
      </c>
      <c r="AM499" s="42">
        <v>2</v>
      </c>
      <c r="AN499" s="42" t="str">
        <v>Netherlands</v>
      </c>
      <c r="AO499" s="42" t="str">
        <v>-</v>
      </c>
    </row>
    <row r="500" spans="24:41">
      <c r="X500" s="15">
        <v>498</v>
      </c>
      <c r="Y500" s="15" t="str">
        <v>Ousmane Diomande</v>
      </c>
      <c r="Z500" s="15">
        <v>22</v>
      </c>
      <c r="AA500" s="15" t="str">
        <v>Côte d'Ivoire</v>
      </c>
      <c r="AB500" s="15" t="str">
        <v>CB</v>
      </c>
      <c r="AC500" s="15" t="str">
        <v>Sporting CP</v>
      </c>
      <c r="AD500" s="15">
        <v>2</v>
      </c>
      <c r="AF500" s="42">
        <v>1994</v>
      </c>
      <c r="AG500" s="42" t="str">
        <v xml:space="preserve">29 Jun 1994 - 12:30 </v>
      </c>
      <c r="AH500" s="42" t="str">
        <v>GROUP_STAGE</v>
      </c>
      <c r="AI500" s="42" t="str">
        <v>RFK Stadium</v>
      </c>
      <c r="AJ500" s="42" t="str">
        <v xml:space="preserve">Washington Dc </v>
      </c>
      <c r="AK500" s="42" t="str">
        <v>Belgium</v>
      </c>
      <c r="AL500" s="42">
        <v>0</v>
      </c>
      <c r="AM500" s="42">
        <v>1</v>
      </c>
      <c r="AN500" s="42" t="str">
        <v>Saudi Arabia</v>
      </c>
      <c r="AO500" s="42" t="str">
        <v>-</v>
      </c>
    </row>
    <row r="501" spans="24:41">
      <c r="X501" s="15">
        <v>499</v>
      </c>
      <c r="Y501" s="15" t="str">
        <v>Odilon Kossounou</v>
      </c>
      <c r="Z501" s="15">
        <v>25</v>
      </c>
      <c r="AA501" s="15" t="str">
        <v>Côte d'Ivoire</v>
      </c>
      <c r="AB501" s="15" t="str">
        <v>CB</v>
      </c>
      <c r="AC501" s="15" t="str">
        <v>Atalanta</v>
      </c>
      <c r="AD501" s="15">
        <v>7</v>
      </c>
      <c r="AF501" s="42">
        <v>1994</v>
      </c>
      <c r="AG501" s="42" t="str">
        <v xml:space="preserve">30 Jun 1994 - 19:30 </v>
      </c>
      <c r="AH501" s="42" t="str">
        <v>GROUP_STAGE</v>
      </c>
      <c r="AI501" s="42" t="str">
        <v>Foxboro Stadium</v>
      </c>
      <c r="AJ501" s="42" t="str">
        <v xml:space="preserve">Boston </v>
      </c>
      <c r="AK501" s="42" t="str">
        <v>Greece</v>
      </c>
      <c r="AL501" s="42">
        <v>0</v>
      </c>
      <c r="AM501" s="42">
        <v>2</v>
      </c>
      <c r="AN501" s="42" t="str">
        <v>Nigeria</v>
      </c>
      <c r="AO501" s="42" t="str">
        <v>-</v>
      </c>
    </row>
    <row r="502" spans="24:41">
      <c r="X502" s="15">
        <v>500</v>
      </c>
      <c r="Y502" s="15" t="str">
        <v>Emmanuel Agbadou</v>
      </c>
      <c r="Z502" s="15">
        <v>28</v>
      </c>
      <c r="AA502" s="15" t="str">
        <v>Côte d'Ivoire</v>
      </c>
      <c r="AB502" s="15" t="str">
        <v>CB</v>
      </c>
      <c r="AC502" s="15" t="str">
        <v>Beşiktaş</v>
      </c>
      <c r="AD502" s="15">
        <v>20</v>
      </c>
      <c r="AF502" s="42">
        <v>1994</v>
      </c>
      <c r="AG502" s="42" t="str">
        <v xml:space="preserve">30 Jun 1994 - 19:30 </v>
      </c>
      <c r="AH502" s="42" t="str">
        <v>GROUP_STAGE</v>
      </c>
      <c r="AI502" s="42" t="str">
        <v>Cotton Bowl</v>
      </c>
      <c r="AJ502" s="42" t="str">
        <v xml:space="preserve">Dallas </v>
      </c>
      <c r="AK502" s="42" t="str">
        <v>Argentina</v>
      </c>
      <c r="AL502" s="42">
        <v>0</v>
      </c>
      <c r="AM502" s="42">
        <v>2</v>
      </c>
      <c r="AN502" s="42" t="str">
        <v>Bulgaria</v>
      </c>
      <c r="AO502" s="42" t="str">
        <v>-</v>
      </c>
    </row>
    <row r="503" spans="24:41">
      <c r="X503" s="15">
        <v>501</v>
      </c>
      <c r="Y503" s="15" t="str">
        <v>Evan Ndicka</v>
      </c>
      <c r="Z503" s="15">
        <v>26</v>
      </c>
      <c r="AA503" s="15" t="str">
        <v>Côte d'Ivoire</v>
      </c>
      <c r="AB503" s="15" t="str">
        <v>CB</v>
      </c>
      <c r="AC503" s="15" t="str">
        <v>Roma</v>
      </c>
      <c r="AD503" s="15">
        <v>21</v>
      </c>
      <c r="AF503" s="42">
        <v>1994</v>
      </c>
      <c r="AG503" s="42" t="str">
        <v xml:space="preserve">02 Jul 1994 - 12:00 </v>
      </c>
      <c r="AH503" s="42" t="str">
        <v>ROUND_OF_16</v>
      </c>
      <c r="AI503" s="42" t="str">
        <v>Soldier Field</v>
      </c>
      <c r="AJ503" s="42" t="str">
        <v xml:space="preserve">Chicago </v>
      </c>
      <c r="AK503" s="42" t="str">
        <v>Germany</v>
      </c>
      <c r="AL503" s="42">
        <v>3</v>
      </c>
      <c r="AM503" s="42">
        <v>2</v>
      </c>
      <c r="AN503" s="42" t="str">
        <v>Belgium</v>
      </c>
      <c r="AO503" s="42" t="str">
        <v>-</v>
      </c>
    </row>
    <row r="504" spans="24:41">
      <c r="X504" s="15">
        <v>502</v>
      </c>
      <c r="Y504" s="15" t="str">
        <v>Ghislain Konan</v>
      </c>
      <c r="Z504" s="15">
        <v>30</v>
      </c>
      <c r="AA504" s="15" t="str">
        <v>Côte d'Ivoire</v>
      </c>
      <c r="AB504" s="15" t="str">
        <v>LB</v>
      </c>
      <c r="AC504" s="15" t="str">
        <v>Gil Vicente</v>
      </c>
      <c r="AD504" s="15">
        <v>3</v>
      </c>
      <c r="AF504" s="42">
        <v>1994</v>
      </c>
      <c r="AG504" s="42" t="str">
        <v xml:space="preserve">02 Jul 1994 - 16:30 </v>
      </c>
      <c r="AH504" s="42" t="str">
        <v>ROUND_OF_16</v>
      </c>
      <c r="AI504" s="42" t="str">
        <v>RFK Stadium</v>
      </c>
      <c r="AJ504" s="42" t="str">
        <v xml:space="preserve">Washington Dc </v>
      </c>
      <c r="AK504" s="42" t="str">
        <v>Spain</v>
      </c>
      <c r="AL504" s="42">
        <v>3</v>
      </c>
      <c r="AM504" s="42">
        <v>0</v>
      </c>
      <c r="AN504" s="42" t="str">
        <v>Switzerland</v>
      </c>
      <c r="AO504" s="42" t="str">
        <v>-</v>
      </c>
    </row>
    <row r="505" spans="24:41">
      <c r="X505" s="15">
        <v>503</v>
      </c>
      <c r="Y505" s="15" t="str">
        <v>Christopher Opéri</v>
      </c>
      <c r="Z505" s="15">
        <v>29</v>
      </c>
      <c r="AA505" s="15" t="str">
        <v>Côte d'Ivoire</v>
      </c>
      <c r="AB505" s="15" t="str">
        <v>LB</v>
      </c>
      <c r="AC505" s="15" t="str">
        <v>İstanbul Başakşehir</v>
      </c>
      <c r="AD505" s="15">
        <v>13</v>
      </c>
      <c r="AF505" s="42">
        <v>1994</v>
      </c>
      <c r="AG505" s="42" t="str">
        <v xml:space="preserve">03 Jul 1994 - 12:00 </v>
      </c>
      <c r="AH505" s="42" t="str">
        <v>ROUND_OF_16</v>
      </c>
      <c r="AI505" s="42" t="str">
        <v>Cotton Bowl</v>
      </c>
      <c r="AJ505" s="42" t="str">
        <v xml:space="preserve">Dallas </v>
      </c>
      <c r="AK505" s="42" t="str">
        <v>Saudi Arabia</v>
      </c>
      <c r="AL505" s="42">
        <v>1</v>
      </c>
      <c r="AM505" s="42">
        <v>3</v>
      </c>
      <c r="AN505" s="42" t="str">
        <v>Sweden</v>
      </c>
      <c r="AO505" s="42" t="str">
        <v>-</v>
      </c>
    </row>
    <row r="506" spans="24:41">
      <c r="X506" s="15">
        <v>504</v>
      </c>
      <c r="Y506" s="15" t="str">
        <v>Wilfried Singo</v>
      </c>
      <c r="Z506" s="15">
        <v>25</v>
      </c>
      <c r="AA506" s="15" t="str">
        <v>Côte d'Ivoire</v>
      </c>
      <c r="AB506" s="15" t="str">
        <v>RB</v>
      </c>
      <c r="AC506" s="15" t="str">
        <v>Galatasaray</v>
      </c>
      <c r="AD506" s="15">
        <v>5</v>
      </c>
      <c r="AF506" s="42">
        <v>1994</v>
      </c>
      <c r="AG506" s="42" t="str">
        <v xml:space="preserve">03 Jul 1994 - 13:30 </v>
      </c>
      <c r="AH506" s="42" t="str">
        <v>ROUND_OF_16</v>
      </c>
      <c r="AI506" s="42" t="str">
        <v>Rose Bowl</v>
      </c>
      <c r="AJ506" s="42" t="str">
        <v xml:space="preserve">Los Angeles </v>
      </c>
      <c r="AK506" s="42" t="str">
        <v>Romania</v>
      </c>
      <c r="AL506" s="42">
        <v>3</v>
      </c>
      <c r="AM506" s="42">
        <v>2</v>
      </c>
      <c r="AN506" s="42" t="str">
        <v>Argentina</v>
      </c>
      <c r="AO506" s="42" t="str">
        <v>-</v>
      </c>
    </row>
    <row r="507" spans="24:41">
      <c r="X507" s="15">
        <v>505</v>
      </c>
      <c r="Y507" s="15" t="str">
        <v>Guéla Doué</v>
      </c>
      <c r="Z507" s="15">
        <v>23</v>
      </c>
      <c r="AA507" s="15" t="str">
        <v>Côte d'Ivoire</v>
      </c>
      <c r="AB507" s="15" t="str">
        <v>RB</v>
      </c>
      <c r="AC507" s="15" t="str">
        <v>Strasbourg</v>
      </c>
      <c r="AD507" s="15">
        <v>17</v>
      </c>
      <c r="AF507" s="42">
        <v>1994</v>
      </c>
      <c r="AG507" s="42" t="str">
        <v xml:space="preserve">04 Jul 1994 - 12:00 </v>
      </c>
      <c r="AH507" s="42" t="str">
        <v>ROUND_OF_16</v>
      </c>
      <c r="AI507" s="42" t="str">
        <v>Citrus Bowl</v>
      </c>
      <c r="AJ507" s="42" t="str">
        <v xml:space="preserve">Orlando </v>
      </c>
      <c r="AK507" s="42" t="str">
        <v>Netherlands</v>
      </c>
      <c r="AL507" s="42">
        <v>2</v>
      </c>
      <c r="AM507" s="42">
        <v>0</v>
      </c>
      <c r="AN507" s="42" t="str">
        <v>Ireland</v>
      </c>
      <c r="AO507" s="42" t="str">
        <v>-</v>
      </c>
    </row>
    <row r="508" spans="24:41">
      <c r="X508" s="15">
        <v>506</v>
      </c>
      <c r="Y508" s="15" t="str">
        <v>Jean Michaël Seri</v>
      </c>
      <c r="Z508" s="15">
        <v>34</v>
      </c>
      <c r="AA508" s="15" t="str">
        <v>Côte d'Ivoire</v>
      </c>
      <c r="AB508" s="15" t="str">
        <v>CDM</v>
      </c>
      <c r="AC508" s="15" t="str">
        <v>Maribor</v>
      </c>
      <c r="AD508" s="15">
        <v>4</v>
      </c>
      <c r="AF508" s="42">
        <v>1994</v>
      </c>
      <c r="AG508" s="42" t="str">
        <v xml:space="preserve">04 Jul 1994 - 12:30 </v>
      </c>
      <c r="AH508" s="42" t="str">
        <v>ROUND_OF_16</v>
      </c>
      <c r="AI508" s="42" t="str">
        <v>Stanford Stadium</v>
      </c>
      <c r="AJ508" s="42" t="str">
        <v xml:space="preserve">San Francisco </v>
      </c>
      <c r="AK508" s="42" t="str">
        <v>Brazil</v>
      </c>
      <c r="AL508" s="42">
        <v>1</v>
      </c>
      <c r="AM508" s="42">
        <v>0</v>
      </c>
      <c r="AN508" s="42" t="str">
        <v>United States</v>
      </c>
      <c r="AO508" s="42" t="str">
        <v>-</v>
      </c>
    </row>
    <row r="509" spans="24:41">
      <c r="X509" s="15">
        <v>507</v>
      </c>
      <c r="Y509" s="15" t="str">
        <v>Ibrahim Sangaré</v>
      </c>
      <c r="Z509" s="15">
        <v>28</v>
      </c>
      <c r="AA509" s="15" t="str">
        <v>Côte d'Ivoire</v>
      </c>
      <c r="AB509" s="15" t="str">
        <v>CDM</v>
      </c>
      <c r="AC509" s="15" t="str">
        <v>Nottingham Forest</v>
      </c>
      <c r="AD509" s="15">
        <v>18</v>
      </c>
      <c r="AF509" s="42">
        <v>1994</v>
      </c>
      <c r="AG509" s="42" t="str">
        <v xml:space="preserve">05 Jul 1994 - 13:00 </v>
      </c>
      <c r="AH509" s="42" t="str">
        <v>ROUND_OF_16</v>
      </c>
      <c r="AI509" s="42" t="str">
        <v>Foxboro Stadium</v>
      </c>
      <c r="AJ509" s="42" t="str">
        <v xml:space="preserve">Boston </v>
      </c>
      <c r="AK509" s="42" t="str">
        <v>Nigeria</v>
      </c>
      <c r="AL509" s="42">
        <v>1</v>
      </c>
      <c r="AM509" s="42">
        <v>2</v>
      </c>
      <c r="AN509" s="42" t="str">
        <v>Italy</v>
      </c>
      <c r="AO509" s="42" t="str">
        <v>Italy win after extra time</v>
      </c>
    </row>
    <row r="510" spans="24:41">
      <c r="X510" s="15">
        <v>508</v>
      </c>
      <c r="Y510" s="15" t="str">
        <v>Christ Inao Oulaï</v>
      </c>
      <c r="Z510" s="15">
        <v>20</v>
      </c>
      <c r="AA510" s="15" t="str">
        <v>Côte d'Ivoire</v>
      </c>
      <c r="AB510" s="15" t="str">
        <v>CDM</v>
      </c>
      <c r="AC510" s="15" t="str">
        <v>Trabzonspor</v>
      </c>
      <c r="AD510" s="15">
        <v>26</v>
      </c>
      <c r="AF510" s="42">
        <v>1994</v>
      </c>
      <c r="AG510" s="42" t="str">
        <v xml:space="preserve">05 Jul 1994 - 16:30 </v>
      </c>
      <c r="AH510" s="42" t="str">
        <v>ROUND_OF_16</v>
      </c>
      <c r="AI510" s="42" t="str">
        <v>Giants Stadium</v>
      </c>
      <c r="AJ510" s="42" t="str">
        <v xml:space="preserve">New York/New Jersey </v>
      </c>
      <c r="AK510" s="42" t="str">
        <v>Mexico</v>
      </c>
      <c r="AL510" s="42">
        <v>1</v>
      </c>
      <c r="AM510" s="42">
        <v>1</v>
      </c>
      <c r="AN510" s="42" t="str">
        <v>Bulgaria</v>
      </c>
      <c r="AO510" s="42" t="str">
        <v>Bulgaria win on penalties (1 - 3)</v>
      </c>
    </row>
    <row r="511" spans="24:41">
      <c r="X511" s="15">
        <v>509</v>
      </c>
      <c r="Y511" s="15" t="str">
        <v>Seko Fofana</v>
      </c>
      <c r="Z511" s="15">
        <v>31</v>
      </c>
      <c r="AA511" s="15" t="str">
        <v>Côte d'Ivoire</v>
      </c>
      <c r="AB511" s="15" t="str">
        <v>CM</v>
      </c>
      <c r="AC511" s="15" t="str">
        <v>Porto</v>
      </c>
      <c r="AD511" s="15">
        <v>6</v>
      </c>
      <c r="AF511" s="42">
        <v>1994</v>
      </c>
      <c r="AG511" s="42" t="str">
        <v xml:space="preserve">09 Jul 1994 - 12:00 </v>
      </c>
      <c r="AH511" s="42" t="str">
        <v>QUARTER_FINALS</v>
      </c>
      <c r="AI511" s="42" t="str">
        <v>Foxboro Stadium</v>
      </c>
      <c r="AJ511" s="42" t="str">
        <v xml:space="preserve">Boston </v>
      </c>
      <c r="AK511" s="42" t="str">
        <v>Italy</v>
      </c>
      <c r="AL511" s="42">
        <v>2</v>
      </c>
      <c r="AM511" s="42">
        <v>1</v>
      </c>
      <c r="AN511" s="42" t="str">
        <v>Spain</v>
      </c>
      <c r="AO511" s="42" t="str">
        <v>-</v>
      </c>
    </row>
    <row r="512" spans="24:41">
      <c r="X512" s="15">
        <v>510</v>
      </c>
      <c r="Y512" s="15" t="str">
        <v>Franck Kessié</v>
      </c>
      <c r="Z512" s="15">
        <v>29</v>
      </c>
      <c r="AA512" s="15" t="str">
        <v>Côte d'Ivoire</v>
      </c>
      <c r="AB512" s="15" t="str">
        <v>CM</v>
      </c>
      <c r="AC512" s="15" t="str">
        <v>Al-Ahli</v>
      </c>
      <c r="AD512" s="15">
        <v>8</v>
      </c>
      <c r="AF512" s="42">
        <v>1994</v>
      </c>
      <c r="AG512" s="42" t="str">
        <v xml:space="preserve">09 Jul 1994 - 14:30 </v>
      </c>
      <c r="AH512" s="42" t="str">
        <v>QUARTER_FINALS</v>
      </c>
      <c r="AI512" s="42" t="str">
        <v>Cotton Bowl</v>
      </c>
      <c r="AJ512" s="42" t="str">
        <v xml:space="preserve">Dallas </v>
      </c>
      <c r="AK512" s="42" t="str">
        <v>Netherlands</v>
      </c>
      <c r="AL512" s="42">
        <v>2</v>
      </c>
      <c r="AM512" s="42">
        <v>3</v>
      </c>
      <c r="AN512" s="42" t="str">
        <v>Brazil</v>
      </c>
      <c r="AO512" s="42" t="str">
        <v>-</v>
      </c>
    </row>
    <row r="513" spans="24:41">
      <c r="X513" s="15">
        <v>511</v>
      </c>
      <c r="Y513" s="15" t="str">
        <v>Parfait Guiagon</v>
      </c>
      <c r="Z513" s="15">
        <v>25</v>
      </c>
      <c r="AA513" s="15" t="str">
        <v>Côte d'Ivoire</v>
      </c>
      <c r="AB513" s="15" t="str">
        <v>CM</v>
      </c>
      <c r="AC513" s="15" t="str">
        <v>Charleroi</v>
      </c>
      <c r="AD513" s="15">
        <v>25</v>
      </c>
      <c r="AF513" s="42">
        <v>1994</v>
      </c>
      <c r="AG513" s="42" t="str">
        <v xml:space="preserve">10 Jul 1994 - 12:00 </v>
      </c>
      <c r="AH513" s="42" t="str">
        <v>QUARTER_FINALS</v>
      </c>
      <c r="AI513" s="42" t="str">
        <v>Giants Stadium</v>
      </c>
      <c r="AJ513" s="42" t="str">
        <v xml:space="preserve">New York/New Jersey </v>
      </c>
      <c r="AK513" s="42" t="str">
        <v>Bulgaria</v>
      </c>
      <c r="AL513" s="42">
        <v>2</v>
      </c>
      <c r="AM513" s="42">
        <v>1</v>
      </c>
      <c r="AN513" s="42" t="str">
        <v>Germany</v>
      </c>
      <c r="AO513" s="42" t="str">
        <v>-</v>
      </c>
    </row>
    <row r="514" spans="24:41">
      <c r="X514" s="15">
        <v>512</v>
      </c>
      <c r="Y514" s="15" t="str">
        <v>Simon Adingra</v>
      </c>
      <c r="Z514" s="15">
        <v>24</v>
      </c>
      <c r="AA514" s="15" t="str">
        <v>Côte d'Ivoire</v>
      </c>
      <c r="AB514" s="15" t="str">
        <v>LW</v>
      </c>
      <c r="AC514" s="15" t="str">
        <v>Monaco</v>
      </c>
      <c r="AD514" s="15">
        <v>10</v>
      </c>
      <c r="AF514" s="42">
        <v>1994</v>
      </c>
      <c r="AG514" s="42" t="str">
        <v xml:space="preserve">10 Jul 1994 - 12:30 </v>
      </c>
      <c r="AH514" s="42" t="str">
        <v>QUARTER_FINALS</v>
      </c>
      <c r="AI514" s="42" t="str">
        <v>Stanford Stadium</v>
      </c>
      <c r="AJ514" s="42" t="str">
        <v xml:space="preserve">San Francisco </v>
      </c>
      <c r="AK514" s="42" t="str">
        <v>Romania</v>
      </c>
      <c r="AL514" s="42">
        <v>2</v>
      </c>
      <c r="AM514" s="42">
        <v>2</v>
      </c>
      <c r="AN514" s="42" t="str">
        <v>Sweden</v>
      </c>
      <c r="AO514" s="42" t="str">
        <v>Sweden win on penalties (4 - 5)</v>
      </c>
    </row>
    <row r="515" spans="24:41">
      <c r="X515" s="15">
        <v>513</v>
      </c>
      <c r="Y515" s="15" t="str">
        <v>Amad Diallo</v>
      </c>
      <c r="Z515" s="15">
        <v>23</v>
      </c>
      <c r="AA515" s="15" t="str">
        <v>Côte d'Ivoire</v>
      </c>
      <c r="AB515" s="15" t="str">
        <v>LW</v>
      </c>
      <c r="AC515" s="15" t="str">
        <v>Manchester United</v>
      </c>
      <c r="AD515" s="15">
        <v>15</v>
      </c>
      <c r="AF515" s="42">
        <v>1994</v>
      </c>
      <c r="AG515" s="42" t="str">
        <v xml:space="preserve">13 Jul 1994 - 16:00 </v>
      </c>
      <c r="AH515" s="42" t="str">
        <v>SEMI_FINALS</v>
      </c>
      <c r="AI515" s="42" t="str">
        <v>Giants Stadium</v>
      </c>
      <c r="AJ515" s="42" t="str">
        <v xml:space="preserve">New York/New Jersey </v>
      </c>
      <c r="AK515" s="42" t="str">
        <v>Bulgaria</v>
      </c>
      <c r="AL515" s="42">
        <v>1</v>
      </c>
      <c r="AM515" s="42">
        <v>2</v>
      </c>
      <c r="AN515" s="42" t="str">
        <v>Italy</v>
      </c>
      <c r="AO515" s="42" t="str">
        <v>-</v>
      </c>
    </row>
    <row r="516" spans="24:41">
      <c r="X516" s="15">
        <v>514</v>
      </c>
      <c r="Y516" s="15" t="str">
        <v>Bazoumana Touré</v>
      </c>
      <c r="Z516" s="15">
        <v>20</v>
      </c>
      <c r="AA516" s="15" t="str">
        <v>Côte d'Ivoire</v>
      </c>
      <c r="AB516" s="15" t="str">
        <v>LW</v>
      </c>
      <c r="AC516" s="15" t="str">
        <v>TSG Hoffenheim</v>
      </c>
      <c r="AD516" s="15">
        <v>24</v>
      </c>
      <c r="AF516" s="42">
        <v>1994</v>
      </c>
      <c r="AG516" s="42" t="str">
        <v xml:space="preserve">13 Jul 1994 - 16:30 </v>
      </c>
      <c r="AH516" s="42" t="str">
        <v>SEMI_FINALS</v>
      </c>
      <c r="AI516" s="42" t="str">
        <v>Rose Bowl</v>
      </c>
      <c r="AJ516" s="42" t="str">
        <v xml:space="preserve">Los Angeles </v>
      </c>
      <c r="AK516" s="42" t="str">
        <v>Sweden</v>
      </c>
      <c r="AL516" s="42">
        <v>0</v>
      </c>
      <c r="AM516" s="42">
        <v>1</v>
      </c>
      <c r="AN516" s="42" t="str">
        <v>Brazil</v>
      </c>
      <c r="AO516" s="42" t="str">
        <v>-</v>
      </c>
    </row>
    <row r="517" spans="24:41">
      <c r="X517" s="15">
        <v>515</v>
      </c>
      <c r="Y517" s="15" t="str">
        <v>Nicolas Pépé</v>
      </c>
      <c r="Z517" s="15">
        <v>31</v>
      </c>
      <c r="AA517" s="15" t="str">
        <v>Côte d'Ivoire</v>
      </c>
      <c r="AB517" s="15" t="str">
        <v>RW</v>
      </c>
      <c r="AC517" s="15" t="str">
        <v>Villarreal</v>
      </c>
      <c r="AD517" s="15">
        <v>19</v>
      </c>
      <c r="AF517" s="42">
        <v>1994</v>
      </c>
      <c r="AG517" s="42" t="str">
        <v xml:space="preserve">16 Jul 1994 - 12:30 </v>
      </c>
      <c r="AH517" s="42" t="str">
        <v>THIRD_PLACE</v>
      </c>
      <c r="AI517" s="42" t="str">
        <v>Rose Bowl</v>
      </c>
      <c r="AJ517" s="42" t="str">
        <v xml:space="preserve">Los Angeles </v>
      </c>
      <c r="AK517" s="42" t="str">
        <v>Sweden</v>
      </c>
      <c r="AL517" s="42">
        <v>4</v>
      </c>
      <c r="AM517" s="42">
        <v>0</v>
      </c>
      <c r="AN517" s="42" t="str">
        <v>Bulgaria</v>
      </c>
      <c r="AO517" s="42" t="str">
        <v>-</v>
      </c>
    </row>
    <row r="518" spans="24:41">
      <c r="X518" s="15">
        <v>516</v>
      </c>
      <c r="Y518" s="15" t="str">
        <v>Ange-Yoan Bonny</v>
      </c>
      <c r="Z518" s="15">
        <v>22</v>
      </c>
      <c r="AA518" s="15" t="str">
        <v>Côte d'Ivoire</v>
      </c>
      <c r="AB518" s="15" t="str">
        <v>ST</v>
      </c>
      <c r="AC518" s="15" t="str">
        <v>Inter Milan</v>
      </c>
      <c r="AD518" s="15">
        <v>9</v>
      </c>
      <c r="AF518" s="42">
        <v>1994</v>
      </c>
      <c r="AG518" s="42" t="str">
        <v xml:space="preserve">17 Jul 1994 - 12:30 </v>
      </c>
      <c r="AH518" s="42" t="str">
        <v>FINAL</v>
      </c>
      <c r="AI518" s="42" t="str">
        <v>Rose Bowl</v>
      </c>
      <c r="AJ518" s="42" t="str">
        <v xml:space="preserve">Los Angeles </v>
      </c>
      <c r="AK518" s="42" t="str">
        <v>Brazil</v>
      </c>
      <c r="AL518" s="42">
        <v>0</v>
      </c>
      <c r="AM518" s="42">
        <v>0</v>
      </c>
      <c r="AN518" s="42" t="str">
        <v>Italy</v>
      </c>
      <c r="AO518" s="42" t="str">
        <v>Brazil win on penalties (3 - 2)</v>
      </c>
    </row>
    <row r="519" spans="24:41">
      <c r="X519" s="15">
        <v>517</v>
      </c>
      <c r="Y519" s="15" t="str">
        <v>Yan Diomande</v>
      </c>
      <c r="Z519" s="15">
        <v>19</v>
      </c>
      <c r="AA519" s="15" t="str">
        <v>Côte d'Ivoire</v>
      </c>
      <c r="AB519" s="15" t="str">
        <v>ST</v>
      </c>
      <c r="AC519" s="15" t="str">
        <v>RB Leipzig</v>
      </c>
      <c r="AD519" s="15">
        <v>11</v>
      </c>
      <c r="AF519" s="42">
        <v>1998</v>
      </c>
      <c r="AG519" s="42" t="str">
        <v xml:space="preserve">10 Jun 1998 - 17:30 </v>
      </c>
      <c r="AH519" s="42" t="str">
        <v>GROUP_STAGE</v>
      </c>
      <c r="AI519" s="42" t="str">
        <v>Stade de France</v>
      </c>
      <c r="AJ519" s="42" t="str">
        <v xml:space="preserve">Saint-Denis </v>
      </c>
      <c r="AK519" s="42" t="str">
        <v>Brazil</v>
      </c>
      <c r="AL519" s="42">
        <v>2</v>
      </c>
      <c r="AM519" s="42">
        <v>1</v>
      </c>
      <c r="AN519" s="42" t="str">
        <v>Scotland</v>
      </c>
      <c r="AO519" s="42" t="str">
        <v>-</v>
      </c>
    </row>
    <row r="520" spans="24:41">
      <c r="X520" s="15">
        <v>518</v>
      </c>
      <c r="Y520" s="15" t="str">
        <v>Elye Wahi</v>
      </c>
      <c r="Z520" s="15">
        <v>23</v>
      </c>
      <c r="AA520" s="15" t="str">
        <v>Côte d'Ivoire</v>
      </c>
      <c r="AB520" s="15" t="str">
        <v>ST</v>
      </c>
      <c r="AC520" s="15" t="str">
        <v>Nice</v>
      </c>
      <c r="AD520" s="15">
        <v>12</v>
      </c>
      <c r="AF520" s="42">
        <v>1998</v>
      </c>
      <c r="AG520" s="42" t="str">
        <v xml:space="preserve">10 Jun 1998 - 21:00 </v>
      </c>
      <c r="AH520" s="42" t="str">
        <v>GROUP_STAGE</v>
      </c>
      <c r="AI520" s="42" t="str">
        <v>La Mosson</v>
      </c>
      <c r="AJ520" s="42" t="str">
        <v xml:space="preserve">Montpellier </v>
      </c>
      <c r="AK520" s="42" t="str">
        <v>Morocco</v>
      </c>
      <c r="AL520" s="42">
        <v>2</v>
      </c>
      <c r="AM520" s="42">
        <v>2</v>
      </c>
      <c r="AN520" s="42" t="str">
        <v>Norway</v>
      </c>
      <c r="AO520" s="42" t="str">
        <v>-</v>
      </c>
    </row>
    <row r="521" spans="24:41">
      <c r="X521" s="15">
        <v>519</v>
      </c>
      <c r="Y521" s="15" t="str">
        <v>Oumar Diakité</v>
      </c>
      <c r="Z521" s="15">
        <v>22</v>
      </c>
      <c r="AA521" s="15" t="str">
        <v>Côte d'Ivoire</v>
      </c>
      <c r="AB521" s="15" t="str">
        <v>ST</v>
      </c>
      <c r="AC521" s="15" t="str">
        <v>Cercle Brugge</v>
      </c>
      <c r="AD521" s="15">
        <v>14</v>
      </c>
      <c r="AF521" s="42">
        <v>1998</v>
      </c>
      <c r="AG521" s="42" t="str">
        <v xml:space="preserve">11 Jun 1998 - 17:30 </v>
      </c>
      <c r="AH521" s="42" t="str">
        <v>GROUP_STAGE</v>
      </c>
      <c r="AI521" s="42" t="str">
        <v>Stade du Parc Lescure</v>
      </c>
      <c r="AJ521" s="42" t="str">
        <v xml:space="preserve">Bordeaux </v>
      </c>
      <c r="AK521" s="42" t="str">
        <v>Italy</v>
      </c>
      <c r="AL521" s="42">
        <v>2</v>
      </c>
      <c r="AM521" s="42">
        <v>2</v>
      </c>
      <c r="AN521" s="42" t="str">
        <v>Chile</v>
      </c>
      <c r="AO521" s="42" t="str">
        <v>-</v>
      </c>
    </row>
    <row r="522" spans="24:41">
      <c r="X522" s="15">
        <v>520</v>
      </c>
      <c r="Y522" s="15" t="str">
        <v>Evann Guessand</v>
      </c>
      <c r="Z522" s="15">
        <v>24</v>
      </c>
      <c r="AA522" s="15" t="str">
        <v>Côte d'Ivoire</v>
      </c>
      <c r="AB522" s="15" t="str">
        <v>ST</v>
      </c>
      <c r="AC522" s="15" t="str">
        <v>Crystal Palace</v>
      </c>
      <c r="AD522" s="15">
        <v>22</v>
      </c>
      <c r="AF522" s="42">
        <v>1998</v>
      </c>
      <c r="AG522" s="42" t="str">
        <v xml:space="preserve">11 Jun 1998 - 21:00 </v>
      </c>
      <c r="AH522" s="42" t="str">
        <v>GROUP_STAGE</v>
      </c>
      <c r="AI522" s="42" t="str">
        <v>Stade Municipal</v>
      </c>
      <c r="AJ522" s="42" t="str">
        <v xml:space="preserve">Toulouse </v>
      </c>
      <c r="AK522" s="42" t="str">
        <v>Cameroon</v>
      </c>
      <c r="AL522" s="42">
        <v>1</v>
      </c>
      <c r="AM522" s="42">
        <v>1</v>
      </c>
      <c r="AN522" s="42" t="str">
        <v>Austria</v>
      </c>
      <c r="AO522" s="42" t="str">
        <v>-</v>
      </c>
    </row>
    <row r="523" spans="24:41">
      <c r="X523" s="15">
        <v>521</v>
      </c>
      <c r="Y523" s="15" t="str">
        <v>Zion Suzuki</v>
      </c>
      <c r="Z523" s="15">
        <v>23</v>
      </c>
      <c r="AA523" s="15" t="str">
        <v>Japan</v>
      </c>
      <c r="AB523" s="15" t="str">
        <v>GK</v>
      </c>
      <c r="AC523" s="15" t="str">
        <v>Parma</v>
      </c>
      <c r="AD523" s="15">
        <v>1</v>
      </c>
      <c r="AF523" s="42">
        <v>1998</v>
      </c>
      <c r="AG523" s="42" t="str">
        <v xml:space="preserve">12 Jun 1998 - 14:30 </v>
      </c>
      <c r="AH523" s="42" t="str">
        <v>GROUP_STAGE</v>
      </c>
      <c r="AI523" s="42" t="str">
        <v>La Mosson</v>
      </c>
      <c r="AJ523" s="42" t="str">
        <v xml:space="preserve">Montpellier </v>
      </c>
      <c r="AK523" s="42" t="str">
        <v>Paraguay</v>
      </c>
      <c r="AL523" s="42">
        <v>0</v>
      </c>
      <c r="AM523" s="42">
        <v>0</v>
      </c>
      <c r="AN523" s="42" t="str">
        <v>Bulgaria</v>
      </c>
      <c r="AO523" s="42" t="str">
        <v>-</v>
      </c>
    </row>
    <row r="524" spans="24:41">
      <c r="X524" s="15">
        <v>522</v>
      </c>
      <c r="Y524" s="15" t="str">
        <v>Keisuke Ōsako</v>
      </c>
      <c r="Z524" s="15">
        <v>26</v>
      </c>
      <c r="AA524" s="15" t="str">
        <v>Japan</v>
      </c>
      <c r="AB524" s="15" t="str">
        <v>GK</v>
      </c>
      <c r="AC524" s="15" t="str">
        <v>Sanfrecce Hiroshima</v>
      </c>
      <c r="AD524" s="15">
        <v>12</v>
      </c>
      <c r="AF524" s="42">
        <v>1998</v>
      </c>
      <c r="AG524" s="42" t="str">
        <v xml:space="preserve">12 Jun 1998 - 17:30 </v>
      </c>
      <c r="AH524" s="42" t="str">
        <v>GROUP_STAGE</v>
      </c>
      <c r="AI524" s="42" t="str">
        <v>Stade Felix Bollaert</v>
      </c>
      <c r="AJ524" s="42" t="str">
        <v xml:space="preserve">Lens </v>
      </c>
      <c r="AK524" s="42" t="str">
        <v>Saudi Arabia</v>
      </c>
      <c r="AL524" s="42">
        <v>0</v>
      </c>
      <c r="AM524" s="42">
        <v>1</v>
      </c>
      <c r="AN524" s="42" t="str">
        <v>Denmark</v>
      </c>
      <c r="AO524" s="42" t="str">
        <v>-</v>
      </c>
    </row>
    <row r="525" spans="24:41">
      <c r="X525" s="15">
        <v>523</v>
      </c>
      <c r="Y525" s="15" t="str">
        <v>Tomoki Hayakawa</v>
      </c>
      <c r="Z525" s="15">
        <v>27</v>
      </c>
      <c r="AA525" s="15" t="str">
        <v>Japan</v>
      </c>
      <c r="AB525" s="15" t="str">
        <v>GK</v>
      </c>
      <c r="AC525" s="15" t="str">
        <v>Kashima Antlers</v>
      </c>
      <c r="AD525" s="15">
        <v>23</v>
      </c>
      <c r="AF525" s="42">
        <v>1998</v>
      </c>
      <c r="AG525" s="42" t="str">
        <v xml:space="preserve">12 Jun 1998 - 21:00 </v>
      </c>
      <c r="AH525" s="42" t="str">
        <v>GROUP_STAGE</v>
      </c>
      <c r="AI525" s="42" t="str">
        <v>Stade Vélodrome</v>
      </c>
      <c r="AJ525" s="42" t="str">
        <v xml:space="preserve">Marseilles </v>
      </c>
      <c r="AK525" s="42" t="str">
        <v>France</v>
      </c>
      <c r="AL525" s="42">
        <v>3</v>
      </c>
      <c r="AM525" s="42">
        <v>0</v>
      </c>
      <c r="AN525" s="42" t="str">
        <v>South Africa</v>
      </c>
      <c r="AO525" s="42" t="str">
        <v>-</v>
      </c>
    </row>
    <row r="526" spans="24:41">
      <c r="X526" s="15">
        <v>524</v>
      </c>
      <c r="Y526" s="15" t="str">
        <v>Shōgo Taniguchi</v>
      </c>
      <c r="Z526" s="15">
        <v>34</v>
      </c>
      <c r="AA526" s="15" t="str">
        <v>Japan</v>
      </c>
      <c r="AB526" s="15" t="str">
        <v>CB</v>
      </c>
      <c r="AC526" s="15" t="str">
        <v>Sint-Truiden</v>
      </c>
      <c r="AD526" s="15">
        <v>3</v>
      </c>
      <c r="AF526" s="42">
        <v>1998</v>
      </c>
      <c r="AG526" s="42" t="str">
        <v xml:space="preserve">13 Jun 1998 - 14:30 </v>
      </c>
      <c r="AH526" s="42" t="str">
        <v>GROUP_STAGE</v>
      </c>
      <c r="AI526" s="42" t="str">
        <v>La Beaujoire</v>
      </c>
      <c r="AJ526" s="42" t="str">
        <v xml:space="preserve">Nantes </v>
      </c>
      <c r="AK526" s="42" t="str">
        <v>Spain</v>
      </c>
      <c r="AL526" s="42">
        <v>2</v>
      </c>
      <c r="AM526" s="42">
        <v>3</v>
      </c>
      <c r="AN526" s="42" t="str">
        <v>Nigeria</v>
      </c>
      <c r="AO526" s="42" t="str">
        <v>-</v>
      </c>
    </row>
    <row r="527" spans="24:41">
      <c r="X527" s="15">
        <v>525</v>
      </c>
      <c r="Y527" s="15" t="str">
        <v>Kō Itakura</v>
      </c>
      <c r="Z527" s="15">
        <v>29</v>
      </c>
      <c r="AA527" s="15" t="str">
        <v>Japan</v>
      </c>
      <c r="AB527" s="15" t="str">
        <v>CB</v>
      </c>
      <c r="AC527" s="15" t="str">
        <v>Ajax</v>
      </c>
      <c r="AD527" s="15">
        <v>4</v>
      </c>
      <c r="AF527" s="42">
        <v>1998</v>
      </c>
      <c r="AG527" s="42" t="str">
        <v xml:space="preserve">13 Jun 1998 - 17:30 </v>
      </c>
      <c r="AH527" s="42" t="str">
        <v>GROUP_STAGE</v>
      </c>
      <c r="AI527" s="42" t="str">
        <v>Stade de Gerland</v>
      </c>
      <c r="AJ527" s="42" t="str">
        <v xml:space="preserve">Lyon </v>
      </c>
      <c r="AK527" s="42" t="str">
        <v>South Korea</v>
      </c>
      <c r="AL527" s="42">
        <v>1</v>
      </c>
      <c r="AM527" s="42">
        <v>3</v>
      </c>
      <c r="AN527" s="42" t="str">
        <v>Mexico</v>
      </c>
      <c r="AO527" s="42" t="str">
        <v>-</v>
      </c>
    </row>
    <row r="528" spans="24:41">
      <c r="X528" s="15">
        <v>526</v>
      </c>
      <c r="Y528" s="15" t="str">
        <v>Tsuyoshi Watanabe</v>
      </c>
      <c r="Z528" s="15">
        <v>29</v>
      </c>
      <c r="AA528" s="15" t="str">
        <v>Japan</v>
      </c>
      <c r="AB528" s="15" t="str">
        <v>CB</v>
      </c>
      <c r="AC528" s="15" t="str">
        <v>Feyenoord</v>
      </c>
      <c r="AD528" s="15">
        <v>16</v>
      </c>
      <c r="AF528" s="42">
        <v>1998</v>
      </c>
      <c r="AG528" s="42" t="str">
        <v xml:space="preserve">13 Jun 1998 - 21:00 </v>
      </c>
      <c r="AH528" s="42" t="str">
        <v>GROUP_STAGE</v>
      </c>
      <c r="AI528" s="42" t="str">
        <v>Stade de France</v>
      </c>
      <c r="AJ528" s="42" t="str">
        <v xml:space="preserve">Saint-Denis </v>
      </c>
      <c r="AK528" s="42" t="str">
        <v>Netherlands</v>
      </c>
      <c r="AL528" s="42">
        <v>0</v>
      </c>
      <c r="AM528" s="42">
        <v>0</v>
      </c>
      <c r="AN528" s="42" t="str">
        <v>Belgium</v>
      </c>
      <c r="AO528" s="42" t="str">
        <v>-</v>
      </c>
    </row>
    <row r="529" spans="24:41">
      <c r="X529" s="15">
        <v>527</v>
      </c>
      <c r="Y529" s="15" t="str">
        <v>Ayumu Seko</v>
      </c>
      <c r="Z529" s="15">
        <v>26</v>
      </c>
      <c r="AA529" s="15" t="str">
        <v>Japan</v>
      </c>
      <c r="AB529" s="15" t="str">
        <v>CB</v>
      </c>
      <c r="AC529" s="15" t="str">
        <v>Le Havre</v>
      </c>
      <c r="AD529" s="15">
        <v>20</v>
      </c>
      <c r="AF529" s="42">
        <v>1998</v>
      </c>
      <c r="AG529" s="42" t="str">
        <v xml:space="preserve">14 Jun 1998 - 14:30 </v>
      </c>
      <c r="AH529" s="42" t="str">
        <v>GROUP_STAGE</v>
      </c>
      <c r="AI529" s="42" t="str">
        <v>Stade Municipal</v>
      </c>
      <c r="AJ529" s="42" t="str">
        <v xml:space="preserve">Toulouse </v>
      </c>
      <c r="AK529" s="42" t="str">
        <v>Argentina</v>
      </c>
      <c r="AL529" s="42">
        <v>1</v>
      </c>
      <c r="AM529" s="42">
        <v>0</v>
      </c>
      <c r="AN529" s="42" t="str">
        <v>Japan</v>
      </c>
      <c r="AO529" s="42" t="str">
        <v>-</v>
      </c>
    </row>
    <row r="530" spans="24:41">
      <c r="X530" s="15">
        <v>528</v>
      </c>
      <c r="Y530" s="15" t="str">
        <v>Hiroki Itō</v>
      </c>
      <c r="Z530" s="15">
        <v>27</v>
      </c>
      <c r="AA530" s="15" t="str">
        <v>Japan</v>
      </c>
      <c r="AB530" s="15" t="str">
        <v>CB</v>
      </c>
      <c r="AC530" s="15" t="str">
        <v>Bayern Munich</v>
      </c>
      <c r="AD530" s="15">
        <v>21</v>
      </c>
      <c r="AF530" s="42">
        <v>1998</v>
      </c>
      <c r="AG530" s="42" t="str">
        <v xml:space="preserve">14 Jun 1998 - 17:30 </v>
      </c>
      <c r="AH530" s="42" t="str">
        <v>GROUP_STAGE</v>
      </c>
      <c r="AI530" s="42" t="str">
        <v>Stade Geoffroy Guichard</v>
      </c>
      <c r="AJ530" s="42" t="str">
        <v xml:space="preserve">Saint-Etienne </v>
      </c>
      <c r="AK530" s="42" t="str">
        <v>Yugoslavia</v>
      </c>
      <c r="AL530" s="42">
        <v>1</v>
      </c>
      <c r="AM530" s="42">
        <v>0</v>
      </c>
      <c r="AN530" s="42" t="str">
        <v>Iran</v>
      </c>
      <c r="AO530" s="42" t="str">
        <v>-</v>
      </c>
    </row>
    <row r="531" spans="24:41">
      <c r="X531" s="15">
        <v>529</v>
      </c>
      <c r="Y531" s="15" t="str">
        <v>Takehiro Tomiyasu</v>
      </c>
      <c r="Z531" s="15">
        <v>27</v>
      </c>
      <c r="AA531" s="15" t="str">
        <v>Japan</v>
      </c>
      <c r="AB531" s="15" t="str">
        <v>CB</v>
      </c>
      <c r="AC531" s="15" t="str">
        <v>Ajax</v>
      </c>
      <c r="AD531" s="15">
        <v>22</v>
      </c>
      <c r="AF531" s="42">
        <v>1998</v>
      </c>
      <c r="AG531" s="42" t="str">
        <v xml:space="preserve">14 Jun 1998 - 21:00 </v>
      </c>
      <c r="AH531" s="42" t="str">
        <v>GROUP_STAGE</v>
      </c>
      <c r="AI531" s="42" t="str">
        <v>Stade Felix Bollaert</v>
      </c>
      <c r="AJ531" s="42" t="str">
        <v xml:space="preserve">Lens </v>
      </c>
      <c r="AK531" s="42" t="str">
        <v>Jamaica</v>
      </c>
      <c r="AL531" s="42">
        <v>1</v>
      </c>
      <c r="AM531" s="42">
        <v>3</v>
      </c>
      <c r="AN531" s="42" t="str">
        <v>Croatia</v>
      </c>
      <c r="AO531" s="42" t="str">
        <v>-</v>
      </c>
    </row>
    <row r="532" spans="24:41">
      <c r="X532" s="15">
        <v>530</v>
      </c>
      <c r="Y532" s="15" t="str">
        <v>Yūto Nagatomo</v>
      </c>
      <c r="Z532" s="15">
        <v>39</v>
      </c>
      <c r="AA532" s="15" t="str">
        <v>Japan</v>
      </c>
      <c r="AB532" s="15" t="str">
        <v>LB</v>
      </c>
      <c r="AC532" s="15" t="str">
        <v>FC Tokyo</v>
      </c>
      <c r="AD532" s="15">
        <v>5</v>
      </c>
      <c r="AF532" s="42">
        <v>1998</v>
      </c>
      <c r="AG532" s="42" t="str">
        <v xml:space="preserve">15 Jun 1998 - 14:30 </v>
      </c>
      <c r="AH532" s="42" t="str">
        <v>GROUP_STAGE</v>
      </c>
      <c r="AI532" s="42" t="str">
        <v>Stade Vélodrome</v>
      </c>
      <c r="AJ532" s="42" t="str">
        <v xml:space="preserve">Marseilles </v>
      </c>
      <c r="AK532" s="42" t="str">
        <v>England</v>
      </c>
      <c r="AL532" s="42">
        <v>2</v>
      </c>
      <c r="AM532" s="42">
        <v>0</v>
      </c>
      <c r="AN532" s="42" t="str">
        <v>Tunisia</v>
      </c>
      <c r="AO532" s="42" t="str">
        <v>-</v>
      </c>
    </row>
    <row r="533" spans="24:41">
      <c r="X533" s="15">
        <v>531</v>
      </c>
      <c r="Y533" s="15" t="str">
        <v>Junnosuke Suzuki</v>
      </c>
      <c r="Z533" s="15">
        <v>22</v>
      </c>
      <c r="AA533" s="15" t="str">
        <v>Japan</v>
      </c>
      <c r="AB533" s="15" t="str">
        <v>LB</v>
      </c>
      <c r="AC533" s="15" t="str">
        <v>Copenhagen</v>
      </c>
      <c r="AD533" s="15">
        <v>25</v>
      </c>
      <c r="AF533" s="42">
        <v>1998</v>
      </c>
      <c r="AG533" s="42" t="str">
        <v xml:space="preserve">15 Jun 1998 - 17:30 </v>
      </c>
      <c r="AH533" s="42" t="str">
        <v>GROUP_STAGE</v>
      </c>
      <c r="AI533" s="42" t="str">
        <v>Stade de Gerland</v>
      </c>
      <c r="AJ533" s="42" t="str">
        <v xml:space="preserve">Lyon </v>
      </c>
      <c r="AK533" s="42" t="str">
        <v>Romania</v>
      </c>
      <c r="AL533" s="42">
        <v>1</v>
      </c>
      <c r="AM533" s="42">
        <v>0</v>
      </c>
      <c r="AN533" s="42" t="str">
        <v>Colombia</v>
      </c>
      <c r="AO533" s="42" t="str">
        <v>-</v>
      </c>
    </row>
    <row r="534" spans="24:41">
      <c r="X534" s="15">
        <v>532</v>
      </c>
      <c r="Y534" s="15" t="str">
        <v>Yukinari Sugawara</v>
      </c>
      <c r="Z534" s="15">
        <v>25</v>
      </c>
      <c r="AA534" s="15" t="str">
        <v>Japan</v>
      </c>
      <c r="AB534" s="15" t="str">
        <v>RB</v>
      </c>
      <c r="AC534" s="15" t="str">
        <v>Werder Bremen</v>
      </c>
      <c r="AD534" s="15">
        <v>2</v>
      </c>
      <c r="AF534" s="42">
        <v>1998</v>
      </c>
      <c r="AG534" s="42" t="str">
        <v xml:space="preserve">15 Jun 1998 - 21:00 </v>
      </c>
      <c r="AH534" s="42" t="str">
        <v>GROUP_STAGE</v>
      </c>
      <c r="AI534" s="42" t="str">
        <v>Parc des Princes</v>
      </c>
      <c r="AJ534" s="42" t="str">
        <v xml:space="preserve">Paris </v>
      </c>
      <c r="AK534" s="42" t="str">
        <v>Germany</v>
      </c>
      <c r="AL534" s="42">
        <v>2</v>
      </c>
      <c r="AM534" s="42">
        <v>0</v>
      </c>
      <c r="AN534" s="42" t="str">
        <v>United States</v>
      </c>
      <c r="AO534" s="42" t="str">
        <v>-</v>
      </c>
    </row>
    <row r="535" spans="24:41">
      <c r="X535" s="15">
        <v>533</v>
      </c>
      <c r="Y535" s="15" t="str">
        <v>Kaishū Sano</v>
      </c>
      <c r="Z535" s="15">
        <v>25</v>
      </c>
      <c r="AA535" s="15" t="str">
        <v>Japan</v>
      </c>
      <c r="AB535" s="15" t="str">
        <v>CDM</v>
      </c>
      <c r="AC535" s="15" t="str">
        <v>Mainz 05</v>
      </c>
      <c r="AD535" s="15">
        <v>24</v>
      </c>
      <c r="AF535" s="42">
        <v>1998</v>
      </c>
      <c r="AG535" s="42" t="str">
        <v xml:space="preserve">16 Jun 1998 - 17:30 </v>
      </c>
      <c r="AH535" s="42" t="str">
        <v>GROUP_STAGE</v>
      </c>
      <c r="AI535" s="42" t="str">
        <v>Stade du Parc Lescure</v>
      </c>
      <c r="AJ535" s="42" t="str">
        <v xml:space="preserve">Bordeaux </v>
      </c>
      <c r="AK535" s="42" t="str">
        <v>Scotland</v>
      </c>
      <c r="AL535" s="42">
        <v>1</v>
      </c>
      <c r="AM535" s="42">
        <v>1</v>
      </c>
      <c r="AN535" s="42" t="str">
        <v>Norway</v>
      </c>
      <c r="AO535" s="42" t="str">
        <v>-</v>
      </c>
    </row>
    <row r="536" spans="24:41">
      <c r="X536" s="15">
        <v>534</v>
      </c>
      <c r="Y536" s="15" t="str">
        <v>Ao Tanaka</v>
      </c>
      <c r="Z536" s="15">
        <v>27</v>
      </c>
      <c r="AA536" s="15" t="str">
        <v>Japan</v>
      </c>
      <c r="AB536" s="15" t="str">
        <v>CM</v>
      </c>
      <c r="AC536" s="15" t="str">
        <v>Leeds United</v>
      </c>
      <c r="AD536" s="15">
        <v>7</v>
      </c>
      <c r="AF536" s="42">
        <v>1998</v>
      </c>
      <c r="AG536" s="42" t="str">
        <v xml:space="preserve">16 Jun 1998 - 21:00 </v>
      </c>
      <c r="AH536" s="42" t="str">
        <v>GROUP_STAGE</v>
      </c>
      <c r="AI536" s="42" t="str">
        <v>La Beaujoire</v>
      </c>
      <c r="AJ536" s="42" t="str">
        <v xml:space="preserve">Nantes </v>
      </c>
      <c r="AK536" s="42" t="str">
        <v>Brazil</v>
      </c>
      <c r="AL536" s="42">
        <v>3</v>
      </c>
      <c r="AM536" s="42">
        <v>0</v>
      </c>
      <c r="AN536" s="42" t="str">
        <v>Morocco</v>
      </c>
      <c r="AO536" s="42" t="str">
        <v>-</v>
      </c>
    </row>
    <row r="537" spans="24:41">
      <c r="X537" s="15">
        <v>535</v>
      </c>
      <c r="Y537" s="15" t="str">
        <v>Takefusa Kubo</v>
      </c>
      <c r="Z537" s="15">
        <v>25</v>
      </c>
      <c r="AA537" s="15" t="str">
        <v>Japan</v>
      </c>
      <c r="AB537" s="15" t="str">
        <v>CAM</v>
      </c>
      <c r="AC537" s="15" t="str">
        <v>Real Sociedad</v>
      </c>
      <c r="AD537" s="15">
        <v>8</v>
      </c>
      <c r="AF537" s="42">
        <v>1998</v>
      </c>
      <c r="AG537" s="42" t="str">
        <v xml:space="preserve">17 Jun 1998 - 17:30 </v>
      </c>
      <c r="AH537" s="42" t="str">
        <v>GROUP_STAGE</v>
      </c>
      <c r="AI537" s="42" t="str">
        <v>Stade Geoffroy Guichard</v>
      </c>
      <c r="AJ537" s="42" t="str">
        <v xml:space="preserve">Saint-Etienne </v>
      </c>
      <c r="AK537" s="42" t="str">
        <v>Chile</v>
      </c>
      <c r="AL537" s="42">
        <v>1</v>
      </c>
      <c r="AM537" s="42">
        <v>1</v>
      </c>
      <c r="AN537" s="42" t="str">
        <v>Austria</v>
      </c>
      <c r="AO537" s="42" t="str">
        <v>-</v>
      </c>
    </row>
    <row r="538" spans="24:41">
      <c r="X538" s="15">
        <v>536</v>
      </c>
      <c r="Y538" s="15" t="str">
        <v>Ritsu Dōan</v>
      </c>
      <c r="Z538" s="15">
        <v>27</v>
      </c>
      <c r="AA538" s="15" t="str">
        <v>Japan</v>
      </c>
      <c r="AB538" s="15" t="str">
        <v>CAM</v>
      </c>
      <c r="AC538" s="15" t="str">
        <v>Eintracht Frankfurt</v>
      </c>
      <c r="AD538" s="15">
        <v>10</v>
      </c>
      <c r="AF538" s="42">
        <v>1998</v>
      </c>
      <c r="AG538" s="42" t="str">
        <v xml:space="preserve">17 Jun 1998 - 21:00 </v>
      </c>
      <c r="AH538" s="42" t="str">
        <v>GROUP_STAGE</v>
      </c>
      <c r="AI538" s="42" t="str">
        <v>La Mosson</v>
      </c>
      <c r="AJ538" s="42" t="str">
        <v xml:space="preserve">Montpellier </v>
      </c>
      <c r="AK538" s="42" t="str">
        <v>Italy</v>
      </c>
      <c r="AL538" s="42">
        <v>3</v>
      </c>
      <c r="AM538" s="42">
        <v>0</v>
      </c>
      <c r="AN538" s="42" t="str">
        <v>Cameroon</v>
      </c>
      <c r="AO538" s="42" t="str">
        <v>-</v>
      </c>
    </row>
    <row r="539" spans="24:41">
      <c r="X539" s="15">
        <v>537</v>
      </c>
      <c r="Y539" s="15" t="str">
        <v>Daichi Kamada</v>
      </c>
      <c r="Z539" s="15">
        <v>29</v>
      </c>
      <c r="AA539" s="15" t="str">
        <v>Japan</v>
      </c>
      <c r="AB539" s="15" t="str">
        <v>CAM</v>
      </c>
      <c r="AC539" s="15" t="str">
        <v>Crystal Palace</v>
      </c>
      <c r="AD539" s="15">
        <v>15</v>
      </c>
      <c r="AF539" s="42">
        <v>1998</v>
      </c>
      <c r="AG539" s="42" t="str">
        <v xml:space="preserve">18 Jun 1998 - 17:30 </v>
      </c>
      <c r="AH539" s="42" t="str">
        <v>GROUP_STAGE</v>
      </c>
      <c r="AI539" s="42" t="str">
        <v>Stade Municipal</v>
      </c>
      <c r="AJ539" s="42" t="str">
        <v xml:space="preserve">Toulouse </v>
      </c>
      <c r="AK539" s="42" t="str">
        <v>South Africa</v>
      </c>
      <c r="AL539" s="42">
        <v>1</v>
      </c>
      <c r="AM539" s="42">
        <v>1</v>
      </c>
      <c r="AN539" s="42" t="str">
        <v>Denmark</v>
      </c>
      <c r="AO539" s="42" t="str">
        <v>-</v>
      </c>
    </row>
    <row r="540" spans="24:41">
      <c r="X540" s="15">
        <v>538</v>
      </c>
      <c r="Y540" s="15" t="str">
        <v>Yuito Suzuki</v>
      </c>
      <c r="Z540" s="15">
        <v>24</v>
      </c>
      <c r="AA540" s="15" t="str">
        <v>Japan</v>
      </c>
      <c r="AB540" s="15" t="str">
        <v>CAM</v>
      </c>
      <c r="AC540" s="15" t="str">
        <v>SC Freiburg</v>
      </c>
      <c r="AD540" s="15">
        <v>17</v>
      </c>
      <c r="AF540" s="42">
        <v>1998</v>
      </c>
      <c r="AG540" s="42" t="str">
        <v xml:space="preserve">18 Jun 1998 - 21:00 </v>
      </c>
      <c r="AH540" s="42" t="str">
        <v>GROUP_STAGE</v>
      </c>
      <c r="AI540" s="42" t="str">
        <v>Stade de France</v>
      </c>
      <c r="AJ540" s="42" t="str">
        <v xml:space="preserve">Saint-Denis </v>
      </c>
      <c r="AK540" s="42" t="str">
        <v>France</v>
      </c>
      <c r="AL540" s="42">
        <v>4</v>
      </c>
      <c r="AM540" s="42">
        <v>0</v>
      </c>
      <c r="AN540" s="42" t="str">
        <v>Saudi Arabia</v>
      </c>
      <c r="AO540" s="42" t="str">
        <v>-</v>
      </c>
    </row>
    <row r="541" spans="24:41">
      <c r="X541" s="15">
        <v>539</v>
      </c>
      <c r="Y541" s="15" t="str">
        <v>Daizen Maeda</v>
      </c>
      <c r="Z541" s="15">
        <v>28</v>
      </c>
      <c r="AA541" s="15" t="str">
        <v>Japan</v>
      </c>
      <c r="AB541" s="15" t="str">
        <v>LW</v>
      </c>
      <c r="AC541" s="15" t="str">
        <v>Celtic</v>
      </c>
      <c r="AD541" s="15">
        <v>11</v>
      </c>
      <c r="AF541" s="42">
        <v>1998</v>
      </c>
      <c r="AG541" s="42" t="str">
        <v xml:space="preserve">19 Jun 1998 - 17:30 </v>
      </c>
      <c r="AH541" s="42" t="str">
        <v>GROUP_STAGE</v>
      </c>
      <c r="AI541" s="42" t="str">
        <v>Parc des Princes</v>
      </c>
      <c r="AJ541" s="42" t="str">
        <v xml:space="preserve">Paris </v>
      </c>
      <c r="AK541" s="42" t="str">
        <v>Nigeria</v>
      </c>
      <c r="AL541" s="42">
        <v>1</v>
      </c>
      <c r="AM541" s="42">
        <v>0</v>
      </c>
      <c r="AN541" s="42" t="str">
        <v>Bulgaria</v>
      </c>
      <c r="AO541" s="42" t="str">
        <v>-</v>
      </c>
    </row>
    <row r="542" spans="24:41">
      <c r="X542" s="15">
        <v>540</v>
      </c>
      <c r="Y542" s="15" t="str">
        <v>Keito Nakamura</v>
      </c>
      <c r="Z542" s="15">
        <v>25</v>
      </c>
      <c r="AA542" s="15" t="str">
        <v>Japan</v>
      </c>
      <c r="AB542" s="15" t="str">
        <v>LW</v>
      </c>
      <c r="AC542" s="15" t="str">
        <v>Reims</v>
      </c>
      <c r="AD542" s="15">
        <v>13</v>
      </c>
      <c r="AF542" s="42">
        <v>1998</v>
      </c>
      <c r="AG542" s="42" t="str">
        <v xml:space="preserve">19 Jun 1998 - 21:00 </v>
      </c>
      <c r="AH542" s="42" t="str">
        <v>GROUP_STAGE</v>
      </c>
      <c r="AI542" s="42" t="str">
        <v>Stade Geoffroy Guichard</v>
      </c>
      <c r="AJ542" s="42" t="str">
        <v xml:space="preserve">Saint-Etienne </v>
      </c>
      <c r="AK542" s="42" t="str">
        <v>Spain</v>
      </c>
      <c r="AL542" s="42">
        <v>0</v>
      </c>
      <c r="AM542" s="42">
        <v>0</v>
      </c>
      <c r="AN542" s="42" t="str">
        <v>Paraguay</v>
      </c>
      <c r="AO542" s="42" t="str">
        <v>-</v>
      </c>
    </row>
    <row r="543" spans="24:41">
      <c r="X543" s="15">
        <v>541</v>
      </c>
      <c r="Y543" s="15" t="str">
        <v>Junya Itō</v>
      </c>
      <c r="Z543" s="15">
        <v>33</v>
      </c>
      <c r="AA543" s="15" t="str">
        <v>Japan</v>
      </c>
      <c r="AB543" s="15" t="str">
        <v>RW</v>
      </c>
      <c r="AC543" s="15" t="str">
        <v>Genk</v>
      </c>
      <c r="AD543" s="15">
        <v>14</v>
      </c>
      <c r="AF543" s="42">
        <v>1998</v>
      </c>
      <c r="AG543" s="42" t="str">
        <v xml:space="preserve">20 Jun 1998 - 14:30 </v>
      </c>
      <c r="AH543" s="42" t="str">
        <v>GROUP_STAGE</v>
      </c>
      <c r="AI543" s="42" t="str">
        <v>La Beaujoire</v>
      </c>
      <c r="AJ543" s="42" t="str">
        <v xml:space="preserve">Nantes </v>
      </c>
      <c r="AK543" s="42" t="str">
        <v>Japan</v>
      </c>
      <c r="AL543" s="42">
        <v>0</v>
      </c>
      <c r="AM543" s="42">
        <v>1</v>
      </c>
      <c r="AN543" s="42" t="str">
        <v>Croatia</v>
      </c>
      <c r="AO543" s="42" t="str">
        <v>-</v>
      </c>
    </row>
    <row r="544" spans="24:41">
      <c r="X544" s="15">
        <v>542</v>
      </c>
      <c r="Y544" s="15" t="str">
        <v>Shūto Machino</v>
      </c>
      <c r="Z544" s="15">
        <v>26</v>
      </c>
      <c r="AA544" s="15" t="str">
        <v>Japan</v>
      </c>
      <c r="AB544" s="15" t="str">
        <v>ST</v>
      </c>
      <c r="AC544" s="15" t="str">
        <v>Borussia Mönchengladbach</v>
      </c>
      <c r="AD544" s="15">
        <v>6</v>
      </c>
      <c r="AF544" s="42">
        <v>1998</v>
      </c>
      <c r="AG544" s="42" t="str">
        <v xml:space="preserve">20 Jun 1998 - 17:30 </v>
      </c>
      <c r="AH544" s="42" t="str">
        <v>GROUP_STAGE</v>
      </c>
      <c r="AI544" s="42" t="str">
        <v>Stade du Parc Lescure</v>
      </c>
      <c r="AJ544" s="42" t="str">
        <v xml:space="preserve">Bordeaux </v>
      </c>
      <c r="AK544" s="42" t="str">
        <v>Belgium</v>
      </c>
      <c r="AL544" s="42">
        <v>2</v>
      </c>
      <c r="AM544" s="42">
        <v>2</v>
      </c>
      <c r="AN544" s="42" t="str">
        <v>Mexico</v>
      </c>
      <c r="AO544" s="42" t="str">
        <v>-</v>
      </c>
    </row>
    <row r="545" spans="24:41">
      <c r="X545" s="15">
        <v>543</v>
      </c>
      <c r="Y545" s="15" t="str">
        <v>Keisuke Gotō</v>
      </c>
      <c r="Z545" s="15">
        <v>21</v>
      </c>
      <c r="AA545" s="15" t="str">
        <v>Japan</v>
      </c>
      <c r="AB545" s="15" t="str">
        <v>ST</v>
      </c>
      <c r="AC545" s="15" t="str">
        <v>Sint-Truiden</v>
      </c>
      <c r="AD545" s="15">
        <v>9</v>
      </c>
      <c r="AF545" s="42">
        <v>1998</v>
      </c>
      <c r="AG545" s="42" t="str">
        <v xml:space="preserve">20 Jun 1998 - 21:00 </v>
      </c>
      <c r="AH545" s="42" t="str">
        <v>GROUP_STAGE</v>
      </c>
      <c r="AI545" s="42" t="str">
        <v>Stade Vélodrome</v>
      </c>
      <c r="AJ545" s="42" t="str">
        <v xml:space="preserve">Marseilles </v>
      </c>
      <c r="AK545" s="42" t="str">
        <v>Netherlands</v>
      </c>
      <c r="AL545" s="42">
        <v>5</v>
      </c>
      <c r="AM545" s="42">
        <v>0</v>
      </c>
      <c r="AN545" s="42" t="str">
        <v>South Korea</v>
      </c>
      <c r="AO545" s="42" t="str">
        <v>-</v>
      </c>
    </row>
    <row r="546" spans="24:41">
      <c r="X546" s="15">
        <v>544</v>
      </c>
      <c r="Y546" s="15" t="str">
        <v>Ayase Ueda</v>
      </c>
      <c r="Z546" s="15">
        <v>27</v>
      </c>
      <c r="AA546" s="15" t="str">
        <v>Japan</v>
      </c>
      <c r="AB546" s="15" t="str">
        <v>ST</v>
      </c>
      <c r="AC546" s="15" t="str">
        <v>Feyenoord</v>
      </c>
      <c r="AD546" s="15">
        <v>18</v>
      </c>
      <c r="AF546" s="42">
        <v>1998</v>
      </c>
      <c r="AG546" s="42" t="str">
        <v xml:space="preserve">21 Jun 1998 - 14:30 </v>
      </c>
      <c r="AH546" s="42" t="str">
        <v>GROUP_STAGE</v>
      </c>
      <c r="AI546" s="42" t="str">
        <v>Stade Felix Bollaert</v>
      </c>
      <c r="AJ546" s="42" t="str">
        <v xml:space="preserve">Lens </v>
      </c>
      <c r="AK546" s="42" t="str">
        <v>Germany</v>
      </c>
      <c r="AL546" s="42">
        <v>2</v>
      </c>
      <c r="AM546" s="42">
        <v>2</v>
      </c>
      <c r="AN546" s="42" t="str">
        <v>Yugoslavia</v>
      </c>
      <c r="AO546" s="42" t="str">
        <v>-</v>
      </c>
    </row>
    <row r="547" spans="24:41">
      <c r="X547" s="15">
        <v>545</v>
      </c>
      <c r="Y547" s="15" t="str">
        <v>Kōki Ogawa</v>
      </c>
      <c r="Z547" s="15">
        <v>28</v>
      </c>
      <c r="AA547" s="15" t="str">
        <v>Japan</v>
      </c>
      <c r="AB547" s="15" t="str">
        <v>ST</v>
      </c>
      <c r="AC547" s="15" t="str">
        <v>NEC</v>
      </c>
      <c r="AD547" s="15">
        <v>19</v>
      </c>
      <c r="AF547" s="42">
        <v>1998</v>
      </c>
      <c r="AG547" s="42" t="str">
        <v xml:space="preserve">21 Jun 1998 - 17:30 </v>
      </c>
      <c r="AH547" s="42" t="str">
        <v>GROUP_STAGE</v>
      </c>
      <c r="AI547" s="42" t="str">
        <v>Parc des Princes</v>
      </c>
      <c r="AJ547" s="42" t="str">
        <v xml:space="preserve">Paris </v>
      </c>
      <c r="AK547" s="42" t="str">
        <v>Argentina</v>
      </c>
      <c r="AL547" s="42">
        <v>5</v>
      </c>
      <c r="AM547" s="42">
        <v>0</v>
      </c>
      <c r="AN547" s="42" t="str">
        <v>Jamaica</v>
      </c>
      <c r="AO547" s="42" t="str">
        <v>-</v>
      </c>
    </row>
    <row r="548" spans="24:41">
      <c r="X548" s="15">
        <v>546</v>
      </c>
      <c r="Y548" s="15" t="str">
        <v>Kento Shiogai</v>
      </c>
      <c r="Z548" s="15">
        <v>21</v>
      </c>
      <c r="AA548" s="15" t="str">
        <v>Japan</v>
      </c>
      <c r="AB548" s="15" t="str">
        <v>ST</v>
      </c>
      <c r="AC548" s="15" t="str">
        <v>VfL Wolfsburg</v>
      </c>
      <c r="AD548" s="15">
        <v>26</v>
      </c>
      <c r="AF548" s="42">
        <v>1998</v>
      </c>
      <c r="AG548" s="42" t="str">
        <v xml:space="preserve">21 Jun 1998 - 21:00 </v>
      </c>
      <c r="AH548" s="42" t="str">
        <v>GROUP_STAGE</v>
      </c>
      <c r="AI548" s="42" t="str">
        <v>Stade de Gerland</v>
      </c>
      <c r="AJ548" s="42" t="str">
        <v xml:space="preserve">Lyon </v>
      </c>
      <c r="AK548" s="42" t="str">
        <v>United States</v>
      </c>
      <c r="AL548" s="42">
        <v>1</v>
      </c>
      <c r="AM548" s="42">
        <v>2</v>
      </c>
      <c r="AN548" s="42" t="str">
        <v>Iran</v>
      </c>
      <c r="AO548" s="42" t="str">
        <v>-</v>
      </c>
    </row>
    <row r="549" spans="24:41">
      <c r="X549" s="15">
        <v>547</v>
      </c>
      <c r="Y549" s="15" t="str">
        <v>Bart Verbruggen</v>
      </c>
      <c r="Z549" s="15">
        <v>23</v>
      </c>
      <c r="AA549" s="15" t="str">
        <v>Netherlands</v>
      </c>
      <c r="AB549" s="15" t="str">
        <v>GK</v>
      </c>
      <c r="AC549" s="15" t="str">
        <v>Brighton &amp; Hove Albion</v>
      </c>
      <c r="AD549" s="15">
        <v>1</v>
      </c>
      <c r="AF549" s="42">
        <v>1998</v>
      </c>
      <c r="AG549" s="42" t="str">
        <v xml:space="preserve">22 Jun 1998 - 17:30 </v>
      </c>
      <c r="AH549" s="42" t="str">
        <v>GROUP_STAGE</v>
      </c>
      <c r="AI549" s="42" t="str">
        <v>La Mosson</v>
      </c>
      <c r="AJ549" s="42" t="str">
        <v xml:space="preserve">Montpellier </v>
      </c>
      <c r="AK549" s="42" t="str">
        <v>Colombia</v>
      </c>
      <c r="AL549" s="42">
        <v>1</v>
      </c>
      <c r="AM549" s="42">
        <v>0</v>
      </c>
      <c r="AN549" s="42" t="str">
        <v>Tunisia</v>
      </c>
      <c r="AO549" s="42" t="str">
        <v>-</v>
      </c>
    </row>
    <row r="550" spans="24:41">
      <c r="X550" s="15">
        <v>548</v>
      </c>
      <c r="Y550" s="15" t="str">
        <v>Robin Roefs</v>
      </c>
      <c r="Z550" s="15">
        <v>23</v>
      </c>
      <c r="AA550" s="15" t="str">
        <v>Netherlands</v>
      </c>
      <c r="AB550" s="15" t="str">
        <v>GK</v>
      </c>
      <c r="AC550" s="15" t="str">
        <v>Sunderland</v>
      </c>
      <c r="AD550" s="15">
        <v>13</v>
      </c>
      <c r="AF550" s="42">
        <v>1998</v>
      </c>
      <c r="AG550" s="42" t="str">
        <v xml:space="preserve">22 Jun 1998 - 21:00 </v>
      </c>
      <c r="AH550" s="42" t="str">
        <v>GROUP_STAGE</v>
      </c>
      <c r="AI550" s="42" t="str">
        <v>Stade Municipal</v>
      </c>
      <c r="AJ550" s="42" t="str">
        <v xml:space="preserve">Toulouse </v>
      </c>
      <c r="AK550" s="42" t="str">
        <v>Romania</v>
      </c>
      <c r="AL550" s="42">
        <v>2</v>
      </c>
      <c r="AM550" s="42">
        <v>1</v>
      </c>
      <c r="AN550" s="42" t="str">
        <v>England</v>
      </c>
      <c r="AO550" s="42" t="str">
        <v>-</v>
      </c>
    </row>
    <row r="551" spans="24:41">
      <c r="X551" s="15">
        <v>549</v>
      </c>
      <c r="Y551" s="15" t="str">
        <v>Mark Flekken</v>
      </c>
      <c r="Z551" s="15">
        <v>32</v>
      </c>
      <c r="AA551" s="15" t="str">
        <v>Netherlands</v>
      </c>
      <c r="AB551" s="15" t="str">
        <v>GK</v>
      </c>
      <c r="AC551" s="15" t="str">
        <v>Bayer Leverkusen</v>
      </c>
      <c r="AD551" s="15">
        <v>23</v>
      </c>
      <c r="AF551" s="42">
        <v>1998</v>
      </c>
      <c r="AG551" s="42" t="str">
        <v xml:space="preserve">23 Jun 1998 - 16:00 </v>
      </c>
      <c r="AH551" s="42" t="str">
        <v>GROUP_STAGE</v>
      </c>
      <c r="AI551" s="42" t="str">
        <v>Stade de France</v>
      </c>
      <c r="AJ551" s="42" t="str">
        <v xml:space="preserve">Saint-Denis </v>
      </c>
      <c r="AK551" s="42" t="str">
        <v>Italy</v>
      </c>
      <c r="AL551" s="42">
        <v>2</v>
      </c>
      <c r="AM551" s="42">
        <v>1</v>
      </c>
      <c r="AN551" s="42" t="str">
        <v>Austria</v>
      </c>
      <c r="AO551" s="42" t="str">
        <v>-</v>
      </c>
    </row>
    <row r="552" spans="24:41">
      <c r="X552" s="15">
        <v>550</v>
      </c>
      <c r="Y552" s="15" t="str">
        <v>Virgil van Dijk</v>
      </c>
      <c r="Z552" s="15">
        <v>34</v>
      </c>
      <c r="AA552" s="15" t="str">
        <v>Netherlands</v>
      </c>
      <c r="AB552" s="15" t="str">
        <v>CB</v>
      </c>
      <c r="AC552" s="15" t="str">
        <v>Liverpool</v>
      </c>
      <c r="AD552" s="15">
        <v>4</v>
      </c>
      <c r="AF552" s="42">
        <v>1998</v>
      </c>
      <c r="AG552" s="42" t="str">
        <v xml:space="preserve">23 Jun 1998 - 16:00 </v>
      </c>
      <c r="AH552" s="42" t="str">
        <v>GROUP_STAGE</v>
      </c>
      <c r="AI552" s="42" t="str">
        <v>La Beaujoire</v>
      </c>
      <c r="AJ552" s="42" t="str">
        <v xml:space="preserve">Nantes </v>
      </c>
      <c r="AK552" s="42" t="str">
        <v>Chile</v>
      </c>
      <c r="AL552" s="42">
        <v>1</v>
      </c>
      <c r="AM552" s="42">
        <v>1</v>
      </c>
      <c r="AN552" s="42" t="str">
        <v>Cameroon</v>
      </c>
      <c r="AO552" s="42" t="str">
        <v>-</v>
      </c>
    </row>
    <row r="553" spans="24:41">
      <c r="X553" s="15">
        <v>551</v>
      </c>
      <c r="Y553" s="15" t="str">
        <v>Nathan Aké</v>
      </c>
      <c r="Z553" s="15">
        <v>31</v>
      </c>
      <c r="AA553" s="15" t="str">
        <v>Netherlands</v>
      </c>
      <c r="AB553" s="15" t="str">
        <v>CB</v>
      </c>
      <c r="AC553" s="15" t="str">
        <v>Manchester City</v>
      </c>
      <c r="AD553" s="15">
        <v>5</v>
      </c>
      <c r="AF553" s="42">
        <v>1998</v>
      </c>
      <c r="AG553" s="42" t="str">
        <v xml:space="preserve">23 Jun 1998 - 21:00 </v>
      </c>
      <c r="AH553" s="42" t="str">
        <v>GROUP_STAGE</v>
      </c>
      <c r="AI553" s="42" t="str">
        <v>Stade Geoffroy Guichard</v>
      </c>
      <c r="AJ553" s="42" t="str">
        <v xml:space="preserve">Saint-Etienne </v>
      </c>
      <c r="AK553" s="42" t="str">
        <v>Scotland</v>
      </c>
      <c r="AL553" s="42">
        <v>0</v>
      </c>
      <c r="AM553" s="42">
        <v>3</v>
      </c>
      <c r="AN553" s="42" t="str">
        <v>Morocco</v>
      </c>
      <c r="AO553" s="42" t="str">
        <v>-</v>
      </c>
    </row>
    <row r="554" spans="24:41">
      <c r="X554" s="15">
        <v>552</v>
      </c>
      <c r="Y554" s="15" t="str">
        <v>Jan Paul van Hecke</v>
      </c>
      <c r="Z554" s="15">
        <v>26</v>
      </c>
      <c r="AA554" s="15" t="str">
        <v>Netherlands</v>
      </c>
      <c r="AB554" s="15" t="str">
        <v>CB</v>
      </c>
      <c r="AC554" s="15" t="str">
        <v>Brighton &amp; Hove Albion</v>
      </c>
      <c r="AD554" s="15">
        <v>6</v>
      </c>
      <c r="AF554" s="42">
        <v>1998</v>
      </c>
      <c r="AG554" s="42" t="str">
        <v xml:space="preserve">23 Jun 1998 - 21:00 </v>
      </c>
      <c r="AH554" s="42" t="str">
        <v>GROUP_STAGE</v>
      </c>
      <c r="AI554" s="42" t="str">
        <v>Stade Vélodrome</v>
      </c>
      <c r="AJ554" s="42" t="str">
        <v xml:space="preserve">Marseilles </v>
      </c>
      <c r="AK554" s="42" t="str">
        <v>Brazil</v>
      </c>
      <c r="AL554" s="42">
        <v>1</v>
      </c>
      <c r="AM554" s="42">
        <v>2</v>
      </c>
      <c r="AN554" s="42" t="str">
        <v>Norway</v>
      </c>
      <c r="AO554" s="42" t="str">
        <v>-</v>
      </c>
    </row>
    <row r="555" spans="24:41">
      <c r="X555" s="15">
        <v>553</v>
      </c>
      <c r="Y555" s="15" t="str">
        <v>Mats Wieffer</v>
      </c>
      <c r="Z555" s="15">
        <v>26</v>
      </c>
      <c r="AA555" s="15" t="str">
        <v>Netherlands</v>
      </c>
      <c r="AB555" s="15" t="str">
        <v>CB</v>
      </c>
      <c r="AC555" s="15" t="str">
        <v>Brighton &amp; Hove Albion</v>
      </c>
      <c r="AD555" s="15">
        <v>12</v>
      </c>
      <c r="AF555" s="42">
        <v>1998</v>
      </c>
      <c r="AG555" s="42" t="str">
        <v xml:space="preserve">24 Jun 1998 - 16:00 </v>
      </c>
      <c r="AH555" s="42" t="str">
        <v>GROUP_STAGE</v>
      </c>
      <c r="AI555" s="42" t="str">
        <v>Stade de Gerland</v>
      </c>
      <c r="AJ555" s="42" t="str">
        <v xml:space="preserve">Lyon </v>
      </c>
      <c r="AK555" s="42" t="str">
        <v>France</v>
      </c>
      <c r="AL555" s="42">
        <v>2</v>
      </c>
      <c r="AM555" s="42">
        <v>1</v>
      </c>
      <c r="AN555" s="42" t="str">
        <v>Denmark</v>
      </c>
      <c r="AO555" s="42" t="str">
        <v>-</v>
      </c>
    </row>
    <row r="556" spans="24:41">
      <c r="X556" s="15">
        <v>554</v>
      </c>
      <c r="Y556" s="15" t="str">
        <v>Micky van de Ven</v>
      </c>
      <c r="Z556" s="15">
        <v>25</v>
      </c>
      <c r="AA556" s="15" t="str">
        <v>Netherlands</v>
      </c>
      <c r="AB556" s="15" t="str">
        <v>CB</v>
      </c>
      <c r="AC556" s="15" t="str">
        <v>Tottenham Hotspur</v>
      </c>
      <c r="AD556" s="15">
        <v>15</v>
      </c>
      <c r="AF556" s="42">
        <v>1998</v>
      </c>
      <c r="AG556" s="42" t="str">
        <v xml:space="preserve">24 Jun 1998 - 16:00 </v>
      </c>
      <c r="AH556" s="42" t="str">
        <v>GROUP_STAGE</v>
      </c>
      <c r="AI556" s="42" t="str">
        <v>Stade du Parc Lescure</v>
      </c>
      <c r="AJ556" s="42" t="str">
        <v xml:space="preserve">Bordeaux </v>
      </c>
      <c r="AK556" s="42" t="str">
        <v>South Africa</v>
      </c>
      <c r="AL556" s="42">
        <v>2</v>
      </c>
      <c r="AM556" s="42">
        <v>2</v>
      </c>
      <c r="AN556" s="42" t="str">
        <v>Saudi Arabia</v>
      </c>
      <c r="AO556" s="42" t="str">
        <v>-</v>
      </c>
    </row>
    <row r="557" spans="24:41">
      <c r="X557" s="15">
        <v>555</v>
      </c>
      <c r="Y557" s="15" t="str">
        <v>Jorrel Hato</v>
      </c>
      <c r="Z557" s="15">
        <v>20</v>
      </c>
      <c r="AA557" s="15" t="str">
        <v>Netherlands</v>
      </c>
      <c r="AB557" s="15" t="str">
        <v>CB</v>
      </c>
      <c r="AC557" s="15" t="str">
        <v>Chelsea</v>
      </c>
      <c r="AD557" s="15">
        <v>25</v>
      </c>
      <c r="AF557" s="42">
        <v>1998</v>
      </c>
      <c r="AG557" s="42" t="str">
        <v xml:space="preserve">24 Jun 1998 - 21:00 </v>
      </c>
      <c r="AH557" s="42" t="str">
        <v>GROUP_STAGE</v>
      </c>
      <c r="AI557" s="42" t="str">
        <v>Stade Felix Bollaert</v>
      </c>
      <c r="AJ557" s="42" t="str">
        <v xml:space="preserve">Lens </v>
      </c>
      <c r="AK557" s="42" t="str">
        <v>Spain</v>
      </c>
      <c r="AL557" s="42">
        <v>6</v>
      </c>
      <c r="AM557" s="42">
        <v>1</v>
      </c>
      <c r="AN557" s="42" t="str">
        <v>Bulgaria</v>
      </c>
      <c r="AO557" s="42" t="str">
        <v>-</v>
      </c>
    </row>
    <row r="558" spans="24:41">
      <c r="X558" s="15">
        <v>556</v>
      </c>
      <c r="Y558" s="15" t="str">
        <v>Lutsharel Geertruida</v>
      </c>
      <c r="Z558" s="15">
        <v>25</v>
      </c>
      <c r="AA558" s="15" t="str">
        <v>Netherlands</v>
      </c>
      <c r="AB558" s="15" t="str">
        <v>RB</v>
      </c>
      <c r="AC558" s="15" t="str">
        <v>Sunderland</v>
      </c>
      <c r="AD558" s="15">
        <v>2</v>
      </c>
      <c r="AF558" s="42">
        <v>1998</v>
      </c>
      <c r="AG558" s="42" t="str">
        <v xml:space="preserve">24 Jun 1998 - 21:00 </v>
      </c>
      <c r="AH558" s="42" t="str">
        <v>GROUP_STAGE</v>
      </c>
      <c r="AI558" s="42" t="str">
        <v>Stade Municipal</v>
      </c>
      <c r="AJ558" s="42" t="str">
        <v xml:space="preserve">Toulouse </v>
      </c>
      <c r="AK558" s="42" t="str">
        <v>Nigeria</v>
      </c>
      <c r="AL558" s="42">
        <v>1</v>
      </c>
      <c r="AM558" s="42">
        <v>3</v>
      </c>
      <c r="AN558" s="42" t="str">
        <v>Paraguay</v>
      </c>
      <c r="AO558" s="42" t="str">
        <v>-</v>
      </c>
    </row>
    <row r="559" spans="24:41">
      <c r="X559" s="15">
        <v>557</v>
      </c>
      <c r="Y559" s="15" t="str">
        <v>Denzel Dumfries</v>
      </c>
      <c r="Z559" s="15">
        <v>30</v>
      </c>
      <c r="AA559" s="15" t="str">
        <v>Netherlands</v>
      </c>
      <c r="AB559" s="15" t="str">
        <v>RB</v>
      </c>
      <c r="AC559" s="15" t="str">
        <v>Inter Milan</v>
      </c>
      <c r="AD559" s="15">
        <v>22</v>
      </c>
      <c r="AF559" s="42">
        <v>1998</v>
      </c>
      <c r="AG559" s="42" t="str">
        <v xml:space="preserve">25 Jun 1998 - 16:00 </v>
      </c>
      <c r="AH559" s="42" t="str">
        <v>GROUP_STAGE</v>
      </c>
      <c r="AI559" s="42" t="str">
        <v>Parc des Princes</v>
      </c>
      <c r="AJ559" s="42" t="str">
        <v xml:space="preserve">Paris </v>
      </c>
      <c r="AK559" s="42" t="str">
        <v>Belgium</v>
      </c>
      <c r="AL559" s="42">
        <v>1</v>
      </c>
      <c r="AM559" s="42">
        <v>1</v>
      </c>
      <c r="AN559" s="42" t="str">
        <v>South Korea</v>
      </c>
      <c r="AO559" s="42" t="str">
        <v>-</v>
      </c>
    </row>
    <row r="560" spans="24:41">
      <c r="X560" s="15">
        <v>558</v>
      </c>
      <c r="Y560" s="15" t="str">
        <v>Marten de Roon</v>
      </c>
      <c r="Z560" s="15">
        <v>35</v>
      </c>
      <c r="AA560" s="15" t="str">
        <v>Netherlands</v>
      </c>
      <c r="AB560" s="15" t="str">
        <v>CDM</v>
      </c>
      <c r="AC560" s="15" t="str">
        <v>Atalanta</v>
      </c>
      <c r="AD560" s="15">
        <v>3</v>
      </c>
      <c r="AF560" s="42">
        <v>1998</v>
      </c>
      <c r="AG560" s="42" t="str">
        <v xml:space="preserve">25 Jun 1998 - 16:00 </v>
      </c>
      <c r="AH560" s="42" t="str">
        <v>GROUP_STAGE</v>
      </c>
      <c r="AI560" s="42" t="str">
        <v>Stade Geoffroy Guichard</v>
      </c>
      <c r="AJ560" s="42" t="str">
        <v xml:space="preserve">Saint-Etienne </v>
      </c>
      <c r="AK560" s="42" t="str">
        <v>Netherlands</v>
      </c>
      <c r="AL560" s="42">
        <v>2</v>
      </c>
      <c r="AM560" s="42">
        <v>2</v>
      </c>
      <c r="AN560" s="42" t="str">
        <v>Mexico</v>
      </c>
      <c r="AO560" s="42" t="str">
        <v>-</v>
      </c>
    </row>
    <row r="561" spans="24:41">
      <c r="X561" s="15">
        <v>559</v>
      </c>
      <c r="Y561" s="15" t="str">
        <v>Frenkie de Jong</v>
      </c>
      <c r="Z561" s="15">
        <v>29</v>
      </c>
      <c r="AA561" s="15" t="str">
        <v>Netherlands</v>
      </c>
      <c r="AB561" s="15" t="str">
        <v>CDM</v>
      </c>
      <c r="AC561" s="15" t="str">
        <v>Barcelona</v>
      </c>
      <c r="AD561" s="15">
        <v>21</v>
      </c>
      <c r="AF561" s="42">
        <v>1998</v>
      </c>
      <c r="AG561" s="42" t="str">
        <v xml:space="preserve">25 Jun 1998 - 21:00 </v>
      </c>
      <c r="AH561" s="42" t="str">
        <v>GROUP_STAGE</v>
      </c>
      <c r="AI561" s="42" t="str">
        <v>La Mosson</v>
      </c>
      <c r="AJ561" s="42" t="str">
        <v xml:space="preserve">Montpellier </v>
      </c>
      <c r="AK561" s="42" t="str">
        <v>Germany</v>
      </c>
      <c r="AL561" s="42">
        <v>2</v>
      </c>
      <c r="AM561" s="42">
        <v>0</v>
      </c>
      <c r="AN561" s="42" t="str">
        <v>Iran</v>
      </c>
      <c r="AO561" s="42" t="str">
        <v>-</v>
      </c>
    </row>
    <row r="562" spans="24:41">
      <c r="X562" s="15">
        <v>560</v>
      </c>
      <c r="Y562" s="15" t="str">
        <v>Ryan Gravenberch</v>
      </c>
      <c r="Z562" s="15">
        <v>24</v>
      </c>
      <c r="AA562" s="15" t="str">
        <v>Netherlands</v>
      </c>
      <c r="AB562" s="15" t="str">
        <v>CM</v>
      </c>
      <c r="AC562" s="15" t="str">
        <v>Liverpool</v>
      </c>
      <c r="AD562" s="15">
        <v>8</v>
      </c>
      <c r="AF562" s="42">
        <v>1998</v>
      </c>
      <c r="AG562" s="42" t="str">
        <v xml:space="preserve">25 Jun 1998 - 21:00 </v>
      </c>
      <c r="AH562" s="42" t="str">
        <v>GROUP_STAGE</v>
      </c>
      <c r="AI562" s="42" t="str">
        <v>La Beaujoire</v>
      </c>
      <c r="AJ562" s="42" t="str">
        <v xml:space="preserve">Nantes </v>
      </c>
      <c r="AK562" s="42" t="str">
        <v>United States</v>
      </c>
      <c r="AL562" s="42">
        <v>0</v>
      </c>
      <c r="AM562" s="42">
        <v>1</v>
      </c>
      <c r="AN562" s="42" t="str">
        <v>Yugoslavia</v>
      </c>
      <c r="AO562" s="42" t="str">
        <v>-</v>
      </c>
    </row>
    <row r="563" spans="24:41">
      <c r="X563" s="15">
        <v>561</v>
      </c>
      <c r="Y563" s="15" t="str">
        <v>Tijjani Reijnders</v>
      </c>
      <c r="Z563" s="15">
        <v>27</v>
      </c>
      <c r="AA563" s="15" t="str">
        <v>Netherlands</v>
      </c>
      <c r="AB563" s="15" t="str">
        <v>CM</v>
      </c>
      <c r="AC563" s="15" t="str">
        <v>Manchester City</v>
      </c>
      <c r="AD563" s="15">
        <v>14</v>
      </c>
      <c r="AF563" s="42">
        <v>1998</v>
      </c>
      <c r="AG563" s="42" t="str">
        <v xml:space="preserve">26 Jun 1998 - 16:00 </v>
      </c>
      <c r="AH563" s="42" t="str">
        <v>GROUP_STAGE</v>
      </c>
      <c r="AI563" s="42" t="str">
        <v>Stade de Gerland</v>
      </c>
      <c r="AJ563" s="42" t="str">
        <v xml:space="preserve">Lyon </v>
      </c>
      <c r="AK563" s="42" t="str">
        <v>Japan</v>
      </c>
      <c r="AL563" s="42">
        <v>1</v>
      </c>
      <c r="AM563" s="42">
        <v>2</v>
      </c>
      <c r="AN563" s="42" t="str">
        <v>Jamaica</v>
      </c>
      <c r="AO563" s="42" t="str">
        <v>-</v>
      </c>
    </row>
    <row r="564" spans="24:41">
      <c r="X564" s="15">
        <v>562</v>
      </c>
      <c r="Y564" s="15" t="str">
        <v>Quinten Timber</v>
      </c>
      <c r="Z564" s="15">
        <v>24</v>
      </c>
      <c r="AA564" s="15" t="str">
        <v>Netherlands</v>
      </c>
      <c r="AB564" s="15" t="str">
        <v>CM</v>
      </c>
      <c r="AC564" s="15" t="str">
        <v>Marseille</v>
      </c>
      <c r="AD564" s="15">
        <v>26</v>
      </c>
      <c r="AF564" s="42">
        <v>1998</v>
      </c>
      <c r="AG564" s="42" t="str">
        <v xml:space="preserve">26 Jun 1998 - 16:00 </v>
      </c>
      <c r="AH564" s="42" t="str">
        <v>GROUP_STAGE</v>
      </c>
      <c r="AI564" s="42" t="str">
        <v>Stade du Parc Lescure</v>
      </c>
      <c r="AJ564" s="42" t="str">
        <v xml:space="preserve">Bordeaux </v>
      </c>
      <c r="AK564" s="42" t="str">
        <v>Argentina</v>
      </c>
      <c r="AL564" s="42">
        <v>1</v>
      </c>
      <c r="AM564" s="42">
        <v>0</v>
      </c>
      <c r="AN564" s="42" t="str">
        <v>Croatia</v>
      </c>
      <c r="AO564" s="42" t="str">
        <v>-</v>
      </c>
    </row>
    <row r="565" spans="24:41">
      <c r="X565" s="15">
        <v>563</v>
      </c>
      <c r="Y565" s="15" t="str">
        <v>Guus Til</v>
      </c>
      <c r="Z565" s="15">
        <v>28</v>
      </c>
      <c r="AA565" s="15" t="str">
        <v>Netherlands</v>
      </c>
      <c r="AB565" s="15" t="str">
        <v>CAM</v>
      </c>
      <c r="AC565" s="15" t="str">
        <v>PSV Eindhoven</v>
      </c>
      <c r="AD565" s="15">
        <v>16</v>
      </c>
      <c r="AF565" s="42">
        <v>1998</v>
      </c>
      <c r="AG565" s="42" t="str">
        <v xml:space="preserve">26 Jun 1998 - 21:00 </v>
      </c>
      <c r="AH565" s="42" t="str">
        <v>GROUP_STAGE</v>
      </c>
      <c r="AI565" s="42" t="str">
        <v>Stade de France</v>
      </c>
      <c r="AJ565" s="42" t="str">
        <v xml:space="preserve">Saint-Denis </v>
      </c>
      <c r="AK565" s="42" t="str">
        <v>Romania</v>
      </c>
      <c r="AL565" s="42">
        <v>1</v>
      </c>
      <c r="AM565" s="42">
        <v>1</v>
      </c>
      <c r="AN565" s="42" t="str">
        <v>Tunisia</v>
      </c>
      <c r="AO565" s="42" t="str">
        <v>-</v>
      </c>
    </row>
    <row r="566" spans="24:41">
      <c r="X566" s="15">
        <v>564</v>
      </c>
      <c r="Y566" s="15" t="str">
        <v>Teun Koopmeiners</v>
      </c>
      <c r="Z566" s="15">
        <v>28</v>
      </c>
      <c r="AA566" s="15" t="str">
        <v>Netherlands</v>
      </c>
      <c r="AB566" s="15" t="str">
        <v>CAM</v>
      </c>
      <c r="AC566" s="15" t="str">
        <v>Juventus</v>
      </c>
      <c r="AD566" s="15">
        <v>20</v>
      </c>
      <c r="AF566" s="42">
        <v>1998</v>
      </c>
      <c r="AG566" s="42" t="str">
        <v xml:space="preserve">26 Jun 1998 - 21:00 </v>
      </c>
      <c r="AH566" s="42" t="str">
        <v>GROUP_STAGE</v>
      </c>
      <c r="AI566" s="42" t="str">
        <v>Stade Felix Bollaert</v>
      </c>
      <c r="AJ566" s="42" t="str">
        <v xml:space="preserve">Lens </v>
      </c>
      <c r="AK566" s="42" t="str">
        <v>Colombia</v>
      </c>
      <c r="AL566" s="42">
        <v>0</v>
      </c>
      <c r="AM566" s="42">
        <v>2</v>
      </c>
      <c r="AN566" s="42" t="str">
        <v>England</v>
      </c>
      <c r="AO566" s="42" t="str">
        <v>-</v>
      </c>
    </row>
    <row r="567" spans="24:41">
      <c r="X567" s="15">
        <v>565</v>
      </c>
      <c r="Y567" s="15" t="str">
        <v>Justin Kluivert</v>
      </c>
      <c r="Z567" s="15">
        <v>27</v>
      </c>
      <c r="AA567" s="15" t="str">
        <v>Netherlands</v>
      </c>
      <c r="AB567" s="15" t="str">
        <v>LW</v>
      </c>
      <c r="AC567" s="15" t="str">
        <v>Bournemouth</v>
      </c>
      <c r="AD567" s="15">
        <v>7</v>
      </c>
      <c r="AF567" s="42">
        <v>1998</v>
      </c>
      <c r="AG567" s="42" t="str">
        <v xml:space="preserve">27 Jun 1998 - 16:30 </v>
      </c>
      <c r="AH567" s="42" t="str">
        <v>ROUND_OF_16</v>
      </c>
      <c r="AI567" s="42" t="str">
        <v>Stade Vélodrome</v>
      </c>
      <c r="AJ567" s="42" t="str">
        <v xml:space="preserve">Marseilles </v>
      </c>
      <c r="AK567" s="42" t="str">
        <v>Italy</v>
      </c>
      <c r="AL567" s="42">
        <v>1</v>
      </c>
      <c r="AM567" s="42">
        <v>0</v>
      </c>
      <c r="AN567" s="42" t="str">
        <v>Norway</v>
      </c>
      <c r="AO567" s="42" t="str">
        <v>-</v>
      </c>
    </row>
    <row r="568" spans="24:41">
      <c r="X568" s="15">
        <v>566</v>
      </c>
      <c r="Y568" s="15" t="str">
        <v>Cody Gakpo</v>
      </c>
      <c r="Z568" s="15">
        <v>27</v>
      </c>
      <c r="AA568" s="15" t="str">
        <v>Netherlands</v>
      </c>
      <c r="AB568" s="15" t="str">
        <v>LW</v>
      </c>
      <c r="AC568" s="15" t="str">
        <v>Liverpool</v>
      </c>
      <c r="AD568" s="15">
        <v>11</v>
      </c>
      <c r="AF568" s="42">
        <v>1998</v>
      </c>
      <c r="AG568" s="42" t="str">
        <v xml:space="preserve">27 Jun 1998 - 21:00 </v>
      </c>
      <c r="AH568" s="42" t="str">
        <v>ROUND_OF_16</v>
      </c>
      <c r="AI568" s="42" t="str">
        <v>Parc des Princes</v>
      </c>
      <c r="AJ568" s="42" t="str">
        <v xml:space="preserve">Paris </v>
      </c>
      <c r="AK568" s="42" t="str">
        <v>Brazil</v>
      </c>
      <c r="AL568" s="42">
        <v>4</v>
      </c>
      <c r="AM568" s="42">
        <v>1</v>
      </c>
      <c r="AN568" s="42" t="str">
        <v>Chile</v>
      </c>
      <c r="AO568" s="42" t="str">
        <v>-</v>
      </c>
    </row>
    <row r="569" spans="24:41">
      <c r="X569" s="15">
        <v>567</v>
      </c>
      <c r="Y569" s="15" t="str">
        <v>Noa Lang</v>
      </c>
      <c r="Z569" s="15">
        <v>26</v>
      </c>
      <c r="AA569" s="15" t="str">
        <v>Netherlands</v>
      </c>
      <c r="AB569" s="15" t="str">
        <v>LW</v>
      </c>
      <c r="AC569" s="15" t="str">
        <v>Galatasaray</v>
      </c>
      <c r="AD569" s="15">
        <v>17</v>
      </c>
      <c r="AF569" s="42">
        <v>1998</v>
      </c>
      <c r="AG569" s="42" t="str">
        <v xml:space="preserve">28 Jun 1998 - 16:30 </v>
      </c>
      <c r="AH569" s="42" t="str">
        <v>ROUND_OF_16</v>
      </c>
      <c r="AI569" s="42" t="str">
        <v>Stade Felix Bollaert</v>
      </c>
      <c r="AJ569" s="42" t="str">
        <v xml:space="preserve">Lens </v>
      </c>
      <c r="AK569" s="42" t="str">
        <v>France</v>
      </c>
      <c r="AL569" s="42">
        <v>1</v>
      </c>
      <c r="AM569" s="42">
        <v>0</v>
      </c>
      <c r="AN569" s="42" t="str">
        <v>Paraguay</v>
      </c>
      <c r="AO569" s="42" t="str">
        <v>France win after extra time</v>
      </c>
    </row>
    <row r="570" spans="24:41">
      <c r="X570" s="15">
        <v>568</v>
      </c>
      <c r="Y570" s="15" t="str">
        <v>Crysencio Summerville</v>
      </c>
      <c r="Z570" s="15">
        <v>24</v>
      </c>
      <c r="AA570" s="15" t="str">
        <v>Netherlands</v>
      </c>
      <c r="AB570" s="15" t="str">
        <v>LW</v>
      </c>
      <c r="AC570" s="15" t="str">
        <v>West Ham United</v>
      </c>
      <c r="AD570" s="15">
        <v>24</v>
      </c>
      <c r="AF570" s="42">
        <v>1998</v>
      </c>
      <c r="AG570" s="42" t="str">
        <v xml:space="preserve">28 Jun 1998 - 21:00 </v>
      </c>
      <c r="AH570" s="42" t="str">
        <v>ROUND_OF_16</v>
      </c>
      <c r="AI570" s="42" t="str">
        <v>Stade de France</v>
      </c>
      <c r="AJ570" s="42" t="str">
        <v xml:space="preserve">Saint-Denis </v>
      </c>
      <c r="AK570" s="42" t="str">
        <v>Nigeria</v>
      </c>
      <c r="AL570" s="42">
        <v>1</v>
      </c>
      <c r="AM570" s="42">
        <v>4</v>
      </c>
      <c r="AN570" s="42" t="str">
        <v>Denmark</v>
      </c>
      <c r="AO570" s="42" t="str">
        <v>-</v>
      </c>
    </row>
    <row r="571" spans="24:41">
      <c r="X571" s="15">
        <v>569</v>
      </c>
      <c r="Y571" s="15" t="str">
        <v>Donyell Malen</v>
      </c>
      <c r="Z571" s="15">
        <v>27</v>
      </c>
      <c r="AA571" s="15" t="str">
        <v>Netherlands</v>
      </c>
      <c r="AB571" s="15" t="str">
        <v>RW</v>
      </c>
      <c r="AC571" s="15" t="str">
        <v>Roma</v>
      </c>
      <c r="AD571" s="15">
        <v>18</v>
      </c>
      <c r="AF571" s="42">
        <v>1998</v>
      </c>
      <c r="AG571" s="42" t="str">
        <v xml:space="preserve">29 Jun 1998 - 16:30 </v>
      </c>
      <c r="AH571" s="42" t="str">
        <v>ROUND_OF_16</v>
      </c>
      <c r="AI571" s="42" t="str">
        <v>La Mosson</v>
      </c>
      <c r="AJ571" s="42" t="str">
        <v xml:space="preserve">Montpellier </v>
      </c>
      <c r="AK571" s="42" t="str">
        <v>Germany</v>
      </c>
      <c r="AL571" s="42">
        <v>2</v>
      </c>
      <c r="AM571" s="42">
        <v>1</v>
      </c>
      <c r="AN571" s="42" t="str">
        <v>Mexico</v>
      </c>
      <c r="AO571" s="42" t="str">
        <v>-</v>
      </c>
    </row>
    <row r="572" spans="24:41">
      <c r="X572" s="15">
        <v>570</v>
      </c>
      <c r="Y572" s="15" t="str">
        <v>Wout Weghorst</v>
      </c>
      <c r="Z572" s="15">
        <v>33</v>
      </c>
      <c r="AA572" s="15" t="str">
        <v>Netherlands</v>
      </c>
      <c r="AB572" s="15" t="str">
        <v>ST</v>
      </c>
      <c r="AC572" s="15" t="str">
        <v>Ajax</v>
      </c>
      <c r="AD572" s="15">
        <v>9</v>
      </c>
      <c r="AF572" s="42">
        <v>1998</v>
      </c>
      <c r="AG572" s="42" t="str">
        <v xml:space="preserve">29 Jun 1998 - 21:00 </v>
      </c>
      <c r="AH572" s="42" t="str">
        <v>ROUND_OF_16</v>
      </c>
      <c r="AI572" s="42" t="str">
        <v>Stade Municipal</v>
      </c>
      <c r="AJ572" s="42" t="str">
        <v xml:space="preserve">Toulouse </v>
      </c>
      <c r="AK572" s="42" t="str">
        <v>Netherlands</v>
      </c>
      <c r="AL572" s="42">
        <v>2</v>
      </c>
      <c r="AM572" s="42">
        <v>1</v>
      </c>
      <c r="AN572" s="42" t="str">
        <v>Yugoslavia</v>
      </c>
      <c r="AO572" s="42" t="str">
        <v>-</v>
      </c>
    </row>
    <row r="573" spans="24:41">
      <c r="X573" s="15">
        <v>571</v>
      </c>
      <c r="Y573" s="15" t="str">
        <v>Memphis Depay</v>
      </c>
      <c r="Z573" s="15">
        <v>32</v>
      </c>
      <c r="AA573" s="15" t="str">
        <v>Netherlands</v>
      </c>
      <c r="AB573" s="15" t="str">
        <v>ST</v>
      </c>
      <c r="AC573" s="15" t="str">
        <v>Corinthians</v>
      </c>
      <c r="AD573" s="15">
        <v>10</v>
      </c>
      <c r="AF573" s="42">
        <v>1998</v>
      </c>
      <c r="AG573" s="42" t="str">
        <v xml:space="preserve">30 Jun 1998 - 16:30 </v>
      </c>
      <c r="AH573" s="42" t="str">
        <v>ROUND_OF_16</v>
      </c>
      <c r="AI573" s="42" t="str">
        <v>Stade du Parc Lescure</v>
      </c>
      <c r="AJ573" s="42" t="str">
        <v xml:space="preserve">Bordeaux </v>
      </c>
      <c r="AK573" s="42" t="str">
        <v>Romania</v>
      </c>
      <c r="AL573" s="42">
        <v>0</v>
      </c>
      <c r="AM573" s="42">
        <v>1</v>
      </c>
      <c r="AN573" s="42" t="str">
        <v>Croatia</v>
      </c>
      <c r="AO573" s="42" t="str">
        <v>-</v>
      </c>
    </row>
    <row r="574" spans="24:41">
      <c r="X574" s="15">
        <v>572</v>
      </c>
      <c r="Y574" s="15" t="str">
        <v>Brian Brobbey</v>
      </c>
      <c r="Z574" s="15">
        <v>24</v>
      </c>
      <c r="AA574" s="15" t="str">
        <v>Netherlands</v>
      </c>
      <c r="AB574" s="15" t="str">
        <v>ST</v>
      </c>
      <c r="AC574" s="15" t="str">
        <v>Sunderland</v>
      </c>
      <c r="AD574" s="15">
        <v>19</v>
      </c>
      <c r="AF574" s="42">
        <v>1998</v>
      </c>
      <c r="AG574" s="42" t="str">
        <v xml:space="preserve">30 Jun 1998 - 21:00 </v>
      </c>
      <c r="AH574" s="42" t="str">
        <v>ROUND_OF_16</v>
      </c>
      <c r="AI574" s="42" t="str">
        <v>Stade Geoffroy Guichard</v>
      </c>
      <c r="AJ574" s="42" t="str">
        <v xml:space="preserve">Saint-Etienne </v>
      </c>
      <c r="AK574" s="42" t="str">
        <v>Argentina</v>
      </c>
      <c r="AL574" s="42">
        <v>2</v>
      </c>
      <c r="AM574" s="42">
        <v>2</v>
      </c>
      <c r="AN574" s="42" t="str">
        <v>England</v>
      </c>
      <c r="AO574" s="42" t="str">
        <v>Argentina win on penalties (4 - 3)</v>
      </c>
    </row>
    <row r="575" spans="24:41">
      <c r="X575" s="15">
        <v>573</v>
      </c>
      <c r="Y575" s="15" t="str">
        <v>Mouhib Chamakh</v>
      </c>
      <c r="Z575" s="15">
        <v>24</v>
      </c>
      <c r="AA575" s="15" t="str">
        <v>Tunisia</v>
      </c>
      <c r="AB575" s="15" t="str">
        <v>GK</v>
      </c>
      <c r="AC575" s="15" t="str">
        <v>Club Africain</v>
      </c>
      <c r="AD575" s="15">
        <v>1</v>
      </c>
      <c r="AF575" s="42">
        <v>1998</v>
      </c>
      <c r="AG575" s="42" t="str">
        <v xml:space="preserve">03 Jul 1998 - 16:30 </v>
      </c>
      <c r="AH575" s="42" t="str">
        <v>QUARTER_FINALS</v>
      </c>
      <c r="AI575" s="42" t="str">
        <v>Stade de France</v>
      </c>
      <c r="AJ575" s="42" t="str">
        <v xml:space="preserve">Saint-Denis </v>
      </c>
      <c r="AK575" s="42" t="str">
        <v>Italy</v>
      </c>
      <c r="AL575" s="42">
        <v>0</v>
      </c>
      <c r="AM575" s="42">
        <v>0</v>
      </c>
      <c r="AN575" s="42" t="str">
        <v>France</v>
      </c>
      <c r="AO575" s="42" t="str">
        <v>France win on penalties (3 - 4)</v>
      </c>
    </row>
    <row r="576" spans="24:41">
      <c r="X576" s="15">
        <v>574</v>
      </c>
      <c r="Y576" s="15" t="str">
        <v>Aymen Dahmen</v>
      </c>
      <c r="Z576" s="15">
        <v>29</v>
      </c>
      <c r="AA576" s="15" t="str">
        <v>Tunisia</v>
      </c>
      <c r="AB576" s="15" t="str">
        <v>GK</v>
      </c>
      <c r="AC576" s="15" t="str">
        <v>CS Sfaxien</v>
      </c>
      <c r="AD576" s="15">
        <v>16</v>
      </c>
      <c r="AF576" s="42">
        <v>1998</v>
      </c>
      <c r="AG576" s="42" t="str">
        <v xml:space="preserve">03 Jul 1998 - 21:00 </v>
      </c>
      <c r="AH576" s="42" t="str">
        <v>QUARTER_FINALS</v>
      </c>
      <c r="AI576" s="42" t="str">
        <v>La Beaujoire</v>
      </c>
      <c r="AJ576" s="42" t="str">
        <v xml:space="preserve">Nantes </v>
      </c>
      <c r="AK576" s="42" t="str">
        <v>Brazil</v>
      </c>
      <c r="AL576" s="42">
        <v>3</v>
      </c>
      <c r="AM576" s="42">
        <v>2</v>
      </c>
      <c r="AN576" s="42" t="str">
        <v>Denmark</v>
      </c>
      <c r="AO576" s="42" t="str">
        <v>-</v>
      </c>
    </row>
    <row r="577" spans="24:41">
      <c r="X577" s="15">
        <v>575</v>
      </c>
      <c r="Y577" s="15" t="str">
        <v>Sabri Ben Hessen</v>
      </c>
      <c r="Z577" s="15">
        <v>29</v>
      </c>
      <c r="AA577" s="15" t="str">
        <v>Tunisia</v>
      </c>
      <c r="AB577" s="15" t="str">
        <v>GK</v>
      </c>
      <c r="AC577" s="15" t="str">
        <v>Étoile du Sahel</v>
      </c>
      <c r="AD577" s="15">
        <v>22</v>
      </c>
      <c r="AF577" s="42">
        <v>1998</v>
      </c>
      <c r="AG577" s="42" t="str">
        <v xml:space="preserve">04 Jul 1998 - 16:30 </v>
      </c>
      <c r="AH577" s="42" t="str">
        <v>QUARTER_FINALS</v>
      </c>
      <c r="AI577" s="42" t="str">
        <v>Stade Vélodrome</v>
      </c>
      <c r="AJ577" s="42" t="str">
        <v xml:space="preserve">Marseilles </v>
      </c>
      <c r="AK577" s="42" t="str">
        <v>Netherlands</v>
      </c>
      <c r="AL577" s="42">
        <v>2</v>
      </c>
      <c r="AM577" s="42">
        <v>1</v>
      </c>
      <c r="AN577" s="42" t="str">
        <v>Argentina</v>
      </c>
      <c r="AO577" s="42" t="str">
        <v>-</v>
      </c>
    </row>
    <row r="578" spans="24:41">
      <c r="X578" s="15">
        <v>576</v>
      </c>
      <c r="Y578" s="15" t="str">
        <v>Montassar Talbi</v>
      </c>
      <c r="Z578" s="15">
        <v>28</v>
      </c>
      <c r="AA578" s="15" t="str">
        <v>Tunisia</v>
      </c>
      <c r="AB578" s="15" t="str">
        <v>CB</v>
      </c>
      <c r="AC578" s="15" t="str">
        <v>Lorient</v>
      </c>
      <c r="AD578" s="15">
        <v>3</v>
      </c>
      <c r="AF578" s="42">
        <v>1998</v>
      </c>
      <c r="AG578" s="42" t="str">
        <v xml:space="preserve">04 Jul 1998 - 21:00 </v>
      </c>
      <c r="AH578" s="42" t="str">
        <v>QUARTER_FINALS</v>
      </c>
      <c r="AI578" s="42" t="str">
        <v>Stade de Gerland</v>
      </c>
      <c r="AJ578" s="42" t="str">
        <v xml:space="preserve">Lyon </v>
      </c>
      <c r="AK578" s="42" t="str">
        <v>Germany</v>
      </c>
      <c r="AL578" s="42">
        <v>0</v>
      </c>
      <c r="AM578" s="42">
        <v>3</v>
      </c>
      <c r="AN578" s="42" t="str">
        <v>Croatia</v>
      </c>
      <c r="AO578" s="42" t="str">
        <v>-</v>
      </c>
    </row>
    <row r="579" spans="24:41">
      <c r="X579" s="15">
        <v>577</v>
      </c>
      <c r="Y579" s="15" t="str">
        <v>Omar Rekik</v>
      </c>
      <c r="Z579" s="15">
        <v>24</v>
      </c>
      <c r="AA579" s="15" t="str">
        <v>Tunisia</v>
      </c>
      <c r="AB579" s="15" t="str">
        <v>CB</v>
      </c>
      <c r="AC579" s="15" t="str">
        <v>Maribor</v>
      </c>
      <c r="AD579" s="15">
        <v>4</v>
      </c>
      <c r="AF579" s="42">
        <v>1998</v>
      </c>
      <c r="AG579" s="42" t="str">
        <v xml:space="preserve">07 Jul 1998 - 21:00 </v>
      </c>
      <c r="AH579" s="42" t="str">
        <v>SEMI_FINALS</v>
      </c>
      <c r="AI579" s="42" t="str">
        <v>Stade Vélodrome</v>
      </c>
      <c r="AJ579" s="42" t="str">
        <v xml:space="preserve">Marseilles </v>
      </c>
      <c r="AK579" s="42" t="str">
        <v>Brazil</v>
      </c>
      <c r="AL579" s="42">
        <v>1</v>
      </c>
      <c r="AM579" s="42">
        <v>1</v>
      </c>
      <c r="AN579" s="42" t="str">
        <v>Netherlands</v>
      </c>
      <c r="AO579" s="42" t="str">
        <v>Brazil win on penalties (4 - 2)</v>
      </c>
    </row>
    <row r="580" spans="24:41">
      <c r="X580" s="15">
        <v>578</v>
      </c>
      <c r="Y580" s="15" t="str">
        <v>Dylan Bronn</v>
      </c>
      <c r="Z580" s="15">
        <v>30</v>
      </c>
      <c r="AA580" s="15" t="str">
        <v>Tunisia</v>
      </c>
      <c r="AB580" s="15" t="str">
        <v>CB</v>
      </c>
      <c r="AC580" s="15" t="str">
        <v>Servette</v>
      </c>
      <c r="AD580" s="15">
        <v>6</v>
      </c>
      <c r="AF580" s="42">
        <v>1998</v>
      </c>
      <c r="AG580" s="42" t="str">
        <v xml:space="preserve">08 Jul 1998 - 21:00 </v>
      </c>
      <c r="AH580" s="42" t="str">
        <v>SEMI_FINALS</v>
      </c>
      <c r="AI580" s="42" t="str">
        <v>Stade de France</v>
      </c>
      <c r="AJ580" s="42" t="str">
        <v xml:space="preserve">Saint-Denis </v>
      </c>
      <c r="AK580" s="42" t="str">
        <v>France</v>
      </c>
      <c r="AL580" s="42">
        <v>2</v>
      </c>
      <c r="AM580" s="42">
        <v>1</v>
      </c>
      <c r="AN580" s="42" t="str">
        <v>Croatia</v>
      </c>
      <c r="AO580" s="42" t="str">
        <v>-</v>
      </c>
    </row>
    <row r="581" spans="24:41">
      <c r="X581" s="15">
        <v>579</v>
      </c>
      <c r="Y581" s="15" t="str">
        <v>Raed Chikhaoui</v>
      </c>
      <c r="Z581" s="15">
        <v>22</v>
      </c>
      <c r="AA581" s="15" t="str">
        <v>Tunisia</v>
      </c>
      <c r="AB581" s="15" t="str">
        <v>CB</v>
      </c>
      <c r="AC581" s="15" t="str">
        <v>US Monastir</v>
      </c>
      <c r="AD581" s="15">
        <v>24</v>
      </c>
      <c r="AF581" s="42">
        <v>1998</v>
      </c>
      <c r="AG581" s="42" t="str">
        <v xml:space="preserve">11 Jul 1998 - 21:00 </v>
      </c>
      <c r="AH581" s="42" t="str">
        <v>THIRD_PLACE</v>
      </c>
      <c r="AI581" s="42" t="str">
        <v>Parc des Princes</v>
      </c>
      <c r="AJ581" s="42" t="str">
        <v xml:space="preserve">Paris </v>
      </c>
      <c r="AK581" s="42" t="str">
        <v>Netherlands</v>
      </c>
      <c r="AL581" s="42">
        <v>1</v>
      </c>
      <c r="AM581" s="42">
        <v>2</v>
      </c>
      <c r="AN581" s="42" t="str">
        <v>Croatia</v>
      </c>
      <c r="AO581" s="42" t="str">
        <v>-</v>
      </c>
    </row>
    <row r="582" spans="24:41">
      <c r="X582" s="15">
        <v>580</v>
      </c>
      <c r="Y582" s="15" t="str">
        <v>Ali Abdi</v>
      </c>
      <c r="Z582" s="15">
        <v>32</v>
      </c>
      <c r="AA582" s="15" t="str">
        <v>Tunisia</v>
      </c>
      <c r="AB582" s="15" t="str">
        <v>LB</v>
      </c>
      <c r="AC582" s="15" t="str">
        <v>Nice</v>
      </c>
      <c r="AD582" s="15">
        <v>2</v>
      </c>
      <c r="AF582" s="42">
        <v>1998</v>
      </c>
      <c r="AG582" s="42" t="str">
        <v xml:space="preserve">12 Jul 1998 - 21:00 </v>
      </c>
      <c r="AH582" s="42" t="str">
        <v>FINAL</v>
      </c>
      <c r="AI582" s="42" t="str">
        <v>Stade de France</v>
      </c>
      <c r="AJ582" s="42" t="str">
        <v xml:space="preserve">Saint-Denis </v>
      </c>
      <c r="AK582" s="42" t="str">
        <v>Brazil</v>
      </c>
      <c r="AL582" s="42">
        <v>0</v>
      </c>
      <c r="AM582" s="42">
        <v>3</v>
      </c>
      <c r="AN582" s="42" t="str">
        <v>France</v>
      </c>
      <c r="AO582" s="42" t="str">
        <v>-</v>
      </c>
    </row>
    <row r="583" spans="24:41">
      <c r="X583" s="15">
        <v>581</v>
      </c>
      <c r="Y583" s="15" t="str">
        <v>Mohamed Amine Ben Hamida</v>
      </c>
      <c r="Z583" s="15">
        <v>30</v>
      </c>
      <c r="AA583" s="15" t="str">
        <v>Tunisia</v>
      </c>
      <c r="AB583" s="15" t="str">
        <v>LB</v>
      </c>
      <c r="AC583" s="15" t="str">
        <v>Espérance de Tunis</v>
      </c>
      <c r="AD583" s="15">
        <v>21</v>
      </c>
      <c r="AF583" s="42">
        <v>2002</v>
      </c>
      <c r="AG583" s="42" t="str">
        <v xml:space="preserve">31 May 2002 - 20:30 </v>
      </c>
      <c r="AH583" s="42" t="str">
        <v>GROUP_STAGE</v>
      </c>
      <c r="AI583" s="42" t="str">
        <v>Seoul World Cup Stadium</v>
      </c>
      <c r="AJ583" s="42" t="str">
        <v xml:space="preserve">Seoul </v>
      </c>
      <c r="AK583" s="42" t="str">
        <v>France</v>
      </c>
      <c r="AL583" s="42">
        <v>0</v>
      </c>
      <c r="AM583" s="42">
        <v>1</v>
      </c>
      <c r="AN583" s="42" t="str">
        <v>Senegal</v>
      </c>
      <c r="AO583" s="42" t="str">
        <v>-</v>
      </c>
    </row>
    <row r="584" spans="24:41">
      <c r="X584" s="15">
        <v>582</v>
      </c>
      <c r="Y584" s="15" t="str">
        <v>Adem Arous</v>
      </c>
      <c r="Z584" s="15">
        <v>21</v>
      </c>
      <c r="AA584" s="15" t="str">
        <v>Tunisia</v>
      </c>
      <c r="AB584" s="15" t="str">
        <v>RB</v>
      </c>
      <c r="AC584" s="15" t="str">
        <v>Kasımpaşa</v>
      </c>
      <c r="AD584" s="15">
        <v>5</v>
      </c>
      <c r="AF584" s="42">
        <v>2002</v>
      </c>
      <c r="AG584" s="42" t="str">
        <v xml:space="preserve">01 Jun 2002 - 18:00 </v>
      </c>
      <c r="AH584" s="42" t="str">
        <v>GROUP_STAGE</v>
      </c>
      <c r="AI584" s="42" t="str">
        <v>Munsu Football Stadium</v>
      </c>
      <c r="AJ584" s="42" t="str">
        <v xml:space="preserve">Ulsan </v>
      </c>
      <c r="AK584" s="42" t="str">
        <v>Uruguay</v>
      </c>
      <c r="AL584" s="42">
        <v>1</v>
      </c>
      <c r="AM584" s="42">
        <v>2</v>
      </c>
      <c r="AN584" s="42" t="str">
        <v>Denmark</v>
      </c>
      <c r="AO584" s="42" t="str">
        <v>-</v>
      </c>
    </row>
    <row r="585" spans="24:41">
      <c r="X585" s="15">
        <v>583</v>
      </c>
      <c r="Y585" s="15" t="str">
        <v>Mortadha Ben Ouanes</v>
      </c>
      <c r="Z585" s="15">
        <v>31</v>
      </c>
      <c r="AA585" s="15" t="str">
        <v>Tunisia</v>
      </c>
      <c r="AB585" s="15" t="str">
        <v>RB</v>
      </c>
      <c r="AC585" s="15" t="str">
        <v>Kasımpaşa</v>
      </c>
      <c r="AD585" s="15">
        <v>12</v>
      </c>
      <c r="AF585" s="42">
        <v>2002</v>
      </c>
      <c r="AG585" s="42" t="str">
        <v xml:space="preserve">01 Jun 2002 - 15:30 </v>
      </c>
      <c r="AH585" s="42" t="str">
        <v>GROUP_STAGE</v>
      </c>
      <c r="AI585" s="42" t="str">
        <v>Niigata Stadium Big Swan</v>
      </c>
      <c r="AJ585" s="42" t="str">
        <v xml:space="preserve">Niigata </v>
      </c>
      <c r="AK585" s="42" t="str">
        <v>Ireland</v>
      </c>
      <c r="AL585" s="42">
        <v>1</v>
      </c>
      <c r="AM585" s="42">
        <v>1</v>
      </c>
      <c r="AN585" s="42" t="str">
        <v>Cameroon</v>
      </c>
      <c r="AO585" s="42" t="str">
        <v>-</v>
      </c>
    </row>
    <row r="586" spans="24:41">
      <c r="X586" s="15">
        <v>584</v>
      </c>
      <c r="Y586" s="15" t="str">
        <v>Yan Valery</v>
      </c>
      <c r="Z586" s="15">
        <v>27</v>
      </c>
      <c r="AA586" s="15" t="str">
        <v>Tunisia</v>
      </c>
      <c r="AB586" s="15" t="str">
        <v>RB</v>
      </c>
      <c r="AC586" s="15" t="str">
        <v>Young Boys</v>
      </c>
      <c r="AD586" s="15">
        <v>20</v>
      </c>
      <c r="AF586" s="42">
        <v>2002</v>
      </c>
      <c r="AG586" s="42" t="str">
        <v xml:space="preserve">01 Jun 2002 - 20:30 </v>
      </c>
      <c r="AH586" s="42" t="str">
        <v>GROUP_STAGE</v>
      </c>
      <c r="AI586" s="42" t="str">
        <v>Sapporo Dome</v>
      </c>
      <c r="AJ586" s="42" t="str">
        <v xml:space="preserve">Sapporo </v>
      </c>
      <c r="AK586" s="42" t="str">
        <v>Germany</v>
      </c>
      <c r="AL586" s="42">
        <v>8</v>
      </c>
      <c r="AM586" s="42">
        <v>0</v>
      </c>
      <c r="AN586" s="42" t="str">
        <v>Saudi Arabia</v>
      </c>
      <c r="AO586" s="42" t="str">
        <v>-</v>
      </c>
    </row>
    <row r="587" spans="24:41">
      <c r="X587" s="15">
        <v>585</v>
      </c>
      <c r="Y587" s="15" t="str">
        <v>Moutaz Neffati</v>
      </c>
      <c r="Z587" s="15">
        <v>21</v>
      </c>
      <c r="AA587" s="15" t="str">
        <v>Tunisia</v>
      </c>
      <c r="AB587" s="15" t="str">
        <v>RB</v>
      </c>
      <c r="AC587" s="15" t="str">
        <v>IFK Norrköping</v>
      </c>
      <c r="AD587" s="15">
        <v>23</v>
      </c>
      <c r="AF587" s="42">
        <v>2002</v>
      </c>
      <c r="AG587" s="42" t="str">
        <v xml:space="preserve">02 Jun 2002 - 14:30 </v>
      </c>
      <c r="AH587" s="42" t="str">
        <v>GROUP_STAGE</v>
      </c>
      <c r="AI587" s="42" t="str">
        <v>Kashima Stadium</v>
      </c>
      <c r="AJ587" s="42" t="str">
        <v xml:space="preserve">Ibaraki </v>
      </c>
      <c r="AK587" s="42" t="str">
        <v>Argentina</v>
      </c>
      <c r="AL587" s="42">
        <v>1</v>
      </c>
      <c r="AM587" s="42">
        <v>0</v>
      </c>
      <c r="AN587" s="42" t="str">
        <v>Nigeria</v>
      </c>
      <c r="AO587" s="42" t="str">
        <v>-</v>
      </c>
    </row>
    <row r="588" spans="24:41">
      <c r="X588" s="15">
        <v>586</v>
      </c>
      <c r="Y588" s="15" t="str">
        <v>Rani Khedira</v>
      </c>
      <c r="Z588" s="15">
        <v>32</v>
      </c>
      <c r="AA588" s="15" t="str">
        <v>Tunisia</v>
      </c>
      <c r="AB588" s="15" t="str">
        <v>CDM</v>
      </c>
      <c r="AC588" s="15" t="str">
        <v>Union Berlin</v>
      </c>
      <c r="AD588" s="15">
        <v>13</v>
      </c>
      <c r="AF588" s="42">
        <v>2002</v>
      </c>
      <c r="AG588" s="42" t="str">
        <v xml:space="preserve">02 Jun 2002 - 16:30 </v>
      </c>
      <c r="AH588" s="42" t="str">
        <v>GROUP_STAGE</v>
      </c>
      <c r="AI588" s="42" t="str">
        <v>Busan Asiad Main Stadium</v>
      </c>
      <c r="AJ588" s="42" t="str">
        <v xml:space="preserve">Busan </v>
      </c>
      <c r="AK588" s="42" t="str">
        <v>Paraguay</v>
      </c>
      <c r="AL588" s="42">
        <v>2</v>
      </c>
      <c r="AM588" s="42">
        <v>2</v>
      </c>
      <c r="AN588" s="42" t="str">
        <v>South Africa</v>
      </c>
      <c r="AO588" s="42" t="str">
        <v>-</v>
      </c>
    </row>
    <row r="589" spans="24:41">
      <c r="X589" s="15">
        <v>587</v>
      </c>
      <c r="Y589" s="15" t="str">
        <v>Ellyes Skhiri</v>
      </c>
      <c r="Z589" s="15">
        <v>31</v>
      </c>
      <c r="AA589" s="15" t="str">
        <v>Tunisia</v>
      </c>
      <c r="AB589" s="15" t="str">
        <v>CDM</v>
      </c>
      <c r="AC589" s="15" t="str">
        <v>Eintracht Frankfurt</v>
      </c>
      <c r="AD589" s="15">
        <v>17</v>
      </c>
      <c r="AF589" s="42">
        <v>2002</v>
      </c>
      <c r="AG589" s="42" t="str">
        <v xml:space="preserve">02 Jun 2002 - 18:30 </v>
      </c>
      <c r="AH589" s="42" t="str">
        <v>GROUP_STAGE</v>
      </c>
      <c r="AI589" s="42" t="str">
        <v>Saitama Stadium 2002</v>
      </c>
      <c r="AJ589" s="42" t="str">
        <v xml:space="preserve">Saitama </v>
      </c>
      <c r="AK589" s="42" t="str">
        <v>England</v>
      </c>
      <c r="AL589" s="42">
        <v>1</v>
      </c>
      <c r="AM589" s="42">
        <v>1</v>
      </c>
      <c r="AN589" s="42" t="str">
        <v>Sweden</v>
      </c>
      <c r="AO589" s="42" t="str">
        <v>-</v>
      </c>
    </row>
    <row r="590" spans="24:41">
      <c r="X590" s="15">
        <v>588</v>
      </c>
      <c r="Y590" s="15" t="str">
        <v>Khalil Ayari</v>
      </c>
      <c r="Z590" s="15">
        <v>21</v>
      </c>
      <c r="AA590" s="15" t="str">
        <v>Tunisia</v>
      </c>
      <c r="AB590" s="15" t="str">
        <v>CM</v>
      </c>
      <c r="AC590" s="15" t="str">
        <v>Paris Saint-Germain</v>
      </c>
      <c r="AD590" s="15">
        <v>14</v>
      </c>
      <c r="AF590" s="42">
        <v>2002</v>
      </c>
      <c r="AG590" s="42" t="str">
        <v xml:space="preserve">02 Jun 2002 - 20:30 </v>
      </c>
      <c r="AH590" s="42" t="str">
        <v>GROUP_STAGE</v>
      </c>
      <c r="AI590" s="42" t="str">
        <v>Gwangju World Cup Stadium</v>
      </c>
      <c r="AJ590" s="42" t="str">
        <v xml:space="preserve">Gwangju </v>
      </c>
      <c r="AK590" s="42" t="str">
        <v>Spain</v>
      </c>
      <c r="AL590" s="42">
        <v>3</v>
      </c>
      <c r="AM590" s="42">
        <v>1</v>
      </c>
      <c r="AN590" s="42" t="str">
        <v>Slovenia</v>
      </c>
      <c r="AO590" s="42" t="str">
        <v>-</v>
      </c>
    </row>
    <row r="591" spans="24:41">
      <c r="X591" s="15">
        <v>589</v>
      </c>
      <c r="Y591" s="15" t="str">
        <v>Mohamed Belhadj Mahmoud</v>
      </c>
      <c r="Z591" s="15">
        <v>26</v>
      </c>
      <c r="AA591" s="15" t="str">
        <v>Tunisia</v>
      </c>
      <c r="AB591" s="15" t="str">
        <v>CM</v>
      </c>
      <c r="AC591" s="15" t="str">
        <v>Lugano</v>
      </c>
      <c r="AD591" s="15">
        <v>15</v>
      </c>
      <c r="AF591" s="42">
        <v>2002</v>
      </c>
      <c r="AG591" s="42" t="str">
        <v xml:space="preserve">03 June 2002 - 18:00 </v>
      </c>
      <c r="AH591" s="42" t="str">
        <v>GROUP_STAGE</v>
      </c>
      <c r="AI591" s="42" t="str">
        <v>Munsu Football Stadium</v>
      </c>
      <c r="AJ591" s="42" t="str">
        <v xml:space="preserve">Ulsan </v>
      </c>
      <c r="AK591" s="42" t="str">
        <v>Brazil</v>
      </c>
      <c r="AL591" s="42">
        <v>2</v>
      </c>
      <c r="AM591" s="42">
        <v>1</v>
      </c>
      <c r="AN591" s="42" t="str">
        <v>Turkey</v>
      </c>
      <c r="AO591" s="42" t="str">
        <v>-</v>
      </c>
    </row>
    <row r="592" spans="24:41">
      <c r="X592" s="15">
        <v>590</v>
      </c>
      <c r="Y592" s="15" t="str">
        <v>Anis Ben Slimane</v>
      </c>
      <c r="Z592" s="15">
        <v>25</v>
      </c>
      <c r="AA592" s="15" t="str">
        <v>Tunisia</v>
      </c>
      <c r="AB592" s="15" t="str">
        <v>CM</v>
      </c>
      <c r="AC592" s="15" t="str">
        <v>Norwich City</v>
      </c>
      <c r="AD592" s="15">
        <v>25</v>
      </c>
      <c r="AF592" s="42">
        <v>2002</v>
      </c>
      <c r="AG592" s="42" t="str">
        <v xml:space="preserve">03 Jun 2002 - 20:30 </v>
      </c>
      <c r="AH592" s="42" t="str">
        <v>GROUP_STAGE</v>
      </c>
      <c r="AI592" s="42" t="str">
        <v>Sapporo Dome</v>
      </c>
      <c r="AJ592" s="42" t="str">
        <v xml:space="preserve">Sapporo </v>
      </c>
      <c r="AK592" s="42" t="str">
        <v>Italy</v>
      </c>
      <c r="AL592" s="42">
        <v>2</v>
      </c>
      <c r="AM592" s="42">
        <v>0</v>
      </c>
      <c r="AN592" s="42" t="str">
        <v>Ecuador</v>
      </c>
      <c r="AO592" s="42" t="str">
        <v>-</v>
      </c>
    </row>
    <row r="593" spans="24:41">
      <c r="X593" s="15">
        <v>591</v>
      </c>
      <c r="Y593" s="15" t="str">
        <v>Hannibal Mejbri</v>
      </c>
      <c r="Z593" s="15">
        <v>23</v>
      </c>
      <c r="AA593" s="15" t="str">
        <v>Tunisia</v>
      </c>
      <c r="AB593" s="15" t="str">
        <v>CAM</v>
      </c>
      <c r="AC593" s="15" t="str">
        <v>Burnley</v>
      </c>
      <c r="AD593" s="15">
        <v>10</v>
      </c>
      <c r="AF593" s="42">
        <v>2002</v>
      </c>
      <c r="AG593" s="42" t="str">
        <v xml:space="preserve">03 Jun 2002 - 15:30 </v>
      </c>
      <c r="AH593" s="42" t="str">
        <v>GROUP_STAGE</v>
      </c>
      <c r="AI593" s="42" t="str">
        <v>Niigata Stadium Big Swan</v>
      </c>
      <c r="AJ593" s="42" t="str">
        <v xml:space="preserve">Niigata </v>
      </c>
      <c r="AK593" s="42" t="str">
        <v>Croatia</v>
      </c>
      <c r="AL593" s="42">
        <v>0</v>
      </c>
      <c r="AM593" s="42">
        <v>1</v>
      </c>
      <c r="AN593" s="42" t="str">
        <v>Mexico</v>
      </c>
      <c r="AO593" s="42" t="str">
        <v>-</v>
      </c>
    </row>
    <row r="594" spans="24:41">
      <c r="X594" s="15">
        <v>592</v>
      </c>
      <c r="Y594" s="15" t="str">
        <v>Ismaël Gharbi</v>
      </c>
      <c r="Z594" s="15">
        <v>22</v>
      </c>
      <c r="AA594" s="15" t="str">
        <v>Tunisia</v>
      </c>
      <c r="AB594" s="15" t="str">
        <v>CAM</v>
      </c>
      <c r="AC594" s="15" t="str">
        <v>FC Augsburg</v>
      </c>
      <c r="AD594" s="15">
        <v>11</v>
      </c>
      <c r="AF594" s="42">
        <v>2002</v>
      </c>
      <c r="AG594" s="42" t="str">
        <v xml:space="preserve">04 June 2002 - 15:30 </v>
      </c>
      <c r="AH594" s="42" t="str">
        <v>GROUP_STAGE</v>
      </c>
      <c r="AI594" s="42" t="str">
        <v>Gwangju World Cup Stadium</v>
      </c>
      <c r="AJ594" s="42" t="str">
        <v xml:space="preserve">Gwangju </v>
      </c>
      <c r="AK594" s="42" t="str">
        <v>China</v>
      </c>
      <c r="AL594" s="42">
        <v>0</v>
      </c>
      <c r="AM594" s="42">
        <v>2</v>
      </c>
      <c r="AN594" s="42" t="str">
        <v>Costa Rica</v>
      </c>
      <c r="AO594" s="42" t="str">
        <v>-</v>
      </c>
    </row>
    <row r="595" spans="24:41">
      <c r="X595" s="15">
        <v>593</v>
      </c>
      <c r="Y595" s="15" t="str">
        <v>Sebastian Tounekti</v>
      </c>
      <c r="Z595" s="15">
        <v>23</v>
      </c>
      <c r="AA595" s="15" t="str">
        <v>Tunisia</v>
      </c>
      <c r="AB595" s="15" t="str">
        <v>CAM</v>
      </c>
      <c r="AC595" s="15" t="str">
        <v>Celtic</v>
      </c>
      <c r="AD595" s="15">
        <v>26</v>
      </c>
      <c r="AF595" s="42">
        <v>2002</v>
      </c>
      <c r="AG595" s="42" t="str">
        <v xml:space="preserve">04 June 2002 - 18:00 </v>
      </c>
      <c r="AH595" s="42" t="str">
        <v>GROUP_STAGE</v>
      </c>
      <c r="AI595" s="42" t="str">
        <v>Saitama Stadium 2002</v>
      </c>
      <c r="AJ595" s="42" t="str">
        <v xml:space="preserve">Saitama </v>
      </c>
      <c r="AK595" s="42" t="str">
        <v>Japan</v>
      </c>
      <c r="AL595" s="42">
        <v>2</v>
      </c>
      <c r="AM595" s="42">
        <v>2</v>
      </c>
      <c r="AN595" s="42" t="str">
        <v>Belgium</v>
      </c>
      <c r="AO595" s="42" t="str">
        <v>-</v>
      </c>
    </row>
    <row r="596" spans="24:41">
      <c r="X596" s="15">
        <v>594</v>
      </c>
      <c r="Y596" s="15" t="str">
        <v>Elias Achouri</v>
      </c>
      <c r="Z596" s="15">
        <v>27</v>
      </c>
      <c r="AA596" s="15" t="str">
        <v>Tunisia</v>
      </c>
      <c r="AB596" s="15" t="str">
        <v>LW</v>
      </c>
      <c r="AC596" s="15" t="str">
        <v>Copenhagen</v>
      </c>
      <c r="AD596" s="15">
        <v>7</v>
      </c>
      <c r="AF596" s="42">
        <v>2002</v>
      </c>
      <c r="AG596" s="42" t="str">
        <v xml:space="preserve">04 Jun 2002 - 20:30 </v>
      </c>
      <c r="AH596" s="42" t="str">
        <v>GROUP_STAGE</v>
      </c>
      <c r="AI596" s="42" t="str">
        <v>Busan Asiad Main Stadium</v>
      </c>
      <c r="AJ596" s="42" t="str">
        <v xml:space="preserve">Busan </v>
      </c>
      <c r="AK596" s="42" t="str">
        <v>South Korea</v>
      </c>
      <c r="AL596" s="42">
        <v>2</v>
      </c>
      <c r="AM596" s="42">
        <v>0</v>
      </c>
      <c r="AN596" s="42" t="str">
        <v>Poland</v>
      </c>
      <c r="AO596" s="42" t="str">
        <v>-</v>
      </c>
    </row>
    <row r="597" spans="24:41">
      <c r="X597" s="15">
        <v>595</v>
      </c>
      <c r="Y597" s="15" t="str">
        <v>Elias Saad</v>
      </c>
      <c r="Z597" s="15">
        <v>26</v>
      </c>
      <c r="AA597" s="15" t="str">
        <v>Tunisia</v>
      </c>
      <c r="AB597" s="15" t="str">
        <v>LW</v>
      </c>
      <c r="AC597" s="15" t="str">
        <v>Hannover 96</v>
      </c>
      <c r="AD597" s="15">
        <v>8</v>
      </c>
      <c r="AF597" s="42">
        <v>2002</v>
      </c>
      <c r="AG597" s="42" t="str">
        <v xml:space="preserve">05 Jun 2002 - 15:30 </v>
      </c>
      <c r="AH597" s="42" t="str">
        <v>GROUP_STAGE</v>
      </c>
      <c r="AI597" s="42" t="str">
        <v>Kobe Wing Stadium</v>
      </c>
      <c r="AJ597" s="42" t="str">
        <v xml:space="preserve">Kobe </v>
      </c>
      <c r="AK597" s="42" t="str">
        <v>Russia</v>
      </c>
      <c r="AL597" s="42">
        <v>2</v>
      </c>
      <c r="AM597" s="42">
        <v>0</v>
      </c>
      <c r="AN597" s="42" t="str">
        <v>Tunisia</v>
      </c>
      <c r="AO597" s="42" t="str">
        <v>-</v>
      </c>
    </row>
    <row r="598" spans="24:41">
      <c r="X598" s="15">
        <v>596</v>
      </c>
      <c r="Y598" s="15" t="str">
        <v>Rayan Elloumi</v>
      </c>
      <c r="Z598" s="15">
        <v>18</v>
      </c>
      <c r="AA598" s="15" t="str">
        <v>Tunisia</v>
      </c>
      <c r="AB598" s="15" t="str">
        <v>RW</v>
      </c>
      <c r="AC598" s="15" t="str">
        <v>Vancouver Whitecaps FC</v>
      </c>
      <c r="AD598" s="15">
        <v>18</v>
      </c>
      <c r="AF598" s="42">
        <v>2002</v>
      </c>
      <c r="AG598" s="42" t="str">
        <v xml:space="preserve">05 Jun 2002 - 18:00 </v>
      </c>
      <c r="AH598" s="42" t="str">
        <v>GROUP_STAGE</v>
      </c>
      <c r="AI598" s="42" t="str">
        <v>Suwon World Cup Stadium</v>
      </c>
      <c r="AJ598" s="42" t="str">
        <v xml:space="preserve">Suwon </v>
      </c>
      <c r="AK598" s="42" t="str">
        <v>United States</v>
      </c>
      <c r="AL598" s="42">
        <v>3</v>
      </c>
      <c r="AM598" s="42">
        <v>2</v>
      </c>
      <c r="AN598" s="42" t="str">
        <v>Portugal</v>
      </c>
      <c r="AO598" s="42" t="str">
        <v>-</v>
      </c>
    </row>
    <row r="599" spans="24:41">
      <c r="X599" s="15">
        <v>597</v>
      </c>
      <c r="Y599" s="15" t="str">
        <v>Hazem Mastouri</v>
      </c>
      <c r="Z599" s="15">
        <v>28</v>
      </c>
      <c r="AA599" s="15" t="str">
        <v>Tunisia</v>
      </c>
      <c r="AB599" s="15" t="str">
        <v>ST</v>
      </c>
      <c r="AC599" s="15" t="str">
        <v>Dynamo Makhachkala</v>
      </c>
      <c r="AD599" s="15">
        <v>9</v>
      </c>
      <c r="AF599" s="42">
        <v>2002</v>
      </c>
      <c r="AG599" s="42" t="str">
        <v xml:space="preserve">05 Jun 2002 - 20:30 </v>
      </c>
      <c r="AH599" s="42" t="str">
        <v>GROUP_STAGE</v>
      </c>
      <c r="AI599" s="42" t="str">
        <v>Kashima Stadium</v>
      </c>
      <c r="AJ599" s="42" t="str">
        <v xml:space="preserve">Ibaraki </v>
      </c>
      <c r="AK599" s="42" t="str">
        <v>Germany</v>
      </c>
      <c r="AL599" s="42">
        <v>1</v>
      </c>
      <c r="AM599" s="42">
        <v>1</v>
      </c>
      <c r="AN599" s="42" t="str">
        <v>Ireland</v>
      </c>
      <c r="AO599" s="42" t="str">
        <v>-</v>
      </c>
    </row>
    <row r="600" spans="24:41">
      <c r="X600" s="15">
        <v>598</v>
      </c>
      <c r="Y600" s="15" t="str">
        <v>Firas Chaouat</v>
      </c>
      <c r="Z600" s="15">
        <v>30</v>
      </c>
      <c r="AA600" s="15" t="str">
        <v>Tunisia</v>
      </c>
      <c r="AB600" s="15" t="str">
        <v>ST</v>
      </c>
      <c r="AC600" s="15" t="str">
        <v>Club Africain</v>
      </c>
      <c r="AD600" s="15">
        <v>19</v>
      </c>
      <c r="AF600" s="42">
        <v>2002</v>
      </c>
      <c r="AG600" s="42" t="str">
        <v xml:space="preserve">06 Jun 2002 - 15:30 </v>
      </c>
      <c r="AH600" s="42" t="str">
        <v>GROUP_STAGE</v>
      </c>
      <c r="AI600" s="42" t="str">
        <v>Daegu World Cup Stadium</v>
      </c>
      <c r="AJ600" s="42" t="str">
        <v xml:space="preserve">Daegu </v>
      </c>
      <c r="AK600" s="42" t="str">
        <v>Denmark</v>
      </c>
      <c r="AL600" s="42">
        <v>1</v>
      </c>
      <c r="AM600" s="42">
        <v>1</v>
      </c>
      <c r="AN600" s="42" t="str">
        <v>Senegal</v>
      </c>
      <c r="AO600" s="42" t="str">
        <v>-</v>
      </c>
    </row>
    <row r="601" spans="24:41">
      <c r="X601" s="15">
        <v>599</v>
      </c>
      <c r="Y601" s="15" t="str">
        <v>Jacob Widell Zetterström</v>
      </c>
      <c r="Z601" s="15">
        <v>27</v>
      </c>
      <c r="AA601" s="15" t="str">
        <v>Sweden</v>
      </c>
      <c r="AB601" s="15" t="str">
        <v>GK</v>
      </c>
      <c r="AC601" s="15" t="str">
        <v>Derby County</v>
      </c>
      <c r="AD601" s="15">
        <v>1</v>
      </c>
      <c r="AF601" s="42">
        <v>2002</v>
      </c>
      <c r="AG601" s="42" t="str">
        <v xml:space="preserve">06 Jun 2002 - 18:00 </v>
      </c>
      <c r="AH601" s="42" t="str">
        <v>GROUP_STAGE</v>
      </c>
      <c r="AI601" s="42" t="str">
        <v>Saitama Stadium 2002</v>
      </c>
      <c r="AJ601" s="42" t="str">
        <v xml:space="preserve">Saitama </v>
      </c>
      <c r="AK601" s="42" t="str">
        <v>Cameroon</v>
      </c>
      <c r="AL601" s="42">
        <v>1</v>
      </c>
      <c r="AM601" s="42">
        <v>0</v>
      </c>
      <c r="AN601" s="42" t="str">
        <v>Saudi Arabia</v>
      </c>
      <c r="AO601" s="42" t="str">
        <v>-</v>
      </c>
    </row>
    <row r="602" spans="24:41">
      <c r="X602" s="15">
        <v>600</v>
      </c>
      <c r="Y602" s="15" t="str">
        <v>Viktor Johansson</v>
      </c>
      <c r="Z602" s="15">
        <v>27</v>
      </c>
      <c r="AA602" s="15" t="str">
        <v>Sweden</v>
      </c>
      <c r="AB602" s="15" t="str">
        <v>GK</v>
      </c>
      <c r="AC602" s="15" t="str">
        <v>Stoke City</v>
      </c>
      <c r="AD602" s="15">
        <v>12</v>
      </c>
      <c r="AF602" s="42">
        <v>2002</v>
      </c>
      <c r="AG602" s="42" t="str">
        <v xml:space="preserve">06 Jun 2002 - 20:30 </v>
      </c>
      <c r="AH602" s="42" t="str">
        <v>GROUP_STAGE</v>
      </c>
      <c r="AI602" s="42" t="str">
        <v>Busan Asiad Main Stadium</v>
      </c>
      <c r="AJ602" s="42" t="str">
        <v xml:space="preserve">Busan </v>
      </c>
      <c r="AK602" s="42" t="str">
        <v>France</v>
      </c>
      <c r="AL602" s="42">
        <v>0</v>
      </c>
      <c r="AM602" s="42">
        <v>0</v>
      </c>
      <c r="AN602" s="42" t="str">
        <v>Uruguay</v>
      </c>
      <c r="AO602" s="42" t="str">
        <v>-</v>
      </c>
    </row>
    <row r="603" spans="24:41">
      <c r="X603" s="15">
        <v>601</v>
      </c>
      <c r="Y603" s="15" t="str">
        <v>Kristoffer Nordfeldt</v>
      </c>
      <c r="Z603" s="15">
        <v>36</v>
      </c>
      <c r="AA603" s="15" t="str">
        <v>Sweden</v>
      </c>
      <c r="AB603" s="15" t="str">
        <v>GK</v>
      </c>
      <c r="AC603" s="15" t="str">
        <v>AIK</v>
      </c>
      <c r="AD603" s="15">
        <v>23</v>
      </c>
      <c r="AF603" s="42">
        <v>2002</v>
      </c>
      <c r="AG603" s="42" t="str">
        <v xml:space="preserve">07 Jun 2002 - 15:30 </v>
      </c>
      <c r="AH603" s="42" t="str">
        <v>GROUP_STAGE</v>
      </c>
      <c r="AI603" s="42" t="str">
        <v>Kobe Wing Stadium</v>
      </c>
      <c r="AJ603" s="42" t="str">
        <v xml:space="preserve">Kobe </v>
      </c>
      <c r="AK603" s="42" t="str">
        <v>Sweden</v>
      </c>
      <c r="AL603" s="42">
        <v>2</v>
      </c>
      <c r="AM603" s="42">
        <v>1</v>
      </c>
      <c r="AN603" s="42" t="str">
        <v>Nigeria</v>
      </c>
      <c r="AO603" s="42" t="str">
        <v>-</v>
      </c>
    </row>
    <row r="604" spans="24:41">
      <c r="X604" s="15">
        <v>602</v>
      </c>
      <c r="Y604" s="15" t="str">
        <v>Gustaf Lagerbielke</v>
      </c>
      <c r="Z604" s="15">
        <v>26</v>
      </c>
      <c r="AA604" s="15" t="str">
        <v>Sweden</v>
      </c>
      <c r="AB604" s="15" t="str">
        <v>CB</v>
      </c>
      <c r="AC604" s="15" t="str">
        <v>Braga</v>
      </c>
      <c r="AD604" s="15">
        <v>2</v>
      </c>
      <c r="AF604" s="42">
        <v>2002</v>
      </c>
      <c r="AG604" s="42" t="str">
        <v xml:space="preserve">07 Jun 2002 - 20:30 </v>
      </c>
      <c r="AH604" s="42" t="str">
        <v>GROUP_STAGE</v>
      </c>
      <c r="AI604" s="42" t="str">
        <v>Sapporo Dome</v>
      </c>
      <c r="AJ604" s="42" t="str">
        <v xml:space="preserve">Sapporo </v>
      </c>
      <c r="AK604" s="42" t="str">
        <v>Argentina</v>
      </c>
      <c r="AL604" s="42">
        <v>0</v>
      </c>
      <c r="AM604" s="42">
        <v>1</v>
      </c>
      <c r="AN604" s="42" t="str">
        <v>England</v>
      </c>
      <c r="AO604" s="42" t="str">
        <v>-</v>
      </c>
    </row>
    <row r="605" spans="24:41">
      <c r="X605" s="15">
        <v>603</v>
      </c>
      <c r="Y605" s="15" t="str">
        <v>Victor Lindelöf</v>
      </c>
      <c r="Z605" s="15">
        <v>31</v>
      </c>
      <c r="AA605" s="15" t="str">
        <v>Sweden</v>
      </c>
      <c r="AB605" s="15" t="str">
        <v>CB</v>
      </c>
      <c r="AC605" s="15" t="str">
        <v>Aston Villa</v>
      </c>
      <c r="AD605" s="15">
        <v>3</v>
      </c>
      <c r="AF605" s="42">
        <v>2002</v>
      </c>
      <c r="AG605" s="42" t="str">
        <v xml:space="preserve">07 June 2002 - 18:00 </v>
      </c>
      <c r="AH605" s="42" t="str">
        <v>GROUP_STAGE</v>
      </c>
      <c r="AI605" s="42" t="str">
        <v>Jeonju World Cup Stadium</v>
      </c>
      <c r="AJ605" s="42" t="str">
        <v xml:space="preserve">Jeonju </v>
      </c>
      <c r="AK605" s="42" t="str">
        <v>Spain</v>
      </c>
      <c r="AL605" s="42">
        <v>3</v>
      </c>
      <c r="AM605" s="42">
        <v>1</v>
      </c>
      <c r="AN605" s="42" t="str">
        <v>Paraguay</v>
      </c>
      <c r="AO605" s="42" t="str">
        <v>-</v>
      </c>
    </row>
    <row r="606" spans="24:41">
      <c r="X606" s="15">
        <v>604</v>
      </c>
      <c r="Y606" s="15" t="str">
        <v>Isak Hien</v>
      </c>
      <c r="Z606" s="15">
        <v>27</v>
      </c>
      <c r="AA606" s="15" t="str">
        <v>Sweden</v>
      </c>
      <c r="AB606" s="15" t="str">
        <v>CB</v>
      </c>
      <c r="AC606" s="15" t="str">
        <v>Atalanta</v>
      </c>
      <c r="AD606" s="15">
        <v>4</v>
      </c>
      <c r="AF606" s="42">
        <v>2002</v>
      </c>
      <c r="AG606" s="42" t="str">
        <v xml:space="preserve">08 Jun 2002 - 15:30 </v>
      </c>
      <c r="AH606" s="42" t="str">
        <v>GROUP_STAGE</v>
      </c>
      <c r="AI606" s="42" t="str">
        <v>Daegu World Cup Stadium</v>
      </c>
      <c r="AJ606" s="42" t="str">
        <v xml:space="preserve">Daegu </v>
      </c>
      <c r="AK606" s="42" t="str">
        <v>South Africa</v>
      </c>
      <c r="AL606" s="42">
        <v>1</v>
      </c>
      <c r="AM606" s="42">
        <v>0</v>
      </c>
      <c r="AN606" s="42" t="str">
        <v>Slovenia</v>
      </c>
      <c r="AO606" s="42" t="str">
        <v>-</v>
      </c>
    </row>
    <row r="607" spans="24:41">
      <c r="X607" s="15">
        <v>605</v>
      </c>
      <c r="Y607" s="15" t="str">
        <v>Hjalmar Ekdal</v>
      </c>
      <c r="Z607" s="15">
        <v>27</v>
      </c>
      <c r="AA607" s="15" t="str">
        <v>Sweden</v>
      </c>
      <c r="AB607" s="15" t="str">
        <v>CB</v>
      </c>
      <c r="AC607" s="15" t="str">
        <v>Burnley</v>
      </c>
      <c r="AD607" s="15">
        <v>14</v>
      </c>
      <c r="AF607" s="42">
        <v>2002</v>
      </c>
      <c r="AG607" s="42" t="str">
        <v xml:space="preserve">08 Jun 2002 - 20:30 </v>
      </c>
      <c r="AH607" s="42" t="str">
        <v>GROUP_STAGE</v>
      </c>
      <c r="AI607" s="42" t="str">
        <v>Jeju World Cup Stadium</v>
      </c>
      <c r="AJ607" s="42" t="str">
        <v xml:space="preserve">Jeju </v>
      </c>
      <c r="AK607" s="42" t="str">
        <v>Brazil</v>
      </c>
      <c r="AL607" s="42">
        <v>4</v>
      </c>
      <c r="AM607" s="42">
        <v>0</v>
      </c>
      <c r="AN607" s="42" t="str">
        <v>China</v>
      </c>
      <c r="AO607" s="42" t="str">
        <v>-</v>
      </c>
    </row>
    <row r="608" spans="24:41">
      <c r="X608" s="15">
        <v>606</v>
      </c>
      <c r="Y608" s="15" t="str">
        <v>Carl Starfelt</v>
      </c>
      <c r="Z608" s="15">
        <v>31</v>
      </c>
      <c r="AA608" s="15" t="str">
        <v>Sweden</v>
      </c>
      <c r="AB608" s="15" t="str">
        <v>CB</v>
      </c>
      <c r="AC608" s="15" t="str">
        <v>Celta Vigo</v>
      </c>
      <c r="AD608" s="15">
        <v>15</v>
      </c>
      <c r="AF608" s="42">
        <v>2002</v>
      </c>
      <c r="AG608" s="42" t="str">
        <v xml:space="preserve">08 June 2002 - 18:00 </v>
      </c>
      <c r="AH608" s="42" t="str">
        <v>GROUP_STAGE</v>
      </c>
      <c r="AI608" s="42" t="str">
        <v>Kashima Stadium</v>
      </c>
      <c r="AJ608" s="42" t="str">
        <v xml:space="preserve">Ibaraki </v>
      </c>
      <c r="AK608" s="42" t="str">
        <v>Italy</v>
      </c>
      <c r="AL608" s="42">
        <v>1</v>
      </c>
      <c r="AM608" s="42">
        <v>2</v>
      </c>
      <c r="AN608" s="42" t="str">
        <v>Croatia</v>
      </c>
      <c r="AO608" s="42" t="str">
        <v>-</v>
      </c>
    </row>
    <row r="609" spans="24:41">
      <c r="X609" s="15">
        <v>607</v>
      </c>
      <c r="Y609" s="15" t="str">
        <v>Eric Smith</v>
      </c>
      <c r="Z609" s="15">
        <v>29</v>
      </c>
      <c r="AA609" s="15" t="str">
        <v>Sweden</v>
      </c>
      <c r="AB609" s="15" t="str">
        <v>CB</v>
      </c>
      <c r="AC609" s="15" t="str">
        <v>FC St. Pauli</v>
      </c>
      <c r="AD609" s="15">
        <v>20</v>
      </c>
      <c r="AF609" s="42">
        <v>2002</v>
      </c>
      <c r="AG609" s="42" t="str">
        <v xml:space="preserve">09 Jun 2002 - 18:00 </v>
      </c>
      <c r="AH609" s="42" t="str">
        <v>GROUP_STAGE</v>
      </c>
      <c r="AI609" s="42" t="str">
        <v>Incheon Football Stadium</v>
      </c>
      <c r="AJ609" s="42" t="str">
        <v xml:space="preserve">Incheon </v>
      </c>
      <c r="AK609" s="42" t="str">
        <v>Costa Rica</v>
      </c>
      <c r="AL609" s="42">
        <v>1</v>
      </c>
      <c r="AM609" s="42">
        <v>1</v>
      </c>
      <c r="AN609" s="42" t="str">
        <v>Turkey</v>
      </c>
      <c r="AO609" s="42" t="str">
        <v>-</v>
      </c>
    </row>
    <row r="610" spans="24:41">
      <c r="X610" s="15">
        <v>608</v>
      </c>
      <c r="Y610" s="15" t="str">
        <v>Gabriel Gudmundsson</v>
      </c>
      <c r="Z610" s="15">
        <v>27</v>
      </c>
      <c r="AA610" s="15" t="str">
        <v>Sweden</v>
      </c>
      <c r="AB610" s="15" t="str">
        <v>LB</v>
      </c>
      <c r="AC610" s="15" t="str">
        <v>Leeds United</v>
      </c>
      <c r="AD610" s="15">
        <v>5</v>
      </c>
      <c r="AF610" s="42">
        <v>2002</v>
      </c>
      <c r="AG610" s="42" t="str">
        <v xml:space="preserve">09 Jun 2002 - 20:30 </v>
      </c>
      <c r="AH610" s="42" t="str">
        <v>GROUP_STAGE</v>
      </c>
      <c r="AI610" s="42" t="str">
        <v>International Stadium Yokohama</v>
      </c>
      <c r="AJ610" s="42" t="str">
        <v xml:space="preserve">Yokohama </v>
      </c>
      <c r="AK610" s="42" t="str">
        <v>Japan</v>
      </c>
      <c r="AL610" s="42">
        <v>1</v>
      </c>
      <c r="AM610" s="42">
        <v>0</v>
      </c>
      <c r="AN610" s="42" t="str">
        <v>Russia</v>
      </c>
      <c r="AO610" s="42" t="str">
        <v>-</v>
      </c>
    </row>
    <row r="611" spans="24:41">
      <c r="X611" s="15">
        <v>609</v>
      </c>
      <c r="Y611" s="15" t="str">
        <v>Daniel Svensson</v>
      </c>
      <c r="Z611" s="15">
        <v>24</v>
      </c>
      <c r="AA611" s="15" t="str">
        <v>Sweden</v>
      </c>
      <c r="AB611" s="15" t="str">
        <v>LB</v>
      </c>
      <c r="AC611" s="15" t="str">
        <v>Borussia Dortmund</v>
      </c>
      <c r="AD611" s="15">
        <v>8</v>
      </c>
      <c r="AF611" s="42">
        <v>2002</v>
      </c>
      <c r="AG611" s="42" t="str">
        <v xml:space="preserve">09 Jun 2002 - 15:30 </v>
      </c>
      <c r="AH611" s="42" t="str">
        <v>GROUP_STAGE</v>
      </c>
      <c r="AI611" s="42" t="str">
        <v>Miyagi Stadium</v>
      </c>
      <c r="AJ611" s="42" t="str">
        <v xml:space="preserve">Rifu </v>
      </c>
      <c r="AK611" s="42" t="str">
        <v>Mexico</v>
      </c>
      <c r="AL611" s="42">
        <v>2</v>
      </c>
      <c r="AM611" s="42">
        <v>1</v>
      </c>
      <c r="AN611" s="42" t="str">
        <v>Ecuador</v>
      </c>
      <c r="AO611" s="42" t="str">
        <v>-</v>
      </c>
    </row>
    <row r="612" spans="24:41">
      <c r="X612" s="15">
        <v>610</v>
      </c>
      <c r="Y612" s="15" t="str">
        <v>Elliot Stroud</v>
      </c>
      <c r="Z612" s="15">
        <v>23</v>
      </c>
      <c r="AA612" s="15" t="str">
        <v>Sweden</v>
      </c>
      <c r="AB612" s="15" t="str">
        <v>LB</v>
      </c>
      <c r="AC612" s="15" t="str">
        <v>Mjällby AIF</v>
      </c>
      <c r="AD612" s="15">
        <v>24</v>
      </c>
      <c r="AF612" s="42">
        <v>2002</v>
      </c>
      <c r="AG612" s="42" t="str">
        <v xml:space="preserve">10 Jun 2002 - 15:30 </v>
      </c>
      <c r="AH612" s="42" t="str">
        <v>GROUP_STAGE</v>
      </c>
      <c r="AI612" s="42" t="str">
        <v>Daegu World Cup Stadium</v>
      </c>
      <c r="AJ612" s="42" t="str">
        <v xml:space="preserve">Daegu </v>
      </c>
      <c r="AK612" s="42" t="str">
        <v>South Korea</v>
      </c>
      <c r="AL612" s="42">
        <v>1</v>
      </c>
      <c r="AM612" s="42">
        <v>1</v>
      </c>
      <c r="AN612" s="42" t="str">
        <v>United States</v>
      </c>
      <c r="AO612" s="42" t="str">
        <v>-</v>
      </c>
    </row>
    <row r="613" spans="24:41">
      <c r="X613" s="15">
        <v>611</v>
      </c>
      <c r="Y613" s="15" t="str">
        <v>Herman Johansson</v>
      </c>
      <c r="Z613" s="15">
        <v>28</v>
      </c>
      <c r="AA613" s="15" t="str">
        <v>Sweden</v>
      </c>
      <c r="AB613" s="15" t="str">
        <v>RB</v>
      </c>
      <c r="AC613" s="15" t="str">
        <v>FC Dallas</v>
      </c>
      <c r="AD613" s="15">
        <v>6</v>
      </c>
      <c r="AF613" s="42">
        <v>2002</v>
      </c>
      <c r="AG613" s="42" t="str">
        <v xml:space="preserve">10 Jun 2002 - 20:30 </v>
      </c>
      <c r="AH613" s="42" t="str">
        <v>GROUP_STAGE</v>
      </c>
      <c r="AI613" s="42" t="str">
        <v>Jeonju World Cup Stadium</v>
      </c>
      <c r="AJ613" s="42" t="str">
        <v xml:space="preserve">Jeonju </v>
      </c>
      <c r="AK613" s="42" t="str">
        <v>Portugal</v>
      </c>
      <c r="AL613" s="42">
        <v>4</v>
      </c>
      <c r="AM613" s="42">
        <v>0</v>
      </c>
      <c r="AN613" s="42" t="str">
        <v>Poland</v>
      </c>
      <c r="AO613" s="42" t="str">
        <v>-</v>
      </c>
    </row>
    <row r="614" spans="24:41">
      <c r="X614" s="15">
        <v>612</v>
      </c>
      <c r="Y614" s="15" t="str">
        <v>Alexander Bernhardsson</v>
      </c>
      <c r="Z614" s="15">
        <v>27</v>
      </c>
      <c r="AA614" s="15" t="str">
        <v>Sweden</v>
      </c>
      <c r="AB614" s="15" t="str">
        <v>RB</v>
      </c>
      <c r="AC614" s="15" t="str">
        <v>Holstein Kiel</v>
      </c>
      <c r="AD614" s="15">
        <v>21</v>
      </c>
      <c r="AF614" s="42">
        <v>2002</v>
      </c>
      <c r="AG614" s="42" t="str">
        <v xml:space="preserve">10 Jun 2002 - 18:00 </v>
      </c>
      <c r="AH614" s="42" t="str">
        <v>GROUP_STAGE</v>
      </c>
      <c r="AI614" s="42" t="str">
        <v>Oita Stadium Big Eye</v>
      </c>
      <c r="AJ614" s="42" t="str">
        <v xml:space="preserve">Oita </v>
      </c>
      <c r="AK614" s="42" t="str">
        <v>Tunisia</v>
      </c>
      <c r="AL614" s="42">
        <v>1</v>
      </c>
      <c r="AM614" s="42">
        <v>1</v>
      </c>
      <c r="AN614" s="42" t="str">
        <v>Belgium</v>
      </c>
      <c r="AO614" s="42" t="str">
        <v>-</v>
      </c>
    </row>
    <row r="615" spans="24:41">
      <c r="X615" s="15">
        <v>613</v>
      </c>
      <c r="Y615" s="15" t="str">
        <v>Jesper Karlström</v>
      </c>
      <c r="Z615" s="15">
        <v>30</v>
      </c>
      <c r="AA615" s="15" t="str">
        <v>Sweden</v>
      </c>
      <c r="AB615" s="15" t="str">
        <v>CDM</v>
      </c>
      <c r="AC615" s="15" t="str">
        <v>Udinese</v>
      </c>
      <c r="AD615" s="15">
        <v>16</v>
      </c>
      <c r="AF615" s="42">
        <v>2002</v>
      </c>
      <c r="AG615" s="42" t="str">
        <v xml:space="preserve">11 Jun 2002 - 15:30 </v>
      </c>
      <c r="AH615" s="42" t="str">
        <v>GROUP_STAGE</v>
      </c>
      <c r="AI615" s="42" t="str">
        <v>Incheon Football Stadium</v>
      </c>
      <c r="AJ615" s="42" t="str">
        <v xml:space="preserve">Incheon </v>
      </c>
      <c r="AK615" s="42" t="str">
        <v>Denmark</v>
      </c>
      <c r="AL615" s="42">
        <v>2</v>
      </c>
      <c r="AM615" s="42">
        <v>0</v>
      </c>
      <c r="AN615" s="42" t="str">
        <v>France</v>
      </c>
      <c r="AO615" s="42" t="str">
        <v>-</v>
      </c>
    </row>
    <row r="616" spans="24:41">
      <c r="X616" s="15">
        <v>614</v>
      </c>
      <c r="Y616" s="15" t="str">
        <v>Lucas Bergvall</v>
      </c>
      <c r="Z616" s="15">
        <v>20</v>
      </c>
      <c r="AA616" s="15" t="str">
        <v>Sweden</v>
      </c>
      <c r="AB616" s="15" t="str">
        <v>CM</v>
      </c>
      <c r="AC616" s="15" t="str">
        <v>Tottenham Hotspur</v>
      </c>
      <c r="AD616" s="15">
        <v>7</v>
      </c>
      <c r="AF616" s="42">
        <v>2002</v>
      </c>
      <c r="AG616" s="42" t="str">
        <v xml:space="preserve">11 June 2002 - 15:30 </v>
      </c>
      <c r="AH616" s="42" t="str">
        <v>GROUP_STAGE</v>
      </c>
      <c r="AI616" s="42" t="str">
        <v>Suwon World Cup Stadium</v>
      </c>
      <c r="AJ616" s="42" t="str">
        <v xml:space="preserve">Suwon </v>
      </c>
      <c r="AK616" s="42" t="str">
        <v>Senegal</v>
      </c>
      <c r="AL616" s="42">
        <v>3</v>
      </c>
      <c r="AM616" s="42">
        <v>3</v>
      </c>
      <c r="AN616" s="42" t="str">
        <v>Uruguay</v>
      </c>
      <c r="AO616" s="42" t="str">
        <v>-</v>
      </c>
    </row>
    <row r="617" spans="24:41">
      <c r="X617" s="15">
        <v>615</v>
      </c>
      <c r="Y617" s="15" t="str">
        <v>Yasin Ayari</v>
      </c>
      <c r="Z617" s="15">
        <v>22</v>
      </c>
      <c r="AA617" s="15" t="str">
        <v>Sweden</v>
      </c>
      <c r="AB617" s="15" t="str">
        <v>CM</v>
      </c>
      <c r="AC617" s="15" t="str">
        <v>Brighton &amp; Hove Albion</v>
      </c>
      <c r="AD617" s="15">
        <v>18</v>
      </c>
      <c r="AF617" s="42">
        <v>2002</v>
      </c>
      <c r="AG617" s="42" t="str">
        <v xml:space="preserve">11 Jun 2002 - 20:30 </v>
      </c>
      <c r="AH617" s="42" t="str">
        <v>GROUP_STAGE</v>
      </c>
      <c r="AI617" s="42" t="str">
        <v>International Stadium Yokohama</v>
      </c>
      <c r="AJ617" s="42" t="str">
        <v xml:space="preserve">Yokohama </v>
      </c>
      <c r="AK617" s="42" t="str">
        <v>Saudi Arabia</v>
      </c>
      <c r="AL617" s="42">
        <v>0</v>
      </c>
      <c r="AM617" s="42">
        <v>3</v>
      </c>
      <c r="AN617" s="42" t="str">
        <v>Ireland</v>
      </c>
      <c r="AO617" s="42" t="str">
        <v>-</v>
      </c>
    </row>
    <row r="618" spans="24:41">
      <c r="X618" s="15">
        <v>616</v>
      </c>
      <c r="Y618" s="15" t="str">
        <v>Mattias Svanberg</v>
      </c>
      <c r="Z618" s="15">
        <v>27</v>
      </c>
      <c r="AA618" s="15" t="str">
        <v>Sweden</v>
      </c>
      <c r="AB618" s="15" t="str">
        <v>CM</v>
      </c>
      <c r="AC618" s="15" t="str">
        <v>VfL Wolfsburg</v>
      </c>
      <c r="AD618" s="15">
        <v>19</v>
      </c>
      <c r="AF618" s="42">
        <v>2002</v>
      </c>
      <c r="AG618" s="42" t="str">
        <v xml:space="preserve">11 Jun 2002 - 20:30 </v>
      </c>
      <c r="AH618" s="42" t="str">
        <v>GROUP_STAGE</v>
      </c>
      <c r="AI618" s="42" t="str">
        <v>Shizuoka Stadium Ecopa</v>
      </c>
      <c r="AJ618" s="42" t="str">
        <v xml:space="preserve">Shizuoka </v>
      </c>
      <c r="AK618" s="42" t="str">
        <v>Cameroon</v>
      </c>
      <c r="AL618" s="42">
        <v>0</v>
      </c>
      <c r="AM618" s="42">
        <v>2</v>
      </c>
      <c r="AN618" s="42" t="str">
        <v>Germany</v>
      </c>
      <c r="AO618" s="42" t="str">
        <v>-</v>
      </c>
    </row>
    <row r="619" spans="24:41">
      <c r="X619" s="15">
        <v>617</v>
      </c>
      <c r="Y619" s="15" t="str">
        <v>Besfort Zeneli</v>
      </c>
      <c r="Z619" s="15">
        <v>23</v>
      </c>
      <c r="AA619" s="15" t="str">
        <v>Sweden</v>
      </c>
      <c r="AB619" s="15" t="str">
        <v>CM</v>
      </c>
      <c r="AC619" s="15" t="str">
        <v>Union Saint-Gilloise</v>
      </c>
      <c r="AD619" s="15">
        <v>22</v>
      </c>
      <c r="AF619" s="42">
        <v>2002</v>
      </c>
      <c r="AG619" s="42" t="str">
        <v xml:space="preserve">12 Jun 2002 - 15:30 </v>
      </c>
      <c r="AH619" s="42" t="str">
        <v>GROUP_STAGE</v>
      </c>
      <c r="AI619" s="42" t="str">
        <v>Miyagi Stadium</v>
      </c>
      <c r="AJ619" s="42" t="str">
        <v xml:space="preserve">Rifu </v>
      </c>
      <c r="AK619" s="42" t="str">
        <v>Sweden</v>
      </c>
      <c r="AL619" s="42">
        <v>1</v>
      </c>
      <c r="AM619" s="42">
        <v>1</v>
      </c>
      <c r="AN619" s="42" t="str">
        <v>Argentina</v>
      </c>
      <c r="AO619" s="42" t="str">
        <v>-</v>
      </c>
    </row>
    <row r="620" spans="24:41">
      <c r="X620" s="15">
        <v>618</v>
      </c>
      <c r="Y620" s="15" t="str">
        <v>Benjamin Nygren</v>
      </c>
      <c r="Z620" s="15">
        <v>24</v>
      </c>
      <c r="AA620" s="15" t="str">
        <v>Sweden</v>
      </c>
      <c r="AB620" s="15" t="str">
        <v>CAM</v>
      </c>
      <c r="AC620" s="15" t="str">
        <v>Celtic</v>
      </c>
      <c r="AD620" s="15">
        <v>10</v>
      </c>
      <c r="AF620" s="42">
        <v>2002</v>
      </c>
      <c r="AG620" s="42" t="str">
        <v xml:space="preserve">12 Jun 2002 - 15:30 </v>
      </c>
      <c r="AH620" s="42" t="str">
        <v>GROUP_STAGE</v>
      </c>
      <c r="AI620" s="42" t="str">
        <v>Osaka Nagai Stadium</v>
      </c>
      <c r="AJ620" s="42" t="str">
        <v xml:space="preserve">Osaka </v>
      </c>
      <c r="AK620" s="42" t="str">
        <v>Nigeria</v>
      </c>
      <c r="AL620" s="42">
        <v>0</v>
      </c>
      <c r="AM620" s="42">
        <v>0</v>
      </c>
      <c r="AN620" s="42" t="str">
        <v>England</v>
      </c>
      <c r="AO620" s="42" t="str">
        <v>-</v>
      </c>
    </row>
    <row r="621" spans="24:41">
      <c r="X621" s="15">
        <v>619</v>
      </c>
      <c r="Y621" s="15" t="str">
        <v>Ken Sema</v>
      </c>
      <c r="Z621" s="15">
        <v>32</v>
      </c>
      <c r="AA621" s="15" t="str">
        <v>Sweden</v>
      </c>
      <c r="AB621" s="15" t="str">
        <v>CAM</v>
      </c>
      <c r="AC621" s="15" t="str">
        <v>Pafos</v>
      </c>
      <c r="AD621" s="15">
        <v>13</v>
      </c>
      <c r="AF621" s="42">
        <v>2002</v>
      </c>
      <c r="AG621" s="42" t="str">
        <v xml:space="preserve">12 Jun 2002 - 20:30 </v>
      </c>
      <c r="AH621" s="42" t="str">
        <v>GROUP_STAGE</v>
      </c>
      <c r="AI621" s="42" t="str">
        <v>Jeju World Cup Stadium</v>
      </c>
      <c r="AJ621" s="42" t="str">
        <v xml:space="preserve">Jeju </v>
      </c>
      <c r="AK621" s="42" t="str">
        <v>Slovenia</v>
      </c>
      <c r="AL621" s="42">
        <v>1</v>
      </c>
      <c r="AM621" s="42">
        <v>3</v>
      </c>
      <c r="AN621" s="42" t="str">
        <v>Paraguay</v>
      </c>
      <c r="AO621" s="42" t="str">
        <v>-</v>
      </c>
    </row>
    <row r="622" spans="24:41">
      <c r="X622" s="15">
        <v>620</v>
      </c>
      <c r="Y622" s="15" t="str">
        <v>Anthony Elanga</v>
      </c>
      <c r="Z622" s="15">
        <v>24</v>
      </c>
      <c r="AA622" s="15" t="str">
        <v>Sweden</v>
      </c>
      <c r="AB622" s="15" t="str">
        <v>LW</v>
      </c>
      <c r="AC622" s="15" t="str">
        <v>Newcastle United</v>
      </c>
      <c r="AD622" s="15">
        <v>11</v>
      </c>
      <c r="AF622" s="42">
        <v>2002</v>
      </c>
      <c r="AG622" s="42" t="str">
        <v xml:space="preserve">12 Jun 2002 - 20:30 </v>
      </c>
      <c r="AH622" s="42" t="str">
        <v>GROUP_STAGE</v>
      </c>
      <c r="AI622" s="42" t="str">
        <v>Daejeon World Cup Stadium</v>
      </c>
      <c r="AJ622" s="42" t="str">
        <v xml:space="preserve">Daejeon </v>
      </c>
      <c r="AK622" s="42" t="str">
        <v>South Africa</v>
      </c>
      <c r="AL622" s="42">
        <v>2</v>
      </c>
      <c r="AM622" s="42">
        <v>3</v>
      </c>
      <c r="AN622" s="42" t="str">
        <v>Spain</v>
      </c>
      <c r="AO622" s="42" t="str">
        <v>-</v>
      </c>
    </row>
    <row r="623" spans="24:41">
      <c r="X623" s="15">
        <v>621</v>
      </c>
      <c r="Y623" s="15" t="str">
        <v>Taha Ali</v>
      </c>
      <c r="Z623" s="15">
        <v>27</v>
      </c>
      <c r="AA623" s="15" t="str">
        <v>Sweden</v>
      </c>
      <c r="AB623" s="15" t="str">
        <v>LW</v>
      </c>
      <c r="AC623" s="15" t="str">
        <v>Malmö FF</v>
      </c>
      <c r="AD623" s="15">
        <v>26</v>
      </c>
      <c r="AF623" s="42">
        <v>2002</v>
      </c>
      <c r="AG623" s="42" t="str">
        <v xml:space="preserve">13 Jun 2002 - 15:30 </v>
      </c>
      <c r="AH623" s="42" t="str">
        <v>GROUP_STAGE</v>
      </c>
      <c r="AI623" s="42" t="str">
        <v>Suwon World Cup Stadium</v>
      </c>
      <c r="AJ623" s="42" t="str">
        <v xml:space="preserve">Suwon </v>
      </c>
      <c r="AK623" s="42" t="str">
        <v>Costa Rica</v>
      </c>
      <c r="AL623" s="42">
        <v>2</v>
      </c>
      <c r="AM623" s="42">
        <v>5</v>
      </c>
      <c r="AN623" s="42" t="str">
        <v>Brazil</v>
      </c>
      <c r="AO623" s="42" t="str">
        <v>-</v>
      </c>
    </row>
    <row r="624" spans="24:41">
      <c r="X624" s="15">
        <v>622</v>
      </c>
      <c r="Y624" s="15" t="str">
        <v>Alexander Isak</v>
      </c>
      <c r="Z624" s="15">
        <v>26</v>
      </c>
      <c r="AA624" s="15" t="str">
        <v>Sweden</v>
      </c>
      <c r="AB624" s="15" t="str">
        <v>ST</v>
      </c>
      <c r="AC624" s="15" t="str">
        <v>Liverpool</v>
      </c>
      <c r="AD624" s="15">
        <v>9</v>
      </c>
      <c r="AF624" s="42">
        <v>2002</v>
      </c>
      <c r="AG624" s="42" t="str">
        <v xml:space="preserve">13 Jun 2002 - 15:30 </v>
      </c>
      <c r="AH624" s="42" t="str">
        <v>GROUP_STAGE</v>
      </c>
      <c r="AI624" s="42" t="str">
        <v>Seoul World Cup Stadium</v>
      </c>
      <c r="AJ624" s="42" t="str">
        <v xml:space="preserve">Seoul </v>
      </c>
      <c r="AK624" s="42" t="str">
        <v>Turkey</v>
      </c>
      <c r="AL624" s="42">
        <v>3</v>
      </c>
      <c r="AM624" s="42">
        <v>0</v>
      </c>
      <c r="AN624" s="42" t="str">
        <v>China</v>
      </c>
      <c r="AO624" s="42" t="str">
        <v>-</v>
      </c>
    </row>
    <row r="625" spans="24:41">
      <c r="X625" s="15">
        <v>623</v>
      </c>
      <c r="Y625" s="15" t="str">
        <v>Viktor Gyökeres</v>
      </c>
      <c r="Z625" s="15">
        <v>28</v>
      </c>
      <c r="AA625" s="15" t="str">
        <v>Sweden</v>
      </c>
      <c r="AB625" s="15" t="str">
        <v>ST</v>
      </c>
      <c r="AC625" s="15" t="str">
        <v>Arsenal</v>
      </c>
      <c r="AD625" s="15">
        <v>17</v>
      </c>
      <c r="AF625" s="42">
        <v>2002</v>
      </c>
      <c r="AG625" s="42" t="str">
        <v xml:space="preserve">13 Jun 2002 - 20:30 </v>
      </c>
      <c r="AH625" s="42" t="str">
        <v>GROUP_STAGE</v>
      </c>
      <c r="AI625" s="42" t="str">
        <v>International Stadium Yokohama</v>
      </c>
      <c r="AJ625" s="42" t="str">
        <v xml:space="preserve">Yokohama </v>
      </c>
      <c r="AK625" s="42" t="str">
        <v>Ecuador</v>
      </c>
      <c r="AL625" s="42">
        <v>1</v>
      </c>
      <c r="AM625" s="42">
        <v>0</v>
      </c>
      <c r="AN625" s="42" t="str">
        <v>Croatia</v>
      </c>
      <c r="AO625" s="42" t="str">
        <v>-</v>
      </c>
    </row>
    <row r="626" spans="24:41">
      <c r="X626" s="15">
        <v>624</v>
      </c>
      <c r="Y626" s="15" t="str">
        <v>Gustaf Nilsson</v>
      </c>
      <c r="Z626" s="15">
        <v>29</v>
      </c>
      <c r="AA626" s="15" t="str">
        <v>Sweden</v>
      </c>
      <c r="AB626" s="15" t="str">
        <v>ST</v>
      </c>
      <c r="AC626" s="15" t="str">
        <v>Club Brugge</v>
      </c>
      <c r="AD626" s="15">
        <v>25</v>
      </c>
      <c r="AF626" s="42">
        <v>2002</v>
      </c>
      <c r="AG626" s="42" t="str">
        <v xml:space="preserve">13 Jun 2002 - 20:30 </v>
      </c>
      <c r="AH626" s="42" t="str">
        <v>GROUP_STAGE</v>
      </c>
      <c r="AI626" s="42" t="str">
        <v>Oita Stadium Big Eye</v>
      </c>
      <c r="AJ626" s="42" t="str">
        <v xml:space="preserve">Oita </v>
      </c>
      <c r="AK626" s="42" t="str">
        <v>Mexico</v>
      </c>
      <c r="AL626" s="42">
        <v>1</v>
      </c>
      <c r="AM626" s="42">
        <v>1</v>
      </c>
      <c r="AN626" s="42" t="str">
        <v>Italy</v>
      </c>
      <c r="AO626" s="42" t="str">
        <v>-</v>
      </c>
    </row>
    <row r="627" spans="24:41">
      <c r="X627" s="15">
        <v>625</v>
      </c>
      <c r="Y627" s="15" t="str">
        <v>Thibaut Courtois</v>
      </c>
      <c r="Z627" s="15">
        <v>34</v>
      </c>
      <c r="AA627" s="15" t="str">
        <v>Belgium</v>
      </c>
      <c r="AB627" s="15" t="str">
        <v>GK</v>
      </c>
      <c r="AC627" s="15" t="str">
        <v>Real Madrid</v>
      </c>
      <c r="AD627" s="15">
        <v>1</v>
      </c>
      <c r="AF627" s="42">
        <v>2002</v>
      </c>
      <c r="AG627" s="42" t="str">
        <v xml:space="preserve">14 Jun 2002 - 15:30 </v>
      </c>
      <c r="AH627" s="42" t="str">
        <v>GROUP_STAGE</v>
      </c>
      <c r="AI627" s="42" t="str">
        <v>Osaka Nagai Stadium</v>
      </c>
      <c r="AJ627" s="42" t="str">
        <v xml:space="preserve">Osaka </v>
      </c>
      <c r="AK627" s="42" t="str">
        <v>Tunisia</v>
      </c>
      <c r="AL627" s="42">
        <v>0</v>
      </c>
      <c r="AM627" s="42">
        <v>2</v>
      </c>
      <c r="AN627" s="42" t="str">
        <v>Japan</v>
      </c>
      <c r="AO627" s="42" t="str">
        <v>-</v>
      </c>
    </row>
    <row r="628" spans="24:41">
      <c r="X628" s="15">
        <v>626</v>
      </c>
      <c r="Y628" s="15" t="str">
        <v>Senne Lammens</v>
      </c>
      <c r="Z628" s="15">
        <v>23</v>
      </c>
      <c r="AA628" s="15" t="str">
        <v>Belgium</v>
      </c>
      <c r="AB628" s="15" t="str">
        <v>GK</v>
      </c>
      <c r="AC628" s="15" t="str">
        <v>Manchester United</v>
      </c>
      <c r="AD628" s="15">
        <v>12</v>
      </c>
      <c r="AF628" s="42">
        <v>2002</v>
      </c>
      <c r="AG628" s="42" t="str">
        <v xml:space="preserve">14 Jun 2002 - 20:30 </v>
      </c>
      <c r="AH628" s="42" t="str">
        <v>GROUP_STAGE</v>
      </c>
      <c r="AI628" s="42" t="str">
        <v>Incheon Football Stadium</v>
      </c>
      <c r="AJ628" s="42" t="str">
        <v xml:space="preserve">Incheon </v>
      </c>
      <c r="AK628" s="42" t="str">
        <v>Portugal</v>
      </c>
      <c r="AL628" s="42">
        <v>0</v>
      </c>
      <c r="AM628" s="42">
        <v>1</v>
      </c>
      <c r="AN628" s="42" t="str">
        <v>South Korea</v>
      </c>
      <c r="AO628" s="42" t="str">
        <v>-</v>
      </c>
    </row>
    <row r="629" spans="24:41">
      <c r="X629" s="15">
        <v>627</v>
      </c>
      <c r="Y629" s="15" t="str">
        <v>Mike Penders</v>
      </c>
      <c r="Z629" s="15">
        <v>20</v>
      </c>
      <c r="AA629" s="15" t="str">
        <v>Belgium</v>
      </c>
      <c r="AB629" s="15" t="str">
        <v>GK</v>
      </c>
      <c r="AC629" s="15" t="str">
        <v>Strasbourg</v>
      </c>
      <c r="AD629" s="15">
        <v>13</v>
      </c>
      <c r="AF629" s="42">
        <v>2002</v>
      </c>
      <c r="AG629" s="42" t="str">
        <v xml:space="preserve">14 Jun 2002 - 20:30 </v>
      </c>
      <c r="AH629" s="42" t="str">
        <v>GROUP_STAGE</v>
      </c>
      <c r="AI629" s="42" t="str">
        <v>Daejeon World Cup Stadium</v>
      </c>
      <c r="AJ629" s="42" t="str">
        <v xml:space="preserve">Daejeon </v>
      </c>
      <c r="AK629" s="42" t="str">
        <v>Poland</v>
      </c>
      <c r="AL629" s="42">
        <v>3</v>
      </c>
      <c r="AM629" s="42">
        <v>1</v>
      </c>
      <c r="AN629" s="42" t="str">
        <v>United States</v>
      </c>
      <c r="AO629" s="42" t="str">
        <v>-</v>
      </c>
    </row>
    <row r="630" spans="24:41">
      <c r="X630" s="15">
        <v>628</v>
      </c>
      <c r="Y630" s="15" t="str">
        <v>Zeno Debast</v>
      </c>
      <c r="Z630" s="15">
        <v>22</v>
      </c>
      <c r="AA630" s="15" t="str">
        <v>Belgium</v>
      </c>
      <c r="AB630" s="15" t="str">
        <v>CB</v>
      </c>
      <c r="AC630" s="15" t="str">
        <v>Sporting CP</v>
      </c>
      <c r="AD630" s="15">
        <v>2</v>
      </c>
      <c r="AF630" s="42">
        <v>2002</v>
      </c>
      <c r="AG630" s="42" t="str">
        <v xml:space="preserve">14 Jun 2002 - 15:30 </v>
      </c>
      <c r="AH630" s="42" t="str">
        <v>GROUP_STAGE</v>
      </c>
      <c r="AI630" s="42" t="str">
        <v>Shizuoka Stadium Ecopa</v>
      </c>
      <c r="AJ630" s="42" t="str">
        <v xml:space="preserve">Shizuoka </v>
      </c>
      <c r="AK630" s="42" t="str">
        <v>Belgium</v>
      </c>
      <c r="AL630" s="42">
        <v>3</v>
      </c>
      <c r="AM630" s="42">
        <v>2</v>
      </c>
      <c r="AN630" s="42" t="str">
        <v>Russia</v>
      </c>
      <c r="AO630" s="42" t="str">
        <v>-</v>
      </c>
    </row>
    <row r="631" spans="24:41">
      <c r="X631" s="15">
        <v>629</v>
      </c>
      <c r="Y631" s="15" t="str">
        <v>Arthur Theate</v>
      </c>
      <c r="Z631" s="15">
        <v>26</v>
      </c>
      <c r="AA631" s="15" t="str">
        <v>Belgium</v>
      </c>
      <c r="AB631" s="15" t="str">
        <v>CB</v>
      </c>
      <c r="AC631" s="15" t="str">
        <v>Eintracht Frankfurt</v>
      </c>
      <c r="AD631" s="15">
        <v>3</v>
      </c>
      <c r="AF631" s="42">
        <v>2002</v>
      </c>
      <c r="AG631" s="42" t="str">
        <v xml:space="preserve">15 Jun 2002 - 20:30 </v>
      </c>
      <c r="AH631" s="42" t="str">
        <v>ROUND_OF_16</v>
      </c>
      <c r="AI631" s="42" t="str">
        <v>Niigata Stadium Big Swan</v>
      </c>
      <c r="AJ631" s="42" t="str">
        <v xml:space="preserve">Niigata </v>
      </c>
      <c r="AK631" s="42" t="str">
        <v>Denmark</v>
      </c>
      <c r="AL631" s="42">
        <v>0</v>
      </c>
      <c r="AM631" s="42">
        <v>3</v>
      </c>
      <c r="AN631" s="42" t="str">
        <v>England</v>
      </c>
      <c r="AO631" s="42" t="str">
        <v>-</v>
      </c>
    </row>
    <row r="632" spans="24:41">
      <c r="X632" s="15">
        <v>630</v>
      </c>
      <c r="Y632" s="15" t="str">
        <v>Brandon Mechele</v>
      </c>
      <c r="Z632" s="15">
        <v>33</v>
      </c>
      <c r="AA632" s="15" t="str">
        <v>Belgium</v>
      </c>
      <c r="AB632" s="15" t="str">
        <v>CB</v>
      </c>
      <c r="AC632" s="15" t="str">
        <v>Club Brugge</v>
      </c>
      <c r="AD632" s="15">
        <v>4</v>
      </c>
      <c r="AF632" s="42">
        <v>2002</v>
      </c>
      <c r="AG632" s="42" t="str">
        <v xml:space="preserve">15 Jun 2002 - 15:30 </v>
      </c>
      <c r="AH632" s="42" t="str">
        <v>ROUND_OF_16</v>
      </c>
      <c r="AI632" s="42" t="str">
        <v>Jeju World Cup Stadium</v>
      </c>
      <c r="AJ632" s="42" t="str">
        <v xml:space="preserve">Jeju </v>
      </c>
      <c r="AK632" s="42" t="str">
        <v>Germany</v>
      </c>
      <c r="AL632" s="42">
        <v>1</v>
      </c>
      <c r="AM632" s="42">
        <v>0</v>
      </c>
      <c r="AN632" s="42" t="str">
        <v>Paraguay</v>
      </c>
      <c r="AO632" s="42" t="str">
        <v>-</v>
      </c>
    </row>
    <row r="633" spans="24:41">
      <c r="X633" s="15">
        <v>631</v>
      </c>
      <c r="Y633" s="15" t="str">
        <v>Koni De Winter</v>
      </c>
      <c r="Z633" s="15">
        <v>23</v>
      </c>
      <c r="AA633" s="15" t="str">
        <v>Belgium</v>
      </c>
      <c r="AB633" s="15" t="str">
        <v>CB</v>
      </c>
      <c r="AC633" s="15" t="str">
        <v>AC Milan</v>
      </c>
      <c r="AD633" s="15">
        <v>16</v>
      </c>
      <c r="AF633" s="42">
        <v>2002</v>
      </c>
      <c r="AG633" s="42" t="str">
        <v xml:space="preserve">16 Jun 2002 - 20:30 </v>
      </c>
      <c r="AH633" s="42" t="str">
        <v>ROUND_OF_16</v>
      </c>
      <c r="AI633" s="42" t="str">
        <v>Suwon World Cup Stadium</v>
      </c>
      <c r="AJ633" s="42" t="str">
        <v xml:space="preserve">Suwon </v>
      </c>
      <c r="AK633" s="42" t="str">
        <v>Spain</v>
      </c>
      <c r="AL633" s="42">
        <v>1</v>
      </c>
      <c r="AM633" s="42">
        <v>1</v>
      </c>
      <c r="AN633" s="42" t="str">
        <v>Ireland</v>
      </c>
      <c r="AO633" s="42" t="str">
        <v>Spain win on penalties (3 - 2)</v>
      </c>
    </row>
    <row r="634" spans="24:41">
      <c r="X634" s="15">
        <v>632</v>
      </c>
      <c r="Y634" s="15" t="str">
        <v>Nathan Ngoy</v>
      </c>
      <c r="Z634" s="15">
        <v>23</v>
      </c>
      <c r="AA634" s="15" t="str">
        <v>Belgium</v>
      </c>
      <c r="AB634" s="15" t="str">
        <v>CB</v>
      </c>
      <c r="AC634" s="15" t="str">
        <v>Lille</v>
      </c>
      <c r="AD634" s="15">
        <v>25</v>
      </c>
      <c r="AF634" s="42">
        <v>2002</v>
      </c>
      <c r="AG634" s="42" t="str">
        <v xml:space="preserve">16 Jun 2002 - 15:30 </v>
      </c>
      <c r="AH634" s="42" t="str">
        <v>ROUND_OF_16</v>
      </c>
      <c r="AI634" s="42" t="str">
        <v>Oita Stadium Big Eye</v>
      </c>
      <c r="AJ634" s="42" t="str">
        <v xml:space="preserve">Oita </v>
      </c>
      <c r="AK634" s="42" t="str">
        <v>Sweden</v>
      </c>
      <c r="AL634" s="42">
        <v>1</v>
      </c>
      <c r="AM634" s="42">
        <v>2</v>
      </c>
      <c r="AN634" s="42" t="str">
        <v>Senegal</v>
      </c>
      <c r="AO634" s="42" t="str">
        <v>Win on Golden Goal</v>
      </c>
    </row>
    <row r="635" spans="24:41">
      <c r="X635" s="15">
        <v>633</v>
      </c>
      <c r="Y635" s="15" t="str">
        <v>Maxim De Cuyper</v>
      </c>
      <c r="Z635" s="15">
        <v>25</v>
      </c>
      <c r="AA635" s="15" t="str">
        <v>Belgium</v>
      </c>
      <c r="AB635" s="15" t="str">
        <v>LB</v>
      </c>
      <c r="AC635" s="15" t="str">
        <v>Brighton &amp; Hove Albion</v>
      </c>
      <c r="AD635" s="15">
        <v>5</v>
      </c>
      <c r="AF635" s="42">
        <v>2002</v>
      </c>
      <c r="AG635" s="42" t="str">
        <v xml:space="preserve">17 Jun 2002 - 20:30 </v>
      </c>
      <c r="AH635" s="42" t="str">
        <v>ROUND_OF_16</v>
      </c>
      <c r="AI635" s="42" t="str">
        <v>Kobe Wing Stadium</v>
      </c>
      <c r="AJ635" s="42" t="str">
        <v xml:space="preserve">Kobe </v>
      </c>
      <c r="AK635" s="42" t="str">
        <v>Brazil</v>
      </c>
      <c r="AL635" s="42">
        <v>2</v>
      </c>
      <c r="AM635" s="42">
        <v>0</v>
      </c>
      <c r="AN635" s="42" t="str">
        <v>Belgium</v>
      </c>
      <c r="AO635" s="42" t="str">
        <v>-</v>
      </c>
    </row>
    <row r="636" spans="24:41">
      <c r="X636" s="15">
        <v>634</v>
      </c>
      <c r="Y636" s="15" t="str">
        <v>Joaquin Seys</v>
      </c>
      <c r="Z636" s="15">
        <v>21</v>
      </c>
      <c r="AA636" s="15" t="str">
        <v>Belgium</v>
      </c>
      <c r="AB636" s="15" t="str">
        <v>LB</v>
      </c>
      <c r="AC636" s="15" t="str">
        <v>Club Brugge</v>
      </c>
      <c r="AD636" s="15">
        <v>18</v>
      </c>
      <c r="AF636" s="42">
        <v>2002</v>
      </c>
      <c r="AG636" s="42" t="str">
        <v xml:space="preserve">17 June 2002 - 15:30 </v>
      </c>
      <c r="AH636" s="42" t="str">
        <v>ROUND_OF_16</v>
      </c>
      <c r="AI636" s="42" t="str">
        <v>Jeonju World Cup Stadium</v>
      </c>
      <c r="AJ636" s="42" t="str">
        <v xml:space="preserve">Jeonju </v>
      </c>
      <c r="AK636" s="42" t="str">
        <v>Mexico</v>
      </c>
      <c r="AL636" s="42">
        <v>0</v>
      </c>
      <c r="AM636" s="42">
        <v>2</v>
      </c>
      <c r="AN636" s="42" t="str">
        <v>United States</v>
      </c>
      <c r="AO636" s="42" t="str">
        <v>-</v>
      </c>
    </row>
    <row r="637" spans="24:41">
      <c r="X637" s="15">
        <v>635</v>
      </c>
      <c r="Y637" s="15" t="str">
        <v>Thomas Meunier</v>
      </c>
      <c r="Z637" s="15">
        <v>34</v>
      </c>
      <c r="AA637" s="15" t="str">
        <v>Belgium</v>
      </c>
      <c r="AB637" s="15" t="str">
        <v>RB</v>
      </c>
      <c r="AC637" s="15" t="str">
        <v>Lille</v>
      </c>
      <c r="AD637" s="15">
        <v>15</v>
      </c>
      <c r="AF637" s="42">
        <v>2002</v>
      </c>
      <c r="AG637" s="42" t="str">
        <v xml:space="preserve">18 Jun 2002 - 15:30 </v>
      </c>
      <c r="AH637" s="42" t="str">
        <v>ROUND_OF_16</v>
      </c>
      <c r="AI637" s="42" t="str">
        <v>Miyagi Stadium</v>
      </c>
      <c r="AJ637" s="42" t="str">
        <v xml:space="preserve">Rifu </v>
      </c>
      <c r="AK637" s="42" t="str">
        <v>Japan</v>
      </c>
      <c r="AL637" s="42">
        <v>0</v>
      </c>
      <c r="AM637" s="42">
        <v>1</v>
      </c>
      <c r="AN637" s="42" t="str">
        <v>Turkey</v>
      </c>
      <c r="AO637" s="42" t="str">
        <v>-</v>
      </c>
    </row>
    <row r="638" spans="24:41">
      <c r="X638" s="15">
        <v>636</v>
      </c>
      <c r="Y638" s="15" t="str">
        <v>Timothy Castagne</v>
      </c>
      <c r="Z638" s="15">
        <v>30</v>
      </c>
      <c r="AA638" s="15" t="str">
        <v>Belgium</v>
      </c>
      <c r="AB638" s="15" t="str">
        <v>RB</v>
      </c>
      <c r="AC638" s="15" t="str">
        <v>Fulham</v>
      </c>
      <c r="AD638" s="15">
        <v>21</v>
      </c>
      <c r="AF638" s="42">
        <v>2002</v>
      </c>
      <c r="AG638" s="42" t="str">
        <v xml:space="preserve">18 Jun 2002 - 20:30 </v>
      </c>
      <c r="AH638" s="42" t="str">
        <v>ROUND_OF_16</v>
      </c>
      <c r="AI638" s="42" t="str">
        <v>Daejeon World Cup Stadium</v>
      </c>
      <c r="AJ638" s="42" t="str">
        <v xml:space="preserve">Daejeon </v>
      </c>
      <c r="AK638" s="42" t="str">
        <v>South Korea</v>
      </c>
      <c r="AL638" s="42">
        <v>2</v>
      </c>
      <c r="AM638" s="42">
        <v>1</v>
      </c>
      <c r="AN638" s="42" t="str">
        <v>Italy</v>
      </c>
      <c r="AO638" s="42" t="str">
        <v>Win on Golden Goal</v>
      </c>
    </row>
    <row r="639" spans="24:41">
      <c r="X639" s="15">
        <v>637</v>
      </c>
      <c r="Y639" s="15" t="str">
        <v>Axel Witsel</v>
      </c>
      <c r="Z639" s="15">
        <v>37</v>
      </c>
      <c r="AA639" s="15" t="str">
        <v>Belgium</v>
      </c>
      <c r="AB639" s="15" t="str">
        <v>CDM</v>
      </c>
      <c r="AC639" s="15" t="str">
        <v>Girona</v>
      </c>
      <c r="AD639" s="15">
        <v>6</v>
      </c>
      <c r="AF639" s="42">
        <v>2002</v>
      </c>
      <c r="AG639" s="42" t="str">
        <v xml:space="preserve">21 Jun 2002 - 15:30 </v>
      </c>
      <c r="AH639" s="42" t="str">
        <v>QUARTER_FINALS</v>
      </c>
      <c r="AI639" s="42" t="str">
        <v>Shizuoka Stadium Ecopa</v>
      </c>
      <c r="AJ639" s="42" t="str">
        <v xml:space="preserve">Shizuoka </v>
      </c>
      <c r="AK639" s="42" t="str">
        <v>England</v>
      </c>
      <c r="AL639" s="42">
        <v>1</v>
      </c>
      <c r="AM639" s="42">
        <v>2</v>
      </c>
      <c r="AN639" s="42" t="str">
        <v>Brazil</v>
      </c>
      <c r="AO639" s="42" t="str">
        <v>-</v>
      </c>
    </row>
    <row r="640" spans="24:41">
      <c r="X640" s="15">
        <v>638</v>
      </c>
      <c r="Y640" s="15" t="str">
        <v>Amadou Onana</v>
      </c>
      <c r="Z640" s="15">
        <v>24</v>
      </c>
      <c r="AA640" s="15" t="str">
        <v>Belgium</v>
      </c>
      <c r="AB640" s="15" t="str">
        <v>CDM</v>
      </c>
      <c r="AC640" s="15" t="str">
        <v>Aston Villa</v>
      </c>
      <c r="AD640" s="15">
        <v>24</v>
      </c>
      <c r="AF640" s="42">
        <v>2002</v>
      </c>
      <c r="AG640" s="42" t="str">
        <v xml:space="preserve">21 Jun 2002 - 20:30 </v>
      </c>
      <c r="AH640" s="42" t="str">
        <v>QUARTER_FINALS</v>
      </c>
      <c r="AI640" s="42" t="str">
        <v>Munsu Football Stadium</v>
      </c>
      <c r="AJ640" s="42" t="str">
        <v xml:space="preserve">Ulsan </v>
      </c>
      <c r="AK640" s="42" t="str">
        <v>Germany</v>
      </c>
      <c r="AL640" s="42">
        <v>1</v>
      </c>
      <c r="AM640" s="42">
        <v>0</v>
      </c>
      <c r="AN640" s="42" t="str">
        <v>United States</v>
      </c>
      <c r="AO640" s="42" t="str">
        <v>-</v>
      </c>
    </row>
    <row r="641" spans="24:41">
      <c r="X641" s="15">
        <v>639</v>
      </c>
      <c r="Y641" s="15" t="str">
        <v>Youri Tielemans</v>
      </c>
      <c r="Z641" s="15">
        <v>29</v>
      </c>
      <c r="AA641" s="15" t="str">
        <v>Belgium</v>
      </c>
      <c r="AB641" s="15" t="str">
        <v>CM</v>
      </c>
      <c r="AC641" s="15" t="str">
        <v>Aston Villa</v>
      </c>
      <c r="AD641" s="15">
        <v>8</v>
      </c>
      <c r="AF641" s="42">
        <v>2002</v>
      </c>
      <c r="AG641" s="42" t="str">
        <v xml:space="preserve">22 Jun 2002 - 20:30 </v>
      </c>
      <c r="AH641" s="42" t="str">
        <v>QUARTER_FINALS</v>
      </c>
      <c r="AI641" s="42" t="str">
        <v>Osaka Nagai Stadium</v>
      </c>
      <c r="AJ641" s="42" t="str">
        <v xml:space="preserve">Osaka </v>
      </c>
      <c r="AK641" s="42" t="str">
        <v>Senegal</v>
      </c>
      <c r="AL641" s="42">
        <v>0</v>
      </c>
      <c r="AM641" s="42">
        <v>1</v>
      </c>
      <c r="AN641" s="42" t="str">
        <v>Turkey</v>
      </c>
      <c r="AO641" s="42" t="str">
        <v>Win on Golden Goal</v>
      </c>
    </row>
    <row r="642" spans="24:41">
      <c r="X642" s="15">
        <v>640</v>
      </c>
      <c r="Y642" s="15" t="str">
        <v>Hans Vanaken</v>
      </c>
      <c r="Z642" s="15">
        <v>33</v>
      </c>
      <c r="AA642" s="15" t="str">
        <v>Belgium</v>
      </c>
      <c r="AB642" s="15" t="str">
        <v>CM</v>
      </c>
      <c r="AC642" s="15" t="str">
        <v>Club Brugge</v>
      </c>
      <c r="AD642" s="15">
        <v>20</v>
      </c>
      <c r="AF642" s="42">
        <v>2002</v>
      </c>
      <c r="AG642" s="42" t="str">
        <v xml:space="preserve">22 Jun 2002 - 15:30 </v>
      </c>
      <c r="AH642" s="42" t="str">
        <v>QUARTER_FINALS</v>
      </c>
      <c r="AI642" s="42" t="str">
        <v>Gwangju World Cup Stadium</v>
      </c>
      <c r="AJ642" s="42" t="str">
        <v xml:space="preserve">Gwangju </v>
      </c>
      <c r="AK642" s="42" t="str">
        <v>Spain</v>
      </c>
      <c r="AL642" s="42">
        <v>0</v>
      </c>
      <c r="AM642" s="42">
        <v>0</v>
      </c>
      <c r="AN642" s="42" t="str">
        <v>South Korea</v>
      </c>
      <c r="AO642" s="42" t="str">
        <v>South Korea win on penalties (3 - 5)</v>
      </c>
    </row>
    <row r="643" spans="24:41">
      <c r="X643" s="15">
        <v>641</v>
      </c>
      <c r="Y643" s="15" t="str">
        <v>Nicolas Raskin</v>
      </c>
      <c r="Z643" s="15">
        <v>25</v>
      </c>
      <c r="AA643" s="15" t="str">
        <v>Belgium</v>
      </c>
      <c r="AB643" s="15" t="str">
        <v>CM</v>
      </c>
      <c r="AC643" s="15" t="str">
        <v>Rangers</v>
      </c>
      <c r="AD643" s="15">
        <v>23</v>
      </c>
      <c r="AF643" s="42">
        <v>2002</v>
      </c>
      <c r="AG643" s="42" t="str">
        <v xml:space="preserve">25 Jun 2002 - 20:30 </v>
      </c>
      <c r="AH643" s="42" t="str">
        <v>SEMI_FINALS</v>
      </c>
      <c r="AI643" s="42" t="str">
        <v>Seoul World Cup Stadium</v>
      </c>
      <c r="AJ643" s="42" t="str">
        <v xml:space="preserve">Seoul </v>
      </c>
      <c r="AK643" s="42" t="str">
        <v>Germany</v>
      </c>
      <c r="AL643" s="42">
        <v>1</v>
      </c>
      <c r="AM643" s="42">
        <v>0</v>
      </c>
      <c r="AN643" s="42" t="str">
        <v>South Korea</v>
      </c>
      <c r="AO643" s="42" t="str">
        <v>-</v>
      </c>
    </row>
    <row r="644" spans="24:41">
      <c r="X644" s="15">
        <v>642</v>
      </c>
      <c r="Y644" s="15" t="str">
        <v>Kevin De Bruyne</v>
      </c>
      <c r="Z644" s="15">
        <v>34</v>
      </c>
      <c r="AA644" s="15" t="str">
        <v>Belgium</v>
      </c>
      <c r="AB644" s="15" t="str">
        <v>CAM</v>
      </c>
      <c r="AC644" s="15" t="str">
        <v>Napoli</v>
      </c>
      <c r="AD644" s="15">
        <v>7</v>
      </c>
      <c r="AF644" s="42">
        <v>2002</v>
      </c>
      <c r="AG644" s="42" t="str">
        <v xml:space="preserve">26 Jun 2002 - 20:30 </v>
      </c>
      <c r="AH644" s="42" t="str">
        <v>SEMI_FINALS</v>
      </c>
      <c r="AI644" s="42" t="str">
        <v>Saitama Stadium 2002</v>
      </c>
      <c r="AJ644" s="42" t="str">
        <v xml:space="preserve">Saitama </v>
      </c>
      <c r="AK644" s="42" t="str">
        <v>Brazil</v>
      </c>
      <c r="AL644" s="42">
        <v>1</v>
      </c>
      <c r="AM644" s="42">
        <v>0</v>
      </c>
      <c r="AN644" s="42" t="str">
        <v>Turkey</v>
      </c>
      <c r="AO644" s="42" t="str">
        <v>-</v>
      </c>
    </row>
    <row r="645" spans="24:41">
      <c r="X645" s="15">
        <v>643</v>
      </c>
      <c r="Y645" s="15" t="str">
        <v>Diego Moreira</v>
      </c>
      <c r="Z645" s="15">
        <v>21</v>
      </c>
      <c r="AA645" s="15" t="str">
        <v>Belgium</v>
      </c>
      <c r="AB645" s="15" t="str">
        <v>CAM</v>
      </c>
      <c r="AC645" s="15" t="str">
        <v>Strasbourg</v>
      </c>
      <c r="AD645" s="15">
        <v>19</v>
      </c>
      <c r="AF645" s="42">
        <v>2002</v>
      </c>
      <c r="AG645" s="42" t="str">
        <v xml:space="preserve">29 Jun 2002 - 20:00 </v>
      </c>
      <c r="AH645" s="42" t="str">
        <v>THIRD_PLACE</v>
      </c>
      <c r="AI645" s="42" t="str">
        <v>Daegu World Cup Stadium</v>
      </c>
      <c r="AJ645" s="42" t="str">
        <v xml:space="preserve">Daegu </v>
      </c>
      <c r="AK645" s="42" t="str">
        <v>South Korea</v>
      </c>
      <c r="AL645" s="42">
        <v>2</v>
      </c>
      <c r="AM645" s="42">
        <v>3</v>
      </c>
      <c r="AN645" s="42" t="str">
        <v>Turkey</v>
      </c>
      <c r="AO645" s="42" t="str">
        <v>-</v>
      </c>
    </row>
    <row r="646" spans="24:41">
      <c r="X646" s="15">
        <v>644</v>
      </c>
      <c r="Y646" s="15" t="str">
        <v>Leandro Trossard</v>
      </c>
      <c r="Z646" s="15">
        <v>31</v>
      </c>
      <c r="AA646" s="15" t="str">
        <v>Belgium</v>
      </c>
      <c r="AB646" s="15" t="str">
        <v>LW</v>
      </c>
      <c r="AC646" s="15" t="str">
        <v>Arsenal</v>
      </c>
      <c r="AD646" s="15">
        <v>10</v>
      </c>
      <c r="AF646" s="42">
        <v>2002</v>
      </c>
      <c r="AG646" s="42" t="str">
        <v xml:space="preserve">30 Jun 2002 - 20:00 </v>
      </c>
      <c r="AH646" s="42" t="str">
        <v>FINAL</v>
      </c>
      <c r="AI646" s="42" t="str">
        <v>International Stadium Yokohama</v>
      </c>
      <c r="AJ646" s="42" t="str">
        <v xml:space="preserve">Yokohama </v>
      </c>
      <c r="AK646" s="42" t="str">
        <v>Germany</v>
      </c>
      <c r="AL646" s="42">
        <v>0</v>
      </c>
      <c r="AM646" s="42">
        <v>2</v>
      </c>
      <c r="AN646" s="42" t="str">
        <v>Brazil</v>
      </c>
      <c r="AO646" s="42" t="str">
        <v>-</v>
      </c>
    </row>
    <row r="647" spans="24:41">
      <c r="X647" s="15">
        <v>645</v>
      </c>
      <c r="Y647" s="15" t="str">
        <v>Jérémy Doku</v>
      </c>
      <c r="Z647" s="15">
        <v>24</v>
      </c>
      <c r="AA647" s="15" t="str">
        <v>Belgium</v>
      </c>
      <c r="AB647" s="15" t="str">
        <v>LW</v>
      </c>
      <c r="AC647" s="15" t="str">
        <v>Manchester City</v>
      </c>
      <c r="AD647" s="15">
        <v>11</v>
      </c>
      <c r="AF647" s="42">
        <v>2006</v>
      </c>
      <c r="AG647" s="42" t="str">
        <v xml:space="preserve">09 Jun 2006 - 18:00 </v>
      </c>
      <c r="AH647" s="42" t="str">
        <v>GROUP_STAGE</v>
      </c>
      <c r="AI647" s="42" t="str">
        <v>FIFA World Cup Stadium, Munich</v>
      </c>
      <c r="AJ647" s="42" t="str">
        <v xml:space="preserve">Munich </v>
      </c>
      <c r="AK647" s="42" t="str">
        <v>Germany</v>
      </c>
      <c r="AL647" s="42">
        <v>4</v>
      </c>
      <c r="AM647" s="42">
        <v>2</v>
      </c>
      <c r="AN647" s="42" t="str">
        <v>Costa Rica</v>
      </c>
      <c r="AO647" s="42" t="str">
        <v>-</v>
      </c>
    </row>
    <row r="648" spans="24:41">
      <c r="X648" s="15">
        <v>646</v>
      </c>
      <c r="Y648" s="15" t="str">
        <v>Alexis Saelemaekers</v>
      </c>
      <c r="Z648" s="15">
        <v>26</v>
      </c>
      <c r="AA648" s="15" t="str">
        <v>Belgium</v>
      </c>
      <c r="AB648" s="15" t="str">
        <v>LW</v>
      </c>
      <c r="AC648" s="15" t="str">
        <v>AC Milan</v>
      </c>
      <c r="AD648" s="15">
        <v>22</v>
      </c>
      <c r="AF648" s="42">
        <v>2006</v>
      </c>
      <c r="AG648" s="42" t="str">
        <v xml:space="preserve">09 Jun 2006 - 21:00 </v>
      </c>
      <c r="AH648" s="42" t="str">
        <v>GROUP_STAGE</v>
      </c>
      <c r="AI648" s="42" t="str">
        <v>FIFA World Cup Stadium, Gelsenkirchen</v>
      </c>
      <c r="AJ648" s="42" t="str">
        <v xml:space="preserve">Gelsenkirchen </v>
      </c>
      <c r="AK648" s="42" t="str">
        <v>Poland</v>
      </c>
      <c r="AL648" s="42">
        <v>0</v>
      </c>
      <c r="AM648" s="42">
        <v>2</v>
      </c>
      <c r="AN648" s="42" t="str">
        <v>Ecuador</v>
      </c>
      <c r="AO648" s="42" t="str">
        <v>-</v>
      </c>
    </row>
    <row r="649" spans="24:41">
      <c r="X649" s="15">
        <v>647</v>
      </c>
      <c r="Y649" s="15" t="str">
        <v>Dodi Lukébakio</v>
      </c>
      <c r="Z649" s="15">
        <v>28</v>
      </c>
      <c r="AA649" s="15" t="str">
        <v>Belgium</v>
      </c>
      <c r="AB649" s="15" t="str">
        <v>RW</v>
      </c>
      <c r="AC649" s="15" t="str">
        <v>Benfica</v>
      </c>
      <c r="AD649" s="15">
        <v>14</v>
      </c>
      <c r="AF649" s="42">
        <v>2006</v>
      </c>
      <c r="AG649" s="42" t="str">
        <v xml:space="preserve">10 Jun 2006 - 15:00 </v>
      </c>
      <c r="AH649" s="42" t="str">
        <v>GROUP_STAGE</v>
      </c>
      <c r="AI649" s="42" t="str">
        <v>FIFA World Cup Stadium, Frankfurt</v>
      </c>
      <c r="AJ649" s="42" t="str">
        <v xml:space="preserve">Frankfurt/Main </v>
      </c>
      <c r="AK649" s="42" t="str">
        <v>England</v>
      </c>
      <c r="AL649" s="42">
        <v>1</v>
      </c>
      <c r="AM649" s="42">
        <v>0</v>
      </c>
      <c r="AN649" s="42" t="str">
        <v>Paraguay</v>
      </c>
      <c r="AO649" s="42" t="str">
        <v>-</v>
      </c>
    </row>
    <row r="650" spans="24:41">
      <c r="X650" s="15">
        <v>648</v>
      </c>
      <c r="Y650" s="15" t="str">
        <v>Matias Fernandez-Pardo</v>
      </c>
      <c r="Z650" s="15">
        <v>21</v>
      </c>
      <c r="AA650" s="15" t="str">
        <v>Belgium</v>
      </c>
      <c r="AB650" s="15" t="str">
        <v>RW</v>
      </c>
      <c r="AC650" s="15" t="str">
        <v>Lille</v>
      </c>
      <c r="AD650" s="15">
        <v>26</v>
      </c>
      <c r="AF650" s="42">
        <v>2006</v>
      </c>
      <c r="AG650" s="42" t="str">
        <v xml:space="preserve">10 Jun 2006 - 18:00 </v>
      </c>
      <c r="AH650" s="42" t="str">
        <v>GROUP_STAGE</v>
      </c>
      <c r="AI650" s="42" t="str">
        <v>FIFA World Cup Stadium, Dortmund</v>
      </c>
      <c r="AJ650" s="42" t="str">
        <v xml:space="preserve">Dortmund </v>
      </c>
      <c r="AK650" s="42" t="str">
        <v>Trinidad and Tobago</v>
      </c>
      <c r="AL650" s="42">
        <v>0</v>
      </c>
      <c r="AM650" s="42">
        <v>0</v>
      </c>
      <c r="AN650" s="42" t="str">
        <v>Sweden</v>
      </c>
      <c r="AO650" s="42" t="str">
        <v>-</v>
      </c>
    </row>
    <row r="651" spans="24:41">
      <c r="X651" s="15">
        <v>649</v>
      </c>
      <c r="Y651" s="15" t="str">
        <v>Romelu Lukaku</v>
      </c>
      <c r="Z651" s="15">
        <v>33</v>
      </c>
      <c r="AA651" s="15" t="str">
        <v>Belgium</v>
      </c>
      <c r="AB651" s="15" t="str">
        <v>ST</v>
      </c>
      <c r="AC651" s="15" t="str">
        <v>Napoli</v>
      </c>
      <c r="AD651" s="15">
        <v>9</v>
      </c>
      <c r="AF651" s="42">
        <v>2006</v>
      </c>
      <c r="AG651" s="42" t="str">
        <v xml:space="preserve">10 Jun 2006 - 21:00 </v>
      </c>
      <c r="AH651" s="42" t="str">
        <v>GROUP_STAGE</v>
      </c>
      <c r="AI651" s="42" t="str">
        <v>FIFA World Cup Stadium, Hamburg</v>
      </c>
      <c r="AJ651" s="42" t="str">
        <v xml:space="preserve">Hamburg </v>
      </c>
      <c r="AK651" s="42" t="str">
        <v>Argentina</v>
      </c>
      <c r="AL651" s="42">
        <v>2</v>
      </c>
      <c r="AM651" s="42">
        <v>1</v>
      </c>
      <c r="AN651" s="42" t="str">
        <v>Côte d'Ivoire</v>
      </c>
      <c r="AO651" s="42" t="str">
        <v>-</v>
      </c>
    </row>
    <row r="652" spans="24:41">
      <c r="X652" s="15">
        <v>650</v>
      </c>
      <c r="Y652" s="15" t="str">
        <v>Charles De Ketelaere</v>
      </c>
      <c r="Z652" s="15">
        <v>25</v>
      </c>
      <c r="AA652" s="15" t="str">
        <v>Belgium</v>
      </c>
      <c r="AB652" s="15" t="str">
        <v>ST</v>
      </c>
      <c r="AC652" s="15" t="str">
        <v>Atalanta</v>
      </c>
      <c r="AD652" s="15">
        <v>17</v>
      </c>
      <c r="AF652" s="42">
        <v>2006</v>
      </c>
      <c r="AG652" s="42" t="str">
        <v xml:space="preserve">11 Jun 2006 - 15:00 </v>
      </c>
      <c r="AH652" s="42" t="str">
        <v>GROUP_STAGE</v>
      </c>
      <c r="AI652" s="42" t="str">
        <v>Zentralstadion</v>
      </c>
      <c r="AJ652" s="42" t="str">
        <v xml:space="preserve">Leipzig </v>
      </c>
      <c r="AK652" s="42" t="str">
        <v>Serbia and Montenegro</v>
      </c>
      <c r="AL652" s="42">
        <v>0</v>
      </c>
      <c r="AM652" s="42">
        <v>1</v>
      </c>
      <c r="AN652" s="42" t="str">
        <v>Netherlands</v>
      </c>
      <c r="AO652" s="42" t="str">
        <v>-</v>
      </c>
    </row>
    <row r="653" spans="24:41">
      <c r="X653" s="15">
        <v>651</v>
      </c>
      <c r="Y653" s="15" t="str">
        <v>Mohamed El Shenawy</v>
      </c>
      <c r="Z653" s="15">
        <v>37</v>
      </c>
      <c r="AA653" s="15" t="str">
        <v>Egypt</v>
      </c>
      <c r="AB653" s="15" t="str">
        <v>GK</v>
      </c>
      <c r="AC653" s="15" t="str">
        <v>Al Ahly</v>
      </c>
      <c r="AD653" s="15">
        <v>1</v>
      </c>
      <c r="AF653" s="42">
        <v>2006</v>
      </c>
      <c r="AG653" s="42" t="str">
        <v xml:space="preserve">11 Jun 2006 - 18:00 </v>
      </c>
      <c r="AH653" s="42" t="str">
        <v>GROUP_STAGE</v>
      </c>
      <c r="AI653" s="42" t="str">
        <v>Franken-Stadion</v>
      </c>
      <c r="AJ653" s="42" t="str">
        <v xml:space="preserve">Nuremberg </v>
      </c>
      <c r="AK653" s="42" t="str">
        <v>Mexico</v>
      </c>
      <c r="AL653" s="42">
        <v>3</v>
      </c>
      <c r="AM653" s="42">
        <v>1</v>
      </c>
      <c r="AN653" s="42" t="str">
        <v>Iran</v>
      </c>
      <c r="AO653" s="42" t="str">
        <v>-</v>
      </c>
    </row>
    <row r="654" spans="24:41">
      <c r="X654" s="15">
        <v>652</v>
      </c>
      <c r="Y654" s="15" t="str">
        <v>El Mahdy Soliman</v>
      </c>
      <c r="Z654" s="15">
        <v>39</v>
      </c>
      <c r="AA654" s="15" t="str">
        <v>Egypt</v>
      </c>
      <c r="AB654" s="15" t="str">
        <v>GK</v>
      </c>
      <c r="AC654" s="15" t="str">
        <v>Zamalek</v>
      </c>
      <c r="AD654" s="15">
        <v>16</v>
      </c>
      <c r="AF654" s="42">
        <v>2006</v>
      </c>
      <c r="AG654" s="42" t="str">
        <v xml:space="preserve">11 Jun 2006 - 21:00 </v>
      </c>
      <c r="AH654" s="42" t="str">
        <v>GROUP_STAGE</v>
      </c>
      <c r="AI654" s="42" t="str">
        <v>FIFA World Cup Stadium, Cologne</v>
      </c>
      <c r="AJ654" s="42" t="str">
        <v xml:space="preserve">Cologne </v>
      </c>
      <c r="AK654" s="42" t="str">
        <v>Angola</v>
      </c>
      <c r="AL654" s="42">
        <v>0</v>
      </c>
      <c r="AM654" s="42">
        <v>1</v>
      </c>
      <c r="AN654" s="42" t="str">
        <v>Portugal</v>
      </c>
      <c r="AO654" s="42" t="str">
        <v>-</v>
      </c>
    </row>
    <row r="655" spans="24:41">
      <c r="X655" s="15">
        <v>653</v>
      </c>
      <c r="Y655" s="15" t="str">
        <v>Mostafa Shobeir</v>
      </c>
      <c r="Z655" s="15">
        <v>26</v>
      </c>
      <c r="AA655" s="15" t="str">
        <v>Egypt</v>
      </c>
      <c r="AB655" s="15" t="str">
        <v>GK</v>
      </c>
      <c r="AC655" s="15" t="str">
        <v>Al Ahly</v>
      </c>
      <c r="AD655" s="15">
        <v>23</v>
      </c>
      <c r="AF655" s="42">
        <v>2006</v>
      </c>
      <c r="AG655" s="42" t="str">
        <v xml:space="preserve">12 Jun 2006 - 15:00 </v>
      </c>
      <c r="AH655" s="42" t="str">
        <v>GROUP_STAGE</v>
      </c>
      <c r="AI655" s="42" t="str">
        <v>Fritz-Walter-Stadion</v>
      </c>
      <c r="AJ655" s="42" t="str">
        <v xml:space="preserve">Kaiserslautern </v>
      </c>
      <c r="AK655" s="42" t="str">
        <v>Australia</v>
      </c>
      <c r="AL655" s="42">
        <v>3</v>
      </c>
      <c r="AM655" s="42">
        <v>1</v>
      </c>
      <c r="AN655" s="42" t="str">
        <v>Japan</v>
      </c>
      <c r="AO655" s="42" t="str">
        <v>-</v>
      </c>
    </row>
    <row r="656" spans="24:41">
      <c r="X656" s="15">
        <v>654</v>
      </c>
      <c r="Y656" s="15" t="str">
        <v>Mohamed Alaa</v>
      </c>
      <c r="Z656" s="15">
        <v>27</v>
      </c>
      <c r="AA656" s="15" t="str">
        <v>Egypt</v>
      </c>
      <c r="AB656" s="15" t="str">
        <v>GK</v>
      </c>
      <c r="AC656" s="15" t="str">
        <v>El Gouna</v>
      </c>
      <c r="AD656" s="15">
        <v>26</v>
      </c>
      <c r="AF656" s="42">
        <v>2006</v>
      </c>
      <c r="AG656" s="42" t="str">
        <v xml:space="preserve">12 Jun 2006 - 18:00 </v>
      </c>
      <c r="AH656" s="42" t="str">
        <v>GROUP_STAGE</v>
      </c>
      <c r="AI656" s="42" t="str">
        <v>FIFA World Cup Stadium, Gelsenkirchen</v>
      </c>
      <c r="AJ656" s="42" t="str">
        <v xml:space="preserve">Gelsenkirchen </v>
      </c>
      <c r="AK656" s="42" t="str">
        <v>United States</v>
      </c>
      <c r="AL656" s="42">
        <v>0</v>
      </c>
      <c r="AM656" s="42">
        <v>3</v>
      </c>
      <c r="AN656" s="42" t="str">
        <v>Czech Republic</v>
      </c>
      <c r="AO656" s="42" t="str">
        <v>-</v>
      </c>
    </row>
    <row r="657" spans="24:41">
      <c r="X657" s="15">
        <v>655</v>
      </c>
      <c r="Y657" s="15" t="str">
        <v>Yasser Ibrahim</v>
      </c>
      <c r="Z657" s="15">
        <v>33</v>
      </c>
      <c r="AA657" s="15" t="str">
        <v>Egypt</v>
      </c>
      <c r="AB657" s="15" t="str">
        <v>CB</v>
      </c>
      <c r="AC657" s="15" t="str">
        <v>Al Ahly</v>
      </c>
      <c r="AD657" s="15">
        <v>2</v>
      </c>
      <c r="AF657" s="42">
        <v>2006</v>
      </c>
      <c r="AG657" s="42" t="str">
        <v xml:space="preserve">12 Jun 2006 - 21:00 </v>
      </c>
      <c r="AH657" s="42" t="str">
        <v>GROUP_STAGE</v>
      </c>
      <c r="AI657" s="42" t="str">
        <v>FIFA World Cup Stadium, Hanover</v>
      </c>
      <c r="AJ657" s="42" t="str">
        <v xml:space="preserve">Hanover </v>
      </c>
      <c r="AK657" s="42" t="str">
        <v>Italy</v>
      </c>
      <c r="AL657" s="42">
        <v>2</v>
      </c>
      <c r="AM657" s="42">
        <v>0</v>
      </c>
      <c r="AN657" s="42" t="str">
        <v>Ghana</v>
      </c>
      <c r="AO657" s="42" t="str">
        <v>-</v>
      </c>
    </row>
    <row r="658" spans="24:41">
      <c r="X658" s="15">
        <v>656</v>
      </c>
      <c r="Y658" s="15" t="str">
        <v>Hossam Abdelmaguid</v>
      </c>
      <c r="Z658" s="15">
        <v>25</v>
      </c>
      <c r="AA658" s="15" t="str">
        <v>Egypt</v>
      </c>
      <c r="AB658" s="15" t="str">
        <v>CB</v>
      </c>
      <c r="AC658" s="15" t="str">
        <v>Zamalek</v>
      </c>
      <c r="AD658" s="15">
        <v>4</v>
      </c>
      <c r="AF658" s="42">
        <v>2006</v>
      </c>
      <c r="AG658" s="42" t="str">
        <v xml:space="preserve">13 Jun 2006 - 15:00 </v>
      </c>
      <c r="AH658" s="42" t="str">
        <v>GROUP_STAGE</v>
      </c>
      <c r="AI658" s="42" t="str">
        <v>FIFA World Cup Stadium, Frankfurt</v>
      </c>
      <c r="AJ658" s="42" t="str">
        <v xml:space="preserve">Frankfurt/Main </v>
      </c>
      <c r="AK658" s="42" t="str">
        <v>South Korea</v>
      </c>
      <c r="AL658" s="42">
        <v>2</v>
      </c>
      <c r="AM658" s="42">
        <v>1</v>
      </c>
      <c r="AN658" s="42" t="str">
        <v>Togo</v>
      </c>
      <c r="AO658" s="42" t="str">
        <v>-</v>
      </c>
    </row>
    <row r="659" spans="24:41">
      <c r="X659" s="15">
        <v>657</v>
      </c>
      <c r="Y659" s="15" t="str">
        <v>Ramy Rabia</v>
      </c>
      <c r="Z659" s="15">
        <v>33</v>
      </c>
      <c r="AA659" s="15" t="str">
        <v>Egypt</v>
      </c>
      <c r="AB659" s="15" t="str">
        <v>CB</v>
      </c>
      <c r="AC659" s="15" t="str">
        <v>Al Ain</v>
      </c>
      <c r="AD659" s="15">
        <v>5</v>
      </c>
      <c r="AF659" s="42">
        <v>2006</v>
      </c>
      <c r="AG659" s="42" t="str">
        <v xml:space="preserve">13 Jun 2006 - 18:00 </v>
      </c>
      <c r="AH659" s="42" t="str">
        <v>GROUP_STAGE</v>
      </c>
      <c r="AI659" s="42" t="str">
        <v>Gottlieb-Daimler-Stadion</v>
      </c>
      <c r="AJ659" s="42" t="str">
        <v xml:space="preserve">Stuttgart </v>
      </c>
      <c r="AK659" s="42" t="str">
        <v>France</v>
      </c>
      <c r="AL659" s="42">
        <v>0</v>
      </c>
      <c r="AM659" s="42">
        <v>0</v>
      </c>
      <c r="AN659" s="42" t="str">
        <v>Switzerland</v>
      </c>
      <c r="AO659" s="42" t="str">
        <v>-</v>
      </c>
    </row>
    <row r="660" spans="24:41">
      <c r="X660" s="15">
        <v>658</v>
      </c>
      <c r="Y660" s="15" t="str">
        <v>Mohamed Abdelmonem</v>
      </c>
      <c r="Z660" s="15">
        <v>27</v>
      </c>
      <c r="AA660" s="15" t="str">
        <v>Egypt</v>
      </c>
      <c r="AB660" s="15" t="str">
        <v>CB</v>
      </c>
      <c r="AC660" s="15" t="str">
        <v>Nice</v>
      </c>
      <c r="AD660" s="15">
        <v>6</v>
      </c>
      <c r="AF660" s="42">
        <v>2006</v>
      </c>
      <c r="AG660" s="42" t="str">
        <v xml:space="preserve">13 Jun 2006 - 21:00 </v>
      </c>
      <c r="AH660" s="42" t="str">
        <v>GROUP_STAGE</v>
      </c>
      <c r="AI660" s="42" t="str">
        <v>Olympiastadion</v>
      </c>
      <c r="AJ660" s="42" t="str">
        <v xml:space="preserve">Berlin </v>
      </c>
      <c r="AK660" s="42" t="str">
        <v>Brazil</v>
      </c>
      <c r="AL660" s="42">
        <v>1</v>
      </c>
      <c r="AM660" s="42">
        <v>0</v>
      </c>
      <c r="AN660" s="42" t="str">
        <v>Croatia</v>
      </c>
      <c r="AO660" s="42" t="str">
        <v>-</v>
      </c>
    </row>
    <row r="661" spans="24:41">
      <c r="X661" s="15">
        <v>659</v>
      </c>
      <c r="Y661" s="15" t="str">
        <v>Ahmed Fatouh</v>
      </c>
      <c r="Z661" s="15">
        <v>28</v>
      </c>
      <c r="AA661" s="15" t="str">
        <v>Egypt</v>
      </c>
      <c r="AB661" s="15" t="str">
        <v>LB</v>
      </c>
      <c r="AC661" s="15" t="str">
        <v>Zamalek</v>
      </c>
      <c r="AD661" s="15">
        <v>13</v>
      </c>
      <c r="AF661" s="42">
        <v>2006</v>
      </c>
      <c r="AG661" s="42" t="str">
        <v xml:space="preserve">14 Jun 2006 - 15:00 </v>
      </c>
      <c r="AH661" s="42" t="str">
        <v>GROUP_STAGE</v>
      </c>
      <c r="AI661" s="42" t="str">
        <v>Zentralstadion</v>
      </c>
      <c r="AJ661" s="42" t="str">
        <v xml:space="preserve">Leipzig </v>
      </c>
      <c r="AK661" s="42" t="str">
        <v>Spain</v>
      </c>
      <c r="AL661" s="42">
        <v>4</v>
      </c>
      <c r="AM661" s="42">
        <v>0</v>
      </c>
      <c r="AN661" s="42" t="str">
        <v>Ukraine</v>
      </c>
      <c r="AO661" s="42" t="str">
        <v>-</v>
      </c>
    </row>
    <row r="662" spans="24:41">
      <c r="X662" s="15">
        <v>660</v>
      </c>
      <c r="Y662" s="15" t="str">
        <v>Karim Hafez</v>
      </c>
      <c r="Z662" s="15">
        <v>30</v>
      </c>
      <c r="AA662" s="15" t="str">
        <v>Egypt</v>
      </c>
      <c r="AB662" s="15" t="str">
        <v>LB</v>
      </c>
      <c r="AC662" s="15" t="str">
        <v>Pyramids</v>
      </c>
      <c r="AD662" s="15">
        <v>15</v>
      </c>
      <c r="AF662" s="42">
        <v>2006</v>
      </c>
      <c r="AG662" s="42" t="str">
        <v xml:space="preserve">14 Jun 2006 - 18:00 </v>
      </c>
      <c r="AH662" s="42" t="str">
        <v>GROUP_STAGE</v>
      </c>
      <c r="AI662" s="42" t="str">
        <v>FIFA World Cup Stadium, Munich</v>
      </c>
      <c r="AJ662" s="42" t="str">
        <v xml:space="preserve">Munich </v>
      </c>
      <c r="AK662" s="42" t="str">
        <v>Tunisia</v>
      </c>
      <c r="AL662" s="42">
        <v>2</v>
      </c>
      <c r="AM662" s="42">
        <v>2</v>
      </c>
      <c r="AN662" s="42" t="str">
        <v>Saudi Arabia</v>
      </c>
      <c r="AO662" s="42" t="str">
        <v>-</v>
      </c>
    </row>
    <row r="663" spans="24:41">
      <c r="X663" s="15">
        <v>661</v>
      </c>
      <c r="Y663" s="15" t="str">
        <v>Mohamed Hany</v>
      </c>
      <c r="Z663" s="15">
        <v>30</v>
      </c>
      <c r="AA663" s="15" t="str">
        <v>Egypt</v>
      </c>
      <c r="AB663" s="15" t="str">
        <v>RB</v>
      </c>
      <c r="AC663" s="15" t="str">
        <v>Al Ahly</v>
      </c>
      <c r="AD663" s="15">
        <v>3</v>
      </c>
      <c r="AF663" s="42">
        <v>2006</v>
      </c>
      <c r="AG663" s="42" t="str">
        <v xml:space="preserve">14 Jun 2006 - 21:00 </v>
      </c>
      <c r="AH663" s="42" t="str">
        <v>GROUP_STAGE</v>
      </c>
      <c r="AI663" s="42" t="str">
        <v>FIFA World Cup Stadium, Dortmund</v>
      </c>
      <c r="AJ663" s="42" t="str">
        <v xml:space="preserve">Dortmund </v>
      </c>
      <c r="AK663" s="42" t="str">
        <v>Germany</v>
      </c>
      <c r="AL663" s="42">
        <v>1</v>
      </c>
      <c r="AM663" s="42">
        <v>0</v>
      </c>
      <c r="AN663" s="42" t="str">
        <v>Poland</v>
      </c>
      <c r="AO663" s="42" t="str">
        <v>-</v>
      </c>
    </row>
    <row r="664" spans="24:41">
      <c r="X664" s="15">
        <v>662</v>
      </c>
      <c r="Y664" s="15" t="str">
        <v>Tarek Alaa</v>
      </c>
      <c r="Z664" s="15">
        <v>24</v>
      </c>
      <c r="AA664" s="15" t="str">
        <v>Egypt</v>
      </c>
      <c r="AB664" s="15" t="str">
        <v>RB</v>
      </c>
      <c r="AC664" s="15" t="str">
        <v>ZED</v>
      </c>
      <c r="AD664" s="15">
        <v>24</v>
      </c>
      <c r="AF664" s="42">
        <v>2006</v>
      </c>
      <c r="AG664" s="42" t="str">
        <v xml:space="preserve">15 Jun 2006 - 15:00 </v>
      </c>
      <c r="AH664" s="42" t="str">
        <v>GROUP_STAGE</v>
      </c>
      <c r="AI664" s="42" t="str">
        <v>FIFA World Cup Stadium, Hamburg</v>
      </c>
      <c r="AJ664" s="42" t="str">
        <v xml:space="preserve">Hamburg </v>
      </c>
      <c r="AK664" s="42" t="str">
        <v>Ecuador</v>
      </c>
      <c r="AL664" s="42">
        <v>3</v>
      </c>
      <c r="AM664" s="42">
        <v>0</v>
      </c>
      <c r="AN664" s="42" t="str">
        <v>Costa Rica</v>
      </c>
      <c r="AO664" s="42" t="str">
        <v>-</v>
      </c>
    </row>
    <row r="665" spans="24:41">
      <c r="X665" s="15">
        <v>663</v>
      </c>
      <c r="Y665" s="15" t="str">
        <v>Hamdy Fathy</v>
      </c>
      <c r="Z665" s="15">
        <v>31</v>
      </c>
      <c r="AA665" s="15" t="str">
        <v>Egypt</v>
      </c>
      <c r="AB665" s="15" t="str">
        <v>CDM</v>
      </c>
      <c r="AC665" s="15" t="str">
        <v>Al-Wakrah</v>
      </c>
      <c r="AD665" s="15">
        <v>14</v>
      </c>
      <c r="AF665" s="42">
        <v>2006</v>
      </c>
      <c r="AG665" s="42" t="str">
        <v xml:space="preserve">15 Jun 2006 - 18:00 </v>
      </c>
      <c r="AH665" s="42" t="str">
        <v>GROUP_STAGE</v>
      </c>
      <c r="AI665" s="42" t="str">
        <v>Franken-Stadion</v>
      </c>
      <c r="AJ665" s="42" t="str">
        <v xml:space="preserve">Nuremberg </v>
      </c>
      <c r="AK665" s="42" t="str">
        <v>England</v>
      </c>
      <c r="AL665" s="42">
        <v>2</v>
      </c>
      <c r="AM665" s="42">
        <v>0</v>
      </c>
      <c r="AN665" s="42" t="str">
        <v>Trinidad and Tobago</v>
      </c>
      <c r="AO665" s="42" t="str">
        <v>-</v>
      </c>
    </row>
    <row r="666" spans="24:41">
      <c r="X666" s="15">
        <v>664</v>
      </c>
      <c r="Y666" s="15" t="str">
        <v>Nabil Emad</v>
      </c>
      <c r="Z666" s="15">
        <v>30</v>
      </c>
      <c r="AA666" s="15" t="str">
        <v>Egypt</v>
      </c>
      <c r="AB666" s="15" t="str">
        <v>CDM</v>
      </c>
      <c r="AC666" s="15" t="str">
        <v>Al-Najma</v>
      </c>
      <c r="AD666" s="15">
        <v>18</v>
      </c>
      <c r="AF666" s="42">
        <v>2006</v>
      </c>
      <c r="AG666" s="42" t="str">
        <v xml:space="preserve">15 Jun 2006 - 21:00 </v>
      </c>
      <c r="AH666" s="42" t="str">
        <v>GROUP_STAGE</v>
      </c>
      <c r="AI666" s="42" t="str">
        <v>Olympiastadion</v>
      </c>
      <c r="AJ666" s="42" t="str">
        <v xml:space="preserve">Berlin </v>
      </c>
      <c r="AK666" s="42" t="str">
        <v>Sweden</v>
      </c>
      <c r="AL666" s="42">
        <v>1</v>
      </c>
      <c r="AM666" s="42">
        <v>0</v>
      </c>
      <c r="AN666" s="42" t="str">
        <v>Paraguay</v>
      </c>
      <c r="AO666" s="42" t="str">
        <v>-</v>
      </c>
    </row>
    <row r="667" spans="24:41">
      <c r="X667" s="15">
        <v>665</v>
      </c>
      <c r="Y667" s="15" t="str">
        <v>Marwan Attia</v>
      </c>
      <c r="Z667" s="15">
        <v>27</v>
      </c>
      <c r="AA667" s="15" t="str">
        <v>Egypt</v>
      </c>
      <c r="AB667" s="15" t="str">
        <v>CDM</v>
      </c>
      <c r="AC667" s="15" t="str">
        <v>Al Ahly</v>
      </c>
      <c r="AD667" s="15">
        <v>19</v>
      </c>
      <c r="AF667" s="42">
        <v>2006</v>
      </c>
      <c r="AG667" s="42" t="str">
        <v xml:space="preserve">16 Jun 2006 - 15:00 </v>
      </c>
      <c r="AH667" s="42" t="str">
        <v>GROUP_STAGE</v>
      </c>
      <c r="AI667" s="42" t="str">
        <v>FIFA World Cup Stadium, Gelsenkirchen</v>
      </c>
      <c r="AJ667" s="42" t="str">
        <v xml:space="preserve">Gelsenkirchen </v>
      </c>
      <c r="AK667" s="42" t="str">
        <v>Argentina</v>
      </c>
      <c r="AL667" s="42">
        <v>6</v>
      </c>
      <c r="AM667" s="42">
        <v>0</v>
      </c>
      <c r="AN667" s="42" t="str">
        <v>Serbia and Montenegro</v>
      </c>
      <c r="AO667" s="42" t="str">
        <v>-</v>
      </c>
    </row>
    <row r="668" spans="24:41">
      <c r="X668" s="15">
        <v>666</v>
      </c>
      <c r="Y668" s="15" t="str">
        <v>Emam Ashour</v>
      </c>
      <c r="Z668" s="15">
        <v>28</v>
      </c>
      <c r="AA668" s="15" t="str">
        <v>Egypt</v>
      </c>
      <c r="AB668" s="15" t="str">
        <v>CM</v>
      </c>
      <c r="AC668" s="15" t="str">
        <v>Al Ahly</v>
      </c>
      <c r="AD668" s="15">
        <v>8</v>
      </c>
      <c r="AF668" s="42">
        <v>2006</v>
      </c>
      <c r="AG668" s="42" t="str">
        <v xml:space="preserve">16 Jun 2006 - 18:00 </v>
      </c>
      <c r="AH668" s="42" t="str">
        <v>GROUP_STAGE</v>
      </c>
      <c r="AI668" s="42" t="str">
        <v>Gottlieb-Daimler-Stadion</v>
      </c>
      <c r="AJ668" s="42" t="str">
        <v xml:space="preserve">Stuttgart </v>
      </c>
      <c r="AK668" s="42" t="str">
        <v>Netherlands</v>
      </c>
      <c r="AL668" s="42">
        <v>2</v>
      </c>
      <c r="AM668" s="42">
        <v>1</v>
      </c>
      <c r="AN668" s="42" t="str">
        <v>Côte d'Ivoire</v>
      </c>
      <c r="AO668" s="42" t="str">
        <v>-</v>
      </c>
    </row>
    <row r="669" spans="24:41">
      <c r="X669" s="15">
        <v>667</v>
      </c>
      <c r="Y669" s="15" t="str">
        <v>Mohanad Lasheen</v>
      </c>
      <c r="Z669" s="15">
        <v>30</v>
      </c>
      <c r="AA669" s="15" t="str">
        <v>Egypt</v>
      </c>
      <c r="AB669" s="15" t="str">
        <v>CM</v>
      </c>
      <c r="AC669" s="15" t="str">
        <v>Pyramids</v>
      </c>
      <c r="AD669" s="15">
        <v>17</v>
      </c>
      <c r="AF669" s="42">
        <v>2006</v>
      </c>
      <c r="AG669" s="42" t="str">
        <v xml:space="preserve">16 Jun 2006 - 21:00 </v>
      </c>
      <c r="AH669" s="42" t="str">
        <v>GROUP_STAGE</v>
      </c>
      <c r="AI669" s="42" t="str">
        <v>FIFA World Cup Stadium, Hanover</v>
      </c>
      <c r="AJ669" s="42" t="str">
        <v xml:space="preserve">Hanover </v>
      </c>
      <c r="AK669" s="42" t="str">
        <v>Mexico</v>
      </c>
      <c r="AL669" s="42">
        <v>0</v>
      </c>
      <c r="AM669" s="42">
        <v>0</v>
      </c>
      <c r="AN669" s="42" t="str">
        <v>Angola</v>
      </c>
      <c r="AO669" s="42" t="str">
        <v>-</v>
      </c>
    </row>
    <row r="670" spans="24:41">
      <c r="X670" s="15">
        <v>668</v>
      </c>
      <c r="Y670" s="15" t="str">
        <v>Mostafa Ziko</v>
      </c>
      <c r="Z670" s="15">
        <v>29</v>
      </c>
      <c r="AA670" s="15" t="str">
        <v>Egypt</v>
      </c>
      <c r="AB670" s="15" t="str">
        <v>CAM</v>
      </c>
      <c r="AC670" s="15" t="str">
        <v>Pyramids</v>
      </c>
      <c r="AD670" s="15">
        <v>11</v>
      </c>
      <c r="AF670" s="42">
        <v>2006</v>
      </c>
      <c r="AG670" s="42" t="str">
        <v xml:space="preserve">17 Jun 2006 - 15:00 </v>
      </c>
      <c r="AH670" s="42" t="str">
        <v>GROUP_STAGE</v>
      </c>
      <c r="AI670" s="42" t="str">
        <v>FIFA World Cup Stadium, Frankfurt</v>
      </c>
      <c r="AJ670" s="42" t="str">
        <v xml:space="preserve">Frankfurt/Main </v>
      </c>
      <c r="AK670" s="42" t="str">
        <v>Portugal</v>
      </c>
      <c r="AL670" s="42">
        <v>2</v>
      </c>
      <c r="AM670" s="42">
        <v>0</v>
      </c>
      <c r="AN670" s="42" t="str">
        <v>Iran</v>
      </c>
      <c r="AO670" s="42" t="str">
        <v>-</v>
      </c>
    </row>
    <row r="671" spans="24:41">
      <c r="X671" s="15">
        <v>669</v>
      </c>
      <c r="Y671" s="15" t="str">
        <v>Mahmoud Saber</v>
      </c>
      <c r="Z671" s="15">
        <v>24</v>
      </c>
      <c r="AA671" s="15" t="str">
        <v>Egypt</v>
      </c>
      <c r="AB671" s="15" t="str">
        <v>CAM</v>
      </c>
      <c r="AC671" s="15" t="str">
        <v>ZED</v>
      </c>
      <c r="AD671" s="15">
        <v>21</v>
      </c>
      <c r="AF671" s="42">
        <v>2006</v>
      </c>
      <c r="AG671" s="42" t="str">
        <v xml:space="preserve">17 Jun 2006 - 18:00 </v>
      </c>
      <c r="AH671" s="42" t="str">
        <v>GROUP_STAGE</v>
      </c>
      <c r="AI671" s="42" t="str">
        <v>FIFA World Cup Stadium, Cologne</v>
      </c>
      <c r="AJ671" s="42" t="str">
        <v xml:space="preserve">Cologne </v>
      </c>
      <c r="AK671" s="42" t="str">
        <v>Czech Republic</v>
      </c>
      <c r="AL671" s="42">
        <v>0</v>
      </c>
      <c r="AM671" s="42">
        <v>2</v>
      </c>
      <c r="AN671" s="42" t="str">
        <v>Ghana</v>
      </c>
      <c r="AO671" s="42" t="str">
        <v>-</v>
      </c>
    </row>
    <row r="672" spans="24:41">
      <c r="X672" s="15">
        <v>670</v>
      </c>
      <c r="Y672" s="15" t="str">
        <v>Trézéguet</v>
      </c>
      <c r="Z672" s="15">
        <v>31</v>
      </c>
      <c r="AA672" s="15" t="str">
        <v>Egypt</v>
      </c>
      <c r="AB672" s="15" t="str">
        <v>LW</v>
      </c>
      <c r="AC672" s="15" t="str">
        <v>Al Ahly</v>
      </c>
      <c r="AD672" s="15">
        <v>7</v>
      </c>
      <c r="AF672" s="42">
        <v>2006</v>
      </c>
      <c r="AG672" s="42" t="str">
        <v xml:space="preserve">17 Jun 2006 - 21:00 </v>
      </c>
      <c r="AH672" s="42" t="str">
        <v>GROUP_STAGE</v>
      </c>
      <c r="AI672" s="42" t="str">
        <v>Fritz-Walter-Stadion</v>
      </c>
      <c r="AJ672" s="42" t="str">
        <v xml:space="preserve">Kaiserslautern </v>
      </c>
      <c r="AK672" s="42" t="str">
        <v>Italy</v>
      </c>
      <c r="AL672" s="42">
        <v>1</v>
      </c>
      <c r="AM672" s="42">
        <v>1</v>
      </c>
      <c r="AN672" s="42" t="str">
        <v>United States</v>
      </c>
      <c r="AO672" s="42" t="str">
        <v>-</v>
      </c>
    </row>
    <row r="673" spans="24:41">
      <c r="X673" s="15">
        <v>671</v>
      </c>
      <c r="Y673" s="15" t="str">
        <v>Haissem Hassan</v>
      </c>
      <c r="Z673" s="15">
        <v>24</v>
      </c>
      <c r="AA673" s="15" t="str">
        <v>Egypt</v>
      </c>
      <c r="AB673" s="15" t="str">
        <v>LW</v>
      </c>
      <c r="AC673" s="15" t="str">
        <v>Oviedo</v>
      </c>
      <c r="AD673" s="15">
        <v>12</v>
      </c>
      <c r="AF673" s="42">
        <v>2006</v>
      </c>
      <c r="AG673" s="42" t="str">
        <v xml:space="preserve">18 Jun 2006 - 15:00 </v>
      </c>
      <c r="AH673" s="42" t="str">
        <v>GROUP_STAGE</v>
      </c>
      <c r="AI673" s="42" t="str">
        <v>Franken-Stadion</v>
      </c>
      <c r="AJ673" s="42" t="str">
        <v xml:space="preserve">Nuremberg </v>
      </c>
      <c r="AK673" s="42" t="str">
        <v>Japan</v>
      </c>
      <c r="AL673" s="42">
        <v>0</v>
      </c>
      <c r="AM673" s="42">
        <v>0</v>
      </c>
      <c r="AN673" s="42" t="str">
        <v>Croatia</v>
      </c>
      <c r="AO673" s="42" t="str">
        <v>-</v>
      </c>
    </row>
    <row r="674" spans="24:41">
      <c r="X674" s="15">
        <v>672</v>
      </c>
      <c r="Y674" s="15" t="str">
        <v>Ibrahim Adel</v>
      </c>
      <c r="Z674" s="15">
        <v>25</v>
      </c>
      <c r="AA674" s="15" t="str">
        <v>Egypt</v>
      </c>
      <c r="AB674" s="15" t="str">
        <v>LW</v>
      </c>
      <c r="AC674" s="15" t="str">
        <v>Nordsjælland</v>
      </c>
      <c r="AD674" s="15">
        <v>20</v>
      </c>
      <c r="AF674" s="42">
        <v>2006</v>
      </c>
      <c r="AG674" s="42" t="str">
        <v xml:space="preserve">18 Jun 2006 - 18:00 </v>
      </c>
      <c r="AH674" s="42" t="str">
        <v>GROUP_STAGE</v>
      </c>
      <c r="AI674" s="42" t="str">
        <v>FIFA World Cup Stadium, Munich</v>
      </c>
      <c r="AJ674" s="42" t="str">
        <v xml:space="preserve">Munich </v>
      </c>
      <c r="AK674" s="42" t="str">
        <v>Brazil</v>
      </c>
      <c r="AL674" s="42">
        <v>2</v>
      </c>
      <c r="AM674" s="42">
        <v>0</v>
      </c>
      <c r="AN674" s="42" t="str">
        <v>Australia</v>
      </c>
      <c r="AO674" s="42" t="str">
        <v>-</v>
      </c>
    </row>
    <row r="675" spans="24:41">
      <c r="X675" s="15">
        <v>673</v>
      </c>
      <c r="Y675" s="15" t="str">
        <v>Mohamed Salah</v>
      </c>
      <c r="Z675" s="15">
        <v>33</v>
      </c>
      <c r="AA675" s="15" t="str">
        <v>Egypt</v>
      </c>
      <c r="AB675" s="15" t="str">
        <v>RW</v>
      </c>
      <c r="AC675" s="15" t="str">
        <v>Liverpool</v>
      </c>
      <c r="AD675" s="15">
        <v>10</v>
      </c>
      <c r="AF675" s="42">
        <v>2006</v>
      </c>
      <c r="AG675" s="42" t="str">
        <v xml:space="preserve">18 Jun 2006 - 21:00 </v>
      </c>
      <c r="AH675" s="42" t="str">
        <v>GROUP_STAGE</v>
      </c>
      <c r="AI675" s="42" t="str">
        <v>Zentralstadion</v>
      </c>
      <c r="AJ675" s="42" t="str">
        <v xml:space="preserve">Leipzig </v>
      </c>
      <c r="AK675" s="42" t="str">
        <v>France</v>
      </c>
      <c r="AL675" s="42">
        <v>1</v>
      </c>
      <c r="AM675" s="42">
        <v>1</v>
      </c>
      <c r="AN675" s="42" t="str">
        <v>South Korea</v>
      </c>
      <c r="AO675" s="42" t="str">
        <v>-</v>
      </c>
    </row>
    <row r="676" spans="24:41">
      <c r="X676" s="15">
        <v>674</v>
      </c>
      <c r="Y676" s="15" t="str">
        <v>Zizo</v>
      </c>
      <c r="Z676" s="15">
        <v>30</v>
      </c>
      <c r="AA676" s="15" t="str">
        <v>Egypt</v>
      </c>
      <c r="AB676" s="15" t="str">
        <v>RW</v>
      </c>
      <c r="AC676" s="15" t="str">
        <v>Al Ahly</v>
      </c>
      <c r="AD676" s="15">
        <v>25</v>
      </c>
      <c r="AF676" s="42">
        <v>2006</v>
      </c>
      <c r="AG676" s="42" t="str">
        <v xml:space="preserve">19 Jun 2006 - 15:00 </v>
      </c>
      <c r="AH676" s="42" t="str">
        <v>GROUP_STAGE</v>
      </c>
      <c r="AI676" s="42" t="str">
        <v>FIFA World Cup Stadium, Dortmund</v>
      </c>
      <c r="AJ676" s="42" t="str">
        <v xml:space="preserve">Dortmund </v>
      </c>
      <c r="AK676" s="42" t="str">
        <v>Togo</v>
      </c>
      <c r="AL676" s="42">
        <v>0</v>
      </c>
      <c r="AM676" s="42">
        <v>2</v>
      </c>
      <c r="AN676" s="42" t="str">
        <v>Switzerland</v>
      </c>
      <c r="AO676" s="42" t="str">
        <v>-</v>
      </c>
    </row>
    <row r="677" spans="24:41">
      <c r="X677" s="15">
        <v>675</v>
      </c>
      <c r="Y677" s="15" t="str">
        <v>Hamza Abdelkarim</v>
      </c>
      <c r="Z677" s="15">
        <v>18</v>
      </c>
      <c r="AA677" s="15" t="str">
        <v>Egypt</v>
      </c>
      <c r="AB677" s="15" t="str">
        <v>ST</v>
      </c>
      <c r="AC677" s="15" t="str">
        <v>Barcelona B</v>
      </c>
      <c r="AD677" s="15">
        <v>9</v>
      </c>
      <c r="AF677" s="42">
        <v>2006</v>
      </c>
      <c r="AG677" s="42" t="str">
        <v xml:space="preserve">19 Jun 2006 - 18:00 </v>
      </c>
      <c r="AH677" s="42" t="str">
        <v>GROUP_STAGE</v>
      </c>
      <c r="AI677" s="42" t="str">
        <v>FIFA World Cup Stadium, Hamburg</v>
      </c>
      <c r="AJ677" s="42" t="str">
        <v xml:space="preserve">Hamburg </v>
      </c>
      <c r="AK677" s="42" t="str">
        <v>Saudi Arabia</v>
      </c>
      <c r="AL677" s="42">
        <v>0</v>
      </c>
      <c r="AM677" s="42">
        <v>4</v>
      </c>
      <c r="AN677" s="42" t="str">
        <v>Ukraine</v>
      </c>
      <c r="AO677" s="42" t="str">
        <v>-</v>
      </c>
    </row>
    <row r="678" spans="24:41">
      <c r="X678" s="15">
        <v>676</v>
      </c>
      <c r="Y678" s="15" t="str">
        <v>Omar Marmoush</v>
      </c>
      <c r="Z678" s="15">
        <v>27</v>
      </c>
      <c r="AA678" s="15" t="str">
        <v>Egypt</v>
      </c>
      <c r="AB678" s="15" t="str">
        <v>ST</v>
      </c>
      <c r="AC678" s="15" t="str">
        <v>Manchester City</v>
      </c>
      <c r="AD678" s="15">
        <v>22</v>
      </c>
      <c r="AF678" s="42">
        <v>2006</v>
      </c>
      <c r="AG678" s="42" t="str">
        <v xml:space="preserve">19 Jun 2006 - 21:00 </v>
      </c>
      <c r="AH678" s="42" t="str">
        <v>GROUP_STAGE</v>
      </c>
      <c r="AI678" s="42" t="str">
        <v>Gottlieb-Daimler-Stadion</v>
      </c>
      <c r="AJ678" s="42" t="str">
        <v xml:space="preserve">Stuttgart </v>
      </c>
      <c r="AK678" s="42" t="str">
        <v>Spain</v>
      </c>
      <c r="AL678" s="42">
        <v>3</v>
      </c>
      <c r="AM678" s="42">
        <v>1</v>
      </c>
      <c r="AN678" s="42" t="str">
        <v>Tunisia</v>
      </c>
      <c r="AO678" s="42" t="str">
        <v>-</v>
      </c>
    </row>
    <row r="679" spans="24:41">
      <c r="X679" s="15">
        <v>677</v>
      </c>
      <c r="Y679" s="15" t="str">
        <v>Alireza Beiranvand</v>
      </c>
      <c r="Z679" s="15">
        <v>33</v>
      </c>
      <c r="AA679" s="15" t="str">
        <v>Iran</v>
      </c>
      <c r="AB679" s="15" t="str">
        <v>GK</v>
      </c>
      <c r="AC679" s="15" t="str">
        <v>Tractor</v>
      </c>
      <c r="AD679" s="15">
        <v>1</v>
      </c>
      <c r="AF679" s="42">
        <v>2006</v>
      </c>
      <c r="AG679" s="42" t="str">
        <v xml:space="preserve">20 Jun 2006 - 16:00 </v>
      </c>
      <c r="AH679" s="42" t="str">
        <v>GROUP_STAGE</v>
      </c>
      <c r="AI679" s="42" t="str">
        <v>Olympiastadion</v>
      </c>
      <c r="AJ679" s="42" t="str">
        <v xml:space="preserve">Berlin </v>
      </c>
      <c r="AK679" s="42" t="str">
        <v>Ecuador</v>
      </c>
      <c r="AL679" s="42">
        <v>0</v>
      </c>
      <c r="AM679" s="42">
        <v>3</v>
      </c>
      <c r="AN679" s="42" t="str">
        <v>Germany</v>
      </c>
      <c r="AO679" s="42" t="str">
        <v>-</v>
      </c>
    </row>
    <row r="680" spans="24:41">
      <c r="X680" s="15">
        <v>678</v>
      </c>
      <c r="Y680" s="15" t="str">
        <v>Payam Niazmand</v>
      </c>
      <c r="Z680" s="15">
        <v>31</v>
      </c>
      <c r="AA680" s="15" t="str">
        <v>Iran</v>
      </c>
      <c r="AB680" s="15" t="str">
        <v>GK</v>
      </c>
      <c r="AC680" s="15" t="str">
        <v>Persepolis</v>
      </c>
      <c r="AD680" s="15">
        <v>12</v>
      </c>
      <c r="AF680" s="42">
        <v>2006</v>
      </c>
      <c r="AG680" s="42" t="str">
        <v xml:space="preserve">20 Jun 2006 - 16:00 </v>
      </c>
      <c r="AH680" s="42" t="str">
        <v>GROUP_STAGE</v>
      </c>
      <c r="AI680" s="42" t="str">
        <v>FIFA World Cup Stadium, Hanover</v>
      </c>
      <c r="AJ680" s="42" t="str">
        <v xml:space="preserve">Hanover </v>
      </c>
      <c r="AK680" s="42" t="str">
        <v>Costa Rica</v>
      </c>
      <c r="AL680" s="42">
        <v>1</v>
      </c>
      <c r="AM680" s="42">
        <v>2</v>
      </c>
      <c r="AN680" s="42" t="str">
        <v>Poland</v>
      </c>
      <c r="AO680" s="42" t="str">
        <v>-</v>
      </c>
    </row>
    <row r="681" spans="24:41">
      <c r="X681" s="15">
        <v>679</v>
      </c>
      <c r="Y681" s="15" t="str">
        <v>Hossein Hosseini</v>
      </c>
      <c r="Z681" s="15">
        <v>33</v>
      </c>
      <c r="AA681" s="15" t="str">
        <v>Iran</v>
      </c>
      <c r="AB681" s="15" t="str">
        <v>GK</v>
      </c>
      <c r="AC681" s="15" t="str">
        <v>Sepahan</v>
      </c>
      <c r="AD681" s="15">
        <v>22</v>
      </c>
      <c r="AF681" s="42">
        <v>2006</v>
      </c>
      <c r="AG681" s="42" t="str">
        <v xml:space="preserve">20 Jun 2006 - 21:00 </v>
      </c>
      <c r="AH681" s="42" t="str">
        <v>GROUP_STAGE</v>
      </c>
      <c r="AI681" s="42" t="str">
        <v>FIFA World Cup Stadium, Cologne</v>
      </c>
      <c r="AJ681" s="42" t="str">
        <v xml:space="preserve">Cologne </v>
      </c>
      <c r="AK681" s="42" t="str">
        <v>Sweden</v>
      </c>
      <c r="AL681" s="42">
        <v>2</v>
      </c>
      <c r="AM681" s="42">
        <v>2</v>
      </c>
      <c r="AN681" s="42" t="str">
        <v>England</v>
      </c>
      <c r="AO681" s="42" t="str">
        <v>-</v>
      </c>
    </row>
    <row r="682" spans="24:41">
      <c r="X682" s="15">
        <v>680</v>
      </c>
      <c r="Y682" s="15" t="str">
        <v>Shojae Khalilzadeh</v>
      </c>
      <c r="Z682" s="15">
        <v>37</v>
      </c>
      <c r="AA682" s="15" t="str">
        <v>Iran</v>
      </c>
      <c r="AB682" s="15" t="str">
        <v>CB</v>
      </c>
      <c r="AC682" s="15" t="str">
        <v>Tractor</v>
      </c>
      <c r="AD682" s="15">
        <v>4</v>
      </c>
      <c r="AF682" s="42">
        <v>2006</v>
      </c>
      <c r="AG682" s="42" t="str">
        <v xml:space="preserve">20 Jun 2006 - 21:00 </v>
      </c>
      <c r="AH682" s="42" t="str">
        <v>GROUP_STAGE</v>
      </c>
      <c r="AI682" s="42" t="str">
        <v>Fritz-Walter-Stadion</v>
      </c>
      <c r="AJ682" s="42" t="str">
        <v xml:space="preserve">Kaiserslautern </v>
      </c>
      <c r="AK682" s="42" t="str">
        <v>Paraguay</v>
      </c>
      <c r="AL682" s="42">
        <v>2</v>
      </c>
      <c r="AM682" s="42">
        <v>0</v>
      </c>
      <c r="AN682" s="42" t="str">
        <v>Trinidad and Tobago</v>
      </c>
      <c r="AO682" s="42" t="str">
        <v>-</v>
      </c>
    </row>
    <row r="683" spans="24:41">
      <c r="X683" s="15">
        <v>681</v>
      </c>
      <c r="Y683" s="15" t="str">
        <v>Hossein Kanaanizadegan</v>
      </c>
      <c r="Z683" s="15">
        <v>32</v>
      </c>
      <c r="AA683" s="15" t="str">
        <v>Iran</v>
      </c>
      <c r="AB683" s="15" t="str">
        <v>CB</v>
      </c>
      <c r="AC683" s="15" t="str">
        <v>Persepolis</v>
      </c>
      <c r="AD683" s="15">
        <v>13</v>
      </c>
      <c r="AF683" s="42">
        <v>2006</v>
      </c>
      <c r="AG683" s="42" t="str">
        <v xml:space="preserve">21 Jun 2006 - 16:00 </v>
      </c>
      <c r="AH683" s="42" t="str">
        <v>GROUP_STAGE</v>
      </c>
      <c r="AI683" s="42" t="str">
        <v>Zentralstadion</v>
      </c>
      <c r="AJ683" s="42" t="str">
        <v xml:space="preserve">Leipzig </v>
      </c>
      <c r="AK683" s="42" t="str">
        <v>Iran</v>
      </c>
      <c r="AL683" s="42">
        <v>1</v>
      </c>
      <c r="AM683" s="42">
        <v>1</v>
      </c>
      <c r="AN683" s="42" t="str">
        <v>Angola</v>
      </c>
      <c r="AO683" s="42" t="str">
        <v>-</v>
      </c>
    </row>
    <row r="684" spans="24:41">
      <c r="X684" s="15">
        <v>682</v>
      </c>
      <c r="Y684" s="15" t="str">
        <v>Ali Nemati</v>
      </c>
      <c r="Z684" s="15">
        <v>30</v>
      </c>
      <c r="AA684" s="15" t="str">
        <v>Iran</v>
      </c>
      <c r="AB684" s="15" t="str">
        <v>CB</v>
      </c>
      <c r="AC684" s="15" t="str">
        <v>Foolad</v>
      </c>
      <c r="AD684" s="15">
        <v>19</v>
      </c>
      <c r="AF684" s="42">
        <v>2006</v>
      </c>
      <c r="AG684" s="42" t="str">
        <v xml:space="preserve">21 Jun 2006 - 16:00 </v>
      </c>
      <c r="AH684" s="42" t="str">
        <v>GROUP_STAGE</v>
      </c>
      <c r="AI684" s="42" t="str">
        <v>FIFA World Cup Stadium, Gelsenkirchen</v>
      </c>
      <c r="AJ684" s="42" t="str">
        <v xml:space="preserve">Gelsenkirchen </v>
      </c>
      <c r="AK684" s="42" t="str">
        <v>Portugal</v>
      </c>
      <c r="AL684" s="42">
        <v>2</v>
      </c>
      <c r="AM684" s="42">
        <v>1</v>
      </c>
      <c r="AN684" s="42" t="str">
        <v>Mexico</v>
      </c>
      <c r="AO684" s="42" t="str">
        <v>-</v>
      </c>
    </row>
    <row r="685" spans="24:41">
      <c r="X685" s="15">
        <v>683</v>
      </c>
      <c r="Y685" s="15" t="str">
        <v>Danial Eiri</v>
      </c>
      <c r="Z685" s="15">
        <v>22</v>
      </c>
      <c r="AA685" s="15" t="str">
        <v>Iran</v>
      </c>
      <c r="AB685" s="15" t="str">
        <v>CB</v>
      </c>
      <c r="AC685" s="15" t="str">
        <v>Malavan</v>
      </c>
      <c r="AD685" s="15">
        <v>25</v>
      </c>
      <c r="AF685" s="42">
        <v>2006</v>
      </c>
      <c r="AG685" s="42" t="str">
        <v xml:space="preserve">21 Jun 2006 - 21:00 </v>
      </c>
      <c r="AH685" s="42" t="str">
        <v>GROUP_STAGE</v>
      </c>
      <c r="AI685" s="42" t="str">
        <v>FIFA World Cup Stadium, Frankfurt</v>
      </c>
      <c r="AJ685" s="42" t="str">
        <v xml:space="preserve">Frankfurt/Main </v>
      </c>
      <c r="AK685" s="42" t="str">
        <v>Netherlands</v>
      </c>
      <c r="AL685" s="42">
        <v>0</v>
      </c>
      <c r="AM685" s="42">
        <v>0</v>
      </c>
      <c r="AN685" s="42" t="str">
        <v>Argentina</v>
      </c>
      <c r="AO685" s="42" t="str">
        <v>-</v>
      </c>
    </row>
    <row r="686" spans="24:41">
      <c r="X686" s="15">
        <v>684</v>
      </c>
      <c r="Y686" s="15" t="str">
        <v>Ehsan Hajsafi</v>
      </c>
      <c r="Z686" s="15">
        <v>36</v>
      </c>
      <c r="AA686" s="15" t="str">
        <v>Iran</v>
      </c>
      <c r="AB686" s="15" t="str">
        <v>LB</v>
      </c>
      <c r="AC686" s="15" t="str">
        <v>Sepahan</v>
      </c>
      <c r="AD686" s="15">
        <v>3</v>
      </c>
      <c r="AF686" s="42">
        <v>2006</v>
      </c>
      <c r="AG686" s="42" t="str">
        <v xml:space="preserve">21 Jun 2006 - 21:00 </v>
      </c>
      <c r="AH686" s="42" t="str">
        <v>GROUP_STAGE</v>
      </c>
      <c r="AI686" s="42" t="str">
        <v>FIFA World Cup Stadium, Munich</v>
      </c>
      <c r="AJ686" s="42" t="str">
        <v xml:space="preserve">Munich </v>
      </c>
      <c r="AK686" s="42" t="str">
        <v>Côte d'Ivoire</v>
      </c>
      <c r="AL686" s="42">
        <v>3</v>
      </c>
      <c r="AM686" s="42">
        <v>2</v>
      </c>
      <c r="AN686" s="42" t="str">
        <v>Serbia and Montenegro</v>
      </c>
      <c r="AO686" s="42" t="str">
        <v>-</v>
      </c>
    </row>
    <row r="687" spans="24:41">
      <c r="X687" s="15">
        <v>685</v>
      </c>
      <c r="Y687" s="15" t="str">
        <v>Milad Mohammadi</v>
      </c>
      <c r="Z687" s="15">
        <v>32</v>
      </c>
      <c r="AA687" s="15" t="str">
        <v>Iran</v>
      </c>
      <c r="AB687" s="15" t="str">
        <v>LB</v>
      </c>
      <c r="AC687" s="15" t="str">
        <v>Persepolis</v>
      </c>
      <c r="AD687" s="15">
        <v>5</v>
      </c>
      <c r="AF687" s="42">
        <v>2006</v>
      </c>
      <c r="AG687" s="42" t="str">
        <v xml:space="preserve">22 Jun 2006 - 16:00 </v>
      </c>
      <c r="AH687" s="42" t="str">
        <v>GROUP_STAGE</v>
      </c>
      <c r="AI687" s="42" t="str">
        <v>FIFA World Cup Stadium, Hamburg</v>
      </c>
      <c r="AJ687" s="42" t="str">
        <v xml:space="preserve">Hamburg </v>
      </c>
      <c r="AK687" s="42" t="str">
        <v>Czech Republic</v>
      </c>
      <c r="AL687" s="42">
        <v>0</v>
      </c>
      <c r="AM687" s="42">
        <v>2</v>
      </c>
      <c r="AN687" s="42" t="str">
        <v>Italy</v>
      </c>
      <c r="AO687" s="42" t="str">
        <v>-</v>
      </c>
    </row>
    <row r="688" spans="24:41">
      <c r="X688" s="15">
        <v>686</v>
      </c>
      <c r="Y688" s="15" t="str">
        <v>Saleh Hardani</v>
      </c>
      <c r="Z688" s="15">
        <v>27</v>
      </c>
      <c r="AA688" s="15" t="str">
        <v>Iran</v>
      </c>
      <c r="AB688" s="15" t="str">
        <v>RB</v>
      </c>
      <c r="AC688" s="15" t="str">
        <v>Esteghlal</v>
      </c>
      <c r="AD688" s="15">
        <v>2</v>
      </c>
      <c r="AF688" s="42">
        <v>2006</v>
      </c>
      <c r="AG688" s="42" t="str">
        <v xml:space="preserve">22 Jun 2006 - 16:00 </v>
      </c>
      <c r="AH688" s="42" t="str">
        <v>GROUP_STAGE</v>
      </c>
      <c r="AI688" s="42" t="str">
        <v>Franken-Stadion</v>
      </c>
      <c r="AJ688" s="42" t="str">
        <v xml:space="preserve">Nuremberg </v>
      </c>
      <c r="AK688" s="42" t="str">
        <v>Ghana</v>
      </c>
      <c r="AL688" s="42">
        <v>2</v>
      </c>
      <c r="AM688" s="42">
        <v>1</v>
      </c>
      <c r="AN688" s="42" t="str">
        <v>United States</v>
      </c>
      <c r="AO688" s="42" t="str">
        <v>-</v>
      </c>
    </row>
    <row r="689" spans="24:41">
      <c r="X689" s="15">
        <v>687</v>
      </c>
      <c r="Y689" s="15" t="str">
        <v>Arya Yousefi</v>
      </c>
      <c r="Z689" s="15">
        <v>24</v>
      </c>
      <c r="AA689" s="15" t="str">
        <v>Iran</v>
      </c>
      <c r="AB689" s="15" t="str">
        <v>RB</v>
      </c>
      <c r="AC689" s="15" t="str">
        <v>Sepahan</v>
      </c>
      <c r="AD689" s="15">
        <v>17</v>
      </c>
      <c r="AF689" s="42">
        <v>2006</v>
      </c>
      <c r="AG689" s="42" t="str">
        <v xml:space="preserve">22 Jun 2006 - 21:00 </v>
      </c>
      <c r="AH689" s="42" t="str">
        <v>GROUP_STAGE</v>
      </c>
      <c r="AI689" s="42" t="str">
        <v>FIFA World Cup Stadium, Dortmund</v>
      </c>
      <c r="AJ689" s="42" t="str">
        <v xml:space="preserve">Dortmund </v>
      </c>
      <c r="AK689" s="42" t="str">
        <v>Japan</v>
      </c>
      <c r="AL689" s="42">
        <v>1</v>
      </c>
      <c r="AM689" s="42">
        <v>4</v>
      </c>
      <c r="AN689" s="42" t="str">
        <v>Brazil</v>
      </c>
      <c r="AO689" s="42" t="str">
        <v>-</v>
      </c>
    </row>
    <row r="690" spans="24:41">
      <c r="X690" s="15">
        <v>688</v>
      </c>
      <c r="Y690" s="15" t="str">
        <v>Ramin Rezaeian</v>
      </c>
      <c r="Z690" s="15">
        <v>36</v>
      </c>
      <c r="AA690" s="15" t="str">
        <v>Iran</v>
      </c>
      <c r="AB690" s="15" t="str">
        <v>RB</v>
      </c>
      <c r="AC690" s="15" t="str">
        <v>Foolad</v>
      </c>
      <c r="AD690" s="15">
        <v>23</v>
      </c>
      <c r="AF690" s="42">
        <v>2006</v>
      </c>
      <c r="AG690" s="42" t="str">
        <v xml:space="preserve">22 Jun 2006 - 21:00 </v>
      </c>
      <c r="AH690" s="42" t="str">
        <v>GROUP_STAGE</v>
      </c>
      <c r="AI690" s="42" t="str">
        <v>Gottlieb-Daimler-Stadion</v>
      </c>
      <c r="AJ690" s="42" t="str">
        <v xml:space="preserve">Stuttgart </v>
      </c>
      <c r="AK690" s="42" t="str">
        <v>Croatia</v>
      </c>
      <c r="AL690" s="42">
        <v>2</v>
      </c>
      <c r="AM690" s="42">
        <v>2</v>
      </c>
      <c r="AN690" s="42" t="str">
        <v>Australia</v>
      </c>
      <c r="AO690" s="42" t="str">
        <v>-</v>
      </c>
    </row>
    <row r="691" spans="24:41">
      <c r="X691" s="15">
        <v>689</v>
      </c>
      <c r="Y691" s="15" t="str">
        <v>Saeid Ezatolahi</v>
      </c>
      <c r="Z691" s="15">
        <v>29</v>
      </c>
      <c r="AA691" s="15" t="str">
        <v>Iran</v>
      </c>
      <c r="AB691" s="15" t="str">
        <v>CDM</v>
      </c>
      <c r="AC691" s="15" t="str">
        <v>Shabab Al Ahli</v>
      </c>
      <c r="AD691" s="15">
        <v>6</v>
      </c>
      <c r="AF691" s="42">
        <v>2006</v>
      </c>
      <c r="AG691" s="42" t="str">
        <v xml:space="preserve">23 Jun 2006 - 16:00 </v>
      </c>
      <c r="AH691" s="42" t="str">
        <v>GROUP_STAGE</v>
      </c>
      <c r="AI691" s="42" t="str">
        <v>Olympiastadion</v>
      </c>
      <c r="AJ691" s="42" t="str">
        <v xml:space="preserve">Berlin </v>
      </c>
      <c r="AK691" s="42" t="str">
        <v>Ukraine</v>
      </c>
      <c r="AL691" s="42">
        <v>1</v>
      </c>
      <c r="AM691" s="42">
        <v>0</v>
      </c>
      <c r="AN691" s="42" t="str">
        <v>Tunisia</v>
      </c>
      <c r="AO691" s="42" t="str">
        <v>-</v>
      </c>
    </row>
    <row r="692" spans="24:41">
      <c r="X692" s="15">
        <v>690</v>
      </c>
      <c r="Y692" s="15" t="str">
        <v>Rouzbeh Cheshmi</v>
      </c>
      <c r="Z692" s="15">
        <v>32</v>
      </c>
      <c r="AA692" s="15" t="str">
        <v>Iran</v>
      </c>
      <c r="AB692" s="15" t="str">
        <v>CDM</v>
      </c>
      <c r="AC692" s="15" t="str">
        <v>Esteghlal</v>
      </c>
      <c r="AD692" s="15">
        <v>15</v>
      </c>
      <c r="AF692" s="42">
        <v>2006</v>
      </c>
      <c r="AG692" s="42" t="str">
        <v xml:space="preserve">23 Jun 2006 - 16:00 </v>
      </c>
      <c r="AH692" s="42" t="str">
        <v>GROUP_STAGE</v>
      </c>
      <c r="AI692" s="42" t="str">
        <v>Fritz-Walter-Stadion</v>
      </c>
      <c r="AJ692" s="42" t="str">
        <v xml:space="preserve">Kaiserslautern </v>
      </c>
      <c r="AK692" s="42" t="str">
        <v>Saudi Arabia</v>
      </c>
      <c r="AL692" s="42">
        <v>0</v>
      </c>
      <c r="AM692" s="42">
        <v>1</v>
      </c>
      <c r="AN692" s="42" t="str">
        <v>Spain</v>
      </c>
      <c r="AO692" s="42" t="str">
        <v>-</v>
      </c>
    </row>
    <row r="693" spans="24:41">
      <c r="X693" s="15">
        <v>691</v>
      </c>
      <c r="Y693" s="15" t="str">
        <v>Mohammad Ghorbani</v>
      </c>
      <c r="Z693" s="15">
        <v>24</v>
      </c>
      <c r="AA693" s="15" t="str">
        <v>Iran</v>
      </c>
      <c r="AB693" s="15" t="str">
        <v>CM</v>
      </c>
      <c r="AC693" s="15" t="str">
        <v>Al Wahda</v>
      </c>
      <c r="AD693" s="15">
        <v>21</v>
      </c>
      <c r="AF693" s="42">
        <v>2006</v>
      </c>
      <c r="AG693" s="42" t="str">
        <v xml:space="preserve">23 Jun 2006 - 21:00 </v>
      </c>
      <c r="AH693" s="42" t="str">
        <v>GROUP_STAGE</v>
      </c>
      <c r="AI693" s="42" t="str">
        <v>FIFA World Cup Stadium, Cologne</v>
      </c>
      <c r="AJ693" s="42" t="str">
        <v xml:space="preserve">Cologne </v>
      </c>
      <c r="AK693" s="42" t="str">
        <v>Togo</v>
      </c>
      <c r="AL693" s="42">
        <v>0</v>
      </c>
      <c r="AM693" s="42">
        <v>2</v>
      </c>
      <c r="AN693" s="42" t="str">
        <v>France</v>
      </c>
      <c r="AO693" s="42" t="str">
        <v>-</v>
      </c>
    </row>
    <row r="694" spans="24:41">
      <c r="X694" s="15">
        <v>692</v>
      </c>
      <c r="Y694" s="15" t="str">
        <v>Amirmohammad Razzaghinia</v>
      </c>
      <c r="Z694" s="15">
        <v>20</v>
      </c>
      <c r="AA694" s="15" t="str">
        <v>Iran</v>
      </c>
      <c r="AB694" s="15" t="str">
        <v>CM</v>
      </c>
      <c r="AC694" s="15" t="str">
        <v>Esteghlal</v>
      </c>
      <c r="AD694" s="15">
        <v>26</v>
      </c>
      <c r="AF694" s="42">
        <v>2006</v>
      </c>
      <c r="AG694" s="42" t="str">
        <v xml:space="preserve">23 Jun 2006 - 21:00 </v>
      </c>
      <c r="AH694" s="42" t="str">
        <v>GROUP_STAGE</v>
      </c>
      <c r="AI694" s="42" t="str">
        <v>FIFA World Cup Stadium, Hanover</v>
      </c>
      <c r="AJ694" s="42" t="str">
        <v xml:space="preserve">Hanover </v>
      </c>
      <c r="AK694" s="42" t="str">
        <v>Switzerland</v>
      </c>
      <c r="AL694" s="42">
        <v>2</v>
      </c>
      <c r="AM694" s="42">
        <v>0</v>
      </c>
      <c r="AN694" s="42" t="str">
        <v>South Korea</v>
      </c>
      <c r="AO694" s="42" t="str">
        <v>-</v>
      </c>
    </row>
    <row r="695" spans="24:41">
      <c r="X695" s="15">
        <v>693</v>
      </c>
      <c r="Y695" s="15" t="str">
        <v>Saman Ghoddos</v>
      </c>
      <c r="Z695" s="15">
        <v>32</v>
      </c>
      <c r="AA695" s="15" t="str">
        <v>Iran</v>
      </c>
      <c r="AB695" s="15" t="str">
        <v>CAM</v>
      </c>
      <c r="AC695" s="15" t="str">
        <v>Kalba</v>
      </c>
      <c r="AD695" s="15">
        <v>14</v>
      </c>
      <c r="AF695" s="42">
        <v>2006</v>
      </c>
      <c r="AG695" s="42" t="str">
        <v xml:space="preserve">24 Jun 2006 - 17:00 </v>
      </c>
      <c r="AH695" s="42" t="str">
        <v>ROUND_OF_16</v>
      </c>
      <c r="AI695" s="42" t="str">
        <v>FIFA World Cup Stadium, Munich</v>
      </c>
      <c r="AJ695" s="42" t="str">
        <v xml:space="preserve">Munich </v>
      </c>
      <c r="AK695" s="42" t="str">
        <v>Germany</v>
      </c>
      <c r="AL695" s="42">
        <v>2</v>
      </c>
      <c r="AM695" s="42">
        <v>0</v>
      </c>
      <c r="AN695" s="42" t="str">
        <v>Sweden</v>
      </c>
      <c r="AO695" s="42" t="str">
        <v>-</v>
      </c>
    </row>
    <row r="696" spans="24:41">
      <c r="X696" s="15">
        <v>694</v>
      </c>
      <c r="Y696" s="15" t="str">
        <v>Mohammad Mohebi</v>
      </c>
      <c r="Z696" s="15">
        <v>27</v>
      </c>
      <c r="AA696" s="15" t="str">
        <v>Iran</v>
      </c>
      <c r="AB696" s="15" t="str">
        <v>LW</v>
      </c>
      <c r="AC696" s="15" t="str">
        <v>Rostov</v>
      </c>
      <c r="AD696" s="15">
        <v>8</v>
      </c>
      <c r="AF696" s="42">
        <v>2006</v>
      </c>
      <c r="AG696" s="42" t="str">
        <v xml:space="preserve">24 Jun 2006 - 21:00 </v>
      </c>
      <c r="AH696" s="42" t="str">
        <v>ROUND_OF_16</v>
      </c>
      <c r="AI696" s="42" t="str">
        <v>Zentralstadion</v>
      </c>
      <c r="AJ696" s="42" t="str">
        <v xml:space="preserve">Leipzig </v>
      </c>
      <c r="AK696" s="42" t="str">
        <v>Argentina</v>
      </c>
      <c r="AL696" s="42">
        <v>2</v>
      </c>
      <c r="AM696" s="42">
        <v>1</v>
      </c>
      <c r="AN696" s="42" t="str">
        <v>Mexico</v>
      </c>
      <c r="AO696" s="42" t="str">
        <v>Argentina win after extra time</v>
      </c>
    </row>
    <row r="697" spans="24:41">
      <c r="X697" s="15">
        <v>695</v>
      </c>
      <c r="Y697" s="15" t="str">
        <v>Mehdi Ghayedi</v>
      </c>
      <c r="Z697" s="15">
        <v>27</v>
      </c>
      <c r="AA697" s="15" t="str">
        <v>Iran</v>
      </c>
      <c r="AB697" s="15" t="str">
        <v>LW</v>
      </c>
      <c r="AC697" s="15" t="str">
        <v>Al Nasr</v>
      </c>
      <c r="AD697" s="15">
        <v>10</v>
      </c>
      <c r="AF697" s="42">
        <v>2006</v>
      </c>
      <c r="AG697" s="42" t="str">
        <v xml:space="preserve">25 Jun 2006 - 17:00 </v>
      </c>
      <c r="AH697" s="42" t="str">
        <v>ROUND_OF_16</v>
      </c>
      <c r="AI697" s="42" t="str">
        <v>Gottlieb-Daimler-Stadion</v>
      </c>
      <c r="AJ697" s="42" t="str">
        <v xml:space="preserve">Stuttgart </v>
      </c>
      <c r="AK697" s="42" t="str">
        <v>England</v>
      </c>
      <c r="AL697" s="42">
        <v>1</v>
      </c>
      <c r="AM697" s="42">
        <v>0</v>
      </c>
      <c r="AN697" s="42" t="str">
        <v>Ecuador</v>
      </c>
      <c r="AO697" s="42" t="str">
        <v>-</v>
      </c>
    </row>
    <row r="698" spans="24:41">
      <c r="X698" s="15">
        <v>696</v>
      </c>
      <c r="Y698" s="15" t="str">
        <v>Mahdi Torabi</v>
      </c>
      <c r="Z698" s="15">
        <v>31</v>
      </c>
      <c r="AA698" s="15" t="str">
        <v>Iran</v>
      </c>
      <c r="AB698" s="15" t="str">
        <v>LW</v>
      </c>
      <c r="AC698" s="15" t="str">
        <v>Tractor</v>
      </c>
      <c r="AD698" s="15">
        <v>16</v>
      </c>
      <c r="AF698" s="42">
        <v>2006</v>
      </c>
      <c r="AG698" s="42" t="str">
        <v xml:space="preserve">25 Jun 2006 - 21:00 </v>
      </c>
      <c r="AH698" s="42" t="str">
        <v>ROUND_OF_16</v>
      </c>
      <c r="AI698" s="42" t="str">
        <v>Franken-Stadion</v>
      </c>
      <c r="AJ698" s="42" t="str">
        <v xml:space="preserve">Nuremberg </v>
      </c>
      <c r="AK698" s="42" t="str">
        <v>Portugal</v>
      </c>
      <c r="AL698" s="42">
        <v>1</v>
      </c>
      <c r="AM698" s="42">
        <v>0</v>
      </c>
      <c r="AN698" s="42" t="str">
        <v>Netherlands</v>
      </c>
      <c r="AO698" s="42" t="str">
        <v>-</v>
      </c>
    </row>
    <row r="699" spans="24:41">
      <c r="X699" s="15">
        <v>697</v>
      </c>
      <c r="Y699" s="15" t="str">
        <v>Alireza Jahanbakhsh</v>
      </c>
      <c r="Z699" s="15">
        <v>32</v>
      </c>
      <c r="AA699" s="15" t="str">
        <v>Iran</v>
      </c>
      <c r="AB699" s="15" t="str">
        <v>RW</v>
      </c>
      <c r="AC699" s="15" t="str">
        <v>Dender EH</v>
      </c>
      <c r="AD699" s="15">
        <v>7</v>
      </c>
      <c r="AF699" s="42">
        <v>2006</v>
      </c>
      <c r="AG699" s="42" t="str">
        <v xml:space="preserve">26 Jun 2006 - 17:00 </v>
      </c>
      <c r="AH699" s="42" t="str">
        <v>ROUND_OF_16</v>
      </c>
      <c r="AI699" s="42" t="str">
        <v>Fritz-Walter-Stadion</v>
      </c>
      <c r="AJ699" s="42" t="str">
        <v xml:space="preserve">Kaiserslautern </v>
      </c>
      <c r="AK699" s="42" t="str">
        <v>Italy</v>
      </c>
      <c r="AL699" s="42">
        <v>1</v>
      </c>
      <c r="AM699" s="42">
        <v>0</v>
      </c>
      <c r="AN699" s="42" t="str">
        <v>Australia</v>
      </c>
      <c r="AO699" s="42" t="str">
        <v>-</v>
      </c>
    </row>
    <row r="700" spans="24:41">
      <c r="X700" s="15">
        <v>698</v>
      </c>
      <c r="Y700" s="15" t="str">
        <v>Amirhossein Hosseinzadeh</v>
      </c>
      <c r="Z700" s="15">
        <v>25</v>
      </c>
      <c r="AA700" s="15" t="str">
        <v>Iran</v>
      </c>
      <c r="AB700" s="15" t="str">
        <v>RW</v>
      </c>
      <c r="AC700" s="15" t="str">
        <v>Tractor</v>
      </c>
      <c r="AD700" s="15">
        <v>18</v>
      </c>
      <c r="AF700" s="42">
        <v>2006</v>
      </c>
      <c r="AG700" s="42" t="str">
        <v xml:space="preserve">26 Jun 2006 - 21:00 </v>
      </c>
      <c r="AH700" s="42" t="str">
        <v>ROUND_OF_16</v>
      </c>
      <c r="AI700" s="42" t="str">
        <v>FIFA World Cup Stadium, Cologne</v>
      </c>
      <c r="AJ700" s="42" t="str">
        <v xml:space="preserve">Cologne </v>
      </c>
      <c r="AK700" s="42" t="str">
        <v>Switzerland</v>
      </c>
      <c r="AL700" s="42">
        <v>0</v>
      </c>
      <c r="AM700" s="42">
        <v>0</v>
      </c>
      <c r="AN700" s="42" t="str">
        <v>Ukraine</v>
      </c>
      <c r="AO700" s="42" t="str">
        <v>Ukraine win on penalties (0 - 3)</v>
      </c>
    </row>
    <row r="701" spans="24:41">
      <c r="X701" s="15">
        <v>699</v>
      </c>
      <c r="Y701" s="15" t="str">
        <v>Mehdi Taremi</v>
      </c>
      <c r="Z701" s="15">
        <v>33</v>
      </c>
      <c r="AA701" s="15" t="str">
        <v>Iran</v>
      </c>
      <c r="AB701" s="15" t="str">
        <v>ST</v>
      </c>
      <c r="AC701" s="15" t="str">
        <v>Olympiacos</v>
      </c>
      <c r="AD701" s="15">
        <v>9</v>
      </c>
      <c r="AF701" s="42">
        <v>2006</v>
      </c>
      <c r="AG701" s="42" t="str">
        <v xml:space="preserve">27 Jun 2006 - 17:00 </v>
      </c>
      <c r="AH701" s="42" t="str">
        <v>ROUND_OF_16</v>
      </c>
      <c r="AI701" s="42" t="str">
        <v>FIFA World Cup Stadium, Dortmund</v>
      </c>
      <c r="AJ701" s="42" t="str">
        <v xml:space="preserve">Dortmund </v>
      </c>
      <c r="AK701" s="42" t="str">
        <v>Brazil</v>
      </c>
      <c r="AL701" s="42">
        <v>3</v>
      </c>
      <c r="AM701" s="42">
        <v>0</v>
      </c>
      <c r="AN701" s="42" t="str">
        <v>Ghana</v>
      </c>
      <c r="AO701" s="42" t="str">
        <v>-</v>
      </c>
    </row>
    <row r="702" spans="24:41">
      <c r="X702" s="15">
        <v>700</v>
      </c>
      <c r="Y702" s="15" t="str">
        <v>Ali Alipour</v>
      </c>
      <c r="Z702" s="15">
        <v>30</v>
      </c>
      <c r="AA702" s="15" t="str">
        <v>Iran</v>
      </c>
      <c r="AB702" s="15" t="str">
        <v>ST</v>
      </c>
      <c r="AC702" s="15" t="str">
        <v>Persepolis</v>
      </c>
      <c r="AD702" s="15">
        <v>11</v>
      </c>
      <c r="AF702" s="42">
        <v>2006</v>
      </c>
      <c r="AG702" s="42" t="str">
        <v xml:space="preserve">27 Jun 2006 - 21:00 </v>
      </c>
      <c r="AH702" s="42" t="str">
        <v>ROUND_OF_16</v>
      </c>
      <c r="AI702" s="42" t="str">
        <v>FIFA World Cup Stadium, Hanover</v>
      </c>
      <c r="AJ702" s="42" t="str">
        <v xml:space="preserve">Hanover </v>
      </c>
      <c r="AK702" s="42" t="str">
        <v>Spain</v>
      </c>
      <c r="AL702" s="42">
        <v>1</v>
      </c>
      <c r="AM702" s="42">
        <v>3</v>
      </c>
      <c r="AN702" s="42" t="str">
        <v>France</v>
      </c>
      <c r="AO702" s="42" t="str">
        <v>-</v>
      </c>
    </row>
    <row r="703" spans="24:41">
      <c r="X703" s="15">
        <v>701</v>
      </c>
      <c r="Y703" s="15" t="str">
        <v>Shahriyar Moghanlou</v>
      </c>
      <c r="Z703" s="15">
        <v>31</v>
      </c>
      <c r="AA703" s="15" t="str">
        <v>Iran</v>
      </c>
      <c r="AB703" s="15" t="str">
        <v>ST</v>
      </c>
      <c r="AC703" s="15" t="str">
        <v>Kalba</v>
      </c>
      <c r="AD703" s="15">
        <v>20</v>
      </c>
      <c r="AF703" s="42">
        <v>2006</v>
      </c>
      <c r="AG703" s="42" t="str">
        <v xml:space="preserve">30 Jun 2006 - 17:00 </v>
      </c>
      <c r="AH703" s="42" t="str">
        <v>QUARTER_FINALS</v>
      </c>
      <c r="AI703" s="42" t="str">
        <v>Olympiastadion</v>
      </c>
      <c r="AJ703" s="42" t="str">
        <v xml:space="preserve">Berlin </v>
      </c>
      <c r="AK703" s="42" t="str">
        <v>Germany</v>
      </c>
      <c r="AL703" s="42">
        <v>1</v>
      </c>
      <c r="AM703" s="42">
        <v>1</v>
      </c>
      <c r="AN703" s="42" t="str">
        <v>Argentina</v>
      </c>
      <c r="AO703" s="42" t="str">
        <v>Germany win on penalties (4 - 2)</v>
      </c>
    </row>
    <row r="704" spans="24:41">
      <c r="X704" s="15">
        <v>702</v>
      </c>
      <c r="Y704" s="15" t="str">
        <v>Dennis Eckert</v>
      </c>
      <c r="Z704" s="15">
        <v>29</v>
      </c>
      <c r="AA704" s="15" t="str">
        <v>Iran</v>
      </c>
      <c r="AB704" s="15" t="str">
        <v>ST</v>
      </c>
      <c r="AC704" s="15" t="str">
        <v>Standard Liège</v>
      </c>
      <c r="AD704" s="15">
        <v>24</v>
      </c>
      <c r="AF704" s="42">
        <v>2006</v>
      </c>
      <c r="AG704" s="42" t="str">
        <v xml:space="preserve">30 Jun 2006 - 21:00 </v>
      </c>
      <c r="AH704" s="42" t="str">
        <v>QUARTER_FINALS</v>
      </c>
      <c r="AI704" s="42" t="str">
        <v>FIFA World Cup Stadium, Hamburg</v>
      </c>
      <c r="AJ704" s="42" t="str">
        <v xml:space="preserve">Hamburg </v>
      </c>
      <c r="AK704" s="42" t="str">
        <v>Italy</v>
      </c>
      <c r="AL704" s="42">
        <v>3</v>
      </c>
      <c r="AM704" s="42">
        <v>0</v>
      </c>
      <c r="AN704" s="42" t="str">
        <v>Ukraine</v>
      </c>
      <c r="AO704" s="42" t="str">
        <v>-</v>
      </c>
    </row>
    <row r="705" spans="24:41">
      <c r="X705" s="15">
        <v>703</v>
      </c>
      <c r="Y705" s="15" t="str">
        <v>Max Crocombe</v>
      </c>
      <c r="Z705" s="15">
        <v>32</v>
      </c>
      <c r="AA705" s="15" t="str">
        <v>New Zealand</v>
      </c>
      <c r="AB705" s="15" t="str">
        <v>GK</v>
      </c>
      <c r="AC705" s="15" t="str">
        <v>Millwall</v>
      </c>
      <c r="AD705" s="15">
        <v>1</v>
      </c>
      <c r="AF705" s="42">
        <v>2006</v>
      </c>
      <c r="AG705" s="42" t="str">
        <v xml:space="preserve">01 Jul 2006 - 17:00 </v>
      </c>
      <c r="AH705" s="42" t="str">
        <v>QUARTER_FINALS</v>
      </c>
      <c r="AI705" s="42" t="str">
        <v>FIFA World Cup Stadium, Gelsenkirchen</v>
      </c>
      <c r="AJ705" s="42" t="str">
        <v xml:space="preserve">Gelsenkirchen </v>
      </c>
      <c r="AK705" s="42" t="str">
        <v>England</v>
      </c>
      <c r="AL705" s="42">
        <v>0</v>
      </c>
      <c r="AM705" s="42">
        <v>0</v>
      </c>
      <c r="AN705" s="42" t="str">
        <v>Portugal</v>
      </c>
      <c r="AO705" s="42" t="str">
        <v>Portugal win on penalties (1 - 3)</v>
      </c>
    </row>
    <row r="706" spans="24:41">
      <c r="X706" s="15">
        <v>704</v>
      </c>
      <c r="Y706" s="15" t="str">
        <v>Alex Paulsen</v>
      </c>
      <c r="Z706" s="15">
        <v>23</v>
      </c>
      <c r="AA706" s="15" t="str">
        <v>New Zealand</v>
      </c>
      <c r="AB706" s="15" t="str">
        <v>GK</v>
      </c>
      <c r="AC706" s="15" t="str">
        <v>Lechia Gdańsk</v>
      </c>
      <c r="AD706" s="15">
        <v>12</v>
      </c>
      <c r="AF706" s="42">
        <v>2006</v>
      </c>
      <c r="AG706" s="42" t="str">
        <v xml:space="preserve">01 Jul 2006 - 21:00 </v>
      </c>
      <c r="AH706" s="42" t="str">
        <v>QUARTER_FINALS</v>
      </c>
      <c r="AI706" s="42" t="str">
        <v>FIFA World Cup Stadium, Frankfurt</v>
      </c>
      <c r="AJ706" s="42" t="str">
        <v xml:space="preserve">Frankfurt/Main </v>
      </c>
      <c r="AK706" s="42" t="str">
        <v>Brazil</v>
      </c>
      <c r="AL706" s="42">
        <v>0</v>
      </c>
      <c r="AM706" s="42">
        <v>1</v>
      </c>
      <c r="AN706" s="42" t="str">
        <v>France</v>
      </c>
      <c r="AO706" s="42" t="str">
        <v>-</v>
      </c>
    </row>
    <row r="707" spans="24:41">
      <c r="X707" s="15">
        <v>705</v>
      </c>
      <c r="Y707" s="15" t="str">
        <v>Michael Woud</v>
      </c>
      <c r="Z707" s="15">
        <v>27</v>
      </c>
      <c r="AA707" s="15" t="str">
        <v>New Zealand</v>
      </c>
      <c r="AB707" s="15" t="str">
        <v>GK</v>
      </c>
      <c r="AC707" s="15" t="str">
        <v>Auckland FC</v>
      </c>
      <c r="AD707" s="15">
        <v>22</v>
      </c>
      <c r="AF707" s="42">
        <v>2006</v>
      </c>
      <c r="AG707" s="42" t="str">
        <v xml:space="preserve">04 Jul 2006 - 21:00 </v>
      </c>
      <c r="AH707" s="42" t="str">
        <v>SEMI_FINALS</v>
      </c>
      <c r="AI707" s="42" t="str">
        <v>FIFA World Cup Stadium, Dortmund</v>
      </c>
      <c r="AJ707" s="42" t="str">
        <v xml:space="preserve">Dortmund </v>
      </c>
      <c r="AK707" s="42" t="str">
        <v>Germany</v>
      </c>
      <c r="AL707" s="42">
        <v>0</v>
      </c>
      <c r="AM707" s="42">
        <v>2</v>
      </c>
      <c r="AN707" s="42" t="str">
        <v>Italy</v>
      </c>
      <c r="AO707" s="42" t="str">
        <v>Italy win after extra time</v>
      </c>
    </row>
    <row r="708" spans="24:41">
      <c r="X708" s="15">
        <v>706</v>
      </c>
      <c r="Y708" s="15" t="str">
        <v>Tyler Bindon</v>
      </c>
      <c r="Z708" s="15">
        <v>21</v>
      </c>
      <c r="AA708" s="15" t="str">
        <v>New Zealand</v>
      </c>
      <c r="AB708" s="15" t="str">
        <v>CB</v>
      </c>
      <c r="AC708" s="15" t="str">
        <v>Sheffield United</v>
      </c>
      <c r="AD708" s="15">
        <v>4</v>
      </c>
      <c r="AF708" s="42">
        <v>2006</v>
      </c>
      <c r="AG708" s="42" t="str">
        <v xml:space="preserve">05 Jul 2006 - 21:00 </v>
      </c>
      <c r="AH708" s="42" t="str">
        <v>SEMI_FINALS</v>
      </c>
      <c r="AI708" s="42" t="str">
        <v>FIFA World Cup Stadium, Munich</v>
      </c>
      <c r="AJ708" s="42" t="str">
        <v xml:space="preserve">Munich </v>
      </c>
      <c r="AK708" s="42" t="str">
        <v>Portugal</v>
      </c>
      <c r="AL708" s="42">
        <v>0</v>
      </c>
      <c r="AM708" s="42">
        <v>1</v>
      </c>
      <c r="AN708" s="42" t="str">
        <v>France</v>
      </c>
      <c r="AO708" s="42" t="str">
        <v>-</v>
      </c>
    </row>
    <row r="709" spans="24:41">
      <c r="X709" s="15">
        <v>707</v>
      </c>
      <c r="Y709" s="15" t="str">
        <v>Michael Boxall</v>
      </c>
      <c r="Z709" s="15">
        <v>37</v>
      </c>
      <c r="AA709" s="15" t="str">
        <v>New Zealand</v>
      </c>
      <c r="AB709" s="15" t="str">
        <v>CB</v>
      </c>
      <c r="AC709" s="15" t="str">
        <v>Minnesota United FC</v>
      </c>
      <c r="AD709" s="15">
        <v>5</v>
      </c>
      <c r="AF709" s="42">
        <v>2006</v>
      </c>
      <c r="AG709" s="42" t="str">
        <v xml:space="preserve">08 Jul 2006 - 21:00 </v>
      </c>
      <c r="AH709" s="42" t="str">
        <v>THIRD_PLACE</v>
      </c>
      <c r="AI709" s="42" t="str">
        <v>Gottlieb-Daimler-Stadion</v>
      </c>
      <c r="AJ709" s="42" t="str">
        <v xml:space="preserve">Stuttgart </v>
      </c>
      <c r="AK709" s="42" t="str">
        <v>Germany</v>
      </c>
      <c r="AL709" s="42">
        <v>3</v>
      </c>
      <c r="AM709" s="42">
        <v>1</v>
      </c>
      <c r="AN709" s="42" t="str">
        <v>Portugal</v>
      </c>
      <c r="AO709" s="42" t="str">
        <v>-</v>
      </c>
    </row>
    <row r="710" spans="24:41">
      <c r="X710" s="15">
        <v>708</v>
      </c>
      <c r="Y710" s="15" t="str">
        <v>Nando Pijnaker</v>
      </c>
      <c r="Z710" s="15">
        <v>27</v>
      </c>
      <c r="AA710" s="15" t="str">
        <v>New Zealand</v>
      </c>
      <c r="AB710" s="15" t="str">
        <v>CB</v>
      </c>
      <c r="AC710" s="15" t="str">
        <v>Auckland FC</v>
      </c>
      <c r="AD710" s="15">
        <v>15</v>
      </c>
      <c r="AF710" s="42">
        <v>2006</v>
      </c>
      <c r="AG710" s="42" t="str">
        <v xml:space="preserve">09 Jul 2006 - 20:00 </v>
      </c>
      <c r="AH710" s="42" t="str">
        <v>FINAL</v>
      </c>
      <c r="AI710" s="42" t="str">
        <v>Olympiastadion</v>
      </c>
      <c r="AJ710" s="42" t="str">
        <v xml:space="preserve">Berlin </v>
      </c>
      <c r="AK710" s="42" t="str">
        <v>Italy</v>
      </c>
      <c r="AL710" s="42">
        <v>1</v>
      </c>
      <c r="AM710" s="42">
        <v>1</v>
      </c>
      <c r="AN710" s="42" t="str">
        <v>France</v>
      </c>
      <c r="AO710" s="42" t="str">
        <v>Italy win on penalties (5 - 3)</v>
      </c>
    </row>
    <row r="711" spans="24:41">
      <c r="X711" s="15">
        <v>709</v>
      </c>
      <c r="Y711" s="15" t="str">
        <v>Finn Surman</v>
      </c>
      <c r="Z711" s="15">
        <v>22</v>
      </c>
      <c r="AA711" s="15" t="str">
        <v>New Zealand</v>
      </c>
      <c r="AB711" s="15" t="str">
        <v>CB</v>
      </c>
      <c r="AC711" s="15" t="str">
        <v>Portland Timbers</v>
      </c>
      <c r="AD711" s="15">
        <v>16</v>
      </c>
      <c r="AF711" s="42">
        <v>2010</v>
      </c>
      <c r="AG711" s="42" t="str">
        <v xml:space="preserve">11 Jun 2010 - 16:00 </v>
      </c>
      <c r="AH711" s="42" t="str">
        <v>GROUP_STAGE</v>
      </c>
      <c r="AI711" s="42" t="str">
        <v>Soccer City Stadium</v>
      </c>
      <c r="AJ711" s="42" t="str">
        <v xml:space="preserve">Johannesburg </v>
      </c>
      <c r="AK711" s="42" t="str">
        <v>South Africa</v>
      </c>
      <c r="AL711" s="42">
        <v>1</v>
      </c>
      <c r="AM711" s="42">
        <v>1</v>
      </c>
      <c r="AN711" s="42" t="str">
        <v>Mexico</v>
      </c>
      <c r="AO711" s="42" t="str">
        <v>-</v>
      </c>
    </row>
    <row r="712" spans="24:41">
      <c r="X712" s="15">
        <v>710</v>
      </c>
      <c r="Y712" s="15" t="str">
        <v>Tommy Smith</v>
      </c>
      <c r="Z712" s="15">
        <v>36</v>
      </c>
      <c r="AA712" s="15" t="str">
        <v>New Zealand</v>
      </c>
      <c r="AB712" s="15" t="str">
        <v>CB</v>
      </c>
      <c r="AC712" s="15" t="str">
        <v>Braintree Town</v>
      </c>
      <c r="AD712" s="15">
        <v>26</v>
      </c>
      <c r="AF712" s="42">
        <v>2010</v>
      </c>
      <c r="AG712" s="42" t="str">
        <v xml:space="preserve">11 Jun 2010 - 20:30 </v>
      </c>
      <c r="AH712" s="42" t="str">
        <v>GROUP_STAGE</v>
      </c>
      <c r="AI712" s="42" t="str">
        <v>Cape Town Stadium</v>
      </c>
      <c r="AJ712" s="42" t="str">
        <v xml:space="preserve">Cape Town </v>
      </c>
      <c r="AK712" s="42" t="str">
        <v>Uruguay</v>
      </c>
      <c r="AL712" s="42">
        <v>0</v>
      </c>
      <c r="AM712" s="42">
        <v>0</v>
      </c>
      <c r="AN712" s="42" t="str">
        <v>France</v>
      </c>
      <c r="AO712" s="42" t="str">
        <v>-</v>
      </c>
    </row>
    <row r="713" spans="24:41">
      <c r="X713" s="15">
        <v>711</v>
      </c>
      <c r="Y713" s="15" t="str">
        <v>Francis de Vries</v>
      </c>
      <c r="Z713" s="15">
        <v>31</v>
      </c>
      <c r="AA713" s="15" t="str">
        <v>New Zealand</v>
      </c>
      <c r="AB713" s="15" t="str">
        <v>LB</v>
      </c>
      <c r="AC713" s="15" t="str">
        <v>Auckland FC</v>
      </c>
      <c r="AD713" s="15">
        <v>3</v>
      </c>
      <c r="AF713" s="42">
        <v>2010</v>
      </c>
      <c r="AG713" s="42" t="str">
        <v xml:space="preserve">12 Jun 2010 - 13:30 </v>
      </c>
      <c r="AH713" s="42" t="str">
        <v>GROUP_STAGE</v>
      </c>
      <c r="AI713" s="42" t="str">
        <v>Port Elizabeth Stadium</v>
      </c>
      <c r="AJ713" s="42" t="str">
        <v xml:space="preserve">Nelson Mandela Bay/Port Elizabeth </v>
      </c>
      <c r="AK713" s="42" t="str">
        <v>South Korea</v>
      </c>
      <c r="AL713" s="42">
        <v>2</v>
      </c>
      <c r="AM713" s="42">
        <v>0</v>
      </c>
      <c r="AN713" s="42" t="str">
        <v>Greece</v>
      </c>
      <c r="AO713" s="42" t="str">
        <v>-</v>
      </c>
    </row>
    <row r="714" spans="24:41">
      <c r="X714" s="15">
        <v>712</v>
      </c>
      <c r="Y714" s="15" t="str">
        <v>Liberato Cacace</v>
      </c>
      <c r="Z714" s="15">
        <v>25</v>
      </c>
      <c r="AA714" s="15" t="str">
        <v>New Zealand</v>
      </c>
      <c r="AB714" s="15" t="str">
        <v>LB</v>
      </c>
      <c r="AC714" s="15" t="str">
        <v>Wrexham</v>
      </c>
      <c r="AD714" s="15">
        <v>13</v>
      </c>
      <c r="AF714" s="42">
        <v>2010</v>
      </c>
      <c r="AG714" s="42" t="str">
        <v xml:space="preserve">12 Jun 2010 - 16:00 </v>
      </c>
      <c r="AH714" s="42" t="str">
        <v>GROUP_STAGE</v>
      </c>
      <c r="AI714" s="42" t="str">
        <v>Ellis Park Stadium</v>
      </c>
      <c r="AJ714" s="42" t="str">
        <v xml:space="preserve">Johannesburg </v>
      </c>
      <c r="AK714" s="42" t="str">
        <v>Argentina</v>
      </c>
      <c r="AL714" s="42">
        <v>1</v>
      </c>
      <c r="AM714" s="42">
        <v>0</v>
      </c>
      <c r="AN714" s="42" t="str">
        <v>Nigeria</v>
      </c>
      <c r="AO714" s="42" t="str">
        <v>-</v>
      </c>
    </row>
    <row r="715" spans="24:41">
      <c r="X715" s="15">
        <v>713</v>
      </c>
      <c r="Y715" s="15" t="str">
        <v>Tim Payne</v>
      </c>
      <c r="Z715" s="15">
        <v>32</v>
      </c>
      <c r="AA715" s="15" t="str">
        <v>New Zealand</v>
      </c>
      <c r="AB715" s="15" t="str">
        <v>RB</v>
      </c>
      <c r="AC715" s="15" t="str">
        <v>Wellington Phoenix</v>
      </c>
      <c r="AD715" s="15">
        <v>2</v>
      </c>
      <c r="AF715" s="42">
        <v>2010</v>
      </c>
      <c r="AG715" s="42" t="str">
        <v xml:space="preserve">12 Jun 2010 - 20:30 </v>
      </c>
      <c r="AH715" s="42" t="str">
        <v>GROUP_STAGE</v>
      </c>
      <c r="AI715" s="42" t="str">
        <v>Royal Bafokeng Sports Palace</v>
      </c>
      <c r="AJ715" s="42" t="str">
        <v xml:space="preserve">Phokeng </v>
      </c>
      <c r="AK715" s="42" t="str">
        <v>England</v>
      </c>
      <c r="AL715" s="42">
        <v>1</v>
      </c>
      <c r="AM715" s="42">
        <v>1</v>
      </c>
      <c r="AN715" s="42" t="str">
        <v>United States</v>
      </c>
      <c r="AO715" s="42" t="str">
        <v>-</v>
      </c>
    </row>
    <row r="716" spans="24:41">
      <c r="X716" s="15">
        <v>714</v>
      </c>
      <c r="Y716" s="15" t="str">
        <v>Callan Elliot</v>
      </c>
      <c r="Z716" s="15">
        <v>26</v>
      </c>
      <c r="AA716" s="15" t="str">
        <v>New Zealand</v>
      </c>
      <c r="AB716" s="15" t="str">
        <v>RB</v>
      </c>
      <c r="AC716" s="15" t="str">
        <v>Auckland FC</v>
      </c>
      <c r="AD716" s="15">
        <v>24</v>
      </c>
      <c r="AF716" s="42">
        <v>2010</v>
      </c>
      <c r="AG716" s="42" t="str">
        <v xml:space="preserve">13 Jun 2010 - 13:30 </v>
      </c>
      <c r="AH716" s="42" t="str">
        <v>GROUP_STAGE</v>
      </c>
      <c r="AI716" s="42" t="str">
        <v>Peter Mokaba Stadium</v>
      </c>
      <c r="AJ716" s="42" t="str">
        <v xml:space="preserve">Polokwane </v>
      </c>
      <c r="AK716" s="42" t="str">
        <v>Algeria</v>
      </c>
      <c r="AL716" s="42">
        <v>0</v>
      </c>
      <c r="AM716" s="42">
        <v>1</v>
      </c>
      <c r="AN716" s="42" t="str">
        <v>Slovenia</v>
      </c>
      <c r="AO716" s="42" t="str">
        <v>-</v>
      </c>
    </row>
    <row r="717" spans="24:41">
      <c r="X717" s="15">
        <v>715</v>
      </c>
      <c r="Y717" s="15" t="str">
        <v>Joe Bell</v>
      </c>
      <c r="Z717" s="15">
        <v>27</v>
      </c>
      <c r="AA717" s="15" t="str">
        <v>New Zealand</v>
      </c>
      <c r="AB717" s="15" t="str">
        <v>CDM</v>
      </c>
      <c r="AC717" s="15" t="str">
        <v>Viking</v>
      </c>
      <c r="AD717" s="15">
        <v>6</v>
      </c>
      <c r="AF717" s="42">
        <v>2010</v>
      </c>
      <c r="AG717" s="42" t="str">
        <v xml:space="preserve">13 Jun 2010 - 16:00 </v>
      </c>
      <c r="AH717" s="42" t="str">
        <v>GROUP_STAGE</v>
      </c>
      <c r="AI717" s="42" t="str">
        <v>Loftus Versfeld Stadium</v>
      </c>
      <c r="AJ717" s="42" t="str">
        <v xml:space="preserve">Tshwane/Pretoria </v>
      </c>
      <c r="AK717" s="42" t="str">
        <v>Serbia</v>
      </c>
      <c r="AL717" s="42">
        <v>0</v>
      </c>
      <c r="AM717" s="42">
        <v>1</v>
      </c>
      <c r="AN717" s="42" t="str">
        <v>Ghana</v>
      </c>
      <c r="AO717" s="42" t="str">
        <v>-</v>
      </c>
    </row>
    <row r="718" spans="24:41">
      <c r="X718" s="15">
        <v>716</v>
      </c>
      <c r="Y718" s="15" t="str">
        <v>Alex Rufer</v>
      </c>
      <c r="Z718" s="15">
        <v>29</v>
      </c>
      <c r="AA718" s="15" t="str">
        <v>New Zealand</v>
      </c>
      <c r="AB718" s="15" t="str">
        <v>CDM</v>
      </c>
      <c r="AC718" s="15" t="str">
        <v>Wellington Phoenix</v>
      </c>
      <c r="AD718" s="15">
        <v>14</v>
      </c>
      <c r="AF718" s="42">
        <v>2010</v>
      </c>
      <c r="AG718" s="42" t="str">
        <v xml:space="preserve">13 Jun 2010 - 20:30 </v>
      </c>
      <c r="AH718" s="42" t="str">
        <v>GROUP_STAGE</v>
      </c>
      <c r="AI718" s="42" t="str">
        <v>Durban Stadium</v>
      </c>
      <c r="AJ718" s="42" t="str">
        <v xml:space="preserve">Durban </v>
      </c>
      <c r="AK718" s="42" t="str">
        <v>Germany</v>
      </c>
      <c r="AL718" s="42">
        <v>4</v>
      </c>
      <c r="AM718" s="42">
        <v>0</v>
      </c>
      <c r="AN718" s="42" t="str">
        <v>Australia</v>
      </c>
      <c r="AO718" s="42" t="str">
        <v>-</v>
      </c>
    </row>
    <row r="719" spans="24:41">
      <c r="X719" s="15">
        <v>717</v>
      </c>
      <c r="Y719" s="15" t="str">
        <v>Marko Stamenić</v>
      </c>
      <c r="Z719" s="15">
        <v>24</v>
      </c>
      <c r="AA719" s="15" t="str">
        <v>New Zealand</v>
      </c>
      <c r="AB719" s="15" t="str">
        <v>CM</v>
      </c>
      <c r="AC719" s="15" t="str">
        <v>Swansea City</v>
      </c>
      <c r="AD719" s="15">
        <v>8</v>
      </c>
      <c r="AF719" s="42">
        <v>2010</v>
      </c>
      <c r="AG719" s="42" t="str">
        <v xml:space="preserve">14 Jun 2010 - 13:30 </v>
      </c>
      <c r="AH719" s="42" t="str">
        <v>GROUP_STAGE</v>
      </c>
      <c r="AI719" s="42" t="str">
        <v>Soccer City Stadium</v>
      </c>
      <c r="AJ719" s="42" t="str">
        <v xml:space="preserve">Johannesburg </v>
      </c>
      <c r="AK719" s="42" t="str">
        <v>Netherlands</v>
      </c>
      <c r="AL719" s="42">
        <v>2</v>
      </c>
      <c r="AM719" s="42">
        <v>0</v>
      </c>
      <c r="AN719" s="42" t="str">
        <v>Denmark</v>
      </c>
      <c r="AO719" s="42" t="str">
        <v>-</v>
      </c>
    </row>
    <row r="720" spans="24:41">
      <c r="X720" s="15">
        <v>718</v>
      </c>
      <c r="Y720" s="15" t="str">
        <v>Ryan Thomas</v>
      </c>
      <c r="Z720" s="15">
        <v>31</v>
      </c>
      <c r="AA720" s="15" t="str">
        <v>New Zealand</v>
      </c>
      <c r="AB720" s="15" t="str">
        <v>CM</v>
      </c>
      <c r="AC720" s="15" t="str">
        <v>PEC Zwolle</v>
      </c>
      <c r="AD720" s="15">
        <v>23</v>
      </c>
      <c r="AF720" s="42">
        <v>2010</v>
      </c>
      <c r="AG720" s="42" t="str">
        <v xml:space="preserve">14 Jun 2010 - 16:00 </v>
      </c>
      <c r="AH720" s="42" t="str">
        <v>GROUP_STAGE</v>
      </c>
      <c r="AI720" s="42" t="str">
        <v>Free State Stadium</v>
      </c>
      <c r="AJ720" s="42" t="str">
        <v xml:space="preserve">Mangaung/Bloemfontein </v>
      </c>
      <c r="AK720" s="42" t="str">
        <v>Japan</v>
      </c>
      <c r="AL720" s="42">
        <v>1</v>
      </c>
      <c r="AM720" s="42">
        <v>0</v>
      </c>
      <c r="AN720" s="42" t="str">
        <v>Cameroon</v>
      </c>
      <c r="AO720" s="42" t="str">
        <v>-</v>
      </c>
    </row>
    <row r="721" spans="24:41">
      <c r="X721" s="15">
        <v>719</v>
      </c>
      <c r="Y721" s="15" t="str">
        <v>Lachlan Bayliss</v>
      </c>
      <c r="Z721" s="15">
        <v>23</v>
      </c>
      <c r="AA721" s="15" t="str">
        <v>New Zealand</v>
      </c>
      <c r="AB721" s="15" t="str">
        <v>CM</v>
      </c>
      <c r="AC721" s="15" t="str">
        <v>Newcastle Jets</v>
      </c>
      <c r="AD721" s="15">
        <v>25</v>
      </c>
      <c r="AF721" s="42">
        <v>2010</v>
      </c>
      <c r="AG721" s="42" t="str">
        <v xml:space="preserve">14 Jun 2010 - 20:30 </v>
      </c>
      <c r="AH721" s="42" t="str">
        <v>GROUP_STAGE</v>
      </c>
      <c r="AI721" s="42" t="str">
        <v>Cape Town Stadium</v>
      </c>
      <c r="AJ721" s="42" t="str">
        <v xml:space="preserve">Cape Town </v>
      </c>
      <c r="AK721" s="42" t="str">
        <v>Italy</v>
      </c>
      <c r="AL721" s="42">
        <v>1</v>
      </c>
      <c r="AM721" s="42">
        <v>1</v>
      </c>
      <c r="AN721" s="42" t="str">
        <v>Paraguay</v>
      </c>
      <c r="AO721" s="42" t="str">
        <v>-</v>
      </c>
    </row>
    <row r="722" spans="24:41">
      <c r="X722" s="15">
        <v>720</v>
      </c>
      <c r="Y722" s="15" t="str">
        <v>Sarpreet Singh</v>
      </c>
      <c r="Z722" s="15">
        <v>27</v>
      </c>
      <c r="AA722" s="15" t="str">
        <v>New Zealand</v>
      </c>
      <c r="AB722" s="15" t="str">
        <v>CAM</v>
      </c>
      <c r="AC722" s="15" t="str">
        <v>Wellington Phoenix</v>
      </c>
      <c r="AD722" s="15">
        <v>10</v>
      </c>
      <c r="AF722" s="42">
        <v>2010</v>
      </c>
      <c r="AG722" s="42" t="str">
        <v xml:space="preserve">15 Jun 2010 - 13:30 </v>
      </c>
      <c r="AH722" s="42" t="str">
        <v>GROUP_STAGE</v>
      </c>
      <c r="AI722" s="42" t="str">
        <v>Royal Bafokeng Sports Palace</v>
      </c>
      <c r="AJ722" s="42" t="str">
        <v xml:space="preserve">Phokeng </v>
      </c>
      <c r="AK722" s="42" t="str">
        <v>New Zealand</v>
      </c>
      <c r="AL722" s="42">
        <v>1</v>
      </c>
      <c r="AM722" s="42">
        <v>1</v>
      </c>
      <c r="AN722" s="42" t="str">
        <v>Slovakia</v>
      </c>
      <c r="AO722" s="42" t="str">
        <v>-</v>
      </c>
    </row>
    <row r="723" spans="24:41">
      <c r="X723" s="15">
        <v>721</v>
      </c>
      <c r="Y723" s="15" t="str">
        <v>Ben Old</v>
      </c>
      <c r="Z723" s="15">
        <v>23</v>
      </c>
      <c r="AA723" s="15" t="str">
        <v>New Zealand</v>
      </c>
      <c r="AB723" s="15" t="str">
        <v>CAM</v>
      </c>
      <c r="AC723" s="15" t="str">
        <v>Saint-Étienne</v>
      </c>
      <c r="AD723" s="15">
        <v>19</v>
      </c>
      <c r="AF723" s="42">
        <v>2010</v>
      </c>
      <c r="AG723" s="42" t="str">
        <v xml:space="preserve">15 Jun 2010 - 16:00 </v>
      </c>
      <c r="AH723" s="42" t="str">
        <v>GROUP_STAGE</v>
      </c>
      <c r="AI723" s="42" t="str">
        <v>Port Elizabeth Stadium</v>
      </c>
      <c r="AJ723" s="42" t="str">
        <v xml:space="preserve">Nelson Mandela Bay/Port Elizabeth </v>
      </c>
      <c r="AK723" s="42" t="str">
        <v>Côte d'Ivoire</v>
      </c>
      <c r="AL723" s="42">
        <v>0</v>
      </c>
      <c r="AM723" s="42">
        <v>0</v>
      </c>
      <c r="AN723" s="42" t="str">
        <v>Portugal</v>
      </c>
      <c r="AO723" s="42" t="str">
        <v>-</v>
      </c>
    </row>
    <row r="724" spans="24:41">
      <c r="X724" s="15">
        <v>722</v>
      </c>
      <c r="Y724" s="15" t="str">
        <v>Callum McCowatt</v>
      </c>
      <c r="Z724" s="15">
        <v>27</v>
      </c>
      <c r="AA724" s="15" t="str">
        <v>New Zealand</v>
      </c>
      <c r="AB724" s="15" t="str">
        <v>CAM</v>
      </c>
      <c r="AC724" s="15" t="str">
        <v>Silkeborg</v>
      </c>
      <c r="AD724" s="15">
        <v>20</v>
      </c>
      <c r="AF724" s="42">
        <v>2010</v>
      </c>
      <c r="AG724" s="42" t="str">
        <v xml:space="preserve">15 Jun 2010 - 20:30 </v>
      </c>
      <c r="AH724" s="42" t="str">
        <v>GROUP_STAGE</v>
      </c>
      <c r="AI724" s="42" t="str">
        <v>Ellis Park Stadium</v>
      </c>
      <c r="AJ724" s="42" t="str">
        <v xml:space="preserve">Johannesburg </v>
      </c>
      <c r="AK724" s="42" t="str">
        <v>Brazil</v>
      </c>
      <c r="AL724" s="42">
        <v>2</v>
      </c>
      <c r="AM724" s="42">
        <v>1</v>
      </c>
      <c r="AN724" s="42" t="str">
        <v>North Korea</v>
      </c>
      <c r="AO724" s="42" t="str">
        <v>-</v>
      </c>
    </row>
    <row r="725" spans="24:41">
      <c r="X725" s="15">
        <v>723</v>
      </c>
      <c r="Y725" s="15" t="str">
        <v>Elijah Just</v>
      </c>
      <c r="Z725" s="15">
        <v>26</v>
      </c>
      <c r="AA725" s="15" t="str">
        <v>New Zealand</v>
      </c>
      <c r="AB725" s="15" t="str">
        <v>LW</v>
      </c>
      <c r="AC725" s="15" t="str">
        <v>Motherwell</v>
      </c>
      <c r="AD725" s="15">
        <v>11</v>
      </c>
      <c r="AF725" s="42">
        <v>2010</v>
      </c>
      <c r="AG725" s="42" t="str">
        <v xml:space="preserve">16 Jun 2010 - 13:30 </v>
      </c>
      <c r="AH725" s="42" t="str">
        <v>GROUP_STAGE</v>
      </c>
      <c r="AI725" s="42" t="str">
        <v>Mbombela Stadium</v>
      </c>
      <c r="AJ725" s="42" t="str">
        <v xml:space="preserve">Nelspruit </v>
      </c>
      <c r="AK725" s="42" t="str">
        <v>Honduras</v>
      </c>
      <c r="AL725" s="42">
        <v>0</v>
      </c>
      <c r="AM725" s="42">
        <v>1</v>
      </c>
      <c r="AN725" s="42" t="str">
        <v>Chile</v>
      </c>
      <c r="AO725" s="42" t="str">
        <v>-</v>
      </c>
    </row>
    <row r="726" spans="24:41">
      <c r="X726" s="15">
        <v>724</v>
      </c>
      <c r="Y726" s="15" t="str">
        <v>Jesse Randall</v>
      </c>
      <c r="Z726" s="15">
        <v>23</v>
      </c>
      <c r="AA726" s="15" t="str">
        <v>New Zealand</v>
      </c>
      <c r="AB726" s="15" t="str">
        <v>LW</v>
      </c>
      <c r="AC726" s="15" t="str">
        <v>Auckland FC</v>
      </c>
      <c r="AD726" s="15">
        <v>21</v>
      </c>
      <c r="AF726" s="42">
        <v>2010</v>
      </c>
      <c r="AG726" s="42" t="str">
        <v xml:space="preserve">16 Jun 2010 - 16:00 </v>
      </c>
      <c r="AH726" s="42" t="str">
        <v>GROUP_STAGE</v>
      </c>
      <c r="AI726" s="42" t="str">
        <v>Durban Stadium</v>
      </c>
      <c r="AJ726" s="42" t="str">
        <v xml:space="preserve">Durban </v>
      </c>
      <c r="AK726" s="42" t="str">
        <v>Spain</v>
      </c>
      <c r="AL726" s="42">
        <v>0</v>
      </c>
      <c r="AM726" s="42">
        <v>1</v>
      </c>
      <c r="AN726" s="42" t="str">
        <v>Switzerland</v>
      </c>
      <c r="AO726" s="42" t="str">
        <v>-</v>
      </c>
    </row>
    <row r="727" spans="24:41">
      <c r="X727" s="15">
        <v>725</v>
      </c>
      <c r="Y727" s="15" t="str">
        <v>Logan Rogerson</v>
      </c>
      <c r="Z727" s="15">
        <v>28</v>
      </c>
      <c r="AA727" s="15" t="str">
        <v>New Zealand</v>
      </c>
      <c r="AB727" s="15" t="str">
        <v>RW</v>
      </c>
      <c r="AC727" s="15" t="str">
        <v>Auckland FC</v>
      </c>
      <c r="AD727" s="15">
        <v>7</v>
      </c>
      <c r="AF727" s="42">
        <v>2010</v>
      </c>
      <c r="AG727" s="42" t="str">
        <v xml:space="preserve">16 Jun 2010 - 20:30 </v>
      </c>
      <c r="AH727" s="42" t="str">
        <v>GROUP_STAGE</v>
      </c>
      <c r="AI727" s="42" t="str">
        <v>Loftus Versfeld Stadium</v>
      </c>
      <c r="AJ727" s="42" t="str">
        <v xml:space="preserve">Tshwane/Pretoria </v>
      </c>
      <c r="AK727" s="42" t="str">
        <v>South Africa</v>
      </c>
      <c r="AL727" s="42">
        <v>0</v>
      </c>
      <c r="AM727" s="42">
        <v>3</v>
      </c>
      <c r="AN727" s="42" t="str">
        <v>Uruguay</v>
      </c>
      <c r="AO727" s="42" t="str">
        <v>-</v>
      </c>
    </row>
    <row r="728" spans="24:41">
      <c r="X728" s="15">
        <v>726</v>
      </c>
      <c r="Y728" s="15" t="str">
        <v>Kosta Barbarouses</v>
      </c>
      <c r="Z728" s="15">
        <v>36</v>
      </c>
      <c r="AA728" s="15" t="str">
        <v>New Zealand</v>
      </c>
      <c r="AB728" s="15" t="str">
        <v>RW</v>
      </c>
      <c r="AC728" s="15" t="str">
        <v>Western Sydney Wanderers</v>
      </c>
      <c r="AD728" s="15">
        <v>17</v>
      </c>
      <c r="AF728" s="42">
        <v>2010</v>
      </c>
      <c r="AG728" s="42" t="str">
        <v xml:space="preserve">17 Jun 2010 - 13:30 </v>
      </c>
      <c r="AH728" s="42" t="str">
        <v>GROUP_STAGE</v>
      </c>
      <c r="AI728" s="42" t="str">
        <v>Soccer City Stadium</v>
      </c>
      <c r="AJ728" s="42" t="str">
        <v xml:space="preserve">Johannesburg </v>
      </c>
      <c r="AK728" s="42" t="str">
        <v>Argentina</v>
      </c>
      <c r="AL728" s="42">
        <v>4</v>
      </c>
      <c r="AM728" s="42">
        <v>1</v>
      </c>
      <c r="AN728" s="42" t="str">
        <v>South Korea</v>
      </c>
      <c r="AO728" s="42" t="str">
        <v>-</v>
      </c>
    </row>
    <row r="729" spans="24:41">
      <c r="X729" s="15">
        <v>727</v>
      </c>
      <c r="Y729" s="15" t="str">
        <v>Chris Wood</v>
      </c>
      <c r="Z729" s="15">
        <v>34</v>
      </c>
      <c r="AA729" s="15" t="str">
        <v>New Zealand</v>
      </c>
      <c r="AB729" s="15" t="str">
        <v>ST</v>
      </c>
      <c r="AC729" s="15" t="str">
        <v>Nottingham Forest</v>
      </c>
      <c r="AD729" s="15">
        <v>9</v>
      </c>
      <c r="AF729" s="42">
        <v>2010</v>
      </c>
      <c r="AG729" s="42" t="str">
        <v xml:space="preserve">17 Jun 2010 - 16:00 </v>
      </c>
      <c r="AH729" s="42" t="str">
        <v>GROUP_STAGE</v>
      </c>
      <c r="AI729" s="42" t="str">
        <v>Free State Stadium</v>
      </c>
      <c r="AJ729" s="42" t="str">
        <v xml:space="preserve">Mangaung/Bloemfontein </v>
      </c>
      <c r="AK729" s="42" t="str">
        <v>Greece</v>
      </c>
      <c r="AL729" s="42">
        <v>2</v>
      </c>
      <c r="AM729" s="42">
        <v>1</v>
      </c>
      <c r="AN729" s="42" t="str">
        <v>Nigeria</v>
      </c>
      <c r="AO729" s="42" t="str">
        <v>-</v>
      </c>
    </row>
    <row r="730" spans="24:41">
      <c r="X730" s="15">
        <v>728</v>
      </c>
      <c r="Y730" s="15" t="str">
        <v>Ben Waine</v>
      </c>
      <c r="Z730" s="15">
        <v>25</v>
      </c>
      <c r="AA730" s="15" t="str">
        <v>New Zealand</v>
      </c>
      <c r="AB730" s="15" t="str">
        <v>ST</v>
      </c>
      <c r="AC730" s="15" t="str">
        <v>Port Vale</v>
      </c>
      <c r="AD730" s="15">
        <v>18</v>
      </c>
      <c r="AF730" s="42">
        <v>2010</v>
      </c>
      <c r="AG730" s="42" t="str">
        <v xml:space="preserve">17 Jun 2010 - 20:30 </v>
      </c>
      <c r="AH730" s="42" t="str">
        <v>GROUP_STAGE</v>
      </c>
      <c r="AI730" s="42" t="str">
        <v>Peter Mokaba Stadium</v>
      </c>
      <c r="AJ730" s="42" t="str">
        <v xml:space="preserve">Polokwane </v>
      </c>
      <c r="AK730" s="42" t="str">
        <v>France</v>
      </c>
      <c r="AL730" s="42">
        <v>0</v>
      </c>
      <c r="AM730" s="42">
        <v>2</v>
      </c>
      <c r="AN730" s="42" t="str">
        <v>Mexico</v>
      </c>
      <c r="AO730" s="42" t="str">
        <v>-</v>
      </c>
    </row>
    <row r="731" spans="24:41">
      <c r="X731" s="15">
        <v>729</v>
      </c>
      <c r="Y731" s="15" t="str">
        <v>Vozinha</v>
      </c>
      <c r="Z731" s="15">
        <v>40</v>
      </c>
      <c r="AA731" s="15" t="str">
        <v>Cabo Verde</v>
      </c>
      <c r="AB731" s="15" t="str">
        <v>GK</v>
      </c>
      <c r="AC731" s="15" t="str">
        <v>Chaves</v>
      </c>
      <c r="AD731" s="15">
        <v>1</v>
      </c>
      <c r="AF731" s="42">
        <v>2010</v>
      </c>
      <c r="AG731" s="42" t="str">
        <v xml:space="preserve">18 Jun 2010 - 13:30 </v>
      </c>
      <c r="AH731" s="42" t="str">
        <v>GROUP_STAGE</v>
      </c>
      <c r="AI731" s="42" t="str">
        <v>Port Elizabeth Stadium</v>
      </c>
      <c r="AJ731" s="42" t="str">
        <v xml:space="preserve">Nelson Mandela Bay/Port Elizabeth </v>
      </c>
      <c r="AK731" s="42" t="str">
        <v>Germany</v>
      </c>
      <c r="AL731" s="42">
        <v>0</v>
      </c>
      <c r="AM731" s="42">
        <v>1</v>
      </c>
      <c r="AN731" s="42" t="str">
        <v>Serbia</v>
      </c>
      <c r="AO731" s="42" t="str">
        <v>-</v>
      </c>
    </row>
    <row r="732" spans="24:41">
      <c r="X732" s="15">
        <v>730</v>
      </c>
      <c r="Y732" s="15" t="str">
        <v>Márcio Rosa</v>
      </c>
      <c r="Z732" s="15">
        <v>29</v>
      </c>
      <c r="AA732" s="15" t="str">
        <v>Cabo Verde</v>
      </c>
      <c r="AB732" s="15" t="str">
        <v>GK</v>
      </c>
      <c r="AC732" s="15" t="str">
        <v>Montana</v>
      </c>
      <c r="AD732" s="15">
        <v>12</v>
      </c>
      <c r="AF732" s="42">
        <v>2010</v>
      </c>
      <c r="AG732" s="42" t="str">
        <v xml:space="preserve">18 Jun 2010 - 16:00 </v>
      </c>
      <c r="AH732" s="42" t="str">
        <v>GROUP_STAGE</v>
      </c>
      <c r="AI732" s="42" t="str">
        <v>Ellis Park Stadium</v>
      </c>
      <c r="AJ732" s="42" t="str">
        <v xml:space="preserve">Johannesburg </v>
      </c>
      <c r="AK732" s="42" t="str">
        <v>Slovenia</v>
      </c>
      <c r="AL732" s="42">
        <v>2</v>
      </c>
      <c r="AM732" s="42">
        <v>2</v>
      </c>
      <c r="AN732" s="42" t="str">
        <v>United States</v>
      </c>
      <c r="AO732" s="42" t="str">
        <v>-</v>
      </c>
    </row>
    <row r="733" spans="24:41">
      <c r="X733" s="15">
        <v>731</v>
      </c>
      <c r="Y733" s="15" t="str">
        <v>CJ dos Santos</v>
      </c>
      <c r="Z733" s="15">
        <v>25</v>
      </c>
      <c r="AA733" s="15" t="str">
        <v>Cabo Verde</v>
      </c>
      <c r="AB733" s="15" t="str">
        <v>GK</v>
      </c>
      <c r="AC733" s="15" t="str">
        <v>San Diego FC</v>
      </c>
      <c r="AD733" s="15">
        <v>23</v>
      </c>
      <c r="AF733" s="42">
        <v>2010</v>
      </c>
      <c r="AG733" s="42" t="str">
        <v xml:space="preserve">18 Jun 2010 - 20:30 </v>
      </c>
      <c r="AH733" s="42" t="str">
        <v>GROUP_STAGE</v>
      </c>
      <c r="AI733" s="42" t="str">
        <v>Cape Town Stadium</v>
      </c>
      <c r="AJ733" s="42" t="str">
        <v xml:space="preserve">Cape Town </v>
      </c>
      <c r="AK733" s="42" t="str">
        <v>England</v>
      </c>
      <c r="AL733" s="42">
        <v>0</v>
      </c>
      <c r="AM733" s="42">
        <v>0</v>
      </c>
      <c r="AN733" s="42" t="str">
        <v>Algeria</v>
      </c>
      <c r="AO733" s="42" t="str">
        <v>-</v>
      </c>
    </row>
    <row r="734" spans="24:41">
      <c r="X734" s="15">
        <v>732</v>
      </c>
      <c r="Y734" s="15" t="str">
        <v>Diney</v>
      </c>
      <c r="Z734" s="15">
        <v>31</v>
      </c>
      <c r="AA734" s="15" t="str">
        <v>Cabo Verde</v>
      </c>
      <c r="AB734" s="15" t="str">
        <v>CB</v>
      </c>
      <c r="AC734" s="15" t="str">
        <v>Al Bataeh</v>
      </c>
      <c r="AD734" s="15">
        <v>3</v>
      </c>
      <c r="AF734" s="42">
        <v>2010</v>
      </c>
      <c r="AG734" s="42" t="str">
        <v xml:space="preserve">19 Jun 2010 - 13:30 </v>
      </c>
      <c r="AH734" s="42" t="str">
        <v>GROUP_STAGE</v>
      </c>
      <c r="AI734" s="42" t="str">
        <v>Durban Stadium</v>
      </c>
      <c r="AJ734" s="42" t="str">
        <v xml:space="preserve">Durban </v>
      </c>
      <c r="AK734" s="42" t="str">
        <v>Netherlands</v>
      </c>
      <c r="AL734" s="42">
        <v>1</v>
      </c>
      <c r="AM734" s="42">
        <v>0</v>
      </c>
      <c r="AN734" s="42" t="str">
        <v>Japan</v>
      </c>
      <c r="AO734" s="42" t="str">
        <v>-</v>
      </c>
    </row>
    <row r="735" spans="24:41">
      <c r="X735" s="15">
        <v>733</v>
      </c>
      <c r="Y735" s="15" t="str">
        <v>Pico</v>
      </c>
      <c r="Z735" s="15">
        <v>33</v>
      </c>
      <c r="AA735" s="15" t="str">
        <v>Cabo Verde</v>
      </c>
      <c r="AB735" s="15" t="str">
        <v>CB</v>
      </c>
      <c r="AC735" s="15" t="str">
        <v>Shamrock Rovers</v>
      </c>
      <c r="AD735" s="15">
        <v>4</v>
      </c>
      <c r="AF735" s="42">
        <v>2010</v>
      </c>
      <c r="AG735" s="42" t="str">
        <v xml:space="preserve">19 Jun 2010 - 16:00 </v>
      </c>
      <c r="AH735" s="42" t="str">
        <v>GROUP_STAGE</v>
      </c>
      <c r="AI735" s="42" t="str">
        <v>Royal Bafokeng Sports Palace</v>
      </c>
      <c r="AJ735" s="42" t="str">
        <v xml:space="preserve">Phokeng </v>
      </c>
      <c r="AK735" s="42" t="str">
        <v>Ghana</v>
      </c>
      <c r="AL735" s="42">
        <v>1</v>
      </c>
      <c r="AM735" s="42">
        <v>1</v>
      </c>
      <c r="AN735" s="42" t="str">
        <v>Australia</v>
      </c>
      <c r="AO735" s="42" t="str">
        <v>-</v>
      </c>
    </row>
    <row r="736" spans="24:41">
      <c r="X736" s="15">
        <v>734</v>
      </c>
      <c r="Y736" s="15" t="str">
        <v>Logan Costa</v>
      </c>
      <c r="Z736" s="15">
        <v>25</v>
      </c>
      <c r="AA736" s="15" t="str">
        <v>Cabo Verde</v>
      </c>
      <c r="AB736" s="15" t="str">
        <v>CB</v>
      </c>
      <c r="AC736" s="15" t="str">
        <v>Villarreal</v>
      </c>
      <c r="AD736" s="15">
        <v>5</v>
      </c>
      <c r="AF736" s="42">
        <v>2010</v>
      </c>
      <c r="AG736" s="42" t="str">
        <v xml:space="preserve">19 Jun 2010 - 20:30 </v>
      </c>
      <c r="AH736" s="42" t="str">
        <v>GROUP_STAGE</v>
      </c>
      <c r="AI736" s="42" t="str">
        <v>Loftus Versfeld Stadium</v>
      </c>
      <c r="AJ736" s="42" t="str">
        <v xml:space="preserve">Tshwane/Pretoria </v>
      </c>
      <c r="AK736" s="42" t="str">
        <v>Cameroon</v>
      </c>
      <c r="AL736" s="42">
        <v>1</v>
      </c>
      <c r="AM736" s="42">
        <v>2</v>
      </c>
      <c r="AN736" s="42" t="str">
        <v>Denmark</v>
      </c>
      <c r="AO736" s="42" t="str">
        <v>-</v>
      </c>
    </row>
    <row r="737" spans="24:41">
      <c r="X737" s="15">
        <v>735</v>
      </c>
      <c r="Y737" s="15" t="str">
        <v>Kelvin Pires</v>
      </c>
      <c r="Z737" s="15">
        <v>26</v>
      </c>
      <c r="AA737" s="15" t="str">
        <v>Cabo Verde</v>
      </c>
      <c r="AB737" s="15" t="str">
        <v>CB</v>
      </c>
      <c r="AC737" s="15" t="str">
        <v>SJK</v>
      </c>
      <c r="AD737" s="15">
        <v>25</v>
      </c>
      <c r="AF737" s="42">
        <v>2010</v>
      </c>
      <c r="AG737" s="42" t="str">
        <v xml:space="preserve">20 Jun 2010 - 13:30 </v>
      </c>
      <c r="AH737" s="42" t="str">
        <v>GROUP_STAGE</v>
      </c>
      <c r="AI737" s="42" t="str">
        <v>Free State Stadium</v>
      </c>
      <c r="AJ737" s="42" t="str">
        <v xml:space="preserve">Mangaung/Bloemfontein </v>
      </c>
      <c r="AK737" s="42" t="str">
        <v>Slovakia</v>
      </c>
      <c r="AL737" s="42">
        <v>0</v>
      </c>
      <c r="AM737" s="42">
        <v>2</v>
      </c>
      <c r="AN737" s="42" t="str">
        <v>Paraguay</v>
      </c>
      <c r="AO737" s="42" t="str">
        <v>-</v>
      </c>
    </row>
    <row r="738" spans="24:41">
      <c r="X738" s="15">
        <v>736</v>
      </c>
      <c r="Y738" s="15" t="str">
        <v>Stopira</v>
      </c>
      <c r="Z738" s="15">
        <v>38</v>
      </c>
      <c r="AA738" s="15" t="str">
        <v>Cabo Verde</v>
      </c>
      <c r="AB738" s="15" t="str">
        <v>LB</v>
      </c>
      <c r="AC738" s="15" t="str">
        <v>Torreense</v>
      </c>
      <c r="AD738" s="15">
        <v>2</v>
      </c>
      <c r="AF738" s="42">
        <v>2010</v>
      </c>
      <c r="AG738" s="42" t="str">
        <v xml:space="preserve">20 Jun 2010 - 16:00 </v>
      </c>
      <c r="AH738" s="42" t="str">
        <v>GROUP_STAGE</v>
      </c>
      <c r="AI738" s="42" t="str">
        <v>Mbombela Stadium</v>
      </c>
      <c r="AJ738" s="42" t="str">
        <v xml:space="preserve">Nelspruit </v>
      </c>
      <c r="AK738" s="42" t="str">
        <v>Italy</v>
      </c>
      <c r="AL738" s="42">
        <v>1</v>
      </c>
      <c r="AM738" s="42">
        <v>1</v>
      </c>
      <c r="AN738" s="42" t="str">
        <v>New Zealand</v>
      </c>
      <c r="AO738" s="42" t="str">
        <v>-</v>
      </c>
    </row>
    <row r="739" spans="24:41">
      <c r="X739" s="15">
        <v>737</v>
      </c>
      <c r="Y739" s="15" t="str">
        <v>Sidny Lopes Cabral</v>
      </c>
      <c r="Z739" s="15">
        <v>23</v>
      </c>
      <c r="AA739" s="15" t="str">
        <v>Cabo Verde</v>
      </c>
      <c r="AB739" s="15" t="str">
        <v>LB</v>
      </c>
      <c r="AC739" s="15" t="str">
        <v>Benfica</v>
      </c>
      <c r="AD739" s="15">
        <v>13</v>
      </c>
      <c r="AF739" s="42">
        <v>2010</v>
      </c>
      <c r="AG739" s="42" t="str">
        <v xml:space="preserve">20 Jun 2010 - 20:30 </v>
      </c>
      <c r="AH739" s="42" t="str">
        <v>GROUP_STAGE</v>
      </c>
      <c r="AI739" s="42" t="str">
        <v>Soccer City Stadium</v>
      </c>
      <c r="AJ739" s="42" t="str">
        <v xml:space="preserve">Johannesburg </v>
      </c>
      <c r="AK739" s="42" t="str">
        <v>Brazil</v>
      </c>
      <c r="AL739" s="42">
        <v>3</v>
      </c>
      <c r="AM739" s="42">
        <v>1</v>
      </c>
      <c r="AN739" s="42" t="str">
        <v>Côte d'Ivoire</v>
      </c>
      <c r="AO739" s="42" t="str">
        <v>-</v>
      </c>
    </row>
    <row r="740" spans="24:41">
      <c r="X740" s="15">
        <v>738</v>
      </c>
      <c r="Y740" s="15" t="str">
        <v>Steven Moreira</v>
      </c>
      <c r="Z740" s="15">
        <v>31</v>
      </c>
      <c r="AA740" s="15" t="str">
        <v>Cabo Verde</v>
      </c>
      <c r="AB740" s="15" t="str">
        <v>RB</v>
      </c>
      <c r="AC740" s="15" t="str">
        <v>Columbus Crew</v>
      </c>
      <c r="AD740" s="15">
        <v>22</v>
      </c>
      <c r="AF740" s="42">
        <v>2010</v>
      </c>
      <c r="AG740" s="42" t="str">
        <v xml:space="preserve">21 Jun 2010 - 13:30 </v>
      </c>
      <c r="AH740" s="42" t="str">
        <v>GROUP_STAGE</v>
      </c>
      <c r="AI740" s="42" t="str">
        <v>Cape Town Stadium</v>
      </c>
      <c r="AJ740" s="42" t="str">
        <v xml:space="preserve">Cape Town </v>
      </c>
      <c r="AK740" s="42" t="str">
        <v>Portugal</v>
      </c>
      <c r="AL740" s="42">
        <v>7</v>
      </c>
      <c r="AM740" s="42">
        <v>0</v>
      </c>
      <c r="AN740" s="42" t="str">
        <v>North Korea</v>
      </c>
      <c r="AO740" s="42" t="str">
        <v>-</v>
      </c>
    </row>
    <row r="741" spans="24:41">
      <c r="X741" s="15">
        <v>739</v>
      </c>
      <c r="Y741" s="15" t="str">
        <v>Wagner Pina</v>
      </c>
      <c r="Z741" s="15">
        <v>23</v>
      </c>
      <c r="AA741" s="15" t="str">
        <v>Cabo Verde</v>
      </c>
      <c r="AB741" s="15" t="str">
        <v>RB</v>
      </c>
      <c r="AC741" s="15" t="str">
        <v>Trabzonspor</v>
      </c>
      <c r="AD741" s="15">
        <v>24</v>
      </c>
      <c r="AF741" s="42">
        <v>2010</v>
      </c>
      <c r="AG741" s="42" t="str">
        <v xml:space="preserve">21 Jun 2010 - 16:00 </v>
      </c>
      <c r="AH741" s="42" t="str">
        <v>GROUP_STAGE</v>
      </c>
      <c r="AI741" s="42" t="str">
        <v>Port Elizabeth Stadium</v>
      </c>
      <c r="AJ741" s="42" t="str">
        <v xml:space="preserve">Nelson Mandela Bay/Port Elizabeth </v>
      </c>
      <c r="AK741" s="42" t="str">
        <v>Chile</v>
      </c>
      <c r="AL741" s="42">
        <v>1</v>
      </c>
      <c r="AM741" s="42">
        <v>0</v>
      </c>
      <c r="AN741" s="42" t="str">
        <v>Switzerland</v>
      </c>
      <c r="AO741" s="42" t="str">
        <v>-</v>
      </c>
    </row>
    <row r="742" spans="24:41">
      <c r="X742" s="15">
        <v>740</v>
      </c>
      <c r="Y742" s="15" t="str">
        <v>Kevin Pina</v>
      </c>
      <c r="Z742" s="15">
        <v>29</v>
      </c>
      <c r="AA742" s="15" t="str">
        <v>Cabo Verde</v>
      </c>
      <c r="AB742" s="15" t="str">
        <v>CDM</v>
      </c>
      <c r="AC742" s="15" t="str">
        <v>Krasnodar</v>
      </c>
      <c r="AD742" s="15">
        <v>6</v>
      </c>
      <c r="AF742" s="42">
        <v>2010</v>
      </c>
      <c r="AG742" s="42" t="str">
        <v xml:space="preserve">21 Jun 2010 - 20:30 </v>
      </c>
      <c r="AH742" s="42" t="str">
        <v>GROUP_STAGE</v>
      </c>
      <c r="AI742" s="42" t="str">
        <v>Ellis Park Stadium</v>
      </c>
      <c r="AJ742" s="42" t="str">
        <v xml:space="preserve">Johannesburg </v>
      </c>
      <c r="AK742" s="42" t="str">
        <v>Spain</v>
      </c>
      <c r="AL742" s="42">
        <v>2</v>
      </c>
      <c r="AM742" s="42">
        <v>0</v>
      </c>
      <c r="AN742" s="42" t="str">
        <v>Honduras</v>
      </c>
      <c r="AO742" s="42" t="str">
        <v>-</v>
      </c>
    </row>
    <row r="743" spans="24:41">
      <c r="X743" s="15">
        <v>741</v>
      </c>
      <c r="Y743" s="15" t="str">
        <v>Yannick Semedo</v>
      </c>
      <c r="Z743" s="15">
        <v>30</v>
      </c>
      <c r="AA743" s="15" t="str">
        <v>Cabo Verde</v>
      </c>
      <c r="AB743" s="15" t="str">
        <v>CDM</v>
      </c>
      <c r="AC743" s="15" t="str">
        <v>Farense</v>
      </c>
      <c r="AD743" s="15">
        <v>16</v>
      </c>
      <c r="AF743" s="42">
        <v>2010</v>
      </c>
      <c r="AG743" s="42" t="str">
        <v xml:space="preserve">22 Jun 2010 - 16:00 </v>
      </c>
      <c r="AH743" s="42" t="str">
        <v>GROUP_STAGE</v>
      </c>
      <c r="AI743" s="42" t="str">
        <v>Royal Bafokeng Sports Palace</v>
      </c>
      <c r="AJ743" s="42" t="str">
        <v xml:space="preserve">Phokeng </v>
      </c>
      <c r="AK743" s="42" t="str">
        <v>Mexico</v>
      </c>
      <c r="AL743" s="42">
        <v>0</v>
      </c>
      <c r="AM743" s="42">
        <v>1</v>
      </c>
      <c r="AN743" s="42" t="str">
        <v>Uruguay</v>
      </c>
      <c r="AO743" s="42" t="str">
        <v>-</v>
      </c>
    </row>
    <row r="744" spans="24:41">
      <c r="X744" s="15">
        <v>742</v>
      </c>
      <c r="Y744" s="15" t="str">
        <v>João Paulo</v>
      </c>
      <c r="Z744" s="15">
        <v>28</v>
      </c>
      <c r="AA744" s="15" t="str">
        <v>Cabo Verde</v>
      </c>
      <c r="AB744" s="15" t="str">
        <v>CM</v>
      </c>
      <c r="AC744" s="15" t="str">
        <v>FCSB</v>
      </c>
      <c r="AD744" s="15">
        <v>8</v>
      </c>
      <c r="AF744" s="42">
        <v>2010</v>
      </c>
      <c r="AG744" s="42" t="str">
        <v xml:space="preserve">22 Jun 2010 - 16:00 </v>
      </c>
      <c r="AH744" s="42" t="str">
        <v>GROUP_STAGE</v>
      </c>
      <c r="AI744" s="42" t="str">
        <v>Free State Stadium</v>
      </c>
      <c r="AJ744" s="42" t="str">
        <v xml:space="preserve">Mangaung/Bloemfontein </v>
      </c>
      <c r="AK744" s="42" t="str">
        <v>France</v>
      </c>
      <c r="AL744" s="42">
        <v>1</v>
      </c>
      <c r="AM744" s="42">
        <v>2</v>
      </c>
      <c r="AN744" s="42" t="str">
        <v>South Africa</v>
      </c>
      <c r="AO744" s="42" t="str">
        <v>-</v>
      </c>
    </row>
    <row r="745" spans="24:41">
      <c r="X745" s="15">
        <v>743</v>
      </c>
      <c r="Y745" s="15" t="str">
        <v>Deroy Duarte</v>
      </c>
      <c r="Z745" s="15">
        <v>26</v>
      </c>
      <c r="AA745" s="15" t="str">
        <v>Cabo Verde</v>
      </c>
      <c r="AB745" s="15" t="str">
        <v>CM</v>
      </c>
      <c r="AC745" s="15" t="str">
        <v>Ludogorets Razgrad</v>
      </c>
      <c r="AD745" s="15">
        <v>14</v>
      </c>
      <c r="AF745" s="42">
        <v>2010</v>
      </c>
      <c r="AG745" s="42" t="str">
        <v xml:space="preserve">22 Jun 2010 - 20:30 </v>
      </c>
      <c r="AH745" s="42" t="str">
        <v>GROUP_STAGE</v>
      </c>
      <c r="AI745" s="42" t="str">
        <v>Durban Stadium</v>
      </c>
      <c r="AJ745" s="42" t="str">
        <v xml:space="preserve">Durban </v>
      </c>
      <c r="AK745" s="42" t="str">
        <v>Nigeria</v>
      </c>
      <c r="AL745" s="42">
        <v>2</v>
      </c>
      <c r="AM745" s="42">
        <v>2</v>
      </c>
      <c r="AN745" s="42" t="str">
        <v>South Korea</v>
      </c>
      <c r="AO745" s="42" t="str">
        <v>-</v>
      </c>
    </row>
    <row r="746" spans="24:41">
      <c r="X746" s="15">
        <v>744</v>
      </c>
      <c r="Y746" s="15" t="str">
        <v>Laros Duarte</v>
      </c>
      <c r="Z746" s="15">
        <v>29</v>
      </c>
      <c r="AA746" s="15" t="str">
        <v>Cabo Verde</v>
      </c>
      <c r="AB746" s="15" t="str">
        <v>CM</v>
      </c>
      <c r="AC746" s="15" t="str">
        <v>Puskás Akadémia</v>
      </c>
      <c r="AD746" s="15">
        <v>15</v>
      </c>
      <c r="AF746" s="42">
        <v>2010</v>
      </c>
      <c r="AG746" s="42" t="str">
        <v xml:space="preserve">22 Jun 2010 - 20:30 </v>
      </c>
      <c r="AH746" s="42" t="str">
        <v>GROUP_STAGE</v>
      </c>
      <c r="AI746" s="42" t="str">
        <v>Peter Mokaba Stadium</v>
      </c>
      <c r="AJ746" s="42" t="str">
        <v xml:space="preserve">Polokwane </v>
      </c>
      <c r="AK746" s="42" t="str">
        <v>Greece</v>
      </c>
      <c r="AL746" s="42">
        <v>0</v>
      </c>
      <c r="AM746" s="42">
        <v>2</v>
      </c>
      <c r="AN746" s="42" t="str">
        <v>Argentina</v>
      </c>
      <c r="AO746" s="42" t="str">
        <v>-</v>
      </c>
    </row>
    <row r="747" spans="24:41">
      <c r="X747" s="15">
        <v>745</v>
      </c>
      <c r="Y747" s="15" t="str">
        <v>Telmo Arcanjo</v>
      </c>
      <c r="Z747" s="15">
        <v>24</v>
      </c>
      <c r="AA747" s="15" t="str">
        <v>Cabo Verde</v>
      </c>
      <c r="AB747" s="15" t="str">
        <v>CM</v>
      </c>
      <c r="AC747" s="15" t="str">
        <v>Vitória de Guimarães</v>
      </c>
      <c r="AD747" s="15">
        <v>18</v>
      </c>
      <c r="AF747" s="42">
        <v>2010</v>
      </c>
      <c r="AG747" s="42" t="str">
        <v xml:space="preserve">23 Jun 2010 - 16:00 </v>
      </c>
      <c r="AH747" s="42" t="str">
        <v>GROUP_STAGE</v>
      </c>
      <c r="AI747" s="42" t="str">
        <v>Port Elizabeth Stadium</v>
      </c>
      <c r="AJ747" s="42" t="str">
        <v xml:space="preserve">Nelson Mandela Bay/Port Elizabeth </v>
      </c>
      <c r="AK747" s="42" t="str">
        <v>Slovenia</v>
      </c>
      <c r="AL747" s="42">
        <v>0</v>
      </c>
      <c r="AM747" s="42">
        <v>1</v>
      </c>
      <c r="AN747" s="42" t="str">
        <v>England</v>
      </c>
      <c r="AO747" s="42" t="str">
        <v>-</v>
      </c>
    </row>
    <row r="748" spans="24:41">
      <c r="X748" s="15">
        <v>746</v>
      </c>
      <c r="Y748" s="15" t="str">
        <v>Jamiro Monteiro</v>
      </c>
      <c r="Z748" s="15">
        <v>32</v>
      </c>
      <c r="AA748" s="15" t="str">
        <v>Cabo Verde</v>
      </c>
      <c r="AB748" s="15" t="str">
        <v>CAM</v>
      </c>
      <c r="AC748" s="15" t="str">
        <v>PEC Zwolle</v>
      </c>
      <c r="AD748" s="15">
        <v>10</v>
      </c>
      <c r="AF748" s="42">
        <v>2010</v>
      </c>
      <c r="AG748" s="42" t="str">
        <v xml:space="preserve">23 Jun 2010 - 16:00 </v>
      </c>
      <c r="AH748" s="42" t="str">
        <v>GROUP_STAGE</v>
      </c>
      <c r="AI748" s="42" t="str">
        <v>Loftus Versfeld Stadium</v>
      </c>
      <c r="AJ748" s="42" t="str">
        <v xml:space="preserve">Tshwane/Pretoria </v>
      </c>
      <c r="AK748" s="42" t="str">
        <v>United States</v>
      </c>
      <c r="AL748" s="42">
        <v>1</v>
      </c>
      <c r="AM748" s="42">
        <v>0</v>
      </c>
      <c r="AN748" s="42" t="str">
        <v>Algeria</v>
      </c>
      <c r="AO748" s="42" t="str">
        <v>-</v>
      </c>
    </row>
    <row r="749" spans="24:41">
      <c r="X749" s="15">
        <v>747</v>
      </c>
      <c r="Y749" s="15" t="str">
        <v>Nuno da Costa</v>
      </c>
      <c r="Z749" s="15">
        <v>35</v>
      </c>
      <c r="AA749" s="15" t="str">
        <v>Cabo Verde</v>
      </c>
      <c r="AB749" s="15" t="str">
        <v>CAM</v>
      </c>
      <c r="AC749" s="15" t="str">
        <v>İstanbul Başakşehir</v>
      </c>
      <c r="AD749" s="15">
        <v>21</v>
      </c>
      <c r="AF749" s="42">
        <v>2010</v>
      </c>
      <c r="AG749" s="42" t="str">
        <v xml:space="preserve">23 Jun 2010 - 20:30 </v>
      </c>
      <c r="AH749" s="42" t="str">
        <v>GROUP_STAGE</v>
      </c>
      <c r="AI749" s="42" t="str">
        <v>Soccer City Stadium</v>
      </c>
      <c r="AJ749" s="42" t="str">
        <v xml:space="preserve">Johannesburg </v>
      </c>
      <c r="AK749" s="42" t="str">
        <v>Ghana</v>
      </c>
      <c r="AL749" s="42">
        <v>0</v>
      </c>
      <c r="AM749" s="42">
        <v>1</v>
      </c>
      <c r="AN749" s="42" t="str">
        <v>Germany</v>
      </c>
      <c r="AO749" s="42" t="str">
        <v>-</v>
      </c>
    </row>
    <row r="750" spans="24:41">
      <c r="X750" s="15">
        <v>748</v>
      </c>
      <c r="Y750" s="15" t="str">
        <v>Jovane Cabral</v>
      </c>
      <c r="Z750" s="15">
        <v>27</v>
      </c>
      <c r="AA750" s="15" t="str">
        <v>Cabo Verde</v>
      </c>
      <c r="AB750" s="15" t="str">
        <v>LW</v>
      </c>
      <c r="AC750" s="15" t="str">
        <v>Estrela Amadora</v>
      </c>
      <c r="AD750" s="15">
        <v>7</v>
      </c>
      <c r="AF750" s="42">
        <v>2010</v>
      </c>
      <c r="AG750" s="42" t="str">
        <v xml:space="preserve">23 Jun 2010 - 20:30 </v>
      </c>
      <c r="AH750" s="42" t="str">
        <v>GROUP_STAGE</v>
      </c>
      <c r="AI750" s="42" t="str">
        <v>Mbombela Stadium</v>
      </c>
      <c r="AJ750" s="42" t="str">
        <v xml:space="preserve">Nelspruit </v>
      </c>
      <c r="AK750" s="42" t="str">
        <v>Australia</v>
      </c>
      <c r="AL750" s="42">
        <v>2</v>
      </c>
      <c r="AM750" s="42">
        <v>1</v>
      </c>
      <c r="AN750" s="42" t="str">
        <v>Serbia</v>
      </c>
      <c r="AO750" s="42" t="str">
        <v>-</v>
      </c>
    </row>
    <row r="751" spans="24:41">
      <c r="X751" s="15">
        <v>749</v>
      </c>
      <c r="Y751" s="15" t="str">
        <v>Willy Semedo</v>
      </c>
      <c r="Z751" s="15">
        <v>32</v>
      </c>
      <c r="AA751" s="15" t="str">
        <v>Cabo Verde</v>
      </c>
      <c r="AB751" s="15" t="str">
        <v>LW</v>
      </c>
      <c r="AC751" s="15" t="str">
        <v>Omonia</v>
      </c>
      <c r="AD751" s="15">
        <v>17</v>
      </c>
      <c r="AF751" s="42">
        <v>2010</v>
      </c>
      <c r="AG751" s="42" t="str">
        <v xml:space="preserve">24 Jun 2010 - 16:00 </v>
      </c>
      <c r="AH751" s="42" t="str">
        <v>GROUP_STAGE</v>
      </c>
      <c r="AI751" s="42" t="str">
        <v>Ellis Park Stadium</v>
      </c>
      <c r="AJ751" s="42" t="str">
        <v xml:space="preserve">Johannesburg </v>
      </c>
      <c r="AK751" s="42" t="str">
        <v>Slovakia</v>
      </c>
      <c r="AL751" s="42">
        <v>3</v>
      </c>
      <c r="AM751" s="42">
        <v>2</v>
      </c>
      <c r="AN751" s="42" t="str">
        <v>Italy</v>
      </c>
      <c r="AO751" s="42" t="str">
        <v>-</v>
      </c>
    </row>
    <row r="752" spans="24:41">
      <c r="X752" s="15">
        <v>750</v>
      </c>
      <c r="Y752" s="15" t="str">
        <v>Hélio Varela</v>
      </c>
      <c r="Z752" s="15">
        <v>24</v>
      </c>
      <c r="AA752" s="15" t="str">
        <v>Cabo Verde</v>
      </c>
      <c r="AB752" s="15" t="str">
        <v>LW</v>
      </c>
      <c r="AC752" s="15" t="str">
        <v>Maccabi Tel Aviv</v>
      </c>
      <c r="AD752" s="15">
        <v>26</v>
      </c>
      <c r="AF752" s="42">
        <v>2010</v>
      </c>
      <c r="AG752" s="42" t="str">
        <v xml:space="preserve">24 Jun 2010 - 16:00 </v>
      </c>
      <c r="AH752" s="42" t="str">
        <v>GROUP_STAGE</v>
      </c>
      <c r="AI752" s="42" t="str">
        <v>Peter Mokaba Stadium</v>
      </c>
      <c r="AJ752" s="42" t="str">
        <v xml:space="preserve">Polokwane </v>
      </c>
      <c r="AK752" s="42" t="str">
        <v>Paraguay</v>
      </c>
      <c r="AL752" s="42">
        <v>0</v>
      </c>
      <c r="AM752" s="42">
        <v>0</v>
      </c>
      <c r="AN752" s="42" t="str">
        <v>New Zealand</v>
      </c>
      <c r="AO752" s="42" t="str">
        <v>-</v>
      </c>
    </row>
    <row r="753" spans="24:41">
      <c r="X753" s="15">
        <v>751</v>
      </c>
      <c r="Y753" s="15" t="str">
        <v>Garry Rodrigues</v>
      </c>
      <c r="Z753" s="15">
        <v>35</v>
      </c>
      <c r="AA753" s="15" t="str">
        <v>Cabo Verde</v>
      </c>
      <c r="AB753" s="15" t="str">
        <v>RW</v>
      </c>
      <c r="AC753" s="15" t="str">
        <v>Apollon Limassol</v>
      </c>
      <c r="AD753" s="15">
        <v>11</v>
      </c>
      <c r="AF753" s="42">
        <v>2010</v>
      </c>
      <c r="AG753" s="42" t="str">
        <v xml:space="preserve">24 Jun 2010 - 20:30 </v>
      </c>
      <c r="AH753" s="42" t="str">
        <v>GROUP_STAGE</v>
      </c>
      <c r="AI753" s="42" t="str">
        <v>Royal Bafokeng Sports Palace</v>
      </c>
      <c r="AJ753" s="42" t="str">
        <v xml:space="preserve">Phokeng </v>
      </c>
      <c r="AK753" s="42" t="str">
        <v>Denmark</v>
      </c>
      <c r="AL753" s="42">
        <v>1</v>
      </c>
      <c r="AM753" s="42">
        <v>3</v>
      </c>
      <c r="AN753" s="42" t="str">
        <v>Japan</v>
      </c>
      <c r="AO753" s="42" t="str">
        <v>-</v>
      </c>
    </row>
    <row r="754" spans="24:41">
      <c r="X754" s="15">
        <v>752</v>
      </c>
      <c r="Y754" s="15" t="str">
        <v>Ryan Mendes</v>
      </c>
      <c r="Z754" s="15">
        <v>36</v>
      </c>
      <c r="AA754" s="15" t="str">
        <v>Cabo Verde</v>
      </c>
      <c r="AB754" s="15" t="str">
        <v>RW</v>
      </c>
      <c r="AC754" s="15" t="str">
        <v>Iğdır</v>
      </c>
      <c r="AD754" s="15">
        <v>20</v>
      </c>
      <c r="AF754" s="42">
        <v>2010</v>
      </c>
      <c r="AG754" s="42" t="str">
        <v xml:space="preserve">24 Jun 2010 - 20:30 </v>
      </c>
      <c r="AH754" s="42" t="str">
        <v>GROUP_STAGE</v>
      </c>
      <c r="AI754" s="42" t="str">
        <v>Cape Town Stadium</v>
      </c>
      <c r="AJ754" s="42" t="str">
        <v xml:space="preserve">Cape Town </v>
      </c>
      <c r="AK754" s="42" t="str">
        <v>Cameroon</v>
      </c>
      <c r="AL754" s="42">
        <v>1</v>
      </c>
      <c r="AM754" s="42">
        <v>2</v>
      </c>
      <c r="AN754" s="42" t="str">
        <v>Netherlands</v>
      </c>
      <c r="AO754" s="42" t="str">
        <v>-</v>
      </c>
    </row>
    <row r="755" spans="24:41">
      <c r="X755" s="15">
        <v>753</v>
      </c>
      <c r="Y755" s="15" t="str">
        <v>Gilson Benchimol</v>
      </c>
      <c r="Z755" s="15">
        <v>24</v>
      </c>
      <c r="AA755" s="15" t="str">
        <v>Cabo Verde</v>
      </c>
      <c r="AB755" s="15" t="str">
        <v>ST</v>
      </c>
      <c r="AC755" s="15" t="str">
        <v>Akron Tolyatti</v>
      </c>
      <c r="AD755" s="15">
        <v>9</v>
      </c>
      <c r="AF755" s="42">
        <v>2010</v>
      </c>
      <c r="AG755" s="42" t="str">
        <v xml:space="preserve">25 Jun 2010 - 16:00 </v>
      </c>
      <c r="AH755" s="42" t="str">
        <v>GROUP_STAGE</v>
      </c>
      <c r="AI755" s="42" t="str">
        <v>Durban Stadium</v>
      </c>
      <c r="AJ755" s="42" t="str">
        <v xml:space="preserve">Durban </v>
      </c>
      <c r="AK755" s="42" t="str">
        <v>Portugal</v>
      </c>
      <c r="AL755" s="42">
        <v>0</v>
      </c>
      <c r="AM755" s="42">
        <v>0</v>
      </c>
      <c r="AN755" s="42" t="str">
        <v>Brazil</v>
      </c>
      <c r="AO755" s="42" t="str">
        <v>-</v>
      </c>
    </row>
    <row r="756" spans="24:41">
      <c r="X756" s="15">
        <v>754</v>
      </c>
      <c r="Y756" s="15" t="str">
        <v>Dailon Livramento</v>
      </c>
      <c r="Z756" s="15">
        <v>25</v>
      </c>
      <c r="AA756" s="15" t="str">
        <v>Cabo Verde</v>
      </c>
      <c r="AB756" s="15" t="str">
        <v>ST</v>
      </c>
      <c r="AC756" s="15" t="str">
        <v>Casa Pia</v>
      </c>
      <c r="AD756" s="15">
        <v>19</v>
      </c>
      <c r="AF756" s="42">
        <v>2010</v>
      </c>
      <c r="AG756" s="42" t="str">
        <v xml:space="preserve">25 Jun 2010 - 16:00 </v>
      </c>
      <c r="AH756" s="42" t="str">
        <v>GROUP_STAGE</v>
      </c>
      <c r="AI756" s="42" t="str">
        <v>Mbombela Stadium</v>
      </c>
      <c r="AJ756" s="42" t="str">
        <v xml:space="preserve">Nelspruit </v>
      </c>
      <c r="AK756" s="42" t="str">
        <v>North Korea</v>
      </c>
      <c r="AL756" s="42">
        <v>0</v>
      </c>
      <c r="AM756" s="42">
        <v>3</v>
      </c>
      <c r="AN756" s="42" t="str">
        <v>Côte d'Ivoire</v>
      </c>
      <c r="AO756" s="42" t="str">
        <v>-</v>
      </c>
    </row>
    <row r="757" spans="24:41">
      <c r="X757" s="15">
        <v>755</v>
      </c>
      <c r="Y757" s="15" t="str">
        <v>Nawaf Al-Aqidi</v>
      </c>
      <c r="Z757" s="15">
        <v>26</v>
      </c>
      <c r="AA757" s="15" t="str">
        <v>Saudi Arabia</v>
      </c>
      <c r="AB757" s="15" t="str">
        <v>GK</v>
      </c>
      <c r="AC757" s="15" t="str">
        <v>Al-Nassr</v>
      </c>
      <c r="AD757" s="15">
        <v>1</v>
      </c>
      <c r="AF757" s="42">
        <v>2010</v>
      </c>
      <c r="AG757" s="42" t="str">
        <v xml:space="preserve">25 Jun 2010 - 20:30 </v>
      </c>
      <c r="AH757" s="42" t="str">
        <v>GROUP_STAGE</v>
      </c>
      <c r="AI757" s="42" t="str">
        <v>Loftus Versfeld Stadium</v>
      </c>
      <c r="AJ757" s="42" t="str">
        <v xml:space="preserve">Tshwane/Pretoria </v>
      </c>
      <c r="AK757" s="42" t="str">
        <v>Chile</v>
      </c>
      <c r="AL757" s="42">
        <v>1</v>
      </c>
      <c r="AM757" s="42">
        <v>2</v>
      </c>
      <c r="AN757" s="42" t="str">
        <v>Spain</v>
      </c>
      <c r="AO757" s="42" t="str">
        <v>-</v>
      </c>
    </row>
    <row r="758" spans="24:41">
      <c r="X758" s="15">
        <v>756</v>
      </c>
      <c r="Y758" s="15" t="str">
        <v>Mohammed Al-Owais</v>
      </c>
      <c r="Z758" s="15">
        <v>34</v>
      </c>
      <c r="AA758" s="15" t="str">
        <v>Saudi Arabia</v>
      </c>
      <c r="AB758" s="15" t="str">
        <v>GK</v>
      </c>
      <c r="AC758" s="15" t="str">
        <v>Al-Ula</v>
      </c>
      <c r="AD758" s="15">
        <v>21</v>
      </c>
      <c r="AF758" s="42">
        <v>2010</v>
      </c>
      <c r="AG758" s="42" t="str">
        <v xml:space="preserve">25 Jun 2010 - 20:30 </v>
      </c>
      <c r="AH758" s="42" t="str">
        <v>GROUP_STAGE</v>
      </c>
      <c r="AI758" s="42" t="str">
        <v>Free State Stadium</v>
      </c>
      <c r="AJ758" s="42" t="str">
        <v xml:space="preserve">Mangaung/Bloemfontein </v>
      </c>
      <c r="AK758" s="42" t="str">
        <v>Switzerland</v>
      </c>
      <c r="AL758" s="42">
        <v>0</v>
      </c>
      <c r="AM758" s="42">
        <v>0</v>
      </c>
      <c r="AN758" s="42" t="str">
        <v>Honduras</v>
      </c>
      <c r="AO758" s="42" t="str">
        <v>-</v>
      </c>
    </row>
    <row r="759" spans="24:41">
      <c r="X759" s="15">
        <v>757</v>
      </c>
      <c r="Y759" s="15" t="str">
        <v>Ahmed Al-Kassar</v>
      </c>
      <c r="Z759" s="15">
        <v>35</v>
      </c>
      <c r="AA759" s="15" t="str">
        <v>Saudi Arabia</v>
      </c>
      <c r="AB759" s="15" t="str">
        <v>GK</v>
      </c>
      <c r="AC759" s="15" t="str">
        <v>Al-Qadsiah</v>
      </c>
      <c r="AD759" s="15">
        <v>22</v>
      </c>
      <c r="AF759" s="42">
        <v>2010</v>
      </c>
      <c r="AG759" s="42" t="str">
        <v xml:space="preserve">26 Jun 2010 - 16:00 </v>
      </c>
      <c r="AH759" s="42" t="str">
        <v>ROUND_OF_16</v>
      </c>
      <c r="AI759" s="42" t="str">
        <v>Port Elizabeth Stadium</v>
      </c>
      <c r="AJ759" s="42" t="str">
        <v xml:space="preserve">Nelson Mandela Bay/Port Elizabeth </v>
      </c>
      <c r="AK759" s="42" t="str">
        <v>Uruguay</v>
      </c>
      <c r="AL759" s="42">
        <v>2</v>
      </c>
      <c r="AM759" s="42">
        <v>1</v>
      </c>
      <c r="AN759" s="42" t="str">
        <v>South Korea</v>
      </c>
      <c r="AO759" s="42" t="str">
        <v>-</v>
      </c>
    </row>
    <row r="760" spans="24:41">
      <c r="X760" s="15">
        <v>758</v>
      </c>
      <c r="Y760" s="15" t="str">
        <v>Ali Lajami</v>
      </c>
      <c r="Z760" s="15">
        <v>30</v>
      </c>
      <c r="AA760" s="15" t="str">
        <v>Saudi Arabia</v>
      </c>
      <c r="AB760" s="15" t="str">
        <v>CB</v>
      </c>
      <c r="AC760" s="15" t="str">
        <v>Al-Hilal</v>
      </c>
      <c r="AD760" s="15">
        <v>3</v>
      </c>
      <c r="AF760" s="42">
        <v>2010</v>
      </c>
      <c r="AG760" s="42" t="str">
        <v xml:space="preserve">26 Jun 2010 - 20:30 </v>
      </c>
      <c r="AH760" s="42" t="str">
        <v>ROUND_OF_16</v>
      </c>
      <c r="AI760" s="42" t="str">
        <v>Royal Bafokeng Sports Palace</v>
      </c>
      <c r="AJ760" s="42" t="str">
        <v xml:space="preserve">Phokeng </v>
      </c>
      <c r="AK760" s="42" t="str">
        <v>United States</v>
      </c>
      <c r="AL760" s="42">
        <v>1</v>
      </c>
      <c r="AM760" s="42">
        <v>2</v>
      </c>
      <c r="AN760" s="42" t="str">
        <v>Ghana</v>
      </c>
      <c r="AO760" s="42" t="str">
        <v>Ghana win after extra time</v>
      </c>
    </row>
    <row r="761" spans="24:41">
      <c r="X761" s="15">
        <v>759</v>
      </c>
      <c r="Y761" s="15" t="str">
        <v>Abdulelah Al-Amri</v>
      </c>
      <c r="Z761" s="15">
        <v>29</v>
      </c>
      <c r="AA761" s="15" t="str">
        <v>Saudi Arabia</v>
      </c>
      <c r="AB761" s="15" t="str">
        <v>CB</v>
      </c>
      <c r="AC761" s="15" t="str">
        <v>Al-Nassr</v>
      </c>
      <c r="AD761" s="15">
        <v>4</v>
      </c>
      <c r="AF761" s="42">
        <v>2010</v>
      </c>
      <c r="AG761" s="42" t="str">
        <v xml:space="preserve">27 Jun 2010 - 16:00 </v>
      </c>
      <c r="AH761" s="42" t="str">
        <v>ROUND_OF_16</v>
      </c>
      <c r="AI761" s="42" t="str">
        <v>Free State Stadium</v>
      </c>
      <c r="AJ761" s="42" t="str">
        <v xml:space="preserve">Mangaung/Bloemfontein </v>
      </c>
      <c r="AK761" s="42" t="str">
        <v>Germany</v>
      </c>
      <c r="AL761" s="42">
        <v>4</v>
      </c>
      <c r="AM761" s="42">
        <v>1</v>
      </c>
      <c r="AN761" s="42" t="str">
        <v>England</v>
      </c>
      <c r="AO761" s="42" t="str">
        <v>-</v>
      </c>
    </row>
    <row r="762" spans="24:41">
      <c r="X762" s="15">
        <v>760</v>
      </c>
      <c r="Y762" s="15" t="str">
        <v>Hassan Al-Tambakti</v>
      </c>
      <c r="Z762" s="15">
        <v>27</v>
      </c>
      <c r="AA762" s="15" t="str">
        <v>Saudi Arabia</v>
      </c>
      <c r="AB762" s="15" t="str">
        <v>CB</v>
      </c>
      <c r="AC762" s="15" t="str">
        <v>Al-Hilal</v>
      </c>
      <c r="AD762" s="15">
        <v>5</v>
      </c>
      <c r="AF762" s="42">
        <v>2010</v>
      </c>
      <c r="AG762" s="42" t="str">
        <v xml:space="preserve">27 Jun 2010 - 20:30 </v>
      </c>
      <c r="AH762" s="42" t="str">
        <v>ROUND_OF_16</v>
      </c>
      <c r="AI762" s="42" t="str">
        <v>Soccer City Stadium</v>
      </c>
      <c r="AJ762" s="42" t="str">
        <v xml:space="preserve">Johannesburg </v>
      </c>
      <c r="AK762" s="42" t="str">
        <v>Argentina</v>
      </c>
      <c r="AL762" s="42">
        <v>3</v>
      </c>
      <c r="AM762" s="42">
        <v>1</v>
      </c>
      <c r="AN762" s="42" t="str">
        <v>Mexico</v>
      </c>
      <c r="AO762" s="42" t="str">
        <v>-</v>
      </c>
    </row>
    <row r="763" spans="24:41">
      <c r="X763" s="15">
        <v>761</v>
      </c>
      <c r="Y763" s="15" t="str">
        <v>Hassan Kadesh</v>
      </c>
      <c r="Z763" s="15">
        <v>33</v>
      </c>
      <c r="AA763" s="15" t="str">
        <v>Saudi Arabia</v>
      </c>
      <c r="AB763" s="15" t="str">
        <v>CB</v>
      </c>
      <c r="AC763" s="15" t="str">
        <v>Al-Ittihad</v>
      </c>
      <c r="AD763" s="15">
        <v>14</v>
      </c>
      <c r="AF763" s="42">
        <v>2010</v>
      </c>
      <c r="AG763" s="42" t="str">
        <v xml:space="preserve">28 Jun 2010 - 16:00 </v>
      </c>
      <c r="AH763" s="42" t="str">
        <v>ROUND_OF_16</v>
      </c>
      <c r="AI763" s="42" t="str">
        <v>Durban Stadium</v>
      </c>
      <c r="AJ763" s="42" t="str">
        <v xml:space="preserve">Durban </v>
      </c>
      <c r="AK763" s="42" t="str">
        <v>Netherlands</v>
      </c>
      <c r="AL763" s="42">
        <v>2</v>
      </c>
      <c r="AM763" s="42">
        <v>1</v>
      </c>
      <c r="AN763" s="42" t="str">
        <v>Slovakia</v>
      </c>
      <c r="AO763" s="42" t="str">
        <v>-</v>
      </c>
    </row>
    <row r="764" spans="24:41">
      <c r="X764" s="15">
        <v>762</v>
      </c>
      <c r="Y764" s="15" t="str">
        <v>Jehad Thakri</v>
      </c>
      <c r="Z764" s="15">
        <v>24</v>
      </c>
      <c r="AA764" s="15" t="str">
        <v>Saudi Arabia</v>
      </c>
      <c r="AB764" s="15" t="str">
        <v>CB</v>
      </c>
      <c r="AC764" s="15" t="str">
        <v>Al-Qadsiah</v>
      </c>
      <c r="AD764" s="15">
        <v>25</v>
      </c>
      <c r="AF764" s="42">
        <v>2010</v>
      </c>
      <c r="AG764" s="42" t="str">
        <v xml:space="preserve">28 Jun 2010 - 20:30 </v>
      </c>
      <c r="AH764" s="42" t="str">
        <v>ROUND_OF_16</v>
      </c>
      <c r="AI764" s="42" t="str">
        <v>Ellis Park Stadium</v>
      </c>
      <c r="AJ764" s="42" t="str">
        <v xml:space="preserve">Johannesburg </v>
      </c>
      <c r="AK764" s="42" t="str">
        <v>Brazil</v>
      </c>
      <c r="AL764" s="42">
        <v>3</v>
      </c>
      <c r="AM764" s="42">
        <v>0</v>
      </c>
      <c r="AN764" s="42" t="str">
        <v>Chile</v>
      </c>
      <c r="AO764" s="42" t="str">
        <v>-</v>
      </c>
    </row>
    <row r="765" spans="24:41">
      <c r="X765" s="15">
        <v>763</v>
      </c>
      <c r="Y765" s="15" t="str">
        <v>Nasser Al-Dawsari</v>
      </c>
      <c r="Z765" s="15">
        <v>27</v>
      </c>
      <c r="AA765" s="15" t="str">
        <v>Saudi Arabia</v>
      </c>
      <c r="AB765" s="15" t="str">
        <v>LB</v>
      </c>
      <c r="AC765" s="15" t="str">
        <v>Al-Hilal</v>
      </c>
      <c r="AD765" s="15">
        <v>6</v>
      </c>
      <c r="AF765" s="42">
        <v>2010</v>
      </c>
      <c r="AG765" s="42" t="str">
        <v xml:space="preserve">29 Jun 2010 - 16:00 </v>
      </c>
      <c r="AH765" s="42" t="str">
        <v>ROUND_OF_16</v>
      </c>
      <c r="AI765" s="42" t="str">
        <v>Loftus Versfeld Stadium</v>
      </c>
      <c r="AJ765" s="42" t="str">
        <v xml:space="preserve">Tshwane/Pretoria </v>
      </c>
      <c r="AK765" s="42" t="str">
        <v>Paraguay</v>
      </c>
      <c r="AL765" s="42">
        <v>0</v>
      </c>
      <c r="AM765" s="42">
        <v>0</v>
      </c>
      <c r="AN765" s="42" t="str">
        <v>Japan</v>
      </c>
      <c r="AO765" s="42" t="str">
        <v>Paraguay win on penalties (5 - 3)</v>
      </c>
    </row>
    <row r="766" spans="24:41">
      <c r="X766" s="15">
        <v>764</v>
      </c>
      <c r="Y766" s="15" t="str">
        <v>Moteb Al-Harbi</v>
      </c>
      <c r="Z766" s="15">
        <v>26</v>
      </c>
      <c r="AA766" s="15" t="str">
        <v>Saudi Arabia</v>
      </c>
      <c r="AB766" s="15" t="str">
        <v>LB</v>
      </c>
      <c r="AC766" s="15" t="str">
        <v>Al-Hilal</v>
      </c>
      <c r="AD766" s="15">
        <v>24</v>
      </c>
      <c r="AF766" s="42">
        <v>2010</v>
      </c>
      <c r="AG766" s="42" t="str">
        <v xml:space="preserve">29 Jun 2010 - 20:30 </v>
      </c>
      <c r="AH766" s="42" t="str">
        <v>ROUND_OF_16</v>
      </c>
      <c r="AI766" s="42" t="str">
        <v>Cape Town Stadium</v>
      </c>
      <c r="AJ766" s="42" t="str">
        <v xml:space="preserve">Cape Town </v>
      </c>
      <c r="AK766" s="42" t="str">
        <v>Spain</v>
      </c>
      <c r="AL766" s="42">
        <v>1</v>
      </c>
      <c r="AM766" s="42">
        <v>0</v>
      </c>
      <c r="AN766" s="42" t="str">
        <v>Portugal</v>
      </c>
      <c r="AO766" s="42" t="str">
        <v>-</v>
      </c>
    </row>
    <row r="767" spans="24:41">
      <c r="X767" s="15">
        <v>765</v>
      </c>
      <c r="Y767" s="15" t="str">
        <v>Ali Majrashi</v>
      </c>
      <c r="Z767" s="15">
        <v>26</v>
      </c>
      <c r="AA767" s="15" t="str">
        <v>Saudi Arabia</v>
      </c>
      <c r="AB767" s="15" t="str">
        <v>RB</v>
      </c>
      <c r="AC767" s="15" t="str">
        <v>Al-Ahli</v>
      </c>
      <c r="AD767" s="15">
        <v>2</v>
      </c>
      <c r="AF767" s="42">
        <v>2010</v>
      </c>
      <c r="AG767" s="42" t="str">
        <v xml:space="preserve">02 Jul 2010 - 16:00 </v>
      </c>
      <c r="AH767" s="42" t="str">
        <v>QUARTER_FINALS</v>
      </c>
      <c r="AI767" s="42" t="str">
        <v>Port Elizabeth Stadium</v>
      </c>
      <c r="AJ767" s="42" t="str">
        <v xml:space="preserve">Nelson Mandela Bay/Port Elizabeth </v>
      </c>
      <c r="AK767" s="42" t="str">
        <v>Netherlands</v>
      </c>
      <c r="AL767" s="42">
        <v>2</v>
      </c>
      <c r="AM767" s="42">
        <v>1</v>
      </c>
      <c r="AN767" s="42" t="str">
        <v>Brazil</v>
      </c>
      <c r="AO767" s="42" t="str">
        <v>-</v>
      </c>
    </row>
    <row r="768" spans="24:41">
      <c r="X768" s="15">
        <v>766</v>
      </c>
      <c r="Y768" s="15" t="str">
        <v>Saud Abdulhamid</v>
      </c>
      <c r="Z768" s="15">
        <v>26</v>
      </c>
      <c r="AA768" s="15" t="str">
        <v>Saudi Arabia</v>
      </c>
      <c r="AB768" s="15" t="str">
        <v>RB</v>
      </c>
      <c r="AC768" s="15" t="str">
        <v>Lens</v>
      </c>
      <c r="AD768" s="15">
        <v>12</v>
      </c>
      <c r="AF768" s="42">
        <v>2010</v>
      </c>
      <c r="AG768" s="42" t="str">
        <v xml:space="preserve">02 Jul 2010 - 20:30 </v>
      </c>
      <c r="AH768" s="42" t="str">
        <v>QUARTER_FINALS</v>
      </c>
      <c r="AI768" s="42" t="str">
        <v>Soccer City Stadium</v>
      </c>
      <c r="AJ768" s="42" t="str">
        <v xml:space="preserve">Johannesburg </v>
      </c>
      <c r="AK768" s="42" t="str">
        <v>Uruguay</v>
      </c>
      <c r="AL768" s="42">
        <v>1</v>
      </c>
      <c r="AM768" s="42">
        <v>1</v>
      </c>
      <c r="AN768" s="42" t="str">
        <v>Ghana</v>
      </c>
      <c r="AO768" s="42" t="str">
        <v>Uruguay win on penalties (4 - 2)</v>
      </c>
    </row>
    <row r="769" spans="24:41">
      <c r="X769" s="15">
        <v>767</v>
      </c>
      <c r="Y769" s="15" t="str">
        <v>Nawaf Boushal</v>
      </c>
      <c r="Z769" s="15">
        <v>26</v>
      </c>
      <c r="AA769" s="15" t="str">
        <v>Saudi Arabia</v>
      </c>
      <c r="AB769" s="15" t="str">
        <v>RB</v>
      </c>
      <c r="AC769" s="15" t="str">
        <v>Al-Nassr</v>
      </c>
      <c r="AD769" s="15">
        <v>13</v>
      </c>
      <c r="AF769" s="42">
        <v>2010</v>
      </c>
      <c r="AG769" s="42" t="str">
        <v xml:space="preserve">03 Jul 2010 - 16:00 </v>
      </c>
      <c r="AH769" s="42" t="str">
        <v>QUARTER_FINALS</v>
      </c>
      <c r="AI769" s="42" t="str">
        <v>Cape Town Stadium</v>
      </c>
      <c r="AJ769" s="42" t="str">
        <v xml:space="preserve">Cape Town </v>
      </c>
      <c r="AK769" s="42" t="str">
        <v>Argentina</v>
      </c>
      <c r="AL769" s="42">
        <v>0</v>
      </c>
      <c r="AM769" s="42">
        <v>4</v>
      </c>
      <c r="AN769" s="42" t="str">
        <v>Germany</v>
      </c>
      <c r="AO769" s="42" t="str">
        <v>-</v>
      </c>
    </row>
    <row r="770" spans="24:41">
      <c r="X770" s="15">
        <v>768</v>
      </c>
      <c r="Y770" s="15" t="str">
        <v>Mohammed Abu Al-Shamat</v>
      </c>
      <c r="Z770" s="15">
        <v>23</v>
      </c>
      <c r="AA770" s="15" t="str">
        <v>Saudi Arabia</v>
      </c>
      <c r="AB770" s="15" t="str">
        <v>RB</v>
      </c>
      <c r="AC770" s="15" t="str">
        <v>Al-Qadsiah</v>
      </c>
      <c r="AD770" s="15">
        <v>26</v>
      </c>
      <c r="AF770" s="42">
        <v>2010</v>
      </c>
      <c r="AG770" s="42" t="str">
        <v xml:space="preserve">03 Jul 2010 - 20:30 </v>
      </c>
      <c r="AH770" s="42" t="str">
        <v>QUARTER_FINALS</v>
      </c>
      <c r="AI770" s="42" t="str">
        <v>Ellis Park Stadium</v>
      </c>
      <c r="AJ770" s="42" t="str">
        <v xml:space="preserve">Johannesburg </v>
      </c>
      <c r="AK770" s="42" t="str">
        <v>Paraguay</v>
      </c>
      <c r="AL770" s="42">
        <v>0</v>
      </c>
      <c r="AM770" s="42">
        <v>1</v>
      </c>
      <c r="AN770" s="42" t="str">
        <v>Spain</v>
      </c>
      <c r="AO770" s="42" t="str">
        <v>-</v>
      </c>
    </row>
    <row r="771" spans="24:41">
      <c r="X771" s="15">
        <v>769</v>
      </c>
      <c r="Y771" s="15" t="str">
        <v>Abdullah Al-Khaibari</v>
      </c>
      <c r="Z771" s="15">
        <v>29</v>
      </c>
      <c r="AA771" s="15" t="str">
        <v>Saudi Arabia</v>
      </c>
      <c r="AB771" s="15" t="str">
        <v>CDM</v>
      </c>
      <c r="AC771" s="15" t="str">
        <v>Al-Nassr</v>
      </c>
      <c r="AD771" s="15">
        <v>15</v>
      </c>
      <c r="AF771" s="42">
        <v>2010</v>
      </c>
      <c r="AG771" s="42" t="str">
        <v xml:space="preserve">06 Jul 2010 - 20:30 </v>
      </c>
      <c r="AH771" s="42" t="str">
        <v>SEMI_FINALS</v>
      </c>
      <c r="AI771" s="42" t="str">
        <v>Cape Town Stadium</v>
      </c>
      <c r="AJ771" s="42" t="str">
        <v xml:space="preserve">Cape Town </v>
      </c>
      <c r="AK771" s="42" t="str">
        <v>Uruguay</v>
      </c>
      <c r="AL771" s="42">
        <v>2</v>
      </c>
      <c r="AM771" s="42">
        <v>3</v>
      </c>
      <c r="AN771" s="42" t="str">
        <v>Netherlands</v>
      </c>
      <c r="AO771" s="42" t="str">
        <v>-</v>
      </c>
    </row>
    <row r="772" spans="24:41">
      <c r="X772" s="15">
        <v>770</v>
      </c>
      <c r="Y772" s="15" t="str">
        <v>Alaa Al-Hejji</v>
      </c>
      <c r="Z772" s="15">
        <v>30</v>
      </c>
      <c r="AA772" s="15" t="str">
        <v>Saudi Arabia</v>
      </c>
      <c r="AB772" s="15" t="str">
        <v>CDM</v>
      </c>
      <c r="AC772" s="15" t="str">
        <v>Neom</v>
      </c>
      <c r="AD772" s="15">
        <v>18</v>
      </c>
      <c r="AF772" s="42">
        <v>2010</v>
      </c>
      <c r="AG772" s="42" t="str">
        <v xml:space="preserve">07 Jul 2010 - 20:30 </v>
      </c>
      <c r="AH772" s="42" t="str">
        <v>SEMI_FINALS</v>
      </c>
      <c r="AI772" s="42" t="str">
        <v>Durban Stadium</v>
      </c>
      <c r="AJ772" s="42" t="str">
        <v xml:space="preserve">Durban </v>
      </c>
      <c r="AK772" s="42" t="str">
        <v>Germany</v>
      </c>
      <c r="AL772" s="42">
        <v>0</v>
      </c>
      <c r="AM772" s="42">
        <v>1</v>
      </c>
      <c r="AN772" s="42" t="str">
        <v>Spain</v>
      </c>
      <c r="AO772" s="42" t="str">
        <v>-</v>
      </c>
    </row>
    <row r="773" spans="24:41">
      <c r="X773" s="15">
        <v>771</v>
      </c>
      <c r="Y773" s="15" t="str">
        <v>Ziyad Al-Johani</v>
      </c>
      <c r="Z773" s="15">
        <v>24</v>
      </c>
      <c r="AA773" s="15" t="str">
        <v>Saudi Arabia</v>
      </c>
      <c r="AB773" s="15" t="str">
        <v>CM</v>
      </c>
      <c r="AC773" s="15" t="str">
        <v>Al-Ahli</v>
      </c>
      <c r="AD773" s="15">
        <v>16</v>
      </c>
      <c r="AF773" s="42">
        <v>2010</v>
      </c>
      <c r="AG773" s="42" t="str">
        <v xml:space="preserve">10 Jul 2010 - 20:30 </v>
      </c>
      <c r="AH773" s="42" t="str">
        <v>THIRD_PLACE</v>
      </c>
      <c r="AI773" s="42" t="str">
        <v>Port Elizabeth Stadium</v>
      </c>
      <c r="AJ773" s="42" t="str">
        <v xml:space="preserve">Nelson Mandela Bay/Port Elizabeth </v>
      </c>
      <c r="AK773" s="42" t="str">
        <v>Uruguay</v>
      </c>
      <c r="AL773" s="42">
        <v>2</v>
      </c>
      <c r="AM773" s="42">
        <v>3</v>
      </c>
      <c r="AN773" s="42" t="str">
        <v>Germany</v>
      </c>
      <c r="AO773" s="42" t="str">
        <v>-</v>
      </c>
    </row>
    <row r="774" spans="24:41">
      <c r="X774" s="15">
        <v>772</v>
      </c>
      <c r="Y774" s="15" t="str">
        <v>Mohamed Kanno</v>
      </c>
      <c r="Z774" s="15">
        <v>31</v>
      </c>
      <c r="AA774" s="15" t="str">
        <v>Saudi Arabia</v>
      </c>
      <c r="AB774" s="15" t="str">
        <v>CM</v>
      </c>
      <c r="AC774" s="15" t="str">
        <v>Al-Hilal</v>
      </c>
      <c r="AD774" s="15">
        <v>23</v>
      </c>
      <c r="AF774" s="42">
        <v>2010</v>
      </c>
      <c r="AG774" s="42" t="str">
        <v xml:space="preserve">11 Jul 2010 - 20:30 </v>
      </c>
      <c r="AH774" s="42" t="str">
        <v>FINAL</v>
      </c>
      <c r="AI774" s="42" t="str">
        <v>Soccer City Stadium</v>
      </c>
      <c r="AJ774" s="42" t="str">
        <v xml:space="preserve">Johannesburg </v>
      </c>
      <c r="AK774" s="42" t="str">
        <v>Netherlands</v>
      </c>
      <c r="AL774" s="42">
        <v>0</v>
      </c>
      <c r="AM774" s="42">
        <v>1</v>
      </c>
      <c r="AN774" s="42" t="str">
        <v>Spain</v>
      </c>
      <c r="AO774" s="42" t="str">
        <v>Spain win after extra time</v>
      </c>
    </row>
    <row r="775" spans="24:41">
      <c r="X775" s="15">
        <v>773</v>
      </c>
      <c r="Y775" s="15" t="str">
        <v>Musab Al-Juwayr</v>
      </c>
      <c r="Z775" s="15">
        <v>22</v>
      </c>
      <c r="AA775" s="15" t="str">
        <v>Saudi Arabia</v>
      </c>
      <c r="AB775" s="15" t="str">
        <v>CAM</v>
      </c>
      <c r="AC775" s="15" t="str">
        <v>Al-Qadsiah</v>
      </c>
      <c r="AD775" s="15">
        <v>7</v>
      </c>
      <c r="AF775" s="42">
        <v>2014</v>
      </c>
      <c r="AG775" s="42" t="str">
        <v xml:space="preserve">12 Jun 2014 - 17:00 </v>
      </c>
      <c r="AH775" s="42" t="str">
        <v>GROUP_STAGE</v>
      </c>
      <c r="AI775" s="42" t="str">
        <v>Arena de Sao Paulo</v>
      </c>
      <c r="AJ775" s="42" t="str">
        <v xml:space="preserve">Sao Paulo </v>
      </c>
      <c r="AK775" s="42" t="str">
        <v>Brazil</v>
      </c>
      <c r="AL775" s="42">
        <v>3</v>
      </c>
      <c r="AM775" s="42">
        <v>1</v>
      </c>
      <c r="AN775" s="42" t="str">
        <v>Croatia</v>
      </c>
      <c r="AO775" s="42" t="str">
        <v>-</v>
      </c>
    </row>
    <row r="776" spans="24:41">
      <c r="X776" s="15">
        <v>774</v>
      </c>
      <c r="Y776" s="15" t="str">
        <v>Salem Al-Dawsari</v>
      </c>
      <c r="Z776" s="15">
        <v>34</v>
      </c>
      <c r="AA776" s="15" t="str">
        <v>Saudi Arabia</v>
      </c>
      <c r="AB776" s="15" t="str">
        <v>LW</v>
      </c>
      <c r="AC776" s="15" t="str">
        <v>Al-Hilal</v>
      </c>
      <c r="AD776" s="15">
        <v>10</v>
      </c>
      <c r="AF776" s="42">
        <v>2014</v>
      </c>
      <c r="AG776" s="42" t="str">
        <v xml:space="preserve">13 Jun 2014 - 13:00 </v>
      </c>
      <c r="AH776" s="42" t="str">
        <v>GROUP_STAGE</v>
      </c>
      <c r="AI776" s="42" t="str">
        <v>Estadio das Dunas</v>
      </c>
      <c r="AJ776" s="42" t="str">
        <v xml:space="preserve">Natal </v>
      </c>
      <c r="AK776" s="42" t="str">
        <v>Mexico</v>
      </c>
      <c r="AL776" s="42">
        <v>1</v>
      </c>
      <c r="AM776" s="42">
        <v>0</v>
      </c>
      <c r="AN776" s="42" t="str">
        <v>Cameroon</v>
      </c>
      <c r="AO776" s="42" t="str">
        <v>-</v>
      </c>
    </row>
    <row r="777" spans="24:41">
      <c r="X777" s="15">
        <v>775</v>
      </c>
      <c r="Y777" s="15" t="str">
        <v>Khalid Al-Ghannam</v>
      </c>
      <c r="Z777" s="15">
        <v>25</v>
      </c>
      <c r="AA777" s="15" t="str">
        <v>Saudi Arabia</v>
      </c>
      <c r="AB777" s="15" t="str">
        <v>LW</v>
      </c>
      <c r="AC777" s="15" t="str">
        <v>Al-Ettifaq</v>
      </c>
      <c r="AD777" s="15">
        <v>17</v>
      </c>
      <c r="AF777" s="42">
        <v>2014</v>
      </c>
      <c r="AG777" s="42" t="str">
        <v xml:space="preserve">13 Jun 2014 - 16:00 </v>
      </c>
      <c r="AH777" s="42" t="str">
        <v>GROUP_STAGE</v>
      </c>
      <c r="AI777" s="42" t="str">
        <v>Arena Fonte Nova</v>
      </c>
      <c r="AJ777" s="42" t="str">
        <v xml:space="preserve">Salvador </v>
      </c>
      <c r="AK777" s="42" t="str">
        <v>Spain</v>
      </c>
      <c r="AL777" s="42">
        <v>1</v>
      </c>
      <c r="AM777" s="42">
        <v>5</v>
      </c>
      <c r="AN777" s="42" t="str">
        <v>Netherlands</v>
      </c>
      <c r="AO777" s="42" t="str">
        <v>-</v>
      </c>
    </row>
    <row r="778" spans="24:41">
      <c r="X778" s="15">
        <v>776</v>
      </c>
      <c r="Y778" s="15" t="str">
        <v>Ayman Yahya</v>
      </c>
      <c r="Z778" s="15">
        <v>25</v>
      </c>
      <c r="AA778" s="15" t="str">
        <v>Saudi Arabia</v>
      </c>
      <c r="AB778" s="15" t="str">
        <v>RW</v>
      </c>
      <c r="AC778" s="15" t="str">
        <v>Al-Nassr</v>
      </c>
      <c r="AD778" s="15">
        <v>8</v>
      </c>
      <c r="AF778" s="42">
        <v>2014</v>
      </c>
      <c r="AG778" s="42" t="str">
        <v xml:space="preserve">13 Jun 2014 - 18:00 </v>
      </c>
      <c r="AH778" s="42" t="str">
        <v>GROUP_STAGE</v>
      </c>
      <c r="AI778" s="42" t="str">
        <v>Arena Pantanal</v>
      </c>
      <c r="AJ778" s="42" t="str">
        <v xml:space="preserve">Cuiaba </v>
      </c>
      <c r="AK778" s="42" t="str">
        <v>Chile</v>
      </c>
      <c r="AL778" s="42">
        <v>3</v>
      </c>
      <c r="AM778" s="42">
        <v>1</v>
      </c>
      <c r="AN778" s="42" t="str">
        <v>Australia</v>
      </c>
      <c r="AO778" s="42" t="str">
        <v>-</v>
      </c>
    </row>
    <row r="779" spans="24:41">
      <c r="X779" s="15">
        <v>777</v>
      </c>
      <c r="Y779" s="15" t="str">
        <v>Sultan Mandash</v>
      </c>
      <c r="Z779" s="15">
        <v>31</v>
      </c>
      <c r="AA779" s="15" t="str">
        <v>Saudi Arabia</v>
      </c>
      <c r="AB779" s="15" t="str">
        <v>RW</v>
      </c>
      <c r="AC779" s="15" t="str">
        <v>Al-Hilal</v>
      </c>
      <c r="AD779" s="15">
        <v>20</v>
      </c>
      <c r="AF779" s="42">
        <v>2014</v>
      </c>
      <c r="AG779" s="42" t="str">
        <v xml:space="preserve">14 Jun 2014 - 13:00 </v>
      </c>
      <c r="AH779" s="42" t="str">
        <v>GROUP_STAGE</v>
      </c>
      <c r="AI779" s="42" t="str">
        <v>Estadio Mineirao</v>
      </c>
      <c r="AJ779" s="42" t="str">
        <v xml:space="preserve">Belo Horizonte </v>
      </c>
      <c r="AK779" s="42" t="str">
        <v>Colombia</v>
      </c>
      <c r="AL779" s="42">
        <v>3</v>
      </c>
      <c r="AM779" s="42">
        <v>0</v>
      </c>
      <c r="AN779" s="42" t="str">
        <v>Greece</v>
      </c>
      <c r="AO779" s="42" t="str">
        <v>-</v>
      </c>
    </row>
    <row r="780" spans="24:41">
      <c r="X780" s="15">
        <v>778</v>
      </c>
      <c r="Y780" s="15" t="str">
        <v>Firas Al-Buraikan</v>
      </c>
      <c r="Z780" s="15">
        <v>26</v>
      </c>
      <c r="AA780" s="15" t="str">
        <v>Saudi Arabia</v>
      </c>
      <c r="AB780" s="15" t="str">
        <v>ST</v>
      </c>
      <c r="AC780" s="15" t="str">
        <v>Al-Ahli</v>
      </c>
      <c r="AD780" s="15">
        <v>9</v>
      </c>
      <c r="AF780" s="42">
        <v>2014</v>
      </c>
      <c r="AG780" s="42" t="str">
        <v xml:space="preserve">14 Jun 2014 - 16:00 </v>
      </c>
      <c r="AH780" s="42" t="str">
        <v>GROUP_STAGE</v>
      </c>
      <c r="AI780" s="42" t="str">
        <v>Estadio Castelao</v>
      </c>
      <c r="AJ780" s="42" t="str">
        <v xml:space="preserve">Fortaleza </v>
      </c>
      <c r="AK780" s="42" t="str">
        <v>Uruguay</v>
      </c>
      <c r="AL780" s="42">
        <v>1</v>
      </c>
      <c r="AM780" s="42">
        <v>3</v>
      </c>
      <c r="AN780" s="42" t="str">
        <v>Costa Rica</v>
      </c>
      <c r="AO780" s="42" t="str">
        <v>-</v>
      </c>
    </row>
    <row r="781" spans="24:41">
      <c r="X781" s="15">
        <v>779</v>
      </c>
      <c r="Y781" s="15" t="str">
        <v>Saleh Al-Shehri</v>
      </c>
      <c r="Z781" s="15">
        <v>32</v>
      </c>
      <c r="AA781" s="15" t="str">
        <v>Saudi Arabia</v>
      </c>
      <c r="AB781" s="15" t="str">
        <v>ST</v>
      </c>
      <c r="AC781" s="15" t="str">
        <v>Al-Ittihad</v>
      </c>
      <c r="AD781" s="15">
        <v>11</v>
      </c>
      <c r="AF781" s="42">
        <v>2014</v>
      </c>
      <c r="AG781" s="42" t="str">
        <v xml:space="preserve">14 Jun 2014 - 18:00 </v>
      </c>
      <c r="AH781" s="42" t="str">
        <v>GROUP_STAGE</v>
      </c>
      <c r="AI781" s="42" t="str">
        <v>Arena Amazonia</v>
      </c>
      <c r="AJ781" s="42" t="str">
        <v xml:space="preserve">Manaus </v>
      </c>
      <c r="AK781" s="42" t="str">
        <v>England</v>
      </c>
      <c r="AL781" s="42">
        <v>1</v>
      </c>
      <c r="AM781" s="42">
        <v>2</v>
      </c>
      <c r="AN781" s="42" t="str">
        <v>Italy</v>
      </c>
      <c r="AO781" s="42" t="str">
        <v>-</v>
      </c>
    </row>
    <row r="782" spans="24:41">
      <c r="X782" s="15">
        <v>780</v>
      </c>
      <c r="Y782" s="15" t="str">
        <v>Abdullah Al-Hamdan</v>
      </c>
      <c r="Z782" s="15">
        <v>26</v>
      </c>
      <c r="AA782" s="15" t="str">
        <v>Saudi Arabia</v>
      </c>
      <c r="AB782" s="15" t="str">
        <v>ST</v>
      </c>
      <c r="AC782" s="15" t="str">
        <v>Al-Nassr</v>
      </c>
      <c r="AD782" s="15">
        <v>19</v>
      </c>
      <c r="AF782" s="42">
        <v>2014</v>
      </c>
      <c r="AG782" s="42" t="str">
        <v xml:space="preserve">14 Jun 2014 - 22:00 </v>
      </c>
      <c r="AH782" s="42" t="str">
        <v>GROUP_STAGE</v>
      </c>
      <c r="AI782" s="42" t="str">
        <v>Arena Pernambuco</v>
      </c>
      <c r="AJ782" s="42" t="str">
        <v xml:space="preserve">Recife </v>
      </c>
      <c r="AK782" s="42" t="str">
        <v>Côte d'Ivoire</v>
      </c>
      <c r="AL782" s="42">
        <v>2</v>
      </c>
      <c r="AM782" s="42">
        <v>1</v>
      </c>
      <c r="AN782" s="42" t="str">
        <v>Japan</v>
      </c>
      <c r="AO782" s="42" t="str">
        <v>-</v>
      </c>
    </row>
    <row r="783" spans="24:41">
      <c r="X783" s="15">
        <v>781</v>
      </c>
      <c r="Y783" s="15" t="str">
        <v>David Raya</v>
      </c>
      <c r="Z783" s="15">
        <v>30</v>
      </c>
      <c r="AA783" s="15" t="str">
        <v>Spain</v>
      </c>
      <c r="AB783" s="15" t="str">
        <v>GK</v>
      </c>
      <c r="AC783" s="15" t="str">
        <v>Arsenal</v>
      </c>
      <c r="AD783" s="15">
        <v>1</v>
      </c>
      <c r="AF783" s="42">
        <v>2014</v>
      </c>
      <c r="AG783" s="42" t="str">
        <v xml:space="preserve">15 Jun 2014 - 13:00 </v>
      </c>
      <c r="AH783" s="42" t="str">
        <v>GROUP_STAGE</v>
      </c>
      <c r="AI783" s="42" t="str">
        <v>Estadio Nacional</v>
      </c>
      <c r="AJ783" s="42" t="str">
        <v xml:space="preserve">Brasilia </v>
      </c>
      <c r="AK783" s="42" t="str">
        <v>Switzerland</v>
      </c>
      <c r="AL783" s="42">
        <v>2</v>
      </c>
      <c r="AM783" s="42">
        <v>1</v>
      </c>
      <c r="AN783" s="42" t="str">
        <v>Ecuador</v>
      </c>
      <c r="AO783" s="42" t="str">
        <v>-</v>
      </c>
    </row>
    <row r="784" spans="24:41">
      <c r="X784" s="15">
        <v>782</v>
      </c>
      <c r="Y784" s="15" t="str">
        <v>Joan Garcia</v>
      </c>
      <c r="Z784" s="15">
        <v>25</v>
      </c>
      <c r="AA784" s="15" t="str">
        <v>Spain</v>
      </c>
      <c r="AB784" s="15" t="str">
        <v>GK</v>
      </c>
      <c r="AC784" s="15" t="str">
        <v>Barcelona</v>
      </c>
      <c r="AD784" s="15">
        <v>13</v>
      </c>
      <c r="AF784" s="42">
        <v>2014</v>
      </c>
      <c r="AG784" s="42" t="str">
        <v xml:space="preserve">15 Jun 2014 - 16:00 </v>
      </c>
      <c r="AH784" s="42" t="str">
        <v>GROUP_STAGE</v>
      </c>
      <c r="AI784" s="42" t="str">
        <v>Estadio Beira-Rio</v>
      </c>
      <c r="AJ784" s="42" t="str">
        <v xml:space="preserve">Porto Alegre </v>
      </c>
      <c r="AK784" s="42" t="str">
        <v>France</v>
      </c>
      <c r="AL784" s="42">
        <v>3</v>
      </c>
      <c r="AM784" s="42">
        <v>0</v>
      </c>
      <c r="AN784" s="42" t="str">
        <v>Honduras</v>
      </c>
      <c r="AO784" s="42" t="str">
        <v>-</v>
      </c>
    </row>
    <row r="785" spans="24:41">
      <c r="X785" s="15">
        <v>783</v>
      </c>
      <c r="Y785" s="15" t="str">
        <v>Unai Simón</v>
      </c>
      <c r="Z785" s="15">
        <v>29</v>
      </c>
      <c r="AA785" s="15" t="str">
        <v>Spain</v>
      </c>
      <c r="AB785" s="15" t="str">
        <v>GK</v>
      </c>
      <c r="AC785" s="15" t="str">
        <v>Athletic Bilbao</v>
      </c>
      <c r="AD785" s="15">
        <v>23</v>
      </c>
      <c r="AF785" s="42">
        <v>2014</v>
      </c>
      <c r="AG785" s="42" t="str">
        <v xml:space="preserve">15 Jun 2014 - 19:00 </v>
      </c>
      <c r="AH785" s="42" t="str">
        <v>GROUP_STAGE</v>
      </c>
      <c r="AI785" s="42" t="str">
        <v>Estadio do Maracana</v>
      </c>
      <c r="AJ785" s="42" t="str">
        <v xml:space="preserve">Rio De Janeiro </v>
      </c>
      <c r="AK785" s="42" t="str">
        <v>Argentina</v>
      </c>
      <c r="AL785" s="42">
        <v>2</v>
      </c>
      <c r="AM785" s="42">
        <v>1</v>
      </c>
      <c r="AN785" s="42" t="str">
        <v>Bosnia and Herzegovina</v>
      </c>
      <c r="AO785" s="42" t="str">
        <v>-</v>
      </c>
    </row>
    <row r="786" spans="24:41">
      <c r="X786" s="15">
        <v>784</v>
      </c>
      <c r="Y786" s="15" t="str">
        <v>Eric García</v>
      </c>
      <c r="Z786" s="15">
        <v>25</v>
      </c>
      <c r="AA786" s="15" t="str">
        <v>Spain</v>
      </c>
      <c r="AB786" s="15" t="str">
        <v>CB</v>
      </c>
      <c r="AC786" s="15" t="str">
        <v>Barcelona</v>
      </c>
      <c r="AD786" s="15">
        <v>4</v>
      </c>
      <c r="AF786" s="42">
        <v>2014</v>
      </c>
      <c r="AG786" s="42" t="str">
        <v xml:space="preserve">16 Jun 2014 - 13:00 </v>
      </c>
      <c r="AH786" s="42" t="str">
        <v>GROUP_STAGE</v>
      </c>
      <c r="AI786" s="42" t="str">
        <v>Arena Fonte Nova</v>
      </c>
      <c r="AJ786" s="42" t="str">
        <v xml:space="preserve">Salvador </v>
      </c>
      <c r="AK786" s="42" t="str">
        <v>Germany</v>
      </c>
      <c r="AL786" s="42">
        <v>4</v>
      </c>
      <c r="AM786" s="42">
        <v>0</v>
      </c>
      <c r="AN786" s="42" t="str">
        <v>Portugal</v>
      </c>
      <c r="AO786" s="42" t="str">
        <v>-</v>
      </c>
    </row>
    <row r="787" spans="24:41">
      <c r="X787" s="15">
        <v>785</v>
      </c>
      <c r="Y787" s="15" t="str">
        <v>Aymeric Laporte</v>
      </c>
      <c r="Z787" s="15">
        <v>32</v>
      </c>
      <c r="AA787" s="15" t="str">
        <v>Spain</v>
      </c>
      <c r="AB787" s="15" t="str">
        <v>CB</v>
      </c>
      <c r="AC787" s="15" t="str">
        <v>Athletic Bilbao</v>
      </c>
      <c r="AD787" s="15">
        <v>14</v>
      </c>
      <c r="AF787" s="42">
        <v>2014</v>
      </c>
      <c r="AG787" s="42" t="str">
        <v xml:space="preserve">16 Jun 2014 - 16:00 </v>
      </c>
      <c r="AH787" s="42" t="str">
        <v>GROUP_STAGE</v>
      </c>
      <c r="AI787" s="42" t="str">
        <v>Arena da Baixada</v>
      </c>
      <c r="AJ787" s="42" t="str">
        <v xml:space="preserve">Curitiba </v>
      </c>
      <c r="AK787" s="42" t="str">
        <v>Iran</v>
      </c>
      <c r="AL787" s="42">
        <v>0</v>
      </c>
      <c r="AM787" s="42">
        <v>0</v>
      </c>
      <c r="AN787" s="42" t="str">
        <v>Nigeria</v>
      </c>
      <c r="AO787" s="42" t="str">
        <v>-</v>
      </c>
    </row>
    <row r="788" spans="24:41">
      <c r="X788" s="15">
        <v>786</v>
      </c>
      <c r="Y788" s="15" t="str">
        <v>Pau Cubarsí</v>
      </c>
      <c r="Z788" s="15">
        <v>19</v>
      </c>
      <c r="AA788" s="15" t="str">
        <v>Spain</v>
      </c>
      <c r="AB788" s="15" t="str">
        <v>CB</v>
      </c>
      <c r="AC788" s="15" t="str">
        <v>Barcelona</v>
      </c>
      <c r="AD788" s="15">
        <v>22</v>
      </c>
      <c r="AF788" s="42">
        <v>2014</v>
      </c>
      <c r="AG788" s="42" t="str">
        <v xml:space="preserve">16 Jun 2014 - 19:00 </v>
      </c>
      <c r="AH788" s="42" t="str">
        <v>GROUP_STAGE</v>
      </c>
      <c r="AI788" s="42" t="str">
        <v>Estadio das Dunas</v>
      </c>
      <c r="AJ788" s="42" t="str">
        <v xml:space="preserve">Natal </v>
      </c>
      <c r="AK788" s="42" t="str">
        <v>Ghana</v>
      </c>
      <c r="AL788" s="42">
        <v>1</v>
      </c>
      <c r="AM788" s="42">
        <v>2</v>
      </c>
      <c r="AN788" s="42" t="str">
        <v>United States</v>
      </c>
      <c r="AO788" s="42" t="str">
        <v>-</v>
      </c>
    </row>
    <row r="789" spans="24:41">
      <c r="X789" s="15">
        <v>787</v>
      </c>
      <c r="Y789" s="15" t="str">
        <v>Álex Grimaldo</v>
      </c>
      <c r="Z789" s="15">
        <v>30</v>
      </c>
      <c r="AA789" s="15" t="str">
        <v>Spain</v>
      </c>
      <c r="AB789" s="15" t="str">
        <v>LB</v>
      </c>
      <c r="AC789" s="15" t="str">
        <v>Bayer Leverkusen</v>
      </c>
      <c r="AD789" s="15">
        <v>3</v>
      </c>
      <c r="AF789" s="42">
        <v>2014</v>
      </c>
      <c r="AG789" s="42" t="str">
        <v xml:space="preserve">17 Jun 2014 - 13:00 </v>
      </c>
      <c r="AH789" s="42" t="str">
        <v>GROUP_STAGE</v>
      </c>
      <c r="AI789" s="42" t="str">
        <v>Estadio Mineirao</v>
      </c>
      <c r="AJ789" s="42" t="str">
        <v xml:space="preserve">Belo Horizonte </v>
      </c>
      <c r="AK789" s="42" t="str">
        <v>Belgium</v>
      </c>
      <c r="AL789" s="42">
        <v>2</v>
      </c>
      <c r="AM789" s="42">
        <v>1</v>
      </c>
      <c r="AN789" s="42" t="str">
        <v>Algeria</v>
      </c>
      <c r="AO789" s="42" t="str">
        <v>-</v>
      </c>
    </row>
    <row r="790" spans="24:41">
      <c r="X790" s="15">
        <v>788</v>
      </c>
      <c r="Y790" s="15" t="str">
        <v>Marc Cucurella</v>
      </c>
      <c r="Z790" s="15">
        <v>27</v>
      </c>
      <c r="AA790" s="15" t="str">
        <v>Spain</v>
      </c>
      <c r="AB790" s="15" t="str">
        <v>LB</v>
      </c>
      <c r="AC790" s="15" t="str">
        <v>Chelsea</v>
      </c>
      <c r="AD790" s="15">
        <v>24</v>
      </c>
      <c r="AF790" s="42">
        <v>2014</v>
      </c>
      <c r="AG790" s="42" t="str">
        <v xml:space="preserve">17 Jun 2014 - 16:00 </v>
      </c>
      <c r="AH790" s="42" t="str">
        <v>GROUP_STAGE</v>
      </c>
      <c r="AI790" s="42" t="str">
        <v>Estadio Castelao</v>
      </c>
      <c r="AJ790" s="42" t="str">
        <v xml:space="preserve">Fortaleza </v>
      </c>
      <c r="AK790" s="42" t="str">
        <v>Brazil</v>
      </c>
      <c r="AL790" s="42">
        <v>0</v>
      </c>
      <c r="AM790" s="42">
        <v>0</v>
      </c>
      <c r="AN790" s="42" t="str">
        <v>Mexico</v>
      </c>
      <c r="AO790" s="42" t="str">
        <v>-</v>
      </c>
    </row>
    <row r="791" spans="24:41">
      <c r="X791" s="15">
        <v>789</v>
      </c>
      <c r="Y791" s="15" t="str">
        <v>Marc Pubill</v>
      </c>
      <c r="Z791" s="15">
        <v>22</v>
      </c>
      <c r="AA791" s="15" t="str">
        <v>Spain</v>
      </c>
      <c r="AB791" s="15" t="str">
        <v>RB</v>
      </c>
      <c r="AC791" s="15" t="str">
        <v>Atlético Madrid</v>
      </c>
      <c r="AD791" s="15">
        <v>2</v>
      </c>
      <c r="AF791" s="42">
        <v>2014</v>
      </c>
      <c r="AG791" s="42" t="str">
        <v xml:space="preserve">17 Jun 2014 - 18:00 </v>
      </c>
      <c r="AH791" s="42" t="str">
        <v>GROUP_STAGE</v>
      </c>
      <c r="AI791" s="42" t="str">
        <v>Arena Pantanal</v>
      </c>
      <c r="AJ791" s="42" t="str">
        <v xml:space="preserve">Cuiaba </v>
      </c>
      <c r="AK791" s="42" t="str">
        <v>Russia</v>
      </c>
      <c r="AL791" s="42">
        <v>1</v>
      </c>
      <c r="AM791" s="42">
        <v>1</v>
      </c>
      <c r="AN791" s="42" t="str">
        <v>South Korea</v>
      </c>
      <c r="AO791" s="42" t="str">
        <v>-</v>
      </c>
    </row>
    <row r="792" spans="24:41">
      <c r="X792" s="15">
        <v>790</v>
      </c>
      <c r="Y792" s="15" t="str">
        <v>Marcos Llorente</v>
      </c>
      <c r="Z792" s="15">
        <v>31</v>
      </c>
      <c r="AA792" s="15" t="str">
        <v>Spain</v>
      </c>
      <c r="AB792" s="15" t="str">
        <v>RB</v>
      </c>
      <c r="AC792" s="15" t="str">
        <v>Atlético Madrid</v>
      </c>
      <c r="AD792" s="15">
        <v>5</v>
      </c>
      <c r="AF792" s="42">
        <v>2014</v>
      </c>
      <c r="AG792" s="42" t="str">
        <v xml:space="preserve">18 Jun 2014 - 13:00 </v>
      </c>
      <c r="AH792" s="42" t="str">
        <v>GROUP_STAGE</v>
      </c>
      <c r="AI792" s="42" t="str">
        <v>Estadio Beira-Rio</v>
      </c>
      <c r="AJ792" s="42" t="str">
        <v xml:space="preserve">Porto Alegre </v>
      </c>
      <c r="AK792" s="42" t="str">
        <v>Australia</v>
      </c>
      <c r="AL792" s="42">
        <v>2</v>
      </c>
      <c r="AM792" s="42">
        <v>3</v>
      </c>
      <c r="AN792" s="42" t="str">
        <v>Netherlands</v>
      </c>
      <c r="AO792" s="42" t="str">
        <v>-</v>
      </c>
    </row>
    <row r="793" spans="24:41">
      <c r="X793" s="15">
        <v>791</v>
      </c>
      <c r="Y793" s="15" t="str">
        <v>Pedro Porro</v>
      </c>
      <c r="Z793" s="15">
        <v>26</v>
      </c>
      <c r="AA793" s="15" t="str">
        <v>Spain</v>
      </c>
      <c r="AB793" s="15" t="str">
        <v>RB</v>
      </c>
      <c r="AC793" s="15" t="str">
        <v>Tottenham Hotspur</v>
      </c>
      <c r="AD793" s="15">
        <v>12</v>
      </c>
      <c r="AF793" s="42">
        <v>2014</v>
      </c>
      <c r="AG793" s="42" t="str">
        <v xml:space="preserve">18 Jun 2014 - 16:00 </v>
      </c>
      <c r="AH793" s="42" t="str">
        <v>GROUP_STAGE</v>
      </c>
      <c r="AI793" s="42" t="str">
        <v>Estadio do Maracana</v>
      </c>
      <c r="AJ793" s="42" t="str">
        <v xml:space="preserve">Rio De Janeiro </v>
      </c>
      <c r="AK793" s="42" t="str">
        <v>Spain</v>
      </c>
      <c r="AL793" s="42">
        <v>0</v>
      </c>
      <c r="AM793" s="42">
        <v>2</v>
      </c>
      <c r="AN793" s="42" t="str">
        <v>Chile</v>
      </c>
      <c r="AO793" s="42" t="str">
        <v>-</v>
      </c>
    </row>
    <row r="794" spans="24:41">
      <c r="X794" s="15">
        <v>792</v>
      </c>
      <c r="Y794" s="15" t="str">
        <v>Rodri</v>
      </c>
      <c r="Z794" s="15">
        <v>29</v>
      </c>
      <c r="AA794" s="15" t="str">
        <v>Spain</v>
      </c>
      <c r="AB794" s="15" t="str">
        <v>CDM</v>
      </c>
      <c r="AC794" s="15" t="str">
        <v>Manchester City</v>
      </c>
      <c r="AD794" s="15">
        <v>16</v>
      </c>
      <c r="AF794" s="42">
        <v>2014</v>
      </c>
      <c r="AG794" s="42" t="str">
        <v xml:space="preserve">18 Jun 2014 - 18:00 </v>
      </c>
      <c r="AH794" s="42" t="str">
        <v>GROUP_STAGE</v>
      </c>
      <c r="AI794" s="42" t="str">
        <v>Arena Amazonia</v>
      </c>
      <c r="AJ794" s="42" t="str">
        <v xml:space="preserve">Manaus </v>
      </c>
      <c r="AK794" s="42" t="str">
        <v>Cameroon</v>
      </c>
      <c r="AL794" s="42">
        <v>0</v>
      </c>
      <c r="AM794" s="42">
        <v>4</v>
      </c>
      <c r="AN794" s="42" t="str">
        <v>Croatia</v>
      </c>
      <c r="AO794" s="42" t="str">
        <v>-</v>
      </c>
    </row>
    <row r="795" spans="24:41">
      <c r="X795" s="15">
        <v>793</v>
      </c>
      <c r="Y795" s="15" t="str">
        <v>Martín Zubimendi</v>
      </c>
      <c r="Z795" s="15">
        <v>27</v>
      </c>
      <c r="AA795" s="15" t="str">
        <v>Spain</v>
      </c>
      <c r="AB795" s="15" t="str">
        <v>CDM</v>
      </c>
      <c r="AC795" s="15" t="str">
        <v>Arsenal</v>
      </c>
      <c r="AD795" s="15">
        <v>18</v>
      </c>
      <c r="AF795" s="42">
        <v>2014</v>
      </c>
      <c r="AG795" s="42" t="str">
        <v xml:space="preserve">19 Jun 2014 - 13:00 </v>
      </c>
      <c r="AH795" s="42" t="str">
        <v>GROUP_STAGE</v>
      </c>
      <c r="AI795" s="42" t="str">
        <v>Estadio Nacional</v>
      </c>
      <c r="AJ795" s="42" t="str">
        <v xml:space="preserve">Brasilia </v>
      </c>
      <c r="AK795" s="42" t="str">
        <v>Colombia</v>
      </c>
      <c r="AL795" s="42">
        <v>2</v>
      </c>
      <c r="AM795" s="42">
        <v>1</v>
      </c>
      <c r="AN795" s="42" t="str">
        <v>Côte d'Ivoire</v>
      </c>
      <c r="AO795" s="42" t="str">
        <v>-</v>
      </c>
    </row>
    <row r="796" spans="24:41">
      <c r="X796" s="15">
        <v>794</v>
      </c>
      <c r="Y796" s="15" t="str">
        <v>Mikel Merino</v>
      </c>
      <c r="Z796" s="15">
        <v>29</v>
      </c>
      <c r="AA796" s="15" t="str">
        <v>Spain</v>
      </c>
      <c r="AB796" s="15" t="str">
        <v>CM</v>
      </c>
      <c r="AC796" s="15" t="str">
        <v>Arsenal</v>
      </c>
      <c r="AD796" s="15">
        <v>6</v>
      </c>
      <c r="AF796" s="42">
        <v>2014</v>
      </c>
      <c r="AG796" s="42" t="str">
        <v xml:space="preserve">19 Jun 2014 - 16:00 </v>
      </c>
      <c r="AH796" s="42" t="str">
        <v>GROUP_STAGE</v>
      </c>
      <c r="AI796" s="42" t="str">
        <v>Arena de Sao Paulo</v>
      </c>
      <c r="AJ796" s="42" t="str">
        <v xml:space="preserve">Sao Paulo </v>
      </c>
      <c r="AK796" s="42" t="str">
        <v>Uruguay</v>
      </c>
      <c r="AL796" s="42">
        <v>2</v>
      </c>
      <c r="AM796" s="42">
        <v>1</v>
      </c>
      <c r="AN796" s="42" t="str">
        <v>England</v>
      </c>
      <c r="AO796" s="42" t="str">
        <v>-</v>
      </c>
    </row>
    <row r="797" spans="24:41">
      <c r="X797" s="15">
        <v>795</v>
      </c>
      <c r="Y797" s="15" t="str">
        <v>Fabián Ruiz</v>
      </c>
      <c r="Z797" s="15">
        <v>30</v>
      </c>
      <c r="AA797" s="15" t="str">
        <v>Spain</v>
      </c>
      <c r="AB797" s="15" t="str">
        <v>CM</v>
      </c>
      <c r="AC797" s="15" t="str">
        <v>Paris Saint-Germain</v>
      </c>
      <c r="AD797" s="15">
        <v>8</v>
      </c>
      <c r="AF797" s="42">
        <v>2014</v>
      </c>
      <c r="AG797" s="42" t="str">
        <v xml:space="preserve">19 Jun 2014 - 19:00 </v>
      </c>
      <c r="AH797" s="42" t="str">
        <v>GROUP_STAGE</v>
      </c>
      <c r="AI797" s="42" t="str">
        <v>Estadio das Dunas</v>
      </c>
      <c r="AJ797" s="42" t="str">
        <v xml:space="preserve">Natal </v>
      </c>
      <c r="AK797" s="42" t="str">
        <v>Japan</v>
      </c>
      <c r="AL797" s="42">
        <v>0</v>
      </c>
      <c r="AM797" s="42">
        <v>0</v>
      </c>
      <c r="AN797" s="42" t="str">
        <v>Greece</v>
      </c>
      <c r="AO797" s="42" t="str">
        <v>-</v>
      </c>
    </row>
    <row r="798" spans="24:41">
      <c r="X798" s="15">
        <v>796</v>
      </c>
      <c r="Y798" s="15" t="str">
        <v>Gavi</v>
      </c>
      <c r="Z798" s="15">
        <v>21</v>
      </c>
      <c r="AA798" s="15" t="str">
        <v>Spain</v>
      </c>
      <c r="AB798" s="15" t="str">
        <v>CM</v>
      </c>
      <c r="AC798" s="15" t="str">
        <v>Barcelona</v>
      </c>
      <c r="AD798" s="15">
        <v>9</v>
      </c>
      <c r="AF798" s="42">
        <v>2014</v>
      </c>
      <c r="AG798" s="42" t="str">
        <v xml:space="preserve">20 Jun 2014 - 13:00 </v>
      </c>
      <c r="AH798" s="42" t="str">
        <v>GROUP_STAGE</v>
      </c>
      <c r="AI798" s="42" t="str">
        <v>Arena Pernambuco</v>
      </c>
      <c r="AJ798" s="42" t="str">
        <v xml:space="preserve">Recife </v>
      </c>
      <c r="AK798" s="42" t="str">
        <v>Italy</v>
      </c>
      <c r="AL798" s="42">
        <v>0</v>
      </c>
      <c r="AM798" s="42">
        <v>1</v>
      </c>
      <c r="AN798" s="42" t="str">
        <v>Costa Rica</v>
      </c>
      <c r="AO798" s="42" t="str">
        <v>-</v>
      </c>
    </row>
    <row r="799" spans="24:41">
      <c r="X799" s="15">
        <v>797</v>
      </c>
      <c r="Y799" s="15" t="str">
        <v>Álex Baena</v>
      </c>
      <c r="Z799" s="15">
        <v>24</v>
      </c>
      <c r="AA799" s="15" t="str">
        <v>Spain</v>
      </c>
      <c r="AB799" s="15" t="str">
        <v>CAM</v>
      </c>
      <c r="AC799" s="15" t="str">
        <v>Atlético Madrid</v>
      </c>
      <c r="AD799" s="15">
        <v>15</v>
      </c>
      <c r="AF799" s="42">
        <v>2014</v>
      </c>
      <c r="AG799" s="42" t="str">
        <v xml:space="preserve">20 Jun 2014 - 16:00 </v>
      </c>
      <c r="AH799" s="42" t="str">
        <v>GROUP_STAGE</v>
      </c>
      <c r="AI799" s="42" t="str">
        <v>Arena Fonte Nova</v>
      </c>
      <c r="AJ799" s="42" t="str">
        <v xml:space="preserve">Salvador </v>
      </c>
      <c r="AK799" s="42" t="str">
        <v>Switzerland</v>
      </c>
      <c r="AL799" s="42">
        <v>2</v>
      </c>
      <c r="AM799" s="42">
        <v>5</v>
      </c>
      <c r="AN799" s="42" t="str">
        <v>France</v>
      </c>
      <c r="AO799" s="42" t="str">
        <v>-</v>
      </c>
    </row>
    <row r="800" spans="24:41">
      <c r="X800" s="15">
        <v>798</v>
      </c>
      <c r="Y800" s="15" t="str">
        <v>Pedri</v>
      </c>
      <c r="Z800" s="15">
        <v>23</v>
      </c>
      <c r="AA800" s="15" t="str">
        <v>Spain</v>
      </c>
      <c r="AB800" s="15" t="str">
        <v>CAM</v>
      </c>
      <c r="AC800" s="15" t="str">
        <v>Barcelona</v>
      </c>
      <c r="AD800" s="15">
        <v>20</v>
      </c>
      <c r="AF800" s="42">
        <v>2014</v>
      </c>
      <c r="AG800" s="42" t="str">
        <v xml:space="preserve">20 Jun 2014 - 19:00 </v>
      </c>
      <c r="AH800" s="42" t="str">
        <v>GROUP_STAGE</v>
      </c>
      <c r="AI800" s="42" t="str">
        <v>Arena da Baixada</v>
      </c>
      <c r="AJ800" s="42" t="str">
        <v xml:space="preserve">Curitiba </v>
      </c>
      <c r="AK800" s="42" t="str">
        <v>Honduras</v>
      </c>
      <c r="AL800" s="42">
        <v>1</v>
      </c>
      <c r="AM800" s="42">
        <v>2</v>
      </c>
      <c r="AN800" s="42" t="str">
        <v>Ecuador</v>
      </c>
      <c r="AO800" s="42" t="str">
        <v>-</v>
      </c>
    </row>
    <row r="801" spans="24:41">
      <c r="X801" s="15">
        <v>799</v>
      </c>
      <c r="Y801" s="15" t="str">
        <v>Ferran Torres</v>
      </c>
      <c r="Z801" s="15">
        <v>26</v>
      </c>
      <c r="AA801" s="15" t="str">
        <v>Spain</v>
      </c>
      <c r="AB801" s="15" t="str">
        <v>LW</v>
      </c>
      <c r="AC801" s="15" t="str">
        <v>Barcelona</v>
      </c>
      <c r="AD801" s="15">
        <v>7</v>
      </c>
      <c r="AF801" s="42">
        <v>2014</v>
      </c>
      <c r="AG801" s="42" t="str">
        <v xml:space="preserve">21 Jun 2014 - 13:00 </v>
      </c>
      <c r="AH801" s="42" t="str">
        <v>GROUP_STAGE</v>
      </c>
      <c r="AI801" s="42" t="str">
        <v>Estadio Mineirao</v>
      </c>
      <c r="AJ801" s="42" t="str">
        <v xml:space="preserve">Belo Horizonte </v>
      </c>
      <c r="AK801" s="42" t="str">
        <v>Argentina</v>
      </c>
      <c r="AL801" s="42">
        <v>1</v>
      </c>
      <c r="AM801" s="42">
        <v>0</v>
      </c>
      <c r="AN801" s="42" t="str">
        <v>Iran</v>
      </c>
      <c r="AO801" s="42" t="str">
        <v>-</v>
      </c>
    </row>
    <row r="802" spans="24:41">
      <c r="X802" s="15">
        <v>800</v>
      </c>
      <c r="Y802" s="15" t="str">
        <v>Nico Williams</v>
      </c>
      <c r="Z802" s="15">
        <v>23</v>
      </c>
      <c r="AA802" s="15" t="str">
        <v>Spain</v>
      </c>
      <c r="AB802" s="15" t="str">
        <v>LW</v>
      </c>
      <c r="AC802" s="15" t="str">
        <v>Athletic Bilbao</v>
      </c>
      <c r="AD802" s="15">
        <v>17</v>
      </c>
      <c r="AF802" s="42">
        <v>2014</v>
      </c>
      <c r="AG802" s="42" t="str">
        <v xml:space="preserve">21 Jun 2014 - 16:00 </v>
      </c>
      <c r="AH802" s="42" t="str">
        <v>GROUP_STAGE</v>
      </c>
      <c r="AI802" s="42" t="str">
        <v>Estadio Castelao</v>
      </c>
      <c r="AJ802" s="42" t="str">
        <v xml:space="preserve">Fortaleza </v>
      </c>
      <c r="AK802" s="42" t="str">
        <v>Germany</v>
      </c>
      <c r="AL802" s="42">
        <v>2</v>
      </c>
      <c r="AM802" s="42">
        <v>2</v>
      </c>
      <c r="AN802" s="42" t="str">
        <v>Ghana</v>
      </c>
      <c r="AO802" s="42" t="str">
        <v>-</v>
      </c>
    </row>
    <row r="803" spans="24:41">
      <c r="X803" s="15">
        <v>801</v>
      </c>
      <c r="Y803" s="15" t="str">
        <v>Yéremy Pino</v>
      </c>
      <c r="Z803" s="15">
        <v>23</v>
      </c>
      <c r="AA803" s="15" t="str">
        <v>Spain</v>
      </c>
      <c r="AB803" s="15" t="str">
        <v>RW</v>
      </c>
      <c r="AC803" s="15" t="str">
        <v>Crystal Palace</v>
      </c>
      <c r="AD803" s="15">
        <v>11</v>
      </c>
      <c r="AF803" s="42">
        <v>2014</v>
      </c>
      <c r="AG803" s="42" t="str">
        <v xml:space="preserve">21 Jun 2014 - 18:00 </v>
      </c>
      <c r="AH803" s="42" t="str">
        <v>GROUP_STAGE</v>
      </c>
      <c r="AI803" s="42" t="str">
        <v>Arena Pantanal</v>
      </c>
      <c r="AJ803" s="42" t="str">
        <v xml:space="preserve">Cuiaba </v>
      </c>
      <c r="AK803" s="42" t="str">
        <v>Nigeria</v>
      </c>
      <c r="AL803" s="42">
        <v>1</v>
      </c>
      <c r="AM803" s="42">
        <v>0</v>
      </c>
      <c r="AN803" s="42" t="str">
        <v>Bosnia and Herzegovina</v>
      </c>
      <c r="AO803" s="42" t="str">
        <v>-</v>
      </c>
    </row>
    <row r="804" spans="24:41">
      <c r="X804" s="15">
        <v>802</v>
      </c>
      <c r="Y804" s="15" t="str">
        <v>Lamine Yamal</v>
      </c>
      <c r="Z804" s="15">
        <v>18</v>
      </c>
      <c r="AA804" s="15" t="str">
        <v>Spain</v>
      </c>
      <c r="AB804" s="15" t="str">
        <v>RW</v>
      </c>
      <c r="AC804" s="15" t="str">
        <v>Barcelona</v>
      </c>
      <c r="AD804" s="15">
        <v>19</v>
      </c>
      <c r="AF804" s="42">
        <v>2014</v>
      </c>
      <c r="AG804" s="42" t="str">
        <v xml:space="preserve">22 Jun 2014 - 13:00 </v>
      </c>
      <c r="AH804" s="42" t="str">
        <v>GROUP_STAGE</v>
      </c>
      <c r="AI804" s="42" t="str">
        <v>Estadio do Maracana</v>
      </c>
      <c r="AJ804" s="42" t="str">
        <v xml:space="preserve">Rio De Janeiro </v>
      </c>
      <c r="AK804" s="42" t="str">
        <v>Belgium</v>
      </c>
      <c r="AL804" s="42">
        <v>1</v>
      </c>
      <c r="AM804" s="42">
        <v>0</v>
      </c>
      <c r="AN804" s="42" t="str">
        <v>Russia</v>
      </c>
      <c r="AO804" s="42" t="str">
        <v>-</v>
      </c>
    </row>
    <row r="805" spans="24:41">
      <c r="X805" s="15">
        <v>803</v>
      </c>
      <c r="Y805" s="15" t="str">
        <v>Víctor Muñoz</v>
      </c>
      <c r="Z805" s="15">
        <v>22</v>
      </c>
      <c r="AA805" s="15" t="str">
        <v>Spain</v>
      </c>
      <c r="AB805" s="15" t="str">
        <v>RW</v>
      </c>
      <c r="AC805" s="15" t="str">
        <v>Osasuna</v>
      </c>
      <c r="AD805" s="15">
        <v>25</v>
      </c>
      <c r="AF805" s="42">
        <v>2014</v>
      </c>
      <c r="AG805" s="42" t="str">
        <v xml:space="preserve">22 Jun 2014 - 16:00 </v>
      </c>
      <c r="AH805" s="42" t="str">
        <v>GROUP_STAGE</v>
      </c>
      <c r="AI805" s="42" t="str">
        <v>Estadio Beira-Rio</v>
      </c>
      <c r="AJ805" s="42" t="str">
        <v xml:space="preserve">Porto Alegre </v>
      </c>
      <c r="AK805" s="42" t="str">
        <v>South Korea</v>
      </c>
      <c r="AL805" s="42">
        <v>2</v>
      </c>
      <c r="AM805" s="42">
        <v>4</v>
      </c>
      <c r="AN805" s="42" t="str">
        <v>Algeria</v>
      </c>
      <c r="AO805" s="42" t="str">
        <v>-</v>
      </c>
    </row>
    <row r="806" spans="24:41">
      <c r="X806" s="15">
        <v>804</v>
      </c>
      <c r="Y806" s="15" t="str">
        <v>Dani Olmo</v>
      </c>
      <c r="Z806" s="15">
        <v>28</v>
      </c>
      <c r="AA806" s="15" t="str">
        <v>Spain</v>
      </c>
      <c r="AB806" s="15" t="str">
        <v>ST</v>
      </c>
      <c r="AC806" s="15" t="str">
        <v>Barcelona</v>
      </c>
      <c r="AD806" s="15">
        <v>10</v>
      </c>
      <c r="AF806" s="42">
        <v>2014</v>
      </c>
      <c r="AG806" s="42" t="str">
        <v xml:space="preserve">22 Jun 2014 - 18:00 </v>
      </c>
      <c r="AH806" s="42" t="str">
        <v>GROUP_STAGE</v>
      </c>
      <c r="AI806" s="42" t="str">
        <v>Arena Amazonia</v>
      </c>
      <c r="AJ806" s="42" t="str">
        <v xml:space="preserve">Manaus </v>
      </c>
      <c r="AK806" s="42" t="str">
        <v>United States</v>
      </c>
      <c r="AL806" s="42">
        <v>2</v>
      </c>
      <c r="AM806" s="42">
        <v>2</v>
      </c>
      <c r="AN806" s="42" t="str">
        <v>Portugal</v>
      </c>
      <c r="AO806" s="42" t="str">
        <v>-</v>
      </c>
    </row>
    <row r="807" spans="24:41">
      <c r="X807" s="15">
        <v>805</v>
      </c>
      <c r="Y807" s="15" t="str">
        <v>Mikel Oyarzabal</v>
      </c>
      <c r="Z807" s="15">
        <v>29</v>
      </c>
      <c r="AA807" s="15" t="str">
        <v>Spain</v>
      </c>
      <c r="AB807" s="15" t="str">
        <v>ST</v>
      </c>
      <c r="AC807" s="15" t="str">
        <v>Real Sociedad</v>
      </c>
      <c r="AD807" s="15">
        <v>21</v>
      </c>
      <c r="AF807" s="42">
        <v>2014</v>
      </c>
      <c r="AG807" s="42" t="str">
        <v xml:space="preserve">23 Jun 2014 - 13:00 </v>
      </c>
      <c r="AH807" s="42" t="str">
        <v>GROUP_STAGE</v>
      </c>
      <c r="AI807" s="42" t="str">
        <v>Arena da Baixada</v>
      </c>
      <c r="AJ807" s="42" t="str">
        <v xml:space="preserve">Curitiba </v>
      </c>
      <c r="AK807" s="42" t="str">
        <v>Australia</v>
      </c>
      <c r="AL807" s="42">
        <v>0</v>
      </c>
      <c r="AM807" s="42">
        <v>3</v>
      </c>
      <c r="AN807" s="42" t="str">
        <v>Spain</v>
      </c>
      <c r="AO807" s="42" t="str">
        <v>-</v>
      </c>
    </row>
    <row r="808" spans="24:41">
      <c r="X808" s="15">
        <v>806</v>
      </c>
      <c r="Y808" s="15" t="str">
        <v>Borja Iglesias</v>
      </c>
      <c r="Z808" s="15">
        <v>33</v>
      </c>
      <c r="AA808" s="15" t="str">
        <v>Spain</v>
      </c>
      <c r="AB808" s="15" t="str">
        <v>ST</v>
      </c>
      <c r="AC808" s="15" t="str">
        <v>Celta Vigo</v>
      </c>
      <c r="AD808" s="15">
        <v>26</v>
      </c>
      <c r="AF808" s="42">
        <v>2014</v>
      </c>
      <c r="AG808" s="42" t="str">
        <v xml:space="preserve">23 Jun 2014 - 13:00 </v>
      </c>
      <c r="AH808" s="42" t="str">
        <v>GROUP_STAGE</v>
      </c>
      <c r="AI808" s="42" t="str">
        <v>Arena de Sao Paulo</v>
      </c>
      <c r="AJ808" s="42" t="str">
        <v xml:space="preserve">Sao Paulo </v>
      </c>
      <c r="AK808" s="42" t="str">
        <v>Netherlands</v>
      </c>
      <c r="AL808" s="42">
        <v>2</v>
      </c>
      <c r="AM808" s="42">
        <v>0</v>
      </c>
      <c r="AN808" s="42" t="str">
        <v>Chile</v>
      </c>
      <c r="AO808" s="42" t="str">
        <v>-</v>
      </c>
    </row>
    <row r="809" spans="24:41">
      <c r="X809" s="15">
        <v>807</v>
      </c>
      <c r="Y809" s="15" t="str">
        <v>Sergio Rochet</v>
      </c>
      <c r="Z809" s="15">
        <v>33</v>
      </c>
      <c r="AA809" s="15" t="str">
        <v>Uruguay</v>
      </c>
      <c r="AB809" s="15" t="str">
        <v>GK</v>
      </c>
      <c r="AC809" s="15" t="str">
        <v>Internacional</v>
      </c>
      <c r="AD809" s="15">
        <v>1</v>
      </c>
      <c r="AF809" s="42">
        <v>2014</v>
      </c>
      <c r="AG809" s="42" t="str">
        <v xml:space="preserve">23 Jun 2014 - 17:00 </v>
      </c>
      <c r="AH809" s="42" t="str">
        <v>GROUP_STAGE</v>
      </c>
      <c r="AI809" s="42" t="str">
        <v>Estadio Nacional</v>
      </c>
      <c r="AJ809" s="42" t="str">
        <v xml:space="preserve">Brasilia </v>
      </c>
      <c r="AK809" s="42" t="str">
        <v>Cameroon</v>
      </c>
      <c r="AL809" s="42">
        <v>1</v>
      </c>
      <c r="AM809" s="42">
        <v>4</v>
      </c>
      <c r="AN809" s="42" t="str">
        <v>Brazil</v>
      </c>
      <c r="AO809" s="42" t="str">
        <v>-</v>
      </c>
    </row>
    <row r="810" spans="24:41">
      <c r="X810" s="15">
        <v>808</v>
      </c>
      <c r="Y810" s="15" t="str">
        <v>Santiago Mele</v>
      </c>
      <c r="Z810" s="15">
        <v>28</v>
      </c>
      <c r="AA810" s="15" t="str">
        <v>Uruguay</v>
      </c>
      <c r="AB810" s="15" t="str">
        <v>GK</v>
      </c>
      <c r="AC810" s="15" t="str">
        <v>Monterrey</v>
      </c>
      <c r="AD810" s="15">
        <v>12</v>
      </c>
      <c r="AF810" s="42">
        <v>2014</v>
      </c>
      <c r="AG810" s="42" t="str">
        <v xml:space="preserve">23 Jun 2014 - 17:00 </v>
      </c>
      <c r="AH810" s="42" t="str">
        <v>GROUP_STAGE</v>
      </c>
      <c r="AI810" s="42" t="str">
        <v>Arena Pernambuco</v>
      </c>
      <c r="AJ810" s="42" t="str">
        <v xml:space="preserve">Recife </v>
      </c>
      <c r="AK810" s="42" t="str">
        <v>Croatia</v>
      </c>
      <c r="AL810" s="42">
        <v>1</v>
      </c>
      <c r="AM810" s="42">
        <v>3</v>
      </c>
      <c r="AN810" s="42" t="str">
        <v>Mexico</v>
      </c>
      <c r="AO810" s="42" t="str">
        <v>-</v>
      </c>
    </row>
    <row r="811" spans="24:41">
      <c r="X811" s="15">
        <v>809</v>
      </c>
      <c r="Y811" s="15" t="str">
        <v>Fernando Muslera</v>
      </c>
      <c r="Z811" s="15">
        <v>39</v>
      </c>
      <c r="AA811" s="15" t="str">
        <v>Uruguay</v>
      </c>
      <c r="AB811" s="15" t="str">
        <v>GK</v>
      </c>
      <c r="AC811" s="15" t="str">
        <v>Estudiantes</v>
      </c>
      <c r="AD811" s="15">
        <v>23</v>
      </c>
      <c r="AF811" s="42">
        <v>2014</v>
      </c>
      <c r="AG811" s="42" t="str">
        <v xml:space="preserve">24 Jun 2014 - 13:00 </v>
      </c>
      <c r="AH811" s="42" t="str">
        <v>GROUP_STAGE</v>
      </c>
      <c r="AI811" s="42" t="str">
        <v>Estadio das Dunas</v>
      </c>
      <c r="AJ811" s="42" t="str">
        <v xml:space="preserve">Natal </v>
      </c>
      <c r="AK811" s="42" t="str">
        <v>Italy</v>
      </c>
      <c r="AL811" s="42">
        <v>0</v>
      </c>
      <c r="AM811" s="42">
        <v>1</v>
      </c>
      <c r="AN811" s="42" t="str">
        <v>Uruguay</v>
      </c>
      <c r="AO811" s="42" t="str">
        <v>-</v>
      </c>
    </row>
    <row r="812" spans="24:41">
      <c r="X812" s="15">
        <v>810</v>
      </c>
      <c r="Y812" s="15" t="str">
        <v>José María Giménez</v>
      </c>
      <c r="Z812" s="15">
        <v>31</v>
      </c>
      <c r="AA812" s="15" t="str">
        <v>Uruguay</v>
      </c>
      <c r="AB812" s="15" t="str">
        <v>CB</v>
      </c>
      <c r="AC812" s="15" t="str">
        <v>Atlético Madrid</v>
      </c>
      <c r="AD812" s="15">
        <v>2</v>
      </c>
      <c r="AF812" s="42">
        <v>2014</v>
      </c>
      <c r="AG812" s="42" t="str">
        <v xml:space="preserve">24 Jun 2014 - 13:00 </v>
      </c>
      <c r="AH812" s="42" t="str">
        <v>GROUP_STAGE</v>
      </c>
      <c r="AI812" s="42" t="str">
        <v>Estadio Mineirao</v>
      </c>
      <c r="AJ812" s="42" t="str">
        <v xml:space="preserve">Belo Horizonte </v>
      </c>
      <c r="AK812" s="42" t="str">
        <v>Costa Rica</v>
      </c>
      <c r="AL812" s="42">
        <v>0</v>
      </c>
      <c r="AM812" s="42">
        <v>0</v>
      </c>
      <c r="AN812" s="42" t="str">
        <v>England</v>
      </c>
      <c r="AO812" s="42" t="str">
        <v>-</v>
      </c>
    </row>
    <row r="813" spans="24:41">
      <c r="X813" s="15">
        <v>811</v>
      </c>
      <c r="Y813" s="15" t="str">
        <v>Sebastián Cáceres</v>
      </c>
      <c r="Z813" s="15">
        <v>26</v>
      </c>
      <c r="AA813" s="15" t="str">
        <v>Uruguay</v>
      </c>
      <c r="AB813" s="15" t="str">
        <v>CB</v>
      </c>
      <c r="AC813" s="15" t="str">
        <v>América</v>
      </c>
      <c r="AD813" s="15">
        <v>3</v>
      </c>
      <c r="AF813" s="42">
        <v>2014</v>
      </c>
      <c r="AG813" s="42" t="str">
        <v xml:space="preserve">24 Jun 2014 - 16:00 </v>
      </c>
      <c r="AH813" s="42" t="str">
        <v>GROUP_STAGE</v>
      </c>
      <c r="AI813" s="42" t="str">
        <v>Arena Pantanal</v>
      </c>
      <c r="AJ813" s="42" t="str">
        <v xml:space="preserve">Cuiaba </v>
      </c>
      <c r="AK813" s="42" t="str">
        <v>Japan</v>
      </c>
      <c r="AL813" s="42">
        <v>1</v>
      </c>
      <c r="AM813" s="42">
        <v>4</v>
      </c>
      <c r="AN813" s="42" t="str">
        <v>Colombia</v>
      </c>
      <c r="AO813" s="42" t="str">
        <v>-</v>
      </c>
    </row>
    <row r="814" spans="24:41">
      <c r="X814" s="15">
        <v>812</v>
      </c>
      <c r="Y814" s="15" t="str">
        <v>Ronald Araújo</v>
      </c>
      <c r="Z814" s="15">
        <v>27</v>
      </c>
      <c r="AA814" s="15" t="str">
        <v>Uruguay</v>
      </c>
      <c r="AB814" s="15" t="str">
        <v>CB</v>
      </c>
      <c r="AC814" s="15" t="str">
        <v>Barcelona</v>
      </c>
      <c r="AD814" s="15">
        <v>4</v>
      </c>
      <c r="AF814" s="42">
        <v>2014</v>
      </c>
      <c r="AG814" s="42" t="str">
        <v xml:space="preserve">24 Jun 2014 - 17:00 </v>
      </c>
      <c r="AH814" s="42" t="str">
        <v>GROUP_STAGE</v>
      </c>
      <c r="AI814" s="42" t="str">
        <v>Estadio Castelao</v>
      </c>
      <c r="AJ814" s="42" t="str">
        <v xml:space="preserve">Fortaleza </v>
      </c>
      <c r="AK814" s="42" t="str">
        <v>Greece</v>
      </c>
      <c r="AL814" s="42">
        <v>2</v>
      </c>
      <c r="AM814" s="42">
        <v>1</v>
      </c>
      <c r="AN814" s="42" t="str">
        <v>Côte d'Ivoire</v>
      </c>
      <c r="AO814" s="42" t="str">
        <v>-</v>
      </c>
    </row>
    <row r="815" spans="24:41">
      <c r="X815" s="15">
        <v>813</v>
      </c>
      <c r="Y815" s="15" t="str">
        <v>Santiago Bueno</v>
      </c>
      <c r="Z815" s="15">
        <v>27</v>
      </c>
      <c r="AA815" s="15" t="str">
        <v>Uruguay</v>
      </c>
      <c r="AB815" s="15" t="str">
        <v>CB</v>
      </c>
      <c r="AC815" s="15" t="str">
        <v>Wolverhampton Wanderers</v>
      </c>
      <c r="AD815" s="15">
        <v>24</v>
      </c>
      <c r="AF815" s="42">
        <v>2014</v>
      </c>
      <c r="AG815" s="42" t="str">
        <v xml:space="preserve">25 Jun 2014 - 13:00 </v>
      </c>
      <c r="AH815" s="42" t="str">
        <v>GROUP_STAGE</v>
      </c>
      <c r="AI815" s="42" t="str">
        <v>Estadio Beira-Rio</v>
      </c>
      <c r="AJ815" s="42" t="str">
        <v xml:space="preserve">Porto Alegre </v>
      </c>
      <c r="AK815" s="42" t="str">
        <v>Nigeria</v>
      </c>
      <c r="AL815" s="42">
        <v>2</v>
      </c>
      <c r="AM815" s="42">
        <v>3</v>
      </c>
      <c r="AN815" s="42" t="str">
        <v>Argentina</v>
      </c>
      <c r="AO815" s="42" t="str">
        <v>-</v>
      </c>
    </row>
    <row r="816" spans="24:41">
      <c r="X816" s="15">
        <v>814</v>
      </c>
      <c r="Y816" s="15" t="str">
        <v>Mathías Olivera</v>
      </c>
      <c r="Z816" s="15">
        <v>28</v>
      </c>
      <c r="AA816" s="15" t="str">
        <v>Uruguay</v>
      </c>
      <c r="AB816" s="15" t="str">
        <v>LB</v>
      </c>
      <c r="AC816" s="15" t="str">
        <v>Napoli</v>
      </c>
      <c r="AD816" s="15">
        <v>16</v>
      </c>
      <c r="AF816" s="42">
        <v>2014</v>
      </c>
      <c r="AG816" s="42" t="str">
        <v xml:space="preserve">25 Jun 2014 - 13:00 </v>
      </c>
      <c r="AH816" s="42" t="str">
        <v>GROUP_STAGE</v>
      </c>
      <c r="AI816" s="42" t="str">
        <v>Arena Fonte Nova</v>
      </c>
      <c r="AJ816" s="42" t="str">
        <v xml:space="preserve">Salvador </v>
      </c>
      <c r="AK816" s="42" t="str">
        <v>Bosnia and Herzegovina</v>
      </c>
      <c r="AL816" s="42">
        <v>3</v>
      </c>
      <c r="AM816" s="42">
        <v>1</v>
      </c>
      <c r="AN816" s="42" t="str">
        <v>Iran</v>
      </c>
      <c r="AO816" s="42" t="str">
        <v>-</v>
      </c>
    </row>
    <row r="817" spans="24:41">
      <c r="X817" s="15">
        <v>815</v>
      </c>
      <c r="Y817" s="15" t="str">
        <v>Matías Viña</v>
      </c>
      <c r="Z817" s="15">
        <v>28</v>
      </c>
      <c r="AA817" s="15" t="str">
        <v>Uruguay</v>
      </c>
      <c r="AB817" s="15" t="str">
        <v>LB</v>
      </c>
      <c r="AC817" s="15" t="str">
        <v>River Plate</v>
      </c>
      <c r="AD817" s="15">
        <v>17</v>
      </c>
      <c r="AF817" s="42">
        <v>2014</v>
      </c>
      <c r="AG817" s="42" t="str">
        <v xml:space="preserve">25 Jun 2014 - 16:00 </v>
      </c>
      <c r="AH817" s="42" t="str">
        <v>GROUP_STAGE</v>
      </c>
      <c r="AI817" s="42" t="str">
        <v>Arena Amazonia</v>
      </c>
      <c r="AJ817" s="42" t="str">
        <v xml:space="preserve">Manaus </v>
      </c>
      <c r="AK817" s="42" t="str">
        <v>Honduras</v>
      </c>
      <c r="AL817" s="42">
        <v>0</v>
      </c>
      <c r="AM817" s="42">
        <v>3</v>
      </c>
      <c r="AN817" s="42" t="str">
        <v>Switzerland</v>
      </c>
      <c r="AO817" s="42" t="str">
        <v>-</v>
      </c>
    </row>
    <row r="818" spans="24:41">
      <c r="X818" s="15">
        <v>816</v>
      </c>
      <c r="Y818" s="15" t="str">
        <v>Guillermo Varela</v>
      </c>
      <c r="Z818" s="15">
        <v>33</v>
      </c>
      <c r="AA818" s="15" t="str">
        <v>Uruguay</v>
      </c>
      <c r="AB818" s="15" t="str">
        <v>RB</v>
      </c>
      <c r="AC818" s="15" t="str">
        <v>Flamengo</v>
      </c>
      <c r="AD818" s="15">
        <v>13</v>
      </c>
      <c r="AF818" s="42">
        <v>2014</v>
      </c>
      <c r="AG818" s="42" t="str">
        <v xml:space="preserve">25 Jun 2014 - 17:00 </v>
      </c>
      <c r="AH818" s="42" t="str">
        <v>GROUP_STAGE</v>
      </c>
      <c r="AI818" s="42" t="str">
        <v>Estadio do Maracana</v>
      </c>
      <c r="AJ818" s="42" t="str">
        <v xml:space="preserve">Rio De Janeiro </v>
      </c>
      <c r="AK818" s="42" t="str">
        <v>Ecuador</v>
      </c>
      <c r="AL818" s="42">
        <v>0</v>
      </c>
      <c r="AM818" s="42">
        <v>0</v>
      </c>
      <c r="AN818" s="42" t="str">
        <v>France</v>
      </c>
      <c r="AO818" s="42" t="str">
        <v>-</v>
      </c>
    </row>
    <row r="819" spans="24:41">
      <c r="X819" s="15">
        <v>817</v>
      </c>
      <c r="Y819" s="15" t="str">
        <v>Manuel Ugarte</v>
      </c>
      <c r="Z819" s="15">
        <v>25</v>
      </c>
      <c r="AA819" s="15" t="str">
        <v>Uruguay</v>
      </c>
      <c r="AB819" s="15" t="str">
        <v>CDM</v>
      </c>
      <c r="AC819" s="15" t="str">
        <v>Manchester United</v>
      </c>
      <c r="AD819" s="15">
        <v>5</v>
      </c>
      <c r="AF819" s="42">
        <v>2014</v>
      </c>
      <c r="AG819" s="42" t="str">
        <v xml:space="preserve">26 Jun 2014 - 13:00 </v>
      </c>
      <c r="AH819" s="42" t="str">
        <v>GROUP_STAGE</v>
      </c>
      <c r="AI819" s="42" t="str">
        <v>Arena Pernambuco</v>
      </c>
      <c r="AJ819" s="42" t="str">
        <v xml:space="preserve">Recife </v>
      </c>
      <c r="AK819" s="42" t="str">
        <v>United States</v>
      </c>
      <c r="AL819" s="42">
        <v>0</v>
      </c>
      <c r="AM819" s="42">
        <v>1</v>
      </c>
      <c r="AN819" s="42" t="str">
        <v>Germany</v>
      </c>
      <c r="AO819" s="42" t="str">
        <v>-</v>
      </c>
    </row>
    <row r="820" spans="24:41">
      <c r="X820" s="15">
        <v>818</v>
      </c>
      <c r="Y820" s="15" t="str">
        <v>Emiliano Martínez</v>
      </c>
      <c r="Z820" s="15">
        <v>26</v>
      </c>
      <c r="AA820" s="15" t="str">
        <v>Uruguay</v>
      </c>
      <c r="AB820" s="15" t="str">
        <v>CDM</v>
      </c>
      <c r="AC820" s="15" t="str">
        <v>Palmeiras</v>
      </c>
      <c r="AD820" s="15">
        <v>15</v>
      </c>
      <c r="AF820" s="42">
        <v>2014</v>
      </c>
      <c r="AG820" s="42" t="str">
        <v xml:space="preserve">26 Jun 2014 - 13:00 </v>
      </c>
      <c r="AH820" s="42" t="str">
        <v>GROUP_STAGE</v>
      </c>
      <c r="AI820" s="42" t="str">
        <v>Estadio Nacional</v>
      </c>
      <c r="AJ820" s="42" t="str">
        <v xml:space="preserve">Brasilia </v>
      </c>
      <c r="AK820" s="42" t="str">
        <v>Portugal</v>
      </c>
      <c r="AL820" s="42">
        <v>2</v>
      </c>
      <c r="AM820" s="42">
        <v>1</v>
      </c>
      <c r="AN820" s="42" t="str">
        <v>Ghana</v>
      </c>
      <c r="AO820" s="42" t="str">
        <v>-</v>
      </c>
    </row>
    <row r="821" spans="24:41">
      <c r="X821" s="15">
        <v>819</v>
      </c>
      <c r="Y821" s="15" t="str">
        <v>Rodrigo Bentancur</v>
      </c>
      <c r="Z821" s="15">
        <v>28</v>
      </c>
      <c r="AA821" s="15" t="str">
        <v>Uruguay</v>
      </c>
      <c r="AB821" s="15" t="str">
        <v>CM</v>
      </c>
      <c r="AC821" s="15" t="str">
        <v>Tottenham Hotspur</v>
      </c>
      <c r="AD821" s="15">
        <v>6</v>
      </c>
      <c r="AF821" s="42">
        <v>2014</v>
      </c>
      <c r="AG821" s="42" t="str">
        <v xml:space="preserve">26 Jun 2014 - 17:00 </v>
      </c>
      <c r="AH821" s="42" t="str">
        <v>GROUP_STAGE</v>
      </c>
      <c r="AI821" s="42" t="str">
        <v>Arena de Sao Paulo</v>
      </c>
      <c r="AJ821" s="42" t="str">
        <v xml:space="preserve">Sao Paulo </v>
      </c>
      <c r="AK821" s="42" t="str">
        <v>South Korea</v>
      </c>
      <c r="AL821" s="42">
        <v>0</v>
      </c>
      <c r="AM821" s="42">
        <v>1</v>
      </c>
      <c r="AN821" s="42" t="str">
        <v>Belgium</v>
      </c>
      <c r="AO821" s="42" t="str">
        <v>-</v>
      </c>
    </row>
    <row r="822" spans="24:41">
      <c r="X822" s="15">
        <v>820</v>
      </c>
      <c r="Y822" s="15" t="str">
        <v>Federico Valverde</v>
      </c>
      <c r="Z822" s="15">
        <v>27</v>
      </c>
      <c r="AA822" s="15" t="str">
        <v>Uruguay</v>
      </c>
      <c r="AB822" s="15" t="str">
        <v>CM</v>
      </c>
      <c r="AC822" s="15" t="str">
        <v>Real Madrid</v>
      </c>
      <c r="AD822" s="15">
        <v>8</v>
      </c>
      <c r="AF822" s="42">
        <v>2014</v>
      </c>
      <c r="AG822" s="42" t="str">
        <v xml:space="preserve">26 Jun 2014 - 17:00 </v>
      </c>
      <c r="AH822" s="42" t="str">
        <v>GROUP_STAGE</v>
      </c>
      <c r="AI822" s="42" t="str">
        <v>Arena da Baixada</v>
      </c>
      <c r="AJ822" s="42" t="str">
        <v xml:space="preserve">Curitiba </v>
      </c>
      <c r="AK822" s="42" t="str">
        <v>Algeria</v>
      </c>
      <c r="AL822" s="42">
        <v>1</v>
      </c>
      <c r="AM822" s="42">
        <v>1</v>
      </c>
      <c r="AN822" s="42" t="str">
        <v>Russia</v>
      </c>
      <c r="AO822" s="42" t="str">
        <v>-</v>
      </c>
    </row>
    <row r="823" spans="24:41">
      <c r="X823" s="15">
        <v>821</v>
      </c>
      <c r="Y823" s="15" t="str">
        <v>Agustín Canobbio</v>
      </c>
      <c r="Z823" s="15">
        <v>27</v>
      </c>
      <c r="AA823" s="15" t="str">
        <v>Uruguay</v>
      </c>
      <c r="AB823" s="15" t="str">
        <v>CM</v>
      </c>
      <c r="AC823" s="15" t="str">
        <v>Fluminense</v>
      </c>
      <c r="AD823" s="15">
        <v>14</v>
      </c>
      <c r="AF823" s="42">
        <v>2014</v>
      </c>
      <c r="AG823" s="42" t="str">
        <v xml:space="preserve">28 Jun 2014 - 13:00 </v>
      </c>
      <c r="AH823" s="42" t="str">
        <v>ROUND_OF_16</v>
      </c>
      <c r="AI823" s="42" t="str">
        <v>Estadio Mineirao</v>
      </c>
      <c r="AJ823" s="42" t="str">
        <v xml:space="preserve">Belo Horizonte </v>
      </c>
      <c r="AK823" s="42" t="str">
        <v>Brazil</v>
      </c>
      <c r="AL823" s="42">
        <v>1</v>
      </c>
      <c r="AM823" s="42">
        <v>1</v>
      </c>
      <c r="AN823" s="42" t="str">
        <v>Chile</v>
      </c>
      <c r="AO823" s="42" t="str">
        <v>Brazil win on penalties (3 - 2)</v>
      </c>
    </row>
    <row r="824" spans="24:41">
      <c r="X824" s="15">
        <v>822</v>
      </c>
      <c r="Y824" s="15" t="str">
        <v>Joaquín Piquerez</v>
      </c>
      <c r="Z824" s="15">
        <v>27</v>
      </c>
      <c r="AA824" s="15" t="str">
        <v>Uruguay</v>
      </c>
      <c r="AB824" s="15" t="str">
        <v>CM</v>
      </c>
      <c r="AC824" s="15" t="str">
        <v>Palmeiras</v>
      </c>
      <c r="AD824" s="15">
        <v>22</v>
      </c>
      <c r="AF824" s="42">
        <v>2014</v>
      </c>
      <c r="AG824" s="42" t="str">
        <v xml:space="preserve">28 Jun 2014 - 17:00 </v>
      </c>
      <c r="AH824" s="42" t="str">
        <v>ROUND_OF_16</v>
      </c>
      <c r="AI824" s="42" t="str">
        <v>Estadio do Maracana</v>
      </c>
      <c r="AJ824" s="42" t="str">
        <v xml:space="preserve">Rio De Janeiro </v>
      </c>
      <c r="AK824" s="42" t="str">
        <v>Colombia</v>
      </c>
      <c r="AL824" s="42">
        <v>2</v>
      </c>
      <c r="AM824" s="42">
        <v>0</v>
      </c>
      <c r="AN824" s="42" t="str">
        <v>Uruguay</v>
      </c>
      <c r="AO824" s="42" t="str">
        <v>-</v>
      </c>
    </row>
    <row r="825" spans="24:41">
      <c r="X825" s="15">
        <v>823</v>
      </c>
      <c r="Y825" s="15" t="str">
        <v>Juan Manuel Sanabria</v>
      </c>
      <c r="Z825" s="15">
        <v>26</v>
      </c>
      <c r="AA825" s="15" t="str">
        <v>Uruguay</v>
      </c>
      <c r="AB825" s="15" t="str">
        <v>CM</v>
      </c>
      <c r="AC825" s="15" t="str">
        <v>Real Salt Lake</v>
      </c>
      <c r="AD825" s="15">
        <v>25</v>
      </c>
      <c r="AF825" s="42">
        <v>2014</v>
      </c>
      <c r="AG825" s="42" t="str">
        <v xml:space="preserve">30 Jun 2014 - 13:00 </v>
      </c>
      <c r="AH825" s="42" t="str">
        <v>ROUND_OF_16</v>
      </c>
      <c r="AI825" s="42" t="str">
        <v>Estadio Nacional</v>
      </c>
      <c r="AJ825" s="42" t="str">
        <v xml:space="preserve">Brasilia </v>
      </c>
      <c r="AK825" s="42" t="str">
        <v>France</v>
      </c>
      <c r="AL825" s="42">
        <v>2</v>
      </c>
      <c r="AM825" s="42">
        <v>0</v>
      </c>
      <c r="AN825" s="42" t="str">
        <v>Nigeria</v>
      </c>
      <c r="AO825" s="42" t="str">
        <v>-</v>
      </c>
    </row>
    <row r="826" spans="24:41">
      <c r="X826" s="15">
        <v>824</v>
      </c>
      <c r="Y826" s="15" t="str">
        <v>Rodrigo Zalazar</v>
      </c>
      <c r="Z826" s="15">
        <v>26</v>
      </c>
      <c r="AA826" s="15" t="str">
        <v>Uruguay</v>
      </c>
      <c r="AB826" s="15" t="str">
        <v>CM</v>
      </c>
      <c r="AC826" s="15" t="str">
        <v>Braga</v>
      </c>
      <c r="AD826" s="15">
        <v>26</v>
      </c>
      <c r="AF826" s="42">
        <v>2014</v>
      </c>
      <c r="AG826" s="42" t="str">
        <v xml:space="preserve">30 Jun 2014 - 17:00 </v>
      </c>
      <c r="AH826" s="42" t="str">
        <v>ROUND_OF_16</v>
      </c>
      <c r="AI826" s="42" t="str">
        <v>Estadio Beira-Rio</v>
      </c>
      <c r="AJ826" s="42" t="str">
        <v xml:space="preserve">Porto Alegre </v>
      </c>
      <c r="AK826" s="42" t="str">
        <v>Germany</v>
      </c>
      <c r="AL826" s="42">
        <v>2</v>
      </c>
      <c r="AM826" s="42">
        <v>1</v>
      </c>
      <c r="AN826" s="42" t="str">
        <v>Algeria</v>
      </c>
      <c r="AO826" s="42" t="str">
        <v>Germany win after extra time</v>
      </c>
    </row>
    <row r="827" spans="24:41">
      <c r="X827" s="15">
        <v>825</v>
      </c>
      <c r="Y827" s="15" t="str">
        <v>Nicolás de la Cruz</v>
      </c>
      <c r="Z827" s="15">
        <v>29</v>
      </c>
      <c r="AA827" s="15" t="str">
        <v>Uruguay</v>
      </c>
      <c r="AB827" s="15" t="str">
        <v>CAM</v>
      </c>
      <c r="AC827" s="15" t="str">
        <v>Flamengo</v>
      </c>
      <c r="AD827" s="15">
        <v>7</v>
      </c>
      <c r="AF827" s="42">
        <v>2014</v>
      </c>
      <c r="AG827" s="42" t="str">
        <v xml:space="preserve">04 Jul 2014 - 17:00 </v>
      </c>
      <c r="AH827" s="42" t="str">
        <v>QUARTER_FINALS</v>
      </c>
      <c r="AI827" s="42" t="str">
        <v>Estadio Castelao</v>
      </c>
      <c r="AJ827" s="42" t="str">
        <v xml:space="preserve">Fortaleza </v>
      </c>
      <c r="AK827" s="42" t="str">
        <v>Brazil</v>
      </c>
      <c r="AL827" s="42">
        <v>2</v>
      </c>
      <c r="AM827" s="42">
        <v>1</v>
      </c>
      <c r="AN827" s="42" t="str">
        <v>Colombia</v>
      </c>
      <c r="AO827" s="42" t="str">
        <v>-</v>
      </c>
    </row>
    <row r="828" spans="24:41">
      <c r="X828" s="15">
        <v>826</v>
      </c>
      <c r="Y828" s="15" t="str">
        <v>Giorgian de Arrascaeta</v>
      </c>
      <c r="Z828" s="15">
        <v>32</v>
      </c>
      <c r="AA828" s="15" t="str">
        <v>Uruguay</v>
      </c>
      <c r="AB828" s="15" t="str">
        <v>CAM</v>
      </c>
      <c r="AC828" s="15" t="str">
        <v>Flamengo</v>
      </c>
      <c r="AD828" s="15">
        <v>10</v>
      </c>
      <c r="AF828" s="42">
        <v>2014</v>
      </c>
      <c r="AG828" s="42" t="str">
        <v xml:space="preserve">04 Jul 2014 - 13:00 </v>
      </c>
      <c r="AH828" s="42" t="str">
        <v>QUARTER_FINALS</v>
      </c>
      <c r="AI828" s="42" t="str">
        <v>Estadio do Maracana</v>
      </c>
      <c r="AJ828" s="42" t="str">
        <v xml:space="preserve">Rio De Janeiro </v>
      </c>
      <c r="AK828" s="42" t="str">
        <v>France</v>
      </c>
      <c r="AL828" s="42">
        <v>0</v>
      </c>
      <c r="AM828" s="42">
        <v>1</v>
      </c>
      <c r="AN828" s="42" t="str">
        <v>Germany</v>
      </c>
      <c r="AO828" s="42" t="str">
        <v>-</v>
      </c>
    </row>
    <row r="829" spans="24:41">
      <c r="X829" s="15">
        <v>827</v>
      </c>
      <c r="Y829" s="15" t="str">
        <v>Brian Rodríguez</v>
      </c>
      <c r="Z829" s="15">
        <v>26</v>
      </c>
      <c r="AA829" s="15" t="str">
        <v>Uruguay</v>
      </c>
      <c r="AB829" s="15" t="str">
        <v>LW</v>
      </c>
      <c r="AC829" s="15" t="str">
        <v>América</v>
      </c>
      <c r="AD829" s="15">
        <v>18</v>
      </c>
      <c r="AF829" s="42">
        <v>2014</v>
      </c>
      <c r="AG829" s="42" t="str">
        <v xml:space="preserve">08 Jul 2014 - 17:00 </v>
      </c>
      <c r="AH829" s="42" t="str">
        <v>SEMI_FINALS</v>
      </c>
      <c r="AI829" s="42" t="str">
        <v>Estadio Mineirao</v>
      </c>
      <c r="AJ829" s="42" t="str">
        <v xml:space="preserve">Belo Horizonte </v>
      </c>
      <c r="AK829" s="42" t="str">
        <v>Brazil</v>
      </c>
      <c r="AL829" s="42">
        <v>1</v>
      </c>
      <c r="AM829" s="42">
        <v>7</v>
      </c>
      <c r="AN829" s="42" t="str">
        <v>Germany</v>
      </c>
      <c r="AO829" s="42" t="str">
        <v>-</v>
      </c>
    </row>
    <row r="830" spans="24:41">
      <c r="X830" s="15">
        <v>828</v>
      </c>
      <c r="Y830" s="15" t="str">
        <v>Maximiliano Araújo</v>
      </c>
      <c r="Z830" s="15">
        <v>26</v>
      </c>
      <c r="AA830" s="15" t="str">
        <v>Uruguay</v>
      </c>
      <c r="AB830" s="15" t="str">
        <v>LW</v>
      </c>
      <c r="AC830" s="15" t="str">
        <v>Sporting CP</v>
      </c>
      <c r="AD830" s="15">
        <v>20</v>
      </c>
      <c r="AF830" s="42">
        <v>2014</v>
      </c>
      <c r="AG830" s="42" t="str">
        <v xml:space="preserve">12 Jul 2014 - 17:00 </v>
      </c>
      <c r="AH830" s="42" t="str">
        <v>THIRD_PLACE</v>
      </c>
      <c r="AI830" s="42" t="str">
        <v>Estadio Nacional</v>
      </c>
      <c r="AJ830" s="42" t="str">
        <v xml:space="preserve">Brasilia </v>
      </c>
      <c r="AK830" s="42" t="str">
        <v>Brazil</v>
      </c>
      <c r="AL830" s="42">
        <v>0</v>
      </c>
      <c r="AM830" s="42">
        <v>3</v>
      </c>
      <c r="AN830" s="42" t="str">
        <v>Netherlands</v>
      </c>
      <c r="AO830" s="42" t="str">
        <v>-</v>
      </c>
    </row>
    <row r="831" spans="24:41">
      <c r="X831" s="15">
        <v>829</v>
      </c>
      <c r="Y831" s="15" t="str">
        <v>Facundo Pellistri</v>
      </c>
      <c r="Z831" s="15">
        <v>24</v>
      </c>
      <c r="AA831" s="15" t="str">
        <v>Uruguay</v>
      </c>
      <c r="AB831" s="15" t="str">
        <v>RW</v>
      </c>
      <c r="AC831" s="15" t="str">
        <v>Panathinaikos</v>
      </c>
      <c r="AD831" s="15">
        <v>11</v>
      </c>
      <c r="AF831" s="42">
        <v>2014</v>
      </c>
      <c r="AG831" s="42" t="str">
        <v xml:space="preserve">13 Jul 2014 - 16:00 </v>
      </c>
      <c r="AH831" s="42" t="str">
        <v>FINAL</v>
      </c>
      <c r="AI831" s="42" t="str">
        <v>Estadio do Maracana</v>
      </c>
      <c r="AJ831" s="42" t="str">
        <v xml:space="preserve">Rio De Janeiro </v>
      </c>
      <c r="AK831" s="42" t="str">
        <v>Germany</v>
      </c>
      <c r="AL831" s="42">
        <v>1</v>
      </c>
      <c r="AM831" s="42">
        <v>0</v>
      </c>
      <c r="AN831" s="42" t="str">
        <v>Argentina</v>
      </c>
      <c r="AO831" s="42" t="str">
        <v>Germany win after extra time</v>
      </c>
    </row>
    <row r="832" spans="24:41">
      <c r="X832" s="15">
        <v>830</v>
      </c>
      <c r="Y832" s="15" t="str">
        <v>Darwin Núñez</v>
      </c>
      <c r="Z832" s="15">
        <v>26</v>
      </c>
      <c r="AA832" s="15" t="str">
        <v>Uruguay</v>
      </c>
      <c r="AB832" s="15" t="str">
        <v>ST</v>
      </c>
      <c r="AC832" s="15" t="str">
        <v>Al-Hilal</v>
      </c>
      <c r="AD832" s="15">
        <v>9</v>
      </c>
      <c r="AF832" s="42">
        <v>2014</v>
      </c>
      <c r="AG832" s="42" t="str">
        <v xml:space="preserve">09 Jul 2014 - 17:00 </v>
      </c>
      <c r="AH832" s="42" t="str">
        <v>SEMI_FINALS</v>
      </c>
      <c r="AI832" s="42" t="str">
        <v>Arena de Sao Paulo</v>
      </c>
      <c r="AJ832" s="42" t="str">
        <v xml:space="preserve">Sao Paulo </v>
      </c>
      <c r="AK832" s="42" t="str">
        <v>Netherlands</v>
      </c>
      <c r="AL832" s="42">
        <v>0</v>
      </c>
      <c r="AM832" s="42">
        <v>0</v>
      </c>
      <c r="AN832" s="42" t="str">
        <v>Argentina</v>
      </c>
      <c r="AO832" s="42" t="str">
        <v>Argentina win on penalties (2 - 4)</v>
      </c>
    </row>
    <row r="833" spans="24:41">
      <c r="X833" s="15">
        <v>831</v>
      </c>
      <c r="Y833" s="15" t="str">
        <v>Rodrigo Aguirre</v>
      </c>
      <c r="Z833" s="15">
        <v>31</v>
      </c>
      <c r="AA833" s="15" t="str">
        <v>Uruguay</v>
      </c>
      <c r="AB833" s="15" t="str">
        <v>ST</v>
      </c>
      <c r="AC833" s="15" t="str">
        <v>Tigres UANL</v>
      </c>
      <c r="AD833" s="15">
        <v>19</v>
      </c>
      <c r="AF833" s="42">
        <v>2014</v>
      </c>
      <c r="AG833" s="42" t="str">
        <v xml:space="preserve">05 Jul 2014 - 17:00 </v>
      </c>
      <c r="AH833" s="42" t="str">
        <v>QUARTER_FINALS</v>
      </c>
      <c r="AI833" s="42" t="str">
        <v>Arena Fonte Nova</v>
      </c>
      <c r="AJ833" s="42" t="str">
        <v xml:space="preserve">Salvador </v>
      </c>
      <c r="AK833" s="42" t="str">
        <v>Netherlands</v>
      </c>
      <c r="AL833" s="42">
        <v>0</v>
      </c>
      <c r="AM833" s="42">
        <v>0</v>
      </c>
      <c r="AN833" s="42" t="str">
        <v>Costa Rica</v>
      </c>
      <c r="AO833" s="42" t="str">
        <v>Netherlands win on penalties (4 - 3)</v>
      </c>
    </row>
    <row r="834" spans="24:41">
      <c r="X834" s="15">
        <v>832</v>
      </c>
      <c r="Y834" s="15" t="str">
        <v>Federico Viñas</v>
      </c>
      <c r="Z834" s="15">
        <v>27</v>
      </c>
      <c r="AA834" s="15" t="str">
        <v>Uruguay</v>
      </c>
      <c r="AB834" s="15" t="str">
        <v>ST</v>
      </c>
      <c r="AC834" s="15" t="str">
        <v>Oviedo</v>
      </c>
      <c r="AD834" s="15">
        <v>21</v>
      </c>
      <c r="AF834" s="42">
        <v>2014</v>
      </c>
      <c r="AG834" s="42" t="str">
        <v xml:space="preserve">05 Jul 2014 - 13:00 </v>
      </c>
      <c r="AH834" s="42" t="str">
        <v>QUARTER_FINALS</v>
      </c>
      <c r="AI834" s="42" t="str">
        <v>Estadio Nacional</v>
      </c>
      <c r="AJ834" s="42" t="str">
        <v xml:space="preserve">Brasilia </v>
      </c>
      <c r="AK834" s="42" t="str">
        <v>Argentina</v>
      </c>
      <c r="AL834" s="42">
        <v>1</v>
      </c>
      <c r="AM834" s="42">
        <v>0</v>
      </c>
      <c r="AN834" s="42" t="str">
        <v>Belgium</v>
      </c>
      <c r="AO834" s="42" t="str">
        <v>-</v>
      </c>
    </row>
    <row r="835" spans="24:41">
      <c r="X835" s="15">
        <v>833</v>
      </c>
      <c r="Y835" s="15" t="str">
        <v>Brice Samba</v>
      </c>
      <c r="Z835" s="15">
        <v>32</v>
      </c>
      <c r="AA835" s="15" t="str">
        <v>France</v>
      </c>
      <c r="AB835" s="15" t="str">
        <v>GK</v>
      </c>
      <c r="AC835" s="15" t="str">
        <v>Rennes</v>
      </c>
      <c r="AD835" s="15">
        <v>1</v>
      </c>
      <c r="AF835" s="42">
        <v>2014</v>
      </c>
      <c r="AG835" s="42" t="str">
        <v xml:space="preserve">29 Jun 2014 - 13:00 </v>
      </c>
      <c r="AH835" s="42" t="str">
        <v>ROUND_OF_16</v>
      </c>
      <c r="AI835" s="42" t="str">
        <v>Estadio Castelao</v>
      </c>
      <c r="AJ835" s="42" t="str">
        <v xml:space="preserve">Fortaleza </v>
      </c>
      <c r="AK835" s="42" t="str">
        <v>Netherlands</v>
      </c>
      <c r="AL835" s="42">
        <v>2</v>
      </c>
      <c r="AM835" s="42">
        <v>1</v>
      </c>
      <c r="AN835" s="42" t="str">
        <v>Mexico</v>
      </c>
      <c r="AO835" s="42" t="str">
        <v>-</v>
      </c>
    </row>
    <row r="836" spans="24:41">
      <c r="X836" s="15">
        <v>834</v>
      </c>
      <c r="Y836" s="15" t="str">
        <v>Mike Maignan</v>
      </c>
      <c r="Z836" s="15">
        <v>30</v>
      </c>
      <c r="AA836" s="15" t="str">
        <v>France</v>
      </c>
      <c r="AB836" s="15" t="str">
        <v>GK</v>
      </c>
      <c r="AC836" s="15" t="str">
        <v>AC Milan</v>
      </c>
      <c r="AD836" s="15">
        <v>16</v>
      </c>
      <c r="AF836" s="42">
        <v>2014</v>
      </c>
      <c r="AG836" s="42" t="str">
        <v xml:space="preserve">29 Jun 2014 - 17:00 </v>
      </c>
      <c r="AH836" s="42" t="str">
        <v>ROUND_OF_16</v>
      </c>
      <c r="AI836" s="42" t="str">
        <v>Arena Pernambuco</v>
      </c>
      <c r="AJ836" s="42" t="str">
        <v xml:space="preserve">Recife </v>
      </c>
      <c r="AK836" s="42" t="str">
        <v>Costa Rica</v>
      </c>
      <c r="AL836" s="42">
        <v>1</v>
      </c>
      <c r="AM836" s="42">
        <v>1</v>
      </c>
      <c r="AN836" s="42" t="str">
        <v>Greece</v>
      </c>
      <c r="AO836" s="42" t="str">
        <v>Costa Rica win on penalties (5 - 3)</v>
      </c>
    </row>
    <row r="837" spans="24:41">
      <c r="X837" s="15">
        <v>835</v>
      </c>
      <c r="Y837" s="15" t="str">
        <v>Robin Risser</v>
      </c>
      <c r="Z837" s="15">
        <v>21</v>
      </c>
      <c r="AA837" s="15" t="str">
        <v>France</v>
      </c>
      <c r="AB837" s="15" t="str">
        <v>GK</v>
      </c>
      <c r="AC837" s="15" t="str">
        <v>Lens</v>
      </c>
      <c r="AD837" s="15">
        <v>23</v>
      </c>
      <c r="AF837" s="42">
        <v>2014</v>
      </c>
      <c r="AG837" s="42" t="str">
        <v xml:space="preserve">01 Jul 2014 - 13:00 </v>
      </c>
      <c r="AH837" s="42" t="str">
        <v>ROUND_OF_16</v>
      </c>
      <c r="AI837" s="42" t="str">
        <v>Arena de Sao Paulo</v>
      </c>
      <c r="AJ837" s="42" t="str">
        <v xml:space="preserve">Sao Paulo </v>
      </c>
      <c r="AK837" s="42" t="str">
        <v>Argentina</v>
      </c>
      <c r="AL837" s="42">
        <v>1</v>
      </c>
      <c r="AM837" s="42">
        <v>0</v>
      </c>
      <c r="AN837" s="42" t="str">
        <v>Switzerland</v>
      </c>
      <c r="AO837" s="42" t="str">
        <v>Argentina win after extra time</v>
      </c>
    </row>
    <row r="838" spans="24:41">
      <c r="X838" s="15">
        <v>836</v>
      </c>
      <c r="Y838" s="15" t="str">
        <v>Dayot Upamecano</v>
      </c>
      <c r="Z838" s="15">
        <v>27</v>
      </c>
      <c r="AA838" s="15" t="str">
        <v>France</v>
      </c>
      <c r="AB838" s="15" t="str">
        <v>CB</v>
      </c>
      <c r="AC838" s="15" t="str">
        <v>Bayern Munich</v>
      </c>
      <c r="AD838" s="15">
        <v>4</v>
      </c>
      <c r="AF838" s="42">
        <v>2014</v>
      </c>
      <c r="AG838" s="42" t="str">
        <v xml:space="preserve">01 Jul 2014 - 17:00 </v>
      </c>
      <c r="AH838" s="42" t="str">
        <v>ROUND_OF_16</v>
      </c>
      <c r="AI838" s="42" t="str">
        <v>Arena Fonte Nova</v>
      </c>
      <c r="AJ838" s="42" t="str">
        <v xml:space="preserve">Salvador </v>
      </c>
      <c r="AK838" s="42" t="str">
        <v>Belgium</v>
      </c>
      <c r="AL838" s="42">
        <v>2</v>
      </c>
      <c r="AM838" s="42">
        <v>1</v>
      </c>
      <c r="AN838" s="42" t="str">
        <v>United States</v>
      </c>
      <c r="AO838" s="42" t="str">
        <v>Belgium win after extra time</v>
      </c>
    </row>
    <row r="839" spans="24:41">
      <c r="X839" s="15">
        <v>837</v>
      </c>
      <c r="Y839" s="15" t="str">
        <v>Ibrahima Konaté</v>
      </c>
      <c r="Z839" s="15">
        <v>27</v>
      </c>
      <c r="AA839" s="15" t="str">
        <v>France</v>
      </c>
      <c r="AB839" s="15" t="str">
        <v>CB</v>
      </c>
      <c r="AC839" s="15" t="str">
        <v>Liverpool</v>
      </c>
      <c r="AD839" s="15">
        <v>15</v>
      </c>
      <c r="AF839" s="42">
        <v>2018</v>
      </c>
      <c r="AG839" s="42" t="str">
        <v>14 Jun 2018 - 18:00</v>
      </c>
      <c r="AH839" s="42" t="str">
        <v>GROUP_STAGE</v>
      </c>
      <c r="AI839" s="42" t="str">
        <v>Luzhniki Stadium</v>
      </c>
      <c r="AJ839" s="42" t="str">
        <v>Moscow</v>
      </c>
      <c r="AK839" s="42" t="str">
        <v>Russia</v>
      </c>
      <c r="AL839" s="42">
        <v>5</v>
      </c>
      <c r="AM839" s="42">
        <v>0</v>
      </c>
      <c r="AN839" s="42" t="str">
        <v>Saudi Arabia</v>
      </c>
      <c r="AO839" s="42" t="str">
        <v>-</v>
      </c>
    </row>
    <row r="840" spans="24:41">
      <c r="X840" s="15">
        <v>838</v>
      </c>
      <c r="Y840" s="15" t="str">
        <v>William Saliba</v>
      </c>
      <c r="Z840" s="15">
        <v>25</v>
      </c>
      <c r="AA840" s="15" t="str">
        <v>France</v>
      </c>
      <c r="AB840" s="15" t="str">
        <v>CB</v>
      </c>
      <c r="AC840" s="15" t="str">
        <v>Arsenal</v>
      </c>
      <c r="AD840" s="15">
        <v>17</v>
      </c>
      <c r="AF840" s="42">
        <v>2018</v>
      </c>
      <c r="AG840" s="42" t="str">
        <v>15 Jun 2018 - 17:00</v>
      </c>
      <c r="AH840" s="42" t="str">
        <v>GROUP_STAGE</v>
      </c>
      <c r="AI840" s="42" t="str">
        <v>Central Stadium</v>
      </c>
      <c r="AJ840" s="42" t="str">
        <v>Yekaterinburg</v>
      </c>
      <c r="AK840" s="42" t="str">
        <v>Egypt</v>
      </c>
      <c r="AL840" s="42">
        <v>0</v>
      </c>
      <c r="AM840" s="42">
        <v>1</v>
      </c>
      <c r="AN840" s="42" t="str">
        <v>Uruguay</v>
      </c>
      <c r="AO840" s="42" t="str">
        <v>-</v>
      </c>
    </row>
    <row r="841" spans="24:41">
      <c r="X841" s="15">
        <v>839</v>
      </c>
      <c r="Y841" s="15" t="str">
        <v>Lucas Hernandez</v>
      </c>
      <c r="Z841" s="15">
        <v>30</v>
      </c>
      <c r="AA841" s="15" t="str">
        <v>France</v>
      </c>
      <c r="AB841" s="15" t="str">
        <v>CB</v>
      </c>
      <c r="AC841" s="15" t="str">
        <v>Paris Saint-Germain</v>
      </c>
      <c r="AD841" s="15">
        <v>21</v>
      </c>
      <c r="AF841" s="42">
        <v>2018</v>
      </c>
      <c r="AG841" s="42" t="str">
        <v>15 Jun 2018 - 18:00</v>
      </c>
      <c r="AH841" s="42" t="str">
        <v>GROUP_STAGE</v>
      </c>
      <c r="AI841" s="42" t="str">
        <v>Krestovsky Stadium</v>
      </c>
      <c r="AJ841" s="42" t="str">
        <v>Saint Petersburg</v>
      </c>
      <c r="AK841" s="42" t="str">
        <v>Morocco</v>
      </c>
      <c r="AL841" s="42">
        <v>0</v>
      </c>
      <c r="AM841" s="42">
        <v>1</v>
      </c>
      <c r="AN841" s="42" t="str">
        <v>Iran</v>
      </c>
      <c r="AO841" s="42" t="str">
        <v>-</v>
      </c>
    </row>
    <row r="842" spans="24:41">
      <c r="X842" s="15">
        <v>840</v>
      </c>
      <c r="Y842" s="15" t="str">
        <v>Maxence Lacroix</v>
      </c>
      <c r="Z842" s="15">
        <v>26</v>
      </c>
      <c r="AA842" s="15" t="str">
        <v>France</v>
      </c>
      <c r="AB842" s="15" t="str">
        <v>CB</v>
      </c>
      <c r="AC842" s="15" t="str">
        <v>Crystal Palace</v>
      </c>
      <c r="AD842" s="15">
        <v>26</v>
      </c>
      <c r="AF842" s="42">
        <v>2018</v>
      </c>
      <c r="AG842" s="42" t="str">
        <v>15 Jun 2018 - 21:00</v>
      </c>
      <c r="AH842" s="42" t="str">
        <v>GROUP_STAGE</v>
      </c>
      <c r="AI842" s="42" t="str">
        <v>Fisht Olympic Stadium</v>
      </c>
      <c r="AJ842" s="42" t="str">
        <v>Sochi</v>
      </c>
      <c r="AK842" s="42" t="str">
        <v>Portugal</v>
      </c>
      <c r="AL842" s="42">
        <v>3</v>
      </c>
      <c r="AM842" s="42">
        <v>3</v>
      </c>
      <c r="AN842" s="42" t="str">
        <v>Spain</v>
      </c>
      <c r="AO842" s="42" t="str">
        <v>-</v>
      </c>
    </row>
    <row r="843" spans="24:41">
      <c r="X843" s="15">
        <v>841</v>
      </c>
      <c r="Y843" s="15" t="str">
        <v>Lucas Digne</v>
      </c>
      <c r="Z843" s="15">
        <v>32</v>
      </c>
      <c r="AA843" s="15" t="str">
        <v>France</v>
      </c>
      <c r="AB843" s="15" t="str">
        <v>LB</v>
      </c>
      <c r="AC843" s="15" t="str">
        <v>Aston Villa</v>
      </c>
      <c r="AD843" s="15">
        <v>3</v>
      </c>
      <c r="AF843" s="42">
        <v>2018</v>
      </c>
      <c r="AG843" s="42" t="str">
        <v>16 Jun 2018 - 13:00</v>
      </c>
      <c r="AH843" s="42" t="str">
        <v>GROUP_STAGE</v>
      </c>
      <c r="AI843" s="42" t="str">
        <v>Kazan Arena</v>
      </c>
      <c r="AJ843" s="42" t="str">
        <v>Kazan</v>
      </c>
      <c r="AK843" s="42" t="str">
        <v>France</v>
      </c>
      <c r="AL843" s="42">
        <v>2</v>
      </c>
      <c r="AM843" s="42">
        <v>1</v>
      </c>
      <c r="AN843" s="42" t="str">
        <v>Australia</v>
      </c>
      <c r="AO843" s="42" t="str">
        <v>-</v>
      </c>
    </row>
    <row r="844" spans="24:41">
      <c r="X844" s="15">
        <v>842</v>
      </c>
      <c r="Y844" s="15" t="str">
        <v>Théo Hernandez</v>
      </c>
      <c r="Z844" s="15">
        <v>28</v>
      </c>
      <c r="AA844" s="15" t="str">
        <v>France</v>
      </c>
      <c r="AB844" s="15" t="str">
        <v>LB</v>
      </c>
      <c r="AC844" s="15" t="str">
        <v>Al-Hilal</v>
      </c>
      <c r="AD844" s="15">
        <v>19</v>
      </c>
      <c r="AF844" s="42">
        <v>2018</v>
      </c>
      <c r="AG844" s="42" t="str">
        <v>16 Jun 2018 - 16:00</v>
      </c>
      <c r="AH844" s="42" t="str">
        <v>GROUP_STAGE</v>
      </c>
      <c r="AI844" s="42" t="str">
        <v>Otkritie Arena</v>
      </c>
      <c r="AJ844" s="42" t="str">
        <v>Moscow</v>
      </c>
      <c r="AK844" s="42" t="str">
        <v>Argentina</v>
      </c>
      <c r="AL844" s="42">
        <v>1</v>
      </c>
      <c r="AM844" s="42">
        <v>1</v>
      </c>
      <c r="AN844" s="42" t="str">
        <v>Iceland</v>
      </c>
      <c r="AO844" s="42" t="str">
        <v>-</v>
      </c>
    </row>
    <row r="845" spans="24:41">
      <c r="X845" s="15">
        <v>843</v>
      </c>
      <c r="Y845" s="15" t="str">
        <v>Malo Gusto</v>
      </c>
      <c r="Z845" s="15">
        <v>23</v>
      </c>
      <c r="AA845" s="15" t="str">
        <v>France</v>
      </c>
      <c r="AB845" s="15" t="str">
        <v>RB</v>
      </c>
      <c r="AC845" s="15" t="str">
        <v>Chelsea</v>
      </c>
      <c r="AD845" s="15">
        <v>2</v>
      </c>
      <c r="AF845" s="42">
        <v>2018</v>
      </c>
      <c r="AG845" s="42" t="str">
        <v>16 Jun 2018 - 19:00</v>
      </c>
      <c r="AH845" s="42" t="str">
        <v>GROUP_STAGE</v>
      </c>
      <c r="AI845" s="42" t="str">
        <v>Mordovia Arena</v>
      </c>
      <c r="AJ845" s="42" t="str">
        <v>Saransk</v>
      </c>
      <c r="AK845" s="42" t="str">
        <v>Peru</v>
      </c>
      <c r="AL845" s="42">
        <v>0</v>
      </c>
      <c r="AM845" s="42">
        <v>1</v>
      </c>
      <c r="AN845" s="42" t="str">
        <v>Denmark</v>
      </c>
      <c r="AO845" s="42" t="str">
        <v>-</v>
      </c>
    </row>
    <row r="846" spans="24:41">
      <c r="X846" s="15">
        <v>844</v>
      </c>
      <c r="Y846" s="15" t="str">
        <v>Jules Koundé</v>
      </c>
      <c r="Z846" s="15">
        <v>27</v>
      </c>
      <c r="AA846" s="15" t="str">
        <v>France</v>
      </c>
      <c r="AB846" s="15" t="str">
        <v>RB</v>
      </c>
      <c r="AC846" s="15" t="str">
        <v>Barcelona</v>
      </c>
      <c r="AD846" s="15">
        <v>5</v>
      </c>
      <c r="AF846" s="42">
        <v>2018</v>
      </c>
      <c r="AG846" s="42" t="str">
        <v>16 Jun 2018 - 21:00</v>
      </c>
      <c r="AH846" s="42" t="str">
        <v>GROUP_STAGE</v>
      </c>
      <c r="AI846" s="42" t="str">
        <v>Kaliningrad Stadium</v>
      </c>
      <c r="AJ846" s="42" t="str">
        <v>Kaliningrad</v>
      </c>
      <c r="AK846" s="42" t="str">
        <v>Croatia</v>
      </c>
      <c r="AL846" s="42">
        <v>2</v>
      </c>
      <c r="AM846" s="42">
        <v>0</v>
      </c>
      <c r="AN846" s="42" t="str">
        <v>Nigeria</v>
      </c>
      <c r="AO846" s="42" t="str">
        <v>-</v>
      </c>
    </row>
    <row r="847" spans="24:41">
      <c r="X847" s="15">
        <v>845</v>
      </c>
      <c r="Y847" s="15" t="str">
        <v>Aurélien Tchouaméni</v>
      </c>
      <c r="Z847" s="15">
        <v>26</v>
      </c>
      <c r="AA847" s="15" t="str">
        <v>France</v>
      </c>
      <c r="AB847" s="15" t="str">
        <v>CDM</v>
      </c>
      <c r="AC847" s="15" t="str">
        <v>Real Madrid</v>
      </c>
      <c r="AD847" s="15">
        <v>8</v>
      </c>
      <c r="AF847" s="42">
        <v>2018</v>
      </c>
      <c r="AG847" s="42" t="str">
        <v>17 Jun 2018 - 16:00</v>
      </c>
      <c r="AH847" s="42" t="str">
        <v>GROUP_STAGE</v>
      </c>
      <c r="AI847" s="42" t="str">
        <v>Samara Arena</v>
      </c>
      <c r="AJ847" s="42" t="str">
        <v>Samara</v>
      </c>
      <c r="AK847" s="42" t="str">
        <v>Costa Rica</v>
      </c>
      <c r="AL847" s="42">
        <v>0</v>
      </c>
      <c r="AM847" s="42">
        <v>1</v>
      </c>
      <c r="AN847" s="42" t="str">
        <v>Serbia</v>
      </c>
      <c r="AO847" s="42" t="str">
        <v>-</v>
      </c>
    </row>
    <row r="848" spans="24:41">
      <c r="X848" s="15">
        <v>846</v>
      </c>
      <c r="Y848" s="15" t="str">
        <v>N'Golo Kanté</v>
      </c>
      <c r="Z848" s="15">
        <v>35</v>
      </c>
      <c r="AA848" s="15" t="str">
        <v>France</v>
      </c>
      <c r="AB848" s="15" t="str">
        <v>CDM</v>
      </c>
      <c r="AC848" s="15" t="str">
        <v>Fenerbahçe</v>
      </c>
      <c r="AD848" s="15">
        <v>13</v>
      </c>
      <c r="AF848" s="42">
        <v>2018</v>
      </c>
      <c r="AG848" s="42" t="str">
        <v>17 Jun 2018 - 18:00</v>
      </c>
      <c r="AH848" s="42" t="str">
        <v>GROUP_STAGE</v>
      </c>
      <c r="AI848" s="42" t="str">
        <v>Luzhniki Stadium</v>
      </c>
      <c r="AJ848" s="42" t="str">
        <v>Moscow</v>
      </c>
      <c r="AK848" s="42" t="str">
        <v>Germany</v>
      </c>
      <c r="AL848" s="42">
        <v>0</v>
      </c>
      <c r="AM848" s="42">
        <v>1</v>
      </c>
      <c r="AN848" s="42" t="str">
        <v>Mexico</v>
      </c>
      <c r="AO848" s="42" t="str">
        <v>-</v>
      </c>
    </row>
    <row r="849" spans="24:41">
      <c r="X849" s="15">
        <v>847</v>
      </c>
      <c r="Y849" s="15" t="str">
        <v>Manu Koné</v>
      </c>
      <c r="Z849" s="15">
        <v>25</v>
      </c>
      <c r="AA849" s="15" t="str">
        <v>France</v>
      </c>
      <c r="AB849" s="15" t="str">
        <v>CM</v>
      </c>
      <c r="AC849" s="15" t="str">
        <v>Roma</v>
      </c>
      <c r="AD849" s="15">
        <v>6</v>
      </c>
      <c r="AF849" s="42">
        <v>2018</v>
      </c>
      <c r="AG849" s="42" t="str">
        <v>17 Jun 2018 - 21:00</v>
      </c>
      <c r="AH849" s="42" t="str">
        <v>GROUP_STAGE</v>
      </c>
      <c r="AI849" s="42" t="str">
        <v>Rostov Arena</v>
      </c>
      <c r="AJ849" s="42" t="str">
        <v>Rostov-on-Don</v>
      </c>
      <c r="AK849" s="42" t="str">
        <v>Brazil</v>
      </c>
      <c r="AL849" s="42">
        <v>1</v>
      </c>
      <c r="AM849" s="42">
        <v>1</v>
      </c>
      <c r="AN849" s="42" t="str">
        <v>Switzerland</v>
      </c>
      <c r="AO849" s="42" t="str">
        <v>-</v>
      </c>
    </row>
    <row r="850" spans="24:41">
      <c r="X850" s="15">
        <v>848</v>
      </c>
      <c r="Y850" s="15" t="str">
        <v>Adrien Rabiot</v>
      </c>
      <c r="Z850" s="15">
        <v>31</v>
      </c>
      <c r="AA850" s="15" t="str">
        <v>France</v>
      </c>
      <c r="AB850" s="15" t="str">
        <v>CM</v>
      </c>
      <c r="AC850" s="15" t="str">
        <v>AC Milan</v>
      </c>
      <c r="AD850" s="15">
        <v>14</v>
      </c>
      <c r="AF850" s="42">
        <v>2018</v>
      </c>
      <c r="AG850" s="42" t="str">
        <v>18 Jun 2018 - 15:00</v>
      </c>
      <c r="AH850" s="42" t="str">
        <v>GROUP_STAGE</v>
      </c>
      <c r="AI850" s="42" t="str">
        <v>Nizhny Novgorod Stadium</v>
      </c>
      <c r="AJ850" s="42" t="str">
        <v>Nizhny Novgorod</v>
      </c>
      <c r="AK850" s="42" t="str">
        <v>Sweden</v>
      </c>
      <c r="AL850" s="42">
        <v>1</v>
      </c>
      <c r="AM850" s="42">
        <v>0</v>
      </c>
      <c r="AN850" s="42" t="str">
        <v>South Korea</v>
      </c>
      <c r="AO850" s="42" t="str">
        <v>-</v>
      </c>
    </row>
    <row r="851" spans="24:41">
      <c r="X851" s="15">
        <v>849</v>
      </c>
      <c r="Y851" s="15" t="str">
        <v>Warren Zaïre-Emery</v>
      </c>
      <c r="Z851" s="15">
        <v>20</v>
      </c>
      <c r="AA851" s="15" t="str">
        <v>France</v>
      </c>
      <c r="AB851" s="15" t="str">
        <v>CM</v>
      </c>
      <c r="AC851" s="15" t="str">
        <v>Paris Saint-Germain</v>
      </c>
      <c r="AD851" s="15">
        <v>18</v>
      </c>
      <c r="AF851" s="42">
        <v>2018</v>
      </c>
      <c r="AG851" s="42" t="str">
        <v>18 Jun 2018 - 18:00</v>
      </c>
      <c r="AH851" s="42" t="str">
        <v>GROUP_STAGE</v>
      </c>
      <c r="AI851" s="42" t="str">
        <v>Fisht Olympic Stadium</v>
      </c>
      <c r="AJ851" s="42" t="str">
        <v>Sochi</v>
      </c>
      <c r="AK851" s="42" t="str">
        <v>Belgium</v>
      </c>
      <c r="AL851" s="42">
        <v>3</v>
      </c>
      <c r="AM851" s="42">
        <v>0</v>
      </c>
      <c r="AN851" s="42" t="str">
        <v>Panama</v>
      </c>
      <c r="AO851" s="42" t="str">
        <v>-</v>
      </c>
    </row>
    <row r="852" spans="24:41">
      <c r="X852" s="15">
        <v>850</v>
      </c>
      <c r="Y852" s="15" t="str">
        <v>Rayan Cherki</v>
      </c>
      <c r="Z852" s="15">
        <v>22</v>
      </c>
      <c r="AA852" s="15" t="str">
        <v>France</v>
      </c>
      <c r="AB852" s="15" t="str">
        <v>CAM</v>
      </c>
      <c r="AC852" s="15" t="str">
        <v>Manchester City</v>
      </c>
      <c r="AD852" s="15">
        <v>24</v>
      </c>
      <c r="AF852" s="42">
        <v>2018</v>
      </c>
      <c r="AG852" s="42" t="str">
        <v>18 Jun 2018 - 21:00</v>
      </c>
      <c r="AH852" s="42" t="str">
        <v>GROUP_STAGE</v>
      </c>
      <c r="AI852" s="42" t="str">
        <v>Volgograd Arena</v>
      </c>
      <c r="AJ852" s="42" t="str">
        <v>Volgograd</v>
      </c>
      <c r="AK852" s="42" t="str">
        <v>Tunisia</v>
      </c>
      <c r="AL852" s="42">
        <v>1</v>
      </c>
      <c r="AM852" s="42">
        <v>2</v>
      </c>
      <c r="AN852" s="42" t="str">
        <v>England</v>
      </c>
      <c r="AO852" s="42" t="str">
        <v>-</v>
      </c>
    </row>
    <row r="853" spans="24:41">
      <c r="X853" s="15">
        <v>851</v>
      </c>
      <c r="Y853" s="15" t="str">
        <v>Maghnes Akliouche</v>
      </c>
      <c r="Z853" s="15">
        <v>24</v>
      </c>
      <c r="AA853" s="15" t="str">
        <v>France</v>
      </c>
      <c r="AB853" s="15" t="str">
        <v>CAM</v>
      </c>
      <c r="AC853" s="15" t="str">
        <v>Monaco</v>
      </c>
      <c r="AD853" s="15">
        <v>25</v>
      </c>
      <c r="AF853" s="42">
        <v>2018</v>
      </c>
      <c r="AG853" s="42" t="str">
        <v>19 Jun 2018 - 15:00</v>
      </c>
      <c r="AH853" s="42" t="str">
        <v>GROUP_STAGE</v>
      </c>
      <c r="AI853" s="42" t="str">
        <v>Mordovia Arena</v>
      </c>
      <c r="AJ853" s="42" t="str">
        <v>Saransk</v>
      </c>
      <c r="AK853" s="42" t="str">
        <v>Colombia</v>
      </c>
      <c r="AL853" s="42">
        <v>1</v>
      </c>
      <c r="AM853" s="42">
        <v>2</v>
      </c>
      <c r="AN853" s="42" t="str">
        <v>Japan</v>
      </c>
      <c r="AO853" s="42" t="str">
        <v>-</v>
      </c>
    </row>
    <row r="854" spans="24:41">
      <c r="X854" s="15">
        <v>852</v>
      </c>
      <c r="Y854" s="15" t="str">
        <v>Bradley Barcola</v>
      </c>
      <c r="Z854" s="15">
        <v>23</v>
      </c>
      <c r="AA854" s="15" t="str">
        <v>France</v>
      </c>
      <c r="AB854" s="15" t="str">
        <v>LW</v>
      </c>
      <c r="AC854" s="15" t="str">
        <v>Paris Saint-Germain</v>
      </c>
      <c r="AD854" s="15">
        <v>12</v>
      </c>
      <c r="AF854" s="42">
        <v>2018</v>
      </c>
      <c r="AG854" s="42" t="str">
        <v>19 Jun 2018 - 18:00</v>
      </c>
      <c r="AH854" s="42" t="str">
        <v>GROUP_STAGE</v>
      </c>
      <c r="AI854" s="42" t="str">
        <v>Otkritie Arena</v>
      </c>
      <c r="AJ854" s="42" t="str">
        <v>Moscow</v>
      </c>
      <c r="AK854" s="42" t="str">
        <v>Poland</v>
      </c>
      <c r="AL854" s="42">
        <v>1</v>
      </c>
      <c r="AM854" s="42">
        <v>2</v>
      </c>
      <c r="AN854" s="42" t="str">
        <v>Senegal</v>
      </c>
      <c r="AO854" s="42" t="str">
        <v>-</v>
      </c>
    </row>
    <row r="855" spans="24:41">
      <c r="X855" s="15">
        <v>853</v>
      </c>
      <c r="Y855" s="15" t="str">
        <v>Désiré Doué</v>
      </c>
      <c r="Z855" s="15">
        <v>21</v>
      </c>
      <c r="AA855" s="15" t="str">
        <v>France</v>
      </c>
      <c r="AB855" s="15" t="str">
        <v>LW</v>
      </c>
      <c r="AC855" s="15" t="str">
        <v>Paris Saint-Germain</v>
      </c>
      <c r="AD855" s="15">
        <v>20</v>
      </c>
      <c r="AF855" s="42">
        <v>2018</v>
      </c>
      <c r="AG855" s="42" t="str">
        <v>19 Jun 2018 - 21:00</v>
      </c>
      <c r="AH855" s="42" t="str">
        <v>GROUP_STAGE</v>
      </c>
      <c r="AI855" s="42" t="str">
        <v>Krestovsky Stadium</v>
      </c>
      <c r="AJ855" s="42" t="str">
        <v>Saint Petersburg</v>
      </c>
      <c r="AK855" s="42" t="str">
        <v>Russia</v>
      </c>
      <c r="AL855" s="42">
        <v>3</v>
      </c>
      <c r="AM855" s="42">
        <v>1</v>
      </c>
      <c r="AN855" s="42" t="str">
        <v>Egypt</v>
      </c>
      <c r="AO855" s="42" t="str">
        <v>-</v>
      </c>
    </row>
    <row r="856" spans="24:41">
      <c r="X856" s="15">
        <v>854</v>
      </c>
      <c r="Y856" s="15" t="str">
        <v>Ousmane Dembélé</v>
      </c>
      <c r="Z856" s="15">
        <v>29</v>
      </c>
      <c r="AA856" s="15" t="str">
        <v>France</v>
      </c>
      <c r="AB856" s="15" t="str">
        <v>RW</v>
      </c>
      <c r="AC856" s="15" t="str">
        <v>Paris Saint-Germain</v>
      </c>
      <c r="AD856" s="15">
        <v>7</v>
      </c>
      <c r="AF856" s="42">
        <v>2018</v>
      </c>
      <c r="AG856" s="42" t="str">
        <v>20 Jun 2018 - 15:00</v>
      </c>
      <c r="AH856" s="42" t="str">
        <v>GROUP_STAGE</v>
      </c>
      <c r="AI856" s="42" t="str">
        <v>Luzhniki Stadium</v>
      </c>
      <c r="AJ856" s="42" t="str">
        <v>Moscow</v>
      </c>
      <c r="AK856" s="42" t="str">
        <v>Portugal</v>
      </c>
      <c r="AL856" s="42">
        <v>1</v>
      </c>
      <c r="AM856" s="42">
        <v>0</v>
      </c>
      <c r="AN856" s="42" t="str">
        <v>Morocco</v>
      </c>
      <c r="AO856" s="42" t="str">
        <v>-</v>
      </c>
    </row>
    <row r="857" spans="24:41">
      <c r="X857" s="15">
        <v>855</v>
      </c>
      <c r="Y857" s="15" t="str">
        <v>Michael Olise</v>
      </c>
      <c r="Z857" s="15">
        <v>24</v>
      </c>
      <c r="AA857" s="15" t="str">
        <v>France</v>
      </c>
      <c r="AB857" s="15" t="str">
        <v>RW</v>
      </c>
      <c r="AC857" s="15" t="str">
        <v>Bayern Munich</v>
      </c>
      <c r="AD857" s="15">
        <v>11</v>
      </c>
      <c r="AF857" s="42">
        <v>2018</v>
      </c>
      <c r="AG857" s="42" t="str">
        <v>20 Jun 2018 - 18:00</v>
      </c>
      <c r="AH857" s="42" t="str">
        <v>GROUP_STAGE</v>
      </c>
      <c r="AI857" s="42" t="str">
        <v>Rostov Arena</v>
      </c>
      <c r="AJ857" s="42" t="str">
        <v>Rostov-on-Don</v>
      </c>
      <c r="AK857" s="42" t="str">
        <v>Uruguay</v>
      </c>
      <c r="AL857" s="42">
        <v>1</v>
      </c>
      <c r="AM857" s="42">
        <v>0</v>
      </c>
      <c r="AN857" s="42" t="str">
        <v>Saudi Arabia</v>
      </c>
      <c r="AO857" s="42" t="str">
        <v>-</v>
      </c>
    </row>
    <row r="858" spans="24:41">
      <c r="X858" s="15">
        <v>856</v>
      </c>
      <c r="Y858" s="15" t="str">
        <v>Marcus Thuram</v>
      </c>
      <c r="Z858" s="15">
        <v>28</v>
      </c>
      <c r="AA858" s="15" t="str">
        <v>France</v>
      </c>
      <c r="AB858" s="15" t="str">
        <v>ST</v>
      </c>
      <c r="AC858" s="15" t="str">
        <v>Inter Milan</v>
      </c>
      <c r="AD858" s="15">
        <v>9</v>
      </c>
      <c r="AF858" s="42">
        <v>2018</v>
      </c>
      <c r="AG858" s="42" t="str">
        <v>20 Jun 2018 - 21:00</v>
      </c>
      <c r="AH858" s="42" t="str">
        <v>GROUP_STAGE</v>
      </c>
      <c r="AI858" s="42" t="str">
        <v>Kazan Arena</v>
      </c>
      <c r="AJ858" s="42" t="str">
        <v>Kazan</v>
      </c>
      <c r="AK858" s="42" t="str">
        <v>Iran</v>
      </c>
      <c r="AL858" s="42">
        <v>0</v>
      </c>
      <c r="AM858" s="42">
        <v>1</v>
      </c>
      <c r="AN858" s="42" t="str">
        <v>Spain</v>
      </c>
      <c r="AO858" s="42" t="str">
        <v>-</v>
      </c>
    </row>
    <row r="859" spans="24:41">
      <c r="X859" s="15">
        <v>857</v>
      </c>
      <c r="Y859" s="15" t="str">
        <v>Kylian Mbappé</v>
      </c>
      <c r="Z859" s="15">
        <v>27</v>
      </c>
      <c r="AA859" s="15" t="str">
        <v>France</v>
      </c>
      <c r="AB859" s="15" t="str">
        <v>ST</v>
      </c>
      <c r="AC859" s="15" t="str">
        <v>Real Madrid</v>
      </c>
      <c r="AD859" s="15">
        <v>10</v>
      </c>
      <c r="AF859" s="42">
        <v>2018</v>
      </c>
      <c r="AG859" s="42" t="str">
        <v>21 Jun 2018 - 16:00</v>
      </c>
      <c r="AH859" s="42" t="str">
        <v>GROUP_STAGE</v>
      </c>
      <c r="AI859" s="42" t="str">
        <v>Samara Arena</v>
      </c>
      <c r="AJ859" s="42" t="str">
        <v>Samara</v>
      </c>
      <c r="AK859" s="42" t="str">
        <v>Denmark</v>
      </c>
      <c r="AL859" s="42">
        <v>1</v>
      </c>
      <c r="AM859" s="42">
        <v>1</v>
      </c>
      <c r="AN859" s="42" t="str">
        <v>Australia</v>
      </c>
      <c r="AO859" s="42" t="str">
        <v>-</v>
      </c>
    </row>
    <row r="860" spans="24:41">
      <c r="X860" s="15">
        <v>858</v>
      </c>
      <c r="Y860" s="15" t="str">
        <v>Jean-Philippe Mateta</v>
      </c>
      <c r="Z860" s="15">
        <v>28</v>
      </c>
      <c r="AA860" s="15" t="str">
        <v>France</v>
      </c>
      <c r="AB860" s="15" t="str">
        <v>ST</v>
      </c>
      <c r="AC860" s="15" t="str">
        <v>Crystal Palace</v>
      </c>
      <c r="AD860" s="15">
        <v>22</v>
      </c>
      <c r="AF860" s="42">
        <v>2018</v>
      </c>
      <c r="AG860" s="42" t="str">
        <v>21 Jun 2018 - 20:00</v>
      </c>
      <c r="AH860" s="42" t="str">
        <v>GROUP_STAGE</v>
      </c>
      <c r="AI860" s="42" t="str">
        <v>Central Stadium</v>
      </c>
      <c r="AJ860" s="42" t="str">
        <v>Yekaterinburg</v>
      </c>
      <c r="AK860" s="42" t="str">
        <v>France</v>
      </c>
      <c r="AL860" s="42">
        <v>1</v>
      </c>
      <c r="AM860" s="42">
        <v>0</v>
      </c>
      <c r="AN860" s="42" t="str">
        <v>Peru</v>
      </c>
      <c r="AO860" s="42" t="str">
        <v>-</v>
      </c>
    </row>
    <row r="861" spans="24:41">
      <c r="X861" s="15">
        <v>859</v>
      </c>
      <c r="Y861" s="15" t="str">
        <v>Fahad Talib</v>
      </c>
      <c r="Z861" s="15">
        <v>31</v>
      </c>
      <c r="AA861" s="15" t="str">
        <v>Iraq</v>
      </c>
      <c r="AB861" s="15" t="str">
        <v>GK</v>
      </c>
      <c r="AC861" s="15" t="str">
        <v>Al-Talaba</v>
      </c>
      <c r="AD861" s="15">
        <v>1</v>
      </c>
      <c r="AF861" s="42">
        <v>2018</v>
      </c>
      <c r="AG861" s="42" t="str">
        <v>21 Jun 2018 - 21:00</v>
      </c>
      <c r="AH861" s="42" t="str">
        <v>GROUP_STAGE</v>
      </c>
      <c r="AI861" s="42" t="str">
        <v>Nizhny Novgorod Stadium</v>
      </c>
      <c r="AJ861" s="42" t="str">
        <v>Nizhny Novgorod</v>
      </c>
      <c r="AK861" s="42" t="str">
        <v>Argentina</v>
      </c>
      <c r="AL861" s="42">
        <v>0</v>
      </c>
      <c r="AM861" s="42">
        <v>3</v>
      </c>
      <c r="AN861" s="42" t="str">
        <v>Croatia</v>
      </c>
      <c r="AO861" s="42" t="str">
        <v>-</v>
      </c>
    </row>
    <row r="862" spans="24:41">
      <c r="X862" s="15">
        <v>860</v>
      </c>
      <c r="Y862" s="15" t="str">
        <v>Jalal Hassan</v>
      </c>
      <c r="Z862" s="15">
        <v>35</v>
      </c>
      <c r="AA862" s="15" t="str">
        <v>Iraq</v>
      </c>
      <c r="AB862" s="15" t="str">
        <v>GK</v>
      </c>
      <c r="AC862" s="15" t="str">
        <v>Al-Zawraa</v>
      </c>
      <c r="AD862" s="15">
        <v>12</v>
      </c>
      <c r="AF862" s="42">
        <v>2018</v>
      </c>
      <c r="AG862" s="42" t="str">
        <v>22 Jun 2018 - 15:00</v>
      </c>
      <c r="AH862" s="42" t="str">
        <v>GROUP_STAGE</v>
      </c>
      <c r="AI862" s="42" t="str">
        <v>Krestovsky Stadium</v>
      </c>
      <c r="AJ862" s="42" t="str">
        <v>Saint Petersburg</v>
      </c>
      <c r="AK862" s="42" t="str">
        <v>Brazil</v>
      </c>
      <c r="AL862" s="42">
        <v>2</v>
      </c>
      <c r="AM862" s="42">
        <v>0</v>
      </c>
      <c r="AN862" s="42" t="str">
        <v>Costa Rica</v>
      </c>
      <c r="AO862" s="42" t="str">
        <v>-</v>
      </c>
    </row>
    <row r="863" spans="24:41">
      <c r="X863" s="15">
        <v>861</v>
      </c>
      <c r="Y863" s="15" t="str">
        <v>Ahmed Basil</v>
      </c>
      <c r="Z863" s="15">
        <v>29</v>
      </c>
      <c r="AA863" s="15" t="str">
        <v>Iraq</v>
      </c>
      <c r="AB863" s="15" t="str">
        <v>GK</v>
      </c>
      <c r="AC863" s="15" t="str">
        <v>Al-Shorta</v>
      </c>
      <c r="AD863" s="15">
        <v>22</v>
      </c>
      <c r="AF863" s="42">
        <v>2018</v>
      </c>
      <c r="AG863" s="42" t="str">
        <v>22 Jun 2018 - 18:00</v>
      </c>
      <c r="AH863" s="42" t="str">
        <v>GROUP_STAGE</v>
      </c>
      <c r="AI863" s="42" t="str">
        <v>Volgograd Arena</v>
      </c>
      <c r="AJ863" s="42" t="str">
        <v>Volgograd</v>
      </c>
      <c r="AK863" s="42" t="str">
        <v>Nigeria</v>
      </c>
      <c r="AL863" s="42">
        <v>2</v>
      </c>
      <c r="AM863" s="42">
        <v>0</v>
      </c>
      <c r="AN863" s="42" t="str">
        <v>Iceland</v>
      </c>
      <c r="AO863" s="42" t="str">
        <v>-</v>
      </c>
    </row>
    <row r="864" spans="24:41">
      <c r="X864" s="15">
        <v>862</v>
      </c>
      <c r="Y864" s="15" t="str">
        <v>Rebin Sulaka</v>
      </c>
      <c r="Z864" s="15">
        <v>34</v>
      </c>
      <c r="AA864" s="15" t="str">
        <v>Iraq</v>
      </c>
      <c r="AB864" s="15" t="str">
        <v>CB</v>
      </c>
      <c r="AC864" s="15" t="str">
        <v>Port</v>
      </c>
      <c r="AD864" s="15">
        <v>2</v>
      </c>
      <c r="AF864" s="42">
        <v>2018</v>
      </c>
      <c r="AG864" s="42" t="str">
        <v>22 Jun 2018 - 20:00</v>
      </c>
      <c r="AH864" s="42" t="str">
        <v>GROUP_STAGE</v>
      </c>
      <c r="AI864" s="42" t="str">
        <v>Kaliningrad Stadium</v>
      </c>
      <c r="AJ864" s="42" t="str">
        <v>Kaliningrad</v>
      </c>
      <c r="AK864" s="42" t="str">
        <v>Serbia</v>
      </c>
      <c r="AL864" s="42">
        <v>1</v>
      </c>
      <c r="AM864" s="42">
        <v>2</v>
      </c>
      <c r="AN864" s="42" t="str">
        <v>Switzerland</v>
      </c>
      <c r="AO864" s="42" t="str">
        <v>-</v>
      </c>
    </row>
    <row r="865" spans="24:41">
      <c r="X865" s="15">
        <v>863</v>
      </c>
      <c r="Y865" s="15" t="str">
        <v>Zaid Tahseen</v>
      </c>
      <c r="Z865" s="15">
        <v>25</v>
      </c>
      <c r="AA865" s="15" t="str">
        <v>Iraq</v>
      </c>
      <c r="AB865" s="15" t="str">
        <v>CB</v>
      </c>
      <c r="AC865" s="15" t="str">
        <v>Pakhtakor</v>
      </c>
      <c r="AD865" s="15">
        <v>4</v>
      </c>
      <c r="AF865" s="42">
        <v>2018</v>
      </c>
      <c r="AG865" s="42" t="str">
        <v>23 Jun 2018 - 15:00</v>
      </c>
      <c r="AH865" s="42" t="str">
        <v>GROUP_STAGE</v>
      </c>
      <c r="AI865" s="42" t="str">
        <v>Otkritie Arena</v>
      </c>
      <c r="AJ865" s="42" t="str">
        <v>Moscow</v>
      </c>
      <c r="AK865" s="42" t="str">
        <v>Belgium</v>
      </c>
      <c r="AL865" s="42">
        <v>5</v>
      </c>
      <c r="AM865" s="42">
        <v>2</v>
      </c>
      <c r="AN865" s="42" t="str">
        <v>Tunisia</v>
      </c>
      <c r="AO865" s="42" t="str">
        <v>-</v>
      </c>
    </row>
    <row r="866" spans="24:41">
      <c r="X866" s="15">
        <v>864</v>
      </c>
      <c r="Y866" s="15" t="str">
        <v>Akam Hashim</v>
      </c>
      <c r="Z866" s="15">
        <v>27</v>
      </c>
      <c r="AA866" s="15" t="str">
        <v>Iraq</v>
      </c>
      <c r="AB866" s="15" t="str">
        <v>CB</v>
      </c>
      <c r="AC866" s="15" t="str">
        <v>Al-Zawraa</v>
      </c>
      <c r="AD866" s="15">
        <v>5</v>
      </c>
      <c r="AF866" s="42">
        <v>2018</v>
      </c>
      <c r="AG866" s="42" t="str">
        <v>23 Jun 2018 - 18:00</v>
      </c>
      <c r="AH866" s="42" t="str">
        <v>GROUP_STAGE</v>
      </c>
      <c r="AI866" s="42" t="str">
        <v>Rostov Arena</v>
      </c>
      <c r="AJ866" s="42" t="str">
        <v>Rostov-on-Don</v>
      </c>
      <c r="AK866" s="42" t="str">
        <v>South Korea</v>
      </c>
      <c r="AL866" s="42">
        <v>1</v>
      </c>
      <c r="AM866" s="42">
        <v>2</v>
      </c>
      <c r="AN866" s="42" t="str">
        <v>Mexico</v>
      </c>
      <c r="AO866" s="42" t="str">
        <v>-</v>
      </c>
    </row>
    <row r="867" spans="24:41">
      <c r="X867" s="15">
        <v>865</v>
      </c>
      <c r="Y867" s="15" t="str">
        <v>Manaf Younis</v>
      </c>
      <c r="Z867" s="15">
        <v>29</v>
      </c>
      <c r="AA867" s="15" t="str">
        <v>Iraq</v>
      </c>
      <c r="AB867" s="15" t="str">
        <v>CB</v>
      </c>
      <c r="AC867" s="15" t="str">
        <v>Al-Shorta</v>
      </c>
      <c r="AD867" s="15">
        <v>6</v>
      </c>
      <c r="AF867" s="42">
        <v>2018</v>
      </c>
      <c r="AG867" s="42" t="str">
        <v>23 Jun 2018 - 21:00</v>
      </c>
      <c r="AH867" s="42" t="str">
        <v>GROUP_STAGE</v>
      </c>
      <c r="AI867" s="42" t="str">
        <v>Fisht Olympic Stadium</v>
      </c>
      <c r="AJ867" s="42" t="str">
        <v>Sochi</v>
      </c>
      <c r="AK867" s="42" t="str">
        <v>Germany</v>
      </c>
      <c r="AL867" s="42">
        <v>2</v>
      </c>
      <c r="AM867" s="42">
        <v>1</v>
      </c>
      <c r="AN867" s="42" t="str">
        <v>Sweden</v>
      </c>
      <c r="AO867" s="42" t="str">
        <v>-</v>
      </c>
    </row>
    <row r="868" spans="24:41">
      <c r="X868" s="15">
        <v>866</v>
      </c>
      <c r="Y868" s="15" t="str">
        <v>Frans Putros</v>
      </c>
      <c r="Z868" s="15">
        <v>32</v>
      </c>
      <c r="AA868" s="15" t="str">
        <v>Iraq</v>
      </c>
      <c r="AB868" s="15" t="str">
        <v>CB</v>
      </c>
      <c r="AC868" s="15" t="str">
        <v>Persib</v>
      </c>
      <c r="AD868" s="15">
        <v>26</v>
      </c>
      <c r="AF868" s="42">
        <v>2018</v>
      </c>
      <c r="AG868" s="42" t="str">
        <v>24 Jun 2018 - 15:00</v>
      </c>
      <c r="AH868" s="42" t="str">
        <v>GROUP_STAGE</v>
      </c>
      <c r="AI868" s="42" t="str">
        <v>Nizhny Novgorod Stadium</v>
      </c>
      <c r="AJ868" s="42" t="str">
        <v>Nizhny Novgorod</v>
      </c>
      <c r="AK868" s="42" t="str">
        <v>England</v>
      </c>
      <c r="AL868" s="42">
        <v>6</v>
      </c>
      <c r="AM868" s="42">
        <v>1</v>
      </c>
      <c r="AN868" s="42" t="str">
        <v>Panama</v>
      </c>
      <c r="AO868" s="42" t="str">
        <v>-</v>
      </c>
    </row>
    <row r="869" spans="24:41">
      <c r="X869" s="15">
        <v>867</v>
      </c>
      <c r="Y869" s="15" t="str">
        <v>Ahmed Maknzi</v>
      </c>
      <c r="Z869" s="15">
        <v>24</v>
      </c>
      <c r="AA869" s="15" t="str">
        <v>Iraq</v>
      </c>
      <c r="AB869" s="15" t="str">
        <v>LB</v>
      </c>
      <c r="AC869" s="15" t="str">
        <v>Al-Karma</v>
      </c>
      <c r="AD869" s="15">
        <v>15</v>
      </c>
      <c r="AF869" s="42">
        <v>2018</v>
      </c>
      <c r="AG869" s="42" t="str">
        <v>24 Jun 2018 - 20:00</v>
      </c>
      <c r="AH869" s="42" t="str">
        <v>GROUP_STAGE</v>
      </c>
      <c r="AI869" s="42" t="str">
        <v>Central Stadium</v>
      </c>
      <c r="AJ869" s="42" t="str">
        <v>Yekaterinburg</v>
      </c>
      <c r="AK869" s="42" t="str">
        <v>Japan</v>
      </c>
      <c r="AL869" s="42">
        <v>2</v>
      </c>
      <c r="AM869" s="42">
        <v>2</v>
      </c>
      <c r="AN869" s="42" t="str">
        <v>Senegal</v>
      </c>
      <c r="AO869" s="42" t="str">
        <v>-</v>
      </c>
    </row>
    <row r="870" spans="24:41">
      <c r="X870" s="15">
        <v>868</v>
      </c>
      <c r="Y870" s="15" t="str">
        <v>Merchas Doski</v>
      </c>
      <c r="Z870" s="15">
        <v>26</v>
      </c>
      <c r="AA870" s="15" t="str">
        <v>Iraq</v>
      </c>
      <c r="AB870" s="15" t="str">
        <v>LB</v>
      </c>
      <c r="AC870" s="15" t="str">
        <v>Viktoria Plzeň</v>
      </c>
      <c r="AD870" s="15">
        <v>23</v>
      </c>
      <c r="AF870" s="42">
        <v>2018</v>
      </c>
      <c r="AG870" s="42" t="str">
        <v>24 Jun 2018 - 21:00</v>
      </c>
      <c r="AH870" s="42" t="str">
        <v>GROUP_STAGE</v>
      </c>
      <c r="AI870" s="42" t="str">
        <v>Kazan Arena</v>
      </c>
      <c r="AJ870" s="42" t="str">
        <v>Kazan</v>
      </c>
      <c r="AK870" s="42" t="str">
        <v>Poland</v>
      </c>
      <c r="AL870" s="42">
        <v>0</v>
      </c>
      <c r="AM870" s="42">
        <v>3</v>
      </c>
      <c r="AN870" s="42" t="str">
        <v>Colombia</v>
      </c>
      <c r="AO870" s="42" t="str">
        <v>-</v>
      </c>
    </row>
    <row r="871" spans="24:41">
      <c r="X871" s="15">
        <v>869</v>
      </c>
      <c r="Y871" s="15" t="str">
        <v>Hussein Ali</v>
      </c>
      <c r="Z871" s="15">
        <v>24</v>
      </c>
      <c r="AA871" s="15" t="str">
        <v>Iraq</v>
      </c>
      <c r="AB871" s="15" t="str">
        <v>RB</v>
      </c>
      <c r="AC871" s="15" t="str">
        <v>Pogoń Szczecin</v>
      </c>
      <c r="AD871" s="15">
        <v>3</v>
      </c>
      <c r="AF871" s="42">
        <v>2018</v>
      </c>
      <c r="AG871" s="42" t="str">
        <v>25 Jun 2018 - 17:00</v>
      </c>
      <c r="AH871" s="42" t="str">
        <v>GROUP_STAGE</v>
      </c>
      <c r="AI871" s="42" t="str">
        <v>Volgograd Arena</v>
      </c>
      <c r="AJ871" s="42" t="str">
        <v>Volgograd</v>
      </c>
      <c r="AK871" s="42" t="str">
        <v>Saudi Arabia</v>
      </c>
      <c r="AL871" s="42">
        <v>2</v>
      </c>
      <c r="AM871" s="42">
        <v>1</v>
      </c>
      <c r="AN871" s="42" t="str">
        <v>Egypt</v>
      </c>
      <c r="AO871" s="42" t="str">
        <v>-</v>
      </c>
    </row>
    <row r="872" spans="24:41">
      <c r="X872" s="15">
        <v>870</v>
      </c>
      <c r="Y872" s="15" t="str">
        <v>Mustafa Saadoon</v>
      </c>
      <c r="Z872" s="15">
        <v>25</v>
      </c>
      <c r="AA872" s="15" t="str">
        <v>Iraq</v>
      </c>
      <c r="AB872" s="15" t="str">
        <v>RB</v>
      </c>
      <c r="AC872" s="15" t="str">
        <v>Al-Shorta</v>
      </c>
      <c r="AD872" s="15">
        <v>25</v>
      </c>
      <c r="AF872" s="42">
        <v>2018</v>
      </c>
      <c r="AG872" s="42" t="str">
        <v>25 Jun 2018 - 18:00</v>
      </c>
      <c r="AH872" s="42" t="str">
        <v>GROUP_STAGE</v>
      </c>
      <c r="AI872" s="42" t="str">
        <v>Samara Arena</v>
      </c>
      <c r="AJ872" s="42" t="str">
        <v>Samara</v>
      </c>
      <c r="AK872" s="42" t="str">
        <v>Uruguay</v>
      </c>
      <c r="AL872" s="42">
        <v>3</v>
      </c>
      <c r="AM872" s="42">
        <v>0</v>
      </c>
      <c r="AN872" s="42" t="str">
        <v>Russia</v>
      </c>
      <c r="AO872" s="42" t="str">
        <v>-</v>
      </c>
    </row>
    <row r="873" spans="24:41">
      <c r="X873" s="15">
        <v>871</v>
      </c>
      <c r="Y873" s="15" t="str">
        <v>Zaid Ismail</v>
      </c>
      <c r="Z873" s="15">
        <v>24</v>
      </c>
      <c r="AA873" s="15" t="str">
        <v>Iraq</v>
      </c>
      <c r="AB873" s="15" t="str">
        <v>CDM</v>
      </c>
      <c r="AC873" s="15" t="str">
        <v>Al-Talaba</v>
      </c>
      <c r="AD873" s="15">
        <v>24</v>
      </c>
      <c r="AF873" s="42">
        <v>2018</v>
      </c>
      <c r="AG873" s="42" t="str">
        <v>25 Jun 2018 - 20:00</v>
      </c>
      <c r="AH873" s="42" t="str">
        <v>GROUP_STAGE</v>
      </c>
      <c r="AI873" s="42" t="str">
        <v>Kaliningrad Stadium</v>
      </c>
      <c r="AJ873" s="42" t="str">
        <v>Kaliningrad</v>
      </c>
      <c r="AK873" s="42" t="str">
        <v>Spain</v>
      </c>
      <c r="AL873" s="42">
        <v>2</v>
      </c>
      <c r="AM873" s="42">
        <v>2</v>
      </c>
      <c r="AN873" s="42" t="str">
        <v>Morocco</v>
      </c>
      <c r="AO873" s="42" t="str">
        <v>-</v>
      </c>
    </row>
    <row r="874" spans="24:41">
      <c r="X874" s="15">
        <v>872</v>
      </c>
      <c r="Y874" s="15" t="str">
        <v>Amir Al-Ammari</v>
      </c>
      <c r="Z874" s="15">
        <v>28</v>
      </c>
      <c r="AA874" s="15" t="str">
        <v>Iraq</v>
      </c>
      <c r="AB874" s="15" t="str">
        <v>CM</v>
      </c>
      <c r="AC874" s="15" t="str">
        <v>Cracovia</v>
      </c>
      <c r="AD874" s="15">
        <v>16</v>
      </c>
      <c r="AF874" s="42">
        <v>2018</v>
      </c>
      <c r="AG874" s="42" t="str">
        <v>25 Jun 2018 - 21:00</v>
      </c>
      <c r="AH874" s="42" t="str">
        <v>GROUP_STAGE</v>
      </c>
      <c r="AI874" s="42" t="str">
        <v>Mordovia Arena</v>
      </c>
      <c r="AJ874" s="42" t="str">
        <v>Saransk</v>
      </c>
      <c r="AK874" s="42" t="str">
        <v>Iran</v>
      </c>
      <c r="AL874" s="42">
        <v>1</v>
      </c>
      <c r="AM874" s="42">
        <v>1</v>
      </c>
      <c r="AN874" s="42" t="str">
        <v>Portugal</v>
      </c>
      <c r="AO874" s="42" t="str">
        <v>-</v>
      </c>
    </row>
    <row r="875" spans="24:41">
      <c r="X875" s="15">
        <v>873</v>
      </c>
      <c r="Y875" s="15" t="str">
        <v>Aimar Sher</v>
      </c>
      <c r="Z875" s="15">
        <v>23</v>
      </c>
      <c r="AA875" s="15" t="str">
        <v>Iraq</v>
      </c>
      <c r="AB875" s="15" t="str">
        <v>CM</v>
      </c>
      <c r="AC875" s="15" t="str">
        <v>Sarpsborg 08</v>
      </c>
      <c r="AD875" s="15">
        <v>20</v>
      </c>
      <c r="AF875" s="42">
        <v>2018</v>
      </c>
      <c r="AG875" s="42" t="str">
        <v>26 Jun 2018 - 17:00</v>
      </c>
      <c r="AH875" s="42" t="str">
        <v>GROUP_STAGE</v>
      </c>
      <c r="AI875" s="42" t="str">
        <v>Fisht Olympic Stadium</v>
      </c>
      <c r="AJ875" s="42" t="str">
        <v>Sochi</v>
      </c>
      <c r="AK875" s="42" t="str">
        <v>Australia</v>
      </c>
      <c r="AL875" s="42">
        <v>0</v>
      </c>
      <c r="AM875" s="42">
        <v>2</v>
      </c>
      <c r="AN875" s="42" t="str">
        <v>Peru</v>
      </c>
      <c r="AO875" s="42" t="str">
        <v>-</v>
      </c>
    </row>
    <row r="876" spans="24:41">
      <c r="X876" s="15">
        <v>874</v>
      </c>
      <c r="Y876" s="15" t="str">
        <v>Ibrahim Bayesh</v>
      </c>
      <c r="Z876" s="15">
        <v>26</v>
      </c>
      <c r="AA876" s="15" t="str">
        <v>Iraq</v>
      </c>
      <c r="AB876" s="15" t="str">
        <v>CAM</v>
      </c>
      <c r="AC876" s="15" t="str">
        <v>Al Dhafra</v>
      </c>
      <c r="AD876" s="15">
        <v>8</v>
      </c>
      <c r="AF876" s="42">
        <v>2018</v>
      </c>
      <c r="AG876" s="42" t="str">
        <v>26 Jun 2018 - 17:00</v>
      </c>
      <c r="AH876" s="42" t="str">
        <v>GROUP_STAGE</v>
      </c>
      <c r="AI876" s="42" t="str">
        <v>Luzhniki Stadium</v>
      </c>
      <c r="AJ876" s="42" t="str">
        <v>Moscow</v>
      </c>
      <c r="AK876" s="42" t="str">
        <v>Denmark</v>
      </c>
      <c r="AL876" s="42">
        <v>0</v>
      </c>
      <c r="AM876" s="42">
        <v>0</v>
      </c>
      <c r="AN876" s="42" t="str">
        <v>France</v>
      </c>
      <c r="AO876" s="42" t="str">
        <v>-</v>
      </c>
    </row>
    <row r="877" spans="24:41">
      <c r="X877" s="15">
        <v>875</v>
      </c>
      <c r="Y877" s="15" t="str">
        <v>Zidane Iqbal</v>
      </c>
      <c r="Z877" s="15">
        <v>23</v>
      </c>
      <c r="AA877" s="15" t="str">
        <v>Iraq</v>
      </c>
      <c r="AB877" s="15" t="str">
        <v>CAM</v>
      </c>
      <c r="AC877" s="15" t="str">
        <v>Utrecht</v>
      </c>
      <c r="AD877" s="15">
        <v>14</v>
      </c>
      <c r="AF877" s="42">
        <v>2018</v>
      </c>
      <c r="AG877" s="42" t="str">
        <v>26 Jun 2018 - 21:00</v>
      </c>
      <c r="AH877" s="42" t="str">
        <v>GROUP_STAGE</v>
      </c>
      <c r="AI877" s="42" t="str">
        <v>Rostov Arena</v>
      </c>
      <c r="AJ877" s="42" t="str">
        <v>Rostov-on-Don</v>
      </c>
      <c r="AK877" s="42" t="str">
        <v>Iceland</v>
      </c>
      <c r="AL877" s="42">
        <v>1</v>
      </c>
      <c r="AM877" s="42">
        <v>2</v>
      </c>
      <c r="AN877" s="42" t="str">
        <v>Croatia</v>
      </c>
      <c r="AO877" s="42" t="str">
        <v>-</v>
      </c>
    </row>
    <row r="878" spans="24:41">
      <c r="X878" s="15">
        <v>876</v>
      </c>
      <c r="Y878" s="15" t="str">
        <v>Kevin Yakob</v>
      </c>
      <c r="Z878" s="15">
        <v>25</v>
      </c>
      <c r="AA878" s="15" t="str">
        <v>Iraq</v>
      </c>
      <c r="AB878" s="15" t="str">
        <v>CAM</v>
      </c>
      <c r="AC878" s="15" t="str">
        <v>AGF</v>
      </c>
      <c r="AD878" s="15">
        <v>19</v>
      </c>
      <c r="AF878" s="42">
        <v>2018</v>
      </c>
      <c r="AG878" s="42" t="str">
        <v>26 Jun 2018 - 21:00</v>
      </c>
      <c r="AH878" s="42" t="str">
        <v>GROUP_STAGE</v>
      </c>
      <c r="AI878" s="42" t="str">
        <v>Krestovsky Stadium</v>
      </c>
      <c r="AJ878" s="42" t="str">
        <v>Saint Petersburg</v>
      </c>
      <c r="AK878" s="42" t="str">
        <v>Nigeria</v>
      </c>
      <c r="AL878" s="42">
        <v>1</v>
      </c>
      <c r="AM878" s="42">
        <v>2</v>
      </c>
      <c r="AN878" s="42" t="str">
        <v>Argentina</v>
      </c>
      <c r="AO878" s="42" t="str">
        <v>-</v>
      </c>
    </row>
    <row r="879" spans="24:41">
      <c r="X879" s="15">
        <v>877</v>
      </c>
      <c r="Y879" s="15" t="str">
        <v>Youssef Amyn</v>
      </c>
      <c r="Z879" s="15">
        <v>22</v>
      </c>
      <c r="AA879" s="15" t="str">
        <v>Iraq</v>
      </c>
      <c r="AB879" s="15" t="str">
        <v>LW</v>
      </c>
      <c r="AC879" s="15" t="str">
        <v>AEK Larnaca</v>
      </c>
      <c r="AD879" s="15">
        <v>7</v>
      </c>
      <c r="AF879" s="42">
        <v>2018</v>
      </c>
      <c r="AG879" s="42" t="str">
        <v>27 Jun 2018 - 17:00</v>
      </c>
      <c r="AH879" s="42" t="str">
        <v>GROUP_STAGE</v>
      </c>
      <c r="AI879" s="42" t="str">
        <v>Kazan Arena</v>
      </c>
      <c r="AJ879" s="42" t="str">
        <v>Kazan</v>
      </c>
      <c r="AK879" s="42" t="str">
        <v>South Korea</v>
      </c>
      <c r="AL879" s="42">
        <v>2</v>
      </c>
      <c r="AM879" s="42">
        <v>0</v>
      </c>
      <c r="AN879" s="42" t="str">
        <v>Germany</v>
      </c>
      <c r="AO879" s="42" t="str">
        <v>-</v>
      </c>
    </row>
    <row r="880" spans="24:41">
      <c r="X880" s="15">
        <v>878</v>
      </c>
      <c r="Y880" s="15" t="str">
        <v>Ali Jasim</v>
      </c>
      <c r="Z880" s="15">
        <v>22</v>
      </c>
      <c r="AA880" s="15" t="str">
        <v>Iraq</v>
      </c>
      <c r="AB880" s="15" t="str">
        <v>LW</v>
      </c>
      <c r="AC880" s="15" t="str">
        <v>Al-Najma</v>
      </c>
      <c r="AD880" s="15">
        <v>17</v>
      </c>
      <c r="AF880" s="42">
        <v>2018</v>
      </c>
      <c r="AG880" s="42" t="str">
        <v>27 Jun 2018 - 19:00</v>
      </c>
      <c r="AH880" s="42" t="str">
        <v>GROUP_STAGE</v>
      </c>
      <c r="AI880" s="42" t="str">
        <v>Central Stadium</v>
      </c>
      <c r="AJ880" s="42" t="str">
        <v>Yekaterinburg</v>
      </c>
      <c r="AK880" s="42" t="str">
        <v>Mexico</v>
      </c>
      <c r="AL880" s="42">
        <v>0</v>
      </c>
      <c r="AM880" s="42">
        <v>3</v>
      </c>
      <c r="AN880" s="42" t="str">
        <v>Sweden</v>
      </c>
      <c r="AO880" s="42" t="str">
        <v>-</v>
      </c>
    </row>
    <row r="881" spans="24:41">
      <c r="X881" s="15">
        <v>879</v>
      </c>
      <c r="Y881" s="15" t="str">
        <v>Ahmed Qasem</v>
      </c>
      <c r="Z881" s="15">
        <v>22</v>
      </c>
      <c r="AA881" s="15" t="str">
        <v>Iraq</v>
      </c>
      <c r="AB881" s="15" t="str">
        <v>RW</v>
      </c>
      <c r="AC881" s="15" t="str">
        <v>Nashville SC</v>
      </c>
      <c r="AD881" s="15">
        <v>11</v>
      </c>
      <c r="AF881" s="42">
        <v>2018</v>
      </c>
      <c r="AG881" s="42" t="str">
        <v>27 Jun 2018 - 21:00</v>
      </c>
      <c r="AH881" s="42" t="str">
        <v>GROUP_STAGE</v>
      </c>
      <c r="AI881" s="42" t="str">
        <v>Otkritie Arena</v>
      </c>
      <c r="AJ881" s="42" t="str">
        <v>Moscow</v>
      </c>
      <c r="AK881" s="42" t="str">
        <v>Serbia</v>
      </c>
      <c r="AL881" s="42">
        <v>0</v>
      </c>
      <c r="AM881" s="42">
        <v>2</v>
      </c>
      <c r="AN881" s="42" t="str">
        <v>Brazil</v>
      </c>
      <c r="AO881" s="42" t="str">
        <v>-</v>
      </c>
    </row>
    <row r="882" spans="24:41">
      <c r="X882" s="15">
        <v>880</v>
      </c>
      <c r="Y882" s="15" t="str">
        <v>Marko Farji</v>
      </c>
      <c r="Z882" s="15">
        <v>22</v>
      </c>
      <c r="AA882" s="15" t="str">
        <v>Iraq</v>
      </c>
      <c r="AB882" s="15" t="str">
        <v>RW</v>
      </c>
      <c r="AC882" s="15" t="str">
        <v>Venezia</v>
      </c>
      <c r="AD882" s="15">
        <v>21</v>
      </c>
      <c r="AF882" s="42">
        <v>2018</v>
      </c>
      <c r="AG882" s="42" t="str">
        <v>27 Jun 2018 - 21:00</v>
      </c>
      <c r="AH882" s="42" t="str">
        <v>GROUP_STAGE</v>
      </c>
      <c r="AI882" s="42" t="str">
        <v>Nizhny Novgorod Stadium</v>
      </c>
      <c r="AJ882" s="42" t="str">
        <v>Nizhny Novgorod</v>
      </c>
      <c r="AK882" s="42" t="str">
        <v>Switzerland</v>
      </c>
      <c r="AL882" s="42">
        <v>2</v>
      </c>
      <c r="AM882" s="42">
        <v>2</v>
      </c>
      <c r="AN882" s="42" t="str">
        <v>Costa Rica</v>
      </c>
      <c r="AO882" s="42" t="str">
        <v>-</v>
      </c>
    </row>
    <row r="883" spans="24:41">
      <c r="X883" s="15">
        <v>881</v>
      </c>
      <c r="Y883" s="15" t="str">
        <v>Ali Al-Hamadi</v>
      </c>
      <c r="Z883" s="15">
        <v>24</v>
      </c>
      <c r="AA883" s="15" t="str">
        <v>Iraq</v>
      </c>
      <c r="AB883" s="15" t="str">
        <v>ST</v>
      </c>
      <c r="AC883" s="15" t="str">
        <v>Luton Town</v>
      </c>
      <c r="AD883" s="15">
        <v>9</v>
      </c>
      <c r="AF883" s="42">
        <v>2018</v>
      </c>
      <c r="AG883" s="42" t="str">
        <v>28 Jun 2018 - 17:00</v>
      </c>
      <c r="AH883" s="42" t="str">
        <v>GROUP_STAGE</v>
      </c>
      <c r="AI883" s="42" t="str">
        <v>Volgograd Arena</v>
      </c>
      <c r="AJ883" s="42" t="str">
        <v>Volgograd</v>
      </c>
      <c r="AK883" s="42" t="str">
        <v>Japan</v>
      </c>
      <c r="AL883" s="42">
        <v>0</v>
      </c>
      <c r="AM883" s="42">
        <v>1</v>
      </c>
      <c r="AN883" s="42" t="str">
        <v>Poland</v>
      </c>
      <c r="AO883" s="42" t="str">
        <v>-</v>
      </c>
    </row>
    <row r="884" spans="24:41">
      <c r="X884" s="15">
        <v>882</v>
      </c>
      <c r="Y884" s="15" t="str">
        <v>Mohanad Ali</v>
      </c>
      <c r="Z884" s="15">
        <v>25</v>
      </c>
      <c r="AA884" s="15" t="str">
        <v>Iraq</v>
      </c>
      <c r="AB884" s="15" t="str">
        <v>ST</v>
      </c>
      <c r="AC884" s="15" t="str">
        <v>Dibba</v>
      </c>
      <c r="AD884" s="15">
        <v>10</v>
      </c>
      <c r="AF884" s="42">
        <v>2018</v>
      </c>
      <c r="AG884" s="42" t="str">
        <v>28 Jun 2018 - 18:00</v>
      </c>
      <c r="AH884" s="42" t="str">
        <v>GROUP_STAGE</v>
      </c>
      <c r="AI884" s="42" t="str">
        <v>Samara Arena</v>
      </c>
      <c r="AJ884" s="42" t="str">
        <v>Samara</v>
      </c>
      <c r="AK884" s="42" t="str">
        <v>Senegal</v>
      </c>
      <c r="AL884" s="42">
        <v>0</v>
      </c>
      <c r="AM884" s="42">
        <v>1</v>
      </c>
      <c r="AN884" s="42" t="str">
        <v>Colombia</v>
      </c>
      <c r="AO884" s="42" t="str">
        <v>-</v>
      </c>
    </row>
    <row r="885" spans="24:41">
      <c r="X885" s="15">
        <v>883</v>
      </c>
      <c r="Y885" s="15" t="str">
        <v>Ali Yousif</v>
      </c>
      <c r="Z885" s="15">
        <v>30</v>
      </c>
      <c r="AA885" s="15" t="str">
        <v>Iraq</v>
      </c>
      <c r="AB885" s="15" t="str">
        <v>ST</v>
      </c>
      <c r="AC885" s="15" t="str">
        <v>Al-Talaba</v>
      </c>
      <c r="AD885" s="15">
        <v>13</v>
      </c>
      <c r="AF885" s="42">
        <v>2018</v>
      </c>
      <c r="AG885" s="42" t="str">
        <v>28 Jun 2018 - 20:00</v>
      </c>
      <c r="AH885" s="42" t="str">
        <v>GROUP_STAGE</v>
      </c>
      <c r="AI885" s="42" t="str">
        <v>Kaliningrad Stadium</v>
      </c>
      <c r="AJ885" s="42" t="str">
        <v>Kaliningrad</v>
      </c>
      <c r="AK885" s="42" t="str">
        <v>England</v>
      </c>
      <c r="AL885" s="42">
        <v>0</v>
      </c>
      <c r="AM885" s="42">
        <v>1</v>
      </c>
      <c r="AN885" s="42" t="str">
        <v>Belgium</v>
      </c>
      <c r="AO885" s="42" t="str">
        <v>-</v>
      </c>
    </row>
    <row r="886" spans="24:41">
      <c r="X886" s="15">
        <v>884</v>
      </c>
      <c r="Y886" s="15" t="str">
        <v>Aymen Hussein</v>
      </c>
      <c r="Z886" s="15">
        <v>30</v>
      </c>
      <c r="AA886" s="15" t="str">
        <v>Iraq</v>
      </c>
      <c r="AB886" s="15" t="str">
        <v>ST</v>
      </c>
      <c r="AC886" s="15" t="str">
        <v>Al-Karma</v>
      </c>
      <c r="AD886" s="15">
        <v>18</v>
      </c>
      <c r="AF886" s="42">
        <v>2018</v>
      </c>
      <c r="AG886" s="42" t="str">
        <v>28 Jun 2018 - 21:00</v>
      </c>
      <c r="AH886" s="42" t="str">
        <v>GROUP_STAGE</v>
      </c>
      <c r="AI886" s="42" t="str">
        <v>Mordovia Arena</v>
      </c>
      <c r="AJ886" s="42" t="str">
        <v>Saransk</v>
      </c>
      <c r="AK886" s="42" t="str">
        <v>Panama</v>
      </c>
      <c r="AL886" s="42">
        <v>1</v>
      </c>
      <c r="AM886" s="42">
        <v>2</v>
      </c>
      <c r="AN886" s="42" t="str">
        <v>Tunisia</v>
      </c>
      <c r="AO886" s="42" t="str">
        <v>-</v>
      </c>
    </row>
    <row r="887" spans="24:41">
      <c r="X887" s="15">
        <v>885</v>
      </c>
      <c r="Y887" s="15" t="str">
        <v>Ørjan Nyland</v>
      </c>
      <c r="Z887" s="15">
        <v>35</v>
      </c>
      <c r="AA887" s="15" t="str">
        <v>Norway</v>
      </c>
      <c r="AB887" s="15" t="str">
        <v>GK</v>
      </c>
      <c r="AC887" s="15" t="str">
        <v>Sevilla</v>
      </c>
      <c r="AD887" s="15">
        <v>1</v>
      </c>
      <c r="AF887" s="42">
        <v>2018</v>
      </c>
      <c r="AG887" s="42" t="str">
        <v>30 Jun 2018 - 17:00</v>
      </c>
      <c r="AH887" s="42" t="str">
        <v>ROUND_OF_16</v>
      </c>
      <c r="AI887" s="42" t="str">
        <v>Kazan Arena</v>
      </c>
      <c r="AJ887" s="42" t="str">
        <v>Kazan</v>
      </c>
      <c r="AK887" s="42" t="str">
        <v>France</v>
      </c>
      <c r="AL887" s="42">
        <v>4</v>
      </c>
      <c r="AM887" s="42">
        <v>3</v>
      </c>
      <c r="AN887" s="42" t="str">
        <v>Argentina</v>
      </c>
      <c r="AO887" s="42" t="str">
        <v>-</v>
      </c>
    </row>
    <row r="888" spans="24:41">
      <c r="X888" s="15">
        <v>886</v>
      </c>
      <c r="Y888" s="15" t="str">
        <v>Sander Tangvik</v>
      </c>
      <c r="Z888" s="15">
        <v>23</v>
      </c>
      <c r="AA888" s="15" t="str">
        <v>Norway</v>
      </c>
      <c r="AB888" s="15" t="str">
        <v>GK</v>
      </c>
      <c r="AC888" s="15" t="str">
        <v>Hamburger SV</v>
      </c>
      <c r="AD888" s="15">
        <v>12</v>
      </c>
      <c r="AF888" s="42">
        <v>2018</v>
      </c>
      <c r="AG888" s="42" t="str">
        <v>30 Jun 2018 - 21:00</v>
      </c>
      <c r="AH888" s="42" t="str">
        <v>ROUND_OF_16</v>
      </c>
      <c r="AI888" s="42" t="str">
        <v>Fisht Olympic Stadium</v>
      </c>
      <c r="AJ888" s="42" t="str">
        <v>Sochi</v>
      </c>
      <c r="AK888" s="42" t="str">
        <v>Uruguay</v>
      </c>
      <c r="AL888" s="42">
        <v>2</v>
      </c>
      <c r="AM888" s="42">
        <v>1</v>
      </c>
      <c r="AN888" s="42" t="str">
        <v>Portugal</v>
      </c>
      <c r="AO888" s="42" t="str">
        <v>-</v>
      </c>
    </row>
    <row r="889" spans="24:41">
      <c r="X889" s="15">
        <v>887</v>
      </c>
      <c r="Y889" s="15" t="str">
        <v>Egil Selvik</v>
      </c>
      <c r="Z889" s="15">
        <v>28</v>
      </c>
      <c r="AA889" s="15" t="str">
        <v>Norway</v>
      </c>
      <c r="AB889" s="15" t="str">
        <v>GK</v>
      </c>
      <c r="AC889" s="15" t="str">
        <v>Watford</v>
      </c>
      <c r="AD889" s="15">
        <v>13</v>
      </c>
      <c r="AF889" s="42">
        <v>2018</v>
      </c>
      <c r="AG889" s="42" t="str">
        <v>01 Jul 2018 - 17:00</v>
      </c>
      <c r="AH889" s="42" t="str">
        <v>ROUND_OF_16</v>
      </c>
      <c r="AI889" s="42" t="str">
        <v>Luzhniki Stadium</v>
      </c>
      <c r="AJ889" s="42" t="str">
        <v>Moscow</v>
      </c>
      <c r="AK889" s="42" t="str">
        <v>Spain</v>
      </c>
      <c r="AL889" s="42">
        <v>1</v>
      </c>
      <c r="AM889" s="42">
        <v>1</v>
      </c>
      <c r="AN889" s="42" t="str">
        <v>Russia</v>
      </c>
      <c r="AO889" s="42" t="str">
        <v>Russia win on penalties (4 - 3)</v>
      </c>
    </row>
    <row r="890" spans="24:41">
      <c r="X890" s="15">
        <v>888</v>
      </c>
      <c r="Y890" s="15" t="str">
        <v>Kristoffer Ajer</v>
      </c>
      <c r="Z890" s="15">
        <v>28</v>
      </c>
      <c r="AA890" s="15" t="str">
        <v>Norway</v>
      </c>
      <c r="AB890" s="15" t="str">
        <v>CB</v>
      </c>
      <c r="AC890" s="15" t="str">
        <v>Brentford</v>
      </c>
      <c r="AD890" s="15">
        <v>3</v>
      </c>
      <c r="AF890" s="42">
        <v>2018</v>
      </c>
      <c r="AG890" s="42" t="str">
        <v>01 Jul 2018 - 21:00</v>
      </c>
      <c r="AH890" s="42" t="str">
        <v>ROUND_OF_16</v>
      </c>
      <c r="AI890" s="42" t="str">
        <v>Nizhny Novgorod Stadium</v>
      </c>
      <c r="AJ890" s="42" t="str">
        <v>Nizhny Novgorod</v>
      </c>
      <c r="AK890" s="42" t="str">
        <v>Croatia</v>
      </c>
      <c r="AL890" s="42">
        <v>1</v>
      </c>
      <c r="AM890" s="42">
        <v>1</v>
      </c>
      <c r="AN890" s="42" t="str">
        <v>Denmark</v>
      </c>
      <c r="AO890" s="42" t="str">
        <v>Croatia win on penalties (3 - 2)</v>
      </c>
    </row>
    <row r="891" spans="24:41">
      <c r="X891" s="15">
        <v>889</v>
      </c>
      <c r="Y891" s="15" t="str">
        <v>Leo Østigård</v>
      </c>
      <c r="Z891" s="15">
        <v>26</v>
      </c>
      <c r="AA891" s="15" t="str">
        <v>Norway</v>
      </c>
      <c r="AB891" s="15" t="str">
        <v>CB</v>
      </c>
      <c r="AC891" s="15" t="str">
        <v>Genoa</v>
      </c>
      <c r="AD891" s="15">
        <v>4</v>
      </c>
      <c r="AF891" s="42">
        <v>2018</v>
      </c>
      <c r="AG891" s="42" t="str">
        <v>02 Jul 2018 - 18:00</v>
      </c>
      <c r="AH891" s="42" t="str">
        <v>ROUND_OF_16</v>
      </c>
      <c r="AI891" s="42" t="str">
        <v>Samara Arena</v>
      </c>
      <c r="AJ891" s="42" t="str">
        <v>Samara</v>
      </c>
      <c r="AK891" s="42" t="str">
        <v>Brazil</v>
      </c>
      <c r="AL891" s="42">
        <v>2</v>
      </c>
      <c r="AM891" s="42">
        <v>0</v>
      </c>
      <c r="AN891" s="42" t="str">
        <v>Mexico</v>
      </c>
      <c r="AO891" s="42" t="str">
        <v>-</v>
      </c>
    </row>
    <row r="892" spans="24:41">
      <c r="X892" s="15">
        <v>890</v>
      </c>
      <c r="Y892" s="15" t="str">
        <v>Torbjørn Heggem</v>
      </c>
      <c r="Z892" s="15">
        <v>27</v>
      </c>
      <c r="AA892" s="15" t="str">
        <v>Norway</v>
      </c>
      <c r="AB892" s="15" t="str">
        <v>CB</v>
      </c>
      <c r="AC892" s="15" t="str">
        <v>Bologna</v>
      </c>
      <c r="AD892" s="15">
        <v>17</v>
      </c>
      <c r="AF892" s="42">
        <v>2018</v>
      </c>
      <c r="AG892" s="42" t="str">
        <v>02 Jul 2018 - 21:00</v>
      </c>
      <c r="AH892" s="42" t="str">
        <v>ROUND_OF_16</v>
      </c>
      <c r="AI892" s="42" t="str">
        <v>Rostov Arena</v>
      </c>
      <c r="AJ892" s="42" t="str">
        <v>Rostov-on-Don</v>
      </c>
      <c r="AK892" s="42" t="str">
        <v>Belgium</v>
      </c>
      <c r="AL892" s="42">
        <v>3</v>
      </c>
      <c r="AM892" s="42">
        <v>2</v>
      </c>
      <c r="AN892" s="42" t="str">
        <v>Japan</v>
      </c>
      <c r="AO892" s="42" t="str">
        <v>-</v>
      </c>
    </row>
    <row r="893" spans="24:41">
      <c r="X893" s="15">
        <v>891</v>
      </c>
      <c r="Y893" s="15" t="str">
        <v>Sondre Langås</v>
      </c>
      <c r="Z893" s="15">
        <v>25</v>
      </c>
      <c r="AA893" s="15" t="str">
        <v>Norway</v>
      </c>
      <c r="AB893" s="15" t="str">
        <v>CB</v>
      </c>
      <c r="AC893" s="15" t="str">
        <v>Derby County</v>
      </c>
      <c r="AD893" s="15">
        <v>24</v>
      </c>
      <c r="AF893" s="42">
        <v>2018</v>
      </c>
      <c r="AG893" s="42" t="str">
        <v>03 Jul 2018 - 17:00</v>
      </c>
      <c r="AH893" s="42" t="str">
        <v>ROUND_OF_16</v>
      </c>
      <c r="AI893" s="42" t="str">
        <v>Krestovsky Stadium</v>
      </c>
      <c r="AJ893" s="42" t="str">
        <v>Saint Petersburg</v>
      </c>
      <c r="AK893" s="42" t="str">
        <v>Sweden</v>
      </c>
      <c r="AL893" s="42">
        <v>1</v>
      </c>
      <c r="AM893" s="42">
        <v>0</v>
      </c>
      <c r="AN893" s="42" t="str">
        <v>Switzerland</v>
      </c>
      <c r="AO893" s="42" t="str">
        <v>-</v>
      </c>
    </row>
    <row r="894" spans="24:41">
      <c r="X894" s="15">
        <v>892</v>
      </c>
      <c r="Y894" s="15" t="str">
        <v>Henrik Falchener</v>
      </c>
      <c r="Z894" s="15">
        <v>23</v>
      </c>
      <c r="AA894" s="15" t="str">
        <v>Norway</v>
      </c>
      <c r="AB894" s="15" t="str">
        <v>CB</v>
      </c>
      <c r="AC894" s="15" t="str">
        <v>Viking</v>
      </c>
      <c r="AD894" s="15">
        <v>25</v>
      </c>
      <c r="AF894" s="42">
        <v>2018</v>
      </c>
      <c r="AG894" s="42" t="str">
        <v>03 Jul 2018 - 21:00</v>
      </c>
      <c r="AH894" s="42" t="str">
        <v>ROUND_OF_16</v>
      </c>
      <c r="AI894" s="42" t="str">
        <v>Otkritie Arena</v>
      </c>
      <c r="AJ894" s="42" t="str">
        <v>Moscow</v>
      </c>
      <c r="AK894" s="42" t="str">
        <v>Colombia</v>
      </c>
      <c r="AL894" s="42">
        <v>1</v>
      </c>
      <c r="AM894" s="42">
        <v>1</v>
      </c>
      <c r="AN894" s="42" t="str">
        <v>England</v>
      </c>
      <c r="AO894" s="42" t="str">
        <v>England win on penalties (4 - 3)</v>
      </c>
    </row>
    <row r="895" spans="24:41">
      <c r="X895" s="15">
        <v>893</v>
      </c>
      <c r="Y895" s="15" t="str">
        <v>David Møller Wolfe</v>
      </c>
      <c r="Z895" s="15">
        <v>24</v>
      </c>
      <c r="AA895" s="15" t="str">
        <v>Norway</v>
      </c>
      <c r="AB895" s="15" t="str">
        <v>LB</v>
      </c>
      <c r="AC895" s="15" t="str">
        <v>Wolverhampton Wanderers</v>
      </c>
      <c r="AD895" s="15">
        <v>5</v>
      </c>
      <c r="AF895" s="42">
        <v>2018</v>
      </c>
      <c r="AG895" s="42" t="str">
        <v>06 Jul 2018 - 17:00</v>
      </c>
      <c r="AH895" s="42" t="str">
        <v>QUARTER_FINALS</v>
      </c>
      <c r="AI895" s="42" t="str">
        <v>Nizhny Novgorod Stadium</v>
      </c>
      <c r="AJ895" s="42" t="str">
        <v>Nizhny Novgorod</v>
      </c>
      <c r="AK895" s="42" t="str">
        <v>Uruguay</v>
      </c>
      <c r="AL895" s="42">
        <v>0</v>
      </c>
      <c r="AM895" s="42">
        <v>2</v>
      </c>
      <c r="AN895" s="42" t="str">
        <v>France</v>
      </c>
      <c r="AO895" s="42" t="str">
        <v>-</v>
      </c>
    </row>
    <row r="896" spans="24:41">
      <c r="X896" s="15">
        <v>894</v>
      </c>
      <c r="Y896" s="15" t="str">
        <v>Fredrik André Bjørkan</v>
      </c>
      <c r="Z896" s="15">
        <v>27</v>
      </c>
      <c r="AA896" s="15" t="str">
        <v>Norway</v>
      </c>
      <c r="AB896" s="15" t="str">
        <v>LB</v>
      </c>
      <c r="AC896" s="15" t="str">
        <v>Bodø/Glimt</v>
      </c>
      <c r="AD896" s="15">
        <v>15</v>
      </c>
      <c r="AF896" s="42">
        <v>2018</v>
      </c>
      <c r="AG896" s="42" t="str">
        <v>06 Jul 2018 - 21:00</v>
      </c>
      <c r="AH896" s="42" t="str">
        <v>QUARTER_FINALS</v>
      </c>
      <c r="AI896" s="42" t="str">
        <v>Kazan Arena</v>
      </c>
      <c r="AJ896" s="42" t="str">
        <v>Kazan</v>
      </c>
      <c r="AK896" s="42" t="str">
        <v>Brazil</v>
      </c>
      <c r="AL896" s="42">
        <v>1</v>
      </c>
      <c r="AM896" s="42">
        <v>2</v>
      </c>
      <c r="AN896" s="42" t="str">
        <v>Belgium</v>
      </c>
      <c r="AO896" s="42" t="str">
        <v>-</v>
      </c>
    </row>
    <row r="897" spans="24:41">
      <c r="X897" s="15">
        <v>895</v>
      </c>
      <c r="Y897" s="15" t="str">
        <v>Marcus Holmgren Pedersen</v>
      </c>
      <c r="Z897" s="15">
        <v>25</v>
      </c>
      <c r="AA897" s="15" t="str">
        <v>Norway</v>
      </c>
      <c r="AB897" s="15" t="str">
        <v>RB</v>
      </c>
      <c r="AC897" s="15" t="str">
        <v>Torino</v>
      </c>
      <c r="AD897" s="15">
        <v>16</v>
      </c>
      <c r="AF897" s="42">
        <v>2018</v>
      </c>
      <c r="AG897" s="42" t="str">
        <v>07 Jul 2018 - 18:00</v>
      </c>
      <c r="AH897" s="42" t="str">
        <v>QUARTER_FINALS</v>
      </c>
      <c r="AI897" s="42" t="str">
        <v>Samara Arena</v>
      </c>
      <c r="AJ897" s="42" t="str">
        <v>Samara</v>
      </c>
      <c r="AK897" s="42" t="str">
        <v>Sweden</v>
      </c>
      <c r="AL897" s="42">
        <v>0</v>
      </c>
      <c r="AM897" s="42">
        <v>2</v>
      </c>
      <c r="AN897" s="42" t="str">
        <v>England</v>
      </c>
      <c r="AO897" s="42" t="str">
        <v>-</v>
      </c>
    </row>
    <row r="898" spans="24:41">
      <c r="X898" s="15">
        <v>896</v>
      </c>
      <c r="Y898" s="15" t="str">
        <v>Julian Ryerson</v>
      </c>
      <c r="Z898" s="15">
        <v>28</v>
      </c>
      <c r="AA898" s="15" t="str">
        <v>Norway</v>
      </c>
      <c r="AB898" s="15" t="str">
        <v>RB</v>
      </c>
      <c r="AC898" s="15" t="str">
        <v>Borussia Dortmund</v>
      </c>
      <c r="AD898" s="15">
        <v>26</v>
      </c>
      <c r="AF898" s="42">
        <v>2018</v>
      </c>
      <c r="AG898" s="42" t="str">
        <v>07 Jul 2018 - 21:00</v>
      </c>
      <c r="AH898" s="42" t="str">
        <v>QUARTER_FINALS</v>
      </c>
      <c r="AI898" s="42" t="str">
        <v>Fisht Olympic Stadium</v>
      </c>
      <c r="AJ898" s="42" t="str">
        <v>Sochi</v>
      </c>
      <c r="AK898" s="42" t="str">
        <v>Russia</v>
      </c>
      <c r="AL898" s="42">
        <v>2</v>
      </c>
      <c r="AM898" s="42">
        <v>2</v>
      </c>
      <c r="AN898" s="42" t="str">
        <v>Croatia</v>
      </c>
      <c r="AO898" s="42" t="str">
        <v>Croatia win on penalties (4 - 3)</v>
      </c>
    </row>
    <row r="899" spans="24:41">
      <c r="X899" s="15">
        <v>897</v>
      </c>
      <c r="Y899" s="15" t="str">
        <v>Patrick Berg</v>
      </c>
      <c r="Z899" s="15">
        <v>28</v>
      </c>
      <c r="AA899" s="15" t="str">
        <v>Norway</v>
      </c>
      <c r="AB899" s="15" t="str">
        <v>CDM</v>
      </c>
      <c r="AC899" s="15" t="str">
        <v>Bodø/Glimt</v>
      </c>
      <c r="AD899" s="15">
        <v>6</v>
      </c>
      <c r="AF899" s="42">
        <v>2018</v>
      </c>
      <c r="AG899" s="42" t="str">
        <v>10 Jul 2018 - 21:00</v>
      </c>
      <c r="AH899" s="42" t="str">
        <v>SEMI_FINALS</v>
      </c>
      <c r="AI899" s="42" t="str">
        <v>Krestovsky Stadium</v>
      </c>
      <c r="AJ899" s="42" t="str">
        <v>Saint Petersburg</v>
      </c>
      <c r="AK899" s="42" t="str">
        <v>France</v>
      </c>
      <c r="AL899" s="42">
        <v>1</v>
      </c>
      <c r="AM899" s="42">
        <v>0</v>
      </c>
      <c r="AN899" s="42" t="str">
        <v>Belgium</v>
      </c>
      <c r="AO899" s="42" t="str">
        <v>-</v>
      </c>
    </row>
    <row r="900" spans="24:41">
      <c r="X900" s="15">
        <v>898</v>
      </c>
      <c r="Y900" s="15" t="str">
        <v>Sander Berge</v>
      </c>
      <c r="Z900" s="15">
        <v>28</v>
      </c>
      <c r="AA900" s="15" t="str">
        <v>Norway</v>
      </c>
      <c r="AB900" s="15" t="str">
        <v>CDM</v>
      </c>
      <c r="AC900" s="15" t="str">
        <v>Fulham</v>
      </c>
      <c r="AD900" s="15">
        <v>8</v>
      </c>
      <c r="AF900" s="42">
        <v>2018</v>
      </c>
      <c r="AG900" s="42" t="str">
        <v>11 Jul 2018 - 21:00</v>
      </c>
      <c r="AH900" s="42" t="str">
        <v>SEMI_FINALS</v>
      </c>
      <c r="AI900" s="42" t="str">
        <v>Luzhniki Stadium</v>
      </c>
      <c r="AJ900" s="42" t="str">
        <v>Moscow</v>
      </c>
      <c r="AK900" s="42" t="str">
        <v>Croatia</v>
      </c>
      <c r="AL900" s="42">
        <v>2</v>
      </c>
      <c r="AM900" s="42">
        <v>1</v>
      </c>
      <c r="AN900" s="42" t="str">
        <v>England</v>
      </c>
      <c r="AO900" s="42" t="str">
        <v>Croatia win after extra time</v>
      </c>
    </row>
    <row r="901" spans="24:41">
      <c r="X901" s="15">
        <v>899</v>
      </c>
      <c r="Y901" s="15" t="str">
        <v>Morten Thorsby</v>
      </c>
      <c r="Z901" s="15">
        <v>30</v>
      </c>
      <c r="AA901" s="15" t="str">
        <v>Norway</v>
      </c>
      <c r="AB901" s="15" t="str">
        <v>CM</v>
      </c>
      <c r="AC901" s="15" t="str">
        <v>Cremonese</v>
      </c>
      <c r="AD901" s="15">
        <v>2</v>
      </c>
      <c r="AF901" s="42">
        <v>2018</v>
      </c>
      <c r="AG901" s="42" t="str">
        <v>14 Jul 2018 - 17:00</v>
      </c>
      <c r="AH901" s="42" t="str">
        <v>THIRD_PLACE</v>
      </c>
      <c r="AI901" s="42" t="str">
        <v>Krestovsky Stadium</v>
      </c>
      <c r="AJ901" s="42" t="str">
        <v>Saint Petersburg</v>
      </c>
      <c r="AK901" s="42" t="str">
        <v>Belgium</v>
      </c>
      <c r="AL901" s="42">
        <v>2</v>
      </c>
      <c r="AM901" s="42">
        <v>0</v>
      </c>
      <c r="AN901" s="42" t="str">
        <v>England</v>
      </c>
      <c r="AO901" s="42" t="str">
        <v>-</v>
      </c>
    </row>
    <row r="902" spans="24:41">
      <c r="X902" s="15">
        <v>900</v>
      </c>
      <c r="Y902" s="15" t="str">
        <v>Fredrik Aursnes</v>
      </c>
      <c r="Z902" s="15">
        <v>30</v>
      </c>
      <c r="AA902" s="15" t="str">
        <v>Norway</v>
      </c>
      <c r="AB902" s="15" t="str">
        <v>CM</v>
      </c>
      <c r="AC902" s="15" t="str">
        <v>Benfica</v>
      </c>
      <c r="AD902" s="15">
        <v>14</v>
      </c>
      <c r="AF902" s="42">
        <v>2018</v>
      </c>
      <c r="AG902" s="42" t="str">
        <v>15 Jul 2018 - 18:00</v>
      </c>
      <c r="AH902" s="42" t="str">
        <v>FINAL</v>
      </c>
      <c r="AI902" s="42" t="str">
        <v>Luzhniki Stadium</v>
      </c>
      <c r="AJ902" s="42" t="str">
        <v>Moscow</v>
      </c>
      <c r="AK902" s="42" t="str">
        <v>France</v>
      </c>
      <c r="AL902" s="42">
        <v>4</v>
      </c>
      <c r="AM902" s="42">
        <v>2</v>
      </c>
      <c r="AN902" s="42" t="str">
        <v>Croatia</v>
      </c>
      <c r="AO902" s="42" t="str">
        <v>-</v>
      </c>
    </row>
    <row r="903" spans="24:41">
      <c r="X903" s="15">
        <v>901</v>
      </c>
      <c r="Y903" s="15" t="str">
        <v>Kristian Thorstvedt</v>
      </c>
      <c r="Z903" s="15">
        <v>27</v>
      </c>
      <c r="AA903" s="15" t="str">
        <v>Norway</v>
      </c>
      <c r="AB903" s="15" t="str">
        <v>CM</v>
      </c>
      <c r="AC903" s="15" t="str">
        <v>Sassuolo</v>
      </c>
      <c r="AD903" s="15">
        <v>18</v>
      </c>
      <c r="AF903" s="42">
        <v>2022</v>
      </c>
      <c r="AG903" s="42" t="str">
        <v>20 Nov 2022 - 19:00</v>
      </c>
      <c r="AH903" s="42" t="str">
        <v>GROUP_STAGE</v>
      </c>
      <c r="AI903" s="42" t="str">
        <v>Al Bayt Stadium</v>
      </c>
      <c r="AJ903" s="42" t="str">
        <v>Al Khor</v>
      </c>
      <c r="AK903" s="42" t="str">
        <v>Qatar</v>
      </c>
      <c r="AL903" s="42">
        <v>0</v>
      </c>
      <c r="AM903" s="42">
        <v>2</v>
      </c>
      <c r="AN903" s="42" t="str">
        <v>Ecuador</v>
      </c>
      <c r="AO903" s="42" t="str">
        <v>-</v>
      </c>
    </row>
    <row r="904" spans="24:41">
      <c r="X904" s="15">
        <v>902</v>
      </c>
      <c r="Y904" s="15" t="str">
        <v>Martin Ødegaard</v>
      </c>
      <c r="Z904" s="15">
        <v>27</v>
      </c>
      <c r="AA904" s="15" t="str">
        <v>Norway</v>
      </c>
      <c r="AB904" s="15" t="str">
        <v>CAM</v>
      </c>
      <c r="AC904" s="15" t="str">
        <v>Arsenal</v>
      </c>
      <c r="AD904" s="15">
        <v>10</v>
      </c>
      <c r="AF904" s="42">
        <v>2022</v>
      </c>
      <c r="AG904" s="42" t="str">
        <v>21 Nov 2022 - 16:00</v>
      </c>
      <c r="AH904" s="42" t="str">
        <v>GROUP_STAGE</v>
      </c>
      <c r="AI904" s="42" t="str">
        <v>Khalifa International Stadium</v>
      </c>
      <c r="AJ904" s="42" t="str">
        <v>Al Rayyan</v>
      </c>
      <c r="AK904" s="42" t="str">
        <v>England</v>
      </c>
      <c r="AL904" s="42">
        <v>6</v>
      </c>
      <c r="AM904" s="42">
        <v>2</v>
      </c>
      <c r="AN904" s="42" t="str">
        <v>Iran</v>
      </c>
      <c r="AO904" s="42" t="str">
        <v>-</v>
      </c>
    </row>
    <row r="905" spans="24:41">
      <c r="X905" s="15">
        <v>903</v>
      </c>
      <c r="Y905" s="15" t="str">
        <v>Thelo Aasgaard</v>
      </c>
      <c r="Z905" s="15">
        <v>24</v>
      </c>
      <c r="AA905" s="15" t="str">
        <v>Norway</v>
      </c>
      <c r="AB905" s="15" t="str">
        <v>CAM</v>
      </c>
      <c r="AC905" s="15" t="str">
        <v>Rangers</v>
      </c>
      <c r="AD905" s="15">
        <v>19</v>
      </c>
      <c r="AF905" s="42">
        <v>2022</v>
      </c>
      <c r="AG905" s="42" t="str">
        <v>21 Nov 2022 - 19:00</v>
      </c>
      <c r="AH905" s="42" t="str">
        <v>GROUP_STAGE</v>
      </c>
      <c r="AI905" s="42" t="str">
        <v>Al Thumama Stadium</v>
      </c>
      <c r="AJ905" s="42" t="str">
        <v>Doha</v>
      </c>
      <c r="AK905" s="42" t="str">
        <v>Senegal</v>
      </c>
      <c r="AL905" s="42">
        <v>0</v>
      </c>
      <c r="AM905" s="42">
        <v>2</v>
      </c>
      <c r="AN905" s="42" t="str">
        <v>Netherlands</v>
      </c>
      <c r="AO905" s="42" t="str">
        <v>-</v>
      </c>
    </row>
    <row r="906" spans="24:41">
      <c r="X906" s="15">
        <v>904</v>
      </c>
      <c r="Y906" s="15" t="str">
        <v>Antonio Nusa</v>
      </c>
      <c r="Z906" s="15">
        <v>21</v>
      </c>
      <c r="AA906" s="15" t="str">
        <v>Norway</v>
      </c>
      <c r="AB906" s="15" t="str">
        <v>LW</v>
      </c>
      <c r="AC906" s="15" t="str">
        <v>RB Leipzig</v>
      </c>
      <c r="AD906" s="15">
        <v>20</v>
      </c>
      <c r="AF906" s="42">
        <v>2022</v>
      </c>
      <c r="AG906" s="42" t="str">
        <v>21 Nov 2022 - 22:00</v>
      </c>
      <c r="AH906" s="42" t="str">
        <v>GROUP_STAGE</v>
      </c>
      <c r="AI906" s="42" t="str">
        <v>Ahmad bin Ali Stadium</v>
      </c>
      <c r="AJ906" s="42" t="str">
        <v>Al Rayyan</v>
      </c>
      <c r="AK906" s="42" t="str">
        <v>United States</v>
      </c>
      <c r="AL906" s="42">
        <v>1</v>
      </c>
      <c r="AM906" s="42">
        <v>1</v>
      </c>
      <c r="AN906" s="42" t="str">
        <v>Wales</v>
      </c>
      <c r="AO906" s="42" t="str">
        <v>-</v>
      </c>
    </row>
    <row r="907" spans="24:41">
      <c r="X907" s="15">
        <v>905</v>
      </c>
      <c r="Y907" s="15" t="str">
        <v>Jens Petter Hauge</v>
      </c>
      <c r="Z907" s="15">
        <v>26</v>
      </c>
      <c r="AA907" s="15" t="str">
        <v>Norway</v>
      </c>
      <c r="AB907" s="15" t="str">
        <v>LW</v>
      </c>
      <c r="AC907" s="15" t="str">
        <v>Bodø/Glimt</v>
      </c>
      <c r="AD907" s="15">
        <v>23</v>
      </c>
      <c r="AF907" s="42">
        <v>2022</v>
      </c>
      <c r="AG907" s="42" t="str">
        <v>22 Nov 2022 - 13:00</v>
      </c>
      <c r="AH907" s="42" t="str">
        <v>GROUP_STAGE</v>
      </c>
      <c r="AI907" s="42" t="str">
        <v>Lusail Stadium</v>
      </c>
      <c r="AJ907" s="42" t="str">
        <v>Lusail</v>
      </c>
      <c r="AK907" s="42" t="str">
        <v>Argentina</v>
      </c>
      <c r="AL907" s="42">
        <v>1</v>
      </c>
      <c r="AM907" s="42">
        <v>2</v>
      </c>
      <c r="AN907" s="42" t="str">
        <v>Saudi Arabia</v>
      </c>
      <c r="AO907" s="42" t="str">
        <v>-</v>
      </c>
    </row>
    <row r="908" spans="24:41">
      <c r="X908" s="15">
        <v>906</v>
      </c>
      <c r="Y908" s="15" t="str">
        <v>Andreas Schjelderup</v>
      </c>
      <c r="Z908" s="15">
        <v>22</v>
      </c>
      <c r="AA908" s="15" t="str">
        <v>Norway</v>
      </c>
      <c r="AB908" s="15" t="str">
        <v>RW</v>
      </c>
      <c r="AC908" s="15" t="str">
        <v>Benfica</v>
      </c>
      <c r="AD908" s="15">
        <v>21</v>
      </c>
      <c r="AF908" s="42">
        <v>2022</v>
      </c>
      <c r="AG908" s="42" t="str">
        <v>22 Nov 2022 - 16:00</v>
      </c>
      <c r="AH908" s="42" t="str">
        <v>GROUP_STAGE</v>
      </c>
      <c r="AI908" s="42" t="str">
        <v>Education City Stadium</v>
      </c>
      <c r="AJ908" s="42" t="str">
        <v>Al Rayyan</v>
      </c>
      <c r="AK908" s="42" t="str">
        <v>Denmark</v>
      </c>
      <c r="AL908" s="42">
        <v>0</v>
      </c>
      <c r="AM908" s="42">
        <v>0</v>
      </c>
      <c r="AN908" s="42" t="str">
        <v>Tunisia</v>
      </c>
      <c r="AO908" s="42" t="str">
        <v>-</v>
      </c>
    </row>
    <row r="909" spans="24:41">
      <c r="X909" s="15">
        <v>907</v>
      </c>
      <c r="Y909" s="15" t="str">
        <v>Oscar Bobb</v>
      </c>
      <c r="Z909" s="15">
        <v>22</v>
      </c>
      <c r="AA909" s="15" t="str">
        <v>Norway</v>
      </c>
      <c r="AB909" s="15" t="str">
        <v>RW</v>
      </c>
      <c r="AC909" s="15" t="str">
        <v>Fulham</v>
      </c>
      <c r="AD909" s="15">
        <v>22</v>
      </c>
      <c r="AF909" s="42">
        <v>2022</v>
      </c>
      <c r="AG909" s="42" t="str">
        <v>22 Nov 2022 - 19:00</v>
      </c>
      <c r="AH909" s="42" t="str">
        <v>GROUP_STAGE</v>
      </c>
      <c r="AI909" s="42" t="str">
        <v>Stadium 974</v>
      </c>
      <c r="AJ909" s="42" t="str">
        <v>Doha</v>
      </c>
      <c r="AK909" s="42" t="str">
        <v>Mexico</v>
      </c>
      <c r="AL909" s="42">
        <v>0</v>
      </c>
      <c r="AM909" s="42">
        <v>0</v>
      </c>
      <c r="AN909" s="42" t="str">
        <v>Poland</v>
      </c>
      <c r="AO909" s="42" t="str">
        <v>-</v>
      </c>
    </row>
    <row r="910" spans="24:41">
      <c r="X910" s="15">
        <v>908</v>
      </c>
      <c r="Y910" s="15" t="str">
        <v>Alexander Sørloth</v>
      </c>
      <c r="Z910" s="15">
        <v>30</v>
      </c>
      <c r="AA910" s="15" t="str">
        <v>Norway</v>
      </c>
      <c r="AB910" s="15" t="str">
        <v>ST</v>
      </c>
      <c r="AC910" s="15" t="str">
        <v>Atlético Madrid</v>
      </c>
      <c r="AD910" s="15">
        <v>7</v>
      </c>
      <c r="AF910" s="42">
        <v>2022</v>
      </c>
      <c r="AG910" s="42" t="str">
        <v>22 Nov 2022 - 22:00</v>
      </c>
      <c r="AH910" s="42" t="str">
        <v>GROUP_STAGE</v>
      </c>
      <c r="AI910" s="42" t="str">
        <v>Al Janoub Stadium</v>
      </c>
      <c r="AJ910" s="42" t="str">
        <v>Al Wakrah</v>
      </c>
      <c r="AK910" s="42" t="str">
        <v>France</v>
      </c>
      <c r="AL910" s="42">
        <v>4</v>
      </c>
      <c r="AM910" s="42">
        <v>1</v>
      </c>
      <c r="AN910" s="42" t="str">
        <v>Australia</v>
      </c>
      <c r="AO910" s="42" t="str">
        <v>-</v>
      </c>
    </row>
    <row r="911" spans="24:41">
      <c r="X911" s="15">
        <v>909</v>
      </c>
      <c r="Y911" s="15" t="str">
        <v>Erling Haaland</v>
      </c>
      <c r="Z911" s="15">
        <v>25</v>
      </c>
      <c r="AA911" s="15" t="str">
        <v>Norway</v>
      </c>
      <c r="AB911" s="15" t="str">
        <v>ST</v>
      </c>
      <c r="AC911" s="15" t="str">
        <v>Manchester City</v>
      </c>
      <c r="AD911" s="15">
        <v>9</v>
      </c>
      <c r="AF911" s="42">
        <v>2022</v>
      </c>
      <c r="AG911" s="42" t="str">
        <v>23 Nov 2022 - 13:00</v>
      </c>
      <c r="AH911" s="42" t="str">
        <v>GROUP_STAGE</v>
      </c>
      <c r="AI911" s="42" t="str">
        <v>Al Bayt Stadium</v>
      </c>
      <c r="AJ911" s="42" t="str">
        <v>Al Khor</v>
      </c>
      <c r="AK911" s="42" t="str">
        <v>Morocco</v>
      </c>
      <c r="AL911" s="42">
        <v>0</v>
      </c>
      <c r="AM911" s="42">
        <v>0</v>
      </c>
      <c r="AN911" s="42" t="str">
        <v>Croatia</v>
      </c>
      <c r="AO911" s="42" t="str">
        <v>-</v>
      </c>
    </row>
    <row r="912" spans="24:41">
      <c r="X912" s="15">
        <v>910</v>
      </c>
      <c r="Y912" s="15" t="str">
        <v>Jørgen Strand Larsen</v>
      </c>
      <c r="Z912" s="15">
        <v>26</v>
      </c>
      <c r="AA912" s="15" t="str">
        <v>Norway</v>
      </c>
      <c r="AB912" s="15" t="str">
        <v>ST</v>
      </c>
      <c r="AC912" s="15" t="str">
        <v>Crystal Palace</v>
      </c>
      <c r="AD912" s="15">
        <v>11</v>
      </c>
      <c r="AF912" s="42">
        <v>2022</v>
      </c>
      <c r="AG912" s="42" t="str">
        <v>23 Nov 2022 - 16:00</v>
      </c>
      <c r="AH912" s="42" t="str">
        <v>GROUP_STAGE</v>
      </c>
      <c r="AI912" s="42" t="str">
        <v>Khalifa International Stadium</v>
      </c>
      <c r="AJ912" s="42" t="str">
        <v>Al Rayyan</v>
      </c>
      <c r="AK912" s="42" t="str">
        <v>Germany</v>
      </c>
      <c r="AL912" s="42">
        <v>1</v>
      </c>
      <c r="AM912" s="42">
        <v>2</v>
      </c>
      <c r="AN912" s="42" t="str">
        <v>Japan</v>
      </c>
      <c r="AO912" s="42" t="str">
        <v>-</v>
      </c>
    </row>
    <row r="913" spans="24:41">
      <c r="X913" s="15">
        <v>911</v>
      </c>
      <c r="Y913" s="15" t="str">
        <v>Yehvann Diouf</v>
      </c>
      <c r="Z913" s="15">
        <v>26</v>
      </c>
      <c r="AA913" s="15" t="str">
        <v>Senegal</v>
      </c>
      <c r="AB913" s="15" t="str">
        <v>GK</v>
      </c>
      <c r="AC913" s="15" t="str">
        <v>Nice</v>
      </c>
      <c r="AD913" s="15">
        <v>1</v>
      </c>
      <c r="AF913" s="42">
        <v>2022</v>
      </c>
      <c r="AG913" s="42" t="str">
        <v>23 Nov 2022 - 19:00</v>
      </c>
      <c r="AH913" s="42" t="str">
        <v>GROUP_STAGE</v>
      </c>
      <c r="AI913" s="42" t="str">
        <v>Al Thumama Stadium</v>
      </c>
      <c r="AJ913" s="42" t="str">
        <v>Doha</v>
      </c>
      <c r="AK913" s="42" t="str">
        <v>Spain</v>
      </c>
      <c r="AL913" s="42">
        <v>7</v>
      </c>
      <c r="AM913" s="42">
        <v>0</v>
      </c>
      <c r="AN913" s="42" t="str">
        <v>Costa Rica</v>
      </c>
      <c r="AO913" s="42" t="str">
        <v>-</v>
      </c>
    </row>
    <row r="914" spans="24:41">
      <c r="X914" s="15">
        <v>912</v>
      </c>
      <c r="Y914" s="15" t="str">
        <v>Édouard Mendy</v>
      </c>
      <c r="Z914" s="15">
        <v>34</v>
      </c>
      <c r="AA914" s="15" t="str">
        <v>Senegal</v>
      </c>
      <c r="AB914" s="15" t="str">
        <v>GK</v>
      </c>
      <c r="AC914" s="15" t="str">
        <v>Al-Ahli</v>
      </c>
      <c r="AD914" s="15">
        <v>16</v>
      </c>
      <c r="AF914" s="42">
        <v>2022</v>
      </c>
      <c r="AG914" s="42" t="str">
        <v>23 Nov 2022 - 22:00</v>
      </c>
      <c r="AH914" s="42" t="str">
        <v>GROUP_STAGE</v>
      </c>
      <c r="AI914" s="42" t="str">
        <v>Ahmad bin Ali Stadium</v>
      </c>
      <c r="AJ914" s="42" t="str">
        <v>Al Rayyan</v>
      </c>
      <c r="AK914" s="42" t="str">
        <v>Belgium</v>
      </c>
      <c r="AL914" s="42">
        <v>1</v>
      </c>
      <c r="AM914" s="42">
        <v>0</v>
      </c>
      <c r="AN914" s="42" t="str">
        <v>Canada</v>
      </c>
      <c r="AO914" s="42" t="str">
        <v>-</v>
      </c>
    </row>
    <row r="915" spans="24:41">
      <c r="X915" s="15">
        <v>913</v>
      </c>
      <c r="Y915" s="15" t="str">
        <v>Mory Diaw</v>
      </c>
      <c r="Z915" s="15">
        <v>32</v>
      </c>
      <c r="AA915" s="15" t="str">
        <v>Senegal</v>
      </c>
      <c r="AB915" s="15" t="str">
        <v>GK</v>
      </c>
      <c r="AC915" s="15" t="str">
        <v>Le Havre</v>
      </c>
      <c r="AD915" s="15">
        <v>23</v>
      </c>
      <c r="AF915" s="42">
        <v>2022</v>
      </c>
      <c r="AG915" s="42" t="str">
        <v>24 Nov 2022 - 13:00</v>
      </c>
      <c r="AH915" s="42" t="str">
        <v>GROUP_STAGE</v>
      </c>
      <c r="AI915" s="42" t="str">
        <v>Al Janoub Stadium</v>
      </c>
      <c r="AJ915" s="42" t="str">
        <v>Al Wakrah</v>
      </c>
      <c r="AK915" s="42" t="str">
        <v>Switzerland</v>
      </c>
      <c r="AL915" s="42">
        <v>1</v>
      </c>
      <c r="AM915" s="42">
        <v>0</v>
      </c>
      <c r="AN915" s="42" t="str">
        <v>Cameroon</v>
      </c>
      <c r="AO915" s="42" t="str">
        <v>-</v>
      </c>
    </row>
    <row r="916" spans="24:41">
      <c r="X916" s="15">
        <v>914</v>
      </c>
      <c r="Y916" s="15" t="str">
        <v>Mamadou Sarr</v>
      </c>
      <c r="Z916" s="15">
        <v>20</v>
      </c>
      <c r="AA916" s="15" t="str">
        <v>Senegal</v>
      </c>
      <c r="AB916" s="15" t="str">
        <v>CB</v>
      </c>
      <c r="AC916" s="15" t="str">
        <v>Chelsea</v>
      </c>
      <c r="AD916" s="15">
        <v>2</v>
      </c>
      <c r="AF916" s="42">
        <v>2022</v>
      </c>
      <c r="AG916" s="42" t="str">
        <v>24 Nov 2022 - 16:00</v>
      </c>
      <c r="AH916" s="42" t="str">
        <v>GROUP_STAGE</v>
      </c>
      <c r="AI916" s="42" t="str">
        <v>Education City Stadium</v>
      </c>
      <c r="AJ916" s="42" t="str">
        <v>Al Rayyan</v>
      </c>
      <c r="AK916" s="42" t="str">
        <v>Uruguay</v>
      </c>
      <c r="AL916" s="42">
        <v>0</v>
      </c>
      <c r="AM916" s="42">
        <v>0</v>
      </c>
      <c r="AN916" s="42" t="str">
        <v>South Korea</v>
      </c>
      <c r="AO916" s="42" t="str">
        <v>-</v>
      </c>
    </row>
    <row r="917" spans="24:41">
      <c r="X917" s="15">
        <v>915</v>
      </c>
      <c r="Y917" s="15" t="str">
        <v>Kalidou Koulibaly</v>
      </c>
      <c r="Z917" s="15">
        <v>34</v>
      </c>
      <c r="AA917" s="15" t="str">
        <v>Senegal</v>
      </c>
      <c r="AB917" s="15" t="str">
        <v>CB</v>
      </c>
      <c r="AC917" s="15" t="str">
        <v>Al-Hilal</v>
      </c>
      <c r="AD917" s="15">
        <v>3</v>
      </c>
      <c r="AF917" s="42">
        <v>2022</v>
      </c>
      <c r="AG917" s="42" t="str">
        <v>24 Nov 2022 - 19:00</v>
      </c>
      <c r="AH917" s="42" t="str">
        <v>GROUP_STAGE</v>
      </c>
      <c r="AI917" s="42" t="str">
        <v>Stadium 974</v>
      </c>
      <c r="AJ917" s="42" t="str">
        <v>Doha</v>
      </c>
      <c r="AK917" s="42" t="str">
        <v>Portugal</v>
      </c>
      <c r="AL917" s="42">
        <v>3</v>
      </c>
      <c r="AM917" s="42">
        <v>2</v>
      </c>
      <c r="AN917" s="42" t="str">
        <v>Ghana</v>
      </c>
      <c r="AO917" s="42" t="str">
        <v>-</v>
      </c>
    </row>
    <row r="918" spans="24:41">
      <c r="X918" s="15">
        <v>916</v>
      </c>
      <c r="Y918" s="15" t="str">
        <v>Abdoulaye Seck</v>
      </c>
      <c r="Z918" s="15">
        <v>34</v>
      </c>
      <c r="AA918" s="15" t="str">
        <v>Senegal</v>
      </c>
      <c r="AB918" s="15" t="str">
        <v>CB</v>
      </c>
      <c r="AC918" s="15" t="str">
        <v>Maccabi Haifa</v>
      </c>
      <c r="AD918" s="15">
        <v>4</v>
      </c>
      <c r="AF918" s="42">
        <v>2022</v>
      </c>
      <c r="AG918" s="42" t="str">
        <v>24 Nov 2022 - 22:00</v>
      </c>
      <c r="AH918" s="42" t="str">
        <v>GROUP_STAGE</v>
      </c>
      <c r="AI918" s="42" t="str">
        <v>Lusail Stadium</v>
      </c>
      <c r="AJ918" s="42" t="str">
        <v>Lusail</v>
      </c>
      <c r="AK918" s="42" t="str">
        <v>Brazil</v>
      </c>
      <c r="AL918" s="42">
        <v>2</v>
      </c>
      <c r="AM918" s="42">
        <v>0</v>
      </c>
      <c r="AN918" s="42" t="str">
        <v>Serbia</v>
      </c>
      <c r="AO918" s="42" t="str">
        <v>-</v>
      </c>
    </row>
    <row r="919" spans="24:41">
      <c r="X919" s="15">
        <v>917</v>
      </c>
      <c r="Y919" s="15" t="str">
        <v>Moussa Niakhaté</v>
      </c>
      <c r="Z919" s="15">
        <v>30</v>
      </c>
      <c r="AA919" s="15" t="str">
        <v>Senegal</v>
      </c>
      <c r="AB919" s="15" t="str">
        <v>CB</v>
      </c>
      <c r="AC919" s="15" t="str">
        <v>Lyon</v>
      </c>
      <c r="AD919" s="15">
        <v>19</v>
      </c>
      <c r="AF919" s="42">
        <v>2022</v>
      </c>
      <c r="AG919" s="42" t="str">
        <v>25 Nov 2022 - 13:00</v>
      </c>
      <c r="AH919" s="42" t="str">
        <v>GROUP_STAGE</v>
      </c>
      <c r="AI919" s="42" t="str">
        <v>Ahmad bin Ali Stadium</v>
      </c>
      <c r="AJ919" s="42" t="str">
        <v>Al Rayyan</v>
      </c>
      <c r="AK919" s="42" t="str">
        <v>Wales</v>
      </c>
      <c r="AL919" s="42">
        <v>0</v>
      </c>
      <c r="AM919" s="42">
        <v>2</v>
      </c>
      <c r="AN919" s="42" t="str">
        <v>Iran</v>
      </c>
      <c r="AO919" s="42" t="str">
        <v>-</v>
      </c>
    </row>
    <row r="920" spans="24:41">
      <c r="X920" s="15">
        <v>918</v>
      </c>
      <c r="Y920" s="15" t="str">
        <v>Ismail Jakobs</v>
      </c>
      <c r="Z920" s="15">
        <v>26</v>
      </c>
      <c r="AA920" s="15" t="str">
        <v>Senegal</v>
      </c>
      <c r="AB920" s="15" t="str">
        <v>LB</v>
      </c>
      <c r="AC920" s="15" t="str">
        <v>Galatasaray</v>
      </c>
      <c r="AD920" s="15">
        <v>14</v>
      </c>
      <c r="AF920" s="42">
        <v>2022</v>
      </c>
      <c r="AG920" s="42" t="str">
        <v>25 Nov 2022 - 16:00</v>
      </c>
      <c r="AH920" s="42" t="str">
        <v>GROUP_STAGE</v>
      </c>
      <c r="AI920" s="42" t="str">
        <v>Al Thumama Stadium</v>
      </c>
      <c r="AJ920" s="42" t="str">
        <v>Doha</v>
      </c>
      <c r="AK920" s="42" t="str">
        <v>Qatar</v>
      </c>
      <c r="AL920" s="42">
        <v>1</v>
      </c>
      <c r="AM920" s="42">
        <v>3</v>
      </c>
      <c r="AN920" s="42" t="str">
        <v>Senegal</v>
      </c>
      <c r="AO920" s="42" t="str">
        <v>-</v>
      </c>
    </row>
    <row r="921" spans="24:41">
      <c r="X921" s="15">
        <v>919</v>
      </c>
      <c r="Y921" s="15" t="str">
        <v>El Hadji Malick Diouf</v>
      </c>
      <c r="Z921" s="15">
        <v>21</v>
      </c>
      <c r="AA921" s="15" t="str">
        <v>Senegal</v>
      </c>
      <c r="AB921" s="15" t="str">
        <v>LB</v>
      </c>
      <c r="AC921" s="15" t="str">
        <v>West Ham United</v>
      </c>
      <c r="AD921" s="15">
        <v>25</v>
      </c>
      <c r="AF921" s="42">
        <v>2022</v>
      </c>
      <c r="AG921" s="42" t="str">
        <v>25 Nov 2022 - 19:00</v>
      </c>
      <c r="AH921" s="42" t="str">
        <v>GROUP_STAGE</v>
      </c>
      <c r="AI921" s="42" t="str">
        <v>Khalifa International Stadium</v>
      </c>
      <c r="AJ921" s="42" t="str">
        <v>Al Rayyan</v>
      </c>
      <c r="AK921" s="42" t="str">
        <v>Netherlands</v>
      </c>
      <c r="AL921" s="42">
        <v>1</v>
      </c>
      <c r="AM921" s="42">
        <v>1</v>
      </c>
      <c r="AN921" s="42" t="str">
        <v>Ecuador</v>
      </c>
      <c r="AO921" s="42" t="str">
        <v>-</v>
      </c>
    </row>
    <row r="922" spans="24:41">
      <c r="X922" s="15">
        <v>920</v>
      </c>
      <c r="Y922" s="15" t="str">
        <v>Krépin Diatta</v>
      </c>
      <c r="Z922" s="15">
        <v>27</v>
      </c>
      <c r="AA922" s="15" t="str">
        <v>Senegal</v>
      </c>
      <c r="AB922" s="15" t="str">
        <v>RB</v>
      </c>
      <c r="AC922" s="15" t="str">
        <v>Monaco</v>
      </c>
      <c r="AD922" s="15">
        <v>15</v>
      </c>
      <c r="AF922" s="42">
        <v>2022</v>
      </c>
      <c r="AG922" s="42" t="str">
        <v>25 Nov 2022 - 22:00</v>
      </c>
      <c r="AH922" s="42" t="str">
        <v>GROUP_STAGE</v>
      </c>
      <c r="AI922" s="42" t="str">
        <v>Al Bayt Stadium</v>
      </c>
      <c r="AJ922" s="42" t="str">
        <v>Al Khor</v>
      </c>
      <c r="AK922" s="42" t="str">
        <v>England</v>
      </c>
      <c r="AL922" s="42">
        <v>0</v>
      </c>
      <c r="AM922" s="42">
        <v>0</v>
      </c>
      <c r="AN922" s="42" t="str">
        <v>United States</v>
      </c>
      <c r="AO922" s="42" t="str">
        <v>-</v>
      </c>
    </row>
    <row r="923" spans="24:41">
      <c r="X923" s="15">
        <v>921</v>
      </c>
      <c r="Y923" s="15" t="str">
        <v>Antoine Mendy</v>
      </c>
      <c r="Z923" s="15">
        <v>22</v>
      </c>
      <c r="AA923" s="15" t="str">
        <v>Senegal</v>
      </c>
      <c r="AB923" s="15" t="str">
        <v>RB</v>
      </c>
      <c r="AC923" s="15" t="str">
        <v>Nice</v>
      </c>
      <c r="AD923" s="15">
        <v>24</v>
      </c>
      <c r="AF923" s="42">
        <v>2022</v>
      </c>
      <c r="AG923" s="42" t="str">
        <v>26 Nov 2022 - 13:00</v>
      </c>
      <c r="AH923" s="42" t="str">
        <v>GROUP_STAGE</v>
      </c>
      <c r="AI923" s="42" t="str">
        <v>Al Janoub Stadium</v>
      </c>
      <c r="AJ923" s="42" t="str">
        <v>Al Wakrah</v>
      </c>
      <c r="AK923" s="42" t="str">
        <v>Tunisia</v>
      </c>
      <c r="AL923" s="42">
        <v>0</v>
      </c>
      <c r="AM923" s="42">
        <v>1</v>
      </c>
      <c r="AN923" s="42" t="str">
        <v>Australia</v>
      </c>
      <c r="AO923" s="42" t="str">
        <v>-</v>
      </c>
    </row>
    <row r="924" spans="24:41">
      <c r="X924" s="15">
        <v>922</v>
      </c>
      <c r="Y924" s="15" t="str">
        <v>Idrissa Gueye</v>
      </c>
      <c r="Z924" s="15">
        <v>36</v>
      </c>
      <c r="AA924" s="15" t="str">
        <v>Senegal</v>
      </c>
      <c r="AB924" s="15" t="str">
        <v>CDM</v>
      </c>
      <c r="AC924" s="15" t="str">
        <v>Everton</v>
      </c>
      <c r="AD924" s="15">
        <v>5</v>
      </c>
      <c r="AF924" s="42">
        <v>2022</v>
      </c>
      <c r="AG924" s="42" t="str">
        <v>26 Nov 2022 - 16:00</v>
      </c>
      <c r="AH924" s="42" t="str">
        <v>GROUP_STAGE</v>
      </c>
      <c r="AI924" s="42" t="str">
        <v>Education City Stadium</v>
      </c>
      <c r="AJ924" s="42" t="str">
        <v>Al Rayyan</v>
      </c>
      <c r="AK924" s="42" t="str">
        <v>Poland</v>
      </c>
      <c r="AL924" s="42">
        <v>2</v>
      </c>
      <c r="AM924" s="42">
        <v>0</v>
      </c>
      <c r="AN924" s="42" t="str">
        <v>Saudi Arabia</v>
      </c>
      <c r="AO924" s="42" t="str">
        <v>-</v>
      </c>
    </row>
    <row r="925" spans="24:41">
      <c r="X925" s="15">
        <v>923</v>
      </c>
      <c r="Y925" s="15" t="str">
        <v>Pathé Ciss</v>
      </c>
      <c r="Z925" s="15">
        <v>32</v>
      </c>
      <c r="AA925" s="15" t="str">
        <v>Senegal</v>
      </c>
      <c r="AB925" s="15" t="str">
        <v>CDM</v>
      </c>
      <c r="AC925" s="15" t="str">
        <v>Rayo Vallecano</v>
      </c>
      <c r="AD925" s="15">
        <v>6</v>
      </c>
      <c r="AF925" s="42">
        <v>2022</v>
      </c>
      <c r="AG925" s="42" t="str">
        <v>26 Nov 2022 - 19:00</v>
      </c>
      <c r="AH925" s="42" t="str">
        <v>GROUP_STAGE</v>
      </c>
      <c r="AI925" s="42" t="str">
        <v>Stadium 974</v>
      </c>
      <c r="AJ925" s="42" t="str">
        <v>Doha</v>
      </c>
      <c r="AK925" s="42" t="str">
        <v>France</v>
      </c>
      <c r="AL925" s="42">
        <v>2</v>
      </c>
      <c r="AM925" s="42">
        <v>1</v>
      </c>
      <c r="AN925" s="42" t="str">
        <v>Denmark</v>
      </c>
      <c r="AO925" s="42" t="str">
        <v>-</v>
      </c>
    </row>
    <row r="926" spans="24:41">
      <c r="X926" s="15">
        <v>924</v>
      </c>
      <c r="Y926" s="15" t="str">
        <v>Pape Gueye</v>
      </c>
      <c r="Z926" s="15">
        <v>27</v>
      </c>
      <c r="AA926" s="15" t="str">
        <v>Senegal</v>
      </c>
      <c r="AB926" s="15" t="str">
        <v>CDM</v>
      </c>
      <c r="AC926" s="15" t="str">
        <v>Villarreal</v>
      </c>
      <c r="AD926" s="15">
        <v>26</v>
      </c>
      <c r="AF926" s="42">
        <v>2022</v>
      </c>
      <c r="AG926" s="42" t="str">
        <v>26 Nov 2022 - 22:00</v>
      </c>
      <c r="AH926" s="42" t="str">
        <v>GROUP_STAGE</v>
      </c>
      <c r="AI926" s="42" t="str">
        <v>Lusail Stadium</v>
      </c>
      <c r="AJ926" s="42" t="str">
        <v>Lusail</v>
      </c>
      <c r="AK926" s="42" t="str">
        <v>Argentina</v>
      </c>
      <c r="AL926" s="42">
        <v>2</v>
      </c>
      <c r="AM926" s="42">
        <v>0</v>
      </c>
      <c r="AN926" s="42" t="str">
        <v>Mexico</v>
      </c>
      <c r="AO926" s="42" t="str">
        <v>-</v>
      </c>
    </row>
    <row r="927" spans="24:41">
      <c r="X927" s="15">
        <v>925</v>
      </c>
      <c r="Y927" s="15" t="str">
        <v>Lamine Camara</v>
      </c>
      <c r="Z927" s="15">
        <v>22</v>
      </c>
      <c r="AA927" s="15" t="str">
        <v>Senegal</v>
      </c>
      <c r="AB927" s="15" t="str">
        <v>CM</v>
      </c>
      <c r="AC927" s="15" t="str">
        <v>Monaco</v>
      </c>
      <c r="AD927" s="15">
        <v>8</v>
      </c>
      <c r="AF927" s="42">
        <v>2022</v>
      </c>
      <c r="AG927" s="42" t="str">
        <v>27 Nov 2022 - 13:00</v>
      </c>
      <c r="AH927" s="42" t="str">
        <v>GROUP_STAGE</v>
      </c>
      <c r="AI927" s="42" t="str">
        <v>Ahmad bin Ali Stadium</v>
      </c>
      <c r="AJ927" s="42" t="str">
        <v>Al Rayyan</v>
      </c>
      <c r="AK927" s="42" t="str">
        <v>Japan</v>
      </c>
      <c r="AL927" s="42">
        <v>0</v>
      </c>
      <c r="AM927" s="42">
        <v>1</v>
      </c>
      <c r="AN927" s="42" t="str">
        <v>Costa Rica</v>
      </c>
      <c r="AO927" s="42" t="str">
        <v>-</v>
      </c>
    </row>
    <row r="928" spans="24:41">
      <c r="X928" s="15">
        <v>926</v>
      </c>
      <c r="Y928" s="15" t="str">
        <v>Pape Matar Sarr</v>
      </c>
      <c r="Z928" s="15">
        <v>23</v>
      </c>
      <c r="AA928" s="15" t="str">
        <v>Senegal</v>
      </c>
      <c r="AB928" s="15" t="str">
        <v>CM</v>
      </c>
      <c r="AC928" s="15" t="str">
        <v>Tottenham Hotspur</v>
      </c>
      <c r="AD928" s="15">
        <v>17</v>
      </c>
      <c r="AF928" s="42">
        <v>2022</v>
      </c>
      <c r="AG928" s="42" t="str">
        <v>27 Nov 2022 - 16:00</v>
      </c>
      <c r="AH928" s="42" t="str">
        <v>GROUP_STAGE</v>
      </c>
      <c r="AI928" s="42" t="str">
        <v>Al Thumama Stadium</v>
      </c>
      <c r="AJ928" s="42" t="str">
        <v>Doha</v>
      </c>
      <c r="AK928" s="42" t="str">
        <v>Belgium</v>
      </c>
      <c r="AL928" s="42">
        <v>0</v>
      </c>
      <c r="AM928" s="42">
        <v>2</v>
      </c>
      <c r="AN928" s="42" t="str">
        <v>Morocco</v>
      </c>
      <c r="AO928" s="42" t="str">
        <v>-</v>
      </c>
    </row>
    <row r="929" spans="24:41">
      <c r="X929" s="15">
        <v>927</v>
      </c>
      <c r="Y929" s="15" t="str">
        <v>Habib Diarra</v>
      </c>
      <c r="Z929" s="15">
        <v>22</v>
      </c>
      <c r="AA929" s="15" t="str">
        <v>Senegal</v>
      </c>
      <c r="AB929" s="15" t="str">
        <v>CM</v>
      </c>
      <c r="AC929" s="15" t="str">
        <v>Sunderland</v>
      </c>
      <c r="AD929" s="15">
        <v>21</v>
      </c>
      <c r="AF929" s="42">
        <v>2022</v>
      </c>
      <c r="AG929" s="42" t="str">
        <v>27 Nov 2022 - 19:00</v>
      </c>
      <c r="AH929" s="42" t="str">
        <v>GROUP_STAGE</v>
      </c>
      <c r="AI929" s="42" t="str">
        <v>Khalifa International Stadium</v>
      </c>
      <c r="AJ929" s="42" t="str">
        <v>Al Rayyan</v>
      </c>
      <c r="AK929" s="42" t="str">
        <v>Croatia</v>
      </c>
      <c r="AL929" s="42">
        <v>4</v>
      </c>
      <c r="AM929" s="42">
        <v>1</v>
      </c>
      <c r="AN929" s="42" t="str">
        <v>Canada</v>
      </c>
      <c r="AO929" s="42" t="str">
        <v>-</v>
      </c>
    </row>
    <row r="930" spans="24:41">
      <c r="X930" s="15">
        <v>928</v>
      </c>
      <c r="Y930" s="15" t="str">
        <v>Bara Sapoko Ndiaye</v>
      </c>
      <c r="Z930" s="15">
        <v>18</v>
      </c>
      <c r="AA930" s="15" t="str">
        <v>Senegal</v>
      </c>
      <c r="AB930" s="15" t="str">
        <v>CM</v>
      </c>
      <c r="AC930" s="15" t="str">
        <v>Bayern Munich</v>
      </c>
      <c r="AD930" s="15">
        <v>22</v>
      </c>
      <c r="AF930" s="42">
        <v>2022</v>
      </c>
      <c r="AG930" s="42" t="str">
        <v>27 Nov 2022 - 22:00</v>
      </c>
      <c r="AH930" s="42" t="str">
        <v>GROUP_STAGE</v>
      </c>
      <c r="AI930" s="42" t="str">
        <v>Al Bayt Stadium</v>
      </c>
      <c r="AJ930" s="42" t="str">
        <v>Al Khor</v>
      </c>
      <c r="AK930" s="42" t="str">
        <v>Spain</v>
      </c>
      <c r="AL930" s="42">
        <v>1</v>
      </c>
      <c r="AM930" s="42">
        <v>1</v>
      </c>
      <c r="AN930" s="42" t="str">
        <v>Germany</v>
      </c>
      <c r="AO930" s="42" t="str">
        <v>-</v>
      </c>
    </row>
    <row r="931" spans="24:41">
      <c r="X931" s="15">
        <v>929</v>
      </c>
      <c r="Y931" s="15" t="str">
        <v>Iliman Ndiaye</v>
      </c>
      <c r="Z931" s="15">
        <v>26</v>
      </c>
      <c r="AA931" s="15" t="str">
        <v>Senegal</v>
      </c>
      <c r="AB931" s="15" t="str">
        <v>CAM</v>
      </c>
      <c r="AC931" s="15" t="str">
        <v>Everton</v>
      </c>
      <c r="AD931" s="15">
        <v>13</v>
      </c>
      <c r="AF931" s="42">
        <v>2022</v>
      </c>
      <c r="AG931" s="42" t="str">
        <v>28 Nov 2022 - 13:00</v>
      </c>
      <c r="AH931" s="42" t="str">
        <v>GROUP_STAGE</v>
      </c>
      <c r="AI931" s="42" t="str">
        <v>Al Janoub Stadium</v>
      </c>
      <c r="AJ931" s="42" t="str">
        <v>Al Wakrah</v>
      </c>
      <c r="AK931" s="42" t="str">
        <v>Cameroon</v>
      </c>
      <c r="AL931" s="42">
        <v>3</v>
      </c>
      <c r="AM931" s="42">
        <v>3</v>
      </c>
      <c r="AN931" s="42" t="str">
        <v>Serbia</v>
      </c>
      <c r="AO931" s="42" t="str">
        <v>-</v>
      </c>
    </row>
    <row r="932" spans="24:41">
      <c r="X932" s="15">
        <v>930</v>
      </c>
      <c r="Y932" s="15" t="str">
        <v>Sadio Mané</v>
      </c>
      <c r="Z932" s="15">
        <v>34</v>
      </c>
      <c r="AA932" s="15" t="str">
        <v>Senegal</v>
      </c>
      <c r="AB932" s="15" t="str">
        <v>LW</v>
      </c>
      <c r="AC932" s="15" t="str">
        <v>Al-Nassr</v>
      </c>
      <c r="AD932" s="15">
        <v>10</v>
      </c>
      <c r="AF932" s="42">
        <v>2022</v>
      </c>
      <c r="AG932" s="42" t="str">
        <v>28 Nov 2022 - 16:00</v>
      </c>
      <c r="AH932" s="42" t="str">
        <v>GROUP_STAGE</v>
      </c>
      <c r="AI932" s="42" t="str">
        <v>Education City Stadium</v>
      </c>
      <c r="AJ932" s="42" t="str">
        <v>Al Rayyan</v>
      </c>
      <c r="AK932" s="42" t="str">
        <v>South Korea</v>
      </c>
      <c r="AL932" s="42">
        <v>2</v>
      </c>
      <c r="AM932" s="42">
        <v>3</v>
      </c>
      <c r="AN932" s="42" t="str">
        <v>Ghana</v>
      </c>
      <c r="AO932" s="42" t="str">
        <v>-</v>
      </c>
    </row>
    <row r="933" spans="24:41">
      <c r="X933" s="15">
        <v>931</v>
      </c>
      <c r="Y933" s="15" t="str">
        <v>Ibrahim Mbaye</v>
      </c>
      <c r="Z933" s="15">
        <v>18</v>
      </c>
      <c r="AA933" s="15" t="str">
        <v>Senegal</v>
      </c>
      <c r="AB933" s="15" t="str">
        <v>LW</v>
      </c>
      <c r="AC933" s="15" t="str">
        <v>Paris Saint-Germain</v>
      </c>
      <c r="AD933" s="15">
        <v>20</v>
      </c>
      <c r="AF933" s="42">
        <v>2022</v>
      </c>
      <c r="AG933" s="42" t="str">
        <v>28 Nov 2022 - 19:00</v>
      </c>
      <c r="AH933" s="42" t="str">
        <v>GROUP_STAGE</v>
      </c>
      <c r="AI933" s="42" t="str">
        <v>Stadium 974</v>
      </c>
      <c r="AJ933" s="42" t="str">
        <v>Doha</v>
      </c>
      <c r="AK933" s="42" t="str">
        <v>Brazil</v>
      </c>
      <c r="AL933" s="42">
        <v>1</v>
      </c>
      <c r="AM933" s="42">
        <v>0</v>
      </c>
      <c r="AN933" s="42" t="str">
        <v>Switzerland</v>
      </c>
      <c r="AO933" s="42" t="str">
        <v>-</v>
      </c>
    </row>
    <row r="934" spans="24:41">
      <c r="X934" s="15">
        <v>932</v>
      </c>
      <c r="Y934" s="15" t="str">
        <v>Assane Diao</v>
      </c>
      <c r="Z934" s="15">
        <v>20</v>
      </c>
      <c r="AA934" s="15" t="str">
        <v>Senegal</v>
      </c>
      <c r="AB934" s="15" t="str">
        <v>RW</v>
      </c>
      <c r="AC934" s="15" t="str">
        <v>Como</v>
      </c>
      <c r="AD934" s="15">
        <v>7</v>
      </c>
      <c r="AF934" s="42">
        <v>2022</v>
      </c>
      <c r="AG934" s="42" t="str">
        <v>28 Nov 2022 - 22:00</v>
      </c>
      <c r="AH934" s="42" t="str">
        <v>GROUP_STAGE</v>
      </c>
      <c r="AI934" s="42" t="str">
        <v>Lusail Stadium</v>
      </c>
      <c r="AJ934" s="42" t="str">
        <v>Lusail</v>
      </c>
      <c r="AK934" s="42" t="str">
        <v>Portugal</v>
      </c>
      <c r="AL934" s="42">
        <v>2</v>
      </c>
      <c r="AM934" s="42">
        <v>0</v>
      </c>
      <c r="AN934" s="42" t="str">
        <v>Uruguay</v>
      </c>
      <c r="AO934" s="42" t="str">
        <v>-</v>
      </c>
    </row>
    <row r="935" spans="24:41">
      <c r="X935" s="15">
        <v>933</v>
      </c>
      <c r="Y935" s="15" t="str">
        <v>Ismaïla Sarr</v>
      </c>
      <c r="Z935" s="15">
        <v>28</v>
      </c>
      <c r="AA935" s="15" t="str">
        <v>Senegal</v>
      </c>
      <c r="AB935" s="15" t="str">
        <v>RW</v>
      </c>
      <c r="AC935" s="15" t="str">
        <v>Crystal Palace</v>
      </c>
      <c r="AD935" s="15">
        <v>18</v>
      </c>
      <c r="AF935" s="42">
        <v>2022</v>
      </c>
      <c r="AG935" s="42" t="str">
        <v>29 Nov 2022 - 18:00</v>
      </c>
      <c r="AH935" s="42" t="str">
        <v>GROUP_STAGE</v>
      </c>
      <c r="AI935" s="42" t="str">
        <v>Khalifa International Stadium</v>
      </c>
      <c r="AJ935" s="42" t="str">
        <v>Al Rayyan</v>
      </c>
      <c r="AK935" s="42" t="str">
        <v>Ecuador</v>
      </c>
      <c r="AL935" s="42">
        <v>1</v>
      </c>
      <c r="AM935" s="42">
        <v>2</v>
      </c>
      <c r="AN935" s="42" t="str">
        <v>Senegal</v>
      </c>
      <c r="AO935" s="42" t="str">
        <v>-</v>
      </c>
    </row>
    <row r="936" spans="24:41">
      <c r="X936" s="15">
        <v>934</v>
      </c>
      <c r="Y936" s="15" t="str">
        <v>Bamba Dieng</v>
      </c>
      <c r="Z936" s="15">
        <v>26</v>
      </c>
      <c r="AA936" s="15" t="str">
        <v>Senegal</v>
      </c>
      <c r="AB936" s="15" t="str">
        <v>ST</v>
      </c>
      <c r="AC936" s="15" t="str">
        <v>Lorient</v>
      </c>
      <c r="AD936" s="15">
        <v>9</v>
      </c>
      <c r="AF936" s="42">
        <v>2022</v>
      </c>
      <c r="AG936" s="42" t="str">
        <v>29 Nov 2022 - 18:00</v>
      </c>
      <c r="AH936" s="42" t="str">
        <v>GROUP_STAGE</v>
      </c>
      <c r="AI936" s="42" t="str">
        <v>Al Bayt Stadium</v>
      </c>
      <c r="AJ936" s="42" t="str">
        <v>Al Khor</v>
      </c>
      <c r="AK936" s="42" t="str">
        <v>Netherlands</v>
      </c>
      <c r="AL936" s="42">
        <v>2</v>
      </c>
      <c r="AM936" s="42">
        <v>0</v>
      </c>
      <c r="AN936" s="42" t="str">
        <v>Qatar</v>
      </c>
      <c r="AO936" s="42" t="str">
        <v>-</v>
      </c>
    </row>
    <row r="937" spans="24:41">
      <c r="X937" s="15">
        <v>935</v>
      </c>
      <c r="Y937" s="15" t="str">
        <v>Nicolas Jackson</v>
      </c>
      <c r="Z937" s="15">
        <v>24</v>
      </c>
      <c r="AA937" s="15" t="str">
        <v>Senegal</v>
      </c>
      <c r="AB937" s="15" t="str">
        <v>ST</v>
      </c>
      <c r="AC937" s="15" t="str">
        <v>Bayern Munich</v>
      </c>
      <c r="AD937" s="15">
        <v>11</v>
      </c>
      <c r="AF937" s="42">
        <v>2022</v>
      </c>
      <c r="AG937" s="42" t="str">
        <v>29 Nov 2022 - 22:00</v>
      </c>
      <c r="AH937" s="42" t="str">
        <v>GROUP_STAGE</v>
      </c>
      <c r="AI937" s="42" t="str">
        <v>Al Thumama Stadium</v>
      </c>
      <c r="AJ937" s="42" t="str">
        <v>Doha</v>
      </c>
      <c r="AK937" s="42" t="str">
        <v>Iran</v>
      </c>
      <c r="AL937" s="42">
        <v>0</v>
      </c>
      <c r="AM937" s="42">
        <v>1</v>
      </c>
      <c r="AN937" s="42" t="str">
        <v>United States</v>
      </c>
      <c r="AO937" s="42" t="str">
        <v>-</v>
      </c>
    </row>
    <row r="938" spans="24:41">
      <c r="X938" s="15">
        <v>936</v>
      </c>
      <c r="Y938" s="15" t="str">
        <v>Cherif Ndiaye</v>
      </c>
      <c r="Z938" s="15">
        <v>30</v>
      </c>
      <c r="AA938" s="15" t="str">
        <v>Senegal</v>
      </c>
      <c r="AB938" s="15" t="str">
        <v>ST</v>
      </c>
      <c r="AC938" s="15" t="str">
        <v>Samsunspor</v>
      </c>
      <c r="AD938" s="15">
        <v>12</v>
      </c>
      <c r="AF938" s="42">
        <v>2022</v>
      </c>
      <c r="AG938" s="42" t="str">
        <v>29 Nov 2022 - 22:00</v>
      </c>
      <c r="AH938" s="42" t="str">
        <v>GROUP_STAGE</v>
      </c>
      <c r="AI938" s="42" t="str">
        <v>Ahmad bin Ali Stadium</v>
      </c>
      <c r="AJ938" s="42" t="str">
        <v>Al Rayyan</v>
      </c>
      <c r="AK938" s="42" t="str">
        <v>Wales</v>
      </c>
      <c r="AL938" s="42">
        <v>0</v>
      </c>
      <c r="AM938" s="42">
        <v>3</v>
      </c>
      <c r="AN938" s="42" t="str">
        <v>England</v>
      </c>
      <c r="AO938" s="42" t="str">
        <v>-</v>
      </c>
    </row>
    <row r="939" spans="24:41">
      <c r="X939" s="15">
        <v>937</v>
      </c>
      <c r="Y939" s="15" t="str">
        <v>Melvin Mastil</v>
      </c>
      <c r="Z939" s="15">
        <v>26</v>
      </c>
      <c r="AA939" s="15" t="str">
        <v>Algeria</v>
      </c>
      <c r="AB939" s="15" t="str">
        <v>GK</v>
      </c>
      <c r="AC939" s="15" t="str">
        <v>Stade Nyonnais</v>
      </c>
      <c r="AD939" s="15">
        <v>1</v>
      </c>
      <c r="AF939" s="42">
        <v>2022</v>
      </c>
      <c r="AG939" s="42" t="str">
        <v>30 Nov 2022 - 18:00</v>
      </c>
      <c r="AH939" s="42" t="str">
        <v>GROUP_STAGE</v>
      </c>
      <c r="AI939" s="42" t="str">
        <v>Al Janoub Stadium</v>
      </c>
      <c r="AJ939" s="42" t="str">
        <v>Al Wakrah</v>
      </c>
      <c r="AK939" s="42" t="str">
        <v>Australia</v>
      </c>
      <c r="AL939" s="42">
        <v>1</v>
      </c>
      <c r="AM939" s="42">
        <v>0</v>
      </c>
      <c r="AN939" s="42" t="str">
        <v>Denmark</v>
      </c>
      <c r="AO939" s="42" t="str">
        <v>-</v>
      </c>
    </row>
    <row r="940" spans="24:41">
      <c r="X940" s="15">
        <v>938</v>
      </c>
      <c r="Y940" s="15" t="str">
        <v>Oussama Benbot</v>
      </c>
      <c r="Z940" s="15">
        <v>31</v>
      </c>
      <c r="AA940" s="15" t="str">
        <v>Algeria</v>
      </c>
      <c r="AB940" s="15" t="str">
        <v>GK</v>
      </c>
      <c r="AC940" s="15" t="str">
        <v>USM Alger</v>
      </c>
      <c r="AD940" s="15">
        <v>16</v>
      </c>
      <c r="AF940" s="42">
        <v>2022</v>
      </c>
      <c r="AG940" s="42" t="str">
        <v>30 Nov 2022 - 18:00</v>
      </c>
      <c r="AH940" s="42" t="str">
        <v>GROUP_STAGE</v>
      </c>
      <c r="AI940" s="42" t="str">
        <v>Education City Stadium</v>
      </c>
      <c r="AJ940" s="42" t="str">
        <v>Al Rayyan</v>
      </c>
      <c r="AK940" s="42" t="str">
        <v>Tunisia</v>
      </c>
      <c r="AL940" s="42">
        <v>1</v>
      </c>
      <c r="AM940" s="42">
        <v>0</v>
      </c>
      <c r="AN940" s="42" t="str">
        <v>France</v>
      </c>
      <c r="AO940" s="42" t="str">
        <v>-</v>
      </c>
    </row>
    <row r="941" spans="24:41">
      <c r="X941" s="15">
        <v>939</v>
      </c>
      <c r="Y941" s="15" t="str">
        <v>Luca Zidane</v>
      </c>
      <c r="Z941" s="15">
        <v>28</v>
      </c>
      <c r="AA941" s="15" t="str">
        <v>Algeria</v>
      </c>
      <c r="AB941" s="15" t="str">
        <v>GK</v>
      </c>
      <c r="AC941" s="15" t="str">
        <v>Granada</v>
      </c>
      <c r="AD941" s="15">
        <v>23</v>
      </c>
      <c r="AF941" s="42">
        <v>2022</v>
      </c>
      <c r="AG941" s="42" t="str">
        <v>30 Nov 2022 - 22:00</v>
      </c>
      <c r="AH941" s="42" t="str">
        <v>GROUP_STAGE</v>
      </c>
      <c r="AI941" s="42" t="str">
        <v>Stadium 974</v>
      </c>
      <c r="AJ941" s="42" t="str">
        <v>Doha</v>
      </c>
      <c r="AK941" s="42" t="str">
        <v>Poland</v>
      </c>
      <c r="AL941" s="42">
        <v>0</v>
      </c>
      <c r="AM941" s="42">
        <v>2</v>
      </c>
      <c r="AN941" s="42" t="str">
        <v>Argentina</v>
      </c>
      <c r="AO941" s="42" t="str">
        <v>-</v>
      </c>
    </row>
    <row r="942" spans="24:41">
      <c r="X942" s="15">
        <v>940</v>
      </c>
      <c r="Y942" s="15" t="str">
        <v>Aïssa Mandi</v>
      </c>
      <c r="Z942" s="15">
        <v>34</v>
      </c>
      <c r="AA942" s="15" t="str">
        <v>Algeria</v>
      </c>
      <c r="AB942" s="15" t="str">
        <v>CB</v>
      </c>
      <c r="AC942" s="15" t="str">
        <v>Lille</v>
      </c>
      <c r="AD942" s="15">
        <v>2</v>
      </c>
      <c r="AF942" s="42">
        <v>2022</v>
      </c>
      <c r="AG942" s="42" t="str">
        <v>30 Nov 2022 - 22:00</v>
      </c>
      <c r="AH942" s="42" t="str">
        <v>GROUP_STAGE</v>
      </c>
      <c r="AI942" s="42" t="str">
        <v>Lusail Stadium</v>
      </c>
      <c r="AJ942" s="42" t="str">
        <v>Lusail</v>
      </c>
      <c r="AK942" s="42" t="str">
        <v>Saudi Arabia</v>
      </c>
      <c r="AL942" s="42">
        <v>1</v>
      </c>
      <c r="AM942" s="42">
        <v>2</v>
      </c>
      <c r="AN942" s="42" t="str">
        <v>Mexico</v>
      </c>
      <c r="AO942" s="42" t="str">
        <v>-</v>
      </c>
    </row>
    <row r="943" spans="24:41">
      <c r="X943" s="15">
        <v>941</v>
      </c>
      <c r="Y943" s="15" t="str">
        <v>Mohamed Amine Tougai</v>
      </c>
      <c r="Z943" s="15">
        <v>26</v>
      </c>
      <c r="AA943" s="15" t="str">
        <v>Algeria</v>
      </c>
      <c r="AB943" s="15" t="str">
        <v>CB</v>
      </c>
      <c r="AC943" s="15" t="str">
        <v>Espérance de Tunis</v>
      </c>
      <c r="AD943" s="15">
        <v>4</v>
      </c>
      <c r="AF943" s="42">
        <v>2022</v>
      </c>
      <c r="AG943" s="42" t="str">
        <v>01 Dec 2022 - 18:00</v>
      </c>
      <c r="AH943" s="42" t="str">
        <v>GROUP_STAGE</v>
      </c>
      <c r="AI943" s="42" t="str">
        <v>Al Thumama Stadium</v>
      </c>
      <c r="AJ943" s="42" t="str">
        <v>Doha</v>
      </c>
      <c r="AK943" s="42" t="str">
        <v>Canada</v>
      </c>
      <c r="AL943" s="42">
        <v>1</v>
      </c>
      <c r="AM943" s="42">
        <v>2</v>
      </c>
      <c r="AN943" s="42" t="str">
        <v>Morocco</v>
      </c>
      <c r="AO943" s="42" t="str">
        <v>-</v>
      </c>
    </row>
    <row r="944" spans="24:41">
      <c r="X944" s="15">
        <v>942</v>
      </c>
      <c r="Y944" s="15" t="str">
        <v>Zineddine Belaïd</v>
      </c>
      <c r="Z944" s="15">
        <v>27</v>
      </c>
      <c r="AA944" s="15" t="str">
        <v>Algeria</v>
      </c>
      <c r="AB944" s="15" t="str">
        <v>CB</v>
      </c>
      <c r="AC944" s="15" t="str">
        <v>JS Kabylie</v>
      </c>
      <c r="AD944" s="15">
        <v>5</v>
      </c>
      <c r="AF944" s="42">
        <v>2022</v>
      </c>
      <c r="AG944" s="42" t="str">
        <v>01 Dec 2022 - 18:00</v>
      </c>
      <c r="AH944" s="42" t="str">
        <v>GROUP_STAGE</v>
      </c>
      <c r="AI944" s="42" t="str">
        <v>Ahmad bin Ali Stadium</v>
      </c>
      <c r="AJ944" s="42" t="str">
        <v>Al Rayyan</v>
      </c>
      <c r="AK944" s="42" t="str">
        <v>Croatia</v>
      </c>
      <c r="AL944" s="42">
        <v>0</v>
      </c>
      <c r="AM944" s="42">
        <v>0</v>
      </c>
      <c r="AN944" s="42" t="str">
        <v>Belgium</v>
      </c>
      <c r="AO944" s="42" t="str">
        <v>-</v>
      </c>
    </row>
    <row r="945" spans="24:41">
      <c r="X945" s="15">
        <v>943</v>
      </c>
      <c r="Y945" s="15" t="str">
        <v>Ramy Bensebaini</v>
      </c>
      <c r="Z945" s="15">
        <v>31</v>
      </c>
      <c r="AA945" s="15" t="str">
        <v>Algeria</v>
      </c>
      <c r="AB945" s="15" t="str">
        <v>CB</v>
      </c>
      <c r="AC945" s="15" t="str">
        <v>Borussia Dortmund</v>
      </c>
      <c r="AD945" s="15">
        <v>21</v>
      </c>
      <c r="AF945" s="42">
        <v>2022</v>
      </c>
      <c r="AG945" s="42" t="str">
        <v>01 Dec 2022 - 22:00</v>
      </c>
      <c r="AH945" s="42" t="str">
        <v>GROUP_STAGE</v>
      </c>
      <c r="AI945" s="42" t="str">
        <v>Al Bayt Stadium</v>
      </c>
      <c r="AJ945" s="42" t="str">
        <v>Al Khor</v>
      </c>
      <c r="AK945" s="42" t="str">
        <v>Costa Rica</v>
      </c>
      <c r="AL945" s="42">
        <v>2</v>
      </c>
      <c r="AM945" s="42">
        <v>4</v>
      </c>
      <c r="AN945" s="42" t="str">
        <v>Germany</v>
      </c>
      <c r="AO945" s="42" t="str">
        <v>-</v>
      </c>
    </row>
    <row r="946" spans="24:41">
      <c r="X946" s="15">
        <v>944</v>
      </c>
      <c r="Y946" s="15" t="str">
        <v>Samir Chergui</v>
      </c>
      <c r="Z946" s="15">
        <v>27</v>
      </c>
      <c r="AA946" s="15" t="str">
        <v>Algeria</v>
      </c>
      <c r="AB946" s="15" t="str">
        <v>CB</v>
      </c>
      <c r="AC946" s="15" t="str">
        <v>Paris FC</v>
      </c>
      <c r="AD946" s="15">
        <v>26</v>
      </c>
      <c r="AF946" s="42">
        <v>2022</v>
      </c>
      <c r="AG946" s="42" t="str">
        <v>01 Dec 2022 - 22:00</v>
      </c>
      <c r="AH946" s="42" t="str">
        <v>GROUP_STAGE</v>
      </c>
      <c r="AI946" s="42" t="str">
        <v>Khalifa International Stadium</v>
      </c>
      <c r="AJ946" s="42" t="str">
        <v>Al Rayyan</v>
      </c>
      <c r="AK946" s="42" t="str">
        <v>Japan</v>
      </c>
      <c r="AL946" s="42">
        <v>2</v>
      </c>
      <c r="AM946" s="42">
        <v>1</v>
      </c>
      <c r="AN946" s="42" t="str">
        <v>Spain</v>
      </c>
      <c r="AO946" s="42" t="str">
        <v>-</v>
      </c>
    </row>
    <row r="947" spans="24:41">
      <c r="X947" s="15">
        <v>945</v>
      </c>
      <c r="Y947" s="15" t="str">
        <v>Achref Abada</v>
      </c>
      <c r="Z947" s="15">
        <v>26</v>
      </c>
      <c r="AA947" s="15" t="str">
        <v>Algeria</v>
      </c>
      <c r="AB947" s="15" t="str">
        <v>LB</v>
      </c>
      <c r="AC947" s="15" t="str">
        <v>USM Alger</v>
      </c>
      <c r="AD947" s="15">
        <v>3</v>
      </c>
      <c r="AF947" s="42">
        <v>2022</v>
      </c>
      <c r="AG947" s="42" t="str">
        <v>02 Dec 2022 - 18:00</v>
      </c>
      <c r="AH947" s="42" t="str">
        <v>GROUP_STAGE</v>
      </c>
      <c r="AI947" s="42" t="str">
        <v>Al Janoub Stadium</v>
      </c>
      <c r="AJ947" s="42" t="str">
        <v>Al Wakrah</v>
      </c>
      <c r="AK947" s="42" t="str">
        <v>Ghana</v>
      </c>
      <c r="AL947" s="42">
        <v>0</v>
      </c>
      <c r="AM947" s="42">
        <v>2</v>
      </c>
      <c r="AN947" s="42" t="str">
        <v>Uruguay</v>
      </c>
      <c r="AO947" s="42" t="str">
        <v>-</v>
      </c>
    </row>
    <row r="948" spans="24:41">
      <c r="X948" s="15">
        <v>946</v>
      </c>
      <c r="Y948" s="15" t="str">
        <v>Jaouen Hadjam</v>
      </c>
      <c r="Z948" s="15">
        <v>23</v>
      </c>
      <c r="AA948" s="15" t="str">
        <v>Algeria</v>
      </c>
      <c r="AB948" s="15" t="str">
        <v>LB</v>
      </c>
      <c r="AC948" s="15" t="str">
        <v>Young Boys</v>
      </c>
      <c r="AD948" s="15">
        <v>13</v>
      </c>
      <c r="AF948" s="42">
        <v>2022</v>
      </c>
      <c r="AG948" s="42" t="str">
        <v>02 Dec 2022 - 18:00</v>
      </c>
      <c r="AH948" s="42" t="str">
        <v>GROUP_STAGE</v>
      </c>
      <c r="AI948" s="42" t="str">
        <v>Education City Stadium</v>
      </c>
      <c r="AJ948" s="42" t="str">
        <v>Al Rayyan</v>
      </c>
      <c r="AK948" s="42" t="str">
        <v>South Korea</v>
      </c>
      <c r="AL948" s="42">
        <v>2</v>
      </c>
      <c r="AM948" s="42">
        <v>1</v>
      </c>
      <c r="AN948" s="42" t="str">
        <v>Portugal</v>
      </c>
      <c r="AO948" s="42" t="str">
        <v>-</v>
      </c>
    </row>
    <row r="949" spans="24:41">
      <c r="X949" s="15">
        <v>947</v>
      </c>
      <c r="Y949" s="15" t="str">
        <v>Rayan Aït-Nouri</v>
      </c>
      <c r="Z949" s="15">
        <v>25</v>
      </c>
      <c r="AA949" s="15" t="str">
        <v>Algeria</v>
      </c>
      <c r="AB949" s="15" t="str">
        <v>LB</v>
      </c>
      <c r="AC949" s="15" t="str">
        <v>Manchester City</v>
      </c>
      <c r="AD949" s="15">
        <v>15</v>
      </c>
      <c r="AF949" s="42">
        <v>2022</v>
      </c>
      <c r="AG949" s="42" t="str">
        <v>02 Dec 2022 - 22:00</v>
      </c>
      <c r="AH949" s="42" t="str">
        <v>GROUP_STAGE</v>
      </c>
      <c r="AI949" s="42" t="str">
        <v>Lusail Stadium</v>
      </c>
      <c r="AJ949" s="42" t="str">
        <v>Lusail</v>
      </c>
      <c r="AK949" s="42" t="str">
        <v>Cameroon</v>
      </c>
      <c r="AL949" s="42">
        <v>1</v>
      </c>
      <c r="AM949" s="42">
        <v>0</v>
      </c>
      <c r="AN949" s="42" t="str">
        <v>Brazil</v>
      </c>
      <c r="AO949" s="42" t="str">
        <v>-</v>
      </c>
    </row>
    <row r="950" spans="24:41">
      <c r="X950" s="15">
        <v>948</v>
      </c>
      <c r="Y950" s="15" t="str">
        <v>Rafik Belghali</v>
      </c>
      <c r="Z950" s="15">
        <v>24</v>
      </c>
      <c r="AA950" s="15" t="str">
        <v>Algeria</v>
      </c>
      <c r="AB950" s="15" t="str">
        <v>RB</v>
      </c>
      <c r="AC950" s="15" t="str">
        <v>Hellas Verona</v>
      </c>
      <c r="AD950" s="15">
        <v>17</v>
      </c>
      <c r="AF950" s="42">
        <v>2022</v>
      </c>
      <c r="AG950" s="42" t="str">
        <v>02 Dec 2022 - 22:00</v>
      </c>
      <c r="AH950" s="42" t="str">
        <v>GROUP_STAGE</v>
      </c>
      <c r="AI950" s="42" t="str">
        <v>Stadium 974</v>
      </c>
      <c r="AJ950" s="42" t="str">
        <v>Doha</v>
      </c>
      <c r="AK950" s="42" t="str">
        <v>Serbia</v>
      </c>
      <c r="AL950" s="42">
        <v>2</v>
      </c>
      <c r="AM950" s="42">
        <v>3</v>
      </c>
      <c r="AN950" s="42" t="str">
        <v>Switzerland</v>
      </c>
      <c r="AO950" s="42" t="str">
        <v>-</v>
      </c>
    </row>
    <row r="951" spans="24:41">
      <c r="X951" s="15">
        <v>949</v>
      </c>
      <c r="Y951" s="15" t="str">
        <v>Ramiz Zerrouki</v>
      </c>
      <c r="Z951" s="15">
        <v>28</v>
      </c>
      <c r="AA951" s="15" t="str">
        <v>Algeria</v>
      </c>
      <c r="AB951" s="15" t="str">
        <v>CDM</v>
      </c>
      <c r="AC951" s="15" t="str">
        <v>Twente</v>
      </c>
      <c r="AD951" s="15">
        <v>6</v>
      </c>
      <c r="AF951" s="42">
        <v>2022</v>
      </c>
      <c r="AG951" s="42" t="str">
        <v>03 Dec 2022 - 18:00</v>
      </c>
      <c r="AH951" s="42" t="str">
        <v>ROUND_OF_16</v>
      </c>
      <c r="AI951" s="42" t="str">
        <v>Khalifa International Stadium</v>
      </c>
      <c r="AJ951" s="42" t="str">
        <v>Al Rayyan</v>
      </c>
      <c r="AK951" s="42" t="str">
        <v>Netherlands</v>
      </c>
      <c r="AL951" s="42">
        <v>3</v>
      </c>
      <c r="AM951" s="42">
        <v>1</v>
      </c>
      <c r="AN951" s="42" t="str">
        <v>United States</v>
      </c>
      <c r="AO951" s="42" t="str">
        <v>-</v>
      </c>
    </row>
    <row r="952" spans="24:41">
      <c r="X952" s="15">
        <v>950</v>
      </c>
      <c r="Y952" s="15" t="str">
        <v>Nabil Bentaleb</v>
      </c>
      <c r="Z952" s="15">
        <v>31</v>
      </c>
      <c r="AA952" s="15" t="str">
        <v>Algeria</v>
      </c>
      <c r="AB952" s="15" t="str">
        <v>CDM</v>
      </c>
      <c r="AC952" s="15" t="str">
        <v>Lille</v>
      </c>
      <c r="AD952" s="15">
        <v>19</v>
      </c>
      <c r="AF952" s="42">
        <v>2022</v>
      </c>
      <c r="AG952" s="42" t="str">
        <v>03 Dec 2022 - 22:00</v>
      </c>
      <c r="AH952" s="42" t="str">
        <v>ROUND_OF_16</v>
      </c>
      <c r="AI952" s="42" t="str">
        <v>Ahmad bin Ali Stadium</v>
      </c>
      <c r="AJ952" s="42" t="str">
        <v>Al Rayyan</v>
      </c>
      <c r="AK952" s="42" t="str">
        <v>Argentina</v>
      </c>
      <c r="AL952" s="42">
        <v>2</v>
      </c>
      <c r="AM952" s="42">
        <v>1</v>
      </c>
      <c r="AN952" s="42" t="str">
        <v>Australia</v>
      </c>
      <c r="AO952" s="42" t="str">
        <v>-</v>
      </c>
    </row>
    <row r="953" spans="24:41">
      <c r="X953" s="15">
        <v>951</v>
      </c>
      <c r="Y953" s="15" t="str">
        <v>Houssem Aouar</v>
      </c>
      <c r="Z953" s="15">
        <v>27</v>
      </c>
      <c r="AA953" s="15" t="str">
        <v>Algeria</v>
      </c>
      <c r="AB953" s="15" t="str">
        <v>CM</v>
      </c>
      <c r="AC953" s="15" t="str">
        <v>Al-Ittihad</v>
      </c>
      <c r="AD953" s="15">
        <v>8</v>
      </c>
      <c r="AF953" s="42">
        <v>2022</v>
      </c>
      <c r="AG953" s="42" t="str">
        <v>04 Dec 2022 - 18:00</v>
      </c>
      <c r="AH953" s="42" t="str">
        <v>ROUND_OF_16</v>
      </c>
      <c r="AI953" s="42" t="str">
        <v>Al Thumama Stadium</v>
      </c>
      <c r="AJ953" s="42" t="str">
        <v>Doha</v>
      </c>
      <c r="AK953" s="42" t="str">
        <v>France</v>
      </c>
      <c r="AL953" s="42">
        <v>3</v>
      </c>
      <c r="AM953" s="42">
        <v>1</v>
      </c>
      <c r="AN953" s="42" t="str">
        <v>Poland</v>
      </c>
      <c r="AO953" s="42" t="str">
        <v>-</v>
      </c>
    </row>
    <row r="954" spans="24:41">
      <c r="X954" s="15">
        <v>952</v>
      </c>
      <c r="Y954" s="15" t="str">
        <v>Hicham Boudaoui</v>
      </c>
      <c r="Z954" s="15">
        <v>26</v>
      </c>
      <c r="AA954" s="15" t="str">
        <v>Algeria</v>
      </c>
      <c r="AB954" s="15" t="str">
        <v>CM</v>
      </c>
      <c r="AC954" s="15" t="str">
        <v>Nice</v>
      </c>
      <c r="AD954" s="15">
        <v>14</v>
      </c>
      <c r="AF954" s="42">
        <v>2022</v>
      </c>
      <c r="AG954" s="42" t="str">
        <v>04 Dec 2022 - 22:00</v>
      </c>
      <c r="AH954" s="42" t="str">
        <v>ROUND_OF_16</v>
      </c>
      <c r="AI954" s="42" t="str">
        <v>Al Bayt Stadium</v>
      </c>
      <c r="AJ954" s="42" t="str">
        <v>Al Khor</v>
      </c>
      <c r="AK954" s="42" t="str">
        <v>England</v>
      </c>
      <c r="AL954" s="42">
        <v>3</v>
      </c>
      <c r="AM954" s="42">
        <v>0</v>
      </c>
      <c r="AN954" s="42" t="str">
        <v>Senegal</v>
      </c>
      <c r="AO954" s="42" t="str">
        <v>-</v>
      </c>
    </row>
    <row r="955" spans="24:41">
      <c r="X955" s="15">
        <v>953</v>
      </c>
      <c r="Y955" s="15" t="str">
        <v>Yacine Titraoui</v>
      </c>
      <c r="Z955" s="15">
        <v>22</v>
      </c>
      <c r="AA955" s="15" t="str">
        <v>Algeria</v>
      </c>
      <c r="AB955" s="15" t="str">
        <v>CM</v>
      </c>
      <c r="AC955" s="15" t="str">
        <v>Charleroi</v>
      </c>
      <c r="AD955" s="15">
        <v>24</v>
      </c>
      <c r="AF955" s="42">
        <v>2022</v>
      </c>
      <c r="AG955" s="42" t="str">
        <v>05 Dec 2022 - 18:00</v>
      </c>
      <c r="AH955" s="42" t="str">
        <v>ROUND_OF_16</v>
      </c>
      <c r="AI955" s="42" t="str">
        <v>Al Janoub Stadium</v>
      </c>
      <c r="AJ955" s="42" t="str">
        <v>Al Wakrah</v>
      </c>
      <c r="AK955" s="42" t="str">
        <v>Japan</v>
      </c>
      <c r="AL955" s="42">
        <v>1</v>
      </c>
      <c r="AM955" s="42">
        <v>1</v>
      </c>
      <c r="AN955" s="42" t="str">
        <v>Croatia</v>
      </c>
      <c r="AO955" s="42" t="str">
        <v>Croatia win on penalties (3 - 1)</v>
      </c>
    </row>
    <row r="956" spans="24:41">
      <c r="X956" s="15">
        <v>954</v>
      </c>
      <c r="Y956" s="15" t="str">
        <v>Farès Chaïbi</v>
      </c>
      <c r="Z956" s="15">
        <v>23</v>
      </c>
      <c r="AA956" s="15" t="str">
        <v>Algeria</v>
      </c>
      <c r="AB956" s="15" t="str">
        <v>CAM</v>
      </c>
      <c r="AC956" s="15" t="str">
        <v>Eintracht Frankfurt</v>
      </c>
      <c r="AD956" s="15">
        <v>10</v>
      </c>
      <c r="AF956" s="42">
        <v>2022</v>
      </c>
      <c r="AG956" s="42" t="str">
        <v>05 Dec 2022 - 22:00</v>
      </c>
      <c r="AH956" s="42" t="str">
        <v>ROUND_OF_16</v>
      </c>
      <c r="AI956" s="42" t="str">
        <v>Stadium 974</v>
      </c>
      <c r="AJ956" s="42" t="str">
        <v>Doha</v>
      </c>
      <c r="AK956" s="42" t="str">
        <v>Brazil</v>
      </c>
      <c r="AL956" s="42">
        <v>4</v>
      </c>
      <c r="AM956" s="42">
        <v>1</v>
      </c>
      <c r="AN956" s="42" t="str">
        <v>South Korea</v>
      </c>
      <c r="AO956" s="42" t="str">
        <v>-</v>
      </c>
    </row>
    <row r="957" spans="24:41">
      <c r="X957" s="15">
        <v>955</v>
      </c>
      <c r="Y957" s="15" t="str">
        <v>Ibrahim Maza</v>
      </c>
      <c r="Z957" s="15">
        <v>20</v>
      </c>
      <c r="AA957" s="15" t="str">
        <v>Algeria</v>
      </c>
      <c r="AB957" s="15" t="str">
        <v>CAM</v>
      </c>
      <c r="AC957" s="15" t="str">
        <v>Bayer Leverkusen</v>
      </c>
      <c r="AD957" s="15">
        <v>22</v>
      </c>
      <c r="AF957" s="42">
        <v>2022</v>
      </c>
      <c r="AG957" s="42" t="str">
        <v>06 Dec 2022 - 18:00</v>
      </c>
      <c r="AH957" s="42" t="str">
        <v>ROUND_OF_16</v>
      </c>
      <c r="AI957" s="42" t="str">
        <v>Education City Stadium</v>
      </c>
      <c r="AJ957" s="42" t="str">
        <v>Al Rayyan</v>
      </c>
      <c r="AK957" s="42" t="str">
        <v>Morocco</v>
      </c>
      <c r="AL957" s="42">
        <v>0</v>
      </c>
      <c r="AM957" s="42">
        <v>0</v>
      </c>
      <c r="AN957" s="42" t="str">
        <v>Spain</v>
      </c>
      <c r="AO957" s="42" t="str">
        <v>Morocco win on penalties (3 - 0)</v>
      </c>
    </row>
    <row r="958" spans="24:41">
      <c r="X958" s="15">
        <v>956</v>
      </c>
      <c r="Y958" s="15" t="str">
        <v>Anis Hadj Moussa</v>
      </c>
      <c r="Z958" s="15">
        <v>24</v>
      </c>
      <c r="AA958" s="15" t="str">
        <v>Algeria</v>
      </c>
      <c r="AB958" s="15" t="str">
        <v>LW</v>
      </c>
      <c r="AC958" s="15" t="str">
        <v>Feyenoord</v>
      </c>
      <c r="AD958" s="15">
        <v>11</v>
      </c>
      <c r="AF958" s="42">
        <v>2022</v>
      </c>
      <c r="AG958" s="42" t="str">
        <v>06 Dec 2022 - 22:00</v>
      </c>
      <c r="AH958" s="42" t="str">
        <v>ROUND_OF_16</v>
      </c>
      <c r="AI958" s="42" t="str">
        <v>Lusail Stadium</v>
      </c>
      <c r="AJ958" s="42" t="str">
        <v>Lusail</v>
      </c>
      <c r="AK958" s="42" t="str">
        <v>Portugal</v>
      </c>
      <c r="AL958" s="42">
        <v>6</v>
      </c>
      <c r="AM958" s="42">
        <v>1</v>
      </c>
      <c r="AN958" s="42" t="str">
        <v>Switzerland</v>
      </c>
      <c r="AO958" s="42" t="str">
        <v>-</v>
      </c>
    </row>
    <row r="959" spans="24:41">
      <c r="X959" s="15">
        <v>957</v>
      </c>
      <c r="Y959" s="15" t="str">
        <v>Adil Boulbina</v>
      </c>
      <c r="Z959" s="15">
        <v>23</v>
      </c>
      <c r="AA959" s="15" t="str">
        <v>Algeria</v>
      </c>
      <c r="AB959" s="15" t="str">
        <v>LW</v>
      </c>
      <c r="AC959" s="15" t="str">
        <v>Al-Duhail</v>
      </c>
      <c r="AD959" s="15">
        <v>20</v>
      </c>
      <c r="AF959" s="42">
        <v>2022</v>
      </c>
      <c r="AG959" s="42" t="str">
        <v>09 Dec 2022 - 18:00</v>
      </c>
      <c r="AH959" s="42" t="str">
        <v>QUARTER_FINALS</v>
      </c>
      <c r="AI959" s="42" t="str">
        <v>Education City Stadium</v>
      </c>
      <c r="AJ959" s="42" t="str">
        <v>Al Rayyan</v>
      </c>
      <c r="AK959" s="42" t="str">
        <v>Croatia</v>
      </c>
      <c r="AL959" s="42">
        <v>1</v>
      </c>
      <c r="AM959" s="42">
        <v>1</v>
      </c>
      <c r="AN959" s="42" t="str">
        <v>Brazil</v>
      </c>
      <c r="AO959" s="42" t="str">
        <v>Croatia win on penalties (4 - 2)</v>
      </c>
    </row>
    <row r="960" spans="24:41">
      <c r="X960" s="15">
        <v>958</v>
      </c>
      <c r="Y960" s="15" t="str">
        <v>Riyad Mahrez</v>
      </c>
      <c r="Z960" s="15">
        <v>35</v>
      </c>
      <c r="AA960" s="15" t="str">
        <v>Algeria</v>
      </c>
      <c r="AB960" s="15" t="str">
        <v>RW</v>
      </c>
      <c r="AC960" s="15" t="str">
        <v>Al-Ahli</v>
      </c>
      <c r="AD960" s="15">
        <v>7</v>
      </c>
      <c r="AF960" s="42">
        <v>2022</v>
      </c>
      <c r="AG960" s="42" t="str">
        <v>09 Dec 2022 - 22:00</v>
      </c>
      <c r="AH960" s="42" t="str">
        <v>QUARTER_FINALS</v>
      </c>
      <c r="AI960" s="42" t="str">
        <v>Lusail Stadium</v>
      </c>
      <c r="AJ960" s="42" t="str">
        <v>Lusail</v>
      </c>
      <c r="AK960" s="42" t="str">
        <v>Netherlands</v>
      </c>
      <c r="AL960" s="42">
        <v>2</v>
      </c>
      <c r="AM960" s="42">
        <v>2</v>
      </c>
      <c r="AN960" s="42" t="str">
        <v>Argentina</v>
      </c>
      <c r="AO960" s="42" t="str">
        <v>Argentina win on penalties (4 - 3)</v>
      </c>
    </row>
    <row r="961" spans="24:41">
      <c r="X961" s="15">
        <v>959</v>
      </c>
      <c r="Y961" s="15" t="str">
        <v>Farès Ghedjemis</v>
      </c>
      <c r="Z961" s="15">
        <v>23</v>
      </c>
      <c r="AA961" s="15" t="str">
        <v>Algeria</v>
      </c>
      <c r="AB961" s="15" t="str">
        <v>RW</v>
      </c>
      <c r="AC961" s="15" t="str">
        <v>Frosinone</v>
      </c>
      <c r="AD961" s="15">
        <v>25</v>
      </c>
      <c r="AF961" s="42">
        <v>2022</v>
      </c>
      <c r="AG961" s="42" t="str">
        <v>10 Dec 2022 - 18:00</v>
      </c>
      <c r="AH961" s="42" t="str">
        <v>QUARTER_FINALS</v>
      </c>
      <c r="AI961" s="42" t="str">
        <v>Al Thumama Stadium</v>
      </c>
      <c r="AJ961" s="42" t="str">
        <v>Doha</v>
      </c>
      <c r="AK961" s="42" t="str">
        <v>Morocco</v>
      </c>
      <c r="AL961" s="42">
        <v>1</v>
      </c>
      <c r="AM961" s="42">
        <v>0</v>
      </c>
      <c r="AN961" s="42" t="str">
        <v>Portugal</v>
      </c>
      <c r="AO961" s="42" t="str">
        <v>-</v>
      </c>
    </row>
    <row r="962" spans="24:41">
      <c r="X962" s="15">
        <v>960</v>
      </c>
      <c r="Y962" s="15" t="str">
        <v>Amine Gouiri</v>
      </c>
      <c r="Z962" s="15">
        <v>26</v>
      </c>
      <c r="AA962" s="15" t="str">
        <v>Algeria</v>
      </c>
      <c r="AB962" s="15" t="str">
        <v>ST</v>
      </c>
      <c r="AC962" s="15" t="str">
        <v>Marseille</v>
      </c>
      <c r="AD962" s="15">
        <v>9</v>
      </c>
      <c r="AF962" s="42">
        <v>2022</v>
      </c>
      <c r="AG962" s="42" t="str">
        <v>10 Dec 2022 - 22:00</v>
      </c>
      <c r="AH962" s="42" t="str">
        <v>QUARTER_FINALS</v>
      </c>
      <c r="AI962" s="42" t="str">
        <v>Al Bayt Stadium</v>
      </c>
      <c r="AJ962" s="42" t="str">
        <v>Al Khor</v>
      </c>
      <c r="AK962" s="42" t="str">
        <v>England</v>
      </c>
      <c r="AL962" s="42">
        <v>1</v>
      </c>
      <c r="AM962" s="42">
        <v>2</v>
      </c>
      <c r="AN962" s="42" t="str">
        <v>France</v>
      </c>
      <c r="AO962" s="42" t="str">
        <v>-</v>
      </c>
    </row>
    <row r="963" spans="24:41">
      <c r="X963" s="15">
        <v>961</v>
      </c>
      <c r="Y963" s="15" t="str">
        <v>Nadhir Benbouali</v>
      </c>
      <c r="Z963" s="15">
        <v>26</v>
      </c>
      <c r="AA963" s="15" t="str">
        <v>Algeria</v>
      </c>
      <c r="AB963" s="15" t="str">
        <v>ST</v>
      </c>
      <c r="AC963" s="15" t="str">
        <v>Gyōri ETO</v>
      </c>
      <c r="AD963" s="15">
        <v>12</v>
      </c>
      <c r="AF963" s="42">
        <v>2022</v>
      </c>
      <c r="AG963" s="42" t="str">
        <v>13 Dec 2022 - 22:00</v>
      </c>
      <c r="AH963" s="42" t="str">
        <v>SEMI_FINALS</v>
      </c>
      <c r="AI963" s="42" t="str">
        <v>Lusail Stadium</v>
      </c>
      <c r="AJ963" s="42" t="str">
        <v>Lusail</v>
      </c>
      <c r="AK963" s="42" t="str">
        <v>Argentina</v>
      </c>
      <c r="AL963" s="42">
        <v>3</v>
      </c>
      <c r="AM963" s="42">
        <v>0</v>
      </c>
      <c r="AN963" s="42" t="str">
        <v>Croatia</v>
      </c>
      <c r="AO963" s="42" t="str">
        <v>-</v>
      </c>
    </row>
    <row r="964" spans="24:41">
      <c r="X964" s="15">
        <v>962</v>
      </c>
      <c r="Y964" s="15" t="str">
        <v>Mohamed Amoura</v>
      </c>
      <c r="Z964" s="15">
        <v>26</v>
      </c>
      <c r="AA964" s="15" t="str">
        <v>Algeria</v>
      </c>
      <c r="AB964" s="15" t="str">
        <v>ST</v>
      </c>
      <c r="AC964" s="15" t="str">
        <v>VfL Wolfsburg</v>
      </c>
      <c r="AD964" s="15">
        <v>18</v>
      </c>
      <c r="AF964" s="42">
        <v>2022</v>
      </c>
      <c r="AG964" s="42" t="str">
        <v>14 Dec 2022 - 22:00</v>
      </c>
      <c r="AH964" s="42" t="str">
        <v>SEMI_FINALS</v>
      </c>
      <c r="AI964" s="42" t="str">
        <v>Al Bayt Stadium</v>
      </c>
      <c r="AJ964" s="42" t="str">
        <v>Al Khor</v>
      </c>
      <c r="AK964" s="42" t="str">
        <v>France</v>
      </c>
      <c r="AL964" s="42">
        <v>2</v>
      </c>
      <c r="AM964" s="42">
        <v>0</v>
      </c>
      <c r="AN964" s="42" t="str">
        <v>Morocco</v>
      </c>
      <c r="AO964" s="42" t="str">
        <v>-</v>
      </c>
    </row>
    <row r="965" spans="24:41">
      <c r="X965" s="15">
        <v>963</v>
      </c>
      <c r="Y965" s="15" t="str">
        <v>Juan Musso</v>
      </c>
      <c r="Z965" s="15">
        <v>32</v>
      </c>
      <c r="AA965" s="15" t="str">
        <v>Argentina</v>
      </c>
      <c r="AB965" s="15" t="str">
        <v>GK</v>
      </c>
      <c r="AC965" s="15" t="str">
        <v>Atlético Madrid</v>
      </c>
      <c r="AD965" s="15">
        <v>1</v>
      </c>
      <c r="AF965" s="42">
        <v>2022</v>
      </c>
      <c r="AG965" s="42" t="str">
        <v>17 Dec 2022 - 18:00</v>
      </c>
      <c r="AH965" s="42" t="str">
        <v>THIRD_PLACE</v>
      </c>
      <c r="AI965" s="42" t="str">
        <v>Khalifa International Stadium</v>
      </c>
      <c r="AJ965" s="42" t="str">
        <v>Al Rayyan</v>
      </c>
      <c r="AK965" s="42" t="str">
        <v>Croatia</v>
      </c>
      <c r="AL965" s="42">
        <v>2</v>
      </c>
      <c r="AM965" s="42">
        <v>1</v>
      </c>
      <c r="AN965" s="42" t="str">
        <v>Morocco</v>
      </c>
      <c r="AO965" s="42" t="str">
        <v>-</v>
      </c>
    </row>
    <row r="966" spans="24:41">
      <c r="X966" s="15">
        <v>964</v>
      </c>
      <c r="Y966" s="15" t="str">
        <v>Gerónimo Rulli</v>
      </c>
      <c r="Z966" s="15">
        <v>34</v>
      </c>
      <c r="AA966" s="15" t="str">
        <v>Argentina</v>
      </c>
      <c r="AB966" s="15" t="str">
        <v>GK</v>
      </c>
      <c r="AC966" s="15" t="str">
        <v>Marseille</v>
      </c>
      <c r="AD966" s="15">
        <v>12</v>
      </c>
      <c r="AF966" s="42">
        <v>2022</v>
      </c>
      <c r="AG966" s="42" t="str">
        <v>18 Dec 2022 - 18:00</v>
      </c>
      <c r="AH966" s="42" t="str">
        <v>FINAL</v>
      </c>
      <c r="AI966" s="42" t="str">
        <v>Lusail Stadium</v>
      </c>
      <c r="AJ966" s="42" t="str">
        <v>Lusail</v>
      </c>
      <c r="AK966" s="42" t="str">
        <v>Argentina</v>
      </c>
      <c r="AL966" s="42">
        <v>3</v>
      </c>
      <c r="AM966" s="42">
        <v>3</v>
      </c>
      <c r="AN966" s="42" t="str">
        <v>France</v>
      </c>
      <c r="AO966" s="42" t="str">
        <v>Argentina win on penalties (4 - 2)</v>
      </c>
    </row>
    <row r="967" spans="24:41">
      <c r="X967" s="15">
        <v>965</v>
      </c>
      <c r="Y967" s="15" t="str">
        <v>Emiliano Martínez</v>
      </c>
      <c r="Z967" s="15">
        <v>33</v>
      </c>
      <c r="AA967" s="15" t="str">
        <v>Argentina</v>
      </c>
      <c r="AB967" s="15" t="str">
        <v>GK</v>
      </c>
      <c r="AC967" s="15" t="str">
        <v>Aston Villa</v>
      </c>
      <c r="AD967" s="15">
        <v>23</v>
      </c>
      <c r="AF967" s="42">
        <v>2026</v>
      </c>
      <c r="AG967" s="42">
        <v>0</v>
      </c>
      <c r="AH967" s="42" t="str">
        <v>GROUP_STAGE</v>
      </c>
      <c r="AI967" s="42" t="str">
        <v>Mexico City Stadium</v>
      </c>
      <c r="AJ967" s="42" t="str">
        <v>Mexico City</v>
      </c>
      <c r="AK967" s="42" t="str">
        <v>Mexico</v>
      </c>
      <c r="AL967" s="42">
        <v>2</v>
      </c>
      <c r="AM967" s="42">
        <v>0</v>
      </c>
      <c r="AN967" s="42" t="str">
        <v>South Africa</v>
      </c>
      <c r="AO967" s="42" t="str">
        <v>-</v>
      </c>
    </row>
    <row r="968" spans="24:41">
      <c r="X968" s="15">
        <v>966</v>
      </c>
      <c r="Y968" s="15" t="str">
        <v>Marcos Senesi</v>
      </c>
      <c r="Z968" s="15">
        <v>29</v>
      </c>
      <c r="AA968" s="15" t="str">
        <v>Argentina</v>
      </c>
      <c r="AB968" s="15" t="str">
        <v>CB</v>
      </c>
      <c r="AC968" s="15" t="str">
        <v>Bournemouth</v>
      </c>
      <c r="AD968" s="15">
        <v>2</v>
      </c>
      <c r="AF968" s="42">
        <v>2026</v>
      </c>
      <c r="AG968" s="42">
        <v>0</v>
      </c>
      <c r="AH968" s="42" t="str">
        <v>GROUP_STAGE</v>
      </c>
      <c r="AI968" s="42" t="str">
        <v>Guadalajara Stadium</v>
      </c>
      <c r="AJ968" s="42" t="str">
        <v>Guadalajara</v>
      </c>
      <c r="AK968" s="42" t="str">
        <v>South Korea</v>
      </c>
      <c r="AL968" s="42">
        <v>2</v>
      </c>
      <c r="AM968" s="42">
        <v>1</v>
      </c>
      <c r="AN968" s="42" t="str">
        <v>Czech Republic</v>
      </c>
      <c r="AO968" s="42" t="str">
        <v>-</v>
      </c>
    </row>
    <row r="969" spans="24:41">
      <c r="X969" s="15">
        <v>967</v>
      </c>
      <c r="Y969" s="15" t="str">
        <v>Lisandro Martínez</v>
      </c>
      <c r="Z969" s="15">
        <v>28</v>
      </c>
      <c r="AA969" s="15" t="str">
        <v>Argentina</v>
      </c>
      <c r="AB969" s="15" t="str">
        <v>CB</v>
      </c>
      <c r="AC969" s="15" t="str">
        <v>Manchester United</v>
      </c>
      <c r="AD969" s="15">
        <v>6</v>
      </c>
      <c r="AF969" s="42">
        <v>2026</v>
      </c>
      <c r="AG969" s="42">
        <v>0</v>
      </c>
      <c r="AH969" s="42" t="str">
        <v>GROUP_STAGE</v>
      </c>
      <c r="AI969" s="42" t="str">
        <v>Toronto Stadium</v>
      </c>
      <c r="AJ969" s="42" t="str">
        <v>Toronto</v>
      </c>
      <c r="AK969" s="42" t="str">
        <v>Canada</v>
      </c>
      <c r="AL969" s="42">
        <v>1</v>
      </c>
      <c r="AM969" s="42">
        <v>1</v>
      </c>
      <c r="AN969" s="42" t="str">
        <v>Bosnia and Herzegovina</v>
      </c>
      <c r="AO969" s="42" t="str">
        <v>-</v>
      </c>
    </row>
    <row r="970" spans="24:41">
      <c r="X970" s="15">
        <v>968</v>
      </c>
      <c r="Y970" s="15" t="str">
        <v>Cristian Romero</v>
      </c>
      <c r="Z970" s="15">
        <v>28</v>
      </c>
      <c r="AA970" s="15" t="str">
        <v>Argentina</v>
      </c>
      <c r="AB970" s="15" t="str">
        <v>CB</v>
      </c>
      <c r="AC970" s="15" t="str">
        <v>Tottenham Hotspur</v>
      </c>
      <c r="AD970" s="15">
        <v>13</v>
      </c>
      <c r="AF970" s="42">
        <v>2026</v>
      </c>
      <c r="AG970" s="42">
        <v>0</v>
      </c>
      <c r="AH970" s="42" t="str">
        <v>GROUP_STAGE</v>
      </c>
      <c r="AI970" s="42" t="str">
        <v>Los Angeles Stadium</v>
      </c>
      <c r="AJ970" s="42" t="str">
        <v>Los Angeles</v>
      </c>
      <c r="AK970" s="42" t="str">
        <v>United States</v>
      </c>
      <c r="AL970" s="42">
        <v>4</v>
      </c>
      <c r="AM970" s="42">
        <v>1</v>
      </c>
      <c r="AN970" s="42" t="str">
        <v>Paraguay</v>
      </c>
      <c r="AO970" s="42" t="str">
        <v>-</v>
      </c>
    </row>
    <row r="971" spans="24:41">
      <c r="X971" s="15">
        <v>969</v>
      </c>
      <c r="Y971" s="15" t="str">
        <v>Nicolás Otamendi</v>
      </c>
      <c r="Z971" s="15">
        <v>38</v>
      </c>
      <c r="AA971" s="15" t="str">
        <v>Argentina</v>
      </c>
      <c r="AB971" s="15" t="str">
        <v>CB</v>
      </c>
      <c r="AC971" s="15" t="str">
        <v>Benfica</v>
      </c>
      <c r="AD971" s="15">
        <v>19</v>
      </c>
      <c r="AF971" s="42">
        <v>2026</v>
      </c>
      <c r="AG971" s="42">
        <v>0</v>
      </c>
      <c r="AH971" s="42" t="str">
        <v>GROUP_STAGE</v>
      </c>
      <c r="AI971" s="42" t="str">
        <v>Boston Stadium</v>
      </c>
      <c r="AJ971" s="42" t="str">
        <v>Boston</v>
      </c>
      <c r="AK971" s="42" t="str">
        <v>Haiti</v>
      </c>
      <c r="AL971" s="42">
        <v>0</v>
      </c>
      <c r="AM971" s="42">
        <v>1</v>
      </c>
      <c r="AN971" s="42" t="str">
        <v>Scotland</v>
      </c>
      <c r="AO971" s="42" t="str">
        <v>-</v>
      </c>
    </row>
    <row r="972" spans="24:41">
      <c r="X972" s="15">
        <v>970</v>
      </c>
      <c r="Y972" s="15" t="str">
        <v>Facundo Medina</v>
      </c>
      <c r="Z972" s="15">
        <v>27</v>
      </c>
      <c r="AA972" s="15" t="str">
        <v>Argentina</v>
      </c>
      <c r="AB972" s="15" t="str">
        <v>CB</v>
      </c>
      <c r="AC972" s="15" t="str">
        <v>Marseille</v>
      </c>
      <c r="AD972" s="15">
        <v>25</v>
      </c>
      <c r="AF972" s="42">
        <v>2026</v>
      </c>
      <c r="AG972" s="42">
        <v>0</v>
      </c>
      <c r="AH972" s="42" t="str">
        <v>GROUP_STAGE</v>
      </c>
      <c r="AI972" s="42" t="str">
        <v>BC Place Vancouver</v>
      </c>
      <c r="AJ972" s="42" t="str">
        <v>Vancouver</v>
      </c>
      <c r="AK972" s="42" t="str">
        <v>Australia</v>
      </c>
      <c r="AL972" s="42">
        <v>2</v>
      </c>
      <c r="AM972" s="42">
        <v>0</v>
      </c>
      <c r="AN972" s="42" t="str">
        <v>Turkey</v>
      </c>
      <c r="AO972" s="42" t="str">
        <v>-</v>
      </c>
    </row>
    <row r="973" spans="24:41">
      <c r="X973" s="15">
        <v>971</v>
      </c>
      <c r="Y973" s="15" t="str">
        <v>Nicolás Tagliafico</v>
      </c>
      <c r="Z973" s="15">
        <v>33</v>
      </c>
      <c r="AA973" s="15" t="str">
        <v>Argentina</v>
      </c>
      <c r="AB973" s="15" t="str">
        <v>LB</v>
      </c>
      <c r="AC973" s="15" t="str">
        <v>Lyon</v>
      </c>
      <c r="AD973" s="15">
        <v>3</v>
      </c>
      <c r="AF973" s="42">
        <v>2026</v>
      </c>
      <c r="AG973" s="42">
        <v>0</v>
      </c>
      <c r="AH973" s="42" t="str">
        <v>GROUP_STAGE</v>
      </c>
      <c r="AI973" s="42" t="str">
        <v>New York New Jersey Stadium</v>
      </c>
      <c r="AJ973" s="42" t="str">
        <v>New Jersey</v>
      </c>
      <c r="AK973" s="42" t="str">
        <v>Brazil</v>
      </c>
      <c r="AL973" s="42">
        <v>1</v>
      </c>
      <c r="AM973" s="42">
        <v>1</v>
      </c>
      <c r="AN973" s="42" t="str">
        <v>Morocco</v>
      </c>
      <c r="AO973" s="42" t="str">
        <v>-</v>
      </c>
    </row>
    <row r="974" spans="24:41">
      <c r="X974" s="15">
        <v>972</v>
      </c>
      <c r="Y974" s="15" t="str">
        <v>Valentín Barco</v>
      </c>
      <c r="Z974" s="15">
        <v>21</v>
      </c>
      <c r="AA974" s="15" t="str">
        <v>Argentina</v>
      </c>
      <c r="AB974" s="15" t="str">
        <v>LB</v>
      </c>
      <c r="AC974" s="15" t="str">
        <v>Strasbourg</v>
      </c>
      <c r="AD974" s="15">
        <v>8</v>
      </c>
      <c r="AF974" s="42">
        <v>2026</v>
      </c>
      <c r="AG974" s="42">
        <v>0</v>
      </c>
      <c r="AH974" s="42" t="str">
        <v>GROUP_STAGE</v>
      </c>
      <c r="AI974" s="42" t="str">
        <v>San Francisco Bay Area Stadium</v>
      </c>
      <c r="AJ974" s="42" t="str">
        <v>San Francisco</v>
      </c>
      <c r="AK974" s="42" t="str">
        <v>Qatar</v>
      </c>
      <c r="AL974" s="42">
        <v>1</v>
      </c>
      <c r="AM974" s="42">
        <v>1</v>
      </c>
      <c r="AN974" s="42" t="str">
        <v>Switzerland</v>
      </c>
      <c r="AO974" s="42" t="str">
        <v>-</v>
      </c>
    </row>
    <row r="975" spans="24:41">
      <c r="X975" s="15">
        <v>973</v>
      </c>
      <c r="Y975" s="15" t="str">
        <v>Gonzalo Montiel</v>
      </c>
      <c r="Z975" s="15">
        <v>29</v>
      </c>
      <c r="AA975" s="15" t="str">
        <v>Argentina</v>
      </c>
      <c r="AB975" s="15" t="str">
        <v>RB</v>
      </c>
      <c r="AC975" s="15" t="str">
        <v>River Plate</v>
      </c>
      <c r="AD975" s="15">
        <v>4</v>
      </c>
      <c r="AF975" s="42">
        <v>2026</v>
      </c>
      <c r="AG975" s="42">
        <v>0</v>
      </c>
      <c r="AH975" s="42" t="str">
        <v>GROUP_STAGE</v>
      </c>
      <c r="AI975" s="42" t="str">
        <v>Houston Stadium</v>
      </c>
      <c r="AJ975" s="42" t="str">
        <v>Houston</v>
      </c>
      <c r="AK975" s="42" t="str">
        <v>Germany</v>
      </c>
      <c r="AL975" s="42">
        <v>7</v>
      </c>
      <c r="AM975" s="42">
        <v>1</v>
      </c>
      <c r="AN975" s="42" t="str">
        <v>Curaçao</v>
      </c>
      <c r="AO975" s="42" t="str">
        <v>-</v>
      </c>
    </row>
    <row r="976" spans="24:41">
      <c r="X976" s="15">
        <v>974</v>
      </c>
      <c r="Y976" s="15" t="str">
        <v>Nahuel Molina</v>
      </c>
      <c r="Z976" s="15">
        <v>28</v>
      </c>
      <c r="AA976" s="15" t="str">
        <v>Argentina</v>
      </c>
      <c r="AB976" s="15" t="str">
        <v>RB</v>
      </c>
      <c r="AC976" s="15" t="str">
        <v>Atlético Madrid</v>
      </c>
      <c r="AD976" s="15">
        <v>26</v>
      </c>
      <c r="AF976" s="42">
        <v>2026</v>
      </c>
      <c r="AG976" s="42">
        <v>0</v>
      </c>
      <c r="AH976" s="42" t="str">
        <v>GROUP_STAGE</v>
      </c>
      <c r="AI976" s="42" t="str">
        <v>Dallas Stadium</v>
      </c>
      <c r="AJ976" s="42" t="str">
        <v>Dallas</v>
      </c>
      <c r="AK976" s="42" t="str">
        <v>Netherlands</v>
      </c>
      <c r="AL976" s="42">
        <v>2</v>
      </c>
      <c r="AM976" s="42">
        <v>2</v>
      </c>
      <c r="AN976" s="42" t="str">
        <v>Japan</v>
      </c>
      <c r="AO976" s="42" t="str">
        <v>-</v>
      </c>
    </row>
    <row r="977" spans="24:41">
      <c r="X977" s="15">
        <v>975</v>
      </c>
      <c r="Y977" s="15" t="str">
        <v>Leandro Paredes</v>
      </c>
      <c r="Z977" s="15">
        <v>31</v>
      </c>
      <c r="AA977" s="15" t="str">
        <v>Argentina</v>
      </c>
      <c r="AB977" s="15" t="str">
        <v>CDM</v>
      </c>
      <c r="AC977" s="15" t="str">
        <v>Boca Juniors</v>
      </c>
      <c r="AD977" s="15">
        <v>5</v>
      </c>
      <c r="AF977" s="42">
        <v>2026</v>
      </c>
      <c r="AG977" s="42">
        <v>0</v>
      </c>
      <c r="AH977" s="42" t="str">
        <v>GROUP_STAGE</v>
      </c>
      <c r="AI977" s="42" t="str">
        <v>Philadelphia Stadium</v>
      </c>
      <c r="AJ977" s="42" t="str">
        <v>Philadelphia</v>
      </c>
      <c r="AK977" s="42" t="str">
        <v>Côte d'Ivoire</v>
      </c>
      <c r="AL977" s="42">
        <v>1</v>
      </c>
      <c r="AM977" s="42">
        <v>0</v>
      </c>
      <c r="AN977" s="42" t="str">
        <v>Ecuador</v>
      </c>
      <c r="AO977" s="42" t="str">
        <v>-</v>
      </c>
    </row>
    <row r="978" spans="24:41">
      <c r="X978" s="15">
        <v>976</v>
      </c>
      <c r="Y978" s="15" t="str">
        <v>Enzo Fernández</v>
      </c>
      <c r="Z978" s="15">
        <v>25</v>
      </c>
      <c r="AA978" s="15" t="str">
        <v>Argentina</v>
      </c>
      <c r="AB978" s="15" t="str">
        <v>CDM</v>
      </c>
      <c r="AC978" s="15" t="str">
        <v>Chelsea</v>
      </c>
      <c r="AD978" s="15">
        <v>24</v>
      </c>
      <c r="AF978" s="42">
        <v>2026</v>
      </c>
      <c r="AG978" s="42">
        <v>0</v>
      </c>
      <c r="AH978" s="42" t="str">
        <v>GROUP_STAGE</v>
      </c>
      <c r="AI978" s="42" t="str">
        <v>Monterrey Stadium</v>
      </c>
      <c r="AJ978" s="42" t="str">
        <v>Monterrey</v>
      </c>
      <c r="AK978" s="42" t="str">
        <v>Sweden</v>
      </c>
      <c r="AL978" s="42">
        <v>5</v>
      </c>
      <c r="AM978" s="42">
        <v>1</v>
      </c>
      <c r="AN978" s="42" t="str">
        <v>Tunisia</v>
      </c>
      <c r="AO978" s="42" t="str">
        <v>-</v>
      </c>
    </row>
    <row r="979" spans="24:41">
      <c r="X979" s="15">
        <v>977</v>
      </c>
      <c r="Y979" s="15" t="str">
        <v>Rodrigo De Paul</v>
      </c>
      <c r="Z979" s="15">
        <v>32</v>
      </c>
      <c r="AA979" s="15" t="str">
        <v>Argentina</v>
      </c>
      <c r="AB979" s="15" t="str">
        <v>CM</v>
      </c>
      <c r="AC979" s="15" t="str">
        <v>Inter Miami CF</v>
      </c>
      <c r="AD979" s="15">
        <v>7</v>
      </c>
      <c r="AF979" s="42">
        <v>2026</v>
      </c>
      <c r="AG979" s="42">
        <v>0</v>
      </c>
      <c r="AH979" s="42" t="str">
        <v>GROUP_STAGE</v>
      </c>
      <c r="AI979" s="42" t="str">
        <v>Atlanta Stadium</v>
      </c>
      <c r="AJ979" s="42" t="str">
        <v>Atlanta</v>
      </c>
      <c r="AK979" s="42" t="str">
        <v>Spain</v>
      </c>
      <c r="AL979" s="42">
        <v>0</v>
      </c>
      <c r="AM979" s="42">
        <v>0</v>
      </c>
      <c r="AN979" s="42" t="str">
        <v>Cabo Verde</v>
      </c>
      <c r="AO979" s="42" t="str">
        <v>-</v>
      </c>
    </row>
    <row r="980" spans="24:41">
      <c r="X980" s="15">
        <v>978</v>
      </c>
      <c r="Y980" s="15" t="str">
        <v>Exequiel Palacios</v>
      </c>
      <c r="Z980" s="15">
        <v>27</v>
      </c>
      <c r="AA980" s="15" t="str">
        <v>Argentina</v>
      </c>
      <c r="AB980" s="15" t="str">
        <v>CM</v>
      </c>
      <c r="AC980" s="15" t="str">
        <v>Bayer Leverkusen</v>
      </c>
      <c r="AD980" s="15">
        <v>14</v>
      </c>
      <c r="AF980" s="42">
        <v>2026</v>
      </c>
      <c r="AG980" s="42">
        <v>0</v>
      </c>
      <c r="AH980" s="42" t="str">
        <v>GROUP_STAGE</v>
      </c>
      <c r="AI980" s="42" t="str">
        <v>Seattle Stadium</v>
      </c>
      <c r="AJ980" s="42" t="str">
        <v>Seattle</v>
      </c>
      <c r="AK980" s="42" t="str">
        <v>Belgium</v>
      </c>
      <c r="AL980" s="42">
        <v>1</v>
      </c>
      <c r="AM980" s="42">
        <v>1</v>
      </c>
      <c r="AN980" s="42" t="str">
        <v>Egypt</v>
      </c>
      <c r="AO980" s="42" t="str">
        <v>-</v>
      </c>
    </row>
    <row r="981" spans="24:41">
      <c r="X981" s="15">
        <v>979</v>
      </c>
      <c r="Y981" s="15" t="str">
        <v>Alexis Mac Allister</v>
      </c>
      <c r="Z981" s="15">
        <v>27</v>
      </c>
      <c r="AA981" s="15" t="str">
        <v>Argentina</v>
      </c>
      <c r="AB981" s="15" t="str">
        <v>CM</v>
      </c>
      <c r="AC981" s="15" t="str">
        <v>Liverpool</v>
      </c>
      <c r="AD981" s="15">
        <v>20</v>
      </c>
      <c r="AF981" s="42">
        <v>2026</v>
      </c>
      <c r="AG981" s="42">
        <v>0</v>
      </c>
      <c r="AH981" s="42" t="str">
        <v>GROUP_STAGE</v>
      </c>
      <c r="AI981" s="42" t="str">
        <v>Miami Stadium</v>
      </c>
      <c r="AJ981" s="42" t="str">
        <v>Miami</v>
      </c>
      <c r="AK981" s="42" t="str">
        <v>Saudi Arabia</v>
      </c>
      <c r="AL981" s="42">
        <v>1</v>
      </c>
      <c r="AM981" s="42">
        <v>1</v>
      </c>
      <c r="AN981" s="42" t="str">
        <v>Uruguay</v>
      </c>
      <c r="AO981" s="42" t="str">
        <v>-</v>
      </c>
    </row>
    <row r="982" spans="24:41">
      <c r="X982" s="15">
        <v>980</v>
      </c>
      <c r="Y982" s="15" t="str">
        <v>Giovani Lo Celso</v>
      </c>
      <c r="Z982" s="15">
        <v>30</v>
      </c>
      <c r="AA982" s="15" t="str">
        <v>Argentina</v>
      </c>
      <c r="AB982" s="15" t="str">
        <v>CAM</v>
      </c>
      <c r="AC982" s="15" t="str">
        <v>Real Betis</v>
      </c>
      <c r="AD982" s="15">
        <v>11</v>
      </c>
      <c r="AF982" s="42">
        <v>2026</v>
      </c>
      <c r="AG982" s="42">
        <v>0</v>
      </c>
      <c r="AH982" s="42" t="str">
        <v>GROUP_STAGE</v>
      </c>
      <c r="AI982" s="42" t="str">
        <v>Los Angeles Stadium</v>
      </c>
      <c r="AJ982" s="42" t="str">
        <v>Los Angeles</v>
      </c>
      <c r="AK982" s="42" t="str">
        <v>Iran</v>
      </c>
      <c r="AL982" s="42">
        <v>2</v>
      </c>
      <c r="AM982" s="42">
        <v>2</v>
      </c>
      <c r="AN982" s="42" t="str">
        <v>New Zealand</v>
      </c>
      <c r="AO982" s="42" t="str">
        <v>-</v>
      </c>
    </row>
    <row r="983" spans="24:41">
      <c r="X983" s="15">
        <v>981</v>
      </c>
      <c r="Y983" s="15" t="str">
        <v>Thiago Almada</v>
      </c>
      <c r="Z983" s="15">
        <v>25</v>
      </c>
      <c r="AA983" s="15" t="str">
        <v>Argentina</v>
      </c>
      <c r="AB983" s="15" t="str">
        <v>CAM</v>
      </c>
      <c r="AC983" s="15" t="str">
        <v>Atlético Madrid</v>
      </c>
      <c r="AD983" s="15">
        <v>16</v>
      </c>
      <c r="AF983" s="42">
        <v>2026</v>
      </c>
      <c r="AG983" s="42">
        <v>0</v>
      </c>
      <c r="AH983" s="42" t="str">
        <v>GROUP_STAGE</v>
      </c>
      <c r="AI983" s="42" t="str">
        <v>New York New Jersey Stadium</v>
      </c>
      <c r="AJ983" s="42" t="str">
        <v>New Jersey</v>
      </c>
      <c r="AK983" s="42" t="str">
        <v>France</v>
      </c>
      <c r="AL983" s="42">
        <v>3</v>
      </c>
      <c r="AM983" s="42">
        <v>1</v>
      </c>
      <c r="AN983" s="42" t="str">
        <v>Senegal</v>
      </c>
      <c r="AO983" s="42" t="str">
        <v>-</v>
      </c>
    </row>
    <row r="984" spans="24:41">
      <c r="X984" s="15">
        <v>982</v>
      </c>
      <c r="Y984" s="15" t="str">
        <v>Nico Paz</v>
      </c>
      <c r="Z984" s="15">
        <v>21</v>
      </c>
      <c r="AA984" s="15" t="str">
        <v>Argentina</v>
      </c>
      <c r="AB984" s="15" t="str">
        <v>CAM</v>
      </c>
      <c r="AC984" s="15" t="str">
        <v>Como</v>
      </c>
      <c r="AD984" s="15">
        <v>18</v>
      </c>
      <c r="AF984" s="42">
        <v>2026</v>
      </c>
      <c r="AG984" s="42">
        <v>0</v>
      </c>
      <c r="AH984" s="42" t="str">
        <v>GROUP_STAGE</v>
      </c>
      <c r="AI984" s="42" t="str">
        <v>Boston Stadium</v>
      </c>
      <c r="AJ984" s="42" t="str">
        <v>Boston</v>
      </c>
      <c r="AK984" s="42" t="str">
        <v>Iraq</v>
      </c>
      <c r="AL984" s="42">
        <v>1</v>
      </c>
      <c r="AM984" s="42">
        <v>4</v>
      </c>
      <c r="AN984" s="42" t="str">
        <v>Norway</v>
      </c>
      <c r="AO984" s="42" t="str">
        <v>-</v>
      </c>
    </row>
    <row r="985" spans="24:41">
      <c r="X985" s="15">
        <v>983</v>
      </c>
      <c r="Y985" s="15" t="str">
        <v>Nicolás González</v>
      </c>
      <c r="Z985" s="15">
        <v>28</v>
      </c>
      <c r="AA985" s="15" t="str">
        <v>Argentina</v>
      </c>
      <c r="AB985" s="15" t="str">
        <v>LW</v>
      </c>
      <c r="AC985" s="15" t="str">
        <v>Atlético Madrid</v>
      </c>
      <c r="AD985" s="15">
        <v>15</v>
      </c>
      <c r="AF985" s="42">
        <v>2026</v>
      </c>
      <c r="AG985" s="42">
        <v>0</v>
      </c>
      <c r="AH985" s="42" t="str">
        <v>GROUP_STAGE</v>
      </c>
      <c r="AI985" s="42" t="str">
        <v>Kansas City Stadium</v>
      </c>
      <c r="AJ985" s="42" t="str">
        <v>Kansas City</v>
      </c>
      <c r="AK985" s="42" t="str">
        <v>Argentina</v>
      </c>
      <c r="AL985" s="42">
        <v>3</v>
      </c>
      <c r="AM985" s="42">
        <v>0</v>
      </c>
      <c r="AN985" s="42" t="str">
        <v>Algeria</v>
      </c>
      <c r="AO985" s="42" t="str">
        <v>-</v>
      </c>
    </row>
    <row r="986" spans="24:41">
      <c r="X986" s="15">
        <v>984</v>
      </c>
      <c r="Y986" s="15" t="str">
        <v>Giuliano Simeone</v>
      </c>
      <c r="Z986" s="15">
        <v>23</v>
      </c>
      <c r="AA986" s="15" t="str">
        <v>Argentina</v>
      </c>
      <c r="AB986" s="15" t="str">
        <v>LW</v>
      </c>
      <c r="AC986" s="15" t="str">
        <v>Atlético Madrid</v>
      </c>
      <c r="AD986" s="15">
        <v>17</v>
      </c>
      <c r="AF986" s="42">
        <v>2026</v>
      </c>
      <c r="AG986" s="42">
        <v>0</v>
      </c>
      <c r="AH986" s="42" t="str">
        <v>GROUP_STAGE</v>
      </c>
      <c r="AI986" s="42" t="str">
        <v>San Francisco Bay Area Stadium</v>
      </c>
      <c r="AJ986" s="42" t="str">
        <v>San Francisco</v>
      </c>
      <c r="AK986" s="42" t="str">
        <v>Austria</v>
      </c>
      <c r="AL986" s="42">
        <v>3</v>
      </c>
      <c r="AM986" s="42">
        <v>1</v>
      </c>
      <c r="AN986" s="42" t="str">
        <v>Jordan</v>
      </c>
      <c r="AO986" s="42" t="str">
        <v>-</v>
      </c>
    </row>
    <row r="987" spans="24:41">
      <c r="X987" s="15">
        <v>985</v>
      </c>
      <c r="Y987" s="15" t="str">
        <v>Lionel Messi</v>
      </c>
      <c r="Z987" s="15">
        <v>38</v>
      </c>
      <c r="AA987" s="15" t="str">
        <v>Argentina</v>
      </c>
      <c r="AB987" s="15" t="str">
        <v>RW</v>
      </c>
      <c r="AC987" s="15" t="str">
        <v>Inter Miami CF</v>
      </c>
      <c r="AD987" s="15">
        <v>10</v>
      </c>
      <c r="AF987" s="42">
        <v>2026</v>
      </c>
      <c r="AG987" s="42">
        <v>0</v>
      </c>
      <c r="AH987" s="42" t="str">
        <v>GROUP_STAGE</v>
      </c>
      <c r="AI987" s="42" t="str">
        <v>Houston Stadium</v>
      </c>
      <c r="AJ987" s="42" t="str">
        <v>Houston</v>
      </c>
      <c r="AK987" s="42" t="str">
        <v>Portugal</v>
      </c>
      <c r="AL987" s="42">
        <v>1</v>
      </c>
      <c r="AM987" s="42">
        <v>1</v>
      </c>
      <c r="AN987" s="42" t="str">
        <v>Democratic Republic of the Congo</v>
      </c>
      <c r="AO987" s="42" t="str">
        <v>-</v>
      </c>
    </row>
    <row r="988" spans="24:41">
      <c r="X988" s="15">
        <v>986</v>
      </c>
      <c r="Y988" s="15" t="str">
        <v>Julián Alvarez</v>
      </c>
      <c r="Z988" s="15">
        <v>26</v>
      </c>
      <c r="AA988" s="15" t="str">
        <v>Argentina</v>
      </c>
      <c r="AB988" s="15" t="str">
        <v>ST</v>
      </c>
      <c r="AC988" s="15" t="str">
        <v>Atlético Madrid</v>
      </c>
      <c r="AD988" s="15">
        <v>9</v>
      </c>
      <c r="AF988" s="42">
        <v>2026</v>
      </c>
      <c r="AG988" s="42">
        <v>0</v>
      </c>
      <c r="AH988" s="42" t="str">
        <v>GROUP_STAGE</v>
      </c>
      <c r="AI988" s="42" t="str">
        <v>Dallas Stadium</v>
      </c>
      <c r="AJ988" s="42" t="str">
        <v>Dallas</v>
      </c>
      <c r="AK988" s="42" t="str">
        <v>England</v>
      </c>
      <c r="AL988" s="42">
        <v>4</v>
      </c>
      <c r="AM988" s="42">
        <v>2</v>
      </c>
      <c r="AN988" s="42" t="str">
        <v>Croatia</v>
      </c>
      <c r="AO988" s="42" t="str">
        <v>-</v>
      </c>
    </row>
    <row r="989" spans="24:41">
      <c r="X989" s="15">
        <v>987</v>
      </c>
      <c r="Y989" s="15" t="str">
        <v>José Manuel López</v>
      </c>
      <c r="Z989" s="15">
        <v>25</v>
      </c>
      <c r="AA989" s="15" t="str">
        <v>Argentina</v>
      </c>
      <c r="AB989" s="15" t="str">
        <v>ST</v>
      </c>
      <c r="AC989" s="15" t="str">
        <v>Palmeiras</v>
      </c>
      <c r="AD989" s="15">
        <v>21</v>
      </c>
      <c r="AF989" s="42">
        <v>2026</v>
      </c>
      <c r="AG989" s="42">
        <v>0</v>
      </c>
      <c r="AH989" s="42" t="str">
        <v>GROUP_STAGE</v>
      </c>
      <c r="AI989" s="42" t="str">
        <v>Toronto Stadium</v>
      </c>
      <c r="AJ989" s="42" t="str">
        <v>Toronto</v>
      </c>
      <c r="AK989" s="42" t="str">
        <v>Ghana</v>
      </c>
      <c r="AL989" s="42">
        <v>1</v>
      </c>
      <c r="AM989" s="42">
        <v>0</v>
      </c>
      <c r="AN989" s="42" t="str">
        <v>Panama</v>
      </c>
      <c r="AO989" s="42" t="str">
        <v>-</v>
      </c>
    </row>
    <row r="990" spans="24:41">
      <c r="X990" s="15">
        <v>988</v>
      </c>
      <c r="Y990" s="15" t="str">
        <v>Lautaro Martínez</v>
      </c>
      <c r="Z990" s="15">
        <v>28</v>
      </c>
      <c r="AA990" s="15" t="str">
        <v>Argentina</v>
      </c>
      <c r="AB990" s="15" t="str">
        <v>ST</v>
      </c>
      <c r="AC990" s="15" t="str">
        <v>Inter Milan</v>
      </c>
      <c r="AD990" s="15">
        <v>22</v>
      </c>
      <c r="AF990" s="42">
        <v>2026</v>
      </c>
      <c r="AG990" s="42">
        <v>0</v>
      </c>
      <c r="AH990" s="42" t="str">
        <v>GROUP_STAGE</v>
      </c>
      <c r="AI990" s="42" t="str">
        <v>Mexico City Stadium</v>
      </c>
      <c r="AJ990" s="42" t="str">
        <v>Mexico City</v>
      </c>
      <c r="AK990" s="42" t="str">
        <v>Uzbekistan</v>
      </c>
      <c r="AL990" s="42">
        <v>1</v>
      </c>
      <c r="AM990" s="42">
        <v>3</v>
      </c>
      <c r="AN990" s="42" t="str">
        <v>Colombia</v>
      </c>
      <c r="AO990" s="42" t="str">
        <v>-</v>
      </c>
    </row>
    <row r="991" spans="24:41">
      <c r="X991" s="15">
        <v>989</v>
      </c>
      <c r="Y991" s="15" t="str">
        <v>Alexander Schlager</v>
      </c>
      <c r="Z991" s="15">
        <v>30</v>
      </c>
      <c r="AA991" s="15" t="str">
        <v>Austria</v>
      </c>
      <c r="AB991" s="15" t="str">
        <v>GK</v>
      </c>
      <c r="AC991" s="15" t="str">
        <v>Red Bull Salzburg</v>
      </c>
      <c r="AD991" s="15">
        <v>1</v>
      </c>
      <c r="AF991" s="42">
        <v>2026</v>
      </c>
      <c r="AG991" s="42">
        <v>0</v>
      </c>
      <c r="AH991" s="42" t="str">
        <v>GROUP_STAGE</v>
      </c>
      <c r="AI991" s="42" t="str">
        <v>Atlanta Stadium</v>
      </c>
      <c r="AJ991" s="42" t="str">
        <v>Atlanta</v>
      </c>
      <c r="AK991" s="42" t="str">
        <v>Czech Republic</v>
      </c>
      <c r="AL991" s="42">
        <v>1</v>
      </c>
      <c r="AM991" s="42">
        <v>1</v>
      </c>
      <c r="AN991" s="42" t="str">
        <v>South Africa</v>
      </c>
      <c r="AO991" s="42" t="str">
        <v>-</v>
      </c>
    </row>
    <row r="992" spans="24:41">
      <c r="X992" s="15">
        <v>990</v>
      </c>
      <c r="Y992" s="15" t="str">
        <v>Florian Wiegele</v>
      </c>
      <c r="Z992" s="15">
        <v>25</v>
      </c>
      <c r="AA992" s="15" t="str">
        <v>Austria</v>
      </c>
      <c r="AB992" s="15" t="str">
        <v>GK</v>
      </c>
      <c r="AC992" s="15" t="str">
        <v>Viktoria Plzeň</v>
      </c>
      <c r="AD992" s="15">
        <v>12</v>
      </c>
      <c r="AF992" s="42">
        <v>2026</v>
      </c>
      <c r="AG992" s="42">
        <v>0</v>
      </c>
      <c r="AH992" s="42" t="str">
        <v>GROUP_STAGE</v>
      </c>
      <c r="AI992" s="42" t="str">
        <v>Los Angeles Stadium</v>
      </c>
      <c r="AJ992" s="42" t="str">
        <v>Los Angeles</v>
      </c>
      <c r="AK992" s="42" t="str">
        <v>Switzerland</v>
      </c>
      <c r="AL992" s="42">
        <v>4</v>
      </c>
      <c r="AM992" s="42">
        <v>1</v>
      </c>
      <c r="AN992" s="42" t="str">
        <v>Bosnia and Herzegovina</v>
      </c>
      <c r="AO992" s="42" t="str">
        <v>-</v>
      </c>
    </row>
    <row r="993" spans="24:41">
      <c r="X993" s="15">
        <v>991</v>
      </c>
      <c r="Y993" s="15" t="str">
        <v>Patrick Pentz</v>
      </c>
      <c r="Z993" s="15">
        <v>29</v>
      </c>
      <c r="AA993" s="15" t="str">
        <v>Austria</v>
      </c>
      <c r="AB993" s="15" t="str">
        <v>GK</v>
      </c>
      <c r="AC993" s="15" t="str">
        <v>Brøndby</v>
      </c>
      <c r="AD993" s="15">
        <v>13</v>
      </c>
      <c r="AF993" s="42">
        <v>2026</v>
      </c>
      <c r="AG993" s="42">
        <v>0</v>
      </c>
      <c r="AH993" s="42" t="str">
        <v>GROUP_STAGE</v>
      </c>
      <c r="AI993" s="42" t="str">
        <v>BC Place Vancouver</v>
      </c>
      <c r="AJ993" s="42" t="str">
        <v>Vancouver</v>
      </c>
      <c r="AK993" s="42" t="str">
        <v>Canada</v>
      </c>
      <c r="AL993" s="42">
        <v>6</v>
      </c>
      <c r="AM993" s="42">
        <v>0</v>
      </c>
      <c r="AN993" s="42" t="str">
        <v>Qatar</v>
      </c>
      <c r="AO993" s="42" t="str">
        <v>-</v>
      </c>
    </row>
    <row r="994" spans="24:41">
      <c r="X994" s="15">
        <v>992</v>
      </c>
      <c r="Y994" s="15" t="str">
        <v>David Affengruber</v>
      </c>
      <c r="Z994" s="15">
        <v>25</v>
      </c>
      <c r="AA994" s="15" t="str">
        <v>Austria</v>
      </c>
      <c r="AB994" s="15" t="str">
        <v>CB</v>
      </c>
      <c r="AC994" s="15" t="str">
        <v>Elche</v>
      </c>
      <c r="AD994" s="15">
        <v>2</v>
      </c>
      <c r="AF994" s="42">
        <v>2026</v>
      </c>
      <c r="AG994" s="42">
        <v>0</v>
      </c>
      <c r="AH994" s="42" t="str">
        <v>GROUP_STAGE</v>
      </c>
      <c r="AI994" s="42" t="str">
        <v>Guadalajara Stadium</v>
      </c>
      <c r="AJ994" s="42" t="str">
        <v>Guadalajara</v>
      </c>
      <c r="AK994" s="42" t="str">
        <v>Mexico</v>
      </c>
      <c r="AL994" s="42">
        <v>1</v>
      </c>
      <c r="AM994" s="42">
        <v>0</v>
      </c>
      <c r="AN994" s="42" t="str">
        <v>South Korea</v>
      </c>
      <c r="AO994" s="42" t="str">
        <v>-</v>
      </c>
    </row>
    <row r="995" spans="24:41">
      <c r="X995" s="15">
        <v>993</v>
      </c>
      <c r="Y995" s="15" t="str">
        <v>Kevin Danso</v>
      </c>
      <c r="Z995" s="15">
        <v>27</v>
      </c>
      <c r="AA995" s="15" t="str">
        <v>Austria</v>
      </c>
      <c r="AB995" s="15" t="str">
        <v>CB</v>
      </c>
      <c r="AC995" s="15" t="str">
        <v>Tottenham Hotspur</v>
      </c>
      <c r="AD995" s="15">
        <v>3</v>
      </c>
      <c r="AF995" s="42">
        <v>2026</v>
      </c>
      <c r="AG995" s="42">
        <v>0</v>
      </c>
      <c r="AH995" s="42" t="str">
        <v>GROUP_STAGE</v>
      </c>
      <c r="AI995" s="42" t="str">
        <v>Seattle Stadium</v>
      </c>
      <c r="AJ995" s="42" t="str">
        <v>Seattle</v>
      </c>
      <c r="AK995" s="42" t="str">
        <v>United States</v>
      </c>
      <c r="AL995" s="42">
        <v>1</v>
      </c>
      <c r="AM995" s="42">
        <v>0</v>
      </c>
      <c r="AN995" s="42" t="str">
        <v>Australia</v>
      </c>
      <c r="AO995" s="42" t="str">
        <v>-</v>
      </c>
    </row>
    <row r="996" spans="24:41">
      <c r="X996" s="15">
        <v>994</v>
      </c>
      <c r="Y996" s="15" t="str">
        <v>Philipp Lienhart</v>
      </c>
      <c r="Z996" s="15">
        <v>29</v>
      </c>
      <c r="AA996" s="15" t="str">
        <v>Austria</v>
      </c>
      <c r="AB996" s="15" t="str">
        <v>CB</v>
      </c>
      <c r="AC996" s="15" t="str">
        <v>SC Freiburg</v>
      </c>
      <c r="AD996" s="15">
        <v>15</v>
      </c>
      <c r="AF996" s="42">
        <v>2026</v>
      </c>
      <c r="AG996" s="42">
        <v>0</v>
      </c>
      <c r="AH996" s="42" t="str">
        <v>GROUP_STAGE</v>
      </c>
      <c r="AI996" s="42" t="str">
        <v>Boston Stadium</v>
      </c>
      <c r="AJ996" s="42" t="str">
        <v>Boston</v>
      </c>
      <c r="AK996" s="42" t="str">
        <v>Scotland</v>
      </c>
      <c r="AL996" s="42">
        <v>0</v>
      </c>
      <c r="AM996" s="42">
        <v>1</v>
      </c>
      <c r="AN996" s="42" t="str">
        <v>Morocco</v>
      </c>
      <c r="AO996" s="42" t="str">
        <v>-</v>
      </c>
    </row>
    <row r="997" spans="24:41">
      <c r="X997" s="15">
        <v>995</v>
      </c>
      <c r="Y997" s="15" t="str">
        <v>Marco Friedl</v>
      </c>
      <c r="Z997" s="15">
        <v>28</v>
      </c>
      <c r="AA997" s="15" t="str">
        <v>Austria</v>
      </c>
      <c r="AB997" s="15" t="str">
        <v>CB</v>
      </c>
      <c r="AC997" s="15" t="str">
        <v>Werder Bremen</v>
      </c>
      <c r="AD997" s="15">
        <v>23</v>
      </c>
      <c r="AF997" s="42">
        <v>2026</v>
      </c>
      <c r="AG997" s="42">
        <v>0</v>
      </c>
      <c r="AH997" s="42" t="str">
        <v>GROUP_STAGE</v>
      </c>
      <c r="AI997" s="42" t="str">
        <v>Philadelphia Stadium</v>
      </c>
      <c r="AJ997" s="42" t="str">
        <v>Philadelphia</v>
      </c>
      <c r="AK997" s="42" t="str">
        <v>Brazil</v>
      </c>
      <c r="AL997" s="42">
        <v>3</v>
      </c>
      <c r="AM997" s="42">
        <v>0</v>
      </c>
      <c r="AN997" s="42" t="str">
        <v>Haiti</v>
      </c>
      <c r="AO997" s="42" t="str">
        <v>-</v>
      </c>
    </row>
    <row r="998" spans="24:41">
      <c r="X998" s="15">
        <v>996</v>
      </c>
      <c r="Y998" s="15" t="str">
        <v>Michael Svoboda</v>
      </c>
      <c r="Z998" s="15">
        <v>27</v>
      </c>
      <c r="AA998" s="15" t="str">
        <v>Austria</v>
      </c>
      <c r="AB998" s="15" t="str">
        <v>CB</v>
      </c>
      <c r="AC998" s="15" t="str">
        <v>Venezia</v>
      </c>
      <c r="AD998" s="15">
        <v>25</v>
      </c>
      <c r="AF998" s="42">
        <v>2026</v>
      </c>
      <c r="AG998" s="42">
        <v>0</v>
      </c>
      <c r="AH998" s="42" t="str">
        <v>GROUP_STAGE</v>
      </c>
      <c r="AI998" s="42" t="str">
        <v>Santa Clara Stadium</v>
      </c>
      <c r="AJ998" s="42" t="str">
        <v>Santa Clara</v>
      </c>
      <c r="AK998" s="42" t="str">
        <v>Turkey</v>
      </c>
      <c r="AL998" s="42">
        <v>0</v>
      </c>
      <c r="AM998" s="42">
        <v>1</v>
      </c>
      <c r="AN998" s="42" t="str">
        <v>Paraguay</v>
      </c>
      <c r="AO998" s="42" t="str">
        <v>-</v>
      </c>
    </row>
    <row r="999" spans="24:41">
      <c r="X999" s="15">
        <v>997</v>
      </c>
      <c r="Y999" s="15" t="str">
        <v>David Alaba</v>
      </c>
      <c r="Z999" s="15">
        <v>33</v>
      </c>
      <c r="AA999" s="15" t="str">
        <v>Austria</v>
      </c>
      <c r="AB999" s="15" t="str">
        <v>LB</v>
      </c>
      <c r="AC999" s="15" t="str">
        <v>Real Madrid</v>
      </c>
      <c r="AD999" s="15">
        <v>8</v>
      </c>
      <c r="AF999" s="42">
        <v>2026</v>
      </c>
      <c r="AG999" s="42">
        <v>0</v>
      </c>
      <c r="AH999" s="42" t="str">
        <v>GROUP_STAGE</v>
      </c>
      <c r="AI999" s="42" t="str">
        <v>Houston Stadium</v>
      </c>
      <c r="AJ999" s="42" t="str">
        <v>Houston</v>
      </c>
      <c r="AK999" s="42" t="str">
        <v>Netherlands</v>
      </c>
      <c r="AL999" s="42">
        <v>5</v>
      </c>
      <c r="AM999" s="42">
        <v>1</v>
      </c>
      <c r="AN999" s="42" t="str">
        <v>Sweden</v>
      </c>
      <c r="AO999" s="42" t="str">
        <v>-</v>
      </c>
    </row>
    <row r="1000" spans="24:41">
      <c r="X1000" s="15">
        <v>998</v>
      </c>
      <c r="Y1000" s="15" t="str">
        <v>Phillipp Mwene</v>
      </c>
      <c r="Z1000" s="15">
        <v>32</v>
      </c>
      <c r="AA1000" s="15" t="str">
        <v>Austria</v>
      </c>
      <c r="AB1000" s="15" t="str">
        <v>LB</v>
      </c>
      <c r="AC1000" s="15" t="str">
        <v>Mainz 05</v>
      </c>
      <c r="AD1000" s="15">
        <v>16</v>
      </c>
      <c r="AF1000" s="42">
        <v>2026</v>
      </c>
      <c r="AG1000" s="42">
        <v>0</v>
      </c>
      <c r="AH1000" s="42" t="str">
        <v>GROUP_STAGE</v>
      </c>
      <c r="AI1000" s="42" t="str">
        <v>Toronto Stadium</v>
      </c>
      <c r="AJ1000" s="42" t="str">
        <v>Toronto</v>
      </c>
      <c r="AK1000" s="42" t="str">
        <v>Germany</v>
      </c>
      <c r="AL1000" s="42">
        <v>2</v>
      </c>
      <c r="AM1000" s="42">
        <v>1</v>
      </c>
      <c r="AN1000" s="42" t="str">
        <v>Côte d'Ivoire</v>
      </c>
      <c r="AO1000" s="42" t="str">
        <v>-</v>
      </c>
    </row>
    <row r="1001" spans="24:41">
      <c r="X1001" s="15">
        <v>999</v>
      </c>
      <c r="Y1001" s="15" t="str">
        <v>Stefan Posch</v>
      </c>
      <c r="Z1001" s="15">
        <v>29</v>
      </c>
      <c r="AA1001" s="15" t="str">
        <v>Austria</v>
      </c>
      <c r="AB1001" s="15" t="str">
        <v>RB</v>
      </c>
      <c r="AC1001" s="15" t="str">
        <v>Mainz 05</v>
      </c>
      <c r="AD1001" s="15">
        <v>5</v>
      </c>
      <c r="AF1001" s="42">
        <v>2026</v>
      </c>
      <c r="AG1001" s="42">
        <v>0</v>
      </c>
      <c r="AH1001" s="42" t="str">
        <v>GROUP_STAGE</v>
      </c>
      <c r="AI1001" s="42" t="str">
        <v>Kansas City Stadium</v>
      </c>
      <c r="AJ1001" s="42" t="str">
        <v>Kansas City</v>
      </c>
      <c r="AK1001" s="42" t="str">
        <v>Ecuador</v>
      </c>
      <c r="AL1001" s="42">
        <v>0</v>
      </c>
      <c r="AM1001" s="42">
        <v>0</v>
      </c>
      <c r="AN1001" s="42" t="str">
        <v>Curaçao</v>
      </c>
      <c r="AO1001" s="42" t="str">
        <v>-</v>
      </c>
    </row>
    <row r="1002" spans="24:41">
      <c r="X1002" s="15">
        <v>1000</v>
      </c>
      <c r="Y1002" s="15" t="str">
        <v>Xaver Schlager</v>
      </c>
      <c r="Z1002" s="15">
        <v>28</v>
      </c>
      <c r="AA1002" s="15" t="str">
        <v>Austria</v>
      </c>
      <c r="AB1002" s="15" t="str">
        <v>CDM</v>
      </c>
      <c r="AC1002" s="15" t="str">
        <v>RB Leipzig</v>
      </c>
      <c r="AD1002" s="15">
        <v>4</v>
      </c>
      <c r="AF1002" s="42">
        <v>2026</v>
      </c>
      <c r="AG1002" s="42">
        <v>0</v>
      </c>
      <c r="AH1002" s="42" t="str">
        <v>GROUP_STAGE</v>
      </c>
      <c r="AI1002" s="42" t="str">
        <v>Guadalajara Stadium</v>
      </c>
      <c r="AJ1002" s="42" t="str">
        <v>Guadalajara</v>
      </c>
      <c r="AK1002" s="42" t="str">
        <v>Tunisia</v>
      </c>
      <c r="AL1002" s="42">
        <v>0</v>
      </c>
      <c r="AM1002" s="42">
        <v>4</v>
      </c>
      <c r="AN1002" s="42" t="str">
        <v>Japan</v>
      </c>
      <c r="AO1002" s="42" t="str">
        <v>-</v>
      </c>
    </row>
    <row r="1003" spans="24:41">
      <c r="X1003" s="15">
        <v>1001</v>
      </c>
      <c r="Y1003" s="15" t="str">
        <v>Nicolas Seiwald</v>
      </c>
      <c r="Z1003" s="15">
        <v>25</v>
      </c>
      <c r="AA1003" s="15" t="str">
        <v>Austria</v>
      </c>
      <c r="AB1003" s="15" t="str">
        <v>CDM</v>
      </c>
      <c r="AC1003" s="15" t="str">
        <v>RB Leipzig</v>
      </c>
      <c r="AD1003" s="15">
        <v>6</v>
      </c>
      <c r="AF1003" s="42">
        <v>2026</v>
      </c>
      <c r="AG1003" s="42">
        <v>0</v>
      </c>
      <c r="AH1003" s="42" t="str">
        <v>GROUP_STAGE</v>
      </c>
      <c r="AI1003" s="42" t="str">
        <v>Atlanta Stadium</v>
      </c>
      <c r="AJ1003" s="42" t="str">
        <v>Atlanta</v>
      </c>
      <c r="AK1003" s="42" t="str">
        <v>Spain</v>
      </c>
      <c r="AL1003" s="42">
        <v>4</v>
      </c>
      <c r="AM1003" s="42">
        <v>0</v>
      </c>
      <c r="AN1003" s="42" t="str">
        <v>Saudi Arabia</v>
      </c>
      <c r="AO1003" s="42" t="str">
        <v>-</v>
      </c>
    </row>
    <row r="1004" spans="24:41">
      <c r="X1004" s="15">
        <v>1002</v>
      </c>
      <c r="Y1004" s="15" t="str">
        <v>Florian Grillitsch</v>
      </c>
      <c r="Z1004" s="15">
        <v>30</v>
      </c>
      <c r="AA1004" s="15" t="str">
        <v>Austria</v>
      </c>
      <c r="AB1004" s="15" t="str">
        <v>CDM</v>
      </c>
      <c r="AC1004" s="15" t="str">
        <v>Braga</v>
      </c>
      <c r="AD1004" s="15">
        <v>10</v>
      </c>
      <c r="AF1004" s="42">
        <v>2026</v>
      </c>
      <c r="AG1004" s="42">
        <v>0</v>
      </c>
      <c r="AH1004" s="42" t="str">
        <v>GROUP_STAGE</v>
      </c>
      <c r="AI1004" s="42" t="str">
        <v>Los Angeles Stadium</v>
      </c>
      <c r="AJ1004" s="42" t="str">
        <v>Los Angeles</v>
      </c>
      <c r="AK1004" s="42" t="str">
        <v>Belgium</v>
      </c>
      <c r="AL1004" s="42">
        <v>0</v>
      </c>
      <c r="AM1004" s="42">
        <v>0</v>
      </c>
      <c r="AN1004" s="42" t="str">
        <v>Iran</v>
      </c>
      <c r="AO1004" s="42" t="str">
        <v>-</v>
      </c>
    </row>
    <row r="1005" spans="24:41">
      <c r="X1005" s="15">
        <v>1003</v>
      </c>
      <c r="Y1005" s="15" t="str">
        <v>Marcel Sabitzer</v>
      </c>
      <c r="Z1005" s="15">
        <v>32</v>
      </c>
      <c r="AA1005" s="15" t="str">
        <v>Austria</v>
      </c>
      <c r="AB1005" s="15" t="str">
        <v>CM</v>
      </c>
      <c r="AC1005" s="15" t="str">
        <v>Borussia Dortmund</v>
      </c>
      <c r="AD1005" s="15">
        <v>9</v>
      </c>
      <c r="AF1005" s="42">
        <v>2026</v>
      </c>
      <c r="AG1005" s="42">
        <v>0</v>
      </c>
      <c r="AH1005" s="42" t="str">
        <v>GROUP_STAGE</v>
      </c>
      <c r="AI1005" s="42" t="str">
        <v>Miami Stadium</v>
      </c>
      <c r="AJ1005" s="42" t="str">
        <v>Miami</v>
      </c>
      <c r="AK1005" s="42" t="str">
        <v>Uruguay</v>
      </c>
      <c r="AL1005" s="42">
        <v>2</v>
      </c>
      <c r="AM1005" s="42">
        <v>2</v>
      </c>
      <c r="AN1005" s="42" t="str">
        <v>Cabo Verde</v>
      </c>
      <c r="AO1005" s="42" t="str">
        <v>-</v>
      </c>
    </row>
    <row r="1006" spans="24:41">
      <c r="X1006" s="15">
        <v>1004</v>
      </c>
      <c r="Y1006" s="15" t="str">
        <v>Konrad Laimer</v>
      </c>
      <c r="Z1006" s="15">
        <v>29</v>
      </c>
      <c r="AA1006" s="15" t="str">
        <v>Austria</v>
      </c>
      <c r="AB1006" s="15" t="str">
        <v>CM</v>
      </c>
      <c r="AC1006" s="15" t="str">
        <v>Bayern Munich</v>
      </c>
      <c r="AD1006" s="15">
        <v>20</v>
      </c>
      <c r="AF1006" s="42">
        <v>2026</v>
      </c>
      <c r="AG1006" s="42">
        <v>0</v>
      </c>
      <c r="AH1006" s="42" t="str">
        <v>GROUP_STAGE</v>
      </c>
      <c r="AI1006" s="42" t="str">
        <v>Vancouver Stadium</v>
      </c>
      <c r="AJ1006" s="42" t="str">
        <v>Vancouver</v>
      </c>
      <c r="AK1006" s="42" t="str">
        <v>New Zealand</v>
      </c>
      <c r="AL1006" s="42">
        <v>1</v>
      </c>
      <c r="AM1006" s="42">
        <v>3</v>
      </c>
      <c r="AN1006" s="42" t="str">
        <v>Egypt</v>
      </c>
      <c r="AO1006" s="42" t="str">
        <v>-</v>
      </c>
    </row>
    <row r="1007" spans="24:41">
      <c r="X1007" s="15">
        <v>1005</v>
      </c>
      <c r="Y1007" s="15" t="str">
        <v>Alexander Prass</v>
      </c>
      <c r="Z1007" s="15">
        <v>25</v>
      </c>
      <c r="AA1007" s="15" t="str">
        <v>Austria</v>
      </c>
      <c r="AB1007" s="15" t="str">
        <v>CM</v>
      </c>
      <c r="AC1007" s="15" t="str">
        <v>TSG Hoffenheim</v>
      </c>
      <c r="AD1007" s="15">
        <v>22</v>
      </c>
      <c r="AF1007" s="42">
        <v>2026</v>
      </c>
      <c r="AG1007" s="42">
        <v>0</v>
      </c>
      <c r="AH1007" s="42" t="str">
        <v>GROUP_STAGE</v>
      </c>
      <c r="AI1007" s="42" t="str">
        <v>Toronto Stadium</v>
      </c>
      <c r="AJ1007" s="42" t="str">
        <v>Toronto</v>
      </c>
      <c r="AK1007" s="42" t="str">
        <v>Panama</v>
      </c>
      <c r="AL1007" s="42">
        <v>0</v>
      </c>
      <c r="AM1007" s="42">
        <v>1</v>
      </c>
      <c r="AN1007" s="42" t="str">
        <v>Croatia</v>
      </c>
      <c r="AO1007" s="42" t="str">
        <v>-</v>
      </c>
    </row>
    <row r="1008" spans="24:41">
      <c r="X1008" s="15">
        <v>1006</v>
      </c>
      <c r="Y1008" s="15" t="str">
        <v>Alessandro Schöpf</v>
      </c>
      <c r="Z1008" s="15">
        <v>32</v>
      </c>
      <c r="AA1008" s="15" t="str">
        <v>Austria</v>
      </c>
      <c r="AB1008" s="15" t="str">
        <v>CM</v>
      </c>
      <c r="AC1008" s="15" t="str">
        <v>Wolfsberger AC</v>
      </c>
      <c r="AD1008" s="15">
        <v>26</v>
      </c>
      <c r="AF1008" s="42">
        <v>2026</v>
      </c>
      <c r="AG1008" s="42">
        <v>0</v>
      </c>
      <c r="AH1008" s="42" t="str">
        <v>GROUP_STAGE</v>
      </c>
      <c r="AI1008" s="42" t="str">
        <v>Zapopan Stadium</v>
      </c>
      <c r="AJ1008" s="42" t="str">
        <v>Zapopan</v>
      </c>
      <c r="AK1008" s="42" t="str">
        <v>Colombia</v>
      </c>
      <c r="AL1008" s="42">
        <v>1</v>
      </c>
      <c r="AM1008" s="42">
        <v>0</v>
      </c>
      <c r="AN1008" s="42" t="str">
        <v>Democratic Republic of the Congo</v>
      </c>
      <c r="AO1008" s="42" t="str">
        <v>-</v>
      </c>
    </row>
    <row r="1009" spans="24:41">
      <c r="X1009" s="15">
        <v>1007</v>
      </c>
      <c r="Y1009" s="15" t="str">
        <v>Carney Chukwuemeka</v>
      </c>
      <c r="Z1009" s="15">
        <v>22</v>
      </c>
      <c r="AA1009" s="15" t="str">
        <v>Austria</v>
      </c>
      <c r="AB1009" s="15" t="str">
        <v>CAM</v>
      </c>
      <c r="AC1009" s="15" t="str">
        <v>Borussia Dortmund</v>
      </c>
      <c r="AD1009" s="15">
        <v>17</v>
      </c>
      <c r="AF1009" s="42">
        <v>2026</v>
      </c>
      <c r="AG1009" s="42">
        <v>0</v>
      </c>
      <c r="AH1009" s="42" t="str">
        <v>GROUP_STAGE</v>
      </c>
      <c r="AI1009" s="42" t="str">
        <v>Vancouver Stadium</v>
      </c>
      <c r="AJ1009" s="42" t="str">
        <v>Vancouver</v>
      </c>
      <c r="AK1009" s="42" t="str">
        <v>Switzerland</v>
      </c>
      <c r="AL1009" s="42">
        <v>2</v>
      </c>
      <c r="AM1009" s="42">
        <v>1</v>
      </c>
      <c r="AN1009" s="42" t="str">
        <v>Canada</v>
      </c>
      <c r="AO1009" s="42" t="str">
        <v>-</v>
      </c>
    </row>
    <row r="1010" spans="24:41">
      <c r="X1010" s="15">
        <v>1008</v>
      </c>
      <c r="Y1010" s="15" t="str">
        <v>Romano Schmid</v>
      </c>
      <c r="Z1010" s="15">
        <v>26</v>
      </c>
      <c r="AA1010" s="15" t="str">
        <v>Austria</v>
      </c>
      <c r="AB1010" s="15" t="str">
        <v>CAM</v>
      </c>
      <c r="AC1010" s="15" t="str">
        <v>Werder Bremen</v>
      </c>
      <c r="AD1010" s="15">
        <v>18</v>
      </c>
      <c r="AF1010" s="42">
        <v>2026</v>
      </c>
      <c r="AG1010" s="42">
        <v>0</v>
      </c>
      <c r="AH1010" s="42" t="str">
        <v>GROUP_STAGE</v>
      </c>
      <c r="AI1010" s="42" t="str">
        <v>Seattle Stadium</v>
      </c>
      <c r="AJ1010" s="42" t="str">
        <v>Seattle</v>
      </c>
      <c r="AK1010" s="42" t="str">
        <v>Bosnia and Herzegovina</v>
      </c>
      <c r="AL1010" s="42">
        <v>3</v>
      </c>
      <c r="AM1010" s="42">
        <v>1</v>
      </c>
      <c r="AN1010" s="42" t="str">
        <v>Qatar</v>
      </c>
      <c r="AO1010" s="42" t="str">
        <v>-</v>
      </c>
    </row>
    <row r="1011" spans="24:41">
      <c r="X1011" s="15">
        <v>1009</v>
      </c>
      <c r="Y1011" s="15" t="str">
        <v>Dejan Ljubičić</v>
      </c>
      <c r="Z1011" s="15">
        <v>28</v>
      </c>
      <c r="AA1011" s="15" t="str">
        <v>Austria</v>
      </c>
      <c r="AB1011" s="15" t="str">
        <v>CAM</v>
      </c>
      <c r="AC1011" s="15" t="str">
        <v>Schalke 04</v>
      </c>
      <c r="AD1011" s="15">
        <v>19</v>
      </c>
      <c r="AF1011" s="42">
        <v>2026</v>
      </c>
      <c r="AG1011" s="42">
        <v>0</v>
      </c>
      <c r="AH1011" s="42" t="str">
        <v>GROUP_STAGE</v>
      </c>
      <c r="AI1011" s="42" t="str">
        <v>Atlanta Stadium</v>
      </c>
      <c r="AJ1011" s="42" t="str">
        <v>Atlanta</v>
      </c>
      <c r="AK1011" s="42" t="str">
        <v>Morocco</v>
      </c>
      <c r="AL1011" s="42">
        <v>4</v>
      </c>
      <c r="AM1011" s="42">
        <v>2</v>
      </c>
      <c r="AN1011" s="42" t="str">
        <v>Haiti</v>
      </c>
      <c r="AO1011" s="42" t="str">
        <v>-</v>
      </c>
    </row>
    <row r="1012" spans="24:41">
      <c r="X1012" s="15">
        <v>1010</v>
      </c>
      <c r="Y1012" s="15" t="str">
        <v>Paul Wanner</v>
      </c>
      <c r="Z1012" s="15">
        <v>20</v>
      </c>
      <c r="AA1012" s="15" t="str">
        <v>Austria</v>
      </c>
      <c r="AB1012" s="15" t="str">
        <v>CAM</v>
      </c>
      <c r="AC1012" s="15" t="str">
        <v>PSV Eindhoven</v>
      </c>
      <c r="AD1012" s="15">
        <v>24</v>
      </c>
      <c r="AF1012" s="42">
        <v>2026</v>
      </c>
      <c r="AG1012" s="42">
        <v>0</v>
      </c>
      <c r="AH1012" s="42" t="str">
        <v>GROUP_STAGE</v>
      </c>
      <c r="AI1012" s="42" t="str">
        <v>Miami Stadium</v>
      </c>
      <c r="AJ1012" s="42" t="str">
        <v>Miami</v>
      </c>
      <c r="AK1012" s="42" t="str">
        <v>Scotland</v>
      </c>
      <c r="AL1012" s="42">
        <v>0</v>
      </c>
      <c r="AM1012" s="42">
        <v>3</v>
      </c>
      <c r="AN1012" s="42" t="str">
        <v>Brazil</v>
      </c>
      <c r="AO1012" s="42" t="str">
        <v>-</v>
      </c>
    </row>
    <row r="1013" spans="24:41">
      <c r="X1013" s="15">
        <v>1011</v>
      </c>
      <c r="Y1013" s="15" t="str">
        <v>Patrick Wimmer</v>
      </c>
      <c r="Z1013" s="15">
        <v>25</v>
      </c>
      <c r="AA1013" s="15" t="str">
        <v>Austria</v>
      </c>
      <c r="AB1013" s="15" t="str">
        <v>LW</v>
      </c>
      <c r="AC1013" s="15" t="str">
        <v>VfL Wolfsburg</v>
      </c>
      <c r="AD1013" s="15">
        <v>21</v>
      </c>
      <c r="AF1013" s="42">
        <v>2026</v>
      </c>
      <c r="AG1013" s="42">
        <v>0</v>
      </c>
      <c r="AH1013" s="42" t="str">
        <v>GROUP_STAGE</v>
      </c>
      <c r="AI1013" s="42" t="str">
        <v>Guadalajara Stadium</v>
      </c>
      <c r="AJ1013" s="42" t="str">
        <v>Guadalajara</v>
      </c>
      <c r="AK1013" s="42" t="str">
        <v>South Africa</v>
      </c>
      <c r="AL1013" s="42">
        <v>1</v>
      </c>
      <c r="AM1013" s="42">
        <v>0</v>
      </c>
      <c r="AN1013" s="42" t="str">
        <v>South Korea</v>
      </c>
      <c r="AO1013" s="42" t="str">
        <v>-</v>
      </c>
    </row>
    <row r="1014" spans="24:41">
      <c r="X1014" s="15">
        <v>1012</v>
      </c>
      <c r="Y1014" s="15" t="str">
        <v>Marko Arnautović</v>
      </c>
      <c r="Z1014" s="15">
        <v>37</v>
      </c>
      <c r="AA1014" s="15" t="str">
        <v>Austria</v>
      </c>
      <c r="AB1014" s="15" t="str">
        <v>ST</v>
      </c>
      <c r="AC1014" s="15" t="str">
        <v>Red Star Belgrade</v>
      </c>
      <c r="AD1014" s="15">
        <v>7</v>
      </c>
      <c r="AF1014" s="42">
        <v>2026</v>
      </c>
      <c r="AG1014" s="42">
        <v>0</v>
      </c>
      <c r="AH1014" s="42" t="str">
        <v>GROUP_STAGE</v>
      </c>
      <c r="AI1014" s="42" t="str">
        <v>Mexico City Stadium</v>
      </c>
      <c r="AJ1014" s="42" t="str">
        <v>Mexico City</v>
      </c>
      <c r="AK1014" s="42" t="str">
        <v>Czech Republic</v>
      </c>
      <c r="AL1014" s="42">
        <v>0</v>
      </c>
      <c r="AM1014" s="42">
        <v>3</v>
      </c>
      <c r="AN1014" s="42" t="str">
        <v>Mexico</v>
      </c>
      <c r="AO1014" s="42" t="str">
        <v>-</v>
      </c>
    </row>
    <row r="1015" spans="24:41">
      <c r="X1015" s="15">
        <v>1013</v>
      </c>
      <c r="Y1015" s="15" t="str">
        <v>Michael Gregoritsch</v>
      </c>
      <c r="Z1015" s="15">
        <v>32</v>
      </c>
      <c r="AA1015" s="15" t="str">
        <v>Austria</v>
      </c>
      <c r="AB1015" s="15" t="str">
        <v>ST</v>
      </c>
      <c r="AC1015" s="15" t="str">
        <v>FC Augsburg</v>
      </c>
      <c r="AD1015" s="15">
        <v>11</v>
      </c>
      <c r="AF1015" s="42">
        <v>2026</v>
      </c>
      <c r="AG1015" s="42">
        <v>0</v>
      </c>
      <c r="AH1015" s="42" t="str">
        <v>GROUP_STAGE</v>
      </c>
      <c r="AI1015" s="42" t="str">
        <v>Philadelphia Stadium</v>
      </c>
      <c r="AJ1015" s="42" t="str">
        <v>Philadelphia</v>
      </c>
      <c r="AK1015" s="42" t="str">
        <v>Curaçao</v>
      </c>
      <c r="AL1015" s="42">
        <v>0</v>
      </c>
      <c r="AM1015" s="42">
        <v>2</v>
      </c>
      <c r="AN1015" s="42" t="str">
        <v>Côte d'Ivoire</v>
      </c>
      <c r="AO1015" s="42" t="str">
        <v>-</v>
      </c>
    </row>
    <row r="1016" spans="24:41">
      <c r="X1016" s="15">
        <v>1014</v>
      </c>
      <c r="Y1016" s="15" t="str">
        <v>Saša Kalajdžić</v>
      </c>
      <c r="Z1016" s="15">
        <v>28</v>
      </c>
      <c r="AA1016" s="15" t="str">
        <v>Austria</v>
      </c>
      <c r="AB1016" s="15" t="str">
        <v>ST</v>
      </c>
      <c r="AC1016" s="15" t="str">
        <v>LASK</v>
      </c>
      <c r="AD1016" s="15">
        <v>14</v>
      </c>
      <c r="AF1016" s="42">
        <v>2026</v>
      </c>
      <c r="AG1016" s="42">
        <v>0</v>
      </c>
      <c r="AH1016" s="42" t="str">
        <v>GROUP_STAGE</v>
      </c>
      <c r="AI1016" s="42" t="str">
        <v>New Jersey Stadium</v>
      </c>
      <c r="AJ1016" s="42" t="str">
        <v>New Jersey</v>
      </c>
      <c r="AK1016" s="42" t="str">
        <v>Ecuador</v>
      </c>
      <c r="AL1016" s="42">
        <v>2</v>
      </c>
      <c r="AM1016" s="42">
        <v>1</v>
      </c>
      <c r="AN1016" s="42" t="str">
        <v>Germany</v>
      </c>
      <c r="AO1016" s="42" t="str">
        <v>-</v>
      </c>
    </row>
    <row r="1017" spans="24:41">
      <c r="X1017" s="15">
        <v>1015</v>
      </c>
      <c r="Y1017" s="15" t="str">
        <v>Yazeed Abulaila</v>
      </c>
      <c r="Z1017" s="15">
        <v>33</v>
      </c>
      <c r="AA1017" s="15" t="str">
        <v>Jordan</v>
      </c>
      <c r="AB1017" s="15" t="str">
        <v>GK</v>
      </c>
      <c r="AC1017" s="15" t="str">
        <v>Al-Hussein</v>
      </c>
      <c r="AD1017" s="15">
        <v>1</v>
      </c>
      <c r="AF1017" s="42">
        <v>2026</v>
      </c>
      <c r="AG1017" s="42">
        <v>0</v>
      </c>
      <c r="AH1017" s="42" t="str">
        <v>GROUP_STAGE</v>
      </c>
      <c r="AI1017" s="42" t="str">
        <v>Kansas City Stadium</v>
      </c>
      <c r="AJ1017" s="42" t="str">
        <v>Kansas City</v>
      </c>
      <c r="AK1017" s="42" t="str">
        <v>Tunisia</v>
      </c>
      <c r="AL1017" s="42">
        <v>1</v>
      </c>
      <c r="AM1017" s="42">
        <v>3</v>
      </c>
      <c r="AN1017" s="42" t="str">
        <v>Netherlands</v>
      </c>
      <c r="AO1017" s="42" t="str">
        <v>-</v>
      </c>
    </row>
    <row r="1018" spans="24:41">
      <c r="X1018" s="15">
        <v>1016</v>
      </c>
      <c r="Y1018" s="15" t="str">
        <v>Nour Bani Attiah</v>
      </c>
      <c r="Z1018" s="15">
        <v>33</v>
      </c>
      <c r="AA1018" s="15" t="str">
        <v>Jordan</v>
      </c>
      <c r="AB1018" s="15" t="str">
        <v>GK</v>
      </c>
      <c r="AC1018" s="15" t="str">
        <v>Al-Faisaly</v>
      </c>
      <c r="AD1018" s="15">
        <v>12</v>
      </c>
      <c r="AF1018" s="42">
        <v>2026</v>
      </c>
      <c r="AG1018" s="42">
        <v>0</v>
      </c>
      <c r="AH1018" s="42" t="str">
        <v>GROUP_STAGE</v>
      </c>
      <c r="AI1018" s="42" t="str">
        <v>Arlington Stadium</v>
      </c>
      <c r="AJ1018" s="42" t="str">
        <v>Arlington</v>
      </c>
      <c r="AK1018" s="42" t="str">
        <v>Japan</v>
      </c>
      <c r="AL1018" s="42">
        <v>1</v>
      </c>
      <c r="AM1018" s="42">
        <v>1</v>
      </c>
      <c r="AN1018" s="42" t="str">
        <v>Sweden</v>
      </c>
      <c r="AO1018" s="42" t="str">
        <v>-</v>
      </c>
    </row>
    <row r="1019" spans="24:41">
      <c r="X1019" s="15">
        <v>1017</v>
      </c>
      <c r="Y1019" s="15" t="str">
        <v>Abdallah Al-Fakhouri</v>
      </c>
      <c r="Z1019" s="15">
        <v>26</v>
      </c>
      <c r="AA1019" s="15" t="str">
        <v>Jordan</v>
      </c>
      <c r="AB1019" s="15" t="str">
        <v>GK</v>
      </c>
      <c r="AC1019" s="15" t="str">
        <v>Al-Wehdat</v>
      </c>
      <c r="AD1019" s="15">
        <v>22</v>
      </c>
      <c r="AF1019" s="42">
        <v>2026</v>
      </c>
      <c r="AG1019" s="42">
        <v>0</v>
      </c>
      <c r="AH1019" s="42" t="str">
        <v>GROUP_STAGE</v>
      </c>
      <c r="AI1019" s="42" t="str">
        <v>Los Angeles Stadium</v>
      </c>
      <c r="AJ1019" s="42" t="str">
        <v>Los Angeles</v>
      </c>
      <c r="AK1019" s="42" t="str">
        <v>Turkey</v>
      </c>
      <c r="AL1019" s="42">
        <v>3</v>
      </c>
      <c r="AM1019" s="42">
        <v>2</v>
      </c>
      <c r="AN1019" s="42" t="str">
        <v>United States</v>
      </c>
      <c r="AO1019" s="42" t="str">
        <v>-</v>
      </c>
    </row>
    <row r="1020" spans="24:41">
      <c r="X1020" s="15">
        <v>1018</v>
      </c>
      <c r="Y1020" s="15" t="str">
        <v>Abdallah Nasib</v>
      </c>
      <c r="Z1020" s="15">
        <v>32</v>
      </c>
      <c r="AA1020" s="15" t="str">
        <v>Jordan</v>
      </c>
      <c r="AB1020" s="15" t="str">
        <v>CB</v>
      </c>
      <c r="AC1020" s="15" t="str">
        <v>Al-Zawraa</v>
      </c>
      <c r="AD1020" s="15">
        <v>3</v>
      </c>
      <c r="AF1020" s="42">
        <v>2026</v>
      </c>
      <c r="AG1020" s="42">
        <v>0</v>
      </c>
      <c r="AH1020" s="42" t="str">
        <v>GROUP_STAGE</v>
      </c>
      <c r="AI1020" s="42" t="str">
        <v>Santa Clara Stadium</v>
      </c>
      <c r="AJ1020" s="42" t="str">
        <v>Santa Clara</v>
      </c>
      <c r="AK1020" s="42" t="str">
        <v>Paraguay</v>
      </c>
      <c r="AL1020" s="42">
        <v>0</v>
      </c>
      <c r="AM1020" s="42">
        <v>0</v>
      </c>
      <c r="AN1020" s="42" t="str">
        <v>Australia</v>
      </c>
      <c r="AO1020" s="42" t="str">
        <v>-</v>
      </c>
    </row>
    <row r="1021" spans="24:41">
      <c r="X1021" s="15">
        <v>1019</v>
      </c>
      <c r="Y1021" s="15" t="str">
        <v>Husam Abu Dahab</v>
      </c>
      <c r="Z1021" s="15">
        <v>26</v>
      </c>
      <c r="AA1021" s="15" t="str">
        <v>Jordan</v>
      </c>
      <c r="AB1021" s="15" t="str">
        <v>CB</v>
      </c>
      <c r="AC1021" s="15" t="str">
        <v>Al-Faisaly</v>
      </c>
      <c r="AD1021" s="15">
        <v>4</v>
      </c>
      <c r="AF1021" s="42">
        <v>2026</v>
      </c>
      <c r="AG1021" s="42">
        <v>0</v>
      </c>
      <c r="AH1021" s="42" t="str">
        <v>GROUP_STAGE</v>
      </c>
      <c r="AI1021" s="42" t="str">
        <v>Foxborough Stadium</v>
      </c>
      <c r="AJ1021" s="42" t="str">
        <v>Foxborough</v>
      </c>
      <c r="AK1021" s="42" t="str">
        <v>Norway</v>
      </c>
      <c r="AL1021" s="42">
        <v>1</v>
      </c>
      <c r="AM1021" s="42">
        <v>4</v>
      </c>
      <c r="AN1021" s="42" t="str">
        <v>France</v>
      </c>
      <c r="AO1021" s="42" t="str">
        <v>-</v>
      </c>
    </row>
    <row r="1022" spans="24:41">
      <c r="X1022" s="15">
        <v>1020</v>
      </c>
      <c r="Y1022" s="15" t="str">
        <v>Yazan Al-Arab</v>
      </c>
      <c r="Z1022" s="15">
        <v>30</v>
      </c>
      <c r="AA1022" s="15" t="str">
        <v>Jordan</v>
      </c>
      <c r="AB1022" s="15" t="str">
        <v>CB</v>
      </c>
      <c r="AC1022" s="15" t="str">
        <v>FC Seoul</v>
      </c>
      <c r="AD1022" s="15">
        <v>5</v>
      </c>
      <c r="AF1022" s="42">
        <v>2026</v>
      </c>
      <c r="AG1022" s="42">
        <v>0</v>
      </c>
      <c r="AH1022" s="42" t="str">
        <v>GROUP_STAGE</v>
      </c>
      <c r="AI1022" s="42" t="str">
        <v>Toronto Stadium</v>
      </c>
      <c r="AJ1022" s="42" t="str">
        <v>Toronto</v>
      </c>
      <c r="AK1022" s="42" t="str">
        <v>Senegal</v>
      </c>
      <c r="AL1022" s="42">
        <v>5</v>
      </c>
      <c r="AM1022" s="42">
        <v>0</v>
      </c>
      <c r="AN1022" s="42" t="str">
        <v>Iraq</v>
      </c>
      <c r="AO1022" s="42" t="str">
        <v>-</v>
      </c>
    </row>
    <row r="1023" spans="24:41">
      <c r="X1023" s="15">
        <v>1021</v>
      </c>
      <c r="Y1023" s="15" t="str">
        <v>Salim Obaid</v>
      </c>
      <c r="Z1023" s="15">
        <v>34</v>
      </c>
      <c r="AA1023" s="15" t="str">
        <v>Jordan</v>
      </c>
      <c r="AB1023" s="15" t="str">
        <v>CB</v>
      </c>
      <c r="AC1023" s="15" t="str">
        <v>Al-Hussein</v>
      </c>
      <c r="AD1023" s="15">
        <v>17</v>
      </c>
      <c r="AF1023" s="42">
        <v>2026</v>
      </c>
      <c r="AG1023" s="42">
        <v>0</v>
      </c>
      <c r="AH1023" s="42" t="str">
        <v>GROUP_STAGE</v>
      </c>
      <c r="AI1023" s="42" t="str">
        <v>Houston Stadium</v>
      </c>
      <c r="AJ1023" s="42" t="str">
        <v>Houston</v>
      </c>
      <c r="AK1023" s="42" t="str">
        <v>Cabo Verde</v>
      </c>
      <c r="AL1023" s="42">
        <v>0</v>
      </c>
      <c r="AM1023" s="42">
        <v>0</v>
      </c>
      <c r="AN1023" s="42" t="str">
        <v>Saudi Arabia</v>
      </c>
      <c r="AO1023" s="42" t="str">
        <v>-</v>
      </c>
    </row>
    <row r="1024" spans="24:41">
      <c r="X1024" s="15">
        <v>1022</v>
      </c>
      <c r="Y1024" s="15" t="str">
        <v>Saed Al-Rosan</v>
      </c>
      <c r="Z1024" s="15">
        <v>29</v>
      </c>
      <c r="AA1024" s="15" t="str">
        <v>Jordan</v>
      </c>
      <c r="AB1024" s="15" t="str">
        <v>CB</v>
      </c>
      <c r="AC1024" s="15" t="str">
        <v>Al-Hussein</v>
      </c>
      <c r="AD1024" s="15">
        <v>19</v>
      </c>
      <c r="AF1024" s="42">
        <v>2026</v>
      </c>
      <c r="AG1024" s="42">
        <v>0</v>
      </c>
      <c r="AH1024" s="42" t="str">
        <v>GROUP_STAGE</v>
      </c>
      <c r="AI1024" s="42" t="str">
        <v>Zapopan Stadium</v>
      </c>
      <c r="AJ1024" s="42" t="str">
        <v>Zapopan</v>
      </c>
      <c r="AK1024" s="42" t="str">
        <v>Uruguay</v>
      </c>
      <c r="AL1024" s="42">
        <v>0</v>
      </c>
      <c r="AM1024" s="42">
        <v>1</v>
      </c>
      <c r="AN1024" s="42" t="str">
        <v>Spain</v>
      </c>
      <c r="AO1024" s="42" t="str">
        <v>-</v>
      </c>
    </row>
    <row r="1025" spans="24:41">
      <c r="X1025" s="15">
        <v>1023</v>
      </c>
      <c r="Y1025" s="15" t="str">
        <v>Mohammad Abu Hashish</v>
      </c>
      <c r="Z1025" s="15">
        <v>31</v>
      </c>
      <c r="AA1025" s="15" t="str">
        <v>Jordan</v>
      </c>
      <c r="AB1025" s="15" t="str">
        <v>LB</v>
      </c>
      <c r="AC1025" s="15" t="str">
        <v>Al-Karma</v>
      </c>
      <c r="AD1025" s="15">
        <v>2</v>
      </c>
      <c r="AF1025" s="42">
        <v>2026</v>
      </c>
      <c r="AG1025" s="42">
        <v>0</v>
      </c>
      <c r="AH1025" s="42" t="str">
        <v>GROUP_STAGE</v>
      </c>
      <c r="AI1025" s="42" t="str">
        <v>Vancouver Stadium</v>
      </c>
      <c r="AJ1025" s="42" t="str">
        <v>Vancouver</v>
      </c>
      <c r="AK1025" s="42" t="str">
        <v>New Zealand</v>
      </c>
      <c r="AL1025" s="42">
        <v>1</v>
      </c>
      <c r="AM1025" s="42">
        <v>5</v>
      </c>
      <c r="AN1025" s="42" t="str">
        <v>Belgium</v>
      </c>
      <c r="AO1025" s="42" t="str">
        <v>-</v>
      </c>
    </row>
    <row r="1026" spans="24:41">
      <c r="X1026" s="15">
        <v>1024</v>
      </c>
      <c r="Y1026" s="15" t="str">
        <v>Mo Abualnadi</v>
      </c>
      <c r="Z1026" s="15">
        <v>25</v>
      </c>
      <c r="AA1026" s="15" t="str">
        <v>Jordan</v>
      </c>
      <c r="AB1026" s="15" t="str">
        <v>LB</v>
      </c>
      <c r="AC1026" s="15" t="str">
        <v>Selangor</v>
      </c>
      <c r="AD1026" s="15">
        <v>16</v>
      </c>
      <c r="AF1026" s="42">
        <v>2026</v>
      </c>
      <c r="AG1026" s="42">
        <v>0</v>
      </c>
      <c r="AH1026" s="42" t="str">
        <v>GROUP_STAGE</v>
      </c>
      <c r="AI1026" s="42" t="str">
        <v>Seattle Stadium</v>
      </c>
      <c r="AJ1026" s="42" t="str">
        <v>Seattle</v>
      </c>
      <c r="AK1026" s="42" t="str">
        <v>Egypt</v>
      </c>
      <c r="AL1026" s="42">
        <v>1</v>
      </c>
      <c r="AM1026" s="42">
        <v>1</v>
      </c>
      <c r="AN1026" s="42" t="str">
        <v>Iran</v>
      </c>
      <c r="AO1026" s="42" t="str">
        <v>-</v>
      </c>
    </row>
    <row r="1027" spans="24:41">
      <c r="X1027" s="15">
        <v>1025</v>
      </c>
      <c r="Y1027" s="15" t="str">
        <v>Ihsan Haddad</v>
      </c>
      <c r="Z1027" s="15">
        <v>32</v>
      </c>
      <c r="AA1027" s="15" t="str">
        <v>Jordan</v>
      </c>
      <c r="AB1027" s="15" t="str">
        <v>RB</v>
      </c>
      <c r="AC1027" s="15" t="str">
        <v>Al-Hussein</v>
      </c>
      <c r="AD1027" s="15">
        <v>23</v>
      </c>
      <c r="AF1027" s="42">
        <v>2026</v>
      </c>
      <c r="AG1027" s="42">
        <v>0</v>
      </c>
      <c r="AH1027" s="42" t="str">
        <v>GROUP_STAGE</v>
      </c>
      <c r="AI1027" s="42" t="str">
        <v>New Jersey Stadium</v>
      </c>
      <c r="AJ1027" s="42" t="str">
        <v>New Jersey</v>
      </c>
      <c r="AK1027" s="42" t="str">
        <v>Panama</v>
      </c>
      <c r="AL1027" s="42">
        <v>0</v>
      </c>
      <c r="AM1027" s="42">
        <v>2</v>
      </c>
      <c r="AN1027" s="42" t="str">
        <v>England</v>
      </c>
      <c r="AO1027" s="42" t="str">
        <v>-</v>
      </c>
    </row>
    <row r="1028" spans="24:41">
      <c r="X1028" s="15">
        <v>1026</v>
      </c>
      <c r="Y1028" s="15" t="str">
        <v>Anas Badawi</v>
      </c>
      <c r="Z1028" s="15">
        <v>28</v>
      </c>
      <c r="AA1028" s="15" t="str">
        <v>Jordan</v>
      </c>
      <c r="AB1028" s="15" t="str">
        <v>RB</v>
      </c>
      <c r="AC1028" s="15" t="str">
        <v>Al-Faisaly</v>
      </c>
      <c r="AD1028" s="15">
        <v>26</v>
      </c>
      <c r="AF1028" s="42">
        <v>2026</v>
      </c>
      <c r="AG1028" s="42">
        <v>0</v>
      </c>
      <c r="AH1028" s="42" t="str">
        <v>GROUP_STAGE</v>
      </c>
      <c r="AI1028" s="42" t="str">
        <v>Philadelphia Stadium</v>
      </c>
      <c r="AJ1028" s="42" t="str">
        <v>Philadelphia</v>
      </c>
      <c r="AK1028" s="42" t="str">
        <v>Croatia</v>
      </c>
      <c r="AL1028" s="42">
        <v>2</v>
      </c>
      <c r="AM1028" s="42">
        <v>1</v>
      </c>
      <c r="AN1028" s="42" t="str">
        <v>Ghana</v>
      </c>
      <c r="AO1028" s="42" t="str">
        <v>-</v>
      </c>
    </row>
    <row r="1029" spans="24:41">
      <c r="X1029" s="15">
        <v>1027</v>
      </c>
      <c r="Y1029" s="15" t="str">
        <v>Rajaei Ayed</v>
      </c>
      <c r="Z1029" s="15">
        <v>32</v>
      </c>
      <c r="AA1029" s="15" t="str">
        <v>Jordan</v>
      </c>
      <c r="AB1029" s="15" t="str">
        <v>CDM</v>
      </c>
      <c r="AC1029" s="15" t="str">
        <v>Al-Hussein</v>
      </c>
      <c r="AD1029" s="15">
        <v>14</v>
      </c>
      <c r="AF1029" s="42">
        <v>2026</v>
      </c>
      <c r="AG1029" s="42">
        <v>0</v>
      </c>
      <c r="AH1029" s="42" t="str">
        <v>ROUND_OF_32</v>
      </c>
      <c r="AI1029" s="42" t="str">
        <v>Los Angeles Stadium</v>
      </c>
      <c r="AJ1029" s="42" t="str">
        <v>Los Angeles</v>
      </c>
      <c r="AK1029" s="42" t="str">
        <v>South Africa</v>
      </c>
      <c r="AL1029" s="42">
        <v>0</v>
      </c>
      <c r="AM1029" s="42">
        <v>1</v>
      </c>
      <c r="AN1029" s="42" t="str">
        <v>Canada</v>
      </c>
      <c r="AO1029" s="42" t="str">
        <v>-</v>
      </c>
    </row>
    <row r="1030" spans="24:41">
      <c r="X1030" s="15">
        <v>1028</v>
      </c>
      <c r="Y1030" s="15" t="str">
        <v>Nizar Al-Rashdan</v>
      </c>
      <c r="Z1030" s="15">
        <v>27</v>
      </c>
      <c r="AA1030" s="15" t="str">
        <v>Jordan</v>
      </c>
      <c r="AB1030" s="15" t="str">
        <v>CDM</v>
      </c>
      <c r="AC1030" s="15" t="str">
        <v>Qatar SC</v>
      </c>
      <c r="AD1030" s="15">
        <v>21</v>
      </c>
      <c r="AF1030" s="42">
        <v>2026</v>
      </c>
      <c r="AG1030" s="42">
        <v>0</v>
      </c>
      <c r="AH1030" s="42" t="str">
        <v>ROUND_OF_32</v>
      </c>
      <c r="AI1030" s="42" t="str">
        <v>Boston Stadium</v>
      </c>
      <c r="AJ1030" s="42" t="str">
        <v>Boston</v>
      </c>
      <c r="AK1030" s="42" t="str">
        <v>Germany</v>
      </c>
      <c r="AL1030" s="42">
        <v>1</v>
      </c>
      <c r="AM1030" s="42">
        <v>1</v>
      </c>
      <c r="AN1030" s="42" t="str">
        <v>Paraguay</v>
      </c>
      <c r="AO1030" s="42" t="str">
        <v>Paraguay win on penalties (4 - 3)</v>
      </c>
    </row>
    <row r="1031" spans="24:41">
      <c r="X1031" s="15">
        <v>1029</v>
      </c>
      <c r="Y1031" s="15" t="str">
        <v>Amer Jamous</v>
      </c>
      <c r="Z1031" s="15">
        <v>23</v>
      </c>
      <c r="AA1031" s="15" t="str">
        <v>Jordan</v>
      </c>
      <c r="AB1031" s="15" t="str">
        <v>CM</v>
      </c>
      <c r="AC1031" s="15" t="str">
        <v>Al-Zawraa</v>
      </c>
      <c r="AD1031" s="15">
        <v>6</v>
      </c>
      <c r="AF1031" s="42">
        <v>2026</v>
      </c>
      <c r="AG1031" s="42">
        <v>0</v>
      </c>
      <c r="AH1031" s="42" t="str">
        <v>ROUND_OF_32</v>
      </c>
      <c r="AI1031" s="42" t="str">
        <v>Estadio Monterrey</v>
      </c>
      <c r="AJ1031" s="42" t="str">
        <v>Monterrey</v>
      </c>
      <c r="AK1031" s="42" t="str">
        <v>Netherlands</v>
      </c>
      <c r="AL1031" s="42">
        <v>1</v>
      </c>
      <c r="AM1031" s="42">
        <v>1</v>
      </c>
      <c r="AN1031" s="42" t="str">
        <v>Morocco</v>
      </c>
      <c r="AO1031" s="42" t="str">
        <v>Morocco win on penalties (3 - 2)</v>
      </c>
    </row>
    <row r="1032" spans="24:41">
      <c r="X1032" s="15">
        <v>1030</v>
      </c>
      <c r="Y1032" s="15" t="str">
        <v>Noor Al-Rawabdeh</v>
      </c>
      <c r="Z1032" s="15">
        <v>29</v>
      </c>
      <c r="AA1032" s="15" t="str">
        <v>Jordan</v>
      </c>
      <c r="AB1032" s="15" t="str">
        <v>CM</v>
      </c>
      <c r="AC1032" s="15" t="str">
        <v>Selangor</v>
      </c>
      <c r="AD1032" s="15">
        <v>8</v>
      </c>
      <c r="AF1032" s="42">
        <v>2026</v>
      </c>
      <c r="AG1032" s="42">
        <v>0</v>
      </c>
      <c r="AH1032" s="42" t="str">
        <v>ROUND_OF_32</v>
      </c>
      <c r="AI1032" s="42" t="str">
        <v>Houston Stadium</v>
      </c>
      <c r="AJ1032" s="42" t="str">
        <v>Houston</v>
      </c>
      <c r="AK1032" s="42" t="str">
        <v>Brazil</v>
      </c>
      <c r="AL1032" s="42">
        <v>2</v>
      </c>
      <c r="AM1032" s="42">
        <v>1</v>
      </c>
      <c r="AN1032" s="42" t="str">
        <v>Japan</v>
      </c>
      <c r="AO1032" s="42" t="str">
        <v>-</v>
      </c>
    </row>
    <row r="1033" spans="24:41">
      <c r="X1033" s="15">
        <v>1031</v>
      </c>
      <c r="Y1033" s="15" t="str">
        <v>Ibrahim Sadeh</v>
      </c>
      <c r="Z1033" s="15">
        <v>26</v>
      </c>
      <c r="AA1033" s="15" t="str">
        <v>Jordan</v>
      </c>
      <c r="AB1033" s="15" t="str">
        <v>CM</v>
      </c>
      <c r="AC1033" s="15" t="str">
        <v>Al-Karma</v>
      </c>
      <c r="AD1033" s="15">
        <v>15</v>
      </c>
      <c r="AF1033" s="42">
        <v>2026</v>
      </c>
      <c r="AG1033" s="42">
        <v>0</v>
      </c>
      <c r="AH1033" s="42" t="str">
        <v>ROUND_OF_32</v>
      </c>
      <c r="AI1033" s="42" t="str">
        <v>New York New Jersey Stadium</v>
      </c>
      <c r="AJ1033" s="42" t="str">
        <v>New Jersey</v>
      </c>
      <c r="AK1033" s="42" t="str">
        <v>France</v>
      </c>
      <c r="AL1033" s="42">
        <v>3</v>
      </c>
      <c r="AM1033" s="42">
        <v>0</v>
      </c>
      <c r="AN1033" s="42" t="str">
        <v>Sweden</v>
      </c>
      <c r="AO1033" s="42" t="str">
        <v>-</v>
      </c>
    </row>
    <row r="1034" spans="24:41">
      <c r="X1034" s="15">
        <v>1032</v>
      </c>
      <c r="Y1034" s="15" t="str">
        <v>Mohammad Taha</v>
      </c>
      <c r="Z1034" s="15">
        <v>20</v>
      </c>
      <c r="AA1034" s="15" t="str">
        <v>Jordan</v>
      </c>
      <c r="AB1034" s="15" t="str">
        <v>CM</v>
      </c>
      <c r="AC1034" s="15" t="str">
        <v>Al-Hussein</v>
      </c>
      <c r="AD1034" s="15">
        <v>18</v>
      </c>
      <c r="AF1034" s="42">
        <v>2026</v>
      </c>
      <c r="AG1034" s="42">
        <v>0</v>
      </c>
      <c r="AH1034" s="42" t="str">
        <v>ROUND_OF_32</v>
      </c>
      <c r="AI1034" s="42" t="str">
        <v>Dallas Stadium</v>
      </c>
      <c r="AJ1034" s="42" t="str">
        <v>Dallas</v>
      </c>
      <c r="AK1034" s="42" t="str">
        <v>Côte d'Ivoire</v>
      </c>
      <c r="AL1034" s="42">
        <v>1</v>
      </c>
      <c r="AM1034" s="42">
        <v>2</v>
      </c>
      <c r="AN1034" s="42" t="str">
        <v>Norway</v>
      </c>
      <c r="AO1034" s="42" t="str">
        <v>-</v>
      </c>
    </row>
    <row r="1035" spans="24:41">
      <c r="X1035" s="15">
        <v>1033</v>
      </c>
      <c r="Y1035" s="15" t="str">
        <v>Mohammad Al-Dawoud</v>
      </c>
      <c r="Z1035" s="15">
        <v>34</v>
      </c>
      <c r="AA1035" s="15" t="str">
        <v>Jordan</v>
      </c>
      <c r="AB1035" s="15" t="str">
        <v>CM</v>
      </c>
      <c r="AC1035" s="15" t="str">
        <v>Al-Wehdat</v>
      </c>
      <c r="AD1035" s="15">
        <v>25</v>
      </c>
      <c r="AF1035" s="42">
        <v>2026</v>
      </c>
      <c r="AG1035" s="42">
        <v>0</v>
      </c>
      <c r="AH1035" s="42" t="str">
        <v>ROUND_OF_32</v>
      </c>
      <c r="AI1035" s="42" t="str">
        <v>Mexico City Stadium</v>
      </c>
      <c r="AJ1035" s="42" t="str">
        <v>Mexico City</v>
      </c>
      <c r="AK1035" s="42" t="str">
        <v>Mexico</v>
      </c>
      <c r="AL1035" s="42">
        <v>2</v>
      </c>
      <c r="AM1035" s="42">
        <v>0</v>
      </c>
      <c r="AN1035" s="42" t="str">
        <v>Ecuador</v>
      </c>
      <c r="AO1035" s="42" t="str">
        <v>-</v>
      </c>
    </row>
    <row r="1036" spans="24:41">
      <c r="X1036" s="15">
        <v>1034</v>
      </c>
      <c r="Y1036" s="15" t="str">
        <v>Mohannad Abu Taha</v>
      </c>
      <c r="Z1036" s="15">
        <v>23</v>
      </c>
      <c r="AA1036" s="15" t="str">
        <v>Jordan</v>
      </c>
      <c r="AB1036" s="15" t="str">
        <v>CAM</v>
      </c>
      <c r="AC1036" s="15" t="str">
        <v>Al-Quwa Al-Jawiya</v>
      </c>
      <c r="AD1036" s="15">
        <v>20</v>
      </c>
      <c r="AF1036" s="42">
        <v>2026</v>
      </c>
      <c r="AG1036" s="42">
        <v>0</v>
      </c>
      <c r="AH1036" s="42" t="str">
        <v>ROUND_OF_32</v>
      </c>
      <c r="AI1036" s="42" t="str">
        <v>Atlanta Stadium</v>
      </c>
      <c r="AJ1036" s="42" t="str">
        <v>Atlanta</v>
      </c>
      <c r="AK1036" s="42" t="str">
        <v>England</v>
      </c>
      <c r="AL1036" s="42">
        <v>2</v>
      </c>
      <c r="AM1036" s="42">
        <v>1</v>
      </c>
      <c r="AN1036" s="42" t="str">
        <v>Democratic Republic of the Congo</v>
      </c>
      <c r="AO1036" s="42" t="str">
        <v>-</v>
      </c>
    </row>
    <row r="1037" spans="24:41">
      <c r="X1037" s="15">
        <v>1035</v>
      </c>
      <c r="Y1037" s="15" t="str">
        <v>Mohammad Abu Zrayq</v>
      </c>
      <c r="Z1037" s="15">
        <v>28</v>
      </c>
      <c r="AA1037" s="15" t="str">
        <v>Jordan</v>
      </c>
      <c r="AB1037" s="15" t="str">
        <v>LW</v>
      </c>
      <c r="AC1037" s="15" t="str">
        <v>Raja Casablanca</v>
      </c>
      <c r="AD1037" s="15">
        <v>7</v>
      </c>
      <c r="AF1037" s="42">
        <v>2026</v>
      </c>
      <c r="AG1037" s="42">
        <v>0</v>
      </c>
      <c r="AH1037" s="42" t="str">
        <v>ROUND_OF_32</v>
      </c>
      <c r="AI1037" s="42" t="str">
        <v>Seattle Stadium</v>
      </c>
      <c r="AJ1037" s="42" t="str">
        <v>Seattle</v>
      </c>
      <c r="AK1037" s="42" t="str">
        <v>Belgium</v>
      </c>
      <c r="AL1037" s="42">
        <v>3</v>
      </c>
      <c r="AM1037" s="42">
        <v>2</v>
      </c>
      <c r="AN1037" s="42" t="str">
        <v>Senegal</v>
      </c>
      <c r="AO1037" s="42" t="str">
        <v>Belgium win after extra time</v>
      </c>
    </row>
    <row r="1038" spans="24:41">
      <c r="X1038" s="15">
        <v>1036</v>
      </c>
      <c r="Y1038" s="15" t="str">
        <v>Mahmoud Al-Mardi</v>
      </c>
      <c r="Z1038" s="15">
        <v>32</v>
      </c>
      <c r="AA1038" s="15" t="str">
        <v>Jordan</v>
      </c>
      <c r="AB1038" s="15" t="str">
        <v>LW</v>
      </c>
      <c r="AC1038" s="15" t="str">
        <v>Al-Hussein</v>
      </c>
      <c r="AD1038" s="15">
        <v>13</v>
      </c>
      <c r="AF1038" s="42">
        <v>2026</v>
      </c>
      <c r="AG1038" s="42">
        <v>0</v>
      </c>
      <c r="AH1038" s="42" t="str">
        <v>ROUND_OF_32</v>
      </c>
      <c r="AI1038" s="42" t="str">
        <v>San Francisco Bay Area Stadium</v>
      </c>
      <c r="AJ1038" s="42" t="str">
        <v>San Francisco</v>
      </c>
      <c r="AK1038" s="42" t="str">
        <v>United States</v>
      </c>
      <c r="AL1038" s="42">
        <v>2</v>
      </c>
      <c r="AM1038" s="42">
        <v>0</v>
      </c>
      <c r="AN1038" s="42" t="str">
        <v>Bosnia and Herzegovina</v>
      </c>
      <c r="AO1038" s="42" t="str">
        <v>-</v>
      </c>
    </row>
    <row r="1039" spans="24:41">
      <c r="X1039" s="15">
        <v>1037</v>
      </c>
      <c r="Y1039" s="15" t="str">
        <v>Musa Al-Taamari</v>
      </c>
      <c r="Z1039" s="15">
        <v>29</v>
      </c>
      <c r="AA1039" s="15" t="str">
        <v>Jordan</v>
      </c>
      <c r="AB1039" s="15" t="str">
        <v>RW</v>
      </c>
      <c r="AC1039" s="15" t="str">
        <v>Rennes</v>
      </c>
      <c r="AD1039" s="15">
        <v>10</v>
      </c>
      <c r="AF1039" s="42">
        <v>2026</v>
      </c>
      <c r="AG1039" s="42">
        <v>0</v>
      </c>
      <c r="AH1039" s="42" t="str">
        <v>ROUND_OF_32</v>
      </c>
      <c r="AI1039" s="42" t="str">
        <v>Toronto Stadium</v>
      </c>
      <c r="AJ1039" s="42" t="str">
        <v>Toronto</v>
      </c>
      <c r="AK1039" s="42" t="str">
        <v>Portugal</v>
      </c>
      <c r="AL1039" s="42">
        <v>2</v>
      </c>
      <c r="AM1039" s="42">
        <v>1</v>
      </c>
      <c r="AN1039" s="42" t="str">
        <v>Croatia</v>
      </c>
      <c r="AO1039" s="42" t="str">
        <v>-</v>
      </c>
    </row>
    <row r="1040" spans="24:41">
      <c r="X1040" s="15">
        <v>1038</v>
      </c>
      <c r="Y1040" s="15" t="str">
        <v>Odeh Al-Fakhouri</v>
      </c>
      <c r="Z1040" s="15">
        <v>20</v>
      </c>
      <c r="AA1040" s="15" t="str">
        <v>Jordan</v>
      </c>
      <c r="AB1040" s="15" t="str">
        <v>RW</v>
      </c>
      <c r="AC1040" s="15" t="str">
        <v>Pyramids</v>
      </c>
      <c r="AD1040" s="15">
        <v>11</v>
      </c>
      <c r="AF1040" s="42">
        <v>2026</v>
      </c>
      <c r="AG1040" s="42">
        <v>0</v>
      </c>
      <c r="AH1040" s="42" t="str">
        <v>ROUND_OF_32</v>
      </c>
      <c r="AI1040" s="42" t="str">
        <v>Los Angeles Stadium</v>
      </c>
      <c r="AJ1040" s="42" t="str">
        <v>Los Angeles</v>
      </c>
      <c r="AK1040" s="42" t="str">
        <v>Spain</v>
      </c>
      <c r="AL1040" s="42">
        <v>3</v>
      </c>
      <c r="AM1040" s="42">
        <v>0</v>
      </c>
      <c r="AN1040" s="42" t="str">
        <v>Austria</v>
      </c>
      <c r="AO1040" s="42" t="str">
        <v>-</v>
      </c>
    </row>
    <row r="1041" spans="24:41">
      <c r="X1041" s="15">
        <v>1039</v>
      </c>
      <c r="Y1041" s="15" t="str">
        <v>Ali Azaizeh</v>
      </c>
      <c r="Z1041" s="15">
        <v>22</v>
      </c>
      <c r="AA1041" s="15" t="str">
        <v>Jordan</v>
      </c>
      <c r="AB1041" s="15" t="str">
        <v>RW</v>
      </c>
      <c r="AC1041" s="15" t="str">
        <v>Al-Shabab</v>
      </c>
      <c r="AD1041" s="15">
        <v>24</v>
      </c>
      <c r="AF1041" s="42">
        <v>2026</v>
      </c>
      <c r="AG1041" s="42">
        <v>0</v>
      </c>
      <c r="AH1041" s="42" t="str">
        <v>ROUND_OF_32</v>
      </c>
      <c r="AI1041" s="42" t="str">
        <v>BC Place Vancouver</v>
      </c>
      <c r="AJ1041" s="42" t="str">
        <v>Vancouver</v>
      </c>
      <c r="AK1041" s="42" t="str">
        <v>Switzerland</v>
      </c>
      <c r="AL1041" s="42">
        <v>2</v>
      </c>
      <c r="AM1041" s="42">
        <v>0</v>
      </c>
      <c r="AN1041" s="42" t="str">
        <v>Algeria</v>
      </c>
      <c r="AO1041" s="42" t="str">
        <v>-</v>
      </c>
    </row>
    <row r="1042" spans="24:41">
      <c r="X1042" s="15">
        <v>1040</v>
      </c>
      <c r="Y1042" s="15" t="str">
        <v>Ali Olwan</v>
      </c>
      <c r="Z1042" s="15">
        <v>26</v>
      </c>
      <c r="AA1042" s="15" t="str">
        <v>Jordan</v>
      </c>
      <c r="AB1042" s="15" t="str">
        <v>ST</v>
      </c>
      <c r="AC1042" s="15" t="str">
        <v>Al-Sailiya</v>
      </c>
      <c r="AD1042" s="15">
        <v>9</v>
      </c>
      <c r="AF1042" s="42">
        <v>2026</v>
      </c>
      <c r="AG1042" s="42">
        <v>0</v>
      </c>
      <c r="AH1042" s="42" t="str">
        <v>ROUND_OF_32</v>
      </c>
      <c r="AI1042" s="42" t="str">
        <v>Miami Stadium</v>
      </c>
      <c r="AJ1042" s="42" t="str">
        <v>Miami</v>
      </c>
      <c r="AK1042" s="42" t="str">
        <v>Australia</v>
      </c>
      <c r="AL1042" s="42">
        <v>1</v>
      </c>
      <c r="AM1042" s="42">
        <v>1</v>
      </c>
      <c r="AN1042" s="42" t="str">
        <v>Egypt</v>
      </c>
      <c r="AO1042" s="42" t="str">
        <v>Egypt win on penalties (4 - 2)</v>
      </c>
    </row>
    <row r="1043" spans="24:41">
      <c r="X1043" s="15">
        <v>1041</v>
      </c>
      <c r="Y1043" s="15" t="str">
        <v>David Ospina</v>
      </c>
      <c r="Z1043" s="15">
        <v>37</v>
      </c>
      <c r="AA1043" s="15" t="str">
        <v>Colombia</v>
      </c>
      <c r="AB1043" s="15" t="str">
        <v>GK</v>
      </c>
      <c r="AC1043" s="15" t="str">
        <v>Atlético Nacional</v>
      </c>
      <c r="AD1043" s="15">
        <v>1</v>
      </c>
      <c r="AF1043" s="42">
        <v>2026</v>
      </c>
      <c r="AG1043" s="42">
        <v>0</v>
      </c>
      <c r="AH1043" s="42" t="str">
        <v>ROUND_OF_32</v>
      </c>
      <c r="AI1043" s="42" t="str">
        <v>Miami Stadium</v>
      </c>
      <c r="AJ1043" s="42" t="str">
        <v>Miami</v>
      </c>
      <c r="AK1043" s="42" t="str">
        <v>Argentina</v>
      </c>
      <c r="AL1043" s="42">
        <v>3</v>
      </c>
      <c r="AM1043" s="42">
        <v>2</v>
      </c>
      <c r="AN1043" s="42" t="str">
        <v>Cabo Verde</v>
      </c>
      <c r="AO1043" s="42" t="str">
        <v>Argentina win after extra time</v>
      </c>
    </row>
    <row r="1044" spans="24:41">
      <c r="X1044" s="15">
        <v>1042</v>
      </c>
      <c r="Y1044" s="15" t="str">
        <v>Camilo Vargas</v>
      </c>
      <c r="Z1044" s="15">
        <v>37</v>
      </c>
      <c r="AA1044" s="15" t="str">
        <v>Colombia</v>
      </c>
      <c r="AB1044" s="15" t="str">
        <v>GK</v>
      </c>
      <c r="AC1044" s="15" t="str">
        <v>Atlas</v>
      </c>
      <c r="AD1044" s="15">
        <v>12</v>
      </c>
      <c r="AF1044" s="42">
        <v>2026</v>
      </c>
      <c r="AG1044" s="42">
        <v>0</v>
      </c>
      <c r="AH1044" s="42" t="str">
        <v>ROUND_OF_32</v>
      </c>
      <c r="AI1044" s="42" t="str">
        <v>Kansas City Stadium</v>
      </c>
      <c r="AJ1044" s="42" t="str">
        <v>Kansas City</v>
      </c>
      <c r="AK1044" s="42" t="str">
        <v>Colombia</v>
      </c>
      <c r="AL1044" s="42">
        <v>1</v>
      </c>
      <c r="AM1044" s="42">
        <v>0</v>
      </c>
      <c r="AN1044" s="42" t="str">
        <v>Ghana</v>
      </c>
      <c r="AO1044" s="42" t="str">
        <v>-</v>
      </c>
    </row>
    <row r="1045" spans="24:41">
      <c r="X1045" s="15">
        <v>1043</v>
      </c>
      <c r="Y1045" s="15" t="str">
        <v>Álvaro Montero</v>
      </c>
      <c r="Z1045" s="15">
        <v>31</v>
      </c>
      <c r="AA1045" s="15" t="str">
        <v>Colombia</v>
      </c>
      <c r="AB1045" s="15" t="str">
        <v>GK</v>
      </c>
      <c r="AC1045" s="15" t="str">
        <v>Vélez Sarsfield</v>
      </c>
      <c r="AD1045" s="15">
        <v>24</v>
      </c>
      <c r="AF1045" s="42">
        <v>2026</v>
      </c>
      <c r="AG1045" s="42">
        <v>0</v>
      </c>
      <c r="AH1045" s="42" t="str">
        <v>ROUND_OF_16</v>
      </c>
      <c r="AI1045" s="42" t="str">
        <v>NRG Stadium</v>
      </c>
      <c r="AJ1045" s="42" t="str">
        <v>Houston</v>
      </c>
      <c r="AK1045" s="42" t="str">
        <v>Canada</v>
      </c>
      <c r="AL1045" s="42">
        <v>0</v>
      </c>
      <c r="AM1045" s="42">
        <v>3</v>
      </c>
      <c r="AN1045" s="42" t="str">
        <v>Morocco</v>
      </c>
      <c r="AO1045" s="42" t="str">
        <v>-</v>
      </c>
    </row>
    <row r="1046" spans="24:41">
      <c r="X1046" s="15">
        <v>1044</v>
      </c>
      <c r="Y1046" s="15" t="str">
        <v>Jhon Lucumí</v>
      </c>
      <c r="Z1046" s="15">
        <v>27</v>
      </c>
      <c r="AA1046" s="15" t="str">
        <v>Colombia</v>
      </c>
      <c r="AB1046" s="15" t="str">
        <v>CB</v>
      </c>
      <c r="AC1046" s="15" t="str">
        <v>Bologna</v>
      </c>
      <c r="AD1046" s="15">
        <v>3</v>
      </c>
      <c r="AF1046" s="42">
        <v>2026</v>
      </c>
      <c r="AG1046" s="42">
        <v>0</v>
      </c>
      <c r="AH1046" s="42" t="str">
        <v>ROUND_OF_16</v>
      </c>
      <c r="AI1046" s="42" t="str">
        <v>Lincoln Financial Field</v>
      </c>
      <c r="AJ1046" s="42" t="str">
        <v>Philadelphia</v>
      </c>
      <c r="AK1046" s="42" t="str">
        <v>Paraguay</v>
      </c>
      <c r="AL1046" s="42">
        <v>0</v>
      </c>
      <c r="AM1046" s="42">
        <v>1</v>
      </c>
      <c r="AN1046" s="42" t="str">
        <v>France</v>
      </c>
      <c r="AO1046" s="42" t="str">
        <v>-</v>
      </c>
    </row>
    <row r="1047" spans="24:41">
      <c r="X1047" s="15">
        <v>1045</v>
      </c>
      <c r="Y1047" s="15" t="str">
        <v>Yerry Mina</v>
      </c>
      <c r="Z1047" s="15">
        <v>31</v>
      </c>
      <c r="AA1047" s="15" t="str">
        <v>Colombia</v>
      </c>
      <c r="AB1047" s="15" t="str">
        <v>CB</v>
      </c>
      <c r="AC1047" s="15" t="str">
        <v>Cagliari</v>
      </c>
      <c r="AD1047" s="15">
        <v>13</v>
      </c>
      <c r="AF1047" s="42">
        <v>2026</v>
      </c>
      <c r="AG1047" s="42">
        <v>0</v>
      </c>
      <c r="AH1047" s="42" t="str">
        <v>ROUND_OF_16</v>
      </c>
      <c r="AI1047" s="42" t="str">
        <v>New York New Jersey Stadium</v>
      </c>
      <c r="AJ1047" s="42" t="str">
        <v>New Jersey</v>
      </c>
      <c r="AK1047" s="42" t="str">
        <v>Brazil</v>
      </c>
      <c r="AL1047" s="42">
        <v>1</v>
      </c>
      <c r="AM1047" s="42">
        <v>2</v>
      </c>
      <c r="AN1047" s="42" t="str">
        <v>Norway</v>
      </c>
      <c r="AO1047" s="42" t="str">
        <v>-</v>
      </c>
    </row>
    <row r="1048" spans="24:41">
      <c r="X1048" s="15">
        <v>1046</v>
      </c>
      <c r="Y1048" s="15" t="str">
        <v>Willer Ditta</v>
      </c>
      <c r="Z1048" s="15">
        <v>28</v>
      </c>
      <c r="AA1048" s="15" t="str">
        <v>Colombia</v>
      </c>
      <c r="AB1048" s="15" t="str">
        <v>CB</v>
      </c>
      <c r="AC1048" s="15" t="str">
        <v>Cruz Azul</v>
      </c>
      <c r="AD1048" s="15">
        <v>18</v>
      </c>
      <c r="AF1048" s="42">
        <v>2026</v>
      </c>
      <c r="AG1048" s="42">
        <v>0</v>
      </c>
      <c r="AH1048" s="42" t="str">
        <v>ROUND_OF_16</v>
      </c>
      <c r="AI1048" s="42" t="str">
        <v>Banorte Stadium</v>
      </c>
      <c r="AJ1048" s="42" t="str">
        <v>Monterrey</v>
      </c>
      <c r="AK1048" s="42" t="str">
        <v>Mexico</v>
      </c>
      <c r="AL1048" s="42">
        <v>2</v>
      </c>
      <c r="AM1048" s="42">
        <v>3</v>
      </c>
      <c r="AN1048" s="42" t="str">
        <v>England</v>
      </c>
      <c r="AO1048" s="42" t="str">
        <v>-</v>
      </c>
    </row>
    <row r="1049" spans="24:41">
      <c r="X1049" s="15">
        <v>1047</v>
      </c>
      <c r="Y1049" s="15" t="str">
        <v>Davinson Sánchez</v>
      </c>
      <c r="Z1049" s="15">
        <v>29</v>
      </c>
      <c r="AA1049" s="15" t="str">
        <v>Colombia</v>
      </c>
      <c r="AB1049" s="15" t="str">
        <v>CB</v>
      </c>
      <c r="AC1049" s="15" t="str">
        <v>Galatasaray</v>
      </c>
      <c r="AD1049" s="15">
        <v>23</v>
      </c>
      <c r="AF1049" s="42">
        <v>2026</v>
      </c>
      <c r="AG1049" s="42">
        <v>0</v>
      </c>
      <c r="AH1049" s="42" t="str">
        <v>ROUND_OF_16</v>
      </c>
      <c r="AI1049" s="42" t="str">
        <v>AT&amp;T Stadium</v>
      </c>
      <c r="AJ1049" s="42" t="str">
        <v>Dallas</v>
      </c>
      <c r="AK1049" s="42" t="str">
        <v>Portugal</v>
      </c>
      <c r="AL1049" s="42">
        <v>0</v>
      </c>
      <c r="AM1049" s="42">
        <v>1</v>
      </c>
      <c r="AN1049" s="42" t="str">
        <v>Spain</v>
      </c>
      <c r="AO1049" s="42" t="str">
        <v>-</v>
      </c>
    </row>
    <row r="1050" spans="24:41">
      <c r="X1050" s="15">
        <v>1048</v>
      </c>
      <c r="Y1050" s="15" t="str">
        <v>Johan Mojica</v>
      </c>
      <c r="Z1050" s="15">
        <v>33</v>
      </c>
      <c r="AA1050" s="15" t="str">
        <v>Colombia</v>
      </c>
      <c r="AB1050" s="15" t="str">
        <v>LB</v>
      </c>
      <c r="AC1050" s="15" t="str">
        <v>Mallorca</v>
      </c>
      <c r="AD1050" s="15">
        <v>17</v>
      </c>
      <c r="AF1050" s="42">
        <v>2026</v>
      </c>
      <c r="AG1050" s="42">
        <v>0</v>
      </c>
      <c r="AH1050" s="42" t="str">
        <v>ROUND_OF_16</v>
      </c>
      <c r="AI1050" s="42" t="str">
        <v>Lumen Field</v>
      </c>
      <c r="AJ1050" s="42" t="str">
        <v>Seattle</v>
      </c>
      <c r="AK1050" s="42" t="str">
        <v>United States</v>
      </c>
      <c r="AL1050" s="42">
        <v>1</v>
      </c>
      <c r="AM1050" s="42">
        <v>4</v>
      </c>
      <c r="AN1050" s="42" t="str">
        <v>Belgium</v>
      </c>
      <c r="AO1050" s="42" t="str">
        <v>-</v>
      </c>
    </row>
    <row r="1051" spans="24:41">
      <c r="X1051" s="15">
        <v>1049</v>
      </c>
      <c r="Y1051" s="15" t="str">
        <v>Deiver Machado</v>
      </c>
      <c r="Z1051" s="15">
        <v>32</v>
      </c>
      <c r="AA1051" s="15" t="str">
        <v>Colombia</v>
      </c>
      <c r="AB1051" s="15" t="str">
        <v>LB</v>
      </c>
      <c r="AC1051" s="15" t="str">
        <v>Nantes</v>
      </c>
      <c r="AD1051" s="15">
        <v>22</v>
      </c>
      <c r="AF1051" s="42">
        <v>2026</v>
      </c>
      <c r="AG1051" s="42">
        <v>0</v>
      </c>
      <c r="AH1051" s="42" t="str">
        <v>ROUND_OF_16</v>
      </c>
      <c r="AI1051" s="42" t="str">
        <v>Mercedes-Benz Stadium</v>
      </c>
      <c r="AJ1051" s="42" t="str">
        <v>Atlanta</v>
      </c>
      <c r="AK1051" s="42" t="str">
        <v>Argentina</v>
      </c>
      <c r="AL1051" s="42">
        <v>3</v>
      </c>
      <c r="AM1051" s="42">
        <v>2</v>
      </c>
      <c r="AN1051" s="42" t="str">
        <v>Egypt</v>
      </c>
      <c r="AO1051" s="42" t="str">
        <v>-</v>
      </c>
    </row>
    <row r="1052" spans="24:41">
      <c r="X1052" s="15">
        <v>1050</v>
      </c>
      <c r="Y1052" s="15" t="str">
        <v>Daniel Muñoz</v>
      </c>
      <c r="Z1052" s="15">
        <v>30</v>
      </c>
      <c r="AA1052" s="15" t="str">
        <v>Colombia</v>
      </c>
      <c r="AB1052" s="15" t="str">
        <v>RB</v>
      </c>
      <c r="AC1052" s="15" t="str">
        <v>Crystal Palace</v>
      </c>
      <c r="AD1052" s="15">
        <v>2</v>
      </c>
      <c r="AF1052" s="42">
        <v>2026</v>
      </c>
      <c r="AG1052" s="42">
        <v>0</v>
      </c>
      <c r="AH1052" s="42" t="str">
        <v>ROUND_OF_16</v>
      </c>
      <c r="AI1052" s="42" t="str">
        <v>BC Place</v>
      </c>
      <c r="AJ1052" s="42" t="str">
        <v>Vancouver</v>
      </c>
      <c r="AK1052" s="42" t="str">
        <v>Switzerland</v>
      </c>
      <c r="AL1052" s="42">
        <v>0</v>
      </c>
      <c r="AM1052" s="42">
        <v>0</v>
      </c>
      <c r="AN1052" s="42" t="str">
        <v>Colombia</v>
      </c>
      <c r="AO1052" s="42" t="str">
        <v>Switzerland win on penalties (4 - 3)</v>
      </c>
    </row>
    <row r="1053" spans="24:41">
      <c r="X1053" s="15">
        <v>1051</v>
      </c>
      <c r="Y1053" s="15" t="str">
        <v>Santiago Arias</v>
      </c>
      <c r="Z1053" s="15">
        <v>34</v>
      </c>
      <c r="AA1053" s="15" t="str">
        <v>Colombia</v>
      </c>
      <c r="AB1053" s="15" t="str">
        <v>RB</v>
      </c>
      <c r="AC1053" s="15" t="str">
        <v>Independiente</v>
      </c>
      <c r="AD1053" s="15">
        <v>4</v>
      </c>
      <c r="AF1053" s="42">
        <v>2026</v>
      </c>
      <c r="AG1053" s="42">
        <v>0</v>
      </c>
      <c r="AH1053" s="42" t="str">
        <v>QUARTER_FINALS</v>
      </c>
      <c r="AI1053" s="42" t="str">
        <v>Gillette Stadium</v>
      </c>
      <c r="AJ1053" s="42" t="str">
        <v>Boston</v>
      </c>
      <c r="AK1053" s="42" t="str">
        <v>France</v>
      </c>
      <c r="AL1053" s="42">
        <v>2</v>
      </c>
      <c r="AM1053" s="42">
        <v>0</v>
      </c>
      <c r="AN1053" s="42" t="str">
        <v>Morocco</v>
      </c>
      <c r="AO1053" s="42" t="str">
        <v>-</v>
      </c>
    </row>
    <row r="1054" spans="24:41">
      <c r="X1054" s="15">
        <v>1052</v>
      </c>
      <c r="Y1054" s="15" t="str">
        <v>Gustavo Puerta</v>
      </c>
      <c r="Z1054" s="15">
        <v>22</v>
      </c>
      <c r="AA1054" s="15" t="str">
        <v>Colombia</v>
      </c>
      <c r="AB1054" s="15" t="str">
        <v>RB</v>
      </c>
      <c r="AC1054" s="15" t="str">
        <v>Racing Santander</v>
      </c>
      <c r="AD1054" s="15">
        <v>14</v>
      </c>
      <c r="AF1054" s="42">
        <v>2026</v>
      </c>
      <c r="AG1054" s="42">
        <v>0</v>
      </c>
      <c r="AH1054" s="42" t="str">
        <v>QUARTER_FINALS</v>
      </c>
      <c r="AI1054" s="42" t="str">
        <v>SoFi Stadium</v>
      </c>
      <c r="AJ1054" s="42" t="str">
        <v>Los Angeles</v>
      </c>
      <c r="AK1054" s="42" t="str">
        <v>Spain</v>
      </c>
      <c r="AL1054" s="42">
        <v>2</v>
      </c>
      <c r="AM1054" s="42">
        <v>1</v>
      </c>
      <c r="AN1054" s="42" t="str">
        <v>Belgium</v>
      </c>
      <c r="AO1054" s="42" t="str">
        <v>-</v>
      </c>
    </row>
    <row r="1055" spans="24:41">
      <c r="X1055" s="15">
        <v>1053</v>
      </c>
      <c r="Y1055" s="15" t="str">
        <v>Kevin Castaño</v>
      </c>
      <c r="Z1055" s="15">
        <v>25</v>
      </c>
      <c r="AA1055" s="15" t="str">
        <v>Colombia</v>
      </c>
      <c r="AB1055" s="15" t="str">
        <v>CDM</v>
      </c>
      <c r="AC1055" s="15" t="str">
        <v>River Plate</v>
      </c>
      <c r="AD1055" s="15">
        <v>5</v>
      </c>
      <c r="AF1055" s="42">
        <v>2026</v>
      </c>
      <c r="AG1055" s="42">
        <v>0</v>
      </c>
      <c r="AH1055" s="42" t="str">
        <v>QUARTER_FINALS</v>
      </c>
      <c r="AI1055" s="42" t="str">
        <v>Miami Stadium</v>
      </c>
      <c r="AJ1055" s="42" t="str">
        <v>Miami</v>
      </c>
      <c r="AK1055" s="42" t="str">
        <v>Norway</v>
      </c>
      <c r="AL1055" s="42">
        <v>1</v>
      </c>
      <c r="AM1055" s="42">
        <v>2</v>
      </c>
      <c r="AN1055" s="42" t="str">
        <v>England</v>
      </c>
      <c r="AO1055" s="42" t="str">
        <v>England win after extra time</v>
      </c>
    </row>
    <row r="1056" spans="24:41">
      <c r="X1056" s="15">
        <v>1054</v>
      </c>
      <c r="Y1056" s="15" t="str">
        <v>Jefferson Lerma</v>
      </c>
      <c r="Z1056" s="15">
        <v>31</v>
      </c>
      <c r="AA1056" s="15" t="str">
        <v>Colombia</v>
      </c>
      <c r="AB1056" s="15" t="str">
        <v>CDM</v>
      </c>
      <c r="AC1056" s="15" t="str">
        <v>Crystal Palace</v>
      </c>
      <c r="AD1056" s="15">
        <v>16</v>
      </c>
      <c r="AF1056" s="42">
        <v>2026</v>
      </c>
      <c r="AG1056" s="42">
        <v>0</v>
      </c>
      <c r="AH1056" s="42" t="str">
        <v>QUARTER_FINALS</v>
      </c>
      <c r="AI1056" s="42" t="str">
        <v>GEHA Field at Arrowhead Stadium</v>
      </c>
      <c r="AJ1056" s="42" t="str">
        <v>Kansas City</v>
      </c>
      <c r="AK1056" s="42" t="str">
        <v>Argentina</v>
      </c>
      <c r="AL1056" s="42">
        <v>3</v>
      </c>
      <c r="AM1056" s="42">
        <v>1</v>
      </c>
      <c r="AN1056" s="42" t="str">
        <v>Switzerland</v>
      </c>
      <c r="AO1056" s="42" t="str">
        <v>Argentina win after extra time</v>
      </c>
    </row>
    <row r="1057" spans="24:41">
      <c r="X1057" s="15">
        <v>1055</v>
      </c>
      <c r="Y1057" s="15" t="str">
        <v>Richard Ríos</v>
      </c>
      <c r="Z1057" s="15">
        <v>26</v>
      </c>
      <c r="AA1057" s="15" t="str">
        <v>Colombia</v>
      </c>
      <c r="AB1057" s="15" t="str">
        <v>CM</v>
      </c>
      <c r="AC1057" s="15" t="str">
        <v>Benfica</v>
      </c>
      <c r="AD1057" s="15">
        <v>6</v>
      </c>
      <c r="AF1057" s="42">
        <v>2026</v>
      </c>
      <c r="AG1057" s="42">
        <v>0</v>
      </c>
      <c r="AH1057" s="42" t="str">
        <v>SEMI_FINALS</v>
      </c>
      <c r="AI1057" s="42" t="str">
        <v>AT&amp;T Stadium</v>
      </c>
      <c r="AJ1057" s="42" t="str">
        <v>Dallas</v>
      </c>
      <c r="AK1057" s="42" t="str">
        <v>France</v>
      </c>
      <c r="AL1057" s="42">
        <v>0</v>
      </c>
      <c r="AM1057" s="42">
        <v>2</v>
      </c>
      <c r="AN1057" s="42" t="str">
        <v>Spain</v>
      </c>
      <c r="AO1057" s="42" t="str">
        <v>-</v>
      </c>
    </row>
    <row r="1058" spans="24:41">
      <c r="X1058" s="15">
        <v>1056</v>
      </c>
      <c r="Y1058" s="15" t="str">
        <v>Juan Portilla</v>
      </c>
      <c r="Z1058" s="15">
        <v>27</v>
      </c>
      <c r="AA1058" s="15" t="str">
        <v>Colombia</v>
      </c>
      <c r="AB1058" s="15" t="str">
        <v>CM</v>
      </c>
      <c r="AC1058" s="15" t="str">
        <v>Athletico Paranaense</v>
      </c>
      <c r="AD1058" s="15">
        <v>15</v>
      </c>
      <c r="AF1058" s="42">
        <v>2026</v>
      </c>
      <c r="AG1058" s="42">
        <v>0</v>
      </c>
      <c r="AH1058" s="42" t="str">
        <v>SEMI_FINALS</v>
      </c>
      <c r="AI1058" s="42" t="str">
        <v>Mercedes-Benz Stadium</v>
      </c>
      <c r="AJ1058" s="42" t="str">
        <v>Atlanta</v>
      </c>
      <c r="AK1058" s="42" t="str">
        <v>England</v>
      </c>
      <c r="AL1058" s="42">
        <v>1</v>
      </c>
      <c r="AM1058" s="42">
        <v>2</v>
      </c>
      <c r="AN1058" s="42" t="str">
        <v>Argentina</v>
      </c>
      <c r="AO1058" s="42" t="str">
        <v>-</v>
      </c>
    </row>
    <row r="1059" spans="24:41">
      <c r="X1059" s="15">
        <v>1057</v>
      </c>
      <c r="Y1059" s="15" t="str">
        <v>Jorge Carrascal</v>
      </c>
      <c r="Z1059" s="15">
        <v>28</v>
      </c>
      <c r="AA1059" s="15" t="str">
        <v>Colombia</v>
      </c>
      <c r="AB1059" s="15" t="str">
        <v>CAM</v>
      </c>
      <c r="AC1059" s="15" t="str">
        <v>Flamengo</v>
      </c>
      <c r="AD1059" s="15">
        <v>8</v>
      </c>
      <c r="AF1059" s="42">
        <v>2026</v>
      </c>
      <c r="AG1059" s="42">
        <v>0</v>
      </c>
      <c r="AH1059" s="42" t="str">
        <v>THIRD_PLACE</v>
      </c>
      <c r="AI1059" s="42" t="str">
        <v>Miami Stadium</v>
      </c>
      <c r="AJ1059" s="42" t="str">
        <v>Miami</v>
      </c>
      <c r="AK1059" s="42" t="str">
        <v>France</v>
      </c>
      <c r="AL1059" s="42">
        <v>4</v>
      </c>
      <c r="AM1059" s="42">
        <v>6</v>
      </c>
      <c r="AN1059" s="42" t="str">
        <v>England</v>
      </c>
      <c r="AO1059" s="42" t="str">
        <v>-</v>
      </c>
    </row>
    <row r="1060" spans="24:41">
      <c r="X1060" s="15">
        <v>1058</v>
      </c>
      <c r="Y1060" s="15" t="str">
        <v>James Rodríguez</v>
      </c>
      <c r="Z1060" s="15">
        <v>34</v>
      </c>
      <c r="AA1060" s="15" t="str">
        <v>Colombia</v>
      </c>
      <c r="AB1060" s="15" t="str">
        <v>CAM</v>
      </c>
      <c r="AC1060" s="15" t="str">
        <v>Minnesota United FC</v>
      </c>
      <c r="AD1060" s="15">
        <v>10</v>
      </c>
      <c r="AF1060" s="42">
        <v>2026</v>
      </c>
      <c r="AG1060" s="42">
        <v>0</v>
      </c>
      <c r="AH1060" s="42" t="str">
        <v>FINAL</v>
      </c>
      <c r="AI1060" s="42" t="str">
        <v>New York New Jersey Stadium</v>
      </c>
      <c r="AJ1060" s="42" t="str">
        <v>New Jersey</v>
      </c>
      <c r="AK1060" s="42" t="str">
        <v>Spain</v>
      </c>
      <c r="AL1060" s="42">
        <v>1</v>
      </c>
      <c r="AM1060" s="42">
        <v>0</v>
      </c>
      <c r="AN1060" s="42" t="str">
        <v>Argentina</v>
      </c>
      <c r="AO1060" s="42" t="str">
        <v>Spain win after extra time</v>
      </c>
    </row>
    <row r="1061" spans="24:41">
      <c r="X1061" s="15">
        <v>1059</v>
      </c>
      <c r="Y1061" s="15" t="str">
        <v>Juan Fernando Quintero</v>
      </c>
      <c r="Z1061" s="15">
        <v>33</v>
      </c>
      <c r="AA1061" s="15" t="str">
        <v>Colombia</v>
      </c>
      <c r="AB1061" s="15" t="str">
        <v>CAM</v>
      </c>
      <c r="AC1061" s="15" t="str">
        <v>River Plate</v>
      </c>
      <c r="AD1061" s="15">
        <v>20</v>
      </c>
      <c r="AN1061">
        <f>COUNTIF(_xlfn.ANCHORARRAY(AN3),"Democratic Republic of the Congo")</f>
        <v>3</v>
      </c>
    </row>
    <row r="1062" spans="24:41">
      <c r="X1062" s="15">
        <v>1060</v>
      </c>
      <c r="Y1062" s="15" t="str">
        <v>Luis Díaz</v>
      </c>
      <c r="Z1062" s="15">
        <v>29</v>
      </c>
      <c r="AA1062" s="15" t="str">
        <v>Colombia</v>
      </c>
      <c r="AB1062" s="15" t="str">
        <v>LW</v>
      </c>
      <c r="AC1062" s="15" t="str">
        <v>Bayern Munich</v>
      </c>
      <c r="AD1062" s="15">
        <v>7</v>
      </c>
      <c r="AF1062" s="114"/>
      <c r="AK1062">
        <f>COUNTIF(_xlfn.ANCHORARRAY(AK3),"Democratic Republic of the Congo")</f>
        <v>0</v>
      </c>
    </row>
    <row r="1063" spans="24:41">
      <c r="X1063" s="15">
        <v>1061</v>
      </c>
      <c r="Y1063" s="15" t="str">
        <v>Jaminton Campaz</v>
      </c>
      <c r="Z1063" s="15">
        <v>26</v>
      </c>
      <c r="AA1063" s="15" t="str">
        <v>Colombia</v>
      </c>
      <c r="AB1063" s="15" t="str">
        <v>LW</v>
      </c>
      <c r="AC1063" s="15" t="str">
        <v>Rosario Central</v>
      </c>
      <c r="AD1063" s="15">
        <v>21</v>
      </c>
    </row>
    <row r="1064" spans="24:41">
      <c r="X1064" s="15">
        <v>1062</v>
      </c>
      <c r="Y1064" s="15" t="str">
        <v>Jhon Arias</v>
      </c>
      <c r="Z1064" s="15">
        <v>28</v>
      </c>
      <c r="AA1064" s="15" t="str">
        <v>Colombia</v>
      </c>
      <c r="AB1064" s="15" t="str">
        <v>RW</v>
      </c>
      <c r="AC1064" s="15" t="str">
        <v>Palmeiras</v>
      </c>
      <c r="AD1064" s="15">
        <v>11</v>
      </c>
    </row>
    <row r="1065" spans="24:41">
      <c r="X1065" s="15">
        <v>1063</v>
      </c>
      <c r="Y1065" s="15" t="str">
        <v>Andrés Gómez</v>
      </c>
      <c r="Z1065" s="15">
        <v>23</v>
      </c>
      <c r="AA1065" s="15" t="str">
        <v>Colombia</v>
      </c>
      <c r="AB1065" s="15" t="str">
        <v>RW</v>
      </c>
      <c r="AC1065" s="15" t="str">
        <v>Vasco da Gama</v>
      </c>
      <c r="AD1065" s="15">
        <v>26</v>
      </c>
    </row>
    <row r="1066" spans="24:41">
      <c r="X1066" s="15">
        <v>1064</v>
      </c>
      <c r="Y1066" s="15" t="str">
        <v>Jhon Córdoba</v>
      </c>
      <c r="Z1066" s="15">
        <v>33</v>
      </c>
      <c r="AA1066" s="15" t="str">
        <v>Colombia</v>
      </c>
      <c r="AB1066" s="15" t="str">
        <v>ST</v>
      </c>
      <c r="AC1066" s="15" t="str">
        <v>Krasnodar</v>
      </c>
      <c r="AD1066" s="15">
        <v>9</v>
      </c>
    </row>
    <row r="1067" spans="24:41">
      <c r="X1067" s="15">
        <v>1065</v>
      </c>
      <c r="Y1067" s="15" t="str">
        <v>Cucho Hernández</v>
      </c>
      <c r="Z1067" s="15">
        <v>27</v>
      </c>
      <c r="AA1067" s="15" t="str">
        <v>Colombia</v>
      </c>
      <c r="AB1067" s="15" t="str">
        <v>ST</v>
      </c>
      <c r="AC1067" s="15" t="str">
        <v>Real Betis</v>
      </c>
      <c r="AD1067" s="15">
        <v>19</v>
      </c>
    </row>
    <row r="1068" spans="24:41">
      <c r="X1068" s="15">
        <v>1066</v>
      </c>
      <c r="Y1068" s="15" t="str">
        <v>Luis Suárez</v>
      </c>
      <c r="Z1068" s="15">
        <v>28</v>
      </c>
      <c r="AA1068" s="15" t="str">
        <v>Colombia</v>
      </c>
      <c r="AB1068" s="15" t="str">
        <v>ST</v>
      </c>
      <c r="AC1068" s="15" t="str">
        <v>Sporting CP</v>
      </c>
      <c r="AD1068" s="15">
        <v>25</v>
      </c>
    </row>
    <row r="1069" spans="24:41">
      <c r="X1069" s="15">
        <v>1067</v>
      </c>
      <c r="Y1069" s="15" t="str">
        <v>Lionel Mpasi</v>
      </c>
      <c r="Z1069" s="15">
        <v>31</v>
      </c>
      <c r="AA1069" s="15" t="str">
        <v>Democratic Republic of the Congo</v>
      </c>
      <c r="AB1069" s="15" t="str">
        <v>GK</v>
      </c>
      <c r="AC1069" s="15" t="str">
        <v>Le Havre</v>
      </c>
      <c r="AD1069" s="15">
        <v>1</v>
      </c>
    </row>
    <row r="1070" spans="24:41">
      <c r="X1070" s="15">
        <v>1068</v>
      </c>
      <c r="Y1070" s="15" t="str">
        <v>Timothy Fayulu</v>
      </c>
      <c r="Z1070" s="15">
        <v>26</v>
      </c>
      <c r="AA1070" s="15" t="str">
        <v>Democratic Republic of the Congo</v>
      </c>
      <c r="AB1070" s="15" t="str">
        <v>GK</v>
      </c>
      <c r="AC1070" s="15" t="str">
        <v>Noah</v>
      </c>
      <c r="AD1070" s="15">
        <v>16</v>
      </c>
    </row>
    <row r="1071" spans="24:41">
      <c r="X1071" s="15">
        <v>1069</v>
      </c>
      <c r="Y1071" s="15" t="str">
        <v>Matthieu Epolo</v>
      </c>
      <c r="Z1071" s="15">
        <v>21</v>
      </c>
      <c r="AA1071" s="15" t="str">
        <v>Democratic Republic of the Congo</v>
      </c>
      <c r="AB1071" s="15" t="str">
        <v>GK</v>
      </c>
      <c r="AC1071" s="15" t="str">
        <v>Standard Liège</v>
      </c>
      <c r="AD1071" s="15">
        <v>21</v>
      </c>
    </row>
    <row r="1072" spans="24:41">
      <c r="X1072" s="15">
        <v>1070</v>
      </c>
      <c r="Y1072" s="15" t="str">
        <v>Steve Kapuadi</v>
      </c>
      <c r="Z1072" s="15">
        <v>28</v>
      </c>
      <c r="AA1072" s="15" t="str">
        <v>Democratic Republic of the Congo</v>
      </c>
      <c r="AB1072" s="15" t="str">
        <v>CB</v>
      </c>
      <c r="AC1072" s="15" t="str">
        <v>Widzew Łódź</v>
      </c>
      <c r="AD1072" s="15">
        <v>3</v>
      </c>
    </row>
    <row r="1073" spans="24:30">
      <c r="X1073" s="15">
        <v>1071</v>
      </c>
      <c r="Y1073" s="15" t="str">
        <v>Axel Tuanzebe</v>
      </c>
      <c r="Z1073" s="15">
        <v>28</v>
      </c>
      <c r="AA1073" s="15" t="str">
        <v>Democratic Republic of the Congo</v>
      </c>
      <c r="AB1073" s="15" t="str">
        <v>CB</v>
      </c>
      <c r="AC1073" s="15" t="str">
        <v>Burnley</v>
      </c>
      <c r="AD1073" s="15">
        <v>4</v>
      </c>
    </row>
    <row r="1074" spans="24:30">
      <c r="X1074" s="15">
        <v>1072</v>
      </c>
      <c r="Y1074" s="15" t="str">
        <v>Dylan Batubinsika</v>
      </c>
      <c r="Z1074" s="15">
        <v>30</v>
      </c>
      <c r="AA1074" s="15" t="str">
        <v>Democratic Republic of the Congo</v>
      </c>
      <c r="AB1074" s="15" t="str">
        <v>CB</v>
      </c>
      <c r="AC1074" s="15" t="str">
        <v>AEL</v>
      </c>
      <c r="AD1074" s="15">
        <v>5</v>
      </c>
    </row>
    <row r="1075" spans="24:30">
      <c r="X1075" s="15">
        <v>1073</v>
      </c>
      <c r="Y1075" s="15" t="str">
        <v>Chancel Mbemba</v>
      </c>
      <c r="Z1075" s="15">
        <v>31</v>
      </c>
      <c r="AA1075" s="15" t="str">
        <v>Democratic Republic of the Congo</v>
      </c>
      <c r="AB1075" s="15" t="str">
        <v>CB</v>
      </c>
      <c r="AC1075" s="15" t="str">
        <v>Lille</v>
      </c>
      <c r="AD1075" s="15">
        <v>22</v>
      </c>
    </row>
    <row r="1076" spans="24:30">
      <c r="X1076" s="15">
        <v>1074</v>
      </c>
      <c r="Y1076" s="15" t="str">
        <v>Joris Kayembe</v>
      </c>
      <c r="Z1076" s="15">
        <v>31</v>
      </c>
      <c r="AA1076" s="15" t="str">
        <v>Democratic Republic of the Congo</v>
      </c>
      <c r="AB1076" s="15" t="str">
        <v>LB</v>
      </c>
      <c r="AC1076" s="15" t="str">
        <v>Genk</v>
      </c>
      <c r="AD1076" s="15">
        <v>12</v>
      </c>
    </row>
    <row r="1077" spans="24:30">
      <c r="X1077" s="15">
        <v>1075</v>
      </c>
      <c r="Y1077" s="15" t="str">
        <v>Arthur Masuaku</v>
      </c>
      <c r="Z1077" s="15">
        <v>32</v>
      </c>
      <c r="AA1077" s="15" t="str">
        <v>Democratic Republic of the Congo</v>
      </c>
      <c r="AB1077" s="15" t="str">
        <v>LB</v>
      </c>
      <c r="AC1077" s="15" t="str">
        <v>Lens</v>
      </c>
      <c r="AD1077" s="15">
        <v>26</v>
      </c>
    </row>
    <row r="1078" spans="24:30">
      <c r="X1078" s="15">
        <v>1076</v>
      </c>
      <c r="Y1078" s="15" t="str">
        <v>Aaron Wan-Bissaka</v>
      </c>
      <c r="Z1078" s="15">
        <v>28</v>
      </c>
      <c r="AA1078" s="15" t="str">
        <v>Democratic Republic of the Congo</v>
      </c>
      <c r="AB1078" s="15" t="str">
        <v>RB</v>
      </c>
      <c r="AC1078" s="15" t="str">
        <v>West Ham United</v>
      </c>
      <c r="AD1078" s="15">
        <v>2</v>
      </c>
    </row>
    <row r="1079" spans="24:30">
      <c r="X1079" s="15">
        <v>1077</v>
      </c>
      <c r="Y1079" s="15" t="str">
        <v>Gédéon Kalulu</v>
      </c>
      <c r="Z1079" s="15">
        <v>28</v>
      </c>
      <c r="AA1079" s="15" t="str">
        <v>Democratic Republic of the Congo</v>
      </c>
      <c r="AB1079" s="15" t="str">
        <v>RB</v>
      </c>
      <c r="AC1079" s="15" t="str">
        <v>Aris Limassol</v>
      </c>
      <c r="AD1079" s="15">
        <v>24</v>
      </c>
    </row>
    <row r="1080" spans="24:30">
      <c r="X1080" s="15">
        <v>1078</v>
      </c>
      <c r="Y1080" s="15" t="str">
        <v>Ngal'ayel Mukau</v>
      </c>
      <c r="Z1080" s="15">
        <v>21</v>
      </c>
      <c r="AA1080" s="15" t="str">
        <v>Democratic Republic of the Congo</v>
      </c>
      <c r="AB1080" s="15" t="str">
        <v>CDM</v>
      </c>
      <c r="AC1080" s="15" t="str">
        <v>Lille</v>
      </c>
      <c r="AD1080" s="15">
        <v>6</v>
      </c>
    </row>
    <row r="1081" spans="24:30">
      <c r="X1081" s="15">
        <v>1079</v>
      </c>
      <c r="Y1081" s="15" t="str">
        <v>Charles Pickel</v>
      </c>
      <c r="Z1081" s="15">
        <v>29</v>
      </c>
      <c r="AA1081" s="15" t="str">
        <v>Democratic Republic of the Congo</v>
      </c>
      <c r="AB1081" s="15" t="str">
        <v>CDM</v>
      </c>
      <c r="AC1081" s="15" t="str">
        <v>Espanyol</v>
      </c>
      <c r="AD1081" s="15">
        <v>18</v>
      </c>
    </row>
    <row r="1082" spans="24:30">
      <c r="X1082" s="15">
        <v>1080</v>
      </c>
      <c r="Y1082" s="15" t="str">
        <v>Samuel Moutoussamy</v>
      </c>
      <c r="Z1082" s="15">
        <v>29</v>
      </c>
      <c r="AA1082" s="15" t="str">
        <v>Democratic Republic of the Congo</v>
      </c>
      <c r="AB1082" s="15" t="str">
        <v>CM</v>
      </c>
      <c r="AC1082" s="15" t="str">
        <v>Atromitos</v>
      </c>
      <c r="AD1082" s="15">
        <v>8</v>
      </c>
    </row>
    <row r="1083" spans="24:30">
      <c r="X1083" s="15">
        <v>1081</v>
      </c>
      <c r="Y1083" s="15" t="str">
        <v>Noah Sadiki</v>
      </c>
      <c r="Z1083" s="15">
        <v>21</v>
      </c>
      <c r="AA1083" s="15" t="str">
        <v>Democratic Republic of the Congo</v>
      </c>
      <c r="AB1083" s="15" t="str">
        <v>CM</v>
      </c>
      <c r="AC1083" s="15" t="str">
        <v>Sunderland</v>
      </c>
      <c r="AD1083" s="15">
        <v>14</v>
      </c>
    </row>
    <row r="1084" spans="24:30">
      <c r="X1084" s="15">
        <v>1082</v>
      </c>
      <c r="Y1084" s="15" t="str">
        <v>Aaron Tshibola</v>
      </c>
      <c r="Z1084" s="15">
        <v>31</v>
      </c>
      <c r="AA1084" s="15" t="str">
        <v>Democratic Republic of the Congo</v>
      </c>
      <c r="AB1084" s="15" t="str">
        <v>CM</v>
      </c>
      <c r="AC1084" s="15" t="str">
        <v>Kilmarnock</v>
      </c>
      <c r="AD1084" s="15">
        <v>15</v>
      </c>
    </row>
    <row r="1085" spans="24:30">
      <c r="X1085" s="15">
        <v>1083</v>
      </c>
      <c r="Y1085" s="15" t="str">
        <v>Edo Kayembe</v>
      </c>
      <c r="Z1085" s="15">
        <v>28</v>
      </c>
      <c r="AA1085" s="15" t="str">
        <v>Democratic Republic of the Congo</v>
      </c>
      <c r="AB1085" s="15" t="str">
        <v>CM</v>
      </c>
      <c r="AC1085" s="15" t="str">
        <v>Watford</v>
      </c>
      <c r="AD1085" s="15">
        <v>25</v>
      </c>
    </row>
    <row r="1086" spans="24:30">
      <c r="X1086" s="15">
        <v>1084</v>
      </c>
      <c r="Y1086" s="15" t="str">
        <v>Théo Bongonda</v>
      </c>
      <c r="Z1086" s="15">
        <v>30</v>
      </c>
      <c r="AA1086" s="15" t="str">
        <v>Democratic Republic of the Congo</v>
      </c>
      <c r="AB1086" s="15" t="str">
        <v>CAM</v>
      </c>
      <c r="AC1086" s="15" t="str">
        <v>Spartak Moscow</v>
      </c>
      <c r="AD1086" s="15">
        <v>10</v>
      </c>
    </row>
    <row r="1087" spans="24:30">
      <c r="X1087" s="15">
        <v>1085</v>
      </c>
      <c r="Y1087" s="15" t="str">
        <v>Nathanaël Mbuku</v>
      </c>
      <c r="Z1087" s="15">
        <v>24</v>
      </c>
      <c r="AA1087" s="15" t="str">
        <v>Democratic Republic of the Congo</v>
      </c>
      <c r="AB1087" s="15" t="str">
        <v>LW</v>
      </c>
      <c r="AC1087" s="15" t="str">
        <v>Montpellier</v>
      </c>
      <c r="AD1087" s="15">
        <v>7</v>
      </c>
    </row>
    <row r="1088" spans="24:30">
      <c r="X1088" s="15">
        <v>1086</v>
      </c>
      <c r="Y1088" s="15" t="str">
        <v>Meschak Elia</v>
      </c>
      <c r="Z1088" s="15">
        <v>28</v>
      </c>
      <c r="AA1088" s="15" t="str">
        <v>Democratic Republic of the Congo</v>
      </c>
      <c r="AB1088" s="15" t="str">
        <v>LW</v>
      </c>
      <c r="AC1088" s="15" t="str">
        <v>Alanyaspor</v>
      </c>
      <c r="AD1088" s="15">
        <v>13</v>
      </c>
    </row>
    <row r="1089" spans="24:30">
      <c r="X1089" s="15">
        <v>1087</v>
      </c>
      <c r="Y1089" s="15" t="str">
        <v>Yoane Wissa</v>
      </c>
      <c r="Z1089" s="15">
        <v>29</v>
      </c>
      <c r="AA1089" s="15" t="str">
        <v>Democratic Republic of the Congo</v>
      </c>
      <c r="AB1089" s="15" t="str">
        <v>LW</v>
      </c>
      <c r="AC1089" s="15" t="str">
        <v>Newcastle United</v>
      </c>
      <c r="AD1089" s="15">
        <v>20</v>
      </c>
    </row>
    <row r="1090" spans="24:30">
      <c r="X1090" s="15">
        <v>1088</v>
      </c>
      <c r="Y1090" s="15" t="str">
        <v>Brian Cipenga</v>
      </c>
      <c r="Z1090" s="15">
        <v>28</v>
      </c>
      <c r="AA1090" s="15" t="str">
        <v>Democratic Republic of the Congo</v>
      </c>
      <c r="AB1090" s="15" t="str">
        <v>RW</v>
      </c>
      <c r="AC1090" s="15" t="str">
        <v>Castellón</v>
      </c>
      <c r="AD1090" s="15">
        <v>9</v>
      </c>
    </row>
    <row r="1091" spans="24:30">
      <c r="X1091" s="15">
        <v>1089</v>
      </c>
      <c r="Y1091" s="15" t="str">
        <v>Gaël Kakuta</v>
      </c>
      <c r="Z1091" s="15">
        <v>34</v>
      </c>
      <c r="AA1091" s="15" t="str">
        <v>Democratic Republic of the Congo</v>
      </c>
      <c r="AB1091" s="15" t="str">
        <v>RW</v>
      </c>
      <c r="AC1091" s="15" t="str">
        <v>AEL</v>
      </c>
      <c r="AD1091" s="15">
        <v>11</v>
      </c>
    </row>
    <row r="1092" spans="24:30">
      <c r="X1092" s="15">
        <v>1090</v>
      </c>
      <c r="Y1092" s="15" t="str">
        <v>Cédric Bakambu</v>
      </c>
      <c r="Z1092" s="15">
        <v>35</v>
      </c>
      <c r="AA1092" s="15" t="str">
        <v>Democratic Republic of the Congo</v>
      </c>
      <c r="AB1092" s="15" t="str">
        <v>ST</v>
      </c>
      <c r="AC1092" s="15" t="str">
        <v>Real Betis</v>
      </c>
      <c r="AD1092" s="15">
        <v>17</v>
      </c>
    </row>
    <row r="1093" spans="24:30">
      <c r="X1093" s="15">
        <v>1091</v>
      </c>
      <c r="Y1093" s="15" t="str">
        <v>Fiston Mayele</v>
      </c>
      <c r="Z1093" s="15">
        <v>31</v>
      </c>
      <c r="AA1093" s="15" t="str">
        <v>Democratic Republic of the Congo</v>
      </c>
      <c r="AB1093" s="15" t="str">
        <v>ST</v>
      </c>
      <c r="AC1093" s="15" t="str">
        <v>Pyramids</v>
      </c>
      <c r="AD1093" s="15">
        <v>19</v>
      </c>
    </row>
    <row r="1094" spans="24:30">
      <c r="X1094" s="15">
        <v>1092</v>
      </c>
      <c r="Y1094" s="15" t="str">
        <v>Simon Banza</v>
      </c>
      <c r="Z1094" s="15">
        <v>29</v>
      </c>
      <c r="AA1094" s="15" t="str">
        <v>Democratic Republic of the Congo</v>
      </c>
      <c r="AB1094" s="15" t="str">
        <v>ST</v>
      </c>
      <c r="AC1094" s="15" t="str">
        <v>Al Jazira</v>
      </c>
      <c r="AD1094" s="15">
        <v>23</v>
      </c>
    </row>
    <row r="1095" spans="24:30">
      <c r="X1095" s="15">
        <v>1093</v>
      </c>
      <c r="Y1095" s="15" t="str">
        <v>Diogo Costa</v>
      </c>
      <c r="Z1095" s="15">
        <v>26</v>
      </c>
      <c r="AA1095" s="15" t="str">
        <v>Portugal</v>
      </c>
      <c r="AB1095" s="15" t="str">
        <v>GK</v>
      </c>
      <c r="AC1095" s="15" t="str">
        <v>Porto</v>
      </c>
      <c r="AD1095" s="15">
        <v>1</v>
      </c>
    </row>
    <row r="1096" spans="24:30">
      <c r="X1096" s="15">
        <v>1094</v>
      </c>
      <c r="Y1096" s="15" t="str">
        <v>José Sá</v>
      </c>
      <c r="Z1096" s="15">
        <v>33</v>
      </c>
      <c r="AA1096" s="15" t="str">
        <v>Portugal</v>
      </c>
      <c r="AB1096" s="15" t="str">
        <v>GK</v>
      </c>
      <c r="AC1096" s="15" t="str">
        <v>Wolverhampton Wanderers</v>
      </c>
      <c r="AD1096" s="15">
        <v>12</v>
      </c>
    </row>
    <row r="1097" spans="24:30">
      <c r="X1097" s="15">
        <v>1095</v>
      </c>
      <c r="Y1097" s="15" t="str">
        <v>Rui Silva</v>
      </c>
      <c r="Z1097" s="15">
        <v>32</v>
      </c>
      <c r="AA1097" s="15" t="str">
        <v>Portugal</v>
      </c>
      <c r="AB1097" s="15" t="str">
        <v>GK</v>
      </c>
      <c r="AC1097" s="15" t="str">
        <v>Sporting CP</v>
      </c>
      <c r="AD1097" s="15">
        <v>22</v>
      </c>
    </row>
    <row r="1098" spans="24:30">
      <c r="X1098" s="15">
        <v>1096</v>
      </c>
      <c r="Y1098" s="15" t="str">
        <v>Rúben Dias</v>
      </c>
      <c r="Z1098" s="15">
        <v>29</v>
      </c>
      <c r="AA1098" s="15" t="str">
        <v>Portugal</v>
      </c>
      <c r="AB1098" s="15" t="str">
        <v>CB</v>
      </c>
      <c r="AC1098" s="15" t="str">
        <v>Manchester City</v>
      </c>
      <c r="AD1098" s="15">
        <v>3</v>
      </c>
    </row>
    <row r="1099" spans="24:30">
      <c r="X1099" s="15">
        <v>1097</v>
      </c>
      <c r="Y1099" s="15" t="str">
        <v>Tomás Araújo</v>
      </c>
      <c r="Z1099" s="15">
        <v>24</v>
      </c>
      <c r="AA1099" s="15" t="str">
        <v>Portugal</v>
      </c>
      <c r="AB1099" s="15" t="str">
        <v>CB</v>
      </c>
      <c r="AC1099" s="15" t="str">
        <v>Benfica</v>
      </c>
      <c r="AD1099" s="15">
        <v>4</v>
      </c>
    </row>
    <row r="1100" spans="24:30">
      <c r="X1100" s="15">
        <v>1098</v>
      </c>
      <c r="Y1100" s="15" t="str">
        <v>Renato Veiga</v>
      </c>
      <c r="Z1100" s="15">
        <v>22</v>
      </c>
      <c r="AA1100" s="15" t="str">
        <v>Portugal</v>
      </c>
      <c r="AB1100" s="15" t="str">
        <v>CB</v>
      </c>
      <c r="AC1100" s="15" t="str">
        <v>Villarreal</v>
      </c>
      <c r="AD1100" s="15">
        <v>13</v>
      </c>
    </row>
    <row r="1101" spans="24:30">
      <c r="X1101" s="15">
        <v>1099</v>
      </c>
      <c r="Y1101" s="15" t="str">
        <v>Gonçalo Inácio</v>
      </c>
      <c r="Z1101" s="15">
        <v>24</v>
      </c>
      <c r="AA1101" s="15" t="str">
        <v>Portugal</v>
      </c>
      <c r="AB1101" s="15" t="str">
        <v>CB</v>
      </c>
      <c r="AC1101" s="15" t="str">
        <v>Sporting CP</v>
      </c>
      <c r="AD1101" s="15">
        <v>14</v>
      </c>
    </row>
    <row r="1102" spans="24:30">
      <c r="X1102" s="15">
        <v>1100</v>
      </c>
      <c r="Y1102" s="15" t="str">
        <v>Nuno Mendes</v>
      </c>
      <c r="Z1102" s="15">
        <v>23</v>
      </c>
      <c r="AA1102" s="15" t="str">
        <v>Portugal</v>
      </c>
      <c r="AB1102" s="15" t="str">
        <v>LB</v>
      </c>
      <c r="AC1102" s="15" t="str">
        <v>Paris Saint-Germain</v>
      </c>
      <c r="AD1102" s="15">
        <v>25</v>
      </c>
    </row>
    <row r="1103" spans="24:30">
      <c r="X1103" s="15">
        <v>1101</v>
      </c>
      <c r="Y1103" s="15" t="str">
        <v>Nélson Semedo</v>
      </c>
      <c r="Z1103" s="15">
        <v>32</v>
      </c>
      <c r="AA1103" s="15" t="str">
        <v>Portugal</v>
      </c>
      <c r="AB1103" s="15" t="str">
        <v>RB</v>
      </c>
      <c r="AC1103" s="15" t="str">
        <v>Fenerbahçe</v>
      </c>
      <c r="AD1103" s="15">
        <v>2</v>
      </c>
    </row>
    <row r="1104" spans="24:30">
      <c r="X1104" s="15">
        <v>1102</v>
      </c>
      <c r="Y1104" s="15" t="str">
        <v>Diogo Dalot</v>
      </c>
      <c r="Z1104" s="15">
        <v>27</v>
      </c>
      <c r="AA1104" s="15" t="str">
        <v>Portugal</v>
      </c>
      <c r="AB1104" s="15" t="str">
        <v>RB</v>
      </c>
      <c r="AC1104" s="15" t="str">
        <v>Manchester United</v>
      </c>
      <c r="AD1104" s="15">
        <v>5</v>
      </c>
    </row>
    <row r="1105" spans="24:30">
      <c r="X1105" s="15">
        <v>1103</v>
      </c>
      <c r="Y1105" s="15" t="str">
        <v>João Cancelo</v>
      </c>
      <c r="Z1105" s="15">
        <v>32</v>
      </c>
      <c r="AA1105" s="15" t="str">
        <v>Portugal</v>
      </c>
      <c r="AB1105" s="15" t="str">
        <v>RB</v>
      </c>
      <c r="AC1105" s="15" t="str">
        <v>Barcelona</v>
      </c>
      <c r="AD1105" s="15">
        <v>20</v>
      </c>
    </row>
    <row r="1106" spans="24:30">
      <c r="X1106" s="15">
        <v>1104</v>
      </c>
      <c r="Y1106" s="15" t="str">
        <v>Rúben Neves</v>
      </c>
      <c r="Z1106" s="15">
        <v>29</v>
      </c>
      <c r="AA1106" s="15" t="str">
        <v>Portugal</v>
      </c>
      <c r="AB1106" s="15" t="str">
        <v>CDM</v>
      </c>
      <c r="AC1106" s="15" t="str">
        <v>Al-Hilal</v>
      </c>
      <c r="AD1106" s="15">
        <v>21</v>
      </c>
    </row>
    <row r="1107" spans="24:30">
      <c r="X1107" s="15">
        <v>1105</v>
      </c>
      <c r="Y1107" s="15" t="str">
        <v>Samú Costa</v>
      </c>
      <c r="Z1107" s="15">
        <v>25</v>
      </c>
      <c r="AA1107" s="15" t="str">
        <v>Portugal</v>
      </c>
      <c r="AB1107" s="15" t="str">
        <v>CDM</v>
      </c>
      <c r="AC1107" s="15" t="str">
        <v>Mallorca</v>
      </c>
      <c r="AD1107" s="15">
        <v>24</v>
      </c>
    </row>
    <row r="1108" spans="24:30">
      <c r="X1108" s="15">
        <v>1106</v>
      </c>
      <c r="Y1108" s="15" t="str">
        <v>Matheus Nunes</v>
      </c>
      <c r="Z1108" s="15">
        <v>27</v>
      </c>
      <c r="AA1108" s="15" t="str">
        <v>Portugal</v>
      </c>
      <c r="AB1108" s="15" t="str">
        <v>CM</v>
      </c>
      <c r="AC1108" s="15" t="str">
        <v>Manchester City</v>
      </c>
      <c r="AD1108" s="15">
        <v>6</v>
      </c>
    </row>
    <row r="1109" spans="24:30">
      <c r="X1109" s="15">
        <v>1107</v>
      </c>
      <c r="Y1109" s="15" t="str">
        <v>João Neves</v>
      </c>
      <c r="Z1109" s="15">
        <v>21</v>
      </c>
      <c r="AA1109" s="15" t="str">
        <v>Portugal</v>
      </c>
      <c r="AB1109" s="15" t="str">
        <v>CM</v>
      </c>
      <c r="AC1109" s="15" t="str">
        <v>Paris Saint-Germain</v>
      </c>
      <c r="AD1109" s="15">
        <v>15</v>
      </c>
    </row>
    <row r="1110" spans="24:30">
      <c r="X1110" s="15">
        <v>1108</v>
      </c>
      <c r="Y1110" s="15" t="str">
        <v>Vitinha</v>
      </c>
      <c r="Z1110" s="15">
        <v>26</v>
      </c>
      <c r="AA1110" s="15" t="str">
        <v>Portugal</v>
      </c>
      <c r="AB1110" s="15" t="str">
        <v>CM</v>
      </c>
      <c r="AC1110" s="15" t="str">
        <v>Paris Saint-Germain</v>
      </c>
      <c r="AD1110" s="15">
        <v>23</v>
      </c>
    </row>
    <row r="1111" spans="24:30">
      <c r="X1111" s="15">
        <v>1109</v>
      </c>
      <c r="Y1111" s="15" t="str">
        <v>Bruno Fernandes</v>
      </c>
      <c r="Z1111" s="15">
        <v>31</v>
      </c>
      <c r="AA1111" s="15" t="str">
        <v>Portugal</v>
      </c>
      <c r="AB1111" s="15" t="str">
        <v>CAM</v>
      </c>
      <c r="AC1111" s="15" t="str">
        <v>Manchester United</v>
      </c>
      <c r="AD1111" s="15">
        <v>8</v>
      </c>
    </row>
    <row r="1112" spans="24:30">
      <c r="X1112" s="15">
        <v>1110</v>
      </c>
      <c r="Y1112" s="15" t="str">
        <v>Bernardo Silva</v>
      </c>
      <c r="Z1112" s="15">
        <v>31</v>
      </c>
      <c r="AA1112" s="15" t="str">
        <v>Portugal</v>
      </c>
      <c r="AB1112" s="15" t="str">
        <v>CAM</v>
      </c>
      <c r="AC1112" s="15" t="str">
        <v>Manchester City</v>
      </c>
      <c r="AD1112" s="15">
        <v>10</v>
      </c>
    </row>
    <row r="1113" spans="24:30">
      <c r="X1113" s="15">
        <v>1111</v>
      </c>
      <c r="Y1113" s="15" t="str">
        <v>Rafael Leão</v>
      </c>
      <c r="Z1113" s="15">
        <v>27</v>
      </c>
      <c r="AA1113" s="15" t="str">
        <v>Portugal</v>
      </c>
      <c r="AB1113" s="15" t="str">
        <v>LW</v>
      </c>
      <c r="AC1113" s="15" t="str">
        <v>AC Milan</v>
      </c>
      <c r="AD1113" s="15">
        <v>17</v>
      </c>
    </row>
    <row r="1114" spans="24:30">
      <c r="X1114" s="15">
        <v>1112</v>
      </c>
      <c r="Y1114" s="15" t="str">
        <v>Gonçalo Guedes</v>
      </c>
      <c r="Z1114" s="15">
        <v>29</v>
      </c>
      <c r="AA1114" s="15" t="str">
        <v>Portugal</v>
      </c>
      <c r="AB1114" s="15" t="str">
        <v>LW</v>
      </c>
      <c r="AC1114" s="15" t="str">
        <v>Real Sociedad</v>
      </c>
      <c r="AD1114" s="15">
        <v>19</v>
      </c>
    </row>
    <row r="1115" spans="24:30">
      <c r="X1115" s="15">
        <v>1113</v>
      </c>
      <c r="Y1115" s="15" t="str">
        <v>Francisco Trincão</v>
      </c>
      <c r="Z1115" s="15">
        <v>26</v>
      </c>
      <c r="AA1115" s="15" t="str">
        <v>Portugal</v>
      </c>
      <c r="AB1115" s="15" t="str">
        <v>RW</v>
      </c>
      <c r="AC1115" s="15" t="str">
        <v>Sporting CP</v>
      </c>
      <c r="AD1115" s="15">
        <v>16</v>
      </c>
    </row>
    <row r="1116" spans="24:30">
      <c r="X1116" s="15">
        <v>1114</v>
      </c>
      <c r="Y1116" s="15" t="str">
        <v>Pedro Neto</v>
      </c>
      <c r="Z1116" s="15">
        <v>26</v>
      </c>
      <c r="AA1116" s="15" t="str">
        <v>Portugal</v>
      </c>
      <c r="AB1116" s="15" t="str">
        <v>RW</v>
      </c>
      <c r="AC1116" s="15" t="str">
        <v>Chelsea</v>
      </c>
      <c r="AD1116" s="15">
        <v>18</v>
      </c>
    </row>
    <row r="1117" spans="24:30">
      <c r="X1117" s="15">
        <v>1115</v>
      </c>
      <c r="Y1117" s="15" t="str">
        <v>Francisco Conceição</v>
      </c>
      <c r="Z1117" s="15">
        <v>23</v>
      </c>
      <c r="AA1117" s="15" t="str">
        <v>Portugal</v>
      </c>
      <c r="AB1117" s="15" t="str">
        <v>RW</v>
      </c>
      <c r="AC1117" s="15" t="str">
        <v>Juventus</v>
      </c>
      <c r="AD1117" s="15">
        <v>26</v>
      </c>
    </row>
    <row r="1118" spans="24:30">
      <c r="X1118" s="15">
        <v>1116</v>
      </c>
      <c r="Y1118" s="15" t="str">
        <v>Cristiano Ronaldo</v>
      </c>
      <c r="Z1118" s="15">
        <v>41</v>
      </c>
      <c r="AA1118" s="15" t="str">
        <v>Portugal</v>
      </c>
      <c r="AB1118" s="15" t="str">
        <v>ST</v>
      </c>
      <c r="AC1118" s="15" t="str">
        <v>Al-Nassr</v>
      </c>
      <c r="AD1118" s="15">
        <v>7</v>
      </c>
    </row>
    <row r="1119" spans="24:30">
      <c r="X1119" s="15">
        <v>1117</v>
      </c>
      <c r="Y1119" s="15" t="str">
        <v>Gonçalo Ramos</v>
      </c>
      <c r="Z1119" s="15">
        <v>24</v>
      </c>
      <c r="AA1119" s="15" t="str">
        <v>Portugal</v>
      </c>
      <c r="AB1119" s="15" t="str">
        <v>ST</v>
      </c>
      <c r="AC1119" s="15" t="str">
        <v>Paris Saint-Germain</v>
      </c>
      <c r="AD1119" s="15">
        <v>9</v>
      </c>
    </row>
    <row r="1120" spans="24:30">
      <c r="X1120" s="15">
        <v>1118</v>
      </c>
      <c r="Y1120" s="15" t="str">
        <v>João Félix</v>
      </c>
      <c r="Z1120" s="15">
        <v>26</v>
      </c>
      <c r="AA1120" s="15" t="str">
        <v>Portugal</v>
      </c>
      <c r="AB1120" s="15" t="str">
        <v>ST</v>
      </c>
      <c r="AC1120" s="15" t="str">
        <v>Al-Nassr</v>
      </c>
      <c r="AD1120" s="15">
        <v>11</v>
      </c>
    </row>
    <row r="1121" spans="24:30">
      <c r="X1121" s="15">
        <v>1119</v>
      </c>
      <c r="Y1121" s="15" t="str">
        <v>Utkir Yusupov</v>
      </c>
      <c r="Z1121" s="15">
        <v>35</v>
      </c>
      <c r="AA1121" s="15" t="str">
        <v>Uzbekistan</v>
      </c>
      <c r="AB1121" s="15" t="str">
        <v>GK</v>
      </c>
      <c r="AC1121" s="15" t="str">
        <v>Navbahor Namangan</v>
      </c>
      <c r="AD1121" s="15">
        <v>1</v>
      </c>
    </row>
    <row r="1122" spans="24:30">
      <c r="X1122" s="15">
        <v>1120</v>
      </c>
      <c r="Y1122" s="15" t="str">
        <v>Abduvohid Nematov</v>
      </c>
      <c r="Z1122" s="15">
        <v>25</v>
      </c>
      <c r="AA1122" s="15" t="str">
        <v>Uzbekistan</v>
      </c>
      <c r="AB1122" s="15" t="str">
        <v>GK</v>
      </c>
      <c r="AC1122" s="15" t="str">
        <v>Nasaf</v>
      </c>
      <c r="AD1122" s="15">
        <v>12</v>
      </c>
    </row>
    <row r="1123" spans="24:30">
      <c r="X1123" s="15">
        <v>1121</v>
      </c>
      <c r="Y1123" s="15" t="str">
        <v>Botirali Ergashev</v>
      </c>
      <c r="Z1123" s="15">
        <v>30</v>
      </c>
      <c r="AA1123" s="15" t="str">
        <v>Uzbekistan</v>
      </c>
      <c r="AB1123" s="15" t="str">
        <v>GK</v>
      </c>
      <c r="AC1123" s="15" t="str">
        <v>Neftchi Fergana</v>
      </c>
      <c r="AD1123" s="15">
        <v>16</v>
      </c>
    </row>
    <row r="1124" spans="24:30">
      <c r="X1124" s="15">
        <v>1122</v>
      </c>
      <c r="Y1124" s="15" t="str">
        <v>Abdukodir Khusanov</v>
      </c>
      <c r="Z1124" s="15">
        <v>22</v>
      </c>
      <c r="AA1124" s="15" t="str">
        <v>Uzbekistan</v>
      </c>
      <c r="AB1124" s="15" t="str">
        <v>CB</v>
      </c>
      <c r="AC1124" s="15" t="str">
        <v>Manchester City</v>
      </c>
      <c r="AD1124" s="15">
        <v>2</v>
      </c>
    </row>
    <row r="1125" spans="24:30">
      <c r="X1125" s="15">
        <v>1123</v>
      </c>
      <c r="Y1125" s="15" t="str">
        <v>Rustam Ashurmatov</v>
      </c>
      <c r="Z1125" s="15">
        <v>29</v>
      </c>
      <c r="AA1125" s="15" t="str">
        <v>Uzbekistan</v>
      </c>
      <c r="AB1125" s="15" t="str">
        <v>CB</v>
      </c>
      <c r="AC1125" s="15" t="str">
        <v>Esteghlal</v>
      </c>
      <c r="AD1125" s="15">
        <v>5</v>
      </c>
    </row>
    <row r="1126" spans="24:30">
      <c r="X1126" s="15">
        <v>1124</v>
      </c>
      <c r="Y1126" s="15" t="str">
        <v>Umar Eshmurodov</v>
      </c>
      <c r="Z1126" s="15">
        <v>33</v>
      </c>
      <c r="AA1126" s="15" t="str">
        <v>Uzbekistan</v>
      </c>
      <c r="AB1126" s="15" t="str">
        <v>CB</v>
      </c>
      <c r="AC1126" s="15" t="str">
        <v>Nasaf</v>
      </c>
      <c r="AD1126" s="15">
        <v>15</v>
      </c>
    </row>
    <row r="1127" spans="24:30">
      <c r="X1127" s="15">
        <v>1125</v>
      </c>
      <c r="Y1127" s="15" t="str">
        <v>Abdulla Abdullaev</v>
      </c>
      <c r="Z1127" s="15">
        <v>28</v>
      </c>
      <c r="AA1127" s="15" t="str">
        <v>Uzbekistan</v>
      </c>
      <c r="AB1127" s="15" t="str">
        <v>CB</v>
      </c>
      <c r="AC1127" s="15" t="str">
        <v>Dibba</v>
      </c>
      <c r="AD1127" s="15">
        <v>18</v>
      </c>
    </row>
    <row r="1128" spans="24:30">
      <c r="X1128" s="15">
        <v>1126</v>
      </c>
      <c r="Y1128" s="15" t="str">
        <v>Avazbek Ulmasaliev</v>
      </c>
      <c r="Z1128" s="15">
        <v>26</v>
      </c>
      <c r="AA1128" s="15" t="str">
        <v>Uzbekistan</v>
      </c>
      <c r="AB1128" s="15" t="str">
        <v>CB</v>
      </c>
      <c r="AC1128" s="15" t="str">
        <v>AGMK</v>
      </c>
      <c r="AD1128" s="15">
        <v>25</v>
      </c>
    </row>
    <row r="1129" spans="24:30">
      <c r="X1129" s="15">
        <v>1127</v>
      </c>
      <c r="Y1129" s="15" t="str">
        <v>Jakhongir Urozov</v>
      </c>
      <c r="Z1129" s="15">
        <v>22</v>
      </c>
      <c r="AA1129" s="15" t="str">
        <v>Uzbekistan</v>
      </c>
      <c r="AB1129" s="15" t="str">
        <v>CB</v>
      </c>
      <c r="AC1129" s="15" t="str">
        <v>Dinamo Samarqand</v>
      </c>
      <c r="AD1129" s="15">
        <v>26</v>
      </c>
    </row>
    <row r="1130" spans="24:30">
      <c r="X1130" s="15">
        <v>1128</v>
      </c>
      <c r="Y1130" s="15" t="str">
        <v>Farrukh Sayfiev</v>
      </c>
      <c r="Z1130" s="15">
        <v>35</v>
      </c>
      <c r="AA1130" s="15" t="str">
        <v>Uzbekistan</v>
      </c>
      <c r="AB1130" s="15" t="str">
        <v>LB</v>
      </c>
      <c r="AC1130" s="15" t="str">
        <v>Neftchi Fergana</v>
      </c>
      <c r="AD1130" s="15">
        <v>4</v>
      </c>
    </row>
    <row r="1131" spans="24:30">
      <c r="X1131" s="15">
        <v>1129</v>
      </c>
      <c r="Y1131" s="15" t="str">
        <v>Sherzod Nasrullaev</v>
      </c>
      <c r="Z1131" s="15">
        <v>27</v>
      </c>
      <c r="AA1131" s="15" t="str">
        <v>Uzbekistan</v>
      </c>
      <c r="AB1131" s="15" t="str">
        <v>LB</v>
      </c>
      <c r="AC1131" s="15" t="str">
        <v>Nasaf</v>
      </c>
      <c r="AD1131" s="15">
        <v>13</v>
      </c>
    </row>
    <row r="1132" spans="24:30">
      <c r="X1132" s="15">
        <v>1130</v>
      </c>
      <c r="Y1132" s="15" t="str">
        <v>Bekhruz Karimov</v>
      </c>
      <c r="Z1132" s="15">
        <v>18</v>
      </c>
      <c r="AA1132" s="15" t="str">
        <v>Uzbekistan</v>
      </c>
      <c r="AB1132" s="15" t="str">
        <v>LB</v>
      </c>
      <c r="AC1132" s="15" t="str">
        <v>Surkhon Termiz</v>
      </c>
      <c r="AD1132" s="15">
        <v>24</v>
      </c>
    </row>
    <row r="1133" spans="24:30">
      <c r="X1133" s="15">
        <v>1131</v>
      </c>
      <c r="Y1133" s="15" t="str">
        <v>Khojiakbar Alijonov</v>
      </c>
      <c r="Z1133" s="15">
        <v>29</v>
      </c>
      <c r="AA1133" s="15" t="str">
        <v>Uzbekistan</v>
      </c>
      <c r="AB1133" s="15" t="str">
        <v>RB</v>
      </c>
      <c r="AC1133" s="15" t="str">
        <v>Pakhtakor</v>
      </c>
      <c r="AD1133" s="15">
        <v>3</v>
      </c>
    </row>
    <row r="1134" spans="24:30">
      <c r="X1134" s="15">
        <v>1132</v>
      </c>
      <c r="Y1134" s="15" t="str">
        <v>Akmal Mozgovoy</v>
      </c>
      <c r="Z1134" s="15">
        <v>27</v>
      </c>
      <c r="AA1134" s="15" t="str">
        <v>Uzbekistan</v>
      </c>
      <c r="AB1134" s="15" t="str">
        <v>CDM</v>
      </c>
      <c r="AC1134" s="15" t="str">
        <v>Pakhtakor</v>
      </c>
      <c r="AD1134" s="15">
        <v>6</v>
      </c>
    </row>
    <row r="1135" spans="24:30">
      <c r="X1135" s="15">
        <v>1133</v>
      </c>
      <c r="Y1135" s="15" t="str">
        <v>Odiljon Hamrobekov</v>
      </c>
      <c r="Z1135" s="15">
        <v>30</v>
      </c>
      <c r="AA1135" s="15" t="str">
        <v>Uzbekistan</v>
      </c>
      <c r="AB1135" s="15" t="str">
        <v>CDM</v>
      </c>
      <c r="AC1135" s="15" t="str">
        <v>Tractor</v>
      </c>
      <c r="AD1135" s="15">
        <v>9</v>
      </c>
    </row>
    <row r="1136" spans="24:30">
      <c r="X1136" s="15">
        <v>1134</v>
      </c>
      <c r="Y1136" s="15" t="str">
        <v>Otabek Shukurov</v>
      </c>
      <c r="Z1136" s="15">
        <v>29</v>
      </c>
      <c r="AA1136" s="15" t="str">
        <v>Uzbekistan</v>
      </c>
      <c r="AB1136" s="15" t="str">
        <v>CM</v>
      </c>
      <c r="AC1136" s="15" t="str">
        <v>Baniyas</v>
      </c>
      <c r="AD1136" s="15">
        <v>7</v>
      </c>
    </row>
    <row r="1137" spans="24:30">
      <c r="X1137" s="15">
        <v>1135</v>
      </c>
      <c r="Y1137" s="15" t="str">
        <v>Jamshid Iskanderov</v>
      </c>
      <c r="Z1137" s="15">
        <v>32</v>
      </c>
      <c r="AA1137" s="15" t="str">
        <v>Uzbekistan</v>
      </c>
      <c r="AB1137" s="15" t="str">
        <v>CM</v>
      </c>
      <c r="AC1137" s="15" t="str">
        <v>Neftchi Fergana</v>
      </c>
      <c r="AD1137" s="15">
        <v>8</v>
      </c>
    </row>
    <row r="1138" spans="24:30">
      <c r="X1138" s="15">
        <v>1136</v>
      </c>
      <c r="Y1138" s="15" t="str">
        <v>Azizjon Ganiev</v>
      </c>
      <c r="Z1138" s="15">
        <v>28</v>
      </c>
      <c r="AA1138" s="15" t="str">
        <v>Uzbekistan</v>
      </c>
      <c r="AB1138" s="15" t="str">
        <v>CM</v>
      </c>
      <c r="AC1138" s="15" t="str">
        <v>Al Bataeh</v>
      </c>
      <c r="AD1138" s="15">
        <v>19</v>
      </c>
    </row>
    <row r="1139" spans="24:30">
      <c r="X1139" s="15">
        <v>1137</v>
      </c>
      <c r="Y1139" s="15" t="str">
        <v>Sherzod Esanov</v>
      </c>
      <c r="Z1139" s="15">
        <v>23</v>
      </c>
      <c r="AA1139" s="15" t="str">
        <v>Uzbekistan</v>
      </c>
      <c r="AB1139" s="15" t="str">
        <v>CM</v>
      </c>
      <c r="AC1139" s="15" t="str">
        <v>Bukhara</v>
      </c>
      <c r="AD1139" s="15">
        <v>23</v>
      </c>
    </row>
    <row r="1140" spans="24:30">
      <c r="X1140" s="15">
        <v>1138</v>
      </c>
      <c r="Y1140" s="15" t="str">
        <v>Ruslanbek Jiyanov</v>
      </c>
      <c r="Z1140" s="15">
        <v>25</v>
      </c>
      <c r="AA1140" s="15" t="str">
        <v>Uzbekistan</v>
      </c>
      <c r="AB1140" s="15" t="str">
        <v>CAM</v>
      </c>
      <c r="AC1140" s="15" t="str">
        <v>Navbahor Namangan</v>
      </c>
      <c r="AD1140" s="15">
        <v>10</v>
      </c>
    </row>
    <row r="1141" spans="24:30">
      <c r="X1141" s="15">
        <v>1139</v>
      </c>
      <c r="Y1141" s="15" t="str">
        <v>Dostonbek Khamdamov</v>
      </c>
      <c r="Z1141" s="15">
        <v>29</v>
      </c>
      <c r="AA1141" s="15" t="str">
        <v>Uzbekistan</v>
      </c>
      <c r="AB1141" s="15" t="str">
        <v>CAM</v>
      </c>
      <c r="AC1141" s="15" t="str">
        <v>Pakhtakor</v>
      </c>
      <c r="AD1141" s="15">
        <v>17</v>
      </c>
    </row>
    <row r="1142" spans="24:30">
      <c r="X1142" s="15">
        <v>1140</v>
      </c>
      <c r="Y1142" s="15" t="str">
        <v>Abbosbek Fayzullaev</v>
      </c>
      <c r="Z1142" s="15">
        <v>22</v>
      </c>
      <c r="AA1142" s="15" t="str">
        <v>Uzbekistan</v>
      </c>
      <c r="AB1142" s="15" t="str">
        <v>CAM</v>
      </c>
      <c r="AC1142" s="15" t="str">
        <v>İstanbul Başakşehir</v>
      </c>
      <c r="AD1142" s="15">
        <v>22</v>
      </c>
    </row>
    <row r="1143" spans="24:30">
      <c r="X1143" s="15">
        <v>1141</v>
      </c>
      <c r="Y1143" s="15" t="str">
        <v>Oston Urunov</v>
      </c>
      <c r="Z1143" s="15">
        <v>25</v>
      </c>
      <c r="AA1143" s="15" t="str">
        <v>Uzbekistan</v>
      </c>
      <c r="AB1143" s="15" t="str">
        <v>LW</v>
      </c>
      <c r="AC1143" s="15" t="str">
        <v>Persepolis</v>
      </c>
      <c r="AD1143" s="15">
        <v>11</v>
      </c>
    </row>
    <row r="1144" spans="24:30">
      <c r="X1144" s="15">
        <v>1142</v>
      </c>
      <c r="Y1144" s="15" t="str">
        <v>Azizbek Amonov</v>
      </c>
      <c r="Z1144" s="15">
        <v>28</v>
      </c>
      <c r="AA1144" s="15" t="str">
        <v>Uzbekistan</v>
      </c>
      <c r="AB1144" s="15" t="str">
        <v>RW</v>
      </c>
      <c r="AC1144" s="15" t="str">
        <v>Dinamo Samarqand</v>
      </c>
      <c r="AD1144" s="15">
        <v>20</v>
      </c>
    </row>
    <row r="1145" spans="24:30">
      <c r="X1145" s="15">
        <v>1143</v>
      </c>
      <c r="Y1145" s="15" t="str">
        <v>Eldor Shomurodov</v>
      </c>
      <c r="Z1145" s="15">
        <v>30</v>
      </c>
      <c r="AA1145" s="15" t="str">
        <v>Uzbekistan</v>
      </c>
      <c r="AB1145" s="15" t="str">
        <v>ST</v>
      </c>
      <c r="AC1145" s="15" t="str">
        <v>İstanbul Başakşehir</v>
      </c>
      <c r="AD1145" s="15">
        <v>14</v>
      </c>
    </row>
    <row r="1146" spans="24:30">
      <c r="X1146" s="15">
        <v>1144</v>
      </c>
      <c r="Y1146" s="15" t="str">
        <v>Igor Sergeev</v>
      </c>
      <c r="Z1146" s="15">
        <v>33</v>
      </c>
      <c r="AA1146" s="15" t="str">
        <v>Uzbekistan</v>
      </c>
      <c r="AB1146" s="15" t="str">
        <v>ST</v>
      </c>
      <c r="AC1146" s="15" t="str">
        <v>Persepolis</v>
      </c>
      <c r="AD1146" s="15">
        <v>21</v>
      </c>
    </row>
    <row r="1147" spans="24:30">
      <c r="X1147" s="15">
        <v>1145</v>
      </c>
      <c r="Y1147" s="15" t="str">
        <v>Dominik Livaković</v>
      </c>
      <c r="Z1147" s="15">
        <v>31</v>
      </c>
      <c r="AA1147" s="15" t="str">
        <v>Croatia</v>
      </c>
      <c r="AB1147" s="15" t="str">
        <v>GK</v>
      </c>
      <c r="AC1147" s="15" t="str">
        <v>Dinamo Zagreb</v>
      </c>
      <c r="AD1147" s="15">
        <v>1</v>
      </c>
    </row>
    <row r="1148" spans="24:30">
      <c r="X1148" s="15">
        <v>1146</v>
      </c>
      <c r="Y1148" s="15" t="str">
        <v>Ivor Pandur</v>
      </c>
      <c r="Z1148" s="15">
        <v>26</v>
      </c>
      <c r="AA1148" s="15" t="str">
        <v>Croatia</v>
      </c>
      <c r="AB1148" s="15" t="str">
        <v>GK</v>
      </c>
      <c r="AC1148" s="15" t="str">
        <v>Hull City</v>
      </c>
      <c r="AD1148" s="15">
        <v>12</v>
      </c>
    </row>
    <row r="1149" spans="24:30">
      <c r="X1149" s="15">
        <v>1147</v>
      </c>
      <c r="Y1149" s="15" t="str">
        <v>Dominik Kotarski</v>
      </c>
      <c r="Z1149" s="15">
        <v>26</v>
      </c>
      <c r="AA1149" s="15" t="str">
        <v>Croatia</v>
      </c>
      <c r="AB1149" s="15" t="str">
        <v>GK</v>
      </c>
      <c r="AC1149" s="15" t="str">
        <v>Copenhagen</v>
      </c>
      <c r="AD1149" s="15">
        <v>23</v>
      </c>
    </row>
    <row r="1150" spans="24:30">
      <c r="X1150" s="15">
        <v>1148</v>
      </c>
      <c r="Y1150" s="15" t="str">
        <v>Marin Pongračić</v>
      </c>
      <c r="Z1150" s="15">
        <v>28</v>
      </c>
      <c r="AA1150" s="15" t="str">
        <v>Croatia</v>
      </c>
      <c r="AB1150" s="15" t="str">
        <v>CB</v>
      </c>
      <c r="AC1150" s="15" t="str">
        <v>Fiorentina</v>
      </c>
      <c r="AD1150" s="15">
        <v>3</v>
      </c>
    </row>
    <row r="1151" spans="24:30">
      <c r="X1151" s="15">
        <v>1149</v>
      </c>
      <c r="Y1151" s="15" t="str">
        <v>Duje Ćaleta-Car</v>
      </c>
      <c r="Z1151" s="15">
        <v>29</v>
      </c>
      <c r="AA1151" s="15" t="str">
        <v>Croatia</v>
      </c>
      <c r="AB1151" s="15" t="str">
        <v>CB</v>
      </c>
      <c r="AC1151" s="15" t="str">
        <v>Real Sociedad</v>
      </c>
      <c r="AD1151" s="15">
        <v>5</v>
      </c>
    </row>
    <row r="1152" spans="24:30">
      <c r="X1152" s="15">
        <v>1150</v>
      </c>
      <c r="Y1152" s="15" t="str">
        <v>Josip Šutalo</v>
      </c>
      <c r="Z1152" s="15">
        <v>26</v>
      </c>
      <c r="AA1152" s="15" t="str">
        <v>Croatia</v>
      </c>
      <c r="AB1152" s="15" t="str">
        <v>CB</v>
      </c>
      <c r="AC1152" s="15" t="str">
        <v>Ajax</v>
      </c>
      <c r="AD1152" s="15">
        <v>6</v>
      </c>
    </row>
    <row r="1153" spans="24:30">
      <c r="X1153" s="15">
        <v>1151</v>
      </c>
      <c r="Y1153" s="15" t="str">
        <v>Luka Vušković</v>
      </c>
      <c r="Z1153" s="15">
        <v>19</v>
      </c>
      <c r="AA1153" s="15" t="str">
        <v>Croatia</v>
      </c>
      <c r="AB1153" s="15" t="str">
        <v>CB</v>
      </c>
      <c r="AC1153" s="15" t="str">
        <v>Hamburger SV</v>
      </c>
      <c r="AD1153" s="15">
        <v>22</v>
      </c>
    </row>
    <row r="1154" spans="24:30">
      <c r="X1154" s="15">
        <v>1152</v>
      </c>
      <c r="Y1154" s="15" t="str">
        <v>Martin Erlić</v>
      </c>
      <c r="Z1154" s="15">
        <v>28</v>
      </c>
      <c r="AA1154" s="15" t="str">
        <v>Croatia</v>
      </c>
      <c r="AB1154" s="15" t="str">
        <v>CB</v>
      </c>
      <c r="AC1154" s="15" t="str">
        <v>Midtjylland</v>
      </c>
      <c r="AD1154" s="15">
        <v>25</v>
      </c>
    </row>
    <row r="1155" spans="24:30">
      <c r="X1155" s="15">
        <v>1153</v>
      </c>
      <c r="Y1155" s="15" t="str">
        <v>Joško Gvardiol</v>
      </c>
      <c r="Z1155" s="15">
        <v>24</v>
      </c>
      <c r="AA1155" s="15" t="str">
        <v>Croatia</v>
      </c>
      <c r="AB1155" s="15" t="str">
        <v>LB</v>
      </c>
      <c r="AC1155" s="15" t="str">
        <v>Manchester City</v>
      </c>
      <c r="AD1155" s="15">
        <v>4</v>
      </c>
    </row>
    <row r="1156" spans="24:30">
      <c r="X1156" s="15">
        <v>1154</v>
      </c>
      <c r="Y1156" s="15" t="str">
        <v>Josip Stanišić</v>
      </c>
      <c r="Z1156" s="15">
        <v>26</v>
      </c>
      <c r="AA1156" s="15" t="str">
        <v>Croatia</v>
      </c>
      <c r="AB1156" s="15" t="str">
        <v>RB</v>
      </c>
      <c r="AC1156" s="15" t="str">
        <v>Bayern Munich</v>
      </c>
      <c r="AD1156" s="15">
        <v>2</v>
      </c>
    </row>
    <row r="1157" spans="24:30">
      <c r="X1157" s="15">
        <v>1155</v>
      </c>
      <c r="Y1157" s="15" t="str">
        <v>Kristijan Jakić</v>
      </c>
      <c r="Z1157" s="15">
        <v>29</v>
      </c>
      <c r="AA1157" s="15" t="str">
        <v>Croatia</v>
      </c>
      <c r="AB1157" s="15" t="str">
        <v>RB</v>
      </c>
      <c r="AC1157" s="15" t="str">
        <v>FC Augsburg</v>
      </c>
      <c r="AD1157" s="15">
        <v>18</v>
      </c>
    </row>
    <row r="1158" spans="24:30">
      <c r="X1158" s="15">
        <v>1156</v>
      </c>
      <c r="Y1158" s="15" t="str">
        <v>Nikola Moro</v>
      </c>
      <c r="Z1158" s="15">
        <v>28</v>
      </c>
      <c r="AA1158" s="15" t="str">
        <v>Croatia</v>
      </c>
      <c r="AB1158" s="15" t="str">
        <v>CDM</v>
      </c>
      <c r="AC1158" s="15" t="str">
        <v>Bologna</v>
      </c>
      <c r="AD1158" s="15">
        <v>7</v>
      </c>
    </row>
    <row r="1159" spans="24:30">
      <c r="X1159" s="15">
        <v>1157</v>
      </c>
      <c r="Y1159" s="15" t="str">
        <v>Petar Sučić</v>
      </c>
      <c r="Z1159" s="15">
        <v>22</v>
      </c>
      <c r="AA1159" s="15" t="str">
        <v>Croatia</v>
      </c>
      <c r="AB1159" s="15" t="str">
        <v>CDM</v>
      </c>
      <c r="AC1159" s="15" t="str">
        <v>Inter Milan</v>
      </c>
      <c r="AD1159" s="15">
        <v>17</v>
      </c>
    </row>
    <row r="1160" spans="24:30">
      <c r="X1160" s="15">
        <v>1158</v>
      </c>
      <c r="Y1160" s="15" t="str">
        <v>Mateo Kovačić</v>
      </c>
      <c r="Z1160" s="15">
        <v>32</v>
      </c>
      <c r="AA1160" s="15" t="str">
        <v>Croatia</v>
      </c>
      <c r="AB1160" s="15" t="str">
        <v>CM</v>
      </c>
      <c r="AC1160" s="15" t="str">
        <v>Manchester City</v>
      </c>
      <c r="AD1160" s="15">
        <v>8</v>
      </c>
    </row>
    <row r="1161" spans="24:30">
      <c r="X1161" s="15">
        <v>1159</v>
      </c>
      <c r="Y1161" s="15" t="str">
        <v>Luka Modrić</v>
      </c>
      <c r="Z1161" s="15">
        <v>40</v>
      </c>
      <c r="AA1161" s="15" t="str">
        <v>Croatia</v>
      </c>
      <c r="AB1161" s="15" t="str">
        <v>CM</v>
      </c>
      <c r="AC1161" s="15" t="str">
        <v>AC Milan</v>
      </c>
      <c r="AD1161" s="15">
        <v>10</v>
      </c>
    </row>
    <row r="1162" spans="24:30">
      <c r="X1162" s="15">
        <v>1160</v>
      </c>
      <c r="Y1162" s="15" t="str">
        <v>Mario Pašalić</v>
      </c>
      <c r="Z1162" s="15">
        <v>31</v>
      </c>
      <c r="AA1162" s="15" t="str">
        <v>Croatia</v>
      </c>
      <c r="AB1162" s="15" t="str">
        <v>CM</v>
      </c>
      <c r="AC1162" s="15" t="str">
        <v>Atalanta</v>
      </c>
      <c r="AD1162" s="15">
        <v>15</v>
      </c>
    </row>
    <row r="1163" spans="24:30">
      <c r="X1163" s="15">
        <v>1161</v>
      </c>
      <c r="Y1163" s="15" t="str">
        <v>Nikola Vlašić</v>
      </c>
      <c r="Z1163" s="15">
        <v>28</v>
      </c>
      <c r="AA1163" s="15" t="str">
        <v>Croatia</v>
      </c>
      <c r="AB1163" s="15" t="str">
        <v>CAM</v>
      </c>
      <c r="AC1163" s="15" t="str">
        <v>Torino</v>
      </c>
      <c r="AD1163" s="15">
        <v>13</v>
      </c>
    </row>
    <row r="1164" spans="24:30">
      <c r="X1164" s="15">
        <v>1162</v>
      </c>
      <c r="Y1164" s="15" t="str">
        <v>Martin Baturina</v>
      </c>
      <c r="Z1164" s="15">
        <v>23</v>
      </c>
      <c r="AA1164" s="15" t="str">
        <v>Croatia</v>
      </c>
      <c r="AB1164" s="15" t="str">
        <v>CAM</v>
      </c>
      <c r="AC1164" s="15" t="str">
        <v>Como</v>
      </c>
      <c r="AD1164" s="15">
        <v>16</v>
      </c>
    </row>
    <row r="1165" spans="24:30">
      <c r="X1165" s="15">
        <v>1163</v>
      </c>
      <c r="Y1165" s="15" t="str">
        <v>Toni Fruk</v>
      </c>
      <c r="Z1165" s="15">
        <v>25</v>
      </c>
      <c r="AA1165" s="15" t="str">
        <v>Croatia</v>
      </c>
      <c r="AB1165" s="15" t="str">
        <v>CAM</v>
      </c>
      <c r="AC1165" s="15" t="str">
        <v>Rijeka</v>
      </c>
      <c r="AD1165" s="15">
        <v>19</v>
      </c>
    </row>
    <row r="1166" spans="24:30">
      <c r="X1166" s="15">
        <v>1164</v>
      </c>
      <c r="Y1166" s="15" t="str">
        <v>Luka Sučić</v>
      </c>
      <c r="Z1166" s="15">
        <v>23</v>
      </c>
      <c r="AA1166" s="15" t="str">
        <v>Croatia</v>
      </c>
      <c r="AB1166" s="15" t="str">
        <v>CAM</v>
      </c>
      <c r="AC1166" s="15" t="str">
        <v>Real Sociedad</v>
      </c>
      <c r="AD1166" s="15">
        <v>21</v>
      </c>
    </row>
    <row r="1167" spans="24:30">
      <c r="X1167" s="15">
        <v>1165</v>
      </c>
      <c r="Y1167" s="15" t="str">
        <v>Ivan Perišić</v>
      </c>
      <c r="Z1167" s="15">
        <v>37</v>
      </c>
      <c r="AA1167" s="15" t="str">
        <v>Croatia</v>
      </c>
      <c r="AB1167" s="15" t="str">
        <v>LW</v>
      </c>
      <c r="AC1167" s="15" t="str">
        <v>PSV Eindhoven</v>
      </c>
      <c r="AD1167" s="15">
        <v>14</v>
      </c>
    </row>
    <row r="1168" spans="24:30">
      <c r="X1168" s="15">
        <v>1166</v>
      </c>
      <c r="Y1168" s="15" t="str">
        <v>Marco Pašalić</v>
      </c>
      <c r="Z1168" s="15">
        <v>25</v>
      </c>
      <c r="AA1168" s="15" t="str">
        <v>Croatia</v>
      </c>
      <c r="AB1168" s="15" t="str">
        <v>RW</v>
      </c>
      <c r="AC1168" s="15" t="str">
        <v>Orlando City SC</v>
      </c>
      <c r="AD1168" s="15">
        <v>24</v>
      </c>
    </row>
    <row r="1169" spans="24:30">
      <c r="X1169" s="15">
        <v>1167</v>
      </c>
      <c r="Y1169" s="15" t="str">
        <v>Andrej Kramarić</v>
      </c>
      <c r="Z1169" s="15">
        <v>34</v>
      </c>
      <c r="AA1169" s="15" t="str">
        <v>Croatia</v>
      </c>
      <c r="AB1169" s="15" t="str">
        <v>ST</v>
      </c>
      <c r="AC1169" s="15" t="str">
        <v>TSG Hoffenheim</v>
      </c>
      <c r="AD1169" s="15">
        <v>9</v>
      </c>
    </row>
    <row r="1170" spans="24:30">
      <c r="X1170" s="15">
        <v>1168</v>
      </c>
      <c r="Y1170" s="15" t="str">
        <v>Ante Budimir</v>
      </c>
      <c r="Z1170" s="15">
        <v>34</v>
      </c>
      <c r="AA1170" s="15" t="str">
        <v>Croatia</v>
      </c>
      <c r="AB1170" s="15" t="str">
        <v>ST</v>
      </c>
      <c r="AC1170" s="15" t="str">
        <v>Osasuna</v>
      </c>
      <c r="AD1170" s="15">
        <v>11</v>
      </c>
    </row>
    <row r="1171" spans="24:30">
      <c r="X1171" s="15">
        <v>1169</v>
      </c>
      <c r="Y1171" s="15" t="str">
        <v>Igor Matanović</v>
      </c>
      <c r="Z1171" s="15">
        <v>23</v>
      </c>
      <c r="AA1171" s="15" t="str">
        <v>Croatia</v>
      </c>
      <c r="AB1171" s="15" t="str">
        <v>ST</v>
      </c>
      <c r="AC1171" s="15" t="str">
        <v>SC Freiburg</v>
      </c>
      <c r="AD1171" s="15">
        <v>20</v>
      </c>
    </row>
    <row r="1172" spans="24:30">
      <c r="X1172" s="15">
        <v>1170</v>
      </c>
      <c r="Y1172" s="15" t="str">
        <v>Petar Musa</v>
      </c>
      <c r="Z1172" s="15">
        <v>28</v>
      </c>
      <c r="AA1172" s="15" t="str">
        <v>Croatia</v>
      </c>
      <c r="AB1172" s="15" t="str">
        <v>ST</v>
      </c>
      <c r="AC1172" s="15" t="str">
        <v>FC Dallas</v>
      </c>
      <c r="AD1172" s="15">
        <v>26</v>
      </c>
    </row>
    <row r="1173" spans="24:30">
      <c r="X1173" s="15">
        <v>1171</v>
      </c>
      <c r="Y1173" s="15" t="str">
        <v>Jordan Pickford</v>
      </c>
      <c r="Z1173" s="15">
        <v>32</v>
      </c>
      <c r="AA1173" s="15" t="str">
        <v>England</v>
      </c>
      <c r="AB1173" s="15" t="str">
        <v>GK</v>
      </c>
      <c r="AC1173" s="15" t="str">
        <v>Everton</v>
      </c>
      <c r="AD1173" s="15">
        <v>1</v>
      </c>
    </row>
    <row r="1174" spans="24:30">
      <c r="X1174" s="15">
        <v>1172</v>
      </c>
      <c r="Y1174" s="15" t="str">
        <v>Dean Henderson</v>
      </c>
      <c r="Z1174" s="15">
        <v>29</v>
      </c>
      <c r="AA1174" s="15" t="str">
        <v>England</v>
      </c>
      <c r="AB1174" s="15" t="str">
        <v>GK</v>
      </c>
      <c r="AC1174" s="15" t="str">
        <v>Crystal Palace</v>
      </c>
      <c r="AD1174" s="15">
        <v>13</v>
      </c>
    </row>
    <row r="1175" spans="24:30">
      <c r="X1175" s="15">
        <v>1173</v>
      </c>
      <c r="Y1175" s="15" t="str">
        <v>James Trafford</v>
      </c>
      <c r="Z1175" s="15">
        <v>23</v>
      </c>
      <c r="AA1175" s="15" t="str">
        <v>England</v>
      </c>
      <c r="AB1175" s="15" t="str">
        <v>GK</v>
      </c>
      <c r="AC1175" s="15" t="str">
        <v>Manchester City</v>
      </c>
      <c r="AD1175" s="15">
        <v>23</v>
      </c>
    </row>
    <row r="1176" spans="24:30">
      <c r="X1176" s="15">
        <v>1174</v>
      </c>
      <c r="Y1176" s="15" t="str">
        <v>Ezri Konsa</v>
      </c>
      <c r="Z1176" s="15">
        <v>28</v>
      </c>
      <c r="AA1176" s="15" t="str">
        <v>England</v>
      </c>
      <c r="AB1176" s="15" t="str">
        <v>CB</v>
      </c>
      <c r="AC1176" s="15" t="str">
        <v>Aston Villa</v>
      </c>
      <c r="AD1176" s="15">
        <v>2</v>
      </c>
    </row>
    <row r="1177" spans="24:30">
      <c r="X1177" s="15">
        <v>1175</v>
      </c>
      <c r="Y1177" s="15" t="str">
        <v>John Stones</v>
      </c>
      <c r="Z1177" s="15">
        <v>32</v>
      </c>
      <c r="AA1177" s="15" t="str">
        <v>England</v>
      </c>
      <c r="AB1177" s="15" t="str">
        <v>CB</v>
      </c>
      <c r="AC1177" s="15" t="str">
        <v>Manchester City</v>
      </c>
      <c r="AD1177" s="15">
        <v>5</v>
      </c>
    </row>
    <row r="1178" spans="24:30">
      <c r="X1178" s="15">
        <v>1176</v>
      </c>
      <c r="Y1178" s="15" t="str">
        <v>Marc Guéhi</v>
      </c>
      <c r="Z1178" s="15">
        <v>25</v>
      </c>
      <c r="AA1178" s="15" t="str">
        <v>England</v>
      </c>
      <c r="AB1178" s="15" t="str">
        <v>CB</v>
      </c>
      <c r="AC1178" s="15" t="str">
        <v>Manchester City</v>
      </c>
      <c r="AD1178" s="15">
        <v>6</v>
      </c>
    </row>
    <row r="1179" spans="24:30">
      <c r="X1179" s="15">
        <v>1177</v>
      </c>
      <c r="Y1179" s="15" t="str">
        <v>Trevoh Chalobah</v>
      </c>
      <c r="Z1179" s="15">
        <v>26</v>
      </c>
      <c r="AA1179" s="15" t="str">
        <v>England</v>
      </c>
      <c r="AB1179" s="15" t="str">
        <v>CB</v>
      </c>
      <c r="AC1179" s="15" t="str">
        <v>Chelsea</v>
      </c>
      <c r="AD1179" s="15">
        <v>12</v>
      </c>
    </row>
    <row r="1180" spans="24:30">
      <c r="X1180" s="15">
        <v>1178</v>
      </c>
      <c r="Y1180" s="15" t="str">
        <v>Jarell Quansah</v>
      </c>
      <c r="Z1180" s="15">
        <v>23</v>
      </c>
      <c r="AA1180" s="15" t="str">
        <v>England</v>
      </c>
      <c r="AB1180" s="15" t="str">
        <v>CB</v>
      </c>
      <c r="AC1180" s="15" t="str">
        <v>Bayer Leverkusen</v>
      </c>
      <c r="AD1180" s="15">
        <v>26</v>
      </c>
    </row>
    <row r="1181" spans="24:30">
      <c r="X1181" s="15">
        <v>1179</v>
      </c>
      <c r="Y1181" s="15" t="str">
        <v>Nico O'Reilly</v>
      </c>
      <c r="Z1181" s="15">
        <v>21</v>
      </c>
      <c r="AA1181" s="15" t="str">
        <v>England</v>
      </c>
      <c r="AB1181" s="15" t="str">
        <v>LB</v>
      </c>
      <c r="AC1181" s="15" t="str">
        <v>Manchester City</v>
      </c>
      <c r="AD1181" s="15">
        <v>3</v>
      </c>
    </row>
    <row r="1182" spans="24:30">
      <c r="X1182" s="15">
        <v>1180</v>
      </c>
      <c r="Y1182" s="15" t="str">
        <v>Dan Burn</v>
      </c>
      <c r="Z1182" s="15">
        <v>34</v>
      </c>
      <c r="AA1182" s="15" t="str">
        <v>England</v>
      </c>
      <c r="AB1182" s="15" t="str">
        <v>LB</v>
      </c>
      <c r="AC1182" s="15" t="str">
        <v>Newcastle United</v>
      </c>
      <c r="AD1182" s="15">
        <v>15</v>
      </c>
    </row>
    <row r="1183" spans="24:30">
      <c r="X1183" s="15">
        <v>1181</v>
      </c>
      <c r="Y1183" s="15" t="str">
        <v>Reece James</v>
      </c>
      <c r="Z1183" s="15">
        <v>26</v>
      </c>
      <c r="AA1183" s="15" t="str">
        <v>England</v>
      </c>
      <c r="AB1183" s="15" t="str">
        <v>RB</v>
      </c>
      <c r="AC1183" s="15" t="str">
        <v>Chelsea</v>
      </c>
      <c r="AD1183" s="15">
        <v>24</v>
      </c>
    </row>
    <row r="1184" spans="24:30">
      <c r="X1184" s="15">
        <v>1182</v>
      </c>
      <c r="Y1184" s="15" t="str">
        <v>Djed Spence</v>
      </c>
      <c r="Z1184" s="15">
        <v>25</v>
      </c>
      <c r="AA1184" s="15" t="str">
        <v>England</v>
      </c>
      <c r="AB1184" s="15" t="str">
        <v>RB</v>
      </c>
      <c r="AC1184" s="15" t="str">
        <v>Tottenham Hotspur</v>
      </c>
      <c r="AD1184" s="15">
        <v>25</v>
      </c>
    </row>
    <row r="1185" spans="24:30">
      <c r="X1185" s="15">
        <v>1183</v>
      </c>
      <c r="Y1185" s="15" t="str">
        <v>Declan Rice</v>
      </c>
      <c r="Z1185" s="15">
        <v>27</v>
      </c>
      <c r="AA1185" s="15" t="str">
        <v>England</v>
      </c>
      <c r="AB1185" s="15" t="str">
        <v>CDM</v>
      </c>
      <c r="AC1185" s="15" t="str">
        <v>Arsenal</v>
      </c>
      <c r="AD1185" s="15">
        <v>4</v>
      </c>
    </row>
    <row r="1186" spans="24:30">
      <c r="X1186" s="15">
        <v>1184</v>
      </c>
      <c r="Y1186" s="15" t="str">
        <v>Kobbie Mainoo</v>
      </c>
      <c r="Z1186" s="15">
        <v>21</v>
      </c>
      <c r="AA1186" s="15" t="str">
        <v>England</v>
      </c>
      <c r="AB1186" s="15" t="str">
        <v>CDM</v>
      </c>
      <c r="AC1186" s="15" t="str">
        <v>Manchester United</v>
      </c>
      <c r="AD1186" s="15">
        <v>16</v>
      </c>
    </row>
    <row r="1187" spans="24:30">
      <c r="X1187" s="15">
        <v>1185</v>
      </c>
      <c r="Y1187" s="15" t="str">
        <v>Elliot Anderson</v>
      </c>
      <c r="Z1187" s="15">
        <v>23</v>
      </c>
      <c r="AA1187" s="15" t="str">
        <v>England</v>
      </c>
      <c r="AB1187" s="15" t="str">
        <v>CM</v>
      </c>
      <c r="AC1187" s="15" t="str">
        <v>Nottingham Forest</v>
      </c>
      <c r="AD1187" s="15">
        <v>8</v>
      </c>
    </row>
    <row r="1188" spans="24:30">
      <c r="X1188" s="15">
        <v>1186</v>
      </c>
      <c r="Y1188" s="15" t="str">
        <v>Jordan Henderson</v>
      </c>
      <c r="Z1188" s="15">
        <v>35</v>
      </c>
      <c r="AA1188" s="15" t="str">
        <v>England</v>
      </c>
      <c r="AB1188" s="15" t="str">
        <v>CM</v>
      </c>
      <c r="AC1188" s="15" t="str">
        <v>Brentford</v>
      </c>
      <c r="AD1188" s="15">
        <v>14</v>
      </c>
    </row>
    <row r="1189" spans="24:30">
      <c r="X1189" s="15">
        <v>1187</v>
      </c>
      <c r="Y1189" s="15" t="str">
        <v>Jude Bellingham</v>
      </c>
      <c r="Z1189" s="15">
        <v>22</v>
      </c>
      <c r="AA1189" s="15" t="str">
        <v>England</v>
      </c>
      <c r="AB1189" s="15" t="str">
        <v>CAM</v>
      </c>
      <c r="AC1189" s="15" t="str">
        <v>Real Madrid</v>
      </c>
      <c r="AD1189" s="15">
        <v>10</v>
      </c>
    </row>
    <row r="1190" spans="24:30">
      <c r="X1190" s="15">
        <v>1188</v>
      </c>
      <c r="Y1190" s="15" t="str">
        <v>Morgan Rogers</v>
      </c>
      <c r="Z1190" s="15">
        <v>23</v>
      </c>
      <c r="AA1190" s="15" t="str">
        <v>England</v>
      </c>
      <c r="AB1190" s="15" t="str">
        <v>CAM</v>
      </c>
      <c r="AC1190" s="15" t="str">
        <v>Aston Villa</v>
      </c>
      <c r="AD1190" s="15">
        <v>17</v>
      </c>
    </row>
    <row r="1191" spans="24:30">
      <c r="X1191" s="15">
        <v>1189</v>
      </c>
      <c r="Y1191" s="15" t="str">
        <v>Eberechi Eze</v>
      </c>
      <c r="Z1191" s="15">
        <v>27</v>
      </c>
      <c r="AA1191" s="15" t="str">
        <v>England</v>
      </c>
      <c r="AB1191" s="15" t="str">
        <v>CAM</v>
      </c>
      <c r="AC1191" s="15" t="str">
        <v>Arsenal</v>
      </c>
      <c r="AD1191" s="15">
        <v>21</v>
      </c>
    </row>
    <row r="1192" spans="24:30">
      <c r="X1192" s="15">
        <v>1190</v>
      </c>
      <c r="Y1192" s="15" t="str">
        <v>Marcus Rashford</v>
      </c>
      <c r="Z1192" s="15">
        <v>28</v>
      </c>
      <c r="AA1192" s="15" t="str">
        <v>England</v>
      </c>
      <c r="AB1192" s="15" t="str">
        <v>LW</v>
      </c>
      <c r="AC1192" s="15" t="str">
        <v>Barcelona</v>
      </c>
      <c r="AD1192" s="15">
        <v>11</v>
      </c>
    </row>
    <row r="1193" spans="24:30">
      <c r="X1193" s="15">
        <v>1191</v>
      </c>
      <c r="Y1193" s="15" t="str">
        <v>Anthony Gordon</v>
      </c>
      <c r="Z1193" s="15">
        <v>25</v>
      </c>
      <c r="AA1193" s="15" t="str">
        <v>England</v>
      </c>
      <c r="AB1193" s="15" t="str">
        <v>LW</v>
      </c>
      <c r="AC1193" s="15" t="str">
        <v>Newcastle United</v>
      </c>
      <c r="AD1193" s="15">
        <v>18</v>
      </c>
    </row>
    <row r="1194" spans="24:30">
      <c r="X1194" s="15">
        <v>1192</v>
      </c>
      <c r="Y1194" s="15" t="str">
        <v>Bukayo Saka</v>
      </c>
      <c r="Z1194" s="15">
        <v>24</v>
      </c>
      <c r="AA1194" s="15" t="str">
        <v>England</v>
      </c>
      <c r="AB1194" s="15" t="str">
        <v>RW</v>
      </c>
      <c r="AC1194" s="15" t="str">
        <v>Arsenal</v>
      </c>
      <c r="AD1194" s="15">
        <v>7</v>
      </c>
    </row>
    <row r="1195" spans="24:30">
      <c r="X1195" s="15">
        <v>1193</v>
      </c>
      <c r="Y1195" s="15" t="str">
        <v>Noni Madueke</v>
      </c>
      <c r="Z1195" s="15">
        <v>24</v>
      </c>
      <c r="AA1195" s="15" t="str">
        <v>England</v>
      </c>
      <c r="AB1195" s="15" t="str">
        <v>RW</v>
      </c>
      <c r="AC1195" s="15" t="str">
        <v>Arsenal</v>
      </c>
      <c r="AD1195" s="15">
        <v>20</v>
      </c>
    </row>
    <row r="1196" spans="24:30">
      <c r="X1196" s="15">
        <v>1194</v>
      </c>
      <c r="Y1196" s="15" t="str">
        <v>Harry Kane</v>
      </c>
      <c r="Z1196" s="15">
        <v>32</v>
      </c>
      <c r="AA1196" s="15" t="str">
        <v>England</v>
      </c>
      <c r="AB1196" s="15" t="str">
        <v>ST</v>
      </c>
      <c r="AC1196" s="15" t="str">
        <v>Bayern Munich</v>
      </c>
      <c r="AD1196" s="15">
        <v>9</v>
      </c>
    </row>
    <row r="1197" spans="24:30">
      <c r="X1197" s="15">
        <v>1195</v>
      </c>
      <c r="Y1197" s="15" t="str">
        <v>Ollie Watkins</v>
      </c>
      <c r="Z1197" s="15">
        <v>30</v>
      </c>
      <c r="AA1197" s="15" t="str">
        <v>England</v>
      </c>
      <c r="AB1197" s="15" t="str">
        <v>ST</v>
      </c>
      <c r="AC1197" s="15" t="str">
        <v>Aston Villa</v>
      </c>
      <c r="AD1197" s="15">
        <v>19</v>
      </c>
    </row>
    <row r="1198" spans="24:30">
      <c r="X1198" s="15">
        <v>1196</v>
      </c>
      <c r="Y1198" s="15" t="str">
        <v>Ivan Toney</v>
      </c>
      <c r="Z1198" s="15">
        <v>30</v>
      </c>
      <c r="AA1198" s="15" t="str">
        <v>England</v>
      </c>
      <c r="AB1198" s="15" t="str">
        <v>ST</v>
      </c>
      <c r="AC1198" s="15" t="str">
        <v>Al-Ahli</v>
      </c>
      <c r="AD1198" s="15">
        <v>22</v>
      </c>
    </row>
    <row r="1199" spans="24:30">
      <c r="X1199" s="15">
        <v>1197</v>
      </c>
      <c r="Y1199" s="15" t="str">
        <v>Lawrence Ati-Zigi</v>
      </c>
      <c r="Z1199" s="15">
        <v>29</v>
      </c>
      <c r="AA1199" s="15" t="str">
        <v>Ghana</v>
      </c>
      <c r="AB1199" s="15" t="str">
        <v>GK</v>
      </c>
      <c r="AC1199" s="15" t="str">
        <v>St. Gallen</v>
      </c>
      <c r="AD1199" s="15">
        <v>1</v>
      </c>
    </row>
    <row r="1200" spans="24:30">
      <c r="X1200" s="15">
        <v>1198</v>
      </c>
      <c r="Y1200" s="15" t="str">
        <v>Joseph Anang</v>
      </c>
      <c r="Z1200" s="15">
        <v>26</v>
      </c>
      <c r="AA1200" s="15" t="str">
        <v>Ghana</v>
      </c>
      <c r="AB1200" s="15" t="str">
        <v>GK</v>
      </c>
      <c r="AC1200" s="15" t="str">
        <v>St Patrick's Athletic</v>
      </c>
      <c r="AD1200" s="15">
        <v>12</v>
      </c>
    </row>
    <row r="1201" spans="24:30">
      <c r="X1201" s="15">
        <v>1199</v>
      </c>
      <c r="Y1201" s="15" t="str">
        <v>Benjamin Asare</v>
      </c>
      <c r="Z1201" s="15">
        <v>33</v>
      </c>
      <c r="AA1201" s="15" t="str">
        <v>Ghana</v>
      </c>
      <c r="AB1201" s="15" t="str">
        <v>GK</v>
      </c>
      <c r="AC1201" s="15" t="str">
        <v>Hearts of Oak</v>
      </c>
      <c r="AD1201" s="15">
        <v>16</v>
      </c>
    </row>
    <row r="1202" spans="24:30">
      <c r="X1202" s="15">
        <v>1200</v>
      </c>
      <c r="Y1202" s="15" t="str">
        <v>Jonas Adjetey</v>
      </c>
      <c r="Z1202" s="15">
        <v>22</v>
      </c>
      <c r="AA1202" s="15" t="str">
        <v>Ghana</v>
      </c>
      <c r="AB1202" s="15" t="str">
        <v>CB</v>
      </c>
      <c r="AC1202" s="15" t="str">
        <v>VfL Wolfsburg</v>
      </c>
      <c r="AD1202" s="15">
        <v>4</v>
      </c>
    </row>
    <row r="1203" spans="24:30">
      <c r="X1203" s="15">
        <v>1201</v>
      </c>
      <c r="Y1203" s="15" t="str">
        <v>Abdul Mumin</v>
      </c>
      <c r="Z1203" s="15">
        <v>28</v>
      </c>
      <c r="AA1203" s="15" t="str">
        <v>Ghana</v>
      </c>
      <c r="AB1203" s="15" t="str">
        <v>CB</v>
      </c>
      <c r="AC1203" s="15" t="str">
        <v>Rayo Vallecano</v>
      </c>
      <c r="AD1203" s="15">
        <v>6</v>
      </c>
    </row>
    <row r="1204" spans="24:30">
      <c r="X1204" s="15">
        <v>1202</v>
      </c>
      <c r="Y1204" s="15" t="str">
        <v>Jerome Opoku</v>
      </c>
      <c r="Z1204" s="15">
        <v>27</v>
      </c>
      <c r="AA1204" s="15" t="str">
        <v>Ghana</v>
      </c>
      <c r="AB1204" s="15" t="str">
        <v>CB</v>
      </c>
      <c r="AC1204" s="15" t="str">
        <v>İstanbul Başakşehir</v>
      </c>
      <c r="AD1204" s="15">
        <v>18</v>
      </c>
    </row>
    <row r="1205" spans="24:30">
      <c r="X1205" s="15">
        <v>1203</v>
      </c>
      <c r="Y1205" s="15" t="str">
        <v>Kojo Peprah Oppong</v>
      </c>
      <c r="Z1205" s="15">
        <v>22</v>
      </c>
      <c r="AA1205" s="15" t="str">
        <v>Ghana</v>
      </c>
      <c r="AB1205" s="15" t="str">
        <v>CB</v>
      </c>
      <c r="AC1205" s="15" t="str">
        <v>Nice</v>
      </c>
      <c r="AD1205" s="15">
        <v>21</v>
      </c>
    </row>
    <row r="1206" spans="24:30">
      <c r="X1206" s="15">
        <v>1204</v>
      </c>
      <c r="Y1206" s="15" t="str">
        <v>Derrick Luckassen</v>
      </c>
      <c r="Z1206" s="15">
        <v>30</v>
      </c>
      <c r="AA1206" s="15" t="str">
        <v>Ghana</v>
      </c>
      <c r="AB1206" s="15" t="str">
        <v>CB</v>
      </c>
      <c r="AC1206" s="15" t="str">
        <v>Pafos</v>
      </c>
      <c r="AD1206" s="15">
        <v>23</v>
      </c>
    </row>
    <row r="1207" spans="24:30">
      <c r="X1207" s="15">
        <v>1205</v>
      </c>
      <c r="Y1207" s="15" t="str">
        <v>Gideon Mensah</v>
      </c>
      <c r="Z1207" s="15">
        <v>27</v>
      </c>
      <c r="AA1207" s="15" t="str">
        <v>Ghana</v>
      </c>
      <c r="AB1207" s="15" t="str">
        <v>LB</v>
      </c>
      <c r="AC1207" s="15" t="str">
        <v>Auxerre</v>
      </c>
      <c r="AD1207" s="15">
        <v>14</v>
      </c>
    </row>
    <row r="1208" spans="24:30">
      <c r="X1208" s="15">
        <v>1206</v>
      </c>
      <c r="Y1208" s="15" t="str">
        <v>Abdul Rahman Baba</v>
      </c>
      <c r="Z1208" s="15">
        <v>31</v>
      </c>
      <c r="AA1208" s="15" t="str">
        <v>Ghana</v>
      </c>
      <c r="AB1208" s="15" t="str">
        <v>LB</v>
      </c>
      <c r="AC1208" s="15" t="str">
        <v>PAOK</v>
      </c>
      <c r="AD1208" s="15">
        <v>17</v>
      </c>
    </row>
    <row r="1209" spans="24:30">
      <c r="X1209" s="15">
        <v>1207</v>
      </c>
      <c r="Y1209" s="15" t="str">
        <v>Alidu Seidu</v>
      </c>
      <c r="Z1209" s="15">
        <v>26</v>
      </c>
      <c r="AA1209" s="15" t="str">
        <v>Ghana</v>
      </c>
      <c r="AB1209" s="15" t="str">
        <v>RB</v>
      </c>
      <c r="AC1209" s="15" t="str">
        <v>Rennes</v>
      </c>
      <c r="AD1209" s="15">
        <v>2</v>
      </c>
    </row>
    <row r="1210" spans="24:30">
      <c r="X1210" s="15">
        <v>1208</v>
      </c>
      <c r="Y1210" s="15" t="str">
        <v>Marvin Senaya</v>
      </c>
      <c r="Z1210" s="15">
        <v>25</v>
      </c>
      <c r="AA1210" s="15" t="str">
        <v>Ghana</v>
      </c>
      <c r="AB1210" s="15" t="str">
        <v>RB</v>
      </c>
      <c r="AC1210" s="15" t="str">
        <v>Auxerre</v>
      </c>
      <c r="AD1210" s="15">
        <v>26</v>
      </c>
    </row>
    <row r="1211" spans="24:30">
      <c r="X1211" s="15">
        <v>1209</v>
      </c>
      <c r="Y1211" s="15" t="str">
        <v>Thomas Partey</v>
      </c>
      <c r="Z1211" s="15">
        <v>32</v>
      </c>
      <c r="AA1211" s="15" t="str">
        <v>Ghana</v>
      </c>
      <c r="AB1211" s="15" t="str">
        <v>CDM</v>
      </c>
      <c r="AC1211" s="15" t="str">
        <v>Villarreal</v>
      </c>
      <c r="AD1211" s="15">
        <v>5</v>
      </c>
    </row>
    <row r="1212" spans="24:30">
      <c r="X1212" s="15">
        <v>1210</v>
      </c>
      <c r="Y1212" s="15" t="str">
        <v>Elisha Owusu</v>
      </c>
      <c r="Z1212" s="15">
        <v>28</v>
      </c>
      <c r="AA1212" s="15" t="str">
        <v>Ghana</v>
      </c>
      <c r="AB1212" s="15" t="str">
        <v>CDM</v>
      </c>
      <c r="AC1212" s="15" t="str">
        <v>Auxerre</v>
      </c>
      <c r="AD1212" s="15">
        <v>15</v>
      </c>
    </row>
    <row r="1213" spans="24:30">
      <c r="X1213" s="15">
        <v>1211</v>
      </c>
      <c r="Y1213" s="15" t="str">
        <v>Caleb Yirenkyi</v>
      </c>
      <c r="Z1213" s="15">
        <v>20</v>
      </c>
      <c r="AA1213" s="15" t="str">
        <v>Ghana</v>
      </c>
      <c r="AB1213" s="15" t="str">
        <v>CM</v>
      </c>
      <c r="AC1213" s="15" t="str">
        <v>Nordsjælland</v>
      </c>
      <c r="AD1213" s="15">
        <v>3</v>
      </c>
    </row>
    <row r="1214" spans="24:30">
      <c r="X1214" s="15">
        <v>1212</v>
      </c>
      <c r="Y1214" s="15" t="str">
        <v>Kwasi Sibo</v>
      </c>
      <c r="Z1214" s="15">
        <v>27</v>
      </c>
      <c r="AA1214" s="15" t="str">
        <v>Ghana</v>
      </c>
      <c r="AB1214" s="15" t="str">
        <v>CM</v>
      </c>
      <c r="AC1214" s="15" t="str">
        <v>Oviedo</v>
      </c>
      <c r="AD1214" s="15">
        <v>8</v>
      </c>
    </row>
    <row r="1215" spans="24:30">
      <c r="X1215" s="15">
        <v>1213</v>
      </c>
      <c r="Y1215" s="15" t="str">
        <v>Augustine Boakye</v>
      </c>
      <c r="Z1215" s="15">
        <v>25</v>
      </c>
      <c r="AA1215" s="15" t="str">
        <v>Ghana</v>
      </c>
      <c r="AB1215" s="15" t="str">
        <v>CM</v>
      </c>
      <c r="AC1215" s="15" t="str">
        <v>Saint-Étienne</v>
      </c>
      <c r="AD1215" s="15">
        <v>20</v>
      </c>
    </row>
    <row r="1216" spans="24:30">
      <c r="X1216" s="15">
        <v>1214</v>
      </c>
      <c r="Y1216" s="15" t="str">
        <v>Antoine Semenyo</v>
      </c>
      <c r="Z1216" s="15">
        <v>26</v>
      </c>
      <c r="AA1216" s="15" t="str">
        <v>Ghana</v>
      </c>
      <c r="AB1216" s="15" t="str">
        <v>CAM</v>
      </c>
      <c r="AC1216" s="15" t="str">
        <v>Manchester City</v>
      </c>
      <c r="AD1216" s="15">
        <v>11</v>
      </c>
    </row>
    <row r="1217" spans="24:30">
      <c r="X1217" s="15">
        <v>1215</v>
      </c>
      <c r="Y1217" s="15" t="str">
        <v>Iñaki Williams</v>
      </c>
      <c r="Z1217" s="15">
        <v>31</v>
      </c>
      <c r="AA1217" s="15" t="str">
        <v>Ghana</v>
      </c>
      <c r="AB1217" s="15" t="str">
        <v>LW</v>
      </c>
      <c r="AC1217" s="15" t="str">
        <v>Athletic Bilbao</v>
      </c>
      <c r="AD1217" s="15">
        <v>19</v>
      </c>
    </row>
    <row r="1218" spans="24:30">
      <c r="X1218" s="15">
        <v>1216</v>
      </c>
      <c r="Y1218" s="15" t="str">
        <v>Kamaldeen Sulemana</v>
      </c>
      <c r="Z1218" s="15">
        <v>24</v>
      </c>
      <c r="AA1218" s="15" t="str">
        <v>Ghana</v>
      </c>
      <c r="AB1218" s="15" t="str">
        <v>LW</v>
      </c>
      <c r="AC1218" s="15" t="str">
        <v>Atalanta</v>
      </c>
      <c r="AD1218" s="15">
        <v>22</v>
      </c>
    </row>
    <row r="1219" spans="24:30">
      <c r="X1219" s="15">
        <v>1217</v>
      </c>
      <c r="Y1219" s="15" t="str">
        <v>Abdul Fatawu</v>
      </c>
      <c r="Z1219" s="15">
        <v>22</v>
      </c>
      <c r="AA1219" s="15" t="str">
        <v>Ghana</v>
      </c>
      <c r="AB1219" s="15" t="str">
        <v>RW</v>
      </c>
      <c r="AC1219" s="15" t="str">
        <v>Leicester City</v>
      </c>
      <c r="AD1219" s="15">
        <v>7</v>
      </c>
    </row>
    <row r="1220" spans="24:30">
      <c r="X1220" s="15">
        <v>1218</v>
      </c>
      <c r="Y1220" s="15" t="str">
        <v>Christopher Bonsu Baah</v>
      </c>
      <c r="Z1220" s="15">
        <v>21</v>
      </c>
      <c r="AA1220" s="15" t="str">
        <v>Ghana</v>
      </c>
      <c r="AB1220" s="15" t="str">
        <v>RW</v>
      </c>
      <c r="AC1220" s="15" t="str">
        <v>Al-Qadsiah</v>
      </c>
      <c r="AD1220" s="15">
        <v>13</v>
      </c>
    </row>
    <row r="1221" spans="24:30">
      <c r="X1221" s="15">
        <v>1219</v>
      </c>
      <c r="Y1221" s="15" t="str">
        <v>Ernest Nuamah</v>
      </c>
      <c r="Z1221" s="15">
        <v>22</v>
      </c>
      <c r="AA1221" s="15" t="str">
        <v>Ghana</v>
      </c>
      <c r="AB1221" s="15" t="str">
        <v>RW</v>
      </c>
      <c r="AC1221" s="15" t="str">
        <v>Lyon</v>
      </c>
      <c r="AD1221" s="15">
        <v>24</v>
      </c>
    </row>
    <row r="1222" spans="24:30">
      <c r="X1222" s="15">
        <v>1220</v>
      </c>
      <c r="Y1222" s="15" t="str">
        <v>Jordan Ayew</v>
      </c>
      <c r="Z1222" s="15">
        <v>34</v>
      </c>
      <c r="AA1222" s="15" t="str">
        <v>Ghana</v>
      </c>
      <c r="AB1222" s="15" t="str">
        <v>ST</v>
      </c>
      <c r="AC1222" s="15" t="str">
        <v>Leicester City</v>
      </c>
      <c r="AD1222" s="15">
        <v>9</v>
      </c>
    </row>
    <row r="1223" spans="24:30">
      <c r="X1223" s="15">
        <v>1221</v>
      </c>
      <c r="Y1223" s="15" t="str">
        <v>Brandon Thomas-Asante</v>
      </c>
      <c r="Z1223" s="15">
        <v>27</v>
      </c>
      <c r="AA1223" s="15" t="str">
        <v>Ghana</v>
      </c>
      <c r="AB1223" s="15" t="str">
        <v>ST</v>
      </c>
      <c r="AC1223" s="15" t="str">
        <v>Coventry City</v>
      </c>
      <c r="AD1223" s="15">
        <v>10</v>
      </c>
    </row>
    <row r="1224" spans="24:30">
      <c r="X1224" s="15">
        <v>1222</v>
      </c>
      <c r="Y1224" s="15" t="str">
        <v>Prince Kwabena Adu</v>
      </c>
      <c r="Z1224" s="15">
        <v>22</v>
      </c>
      <c r="AA1224" s="15" t="str">
        <v>Ghana</v>
      </c>
      <c r="AB1224" s="15" t="str">
        <v>ST</v>
      </c>
      <c r="AC1224" s="15" t="str">
        <v>Viktoria Plzeň</v>
      </c>
      <c r="AD1224" s="15">
        <v>25</v>
      </c>
    </row>
    <row r="1225" spans="24:30">
      <c r="X1225" s="15">
        <v>1223</v>
      </c>
      <c r="Y1225" s="15" t="str">
        <v>Luis Mejía</v>
      </c>
      <c r="Z1225" s="15">
        <v>35</v>
      </c>
      <c r="AA1225" s="15" t="str">
        <v>Panama</v>
      </c>
      <c r="AB1225" s="15" t="str">
        <v>GK</v>
      </c>
      <c r="AC1225" s="15" t="str">
        <v>Nacional</v>
      </c>
      <c r="AD1225" s="15">
        <v>1</v>
      </c>
    </row>
    <row r="1226" spans="24:30">
      <c r="X1226" s="15">
        <v>1224</v>
      </c>
      <c r="Y1226" s="15" t="str">
        <v>César Samudio</v>
      </c>
      <c r="Z1226" s="15">
        <v>32</v>
      </c>
      <c r="AA1226" s="15" t="str">
        <v>Panama</v>
      </c>
      <c r="AB1226" s="15" t="str">
        <v>GK</v>
      </c>
      <c r="AC1226" s="15" t="str">
        <v>Marathón</v>
      </c>
      <c r="AD1226" s="15">
        <v>12</v>
      </c>
    </row>
    <row r="1227" spans="24:30">
      <c r="X1227" s="15">
        <v>1225</v>
      </c>
      <c r="Y1227" s="15" t="str">
        <v>Orlando Mosquera</v>
      </c>
      <c r="Z1227" s="15">
        <v>31</v>
      </c>
      <c r="AA1227" s="15" t="str">
        <v>Panama</v>
      </c>
      <c r="AB1227" s="15" t="str">
        <v>GK</v>
      </c>
      <c r="AC1227" s="15" t="str">
        <v>Al-Fayha</v>
      </c>
      <c r="AD1227" s="15">
        <v>22</v>
      </c>
    </row>
    <row r="1228" spans="24:30">
      <c r="X1228" s="15">
        <v>1226</v>
      </c>
      <c r="Y1228" s="15" t="str">
        <v>José Córdoba</v>
      </c>
      <c r="Z1228" s="15">
        <v>25</v>
      </c>
      <c r="AA1228" s="15" t="str">
        <v>Panama</v>
      </c>
      <c r="AB1228" s="15" t="str">
        <v>CB</v>
      </c>
      <c r="AC1228" s="15" t="str">
        <v>Norwich City</v>
      </c>
      <c r="AD1228" s="15">
        <v>3</v>
      </c>
    </row>
    <row r="1229" spans="24:30">
      <c r="X1229" s="15">
        <v>1227</v>
      </c>
      <c r="Y1229" s="15" t="str">
        <v>Fidel Escobar</v>
      </c>
      <c r="Z1229" s="15">
        <v>31</v>
      </c>
      <c r="AA1229" s="15" t="str">
        <v>Panama</v>
      </c>
      <c r="AB1229" s="15" t="str">
        <v>CB</v>
      </c>
      <c r="AC1229" s="15" t="str">
        <v>Saprissa</v>
      </c>
      <c r="AD1229" s="15">
        <v>4</v>
      </c>
    </row>
    <row r="1230" spans="24:30">
      <c r="X1230" s="15">
        <v>1228</v>
      </c>
      <c r="Y1230" s="15" t="str">
        <v>Edgardo Fariña</v>
      </c>
      <c r="Z1230" s="15">
        <v>24</v>
      </c>
      <c r="AA1230" s="15" t="str">
        <v>Panama</v>
      </c>
      <c r="AB1230" s="15" t="str">
        <v>CB</v>
      </c>
      <c r="AC1230" s="15" t="str">
        <v>Pari Nizhny Novgorod</v>
      </c>
      <c r="AD1230" s="15">
        <v>5</v>
      </c>
    </row>
    <row r="1231" spans="24:30">
      <c r="X1231" s="15">
        <v>1229</v>
      </c>
      <c r="Y1231" s="15" t="str">
        <v>Jiovany Ramos</v>
      </c>
      <c r="Z1231" s="15">
        <v>29</v>
      </c>
      <c r="AA1231" s="15" t="str">
        <v>Panama</v>
      </c>
      <c r="AB1231" s="15" t="str">
        <v>CB</v>
      </c>
      <c r="AC1231" s="15" t="str">
        <v>Puerto Cabello</v>
      </c>
      <c r="AD1231" s="15">
        <v>13</v>
      </c>
    </row>
    <row r="1232" spans="24:30">
      <c r="X1232" s="15">
        <v>1230</v>
      </c>
      <c r="Y1232" s="15" t="str">
        <v>Carlos Harvey</v>
      </c>
      <c r="Z1232" s="15">
        <v>26</v>
      </c>
      <c r="AA1232" s="15" t="str">
        <v>Panama</v>
      </c>
      <c r="AB1232" s="15" t="str">
        <v>CB</v>
      </c>
      <c r="AC1232" s="15" t="str">
        <v>Minnesota United FC</v>
      </c>
      <c r="AD1232" s="15">
        <v>14</v>
      </c>
    </row>
    <row r="1233" spans="24:30">
      <c r="X1233" s="15">
        <v>1231</v>
      </c>
      <c r="Y1233" s="15" t="str">
        <v>Roderick Miller</v>
      </c>
      <c r="Z1233" s="15">
        <v>34</v>
      </c>
      <c r="AA1233" s="15" t="str">
        <v>Panama</v>
      </c>
      <c r="AB1233" s="15" t="str">
        <v>CB</v>
      </c>
      <c r="AC1233" s="15" t="str">
        <v>Turan Tovuz</v>
      </c>
      <c r="AD1233" s="15">
        <v>25</v>
      </c>
    </row>
    <row r="1234" spans="24:30">
      <c r="X1234" s="15">
        <v>1232</v>
      </c>
      <c r="Y1234" s="15" t="str">
        <v>Eric Davis</v>
      </c>
      <c r="Z1234" s="15">
        <v>35</v>
      </c>
      <c r="AA1234" s="15" t="str">
        <v>Panama</v>
      </c>
      <c r="AB1234" s="15" t="str">
        <v>LB</v>
      </c>
      <c r="AC1234" s="15" t="str">
        <v>Plaza Amador</v>
      </c>
      <c r="AD1234" s="15">
        <v>15</v>
      </c>
    </row>
    <row r="1235" spans="24:30">
      <c r="X1235" s="15">
        <v>1233</v>
      </c>
      <c r="Y1235" s="15" t="str">
        <v>Andrés Andrade</v>
      </c>
      <c r="Z1235" s="15">
        <v>27</v>
      </c>
      <c r="AA1235" s="15" t="str">
        <v>Panama</v>
      </c>
      <c r="AB1235" s="15" t="str">
        <v>LB</v>
      </c>
      <c r="AC1235" s="15" t="str">
        <v>LASK</v>
      </c>
      <c r="AD1235" s="15">
        <v>16</v>
      </c>
    </row>
    <row r="1236" spans="24:30">
      <c r="X1236" s="15">
        <v>1234</v>
      </c>
      <c r="Y1236" s="15" t="str">
        <v>Jorge Gutiérrez</v>
      </c>
      <c r="Z1236" s="15">
        <v>27</v>
      </c>
      <c r="AA1236" s="15" t="str">
        <v>Panama</v>
      </c>
      <c r="AB1236" s="15" t="str">
        <v>LB</v>
      </c>
      <c r="AC1236" s="15" t="str">
        <v>Deportivo La Guaira</v>
      </c>
      <c r="AD1236" s="15">
        <v>26</v>
      </c>
    </row>
    <row r="1237" spans="24:30">
      <c r="X1237" s="15">
        <v>1235</v>
      </c>
      <c r="Y1237" s="15" t="str">
        <v>César Blackman</v>
      </c>
      <c r="Z1237" s="15">
        <v>28</v>
      </c>
      <c r="AA1237" s="15" t="str">
        <v>Panama</v>
      </c>
      <c r="AB1237" s="15" t="str">
        <v>RB</v>
      </c>
      <c r="AC1237" s="15" t="str">
        <v>Slovan Bratislava</v>
      </c>
      <c r="AD1237" s="15">
        <v>2</v>
      </c>
    </row>
    <row r="1238" spans="24:30">
      <c r="X1238" s="15">
        <v>1236</v>
      </c>
      <c r="Y1238" s="15" t="str">
        <v>Michael Amir Murillo</v>
      </c>
      <c r="Z1238" s="15">
        <v>30</v>
      </c>
      <c r="AA1238" s="15" t="str">
        <v>Panama</v>
      </c>
      <c r="AB1238" s="15" t="str">
        <v>RB</v>
      </c>
      <c r="AC1238" s="15" t="str">
        <v>Beşiktaş</v>
      </c>
      <c r="AD1238" s="15">
        <v>23</v>
      </c>
    </row>
    <row r="1239" spans="24:30">
      <c r="X1239" s="15">
        <v>1237</v>
      </c>
      <c r="Y1239" s="15" t="str">
        <v>Cristian Martínez</v>
      </c>
      <c r="Z1239" s="15">
        <v>29</v>
      </c>
      <c r="AA1239" s="15" t="str">
        <v>Panama</v>
      </c>
      <c r="AB1239" s="15" t="str">
        <v>CDM</v>
      </c>
      <c r="AC1239" s="15" t="str">
        <v>Ironi Kiryat Shmona</v>
      </c>
      <c r="AD1239" s="15">
        <v>6</v>
      </c>
    </row>
    <row r="1240" spans="24:30">
      <c r="X1240" s="15">
        <v>1238</v>
      </c>
      <c r="Y1240" s="15" t="str">
        <v>Aníbal Godoy</v>
      </c>
      <c r="Z1240" s="15">
        <v>36</v>
      </c>
      <c r="AA1240" s="15" t="str">
        <v>Panama</v>
      </c>
      <c r="AB1240" s="15" t="str">
        <v>CDM</v>
      </c>
      <c r="AC1240" s="15" t="str">
        <v>San Diego FC</v>
      </c>
      <c r="AD1240" s="15">
        <v>20</v>
      </c>
    </row>
    <row r="1241" spans="24:30">
      <c r="X1241" s="15">
        <v>1239</v>
      </c>
      <c r="Y1241" s="15" t="str">
        <v>Adalberto Carrasquilla</v>
      </c>
      <c r="Z1241" s="15">
        <v>27</v>
      </c>
      <c r="AA1241" s="15" t="str">
        <v>Panama</v>
      </c>
      <c r="AB1241" s="15" t="str">
        <v>CM</v>
      </c>
      <c r="AC1241" s="15" t="str">
        <v>Pumas UNAM</v>
      </c>
      <c r="AD1241" s="15">
        <v>8</v>
      </c>
    </row>
    <row r="1242" spans="24:30">
      <c r="X1242" s="15">
        <v>1240</v>
      </c>
      <c r="Y1242" s="15" t="str">
        <v>Alberto Quintero</v>
      </c>
      <c r="Z1242" s="15">
        <v>38</v>
      </c>
      <c r="AA1242" s="15" t="str">
        <v>Panama</v>
      </c>
      <c r="AB1242" s="15" t="str">
        <v>CM</v>
      </c>
      <c r="AC1242" s="15" t="str">
        <v>Plaza Amador</v>
      </c>
      <c r="AD1242" s="15">
        <v>19</v>
      </c>
    </row>
    <row r="1243" spans="24:30">
      <c r="X1243" s="15">
        <v>1241</v>
      </c>
      <c r="Y1243" s="15" t="str">
        <v>José Luis Rodríguez</v>
      </c>
      <c r="Z1243" s="15">
        <v>27</v>
      </c>
      <c r="AA1243" s="15" t="str">
        <v>Panama</v>
      </c>
      <c r="AB1243" s="15" t="str">
        <v>CAM</v>
      </c>
      <c r="AC1243" s="15" t="str">
        <v>Juárez</v>
      </c>
      <c r="AD1243" s="15">
        <v>7</v>
      </c>
    </row>
    <row r="1244" spans="24:30">
      <c r="X1244" s="15">
        <v>1242</v>
      </c>
      <c r="Y1244" s="15" t="str">
        <v>Yoel Bárcenas</v>
      </c>
      <c r="Z1244" s="15">
        <v>32</v>
      </c>
      <c r="AA1244" s="15" t="str">
        <v>Panama</v>
      </c>
      <c r="AB1244" s="15" t="str">
        <v>CAM</v>
      </c>
      <c r="AC1244" s="15" t="str">
        <v>Mazatlán</v>
      </c>
      <c r="AD1244" s="15">
        <v>11</v>
      </c>
    </row>
    <row r="1245" spans="24:30">
      <c r="X1245" s="15">
        <v>1243</v>
      </c>
      <c r="Y1245" s="15" t="str">
        <v>César Yanis</v>
      </c>
      <c r="Z1245" s="15">
        <v>30</v>
      </c>
      <c r="AA1245" s="15" t="str">
        <v>Panama</v>
      </c>
      <c r="AB1245" s="15" t="str">
        <v>CAM</v>
      </c>
      <c r="AC1245" s="15" t="str">
        <v>Cobresal</v>
      </c>
      <c r="AD1245" s="15">
        <v>21</v>
      </c>
    </row>
    <row r="1246" spans="24:30">
      <c r="X1246" s="15">
        <v>1244</v>
      </c>
      <c r="Y1246" s="15" t="str">
        <v>Ismael Díaz</v>
      </c>
      <c r="Z1246" s="15">
        <v>29</v>
      </c>
      <c r="AA1246" s="15" t="str">
        <v>Panama</v>
      </c>
      <c r="AB1246" s="15" t="str">
        <v>LW</v>
      </c>
      <c r="AC1246" s="15" t="str">
        <v>León</v>
      </c>
      <c r="AD1246" s="15">
        <v>10</v>
      </c>
    </row>
    <row r="1247" spans="24:30">
      <c r="X1247" s="15">
        <v>1245</v>
      </c>
      <c r="Y1247" s="15" t="str">
        <v>Tomás Rodríguez</v>
      </c>
      <c r="Z1247" s="15">
        <v>27</v>
      </c>
      <c r="AA1247" s="15" t="str">
        <v>Panama</v>
      </c>
      <c r="AB1247" s="15" t="str">
        <v>ST</v>
      </c>
      <c r="AC1247" s="15" t="str">
        <v>Saprissa</v>
      </c>
      <c r="AD1247" s="15">
        <v>9</v>
      </c>
    </row>
    <row r="1248" spans="24:30">
      <c r="X1248" s="15">
        <v>1246</v>
      </c>
      <c r="Y1248" s="15" t="str">
        <v>José Fajardo</v>
      </c>
      <c r="Z1248" s="15">
        <v>32</v>
      </c>
      <c r="AA1248" s="15" t="str">
        <v>Panama</v>
      </c>
      <c r="AB1248" s="15" t="str">
        <v>ST</v>
      </c>
      <c r="AC1248" s="15" t="str">
        <v>Universidad Católica</v>
      </c>
      <c r="AD1248" s="15">
        <v>17</v>
      </c>
    </row>
    <row r="1249" spans="24:30">
      <c r="X1249" s="15">
        <v>1247</v>
      </c>
      <c r="Y1249" s="15" t="str">
        <v>Cecilio Waterman</v>
      </c>
      <c r="Z1249" s="15">
        <v>35</v>
      </c>
      <c r="AA1249" s="15" t="str">
        <v>Panama</v>
      </c>
      <c r="AB1249" s="15" t="str">
        <v>ST</v>
      </c>
      <c r="AC1249" s="15" t="str">
        <v>Universidad de Concepción</v>
      </c>
      <c r="AD1249" s="15">
        <v>18</v>
      </c>
    </row>
    <row r="1250" spans="24:30">
      <c r="X1250" s="15">
        <v>1248</v>
      </c>
      <c r="Y1250" s="15" t="str">
        <v>Azarias Londoño</v>
      </c>
      <c r="Z1250" s="15">
        <v>24</v>
      </c>
      <c r="AA1250" s="15" t="str">
        <v>Panama</v>
      </c>
      <c r="AB1250" s="15" t="str">
        <v>ST</v>
      </c>
      <c r="AC1250" s="15" t="str">
        <v>Universidad Católica</v>
      </c>
      <c r="AD1250" s="15">
        <v>24</v>
      </c>
    </row>
    <row r="2121" spans="37:37">
      <c r="AK2121" s="114">
        <f>COUNTIF(DATA_BRUT!AM:AM,AP3)</f>
        <v>0</v>
      </c>
    </row>
  </sheetData>
  <mergeCells count="5">
    <mergeCell ref="X1:AD1"/>
    <mergeCell ref="A1:E1"/>
    <mergeCell ref="G1:S1"/>
    <mergeCell ref="T1:V1"/>
    <mergeCell ref="AF1:AO1"/>
  </mergeCells>
  <conditionalFormatting sqref="A3:E50">
    <cfRule type="expression" dxfId="13" priority="1">
      <formula>MOD(ROW(),2)=0</formula>
    </cfRule>
  </conditionalFormatting>
  <conditionalFormatting sqref="G3:V354">
    <cfRule type="expression" dxfId="12" priority="2">
      <formula>MOD(ROW(),2)=0</formula>
    </cfRule>
  </conditionalFormatting>
  <conditionalFormatting sqref="X3:AD1250">
    <cfRule type="expression" dxfId="11" priority="3">
      <formula>MOD(ROW(),2)=0</formula>
    </cfRule>
  </conditionalFormatting>
  <conditionalFormatting sqref="AF3:AO1060">
    <cfRule type="expression" dxfId="10" priority="4">
      <formula>MOD(ROW(),2)=0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F8F79-2772-44C2-A640-85EC460F5489}">
  <dimension ref="A1:BU99"/>
  <sheetViews>
    <sheetView zoomScale="85" zoomScaleNormal="85" workbookViewId="0">
      <selection activeCell="BF42" sqref="BF42"/>
    </sheetView>
  </sheetViews>
  <sheetFormatPr baseColWidth="10" defaultRowHeight="15"/>
  <cols>
    <col min="1" max="1" width="31" bestFit="1" customWidth="1"/>
    <col min="2" max="24" width="7.5703125" bestFit="1" customWidth="1"/>
    <col min="25" max="25" width="9.28515625" bestFit="1" customWidth="1"/>
    <col min="26" max="26" width="7.42578125" bestFit="1" customWidth="1"/>
    <col min="27" max="27" width="10.5703125" bestFit="1" customWidth="1"/>
    <col min="28" max="28" width="12.7109375" bestFit="1" customWidth="1"/>
    <col min="29" max="29" width="11.85546875" bestFit="1" customWidth="1"/>
    <col min="30" max="30" width="5.85546875" bestFit="1" customWidth="1"/>
    <col min="31" max="31" width="15.5703125" bestFit="1" customWidth="1"/>
    <col min="32" max="32" width="14.7109375" bestFit="1" customWidth="1"/>
    <col min="33" max="33" width="28.42578125" bestFit="1" customWidth="1"/>
    <col min="34" max="34" width="20.28515625" bestFit="1" customWidth="1"/>
    <col min="35" max="35" width="20.28515625" customWidth="1"/>
    <col min="36" max="36" width="35.5703125" bestFit="1" customWidth="1"/>
    <col min="37" max="37" width="24.5703125" bestFit="1" customWidth="1"/>
    <col min="38" max="38" width="31.7109375" bestFit="1" customWidth="1"/>
    <col min="39" max="39" width="36.28515625" bestFit="1" customWidth="1"/>
    <col min="40" max="40" width="36" bestFit="1" customWidth="1"/>
    <col min="41" max="41" width="23.28515625" bestFit="1" customWidth="1"/>
    <col min="42" max="42" width="54.42578125" bestFit="1" customWidth="1"/>
    <col min="43" max="43" width="30.28515625" bestFit="1" customWidth="1"/>
    <col min="44" max="44" width="33.28515625" bestFit="1" customWidth="1"/>
    <col min="45" max="45" width="18.140625" bestFit="1" customWidth="1"/>
    <col min="46" max="46" width="11.42578125" bestFit="1" customWidth="1"/>
    <col min="47" max="47" width="5.85546875" bestFit="1" customWidth="1"/>
    <col min="48" max="48" width="16" bestFit="1" customWidth="1"/>
    <col min="49" max="49" width="20" bestFit="1" customWidth="1"/>
    <col min="50" max="50" width="16.28515625" bestFit="1" customWidth="1"/>
    <col min="51" max="51" width="9.28515625" bestFit="1" customWidth="1"/>
    <col min="52" max="52" width="7.140625" bestFit="1" customWidth="1"/>
    <col min="53" max="53" width="18.42578125" bestFit="1" customWidth="1"/>
    <col min="54" max="54" width="27.42578125" customWidth="1"/>
    <col min="55" max="55" width="33.5703125" customWidth="1"/>
    <col min="56" max="56" width="18.5703125" bestFit="1" customWidth="1"/>
    <col min="58" max="58" width="28.140625" bestFit="1" customWidth="1"/>
    <col min="61" max="61" width="18.85546875" bestFit="1" customWidth="1"/>
    <col min="64" max="64" width="18.28515625" bestFit="1" customWidth="1"/>
  </cols>
  <sheetData>
    <row r="1" spans="1:73" ht="44.1" customHeight="1">
      <c r="A1" s="227" t="s">
        <v>3814</v>
      </c>
      <c r="B1" s="227"/>
      <c r="C1" s="227"/>
      <c r="D1" s="227"/>
      <c r="E1" s="227"/>
      <c r="F1" s="227"/>
      <c r="G1" s="227"/>
      <c r="H1" s="227"/>
      <c r="I1" s="227"/>
      <c r="J1" s="227"/>
      <c r="K1" s="227"/>
      <c r="L1" s="227"/>
      <c r="M1" s="227"/>
      <c r="N1" s="227"/>
      <c r="O1" s="227"/>
      <c r="P1" s="227"/>
      <c r="Q1" s="227"/>
      <c r="R1" s="227"/>
      <c r="S1" s="227"/>
      <c r="T1" s="227"/>
      <c r="U1" s="227"/>
      <c r="V1" s="227"/>
      <c r="W1" s="227"/>
      <c r="X1" s="227"/>
      <c r="Y1" s="255"/>
      <c r="AA1" s="256" t="s">
        <v>3574</v>
      </c>
      <c r="AB1" s="257"/>
      <c r="AC1" s="257"/>
      <c r="AD1" s="257"/>
      <c r="AE1" s="257"/>
      <c r="AF1" s="257"/>
      <c r="AG1" s="257"/>
      <c r="AH1" s="257"/>
      <c r="AI1" s="257"/>
      <c r="AJ1" s="257"/>
      <c r="AK1" s="257"/>
      <c r="AL1" s="257"/>
      <c r="AM1" s="257"/>
      <c r="AN1" s="257"/>
      <c r="AO1" s="257"/>
      <c r="AP1" s="257"/>
      <c r="AQ1" s="257"/>
      <c r="AR1" s="257"/>
      <c r="AS1" s="257"/>
      <c r="AT1" s="257"/>
      <c r="AU1" s="257"/>
      <c r="AV1" s="257"/>
      <c r="AW1" s="257"/>
      <c r="AX1" s="257"/>
      <c r="AY1" s="257"/>
      <c r="AZ1" s="257"/>
      <c r="BA1" s="258"/>
      <c r="BB1" s="259" t="s">
        <v>3875</v>
      </c>
      <c r="BC1" s="259"/>
      <c r="BD1" s="259"/>
      <c r="BF1" s="260" t="s">
        <v>3914</v>
      </c>
      <c r="BG1" s="260"/>
      <c r="BH1" s="260"/>
      <c r="BI1" s="260"/>
      <c r="BJ1" s="260"/>
      <c r="BK1" s="260"/>
      <c r="BL1" s="260"/>
      <c r="BM1" s="260"/>
      <c r="BN1" s="260"/>
      <c r="BO1" s="260"/>
      <c r="BP1" s="260"/>
      <c r="BQ1" s="260"/>
      <c r="BR1" s="260"/>
      <c r="BS1" s="260"/>
      <c r="BT1" s="260"/>
      <c r="BU1" s="260"/>
    </row>
    <row r="2" spans="1:73" ht="30.75" thickBot="1">
      <c r="A2" s="110" t="s">
        <v>3815</v>
      </c>
      <c r="B2" s="111" cm="1">
        <f t="array" ref="B2:X2">TRANSPOSE(_xlfn.UNIQUE(_xlfn.ANCHORARRAY(DATA_CLEANED!AF3)))</f>
        <v>1930</v>
      </c>
      <c r="C2" s="111">
        <v>1934</v>
      </c>
      <c r="D2" s="111">
        <v>1938</v>
      </c>
      <c r="E2" s="111">
        <v>1950</v>
      </c>
      <c r="F2" s="111">
        <v>1954</v>
      </c>
      <c r="G2" s="111">
        <v>1958</v>
      </c>
      <c r="H2" s="111">
        <v>1962</v>
      </c>
      <c r="I2" s="111">
        <v>1966</v>
      </c>
      <c r="J2" s="111">
        <v>1970</v>
      </c>
      <c r="K2" s="111">
        <v>1974</v>
      </c>
      <c r="L2" s="111">
        <v>1978</v>
      </c>
      <c r="M2" s="111">
        <v>1982</v>
      </c>
      <c r="N2" s="111">
        <v>1986</v>
      </c>
      <c r="O2" s="111">
        <v>1990</v>
      </c>
      <c r="P2" s="111">
        <v>1994</v>
      </c>
      <c r="Q2" s="111">
        <v>1998</v>
      </c>
      <c r="R2" s="111">
        <v>2002</v>
      </c>
      <c r="S2" s="111">
        <v>2006</v>
      </c>
      <c r="T2" s="111">
        <v>2010</v>
      </c>
      <c r="U2" s="111">
        <v>2014</v>
      </c>
      <c r="V2" s="111">
        <v>2018</v>
      </c>
      <c r="W2" s="111">
        <v>2022</v>
      </c>
      <c r="X2" s="111">
        <v>2026</v>
      </c>
      <c r="Y2" s="111" t="s">
        <v>3554</v>
      </c>
      <c r="AA2" s="111" t="s">
        <v>3567</v>
      </c>
      <c r="AB2" s="111" t="s">
        <v>3566</v>
      </c>
      <c r="AC2" s="111" t="s">
        <v>3568</v>
      </c>
      <c r="AD2" s="111" t="s">
        <v>3823</v>
      </c>
      <c r="AE2" s="111" t="s">
        <v>3569</v>
      </c>
      <c r="AF2" s="111" t="s">
        <v>3570</v>
      </c>
      <c r="AG2" s="111" t="s">
        <v>0</v>
      </c>
      <c r="AH2" s="111" t="s">
        <v>3</v>
      </c>
      <c r="AI2" s="111" t="s">
        <v>3911</v>
      </c>
      <c r="AJ2" s="111" t="s">
        <v>3857</v>
      </c>
      <c r="AK2" s="111" t="s">
        <v>4</v>
      </c>
      <c r="AL2" s="111" t="s">
        <v>3871</v>
      </c>
      <c r="AM2" s="111" t="s">
        <v>3912</v>
      </c>
      <c r="AN2" s="111" t="s">
        <v>3872</v>
      </c>
      <c r="AO2" s="111" t="s">
        <v>3873</v>
      </c>
      <c r="AP2" s="111" t="s">
        <v>2</v>
      </c>
      <c r="AQ2" s="111" t="s">
        <v>3816</v>
      </c>
      <c r="AR2" s="111" t="s">
        <v>3860</v>
      </c>
      <c r="AS2" s="111" t="s">
        <v>3864</v>
      </c>
      <c r="AT2" s="111" t="s">
        <v>3865</v>
      </c>
      <c r="AU2" s="111" t="s">
        <v>3823</v>
      </c>
      <c r="AV2" s="111" t="s">
        <v>3866</v>
      </c>
      <c r="AW2" s="111" t="s">
        <v>3867</v>
      </c>
      <c r="AX2" s="111" t="s">
        <v>3868</v>
      </c>
      <c r="AY2" s="111" t="s">
        <v>3869</v>
      </c>
      <c r="AZ2" s="111" t="s">
        <v>3870</v>
      </c>
      <c r="BA2" s="111" t="s">
        <v>3874</v>
      </c>
      <c r="BB2" s="111" t="s">
        <v>3855</v>
      </c>
      <c r="BC2" s="111" t="s">
        <v>3856</v>
      </c>
      <c r="BD2" s="111" t="s">
        <v>3878</v>
      </c>
      <c r="BK2" s="167"/>
      <c r="BL2" s="167"/>
      <c r="BM2" s="167"/>
      <c r="BN2" s="167"/>
      <c r="BO2" s="167"/>
      <c r="BP2" s="167"/>
      <c r="BQ2" s="167"/>
      <c r="BR2" s="167"/>
      <c r="BS2" s="167"/>
    </row>
    <row r="3" spans="1:73" ht="15" customHeight="1">
      <c r="A3" s="112" t="str" cm="1">
        <f t="array" ref="A3:A92">_xlfn._xlws.SORT(_xlfn.UNIQUE(_xlfn.VSTACK(_xlfn.ANCHORARRAY(DATA_CLEANED!AK3),_xlfn.ANCHORARRAY(DATA_CLEANED!AN3))),1)</f>
        <v>Algeria</v>
      </c>
      <c r="B3" s="112">
        <f>IF(COUNTIFS(_xlfn.ANCHORARRAY(DATA_CLEANED!$AF$3),CALCULES!B$2,_xlfn.ANCHORARRAY(DATA_CLEANED!$AK$3),CALCULES!$A3)+COUNTIFS(_xlfn.ANCHORARRAY(DATA_CLEANED!$AF$3),CALCULES!B$2,_xlfn.ANCHORARRAY(DATA_CLEANED!$AN$3),CALCULES!$A3)&gt;0,1,0)</f>
        <v>0</v>
      </c>
      <c r="C3" s="112">
        <f>IF(COUNTIFS(_xlfn.ANCHORARRAY(DATA_CLEANED!$AF$3),CALCULES!C$2,_xlfn.ANCHORARRAY(DATA_CLEANED!$AK$3),CALCULES!$A3)+COUNTIFS(_xlfn.ANCHORARRAY(DATA_CLEANED!$AF$3),CALCULES!C$2,_xlfn.ANCHORARRAY(DATA_CLEANED!$AN$3),CALCULES!$A3)&gt;0,1,0)</f>
        <v>0</v>
      </c>
      <c r="D3" s="112">
        <f>IF(COUNTIFS(_xlfn.ANCHORARRAY(DATA_CLEANED!$AF$3),CALCULES!D$2,_xlfn.ANCHORARRAY(DATA_CLEANED!$AK$3),CALCULES!$A3)+COUNTIFS(_xlfn.ANCHORARRAY(DATA_CLEANED!$AF$3),CALCULES!D$2,_xlfn.ANCHORARRAY(DATA_CLEANED!$AN$3),CALCULES!$A3)&gt;0,1,0)</f>
        <v>0</v>
      </c>
      <c r="E3" s="112">
        <f>IF(COUNTIFS(_xlfn.ANCHORARRAY(DATA_CLEANED!$AF$3),CALCULES!E$2,_xlfn.ANCHORARRAY(DATA_CLEANED!$AK$3),CALCULES!$A3)+COUNTIFS(_xlfn.ANCHORARRAY(DATA_CLEANED!$AF$3),CALCULES!E$2,_xlfn.ANCHORARRAY(DATA_CLEANED!$AN$3),CALCULES!$A3)&gt;0,1,0)</f>
        <v>0</v>
      </c>
      <c r="F3" s="112">
        <f>IF(COUNTIFS(_xlfn.ANCHORARRAY(DATA_CLEANED!$AF$3),CALCULES!F$2,_xlfn.ANCHORARRAY(DATA_CLEANED!$AK$3),CALCULES!$A3)+COUNTIFS(_xlfn.ANCHORARRAY(DATA_CLEANED!$AF$3),CALCULES!F$2,_xlfn.ANCHORARRAY(DATA_CLEANED!$AN$3),CALCULES!$A3)&gt;0,1,0)</f>
        <v>0</v>
      </c>
      <c r="G3" s="112">
        <f>IF(COUNTIFS(_xlfn.ANCHORARRAY(DATA_CLEANED!$AF$3),CALCULES!G$2,_xlfn.ANCHORARRAY(DATA_CLEANED!$AK$3),CALCULES!$A3)+COUNTIFS(_xlfn.ANCHORARRAY(DATA_CLEANED!$AF$3),CALCULES!G$2,_xlfn.ANCHORARRAY(DATA_CLEANED!$AN$3),CALCULES!$A3)&gt;0,1,0)</f>
        <v>0</v>
      </c>
      <c r="H3" s="112">
        <f>IF(COUNTIFS(_xlfn.ANCHORARRAY(DATA_CLEANED!$AF$3),CALCULES!H$2,_xlfn.ANCHORARRAY(DATA_CLEANED!$AK$3),CALCULES!$A3)+COUNTIFS(_xlfn.ANCHORARRAY(DATA_CLEANED!$AF$3),CALCULES!H$2,_xlfn.ANCHORARRAY(DATA_CLEANED!$AN$3),CALCULES!$A3)&gt;0,1,0)</f>
        <v>0</v>
      </c>
      <c r="I3" s="112">
        <f>IF(COUNTIFS(_xlfn.ANCHORARRAY(DATA_CLEANED!$AF$3),CALCULES!I$2,_xlfn.ANCHORARRAY(DATA_CLEANED!$AK$3),CALCULES!$A3)+COUNTIFS(_xlfn.ANCHORARRAY(DATA_CLEANED!$AF$3),CALCULES!I$2,_xlfn.ANCHORARRAY(DATA_CLEANED!$AN$3),CALCULES!$A3)&gt;0,1,0)</f>
        <v>0</v>
      </c>
      <c r="J3" s="112">
        <f>IF(COUNTIFS(_xlfn.ANCHORARRAY(DATA_CLEANED!$AF$3),CALCULES!J$2,_xlfn.ANCHORARRAY(DATA_CLEANED!$AK$3),CALCULES!$A3)+COUNTIFS(_xlfn.ANCHORARRAY(DATA_CLEANED!$AF$3),CALCULES!J$2,_xlfn.ANCHORARRAY(DATA_CLEANED!$AN$3),CALCULES!$A3)&gt;0,1,0)</f>
        <v>0</v>
      </c>
      <c r="K3" s="112">
        <f>IF(COUNTIFS(_xlfn.ANCHORARRAY(DATA_CLEANED!$AF$3),CALCULES!K$2,_xlfn.ANCHORARRAY(DATA_CLEANED!$AK$3),CALCULES!$A3)+COUNTIFS(_xlfn.ANCHORARRAY(DATA_CLEANED!$AF$3),CALCULES!K$2,_xlfn.ANCHORARRAY(DATA_CLEANED!$AN$3),CALCULES!$A3)&gt;0,1,0)</f>
        <v>0</v>
      </c>
      <c r="L3" s="112">
        <f>IF(COUNTIFS(_xlfn.ANCHORARRAY(DATA_CLEANED!$AF$3),CALCULES!L$2,_xlfn.ANCHORARRAY(DATA_CLEANED!$AK$3),CALCULES!$A3)+COUNTIFS(_xlfn.ANCHORARRAY(DATA_CLEANED!$AF$3),CALCULES!L$2,_xlfn.ANCHORARRAY(DATA_CLEANED!$AN$3),CALCULES!$A3)&gt;0,1,0)</f>
        <v>0</v>
      </c>
      <c r="M3" s="112">
        <f>IF(COUNTIFS(_xlfn.ANCHORARRAY(DATA_CLEANED!$AF$3),CALCULES!M$2,_xlfn.ANCHORARRAY(DATA_CLEANED!$AK$3),CALCULES!$A3)+COUNTIFS(_xlfn.ANCHORARRAY(DATA_CLEANED!$AF$3),CALCULES!M$2,_xlfn.ANCHORARRAY(DATA_CLEANED!$AN$3),CALCULES!$A3)&gt;0,1,0)</f>
        <v>1</v>
      </c>
      <c r="N3" s="112">
        <f>IF(COUNTIFS(_xlfn.ANCHORARRAY(DATA_CLEANED!$AF$3),CALCULES!N$2,_xlfn.ANCHORARRAY(DATA_CLEANED!$AK$3),CALCULES!$A3)+COUNTIFS(_xlfn.ANCHORARRAY(DATA_CLEANED!$AF$3),CALCULES!N$2,_xlfn.ANCHORARRAY(DATA_CLEANED!$AN$3),CALCULES!$A3)&gt;0,1,0)</f>
        <v>1</v>
      </c>
      <c r="O3" s="112">
        <f>IF(COUNTIFS(_xlfn.ANCHORARRAY(DATA_CLEANED!$AF$3),CALCULES!O$2,_xlfn.ANCHORARRAY(DATA_CLEANED!$AK$3),CALCULES!$A3)+COUNTIFS(_xlfn.ANCHORARRAY(DATA_CLEANED!$AF$3),CALCULES!O$2,_xlfn.ANCHORARRAY(DATA_CLEANED!$AN$3),CALCULES!$A3)&gt;0,1,0)</f>
        <v>0</v>
      </c>
      <c r="P3" s="112">
        <f>IF(COUNTIFS(_xlfn.ANCHORARRAY(DATA_CLEANED!$AF$3),CALCULES!P$2,_xlfn.ANCHORARRAY(DATA_CLEANED!$AK$3),CALCULES!$A3)+COUNTIFS(_xlfn.ANCHORARRAY(DATA_CLEANED!$AF$3),CALCULES!P$2,_xlfn.ANCHORARRAY(DATA_CLEANED!$AN$3),CALCULES!$A3)&gt;0,1,0)</f>
        <v>0</v>
      </c>
      <c r="Q3" s="112">
        <f>IF(COUNTIFS(_xlfn.ANCHORARRAY(DATA_CLEANED!$AF$3),CALCULES!Q$2,_xlfn.ANCHORARRAY(DATA_CLEANED!$AK$3),CALCULES!$A3)+COUNTIFS(_xlfn.ANCHORARRAY(DATA_CLEANED!$AF$3),CALCULES!Q$2,_xlfn.ANCHORARRAY(DATA_CLEANED!$AN$3),CALCULES!$A3)&gt;0,1,0)</f>
        <v>0</v>
      </c>
      <c r="R3" s="112">
        <f>IF(COUNTIFS(_xlfn.ANCHORARRAY(DATA_CLEANED!$AF$3),CALCULES!R$2,_xlfn.ANCHORARRAY(DATA_CLEANED!$AK$3),CALCULES!$A3)+COUNTIFS(_xlfn.ANCHORARRAY(DATA_CLEANED!$AF$3),CALCULES!R$2,_xlfn.ANCHORARRAY(DATA_CLEANED!$AN$3),CALCULES!$A3)&gt;0,1,0)</f>
        <v>0</v>
      </c>
      <c r="S3" s="112">
        <f>IF(COUNTIFS(_xlfn.ANCHORARRAY(DATA_CLEANED!$AF$3),CALCULES!S$2,_xlfn.ANCHORARRAY(DATA_CLEANED!$AK$3),CALCULES!$A3)+COUNTIFS(_xlfn.ANCHORARRAY(DATA_CLEANED!$AF$3),CALCULES!S$2,_xlfn.ANCHORARRAY(DATA_CLEANED!$AN$3),CALCULES!$A3)&gt;0,1,0)</f>
        <v>0</v>
      </c>
      <c r="T3" s="112">
        <f>IF(COUNTIFS(_xlfn.ANCHORARRAY(DATA_CLEANED!$AF$3),CALCULES!T$2,_xlfn.ANCHORARRAY(DATA_CLEANED!$AK$3),CALCULES!$A3)+COUNTIFS(_xlfn.ANCHORARRAY(DATA_CLEANED!$AF$3),CALCULES!T$2,_xlfn.ANCHORARRAY(DATA_CLEANED!$AN$3),CALCULES!$A3)&gt;0,1,0)</f>
        <v>1</v>
      </c>
      <c r="U3" s="112">
        <f>IF(COUNTIFS(_xlfn.ANCHORARRAY(DATA_CLEANED!$AF$3),CALCULES!U$2,_xlfn.ANCHORARRAY(DATA_CLEANED!$AK$3),CALCULES!$A3)+COUNTIFS(_xlfn.ANCHORARRAY(DATA_CLEANED!$AF$3),CALCULES!U$2,_xlfn.ANCHORARRAY(DATA_CLEANED!$AN$3),CALCULES!$A3)&gt;0,1,0)</f>
        <v>1</v>
      </c>
      <c r="V3" s="112">
        <f>IF(COUNTIFS(_xlfn.ANCHORARRAY(DATA_CLEANED!$AF$3),CALCULES!V$2,_xlfn.ANCHORARRAY(DATA_CLEANED!$AK$3),CALCULES!$A3)+COUNTIFS(_xlfn.ANCHORARRAY(DATA_CLEANED!$AF$3),CALCULES!V$2,_xlfn.ANCHORARRAY(DATA_CLEANED!$AN$3),CALCULES!$A3)&gt;0,1,0)</f>
        <v>0</v>
      </c>
      <c r="W3" s="112">
        <f>IF(COUNTIFS(_xlfn.ANCHORARRAY(DATA_CLEANED!$AF$3),CALCULES!W$2,_xlfn.ANCHORARRAY(DATA_CLEANED!$AK$3),CALCULES!$A3)+COUNTIFS(_xlfn.ANCHORARRAY(DATA_CLEANED!$AF$3),CALCULES!W$2,_xlfn.ANCHORARRAY(DATA_CLEANED!$AN$3),CALCULES!$A3)&gt;0,1,0)</f>
        <v>0</v>
      </c>
      <c r="X3" s="112">
        <f>IF(COUNTIFS(_xlfn.ANCHORARRAY(DATA_CLEANED!$AF$3),CALCULES!X$2,_xlfn.ANCHORARRAY(DATA_CLEANED!$AK$3),CALCULES!$A3)+COUNTIFS(_xlfn.ANCHORARRAY(DATA_CLEANED!$AF$3),CALCULES!X$2,_xlfn.ANCHORARRAY(DATA_CLEANED!$AN$3),CALCULES!$A3)&gt;0,1,0)</f>
        <v>1</v>
      </c>
      <c r="Y3" s="113">
        <f t="shared" ref="Y3:Y34" si="0">+SUM(B3:X3)</f>
        <v>5</v>
      </c>
      <c r="AA3" s="112">
        <f>COUNTIF(_xlfn.ANCHORARRAY(DATA_CLEANED!$AK$3),$A3)+COUNTIF(DATA_CLEANED!$AN$2:$AN$1060,$A3)</f>
        <v>15</v>
      </c>
      <c r="AB3" s="112">
        <f>COUNTIF(DATA_QUALITE!BG$12:BG$1069,A3)</f>
        <v>3</v>
      </c>
      <c r="AC3" s="112">
        <f>AA3-AB3-AD3</f>
        <v>12</v>
      </c>
      <c r="AD3" s="112" cm="1">
        <f t="array" ref="AD3">SUMPRODUCT((DATA_CLEANED!AL$3:AL$1060=DATA_CLEANED!AM$3:AM$1060)*(_xlfn.ANCHORARRAY(DATA_CLEANED!AK$3)=CALCULES!A3)*(DATA_CLEANED!AO$3:AO$1060&lt;&gt;"-"))
+
SUMPRODUCT((DATA_CLEANED!AL$3:AL$1060=DATA_CLEANED!AM$3:AM$1060)*(_xlfn.ANCHORARRAY(DATA_CLEANED!AN$3)=CALCULES!A3)*(DATA_CLEANED!AO$3:AO$1060&lt;&gt;"-"))</f>
        <v>0</v>
      </c>
      <c r="AE3" s="116">
        <f t="shared" ref="AE3:AE34" si="1">AB3/AA3</f>
        <v>0.2</v>
      </c>
      <c r="AF3" s="116">
        <f t="shared" ref="AF3:AF34" si="2">AC3/AA3</f>
        <v>0.8</v>
      </c>
      <c r="AG3" s="112">
        <f>SUMIF(_xlfn.ANCHORARRAY(DATA_CLEANED!AK$3),A3,DATA_CLEANED!AL$2:AL$1060)+SUMIF(_xlfn.ANCHORARRAY(DATA_CLEANED!AN$3),A3,DATA_CLEANED!AM$2:AM$1060)</f>
        <v>18</v>
      </c>
      <c r="AH3" s="112">
        <f>SUMIF(_xlfn.ANCHORARRAY(DATA_CLEANED!AK$3),A3,DATA_CLEANED!AM$2:AM$1060)+SUMIF(_xlfn.ANCHORARRAY(DATA_CLEANED!AN$3),A3,DATA_CLEANED!AL$2:AL$1060)</f>
        <v>23</v>
      </c>
      <c r="AI3" s="112">
        <f>ROUND(AH3/AA3,2)</f>
        <v>1.53</v>
      </c>
      <c r="AJ3" s="117" cm="1">
        <f t="array" ref="AJ3">_xlfn.LET(_xlpm.home,IFERROR(_xlfn._xlws.FILTER(DATA_CLEANED!AH$3:AH$1060,DATA_CLEANED!AK$3:AK$1060=CALCULES!A3),""),
_xlpm.away,IFERROR(_xlfn._xlws.FILTER(DATA_CLEANED!AH$3:AH$1060,DATA_CLEANED!AN$3:AN$1060=CALCULES!A3),""),
_xlpm.assemb_t,_xlfn._xlws.FILTER(_xlfn.VSTACK(_xlpm.home,_xlpm.away),_xlfn.VSTACK(_xlpm.home,_xlpm.away)&lt;&gt;""),
_xlpm.but_h,IFERROR(_xlfn._xlws.FILTER(_xlfn.ANCHORARRAY(DATA_CLEANED!AM$3),DATA_CLEANED!AK$3:AK$1060=CALCULES!A3),""),
_xlpm.but_a,IFERROR(_xlfn._xlws.FILTER(_xlfn.ANCHORARRAY(DATA_CLEANED!AL$3),DATA_CLEANED!AN$3:AN$1060=CALCULES!A3),""),
_xlpm.assemb_b,_xlfn._xlws.FILTER(_xlfn.VSTACK(_xlpm.but_h,_xlpm.but_a),_xlfn.VSTACK(_xlpm.but_h,_xlpm.but_a)&lt;&gt;""),
MEDIAN(_xlpm.assemb_t,_xlpm.assemb_b)
)</f>
        <v>2</v>
      </c>
      <c r="AK3" s="112">
        <f t="shared" ref="AK3:AK34" si="3">AG3-AH3</f>
        <v>-5</v>
      </c>
      <c r="AL3" s="112" cm="1">
        <f t="array" ref="AL3">IFERROR(MEDIAN(_xlfn._xlws.FILTER(_xlfn.VSTACK(
DATA_CLEANED!AL$3:AL$1060-DATA_CLEANED!AM$3:AM$1060,
DATA_CLEANED!AM$3:AM$1060-DATA_CLEANED!AL$3:AL$1060
),_xlfn.VSTACK(DATA_CLEANED!AK$3:AK$1060,DATA_CLEANED!AN$3:AN$1060)=A3)),"-")</f>
        <v>-1</v>
      </c>
      <c r="AM3" s="112">
        <f>ROUND(IF(AG3=0,0,AG3/AA3),2)</f>
        <v>1.2</v>
      </c>
      <c r="AN3" s="112" cm="1">
        <f t="array" ref="AN3">_xlfn.LET(_xlpm.home,IFERROR(_xlfn._xlws.FILTER(DATA_CLEANED!AH$3:AH$1060,DATA_CLEANED!AK$3:AK$1060=CALCULES!A3),""),
_xlpm.away,IFERROR(_xlfn._xlws.FILTER(DATA_CLEANED!AH$3:AH$1060,DATA_CLEANED!AN$3:AN$1060=CALCULES!A3),""),
_xlpm.assemb_t,_xlfn._xlws.FILTER(_xlfn.VSTACK(_xlpm.home,_xlpm.away),_xlfn.VSTACK(_xlpm.home,_xlpm.away)&lt;&gt;""),
_xlpm.but_h,IFERROR(_xlfn._xlws.FILTER(_xlfn.ANCHORARRAY(DATA_CLEANED!AL$3),DATA_CLEANED!AK$3:AK$1060=CALCULES!A3),""),
_xlpm.but_a,IFERROR(_xlfn._xlws.FILTER(_xlfn.ANCHORARRAY(DATA_CLEANED!AM$3),DATA_CLEANED!AN$3:AN$1060=CALCULES!A3),""),
_xlpm.assemb_b,_xlfn._xlws.FILTER(_xlfn.VSTACK(_xlpm.but_h,_xlpm.but_a),_xlfn.VSTACK(_xlpm.but_h,_xlpm.but_a)&lt;&gt;""),
MEDIAN(_xlpm.assemb_t,_xlpm.assemb_b)
)</f>
        <v>0</v>
      </c>
      <c r="AO3" s="116">
        <f>ROUND(IFERROR((COUNTIFS(DATA_CLEANED!AK$3:AK$1060,A3,DATA_CLEANED!AM$3:AM$1060,0)
+
COUNTIFS(DATA_CLEANED!AN$3:AN$1060,A3,DATA_CLEANED!AL$3:AL$1060,0)
)/AA3,0),2)</f>
        <v>7.0000000000000007E-2</v>
      </c>
      <c r="AP3" s="112">
        <f>MAX((_xlfn.MAXIFS(_xlfn.ANCHORARRAY(DATA_CLEANED!AL$3),_xlfn.ANCHORARRAY(DATA_CLEANED!AK$3),A3)),(_xlfn.MAXIFS(DATA_CLEANED!AM$3:AM$1060,_xlfn.ANCHORARRAY(DATA_CLEANED!AN$3),A3)))</f>
        <v>4</v>
      </c>
      <c r="AQ3" s="112">
        <f>COUNTIF(_xlfn.ANCHORARRAY(DATA_CLEANED!K$3),A3)</f>
        <v>0</v>
      </c>
      <c r="AR3" s="113" t="str" cm="1">
        <f t="array" ref="AR3">_xlfn.LET(
_xlpm.home,IFERROR(_xlfn._xlws.FILTER(DATA_CLEANED!AH$3:AH$1060,DATA_CLEANED!AK$3:AK$1060=CALCULES!A3),""),
_xlpm.away,IFERROR(_xlfn._xlws.FILTER(DATA_CLEANED!AH$3:AH$1060,DATA_CLEANED!AN$3:AN$1060=CALCULES!A3),""),
_xlpm.etapes,_xlfn._xlws.FILTER(_xlfn.VSTACK(_xlpm.home,_xlpm.away),_xlfn.VSTACK(_xlpm.home,_xlpm.away)&lt;&gt;""),
_xlpm.numeros,_xlfn.XLOOKUP(_xlpm.etapes,DATA_QUALITE!AT$12:AT$38,DATA_QUALITE!AU$12:AU$38),
_xlfn.XLOOKUP(MIN(_xlpm.numeros),DATA_QUALITE!AU$12:AU$38,DATA_QUALITE!AT$12:AT$38)
)</f>
        <v>ROUND_OF_16</v>
      </c>
      <c r="AS3" s="112">
        <f t="shared" ref="AS3:AS34" si="4">Y3</f>
        <v>5</v>
      </c>
      <c r="AT3" s="112">
        <f t="shared" ref="AT3:AT34" si="5">AB3</f>
        <v>3</v>
      </c>
      <c r="AU3" s="112">
        <f>COUNTIFS(DATA_QUALITE!BG$12:BG$1069,"MATCH NUL",_xlfn.ANCHORARRAY(DATA_CLEANED!AK$3),CALCULES!A3)+COUNTIFS(DATA_QUALITE!BG$12:BG$1069,"MATCH NUL",_xlfn.ANCHORARRAY(DATA_CLEANED!AN$3),CALCULES!A3)</f>
        <v>3</v>
      </c>
      <c r="AV3" s="112" cm="1">
        <f t="array" ref="AV3:AV92">AG3:AG92</f>
        <v>18</v>
      </c>
      <c r="AW3" s="112">
        <f>COUNTIFS(_xlfn.ANCHORARRAY(DATA_CLEANED!AH$3),"QUARTER_FINALS",_xlfn.ANCHORARRAY(DATA_CLEANED!AK$3),CALCULES!A3)+COUNTIFS(_xlfn.ANCHORARRAY(DATA_CLEANED!AH$3),"QUARTER_FINALS",_xlfn.ANCHORARRAY(DATA_CLEANED!AN$3),CALCULES!A3)</f>
        <v>0</v>
      </c>
      <c r="AX3" s="112">
        <f>COUNTIFS(_xlfn.ANCHORARRAY(DATA_CLEANED!AH$3),"SEMI_FINALS",_xlfn.ANCHORARRAY(DATA_CLEANED!AK$3),CALCULES!A3)+COUNTIFS(_xlfn.ANCHORARRAY(DATA_CLEANED!AH$3),"SEMI_FINALS",_xlfn.ANCHORARRAY(DATA_CLEANED!AN$3),CALCULES!A3)</f>
        <v>0</v>
      </c>
      <c r="AY3" s="112">
        <f>COUNTIFS(_xlfn.ANCHORARRAY(DATA_CLEANED!AH$3),"FINAL",_xlfn.ANCHORARRAY(DATA_CLEANED!AK$3),CALCULES!A3)+COUNTIFS(_xlfn.ANCHORARRAY(DATA_CLEANED!AH$3),"FINAL",_xlfn.ANCHORARRAY(DATA_CLEANED!AN$3),CALCULES!A3)</f>
        <v>0</v>
      </c>
      <c r="AZ3" s="112">
        <f>COUNTIFS(DATA_QUALITE!BG$12:BG$1069,CALCULES!A3,DATA_QUALITE!AW$12:AW$1069,"FINAL")</f>
        <v>0</v>
      </c>
      <c r="BA3" s="113">
        <f t="shared" ref="BA3:BA34" si="6">ROUND((35*VALUE(AE3))+(0.3*MIN(AN3/3,1)*100)+(0.25*(MAX(0,1-AJ3/3)*100))+(IF(AK3&lt;&gt;0,(0.1*(MIN((AA3/AK3)/60,1)*100)),0)),2)</f>
        <v>14.83</v>
      </c>
      <c r="BB3" s="118">
        <f>ROUND((0.6*MIN(AM3/3,1)*100+0.2*MIN(AN3/2,1)*100+0.2*AE3*100)*(AB3/MAX($AB$3:$AB$92))^0.5,2)</f>
        <v>5.36</v>
      </c>
      <c r="BC3" s="118">
        <f>ROUND((0.6*MAX(0,1-MIN(AI3/3,1))*100+0.2*MAX(0,1-MIN(AJ3/2,1))*100+0.2*AO3*100)*(AB3/MAX($AB$3:$AB$92))^0.5,2)</f>
        <v>5.89</v>
      </c>
      <c r="BD3" s="139">
        <f>ROUND(0.5*BB3+0.5*BC3,2)</f>
        <v>5.63</v>
      </c>
      <c r="BF3" s="176" t="s">
        <v>3887</v>
      </c>
      <c r="BG3" s="176">
        <f>40</f>
        <v>40</v>
      </c>
      <c r="BH3" s="167"/>
      <c r="BI3" s="167"/>
      <c r="BJ3" s="167"/>
      <c r="BK3" s="167"/>
      <c r="BL3" s="172" t="s">
        <v>3913</v>
      </c>
      <c r="BM3" s="172">
        <v>0</v>
      </c>
      <c r="BN3" s="172">
        <v>1</v>
      </c>
      <c r="BO3" s="172">
        <v>2</v>
      </c>
      <c r="BP3" s="172">
        <v>3</v>
      </c>
      <c r="BQ3" s="172">
        <v>4</v>
      </c>
      <c r="BR3" s="172">
        <v>5</v>
      </c>
      <c r="BS3" s="172">
        <v>6</v>
      </c>
      <c r="BT3" s="172">
        <v>7</v>
      </c>
      <c r="BU3" s="172">
        <v>8</v>
      </c>
    </row>
    <row r="4" spans="1:73" ht="15" customHeight="1">
      <c r="A4" s="113" t="str">
        <v>Angola</v>
      </c>
      <c r="B4" s="112">
        <f>IF(COUNTIFS(_xlfn.ANCHORARRAY(DATA_CLEANED!$AF$3),CALCULES!B$2,_xlfn.ANCHORARRAY(DATA_CLEANED!$AK$3),CALCULES!$A4)+COUNTIFS(_xlfn.ANCHORARRAY(DATA_CLEANED!$AF$3),CALCULES!B$2,_xlfn.ANCHORARRAY(DATA_CLEANED!$AN$3),CALCULES!$A4)&gt;0,1,0)</f>
        <v>0</v>
      </c>
      <c r="C4" s="112">
        <f>IF(COUNTIFS(_xlfn.ANCHORARRAY(DATA_CLEANED!$AF$3),CALCULES!C$2,_xlfn.ANCHORARRAY(DATA_CLEANED!$AK$3),CALCULES!$A4)+COUNTIFS(_xlfn.ANCHORARRAY(DATA_CLEANED!$AF$3),CALCULES!C$2,_xlfn.ANCHORARRAY(DATA_CLEANED!$AN$3),CALCULES!$A4)&gt;0,1,0)</f>
        <v>0</v>
      </c>
      <c r="D4" s="112">
        <f>IF(COUNTIFS(_xlfn.ANCHORARRAY(DATA_CLEANED!$AF$3),CALCULES!D$2,_xlfn.ANCHORARRAY(DATA_CLEANED!$AK$3),CALCULES!$A4)+COUNTIFS(_xlfn.ANCHORARRAY(DATA_CLEANED!$AF$3),CALCULES!D$2,_xlfn.ANCHORARRAY(DATA_CLEANED!$AN$3),CALCULES!$A4)&gt;0,1,0)</f>
        <v>0</v>
      </c>
      <c r="E4" s="112">
        <f>IF(COUNTIFS(_xlfn.ANCHORARRAY(DATA_CLEANED!$AF$3),CALCULES!E$2,_xlfn.ANCHORARRAY(DATA_CLEANED!$AK$3),CALCULES!$A4)+COUNTIFS(_xlfn.ANCHORARRAY(DATA_CLEANED!$AF$3),CALCULES!E$2,_xlfn.ANCHORARRAY(DATA_CLEANED!$AN$3),CALCULES!$A4)&gt;0,1,0)</f>
        <v>0</v>
      </c>
      <c r="F4" s="112">
        <f>IF(COUNTIFS(_xlfn.ANCHORARRAY(DATA_CLEANED!$AF$3),CALCULES!F$2,_xlfn.ANCHORARRAY(DATA_CLEANED!$AK$3),CALCULES!$A4)+COUNTIFS(_xlfn.ANCHORARRAY(DATA_CLEANED!$AF$3),CALCULES!F$2,_xlfn.ANCHORARRAY(DATA_CLEANED!$AN$3),CALCULES!$A4)&gt;0,1,0)</f>
        <v>0</v>
      </c>
      <c r="G4" s="112">
        <f>IF(COUNTIFS(_xlfn.ANCHORARRAY(DATA_CLEANED!$AF$3),CALCULES!G$2,_xlfn.ANCHORARRAY(DATA_CLEANED!$AK$3),CALCULES!$A4)+COUNTIFS(_xlfn.ANCHORARRAY(DATA_CLEANED!$AF$3),CALCULES!G$2,_xlfn.ANCHORARRAY(DATA_CLEANED!$AN$3),CALCULES!$A4)&gt;0,1,0)</f>
        <v>0</v>
      </c>
      <c r="H4" s="112">
        <f>IF(COUNTIFS(_xlfn.ANCHORARRAY(DATA_CLEANED!$AF$3),CALCULES!H$2,_xlfn.ANCHORARRAY(DATA_CLEANED!$AK$3),CALCULES!$A4)+COUNTIFS(_xlfn.ANCHORARRAY(DATA_CLEANED!$AF$3),CALCULES!H$2,_xlfn.ANCHORARRAY(DATA_CLEANED!$AN$3),CALCULES!$A4)&gt;0,1,0)</f>
        <v>0</v>
      </c>
      <c r="I4" s="112">
        <f>IF(COUNTIFS(_xlfn.ANCHORARRAY(DATA_CLEANED!$AF$3),CALCULES!I$2,_xlfn.ANCHORARRAY(DATA_CLEANED!$AK$3),CALCULES!$A4)+COUNTIFS(_xlfn.ANCHORARRAY(DATA_CLEANED!$AF$3),CALCULES!I$2,_xlfn.ANCHORARRAY(DATA_CLEANED!$AN$3),CALCULES!$A4)&gt;0,1,0)</f>
        <v>0</v>
      </c>
      <c r="J4" s="112">
        <f>IF(COUNTIFS(_xlfn.ANCHORARRAY(DATA_CLEANED!$AF$3),CALCULES!J$2,_xlfn.ANCHORARRAY(DATA_CLEANED!$AK$3),CALCULES!$A4)+COUNTIFS(_xlfn.ANCHORARRAY(DATA_CLEANED!$AF$3),CALCULES!J$2,_xlfn.ANCHORARRAY(DATA_CLEANED!$AN$3),CALCULES!$A4)&gt;0,1,0)</f>
        <v>0</v>
      </c>
      <c r="K4" s="112">
        <f>IF(COUNTIFS(_xlfn.ANCHORARRAY(DATA_CLEANED!$AF$3),CALCULES!K$2,_xlfn.ANCHORARRAY(DATA_CLEANED!$AK$3),CALCULES!$A4)+COUNTIFS(_xlfn.ANCHORARRAY(DATA_CLEANED!$AF$3),CALCULES!K$2,_xlfn.ANCHORARRAY(DATA_CLEANED!$AN$3),CALCULES!$A4)&gt;0,1,0)</f>
        <v>0</v>
      </c>
      <c r="L4" s="112">
        <f>IF(COUNTIFS(_xlfn.ANCHORARRAY(DATA_CLEANED!$AF$3),CALCULES!L$2,_xlfn.ANCHORARRAY(DATA_CLEANED!$AK$3),CALCULES!$A4)+COUNTIFS(_xlfn.ANCHORARRAY(DATA_CLEANED!$AF$3),CALCULES!L$2,_xlfn.ANCHORARRAY(DATA_CLEANED!$AN$3),CALCULES!$A4)&gt;0,1,0)</f>
        <v>0</v>
      </c>
      <c r="M4" s="112">
        <f>IF(COUNTIFS(_xlfn.ANCHORARRAY(DATA_CLEANED!$AF$3),CALCULES!M$2,_xlfn.ANCHORARRAY(DATA_CLEANED!$AK$3),CALCULES!$A4)+COUNTIFS(_xlfn.ANCHORARRAY(DATA_CLEANED!$AF$3),CALCULES!M$2,_xlfn.ANCHORARRAY(DATA_CLEANED!$AN$3),CALCULES!$A4)&gt;0,1,0)</f>
        <v>0</v>
      </c>
      <c r="N4" s="112">
        <f>IF(COUNTIFS(_xlfn.ANCHORARRAY(DATA_CLEANED!$AF$3),CALCULES!N$2,_xlfn.ANCHORARRAY(DATA_CLEANED!$AK$3),CALCULES!$A4)+COUNTIFS(_xlfn.ANCHORARRAY(DATA_CLEANED!$AF$3),CALCULES!N$2,_xlfn.ANCHORARRAY(DATA_CLEANED!$AN$3),CALCULES!$A4)&gt;0,1,0)</f>
        <v>0</v>
      </c>
      <c r="O4" s="112">
        <f>IF(COUNTIFS(_xlfn.ANCHORARRAY(DATA_CLEANED!$AF$3),CALCULES!O$2,_xlfn.ANCHORARRAY(DATA_CLEANED!$AK$3),CALCULES!$A4)+COUNTIFS(_xlfn.ANCHORARRAY(DATA_CLEANED!$AF$3),CALCULES!O$2,_xlfn.ANCHORARRAY(DATA_CLEANED!$AN$3),CALCULES!$A4)&gt;0,1,0)</f>
        <v>0</v>
      </c>
      <c r="P4" s="112">
        <f>IF(COUNTIFS(_xlfn.ANCHORARRAY(DATA_CLEANED!$AF$3),CALCULES!P$2,_xlfn.ANCHORARRAY(DATA_CLEANED!$AK$3),CALCULES!$A4)+COUNTIFS(_xlfn.ANCHORARRAY(DATA_CLEANED!$AF$3),CALCULES!P$2,_xlfn.ANCHORARRAY(DATA_CLEANED!$AN$3),CALCULES!$A4)&gt;0,1,0)</f>
        <v>0</v>
      </c>
      <c r="Q4" s="112">
        <f>IF(COUNTIFS(_xlfn.ANCHORARRAY(DATA_CLEANED!$AF$3),CALCULES!Q$2,_xlfn.ANCHORARRAY(DATA_CLEANED!$AK$3),CALCULES!$A4)+COUNTIFS(_xlfn.ANCHORARRAY(DATA_CLEANED!$AF$3),CALCULES!Q$2,_xlfn.ANCHORARRAY(DATA_CLEANED!$AN$3),CALCULES!$A4)&gt;0,1,0)</f>
        <v>0</v>
      </c>
      <c r="R4" s="112">
        <f>IF(COUNTIFS(_xlfn.ANCHORARRAY(DATA_CLEANED!$AF$3),CALCULES!R$2,_xlfn.ANCHORARRAY(DATA_CLEANED!$AK$3),CALCULES!$A4)+COUNTIFS(_xlfn.ANCHORARRAY(DATA_CLEANED!$AF$3),CALCULES!R$2,_xlfn.ANCHORARRAY(DATA_CLEANED!$AN$3),CALCULES!$A4)&gt;0,1,0)</f>
        <v>0</v>
      </c>
      <c r="S4" s="112">
        <f>IF(COUNTIFS(_xlfn.ANCHORARRAY(DATA_CLEANED!$AF$3),CALCULES!S$2,_xlfn.ANCHORARRAY(DATA_CLEANED!$AK$3),CALCULES!$A4)+COUNTIFS(_xlfn.ANCHORARRAY(DATA_CLEANED!$AF$3),CALCULES!S$2,_xlfn.ANCHORARRAY(DATA_CLEANED!$AN$3),CALCULES!$A4)&gt;0,1,0)</f>
        <v>1</v>
      </c>
      <c r="T4" s="112">
        <f>IF(COUNTIFS(_xlfn.ANCHORARRAY(DATA_CLEANED!$AF$3),CALCULES!T$2,_xlfn.ANCHORARRAY(DATA_CLEANED!$AK$3),CALCULES!$A4)+COUNTIFS(_xlfn.ANCHORARRAY(DATA_CLEANED!$AF$3),CALCULES!T$2,_xlfn.ANCHORARRAY(DATA_CLEANED!$AN$3),CALCULES!$A4)&gt;0,1,0)</f>
        <v>0</v>
      </c>
      <c r="U4" s="112">
        <f>IF(COUNTIFS(_xlfn.ANCHORARRAY(DATA_CLEANED!$AF$3),CALCULES!U$2,_xlfn.ANCHORARRAY(DATA_CLEANED!$AK$3),CALCULES!$A4)+COUNTIFS(_xlfn.ANCHORARRAY(DATA_CLEANED!$AF$3),CALCULES!U$2,_xlfn.ANCHORARRAY(DATA_CLEANED!$AN$3),CALCULES!$A4)&gt;0,1,0)</f>
        <v>0</v>
      </c>
      <c r="V4" s="112">
        <f>IF(COUNTIFS(_xlfn.ANCHORARRAY(DATA_CLEANED!$AF$3),CALCULES!V$2,_xlfn.ANCHORARRAY(DATA_CLEANED!$AK$3),CALCULES!$A4)+COUNTIFS(_xlfn.ANCHORARRAY(DATA_CLEANED!$AF$3),CALCULES!V$2,_xlfn.ANCHORARRAY(DATA_CLEANED!$AN$3),CALCULES!$A4)&gt;0,1,0)</f>
        <v>0</v>
      </c>
      <c r="W4" s="112">
        <f>IF(COUNTIFS(_xlfn.ANCHORARRAY(DATA_CLEANED!$AF$3),CALCULES!W$2,_xlfn.ANCHORARRAY(DATA_CLEANED!$AK$3),CALCULES!$A4)+COUNTIFS(_xlfn.ANCHORARRAY(DATA_CLEANED!$AF$3),CALCULES!W$2,_xlfn.ANCHORARRAY(DATA_CLEANED!$AN$3),CALCULES!$A4)&gt;0,1,0)</f>
        <v>0</v>
      </c>
      <c r="X4" s="112">
        <f>IF(COUNTIFS(_xlfn.ANCHORARRAY(DATA_CLEANED!$AF$3),CALCULES!X$2,_xlfn.ANCHORARRAY(DATA_CLEANED!$AK$3),CALCULES!$A4)+COUNTIFS(_xlfn.ANCHORARRAY(DATA_CLEANED!$AF$3),CALCULES!X$2,_xlfn.ANCHORARRAY(DATA_CLEANED!$AN$3),CALCULES!$A4)&gt;0,1,0)</f>
        <v>0</v>
      </c>
      <c r="Y4" s="113">
        <f t="shared" si="0"/>
        <v>1</v>
      </c>
      <c r="AA4" s="112">
        <f>COUNTIF(_xlfn.ANCHORARRAY(DATA_CLEANED!$AK$3),$A4)+COUNTIF(DATA_CLEANED!$AN$2:$AN$1060,$A4)</f>
        <v>3</v>
      </c>
      <c r="AB4" s="112">
        <f>COUNTIF(DATA_QUALITE!BG$12:BG$1069,A4)</f>
        <v>0</v>
      </c>
      <c r="AC4" s="112">
        <f t="shared" ref="AC4:AC67" si="7">AA4-AB4-AD4</f>
        <v>3</v>
      </c>
      <c r="AD4" s="112" cm="1">
        <f t="array" ref="AD4">SUMPRODUCT((DATA_CLEANED!AL$3:AL$1060=DATA_CLEANED!AM$3:AM$1060)*(_xlfn.ANCHORARRAY(DATA_CLEANED!AK$3)=CALCULES!A4)*(DATA_CLEANED!AO$3:AO$1060&lt;&gt;"-"))
+
SUMPRODUCT((DATA_CLEANED!AL$3:AL$1060=DATA_CLEANED!AM$3:AM$1060)*(_xlfn.ANCHORARRAY(DATA_CLEANED!AN$3)=CALCULES!A4)*(DATA_CLEANED!AO$3:AO$1060&lt;&gt;"-"))</f>
        <v>0</v>
      </c>
      <c r="AE4" s="116">
        <f t="shared" si="1"/>
        <v>0</v>
      </c>
      <c r="AF4" s="116">
        <f t="shared" si="2"/>
        <v>1</v>
      </c>
      <c r="AG4" s="112">
        <f>SUMIF(_xlfn.ANCHORARRAY(DATA_CLEANED!AK$3),A4,DATA_CLEANED!AL$2:AL$1060)+SUMIF(_xlfn.ANCHORARRAY(DATA_CLEANED!AN$3),A4,DATA_CLEANED!AM$2:AM$1060)</f>
        <v>4</v>
      </c>
      <c r="AH4" s="112">
        <f>SUMIF(_xlfn.ANCHORARRAY(DATA_CLEANED!AK$3),A4,DATA_CLEANED!AM$2:AM$1060)+SUMIF(_xlfn.ANCHORARRAY(DATA_CLEANED!AN$3),A4,DATA_CLEANED!AL$2:AL$1060)</f>
        <v>5</v>
      </c>
      <c r="AI4" s="112">
        <f t="shared" ref="AI4:AI67" si="8">ROUND(AH4/AA4,2)</f>
        <v>1.67</v>
      </c>
      <c r="AJ4" s="117" cm="1">
        <f t="array" ref="AJ4">_xlfn.LET(_xlpm.home,IFERROR(_xlfn._xlws.FILTER(DATA_CLEANED!AH$3:AH$1060,DATA_CLEANED!AK$3:AK$1060=CALCULES!A4),""),
_xlpm.away,IFERROR(_xlfn._xlws.FILTER(DATA_CLEANED!AH$3:AH$1060,DATA_CLEANED!AN$3:AN$1060=CALCULES!A4),""),
_xlpm.assemb_t,_xlfn._xlws.FILTER(_xlfn.VSTACK(_xlpm.home,_xlpm.away),_xlfn.VSTACK(_xlpm.home,_xlpm.away)&lt;&gt;""),
_xlpm.but_h,IFERROR(_xlfn._xlws.FILTER(_xlfn.ANCHORARRAY(DATA_CLEANED!AM$3),DATA_CLEANED!AK$3:AK$1060=CALCULES!A4),""),
_xlpm.but_a,IFERROR(_xlfn._xlws.FILTER(_xlfn.ANCHORARRAY(DATA_CLEANED!AL$3),DATA_CLEANED!AN$3:AN$1060=CALCULES!A4),""),
_xlpm.assemb_b,_xlfn._xlws.FILTER(_xlfn.VSTACK(_xlpm.but_h,_xlpm.but_a),_xlfn.VSTACK(_xlpm.but_h,_xlpm.but_a)&lt;&gt;""),
MEDIAN(_xlpm.assemb_t,_xlpm.assemb_b)
)</f>
        <v>1</v>
      </c>
      <c r="AK4" s="113">
        <f t="shared" si="3"/>
        <v>-1</v>
      </c>
      <c r="AL4" s="112" cm="1">
        <f t="array" ref="AL4">IFERROR(MEDIAN(_xlfn._xlws.FILTER(_xlfn.VSTACK(
DATA_CLEANED!AL$3:AL$1060-DATA_CLEANED!AM$3:AM$1060,
DATA_CLEANED!AM$3:AM$1060-DATA_CLEANED!AL$3:AL$1060
),_xlfn.VSTACK(DATA_CLEANED!AK$3:AK$1060,DATA_CLEANED!AN$3:AN$1060)=A4)),"-")</f>
        <v>0</v>
      </c>
      <c r="AM4" s="112">
        <f t="shared" ref="AM4:AM67" si="9">ROUND(IF(AG4=0,0,AG4/AA4),2)</f>
        <v>1.33</v>
      </c>
      <c r="AN4" s="112" cm="1">
        <f t="array" ref="AN4">_xlfn.LET(_xlpm.home,IFERROR(_xlfn._xlws.FILTER(DATA_CLEANED!AH$3:AH$1060,DATA_CLEANED!AK$3:AK$1060=CALCULES!A4),""),
_xlpm.away,IFERROR(_xlfn._xlws.FILTER(DATA_CLEANED!AH$3:AH$1060,DATA_CLEANED!AN$3:AN$1060=CALCULES!A4),""),
_xlpm.assemb_t,_xlfn._xlws.FILTER(_xlfn.VSTACK(_xlpm.home,_xlpm.away),_xlfn.VSTACK(_xlpm.home,_xlpm.away)&lt;&gt;""),
_xlpm.but_h,IFERROR(_xlfn._xlws.FILTER(_xlfn.ANCHORARRAY(DATA_CLEANED!AL$3),DATA_CLEANED!AK$3:AK$1060=CALCULES!A4),""),
_xlpm.but_a,IFERROR(_xlfn._xlws.FILTER(_xlfn.ANCHORARRAY(DATA_CLEANED!AM$3),DATA_CLEANED!AN$3:AN$1060=CALCULES!A4),""),
_xlpm.assemb_b,_xlfn._xlws.FILTER(_xlfn.VSTACK(_xlpm.but_h,_xlpm.but_a),_xlfn.VSTACK(_xlpm.but_h,_xlpm.but_a)&lt;&gt;""),
MEDIAN(_xlpm.assemb_t,_xlpm.assemb_b)
)</f>
        <v>0</v>
      </c>
      <c r="AO4" s="116">
        <f>ROUND(IFERROR((COUNTIFS(DATA_CLEANED!AK$3:AK$1060,A4,DATA_CLEANED!AM$3:AM$1060,0)
+
COUNTIFS(DATA_CLEANED!AN$3:AN$1060,A4,DATA_CLEANED!AL$3:AL$1060,0)
)/AA4,0),2)</f>
        <v>0.33</v>
      </c>
      <c r="AP4" s="112">
        <f>MAX((_xlfn.MAXIFS(_xlfn.ANCHORARRAY(DATA_CLEANED!AL$3),_xlfn.ANCHORARRAY(DATA_CLEANED!AK$3),A4)),(_xlfn.MAXIFS(DATA_CLEANED!AM$3:AM$1060,_xlfn.ANCHORARRAY(DATA_CLEANED!AN$3),A4)))</f>
        <v>1</v>
      </c>
      <c r="AQ4" s="112">
        <f>COUNTIF(_xlfn.ANCHORARRAY(DATA_CLEANED!K$3),A4)</f>
        <v>0</v>
      </c>
      <c r="AR4" s="113" t="str" cm="1">
        <f t="array" ref="AR4">_xlfn.LET(
_xlpm.home,IFERROR(_xlfn._xlws.FILTER(DATA_CLEANED!AH$3:AH$1060,DATA_CLEANED!AK$3:AK$1060=CALCULES!A4),""),
_xlpm.away,IFERROR(_xlfn._xlws.FILTER(DATA_CLEANED!AH$3:AH$1060,DATA_CLEANED!AN$3:AN$1060=CALCULES!A4),""),
_xlpm.etapes,_xlfn._xlws.FILTER(_xlfn.VSTACK(_xlpm.home,_xlpm.away),_xlfn.VSTACK(_xlpm.home,_xlpm.away)&lt;&gt;""),
_xlpm.numeros,_xlfn.XLOOKUP(_xlpm.etapes,DATA_QUALITE!AT$12:AT$38,DATA_QUALITE!AU$12:AU$38),
_xlfn.XLOOKUP(MIN(_xlpm.numeros),DATA_QUALITE!AU$12:AU$38,DATA_QUALITE!AT$12:AT$38)
)</f>
        <v>GROUP_STAGE</v>
      </c>
      <c r="AS4" s="112">
        <f t="shared" si="4"/>
        <v>1</v>
      </c>
      <c r="AT4" s="112">
        <f t="shared" si="5"/>
        <v>0</v>
      </c>
      <c r="AU4" s="112">
        <f>COUNTIFS(DATA_QUALITE!BG$12:BG$1069,"MATCH NUL",_xlfn.ANCHORARRAY(DATA_CLEANED!AK$3),CALCULES!A4)+COUNTIFS(DATA_QUALITE!BG$12:BG$1069,"MATCH NUL",_xlfn.ANCHORARRAY(DATA_CLEANED!AN$3),CALCULES!A4)</f>
        <v>2</v>
      </c>
      <c r="AV4" s="112">
        <v>4</v>
      </c>
      <c r="AW4" s="112">
        <f>COUNTIFS(_xlfn.ANCHORARRAY(DATA_CLEANED!AH$3),"QUARTER_FINALS",_xlfn.ANCHORARRAY(DATA_CLEANED!AK$3),CALCULES!A4)+COUNTIFS(_xlfn.ANCHORARRAY(DATA_CLEANED!AH$3),"QUARTER_FINALS",_xlfn.ANCHORARRAY(DATA_CLEANED!AN$3),CALCULES!A4)</f>
        <v>0</v>
      </c>
      <c r="AX4" s="112">
        <f>COUNTIFS(_xlfn.ANCHORARRAY(DATA_CLEANED!AH$3),"SEMI_FINALS",_xlfn.ANCHORARRAY(DATA_CLEANED!AK$3),CALCULES!A4)+COUNTIFS(_xlfn.ANCHORARRAY(DATA_CLEANED!AH$3),"SEMI_FINALS",_xlfn.ANCHORARRAY(DATA_CLEANED!AN$3),CALCULES!A4)</f>
        <v>0</v>
      </c>
      <c r="AY4" s="112">
        <f>COUNTIFS(_xlfn.ANCHORARRAY(DATA_CLEANED!AH$3),"FINAL",_xlfn.ANCHORARRAY(DATA_CLEANED!AK$3),CALCULES!A4)+COUNTIFS(_xlfn.ANCHORARRAY(DATA_CLEANED!AH$3),"FINAL",_xlfn.ANCHORARRAY(DATA_CLEANED!AN$3),CALCULES!A4)</f>
        <v>0</v>
      </c>
      <c r="AZ4" s="112">
        <f>COUNTIFS(DATA_QUALITE!BG$12:BG$1069,CALCULES!A4,DATA_QUALITE!AW$12:AW$1069,"FINAL")</f>
        <v>0</v>
      </c>
      <c r="BA4" s="113">
        <f t="shared" si="6"/>
        <v>16.170000000000002</v>
      </c>
      <c r="BB4" s="118">
        <f t="shared" ref="BB4:BB67" si="10">ROUND((0.6*MIN(AM4/3,1)*100+0.2*MIN(AN4/2,1)*100+0.2*AE4*100)*(AB4/MAX($AB$3:$AB$92))^0.5,2)</f>
        <v>0</v>
      </c>
      <c r="BC4" s="118">
        <f t="shared" ref="BC4:BC67" si="11">ROUND((0.6*MAX(0,1-MIN(AI4/3,1))*100+0.2*MAX(0,1-MIN(AJ4/2,1))*100+0.2*AO4*100)*(AB4/MAX($AB$3:$AB$92))^0.5,2)</f>
        <v>0</v>
      </c>
      <c r="BD4" s="139">
        <f t="shared" ref="BD4:BD67" si="12">ROUND(0.5*BB4+0.5*BC4,2)</f>
        <v>0</v>
      </c>
      <c r="BF4" s="178" t="s">
        <v>3888</v>
      </c>
      <c r="BG4" s="178">
        <f>AVERAGE(DATA_CLEANED!$AL$3:$AL$1060,DATA_CLEANED!$AM$3:$AM$1060)</f>
        <v>1.4154064272211719</v>
      </c>
      <c r="BH4" s="167"/>
      <c r="BI4" s="167"/>
      <c r="BJ4" s="167"/>
      <c r="BK4" s="167"/>
      <c r="BL4" s="172">
        <v>0</v>
      </c>
      <c r="BM4" s="172">
        <f t="shared" ref="BM4:BU12" si="13">_xlfn.POISSON.DIST($BL4,$BG$40,FALSE)*_xlfn.POISSON.DIST(BM$3,$BG$41,FALSE)</f>
        <v>6.5786106300444708E-2</v>
      </c>
      <c r="BN4" s="172">
        <f t="shared" si="13"/>
        <v>7.3676182514127095E-2</v>
      </c>
      <c r="BO4" s="172">
        <f t="shared" si="13"/>
        <v>4.1256278681888442E-2</v>
      </c>
      <c r="BP4" s="172">
        <f t="shared" si="13"/>
        <v>1.5401454242930084E-2</v>
      </c>
      <c r="BQ4" s="172">
        <f t="shared" si="13"/>
        <v>4.312158058887218E-3</v>
      </c>
      <c r="BR4" s="172">
        <f t="shared" si="13"/>
        <v>9.6586760348876506E-4</v>
      </c>
      <c r="BS4" s="172">
        <f t="shared" si="13"/>
        <v>1.8028487026862193E-4</v>
      </c>
      <c r="BT4" s="172">
        <f t="shared" si="13"/>
        <v>2.8843912824703122E-5</v>
      </c>
      <c r="BU4" s="172">
        <f t="shared" si="13"/>
        <v>4.0379145103774585E-6</v>
      </c>
    </row>
    <row r="5" spans="1:73" ht="15.95" customHeight="1">
      <c r="A5" s="113" t="str">
        <v>Argentina</v>
      </c>
      <c r="B5" s="112">
        <f>IF(COUNTIFS(_xlfn.ANCHORARRAY(DATA_CLEANED!$AF$3),CALCULES!B$2,_xlfn.ANCHORARRAY(DATA_CLEANED!$AK$3),CALCULES!$A5)+COUNTIFS(_xlfn.ANCHORARRAY(DATA_CLEANED!$AF$3),CALCULES!B$2,_xlfn.ANCHORARRAY(DATA_CLEANED!$AN$3),CALCULES!$A5)&gt;0,1,0)</f>
        <v>1</v>
      </c>
      <c r="C5" s="112">
        <f>IF(COUNTIFS(_xlfn.ANCHORARRAY(DATA_CLEANED!$AF$3),CALCULES!C$2,_xlfn.ANCHORARRAY(DATA_CLEANED!$AK$3),CALCULES!$A5)+COUNTIFS(_xlfn.ANCHORARRAY(DATA_CLEANED!$AF$3),CALCULES!C$2,_xlfn.ANCHORARRAY(DATA_CLEANED!$AN$3),CALCULES!$A5)&gt;0,1,0)</f>
        <v>1</v>
      </c>
      <c r="D5" s="112">
        <f>IF(COUNTIFS(_xlfn.ANCHORARRAY(DATA_CLEANED!$AF$3),CALCULES!D$2,_xlfn.ANCHORARRAY(DATA_CLEANED!$AK$3),CALCULES!$A5)+COUNTIFS(_xlfn.ANCHORARRAY(DATA_CLEANED!$AF$3),CALCULES!D$2,_xlfn.ANCHORARRAY(DATA_CLEANED!$AN$3),CALCULES!$A5)&gt;0,1,0)</f>
        <v>0</v>
      </c>
      <c r="E5" s="112">
        <f>IF(COUNTIFS(_xlfn.ANCHORARRAY(DATA_CLEANED!$AF$3),CALCULES!E$2,_xlfn.ANCHORARRAY(DATA_CLEANED!$AK$3),CALCULES!$A5)+COUNTIFS(_xlfn.ANCHORARRAY(DATA_CLEANED!$AF$3),CALCULES!E$2,_xlfn.ANCHORARRAY(DATA_CLEANED!$AN$3),CALCULES!$A5)&gt;0,1,0)</f>
        <v>0</v>
      </c>
      <c r="F5" s="112">
        <f>IF(COUNTIFS(_xlfn.ANCHORARRAY(DATA_CLEANED!$AF$3),CALCULES!F$2,_xlfn.ANCHORARRAY(DATA_CLEANED!$AK$3),CALCULES!$A5)+COUNTIFS(_xlfn.ANCHORARRAY(DATA_CLEANED!$AF$3),CALCULES!F$2,_xlfn.ANCHORARRAY(DATA_CLEANED!$AN$3),CALCULES!$A5)&gt;0,1,0)</f>
        <v>0</v>
      </c>
      <c r="G5" s="112">
        <f>IF(COUNTIFS(_xlfn.ANCHORARRAY(DATA_CLEANED!$AF$3),CALCULES!G$2,_xlfn.ANCHORARRAY(DATA_CLEANED!$AK$3),CALCULES!$A5)+COUNTIFS(_xlfn.ANCHORARRAY(DATA_CLEANED!$AF$3),CALCULES!G$2,_xlfn.ANCHORARRAY(DATA_CLEANED!$AN$3),CALCULES!$A5)&gt;0,1,0)</f>
        <v>1</v>
      </c>
      <c r="H5" s="112">
        <f>IF(COUNTIFS(_xlfn.ANCHORARRAY(DATA_CLEANED!$AF$3),CALCULES!H$2,_xlfn.ANCHORARRAY(DATA_CLEANED!$AK$3),CALCULES!$A5)+COUNTIFS(_xlfn.ANCHORARRAY(DATA_CLEANED!$AF$3),CALCULES!H$2,_xlfn.ANCHORARRAY(DATA_CLEANED!$AN$3),CALCULES!$A5)&gt;0,1,0)</f>
        <v>1</v>
      </c>
      <c r="I5" s="112">
        <f>IF(COUNTIFS(_xlfn.ANCHORARRAY(DATA_CLEANED!$AF$3),CALCULES!I$2,_xlfn.ANCHORARRAY(DATA_CLEANED!$AK$3),CALCULES!$A5)+COUNTIFS(_xlfn.ANCHORARRAY(DATA_CLEANED!$AF$3),CALCULES!I$2,_xlfn.ANCHORARRAY(DATA_CLEANED!$AN$3),CALCULES!$A5)&gt;0,1,0)</f>
        <v>1</v>
      </c>
      <c r="J5" s="112">
        <f>IF(COUNTIFS(_xlfn.ANCHORARRAY(DATA_CLEANED!$AF$3),CALCULES!J$2,_xlfn.ANCHORARRAY(DATA_CLEANED!$AK$3),CALCULES!$A5)+COUNTIFS(_xlfn.ANCHORARRAY(DATA_CLEANED!$AF$3),CALCULES!J$2,_xlfn.ANCHORARRAY(DATA_CLEANED!$AN$3),CALCULES!$A5)&gt;0,1,0)</f>
        <v>0</v>
      </c>
      <c r="K5" s="112">
        <f>IF(COUNTIFS(_xlfn.ANCHORARRAY(DATA_CLEANED!$AF$3),CALCULES!K$2,_xlfn.ANCHORARRAY(DATA_CLEANED!$AK$3),CALCULES!$A5)+COUNTIFS(_xlfn.ANCHORARRAY(DATA_CLEANED!$AF$3),CALCULES!K$2,_xlfn.ANCHORARRAY(DATA_CLEANED!$AN$3),CALCULES!$A5)&gt;0,1,0)</f>
        <v>1</v>
      </c>
      <c r="L5" s="112">
        <f>IF(COUNTIFS(_xlfn.ANCHORARRAY(DATA_CLEANED!$AF$3),CALCULES!L$2,_xlfn.ANCHORARRAY(DATA_CLEANED!$AK$3),CALCULES!$A5)+COUNTIFS(_xlfn.ANCHORARRAY(DATA_CLEANED!$AF$3),CALCULES!L$2,_xlfn.ANCHORARRAY(DATA_CLEANED!$AN$3),CALCULES!$A5)&gt;0,1,0)</f>
        <v>1</v>
      </c>
      <c r="M5" s="112">
        <f>IF(COUNTIFS(_xlfn.ANCHORARRAY(DATA_CLEANED!$AF$3),CALCULES!M$2,_xlfn.ANCHORARRAY(DATA_CLEANED!$AK$3),CALCULES!$A5)+COUNTIFS(_xlfn.ANCHORARRAY(DATA_CLEANED!$AF$3),CALCULES!M$2,_xlfn.ANCHORARRAY(DATA_CLEANED!$AN$3),CALCULES!$A5)&gt;0,1,0)</f>
        <v>1</v>
      </c>
      <c r="N5" s="112">
        <f>IF(COUNTIFS(_xlfn.ANCHORARRAY(DATA_CLEANED!$AF$3),CALCULES!N$2,_xlfn.ANCHORARRAY(DATA_CLEANED!$AK$3),CALCULES!$A5)+COUNTIFS(_xlfn.ANCHORARRAY(DATA_CLEANED!$AF$3),CALCULES!N$2,_xlfn.ANCHORARRAY(DATA_CLEANED!$AN$3),CALCULES!$A5)&gt;0,1,0)</f>
        <v>1</v>
      </c>
      <c r="O5" s="112">
        <f>IF(COUNTIFS(_xlfn.ANCHORARRAY(DATA_CLEANED!$AF$3),CALCULES!O$2,_xlfn.ANCHORARRAY(DATA_CLEANED!$AK$3),CALCULES!$A5)+COUNTIFS(_xlfn.ANCHORARRAY(DATA_CLEANED!$AF$3),CALCULES!O$2,_xlfn.ANCHORARRAY(DATA_CLEANED!$AN$3),CALCULES!$A5)&gt;0,1,0)</f>
        <v>1</v>
      </c>
      <c r="P5" s="112">
        <f>IF(COUNTIFS(_xlfn.ANCHORARRAY(DATA_CLEANED!$AF$3),CALCULES!P$2,_xlfn.ANCHORARRAY(DATA_CLEANED!$AK$3),CALCULES!$A5)+COUNTIFS(_xlfn.ANCHORARRAY(DATA_CLEANED!$AF$3),CALCULES!P$2,_xlfn.ANCHORARRAY(DATA_CLEANED!$AN$3),CALCULES!$A5)&gt;0,1,0)</f>
        <v>1</v>
      </c>
      <c r="Q5" s="112">
        <f>IF(COUNTIFS(_xlfn.ANCHORARRAY(DATA_CLEANED!$AF$3),CALCULES!Q$2,_xlfn.ANCHORARRAY(DATA_CLEANED!$AK$3),CALCULES!$A5)+COUNTIFS(_xlfn.ANCHORARRAY(DATA_CLEANED!$AF$3),CALCULES!Q$2,_xlfn.ANCHORARRAY(DATA_CLEANED!$AN$3),CALCULES!$A5)&gt;0,1,0)</f>
        <v>1</v>
      </c>
      <c r="R5" s="112">
        <f>IF(COUNTIFS(_xlfn.ANCHORARRAY(DATA_CLEANED!$AF$3),CALCULES!R$2,_xlfn.ANCHORARRAY(DATA_CLEANED!$AK$3),CALCULES!$A5)+COUNTIFS(_xlfn.ANCHORARRAY(DATA_CLEANED!$AF$3),CALCULES!R$2,_xlfn.ANCHORARRAY(DATA_CLEANED!$AN$3),CALCULES!$A5)&gt;0,1,0)</f>
        <v>1</v>
      </c>
      <c r="S5" s="112">
        <f>IF(COUNTIFS(_xlfn.ANCHORARRAY(DATA_CLEANED!$AF$3),CALCULES!S$2,_xlfn.ANCHORARRAY(DATA_CLEANED!$AK$3),CALCULES!$A5)+COUNTIFS(_xlfn.ANCHORARRAY(DATA_CLEANED!$AF$3),CALCULES!S$2,_xlfn.ANCHORARRAY(DATA_CLEANED!$AN$3),CALCULES!$A5)&gt;0,1,0)</f>
        <v>1</v>
      </c>
      <c r="T5" s="112">
        <f>IF(COUNTIFS(_xlfn.ANCHORARRAY(DATA_CLEANED!$AF$3),CALCULES!T$2,_xlfn.ANCHORARRAY(DATA_CLEANED!$AK$3),CALCULES!$A5)+COUNTIFS(_xlfn.ANCHORARRAY(DATA_CLEANED!$AF$3),CALCULES!T$2,_xlfn.ANCHORARRAY(DATA_CLEANED!$AN$3),CALCULES!$A5)&gt;0,1,0)</f>
        <v>1</v>
      </c>
      <c r="U5" s="112">
        <f>IF(COUNTIFS(_xlfn.ANCHORARRAY(DATA_CLEANED!$AF$3),CALCULES!U$2,_xlfn.ANCHORARRAY(DATA_CLEANED!$AK$3),CALCULES!$A5)+COUNTIFS(_xlfn.ANCHORARRAY(DATA_CLEANED!$AF$3),CALCULES!U$2,_xlfn.ANCHORARRAY(DATA_CLEANED!$AN$3),CALCULES!$A5)&gt;0,1,0)</f>
        <v>1</v>
      </c>
      <c r="V5" s="112">
        <f>IF(COUNTIFS(_xlfn.ANCHORARRAY(DATA_CLEANED!$AF$3),CALCULES!V$2,_xlfn.ANCHORARRAY(DATA_CLEANED!$AK$3),CALCULES!$A5)+COUNTIFS(_xlfn.ANCHORARRAY(DATA_CLEANED!$AF$3),CALCULES!V$2,_xlfn.ANCHORARRAY(DATA_CLEANED!$AN$3),CALCULES!$A5)&gt;0,1,0)</f>
        <v>1</v>
      </c>
      <c r="W5" s="112">
        <f>IF(COUNTIFS(_xlfn.ANCHORARRAY(DATA_CLEANED!$AF$3),CALCULES!W$2,_xlfn.ANCHORARRAY(DATA_CLEANED!$AK$3),CALCULES!$A5)+COUNTIFS(_xlfn.ANCHORARRAY(DATA_CLEANED!$AF$3),CALCULES!W$2,_xlfn.ANCHORARRAY(DATA_CLEANED!$AN$3),CALCULES!$A5)&gt;0,1,0)</f>
        <v>1</v>
      </c>
      <c r="X5" s="112">
        <f>IF(COUNTIFS(_xlfn.ANCHORARRAY(DATA_CLEANED!$AF$3),CALCULES!X$2,_xlfn.ANCHORARRAY(DATA_CLEANED!$AK$3),CALCULES!$A5)+COUNTIFS(_xlfn.ANCHORARRAY(DATA_CLEANED!$AF$3),CALCULES!X$2,_xlfn.ANCHORARRAY(DATA_CLEANED!$AN$3),CALCULES!$A5)&gt;0,1,0)</f>
        <v>1</v>
      </c>
      <c r="Y5" s="113">
        <f t="shared" si="0"/>
        <v>19</v>
      </c>
      <c r="AA5" s="112">
        <f>COUNTIF(_xlfn.ANCHORARRAY(DATA_CLEANED!$AK$3),$A5)+COUNTIF(DATA_CLEANED!$AN$2:$AN$1060,$A5)</f>
        <v>94</v>
      </c>
      <c r="AB5" s="112">
        <f>COUNTIF(DATA_QUALITE!BG$12:BG$1069,A5)</f>
        <v>58</v>
      </c>
      <c r="AC5" s="112">
        <f t="shared" si="7"/>
        <v>29</v>
      </c>
      <c r="AD5" s="112" cm="1">
        <f t="array" ref="AD5">SUMPRODUCT((DATA_CLEANED!AL$3:AL$1060=DATA_CLEANED!AM$3:AM$1060)*(_xlfn.ANCHORARRAY(DATA_CLEANED!AK$3)=CALCULES!A5)*(DATA_CLEANED!AO$3:AO$1060&lt;&gt;"-"))
+
SUMPRODUCT((DATA_CLEANED!AL$3:AL$1060=DATA_CLEANED!AM$3:AM$1060)*(_xlfn.ANCHORARRAY(DATA_CLEANED!AN$3)=CALCULES!A5)*(DATA_CLEANED!AO$3:AO$1060&lt;&gt;"-"))</f>
        <v>7</v>
      </c>
      <c r="AE5" s="116">
        <f t="shared" si="1"/>
        <v>0.61702127659574468</v>
      </c>
      <c r="AF5" s="116">
        <f t="shared" si="2"/>
        <v>0.30851063829787234</v>
      </c>
      <c r="AG5" s="112">
        <f>SUMIF(_xlfn.ANCHORARRAY(DATA_CLEANED!AK$3),A5,DATA_CLEANED!AL$2:AL$1060)+SUMIF(_xlfn.ANCHORARRAY(DATA_CLEANED!AN$3),A5,DATA_CLEANED!AM$2:AM$1060)</f>
        <v>159</v>
      </c>
      <c r="AH5" s="112">
        <f>SUMIF(_xlfn.ANCHORARRAY(DATA_CLEANED!AK$3),A5,DATA_CLEANED!AM$2:AM$1060)+SUMIF(_xlfn.ANCHORARRAY(DATA_CLEANED!AN$3),A5,DATA_CLEANED!AL$2:AL$1060)</f>
        <v>130</v>
      </c>
      <c r="AI5" s="112">
        <f t="shared" si="8"/>
        <v>1.38</v>
      </c>
      <c r="AJ5" s="117" cm="1">
        <f t="array" ref="AJ5">_xlfn.LET(_xlpm.home,IFERROR(_xlfn._xlws.FILTER(DATA_CLEANED!AH$3:AH$1060,DATA_CLEANED!AK$3:AK$1060=CALCULES!A5),""),
_xlpm.away,IFERROR(_xlfn._xlws.FILTER(DATA_CLEANED!AH$3:AH$1060,DATA_CLEANED!AN$3:AN$1060=CALCULES!A5),""),
_xlpm.assemb_t,_xlfn._xlws.FILTER(_xlfn.VSTACK(_xlpm.home,_xlpm.away),_xlfn.VSTACK(_xlpm.home,_xlpm.away)&lt;&gt;""),
_xlpm.but_h,IFERROR(_xlfn._xlws.FILTER(_xlfn.ANCHORARRAY(DATA_CLEANED!AM$3),DATA_CLEANED!AK$3:AK$1060=CALCULES!A5),""),
_xlpm.but_a,IFERROR(_xlfn._xlws.FILTER(_xlfn.ANCHORARRAY(DATA_CLEANED!AL$3),DATA_CLEANED!AN$3:AN$1060=CALCULES!A5),""),
_xlpm.assemb_b,_xlfn._xlws.FILTER(_xlfn.VSTACK(_xlpm.but_h,_xlpm.but_a),_xlfn.VSTACK(_xlpm.but_h,_xlpm.but_a)&lt;&gt;""),
MEDIAN(_xlpm.assemb_t,_xlpm.assemb_b)
)</f>
        <v>1</v>
      </c>
      <c r="AK5" s="113">
        <f t="shared" si="3"/>
        <v>29</v>
      </c>
      <c r="AL5" s="112" cm="1">
        <f t="array" ref="AL5">IFERROR(MEDIAN(_xlfn._xlws.FILTER(_xlfn.VSTACK(
DATA_CLEANED!AL$3:AL$1060-DATA_CLEANED!AM$3:AM$1060,
DATA_CLEANED!AM$3:AM$1060-DATA_CLEANED!AL$3:AL$1060
),_xlfn.VSTACK(DATA_CLEANED!AK$3:AK$1060,DATA_CLEANED!AN$3:AN$1060)=A5)),"-")</f>
        <v>1</v>
      </c>
      <c r="AM5" s="112">
        <f t="shared" si="9"/>
        <v>1.69</v>
      </c>
      <c r="AN5" s="112" cm="1">
        <f t="array" ref="AN5">_xlfn.LET(_xlpm.home,IFERROR(_xlfn._xlws.FILTER(DATA_CLEANED!AH$3:AH$1060,DATA_CLEANED!AK$3:AK$1060=CALCULES!A5),""),
_xlpm.away,IFERROR(_xlfn._xlws.FILTER(DATA_CLEANED!AH$3:AH$1060,DATA_CLEANED!AN$3:AN$1060=CALCULES!A5),""),
_xlpm.assemb_t,_xlfn._xlws.FILTER(_xlfn.VSTACK(_xlpm.home,_xlpm.away),_xlfn.VSTACK(_xlpm.home,_xlpm.away)&lt;&gt;""),
_xlpm.but_h,IFERROR(_xlfn._xlws.FILTER(_xlfn.ANCHORARRAY(DATA_CLEANED!AL$3),DATA_CLEANED!AK$3:AK$1060=CALCULES!A5),""),
_xlpm.but_a,IFERROR(_xlfn._xlws.FILTER(_xlfn.ANCHORARRAY(DATA_CLEANED!AM$3),DATA_CLEANED!AN$3:AN$1060=CALCULES!A5),""),
_xlpm.assemb_b,_xlfn._xlws.FILTER(_xlfn.VSTACK(_xlpm.but_h,_xlpm.but_a),_xlfn.VSTACK(_xlpm.but_h,_xlpm.but_a)&lt;&gt;""),
MEDIAN(_xlpm.assemb_t,_xlpm.assemb_b)
)</f>
        <v>2</v>
      </c>
      <c r="AO5" s="116">
        <f>ROUND(IFERROR((COUNTIFS(DATA_CLEANED!AK$3:AK$1060,A5,DATA_CLEANED!AM$3:AM$1060,0)
+
COUNTIFS(DATA_CLEANED!AN$3:AN$1060,A5,DATA_CLEANED!AL$3:AL$1060,0)
)/AA5,0),2)</f>
        <v>0.34</v>
      </c>
      <c r="AP5" s="112">
        <f>MAX((_xlfn.MAXIFS(_xlfn.ANCHORARRAY(DATA_CLEANED!AL$3),_xlfn.ANCHORARRAY(DATA_CLEANED!AK$3),A5)),(_xlfn.MAXIFS(DATA_CLEANED!AM$3:AM$1060,_xlfn.ANCHORARRAY(DATA_CLEANED!AN$3),A5)))</f>
        <v>6</v>
      </c>
      <c r="AQ5" s="112">
        <f>COUNTIF(_xlfn.ANCHORARRAY(DATA_CLEANED!K$3),A5)</f>
        <v>30</v>
      </c>
      <c r="AR5" s="113" t="str" cm="1">
        <f t="array" ref="AR5">_xlfn.LET(
_xlpm.home,IFERROR(_xlfn._xlws.FILTER(DATA_CLEANED!AH$3:AH$1060,DATA_CLEANED!AK$3:AK$1060=CALCULES!A5),""),
_xlpm.away,IFERROR(_xlfn._xlws.FILTER(DATA_CLEANED!AH$3:AH$1060,DATA_CLEANED!AN$3:AN$1060=CALCULES!A5),""),
_xlpm.etapes,_xlfn._xlws.FILTER(_xlfn.VSTACK(_xlpm.home,_xlpm.away),_xlfn.VSTACK(_xlpm.home,_xlpm.away)&lt;&gt;""),
_xlpm.numeros,_xlfn.XLOOKUP(_xlpm.etapes,DATA_QUALITE!AT$12:AT$38,DATA_QUALITE!AU$12:AU$38),
_xlfn.XLOOKUP(MIN(_xlpm.numeros),DATA_QUALITE!AU$12:AU$38,DATA_QUALITE!AT$12:AT$38)
)</f>
        <v>FINAL</v>
      </c>
      <c r="AS5" s="112">
        <f t="shared" si="4"/>
        <v>19</v>
      </c>
      <c r="AT5" s="112">
        <f t="shared" si="5"/>
        <v>58</v>
      </c>
      <c r="AU5" s="112">
        <f>COUNTIFS(DATA_QUALITE!BG$12:BG$1069,"MATCH NUL",_xlfn.ANCHORARRAY(DATA_CLEANED!AK$3),CALCULES!A5)+COUNTIFS(DATA_QUALITE!BG$12:BG$1069,"MATCH NUL",_xlfn.ANCHORARRAY(DATA_CLEANED!AN$3),CALCULES!A5)</f>
        <v>10</v>
      </c>
      <c r="AV5" s="112">
        <v>159</v>
      </c>
      <c r="AW5" s="112">
        <f>COUNTIFS(_xlfn.ANCHORARRAY(DATA_CLEANED!AH$3),"QUARTER_FINALS",_xlfn.ANCHORARRAY(DATA_CLEANED!AK$3),CALCULES!A5)+COUNTIFS(_xlfn.ANCHORARRAY(DATA_CLEANED!AH$3),"QUARTER_FINALS",_xlfn.ANCHORARRAY(DATA_CLEANED!AN$3),CALCULES!A5)</f>
        <v>9</v>
      </c>
      <c r="AX5" s="112">
        <f>COUNTIFS(_xlfn.ANCHORARRAY(DATA_CLEANED!AH$3),"SEMI_FINALS",_xlfn.ANCHORARRAY(DATA_CLEANED!AK$3),CALCULES!A5)+COUNTIFS(_xlfn.ANCHORARRAY(DATA_CLEANED!AH$3),"SEMI_FINALS",_xlfn.ANCHORARRAY(DATA_CLEANED!AN$3),CALCULES!A5)</f>
        <v>6</v>
      </c>
      <c r="AY5" s="112">
        <f>COUNTIFS(_xlfn.ANCHORARRAY(DATA_CLEANED!AH$3),"FINAL",_xlfn.ANCHORARRAY(DATA_CLEANED!AK$3),CALCULES!A5)+COUNTIFS(_xlfn.ANCHORARRAY(DATA_CLEANED!AH$3),"FINAL",_xlfn.ANCHORARRAY(DATA_CLEANED!AN$3),CALCULES!A5)</f>
        <v>7</v>
      </c>
      <c r="AZ5" s="112">
        <f>COUNTIFS(DATA_QUALITE!BG$12:BG$1069,CALCULES!A5,DATA_QUALITE!AW$12:AW$1069,"FINAL")</f>
        <v>3</v>
      </c>
      <c r="BA5" s="113">
        <f t="shared" si="6"/>
        <v>58.8</v>
      </c>
      <c r="BB5" s="118">
        <f t="shared" si="10"/>
        <v>55.63</v>
      </c>
      <c r="BC5" s="118">
        <f t="shared" si="11"/>
        <v>41.38</v>
      </c>
      <c r="BD5" s="139">
        <f t="shared" si="12"/>
        <v>48.51</v>
      </c>
      <c r="BF5" s="167"/>
      <c r="BG5" s="167"/>
      <c r="BH5" s="167"/>
      <c r="BI5" s="167"/>
      <c r="BJ5" s="167"/>
      <c r="BK5" s="167"/>
      <c r="BL5" s="172">
        <v>1</v>
      </c>
      <c r="BM5" s="172">
        <f t="shared" si="13"/>
        <v>0.10535061507505979</v>
      </c>
      <c r="BN5" s="172">
        <f t="shared" si="13"/>
        <v>0.11798587240894641</v>
      </c>
      <c r="BO5" s="172">
        <f t="shared" si="13"/>
        <v>6.606827154346484E-2</v>
      </c>
      <c r="BP5" s="172">
        <f t="shared" si="13"/>
        <v>2.4664063109813592E-2</v>
      </c>
      <c r="BQ5" s="172">
        <f t="shared" si="13"/>
        <v>6.9055387125347067E-3</v>
      </c>
      <c r="BR5" s="172">
        <f t="shared" si="13"/>
        <v>1.5467513101307762E-3</v>
      </c>
      <c r="BS5" s="172">
        <f t="shared" si="13"/>
        <v>2.8871023137902734E-4</v>
      </c>
      <c r="BT5" s="172">
        <f t="shared" si="13"/>
        <v>4.6190968399559127E-5</v>
      </c>
      <c r="BU5" s="172">
        <f t="shared" si="13"/>
        <v>6.4663619905697093E-6</v>
      </c>
    </row>
    <row r="6" spans="1:73" ht="15.95" customHeight="1">
      <c r="A6" s="113" t="str">
        <v>Australia</v>
      </c>
      <c r="B6" s="112">
        <f>IF(COUNTIFS(_xlfn.ANCHORARRAY(DATA_CLEANED!$AF$3),CALCULES!B$2,_xlfn.ANCHORARRAY(DATA_CLEANED!$AK$3),CALCULES!$A6)+COUNTIFS(_xlfn.ANCHORARRAY(DATA_CLEANED!$AF$3),CALCULES!B$2,_xlfn.ANCHORARRAY(DATA_CLEANED!$AN$3),CALCULES!$A6)&gt;0,1,0)</f>
        <v>0</v>
      </c>
      <c r="C6" s="112">
        <f>IF(COUNTIFS(_xlfn.ANCHORARRAY(DATA_CLEANED!$AF$3),CALCULES!C$2,_xlfn.ANCHORARRAY(DATA_CLEANED!$AK$3),CALCULES!$A6)+COUNTIFS(_xlfn.ANCHORARRAY(DATA_CLEANED!$AF$3),CALCULES!C$2,_xlfn.ANCHORARRAY(DATA_CLEANED!$AN$3),CALCULES!$A6)&gt;0,1,0)</f>
        <v>0</v>
      </c>
      <c r="D6" s="112">
        <f>IF(COUNTIFS(_xlfn.ANCHORARRAY(DATA_CLEANED!$AF$3),CALCULES!D$2,_xlfn.ANCHORARRAY(DATA_CLEANED!$AK$3),CALCULES!$A6)+COUNTIFS(_xlfn.ANCHORARRAY(DATA_CLEANED!$AF$3),CALCULES!D$2,_xlfn.ANCHORARRAY(DATA_CLEANED!$AN$3),CALCULES!$A6)&gt;0,1,0)</f>
        <v>0</v>
      </c>
      <c r="E6" s="112">
        <f>IF(COUNTIFS(_xlfn.ANCHORARRAY(DATA_CLEANED!$AF$3),CALCULES!E$2,_xlfn.ANCHORARRAY(DATA_CLEANED!$AK$3),CALCULES!$A6)+COUNTIFS(_xlfn.ANCHORARRAY(DATA_CLEANED!$AF$3),CALCULES!E$2,_xlfn.ANCHORARRAY(DATA_CLEANED!$AN$3),CALCULES!$A6)&gt;0,1,0)</f>
        <v>0</v>
      </c>
      <c r="F6" s="112">
        <f>IF(COUNTIFS(_xlfn.ANCHORARRAY(DATA_CLEANED!$AF$3),CALCULES!F$2,_xlfn.ANCHORARRAY(DATA_CLEANED!$AK$3),CALCULES!$A6)+COUNTIFS(_xlfn.ANCHORARRAY(DATA_CLEANED!$AF$3),CALCULES!F$2,_xlfn.ANCHORARRAY(DATA_CLEANED!$AN$3),CALCULES!$A6)&gt;0,1,0)</f>
        <v>0</v>
      </c>
      <c r="G6" s="112">
        <f>IF(COUNTIFS(_xlfn.ANCHORARRAY(DATA_CLEANED!$AF$3),CALCULES!G$2,_xlfn.ANCHORARRAY(DATA_CLEANED!$AK$3),CALCULES!$A6)+COUNTIFS(_xlfn.ANCHORARRAY(DATA_CLEANED!$AF$3),CALCULES!G$2,_xlfn.ANCHORARRAY(DATA_CLEANED!$AN$3),CALCULES!$A6)&gt;0,1,0)</f>
        <v>0</v>
      </c>
      <c r="H6" s="112">
        <f>IF(COUNTIFS(_xlfn.ANCHORARRAY(DATA_CLEANED!$AF$3),CALCULES!H$2,_xlfn.ANCHORARRAY(DATA_CLEANED!$AK$3),CALCULES!$A6)+COUNTIFS(_xlfn.ANCHORARRAY(DATA_CLEANED!$AF$3),CALCULES!H$2,_xlfn.ANCHORARRAY(DATA_CLEANED!$AN$3),CALCULES!$A6)&gt;0,1,0)</f>
        <v>0</v>
      </c>
      <c r="I6" s="112">
        <f>IF(COUNTIFS(_xlfn.ANCHORARRAY(DATA_CLEANED!$AF$3),CALCULES!I$2,_xlfn.ANCHORARRAY(DATA_CLEANED!$AK$3),CALCULES!$A6)+COUNTIFS(_xlfn.ANCHORARRAY(DATA_CLEANED!$AF$3),CALCULES!I$2,_xlfn.ANCHORARRAY(DATA_CLEANED!$AN$3),CALCULES!$A6)&gt;0,1,0)</f>
        <v>0</v>
      </c>
      <c r="J6" s="112">
        <f>IF(COUNTIFS(_xlfn.ANCHORARRAY(DATA_CLEANED!$AF$3),CALCULES!J$2,_xlfn.ANCHORARRAY(DATA_CLEANED!$AK$3),CALCULES!$A6)+COUNTIFS(_xlfn.ANCHORARRAY(DATA_CLEANED!$AF$3),CALCULES!J$2,_xlfn.ANCHORARRAY(DATA_CLEANED!$AN$3),CALCULES!$A6)&gt;0,1,0)</f>
        <v>0</v>
      </c>
      <c r="K6" s="112">
        <f>IF(COUNTIFS(_xlfn.ANCHORARRAY(DATA_CLEANED!$AF$3),CALCULES!K$2,_xlfn.ANCHORARRAY(DATA_CLEANED!$AK$3),CALCULES!$A6)+COUNTIFS(_xlfn.ANCHORARRAY(DATA_CLEANED!$AF$3),CALCULES!K$2,_xlfn.ANCHORARRAY(DATA_CLEANED!$AN$3),CALCULES!$A6)&gt;0,1,0)</f>
        <v>1</v>
      </c>
      <c r="L6" s="112">
        <f>IF(COUNTIFS(_xlfn.ANCHORARRAY(DATA_CLEANED!$AF$3),CALCULES!L$2,_xlfn.ANCHORARRAY(DATA_CLEANED!$AK$3),CALCULES!$A6)+COUNTIFS(_xlfn.ANCHORARRAY(DATA_CLEANED!$AF$3),CALCULES!L$2,_xlfn.ANCHORARRAY(DATA_CLEANED!$AN$3),CALCULES!$A6)&gt;0,1,0)</f>
        <v>0</v>
      </c>
      <c r="M6" s="112">
        <f>IF(COUNTIFS(_xlfn.ANCHORARRAY(DATA_CLEANED!$AF$3),CALCULES!M$2,_xlfn.ANCHORARRAY(DATA_CLEANED!$AK$3),CALCULES!$A6)+COUNTIFS(_xlfn.ANCHORARRAY(DATA_CLEANED!$AF$3),CALCULES!M$2,_xlfn.ANCHORARRAY(DATA_CLEANED!$AN$3),CALCULES!$A6)&gt;0,1,0)</f>
        <v>0</v>
      </c>
      <c r="N6" s="112">
        <f>IF(COUNTIFS(_xlfn.ANCHORARRAY(DATA_CLEANED!$AF$3),CALCULES!N$2,_xlfn.ANCHORARRAY(DATA_CLEANED!$AK$3),CALCULES!$A6)+COUNTIFS(_xlfn.ANCHORARRAY(DATA_CLEANED!$AF$3),CALCULES!N$2,_xlfn.ANCHORARRAY(DATA_CLEANED!$AN$3),CALCULES!$A6)&gt;0,1,0)</f>
        <v>0</v>
      </c>
      <c r="O6" s="112">
        <f>IF(COUNTIFS(_xlfn.ANCHORARRAY(DATA_CLEANED!$AF$3),CALCULES!O$2,_xlfn.ANCHORARRAY(DATA_CLEANED!$AK$3),CALCULES!$A6)+COUNTIFS(_xlfn.ANCHORARRAY(DATA_CLEANED!$AF$3),CALCULES!O$2,_xlfn.ANCHORARRAY(DATA_CLEANED!$AN$3),CALCULES!$A6)&gt;0,1,0)</f>
        <v>0</v>
      </c>
      <c r="P6" s="112">
        <f>IF(COUNTIFS(_xlfn.ANCHORARRAY(DATA_CLEANED!$AF$3),CALCULES!P$2,_xlfn.ANCHORARRAY(DATA_CLEANED!$AK$3),CALCULES!$A6)+COUNTIFS(_xlfn.ANCHORARRAY(DATA_CLEANED!$AF$3),CALCULES!P$2,_xlfn.ANCHORARRAY(DATA_CLEANED!$AN$3),CALCULES!$A6)&gt;0,1,0)</f>
        <v>0</v>
      </c>
      <c r="Q6" s="112">
        <f>IF(COUNTIFS(_xlfn.ANCHORARRAY(DATA_CLEANED!$AF$3),CALCULES!Q$2,_xlfn.ANCHORARRAY(DATA_CLEANED!$AK$3),CALCULES!$A6)+COUNTIFS(_xlfn.ANCHORARRAY(DATA_CLEANED!$AF$3),CALCULES!Q$2,_xlfn.ANCHORARRAY(DATA_CLEANED!$AN$3),CALCULES!$A6)&gt;0,1,0)</f>
        <v>0</v>
      </c>
      <c r="R6" s="112">
        <f>IF(COUNTIFS(_xlfn.ANCHORARRAY(DATA_CLEANED!$AF$3),CALCULES!R$2,_xlfn.ANCHORARRAY(DATA_CLEANED!$AK$3),CALCULES!$A6)+COUNTIFS(_xlfn.ANCHORARRAY(DATA_CLEANED!$AF$3),CALCULES!R$2,_xlfn.ANCHORARRAY(DATA_CLEANED!$AN$3),CALCULES!$A6)&gt;0,1,0)</f>
        <v>0</v>
      </c>
      <c r="S6" s="112">
        <f>IF(COUNTIFS(_xlfn.ANCHORARRAY(DATA_CLEANED!$AF$3),CALCULES!S$2,_xlfn.ANCHORARRAY(DATA_CLEANED!$AK$3),CALCULES!$A6)+COUNTIFS(_xlfn.ANCHORARRAY(DATA_CLEANED!$AF$3),CALCULES!S$2,_xlfn.ANCHORARRAY(DATA_CLEANED!$AN$3),CALCULES!$A6)&gt;0,1,0)</f>
        <v>1</v>
      </c>
      <c r="T6" s="112">
        <f>IF(COUNTIFS(_xlfn.ANCHORARRAY(DATA_CLEANED!$AF$3),CALCULES!T$2,_xlfn.ANCHORARRAY(DATA_CLEANED!$AK$3),CALCULES!$A6)+COUNTIFS(_xlfn.ANCHORARRAY(DATA_CLEANED!$AF$3),CALCULES!T$2,_xlfn.ANCHORARRAY(DATA_CLEANED!$AN$3),CALCULES!$A6)&gt;0,1,0)</f>
        <v>1</v>
      </c>
      <c r="U6" s="112">
        <f>IF(COUNTIFS(_xlfn.ANCHORARRAY(DATA_CLEANED!$AF$3),CALCULES!U$2,_xlfn.ANCHORARRAY(DATA_CLEANED!$AK$3),CALCULES!$A6)+COUNTIFS(_xlfn.ANCHORARRAY(DATA_CLEANED!$AF$3),CALCULES!U$2,_xlfn.ANCHORARRAY(DATA_CLEANED!$AN$3),CALCULES!$A6)&gt;0,1,0)</f>
        <v>1</v>
      </c>
      <c r="V6" s="112">
        <f>IF(COUNTIFS(_xlfn.ANCHORARRAY(DATA_CLEANED!$AF$3),CALCULES!V$2,_xlfn.ANCHORARRAY(DATA_CLEANED!$AK$3),CALCULES!$A6)+COUNTIFS(_xlfn.ANCHORARRAY(DATA_CLEANED!$AF$3),CALCULES!V$2,_xlfn.ANCHORARRAY(DATA_CLEANED!$AN$3),CALCULES!$A6)&gt;0,1,0)</f>
        <v>1</v>
      </c>
      <c r="W6" s="112">
        <f>IF(COUNTIFS(_xlfn.ANCHORARRAY(DATA_CLEANED!$AF$3),CALCULES!W$2,_xlfn.ANCHORARRAY(DATA_CLEANED!$AK$3),CALCULES!$A6)+COUNTIFS(_xlfn.ANCHORARRAY(DATA_CLEANED!$AF$3),CALCULES!W$2,_xlfn.ANCHORARRAY(DATA_CLEANED!$AN$3),CALCULES!$A6)&gt;0,1,0)</f>
        <v>1</v>
      </c>
      <c r="X6" s="112">
        <f>IF(COUNTIFS(_xlfn.ANCHORARRAY(DATA_CLEANED!$AF$3),CALCULES!X$2,_xlfn.ANCHORARRAY(DATA_CLEANED!$AK$3),CALCULES!$A6)+COUNTIFS(_xlfn.ANCHORARRAY(DATA_CLEANED!$AF$3),CALCULES!X$2,_xlfn.ANCHORARRAY(DATA_CLEANED!$AN$3),CALCULES!$A6)&gt;0,1,0)</f>
        <v>1</v>
      </c>
      <c r="Y6" s="113">
        <f t="shared" si="0"/>
        <v>7</v>
      </c>
      <c r="AA6" s="112">
        <f>COUNTIF(_xlfn.ANCHORARRAY(DATA_CLEANED!$AK$3),$A6)+COUNTIF(DATA_CLEANED!$AN$2:$AN$1060,$A6)</f>
        <v>24</v>
      </c>
      <c r="AB6" s="112">
        <f>COUNTIF(DATA_QUALITE!BG$12:BG$1069,A6)</f>
        <v>5</v>
      </c>
      <c r="AC6" s="112">
        <f t="shared" si="7"/>
        <v>18</v>
      </c>
      <c r="AD6" s="112" cm="1">
        <f t="array" ref="AD6">SUMPRODUCT((DATA_CLEANED!AL$3:AL$1060=DATA_CLEANED!AM$3:AM$1060)*(_xlfn.ANCHORARRAY(DATA_CLEANED!AK$3)=CALCULES!A6)*(DATA_CLEANED!AO$3:AO$1060&lt;&gt;"-"))
+
SUMPRODUCT((DATA_CLEANED!AL$3:AL$1060=DATA_CLEANED!AM$3:AM$1060)*(_xlfn.ANCHORARRAY(DATA_CLEANED!AN$3)=CALCULES!A6)*(DATA_CLEANED!AO$3:AO$1060&lt;&gt;"-"))</f>
        <v>1</v>
      </c>
      <c r="AE6" s="116">
        <f t="shared" si="1"/>
        <v>0.20833333333333334</v>
      </c>
      <c r="AF6" s="116">
        <f t="shared" si="2"/>
        <v>0.75</v>
      </c>
      <c r="AG6" s="112">
        <f>SUMIF(_xlfn.ANCHORARRAY(DATA_CLEANED!AK$3),A6,DATA_CLEANED!AL$2:AL$1060)+SUMIF(_xlfn.ANCHORARRAY(DATA_CLEANED!AN$3),A6,DATA_CLEANED!AM$2:AM$1060)</f>
        <v>27</v>
      </c>
      <c r="AH6" s="112">
        <f>SUMIF(_xlfn.ANCHORARRAY(DATA_CLEANED!AK$3),A6,DATA_CLEANED!AM$2:AM$1060)+SUMIF(_xlfn.ANCHORARRAY(DATA_CLEANED!AN$3),A6,DATA_CLEANED!AL$2:AL$1060)</f>
        <v>28</v>
      </c>
      <c r="AI6" s="112">
        <f t="shared" si="8"/>
        <v>1.17</v>
      </c>
      <c r="AJ6" s="117" cm="1">
        <f t="array" ref="AJ6">_xlfn.LET(_xlpm.home,IFERROR(_xlfn._xlws.FILTER(DATA_CLEANED!AH$3:AH$1060,DATA_CLEANED!AK$3:AK$1060=CALCULES!A6),""),
_xlpm.away,IFERROR(_xlfn._xlws.FILTER(DATA_CLEANED!AH$3:AH$1060,DATA_CLEANED!AN$3:AN$1060=CALCULES!A6),""),
_xlpm.assemb_t,_xlfn._xlws.FILTER(_xlfn.VSTACK(_xlpm.home,_xlpm.away),_xlfn.VSTACK(_xlpm.home,_xlpm.away)&lt;&gt;""),
_xlpm.but_h,IFERROR(_xlfn._xlws.FILTER(_xlfn.ANCHORARRAY(DATA_CLEANED!AM$3),DATA_CLEANED!AK$3:AK$1060=CALCULES!A6),""),
_xlpm.but_a,IFERROR(_xlfn._xlws.FILTER(_xlfn.ANCHORARRAY(DATA_CLEANED!AL$3),DATA_CLEANED!AN$3:AN$1060=CALCULES!A6),""),
_xlpm.assemb_b,_xlfn._xlws.FILTER(_xlfn.VSTACK(_xlpm.but_h,_xlpm.but_a),_xlfn.VSTACK(_xlpm.but_h,_xlpm.but_a)&lt;&gt;""),
MEDIAN(_xlpm.assemb_t,_xlpm.assemb_b)
)</f>
        <v>1.5</v>
      </c>
      <c r="AK6" s="113">
        <f t="shared" si="3"/>
        <v>-1</v>
      </c>
      <c r="AL6" s="112" cm="1">
        <f t="array" ref="AL6">IFERROR(MEDIAN(_xlfn._xlws.FILTER(_xlfn.VSTACK(
DATA_CLEANED!AL$3:AL$1060-DATA_CLEANED!AM$3:AM$1060,
DATA_CLEANED!AM$3:AM$1060-DATA_CLEANED!AL$3:AL$1060
),_xlfn.VSTACK(DATA_CLEANED!AK$3:AK$1060,DATA_CLEANED!AN$3:AN$1060)=A6)),"-")</f>
        <v>-1</v>
      </c>
      <c r="AM6" s="112">
        <f t="shared" si="9"/>
        <v>1.1299999999999999</v>
      </c>
      <c r="AN6" s="112" cm="1">
        <f t="array" ref="AN6">_xlfn.LET(_xlpm.home,IFERROR(_xlfn._xlws.FILTER(DATA_CLEANED!AH$3:AH$1060,DATA_CLEANED!AK$3:AK$1060=CALCULES!A6),""),
_xlpm.away,IFERROR(_xlfn._xlws.FILTER(DATA_CLEANED!AH$3:AH$1060,DATA_CLEANED!AN$3:AN$1060=CALCULES!A6),""),
_xlpm.assemb_t,_xlfn._xlws.FILTER(_xlfn.VSTACK(_xlpm.home,_xlpm.away),_xlfn.VSTACK(_xlpm.home,_xlpm.away)&lt;&gt;""),
_xlpm.but_h,IFERROR(_xlfn._xlws.FILTER(_xlfn.ANCHORARRAY(DATA_CLEANED!AL$3),DATA_CLEANED!AK$3:AK$1060=CALCULES!A6),""),
_xlpm.but_a,IFERROR(_xlfn._xlws.FILTER(_xlfn.ANCHORARRAY(DATA_CLEANED!AM$3),DATA_CLEANED!AN$3:AN$1060=CALCULES!A6),""),
_xlpm.assemb_b,_xlfn._xlws.FILTER(_xlfn.VSTACK(_xlpm.but_h,_xlpm.but_a),_xlfn.VSTACK(_xlpm.but_h,_xlpm.but_a)&lt;&gt;""),
MEDIAN(_xlpm.assemb_t,_xlpm.assemb_b)
)</f>
        <v>1</v>
      </c>
      <c r="AO6" s="116">
        <f>ROUND(IFERROR((COUNTIFS(DATA_CLEANED!AK$3:AK$1060,A6,DATA_CLEANED!AM$3:AM$1060,0)
+
COUNTIFS(DATA_CLEANED!AN$3:AN$1060,A6,DATA_CLEANED!AL$3:AL$1060,0)
)/AA6,0),2)</f>
        <v>0.21</v>
      </c>
      <c r="AP6" s="112">
        <f>MAX((_xlfn.MAXIFS(_xlfn.ANCHORARRAY(DATA_CLEANED!AL$3),_xlfn.ANCHORARRAY(DATA_CLEANED!AK$3),A6)),(_xlfn.MAXIFS(DATA_CLEANED!AM$3:AM$1060,_xlfn.ANCHORARRAY(DATA_CLEANED!AN$3),A6)))</f>
        <v>3</v>
      </c>
      <c r="AQ6" s="112">
        <f>COUNTIF(_xlfn.ANCHORARRAY(DATA_CLEANED!K$3),A6)</f>
        <v>4</v>
      </c>
      <c r="AR6" s="113" t="str" cm="1">
        <f t="array" ref="AR6">_xlfn.LET(
_xlpm.home,IFERROR(_xlfn._xlws.FILTER(DATA_CLEANED!AH$3:AH$1060,DATA_CLEANED!AK$3:AK$1060=CALCULES!A6),""),
_xlpm.away,IFERROR(_xlfn._xlws.FILTER(DATA_CLEANED!AH$3:AH$1060,DATA_CLEANED!AN$3:AN$1060=CALCULES!A6),""),
_xlpm.etapes,_xlfn._xlws.FILTER(_xlfn.VSTACK(_xlpm.home,_xlpm.away),_xlfn.VSTACK(_xlpm.home,_xlpm.away)&lt;&gt;""),
_xlpm.numeros,_xlfn.XLOOKUP(_xlpm.etapes,DATA_QUALITE!AT$12:AT$38,DATA_QUALITE!AU$12:AU$38),
_xlfn.XLOOKUP(MIN(_xlpm.numeros),DATA_QUALITE!AU$12:AU$38,DATA_QUALITE!AT$12:AT$38)
)</f>
        <v>ROUND_OF_16</v>
      </c>
      <c r="AS6" s="112">
        <f t="shared" si="4"/>
        <v>7</v>
      </c>
      <c r="AT6" s="112">
        <f t="shared" si="5"/>
        <v>5</v>
      </c>
      <c r="AU6" s="112">
        <f>COUNTIFS(DATA_QUALITE!BG$12:BG$1069,"MATCH NUL",_xlfn.ANCHORARRAY(DATA_CLEANED!AK$3),CALCULES!A6)+COUNTIFS(DATA_QUALITE!BG$12:BG$1069,"MATCH NUL",_xlfn.ANCHORARRAY(DATA_CLEANED!AN$3),CALCULES!A6)</f>
        <v>5</v>
      </c>
      <c r="AV6" s="112">
        <v>27</v>
      </c>
      <c r="AW6" s="112">
        <f>COUNTIFS(_xlfn.ANCHORARRAY(DATA_CLEANED!AH$3),"QUARTER_FINALS",_xlfn.ANCHORARRAY(DATA_CLEANED!AK$3),CALCULES!A6)+COUNTIFS(_xlfn.ANCHORARRAY(DATA_CLEANED!AH$3),"QUARTER_FINALS",_xlfn.ANCHORARRAY(DATA_CLEANED!AN$3),CALCULES!A6)</f>
        <v>0</v>
      </c>
      <c r="AX6" s="112">
        <f>COUNTIFS(_xlfn.ANCHORARRAY(DATA_CLEANED!AH$3),"SEMI_FINALS",_xlfn.ANCHORARRAY(DATA_CLEANED!AK$3),CALCULES!A6)+COUNTIFS(_xlfn.ANCHORARRAY(DATA_CLEANED!AH$3),"SEMI_FINALS",_xlfn.ANCHORARRAY(DATA_CLEANED!AN$3),CALCULES!A6)</f>
        <v>0</v>
      </c>
      <c r="AY6" s="112">
        <f>COUNTIFS(_xlfn.ANCHORARRAY(DATA_CLEANED!AH$3),"FINAL",_xlfn.ANCHORARRAY(DATA_CLEANED!AK$3),CALCULES!A6)+COUNTIFS(_xlfn.ANCHORARRAY(DATA_CLEANED!AH$3),"FINAL",_xlfn.ANCHORARRAY(DATA_CLEANED!AN$3),CALCULES!A6)</f>
        <v>0</v>
      </c>
      <c r="AZ6" s="112">
        <f>COUNTIFS(DATA_QUALITE!BG$12:BG$1069,CALCULES!A6,DATA_QUALITE!AW$12:AW$1069,"FINAL")</f>
        <v>0</v>
      </c>
      <c r="BA6" s="113">
        <f t="shared" si="6"/>
        <v>25.79</v>
      </c>
      <c r="BB6" s="118">
        <f t="shared" si="10"/>
        <v>9.08</v>
      </c>
      <c r="BC6" s="118">
        <f t="shared" si="11"/>
        <v>11.31</v>
      </c>
      <c r="BD6" s="139">
        <f t="shared" si="12"/>
        <v>10.199999999999999</v>
      </c>
      <c r="BF6" s="176" t="s">
        <v>3889</v>
      </c>
      <c r="BG6" s="176" t="str">
        <f>DASHBOARD!$C$103</f>
        <v>Sweden</v>
      </c>
      <c r="BH6" s="167"/>
      <c r="BI6" s="176" t="s">
        <v>3891</v>
      </c>
      <c r="BJ6" s="176" t="str">
        <f>DASHBOARD!$D$103</f>
        <v>Czech Republic</v>
      </c>
      <c r="BK6" s="167"/>
      <c r="BL6" s="172">
        <v>2</v>
      </c>
      <c r="BM6" s="172">
        <f t="shared" si="13"/>
        <v>8.4354833572346494E-2</v>
      </c>
      <c r="BN6" s="172">
        <f t="shared" si="13"/>
        <v>9.4471955610830924E-2</v>
      </c>
      <c r="BO6" s="172">
        <f t="shared" si="13"/>
        <v>5.2901238844128409E-2</v>
      </c>
      <c r="BP6" s="172">
        <f t="shared" si="13"/>
        <v>1.9748654883161777E-2</v>
      </c>
      <c r="BQ6" s="172">
        <f t="shared" si="13"/>
        <v>5.5293039191867338E-3</v>
      </c>
      <c r="BR6" s="172">
        <f t="shared" si="13"/>
        <v>1.238492525657582E-3</v>
      </c>
      <c r="BS6" s="172">
        <f t="shared" si="13"/>
        <v>2.3117191580950702E-4</v>
      </c>
      <c r="BT6" s="172">
        <f t="shared" si="13"/>
        <v>3.6985369749518904E-5</v>
      </c>
      <c r="BU6" s="172">
        <f t="shared" si="13"/>
        <v>5.1776526330142598E-6</v>
      </c>
    </row>
    <row r="7" spans="1:73" ht="15.95" customHeight="1">
      <c r="A7" s="113" t="str">
        <v>Austria</v>
      </c>
      <c r="B7" s="112">
        <f>IF(COUNTIFS(_xlfn.ANCHORARRAY(DATA_CLEANED!$AF$3),CALCULES!B$2,_xlfn.ANCHORARRAY(DATA_CLEANED!$AK$3),CALCULES!$A7)+COUNTIFS(_xlfn.ANCHORARRAY(DATA_CLEANED!$AF$3),CALCULES!B$2,_xlfn.ANCHORARRAY(DATA_CLEANED!$AN$3),CALCULES!$A7)&gt;0,1,0)</f>
        <v>0</v>
      </c>
      <c r="C7" s="112">
        <f>IF(COUNTIFS(_xlfn.ANCHORARRAY(DATA_CLEANED!$AF$3),CALCULES!C$2,_xlfn.ANCHORARRAY(DATA_CLEANED!$AK$3),CALCULES!$A7)+COUNTIFS(_xlfn.ANCHORARRAY(DATA_CLEANED!$AF$3),CALCULES!C$2,_xlfn.ANCHORARRAY(DATA_CLEANED!$AN$3),CALCULES!$A7)&gt;0,1,0)</f>
        <v>1</v>
      </c>
      <c r="D7" s="112">
        <f>IF(COUNTIFS(_xlfn.ANCHORARRAY(DATA_CLEANED!$AF$3),CALCULES!D$2,_xlfn.ANCHORARRAY(DATA_CLEANED!$AK$3),CALCULES!$A7)+COUNTIFS(_xlfn.ANCHORARRAY(DATA_CLEANED!$AF$3),CALCULES!D$2,_xlfn.ANCHORARRAY(DATA_CLEANED!$AN$3),CALCULES!$A7)&gt;0,1,0)</f>
        <v>0</v>
      </c>
      <c r="E7" s="112">
        <f>IF(COUNTIFS(_xlfn.ANCHORARRAY(DATA_CLEANED!$AF$3),CALCULES!E$2,_xlfn.ANCHORARRAY(DATA_CLEANED!$AK$3),CALCULES!$A7)+COUNTIFS(_xlfn.ANCHORARRAY(DATA_CLEANED!$AF$3),CALCULES!E$2,_xlfn.ANCHORARRAY(DATA_CLEANED!$AN$3),CALCULES!$A7)&gt;0,1,0)</f>
        <v>0</v>
      </c>
      <c r="F7" s="112">
        <f>IF(COUNTIFS(_xlfn.ANCHORARRAY(DATA_CLEANED!$AF$3),CALCULES!F$2,_xlfn.ANCHORARRAY(DATA_CLEANED!$AK$3),CALCULES!$A7)+COUNTIFS(_xlfn.ANCHORARRAY(DATA_CLEANED!$AF$3),CALCULES!F$2,_xlfn.ANCHORARRAY(DATA_CLEANED!$AN$3),CALCULES!$A7)&gt;0,1,0)</f>
        <v>1</v>
      </c>
      <c r="G7" s="112">
        <f>IF(COUNTIFS(_xlfn.ANCHORARRAY(DATA_CLEANED!$AF$3),CALCULES!G$2,_xlfn.ANCHORARRAY(DATA_CLEANED!$AK$3),CALCULES!$A7)+COUNTIFS(_xlfn.ANCHORARRAY(DATA_CLEANED!$AF$3),CALCULES!G$2,_xlfn.ANCHORARRAY(DATA_CLEANED!$AN$3),CALCULES!$A7)&gt;0,1,0)</f>
        <v>1</v>
      </c>
      <c r="H7" s="112">
        <f>IF(COUNTIFS(_xlfn.ANCHORARRAY(DATA_CLEANED!$AF$3),CALCULES!H$2,_xlfn.ANCHORARRAY(DATA_CLEANED!$AK$3),CALCULES!$A7)+COUNTIFS(_xlfn.ANCHORARRAY(DATA_CLEANED!$AF$3),CALCULES!H$2,_xlfn.ANCHORARRAY(DATA_CLEANED!$AN$3),CALCULES!$A7)&gt;0,1,0)</f>
        <v>0</v>
      </c>
      <c r="I7" s="112">
        <f>IF(COUNTIFS(_xlfn.ANCHORARRAY(DATA_CLEANED!$AF$3),CALCULES!I$2,_xlfn.ANCHORARRAY(DATA_CLEANED!$AK$3),CALCULES!$A7)+COUNTIFS(_xlfn.ANCHORARRAY(DATA_CLEANED!$AF$3),CALCULES!I$2,_xlfn.ANCHORARRAY(DATA_CLEANED!$AN$3),CALCULES!$A7)&gt;0,1,0)</f>
        <v>0</v>
      </c>
      <c r="J7" s="112">
        <f>IF(COUNTIFS(_xlfn.ANCHORARRAY(DATA_CLEANED!$AF$3),CALCULES!J$2,_xlfn.ANCHORARRAY(DATA_CLEANED!$AK$3),CALCULES!$A7)+COUNTIFS(_xlfn.ANCHORARRAY(DATA_CLEANED!$AF$3),CALCULES!J$2,_xlfn.ANCHORARRAY(DATA_CLEANED!$AN$3),CALCULES!$A7)&gt;0,1,0)</f>
        <v>0</v>
      </c>
      <c r="K7" s="112">
        <f>IF(COUNTIFS(_xlfn.ANCHORARRAY(DATA_CLEANED!$AF$3),CALCULES!K$2,_xlfn.ANCHORARRAY(DATA_CLEANED!$AK$3),CALCULES!$A7)+COUNTIFS(_xlfn.ANCHORARRAY(DATA_CLEANED!$AF$3),CALCULES!K$2,_xlfn.ANCHORARRAY(DATA_CLEANED!$AN$3),CALCULES!$A7)&gt;0,1,0)</f>
        <v>0</v>
      </c>
      <c r="L7" s="112">
        <f>IF(COUNTIFS(_xlfn.ANCHORARRAY(DATA_CLEANED!$AF$3),CALCULES!L$2,_xlfn.ANCHORARRAY(DATA_CLEANED!$AK$3),CALCULES!$A7)+COUNTIFS(_xlfn.ANCHORARRAY(DATA_CLEANED!$AF$3),CALCULES!L$2,_xlfn.ANCHORARRAY(DATA_CLEANED!$AN$3),CALCULES!$A7)&gt;0,1,0)</f>
        <v>1</v>
      </c>
      <c r="M7" s="112">
        <f>IF(COUNTIFS(_xlfn.ANCHORARRAY(DATA_CLEANED!$AF$3),CALCULES!M$2,_xlfn.ANCHORARRAY(DATA_CLEANED!$AK$3),CALCULES!$A7)+COUNTIFS(_xlfn.ANCHORARRAY(DATA_CLEANED!$AF$3),CALCULES!M$2,_xlfn.ANCHORARRAY(DATA_CLEANED!$AN$3),CALCULES!$A7)&gt;0,1,0)</f>
        <v>1</v>
      </c>
      <c r="N7" s="112">
        <f>IF(COUNTIFS(_xlfn.ANCHORARRAY(DATA_CLEANED!$AF$3),CALCULES!N$2,_xlfn.ANCHORARRAY(DATA_CLEANED!$AK$3),CALCULES!$A7)+COUNTIFS(_xlfn.ANCHORARRAY(DATA_CLEANED!$AF$3),CALCULES!N$2,_xlfn.ANCHORARRAY(DATA_CLEANED!$AN$3),CALCULES!$A7)&gt;0,1,0)</f>
        <v>0</v>
      </c>
      <c r="O7" s="112">
        <f>IF(COUNTIFS(_xlfn.ANCHORARRAY(DATA_CLEANED!$AF$3),CALCULES!O$2,_xlfn.ANCHORARRAY(DATA_CLEANED!$AK$3),CALCULES!$A7)+COUNTIFS(_xlfn.ANCHORARRAY(DATA_CLEANED!$AF$3),CALCULES!O$2,_xlfn.ANCHORARRAY(DATA_CLEANED!$AN$3),CALCULES!$A7)&gt;0,1,0)</f>
        <v>1</v>
      </c>
      <c r="P7" s="112">
        <f>IF(COUNTIFS(_xlfn.ANCHORARRAY(DATA_CLEANED!$AF$3),CALCULES!P$2,_xlfn.ANCHORARRAY(DATA_CLEANED!$AK$3),CALCULES!$A7)+COUNTIFS(_xlfn.ANCHORARRAY(DATA_CLEANED!$AF$3),CALCULES!P$2,_xlfn.ANCHORARRAY(DATA_CLEANED!$AN$3),CALCULES!$A7)&gt;0,1,0)</f>
        <v>0</v>
      </c>
      <c r="Q7" s="112">
        <f>IF(COUNTIFS(_xlfn.ANCHORARRAY(DATA_CLEANED!$AF$3),CALCULES!Q$2,_xlfn.ANCHORARRAY(DATA_CLEANED!$AK$3),CALCULES!$A7)+COUNTIFS(_xlfn.ANCHORARRAY(DATA_CLEANED!$AF$3),CALCULES!Q$2,_xlfn.ANCHORARRAY(DATA_CLEANED!$AN$3),CALCULES!$A7)&gt;0,1,0)</f>
        <v>1</v>
      </c>
      <c r="R7" s="112">
        <f>IF(COUNTIFS(_xlfn.ANCHORARRAY(DATA_CLEANED!$AF$3),CALCULES!R$2,_xlfn.ANCHORARRAY(DATA_CLEANED!$AK$3),CALCULES!$A7)+COUNTIFS(_xlfn.ANCHORARRAY(DATA_CLEANED!$AF$3),CALCULES!R$2,_xlfn.ANCHORARRAY(DATA_CLEANED!$AN$3),CALCULES!$A7)&gt;0,1,0)</f>
        <v>0</v>
      </c>
      <c r="S7" s="112">
        <f>IF(COUNTIFS(_xlfn.ANCHORARRAY(DATA_CLEANED!$AF$3),CALCULES!S$2,_xlfn.ANCHORARRAY(DATA_CLEANED!$AK$3),CALCULES!$A7)+COUNTIFS(_xlfn.ANCHORARRAY(DATA_CLEANED!$AF$3),CALCULES!S$2,_xlfn.ANCHORARRAY(DATA_CLEANED!$AN$3),CALCULES!$A7)&gt;0,1,0)</f>
        <v>0</v>
      </c>
      <c r="T7" s="112">
        <f>IF(COUNTIFS(_xlfn.ANCHORARRAY(DATA_CLEANED!$AF$3),CALCULES!T$2,_xlfn.ANCHORARRAY(DATA_CLEANED!$AK$3),CALCULES!$A7)+COUNTIFS(_xlfn.ANCHORARRAY(DATA_CLEANED!$AF$3),CALCULES!T$2,_xlfn.ANCHORARRAY(DATA_CLEANED!$AN$3),CALCULES!$A7)&gt;0,1,0)</f>
        <v>0</v>
      </c>
      <c r="U7" s="112">
        <f>IF(COUNTIFS(_xlfn.ANCHORARRAY(DATA_CLEANED!$AF$3),CALCULES!U$2,_xlfn.ANCHORARRAY(DATA_CLEANED!$AK$3),CALCULES!$A7)+COUNTIFS(_xlfn.ANCHORARRAY(DATA_CLEANED!$AF$3),CALCULES!U$2,_xlfn.ANCHORARRAY(DATA_CLEANED!$AN$3),CALCULES!$A7)&gt;0,1,0)</f>
        <v>0</v>
      </c>
      <c r="V7" s="112">
        <f>IF(COUNTIFS(_xlfn.ANCHORARRAY(DATA_CLEANED!$AF$3),CALCULES!V$2,_xlfn.ANCHORARRAY(DATA_CLEANED!$AK$3),CALCULES!$A7)+COUNTIFS(_xlfn.ANCHORARRAY(DATA_CLEANED!$AF$3),CALCULES!V$2,_xlfn.ANCHORARRAY(DATA_CLEANED!$AN$3),CALCULES!$A7)&gt;0,1,0)</f>
        <v>0</v>
      </c>
      <c r="W7" s="112">
        <f>IF(COUNTIFS(_xlfn.ANCHORARRAY(DATA_CLEANED!$AF$3),CALCULES!W$2,_xlfn.ANCHORARRAY(DATA_CLEANED!$AK$3),CALCULES!$A7)+COUNTIFS(_xlfn.ANCHORARRAY(DATA_CLEANED!$AF$3),CALCULES!W$2,_xlfn.ANCHORARRAY(DATA_CLEANED!$AN$3),CALCULES!$A7)&gt;0,1,0)</f>
        <v>0</v>
      </c>
      <c r="X7" s="112">
        <f>IF(COUNTIFS(_xlfn.ANCHORARRAY(DATA_CLEANED!$AF$3),CALCULES!X$2,_xlfn.ANCHORARRAY(DATA_CLEANED!$AK$3),CALCULES!$A7)+COUNTIFS(_xlfn.ANCHORARRAY(DATA_CLEANED!$AF$3),CALCULES!X$2,_xlfn.ANCHORARRAY(DATA_CLEANED!$AN$3),CALCULES!$A7)&gt;0,1,0)</f>
        <v>1</v>
      </c>
      <c r="Y7" s="113">
        <f t="shared" si="0"/>
        <v>8</v>
      </c>
      <c r="AA7" s="112">
        <f>COUNTIF(_xlfn.ANCHORARRAY(DATA_CLEANED!$AK$3),$A7)+COUNTIF(DATA_CLEANED!$AN$2:$AN$1060,$A7)</f>
        <v>31</v>
      </c>
      <c r="AB7" s="112">
        <f>COUNTIF(DATA_QUALITE!BG$12:BG$1069,A7)</f>
        <v>13</v>
      </c>
      <c r="AC7" s="112">
        <f t="shared" si="7"/>
        <v>18</v>
      </c>
      <c r="AD7" s="112" cm="1">
        <f t="array" ref="AD7">SUMPRODUCT((DATA_CLEANED!AL$3:AL$1060=DATA_CLEANED!AM$3:AM$1060)*(_xlfn.ANCHORARRAY(DATA_CLEANED!AK$3)=CALCULES!A7)*(DATA_CLEANED!AO$3:AO$1060&lt;&gt;"-"))
+
SUMPRODUCT((DATA_CLEANED!AL$3:AL$1060=DATA_CLEANED!AM$3:AM$1060)*(_xlfn.ANCHORARRAY(DATA_CLEANED!AN$3)=CALCULES!A7)*(DATA_CLEANED!AO$3:AO$1060&lt;&gt;"-"))</f>
        <v>0</v>
      </c>
      <c r="AE7" s="116">
        <f t="shared" si="1"/>
        <v>0.41935483870967744</v>
      </c>
      <c r="AF7" s="116">
        <f t="shared" si="2"/>
        <v>0.58064516129032262</v>
      </c>
      <c r="AG7" s="112">
        <f>SUMIF(_xlfn.ANCHORARRAY(DATA_CLEANED!AK$3),A7,DATA_CLEANED!AL$2:AL$1060)+SUMIF(_xlfn.ANCHORARRAY(DATA_CLEANED!AN$3),A7,DATA_CLEANED!AM$2:AM$1060)</f>
        <v>48</v>
      </c>
      <c r="AH7" s="112">
        <f>SUMIF(_xlfn.ANCHORARRAY(DATA_CLEANED!AK$3),A7,DATA_CLEANED!AM$2:AM$1060)+SUMIF(_xlfn.ANCHORARRAY(DATA_CLEANED!AN$3),A7,DATA_CLEANED!AL$2:AL$1060)</f>
        <v>37</v>
      </c>
      <c r="AI7" s="112">
        <f t="shared" si="8"/>
        <v>1.19</v>
      </c>
      <c r="AJ7" s="117" cm="1">
        <f t="array" ref="AJ7">_xlfn.LET(_xlpm.home,IFERROR(_xlfn._xlws.FILTER(DATA_CLEANED!AH$3:AH$1060,DATA_CLEANED!AK$3:AK$1060=CALCULES!A7),""),
_xlpm.away,IFERROR(_xlfn._xlws.FILTER(DATA_CLEANED!AH$3:AH$1060,DATA_CLEANED!AN$3:AN$1060=CALCULES!A7),""),
_xlpm.assemb_t,_xlfn._xlws.FILTER(_xlfn.VSTACK(_xlpm.home,_xlpm.away),_xlfn.VSTACK(_xlpm.home,_xlpm.away)&lt;&gt;""),
_xlpm.but_h,IFERROR(_xlfn._xlws.FILTER(_xlfn.ANCHORARRAY(DATA_CLEANED!AM$3),DATA_CLEANED!AK$3:AK$1060=CALCULES!A7),""),
_xlpm.but_a,IFERROR(_xlfn._xlws.FILTER(_xlfn.ANCHORARRAY(DATA_CLEANED!AL$3),DATA_CLEANED!AN$3:AN$1060=CALCULES!A7),""),
_xlpm.assemb_b,_xlfn._xlws.FILTER(_xlfn.VSTACK(_xlpm.but_h,_xlpm.but_a),_xlfn.VSTACK(_xlpm.but_h,_xlpm.but_a)&lt;&gt;""),
MEDIAN(_xlpm.assemb_t,_xlpm.assemb_b)
)</f>
        <v>1</v>
      </c>
      <c r="AK7" s="113">
        <f t="shared" si="3"/>
        <v>11</v>
      </c>
      <c r="AL7" s="112" cm="1">
        <f t="array" ref="AL7">IFERROR(MEDIAN(_xlfn._xlws.FILTER(_xlfn.VSTACK(
DATA_CLEANED!AL$3:AL$1060-DATA_CLEANED!AM$3:AM$1060,
DATA_CLEANED!AM$3:AM$1060-DATA_CLEANED!AL$3:AL$1060
),_xlfn.VSTACK(DATA_CLEANED!AK$3:AK$1060,DATA_CLEANED!AN$3:AN$1060)=A7)),"-")</f>
        <v>0</v>
      </c>
      <c r="AM7" s="112">
        <f t="shared" si="9"/>
        <v>1.55</v>
      </c>
      <c r="AN7" s="112" cm="1">
        <f t="array" ref="AN7">_xlfn.LET(_xlpm.home,IFERROR(_xlfn._xlws.FILTER(DATA_CLEANED!AH$3:AH$1060,DATA_CLEANED!AK$3:AK$1060=CALCULES!A7),""),
_xlpm.away,IFERROR(_xlfn._xlws.FILTER(DATA_CLEANED!AH$3:AH$1060,DATA_CLEANED!AN$3:AN$1060=CALCULES!A7),""),
_xlpm.assemb_t,_xlfn._xlws.FILTER(_xlfn.VSTACK(_xlpm.home,_xlpm.away),_xlfn.VSTACK(_xlpm.home,_xlpm.away)&lt;&gt;""),
_xlpm.but_h,IFERROR(_xlfn._xlws.FILTER(_xlfn.ANCHORARRAY(DATA_CLEANED!AL$3),DATA_CLEANED!AK$3:AK$1060=CALCULES!A7),""),
_xlpm.but_a,IFERROR(_xlfn._xlws.FILTER(_xlfn.ANCHORARRAY(DATA_CLEANED!AM$3),DATA_CLEANED!AN$3:AN$1060=CALCULES!A7),""),
_xlpm.assemb_b,_xlfn._xlws.FILTER(_xlfn.VSTACK(_xlpm.but_h,_xlpm.but_a),_xlfn.VSTACK(_xlpm.but_h,_xlpm.but_a)&lt;&gt;""),
MEDIAN(_xlpm.assemb_t,_xlpm.assemb_b)
)</f>
        <v>1</v>
      </c>
      <c r="AO7" s="116">
        <f>ROUND(IFERROR((COUNTIFS(DATA_CLEANED!AK$3:AK$1060,A7,DATA_CLEANED!AM$3:AM$1060,0)
+
COUNTIFS(DATA_CLEANED!AN$3:AN$1060,A7,DATA_CLEANED!AL$3:AL$1060,0)
)/AA7,0),2)</f>
        <v>0.16</v>
      </c>
      <c r="AP7" s="112">
        <f>MAX((_xlfn.MAXIFS(_xlfn.ANCHORARRAY(DATA_CLEANED!AL$3),_xlfn.ANCHORARRAY(DATA_CLEANED!AK$3),A7)),(_xlfn.MAXIFS(DATA_CLEANED!AM$3:AM$1060,_xlfn.ANCHORARRAY(DATA_CLEANED!AN$3),A7)))</f>
        <v>7</v>
      </c>
      <c r="AQ7" s="112">
        <f>COUNTIF(_xlfn.ANCHORARRAY(DATA_CLEANED!K$3),A7)</f>
        <v>0</v>
      </c>
      <c r="AR7" s="113" t="str" cm="1">
        <f t="array" ref="AR7">_xlfn.LET(
_xlpm.home,IFERROR(_xlfn._xlws.FILTER(DATA_CLEANED!AH$3:AH$1060,DATA_CLEANED!AK$3:AK$1060=CALCULES!A7),""),
_xlpm.away,IFERROR(_xlfn._xlws.FILTER(DATA_CLEANED!AH$3:AH$1060,DATA_CLEANED!AN$3:AN$1060=CALCULES!A7),""),
_xlpm.etapes,_xlfn._xlws.FILTER(_xlfn.VSTACK(_xlpm.home,_xlpm.away),_xlfn.VSTACK(_xlpm.home,_xlpm.away)&lt;&gt;""),
_xlpm.numeros,_xlfn.XLOOKUP(_xlpm.etapes,DATA_QUALITE!AT$12:AT$38,DATA_QUALITE!AU$12:AU$38),
_xlfn.XLOOKUP(MIN(_xlpm.numeros),DATA_QUALITE!AU$12:AU$38,DATA_QUALITE!AT$12:AT$38)
)</f>
        <v>THIRD_PLACE</v>
      </c>
      <c r="AS7" s="112">
        <f t="shared" si="4"/>
        <v>8</v>
      </c>
      <c r="AT7" s="112">
        <f t="shared" si="5"/>
        <v>13</v>
      </c>
      <c r="AU7" s="112">
        <f>COUNTIFS(DATA_QUALITE!BG$12:BG$1069,"MATCH NUL",_xlfn.ANCHORARRAY(DATA_CLEANED!AK$3),CALCULES!A7)+COUNTIFS(DATA_QUALITE!BG$12:BG$1069,"MATCH NUL",_xlfn.ANCHORARRAY(DATA_CLEANED!AN$3),CALCULES!A7)</f>
        <v>4</v>
      </c>
      <c r="AV7" s="112">
        <v>48</v>
      </c>
      <c r="AW7" s="112">
        <f>COUNTIFS(_xlfn.ANCHORARRAY(DATA_CLEANED!AH$3),"QUARTER_FINALS",_xlfn.ANCHORARRAY(DATA_CLEANED!AK$3),CALCULES!A7)+COUNTIFS(_xlfn.ANCHORARRAY(DATA_CLEANED!AH$3),"QUARTER_FINALS",_xlfn.ANCHORARRAY(DATA_CLEANED!AN$3),CALCULES!A7)</f>
        <v>2</v>
      </c>
      <c r="AX7" s="112">
        <f>COUNTIFS(_xlfn.ANCHORARRAY(DATA_CLEANED!AH$3),"SEMI_FINALS",_xlfn.ANCHORARRAY(DATA_CLEANED!AK$3),CALCULES!A7)+COUNTIFS(_xlfn.ANCHORARRAY(DATA_CLEANED!AH$3),"SEMI_FINALS",_xlfn.ANCHORARRAY(DATA_CLEANED!AN$3),CALCULES!A7)</f>
        <v>2</v>
      </c>
      <c r="AY7" s="112">
        <f>COUNTIFS(_xlfn.ANCHORARRAY(DATA_CLEANED!AH$3),"FINAL",_xlfn.ANCHORARRAY(DATA_CLEANED!AK$3),CALCULES!A7)+COUNTIFS(_xlfn.ANCHORARRAY(DATA_CLEANED!AH$3),"FINAL",_xlfn.ANCHORARRAY(DATA_CLEANED!AN$3),CALCULES!A7)</f>
        <v>0</v>
      </c>
      <c r="AZ7" s="112">
        <f>COUNTIFS(DATA_QUALITE!BG$12:BG$1069,CALCULES!A7,DATA_QUALITE!AW$12:AW$1069,"FINAL")</f>
        <v>0</v>
      </c>
      <c r="BA7" s="113">
        <f t="shared" si="6"/>
        <v>41.81</v>
      </c>
      <c r="BB7" s="118">
        <f t="shared" si="10"/>
        <v>19.66</v>
      </c>
      <c r="BC7" s="118">
        <f t="shared" si="11"/>
        <v>19.670000000000002</v>
      </c>
      <c r="BD7" s="139">
        <f t="shared" si="12"/>
        <v>19.670000000000002</v>
      </c>
      <c r="BF7" s="178" t="s">
        <v>3567</v>
      </c>
      <c r="BG7" s="178">
        <f>_xlfn.XLOOKUP(DASHBOARD!$C$103,CALCULES!$A$3:$A$92,CALCULES!$AA$3:$AA$92,0)</f>
        <v>55</v>
      </c>
      <c r="BH7" s="167"/>
      <c r="BI7" s="178" t="s">
        <v>3567</v>
      </c>
      <c r="BJ7" s="178">
        <f>_xlfn.XLOOKUP(DASHBOARD!$D$103,CALCULES!$A$3:$A$92,CALCULES!$AA$3:$AA$92,0)</f>
        <v>6</v>
      </c>
      <c r="BK7" s="167"/>
      <c r="BL7" s="172">
        <v>3</v>
      </c>
      <c r="BM7" s="172">
        <f t="shared" si="13"/>
        <v>4.502892835160309E-2</v>
      </c>
      <c r="BN7" s="172">
        <f t="shared" si="13"/>
        <v>5.0429486258040397E-2</v>
      </c>
      <c r="BO7" s="172">
        <f t="shared" si="13"/>
        <v>2.8238880841135391E-2</v>
      </c>
      <c r="BP7" s="172">
        <f t="shared" si="13"/>
        <v>1.0541906469553497E-2</v>
      </c>
      <c r="BQ7" s="172">
        <f t="shared" si="13"/>
        <v>2.9515632888749916E-3</v>
      </c>
      <c r="BR7" s="172">
        <f t="shared" si="13"/>
        <v>6.6111198185225589E-4</v>
      </c>
      <c r="BS7" s="172">
        <f t="shared" si="13"/>
        <v>1.2340044065123457E-4</v>
      </c>
      <c r="BT7" s="172">
        <f t="shared" si="13"/>
        <v>1.9742929882972301E-5</v>
      </c>
      <c r="BU7" s="172">
        <f t="shared" si="13"/>
        <v>2.7638505058697464E-6</v>
      </c>
    </row>
    <row r="8" spans="1:73" ht="15.95" customHeight="1">
      <c r="A8" s="113" t="str">
        <v>Belgium</v>
      </c>
      <c r="B8" s="112">
        <f>IF(COUNTIFS(_xlfn.ANCHORARRAY(DATA_CLEANED!$AF$3),CALCULES!B$2,_xlfn.ANCHORARRAY(DATA_CLEANED!$AK$3),CALCULES!$A8)+COUNTIFS(_xlfn.ANCHORARRAY(DATA_CLEANED!$AF$3),CALCULES!B$2,_xlfn.ANCHORARRAY(DATA_CLEANED!$AN$3),CALCULES!$A8)&gt;0,1,0)</f>
        <v>1</v>
      </c>
      <c r="C8" s="112">
        <f>IF(COUNTIFS(_xlfn.ANCHORARRAY(DATA_CLEANED!$AF$3),CALCULES!C$2,_xlfn.ANCHORARRAY(DATA_CLEANED!$AK$3),CALCULES!$A8)+COUNTIFS(_xlfn.ANCHORARRAY(DATA_CLEANED!$AF$3),CALCULES!C$2,_xlfn.ANCHORARRAY(DATA_CLEANED!$AN$3),CALCULES!$A8)&gt;0,1,0)</f>
        <v>1</v>
      </c>
      <c r="D8" s="112">
        <f>IF(COUNTIFS(_xlfn.ANCHORARRAY(DATA_CLEANED!$AF$3),CALCULES!D$2,_xlfn.ANCHORARRAY(DATA_CLEANED!$AK$3),CALCULES!$A8)+COUNTIFS(_xlfn.ANCHORARRAY(DATA_CLEANED!$AF$3),CALCULES!D$2,_xlfn.ANCHORARRAY(DATA_CLEANED!$AN$3),CALCULES!$A8)&gt;0,1,0)</f>
        <v>1</v>
      </c>
      <c r="E8" s="112">
        <f>IF(COUNTIFS(_xlfn.ANCHORARRAY(DATA_CLEANED!$AF$3),CALCULES!E$2,_xlfn.ANCHORARRAY(DATA_CLEANED!$AK$3),CALCULES!$A8)+COUNTIFS(_xlfn.ANCHORARRAY(DATA_CLEANED!$AF$3),CALCULES!E$2,_xlfn.ANCHORARRAY(DATA_CLEANED!$AN$3),CALCULES!$A8)&gt;0,1,0)</f>
        <v>0</v>
      </c>
      <c r="F8" s="112">
        <f>IF(COUNTIFS(_xlfn.ANCHORARRAY(DATA_CLEANED!$AF$3),CALCULES!F$2,_xlfn.ANCHORARRAY(DATA_CLEANED!$AK$3),CALCULES!$A8)+COUNTIFS(_xlfn.ANCHORARRAY(DATA_CLEANED!$AF$3),CALCULES!F$2,_xlfn.ANCHORARRAY(DATA_CLEANED!$AN$3),CALCULES!$A8)&gt;0,1,0)</f>
        <v>1</v>
      </c>
      <c r="G8" s="112">
        <f>IF(COUNTIFS(_xlfn.ANCHORARRAY(DATA_CLEANED!$AF$3),CALCULES!G$2,_xlfn.ANCHORARRAY(DATA_CLEANED!$AK$3),CALCULES!$A8)+COUNTIFS(_xlfn.ANCHORARRAY(DATA_CLEANED!$AF$3),CALCULES!G$2,_xlfn.ANCHORARRAY(DATA_CLEANED!$AN$3),CALCULES!$A8)&gt;0,1,0)</f>
        <v>0</v>
      </c>
      <c r="H8" s="112">
        <f>IF(COUNTIFS(_xlfn.ANCHORARRAY(DATA_CLEANED!$AF$3),CALCULES!H$2,_xlfn.ANCHORARRAY(DATA_CLEANED!$AK$3),CALCULES!$A8)+COUNTIFS(_xlfn.ANCHORARRAY(DATA_CLEANED!$AF$3),CALCULES!H$2,_xlfn.ANCHORARRAY(DATA_CLEANED!$AN$3),CALCULES!$A8)&gt;0,1,0)</f>
        <v>0</v>
      </c>
      <c r="I8" s="112">
        <f>IF(COUNTIFS(_xlfn.ANCHORARRAY(DATA_CLEANED!$AF$3),CALCULES!I$2,_xlfn.ANCHORARRAY(DATA_CLEANED!$AK$3),CALCULES!$A8)+COUNTIFS(_xlfn.ANCHORARRAY(DATA_CLEANED!$AF$3),CALCULES!I$2,_xlfn.ANCHORARRAY(DATA_CLEANED!$AN$3),CALCULES!$A8)&gt;0,1,0)</f>
        <v>0</v>
      </c>
      <c r="J8" s="112">
        <f>IF(COUNTIFS(_xlfn.ANCHORARRAY(DATA_CLEANED!$AF$3),CALCULES!J$2,_xlfn.ANCHORARRAY(DATA_CLEANED!$AK$3),CALCULES!$A8)+COUNTIFS(_xlfn.ANCHORARRAY(DATA_CLEANED!$AF$3),CALCULES!J$2,_xlfn.ANCHORARRAY(DATA_CLEANED!$AN$3),CALCULES!$A8)&gt;0,1,0)</f>
        <v>1</v>
      </c>
      <c r="K8" s="112">
        <f>IF(COUNTIFS(_xlfn.ANCHORARRAY(DATA_CLEANED!$AF$3),CALCULES!K$2,_xlfn.ANCHORARRAY(DATA_CLEANED!$AK$3),CALCULES!$A8)+COUNTIFS(_xlfn.ANCHORARRAY(DATA_CLEANED!$AF$3),CALCULES!K$2,_xlfn.ANCHORARRAY(DATA_CLEANED!$AN$3),CALCULES!$A8)&gt;0,1,0)</f>
        <v>0</v>
      </c>
      <c r="L8" s="112">
        <f>IF(COUNTIFS(_xlfn.ANCHORARRAY(DATA_CLEANED!$AF$3),CALCULES!L$2,_xlfn.ANCHORARRAY(DATA_CLEANED!$AK$3),CALCULES!$A8)+COUNTIFS(_xlfn.ANCHORARRAY(DATA_CLEANED!$AF$3),CALCULES!L$2,_xlfn.ANCHORARRAY(DATA_CLEANED!$AN$3),CALCULES!$A8)&gt;0,1,0)</f>
        <v>0</v>
      </c>
      <c r="M8" s="112">
        <f>IF(COUNTIFS(_xlfn.ANCHORARRAY(DATA_CLEANED!$AF$3),CALCULES!M$2,_xlfn.ANCHORARRAY(DATA_CLEANED!$AK$3),CALCULES!$A8)+COUNTIFS(_xlfn.ANCHORARRAY(DATA_CLEANED!$AF$3),CALCULES!M$2,_xlfn.ANCHORARRAY(DATA_CLEANED!$AN$3),CALCULES!$A8)&gt;0,1,0)</f>
        <v>1</v>
      </c>
      <c r="N8" s="112">
        <f>IF(COUNTIFS(_xlfn.ANCHORARRAY(DATA_CLEANED!$AF$3),CALCULES!N$2,_xlfn.ANCHORARRAY(DATA_CLEANED!$AK$3),CALCULES!$A8)+COUNTIFS(_xlfn.ANCHORARRAY(DATA_CLEANED!$AF$3),CALCULES!N$2,_xlfn.ANCHORARRAY(DATA_CLEANED!$AN$3),CALCULES!$A8)&gt;0,1,0)</f>
        <v>1</v>
      </c>
      <c r="O8" s="112">
        <f>IF(COUNTIFS(_xlfn.ANCHORARRAY(DATA_CLEANED!$AF$3),CALCULES!O$2,_xlfn.ANCHORARRAY(DATA_CLEANED!$AK$3),CALCULES!$A8)+COUNTIFS(_xlfn.ANCHORARRAY(DATA_CLEANED!$AF$3),CALCULES!O$2,_xlfn.ANCHORARRAY(DATA_CLEANED!$AN$3),CALCULES!$A8)&gt;0,1,0)</f>
        <v>1</v>
      </c>
      <c r="P8" s="112">
        <f>IF(COUNTIFS(_xlfn.ANCHORARRAY(DATA_CLEANED!$AF$3),CALCULES!P$2,_xlfn.ANCHORARRAY(DATA_CLEANED!$AK$3),CALCULES!$A8)+COUNTIFS(_xlfn.ANCHORARRAY(DATA_CLEANED!$AF$3),CALCULES!P$2,_xlfn.ANCHORARRAY(DATA_CLEANED!$AN$3),CALCULES!$A8)&gt;0,1,0)</f>
        <v>1</v>
      </c>
      <c r="Q8" s="112">
        <f>IF(COUNTIFS(_xlfn.ANCHORARRAY(DATA_CLEANED!$AF$3),CALCULES!Q$2,_xlfn.ANCHORARRAY(DATA_CLEANED!$AK$3),CALCULES!$A8)+COUNTIFS(_xlfn.ANCHORARRAY(DATA_CLEANED!$AF$3),CALCULES!Q$2,_xlfn.ANCHORARRAY(DATA_CLEANED!$AN$3),CALCULES!$A8)&gt;0,1,0)</f>
        <v>1</v>
      </c>
      <c r="R8" s="112">
        <f>IF(COUNTIFS(_xlfn.ANCHORARRAY(DATA_CLEANED!$AF$3),CALCULES!R$2,_xlfn.ANCHORARRAY(DATA_CLEANED!$AK$3),CALCULES!$A8)+COUNTIFS(_xlfn.ANCHORARRAY(DATA_CLEANED!$AF$3),CALCULES!R$2,_xlfn.ANCHORARRAY(DATA_CLEANED!$AN$3),CALCULES!$A8)&gt;0,1,0)</f>
        <v>1</v>
      </c>
      <c r="S8" s="112">
        <f>IF(COUNTIFS(_xlfn.ANCHORARRAY(DATA_CLEANED!$AF$3),CALCULES!S$2,_xlfn.ANCHORARRAY(DATA_CLEANED!$AK$3),CALCULES!$A8)+COUNTIFS(_xlfn.ANCHORARRAY(DATA_CLEANED!$AF$3),CALCULES!S$2,_xlfn.ANCHORARRAY(DATA_CLEANED!$AN$3),CALCULES!$A8)&gt;0,1,0)</f>
        <v>0</v>
      </c>
      <c r="T8" s="112">
        <f>IF(COUNTIFS(_xlfn.ANCHORARRAY(DATA_CLEANED!$AF$3),CALCULES!T$2,_xlfn.ANCHORARRAY(DATA_CLEANED!$AK$3),CALCULES!$A8)+COUNTIFS(_xlfn.ANCHORARRAY(DATA_CLEANED!$AF$3),CALCULES!T$2,_xlfn.ANCHORARRAY(DATA_CLEANED!$AN$3),CALCULES!$A8)&gt;0,1,0)</f>
        <v>0</v>
      </c>
      <c r="U8" s="112">
        <f>IF(COUNTIFS(_xlfn.ANCHORARRAY(DATA_CLEANED!$AF$3),CALCULES!U$2,_xlfn.ANCHORARRAY(DATA_CLEANED!$AK$3),CALCULES!$A8)+COUNTIFS(_xlfn.ANCHORARRAY(DATA_CLEANED!$AF$3),CALCULES!U$2,_xlfn.ANCHORARRAY(DATA_CLEANED!$AN$3),CALCULES!$A8)&gt;0,1,0)</f>
        <v>1</v>
      </c>
      <c r="V8" s="112">
        <f>IF(COUNTIFS(_xlfn.ANCHORARRAY(DATA_CLEANED!$AF$3),CALCULES!V$2,_xlfn.ANCHORARRAY(DATA_CLEANED!$AK$3),CALCULES!$A8)+COUNTIFS(_xlfn.ANCHORARRAY(DATA_CLEANED!$AF$3),CALCULES!V$2,_xlfn.ANCHORARRAY(DATA_CLEANED!$AN$3),CALCULES!$A8)&gt;0,1,0)</f>
        <v>1</v>
      </c>
      <c r="W8" s="112">
        <f>IF(COUNTIFS(_xlfn.ANCHORARRAY(DATA_CLEANED!$AF$3),CALCULES!W$2,_xlfn.ANCHORARRAY(DATA_CLEANED!$AK$3),CALCULES!$A8)+COUNTIFS(_xlfn.ANCHORARRAY(DATA_CLEANED!$AF$3),CALCULES!W$2,_xlfn.ANCHORARRAY(DATA_CLEANED!$AN$3),CALCULES!$A8)&gt;0,1,0)</f>
        <v>1</v>
      </c>
      <c r="X8" s="112">
        <f>IF(COUNTIFS(_xlfn.ANCHORARRAY(DATA_CLEANED!$AF$3),CALCULES!X$2,_xlfn.ANCHORARRAY(DATA_CLEANED!$AK$3),CALCULES!$A8)+COUNTIFS(_xlfn.ANCHORARRAY(DATA_CLEANED!$AF$3),CALCULES!X$2,_xlfn.ANCHORARRAY(DATA_CLEANED!$AN$3),CALCULES!$A8)&gt;0,1,0)</f>
        <v>1</v>
      </c>
      <c r="Y8" s="113">
        <f t="shared" si="0"/>
        <v>15</v>
      </c>
      <c r="AA8" s="112">
        <f>COUNTIF(_xlfn.ANCHORARRAY(DATA_CLEANED!$AK$3),$A8)+COUNTIF(DATA_CLEANED!$AN$2:$AN$1060,$A8)</f>
        <v>57</v>
      </c>
      <c r="AB8" s="112">
        <f>COUNTIF(DATA_QUALITE!BG$12:BG$1069,A8)</f>
        <v>25</v>
      </c>
      <c r="AC8" s="112">
        <f t="shared" si="7"/>
        <v>31</v>
      </c>
      <c r="AD8" s="112" cm="1">
        <f t="array" ref="AD8">SUMPRODUCT((DATA_CLEANED!AL$3:AL$1060=DATA_CLEANED!AM$3:AM$1060)*(_xlfn.ANCHORARRAY(DATA_CLEANED!AK$3)=CALCULES!A8)*(DATA_CLEANED!AO$3:AO$1060&lt;&gt;"-"))
+
SUMPRODUCT((DATA_CLEANED!AL$3:AL$1060=DATA_CLEANED!AM$3:AM$1060)*(_xlfn.ANCHORARRAY(DATA_CLEANED!AN$3)=CALCULES!A8)*(DATA_CLEANED!AO$3:AO$1060&lt;&gt;"-"))</f>
        <v>1</v>
      </c>
      <c r="AE8" s="116">
        <f t="shared" si="1"/>
        <v>0.43859649122807015</v>
      </c>
      <c r="AF8" s="116">
        <f t="shared" si="2"/>
        <v>0.54385964912280704</v>
      </c>
      <c r="AG8" s="112">
        <f>SUMIF(_xlfn.ANCHORARRAY(DATA_CLEANED!AK$3),A8,DATA_CLEANED!AL$2:AL$1060)+SUMIF(_xlfn.ANCHORARRAY(DATA_CLEANED!AN$3),A8,DATA_CLEANED!AM$2:AM$1060)</f>
        <v>74</v>
      </c>
      <c r="AH8" s="112">
        <f>SUMIF(_xlfn.ANCHORARRAY(DATA_CLEANED!AK$3),A8,DATA_CLEANED!AM$2:AM$1060)+SUMIF(_xlfn.ANCHORARRAY(DATA_CLEANED!AN$3),A8,DATA_CLEANED!AL$2:AL$1060)</f>
        <v>82</v>
      </c>
      <c r="AI8" s="112">
        <f t="shared" si="8"/>
        <v>1.44</v>
      </c>
      <c r="AJ8" s="117" cm="1">
        <f t="array" ref="AJ8">_xlfn.LET(_xlpm.home,IFERROR(_xlfn._xlws.FILTER(DATA_CLEANED!AH$3:AH$1060,DATA_CLEANED!AK$3:AK$1060=CALCULES!A8),""),
_xlpm.away,IFERROR(_xlfn._xlws.FILTER(DATA_CLEANED!AH$3:AH$1060,DATA_CLEANED!AN$3:AN$1060=CALCULES!A8),""),
_xlpm.assemb_t,_xlfn._xlws.FILTER(_xlfn.VSTACK(_xlpm.home,_xlpm.away),_xlfn.VSTACK(_xlpm.home,_xlpm.away)&lt;&gt;""),
_xlpm.but_h,IFERROR(_xlfn._xlws.FILTER(_xlfn.ANCHORARRAY(DATA_CLEANED!AM$3),DATA_CLEANED!AK$3:AK$1060=CALCULES!A8),""),
_xlpm.but_a,IFERROR(_xlfn._xlws.FILTER(_xlfn.ANCHORARRAY(DATA_CLEANED!AL$3),DATA_CLEANED!AN$3:AN$1060=CALCULES!A8),""),
_xlpm.assemb_b,_xlfn._xlws.FILTER(_xlfn.VSTACK(_xlpm.but_h,_xlpm.but_a),_xlfn.VSTACK(_xlpm.but_h,_xlpm.but_a)&lt;&gt;""),
MEDIAN(_xlpm.assemb_t,_xlpm.assemb_b)
)</f>
        <v>1</v>
      </c>
      <c r="AK8" s="113">
        <f t="shared" si="3"/>
        <v>-8</v>
      </c>
      <c r="AL8" s="112" cm="1">
        <f t="array" ref="AL8">IFERROR(MEDIAN(_xlfn._xlws.FILTER(_xlfn.VSTACK(
DATA_CLEANED!AL$3:AL$1060-DATA_CLEANED!AM$3:AM$1060,
DATA_CLEANED!AM$3:AM$1060-DATA_CLEANED!AL$3:AL$1060
),_xlfn.VSTACK(DATA_CLEANED!AK$3:AK$1060,DATA_CLEANED!AN$3:AN$1060)=A8)),"-")</f>
        <v>0</v>
      </c>
      <c r="AM8" s="112">
        <f t="shared" si="9"/>
        <v>1.3</v>
      </c>
      <c r="AN8" s="112" cm="1">
        <f t="array" ref="AN8">_xlfn.LET(_xlpm.home,IFERROR(_xlfn._xlws.FILTER(DATA_CLEANED!AH$3:AH$1060,DATA_CLEANED!AK$3:AK$1060=CALCULES!A8),""),
_xlpm.away,IFERROR(_xlfn._xlws.FILTER(DATA_CLEANED!AH$3:AH$1060,DATA_CLEANED!AN$3:AN$1060=CALCULES!A8),""),
_xlpm.assemb_t,_xlfn._xlws.FILTER(_xlfn.VSTACK(_xlpm.home,_xlpm.away),_xlfn.VSTACK(_xlpm.home,_xlpm.away)&lt;&gt;""),
_xlpm.but_h,IFERROR(_xlfn._xlws.FILTER(_xlfn.ANCHORARRAY(DATA_CLEANED!AL$3),DATA_CLEANED!AK$3:AK$1060=CALCULES!A8),""),
_xlpm.but_a,IFERROR(_xlfn._xlws.FILTER(_xlfn.ANCHORARRAY(DATA_CLEANED!AM$3),DATA_CLEANED!AN$3:AN$1060=CALCULES!A8),""),
_xlpm.assemb_b,_xlfn._xlws.FILTER(_xlfn.VSTACK(_xlpm.but_h,_xlpm.but_a),_xlfn.VSTACK(_xlpm.but_h,_xlpm.but_a)&lt;&gt;""),
MEDIAN(_xlpm.assemb_t,_xlpm.assemb_b)
)</f>
        <v>1</v>
      </c>
      <c r="AO8" s="116">
        <f>ROUND(IFERROR((COUNTIFS(DATA_CLEANED!AK$3:AK$1060,A8,DATA_CLEANED!AM$3:AM$1060,0)
+
COUNTIFS(DATA_CLEANED!AN$3:AN$1060,A8,DATA_CLEANED!AL$3:AL$1060,0)
)/AA8,0),2)</f>
        <v>0.26</v>
      </c>
      <c r="AP8" s="112">
        <f>MAX((_xlfn.MAXIFS(_xlfn.ANCHORARRAY(DATA_CLEANED!AL$3),_xlfn.ANCHORARRAY(DATA_CLEANED!AK$3),A8)),(_xlfn.MAXIFS(DATA_CLEANED!AM$3:AM$1060,_xlfn.ANCHORARRAY(DATA_CLEANED!AN$3),A8)))</f>
        <v>5</v>
      </c>
      <c r="AQ8" s="112">
        <f>COUNTIF(_xlfn.ANCHORARRAY(DATA_CLEANED!K$3),A8)</f>
        <v>5</v>
      </c>
      <c r="AR8" s="113" t="str" cm="1">
        <f t="array" ref="AR8">_xlfn.LET(
_xlpm.home,IFERROR(_xlfn._xlws.FILTER(DATA_CLEANED!AH$3:AH$1060,DATA_CLEANED!AK$3:AK$1060=CALCULES!A8),""),
_xlpm.away,IFERROR(_xlfn._xlws.FILTER(DATA_CLEANED!AH$3:AH$1060,DATA_CLEANED!AN$3:AN$1060=CALCULES!A8),""),
_xlpm.etapes,_xlfn._xlws.FILTER(_xlfn.VSTACK(_xlpm.home,_xlpm.away),_xlfn.VSTACK(_xlpm.home,_xlpm.away)&lt;&gt;""),
_xlpm.numeros,_xlfn.XLOOKUP(_xlpm.etapes,DATA_QUALITE!AT$12:AT$38,DATA_QUALITE!AU$12:AU$38),
_xlfn.XLOOKUP(MIN(_xlpm.numeros),DATA_QUALITE!AU$12:AU$38,DATA_QUALITE!AT$12:AT$38)
)</f>
        <v>THIRD_PLACE</v>
      </c>
      <c r="AS8" s="112">
        <f t="shared" si="4"/>
        <v>15</v>
      </c>
      <c r="AT8" s="112">
        <f t="shared" si="5"/>
        <v>25</v>
      </c>
      <c r="AU8" s="112">
        <f>COUNTIFS(DATA_QUALITE!BG$12:BG$1069,"MATCH NUL",_xlfn.ANCHORARRAY(DATA_CLEANED!AK$3),CALCULES!A8)+COUNTIFS(DATA_QUALITE!BG$12:BG$1069,"MATCH NUL",_xlfn.ANCHORARRAY(DATA_CLEANED!AN$3),CALCULES!A8)</f>
        <v>11</v>
      </c>
      <c r="AV8" s="112">
        <v>74</v>
      </c>
      <c r="AW8" s="112">
        <f>COUNTIFS(_xlfn.ANCHORARRAY(DATA_CLEANED!AH$3),"QUARTER_FINALS",_xlfn.ANCHORARRAY(DATA_CLEANED!AK$3),CALCULES!A8)+COUNTIFS(_xlfn.ANCHORARRAY(DATA_CLEANED!AH$3),"QUARTER_FINALS",_xlfn.ANCHORARRAY(DATA_CLEANED!AN$3),CALCULES!A8)</f>
        <v>4</v>
      </c>
      <c r="AX8" s="112">
        <f>COUNTIFS(_xlfn.ANCHORARRAY(DATA_CLEANED!AH$3),"SEMI_FINALS",_xlfn.ANCHORARRAY(DATA_CLEANED!AK$3),CALCULES!A8)+COUNTIFS(_xlfn.ANCHORARRAY(DATA_CLEANED!AH$3),"SEMI_FINALS",_xlfn.ANCHORARRAY(DATA_CLEANED!AN$3),CALCULES!A8)</f>
        <v>2</v>
      </c>
      <c r="AY8" s="112">
        <f>COUNTIFS(_xlfn.ANCHORARRAY(DATA_CLEANED!AH$3),"FINAL",_xlfn.ANCHORARRAY(DATA_CLEANED!AK$3),CALCULES!A8)+COUNTIFS(_xlfn.ANCHORARRAY(DATA_CLEANED!AH$3),"FINAL",_xlfn.ANCHORARRAY(DATA_CLEANED!AN$3),CALCULES!A8)</f>
        <v>0</v>
      </c>
      <c r="AZ8" s="112">
        <f>COUNTIFS(DATA_QUALITE!BG$12:BG$1069,CALCULES!A8,DATA_QUALITE!AW$12:AW$1069,"FINAL")</f>
        <v>0</v>
      </c>
      <c r="BA8" s="113">
        <f t="shared" si="6"/>
        <v>40.83</v>
      </c>
      <c r="BB8" s="118">
        <f t="shared" si="10"/>
        <v>24.72</v>
      </c>
      <c r="BC8" s="118">
        <f t="shared" si="11"/>
        <v>25.62</v>
      </c>
      <c r="BD8" s="139">
        <f t="shared" si="12"/>
        <v>25.17</v>
      </c>
      <c r="BF8" s="176" t="s">
        <v>3890</v>
      </c>
      <c r="BG8" s="176">
        <f>_xlfn.XLOOKUP(DASHBOARD!$C$103,CALCULES!$A$3:$A$92,CALCULES!$AM$3:$AM$92,0)</f>
        <v>1.58</v>
      </c>
      <c r="BH8" s="167"/>
      <c r="BI8" s="176" t="s">
        <v>3890</v>
      </c>
      <c r="BJ8" s="176">
        <f>_xlfn.XLOOKUP(DASHBOARD!$D$103,CALCULES!$A$3:$A$92,CALCULES!$AM$3:$AM$92,0)</f>
        <v>1.33</v>
      </c>
      <c r="BK8" s="167"/>
      <c r="BL8" s="172">
        <v>4</v>
      </c>
      <c r="BM8" s="172">
        <f t="shared" si="13"/>
        <v>1.8027458854105022E-2</v>
      </c>
      <c r="BN8" s="172">
        <f t="shared" si="13"/>
        <v>2.0189587490329699E-2</v>
      </c>
      <c r="BO8" s="172">
        <f t="shared" si="13"/>
        <v>1.1305515833610089E-2</v>
      </c>
      <c r="BP8" s="172">
        <f t="shared" si="13"/>
        <v>4.2204820785377052E-3</v>
      </c>
      <c r="BQ8" s="172">
        <f t="shared" si="13"/>
        <v>1.1816667127852376E-3</v>
      </c>
      <c r="BR8" s="172">
        <f t="shared" si="13"/>
        <v>2.6467805224534213E-4</v>
      </c>
      <c r="BS8" s="172">
        <f t="shared" si="13"/>
        <v>4.9403715519233789E-5</v>
      </c>
      <c r="BT8" s="172">
        <f t="shared" si="13"/>
        <v>7.9041378321430269E-6</v>
      </c>
      <c r="BU8" s="172">
        <f t="shared" si="13"/>
        <v>1.1065153690625278E-6</v>
      </c>
    </row>
    <row r="9" spans="1:73" ht="15.95" customHeight="1">
      <c r="A9" s="113" t="str">
        <v>Bolivia</v>
      </c>
      <c r="B9" s="112">
        <f>IF(COUNTIFS(_xlfn.ANCHORARRAY(DATA_CLEANED!$AF$3),CALCULES!B$2,_xlfn.ANCHORARRAY(DATA_CLEANED!$AK$3),CALCULES!$A9)+COUNTIFS(_xlfn.ANCHORARRAY(DATA_CLEANED!$AF$3),CALCULES!B$2,_xlfn.ANCHORARRAY(DATA_CLEANED!$AN$3),CALCULES!$A9)&gt;0,1,0)</f>
        <v>1</v>
      </c>
      <c r="C9" s="112">
        <f>IF(COUNTIFS(_xlfn.ANCHORARRAY(DATA_CLEANED!$AF$3),CALCULES!C$2,_xlfn.ANCHORARRAY(DATA_CLEANED!$AK$3),CALCULES!$A9)+COUNTIFS(_xlfn.ANCHORARRAY(DATA_CLEANED!$AF$3),CALCULES!C$2,_xlfn.ANCHORARRAY(DATA_CLEANED!$AN$3),CALCULES!$A9)&gt;0,1,0)</f>
        <v>0</v>
      </c>
      <c r="D9" s="112">
        <f>IF(COUNTIFS(_xlfn.ANCHORARRAY(DATA_CLEANED!$AF$3),CALCULES!D$2,_xlfn.ANCHORARRAY(DATA_CLEANED!$AK$3),CALCULES!$A9)+COUNTIFS(_xlfn.ANCHORARRAY(DATA_CLEANED!$AF$3),CALCULES!D$2,_xlfn.ANCHORARRAY(DATA_CLEANED!$AN$3),CALCULES!$A9)&gt;0,1,0)</f>
        <v>0</v>
      </c>
      <c r="E9" s="112">
        <f>IF(COUNTIFS(_xlfn.ANCHORARRAY(DATA_CLEANED!$AF$3),CALCULES!E$2,_xlfn.ANCHORARRAY(DATA_CLEANED!$AK$3),CALCULES!$A9)+COUNTIFS(_xlfn.ANCHORARRAY(DATA_CLEANED!$AF$3),CALCULES!E$2,_xlfn.ANCHORARRAY(DATA_CLEANED!$AN$3),CALCULES!$A9)&gt;0,1,0)</f>
        <v>1</v>
      </c>
      <c r="F9" s="112">
        <f>IF(COUNTIFS(_xlfn.ANCHORARRAY(DATA_CLEANED!$AF$3),CALCULES!F$2,_xlfn.ANCHORARRAY(DATA_CLEANED!$AK$3),CALCULES!$A9)+COUNTIFS(_xlfn.ANCHORARRAY(DATA_CLEANED!$AF$3),CALCULES!F$2,_xlfn.ANCHORARRAY(DATA_CLEANED!$AN$3),CALCULES!$A9)&gt;0,1,0)</f>
        <v>0</v>
      </c>
      <c r="G9" s="112">
        <f>IF(COUNTIFS(_xlfn.ANCHORARRAY(DATA_CLEANED!$AF$3),CALCULES!G$2,_xlfn.ANCHORARRAY(DATA_CLEANED!$AK$3),CALCULES!$A9)+COUNTIFS(_xlfn.ANCHORARRAY(DATA_CLEANED!$AF$3),CALCULES!G$2,_xlfn.ANCHORARRAY(DATA_CLEANED!$AN$3),CALCULES!$A9)&gt;0,1,0)</f>
        <v>0</v>
      </c>
      <c r="H9" s="112">
        <f>IF(COUNTIFS(_xlfn.ANCHORARRAY(DATA_CLEANED!$AF$3),CALCULES!H$2,_xlfn.ANCHORARRAY(DATA_CLEANED!$AK$3),CALCULES!$A9)+COUNTIFS(_xlfn.ANCHORARRAY(DATA_CLEANED!$AF$3),CALCULES!H$2,_xlfn.ANCHORARRAY(DATA_CLEANED!$AN$3),CALCULES!$A9)&gt;0,1,0)</f>
        <v>0</v>
      </c>
      <c r="I9" s="112">
        <f>IF(COUNTIFS(_xlfn.ANCHORARRAY(DATA_CLEANED!$AF$3),CALCULES!I$2,_xlfn.ANCHORARRAY(DATA_CLEANED!$AK$3),CALCULES!$A9)+COUNTIFS(_xlfn.ANCHORARRAY(DATA_CLEANED!$AF$3),CALCULES!I$2,_xlfn.ANCHORARRAY(DATA_CLEANED!$AN$3),CALCULES!$A9)&gt;0,1,0)</f>
        <v>0</v>
      </c>
      <c r="J9" s="112">
        <f>IF(COUNTIFS(_xlfn.ANCHORARRAY(DATA_CLEANED!$AF$3),CALCULES!J$2,_xlfn.ANCHORARRAY(DATA_CLEANED!$AK$3),CALCULES!$A9)+COUNTIFS(_xlfn.ANCHORARRAY(DATA_CLEANED!$AF$3),CALCULES!J$2,_xlfn.ANCHORARRAY(DATA_CLEANED!$AN$3),CALCULES!$A9)&gt;0,1,0)</f>
        <v>0</v>
      </c>
      <c r="K9" s="112">
        <f>IF(COUNTIFS(_xlfn.ANCHORARRAY(DATA_CLEANED!$AF$3),CALCULES!K$2,_xlfn.ANCHORARRAY(DATA_CLEANED!$AK$3),CALCULES!$A9)+COUNTIFS(_xlfn.ANCHORARRAY(DATA_CLEANED!$AF$3),CALCULES!K$2,_xlfn.ANCHORARRAY(DATA_CLEANED!$AN$3),CALCULES!$A9)&gt;0,1,0)</f>
        <v>0</v>
      </c>
      <c r="L9" s="112">
        <f>IF(COUNTIFS(_xlfn.ANCHORARRAY(DATA_CLEANED!$AF$3),CALCULES!L$2,_xlfn.ANCHORARRAY(DATA_CLEANED!$AK$3),CALCULES!$A9)+COUNTIFS(_xlfn.ANCHORARRAY(DATA_CLEANED!$AF$3),CALCULES!L$2,_xlfn.ANCHORARRAY(DATA_CLEANED!$AN$3),CALCULES!$A9)&gt;0,1,0)</f>
        <v>0</v>
      </c>
      <c r="M9" s="112">
        <f>IF(COUNTIFS(_xlfn.ANCHORARRAY(DATA_CLEANED!$AF$3),CALCULES!M$2,_xlfn.ANCHORARRAY(DATA_CLEANED!$AK$3),CALCULES!$A9)+COUNTIFS(_xlfn.ANCHORARRAY(DATA_CLEANED!$AF$3),CALCULES!M$2,_xlfn.ANCHORARRAY(DATA_CLEANED!$AN$3),CALCULES!$A9)&gt;0,1,0)</f>
        <v>0</v>
      </c>
      <c r="N9" s="112">
        <f>IF(COUNTIFS(_xlfn.ANCHORARRAY(DATA_CLEANED!$AF$3),CALCULES!N$2,_xlfn.ANCHORARRAY(DATA_CLEANED!$AK$3),CALCULES!$A9)+COUNTIFS(_xlfn.ANCHORARRAY(DATA_CLEANED!$AF$3),CALCULES!N$2,_xlfn.ANCHORARRAY(DATA_CLEANED!$AN$3),CALCULES!$A9)&gt;0,1,0)</f>
        <v>0</v>
      </c>
      <c r="O9" s="112">
        <f>IF(COUNTIFS(_xlfn.ANCHORARRAY(DATA_CLEANED!$AF$3),CALCULES!O$2,_xlfn.ANCHORARRAY(DATA_CLEANED!$AK$3),CALCULES!$A9)+COUNTIFS(_xlfn.ANCHORARRAY(DATA_CLEANED!$AF$3),CALCULES!O$2,_xlfn.ANCHORARRAY(DATA_CLEANED!$AN$3),CALCULES!$A9)&gt;0,1,0)</f>
        <v>0</v>
      </c>
      <c r="P9" s="112">
        <f>IF(COUNTIFS(_xlfn.ANCHORARRAY(DATA_CLEANED!$AF$3),CALCULES!P$2,_xlfn.ANCHORARRAY(DATA_CLEANED!$AK$3),CALCULES!$A9)+COUNTIFS(_xlfn.ANCHORARRAY(DATA_CLEANED!$AF$3),CALCULES!P$2,_xlfn.ANCHORARRAY(DATA_CLEANED!$AN$3),CALCULES!$A9)&gt;0,1,0)</f>
        <v>1</v>
      </c>
      <c r="Q9" s="112">
        <f>IF(COUNTIFS(_xlfn.ANCHORARRAY(DATA_CLEANED!$AF$3),CALCULES!Q$2,_xlfn.ANCHORARRAY(DATA_CLEANED!$AK$3),CALCULES!$A9)+COUNTIFS(_xlfn.ANCHORARRAY(DATA_CLEANED!$AF$3),CALCULES!Q$2,_xlfn.ANCHORARRAY(DATA_CLEANED!$AN$3),CALCULES!$A9)&gt;0,1,0)</f>
        <v>0</v>
      </c>
      <c r="R9" s="112">
        <f>IF(COUNTIFS(_xlfn.ANCHORARRAY(DATA_CLEANED!$AF$3),CALCULES!R$2,_xlfn.ANCHORARRAY(DATA_CLEANED!$AK$3),CALCULES!$A9)+COUNTIFS(_xlfn.ANCHORARRAY(DATA_CLEANED!$AF$3),CALCULES!R$2,_xlfn.ANCHORARRAY(DATA_CLEANED!$AN$3),CALCULES!$A9)&gt;0,1,0)</f>
        <v>0</v>
      </c>
      <c r="S9" s="112">
        <f>IF(COUNTIFS(_xlfn.ANCHORARRAY(DATA_CLEANED!$AF$3),CALCULES!S$2,_xlfn.ANCHORARRAY(DATA_CLEANED!$AK$3),CALCULES!$A9)+COUNTIFS(_xlfn.ANCHORARRAY(DATA_CLEANED!$AF$3),CALCULES!S$2,_xlfn.ANCHORARRAY(DATA_CLEANED!$AN$3),CALCULES!$A9)&gt;0,1,0)</f>
        <v>0</v>
      </c>
      <c r="T9" s="112">
        <f>IF(COUNTIFS(_xlfn.ANCHORARRAY(DATA_CLEANED!$AF$3),CALCULES!T$2,_xlfn.ANCHORARRAY(DATA_CLEANED!$AK$3),CALCULES!$A9)+COUNTIFS(_xlfn.ANCHORARRAY(DATA_CLEANED!$AF$3),CALCULES!T$2,_xlfn.ANCHORARRAY(DATA_CLEANED!$AN$3),CALCULES!$A9)&gt;0,1,0)</f>
        <v>0</v>
      </c>
      <c r="U9" s="112">
        <f>IF(COUNTIFS(_xlfn.ANCHORARRAY(DATA_CLEANED!$AF$3),CALCULES!U$2,_xlfn.ANCHORARRAY(DATA_CLEANED!$AK$3),CALCULES!$A9)+COUNTIFS(_xlfn.ANCHORARRAY(DATA_CLEANED!$AF$3),CALCULES!U$2,_xlfn.ANCHORARRAY(DATA_CLEANED!$AN$3),CALCULES!$A9)&gt;0,1,0)</f>
        <v>0</v>
      </c>
      <c r="V9" s="112">
        <f>IF(COUNTIFS(_xlfn.ANCHORARRAY(DATA_CLEANED!$AF$3),CALCULES!V$2,_xlfn.ANCHORARRAY(DATA_CLEANED!$AK$3),CALCULES!$A9)+COUNTIFS(_xlfn.ANCHORARRAY(DATA_CLEANED!$AF$3),CALCULES!V$2,_xlfn.ANCHORARRAY(DATA_CLEANED!$AN$3),CALCULES!$A9)&gt;0,1,0)</f>
        <v>0</v>
      </c>
      <c r="W9" s="112">
        <f>IF(COUNTIFS(_xlfn.ANCHORARRAY(DATA_CLEANED!$AF$3),CALCULES!W$2,_xlfn.ANCHORARRAY(DATA_CLEANED!$AK$3),CALCULES!$A9)+COUNTIFS(_xlfn.ANCHORARRAY(DATA_CLEANED!$AF$3),CALCULES!W$2,_xlfn.ANCHORARRAY(DATA_CLEANED!$AN$3),CALCULES!$A9)&gt;0,1,0)</f>
        <v>0</v>
      </c>
      <c r="X9" s="112">
        <f>IF(COUNTIFS(_xlfn.ANCHORARRAY(DATA_CLEANED!$AF$3),CALCULES!X$2,_xlfn.ANCHORARRAY(DATA_CLEANED!$AK$3),CALCULES!$A9)+COUNTIFS(_xlfn.ANCHORARRAY(DATA_CLEANED!$AF$3),CALCULES!X$2,_xlfn.ANCHORARRAY(DATA_CLEANED!$AN$3),CALCULES!$A9)&gt;0,1,0)</f>
        <v>0</v>
      </c>
      <c r="Y9" s="113">
        <f t="shared" si="0"/>
        <v>3</v>
      </c>
      <c r="AA9" s="112">
        <f>COUNTIF(_xlfn.ANCHORARRAY(DATA_CLEANED!$AK$3),$A9)+COUNTIF(DATA_CLEANED!$AN$2:$AN$1060,$A9)</f>
        <v>6</v>
      </c>
      <c r="AB9" s="112">
        <f>COUNTIF(DATA_QUALITE!BG$12:BG$1069,A9)</f>
        <v>0</v>
      </c>
      <c r="AC9" s="112">
        <f t="shared" si="7"/>
        <v>6</v>
      </c>
      <c r="AD9" s="112" cm="1">
        <f t="array" ref="AD9">SUMPRODUCT((DATA_CLEANED!AL$3:AL$1060=DATA_CLEANED!AM$3:AM$1060)*(_xlfn.ANCHORARRAY(DATA_CLEANED!AK$3)=CALCULES!A9)*(DATA_CLEANED!AO$3:AO$1060&lt;&gt;"-"))
+
SUMPRODUCT((DATA_CLEANED!AL$3:AL$1060=DATA_CLEANED!AM$3:AM$1060)*(_xlfn.ANCHORARRAY(DATA_CLEANED!AN$3)=CALCULES!A9)*(DATA_CLEANED!AO$3:AO$1060&lt;&gt;"-"))</f>
        <v>0</v>
      </c>
      <c r="AE9" s="116">
        <f t="shared" si="1"/>
        <v>0</v>
      </c>
      <c r="AF9" s="116">
        <f t="shared" si="2"/>
        <v>1</v>
      </c>
      <c r="AG9" s="112">
        <f>SUMIF(_xlfn.ANCHORARRAY(DATA_CLEANED!AK$3),A9,DATA_CLEANED!AL$2:AL$1060)+SUMIF(_xlfn.ANCHORARRAY(DATA_CLEANED!AN$3),A9,DATA_CLEANED!AM$2:AM$1060)</f>
        <v>8</v>
      </c>
      <c r="AH9" s="112">
        <f>SUMIF(_xlfn.ANCHORARRAY(DATA_CLEANED!AK$3),A9,DATA_CLEANED!AM$2:AM$1060)+SUMIF(_xlfn.ANCHORARRAY(DATA_CLEANED!AN$3),A9,DATA_CLEANED!AL$2:AL$1060)</f>
        <v>16</v>
      </c>
      <c r="AI9" s="112">
        <f t="shared" si="8"/>
        <v>2.67</v>
      </c>
      <c r="AJ9" s="117" cm="1">
        <f t="array" ref="AJ9">_xlfn.LET(_xlpm.home,IFERROR(_xlfn._xlws.FILTER(DATA_CLEANED!AH$3:AH$1060,DATA_CLEANED!AK$3:AK$1060=CALCULES!A9),""),
_xlpm.away,IFERROR(_xlfn._xlws.FILTER(DATA_CLEANED!AH$3:AH$1060,DATA_CLEANED!AN$3:AN$1060=CALCULES!A9),""),
_xlpm.assemb_t,_xlfn._xlws.FILTER(_xlfn.VSTACK(_xlpm.home,_xlpm.away),_xlfn.VSTACK(_xlpm.home,_xlpm.away)&lt;&gt;""),
_xlpm.but_h,IFERROR(_xlfn._xlws.FILTER(_xlfn.ANCHORARRAY(DATA_CLEANED!AM$3),DATA_CLEANED!AK$3:AK$1060=CALCULES!A9),""),
_xlpm.but_a,IFERROR(_xlfn._xlws.FILTER(_xlfn.ANCHORARRAY(DATA_CLEANED!AL$3),DATA_CLEANED!AN$3:AN$1060=CALCULES!A9),""),
_xlpm.assemb_b,_xlfn._xlws.FILTER(_xlfn.VSTACK(_xlpm.but_h,_xlpm.but_a),_xlfn.VSTACK(_xlpm.but_h,_xlpm.but_a)&lt;&gt;""),
MEDIAN(_xlpm.assemb_t,_xlpm.assemb_b)
)</f>
        <v>3.5</v>
      </c>
      <c r="AK9" s="113">
        <f t="shared" si="3"/>
        <v>-8</v>
      </c>
      <c r="AL9" s="112" cm="1">
        <f t="array" ref="AL9">IFERROR(MEDIAN(_xlfn._xlws.FILTER(_xlfn.VSTACK(
DATA_CLEANED!AL$3:AL$1060-DATA_CLEANED!AM$3:AM$1060,
DATA_CLEANED!AM$3:AM$1060-DATA_CLEANED!AL$3:AL$1060
),_xlfn.VSTACK(DATA_CLEANED!AK$3:AK$1060,DATA_CLEANED!AN$3:AN$1060)=A9)),"-")</f>
        <v>-3</v>
      </c>
      <c r="AM9" s="112">
        <f t="shared" si="9"/>
        <v>1.33</v>
      </c>
      <c r="AN9" s="112" cm="1">
        <f t="array" ref="AN9">_xlfn.LET(_xlpm.home,IFERROR(_xlfn._xlws.FILTER(DATA_CLEANED!AH$3:AH$1060,DATA_CLEANED!AK$3:AK$1060=CALCULES!A9),""),
_xlpm.away,IFERROR(_xlfn._xlws.FILTER(DATA_CLEANED!AH$3:AH$1060,DATA_CLEANED!AN$3:AN$1060=CALCULES!A9),""),
_xlpm.assemb_t,_xlfn._xlws.FILTER(_xlfn.VSTACK(_xlpm.home,_xlpm.away),_xlfn.VSTACK(_xlpm.home,_xlpm.away)&lt;&gt;""),
_xlpm.but_h,IFERROR(_xlfn._xlws.FILTER(_xlfn.ANCHORARRAY(DATA_CLEANED!AL$3),DATA_CLEANED!AK$3:AK$1060=CALCULES!A9),""),
_xlpm.but_a,IFERROR(_xlfn._xlws.FILTER(_xlfn.ANCHORARRAY(DATA_CLEANED!AM$3),DATA_CLEANED!AN$3:AN$1060=CALCULES!A9),""),
_xlpm.assemb_b,_xlfn._xlws.FILTER(_xlfn.VSTACK(_xlpm.but_h,_xlpm.but_a),_xlfn.VSTACK(_xlpm.but_h,_xlpm.but_a)&lt;&gt;""),
MEDIAN(_xlpm.assemb_t,_xlpm.assemb_b)
)</f>
        <v>0</v>
      </c>
      <c r="AO9" s="116">
        <f>ROUND(IFERROR((COUNTIFS(DATA_CLEANED!AK$3:AK$1060,A9,DATA_CLEANED!AM$3:AM$1060,0)
+
COUNTIFS(DATA_CLEANED!AN$3:AN$1060,A9,DATA_CLEANED!AL$3:AL$1060,0)
)/AA9,0),2)</f>
        <v>0.17</v>
      </c>
      <c r="AP9" s="112">
        <f>MAX((_xlfn.MAXIFS(_xlfn.ANCHORARRAY(DATA_CLEANED!AL$3),_xlfn.ANCHORARRAY(DATA_CLEANED!AK$3),A9)),(_xlfn.MAXIFS(DATA_CLEANED!AM$3:AM$1060,_xlfn.ANCHORARRAY(DATA_CLEANED!AN$3),A9)))</f>
        <v>1</v>
      </c>
      <c r="AQ9" s="112">
        <f>COUNTIF(_xlfn.ANCHORARRAY(DATA_CLEANED!K$3),A9)</f>
        <v>0</v>
      </c>
      <c r="AR9" s="113" t="str" cm="1">
        <f t="array" ref="AR9">_xlfn.LET(
_xlpm.home,IFERROR(_xlfn._xlws.FILTER(DATA_CLEANED!AH$3:AH$1060,DATA_CLEANED!AK$3:AK$1060=CALCULES!A9),""),
_xlpm.away,IFERROR(_xlfn._xlws.FILTER(DATA_CLEANED!AH$3:AH$1060,DATA_CLEANED!AN$3:AN$1060=CALCULES!A9),""),
_xlpm.etapes,_xlfn._xlws.FILTER(_xlfn.VSTACK(_xlpm.home,_xlpm.away),_xlfn.VSTACK(_xlpm.home,_xlpm.away)&lt;&gt;""),
_xlpm.numeros,_xlfn.XLOOKUP(_xlpm.etapes,DATA_QUALITE!AT$12:AT$38,DATA_QUALITE!AU$12:AU$38),
_xlfn.XLOOKUP(MIN(_xlpm.numeros),DATA_QUALITE!AU$12:AU$38,DATA_QUALITE!AT$12:AT$38)
)</f>
        <v>GROUP_STAGE</v>
      </c>
      <c r="AS9" s="112">
        <f t="shared" si="4"/>
        <v>3</v>
      </c>
      <c r="AT9" s="112">
        <f t="shared" si="5"/>
        <v>0</v>
      </c>
      <c r="AU9" s="112">
        <f>COUNTIFS(DATA_QUALITE!BG$12:BG$1069,"MATCH NUL",_xlfn.ANCHORARRAY(DATA_CLEANED!AK$3),CALCULES!A9)+COUNTIFS(DATA_QUALITE!BG$12:BG$1069,"MATCH NUL",_xlfn.ANCHORARRAY(DATA_CLEANED!AN$3),CALCULES!A9)</f>
        <v>1</v>
      </c>
      <c r="AV9" s="112">
        <v>8</v>
      </c>
      <c r="AW9" s="112">
        <f>COUNTIFS(_xlfn.ANCHORARRAY(DATA_CLEANED!AH$3),"QUARTER_FINALS",_xlfn.ANCHORARRAY(DATA_CLEANED!AK$3),CALCULES!A9)+COUNTIFS(_xlfn.ANCHORARRAY(DATA_CLEANED!AH$3),"QUARTER_FINALS",_xlfn.ANCHORARRAY(DATA_CLEANED!AN$3),CALCULES!A9)</f>
        <v>0</v>
      </c>
      <c r="AX9" s="112">
        <f>COUNTIFS(_xlfn.ANCHORARRAY(DATA_CLEANED!AH$3),"SEMI_FINALS",_xlfn.ANCHORARRAY(DATA_CLEANED!AK$3),CALCULES!A9)+COUNTIFS(_xlfn.ANCHORARRAY(DATA_CLEANED!AH$3),"SEMI_FINALS",_xlfn.ANCHORARRAY(DATA_CLEANED!AN$3),CALCULES!A9)</f>
        <v>0</v>
      </c>
      <c r="AY9" s="112">
        <f>COUNTIFS(_xlfn.ANCHORARRAY(DATA_CLEANED!AH$3),"FINAL",_xlfn.ANCHORARRAY(DATA_CLEANED!AK$3),CALCULES!A9)+COUNTIFS(_xlfn.ANCHORARRAY(DATA_CLEANED!AH$3),"FINAL",_xlfn.ANCHORARRAY(DATA_CLEANED!AN$3),CALCULES!A9)</f>
        <v>0</v>
      </c>
      <c r="AZ9" s="112">
        <f>COUNTIFS(DATA_QUALITE!BG$12:BG$1069,CALCULES!A9,DATA_QUALITE!AW$12:AW$1069,"FINAL")</f>
        <v>0</v>
      </c>
      <c r="BA9" s="113">
        <f t="shared" si="6"/>
        <v>-0.13</v>
      </c>
      <c r="BB9" s="118">
        <f t="shared" si="10"/>
        <v>0</v>
      </c>
      <c r="BC9" s="118">
        <f t="shared" si="11"/>
        <v>0</v>
      </c>
      <c r="BD9" s="139">
        <f t="shared" si="12"/>
        <v>0</v>
      </c>
      <c r="BF9" s="178" t="s">
        <v>3884</v>
      </c>
      <c r="BG9" s="178" cm="1">
        <f t="array" ref="BG9">IFERROR(_xlfn.XLOOKUP(DASHBOARD!$C$103,CALCULES!$A$3:$A$92,CALCULES!$AH$3:$AH$92/BG7),0)</f>
        <v>1.4363636363636363</v>
      </c>
      <c r="BH9" s="167"/>
      <c r="BI9" s="178" t="s">
        <v>3884</v>
      </c>
      <c r="BJ9" s="178">
        <f>IFERROR(_xlfn.XLOOKUP(DASHBOARD!$D$103,CALCULES!$A$3:$A$92,CALCULES!$AH$3:$AH$92,0)/BJ7,0)</f>
        <v>1.6666666666666667</v>
      </c>
      <c r="BK9" s="167"/>
      <c r="BL9" s="172">
        <v>5</v>
      </c>
      <c r="BM9" s="172">
        <f t="shared" si="13"/>
        <v>5.7738753220828876E-3</v>
      </c>
      <c r="BN9" s="172">
        <f t="shared" si="13"/>
        <v>6.466366775087851E-3</v>
      </c>
      <c r="BO9" s="172">
        <f t="shared" si="13"/>
        <v>3.6209561981740165E-3</v>
      </c>
      <c r="BP9" s="172">
        <f t="shared" si="13"/>
        <v>1.3517455520367478E-3</v>
      </c>
      <c r="BQ9" s="172">
        <f t="shared" si="13"/>
        <v>3.7846688915470054E-4</v>
      </c>
      <c r="BR9" s="172">
        <f t="shared" si="13"/>
        <v>8.4771685600511386E-5</v>
      </c>
      <c r="BS9" s="172">
        <f t="shared" si="13"/>
        <v>1.5823133818483408E-5</v>
      </c>
      <c r="BT9" s="172">
        <f t="shared" si="13"/>
        <v>2.531555153762576E-6</v>
      </c>
      <c r="BU9" s="172">
        <f t="shared" si="13"/>
        <v>3.5439724670239695E-7</v>
      </c>
    </row>
    <row r="10" spans="1:73" ht="15.95" customHeight="1">
      <c r="A10" s="113" t="str">
        <v>Bosnia and Herzegovina</v>
      </c>
      <c r="B10" s="112">
        <f>IF(COUNTIFS(_xlfn.ANCHORARRAY(DATA_CLEANED!$AF$3),CALCULES!B$2,_xlfn.ANCHORARRAY(DATA_CLEANED!$AK$3),CALCULES!$A10)+COUNTIFS(_xlfn.ANCHORARRAY(DATA_CLEANED!$AF$3),CALCULES!B$2,_xlfn.ANCHORARRAY(DATA_CLEANED!$AN$3),CALCULES!$A10)&gt;0,1,0)</f>
        <v>0</v>
      </c>
      <c r="C10" s="112">
        <f>IF(COUNTIFS(_xlfn.ANCHORARRAY(DATA_CLEANED!$AF$3),CALCULES!C$2,_xlfn.ANCHORARRAY(DATA_CLEANED!$AK$3),CALCULES!$A10)+COUNTIFS(_xlfn.ANCHORARRAY(DATA_CLEANED!$AF$3),CALCULES!C$2,_xlfn.ANCHORARRAY(DATA_CLEANED!$AN$3),CALCULES!$A10)&gt;0,1,0)</f>
        <v>0</v>
      </c>
      <c r="D10" s="112">
        <f>IF(COUNTIFS(_xlfn.ANCHORARRAY(DATA_CLEANED!$AF$3),CALCULES!D$2,_xlfn.ANCHORARRAY(DATA_CLEANED!$AK$3),CALCULES!$A10)+COUNTIFS(_xlfn.ANCHORARRAY(DATA_CLEANED!$AF$3),CALCULES!D$2,_xlfn.ANCHORARRAY(DATA_CLEANED!$AN$3),CALCULES!$A10)&gt;0,1,0)</f>
        <v>0</v>
      </c>
      <c r="E10" s="112">
        <f>IF(COUNTIFS(_xlfn.ANCHORARRAY(DATA_CLEANED!$AF$3),CALCULES!E$2,_xlfn.ANCHORARRAY(DATA_CLEANED!$AK$3),CALCULES!$A10)+COUNTIFS(_xlfn.ANCHORARRAY(DATA_CLEANED!$AF$3),CALCULES!E$2,_xlfn.ANCHORARRAY(DATA_CLEANED!$AN$3),CALCULES!$A10)&gt;0,1,0)</f>
        <v>0</v>
      </c>
      <c r="F10" s="112">
        <f>IF(COUNTIFS(_xlfn.ANCHORARRAY(DATA_CLEANED!$AF$3),CALCULES!F$2,_xlfn.ANCHORARRAY(DATA_CLEANED!$AK$3),CALCULES!$A10)+COUNTIFS(_xlfn.ANCHORARRAY(DATA_CLEANED!$AF$3),CALCULES!F$2,_xlfn.ANCHORARRAY(DATA_CLEANED!$AN$3),CALCULES!$A10)&gt;0,1,0)</f>
        <v>0</v>
      </c>
      <c r="G10" s="112">
        <f>IF(COUNTIFS(_xlfn.ANCHORARRAY(DATA_CLEANED!$AF$3),CALCULES!G$2,_xlfn.ANCHORARRAY(DATA_CLEANED!$AK$3),CALCULES!$A10)+COUNTIFS(_xlfn.ANCHORARRAY(DATA_CLEANED!$AF$3),CALCULES!G$2,_xlfn.ANCHORARRAY(DATA_CLEANED!$AN$3),CALCULES!$A10)&gt;0,1,0)</f>
        <v>0</v>
      </c>
      <c r="H10" s="112">
        <f>IF(COUNTIFS(_xlfn.ANCHORARRAY(DATA_CLEANED!$AF$3),CALCULES!H$2,_xlfn.ANCHORARRAY(DATA_CLEANED!$AK$3),CALCULES!$A10)+COUNTIFS(_xlfn.ANCHORARRAY(DATA_CLEANED!$AF$3),CALCULES!H$2,_xlfn.ANCHORARRAY(DATA_CLEANED!$AN$3),CALCULES!$A10)&gt;0,1,0)</f>
        <v>0</v>
      </c>
      <c r="I10" s="112">
        <f>IF(COUNTIFS(_xlfn.ANCHORARRAY(DATA_CLEANED!$AF$3),CALCULES!I$2,_xlfn.ANCHORARRAY(DATA_CLEANED!$AK$3),CALCULES!$A10)+COUNTIFS(_xlfn.ANCHORARRAY(DATA_CLEANED!$AF$3),CALCULES!I$2,_xlfn.ANCHORARRAY(DATA_CLEANED!$AN$3),CALCULES!$A10)&gt;0,1,0)</f>
        <v>0</v>
      </c>
      <c r="J10" s="112">
        <f>IF(COUNTIFS(_xlfn.ANCHORARRAY(DATA_CLEANED!$AF$3),CALCULES!J$2,_xlfn.ANCHORARRAY(DATA_CLEANED!$AK$3),CALCULES!$A10)+COUNTIFS(_xlfn.ANCHORARRAY(DATA_CLEANED!$AF$3),CALCULES!J$2,_xlfn.ANCHORARRAY(DATA_CLEANED!$AN$3),CALCULES!$A10)&gt;0,1,0)</f>
        <v>0</v>
      </c>
      <c r="K10" s="112">
        <f>IF(COUNTIFS(_xlfn.ANCHORARRAY(DATA_CLEANED!$AF$3),CALCULES!K$2,_xlfn.ANCHORARRAY(DATA_CLEANED!$AK$3),CALCULES!$A10)+COUNTIFS(_xlfn.ANCHORARRAY(DATA_CLEANED!$AF$3),CALCULES!K$2,_xlfn.ANCHORARRAY(DATA_CLEANED!$AN$3),CALCULES!$A10)&gt;0,1,0)</f>
        <v>0</v>
      </c>
      <c r="L10" s="112">
        <f>IF(COUNTIFS(_xlfn.ANCHORARRAY(DATA_CLEANED!$AF$3),CALCULES!L$2,_xlfn.ANCHORARRAY(DATA_CLEANED!$AK$3),CALCULES!$A10)+COUNTIFS(_xlfn.ANCHORARRAY(DATA_CLEANED!$AF$3),CALCULES!L$2,_xlfn.ANCHORARRAY(DATA_CLEANED!$AN$3),CALCULES!$A10)&gt;0,1,0)</f>
        <v>0</v>
      </c>
      <c r="M10" s="112">
        <f>IF(COUNTIFS(_xlfn.ANCHORARRAY(DATA_CLEANED!$AF$3),CALCULES!M$2,_xlfn.ANCHORARRAY(DATA_CLEANED!$AK$3),CALCULES!$A10)+COUNTIFS(_xlfn.ANCHORARRAY(DATA_CLEANED!$AF$3),CALCULES!M$2,_xlfn.ANCHORARRAY(DATA_CLEANED!$AN$3),CALCULES!$A10)&gt;0,1,0)</f>
        <v>0</v>
      </c>
      <c r="N10" s="112">
        <f>IF(COUNTIFS(_xlfn.ANCHORARRAY(DATA_CLEANED!$AF$3),CALCULES!N$2,_xlfn.ANCHORARRAY(DATA_CLEANED!$AK$3),CALCULES!$A10)+COUNTIFS(_xlfn.ANCHORARRAY(DATA_CLEANED!$AF$3),CALCULES!N$2,_xlfn.ANCHORARRAY(DATA_CLEANED!$AN$3),CALCULES!$A10)&gt;0,1,0)</f>
        <v>0</v>
      </c>
      <c r="O10" s="112">
        <f>IF(COUNTIFS(_xlfn.ANCHORARRAY(DATA_CLEANED!$AF$3),CALCULES!O$2,_xlfn.ANCHORARRAY(DATA_CLEANED!$AK$3),CALCULES!$A10)+COUNTIFS(_xlfn.ANCHORARRAY(DATA_CLEANED!$AF$3),CALCULES!O$2,_xlfn.ANCHORARRAY(DATA_CLEANED!$AN$3),CALCULES!$A10)&gt;0,1,0)</f>
        <v>0</v>
      </c>
      <c r="P10" s="112">
        <f>IF(COUNTIFS(_xlfn.ANCHORARRAY(DATA_CLEANED!$AF$3),CALCULES!P$2,_xlfn.ANCHORARRAY(DATA_CLEANED!$AK$3),CALCULES!$A10)+COUNTIFS(_xlfn.ANCHORARRAY(DATA_CLEANED!$AF$3),CALCULES!P$2,_xlfn.ANCHORARRAY(DATA_CLEANED!$AN$3),CALCULES!$A10)&gt;0,1,0)</f>
        <v>0</v>
      </c>
      <c r="Q10" s="112">
        <f>IF(COUNTIFS(_xlfn.ANCHORARRAY(DATA_CLEANED!$AF$3),CALCULES!Q$2,_xlfn.ANCHORARRAY(DATA_CLEANED!$AK$3),CALCULES!$A10)+COUNTIFS(_xlfn.ANCHORARRAY(DATA_CLEANED!$AF$3),CALCULES!Q$2,_xlfn.ANCHORARRAY(DATA_CLEANED!$AN$3),CALCULES!$A10)&gt;0,1,0)</f>
        <v>0</v>
      </c>
      <c r="R10" s="112">
        <f>IF(COUNTIFS(_xlfn.ANCHORARRAY(DATA_CLEANED!$AF$3),CALCULES!R$2,_xlfn.ANCHORARRAY(DATA_CLEANED!$AK$3),CALCULES!$A10)+COUNTIFS(_xlfn.ANCHORARRAY(DATA_CLEANED!$AF$3),CALCULES!R$2,_xlfn.ANCHORARRAY(DATA_CLEANED!$AN$3),CALCULES!$A10)&gt;0,1,0)</f>
        <v>0</v>
      </c>
      <c r="S10" s="112">
        <f>IF(COUNTIFS(_xlfn.ANCHORARRAY(DATA_CLEANED!$AF$3),CALCULES!S$2,_xlfn.ANCHORARRAY(DATA_CLEANED!$AK$3),CALCULES!$A10)+COUNTIFS(_xlfn.ANCHORARRAY(DATA_CLEANED!$AF$3),CALCULES!S$2,_xlfn.ANCHORARRAY(DATA_CLEANED!$AN$3),CALCULES!$A10)&gt;0,1,0)</f>
        <v>0</v>
      </c>
      <c r="T10" s="112">
        <f>IF(COUNTIFS(_xlfn.ANCHORARRAY(DATA_CLEANED!$AF$3),CALCULES!T$2,_xlfn.ANCHORARRAY(DATA_CLEANED!$AK$3),CALCULES!$A10)+COUNTIFS(_xlfn.ANCHORARRAY(DATA_CLEANED!$AF$3),CALCULES!T$2,_xlfn.ANCHORARRAY(DATA_CLEANED!$AN$3),CALCULES!$A10)&gt;0,1,0)</f>
        <v>0</v>
      </c>
      <c r="U10" s="112">
        <f>IF(COUNTIFS(_xlfn.ANCHORARRAY(DATA_CLEANED!$AF$3),CALCULES!U$2,_xlfn.ANCHORARRAY(DATA_CLEANED!$AK$3),CALCULES!$A10)+COUNTIFS(_xlfn.ANCHORARRAY(DATA_CLEANED!$AF$3),CALCULES!U$2,_xlfn.ANCHORARRAY(DATA_CLEANED!$AN$3),CALCULES!$A10)&gt;0,1,0)</f>
        <v>1</v>
      </c>
      <c r="V10" s="112">
        <f>IF(COUNTIFS(_xlfn.ANCHORARRAY(DATA_CLEANED!$AF$3),CALCULES!V$2,_xlfn.ANCHORARRAY(DATA_CLEANED!$AK$3),CALCULES!$A10)+COUNTIFS(_xlfn.ANCHORARRAY(DATA_CLEANED!$AF$3),CALCULES!V$2,_xlfn.ANCHORARRAY(DATA_CLEANED!$AN$3),CALCULES!$A10)&gt;0,1,0)</f>
        <v>0</v>
      </c>
      <c r="W10" s="112">
        <f>IF(COUNTIFS(_xlfn.ANCHORARRAY(DATA_CLEANED!$AF$3),CALCULES!W$2,_xlfn.ANCHORARRAY(DATA_CLEANED!$AK$3),CALCULES!$A10)+COUNTIFS(_xlfn.ANCHORARRAY(DATA_CLEANED!$AF$3),CALCULES!W$2,_xlfn.ANCHORARRAY(DATA_CLEANED!$AN$3),CALCULES!$A10)&gt;0,1,0)</f>
        <v>0</v>
      </c>
      <c r="X10" s="112">
        <f>IF(COUNTIFS(_xlfn.ANCHORARRAY(DATA_CLEANED!$AF$3),CALCULES!X$2,_xlfn.ANCHORARRAY(DATA_CLEANED!$AK$3),CALCULES!$A10)+COUNTIFS(_xlfn.ANCHORARRAY(DATA_CLEANED!$AF$3),CALCULES!X$2,_xlfn.ANCHORARRAY(DATA_CLEANED!$AN$3),CALCULES!$A10)&gt;0,1,0)</f>
        <v>1</v>
      </c>
      <c r="Y10" s="113">
        <f t="shared" si="0"/>
        <v>2</v>
      </c>
      <c r="AA10" s="112">
        <f>COUNTIF(_xlfn.ANCHORARRAY(DATA_CLEANED!$AK$3),$A10)+COUNTIF(DATA_CLEANED!$AN$2:$AN$1060,$A10)</f>
        <v>7</v>
      </c>
      <c r="AB10" s="112">
        <f>COUNTIF(DATA_QUALITE!BG$12:BG$1069,A10)</f>
        <v>2</v>
      </c>
      <c r="AC10" s="112">
        <f t="shared" si="7"/>
        <v>5</v>
      </c>
      <c r="AD10" s="112" cm="1">
        <f t="array" ref="AD10">SUMPRODUCT((DATA_CLEANED!AL$3:AL$1060=DATA_CLEANED!AM$3:AM$1060)*(_xlfn.ANCHORARRAY(DATA_CLEANED!AK$3)=CALCULES!A10)*(DATA_CLEANED!AO$3:AO$1060&lt;&gt;"-"))
+
SUMPRODUCT((DATA_CLEANED!AL$3:AL$1060=DATA_CLEANED!AM$3:AM$1060)*(_xlfn.ANCHORARRAY(DATA_CLEANED!AN$3)=CALCULES!A10)*(DATA_CLEANED!AO$3:AO$1060&lt;&gt;"-"))</f>
        <v>0</v>
      </c>
      <c r="AE10" s="116">
        <f t="shared" si="1"/>
        <v>0.2857142857142857</v>
      </c>
      <c r="AF10" s="116">
        <f t="shared" si="2"/>
        <v>0.7142857142857143</v>
      </c>
      <c r="AG10" s="112">
        <f>SUMIF(_xlfn.ANCHORARRAY(DATA_CLEANED!AK$3),A10,DATA_CLEANED!AL$2:AL$1060)+SUMIF(_xlfn.ANCHORARRAY(DATA_CLEANED!AN$3),A10,DATA_CLEANED!AM$2:AM$1060)</f>
        <v>10</v>
      </c>
      <c r="AH10" s="112">
        <f>SUMIF(_xlfn.ANCHORARRAY(DATA_CLEANED!AK$3),A10,DATA_CLEANED!AM$2:AM$1060)+SUMIF(_xlfn.ANCHORARRAY(DATA_CLEANED!AN$3),A10,DATA_CLEANED!AL$2:AL$1060)</f>
        <v>15</v>
      </c>
      <c r="AI10" s="112">
        <f t="shared" si="8"/>
        <v>2.14</v>
      </c>
      <c r="AJ10" s="117" cm="1">
        <f t="array" ref="AJ10">_xlfn.LET(_xlpm.home,IFERROR(_xlfn._xlws.FILTER(DATA_CLEANED!AH$3:AH$1060,DATA_CLEANED!AK$3:AK$1060=CALCULES!A10),""),
_xlpm.away,IFERROR(_xlfn._xlws.FILTER(DATA_CLEANED!AH$3:AH$1060,DATA_CLEANED!AN$3:AN$1060=CALCULES!A10),""),
_xlpm.assemb_t,_xlfn._xlws.FILTER(_xlfn.VSTACK(_xlpm.home,_xlpm.away),_xlfn.VSTACK(_xlpm.home,_xlpm.away)&lt;&gt;""),
_xlpm.but_h,IFERROR(_xlfn._xlws.FILTER(_xlfn.ANCHORARRAY(DATA_CLEANED!AM$3),DATA_CLEANED!AK$3:AK$1060=CALCULES!A10),""),
_xlpm.but_a,IFERROR(_xlfn._xlws.FILTER(_xlfn.ANCHORARRAY(DATA_CLEANED!AL$3),DATA_CLEANED!AN$3:AN$1060=CALCULES!A10),""),
_xlpm.assemb_b,_xlfn._xlws.FILTER(_xlfn.VSTACK(_xlpm.but_h,_xlpm.but_a),_xlfn.VSTACK(_xlpm.but_h,_xlpm.but_a)&lt;&gt;""),
MEDIAN(_xlpm.assemb_t,_xlpm.assemb_b)
)</f>
        <v>1</v>
      </c>
      <c r="AK10" s="113">
        <f t="shared" si="3"/>
        <v>-5</v>
      </c>
      <c r="AL10" s="112" cm="1">
        <f t="array" ref="AL10">IFERROR(MEDIAN(_xlfn._xlws.FILTER(_xlfn.VSTACK(
DATA_CLEANED!AL$3:AL$1060-DATA_CLEANED!AM$3:AM$1060,
DATA_CLEANED!AM$3:AM$1060-DATA_CLEANED!AL$3:AL$1060
),_xlfn.VSTACK(DATA_CLEANED!AK$3:AK$1060,DATA_CLEANED!AN$3:AN$1060)=A10)),"-")</f>
        <v>-1</v>
      </c>
      <c r="AM10" s="112">
        <f t="shared" si="9"/>
        <v>1.43</v>
      </c>
      <c r="AN10" s="112" cm="1">
        <f t="array" ref="AN10">_xlfn.LET(_xlpm.home,IFERROR(_xlfn._xlws.FILTER(DATA_CLEANED!AH$3:AH$1060,DATA_CLEANED!AK$3:AK$1060=CALCULES!A10),""),
_xlpm.away,IFERROR(_xlfn._xlws.FILTER(DATA_CLEANED!AH$3:AH$1060,DATA_CLEANED!AN$3:AN$1060=CALCULES!A10),""),
_xlpm.assemb_t,_xlfn._xlws.FILTER(_xlfn.VSTACK(_xlpm.home,_xlpm.away),_xlfn.VSTACK(_xlpm.home,_xlpm.away)&lt;&gt;""),
_xlpm.but_h,IFERROR(_xlfn._xlws.FILTER(_xlfn.ANCHORARRAY(DATA_CLEANED!AL$3),DATA_CLEANED!AK$3:AK$1060=CALCULES!A10),""),
_xlpm.but_a,IFERROR(_xlfn._xlws.FILTER(_xlfn.ANCHORARRAY(DATA_CLEANED!AM$3),DATA_CLEANED!AN$3:AN$1060=CALCULES!A10),""),
_xlpm.assemb_b,_xlfn._xlws.FILTER(_xlfn.VSTACK(_xlpm.but_h,_xlpm.but_a),_xlfn.VSTACK(_xlpm.but_h,_xlpm.but_a)&lt;&gt;""),
MEDIAN(_xlpm.assemb_t,_xlpm.assemb_b)
)</f>
        <v>1</v>
      </c>
      <c r="AO10" s="116">
        <f>ROUND(IFERROR((COUNTIFS(DATA_CLEANED!AK$3:AK$1060,A10,DATA_CLEANED!AM$3:AM$1060,0)
+
COUNTIFS(DATA_CLEANED!AN$3:AN$1060,A10,DATA_CLEANED!AL$3:AL$1060,0)
)/AA10,0),2)</f>
        <v>0</v>
      </c>
      <c r="AP10" s="112">
        <f>MAX((_xlfn.MAXIFS(_xlfn.ANCHORARRAY(DATA_CLEANED!AL$3),_xlfn.ANCHORARRAY(DATA_CLEANED!AK$3),A10)),(_xlfn.MAXIFS(DATA_CLEANED!AM$3:AM$1060,_xlfn.ANCHORARRAY(DATA_CLEANED!AN$3),A10)))</f>
        <v>3</v>
      </c>
      <c r="AQ10" s="112">
        <f>COUNTIF(_xlfn.ANCHORARRAY(DATA_CLEANED!K$3),A10)</f>
        <v>0</v>
      </c>
      <c r="AR10" s="113" t="str" cm="1">
        <f t="array" ref="AR10">_xlfn.LET(
_xlpm.home,IFERROR(_xlfn._xlws.FILTER(DATA_CLEANED!AH$3:AH$1060,DATA_CLEANED!AK$3:AK$1060=CALCULES!A10),""),
_xlpm.away,IFERROR(_xlfn._xlws.FILTER(DATA_CLEANED!AH$3:AH$1060,DATA_CLEANED!AN$3:AN$1060=CALCULES!A10),""),
_xlpm.etapes,_xlfn._xlws.FILTER(_xlfn.VSTACK(_xlpm.home,_xlpm.away),_xlfn.VSTACK(_xlpm.home,_xlpm.away)&lt;&gt;""),
_xlpm.numeros,_xlfn.XLOOKUP(_xlpm.etapes,DATA_QUALITE!AT$12:AT$38,DATA_QUALITE!AU$12:AU$38),
_xlfn.XLOOKUP(MIN(_xlpm.numeros),DATA_QUALITE!AU$12:AU$38,DATA_QUALITE!AT$12:AT$38)
)</f>
        <v>ROUND_OF_32</v>
      </c>
      <c r="AS10" s="112">
        <f t="shared" si="4"/>
        <v>2</v>
      </c>
      <c r="AT10" s="112">
        <f t="shared" si="5"/>
        <v>2</v>
      </c>
      <c r="AU10" s="112">
        <f>COUNTIFS(DATA_QUALITE!BG$12:BG$1069,"MATCH NUL",_xlfn.ANCHORARRAY(DATA_CLEANED!AK$3),CALCULES!A10)+COUNTIFS(DATA_QUALITE!BG$12:BG$1069,"MATCH NUL",_xlfn.ANCHORARRAY(DATA_CLEANED!AN$3),CALCULES!A10)</f>
        <v>1</v>
      </c>
      <c r="AV10" s="112">
        <v>10</v>
      </c>
      <c r="AW10" s="112">
        <f>COUNTIFS(_xlfn.ANCHORARRAY(DATA_CLEANED!AH$3),"QUARTER_FINALS",_xlfn.ANCHORARRAY(DATA_CLEANED!AK$3),CALCULES!A10)+COUNTIFS(_xlfn.ANCHORARRAY(DATA_CLEANED!AH$3),"QUARTER_FINALS",_xlfn.ANCHORARRAY(DATA_CLEANED!AN$3),CALCULES!A10)</f>
        <v>0</v>
      </c>
      <c r="AX10" s="112">
        <f>COUNTIFS(_xlfn.ANCHORARRAY(DATA_CLEANED!AH$3),"SEMI_FINALS",_xlfn.ANCHORARRAY(DATA_CLEANED!AK$3),CALCULES!A10)+COUNTIFS(_xlfn.ANCHORARRAY(DATA_CLEANED!AH$3),"SEMI_FINALS",_xlfn.ANCHORARRAY(DATA_CLEANED!AN$3),CALCULES!A10)</f>
        <v>0</v>
      </c>
      <c r="AY10" s="112">
        <f>COUNTIFS(_xlfn.ANCHORARRAY(DATA_CLEANED!AH$3),"FINAL",_xlfn.ANCHORARRAY(DATA_CLEANED!AK$3),CALCULES!A10)+COUNTIFS(_xlfn.ANCHORARRAY(DATA_CLEANED!AH$3),"FINAL",_xlfn.ANCHORARRAY(DATA_CLEANED!AN$3),CALCULES!A10)</f>
        <v>0</v>
      </c>
      <c r="AZ10" s="112">
        <f>COUNTIFS(DATA_QUALITE!BG$12:BG$1069,CALCULES!A10,DATA_QUALITE!AW$12:AW$1069,"FINAL")</f>
        <v>0</v>
      </c>
      <c r="BA10" s="113">
        <f t="shared" si="6"/>
        <v>36.43</v>
      </c>
      <c r="BB10" s="118">
        <f t="shared" si="10"/>
        <v>6.92</v>
      </c>
      <c r="BC10" s="118">
        <f t="shared" si="11"/>
        <v>4.25</v>
      </c>
      <c r="BD10" s="139">
        <f t="shared" si="12"/>
        <v>5.59</v>
      </c>
      <c r="BF10" s="167"/>
      <c r="BG10" s="167"/>
      <c r="BH10" s="167"/>
      <c r="BI10" s="171"/>
      <c r="BJ10" s="171"/>
      <c r="BK10" s="167"/>
      <c r="BL10" s="172">
        <v>6</v>
      </c>
      <c r="BM10" s="172">
        <f t="shared" si="13"/>
        <v>1.5410582131383103E-3</v>
      </c>
      <c r="BN10" s="172">
        <f t="shared" si="13"/>
        <v>1.7258854880016696E-3</v>
      </c>
      <c r="BO10" s="172">
        <f t="shared" si="13"/>
        <v>9.6644003850730081E-4</v>
      </c>
      <c r="BP10" s="172">
        <f t="shared" si="13"/>
        <v>3.607834372647898E-4</v>
      </c>
      <c r="BQ10" s="172">
        <f t="shared" si="13"/>
        <v>1.0101352651348176E-4</v>
      </c>
      <c r="BR10" s="172">
        <f t="shared" si="13"/>
        <v>2.2625722768312198E-5</v>
      </c>
      <c r="BS10" s="172">
        <f t="shared" si="13"/>
        <v>4.2232242589824246E-6</v>
      </c>
      <c r="BT10" s="172">
        <f t="shared" si="13"/>
        <v>6.756768451160592E-7</v>
      </c>
      <c r="BU10" s="172">
        <f t="shared" si="13"/>
        <v>9.4589293547009581E-8</v>
      </c>
    </row>
    <row r="11" spans="1:73" ht="15.95" customHeight="1">
      <c r="A11" s="113" t="str">
        <v>Brazil</v>
      </c>
      <c r="B11" s="112">
        <f>IF(COUNTIFS(_xlfn.ANCHORARRAY(DATA_CLEANED!$AF$3),CALCULES!B$2,_xlfn.ANCHORARRAY(DATA_CLEANED!$AK$3),CALCULES!$A11)+COUNTIFS(_xlfn.ANCHORARRAY(DATA_CLEANED!$AF$3),CALCULES!B$2,_xlfn.ANCHORARRAY(DATA_CLEANED!$AN$3),CALCULES!$A11)&gt;0,1,0)</f>
        <v>1</v>
      </c>
      <c r="C11" s="112">
        <f>IF(COUNTIFS(_xlfn.ANCHORARRAY(DATA_CLEANED!$AF$3),CALCULES!C$2,_xlfn.ANCHORARRAY(DATA_CLEANED!$AK$3),CALCULES!$A11)+COUNTIFS(_xlfn.ANCHORARRAY(DATA_CLEANED!$AF$3),CALCULES!C$2,_xlfn.ANCHORARRAY(DATA_CLEANED!$AN$3),CALCULES!$A11)&gt;0,1,0)</f>
        <v>1</v>
      </c>
      <c r="D11" s="112">
        <f>IF(COUNTIFS(_xlfn.ANCHORARRAY(DATA_CLEANED!$AF$3),CALCULES!D$2,_xlfn.ANCHORARRAY(DATA_CLEANED!$AK$3),CALCULES!$A11)+COUNTIFS(_xlfn.ANCHORARRAY(DATA_CLEANED!$AF$3),CALCULES!D$2,_xlfn.ANCHORARRAY(DATA_CLEANED!$AN$3),CALCULES!$A11)&gt;0,1,0)</f>
        <v>1</v>
      </c>
      <c r="E11" s="112">
        <f>IF(COUNTIFS(_xlfn.ANCHORARRAY(DATA_CLEANED!$AF$3),CALCULES!E$2,_xlfn.ANCHORARRAY(DATA_CLEANED!$AK$3),CALCULES!$A11)+COUNTIFS(_xlfn.ANCHORARRAY(DATA_CLEANED!$AF$3),CALCULES!E$2,_xlfn.ANCHORARRAY(DATA_CLEANED!$AN$3),CALCULES!$A11)&gt;0,1,0)</f>
        <v>1</v>
      </c>
      <c r="F11" s="112">
        <f>IF(COUNTIFS(_xlfn.ANCHORARRAY(DATA_CLEANED!$AF$3),CALCULES!F$2,_xlfn.ANCHORARRAY(DATA_CLEANED!$AK$3),CALCULES!$A11)+COUNTIFS(_xlfn.ANCHORARRAY(DATA_CLEANED!$AF$3),CALCULES!F$2,_xlfn.ANCHORARRAY(DATA_CLEANED!$AN$3),CALCULES!$A11)&gt;0,1,0)</f>
        <v>1</v>
      </c>
      <c r="G11" s="112">
        <f>IF(COUNTIFS(_xlfn.ANCHORARRAY(DATA_CLEANED!$AF$3),CALCULES!G$2,_xlfn.ANCHORARRAY(DATA_CLEANED!$AK$3),CALCULES!$A11)+COUNTIFS(_xlfn.ANCHORARRAY(DATA_CLEANED!$AF$3),CALCULES!G$2,_xlfn.ANCHORARRAY(DATA_CLEANED!$AN$3),CALCULES!$A11)&gt;0,1,0)</f>
        <v>1</v>
      </c>
      <c r="H11" s="112">
        <f>IF(COUNTIFS(_xlfn.ANCHORARRAY(DATA_CLEANED!$AF$3),CALCULES!H$2,_xlfn.ANCHORARRAY(DATA_CLEANED!$AK$3),CALCULES!$A11)+COUNTIFS(_xlfn.ANCHORARRAY(DATA_CLEANED!$AF$3),CALCULES!H$2,_xlfn.ANCHORARRAY(DATA_CLEANED!$AN$3),CALCULES!$A11)&gt;0,1,0)</f>
        <v>1</v>
      </c>
      <c r="I11" s="112">
        <f>IF(COUNTIFS(_xlfn.ANCHORARRAY(DATA_CLEANED!$AF$3),CALCULES!I$2,_xlfn.ANCHORARRAY(DATA_CLEANED!$AK$3),CALCULES!$A11)+COUNTIFS(_xlfn.ANCHORARRAY(DATA_CLEANED!$AF$3),CALCULES!I$2,_xlfn.ANCHORARRAY(DATA_CLEANED!$AN$3),CALCULES!$A11)&gt;0,1,0)</f>
        <v>1</v>
      </c>
      <c r="J11" s="112">
        <f>IF(COUNTIFS(_xlfn.ANCHORARRAY(DATA_CLEANED!$AF$3),CALCULES!J$2,_xlfn.ANCHORARRAY(DATA_CLEANED!$AK$3),CALCULES!$A11)+COUNTIFS(_xlfn.ANCHORARRAY(DATA_CLEANED!$AF$3),CALCULES!J$2,_xlfn.ANCHORARRAY(DATA_CLEANED!$AN$3),CALCULES!$A11)&gt;0,1,0)</f>
        <v>1</v>
      </c>
      <c r="K11" s="112">
        <f>IF(COUNTIFS(_xlfn.ANCHORARRAY(DATA_CLEANED!$AF$3),CALCULES!K$2,_xlfn.ANCHORARRAY(DATA_CLEANED!$AK$3),CALCULES!$A11)+COUNTIFS(_xlfn.ANCHORARRAY(DATA_CLEANED!$AF$3),CALCULES!K$2,_xlfn.ANCHORARRAY(DATA_CLEANED!$AN$3),CALCULES!$A11)&gt;0,1,0)</f>
        <v>1</v>
      </c>
      <c r="L11" s="112">
        <f>IF(COUNTIFS(_xlfn.ANCHORARRAY(DATA_CLEANED!$AF$3),CALCULES!L$2,_xlfn.ANCHORARRAY(DATA_CLEANED!$AK$3),CALCULES!$A11)+COUNTIFS(_xlfn.ANCHORARRAY(DATA_CLEANED!$AF$3),CALCULES!L$2,_xlfn.ANCHORARRAY(DATA_CLEANED!$AN$3),CALCULES!$A11)&gt;0,1,0)</f>
        <v>1</v>
      </c>
      <c r="M11" s="112">
        <f>IF(COUNTIFS(_xlfn.ANCHORARRAY(DATA_CLEANED!$AF$3),CALCULES!M$2,_xlfn.ANCHORARRAY(DATA_CLEANED!$AK$3),CALCULES!$A11)+COUNTIFS(_xlfn.ANCHORARRAY(DATA_CLEANED!$AF$3),CALCULES!M$2,_xlfn.ANCHORARRAY(DATA_CLEANED!$AN$3),CALCULES!$A11)&gt;0,1,0)</f>
        <v>1</v>
      </c>
      <c r="N11" s="112">
        <f>IF(COUNTIFS(_xlfn.ANCHORARRAY(DATA_CLEANED!$AF$3),CALCULES!N$2,_xlfn.ANCHORARRAY(DATA_CLEANED!$AK$3),CALCULES!$A11)+COUNTIFS(_xlfn.ANCHORARRAY(DATA_CLEANED!$AF$3),CALCULES!N$2,_xlfn.ANCHORARRAY(DATA_CLEANED!$AN$3),CALCULES!$A11)&gt;0,1,0)</f>
        <v>1</v>
      </c>
      <c r="O11" s="112">
        <f>IF(COUNTIFS(_xlfn.ANCHORARRAY(DATA_CLEANED!$AF$3),CALCULES!O$2,_xlfn.ANCHORARRAY(DATA_CLEANED!$AK$3),CALCULES!$A11)+COUNTIFS(_xlfn.ANCHORARRAY(DATA_CLEANED!$AF$3),CALCULES!O$2,_xlfn.ANCHORARRAY(DATA_CLEANED!$AN$3),CALCULES!$A11)&gt;0,1,0)</f>
        <v>1</v>
      </c>
      <c r="P11" s="112">
        <f>IF(COUNTIFS(_xlfn.ANCHORARRAY(DATA_CLEANED!$AF$3),CALCULES!P$2,_xlfn.ANCHORARRAY(DATA_CLEANED!$AK$3),CALCULES!$A11)+COUNTIFS(_xlfn.ANCHORARRAY(DATA_CLEANED!$AF$3),CALCULES!P$2,_xlfn.ANCHORARRAY(DATA_CLEANED!$AN$3),CALCULES!$A11)&gt;0,1,0)</f>
        <v>1</v>
      </c>
      <c r="Q11" s="112">
        <f>IF(COUNTIFS(_xlfn.ANCHORARRAY(DATA_CLEANED!$AF$3),CALCULES!Q$2,_xlfn.ANCHORARRAY(DATA_CLEANED!$AK$3),CALCULES!$A11)+COUNTIFS(_xlfn.ANCHORARRAY(DATA_CLEANED!$AF$3),CALCULES!Q$2,_xlfn.ANCHORARRAY(DATA_CLEANED!$AN$3),CALCULES!$A11)&gt;0,1,0)</f>
        <v>1</v>
      </c>
      <c r="R11" s="112">
        <f>IF(COUNTIFS(_xlfn.ANCHORARRAY(DATA_CLEANED!$AF$3),CALCULES!R$2,_xlfn.ANCHORARRAY(DATA_CLEANED!$AK$3),CALCULES!$A11)+COUNTIFS(_xlfn.ANCHORARRAY(DATA_CLEANED!$AF$3),CALCULES!R$2,_xlfn.ANCHORARRAY(DATA_CLEANED!$AN$3),CALCULES!$A11)&gt;0,1,0)</f>
        <v>1</v>
      </c>
      <c r="S11" s="112">
        <f>IF(COUNTIFS(_xlfn.ANCHORARRAY(DATA_CLEANED!$AF$3),CALCULES!S$2,_xlfn.ANCHORARRAY(DATA_CLEANED!$AK$3),CALCULES!$A11)+COUNTIFS(_xlfn.ANCHORARRAY(DATA_CLEANED!$AF$3),CALCULES!S$2,_xlfn.ANCHORARRAY(DATA_CLEANED!$AN$3),CALCULES!$A11)&gt;0,1,0)</f>
        <v>1</v>
      </c>
      <c r="T11" s="112">
        <f>IF(COUNTIFS(_xlfn.ANCHORARRAY(DATA_CLEANED!$AF$3),CALCULES!T$2,_xlfn.ANCHORARRAY(DATA_CLEANED!$AK$3),CALCULES!$A11)+COUNTIFS(_xlfn.ANCHORARRAY(DATA_CLEANED!$AF$3),CALCULES!T$2,_xlfn.ANCHORARRAY(DATA_CLEANED!$AN$3),CALCULES!$A11)&gt;0,1,0)</f>
        <v>1</v>
      </c>
      <c r="U11" s="112">
        <f>IF(COUNTIFS(_xlfn.ANCHORARRAY(DATA_CLEANED!$AF$3),CALCULES!U$2,_xlfn.ANCHORARRAY(DATA_CLEANED!$AK$3),CALCULES!$A11)+COUNTIFS(_xlfn.ANCHORARRAY(DATA_CLEANED!$AF$3),CALCULES!U$2,_xlfn.ANCHORARRAY(DATA_CLEANED!$AN$3),CALCULES!$A11)&gt;0,1,0)</f>
        <v>1</v>
      </c>
      <c r="V11" s="112">
        <f>IF(COUNTIFS(_xlfn.ANCHORARRAY(DATA_CLEANED!$AF$3),CALCULES!V$2,_xlfn.ANCHORARRAY(DATA_CLEANED!$AK$3),CALCULES!$A11)+COUNTIFS(_xlfn.ANCHORARRAY(DATA_CLEANED!$AF$3),CALCULES!V$2,_xlfn.ANCHORARRAY(DATA_CLEANED!$AN$3),CALCULES!$A11)&gt;0,1,0)</f>
        <v>1</v>
      </c>
      <c r="W11" s="112">
        <f>IF(COUNTIFS(_xlfn.ANCHORARRAY(DATA_CLEANED!$AF$3),CALCULES!W$2,_xlfn.ANCHORARRAY(DATA_CLEANED!$AK$3),CALCULES!$A11)+COUNTIFS(_xlfn.ANCHORARRAY(DATA_CLEANED!$AF$3),CALCULES!W$2,_xlfn.ANCHORARRAY(DATA_CLEANED!$AN$3),CALCULES!$A11)&gt;0,1,0)</f>
        <v>1</v>
      </c>
      <c r="X11" s="112">
        <f>IF(COUNTIFS(_xlfn.ANCHORARRAY(DATA_CLEANED!$AF$3),CALCULES!X$2,_xlfn.ANCHORARRAY(DATA_CLEANED!$AK$3),CALCULES!$A11)+COUNTIFS(_xlfn.ANCHORARRAY(DATA_CLEANED!$AF$3),CALCULES!X$2,_xlfn.ANCHORARRAY(DATA_CLEANED!$AN$3),CALCULES!$A11)&gt;0,1,0)</f>
        <v>1</v>
      </c>
      <c r="Y11" s="113">
        <f t="shared" si="0"/>
        <v>23</v>
      </c>
      <c r="AA11" s="112">
        <f>COUNTIF(_xlfn.ANCHORARRAY(DATA_CLEANED!$AK$3),$A11)+COUNTIF(DATA_CLEANED!$AN$2:$AN$1060,$A11)</f>
        <v>119</v>
      </c>
      <c r="AB11" s="112">
        <f>COUNTIF(DATA_QUALITE!BG$12:BG$1069,A11)</f>
        <v>82</v>
      </c>
      <c r="AC11" s="112">
        <f t="shared" si="7"/>
        <v>32</v>
      </c>
      <c r="AD11" s="112" cm="1">
        <f t="array" ref="AD11">SUMPRODUCT((DATA_CLEANED!AL$3:AL$1060=DATA_CLEANED!AM$3:AM$1060)*(_xlfn.ANCHORARRAY(DATA_CLEANED!AK$3)=CALCULES!A11)*(DATA_CLEANED!AO$3:AO$1060&lt;&gt;"-"))
+
SUMPRODUCT((DATA_CLEANED!AL$3:AL$1060=DATA_CLEANED!AM$3:AM$1060)*(_xlfn.ANCHORARRAY(DATA_CLEANED!AN$3)=CALCULES!A11)*(DATA_CLEANED!AO$3:AO$1060&lt;&gt;"-"))</f>
        <v>5</v>
      </c>
      <c r="AE11" s="116">
        <f t="shared" si="1"/>
        <v>0.68907563025210083</v>
      </c>
      <c r="AF11" s="116">
        <f t="shared" si="2"/>
        <v>0.26890756302521007</v>
      </c>
      <c r="AG11" s="112">
        <f>SUMIF(_xlfn.ANCHORARRAY(DATA_CLEANED!AK$3),A11,DATA_CLEANED!AL$2:AL$1060)+SUMIF(_xlfn.ANCHORARRAY(DATA_CLEANED!AN$3),A11,DATA_CLEANED!AM$2:AM$1060)</f>
        <v>203</v>
      </c>
      <c r="AH11" s="112">
        <f>SUMIF(_xlfn.ANCHORARRAY(DATA_CLEANED!AK$3),A11,DATA_CLEANED!AM$2:AM$1060)+SUMIF(_xlfn.ANCHORARRAY(DATA_CLEANED!AN$3),A11,DATA_CLEANED!AL$2:AL$1060)</f>
        <v>154</v>
      </c>
      <c r="AI11" s="112">
        <f t="shared" si="8"/>
        <v>1.29</v>
      </c>
      <c r="AJ11" s="117" cm="1">
        <f t="array" ref="AJ11">_xlfn.LET(_xlpm.home,IFERROR(_xlfn._xlws.FILTER(DATA_CLEANED!AH$3:AH$1060,DATA_CLEANED!AK$3:AK$1060=CALCULES!A11),""),
_xlpm.away,IFERROR(_xlfn._xlws.FILTER(DATA_CLEANED!AH$3:AH$1060,DATA_CLEANED!AN$3:AN$1060=CALCULES!A11),""),
_xlpm.assemb_t,_xlfn._xlws.FILTER(_xlfn.VSTACK(_xlpm.home,_xlpm.away),_xlfn.VSTACK(_xlpm.home,_xlpm.away)&lt;&gt;""),
_xlpm.but_h,IFERROR(_xlfn._xlws.FILTER(_xlfn.ANCHORARRAY(DATA_CLEANED!AM$3),DATA_CLEANED!AK$3:AK$1060=CALCULES!A11),""),
_xlpm.but_a,IFERROR(_xlfn._xlws.FILTER(_xlfn.ANCHORARRAY(DATA_CLEANED!AL$3),DATA_CLEANED!AN$3:AN$1060=CALCULES!A11),""),
_xlpm.assemb_b,_xlfn._xlws.FILTER(_xlfn.VSTACK(_xlpm.but_h,_xlpm.but_a),_xlfn.VSTACK(_xlpm.but_h,_xlpm.but_a)&lt;&gt;""),
MEDIAN(_xlpm.assemb_t,_xlpm.assemb_b)
)</f>
        <v>1</v>
      </c>
      <c r="AK11" s="113">
        <f t="shared" si="3"/>
        <v>49</v>
      </c>
      <c r="AL11" s="112" cm="1">
        <f t="array" ref="AL11">IFERROR(MEDIAN(_xlfn._xlws.FILTER(_xlfn.VSTACK(
DATA_CLEANED!AL$3:AL$1060-DATA_CLEANED!AM$3:AM$1060,
DATA_CLEANED!AM$3:AM$1060-DATA_CLEANED!AL$3:AL$1060
),_xlfn.VSTACK(DATA_CLEANED!AK$3:AK$1060,DATA_CLEANED!AN$3:AN$1060)=A11)),"-")</f>
        <v>1</v>
      </c>
      <c r="AM11" s="112">
        <f t="shared" si="9"/>
        <v>1.71</v>
      </c>
      <c r="AN11" s="112" cm="1">
        <f t="array" ref="AN11">_xlfn.LET(_xlpm.home,IFERROR(_xlfn._xlws.FILTER(DATA_CLEANED!AH$3:AH$1060,DATA_CLEANED!AK$3:AK$1060=CALCULES!A11),""),
_xlpm.away,IFERROR(_xlfn._xlws.FILTER(DATA_CLEANED!AH$3:AH$1060,DATA_CLEANED!AN$3:AN$1060=CALCULES!A11),""),
_xlpm.assemb_t,_xlfn._xlws.FILTER(_xlfn.VSTACK(_xlpm.home,_xlpm.away),_xlfn.VSTACK(_xlpm.home,_xlpm.away)&lt;&gt;""),
_xlpm.but_h,IFERROR(_xlfn._xlws.FILTER(_xlfn.ANCHORARRAY(DATA_CLEANED!AL$3),DATA_CLEANED!AK$3:AK$1060=CALCULES!A11),""),
_xlpm.but_a,IFERROR(_xlfn._xlws.FILTER(_xlfn.ANCHORARRAY(DATA_CLEANED!AM$3),DATA_CLEANED!AN$3:AN$1060=CALCULES!A11),""),
_xlpm.assemb_b,_xlfn._xlws.FILTER(_xlfn.VSTACK(_xlpm.but_h,_xlpm.but_a),_xlfn.VSTACK(_xlpm.but_h,_xlpm.but_a)&lt;&gt;""),
MEDIAN(_xlpm.assemb_t,_xlpm.assemb_b)
)</f>
        <v>2</v>
      </c>
      <c r="AO11" s="116">
        <f>ROUND(IFERROR((COUNTIFS(DATA_CLEANED!AK$3:AK$1060,A11,DATA_CLEANED!AM$3:AM$1060,0)
+
COUNTIFS(DATA_CLEANED!AN$3:AN$1060,A11,DATA_CLEANED!AL$3:AL$1060,0)
)/AA11,0),2)</f>
        <v>0.42</v>
      </c>
      <c r="AP11" s="112">
        <f>MAX((_xlfn.MAXIFS(_xlfn.ANCHORARRAY(DATA_CLEANED!AL$3),_xlfn.ANCHORARRAY(DATA_CLEANED!AK$3),A11)),(_xlfn.MAXIFS(DATA_CLEANED!AM$3:AM$1060,_xlfn.ANCHORARRAY(DATA_CLEANED!AN$3),A11)))</f>
        <v>7</v>
      </c>
      <c r="AQ11" s="112">
        <f>COUNTIF(_xlfn.ANCHORARRAY(DATA_CLEANED!K$3),A11)</f>
        <v>23</v>
      </c>
      <c r="AR11" s="113" t="str" cm="1">
        <f t="array" ref="AR11">_xlfn.LET(
_xlpm.home,IFERROR(_xlfn._xlws.FILTER(DATA_CLEANED!AH$3:AH$1060,DATA_CLEANED!AK$3:AK$1060=CALCULES!A11),""),
_xlpm.away,IFERROR(_xlfn._xlws.FILTER(DATA_CLEANED!AH$3:AH$1060,DATA_CLEANED!AN$3:AN$1060=CALCULES!A11),""),
_xlpm.etapes,_xlfn._xlws.FILTER(_xlfn.VSTACK(_xlpm.home,_xlpm.away),_xlfn.VSTACK(_xlpm.home,_xlpm.away)&lt;&gt;""),
_xlpm.numeros,_xlfn.XLOOKUP(_xlpm.etapes,DATA_QUALITE!AT$12:AT$38,DATA_QUALITE!AU$12:AU$38),
_xlfn.XLOOKUP(MIN(_xlpm.numeros),DATA_QUALITE!AU$12:AU$38,DATA_QUALITE!AT$12:AT$38)
)</f>
        <v>FINAL</v>
      </c>
      <c r="AS11" s="112">
        <f t="shared" si="4"/>
        <v>23</v>
      </c>
      <c r="AT11" s="112">
        <f t="shared" si="5"/>
        <v>82</v>
      </c>
      <c r="AU11" s="112">
        <f>COUNTIFS(DATA_QUALITE!BG$12:BG$1069,"MATCH NUL",_xlfn.ANCHORARRAY(DATA_CLEANED!AK$3),CALCULES!A11)+COUNTIFS(DATA_QUALITE!BG$12:BG$1069,"MATCH NUL",_xlfn.ANCHORARRAY(DATA_CLEANED!AN$3),CALCULES!A11)</f>
        <v>15</v>
      </c>
      <c r="AV11" s="112">
        <v>203</v>
      </c>
      <c r="AW11" s="112">
        <f>COUNTIFS(_xlfn.ANCHORARRAY(DATA_CLEANED!AH$3),"QUARTER_FINALS",_xlfn.ANCHORARRAY(DATA_CLEANED!AK$3),CALCULES!A11)+COUNTIFS(_xlfn.ANCHORARRAY(DATA_CLEANED!AH$3),"QUARTER_FINALS",_xlfn.ANCHORARRAY(DATA_CLEANED!AN$3),CALCULES!A11)</f>
        <v>15</v>
      </c>
      <c r="AX11" s="112">
        <f>COUNTIFS(_xlfn.ANCHORARRAY(DATA_CLEANED!AH$3),"SEMI_FINALS",_xlfn.ANCHORARRAY(DATA_CLEANED!AK$3),CALCULES!A11)+COUNTIFS(_xlfn.ANCHORARRAY(DATA_CLEANED!AH$3),"SEMI_FINALS",_xlfn.ANCHORARRAY(DATA_CLEANED!AN$3),CALCULES!A11)</f>
        <v>8</v>
      </c>
      <c r="AY11" s="112">
        <f>COUNTIFS(_xlfn.ANCHORARRAY(DATA_CLEANED!AH$3),"FINAL",_xlfn.ANCHORARRAY(DATA_CLEANED!AK$3),CALCULES!A11)+COUNTIFS(_xlfn.ANCHORARRAY(DATA_CLEANED!AH$3),"FINAL",_xlfn.ANCHORARRAY(DATA_CLEANED!AN$3),CALCULES!A11)</f>
        <v>6</v>
      </c>
      <c r="AZ11" s="112">
        <f>COUNTIFS(DATA_QUALITE!BG$12:BG$1069,CALCULES!A11,DATA_QUALITE!AW$12:AW$1069,"FINAL")</f>
        <v>5</v>
      </c>
      <c r="BA11" s="113">
        <f t="shared" si="6"/>
        <v>61.19</v>
      </c>
      <c r="BB11" s="118">
        <f t="shared" si="10"/>
        <v>67.98</v>
      </c>
      <c r="BC11" s="118">
        <f t="shared" si="11"/>
        <v>52.6</v>
      </c>
      <c r="BD11" s="139">
        <f t="shared" si="12"/>
        <v>60.29</v>
      </c>
      <c r="BF11" s="176" t="s">
        <v>3892</v>
      </c>
      <c r="BG11" s="177">
        <f>MIN(BG7/$BG$3,1)</f>
        <v>1</v>
      </c>
      <c r="BH11" s="167"/>
      <c r="BI11" s="176" t="s">
        <v>3893</v>
      </c>
      <c r="BJ11" s="177">
        <f>MIN(BJ7/$BG$3,1)</f>
        <v>0.15</v>
      </c>
      <c r="BK11" s="167"/>
      <c r="BL11" s="172">
        <v>7</v>
      </c>
      <c r="BM11" s="172">
        <f t="shared" si="13"/>
        <v>3.5255258019535444E-4</v>
      </c>
      <c r="BN11" s="172">
        <f t="shared" si="13"/>
        <v>3.9483607869529401E-4</v>
      </c>
      <c r="BO11" s="172">
        <f t="shared" si="13"/>
        <v>2.2109543057817428E-4</v>
      </c>
      <c r="BP11" s="172">
        <f t="shared" si="13"/>
        <v>8.2537525587967286E-5</v>
      </c>
      <c r="BQ11" s="172">
        <f t="shared" si="13"/>
        <v>2.3109172063290253E-5</v>
      </c>
      <c r="BR11" s="172">
        <f t="shared" si="13"/>
        <v>5.1761554967536628E-6</v>
      </c>
      <c r="BS11" s="172">
        <f t="shared" si="13"/>
        <v>9.6615987413983422E-7</v>
      </c>
      <c r="BT11" s="172">
        <f t="shared" si="13"/>
        <v>1.5457664940431682E-7</v>
      </c>
      <c r="BU11" s="172">
        <f t="shared" si="13"/>
        <v>2.1639480724704496E-8</v>
      </c>
    </row>
    <row r="12" spans="1:73" ht="15.95" customHeight="1">
      <c r="A12" s="113" t="str">
        <v>Bulgaria</v>
      </c>
      <c r="B12" s="112">
        <f>IF(COUNTIFS(_xlfn.ANCHORARRAY(DATA_CLEANED!$AF$3),CALCULES!B$2,_xlfn.ANCHORARRAY(DATA_CLEANED!$AK$3),CALCULES!$A12)+COUNTIFS(_xlfn.ANCHORARRAY(DATA_CLEANED!$AF$3),CALCULES!B$2,_xlfn.ANCHORARRAY(DATA_CLEANED!$AN$3),CALCULES!$A12)&gt;0,1,0)</f>
        <v>0</v>
      </c>
      <c r="C12" s="112">
        <f>IF(COUNTIFS(_xlfn.ANCHORARRAY(DATA_CLEANED!$AF$3),CALCULES!C$2,_xlfn.ANCHORARRAY(DATA_CLEANED!$AK$3),CALCULES!$A12)+COUNTIFS(_xlfn.ANCHORARRAY(DATA_CLEANED!$AF$3),CALCULES!C$2,_xlfn.ANCHORARRAY(DATA_CLEANED!$AN$3),CALCULES!$A12)&gt;0,1,0)</f>
        <v>0</v>
      </c>
      <c r="D12" s="112">
        <f>IF(COUNTIFS(_xlfn.ANCHORARRAY(DATA_CLEANED!$AF$3),CALCULES!D$2,_xlfn.ANCHORARRAY(DATA_CLEANED!$AK$3),CALCULES!$A12)+COUNTIFS(_xlfn.ANCHORARRAY(DATA_CLEANED!$AF$3),CALCULES!D$2,_xlfn.ANCHORARRAY(DATA_CLEANED!$AN$3),CALCULES!$A12)&gt;0,1,0)</f>
        <v>0</v>
      </c>
      <c r="E12" s="112">
        <f>IF(COUNTIFS(_xlfn.ANCHORARRAY(DATA_CLEANED!$AF$3),CALCULES!E$2,_xlfn.ANCHORARRAY(DATA_CLEANED!$AK$3),CALCULES!$A12)+COUNTIFS(_xlfn.ANCHORARRAY(DATA_CLEANED!$AF$3),CALCULES!E$2,_xlfn.ANCHORARRAY(DATA_CLEANED!$AN$3),CALCULES!$A12)&gt;0,1,0)</f>
        <v>0</v>
      </c>
      <c r="F12" s="112">
        <f>IF(COUNTIFS(_xlfn.ANCHORARRAY(DATA_CLEANED!$AF$3),CALCULES!F$2,_xlfn.ANCHORARRAY(DATA_CLEANED!$AK$3),CALCULES!$A12)+COUNTIFS(_xlfn.ANCHORARRAY(DATA_CLEANED!$AF$3),CALCULES!F$2,_xlfn.ANCHORARRAY(DATA_CLEANED!$AN$3),CALCULES!$A12)&gt;0,1,0)</f>
        <v>0</v>
      </c>
      <c r="G12" s="112">
        <f>IF(COUNTIFS(_xlfn.ANCHORARRAY(DATA_CLEANED!$AF$3),CALCULES!G$2,_xlfn.ANCHORARRAY(DATA_CLEANED!$AK$3),CALCULES!$A12)+COUNTIFS(_xlfn.ANCHORARRAY(DATA_CLEANED!$AF$3),CALCULES!G$2,_xlfn.ANCHORARRAY(DATA_CLEANED!$AN$3),CALCULES!$A12)&gt;0,1,0)</f>
        <v>0</v>
      </c>
      <c r="H12" s="112">
        <f>IF(COUNTIFS(_xlfn.ANCHORARRAY(DATA_CLEANED!$AF$3),CALCULES!H$2,_xlfn.ANCHORARRAY(DATA_CLEANED!$AK$3),CALCULES!$A12)+COUNTIFS(_xlfn.ANCHORARRAY(DATA_CLEANED!$AF$3),CALCULES!H$2,_xlfn.ANCHORARRAY(DATA_CLEANED!$AN$3),CALCULES!$A12)&gt;0,1,0)</f>
        <v>1</v>
      </c>
      <c r="I12" s="112">
        <f>IF(COUNTIFS(_xlfn.ANCHORARRAY(DATA_CLEANED!$AF$3),CALCULES!I$2,_xlfn.ANCHORARRAY(DATA_CLEANED!$AK$3),CALCULES!$A12)+COUNTIFS(_xlfn.ANCHORARRAY(DATA_CLEANED!$AF$3),CALCULES!I$2,_xlfn.ANCHORARRAY(DATA_CLEANED!$AN$3),CALCULES!$A12)&gt;0,1,0)</f>
        <v>1</v>
      </c>
      <c r="J12" s="112">
        <f>IF(COUNTIFS(_xlfn.ANCHORARRAY(DATA_CLEANED!$AF$3),CALCULES!J$2,_xlfn.ANCHORARRAY(DATA_CLEANED!$AK$3),CALCULES!$A12)+COUNTIFS(_xlfn.ANCHORARRAY(DATA_CLEANED!$AF$3),CALCULES!J$2,_xlfn.ANCHORARRAY(DATA_CLEANED!$AN$3),CALCULES!$A12)&gt;0,1,0)</f>
        <v>1</v>
      </c>
      <c r="K12" s="112">
        <f>IF(COUNTIFS(_xlfn.ANCHORARRAY(DATA_CLEANED!$AF$3),CALCULES!K$2,_xlfn.ANCHORARRAY(DATA_CLEANED!$AK$3),CALCULES!$A12)+COUNTIFS(_xlfn.ANCHORARRAY(DATA_CLEANED!$AF$3),CALCULES!K$2,_xlfn.ANCHORARRAY(DATA_CLEANED!$AN$3),CALCULES!$A12)&gt;0,1,0)</f>
        <v>1</v>
      </c>
      <c r="L12" s="112">
        <f>IF(COUNTIFS(_xlfn.ANCHORARRAY(DATA_CLEANED!$AF$3),CALCULES!L$2,_xlfn.ANCHORARRAY(DATA_CLEANED!$AK$3),CALCULES!$A12)+COUNTIFS(_xlfn.ANCHORARRAY(DATA_CLEANED!$AF$3),CALCULES!L$2,_xlfn.ANCHORARRAY(DATA_CLEANED!$AN$3),CALCULES!$A12)&gt;0,1,0)</f>
        <v>0</v>
      </c>
      <c r="M12" s="112">
        <f>IF(COUNTIFS(_xlfn.ANCHORARRAY(DATA_CLEANED!$AF$3),CALCULES!M$2,_xlfn.ANCHORARRAY(DATA_CLEANED!$AK$3),CALCULES!$A12)+COUNTIFS(_xlfn.ANCHORARRAY(DATA_CLEANED!$AF$3),CALCULES!M$2,_xlfn.ANCHORARRAY(DATA_CLEANED!$AN$3),CALCULES!$A12)&gt;0,1,0)</f>
        <v>0</v>
      </c>
      <c r="N12" s="112">
        <f>IF(COUNTIFS(_xlfn.ANCHORARRAY(DATA_CLEANED!$AF$3),CALCULES!N$2,_xlfn.ANCHORARRAY(DATA_CLEANED!$AK$3),CALCULES!$A12)+COUNTIFS(_xlfn.ANCHORARRAY(DATA_CLEANED!$AF$3),CALCULES!N$2,_xlfn.ANCHORARRAY(DATA_CLEANED!$AN$3),CALCULES!$A12)&gt;0,1,0)</f>
        <v>1</v>
      </c>
      <c r="O12" s="112">
        <f>IF(COUNTIFS(_xlfn.ANCHORARRAY(DATA_CLEANED!$AF$3),CALCULES!O$2,_xlfn.ANCHORARRAY(DATA_CLEANED!$AK$3),CALCULES!$A12)+COUNTIFS(_xlfn.ANCHORARRAY(DATA_CLEANED!$AF$3),CALCULES!O$2,_xlfn.ANCHORARRAY(DATA_CLEANED!$AN$3),CALCULES!$A12)&gt;0,1,0)</f>
        <v>0</v>
      </c>
      <c r="P12" s="112">
        <f>IF(COUNTIFS(_xlfn.ANCHORARRAY(DATA_CLEANED!$AF$3),CALCULES!P$2,_xlfn.ANCHORARRAY(DATA_CLEANED!$AK$3),CALCULES!$A12)+COUNTIFS(_xlfn.ANCHORARRAY(DATA_CLEANED!$AF$3),CALCULES!P$2,_xlfn.ANCHORARRAY(DATA_CLEANED!$AN$3),CALCULES!$A12)&gt;0,1,0)</f>
        <v>1</v>
      </c>
      <c r="Q12" s="112">
        <f>IF(COUNTIFS(_xlfn.ANCHORARRAY(DATA_CLEANED!$AF$3),CALCULES!Q$2,_xlfn.ANCHORARRAY(DATA_CLEANED!$AK$3),CALCULES!$A12)+COUNTIFS(_xlfn.ANCHORARRAY(DATA_CLEANED!$AF$3),CALCULES!Q$2,_xlfn.ANCHORARRAY(DATA_CLEANED!$AN$3),CALCULES!$A12)&gt;0,1,0)</f>
        <v>1</v>
      </c>
      <c r="R12" s="112">
        <f>IF(COUNTIFS(_xlfn.ANCHORARRAY(DATA_CLEANED!$AF$3),CALCULES!R$2,_xlfn.ANCHORARRAY(DATA_CLEANED!$AK$3),CALCULES!$A12)+COUNTIFS(_xlfn.ANCHORARRAY(DATA_CLEANED!$AF$3),CALCULES!R$2,_xlfn.ANCHORARRAY(DATA_CLEANED!$AN$3),CALCULES!$A12)&gt;0,1,0)</f>
        <v>0</v>
      </c>
      <c r="S12" s="112">
        <f>IF(COUNTIFS(_xlfn.ANCHORARRAY(DATA_CLEANED!$AF$3),CALCULES!S$2,_xlfn.ANCHORARRAY(DATA_CLEANED!$AK$3),CALCULES!$A12)+COUNTIFS(_xlfn.ANCHORARRAY(DATA_CLEANED!$AF$3),CALCULES!S$2,_xlfn.ANCHORARRAY(DATA_CLEANED!$AN$3),CALCULES!$A12)&gt;0,1,0)</f>
        <v>0</v>
      </c>
      <c r="T12" s="112">
        <f>IF(COUNTIFS(_xlfn.ANCHORARRAY(DATA_CLEANED!$AF$3),CALCULES!T$2,_xlfn.ANCHORARRAY(DATA_CLEANED!$AK$3),CALCULES!$A12)+COUNTIFS(_xlfn.ANCHORARRAY(DATA_CLEANED!$AF$3),CALCULES!T$2,_xlfn.ANCHORARRAY(DATA_CLEANED!$AN$3),CALCULES!$A12)&gt;0,1,0)</f>
        <v>0</v>
      </c>
      <c r="U12" s="112">
        <f>IF(COUNTIFS(_xlfn.ANCHORARRAY(DATA_CLEANED!$AF$3),CALCULES!U$2,_xlfn.ANCHORARRAY(DATA_CLEANED!$AK$3),CALCULES!$A12)+COUNTIFS(_xlfn.ANCHORARRAY(DATA_CLEANED!$AF$3),CALCULES!U$2,_xlfn.ANCHORARRAY(DATA_CLEANED!$AN$3),CALCULES!$A12)&gt;0,1,0)</f>
        <v>0</v>
      </c>
      <c r="V12" s="112">
        <f>IF(COUNTIFS(_xlfn.ANCHORARRAY(DATA_CLEANED!$AF$3),CALCULES!V$2,_xlfn.ANCHORARRAY(DATA_CLEANED!$AK$3),CALCULES!$A12)+COUNTIFS(_xlfn.ANCHORARRAY(DATA_CLEANED!$AF$3),CALCULES!V$2,_xlfn.ANCHORARRAY(DATA_CLEANED!$AN$3),CALCULES!$A12)&gt;0,1,0)</f>
        <v>0</v>
      </c>
      <c r="W12" s="112">
        <f>IF(COUNTIFS(_xlfn.ANCHORARRAY(DATA_CLEANED!$AF$3),CALCULES!W$2,_xlfn.ANCHORARRAY(DATA_CLEANED!$AK$3),CALCULES!$A12)+COUNTIFS(_xlfn.ANCHORARRAY(DATA_CLEANED!$AF$3),CALCULES!W$2,_xlfn.ANCHORARRAY(DATA_CLEANED!$AN$3),CALCULES!$A12)&gt;0,1,0)</f>
        <v>0</v>
      </c>
      <c r="X12" s="112">
        <f>IF(COUNTIFS(_xlfn.ANCHORARRAY(DATA_CLEANED!$AF$3),CALCULES!X$2,_xlfn.ANCHORARRAY(DATA_CLEANED!$AK$3),CALCULES!$A12)+COUNTIFS(_xlfn.ANCHORARRAY(DATA_CLEANED!$AF$3),CALCULES!X$2,_xlfn.ANCHORARRAY(DATA_CLEANED!$AN$3),CALCULES!$A12)&gt;0,1,0)</f>
        <v>0</v>
      </c>
      <c r="Y12" s="113">
        <f t="shared" si="0"/>
        <v>7</v>
      </c>
      <c r="AA12" s="112">
        <f>COUNTIF(_xlfn.ANCHORARRAY(DATA_CLEANED!$AK$3),$A12)+COUNTIF(DATA_CLEANED!$AN$2:$AN$1060,$A12)</f>
        <v>26</v>
      </c>
      <c r="AB12" s="112">
        <f>COUNTIF(DATA_QUALITE!BG$12:BG$1069,A12)</f>
        <v>4</v>
      </c>
      <c r="AC12" s="112">
        <f t="shared" si="7"/>
        <v>21</v>
      </c>
      <c r="AD12" s="112" cm="1">
        <f t="array" ref="AD12">SUMPRODUCT((DATA_CLEANED!AL$3:AL$1060=DATA_CLEANED!AM$3:AM$1060)*(_xlfn.ANCHORARRAY(DATA_CLEANED!AK$3)=CALCULES!A12)*(DATA_CLEANED!AO$3:AO$1060&lt;&gt;"-"))
+
SUMPRODUCT((DATA_CLEANED!AL$3:AL$1060=DATA_CLEANED!AM$3:AM$1060)*(_xlfn.ANCHORARRAY(DATA_CLEANED!AN$3)=CALCULES!A12)*(DATA_CLEANED!AO$3:AO$1060&lt;&gt;"-"))</f>
        <v>1</v>
      </c>
      <c r="AE12" s="116">
        <f t="shared" si="1"/>
        <v>0.15384615384615385</v>
      </c>
      <c r="AF12" s="116">
        <f t="shared" si="2"/>
        <v>0.80769230769230771</v>
      </c>
      <c r="AG12" s="112">
        <f>SUMIF(_xlfn.ANCHORARRAY(DATA_CLEANED!AK$3),A12,DATA_CLEANED!AL$2:AL$1060)+SUMIF(_xlfn.ANCHORARRAY(DATA_CLEANED!AN$3),A12,DATA_CLEANED!AM$2:AM$1060)</f>
        <v>31</v>
      </c>
      <c r="AH12" s="112">
        <f>SUMIF(_xlfn.ANCHORARRAY(DATA_CLEANED!AK$3),A12,DATA_CLEANED!AM$2:AM$1060)+SUMIF(_xlfn.ANCHORARRAY(DATA_CLEANED!AN$3),A12,DATA_CLEANED!AL$2:AL$1060)</f>
        <v>42</v>
      </c>
      <c r="AI12" s="112">
        <f t="shared" si="8"/>
        <v>1.62</v>
      </c>
      <c r="AJ12" s="117" cm="1">
        <f t="array" ref="AJ12">_xlfn.LET(_xlpm.home,IFERROR(_xlfn._xlws.FILTER(DATA_CLEANED!AH$3:AH$1060,DATA_CLEANED!AK$3:AK$1060=CALCULES!A12),""),
_xlpm.away,IFERROR(_xlfn._xlws.FILTER(DATA_CLEANED!AH$3:AH$1060,DATA_CLEANED!AN$3:AN$1060=CALCULES!A12),""),
_xlpm.assemb_t,_xlfn._xlws.FILTER(_xlfn.VSTACK(_xlpm.home,_xlpm.away),_xlfn.VSTACK(_xlpm.home,_xlpm.away)&lt;&gt;""),
_xlpm.but_h,IFERROR(_xlfn._xlws.FILTER(_xlfn.ANCHORARRAY(DATA_CLEANED!AM$3),DATA_CLEANED!AK$3:AK$1060=CALCULES!A12),""),
_xlpm.but_a,IFERROR(_xlfn._xlws.FILTER(_xlfn.ANCHORARRAY(DATA_CLEANED!AL$3),DATA_CLEANED!AN$3:AN$1060=CALCULES!A12),""),
_xlpm.assemb_b,_xlfn._xlws.FILTER(_xlfn.VSTACK(_xlpm.but_h,_xlpm.but_a),_xlfn.VSTACK(_xlpm.but_h,_xlpm.but_a)&lt;&gt;""),
MEDIAN(_xlpm.assemb_t,_xlpm.assemb_b)
)</f>
        <v>1.5</v>
      </c>
      <c r="AK12" s="113">
        <f t="shared" si="3"/>
        <v>-11</v>
      </c>
      <c r="AL12" s="112" cm="1">
        <f t="array" ref="AL12">IFERROR(MEDIAN(_xlfn._xlws.FILTER(_xlfn.VSTACK(
DATA_CLEANED!AL$3:AL$1060-DATA_CLEANED!AM$3:AM$1060,
DATA_CLEANED!AM$3:AM$1060-DATA_CLEANED!AL$3:AL$1060
),_xlfn.VSTACK(DATA_CLEANED!AK$3:AK$1060,DATA_CLEANED!AN$3:AN$1060)=A12)),"-")</f>
        <v>-1</v>
      </c>
      <c r="AM12" s="112">
        <f t="shared" si="9"/>
        <v>1.19</v>
      </c>
      <c r="AN12" s="112" cm="1">
        <f t="array" ref="AN12">_xlfn.LET(_xlpm.home,IFERROR(_xlfn._xlws.FILTER(DATA_CLEANED!AH$3:AH$1060,DATA_CLEANED!AK$3:AK$1060=CALCULES!A12),""),
_xlpm.away,IFERROR(_xlfn._xlws.FILTER(DATA_CLEANED!AH$3:AH$1060,DATA_CLEANED!AN$3:AN$1060=CALCULES!A12),""),
_xlpm.assemb_t,_xlfn._xlws.FILTER(_xlfn.VSTACK(_xlpm.home,_xlpm.away),_xlfn.VSTACK(_xlpm.home,_xlpm.away)&lt;&gt;""),
_xlpm.but_h,IFERROR(_xlfn._xlws.FILTER(_xlfn.ANCHORARRAY(DATA_CLEANED!AL$3),DATA_CLEANED!AK$3:AK$1060=CALCULES!A12),""),
_xlpm.but_a,IFERROR(_xlfn._xlws.FILTER(_xlfn.ANCHORARRAY(DATA_CLEANED!AM$3),DATA_CLEANED!AN$3:AN$1060=CALCULES!A12),""),
_xlpm.assemb_b,_xlfn._xlws.FILTER(_xlfn.VSTACK(_xlpm.but_h,_xlpm.but_a),_xlfn.VSTACK(_xlpm.but_h,_xlpm.but_a)&lt;&gt;""),
MEDIAN(_xlpm.assemb_t,_xlpm.assemb_b)
)</f>
        <v>1</v>
      </c>
      <c r="AO12" s="116">
        <f>ROUND(IFERROR((COUNTIFS(DATA_CLEANED!AK$3:AK$1060,A12,DATA_CLEANED!AM$3:AM$1060,0)
+
COUNTIFS(DATA_CLEANED!AN$3:AN$1060,A12,DATA_CLEANED!AL$3:AL$1060,0)
)/AA12,0),2)</f>
        <v>0.19</v>
      </c>
      <c r="AP12" s="112">
        <f>MAX((_xlfn.MAXIFS(_xlfn.ANCHORARRAY(DATA_CLEANED!AL$3),_xlfn.ANCHORARRAY(DATA_CLEANED!AK$3),A12)),(_xlfn.MAXIFS(DATA_CLEANED!AM$3:AM$1060,_xlfn.ANCHORARRAY(DATA_CLEANED!AN$3),A12)))</f>
        <v>4</v>
      </c>
      <c r="AQ12" s="112">
        <f>COUNTIF(_xlfn.ANCHORARRAY(DATA_CLEANED!K$3),A12)</f>
        <v>4</v>
      </c>
      <c r="AR12" s="113" t="str" cm="1">
        <f t="array" ref="AR12">_xlfn.LET(
_xlpm.home,IFERROR(_xlfn._xlws.FILTER(DATA_CLEANED!AH$3:AH$1060,DATA_CLEANED!AK$3:AK$1060=CALCULES!A12),""),
_xlpm.away,IFERROR(_xlfn._xlws.FILTER(DATA_CLEANED!AH$3:AH$1060,DATA_CLEANED!AN$3:AN$1060=CALCULES!A12),""),
_xlpm.etapes,_xlfn._xlws.FILTER(_xlfn.VSTACK(_xlpm.home,_xlpm.away),_xlfn.VSTACK(_xlpm.home,_xlpm.away)&lt;&gt;""),
_xlpm.numeros,_xlfn.XLOOKUP(_xlpm.etapes,DATA_QUALITE!AT$12:AT$38,DATA_QUALITE!AU$12:AU$38),
_xlfn.XLOOKUP(MIN(_xlpm.numeros),DATA_QUALITE!AU$12:AU$38,DATA_QUALITE!AT$12:AT$38)
)</f>
        <v>THIRD_PLACE</v>
      </c>
      <c r="AS12" s="112">
        <f t="shared" si="4"/>
        <v>7</v>
      </c>
      <c r="AT12" s="112">
        <f t="shared" si="5"/>
        <v>4</v>
      </c>
      <c r="AU12" s="112">
        <f>COUNTIFS(DATA_QUALITE!BG$12:BG$1069,"MATCH NUL",_xlfn.ANCHORARRAY(DATA_CLEANED!AK$3),CALCULES!A12)+COUNTIFS(DATA_QUALITE!BG$12:BG$1069,"MATCH NUL",_xlfn.ANCHORARRAY(DATA_CLEANED!AN$3),CALCULES!A12)</f>
        <v>7</v>
      </c>
      <c r="AV12" s="112">
        <v>31</v>
      </c>
      <c r="AW12" s="112">
        <f>COUNTIFS(_xlfn.ANCHORARRAY(DATA_CLEANED!AH$3),"QUARTER_FINALS",_xlfn.ANCHORARRAY(DATA_CLEANED!AK$3),CALCULES!A12)+COUNTIFS(_xlfn.ANCHORARRAY(DATA_CLEANED!AH$3),"QUARTER_FINALS",_xlfn.ANCHORARRAY(DATA_CLEANED!AN$3),CALCULES!A12)</f>
        <v>1</v>
      </c>
      <c r="AX12" s="112">
        <f>COUNTIFS(_xlfn.ANCHORARRAY(DATA_CLEANED!AH$3),"SEMI_FINALS",_xlfn.ANCHORARRAY(DATA_CLEANED!AK$3),CALCULES!A12)+COUNTIFS(_xlfn.ANCHORARRAY(DATA_CLEANED!AH$3),"SEMI_FINALS",_xlfn.ANCHORARRAY(DATA_CLEANED!AN$3),CALCULES!A12)</f>
        <v>1</v>
      </c>
      <c r="AY12" s="112">
        <f>COUNTIFS(_xlfn.ANCHORARRAY(DATA_CLEANED!AH$3),"FINAL",_xlfn.ANCHORARRAY(DATA_CLEANED!AK$3),CALCULES!A12)+COUNTIFS(_xlfn.ANCHORARRAY(DATA_CLEANED!AH$3),"FINAL",_xlfn.ANCHORARRAY(DATA_CLEANED!AN$3),CALCULES!A12)</f>
        <v>0</v>
      </c>
      <c r="AZ12" s="112">
        <f>COUNTIFS(DATA_QUALITE!BG$12:BG$1069,CALCULES!A12,DATA_QUALITE!AW$12:AW$1069,"FINAL")</f>
        <v>0</v>
      </c>
      <c r="BA12" s="113">
        <f t="shared" si="6"/>
        <v>27.49</v>
      </c>
      <c r="BB12" s="118">
        <f t="shared" si="10"/>
        <v>8.14</v>
      </c>
      <c r="BC12" s="118">
        <f t="shared" si="11"/>
        <v>8.0399999999999991</v>
      </c>
      <c r="BD12" s="139">
        <f t="shared" si="12"/>
        <v>8.09</v>
      </c>
      <c r="BF12" s="171"/>
      <c r="BG12" s="171"/>
      <c r="BH12" s="167"/>
      <c r="BI12" s="171"/>
      <c r="BJ12" s="171"/>
      <c r="BK12" s="167"/>
      <c r="BL12" s="172">
        <v>8</v>
      </c>
      <c r="BM12" s="172">
        <f t="shared" si="13"/>
        <v>7.0572711432894287E-5</v>
      </c>
      <c r="BN12" s="172">
        <f t="shared" si="13"/>
        <v>7.9036870555927632E-5</v>
      </c>
      <c r="BO12" s="172">
        <f t="shared" si="13"/>
        <v>4.4258090559652092E-5</v>
      </c>
      <c r="BP12" s="172">
        <f t="shared" si="13"/>
        <v>1.6522065935461554E-5</v>
      </c>
      <c r="BQ12" s="172">
        <f t="shared" si="13"/>
        <v>4.6259112061298572E-6</v>
      </c>
      <c r="BR12" s="172">
        <f t="shared" si="13"/>
        <v>1.0361442483324627E-6</v>
      </c>
      <c r="BS12" s="172">
        <f t="shared" si="13"/>
        <v>1.9340241945734719E-7</v>
      </c>
      <c r="BT12" s="172">
        <f t="shared" si="13"/>
        <v>3.0942599446101763E-8</v>
      </c>
      <c r="BU12" s="172">
        <f t="shared" si="13"/>
        <v>4.3317136635222723E-9</v>
      </c>
    </row>
    <row r="13" spans="1:73" ht="15.95" customHeight="1">
      <c r="A13" s="113" t="str">
        <v>Cabo Verde</v>
      </c>
      <c r="B13" s="112">
        <f>IF(COUNTIFS(_xlfn.ANCHORARRAY(DATA_CLEANED!$AF$3),CALCULES!B$2,_xlfn.ANCHORARRAY(DATA_CLEANED!$AK$3),CALCULES!$A13)+COUNTIFS(_xlfn.ANCHORARRAY(DATA_CLEANED!$AF$3),CALCULES!B$2,_xlfn.ANCHORARRAY(DATA_CLEANED!$AN$3),CALCULES!$A13)&gt;0,1,0)</f>
        <v>0</v>
      </c>
      <c r="C13" s="112">
        <f>IF(COUNTIFS(_xlfn.ANCHORARRAY(DATA_CLEANED!$AF$3),CALCULES!C$2,_xlfn.ANCHORARRAY(DATA_CLEANED!$AK$3),CALCULES!$A13)+COUNTIFS(_xlfn.ANCHORARRAY(DATA_CLEANED!$AF$3),CALCULES!C$2,_xlfn.ANCHORARRAY(DATA_CLEANED!$AN$3),CALCULES!$A13)&gt;0,1,0)</f>
        <v>0</v>
      </c>
      <c r="D13" s="112">
        <f>IF(COUNTIFS(_xlfn.ANCHORARRAY(DATA_CLEANED!$AF$3),CALCULES!D$2,_xlfn.ANCHORARRAY(DATA_CLEANED!$AK$3),CALCULES!$A13)+COUNTIFS(_xlfn.ANCHORARRAY(DATA_CLEANED!$AF$3),CALCULES!D$2,_xlfn.ANCHORARRAY(DATA_CLEANED!$AN$3),CALCULES!$A13)&gt;0,1,0)</f>
        <v>0</v>
      </c>
      <c r="E13" s="112">
        <f>IF(COUNTIFS(_xlfn.ANCHORARRAY(DATA_CLEANED!$AF$3),CALCULES!E$2,_xlfn.ANCHORARRAY(DATA_CLEANED!$AK$3),CALCULES!$A13)+COUNTIFS(_xlfn.ANCHORARRAY(DATA_CLEANED!$AF$3),CALCULES!E$2,_xlfn.ANCHORARRAY(DATA_CLEANED!$AN$3),CALCULES!$A13)&gt;0,1,0)</f>
        <v>0</v>
      </c>
      <c r="F13" s="112">
        <f>IF(COUNTIFS(_xlfn.ANCHORARRAY(DATA_CLEANED!$AF$3),CALCULES!F$2,_xlfn.ANCHORARRAY(DATA_CLEANED!$AK$3),CALCULES!$A13)+COUNTIFS(_xlfn.ANCHORARRAY(DATA_CLEANED!$AF$3),CALCULES!F$2,_xlfn.ANCHORARRAY(DATA_CLEANED!$AN$3),CALCULES!$A13)&gt;0,1,0)</f>
        <v>0</v>
      </c>
      <c r="G13" s="112">
        <f>IF(COUNTIFS(_xlfn.ANCHORARRAY(DATA_CLEANED!$AF$3),CALCULES!G$2,_xlfn.ANCHORARRAY(DATA_CLEANED!$AK$3),CALCULES!$A13)+COUNTIFS(_xlfn.ANCHORARRAY(DATA_CLEANED!$AF$3),CALCULES!G$2,_xlfn.ANCHORARRAY(DATA_CLEANED!$AN$3),CALCULES!$A13)&gt;0,1,0)</f>
        <v>0</v>
      </c>
      <c r="H13" s="112">
        <f>IF(COUNTIFS(_xlfn.ANCHORARRAY(DATA_CLEANED!$AF$3),CALCULES!H$2,_xlfn.ANCHORARRAY(DATA_CLEANED!$AK$3),CALCULES!$A13)+COUNTIFS(_xlfn.ANCHORARRAY(DATA_CLEANED!$AF$3),CALCULES!H$2,_xlfn.ANCHORARRAY(DATA_CLEANED!$AN$3),CALCULES!$A13)&gt;0,1,0)</f>
        <v>0</v>
      </c>
      <c r="I13" s="112">
        <f>IF(COUNTIFS(_xlfn.ANCHORARRAY(DATA_CLEANED!$AF$3),CALCULES!I$2,_xlfn.ANCHORARRAY(DATA_CLEANED!$AK$3),CALCULES!$A13)+COUNTIFS(_xlfn.ANCHORARRAY(DATA_CLEANED!$AF$3),CALCULES!I$2,_xlfn.ANCHORARRAY(DATA_CLEANED!$AN$3),CALCULES!$A13)&gt;0,1,0)</f>
        <v>0</v>
      </c>
      <c r="J13" s="112">
        <f>IF(COUNTIFS(_xlfn.ANCHORARRAY(DATA_CLEANED!$AF$3),CALCULES!J$2,_xlfn.ANCHORARRAY(DATA_CLEANED!$AK$3),CALCULES!$A13)+COUNTIFS(_xlfn.ANCHORARRAY(DATA_CLEANED!$AF$3),CALCULES!J$2,_xlfn.ANCHORARRAY(DATA_CLEANED!$AN$3),CALCULES!$A13)&gt;0,1,0)</f>
        <v>0</v>
      </c>
      <c r="K13" s="112">
        <f>IF(COUNTIFS(_xlfn.ANCHORARRAY(DATA_CLEANED!$AF$3),CALCULES!K$2,_xlfn.ANCHORARRAY(DATA_CLEANED!$AK$3),CALCULES!$A13)+COUNTIFS(_xlfn.ANCHORARRAY(DATA_CLEANED!$AF$3),CALCULES!K$2,_xlfn.ANCHORARRAY(DATA_CLEANED!$AN$3),CALCULES!$A13)&gt;0,1,0)</f>
        <v>0</v>
      </c>
      <c r="L13" s="112">
        <f>IF(COUNTIFS(_xlfn.ANCHORARRAY(DATA_CLEANED!$AF$3),CALCULES!L$2,_xlfn.ANCHORARRAY(DATA_CLEANED!$AK$3),CALCULES!$A13)+COUNTIFS(_xlfn.ANCHORARRAY(DATA_CLEANED!$AF$3),CALCULES!L$2,_xlfn.ANCHORARRAY(DATA_CLEANED!$AN$3),CALCULES!$A13)&gt;0,1,0)</f>
        <v>0</v>
      </c>
      <c r="M13" s="112">
        <f>IF(COUNTIFS(_xlfn.ANCHORARRAY(DATA_CLEANED!$AF$3),CALCULES!M$2,_xlfn.ANCHORARRAY(DATA_CLEANED!$AK$3),CALCULES!$A13)+COUNTIFS(_xlfn.ANCHORARRAY(DATA_CLEANED!$AF$3),CALCULES!M$2,_xlfn.ANCHORARRAY(DATA_CLEANED!$AN$3),CALCULES!$A13)&gt;0,1,0)</f>
        <v>0</v>
      </c>
      <c r="N13" s="112">
        <f>IF(COUNTIFS(_xlfn.ANCHORARRAY(DATA_CLEANED!$AF$3),CALCULES!N$2,_xlfn.ANCHORARRAY(DATA_CLEANED!$AK$3),CALCULES!$A13)+COUNTIFS(_xlfn.ANCHORARRAY(DATA_CLEANED!$AF$3),CALCULES!N$2,_xlfn.ANCHORARRAY(DATA_CLEANED!$AN$3),CALCULES!$A13)&gt;0,1,0)</f>
        <v>0</v>
      </c>
      <c r="O13" s="112">
        <f>IF(COUNTIFS(_xlfn.ANCHORARRAY(DATA_CLEANED!$AF$3),CALCULES!O$2,_xlfn.ANCHORARRAY(DATA_CLEANED!$AK$3),CALCULES!$A13)+COUNTIFS(_xlfn.ANCHORARRAY(DATA_CLEANED!$AF$3),CALCULES!O$2,_xlfn.ANCHORARRAY(DATA_CLEANED!$AN$3),CALCULES!$A13)&gt;0,1,0)</f>
        <v>0</v>
      </c>
      <c r="P13" s="112">
        <f>IF(COUNTIFS(_xlfn.ANCHORARRAY(DATA_CLEANED!$AF$3),CALCULES!P$2,_xlfn.ANCHORARRAY(DATA_CLEANED!$AK$3),CALCULES!$A13)+COUNTIFS(_xlfn.ANCHORARRAY(DATA_CLEANED!$AF$3),CALCULES!P$2,_xlfn.ANCHORARRAY(DATA_CLEANED!$AN$3),CALCULES!$A13)&gt;0,1,0)</f>
        <v>0</v>
      </c>
      <c r="Q13" s="112">
        <f>IF(COUNTIFS(_xlfn.ANCHORARRAY(DATA_CLEANED!$AF$3),CALCULES!Q$2,_xlfn.ANCHORARRAY(DATA_CLEANED!$AK$3),CALCULES!$A13)+COUNTIFS(_xlfn.ANCHORARRAY(DATA_CLEANED!$AF$3),CALCULES!Q$2,_xlfn.ANCHORARRAY(DATA_CLEANED!$AN$3),CALCULES!$A13)&gt;0,1,0)</f>
        <v>0</v>
      </c>
      <c r="R13" s="112">
        <f>IF(COUNTIFS(_xlfn.ANCHORARRAY(DATA_CLEANED!$AF$3),CALCULES!R$2,_xlfn.ANCHORARRAY(DATA_CLEANED!$AK$3),CALCULES!$A13)+COUNTIFS(_xlfn.ANCHORARRAY(DATA_CLEANED!$AF$3),CALCULES!R$2,_xlfn.ANCHORARRAY(DATA_CLEANED!$AN$3),CALCULES!$A13)&gt;0,1,0)</f>
        <v>0</v>
      </c>
      <c r="S13" s="112">
        <f>IF(COUNTIFS(_xlfn.ANCHORARRAY(DATA_CLEANED!$AF$3),CALCULES!S$2,_xlfn.ANCHORARRAY(DATA_CLEANED!$AK$3),CALCULES!$A13)+COUNTIFS(_xlfn.ANCHORARRAY(DATA_CLEANED!$AF$3),CALCULES!S$2,_xlfn.ANCHORARRAY(DATA_CLEANED!$AN$3),CALCULES!$A13)&gt;0,1,0)</f>
        <v>0</v>
      </c>
      <c r="T13" s="112">
        <f>IF(COUNTIFS(_xlfn.ANCHORARRAY(DATA_CLEANED!$AF$3),CALCULES!T$2,_xlfn.ANCHORARRAY(DATA_CLEANED!$AK$3),CALCULES!$A13)+COUNTIFS(_xlfn.ANCHORARRAY(DATA_CLEANED!$AF$3),CALCULES!T$2,_xlfn.ANCHORARRAY(DATA_CLEANED!$AN$3),CALCULES!$A13)&gt;0,1,0)</f>
        <v>0</v>
      </c>
      <c r="U13" s="112">
        <f>IF(COUNTIFS(_xlfn.ANCHORARRAY(DATA_CLEANED!$AF$3),CALCULES!U$2,_xlfn.ANCHORARRAY(DATA_CLEANED!$AK$3),CALCULES!$A13)+COUNTIFS(_xlfn.ANCHORARRAY(DATA_CLEANED!$AF$3),CALCULES!U$2,_xlfn.ANCHORARRAY(DATA_CLEANED!$AN$3),CALCULES!$A13)&gt;0,1,0)</f>
        <v>0</v>
      </c>
      <c r="V13" s="112">
        <f>IF(COUNTIFS(_xlfn.ANCHORARRAY(DATA_CLEANED!$AF$3),CALCULES!V$2,_xlfn.ANCHORARRAY(DATA_CLEANED!$AK$3),CALCULES!$A13)+COUNTIFS(_xlfn.ANCHORARRAY(DATA_CLEANED!$AF$3),CALCULES!V$2,_xlfn.ANCHORARRAY(DATA_CLEANED!$AN$3),CALCULES!$A13)&gt;0,1,0)</f>
        <v>0</v>
      </c>
      <c r="W13" s="112">
        <f>IF(COUNTIFS(_xlfn.ANCHORARRAY(DATA_CLEANED!$AF$3),CALCULES!W$2,_xlfn.ANCHORARRAY(DATA_CLEANED!$AK$3),CALCULES!$A13)+COUNTIFS(_xlfn.ANCHORARRAY(DATA_CLEANED!$AF$3),CALCULES!W$2,_xlfn.ANCHORARRAY(DATA_CLEANED!$AN$3),CALCULES!$A13)&gt;0,1,0)</f>
        <v>0</v>
      </c>
      <c r="X13" s="112">
        <f>IF(COUNTIFS(_xlfn.ANCHORARRAY(DATA_CLEANED!$AF$3),CALCULES!X$2,_xlfn.ANCHORARRAY(DATA_CLEANED!$AK$3),CALCULES!$A13)+COUNTIFS(_xlfn.ANCHORARRAY(DATA_CLEANED!$AF$3),CALCULES!X$2,_xlfn.ANCHORARRAY(DATA_CLEANED!$AN$3),CALCULES!$A13)&gt;0,1,0)</f>
        <v>1</v>
      </c>
      <c r="Y13" s="113">
        <f t="shared" si="0"/>
        <v>1</v>
      </c>
      <c r="AA13" s="112">
        <f>COUNTIF(_xlfn.ANCHORARRAY(DATA_CLEANED!$AK$3),$A13)+COUNTIF(DATA_CLEANED!$AN$2:$AN$1060,$A13)</f>
        <v>4</v>
      </c>
      <c r="AB13" s="112">
        <f>COUNTIF(DATA_QUALITE!BG$12:BG$1069,A13)</f>
        <v>0</v>
      </c>
      <c r="AC13" s="112">
        <f t="shared" si="7"/>
        <v>4</v>
      </c>
      <c r="AD13" s="112" cm="1">
        <f t="array" ref="AD13">SUMPRODUCT((DATA_CLEANED!AL$3:AL$1060=DATA_CLEANED!AM$3:AM$1060)*(_xlfn.ANCHORARRAY(DATA_CLEANED!AK$3)=CALCULES!A13)*(DATA_CLEANED!AO$3:AO$1060&lt;&gt;"-"))
+
SUMPRODUCT((DATA_CLEANED!AL$3:AL$1060=DATA_CLEANED!AM$3:AM$1060)*(_xlfn.ANCHORARRAY(DATA_CLEANED!AN$3)=CALCULES!A13)*(DATA_CLEANED!AO$3:AO$1060&lt;&gt;"-"))</f>
        <v>0</v>
      </c>
      <c r="AE13" s="116">
        <f t="shared" si="1"/>
        <v>0</v>
      </c>
      <c r="AF13" s="116">
        <f t="shared" si="2"/>
        <v>1</v>
      </c>
      <c r="AG13" s="112">
        <f>SUMIF(_xlfn.ANCHORARRAY(DATA_CLEANED!AK$3),A13,DATA_CLEANED!AL$2:AL$1060)+SUMIF(_xlfn.ANCHORARRAY(DATA_CLEANED!AN$3),A13,DATA_CLEANED!AM$2:AM$1060)</f>
        <v>7</v>
      </c>
      <c r="AH13" s="112">
        <f>SUMIF(_xlfn.ANCHORARRAY(DATA_CLEANED!AK$3),A13,DATA_CLEANED!AM$2:AM$1060)+SUMIF(_xlfn.ANCHORARRAY(DATA_CLEANED!AN$3),A13,DATA_CLEANED!AL$2:AL$1060)</f>
        <v>6</v>
      </c>
      <c r="AI13" s="112">
        <f t="shared" si="8"/>
        <v>1.5</v>
      </c>
      <c r="AJ13" s="117" cm="1">
        <f t="array" ref="AJ13">_xlfn.LET(_xlpm.home,IFERROR(_xlfn._xlws.FILTER(DATA_CLEANED!AH$3:AH$1060,DATA_CLEANED!AK$3:AK$1060=CALCULES!A13),""),
_xlpm.away,IFERROR(_xlfn._xlws.FILTER(DATA_CLEANED!AH$3:AH$1060,DATA_CLEANED!AN$3:AN$1060=CALCULES!A13),""),
_xlpm.assemb_t,_xlfn._xlws.FILTER(_xlfn.VSTACK(_xlpm.home,_xlpm.away),_xlfn.VSTACK(_xlpm.home,_xlpm.away)&lt;&gt;""),
_xlpm.but_h,IFERROR(_xlfn._xlws.FILTER(_xlfn.ANCHORARRAY(DATA_CLEANED!AM$3),DATA_CLEANED!AK$3:AK$1060=CALCULES!A13),""),
_xlpm.but_a,IFERROR(_xlfn._xlws.FILTER(_xlfn.ANCHORARRAY(DATA_CLEANED!AL$3),DATA_CLEANED!AN$3:AN$1060=CALCULES!A13),""),
_xlpm.assemb_b,_xlfn._xlws.FILTER(_xlfn.VSTACK(_xlpm.but_h,_xlpm.but_a),_xlfn.VSTACK(_xlpm.but_h,_xlpm.but_a)&lt;&gt;""),
MEDIAN(_xlpm.assemb_t,_xlpm.assemb_b)
)</f>
        <v>1</v>
      </c>
      <c r="AK13" s="113">
        <f t="shared" si="3"/>
        <v>1</v>
      </c>
      <c r="AL13" s="112" cm="1">
        <f t="array" ref="AL13">IFERROR(MEDIAN(_xlfn._xlws.FILTER(_xlfn.VSTACK(
DATA_CLEANED!AL$3:AL$1060-DATA_CLEANED!AM$3:AM$1060,
DATA_CLEANED!AM$3:AM$1060-DATA_CLEANED!AL$3:AL$1060
),_xlfn.VSTACK(DATA_CLEANED!AK$3:AK$1060,DATA_CLEANED!AN$3:AN$1060)=A13)),"-")</f>
        <v>0</v>
      </c>
      <c r="AM13" s="112">
        <f t="shared" si="9"/>
        <v>1.75</v>
      </c>
      <c r="AN13" s="112" cm="1">
        <f t="array" ref="AN13">_xlfn.LET(_xlpm.home,IFERROR(_xlfn._xlws.FILTER(DATA_CLEANED!AH$3:AH$1060,DATA_CLEANED!AK$3:AK$1060=CALCULES!A13),""),
_xlpm.away,IFERROR(_xlfn._xlws.FILTER(DATA_CLEANED!AH$3:AH$1060,DATA_CLEANED!AN$3:AN$1060=CALCULES!A13),""),
_xlpm.assemb_t,_xlfn._xlws.FILTER(_xlfn.VSTACK(_xlpm.home,_xlpm.away),_xlfn.VSTACK(_xlpm.home,_xlpm.away)&lt;&gt;""),
_xlpm.but_h,IFERROR(_xlfn._xlws.FILTER(_xlfn.ANCHORARRAY(DATA_CLEANED!AL$3),DATA_CLEANED!AK$3:AK$1060=CALCULES!A13),""),
_xlpm.but_a,IFERROR(_xlfn._xlws.FILTER(_xlfn.ANCHORARRAY(DATA_CLEANED!AM$3),DATA_CLEANED!AN$3:AN$1060=CALCULES!A13),""),
_xlpm.assemb_b,_xlfn._xlws.FILTER(_xlfn.VSTACK(_xlpm.but_h,_xlpm.but_a),_xlfn.VSTACK(_xlpm.but_h,_xlpm.but_a)&lt;&gt;""),
MEDIAN(_xlpm.assemb_t,_xlpm.assemb_b)
)</f>
        <v>1</v>
      </c>
      <c r="AO13" s="116">
        <f>ROUND(IFERROR((COUNTIFS(DATA_CLEANED!AK$3:AK$1060,A13,DATA_CLEANED!AM$3:AM$1060,0)
+
COUNTIFS(DATA_CLEANED!AN$3:AN$1060,A13,DATA_CLEANED!AL$3:AL$1060,0)
)/AA13,0),2)</f>
        <v>0.5</v>
      </c>
      <c r="AP13" s="112">
        <f>MAX((_xlfn.MAXIFS(_xlfn.ANCHORARRAY(DATA_CLEANED!AL$3),_xlfn.ANCHORARRAY(DATA_CLEANED!AK$3),A13)),(_xlfn.MAXIFS(DATA_CLEANED!AM$3:AM$1060,_xlfn.ANCHORARRAY(DATA_CLEANED!AN$3),A13)))</f>
        <v>2</v>
      </c>
      <c r="AQ13" s="112">
        <f>COUNTIF(_xlfn.ANCHORARRAY(DATA_CLEANED!K$3),A13)</f>
        <v>0</v>
      </c>
      <c r="AR13" s="113" t="str" cm="1">
        <f t="array" ref="AR13">_xlfn.LET(
_xlpm.home,IFERROR(_xlfn._xlws.FILTER(DATA_CLEANED!AH$3:AH$1060,DATA_CLEANED!AK$3:AK$1060=CALCULES!A13),""),
_xlpm.away,IFERROR(_xlfn._xlws.FILTER(DATA_CLEANED!AH$3:AH$1060,DATA_CLEANED!AN$3:AN$1060=CALCULES!A13),""),
_xlpm.etapes,_xlfn._xlws.FILTER(_xlfn.VSTACK(_xlpm.home,_xlpm.away),_xlfn.VSTACK(_xlpm.home,_xlpm.away)&lt;&gt;""),
_xlpm.numeros,_xlfn.XLOOKUP(_xlpm.etapes,DATA_QUALITE!AT$12:AT$38,DATA_QUALITE!AU$12:AU$38),
_xlfn.XLOOKUP(MIN(_xlpm.numeros),DATA_QUALITE!AU$12:AU$38,DATA_QUALITE!AT$12:AT$38)
)</f>
        <v>ROUND_OF_32</v>
      </c>
      <c r="AS13" s="112">
        <f t="shared" si="4"/>
        <v>1</v>
      </c>
      <c r="AT13" s="112">
        <f t="shared" si="5"/>
        <v>0</v>
      </c>
      <c r="AU13" s="112">
        <f>COUNTIFS(DATA_QUALITE!BG$12:BG$1069,"MATCH NUL",_xlfn.ANCHORARRAY(DATA_CLEANED!AK$3),CALCULES!A13)+COUNTIFS(DATA_QUALITE!BG$12:BG$1069,"MATCH NUL",_xlfn.ANCHORARRAY(DATA_CLEANED!AN$3),CALCULES!A13)</f>
        <v>3</v>
      </c>
      <c r="AV13" s="112">
        <v>7</v>
      </c>
      <c r="AW13" s="112">
        <f>COUNTIFS(_xlfn.ANCHORARRAY(DATA_CLEANED!AH$3),"QUARTER_FINALS",_xlfn.ANCHORARRAY(DATA_CLEANED!AK$3),CALCULES!A13)+COUNTIFS(_xlfn.ANCHORARRAY(DATA_CLEANED!AH$3),"QUARTER_FINALS",_xlfn.ANCHORARRAY(DATA_CLEANED!AN$3),CALCULES!A13)</f>
        <v>0</v>
      </c>
      <c r="AX13" s="112">
        <f>COUNTIFS(_xlfn.ANCHORARRAY(DATA_CLEANED!AH$3),"SEMI_FINALS",_xlfn.ANCHORARRAY(DATA_CLEANED!AK$3),CALCULES!A13)+COUNTIFS(_xlfn.ANCHORARRAY(DATA_CLEANED!AH$3),"SEMI_FINALS",_xlfn.ANCHORARRAY(DATA_CLEANED!AN$3),CALCULES!A13)</f>
        <v>0</v>
      </c>
      <c r="AY13" s="112">
        <f>COUNTIFS(_xlfn.ANCHORARRAY(DATA_CLEANED!AH$3),"FINAL",_xlfn.ANCHORARRAY(DATA_CLEANED!AK$3),CALCULES!A13)+COUNTIFS(_xlfn.ANCHORARRAY(DATA_CLEANED!AH$3),"FINAL",_xlfn.ANCHORARRAY(DATA_CLEANED!AN$3),CALCULES!A13)</f>
        <v>0</v>
      </c>
      <c r="AZ13" s="112">
        <f>COUNTIFS(DATA_QUALITE!BG$12:BG$1069,CALCULES!A13,DATA_QUALITE!AW$12:AW$1069,"FINAL")</f>
        <v>0</v>
      </c>
      <c r="BA13" s="113">
        <f t="shared" si="6"/>
        <v>27.33</v>
      </c>
      <c r="BB13" s="118">
        <f t="shared" si="10"/>
        <v>0</v>
      </c>
      <c r="BC13" s="118">
        <f t="shared" si="11"/>
        <v>0</v>
      </c>
      <c r="BD13" s="139">
        <f t="shared" si="12"/>
        <v>0</v>
      </c>
      <c r="BF13" s="178" t="s">
        <v>3894</v>
      </c>
      <c r="BG13" s="178">
        <f>BG8*BG11+$BG$4*(1-BG11)</f>
        <v>1.58</v>
      </c>
      <c r="BH13" s="167"/>
      <c r="BI13" s="178" t="s">
        <v>3895</v>
      </c>
      <c r="BJ13" s="178">
        <f>BJ8*BJ11+$BG$4*(1-BJ11)</f>
        <v>1.4025954631379962</v>
      </c>
      <c r="BK13" s="167"/>
      <c r="BL13" s="167"/>
      <c r="BM13" s="167"/>
      <c r="BN13" s="167"/>
      <c r="BO13" s="167"/>
      <c r="BP13" s="167"/>
      <c r="BQ13" s="167"/>
      <c r="BR13" s="167"/>
      <c r="BS13" s="167"/>
    </row>
    <row r="14" spans="1:73" ht="15.95" customHeight="1">
      <c r="A14" s="113" t="str">
        <v>Cameroon</v>
      </c>
      <c r="B14" s="112">
        <f>IF(COUNTIFS(_xlfn.ANCHORARRAY(DATA_CLEANED!$AF$3),CALCULES!B$2,_xlfn.ANCHORARRAY(DATA_CLEANED!$AK$3),CALCULES!$A14)+COUNTIFS(_xlfn.ANCHORARRAY(DATA_CLEANED!$AF$3),CALCULES!B$2,_xlfn.ANCHORARRAY(DATA_CLEANED!$AN$3),CALCULES!$A14)&gt;0,1,0)</f>
        <v>0</v>
      </c>
      <c r="C14" s="112">
        <f>IF(COUNTIFS(_xlfn.ANCHORARRAY(DATA_CLEANED!$AF$3),CALCULES!C$2,_xlfn.ANCHORARRAY(DATA_CLEANED!$AK$3),CALCULES!$A14)+COUNTIFS(_xlfn.ANCHORARRAY(DATA_CLEANED!$AF$3),CALCULES!C$2,_xlfn.ANCHORARRAY(DATA_CLEANED!$AN$3),CALCULES!$A14)&gt;0,1,0)</f>
        <v>0</v>
      </c>
      <c r="D14" s="112">
        <f>IF(COUNTIFS(_xlfn.ANCHORARRAY(DATA_CLEANED!$AF$3),CALCULES!D$2,_xlfn.ANCHORARRAY(DATA_CLEANED!$AK$3),CALCULES!$A14)+COUNTIFS(_xlfn.ANCHORARRAY(DATA_CLEANED!$AF$3),CALCULES!D$2,_xlfn.ANCHORARRAY(DATA_CLEANED!$AN$3),CALCULES!$A14)&gt;0,1,0)</f>
        <v>0</v>
      </c>
      <c r="E14" s="112">
        <f>IF(COUNTIFS(_xlfn.ANCHORARRAY(DATA_CLEANED!$AF$3),CALCULES!E$2,_xlfn.ANCHORARRAY(DATA_CLEANED!$AK$3),CALCULES!$A14)+COUNTIFS(_xlfn.ANCHORARRAY(DATA_CLEANED!$AF$3),CALCULES!E$2,_xlfn.ANCHORARRAY(DATA_CLEANED!$AN$3),CALCULES!$A14)&gt;0,1,0)</f>
        <v>0</v>
      </c>
      <c r="F14" s="112">
        <f>IF(COUNTIFS(_xlfn.ANCHORARRAY(DATA_CLEANED!$AF$3),CALCULES!F$2,_xlfn.ANCHORARRAY(DATA_CLEANED!$AK$3),CALCULES!$A14)+COUNTIFS(_xlfn.ANCHORARRAY(DATA_CLEANED!$AF$3),CALCULES!F$2,_xlfn.ANCHORARRAY(DATA_CLEANED!$AN$3),CALCULES!$A14)&gt;0,1,0)</f>
        <v>0</v>
      </c>
      <c r="G14" s="112">
        <f>IF(COUNTIFS(_xlfn.ANCHORARRAY(DATA_CLEANED!$AF$3),CALCULES!G$2,_xlfn.ANCHORARRAY(DATA_CLEANED!$AK$3),CALCULES!$A14)+COUNTIFS(_xlfn.ANCHORARRAY(DATA_CLEANED!$AF$3),CALCULES!G$2,_xlfn.ANCHORARRAY(DATA_CLEANED!$AN$3),CALCULES!$A14)&gt;0,1,0)</f>
        <v>0</v>
      </c>
      <c r="H14" s="112">
        <f>IF(COUNTIFS(_xlfn.ANCHORARRAY(DATA_CLEANED!$AF$3),CALCULES!H$2,_xlfn.ANCHORARRAY(DATA_CLEANED!$AK$3),CALCULES!$A14)+COUNTIFS(_xlfn.ANCHORARRAY(DATA_CLEANED!$AF$3),CALCULES!H$2,_xlfn.ANCHORARRAY(DATA_CLEANED!$AN$3),CALCULES!$A14)&gt;0,1,0)</f>
        <v>0</v>
      </c>
      <c r="I14" s="112">
        <f>IF(COUNTIFS(_xlfn.ANCHORARRAY(DATA_CLEANED!$AF$3),CALCULES!I$2,_xlfn.ANCHORARRAY(DATA_CLEANED!$AK$3),CALCULES!$A14)+COUNTIFS(_xlfn.ANCHORARRAY(DATA_CLEANED!$AF$3),CALCULES!I$2,_xlfn.ANCHORARRAY(DATA_CLEANED!$AN$3),CALCULES!$A14)&gt;0,1,0)</f>
        <v>0</v>
      </c>
      <c r="J14" s="112">
        <f>IF(COUNTIFS(_xlfn.ANCHORARRAY(DATA_CLEANED!$AF$3),CALCULES!J$2,_xlfn.ANCHORARRAY(DATA_CLEANED!$AK$3),CALCULES!$A14)+COUNTIFS(_xlfn.ANCHORARRAY(DATA_CLEANED!$AF$3),CALCULES!J$2,_xlfn.ANCHORARRAY(DATA_CLEANED!$AN$3),CALCULES!$A14)&gt;0,1,0)</f>
        <v>0</v>
      </c>
      <c r="K14" s="112">
        <f>IF(COUNTIFS(_xlfn.ANCHORARRAY(DATA_CLEANED!$AF$3),CALCULES!K$2,_xlfn.ANCHORARRAY(DATA_CLEANED!$AK$3),CALCULES!$A14)+COUNTIFS(_xlfn.ANCHORARRAY(DATA_CLEANED!$AF$3),CALCULES!K$2,_xlfn.ANCHORARRAY(DATA_CLEANED!$AN$3),CALCULES!$A14)&gt;0,1,0)</f>
        <v>0</v>
      </c>
      <c r="L14" s="112">
        <f>IF(COUNTIFS(_xlfn.ANCHORARRAY(DATA_CLEANED!$AF$3),CALCULES!L$2,_xlfn.ANCHORARRAY(DATA_CLEANED!$AK$3),CALCULES!$A14)+COUNTIFS(_xlfn.ANCHORARRAY(DATA_CLEANED!$AF$3),CALCULES!L$2,_xlfn.ANCHORARRAY(DATA_CLEANED!$AN$3),CALCULES!$A14)&gt;0,1,0)</f>
        <v>0</v>
      </c>
      <c r="M14" s="112">
        <f>IF(COUNTIFS(_xlfn.ANCHORARRAY(DATA_CLEANED!$AF$3),CALCULES!M$2,_xlfn.ANCHORARRAY(DATA_CLEANED!$AK$3),CALCULES!$A14)+COUNTIFS(_xlfn.ANCHORARRAY(DATA_CLEANED!$AF$3),CALCULES!M$2,_xlfn.ANCHORARRAY(DATA_CLEANED!$AN$3),CALCULES!$A14)&gt;0,1,0)</f>
        <v>1</v>
      </c>
      <c r="N14" s="112">
        <f>IF(COUNTIFS(_xlfn.ANCHORARRAY(DATA_CLEANED!$AF$3),CALCULES!N$2,_xlfn.ANCHORARRAY(DATA_CLEANED!$AK$3),CALCULES!$A14)+COUNTIFS(_xlfn.ANCHORARRAY(DATA_CLEANED!$AF$3),CALCULES!N$2,_xlfn.ANCHORARRAY(DATA_CLEANED!$AN$3),CALCULES!$A14)&gt;0,1,0)</f>
        <v>0</v>
      </c>
      <c r="O14" s="112">
        <f>IF(COUNTIFS(_xlfn.ANCHORARRAY(DATA_CLEANED!$AF$3),CALCULES!O$2,_xlfn.ANCHORARRAY(DATA_CLEANED!$AK$3),CALCULES!$A14)+COUNTIFS(_xlfn.ANCHORARRAY(DATA_CLEANED!$AF$3),CALCULES!O$2,_xlfn.ANCHORARRAY(DATA_CLEANED!$AN$3),CALCULES!$A14)&gt;0,1,0)</f>
        <v>1</v>
      </c>
      <c r="P14" s="112">
        <f>IF(COUNTIFS(_xlfn.ANCHORARRAY(DATA_CLEANED!$AF$3),CALCULES!P$2,_xlfn.ANCHORARRAY(DATA_CLEANED!$AK$3),CALCULES!$A14)+COUNTIFS(_xlfn.ANCHORARRAY(DATA_CLEANED!$AF$3),CALCULES!P$2,_xlfn.ANCHORARRAY(DATA_CLEANED!$AN$3),CALCULES!$A14)&gt;0,1,0)</f>
        <v>1</v>
      </c>
      <c r="Q14" s="112">
        <f>IF(COUNTIFS(_xlfn.ANCHORARRAY(DATA_CLEANED!$AF$3),CALCULES!Q$2,_xlfn.ANCHORARRAY(DATA_CLEANED!$AK$3),CALCULES!$A14)+COUNTIFS(_xlfn.ANCHORARRAY(DATA_CLEANED!$AF$3),CALCULES!Q$2,_xlfn.ANCHORARRAY(DATA_CLEANED!$AN$3),CALCULES!$A14)&gt;0,1,0)</f>
        <v>1</v>
      </c>
      <c r="R14" s="112">
        <f>IF(COUNTIFS(_xlfn.ANCHORARRAY(DATA_CLEANED!$AF$3),CALCULES!R$2,_xlfn.ANCHORARRAY(DATA_CLEANED!$AK$3),CALCULES!$A14)+COUNTIFS(_xlfn.ANCHORARRAY(DATA_CLEANED!$AF$3),CALCULES!R$2,_xlfn.ANCHORARRAY(DATA_CLEANED!$AN$3),CALCULES!$A14)&gt;0,1,0)</f>
        <v>1</v>
      </c>
      <c r="S14" s="112">
        <f>IF(COUNTIFS(_xlfn.ANCHORARRAY(DATA_CLEANED!$AF$3),CALCULES!S$2,_xlfn.ANCHORARRAY(DATA_CLEANED!$AK$3),CALCULES!$A14)+COUNTIFS(_xlfn.ANCHORARRAY(DATA_CLEANED!$AF$3),CALCULES!S$2,_xlfn.ANCHORARRAY(DATA_CLEANED!$AN$3),CALCULES!$A14)&gt;0,1,0)</f>
        <v>0</v>
      </c>
      <c r="T14" s="112">
        <f>IF(COUNTIFS(_xlfn.ANCHORARRAY(DATA_CLEANED!$AF$3),CALCULES!T$2,_xlfn.ANCHORARRAY(DATA_CLEANED!$AK$3),CALCULES!$A14)+COUNTIFS(_xlfn.ANCHORARRAY(DATA_CLEANED!$AF$3),CALCULES!T$2,_xlfn.ANCHORARRAY(DATA_CLEANED!$AN$3),CALCULES!$A14)&gt;0,1,0)</f>
        <v>1</v>
      </c>
      <c r="U14" s="112">
        <f>IF(COUNTIFS(_xlfn.ANCHORARRAY(DATA_CLEANED!$AF$3),CALCULES!U$2,_xlfn.ANCHORARRAY(DATA_CLEANED!$AK$3),CALCULES!$A14)+COUNTIFS(_xlfn.ANCHORARRAY(DATA_CLEANED!$AF$3),CALCULES!U$2,_xlfn.ANCHORARRAY(DATA_CLEANED!$AN$3),CALCULES!$A14)&gt;0,1,0)</f>
        <v>1</v>
      </c>
      <c r="V14" s="112">
        <f>IF(COUNTIFS(_xlfn.ANCHORARRAY(DATA_CLEANED!$AF$3),CALCULES!V$2,_xlfn.ANCHORARRAY(DATA_CLEANED!$AK$3),CALCULES!$A14)+COUNTIFS(_xlfn.ANCHORARRAY(DATA_CLEANED!$AF$3),CALCULES!V$2,_xlfn.ANCHORARRAY(DATA_CLEANED!$AN$3),CALCULES!$A14)&gt;0,1,0)</f>
        <v>0</v>
      </c>
      <c r="W14" s="112">
        <f>IF(COUNTIFS(_xlfn.ANCHORARRAY(DATA_CLEANED!$AF$3),CALCULES!W$2,_xlfn.ANCHORARRAY(DATA_CLEANED!$AK$3),CALCULES!$A14)+COUNTIFS(_xlfn.ANCHORARRAY(DATA_CLEANED!$AF$3),CALCULES!W$2,_xlfn.ANCHORARRAY(DATA_CLEANED!$AN$3),CALCULES!$A14)&gt;0,1,0)</f>
        <v>1</v>
      </c>
      <c r="X14" s="112">
        <f>IF(COUNTIFS(_xlfn.ANCHORARRAY(DATA_CLEANED!$AF$3),CALCULES!X$2,_xlfn.ANCHORARRAY(DATA_CLEANED!$AK$3),CALCULES!$A14)+COUNTIFS(_xlfn.ANCHORARRAY(DATA_CLEANED!$AF$3),CALCULES!X$2,_xlfn.ANCHORARRAY(DATA_CLEANED!$AN$3),CALCULES!$A14)&gt;0,1,0)</f>
        <v>0</v>
      </c>
      <c r="Y14" s="113">
        <f t="shared" si="0"/>
        <v>8</v>
      </c>
      <c r="AA14" s="112">
        <f>COUNTIF(_xlfn.ANCHORARRAY(DATA_CLEANED!$AK$3),$A14)+COUNTIF(DATA_CLEANED!$AN$2:$AN$1060,$A14)</f>
        <v>26</v>
      </c>
      <c r="AB14" s="112">
        <f>COUNTIF(DATA_QUALITE!BG$12:BG$1069,A14)</f>
        <v>5</v>
      </c>
      <c r="AC14" s="112">
        <f t="shared" si="7"/>
        <v>21</v>
      </c>
      <c r="AD14" s="112" cm="1">
        <f t="array" ref="AD14">SUMPRODUCT((DATA_CLEANED!AL$3:AL$1060=DATA_CLEANED!AM$3:AM$1060)*(_xlfn.ANCHORARRAY(DATA_CLEANED!AK$3)=CALCULES!A14)*(DATA_CLEANED!AO$3:AO$1060&lt;&gt;"-"))
+
SUMPRODUCT((DATA_CLEANED!AL$3:AL$1060=DATA_CLEANED!AM$3:AM$1060)*(_xlfn.ANCHORARRAY(DATA_CLEANED!AN$3)=CALCULES!A14)*(DATA_CLEANED!AO$3:AO$1060&lt;&gt;"-"))</f>
        <v>0</v>
      </c>
      <c r="AE14" s="116">
        <f t="shared" si="1"/>
        <v>0.19230769230769232</v>
      </c>
      <c r="AF14" s="116">
        <f t="shared" si="2"/>
        <v>0.80769230769230771</v>
      </c>
      <c r="AG14" s="112">
        <f>SUMIF(_xlfn.ANCHORARRAY(DATA_CLEANED!AK$3),A14,DATA_CLEANED!AL$2:AL$1060)+SUMIF(_xlfn.ANCHORARRAY(DATA_CLEANED!AN$3),A14,DATA_CLEANED!AM$2:AM$1060)</f>
        <v>28</v>
      </c>
      <c r="AH14" s="112">
        <f>SUMIF(_xlfn.ANCHORARRAY(DATA_CLEANED!AK$3),A14,DATA_CLEANED!AM$2:AM$1060)+SUMIF(_xlfn.ANCHORARRAY(DATA_CLEANED!AN$3),A14,DATA_CLEANED!AL$2:AL$1060)</f>
        <v>41</v>
      </c>
      <c r="AI14" s="112">
        <f t="shared" si="8"/>
        <v>1.58</v>
      </c>
      <c r="AJ14" s="117" cm="1">
        <f t="array" ref="AJ14">_xlfn.LET(_xlpm.home,IFERROR(_xlfn._xlws.FILTER(DATA_CLEANED!AH$3:AH$1060,DATA_CLEANED!AK$3:AK$1060=CALCULES!A14),""),
_xlpm.away,IFERROR(_xlfn._xlws.FILTER(DATA_CLEANED!AH$3:AH$1060,DATA_CLEANED!AN$3:AN$1060=CALCULES!A14),""),
_xlpm.assemb_t,_xlfn._xlws.FILTER(_xlfn.VSTACK(_xlpm.home,_xlpm.away),_xlfn.VSTACK(_xlpm.home,_xlpm.away)&lt;&gt;""),
_xlpm.but_h,IFERROR(_xlfn._xlws.FILTER(_xlfn.ANCHORARRAY(DATA_CLEANED!AM$3),DATA_CLEANED!AK$3:AK$1060=CALCULES!A14),""),
_xlpm.but_a,IFERROR(_xlfn._xlws.FILTER(_xlfn.ANCHORARRAY(DATA_CLEANED!AL$3),DATA_CLEANED!AN$3:AN$1060=CALCULES!A14),""),
_xlpm.assemb_b,_xlfn._xlws.FILTER(_xlfn.VSTACK(_xlpm.but_h,_xlpm.but_a),_xlfn.VSTACK(_xlpm.but_h,_xlpm.but_a)&lt;&gt;""),
MEDIAN(_xlpm.assemb_t,_xlpm.assemb_b)
)</f>
        <v>1</v>
      </c>
      <c r="AK14" s="113">
        <f t="shared" si="3"/>
        <v>-13</v>
      </c>
      <c r="AL14" s="112" cm="1">
        <f t="array" ref="AL14">IFERROR(MEDIAN(_xlfn._xlws.FILTER(_xlfn.VSTACK(
DATA_CLEANED!AL$3:AL$1060-DATA_CLEANED!AM$3:AM$1060,
DATA_CLEANED!AM$3:AM$1060-DATA_CLEANED!AL$3:AL$1060
),_xlfn.VSTACK(DATA_CLEANED!AK$3:AK$1060,DATA_CLEANED!AN$3:AN$1060)=A14)),"-")</f>
        <v>-0.5</v>
      </c>
      <c r="AM14" s="112">
        <f t="shared" si="9"/>
        <v>1.08</v>
      </c>
      <c r="AN14" s="112" cm="1">
        <f t="array" ref="AN14">_xlfn.LET(_xlpm.home,IFERROR(_xlfn._xlws.FILTER(DATA_CLEANED!AH$3:AH$1060,DATA_CLEANED!AK$3:AK$1060=CALCULES!A14),""),
_xlpm.away,IFERROR(_xlfn._xlws.FILTER(DATA_CLEANED!AH$3:AH$1060,DATA_CLEANED!AN$3:AN$1060=CALCULES!A14),""),
_xlpm.assemb_t,_xlfn._xlws.FILTER(_xlfn.VSTACK(_xlpm.home,_xlpm.away),_xlfn.VSTACK(_xlpm.home,_xlpm.away)&lt;&gt;""),
_xlpm.but_h,IFERROR(_xlfn._xlws.FILTER(_xlfn.ANCHORARRAY(DATA_CLEANED!AL$3),DATA_CLEANED!AK$3:AK$1060=CALCULES!A14),""),
_xlpm.but_a,IFERROR(_xlfn._xlws.FILTER(_xlfn.ANCHORARRAY(DATA_CLEANED!AM$3),DATA_CLEANED!AN$3:AN$1060=CALCULES!A14),""),
_xlpm.assemb_b,_xlfn._xlws.FILTER(_xlfn.VSTACK(_xlpm.but_h,_xlpm.but_a),_xlfn.VSTACK(_xlpm.but_h,_xlpm.but_a)&lt;&gt;""),
MEDIAN(_xlpm.assemb_t,_xlpm.assemb_b)
)</f>
        <v>1</v>
      </c>
      <c r="AO14" s="116">
        <f>ROUND(IFERROR((COUNTIFS(DATA_CLEANED!AK$3:AK$1060,A14,DATA_CLEANED!AM$3:AM$1060,0)
+
COUNTIFS(DATA_CLEANED!AN$3:AN$1060,A14,DATA_CLEANED!AL$3:AL$1060,0)
)/AA14,0),2)</f>
        <v>0.19</v>
      </c>
      <c r="AP14" s="112">
        <f>MAX((_xlfn.MAXIFS(_xlfn.ANCHORARRAY(DATA_CLEANED!AL$3),_xlfn.ANCHORARRAY(DATA_CLEANED!AK$3),A14)),(_xlfn.MAXIFS(DATA_CLEANED!AM$3:AM$1060,_xlfn.ANCHORARRAY(DATA_CLEANED!AN$3),A14)))</f>
        <v>3</v>
      </c>
      <c r="AQ14" s="112">
        <f>COUNTIF(_xlfn.ANCHORARRAY(DATA_CLEANED!K$3),A14)</f>
        <v>0</v>
      </c>
      <c r="AR14" s="113" t="str" cm="1">
        <f t="array" ref="AR14">_xlfn.LET(
_xlpm.home,IFERROR(_xlfn._xlws.FILTER(DATA_CLEANED!AH$3:AH$1060,DATA_CLEANED!AK$3:AK$1060=CALCULES!A14),""),
_xlpm.away,IFERROR(_xlfn._xlws.FILTER(DATA_CLEANED!AH$3:AH$1060,DATA_CLEANED!AN$3:AN$1060=CALCULES!A14),""),
_xlpm.etapes,_xlfn._xlws.FILTER(_xlfn.VSTACK(_xlpm.home,_xlpm.away),_xlfn.VSTACK(_xlpm.home,_xlpm.away)&lt;&gt;""),
_xlpm.numeros,_xlfn.XLOOKUP(_xlpm.etapes,DATA_QUALITE!AT$12:AT$38,DATA_QUALITE!AU$12:AU$38),
_xlfn.XLOOKUP(MIN(_xlpm.numeros),DATA_QUALITE!AU$12:AU$38,DATA_QUALITE!AT$12:AT$38)
)</f>
        <v>QUARTER_FINALS</v>
      </c>
      <c r="AS14" s="112">
        <f t="shared" si="4"/>
        <v>8</v>
      </c>
      <c r="AT14" s="112">
        <f t="shared" si="5"/>
        <v>5</v>
      </c>
      <c r="AU14" s="112">
        <f>COUNTIFS(DATA_QUALITE!BG$12:BG$1069,"MATCH NUL",_xlfn.ANCHORARRAY(DATA_CLEANED!AK$3),CALCULES!A14)+COUNTIFS(DATA_QUALITE!BG$12:BG$1069,"MATCH NUL",_xlfn.ANCHORARRAY(DATA_CLEANED!AN$3),CALCULES!A14)</f>
        <v>8</v>
      </c>
      <c r="AV14" s="112">
        <v>28</v>
      </c>
      <c r="AW14" s="112">
        <f>COUNTIFS(_xlfn.ANCHORARRAY(DATA_CLEANED!AH$3),"QUARTER_FINALS",_xlfn.ANCHORARRAY(DATA_CLEANED!AK$3),CALCULES!A14)+COUNTIFS(_xlfn.ANCHORARRAY(DATA_CLEANED!AH$3),"QUARTER_FINALS",_xlfn.ANCHORARRAY(DATA_CLEANED!AN$3),CALCULES!A14)</f>
        <v>1</v>
      </c>
      <c r="AX14" s="112">
        <f>COUNTIFS(_xlfn.ANCHORARRAY(DATA_CLEANED!AH$3),"SEMI_FINALS",_xlfn.ANCHORARRAY(DATA_CLEANED!AK$3),CALCULES!A14)+COUNTIFS(_xlfn.ANCHORARRAY(DATA_CLEANED!AH$3),"SEMI_FINALS",_xlfn.ANCHORARRAY(DATA_CLEANED!AN$3),CALCULES!A14)</f>
        <v>0</v>
      </c>
      <c r="AY14" s="112">
        <f>COUNTIFS(_xlfn.ANCHORARRAY(DATA_CLEANED!AH$3),"FINAL",_xlfn.ANCHORARRAY(DATA_CLEANED!AK$3),CALCULES!A14)+COUNTIFS(_xlfn.ANCHORARRAY(DATA_CLEANED!AH$3),"FINAL",_xlfn.ANCHORARRAY(DATA_CLEANED!AN$3),CALCULES!A14)</f>
        <v>0</v>
      </c>
      <c r="AZ14" s="112">
        <f>COUNTIFS(DATA_QUALITE!BG$12:BG$1069,CALCULES!A14,DATA_QUALITE!AW$12:AW$1069,"FINAL")</f>
        <v>0</v>
      </c>
      <c r="BA14" s="113">
        <f t="shared" si="6"/>
        <v>33.06</v>
      </c>
      <c r="BB14" s="118">
        <f t="shared" si="10"/>
        <v>8.75</v>
      </c>
      <c r="BC14" s="118">
        <f t="shared" si="11"/>
        <v>10.42</v>
      </c>
      <c r="BD14" s="139">
        <f t="shared" si="12"/>
        <v>9.59</v>
      </c>
      <c r="BF14" s="176" t="s">
        <v>3897</v>
      </c>
      <c r="BG14" s="176">
        <f>BG9*BG11+$BG$4*(1-BG11)</f>
        <v>1.4363636363636363</v>
      </c>
      <c r="BH14" s="167"/>
      <c r="BI14" s="176" t="s">
        <v>3896</v>
      </c>
      <c r="BJ14" s="176">
        <f>BJ9*BJ11+$BG$4*(1-BJ11)</f>
        <v>1.4530954631379962</v>
      </c>
      <c r="BK14" s="167"/>
      <c r="BL14" s="173" t="s">
        <v>3905</v>
      </c>
      <c r="BM14" s="173" t="s">
        <v>3906</v>
      </c>
      <c r="BN14" s="173" t="s">
        <v>3886</v>
      </c>
      <c r="BO14" s="167"/>
      <c r="BP14" s="167"/>
      <c r="BQ14" s="167"/>
      <c r="BR14" s="167"/>
      <c r="BS14" s="167"/>
    </row>
    <row r="15" spans="1:73" ht="15.95" customHeight="1">
      <c r="A15" s="113" t="str">
        <v>Canada</v>
      </c>
      <c r="B15" s="112">
        <f>IF(COUNTIFS(_xlfn.ANCHORARRAY(DATA_CLEANED!$AF$3),CALCULES!B$2,_xlfn.ANCHORARRAY(DATA_CLEANED!$AK$3),CALCULES!$A15)+COUNTIFS(_xlfn.ANCHORARRAY(DATA_CLEANED!$AF$3),CALCULES!B$2,_xlfn.ANCHORARRAY(DATA_CLEANED!$AN$3),CALCULES!$A15)&gt;0,1,0)</f>
        <v>0</v>
      </c>
      <c r="C15" s="112">
        <f>IF(COUNTIFS(_xlfn.ANCHORARRAY(DATA_CLEANED!$AF$3),CALCULES!C$2,_xlfn.ANCHORARRAY(DATA_CLEANED!$AK$3),CALCULES!$A15)+COUNTIFS(_xlfn.ANCHORARRAY(DATA_CLEANED!$AF$3),CALCULES!C$2,_xlfn.ANCHORARRAY(DATA_CLEANED!$AN$3),CALCULES!$A15)&gt;0,1,0)</f>
        <v>0</v>
      </c>
      <c r="D15" s="112">
        <f>IF(COUNTIFS(_xlfn.ANCHORARRAY(DATA_CLEANED!$AF$3),CALCULES!D$2,_xlfn.ANCHORARRAY(DATA_CLEANED!$AK$3),CALCULES!$A15)+COUNTIFS(_xlfn.ANCHORARRAY(DATA_CLEANED!$AF$3),CALCULES!D$2,_xlfn.ANCHORARRAY(DATA_CLEANED!$AN$3),CALCULES!$A15)&gt;0,1,0)</f>
        <v>0</v>
      </c>
      <c r="E15" s="112">
        <f>IF(COUNTIFS(_xlfn.ANCHORARRAY(DATA_CLEANED!$AF$3),CALCULES!E$2,_xlfn.ANCHORARRAY(DATA_CLEANED!$AK$3),CALCULES!$A15)+COUNTIFS(_xlfn.ANCHORARRAY(DATA_CLEANED!$AF$3),CALCULES!E$2,_xlfn.ANCHORARRAY(DATA_CLEANED!$AN$3),CALCULES!$A15)&gt;0,1,0)</f>
        <v>0</v>
      </c>
      <c r="F15" s="112">
        <f>IF(COUNTIFS(_xlfn.ANCHORARRAY(DATA_CLEANED!$AF$3),CALCULES!F$2,_xlfn.ANCHORARRAY(DATA_CLEANED!$AK$3),CALCULES!$A15)+COUNTIFS(_xlfn.ANCHORARRAY(DATA_CLEANED!$AF$3),CALCULES!F$2,_xlfn.ANCHORARRAY(DATA_CLEANED!$AN$3),CALCULES!$A15)&gt;0,1,0)</f>
        <v>0</v>
      </c>
      <c r="G15" s="112">
        <f>IF(COUNTIFS(_xlfn.ANCHORARRAY(DATA_CLEANED!$AF$3),CALCULES!G$2,_xlfn.ANCHORARRAY(DATA_CLEANED!$AK$3),CALCULES!$A15)+COUNTIFS(_xlfn.ANCHORARRAY(DATA_CLEANED!$AF$3),CALCULES!G$2,_xlfn.ANCHORARRAY(DATA_CLEANED!$AN$3),CALCULES!$A15)&gt;0,1,0)</f>
        <v>0</v>
      </c>
      <c r="H15" s="112">
        <f>IF(COUNTIFS(_xlfn.ANCHORARRAY(DATA_CLEANED!$AF$3),CALCULES!H$2,_xlfn.ANCHORARRAY(DATA_CLEANED!$AK$3),CALCULES!$A15)+COUNTIFS(_xlfn.ANCHORARRAY(DATA_CLEANED!$AF$3),CALCULES!H$2,_xlfn.ANCHORARRAY(DATA_CLEANED!$AN$3),CALCULES!$A15)&gt;0,1,0)</f>
        <v>0</v>
      </c>
      <c r="I15" s="112">
        <f>IF(COUNTIFS(_xlfn.ANCHORARRAY(DATA_CLEANED!$AF$3),CALCULES!I$2,_xlfn.ANCHORARRAY(DATA_CLEANED!$AK$3),CALCULES!$A15)+COUNTIFS(_xlfn.ANCHORARRAY(DATA_CLEANED!$AF$3),CALCULES!I$2,_xlfn.ANCHORARRAY(DATA_CLEANED!$AN$3),CALCULES!$A15)&gt;0,1,0)</f>
        <v>0</v>
      </c>
      <c r="J15" s="112">
        <f>IF(COUNTIFS(_xlfn.ANCHORARRAY(DATA_CLEANED!$AF$3),CALCULES!J$2,_xlfn.ANCHORARRAY(DATA_CLEANED!$AK$3),CALCULES!$A15)+COUNTIFS(_xlfn.ANCHORARRAY(DATA_CLEANED!$AF$3),CALCULES!J$2,_xlfn.ANCHORARRAY(DATA_CLEANED!$AN$3),CALCULES!$A15)&gt;0,1,0)</f>
        <v>0</v>
      </c>
      <c r="K15" s="112">
        <f>IF(COUNTIFS(_xlfn.ANCHORARRAY(DATA_CLEANED!$AF$3),CALCULES!K$2,_xlfn.ANCHORARRAY(DATA_CLEANED!$AK$3),CALCULES!$A15)+COUNTIFS(_xlfn.ANCHORARRAY(DATA_CLEANED!$AF$3),CALCULES!K$2,_xlfn.ANCHORARRAY(DATA_CLEANED!$AN$3),CALCULES!$A15)&gt;0,1,0)</f>
        <v>0</v>
      </c>
      <c r="L15" s="112">
        <f>IF(COUNTIFS(_xlfn.ANCHORARRAY(DATA_CLEANED!$AF$3),CALCULES!L$2,_xlfn.ANCHORARRAY(DATA_CLEANED!$AK$3),CALCULES!$A15)+COUNTIFS(_xlfn.ANCHORARRAY(DATA_CLEANED!$AF$3),CALCULES!L$2,_xlfn.ANCHORARRAY(DATA_CLEANED!$AN$3),CALCULES!$A15)&gt;0,1,0)</f>
        <v>0</v>
      </c>
      <c r="M15" s="112">
        <f>IF(COUNTIFS(_xlfn.ANCHORARRAY(DATA_CLEANED!$AF$3),CALCULES!M$2,_xlfn.ANCHORARRAY(DATA_CLEANED!$AK$3),CALCULES!$A15)+COUNTIFS(_xlfn.ANCHORARRAY(DATA_CLEANED!$AF$3),CALCULES!M$2,_xlfn.ANCHORARRAY(DATA_CLEANED!$AN$3),CALCULES!$A15)&gt;0,1,0)</f>
        <v>0</v>
      </c>
      <c r="N15" s="112">
        <f>IF(COUNTIFS(_xlfn.ANCHORARRAY(DATA_CLEANED!$AF$3),CALCULES!N$2,_xlfn.ANCHORARRAY(DATA_CLEANED!$AK$3),CALCULES!$A15)+COUNTIFS(_xlfn.ANCHORARRAY(DATA_CLEANED!$AF$3),CALCULES!N$2,_xlfn.ANCHORARRAY(DATA_CLEANED!$AN$3),CALCULES!$A15)&gt;0,1,0)</f>
        <v>1</v>
      </c>
      <c r="O15" s="112">
        <f>IF(COUNTIFS(_xlfn.ANCHORARRAY(DATA_CLEANED!$AF$3),CALCULES!O$2,_xlfn.ANCHORARRAY(DATA_CLEANED!$AK$3),CALCULES!$A15)+COUNTIFS(_xlfn.ANCHORARRAY(DATA_CLEANED!$AF$3),CALCULES!O$2,_xlfn.ANCHORARRAY(DATA_CLEANED!$AN$3),CALCULES!$A15)&gt;0,1,0)</f>
        <v>0</v>
      </c>
      <c r="P15" s="112">
        <f>IF(COUNTIFS(_xlfn.ANCHORARRAY(DATA_CLEANED!$AF$3),CALCULES!P$2,_xlfn.ANCHORARRAY(DATA_CLEANED!$AK$3),CALCULES!$A15)+COUNTIFS(_xlfn.ANCHORARRAY(DATA_CLEANED!$AF$3),CALCULES!P$2,_xlfn.ANCHORARRAY(DATA_CLEANED!$AN$3),CALCULES!$A15)&gt;0,1,0)</f>
        <v>0</v>
      </c>
      <c r="Q15" s="112">
        <f>IF(COUNTIFS(_xlfn.ANCHORARRAY(DATA_CLEANED!$AF$3),CALCULES!Q$2,_xlfn.ANCHORARRAY(DATA_CLEANED!$AK$3),CALCULES!$A15)+COUNTIFS(_xlfn.ANCHORARRAY(DATA_CLEANED!$AF$3),CALCULES!Q$2,_xlfn.ANCHORARRAY(DATA_CLEANED!$AN$3),CALCULES!$A15)&gt;0,1,0)</f>
        <v>0</v>
      </c>
      <c r="R15" s="112">
        <f>IF(COUNTIFS(_xlfn.ANCHORARRAY(DATA_CLEANED!$AF$3),CALCULES!R$2,_xlfn.ANCHORARRAY(DATA_CLEANED!$AK$3),CALCULES!$A15)+COUNTIFS(_xlfn.ANCHORARRAY(DATA_CLEANED!$AF$3),CALCULES!R$2,_xlfn.ANCHORARRAY(DATA_CLEANED!$AN$3),CALCULES!$A15)&gt;0,1,0)</f>
        <v>0</v>
      </c>
      <c r="S15" s="112">
        <f>IF(COUNTIFS(_xlfn.ANCHORARRAY(DATA_CLEANED!$AF$3),CALCULES!S$2,_xlfn.ANCHORARRAY(DATA_CLEANED!$AK$3),CALCULES!$A15)+COUNTIFS(_xlfn.ANCHORARRAY(DATA_CLEANED!$AF$3),CALCULES!S$2,_xlfn.ANCHORARRAY(DATA_CLEANED!$AN$3),CALCULES!$A15)&gt;0,1,0)</f>
        <v>0</v>
      </c>
      <c r="T15" s="112">
        <f>IF(COUNTIFS(_xlfn.ANCHORARRAY(DATA_CLEANED!$AF$3),CALCULES!T$2,_xlfn.ANCHORARRAY(DATA_CLEANED!$AK$3),CALCULES!$A15)+COUNTIFS(_xlfn.ANCHORARRAY(DATA_CLEANED!$AF$3),CALCULES!T$2,_xlfn.ANCHORARRAY(DATA_CLEANED!$AN$3),CALCULES!$A15)&gt;0,1,0)</f>
        <v>0</v>
      </c>
      <c r="U15" s="112">
        <f>IF(COUNTIFS(_xlfn.ANCHORARRAY(DATA_CLEANED!$AF$3),CALCULES!U$2,_xlfn.ANCHORARRAY(DATA_CLEANED!$AK$3),CALCULES!$A15)+COUNTIFS(_xlfn.ANCHORARRAY(DATA_CLEANED!$AF$3),CALCULES!U$2,_xlfn.ANCHORARRAY(DATA_CLEANED!$AN$3),CALCULES!$A15)&gt;0,1,0)</f>
        <v>0</v>
      </c>
      <c r="V15" s="112">
        <f>IF(COUNTIFS(_xlfn.ANCHORARRAY(DATA_CLEANED!$AF$3),CALCULES!V$2,_xlfn.ANCHORARRAY(DATA_CLEANED!$AK$3),CALCULES!$A15)+COUNTIFS(_xlfn.ANCHORARRAY(DATA_CLEANED!$AF$3),CALCULES!V$2,_xlfn.ANCHORARRAY(DATA_CLEANED!$AN$3),CALCULES!$A15)&gt;0,1,0)</f>
        <v>0</v>
      </c>
      <c r="W15" s="112">
        <f>IF(COUNTIFS(_xlfn.ANCHORARRAY(DATA_CLEANED!$AF$3),CALCULES!W$2,_xlfn.ANCHORARRAY(DATA_CLEANED!$AK$3),CALCULES!$A15)+COUNTIFS(_xlfn.ANCHORARRAY(DATA_CLEANED!$AF$3),CALCULES!W$2,_xlfn.ANCHORARRAY(DATA_CLEANED!$AN$3),CALCULES!$A15)&gt;0,1,0)</f>
        <v>1</v>
      </c>
      <c r="X15" s="112">
        <f>IF(COUNTIFS(_xlfn.ANCHORARRAY(DATA_CLEANED!$AF$3),CALCULES!X$2,_xlfn.ANCHORARRAY(DATA_CLEANED!$AK$3),CALCULES!$A15)+COUNTIFS(_xlfn.ANCHORARRAY(DATA_CLEANED!$AF$3),CALCULES!X$2,_xlfn.ANCHORARRAY(DATA_CLEANED!$AN$3),CALCULES!$A15)&gt;0,1,0)</f>
        <v>1</v>
      </c>
      <c r="Y15" s="113">
        <f t="shared" si="0"/>
        <v>3</v>
      </c>
      <c r="AA15" s="112">
        <f>COUNTIF(_xlfn.ANCHORARRAY(DATA_CLEANED!$AK$3),$A15)+COUNTIF(DATA_CLEANED!$AN$2:$AN$1060,$A15)</f>
        <v>11</v>
      </c>
      <c r="AB15" s="112">
        <f>COUNTIF(DATA_QUALITE!BG$12:BG$1069,A15)</f>
        <v>2</v>
      </c>
      <c r="AC15" s="112">
        <f t="shared" si="7"/>
        <v>9</v>
      </c>
      <c r="AD15" s="112" cm="1">
        <f t="array" ref="AD15">SUMPRODUCT((DATA_CLEANED!AL$3:AL$1060=DATA_CLEANED!AM$3:AM$1060)*(_xlfn.ANCHORARRAY(DATA_CLEANED!AK$3)=CALCULES!A15)*(DATA_CLEANED!AO$3:AO$1060&lt;&gt;"-"))
+
SUMPRODUCT((DATA_CLEANED!AL$3:AL$1060=DATA_CLEANED!AM$3:AM$1060)*(_xlfn.ANCHORARRAY(DATA_CLEANED!AN$3)=CALCULES!A15)*(DATA_CLEANED!AO$3:AO$1060&lt;&gt;"-"))</f>
        <v>0</v>
      </c>
      <c r="AE15" s="116">
        <f t="shared" si="1"/>
        <v>0.18181818181818182</v>
      </c>
      <c r="AF15" s="116">
        <f t="shared" si="2"/>
        <v>0.81818181818181823</v>
      </c>
      <c r="AG15" s="112">
        <f>SUMIF(_xlfn.ANCHORARRAY(DATA_CLEANED!AK$3),A15,DATA_CLEANED!AL$2:AL$1060)+SUMIF(_xlfn.ANCHORARRAY(DATA_CLEANED!AN$3),A15,DATA_CLEANED!AM$2:AM$1060)</f>
        <v>16</v>
      </c>
      <c r="AH15" s="112">
        <f>SUMIF(_xlfn.ANCHORARRAY(DATA_CLEANED!AK$3),A15,DATA_CLEANED!AM$2:AM$1060)+SUMIF(_xlfn.ANCHORARRAY(DATA_CLEANED!AN$3),A15,DATA_CLEANED!AL$2:AL$1060)</f>
        <v>16</v>
      </c>
      <c r="AI15" s="112">
        <f t="shared" si="8"/>
        <v>1.45</v>
      </c>
      <c r="AJ15" s="117" cm="1">
        <f t="array" ref="AJ15">_xlfn.LET(_xlpm.home,IFERROR(_xlfn._xlws.FILTER(DATA_CLEANED!AH$3:AH$1060,DATA_CLEANED!AK$3:AK$1060=CALCULES!A15),""),
_xlpm.away,IFERROR(_xlfn._xlws.FILTER(DATA_CLEANED!AH$3:AH$1060,DATA_CLEANED!AN$3:AN$1060=CALCULES!A15),""),
_xlpm.assemb_t,_xlfn._xlws.FILTER(_xlfn.VSTACK(_xlpm.home,_xlpm.away),_xlfn.VSTACK(_xlpm.home,_xlpm.away)&lt;&gt;""),
_xlpm.but_h,IFERROR(_xlfn._xlws.FILTER(_xlfn.ANCHORARRAY(DATA_CLEANED!AM$3),DATA_CLEANED!AK$3:AK$1060=CALCULES!A15),""),
_xlpm.but_a,IFERROR(_xlfn._xlws.FILTER(_xlfn.ANCHORARRAY(DATA_CLEANED!AL$3),DATA_CLEANED!AN$3:AN$1060=CALCULES!A15),""),
_xlpm.assemb_b,_xlfn._xlws.FILTER(_xlfn.VSTACK(_xlpm.but_h,_xlpm.but_a),_xlfn.VSTACK(_xlpm.but_h,_xlpm.but_a)&lt;&gt;""),
MEDIAN(_xlpm.assemb_t,_xlpm.assemb_b)
)</f>
        <v>2</v>
      </c>
      <c r="AK15" s="113">
        <f t="shared" si="3"/>
        <v>0</v>
      </c>
      <c r="AL15" s="112" cm="1">
        <f t="array" ref="AL15">IFERROR(MEDIAN(_xlfn._xlws.FILTER(_xlfn.VSTACK(
DATA_CLEANED!AL$3:AL$1060-DATA_CLEANED!AM$3:AM$1060,
DATA_CLEANED!AM$3:AM$1060-DATA_CLEANED!AL$3:AL$1060
),_xlfn.VSTACK(DATA_CLEANED!AK$3:AK$1060,DATA_CLEANED!AN$3:AN$1060)=A15)),"-")</f>
        <v>-1</v>
      </c>
      <c r="AM15" s="112">
        <f t="shared" si="9"/>
        <v>1.45</v>
      </c>
      <c r="AN15" s="112" cm="1">
        <f t="array" ref="AN15">_xlfn.LET(_xlpm.home,IFERROR(_xlfn._xlws.FILTER(DATA_CLEANED!AH$3:AH$1060,DATA_CLEANED!AK$3:AK$1060=CALCULES!A15),""),
_xlpm.away,IFERROR(_xlfn._xlws.FILTER(DATA_CLEANED!AH$3:AH$1060,DATA_CLEANED!AN$3:AN$1060=CALCULES!A15),""),
_xlpm.assemb_t,_xlfn._xlws.FILTER(_xlfn.VSTACK(_xlpm.home,_xlpm.away),_xlfn.VSTACK(_xlpm.home,_xlpm.away)&lt;&gt;""),
_xlpm.but_h,IFERROR(_xlfn._xlws.FILTER(_xlfn.ANCHORARRAY(DATA_CLEANED!AL$3),DATA_CLEANED!AK$3:AK$1060=CALCULES!A15),""),
_xlpm.but_a,IFERROR(_xlfn._xlws.FILTER(_xlfn.ANCHORARRAY(DATA_CLEANED!AM$3),DATA_CLEANED!AN$3:AN$1060=CALCULES!A15),""),
_xlpm.assemb_b,_xlfn._xlws.FILTER(_xlfn.VSTACK(_xlpm.but_h,_xlpm.but_a),_xlfn.VSTACK(_xlpm.but_h,_xlpm.but_a)&lt;&gt;""),
MEDIAN(_xlpm.assemb_t,_xlpm.assemb_b)
)</f>
        <v>1</v>
      </c>
      <c r="AO15" s="116">
        <f>ROUND(IFERROR((COUNTIFS(DATA_CLEANED!AK$3:AK$1060,A15,DATA_CLEANED!AM$3:AM$1060,0)
+
COUNTIFS(DATA_CLEANED!AN$3:AN$1060,A15,DATA_CLEANED!AL$3:AL$1060,0)
)/AA15,0),2)</f>
        <v>0.18</v>
      </c>
      <c r="AP15" s="112">
        <f>MAX((_xlfn.MAXIFS(_xlfn.ANCHORARRAY(DATA_CLEANED!AL$3),_xlfn.ANCHORARRAY(DATA_CLEANED!AK$3),A15)),(_xlfn.MAXIFS(DATA_CLEANED!AM$3:AM$1060,_xlfn.ANCHORARRAY(DATA_CLEANED!AN$3),A15)))</f>
        <v>6</v>
      </c>
      <c r="AQ15" s="112">
        <f>COUNTIF(_xlfn.ANCHORARRAY(DATA_CLEANED!K$3),A15)</f>
        <v>0</v>
      </c>
      <c r="AR15" s="113" t="str" cm="1">
        <f t="array" ref="AR15">_xlfn.LET(
_xlpm.home,IFERROR(_xlfn._xlws.FILTER(DATA_CLEANED!AH$3:AH$1060,DATA_CLEANED!AK$3:AK$1060=CALCULES!A15),""),
_xlpm.away,IFERROR(_xlfn._xlws.FILTER(DATA_CLEANED!AH$3:AH$1060,DATA_CLEANED!AN$3:AN$1060=CALCULES!A15),""),
_xlpm.etapes,_xlfn._xlws.FILTER(_xlfn.VSTACK(_xlpm.home,_xlpm.away),_xlfn.VSTACK(_xlpm.home,_xlpm.away)&lt;&gt;""),
_xlpm.numeros,_xlfn.XLOOKUP(_xlpm.etapes,DATA_QUALITE!AT$12:AT$38,DATA_QUALITE!AU$12:AU$38),
_xlfn.XLOOKUP(MIN(_xlpm.numeros),DATA_QUALITE!AU$12:AU$38,DATA_QUALITE!AT$12:AT$38)
)</f>
        <v>ROUND_OF_16</v>
      </c>
      <c r="AS15" s="112">
        <f t="shared" si="4"/>
        <v>3</v>
      </c>
      <c r="AT15" s="112">
        <f t="shared" si="5"/>
        <v>2</v>
      </c>
      <c r="AU15" s="112">
        <f>COUNTIFS(DATA_QUALITE!BG$12:BG$1069,"MATCH NUL",_xlfn.ANCHORARRAY(DATA_CLEANED!AK$3),CALCULES!A15)+COUNTIFS(DATA_QUALITE!BG$12:BG$1069,"MATCH NUL",_xlfn.ANCHORARRAY(DATA_CLEANED!AN$3),CALCULES!A15)</f>
        <v>1</v>
      </c>
      <c r="AV15" s="112">
        <v>16</v>
      </c>
      <c r="AW15" s="112">
        <f>COUNTIFS(_xlfn.ANCHORARRAY(DATA_CLEANED!AH$3),"QUARTER_FINALS",_xlfn.ANCHORARRAY(DATA_CLEANED!AK$3),CALCULES!A15)+COUNTIFS(_xlfn.ANCHORARRAY(DATA_CLEANED!AH$3),"QUARTER_FINALS",_xlfn.ANCHORARRAY(DATA_CLEANED!AN$3),CALCULES!A15)</f>
        <v>0</v>
      </c>
      <c r="AX15" s="112">
        <f>COUNTIFS(_xlfn.ANCHORARRAY(DATA_CLEANED!AH$3),"SEMI_FINALS",_xlfn.ANCHORARRAY(DATA_CLEANED!AK$3),CALCULES!A15)+COUNTIFS(_xlfn.ANCHORARRAY(DATA_CLEANED!AH$3),"SEMI_FINALS",_xlfn.ANCHORARRAY(DATA_CLEANED!AN$3),CALCULES!A15)</f>
        <v>0</v>
      </c>
      <c r="AY15" s="112">
        <f>COUNTIFS(_xlfn.ANCHORARRAY(DATA_CLEANED!AH$3),"FINAL",_xlfn.ANCHORARRAY(DATA_CLEANED!AK$3),CALCULES!A15)+COUNTIFS(_xlfn.ANCHORARRAY(DATA_CLEANED!AH$3),"FINAL",_xlfn.ANCHORARRAY(DATA_CLEANED!AN$3),CALCULES!A15)</f>
        <v>0</v>
      </c>
      <c r="AZ15" s="112">
        <f>COUNTIFS(DATA_QUALITE!BG$12:BG$1069,CALCULES!A15,DATA_QUALITE!AW$12:AW$1069,"FINAL")</f>
        <v>0</v>
      </c>
      <c r="BA15" s="113">
        <f t="shared" si="6"/>
        <v>24.7</v>
      </c>
      <c r="BB15" s="118">
        <f t="shared" si="10"/>
        <v>6.66</v>
      </c>
      <c r="BC15" s="118">
        <f t="shared" si="11"/>
        <v>5.4</v>
      </c>
      <c r="BD15" s="139">
        <f t="shared" si="12"/>
        <v>6.03</v>
      </c>
      <c r="BF15" s="171"/>
      <c r="BG15" s="171"/>
      <c r="BH15" s="167"/>
      <c r="BI15" s="171"/>
      <c r="BJ15" s="171"/>
      <c r="BK15" s="167"/>
      <c r="BL15" s="173">
        <f>INT((ROWS($BL$15:BL15)-1)/9)</f>
        <v>0</v>
      </c>
      <c r="BM15" s="173">
        <f>MOD(ROWS($BM$15:BM15)-1,9)</f>
        <v>0</v>
      </c>
      <c r="BN15" s="173">
        <f t="shared" ref="BN15:BN46" si="14">_xlfn.POISSON.DIST(BL15,$BG$40,FALSE)*_xlfn.POISSON.DIST(BM15,$BG$41,FALSE)</f>
        <v>6.5786106300444708E-2</v>
      </c>
      <c r="BO15" s="167"/>
      <c r="BP15" s="167"/>
      <c r="BQ15" s="167"/>
      <c r="BR15" s="167"/>
      <c r="BS15" s="167"/>
    </row>
    <row r="16" spans="1:73" ht="15.95" customHeight="1">
      <c r="A16" s="113" t="str">
        <v>Chile</v>
      </c>
      <c r="B16" s="112">
        <f>IF(COUNTIFS(_xlfn.ANCHORARRAY(DATA_CLEANED!$AF$3),CALCULES!B$2,_xlfn.ANCHORARRAY(DATA_CLEANED!$AK$3),CALCULES!$A16)+COUNTIFS(_xlfn.ANCHORARRAY(DATA_CLEANED!$AF$3),CALCULES!B$2,_xlfn.ANCHORARRAY(DATA_CLEANED!$AN$3),CALCULES!$A16)&gt;0,1,0)</f>
        <v>1</v>
      </c>
      <c r="C16" s="112">
        <f>IF(COUNTIFS(_xlfn.ANCHORARRAY(DATA_CLEANED!$AF$3),CALCULES!C$2,_xlfn.ANCHORARRAY(DATA_CLEANED!$AK$3),CALCULES!$A16)+COUNTIFS(_xlfn.ANCHORARRAY(DATA_CLEANED!$AF$3),CALCULES!C$2,_xlfn.ANCHORARRAY(DATA_CLEANED!$AN$3),CALCULES!$A16)&gt;0,1,0)</f>
        <v>0</v>
      </c>
      <c r="D16" s="112">
        <f>IF(COUNTIFS(_xlfn.ANCHORARRAY(DATA_CLEANED!$AF$3),CALCULES!D$2,_xlfn.ANCHORARRAY(DATA_CLEANED!$AK$3),CALCULES!$A16)+COUNTIFS(_xlfn.ANCHORARRAY(DATA_CLEANED!$AF$3),CALCULES!D$2,_xlfn.ANCHORARRAY(DATA_CLEANED!$AN$3),CALCULES!$A16)&gt;0,1,0)</f>
        <v>0</v>
      </c>
      <c r="E16" s="112">
        <f>IF(COUNTIFS(_xlfn.ANCHORARRAY(DATA_CLEANED!$AF$3),CALCULES!E$2,_xlfn.ANCHORARRAY(DATA_CLEANED!$AK$3),CALCULES!$A16)+COUNTIFS(_xlfn.ANCHORARRAY(DATA_CLEANED!$AF$3),CALCULES!E$2,_xlfn.ANCHORARRAY(DATA_CLEANED!$AN$3),CALCULES!$A16)&gt;0,1,0)</f>
        <v>1</v>
      </c>
      <c r="F16" s="112">
        <f>IF(COUNTIFS(_xlfn.ANCHORARRAY(DATA_CLEANED!$AF$3),CALCULES!F$2,_xlfn.ANCHORARRAY(DATA_CLEANED!$AK$3),CALCULES!$A16)+COUNTIFS(_xlfn.ANCHORARRAY(DATA_CLEANED!$AF$3),CALCULES!F$2,_xlfn.ANCHORARRAY(DATA_CLEANED!$AN$3),CALCULES!$A16)&gt;0,1,0)</f>
        <v>0</v>
      </c>
      <c r="G16" s="112">
        <f>IF(COUNTIFS(_xlfn.ANCHORARRAY(DATA_CLEANED!$AF$3),CALCULES!G$2,_xlfn.ANCHORARRAY(DATA_CLEANED!$AK$3),CALCULES!$A16)+COUNTIFS(_xlfn.ANCHORARRAY(DATA_CLEANED!$AF$3),CALCULES!G$2,_xlfn.ANCHORARRAY(DATA_CLEANED!$AN$3),CALCULES!$A16)&gt;0,1,0)</f>
        <v>0</v>
      </c>
      <c r="H16" s="112">
        <f>IF(COUNTIFS(_xlfn.ANCHORARRAY(DATA_CLEANED!$AF$3),CALCULES!H$2,_xlfn.ANCHORARRAY(DATA_CLEANED!$AK$3),CALCULES!$A16)+COUNTIFS(_xlfn.ANCHORARRAY(DATA_CLEANED!$AF$3),CALCULES!H$2,_xlfn.ANCHORARRAY(DATA_CLEANED!$AN$3),CALCULES!$A16)&gt;0,1,0)</f>
        <v>1</v>
      </c>
      <c r="I16" s="112">
        <f>IF(COUNTIFS(_xlfn.ANCHORARRAY(DATA_CLEANED!$AF$3),CALCULES!I$2,_xlfn.ANCHORARRAY(DATA_CLEANED!$AK$3),CALCULES!$A16)+COUNTIFS(_xlfn.ANCHORARRAY(DATA_CLEANED!$AF$3),CALCULES!I$2,_xlfn.ANCHORARRAY(DATA_CLEANED!$AN$3),CALCULES!$A16)&gt;0,1,0)</f>
        <v>1</v>
      </c>
      <c r="J16" s="112">
        <f>IF(COUNTIFS(_xlfn.ANCHORARRAY(DATA_CLEANED!$AF$3),CALCULES!J$2,_xlfn.ANCHORARRAY(DATA_CLEANED!$AK$3),CALCULES!$A16)+COUNTIFS(_xlfn.ANCHORARRAY(DATA_CLEANED!$AF$3),CALCULES!J$2,_xlfn.ANCHORARRAY(DATA_CLEANED!$AN$3),CALCULES!$A16)&gt;0,1,0)</f>
        <v>0</v>
      </c>
      <c r="K16" s="112">
        <f>IF(COUNTIFS(_xlfn.ANCHORARRAY(DATA_CLEANED!$AF$3),CALCULES!K$2,_xlfn.ANCHORARRAY(DATA_CLEANED!$AK$3),CALCULES!$A16)+COUNTIFS(_xlfn.ANCHORARRAY(DATA_CLEANED!$AF$3),CALCULES!K$2,_xlfn.ANCHORARRAY(DATA_CLEANED!$AN$3),CALCULES!$A16)&gt;0,1,0)</f>
        <v>1</v>
      </c>
      <c r="L16" s="112">
        <f>IF(COUNTIFS(_xlfn.ANCHORARRAY(DATA_CLEANED!$AF$3),CALCULES!L$2,_xlfn.ANCHORARRAY(DATA_CLEANED!$AK$3),CALCULES!$A16)+COUNTIFS(_xlfn.ANCHORARRAY(DATA_CLEANED!$AF$3),CALCULES!L$2,_xlfn.ANCHORARRAY(DATA_CLEANED!$AN$3),CALCULES!$A16)&gt;0,1,0)</f>
        <v>0</v>
      </c>
      <c r="M16" s="112">
        <f>IF(COUNTIFS(_xlfn.ANCHORARRAY(DATA_CLEANED!$AF$3),CALCULES!M$2,_xlfn.ANCHORARRAY(DATA_CLEANED!$AK$3),CALCULES!$A16)+COUNTIFS(_xlfn.ANCHORARRAY(DATA_CLEANED!$AF$3),CALCULES!M$2,_xlfn.ANCHORARRAY(DATA_CLEANED!$AN$3),CALCULES!$A16)&gt;0,1,0)</f>
        <v>1</v>
      </c>
      <c r="N16" s="112">
        <f>IF(COUNTIFS(_xlfn.ANCHORARRAY(DATA_CLEANED!$AF$3),CALCULES!N$2,_xlfn.ANCHORARRAY(DATA_CLEANED!$AK$3),CALCULES!$A16)+COUNTIFS(_xlfn.ANCHORARRAY(DATA_CLEANED!$AF$3),CALCULES!N$2,_xlfn.ANCHORARRAY(DATA_CLEANED!$AN$3),CALCULES!$A16)&gt;0,1,0)</f>
        <v>0</v>
      </c>
      <c r="O16" s="112">
        <f>IF(COUNTIFS(_xlfn.ANCHORARRAY(DATA_CLEANED!$AF$3),CALCULES!O$2,_xlfn.ANCHORARRAY(DATA_CLEANED!$AK$3),CALCULES!$A16)+COUNTIFS(_xlfn.ANCHORARRAY(DATA_CLEANED!$AF$3),CALCULES!O$2,_xlfn.ANCHORARRAY(DATA_CLEANED!$AN$3),CALCULES!$A16)&gt;0,1,0)</f>
        <v>0</v>
      </c>
      <c r="P16" s="112">
        <f>IF(COUNTIFS(_xlfn.ANCHORARRAY(DATA_CLEANED!$AF$3),CALCULES!P$2,_xlfn.ANCHORARRAY(DATA_CLEANED!$AK$3),CALCULES!$A16)+COUNTIFS(_xlfn.ANCHORARRAY(DATA_CLEANED!$AF$3),CALCULES!P$2,_xlfn.ANCHORARRAY(DATA_CLEANED!$AN$3),CALCULES!$A16)&gt;0,1,0)</f>
        <v>0</v>
      </c>
      <c r="Q16" s="112">
        <f>IF(COUNTIFS(_xlfn.ANCHORARRAY(DATA_CLEANED!$AF$3),CALCULES!Q$2,_xlfn.ANCHORARRAY(DATA_CLEANED!$AK$3),CALCULES!$A16)+COUNTIFS(_xlfn.ANCHORARRAY(DATA_CLEANED!$AF$3),CALCULES!Q$2,_xlfn.ANCHORARRAY(DATA_CLEANED!$AN$3),CALCULES!$A16)&gt;0,1,0)</f>
        <v>1</v>
      </c>
      <c r="R16" s="112">
        <f>IF(COUNTIFS(_xlfn.ANCHORARRAY(DATA_CLEANED!$AF$3),CALCULES!R$2,_xlfn.ANCHORARRAY(DATA_CLEANED!$AK$3),CALCULES!$A16)+COUNTIFS(_xlfn.ANCHORARRAY(DATA_CLEANED!$AF$3),CALCULES!R$2,_xlfn.ANCHORARRAY(DATA_CLEANED!$AN$3),CALCULES!$A16)&gt;0,1,0)</f>
        <v>0</v>
      </c>
      <c r="S16" s="112">
        <f>IF(COUNTIFS(_xlfn.ANCHORARRAY(DATA_CLEANED!$AF$3),CALCULES!S$2,_xlfn.ANCHORARRAY(DATA_CLEANED!$AK$3),CALCULES!$A16)+COUNTIFS(_xlfn.ANCHORARRAY(DATA_CLEANED!$AF$3),CALCULES!S$2,_xlfn.ANCHORARRAY(DATA_CLEANED!$AN$3),CALCULES!$A16)&gt;0,1,0)</f>
        <v>0</v>
      </c>
      <c r="T16" s="112">
        <f>IF(COUNTIFS(_xlfn.ANCHORARRAY(DATA_CLEANED!$AF$3),CALCULES!T$2,_xlfn.ANCHORARRAY(DATA_CLEANED!$AK$3),CALCULES!$A16)+COUNTIFS(_xlfn.ANCHORARRAY(DATA_CLEANED!$AF$3),CALCULES!T$2,_xlfn.ANCHORARRAY(DATA_CLEANED!$AN$3),CALCULES!$A16)&gt;0,1,0)</f>
        <v>1</v>
      </c>
      <c r="U16" s="112">
        <f>IF(COUNTIFS(_xlfn.ANCHORARRAY(DATA_CLEANED!$AF$3),CALCULES!U$2,_xlfn.ANCHORARRAY(DATA_CLEANED!$AK$3),CALCULES!$A16)+COUNTIFS(_xlfn.ANCHORARRAY(DATA_CLEANED!$AF$3),CALCULES!U$2,_xlfn.ANCHORARRAY(DATA_CLEANED!$AN$3),CALCULES!$A16)&gt;0,1,0)</f>
        <v>1</v>
      </c>
      <c r="V16" s="112">
        <f>IF(COUNTIFS(_xlfn.ANCHORARRAY(DATA_CLEANED!$AF$3),CALCULES!V$2,_xlfn.ANCHORARRAY(DATA_CLEANED!$AK$3),CALCULES!$A16)+COUNTIFS(_xlfn.ANCHORARRAY(DATA_CLEANED!$AF$3),CALCULES!V$2,_xlfn.ANCHORARRAY(DATA_CLEANED!$AN$3),CALCULES!$A16)&gt;0,1,0)</f>
        <v>0</v>
      </c>
      <c r="W16" s="112">
        <f>IF(COUNTIFS(_xlfn.ANCHORARRAY(DATA_CLEANED!$AF$3),CALCULES!W$2,_xlfn.ANCHORARRAY(DATA_CLEANED!$AK$3),CALCULES!$A16)+COUNTIFS(_xlfn.ANCHORARRAY(DATA_CLEANED!$AF$3),CALCULES!W$2,_xlfn.ANCHORARRAY(DATA_CLEANED!$AN$3),CALCULES!$A16)&gt;0,1,0)</f>
        <v>0</v>
      </c>
      <c r="X16" s="112">
        <f>IF(COUNTIFS(_xlfn.ANCHORARRAY(DATA_CLEANED!$AF$3),CALCULES!X$2,_xlfn.ANCHORARRAY(DATA_CLEANED!$AK$3),CALCULES!$A16)+COUNTIFS(_xlfn.ANCHORARRAY(DATA_CLEANED!$AF$3),CALCULES!X$2,_xlfn.ANCHORARRAY(DATA_CLEANED!$AN$3),CALCULES!$A16)&gt;0,1,0)</f>
        <v>0</v>
      </c>
      <c r="Y16" s="113">
        <f t="shared" si="0"/>
        <v>9</v>
      </c>
      <c r="AA16" s="112">
        <f>COUNTIF(_xlfn.ANCHORARRAY(DATA_CLEANED!$AK$3),$A16)+COUNTIF(DATA_CLEANED!$AN$2:$AN$1060,$A16)</f>
        <v>33</v>
      </c>
      <c r="AB16" s="112">
        <f>COUNTIF(DATA_QUALITE!BG$12:BG$1069,A16)</f>
        <v>11</v>
      </c>
      <c r="AC16" s="112">
        <f t="shared" si="7"/>
        <v>21</v>
      </c>
      <c r="AD16" s="112" cm="1">
        <f t="array" ref="AD16">SUMPRODUCT((DATA_CLEANED!AL$3:AL$1060=DATA_CLEANED!AM$3:AM$1060)*(_xlfn.ANCHORARRAY(DATA_CLEANED!AK$3)=CALCULES!A16)*(DATA_CLEANED!AO$3:AO$1060&lt;&gt;"-"))
+
SUMPRODUCT((DATA_CLEANED!AL$3:AL$1060=DATA_CLEANED!AM$3:AM$1060)*(_xlfn.ANCHORARRAY(DATA_CLEANED!AN$3)=CALCULES!A16)*(DATA_CLEANED!AO$3:AO$1060&lt;&gt;"-"))</f>
        <v>1</v>
      </c>
      <c r="AE16" s="116">
        <f t="shared" si="1"/>
        <v>0.33333333333333331</v>
      </c>
      <c r="AF16" s="116">
        <f t="shared" si="2"/>
        <v>0.63636363636363635</v>
      </c>
      <c r="AG16" s="112">
        <f>SUMIF(_xlfn.ANCHORARRAY(DATA_CLEANED!AK$3),A16,DATA_CLEANED!AL$2:AL$1060)+SUMIF(_xlfn.ANCHORARRAY(DATA_CLEANED!AN$3),A16,DATA_CLEANED!AM$2:AM$1060)</f>
        <v>46</v>
      </c>
      <c r="AH16" s="112">
        <f>SUMIF(_xlfn.ANCHORARRAY(DATA_CLEANED!AK$3),A16,DATA_CLEANED!AM$2:AM$1060)+SUMIF(_xlfn.ANCHORARRAY(DATA_CLEANED!AN$3),A16,DATA_CLEANED!AL$2:AL$1060)</f>
        <v>54</v>
      </c>
      <c r="AI16" s="112">
        <f t="shared" si="8"/>
        <v>1.64</v>
      </c>
      <c r="AJ16" s="117" cm="1">
        <f t="array" ref="AJ16">_xlfn.LET(_xlpm.home,IFERROR(_xlfn._xlws.FILTER(DATA_CLEANED!AH$3:AH$1060,DATA_CLEANED!AK$3:AK$1060=CALCULES!A16),""),
_xlpm.away,IFERROR(_xlfn._xlws.FILTER(DATA_CLEANED!AH$3:AH$1060,DATA_CLEANED!AN$3:AN$1060=CALCULES!A16),""),
_xlpm.assemb_t,_xlfn._xlws.FILTER(_xlfn.VSTACK(_xlpm.home,_xlpm.away),_xlfn.VSTACK(_xlpm.home,_xlpm.away)&lt;&gt;""),
_xlpm.but_h,IFERROR(_xlfn._xlws.FILTER(_xlfn.ANCHORARRAY(DATA_CLEANED!AM$3),DATA_CLEANED!AK$3:AK$1060=CALCULES!A16),""),
_xlpm.but_a,IFERROR(_xlfn._xlws.FILTER(_xlfn.ANCHORARRAY(DATA_CLEANED!AL$3),DATA_CLEANED!AN$3:AN$1060=CALCULES!A16),""),
_xlpm.assemb_b,_xlfn._xlws.FILTER(_xlfn.VSTACK(_xlpm.but_h,_xlpm.but_a),_xlfn.VSTACK(_xlpm.but_h,_xlpm.but_a)&lt;&gt;""),
MEDIAN(_xlpm.assemb_t,_xlpm.assemb_b)
)</f>
        <v>1</v>
      </c>
      <c r="AK16" s="113">
        <f t="shared" si="3"/>
        <v>-8</v>
      </c>
      <c r="AL16" s="112" cm="1">
        <f t="array" ref="AL16">IFERROR(MEDIAN(_xlfn._xlws.FILTER(_xlfn.VSTACK(
DATA_CLEANED!AL$3:AL$1060-DATA_CLEANED!AM$3:AM$1060,
DATA_CLEANED!AM$3:AM$1060-DATA_CLEANED!AL$3:AL$1060
),_xlfn.VSTACK(DATA_CLEANED!AK$3:AK$1060,DATA_CLEANED!AN$3:AN$1060)=A16)),"-")</f>
        <v>0</v>
      </c>
      <c r="AM16" s="112">
        <f t="shared" si="9"/>
        <v>1.39</v>
      </c>
      <c r="AN16" s="112" cm="1">
        <f t="array" ref="AN16">_xlfn.LET(_xlpm.home,IFERROR(_xlfn._xlws.FILTER(DATA_CLEANED!AH$3:AH$1060,DATA_CLEANED!AK$3:AK$1060=CALCULES!A16),""),
_xlpm.away,IFERROR(_xlfn._xlws.FILTER(DATA_CLEANED!AH$3:AH$1060,DATA_CLEANED!AN$3:AN$1060=CALCULES!A16),""),
_xlpm.assemb_t,_xlfn._xlws.FILTER(_xlfn.VSTACK(_xlpm.home,_xlpm.away),_xlfn.VSTACK(_xlpm.home,_xlpm.away)&lt;&gt;""),
_xlpm.but_h,IFERROR(_xlfn._xlws.FILTER(_xlfn.ANCHORARRAY(DATA_CLEANED!AL$3),DATA_CLEANED!AK$3:AK$1060=CALCULES!A16),""),
_xlpm.but_a,IFERROR(_xlfn._xlws.FILTER(_xlfn.ANCHORARRAY(DATA_CLEANED!AM$3),DATA_CLEANED!AN$3:AN$1060=CALCULES!A16),""),
_xlpm.assemb_b,_xlfn._xlws.FILTER(_xlfn.VSTACK(_xlpm.but_h,_xlpm.but_a),_xlfn.VSTACK(_xlpm.but_h,_xlpm.but_a)&lt;&gt;""),
MEDIAN(_xlpm.assemb_t,_xlpm.assemb_b)
)</f>
        <v>1</v>
      </c>
      <c r="AO16" s="116">
        <f>ROUND(IFERROR((COUNTIFS(DATA_CLEANED!AK$3:AK$1060,A16,DATA_CLEANED!AM$3:AM$1060,0)
+
COUNTIFS(DATA_CLEANED!AN$3:AN$1060,A16,DATA_CLEANED!AL$3:AL$1060,0)
)/AA16,0),2)</f>
        <v>0.24</v>
      </c>
      <c r="AP16" s="112">
        <f>MAX((_xlfn.MAXIFS(_xlfn.ANCHORARRAY(DATA_CLEANED!AL$3),_xlfn.ANCHORARRAY(DATA_CLEANED!AK$3),A16)),(_xlfn.MAXIFS(DATA_CLEANED!AM$3:AM$1060,_xlfn.ANCHORARRAY(DATA_CLEANED!AN$3),A16)))</f>
        <v>5</v>
      </c>
      <c r="AQ16" s="112">
        <f>COUNTIF(_xlfn.ANCHORARRAY(DATA_CLEANED!K$3),A16)</f>
        <v>5</v>
      </c>
      <c r="AR16" s="113" t="str" cm="1">
        <f t="array" ref="AR16">_xlfn.LET(
_xlpm.home,IFERROR(_xlfn._xlws.FILTER(DATA_CLEANED!AH$3:AH$1060,DATA_CLEANED!AK$3:AK$1060=CALCULES!A16),""),
_xlpm.away,IFERROR(_xlfn._xlws.FILTER(DATA_CLEANED!AH$3:AH$1060,DATA_CLEANED!AN$3:AN$1060=CALCULES!A16),""),
_xlpm.etapes,_xlfn._xlws.FILTER(_xlfn.VSTACK(_xlpm.home,_xlpm.away),_xlfn.VSTACK(_xlpm.home,_xlpm.away)&lt;&gt;""),
_xlpm.numeros,_xlfn.XLOOKUP(_xlpm.etapes,DATA_QUALITE!AT$12:AT$38,DATA_QUALITE!AU$12:AU$38),
_xlfn.XLOOKUP(MIN(_xlpm.numeros),DATA_QUALITE!AU$12:AU$38,DATA_QUALITE!AT$12:AT$38)
)</f>
        <v>THIRD_PLACE</v>
      </c>
      <c r="AS16" s="112">
        <f t="shared" si="4"/>
        <v>9</v>
      </c>
      <c r="AT16" s="112">
        <f t="shared" si="5"/>
        <v>11</v>
      </c>
      <c r="AU16" s="112">
        <f>COUNTIFS(DATA_QUALITE!BG$12:BG$1069,"MATCH NUL",_xlfn.ANCHORARRAY(DATA_CLEANED!AK$3),CALCULES!A16)+COUNTIFS(DATA_QUALITE!BG$12:BG$1069,"MATCH NUL",_xlfn.ANCHORARRAY(DATA_CLEANED!AN$3),CALCULES!A16)</f>
        <v>6</v>
      </c>
      <c r="AV16" s="112">
        <v>46</v>
      </c>
      <c r="AW16" s="112">
        <f>COUNTIFS(_xlfn.ANCHORARRAY(DATA_CLEANED!AH$3),"QUARTER_FINALS",_xlfn.ANCHORARRAY(DATA_CLEANED!AK$3),CALCULES!A16)+COUNTIFS(_xlfn.ANCHORARRAY(DATA_CLEANED!AH$3),"QUARTER_FINALS",_xlfn.ANCHORARRAY(DATA_CLEANED!AN$3),CALCULES!A16)</f>
        <v>1</v>
      </c>
      <c r="AX16" s="112">
        <f>COUNTIFS(_xlfn.ANCHORARRAY(DATA_CLEANED!AH$3),"SEMI_FINALS",_xlfn.ANCHORARRAY(DATA_CLEANED!AK$3),CALCULES!A16)+COUNTIFS(_xlfn.ANCHORARRAY(DATA_CLEANED!AH$3),"SEMI_FINALS",_xlfn.ANCHORARRAY(DATA_CLEANED!AN$3),CALCULES!A16)</f>
        <v>1</v>
      </c>
      <c r="AY16" s="112">
        <f>COUNTIFS(_xlfn.ANCHORARRAY(DATA_CLEANED!AH$3),"FINAL",_xlfn.ANCHORARRAY(DATA_CLEANED!AK$3),CALCULES!A16)+COUNTIFS(_xlfn.ANCHORARRAY(DATA_CLEANED!AH$3),"FINAL",_xlfn.ANCHORARRAY(DATA_CLEANED!AN$3),CALCULES!A16)</f>
        <v>0</v>
      </c>
      <c r="AZ16" s="112">
        <f>COUNTIFS(DATA_QUALITE!BG$12:BG$1069,CALCULES!A16,DATA_QUALITE!AW$12:AW$1069,"FINAL")</f>
        <v>0</v>
      </c>
      <c r="BA16" s="113">
        <f t="shared" si="6"/>
        <v>37.65</v>
      </c>
      <c r="BB16" s="118">
        <f t="shared" si="10"/>
        <v>16.29</v>
      </c>
      <c r="BC16" s="118">
        <f t="shared" si="11"/>
        <v>15.38</v>
      </c>
      <c r="BD16" s="139">
        <f t="shared" si="12"/>
        <v>15.84</v>
      </c>
      <c r="BF16" s="178" t="s">
        <v>3898</v>
      </c>
      <c r="BG16" s="178">
        <f>AVERAGE(BG13,BJ14)</f>
        <v>1.5165477315689981</v>
      </c>
      <c r="BH16" s="167"/>
      <c r="BI16" s="178" t="s">
        <v>3899</v>
      </c>
      <c r="BJ16" s="178">
        <f>AVERAGE(BJ13,BG14)</f>
        <v>1.4194795497508164</v>
      </c>
      <c r="BK16" s="167"/>
      <c r="BL16" s="173">
        <f>INT((ROWS($BL$15:BL16)-1)/9)</f>
        <v>0</v>
      </c>
      <c r="BM16" s="173">
        <f>MOD(ROWS($BM$15:BM16)-1,9)</f>
        <v>1</v>
      </c>
      <c r="BN16" s="173">
        <f t="shared" si="14"/>
        <v>7.3676182514127095E-2</v>
      </c>
      <c r="BO16" s="167"/>
      <c r="BP16" s="167"/>
      <c r="BQ16" s="167"/>
      <c r="BR16" s="167"/>
      <c r="BS16" s="167"/>
    </row>
    <row r="17" spans="1:71" ht="15.95" customHeight="1">
      <c r="A17" s="113" t="str">
        <v>China</v>
      </c>
      <c r="B17" s="112">
        <f>IF(COUNTIFS(_xlfn.ANCHORARRAY(DATA_CLEANED!$AF$3),CALCULES!B$2,_xlfn.ANCHORARRAY(DATA_CLEANED!$AK$3),CALCULES!$A17)+COUNTIFS(_xlfn.ANCHORARRAY(DATA_CLEANED!$AF$3),CALCULES!B$2,_xlfn.ANCHORARRAY(DATA_CLEANED!$AN$3),CALCULES!$A17)&gt;0,1,0)</f>
        <v>0</v>
      </c>
      <c r="C17" s="112">
        <f>IF(COUNTIFS(_xlfn.ANCHORARRAY(DATA_CLEANED!$AF$3),CALCULES!C$2,_xlfn.ANCHORARRAY(DATA_CLEANED!$AK$3),CALCULES!$A17)+COUNTIFS(_xlfn.ANCHORARRAY(DATA_CLEANED!$AF$3),CALCULES!C$2,_xlfn.ANCHORARRAY(DATA_CLEANED!$AN$3),CALCULES!$A17)&gt;0,1,0)</f>
        <v>0</v>
      </c>
      <c r="D17" s="112">
        <f>IF(COUNTIFS(_xlfn.ANCHORARRAY(DATA_CLEANED!$AF$3),CALCULES!D$2,_xlfn.ANCHORARRAY(DATA_CLEANED!$AK$3),CALCULES!$A17)+COUNTIFS(_xlfn.ANCHORARRAY(DATA_CLEANED!$AF$3),CALCULES!D$2,_xlfn.ANCHORARRAY(DATA_CLEANED!$AN$3),CALCULES!$A17)&gt;0,1,0)</f>
        <v>0</v>
      </c>
      <c r="E17" s="112">
        <f>IF(COUNTIFS(_xlfn.ANCHORARRAY(DATA_CLEANED!$AF$3),CALCULES!E$2,_xlfn.ANCHORARRAY(DATA_CLEANED!$AK$3),CALCULES!$A17)+COUNTIFS(_xlfn.ANCHORARRAY(DATA_CLEANED!$AF$3),CALCULES!E$2,_xlfn.ANCHORARRAY(DATA_CLEANED!$AN$3),CALCULES!$A17)&gt;0,1,0)</f>
        <v>0</v>
      </c>
      <c r="F17" s="112">
        <f>IF(COUNTIFS(_xlfn.ANCHORARRAY(DATA_CLEANED!$AF$3),CALCULES!F$2,_xlfn.ANCHORARRAY(DATA_CLEANED!$AK$3),CALCULES!$A17)+COUNTIFS(_xlfn.ANCHORARRAY(DATA_CLEANED!$AF$3),CALCULES!F$2,_xlfn.ANCHORARRAY(DATA_CLEANED!$AN$3),CALCULES!$A17)&gt;0,1,0)</f>
        <v>0</v>
      </c>
      <c r="G17" s="112">
        <f>IF(COUNTIFS(_xlfn.ANCHORARRAY(DATA_CLEANED!$AF$3),CALCULES!G$2,_xlfn.ANCHORARRAY(DATA_CLEANED!$AK$3),CALCULES!$A17)+COUNTIFS(_xlfn.ANCHORARRAY(DATA_CLEANED!$AF$3),CALCULES!G$2,_xlfn.ANCHORARRAY(DATA_CLEANED!$AN$3),CALCULES!$A17)&gt;0,1,0)</f>
        <v>0</v>
      </c>
      <c r="H17" s="112">
        <f>IF(COUNTIFS(_xlfn.ANCHORARRAY(DATA_CLEANED!$AF$3),CALCULES!H$2,_xlfn.ANCHORARRAY(DATA_CLEANED!$AK$3),CALCULES!$A17)+COUNTIFS(_xlfn.ANCHORARRAY(DATA_CLEANED!$AF$3),CALCULES!H$2,_xlfn.ANCHORARRAY(DATA_CLEANED!$AN$3),CALCULES!$A17)&gt;0,1,0)</f>
        <v>0</v>
      </c>
      <c r="I17" s="112">
        <f>IF(COUNTIFS(_xlfn.ANCHORARRAY(DATA_CLEANED!$AF$3),CALCULES!I$2,_xlfn.ANCHORARRAY(DATA_CLEANED!$AK$3),CALCULES!$A17)+COUNTIFS(_xlfn.ANCHORARRAY(DATA_CLEANED!$AF$3),CALCULES!I$2,_xlfn.ANCHORARRAY(DATA_CLEANED!$AN$3),CALCULES!$A17)&gt;0,1,0)</f>
        <v>0</v>
      </c>
      <c r="J17" s="112">
        <f>IF(COUNTIFS(_xlfn.ANCHORARRAY(DATA_CLEANED!$AF$3),CALCULES!J$2,_xlfn.ANCHORARRAY(DATA_CLEANED!$AK$3),CALCULES!$A17)+COUNTIFS(_xlfn.ANCHORARRAY(DATA_CLEANED!$AF$3),CALCULES!J$2,_xlfn.ANCHORARRAY(DATA_CLEANED!$AN$3),CALCULES!$A17)&gt;0,1,0)</f>
        <v>0</v>
      </c>
      <c r="K17" s="112">
        <f>IF(COUNTIFS(_xlfn.ANCHORARRAY(DATA_CLEANED!$AF$3),CALCULES!K$2,_xlfn.ANCHORARRAY(DATA_CLEANED!$AK$3),CALCULES!$A17)+COUNTIFS(_xlfn.ANCHORARRAY(DATA_CLEANED!$AF$3),CALCULES!K$2,_xlfn.ANCHORARRAY(DATA_CLEANED!$AN$3),CALCULES!$A17)&gt;0,1,0)</f>
        <v>0</v>
      </c>
      <c r="L17" s="112">
        <f>IF(COUNTIFS(_xlfn.ANCHORARRAY(DATA_CLEANED!$AF$3),CALCULES!L$2,_xlfn.ANCHORARRAY(DATA_CLEANED!$AK$3),CALCULES!$A17)+COUNTIFS(_xlfn.ANCHORARRAY(DATA_CLEANED!$AF$3),CALCULES!L$2,_xlfn.ANCHORARRAY(DATA_CLEANED!$AN$3),CALCULES!$A17)&gt;0,1,0)</f>
        <v>0</v>
      </c>
      <c r="M17" s="112">
        <f>IF(COUNTIFS(_xlfn.ANCHORARRAY(DATA_CLEANED!$AF$3),CALCULES!M$2,_xlfn.ANCHORARRAY(DATA_CLEANED!$AK$3),CALCULES!$A17)+COUNTIFS(_xlfn.ANCHORARRAY(DATA_CLEANED!$AF$3),CALCULES!M$2,_xlfn.ANCHORARRAY(DATA_CLEANED!$AN$3),CALCULES!$A17)&gt;0,1,0)</f>
        <v>0</v>
      </c>
      <c r="N17" s="112">
        <f>IF(COUNTIFS(_xlfn.ANCHORARRAY(DATA_CLEANED!$AF$3),CALCULES!N$2,_xlfn.ANCHORARRAY(DATA_CLEANED!$AK$3),CALCULES!$A17)+COUNTIFS(_xlfn.ANCHORARRAY(DATA_CLEANED!$AF$3),CALCULES!N$2,_xlfn.ANCHORARRAY(DATA_CLEANED!$AN$3),CALCULES!$A17)&gt;0,1,0)</f>
        <v>0</v>
      </c>
      <c r="O17" s="112">
        <f>IF(COUNTIFS(_xlfn.ANCHORARRAY(DATA_CLEANED!$AF$3),CALCULES!O$2,_xlfn.ANCHORARRAY(DATA_CLEANED!$AK$3),CALCULES!$A17)+COUNTIFS(_xlfn.ANCHORARRAY(DATA_CLEANED!$AF$3),CALCULES!O$2,_xlfn.ANCHORARRAY(DATA_CLEANED!$AN$3),CALCULES!$A17)&gt;0,1,0)</f>
        <v>0</v>
      </c>
      <c r="P17" s="112">
        <f>IF(COUNTIFS(_xlfn.ANCHORARRAY(DATA_CLEANED!$AF$3),CALCULES!P$2,_xlfn.ANCHORARRAY(DATA_CLEANED!$AK$3),CALCULES!$A17)+COUNTIFS(_xlfn.ANCHORARRAY(DATA_CLEANED!$AF$3),CALCULES!P$2,_xlfn.ANCHORARRAY(DATA_CLEANED!$AN$3),CALCULES!$A17)&gt;0,1,0)</f>
        <v>0</v>
      </c>
      <c r="Q17" s="112">
        <f>IF(COUNTIFS(_xlfn.ANCHORARRAY(DATA_CLEANED!$AF$3),CALCULES!Q$2,_xlfn.ANCHORARRAY(DATA_CLEANED!$AK$3),CALCULES!$A17)+COUNTIFS(_xlfn.ANCHORARRAY(DATA_CLEANED!$AF$3),CALCULES!Q$2,_xlfn.ANCHORARRAY(DATA_CLEANED!$AN$3),CALCULES!$A17)&gt;0,1,0)</f>
        <v>0</v>
      </c>
      <c r="R17" s="112">
        <f>IF(COUNTIFS(_xlfn.ANCHORARRAY(DATA_CLEANED!$AF$3),CALCULES!R$2,_xlfn.ANCHORARRAY(DATA_CLEANED!$AK$3),CALCULES!$A17)+COUNTIFS(_xlfn.ANCHORARRAY(DATA_CLEANED!$AF$3),CALCULES!R$2,_xlfn.ANCHORARRAY(DATA_CLEANED!$AN$3),CALCULES!$A17)&gt;0,1,0)</f>
        <v>1</v>
      </c>
      <c r="S17" s="112">
        <f>IF(COUNTIFS(_xlfn.ANCHORARRAY(DATA_CLEANED!$AF$3),CALCULES!S$2,_xlfn.ANCHORARRAY(DATA_CLEANED!$AK$3),CALCULES!$A17)+COUNTIFS(_xlfn.ANCHORARRAY(DATA_CLEANED!$AF$3),CALCULES!S$2,_xlfn.ANCHORARRAY(DATA_CLEANED!$AN$3),CALCULES!$A17)&gt;0,1,0)</f>
        <v>0</v>
      </c>
      <c r="T17" s="112">
        <f>IF(COUNTIFS(_xlfn.ANCHORARRAY(DATA_CLEANED!$AF$3),CALCULES!T$2,_xlfn.ANCHORARRAY(DATA_CLEANED!$AK$3),CALCULES!$A17)+COUNTIFS(_xlfn.ANCHORARRAY(DATA_CLEANED!$AF$3),CALCULES!T$2,_xlfn.ANCHORARRAY(DATA_CLEANED!$AN$3),CALCULES!$A17)&gt;0,1,0)</f>
        <v>0</v>
      </c>
      <c r="U17" s="112">
        <f>IF(COUNTIFS(_xlfn.ANCHORARRAY(DATA_CLEANED!$AF$3),CALCULES!U$2,_xlfn.ANCHORARRAY(DATA_CLEANED!$AK$3),CALCULES!$A17)+COUNTIFS(_xlfn.ANCHORARRAY(DATA_CLEANED!$AF$3),CALCULES!U$2,_xlfn.ANCHORARRAY(DATA_CLEANED!$AN$3),CALCULES!$A17)&gt;0,1,0)</f>
        <v>0</v>
      </c>
      <c r="V17" s="112">
        <f>IF(COUNTIFS(_xlfn.ANCHORARRAY(DATA_CLEANED!$AF$3),CALCULES!V$2,_xlfn.ANCHORARRAY(DATA_CLEANED!$AK$3),CALCULES!$A17)+COUNTIFS(_xlfn.ANCHORARRAY(DATA_CLEANED!$AF$3),CALCULES!V$2,_xlfn.ANCHORARRAY(DATA_CLEANED!$AN$3),CALCULES!$A17)&gt;0,1,0)</f>
        <v>0</v>
      </c>
      <c r="W17" s="112">
        <f>IF(COUNTIFS(_xlfn.ANCHORARRAY(DATA_CLEANED!$AF$3),CALCULES!W$2,_xlfn.ANCHORARRAY(DATA_CLEANED!$AK$3),CALCULES!$A17)+COUNTIFS(_xlfn.ANCHORARRAY(DATA_CLEANED!$AF$3),CALCULES!W$2,_xlfn.ANCHORARRAY(DATA_CLEANED!$AN$3),CALCULES!$A17)&gt;0,1,0)</f>
        <v>0</v>
      </c>
      <c r="X17" s="112">
        <f>IF(COUNTIFS(_xlfn.ANCHORARRAY(DATA_CLEANED!$AF$3),CALCULES!X$2,_xlfn.ANCHORARRAY(DATA_CLEANED!$AK$3),CALCULES!$A17)+COUNTIFS(_xlfn.ANCHORARRAY(DATA_CLEANED!$AF$3),CALCULES!X$2,_xlfn.ANCHORARRAY(DATA_CLEANED!$AN$3),CALCULES!$A17)&gt;0,1,0)</f>
        <v>0</v>
      </c>
      <c r="Y17" s="113">
        <f t="shared" si="0"/>
        <v>1</v>
      </c>
      <c r="AA17" s="112">
        <f>COUNTIF(_xlfn.ANCHORARRAY(DATA_CLEANED!$AK$3),$A17)+COUNTIF(DATA_CLEANED!$AN$2:$AN$1060,$A17)</f>
        <v>3</v>
      </c>
      <c r="AB17" s="112">
        <f>COUNTIF(DATA_QUALITE!BG$12:BG$1069,A17)</f>
        <v>0</v>
      </c>
      <c r="AC17" s="112">
        <f t="shared" si="7"/>
        <v>3</v>
      </c>
      <c r="AD17" s="112" cm="1">
        <f t="array" ref="AD17">SUMPRODUCT((DATA_CLEANED!AL$3:AL$1060=DATA_CLEANED!AM$3:AM$1060)*(_xlfn.ANCHORARRAY(DATA_CLEANED!AK$3)=CALCULES!A17)*(DATA_CLEANED!AO$3:AO$1060&lt;&gt;"-"))
+
SUMPRODUCT((DATA_CLEANED!AL$3:AL$1060=DATA_CLEANED!AM$3:AM$1060)*(_xlfn.ANCHORARRAY(DATA_CLEANED!AN$3)=CALCULES!A17)*(DATA_CLEANED!AO$3:AO$1060&lt;&gt;"-"))</f>
        <v>0</v>
      </c>
      <c r="AE17" s="116">
        <f t="shared" si="1"/>
        <v>0</v>
      </c>
      <c r="AF17" s="116">
        <f t="shared" si="2"/>
        <v>1</v>
      </c>
      <c r="AG17" s="112">
        <f>SUMIF(_xlfn.ANCHORARRAY(DATA_CLEANED!AK$3),A17,DATA_CLEANED!AL$2:AL$1060)+SUMIF(_xlfn.ANCHORARRAY(DATA_CLEANED!AN$3),A17,DATA_CLEANED!AM$2:AM$1060)</f>
        <v>5</v>
      </c>
      <c r="AH17" s="112">
        <f>SUMIF(_xlfn.ANCHORARRAY(DATA_CLEANED!AK$3),A17,DATA_CLEANED!AM$2:AM$1060)+SUMIF(_xlfn.ANCHORARRAY(DATA_CLEANED!AN$3),A17,DATA_CLEANED!AL$2:AL$1060)</f>
        <v>4</v>
      </c>
      <c r="AI17" s="112">
        <f t="shared" si="8"/>
        <v>1.33</v>
      </c>
      <c r="AJ17" s="117" cm="1">
        <f t="array" ref="AJ17">_xlfn.LET(_xlpm.home,IFERROR(_xlfn._xlws.FILTER(DATA_CLEANED!AH$3:AH$1060,DATA_CLEANED!AK$3:AK$1060=CALCULES!A17),""),
_xlpm.away,IFERROR(_xlfn._xlws.FILTER(DATA_CLEANED!AH$3:AH$1060,DATA_CLEANED!AN$3:AN$1060=CALCULES!A17),""),
_xlpm.assemb_t,_xlfn._xlws.FILTER(_xlfn.VSTACK(_xlpm.home,_xlpm.away),_xlfn.VSTACK(_xlpm.home,_xlpm.away)&lt;&gt;""),
_xlpm.but_h,IFERROR(_xlfn._xlws.FILTER(_xlfn.ANCHORARRAY(DATA_CLEANED!AM$3),DATA_CLEANED!AK$3:AK$1060=CALCULES!A17),""),
_xlpm.but_a,IFERROR(_xlfn._xlws.FILTER(_xlfn.ANCHORARRAY(DATA_CLEANED!AL$3),DATA_CLEANED!AN$3:AN$1060=CALCULES!A17),""),
_xlpm.assemb_b,_xlfn._xlws.FILTER(_xlfn.VSTACK(_xlpm.but_h,_xlpm.but_a),_xlfn.VSTACK(_xlpm.but_h,_xlpm.but_a)&lt;&gt;""),
MEDIAN(_xlpm.assemb_t,_xlpm.assemb_b)
)</f>
        <v>3</v>
      </c>
      <c r="AK17" s="113">
        <f t="shared" si="3"/>
        <v>1</v>
      </c>
      <c r="AL17" s="112" cm="1">
        <f t="array" ref="AL17">IFERROR(MEDIAN(_xlfn._xlws.FILTER(_xlfn.VSTACK(
DATA_CLEANED!AL$3:AL$1060-DATA_CLEANED!AM$3:AM$1060,
DATA_CLEANED!AM$3:AM$1060-DATA_CLEANED!AL$3:AL$1060
),_xlfn.VSTACK(DATA_CLEANED!AK$3:AK$1060,DATA_CLEANED!AN$3:AN$1060)=A17)),"-")</f>
        <v>-3</v>
      </c>
      <c r="AM17" s="112">
        <f t="shared" si="9"/>
        <v>1.67</v>
      </c>
      <c r="AN17" s="112" cm="1">
        <f t="array" ref="AN17">_xlfn.LET(_xlpm.home,IFERROR(_xlfn._xlws.FILTER(DATA_CLEANED!AH$3:AH$1060,DATA_CLEANED!AK$3:AK$1060=CALCULES!A17),""),
_xlpm.away,IFERROR(_xlfn._xlws.FILTER(DATA_CLEANED!AH$3:AH$1060,DATA_CLEANED!AN$3:AN$1060=CALCULES!A17),""),
_xlpm.assemb_t,_xlfn._xlws.FILTER(_xlfn.VSTACK(_xlpm.home,_xlpm.away),_xlfn.VSTACK(_xlpm.home,_xlpm.away)&lt;&gt;""),
_xlpm.but_h,IFERROR(_xlfn._xlws.FILTER(_xlfn.ANCHORARRAY(DATA_CLEANED!AL$3),DATA_CLEANED!AK$3:AK$1060=CALCULES!A17),""),
_xlpm.but_a,IFERROR(_xlfn._xlws.FILTER(_xlfn.ANCHORARRAY(DATA_CLEANED!AM$3),DATA_CLEANED!AN$3:AN$1060=CALCULES!A17),""),
_xlpm.assemb_b,_xlfn._xlws.FILTER(_xlfn.VSTACK(_xlpm.but_h,_xlpm.but_a),_xlfn.VSTACK(_xlpm.but_h,_xlpm.but_a)&lt;&gt;""),
MEDIAN(_xlpm.assemb_t,_xlpm.assemb_b)
)</f>
        <v>0</v>
      </c>
      <c r="AO17" s="116">
        <f>ROUND(IFERROR((COUNTIFS(DATA_CLEANED!AK$3:AK$1060,A17,DATA_CLEANED!AM$3:AM$1060,0)
+
COUNTIFS(DATA_CLEANED!AN$3:AN$1060,A17,DATA_CLEANED!AL$3:AL$1060,0)
)/AA17,0),2)</f>
        <v>0</v>
      </c>
      <c r="AP17" s="112">
        <f>MAX((_xlfn.MAXIFS(_xlfn.ANCHORARRAY(DATA_CLEANED!AL$3),_xlfn.ANCHORARRAY(DATA_CLEANED!AK$3),A17)),(_xlfn.MAXIFS(DATA_CLEANED!AM$3:AM$1060,_xlfn.ANCHORARRAY(DATA_CLEANED!AN$3),A17)))</f>
        <v>0</v>
      </c>
      <c r="AQ17" s="112">
        <f>COUNTIF(_xlfn.ANCHORARRAY(DATA_CLEANED!K$3),A17)</f>
        <v>0</v>
      </c>
      <c r="AR17" s="113" t="str" cm="1">
        <f t="array" ref="AR17">_xlfn.LET(
_xlpm.home,IFERROR(_xlfn._xlws.FILTER(DATA_CLEANED!AH$3:AH$1060,DATA_CLEANED!AK$3:AK$1060=CALCULES!A17),""),
_xlpm.away,IFERROR(_xlfn._xlws.FILTER(DATA_CLEANED!AH$3:AH$1060,DATA_CLEANED!AN$3:AN$1060=CALCULES!A17),""),
_xlpm.etapes,_xlfn._xlws.FILTER(_xlfn.VSTACK(_xlpm.home,_xlpm.away),_xlfn.VSTACK(_xlpm.home,_xlpm.away)&lt;&gt;""),
_xlpm.numeros,_xlfn.XLOOKUP(_xlpm.etapes,DATA_QUALITE!AT$12:AT$38,DATA_QUALITE!AU$12:AU$38),
_xlfn.XLOOKUP(MIN(_xlpm.numeros),DATA_QUALITE!AU$12:AU$38,DATA_QUALITE!AT$12:AT$38)
)</f>
        <v>GROUP_STAGE</v>
      </c>
      <c r="AS17" s="112">
        <f t="shared" si="4"/>
        <v>1</v>
      </c>
      <c r="AT17" s="112">
        <f t="shared" si="5"/>
        <v>0</v>
      </c>
      <c r="AU17" s="112">
        <f>COUNTIFS(DATA_QUALITE!BG$12:BG$1069,"MATCH NUL",_xlfn.ANCHORARRAY(DATA_CLEANED!AK$3),CALCULES!A17)+COUNTIFS(DATA_QUALITE!BG$12:BG$1069,"MATCH NUL",_xlfn.ANCHORARRAY(DATA_CLEANED!AN$3),CALCULES!A17)</f>
        <v>0</v>
      </c>
      <c r="AV17" s="112">
        <v>5</v>
      </c>
      <c r="AW17" s="112">
        <f>COUNTIFS(_xlfn.ANCHORARRAY(DATA_CLEANED!AH$3),"QUARTER_FINALS",_xlfn.ANCHORARRAY(DATA_CLEANED!AK$3),CALCULES!A17)+COUNTIFS(_xlfn.ANCHORARRAY(DATA_CLEANED!AH$3),"QUARTER_FINALS",_xlfn.ANCHORARRAY(DATA_CLEANED!AN$3),CALCULES!A17)</f>
        <v>0</v>
      </c>
      <c r="AX17" s="112">
        <f>COUNTIFS(_xlfn.ANCHORARRAY(DATA_CLEANED!AH$3),"SEMI_FINALS",_xlfn.ANCHORARRAY(DATA_CLEANED!AK$3),CALCULES!A17)+COUNTIFS(_xlfn.ANCHORARRAY(DATA_CLEANED!AH$3),"SEMI_FINALS",_xlfn.ANCHORARRAY(DATA_CLEANED!AN$3),CALCULES!A17)</f>
        <v>0</v>
      </c>
      <c r="AY17" s="112">
        <f>COUNTIFS(_xlfn.ANCHORARRAY(DATA_CLEANED!AH$3),"FINAL",_xlfn.ANCHORARRAY(DATA_CLEANED!AK$3),CALCULES!A17)+COUNTIFS(_xlfn.ANCHORARRAY(DATA_CLEANED!AH$3),"FINAL",_xlfn.ANCHORARRAY(DATA_CLEANED!AN$3),CALCULES!A17)</f>
        <v>0</v>
      </c>
      <c r="AZ17" s="112">
        <f>COUNTIFS(DATA_QUALITE!BG$12:BG$1069,CALCULES!A17,DATA_QUALITE!AW$12:AW$1069,"FINAL")</f>
        <v>0</v>
      </c>
      <c r="BA17" s="113">
        <f t="shared" si="6"/>
        <v>0.5</v>
      </c>
      <c r="BB17" s="118">
        <f t="shared" si="10"/>
        <v>0</v>
      </c>
      <c r="BC17" s="118">
        <f t="shared" si="11"/>
        <v>0</v>
      </c>
      <c r="BD17" s="139">
        <f t="shared" si="12"/>
        <v>0</v>
      </c>
      <c r="BF17" s="171"/>
      <c r="BG17" s="171"/>
      <c r="BH17" s="167"/>
      <c r="BI17" s="167"/>
      <c r="BJ17" s="167"/>
      <c r="BK17" s="167"/>
      <c r="BL17" s="173">
        <f>INT((ROWS($BL$15:BL17)-1)/9)</f>
        <v>0</v>
      </c>
      <c r="BM17" s="173">
        <f>MOD(ROWS($BM$15:BM17)-1,9)</f>
        <v>2</v>
      </c>
      <c r="BN17" s="173">
        <f t="shared" si="14"/>
        <v>4.1256278681888442E-2</v>
      </c>
      <c r="BO17" s="167"/>
      <c r="BP17" s="167"/>
      <c r="BQ17" s="167"/>
      <c r="BR17" s="167"/>
      <c r="BS17" s="167"/>
    </row>
    <row r="18" spans="1:71" ht="15.95" customHeight="1">
      <c r="A18" s="113" t="str">
        <v>Colombia</v>
      </c>
      <c r="B18" s="112">
        <f>IF(COUNTIFS(_xlfn.ANCHORARRAY(DATA_CLEANED!$AF$3),CALCULES!B$2,_xlfn.ANCHORARRAY(DATA_CLEANED!$AK$3),CALCULES!$A18)+COUNTIFS(_xlfn.ANCHORARRAY(DATA_CLEANED!$AF$3),CALCULES!B$2,_xlfn.ANCHORARRAY(DATA_CLEANED!$AN$3),CALCULES!$A18)&gt;0,1,0)</f>
        <v>0</v>
      </c>
      <c r="C18" s="112">
        <f>IF(COUNTIFS(_xlfn.ANCHORARRAY(DATA_CLEANED!$AF$3),CALCULES!C$2,_xlfn.ANCHORARRAY(DATA_CLEANED!$AK$3),CALCULES!$A18)+COUNTIFS(_xlfn.ANCHORARRAY(DATA_CLEANED!$AF$3),CALCULES!C$2,_xlfn.ANCHORARRAY(DATA_CLEANED!$AN$3),CALCULES!$A18)&gt;0,1,0)</f>
        <v>0</v>
      </c>
      <c r="D18" s="112">
        <f>IF(COUNTIFS(_xlfn.ANCHORARRAY(DATA_CLEANED!$AF$3),CALCULES!D$2,_xlfn.ANCHORARRAY(DATA_CLEANED!$AK$3),CALCULES!$A18)+COUNTIFS(_xlfn.ANCHORARRAY(DATA_CLEANED!$AF$3),CALCULES!D$2,_xlfn.ANCHORARRAY(DATA_CLEANED!$AN$3),CALCULES!$A18)&gt;0,1,0)</f>
        <v>0</v>
      </c>
      <c r="E18" s="112">
        <f>IF(COUNTIFS(_xlfn.ANCHORARRAY(DATA_CLEANED!$AF$3),CALCULES!E$2,_xlfn.ANCHORARRAY(DATA_CLEANED!$AK$3),CALCULES!$A18)+COUNTIFS(_xlfn.ANCHORARRAY(DATA_CLEANED!$AF$3),CALCULES!E$2,_xlfn.ANCHORARRAY(DATA_CLEANED!$AN$3),CALCULES!$A18)&gt;0,1,0)</f>
        <v>0</v>
      </c>
      <c r="F18" s="112">
        <f>IF(COUNTIFS(_xlfn.ANCHORARRAY(DATA_CLEANED!$AF$3),CALCULES!F$2,_xlfn.ANCHORARRAY(DATA_CLEANED!$AK$3),CALCULES!$A18)+COUNTIFS(_xlfn.ANCHORARRAY(DATA_CLEANED!$AF$3),CALCULES!F$2,_xlfn.ANCHORARRAY(DATA_CLEANED!$AN$3),CALCULES!$A18)&gt;0,1,0)</f>
        <v>0</v>
      </c>
      <c r="G18" s="112">
        <f>IF(COUNTIFS(_xlfn.ANCHORARRAY(DATA_CLEANED!$AF$3),CALCULES!G$2,_xlfn.ANCHORARRAY(DATA_CLEANED!$AK$3),CALCULES!$A18)+COUNTIFS(_xlfn.ANCHORARRAY(DATA_CLEANED!$AF$3),CALCULES!G$2,_xlfn.ANCHORARRAY(DATA_CLEANED!$AN$3),CALCULES!$A18)&gt;0,1,0)</f>
        <v>0</v>
      </c>
      <c r="H18" s="112">
        <f>IF(COUNTIFS(_xlfn.ANCHORARRAY(DATA_CLEANED!$AF$3),CALCULES!H$2,_xlfn.ANCHORARRAY(DATA_CLEANED!$AK$3),CALCULES!$A18)+COUNTIFS(_xlfn.ANCHORARRAY(DATA_CLEANED!$AF$3),CALCULES!H$2,_xlfn.ANCHORARRAY(DATA_CLEANED!$AN$3),CALCULES!$A18)&gt;0,1,0)</f>
        <v>1</v>
      </c>
      <c r="I18" s="112">
        <f>IF(COUNTIFS(_xlfn.ANCHORARRAY(DATA_CLEANED!$AF$3),CALCULES!I$2,_xlfn.ANCHORARRAY(DATA_CLEANED!$AK$3),CALCULES!$A18)+COUNTIFS(_xlfn.ANCHORARRAY(DATA_CLEANED!$AF$3),CALCULES!I$2,_xlfn.ANCHORARRAY(DATA_CLEANED!$AN$3),CALCULES!$A18)&gt;0,1,0)</f>
        <v>0</v>
      </c>
      <c r="J18" s="112">
        <f>IF(COUNTIFS(_xlfn.ANCHORARRAY(DATA_CLEANED!$AF$3),CALCULES!J$2,_xlfn.ANCHORARRAY(DATA_CLEANED!$AK$3),CALCULES!$A18)+COUNTIFS(_xlfn.ANCHORARRAY(DATA_CLEANED!$AF$3),CALCULES!J$2,_xlfn.ANCHORARRAY(DATA_CLEANED!$AN$3),CALCULES!$A18)&gt;0,1,0)</f>
        <v>0</v>
      </c>
      <c r="K18" s="112">
        <f>IF(COUNTIFS(_xlfn.ANCHORARRAY(DATA_CLEANED!$AF$3),CALCULES!K$2,_xlfn.ANCHORARRAY(DATA_CLEANED!$AK$3),CALCULES!$A18)+COUNTIFS(_xlfn.ANCHORARRAY(DATA_CLEANED!$AF$3),CALCULES!K$2,_xlfn.ANCHORARRAY(DATA_CLEANED!$AN$3),CALCULES!$A18)&gt;0,1,0)</f>
        <v>0</v>
      </c>
      <c r="L18" s="112">
        <f>IF(COUNTIFS(_xlfn.ANCHORARRAY(DATA_CLEANED!$AF$3),CALCULES!L$2,_xlfn.ANCHORARRAY(DATA_CLEANED!$AK$3),CALCULES!$A18)+COUNTIFS(_xlfn.ANCHORARRAY(DATA_CLEANED!$AF$3),CALCULES!L$2,_xlfn.ANCHORARRAY(DATA_CLEANED!$AN$3),CALCULES!$A18)&gt;0,1,0)</f>
        <v>0</v>
      </c>
      <c r="M18" s="112">
        <f>IF(COUNTIFS(_xlfn.ANCHORARRAY(DATA_CLEANED!$AF$3),CALCULES!M$2,_xlfn.ANCHORARRAY(DATA_CLEANED!$AK$3),CALCULES!$A18)+COUNTIFS(_xlfn.ANCHORARRAY(DATA_CLEANED!$AF$3),CALCULES!M$2,_xlfn.ANCHORARRAY(DATA_CLEANED!$AN$3),CALCULES!$A18)&gt;0,1,0)</f>
        <v>0</v>
      </c>
      <c r="N18" s="112">
        <f>IF(COUNTIFS(_xlfn.ANCHORARRAY(DATA_CLEANED!$AF$3),CALCULES!N$2,_xlfn.ANCHORARRAY(DATA_CLEANED!$AK$3),CALCULES!$A18)+COUNTIFS(_xlfn.ANCHORARRAY(DATA_CLEANED!$AF$3),CALCULES!N$2,_xlfn.ANCHORARRAY(DATA_CLEANED!$AN$3),CALCULES!$A18)&gt;0,1,0)</f>
        <v>0</v>
      </c>
      <c r="O18" s="112">
        <f>IF(COUNTIFS(_xlfn.ANCHORARRAY(DATA_CLEANED!$AF$3),CALCULES!O$2,_xlfn.ANCHORARRAY(DATA_CLEANED!$AK$3),CALCULES!$A18)+COUNTIFS(_xlfn.ANCHORARRAY(DATA_CLEANED!$AF$3),CALCULES!O$2,_xlfn.ANCHORARRAY(DATA_CLEANED!$AN$3),CALCULES!$A18)&gt;0,1,0)</f>
        <v>1</v>
      </c>
      <c r="P18" s="112">
        <f>IF(COUNTIFS(_xlfn.ANCHORARRAY(DATA_CLEANED!$AF$3),CALCULES!P$2,_xlfn.ANCHORARRAY(DATA_CLEANED!$AK$3),CALCULES!$A18)+COUNTIFS(_xlfn.ANCHORARRAY(DATA_CLEANED!$AF$3),CALCULES!P$2,_xlfn.ANCHORARRAY(DATA_CLEANED!$AN$3),CALCULES!$A18)&gt;0,1,0)</f>
        <v>1</v>
      </c>
      <c r="Q18" s="112">
        <f>IF(COUNTIFS(_xlfn.ANCHORARRAY(DATA_CLEANED!$AF$3),CALCULES!Q$2,_xlfn.ANCHORARRAY(DATA_CLEANED!$AK$3),CALCULES!$A18)+COUNTIFS(_xlfn.ANCHORARRAY(DATA_CLEANED!$AF$3),CALCULES!Q$2,_xlfn.ANCHORARRAY(DATA_CLEANED!$AN$3),CALCULES!$A18)&gt;0,1,0)</f>
        <v>1</v>
      </c>
      <c r="R18" s="112">
        <f>IF(COUNTIFS(_xlfn.ANCHORARRAY(DATA_CLEANED!$AF$3),CALCULES!R$2,_xlfn.ANCHORARRAY(DATA_CLEANED!$AK$3),CALCULES!$A18)+COUNTIFS(_xlfn.ANCHORARRAY(DATA_CLEANED!$AF$3),CALCULES!R$2,_xlfn.ANCHORARRAY(DATA_CLEANED!$AN$3),CALCULES!$A18)&gt;0,1,0)</f>
        <v>0</v>
      </c>
      <c r="S18" s="112">
        <f>IF(COUNTIFS(_xlfn.ANCHORARRAY(DATA_CLEANED!$AF$3),CALCULES!S$2,_xlfn.ANCHORARRAY(DATA_CLEANED!$AK$3),CALCULES!$A18)+COUNTIFS(_xlfn.ANCHORARRAY(DATA_CLEANED!$AF$3),CALCULES!S$2,_xlfn.ANCHORARRAY(DATA_CLEANED!$AN$3),CALCULES!$A18)&gt;0,1,0)</f>
        <v>0</v>
      </c>
      <c r="T18" s="112">
        <f>IF(COUNTIFS(_xlfn.ANCHORARRAY(DATA_CLEANED!$AF$3),CALCULES!T$2,_xlfn.ANCHORARRAY(DATA_CLEANED!$AK$3),CALCULES!$A18)+COUNTIFS(_xlfn.ANCHORARRAY(DATA_CLEANED!$AF$3),CALCULES!T$2,_xlfn.ANCHORARRAY(DATA_CLEANED!$AN$3),CALCULES!$A18)&gt;0,1,0)</f>
        <v>0</v>
      </c>
      <c r="U18" s="112">
        <f>IF(COUNTIFS(_xlfn.ANCHORARRAY(DATA_CLEANED!$AF$3),CALCULES!U$2,_xlfn.ANCHORARRAY(DATA_CLEANED!$AK$3),CALCULES!$A18)+COUNTIFS(_xlfn.ANCHORARRAY(DATA_CLEANED!$AF$3),CALCULES!U$2,_xlfn.ANCHORARRAY(DATA_CLEANED!$AN$3),CALCULES!$A18)&gt;0,1,0)</f>
        <v>1</v>
      </c>
      <c r="V18" s="112">
        <f>IF(COUNTIFS(_xlfn.ANCHORARRAY(DATA_CLEANED!$AF$3),CALCULES!V$2,_xlfn.ANCHORARRAY(DATA_CLEANED!$AK$3),CALCULES!$A18)+COUNTIFS(_xlfn.ANCHORARRAY(DATA_CLEANED!$AF$3),CALCULES!V$2,_xlfn.ANCHORARRAY(DATA_CLEANED!$AN$3),CALCULES!$A18)&gt;0,1,0)</f>
        <v>1</v>
      </c>
      <c r="W18" s="112">
        <f>IF(COUNTIFS(_xlfn.ANCHORARRAY(DATA_CLEANED!$AF$3),CALCULES!W$2,_xlfn.ANCHORARRAY(DATA_CLEANED!$AK$3),CALCULES!$A18)+COUNTIFS(_xlfn.ANCHORARRAY(DATA_CLEANED!$AF$3),CALCULES!W$2,_xlfn.ANCHORARRAY(DATA_CLEANED!$AN$3),CALCULES!$A18)&gt;0,1,0)</f>
        <v>0</v>
      </c>
      <c r="X18" s="112">
        <f>IF(COUNTIFS(_xlfn.ANCHORARRAY(DATA_CLEANED!$AF$3),CALCULES!X$2,_xlfn.ANCHORARRAY(DATA_CLEANED!$AK$3),CALCULES!$A18)+COUNTIFS(_xlfn.ANCHORARRAY(DATA_CLEANED!$AF$3),CALCULES!X$2,_xlfn.ANCHORARRAY(DATA_CLEANED!$AN$3),CALCULES!$A18)&gt;0,1,0)</f>
        <v>1</v>
      </c>
      <c r="Y18" s="113">
        <f t="shared" si="0"/>
        <v>7</v>
      </c>
      <c r="AA18" s="112">
        <f>COUNTIF(_xlfn.ANCHORARRAY(DATA_CLEANED!$AK$3),$A18)+COUNTIF(DATA_CLEANED!$AN$2:$AN$1060,$A18)</f>
        <v>26</v>
      </c>
      <c r="AB18" s="112">
        <f>COUNTIF(DATA_QUALITE!BG$12:BG$1069,A18)</f>
        <v>12</v>
      </c>
      <c r="AC18" s="112">
        <f t="shared" si="7"/>
        <v>12</v>
      </c>
      <c r="AD18" s="112" cm="1">
        <f t="array" ref="AD18">SUMPRODUCT((DATA_CLEANED!AL$3:AL$1060=DATA_CLEANED!AM$3:AM$1060)*(_xlfn.ANCHORARRAY(DATA_CLEANED!AK$3)=CALCULES!A18)*(DATA_CLEANED!AO$3:AO$1060&lt;&gt;"-"))
+
SUMPRODUCT((DATA_CLEANED!AL$3:AL$1060=DATA_CLEANED!AM$3:AM$1060)*(_xlfn.ANCHORARRAY(DATA_CLEANED!AN$3)=CALCULES!A18)*(DATA_CLEANED!AO$3:AO$1060&lt;&gt;"-"))</f>
        <v>2</v>
      </c>
      <c r="AE18" s="116">
        <f t="shared" si="1"/>
        <v>0.46153846153846156</v>
      </c>
      <c r="AF18" s="116">
        <f t="shared" si="2"/>
        <v>0.46153846153846156</v>
      </c>
      <c r="AG18" s="112">
        <f>SUMIF(_xlfn.ANCHORARRAY(DATA_CLEANED!AK$3),A18,DATA_CLEANED!AL$2:AL$1060)+SUMIF(_xlfn.ANCHORARRAY(DATA_CLEANED!AN$3),A18,DATA_CLEANED!AM$2:AM$1060)</f>
        <v>31</v>
      </c>
      <c r="AH18" s="112">
        <f>SUMIF(_xlfn.ANCHORARRAY(DATA_CLEANED!AK$3),A18,DATA_CLEANED!AM$2:AM$1060)+SUMIF(_xlfn.ANCHORARRAY(DATA_CLEANED!AN$3),A18,DATA_CLEANED!AL$2:AL$1060)</f>
        <v>38</v>
      </c>
      <c r="AI18" s="112">
        <f t="shared" si="8"/>
        <v>1.46</v>
      </c>
      <c r="AJ18" s="117" cm="1">
        <f t="array" ref="AJ18">_xlfn.LET(_xlpm.home,IFERROR(_xlfn._xlws.FILTER(DATA_CLEANED!AH$3:AH$1060,DATA_CLEANED!AK$3:AK$1060=CALCULES!A18),""),
_xlpm.away,IFERROR(_xlfn._xlws.FILTER(DATA_CLEANED!AH$3:AH$1060,DATA_CLEANED!AN$3:AN$1060=CALCULES!A18),""),
_xlpm.assemb_t,_xlfn._xlws.FILTER(_xlfn.VSTACK(_xlpm.home,_xlpm.away),_xlfn.VSTACK(_xlpm.home,_xlpm.away)&lt;&gt;""),
_xlpm.but_h,IFERROR(_xlfn._xlws.FILTER(_xlfn.ANCHORARRAY(DATA_CLEANED!AM$3),DATA_CLEANED!AK$3:AK$1060=CALCULES!A18),""),
_xlpm.but_a,IFERROR(_xlfn._xlws.FILTER(_xlfn.ANCHORARRAY(DATA_CLEANED!AL$3),DATA_CLEANED!AN$3:AN$1060=CALCULES!A18),""),
_xlpm.assemb_b,_xlfn._xlws.FILTER(_xlfn.VSTACK(_xlpm.but_h,_xlpm.but_a),_xlfn.VSTACK(_xlpm.but_h,_xlpm.but_a)&lt;&gt;""),
MEDIAN(_xlpm.assemb_t,_xlpm.assemb_b)
)</f>
        <v>1</v>
      </c>
      <c r="AK18" s="113">
        <f t="shared" si="3"/>
        <v>-7</v>
      </c>
      <c r="AL18" s="112" cm="1">
        <f t="array" ref="AL18">IFERROR(MEDIAN(_xlfn._xlws.FILTER(_xlfn.VSTACK(
DATA_CLEANED!AL$3:AL$1060-DATA_CLEANED!AM$3:AM$1060,
DATA_CLEANED!AM$3:AM$1060-DATA_CLEANED!AL$3:AL$1060
),_xlfn.VSTACK(DATA_CLEANED!AK$3:AK$1060,DATA_CLEANED!AN$3:AN$1060)=A18)),"-")</f>
        <v>0</v>
      </c>
      <c r="AM18" s="112">
        <f t="shared" si="9"/>
        <v>1.19</v>
      </c>
      <c r="AN18" s="112" cm="1">
        <f t="array" ref="AN18">_xlfn.LET(_xlpm.home,IFERROR(_xlfn._xlws.FILTER(DATA_CLEANED!AH$3:AH$1060,DATA_CLEANED!AK$3:AK$1060=CALCULES!A18),""),
_xlpm.away,IFERROR(_xlfn._xlws.FILTER(DATA_CLEANED!AH$3:AH$1060,DATA_CLEANED!AN$3:AN$1060=CALCULES!A18),""),
_xlpm.assemb_t,_xlfn._xlws.FILTER(_xlfn.VSTACK(_xlpm.home,_xlpm.away),_xlfn.VSTACK(_xlpm.home,_xlpm.away)&lt;&gt;""),
_xlpm.but_h,IFERROR(_xlfn._xlws.FILTER(_xlfn.ANCHORARRAY(DATA_CLEANED!AL$3),DATA_CLEANED!AK$3:AK$1060=CALCULES!A18),""),
_xlpm.but_a,IFERROR(_xlfn._xlws.FILTER(_xlfn.ANCHORARRAY(DATA_CLEANED!AM$3),DATA_CLEANED!AN$3:AN$1060=CALCULES!A18),""),
_xlpm.assemb_b,_xlfn._xlws.FILTER(_xlfn.VSTACK(_xlpm.but_h,_xlpm.but_a),_xlfn.VSTACK(_xlpm.but_h,_xlpm.but_a)&lt;&gt;""),
MEDIAN(_xlpm.assemb_t,_xlpm.assemb_b)
)</f>
        <v>1</v>
      </c>
      <c r="AO18" s="116">
        <f>ROUND(IFERROR((COUNTIFS(DATA_CLEANED!AK$3:AK$1060,A18,DATA_CLEANED!AM$3:AM$1060,0)
+
COUNTIFS(DATA_CLEANED!AN$3:AN$1060,A18,DATA_CLEANED!AL$3:AL$1060,0)
)/AA18,0),2)</f>
        <v>0.38</v>
      </c>
      <c r="AP18" s="112">
        <f>MAX((_xlfn.MAXIFS(_xlfn.ANCHORARRAY(DATA_CLEANED!AL$3),_xlfn.ANCHORARRAY(DATA_CLEANED!AK$3),A18)),(_xlfn.MAXIFS(DATA_CLEANED!AM$3:AM$1060,_xlfn.ANCHORARRAY(DATA_CLEANED!AN$3),A18)))</f>
        <v>4</v>
      </c>
      <c r="AQ18" s="112">
        <f>COUNTIF(_xlfn.ANCHORARRAY(DATA_CLEANED!K$3),A18)</f>
        <v>9</v>
      </c>
      <c r="AR18" s="113" t="str" cm="1">
        <f t="array" ref="AR18">_xlfn.LET(
_xlpm.home,IFERROR(_xlfn._xlws.FILTER(DATA_CLEANED!AH$3:AH$1060,DATA_CLEANED!AK$3:AK$1060=CALCULES!A18),""),
_xlpm.away,IFERROR(_xlfn._xlws.FILTER(DATA_CLEANED!AH$3:AH$1060,DATA_CLEANED!AN$3:AN$1060=CALCULES!A18),""),
_xlpm.etapes,_xlfn._xlws.FILTER(_xlfn.VSTACK(_xlpm.home,_xlpm.away),_xlfn.VSTACK(_xlpm.home,_xlpm.away)&lt;&gt;""),
_xlpm.numeros,_xlfn.XLOOKUP(_xlpm.etapes,DATA_QUALITE!AT$12:AT$38,DATA_QUALITE!AU$12:AU$38),
_xlfn.XLOOKUP(MIN(_xlpm.numeros),DATA_QUALITE!AU$12:AU$38,DATA_QUALITE!AT$12:AT$38)
)</f>
        <v>QUARTER_FINALS</v>
      </c>
      <c r="AS18" s="112">
        <f t="shared" si="4"/>
        <v>7</v>
      </c>
      <c r="AT18" s="112">
        <f t="shared" si="5"/>
        <v>12</v>
      </c>
      <c r="AU18" s="112">
        <f>COUNTIFS(DATA_QUALITE!BG$12:BG$1069,"MATCH NUL",_xlfn.ANCHORARRAY(DATA_CLEANED!AK$3),CALCULES!A18)+COUNTIFS(DATA_QUALITE!BG$12:BG$1069,"MATCH NUL",_xlfn.ANCHORARRAY(DATA_CLEANED!AN$3),CALCULES!A18)</f>
        <v>2</v>
      </c>
      <c r="AV18" s="112">
        <v>31</v>
      </c>
      <c r="AW18" s="112">
        <f>COUNTIFS(_xlfn.ANCHORARRAY(DATA_CLEANED!AH$3),"QUARTER_FINALS",_xlfn.ANCHORARRAY(DATA_CLEANED!AK$3),CALCULES!A18)+COUNTIFS(_xlfn.ANCHORARRAY(DATA_CLEANED!AH$3),"QUARTER_FINALS",_xlfn.ANCHORARRAY(DATA_CLEANED!AN$3),CALCULES!A18)</f>
        <v>1</v>
      </c>
      <c r="AX18" s="112">
        <f>COUNTIFS(_xlfn.ANCHORARRAY(DATA_CLEANED!AH$3),"SEMI_FINALS",_xlfn.ANCHORARRAY(DATA_CLEANED!AK$3),CALCULES!A18)+COUNTIFS(_xlfn.ANCHORARRAY(DATA_CLEANED!AH$3),"SEMI_FINALS",_xlfn.ANCHORARRAY(DATA_CLEANED!AN$3),CALCULES!A18)</f>
        <v>0</v>
      </c>
      <c r="AY18" s="112">
        <f>COUNTIFS(_xlfn.ANCHORARRAY(DATA_CLEANED!AH$3),"FINAL",_xlfn.ANCHORARRAY(DATA_CLEANED!AK$3),CALCULES!A18)+COUNTIFS(_xlfn.ANCHORARRAY(DATA_CLEANED!AH$3),"FINAL",_xlfn.ANCHORARRAY(DATA_CLEANED!AN$3),CALCULES!A18)</f>
        <v>0</v>
      </c>
      <c r="AZ18" s="112">
        <f>COUNTIFS(DATA_QUALITE!BG$12:BG$1069,CALCULES!A18,DATA_QUALITE!AW$12:AW$1069,"FINAL")</f>
        <v>0</v>
      </c>
      <c r="BA18" s="113">
        <f t="shared" si="6"/>
        <v>42.2</v>
      </c>
      <c r="BB18" s="118">
        <f t="shared" si="10"/>
        <v>16.46</v>
      </c>
      <c r="BC18" s="118">
        <f t="shared" si="11"/>
        <v>18.52</v>
      </c>
      <c r="BD18" s="139">
        <f t="shared" si="12"/>
        <v>17.489999999999998</v>
      </c>
      <c r="BF18" s="176" t="s">
        <v>3900</v>
      </c>
      <c r="BG18" s="177" cm="1">
        <f t="array" ref="BG18">SUMPRODUCT(($BL$4:$BL$12&gt;$BM$3:$BU$3)*$BM$4:$BU$12)</f>
        <v>0.48522351036977707</v>
      </c>
      <c r="BH18" s="167"/>
      <c r="BI18" s="167"/>
      <c r="BJ18" s="167"/>
      <c r="BK18" s="167"/>
      <c r="BL18" s="173">
        <f>INT((ROWS($BL$15:BL18)-1)/9)</f>
        <v>0</v>
      </c>
      <c r="BM18" s="173">
        <f>MOD(ROWS($BM$15:BM18)-1,9)</f>
        <v>3</v>
      </c>
      <c r="BN18" s="173">
        <f t="shared" si="14"/>
        <v>1.5401454242930084E-2</v>
      </c>
      <c r="BO18" s="167"/>
      <c r="BP18" s="167"/>
      <c r="BQ18" s="167"/>
      <c r="BR18" s="167"/>
      <c r="BS18" s="167"/>
    </row>
    <row r="19" spans="1:71" ht="15.95" customHeight="1">
      <c r="A19" s="113" t="str">
        <v>Costa Rica</v>
      </c>
      <c r="B19" s="112">
        <f>IF(COUNTIFS(_xlfn.ANCHORARRAY(DATA_CLEANED!$AF$3),CALCULES!B$2,_xlfn.ANCHORARRAY(DATA_CLEANED!$AK$3),CALCULES!$A19)+COUNTIFS(_xlfn.ANCHORARRAY(DATA_CLEANED!$AF$3),CALCULES!B$2,_xlfn.ANCHORARRAY(DATA_CLEANED!$AN$3),CALCULES!$A19)&gt;0,1,0)</f>
        <v>0</v>
      </c>
      <c r="C19" s="112">
        <f>IF(COUNTIFS(_xlfn.ANCHORARRAY(DATA_CLEANED!$AF$3),CALCULES!C$2,_xlfn.ANCHORARRAY(DATA_CLEANED!$AK$3),CALCULES!$A19)+COUNTIFS(_xlfn.ANCHORARRAY(DATA_CLEANED!$AF$3),CALCULES!C$2,_xlfn.ANCHORARRAY(DATA_CLEANED!$AN$3),CALCULES!$A19)&gt;0,1,0)</f>
        <v>0</v>
      </c>
      <c r="D19" s="112">
        <f>IF(COUNTIFS(_xlfn.ANCHORARRAY(DATA_CLEANED!$AF$3),CALCULES!D$2,_xlfn.ANCHORARRAY(DATA_CLEANED!$AK$3),CALCULES!$A19)+COUNTIFS(_xlfn.ANCHORARRAY(DATA_CLEANED!$AF$3),CALCULES!D$2,_xlfn.ANCHORARRAY(DATA_CLEANED!$AN$3),CALCULES!$A19)&gt;0,1,0)</f>
        <v>0</v>
      </c>
      <c r="E19" s="112">
        <f>IF(COUNTIFS(_xlfn.ANCHORARRAY(DATA_CLEANED!$AF$3),CALCULES!E$2,_xlfn.ANCHORARRAY(DATA_CLEANED!$AK$3),CALCULES!$A19)+COUNTIFS(_xlfn.ANCHORARRAY(DATA_CLEANED!$AF$3),CALCULES!E$2,_xlfn.ANCHORARRAY(DATA_CLEANED!$AN$3),CALCULES!$A19)&gt;0,1,0)</f>
        <v>0</v>
      </c>
      <c r="F19" s="112">
        <f>IF(COUNTIFS(_xlfn.ANCHORARRAY(DATA_CLEANED!$AF$3),CALCULES!F$2,_xlfn.ANCHORARRAY(DATA_CLEANED!$AK$3),CALCULES!$A19)+COUNTIFS(_xlfn.ANCHORARRAY(DATA_CLEANED!$AF$3),CALCULES!F$2,_xlfn.ANCHORARRAY(DATA_CLEANED!$AN$3),CALCULES!$A19)&gt;0,1,0)</f>
        <v>0</v>
      </c>
      <c r="G19" s="112">
        <f>IF(COUNTIFS(_xlfn.ANCHORARRAY(DATA_CLEANED!$AF$3),CALCULES!G$2,_xlfn.ANCHORARRAY(DATA_CLEANED!$AK$3),CALCULES!$A19)+COUNTIFS(_xlfn.ANCHORARRAY(DATA_CLEANED!$AF$3),CALCULES!G$2,_xlfn.ANCHORARRAY(DATA_CLEANED!$AN$3),CALCULES!$A19)&gt;0,1,0)</f>
        <v>0</v>
      </c>
      <c r="H19" s="112">
        <f>IF(COUNTIFS(_xlfn.ANCHORARRAY(DATA_CLEANED!$AF$3),CALCULES!H$2,_xlfn.ANCHORARRAY(DATA_CLEANED!$AK$3),CALCULES!$A19)+COUNTIFS(_xlfn.ANCHORARRAY(DATA_CLEANED!$AF$3),CALCULES!H$2,_xlfn.ANCHORARRAY(DATA_CLEANED!$AN$3),CALCULES!$A19)&gt;0,1,0)</f>
        <v>0</v>
      </c>
      <c r="I19" s="112">
        <f>IF(COUNTIFS(_xlfn.ANCHORARRAY(DATA_CLEANED!$AF$3),CALCULES!I$2,_xlfn.ANCHORARRAY(DATA_CLEANED!$AK$3),CALCULES!$A19)+COUNTIFS(_xlfn.ANCHORARRAY(DATA_CLEANED!$AF$3),CALCULES!I$2,_xlfn.ANCHORARRAY(DATA_CLEANED!$AN$3),CALCULES!$A19)&gt;0,1,0)</f>
        <v>0</v>
      </c>
      <c r="J19" s="112">
        <f>IF(COUNTIFS(_xlfn.ANCHORARRAY(DATA_CLEANED!$AF$3),CALCULES!J$2,_xlfn.ANCHORARRAY(DATA_CLEANED!$AK$3),CALCULES!$A19)+COUNTIFS(_xlfn.ANCHORARRAY(DATA_CLEANED!$AF$3),CALCULES!J$2,_xlfn.ANCHORARRAY(DATA_CLEANED!$AN$3),CALCULES!$A19)&gt;0,1,0)</f>
        <v>0</v>
      </c>
      <c r="K19" s="112">
        <f>IF(COUNTIFS(_xlfn.ANCHORARRAY(DATA_CLEANED!$AF$3),CALCULES!K$2,_xlfn.ANCHORARRAY(DATA_CLEANED!$AK$3),CALCULES!$A19)+COUNTIFS(_xlfn.ANCHORARRAY(DATA_CLEANED!$AF$3),CALCULES!K$2,_xlfn.ANCHORARRAY(DATA_CLEANED!$AN$3),CALCULES!$A19)&gt;0,1,0)</f>
        <v>0</v>
      </c>
      <c r="L19" s="112">
        <f>IF(COUNTIFS(_xlfn.ANCHORARRAY(DATA_CLEANED!$AF$3),CALCULES!L$2,_xlfn.ANCHORARRAY(DATA_CLEANED!$AK$3),CALCULES!$A19)+COUNTIFS(_xlfn.ANCHORARRAY(DATA_CLEANED!$AF$3),CALCULES!L$2,_xlfn.ANCHORARRAY(DATA_CLEANED!$AN$3),CALCULES!$A19)&gt;0,1,0)</f>
        <v>0</v>
      </c>
      <c r="M19" s="112">
        <f>IF(COUNTIFS(_xlfn.ANCHORARRAY(DATA_CLEANED!$AF$3),CALCULES!M$2,_xlfn.ANCHORARRAY(DATA_CLEANED!$AK$3),CALCULES!$A19)+COUNTIFS(_xlfn.ANCHORARRAY(DATA_CLEANED!$AF$3),CALCULES!M$2,_xlfn.ANCHORARRAY(DATA_CLEANED!$AN$3),CALCULES!$A19)&gt;0,1,0)</f>
        <v>0</v>
      </c>
      <c r="N19" s="112">
        <f>IF(COUNTIFS(_xlfn.ANCHORARRAY(DATA_CLEANED!$AF$3),CALCULES!N$2,_xlfn.ANCHORARRAY(DATA_CLEANED!$AK$3),CALCULES!$A19)+COUNTIFS(_xlfn.ANCHORARRAY(DATA_CLEANED!$AF$3),CALCULES!N$2,_xlfn.ANCHORARRAY(DATA_CLEANED!$AN$3),CALCULES!$A19)&gt;0,1,0)</f>
        <v>0</v>
      </c>
      <c r="O19" s="112">
        <f>IF(COUNTIFS(_xlfn.ANCHORARRAY(DATA_CLEANED!$AF$3),CALCULES!O$2,_xlfn.ANCHORARRAY(DATA_CLEANED!$AK$3),CALCULES!$A19)+COUNTIFS(_xlfn.ANCHORARRAY(DATA_CLEANED!$AF$3),CALCULES!O$2,_xlfn.ANCHORARRAY(DATA_CLEANED!$AN$3),CALCULES!$A19)&gt;0,1,0)</f>
        <v>1</v>
      </c>
      <c r="P19" s="112">
        <f>IF(COUNTIFS(_xlfn.ANCHORARRAY(DATA_CLEANED!$AF$3),CALCULES!P$2,_xlfn.ANCHORARRAY(DATA_CLEANED!$AK$3),CALCULES!$A19)+COUNTIFS(_xlfn.ANCHORARRAY(DATA_CLEANED!$AF$3),CALCULES!P$2,_xlfn.ANCHORARRAY(DATA_CLEANED!$AN$3),CALCULES!$A19)&gt;0,1,0)</f>
        <v>0</v>
      </c>
      <c r="Q19" s="112">
        <f>IF(COUNTIFS(_xlfn.ANCHORARRAY(DATA_CLEANED!$AF$3),CALCULES!Q$2,_xlfn.ANCHORARRAY(DATA_CLEANED!$AK$3),CALCULES!$A19)+COUNTIFS(_xlfn.ANCHORARRAY(DATA_CLEANED!$AF$3),CALCULES!Q$2,_xlfn.ANCHORARRAY(DATA_CLEANED!$AN$3),CALCULES!$A19)&gt;0,1,0)</f>
        <v>0</v>
      </c>
      <c r="R19" s="112">
        <f>IF(COUNTIFS(_xlfn.ANCHORARRAY(DATA_CLEANED!$AF$3),CALCULES!R$2,_xlfn.ANCHORARRAY(DATA_CLEANED!$AK$3),CALCULES!$A19)+COUNTIFS(_xlfn.ANCHORARRAY(DATA_CLEANED!$AF$3),CALCULES!R$2,_xlfn.ANCHORARRAY(DATA_CLEANED!$AN$3),CALCULES!$A19)&gt;0,1,0)</f>
        <v>1</v>
      </c>
      <c r="S19" s="112">
        <f>IF(COUNTIFS(_xlfn.ANCHORARRAY(DATA_CLEANED!$AF$3),CALCULES!S$2,_xlfn.ANCHORARRAY(DATA_CLEANED!$AK$3),CALCULES!$A19)+COUNTIFS(_xlfn.ANCHORARRAY(DATA_CLEANED!$AF$3),CALCULES!S$2,_xlfn.ANCHORARRAY(DATA_CLEANED!$AN$3),CALCULES!$A19)&gt;0,1,0)</f>
        <v>1</v>
      </c>
      <c r="T19" s="112">
        <f>IF(COUNTIFS(_xlfn.ANCHORARRAY(DATA_CLEANED!$AF$3),CALCULES!T$2,_xlfn.ANCHORARRAY(DATA_CLEANED!$AK$3),CALCULES!$A19)+COUNTIFS(_xlfn.ANCHORARRAY(DATA_CLEANED!$AF$3),CALCULES!T$2,_xlfn.ANCHORARRAY(DATA_CLEANED!$AN$3),CALCULES!$A19)&gt;0,1,0)</f>
        <v>0</v>
      </c>
      <c r="U19" s="112">
        <f>IF(COUNTIFS(_xlfn.ANCHORARRAY(DATA_CLEANED!$AF$3),CALCULES!U$2,_xlfn.ANCHORARRAY(DATA_CLEANED!$AK$3),CALCULES!$A19)+COUNTIFS(_xlfn.ANCHORARRAY(DATA_CLEANED!$AF$3),CALCULES!U$2,_xlfn.ANCHORARRAY(DATA_CLEANED!$AN$3),CALCULES!$A19)&gt;0,1,0)</f>
        <v>1</v>
      </c>
      <c r="V19" s="112">
        <f>IF(COUNTIFS(_xlfn.ANCHORARRAY(DATA_CLEANED!$AF$3),CALCULES!V$2,_xlfn.ANCHORARRAY(DATA_CLEANED!$AK$3),CALCULES!$A19)+COUNTIFS(_xlfn.ANCHORARRAY(DATA_CLEANED!$AF$3),CALCULES!V$2,_xlfn.ANCHORARRAY(DATA_CLEANED!$AN$3),CALCULES!$A19)&gt;0,1,0)</f>
        <v>1</v>
      </c>
      <c r="W19" s="112">
        <f>IF(COUNTIFS(_xlfn.ANCHORARRAY(DATA_CLEANED!$AF$3),CALCULES!W$2,_xlfn.ANCHORARRAY(DATA_CLEANED!$AK$3),CALCULES!$A19)+COUNTIFS(_xlfn.ANCHORARRAY(DATA_CLEANED!$AF$3),CALCULES!W$2,_xlfn.ANCHORARRAY(DATA_CLEANED!$AN$3),CALCULES!$A19)&gt;0,1,0)</f>
        <v>1</v>
      </c>
      <c r="X19" s="112">
        <f>IF(COUNTIFS(_xlfn.ANCHORARRAY(DATA_CLEANED!$AF$3),CALCULES!X$2,_xlfn.ANCHORARRAY(DATA_CLEANED!$AK$3),CALCULES!$A19)+COUNTIFS(_xlfn.ANCHORARRAY(DATA_CLEANED!$AF$3),CALCULES!X$2,_xlfn.ANCHORARRAY(DATA_CLEANED!$AN$3),CALCULES!$A19)&gt;0,1,0)</f>
        <v>0</v>
      </c>
      <c r="Y19" s="113">
        <f t="shared" si="0"/>
        <v>6</v>
      </c>
      <c r="AA19" s="112">
        <f>COUNTIF(_xlfn.ANCHORARRAY(DATA_CLEANED!$AK$3),$A19)+COUNTIF(DATA_CLEANED!$AN$2:$AN$1060,$A19)</f>
        <v>21</v>
      </c>
      <c r="AB19" s="112">
        <f>COUNTIF(DATA_QUALITE!BG$12:BG$1069,A19)</f>
        <v>7</v>
      </c>
      <c r="AC19" s="112">
        <f t="shared" si="7"/>
        <v>12</v>
      </c>
      <c r="AD19" s="112" cm="1">
        <f t="array" ref="AD19">SUMPRODUCT((DATA_CLEANED!AL$3:AL$1060=DATA_CLEANED!AM$3:AM$1060)*(_xlfn.ANCHORARRAY(DATA_CLEANED!AK$3)=CALCULES!A19)*(DATA_CLEANED!AO$3:AO$1060&lt;&gt;"-"))
+
SUMPRODUCT((DATA_CLEANED!AL$3:AL$1060=DATA_CLEANED!AM$3:AM$1060)*(_xlfn.ANCHORARRAY(DATA_CLEANED!AN$3)=CALCULES!A19)*(DATA_CLEANED!AO$3:AO$1060&lt;&gt;"-"))</f>
        <v>2</v>
      </c>
      <c r="AE19" s="116">
        <f t="shared" si="1"/>
        <v>0.33333333333333331</v>
      </c>
      <c r="AF19" s="116">
        <f t="shared" si="2"/>
        <v>0.5714285714285714</v>
      </c>
      <c r="AG19" s="112">
        <f>SUMIF(_xlfn.ANCHORARRAY(DATA_CLEANED!AK$3),A19,DATA_CLEANED!AL$2:AL$1060)+SUMIF(_xlfn.ANCHORARRAY(DATA_CLEANED!AN$3),A19,DATA_CLEANED!AM$2:AM$1060)</f>
        <v>23</v>
      </c>
      <c r="AH19" s="112">
        <f>SUMIF(_xlfn.ANCHORARRAY(DATA_CLEANED!AK$3),A19,DATA_CLEANED!AM$2:AM$1060)+SUMIF(_xlfn.ANCHORARRAY(DATA_CLEANED!AN$3),A19,DATA_CLEANED!AL$2:AL$1060)</f>
        <v>26</v>
      </c>
      <c r="AI19" s="112">
        <f t="shared" si="8"/>
        <v>1.24</v>
      </c>
      <c r="AJ19" s="117" cm="1">
        <f t="array" ref="AJ19">_xlfn.LET(_xlpm.home,IFERROR(_xlfn._xlws.FILTER(DATA_CLEANED!AH$3:AH$1060,DATA_CLEANED!AK$3:AK$1060=CALCULES!A19),""),
_xlpm.away,IFERROR(_xlfn._xlws.FILTER(DATA_CLEANED!AH$3:AH$1060,DATA_CLEANED!AN$3:AN$1060=CALCULES!A19),""),
_xlpm.assemb_t,_xlfn._xlws.FILTER(_xlfn.VSTACK(_xlpm.home,_xlpm.away),_xlfn.VSTACK(_xlpm.home,_xlpm.away)&lt;&gt;""),
_xlpm.but_h,IFERROR(_xlfn._xlws.FILTER(_xlfn.ANCHORARRAY(DATA_CLEANED!AM$3),DATA_CLEANED!AK$3:AK$1060=CALCULES!A19),""),
_xlpm.but_a,IFERROR(_xlfn._xlws.FILTER(_xlfn.ANCHORARRAY(DATA_CLEANED!AL$3),DATA_CLEANED!AN$3:AN$1060=CALCULES!A19),""),
_xlpm.assemb_b,_xlfn._xlws.FILTER(_xlfn.VSTACK(_xlpm.but_h,_xlpm.but_a),_xlfn.VSTACK(_xlpm.but_h,_xlpm.but_a)&lt;&gt;""),
MEDIAN(_xlpm.assemb_t,_xlpm.assemb_b)
)</f>
        <v>1</v>
      </c>
      <c r="AK19" s="113">
        <f t="shared" si="3"/>
        <v>-3</v>
      </c>
      <c r="AL19" s="112" cm="1">
        <f t="array" ref="AL19">IFERROR(MEDIAN(_xlfn._xlws.FILTER(_xlfn.VSTACK(
DATA_CLEANED!AL$3:AL$1060-DATA_CLEANED!AM$3:AM$1060,
DATA_CLEANED!AM$3:AM$1060-DATA_CLEANED!AL$3:AL$1060
),_xlfn.VSTACK(DATA_CLEANED!AK$3:AK$1060,DATA_CLEANED!AN$3:AN$1060)=A19)),"-")</f>
        <v>0</v>
      </c>
      <c r="AM19" s="112">
        <f t="shared" si="9"/>
        <v>1.1000000000000001</v>
      </c>
      <c r="AN19" s="112" cm="1">
        <f t="array" ref="AN19">_xlfn.LET(_xlpm.home,IFERROR(_xlfn._xlws.FILTER(DATA_CLEANED!AH$3:AH$1060,DATA_CLEANED!AK$3:AK$1060=CALCULES!A19),""),
_xlpm.away,IFERROR(_xlfn._xlws.FILTER(DATA_CLEANED!AH$3:AH$1060,DATA_CLEANED!AN$3:AN$1060=CALCULES!A19),""),
_xlpm.assemb_t,_xlfn._xlws.FILTER(_xlfn.VSTACK(_xlpm.home,_xlpm.away),_xlfn.VSTACK(_xlpm.home,_xlpm.away)&lt;&gt;""),
_xlpm.but_h,IFERROR(_xlfn._xlws.FILTER(_xlfn.ANCHORARRAY(DATA_CLEANED!AL$3),DATA_CLEANED!AK$3:AK$1060=CALCULES!A19),""),
_xlpm.but_a,IFERROR(_xlfn._xlws.FILTER(_xlfn.ANCHORARRAY(DATA_CLEANED!AM$3),DATA_CLEANED!AN$3:AN$1060=CALCULES!A19),""),
_xlpm.assemb_b,_xlfn._xlws.FILTER(_xlfn.VSTACK(_xlpm.but_h,_xlpm.but_a),_xlfn.VSTACK(_xlpm.but_h,_xlpm.but_a)&lt;&gt;""),
MEDIAN(_xlpm.assemb_t,_xlpm.assemb_b)
)</f>
        <v>1</v>
      </c>
      <c r="AO19" s="116">
        <f>ROUND(IFERROR((COUNTIFS(DATA_CLEANED!AK$3:AK$1060,A19,DATA_CLEANED!AM$3:AM$1060,0)
+
COUNTIFS(DATA_CLEANED!AN$3:AN$1060,A19,DATA_CLEANED!AL$3:AL$1060,0)
)/AA19,0),2)</f>
        <v>0.28999999999999998</v>
      </c>
      <c r="AP19" s="112">
        <f>MAX((_xlfn.MAXIFS(_xlfn.ANCHORARRAY(DATA_CLEANED!AL$3),_xlfn.ANCHORARRAY(DATA_CLEANED!AK$3),A19)),(_xlfn.MAXIFS(DATA_CLEANED!AM$3:AM$1060,_xlfn.ANCHORARRAY(DATA_CLEANED!AN$3),A19)))</f>
        <v>3</v>
      </c>
      <c r="AQ19" s="112">
        <f>COUNTIF(_xlfn.ANCHORARRAY(DATA_CLEANED!K$3),A19)</f>
        <v>9</v>
      </c>
      <c r="AR19" s="113" t="str" cm="1">
        <f t="array" ref="AR19">_xlfn.LET(
_xlpm.home,IFERROR(_xlfn._xlws.FILTER(DATA_CLEANED!AH$3:AH$1060,DATA_CLEANED!AK$3:AK$1060=CALCULES!A19),""),
_xlpm.away,IFERROR(_xlfn._xlws.FILTER(DATA_CLEANED!AH$3:AH$1060,DATA_CLEANED!AN$3:AN$1060=CALCULES!A19),""),
_xlpm.etapes,_xlfn._xlws.FILTER(_xlfn.VSTACK(_xlpm.home,_xlpm.away),_xlfn.VSTACK(_xlpm.home,_xlpm.away)&lt;&gt;""),
_xlpm.numeros,_xlfn.XLOOKUP(_xlpm.etapes,DATA_QUALITE!AT$12:AT$38,DATA_QUALITE!AU$12:AU$38),
_xlfn.XLOOKUP(MIN(_xlpm.numeros),DATA_QUALITE!AU$12:AU$38,DATA_QUALITE!AT$12:AT$38)
)</f>
        <v>QUARTER_FINALS</v>
      </c>
      <c r="AS19" s="112">
        <f t="shared" si="4"/>
        <v>6</v>
      </c>
      <c r="AT19" s="112">
        <f t="shared" si="5"/>
        <v>7</v>
      </c>
      <c r="AU19" s="112">
        <f>COUNTIFS(DATA_QUALITE!BG$12:BG$1069,"MATCH NUL",_xlfn.ANCHORARRAY(DATA_CLEANED!AK$3),CALCULES!A19)+COUNTIFS(DATA_QUALITE!BG$12:BG$1069,"MATCH NUL",_xlfn.ANCHORARRAY(DATA_CLEANED!AN$3),CALCULES!A19)</f>
        <v>3</v>
      </c>
      <c r="AV19" s="112">
        <v>23</v>
      </c>
      <c r="AW19" s="112">
        <f>COUNTIFS(_xlfn.ANCHORARRAY(DATA_CLEANED!AH$3),"QUARTER_FINALS",_xlfn.ANCHORARRAY(DATA_CLEANED!AK$3),CALCULES!A19)+COUNTIFS(_xlfn.ANCHORARRAY(DATA_CLEANED!AH$3),"QUARTER_FINALS",_xlfn.ANCHORARRAY(DATA_CLEANED!AN$3),CALCULES!A19)</f>
        <v>1</v>
      </c>
      <c r="AX19" s="112">
        <f>COUNTIFS(_xlfn.ANCHORARRAY(DATA_CLEANED!AH$3),"SEMI_FINALS",_xlfn.ANCHORARRAY(DATA_CLEANED!AK$3),CALCULES!A19)+COUNTIFS(_xlfn.ANCHORARRAY(DATA_CLEANED!AH$3),"SEMI_FINALS",_xlfn.ANCHORARRAY(DATA_CLEANED!AN$3),CALCULES!A19)</f>
        <v>0</v>
      </c>
      <c r="AY19" s="112">
        <f>COUNTIFS(_xlfn.ANCHORARRAY(DATA_CLEANED!AH$3),"FINAL",_xlfn.ANCHORARRAY(DATA_CLEANED!AK$3),CALCULES!A19)+COUNTIFS(_xlfn.ANCHORARRAY(DATA_CLEANED!AH$3),"FINAL",_xlfn.ANCHORARRAY(DATA_CLEANED!AN$3),CALCULES!A19)</f>
        <v>0</v>
      </c>
      <c r="AZ19" s="112">
        <f>COUNTIFS(DATA_QUALITE!BG$12:BG$1069,CALCULES!A19,DATA_QUALITE!AW$12:AW$1069,"FINAL")</f>
        <v>0</v>
      </c>
      <c r="BA19" s="113">
        <f t="shared" si="6"/>
        <v>37.17</v>
      </c>
      <c r="BB19" s="118">
        <f t="shared" si="10"/>
        <v>11.3</v>
      </c>
      <c r="BC19" s="118">
        <f t="shared" si="11"/>
        <v>14.9</v>
      </c>
      <c r="BD19" s="139">
        <f t="shared" si="12"/>
        <v>13.1</v>
      </c>
      <c r="BF19" s="178" t="s">
        <v>3901</v>
      </c>
      <c r="BG19" s="179" cm="1">
        <f t="array" ref="BG19">SUMPRODUCT(($BL$4:$BL$12=$BM$3:$BU$3)*$BM$4:$BU$12)</f>
        <v>0.24848594455408077</v>
      </c>
      <c r="BL19" s="173">
        <f>INT((ROWS($BL$15:BL19)-1)/9)</f>
        <v>0</v>
      </c>
      <c r="BM19" s="173">
        <f>MOD(ROWS($BM$15:BM19)-1,9)</f>
        <v>4</v>
      </c>
      <c r="BN19" s="173">
        <f t="shared" si="14"/>
        <v>4.312158058887218E-3</v>
      </c>
      <c r="BP19" s="167"/>
    </row>
    <row r="20" spans="1:71" ht="14.45" customHeight="1">
      <c r="A20" s="113" t="str">
        <v>Côte d'Ivoire</v>
      </c>
      <c r="B20" s="112">
        <f>IF(COUNTIFS(_xlfn.ANCHORARRAY(DATA_CLEANED!$AF$3),CALCULES!B$2,_xlfn.ANCHORARRAY(DATA_CLEANED!$AK$3),CALCULES!$A20)+COUNTIFS(_xlfn.ANCHORARRAY(DATA_CLEANED!$AF$3),CALCULES!B$2,_xlfn.ANCHORARRAY(DATA_CLEANED!$AN$3),CALCULES!$A20)&gt;0,1,0)</f>
        <v>0</v>
      </c>
      <c r="C20" s="112">
        <f>IF(COUNTIFS(_xlfn.ANCHORARRAY(DATA_CLEANED!$AF$3),CALCULES!C$2,_xlfn.ANCHORARRAY(DATA_CLEANED!$AK$3),CALCULES!$A20)+COUNTIFS(_xlfn.ANCHORARRAY(DATA_CLEANED!$AF$3),CALCULES!C$2,_xlfn.ANCHORARRAY(DATA_CLEANED!$AN$3),CALCULES!$A20)&gt;0,1,0)</f>
        <v>0</v>
      </c>
      <c r="D20" s="112">
        <f>IF(COUNTIFS(_xlfn.ANCHORARRAY(DATA_CLEANED!$AF$3),CALCULES!D$2,_xlfn.ANCHORARRAY(DATA_CLEANED!$AK$3),CALCULES!$A20)+COUNTIFS(_xlfn.ANCHORARRAY(DATA_CLEANED!$AF$3),CALCULES!D$2,_xlfn.ANCHORARRAY(DATA_CLEANED!$AN$3),CALCULES!$A20)&gt;0,1,0)</f>
        <v>0</v>
      </c>
      <c r="E20" s="112">
        <f>IF(COUNTIFS(_xlfn.ANCHORARRAY(DATA_CLEANED!$AF$3),CALCULES!E$2,_xlfn.ANCHORARRAY(DATA_CLEANED!$AK$3),CALCULES!$A20)+COUNTIFS(_xlfn.ANCHORARRAY(DATA_CLEANED!$AF$3),CALCULES!E$2,_xlfn.ANCHORARRAY(DATA_CLEANED!$AN$3),CALCULES!$A20)&gt;0,1,0)</f>
        <v>0</v>
      </c>
      <c r="F20" s="112">
        <f>IF(COUNTIFS(_xlfn.ANCHORARRAY(DATA_CLEANED!$AF$3),CALCULES!F$2,_xlfn.ANCHORARRAY(DATA_CLEANED!$AK$3),CALCULES!$A20)+COUNTIFS(_xlfn.ANCHORARRAY(DATA_CLEANED!$AF$3),CALCULES!F$2,_xlfn.ANCHORARRAY(DATA_CLEANED!$AN$3),CALCULES!$A20)&gt;0,1,0)</f>
        <v>0</v>
      </c>
      <c r="G20" s="112">
        <f>IF(COUNTIFS(_xlfn.ANCHORARRAY(DATA_CLEANED!$AF$3),CALCULES!G$2,_xlfn.ANCHORARRAY(DATA_CLEANED!$AK$3),CALCULES!$A20)+COUNTIFS(_xlfn.ANCHORARRAY(DATA_CLEANED!$AF$3),CALCULES!G$2,_xlfn.ANCHORARRAY(DATA_CLEANED!$AN$3),CALCULES!$A20)&gt;0,1,0)</f>
        <v>0</v>
      </c>
      <c r="H20" s="112">
        <f>IF(COUNTIFS(_xlfn.ANCHORARRAY(DATA_CLEANED!$AF$3),CALCULES!H$2,_xlfn.ANCHORARRAY(DATA_CLEANED!$AK$3),CALCULES!$A20)+COUNTIFS(_xlfn.ANCHORARRAY(DATA_CLEANED!$AF$3),CALCULES!H$2,_xlfn.ANCHORARRAY(DATA_CLEANED!$AN$3),CALCULES!$A20)&gt;0,1,0)</f>
        <v>0</v>
      </c>
      <c r="I20" s="112">
        <f>IF(COUNTIFS(_xlfn.ANCHORARRAY(DATA_CLEANED!$AF$3),CALCULES!I$2,_xlfn.ANCHORARRAY(DATA_CLEANED!$AK$3),CALCULES!$A20)+COUNTIFS(_xlfn.ANCHORARRAY(DATA_CLEANED!$AF$3),CALCULES!I$2,_xlfn.ANCHORARRAY(DATA_CLEANED!$AN$3),CALCULES!$A20)&gt;0,1,0)</f>
        <v>0</v>
      </c>
      <c r="J20" s="112">
        <f>IF(COUNTIFS(_xlfn.ANCHORARRAY(DATA_CLEANED!$AF$3),CALCULES!J$2,_xlfn.ANCHORARRAY(DATA_CLEANED!$AK$3),CALCULES!$A20)+COUNTIFS(_xlfn.ANCHORARRAY(DATA_CLEANED!$AF$3),CALCULES!J$2,_xlfn.ANCHORARRAY(DATA_CLEANED!$AN$3),CALCULES!$A20)&gt;0,1,0)</f>
        <v>0</v>
      </c>
      <c r="K20" s="112">
        <f>IF(COUNTIFS(_xlfn.ANCHORARRAY(DATA_CLEANED!$AF$3),CALCULES!K$2,_xlfn.ANCHORARRAY(DATA_CLEANED!$AK$3),CALCULES!$A20)+COUNTIFS(_xlfn.ANCHORARRAY(DATA_CLEANED!$AF$3),CALCULES!K$2,_xlfn.ANCHORARRAY(DATA_CLEANED!$AN$3),CALCULES!$A20)&gt;0,1,0)</f>
        <v>0</v>
      </c>
      <c r="L20" s="112">
        <f>IF(COUNTIFS(_xlfn.ANCHORARRAY(DATA_CLEANED!$AF$3),CALCULES!L$2,_xlfn.ANCHORARRAY(DATA_CLEANED!$AK$3),CALCULES!$A20)+COUNTIFS(_xlfn.ANCHORARRAY(DATA_CLEANED!$AF$3),CALCULES!L$2,_xlfn.ANCHORARRAY(DATA_CLEANED!$AN$3),CALCULES!$A20)&gt;0,1,0)</f>
        <v>0</v>
      </c>
      <c r="M20" s="112">
        <f>IF(COUNTIFS(_xlfn.ANCHORARRAY(DATA_CLEANED!$AF$3),CALCULES!M$2,_xlfn.ANCHORARRAY(DATA_CLEANED!$AK$3),CALCULES!$A20)+COUNTIFS(_xlfn.ANCHORARRAY(DATA_CLEANED!$AF$3),CALCULES!M$2,_xlfn.ANCHORARRAY(DATA_CLEANED!$AN$3),CALCULES!$A20)&gt;0,1,0)</f>
        <v>0</v>
      </c>
      <c r="N20" s="112">
        <f>IF(COUNTIFS(_xlfn.ANCHORARRAY(DATA_CLEANED!$AF$3),CALCULES!N$2,_xlfn.ANCHORARRAY(DATA_CLEANED!$AK$3),CALCULES!$A20)+COUNTIFS(_xlfn.ANCHORARRAY(DATA_CLEANED!$AF$3),CALCULES!N$2,_xlfn.ANCHORARRAY(DATA_CLEANED!$AN$3),CALCULES!$A20)&gt;0,1,0)</f>
        <v>0</v>
      </c>
      <c r="O20" s="112">
        <f>IF(COUNTIFS(_xlfn.ANCHORARRAY(DATA_CLEANED!$AF$3),CALCULES!O$2,_xlfn.ANCHORARRAY(DATA_CLEANED!$AK$3),CALCULES!$A20)+COUNTIFS(_xlfn.ANCHORARRAY(DATA_CLEANED!$AF$3),CALCULES!O$2,_xlfn.ANCHORARRAY(DATA_CLEANED!$AN$3),CALCULES!$A20)&gt;0,1,0)</f>
        <v>0</v>
      </c>
      <c r="P20" s="112">
        <f>IF(COUNTIFS(_xlfn.ANCHORARRAY(DATA_CLEANED!$AF$3),CALCULES!P$2,_xlfn.ANCHORARRAY(DATA_CLEANED!$AK$3),CALCULES!$A20)+COUNTIFS(_xlfn.ANCHORARRAY(DATA_CLEANED!$AF$3),CALCULES!P$2,_xlfn.ANCHORARRAY(DATA_CLEANED!$AN$3),CALCULES!$A20)&gt;0,1,0)</f>
        <v>0</v>
      </c>
      <c r="Q20" s="112">
        <f>IF(COUNTIFS(_xlfn.ANCHORARRAY(DATA_CLEANED!$AF$3),CALCULES!Q$2,_xlfn.ANCHORARRAY(DATA_CLEANED!$AK$3),CALCULES!$A20)+COUNTIFS(_xlfn.ANCHORARRAY(DATA_CLEANED!$AF$3),CALCULES!Q$2,_xlfn.ANCHORARRAY(DATA_CLEANED!$AN$3),CALCULES!$A20)&gt;0,1,0)</f>
        <v>0</v>
      </c>
      <c r="R20" s="112">
        <f>IF(COUNTIFS(_xlfn.ANCHORARRAY(DATA_CLEANED!$AF$3),CALCULES!R$2,_xlfn.ANCHORARRAY(DATA_CLEANED!$AK$3),CALCULES!$A20)+COUNTIFS(_xlfn.ANCHORARRAY(DATA_CLEANED!$AF$3),CALCULES!R$2,_xlfn.ANCHORARRAY(DATA_CLEANED!$AN$3),CALCULES!$A20)&gt;0,1,0)</f>
        <v>0</v>
      </c>
      <c r="S20" s="112">
        <f>IF(COUNTIFS(_xlfn.ANCHORARRAY(DATA_CLEANED!$AF$3),CALCULES!S$2,_xlfn.ANCHORARRAY(DATA_CLEANED!$AK$3),CALCULES!$A20)+COUNTIFS(_xlfn.ANCHORARRAY(DATA_CLEANED!$AF$3),CALCULES!S$2,_xlfn.ANCHORARRAY(DATA_CLEANED!$AN$3),CALCULES!$A20)&gt;0,1,0)</f>
        <v>1</v>
      </c>
      <c r="T20" s="112">
        <f>IF(COUNTIFS(_xlfn.ANCHORARRAY(DATA_CLEANED!$AF$3),CALCULES!T$2,_xlfn.ANCHORARRAY(DATA_CLEANED!$AK$3),CALCULES!$A20)+COUNTIFS(_xlfn.ANCHORARRAY(DATA_CLEANED!$AF$3),CALCULES!T$2,_xlfn.ANCHORARRAY(DATA_CLEANED!$AN$3),CALCULES!$A20)&gt;0,1,0)</f>
        <v>1</v>
      </c>
      <c r="U20" s="112">
        <f>IF(COUNTIFS(_xlfn.ANCHORARRAY(DATA_CLEANED!$AF$3),CALCULES!U$2,_xlfn.ANCHORARRAY(DATA_CLEANED!$AK$3),CALCULES!$A20)+COUNTIFS(_xlfn.ANCHORARRAY(DATA_CLEANED!$AF$3),CALCULES!U$2,_xlfn.ANCHORARRAY(DATA_CLEANED!$AN$3),CALCULES!$A20)&gt;0,1,0)</f>
        <v>1</v>
      </c>
      <c r="V20" s="112">
        <f>IF(COUNTIFS(_xlfn.ANCHORARRAY(DATA_CLEANED!$AF$3),CALCULES!V$2,_xlfn.ANCHORARRAY(DATA_CLEANED!$AK$3),CALCULES!$A20)+COUNTIFS(_xlfn.ANCHORARRAY(DATA_CLEANED!$AF$3),CALCULES!V$2,_xlfn.ANCHORARRAY(DATA_CLEANED!$AN$3),CALCULES!$A20)&gt;0,1,0)</f>
        <v>0</v>
      </c>
      <c r="W20" s="112">
        <f>IF(COUNTIFS(_xlfn.ANCHORARRAY(DATA_CLEANED!$AF$3),CALCULES!W$2,_xlfn.ANCHORARRAY(DATA_CLEANED!$AK$3),CALCULES!$A20)+COUNTIFS(_xlfn.ANCHORARRAY(DATA_CLEANED!$AF$3),CALCULES!W$2,_xlfn.ANCHORARRAY(DATA_CLEANED!$AN$3),CALCULES!$A20)&gt;0,1,0)</f>
        <v>0</v>
      </c>
      <c r="X20" s="112">
        <f>IF(COUNTIFS(_xlfn.ANCHORARRAY(DATA_CLEANED!$AF$3),CALCULES!X$2,_xlfn.ANCHORARRAY(DATA_CLEANED!$AK$3),CALCULES!$A20)+COUNTIFS(_xlfn.ANCHORARRAY(DATA_CLEANED!$AF$3),CALCULES!X$2,_xlfn.ANCHORARRAY(DATA_CLEANED!$AN$3),CALCULES!$A20)&gt;0,1,0)</f>
        <v>1</v>
      </c>
      <c r="Y20" s="113">
        <f t="shared" si="0"/>
        <v>4</v>
      </c>
      <c r="AA20" s="112">
        <f>COUNTIF(_xlfn.ANCHORARRAY(DATA_CLEANED!$AK$3),$A20)+COUNTIF(DATA_CLEANED!$AN$2:$AN$1060,$A20)</f>
        <v>13</v>
      </c>
      <c r="AB20" s="112">
        <f>COUNTIF(DATA_QUALITE!BG$12:BG$1069,A20)</f>
        <v>5</v>
      </c>
      <c r="AC20" s="112">
        <f t="shared" si="7"/>
        <v>8</v>
      </c>
      <c r="AD20" s="112" cm="1">
        <f t="array" ref="AD20">SUMPRODUCT((DATA_CLEANED!AL$3:AL$1060=DATA_CLEANED!AM$3:AM$1060)*(_xlfn.ANCHORARRAY(DATA_CLEANED!AK$3)=CALCULES!A20)*(DATA_CLEANED!AO$3:AO$1060&lt;&gt;"-"))
+
SUMPRODUCT((DATA_CLEANED!AL$3:AL$1060=DATA_CLEANED!AM$3:AM$1060)*(_xlfn.ANCHORARRAY(DATA_CLEANED!AN$3)=CALCULES!A20)*(DATA_CLEANED!AO$3:AO$1060&lt;&gt;"-"))</f>
        <v>0</v>
      </c>
      <c r="AE20" s="116">
        <f t="shared" si="1"/>
        <v>0.38461538461538464</v>
      </c>
      <c r="AF20" s="116">
        <f t="shared" si="2"/>
        <v>0.61538461538461542</v>
      </c>
      <c r="AG20" s="112">
        <f>SUMIF(_xlfn.ANCHORARRAY(DATA_CLEANED!AK$3),A20,DATA_CLEANED!AL$2:AL$1060)+SUMIF(_xlfn.ANCHORARRAY(DATA_CLEANED!AN$3),A20,DATA_CLEANED!AM$2:AM$1060)</f>
        <v>20</v>
      </c>
      <c r="AH20" s="112">
        <f>SUMIF(_xlfn.ANCHORARRAY(DATA_CLEANED!AK$3),A20,DATA_CLEANED!AM$2:AM$1060)+SUMIF(_xlfn.ANCHORARRAY(DATA_CLEANED!AN$3),A20,DATA_CLEANED!AL$2:AL$1060)</f>
        <v>18</v>
      </c>
      <c r="AI20" s="112">
        <f t="shared" si="8"/>
        <v>1.38</v>
      </c>
      <c r="AJ20" s="117" cm="1">
        <f t="array" ref="AJ20">_xlfn.LET(_xlpm.home,IFERROR(_xlfn._xlws.FILTER(DATA_CLEANED!AH$3:AH$1060,DATA_CLEANED!AK$3:AK$1060=CALCULES!A20),""),
_xlpm.away,IFERROR(_xlfn._xlws.FILTER(DATA_CLEANED!AH$3:AH$1060,DATA_CLEANED!AN$3:AN$1060=CALCULES!A20),""),
_xlpm.assemb_t,_xlfn._xlws.FILTER(_xlfn.VSTACK(_xlpm.home,_xlpm.away),_xlfn.VSTACK(_xlpm.home,_xlpm.away)&lt;&gt;""),
_xlpm.but_h,IFERROR(_xlfn._xlws.FILTER(_xlfn.ANCHORARRAY(DATA_CLEANED!AM$3),DATA_CLEANED!AK$3:AK$1060=CALCULES!A20),""),
_xlpm.but_a,IFERROR(_xlfn._xlws.FILTER(_xlfn.ANCHORARRAY(DATA_CLEANED!AL$3),DATA_CLEANED!AN$3:AN$1060=CALCULES!A20),""),
_xlpm.assemb_b,_xlfn._xlws.FILTER(_xlfn.VSTACK(_xlpm.but_h,_xlpm.but_a),_xlfn.VSTACK(_xlpm.but_h,_xlpm.but_a)&lt;&gt;""),
MEDIAN(_xlpm.assemb_t,_xlpm.assemb_b)
)</f>
        <v>2</v>
      </c>
      <c r="AK20" s="113">
        <f t="shared" si="3"/>
        <v>2</v>
      </c>
      <c r="AL20" s="112" cm="1">
        <f t="array" ref="AL20">IFERROR(MEDIAN(_xlfn._xlws.FILTER(_xlfn.VSTACK(
DATA_CLEANED!AL$3:AL$1060-DATA_CLEANED!AM$3:AM$1060,
DATA_CLEANED!AM$3:AM$1060-DATA_CLEANED!AL$3:AL$1060
),_xlfn.VSTACK(DATA_CLEANED!AK$3:AK$1060,DATA_CLEANED!AN$3:AN$1060)=A20)),"-")</f>
        <v>-1</v>
      </c>
      <c r="AM20" s="112">
        <f t="shared" si="9"/>
        <v>1.54</v>
      </c>
      <c r="AN20" s="112" cm="1">
        <f t="array" ref="AN20">_xlfn.LET(_xlpm.home,IFERROR(_xlfn._xlws.FILTER(DATA_CLEANED!AH$3:AH$1060,DATA_CLEANED!AK$3:AK$1060=CALCULES!A20),""),
_xlpm.away,IFERROR(_xlfn._xlws.FILTER(DATA_CLEANED!AH$3:AH$1060,DATA_CLEANED!AN$3:AN$1060=CALCULES!A20),""),
_xlpm.assemb_t,_xlfn._xlws.FILTER(_xlfn.VSTACK(_xlpm.home,_xlpm.away),_xlfn.VSTACK(_xlpm.home,_xlpm.away)&lt;&gt;""),
_xlpm.but_h,IFERROR(_xlfn._xlws.FILTER(_xlfn.ANCHORARRAY(DATA_CLEANED!AL$3),DATA_CLEANED!AK$3:AK$1060=CALCULES!A20),""),
_xlpm.but_a,IFERROR(_xlfn._xlws.FILTER(_xlfn.ANCHORARRAY(DATA_CLEANED!AM$3),DATA_CLEANED!AN$3:AN$1060=CALCULES!A20),""),
_xlpm.assemb_b,_xlfn._xlws.FILTER(_xlfn.VSTACK(_xlpm.but_h,_xlpm.but_a),_xlfn.VSTACK(_xlpm.but_h,_xlpm.but_a)&lt;&gt;""),
MEDIAN(_xlpm.assemb_t,_xlpm.assemb_b)
)</f>
        <v>1</v>
      </c>
      <c r="AO20" s="116">
        <f>ROUND(IFERROR((COUNTIFS(DATA_CLEANED!AK$3:AK$1060,A20,DATA_CLEANED!AM$3:AM$1060,0)
+
COUNTIFS(DATA_CLEANED!AN$3:AN$1060,A20,DATA_CLEANED!AL$3:AL$1060,0)
)/AA20,0),2)</f>
        <v>0.31</v>
      </c>
      <c r="AP20" s="112">
        <f>MAX((_xlfn.MAXIFS(_xlfn.ANCHORARRAY(DATA_CLEANED!AL$3),_xlfn.ANCHORARRAY(DATA_CLEANED!AK$3),A20)),(_xlfn.MAXIFS(DATA_CLEANED!AM$3:AM$1060,_xlfn.ANCHORARRAY(DATA_CLEANED!AN$3),A20)))</f>
        <v>3</v>
      </c>
      <c r="AQ20" s="112">
        <f>COUNTIF(_xlfn.ANCHORARRAY(DATA_CLEANED!K$3),A20)</f>
        <v>0</v>
      </c>
      <c r="AR20" s="113" t="str" cm="1">
        <f t="array" ref="AR20">_xlfn.LET(
_xlpm.home,IFERROR(_xlfn._xlws.FILTER(DATA_CLEANED!AH$3:AH$1060,DATA_CLEANED!AK$3:AK$1060=CALCULES!A20),""),
_xlpm.away,IFERROR(_xlfn._xlws.FILTER(DATA_CLEANED!AH$3:AH$1060,DATA_CLEANED!AN$3:AN$1060=CALCULES!A20),""),
_xlpm.etapes,_xlfn._xlws.FILTER(_xlfn.VSTACK(_xlpm.home,_xlpm.away),_xlfn.VSTACK(_xlpm.home,_xlpm.away)&lt;&gt;""),
_xlpm.numeros,_xlfn.XLOOKUP(_xlpm.etapes,DATA_QUALITE!AT$12:AT$38,DATA_QUALITE!AU$12:AU$38),
_xlfn.XLOOKUP(MIN(_xlpm.numeros),DATA_QUALITE!AU$12:AU$38,DATA_QUALITE!AT$12:AT$38)
)</f>
        <v>ROUND_OF_32</v>
      </c>
      <c r="AS20" s="112">
        <f t="shared" si="4"/>
        <v>4</v>
      </c>
      <c r="AT20" s="112">
        <f t="shared" si="5"/>
        <v>5</v>
      </c>
      <c r="AU20" s="112">
        <f>COUNTIFS(DATA_QUALITE!BG$12:BG$1069,"MATCH NUL",_xlfn.ANCHORARRAY(DATA_CLEANED!AK$3),CALCULES!A20)+COUNTIFS(DATA_QUALITE!BG$12:BG$1069,"MATCH NUL",_xlfn.ANCHORARRAY(DATA_CLEANED!AN$3),CALCULES!A20)</f>
        <v>1</v>
      </c>
      <c r="AV20" s="112">
        <v>20</v>
      </c>
      <c r="AW20" s="112">
        <f>COUNTIFS(_xlfn.ANCHORARRAY(DATA_CLEANED!AH$3),"QUARTER_FINALS",_xlfn.ANCHORARRAY(DATA_CLEANED!AK$3),CALCULES!A20)+COUNTIFS(_xlfn.ANCHORARRAY(DATA_CLEANED!AH$3),"QUARTER_FINALS",_xlfn.ANCHORARRAY(DATA_CLEANED!AN$3),CALCULES!A20)</f>
        <v>0</v>
      </c>
      <c r="AX20" s="112">
        <f>COUNTIFS(_xlfn.ANCHORARRAY(DATA_CLEANED!AH$3),"SEMI_FINALS",_xlfn.ANCHORARRAY(DATA_CLEANED!AK$3),CALCULES!A20)+COUNTIFS(_xlfn.ANCHORARRAY(DATA_CLEANED!AH$3),"SEMI_FINALS",_xlfn.ANCHORARRAY(DATA_CLEANED!AN$3),CALCULES!A20)</f>
        <v>0</v>
      </c>
      <c r="AY20" s="112">
        <f>COUNTIFS(_xlfn.ANCHORARRAY(DATA_CLEANED!AH$3),"FINAL",_xlfn.ANCHORARRAY(DATA_CLEANED!AK$3),CALCULES!A20)+COUNTIFS(_xlfn.ANCHORARRAY(DATA_CLEANED!AH$3),"FINAL",_xlfn.ANCHORARRAY(DATA_CLEANED!AN$3),CALCULES!A20)</f>
        <v>0</v>
      </c>
      <c r="AZ20" s="112">
        <f>COUNTIFS(DATA_QUALITE!BG$12:BG$1069,CALCULES!A20,DATA_QUALITE!AW$12:AW$1069,"FINAL")</f>
        <v>0</v>
      </c>
      <c r="BA20" s="113">
        <f t="shared" si="6"/>
        <v>32.880000000000003</v>
      </c>
      <c r="BB20" s="118">
        <f t="shared" si="10"/>
        <v>11.97</v>
      </c>
      <c r="BC20" s="118">
        <f t="shared" si="11"/>
        <v>9.5299999999999994</v>
      </c>
      <c r="BD20" s="139">
        <f t="shared" si="12"/>
        <v>10.75</v>
      </c>
      <c r="BF20" s="176" t="s">
        <v>3902</v>
      </c>
      <c r="BG20" s="177" cm="1">
        <f t="array" ref="BG20">SUMPRODUCT(($BL$4:$BL$12&lt;$BM$3:$BU$3)*$BM$4:$BU$12)</f>
        <v>0.26624206220740798</v>
      </c>
      <c r="BL20" s="173">
        <f>INT((ROWS($BL$15:BL20)-1)/9)</f>
        <v>0</v>
      </c>
      <c r="BM20" s="173">
        <f>MOD(ROWS($BM$15:BM20)-1,9)</f>
        <v>5</v>
      </c>
      <c r="BN20" s="173">
        <f t="shared" si="14"/>
        <v>9.6586760348876506E-4</v>
      </c>
      <c r="BP20" s="167"/>
    </row>
    <row r="21" spans="1:71" ht="14.45" customHeight="1">
      <c r="A21" s="113" t="str">
        <v>Croatia</v>
      </c>
      <c r="B21" s="112">
        <f>IF(COUNTIFS(_xlfn.ANCHORARRAY(DATA_CLEANED!$AF$3),CALCULES!B$2,_xlfn.ANCHORARRAY(DATA_CLEANED!$AK$3),CALCULES!$A21)+COUNTIFS(_xlfn.ANCHORARRAY(DATA_CLEANED!$AF$3),CALCULES!B$2,_xlfn.ANCHORARRAY(DATA_CLEANED!$AN$3),CALCULES!$A21)&gt;0,1,0)</f>
        <v>0</v>
      </c>
      <c r="C21" s="112">
        <f>IF(COUNTIFS(_xlfn.ANCHORARRAY(DATA_CLEANED!$AF$3),CALCULES!C$2,_xlfn.ANCHORARRAY(DATA_CLEANED!$AK$3),CALCULES!$A21)+COUNTIFS(_xlfn.ANCHORARRAY(DATA_CLEANED!$AF$3),CALCULES!C$2,_xlfn.ANCHORARRAY(DATA_CLEANED!$AN$3),CALCULES!$A21)&gt;0,1,0)</f>
        <v>0</v>
      </c>
      <c r="D21" s="112">
        <f>IF(COUNTIFS(_xlfn.ANCHORARRAY(DATA_CLEANED!$AF$3),CALCULES!D$2,_xlfn.ANCHORARRAY(DATA_CLEANED!$AK$3),CALCULES!$A21)+COUNTIFS(_xlfn.ANCHORARRAY(DATA_CLEANED!$AF$3),CALCULES!D$2,_xlfn.ANCHORARRAY(DATA_CLEANED!$AN$3),CALCULES!$A21)&gt;0,1,0)</f>
        <v>0</v>
      </c>
      <c r="E21" s="112">
        <f>IF(COUNTIFS(_xlfn.ANCHORARRAY(DATA_CLEANED!$AF$3),CALCULES!E$2,_xlfn.ANCHORARRAY(DATA_CLEANED!$AK$3),CALCULES!$A21)+COUNTIFS(_xlfn.ANCHORARRAY(DATA_CLEANED!$AF$3),CALCULES!E$2,_xlfn.ANCHORARRAY(DATA_CLEANED!$AN$3),CALCULES!$A21)&gt;0,1,0)</f>
        <v>0</v>
      </c>
      <c r="F21" s="112">
        <f>IF(COUNTIFS(_xlfn.ANCHORARRAY(DATA_CLEANED!$AF$3),CALCULES!F$2,_xlfn.ANCHORARRAY(DATA_CLEANED!$AK$3),CALCULES!$A21)+COUNTIFS(_xlfn.ANCHORARRAY(DATA_CLEANED!$AF$3),CALCULES!F$2,_xlfn.ANCHORARRAY(DATA_CLEANED!$AN$3),CALCULES!$A21)&gt;0,1,0)</f>
        <v>0</v>
      </c>
      <c r="G21" s="112">
        <f>IF(COUNTIFS(_xlfn.ANCHORARRAY(DATA_CLEANED!$AF$3),CALCULES!G$2,_xlfn.ANCHORARRAY(DATA_CLEANED!$AK$3),CALCULES!$A21)+COUNTIFS(_xlfn.ANCHORARRAY(DATA_CLEANED!$AF$3),CALCULES!G$2,_xlfn.ANCHORARRAY(DATA_CLEANED!$AN$3),CALCULES!$A21)&gt;0,1,0)</f>
        <v>0</v>
      </c>
      <c r="H21" s="112">
        <f>IF(COUNTIFS(_xlfn.ANCHORARRAY(DATA_CLEANED!$AF$3),CALCULES!H$2,_xlfn.ANCHORARRAY(DATA_CLEANED!$AK$3),CALCULES!$A21)+COUNTIFS(_xlfn.ANCHORARRAY(DATA_CLEANED!$AF$3),CALCULES!H$2,_xlfn.ANCHORARRAY(DATA_CLEANED!$AN$3),CALCULES!$A21)&gt;0,1,0)</f>
        <v>0</v>
      </c>
      <c r="I21" s="112">
        <f>IF(COUNTIFS(_xlfn.ANCHORARRAY(DATA_CLEANED!$AF$3),CALCULES!I$2,_xlfn.ANCHORARRAY(DATA_CLEANED!$AK$3),CALCULES!$A21)+COUNTIFS(_xlfn.ANCHORARRAY(DATA_CLEANED!$AF$3),CALCULES!I$2,_xlfn.ANCHORARRAY(DATA_CLEANED!$AN$3),CALCULES!$A21)&gt;0,1,0)</f>
        <v>0</v>
      </c>
      <c r="J21" s="112">
        <f>IF(COUNTIFS(_xlfn.ANCHORARRAY(DATA_CLEANED!$AF$3),CALCULES!J$2,_xlfn.ANCHORARRAY(DATA_CLEANED!$AK$3),CALCULES!$A21)+COUNTIFS(_xlfn.ANCHORARRAY(DATA_CLEANED!$AF$3),CALCULES!J$2,_xlfn.ANCHORARRAY(DATA_CLEANED!$AN$3),CALCULES!$A21)&gt;0,1,0)</f>
        <v>0</v>
      </c>
      <c r="K21" s="112">
        <f>IF(COUNTIFS(_xlfn.ANCHORARRAY(DATA_CLEANED!$AF$3),CALCULES!K$2,_xlfn.ANCHORARRAY(DATA_CLEANED!$AK$3),CALCULES!$A21)+COUNTIFS(_xlfn.ANCHORARRAY(DATA_CLEANED!$AF$3),CALCULES!K$2,_xlfn.ANCHORARRAY(DATA_CLEANED!$AN$3),CALCULES!$A21)&gt;0,1,0)</f>
        <v>0</v>
      </c>
      <c r="L21" s="112">
        <f>IF(COUNTIFS(_xlfn.ANCHORARRAY(DATA_CLEANED!$AF$3),CALCULES!L$2,_xlfn.ANCHORARRAY(DATA_CLEANED!$AK$3),CALCULES!$A21)+COUNTIFS(_xlfn.ANCHORARRAY(DATA_CLEANED!$AF$3),CALCULES!L$2,_xlfn.ANCHORARRAY(DATA_CLEANED!$AN$3),CALCULES!$A21)&gt;0,1,0)</f>
        <v>0</v>
      </c>
      <c r="M21" s="112">
        <f>IF(COUNTIFS(_xlfn.ANCHORARRAY(DATA_CLEANED!$AF$3),CALCULES!M$2,_xlfn.ANCHORARRAY(DATA_CLEANED!$AK$3),CALCULES!$A21)+COUNTIFS(_xlfn.ANCHORARRAY(DATA_CLEANED!$AF$3),CALCULES!M$2,_xlfn.ANCHORARRAY(DATA_CLEANED!$AN$3),CALCULES!$A21)&gt;0,1,0)</f>
        <v>0</v>
      </c>
      <c r="N21" s="112">
        <f>IF(COUNTIFS(_xlfn.ANCHORARRAY(DATA_CLEANED!$AF$3),CALCULES!N$2,_xlfn.ANCHORARRAY(DATA_CLEANED!$AK$3),CALCULES!$A21)+COUNTIFS(_xlfn.ANCHORARRAY(DATA_CLEANED!$AF$3),CALCULES!N$2,_xlfn.ANCHORARRAY(DATA_CLEANED!$AN$3),CALCULES!$A21)&gt;0,1,0)</f>
        <v>0</v>
      </c>
      <c r="O21" s="112">
        <f>IF(COUNTIFS(_xlfn.ANCHORARRAY(DATA_CLEANED!$AF$3),CALCULES!O$2,_xlfn.ANCHORARRAY(DATA_CLEANED!$AK$3),CALCULES!$A21)+COUNTIFS(_xlfn.ANCHORARRAY(DATA_CLEANED!$AF$3),CALCULES!O$2,_xlfn.ANCHORARRAY(DATA_CLEANED!$AN$3),CALCULES!$A21)&gt;0,1,0)</f>
        <v>0</v>
      </c>
      <c r="P21" s="112">
        <f>IF(COUNTIFS(_xlfn.ANCHORARRAY(DATA_CLEANED!$AF$3),CALCULES!P$2,_xlfn.ANCHORARRAY(DATA_CLEANED!$AK$3),CALCULES!$A21)+COUNTIFS(_xlfn.ANCHORARRAY(DATA_CLEANED!$AF$3),CALCULES!P$2,_xlfn.ANCHORARRAY(DATA_CLEANED!$AN$3),CALCULES!$A21)&gt;0,1,0)</f>
        <v>0</v>
      </c>
      <c r="Q21" s="112">
        <f>IF(COUNTIFS(_xlfn.ANCHORARRAY(DATA_CLEANED!$AF$3),CALCULES!Q$2,_xlfn.ANCHORARRAY(DATA_CLEANED!$AK$3),CALCULES!$A21)+COUNTIFS(_xlfn.ANCHORARRAY(DATA_CLEANED!$AF$3),CALCULES!Q$2,_xlfn.ANCHORARRAY(DATA_CLEANED!$AN$3),CALCULES!$A21)&gt;0,1,0)</f>
        <v>1</v>
      </c>
      <c r="R21" s="112">
        <f>IF(COUNTIFS(_xlfn.ANCHORARRAY(DATA_CLEANED!$AF$3),CALCULES!R$2,_xlfn.ANCHORARRAY(DATA_CLEANED!$AK$3),CALCULES!$A21)+COUNTIFS(_xlfn.ANCHORARRAY(DATA_CLEANED!$AF$3),CALCULES!R$2,_xlfn.ANCHORARRAY(DATA_CLEANED!$AN$3),CALCULES!$A21)&gt;0,1,0)</f>
        <v>1</v>
      </c>
      <c r="S21" s="112">
        <f>IF(COUNTIFS(_xlfn.ANCHORARRAY(DATA_CLEANED!$AF$3),CALCULES!S$2,_xlfn.ANCHORARRAY(DATA_CLEANED!$AK$3),CALCULES!$A21)+COUNTIFS(_xlfn.ANCHORARRAY(DATA_CLEANED!$AF$3),CALCULES!S$2,_xlfn.ANCHORARRAY(DATA_CLEANED!$AN$3),CALCULES!$A21)&gt;0,1,0)</f>
        <v>1</v>
      </c>
      <c r="T21" s="112">
        <f>IF(COUNTIFS(_xlfn.ANCHORARRAY(DATA_CLEANED!$AF$3),CALCULES!T$2,_xlfn.ANCHORARRAY(DATA_CLEANED!$AK$3),CALCULES!$A21)+COUNTIFS(_xlfn.ANCHORARRAY(DATA_CLEANED!$AF$3),CALCULES!T$2,_xlfn.ANCHORARRAY(DATA_CLEANED!$AN$3),CALCULES!$A21)&gt;0,1,0)</f>
        <v>0</v>
      </c>
      <c r="U21" s="112">
        <f>IF(COUNTIFS(_xlfn.ANCHORARRAY(DATA_CLEANED!$AF$3),CALCULES!U$2,_xlfn.ANCHORARRAY(DATA_CLEANED!$AK$3),CALCULES!$A21)+COUNTIFS(_xlfn.ANCHORARRAY(DATA_CLEANED!$AF$3),CALCULES!U$2,_xlfn.ANCHORARRAY(DATA_CLEANED!$AN$3),CALCULES!$A21)&gt;0,1,0)</f>
        <v>1</v>
      </c>
      <c r="V21" s="112">
        <f>IF(COUNTIFS(_xlfn.ANCHORARRAY(DATA_CLEANED!$AF$3),CALCULES!V$2,_xlfn.ANCHORARRAY(DATA_CLEANED!$AK$3),CALCULES!$A21)+COUNTIFS(_xlfn.ANCHORARRAY(DATA_CLEANED!$AF$3),CALCULES!V$2,_xlfn.ANCHORARRAY(DATA_CLEANED!$AN$3),CALCULES!$A21)&gt;0,1,0)</f>
        <v>1</v>
      </c>
      <c r="W21" s="112">
        <f>IF(COUNTIFS(_xlfn.ANCHORARRAY(DATA_CLEANED!$AF$3),CALCULES!W$2,_xlfn.ANCHORARRAY(DATA_CLEANED!$AK$3),CALCULES!$A21)+COUNTIFS(_xlfn.ANCHORARRAY(DATA_CLEANED!$AF$3),CALCULES!W$2,_xlfn.ANCHORARRAY(DATA_CLEANED!$AN$3),CALCULES!$A21)&gt;0,1,0)</f>
        <v>1</v>
      </c>
      <c r="X21" s="112">
        <f>IF(COUNTIFS(_xlfn.ANCHORARRAY(DATA_CLEANED!$AF$3),CALCULES!X$2,_xlfn.ANCHORARRAY(DATA_CLEANED!$AK$3),CALCULES!$A21)+COUNTIFS(_xlfn.ANCHORARRAY(DATA_CLEANED!$AF$3),CALCULES!X$2,_xlfn.ANCHORARRAY(DATA_CLEANED!$AN$3),CALCULES!$A21)&gt;0,1,0)</f>
        <v>1</v>
      </c>
      <c r="Y21" s="113">
        <f t="shared" si="0"/>
        <v>7</v>
      </c>
      <c r="AA21" s="112">
        <f>COUNTIF(_xlfn.ANCHORARRAY(DATA_CLEANED!$AK$3),$A21)+COUNTIF(DATA_CLEANED!$AN$2:$AN$1060,$A21)</f>
        <v>34</v>
      </c>
      <c r="AB21" s="112">
        <f>COUNTIF(DATA_QUALITE!BG$12:BG$1069,A21)</f>
        <v>19</v>
      </c>
      <c r="AC21" s="112">
        <f t="shared" si="7"/>
        <v>11</v>
      </c>
      <c r="AD21" s="112" cm="1">
        <f t="array" ref="AD21">SUMPRODUCT((DATA_CLEANED!AL$3:AL$1060=DATA_CLEANED!AM$3:AM$1060)*(_xlfn.ANCHORARRAY(DATA_CLEANED!AK$3)=CALCULES!A21)*(DATA_CLEANED!AO$3:AO$1060&lt;&gt;"-"))
+
SUMPRODUCT((DATA_CLEANED!AL$3:AL$1060=DATA_CLEANED!AM$3:AM$1060)*(_xlfn.ANCHORARRAY(DATA_CLEANED!AN$3)=CALCULES!A21)*(DATA_CLEANED!AO$3:AO$1060&lt;&gt;"-"))</f>
        <v>4</v>
      </c>
      <c r="AE21" s="116">
        <f t="shared" si="1"/>
        <v>0.55882352941176472</v>
      </c>
      <c r="AF21" s="116">
        <f t="shared" si="2"/>
        <v>0.3235294117647059</v>
      </c>
      <c r="AG21" s="112">
        <f>SUMIF(_xlfn.ANCHORARRAY(DATA_CLEANED!AK$3),A21,DATA_CLEANED!AL$2:AL$1060)+SUMIF(_xlfn.ANCHORARRAY(DATA_CLEANED!AN$3),A21,DATA_CLEANED!AM$2:AM$1060)</f>
        <v>34</v>
      </c>
      <c r="AH21" s="112">
        <f>SUMIF(_xlfn.ANCHORARRAY(DATA_CLEANED!AK$3),A21,DATA_CLEANED!AM$2:AM$1060)+SUMIF(_xlfn.ANCHORARRAY(DATA_CLEANED!AN$3),A21,DATA_CLEANED!AL$2:AL$1060)</f>
        <v>49</v>
      </c>
      <c r="AI21" s="112">
        <f t="shared" si="8"/>
        <v>1.44</v>
      </c>
      <c r="AJ21" s="117" cm="1">
        <f t="array" ref="AJ21">_xlfn.LET(_xlpm.home,IFERROR(_xlfn._xlws.FILTER(DATA_CLEANED!AH$3:AH$1060,DATA_CLEANED!AK$3:AK$1060=CALCULES!A21),""),
_xlpm.away,IFERROR(_xlfn._xlws.FILTER(DATA_CLEANED!AH$3:AH$1060,DATA_CLEANED!AN$3:AN$1060=CALCULES!A21),""),
_xlpm.assemb_t,_xlfn._xlws.FILTER(_xlfn.VSTACK(_xlpm.home,_xlpm.away),_xlfn.VSTACK(_xlpm.home,_xlpm.away)&lt;&gt;""),
_xlpm.but_h,IFERROR(_xlfn._xlws.FILTER(_xlfn.ANCHORARRAY(DATA_CLEANED!AM$3),DATA_CLEANED!AK$3:AK$1060=CALCULES!A21),""),
_xlpm.but_a,IFERROR(_xlfn._xlws.FILTER(_xlfn.ANCHORARRAY(DATA_CLEANED!AL$3),DATA_CLEANED!AN$3:AN$1060=CALCULES!A21),""),
_xlpm.assemb_b,_xlfn._xlws.FILTER(_xlfn.VSTACK(_xlpm.but_h,_xlpm.but_a),_xlfn.VSTACK(_xlpm.but_h,_xlpm.but_a)&lt;&gt;""),
MEDIAN(_xlpm.assemb_t,_xlpm.assemb_b)
)</f>
        <v>1</v>
      </c>
      <c r="AK21" s="113">
        <f t="shared" si="3"/>
        <v>-15</v>
      </c>
      <c r="AL21" s="112" cm="1">
        <f t="array" ref="AL21">IFERROR(MEDIAN(_xlfn._xlws.FILTER(_xlfn.VSTACK(
DATA_CLEANED!AL$3:AL$1060-DATA_CLEANED!AM$3:AM$1060,
DATA_CLEANED!AM$3:AM$1060-DATA_CLEANED!AL$3:AL$1060
),_xlfn.VSTACK(DATA_CLEANED!AK$3:AK$1060,DATA_CLEANED!AN$3:AN$1060)=A21)),"-")</f>
        <v>0</v>
      </c>
      <c r="AM21" s="112">
        <f t="shared" si="9"/>
        <v>1</v>
      </c>
      <c r="AN21" s="112" cm="1">
        <f t="array" ref="AN21">_xlfn.LET(_xlpm.home,IFERROR(_xlfn._xlws.FILTER(DATA_CLEANED!AH$3:AH$1060,DATA_CLEANED!AK$3:AK$1060=CALCULES!A21),""),
_xlpm.away,IFERROR(_xlfn._xlws.FILTER(DATA_CLEANED!AH$3:AH$1060,DATA_CLEANED!AN$3:AN$1060=CALCULES!A21),""),
_xlpm.assemb_t,_xlfn._xlws.FILTER(_xlfn.VSTACK(_xlpm.home,_xlpm.away),_xlfn.VSTACK(_xlpm.home,_xlpm.away)&lt;&gt;""),
_xlpm.but_h,IFERROR(_xlfn._xlws.FILTER(_xlfn.ANCHORARRAY(DATA_CLEANED!AL$3),DATA_CLEANED!AK$3:AK$1060=CALCULES!A21),""),
_xlpm.but_a,IFERROR(_xlfn._xlws.FILTER(_xlfn.ANCHORARRAY(DATA_CLEANED!AM$3),DATA_CLEANED!AN$3:AN$1060=CALCULES!A21),""),
_xlpm.assemb_b,_xlfn._xlws.FILTER(_xlfn.VSTACK(_xlpm.but_h,_xlpm.but_a),_xlfn.VSTACK(_xlpm.but_h,_xlpm.but_a)&lt;&gt;""),
MEDIAN(_xlpm.assemb_t,_xlpm.assemb_b)
)</f>
        <v>1</v>
      </c>
      <c r="AO21" s="116">
        <f>ROUND(IFERROR((COUNTIFS(DATA_CLEANED!AK$3:AK$1060,A21,DATA_CLEANED!AM$3:AM$1060,0)
+
COUNTIFS(DATA_CLEANED!AN$3:AN$1060,A21,DATA_CLEANED!AL$3:AL$1060,0)
)/AA21,0),2)</f>
        <v>0.28999999999999998</v>
      </c>
      <c r="AP21" s="112">
        <f>MAX((_xlfn.MAXIFS(_xlfn.ANCHORARRAY(DATA_CLEANED!AL$3),_xlfn.ANCHORARRAY(DATA_CLEANED!AK$3),A21)),(_xlfn.MAXIFS(DATA_CLEANED!AM$3:AM$1060,_xlfn.ANCHORARRAY(DATA_CLEANED!AN$3),A21)))</f>
        <v>4</v>
      </c>
      <c r="AQ21" s="112">
        <f>COUNTIF(_xlfn.ANCHORARRAY(DATA_CLEANED!K$3),A21)</f>
        <v>18</v>
      </c>
      <c r="AR21" s="113" t="str" cm="1">
        <f t="array" ref="AR21">_xlfn.LET(
_xlpm.home,IFERROR(_xlfn._xlws.FILTER(DATA_CLEANED!AH$3:AH$1060,DATA_CLEANED!AK$3:AK$1060=CALCULES!A21),""),
_xlpm.away,IFERROR(_xlfn._xlws.FILTER(DATA_CLEANED!AH$3:AH$1060,DATA_CLEANED!AN$3:AN$1060=CALCULES!A21),""),
_xlpm.etapes,_xlfn._xlws.FILTER(_xlfn.VSTACK(_xlpm.home,_xlpm.away),_xlfn.VSTACK(_xlpm.home,_xlpm.away)&lt;&gt;""),
_xlpm.numeros,_xlfn.XLOOKUP(_xlpm.etapes,DATA_QUALITE!AT$12:AT$38,DATA_QUALITE!AU$12:AU$38),
_xlfn.XLOOKUP(MIN(_xlpm.numeros),DATA_QUALITE!AU$12:AU$38,DATA_QUALITE!AT$12:AT$38)
)</f>
        <v>FINAL</v>
      </c>
      <c r="AS21" s="112">
        <f t="shared" si="4"/>
        <v>7</v>
      </c>
      <c r="AT21" s="112">
        <f t="shared" si="5"/>
        <v>19</v>
      </c>
      <c r="AU21" s="112">
        <f>COUNTIFS(DATA_QUALITE!BG$12:BG$1069,"MATCH NUL",_xlfn.ANCHORARRAY(DATA_CLEANED!AK$3),CALCULES!A21)+COUNTIFS(DATA_QUALITE!BG$12:BG$1069,"MATCH NUL",_xlfn.ANCHORARRAY(DATA_CLEANED!AN$3),CALCULES!A21)</f>
        <v>4</v>
      </c>
      <c r="AV21" s="112">
        <v>34</v>
      </c>
      <c r="AW21" s="112">
        <f>COUNTIFS(_xlfn.ANCHORARRAY(DATA_CLEANED!AH$3),"QUARTER_FINALS",_xlfn.ANCHORARRAY(DATA_CLEANED!AK$3),CALCULES!A21)+COUNTIFS(_xlfn.ANCHORARRAY(DATA_CLEANED!AH$3),"QUARTER_FINALS",_xlfn.ANCHORARRAY(DATA_CLEANED!AN$3),CALCULES!A21)</f>
        <v>3</v>
      </c>
      <c r="AX21" s="112">
        <f>COUNTIFS(_xlfn.ANCHORARRAY(DATA_CLEANED!AH$3),"SEMI_FINALS",_xlfn.ANCHORARRAY(DATA_CLEANED!AK$3),CALCULES!A21)+COUNTIFS(_xlfn.ANCHORARRAY(DATA_CLEANED!AH$3),"SEMI_FINALS",_xlfn.ANCHORARRAY(DATA_CLEANED!AN$3),CALCULES!A21)</f>
        <v>3</v>
      </c>
      <c r="AY21" s="112">
        <f>COUNTIFS(_xlfn.ANCHORARRAY(DATA_CLEANED!AH$3),"FINAL",_xlfn.ANCHORARRAY(DATA_CLEANED!AK$3),CALCULES!A21)+COUNTIFS(_xlfn.ANCHORARRAY(DATA_CLEANED!AH$3),"FINAL",_xlfn.ANCHORARRAY(DATA_CLEANED!AN$3),CALCULES!A21)</f>
        <v>1</v>
      </c>
      <c r="AZ21" s="112">
        <f>COUNTIFS(DATA_QUALITE!BG$12:BG$1069,CALCULES!A21,DATA_QUALITE!AW$12:AW$1069,"FINAL")</f>
        <v>0</v>
      </c>
      <c r="BA21" s="113">
        <f t="shared" si="6"/>
        <v>45.85</v>
      </c>
      <c r="BB21" s="118">
        <f t="shared" si="10"/>
        <v>19.82</v>
      </c>
      <c r="BC21" s="118">
        <f t="shared" si="11"/>
        <v>22.62</v>
      </c>
      <c r="BD21" s="139">
        <f t="shared" si="12"/>
        <v>21.22</v>
      </c>
      <c r="BF21" s="178" t="s">
        <v>3903</v>
      </c>
      <c r="BG21" s="179">
        <f>SUM(BG18:BG20)</f>
        <v>0.99995151713126584</v>
      </c>
      <c r="BL21" s="173">
        <f>INT((ROWS($BL$15:BL21)-1)/9)</f>
        <v>0</v>
      </c>
      <c r="BM21" s="173">
        <f>MOD(ROWS($BM$15:BM21)-1,9)</f>
        <v>6</v>
      </c>
      <c r="BN21" s="173">
        <f t="shared" si="14"/>
        <v>1.8028487026862193E-4</v>
      </c>
      <c r="BP21" s="167"/>
    </row>
    <row r="22" spans="1:71" ht="14.45" customHeight="1">
      <c r="A22" s="113" t="str">
        <v>Cuba</v>
      </c>
      <c r="B22" s="112">
        <f>IF(COUNTIFS(_xlfn.ANCHORARRAY(DATA_CLEANED!$AF$3),CALCULES!B$2,_xlfn.ANCHORARRAY(DATA_CLEANED!$AK$3),CALCULES!$A22)+COUNTIFS(_xlfn.ANCHORARRAY(DATA_CLEANED!$AF$3),CALCULES!B$2,_xlfn.ANCHORARRAY(DATA_CLEANED!$AN$3),CALCULES!$A22)&gt;0,1,0)</f>
        <v>0</v>
      </c>
      <c r="C22" s="112">
        <f>IF(COUNTIFS(_xlfn.ANCHORARRAY(DATA_CLEANED!$AF$3),CALCULES!C$2,_xlfn.ANCHORARRAY(DATA_CLEANED!$AK$3),CALCULES!$A22)+COUNTIFS(_xlfn.ANCHORARRAY(DATA_CLEANED!$AF$3),CALCULES!C$2,_xlfn.ANCHORARRAY(DATA_CLEANED!$AN$3),CALCULES!$A22)&gt;0,1,0)</f>
        <v>0</v>
      </c>
      <c r="D22" s="112">
        <f>IF(COUNTIFS(_xlfn.ANCHORARRAY(DATA_CLEANED!$AF$3),CALCULES!D$2,_xlfn.ANCHORARRAY(DATA_CLEANED!$AK$3),CALCULES!$A22)+COUNTIFS(_xlfn.ANCHORARRAY(DATA_CLEANED!$AF$3),CALCULES!D$2,_xlfn.ANCHORARRAY(DATA_CLEANED!$AN$3),CALCULES!$A22)&gt;0,1,0)</f>
        <v>1</v>
      </c>
      <c r="E22" s="112">
        <f>IF(COUNTIFS(_xlfn.ANCHORARRAY(DATA_CLEANED!$AF$3),CALCULES!E$2,_xlfn.ANCHORARRAY(DATA_CLEANED!$AK$3),CALCULES!$A22)+COUNTIFS(_xlfn.ANCHORARRAY(DATA_CLEANED!$AF$3),CALCULES!E$2,_xlfn.ANCHORARRAY(DATA_CLEANED!$AN$3),CALCULES!$A22)&gt;0,1,0)</f>
        <v>0</v>
      </c>
      <c r="F22" s="112">
        <f>IF(COUNTIFS(_xlfn.ANCHORARRAY(DATA_CLEANED!$AF$3),CALCULES!F$2,_xlfn.ANCHORARRAY(DATA_CLEANED!$AK$3),CALCULES!$A22)+COUNTIFS(_xlfn.ANCHORARRAY(DATA_CLEANED!$AF$3),CALCULES!F$2,_xlfn.ANCHORARRAY(DATA_CLEANED!$AN$3),CALCULES!$A22)&gt;0,1,0)</f>
        <v>0</v>
      </c>
      <c r="G22" s="112">
        <f>IF(COUNTIFS(_xlfn.ANCHORARRAY(DATA_CLEANED!$AF$3),CALCULES!G$2,_xlfn.ANCHORARRAY(DATA_CLEANED!$AK$3),CALCULES!$A22)+COUNTIFS(_xlfn.ANCHORARRAY(DATA_CLEANED!$AF$3),CALCULES!G$2,_xlfn.ANCHORARRAY(DATA_CLEANED!$AN$3),CALCULES!$A22)&gt;0,1,0)</f>
        <v>0</v>
      </c>
      <c r="H22" s="112">
        <f>IF(COUNTIFS(_xlfn.ANCHORARRAY(DATA_CLEANED!$AF$3),CALCULES!H$2,_xlfn.ANCHORARRAY(DATA_CLEANED!$AK$3),CALCULES!$A22)+COUNTIFS(_xlfn.ANCHORARRAY(DATA_CLEANED!$AF$3),CALCULES!H$2,_xlfn.ANCHORARRAY(DATA_CLEANED!$AN$3),CALCULES!$A22)&gt;0,1,0)</f>
        <v>0</v>
      </c>
      <c r="I22" s="112">
        <f>IF(COUNTIFS(_xlfn.ANCHORARRAY(DATA_CLEANED!$AF$3),CALCULES!I$2,_xlfn.ANCHORARRAY(DATA_CLEANED!$AK$3),CALCULES!$A22)+COUNTIFS(_xlfn.ANCHORARRAY(DATA_CLEANED!$AF$3),CALCULES!I$2,_xlfn.ANCHORARRAY(DATA_CLEANED!$AN$3),CALCULES!$A22)&gt;0,1,0)</f>
        <v>0</v>
      </c>
      <c r="J22" s="112">
        <f>IF(COUNTIFS(_xlfn.ANCHORARRAY(DATA_CLEANED!$AF$3),CALCULES!J$2,_xlfn.ANCHORARRAY(DATA_CLEANED!$AK$3),CALCULES!$A22)+COUNTIFS(_xlfn.ANCHORARRAY(DATA_CLEANED!$AF$3),CALCULES!J$2,_xlfn.ANCHORARRAY(DATA_CLEANED!$AN$3),CALCULES!$A22)&gt;0,1,0)</f>
        <v>0</v>
      </c>
      <c r="K22" s="112">
        <f>IF(COUNTIFS(_xlfn.ANCHORARRAY(DATA_CLEANED!$AF$3),CALCULES!K$2,_xlfn.ANCHORARRAY(DATA_CLEANED!$AK$3),CALCULES!$A22)+COUNTIFS(_xlfn.ANCHORARRAY(DATA_CLEANED!$AF$3),CALCULES!K$2,_xlfn.ANCHORARRAY(DATA_CLEANED!$AN$3),CALCULES!$A22)&gt;0,1,0)</f>
        <v>0</v>
      </c>
      <c r="L22" s="112">
        <f>IF(COUNTIFS(_xlfn.ANCHORARRAY(DATA_CLEANED!$AF$3),CALCULES!L$2,_xlfn.ANCHORARRAY(DATA_CLEANED!$AK$3),CALCULES!$A22)+COUNTIFS(_xlfn.ANCHORARRAY(DATA_CLEANED!$AF$3),CALCULES!L$2,_xlfn.ANCHORARRAY(DATA_CLEANED!$AN$3),CALCULES!$A22)&gt;0,1,0)</f>
        <v>0</v>
      </c>
      <c r="M22" s="112">
        <f>IF(COUNTIFS(_xlfn.ANCHORARRAY(DATA_CLEANED!$AF$3),CALCULES!M$2,_xlfn.ANCHORARRAY(DATA_CLEANED!$AK$3),CALCULES!$A22)+COUNTIFS(_xlfn.ANCHORARRAY(DATA_CLEANED!$AF$3),CALCULES!M$2,_xlfn.ANCHORARRAY(DATA_CLEANED!$AN$3),CALCULES!$A22)&gt;0,1,0)</f>
        <v>0</v>
      </c>
      <c r="N22" s="112">
        <f>IF(COUNTIFS(_xlfn.ANCHORARRAY(DATA_CLEANED!$AF$3),CALCULES!N$2,_xlfn.ANCHORARRAY(DATA_CLEANED!$AK$3),CALCULES!$A22)+COUNTIFS(_xlfn.ANCHORARRAY(DATA_CLEANED!$AF$3),CALCULES!N$2,_xlfn.ANCHORARRAY(DATA_CLEANED!$AN$3),CALCULES!$A22)&gt;0,1,0)</f>
        <v>0</v>
      </c>
      <c r="O22" s="112">
        <f>IF(COUNTIFS(_xlfn.ANCHORARRAY(DATA_CLEANED!$AF$3),CALCULES!O$2,_xlfn.ANCHORARRAY(DATA_CLEANED!$AK$3),CALCULES!$A22)+COUNTIFS(_xlfn.ANCHORARRAY(DATA_CLEANED!$AF$3),CALCULES!O$2,_xlfn.ANCHORARRAY(DATA_CLEANED!$AN$3),CALCULES!$A22)&gt;0,1,0)</f>
        <v>0</v>
      </c>
      <c r="P22" s="112">
        <f>IF(COUNTIFS(_xlfn.ANCHORARRAY(DATA_CLEANED!$AF$3),CALCULES!P$2,_xlfn.ANCHORARRAY(DATA_CLEANED!$AK$3),CALCULES!$A22)+COUNTIFS(_xlfn.ANCHORARRAY(DATA_CLEANED!$AF$3),CALCULES!P$2,_xlfn.ANCHORARRAY(DATA_CLEANED!$AN$3),CALCULES!$A22)&gt;0,1,0)</f>
        <v>0</v>
      </c>
      <c r="Q22" s="112">
        <f>IF(COUNTIFS(_xlfn.ANCHORARRAY(DATA_CLEANED!$AF$3),CALCULES!Q$2,_xlfn.ANCHORARRAY(DATA_CLEANED!$AK$3),CALCULES!$A22)+COUNTIFS(_xlfn.ANCHORARRAY(DATA_CLEANED!$AF$3),CALCULES!Q$2,_xlfn.ANCHORARRAY(DATA_CLEANED!$AN$3),CALCULES!$A22)&gt;0,1,0)</f>
        <v>0</v>
      </c>
      <c r="R22" s="112">
        <f>IF(COUNTIFS(_xlfn.ANCHORARRAY(DATA_CLEANED!$AF$3),CALCULES!R$2,_xlfn.ANCHORARRAY(DATA_CLEANED!$AK$3),CALCULES!$A22)+COUNTIFS(_xlfn.ANCHORARRAY(DATA_CLEANED!$AF$3),CALCULES!R$2,_xlfn.ANCHORARRAY(DATA_CLEANED!$AN$3),CALCULES!$A22)&gt;0,1,0)</f>
        <v>0</v>
      </c>
      <c r="S22" s="112">
        <f>IF(COUNTIFS(_xlfn.ANCHORARRAY(DATA_CLEANED!$AF$3),CALCULES!S$2,_xlfn.ANCHORARRAY(DATA_CLEANED!$AK$3),CALCULES!$A22)+COUNTIFS(_xlfn.ANCHORARRAY(DATA_CLEANED!$AF$3),CALCULES!S$2,_xlfn.ANCHORARRAY(DATA_CLEANED!$AN$3),CALCULES!$A22)&gt;0,1,0)</f>
        <v>0</v>
      </c>
      <c r="T22" s="112">
        <f>IF(COUNTIFS(_xlfn.ANCHORARRAY(DATA_CLEANED!$AF$3),CALCULES!T$2,_xlfn.ANCHORARRAY(DATA_CLEANED!$AK$3),CALCULES!$A22)+COUNTIFS(_xlfn.ANCHORARRAY(DATA_CLEANED!$AF$3),CALCULES!T$2,_xlfn.ANCHORARRAY(DATA_CLEANED!$AN$3),CALCULES!$A22)&gt;0,1,0)</f>
        <v>0</v>
      </c>
      <c r="U22" s="112">
        <f>IF(COUNTIFS(_xlfn.ANCHORARRAY(DATA_CLEANED!$AF$3),CALCULES!U$2,_xlfn.ANCHORARRAY(DATA_CLEANED!$AK$3),CALCULES!$A22)+COUNTIFS(_xlfn.ANCHORARRAY(DATA_CLEANED!$AF$3),CALCULES!U$2,_xlfn.ANCHORARRAY(DATA_CLEANED!$AN$3),CALCULES!$A22)&gt;0,1,0)</f>
        <v>0</v>
      </c>
      <c r="V22" s="112">
        <f>IF(COUNTIFS(_xlfn.ANCHORARRAY(DATA_CLEANED!$AF$3),CALCULES!V$2,_xlfn.ANCHORARRAY(DATA_CLEANED!$AK$3),CALCULES!$A22)+COUNTIFS(_xlfn.ANCHORARRAY(DATA_CLEANED!$AF$3),CALCULES!V$2,_xlfn.ANCHORARRAY(DATA_CLEANED!$AN$3),CALCULES!$A22)&gt;0,1,0)</f>
        <v>0</v>
      </c>
      <c r="W22" s="112">
        <f>IF(COUNTIFS(_xlfn.ANCHORARRAY(DATA_CLEANED!$AF$3),CALCULES!W$2,_xlfn.ANCHORARRAY(DATA_CLEANED!$AK$3),CALCULES!$A22)+COUNTIFS(_xlfn.ANCHORARRAY(DATA_CLEANED!$AF$3),CALCULES!W$2,_xlfn.ANCHORARRAY(DATA_CLEANED!$AN$3),CALCULES!$A22)&gt;0,1,0)</f>
        <v>0</v>
      </c>
      <c r="X22" s="112">
        <f>IF(COUNTIFS(_xlfn.ANCHORARRAY(DATA_CLEANED!$AF$3),CALCULES!X$2,_xlfn.ANCHORARRAY(DATA_CLEANED!$AK$3),CALCULES!$A22)+COUNTIFS(_xlfn.ANCHORARRAY(DATA_CLEANED!$AF$3),CALCULES!X$2,_xlfn.ANCHORARRAY(DATA_CLEANED!$AN$3),CALCULES!$A22)&gt;0,1,0)</f>
        <v>0</v>
      </c>
      <c r="Y22" s="113">
        <f t="shared" si="0"/>
        <v>1</v>
      </c>
      <c r="AA22" s="112">
        <f>COUNTIF(_xlfn.ANCHORARRAY(DATA_CLEANED!$AK$3),$A22)+COUNTIF(DATA_CLEANED!$AN$2:$AN$1060,$A22)</f>
        <v>3</v>
      </c>
      <c r="AB22" s="112">
        <f>COUNTIF(DATA_QUALITE!BG$12:BG$1069,A22)</f>
        <v>1</v>
      </c>
      <c r="AC22" s="112">
        <f t="shared" si="7"/>
        <v>2</v>
      </c>
      <c r="AD22" s="112" cm="1">
        <f t="array" ref="AD22">SUMPRODUCT((DATA_CLEANED!AL$3:AL$1060=DATA_CLEANED!AM$3:AM$1060)*(_xlfn.ANCHORARRAY(DATA_CLEANED!AK$3)=CALCULES!A22)*(DATA_CLEANED!AO$3:AO$1060&lt;&gt;"-"))
+
SUMPRODUCT((DATA_CLEANED!AL$3:AL$1060=DATA_CLEANED!AM$3:AM$1060)*(_xlfn.ANCHORARRAY(DATA_CLEANED!AN$3)=CALCULES!A22)*(DATA_CLEANED!AO$3:AO$1060&lt;&gt;"-"))</f>
        <v>0</v>
      </c>
      <c r="AE22" s="116">
        <f t="shared" si="1"/>
        <v>0.33333333333333331</v>
      </c>
      <c r="AF22" s="116">
        <f t="shared" si="2"/>
        <v>0.66666666666666663</v>
      </c>
      <c r="AG22" s="112">
        <f>SUMIF(_xlfn.ANCHORARRAY(DATA_CLEANED!AK$3),A22,DATA_CLEANED!AL$2:AL$1060)+SUMIF(_xlfn.ANCHORARRAY(DATA_CLEANED!AN$3),A22,DATA_CLEANED!AM$2:AM$1060)</f>
        <v>6</v>
      </c>
      <c r="AH22" s="112">
        <f>SUMIF(_xlfn.ANCHORARRAY(DATA_CLEANED!AK$3),A22,DATA_CLEANED!AM$2:AM$1060)+SUMIF(_xlfn.ANCHORARRAY(DATA_CLEANED!AN$3),A22,DATA_CLEANED!AL$2:AL$1060)</f>
        <v>3</v>
      </c>
      <c r="AI22" s="112">
        <f t="shared" si="8"/>
        <v>1</v>
      </c>
      <c r="AJ22" s="117" cm="1">
        <f t="array" ref="AJ22">_xlfn.LET(_xlpm.home,IFERROR(_xlfn._xlws.FILTER(DATA_CLEANED!AH$3:AH$1060,DATA_CLEANED!AK$3:AK$1060=CALCULES!A22),""),
_xlpm.away,IFERROR(_xlfn._xlws.FILTER(DATA_CLEANED!AH$3:AH$1060,DATA_CLEANED!AN$3:AN$1060=CALCULES!A22),""),
_xlpm.assemb_t,_xlfn._xlws.FILTER(_xlfn.VSTACK(_xlpm.home,_xlpm.away),_xlfn.VSTACK(_xlpm.home,_xlpm.away)&lt;&gt;""),
_xlpm.but_h,IFERROR(_xlfn._xlws.FILTER(_xlfn.ANCHORARRAY(DATA_CLEANED!AM$3),DATA_CLEANED!AK$3:AK$1060=CALCULES!A22),""),
_xlpm.but_a,IFERROR(_xlfn._xlws.FILTER(_xlfn.ANCHORARRAY(DATA_CLEANED!AL$3),DATA_CLEANED!AN$3:AN$1060=CALCULES!A22),""),
_xlpm.assemb_b,_xlfn._xlws.FILTER(_xlfn.VSTACK(_xlpm.but_h,_xlpm.but_a),_xlfn.VSTACK(_xlpm.but_h,_xlpm.but_a)&lt;&gt;""),
MEDIAN(_xlpm.assemb_t,_xlpm.assemb_b)
)</f>
        <v>3</v>
      </c>
      <c r="AK22" s="113">
        <f t="shared" si="3"/>
        <v>3</v>
      </c>
      <c r="AL22" s="112" cm="1">
        <f t="array" ref="AL22">IFERROR(MEDIAN(_xlfn._xlws.FILTER(_xlfn.VSTACK(
DATA_CLEANED!AL$3:AL$1060-DATA_CLEANED!AM$3:AM$1060,
DATA_CLEANED!AM$3:AM$1060-DATA_CLEANED!AL$3:AL$1060
),_xlfn.VSTACK(DATA_CLEANED!AK$3:AK$1060,DATA_CLEANED!AN$3:AN$1060)=A22)),"-")</f>
        <v>0</v>
      </c>
      <c r="AM22" s="112">
        <f t="shared" si="9"/>
        <v>2</v>
      </c>
      <c r="AN22" s="112" cm="1">
        <f t="array" ref="AN22">_xlfn.LET(_xlpm.home,IFERROR(_xlfn._xlws.FILTER(DATA_CLEANED!AH$3:AH$1060,DATA_CLEANED!AK$3:AK$1060=CALCULES!A22),""),
_xlpm.away,IFERROR(_xlfn._xlws.FILTER(DATA_CLEANED!AH$3:AH$1060,DATA_CLEANED!AN$3:AN$1060=CALCULES!A22),""),
_xlpm.assemb_t,_xlfn._xlws.FILTER(_xlfn.VSTACK(_xlpm.home,_xlpm.away),_xlfn.VSTACK(_xlpm.home,_xlpm.away)&lt;&gt;""),
_xlpm.but_h,IFERROR(_xlfn._xlws.FILTER(_xlfn.ANCHORARRAY(DATA_CLEANED!AL$3),DATA_CLEANED!AK$3:AK$1060=CALCULES!A22),""),
_xlpm.but_a,IFERROR(_xlfn._xlws.FILTER(_xlfn.ANCHORARRAY(DATA_CLEANED!AM$3),DATA_CLEANED!AN$3:AN$1060=CALCULES!A22),""),
_xlpm.assemb_b,_xlfn._xlws.FILTER(_xlfn.VSTACK(_xlpm.but_h,_xlpm.but_a),_xlfn.VSTACK(_xlpm.but_h,_xlpm.but_a)&lt;&gt;""),
MEDIAN(_xlpm.assemb_t,_xlpm.assemb_b)
)</f>
        <v>2</v>
      </c>
      <c r="AO22" s="116">
        <f>ROUND(IFERROR((COUNTIFS(DATA_CLEANED!AK$3:AK$1060,A22,DATA_CLEANED!AM$3:AM$1060,0)
+
COUNTIFS(DATA_CLEANED!AN$3:AN$1060,A22,DATA_CLEANED!AL$3:AL$1060,0)
)/AA22,0),2)</f>
        <v>0</v>
      </c>
      <c r="AP22" s="112">
        <f>MAX((_xlfn.MAXIFS(_xlfn.ANCHORARRAY(DATA_CLEANED!AL$3),_xlfn.ANCHORARRAY(DATA_CLEANED!AK$3),A22)),(_xlfn.MAXIFS(DATA_CLEANED!AM$3:AM$1060,_xlfn.ANCHORARRAY(DATA_CLEANED!AN$3),A22)))</f>
        <v>3</v>
      </c>
      <c r="AQ22" s="112">
        <f>COUNTIF(_xlfn.ANCHORARRAY(DATA_CLEANED!K$3),A22)</f>
        <v>0</v>
      </c>
      <c r="AR22" s="113" t="str" cm="1">
        <f t="array" ref="AR22">_xlfn.LET(
_xlpm.home,IFERROR(_xlfn._xlws.FILTER(DATA_CLEANED!AH$3:AH$1060,DATA_CLEANED!AK$3:AK$1060=CALCULES!A22),""),
_xlpm.away,IFERROR(_xlfn._xlws.FILTER(DATA_CLEANED!AH$3:AH$1060,DATA_CLEANED!AN$3:AN$1060=CALCULES!A22),""),
_xlpm.etapes,_xlfn._xlws.FILTER(_xlfn.VSTACK(_xlpm.home,_xlpm.away),_xlfn.VSTACK(_xlpm.home,_xlpm.away)&lt;&gt;""),
_xlpm.numeros,_xlfn.XLOOKUP(_xlpm.etapes,DATA_QUALITE!AT$12:AT$38,DATA_QUALITE!AU$12:AU$38),
_xlfn.XLOOKUP(MIN(_xlpm.numeros),DATA_QUALITE!AU$12:AU$38,DATA_QUALITE!AT$12:AT$38)
)</f>
        <v>QUARTER_FINALS</v>
      </c>
      <c r="AS22" s="112">
        <f t="shared" si="4"/>
        <v>1</v>
      </c>
      <c r="AT22" s="112">
        <f t="shared" si="5"/>
        <v>1</v>
      </c>
      <c r="AU22" s="112">
        <f>COUNTIFS(DATA_QUALITE!BG$12:BG$1069,"MATCH NUL",_xlfn.ANCHORARRAY(DATA_CLEANED!AK$3),CALCULES!A22)+COUNTIFS(DATA_QUALITE!BG$12:BG$1069,"MATCH NUL",_xlfn.ANCHORARRAY(DATA_CLEANED!AN$3),CALCULES!A22)</f>
        <v>1</v>
      </c>
      <c r="AV22" s="112">
        <v>6</v>
      </c>
      <c r="AW22" s="112">
        <f>COUNTIFS(_xlfn.ANCHORARRAY(DATA_CLEANED!AH$3),"QUARTER_FINALS",_xlfn.ANCHORARRAY(DATA_CLEANED!AK$3),CALCULES!A22)+COUNTIFS(_xlfn.ANCHORARRAY(DATA_CLEANED!AH$3),"QUARTER_FINALS",_xlfn.ANCHORARRAY(DATA_CLEANED!AN$3),CALCULES!A22)</f>
        <v>1</v>
      </c>
      <c r="AX22" s="112">
        <f>COUNTIFS(_xlfn.ANCHORARRAY(DATA_CLEANED!AH$3),"SEMI_FINALS",_xlfn.ANCHORARRAY(DATA_CLEANED!AK$3),CALCULES!A22)+COUNTIFS(_xlfn.ANCHORARRAY(DATA_CLEANED!AH$3),"SEMI_FINALS",_xlfn.ANCHORARRAY(DATA_CLEANED!AN$3),CALCULES!A22)</f>
        <v>0</v>
      </c>
      <c r="AY22" s="112">
        <f>COUNTIFS(_xlfn.ANCHORARRAY(DATA_CLEANED!AH$3),"FINAL",_xlfn.ANCHORARRAY(DATA_CLEANED!AK$3),CALCULES!A22)+COUNTIFS(_xlfn.ANCHORARRAY(DATA_CLEANED!AH$3),"FINAL",_xlfn.ANCHORARRAY(DATA_CLEANED!AN$3),CALCULES!A22)</f>
        <v>0</v>
      </c>
      <c r="AZ22" s="112">
        <f>COUNTIFS(DATA_QUALITE!BG$12:BG$1069,CALCULES!A22,DATA_QUALITE!AW$12:AW$1069,"FINAL")</f>
        <v>0</v>
      </c>
      <c r="BA22" s="113">
        <f t="shared" si="6"/>
        <v>31.83</v>
      </c>
      <c r="BB22" s="118">
        <f t="shared" si="10"/>
        <v>7.36</v>
      </c>
      <c r="BC22" s="118">
        <f t="shared" si="11"/>
        <v>4.42</v>
      </c>
      <c r="BD22" s="139">
        <f t="shared" si="12"/>
        <v>5.89</v>
      </c>
      <c r="BF22" s="171"/>
      <c r="BG22" s="171"/>
      <c r="BL22" s="173">
        <f>INT((ROWS($BL$15:BL22)-1)/9)</f>
        <v>0</v>
      </c>
      <c r="BM22" s="173">
        <f>MOD(ROWS($BM$15:BM22)-1,9)</f>
        <v>7</v>
      </c>
      <c r="BN22" s="173">
        <f t="shared" si="14"/>
        <v>2.8843912824703122E-5</v>
      </c>
      <c r="BP22" s="167"/>
    </row>
    <row r="23" spans="1:71" ht="14.45" customHeight="1">
      <c r="A23" s="113" t="str">
        <v>Curaçao</v>
      </c>
      <c r="B23" s="112">
        <f>IF(COUNTIFS(_xlfn.ANCHORARRAY(DATA_CLEANED!$AF$3),CALCULES!B$2,_xlfn.ANCHORARRAY(DATA_CLEANED!$AK$3),CALCULES!$A23)+COUNTIFS(_xlfn.ANCHORARRAY(DATA_CLEANED!$AF$3),CALCULES!B$2,_xlfn.ANCHORARRAY(DATA_CLEANED!$AN$3),CALCULES!$A23)&gt;0,1,0)</f>
        <v>0</v>
      </c>
      <c r="C23" s="112">
        <f>IF(COUNTIFS(_xlfn.ANCHORARRAY(DATA_CLEANED!$AF$3),CALCULES!C$2,_xlfn.ANCHORARRAY(DATA_CLEANED!$AK$3),CALCULES!$A23)+COUNTIFS(_xlfn.ANCHORARRAY(DATA_CLEANED!$AF$3),CALCULES!C$2,_xlfn.ANCHORARRAY(DATA_CLEANED!$AN$3),CALCULES!$A23)&gt;0,1,0)</f>
        <v>0</v>
      </c>
      <c r="D23" s="112">
        <f>IF(COUNTIFS(_xlfn.ANCHORARRAY(DATA_CLEANED!$AF$3),CALCULES!D$2,_xlfn.ANCHORARRAY(DATA_CLEANED!$AK$3),CALCULES!$A23)+COUNTIFS(_xlfn.ANCHORARRAY(DATA_CLEANED!$AF$3),CALCULES!D$2,_xlfn.ANCHORARRAY(DATA_CLEANED!$AN$3),CALCULES!$A23)&gt;0,1,0)</f>
        <v>0</v>
      </c>
      <c r="E23" s="112">
        <f>IF(COUNTIFS(_xlfn.ANCHORARRAY(DATA_CLEANED!$AF$3),CALCULES!E$2,_xlfn.ANCHORARRAY(DATA_CLEANED!$AK$3),CALCULES!$A23)+COUNTIFS(_xlfn.ANCHORARRAY(DATA_CLEANED!$AF$3),CALCULES!E$2,_xlfn.ANCHORARRAY(DATA_CLEANED!$AN$3),CALCULES!$A23)&gt;0,1,0)</f>
        <v>0</v>
      </c>
      <c r="F23" s="112">
        <f>IF(COUNTIFS(_xlfn.ANCHORARRAY(DATA_CLEANED!$AF$3),CALCULES!F$2,_xlfn.ANCHORARRAY(DATA_CLEANED!$AK$3),CALCULES!$A23)+COUNTIFS(_xlfn.ANCHORARRAY(DATA_CLEANED!$AF$3),CALCULES!F$2,_xlfn.ANCHORARRAY(DATA_CLEANED!$AN$3),CALCULES!$A23)&gt;0,1,0)</f>
        <v>0</v>
      </c>
      <c r="G23" s="112">
        <f>IF(COUNTIFS(_xlfn.ANCHORARRAY(DATA_CLEANED!$AF$3),CALCULES!G$2,_xlfn.ANCHORARRAY(DATA_CLEANED!$AK$3),CALCULES!$A23)+COUNTIFS(_xlfn.ANCHORARRAY(DATA_CLEANED!$AF$3),CALCULES!G$2,_xlfn.ANCHORARRAY(DATA_CLEANED!$AN$3),CALCULES!$A23)&gt;0,1,0)</f>
        <v>0</v>
      </c>
      <c r="H23" s="112">
        <f>IF(COUNTIFS(_xlfn.ANCHORARRAY(DATA_CLEANED!$AF$3),CALCULES!H$2,_xlfn.ANCHORARRAY(DATA_CLEANED!$AK$3),CALCULES!$A23)+COUNTIFS(_xlfn.ANCHORARRAY(DATA_CLEANED!$AF$3),CALCULES!H$2,_xlfn.ANCHORARRAY(DATA_CLEANED!$AN$3),CALCULES!$A23)&gt;0,1,0)</f>
        <v>0</v>
      </c>
      <c r="I23" s="112">
        <f>IF(COUNTIFS(_xlfn.ANCHORARRAY(DATA_CLEANED!$AF$3),CALCULES!I$2,_xlfn.ANCHORARRAY(DATA_CLEANED!$AK$3),CALCULES!$A23)+COUNTIFS(_xlfn.ANCHORARRAY(DATA_CLEANED!$AF$3),CALCULES!I$2,_xlfn.ANCHORARRAY(DATA_CLEANED!$AN$3),CALCULES!$A23)&gt;0,1,0)</f>
        <v>0</v>
      </c>
      <c r="J23" s="112">
        <f>IF(COUNTIFS(_xlfn.ANCHORARRAY(DATA_CLEANED!$AF$3),CALCULES!J$2,_xlfn.ANCHORARRAY(DATA_CLEANED!$AK$3),CALCULES!$A23)+COUNTIFS(_xlfn.ANCHORARRAY(DATA_CLEANED!$AF$3),CALCULES!J$2,_xlfn.ANCHORARRAY(DATA_CLEANED!$AN$3),CALCULES!$A23)&gt;0,1,0)</f>
        <v>0</v>
      </c>
      <c r="K23" s="112">
        <f>IF(COUNTIFS(_xlfn.ANCHORARRAY(DATA_CLEANED!$AF$3),CALCULES!K$2,_xlfn.ANCHORARRAY(DATA_CLEANED!$AK$3),CALCULES!$A23)+COUNTIFS(_xlfn.ANCHORARRAY(DATA_CLEANED!$AF$3),CALCULES!K$2,_xlfn.ANCHORARRAY(DATA_CLEANED!$AN$3),CALCULES!$A23)&gt;0,1,0)</f>
        <v>0</v>
      </c>
      <c r="L23" s="112">
        <f>IF(COUNTIFS(_xlfn.ANCHORARRAY(DATA_CLEANED!$AF$3),CALCULES!L$2,_xlfn.ANCHORARRAY(DATA_CLEANED!$AK$3),CALCULES!$A23)+COUNTIFS(_xlfn.ANCHORARRAY(DATA_CLEANED!$AF$3),CALCULES!L$2,_xlfn.ANCHORARRAY(DATA_CLEANED!$AN$3),CALCULES!$A23)&gt;0,1,0)</f>
        <v>0</v>
      </c>
      <c r="M23" s="112">
        <f>IF(COUNTIFS(_xlfn.ANCHORARRAY(DATA_CLEANED!$AF$3),CALCULES!M$2,_xlfn.ANCHORARRAY(DATA_CLEANED!$AK$3),CALCULES!$A23)+COUNTIFS(_xlfn.ANCHORARRAY(DATA_CLEANED!$AF$3),CALCULES!M$2,_xlfn.ANCHORARRAY(DATA_CLEANED!$AN$3),CALCULES!$A23)&gt;0,1,0)</f>
        <v>0</v>
      </c>
      <c r="N23" s="112">
        <f>IF(COUNTIFS(_xlfn.ANCHORARRAY(DATA_CLEANED!$AF$3),CALCULES!N$2,_xlfn.ANCHORARRAY(DATA_CLEANED!$AK$3),CALCULES!$A23)+COUNTIFS(_xlfn.ANCHORARRAY(DATA_CLEANED!$AF$3),CALCULES!N$2,_xlfn.ANCHORARRAY(DATA_CLEANED!$AN$3),CALCULES!$A23)&gt;0,1,0)</f>
        <v>0</v>
      </c>
      <c r="O23" s="112">
        <f>IF(COUNTIFS(_xlfn.ANCHORARRAY(DATA_CLEANED!$AF$3),CALCULES!O$2,_xlfn.ANCHORARRAY(DATA_CLEANED!$AK$3),CALCULES!$A23)+COUNTIFS(_xlfn.ANCHORARRAY(DATA_CLEANED!$AF$3),CALCULES!O$2,_xlfn.ANCHORARRAY(DATA_CLEANED!$AN$3),CALCULES!$A23)&gt;0,1,0)</f>
        <v>0</v>
      </c>
      <c r="P23" s="112">
        <f>IF(COUNTIFS(_xlfn.ANCHORARRAY(DATA_CLEANED!$AF$3),CALCULES!P$2,_xlfn.ANCHORARRAY(DATA_CLEANED!$AK$3),CALCULES!$A23)+COUNTIFS(_xlfn.ANCHORARRAY(DATA_CLEANED!$AF$3),CALCULES!P$2,_xlfn.ANCHORARRAY(DATA_CLEANED!$AN$3),CALCULES!$A23)&gt;0,1,0)</f>
        <v>0</v>
      </c>
      <c r="Q23" s="112">
        <f>IF(COUNTIFS(_xlfn.ANCHORARRAY(DATA_CLEANED!$AF$3),CALCULES!Q$2,_xlfn.ANCHORARRAY(DATA_CLEANED!$AK$3),CALCULES!$A23)+COUNTIFS(_xlfn.ANCHORARRAY(DATA_CLEANED!$AF$3),CALCULES!Q$2,_xlfn.ANCHORARRAY(DATA_CLEANED!$AN$3),CALCULES!$A23)&gt;0,1,0)</f>
        <v>0</v>
      </c>
      <c r="R23" s="112">
        <f>IF(COUNTIFS(_xlfn.ANCHORARRAY(DATA_CLEANED!$AF$3),CALCULES!R$2,_xlfn.ANCHORARRAY(DATA_CLEANED!$AK$3),CALCULES!$A23)+COUNTIFS(_xlfn.ANCHORARRAY(DATA_CLEANED!$AF$3),CALCULES!R$2,_xlfn.ANCHORARRAY(DATA_CLEANED!$AN$3),CALCULES!$A23)&gt;0,1,0)</f>
        <v>0</v>
      </c>
      <c r="S23" s="112">
        <f>IF(COUNTIFS(_xlfn.ANCHORARRAY(DATA_CLEANED!$AF$3),CALCULES!S$2,_xlfn.ANCHORARRAY(DATA_CLEANED!$AK$3),CALCULES!$A23)+COUNTIFS(_xlfn.ANCHORARRAY(DATA_CLEANED!$AF$3),CALCULES!S$2,_xlfn.ANCHORARRAY(DATA_CLEANED!$AN$3),CALCULES!$A23)&gt;0,1,0)</f>
        <v>0</v>
      </c>
      <c r="T23" s="112">
        <f>IF(COUNTIFS(_xlfn.ANCHORARRAY(DATA_CLEANED!$AF$3),CALCULES!T$2,_xlfn.ANCHORARRAY(DATA_CLEANED!$AK$3),CALCULES!$A23)+COUNTIFS(_xlfn.ANCHORARRAY(DATA_CLEANED!$AF$3),CALCULES!T$2,_xlfn.ANCHORARRAY(DATA_CLEANED!$AN$3),CALCULES!$A23)&gt;0,1,0)</f>
        <v>0</v>
      </c>
      <c r="U23" s="112">
        <f>IF(COUNTIFS(_xlfn.ANCHORARRAY(DATA_CLEANED!$AF$3),CALCULES!U$2,_xlfn.ANCHORARRAY(DATA_CLEANED!$AK$3),CALCULES!$A23)+COUNTIFS(_xlfn.ANCHORARRAY(DATA_CLEANED!$AF$3),CALCULES!U$2,_xlfn.ANCHORARRAY(DATA_CLEANED!$AN$3),CALCULES!$A23)&gt;0,1,0)</f>
        <v>0</v>
      </c>
      <c r="V23" s="112">
        <f>IF(COUNTIFS(_xlfn.ANCHORARRAY(DATA_CLEANED!$AF$3),CALCULES!V$2,_xlfn.ANCHORARRAY(DATA_CLEANED!$AK$3),CALCULES!$A23)+COUNTIFS(_xlfn.ANCHORARRAY(DATA_CLEANED!$AF$3),CALCULES!V$2,_xlfn.ANCHORARRAY(DATA_CLEANED!$AN$3),CALCULES!$A23)&gt;0,1,0)</f>
        <v>0</v>
      </c>
      <c r="W23" s="112">
        <f>IF(COUNTIFS(_xlfn.ANCHORARRAY(DATA_CLEANED!$AF$3),CALCULES!W$2,_xlfn.ANCHORARRAY(DATA_CLEANED!$AK$3),CALCULES!$A23)+COUNTIFS(_xlfn.ANCHORARRAY(DATA_CLEANED!$AF$3),CALCULES!W$2,_xlfn.ANCHORARRAY(DATA_CLEANED!$AN$3),CALCULES!$A23)&gt;0,1,0)</f>
        <v>0</v>
      </c>
      <c r="X23" s="112">
        <f>IF(COUNTIFS(_xlfn.ANCHORARRAY(DATA_CLEANED!$AF$3),CALCULES!X$2,_xlfn.ANCHORARRAY(DATA_CLEANED!$AK$3),CALCULES!$A23)+COUNTIFS(_xlfn.ANCHORARRAY(DATA_CLEANED!$AF$3),CALCULES!X$2,_xlfn.ANCHORARRAY(DATA_CLEANED!$AN$3),CALCULES!$A23)&gt;0,1,0)</f>
        <v>1</v>
      </c>
      <c r="Y23" s="113">
        <f t="shared" si="0"/>
        <v>1</v>
      </c>
      <c r="AA23" s="112">
        <f>COUNTIF(_xlfn.ANCHORARRAY(DATA_CLEANED!$AK$3),$A23)+COUNTIF(DATA_CLEANED!$AN$2:$AN$1060,$A23)</f>
        <v>3</v>
      </c>
      <c r="AB23" s="112">
        <f>COUNTIF(DATA_QUALITE!BG$12:BG$1069,A23)</f>
        <v>0</v>
      </c>
      <c r="AC23" s="112">
        <f t="shared" si="7"/>
        <v>3</v>
      </c>
      <c r="AD23" s="112" cm="1">
        <f t="array" ref="AD23">SUMPRODUCT((DATA_CLEANED!AL$3:AL$1060=DATA_CLEANED!AM$3:AM$1060)*(_xlfn.ANCHORARRAY(DATA_CLEANED!AK$3)=CALCULES!A23)*(DATA_CLEANED!AO$3:AO$1060&lt;&gt;"-"))
+
SUMPRODUCT((DATA_CLEANED!AL$3:AL$1060=DATA_CLEANED!AM$3:AM$1060)*(_xlfn.ANCHORARRAY(DATA_CLEANED!AN$3)=CALCULES!A23)*(DATA_CLEANED!AO$3:AO$1060&lt;&gt;"-"))</f>
        <v>0</v>
      </c>
      <c r="AE23" s="116">
        <f t="shared" si="1"/>
        <v>0</v>
      </c>
      <c r="AF23" s="116">
        <f t="shared" si="2"/>
        <v>1</v>
      </c>
      <c r="AG23" s="112">
        <f>SUMIF(_xlfn.ANCHORARRAY(DATA_CLEANED!AK$3),A23,DATA_CLEANED!AL$2:AL$1060)+SUMIF(_xlfn.ANCHORARRAY(DATA_CLEANED!AN$3),A23,DATA_CLEANED!AM$2:AM$1060)</f>
        <v>2</v>
      </c>
      <c r="AH23" s="112">
        <f>SUMIF(_xlfn.ANCHORARRAY(DATA_CLEANED!AK$3),A23,DATA_CLEANED!AM$2:AM$1060)+SUMIF(_xlfn.ANCHORARRAY(DATA_CLEANED!AN$3),A23,DATA_CLEANED!AL$2:AL$1060)</f>
        <v>6</v>
      </c>
      <c r="AI23" s="112">
        <f t="shared" si="8"/>
        <v>2</v>
      </c>
      <c r="AJ23" s="117" cm="1">
        <f t="array" ref="AJ23">_xlfn.LET(_xlpm.home,IFERROR(_xlfn._xlws.FILTER(DATA_CLEANED!AH$3:AH$1060,DATA_CLEANED!AK$3:AK$1060=CALCULES!A23),""),
_xlpm.away,IFERROR(_xlfn._xlws.FILTER(DATA_CLEANED!AH$3:AH$1060,DATA_CLEANED!AN$3:AN$1060=CALCULES!A23),""),
_xlpm.assemb_t,_xlfn._xlws.FILTER(_xlfn.VSTACK(_xlpm.home,_xlpm.away),_xlfn.VSTACK(_xlpm.home,_xlpm.away)&lt;&gt;""),
_xlpm.but_h,IFERROR(_xlfn._xlws.FILTER(_xlfn.ANCHORARRAY(DATA_CLEANED!AM$3),DATA_CLEANED!AK$3:AK$1060=CALCULES!A23),""),
_xlpm.but_a,IFERROR(_xlfn._xlws.FILTER(_xlfn.ANCHORARRAY(DATA_CLEANED!AL$3),DATA_CLEANED!AN$3:AN$1060=CALCULES!A23),""),
_xlpm.assemb_b,_xlfn._xlws.FILTER(_xlfn.VSTACK(_xlpm.but_h,_xlpm.but_a),_xlfn.VSTACK(_xlpm.but_h,_xlpm.but_a)&lt;&gt;""),
MEDIAN(_xlpm.assemb_t,_xlpm.assemb_b)
)</f>
        <v>2</v>
      </c>
      <c r="AK23" s="113">
        <f t="shared" si="3"/>
        <v>-4</v>
      </c>
      <c r="AL23" s="112" cm="1">
        <f t="array" ref="AL23">IFERROR(MEDIAN(_xlfn._xlws.FILTER(_xlfn.VSTACK(
DATA_CLEANED!AL$3:AL$1060-DATA_CLEANED!AM$3:AM$1060,
DATA_CLEANED!AM$3:AM$1060-DATA_CLEANED!AL$3:AL$1060
),_xlfn.VSTACK(DATA_CLEANED!AK$3:AK$1060,DATA_CLEANED!AN$3:AN$1060)=A23)),"-")</f>
        <v>-2</v>
      </c>
      <c r="AM23" s="112">
        <f t="shared" si="9"/>
        <v>0.67</v>
      </c>
      <c r="AN23" s="112" cm="1">
        <f t="array" ref="AN23">_xlfn.LET(_xlpm.home,IFERROR(_xlfn._xlws.FILTER(DATA_CLEANED!AH$3:AH$1060,DATA_CLEANED!AK$3:AK$1060=CALCULES!A23),""),
_xlpm.away,IFERROR(_xlfn._xlws.FILTER(DATA_CLEANED!AH$3:AH$1060,DATA_CLEANED!AN$3:AN$1060=CALCULES!A23),""),
_xlpm.assemb_t,_xlfn._xlws.FILTER(_xlfn.VSTACK(_xlpm.home,_xlpm.away),_xlfn.VSTACK(_xlpm.home,_xlpm.away)&lt;&gt;""),
_xlpm.but_h,IFERROR(_xlfn._xlws.FILTER(_xlfn.ANCHORARRAY(DATA_CLEANED!AL$3),DATA_CLEANED!AK$3:AK$1060=CALCULES!A23),""),
_xlpm.but_a,IFERROR(_xlfn._xlws.FILTER(_xlfn.ANCHORARRAY(DATA_CLEANED!AM$3),DATA_CLEANED!AN$3:AN$1060=CALCULES!A23),""),
_xlpm.assemb_b,_xlfn._xlws.FILTER(_xlfn.VSTACK(_xlpm.but_h,_xlpm.but_a),_xlfn.VSTACK(_xlpm.but_h,_xlpm.but_a)&lt;&gt;""),
MEDIAN(_xlpm.assemb_t,_xlpm.assemb_b)
)</f>
        <v>0</v>
      </c>
      <c r="AO23" s="116">
        <f>ROUND(IFERROR((COUNTIFS(DATA_CLEANED!AK$3:AK$1060,A23,DATA_CLEANED!AM$3:AM$1060,0)
+
COUNTIFS(DATA_CLEANED!AN$3:AN$1060,A23,DATA_CLEANED!AL$3:AL$1060,0)
)/AA23,0),2)</f>
        <v>0.33</v>
      </c>
      <c r="AP23" s="112">
        <f>MAX((_xlfn.MAXIFS(_xlfn.ANCHORARRAY(DATA_CLEANED!AL$3),_xlfn.ANCHORARRAY(DATA_CLEANED!AK$3),A23)),(_xlfn.MAXIFS(DATA_CLEANED!AM$3:AM$1060,_xlfn.ANCHORARRAY(DATA_CLEANED!AN$3),A23)))</f>
        <v>1</v>
      </c>
      <c r="AQ23" s="112">
        <f>COUNTIF(_xlfn.ANCHORARRAY(DATA_CLEANED!K$3),A23)</f>
        <v>0</v>
      </c>
      <c r="AR23" s="113" t="str" cm="1">
        <f t="array" ref="AR23">_xlfn.LET(
_xlpm.home,IFERROR(_xlfn._xlws.FILTER(DATA_CLEANED!AH$3:AH$1060,DATA_CLEANED!AK$3:AK$1060=CALCULES!A23),""),
_xlpm.away,IFERROR(_xlfn._xlws.FILTER(DATA_CLEANED!AH$3:AH$1060,DATA_CLEANED!AN$3:AN$1060=CALCULES!A23),""),
_xlpm.etapes,_xlfn._xlws.FILTER(_xlfn.VSTACK(_xlpm.home,_xlpm.away),_xlfn.VSTACK(_xlpm.home,_xlpm.away)&lt;&gt;""),
_xlpm.numeros,_xlfn.XLOOKUP(_xlpm.etapes,DATA_QUALITE!AT$12:AT$38,DATA_QUALITE!AU$12:AU$38),
_xlfn.XLOOKUP(MIN(_xlpm.numeros),DATA_QUALITE!AU$12:AU$38,DATA_QUALITE!AT$12:AT$38)
)</f>
        <v>GROUP_STAGE</v>
      </c>
      <c r="AS23" s="112">
        <f t="shared" si="4"/>
        <v>1</v>
      </c>
      <c r="AT23" s="112">
        <f t="shared" si="5"/>
        <v>0</v>
      </c>
      <c r="AU23" s="112">
        <f>COUNTIFS(DATA_QUALITE!BG$12:BG$1069,"MATCH NUL",_xlfn.ANCHORARRAY(DATA_CLEANED!AK$3),CALCULES!A23)+COUNTIFS(DATA_QUALITE!BG$12:BG$1069,"MATCH NUL",_xlfn.ANCHORARRAY(DATA_CLEANED!AN$3),CALCULES!A23)</f>
        <v>1</v>
      </c>
      <c r="AV23" s="112">
        <v>2</v>
      </c>
      <c r="AW23" s="112">
        <f>COUNTIFS(_xlfn.ANCHORARRAY(DATA_CLEANED!AH$3),"QUARTER_FINALS",_xlfn.ANCHORARRAY(DATA_CLEANED!AK$3),CALCULES!A23)+COUNTIFS(_xlfn.ANCHORARRAY(DATA_CLEANED!AH$3),"QUARTER_FINALS",_xlfn.ANCHORARRAY(DATA_CLEANED!AN$3),CALCULES!A23)</f>
        <v>0</v>
      </c>
      <c r="AX23" s="112">
        <f>COUNTIFS(_xlfn.ANCHORARRAY(DATA_CLEANED!AH$3),"SEMI_FINALS",_xlfn.ANCHORARRAY(DATA_CLEANED!AK$3),CALCULES!A23)+COUNTIFS(_xlfn.ANCHORARRAY(DATA_CLEANED!AH$3),"SEMI_FINALS",_xlfn.ANCHORARRAY(DATA_CLEANED!AN$3),CALCULES!A23)</f>
        <v>0</v>
      </c>
      <c r="AY23" s="112">
        <f>COUNTIFS(_xlfn.ANCHORARRAY(DATA_CLEANED!AH$3),"FINAL",_xlfn.ANCHORARRAY(DATA_CLEANED!AK$3),CALCULES!A23)+COUNTIFS(_xlfn.ANCHORARRAY(DATA_CLEANED!AH$3),"FINAL",_xlfn.ANCHORARRAY(DATA_CLEANED!AN$3),CALCULES!A23)</f>
        <v>0</v>
      </c>
      <c r="AZ23" s="112">
        <f>COUNTIFS(DATA_QUALITE!BG$12:BG$1069,CALCULES!A23,DATA_QUALITE!AW$12:AW$1069,"FINAL")</f>
        <v>0</v>
      </c>
      <c r="BA23" s="113">
        <f t="shared" si="6"/>
        <v>8.2100000000000009</v>
      </c>
      <c r="BB23" s="118">
        <f t="shared" si="10"/>
        <v>0</v>
      </c>
      <c r="BC23" s="118">
        <f t="shared" si="11"/>
        <v>0</v>
      </c>
      <c r="BD23" s="139">
        <f t="shared" si="12"/>
        <v>0</v>
      </c>
      <c r="BF23" s="176" t="s">
        <v>3904</v>
      </c>
      <c r="BG23" s="176">
        <f>MAX($BM$4:$BU$12)</f>
        <v>0.11798587240894641</v>
      </c>
      <c r="BL23" s="173">
        <f>INT((ROWS($BL$15:BL23)-1)/9)</f>
        <v>0</v>
      </c>
      <c r="BM23" s="173">
        <f>MOD(ROWS($BM$15:BM23)-1,9)</f>
        <v>8</v>
      </c>
      <c r="BN23" s="173">
        <f t="shared" si="14"/>
        <v>4.0379145103774585E-6</v>
      </c>
      <c r="BP23" s="167"/>
    </row>
    <row r="24" spans="1:71" ht="14.45" customHeight="1">
      <c r="A24" s="113" t="str">
        <v>Czech Republic</v>
      </c>
      <c r="B24" s="112">
        <f>IF(COUNTIFS(_xlfn.ANCHORARRAY(DATA_CLEANED!$AF$3),CALCULES!B$2,_xlfn.ANCHORARRAY(DATA_CLEANED!$AK$3),CALCULES!$A24)+COUNTIFS(_xlfn.ANCHORARRAY(DATA_CLEANED!$AF$3),CALCULES!B$2,_xlfn.ANCHORARRAY(DATA_CLEANED!$AN$3),CALCULES!$A24)&gt;0,1,0)</f>
        <v>0</v>
      </c>
      <c r="C24" s="112">
        <f>IF(COUNTIFS(_xlfn.ANCHORARRAY(DATA_CLEANED!$AF$3),CALCULES!C$2,_xlfn.ANCHORARRAY(DATA_CLEANED!$AK$3),CALCULES!$A24)+COUNTIFS(_xlfn.ANCHORARRAY(DATA_CLEANED!$AF$3),CALCULES!C$2,_xlfn.ANCHORARRAY(DATA_CLEANED!$AN$3),CALCULES!$A24)&gt;0,1,0)</f>
        <v>0</v>
      </c>
      <c r="D24" s="112">
        <f>IF(COUNTIFS(_xlfn.ANCHORARRAY(DATA_CLEANED!$AF$3),CALCULES!D$2,_xlfn.ANCHORARRAY(DATA_CLEANED!$AK$3),CALCULES!$A24)+COUNTIFS(_xlfn.ANCHORARRAY(DATA_CLEANED!$AF$3),CALCULES!D$2,_xlfn.ANCHORARRAY(DATA_CLEANED!$AN$3),CALCULES!$A24)&gt;0,1,0)</f>
        <v>0</v>
      </c>
      <c r="E24" s="112">
        <f>IF(COUNTIFS(_xlfn.ANCHORARRAY(DATA_CLEANED!$AF$3),CALCULES!E$2,_xlfn.ANCHORARRAY(DATA_CLEANED!$AK$3),CALCULES!$A24)+COUNTIFS(_xlfn.ANCHORARRAY(DATA_CLEANED!$AF$3),CALCULES!E$2,_xlfn.ANCHORARRAY(DATA_CLEANED!$AN$3),CALCULES!$A24)&gt;0,1,0)</f>
        <v>0</v>
      </c>
      <c r="F24" s="112">
        <f>IF(COUNTIFS(_xlfn.ANCHORARRAY(DATA_CLEANED!$AF$3),CALCULES!F$2,_xlfn.ANCHORARRAY(DATA_CLEANED!$AK$3),CALCULES!$A24)+COUNTIFS(_xlfn.ANCHORARRAY(DATA_CLEANED!$AF$3),CALCULES!F$2,_xlfn.ANCHORARRAY(DATA_CLEANED!$AN$3),CALCULES!$A24)&gt;0,1,0)</f>
        <v>0</v>
      </c>
      <c r="G24" s="112">
        <f>IF(COUNTIFS(_xlfn.ANCHORARRAY(DATA_CLEANED!$AF$3),CALCULES!G$2,_xlfn.ANCHORARRAY(DATA_CLEANED!$AK$3),CALCULES!$A24)+COUNTIFS(_xlfn.ANCHORARRAY(DATA_CLEANED!$AF$3),CALCULES!G$2,_xlfn.ANCHORARRAY(DATA_CLEANED!$AN$3),CALCULES!$A24)&gt;0,1,0)</f>
        <v>0</v>
      </c>
      <c r="H24" s="112">
        <f>IF(COUNTIFS(_xlfn.ANCHORARRAY(DATA_CLEANED!$AF$3),CALCULES!H$2,_xlfn.ANCHORARRAY(DATA_CLEANED!$AK$3),CALCULES!$A24)+COUNTIFS(_xlfn.ANCHORARRAY(DATA_CLEANED!$AF$3),CALCULES!H$2,_xlfn.ANCHORARRAY(DATA_CLEANED!$AN$3),CALCULES!$A24)&gt;0,1,0)</f>
        <v>0</v>
      </c>
      <c r="I24" s="112">
        <f>IF(COUNTIFS(_xlfn.ANCHORARRAY(DATA_CLEANED!$AF$3),CALCULES!I$2,_xlfn.ANCHORARRAY(DATA_CLEANED!$AK$3),CALCULES!$A24)+COUNTIFS(_xlfn.ANCHORARRAY(DATA_CLEANED!$AF$3),CALCULES!I$2,_xlfn.ANCHORARRAY(DATA_CLEANED!$AN$3),CALCULES!$A24)&gt;0,1,0)</f>
        <v>0</v>
      </c>
      <c r="J24" s="112">
        <f>IF(COUNTIFS(_xlfn.ANCHORARRAY(DATA_CLEANED!$AF$3),CALCULES!J$2,_xlfn.ANCHORARRAY(DATA_CLEANED!$AK$3),CALCULES!$A24)+COUNTIFS(_xlfn.ANCHORARRAY(DATA_CLEANED!$AF$3),CALCULES!J$2,_xlfn.ANCHORARRAY(DATA_CLEANED!$AN$3),CALCULES!$A24)&gt;0,1,0)</f>
        <v>0</v>
      </c>
      <c r="K24" s="112">
        <f>IF(COUNTIFS(_xlfn.ANCHORARRAY(DATA_CLEANED!$AF$3),CALCULES!K$2,_xlfn.ANCHORARRAY(DATA_CLEANED!$AK$3),CALCULES!$A24)+COUNTIFS(_xlfn.ANCHORARRAY(DATA_CLEANED!$AF$3),CALCULES!K$2,_xlfn.ANCHORARRAY(DATA_CLEANED!$AN$3),CALCULES!$A24)&gt;0,1,0)</f>
        <v>0</v>
      </c>
      <c r="L24" s="112">
        <f>IF(COUNTIFS(_xlfn.ANCHORARRAY(DATA_CLEANED!$AF$3),CALCULES!L$2,_xlfn.ANCHORARRAY(DATA_CLEANED!$AK$3),CALCULES!$A24)+COUNTIFS(_xlfn.ANCHORARRAY(DATA_CLEANED!$AF$3),CALCULES!L$2,_xlfn.ANCHORARRAY(DATA_CLEANED!$AN$3),CALCULES!$A24)&gt;0,1,0)</f>
        <v>0</v>
      </c>
      <c r="M24" s="112">
        <f>IF(COUNTIFS(_xlfn.ANCHORARRAY(DATA_CLEANED!$AF$3),CALCULES!M$2,_xlfn.ANCHORARRAY(DATA_CLEANED!$AK$3),CALCULES!$A24)+COUNTIFS(_xlfn.ANCHORARRAY(DATA_CLEANED!$AF$3),CALCULES!M$2,_xlfn.ANCHORARRAY(DATA_CLEANED!$AN$3),CALCULES!$A24)&gt;0,1,0)</f>
        <v>0</v>
      </c>
      <c r="N24" s="112">
        <f>IF(COUNTIFS(_xlfn.ANCHORARRAY(DATA_CLEANED!$AF$3),CALCULES!N$2,_xlfn.ANCHORARRAY(DATA_CLEANED!$AK$3),CALCULES!$A24)+COUNTIFS(_xlfn.ANCHORARRAY(DATA_CLEANED!$AF$3),CALCULES!N$2,_xlfn.ANCHORARRAY(DATA_CLEANED!$AN$3),CALCULES!$A24)&gt;0,1,0)</f>
        <v>0</v>
      </c>
      <c r="O24" s="112">
        <f>IF(COUNTIFS(_xlfn.ANCHORARRAY(DATA_CLEANED!$AF$3),CALCULES!O$2,_xlfn.ANCHORARRAY(DATA_CLEANED!$AK$3),CALCULES!$A24)+COUNTIFS(_xlfn.ANCHORARRAY(DATA_CLEANED!$AF$3),CALCULES!O$2,_xlfn.ANCHORARRAY(DATA_CLEANED!$AN$3),CALCULES!$A24)&gt;0,1,0)</f>
        <v>0</v>
      </c>
      <c r="P24" s="112">
        <f>IF(COUNTIFS(_xlfn.ANCHORARRAY(DATA_CLEANED!$AF$3),CALCULES!P$2,_xlfn.ANCHORARRAY(DATA_CLEANED!$AK$3),CALCULES!$A24)+COUNTIFS(_xlfn.ANCHORARRAY(DATA_CLEANED!$AF$3),CALCULES!P$2,_xlfn.ANCHORARRAY(DATA_CLEANED!$AN$3),CALCULES!$A24)&gt;0,1,0)</f>
        <v>0</v>
      </c>
      <c r="Q24" s="112">
        <f>IF(COUNTIFS(_xlfn.ANCHORARRAY(DATA_CLEANED!$AF$3),CALCULES!Q$2,_xlfn.ANCHORARRAY(DATA_CLEANED!$AK$3),CALCULES!$A24)+COUNTIFS(_xlfn.ANCHORARRAY(DATA_CLEANED!$AF$3),CALCULES!Q$2,_xlfn.ANCHORARRAY(DATA_CLEANED!$AN$3),CALCULES!$A24)&gt;0,1,0)</f>
        <v>0</v>
      </c>
      <c r="R24" s="112">
        <f>IF(COUNTIFS(_xlfn.ANCHORARRAY(DATA_CLEANED!$AF$3),CALCULES!R$2,_xlfn.ANCHORARRAY(DATA_CLEANED!$AK$3),CALCULES!$A24)+COUNTIFS(_xlfn.ANCHORARRAY(DATA_CLEANED!$AF$3),CALCULES!R$2,_xlfn.ANCHORARRAY(DATA_CLEANED!$AN$3),CALCULES!$A24)&gt;0,1,0)</f>
        <v>0</v>
      </c>
      <c r="S24" s="112">
        <f>IF(COUNTIFS(_xlfn.ANCHORARRAY(DATA_CLEANED!$AF$3),CALCULES!S$2,_xlfn.ANCHORARRAY(DATA_CLEANED!$AK$3),CALCULES!$A24)+COUNTIFS(_xlfn.ANCHORARRAY(DATA_CLEANED!$AF$3),CALCULES!S$2,_xlfn.ANCHORARRAY(DATA_CLEANED!$AN$3),CALCULES!$A24)&gt;0,1,0)</f>
        <v>1</v>
      </c>
      <c r="T24" s="112">
        <f>IF(COUNTIFS(_xlfn.ANCHORARRAY(DATA_CLEANED!$AF$3),CALCULES!T$2,_xlfn.ANCHORARRAY(DATA_CLEANED!$AK$3),CALCULES!$A24)+COUNTIFS(_xlfn.ANCHORARRAY(DATA_CLEANED!$AF$3),CALCULES!T$2,_xlfn.ANCHORARRAY(DATA_CLEANED!$AN$3),CALCULES!$A24)&gt;0,1,0)</f>
        <v>0</v>
      </c>
      <c r="U24" s="112">
        <f>IF(COUNTIFS(_xlfn.ANCHORARRAY(DATA_CLEANED!$AF$3),CALCULES!U$2,_xlfn.ANCHORARRAY(DATA_CLEANED!$AK$3),CALCULES!$A24)+COUNTIFS(_xlfn.ANCHORARRAY(DATA_CLEANED!$AF$3),CALCULES!U$2,_xlfn.ANCHORARRAY(DATA_CLEANED!$AN$3),CALCULES!$A24)&gt;0,1,0)</f>
        <v>0</v>
      </c>
      <c r="V24" s="112">
        <f>IF(COUNTIFS(_xlfn.ANCHORARRAY(DATA_CLEANED!$AF$3),CALCULES!V$2,_xlfn.ANCHORARRAY(DATA_CLEANED!$AK$3),CALCULES!$A24)+COUNTIFS(_xlfn.ANCHORARRAY(DATA_CLEANED!$AF$3),CALCULES!V$2,_xlfn.ANCHORARRAY(DATA_CLEANED!$AN$3),CALCULES!$A24)&gt;0,1,0)</f>
        <v>0</v>
      </c>
      <c r="W24" s="112">
        <f>IF(COUNTIFS(_xlfn.ANCHORARRAY(DATA_CLEANED!$AF$3),CALCULES!W$2,_xlfn.ANCHORARRAY(DATA_CLEANED!$AK$3),CALCULES!$A24)+COUNTIFS(_xlfn.ANCHORARRAY(DATA_CLEANED!$AF$3),CALCULES!W$2,_xlfn.ANCHORARRAY(DATA_CLEANED!$AN$3),CALCULES!$A24)&gt;0,1,0)</f>
        <v>0</v>
      </c>
      <c r="X24" s="112">
        <f>IF(COUNTIFS(_xlfn.ANCHORARRAY(DATA_CLEANED!$AF$3),CALCULES!X$2,_xlfn.ANCHORARRAY(DATA_CLEANED!$AK$3),CALCULES!$A24)+COUNTIFS(_xlfn.ANCHORARRAY(DATA_CLEANED!$AF$3),CALCULES!X$2,_xlfn.ANCHORARRAY(DATA_CLEANED!$AN$3),CALCULES!$A24)&gt;0,1,0)</f>
        <v>1</v>
      </c>
      <c r="Y24" s="113">
        <f t="shared" si="0"/>
        <v>2</v>
      </c>
      <c r="AA24" s="112">
        <f>COUNTIF(_xlfn.ANCHORARRAY(DATA_CLEANED!$AK$3),$A24)+COUNTIF(DATA_CLEANED!$AN$2:$AN$1060,$A24)</f>
        <v>6</v>
      </c>
      <c r="AB24" s="112">
        <f>COUNTIF(DATA_QUALITE!BG$12:BG$1069,A24)</f>
        <v>1</v>
      </c>
      <c r="AC24" s="112">
        <f t="shared" si="7"/>
        <v>5</v>
      </c>
      <c r="AD24" s="112" cm="1">
        <f t="array" ref="AD24">SUMPRODUCT((DATA_CLEANED!AL$3:AL$1060=DATA_CLEANED!AM$3:AM$1060)*(_xlfn.ANCHORARRAY(DATA_CLEANED!AK$3)=CALCULES!A24)*(DATA_CLEANED!AO$3:AO$1060&lt;&gt;"-"))
+
SUMPRODUCT((DATA_CLEANED!AL$3:AL$1060=DATA_CLEANED!AM$3:AM$1060)*(_xlfn.ANCHORARRAY(DATA_CLEANED!AN$3)=CALCULES!A24)*(DATA_CLEANED!AO$3:AO$1060&lt;&gt;"-"))</f>
        <v>0</v>
      </c>
      <c r="AE24" s="116">
        <f t="shared" si="1"/>
        <v>0.16666666666666666</v>
      </c>
      <c r="AF24" s="116">
        <f t="shared" si="2"/>
        <v>0.83333333333333337</v>
      </c>
      <c r="AG24" s="112">
        <f>SUMIF(_xlfn.ANCHORARRAY(DATA_CLEANED!AK$3),A24,DATA_CLEANED!AL$2:AL$1060)+SUMIF(_xlfn.ANCHORARRAY(DATA_CLEANED!AN$3),A24,DATA_CLEANED!AM$2:AM$1060)</f>
        <v>8</v>
      </c>
      <c r="AH24" s="112">
        <f>SUMIF(_xlfn.ANCHORARRAY(DATA_CLEANED!AK$3),A24,DATA_CLEANED!AM$2:AM$1060)+SUMIF(_xlfn.ANCHORARRAY(DATA_CLEANED!AN$3),A24,DATA_CLEANED!AL$2:AL$1060)</f>
        <v>10</v>
      </c>
      <c r="AI24" s="112">
        <f t="shared" si="8"/>
        <v>1.67</v>
      </c>
      <c r="AJ24" s="117" cm="1">
        <f t="array" ref="AJ24">_xlfn.LET(_xlpm.home,IFERROR(_xlfn._xlws.FILTER(DATA_CLEANED!AH$3:AH$1060,DATA_CLEANED!AK$3:AK$1060=CALCULES!A24),""),
_xlpm.away,IFERROR(_xlfn._xlws.FILTER(DATA_CLEANED!AH$3:AH$1060,DATA_CLEANED!AN$3:AN$1060=CALCULES!A24),""),
_xlpm.assemb_t,_xlfn._xlws.FILTER(_xlfn.VSTACK(_xlpm.home,_xlpm.away),_xlfn.VSTACK(_xlpm.home,_xlpm.away)&lt;&gt;""),
_xlpm.but_h,IFERROR(_xlfn._xlws.FILTER(_xlfn.ANCHORARRAY(DATA_CLEANED!AM$3),DATA_CLEANED!AK$3:AK$1060=CALCULES!A24),""),
_xlpm.but_a,IFERROR(_xlfn._xlws.FILTER(_xlfn.ANCHORARRAY(DATA_CLEANED!AL$3),DATA_CLEANED!AN$3:AN$1060=CALCULES!A24),""),
_xlpm.assemb_b,_xlfn._xlws.FILTER(_xlfn.VSTACK(_xlpm.but_h,_xlpm.but_a),_xlfn.VSTACK(_xlpm.but_h,_xlpm.but_a)&lt;&gt;""),
MEDIAN(_xlpm.assemb_t,_xlpm.assemb_b)
)</f>
        <v>2</v>
      </c>
      <c r="AK24" s="113">
        <f t="shared" si="3"/>
        <v>-2</v>
      </c>
      <c r="AL24" s="112" cm="1">
        <f t="array" ref="AL24">IFERROR(MEDIAN(_xlfn._xlws.FILTER(_xlfn.VSTACK(
DATA_CLEANED!AL$3:AL$1060-DATA_CLEANED!AM$3:AM$1060,
DATA_CLEANED!AM$3:AM$1060-DATA_CLEANED!AL$3:AL$1060
),_xlfn.VSTACK(DATA_CLEANED!AK$3:AK$1060,DATA_CLEANED!AN$3:AN$1060)=A24)),"-")</f>
        <v>-1.5</v>
      </c>
      <c r="AM24" s="112">
        <f t="shared" si="9"/>
        <v>1.33</v>
      </c>
      <c r="AN24" s="112" cm="1">
        <f t="array" ref="AN24">_xlfn.LET(_xlpm.home,IFERROR(_xlfn._xlws.FILTER(DATA_CLEANED!AH$3:AH$1060,DATA_CLEANED!AK$3:AK$1060=CALCULES!A24),""),
_xlpm.away,IFERROR(_xlfn._xlws.FILTER(DATA_CLEANED!AH$3:AH$1060,DATA_CLEANED!AN$3:AN$1060=CALCULES!A24),""),
_xlpm.assemb_t,_xlfn._xlws.FILTER(_xlfn.VSTACK(_xlpm.home,_xlpm.away),_xlfn.VSTACK(_xlpm.home,_xlpm.away)&lt;&gt;""),
_xlpm.but_h,IFERROR(_xlfn._xlws.FILTER(_xlfn.ANCHORARRAY(DATA_CLEANED!AL$3),DATA_CLEANED!AK$3:AK$1060=CALCULES!A24),""),
_xlpm.but_a,IFERROR(_xlfn._xlws.FILTER(_xlfn.ANCHORARRAY(DATA_CLEANED!AM$3),DATA_CLEANED!AN$3:AN$1060=CALCULES!A24),""),
_xlpm.assemb_b,_xlfn._xlws.FILTER(_xlfn.VSTACK(_xlpm.but_h,_xlpm.but_a),_xlfn.VSTACK(_xlpm.but_h,_xlpm.but_a)&lt;&gt;""),
MEDIAN(_xlpm.assemb_t,_xlpm.assemb_b)
)</f>
        <v>0.5</v>
      </c>
      <c r="AO24" s="116">
        <f>ROUND(IFERROR((COUNTIFS(DATA_CLEANED!AK$3:AK$1060,A24,DATA_CLEANED!AM$3:AM$1060,0)
+
COUNTIFS(DATA_CLEANED!AN$3:AN$1060,A24,DATA_CLEANED!AL$3:AL$1060,0)
)/AA24,0),2)</f>
        <v>0.17</v>
      </c>
      <c r="AP24" s="112">
        <f>MAX((_xlfn.MAXIFS(_xlfn.ANCHORARRAY(DATA_CLEANED!AL$3),_xlfn.ANCHORARRAY(DATA_CLEANED!AK$3),A24)),(_xlfn.MAXIFS(DATA_CLEANED!AM$3:AM$1060,_xlfn.ANCHORARRAY(DATA_CLEANED!AN$3),A24)))</f>
        <v>3</v>
      </c>
      <c r="AQ24" s="112">
        <f>COUNTIF(_xlfn.ANCHORARRAY(DATA_CLEANED!K$3),A24)</f>
        <v>0</v>
      </c>
      <c r="AR24" s="113" t="str" cm="1">
        <f t="array" ref="AR24">_xlfn.LET(
_xlpm.home,IFERROR(_xlfn._xlws.FILTER(DATA_CLEANED!AH$3:AH$1060,DATA_CLEANED!AK$3:AK$1060=CALCULES!A24),""),
_xlpm.away,IFERROR(_xlfn._xlws.FILTER(DATA_CLEANED!AH$3:AH$1060,DATA_CLEANED!AN$3:AN$1060=CALCULES!A24),""),
_xlpm.etapes,_xlfn._xlws.FILTER(_xlfn.VSTACK(_xlpm.home,_xlpm.away),_xlfn.VSTACK(_xlpm.home,_xlpm.away)&lt;&gt;""),
_xlpm.numeros,_xlfn.XLOOKUP(_xlpm.etapes,DATA_QUALITE!AT$12:AT$38,DATA_QUALITE!AU$12:AU$38),
_xlfn.XLOOKUP(MIN(_xlpm.numeros),DATA_QUALITE!AU$12:AU$38,DATA_QUALITE!AT$12:AT$38)
)</f>
        <v>GROUP_STAGE</v>
      </c>
      <c r="AS24" s="112">
        <f t="shared" si="4"/>
        <v>2</v>
      </c>
      <c r="AT24" s="112">
        <f t="shared" si="5"/>
        <v>1</v>
      </c>
      <c r="AU24" s="112">
        <f>COUNTIFS(DATA_QUALITE!BG$12:BG$1069,"MATCH NUL",_xlfn.ANCHORARRAY(DATA_CLEANED!AK$3),CALCULES!A24)+COUNTIFS(DATA_QUALITE!BG$12:BG$1069,"MATCH NUL",_xlfn.ANCHORARRAY(DATA_CLEANED!AN$3),CALCULES!A24)</f>
        <v>1</v>
      </c>
      <c r="AV24" s="112">
        <v>8</v>
      </c>
      <c r="AW24" s="112">
        <f>COUNTIFS(_xlfn.ANCHORARRAY(DATA_CLEANED!AH$3),"QUARTER_FINALS",_xlfn.ANCHORARRAY(DATA_CLEANED!AK$3),CALCULES!A24)+COUNTIFS(_xlfn.ANCHORARRAY(DATA_CLEANED!AH$3),"QUARTER_FINALS",_xlfn.ANCHORARRAY(DATA_CLEANED!AN$3),CALCULES!A24)</f>
        <v>0</v>
      </c>
      <c r="AX24" s="112">
        <f>COUNTIFS(_xlfn.ANCHORARRAY(DATA_CLEANED!AH$3),"SEMI_FINALS",_xlfn.ANCHORARRAY(DATA_CLEANED!AK$3),CALCULES!A24)+COUNTIFS(_xlfn.ANCHORARRAY(DATA_CLEANED!AH$3),"SEMI_FINALS",_xlfn.ANCHORARRAY(DATA_CLEANED!AN$3),CALCULES!A24)</f>
        <v>0</v>
      </c>
      <c r="AY24" s="112">
        <f>COUNTIFS(_xlfn.ANCHORARRAY(DATA_CLEANED!AH$3),"FINAL",_xlfn.ANCHORARRAY(DATA_CLEANED!AK$3),CALCULES!A24)+COUNTIFS(_xlfn.ANCHORARRAY(DATA_CLEANED!AH$3),"FINAL",_xlfn.ANCHORARRAY(DATA_CLEANED!AN$3),CALCULES!A24)</f>
        <v>0</v>
      </c>
      <c r="AZ24" s="112">
        <f>COUNTIFS(DATA_QUALITE!BG$12:BG$1069,CALCULES!A24,DATA_QUALITE!AW$12:AW$1069,"FINAL")</f>
        <v>0</v>
      </c>
      <c r="BA24" s="113">
        <f t="shared" si="6"/>
        <v>18.670000000000002</v>
      </c>
      <c r="BB24" s="118">
        <f t="shared" si="10"/>
        <v>3.86</v>
      </c>
      <c r="BC24" s="118">
        <f t="shared" si="11"/>
        <v>3.31</v>
      </c>
      <c r="BD24" s="139">
        <f t="shared" si="12"/>
        <v>3.59</v>
      </c>
      <c r="BF24" s="174"/>
      <c r="BG24" s="174"/>
      <c r="BL24" s="173">
        <f>INT((ROWS($BL$15:BL24)-1)/9)</f>
        <v>1</v>
      </c>
      <c r="BM24" s="173">
        <f>MOD(ROWS($BM$15:BM24)-1,9)</f>
        <v>0</v>
      </c>
      <c r="BN24" s="173">
        <f t="shared" si="14"/>
        <v>0.10535061507505979</v>
      </c>
      <c r="BP24" s="167"/>
    </row>
    <row r="25" spans="1:71" ht="14.45" customHeight="1">
      <c r="A25" s="113" t="str">
        <v>Czechoslovakia</v>
      </c>
      <c r="B25" s="112">
        <f>IF(COUNTIFS(_xlfn.ANCHORARRAY(DATA_CLEANED!$AF$3),CALCULES!B$2,_xlfn.ANCHORARRAY(DATA_CLEANED!$AK$3),CALCULES!$A25)+COUNTIFS(_xlfn.ANCHORARRAY(DATA_CLEANED!$AF$3),CALCULES!B$2,_xlfn.ANCHORARRAY(DATA_CLEANED!$AN$3),CALCULES!$A25)&gt;0,1,0)</f>
        <v>0</v>
      </c>
      <c r="C25" s="112">
        <f>IF(COUNTIFS(_xlfn.ANCHORARRAY(DATA_CLEANED!$AF$3),CALCULES!C$2,_xlfn.ANCHORARRAY(DATA_CLEANED!$AK$3),CALCULES!$A25)+COUNTIFS(_xlfn.ANCHORARRAY(DATA_CLEANED!$AF$3),CALCULES!C$2,_xlfn.ANCHORARRAY(DATA_CLEANED!$AN$3),CALCULES!$A25)&gt;0,1,0)</f>
        <v>1</v>
      </c>
      <c r="D25" s="112">
        <f>IF(COUNTIFS(_xlfn.ANCHORARRAY(DATA_CLEANED!$AF$3),CALCULES!D$2,_xlfn.ANCHORARRAY(DATA_CLEANED!$AK$3),CALCULES!$A25)+COUNTIFS(_xlfn.ANCHORARRAY(DATA_CLEANED!$AF$3),CALCULES!D$2,_xlfn.ANCHORARRAY(DATA_CLEANED!$AN$3),CALCULES!$A25)&gt;0,1,0)</f>
        <v>1</v>
      </c>
      <c r="E25" s="112">
        <f>IF(COUNTIFS(_xlfn.ANCHORARRAY(DATA_CLEANED!$AF$3),CALCULES!E$2,_xlfn.ANCHORARRAY(DATA_CLEANED!$AK$3),CALCULES!$A25)+COUNTIFS(_xlfn.ANCHORARRAY(DATA_CLEANED!$AF$3),CALCULES!E$2,_xlfn.ANCHORARRAY(DATA_CLEANED!$AN$3),CALCULES!$A25)&gt;0,1,0)</f>
        <v>0</v>
      </c>
      <c r="F25" s="112">
        <f>IF(COUNTIFS(_xlfn.ANCHORARRAY(DATA_CLEANED!$AF$3),CALCULES!F$2,_xlfn.ANCHORARRAY(DATA_CLEANED!$AK$3),CALCULES!$A25)+COUNTIFS(_xlfn.ANCHORARRAY(DATA_CLEANED!$AF$3),CALCULES!F$2,_xlfn.ANCHORARRAY(DATA_CLEANED!$AN$3),CALCULES!$A25)&gt;0,1,0)</f>
        <v>1</v>
      </c>
      <c r="G25" s="112">
        <f>IF(COUNTIFS(_xlfn.ANCHORARRAY(DATA_CLEANED!$AF$3),CALCULES!G$2,_xlfn.ANCHORARRAY(DATA_CLEANED!$AK$3),CALCULES!$A25)+COUNTIFS(_xlfn.ANCHORARRAY(DATA_CLEANED!$AF$3),CALCULES!G$2,_xlfn.ANCHORARRAY(DATA_CLEANED!$AN$3),CALCULES!$A25)&gt;0,1,0)</f>
        <v>1</v>
      </c>
      <c r="H25" s="112">
        <f>IF(COUNTIFS(_xlfn.ANCHORARRAY(DATA_CLEANED!$AF$3),CALCULES!H$2,_xlfn.ANCHORARRAY(DATA_CLEANED!$AK$3),CALCULES!$A25)+COUNTIFS(_xlfn.ANCHORARRAY(DATA_CLEANED!$AF$3),CALCULES!H$2,_xlfn.ANCHORARRAY(DATA_CLEANED!$AN$3),CALCULES!$A25)&gt;0,1,0)</f>
        <v>1</v>
      </c>
      <c r="I25" s="112">
        <f>IF(COUNTIFS(_xlfn.ANCHORARRAY(DATA_CLEANED!$AF$3),CALCULES!I$2,_xlfn.ANCHORARRAY(DATA_CLEANED!$AK$3),CALCULES!$A25)+COUNTIFS(_xlfn.ANCHORARRAY(DATA_CLEANED!$AF$3),CALCULES!I$2,_xlfn.ANCHORARRAY(DATA_CLEANED!$AN$3),CALCULES!$A25)&gt;0,1,0)</f>
        <v>0</v>
      </c>
      <c r="J25" s="112">
        <f>IF(COUNTIFS(_xlfn.ANCHORARRAY(DATA_CLEANED!$AF$3),CALCULES!J$2,_xlfn.ANCHORARRAY(DATA_CLEANED!$AK$3),CALCULES!$A25)+COUNTIFS(_xlfn.ANCHORARRAY(DATA_CLEANED!$AF$3),CALCULES!J$2,_xlfn.ANCHORARRAY(DATA_CLEANED!$AN$3),CALCULES!$A25)&gt;0,1,0)</f>
        <v>1</v>
      </c>
      <c r="K25" s="112">
        <f>IF(COUNTIFS(_xlfn.ANCHORARRAY(DATA_CLEANED!$AF$3),CALCULES!K$2,_xlfn.ANCHORARRAY(DATA_CLEANED!$AK$3),CALCULES!$A25)+COUNTIFS(_xlfn.ANCHORARRAY(DATA_CLEANED!$AF$3),CALCULES!K$2,_xlfn.ANCHORARRAY(DATA_CLEANED!$AN$3),CALCULES!$A25)&gt;0,1,0)</f>
        <v>0</v>
      </c>
      <c r="L25" s="112">
        <f>IF(COUNTIFS(_xlfn.ANCHORARRAY(DATA_CLEANED!$AF$3),CALCULES!L$2,_xlfn.ANCHORARRAY(DATA_CLEANED!$AK$3),CALCULES!$A25)+COUNTIFS(_xlfn.ANCHORARRAY(DATA_CLEANED!$AF$3),CALCULES!L$2,_xlfn.ANCHORARRAY(DATA_CLEANED!$AN$3),CALCULES!$A25)&gt;0,1,0)</f>
        <v>0</v>
      </c>
      <c r="M25" s="112">
        <f>IF(COUNTIFS(_xlfn.ANCHORARRAY(DATA_CLEANED!$AF$3),CALCULES!M$2,_xlfn.ANCHORARRAY(DATA_CLEANED!$AK$3),CALCULES!$A25)+COUNTIFS(_xlfn.ANCHORARRAY(DATA_CLEANED!$AF$3),CALCULES!M$2,_xlfn.ANCHORARRAY(DATA_CLEANED!$AN$3),CALCULES!$A25)&gt;0,1,0)</f>
        <v>1</v>
      </c>
      <c r="N25" s="112">
        <f>IF(COUNTIFS(_xlfn.ANCHORARRAY(DATA_CLEANED!$AF$3),CALCULES!N$2,_xlfn.ANCHORARRAY(DATA_CLEANED!$AK$3),CALCULES!$A25)+COUNTIFS(_xlfn.ANCHORARRAY(DATA_CLEANED!$AF$3),CALCULES!N$2,_xlfn.ANCHORARRAY(DATA_CLEANED!$AN$3),CALCULES!$A25)&gt;0,1,0)</f>
        <v>0</v>
      </c>
      <c r="O25" s="112">
        <f>IF(COUNTIFS(_xlfn.ANCHORARRAY(DATA_CLEANED!$AF$3),CALCULES!O$2,_xlfn.ANCHORARRAY(DATA_CLEANED!$AK$3),CALCULES!$A25)+COUNTIFS(_xlfn.ANCHORARRAY(DATA_CLEANED!$AF$3),CALCULES!O$2,_xlfn.ANCHORARRAY(DATA_CLEANED!$AN$3),CALCULES!$A25)&gt;0,1,0)</f>
        <v>1</v>
      </c>
      <c r="P25" s="112">
        <f>IF(COUNTIFS(_xlfn.ANCHORARRAY(DATA_CLEANED!$AF$3),CALCULES!P$2,_xlfn.ANCHORARRAY(DATA_CLEANED!$AK$3),CALCULES!$A25)+COUNTIFS(_xlfn.ANCHORARRAY(DATA_CLEANED!$AF$3),CALCULES!P$2,_xlfn.ANCHORARRAY(DATA_CLEANED!$AN$3),CALCULES!$A25)&gt;0,1,0)</f>
        <v>0</v>
      </c>
      <c r="Q25" s="112">
        <f>IF(COUNTIFS(_xlfn.ANCHORARRAY(DATA_CLEANED!$AF$3),CALCULES!Q$2,_xlfn.ANCHORARRAY(DATA_CLEANED!$AK$3),CALCULES!$A25)+COUNTIFS(_xlfn.ANCHORARRAY(DATA_CLEANED!$AF$3),CALCULES!Q$2,_xlfn.ANCHORARRAY(DATA_CLEANED!$AN$3),CALCULES!$A25)&gt;0,1,0)</f>
        <v>0</v>
      </c>
      <c r="R25" s="112">
        <f>IF(COUNTIFS(_xlfn.ANCHORARRAY(DATA_CLEANED!$AF$3),CALCULES!R$2,_xlfn.ANCHORARRAY(DATA_CLEANED!$AK$3),CALCULES!$A25)+COUNTIFS(_xlfn.ANCHORARRAY(DATA_CLEANED!$AF$3),CALCULES!R$2,_xlfn.ANCHORARRAY(DATA_CLEANED!$AN$3),CALCULES!$A25)&gt;0,1,0)</f>
        <v>0</v>
      </c>
      <c r="S25" s="112">
        <f>IF(COUNTIFS(_xlfn.ANCHORARRAY(DATA_CLEANED!$AF$3),CALCULES!S$2,_xlfn.ANCHORARRAY(DATA_CLEANED!$AK$3),CALCULES!$A25)+COUNTIFS(_xlfn.ANCHORARRAY(DATA_CLEANED!$AF$3),CALCULES!S$2,_xlfn.ANCHORARRAY(DATA_CLEANED!$AN$3),CALCULES!$A25)&gt;0,1,0)</f>
        <v>0</v>
      </c>
      <c r="T25" s="112">
        <f>IF(COUNTIFS(_xlfn.ANCHORARRAY(DATA_CLEANED!$AF$3),CALCULES!T$2,_xlfn.ANCHORARRAY(DATA_CLEANED!$AK$3),CALCULES!$A25)+COUNTIFS(_xlfn.ANCHORARRAY(DATA_CLEANED!$AF$3),CALCULES!T$2,_xlfn.ANCHORARRAY(DATA_CLEANED!$AN$3),CALCULES!$A25)&gt;0,1,0)</f>
        <v>0</v>
      </c>
      <c r="U25" s="112">
        <f>IF(COUNTIFS(_xlfn.ANCHORARRAY(DATA_CLEANED!$AF$3),CALCULES!U$2,_xlfn.ANCHORARRAY(DATA_CLEANED!$AK$3),CALCULES!$A25)+COUNTIFS(_xlfn.ANCHORARRAY(DATA_CLEANED!$AF$3),CALCULES!U$2,_xlfn.ANCHORARRAY(DATA_CLEANED!$AN$3),CALCULES!$A25)&gt;0,1,0)</f>
        <v>0</v>
      </c>
      <c r="V25" s="112">
        <f>IF(COUNTIFS(_xlfn.ANCHORARRAY(DATA_CLEANED!$AF$3),CALCULES!V$2,_xlfn.ANCHORARRAY(DATA_CLEANED!$AK$3),CALCULES!$A25)+COUNTIFS(_xlfn.ANCHORARRAY(DATA_CLEANED!$AF$3),CALCULES!V$2,_xlfn.ANCHORARRAY(DATA_CLEANED!$AN$3),CALCULES!$A25)&gt;0,1,0)</f>
        <v>0</v>
      </c>
      <c r="W25" s="112">
        <f>IF(COUNTIFS(_xlfn.ANCHORARRAY(DATA_CLEANED!$AF$3),CALCULES!W$2,_xlfn.ANCHORARRAY(DATA_CLEANED!$AK$3),CALCULES!$A25)+COUNTIFS(_xlfn.ANCHORARRAY(DATA_CLEANED!$AF$3),CALCULES!W$2,_xlfn.ANCHORARRAY(DATA_CLEANED!$AN$3),CALCULES!$A25)&gt;0,1,0)</f>
        <v>0</v>
      </c>
      <c r="X25" s="112">
        <f>IF(COUNTIFS(_xlfn.ANCHORARRAY(DATA_CLEANED!$AF$3),CALCULES!X$2,_xlfn.ANCHORARRAY(DATA_CLEANED!$AK$3),CALCULES!$A25)+COUNTIFS(_xlfn.ANCHORARRAY(DATA_CLEANED!$AF$3),CALCULES!X$2,_xlfn.ANCHORARRAY(DATA_CLEANED!$AN$3),CALCULES!$A25)&gt;0,1,0)</f>
        <v>0</v>
      </c>
      <c r="Y25" s="113">
        <f t="shared" si="0"/>
        <v>8</v>
      </c>
      <c r="AA25" s="112">
        <f>COUNTIF(_xlfn.ANCHORARRAY(DATA_CLEANED!$AK$3),$A25)+COUNTIF(DATA_CLEANED!$AN$2:$AN$1060,$A25)</f>
        <v>30</v>
      </c>
      <c r="AB25" s="112">
        <f>COUNTIF(DATA_QUALITE!BG$12:BG$1069,A25)</f>
        <v>11</v>
      </c>
      <c r="AC25" s="112">
        <f t="shared" si="7"/>
        <v>19</v>
      </c>
      <c r="AD25" s="112" cm="1">
        <f t="array" ref="AD25">SUMPRODUCT((DATA_CLEANED!AL$3:AL$1060=DATA_CLEANED!AM$3:AM$1060)*(_xlfn.ANCHORARRAY(DATA_CLEANED!AK$3)=CALCULES!A25)*(DATA_CLEANED!AO$3:AO$1060&lt;&gt;"-"))
+
SUMPRODUCT((DATA_CLEANED!AL$3:AL$1060=DATA_CLEANED!AM$3:AM$1060)*(_xlfn.ANCHORARRAY(DATA_CLEANED!AN$3)=CALCULES!A25)*(DATA_CLEANED!AO$3:AO$1060&lt;&gt;"-"))</f>
        <v>0</v>
      </c>
      <c r="AE25" s="116">
        <f t="shared" si="1"/>
        <v>0.36666666666666664</v>
      </c>
      <c r="AF25" s="116">
        <f t="shared" si="2"/>
        <v>0.6333333333333333</v>
      </c>
      <c r="AG25" s="112">
        <f>SUMIF(_xlfn.ANCHORARRAY(DATA_CLEANED!AK$3),A25,DATA_CLEANED!AL$2:AL$1060)+SUMIF(_xlfn.ANCHORARRAY(DATA_CLEANED!AN$3),A25,DATA_CLEANED!AM$2:AM$1060)</f>
        <v>39</v>
      </c>
      <c r="AH25" s="112">
        <f>SUMIF(_xlfn.ANCHORARRAY(DATA_CLEANED!AK$3),A25,DATA_CLEANED!AM$2:AM$1060)+SUMIF(_xlfn.ANCHORARRAY(DATA_CLEANED!AN$3),A25,DATA_CLEANED!AL$2:AL$1060)</f>
        <v>66</v>
      </c>
      <c r="AI25" s="112">
        <f t="shared" si="8"/>
        <v>2.2000000000000002</v>
      </c>
      <c r="AJ25" s="117" cm="1">
        <f t="array" ref="AJ25">_xlfn.LET(_xlpm.home,IFERROR(_xlfn._xlws.FILTER(DATA_CLEANED!AH$3:AH$1060,DATA_CLEANED!AK$3:AK$1060=CALCULES!A25),""),
_xlpm.away,IFERROR(_xlfn._xlws.FILTER(DATA_CLEANED!AH$3:AH$1060,DATA_CLEANED!AN$3:AN$1060=CALCULES!A25),""),
_xlpm.assemb_t,_xlfn._xlws.FILTER(_xlfn.VSTACK(_xlpm.home,_xlpm.away),_xlfn.VSTACK(_xlpm.home,_xlpm.away)&lt;&gt;""),
_xlpm.but_h,IFERROR(_xlfn._xlws.FILTER(_xlfn.ANCHORARRAY(DATA_CLEANED!AM$3),DATA_CLEANED!AK$3:AK$1060=CALCULES!A25),""),
_xlpm.but_a,IFERROR(_xlfn._xlws.FILTER(_xlfn.ANCHORARRAY(DATA_CLEANED!AL$3),DATA_CLEANED!AN$3:AN$1060=CALCULES!A25),""),
_xlpm.assemb_b,_xlfn._xlws.FILTER(_xlfn.VSTACK(_xlpm.but_h,_xlpm.but_a),_xlfn.VSTACK(_xlpm.but_h,_xlpm.but_a)&lt;&gt;""),
MEDIAN(_xlpm.assemb_t,_xlpm.assemb_b)
)</f>
        <v>1</v>
      </c>
      <c r="AK25" s="113">
        <f t="shared" si="3"/>
        <v>-27</v>
      </c>
      <c r="AL25" s="112" cm="1">
        <f t="array" ref="AL25">IFERROR(MEDIAN(_xlfn._xlws.FILTER(_xlfn.VSTACK(
DATA_CLEANED!AL$3:AL$1060-DATA_CLEANED!AM$3:AM$1060,
DATA_CLEANED!AM$3:AM$1060-DATA_CLEANED!AL$3:AL$1060
),_xlfn.VSTACK(DATA_CLEANED!AK$3:AK$1060,DATA_CLEANED!AN$3:AN$1060)=A25)),"-")</f>
        <v>0</v>
      </c>
      <c r="AM25" s="112">
        <f t="shared" si="9"/>
        <v>1.3</v>
      </c>
      <c r="AN25" s="112" cm="1">
        <f t="array" ref="AN25">_xlfn.LET(_xlpm.home,IFERROR(_xlfn._xlws.FILTER(DATA_CLEANED!AH$3:AH$1060,DATA_CLEANED!AK$3:AK$1060=CALCULES!A25),""),
_xlpm.away,IFERROR(_xlfn._xlws.FILTER(DATA_CLEANED!AH$3:AH$1060,DATA_CLEANED!AN$3:AN$1060=CALCULES!A25),""),
_xlpm.assemb_t,_xlfn._xlws.FILTER(_xlfn.VSTACK(_xlpm.home,_xlpm.away),_xlfn.VSTACK(_xlpm.home,_xlpm.away)&lt;&gt;""),
_xlpm.but_h,IFERROR(_xlfn._xlws.FILTER(_xlfn.ANCHORARRAY(DATA_CLEANED!AL$3),DATA_CLEANED!AK$3:AK$1060=CALCULES!A25),""),
_xlpm.but_a,IFERROR(_xlfn._xlws.FILTER(_xlfn.ANCHORARRAY(DATA_CLEANED!AM$3),DATA_CLEANED!AN$3:AN$1060=CALCULES!A25),""),
_xlpm.assemb_b,_xlfn._xlws.FILTER(_xlfn.VSTACK(_xlpm.but_h,_xlpm.but_a),_xlfn.VSTACK(_xlpm.but_h,_xlpm.but_a)&lt;&gt;""),
MEDIAN(_xlpm.assemb_t,_xlpm.assemb_b)
)</f>
        <v>1</v>
      </c>
      <c r="AO25" s="116">
        <f>ROUND(IFERROR((COUNTIFS(DATA_CLEANED!AK$3:AK$1060,A25,DATA_CLEANED!AM$3:AM$1060,0)
+
COUNTIFS(DATA_CLEANED!AN$3:AN$1060,A25,DATA_CLEANED!AL$3:AL$1060,0)
)/AA25,0),2)</f>
        <v>0.17</v>
      </c>
      <c r="AP25" s="112">
        <f>MAX((_xlfn.MAXIFS(_xlfn.ANCHORARRAY(DATA_CLEANED!AL$3),_xlfn.ANCHORARRAY(DATA_CLEANED!AK$3),A25)),(_xlfn.MAXIFS(DATA_CLEANED!AM$3:AM$1060,_xlfn.ANCHORARRAY(DATA_CLEANED!AN$3),A25)))</f>
        <v>6</v>
      </c>
      <c r="AQ25" s="112">
        <f>COUNTIF(_xlfn.ANCHORARRAY(DATA_CLEANED!K$3),A25)</f>
        <v>0</v>
      </c>
      <c r="AR25" s="113" t="str" cm="1">
        <f t="array" ref="AR25">_xlfn.LET(
_xlpm.home,IFERROR(_xlfn._xlws.FILTER(DATA_CLEANED!AH$3:AH$1060,DATA_CLEANED!AK$3:AK$1060=CALCULES!A25),""),
_xlpm.away,IFERROR(_xlfn._xlws.FILTER(DATA_CLEANED!AH$3:AH$1060,DATA_CLEANED!AN$3:AN$1060=CALCULES!A25),""),
_xlpm.etapes,_xlfn._xlws.FILTER(_xlfn.VSTACK(_xlpm.home,_xlpm.away),_xlfn.VSTACK(_xlpm.home,_xlpm.away)&lt;&gt;""),
_xlpm.numeros,_xlfn.XLOOKUP(_xlpm.etapes,DATA_QUALITE!AT$12:AT$38,DATA_QUALITE!AU$12:AU$38),
_xlfn.XLOOKUP(MIN(_xlpm.numeros),DATA_QUALITE!AU$12:AU$38,DATA_QUALITE!AT$12:AT$38)
)</f>
        <v>FINAL</v>
      </c>
      <c r="AS25" s="112">
        <f t="shared" si="4"/>
        <v>8</v>
      </c>
      <c r="AT25" s="112">
        <f t="shared" si="5"/>
        <v>11</v>
      </c>
      <c r="AU25" s="112">
        <f>COUNTIFS(DATA_QUALITE!BG$12:BG$1069,"MATCH NUL",_xlfn.ANCHORARRAY(DATA_CLEANED!AK$3),CALCULES!A25)+COUNTIFS(DATA_QUALITE!BG$12:BG$1069,"MATCH NUL",_xlfn.ANCHORARRAY(DATA_CLEANED!AN$3),CALCULES!A25)</f>
        <v>5</v>
      </c>
      <c r="AV25" s="112">
        <v>39</v>
      </c>
      <c r="AW25" s="112">
        <f>COUNTIFS(_xlfn.ANCHORARRAY(DATA_CLEANED!AH$3),"QUARTER_FINALS",_xlfn.ANCHORARRAY(DATA_CLEANED!AK$3),CALCULES!A25)+COUNTIFS(_xlfn.ANCHORARRAY(DATA_CLEANED!AH$3),"QUARTER_FINALS",_xlfn.ANCHORARRAY(DATA_CLEANED!AN$3),CALCULES!A25)</f>
        <v>5</v>
      </c>
      <c r="AX25" s="112">
        <f>COUNTIFS(_xlfn.ANCHORARRAY(DATA_CLEANED!AH$3),"SEMI_FINALS",_xlfn.ANCHORARRAY(DATA_CLEANED!AK$3),CALCULES!A25)+COUNTIFS(_xlfn.ANCHORARRAY(DATA_CLEANED!AH$3),"SEMI_FINALS",_xlfn.ANCHORARRAY(DATA_CLEANED!AN$3),CALCULES!A25)</f>
        <v>2</v>
      </c>
      <c r="AY25" s="112">
        <f>COUNTIFS(_xlfn.ANCHORARRAY(DATA_CLEANED!AH$3),"FINAL",_xlfn.ANCHORARRAY(DATA_CLEANED!AK$3),CALCULES!A25)+COUNTIFS(_xlfn.ANCHORARRAY(DATA_CLEANED!AH$3),"FINAL",_xlfn.ANCHORARRAY(DATA_CLEANED!AN$3),CALCULES!A25)</f>
        <v>2</v>
      </c>
      <c r="AZ25" s="112">
        <f>COUNTIFS(DATA_QUALITE!BG$12:BG$1069,CALCULES!A25,DATA_QUALITE!AW$12:AW$1069,"FINAL")</f>
        <v>0</v>
      </c>
      <c r="BA25" s="113">
        <f t="shared" si="6"/>
        <v>39.31</v>
      </c>
      <c r="BB25" s="118">
        <f t="shared" si="10"/>
        <v>15.87</v>
      </c>
      <c r="BC25" s="118">
        <f t="shared" si="11"/>
        <v>10.77</v>
      </c>
      <c r="BD25" s="139">
        <f t="shared" si="12"/>
        <v>13.32</v>
      </c>
      <c r="BF25" s="179" t="s">
        <v>3907</v>
      </c>
      <c r="BG25" s="179" t="str">
        <f>INDEX($BL$15:$BL$94,MATCH(MAX($BN$15:$BN$94),$BN$15:$BN$94,0))
&amp;" - "&amp;
INDEX($BM$15:$BM$94,MATCH(MAX($BN$15:$BN$94),$BN$15:$BN$94,0))</f>
        <v>1 - 1</v>
      </c>
      <c r="BL25" s="173">
        <f>INT((ROWS($BL$15:BL25)-1)/9)</f>
        <v>1</v>
      </c>
      <c r="BM25" s="173">
        <f>MOD(ROWS($BM$15:BM25)-1,9)</f>
        <v>1</v>
      </c>
      <c r="BN25" s="173">
        <f t="shared" si="14"/>
        <v>0.11798587240894641</v>
      </c>
      <c r="BP25" s="167"/>
    </row>
    <row r="26" spans="1:71" ht="14.45" customHeight="1">
      <c r="A26" s="113" t="str">
        <v>Democratic Republic of the Congo</v>
      </c>
      <c r="B26" s="112">
        <f>IF(COUNTIFS(_xlfn.ANCHORARRAY(DATA_CLEANED!$AF$3),CALCULES!B$2,_xlfn.ANCHORARRAY(DATA_CLEANED!$AK$3),CALCULES!$A26)+COUNTIFS(_xlfn.ANCHORARRAY(DATA_CLEANED!$AF$3),CALCULES!B$2,_xlfn.ANCHORARRAY(DATA_CLEANED!$AN$3),CALCULES!$A26)&gt;0,1,0)</f>
        <v>0</v>
      </c>
      <c r="C26" s="112">
        <f>IF(COUNTIFS(_xlfn.ANCHORARRAY(DATA_CLEANED!$AF$3),CALCULES!C$2,_xlfn.ANCHORARRAY(DATA_CLEANED!$AK$3),CALCULES!$A26)+COUNTIFS(_xlfn.ANCHORARRAY(DATA_CLEANED!$AF$3),CALCULES!C$2,_xlfn.ANCHORARRAY(DATA_CLEANED!$AN$3),CALCULES!$A26)&gt;0,1,0)</f>
        <v>0</v>
      </c>
      <c r="D26" s="112">
        <f>IF(COUNTIFS(_xlfn.ANCHORARRAY(DATA_CLEANED!$AF$3),CALCULES!D$2,_xlfn.ANCHORARRAY(DATA_CLEANED!$AK$3),CALCULES!$A26)+COUNTIFS(_xlfn.ANCHORARRAY(DATA_CLEANED!$AF$3),CALCULES!D$2,_xlfn.ANCHORARRAY(DATA_CLEANED!$AN$3),CALCULES!$A26)&gt;0,1,0)</f>
        <v>0</v>
      </c>
      <c r="E26" s="112">
        <f>IF(COUNTIFS(_xlfn.ANCHORARRAY(DATA_CLEANED!$AF$3),CALCULES!E$2,_xlfn.ANCHORARRAY(DATA_CLEANED!$AK$3),CALCULES!$A26)+COUNTIFS(_xlfn.ANCHORARRAY(DATA_CLEANED!$AF$3),CALCULES!E$2,_xlfn.ANCHORARRAY(DATA_CLEANED!$AN$3),CALCULES!$A26)&gt;0,1,0)</f>
        <v>0</v>
      </c>
      <c r="F26" s="112">
        <f>IF(COUNTIFS(_xlfn.ANCHORARRAY(DATA_CLEANED!$AF$3),CALCULES!F$2,_xlfn.ANCHORARRAY(DATA_CLEANED!$AK$3),CALCULES!$A26)+COUNTIFS(_xlfn.ANCHORARRAY(DATA_CLEANED!$AF$3),CALCULES!F$2,_xlfn.ANCHORARRAY(DATA_CLEANED!$AN$3),CALCULES!$A26)&gt;0,1,0)</f>
        <v>0</v>
      </c>
      <c r="G26" s="112">
        <f>IF(COUNTIFS(_xlfn.ANCHORARRAY(DATA_CLEANED!$AF$3),CALCULES!G$2,_xlfn.ANCHORARRAY(DATA_CLEANED!$AK$3),CALCULES!$A26)+COUNTIFS(_xlfn.ANCHORARRAY(DATA_CLEANED!$AF$3),CALCULES!G$2,_xlfn.ANCHORARRAY(DATA_CLEANED!$AN$3),CALCULES!$A26)&gt;0,1,0)</f>
        <v>0</v>
      </c>
      <c r="H26" s="112">
        <f>IF(COUNTIFS(_xlfn.ANCHORARRAY(DATA_CLEANED!$AF$3),CALCULES!H$2,_xlfn.ANCHORARRAY(DATA_CLEANED!$AK$3),CALCULES!$A26)+COUNTIFS(_xlfn.ANCHORARRAY(DATA_CLEANED!$AF$3),CALCULES!H$2,_xlfn.ANCHORARRAY(DATA_CLEANED!$AN$3),CALCULES!$A26)&gt;0,1,0)</f>
        <v>0</v>
      </c>
      <c r="I26" s="112">
        <f>IF(COUNTIFS(_xlfn.ANCHORARRAY(DATA_CLEANED!$AF$3),CALCULES!I$2,_xlfn.ANCHORARRAY(DATA_CLEANED!$AK$3),CALCULES!$A26)+COUNTIFS(_xlfn.ANCHORARRAY(DATA_CLEANED!$AF$3),CALCULES!I$2,_xlfn.ANCHORARRAY(DATA_CLEANED!$AN$3),CALCULES!$A26)&gt;0,1,0)</f>
        <v>0</v>
      </c>
      <c r="J26" s="112">
        <f>IF(COUNTIFS(_xlfn.ANCHORARRAY(DATA_CLEANED!$AF$3),CALCULES!J$2,_xlfn.ANCHORARRAY(DATA_CLEANED!$AK$3),CALCULES!$A26)+COUNTIFS(_xlfn.ANCHORARRAY(DATA_CLEANED!$AF$3),CALCULES!J$2,_xlfn.ANCHORARRAY(DATA_CLEANED!$AN$3),CALCULES!$A26)&gt;0,1,0)</f>
        <v>0</v>
      </c>
      <c r="K26" s="112">
        <f>IF(COUNTIFS(_xlfn.ANCHORARRAY(DATA_CLEANED!$AF$3),CALCULES!K$2,_xlfn.ANCHORARRAY(DATA_CLEANED!$AK$3),CALCULES!$A26)+COUNTIFS(_xlfn.ANCHORARRAY(DATA_CLEANED!$AF$3),CALCULES!K$2,_xlfn.ANCHORARRAY(DATA_CLEANED!$AN$3),CALCULES!$A26)&gt;0,1,0)</f>
        <v>0</v>
      </c>
      <c r="L26" s="112">
        <f>IF(COUNTIFS(_xlfn.ANCHORARRAY(DATA_CLEANED!$AF$3),CALCULES!L$2,_xlfn.ANCHORARRAY(DATA_CLEANED!$AK$3),CALCULES!$A26)+COUNTIFS(_xlfn.ANCHORARRAY(DATA_CLEANED!$AF$3),CALCULES!L$2,_xlfn.ANCHORARRAY(DATA_CLEANED!$AN$3),CALCULES!$A26)&gt;0,1,0)</f>
        <v>0</v>
      </c>
      <c r="M26" s="112">
        <f>IF(COUNTIFS(_xlfn.ANCHORARRAY(DATA_CLEANED!$AF$3),CALCULES!M$2,_xlfn.ANCHORARRAY(DATA_CLEANED!$AK$3),CALCULES!$A26)+COUNTIFS(_xlfn.ANCHORARRAY(DATA_CLEANED!$AF$3),CALCULES!M$2,_xlfn.ANCHORARRAY(DATA_CLEANED!$AN$3),CALCULES!$A26)&gt;0,1,0)</f>
        <v>0</v>
      </c>
      <c r="N26" s="112">
        <f>IF(COUNTIFS(_xlfn.ANCHORARRAY(DATA_CLEANED!$AF$3),CALCULES!N$2,_xlfn.ANCHORARRAY(DATA_CLEANED!$AK$3),CALCULES!$A26)+COUNTIFS(_xlfn.ANCHORARRAY(DATA_CLEANED!$AF$3),CALCULES!N$2,_xlfn.ANCHORARRAY(DATA_CLEANED!$AN$3),CALCULES!$A26)&gt;0,1,0)</f>
        <v>0</v>
      </c>
      <c r="O26" s="112">
        <f>IF(COUNTIFS(_xlfn.ANCHORARRAY(DATA_CLEANED!$AF$3),CALCULES!O$2,_xlfn.ANCHORARRAY(DATA_CLEANED!$AK$3),CALCULES!$A26)+COUNTIFS(_xlfn.ANCHORARRAY(DATA_CLEANED!$AF$3),CALCULES!O$2,_xlfn.ANCHORARRAY(DATA_CLEANED!$AN$3),CALCULES!$A26)&gt;0,1,0)</f>
        <v>0</v>
      </c>
      <c r="P26" s="112">
        <f>IF(COUNTIFS(_xlfn.ANCHORARRAY(DATA_CLEANED!$AF$3),CALCULES!P$2,_xlfn.ANCHORARRAY(DATA_CLEANED!$AK$3),CALCULES!$A26)+COUNTIFS(_xlfn.ANCHORARRAY(DATA_CLEANED!$AF$3),CALCULES!P$2,_xlfn.ANCHORARRAY(DATA_CLEANED!$AN$3),CALCULES!$A26)&gt;0,1,0)</f>
        <v>0</v>
      </c>
      <c r="Q26" s="112">
        <f>IF(COUNTIFS(_xlfn.ANCHORARRAY(DATA_CLEANED!$AF$3),CALCULES!Q$2,_xlfn.ANCHORARRAY(DATA_CLEANED!$AK$3),CALCULES!$A26)+COUNTIFS(_xlfn.ANCHORARRAY(DATA_CLEANED!$AF$3),CALCULES!Q$2,_xlfn.ANCHORARRAY(DATA_CLEANED!$AN$3),CALCULES!$A26)&gt;0,1,0)</f>
        <v>0</v>
      </c>
      <c r="R26" s="112">
        <f>IF(COUNTIFS(_xlfn.ANCHORARRAY(DATA_CLEANED!$AF$3),CALCULES!R$2,_xlfn.ANCHORARRAY(DATA_CLEANED!$AK$3),CALCULES!$A26)+COUNTIFS(_xlfn.ANCHORARRAY(DATA_CLEANED!$AF$3),CALCULES!R$2,_xlfn.ANCHORARRAY(DATA_CLEANED!$AN$3),CALCULES!$A26)&gt;0,1,0)</f>
        <v>0</v>
      </c>
      <c r="S26" s="112">
        <f>IF(COUNTIFS(_xlfn.ANCHORARRAY(DATA_CLEANED!$AF$3),CALCULES!S$2,_xlfn.ANCHORARRAY(DATA_CLEANED!$AK$3),CALCULES!$A26)+COUNTIFS(_xlfn.ANCHORARRAY(DATA_CLEANED!$AF$3),CALCULES!S$2,_xlfn.ANCHORARRAY(DATA_CLEANED!$AN$3),CALCULES!$A26)&gt;0,1,0)</f>
        <v>0</v>
      </c>
      <c r="T26" s="112">
        <f>IF(COUNTIFS(_xlfn.ANCHORARRAY(DATA_CLEANED!$AF$3),CALCULES!T$2,_xlfn.ANCHORARRAY(DATA_CLEANED!$AK$3),CALCULES!$A26)+COUNTIFS(_xlfn.ANCHORARRAY(DATA_CLEANED!$AF$3),CALCULES!T$2,_xlfn.ANCHORARRAY(DATA_CLEANED!$AN$3),CALCULES!$A26)&gt;0,1,0)</f>
        <v>0</v>
      </c>
      <c r="U26" s="112">
        <f>IF(COUNTIFS(_xlfn.ANCHORARRAY(DATA_CLEANED!$AF$3),CALCULES!U$2,_xlfn.ANCHORARRAY(DATA_CLEANED!$AK$3),CALCULES!$A26)+COUNTIFS(_xlfn.ANCHORARRAY(DATA_CLEANED!$AF$3),CALCULES!U$2,_xlfn.ANCHORARRAY(DATA_CLEANED!$AN$3),CALCULES!$A26)&gt;0,1,0)</f>
        <v>0</v>
      </c>
      <c r="V26" s="112">
        <f>IF(COUNTIFS(_xlfn.ANCHORARRAY(DATA_CLEANED!$AF$3),CALCULES!V$2,_xlfn.ANCHORARRAY(DATA_CLEANED!$AK$3),CALCULES!$A26)+COUNTIFS(_xlfn.ANCHORARRAY(DATA_CLEANED!$AF$3),CALCULES!V$2,_xlfn.ANCHORARRAY(DATA_CLEANED!$AN$3),CALCULES!$A26)&gt;0,1,0)</f>
        <v>0</v>
      </c>
      <c r="W26" s="112">
        <f>IF(COUNTIFS(_xlfn.ANCHORARRAY(DATA_CLEANED!$AF$3),CALCULES!W$2,_xlfn.ANCHORARRAY(DATA_CLEANED!$AK$3),CALCULES!$A26)+COUNTIFS(_xlfn.ANCHORARRAY(DATA_CLEANED!$AF$3),CALCULES!W$2,_xlfn.ANCHORARRAY(DATA_CLEANED!$AN$3),CALCULES!$A26)&gt;0,1,0)</f>
        <v>0</v>
      </c>
      <c r="X26" s="112">
        <f>IF(COUNTIFS(_xlfn.ANCHORARRAY(DATA_CLEANED!$AF$3),CALCULES!X$2,_xlfn.ANCHORARRAY(DATA_CLEANED!$AK$3),CALCULES!$A26)+COUNTIFS(_xlfn.ANCHORARRAY(DATA_CLEANED!$AF$3),CALCULES!X$2,_xlfn.ANCHORARRAY(DATA_CLEANED!$AN$3),CALCULES!$A26)&gt;0,1,0)</f>
        <v>1</v>
      </c>
      <c r="Y26" s="113">
        <f t="shared" si="0"/>
        <v>1</v>
      </c>
      <c r="AA26" s="112">
        <f>COUNTIF(_xlfn.ANCHORARRAY(DATA_CLEANED!$AK$3),$A26)+COUNTIF(DATA_CLEANED!$AN$2:$AN$1060,$A26)</f>
        <v>3</v>
      </c>
      <c r="AB26" s="112">
        <f>COUNTIF(DATA_QUALITE!BG$12:BG$1069,A26)</f>
        <v>0</v>
      </c>
      <c r="AC26" s="112">
        <f t="shared" si="7"/>
        <v>3</v>
      </c>
      <c r="AD26" s="112" cm="1">
        <f t="array" ref="AD26">SUMPRODUCT((DATA_CLEANED!AL$3:AL$1060=DATA_CLEANED!AM$3:AM$1060)*(_xlfn.ANCHORARRAY(DATA_CLEANED!AK$3)=CALCULES!A26)*(DATA_CLEANED!AO$3:AO$1060&lt;&gt;"-"))
+
SUMPRODUCT((DATA_CLEANED!AL$3:AL$1060=DATA_CLEANED!AM$3:AM$1060)*(_xlfn.ANCHORARRAY(DATA_CLEANED!AN$3)=CALCULES!A26)*(DATA_CLEANED!AO$3:AO$1060&lt;&gt;"-"))</f>
        <v>0</v>
      </c>
      <c r="AE26" s="116">
        <f t="shared" si="1"/>
        <v>0</v>
      </c>
      <c r="AF26" s="116">
        <f t="shared" si="2"/>
        <v>1</v>
      </c>
      <c r="AG26" s="112">
        <f>SUMIF(_xlfn.ANCHORARRAY(DATA_CLEANED!AK$3),A26,DATA_CLEANED!AL$2:AL$1060)+SUMIF(_xlfn.ANCHORARRAY(DATA_CLEANED!AN$3),A26,DATA_CLEANED!AM$2:AM$1060)</f>
        <v>2</v>
      </c>
      <c r="AH26" s="112">
        <f>SUMIF(_xlfn.ANCHORARRAY(DATA_CLEANED!AK$3),A26,DATA_CLEANED!AM$2:AM$1060)+SUMIF(_xlfn.ANCHORARRAY(DATA_CLEANED!AN$3),A26,DATA_CLEANED!AL$2:AL$1060)</f>
        <v>5</v>
      </c>
      <c r="AI26" s="112">
        <f t="shared" si="8"/>
        <v>1.67</v>
      </c>
      <c r="AJ26" s="117" cm="1">
        <f t="array" ref="AJ26">_xlfn.LET(_xlpm.home,IFERROR(_xlfn._xlws.FILTER(DATA_CLEANED!AH$3:AH$1060,DATA_CLEANED!AK$3:AK$1060=CALCULES!A26),""),
_xlpm.away,IFERROR(_xlfn._xlws.FILTER(DATA_CLEANED!AH$3:AH$1060,DATA_CLEANED!AN$3:AN$1060=CALCULES!A26),""),
_xlpm.assemb_t,_xlfn._xlws.FILTER(_xlfn.VSTACK(_xlpm.home,_xlpm.away),_xlfn.VSTACK(_xlpm.home,_xlpm.away)&lt;&gt;""),
_xlpm.but_h,IFERROR(_xlfn._xlws.FILTER(_xlfn.ANCHORARRAY(DATA_CLEANED!AM$3),DATA_CLEANED!AK$3:AK$1060=CALCULES!A26),""),
_xlpm.but_a,IFERROR(_xlfn._xlws.FILTER(_xlfn.ANCHORARRAY(DATA_CLEANED!AL$3),DATA_CLEANED!AN$3:AN$1060=CALCULES!A26),""),
_xlpm.assemb_b,_xlfn._xlws.FILTER(_xlfn.VSTACK(_xlpm.but_h,_xlpm.but_a),_xlfn.VSTACK(_xlpm.but_h,_xlpm.but_a)&lt;&gt;""),
MEDIAN(_xlpm.assemb_t,_xlpm.assemb_b)
)</f>
        <v>1</v>
      </c>
      <c r="AK26" s="113">
        <f t="shared" si="3"/>
        <v>-3</v>
      </c>
      <c r="AL26" s="112" cm="1">
        <f t="array" ref="AL26">IFERROR(MEDIAN(_xlfn._xlws.FILTER(_xlfn.VSTACK(
DATA_CLEANED!AL$3:AL$1060-DATA_CLEANED!AM$3:AM$1060,
DATA_CLEANED!AM$3:AM$1060-DATA_CLEANED!AL$3:AL$1060
),_xlfn.VSTACK(DATA_CLEANED!AK$3:AK$1060,DATA_CLEANED!AN$3:AN$1060)=A26)),"-")</f>
        <v>-1</v>
      </c>
      <c r="AM26" s="112">
        <f t="shared" si="9"/>
        <v>0.67</v>
      </c>
      <c r="AN26" s="112" cm="1">
        <f t="array" ref="AN26">_xlfn.LET(_xlpm.home,IFERROR(_xlfn._xlws.FILTER(DATA_CLEANED!AH$3:AH$1060,DATA_CLEANED!AK$3:AK$1060=CALCULES!A26),""),
_xlpm.away,IFERROR(_xlfn._xlws.FILTER(DATA_CLEANED!AH$3:AH$1060,DATA_CLEANED!AN$3:AN$1060=CALCULES!A26),""),
_xlpm.assemb_t,_xlfn._xlws.FILTER(_xlfn.VSTACK(_xlpm.home,_xlpm.away),_xlfn.VSTACK(_xlpm.home,_xlpm.away)&lt;&gt;""),
_xlpm.but_h,IFERROR(_xlfn._xlws.FILTER(_xlfn.ANCHORARRAY(DATA_CLEANED!AL$3),DATA_CLEANED!AK$3:AK$1060=CALCULES!A26),""),
_xlpm.but_a,IFERROR(_xlfn._xlws.FILTER(_xlfn.ANCHORARRAY(DATA_CLEANED!AM$3),DATA_CLEANED!AN$3:AN$1060=CALCULES!A26),""),
_xlpm.assemb_b,_xlfn._xlws.FILTER(_xlfn.VSTACK(_xlpm.but_h,_xlpm.but_a),_xlfn.VSTACK(_xlpm.but_h,_xlpm.but_a)&lt;&gt;""),
MEDIAN(_xlpm.assemb_t,_xlpm.assemb_b)
)</f>
        <v>1</v>
      </c>
      <c r="AO26" s="116">
        <f>ROUND(IFERROR((COUNTIFS(DATA_CLEANED!AK$3:AK$1060,A26,DATA_CLEANED!AM$3:AM$1060,0)
+
COUNTIFS(DATA_CLEANED!AN$3:AN$1060,A26,DATA_CLEANED!AL$3:AL$1060,0)
)/AA26,0),2)</f>
        <v>0</v>
      </c>
      <c r="AP26" s="112">
        <f>MAX((_xlfn.MAXIFS(_xlfn.ANCHORARRAY(DATA_CLEANED!AL$3),_xlfn.ANCHORARRAY(DATA_CLEANED!AK$3),A26)),(_xlfn.MAXIFS(DATA_CLEANED!AM$3:AM$1060,_xlfn.ANCHORARRAY(DATA_CLEANED!AN$3),A26)))</f>
        <v>1</v>
      </c>
      <c r="AQ26" s="112">
        <f>COUNTIF(_xlfn.ANCHORARRAY(DATA_CLEANED!K$3),A26)</f>
        <v>0</v>
      </c>
      <c r="AR26" s="113" t="str" cm="1">
        <f t="array" ref="AR26">_xlfn.LET(
_xlpm.home,IFERROR(_xlfn._xlws.FILTER(DATA_CLEANED!AH$3:AH$1060,DATA_CLEANED!AK$3:AK$1060=CALCULES!A26),""),
_xlpm.away,IFERROR(_xlfn._xlws.FILTER(DATA_CLEANED!AH$3:AH$1060,DATA_CLEANED!AN$3:AN$1060=CALCULES!A26),""),
_xlpm.etapes,_xlfn._xlws.FILTER(_xlfn.VSTACK(_xlpm.home,_xlpm.away),_xlfn.VSTACK(_xlpm.home,_xlpm.away)&lt;&gt;""),
_xlpm.numeros,_xlfn.XLOOKUP(_xlpm.etapes,DATA_QUALITE!AT$12:AT$38,DATA_QUALITE!AU$12:AU$38),
_xlfn.XLOOKUP(MIN(_xlpm.numeros),DATA_QUALITE!AU$12:AU$38,DATA_QUALITE!AT$12:AT$38)
)</f>
        <v>ROUND_OF_32</v>
      </c>
      <c r="AS26" s="112">
        <f t="shared" si="4"/>
        <v>1</v>
      </c>
      <c r="AT26" s="112">
        <f t="shared" si="5"/>
        <v>0</v>
      </c>
      <c r="AU26" s="112">
        <f>COUNTIFS(DATA_QUALITE!BG$12:BG$1069,"MATCH NUL",_xlfn.ANCHORARRAY(DATA_CLEANED!AK$3),CALCULES!A26)+COUNTIFS(DATA_QUALITE!BG$12:BG$1069,"MATCH NUL",_xlfn.ANCHORARRAY(DATA_CLEANED!AN$3),CALCULES!A26)</f>
        <v>1</v>
      </c>
      <c r="AV26" s="112">
        <v>2</v>
      </c>
      <c r="AW26" s="112">
        <f>COUNTIFS(_xlfn.ANCHORARRAY(DATA_CLEANED!AH$3),"QUARTER_FINALS",_xlfn.ANCHORARRAY(DATA_CLEANED!AK$3),CALCULES!A26)+COUNTIFS(_xlfn.ANCHORARRAY(DATA_CLEANED!AH$3),"QUARTER_FINALS",_xlfn.ANCHORARRAY(DATA_CLEANED!AN$3),CALCULES!A26)</f>
        <v>0</v>
      </c>
      <c r="AX26" s="112">
        <f>COUNTIFS(_xlfn.ANCHORARRAY(DATA_CLEANED!AH$3),"SEMI_FINALS",_xlfn.ANCHORARRAY(DATA_CLEANED!AK$3),CALCULES!A26)+COUNTIFS(_xlfn.ANCHORARRAY(DATA_CLEANED!AH$3),"SEMI_FINALS",_xlfn.ANCHORARRAY(DATA_CLEANED!AN$3),CALCULES!A26)</f>
        <v>0</v>
      </c>
      <c r="AY26" s="112">
        <f>COUNTIFS(_xlfn.ANCHORARRAY(DATA_CLEANED!AH$3),"FINAL",_xlfn.ANCHORARRAY(DATA_CLEANED!AK$3),CALCULES!A26)+COUNTIFS(_xlfn.ANCHORARRAY(DATA_CLEANED!AH$3),"FINAL",_xlfn.ANCHORARRAY(DATA_CLEANED!AN$3),CALCULES!A26)</f>
        <v>0</v>
      </c>
      <c r="AZ26" s="112">
        <f>COUNTIFS(DATA_QUALITE!BG$12:BG$1069,CALCULES!A26,DATA_QUALITE!AW$12:AW$1069,"FINAL")</f>
        <v>0</v>
      </c>
      <c r="BA26" s="113">
        <f t="shared" si="6"/>
        <v>26.5</v>
      </c>
      <c r="BB26" s="118">
        <f t="shared" si="10"/>
        <v>0</v>
      </c>
      <c r="BC26" s="118">
        <f t="shared" si="11"/>
        <v>0</v>
      </c>
      <c r="BD26" s="139">
        <f t="shared" si="12"/>
        <v>0</v>
      </c>
      <c r="BF26" s="177" t="s">
        <v>3886</v>
      </c>
      <c r="BG26" s="177">
        <f>MAX($BN$15:$BN$94)</f>
        <v>0.11798587240894641</v>
      </c>
      <c r="BL26" s="173">
        <f>INT((ROWS($BL$15:BL26)-1)/9)</f>
        <v>1</v>
      </c>
      <c r="BM26" s="173">
        <f>MOD(ROWS($BM$15:BM26)-1,9)</f>
        <v>2</v>
      </c>
      <c r="BN26" s="173">
        <f t="shared" si="14"/>
        <v>6.606827154346484E-2</v>
      </c>
      <c r="BP26" s="167"/>
    </row>
    <row r="27" spans="1:71" ht="14.45" customHeight="1">
      <c r="A27" s="113" t="str">
        <v>Denmark</v>
      </c>
      <c r="B27" s="112">
        <f>IF(COUNTIFS(_xlfn.ANCHORARRAY(DATA_CLEANED!$AF$3),CALCULES!B$2,_xlfn.ANCHORARRAY(DATA_CLEANED!$AK$3),CALCULES!$A27)+COUNTIFS(_xlfn.ANCHORARRAY(DATA_CLEANED!$AF$3),CALCULES!B$2,_xlfn.ANCHORARRAY(DATA_CLEANED!$AN$3),CALCULES!$A27)&gt;0,1,0)</f>
        <v>0</v>
      </c>
      <c r="C27" s="112">
        <f>IF(COUNTIFS(_xlfn.ANCHORARRAY(DATA_CLEANED!$AF$3),CALCULES!C$2,_xlfn.ANCHORARRAY(DATA_CLEANED!$AK$3),CALCULES!$A27)+COUNTIFS(_xlfn.ANCHORARRAY(DATA_CLEANED!$AF$3),CALCULES!C$2,_xlfn.ANCHORARRAY(DATA_CLEANED!$AN$3),CALCULES!$A27)&gt;0,1,0)</f>
        <v>0</v>
      </c>
      <c r="D27" s="112">
        <f>IF(COUNTIFS(_xlfn.ANCHORARRAY(DATA_CLEANED!$AF$3),CALCULES!D$2,_xlfn.ANCHORARRAY(DATA_CLEANED!$AK$3),CALCULES!$A27)+COUNTIFS(_xlfn.ANCHORARRAY(DATA_CLEANED!$AF$3),CALCULES!D$2,_xlfn.ANCHORARRAY(DATA_CLEANED!$AN$3),CALCULES!$A27)&gt;0,1,0)</f>
        <v>0</v>
      </c>
      <c r="E27" s="112">
        <f>IF(COUNTIFS(_xlfn.ANCHORARRAY(DATA_CLEANED!$AF$3),CALCULES!E$2,_xlfn.ANCHORARRAY(DATA_CLEANED!$AK$3),CALCULES!$A27)+COUNTIFS(_xlfn.ANCHORARRAY(DATA_CLEANED!$AF$3),CALCULES!E$2,_xlfn.ANCHORARRAY(DATA_CLEANED!$AN$3),CALCULES!$A27)&gt;0,1,0)</f>
        <v>0</v>
      </c>
      <c r="F27" s="112">
        <f>IF(COUNTIFS(_xlfn.ANCHORARRAY(DATA_CLEANED!$AF$3),CALCULES!F$2,_xlfn.ANCHORARRAY(DATA_CLEANED!$AK$3),CALCULES!$A27)+COUNTIFS(_xlfn.ANCHORARRAY(DATA_CLEANED!$AF$3),CALCULES!F$2,_xlfn.ANCHORARRAY(DATA_CLEANED!$AN$3),CALCULES!$A27)&gt;0,1,0)</f>
        <v>0</v>
      </c>
      <c r="G27" s="112">
        <f>IF(COUNTIFS(_xlfn.ANCHORARRAY(DATA_CLEANED!$AF$3),CALCULES!G$2,_xlfn.ANCHORARRAY(DATA_CLEANED!$AK$3),CALCULES!$A27)+COUNTIFS(_xlfn.ANCHORARRAY(DATA_CLEANED!$AF$3),CALCULES!G$2,_xlfn.ANCHORARRAY(DATA_CLEANED!$AN$3),CALCULES!$A27)&gt;0,1,0)</f>
        <v>0</v>
      </c>
      <c r="H27" s="112">
        <f>IF(COUNTIFS(_xlfn.ANCHORARRAY(DATA_CLEANED!$AF$3),CALCULES!H$2,_xlfn.ANCHORARRAY(DATA_CLEANED!$AK$3),CALCULES!$A27)+COUNTIFS(_xlfn.ANCHORARRAY(DATA_CLEANED!$AF$3),CALCULES!H$2,_xlfn.ANCHORARRAY(DATA_CLEANED!$AN$3),CALCULES!$A27)&gt;0,1,0)</f>
        <v>0</v>
      </c>
      <c r="I27" s="112">
        <f>IF(COUNTIFS(_xlfn.ANCHORARRAY(DATA_CLEANED!$AF$3),CALCULES!I$2,_xlfn.ANCHORARRAY(DATA_CLEANED!$AK$3),CALCULES!$A27)+COUNTIFS(_xlfn.ANCHORARRAY(DATA_CLEANED!$AF$3),CALCULES!I$2,_xlfn.ANCHORARRAY(DATA_CLEANED!$AN$3),CALCULES!$A27)&gt;0,1,0)</f>
        <v>0</v>
      </c>
      <c r="J27" s="112">
        <f>IF(COUNTIFS(_xlfn.ANCHORARRAY(DATA_CLEANED!$AF$3),CALCULES!J$2,_xlfn.ANCHORARRAY(DATA_CLEANED!$AK$3),CALCULES!$A27)+COUNTIFS(_xlfn.ANCHORARRAY(DATA_CLEANED!$AF$3),CALCULES!J$2,_xlfn.ANCHORARRAY(DATA_CLEANED!$AN$3),CALCULES!$A27)&gt;0,1,0)</f>
        <v>0</v>
      </c>
      <c r="K27" s="112">
        <f>IF(COUNTIFS(_xlfn.ANCHORARRAY(DATA_CLEANED!$AF$3),CALCULES!K$2,_xlfn.ANCHORARRAY(DATA_CLEANED!$AK$3),CALCULES!$A27)+COUNTIFS(_xlfn.ANCHORARRAY(DATA_CLEANED!$AF$3),CALCULES!K$2,_xlfn.ANCHORARRAY(DATA_CLEANED!$AN$3),CALCULES!$A27)&gt;0,1,0)</f>
        <v>0</v>
      </c>
      <c r="L27" s="112">
        <f>IF(COUNTIFS(_xlfn.ANCHORARRAY(DATA_CLEANED!$AF$3),CALCULES!L$2,_xlfn.ANCHORARRAY(DATA_CLEANED!$AK$3),CALCULES!$A27)+COUNTIFS(_xlfn.ANCHORARRAY(DATA_CLEANED!$AF$3),CALCULES!L$2,_xlfn.ANCHORARRAY(DATA_CLEANED!$AN$3),CALCULES!$A27)&gt;0,1,0)</f>
        <v>0</v>
      </c>
      <c r="M27" s="112">
        <f>IF(COUNTIFS(_xlfn.ANCHORARRAY(DATA_CLEANED!$AF$3),CALCULES!M$2,_xlfn.ANCHORARRAY(DATA_CLEANED!$AK$3),CALCULES!$A27)+COUNTIFS(_xlfn.ANCHORARRAY(DATA_CLEANED!$AF$3),CALCULES!M$2,_xlfn.ANCHORARRAY(DATA_CLEANED!$AN$3),CALCULES!$A27)&gt;0,1,0)</f>
        <v>0</v>
      </c>
      <c r="N27" s="112">
        <f>IF(COUNTIFS(_xlfn.ANCHORARRAY(DATA_CLEANED!$AF$3),CALCULES!N$2,_xlfn.ANCHORARRAY(DATA_CLEANED!$AK$3),CALCULES!$A27)+COUNTIFS(_xlfn.ANCHORARRAY(DATA_CLEANED!$AF$3),CALCULES!N$2,_xlfn.ANCHORARRAY(DATA_CLEANED!$AN$3),CALCULES!$A27)&gt;0,1,0)</f>
        <v>1</v>
      </c>
      <c r="O27" s="112">
        <f>IF(COUNTIFS(_xlfn.ANCHORARRAY(DATA_CLEANED!$AF$3),CALCULES!O$2,_xlfn.ANCHORARRAY(DATA_CLEANED!$AK$3),CALCULES!$A27)+COUNTIFS(_xlfn.ANCHORARRAY(DATA_CLEANED!$AF$3),CALCULES!O$2,_xlfn.ANCHORARRAY(DATA_CLEANED!$AN$3),CALCULES!$A27)&gt;0,1,0)</f>
        <v>0</v>
      </c>
      <c r="P27" s="112">
        <f>IF(COUNTIFS(_xlfn.ANCHORARRAY(DATA_CLEANED!$AF$3),CALCULES!P$2,_xlfn.ANCHORARRAY(DATA_CLEANED!$AK$3),CALCULES!$A27)+COUNTIFS(_xlfn.ANCHORARRAY(DATA_CLEANED!$AF$3),CALCULES!P$2,_xlfn.ANCHORARRAY(DATA_CLEANED!$AN$3),CALCULES!$A27)&gt;0,1,0)</f>
        <v>0</v>
      </c>
      <c r="Q27" s="112">
        <f>IF(COUNTIFS(_xlfn.ANCHORARRAY(DATA_CLEANED!$AF$3),CALCULES!Q$2,_xlfn.ANCHORARRAY(DATA_CLEANED!$AK$3),CALCULES!$A27)+COUNTIFS(_xlfn.ANCHORARRAY(DATA_CLEANED!$AF$3),CALCULES!Q$2,_xlfn.ANCHORARRAY(DATA_CLEANED!$AN$3),CALCULES!$A27)&gt;0,1,0)</f>
        <v>1</v>
      </c>
      <c r="R27" s="112">
        <f>IF(COUNTIFS(_xlfn.ANCHORARRAY(DATA_CLEANED!$AF$3),CALCULES!R$2,_xlfn.ANCHORARRAY(DATA_CLEANED!$AK$3),CALCULES!$A27)+COUNTIFS(_xlfn.ANCHORARRAY(DATA_CLEANED!$AF$3),CALCULES!R$2,_xlfn.ANCHORARRAY(DATA_CLEANED!$AN$3),CALCULES!$A27)&gt;0,1,0)</f>
        <v>1</v>
      </c>
      <c r="S27" s="112">
        <f>IF(COUNTIFS(_xlfn.ANCHORARRAY(DATA_CLEANED!$AF$3),CALCULES!S$2,_xlfn.ANCHORARRAY(DATA_CLEANED!$AK$3),CALCULES!$A27)+COUNTIFS(_xlfn.ANCHORARRAY(DATA_CLEANED!$AF$3),CALCULES!S$2,_xlfn.ANCHORARRAY(DATA_CLEANED!$AN$3),CALCULES!$A27)&gt;0,1,0)</f>
        <v>0</v>
      </c>
      <c r="T27" s="112">
        <f>IF(COUNTIFS(_xlfn.ANCHORARRAY(DATA_CLEANED!$AF$3),CALCULES!T$2,_xlfn.ANCHORARRAY(DATA_CLEANED!$AK$3),CALCULES!$A27)+COUNTIFS(_xlfn.ANCHORARRAY(DATA_CLEANED!$AF$3),CALCULES!T$2,_xlfn.ANCHORARRAY(DATA_CLEANED!$AN$3),CALCULES!$A27)&gt;0,1,0)</f>
        <v>1</v>
      </c>
      <c r="U27" s="112">
        <f>IF(COUNTIFS(_xlfn.ANCHORARRAY(DATA_CLEANED!$AF$3),CALCULES!U$2,_xlfn.ANCHORARRAY(DATA_CLEANED!$AK$3),CALCULES!$A27)+COUNTIFS(_xlfn.ANCHORARRAY(DATA_CLEANED!$AF$3),CALCULES!U$2,_xlfn.ANCHORARRAY(DATA_CLEANED!$AN$3),CALCULES!$A27)&gt;0,1,0)</f>
        <v>0</v>
      </c>
      <c r="V27" s="112">
        <f>IF(COUNTIFS(_xlfn.ANCHORARRAY(DATA_CLEANED!$AF$3),CALCULES!V$2,_xlfn.ANCHORARRAY(DATA_CLEANED!$AK$3),CALCULES!$A27)+COUNTIFS(_xlfn.ANCHORARRAY(DATA_CLEANED!$AF$3),CALCULES!V$2,_xlfn.ANCHORARRAY(DATA_CLEANED!$AN$3),CALCULES!$A27)&gt;0,1,0)</f>
        <v>1</v>
      </c>
      <c r="W27" s="112">
        <f>IF(COUNTIFS(_xlfn.ANCHORARRAY(DATA_CLEANED!$AF$3),CALCULES!W$2,_xlfn.ANCHORARRAY(DATA_CLEANED!$AK$3),CALCULES!$A27)+COUNTIFS(_xlfn.ANCHORARRAY(DATA_CLEANED!$AF$3),CALCULES!W$2,_xlfn.ANCHORARRAY(DATA_CLEANED!$AN$3),CALCULES!$A27)&gt;0,1,0)</f>
        <v>1</v>
      </c>
      <c r="X27" s="112">
        <f>IF(COUNTIFS(_xlfn.ANCHORARRAY(DATA_CLEANED!$AF$3),CALCULES!X$2,_xlfn.ANCHORARRAY(DATA_CLEANED!$AK$3),CALCULES!$A27)+COUNTIFS(_xlfn.ANCHORARRAY(DATA_CLEANED!$AF$3),CALCULES!X$2,_xlfn.ANCHORARRAY(DATA_CLEANED!$AN$3),CALCULES!$A27)&gt;0,1,0)</f>
        <v>0</v>
      </c>
      <c r="Y27" s="113">
        <f t="shared" si="0"/>
        <v>6</v>
      </c>
      <c r="AA27" s="112">
        <f>COUNTIF(_xlfn.ANCHORARRAY(DATA_CLEANED!$AK$3),$A27)+COUNTIF(DATA_CLEANED!$AN$2:$AN$1060,$A27)</f>
        <v>23</v>
      </c>
      <c r="AB27" s="112">
        <f>COUNTIF(DATA_QUALITE!BG$12:BG$1069,A27)</f>
        <v>9</v>
      </c>
      <c r="AC27" s="112">
        <f t="shared" si="7"/>
        <v>13</v>
      </c>
      <c r="AD27" s="112" cm="1">
        <f t="array" ref="AD27">SUMPRODUCT((DATA_CLEANED!AL$3:AL$1060=DATA_CLEANED!AM$3:AM$1060)*(_xlfn.ANCHORARRAY(DATA_CLEANED!AK$3)=CALCULES!A27)*(DATA_CLEANED!AO$3:AO$1060&lt;&gt;"-"))
+
SUMPRODUCT((DATA_CLEANED!AL$3:AL$1060=DATA_CLEANED!AM$3:AM$1060)*(_xlfn.ANCHORARRAY(DATA_CLEANED!AN$3)=CALCULES!A27)*(DATA_CLEANED!AO$3:AO$1060&lt;&gt;"-"))</f>
        <v>1</v>
      </c>
      <c r="AE27" s="116">
        <f t="shared" si="1"/>
        <v>0.39130434782608697</v>
      </c>
      <c r="AF27" s="116">
        <f t="shared" si="2"/>
        <v>0.56521739130434778</v>
      </c>
      <c r="AG27" s="112">
        <f>SUMIF(_xlfn.ANCHORARRAY(DATA_CLEANED!AK$3),A27,DATA_CLEANED!AL$2:AL$1060)+SUMIF(_xlfn.ANCHORARRAY(DATA_CLEANED!AN$3),A27,DATA_CLEANED!AM$2:AM$1060)</f>
        <v>19</v>
      </c>
      <c r="AH27" s="112">
        <f>SUMIF(_xlfn.ANCHORARRAY(DATA_CLEANED!AK$3),A27,DATA_CLEANED!AM$2:AM$1060)+SUMIF(_xlfn.ANCHORARRAY(DATA_CLEANED!AN$3),A27,DATA_CLEANED!AL$2:AL$1060)</f>
        <v>26</v>
      </c>
      <c r="AI27" s="112">
        <f t="shared" si="8"/>
        <v>1.1299999999999999</v>
      </c>
      <c r="AJ27" s="117" cm="1">
        <f t="array" ref="AJ27">_xlfn.LET(_xlpm.home,IFERROR(_xlfn._xlws.FILTER(DATA_CLEANED!AH$3:AH$1060,DATA_CLEANED!AK$3:AK$1060=CALCULES!A27),""),
_xlpm.away,IFERROR(_xlfn._xlws.FILTER(DATA_CLEANED!AH$3:AH$1060,DATA_CLEANED!AN$3:AN$1060=CALCULES!A27),""),
_xlpm.assemb_t,_xlfn._xlws.FILTER(_xlfn.VSTACK(_xlpm.home,_xlpm.away),_xlfn.VSTACK(_xlpm.home,_xlpm.away)&lt;&gt;""),
_xlpm.but_h,IFERROR(_xlfn._xlws.FILTER(_xlfn.ANCHORARRAY(DATA_CLEANED!AM$3),DATA_CLEANED!AK$3:AK$1060=CALCULES!A27),""),
_xlpm.but_a,IFERROR(_xlfn._xlws.FILTER(_xlfn.ANCHORARRAY(DATA_CLEANED!AL$3),DATA_CLEANED!AN$3:AN$1060=CALCULES!A27),""),
_xlpm.assemb_b,_xlfn._xlws.FILTER(_xlfn.VSTACK(_xlpm.but_h,_xlpm.but_a),_xlfn.VSTACK(_xlpm.but_h,_xlpm.but_a)&lt;&gt;""),
MEDIAN(_xlpm.assemb_t,_xlpm.assemb_b)
)</f>
        <v>1</v>
      </c>
      <c r="AK27" s="113">
        <f t="shared" si="3"/>
        <v>-7</v>
      </c>
      <c r="AL27" s="112" cm="1">
        <f t="array" ref="AL27">IFERROR(MEDIAN(_xlfn._xlws.FILTER(_xlfn.VSTACK(
DATA_CLEANED!AL$3:AL$1060-DATA_CLEANED!AM$3:AM$1060,
DATA_CLEANED!AM$3:AM$1060-DATA_CLEANED!AL$3:AL$1060
),_xlfn.VSTACK(DATA_CLEANED!AK$3:AK$1060,DATA_CLEANED!AN$3:AN$1060)=A27)),"-")</f>
        <v>0</v>
      </c>
      <c r="AM27" s="112">
        <f t="shared" si="9"/>
        <v>0.83</v>
      </c>
      <c r="AN27" s="112" cm="1">
        <f t="array" ref="AN27">_xlfn.LET(_xlpm.home,IFERROR(_xlfn._xlws.FILTER(DATA_CLEANED!AH$3:AH$1060,DATA_CLEANED!AK$3:AK$1060=CALCULES!A27),""),
_xlpm.away,IFERROR(_xlfn._xlws.FILTER(DATA_CLEANED!AH$3:AH$1060,DATA_CLEANED!AN$3:AN$1060=CALCULES!A27),""),
_xlpm.assemb_t,_xlfn._xlws.FILTER(_xlfn.VSTACK(_xlpm.home,_xlpm.away),_xlfn.VSTACK(_xlpm.home,_xlpm.away)&lt;&gt;""),
_xlpm.but_h,IFERROR(_xlfn._xlws.FILTER(_xlfn.ANCHORARRAY(DATA_CLEANED!AL$3),DATA_CLEANED!AK$3:AK$1060=CALCULES!A27),""),
_xlpm.but_a,IFERROR(_xlfn._xlws.FILTER(_xlfn.ANCHORARRAY(DATA_CLEANED!AM$3),DATA_CLEANED!AN$3:AN$1060=CALCULES!A27),""),
_xlpm.assemb_b,_xlfn._xlws.FILTER(_xlfn.VSTACK(_xlpm.but_h,_xlpm.but_a),_xlfn.VSTACK(_xlpm.but_h,_xlpm.but_a)&lt;&gt;""),
MEDIAN(_xlpm.assemb_t,_xlpm.assemb_b)
)</f>
        <v>1</v>
      </c>
      <c r="AO27" s="116">
        <f>ROUND(IFERROR((COUNTIFS(DATA_CLEANED!AK$3:AK$1060,A27,DATA_CLEANED!AM$3:AM$1060,0)
+
COUNTIFS(DATA_CLEANED!AN$3:AN$1060,A27,DATA_CLEANED!AL$3:AL$1060,0)
)/AA27,0),2)</f>
        <v>0.3</v>
      </c>
      <c r="AP27" s="112">
        <f>MAX((_xlfn.MAXIFS(_xlfn.ANCHORARRAY(DATA_CLEANED!AL$3),_xlfn.ANCHORARRAY(DATA_CLEANED!AK$3),A27)),(_xlfn.MAXIFS(DATA_CLEANED!AM$3:AM$1060,_xlfn.ANCHORARRAY(DATA_CLEANED!AN$3),A27)))</f>
        <v>6</v>
      </c>
      <c r="AQ27" s="112">
        <f>COUNTIF(_xlfn.ANCHORARRAY(DATA_CLEANED!K$3),A27)</f>
        <v>5</v>
      </c>
      <c r="AR27" s="113" t="str" cm="1">
        <f t="array" ref="AR27">_xlfn.LET(
_xlpm.home,IFERROR(_xlfn._xlws.FILTER(DATA_CLEANED!AH$3:AH$1060,DATA_CLEANED!AK$3:AK$1060=CALCULES!A27),""),
_xlpm.away,IFERROR(_xlfn._xlws.FILTER(DATA_CLEANED!AH$3:AH$1060,DATA_CLEANED!AN$3:AN$1060=CALCULES!A27),""),
_xlpm.etapes,_xlfn._xlws.FILTER(_xlfn.VSTACK(_xlpm.home,_xlpm.away),_xlfn.VSTACK(_xlpm.home,_xlpm.away)&lt;&gt;""),
_xlpm.numeros,_xlfn.XLOOKUP(_xlpm.etapes,DATA_QUALITE!AT$12:AT$38,DATA_QUALITE!AU$12:AU$38),
_xlfn.XLOOKUP(MIN(_xlpm.numeros),DATA_QUALITE!AU$12:AU$38,DATA_QUALITE!AT$12:AT$38)
)</f>
        <v>QUARTER_FINALS</v>
      </c>
      <c r="AS27" s="112">
        <f t="shared" si="4"/>
        <v>6</v>
      </c>
      <c r="AT27" s="112">
        <f t="shared" si="5"/>
        <v>9</v>
      </c>
      <c r="AU27" s="112">
        <f>COUNTIFS(DATA_QUALITE!BG$12:BG$1069,"MATCH NUL",_xlfn.ANCHORARRAY(DATA_CLEANED!AK$3),CALCULES!A27)+COUNTIFS(DATA_QUALITE!BG$12:BG$1069,"MATCH NUL",_xlfn.ANCHORARRAY(DATA_CLEANED!AN$3),CALCULES!A27)</f>
        <v>5</v>
      </c>
      <c r="AV27" s="112">
        <v>19</v>
      </c>
      <c r="AW27" s="112">
        <f>COUNTIFS(_xlfn.ANCHORARRAY(DATA_CLEANED!AH$3),"QUARTER_FINALS",_xlfn.ANCHORARRAY(DATA_CLEANED!AK$3),CALCULES!A27)+COUNTIFS(_xlfn.ANCHORARRAY(DATA_CLEANED!AH$3),"QUARTER_FINALS",_xlfn.ANCHORARRAY(DATA_CLEANED!AN$3),CALCULES!A27)</f>
        <v>1</v>
      </c>
      <c r="AX27" s="112">
        <f>COUNTIFS(_xlfn.ANCHORARRAY(DATA_CLEANED!AH$3),"SEMI_FINALS",_xlfn.ANCHORARRAY(DATA_CLEANED!AK$3),CALCULES!A27)+COUNTIFS(_xlfn.ANCHORARRAY(DATA_CLEANED!AH$3),"SEMI_FINALS",_xlfn.ANCHORARRAY(DATA_CLEANED!AN$3),CALCULES!A27)</f>
        <v>0</v>
      </c>
      <c r="AY27" s="112">
        <f>COUNTIFS(_xlfn.ANCHORARRAY(DATA_CLEANED!AH$3),"FINAL",_xlfn.ANCHORARRAY(DATA_CLEANED!AK$3),CALCULES!A27)+COUNTIFS(_xlfn.ANCHORARRAY(DATA_CLEANED!AH$3),"FINAL",_xlfn.ANCHORARRAY(DATA_CLEANED!AN$3),CALCULES!A27)</f>
        <v>0</v>
      </c>
      <c r="AZ27" s="112">
        <f>COUNTIFS(DATA_QUALITE!BG$12:BG$1069,CALCULES!A27,DATA_QUALITE!AW$12:AW$1069,"FINAL")</f>
        <v>0</v>
      </c>
      <c r="BA27" s="113">
        <f t="shared" si="6"/>
        <v>39.81</v>
      </c>
      <c r="BB27" s="118">
        <f t="shared" si="10"/>
        <v>11.41</v>
      </c>
      <c r="BC27" s="118">
        <f t="shared" si="11"/>
        <v>17.690000000000001</v>
      </c>
      <c r="BD27" s="139">
        <f t="shared" si="12"/>
        <v>14.55</v>
      </c>
      <c r="BF27" s="171"/>
      <c r="BG27" s="175"/>
      <c r="BL27" s="173">
        <f>INT((ROWS($BL$15:BL27)-1)/9)</f>
        <v>1</v>
      </c>
      <c r="BM27" s="173">
        <f>MOD(ROWS($BM$15:BM27)-1,9)</f>
        <v>3</v>
      </c>
      <c r="BN27" s="173">
        <f t="shared" si="14"/>
        <v>2.4664063109813592E-2</v>
      </c>
      <c r="BP27" s="167"/>
    </row>
    <row r="28" spans="1:71" ht="14.45" customHeight="1">
      <c r="A28" s="113" t="str">
        <v>DR Germany</v>
      </c>
      <c r="B28" s="112">
        <f>IF(COUNTIFS(_xlfn.ANCHORARRAY(DATA_CLEANED!$AF$3),CALCULES!B$2,_xlfn.ANCHORARRAY(DATA_CLEANED!$AK$3),CALCULES!$A28)+COUNTIFS(_xlfn.ANCHORARRAY(DATA_CLEANED!$AF$3),CALCULES!B$2,_xlfn.ANCHORARRAY(DATA_CLEANED!$AN$3),CALCULES!$A28)&gt;0,1,0)</f>
        <v>0</v>
      </c>
      <c r="C28" s="112">
        <f>IF(COUNTIFS(_xlfn.ANCHORARRAY(DATA_CLEANED!$AF$3),CALCULES!C$2,_xlfn.ANCHORARRAY(DATA_CLEANED!$AK$3),CALCULES!$A28)+COUNTIFS(_xlfn.ANCHORARRAY(DATA_CLEANED!$AF$3),CALCULES!C$2,_xlfn.ANCHORARRAY(DATA_CLEANED!$AN$3),CALCULES!$A28)&gt;0,1,0)</f>
        <v>0</v>
      </c>
      <c r="D28" s="112">
        <f>IF(COUNTIFS(_xlfn.ANCHORARRAY(DATA_CLEANED!$AF$3),CALCULES!D$2,_xlfn.ANCHORARRAY(DATA_CLEANED!$AK$3),CALCULES!$A28)+COUNTIFS(_xlfn.ANCHORARRAY(DATA_CLEANED!$AF$3),CALCULES!D$2,_xlfn.ANCHORARRAY(DATA_CLEANED!$AN$3),CALCULES!$A28)&gt;0,1,0)</f>
        <v>0</v>
      </c>
      <c r="E28" s="112">
        <f>IF(COUNTIFS(_xlfn.ANCHORARRAY(DATA_CLEANED!$AF$3),CALCULES!E$2,_xlfn.ANCHORARRAY(DATA_CLEANED!$AK$3),CALCULES!$A28)+COUNTIFS(_xlfn.ANCHORARRAY(DATA_CLEANED!$AF$3),CALCULES!E$2,_xlfn.ANCHORARRAY(DATA_CLEANED!$AN$3),CALCULES!$A28)&gt;0,1,0)</f>
        <v>0</v>
      </c>
      <c r="F28" s="112">
        <f>IF(COUNTIFS(_xlfn.ANCHORARRAY(DATA_CLEANED!$AF$3),CALCULES!F$2,_xlfn.ANCHORARRAY(DATA_CLEANED!$AK$3),CALCULES!$A28)+COUNTIFS(_xlfn.ANCHORARRAY(DATA_CLEANED!$AF$3),CALCULES!F$2,_xlfn.ANCHORARRAY(DATA_CLEANED!$AN$3),CALCULES!$A28)&gt;0,1,0)</f>
        <v>0</v>
      </c>
      <c r="G28" s="112">
        <f>IF(COUNTIFS(_xlfn.ANCHORARRAY(DATA_CLEANED!$AF$3),CALCULES!G$2,_xlfn.ANCHORARRAY(DATA_CLEANED!$AK$3),CALCULES!$A28)+COUNTIFS(_xlfn.ANCHORARRAY(DATA_CLEANED!$AF$3),CALCULES!G$2,_xlfn.ANCHORARRAY(DATA_CLEANED!$AN$3),CALCULES!$A28)&gt;0,1,0)</f>
        <v>0</v>
      </c>
      <c r="H28" s="112">
        <f>IF(COUNTIFS(_xlfn.ANCHORARRAY(DATA_CLEANED!$AF$3),CALCULES!H$2,_xlfn.ANCHORARRAY(DATA_CLEANED!$AK$3),CALCULES!$A28)+COUNTIFS(_xlfn.ANCHORARRAY(DATA_CLEANED!$AF$3),CALCULES!H$2,_xlfn.ANCHORARRAY(DATA_CLEANED!$AN$3),CALCULES!$A28)&gt;0,1,0)</f>
        <v>0</v>
      </c>
      <c r="I28" s="112">
        <f>IF(COUNTIFS(_xlfn.ANCHORARRAY(DATA_CLEANED!$AF$3),CALCULES!I$2,_xlfn.ANCHORARRAY(DATA_CLEANED!$AK$3),CALCULES!$A28)+COUNTIFS(_xlfn.ANCHORARRAY(DATA_CLEANED!$AF$3),CALCULES!I$2,_xlfn.ANCHORARRAY(DATA_CLEANED!$AN$3),CALCULES!$A28)&gt;0,1,0)</f>
        <v>0</v>
      </c>
      <c r="J28" s="112">
        <f>IF(COUNTIFS(_xlfn.ANCHORARRAY(DATA_CLEANED!$AF$3),CALCULES!J$2,_xlfn.ANCHORARRAY(DATA_CLEANED!$AK$3),CALCULES!$A28)+COUNTIFS(_xlfn.ANCHORARRAY(DATA_CLEANED!$AF$3),CALCULES!J$2,_xlfn.ANCHORARRAY(DATA_CLEANED!$AN$3),CALCULES!$A28)&gt;0,1,0)</f>
        <v>0</v>
      </c>
      <c r="K28" s="112">
        <f>IF(COUNTIFS(_xlfn.ANCHORARRAY(DATA_CLEANED!$AF$3),CALCULES!K$2,_xlfn.ANCHORARRAY(DATA_CLEANED!$AK$3),CALCULES!$A28)+COUNTIFS(_xlfn.ANCHORARRAY(DATA_CLEANED!$AF$3),CALCULES!K$2,_xlfn.ANCHORARRAY(DATA_CLEANED!$AN$3),CALCULES!$A28)&gt;0,1,0)</f>
        <v>1</v>
      </c>
      <c r="L28" s="112">
        <f>IF(COUNTIFS(_xlfn.ANCHORARRAY(DATA_CLEANED!$AF$3),CALCULES!L$2,_xlfn.ANCHORARRAY(DATA_CLEANED!$AK$3),CALCULES!$A28)+COUNTIFS(_xlfn.ANCHORARRAY(DATA_CLEANED!$AF$3),CALCULES!L$2,_xlfn.ANCHORARRAY(DATA_CLEANED!$AN$3),CALCULES!$A28)&gt;0,1,0)</f>
        <v>0</v>
      </c>
      <c r="M28" s="112">
        <f>IF(COUNTIFS(_xlfn.ANCHORARRAY(DATA_CLEANED!$AF$3),CALCULES!M$2,_xlfn.ANCHORARRAY(DATA_CLEANED!$AK$3),CALCULES!$A28)+COUNTIFS(_xlfn.ANCHORARRAY(DATA_CLEANED!$AF$3),CALCULES!M$2,_xlfn.ANCHORARRAY(DATA_CLEANED!$AN$3),CALCULES!$A28)&gt;0,1,0)</f>
        <v>0</v>
      </c>
      <c r="N28" s="112">
        <f>IF(COUNTIFS(_xlfn.ANCHORARRAY(DATA_CLEANED!$AF$3),CALCULES!N$2,_xlfn.ANCHORARRAY(DATA_CLEANED!$AK$3),CALCULES!$A28)+COUNTIFS(_xlfn.ANCHORARRAY(DATA_CLEANED!$AF$3),CALCULES!N$2,_xlfn.ANCHORARRAY(DATA_CLEANED!$AN$3),CALCULES!$A28)&gt;0,1,0)</f>
        <v>0</v>
      </c>
      <c r="O28" s="112">
        <f>IF(COUNTIFS(_xlfn.ANCHORARRAY(DATA_CLEANED!$AF$3),CALCULES!O$2,_xlfn.ANCHORARRAY(DATA_CLEANED!$AK$3),CALCULES!$A28)+COUNTIFS(_xlfn.ANCHORARRAY(DATA_CLEANED!$AF$3),CALCULES!O$2,_xlfn.ANCHORARRAY(DATA_CLEANED!$AN$3),CALCULES!$A28)&gt;0,1,0)</f>
        <v>0</v>
      </c>
      <c r="P28" s="112">
        <f>IF(COUNTIFS(_xlfn.ANCHORARRAY(DATA_CLEANED!$AF$3),CALCULES!P$2,_xlfn.ANCHORARRAY(DATA_CLEANED!$AK$3),CALCULES!$A28)+COUNTIFS(_xlfn.ANCHORARRAY(DATA_CLEANED!$AF$3),CALCULES!P$2,_xlfn.ANCHORARRAY(DATA_CLEANED!$AN$3),CALCULES!$A28)&gt;0,1,0)</f>
        <v>0</v>
      </c>
      <c r="Q28" s="112">
        <f>IF(COUNTIFS(_xlfn.ANCHORARRAY(DATA_CLEANED!$AF$3),CALCULES!Q$2,_xlfn.ANCHORARRAY(DATA_CLEANED!$AK$3),CALCULES!$A28)+COUNTIFS(_xlfn.ANCHORARRAY(DATA_CLEANED!$AF$3),CALCULES!Q$2,_xlfn.ANCHORARRAY(DATA_CLEANED!$AN$3),CALCULES!$A28)&gt;0,1,0)</f>
        <v>0</v>
      </c>
      <c r="R28" s="112">
        <f>IF(COUNTIFS(_xlfn.ANCHORARRAY(DATA_CLEANED!$AF$3),CALCULES!R$2,_xlfn.ANCHORARRAY(DATA_CLEANED!$AK$3),CALCULES!$A28)+COUNTIFS(_xlfn.ANCHORARRAY(DATA_CLEANED!$AF$3),CALCULES!R$2,_xlfn.ANCHORARRAY(DATA_CLEANED!$AN$3),CALCULES!$A28)&gt;0,1,0)</f>
        <v>0</v>
      </c>
      <c r="S28" s="112">
        <f>IF(COUNTIFS(_xlfn.ANCHORARRAY(DATA_CLEANED!$AF$3),CALCULES!S$2,_xlfn.ANCHORARRAY(DATA_CLEANED!$AK$3),CALCULES!$A28)+COUNTIFS(_xlfn.ANCHORARRAY(DATA_CLEANED!$AF$3),CALCULES!S$2,_xlfn.ANCHORARRAY(DATA_CLEANED!$AN$3),CALCULES!$A28)&gt;0,1,0)</f>
        <v>0</v>
      </c>
      <c r="T28" s="112">
        <f>IF(COUNTIFS(_xlfn.ANCHORARRAY(DATA_CLEANED!$AF$3),CALCULES!T$2,_xlfn.ANCHORARRAY(DATA_CLEANED!$AK$3),CALCULES!$A28)+COUNTIFS(_xlfn.ANCHORARRAY(DATA_CLEANED!$AF$3),CALCULES!T$2,_xlfn.ANCHORARRAY(DATA_CLEANED!$AN$3),CALCULES!$A28)&gt;0,1,0)</f>
        <v>0</v>
      </c>
      <c r="U28" s="112">
        <f>IF(COUNTIFS(_xlfn.ANCHORARRAY(DATA_CLEANED!$AF$3),CALCULES!U$2,_xlfn.ANCHORARRAY(DATA_CLEANED!$AK$3),CALCULES!$A28)+COUNTIFS(_xlfn.ANCHORARRAY(DATA_CLEANED!$AF$3),CALCULES!U$2,_xlfn.ANCHORARRAY(DATA_CLEANED!$AN$3),CALCULES!$A28)&gt;0,1,0)</f>
        <v>0</v>
      </c>
      <c r="V28" s="112">
        <f>IF(COUNTIFS(_xlfn.ANCHORARRAY(DATA_CLEANED!$AF$3),CALCULES!V$2,_xlfn.ANCHORARRAY(DATA_CLEANED!$AK$3),CALCULES!$A28)+COUNTIFS(_xlfn.ANCHORARRAY(DATA_CLEANED!$AF$3),CALCULES!V$2,_xlfn.ANCHORARRAY(DATA_CLEANED!$AN$3),CALCULES!$A28)&gt;0,1,0)</f>
        <v>0</v>
      </c>
      <c r="W28" s="112">
        <f>IF(COUNTIFS(_xlfn.ANCHORARRAY(DATA_CLEANED!$AF$3),CALCULES!W$2,_xlfn.ANCHORARRAY(DATA_CLEANED!$AK$3),CALCULES!$A28)+COUNTIFS(_xlfn.ANCHORARRAY(DATA_CLEANED!$AF$3),CALCULES!W$2,_xlfn.ANCHORARRAY(DATA_CLEANED!$AN$3),CALCULES!$A28)&gt;0,1,0)</f>
        <v>0</v>
      </c>
      <c r="X28" s="112">
        <f>IF(COUNTIFS(_xlfn.ANCHORARRAY(DATA_CLEANED!$AF$3),CALCULES!X$2,_xlfn.ANCHORARRAY(DATA_CLEANED!$AK$3),CALCULES!$A28)+COUNTIFS(_xlfn.ANCHORARRAY(DATA_CLEANED!$AF$3),CALCULES!X$2,_xlfn.ANCHORARRAY(DATA_CLEANED!$AN$3),CALCULES!$A28)&gt;0,1,0)</f>
        <v>0</v>
      </c>
      <c r="Y28" s="113">
        <f t="shared" si="0"/>
        <v>1</v>
      </c>
      <c r="AA28" s="112">
        <f>COUNTIF(_xlfn.ANCHORARRAY(DATA_CLEANED!$AK$3),$A28)+COUNTIF(DATA_CLEANED!$AN$2:$AN$1060,$A28)</f>
        <v>6</v>
      </c>
      <c r="AB28" s="112">
        <f>COUNTIF(DATA_QUALITE!BG$12:BG$1069,A28)</f>
        <v>2</v>
      </c>
      <c r="AC28" s="112">
        <f t="shared" si="7"/>
        <v>4</v>
      </c>
      <c r="AD28" s="112" cm="1">
        <f t="array" ref="AD28">SUMPRODUCT((DATA_CLEANED!AL$3:AL$1060=DATA_CLEANED!AM$3:AM$1060)*(_xlfn.ANCHORARRAY(DATA_CLEANED!AK$3)=CALCULES!A28)*(DATA_CLEANED!AO$3:AO$1060&lt;&gt;"-"))
+
SUMPRODUCT((DATA_CLEANED!AL$3:AL$1060=DATA_CLEANED!AM$3:AM$1060)*(_xlfn.ANCHORARRAY(DATA_CLEANED!AN$3)=CALCULES!A28)*(DATA_CLEANED!AO$3:AO$1060&lt;&gt;"-"))</f>
        <v>0</v>
      </c>
      <c r="AE28" s="116">
        <f t="shared" si="1"/>
        <v>0.33333333333333331</v>
      </c>
      <c r="AF28" s="116">
        <f t="shared" si="2"/>
        <v>0.66666666666666663</v>
      </c>
      <c r="AG28" s="112">
        <f>SUMIF(_xlfn.ANCHORARRAY(DATA_CLEANED!AK$3),A28,DATA_CLEANED!AL$2:AL$1060)+SUMIF(_xlfn.ANCHORARRAY(DATA_CLEANED!AN$3),A28,DATA_CLEANED!AM$2:AM$1060)</f>
        <v>5</v>
      </c>
      <c r="AH28" s="112">
        <f>SUMIF(_xlfn.ANCHORARRAY(DATA_CLEANED!AK$3),A28,DATA_CLEANED!AM$2:AM$1060)+SUMIF(_xlfn.ANCHORARRAY(DATA_CLEANED!AN$3),A28,DATA_CLEANED!AL$2:AL$1060)</f>
        <v>6</v>
      </c>
      <c r="AI28" s="112">
        <f t="shared" si="8"/>
        <v>1</v>
      </c>
      <c r="AJ28" s="117" cm="1">
        <f t="array" ref="AJ28">_xlfn.LET(_xlpm.home,IFERROR(_xlfn._xlws.FILTER(DATA_CLEANED!AH$3:AH$1060,DATA_CLEANED!AK$3:AK$1060=CALCULES!A28),""),
_xlpm.away,IFERROR(_xlfn._xlws.FILTER(DATA_CLEANED!AH$3:AH$1060,DATA_CLEANED!AN$3:AN$1060=CALCULES!A28),""),
_xlpm.assemb_t,_xlfn._xlws.FILTER(_xlfn.VSTACK(_xlpm.home,_xlpm.away),_xlfn.VSTACK(_xlpm.home,_xlpm.away)&lt;&gt;""),
_xlpm.but_h,IFERROR(_xlfn._xlws.FILTER(_xlfn.ANCHORARRAY(DATA_CLEANED!AM$3),DATA_CLEANED!AK$3:AK$1060=CALCULES!A28),""),
_xlpm.but_a,IFERROR(_xlfn._xlws.FILTER(_xlfn.ANCHORARRAY(DATA_CLEANED!AL$3),DATA_CLEANED!AN$3:AN$1060=CALCULES!A28),""),
_xlpm.assemb_b,_xlfn._xlws.FILTER(_xlfn.VSTACK(_xlpm.but_h,_xlpm.but_a),_xlfn.VSTACK(_xlpm.but_h,_xlpm.but_a)&lt;&gt;""),
MEDIAN(_xlpm.assemb_t,_xlpm.assemb_b)
)</f>
        <v>1</v>
      </c>
      <c r="AK28" s="113">
        <f t="shared" si="3"/>
        <v>-1</v>
      </c>
      <c r="AL28" s="112" cm="1">
        <f t="array" ref="AL28">IFERROR(MEDIAN(_xlfn._xlws.FILTER(_xlfn.VSTACK(
DATA_CLEANED!AL$3:AL$1060-DATA_CLEANED!AM$3:AM$1060,
DATA_CLEANED!AM$3:AM$1060-DATA_CLEANED!AL$3:AL$1060
),_xlfn.VSTACK(DATA_CLEANED!AK$3:AK$1060,DATA_CLEANED!AN$3:AN$1060)=A28)),"-")</f>
        <v>0</v>
      </c>
      <c r="AM28" s="112">
        <f t="shared" si="9"/>
        <v>0.83</v>
      </c>
      <c r="AN28" s="112" cm="1">
        <f t="array" ref="AN28">_xlfn.LET(_xlpm.home,IFERROR(_xlfn._xlws.FILTER(DATA_CLEANED!AH$3:AH$1060,DATA_CLEANED!AK$3:AK$1060=CALCULES!A28),""),
_xlpm.away,IFERROR(_xlfn._xlws.FILTER(DATA_CLEANED!AH$3:AH$1060,DATA_CLEANED!AN$3:AN$1060=CALCULES!A28),""),
_xlpm.assemb_t,_xlfn._xlws.FILTER(_xlfn.VSTACK(_xlpm.home,_xlpm.away),_xlfn.VSTACK(_xlpm.home,_xlpm.away)&lt;&gt;""),
_xlpm.but_h,IFERROR(_xlfn._xlws.FILTER(_xlfn.ANCHORARRAY(DATA_CLEANED!AL$3),DATA_CLEANED!AK$3:AK$1060=CALCULES!A28),""),
_xlpm.but_a,IFERROR(_xlfn._xlws.FILTER(_xlfn.ANCHORARRAY(DATA_CLEANED!AM$3),DATA_CLEANED!AN$3:AN$1060=CALCULES!A28),""),
_xlpm.assemb_b,_xlfn._xlws.FILTER(_xlfn.VSTACK(_xlpm.but_h,_xlpm.but_a),_xlfn.VSTACK(_xlpm.but_h,_xlpm.but_a)&lt;&gt;""),
MEDIAN(_xlpm.assemb_t,_xlpm.assemb_b)
)</f>
        <v>1</v>
      </c>
      <c r="AO28" s="116">
        <f>ROUND(IFERROR((COUNTIFS(DATA_CLEANED!AK$3:AK$1060,A28,DATA_CLEANED!AM$3:AM$1060,0)
+
COUNTIFS(DATA_CLEANED!AN$3:AN$1060,A28,DATA_CLEANED!AL$3:AL$1060,0)
)/AA28,0),2)</f>
        <v>0.33</v>
      </c>
      <c r="AP28" s="112">
        <f>MAX((_xlfn.MAXIFS(_xlfn.ANCHORARRAY(DATA_CLEANED!AL$3),_xlfn.ANCHORARRAY(DATA_CLEANED!AK$3),A28)),(_xlfn.MAXIFS(DATA_CLEANED!AM$3:AM$1060,_xlfn.ANCHORARRAY(DATA_CLEANED!AN$3),A28)))</f>
        <v>2</v>
      </c>
      <c r="AQ28" s="112">
        <f>COUNTIF(_xlfn.ANCHORARRAY(DATA_CLEANED!K$3),A28)</f>
        <v>0</v>
      </c>
      <c r="AR28" s="113" t="str" cm="1">
        <f t="array" ref="AR28">_xlfn.LET(
_xlpm.home,IFERROR(_xlfn._xlws.FILTER(DATA_CLEANED!AH$3:AH$1060,DATA_CLEANED!AK$3:AK$1060=CALCULES!A28),""),
_xlpm.away,IFERROR(_xlfn._xlws.FILTER(DATA_CLEANED!AH$3:AH$1060,DATA_CLEANED!AN$3:AN$1060=CALCULES!A28),""),
_xlpm.etapes,_xlfn._xlws.FILTER(_xlfn.VSTACK(_xlpm.home,_xlpm.away),_xlfn.VSTACK(_xlpm.home,_xlpm.away)&lt;&gt;""),
_xlpm.numeros,_xlfn.XLOOKUP(_xlpm.etapes,DATA_QUALITE!AT$12:AT$38,DATA_QUALITE!AU$12:AU$38),
_xlfn.XLOOKUP(MIN(_xlpm.numeros),DATA_QUALITE!AU$12:AU$38,DATA_QUALITE!AT$12:AT$38)
)</f>
        <v>GROUP_STAGE</v>
      </c>
      <c r="AS28" s="112">
        <f t="shared" si="4"/>
        <v>1</v>
      </c>
      <c r="AT28" s="112">
        <f t="shared" si="5"/>
        <v>2</v>
      </c>
      <c r="AU28" s="112">
        <f>COUNTIFS(DATA_QUALITE!BG$12:BG$1069,"MATCH NUL",_xlfn.ANCHORARRAY(DATA_CLEANED!AK$3),CALCULES!A28)+COUNTIFS(DATA_QUALITE!BG$12:BG$1069,"MATCH NUL",_xlfn.ANCHORARRAY(DATA_CLEANED!AN$3),CALCULES!A28)</f>
        <v>2</v>
      </c>
      <c r="AV28" s="112">
        <v>5</v>
      </c>
      <c r="AW28" s="112">
        <f>COUNTIFS(_xlfn.ANCHORARRAY(DATA_CLEANED!AH$3),"QUARTER_FINALS",_xlfn.ANCHORARRAY(DATA_CLEANED!AK$3),CALCULES!A28)+COUNTIFS(_xlfn.ANCHORARRAY(DATA_CLEANED!AH$3),"QUARTER_FINALS",_xlfn.ANCHORARRAY(DATA_CLEANED!AN$3),CALCULES!A28)</f>
        <v>0</v>
      </c>
      <c r="AX28" s="112">
        <f>COUNTIFS(_xlfn.ANCHORARRAY(DATA_CLEANED!AH$3),"SEMI_FINALS",_xlfn.ANCHORARRAY(DATA_CLEANED!AK$3),CALCULES!A28)+COUNTIFS(_xlfn.ANCHORARRAY(DATA_CLEANED!AH$3),"SEMI_FINALS",_xlfn.ANCHORARRAY(DATA_CLEANED!AN$3),CALCULES!A28)</f>
        <v>0</v>
      </c>
      <c r="AY28" s="112">
        <f>COUNTIFS(_xlfn.ANCHORARRAY(DATA_CLEANED!AH$3),"FINAL",_xlfn.ANCHORARRAY(DATA_CLEANED!AK$3),CALCULES!A28)+COUNTIFS(_xlfn.ANCHORARRAY(DATA_CLEANED!AH$3),"FINAL",_xlfn.ANCHORARRAY(DATA_CLEANED!AN$3),CALCULES!A28)</f>
        <v>0</v>
      </c>
      <c r="AZ28" s="112">
        <f>COUNTIFS(DATA_QUALITE!BG$12:BG$1069,CALCULES!A28,DATA_QUALITE!AW$12:AW$1069,"FINAL")</f>
        <v>0</v>
      </c>
      <c r="BA28" s="113">
        <f t="shared" si="6"/>
        <v>37.33</v>
      </c>
      <c r="BB28" s="118">
        <f t="shared" si="10"/>
        <v>5.2</v>
      </c>
      <c r="BC28" s="118">
        <f t="shared" si="11"/>
        <v>8.84</v>
      </c>
      <c r="BD28" s="139">
        <f t="shared" si="12"/>
        <v>7.02</v>
      </c>
      <c r="BF28" s="178" t="s">
        <v>3908</v>
      </c>
      <c r="BG28" s="178">
        <f>AVERAGE(BG11,BJ11)</f>
        <v>0.57499999999999996</v>
      </c>
      <c r="BL28" s="173">
        <f>INT((ROWS($BL$15:BL28)-1)/9)</f>
        <v>1</v>
      </c>
      <c r="BM28" s="173">
        <f>MOD(ROWS($BM$15:BM28)-1,9)</f>
        <v>4</v>
      </c>
      <c r="BN28" s="173">
        <f t="shared" si="14"/>
        <v>6.9055387125347067E-3</v>
      </c>
      <c r="BP28" s="167"/>
    </row>
    <row r="29" spans="1:71" ht="14.45" customHeight="1">
      <c r="A29" s="113" t="str">
        <v>Dutch East Indies</v>
      </c>
      <c r="B29" s="112">
        <f>IF(COUNTIFS(_xlfn.ANCHORARRAY(DATA_CLEANED!$AF$3),CALCULES!B$2,_xlfn.ANCHORARRAY(DATA_CLEANED!$AK$3),CALCULES!$A29)+COUNTIFS(_xlfn.ANCHORARRAY(DATA_CLEANED!$AF$3),CALCULES!B$2,_xlfn.ANCHORARRAY(DATA_CLEANED!$AN$3),CALCULES!$A29)&gt;0,1,0)</f>
        <v>0</v>
      </c>
      <c r="C29" s="112">
        <f>IF(COUNTIFS(_xlfn.ANCHORARRAY(DATA_CLEANED!$AF$3),CALCULES!C$2,_xlfn.ANCHORARRAY(DATA_CLEANED!$AK$3),CALCULES!$A29)+COUNTIFS(_xlfn.ANCHORARRAY(DATA_CLEANED!$AF$3),CALCULES!C$2,_xlfn.ANCHORARRAY(DATA_CLEANED!$AN$3),CALCULES!$A29)&gt;0,1,0)</f>
        <v>0</v>
      </c>
      <c r="D29" s="112">
        <f>IF(COUNTIFS(_xlfn.ANCHORARRAY(DATA_CLEANED!$AF$3),CALCULES!D$2,_xlfn.ANCHORARRAY(DATA_CLEANED!$AK$3),CALCULES!$A29)+COUNTIFS(_xlfn.ANCHORARRAY(DATA_CLEANED!$AF$3),CALCULES!D$2,_xlfn.ANCHORARRAY(DATA_CLEANED!$AN$3),CALCULES!$A29)&gt;0,1,0)</f>
        <v>1</v>
      </c>
      <c r="E29" s="112">
        <f>IF(COUNTIFS(_xlfn.ANCHORARRAY(DATA_CLEANED!$AF$3),CALCULES!E$2,_xlfn.ANCHORARRAY(DATA_CLEANED!$AK$3),CALCULES!$A29)+COUNTIFS(_xlfn.ANCHORARRAY(DATA_CLEANED!$AF$3),CALCULES!E$2,_xlfn.ANCHORARRAY(DATA_CLEANED!$AN$3),CALCULES!$A29)&gt;0,1,0)</f>
        <v>0</v>
      </c>
      <c r="F29" s="112">
        <f>IF(COUNTIFS(_xlfn.ANCHORARRAY(DATA_CLEANED!$AF$3),CALCULES!F$2,_xlfn.ANCHORARRAY(DATA_CLEANED!$AK$3),CALCULES!$A29)+COUNTIFS(_xlfn.ANCHORARRAY(DATA_CLEANED!$AF$3),CALCULES!F$2,_xlfn.ANCHORARRAY(DATA_CLEANED!$AN$3),CALCULES!$A29)&gt;0,1,0)</f>
        <v>0</v>
      </c>
      <c r="G29" s="112">
        <f>IF(COUNTIFS(_xlfn.ANCHORARRAY(DATA_CLEANED!$AF$3),CALCULES!G$2,_xlfn.ANCHORARRAY(DATA_CLEANED!$AK$3),CALCULES!$A29)+COUNTIFS(_xlfn.ANCHORARRAY(DATA_CLEANED!$AF$3),CALCULES!G$2,_xlfn.ANCHORARRAY(DATA_CLEANED!$AN$3),CALCULES!$A29)&gt;0,1,0)</f>
        <v>0</v>
      </c>
      <c r="H29" s="112">
        <f>IF(COUNTIFS(_xlfn.ANCHORARRAY(DATA_CLEANED!$AF$3),CALCULES!H$2,_xlfn.ANCHORARRAY(DATA_CLEANED!$AK$3),CALCULES!$A29)+COUNTIFS(_xlfn.ANCHORARRAY(DATA_CLEANED!$AF$3),CALCULES!H$2,_xlfn.ANCHORARRAY(DATA_CLEANED!$AN$3),CALCULES!$A29)&gt;0,1,0)</f>
        <v>0</v>
      </c>
      <c r="I29" s="112">
        <f>IF(COUNTIFS(_xlfn.ANCHORARRAY(DATA_CLEANED!$AF$3),CALCULES!I$2,_xlfn.ANCHORARRAY(DATA_CLEANED!$AK$3),CALCULES!$A29)+COUNTIFS(_xlfn.ANCHORARRAY(DATA_CLEANED!$AF$3),CALCULES!I$2,_xlfn.ANCHORARRAY(DATA_CLEANED!$AN$3),CALCULES!$A29)&gt;0,1,0)</f>
        <v>0</v>
      </c>
      <c r="J29" s="112">
        <f>IF(COUNTIFS(_xlfn.ANCHORARRAY(DATA_CLEANED!$AF$3),CALCULES!J$2,_xlfn.ANCHORARRAY(DATA_CLEANED!$AK$3),CALCULES!$A29)+COUNTIFS(_xlfn.ANCHORARRAY(DATA_CLEANED!$AF$3),CALCULES!J$2,_xlfn.ANCHORARRAY(DATA_CLEANED!$AN$3),CALCULES!$A29)&gt;0,1,0)</f>
        <v>0</v>
      </c>
      <c r="K29" s="112">
        <f>IF(COUNTIFS(_xlfn.ANCHORARRAY(DATA_CLEANED!$AF$3),CALCULES!K$2,_xlfn.ANCHORARRAY(DATA_CLEANED!$AK$3),CALCULES!$A29)+COUNTIFS(_xlfn.ANCHORARRAY(DATA_CLEANED!$AF$3),CALCULES!K$2,_xlfn.ANCHORARRAY(DATA_CLEANED!$AN$3),CALCULES!$A29)&gt;0,1,0)</f>
        <v>0</v>
      </c>
      <c r="L29" s="112">
        <f>IF(COUNTIFS(_xlfn.ANCHORARRAY(DATA_CLEANED!$AF$3),CALCULES!L$2,_xlfn.ANCHORARRAY(DATA_CLEANED!$AK$3),CALCULES!$A29)+COUNTIFS(_xlfn.ANCHORARRAY(DATA_CLEANED!$AF$3),CALCULES!L$2,_xlfn.ANCHORARRAY(DATA_CLEANED!$AN$3),CALCULES!$A29)&gt;0,1,0)</f>
        <v>0</v>
      </c>
      <c r="M29" s="112">
        <f>IF(COUNTIFS(_xlfn.ANCHORARRAY(DATA_CLEANED!$AF$3),CALCULES!M$2,_xlfn.ANCHORARRAY(DATA_CLEANED!$AK$3),CALCULES!$A29)+COUNTIFS(_xlfn.ANCHORARRAY(DATA_CLEANED!$AF$3),CALCULES!M$2,_xlfn.ANCHORARRAY(DATA_CLEANED!$AN$3),CALCULES!$A29)&gt;0,1,0)</f>
        <v>0</v>
      </c>
      <c r="N29" s="112">
        <f>IF(COUNTIFS(_xlfn.ANCHORARRAY(DATA_CLEANED!$AF$3),CALCULES!N$2,_xlfn.ANCHORARRAY(DATA_CLEANED!$AK$3),CALCULES!$A29)+COUNTIFS(_xlfn.ANCHORARRAY(DATA_CLEANED!$AF$3),CALCULES!N$2,_xlfn.ANCHORARRAY(DATA_CLEANED!$AN$3),CALCULES!$A29)&gt;0,1,0)</f>
        <v>0</v>
      </c>
      <c r="O29" s="112">
        <f>IF(COUNTIFS(_xlfn.ANCHORARRAY(DATA_CLEANED!$AF$3),CALCULES!O$2,_xlfn.ANCHORARRAY(DATA_CLEANED!$AK$3),CALCULES!$A29)+COUNTIFS(_xlfn.ANCHORARRAY(DATA_CLEANED!$AF$3),CALCULES!O$2,_xlfn.ANCHORARRAY(DATA_CLEANED!$AN$3),CALCULES!$A29)&gt;0,1,0)</f>
        <v>0</v>
      </c>
      <c r="P29" s="112">
        <f>IF(COUNTIFS(_xlfn.ANCHORARRAY(DATA_CLEANED!$AF$3),CALCULES!P$2,_xlfn.ANCHORARRAY(DATA_CLEANED!$AK$3),CALCULES!$A29)+COUNTIFS(_xlfn.ANCHORARRAY(DATA_CLEANED!$AF$3),CALCULES!P$2,_xlfn.ANCHORARRAY(DATA_CLEANED!$AN$3),CALCULES!$A29)&gt;0,1,0)</f>
        <v>0</v>
      </c>
      <c r="Q29" s="112">
        <f>IF(COUNTIFS(_xlfn.ANCHORARRAY(DATA_CLEANED!$AF$3),CALCULES!Q$2,_xlfn.ANCHORARRAY(DATA_CLEANED!$AK$3),CALCULES!$A29)+COUNTIFS(_xlfn.ANCHORARRAY(DATA_CLEANED!$AF$3),CALCULES!Q$2,_xlfn.ANCHORARRAY(DATA_CLEANED!$AN$3),CALCULES!$A29)&gt;0,1,0)</f>
        <v>0</v>
      </c>
      <c r="R29" s="112">
        <f>IF(COUNTIFS(_xlfn.ANCHORARRAY(DATA_CLEANED!$AF$3),CALCULES!R$2,_xlfn.ANCHORARRAY(DATA_CLEANED!$AK$3),CALCULES!$A29)+COUNTIFS(_xlfn.ANCHORARRAY(DATA_CLEANED!$AF$3),CALCULES!R$2,_xlfn.ANCHORARRAY(DATA_CLEANED!$AN$3),CALCULES!$A29)&gt;0,1,0)</f>
        <v>0</v>
      </c>
      <c r="S29" s="112">
        <f>IF(COUNTIFS(_xlfn.ANCHORARRAY(DATA_CLEANED!$AF$3),CALCULES!S$2,_xlfn.ANCHORARRAY(DATA_CLEANED!$AK$3),CALCULES!$A29)+COUNTIFS(_xlfn.ANCHORARRAY(DATA_CLEANED!$AF$3),CALCULES!S$2,_xlfn.ANCHORARRAY(DATA_CLEANED!$AN$3),CALCULES!$A29)&gt;0,1,0)</f>
        <v>0</v>
      </c>
      <c r="T29" s="112">
        <f>IF(COUNTIFS(_xlfn.ANCHORARRAY(DATA_CLEANED!$AF$3),CALCULES!T$2,_xlfn.ANCHORARRAY(DATA_CLEANED!$AK$3),CALCULES!$A29)+COUNTIFS(_xlfn.ANCHORARRAY(DATA_CLEANED!$AF$3),CALCULES!T$2,_xlfn.ANCHORARRAY(DATA_CLEANED!$AN$3),CALCULES!$A29)&gt;0,1,0)</f>
        <v>0</v>
      </c>
      <c r="U29" s="112">
        <f>IF(COUNTIFS(_xlfn.ANCHORARRAY(DATA_CLEANED!$AF$3),CALCULES!U$2,_xlfn.ANCHORARRAY(DATA_CLEANED!$AK$3),CALCULES!$A29)+COUNTIFS(_xlfn.ANCHORARRAY(DATA_CLEANED!$AF$3),CALCULES!U$2,_xlfn.ANCHORARRAY(DATA_CLEANED!$AN$3),CALCULES!$A29)&gt;0,1,0)</f>
        <v>0</v>
      </c>
      <c r="V29" s="112">
        <f>IF(COUNTIFS(_xlfn.ANCHORARRAY(DATA_CLEANED!$AF$3),CALCULES!V$2,_xlfn.ANCHORARRAY(DATA_CLEANED!$AK$3),CALCULES!$A29)+COUNTIFS(_xlfn.ANCHORARRAY(DATA_CLEANED!$AF$3),CALCULES!V$2,_xlfn.ANCHORARRAY(DATA_CLEANED!$AN$3),CALCULES!$A29)&gt;0,1,0)</f>
        <v>0</v>
      </c>
      <c r="W29" s="112">
        <f>IF(COUNTIFS(_xlfn.ANCHORARRAY(DATA_CLEANED!$AF$3),CALCULES!W$2,_xlfn.ANCHORARRAY(DATA_CLEANED!$AK$3),CALCULES!$A29)+COUNTIFS(_xlfn.ANCHORARRAY(DATA_CLEANED!$AF$3),CALCULES!W$2,_xlfn.ANCHORARRAY(DATA_CLEANED!$AN$3),CALCULES!$A29)&gt;0,1,0)</f>
        <v>0</v>
      </c>
      <c r="X29" s="112">
        <f>IF(COUNTIFS(_xlfn.ANCHORARRAY(DATA_CLEANED!$AF$3),CALCULES!X$2,_xlfn.ANCHORARRAY(DATA_CLEANED!$AK$3),CALCULES!$A29)+COUNTIFS(_xlfn.ANCHORARRAY(DATA_CLEANED!$AF$3),CALCULES!X$2,_xlfn.ANCHORARRAY(DATA_CLEANED!$AN$3),CALCULES!$A29)&gt;0,1,0)</f>
        <v>0</v>
      </c>
      <c r="Y29" s="113">
        <f t="shared" si="0"/>
        <v>1</v>
      </c>
      <c r="AA29" s="112">
        <f>COUNTIF(_xlfn.ANCHORARRAY(DATA_CLEANED!$AK$3),$A29)+COUNTIF(DATA_CLEANED!$AN$2:$AN$1060,$A29)</f>
        <v>1</v>
      </c>
      <c r="AB29" s="112">
        <f>COUNTIF(DATA_QUALITE!BG$12:BG$1069,A29)</f>
        <v>0</v>
      </c>
      <c r="AC29" s="112">
        <f t="shared" si="7"/>
        <v>1</v>
      </c>
      <c r="AD29" s="112" cm="1">
        <f t="array" ref="AD29">SUMPRODUCT((DATA_CLEANED!AL$3:AL$1060=DATA_CLEANED!AM$3:AM$1060)*(_xlfn.ANCHORARRAY(DATA_CLEANED!AK$3)=CALCULES!A29)*(DATA_CLEANED!AO$3:AO$1060&lt;&gt;"-"))
+
SUMPRODUCT((DATA_CLEANED!AL$3:AL$1060=DATA_CLEANED!AM$3:AM$1060)*(_xlfn.ANCHORARRAY(DATA_CLEANED!AN$3)=CALCULES!A29)*(DATA_CLEANED!AO$3:AO$1060&lt;&gt;"-"))</f>
        <v>0</v>
      </c>
      <c r="AE29" s="116">
        <f t="shared" si="1"/>
        <v>0</v>
      </c>
      <c r="AF29" s="116">
        <f t="shared" si="2"/>
        <v>1</v>
      </c>
      <c r="AG29" s="112">
        <f>SUMIF(_xlfn.ANCHORARRAY(DATA_CLEANED!AK$3),A29,DATA_CLEANED!AL$2:AL$1060)+SUMIF(_xlfn.ANCHORARRAY(DATA_CLEANED!AN$3),A29,DATA_CLEANED!AM$2:AM$1060)</f>
        <v>1</v>
      </c>
      <c r="AH29" s="112">
        <f>SUMIF(_xlfn.ANCHORARRAY(DATA_CLEANED!AK$3),A29,DATA_CLEANED!AM$2:AM$1060)+SUMIF(_xlfn.ANCHORARRAY(DATA_CLEANED!AN$3),A29,DATA_CLEANED!AL$2:AL$1060)</f>
        <v>1</v>
      </c>
      <c r="AI29" s="112">
        <f t="shared" si="8"/>
        <v>1</v>
      </c>
      <c r="AJ29" s="117" cm="1">
        <f t="array" ref="AJ29">_xlfn.LET(_xlpm.home,IFERROR(_xlfn._xlws.FILTER(DATA_CLEANED!AH$3:AH$1060,DATA_CLEANED!AK$3:AK$1060=CALCULES!A29),""),
_xlpm.away,IFERROR(_xlfn._xlws.FILTER(DATA_CLEANED!AH$3:AH$1060,DATA_CLEANED!AN$3:AN$1060=CALCULES!A29),""),
_xlpm.assemb_t,_xlfn._xlws.FILTER(_xlfn.VSTACK(_xlpm.home,_xlpm.away),_xlfn.VSTACK(_xlpm.home,_xlpm.away)&lt;&gt;""),
_xlpm.but_h,IFERROR(_xlfn._xlws.FILTER(_xlfn.ANCHORARRAY(DATA_CLEANED!AM$3),DATA_CLEANED!AK$3:AK$1060=CALCULES!A29),""),
_xlpm.but_a,IFERROR(_xlfn._xlws.FILTER(_xlfn.ANCHORARRAY(DATA_CLEANED!AL$3),DATA_CLEANED!AN$3:AN$1060=CALCULES!A29),""),
_xlpm.assemb_b,_xlfn._xlws.FILTER(_xlfn.VSTACK(_xlpm.but_h,_xlpm.but_a),_xlfn.VSTACK(_xlpm.but_h,_xlpm.but_a)&lt;&gt;""),
MEDIAN(_xlpm.assemb_t,_xlpm.assemb_b)
)</f>
        <v>6</v>
      </c>
      <c r="AK29" s="113">
        <f t="shared" si="3"/>
        <v>0</v>
      </c>
      <c r="AL29" s="112" cm="1">
        <f t="array" ref="AL29">IFERROR(MEDIAN(_xlfn._xlws.FILTER(_xlfn.VSTACK(
DATA_CLEANED!AL$3:AL$1060-DATA_CLEANED!AM$3:AM$1060,
DATA_CLEANED!AM$3:AM$1060-DATA_CLEANED!AL$3:AL$1060
),_xlfn.VSTACK(DATA_CLEANED!AK$3:AK$1060,DATA_CLEANED!AN$3:AN$1060)=A29)),"-")</f>
        <v>-6</v>
      </c>
      <c r="AM29" s="112">
        <f t="shared" si="9"/>
        <v>1</v>
      </c>
      <c r="AN29" s="112" cm="1">
        <f t="array" ref="AN29">_xlfn.LET(_xlpm.home,IFERROR(_xlfn._xlws.FILTER(DATA_CLEANED!AH$3:AH$1060,DATA_CLEANED!AK$3:AK$1060=CALCULES!A29),""),
_xlpm.away,IFERROR(_xlfn._xlws.FILTER(DATA_CLEANED!AH$3:AH$1060,DATA_CLEANED!AN$3:AN$1060=CALCULES!A29),""),
_xlpm.assemb_t,_xlfn._xlws.FILTER(_xlfn.VSTACK(_xlpm.home,_xlpm.away),_xlfn.VSTACK(_xlpm.home,_xlpm.away)&lt;&gt;""),
_xlpm.but_h,IFERROR(_xlfn._xlws.FILTER(_xlfn.ANCHORARRAY(DATA_CLEANED!AL$3),DATA_CLEANED!AK$3:AK$1060=CALCULES!A29),""),
_xlpm.but_a,IFERROR(_xlfn._xlws.FILTER(_xlfn.ANCHORARRAY(DATA_CLEANED!AM$3),DATA_CLEANED!AN$3:AN$1060=CALCULES!A29),""),
_xlpm.assemb_b,_xlfn._xlws.FILTER(_xlfn.VSTACK(_xlpm.but_h,_xlpm.but_a),_xlfn.VSTACK(_xlpm.but_h,_xlpm.but_a)&lt;&gt;""),
MEDIAN(_xlpm.assemb_t,_xlpm.assemb_b)
)</f>
        <v>0</v>
      </c>
      <c r="AO29" s="116">
        <f>ROUND(IFERROR((COUNTIFS(DATA_CLEANED!AK$3:AK$1060,A29,DATA_CLEANED!AM$3:AM$1060,0)
+
COUNTIFS(DATA_CLEANED!AN$3:AN$1060,A29,DATA_CLEANED!AL$3:AL$1060,0)
)/AA29,0),2)</f>
        <v>0</v>
      </c>
      <c r="AP29" s="112">
        <f>MAX((_xlfn.MAXIFS(_xlfn.ANCHORARRAY(DATA_CLEANED!AL$3),_xlfn.ANCHORARRAY(DATA_CLEANED!AK$3),A29)),(_xlfn.MAXIFS(DATA_CLEANED!AM$3:AM$1060,_xlfn.ANCHORARRAY(DATA_CLEANED!AN$3),A29)))</f>
        <v>0</v>
      </c>
      <c r="AQ29" s="112">
        <f>COUNTIF(_xlfn.ANCHORARRAY(DATA_CLEANED!K$3),A29)</f>
        <v>0</v>
      </c>
      <c r="AR29" s="113" t="str" cm="1">
        <f t="array" ref="AR29">_xlfn.LET(
_xlpm.home,IFERROR(_xlfn._xlws.FILTER(DATA_CLEANED!AH$3:AH$1060,DATA_CLEANED!AK$3:AK$1060=CALCULES!A29),""),
_xlpm.away,IFERROR(_xlfn._xlws.FILTER(DATA_CLEANED!AH$3:AH$1060,DATA_CLEANED!AN$3:AN$1060=CALCULES!A29),""),
_xlpm.etapes,_xlfn._xlws.FILTER(_xlfn.VSTACK(_xlpm.home,_xlpm.away),_xlfn.VSTACK(_xlpm.home,_xlpm.away)&lt;&gt;""),
_xlpm.numeros,_xlfn.XLOOKUP(_xlpm.etapes,DATA_QUALITE!AT$12:AT$38,DATA_QUALITE!AU$12:AU$38),
_xlfn.XLOOKUP(MIN(_xlpm.numeros),DATA_QUALITE!AU$12:AU$38,DATA_QUALITE!AT$12:AT$38)
)</f>
        <v>GROUP_STAGE</v>
      </c>
      <c r="AS29" s="112">
        <f t="shared" si="4"/>
        <v>1</v>
      </c>
      <c r="AT29" s="112">
        <f t="shared" si="5"/>
        <v>0</v>
      </c>
      <c r="AU29" s="112">
        <f>COUNTIFS(DATA_QUALITE!BG$12:BG$1069,"MATCH NUL",_xlfn.ANCHORARRAY(DATA_CLEANED!AK$3),CALCULES!A29)+COUNTIFS(DATA_QUALITE!BG$12:BG$1069,"MATCH NUL",_xlfn.ANCHORARRAY(DATA_CLEANED!AN$3),CALCULES!A29)</f>
        <v>0</v>
      </c>
      <c r="AV29" s="112">
        <v>1</v>
      </c>
      <c r="AW29" s="112">
        <f>COUNTIFS(_xlfn.ANCHORARRAY(DATA_CLEANED!AH$3),"QUARTER_FINALS",_xlfn.ANCHORARRAY(DATA_CLEANED!AK$3),CALCULES!A29)+COUNTIFS(_xlfn.ANCHORARRAY(DATA_CLEANED!AH$3),"QUARTER_FINALS",_xlfn.ANCHORARRAY(DATA_CLEANED!AN$3),CALCULES!A29)</f>
        <v>0</v>
      </c>
      <c r="AX29" s="112">
        <f>COUNTIFS(_xlfn.ANCHORARRAY(DATA_CLEANED!AH$3),"SEMI_FINALS",_xlfn.ANCHORARRAY(DATA_CLEANED!AK$3),CALCULES!A29)+COUNTIFS(_xlfn.ANCHORARRAY(DATA_CLEANED!AH$3),"SEMI_FINALS",_xlfn.ANCHORARRAY(DATA_CLEANED!AN$3),CALCULES!A29)</f>
        <v>0</v>
      </c>
      <c r="AY29" s="112">
        <f>COUNTIFS(_xlfn.ANCHORARRAY(DATA_CLEANED!AH$3),"FINAL",_xlfn.ANCHORARRAY(DATA_CLEANED!AK$3),CALCULES!A29)+COUNTIFS(_xlfn.ANCHORARRAY(DATA_CLEANED!AH$3),"FINAL",_xlfn.ANCHORARRAY(DATA_CLEANED!AN$3),CALCULES!A29)</f>
        <v>0</v>
      </c>
      <c r="AZ29" s="112">
        <f>COUNTIFS(DATA_QUALITE!BG$12:BG$1069,CALCULES!A29,DATA_QUALITE!AW$12:AW$1069,"FINAL")</f>
        <v>0</v>
      </c>
      <c r="BA29" s="113">
        <f t="shared" si="6"/>
        <v>0</v>
      </c>
      <c r="BB29" s="118">
        <f t="shared" si="10"/>
        <v>0</v>
      </c>
      <c r="BC29" s="118">
        <f t="shared" si="11"/>
        <v>0</v>
      </c>
      <c r="BD29" s="139">
        <f t="shared" si="12"/>
        <v>0</v>
      </c>
      <c r="BF29" s="176" t="s">
        <v>3909</v>
      </c>
      <c r="BG29" s="176" t="str">
        <f>IF(
BG28&gt;=0.8,
"Élevée",
IF(
BG28&gt;=0.5,
"Moyenne",
"Faible"
)
)</f>
        <v>Moyenne</v>
      </c>
      <c r="BH29" s="167"/>
      <c r="BI29" s="167"/>
      <c r="BJ29" s="167"/>
      <c r="BK29" s="167"/>
      <c r="BL29" s="173">
        <f>INT((ROWS($BL$15:BL29)-1)/9)</f>
        <v>1</v>
      </c>
      <c r="BM29" s="173">
        <f>MOD(ROWS($BM$15:BM29)-1,9)</f>
        <v>5</v>
      </c>
      <c r="BN29" s="173">
        <f t="shared" si="14"/>
        <v>1.5467513101307762E-3</v>
      </c>
      <c r="BO29" s="167"/>
      <c r="BP29" s="167"/>
    </row>
    <row r="30" spans="1:71" ht="14.45" customHeight="1">
      <c r="A30" s="113" t="str">
        <v>Ecuador</v>
      </c>
      <c r="B30" s="112">
        <f>IF(COUNTIFS(_xlfn.ANCHORARRAY(DATA_CLEANED!$AF$3),CALCULES!B$2,_xlfn.ANCHORARRAY(DATA_CLEANED!$AK$3),CALCULES!$A30)+COUNTIFS(_xlfn.ANCHORARRAY(DATA_CLEANED!$AF$3),CALCULES!B$2,_xlfn.ANCHORARRAY(DATA_CLEANED!$AN$3),CALCULES!$A30)&gt;0,1,0)</f>
        <v>0</v>
      </c>
      <c r="C30" s="112">
        <f>IF(COUNTIFS(_xlfn.ANCHORARRAY(DATA_CLEANED!$AF$3),CALCULES!C$2,_xlfn.ANCHORARRAY(DATA_CLEANED!$AK$3),CALCULES!$A30)+COUNTIFS(_xlfn.ANCHORARRAY(DATA_CLEANED!$AF$3),CALCULES!C$2,_xlfn.ANCHORARRAY(DATA_CLEANED!$AN$3),CALCULES!$A30)&gt;0,1,0)</f>
        <v>0</v>
      </c>
      <c r="D30" s="112">
        <f>IF(COUNTIFS(_xlfn.ANCHORARRAY(DATA_CLEANED!$AF$3),CALCULES!D$2,_xlfn.ANCHORARRAY(DATA_CLEANED!$AK$3),CALCULES!$A30)+COUNTIFS(_xlfn.ANCHORARRAY(DATA_CLEANED!$AF$3),CALCULES!D$2,_xlfn.ANCHORARRAY(DATA_CLEANED!$AN$3),CALCULES!$A30)&gt;0,1,0)</f>
        <v>0</v>
      </c>
      <c r="E30" s="112">
        <f>IF(COUNTIFS(_xlfn.ANCHORARRAY(DATA_CLEANED!$AF$3),CALCULES!E$2,_xlfn.ANCHORARRAY(DATA_CLEANED!$AK$3),CALCULES!$A30)+COUNTIFS(_xlfn.ANCHORARRAY(DATA_CLEANED!$AF$3),CALCULES!E$2,_xlfn.ANCHORARRAY(DATA_CLEANED!$AN$3),CALCULES!$A30)&gt;0,1,0)</f>
        <v>0</v>
      </c>
      <c r="F30" s="112">
        <f>IF(COUNTIFS(_xlfn.ANCHORARRAY(DATA_CLEANED!$AF$3),CALCULES!F$2,_xlfn.ANCHORARRAY(DATA_CLEANED!$AK$3),CALCULES!$A30)+COUNTIFS(_xlfn.ANCHORARRAY(DATA_CLEANED!$AF$3),CALCULES!F$2,_xlfn.ANCHORARRAY(DATA_CLEANED!$AN$3),CALCULES!$A30)&gt;0,1,0)</f>
        <v>0</v>
      </c>
      <c r="G30" s="112">
        <f>IF(COUNTIFS(_xlfn.ANCHORARRAY(DATA_CLEANED!$AF$3),CALCULES!G$2,_xlfn.ANCHORARRAY(DATA_CLEANED!$AK$3),CALCULES!$A30)+COUNTIFS(_xlfn.ANCHORARRAY(DATA_CLEANED!$AF$3),CALCULES!G$2,_xlfn.ANCHORARRAY(DATA_CLEANED!$AN$3),CALCULES!$A30)&gt;0,1,0)</f>
        <v>0</v>
      </c>
      <c r="H30" s="112">
        <f>IF(COUNTIFS(_xlfn.ANCHORARRAY(DATA_CLEANED!$AF$3),CALCULES!H$2,_xlfn.ANCHORARRAY(DATA_CLEANED!$AK$3),CALCULES!$A30)+COUNTIFS(_xlfn.ANCHORARRAY(DATA_CLEANED!$AF$3),CALCULES!H$2,_xlfn.ANCHORARRAY(DATA_CLEANED!$AN$3),CALCULES!$A30)&gt;0,1,0)</f>
        <v>0</v>
      </c>
      <c r="I30" s="112">
        <f>IF(COUNTIFS(_xlfn.ANCHORARRAY(DATA_CLEANED!$AF$3),CALCULES!I$2,_xlfn.ANCHORARRAY(DATA_CLEANED!$AK$3),CALCULES!$A30)+COUNTIFS(_xlfn.ANCHORARRAY(DATA_CLEANED!$AF$3),CALCULES!I$2,_xlfn.ANCHORARRAY(DATA_CLEANED!$AN$3),CALCULES!$A30)&gt;0,1,0)</f>
        <v>0</v>
      </c>
      <c r="J30" s="112">
        <f>IF(COUNTIFS(_xlfn.ANCHORARRAY(DATA_CLEANED!$AF$3),CALCULES!J$2,_xlfn.ANCHORARRAY(DATA_CLEANED!$AK$3),CALCULES!$A30)+COUNTIFS(_xlfn.ANCHORARRAY(DATA_CLEANED!$AF$3),CALCULES!J$2,_xlfn.ANCHORARRAY(DATA_CLEANED!$AN$3),CALCULES!$A30)&gt;0,1,0)</f>
        <v>0</v>
      </c>
      <c r="K30" s="112">
        <f>IF(COUNTIFS(_xlfn.ANCHORARRAY(DATA_CLEANED!$AF$3),CALCULES!K$2,_xlfn.ANCHORARRAY(DATA_CLEANED!$AK$3),CALCULES!$A30)+COUNTIFS(_xlfn.ANCHORARRAY(DATA_CLEANED!$AF$3),CALCULES!K$2,_xlfn.ANCHORARRAY(DATA_CLEANED!$AN$3),CALCULES!$A30)&gt;0,1,0)</f>
        <v>0</v>
      </c>
      <c r="L30" s="112">
        <f>IF(COUNTIFS(_xlfn.ANCHORARRAY(DATA_CLEANED!$AF$3),CALCULES!L$2,_xlfn.ANCHORARRAY(DATA_CLEANED!$AK$3),CALCULES!$A30)+COUNTIFS(_xlfn.ANCHORARRAY(DATA_CLEANED!$AF$3),CALCULES!L$2,_xlfn.ANCHORARRAY(DATA_CLEANED!$AN$3),CALCULES!$A30)&gt;0,1,0)</f>
        <v>0</v>
      </c>
      <c r="M30" s="112">
        <f>IF(COUNTIFS(_xlfn.ANCHORARRAY(DATA_CLEANED!$AF$3),CALCULES!M$2,_xlfn.ANCHORARRAY(DATA_CLEANED!$AK$3),CALCULES!$A30)+COUNTIFS(_xlfn.ANCHORARRAY(DATA_CLEANED!$AF$3),CALCULES!M$2,_xlfn.ANCHORARRAY(DATA_CLEANED!$AN$3),CALCULES!$A30)&gt;0,1,0)</f>
        <v>0</v>
      </c>
      <c r="N30" s="112">
        <f>IF(COUNTIFS(_xlfn.ANCHORARRAY(DATA_CLEANED!$AF$3),CALCULES!N$2,_xlfn.ANCHORARRAY(DATA_CLEANED!$AK$3),CALCULES!$A30)+COUNTIFS(_xlfn.ANCHORARRAY(DATA_CLEANED!$AF$3),CALCULES!N$2,_xlfn.ANCHORARRAY(DATA_CLEANED!$AN$3),CALCULES!$A30)&gt;0,1,0)</f>
        <v>0</v>
      </c>
      <c r="O30" s="112">
        <f>IF(COUNTIFS(_xlfn.ANCHORARRAY(DATA_CLEANED!$AF$3),CALCULES!O$2,_xlfn.ANCHORARRAY(DATA_CLEANED!$AK$3),CALCULES!$A30)+COUNTIFS(_xlfn.ANCHORARRAY(DATA_CLEANED!$AF$3),CALCULES!O$2,_xlfn.ANCHORARRAY(DATA_CLEANED!$AN$3),CALCULES!$A30)&gt;0,1,0)</f>
        <v>0</v>
      </c>
      <c r="P30" s="112">
        <f>IF(COUNTIFS(_xlfn.ANCHORARRAY(DATA_CLEANED!$AF$3),CALCULES!P$2,_xlfn.ANCHORARRAY(DATA_CLEANED!$AK$3),CALCULES!$A30)+COUNTIFS(_xlfn.ANCHORARRAY(DATA_CLEANED!$AF$3),CALCULES!P$2,_xlfn.ANCHORARRAY(DATA_CLEANED!$AN$3),CALCULES!$A30)&gt;0,1,0)</f>
        <v>0</v>
      </c>
      <c r="Q30" s="112">
        <f>IF(COUNTIFS(_xlfn.ANCHORARRAY(DATA_CLEANED!$AF$3),CALCULES!Q$2,_xlfn.ANCHORARRAY(DATA_CLEANED!$AK$3),CALCULES!$A30)+COUNTIFS(_xlfn.ANCHORARRAY(DATA_CLEANED!$AF$3),CALCULES!Q$2,_xlfn.ANCHORARRAY(DATA_CLEANED!$AN$3),CALCULES!$A30)&gt;0,1,0)</f>
        <v>0</v>
      </c>
      <c r="R30" s="112">
        <f>IF(COUNTIFS(_xlfn.ANCHORARRAY(DATA_CLEANED!$AF$3),CALCULES!R$2,_xlfn.ANCHORARRAY(DATA_CLEANED!$AK$3),CALCULES!$A30)+COUNTIFS(_xlfn.ANCHORARRAY(DATA_CLEANED!$AF$3),CALCULES!R$2,_xlfn.ANCHORARRAY(DATA_CLEANED!$AN$3),CALCULES!$A30)&gt;0,1,0)</f>
        <v>1</v>
      </c>
      <c r="S30" s="112">
        <f>IF(COUNTIFS(_xlfn.ANCHORARRAY(DATA_CLEANED!$AF$3),CALCULES!S$2,_xlfn.ANCHORARRAY(DATA_CLEANED!$AK$3),CALCULES!$A30)+COUNTIFS(_xlfn.ANCHORARRAY(DATA_CLEANED!$AF$3),CALCULES!S$2,_xlfn.ANCHORARRAY(DATA_CLEANED!$AN$3),CALCULES!$A30)&gt;0,1,0)</f>
        <v>1</v>
      </c>
      <c r="T30" s="112">
        <f>IF(COUNTIFS(_xlfn.ANCHORARRAY(DATA_CLEANED!$AF$3),CALCULES!T$2,_xlfn.ANCHORARRAY(DATA_CLEANED!$AK$3),CALCULES!$A30)+COUNTIFS(_xlfn.ANCHORARRAY(DATA_CLEANED!$AF$3),CALCULES!T$2,_xlfn.ANCHORARRAY(DATA_CLEANED!$AN$3),CALCULES!$A30)&gt;0,1,0)</f>
        <v>0</v>
      </c>
      <c r="U30" s="112">
        <f>IF(COUNTIFS(_xlfn.ANCHORARRAY(DATA_CLEANED!$AF$3),CALCULES!U$2,_xlfn.ANCHORARRAY(DATA_CLEANED!$AK$3),CALCULES!$A30)+COUNTIFS(_xlfn.ANCHORARRAY(DATA_CLEANED!$AF$3),CALCULES!U$2,_xlfn.ANCHORARRAY(DATA_CLEANED!$AN$3),CALCULES!$A30)&gt;0,1,0)</f>
        <v>1</v>
      </c>
      <c r="V30" s="112">
        <f>IF(COUNTIFS(_xlfn.ANCHORARRAY(DATA_CLEANED!$AF$3),CALCULES!V$2,_xlfn.ANCHORARRAY(DATA_CLEANED!$AK$3),CALCULES!$A30)+COUNTIFS(_xlfn.ANCHORARRAY(DATA_CLEANED!$AF$3),CALCULES!V$2,_xlfn.ANCHORARRAY(DATA_CLEANED!$AN$3),CALCULES!$A30)&gt;0,1,0)</f>
        <v>0</v>
      </c>
      <c r="W30" s="112">
        <f>IF(COUNTIFS(_xlfn.ANCHORARRAY(DATA_CLEANED!$AF$3),CALCULES!W$2,_xlfn.ANCHORARRAY(DATA_CLEANED!$AK$3),CALCULES!$A30)+COUNTIFS(_xlfn.ANCHORARRAY(DATA_CLEANED!$AF$3),CALCULES!W$2,_xlfn.ANCHORARRAY(DATA_CLEANED!$AN$3),CALCULES!$A30)&gt;0,1,0)</f>
        <v>1</v>
      </c>
      <c r="X30" s="112">
        <f>IF(COUNTIFS(_xlfn.ANCHORARRAY(DATA_CLEANED!$AF$3),CALCULES!X$2,_xlfn.ANCHORARRAY(DATA_CLEANED!$AK$3),CALCULES!$A30)+COUNTIFS(_xlfn.ANCHORARRAY(DATA_CLEANED!$AF$3),CALCULES!X$2,_xlfn.ANCHORARRAY(DATA_CLEANED!$AN$3),CALCULES!$A30)&gt;0,1,0)</f>
        <v>1</v>
      </c>
      <c r="Y30" s="113">
        <f t="shared" si="0"/>
        <v>5</v>
      </c>
      <c r="AA30" s="112">
        <f>COUNTIF(_xlfn.ANCHORARRAY(DATA_CLEANED!$AK$3),$A30)+COUNTIF(DATA_CLEANED!$AN$2:$AN$1060,$A30)</f>
        <v>17</v>
      </c>
      <c r="AB30" s="112">
        <f>COUNTIF(DATA_QUALITE!BG$12:BG$1069,A30)</f>
        <v>6</v>
      </c>
      <c r="AC30" s="112">
        <f t="shared" si="7"/>
        <v>11</v>
      </c>
      <c r="AD30" s="112" cm="1">
        <f t="array" ref="AD30">SUMPRODUCT((DATA_CLEANED!AL$3:AL$1060=DATA_CLEANED!AM$3:AM$1060)*(_xlfn.ANCHORARRAY(DATA_CLEANED!AK$3)=CALCULES!A30)*(DATA_CLEANED!AO$3:AO$1060&lt;&gt;"-"))
+
SUMPRODUCT((DATA_CLEANED!AL$3:AL$1060=DATA_CLEANED!AM$3:AM$1060)*(_xlfn.ANCHORARRAY(DATA_CLEANED!AN$3)=CALCULES!A30)*(DATA_CLEANED!AO$3:AO$1060&lt;&gt;"-"))</f>
        <v>0</v>
      </c>
      <c r="AE30" s="116">
        <f t="shared" si="1"/>
        <v>0.35294117647058826</v>
      </c>
      <c r="AF30" s="116">
        <f t="shared" si="2"/>
        <v>0.6470588235294118</v>
      </c>
      <c r="AG30" s="112">
        <f>SUMIF(_xlfn.ANCHORARRAY(DATA_CLEANED!AK$3),A30,DATA_CLEANED!AL$2:AL$1060)+SUMIF(_xlfn.ANCHORARRAY(DATA_CLEANED!AN$3),A30,DATA_CLEANED!AM$2:AM$1060)</f>
        <v>30</v>
      </c>
      <c r="AH30" s="112">
        <f>SUMIF(_xlfn.ANCHORARRAY(DATA_CLEANED!AK$3),A30,DATA_CLEANED!AM$2:AM$1060)+SUMIF(_xlfn.ANCHORARRAY(DATA_CLEANED!AN$3),A30,DATA_CLEANED!AL$2:AL$1060)</f>
        <v>28</v>
      </c>
      <c r="AI30" s="112">
        <f t="shared" si="8"/>
        <v>1.65</v>
      </c>
      <c r="AJ30" s="117" cm="1">
        <f t="array" ref="AJ30">_xlfn.LET(_xlpm.home,IFERROR(_xlfn._xlws.FILTER(DATA_CLEANED!AH$3:AH$1060,DATA_CLEANED!AK$3:AK$1060=CALCULES!A30),""),
_xlpm.away,IFERROR(_xlfn._xlws.FILTER(DATA_CLEANED!AH$3:AH$1060,DATA_CLEANED!AN$3:AN$1060=CALCULES!A30),""),
_xlpm.assemb_t,_xlfn._xlws.FILTER(_xlfn.VSTACK(_xlpm.home,_xlpm.away),_xlfn.VSTACK(_xlpm.home,_xlpm.away)&lt;&gt;""),
_xlpm.but_h,IFERROR(_xlfn._xlws.FILTER(_xlfn.ANCHORARRAY(DATA_CLEANED!AM$3),DATA_CLEANED!AK$3:AK$1060=CALCULES!A30),""),
_xlpm.but_a,IFERROR(_xlfn._xlws.FILTER(_xlfn.ANCHORARRAY(DATA_CLEANED!AL$3),DATA_CLEANED!AN$3:AN$1060=CALCULES!A30),""),
_xlpm.assemb_b,_xlfn._xlws.FILTER(_xlfn.VSTACK(_xlpm.but_h,_xlpm.but_a),_xlfn.VSTACK(_xlpm.but_h,_xlpm.but_a)&lt;&gt;""),
MEDIAN(_xlpm.assemb_t,_xlpm.assemb_b)
)</f>
        <v>1</v>
      </c>
      <c r="AK30" s="113">
        <f t="shared" si="3"/>
        <v>2</v>
      </c>
      <c r="AL30" s="112" cm="1">
        <f t="array" ref="AL30">IFERROR(MEDIAN(_xlfn._xlws.FILTER(_xlfn.VSTACK(
DATA_CLEANED!AL$3:AL$1060-DATA_CLEANED!AM$3:AM$1060,
DATA_CLEANED!AM$3:AM$1060-DATA_CLEANED!AL$3:AL$1060
),_xlfn.VSTACK(DATA_CLEANED!AK$3:AK$1060,DATA_CLEANED!AN$3:AN$1060)=A30)),"-")</f>
        <v>0</v>
      </c>
      <c r="AM30" s="112">
        <f t="shared" si="9"/>
        <v>1.76</v>
      </c>
      <c r="AN30" s="112" cm="1">
        <f t="array" ref="AN30">_xlfn.LET(_xlpm.home,IFERROR(_xlfn._xlws.FILTER(DATA_CLEANED!AH$3:AH$1060,DATA_CLEANED!AK$3:AK$1060=CALCULES!A30),""),
_xlpm.away,IFERROR(_xlfn._xlws.FILTER(DATA_CLEANED!AH$3:AH$1060,DATA_CLEANED!AN$3:AN$1060=CALCULES!A30),""),
_xlpm.assemb_t,_xlfn._xlws.FILTER(_xlfn.VSTACK(_xlpm.home,_xlpm.away),_xlfn.VSTACK(_xlpm.home,_xlpm.away)&lt;&gt;""),
_xlpm.but_h,IFERROR(_xlfn._xlws.FILTER(_xlfn.ANCHORARRAY(DATA_CLEANED!AL$3),DATA_CLEANED!AK$3:AK$1060=CALCULES!A30),""),
_xlpm.but_a,IFERROR(_xlfn._xlws.FILTER(_xlfn.ANCHORARRAY(DATA_CLEANED!AM$3),DATA_CLEANED!AN$3:AN$1060=CALCULES!A30),""),
_xlpm.assemb_b,_xlfn._xlws.FILTER(_xlfn.VSTACK(_xlpm.but_h,_xlpm.but_a),_xlfn.VSTACK(_xlpm.but_h,_xlpm.but_a)&lt;&gt;""),
MEDIAN(_xlpm.assemb_t,_xlpm.assemb_b)
)</f>
        <v>1</v>
      </c>
      <c r="AO30" s="116">
        <f>ROUND(IFERROR((COUNTIFS(DATA_CLEANED!AK$3:AK$1060,A30,DATA_CLEANED!AM$3:AM$1060,0)
+
COUNTIFS(DATA_CLEANED!AN$3:AN$1060,A30,DATA_CLEANED!AL$3:AL$1060,0)
)/AA30,0),2)</f>
        <v>0.35</v>
      </c>
      <c r="AP30" s="112">
        <f>MAX((_xlfn.MAXIFS(_xlfn.ANCHORARRAY(DATA_CLEANED!AL$3),_xlfn.ANCHORARRAY(DATA_CLEANED!AK$3),A30)),(_xlfn.MAXIFS(DATA_CLEANED!AM$3:AM$1060,_xlfn.ANCHORARRAY(DATA_CLEANED!AN$3),A30)))</f>
        <v>3</v>
      </c>
      <c r="AQ30" s="112">
        <f>COUNTIF(_xlfn.ANCHORARRAY(DATA_CLEANED!K$3),A30)</f>
        <v>0</v>
      </c>
      <c r="AR30" s="113" t="str" cm="1">
        <f t="array" ref="AR30">_xlfn.LET(
_xlpm.home,IFERROR(_xlfn._xlws.FILTER(DATA_CLEANED!AH$3:AH$1060,DATA_CLEANED!AK$3:AK$1060=CALCULES!A30),""),
_xlpm.away,IFERROR(_xlfn._xlws.FILTER(DATA_CLEANED!AH$3:AH$1060,DATA_CLEANED!AN$3:AN$1060=CALCULES!A30),""),
_xlpm.etapes,_xlfn._xlws.FILTER(_xlfn.VSTACK(_xlpm.home,_xlpm.away),_xlfn.VSTACK(_xlpm.home,_xlpm.away)&lt;&gt;""),
_xlpm.numeros,_xlfn.XLOOKUP(_xlpm.etapes,DATA_QUALITE!AT$12:AT$38,DATA_QUALITE!AU$12:AU$38),
_xlfn.XLOOKUP(MIN(_xlpm.numeros),DATA_QUALITE!AU$12:AU$38,DATA_QUALITE!AT$12:AT$38)
)</f>
        <v>ROUND_OF_16</v>
      </c>
      <c r="AS30" s="112">
        <f t="shared" si="4"/>
        <v>5</v>
      </c>
      <c r="AT30" s="112">
        <f t="shared" si="5"/>
        <v>6</v>
      </c>
      <c r="AU30" s="112">
        <f>COUNTIFS(DATA_QUALITE!BG$12:BG$1069,"MATCH NUL",_xlfn.ANCHORARRAY(DATA_CLEANED!AK$3),CALCULES!A30)+COUNTIFS(DATA_QUALITE!BG$12:BG$1069,"MATCH NUL",_xlfn.ANCHORARRAY(DATA_CLEANED!AN$3),CALCULES!A30)</f>
        <v>3</v>
      </c>
      <c r="AV30" s="112">
        <v>30</v>
      </c>
      <c r="AW30" s="112">
        <f>COUNTIFS(_xlfn.ANCHORARRAY(DATA_CLEANED!AH$3),"QUARTER_FINALS",_xlfn.ANCHORARRAY(DATA_CLEANED!AK$3),CALCULES!A30)+COUNTIFS(_xlfn.ANCHORARRAY(DATA_CLEANED!AH$3),"QUARTER_FINALS",_xlfn.ANCHORARRAY(DATA_CLEANED!AN$3),CALCULES!A30)</f>
        <v>0</v>
      </c>
      <c r="AX30" s="112">
        <f>COUNTIFS(_xlfn.ANCHORARRAY(DATA_CLEANED!AH$3),"SEMI_FINALS",_xlfn.ANCHORARRAY(DATA_CLEANED!AK$3),CALCULES!A30)+COUNTIFS(_xlfn.ANCHORARRAY(DATA_CLEANED!AH$3),"SEMI_FINALS",_xlfn.ANCHORARRAY(DATA_CLEANED!AN$3),CALCULES!A30)</f>
        <v>0</v>
      </c>
      <c r="AY30" s="112">
        <f>COUNTIFS(_xlfn.ANCHORARRAY(DATA_CLEANED!AH$3),"FINAL",_xlfn.ANCHORARRAY(DATA_CLEANED!AK$3),CALCULES!A30)+COUNTIFS(_xlfn.ANCHORARRAY(DATA_CLEANED!AH$3),"FINAL",_xlfn.ANCHORARRAY(DATA_CLEANED!AN$3),CALCULES!A30)</f>
        <v>0</v>
      </c>
      <c r="AZ30" s="112">
        <f>COUNTIFS(DATA_QUALITE!BG$12:BG$1069,CALCULES!A30,DATA_QUALITE!AW$12:AW$1069,"FINAL")</f>
        <v>0</v>
      </c>
      <c r="BA30" s="113">
        <f t="shared" si="6"/>
        <v>40.44</v>
      </c>
      <c r="BB30" s="118">
        <f t="shared" si="10"/>
        <v>14.14</v>
      </c>
      <c r="BC30" s="118">
        <f t="shared" si="11"/>
        <v>11.9</v>
      </c>
      <c r="BD30" s="139">
        <f t="shared" si="12"/>
        <v>13.02</v>
      </c>
      <c r="BF30" s="171"/>
      <c r="BG30" s="171"/>
      <c r="BH30" s="167"/>
      <c r="BI30" s="167"/>
      <c r="BJ30" s="167"/>
      <c r="BK30" s="167"/>
      <c r="BL30" s="173">
        <f>INT((ROWS($BL$15:BL30)-1)/9)</f>
        <v>1</v>
      </c>
      <c r="BM30" s="173">
        <f>MOD(ROWS($BM$15:BM30)-1,9)</f>
        <v>6</v>
      </c>
      <c r="BN30" s="173">
        <f t="shared" si="14"/>
        <v>2.8871023137902734E-4</v>
      </c>
      <c r="BO30" s="167"/>
      <c r="BP30" s="167"/>
    </row>
    <row r="31" spans="1:71" ht="15" customHeight="1">
      <c r="A31" s="113" t="str">
        <v>Egypt</v>
      </c>
      <c r="B31" s="112">
        <f>IF(COUNTIFS(_xlfn.ANCHORARRAY(DATA_CLEANED!$AF$3),CALCULES!B$2,_xlfn.ANCHORARRAY(DATA_CLEANED!$AK$3),CALCULES!$A31)+COUNTIFS(_xlfn.ANCHORARRAY(DATA_CLEANED!$AF$3),CALCULES!B$2,_xlfn.ANCHORARRAY(DATA_CLEANED!$AN$3),CALCULES!$A31)&gt;0,1,0)</f>
        <v>0</v>
      </c>
      <c r="C31" s="112">
        <f>IF(COUNTIFS(_xlfn.ANCHORARRAY(DATA_CLEANED!$AF$3),CALCULES!C$2,_xlfn.ANCHORARRAY(DATA_CLEANED!$AK$3),CALCULES!$A31)+COUNTIFS(_xlfn.ANCHORARRAY(DATA_CLEANED!$AF$3),CALCULES!C$2,_xlfn.ANCHORARRAY(DATA_CLEANED!$AN$3),CALCULES!$A31)&gt;0,1,0)</f>
        <v>1</v>
      </c>
      <c r="D31" s="112">
        <f>IF(COUNTIFS(_xlfn.ANCHORARRAY(DATA_CLEANED!$AF$3),CALCULES!D$2,_xlfn.ANCHORARRAY(DATA_CLEANED!$AK$3),CALCULES!$A31)+COUNTIFS(_xlfn.ANCHORARRAY(DATA_CLEANED!$AF$3),CALCULES!D$2,_xlfn.ANCHORARRAY(DATA_CLEANED!$AN$3),CALCULES!$A31)&gt;0,1,0)</f>
        <v>0</v>
      </c>
      <c r="E31" s="112">
        <f>IF(COUNTIFS(_xlfn.ANCHORARRAY(DATA_CLEANED!$AF$3),CALCULES!E$2,_xlfn.ANCHORARRAY(DATA_CLEANED!$AK$3),CALCULES!$A31)+COUNTIFS(_xlfn.ANCHORARRAY(DATA_CLEANED!$AF$3),CALCULES!E$2,_xlfn.ANCHORARRAY(DATA_CLEANED!$AN$3),CALCULES!$A31)&gt;0,1,0)</f>
        <v>0</v>
      </c>
      <c r="F31" s="112">
        <f>IF(COUNTIFS(_xlfn.ANCHORARRAY(DATA_CLEANED!$AF$3),CALCULES!F$2,_xlfn.ANCHORARRAY(DATA_CLEANED!$AK$3),CALCULES!$A31)+COUNTIFS(_xlfn.ANCHORARRAY(DATA_CLEANED!$AF$3),CALCULES!F$2,_xlfn.ANCHORARRAY(DATA_CLEANED!$AN$3),CALCULES!$A31)&gt;0,1,0)</f>
        <v>0</v>
      </c>
      <c r="G31" s="112">
        <f>IF(COUNTIFS(_xlfn.ANCHORARRAY(DATA_CLEANED!$AF$3),CALCULES!G$2,_xlfn.ANCHORARRAY(DATA_CLEANED!$AK$3),CALCULES!$A31)+COUNTIFS(_xlfn.ANCHORARRAY(DATA_CLEANED!$AF$3),CALCULES!G$2,_xlfn.ANCHORARRAY(DATA_CLEANED!$AN$3),CALCULES!$A31)&gt;0,1,0)</f>
        <v>0</v>
      </c>
      <c r="H31" s="112">
        <f>IF(COUNTIFS(_xlfn.ANCHORARRAY(DATA_CLEANED!$AF$3),CALCULES!H$2,_xlfn.ANCHORARRAY(DATA_CLEANED!$AK$3),CALCULES!$A31)+COUNTIFS(_xlfn.ANCHORARRAY(DATA_CLEANED!$AF$3),CALCULES!H$2,_xlfn.ANCHORARRAY(DATA_CLEANED!$AN$3),CALCULES!$A31)&gt;0,1,0)</f>
        <v>0</v>
      </c>
      <c r="I31" s="112">
        <f>IF(COUNTIFS(_xlfn.ANCHORARRAY(DATA_CLEANED!$AF$3),CALCULES!I$2,_xlfn.ANCHORARRAY(DATA_CLEANED!$AK$3),CALCULES!$A31)+COUNTIFS(_xlfn.ANCHORARRAY(DATA_CLEANED!$AF$3),CALCULES!I$2,_xlfn.ANCHORARRAY(DATA_CLEANED!$AN$3),CALCULES!$A31)&gt;0,1,0)</f>
        <v>0</v>
      </c>
      <c r="J31" s="112">
        <f>IF(COUNTIFS(_xlfn.ANCHORARRAY(DATA_CLEANED!$AF$3),CALCULES!J$2,_xlfn.ANCHORARRAY(DATA_CLEANED!$AK$3),CALCULES!$A31)+COUNTIFS(_xlfn.ANCHORARRAY(DATA_CLEANED!$AF$3),CALCULES!J$2,_xlfn.ANCHORARRAY(DATA_CLEANED!$AN$3),CALCULES!$A31)&gt;0,1,0)</f>
        <v>0</v>
      </c>
      <c r="K31" s="112">
        <f>IF(COUNTIFS(_xlfn.ANCHORARRAY(DATA_CLEANED!$AF$3),CALCULES!K$2,_xlfn.ANCHORARRAY(DATA_CLEANED!$AK$3),CALCULES!$A31)+COUNTIFS(_xlfn.ANCHORARRAY(DATA_CLEANED!$AF$3),CALCULES!K$2,_xlfn.ANCHORARRAY(DATA_CLEANED!$AN$3),CALCULES!$A31)&gt;0,1,0)</f>
        <v>0</v>
      </c>
      <c r="L31" s="112">
        <f>IF(COUNTIFS(_xlfn.ANCHORARRAY(DATA_CLEANED!$AF$3),CALCULES!L$2,_xlfn.ANCHORARRAY(DATA_CLEANED!$AK$3),CALCULES!$A31)+COUNTIFS(_xlfn.ANCHORARRAY(DATA_CLEANED!$AF$3),CALCULES!L$2,_xlfn.ANCHORARRAY(DATA_CLEANED!$AN$3),CALCULES!$A31)&gt;0,1,0)</f>
        <v>0</v>
      </c>
      <c r="M31" s="112">
        <f>IF(COUNTIFS(_xlfn.ANCHORARRAY(DATA_CLEANED!$AF$3),CALCULES!M$2,_xlfn.ANCHORARRAY(DATA_CLEANED!$AK$3),CALCULES!$A31)+COUNTIFS(_xlfn.ANCHORARRAY(DATA_CLEANED!$AF$3),CALCULES!M$2,_xlfn.ANCHORARRAY(DATA_CLEANED!$AN$3),CALCULES!$A31)&gt;0,1,0)</f>
        <v>0</v>
      </c>
      <c r="N31" s="112">
        <f>IF(COUNTIFS(_xlfn.ANCHORARRAY(DATA_CLEANED!$AF$3),CALCULES!N$2,_xlfn.ANCHORARRAY(DATA_CLEANED!$AK$3),CALCULES!$A31)+COUNTIFS(_xlfn.ANCHORARRAY(DATA_CLEANED!$AF$3),CALCULES!N$2,_xlfn.ANCHORARRAY(DATA_CLEANED!$AN$3),CALCULES!$A31)&gt;0,1,0)</f>
        <v>0</v>
      </c>
      <c r="O31" s="112">
        <f>IF(COUNTIFS(_xlfn.ANCHORARRAY(DATA_CLEANED!$AF$3),CALCULES!O$2,_xlfn.ANCHORARRAY(DATA_CLEANED!$AK$3),CALCULES!$A31)+COUNTIFS(_xlfn.ANCHORARRAY(DATA_CLEANED!$AF$3),CALCULES!O$2,_xlfn.ANCHORARRAY(DATA_CLEANED!$AN$3),CALCULES!$A31)&gt;0,1,0)</f>
        <v>1</v>
      </c>
      <c r="P31" s="112">
        <f>IF(COUNTIFS(_xlfn.ANCHORARRAY(DATA_CLEANED!$AF$3),CALCULES!P$2,_xlfn.ANCHORARRAY(DATA_CLEANED!$AK$3),CALCULES!$A31)+COUNTIFS(_xlfn.ANCHORARRAY(DATA_CLEANED!$AF$3),CALCULES!P$2,_xlfn.ANCHORARRAY(DATA_CLEANED!$AN$3),CALCULES!$A31)&gt;0,1,0)</f>
        <v>0</v>
      </c>
      <c r="Q31" s="112">
        <f>IF(COUNTIFS(_xlfn.ANCHORARRAY(DATA_CLEANED!$AF$3),CALCULES!Q$2,_xlfn.ANCHORARRAY(DATA_CLEANED!$AK$3),CALCULES!$A31)+COUNTIFS(_xlfn.ANCHORARRAY(DATA_CLEANED!$AF$3),CALCULES!Q$2,_xlfn.ANCHORARRAY(DATA_CLEANED!$AN$3),CALCULES!$A31)&gt;0,1,0)</f>
        <v>0</v>
      </c>
      <c r="R31" s="112">
        <f>IF(COUNTIFS(_xlfn.ANCHORARRAY(DATA_CLEANED!$AF$3),CALCULES!R$2,_xlfn.ANCHORARRAY(DATA_CLEANED!$AK$3),CALCULES!$A31)+COUNTIFS(_xlfn.ANCHORARRAY(DATA_CLEANED!$AF$3),CALCULES!R$2,_xlfn.ANCHORARRAY(DATA_CLEANED!$AN$3),CALCULES!$A31)&gt;0,1,0)</f>
        <v>0</v>
      </c>
      <c r="S31" s="112">
        <f>IF(COUNTIFS(_xlfn.ANCHORARRAY(DATA_CLEANED!$AF$3),CALCULES!S$2,_xlfn.ANCHORARRAY(DATA_CLEANED!$AK$3),CALCULES!$A31)+COUNTIFS(_xlfn.ANCHORARRAY(DATA_CLEANED!$AF$3),CALCULES!S$2,_xlfn.ANCHORARRAY(DATA_CLEANED!$AN$3),CALCULES!$A31)&gt;0,1,0)</f>
        <v>0</v>
      </c>
      <c r="T31" s="112">
        <f>IF(COUNTIFS(_xlfn.ANCHORARRAY(DATA_CLEANED!$AF$3),CALCULES!T$2,_xlfn.ANCHORARRAY(DATA_CLEANED!$AK$3),CALCULES!$A31)+COUNTIFS(_xlfn.ANCHORARRAY(DATA_CLEANED!$AF$3),CALCULES!T$2,_xlfn.ANCHORARRAY(DATA_CLEANED!$AN$3),CALCULES!$A31)&gt;0,1,0)</f>
        <v>0</v>
      </c>
      <c r="U31" s="112">
        <f>IF(COUNTIFS(_xlfn.ANCHORARRAY(DATA_CLEANED!$AF$3),CALCULES!U$2,_xlfn.ANCHORARRAY(DATA_CLEANED!$AK$3),CALCULES!$A31)+COUNTIFS(_xlfn.ANCHORARRAY(DATA_CLEANED!$AF$3),CALCULES!U$2,_xlfn.ANCHORARRAY(DATA_CLEANED!$AN$3),CALCULES!$A31)&gt;0,1,0)</f>
        <v>0</v>
      </c>
      <c r="V31" s="112">
        <f>IF(COUNTIFS(_xlfn.ANCHORARRAY(DATA_CLEANED!$AF$3),CALCULES!V$2,_xlfn.ANCHORARRAY(DATA_CLEANED!$AK$3),CALCULES!$A31)+COUNTIFS(_xlfn.ANCHORARRAY(DATA_CLEANED!$AF$3),CALCULES!V$2,_xlfn.ANCHORARRAY(DATA_CLEANED!$AN$3),CALCULES!$A31)&gt;0,1,0)</f>
        <v>1</v>
      </c>
      <c r="W31" s="112">
        <f>IF(COUNTIFS(_xlfn.ANCHORARRAY(DATA_CLEANED!$AF$3),CALCULES!W$2,_xlfn.ANCHORARRAY(DATA_CLEANED!$AK$3),CALCULES!$A31)+COUNTIFS(_xlfn.ANCHORARRAY(DATA_CLEANED!$AF$3),CALCULES!W$2,_xlfn.ANCHORARRAY(DATA_CLEANED!$AN$3),CALCULES!$A31)&gt;0,1,0)</f>
        <v>0</v>
      </c>
      <c r="X31" s="112">
        <f>IF(COUNTIFS(_xlfn.ANCHORARRAY(DATA_CLEANED!$AF$3),CALCULES!X$2,_xlfn.ANCHORARRAY(DATA_CLEANED!$AK$3),CALCULES!$A31)+COUNTIFS(_xlfn.ANCHORARRAY(DATA_CLEANED!$AF$3),CALCULES!X$2,_xlfn.ANCHORARRAY(DATA_CLEANED!$AN$3),CALCULES!$A31)&gt;0,1,0)</f>
        <v>1</v>
      </c>
      <c r="Y31" s="113">
        <f t="shared" si="0"/>
        <v>4</v>
      </c>
      <c r="AA31" s="112">
        <f>COUNTIF(_xlfn.ANCHORARRAY(DATA_CLEANED!$AK$3),$A31)+COUNTIF(DATA_CLEANED!$AN$2:$AN$1060,$A31)</f>
        <v>12</v>
      </c>
      <c r="AB31" s="112">
        <f>COUNTIF(DATA_QUALITE!BG$12:BG$1069,A31)</f>
        <v>2</v>
      </c>
      <c r="AC31" s="112">
        <f t="shared" si="7"/>
        <v>9</v>
      </c>
      <c r="AD31" s="112" cm="1">
        <f t="array" ref="AD31">SUMPRODUCT((DATA_CLEANED!AL$3:AL$1060=DATA_CLEANED!AM$3:AM$1060)*(_xlfn.ANCHORARRAY(DATA_CLEANED!AK$3)=CALCULES!A31)*(DATA_CLEANED!AO$3:AO$1060&lt;&gt;"-"))
+
SUMPRODUCT((DATA_CLEANED!AL$3:AL$1060=DATA_CLEANED!AM$3:AM$1060)*(_xlfn.ANCHORARRAY(DATA_CLEANED!AN$3)=CALCULES!A31)*(DATA_CLEANED!AO$3:AO$1060&lt;&gt;"-"))</f>
        <v>1</v>
      </c>
      <c r="AE31" s="116">
        <f t="shared" si="1"/>
        <v>0.16666666666666666</v>
      </c>
      <c r="AF31" s="116">
        <f t="shared" si="2"/>
        <v>0.75</v>
      </c>
      <c r="AG31" s="112">
        <f>SUMIF(_xlfn.ANCHORARRAY(DATA_CLEANED!AK$3),A31,DATA_CLEANED!AL$2:AL$1060)+SUMIF(_xlfn.ANCHORARRAY(DATA_CLEANED!AN$3),A31,DATA_CLEANED!AM$2:AM$1060)</f>
        <v>20</v>
      </c>
      <c r="AH31" s="112">
        <f>SUMIF(_xlfn.ANCHORARRAY(DATA_CLEANED!AK$3),A31,DATA_CLEANED!AM$2:AM$1060)+SUMIF(_xlfn.ANCHORARRAY(DATA_CLEANED!AN$3),A31,DATA_CLEANED!AL$2:AL$1060)</f>
        <v>17</v>
      </c>
      <c r="AI31" s="112">
        <f t="shared" si="8"/>
        <v>1.42</v>
      </c>
      <c r="AJ31" s="117" cm="1">
        <f t="array" ref="AJ31">_xlfn.LET(_xlpm.home,IFERROR(_xlfn._xlws.FILTER(DATA_CLEANED!AH$3:AH$1060,DATA_CLEANED!AK$3:AK$1060=CALCULES!A31),""),
_xlpm.away,IFERROR(_xlfn._xlws.FILTER(DATA_CLEANED!AH$3:AH$1060,DATA_CLEANED!AN$3:AN$1060=CALCULES!A31),""),
_xlpm.assemb_t,_xlfn._xlws.FILTER(_xlfn.VSTACK(_xlpm.home,_xlpm.away),_xlfn.VSTACK(_xlpm.home,_xlpm.away)&lt;&gt;""),
_xlpm.but_h,IFERROR(_xlfn._xlws.FILTER(_xlfn.ANCHORARRAY(DATA_CLEANED!AM$3),DATA_CLEANED!AK$3:AK$1060=CALCULES!A31),""),
_xlpm.but_a,IFERROR(_xlfn._xlws.FILTER(_xlfn.ANCHORARRAY(DATA_CLEANED!AL$3),DATA_CLEANED!AN$3:AN$1060=CALCULES!A31),""),
_xlpm.assemb_b,_xlfn._xlws.FILTER(_xlfn.VSTACK(_xlpm.but_h,_xlpm.but_a),_xlfn.VSTACK(_xlpm.but_h,_xlpm.but_a)&lt;&gt;""),
MEDIAN(_xlpm.assemb_t,_xlpm.assemb_b)
)</f>
        <v>1</v>
      </c>
      <c r="AK31" s="113">
        <f t="shared" si="3"/>
        <v>3</v>
      </c>
      <c r="AL31" s="112" cm="1">
        <f t="array" ref="AL31">IFERROR(MEDIAN(_xlfn._xlws.FILTER(_xlfn.VSTACK(
DATA_CLEANED!AL$3:AL$1060-DATA_CLEANED!AM$3:AM$1060,
DATA_CLEANED!AM$3:AM$1060-DATA_CLEANED!AL$3:AL$1060
),_xlfn.VSTACK(DATA_CLEANED!AK$3:AK$1060,DATA_CLEANED!AN$3:AN$1060)=A31)),"-")</f>
        <v>-0.5</v>
      </c>
      <c r="AM31" s="112">
        <f t="shared" si="9"/>
        <v>1.67</v>
      </c>
      <c r="AN31" s="112" cm="1">
        <f t="array" ref="AN31">_xlfn.LET(_xlpm.home,IFERROR(_xlfn._xlws.FILTER(DATA_CLEANED!AH$3:AH$1060,DATA_CLEANED!AK$3:AK$1060=CALCULES!A31),""),
_xlpm.away,IFERROR(_xlfn._xlws.FILTER(DATA_CLEANED!AH$3:AH$1060,DATA_CLEANED!AN$3:AN$1060=CALCULES!A31),""),
_xlpm.assemb_t,_xlfn._xlws.FILTER(_xlfn.VSTACK(_xlpm.home,_xlpm.away),_xlfn.VSTACK(_xlpm.home,_xlpm.away)&lt;&gt;""),
_xlpm.but_h,IFERROR(_xlfn._xlws.FILTER(_xlfn.ANCHORARRAY(DATA_CLEANED!AL$3),DATA_CLEANED!AK$3:AK$1060=CALCULES!A31),""),
_xlpm.but_a,IFERROR(_xlfn._xlws.FILTER(_xlfn.ANCHORARRAY(DATA_CLEANED!AM$3),DATA_CLEANED!AN$3:AN$1060=CALCULES!A31),""),
_xlpm.assemb_b,_xlfn._xlws.FILTER(_xlfn.VSTACK(_xlpm.but_h,_xlpm.but_a),_xlfn.VSTACK(_xlpm.but_h,_xlpm.but_a)&lt;&gt;""),
MEDIAN(_xlpm.assemb_t,_xlpm.assemb_b)
)</f>
        <v>1</v>
      </c>
      <c r="AO31" s="116">
        <f>ROUND(IFERROR((COUNTIFS(DATA_CLEANED!AK$3:AK$1060,A31,DATA_CLEANED!AM$3:AM$1060,0)
+
COUNTIFS(DATA_CLEANED!AN$3:AN$1060,A31,DATA_CLEANED!AL$3:AL$1060,0)
)/AA31,0),2)</f>
        <v>0.08</v>
      </c>
      <c r="AP31" s="112">
        <f>MAX((_xlfn.MAXIFS(_xlfn.ANCHORARRAY(DATA_CLEANED!AL$3),_xlfn.ANCHORARRAY(DATA_CLEANED!AK$3),A31)),(_xlfn.MAXIFS(DATA_CLEANED!AM$3:AM$1060,_xlfn.ANCHORARRAY(DATA_CLEANED!AN$3),A31)))</f>
        <v>3</v>
      </c>
      <c r="AQ31" s="112">
        <f>COUNTIF(_xlfn.ANCHORARRAY(DATA_CLEANED!K$3),A31)</f>
        <v>4</v>
      </c>
      <c r="AR31" s="113" t="str" cm="1">
        <f t="array" ref="AR31">_xlfn.LET(
_xlpm.home,IFERROR(_xlfn._xlws.FILTER(DATA_CLEANED!AH$3:AH$1060,DATA_CLEANED!AK$3:AK$1060=CALCULES!A31),""),
_xlpm.away,IFERROR(_xlfn._xlws.FILTER(DATA_CLEANED!AH$3:AH$1060,DATA_CLEANED!AN$3:AN$1060=CALCULES!A31),""),
_xlpm.etapes,_xlfn._xlws.FILTER(_xlfn.VSTACK(_xlpm.home,_xlpm.away),_xlfn.VSTACK(_xlpm.home,_xlpm.away)&lt;&gt;""),
_xlpm.numeros,_xlfn.XLOOKUP(_xlpm.etapes,DATA_QUALITE!AT$12:AT$38,DATA_QUALITE!AU$12:AU$38),
_xlfn.XLOOKUP(MIN(_xlpm.numeros),DATA_QUALITE!AU$12:AU$38,DATA_QUALITE!AT$12:AT$38)
)</f>
        <v>ROUND_OF_16</v>
      </c>
      <c r="AS31" s="112">
        <f t="shared" si="4"/>
        <v>4</v>
      </c>
      <c r="AT31" s="112">
        <f t="shared" si="5"/>
        <v>2</v>
      </c>
      <c r="AU31" s="112">
        <f>COUNTIFS(DATA_QUALITE!BG$12:BG$1069,"MATCH NUL",_xlfn.ANCHORARRAY(DATA_CLEANED!AK$3),CALCULES!A31)+COUNTIFS(DATA_QUALITE!BG$12:BG$1069,"MATCH NUL",_xlfn.ANCHORARRAY(DATA_CLEANED!AN$3),CALCULES!A31)</f>
        <v>4</v>
      </c>
      <c r="AV31" s="112">
        <v>20</v>
      </c>
      <c r="AW31" s="112">
        <f>COUNTIFS(_xlfn.ANCHORARRAY(DATA_CLEANED!AH$3),"QUARTER_FINALS",_xlfn.ANCHORARRAY(DATA_CLEANED!AK$3),CALCULES!A31)+COUNTIFS(_xlfn.ANCHORARRAY(DATA_CLEANED!AH$3),"QUARTER_FINALS",_xlfn.ANCHORARRAY(DATA_CLEANED!AN$3),CALCULES!A31)</f>
        <v>0</v>
      </c>
      <c r="AX31" s="112">
        <f>COUNTIFS(_xlfn.ANCHORARRAY(DATA_CLEANED!AH$3),"SEMI_FINALS",_xlfn.ANCHORARRAY(DATA_CLEANED!AK$3),CALCULES!A31)+COUNTIFS(_xlfn.ANCHORARRAY(DATA_CLEANED!AH$3),"SEMI_FINALS",_xlfn.ANCHORARRAY(DATA_CLEANED!AN$3),CALCULES!A31)</f>
        <v>0</v>
      </c>
      <c r="AY31" s="112">
        <f>COUNTIFS(_xlfn.ANCHORARRAY(DATA_CLEANED!AH$3),"FINAL",_xlfn.ANCHORARRAY(DATA_CLEANED!AK$3),CALCULES!A31)+COUNTIFS(_xlfn.ANCHORARRAY(DATA_CLEANED!AH$3),"FINAL",_xlfn.ANCHORARRAY(DATA_CLEANED!AN$3),CALCULES!A31)</f>
        <v>0</v>
      </c>
      <c r="AZ31" s="112">
        <f>COUNTIFS(DATA_QUALITE!BG$12:BG$1069,CALCULES!A31,DATA_QUALITE!AW$12:AW$1069,"FINAL")</f>
        <v>0</v>
      </c>
      <c r="BA31" s="113">
        <f t="shared" si="6"/>
        <v>33.17</v>
      </c>
      <c r="BB31" s="118">
        <f t="shared" si="10"/>
        <v>7.3</v>
      </c>
      <c r="BC31" s="118">
        <f t="shared" si="11"/>
        <v>6.75</v>
      </c>
      <c r="BD31" s="139">
        <f t="shared" si="12"/>
        <v>7.03</v>
      </c>
      <c r="BF31" s="178" t="s">
        <v>3931</v>
      </c>
      <c r="BG31" s="178">
        <f>MAX(0.7,MIN(1.3,1+0.6*(DASHBOARD!C117-DASHBOARD!D117)/100))</f>
        <v>1.1233599999999999</v>
      </c>
      <c r="BH31" s="167"/>
      <c r="BI31" s="167"/>
      <c r="BJ31" s="167"/>
      <c r="BK31" s="167"/>
      <c r="BL31" s="173">
        <f>INT((ROWS($BL$15:BL31)-1)/9)</f>
        <v>1</v>
      </c>
      <c r="BM31" s="173">
        <f>MOD(ROWS($BM$15:BM31)-1,9)</f>
        <v>7</v>
      </c>
      <c r="BN31" s="173">
        <f t="shared" si="14"/>
        <v>4.6190968399559127E-5</v>
      </c>
      <c r="BO31" s="167"/>
      <c r="BP31" s="167"/>
    </row>
    <row r="32" spans="1:71">
      <c r="A32" s="113" t="str">
        <v>El Salvador</v>
      </c>
      <c r="B32" s="112">
        <f>IF(COUNTIFS(_xlfn.ANCHORARRAY(DATA_CLEANED!$AF$3),CALCULES!B$2,_xlfn.ANCHORARRAY(DATA_CLEANED!$AK$3),CALCULES!$A32)+COUNTIFS(_xlfn.ANCHORARRAY(DATA_CLEANED!$AF$3),CALCULES!B$2,_xlfn.ANCHORARRAY(DATA_CLEANED!$AN$3),CALCULES!$A32)&gt;0,1,0)</f>
        <v>0</v>
      </c>
      <c r="C32" s="112">
        <f>IF(COUNTIFS(_xlfn.ANCHORARRAY(DATA_CLEANED!$AF$3),CALCULES!C$2,_xlfn.ANCHORARRAY(DATA_CLEANED!$AK$3),CALCULES!$A32)+COUNTIFS(_xlfn.ANCHORARRAY(DATA_CLEANED!$AF$3),CALCULES!C$2,_xlfn.ANCHORARRAY(DATA_CLEANED!$AN$3),CALCULES!$A32)&gt;0,1,0)</f>
        <v>0</v>
      </c>
      <c r="D32" s="112">
        <f>IF(COUNTIFS(_xlfn.ANCHORARRAY(DATA_CLEANED!$AF$3),CALCULES!D$2,_xlfn.ANCHORARRAY(DATA_CLEANED!$AK$3),CALCULES!$A32)+COUNTIFS(_xlfn.ANCHORARRAY(DATA_CLEANED!$AF$3),CALCULES!D$2,_xlfn.ANCHORARRAY(DATA_CLEANED!$AN$3),CALCULES!$A32)&gt;0,1,0)</f>
        <v>0</v>
      </c>
      <c r="E32" s="112">
        <f>IF(COUNTIFS(_xlfn.ANCHORARRAY(DATA_CLEANED!$AF$3),CALCULES!E$2,_xlfn.ANCHORARRAY(DATA_CLEANED!$AK$3),CALCULES!$A32)+COUNTIFS(_xlfn.ANCHORARRAY(DATA_CLEANED!$AF$3),CALCULES!E$2,_xlfn.ANCHORARRAY(DATA_CLEANED!$AN$3),CALCULES!$A32)&gt;0,1,0)</f>
        <v>0</v>
      </c>
      <c r="F32" s="112">
        <f>IF(COUNTIFS(_xlfn.ANCHORARRAY(DATA_CLEANED!$AF$3),CALCULES!F$2,_xlfn.ANCHORARRAY(DATA_CLEANED!$AK$3),CALCULES!$A32)+COUNTIFS(_xlfn.ANCHORARRAY(DATA_CLEANED!$AF$3),CALCULES!F$2,_xlfn.ANCHORARRAY(DATA_CLEANED!$AN$3),CALCULES!$A32)&gt;0,1,0)</f>
        <v>0</v>
      </c>
      <c r="G32" s="112">
        <f>IF(COUNTIFS(_xlfn.ANCHORARRAY(DATA_CLEANED!$AF$3),CALCULES!G$2,_xlfn.ANCHORARRAY(DATA_CLEANED!$AK$3),CALCULES!$A32)+COUNTIFS(_xlfn.ANCHORARRAY(DATA_CLEANED!$AF$3),CALCULES!G$2,_xlfn.ANCHORARRAY(DATA_CLEANED!$AN$3),CALCULES!$A32)&gt;0,1,0)</f>
        <v>0</v>
      </c>
      <c r="H32" s="112">
        <f>IF(COUNTIFS(_xlfn.ANCHORARRAY(DATA_CLEANED!$AF$3),CALCULES!H$2,_xlfn.ANCHORARRAY(DATA_CLEANED!$AK$3),CALCULES!$A32)+COUNTIFS(_xlfn.ANCHORARRAY(DATA_CLEANED!$AF$3),CALCULES!H$2,_xlfn.ANCHORARRAY(DATA_CLEANED!$AN$3),CALCULES!$A32)&gt;0,1,0)</f>
        <v>0</v>
      </c>
      <c r="I32" s="112">
        <f>IF(COUNTIFS(_xlfn.ANCHORARRAY(DATA_CLEANED!$AF$3),CALCULES!I$2,_xlfn.ANCHORARRAY(DATA_CLEANED!$AK$3),CALCULES!$A32)+COUNTIFS(_xlfn.ANCHORARRAY(DATA_CLEANED!$AF$3),CALCULES!I$2,_xlfn.ANCHORARRAY(DATA_CLEANED!$AN$3),CALCULES!$A32)&gt;0,1,0)</f>
        <v>0</v>
      </c>
      <c r="J32" s="112">
        <f>IF(COUNTIFS(_xlfn.ANCHORARRAY(DATA_CLEANED!$AF$3),CALCULES!J$2,_xlfn.ANCHORARRAY(DATA_CLEANED!$AK$3),CALCULES!$A32)+COUNTIFS(_xlfn.ANCHORARRAY(DATA_CLEANED!$AF$3),CALCULES!J$2,_xlfn.ANCHORARRAY(DATA_CLEANED!$AN$3),CALCULES!$A32)&gt;0,1,0)</f>
        <v>1</v>
      </c>
      <c r="K32" s="112">
        <f>IF(COUNTIFS(_xlfn.ANCHORARRAY(DATA_CLEANED!$AF$3),CALCULES!K$2,_xlfn.ANCHORARRAY(DATA_CLEANED!$AK$3),CALCULES!$A32)+COUNTIFS(_xlfn.ANCHORARRAY(DATA_CLEANED!$AF$3),CALCULES!K$2,_xlfn.ANCHORARRAY(DATA_CLEANED!$AN$3),CALCULES!$A32)&gt;0,1,0)</f>
        <v>0</v>
      </c>
      <c r="L32" s="112">
        <f>IF(COUNTIFS(_xlfn.ANCHORARRAY(DATA_CLEANED!$AF$3),CALCULES!L$2,_xlfn.ANCHORARRAY(DATA_CLEANED!$AK$3),CALCULES!$A32)+COUNTIFS(_xlfn.ANCHORARRAY(DATA_CLEANED!$AF$3),CALCULES!L$2,_xlfn.ANCHORARRAY(DATA_CLEANED!$AN$3),CALCULES!$A32)&gt;0,1,0)</f>
        <v>0</v>
      </c>
      <c r="M32" s="112">
        <f>IF(COUNTIFS(_xlfn.ANCHORARRAY(DATA_CLEANED!$AF$3),CALCULES!M$2,_xlfn.ANCHORARRAY(DATA_CLEANED!$AK$3),CALCULES!$A32)+COUNTIFS(_xlfn.ANCHORARRAY(DATA_CLEANED!$AF$3),CALCULES!M$2,_xlfn.ANCHORARRAY(DATA_CLEANED!$AN$3),CALCULES!$A32)&gt;0,1,0)</f>
        <v>1</v>
      </c>
      <c r="N32" s="112">
        <f>IF(COUNTIFS(_xlfn.ANCHORARRAY(DATA_CLEANED!$AF$3),CALCULES!N$2,_xlfn.ANCHORARRAY(DATA_CLEANED!$AK$3),CALCULES!$A32)+COUNTIFS(_xlfn.ANCHORARRAY(DATA_CLEANED!$AF$3),CALCULES!N$2,_xlfn.ANCHORARRAY(DATA_CLEANED!$AN$3),CALCULES!$A32)&gt;0,1,0)</f>
        <v>0</v>
      </c>
      <c r="O32" s="112">
        <f>IF(COUNTIFS(_xlfn.ANCHORARRAY(DATA_CLEANED!$AF$3),CALCULES!O$2,_xlfn.ANCHORARRAY(DATA_CLEANED!$AK$3),CALCULES!$A32)+COUNTIFS(_xlfn.ANCHORARRAY(DATA_CLEANED!$AF$3),CALCULES!O$2,_xlfn.ANCHORARRAY(DATA_CLEANED!$AN$3),CALCULES!$A32)&gt;0,1,0)</f>
        <v>0</v>
      </c>
      <c r="P32" s="112">
        <f>IF(COUNTIFS(_xlfn.ANCHORARRAY(DATA_CLEANED!$AF$3),CALCULES!P$2,_xlfn.ANCHORARRAY(DATA_CLEANED!$AK$3),CALCULES!$A32)+COUNTIFS(_xlfn.ANCHORARRAY(DATA_CLEANED!$AF$3),CALCULES!P$2,_xlfn.ANCHORARRAY(DATA_CLEANED!$AN$3),CALCULES!$A32)&gt;0,1,0)</f>
        <v>0</v>
      </c>
      <c r="Q32" s="112">
        <f>IF(COUNTIFS(_xlfn.ANCHORARRAY(DATA_CLEANED!$AF$3),CALCULES!Q$2,_xlfn.ANCHORARRAY(DATA_CLEANED!$AK$3),CALCULES!$A32)+COUNTIFS(_xlfn.ANCHORARRAY(DATA_CLEANED!$AF$3),CALCULES!Q$2,_xlfn.ANCHORARRAY(DATA_CLEANED!$AN$3),CALCULES!$A32)&gt;0,1,0)</f>
        <v>0</v>
      </c>
      <c r="R32" s="112">
        <f>IF(COUNTIFS(_xlfn.ANCHORARRAY(DATA_CLEANED!$AF$3),CALCULES!R$2,_xlfn.ANCHORARRAY(DATA_CLEANED!$AK$3),CALCULES!$A32)+COUNTIFS(_xlfn.ANCHORARRAY(DATA_CLEANED!$AF$3),CALCULES!R$2,_xlfn.ANCHORARRAY(DATA_CLEANED!$AN$3),CALCULES!$A32)&gt;0,1,0)</f>
        <v>0</v>
      </c>
      <c r="S32" s="112">
        <f>IF(COUNTIFS(_xlfn.ANCHORARRAY(DATA_CLEANED!$AF$3),CALCULES!S$2,_xlfn.ANCHORARRAY(DATA_CLEANED!$AK$3),CALCULES!$A32)+COUNTIFS(_xlfn.ANCHORARRAY(DATA_CLEANED!$AF$3),CALCULES!S$2,_xlfn.ANCHORARRAY(DATA_CLEANED!$AN$3),CALCULES!$A32)&gt;0,1,0)</f>
        <v>0</v>
      </c>
      <c r="T32" s="112">
        <f>IF(COUNTIFS(_xlfn.ANCHORARRAY(DATA_CLEANED!$AF$3),CALCULES!T$2,_xlfn.ANCHORARRAY(DATA_CLEANED!$AK$3),CALCULES!$A32)+COUNTIFS(_xlfn.ANCHORARRAY(DATA_CLEANED!$AF$3),CALCULES!T$2,_xlfn.ANCHORARRAY(DATA_CLEANED!$AN$3),CALCULES!$A32)&gt;0,1,0)</f>
        <v>0</v>
      </c>
      <c r="U32" s="112">
        <f>IF(COUNTIFS(_xlfn.ANCHORARRAY(DATA_CLEANED!$AF$3),CALCULES!U$2,_xlfn.ANCHORARRAY(DATA_CLEANED!$AK$3),CALCULES!$A32)+COUNTIFS(_xlfn.ANCHORARRAY(DATA_CLEANED!$AF$3),CALCULES!U$2,_xlfn.ANCHORARRAY(DATA_CLEANED!$AN$3),CALCULES!$A32)&gt;0,1,0)</f>
        <v>0</v>
      </c>
      <c r="V32" s="112">
        <f>IF(COUNTIFS(_xlfn.ANCHORARRAY(DATA_CLEANED!$AF$3),CALCULES!V$2,_xlfn.ANCHORARRAY(DATA_CLEANED!$AK$3),CALCULES!$A32)+COUNTIFS(_xlfn.ANCHORARRAY(DATA_CLEANED!$AF$3),CALCULES!V$2,_xlfn.ANCHORARRAY(DATA_CLEANED!$AN$3),CALCULES!$A32)&gt;0,1,0)</f>
        <v>0</v>
      </c>
      <c r="W32" s="112">
        <f>IF(COUNTIFS(_xlfn.ANCHORARRAY(DATA_CLEANED!$AF$3),CALCULES!W$2,_xlfn.ANCHORARRAY(DATA_CLEANED!$AK$3),CALCULES!$A32)+COUNTIFS(_xlfn.ANCHORARRAY(DATA_CLEANED!$AF$3),CALCULES!W$2,_xlfn.ANCHORARRAY(DATA_CLEANED!$AN$3),CALCULES!$A32)&gt;0,1,0)</f>
        <v>0</v>
      </c>
      <c r="X32" s="112">
        <f>IF(COUNTIFS(_xlfn.ANCHORARRAY(DATA_CLEANED!$AF$3),CALCULES!X$2,_xlfn.ANCHORARRAY(DATA_CLEANED!$AK$3),CALCULES!$A32)+COUNTIFS(_xlfn.ANCHORARRAY(DATA_CLEANED!$AF$3),CALCULES!X$2,_xlfn.ANCHORARRAY(DATA_CLEANED!$AN$3),CALCULES!$A32)&gt;0,1,0)</f>
        <v>0</v>
      </c>
      <c r="Y32" s="113">
        <f t="shared" si="0"/>
        <v>2</v>
      </c>
      <c r="AA32" s="112">
        <f>COUNTIF(_xlfn.ANCHORARRAY(DATA_CLEANED!$AK$3),$A32)+COUNTIF(DATA_CLEANED!$AN$2:$AN$1060,$A32)</f>
        <v>6</v>
      </c>
      <c r="AB32" s="112">
        <f>COUNTIF(DATA_QUALITE!BG$12:BG$1069,A32)</f>
        <v>0</v>
      </c>
      <c r="AC32" s="112">
        <f t="shared" si="7"/>
        <v>6</v>
      </c>
      <c r="AD32" s="112" cm="1">
        <f t="array" ref="AD32">SUMPRODUCT((DATA_CLEANED!AL$3:AL$1060=DATA_CLEANED!AM$3:AM$1060)*(_xlfn.ANCHORARRAY(DATA_CLEANED!AK$3)=CALCULES!A32)*(DATA_CLEANED!AO$3:AO$1060&lt;&gt;"-"))
+
SUMPRODUCT((DATA_CLEANED!AL$3:AL$1060=DATA_CLEANED!AM$3:AM$1060)*(_xlfn.ANCHORARRAY(DATA_CLEANED!AN$3)=CALCULES!A32)*(DATA_CLEANED!AO$3:AO$1060&lt;&gt;"-"))</f>
        <v>0</v>
      </c>
      <c r="AE32" s="116">
        <f t="shared" si="1"/>
        <v>0</v>
      </c>
      <c r="AF32" s="116">
        <f t="shared" si="2"/>
        <v>1</v>
      </c>
      <c r="AG32" s="112">
        <f>SUMIF(_xlfn.ANCHORARRAY(DATA_CLEANED!AK$3),A32,DATA_CLEANED!AL$2:AL$1060)+SUMIF(_xlfn.ANCHORARRAY(DATA_CLEANED!AN$3),A32,DATA_CLEANED!AM$2:AM$1060)</f>
        <v>4</v>
      </c>
      <c r="AH32" s="112">
        <f>SUMIF(_xlfn.ANCHORARRAY(DATA_CLEANED!AK$3),A32,DATA_CLEANED!AM$2:AM$1060)+SUMIF(_xlfn.ANCHORARRAY(DATA_CLEANED!AN$3),A32,DATA_CLEANED!AL$2:AL$1060)</f>
        <v>9</v>
      </c>
      <c r="AI32" s="112">
        <f t="shared" si="8"/>
        <v>1.5</v>
      </c>
      <c r="AJ32" s="117" cm="1">
        <f t="array" ref="AJ32">_xlfn.LET(_xlpm.home,IFERROR(_xlfn._xlws.FILTER(DATA_CLEANED!AH$3:AH$1060,DATA_CLEANED!AK$3:AK$1060=CALCULES!A32),""),
_xlpm.away,IFERROR(_xlfn._xlws.FILTER(DATA_CLEANED!AH$3:AH$1060,DATA_CLEANED!AN$3:AN$1060=CALCULES!A32),""),
_xlpm.assemb_t,_xlfn._xlws.FILTER(_xlfn.VSTACK(_xlpm.home,_xlpm.away),_xlfn.VSTACK(_xlpm.home,_xlpm.away)&lt;&gt;""),
_xlpm.but_h,IFERROR(_xlfn._xlws.FILTER(_xlfn.ANCHORARRAY(DATA_CLEANED!AM$3),DATA_CLEANED!AK$3:AK$1060=CALCULES!A32),""),
_xlpm.but_a,IFERROR(_xlfn._xlws.FILTER(_xlfn.ANCHORARRAY(DATA_CLEANED!AL$3),DATA_CLEANED!AN$3:AN$1060=CALCULES!A32),""),
_xlpm.assemb_b,_xlfn._xlws.FILTER(_xlfn.VSTACK(_xlpm.but_h,_xlpm.but_a),_xlfn.VSTACK(_xlpm.but_h,_xlpm.but_a)&lt;&gt;""),
MEDIAN(_xlpm.assemb_t,_xlpm.assemb_b)
)</f>
        <v>2.5</v>
      </c>
      <c r="AK32" s="113">
        <f t="shared" si="3"/>
        <v>-5</v>
      </c>
      <c r="AL32" s="112" cm="1">
        <f t="array" ref="AL32">IFERROR(MEDIAN(_xlfn._xlws.FILTER(_xlfn.VSTACK(
DATA_CLEANED!AL$3:AL$1060-DATA_CLEANED!AM$3:AM$1060,
DATA_CLEANED!AM$3:AM$1060-DATA_CLEANED!AL$3:AL$1060
),_xlfn.VSTACK(DATA_CLEANED!AK$3:AK$1060,DATA_CLEANED!AN$3:AN$1060)=A32)),"-")</f>
        <v>-2.5</v>
      </c>
      <c r="AM32" s="112">
        <f t="shared" si="9"/>
        <v>0.67</v>
      </c>
      <c r="AN32" s="112" cm="1">
        <f t="array" ref="AN32">_xlfn.LET(_xlpm.home,IFERROR(_xlfn._xlws.FILTER(DATA_CLEANED!AH$3:AH$1060,DATA_CLEANED!AK$3:AK$1060=CALCULES!A32),""),
_xlpm.away,IFERROR(_xlfn._xlws.FILTER(DATA_CLEANED!AH$3:AH$1060,DATA_CLEANED!AN$3:AN$1060=CALCULES!A32),""),
_xlpm.assemb_t,_xlfn._xlws.FILTER(_xlfn.VSTACK(_xlpm.home,_xlpm.away),_xlfn.VSTACK(_xlpm.home,_xlpm.away)&lt;&gt;""),
_xlpm.but_h,IFERROR(_xlfn._xlws.FILTER(_xlfn.ANCHORARRAY(DATA_CLEANED!AL$3),DATA_CLEANED!AK$3:AK$1060=CALCULES!A32),""),
_xlpm.but_a,IFERROR(_xlfn._xlws.FILTER(_xlfn.ANCHORARRAY(DATA_CLEANED!AM$3),DATA_CLEANED!AN$3:AN$1060=CALCULES!A32),""),
_xlpm.assemb_b,_xlfn._xlws.FILTER(_xlfn.VSTACK(_xlpm.but_h,_xlpm.but_a),_xlfn.VSTACK(_xlpm.but_h,_xlpm.but_a)&lt;&gt;""),
MEDIAN(_xlpm.assemb_t,_xlpm.assemb_b)
)</f>
        <v>0</v>
      </c>
      <c r="AO32" s="116">
        <f>ROUND(IFERROR((COUNTIFS(DATA_CLEANED!AK$3:AK$1060,A32,DATA_CLEANED!AM$3:AM$1060,0)
+
COUNTIFS(DATA_CLEANED!AN$3:AN$1060,A32,DATA_CLEANED!AL$3:AL$1060,0)
)/AA32,0),2)</f>
        <v>0</v>
      </c>
      <c r="AP32" s="112">
        <f>MAX((_xlfn.MAXIFS(_xlfn.ANCHORARRAY(DATA_CLEANED!AL$3),_xlfn.ANCHORARRAY(DATA_CLEANED!AK$3),A32)),(_xlfn.MAXIFS(DATA_CLEANED!AM$3:AM$1060,_xlfn.ANCHORARRAY(DATA_CLEANED!AN$3),A32)))</f>
        <v>1</v>
      </c>
      <c r="AQ32" s="112">
        <f>COUNTIF(_xlfn.ANCHORARRAY(DATA_CLEANED!K$3),A32)</f>
        <v>0</v>
      </c>
      <c r="AR32" s="113" t="str" cm="1">
        <f t="array" ref="AR32">_xlfn.LET(
_xlpm.home,IFERROR(_xlfn._xlws.FILTER(DATA_CLEANED!AH$3:AH$1060,DATA_CLEANED!AK$3:AK$1060=CALCULES!A32),""),
_xlpm.away,IFERROR(_xlfn._xlws.FILTER(DATA_CLEANED!AH$3:AH$1060,DATA_CLEANED!AN$3:AN$1060=CALCULES!A32),""),
_xlpm.etapes,_xlfn._xlws.FILTER(_xlfn.VSTACK(_xlpm.home,_xlpm.away),_xlfn.VSTACK(_xlpm.home,_xlpm.away)&lt;&gt;""),
_xlpm.numeros,_xlfn.XLOOKUP(_xlpm.etapes,DATA_QUALITE!AT$12:AT$38,DATA_QUALITE!AU$12:AU$38),
_xlfn.XLOOKUP(MIN(_xlpm.numeros),DATA_QUALITE!AU$12:AU$38,DATA_QUALITE!AT$12:AT$38)
)</f>
        <v>GROUP_STAGE</v>
      </c>
      <c r="AS32" s="112">
        <f t="shared" si="4"/>
        <v>2</v>
      </c>
      <c r="AT32" s="112">
        <f t="shared" si="5"/>
        <v>0</v>
      </c>
      <c r="AU32" s="112">
        <f>COUNTIFS(DATA_QUALITE!BG$12:BG$1069,"MATCH NUL",_xlfn.ANCHORARRAY(DATA_CLEANED!AK$3),CALCULES!A32)+COUNTIFS(DATA_QUALITE!BG$12:BG$1069,"MATCH NUL",_xlfn.ANCHORARRAY(DATA_CLEANED!AN$3),CALCULES!A32)</f>
        <v>0</v>
      </c>
      <c r="AV32" s="112">
        <v>4</v>
      </c>
      <c r="AW32" s="112">
        <f>COUNTIFS(_xlfn.ANCHORARRAY(DATA_CLEANED!AH$3),"QUARTER_FINALS",_xlfn.ANCHORARRAY(DATA_CLEANED!AK$3),CALCULES!A32)+COUNTIFS(_xlfn.ANCHORARRAY(DATA_CLEANED!AH$3),"QUARTER_FINALS",_xlfn.ANCHORARRAY(DATA_CLEANED!AN$3),CALCULES!A32)</f>
        <v>0</v>
      </c>
      <c r="AX32" s="112">
        <f>COUNTIFS(_xlfn.ANCHORARRAY(DATA_CLEANED!AH$3),"SEMI_FINALS",_xlfn.ANCHORARRAY(DATA_CLEANED!AK$3),CALCULES!A32)+COUNTIFS(_xlfn.ANCHORARRAY(DATA_CLEANED!AH$3),"SEMI_FINALS",_xlfn.ANCHORARRAY(DATA_CLEANED!AN$3),CALCULES!A32)</f>
        <v>0</v>
      </c>
      <c r="AY32" s="112">
        <f>COUNTIFS(_xlfn.ANCHORARRAY(DATA_CLEANED!AH$3),"FINAL",_xlfn.ANCHORARRAY(DATA_CLEANED!AK$3),CALCULES!A32)+COUNTIFS(_xlfn.ANCHORARRAY(DATA_CLEANED!AH$3),"FINAL",_xlfn.ANCHORARRAY(DATA_CLEANED!AN$3),CALCULES!A32)</f>
        <v>0</v>
      </c>
      <c r="AZ32" s="112">
        <f>COUNTIFS(DATA_QUALITE!BG$12:BG$1069,CALCULES!A32,DATA_QUALITE!AW$12:AW$1069,"FINAL")</f>
        <v>0</v>
      </c>
      <c r="BA32" s="113">
        <f t="shared" si="6"/>
        <v>3.97</v>
      </c>
      <c r="BB32" s="118">
        <f t="shared" si="10"/>
        <v>0</v>
      </c>
      <c r="BC32" s="118">
        <f t="shared" si="11"/>
        <v>0</v>
      </c>
      <c r="BD32" s="139">
        <f t="shared" si="12"/>
        <v>0</v>
      </c>
      <c r="BF32" s="176" t="s">
        <v>3932</v>
      </c>
      <c r="BG32" s="176">
        <f>MAX(0.7,MIN(1.3,1+0.6*(DASHBOARD!D117-DASHBOARD!C117)/100))</f>
        <v>0.87663999999999997</v>
      </c>
      <c r="BH32" s="167"/>
      <c r="BI32" s="167"/>
      <c r="BJ32" s="167"/>
      <c r="BK32" s="167"/>
      <c r="BL32" s="173">
        <f>INT((ROWS($BL$15:BL32)-1)/9)</f>
        <v>1</v>
      </c>
      <c r="BM32" s="173">
        <f>MOD(ROWS($BM$15:BM32)-1,9)</f>
        <v>8</v>
      </c>
      <c r="BN32" s="173">
        <f t="shared" si="14"/>
        <v>6.4663619905697093E-6</v>
      </c>
      <c r="BO32" s="167"/>
      <c r="BP32" s="167"/>
    </row>
    <row r="33" spans="1:68">
      <c r="A33" s="113" t="str">
        <v>England</v>
      </c>
      <c r="B33" s="112">
        <f>IF(COUNTIFS(_xlfn.ANCHORARRAY(DATA_CLEANED!$AF$3),CALCULES!B$2,_xlfn.ANCHORARRAY(DATA_CLEANED!$AK$3),CALCULES!$A33)+COUNTIFS(_xlfn.ANCHORARRAY(DATA_CLEANED!$AF$3),CALCULES!B$2,_xlfn.ANCHORARRAY(DATA_CLEANED!$AN$3),CALCULES!$A33)&gt;0,1,0)</f>
        <v>0</v>
      </c>
      <c r="C33" s="112">
        <f>IF(COUNTIFS(_xlfn.ANCHORARRAY(DATA_CLEANED!$AF$3),CALCULES!C$2,_xlfn.ANCHORARRAY(DATA_CLEANED!$AK$3),CALCULES!$A33)+COUNTIFS(_xlfn.ANCHORARRAY(DATA_CLEANED!$AF$3),CALCULES!C$2,_xlfn.ANCHORARRAY(DATA_CLEANED!$AN$3),CALCULES!$A33)&gt;0,1,0)</f>
        <v>0</v>
      </c>
      <c r="D33" s="112">
        <f>IF(COUNTIFS(_xlfn.ANCHORARRAY(DATA_CLEANED!$AF$3),CALCULES!D$2,_xlfn.ANCHORARRAY(DATA_CLEANED!$AK$3),CALCULES!$A33)+COUNTIFS(_xlfn.ANCHORARRAY(DATA_CLEANED!$AF$3),CALCULES!D$2,_xlfn.ANCHORARRAY(DATA_CLEANED!$AN$3),CALCULES!$A33)&gt;0,1,0)</f>
        <v>0</v>
      </c>
      <c r="E33" s="112">
        <f>IF(COUNTIFS(_xlfn.ANCHORARRAY(DATA_CLEANED!$AF$3),CALCULES!E$2,_xlfn.ANCHORARRAY(DATA_CLEANED!$AK$3),CALCULES!$A33)+COUNTIFS(_xlfn.ANCHORARRAY(DATA_CLEANED!$AF$3),CALCULES!E$2,_xlfn.ANCHORARRAY(DATA_CLEANED!$AN$3),CALCULES!$A33)&gt;0,1,0)</f>
        <v>1</v>
      </c>
      <c r="F33" s="112">
        <f>IF(COUNTIFS(_xlfn.ANCHORARRAY(DATA_CLEANED!$AF$3),CALCULES!F$2,_xlfn.ANCHORARRAY(DATA_CLEANED!$AK$3),CALCULES!$A33)+COUNTIFS(_xlfn.ANCHORARRAY(DATA_CLEANED!$AF$3),CALCULES!F$2,_xlfn.ANCHORARRAY(DATA_CLEANED!$AN$3),CALCULES!$A33)&gt;0,1,0)</f>
        <v>1</v>
      </c>
      <c r="G33" s="112">
        <f>IF(COUNTIFS(_xlfn.ANCHORARRAY(DATA_CLEANED!$AF$3),CALCULES!G$2,_xlfn.ANCHORARRAY(DATA_CLEANED!$AK$3),CALCULES!$A33)+COUNTIFS(_xlfn.ANCHORARRAY(DATA_CLEANED!$AF$3),CALCULES!G$2,_xlfn.ANCHORARRAY(DATA_CLEANED!$AN$3),CALCULES!$A33)&gt;0,1,0)</f>
        <v>1</v>
      </c>
      <c r="H33" s="112">
        <f>IF(COUNTIFS(_xlfn.ANCHORARRAY(DATA_CLEANED!$AF$3),CALCULES!H$2,_xlfn.ANCHORARRAY(DATA_CLEANED!$AK$3),CALCULES!$A33)+COUNTIFS(_xlfn.ANCHORARRAY(DATA_CLEANED!$AF$3),CALCULES!H$2,_xlfn.ANCHORARRAY(DATA_CLEANED!$AN$3),CALCULES!$A33)&gt;0,1,0)</f>
        <v>1</v>
      </c>
      <c r="I33" s="112">
        <f>IF(COUNTIFS(_xlfn.ANCHORARRAY(DATA_CLEANED!$AF$3),CALCULES!I$2,_xlfn.ANCHORARRAY(DATA_CLEANED!$AK$3),CALCULES!$A33)+COUNTIFS(_xlfn.ANCHORARRAY(DATA_CLEANED!$AF$3),CALCULES!I$2,_xlfn.ANCHORARRAY(DATA_CLEANED!$AN$3),CALCULES!$A33)&gt;0,1,0)</f>
        <v>1</v>
      </c>
      <c r="J33" s="112">
        <f>IF(COUNTIFS(_xlfn.ANCHORARRAY(DATA_CLEANED!$AF$3),CALCULES!J$2,_xlfn.ANCHORARRAY(DATA_CLEANED!$AK$3),CALCULES!$A33)+COUNTIFS(_xlfn.ANCHORARRAY(DATA_CLEANED!$AF$3),CALCULES!J$2,_xlfn.ANCHORARRAY(DATA_CLEANED!$AN$3),CALCULES!$A33)&gt;0,1,0)</f>
        <v>1</v>
      </c>
      <c r="K33" s="112">
        <f>IF(COUNTIFS(_xlfn.ANCHORARRAY(DATA_CLEANED!$AF$3),CALCULES!K$2,_xlfn.ANCHORARRAY(DATA_CLEANED!$AK$3),CALCULES!$A33)+COUNTIFS(_xlfn.ANCHORARRAY(DATA_CLEANED!$AF$3),CALCULES!K$2,_xlfn.ANCHORARRAY(DATA_CLEANED!$AN$3),CALCULES!$A33)&gt;0,1,0)</f>
        <v>0</v>
      </c>
      <c r="L33" s="112">
        <f>IF(COUNTIFS(_xlfn.ANCHORARRAY(DATA_CLEANED!$AF$3),CALCULES!L$2,_xlfn.ANCHORARRAY(DATA_CLEANED!$AK$3),CALCULES!$A33)+COUNTIFS(_xlfn.ANCHORARRAY(DATA_CLEANED!$AF$3),CALCULES!L$2,_xlfn.ANCHORARRAY(DATA_CLEANED!$AN$3),CALCULES!$A33)&gt;0,1,0)</f>
        <v>0</v>
      </c>
      <c r="M33" s="112">
        <f>IF(COUNTIFS(_xlfn.ANCHORARRAY(DATA_CLEANED!$AF$3),CALCULES!M$2,_xlfn.ANCHORARRAY(DATA_CLEANED!$AK$3),CALCULES!$A33)+COUNTIFS(_xlfn.ANCHORARRAY(DATA_CLEANED!$AF$3),CALCULES!M$2,_xlfn.ANCHORARRAY(DATA_CLEANED!$AN$3),CALCULES!$A33)&gt;0,1,0)</f>
        <v>1</v>
      </c>
      <c r="N33" s="112">
        <f>IF(COUNTIFS(_xlfn.ANCHORARRAY(DATA_CLEANED!$AF$3),CALCULES!N$2,_xlfn.ANCHORARRAY(DATA_CLEANED!$AK$3),CALCULES!$A33)+COUNTIFS(_xlfn.ANCHORARRAY(DATA_CLEANED!$AF$3),CALCULES!N$2,_xlfn.ANCHORARRAY(DATA_CLEANED!$AN$3),CALCULES!$A33)&gt;0,1,0)</f>
        <v>1</v>
      </c>
      <c r="O33" s="112">
        <f>IF(COUNTIFS(_xlfn.ANCHORARRAY(DATA_CLEANED!$AF$3),CALCULES!O$2,_xlfn.ANCHORARRAY(DATA_CLEANED!$AK$3),CALCULES!$A33)+COUNTIFS(_xlfn.ANCHORARRAY(DATA_CLEANED!$AF$3),CALCULES!O$2,_xlfn.ANCHORARRAY(DATA_CLEANED!$AN$3),CALCULES!$A33)&gt;0,1,0)</f>
        <v>1</v>
      </c>
      <c r="P33" s="112">
        <f>IF(COUNTIFS(_xlfn.ANCHORARRAY(DATA_CLEANED!$AF$3),CALCULES!P$2,_xlfn.ANCHORARRAY(DATA_CLEANED!$AK$3),CALCULES!$A33)+COUNTIFS(_xlfn.ANCHORARRAY(DATA_CLEANED!$AF$3),CALCULES!P$2,_xlfn.ANCHORARRAY(DATA_CLEANED!$AN$3),CALCULES!$A33)&gt;0,1,0)</f>
        <v>0</v>
      </c>
      <c r="Q33" s="112">
        <f>IF(COUNTIFS(_xlfn.ANCHORARRAY(DATA_CLEANED!$AF$3),CALCULES!Q$2,_xlfn.ANCHORARRAY(DATA_CLEANED!$AK$3),CALCULES!$A33)+COUNTIFS(_xlfn.ANCHORARRAY(DATA_CLEANED!$AF$3),CALCULES!Q$2,_xlfn.ANCHORARRAY(DATA_CLEANED!$AN$3),CALCULES!$A33)&gt;0,1,0)</f>
        <v>1</v>
      </c>
      <c r="R33" s="112">
        <f>IF(COUNTIFS(_xlfn.ANCHORARRAY(DATA_CLEANED!$AF$3),CALCULES!R$2,_xlfn.ANCHORARRAY(DATA_CLEANED!$AK$3),CALCULES!$A33)+COUNTIFS(_xlfn.ANCHORARRAY(DATA_CLEANED!$AF$3),CALCULES!R$2,_xlfn.ANCHORARRAY(DATA_CLEANED!$AN$3),CALCULES!$A33)&gt;0,1,0)</f>
        <v>1</v>
      </c>
      <c r="S33" s="112">
        <f>IF(COUNTIFS(_xlfn.ANCHORARRAY(DATA_CLEANED!$AF$3),CALCULES!S$2,_xlfn.ANCHORARRAY(DATA_CLEANED!$AK$3),CALCULES!$A33)+COUNTIFS(_xlfn.ANCHORARRAY(DATA_CLEANED!$AF$3),CALCULES!S$2,_xlfn.ANCHORARRAY(DATA_CLEANED!$AN$3),CALCULES!$A33)&gt;0,1,0)</f>
        <v>1</v>
      </c>
      <c r="T33" s="112">
        <f>IF(COUNTIFS(_xlfn.ANCHORARRAY(DATA_CLEANED!$AF$3),CALCULES!T$2,_xlfn.ANCHORARRAY(DATA_CLEANED!$AK$3),CALCULES!$A33)+COUNTIFS(_xlfn.ANCHORARRAY(DATA_CLEANED!$AF$3),CALCULES!T$2,_xlfn.ANCHORARRAY(DATA_CLEANED!$AN$3),CALCULES!$A33)&gt;0,1,0)</f>
        <v>1</v>
      </c>
      <c r="U33" s="112">
        <f>IF(COUNTIFS(_xlfn.ANCHORARRAY(DATA_CLEANED!$AF$3),CALCULES!U$2,_xlfn.ANCHORARRAY(DATA_CLEANED!$AK$3),CALCULES!$A33)+COUNTIFS(_xlfn.ANCHORARRAY(DATA_CLEANED!$AF$3),CALCULES!U$2,_xlfn.ANCHORARRAY(DATA_CLEANED!$AN$3),CALCULES!$A33)&gt;0,1,0)</f>
        <v>1</v>
      </c>
      <c r="V33" s="112">
        <f>IF(COUNTIFS(_xlfn.ANCHORARRAY(DATA_CLEANED!$AF$3),CALCULES!V$2,_xlfn.ANCHORARRAY(DATA_CLEANED!$AK$3),CALCULES!$A33)+COUNTIFS(_xlfn.ANCHORARRAY(DATA_CLEANED!$AF$3),CALCULES!V$2,_xlfn.ANCHORARRAY(DATA_CLEANED!$AN$3),CALCULES!$A33)&gt;0,1,0)</f>
        <v>1</v>
      </c>
      <c r="W33" s="112">
        <f>IF(COUNTIFS(_xlfn.ANCHORARRAY(DATA_CLEANED!$AF$3),CALCULES!W$2,_xlfn.ANCHORARRAY(DATA_CLEANED!$AK$3),CALCULES!$A33)+COUNTIFS(_xlfn.ANCHORARRAY(DATA_CLEANED!$AF$3),CALCULES!W$2,_xlfn.ANCHORARRAY(DATA_CLEANED!$AN$3),CALCULES!$A33)&gt;0,1,0)</f>
        <v>1</v>
      </c>
      <c r="X33" s="112">
        <f>IF(COUNTIFS(_xlfn.ANCHORARRAY(DATA_CLEANED!$AF$3),CALCULES!X$2,_xlfn.ANCHORARRAY(DATA_CLEANED!$AK$3),CALCULES!$A33)+COUNTIFS(_xlfn.ANCHORARRAY(DATA_CLEANED!$AF$3),CALCULES!X$2,_xlfn.ANCHORARRAY(DATA_CLEANED!$AN$3),CALCULES!$A33)&gt;0,1,0)</f>
        <v>1</v>
      </c>
      <c r="Y33" s="113">
        <f t="shared" si="0"/>
        <v>17</v>
      </c>
      <c r="AA33" s="112">
        <f>COUNTIF(_xlfn.ANCHORARRAY(DATA_CLEANED!$AK$3),$A33)+COUNTIF(DATA_CLEANED!$AN$2:$AN$1060,$A33)</f>
        <v>81</v>
      </c>
      <c r="AB33" s="112">
        <f>COUNTIF(DATA_QUALITE!BG$12:BG$1069,A33)</f>
        <v>39</v>
      </c>
      <c r="AC33" s="112">
        <f t="shared" si="7"/>
        <v>38</v>
      </c>
      <c r="AD33" s="112" cm="1">
        <f t="array" ref="AD33">SUMPRODUCT((DATA_CLEANED!AL$3:AL$1060=DATA_CLEANED!AM$3:AM$1060)*(_xlfn.ANCHORARRAY(DATA_CLEANED!AK$3)=CALCULES!A33)*(DATA_CLEANED!AO$3:AO$1060&lt;&gt;"-"))
+
SUMPRODUCT((DATA_CLEANED!AL$3:AL$1060=DATA_CLEANED!AM$3:AM$1060)*(_xlfn.ANCHORARRAY(DATA_CLEANED!AN$3)=CALCULES!A33)*(DATA_CLEANED!AO$3:AO$1060&lt;&gt;"-"))</f>
        <v>4</v>
      </c>
      <c r="AE33" s="116">
        <f t="shared" si="1"/>
        <v>0.48148148148148145</v>
      </c>
      <c r="AF33" s="116">
        <f t="shared" si="2"/>
        <v>0.46913580246913578</v>
      </c>
      <c r="AG33" s="112">
        <f>SUMIF(_xlfn.ANCHORARRAY(DATA_CLEANED!AK$3),A33,DATA_CLEANED!AL$2:AL$1060)+SUMIF(_xlfn.ANCHORARRAY(DATA_CLEANED!AN$3),A33,DATA_CLEANED!AM$2:AM$1060)</f>
        <v>120</v>
      </c>
      <c r="AH33" s="112">
        <f>SUMIF(_xlfn.ANCHORARRAY(DATA_CLEANED!AK$3),A33,DATA_CLEANED!AM$2:AM$1060)+SUMIF(_xlfn.ANCHORARRAY(DATA_CLEANED!AN$3),A33,DATA_CLEANED!AL$2:AL$1060)</f>
        <v>108</v>
      </c>
      <c r="AI33" s="112">
        <f t="shared" si="8"/>
        <v>1.33</v>
      </c>
      <c r="AJ33" s="117" cm="1">
        <f t="array" ref="AJ33">_xlfn.LET(_xlpm.home,IFERROR(_xlfn._xlws.FILTER(DATA_CLEANED!AH$3:AH$1060,DATA_CLEANED!AK$3:AK$1060=CALCULES!A33),""),
_xlpm.away,IFERROR(_xlfn._xlws.FILTER(DATA_CLEANED!AH$3:AH$1060,DATA_CLEANED!AN$3:AN$1060=CALCULES!A33),""),
_xlpm.assemb_t,_xlfn._xlws.FILTER(_xlfn.VSTACK(_xlpm.home,_xlpm.away),_xlfn.VSTACK(_xlpm.home,_xlpm.away)&lt;&gt;""),
_xlpm.but_h,IFERROR(_xlfn._xlws.FILTER(_xlfn.ANCHORARRAY(DATA_CLEANED!AM$3),DATA_CLEANED!AK$3:AK$1060=CALCULES!A33),""),
_xlpm.but_a,IFERROR(_xlfn._xlws.FILTER(_xlfn.ANCHORARRAY(DATA_CLEANED!AL$3),DATA_CLEANED!AN$3:AN$1060=CALCULES!A33),""),
_xlpm.assemb_b,_xlfn._xlws.FILTER(_xlfn.VSTACK(_xlpm.but_h,_xlpm.but_a),_xlfn.VSTACK(_xlpm.but_h,_xlpm.but_a)&lt;&gt;""),
MEDIAN(_xlpm.assemb_t,_xlpm.assemb_b)
)</f>
        <v>1</v>
      </c>
      <c r="AK33" s="113">
        <f t="shared" si="3"/>
        <v>12</v>
      </c>
      <c r="AL33" s="112" cm="1">
        <f t="array" ref="AL33">IFERROR(MEDIAN(_xlfn._xlws.FILTER(_xlfn.VSTACK(
DATA_CLEANED!AL$3:AL$1060-DATA_CLEANED!AM$3:AM$1060,
DATA_CLEANED!AM$3:AM$1060-DATA_CLEANED!AL$3:AL$1060
),_xlfn.VSTACK(DATA_CLEANED!AK$3:AK$1060,DATA_CLEANED!AN$3:AN$1060)=A33)),"-")</f>
        <v>0</v>
      </c>
      <c r="AM33" s="112">
        <f t="shared" si="9"/>
        <v>1.48</v>
      </c>
      <c r="AN33" s="112" cm="1">
        <f t="array" ref="AN33">_xlfn.LET(_xlpm.home,IFERROR(_xlfn._xlws.FILTER(DATA_CLEANED!AH$3:AH$1060,DATA_CLEANED!AK$3:AK$1060=CALCULES!A33),""),
_xlpm.away,IFERROR(_xlfn._xlws.FILTER(DATA_CLEANED!AH$3:AH$1060,DATA_CLEANED!AN$3:AN$1060=CALCULES!A33),""),
_xlpm.assemb_t,_xlfn._xlws.FILTER(_xlfn.VSTACK(_xlpm.home,_xlpm.away),_xlfn.VSTACK(_xlpm.home,_xlpm.away)&lt;&gt;""),
_xlpm.but_h,IFERROR(_xlfn._xlws.FILTER(_xlfn.ANCHORARRAY(DATA_CLEANED!AL$3),DATA_CLEANED!AK$3:AK$1060=CALCULES!A33),""),
_xlpm.but_a,IFERROR(_xlfn._xlws.FILTER(_xlfn.ANCHORARRAY(DATA_CLEANED!AM$3),DATA_CLEANED!AN$3:AN$1060=CALCULES!A33),""),
_xlpm.assemb_b,_xlfn._xlws.FILTER(_xlfn.VSTACK(_xlpm.but_h,_xlpm.but_a),_xlfn.VSTACK(_xlpm.but_h,_xlpm.but_a)&lt;&gt;""),
MEDIAN(_xlpm.assemb_t,_xlpm.assemb_b)
)</f>
        <v>1</v>
      </c>
      <c r="AO33" s="116">
        <f>ROUND(IFERROR((COUNTIFS(DATA_CLEANED!AK$3:AK$1060,A33,DATA_CLEANED!AM$3:AM$1060,0)
+
COUNTIFS(DATA_CLEANED!AN$3:AN$1060,A33,DATA_CLEANED!AL$3:AL$1060,0)
)/AA33,0),2)</f>
        <v>0.46</v>
      </c>
      <c r="AP33" s="112">
        <f>MAX((_xlfn.MAXIFS(_xlfn.ANCHORARRAY(DATA_CLEANED!AL$3),_xlfn.ANCHORARRAY(DATA_CLEANED!AK$3),A33)),(_xlfn.MAXIFS(DATA_CLEANED!AM$3:AM$1060,_xlfn.ANCHORARRAY(DATA_CLEANED!AN$3),A33)))</f>
        <v>6</v>
      </c>
      <c r="AQ33" s="112">
        <f>COUNTIF(_xlfn.ANCHORARRAY(DATA_CLEANED!K$3),A33)</f>
        <v>19</v>
      </c>
      <c r="AR33" s="113" t="str" cm="1">
        <f t="array" ref="AR33">_xlfn.LET(
_xlpm.home,IFERROR(_xlfn._xlws.FILTER(DATA_CLEANED!AH$3:AH$1060,DATA_CLEANED!AK$3:AK$1060=CALCULES!A33),""),
_xlpm.away,IFERROR(_xlfn._xlws.FILTER(DATA_CLEANED!AH$3:AH$1060,DATA_CLEANED!AN$3:AN$1060=CALCULES!A33),""),
_xlpm.etapes,_xlfn._xlws.FILTER(_xlfn.VSTACK(_xlpm.home,_xlpm.away),_xlfn.VSTACK(_xlpm.home,_xlpm.away)&lt;&gt;""),
_xlpm.numeros,_xlfn.XLOOKUP(_xlpm.etapes,DATA_QUALITE!AT$12:AT$38,DATA_QUALITE!AU$12:AU$38),
_xlfn.XLOOKUP(MIN(_xlpm.numeros),DATA_QUALITE!AU$12:AU$38,DATA_QUALITE!AT$12:AT$38)
)</f>
        <v>FINAL</v>
      </c>
      <c r="AS33" s="112">
        <f t="shared" si="4"/>
        <v>17</v>
      </c>
      <c r="AT33" s="112">
        <f t="shared" si="5"/>
        <v>39</v>
      </c>
      <c r="AU33" s="112">
        <f>COUNTIFS(DATA_QUALITE!BG$12:BG$1069,"MATCH NUL",_xlfn.ANCHORARRAY(DATA_CLEANED!AK$3),CALCULES!A33)+COUNTIFS(DATA_QUALITE!BG$12:BG$1069,"MATCH NUL",_xlfn.ANCHORARRAY(DATA_CLEANED!AN$3),CALCULES!A33)</f>
        <v>18</v>
      </c>
      <c r="AV33" s="112">
        <v>120</v>
      </c>
      <c r="AW33" s="112">
        <f>COUNTIFS(_xlfn.ANCHORARRAY(DATA_CLEANED!AH$3),"QUARTER_FINALS",_xlfn.ANCHORARRAY(DATA_CLEANED!AK$3),CALCULES!A33)+COUNTIFS(_xlfn.ANCHORARRAY(DATA_CLEANED!AH$3),"QUARTER_FINALS",_xlfn.ANCHORARRAY(DATA_CLEANED!AN$3),CALCULES!A33)</f>
        <v>11</v>
      </c>
      <c r="AX33" s="112">
        <f>COUNTIFS(_xlfn.ANCHORARRAY(DATA_CLEANED!AH$3),"SEMI_FINALS",_xlfn.ANCHORARRAY(DATA_CLEANED!AK$3),CALCULES!A33)+COUNTIFS(_xlfn.ANCHORARRAY(DATA_CLEANED!AH$3),"SEMI_FINALS",_xlfn.ANCHORARRAY(DATA_CLEANED!AN$3),CALCULES!A33)</f>
        <v>4</v>
      </c>
      <c r="AY33" s="112">
        <f>COUNTIFS(_xlfn.ANCHORARRAY(DATA_CLEANED!AH$3),"FINAL",_xlfn.ANCHORARRAY(DATA_CLEANED!AK$3),CALCULES!A33)+COUNTIFS(_xlfn.ANCHORARRAY(DATA_CLEANED!AH$3),"FINAL",_xlfn.ANCHORARRAY(DATA_CLEANED!AN$3),CALCULES!A33)</f>
        <v>1</v>
      </c>
      <c r="AZ33" s="112">
        <f>COUNTIFS(DATA_QUALITE!BG$12:BG$1069,CALCULES!A33,DATA_QUALITE!AW$12:AW$1069,"FINAL")</f>
        <v>1</v>
      </c>
      <c r="BA33" s="113">
        <f t="shared" si="6"/>
        <v>44.64</v>
      </c>
      <c r="BB33" s="118">
        <f t="shared" si="10"/>
        <v>33.950000000000003</v>
      </c>
      <c r="BC33" s="118">
        <f t="shared" si="11"/>
        <v>36.28</v>
      </c>
      <c r="BD33" s="139">
        <f t="shared" si="12"/>
        <v>35.119999999999997</v>
      </c>
      <c r="BF33" s="171"/>
      <c r="BG33" s="171"/>
      <c r="BH33" s="167"/>
      <c r="BI33" s="167"/>
      <c r="BJ33" s="167"/>
      <c r="BK33" s="167"/>
      <c r="BL33" s="173">
        <f>INT((ROWS($BL$15:BL33)-1)/9)</f>
        <v>2</v>
      </c>
      <c r="BM33" s="173">
        <f>MOD(ROWS($BM$15:BM33)-1,9)</f>
        <v>0</v>
      </c>
      <c r="BN33" s="173">
        <f t="shared" si="14"/>
        <v>8.4354833572346494E-2</v>
      </c>
      <c r="BO33" s="167"/>
      <c r="BP33" s="167"/>
    </row>
    <row r="34" spans="1:68">
      <c r="A34" s="113" t="str">
        <v>FR Germany</v>
      </c>
      <c r="B34" s="112">
        <f>IF(COUNTIFS(_xlfn.ANCHORARRAY(DATA_CLEANED!$AF$3),CALCULES!B$2,_xlfn.ANCHORARRAY(DATA_CLEANED!$AK$3),CALCULES!$A34)+COUNTIFS(_xlfn.ANCHORARRAY(DATA_CLEANED!$AF$3),CALCULES!B$2,_xlfn.ANCHORARRAY(DATA_CLEANED!$AN$3),CALCULES!$A34)&gt;0,1,0)</f>
        <v>0</v>
      </c>
      <c r="C34" s="112">
        <f>IF(COUNTIFS(_xlfn.ANCHORARRAY(DATA_CLEANED!$AF$3),CALCULES!C$2,_xlfn.ANCHORARRAY(DATA_CLEANED!$AK$3),CALCULES!$A34)+COUNTIFS(_xlfn.ANCHORARRAY(DATA_CLEANED!$AF$3),CALCULES!C$2,_xlfn.ANCHORARRAY(DATA_CLEANED!$AN$3),CALCULES!$A34)&gt;0,1,0)</f>
        <v>0</v>
      </c>
      <c r="D34" s="112">
        <f>IF(COUNTIFS(_xlfn.ANCHORARRAY(DATA_CLEANED!$AF$3),CALCULES!D$2,_xlfn.ANCHORARRAY(DATA_CLEANED!$AK$3),CALCULES!$A34)+COUNTIFS(_xlfn.ANCHORARRAY(DATA_CLEANED!$AF$3),CALCULES!D$2,_xlfn.ANCHORARRAY(DATA_CLEANED!$AN$3),CALCULES!$A34)&gt;0,1,0)</f>
        <v>0</v>
      </c>
      <c r="E34" s="112">
        <f>IF(COUNTIFS(_xlfn.ANCHORARRAY(DATA_CLEANED!$AF$3),CALCULES!E$2,_xlfn.ANCHORARRAY(DATA_CLEANED!$AK$3),CALCULES!$A34)+COUNTIFS(_xlfn.ANCHORARRAY(DATA_CLEANED!$AF$3),CALCULES!E$2,_xlfn.ANCHORARRAY(DATA_CLEANED!$AN$3),CALCULES!$A34)&gt;0,1,0)</f>
        <v>0</v>
      </c>
      <c r="F34" s="112">
        <f>IF(COUNTIFS(_xlfn.ANCHORARRAY(DATA_CLEANED!$AF$3),CALCULES!F$2,_xlfn.ANCHORARRAY(DATA_CLEANED!$AK$3),CALCULES!$A34)+COUNTIFS(_xlfn.ANCHORARRAY(DATA_CLEANED!$AF$3),CALCULES!F$2,_xlfn.ANCHORARRAY(DATA_CLEANED!$AN$3),CALCULES!$A34)&gt;0,1,0)</f>
        <v>1</v>
      </c>
      <c r="G34" s="112">
        <f>IF(COUNTIFS(_xlfn.ANCHORARRAY(DATA_CLEANED!$AF$3),CALCULES!G$2,_xlfn.ANCHORARRAY(DATA_CLEANED!$AK$3),CALCULES!$A34)+COUNTIFS(_xlfn.ANCHORARRAY(DATA_CLEANED!$AF$3),CALCULES!G$2,_xlfn.ANCHORARRAY(DATA_CLEANED!$AN$3),CALCULES!$A34)&gt;0,1,0)</f>
        <v>1</v>
      </c>
      <c r="H34" s="112">
        <f>IF(COUNTIFS(_xlfn.ANCHORARRAY(DATA_CLEANED!$AF$3),CALCULES!H$2,_xlfn.ANCHORARRAY(DATA_CLEANED!$AK$3),CALCULES!$A34)+COUNTIFS(_xlfn.ANCHORARRAY(DATA_CLEANED!$AF$3),CALCULES!H$2,_xlfn.ANCHORARRAY(DATA_CLEANED!$AN$3),CALCULES!$A34)&gt;0,1,0)</f>
        <v>1</v>
      </c>
      <c r="I34" s="112">
        <f>IF(COUNTIFS(_xlfn.ANCHORARRAY(DATA_CLEANED!$AF$3),CALCULES!I$2,_xlfn.ANCHORARRAY(DATA_CLEANED!$AK$3),CALCULES!$A34)+COUNTIFS(_xlfn.ANCHORARRAY(DATA_CLEANED!$AF$3),CALCULES!I$2,_xlfn.ANCHORARRAY(DATA_CLEANED!$AN$3),CALCULES!$A34)&gt;0,1,0)</f>
        <v>1</v>
      </c>
      <c r="J34" s="112">
        <f>IF(COUNTIFS(_xlfn.ANCHORARRAY(DATA_CLEANED!$AF$3),CALCULES!J$2,_xlfn.ANCHORARRAY(DATA_CLEANED!$AK$3),CALCULES!$A34)+COUNTIFS(_xlfn.ANCHORARRAY(DATA_CLEANED!$AF$3),CALCULES!J$2,_xlfn.ANCHORARRAY(DATA_CLEANED!$AN$3),CALCULES!$A34)&gt;0,1,0)</f>
        <v>1</v>
      </c>
      <c r="K34" s="112">
        <f>IF(COUNTIFS(_xlfn.ANCHORARRAY(DATA_CLEANED!$AF$3),CALCULES!K$2,_xlfn.ANCHORARRAY(DATA_CLEANED!$AK$3),CALCULES!$A34)+COUNTIFS(_xlfn.ANCHORARRAY(DATA_CLEANED!$AF$3),CALCULES!K$2,_xlfn.ANCHORARRAY(DATA_CLEANED!$AN$3),CALCULES!$A34)&gt;0,1,0)</f>
        <v>1</v>
      </c>
      <c r="L34" s="112">
        <f>IF(COUNTIFS(_xlfn.ANCHORARRAY(DATA_CLEANED!$AF$3),CALCULES!L$2,_xlfn.ANCHORARRAY(DATA_CLEANED!$AK$3),CALCULES!$A34)+COUNTIFS(_xlfn.ANCHORARRAY(DATA_CLEANED!$AF$3),CALCULES!L$2,_xlfn.ANCHORARRAY(DATA_CLEANED!$AN$3),CALCULES!$A34)&gt;0,1,0)</f>
        <v>1</v>
      </c>
      <c r="M34" s="112">
        <f>IF(COUNTIFS(_xlfn.ANCHORARRAY(DATA_CLEANED!$AF$3),CALCULES!M$2,_xlfn.ANCHORARRAY(DATA_CLEANED!$AK$3),CALCULES!$A34)+COUNTIFS(_xlfn.ANCHORARRAY(DATA_CLEANED!$AF$3),CALCULES!M$2,_xlfn.ANCHORARRAY(DATA_CLEANED!$AN$3),CALCULES!$A34)&gt;0,1,0)</f>
        <v>1</v>
      </c>
      <c r="N34" s="112">
        <f>IF(COUNTIFS(_xlfn.ANCHORARRAY(DATA_CLEANED!$AF$3),CALCULES!N$2,_xlfn.ANCHORARRAY(DATA_CLEANED!$AK$3),CALCULES!$A34)+COUNTIFS(_xlfn.ANCHORARRAY(DATA_CLEANED!$AF$3),CALCULES!N$2,_xlfn.ANCHORARRAY(DATA_CLEANED!$AN$3),CALCULES!$A34)&gt;0,1,0)</f>
        <v>1</v>
      </c>
      <c r="O34" s="112">
        <f>IF(COUNTIFS(_xlfn.ANCHORARRAY(DATA_CLEANED!$AF$3),CALCULES!O$2,_xlfn.ANCHORARRAY(DATA_CLEANED!$AK$3),CALCULES!$A34)+COUNTIFS(_xlfn.ANCHORARRAY(DATA_CLEANED!$AF$3),CALCULES!O$2,_xlfn.ANCHORARRAY(DATA_CLEANED!$AN$3),CALCULES!$A34)&gt;0,1,0)</f>
        <v>1</v>
      </c>
      <c r="P34" s="112">
        <f>IF(COUNTIFS(_xlfn.ANCHORARRAY(DATA_CLEANED!$AF$3),CALCULES!P$2,_xlfn.ANCHORARRAY(DATA_CLEANED!$AK$3),CALCULES!$A34)+COUNTIFS(_xlfn.ANCHORARRAY(DATA_CLEANED!$AF$3),CALCULES!P$2,_xlfn.ANCHORARRAY(DATA_CLEANED!$AN$3),CALCULES!$A34)&gt;0,1,0)</f>
        <v>0</v>
      </c>
      <c r="Q34" s="112">
        <f>IF(COUNTIFS(_xlfn.ANCHORARRAY(DATA_CLEANED!$AF$3),CALCULES!Q$2,_xlfn.ANCHORARRAY(DATA_CLEANED!$AK$3),CALCULES!$A34)+COUNTIFS(_xlfn.ANCHORARRAY(DATA_CLEANED!$AF$3),CALCULES!Q$2,_xlfn.ANCHORARRAY(DATA_CLEANED!$AN$3),CALCULES!$A34)&gt;0,1,0)</f>
        <v>0</v>
      </c>
      <c r="R34" s="112">
        <f>IF(COUNTIFS(_xlfn.ANCHORARRAY(DATA_CLEANED!$AF$3),CALCULES!R$2,_xlfn.ANCHORARRAY(DATA_CLEANED!$AK$3),CALCULES!$A34)+COUNTIFS(_xlfn.ANCHORARRAY(DATA_CLEANED!$AF$3),CALCULES!R$2,_xlfn.ANCHORARRAY(DATA_CLEANED!$AN$3),CALCULES!$A34)&gt;0,1,0)</f>
        <v>0</v>
      </c>
      <c r="S34" s="112">
        <f>IF(COUNTIFS(_xlfn.ANCHORARRAY(DATA_CLEANED!$AF$3),CALCULES!S$2,_xlfn.ANCHORARRAY(DATA_CLEANED!$AK$3),CALCULES!$A34)+COUNTIFS(_xlfn.ANCHORARRAY(DATA_CLEANED!$AF$3),CALCULES!S$2,_xlfn.ANCHORARRAY(DATA_CLEANED!$AN$3),CALCULES!$A34)&gt;0,1,0)</f>
        <v>0</v>
      </c>
      <c r="T34" s="112">
        <f>IF(COUNTIFS(_xlfn.ANCHORARRAY(DATA_CLEANED!$AF$3),CALCULES!T$2,_xlfn.ANCHORARRAY(DATA_CLEANED!$AK$3),CALCULES!$A34)+COUNTIFS(_xlfn.ANCHORARRAY(DATA_CLEANED!$AF$3),CALCULES!T$2,_xlfn.ANCHORARRAY(DATA_CLEANED!$AN$3),CALCULES!$A34)&gt;0,1,0)</f>
        <v>0</v>
      </c>
      <c r="U34" s="112">
        <f>IF(COUNTIFS(_xlfn.ANCHORARRAY(DATA_CLEANED!$AF$3),CALCULES!U$2,_xlfn.ANCHORARRAY(DATA_CLEANED!$AK$3),CALCULES!$A34)+COUNTIFS(_xlfn.ANCHORARRAY(DATA_CLEANED!$AF$3),CALCULES!U$2,_xlfn.ANCHORARRAY(DATA_CLEANED!$AN$3),CALCULES!$A34)&gt;0,1,0)</f>
        <v>0</v>
      </c>
      <c r="V34" s="112">
        <f>IF(COUNTIFS(_xlfn.ANCHORARRAY(DATA_CLEANED!$AF$3),CALCULES!V$2,_xlfn.ANCHORARRAY(DATA_CLEANED!$AK$3),CALCULES!$A34)+COUNTIFS(_xlfn.ANCHORARRAY(DATA_CLEANED!$AF$3),CALCULES!V$2,_xlfn.ANCHORARRAY(DATA_CLEANED!$AN$3),CALCULES!$A34)&gt;0,1,0)</f>
        <v>0</v>
      </c>
      <c r="W34" s="112">
        <f>IF(COUNTIFS(_xlfn.ANCHORARRAY(DATA_CLEANED!$AF$3),CALCULES!W$2,_xlfn.ANCHORARRAY(DATA_CLEANED!$AK$3),CALCULES!$A34)+COUNTIFS(_xlfn.ANCHORARRAY(DATA_CLEANED!$AF$3),CALCULES!W$2,_xlfn.ANCHORARRAY(DATA_CLEANED!$AN$3),CALCULES!$A34)&gt;0,1,0)</f>
        <v>0</v>
      </c>
      <c r="X34" s="112">
        <f>IF(COUNTIFS(_xlfn.ANCHORARRAY(DATA_CLEANED!$AF$3),CALCULES!X$2,_xlfn.ANCHORARRAY(DATA_CLEANED!$AK$3),CALCULES!$A34)+COUNTIFS(_xlfn.ANCHORARRAY(DATA_CLEANED!$AF$3),CALCULES!X$2,_xlfn.ANCHORARRAY(DATA_CLEANED!$AN$3),CALCULES!$A34)&gt;0,1,0)</f>
        <v>0</v>
      </c>
      <c r="Y34" s="113">
        <f t="shared" si="0"/>
        <v>10</v>
      </c>
      <c r="AA34" s="112">
        <f>COUNTIF(_xlfn.ANCHORARRAY(DATA_CLEANED!$AK$3),$A34)+COUNTIF(DATA_CLEANED!$AN$2:$AN$1060,$A34)</f>
        <v>62</v>
      </c>
      <c r="AB34" s="112">
        <f>COUNTIF(DATA_QUALITE!BG$12:BG$1069,A34)</f>
        <v>39</v>
      </c>
      <c r="AC34" s="112">
        <f t="shared" si="7"/>
        <v>20</v>
      </c>
      <c r="AD34" s="112" cm="1">
        <f t="array" ref="AD34">SUMPRODUCT((DATA_CLEANED!AL$3:AL$1060=DATA_CLEANED!AM$3:AM$1060)*(_xlfn.ANCHORARRAY(DATA_CLEANED!AK$3)=CALCULES!A34)*(DATA_CLEANED!AO$3:AO$1060&lt;&gt;"-"))
+
SUMPRODUCT((DATA_CLEANED!AL$3:AL$1060=DATA_CLEANED!AM$3:AM$1060)*(_xlfn.ANCHORARRAY(DATA_CLEANED!AN$3)=CALCULES!A34)*(DATA_CLEANED!AO$3:AO$1060&lt;&gt;"-"))</f>
        <v>3</v>
      </c>
      <c r="AE34" s="116">
        <f t="shared" si="1"/>
        <v>0.62903225806451613</v>
      </c>
      <c r="AF34" s="116">
        <f t="shared" si="2"/>
        <v>0.32258064516129031</v>
      </c>
      <c r="AG34" s="112">
        <f>SUMIF(_xlfn.ANCHORARRAY(DATA_CLEANED!AK$3),A34,DATA_CLEANED!AL$2:AL$1060)+SUMIF(_xlfn.ANCHORARRAY(DATA_CLEANED!AN$3),A34,DATA_CLEANED!AM$2:AM$1060)</f>
        <v>113</v>
      </c>
      <c r="AH34" s="112">
        <f>SUMIF(_xlfn.ANCHORARRAY(DATA_CLEANED!AK$3),A34,DATA_CLEANED!AM$2:AM$1060)+SUMIF(_xlfn.ANCHORARRAY(DATA_CLEANED!AN$3),A34,DATA_CLEANED!AL$2:AL$1060)</f>
        <v>85</v>
      </c>
      <c r="AI34" s="112">
        <f t="shared" si="8"/>
        <v>1.37</v>
      </c>
      <c r="AJ34" s="117" cm="1">
        <f t="array" ref="AJ34">_xlfn.LET(_xlpm.home,IFERROR(_xlfn._xlws.FILTER(DATA_CLEANED!AH$3:AH$1060,DATA_CLEANED!AK$3:AK$1060=CALCULES!A34),""),
_xlpm.away,IFERROR(_xlfn._xlws.FILTER(DATA_CLEANED!AH$3:AH$1060,DATA_CLEANED!AN$3:AN$1060=CALCULES!A34),""),
_xlpm.assemb_t,_xlfn._xlws.FILTER(_xlfn.VSTACK(_xlpm.home,_xlpm.away),_xlfn.VSTACK(_xlpm.home,_xlpm.away)&lt;&gt;""),
_xlpm.but_h,IFERROR(_xlfn._xlws.FILTER(_xlfn.ANCHORARRAY(DATA_CLEANED!AM$3),DATA_CLEANED!AK$3:AK$1060=CALCULES!A34),""),
_xlpm.but_a,IFERROR(_xlfn._xlws.FILTER(_xlfn.ANCHORARRAY(DATA_CLEANED!AL$3),DATA_CLEANED!AN$3:AN$1060=CALCULES!A34),""),
_xlpm.assemb_b,_xlfn._xlws.FILTER(_xlfn.VSTACK(_xlpm.but_h,_xlpm.but_a),_xlfn.VSTACK(_xlpm.but_h,_xlpm.but_a)&lt;&gt;""),
MEDIAN(_xlpm.assemb_t,_xlpm.assemb_b)
)</f>
        <v>1</v>
      </c>
      <c r="AK34" s="113">
        <f t="shared" si="3"/>
        <v>28</v>
      </c>
      <c r="AL34" s="112" cm="1">
        <f t="array" ref="AL34">IFERROR(MEDIAN(_xlfn._xlws.FILTER(_xlfn.VSTACK(
DATA_CLEANED!AL$3:AL$1060-DATA_CLEANED!AM$3:AM$1060,
DATA_CLEANED!AM$3:AM$1060-DATA_CLEANED!AL$3:AL$1060
),_xlfn.VSTACK(DATA_CLEANED!AK$3:AK$1060,DATA_CLEANED!AN$3:AN$1060)=A34)),"-")</f>
        <v>1</v>
      </c>
      <c r="AM34" s="112">
        <f t="shared" si="9"/>
        <v>1.82</v>
      </c>
      <c r="AN34" s="112" cm="1">
        <f t="array" ref="AN34">_xlfn.LET(_xlpm.home,IFERROR(_xlfn._xlws.FILTER(DATA_CLEANED!AH$3:AH$1060,DATA_CLEANED!AK$3:AK$1060=CALCULES!A34),""),
_xlpm.away,IFERROR(_xlfn._xlws.FILTER(DATA_CLEANED!AH$3:AH$1060,DATA_CLEANED!AN$3:AN$1060=CALCULES!A34),""),
_xlpm.assemb_t,_xlfn._xlws.FILTER(_xlfn.VSTACK(_xlpm.home,_xlpm.away),_xlfn.VSTACK(_xlpm.home,_xlpm.away)&lt;&gt;""),
_xlpm.but_h,IFERROR(_xlfn._xlws.FILTER(_xlfn.ANCHORARRAY(DATA_CLEANED!AL$3),DATA_CLEANED!AK$3:AK$1060=CALCULES!A34),""),
_xlpm.but_a,IFERROR(_xlfn._xlws.FILTER(_xlfn.ANCHORARRAY(DATA_CLEANED!AM$3),DATA_CLEANED!AN$3:AN$1060=CALCULES!A34),""),
_xlpm.assemb_b,_xlfn._xlws.FILTER(_xlfn.VSTACK(_xlpm.but_h,_xlpm.but_a),_xlfn.VSTACK(_xlpm.but_h,_xlpm.but_a)&lt;&gt;""),
MEDIAN(_xlpm.assemb_t,_xlpm.assemb_b)
)</f>
        <v>2</v>
      </c>
      <c r="AO34" s="116">
        <f>ROUND(IFERROR((COUNTIFS(DATA_CLEANED!AK$3:AK$1060,A34,DATA_CLEANED!AM$3:AM$1060,0)
+
COUNTIFS(DATA_CLEANED!AN$3:AN$1060,A34,DATA_CLEANED!AL$3:AL$1060,0)
)/AA34,0),2)</f>
        <v>0.37</v>
      </c>
      <c r="AP34" s="112">
        <f>MAX((_xlfn.MAXIFS(_xlfn.ANCHORARRAY(DATA_CLEANED!AL$3),_xlfn.ANCHORARRAY(DATA_CLEANED!AK$3),A34)),(_xlfn.MAXIFS(DATA_CLEANED!AM$3:AM$1060,_xlfn.ANCHORARRAY(DATA_CLEANED!AN$3),A34)))</f>
        <v>7</v>
      </c>
      <c r="AQ34" s="112">
        <f>COUNTIF(_xlfn.ANCHORARRAY(DATA_CLEANED!K$3),A34)</f>
        <v>14</v>
      </c>
      <c r="AR34" s="113" t="str" cm="1">
        <f t="array" ref="AR34">_xlfn.LET(
_xlpm.home,IFERROR(_xlfn._xlws.FILTER(DATA_CLEANED!AH$3:AH$1060,DATA_CLEANED!AK$3:AK$1060=CALCULES!A34),""),
_xlpm.away,IFERROR(_xlfn._xlws.FILTER(DATA_CLEANED!AH$3:AH$1060,DATA_CLEANED!AN$3:AN$1060=CALCULES!A34),""),
_xlpm.etapes,_xlfn._xlws.FILTER(_xlfn.VSTACK(_xlpm.home,_xlpm.away),_xlfn.VSTACK(_xlpm.home,_xlpm.away)&lt;&gt;""),
_xlpm.numeros,_xlfn.XLOOKUP(_xlpm.etapes,DATA_QUALITE!AT$12:AT$38,DATA_QUALITE!AU$12:AU$38),
_xlfn.XLOOKUP(MIN(_xlpm.numeros),DATA_QUALITE!AU$12:AU$38,DATA_QUALITE!AT$12:AT$38)
)</f>
        <v>FINAL</v>
      </c>
      <c r="AS34" s="112">
        <f t="shared" si="4"/>
        <v>10</v>
      </c>
      <c r="AT34" s="112">
        <f t="shared" si="5"/>
        <v>39</v>
      </c>
      <c r="AU34" s="112">
        <f>COUNTIFS(DATA_QUALITE!BG$12:BG$1069,"MATCH NUL",_xlfn.ANCHORARRAY(DATA_CLEANED!AK$3),CALCULES!A34)+COUNTIFS(DATA_QUALITE!BG$12:BG$1069,"MATCH NUL",_xlfn.ANCHORARRAY(DATA_CLEANED!AN$3),CALCULES!A34)</f>
        <v>11</v>
      </c>
      <c r="AV34" s="112">
        <v>113</v>
      </c>
      <c r="AW34" s="112">
        <f>COUNTIFS(_xlfn.ANCHORARRAY(DATA_CLEANED!AH$3),"QUARTER_FINALS",_xlfn.ANCHORARRAY(DATA_CLEANED!AK$3),CALCULES!A34)+COUNTIFS(_xlfn.ANCHORARRAY(DATA_CLEANED!AH$3),"QUARTER_FINALS",_xlfn.ANCHORARRAY(DATA_CLEANED!AN$3),CALCULES!A34)</f>
        <v>7</v>
      </c>
      <c r="AX34" s="112">
        <f>COUNTIFS(_xlfn.ANCHORARRAY(DATA_CLEANED!AH$3),"SEMI_FINALS",_xlfn.ANCHORARRAY(DATA_CLEANED!AK$3),CALCULES!A34)+COUNTIFS(_xlfn.ANCHORARRAY(DATA_CLEANED!AH$3),"SEMI_FINALS",_xlfn.ANCHORARRAY(DATA_CLEANED!AN$3),CALCULES!A34)</f>
        <v>7</v>
      </c>
      <c r="AY34" s="112">
        <f>COUNTIFS(_xlfn.ANCHORARRAY(DATA_CLEANED!AH$3),"FINAL",_xlfn.ANCHORARRAY(DATA_CLEANED!AK$3),CALCULES!A34)+COUNTIFS(_xlfn.ANCHORARRAY(DATA_CLEANED!AH$3),"FINAL",_xlfn.ANCHORARRAY(DATA_CLEANED!AN$3),CALCULES!A34)</f>
        <v>6</v>
      </c>
      <c r="AZ34" s="112">
        <f>COUNTIFS(DATA_QUALITE!BG$12:BG$1069,CALCULES!A34,DATA_QUALITE!AW$12:AW$1069,"FINAL")</f>
        <v>3</v>
      </c>
      <c r="BA34" s="113">
        <f t="shared" si="6"/>
        <v>59.05</v>
      </c>
      <c r="BB34" s="118">
        <f t="shared" si="10"/>
        <v>47.57</v>
      </c>
      <c r="BC34" s="118">
        <f t="shared" si="11"/>
        <v>34.479999999999997</v>
      </c>
      <c r="BD34" s="139">
        <f t="shared" si="12"/>
        <v>41.03</v>
      </c>
      <c r="BF34" s="178" t="s">
        <v>3933</v>
      </c>
      <c r="BG34" s="178">
        <f>BG16*BG31</f>
        <v>1.7036290597353496</v>
      </c>
      <c r="BH34" s="167"/>
      <c r="BI34" s="167"/>
      <c r="BJ34" s="167"/>
      <c r="BK34" s="167"/>
      <c r="BL34" s="173">
        <f>INT((ROWS($BL$15:BL34)-1)/9)</f>
        <v>2</v>
      </c>
      <c r="BM34" s="173">
        <f>MOD(ROWS($BM$15:BM34)-1,9)</f>
        <v>1</v>
      </c>
      <c r="BN34" s="173">
        <f t="shared" si="14"/>
        <v>9.4471955610830924E-2</v>
      </c>
      <c r="BO34" s="167"/>
      <c r="BP34" s="167"/>
    </row>
    <row r="35" spans="1:68">
      <c r="A35" s="113" t="str">
        <v>France</v>
      </c>
      <c r="B35" s="112">
        <f>IF(COUNTIFS(_xlfn.ANCHORARRAY(DATA_CLEANED!$AF$3),CALCULES!B$2,_xlfn.ANCHORARRAY(DATA_CLEANED!$AK$3),CALCULES!$A35)+COUNTIFS(_xlfn.ANCHORARRAY(DATA_CLEANED!$AF$3),CALCULES!B$2,_xlfn.ANCHORARRAY(DATA_CLEANED!$AN$3),CALCULES!$A35)&gt;0,1,0)</f>
        <v>1</v>
      </c>
      <c r="C35" s="112">
        <f>IF(COUNTIFS(_xlfn.ANCHORARRAY(DATA_CLEANED!$AF$3),CALCULES!C$2,_xlfn.ANCHORARRAY(DATA_CLEANED!$AK$3),CALCULES!$A35)+COUNTIFS(_xlfn.ANCHORARRAY(DATA_CLEANED!$AF$3),CALCULES!C$2,_xlfn.ANCHORARRAY(DATA_CLEANED!$AN$3),CALCULES!$A35)&gt;0,1,0)</f>
        <v>1</v>
      </c>
      <c r="D35" s="112">
        <f>IF(COUNTIFS(_xlfn.ANCHORARRAY(DATA_CLEANED!$AF$3),CALCULES!D$2,_xlfn.ANCHORARRAY(DATA_CLEANED!$AK$3),CALCULES!$A35)+COUNTIFS(_xlfn.ANCHORARRAY(DATA_CLEANED!$AF$3),CALCULES!D$2,_xlfn.ANCHORARRAY(DATA_CLEANED!$AN$3),CALCULES!$A35)&gt;0,1,0)</f>
        <v>1</v>
      </c>
      <c r="E35" s="112">
        <f>IF(COUNTIFS(_xlfn.ANCHORARRAY(DATA_CLEANED!$AF$3),CALCULES!E$2,_xlfn.ANCHORARRAY(DATA_CLEANED!$AK$3),CALCULES!$A35)+COUNTIFS(_xlfn.ANCHORARRAY(DATA_CLEANED!$AF$3),CALCULES!E$2,_xlfn.ANCHORARRAY(DATA_CLEANED!$AN$3),CALCULES!$A35)&gt;0,1,0)</f>
        <v>0</v>
      </c>
      <c r="F35" s="112">
        <f>IF(COUNTIFS(_xlfn.ANCHORARRAY(DATA_CLEANED!$AF$3),CALCULES!F$2,_xlfn.ANCHORARRAY(DATA_CLEANED!$AK$3),CALCULES!$A35)+COUNTIFS(_xlfn.ANCHORARRAY(DATA_CLEANED!$AF$3),CALCULES!F$2,_xlfn.ANCHORARRAY(DATA_CLEANED!$AN$3),CALCULES!$A35)&gt;0,1,0)</f>
        <v>1</v>
      </c>
      <c r="G35" s="112">
        <f>IF(COUNTIFS(_xlfn.ANCHORARRAY(DATA_CLEANED!$AF$3),CALCULES!G$2,_xlfn.ANCHORARRAY(DATA_CLEANED!$AK$3),CALCULES!$A35)+COUNTIFS(_xlfn.ANCHORARRAY(DATA_CLEANED!$AF$3),CALCULES!G$2,_xlfn.ANCHORARRAY(DATA_CLEANED!$AN$3),CALCULES!$A35)&gt;0,1,0)</f>
        <v>1</v>
      </c>
      <c r="H35" s="112">
        <f>IF(COUNTIFS(_xlfn.ANCHORARRAY(DATA_CLEANED!$AF$3),CALCULES!H$2,_xlfn.ANCHORARRAY(DATA_CLEANED!$AK$3),CALCULES!$A35)+COUNTIFS(_xlfn.ANCHORARRAY(DATA_CLEANED!$AF$3),CALCULES!H$2,_xlfn.ANCHORARRAY(DATA_CLEANED!$AN$3),CALCULES!$A35)&gt;0,1,0)</f>
        <v>0</v>
      </c>
      <c r="I35" s="112">
        <f>IF(COUNTIFS(_xlfn.ANCHORARRAY(DATA_CLEANED!$AF$3),CALCULES!I$2,_xlfn.ANCHORARRAY(DATA_CLEANED!$AK$3),CALCULES!$A35)+COUNTIFS(_xlfn.ANCHORARRAY(DATA_CLEANED!$AF$3),CALCULES!I$2,_xlfn.ANCHORARRAY(DATA_CLEANED!$AN$3),CALCULES!$A35)&gt;0,1,0)</f>
        <v>1</v>
      </c>
      <c r="J35" s="112">
        <f>IF(COUNTIFS(_xlfn.ANCHORARRAY(DATA_CLEANED!$AF$3),CALCULES!J$2,_xlfn.ANCHORARRAY(DATA_CLEANED!$AK$3),CALCULES!$A35)+COUNTIFS(_xlfn.ANCHORARRAY(DATA_CLEANED!$AF$3),CALCULES!J$2,_xlfn.ANCHORARRAY(DATA_CLEANED!$AN$3),CALCULES!$A35)&gt;0,1,0)</f>
        <v>0</v>
      </c>
      <c r="K35" s="112">
        <f>IF(COUNTIFS(_xlfn.ANCHORARRAY(DATA_CLEANED!$AF$3),CALCULES!K$2,_xlfn.ANCHORARRAY(DATA_CLEANED!$AK$3),CALCULES!$A35)+COUNTIFS(_xlfn.ANCHORARRAY(DATA_CLEANED!$AF$3),CALCULES!K$2,_xlfn.ANCHORARRAY(DATA_CLEANED!$AN$3),CALCULES!$A35)&gt;0,1,0)</f>
        <v>0</v>
      </c>
      <c r="L35" s="112">
        <f>IF(COUNTIFS(_xlfn.ANCHORARRAY(DATA_CLEANED!$AF$3),CALCULES!L$2,_xlfn.ANCHORARRAY(DATA_CLEANED!$AK$3),CALCULES!$A35)+COUNTIFS(_xlfn.ANCHORARRAY(DATA_CLEANED!$AF$3),CALCULES!L$2,_xlfn.ANCHORARRAY(DATA_CLEANED!$AN$3),CALCULES!$A35)&gt;0,1,0)</f>
        <v>1</v>
      </c>
      <c r="M35" s="112">
        <f>IF(COUNTIFS(_xlfn.ANCHORARRAY(DATA_CLEANED!$AF$3),CALCULES!M$2,_xlfn.ANCHORARRAY(DATA_CLEANED!$AK$3),CALCULES!$A35)+COUNTIFS(_xlfn.ANCHORARRAY(DATA_CLEANED!$AF$3),CALCULES!M$2,_xlfn.ANCHORARRAY(DATA_CLEANED!$AN$3),CALCULES!$A35)&gt;0,1,0)</f>
        <v>1</v>
      </c>
      <c r="N35" s="112">
        <f>IF(COUNTIFS(_xlfn.ANCHORARRAY(DATA_CLEANED!$AF$3),CALCULES!N$2,_xlfn.ANCHORARRAY(DATA_CLEANED!$AK$3),CALCULES!$A35)+COUNTIFS(_xlfn.ANCHORARRAY(DATA_CLEANED!$AF$3),CALCULES!N$2,_xlfn.ANCHORARRAY(DATA_CLEANED!$AN$3),CALCULES!$A35)&gt;0,1,0)</f>
        <v>1</v>
      </c>
      <c r="O35" s="112">
        <f>IF(COUNTIFS(_xlfn.ANCHORARRAY(DATA_CLEANED!$AF$3),CALCULES!O$2,_xlfn.ANCHORARRAY(DATA_CLEANED!$AK$3),CALCULES!$A35)+COUNTIFS(_xlfn.ANCHORARRAY(DATA_CLEANED!$AF$3),CALCULES!O$2,_xlfn.ANCHORARRAY(DATA_CLEANED!$AN$3),CALCULES!$A35)&gt;0,1,0)</f>
        <v>0</v>
      </c>
      <c r="P35" s="112">
        <f>IF(COUNTIFS(_xlfn.ANCHORARRAY(DATA_CLEANED!$AF$3),CALCULES!P$2,_xlfn.ANCHORARRAY(DATA_CLEANED!$AK$3),CALCULES!$A35)+COUNTIFS(_xlfn.ANCHORARRAY(DATA_CLEANED!$AF$3),CALCULES!P$2,_xlfn.ANCHORARRAY(DATA_CLEANED!$AN$3),CALCULES!$A35)&gt;0,1,0)</f>
        <v>0</v>
      </c>
      <c r="Q35" s="112">
        <f>IF(COUNTIFS(_xlfn.ANCHORARRAY(DATA_CLEANED!$AF$3),CALCULES!Q$2,_xlfn.ANCHORARRAY(DATA_CLEANED!$AK$3),CALCULES!$A35)+COUNTIFS(_xlfn.ANCHORARRAY(DATA_CLEANED!$AF$3),CALCULES!Q$2,_xlfn.ANCHORARRAY(DATA_CLEANED!$AN$3),CALCULES!$A35)&gt;0,1,0)</f>
        <v>1</v>
      </c>
      <c r="R35" s="112">
        <f>IF(COUNTIFS(_xlfn.ANCHORARRAY(DATA_CLEANED!$AF$3),CALCULES!R$2,_xlfn.ANCHORARRAY(DATA_CLEANED!$AK$3),CALCULES!$A35)+COUNTIFS(_xlfn.ANCHORARRAY(DATA_CLEANED!$AF$3),CALCULES!R$2,_xlfn.ANCHORARRAY(DATA_CLEANED!$AN$3),CALCULES!$A35)&gt;0,1,0)</f>
        <v>1</v>
      </c>
      <c r="S35" s="112">
        <f>IF(COUNTIFS(_xlfn.ANCHORARRAY(DATA_CLEANED!$AF$3),CALCULES!S$2,_xlfn.ANCHORARRAY(DATA_CLEANED!$AK$3),CALCULES!$A35)+COUNTIFS(_xlfn.ANCHORARRAY(DATA_CLEANED!$AF$3),CALCULES!S$2,_xlfn.ANCHORARRAY(DATA_CLEANED!$AN$3),CALCULES!$A35)&gt;0,1,0)</f>
        <v>1</v>
      </c>
      <c r="T35" s="112">
        <f>IF(COUNTIFS(_xlfn.ANCHORARRAY(DATA_CLEANED!$AF$3),CALCULES!T$2,_xlfn.ANCHORARRAY(DATA_CLEANED!$AK$3),CALCULES!$A35)+COUNTIFS(_xlfn.ANCHORARRAY(DATA_CLEANED!$AF$3),CALCULES!T$2,_xlfn.ANCHORARRAY(DATA_CLEANED!$AN$3),CALCULES!$A35)&gt;0,1,0)</f>
        <v>1</v>
      </c>
      <c r="U35" s="112">
        <f>IF(COUNTIFS(_xlfn.ANCHORARRAY(DATA_CLEANED!$AF$3),CALCULES!U$2,_xlfn.ANCHORARRAY(DATA_CLEANED!$AK$3),CALCULES!$A35)+COUNTIFS(_xlfn.ANCHORARRAY(DATA_CLEANED!$AF$3),CALCULES!U$2,_xlfn.ANCHORARRAY(DATA_CLEANED!$AN$3),CALCULES!$A35)&gt;0,1,0)</f>
        <v>1</v>
      </c>
      <c r="V35" s="112">
        <f>IF(COUNTIFS(_xlfn.ANCHORARRAY(DATA_CLEANED!$AF$3),CALCULES!V$2,_xlfn.ANCHORARRAY(DATA_CLEANED!$AK$3),CALCULES!$A35)+COUNTIFS(_xlfn.ANCHORARRAY(DATA_CLEANED!$AF$3),CALCULES!V$2,_xlfn.ANCHORARRAY(DATA_CLEANED!$AN$3),CALCULES!$A35)&gt;0,1,0)</f>
        <v>1</v>
      </c>
      <c r="W35" s="112">
        <f>IF(COUNTIFS(_xlfn.ANCHORARRAY(DATA_CLEANED!$AF$3),CALCULES!W$2,_xlfn.ANCHORARRAY(DATA_CLEANED!$AK$3),CALCULES!$A35)+COUNTIFS(_xlfn.ANCHORARRAY(DATA_CLEANED!$AF$3),CALCULES!W$2,_xlfn.ANCHORARRAY(DATA_CLEANED!$AN$3),CALCULES!$A35)&gt;0,1,0)</f>
        <v>1</v>
      </c>
      <c r="X35" s="112">
        <f>IF(COUNTIFS(_xlfn.ANCHORARRAY(DATA_CLEANED!$AF$3),CALCULES!X$2,_xlfn.ANCHORARRAY(DATA_CLEANED!$AK$3),CALCULES!$A35)+COUNTIFS(_xlfn.ANCHORARRAY(DATA_CLEANED!$AF$3),CALCULES!X$2,_xlfn.ANCHORARRAY(DATA_CLEANED!$AN$3),CALCULES!$A35)&gt;0,1,0)</f>
        <v>1</v>
      </c>
      <c r="Y35" s="113">
        <f t="shared" ref="Y35:Y66" si="15">+SUM(B35:X35)</f>
        <v>17</v>
      </c>
      <c r="AA35" s="112">
        <f>COUNTIF(_xlfn.ANCHORARRAY(DATA_CLEANED!$AK$3),$A35)+COUNTIF(DATA_CLEANED!$AN$2:$AN$1060,$A35)</f>
        <v>80</v>
      </c>
      <c r="AB35" s="112">
        <f>COUNTIF(DATA_QUALITE!BG$12:BG$1069,A35)</f>
        <v>46</v>
      </c>
      <c r="AC35" s="112">
        <f t="shared" si="7"/>
        <v>29</v>
      </c>
      <c r="AD35" s="112" cm="1">
        <f t="array" ref="AD35">SUMPRODUCT((DATA_CLEANED!AL$3:AL$1060=DATA_CLEANED!AM$3:AM$1060)*(_xlfn.ANCHORARRAY(DATA_CLEANED!AK$3)=CALCULES!A35)*(DATA_CLEANED!AO$3:AO$1060&lt;&gt;"-"))
+
SUMPRODUCT((DATA_CLEANED!AL$3:AL$1060=DATA_CLEANED!AM$3:AM$1060)*(_xlfn.ANCHORARRAY(DATA_CLEANED!AN$3)=CALCULES!A35)*(DATA_CLEANED!AO$3:AO$1060&lt;&gt;"-"))</f>
        <v>5</v>
      </c>
      <c r="AE35" s="116">
        <f t="shared" ref="AE35:AE66" si="16">AB35/AA35</f>
        <v>0.57499999999999996</v>
      </c>
      <c r="AF35" s="116">
        <f t="shared" ref="AF35:AF66" si="17">AC35/AA35</f>
        <v>0.36249999999999999</v>
      </c>
      <c r="AG35" s="112">
        <f>SUMIF(_xlfn.ANCHORARRAY(DATA_CLEANED!AK$3),A35,DATA_CLEANED!AL$2:AL$1060)+SUMIF(_xlfn.ANCHORARRAY(DATA_CLEANED!AN$3),A35,DATA_CLEANED!AM$2:AM$1060)</f>
        <v>120</v>
      </c>
      <c r="AH35" s="112">
        <f>SUMIF(_xlfn.ANCHORARRAY(DATA_CLEANED!AK$3),A35,DATA_CLEANED!AM$2:AM$1060)+SUMIF(_xlfn.ANCHORARRAY(DATA_CLEANED!AN$3),A35,DATA_CLEANED!AL$2:AL$1060)</f>
        <v>107</v>
      </c>
      <c r="AI35" s="112">
        <f t="shared" si="8"/>
        <v>1.34</v>
      </c>
      <c r="AJ35" s="117" cm="1">
        <f t="array" ref="AJ35">_xlfn.LET(_xlpm.home,IFERROR(_xlfn._xlws.FILTER(DATA_CLEANED!AH$3:AH$1060,DATA_CLEANED!AK$3:AK$1060=CALCULES!A35),""),
_xlpm.away,IFERROR(_xlfn._xlws.FILTER(DATA_CLEANED!AH$3:AH$1060,DATA_CLEANED!AN$3:AN$1060=CALCULES!A35),""),
_xlpm.assemb_t,_xlfn._xlws.FILTER(_xlfn.VSTACK(_xlpm.home,_xlpm.away),_xlfn.VSTACK(_xlpm.home,_xlpm.away)&lt;&gt;""),
_xlpm.but_h,IFERROR(_xlfn._xlws.FILTER(_xlfn.ANCHORARRAY(DATA_CLEANED!AM$3),DATA_CLEANED!AK$3:AK$1060=CALCULES!A35),""),
_xlpm.but_a,IFERROR(_xlfn._xlws.FILTER(_xlfn.ANCHORARRAY(DATA_CLEANED!AL$3),DATA_CLEANED!AN$3:AN$1060=CALCULES!A35),""),
_xlpm.assemb_b,_xlfn._xlws.FILTER(_xlfn.VSTACK(_xlpm.but_h,_xlpm.but_a),_xlfn.VSTACK(_xlpm.but_h,_xlpm.but_a)&lt;&gt;""),
MEDIAN(_xlpm.assemb_t,_xlpm.assemb_b)
)</f>
        <v>1</v>
      </c>
      <c r="AK35" s="113">
        <f t="shared" ref="AK35:AK66" si="18">AG35-AH35</f>
        <v>13</v>
      </c>
      <c r="AL35" s="112" cm="1">
        <f t="array" ref="AL35">IFERROR(MEDIAN(_xlfn._xlws.FILTER(_xlfn.VSTACK(
DATA_CLEANED!AL$3:AL$1060-DATA_CLEANED!AM$3:AM$1060,
DATA_CLEANED!AM$3:AM$1060-DATA_CLEANED!AL$3:AL$1060
),_xlfn.VSTACK(DATA_CLEANED!AK$3:AK$1060,DATA_CLEANED!AN$3:AN$1060)=A35)),"-")</f>
        <v>1</v>
      </c>
      <c r="AM35" s="112">
        <f t="shared" si="9"/>
        <v>1.5</v>
      </c>
      <c r="AN35" s="112" cm="1">
        <f t="array" ref="AN35">_xlfn.LET(_xlpm.home,IFERROR(_xlfn._xlws.FILTER(DATA_CLEANED!AH$3:AH$1060,DATA_CLEANED!AK$3:AK$1060=CALCULES!A35),""),
_xlpm.away,IFERROR(_xlfn._xlws.FILTER(DATA_CLEANED!AH$3:AH$1060,DATA_CLEANED!AN$3:AN$1060=CALCULES!A35),""),
_xlpm.assemb_t,_xlfn._xlws.FILTER(_xlfn.VSTACK(_xlpm.home,_xlpm.away),_xlfn.VSTACK(_xlpm.home,_xlpm.away)&lt;&gt;""),
_xlpm.but_h,IFERROR(_xlfn._xlws.FILTER(_xlfn.ANCHORARRAY(DATA_CLEANED!AL$3),DATA_CLEANED!AK$3:AK$1060=CALCULES!A35),""),
_xlpm.but_a,IFERROR(_xlfn._xlws.FILTER(_xlfn.ANCHORARRAY(DATA_CLEANED!AM$3),DATA_CLEANED!AN$3:AN$1060=CALCULES!A35),""),
_xlpm.assemb_b,_xlfn._xlws.FILTER(_xlfn.VSTACK(_xlpm.but_h,_xlpm.but_a),_xlfn.VSTACK(_xlpm.but_h,_xlpm.but_a)&lt;&gt;""),
MEDIAN(_xlpm.assemb_t,_xlpm.assemb_b)
)</f>
        <v>2</v>
      </c>
      <c r="AO35" s="116">
        <f>ROUND(IFERROR((COUNTIFS(DATA_CLEANED!AK$3:AK$1060,A35,DATA_CLEANED!AM$3:AM$1060,0)
+
COUNTIFS(DATA_CLEANED!AN$3:AN$1060,A35,DATA_CLEANED!AL$3:AL$1060,0)
)/AA35,0),2)</f>
        <v>0.34</v>
      </c>
      <c r="AP35" s="112">
        <f>MAX((_xlfn.MAXIFS(_xlfn.ANCHORARRAY(DATA_CLEANED!AL$3),_xlfn.ANCHORARRAY(DATA_CLEANED!AK$3),A35)),(_xlfn.MAXIFS(DATA_CLEANED!AM$3:AM$1060,_xlfn.ANCHORARRAY(DATA_CLEANED!AN$3),A35)))</f>
        <v>7</v>
      </c>
      <c r="AQ35" s="112">
        <f>COUNTIF(_xlfn.ANCHORARRAY(DATA_CLEANED!K$3),A35)</f>
        <v>24</v>
      </c>
      <c r="AR35" s="113" t="str" cm="1">
        <f t="array" ref="AR35">_xlfn.LET(
_xlpm.home,IFERROR(_xlfn._xlws.FILTER(DATA_CLEANED!AH$3:AH$1060,DATA_CLEANED!AK$3:AK$1060=CALCULES!A35),""),
_xlpm.away,IFERROR(_xlfn._xlws.FILTER(DATA_CLEANED!AH$3:AH$1060,DATA_CLEANED!AN$3:AN$1060=CALCULES!A35),""),
_xlpm.etapes,_xlfn._xlws.FILTER(_xlfn.VSTACK(_xlpm.home,_xlpm.away),_xlfn.VSTACK(_xlpm.home,_xlpm.away)&lt;&gt;""),
_xlpm.numeros,_xlfn.XLOOKUP(_xlpm.etapes,DATA_QUALITE!AT$12:AT$38,DATA_QUALITE!AU$12:AU$38),
_xlfn.XLOOKUP(MIN(_xlpm.numeros),DATA_QUALITE!AU$12:AU$38,DATA_QUALITE!AT$12:AT$38)
)</f>
        <v>FINAL</v>
      </c>
      <c r="AS35" s="112">
        <f t="shared" ref="AS35:AS66" si="19">Y35</f>
        <v>17</v>
      </c>
      <c r="AT35" s="112">
        <f t="shared" ref="AT35:AT66" si="20">AB35</f>
        <v>46</v>
      </c>
      <c r="AU35" s="112">
        <f>COUNTIFS(DATA_QUALITE!BG$12:BG$1069,"MATCH NUL",_xlfn.ANCHORARRAY(DATA_CLEANED!AK$3),CALCULES!A35)+COUNTIFS(DATA_QUALITE!BG$12:BG$1069,"MATCH NUL",_xlfn.ANCHORARRAY(DATA_CLEANED!AN$3),CALCULES!A35)</f>
        <v>9</v>
      </c>
      <c r="AV35" s="112">
        <v>120</v>
      </c>
      <c r="AW35" s="112">
        <f>COUNTIFS(_xlfn.ANCHORARRAY(DATA_CLEANED!AH$3),"QUARTER_FINALS",_xlfn.ANCHORARRAY(DATA_CLEANED!AK$3),CALCULES!A35)+COUNTIFS(_xlfn.ANCHORARRAY(DATA_CLEANED!AH$3),"QUARTER_FINALS",_xlfn.ANCHORARRAY(DATA_CLEANED!AN$3),CALCULES!A35)</f>
        <v>9</v>
      </c>
      <c r="AX35" s="112">
        <f>COUNTIFS(_xlfn.ANCHORARRAY(DATA_CLEANED!AH$3),"SEMI_FINALS",_xlfn.ANCHORARRAY(DATA_CLEANED!AK$3),CALCULES!A35)+COUNTIFS(_xlfn.ANCHORARRAY(DATA_CLEANED!AH$3),"SEMI_FINALS",_xlfn.ANCHORARRAY(DATA_CLEANED!AN$3),CALCULES!A35)</f>
        <v>8</v>
      </c>
      <c r="AY35" s="112">
        <f>COUNTIFS(_xlfn.ANCHORARRAY(DATA_CLEANED!AH$3),"FINAL",_xlfn.ANCHORARRAY(DATA_CLEANED!AK$3),CALCULES!A35)+COUNTIFS(_xlfn.ANCHORARRAY(DATA_CLEANED!AH$3),"FINAL",_xlfn.ANCHORARRAY(DATA_CLEANED!AN$3),CALCULES!A35)</f>
        <v>4</v>
      </c>
      <c r="AZ35" s="112">
        <f>COUNTIFS(DATA_QUALITE!BG$12:BG$1069,CALCULES!A35,DATA_QUALITE!AW$12:AW$1069,"FINAL")</f>
        <v>2</v>
      </c>
      <c r="BA35" s="113">
        <f t="shared" ref="BA35:BA66" si="21">ROUND((35*VALUE(AE35))+(0.3*MIN(AN35/3,1)*100)+(0.25*(MAX(0,1-AJ35/3)*100))+(IF(AK35&lt;&gt;0,(0.1*(MIN((AA35/AK35)/60,1)*100)),0)),2)</f>
        <v>57.82</v>
      </c>
      <c r="BB35" s="118">
        <f t="shared" si="10"/>
        <v>46.06</v>
      </c>
      <c r="BC35" s="118">
        <f t="shared" si="11"/>
        <v>37.450000000000003</v>
      </c>
      <c r="BD35" s="139">
        <f t="shared" si="12"/>
        <v>41.76</v>
      </c>
      <c r="BF35" s="176" t="s">
        <v>3934</v>
      </c>
      <c r="BG35" s="176">
        <f>BJ16*BG32</f>
        <v>1.2443725524935556</v>
      </c>
      <c r="BH35" s="167"/>
      <c r="BI35" s="167"/>
      <c r="BJ35" s="167"/>
      <c r="BK35" s="167"/>
      <c r="BL35" s="173">
        <f>INT((ROWS($BL$15:BL35)-1)/9)</f>
        <v>2</v>
      </c>
      <c r="BM35" s="173">
        <f>MOD(ROWS($BM$15:BM35)-1,9)</f>
        <v>2</v>
      </c>
      <c r="BN35" s="173">
        <f t="shared" si="14"/>
        <v>5.2901238844128409E-2</v>
      </c>
      <c r="BO35" s="167"/>
      <c r="BP35" s="167"/>
    </row>
    <row r="36" spans="1:68">
      <c r="A36" s="113" t="str">
        <v>Germany</v>
      </c>
      <c r="B36" s="112">
        <f>IF(COUNTIFS(_xlfn.ANCHORARRAY(DATA_CLEANED!$AF$3),CALCULES!B$2,_xlfn.ANCHORARRAY(DATA_CLEANED!$AK$3),CALCULES!$A36)+COUNTIFS(_xlfn.ANCHORARRAY(DATA_CLEANED!$AF$3),CALCULES!B$2,_xlfn.ANCHORARRAY(DATA_CLEANED!$AN$3),CALCULES!$A36)&gt;0,1,0)</f>
        <v>0</v>
      </c>
      <c r="C36" s="112">
        <f>IF(COUNTIFS(_xlfn.ANCHORARRAY(DATA_CLEANED!$AF$3),CALCULES!C$2,_xlfn.ANCHORARRAY(DATA_CLEANED!$AK$3),CALCULES!$A36)+COUNTIFS(_xlfn.ANCHORARRAY(DATA_CLEANED!$AF$3),CALCULES!C$2,_xlfn.ANCHORARRAY(DATA_CLEANED!$AN$3),CALCULES!$A36)&gt;0,1,0)</f>
        <v>1</v>
      </c>
      <c r="D36" s="112">
        <f>IF(COUNTIFS(_xlfn.ANCHORARRAY(DATA_CLEANED!$AF$3),CALCULES!D$2,_xlfn.ANCHORARRAY(DATA_CLEANED!$AK$3),CALCULES!$A36)+COUNTIFS(_xlfn.ANCHORARRAY(DATA_CLEANED!$AF$3),CALCULES!D$2,_xlfn.ANCHORARRAY(DATA_CLEANED!$AN$3),CALCULES!$A36)&gt;0,1,0)</f>
        <v>1</v>
      </c>
      <c r="E36" s="112">
        <f>IF(COUNTIFS(_xlfn.ANCHORARRAY(DATA_CLEANED!$AF$3),CALCULES!E$2,_xlfn.ANCHORARRAY(DATA_CLEANED!$AK$3),CALCULES!$A36)+COUNTIFS(_xlfn.ANCHORARRAY(DATA_CLEANED!$AF$3),CALCULES!E$2,_xlfn.ANCHORARRAY(DATA_CLEANED!$AN$3),CALCULES!$A36)&gt;0,1,0)</f>
        <v>0</v>
      </c>
      <c r="F36" s="112">
        <f>IF(COUNTIFS(_xlfn.ANCHORARRAY(DATA_CLEANED!$AF$3),CALCULES!F$2,_xlfn.ANCHORARRAY(DATA_CLEANED!$AK$3),CALCULES!$A36)+COUNTIFS(_xlfn.ANCHORARRAY(DATA_CLEANED!$AF$3),CALCULES!F$2,_xlfn.ANCHORARRAY(DATA_CLEANED!$AN$3),CALCULES!$A36)&gt;0,1,0)</f>
        <v>0</v>
      </c>
      <c r="G36" s="112">
        <f>IF(COUNTIFS(_xlfn.ANCHORARRAY(DATA_CLEANED!$AF$3),CALCULES!G$2,_xlfn.ANCHORARRAY(DATA_CLEANED!$AK$3),CALCULES!$A36)+COUNTIFS(_xlfn.ANCHORARRAY(DATA_CLEANED!$AF$3),CALCULES!G$2,_xlfn.ANCHORARRAY(DATA_CLEANED!$AN$3),CALCULES!$A36)&gt;0,1,0)</f>
        <v>0</v>
      </c>
      <c r="H36" s="112">
        <f>IF(COUNTIFS(_xlfn.ANCHORARRAY(DATA_CLEANED!$AF$3),CALCULES!H$2,_xlfn.ANCHORARRAY(DATA_CLEANED!$AK$3),CALCULES!$A36)+COUNTIFS(_xlfn.ANCHORARRAY(DATA_CLEANED!$AF$3),CALCULES!H$2,_xlfn.ANCHORARRAY(DATA_CLEANED!$AN$3),CALCULES!$A36)&gt;0,1,0)</f>
        <v>0</v>
      </c>
      <c r="I36" s="112">
        <f>IF(COUNTIFS(_xlfn.ANCHORARRAY(DATA_CLEANED!$AF$3),CALCULES!I$2,_xlfn.ANCHORARRAY(DATA_CLEANED!$AK$3),CALCULES!$A36)+COUNTIFS(_xlfn.ANCHORARRAY(DATA_CLEANED!$AF$3),CALCULES!I$2,_xlfn.ANCHORARRAY(DATA_CLEANED!$AN$3),CALCULES!$A36)&gt;0,1,0)</f>
        <v>0</v>
      </c>
      <c r="J36" s="112">
        <f>IF(COUNTIFS(_xlfn.ANCHORARRAY(DATA_CLEANED!$AF$3),CALCULES!J$2,_xlfn.ANCHORARRAY(DATA_CLEANED!$AK$3),CALCULES!$A36)+COUNTIFS(_xlfn.ANCHORARRAY(DATA_CLEANED!$AF$3),CALCULES!J$2,_xlfn.ANCHORARRAY(DATA_CLEANED!$AN$3),CALCULES!$A36)&gt;0,1,0)</f>
        <v>0</v>
      </c>
      <c r="K36" s="112">
        <f>IF(COUNTIFS(_xlfn.ANCHORARRAY(DATA_CLEANED!$AF$3),CALCULES!K$2,_xlfn.ANCHORARRAY(DATA_CLEANED!$AK$3),CALCULES!$A36)+COUNTIFS(_xlfn.ANCHORARRAY(DATA_CLEANED!$AF$3),CALCULES!K$2,_xlfn.ANCHORARRAY(DATA_CLEANED!$AN$3),CALCULES!$A36)&gt;0,1,0)</f>
        <v>0</v>
      </c>
      <c r="L36" s="112">
        <f>IF(COUNTIFS(_xlfn.ANCHORARRAY(DATA_CLEANED!$AF$3),CALCULES!L$2,_xlfn.ANCHORARRAY(DATA_CLEANED!$AK$3),CALCULES!$A36)+COUNTIFS(_xlfn.ANCHORARRAY(DATA_CLEANED!$AF$3),CALCULES!L$2,_xlfn.ANCHORARRAY(DATA_CLEANED!$AN$3),CALCULES!$A36)&gt;0,1,0)</f>
        <v>0</v>
      </c>
      <c r="M36" s="112">
        <f>IF(COUNTIFS(_xlfn.ANCHORARRAY(DATA_CLEANED!$AF$3),CALCULES!M$2,_xlfn.ANCHORARRAY(DATA_CLEANED!$AK$3),CALCULES!$A36)+COUNTIFS(_xlfn.ANCHORARRAY(DATA_CLEANED!$AF$3),CALCULES!M$2,_xlfn.ANCHORARRAY(DATA_CLEANED!$AN$3),CALCULES!$A36)&gt;0,1,0)</f>
        <v>0</v>
      </c>
      <c r="N36" s="112">
        <f>IF(COUNTIFS(_xlfn.ANCHORARRAY(DATA_CLEANED!$AF$3),CALCULES!N$2,_xlfn.ANCHORARRAY(DATA_CLEANED!$AK$3),CALCULES!$A36)+COUNTIFS(_xlfn.ANCHORARRAY(DATA_CLEANED!$AF$3),CALCULES!N$2,_xlfn.ANCHORARRAY(DATA_CLEANED!$AN$3),CALCULES!$A36)&gt;0,1,0)</f>
        <v>0</v>
      </c>
      <c r="O36" s="112">
        <f>IF(COUNTIFS(_xlfn.ANCHORARRAY(DATA_CLEANED!$AF$3),CALCULES!O$2,_xlfn.ANCHORARRAY(DATA_CLEANED!$AK$3),CALCULES!$A36)+COUNTIFS(_xlfn.ANCHORARRAY(DATA_CLEANED!$AF$3),CALCULES!O$2,_xlfn.ANCHORARRAY(DATA_CLEANED!$AN$3),CALCULES!$A36)&gt;0,1,0)</f>
        <v>0</v>
      </c>
      <c r="P36" s="112">
        <f>IF(COUNTIFS(_xlfn.ANCHORARRAY(DATA_CLEANED!$AF$3),CALCULES!P$2,_xlfn.ANCHORARRAY(DATA_CLEANED!$AK$3),CALCULES!$A36)+COUNTIFS(_xlfn.ANCHORARRAY(DATA_CLEANED!$AF$3),CALCULES!P$2,_xlfn.ANCHORARRAY(DATA_CLEANED!$AN$3),CALCULES!$A36)&gt;0,1,0)</f>
        <v>1</v>
      </c>
      <c r="Q36" s="112">
        <f>IF(COUNTIFS(_xlfn.ANCHORARRAY(DATA_CLEANED!$AF$3),CALCULES!Q$2,_xlfn.ANCHORARRAY(DATA_CLEANED!$AK$3),CALCULES!$A36)+COUNTIFS(_xlfn.ANCHORARRAY(DATA_CLEANED!$AF$3),CALCULES!Q$2,_xlfn.ANCHORARRAY(DATA_CLEANED!$AN$3),CALCULES!$A36)&gt;0,1,0)</f>
        <v>1</v>
      </c>
      <c r="R36" s="112">
        <f>IF(COUNTIFS(_xlfn.ANCHORARRAY(DATA_CLEANED!$AF$3),CALCULES!R$2,_xlfn.ANCHORARRAY(DATA_CLEANED!$AK$3),CALCULES!$A36)+COUNTIFS(_xlfn.ANCHORARRAY(DATA_CLEANED!$AF$3),CALCULES!R$2,_xlfn.ANCHORARRAY(DATA_CLEANED!$AN$3),CALCULES!$A36)&gt;0,1,0)</f>
        <v>1</v>
      </c>
      <c r="S36" s="112">
        <f>IF(COUNTIFS(_xlfn.ANCHORARRAY(DATA_CLEANED!$AF$3),CALCULES!S$2,_xlfn.ANCHORARRAY(DATA_CLEANED!$AK$3),CALCULES!$A36)+COUNTIFS(_xlfn.ANCHORARRAY(DATA_CLEANED!$AF$3),CALCULES!S$2,_xlfn.ANCHORARRAY(DATA_CLEANED!$AN$3),CALCULES!$A36)&gt;0,1,0)</f>
        <v>1</v>
      </c>
      <c r="T36" s="112">
        <f>IF(COUNTIFS(_xlfn.ANCHORARRAY(DATA_CLEANED!$AF$3),CALCULES!T$2,_xlfn.ANCHORARRAY(DATA_CLEANED!$AK$3),CALCULES!$A36)+COUNTIFS(_xlfn.ANCHORARRAY(DATA_CLEANED!$AF$3),CALCULES!T$2,_xlfn.ANCHORARRAY(DATA_CLEANED!$AN$3),CALCULES!$A36)&gt;0,1,0)</f>
        <v>1</v>
      </c>
      <c r="U36" s="112">
        <f>IF(COUNTIFS(_xlfn.ANCHORARRAY(DATA_CLEANED!$AF$3),CALCULES!U$2,_xlfn.ANCHORARRAY(DATA_CLEANED!$AK$3),CALCULES!$A36)+COUNTIFS(_xlfn.ANCHORARRAY(DATA_CLEANED!$AF$3),CALCULES!U$2,_xlfn.ANCHORARRAY(DATA_CLEANED!$AN$3),CALCULES!$A36)&gt;0,1,0)</f>
        <v>1</v>
      </c>
      <c r="V36" s="112">
        <f>IF(COUNTIFS(_xlfn.ANCHORARRAY(DATA_CLEANED!$AF$3),CALCULES!V$2,_xlfn.ANCHORARRAY(DATA_CLEANED!$AK$3),CALCULES!$A36)+COUNTIFS(_xlfn.ANCHORARRAY(DATA_CLEANED!$AF$3),CALCULES!V$2,_xlfn.ANCHORARRAY(DATA_CLEANED!$AN$3),CALCULES!$A36)&gt;0,1,0)</f>
        <v>1</v>
      </c>
      <c r="W36" s="112">
        <f>IF(COUNTIFS(_xlfn.ANCHORARRAY(DATA_CLEANED!$AF$3),CALCULES!W$2,_xlfn.ANCHORARRAY(DATA_CLEANED!$AK$3),CALCULES!$A36)+COUNTIFS(_xlfn.ANCHORARRAY(DATA_CLEANED!$AF$3),CALCULES!W$2,_xlfn.ANCHORARRAY(DATA_CLEANED!$AN$3),CALCULES!$A36)&gt;0,1,0)</f>
        <v>1</v>
      </c>
      <c r="X36" s="112">
        <f>IF(COUNTIFS(_xlfn.ANCHORARRAY(DATA_CLEANED!$AF$3),CALCULES!X$2,_xlfn.ANCHORARRAY(DATA_CLEANED!$AK$3),CALCULES!$A36)+COUNTIFS(_xlfn.ANCHORARRAY(DATA_CLEANED!$AF$3),CALCULES!X$2,_xlfn.ANCHORARRAY(DATA_CLEANED!$AN$3),CALCULES!$A36)&gt;0,1,0)</f>
        <v>1</v>
      </c>
      <c r="Y36" s="113">
        <f t="shared" si="15"/>
        <v>11</v>
      </c>
      <c r="AA36" s="112">
        <f>COUNTIF(_xlfn.ANCHORARRAY(DATA_CLEANED!$AK$3),$A36)+COUNTIF(DATA_CLEANED!$AN$2:$AN$1060,$A36)</f>
        <v>54</v>
      </c>
      <c r="AB36" s="112">
        <f>COUNTIF(DATA_QUALITE!BG$12:BG$1069,A36)</f>
        <v>35</v>
      </c>
      <c r="AC36" s="112">
        <f t="shared" si="7"/>
        <v>17</v>
      </c>
      <c r="AD36" s="112" cm="1">
        <f t="array" ref="AD36">SUMPRODUCT((DATA_CLEANED!AL$3:AL$1060=DATA_CLEANED!AM$3:AM$1060)*(_xlfn.ANCHORARRAY(DATA_CLEANED!AK$3)=CALCULES!A36)*(DATA_CLEANED!AO$3:AO$1060&lt;&gt;"-"))
+
SUMPRODUCT((DATA_CLEANED!AL$3:AL$1060=DATA_CLEANED!AM$3:AM$1060)*(_xlfn.ANCHORARRAY(DATA_CLEANED!AN$3)=CALCULES!A36)*(DATA_CLEANED!AO$3:AO$1060&lt;&gt;"-"))</f>
        <v>2</v>
      </c>
      <c r="AE36" s="116">
        <f t="shared" si="16"/>
        <v>0.64814814814814814</v>
      </c>
      <c r="AF36" s="116">
        <f t="shared" si="17"/>
        <v>0.31481481481481483</v>
      </c>
      <c r="AG36" s="112">
        <f>SUMIF(_xlfn.ANCHORARRAY(DATA_CLEANED!AK$3),A36,DATA_CLEANED!AL$2:AL$1060)+SUMIF(_xlfn.ANCHORARRAY(DATA_CLEANED!AN$3),A36,DATA_CLEANED!AM$2:AM$1060)</f>
        <v>70</v>
      </c>
      <c r="AH36" s="112">
        <f>SUMIF(_xlfn.ANCHORARRAY(DATA_CLEANED!AK$3),A36,DATA_CLEANED!AM$2:AM$1060)+SUMIF(_xlfn.ANCHORARRAY(DATA_CLEANED!AN$3),A36,DATA_CLEANED!AL$2:AL$1060)</f>
        <v>75</v>
      </c>
      <c r="AI36" s="112">
        <f t="shared" si="8"/>
        <v>1.39</v>
      </c>
      <c r="AJ36" s="117" cm="1">
        <f t="array" ref="AJ36">_xlfn.LET(_xlpm.home,IFERROR(_xlfn._xlws.FILTER(DATA_CLEANED!AH$3:AH$1060,DATA_CLEANED!AK$3:AK$1060=CALCULES!A36),""),
_xlpm.away,IFERROR(_xlfn._xlws.FILTER(DATA_CLEANED!AH$3:AH$1060,DATA_CLEANED!AN$3:AN$1060=CALCULES!A36),""),
_xlpm.assemb_t,_xlfn._xlws.FILTER(_xlfn.VSTACK(_xlpm.home,_xlpm.away),_xlfn.VSTACK(_xlpm.home,_xlpm.away)&lt;&gt;""),
_xlpm.but_h,IFERROR(_xlfn._xlws.FILTER(_xlfn.ANCHORARRAY(DATA_CLEANED!AM$3),DATA_CLEANED!AK$3:AK$1060=CALCULES!A36),""),
_xlpm.but_a,IFERROR(_xlfn._xlws.FILTER(_xlfn.ANCHORARRAY(DATA_CLEANED!AL$3),DATA_CLEANED!AN$3:AN$1060=CALCULES!A36),""),
_xlpm.assemb_b,_xlfn._xlws.FILTER(_xlfn.VSTACK(_xlpm.but_h,_xlpm.but_a),_xlfn.VSTACK(_xlpm.but_h,_xlpm.but_a)&lt;&gt;""),
MEDIAN(_xlpm.assemb_t,_xlpm.assemb_b)
)</f>
        <v>1</v>
      </c>
      <c r="AK36" s="113">
        <f t="shared" si="18"/>
        <v>-5</v>
      </c>
      <c r="AL36" s="112" cm="1">
        <f t="array" ref="AL36">IFERROR(MEDIAN(_xlfn._xlws.FILTER(_xlfn.VSTACK(
DATA_CLEANED!AL$3:AL$1060-DATA_CLEANED!AM$3:AM$1060,
DATA_CLEANED!AM$3:AM$1060-DATA_CLEANED!AL$3:AL$1060
),_xlfn.VSTACK(DATA_CLEANED!AK$3:AK$1060,DATA_CLEANED!AN$3:AN$1060)=A36)),"-")</f>
        <v>1</v>
      </c>
      <c r="AM36" s="112">
        <f t="shared" si="9"/>
        <v>1.3</v>
      </c>
      <c r="AN36" s="112" cm="1">
        <f t="array" ref="AN36">_xlfn.LET(_xlpm.home,IFERROR(_xlfn._xlws.FILTER(DATA_CLEANED!AH$3:AH$1060,DATA_CLEANED!AK$3:AK$1060=CALCULES!A36),""),
_xlpm.away,IFERROR(_xlfn._xlws.FILTER(DATA_CLEANED!AH$3:AH$1060,DATA_CLEANED!AN$3:AN$1060=CALCULES!A36),""),
_xlpm.assemb_t,_xlfn._xlws.FILTER(_xlfn.VSTACK(_xlpm.home,_xlpm.away),_xlfn.VSTACK(_xlpm.home,_xlpm.away)&lt;&gt;""),
_xlpm.but_h,IFERROR(_xlfn._xlws.FILTER(_xlfn.ANCHORARRAY(DATA_CLEANED!AL$3),DATA_CLEANED!AK$3:AK$1060=CALCULES!A36),""),
_xlpm.but_a,IFERROR(_xlfn._xlws.FILTER(_xlfn.ANCHORARRAY(DATA_CLEANED!AM$3),DATA_CLEANED!AN$3:AN$1060=CALCULES!A36),""),
_xlpm.assemb_b,_xlfn._xlws.FILTER(_xlfn.VSTACK(_xlpm.but_h,_xlpm.but_a),_xlfn.VSTACK(_xlpm.but_h,_xlpm.but_a)&lt;&gt;""),
MEDIAN(_xlpm.assemb_t,_xlpm.assemb_b)
)</f>
        <v>2</v>
      </c>
      <c r="AO36" s="116">
        <f>ROUND(IFERROR((COUNTIFS(DATA_CLEANED!AK$3:AK$1060,A36,DATA_CLEANED!AM$3:AM$1060,0)
+
COUNTIFS(DATA_CLEANED!AN$3:AN$1060,A36,DATA_CLEANED!AL$3:AL$1060,0)
)/AA36,0),2)</f>
        <v>0.33</v>
      </c>
      <c r="AP36" s="112">
        <f>MAX((_xlfn.MAXIFS(_xlfn.ANCHORARRAY(DATA_CLEANED!AL$3),_xlfn.ANCHORARRAY(DATA_CLEANED!AK$3),A36)),(_xlfn.MAXIFS(DATA_CLEANED!AM$3:AM$1060,_xlfn.ANCHORARRAY(DATA_CLEANED!AN$3),A36)))</f>
        <v>8</v>
      </c>
      <c r="AQ36" s="112">
        <f>COUNTIF(_xlfn.ANCHORARRAY(DATA_CLEANED!K$3),A36)</f>
        <v>9</v>
      </c>
      <c r="AR36" s="113" t="str" cm="1">
        <f t="array" ref="AR36">_xlfn.LET(
_xlpm.home,IFERROR(_xlfn._xlws.FILTER(DATA_CLEANED!AH$3:AH$1060,DATA_CLEANED!AK$3:AK$1060=CALCULES!A36),""),
_xlpm.away,IFERROR(_xlfn._xlws.FILTER(DATA_CLEANED!AH$3:AH$1060,DATA_CLEANED!AN$3:AN$1060=CALCULES!A36),""),
_xlpm.etapes,_xlfn._xlws.FILTER(_xlfn.VSTACK(_xlpm.home,_xlpm.away),_xlfn.VSTACK(_xlpm.home,_xlpm.away)&lt;&gt;""),
_xlpm.numeros,_xlfn.XLOOKUP(_xlpm.etapes,DATA_QUALITE!AT$12:AT$38,DATA_QUALITE!AU$12:AU$38),
_xlfn.XLOOKUP(MIN(_xlpm.numeros),DATA_QUALITE!AU$12:AU$38,DATA_QUALITE!AT$12:AT$38)
)</f>
        <v>FINAL</v>
      </c>
      <c r="AS36" s="112">
        <f t="shared" si="19"/>
        <v>11</v>
      </c>
      <c r="AT36" s="112">
        <f t="shared" si="20"/>
        <v>35</v>
      </c>
      <c r="AU36" s="112">
        <f>COUNTIFS(DATA_QUALITE!BG$12:BG$1069,"MATCH NUL",_xlfn.ANCHORARRAY(DATA_CLEANED!AK$3),CALCULES!A36)+COUNTIFS(DATA_QUALITE!BG$12:BG$1069,"MATCH NUL",_xlfn.ANCHORARRAY(DATA_CLEANED!AN$3),CALCULES!A36)</f>
        <v>6</v>
      </c>
      <c r="AV36" s="112">
        <v>70</v>
      </c>
      <c r="AW36" s="112">
        <f>COUNTIFS(_xlfn.ANCHORARRAY(DATA_CLEANED!AH$3),"QUARTER_FINALS",_xlfn.ANCHORARRAY(DATA_CLEANED!AK$3),CALCULES!A36)+COUNTIFS(_xlfn.ANCHORARRAY(DATA_CLEANED!AH$3),"QUARTER_FINALS",_xlfn.ANCHORARRAY(DATA_CLEANED!AN$3),CALCULES!A36)</f>
        <v>7</v>
      </c>
      <c r="AX36" s="112">
        <f>COUNTIFS(_xlfn.ANCHORARRAY(DATA_CLEANED!AH$3),"SEMI_FINALS",_xlfn.ANCHORARRAY(DATA_CLEANED!AK$3),CALCULES!A36)+COUNTIFS(_xlfn.ANCHORARRAY(DATA_CLEANED!AH$3),"SEMI_FINALS",_xlfn.ANCHORARRAY(DATA_CLEANED!AN$3),CALCULES!A36)</f>
        <v>5</v>
      </c>
      <c r="AY36" s="112">
        <f>COUNTIFS(_xlfn.ANCHORARRAY(DATA_CLEANED!AH$3),"FINAL",_xlfn.ANCHORARRAY(DATA_CLEANED!AK$3),CALCULES!A36)+COUNTIFS(_xlfn.ANCHORARRAY(DATA_CLEANED!AH$3),"FINAL",_xlfn.ANCHORARRAY(DATA_CLEANED!AN$3),CALCULES!A36)</f>
        <v>2</v>
      </c>
      <c r="AZ36" s="112">
        <f>COUNTIFS(DATA_QUALITE!BG$12:BG$1069,CALCULES!A36,DATA_QUALITE!AW$12:AW$1069,"FINAL")</f>
        <v>1</v>
      </c>
      <c r="BA36" s="113">
        <f t="shared" si="21"/>
        <v>57.55</v>
      </c>
      <c r="BB36" s="118">
        <f t="shared" si="10"/>
        <v>38.520000000000003</v>
      </c>
      <c r="BC36" s="118">
        <f t="shared" si="11"/>
        <v>31.88</v>
      </c>
      <c r="BD36" s="139">
        <f t="shared" si="12"/>
        <v>35.200000000000003</v>
      </c>
      <c r="BF36" s="171"/>
      <c r="BG36" s="171"/>
      <c r="BH36" s="167"/>
      <c r="BI36" s="167"/>
      <c r="BJ36" s="167"/>
      <c r="BK36" s="167"/>
      <c r="BL36" s="173">
        <f>INT((ROWS($BL$15:BL36)-1)/9)</f>
        <v>2</v>
      </c>
      <c r="BM36" s="173">
        <f>MOD(ROWS($BM$15:BM36)-1,9)</f>
        <v>3</v>
      </c>
      <c r="BN36" s="173">
        <f t="shared" si="14"/>
        <v>1.9748654883161777E-2</v>
      </c>
      <c r="BO36" s="167"/>
      <c r="BP36" s="167"/>
    </row>
    <row r="37" spans="1:68">
      <c r="A37" s="113" t="str">
        <v>Ghana</v>
      </c>
      <c r="B37" s="112">
        <f>IF(COUNTIFS(_xlfn.ANCHORARRAY(DATA_CLEANED!$AF$3),CALCULES!B$2,_xlfn.ANCHORARRAY(DATA_CLEANED!$AK$3),CALCULES!$A37)+COUNTIFS(_xlfn.ANCHORARRAY(DATA_CLEANED!$AF$3),CALCULES!B$2,_xlfn.ANCHORARRAY(DATA_CLEANED!$AN$3),CALCULES!$A37)&gt;0,1,0)</f>
        <v>0</v>
      </c>
      <c r="C37" s="112">
        <f>IF(COUNTIFS(_xlfn.ANCHORARRAY(DATA_CLEANED!$AF$3),CALCULES!C$2,_xlfn.ANCHORARRAY(DATA_CLEANED!$AK$3),CALCULES!$A37)+COUNTIFS(_xlfn.ANCHORARRAY(DATA_CLEANED!$AF$3),CALCULES!C$2,_xlfn.ANCHORARRAY(DATA_CLEANED!$AN$3),CALCULES!$A37)&gt;0,1,0)</f>
        <v>0</v>
      </c>
      <c r="D37" s="112">
        <f>IF(COUNTIFS(_xlfn.ANCHORARRAY(DATA_CLEANED!$AF$3),CALCULES!D$2,_xlfn.ANCHORARRAY(DATA_CLEANED!$AK$3),CALCULES!$A37)+COUNTIFS(_xlfn.ANCHORARRAY(DATA_CLEANED!$AF$3),CALCULES!D$2,_xlfn.ANCHORARRAY(DATA_CLEANED!$AN$3),CALCULES!$A37)&gt;0,1,0)</f>
        <v>0</v>
      </c>
      <c r="E37" s="112">
        <f>IF(COUNTIFS(_xlfn.ANCHORARRAY(DATA_CLEANED!$AF$3),CALCULES!E$2,_xlfn.ANCHORARRAY(DATA_CLEANED!$AK$3),CALCULES!$A37)+COUNTIFS(_xlfn.ANCHORARRAY(DATA_CLEANED!$AF$3),CALCULES!E$2,_xlfn.ANCHORARRAY(DATA_CLEANED!$AN$3),CALCULES!$A37)&gt;0,1,0)</f>
        <v>0</v>
      </c>
      <c r="F37" s="112">
        <f>IF(COUNTIFS(_xlfn.ANCHORARRAY(DATA_CLEANED!$AF$3),CALCULES!F$2,_xlfn.ANCHORARRAY(DATA_CLEANED!$AK$3),CALCULES!$A37)+COUNTIFS(_xlfn.ANCHORARRAY(DATA_CLEANED!$AF$3),CALCULES!F$2,_xlfn.ANCHORARRAY(DATA_CLEANED!$AN$3),CALCULES!$A37)&gt;0,1,0)</f>
        <v>0</v>
      </c>
      <c r="G37" s="112">
        <f>IF(COUNTIFS(_xlfn.ANCHORARRAY(DATA_CLEANED!$AF$3),CALCULES!G$2,_xlfn.ANCHORARRAY(DATA_CLEANED!$AK$3),CALCULES!$A37)+COUNTIFS(_xlfn.ANCHORARRAY(DATA_CLEANED!$AF$3),CALCULES!G$2,_xlfn.ANCHORARRAY(DATA_CLEANED!$AN$3),CALCULES!$A37)&gt;0,1,0)</f>
        <v>0</v>
      </c>
      <c r="H37" s="112">
        <f>IF(COUNTIFS(_xlfn.ANCHORARRAY(DATA_CLEANED!$AF$3),CALCULES!H$2,_xlfn.ANCHORARRAY(DATA_CLEANED!$AK$3),CALCULES!$A37)+COUNTIFS(_xlfn.ANCHORARRAY(DATA_CLEANED!$AF$3),CALCULES!H$2,_xlfn.ANCHORARRAY(DATA_CLEANED!$AN$3),CALCULES!$A37)&gt;0,1,0)</f>
        <v>0</v>
      </c>
      <c r="I37" s="112">
        <f>IF(COUNTIFS(_xlfn.ANCHORARRAY(DATA_CLEANED!$AF$3),CALCULES!I$2,_xlfn.ANCHORARRAY(DATA_CLEANED!$AK$3),CALCULES!$A37)+COUNTIFS(_xlfn.ANCHORARRAY(DATA_CLEANED!$AF$3),CALCULES!I$2,_xlfn.ANCHORARRAY(DATA_CLEANED!$AN$3),CALCULES!$A37)&gt;0,1,0)</f>
        <v>0</v>
      </c>
      <c r="J37" s="112">
        <f>IF(COUNTIFS(_xlfn.ANCHORARRAY(DATA_CLEANED!$AF$3),CALCULES!J$2,_xlfn.ANCHORARRAY(DATA_CLEANED!$AK$3),CALCULES!$A37)+COUNTIFS(_xlfn.ANCHORARRAY(DATA_CLEANED!$AF$3),CALCULES!J$2,_xlfn.ANCHORARRAY(DATA_CLEANED!$AN$3),CALCULES!$A37)&gt;0,1,0)</f>
        <v>0</v>
      </c>
      <c r="K37" s="112">
        <f>IF(COUNTIFS(_xlfn.ANCHORARRAY(DATA_CLEANED!$AF$3),CALCULES!K$2,_xlfn.ANCHORARRAY(DATA_CLEANED!$AK$3),CALCULES!$A37)+COUNTIFS(_xlfn.ANCHORARRAY(DATA_CLEANED!$AF$3),CALCULES!K$2,_xlfn.ANCHORARRAY(DATA_CLEANED!$AN$3),CALCULES!$A37)&gt;0,1,0)</f>
        <v>0</v>
      </c>
      <c r="L37" s="112">
        <f>IF(COUNTIFS(_xlfn.ANCHORARRAY(DATA_CLEANED!$AF$3),CALCULES!L$2,_xlfn.ANCHORARRAY(DATA_CLEANED!$AK$3),CALCULES!$A37)+COUNTIFS(_xlfn.ANCHORARRAY(DATA_CLEANED!$AF$3),CALCULES!L$2,_xlfn.ANCHORARRAY(DATA_CLEANED!$AN$3),CALCULES!$A37)&gt;0,1,0)</f>
        <v>0</v>
      </c>
      <c r="M37" s="112">
        <f>IF(COUNTIFS(_xlfn.ANCHORARRAY(DATA_CLEANED!$AF$3),CALCULES!M$2,_xlfn.ANCHORARRAY(DATA_CLEANED!$AK$3),CALCULES!$A37)+COUNTIFS(_xlfn.ANCHORARRAY(DATA_CLEANED!$AF$3),CALCULES!M$2,_xlfn.ANCHORARRAY(DATA_CLEANED!$AN$3),CALCULES!$A37)&gt;0,1,0)</f>
        <v>0</v>
      </c>
      <c r="N37" s="112">
        <f>IF(COUNTIFS(_xlfn.ANCHORARRAY(DATA_CLEANED!$AF$3),CALCULES!N$2,_xlfn.ANCHORARRAY(DATA_CLEANED!$AK$3),CALCULES!$A37)+COUNTIFS(_xlfn.ANCHORARRAY(DATA_CLEANED!$AF$3),CALCULES!N$2,_xlfn.ANCHORARRAY(DATA_CLEANED!$AN$3),CALCULES!$A37)&gt;0,1,0)</f>
        <v>0</v>
      </c>
      <c r="O37" s="112">
        <f>IF(COUNTIFS(_xlfn.ANCHORARRAY(DATA_CLEANED!$AF$3),CALCULES!O$2,_xlfn.ANCHORARRAY(DATA_CLEANED!$AK$3),CALCULES!$A37)+COUNTIFS(_xlfn.ANCHORARRAY(DATA_CLEANED!$AF$3),CALCULES!O$2,_xlfn.ANCHORARRAY(DATA_CLEANED!$AN$3),CALCULES!$A37)&gt;0,1,0)</f>
        <v>0</v>
      </c>
      <c r="P37" s="112">
        <f>IF(COUNTIFS(_xlfn.ANCHORARRAY(DATA_CLEANED!$AF$3),CALCULES!P$2,_xlfn.ANCHORARRAY(DATA_CLEANED!$AK$3),CALCULES!$A37)+COUNTIFS(_xlfn.ANCHORARRAY(DATA_CLEANED!$AF$3),CALCULES!P$2,_xlfn.ANCHORARRAY(DATA_CLEANED!$AN$3),CALCULES!$A37)&gt;0,1,0)</f>
        <v>0</v>
      </c>
      <c r="Q37" s="112">
        <f>IF(COUNTIFS(_xlfn.ANCHORARRAY(DATA_CLEANED!$AF$3),CALCULES!Q$2,_xlfn.ANCHORARRAY(DATA_CLEANED!$AK$3),CALCULES!$A37)+COUNTIFS(_xlfn.ANCHORARRAY(DATA_CLEANED!$AF$3),CALCULES!Q$2,_xlfn.ANCHORARRAY(DATA_CLEANED!$AN$3),CALCULES!$A37)&gt;0,1,0)</f>
        <v>0</v>
      </c>
      <c r="R37" s="112">
        <f>IF(COUNTIFS(_xlfn.ANCHORARRAY(DATA_CLEANED!$AF$3),CALCULES!R$2,_xlfn.ANCHORARRAY(DATA_CLEANED!$AK$3),CALCULES!$A37)+COUNTIFS(_xlfn.ANCHORARRAY(DATA_CLEANED!$AF$3),CALCULES!R$2,_xlfn.ANCHORARRAY(DATA_CLEANED!$AN$3),CALCULES!$A37)&gt;0,1,0)</f>
        <v>0</v>
      </c>
      <c r="S37" s="112">
        <f>IF(COUNTIFS(_xlfn.ANCHORARRAY(DATA_CLEANED!$AF$3),CALCULES!S$2,_xlfn.ANCHORARRAY(DATA_CLEANED!$AK$3),CALCULES!$A37)+COUNTIFS(_xlfn.ANCHORARRAY(DATA_CLEANED!$AF$3),CALCULES!S$2,_xlfn.ANCHORARRAY(DATA_CLEANED!$AN$3),CALCULES!$A37)&gt;0,1,0)</f>
        <v>1</v>
      </c>
      <c r="T37" s="112">
        <f>IF(COUNTIFS(_xlfn.ANCHORARRAY(DATA_CLEANED!$AF$3),CALCULES!T$2,_xlfn.ANCHORARRAY(DATA_CLEANED!$AK$3),CALCULES!$A37)+COUNTIFS(_xlfn.ANCHORARRAY(DATA_CLEANED!$AF$3),CALCULES!T$2,_xlfn.ANCHORARRAY(DATA_CLEANED!$AN$3),CALCULES!$A37)&gt;0,1,0)</f>
        <v>1</v>
      </c>
      <c r="U37" s="112">
        <f>IF(COUNTIFS(_xlfn.ANCHORARRAY(DATA_CLEANED!$AF$3),CALCULES!U$2,_xlfn.ANCHORARRAY(DATA_CLEANED!$AK$3),CALCULES!$A37)+COUNTIFS(_xlfn.ANCHORARRAY(DATA_CLEANED!$AF$3),CALCULES!U$2,_xlfn.ANCHORARRAY(DATA_CLEANED!$AN$3),CALCULES!$A37)&gt;0,1,0)</f>
        <v>1</v>
      </c>
      <c r="V37" s="112">
        <f>IF(COUNTIFS(_xlfn.ANCHORARRAY(DATA_CLEANED!$AF$3),CALCULES!V$2,_xlfn.ANCHORARRAY(DATA_CLEANED!$AK$3),CALCULES!$A37)+COUNTIFS(_xlfn.ANCHORARRAY(DATA_CLEANED!$AF$3),CALCULES!V$2,_xlfn.ANCHORARRAY(DATA_CLEANED!$AN$3),CALCULES!$A37)&gt;0,1,0)</f>
        <v>0</v>
      </c>
      <c r="W37" s="112">
        <f>IF(COUNTIFS(_xlfn.ANCHORARRAY(DATA_CLEANED!$AF$3),CALCULES!W$2,_xlfn.ANCHORARRAY(DATA_CLEANED!$AK$3),CALCULES!$A37)+COUNTIFS(_xlfn.ANCHORARRAY(DATA_CLEANED!$AF$3),CALCULES!W$2,_xlfn.ANCHORARRAY(DATA_CLEANED!$AN$3),CALCULES!$A37)&gt;0,1,0)</f>
        <v>1</v>
      </c>
      <c r="X37" s="112">
        <f>IF(COUNTIFS(_xlfn.ANCHORARRAY(DATA_CLEANED!$AF$3),CALCULES!X$2,_xlfn.ANCHORARRAY(DATA_CLEANED!$AK$3),CALCULES!$A37)+COUNTIFS(_xlfn.ANCHORARRAY(DATA_CLEANED!$AF$3),CALCULES!X$2,_xlfn.ANCHORARRAY(DATA_CLEANED!$AN$3),CALCULES!$A37)&gt;0,1,0)</f>
        <v>1</v>
      </c>
      <c r="Y37" s="113">
        <f t="shared" si="15"/>
        <v>5</v>
      </c>
      <c r="AA37" s="112">
        <f>COUNTIF(_xlfn.ANCHORARRAY(DATA_CLEANED!$AK$3),$A37)+COUNTIF(DATA_CLEANED!$AN$2:$AN$1060,$A37)</f>
        <v>18</v>
      </c>
      <c r="AB37" s="112">
        <f>COUNTIF(DATA_QUALITE!BG$12:BG$1069,A37)</f>
        <v>6</v>
      </c>
      <c r="AC37" s="112">
        <f t="shared" si="7"/>
        <v>11</v>
      </c>
      <c r="AD37" s="112" cm="1">
        <f t="array" ref="AD37">SUMPRODUCT((DATA_CLEANED!AL$3:AL$1060=DATA_CLEANED!AM$3:AM$1060)*(_xlfn.ANCHORARRAY(DATA_CLEANED!AK$3)=CALCULES!A37)*(DATA_CLEANED!AO$3:AO$1060&lt;&gt;"-"))
+
SUMPRODUCT((DATA_CLEANED!AL$3:AL$1060=DATA_CLEANED!AM$3:AM$1060)*(_xlfn.ANCHORARRAY(DATA_CLEANED!AN$3)=CALCULES!A37)*(DATA_CLEANED!AO$3:AO$1060&lt;&gt;"-"))</f>
        <v>1</v>
      </c>
      <c r="AE37" s="116">
        <f t="shared" si="16"/>
        <v>0.33333333333333331</v>
      </c>
      <c r="AF37" s="116">
        <f t="shared" si="17"/>
        <v>0.61111111111111116</v>
      </c>
      <c r="AG37" s="112">
        <f>SUMIF(_xlfn.ANCHORARRAY(DATA_CLEANED!AK$3),A37,DATA_CLEANED!AL$2:AL$1060)+SUMIF(_xlfn.ANCHORARRAY(DATA_CLEANED!AN$3),A37,DATA_CLEANED!AM$2:AM$1060)</f>
        <v>22</v>
      </c>
      <c r="AH37" s="112">
        <f>SUMIF(_xlfn.ANCHORARRAY(DATA_CLEANED!AK$3),A37,DATA_CLEANED!AM$2:AM$1060)+SUMIF(_xlfn.ANCHORARRAY(DATA_CLEANED!AN$3),A37,DATA_CLEANED!AL$2:AL$1060)</f>
        <v>18</v>
      </c>
      <c r="AI37" s="112">
        <f t="shared" si="8"/>
        <v>1</v>
      </c>
      <c r="AJ37" s="117" cm="1">
        <f t="array" ref="AJ37">_xlfn.LET(_xlpm.home,IFERROR(_xlfn._xlws.FILTER(DATA_CLEANED!AH$3:AH$1060,DATA_CLEANED!AK$3:AK$1060=CALCULES!A37),""),
_xlpm.away,IFERROR(_xlfn._xlws.FILTER(DATA_CLEANED!AH$3:AH$1060,DATA_CLEANED!AN$3:AN$1060=CALCULES!A37),""),
_xlpm.assemb_t,_xlfn._xlws.FILTER(_xlfn.VSTACK(_xlpm.home,_xlpm.away),_xlfn.VSTACK(_xlpm.home,_xlpm.away)&lt;&gt;""),
_xlpm.but_h,IFERROR(_xlfn._xlws.FILTER(_xlfn.ANCHORARRAY(DATA_CLEANED!AM$3),DATA_CLEANED!AK$3:AK$1060=CALCULES!A37),""),
_xlpm.but_a,IFERROR(_xlfn._xlws.FILTER(_xlfn.ANCHORARRAY(DATA_CLEANED!AL$3),DATA_CLEANED!AN$3:AN$1060=CALCULES!A37),""),
_xlpm.assemb_b,_xlfn._xlws.FILTER(_xlfn.VSTACK(_xlpm.but_h,_xlpm.but_a),_xlfn.VSTACK(_xlpm.but_h,_xlpm.but_a)&lt;&gt;""),
MEDIAN(_xlpm.assemb_t,_xlpm.assemb_b)
)</f>
        <v>1.5</v>
      </c>
      <c r="AK37" s="113">
        <f t="shared" si="18"/>
        <v>4</v>
      </c>
      <c r="AL37" s="112" cm="1">
        <f t="array" ref="AL37">IFERROR(MEDIAN(_xlfn._xlws.FILTER(_xlfn.VSTACK(
DATA_CLEANED!AL$3:AL$1060-DATA_CLEANED!AM$3:AM$1060,
DATA_CLEANED!AM$3:AM$1060-DATA_CLEANED!AL$3:AL$1060
),_xlfn.VSTACK(DATA_CLEANED!AK$3:AK$1060,DATA_CLEANED!AN$3:AN$1060)=A37)),"-")</f>
        <v>-0.5</v>
      </c>
      <c r="AM37" s="112">
        <f t="shared" si="9"/>
        <v>1.22</v>
      </c>
      <c r="AN37" s="112" cm="1">
        <f t="array" ref="AN37">_xlfn.LET(_xlpm.home,IFERROR(_xlfn._xlws.FILTER(DATA_CLEANED!AH$3:AH$1060,DATA_CLEANED!AK$3:AK$1060=CALCULES!A37),""),
_xlpm.away,IFERROR(_xlfn._xlws.FILTER(DATA_CLEANED!AH$3:AH$1060,DATA_CLEANED!AN$3:AN$1060=CALCULES!A37),""),
_xlpm.assemb_t,_xlfn._xlws.FILTER(_xlfn.VSTACK(_xlpm.home,_xlpm.away),_xlfn.VSTACK(_xlpm.home,_xlpm.away)&lt;&gt;""),
_xlpm.but_h,IFERROR(_xlfn._xlws.FILTER(_xlfn.ANCHORARRAY(DATA_CLEANED!AL$3),DATA_CLEANED!AK$3:AK$1060=CALCULES!A37),""),
_xlpm.but_a,IFERROR(_xlfn._xlws.FILTER(_xlfn.ANCHORARRAY(DATA_CLEANED!AM$3),DATA_CLEANED!AN$3:AN$1060=CALCULES!A37),""),
_xlpm.assemb_b,_xlfn._xlws.FILTER(_xlfn.VSTACK(_xlpm.but_h,_xlpm.but_a),_xlfn.VSTACK(_xlpm.but_h,_xlpm.but_a)&lt;&gt;""),
MEDIAN(_xlpm.assemb_t,_xlpm.assemb_b)
)</f>
        <v>1</v>
      </c>
      <c r="AO37" s="116">
        <f>ROUND(IFERROR((COUNTIFS(DATA_CLEANED!AK$3:AK$1060,A37,DATA_CLEANED!AM$3:AM$1060,0)
+
COUNTIFS(DATA_CLEANED!AN$3:AN$1060,A37,DATA_CLEANED!AL$3:AL$1060,0)
)/AA37,0),2)</f>
        <v>0.17</v>
      </c>
      <c r="AP37" s="112">
        <f>MAX((_xlfn.MAXIFS(_xlfn.ANCHORARRAY(DATA_CLEANED!AL$3),_xlfn.ANCHORARRAY(DATA_CLEANED!AK$3),A37)),(_xlfn.MAXIFS(DATA_CLEANED!AM$3:AM$1060,_xlfn.ANCHORARRAY(DATA_CLEANED!AN$3),A37)))</f>
        <v>3</v>
      </c>
      <c r="AQ37" s="112">
        <f>COUNTIF(_xlfn.ANCHORARRAY(DATA_CLEANED!K$3),A37)</f>
        <v>4</v>
      </c>
      <c r="AR37" s="113" t="str" cm="1">
        <f t="array" ref="AR37">_xlfn.LET(
_xlpm.home,IFERROR(_xlfn._xlws.FILTER(DATA_CLEANED!AH$3:AH$1060,DATA_CLEANED!AK$3:AK$1060=CALCULES!A37),""),
_xlpm.away,IFERROR(_xlfn._xlws.FILTER(DATA_CLEANED!AH$3:AH$1060,DATA_CLEANED!AN$3:AN$1060=CALCULES!A37),""),
_xlpm.etapes,_xlfn._xlws.FILTER(_xlfn.VSTACK(_xlpm.home,_xlpm.away),_xlfn.VSTACK(_xlpm.home,_xlpm.away)&lt;&gt;""),
_xlpm.numeros,_xlfn.XLOOKUP(_xlpm.etapes,DATA_QUALITE!AT$12:AT$38,DATA_QUALITE!AU$12:AU$38),
_xlfn.XLOOKUP(MIN(_xlpm.numeros),DATA_QUALITE!AU$12:AU$38,DATA_QUALITE!AT$12:AT$38)
)</f>
        <v>QUARTER_FINALS</v>
      </c>
      <c r="AS37" s="112">
        <f t="shared" si="19"/>
        <v>5</v>
      </c>
      <c r="AT37" s="112">
        <f t="shared" si="20"/>
        <v>6</v>
      </c>
      <c r="AU37" s="112">
        <f>COUNTIFS(DATA_QUALITE!BG$12:BG$1069,"MATCH NUL",_xlfn.ANCHORARRAY(DATA_CLEANED!AK$3),CALCULES!A37)+COUNTIFS(DATA_QUALITE!BG$12:BG$1069,"MATCH NUL",_xlfn.ANCHORARRAY(DATA_CLEANED!AN$3),CALCULES!A37)</f>
        <v>2</v>
      </c>
      <c r="AV37" s="112">
        <v>22</v>
      </c>
      <c r="AW37" s="112">
        <f>COUNTIFS(_xlfn.ANCHORARRAY(DATA_CLEANED!AH$3),"QUARTER_FINALS",_xlfn.ANCHORARRAY(DATA_CLEANED!AK$3),CALCULES!A37)+COUNTIFS(_xlfn.ANCHORARRAY(DATA_CLEANED!AH$3),"QUARTER_FINALS",_xlfn.ANCHORARRAY(DATA_CLEANED!AN$3),CALCULES!A37)</f>
        <v>1</v>
      </c>
      <c r="AX37" s="112">
        <f>COUNTIFS(_xlfn.ANCHORARRAY(DATA_CLEANED!AH$3),"SEMI_FINALS",_xlfn.ANCHORARRAY(DATA_CLEANED!AK$3),CALCULES!A37)+COUNTIFS(_xlfn.ANCHORARRAY(DATA_CLEANED!AH$3),"SEMI_FINALS",_xlfn.ANCHORARRAY(DATA_CLEANED!AN$3),CALCULES!A37)</f>
        <v>0</v>
      </c>
      <c r="AY37" s="112">
        <f>COUNTIFS(_xlfn.ANCHORARRAY(DATA_CLEANED!AH$3),"FINAL",_xlfn.ANCHORARRAY(DATA_CLEANED!AK$3),CALCULES!A37)+COUNTIFS(_xlfn.ANCHORARRAY(DATA_CLEANED!AH$3),"FINAL",_xlfn.ANCHORARRAY(DATA_CLEANED!AN$3),CALCULES!A37)</f>
        <v>0</v>
      </c>
      <c r="AZ37" s="112">
        <f>COUNTIFS(DATA_QUALITE!BG$12:BG$1069,CALCULES!A37,DATA_QUALITE!AW$12:AW$1069,"FINAL")</f>
        <v>0</v>
      </c>
      <c r="BA37" s="113">
        <f t="shared" si="21"/>
        <v>34.92</v>
      </c>
      <c r="BB37" s="118">
        <f t="shared" si="10"/>
        <v>11.11</v>
      </c>
      <c r="BC37" s="118">
        <f t="shared" si="11"/>
        <v>13.09</v>
      </c>
      <c r="BD37" s="139">
        <f t="shared" si="12"/>
        <v>12.1</v>
      </c>
      <c r="BF37" s="178" t="s">
        <v>3935</v>
      </c>
      <c r="BG37" s="178">
        <f>0.9+0.2*(LEFT(DASHBOARD!C118)/RIGHT(DASHBOARD!C118))</f>
        <v>0.94000000000000006</v>
      </c>
      <c r="BH37" s="167"/>
      <c r="BI37" s="167"/>
      <c r="BJ37" s="167"/>
      <c r="BK37" s="167"/>
      <c r="BL37" s="173">
        <f>INT((ROWS($BL$15:BL37)-1)/9)</f>
        <v>2</v>
      </c>
      <c r="BM37" s="173">
        <f>MOD(ROWS($BM$15:BM37)-1,9)</f>
        <v>4</v>
      </c>
      <c r="BN37" s="173">
        <f t="shared" si="14"/>
        <v>5.5293039191867338E-3</v>
      </c>
      <c r="BO37" s="167"/>
      <c r="BP37" s="167"/>
    </row>
    <row r="38" spans="1:68">
      <c r="A38" s="113" t="str">
        <v>Greece</v>
      </c>
      <c r="B38" s="112">
        <f>IF(COUNTIFS(_xlfn.ANCHORARRAY(DATA_CLEANED!$AF$3),CALCULES!B$2,_xlfn.ANCHORARRAY(DATA_CLEANED!$AK$3),CALCULES!$A38)+COUNTIFS(_xlfn.ANCHORARRAY(DATA_CLEANED!$AF$3),CALCULES!B$2,_xlfn.ANCHORARRAY(DATA_CLEANED!$AN$3),CALCULES!$A38)&gt;0,1,0)</f>
        <v>0</v>
      </c>
      <c r="C38" s="112">
        <f>IF(COUNTIFS(_xlfn.ANCHORARRAY(DATA_CLEANED!$AF$3),CALCULES!C$2,_xlfn.ANCHORARRAY(DATA_CLEANED!$AK$3),CALCULES!$A38)+COUNTIFS(_xlfn.ANCHORARRAY(DATA_CLEANED!$AF$3),CALCULES!C$2,_xlfn.ANCHORARRAY(DATA_CLEANED!$AN$3),CALCULES!$A38)&gt;0,1,0)</f>
        <v>0</v>
      </c>
      <c r="D38" s="112">
        <f>IF(COUNTIFS(_xlfn.ANCHORARRAY(DATA_CLEANED!$AF$3),CALCULES!D$2,_xlfn.ANCHORARRAY(DATA_CLEANED!$AK$3),CALCULES!$A38)+COUNTIFS(_xlfn.ANCHORARRAY(DATA_CLEANED!$AF$3),CALCULES!D$2,_xlfn.ANCHORARRAY(DATA_CLEANED!$AN$3),CALCULES!$A38)&gt;0,1,0)</f>
        <v>0</v>
      </c>
      <c r="E38" s="112">
        <f>IF(COUNTIFS(_xlfn.ANCHORARRAY(DATA_CLEANED!$AF$3),CALCULES!E$2,_xlfn.ANCHORARRAY(DATA_CLEANED!$AK$3),CALCULES!$A38)+COUNTIFS(_xlfn.ANCHORARRAY(DATA_CLEANED!$AF$3),CALCULES!E$2,_xlfn.ANCHORARRAY(DATA_CLEANED!$AN$3),CALCULES!$A38)&gt;0,1,0)</f>
        <v>0</v>
      </c>
      <c r="F38" s="112">
        <f>IF(COUNTIFS(_xlfn.ANCHORARRAY(DATA_CLEANED!$AF$3),CALCULES!F$2,_xlfn.ANCHORARRAY(DATA_CLEANED!$AK$3),CALCULES!$A38)+COUNTIFS(_xlfn.ANCHORARRAY(DATA_CLEANED!$AF$3),CALCULES!F$2,_xlfn.ANCHORARRAY(DATA_CLEANED!$AN$3),CALCULES!$A38)&gt;0,1,0)</f>
        <v>0</v>
      </c>
      <c r="G38" s="112">
        <f>IF(COUNTIFS(_xlfn.ANCHORARRAY(DATA_CLEANED!$AF$3),CALCULES!G$2,_xlfn.ANCHORARRAY(DATA_CLEANED!$AK$3),CALCULES!$A38)+COUNTIFS(_xlfn.ANCHORARRAY(DATA_CLEANED!$AF$3),CALCULES!G$2,_xlfn.ANCHORARRAY(DATA_CLEANED!$AN$3),CALCULES!$A38)&gt;0,1,0)</f>
        <v>0</v>
      </c>
      <c r="H38" s="112">
        <f>IF(COUNTIFS(_xlfn.ANCHORARRAY(DATA_CLEANED!$AF$3),CALCULES!H$2,_xlfn.ANCHORARRAY(DATA_CLEANED!$AK$3),CALCULES!$A38)+COUNTIFS(_xlfn.ANCHORARRAY(DATA_CLEANED!$AF$3),CALCULES!H$2,_xlfn.ANCHORARRAY(DATA_CLEANED!$AN$3),CALCULES!$A38)&gt;0,1,0)</f>
        <v>0</v>
      </c>
      <c r="I38" s="112">
        <f>IF(COUNTIFS(_xlfn.ANCHORARRAY(DATA_CLEANED!$AF$3),CALCULES!I$2,_xlfn.ANCHORARRAY(DATA_CLEANED!$AK$3),CALCULES!$A38)+COUNTIFS(_xlfn.ANCHORARRAY(DATA_CLEANED!$AF$3),CALCULES!I$2,_xlfn.ANCHORARRAY(DATA_CLEANED!$AN$3),CALCULES!$A38)&gt;0,1,0)</f>
        <v>0</v>
      </c>
      <c r="J38" s="112">
        <f>IF(COUNTIFS(_xlfn.ANCHORARRAY(DATA_CLEANED!$AF$3),CALCULES!J$2,_xlfn.ANCHORARRAY(DATA_CLEANED!$AK$3),CALCULES!$A38)+COUNTIFS(_xlfn.ANCHORARRAY(DATA_CLEANED!$AF$3),CALCULES!J$2,_xlfn.ANCHORARRAY(DATA_CLEANED!$AN$3),CALCULES!$A38)&gt;0,1,0)</f>
        <v>0</v>
      </c>
      <c r="K38" s="112">
        <f>IF(COUNTIFS(_xlfn.ANCHORARRAY(DATA_CLEANED!$AF$3),CALCULES!K$2,_xlfn.ANCHORARRAY(DATA_CLEANED!$AK$3),CALCULES!$A38)+COUNTIFS(_xlfn.ANCHORARRAY(DATA_CLEANED!$AF$3),CALCULES!K$2,_xlfn.ANCHORARRAY(DATA_CLEANED!$AN$3),CALCULES!$A38)&gt;0,1,0)</f>
        <v>0</v>
      </c>
      <c r="L38" s="112">
        <f>IF(COUNTIFS(_xlfn.ANCHORARRAY(DATA_CLEANED!$AF$3),CALCULES!L$2,_xlfn.ANCHORARRAY(DATA_CLEANED!$AK$3),CALCULES!$A38)+COUNTIFS(_xlfn.ANCHORARRAY(DATA_CLEANED!$AF$3),CALCULES!L$2,_xlfn.ANCHORARRAY(DATA_CLEANED!$AN$3),CALCULES!$A38)&gt;0,1,0)</f>
        <v>0</v>
      </c>
      <c r="M38" s="112">
        <f>IF(COUNTIFS(_xlfn.ANCHORARRAY(DATA_CLEANED!$AF$3),CALCULES!M$2,_xlfn.ANCHORARRAY(DATA_CLEANED!$AK$3),CALCULES!$A38)+COUNTIFS(_xlfn.ANCHORARRAY(DATA_CLEANED!$AF$3),CALCULES!M$2,_xlfn.ANCHORARRAY(DATA_CLEANED!$AN$3),CALCULES!$A38)&gt;0,1,0)</f>
        <v>0</v>
      </c>
      <c r="N38" s="112">
        <f>IF(COUNTIFS(_xlfn.ANCHORARRAY(DATA_CLEANED!$AF$3),CALCULES!N$2,_xlfn.ANCHORARRAY(DATA_CLEANED!$AK$3),CALCULES!$A38)+COUNTIFS(_xlfn.ANCHORARRAY(DATA_CLEANED!$AF$3),CALCULES!N$2,_xlfn.ANCHORARRAY(DATA_CLEANED!$AN$3),CALCULES!$A38)&gt;0,1,0)</f>
        <v>0</v>
      </c>
      <c r="O38" s="112">
        <f>IF(COUNTIFS(_xlfn.ANCHORARRAY(DATA_CLEANED!$AF$3),CALCULES!O$2,_xlfn.ANCHORARRAY(DATA_CLEANED!$AK$3),CALCULES!$A38)+COUNTIFS(_xlfn.ANCHORARRAY(DATA_CLEANED!$AF$3),CALCULES!O$2,_xlfn.ANCHORARRAY(DATA_CLEANED!$AN$3),CALCULES!$A38)&gt;0,1,0)</f>
        <v>0</v>
      </c>
      <c r="P38" s="112">
        <f>IF(COUNTIFS(_xlfn.ANCHORARRAY(DATA_CLEANED!$AF$3),CALCULES!P$2,_xlfn.ANCHORARRAY(DATA_CLEANED!$AK$3),CALCULES!$A38)+COUNTIFS(_xlfn.ANCHORARRAY(DATA_CLEANED!$AF$3),CALCULES!P$2,_xlfn.ANCHORARRAY(DATA_CLEANED!$AN$3),CALCULES!$A38)&gt;0,1,0)</f>
        <v>1</v>
      </c>
      <c r="Q38" s="112">
        <f>IF(COUNTIFS(_xlfn.ANCHORARRAY(DATA_CLEANED!$AF$3),CALCULES!Q$2,_xlfn.ANCHORARRAY(DATA_CLEANED!$AK$3),CALCULES!$A38)+COUNTIFS(_xlfn.ANCHORARRAY(DATA_CLEANED!$AF$3),CALCULES!Q$2,_xlfn.ANCHORARRAY(DATA_CLEANED!$AN$3),CALCULES!$A38)&gt;0,1,0)</f>
        <v>0</v>
      </c>
      <c r="R38" s="112">
        <f>IF(COUNTIFS(_xlfn.ANCHORARRAY(DATA_CLEANED!$AF$3),CALCULES!R$2,_xlfn.ANCHORARRAY(DATA_CLEANED!$AK$3),CALCULES!$A38)+COUNTIFS(_xlfn.ANCHORARRAY(DATA_CLEANED!$AF$3),CALCULES!R$2,_xlfn.ANCHORARRAY(DATA_CLEANED!$AN$3),CALCULES!$A38)&gt;0,1,0)</f>
        <v>0</v>
      </c>
      <c r="S38" s="112">
        <f>IF(COUNTIFS(_xlfn.ANCHORARRAY(DATA_CLEANED!$AF$3),CALCULES!S$2,_xlfn.ANCHORARRAY(DATA_CLEANED!$AK$3),CALCULES!$A38)+COUNTIFS(_xlfn.ANCHORARRAY(DATA_CLEANED!$AF$3),CALCULES!S$2,_xlfn.ANCHORARRAY(DATA_CLEANED!$AN$3),CALCULES!$A38)&gt;0,1,0)</f>
        <v>0</v>
      </c>
      <c r="T38" s="112">
        <f>IF(COUNTIFS(_xlfn.ANCHORARRAY(DATA_CLEANED!$AF$3),CALCULES!T$2,_xlfn.ANCHORARRAY(DATA_CLEANED!$AK$3),CALCULES!$A38)+COUNTIFS(_xlfn.ANCHORARRAY(DATA_CLEANED!$AF$3),CALCULES!T$2,_xlfn.ANCHORARRAY(DATA_CLEANED!$AN$3),CALCULES!$A38)&gt;0,1,0)</f>
        <v>1</v>
      </c>
      <c r="U38" s="112">
        <f>IF(COUNTIFS(_xlfn.ANCHORARRAY(DATA_CLEANED!$AF$3),CALCULES!U$2,_xlfn.ANCHORARRAY(DATA_CLEANED!$AK$3),CALCULES!$A38)+COUNTIFS(_xlfn.ANCHORARRAY(DATA_CLEANED!$AF$3),CALCULES!U$2,_xlfn.ANCHORARRAY(DATA_CLEANED!$AN$3),CALCULES!$A38)&gt;0,1,0)</f>
        <v>1</v>
      </c>
      <c r="V38" s="112">
        <f>IF(COUNTIFS(_xlfn.ANCHORARRAY(DATA_CLEANED!$AF$3),CALCULES!V$2,_xlfn.ANCHORARRAY(DATA_CLEANED!$AK$3),CALCULES!$A38)+COUNTIFS(_xlfn.ANCHORARRAY(DATA_CLEANED!$AF$3),CALCULES!V$2,_xlfn.ANCHORARRAY(DATA_CLEANED!$AN$3),CALCULES!$A38)&gt;0,1,0)</f>
        <v>0</v>
      </c>
      <c r="W38" s="112">
        <f>IF(COUNTIFS(_xlfn.ANCHORARRAY(DATA_CLEANED!$AF$3),CALCULES!W$2,_xlfn.ANCHORARRAY(DATA_CLEANED!$AK$3),CALCULES!$A38)+COUNTIFS(_xlfn.ANCHORARRAY(DATA_CLEANED!$AF$3),CALCULES!W$2,_xlfn.ANCHORARRAY(DATA_CLEANED!$AN$3),CALCULES!$A38)&gt;0,1,0)</f>
        <v>0</v>
      </c>
      <c r="X38" s="112">
        <f>IF(COUNTIFS(_xlfn.ANCHORARRAY(DATA_CLEANED!$AF$3),CALCULES!X$2,_xlfn.ANCHORARRAY(DATA_CLEANED!$AK$3),CALCULES!$A38)+COUNTIFS(_xlfn.ANCHORARRAY(DATA_CLEANED!$AF$3),CALCULES!X$2,_xlfn.ANCHORARRAY(DATA_CLEANED!$AN$3),CALCULES!$A38)&gt;0,1,0)</f>
        <v>0</v>
      </c>
      <c r="Y38" s="113">
        <f t="shared" si="15"/>
        <v>3</v>
      </c>
      <c r="AA38" s="112">
        <f>COUNTIF(_xlfn.ANCHORARRAY(DATA_CLEANED!$AK$3),$A38)+COUNTIF(DATA_CLEANED!$AN$2:$AN$1060,$A38)</f>
        <v>10</v>
      </c>
      <c r="AB38" s="112">
        <f>COUNTIF(DATA_QUALITE!BG$12:BG$1069,A38)</f>
        <v>2</v>
      </c>
      <c r="AC38" s="112">
        <f t="shared" si="7"/>
        <v>7</v>
      </c>
      <c r="AD38" s="112" cm="1">
        <f t="array" ref="AD38">SUMPRODUCT((DATA_CLEANED!AL$3:AL$1060=DATA_CLEANED!AM$3:AM$1060)*(_xlfn.ANCHORARRAY(DATA_CLEANED!AK$3)=CALCULES!A38)*(DATA_CLEANED!AO$3:AO$1060&lt;&gt;"-"))
+
SUMPRODUCT((DATA_CLEANED!AL$3:AL$1060=DATA_CLEANED!AM$3:AM$1060)*(_xlfn.ANCHORARRAY(DATA_CLEANED!AN$3)=CALCULES!A38)*(DATA_CLEANED!AO$3:AO$1060&lt;&gt;"-"))</f>
        <v>1</v>
      </c>
      <c r="AE38" s="116">
        <f t="shared" si="16"/>
        <v>0.2</v>
      </c>
      <c r="AF38" s="116">
        <f t="shared" si="17"/>
        <v>0.7</v>
      </c>
      <c r="AG38" s="112">
        <f>SUMIF(_xlfn.ANCHORARRAY(DATA_CLEANED!AK$3),A38,DATA_CLEANED!AL$2:AL$1060)+SUMIF(_xlfn.ANCHORARRAY(DATA_CLEANED!AN$3),A38,DATA_CLEANED!AM$2:AM$1060)</f>
        <v>11</v>
      </c>
      <c r="AH38" s="112">
        <f>SUMIF(_xlfn.ANCHORARRAY(DATA_CLEANED!AK$3),A38,DATA_CLEANED!AM$2:AM$1060)+SUMIF(_xlfn.ANCHORARRAY(DATA_CLEANED!AN$3),A38,DATA_CLEANED!AL$2:AL$1060)</f>
        <v>19</v>
      </c>
      <c r="AI38" s="112">
        <f t="shared" si="8"/>
        <v>1.9</v>
      </c>
      <c r="AJ38" s="117" cm="1">
        <f t="array" ref="AJ38">_xlfn.LET(_xlpm.home,IFERROR(_xlfn._xlws.FILTER(DATA_CLEANED!AH$3:AH$1060,DATA_CLEANED!AK$3:AK$1060=CALCULES!A38),""),
_xlpm.away,IFERROR(_xlfn._xlws.FILTER(DATA_CLEANED!AH$3:AH$1060,DATA_CLEANED!AN$3:AN$1060=CALCULES!A38),""),
_xlpm.assemb_t,_xlfn._xlws.FILTER(_xlfn.VSTACK(_xlpm.home,_xlpm.away),_xlfn.VSTACK(_xlpm.home,_xlpm.away)&lt;&gt;""),
_xlpm.but_h,IFERROR(_xlfn._xlws.FILTER(_xlfn.ANCHORARRAY(DATA_CLEANED!AM$3),DATA_CLEANED!AK$3:AK$1060=CALCULES!A38),""),
_xlpm.but_a,IFERROR(_xlfn._xlws.FILTER(_xlfn.ANCHORARRAY(DATA_CLEANED!AL$3),DATA_CLEANED!AN$3:AN$1060=CALCULES!A38),""),
_xlpm.assemb_b,_xlfn._xlws.FILTER(_xlfn.VSTACK(_xlpm.but_h,_xlpm.but_a),_xlfn.VSTACK(_xlpm.but_h,_xlpm.but_a)&lt;&gt;""),
MEDIAN(_xlpm.assemb_t,_xlpm.assemb_b)
)</f>
        <v>2</v>
      </c>
      <c r="AK38" s="113">
        <f t="shared" si="18"/>
        <v>-8</v>
      </c>
      <c r="AL38" s="112" cm="1">
        <f t="array" ref="AL38">IFERROR(MEDIAN(_xlfn._xlws.FILTER(_xlfn.VSTACK(
DATA_CLEANED!AL$3:AL$1060-DATA_CLEANED!AM$3:AM$1060,
DATA_CLEANED!AM$3:AM$1060-DATA_CLEANED!AL$3:AL$1060
),_xlfn.VSTACK(DATA_CLEANED!AK$3:AK$1060,DATA_CLEANED!AN$3:AN$1060)=A38)),"-")</f>
        <v>-2</v>
      </c>
      <c r="AM38" s="112">
        <f t="shared" si="9"/>
        <v>1.1000000000000001</v>
      </c>
      <c r="AN38" s="112" cm="1">
        <f t="array" ref="AN38">_xlfn.LET(_xlpm.home,IFERROR(_xlfn._xlws.FILTER(DATA_CLEANED!AH$3:AH$1060,DATA_CLEANED!AK$3:AK$1060=CALCULES!A38),""),
_xlpm.away,IFERROR(_xlfn._xlws.FILTER(DATA_CLEANED!AH$3:AH$1060,DATA_CLEANED!AN$3:AN$1060=CALCULES!A38),""),
_xlpm.assemb_t,_xlfn._xlws.FILTER(_xlfn.VSTACK(_xlpm.home,_xlpm.away),_xlfn.VSTACK(_xlpm.home,_xlpm.away)&lt;&gt;""),
_xlpm.but_h,IFERROR(_xlfn._xlws.FILTER(_xlfn.ANCHORARRAY(DATA_CLEANED!AL$3),DATA_CLEANED!AK$3:AK$1060=CALCULES!A38),""),
_xlpm.but_a,IFERROR(_xlfn._xlws.FILTER(_xlfn.ANCHORARRAY(DATA_CLEANED!AM$3),DATA_CLEANED!AN$3:AN$1060=CALCULES!A38),""),
_xlpm.assemb_b,_xlfn._xlws.FILTER(_xlfn.VSTACK(_xlpm.but_h,_xlpm.but_a),_xlfn.VSTACK(_xlpm.but_h,_xlpm.but_a)&lt;&gt;""),
MEDIAN(_xlpm.assemb_t,_xlpm.assemb_b)
)</f>
        <v>0</v>
      </c>
      <c r="AO38" s="116">
        <f>ROUND(IFERROR((COUNTIFS(DATA_CLEANED!AK$3:AK$1060,A38,DATA_CLEANED!AM$3:AM$1060,0)
+
COUNTIFS(DATA_CLEANED!AN$3:AN$1060,A38,DATA_CLEANED!AL$3:AL$1060,0)
)/AA38,0),2)</f>
        <v>0.1</v>
      </c>
      <c r="AP38" s="112">
        <f>MAX((_xlfn.MAXIFS(_xlfn.ANCHORARRAY(DATA_CLEANED!AL$3),_xlfn.ANCHORARRAY(DATA_CLEANED!AK$3),A38)),(_xlfn.MAXIFS(DATA_CLEANED!AM$3:AM$1060,_xlfn.ANCHORARRAY(DATA_CLEANED!AN$3),A38)))</f>
        <v>2</v>
      </c>
      <c r="AQ38" s="112">
        <f>COUNTIF(_xlfn.ANCHORARRAY(DATA_CLEANED!K$3),A38)</f>
        <v>4</v>
      </c>
      <c r="AR38" s="113" t="str" cm="1">
        <f t="array" ref="AR38">_xlfn.LET(
_xlpm.home,IFERROR(_xlfn._xlws.FILTER(DATA_CLEANED!AH$3:AH$1060,DATA_CLEANED!AK$3:AK$1060=CALCULES!A38),""),
_xlpm.away,IFERROR(_xlfn._xlws.FILTER(DATA_CLEANED!AH$3:AH$1060,DATA_CLEANED!AN$3:AN$1060=CALCULES!A38),""),
_xlpm.etapes,_xlfn._xlws.FILTER(_xlfn.VSTACK(_xlpm.home,_xlpm.away),_xlfn.VSTACK(_xlpm.home,_xlpm.away)&lt;&gt;""),
_xlpm.numeros,_xlfn.XLOOKUP(_xlpm.etapes,DATA_QUALITE!AT$12:AT$38,DATA_QUALITE!AU$12:AU$38),
_xlfn.XLOOKUP(MIN(_xlpm.numeros),DATA_QUALITE!AU$12:AU$38,DATA_QUALITE!AT$12:AT$38)
)</f>
        <v>ROUND_OF_16</v>
      </c>
      <c r="AS38" s="112">
        <f t="shared" si="19"/>
        <v>3</v>
      </c>
      <c r="AT38" s="112">
        <f t="shared" si="20"/>
        <v>2</v>
      </c>
      <c r="AU38" s="112">
        <f>COUNTIFS(DATA_QUALITE!BG$12:BG$1069,"MATCH NUL",_xlfn.ANCHORARRAY(DATA_CLEANED!AK$3),CALCULES!A38)+COUNTIFS(DATA_QUALITE!BG$12:BG$1069,"MATCH NUL",_xlfn.ANCHORARRAY(DATA_CLEANED!AN$3),CALCULES!A38)</f>
        <v>1</v>
      </c>
      <c r="AV38" s="112">
        <v>11</v>
      </c>
      <c r="AW38" s="112">
        <f>COUNTIFS(_xlfn.ANCHORARRAY(DATA_CLEANED!AH$3),"QUARTER_FINALS",_xlfn.ANCHORARRAY(DATA_CLEANED!AK$3),CALCULES!A38)+COUNTIFS(_xlfn.ANCHORARRAY(DATA_CLEANED!AH$3),"QUARTER_FINALS",_xlfn.ANCHORARRAY(DATA_CLEANED!AN$3),CALCULES!A38)</f>
        <v>0</v>
      </c>
      <c r="AX38" s="112">
        <f>COUNTIFS(_xlfn.ANCHORARRAY(DATA_CLEANED!AH$3),"SEMI_FINALS",_xlfn.ANCHORARRAY(DATA_CLEANED!AK$3),CALCULES!A38)+COUNTIFS(_xlfn.ANCHORARRAY(DATA_CLEANED!AH$3),"SEMI_FINALS",_xlfn.ANCHORARRAY(DATA_CLEANED!AN$3),CALCULES!A38)</f>
        <v>0</v>
      </c>
      <c r="AY38" s="112">
        <f>COUNTIFS(_xlfn.ANCHORARRAY(DATA_CLEANED!AH$3),"FINAL",_xlfn.ANCHORARRAY(DATA_CLEANED!AK$3),CALCULES!A38)+COUNTIFS(_xlfn.ANCHORARRAY(DATA_CLEANED!AH$3),"FINAL",_xlfn.ANCHORARRAY(DATA_CLEANED!AN$3),CALCULES!A38)</f>
        <v>0</v>
      </c>
      <c r="AZ38" s="112">
        <f>COUNTIFS(DATA_QUALITE!BG$12:BG$1069,CALCULES!A38,DATA_QUALITE!AW$12:AW$1069,"FINAL")</f>
        <v>0</v>
      </c>
      <c r="BA38" s="113">
        <f t="shared" si="21"/>
        <v>15.13</v>
      </c>
      <c r="BB38" s="118">
        <f t="shared" si="10"/>
        <v>4.0599999999999996</v>
      </c>
      <c r="BC38" s="118">
        <f t="shared" si="11"/>
        <v>3.75</v>
      </c>
      <c r="BD38" s="139">
        <f t="shared" si="12"/>
        <v>3.91</v>
      </c>
      <c r="BF38" s="176" t="s">
        <v>3936</v>
      </c>
      <c r="BG38" s="176">
        <f>0.9+0.2*(LEFT(DASHBOARD!D118)/RIGHT(DASHBOARD!D118))</f>
        <v>0.9</v>
      </c>
      <c r="BH38" s="167"/>
      <c r="BI38" s="167"/>
      <c r="BJ38" s="167"/>
      <c r="BK38" s="167"/>
      <c r="BL38" s="173">
        <f>INT((ROWS($BL$15:BL38)-1)/9)</f>
        <v>2</v>
      </c>
      <c r="BM38" s="173">
        <f>MOD(ROWS($BM$15:BM38)-1,9)</f>
        <v>5</v>
      </c>
      <c r="BN38" s="173">
        <f t="shared" si="14"/>
        <v>1.238492525657582E-3</v>
      </c>
      <c r="BO38" s="167"/>
      <c r="BP38" s="167"/>
    </row>
    <row r="39" spans="1:68">
      <c r="A39" s="113" t="str">
        <v>Haiti</v>
      </c>
      <c r="B39" s="112">
        <f>IF(COUNTIFS(_xlfn.ANCHORARRAY(DATA_CLEANED!$AF$3),CALCULES!B$2,_xlfn.ANCHORARRAY(DATA_CLEANED!$AK$3),CALCULES!$A39)+COUNTIFS(_xlfn.ANCHORARRAY(DATA_CLEANED!$AF$3),CALCULES!B$2,_xlfn.ANCHORARRAY(DATA_CLEANED!$AN$3),CALCULES!$A39)&gt;0,1,0)</f>
        <v>0</v>
      </c>
      <c r="C39" s="112">
        <f>IF(COUNTIFS(_xlfn.ANCHORARRAY(DATA_CLEANED!$AF$3),CALCULES!C$2,_xlfn.ANCHORARRAY(DATA_CLEANED!$AK$3),CALCULES!$A39)+COUNTIFS(_xlfn.ANCHORARRAY(DATA_CLEANED!$AF$3),CALCULES!C$2,_xlfn.ANCHORARRAY(DATA_CLEANED!$AN$3),CALCULES!$A39)&gt;0,1,0)</f>
        <v>0</v>
      </c>
      <c r="D39" s="112">
        <f>IF(COUNTIFS(_xlfn.ANCHORARRAY(DATA_CLEANED!$AF$3),CALCULES!D$2,_xlfn.ANCHORARRAY(DATA_CLEANED!$AK$3),CALCULES!$A39)+COUNTIFS(_xlfn.ANCHORARRAY(DATA_CLEANED!$AF$3),CALCULES!D$2,_xlfn.ANCHORARRAY(DATA_CLEANED!$AN$3),CALCULES!$A39)&gt;0,1,0)</f>
        <v>0</v>
      </c>
      <c r="E39" s="112">
        <f>IF(COUNTIFS(_xlfn.ANCHORARRAY(DATA_CLEANED!$AF$3),CALCULES!E$2,_xlfn.ANCHORARRAY(DATA_CLEANED!$AK$3),CALCULES!$A39)+COUNTIFS(_xlfn.ANCHORARRAY(DATA_CLEANED!$AF$3),CALCULES!E$2,_xlfn.ANCHORARRAY(DATA_CLEANED!$AN$3),CALCULES!$A39)&gt;0,1,0)</f>
        <v>0</v>
      </c>
      <c r="F39" s="112">
        <f>IF(COUNTIFS(_xlfn.ANCHORARRAY(DATA_CLEANED!$AF$3),CALCULES!F$2,_xlfn.ANCHORARRAY(DATA_CLEANED!$AK$3),CALCULES!$A39)+COUNTIFS(_xlfn.ANCHORARRAY(DATA_CLEANED!$AF$3),CALCULES!F$2,_xlfn.ANCHORARRAY(DATA_CLEANED!$AN$3),CALCULES!$A39)&gt;0,1,0)</f>
        <v>0</v>
      </c>
      <c r="G39" s="112">
        <f>IF(COUNTIFS(_xlfn.ANCHORARRAY(DATA_CLEANED!$AF$3),CALCULES!G$2,_xlfn.ANCHORARRAY(DATA_CLEANED!$AK$3),CALCULES!$A39)+COUNTIFS(_xlfn.ANCHORARRAY(DATA_CLEANED!$AF$3),CALCULES!G$2,_xlfn.ANCHORARRAY(DATA_CLEANED!$AN$3),CALCULES!$A39)&gt;0,1,0)</f>
        <v>0</v>
      </c>
      <c r="H39" s="112">
        <f>IF(COUNTIFS(_xlfn.ANCHORARRAY(DATA_CLEANED!$AF$3),CALCULES!H$2,_xlfn.ANCHORARRAY(DATA_CLEANED!$AK$3),CALCULES!$A39)+COUNTIFS(_xlfn.ANCHORARRAY(DATA_CLEANED!$AF$3),CALCULES!H$2,_xlfn.ANCHORARRAY(DATA_CLEANED!$AN$3),CALCULES!$A39)&gt;0,1,0)</f>
        <v>0</v>
      </c>
      <c r="I39" s="112">
        <f>IF(COUNTIFS(_xlfn.ANCHORARRAY(DATA_CLEANED!$AF$3),CALCULES!I$2,_xlfn.ANCHORARRAY(DATA_CLEANED!$AK$3),CALCULES!$A39)+COUNTIFS(_xlfn.ANCHORARRAY(DATA_CLEANED!$AF$3),CALCULES!I$2,_xlfn.ANCHORARRAY(DATA_CLEANED!$AN$3),CALCULES!$A39)&gt;0,1,0)</f>
        <v>0</v>
      </c>
      <c r="J39" s="112">
        <f>IF(COUNTIFS(_xlfn.ANCHORARRAY(DATA_CLEANED!$AF$3),CALCULES!J$2,_xlfn.ANCHORARRAY(DATA_CLEANED!$AK$3),CALCULES!$A39)+COUNTIFS(_xlfn.ANCHORARRAY(DATA_CLEANED!$AF$3),CALCULES!J$2,_xlfn.ANCHORARRAY(DATA_CLEANED!$AN$3),CALCULES!$A39)&gt;0,1,0)</f>
        <v>0</v>
      </c>
      <c r="K39" s="112">
        <f>IF(COUNTIFS(_xlfn.ANCHORARRAY(DATA_CLEANED!$AF$3),CALCULES!K$2,_xlfn.ANCHORARRAY(DATA_CLEANED!$AK$3),CALCULES!$A39)+COUNTIFS(_xlfn.ANCHORARRAY(DATA_CLEANED!$AF$3),CALCULES!K$2,_xlfn.ANCHORARRAY(DATA_CLEANED!$AN$3),CALCULES!$A39)&gt;0,1,0)</f>
        <v>1</v>
      </c>
      <c r="L39" s="112">
        <f>IF(COUNTIFS(_xlfn.ANCHORARRAY(DATA_CLEANED!$AF$3),CALCULES!L$2,_xlfn.ANCHORARRAY(DATA_CLEANED!$AK$3),CALCULES!$A39)+COUNTIFS(_xlfn.ANCHORARRAY(DATA_CLEANED!$AF$3),CALCULES!L$2,_xlfn.ANCHORARRAY(DATA_CLEANED!$AN$3),CALCULES!$A39)&gt;0,1,0)</f>
        <v>0</v>
      </c>
      <c r="M39" s="112">
        <f>IF(COUNTIFS(_xlfn.ANCHORARRAY(DATA_CLEANED!$AF$3),CALCULES!M$2,_xlfn.ANCHORARRAY(DATA_CLEANED!$AK$3),CALCULES!$A39)+COUNTIFS(_xlfn.ANCHORARRAY(DATA_CLEANED!$AF$3),CALCULES!M$2,_xlfn.ANCHORARRAY(DATA_CLEANED!$AN$3),CALCULES!$A39)&gt;0,1,0)</f>
        <v>0</v>
      </c>
      <c r="N39" s="112">
        <f>IF(COUNTIFS(_xlfn.ANCHORARRAY(DATA_CLEANED!$AF$3),CALCULES!N$2,_xlfn.ANCHORARRAY(DATA_CLEANED!$AK$3),CALCULES!$A39)+COUNTIFS(_xlfn.ANCHORARRAY(DATA_CLEANED!$AF$3),CALCULES!N$2,_xlfn.ANCHORARRAY(DATA_CLEANED!$AN$3),CALCULES!$A39)&gt;0,1,0)</f>
        <v>0</v>
      </c>
      <c r="O39" s="112">
        <f>IF(COUNTIFS(_xlfn.ANCHORARRAY(DATA_CLEANED!$AF$3),CALCULES!O$2,_xlfn.ANCHORARRAY(DATA_CLEANED!$AK$3),CALCULES!$A39)+COUNTIFS(_xlfn.ANCHORARRAY(DATA_CLEANED!$AF$3),CALCULES!O$2,_xlfn.ANCHORARRAY(DATA_CLEANED!$AN$3),CALCULES!$A39)&gt;0,1,0)</f>
        <v>0</v>
      </c>
      <c r="P39" s="112">
        <f>IF(COUNTIFS(_xlfn.ANCHORARRAY(DATA_CLEANED!$AF$3),CALCULES!P$2,_xlfn.ANCHORARRAY(DATA_CLEANED!$AK$3),CALCULES!$A39)+COUNTIFS(_xlfn.ANCHORARRAY(DATA_CLEANED!$AF$3),CALCULES!P$2,_xlfn.ANCHORARRAY(DATA_CLEANED!$AN$3),CALCULES!$A39)&gt;0,1,0)</f>
        <v>0</v>
      </c>
      <c r="Q39" s="112">
        <f>IF(COUNTIFS(_xlfn.ANCHORARRAY(DATA_CLEANED!$AF$3),CALCULES!Q$2,_xlfn.ANCHORARRAY(DATA_CLEANED!$AK$3),CALCULES!$A39)+COUNTIFS(_xlfn.ANCHORARRAY(DATA_CLEANED!$AF$3),CALCULES!Q$2,_xlfn.ANCHORARRAY(DATA_CLEANED!$AN$3),CALCULES!$A39)&gt;0,1,0)</f>
        <v>0</v>
      </c>
      <c r="R39" s="112">
        <f>IF(COUNTIFS(_xlfn.ANCHORARRAY(DATA_CLEANED!$AF$3),CALCULES!R$2,_xlfn.ANCHORARRAY(DATA_CLEANED!$AK$3),CALCULES!$A39)+COUNTIFS(_xlfn.ANCHORARRAY(DATA_CLEANED!$AF$3),CALCULES!R$2,_xlfn.ANCHORARRAY(DATA_CLEANED!$AN$3),CALCULES!$A39)&gt;0,1,0)</f>
        <v>0</v>
      </c>
      <c r="S39" s="112">
        <f>IF(COUNTIFS(_xlfn.ANCHORARRAY(DATA_CLEANED!$AF$3),CALCULES!S$2,_xlfn.ANCHORARRAY(DATA_CLEANED!$AK$3),CALCULES!$A39)+COUNTIFS(_xlfn.ANCHORARRAY(DATA_CLEANED!$AF$3),CALCULES!S$2,_xlfn.ANCHORARRAY(DATA_CLEANED!$AN$3),CALCULES!$A39)&gt;0,1,0)</f>
        <v>0</v>
      </c>
      <c r="T39" s="112">
        <f>IF(COUNTIFS(_xlfn.ANCHORARRAY(DATA_CLEANED!$AF$3),CALCULES!T$2,_xlfn.ANCHORARRAY(DATA_CLEANED!$AK$3),CALCULES!$A39)+COUNTIFS(_xlfn.ANCHORARRAY(DATA_CLEANED!$AF$3),CALCULES!T$2,_xlfn.ANCHORARRAY(DATA_CLEANED!$AN$3),CALCULES!$A39)&gt;0,1,0)</f>
        <v>0</v>
      </c>
      <c r="U39" s="112">
        <f>IF(COUNTIFS(_xlfn.ANCHORARRAY(DATA_CLEANED!$AF$3),CALCULES!U$2,_xlfn.ANCHORARRAY(DATA_CLEANED!$AK$3),CALCULES!$A39)+COUNTIFS(_xlfn.ANCHORARRAY(DATA_CLEANED!$AF$3),CALCULES!U$2,_xlfn.ANCHORARRAY(DATA_CLEANED!$AN$3),CALCULES!$A39)&gt;0,1,0)</f>
        <v>0</v>
      </c>
      <c r="V39" s="112">
        <f>IF(COUNTIFS(_xlfn.ANCHORARRAY(DATA_CLEANED!$AF$3),CALCULES!V$2,_xlfn.ANCHORARRAY(DATA_CLEANED!$AK$3),CALCULES!$A39)+COUNTIFS(_xlfn.ANCHORARRAY(DATA_CLEANED!$AF$3),CALCULES!V$2,_xlfn.ANCHORARRAY(DATA_CLEANED!$AN$3),CALCULES!$A39)&gt;0,1,0)</f>
        <v>0</v>
      </c>
      <c r="W39" s="112">
        <f>IF(COUNTIFS(_xlfn.ANCHORARRAY(DATA_CLEANED!$AF$3),CALCULES!W$2,_xlfn.ANCHORARRAY(DATA_CLEANED!$AK$3),CALCULES!$A39)+COUNTIFS(_xlfn.ANCHORARRAY(DATA_CLEANED!$AF$3),CALCULES!W$2,_xlfn.ANCHORARRAY(DATA_CLEANED!$AN$3),CALCULES!$A39)&gt;0,1,0)</f>
        <v>0</v>
      </c>
      <c r="X39" s="112">
        <f>IF(COUNTIFS(_xlfn.ANCHORARRAY(DATA_CLEANED!$AF$3),CALCULES!X$2,_xlfn.ANCHORARRAY(DATA_CLEANED!$AK$3),CALCULES!$A39)+COUNTIFS(_xlfn.ANCHORARRAY(DATA_CLEANED!$AF$3),CALCULES!X$2,_xlfn.ANCHORARRAY(DATA_CLEANED!$AN$3),CALCULES!$A39)&gt;0,1,0)</f>
        <v>1</v>
      </c>
      <c r="Y39" s="113">
        <f t="shared" si="15"/>
        <v>2</v>
      </c>
      <c r="AA39" s="112">
        <f>COUNTIF(_xlfn.ANCHORARRAY(DATA_CLEANED!$AK$3),$A39)+COUNTIF(DATA_CLEANED!$AN$2:$AN$1060,$A39)</f>
        <v>6</v>
      </c>
      <c r="AB39" s="112">
        <f>COUNTIF(DATA_QUALITE!BG$12:BG$1069,A39)</f>
        <v>0</v>
      </c>
      <c r="AC39" s="112">
        <f t="shared" si="7"/>
        <v>6</v>
      </c>
      <c r="AD39" s="112" cm="1">
        <f t="array" ref="AD39">SUMPRODUCT((DATA_CLEANED!AL$3:AL$1060=DATA_CLEANED!AM$3:AM$1060)*(_xlfn.ANCHORARRAY(DATA_CLEANED!AK$3)=CALCULES!A39)*(DATA_CLEANED!AO$3:AO$1060&lt;&gt;"-"))
+
SUMPRODUCT((DATA_CLEANED!AL$3:AL$1060=DATA_CLEANED!AM$3:AM$1060)*(_xlfn.ANCHORARRAY(DATA_CLEANED!AN$3)=CALCULES!A39)*(DATA_CLEANED!AO$3:AO$1060&lt;&gt;"-"))</f>
        <v>0</v>
      </c>
      <c r="AE39" s="116">
        <f t="shared" si="16"/>
        <v>0</v>
      </c>
      <c r="AF39" s="116">
        <f t="shared" si="17"/>
        <v>1</v>
      </c>
      <c r="AG39" s="112">
        <f>SUMIF(_xlfn.ANCHORARRAY(DATA_CLEANED!AK$3),A39,DATA_CLEANED!AL$2:AL$1060)+SUMIF(_xlfn.ANCHORARRAY(DATA_CLEANED!AN$3),A39,DATA_CLEANED!AM$2:AM$1060)</f>
        <v>11</v>
      </c>
      <c r="AH39" s="112">
        <f>SUMIF(_xlfn.ANCHORARRAY(DATA_CLEANED!AK$3),A39,DATA_CLEANED!AM$2:AM$1060)+SUMIF(_xlfn.ANCHORARRAY(DATA_CLEANED!AN$3),A39,DATA_CLEANED!AL$2:AL$1060)</f>
        <v>6</v>
      </c>
      <c r="AI39" s="112">
        <f t="shared" si="8"/>
        <v>1</v>
      </c>
      <c r="AJ39" s="117" cm="1">
        <f t="array" ref="AJ39">_xlfn.LET(_xlpm.home,IFERROR(_xlfn._xlws.FILTER(DATA_CLEANED!AH$3:AH$1060,DATA_CLEANED!AK$3:AK$1060=CALCULES!A39),""),
_xlpm.away,IFERROR(_xlfn._xlws.FILTER(DATA_CLEANED!AH$3:AH$1060,DATA_CLEANED!AN$3:AN$1060=CALCULES!A39),""),
_xlpm.assemb_t,_xlfn._xlws.FILTER(_xlfn.VSTACK(_xlpm.home,_xlpm.away),_xlfn.VSTACK(_xlpm.home,_xlpm.away)&lt;&gt;""),
_xlpm.but_h,IFERROR(_xlfn._xlws.FILTER(_xlfn.ANCHORARRAY(DATA_CLEANED!AM$3),DATA_CLEANED!AK$3:AK$1060=CALCULES!A39),""),
_xlpm.but_a,IFERROR(_xlfn._xlws.FILTER(_xlfn.ANCHORARRAY(DATA_CLEANED!AL$3),DATA_CLEANED!AN$3:AN$1060=CALCULES!A39),""),
_xlpm.assemb_b,_xlfn._xlws.FILTER(_xlfn.VSTACK(_xlpm.but_h,_xlpm.but_a),_xlfn.VSTACK(_xlpm.but_h,_xlpm.but_a)&lt;&gt;""),
MEDIAN(_xlpm.assemb_t,_xlpm.assemb_b)
)</f>
        <v>3.5</v>
      </c>
      <c r="AK39" s="113">
        <f t="shared" si="18"/>
        <v>5</v>
      </c>
      <c r="AL39" s="112" cm="1">
        <f t="array" ref="AL39">IFERROR(MEDIAN(_xlfn._xlws.FILTER(_xlfn.VSTACK(
DATA_CLEANED!AL$3:AL$1060-DATA_CLEANED!AM$3:AM$1060,
DATA_CLEANED!AM$3:AM$1060-DATA_CLEANED!AL$3:AL$1060
),_xlfn.VSTACK(DATA_CLEANED!AK$3:AK$1060,DATA_CLEANED!AN$3:AN$1060)=A39)),"-")</f>
        <v>-2.5</v>
      </c>
      <c r="AM39" s="112">
        <f t="shared" si="9"/>
        <v>1.83</v>
      </c>
      <c r="AN39" s="112" cm="1">
        <f t="array" ref="AN39">_xlfn.LET(_xlpm.home,IFERROR(_xlfn._xlws.FILTER(DATA_CLEANED!AH$3:AH$1060,DATA_CLEANED!AK$3:AK$1060=CALCULES!A39),""),
_xlpm.away,IFERROR(_xlfn._xlws.FILTER(DATA_CLEANED!AH$3:AH$1060,DATA_CLEANED!AN$3:AN$1060=CALCULES!A39),""),
_xlpm.assemb_t,_xlfn._xlws.FILTER(_xlfn.VSTACK(_xlpm.home,_xlpm.away),_xlfn.VSTACK(_xlpm.home,_xlpm.away)&lt;&gt;""),
_xlpm.but_h,IFERROR(_xlfn._xlws.FILTER(_xlfn.ANCHORARRAY(DATA_CLEANED!AL$3),DATA_CLEANED!AK$3:AK$1060=CALCULES!A39),""),
_xlpm.but_a,IFERROR(_xlfn._xlws.FILTER(_xlfn.ANCHORARRAY(DATA_CLEANED!AM$3),DATA_CLEANED!AN$3:AN$1060=CALCULES!A39),""),
_xlpm.assemb_b,_xlfn._xlws.FILTER(_xlfn.VSTACK(_xlpm.but_h,_xlpm.but_a),_xlfn.VSTACK(_xlpm.but_h,_xlpm.but_a)&lt;&gt;""),
MEDIAN(_xlpm.assemb_t,_xlpm.assemb_b)
)</f>
        <v>0.5</v>
      </c>
      <c r="AO39" s="116">
        <f>ROUND(IFERROR((COUNTIFS(DATA_CLEANED!AK$3:AK$1060,A39,DATA_CLEANED!AM$3:AM$1060,0)
+
COUNTIFS(DATA_CLEANED!AN$3:AN$1060,A39,DATA_CLEANED!AL$3:AL$1060,0)
)/AA39,0),2)</f>
        <v>0</v>
      </c>
      <c r="AP39" s="112">
        <f>MAX((_xlfn.MAXIFS(_xlfn.ANCHORARRAY(DATA_CLEANED!AL$3),_xlfn.ANCHORARRAY(DATA_CLEANED!AK$3),A39)),(_xlfn.MAXIFS(DATA_CLEANED!AM$3:AM$1060,_xlfn.ANCHORARRAY(DATA_CLEANED!AN$3),A39)))</f>
        <v>2</v>
      </c>
      <c r="AQ39" s="112">
        <f>COUNTIF(_xlfn.ANCHORARRAY(DATA_CLEANED!K$3),A39)</f>
        <v>0</v>
      </c>
      <c r="AR39" s="113" t="str" cm="1">
        <f t="array" ref="AR39">_xlfn.LET(
_xlpm.home,IFERROR(_xlfn._xlws.FILTER(DATA_CLEANED!AH$3:AH$1060,DATA_CLEANED!AK$3:AK$1060=CALCULES!A39),""),
_xlpm.away,IFERROR(_xlfn._xlws.FILTER(DATA_CLEANED!AH$3:AH$1060,DATA_CLEANED!AN$3:AN$1060=CALCULES!A39),""),
_xlpm.etapes,_xlfn._xlws.FILTER(_xlfn.VSTACK(_xlpm.home,_xlpm.away),_xlfn.VSTACK(_xlpm.home,_xlpm.away)&lt;&gt;""),
_xlpm.numeros,_xlfn.XLOOKUP(_xlpm.etapes,DATA_QUALITE!AT$12:AT$38,DATA_QUALITE!AU$12:AU$38),
_xlfn.XLOOKUP(MIN(_xlpm.numeros),DATA_QUALITE!AU$12:AU$38,DATA_QUALITE!AT$12:AT$38)
)</f>
        <v>GROUP_STAGE</v>
      </c>
      <c r="AS39" s="112">
        <f t="shared" si="19"/>
        <v>2</v>
      </c>
      <c r="AT39" s="112">
        <f t="shared" si="20"/>
        <v>0</v>
      </c>
      <c r="AU39" s="112">
        <f>COUNTIFS(DATA_QUALITE!BG$12:BG$1069,"MATCH NUL",_xlfn.ANCHORARRAY(DATA_CLEANED!AK$3),CALCULES!A39)+COUNTIFS(DATA_QUALITE!BG$12:BG$1069,"MATCH NUL",_xlfn.ANCHORARRAY(DATA_CLEANED!AN$3),CALCULES!A39)</f>
        <v>0</v>
      </c>
      <c r="AV39" s="112">
        <v>11</v>
      </c>
      <c r="AW39" s="112">
        <f>COUNTIFS(_xlfn.ANCHORARRAY(DATA_CLEANED!AH$3),"QUARTER_FINALS",_xlfn.ANCHORARRAY(DATA_CLEANED!AK$3),CALCULES!A39)+COUNTIFS(_xlfn.ANCHORARRAY(DATA_CLEANED!AH$3),"QUARTER_FINALS",_xlfn.ANCHORARRAY(DATA_CLEANED!AN$3),CALCULES!A39)</f>
        <v>0</v>
      </c>
      <c r="AX39" s="112">
        <f>COUNTIFS(_xlfn.ANCHORARRAY(DATA_CLEANED!AH$3),"SEMI_FINALS",_xlfn.ANCHORARRAY(DATA_CLEANED!AK$3),CALCULES!A39)+COUNTIFS(_xlfn.ANCHORARRAY(DATA_CLEANED!AH$3),"SEMI_FINALS",_xlfn.ANCHORARRAY(DATA_CLEANED!AN$3),CALCULES!A39)</f>
        <v>0</v>
      </c>
      <c r="AY39" s="112">
        <f>COUNTIFS(_xlfn.ANCHORARRAY(DATA_CLEANED!AH$3),"FINAL",_xlfn.ANCHORARRAY(DATA_CLEANED!AK$3),CALCULES!A39)+COUNTIFS(_xlfn.ANCHORARRAY(DATA_CLEANED!AH$3),"FINAL",_xlfn.ANCHORARRAY(DATA_CLEANED!AN$3),CALCULES!A39)</f>
        <v>0</v>
      </c>
      <c r="AZ39" s="112">
        <f>COUNTIFS(DATA_QUALITE!BG$12:BG$1069,CALCULES!A39,DATA_QUALITE!AW$12:AW$1069,"FINAL")</f>
        <v>0</v>
      </c>
      <c r="BA39" s="113">
        <f t="shared" si="21"/>
        <v>5.2</v>
      </c>
      <c r="BB39" s="118">
        <f t="shared" si="10"/>
        <v>0</v>
      </c>
      <c r="BC39" s="118">
        <f t="shared" si="11"/>
        <v>0</v>
      </c>
      <c r="BD39" s="139">
        <f t="shared" si="12"/>
        <v>0</v>
      </c>
      <c r="BF39" s="171"/>
      <c r="BG39" s="171"/>
      <c r="BH39" s="167"/>
      <c r="BI39" s="167"/>
      <c r="BJ39" s="167"/>
      <c r="BK39" s="167"/>
      <c r="BL39" s="173">
        <f>INT((ROWS($BL$15:BL39)-1)/9)</f>
        <v>2</v>
      </c>
      <c r="BM39" s="173">
        <f>MOD(ROWS($BM$15:BM39)-1,9)</f>
        <v>6</v>
      </c>
      <c r="BN39" s="173">
        <f t="shared" si="14"/>
        <v>2.3117191580950702E-4</v>
      </c>
      <c r="BO39" s="167"/>
      <c r="BP39" s="167"/>
    </row>
    <row r="40" spans="1:68">
      <c r="A40" s="113" t="str">
        <v>Honduras</v>
      </c>
      <c r="B40" s="112">
        <f>IF(COUNTIFS(_xlfn.ANCHORARRAY(DATA_CLEANED!$AF$3),CALCULES!B$2,_xlfn.ANCHORARRAY(DATA_CLEANED!$AK$3),CALCULES!$A40)+COUNTIFS(_xlfn.ANCHORARRAY(DATA_CLEANED!$AF$3),CALCULES!B$2,_xlfn.ANCHORARRAY(DATA_CLEANED!$AN$3),CALCULES!$A40)&gt;0,1,0)</f>
        <v>0</v>
      </c>
      <c r="C40" s="112">
        <f>IF(COUNTIFS(_xlfn.ANCHORARRAY(DATA_CLEANED!$AF$3),CALCULES!C$2,_xlfn.ANCHORARRAY(DATA_CLEANED!$AK$3),CALCULES!$A40)+COUNTIFS(_xlfn.ANCHORARRAY(DATA_CLEANED!$AF$3),CALCULES!C$2,_xlfn.ANCHORARRAY(DATA_CLEANED!$AN$3),CALCULES!$A40)&gt;0,1,0)</f>
        <v>0</v>
      </c>
      <c r="D40" s="112">
        <f>IF(COUNTIFS(_xlfn.ANCHORARRAY(DATA_CLEANED!$AF$3),CALCULES!D$2,_xlfn.ANCHORARRAY(DATA_CLEANED!$AK$3),CALCULES!$A40)+COUNTIFS(_xlfn.ANCHORARRAY(DATA_CLEANED!$AF$3),CALCULES!D$2,_xlfn.ANCHORARRAY(DATA_CLEANED!$AN$3),CALCULES!$A40)&gt;0,1,0)</f>
        <v>0</v>
      </c>
      <c r="E40" s="112">
        <f>IF(COUNTIFS(_xlfn.ANCHORARRAY(DATA_CLEANED!$AF$3),CALCULES!E$2,_xlfn.ANCHORARRAY(DATA_CLEANED!$AK$3),CALCULES!$A40)+COUNTIFS(_xlfn.ANCHORARRAY(DATA_CLEANED!$AF$3),CALCULES!E$2,_xlfn.ANCHORARRAY(DATA_CLEANED!$AN$3),CALCULES!$A40)&gt;0,1,0)</f>
        <v>0</v>
      </c>
      <c r="F40" s="112">
        <f>IF(COUNTIFS(_xlfn.ANCHORARRAY(DATA_CLEANED!$AF$3),CALCULES!F$2,_xlfn.ANCHORARRAY(DATA_CLEANED!$AK$3),CALCULES!$A40)+COUNTIFS(_xlfn.ANCHORARRAY(DATA_CLEANED!$AF$3),CALCULES!F$2,_xlfn.ANCHORARRAY(DATA_CLEANED!$AN$3),CALCULES!$A40)&gt;0,1,0)</f>
        <v>0</v>
      </c>
      <c r="G40" s="112">
        <f>IF(COUNTIFS(_xlfn.ANCHORARRAY(DATA_CLEANED!$AF$3),CALCULES!G$2,_xlfn.ANCHORARRAY(DATA_CLEANED!$AK$3),CALCULES!$A40)+COUNTIFS(_xlfn.ANCHORARRAY(DATA_CLEANED!$AF$3),CALCULES!G$2,_xlfn.ANCHORARRAY(DATA_CLEANED!$AN$3),CALCULES!$A40)&gt;0,1,0)</f>
        <v>0</v>
      </c>
      <c r="H40" s="112">
        <f>IF(COUNTIFS(_xlfn.ANCHORARRAY(DATA_CLEANED!$AF$3),CALCULES!H$2,_xlfn.ANCHORARRAY(DATA_CLEANED!$AK$3),CALCULES!$A40)+COUNTIFS(_xlfn.ANCHORARRAY(DATA_CLEANED!$AF$3),CALCULES!H$2,_xlfn.ANCHORARRAY(DATA_CLEANED!$AN$3),CALCULES!$A40)&gt;0,1,0)</f>
        <v>0</v>
      </c>
      <c r="I40" s="112">
        <f>IF(COUNTIFS(_xlfn.ANCHORARRAY(DATA_CLEANED!$AF$3),CALCULES!I$2,_xlfn.ANCHORARRAY(DATA_CLEANED!$AK$3),CALCULES!$A40)+COUNTIFS(_xlfn.ANCHORARRAY(DATA_CLEANED!$AF$3),CALCULES!I$2,_xlfn.ANCHORARRAY(DATA_CLEANED!$AN$3),CALCULES!$A40)&gt;0,1,0)</f>
        <v>0</v>
      </c>
      <c r="J40" s="112">
        <f>IF(COUNTIFS(_xlfn.ANCHORARRAY(DATA_CLEANED!$AF$3),CALCULES!J$2,_xlfn.ANCHORARRAY(DATA_CLEANED!$AK$3),CALCULES!$A40)+COUNTIFS(_xlfn.ANCHORARRAY(DATA_CLEANED!$AF$3),CALCULES!J$2,_xlfn.ANCHORARRAY(DATA_CLEANED!$AN$3),CALCULES!$A40)&gt;0,1,0)</f>
        <v>0</v>
      </c>
      <c r="K40" s="112">
        <f>IF(COUNTIFS(_xlfn.ANCHORARRAY(DATA_CLEANED!$AF$3),CALCULES!K$2,_xlfn.ANCHORARRAY(DATA_CLEANED!$AK$3),CALCULES!$A40)+COUNTIFS(_xlfn.ANCHORARRAY(DATA_CLEANED!$AF$3),CALCULES!K$2,_xlfn.ANCHORARRAY(DATA_CLEANED!$AN$3),CALCULES!$A40)&gt;0,1,0)</f>
        <v>0</v>
      </c>
      <c r="L40" s="112">
        <f>IF(COUNTIFS(_xlfn.ANCHORARRAY(DATA_CLEANED!$AF$3),CALCULES!L$2,_xlfn.ANCHORARRAY(DATA_CLEANED!$AK$3),CALCULES!$A40)+COUNTIFS(_xlfn.ANCHORARRAY(DATA_CLEANED!$AF$3),CALCULES!L$2,_xlfn.ANCHORARRAY(DATA_CLEANED!$AN$3),CALCULES!$A40)&gt;0,1,0)</f>
        <v>0</v>
      </c>
      <c r="M40" s="112">
        <f>IF(COUNTIFS(_xlfn.ANCHORARRAY(DATA_CLEANED!$AF$3),CALCULES!M$2,_xlfn.ANCHORARRAY(DATA_CLEANED!$AK$3),CALCULES!$A40)+COUNTIFS(_xlfn.ANCHORARRAY(DATA_CLEANED!$AF$3),CALCULES!M$2,_xlfn.ANCHORARRAY(DATA_CLEANED!$AN$3),CALCULES!$A40)&gt;0,1,0)</f>
        <v>1</v>
      </c>
      <c r="N40" s="112">
        <f>IF(COUNTIFS(_xlfn.ANCHORARRAY(DATA_CLEANED!$AF$3),CALCULES!N$2,_xlfn.ANCHORARRAY(DATA_CLEANED!$AK$3),CALCULES!$A40)+COUNTIFS(_xlfn.ANCHORARRAY(DATA_CLEANED!$AF$3),CALCULES!N$2,_xlfn.ANCHORARRAY(DATA_CLEANED!$AN$3),CALCULES!$A40)&gt;0,1,0)</f>
        <v>0</v>
      </c>
      <c r="O40" s="112">
        <f>IF(COUNTIFS(_xlfn.ANCHORARRAY(DATA_CLEANED!$AF$3),CALCULES!O$2,_xlfn.ANCHORARRAY(DATA_CLEANED!$AK$3),CALCULES!$A40)+COUNTIFS(_xlfn.ANCHORARRAY(DATA_CLEANED!$AF$3),CALCULES!O$2,_xlfn.ANCHORARRAY(DATA_CLEANED!$AN$3),CALCULES!$A40)&gt;0,1,0)</f>
        <v>0</v>
      </c>
      <c r="P40" s="112">
        <f>IF(COUNTIFS(_xlfn.ANCHORARRAY(DATA_CLEANED!$AF$3),CALCULES!P$2,_xlfn.ANCHORARRAY(DATA_CLEANED!$AK$3),CALCULES!$A40)+COUNTIFS(_xlfn.ANCHORARRAY(DATA_CLEANED!$AF$3),CALCULES!P$2,_xlfn.ANCHORARRAY(DATA_CLEANED!$AN$3),CALCULES!$A40)&gt;0,1,0)</f>
        <v>0</v>
      </c>
      <c r="Q40" s="112">
        <f>IF(COUNTIFS(_xlfn.ANCHORARRAY(DATA_CLEANED!$AF$3),CALCULES!Q$2,_xlfn.ANCHORARRAY(DATA_CLEANED!$AK$3),CALCULES!$A40)+COUNTIFS(_xlfn.ANCHORARRAY(DATA_CLEANED!$AF$3),CALCULES!Q$2,_xlfn.ANCHORARRAY(DATA_CLEANED!$AN$3),CALCULES!$A40)&gt;0,1,0)</f>
        <v>0</v>
      </c>
      <c r="R40" s="112">
        <f>IF(COUNTIFS(_xlfn.ANCHORARRAY(DATA_CLEANED!$AF$3),CALCULES!R$2,_xlfn.ANCHORARRAY(DATA_CLEANED!$AK$3),CALCULES!$A40)+COUNTIFS(_xlfn.ANCHORARRAY(DATA_CLEANED!$AF$3),CALCULES!R$2,_xlfn.ANCHORARRAY(DATA_CLEANED!$AN$3),CALCULES!$A40)&gt;0,1,0)</f>
        <v>0</v>
      </c>
      <c r="S40" s="112">
        <f>IF(COUNTIFS(_xlfn.ANCHORARRAY(DATA_CLEANED!$AF$3),CALCULES!S$2,_xlfn.ANCHORARRAY(DATA_CLEANED!$AK$3),CALCULES!$A40)+COUNTIFS(_xlfn.ANCHORARRAY(DATA_CLEANED!$AF$3),CALCULES!S$2,_xlfn.ANCHORARRAY(DATA_CLEANED!$AN$3),CALCULES!$A40)&gt;0,1,0)</f>
        <v>0</v>
      </c>
      <c r="T40" s="112">
        <f>IF(COUNTIFS(_xlfn.ANCHORARRAY(DATA_CLEANED!$AF$3),CALCULES!T$2,_xlfn.ANCHORARRAY(DATA_CLEANED!$AK$3),CALCULES!$A40)+COUNTIFS(_xlfn.ANCHORARRAY(DATA_CLEANED!$AF$3),CALCULES!T$2,_xlfn.ANCHORARRAY(DATA_CLEANED!$AN$3),CALCULES!$A40)&gt;0,1,0)</f>
        <v>1</v>
      </c>
      <c r="U40" s="112">
        <f>IF(COUNTIFS(_xlfn.ANCHORARRAY(DATA_CLEANED!$AF$3),CALCULES!U$2,_xlfn.ANCHORARRAY(DATA_CLEANED!$AK$3),CALCULES!$A40)+COUNTIFS(_xlfn.ANCHORARRAY(DATA_CLEANED!$AF$3),CALCULES!U$2,_xlfn.ANCHORARRAY(DATA_CLEANED!$AN$3),CALCULES!$A40)&gt;0,1,0)</f>
        <v>1</v>
      </c>
      <c r="V40" s="112">
        <f>IF(COUNTIFS(_xlfn.ANCHORARRAY(DATA_CLEANED!$AF$3),CALCULES!V$2,_xlfn.ANCHORARRAY(DATA_CLEANED!$AK$3),CALCULES!$A40)+COUNTIFS(_xlfn.ANCHORARRAY(DATA_CLEANED!$AF$3),CALCULES!V$2,_xlfn.ANCHORARRAY(DATA_CLEANED!$AN$3),CALCULES!$A40)&gt;0,1,0)</f>
        <v>0</v>
      </c>
      <c r="W40" s="112">
        <f>IF(COUNTIFS(_xlfn.ANCHORARRAY(DATA_CLEANED!$AF$3),CALCULES!W$2,_xlfn.ANCHORARRAY(DATA_CLEANED!$AK$3),CALCULES!$A40)+COUNTIFS(_xlfn.ANCHORARRAY(DATA_CLEANED!$AF$3),CALCULES!W$2,_xlfn.ANCHORARRAY(DATA_CLEANED!$AN$3),CALCULES!$A40)&gt;0,1,0)</f>
        <v>0</v>
      </c>
      <c r="X40" s="112">
        <f>IF(COUNTIFS(_xlfn.ANCHORARRAY(DATA_CLEANED!$AF$3),CALCULES!X$2,_xlfn.ANCHORARRAY(DATA_CLEANED!$AK$3),CALCULES!$A40)+COUNTIFS(_xlfn.ANCHORARRAY(DATA_CLEANED!$AF$3),CALCULES!X$2,_xlfn.ANCHORARRAY(DATA_CLEANED!$AN$3),CALCULES!$A40)&gt;0,1,0)</f>
        <v>0</v>
      </c>
      <c r="Y40" s="113">
        <f t="shared" si="15"/>
        <v>3</v>
      </c>
      <c r="AA40" s="112">
        <f>COUNTIF(_xlfn.ANCHORARRAY(DATA_CLEANED!$AK$3),$A40)+COUNTIF(DATA_CLEANED!$AN$2:$AN$1060,$A40)</f>
        <v>9</v>
      </c>
      <c r="AB40" s="112">
        <f>COUNTIF(DATA_QUALITE!BG$12:BG$1069,A40)</f>
        <v>0</v>
      </c>
      <c r="AC40" s="112">
        <f t="shared" si="7"/>
        <v>9</v>
      </c>
      <c r="AD40" s="112" cm="1">
        <f t="array" ref="AD40">SUMPRODUCT((DATA_CLEANED!AL$3:AL$1060=DATA_CLEANED!AM$3:AM$1060)*(_xlfn.ANCHORARRAY(DATA_CLEANED!AK$3)=CALCULES!A40)*(DATA_CLEANED!AO$3:AO$1060&lt;&gt;"-"))
+
SUMPRODUCT((DATA_CLEANED!AL$3:AL$1060=DATA_CLEANED!AM$3:AM$1060)*(_xlfn.ANCHORARRAY(DATA_CLEANED!AN$3)=CALCULES!A40)*(DATA_CLEANED!AO$3:AO$1060&lt;&gt;"-"))</f>
        <v>0</v>
      </c>
      <c r="AE40" s="116">
        <f t="shared" si="16"/>
        <v>0</v>
      </c>
      <c r="AF40" s="116">
        <f t="shared" si="17"/>
        <v>1</v>
      </c>
      <c r="AG40" s="112">
        <f>SUMIF(_xlfn.ANCHORARRAY(DATA_CLEANED!AK$3),A40,DATA_CLEANED!AL$2:AL$1060)+SUMIF(_xlfn.ANCHORARRAY(DATA_CLEANED!AN$3),A40,DATA_CLEANED!AM$2:AM$1060)</f>
        <v>16</v>
      </c>
      <c r="AH40" s="112">
        <f>SUMIF(_xlfn.ANCHORARRAY(DATA_CLEANED!AK$3),A40,DATA_CLEANED!AM$2:AM$1060)+SUMIF(_xlfn.ANCHORARRAY(DATA_CLEANED!AN$3),A40,DATA_CLEANED!AL$2:AL$1060)</f>
        <v>16</v>
      </c>
      <c r="AI40" s="112">
        <f t="shared" si="8"/>
        <v>1.78</v>
      </c>
      <c r="AJ40" s="117" cm="1">
        <f t="array" ref="AJ40">_xlfn.LET(_xlpm.home,IFERROR(_xlfn._xlws.FILTER(DATA_CLEANED!AH$3:AH$1060,DATA_CLEANED!AK$3:AK$1060=CALCULES!A40),""),
_xlpm.away,IFERROR(_xlfn._xlws.FILTER(DATA_CLEANED!AH$3:AH$1060,DATA_CLEANED!AN$3:AN$1060=CALCULES!A40),""),
_xlpm.assemb_t,_xlfn._xlws.FILTER(_xlfn.VSTACK(_xlpm.home,_xlpm.away),_xlfn.VSTACK(_xlpm.home,_xlpm.away)&lt;&gt;""),
_xlpm.but_h,IFERROR(_xlfn._xlws.FILTER(_xlfn.ANCHORARRAY(DATA_CLEANED!AM$3),DATA_CLEANED!AK$3:AK$1060=CALCULES!A40),""),
_xlpm.but_a,IFERROR(_xlfn._xlws.FILTER(_xlfn.ANCHORARRAY(DATA_CLEANED!AL$3),DATA_CLEANED!AN$3:AN$1060=CALCULES!A40),""),
_xlpm.assemb_b,_xlfn._xlws.FILTER(_xlfn.VSTACK(_xlpm.but_h,_xlpm.but_a),_xlfn.VSTACK(_xlpm.but_h,_xlpm.but_a)&lt;&gt;""),
MEDIAN(_xlpm.assemb_t,_xlpm.assemb_b)
)</f>
        <v>1</v>
      </c>
      <c r="AK40" s="113">
        <f t="shared" si="18"/>
        <v>0</v>
      </c>
      <c r="AL40" s="112" cm="1">
        <f t="array" ref="AL40">IFERROR(MEDIAN(_xlfn._xlws.FILTER(_xlfn.VSTACK(
DATA_CLEANED!AL$3:AL$1060-DATA_CLEANED!AM$3:AM$1060,
DATA_CLEANED!AM$3:AM$1060-DATA_CLEANED!AL$3:AL$1060
),_xlfn.VSTACK(DATA_CLEANED!AK$3:AK$1060,DATA_CLEANED!AN$3:AN$1060)=A40)),"-")</f>
        <v>-1</v>
      </c>
      <c r="AM40" s="112">
        <f t="shared" si="9"/>
        <v>1.78</v>
      </c>
      <c r="AN40" s="112" cm="1">
        <f t="array" ref="AN40">_xlfn.LET(_xlpm.home,IFERROR(_xlfn._xlws.FILTER(DATA_CLEANED!AH$3:AH$1060,DATA_CLEANED!AK$3:AK$1060=CALCULES!A40),""),
_xlpm.away,IFERROR(_xlfn._xlws.FILTER(DATA_CLEANED!AH$3:AH$1060,DATA_CLEANED!AN$3:AN$1060=CALCULES!A40),""),
_xlpm.assemb_t,_xlfn._xlws.FILTER(_xlfn.VSTACK(_xlpm.home,_xlpm.away),_xlfn.VSTACK(_xlpm.home,_xlpm.away)&lt;&gt;""),
_xlpm.but_h,IFERROR(_xlfn._xlws.FILTER(_xlfn.ANCHORARRAY(DATA_CLEANED!AL$3),DATA_CLEANED!AK$3:AK$1060=CALCULES!A40),""),
_xlpm.but_a,IFERROR(_xlfn._xlws.FILTER(_xlfn.ANCHORARRAY(DATA_CLEANED!AM$3),DATA_CLEANED!AN$3:AN$1060=CALCULES!A40),""),
_xlpm.assemb_b,_xlfn._xlws.FILTER(_xlfn.VSTACK(_xlpm.but_h,_xlpm.but_a),_xlfn.VSTACK(_xlpm.but_h,_xlpm.but_a)&lt;&gt;""),
MEDIAN(_xlpm.assemb_t,_xlpm.assemb_b)
)</f>
        <v>0</v>
      </c>
      <c r="AO40" s="116">
        <f>ROUND(IFERROR((COUNTIFS(DATA_CLEANED!AK$3:AK$1060,A40,DATA_CLEANED!AM$3:AM$1060,0)
+
COUNTIFS(DATA_CLEANED!AN$3:AN$1060,A40,DATA_CLEANED!AL$3:AL$1060,0)
)/AA40,0),2)</f>
        <v>0.11</v>
      </c>
      <c r="AP40" s="112">
        <f>MAX((_xlfn.MAXIFS(_xlfn.ANCHORARRAY(DATA_CLEANED!AL$3),_xlfn.ANCHORARRAY(DATA_CLEANED!AK$3),A40)),(_xlfn.MAXIFS(DATA_CLEANED!AM$3:AM$1060,_xlfn.ANCHORARRAY(DATA_CLEANED!AN$3),A40)))</f>
        <v>1</v>
      </c>
      <c r="AQ40" s="112">
        <f>COUNTIF(_xlfn.ANCHORARRAY(DATA_CLEANED!K$3),A40)</f>
        <v>0</v>
      </c>
      <c r="AR40" s="113" t="str" cm="1">
        <f t="array" ref="AR40">_xlfn.LET(
_xlpm.home,IFERROR(_xlfn._xlws.FILTER(DATA_CLEANED!AH$3:AH$1060,DATA_CLEANED!AK$3:AK$1060=CALCULES!A40),""),
_xlpm.away,IFERROR(_xlfn._xlws.FILTER(DATA_CLEANED!AH$3:AH$1060,DATA_CLEANED!AN$3:AN$1060=CALCULES!A40),""),
_xlpm.etapes,_xlfn._xlws.FILTER(_xlfn.VSTACK(_xlpm.home,_xlpm.away),_xlfn.VSTACK(_xlpm.home,_xlpm.away)&lt;&gt;""),
_xlpm.numeros,_xlfn.XLOOKUP(_xlpm.etapes,DATA_QUALITE!AT$12:AT$38,DATA_QUALITE!AU$12:AU$38),
_xlfn.XLOOKUP(MIN(_xlpm.numeros),DATA_QUALITE!AU$12:AU$38,DATA_QUALITE!AT$12:AT$38)
)</f>
        <v>GROUP_STAGE</v>
      </c>
      <c r="AS40" s="112">
        <f t="shared" si="19"/>
        <v>3</v>
      </c>
      <c r="AT40" s="112">
        <f t="shared" si="20"/>
        <v>0</v>
      </c>
      <c r="AU40" s="112">
        <f>COUNTIFS(DATA_QUALITE!BG$12:BG$1069,"MATCH NUL",_xlfn.ANCHORARRAY(DATA_CLEANED!AK$3),CALCULES!A40)+COUNTIFS(DATA_QUALITE!BG$12:BG$1069,"MATCH NUL",_xlfn.ANCHORARRAY(DATA_CLEANED!AN$3),CALCULES!A40)</f>
        <v>3</v>
      </c>
      <c r="AV40" s="112">
        <v>16</v>
      </c>
      <c r="AW40" s="112">
        <f>COUNTIFS(_xlfn.ANCHORARRAY(DATA_CLEANED!AH$3),"QUARTER_FINALS",_xlfn.ANCHORARRAY(DATA_CLEANED!AK$3),CALCULES!A40)+COUNTIFS(_xlfn.ANCHORARRAY(DATA_CLEANED!AH$3),"QUARTER_FINALS",_xlfn.ANCHORARRAY(DATA_CLEANED!AN$3),CALCULES!A40)</f>
        <v>0</v>
      </c>
      <c r="AX40" s="112">
        <f>COUNTIFS(_xlfn.ANCHORARRAY(DATA_CLEANED!AH$3),"SEMI_FINALS",_xlfn.ANCHORARRAY(DATA_CLEANED!AK$3),CALCULES!A40)+COUNTIFS(_xlfn.ANCHORARRAY(DATA_CLEANED!AH$3),"SEMI_FINALS",_xlfn.ANCHORARRAY(DATA_CLEANED!AN$3),CALCULES!A40)</f>
        <v>0</v>
      </c>
      <c r="AY40" s="112">
        <f>COUNTIFS(_xlfn.ANCHORARRAY(DATA_CLEANED!AH$3),"FINAL",_xlfn.ANCHORARRAY(DATA_CLEANED!AK$3),CALCULES!A40)+COUNTIFS(_xlfn.ANCHORARRAY(DATA_CLEANED!AH$3),"FINAL",_xlfn.ANCHORARRAY(DATA_CLEANED!AN$3),CALCULES!A40)</f>
        <v>0</v>
      </c>
      <c r="AZ40" s="112">
        <f>COUNTIFS(DATA_QUALITE!BG$12:BG$1069,CALCULES!A40,DATA_QUALITE!AW$12:AW$1069,"FINAL")</f>
        <v>0</v>
      </c>
      <c r="BA40" s="113">
        <f t="shared" si="21"/>
        <v>16.670000000000002</v>
      </c>
      <c r="BB40" s="118">
        <f t="shared" si="10"/>
        <v>0</v>
      </c>
      <c r="BC40" s="118">
        <f t="shared" si="11"/>
        <v>0</v>
      </c>
      <c r="BD40" s="139">
        <f t="shared" si="12"/>
        <v>0</v>
      </c>
      <c r="BF40" s="178" t="s">
        <v>3937</v>
      </c>
      <c r="BG40" s="178">
        <f>BG34*BG37</f>
        <v>1.6014113161512287</v>
      </c>
      <c r="BH40" s="167"/>
      <c r="BI40" s="167"/>
      <c r="BJ40" s="167"/>
      <c r="BK40" s="167"/>
      <c r="BL40" s="173">
        <f>INT((ROWS($BL$15:BL40)-1)/9)</f>
        <v>2</v>
      </c>
      <c r="BM40" s="173">
        <f>MOD(ROWS($BM$15:BM40)-1,9)</f>
        <v>7</v>
      </c>
      <c r="BN40" s="173">
        <f t="shared" si="14"/>
        <v>3.6985369749518904E-5</v>
      </c>
      <c r="BO40" s="167"/>
      <c r="BP40" s="167"/>
    </row>
    <row r="41" spans="1:68">
      <c r="A41" s="113" t="str">
        <v>Hungary</v>
      </c>
      <c r="B41" s="112">
        <f>IF(COUNTIFS(_xlfn.ANCHORARRAY(DATA_CLEANED!$AF$3),CALCULES!B$2,_xlfn.ANCHORARRAY(DATA_CLEANED!$AK$3),CALCULES!$A41)+COUNTIFS(_xlfn.ANCHORARRAY(DATA_CLEANED!$AF$3),CALCULES!B$2,_xlfn.ANCHORARRAY(DATA_CLEANED!$AN$3),CALCULES!$A41)&gt;0,1,0)</f>
        <v>0</v>
      </c>
      <c r="C41" s="112">
        <f>IF(COUNTIFS(_xlfn.ANCHORARRAY(DATA_CLEANED!$AF$3),CALCULES!C$2,_xlfn.ANCHORARRAY(DATA_CLEANED!$AK$3),CALCULES!$A41)+COUNTIFS(_xlfn.ANCHORARRAY(DATA_CLEANED!$AF$3),CALCULES!C$2,_xlfn.ANCHORARRAY(DATA_CLEANED!$AN$3),CALCULES!$A41)&gt;0,1,0)</f>
        <v>1</v>
      </c>
      <c r="D41" s="112">
        <f>IF(COUNTIFS(_xlfn.ANCHORARRAY(DATA_CLEANED!$AF$3),CALCULES!D$2,_xlfn.ANCHORARRAY(DATA_CLEANED!$AK$3),CALCULES!$A41)+COUNTIFS(_xlfn.ANCHORARRAY(DATA_CLEANED!$AF$3),CALCULES!D$2,_xlfn.ANCHORARRAY(DATA_CLEANED!$AN$3),CALCULES!$A41)&gt;0,1,0)</f>
        <v>1</v>
      </c>
      <c r="E41" s="112">
        <f>IF(COUNTIFS(_xlfn.ANCHORARRAY(DATA_CLEANED!$AF$3),CALCULES!E$2,_xlfn.ANCHORARRAY(DATA_CLEANED!$AK$3),CALCULES!$A41)+COUNTIFS(_xlfn.ANCHORARRAY(DATA_CLEANED!$AF$3),CALCULES!E$2,_xlfn.ANCHORARRAY(DATA_CLEANED!$AN$3),CALCULES!$A41)&gt;0,1,0)</f>
        <v>0</v>
      </c>
      <c r="F41" s="112">
        <f>IF(COUNTIFS(_xlfn.ANCHORARRAY(DATA_CLEANED!$AF$3),CALCULES!F$2,_xlfn.ANCHORARRAY(DATA_CLEANED!$AK$3),CALCULES!$A41)+COUNTIFS(_xlfn.ANCHORARRAY(DATA_CLEANED!$AF$3),CALCULES!F$2,_xlfn.ANCHORARRAY(DATA_CLEANED!$AN$3),CALCULES!$A41)&gt;0,1,0)</f>
        <v>1</v>
      </c>
      <c r="G41" s="112">
        <f>IF(COUNTIFS(_xlfn.ANCHORARRAY(DATA_CLEANED!$AF$3),CALCULES!G$2,_xlfn.ANCHORARRAY(DATA_CLEANED!$AK$3),CALCULES!$A41)+COUNTIFS(_xlfn.ANCHORARRAY(DATA_CLEANED!$AF$3),CALCULES!G$2,_xlfn.ANCHORARRAY(DATA_CLEANED!$AN$3),CALCULES!$A41)&gt;0,1,0)</f>
        <v>1</v>
      </c>
      <c r="H41" s="112">
        <f>IF(COUNTIFS(_xlfn.ANCHORARRAY(DATA_CLEANED!$AF$3),CALCULES!H$2,_xlfn.ANCHORARRAY(DATA_CLEANED!$AK$3),CALCULES!$A41)+COUNTIFS(_xlfn.ANCHORARRAY(DATA_CLEANED!$AF$3),CALCULES!H$2,_xlfn.ANCHORARRAY(DATA_CLEANED!$AN$3),CALCULES!$A41)&gt;0,1,0)</f>
        <v>1</v>
      </c>
      <c r="I41" s="112">
        <f>IF(COUNTIFS(_xlfn.ANCHORARRAY(DATA_CLEANED!$AF$3),CALCULES!I$2,_xlfn.ANCHORARRAY(DATA_CLEANED!$AK$3),CALCULES!$A41)+COUNTIFS(_xlfn.ANCHORARRAY(DATA_CLEANED!$AF$3),CALCULES!I$2,_xlfn.ANCHORARRAY(DATA_CLEANED!$AN$3),CALCULES!$A41)&gt;0,1,0)</f>
        <v>1</v>
      </c>
      <c r="J41" s="112">
        <f>IF(COUNTIFS(_xlfn.ANCHORARRAY(DATA_CLEANED!$AF$3),CALCULES!J$2,_xlfn.ANCHORARRAY(DATA_CLEANED!$AK$3),CALCULES!$A41)+COUNTIFS(_xlfn.ANCHORARRAY(DATA_CLEANED!$AF$3),CALCULES!J$2,_xlfn.ANCHORARRAY(DATA_CLEANED!$AN$3),CALCULES!$A41)&gt;0,1,0)</f>
        <v>0</v>
      </c>
      <c r="K41" s="112">
        <f>IF(COUNTIFS(_xlfn.ANCHORARRAY(DATA_CLEANED!$AF$3),CALCULES!K$2,_xlfn.ANCHORARRAY(DATA_CLEANED!$AK$3),CALCULES!$A41)+COUNTIFS(_xlfn.ANCHORARRAY(DATA_CLEANED!$AF$3),CALCULES!K$2,_xlfn.ANCHORARRAY(DATA_CLEANED!$AN$3),CALCULES!$A41)&gt;0,1,0)</f>
        <v>0</v>
      </c>
      <c r="L41" s="112">
        <f>IF(COUNTIFS(_xlfn.ANCHORARRAY(DATA_CLEANED!$AF$3),CALCULES!L$2,_xlfn.ANCHORARRAY(DATA_CLEANED!$AK$3),CALCULES!$A41)+COUNTIFS(_xlfn.ANCHORARRAY(DATA_CLEANED!$AF$3),CALCULES!L$2,_xlfn.ANCHORARRAY(DATA_CLEANED!$AN$3),CALCULES!$A41)&gt;0,1,0)</f>
        <v>1</v>
      </c>
      <c r="M41" s="112">
        <f>IF(COUNTIFS(_xlfn.ANCHORARRAY(DATA_CLEANED!$AF$3),CALCULES!M$2,_xlfn.ANCHORARRAY(DATA_CLEANED!$AK$3),CALCULES!$A41)+COUNTIFS(_xlfn.ANCHORARRAY(DATA_CLEANED!$AF$3),CALCULES!M$2,_xlfn.ANCHORARRAY(DATA_CLEANED!$AN$3),CALCULES!$A41)&gt;0,1,0)</f>
        <v>1</v>
      </c>
      <c r="N41" s="112">
        <f>IF(COUNTIFS(_xlfn.ANCHORARRAY(DATA_CLEANED!$AF$3),CALCULES!N$2,_xlfn.ANCHORARRAY(DATA_CLEANED!$AK$3),CALCULES!$A41)+COUNTIFS(_xlfn.ANCHORARRAY(DATA_CLEANED!$AF$3),CALCULES!N$2,_xlfn.ANCHORARRAY(DATA_CLEANED!$AN$3),CALCULES!$A41)&gt;0,1,0)</f>
        <v>1</v>
      </c>
      <c r="O41" s="112">
        <f>IF(COUNTIFS(_xlfn.ANCHORARRAY(DATA_CLEANED!$AF$3),CALCULES!O$2,_xlfn.ANCHORARRAY(DATA_CLEANED!$AK$3),CALCULES!$A41)+COUNTIFS(_xlfn.ANCHORARRAY(DATA_CLEANED!$AF$3),CALCULES!O$2,_xlfn.ANCHORARRAY(DATA_CLEANED!$AN$3),CALCULES!$A41)&gt;0,1,0)</f>
        <v>0</v>
      </c>
      <c r="P41" s="112">
        <f>IF(COUNTIFS(_xlfn.ANCHORARRAY(DATA_CLEANED!$AF$3),CALCULES!P$2,_xlfn.ANCHORARRAY(DATA_CLEANED!$AK$3),CALCULES!$A41)+COUNTIFS(_xlfn.ANCHORARRAY(DATA_CLEANED!$AF$3),CALCULES!P$2,_xlfn.ANCHORARRAY(DATA_CLEANED!$AN$3),CALCULES!$A41)&gt;0,1,0)</f>
        <v>0</v>
      </c>
      <c r="Q41" s="112">
        <f>IF(COUNTIFS(_xlfn.ANCHORARRAY(DATA_CLEANED!$AF$3),CALCULES!Q$2,_xlfn.ANCHORARRAY(DATA_CLEANED!$AK$3),CALCULES!$A41)+COUNTIFS(_xlfn.ANCHORARRAY(DATA_CLEANED!$AF$3),CALCULES!Q$2,_xlfn.ANCHORARRAY(DATA_CLEANED!$AN$3),CALCULES!$A41)&gt;0,1,0)</f>
        <v>0</v>
      </c>
      <c r="R41" s="112">
        <f>IF(COUNTIFS(_xlfn.ANCHORARRAY(DATA_CLEANED!$AF$3),CALCULES!R$2,_xlfn.ANCHORARRAY(DATA_CLEANED!$AK$3),CALCULES!$A41)+COUNTIFS(_xlfn.ANCHORARRAY(DATA_CLEANED!$AF$3),CALCULES!R$2,_xlfn.ANCHORARRAY(DATA_CLEANED!$AN$3),CALCULES!$A41)&gt;0,1,0)</f>
        <v>0</v>
      </c>
      <c r="S41" s="112">
        <f>IF(COUNTIFS(_xlfn.ANCHORARRAY(DATA_CLEANED!$AF$3),CALCULES!S$2,_xlfn.ANCHORARRAY(DATA_CLEANED!$AK$3),CALCULES!$A41)+COUNTIFS(_xlfn.ANCHORARRAY(DATA_CLEANED!$AF$3),CALCULES!S$2,_xlfn.ANCHORARRAY(DATA_CLEANED!$AN$3),CALCULES!$A41)&gt;0,1,0)</f>
        <v>0</v>
      </c>
      <c r="T41" s="112">
        <f>IF(COUNTIFS(_xlfn.ANCHORARRAY(DATA_CLEANED!$AF$3),CALCULES!T$2,_xlfn.ANCHORARRAY(DATA_CLEANED!$AK$3),CALCULES!$A41)+COUNTIFS(_xlfn.ANCHORARRAY(DATA_CLEANED!$AF$3),CALCULES!T$2,_xlfn.ANCHORARRAY(DATA_CLEANED!$AN$3),CALCULES!$A41)&gt;0,1,0)</f>
        <v>0</v>
      </c>
      <c r="U41" s="112">
        <f>IF(COUNTIFS(_xlfn.ANCHORARRAY(DATA_CLEANED!$AF$3),CALCULES!U$2,_xlfn.ANCHORARRAY(DATA_CLEANED!$AK$3),CALCULES!$A41)+COUNTIFS(_xlfn.ANCHORARRAY(DATA_CLEANED!$AF$3),CALCULES!U$2,_xlfn.ANCHORARRAY(DATA_CLEANED!$AN$3),CALCULES!$A41)&gt;0,1,0)</f>
        <v>0</v>
      </c>
      <c r="V41" s="112">
        <f>IF(COUNTIFS(_xlfn.ANCHORARRAY(DATA_CLEANED!$AF$3),CALCULES!V$2,_xlfn.ANCHORARRAY(DATA_CLEANED!$AK$3),CALCULES!$A41)+COUNTIFS(_xlfn.ANCHORARRAY(DATA_CLEANED!$AF$3),CALCULES!V$2,_xlfn.ANCHORARRAY(DATA_CLEANED!$AN$3),CALCULES!$A41)&gt;0,1,0)</f>
        <v>0</v>
      </c>
      <c r="W41" s="112">
        <f>IF(COUNTIFS(_xlfn.ANCHORARRAY(DATA_CLEANED!$AF$3),CALCULES!W$2,_xlfn.ANCHORARRAY(DATA_CLEANED!$AK$3),CALCULES!$A41)+COUNTIFS(_xlfn.ANCHORARRAY(DATA_CLEANED!$AF$3),CALCULES!W$2,_xlfn.ANCHORARRAY(DATA_CLEANED!$AN$3),CALCULES!$A41)&gt;0,1,0)</f>
        <v>0</v>
      </c>
      <c r="X41" s="112">
        <f>IF(COUNTIFS(_xlfn.ANCHORARRAY(DATA_CLEANED!$AF$3),CALCULES!X$2,_xlfn.ANCHORARRAY(DATA_CLEANED!$AK$3),CALCULES!$A41)+COUNTIFS(_xlfn.ANCHORARRAY(DATA_CLEANED!$AF$3),CALCULES!X$2,_xlfn.ANCHORARRAY(DATA_CLEANED!$AN$3),CALCULES!$A41)&gt;0,1,0)</f>
        <v>0</v>
      </c>
      <c r="Y41" s="113">
        <f t="shared" si="15"/>
        <v>9</v>
      </c>
      <c r="AA41" s="112">
        <f>COUNTIF(_xlfn.ANCHORARRAY(DATA_CLEANED!$AK$3),$A41)+COUNTIF(DATA_CLEANED!$AN$2:$AN$1060,$A41)</f>
        <v>32</v>
      </c>
      <c r="AB41" s="112">
        <f>COUNTIF(DATA_QUALITE!BG$12:BG$1069,A41)</f>
        <v>15</v>
      </c>
      <c r="AC41" s="112">
        <f t="shared" si="7"/>
        <v>17</v>
      </c>
      <c r="AD41" s="112" cm="1">
        <f t="array" ref="AD41">SUMPRODUCT((DATA_CLEANED!AL$3:AL$1060=DATA_CLEANED!AM$3:AM$1060)*(_xlfn.ANCHORARRAY(DATA_CLEANED!AK$3)=CALCULES!A41)*(DATA_CLEANED!AO$3:AO$1060&lt;&gt;"-"))
+
SUMPRODUCT((DATA_CLEANED!AL$3:AL$1060=DATA_CLEANED!AM$3:AM$1060)*(_xlfn.ANCHORARRAY(DATA_CLEANED!AN$3)=CALCULES!A41)*(DATA_CLEANED!AO$3:AO$1060&lt;&gt;"-"))</f>
        <v>0</v>
      </c>
      <c r="AE41" s="116">
        <f t="shared" si="16"/>
        <v>0.46875</v>
      </c>
      <c r="AF41" s="116">
        <f t="shared" si="17"/>
        <v>0.53125</v>
      </c>
      <c r="AG41" s="112">
        <f>SUMIF(_xlfn.ANCHORARRAY(DATA_CLEANED!AK$3),A41,DATA_CLEANED!AL$2:AL$1060)+SUMIF(_xlfn.ANCHORARRAY(DATA_CLEANED!AN$3),A41,DATA_CLEANED!AM$2:AM$1060)</f>
        <v>46</v>
      </c>
      <c r="AH41" s="112">
        <f>SUMIF(_xlfn.ANCHORARRAY(DATA_CLEANED!AK$3),A41,DATA_CLEANED!AM$2:AM$1060)+SUMIF(_xlfn.ANCHORARRAY(DATA_CLEANED!AN$3),A41,DATA_CLEANED!AL$2:AL$1060)</f>
        <v>50</v>
      </c>
      <c r="AI41" s="112">
        <f t="shared" si="8"/>
        <v>1.56</v>
      </c>
      <c r="AJ41" s="117" cm="1">
        <f t="array" ref="AJ41">_xlfn.LET(_xlpm.home,IFERROR(_xlfn._xlws.FILTER(DATA_CLEANED!AH$3:AH$1060,DATA_CLEANED!AK$3:AK$1060=CALCULES!A41),""),
_xlpm.away,IFERROR(_xlfn._xlws.FILTER(DATA_CLEANED!AH$3:AH$1060,DATA_CLEANED!AN$3:AN$1060=CALCULES!A41),""),
_xlpm.assemb_t,_xlfn._xlws.FILTER(_xlfn.VSTACK(_xlpm.home,_xlpm.away),_xlfn.VSTACK(_xlpm.home,_xlpm.away)&lt;&gt;""),
_xlpm.but_h,IFERROR(_xlfn._xlws.FILTER(_xlfn.ANCHORARRAY(DATA_CLEANED!AM$3),DATA_CLEANED!AK$3:AK$1060=CALCULES!A41),""),
_xlpm.but_a,IFERROR(_xlfn._xlws.FILTER(_xlfn.ANCHORARRAY(DATA_CLEANED!AL$3),DATA_CLEANED!AN$3:AN$1060=CALCULES!A41),""),
_xlpm.assemb_b,_xlfn._xlws.FILTER(_xlfn.VSTACK(_xlpm.but_h,_xlpm.but_a),_xlfn.VSTACK(_xlpm.but_h,_xlpm.but_a)&lt;&gt;""),
MEDIAN(_xlpm.assemb_t,_xlpm.assemb_b)
)</f>
        <v>2</v>
      </c>
      <c r="AK41" s="113">
        <f t="shared" si="18"/>
        <v>-4</v>
      </c>
      <c r="AL41" s="112" cm="1">
        <f t="array" ref="AL41">IFERROR(MEDIAN(_xlfn._xlws.FILTER(_xlfn.VSTACK(
DATA_CLEANED!AL$3:AL$1060-DATA_CLEANED!AM$3:AM$1060,
DATA_CLEANED!AM$3:AM$1060-DATA_CLEANED!AL$3:AL$1060
),_xlfn.VSTACK(DATA_CLEANED!AK$3:AK$1060,DATA_CLEANED!AN$3:AN$1060)=A41)),"-")</f>
        <v>0</v>
      </c>
      <c r="AM41" s="112">
        <f t="shared" si="9"/>
        <v>1.44</v>
      </c>
      <c r="AN41" s="112" cm="1">
        <f t="array" ref="AN41">_xlfn.LET(_xlpm.home,IFERROR(_xlfn._xlws.FILTER(DATA_CLEANED!AH$3:AH$1060,DATA_CLEANED!AK$3:AK$1060=CALCULES!A41),""),
_xlpm.away,IFERROR(_xlfn._xlws.FILTER(DATA_CLEANED!AH$3:AH$1060,DATA_CLEANED!AN$3:AN$1060=CALCULES!A41),""),
_xlpm.assemb_t,_xlfn._xlws.FILTER(_xlfn.VSTACK(_xlpm.home,_xlpm.away),_xlfn.VSTACK(_xlpm.home,_xlpm.away)&lt;&gt;""),
_xlpm.but_h,IFERROR(_xlfn._xlws.FILTER(_xlfn.ANCHORARRAY(DATA_CLEANED!AL$3),DATA_CLEANED!AK$3:AK$1060=CALCULES!A41),""),
_xlpm.but_a,IFERROR(_xlfn._xlws.FILTER(_xlfn.ANCHORARRAY(DATA_CLEANED!AM$3),DATA_CLEANED!AN$3:AN$1060=CALCULES!A41),""),
_xlpm.assemb_b,_xlfn._xlws.FILTER(_xlfn.VSTACK(_xlpm.but_h,_xlpm.but_a),_xlfn.VSTACK(_xlpm.but_h,_xlpm.but_a)&lt;&gt;""),
MEDIAN(_xlpm.assemb_t,_xlpm.assemb_b)
)</f>
        <v>2</v>
      </c>
      <c r="AO41" s="116">
        <f>ROUND(IFERROR((COUNTIFS(DATA_CLEANED!AK$3:AK$1060,A41,DATA_CLEANED!AM$3:AM$1060,0)
+
COUNTIFS(DATA_CLEANED!AN$3:AN$1060,A41,DATA_CLEANED!AL$3:AL$1060,0)
)/AA41,0),2)</f>
        <v>0.19</v>
      </c>
      <c r="AP41" s="112">
        <f>MAX((_xlfn.MAXIFS(_xlfn.ANCHORARRAY(DATA_CLEANED!AL$3),_xlfn.ANCHORARRAY(DATA_CLEANED!AK$3),A41)),(_xlfn.MAXIFS(DATA_CLEANED!AM$3:AM$1060,_xlfn.ANCHORARRAY(DATA_CLEANED!AN$3),A41)))</f>
        <v>10</v>
      </c>
      <c r="AQ41" s="112">
        <f>COUNTIF(_xlfn.ANCHORARRAY(DATA_CLEANED!K$3),A41)</f>
        <v>0</v>
      </c>
      <c r="AR41" s="113" t="str" cm="1">
        <f t="array" ref="AR41">_xlfn.LET(
_xlpm.home,IFERROR(_xlfn._xlws.FILTER(DATA_CLEANED!AH$3:AH$1060,DATA_CLEANED!AK$3:AK$1060=CALCULES!A41),""),
_xlpm.away,IFERROR(_xlfn._xlws.FILTER(DATA_CLEANED!AH$3:AH$1060,DATA_CLEANED!AN$3:AN$1060=CALCULES!A41),""),
_xlpm.etapes,_xlfn._xlws.FILTER(_xlfn.VSTACK(_xlpm.home,_xlpm.away),_xlfn.VSTACK(_xlpm.home,_xlpm.away)&lt;&gt;""),
_xlpm.numeros,_xlfn.XLOOKUP(_xlpm.etapes,DATA_QUALITE!AT$12:AT$38,DATA_QUALITE!AU$12:AU$38),
_xlfn.XLOOKUP(MIN(_xlpm.numeros),DATA_QUALITE!AU$12:AU$38,DATA_QUALITE!AT$12:AT$38)
)</f>
        <v>FINAL</v>
      </c>
      <c r="AS41" s="112">
        <f t="shared" si="19"/>
        <v>9</v>
      </c>
      <c r="AT41" s="112">
        <f t="shared" si="20"/>
        <v>15</v>
      </c>
      <c r="AU41" s="112">
        <f>COUNTIFS(DATA_QUALITE!BG$12:BG$1069,"MATCH NUL",_xlfn.ANCHORARRAY(DATA_CLEANED!AK$3),CALCULES!A41)+COUNTIFS(DATA_QUALITE!BG$12:BG$1069,"MATCH NUL",_xlfn.ANCHORARRAY(DATA_CLEANED!AN$3),CALCULES!A41)</f>
        <v>3</v>
      </c>
      <c r="AV41" s="112">
        <v>46</v>
      </c>
      <c r="AW41" s="112">
        <f>COUNTIFS(_xlfn.ANCHORARRAY(DATA_CLEANED!AH$3),"QUARTER_FINALS",_xlfn.ANCHORARRAY(DATA_CLEANED!AK$3),CALCULES!A41)+COUNTIFS(_xlfn.ANCHORARRAY(DATA_CLEANED!AH$3),"QUARTER_FINALS",_xlfn.ANCHORARRAY(DATA_CLEANED!AN$3),CALCULES!A41)</f>
        <v>5</v>
      </c>
      <c r="AX41" s="112">
        <f>COUNTIFS(_xlfn.ANCHORARRAY(DATA_CLEANED!AH$3),"SEMI_FINALS",_xlfn.ANCHORARRAY(DATA_CLEANED!AK$3),CALCULES!A41)+COUNTIFS(_xlfn.ANCHORARRAY(DATA_CLEANED!AH$3),"SEMI_FINALS",_xlfn.ANCHORARRAY(DATA_CLEANED!AN$3),CALCULES!A41)</f>
        <v>2</v>
      </c>
      <c r="AY41" s="112">
        <f>COUNTIFS(_xlfn.ANCHORARRAY(DATA_CLEANED!AH$3),"FINAL",_xlfn.ANCHORARRAY(DATA_CLEANED!AK$3),CALCULES!A41)+COUNTIFS(_xlfn.ANCHORARRAY(DATA_CLEANED!AH$3),"FINAL",_xlfn.ANCHORARRAY(DATA_CLEANED!AN$3),CALCULES!A41)</f>
        <v>2</v>
      </c>
      <c r="AZ41" s="112">
        <f>COUNTIFS(DATA_QUALITE!BG$12:BG$1069,CALCULES!A41,DATA_QUALITE!AW$12:AW$1069,"FINAL")</f>
        <v>0</v>
      </c>
      <c r="BA41" s="113">
        <f t="shared" si="21"/>
        <v>43.41</v>
      </c>
      <c r="BB41" s="118">
        <f t="shared" si="10"/>
        <v>24.88</v>
      </c>
      <c r="BC41" s="118">
        <f t="shared" si="11"/>
        <v>13.94</v>
      </c>
      <c r="BD41" s="139">
        <f t="shared" si="12"/>
        <v>19.41</v>
      </c>
      <c r="BF41" s="176" t="s">
        <v>3938</v>
      </c>
      <c r="BG41" s="176">
        <f>BG35*BG38</f>
        <v>1.1199352972442</v>
      </c>
      <c r="BH41" s="167"/>
      <c r="BI41" s="167"/>
      <c r="BJ41" s="167"/>
      <c r="BK41" s="167"/>
      <c r="BL41" s="173">
        <f>INT((ROWS($BL$15:BL41)-1)/9)</f>
        <v>2</v>
      </c>
      <c r="BM41" s="173">
        <f>MOD(ROWS($BM$15:BM41)-1,9)</f>
        <v>8</v>
      </c>
      <c r="BN41" s="173">
        <f t="shared" si="14"/>
        <v>5.1776526330142598E-6</v>
      </c>
      <c r="BO41" s="167"/>
      <c r="BP41" s="167"/>
    </row>
    <row r="42" spans="1:68">
      <c r="A42" s="113" t="str">
        <v>Iceland</v>
      </c>
      <c r="B42" s="112">
        <f>IF(COUNTIFS(_xlfn.ANCHORARRAY(DATA_CLEANED!$AF$3),CALCULES!B$2,_xlfn.ANCHORARRAY(DATA_CLEANED!$AK$3),CALCULES!$A42)+COUNTIFS(_xlfn.ANCHORARRAY(DATA_CLEANED!$AF$3),CALCULES!B$2,_xlfn.ANCHORARRAY(DATA_CLEANED!$AN$3),CALCULES!$A42)&gt;0,1,0)</f>
        <v>0</v>
      </c>
      <c r="C42" s="112">
        <f>IF(COUNTIFS(_xlfn.ANCHORARRAY(DATA_CLEANED!$AF$3),CALCULES!C$2,_xlfn.ANCHORARRAY(DATA_CLEANED!$AK$3),CALCULES!$A42)+COUNTIFS(_xlfn.ANCHORARRAY(DATA_CLEANED!$AF$3),CALCULES!C$2,_xlfn.ANCHORARRAY(DATA_CLEANED!$AN$3),CALCULES!$A42)&gt;0,1,0)</f>
        <v>0</v>
      </c>
      <c r="D42" s="112">
        <f>IF(COUNTIFS(_xlfn.ANCHORARRAY(DATA_CLEANED!$AF$3),CALCULES!D$2,_xlfn.ANCHORARRAY(DATA_CLEANED!$AK$3),CALCULES!$A42)+COUNTIFS(_xlfn.ANCHORARRAY(DATA_CLEANED!$AF$3),CALCULES!D$2,_xlfn.ANCHORARRAY(DATA_CLEANED!$AN$3),CALCULES!$A42)&gt;0,1,0)</f>
        <v>0</v>
      </c>
      <c r="E42" s="112">
        <f>IF(COUNTIFS(_xlfn.ANCHORARRAY(DATA_CLEANED!$AF$3),CALCULES!E$2,_xlfn.ANCHORARRAY(DATA_CLEANED!$AK$3),CALCULES!$A42)+COUNTIFS(_xlfn.ANCHORARRAY(DATA_CLEANED!$AF$3),CALCULES!E$2,_xlfn.ANCHORARRAY(DATA_CLEANED!$AN$3),CALCULES!$A42)&gt;0,1,0)</f>
        <v>0</v>
      </c>
      <c r="F42" s="112">
        <f>IF(COUNTIFS(_xlfn.ANCHORARRAY(DATA_CLEANED!$AF$3),CALCULES!F$2,_xlfn.ANCHORARRAY(DATA_CLEANED!$AK$3),CALCULES!$A42)+COUNTIFS(_xlfn.ANCHORARRAY(DATA_CLEANED!$AF$3),CALCULES!F$2,_xlfn.ANCHORARRAY(DATA_CLEANED!$AN$3),CALCULES!$A42)&gt;0,1,0)</f>
        <v>0</v>
      </c>
      <c r="G42" s="112">
        <f>IF(COUNTIFS(_xlfn.ANCHORARRAY(DATA_CLEANED!$AF$3),CALCULES!G$2,_xlfn.ANCHORARRAY(DATA_CLEANED!$AK$3),CALCULES!$A42)+COUNTIFS(_xlfn.ANCHORARRAY(DATA_CLEANED!$AF$3),CALCULES!G$2,_xlfn.ANCHORARRAY(DATA_CLEANED!$AN$3),CALCULES!$A42)&gt;0,1,0)</f>
        <v>0</v>
      </c>
      <c r="H42" s="112">
        <f>IF(COUNTIFS(_xlfn.ANCHORARRAY(DATA_CLEANED!$AF$3),CALCULES!H$2,_xlfn.ANCHORARRAY(DATA_CLEANED!$AK$3),CALCULES!$A42)+COUNTIFS(_xlfn.ANCHORARRAY(DATA_CLEANED!$AF$3),CALCULES!H$2,_xlfn.ANCHORARRAY(DATA_CLEANED!$AN$3),CALCULES!$A42)&gt;0,1,0)</f>
        <v>0</v>
      </c>
      <c r="I42" s="112">
        <f>IF(COUNTIFS(_xlfn.ANCHORARRAY(DATA_CLEANED!$AF$3),CALCULES!I$2,_xlfn.ANCHORARRAY(DATA_CLEANED!$AK$3),CALCULES!$A42)+COUNTIFS(_xlfn.ANCHORARRAY(DATA_CLEANED!$AF$3),CALCULES!I$2,_xlfn.ANCHORARRAY(DATA_CLEANED!$AN$3),CALCULES!$A42)&gt;0,1,0)</f>
        <v>0</v>
      </c>
      <c r="J42" s="112">
        <f>IF(COUNTIFS(_xlfn.ANCHORARRAY(DATA_CLEANED!$AF$3),CALCULES!J$2,_xlfn.ANCHORARRAY(DATA_CLEANED!$AK$3),CALCULES!$A42)+COUNTIFS(_xlfn.ANCHORARRAY(DATA_CLEANED!$AF$3),CALCULES!J$2,_xlfn.ANCHORARRAY(DATA_CLEANED!$AN$3),CALCULES!$A42)&gt;0,1,0)</f>
        <v>0</v>
      </c>
      <c r="K42" s="112">
        <f>IF(COUNTIFS(_xlfn.ANCHORARRAY(DATA_CLEANED!$AF$3),CALCULES!K$2,_xlfn.ANCHORARRAY(DATA_CLEANED!$AK$3),CALCULES!$A42)+COUNTIFS(_xlfn.ANCHORARRAY(DATA_CLEANED!$AF$3),CALCULES!K$2,_xlfn.ANCHORARRAY(DATA_CLEANED!$AN$3),CALCULES!$A42)&gt;0,1,0)</f>
        <v>0</v>
      </c>
      <c r="L42" s="112">
        <f>IF(COUNTIFS(_xlfn.ANCHORARRAY(DATA_CLEANED!$AF$3),CALCULES!L$2,_xlfn.ANCHORARRAY(DATA_CLEANED!$AK$3),CALCULES!$A42)+COUNTIFS(_xlfn.ANCHORARRAY(DATA_CLEANED!$AF$3),CALCULES!L$2,_xlfn.ANCHORARRAY(DATA_CLEANED!$AN$3),CALCULES!$A42)&gt;0,1,0)</f>
        <v>0</v>
      </c>
      <c r="M42" s="112">
        <f>IF(COUNTIFS(_xlfn.ANCHORARRAY(DATA_CLEANED!$AF$3),CALCULES!M$2,_xlfn.ANCHORARRAY(DATA_CLEANED!$AK$3),CALCULES!$A42)+COUNTIFS(_xlfn.ANCHORARRAY(DATA_CLEANED!$AF$3),CALCULES!M$2,_xlfn.ANCHORARRAY(DATA_CLEANED!$AN$3),CALCULES!$A42)&gt;0,1,0)</f>
        <v>0</v>
      </c>
      <c r="N42" s="112">
        <f>IF(COUNTIFS(_xlfn.ANCHORARRAY(DATA_CLEANED!$AF$3),CALCULES!N$2,_xlfn.ANCHORARRAY(DATA_CLEANED!$AK$3),CALCULES!$A42)+COUNTIFS(_xlfn.ANCHORARRAY(DATA_CLEANED!$AF$3),CALCULES!N$2,_xlfn.ANCHORARRAY(DATA_CLEANED!$AN$3),CALCULES!$A42)&gt;0,1,0)</f>
        <v>0</v>
      </c>
      <c r="O42" s="112">
        <f>IF(COUNTIFS(_xlfn.ANCHORARRAY(DATA_CLEANED!$AF$3),CALCULES!O$2,_xlfn.ANCHORARRAY(DATA_CLEANED!$AK$3),CALCULES!$A42)+COUNTIFS(_xlfn.ANCHORARRAY(DATA_CLEANED!$AF$3),CALCULES!O$2,_xlfn.ANCHORARRAY(DATA_CLEANED!$AN$3),CALCULES!$A42)&gt;0,1,0)</f>
        <v>0</v>
      </c>
      <c r="P42" s="112">
        <f>IF(COUNTIFS(_xlfn.ANCHORARRAY(DATA_CLEANED!$AF$3),CALCULES!P$2,_xlfn.ANCHORARRAY(DATA_CLEANED!$AK$3),CALCULES!$A42)+COUNTIFS(_xlfn.ANCHORARRAY(DATA_CLEANED!$AF$3),CALCULES!P$2,_xlfn.ANCHORARRAY(DATA_CLEANED!$AN$3),CALCULES!$A42)&gt;0,1,0)</f>
        <v>0</v>
      </c>
      <c r="Q42" s="112">
        <f>IF(COUNTIFS(_xlfn.ANCHORARRAY(DATA_CLEANED!$AF$3),CALCULES!Q$2,_xlfn.ANCHORARRAY(DATA_CLEANED!$AK$3),CALCULES!$A42)+COUNTIFS(_xlfn.ANCHORARRAY(DATA_CLEANED!$AF$3),CALCULES!Q$2,_xlfn.ANCHORARRAY(DATA_CLEANED!$AN$3),CALCULES!$A42)&gt;0,1,0)</f>
        <v>0</v>
      </c>
      <c r="R42" s="112">
        <f>IF(COUNTIFS(_xlfn.ANCHORARRAY(DATA_CLEANED!$AF$3),CALCULES!R$2,_xlfn.ANCHORARRAY(DATA_CLEANED!$AK$3),CALCULES!$A42)+COUNTIFS(_xlfn.ANCHORARRAY(DATA_CLEANED!$AF$3),CALCULES!R$2,_xlfn.ANCHORARRAY(DATA_CLEANED!$AN$3),CALCULES!$A42)&gt;0,1,0)</f>
        <v>0</v>
      </c>
      <c r="S42" s="112">
        <f>IF(COUNTIFS(_xlfn.ANCHORARRAY(DATA_CLEANED!$AF$3),CALCULES!S$2,_xlfn.ANCHORARRAY(DATA_CLEANED!$AK$3),CALCULES!$A42)+COUNTIFS(_xlfn.ANCHORARRAY(DATA_CLEANED!$AF$3),CALCULES!S$2,_xlfn.ANCHORARRAY(DATA_CLEANED!$AN$3),CALCULES!$A42)&gt;0,1,0)</f>
        <v>0</v>
      </c>
      <c r="T42" s="112">
        <f>IF(COUNTIFS(_xlfn.ANCHORARRAY(DATA_CLEANED!$AF$3),CALCULES!T$2,_xlfn.ANCHORARRAY(DATA_CLEANED!$AK$3),CALCULES!$A42)+COUNTIFS(_xlfn.ANCHORARRAY(DATA_CLEANED!$AF$3),CALCULES!T$2,_xlfn.ANCHORARRAY(DATA_CLEANED!$AN$3),CALCULES!$A42)&gt;0,1,0)</f>
        <v>0</v>
      </c>
      <c r="U42" s="112">
        <f>IF(COUNTIFS(_xlfn.ANCHORARRAY(DATA_CLEANED!$AF$3),CALCULES!U$2,_xlfn.ANCHORARRAY(DATA_CLEANED!$AK$3),CALCULES!$A42)+COUNTIFS(_xlfn.ANCHORARRAY(DATA_CLEANED!$AF$3),CALCULES!U$2,_xlfn.ANCHORARRAY(DATA_CLEANED!$AN$3),CALCULES!$A42)&gt;0,1,0)</f>
        <v>0</v>
      </c>
      <c r="V42" s="112">
        <f>IF(COUNTIFS(_xlfn.ANCHORARRAY(DATA_CLEANED!$AF$3),CALCULES!V$2,_xlfn.ANCHORARRAY(DATA_CLEANED!$AK$3),CALCULES!$A42)+COUNTIFS(_xlfn.ANCHORARRAY(DATA_CLEANED!$AF$3),CALCULES!V$2,_xlfn.ANCHORARRAY(DATA_CLEANED!$AN$3),CALCULES!$A42)&gt;0,1,0)</f>
        <v>1</v>
      </c>
      <c r="W42" s="112">
        <f>IF(COUNTIFS(_xlfn.ANCHORARRAY(DATA_CLEANED!$AF$3),CALCULES!W$2,_xlfn.ANCHORARRAY(DATA_CLEANED!$AK$3),CALCULES!$A42)+COUNTIFS(_xlfn.ANCHORARRAY(DATA_CLEANED!$AF$3),CALCULES!W$2,_xlfn.ANCHORARRAY(DATA_CLEANED!$AN$3),CALCULES!$A42)&gt;0,1,0)</f>
        <v>0</v>
      </c>
      <c r="X42" s="112">
        <f>IF(COUNTIFS(_xlfn.ANCHORARRAY(DATA_CLEANED!$AF$3),CALCULES!X$2,_xlfn.ANCHORARRAY(DATA_CLEANED!$AK$3),CALCULES!$A42)+COUNTIFS(_xlfn.ANCHORARRAY(DATA_CLEANED!$AF$3),CALCULES!X$2,_xlfn.ANCHORARRAY(DATA_CLEANED!$AN$3),CALCULES!$A42)&gt;0,1,0)</f>
        <v>0</v>
      </c>
      <c r="Y42" s="113">
        <f t="shared" si="15"/>
        <v>1</v>
      </c>
      <c r="AA42" s="112">
        <f>COUNTIF(_xlfn.ANCHORARRAY(DATA_CLEANED!$AK$3),$A42)+COUNTIF(DATA_CLEANED!$AN$2:$AN$1060,$A42)</f>
        <v>3</v>
      </c>
      <c r="AB42" s="112">
        <f>COUNTIF(DATA_QUALITE!BG$12:BG$1069,A42)</f>
        <v>0</v>
      </c>
      <c r="AC42" s="112">
        <f t="shared" si="7"/>
        <v>3</v>
      </c>
      <c r="AD42" s="112" cm="1">
        <f t="array" ref="AD42">SUMPRODUCT((DATA_CLEANED!AL$3:AL$1060=DATA_CLEANED!AM$3:AM$1060)*(_xlfn.ANCHORARRAY(DATA_CLEANED!AK$3)=CALCULES!A42)*(DATA_CLEANED!AO$3:AO$1060&lt;&gt;"-"))
+
SUMPRODUCT((DATA_CLEANED!AL$3:AL$1060=DATA_CLEANED!AM$3:AM$1060)*(_xlfn.ANCHORARRAY(DATA_CLEANED!AN$3)=CALCULES!A42)*(DATA_CLEANED!AO$3:AO$1060&lt;&gt;"-"))</f>
        <v>0</v>
      </c>
      <c r="AE42" s="116">
        <f t="shared" si="16"/>
        <v>0</v>
      </c>
      <c r="AF42" s="116">
        <f t="shared" si="17"/>
        <v>1</v>
      </c>
      <c r="AG42" s="112">
        <f>SUMIF(_xlfn.ANCHORARRAY(DATA_CLEANED!AK$3),A42,DATA_CLEANED!AL$2:AL$1060)+SUMIF(_xlfn.ANCHORARRAY(DATA_CLEANED!AN$3),A42,DATA_CLEANED!AM$2:AM$1060)</f>
        <v>1</v>
      </c>
      <c r="AH42" s="112">
        <f>SUMIF(_xlfn.ANCHORARRAY(DATA_CLEANED!AK$3),A42,DATA_CLEANED!AM$2:AM$1060)+SUMIF(_xlfn.ANCHORARRAY(DATA_CLEANED!AN$3),A42,DATA_CLEANED!AL$2:AL$1060)</f>
        <v>4</v>
      </c>
      <c r="AI42" s="112">
        <f t="shared" si="8"/>
        <v>1.33</v>
      </c>
      <c r="AJ42" s="117" cm="1">
        <f t="array" ref="AJ42">_xlfn.LET(_xlpm.home,IFERROR(_xlfn._xlws.FILTER(DATA_CLEANED!AH$3:AH$1060,DATA_CLEANED!AK$3:AK$1060=CALCULES!A42),""),
_xlpm.away,IFERROR(_xlfn._xlws.FILTER(DATA_CLEANED!AH$3:AH$1060,DATA_CLEANED!AN$3:AN$1060=CALCULES!A42),""),
_xlpm.assemb_t,_xlfn._xlws.FILTER(_xlfn.VSTACK(_xlpm.home,_xlpm.away),_xlfn.VSTACK(_xlpm.home,_xlpm.away)&lt;&gt;""),
_xlpm.but_h,IFERROR(_xlfn._xlws.FILTER(_xlfn.ANCHORARRAY(DATA_CLEANED!AM$3),DATA_CLEANED!AK$3:AK$1060=CALCULES!A42),""),
_xlpm.but_a,IFERROR(_xlfn._xlws.FILTER(_xlfn.ANCHORARRAY(DATA_CLEANED!AL$3),DATA_CLEANED!AN$3:AN$1060=CALCULES!A42),""),
_xlpm.assemb_b,_xlfn._xlws.FILTER(_xlfn.VSTACK(_xlpm.but_h,_xlpm.but_a),_xlfn.VSTACK(_xlpm.but_h,_xlpm.but_a)&lt;&gt;""),
MEDIAN(_xlpm.assemb_t,_xlpm.assemb_b)
)</f>
        <v>2</v>
      </c>
      <c r="AK42" s="113">
        <f t="shared" si="18"/>
        <v>-3</v>
      </c>
      <c r="AL42" s="112" cm="1">
        <f t="array" ref="AL42">IFERROR(MEDIAN(_xlfn._xlws.FILTER(_xlfn.VSTACK(
DATA_CLEANED!AL$3:AL$1060-DATA_CLEANED!AM$3:AM$1060,
DATA_CLEANED!AM$3:AM$1060-DATA_CLEANED!AL$3:AL$1060
),_xlfn.VSTACK(DATA_CLEANED!AK$3:AK$1060,DATA_CLEANED!AN$3:AN$1060)=A42)),"-")</f>
        <v>-1</v>
      </c>
      <c r="AM42" s="112">
        <f t="shared" si="9"/>
        <v>0.33</v>
      </c>
      <c r="AN42" s="112" cm="1">
        <f t="array" ref="AN42">_xlfn.LET(_xlpm.home,IFERROR(_xlfn._xlws.FILTER(DATA_CLEANED!AH$3:AH$1060,DATA_CLEANED!AK$3:AK$1060=CALCULES!A42),""),
_xlpm.away,IFERROR(_xlfn._xlws.FILTER(DATA_CLEANED!AH$3:AH$1060,DATA_CLEANED!AN$3:AN$1060=CALCULES!A42),""),
_xlpm.assemb_t,_xlfn._xlws.FILTER(_xlfn.VSTACK(_xlpm.home,_xlpm.away),_xlfn.VSTACK(_xlpm.home,_xlpm.away)&lt;&gt;""),
_xlpm.but_h,IFERROR(_xlfn._xlws.FILTER(_xlfn.ANCHORARRAY(DATA_CLEANED!AL$3),DATA_CLEANED!AK$3:AK$1060=CALCULES!A42),""),
_xlpm.but_a,IFERROR(_xlfn._xlws.FILTER(_xlfn.ANCHORARRAY(DATA_CLEANED!AM$3),DATA_CLEANED!AN$3:AN$1060=CALCULES!A42),""),
_xlpm.assemb_b,_xlfn._xlws.FILTER(_xlfn.VSTACK(_xlpm.but_h,_xlpm.but_a),_xlfn.VSTACK(_xlpm.but_h,_xlpm.but_a)&lt;&gt;""),
MEDIAN(_xlpm.assemb_t,_xlpm.assemb_b)
)</f>
        <v>1</v>
      </c>
      <c r="AO42" s="116">
        <f>ROUND(IFERROR((COUNTIFS(DATA_CLEANED!AK$3:AK$1060,A42,DATA_CLEANED!AM$3:AM$1060,0)
+
COUNTIFS(DATA_CLEANED!AN$3:AN$1060,A42,DATA_CLEANED!AL$3:AL$1060,0)
)/AA42,0),2)</f>
        <v>0</v>
      </c>
      <c r="AP42" s="112">
        <f>MAX((_xlfn.MAXIFS(_xlfn.ANCHORARRAY(DATA_CLEANED!AL$3),_xlfn.ANCHORARRAY(DATA_CLEANED!AK$3),A42)),(_xlfn.MAXIFS(DATA_CLEANED!AM$3:AM$1060,_xlfn.ANCHORARRAY(DATA_CLEANED!AN$3),A42)))</f>
        <v>1</v>
      </c>
      <c r="AQ42" s="112">
        <f>COUNTIF(_xlfn.ANCHORARRAY(DATA_CLEANED!K$3),A42)</f>
        <v>0</v>
      </c>
      <c r="AR42" s="113" t="str" cm="1">
        <f t="array" ref="AR42">_xlfn.LET(
_xlpm.home,IFERROR(_xlfn._xlws.FILTER(DATA_CLEANED!AH$3:AH$1060,DATA_CLEANED!AK$3:AK$1060=CALCULES!A42),""),
_xlpm.away,IFERROR(_xlfn._xlws.FILTER(DATA_CLEANED!AH$3:AH$1060,DATA_CLEANED!AN$3:AN$1060=CALCULES!A42),""),
_xlpm.etapes,_xlfn._xlws.FILTER(_xlfn.VSTACK(_xlpm.home,_xlpm.away),_xlfn.VSTACK(_xlpm.home,_xlpm.away)&lt;&gt;""),
_xlpm.numeros,_xlfn.XLOOKUP(_xlpm.etapes,DATA_QUALITE!AT$12:AT$38,DATA_QUALITE!AU$12:AU$38),
_xlfn.XLOOKUP(MIN(_xlpm.numeros),DATA_QUALITE!AU$12:AU$38,DATA_QUALITE!AT$12:AT$38)
)</f>
        <v>GROUP_STAGE</v>
      </c>
      <c r="AS42" s="112">
        <f t="shared" si="19"/>
        <v>1</v>
      </c>
      <c r="AT42" s="112">
        <f t="shared" si="20"/>
        <v>0</v>
      </c>
      <c r="AU42" s="112">
        <f>COUNTIFS(DATA_QUALITE!BG$12:BG$1069,"MATCH NUL",_xlfn.ANCHORARRAY(DATA_CLEANED!AK$3),CALCULES!A42)+COUNTIFS(DATA_QUALITE!BG$12:BG$1069,"MATCH NUL",_xlfn.ANCHORARRAY(DATA_CLEANED!AN$3),CALCULES!A42)</f>
        <v>1</v>
      </c>
      <c r="AV42" s="112">
        <v>1</v>
      </c>
      <c r="AW42" s="112">
        <f>COUNTIFS(_xlfn.ANCHORARRAY(DATA_CLEANED!AH$3),"QUARTER_FINALS",_xlfn.ANCHORARRAY(DATA_CLEANED!AK$3),CALCULES!A42)+COUNTIFS(_xlfn.ANCHORARRAY(DATA_CLEANED!AH$3),"QUARTER_FINALS",_xlfn.ANCHORARRAY(DATA_CLEANED!AN$3),CALCULES!A42)</f>
        <v>0</v>
      </c>
      <c r="AX42" s="112">
        <f>COUNTIFS(_xlfn.ANCHORARRAY(DATA_CLEANED!AH$3),"SEMI_FINALS",_xlfn.ANCHORARRAY(DATA_CLEANED!AK$3),CALCULES!A42)+COUNTIFS(_xlfn.ANCHORARRAY(DATA_CLEANED!AH$3),"SEMI_FINALS",_xlfn.ANCHORARRAY(DATA_CLEANED!AN$3),CALCULES!A42)</f>
        <v>0</v>
      </c>
      <c r="AY42" s="112">
        <f>COUNTIFS(_xlfn.ANCHORARRAY(DATA_CLEANED!AH$3),"FINAL",_xlfn.ANCHORARRAY(DATA_CLEANED!AK$3),CALCULES!A42)+COUNTIFS(_xlfn.ANCHORARRAY(DATA_CLEANED!AH$3),"FINAL",_xlfn.ANCHORARRAY(DATA_CLEANED!AN$3),CALCULES!A42)</f>
        <v>0</v>
      </c>
      <c r="AZ42" s="112">
        <f>COUNTIFS(DATA_QUALITE!BG$12:BG$1069,CALCULES!A42,DATA_QUALITE!AW$12:AW$1069,"FINAL")</f>
        <v>0</v>
      </c>
      <c r="BA42" s="113">
        <f t="shared" si="21"/>
        <v>18.170000000000002</v>
      </c>
      <c r="BB42" s="118">
        <f t="shared" si="10"/>
        <v>0</v>
      </c>
      <c r="BC42" s="118">
        <f t="shared" si="11"/>
        <v>0</v>
      </c>
      <c r="BD42" s="139">
        <f t="shared" si="12"/>
        <v>0</v>
      </c>
      <c r="BH42" s="167"/>
      <c r="BI42" s="167"/>
      <c r="BJ42" s="167"/>
      <c r="BK42" s="167"/>
      <c r="BL42" s="173">
        <f>INT((ROWS($BL$15:BL42)-1)/9)</f>
        <v>3</v>
      </c>
      <c r="BM42" s="173">
        <f>MOD(ROWS($BM$15:BM42)-1,9)</f>
        <v>0</v>
      </c>
      <c r="BN42" s="173">
        <f t="shared" si="14"/>
        <v>4.502892835160309E-2</v>
      </c>
      <c r="BO42" s="167"/>
      <c r="BP42" s="167"/>
    </row>
    <row r="43" spans="1:68">
      <c r="A43" s="113" t="str">
        <v>Iran</v>
      </c>
      <c r="B43" s="112">
        <f>IF(COUNTIFS(_xlfn.ANCHORARRAY(DATA_CLEANED!$AF$3),CALCULES!B$2,_xlfn.ANCHORARRAY(DATA_CLEANED!$AK$3),CALCULES!$A43)+COUNTIFS(_xlfn.ANCHORARRAY(DATA_CLEANED!$AF$3),CALCULES!B$2,_xlfn.ANCHORARRAY(DATA_CLEANED!$AN$3),CALCULES!$A43)&gt;0,1,0)</f>
        <v>0</v>
      </c>
      <c r="C43" s="112">
        <f>IF(COUNTIFS(_xlfn.ANCHORARRAY(DATA_CLEANED!$AF$3),CALCULES!C$2,_xlfn.ANCHORARRAY(DATA_CLEANED!$AK$3),CALCULES!$A43)+COUNTIFS(_xlfn.ANCHORARRAY(DATA_CLEANED!$AF$3),CALCULES!C$2,_xlfn.ANCHORARRAY(DATA_CLEANED!$AN$3),CALCULES!$A43)&gt;0,1,0)</f>
        <v>0</v>
      </c>
      <c r="D43" s="112">
        <f>IF(COUNTIFS(_xlfn.ANCHORARRAY(DATA_CLEANED!$AF$3),CALCULES!D$2,_xlfn.ANCHORARRAY(DATA_CLEANED!$AK$3),CALCULES!$A43)+COUNTIFS(_xlfn.ANCHORARRAY(DATA_CLEANED!$AF$3),CALCULES!D$2,_xlfn.ANCHORARRAY(DATA_CLEANED!$AN$3),CALCULES!$A43)&gt;0,1,0)</f>
        <v>0</v>
      </c>
      <c r="E43" s="112">
        <f>IF(COUNTIFS(_xlfn.ANCHORARRAY(DATA_CLEANED!$AF$3),CALCULES!E$2,_xlfn.ANCHORARRAY(DATA_CLEANED!$AK$3),CALCULES!$A43)+COUNTIFS(_xlfn.ANCHORARRAY(DATA_CLEANED!$AF$3),CALCULES!E$2,_xlfn.ANCHORARRAY(DATA_CLEANED!$AN$3),CALCULES!$A43)&gt;0,1,0)</f>
        <v>0</v>
      </c>
      <c r="F43" s="112">
        <f>IF(COUNTIFS(_xlfn.ANCHORARRAY(DATA_CLEANED!$AF$3),CALCULES!F$2,_xlfn.ANCHORARRAY(DATA_CLEANED!$AK$3),CALCULES!$A43)+COUNTIFS(_xlfn.ANCHORARRAY(DATA_CLEANED!$AF$3),CALCULES!F$2,_xlfn.ANCHORARRAY(DATA_CLEANED!$AN$3),CALCULES!$A43)&gt;0,1,0)</f>
        <v>0</v>
      </c>
      <c r="G43" s="112">
        <f>IF(COUNTIFS(_xlfn.ANCHORARRAY(DATA_CLEANED!$AF$3),CALCULES!G$2,_xlfn.ANCHORARRAY(DATA_CLEANED!$AK$3),CALCULES!$A43)+COUNTIFS(_xlfn.ANCHORARRAY(DATA_CLEANED!$AF$3),CALCULES!G$2,_xlfn.ANCHORARRAY(DATA_CLEANED!$AN$3),CALCULES!$A43)&gt;0,1,0)</f>
        <v>0</v>
      </c>
      <c r="H43" s="112">
        <f>IF(COUNTIFS(_xlfn.ANCHORARRAY(DATA_CLEANED!$AF$3),CALCULES!H$2,_xlfn.ANCHORARRAY(DATA_CLEANED!$AK$3),CALCULES!$A43)+COUNTIFS(_xlfn.ANCHORARRAY(DATA_CLEANED!$AF$3),CALCULES!H$2,_xlfn.ANCHORARRAY(DATA_CLEANED!$AN$3),CALCULES!$A43)&gt;0,1,0)</f>
        <v>0</v>
      </c>
      <c r="I43" s="112">
        <f>IF(COUNTIFS(_xlfn.ANCHORARRAY(DATA_CLEANED!$AF$3),CALCULES!I$2,_xlfn.ANCHORARRAY(DATA_CLEANED!$AK$3),CALCULES!$A43)+COUNTIFS(_xlfn.ANCHORARRAY(DATA_CLEANED!$AF$3),CALCULES!I$2,_xlfn.ANCHORARRAY(DATA_CLEANED!$AN$3),CALCULES!$A43)&gt;0,1,0)</f>
        <v>0</v>
      </c>
      <c r="J43" s="112">
        <f>IF(COUNTIFS(_xlfn.ANCHORARRAY(DATA_CLEANED!$AF$3),CALCULES!J$2,_xlfn.ANCHORARRAY(DATA_CLEANED!$AK$3),CALCULES!$A43)+COUNTIFS(_xlfn.ANCHORARRAY(DATA_CLEANED!$AF$3),CALCULES!J$2,_xlfn.ANCHORARRAY(DATA_CLEANED!$AN$3),CALCULES!$A43)&gt;0,1,0)</f>
        <v>0</v>
      </c>
      <c r="K43" s="112">
        <f>IF(COUNTIFS(_xlfn.ANCHORARRAY(DATA_CLEANED!$AF$3),CALCULES!K$2,_xlfn.ANCHORARRAY(DATA_CLEANED!$AK$3),CALCULES!$A43)+COUNTIFS(_xlfn.ANCHORARRAY(DATA_CLEANED!$AF$3),CALCULES!K$2,_xlfn.ANCHORARRAY(DATA_CLEANED!$AN$3),CALCULES!$A43)&gt;0,1,0)</f>
        <v>0</v>
      </c>
      <c r="L43" s="112">
        <f>IF(COUNTIFS(_xlfn.ANCHORARRAY(DATA_CLEANED!$AF$3),CALCULES!L$2,_xlfn.ANCHORARRAY(DATA_CLEANED!$AK$3),CALCULES!$A43)+COUNTIFS(_xlfn.ANCHORARRAY(DATA_CLEANED!$AF$3),CALCULES!L$2,_xlfn.ANCHORARRAY(DATA_CLEANED!$AN$3),CALCULES!$A43)&gt;0,1,0)</f>
        <v>1</v>
      </c>
      <c r="M43" s="112">
        <f>IF(COUNTIFS(_xlfn.ANCHORARRAY(DATA_CLEANED!$AF$3),CALCULES!M$2,_xlfn.ANCHORARRAY(DATA_CLEANED!$AK$3),CALCULES!$A43)+COUNTIFS(_xlfn.ANCHORARRAY(DATA_CLEANED!$AF$3),CALCULES!M$2,_xlfn.ANCHORARRAY(DATA_CLEANED!$AN$3),CALCULES!$A43)&gt;0,1,0)</f>
        <v>0</v>
      </c>
      <c r="N43" s="112">
        <f>IF(COUNTIFS(_xlfn.ANCHORARRAY(DATA_CLEANED!$AF$3),CALCULES!N$2,_xlfn.ANCHORARRAY(DATA_CLEANED!$AK$3),CALCULES!$A43)+COUNTIFS(_xlfn.ANCHORARRAY(DATA_CLEANED!$AF$3),CALCULES!N$2,_xlfn.ANCHORARRAY(DATA_CLEANED!$AN$3),CALCULES!$A43)&gt;0,1,0)</f>
        <v>0</v>
      </c>
      <c r="O43" s="112">
        <f>IF(COUNTIFS(_xlfn.ANCHORARRAY(DATA_CLEANED!$AF$3),CALCULES!O$2,_xlfn.ANCHORARRAY(DATA_CLEANED!$AK$3),CALCULES!$A43)+COUNTIFS(_xlfn.ANCHORARRAY(DATA_CLEANED!$AF$3),CALCULES!O$2,_xlfn.ANCHORARRAY(DATA_CLEANED!$AN$3),CALCULES!$A43)&gt;0,1,0)</f>
        <v>0</v>
      </c>
      <c r="P43" s="112">
        <f>IF(COUNTIFS(_xlfn.ANCHORARRAY(DATA_CLEANED!$AF$3),CALCULES!P$2,_xlfn.ANCHORARRAY(DATA_CLEANED!$AK$3),CALCULES!$A43)+COUNTIFS(_xlfn.ANCHORARRAY(DATA_CLEANED!$AF$3),CALCULES!P$2,_xlfn.ANCHORARRAY(DATA_CLEANED!$AN$3),CALCULES!$A43)&gt;0,1,0)</f>
        <v>0</v>
      </c>
      <c r="Q43" s="112">
        <f>IF(COUNTIFS(_xlfn.ANCHORARRAY(DATA_CLEANED!$AF$3),CALCULES!Q$2,_xlfn.ANCHORARRAY(DATA_CLEANED!$AK$3),CALCULES!$A43)+COUNTIFS(_xlfn.ANCHORARRAY(DATA_CLEANED!$AF$3),CALCULES!Q$2,_xlfn.ANCHORARRAY(DATA_CLEANED!$AN$3),CALCULES!$A43)&gt;0,1,0)</f>
        <v>1</v>
      </c>
      <c r="R43" s="112">
        <f>IF(COUNTIFS(_xlfn.ANCHORARRAY(DATA_CLEANED!$AF$3),CALCULES!R$2,_xlfn.ANCHORARRAY(DATA_CLEANED!$AK$3),CALCULES!$A43)+COUNTIFS(_xlfn.ANCHORARRAY(DATA_CLEANED!$AF$3),CALCULES!R$2,_xlfn.ANCHORARRAY(DATA_CLEANED!$AN$3),CALCULES!$A43)&gt;0,1,0)</f>
        <v>0</v>
      </c>
      <c r="S43" s="112">
        <f>IF(COUNTIFS(_xlfn.ANCHORARRAY(DATA_CLEANED!$AF$3),CALCULES!S$2,_xlfn.ANCHORARRAY(DATA_CLEANED!$AK$3),CALCULES!$A43)+COUNTIFS(_xlfn.ANCHORARRAY(DATA_CLEANED!$AF$3),CALCULES!S$2,_xlfn.ANCHORARRAY(DATA_CLEANED!$AN$3),CALCULES!$A43)&gt;0,1,0)</f>
        <v>1</v>
      </c>
      <c r="T43" s="112">
        <f>IF(COUNTIFS(_xlfn.ANCHORARRAY(DATA_CLEANED!$AF$3),CALCULES!T$2,_xlfn.ANCHORARRAY(DATA_CLEANED!$AK$3),CALCULES!$A43)+COUNTIFS(_xlfn.ANCHORARRAY(DATA_CLEANED!$AF$3),CALCULES!T$2,_xlfn.ANCHORARRAY(DATA_CLEANED!$AN$3),CALCULES!$A43)&gt;0,1,0)</f>
        <v>0</v>
      </c>
      <c r="U43" s="112">
        <f>IF(COUNTIFS(_xlfn.ANCHORARRAY(DATA_CLEANED!$AF$3),CALCULES!U$2,_xlfn.ANCHORARRAY(DATA_CLEANED!$AK$3),CALCULES!$A43)+COUNTIFS(_xlfn.ANCHORARRAY(DATA_CLEANED!$AF$3),CALCULES!U$2,_xlfn.ANCHORARRAY(DATA_CLEANED!$AN$3),CALCULES!$A43)&gt;0,1,0)</f>
        <v>1</v>
      </c>
      <c r="V43" s="112">
        <f>IF(COUNTIFS(_xlfn.ANCHORARRAY(DATA_CLEANED!$AF$3),CALCULES!V$2,_xlfn.ANCHORARRAY(DATA_CLEANED!$AK$3),CALCULES!$A43)+COUNTIFS(_xlfn.ANCHORARRAY(DATA_CLEANED!$AF$3),CALCULES!V$2,_xlfn.ANCHORARRAY(DATA_CLEANED!$AN$3),CALCULES!$A43)&gt;0,1,0)</f>
        <v>1</v>
      </c>
      <c r="W43" s="112">
        <f>IF(COUNTIFS(_xlfn.ANCHORARRAY(DATA_CLEANED!$AF$3),CALCULES!W$2,_xlfn.ANCHORARRAY(DATA_CLEANED!$AK$3),CALCULES!$A43)+COUNTIFS(_xlfn.ANCHORARRAY(DATA_CLEANED!$AF$3),CALCULES!W$2,_xlfn.ANCHORARRAY(DATA_CLEANED!$AN$3),CALCULES!$A43)&gt;0,1,0)</f>
        <v>1</v>
      </c>
      <c r="X43" s="112">
        <f>IF(COUNTIFS(_xlfn.ANCHORARRAY(DATA_CLEANED!$AF$3),CALCULES!X$2,_xlfn.ANCHORARRAY(DATA_CLEANED!$AK$3),CALCULES!$A43)+COUNTIFS(_xlfn.ANCHORARRAY(DATA_CLEANED!$AF$3),CALCULES!X$2,_xlfn.ANCHORARRAY(DATA_CLEANED!$AN$3),CALCULES!$A43)&gt;0,1,0)</f>
        <v>1</v>
      </c>
      <c r="Y43" s="113">
        <f t="shared" si="15"/>
        <v>7</v>
      </c>
      <c r="AA43" s="112">
        <f>COUNTIF(_xlfn.ANCHORARRAY(DATA_CLEANED!$AK$3),$A43)+COUNTIF(DATA_CLEANED!$AN$2:$AN$1060,$A43)</f>
        <v>21</v>
      </c>
      <c r="AB43" s="112">
        <f>COUNTIF(DATA_QUALITE!BG$12:BG$1069,A43)</f>
        <v>3</v>
      </c>
      <c r="AC43" s="112">
        <f t="shared" si="7"/>
        <v>18</v>
      </c>
      <c r="AD43" s="112" cm="1">
        <f t="array" ref="AD43">SUMPRODUCT((DATA_CLEANED!AL$3:AL$1060=DATA_CLEANED!AM$3:AM$1060)*(_xlfn.ANCHORARRAY(DATA_CLEANED!AK$3)=CALCULES!A43)*(DATA_CLEANED!AO$3:AO$1060&lt;&gt;"-"))
+
SUMPRODUCT((DATA_CLEANED!AL$3:AL$1060=DATA_CLEANED!AM$3:AM$1060)*(_xlfn.ANCHORARRAY(DATA_CLEANED!AN$3)=CALCULES!A43)*(DATA_CLEANED!AO$3:AO$1060&lt;&gt;"-"))</f>
        <v>0</v>
      </c>
      <c r="AE43" s="116">
        <f t="shared" si="16"/>
        <v>0.14285714285714285</v>
      </c>
      <c r="AF43" s="116">
        <f t="shared" si="17"/>
        <v>0.8571428571428571</v>
      </c>
      <c r="AG43" s="112">
        <f>SUMIF(_xlfn.ANCHORARRAY(DATA_CLEANED!AK$3),A43,DATA_CLEANED!AL$2:AL$1060)+SUMIF(_xlfn.ANCHORARRAY(DATA_CLEANED!AN$3),A43,DATA_CLEANED!AM$2:AM$1060)</f>
        <v>29</v>
      </c>
      <c r="AH43" s="112">
        <f>SUMIF(_xlfn.ANCHORARRAY(DATA_CLEANED!AK$3),A43,DATA_CLEANED!AM$2:AM$1060)+SUMIF(_xlfn.ANCHORARRAY(DATA_CLEANED!AN$3),A43,DATA_CLEANED!AL$2:AL$1060)</f>
        <v>26</v>
      </c>
      <c r="AI43" s="112">
        <f t="shared" si="8"/>
        <v>1.24</v>
      </c>
      <c r="AJ43" s="117" cm="1">
        <f t="array" ref="AJ43">_xlfn.LET(_xlpm.home,IFERROR(_xlfn._xlws.FILTER(DATA_CLEANED!AH$3:AH$1060,DATA_CLEANED!AK$3:AK$1060=CALCULES!A43),""),
_xlpm.away,IFERROR(_xlfn._xlws.FILTER(DATA_CLEANED!AH$3:AH$1060,DATA_CLEANED!AN$3:AN$1060=CALCULES!A43),""),
_xlpm.assemb_t,_xlfn._xlws.FILTER(_xlfn.VSTACK(_xlpm.home,_xlpm.away),_xlfn.VSTACK(_xlpm.home,_xlpm.away)&lt;&gt;""),
_xlpm.but_h,IFERROR(_xlfn._xlws.FILTER(_xlfn.ANCHORARRAY(DATA_CLEANED!AM$3),DATA_CLEANED!AK$3:AK$1060=CALCULES!A43),""),
_xlpm.but_a,IFERROR(_xlfn._xlws.FILTER(_xlfn.ANCHORARRAY(DATA_CLEANED!AL$3),DATA_CLEANED!AN$3:AN$1060=CALCULES!A43),""),
_xlpm.assemb_b,_xlfn._xlws.FILTER(_xlfn.VSTACK(_xlpm.but_h,_xlpm.but_a),_xlfn.VSTACK(_xlpm.but_h,_xlpm.but_a)&lt;&gt;""),
MEDIAN(_xlpm.assemb_t,_xlpm.assemb_b)
)</f>
        <v>1</v>
      </c>
      <c r="AK43" s="113">
        <f t="shared" si="18"/>
        <v>3</v>
      </c>
      <c r="AL43" s="112" cm="1">
        <f t="array" ref="AL43">IFERROR(MEDIAN(_xlfn._xlws.FILTER(_xlfn.VSTACK(
DATA_CLEANED!AL$3:AL$1060-DATA_CLEANED!AM$3:AM$1060,
DATA_CLEANED!AM$3:AM$1060-DATA_CLEANED!AL$3:AL$1060
),_xlfn.VSTACK(DATA_CLEANED!AK$3:AK$1060,DATA_CLEANED!AN$3:AN$1060)=A43)),"-")</f>
        <v>-1</v>
      </c>
      <c r="AM43" s="112">
        <f t="shared" si="9"/>
        <v>1.38</v>
      </c>
      <c r="AN43" s="112" cm="1">
        <f t="array" ref="AN43">_xlfn.LET(_xlpm.home,IFERROR(_xlfn._xlws.FILTER(DATA_CLEANED!AH$3:AH$1060,DATA_CLEANED!AK$3:AK$1060=CALCULES!A43),""),
_xlpm.away,IFERROR(_xlfn._xlws.FILTER(DATA_CLEANED!AH$3:AH$1060,DATA_CLEANED!AN$3:AN$1060=CALCULES!A43),""),
_xlpm.assemb_t,_xlfn._xlws.FILTER(_xlfn.VSTACK(_xlpm.home,_xlpm.away),_xlfn.VSTACK(_xlpm.home,_xlpm.away)&lt;&gt;""),
_xlpm.but_h,IFERROR(_xlfn._xlws.FILTER(_xlfn.ANCHORARRAY(DATA_CLEANED!AL$3),DATA_CLEANED!AK$3:AK$1060=CALCULES!A43),""),
_xlpm.but_a,IFERROR(_xlfn._xlws.FILTER(_xlfn.ANCHORARRAY(DATA_CLEANED!AM$3),DATA_CLEANED!AN$3:AN$1060=CALCULES!A43),""),
_xlpm.assemb_b,_xlfn._xlws.FILTER(_xlfn.VSTACK(_xlpm.but_h,_xlpm.but_a),_xlfn.VSTACK(_xlpm.but_h,_xlpm.but_a)&lt;&gt;""),
MEDIAN(_xlpm.assemb_t,_xlpm.assemb_b)
)</f>
        <v>1</v>
      </c>
      <c r="AO43" s="116">
        <f>ROUND(IFERROR((COUNTIFS(DATA_CLEANED!AK$3:AK$1060,A43,DATA_CLEANED!AM$3:AM$1060,0)
+
COUNTIFS(DATA_CLEANED!AN$3:AN$1060,A43,DATA_CLEANED!AL$3:AL$1060,0)
)/AA43,0),2)</f>
        <v>0.19</v>
      </c>
      <c r="AP43" s="112">
        <f>MAX((_xlfn.MAXIFS(_xlfn.ANCHORARRAY(DATA_CLEANED!AL$3),_xlfn.ANCHORARRAY(DATA_CLEANED!AK$3),A43)),(_xlfn.MAXIFS(DATA_CLEANED!AM$3:AM$1060,_xlfn.ANCHORARRAY(DATA_CLEANED!AN$3),A43)))</f>
        <v>2</v>
      </c>
      <c r="AQ43" s="112">
        <f>COUNTIF(_xlfn.ANCHORARRAY(DATA_CLEANED!K$3),A43)</f>
        <v>0</v>
      </c>
      <c r="AR43" s="113" t="str" cm="1">
        <f t="array" ref="AR43">_xlfn.LET(
_xlpm.home,IFERROR(_xlfn._xlws.FILTER(DATA_CLEANED!AH$3:AH$1060,DATA_CLEANED!AK$3:AK$1060=CALCULES!A43),""),
_xlpm.away,IFERROR(_xlfn._xlws.FILTER(DATA_CLEANED!AH$3:AH$1060,DATA_CLEANED!AN$3:AN$1060=CALCULES!A43),""),
_xlpm.etapes,_xlfn._xlws.FILTER(_xlfn.VSTACK(_xlpm.home,_xlpm.away),_xlfn.VSTACK(_xlpm.home,_xlpm.away)&lt;&gt;""),
_xlpm.numeros,_xlfn.XLOOKUP(_xlpm.etapes,DATA_QUALITE!AT$12:AT$38,DATA_QUALITE!AU$12:AU$38),
_xlfn.XLOOKUP(MIN(_xlpm.numeros),DATA_QUALITE!AU$12:AU$38,DATA_QUALITE!AT$12:AT$38)
)</f>
        <v>GROUP_STAGE</v>
      </c>
      <c r="AS43" s="112">
        <f t="shared" si="19"/>
        <v>7</v>
      </c>
      <c r="AT43" s="112">
        <f t="shared" si="20"/>
        <v>3</v>
      </c>
      <c r="AU43" s="112">
        <f>COUNTIFS(DATA_QUALITE!BG$12:BG$1069,"MATCH NUL",_xlfn.ANCHORARRAY(DATA_CLEANED!AK$3),CALCULES!A43)+COUNTIFS(DATA_QUALITE!BG$12:BG$1069,"MATCH NUL",_xlfn.ANCHORARRAY(DATA_CLEANED!AN$3),CALCULES!A43)</f>
        <v>7</v>
      </c>
      <c r="AV43" s="112">
        <v>29</v>
      </c>
      <c r="AW43" s="112">
        <f>COUNTIFS(_xlfn.ANCHORARRAY(DATA_CLEANED!AH$3),"QUARTER_FINALS",_xlfn.ANCHORARRAY(DATA_CLEANED!AK$3),CALCULES!A43)+COUNTIFS(_xlfn.ANCHORARRAY(DATA_CLEANED!AH$3),"QUARTER_FINALS",_xlfn.ANCHORARRAY(DATA_CLEANED!AN$3),CALCULES!A43)</f>
        <v>0</v>
      </c>
      <c r="AX43" s="112">
        <f>COUNTIFS(_xlfn.ANCHORARRAY(DATA_CLEANED!AH$3),"SEMI_FINALS",_xlfn.ANCHORARRAY(DATA_CLEANED!AK$3),CALCULES!A43)+COUNTIFS(_xlfn.ANCHORARRAY(DATA_CLEANED!AH$3),"SEMI_FINALS",_xlfn.ANCHORARRAY(DATA_CLEANED!AN$3),CALCULES!A43)</f>
        <v>0</v>
      </c>
      <c r="AY43" s="112">
        <f>COUNTIFS(_xlfn.ANCHORARRAY(DATA_CLEANED!AH$3),"FINAL",_xlfn.ANCHORARRAY(DATA_CLEANED!AK$3),CALCULES!A43)+COUNTIFS(_xlfn.ANCHORARRAY(DATA_CLEANED!AH$3),"FINAL",_xlfn.ANCHORARRAY(DATA_CLEANED!AN$3),CALCULES!A43)</f>
        <v>0</v>
      </c>
      <c r="AZ43" s="112">
        <f>COUNTIFS(DATA_QUALITE!BG$12:BG$1069,CALCULES!A43,DATA_QUALITE!AW$12:AW$1069,"FINAL")</f>
        <v>0</v>
      </c>
      <c r="BA43" s="113">
        <f t="shared" si="21"/>
        <v>32.83</v>
      </c>
      <c r="BB43" s="118">
        <f t="shared" si="10"/>
        <v>7.74</v>
      </c>
      <c r="BC43" s="118">
        <f t="shared" si="11"/>
        <v>9.3699999999999992</v>
      </c>
      <c r="BD43" s="139">
        <f t="shared" si="12"/>
        <v>8.56</v>
      </c>
      <c r="BH43" s="167"/>
      <c r="BI43" s="167"/>
      <c r="BJ43" s="167"/>
      <c r="BK43" s="167"/>
      <c r="BL43" s="173">
        <f>INT((ROWS($BL$15:BL43)-1)/9)</f>
        <v>3</v>
      </c>
      <c r="BM43" s="173">
        <f>MOD(ROWS($BM$15:BM43)-1,9)</f>
        <v>1</v>
      </c>
      <c r="BN43" s="173">
        <f t="shared" si="14"/>
        <v>5.0429486258040397E-2</v>
      </c>
      <c r="BO43" s="167"/>
      <c r="BP43" s="167"/>
    </row>
    <row r="44" spans="1:68">
      <c r="A44" s="113" t="str">
        <v>Iraq</v>
      </c>
      <c r="B44" s="112">
        <f>IF(COUNTIFS(_xlfn.ANCHORARRAY(DATA_CLEANED!$AF$3),CALCULES!B$2,_xlfn.ANCHORARRAY(DATA_CLEANED!$AK$3),CALCULES!$A44)+COUNTIFS(_xlfn.ANCHORARRAY(DATA_CLEANED!$AF$3),CALCULES!B$2,_xlfn.ANCHORARRAY(DATA_CLEANED!$AN$3),CALCULES!$A44)&gt;0,1,0)</f>
        <v>0</v>
      </c>
      <c r="C44" s="112">
        <f>IF(COUNTIFS(_xlfn.ANCHORARRAY(DATA_CLEANED!$AF$3),CALCULES!C$2,_xlfn.ANCHORARRAY(DATA_CLEANED!$AK$3),CALCULES!$A44)+COUNTIFS(_xlfn.ANCHORARRAY(DATA_CLEANED!$AF$3),CALCULES!C$2,_xlfn.ANCHORARRAY(DATA_CLEANED!$AN$3),CALCULES!$A44)&gt;0,1,0)</f>
        <v>0</v>
      </c>
      <c r="D44" s="112">
        <f>IF(COUNTIFS(_xlfn.ANCHORARRAY(DATA_CLEANED!$AF$3),CALCULES!D$2,_xlfn.ANCHORARRAY(DATA_CLEANED!$AK$3),CALCULES!$A44)+COUNTIFS(_xlfn.ANCHORARRAY(DATA_CLEANED!$AF$3),CALCULES!D$2,_xlfn.ANCHORARRAY(DATA_CLEANED!$AN$3),CALCULES!$A44)&gt;0,1,0)</f>
        <v>0</v>
      </c>
      <c r="E44" s="112">
        <f>IF(COUNTIFS(_xlfn.ANCHORARRAY(DATA_CLEANED!$AF$3),CALCULES!E$2,_xlfn.ANCHORARRAY(DATA_CLEANED!$AK$3),CALCULES!$A44)+COUNTIFS(_xlfn.ANCHORARRAY(DATA_CLEANED!$AF$3),CALCULES!E$2,_xlfn.ANCHORARRAY(DATA_CLEANED!$AN$3),CALCULES!$A44)&gt;0,1,0)</f>
        <v>0</v>
      </c>
      <c r="F44" s="112">
        <f>IF(COUNTIFS(_xlfn.ANCHORARRAY(DATA_CLEANED!$AF$3),CALCULES!F$2,_xlfn.ANCHORARRAY(DATA_CLEANED!$AK$3),CALCULES!$A44)+COUNTIFS(_xlfn.ANCHORARRAY(DATA_CLEANED!$AF$3),CALCULES!F$2,_xlfn.ANCHORARRAY(DATA_CLEANED!$AN$3),CALCULES!$A44)&gt;0,1,0)</f>
        <v>0</v>
      </c>
      <c r="G44" s="112">
        <f>IF(COUNTIFS(_xlfn.ANCHORARRAY(DATA_CLEANED!$AF$3),CALCULES!G$2,_xlfn.ANCHORARRAY(DATA_CLEANED!$AK$3),CALCULES!$A44)+COUNTIFS(_xlfn.ANCHORARRAY(DATA_CLEANED!$AF$3),CALCULES!G$2,_xlfn.ANCHORARRAY(DATA_CLEANED!$AN$3),CALCULES!$A44)&gt;0,1,0)</f>
        <v>0</v>
      </c>
      <c r="H44" s="112">
        <f>IF(COUNTIFS(_xlfn.ANCHORARRAY(DATA_CLEANED!$AF$3),CALCULES!H$2,_xlfn.ANCHORARRAY(DATA_CLEANED!$AK$3),CALCULES!$A44)+COUNTIFS(_xlfn.ANCHORARRAY(DATA_CLEANED!$AF$3),CALCULES!H$2,_xlfn.ANCHORARRAY(DATA_CLEANED!$AN$3),CALCULES!$A44)&gt;0,1,0)</f>
        <v>0</v>
      </c>
      <c r="I44" s="112">
        <f>IF(COUNTIFS(_xlfn.ANCHORARRAY(DATA_CLEANED!$AF$3),CALCULES!I$2,_xlfn.ANCHORARRAY(DATA_CLEANED!$AK$3),CALCULES!$A44)+COUNTIFS(_xlfn.ANCHORARRAY(DATA_CLEANED!$AF$3),CALCULES!I$2,_xlfn.ANCHORARRAY(DATA_CLEANED!$AN$3),CALCULES!$A44)&gt;0,1,0)</f>
        <v>0</v>
      </c>
      <c r="J44" s="112">
        <f>IF(COUNTIFS(_xlfn.ANCHORARRAY(DATA_CLEANED!$AF$3),CALCULES!J$2,_xlfn.ANCHORARRAY(DATA_CLEANED!$AK$3),CALCULES!$A44)+COUNTIFS(_xlfn.ANCHORARRAY(DATA_CLEANED!$AF$3),CALCULES!J$2,_xlfn.ANCHORARRAY(DATA_CLEANED!$AN$3),CALCULES!$A44)&gt;0,1,0)</f>
        <v>0</v>
      </c>
      <c r="K44" s="112">
        <f>IF(COUNTIFS(_xlfn.ANCHORARRAY(DATA_CLEANED!$AF$3),CALCULES!K$2,_xlfn.ANCHORARRAY(DATA_CLEANED!$AK$3),CALCULES!$A44)+COUNTIFS(_xlfn.ANCHORARRAY(DATA_CLEANED!$AF$3),CALCULES!K$2,_xlfn.ANCHORARRAY(DATA_CLEANED!$AN$3),CALCULES!$A44)&gt;0,1,0)</f>
        <v>0</v>
      </c>
      <c r="L44" s="112">
        <f>IF(COUNTIFS(_xlfn.ANCHORARRAY(DATA_CLEANED!$AF$3),CALCULES!L$2,_xlfn.ANCHORARRAY(DATA_CLEANED!$AK$3),CALCULES!$A44)+COUNTIFS(_xlfn.ANCHORARRAY(DATA_CLEANED!$AF$3),CALCULES!L$2,_xlfn.ANCHORARRAY(DATA_CLEANED!$AN$3),CALCULES!$A44)&gt;0,1,0)</f>
        <v>0</v>
      </c>
      <c r="M44" s="112">
        <f>IF(COUNTIFS(_xlfn.ANCHORARRAY(DATA_CLEANED!$AF$3),CALCULES!M$2,_xlfn.ANCHORARRAY(DATA_CLEANED!$AK$3),CALCULES!$A44)+COUNTIFS(_xlfn.ANCHORARRAY(DATA_CLEANED!$AF$3),CALCULES!M$2,_xlfn.ANCHORARRAY(DATA_CLEANED!$AN$3),CALCULES!$A44)&gt;0,1,0)</f>
        <v>0</v>
      </c>
      <c r="N44" s="112">
        <f>IF(COUNTIFS(_xlfn.ANCHORARRAY(DATA_CLEANED!$AF$3),CALCULES!N$2,_xlfn.ANCHORARRAY(DATA_CLEANED!$AK$3),CALCULES!$A44)+COUNTIFS(_xlfn.ANCHORARRAY(DATA_CLEANED!$AF$3),CALCULES!N$2,_xlfn.ANCHORARRAY(DATA_CLEANED!$AN$3),CALCULES!$A44)&gt;0,1,0)</f>
        <v>1</v>
      </c>
      <c r="O44" s="112">
        <f>IF(COUNTIFS(_xlfn.ANCHORARRAY(DATA_CLEANED!$AF$3),CALCULES!O$2,_xlfn.ANCHORARRAY(DATA_CLEANED!$AK$3),CALCULES!$A44)+COUNTIFS(_xlfn.ANCHORARRAY(DATA_CLEANED!$AF$3),CALCULES!O$2,_xlfn.ANCHORARRAY(DATA_CLEANED!$AN$3),CALCULES!$A44)&gt;0,1,0)</f>
        <v>0</v>
      </c>
      <c r="P44" s="112">
        <f>IF(COUNTIFS(_xlfn.ANCHORARRAY(DATA_CLEANED!$AF$3),CALCULES!P$2,_xlfn.ANCHORARRAY(DATA_CLEANED!$AK$3),CALCULES!$A44)+COUNTIFS(_xlfn.ANCHORARRAY(DATA_CLEANED!$AF$3),CALCULES!P$2,_xlfn.ANCHORARRAY(DATA_CLEANED!$AN$3),CALCULES!$A44)&gt;0,1,0)</f>
        <v>0</v>
      </c>
      <c r="Q44" s="112">
        <f>IF(COUNTIFS(_xlfn.ANCHORARRAY(DATA_CLEANED!$AF$3),CALCULES!Q$2,_xlfn.ANCHORARRAY(DATA_CLEANED!$AK$3),CALCULES!$A44)+COUNTIFS(_xlfn.ANCHORARRAY(DATA_CLEANED!$AF$3),CALCULES!Q$2,_xlfn.ANCHORARRAY(DATA_CLEANED!$AN$3),CALCULES!$A44)&gt;0,1,0)</f>
        <v>0</v>
      </c>
      <c r="R44" s="112">
        <f>IF(COUNTIFS(_xlfn.ANCHORARRAY(DATA_CLEANED!$AF$3),CALCULES!R$2,_xlfn.ANCHORARRAY(DATA_CLEANED!$AK$3),CALCULES!$A44)+COUNTIFS(_xlfn.ANCHORARRAY(DATA_CLEANED!$AF$3),CALCULES!R$2,_xlfn.ANCHORARRAY(DATA_CLEANED!$AN$3),CALCULES!$A44)&gt;0,1,0)</f>
        <v>0</v>
      </c>
      <c r="S44" s="112">
        <f>IF(COUNTIFS(_xlfn.ANCHORARRAY(DATA_CLEANED!$AF$3),CALCULES!S$2,_xlfn.ANCHORARRAY(DATA_CLEANED!$AK$3),CALCULES!$A44)+COUNTIFS(_xlfn.ANCHORARRAY(DATA_CLEANED!$AF$3),CALCULES!S$2,_xlfn.ANCHORARRAY(DATA_CLEANED!$AN$3),CALCULES!$A44)&gt;0,1,0)</f>
        <v>0</v>
      </c>
      <c r="T44" s="112">
        <f>IF(COUNTIFS(_xlfn.ANCHORARRAY(DATA_CLEANED!$AF$3),CALCULES!T$2,_xlfn.ANCHORARRAY(DATA_CLEANED!$AK$3),CALCULES!$A44)+COUNTIFS(_xlfn.ANCHORARRAY(DATA_CLEANED!$AF$3),CALCULES!T$2,_xlfn.ANCHORARRAY(DATA_CLEANED!$AN$3),CALCULES!$A44)&gt;0,1,0)</f>
        <v>0</v>
      </c>
      <c r="U44" s="112">
        <f>IF(COUNTIFS(_xlfn.ANCHORARRAY(DATA_CLEANED!$AF$3),CALCULES!U$2,_xlfn.ANCHORARRAY(DATA_CLEANED!$AK$3),CALCULES!$A44)+COUNTIFS(_xlfn.ANCHORARRAY(DATA_CLEANED!$AF$3),CALCULES!U$2,_xlfn.ANCHORARRAY(DATA_CLEANED!$AN$3),CALCULES!$A44)&gt;0,1,0)</f>
        <v>0</v>
      </c>
      <c r="V44" s="112">
        <f>IF(COUNTIFS(_xlfn.ANCHORARRAY(DATA_CLEANED!$AF$3),CALCULES!V$2,_xlfn.ANCHORARRAY(DATA_CLEANED!$AK$3),CALCULES!$A44)+COUNTIFS(_xlfn.ANCHORARRAY(DATA_CLEANED!$AF$3),CALCULES!V$2,_xlfn.ANCHORARRAY(DATA_CLEANED!$AN$3),CALCULES!$A44)&gt;0,1,0)</f>
        <v>0</v>
      </c>
      <c r="W44" s="112">
        <f>IF(COUNTIFS(_xlfn.ANCHORARRAY(DATA_CLEANED!$AF$3),CALCULES!W$2,_xlfn.ANCHORARRAY(DATA_CLEANED!$AK$3),CALCULES!$A44)+COUNTIFS(_xlfn.ANCHORARRAY(DATA_CLEANED!$AF$3),CALCULES!W$2,_xlfn.ANCHORARRAY(DATA_CLEANED!$AN$3),CALCULES!$A44)&gt;0,1,0)</f>
        <v>0</v>
      </c>
      <c r="X44" s="112">
        <f>IF(COUNTIFS(_xlfn.ANCHORARRAY(DATA_CLEANED!$AF$3),CALCULES!X$2,_xlfn.ANCHORARRAY(DATA_CLEANED!$AK$3),CALCULES!$A44)+COUNTIFS(_xlfn.ANCHORARRAY(DATA_CLEANED!$AF$3),CALCULES!X$2,_xlfn.ANCHORARRAY(DATA_CLEANED!$AN$3),CALCULES!$A44)&gt;0,1,0)</f>
        <v>1</v>
      </c>
      <c r="Y44" s="113">
        <f t="shared" si="15"/>
        <v>2</v>
      </c>
      <c r="AA44" s="112">
        <f>COUNTIF(_xlfn.ANCHORARRAY(DATA_CLEANED!$AK$3),$A44)+COUNTIF(DATA_CLEANED!$AN$2:$AN$1060,$A44)</f>
        <v>5</v>
      </c>
      <c r="AB44" s="112">
        <f>COUNTIF(DATA_QUALITE!BG$12:BG$1069,A44)</f>
        <v>0</v>
      </c>
      <c r="AC44" s="112">
        <f t="shared" si="7"/>
        <v>5</v>
      </c>
      <c r="AD44" s="112" cm="1">
        <f t="array" ref="AD44">SUMPRODUCT((DATA_CLEANED!AL$3:AL$1060=DATA_CLEANED!AM$3:AM$1060)*(_xlfn.ANCHORARRAY(DATA_CLEANED!AK$3)=CALCULES!A44)*(DATA_CLEANED!AO$3:AO$1060&lt;&gt;"-"))
+
SUMPRODUCT((DATA_CLEANED!AL$3:AL$1060=DATA_CLEANED!AM$3:AM$1060)*(_xlfn.ANCHORARRAY(DATA_CLEANED!AN$3)=CALCULES!A44)*(DATA_CLEANED!AO$3:AO$1060&lt;&gt;"-"))</f>
        <v>0</v>
      </c>
      <c r="AE44" s="116">
        <f t="shared" si="16"/>
        <v>0</v>
      </c>
      <c r="AF44" s="116">
        <f t="shared" si="17"/>
        <v>1</v>
      </c>
      <c r="AG44" s="112">
        <f>SUMIF(_xlfn.ANCHORARRAY(DATA_CLEANED!AK$3),A44,DATA_CLEANED!AL$2:AL$1060)+SUMIF(_xlfn.ANCHORARRAY(DATA_CLEANED!AN$3),A44,DATA_CLEANED!AM$2:AM$1060)</f>
        <v>10</v>
      </c>
      <c r="AH44" s="112">
        <f>SUMIF(_xlfn.ANCHORARRAY(DATA_CLEANED!AK$3),A44,DATA_CLEANED!AM$2:AM$1060)+SUMIF(_xlfn.ANCHORARRAY(DATA_CLEANED!AN$3),A44,DATA_CLEANED!AL$2:AL$1060)</f>
        <v>5</v>
      </c>
      <c r="AI44" s="112">
        <f t="shared" si="8"/>
        <v>1</v>
      </c>
      <c r="AJ44" s="117" cm="1">
        <f t="array" ref="AJ44">_xlfn.LET(_xlpm.home,IFERROR(_xlfn._xlws.FILTER(DATA_CLEANED!AH$3:AH$1060,DATA_CLEANED!AK$3:AK$1060=CALCULES!A44),""),
_xlpm.away,IFERROR(_xlfn._xlws.FILTER(DATA_CLEANED!AH$3:AH$1060,DATA_CLEANED!AN$3:AN$1060=CALCULES!A44),""),
_xlpm.assemb_t,_xlfn._xlws.FILTER(_xlfn.VSTACK(_xlpm.home,_xlpm.away),_xlfn.VSTACK(_xlpm.home,_xlpm.away)&lt;&gt;""),
_xlpm.but_h,IFERROR(_xlfn._xlws.FILTER(_xlfn.ANCHORARRAY(DATA_CLEANED!AM$3),DATA_CLEANED!AK$3:AK$1060=CALCULES!A44),""),
_xlpm.but_a,IFERROR(_xlfn._xlws.FILTER(_xlfn.ANCHORARRAY(DATA_CLEANED!AL$3),DATA_CLEANED!AN$3:AN$1060=CALCULES!A44),""),
_xlpm.assemb_b,_xlfn._xlws.FILTER(_xlfn.VSTACK(_xlpm.but_h,_xlpm.but_a),_xlfn.VSTACK(_xlpm.but_h,_xlpm.but_a)&lt;&gt;""),
MEDIAN(_xlpm.assemb_t,_xlpm.assemb_b)
)</f>
        <v>2</v>
      </c>
      <c r="AK44" s="113">
        <f t="shared" si="18"/>
        <v>5</v>
      </c>
      <c r="AL44" s="112" cm="1">
        <f t="array" ref="AL44">IFERROR(MEDIAN(_xlfn._xlws.FILTER(_xlfn.VSTACK(
DATA_CLEANED!AL$3:AL$1060-DATA_CLEANED!AM$3:AM$1060,
DATA_CLEANED!AM$3:AM$1060-DATA_CLEANED!AL$3:AL$1060
),_xlfn.VSTACK(DATA_CLEANED!AK$3:AK$1060,DATA_CLEANED!AN$3:AN$1060)=A44)),"-")</f>
        <v>-1</v>
      </c>
      <c r="AM44" s="112">
        <f t="shared" si="9"/>
        <v>2</v>
      </c>
      <c r="AN44" s="112" cm="1">
        <f t="array" ref="AN44">_xlfn.LET(_xlpm.home,IFERROR(_xlfn._xlws.FILTER(DATA_CLEANED!AH$3:AH$1060,DATA_CLEANED!AK$3:AK$1060=CALCULES!A44),""),
_xlpm.away,IFERROR(_xlfn._xlws.FILTER(DATA_CLEANED!AH$3:AH$1060,DATA_CLEANED!AN$3:AN$1060=CALCULES!A44),""),
_xlpm.assemb_t,_xlfn._xlws.FILTER(_xlfn.VSTACK(_xlpm.home,_xlpm.away),_xlfn.VSTACK(_xlpm.home,_xlpm.away)&lt;&gt;""),
_xlpm.but_h,IFERROR(_xlfn._xlws.FILTER(_xlfn.ANCHORARRAY(DATA_CLEANED!AL$3),DATA_CLEANED!AK$3:AK$1060=CALCULES!A44),""),
_xlpm.but_a,IFERROR(_xlfn._xlws.FILTER(_xlfn.ANCHORARRAY(DATA_CLEANED!AM$3),DATA_CLEANED!AN$3:AN$1060=CALCULES!A44),""),
_xlpm.assemb_b,_xlfn._xlws.FILTER(_xlfn.VSTACK(_xlpm.but_h,_xlpm.but_a),_xlfn.VSTACK(_xlpm.but_h,_xlpm.but_a)&lt;&gt;""),
MEDIAN(_xlpm.assemb_t,_xlpm.assemb_b)
)</f>
        <v>0</v>
      </c>
      <c r="AO44" s="116">
        <f>ROUND(IFERROR((COUNTIFS(DATA_CLEANED!AK$3:AK$1060,A44,DATA_CLEANED!AM$3:AM$1060,0)
+
COUNTIFS(DATA_CLEANED!AN$3:AN$1060,A44,DATA_CLEANED!AL$3:AL$1060,0)
)/AA44,0),2)</f>
        <v>0</v>
      </c>
      <c r="AP44" s="112">
        <f>MAX((_xlfn.MAXIFS(_xlfn.ANCHORARRAY(DATA_CLEANED!AL$3),_xlfn.ANCHORARRAY(DATA_CLEANED!AK$3),A44)),(_xlfn.MAXIFS(DATA_CLEANED!AM$3:AM$1060,_xlfn.ANCHORARRAY(DATA_CLEANED!AN$3),A44)))</f>
        <v>1</v>
      </c>
      <c r="AQ44" s="112">
        <f>COUNTIF(_xlfn.ANCHORARRAY(DATA_CLEANED!K$3),A44)</f>
        <v>0</v>
      </c>
      <c r="AR44" s="113" t="str" cm="1">
        <f t="array" ref="AR44">_xlfn.LET(
_xlpm.home,IFERROR(_xlfn._xlws.FILTER(DATA_CLEANED!AH$3:AH$1060,DATA_CLEANED!AK$3:AK$1060=CALCULES!A44),""),
_xlpm.away,IFERROR(_xlfn._xlws.FILTER(DATA_CLEANED!AH$3:AH$1060,DATA_CLEANED!AN$3:AN$1060=CALCULES!A44),""),
_xlpm.etapes,_xlfn._xlws.FILTER(_xlfn.VSTACK(_xlpm.home,_xlpm.away),_xlfn.VSTACK(_xlpm.home,_xlpm.away)&lt;&gt;""),
_xlpm.numeros,_xlfn.XLOOKUP(_xlpm.etapes,DATA_QUALITE!AT$12:AT$38,DATA_QUALITE!AU$12:AU$38),
_xlfn.XLOOKUP(MIN(_xlpm.numeros),DATA_QUALITE!AU$12:AU$38,DATA_QUALITE!AT$12:AT$38)
)</f>
        <v>GROUP_STAGE</v>
      </c>
      <c r="AS44" s="112">
        <f t="shared" si="19"/>
        <v>2</v>
      </c>
      <c r="AT44" s="112">
        <f t="shared" si="20"/>
        <v>0</v>
      </c>
      <c r="AU44" s="112">
        <f>COUNTIFS(DATA_QUALITE!BG$12:BG$1069,"MATCH NUL",_xlfn.ANCHORARRAY(DATA_CLEANED!AK$3),CALCULES!A44)+COUNTIFS(DATA_QUALITE!BG$12:BG$1069,"MATCH NUL",_xlfn.ANCHORARRAY(DATA_CLEANED!AN$3),CALCULES!A44)</f>
        <v>0</v>
      </c>
      <c r="AV44" s="112">
        <v>10</v>
      </c>
      <c r="AW44" s="112">
        <f>COUNTIFS(_xlfn.ANCHORARRAY(DATA_CLEANED!AH$3),"QUARTER_FINALS",_xlfn.ANCHORARRAY(DATA_CLEANED!AK$3),CALCULES!A44)+COUNTIFS(_xlfn.ANCHORARRAY(DATA_CLEANED!AH$3),"QUARTER_FINALS",_xlfn.ANCHORARRAY(DATA_CLEANED!AN$3),CALCULES!A44)</f>
        <v>0</v>
      </c>
      <c r="AX44" s="112">
        <f>COUNTIFS(_xlfn.ANCHORARRAY(DATA_CLEANED!AH$3),"SEMI_FINALS",_xlfn.ANCHORARRAY(DATA_CLEANED!AK$3),CALCULES!A44)+COUNTIFS(_xlfn.ANCHORARRAY(DATA_CLEANED!AH$3),"SEMI_FINALS",_xlfn.ANCHORARRAY(DATA_CLEANED!AN$3),CALCULES!A44)</f>
        <v>0</v>
      </c>
      <c r="AY44" s="112">
        <f>COUNTIFS(_xlfn.ANCHORARRAY(DATA_CLEANED!AH$3),"FINAL",_xlfn.ANCHORARRAY(DATA_CLEANED!AK$3),CALCULES!A44)+COUNTIFS(_xlfn.ANCHORARRAY(DATA_CLEANED!AH$3),"FINAL",_xlfn.ANCHORARRAY(DATA_CLEANED!AN$3),CALCULES!A44)</f>
        <v>0</v>
      </c>
      <c r="AZ44" s="112">
        <f>COUNTIFS(DATA_QUALITE!BG$12:BG$1069,CALCULES!A44,DATA_QUALITE!AW$12:AW$1069,"FINAL")</f>
        <v>0</v>
      </c>
      <c r="BA44" s="113">
        <f t="shared" si="21"/>
        <v>8.5</v>
      </c>
      <c r="BB44" s="118">
        <f t="shared" si="10"/>
        <v>0</v>
      </c>
      <c r="BC44" s="118">
        <f t="shared" si="11"/>
        <v>0</v>
      </c>
      <c r="BD44" s="139">
        <f t="shared" si="12"/>
        <v>0</v>
      </c>
      <c r="BH44" s="167"/>
      <c r="BI44" s="167"/>
      <c r="BJ44" s="167"/>
      <c r="BK44" s="167"/>
      <c r="BL44" s="173">
        <f>INT((ROWS($BL$15:BL44)-1)/9)</f>
        <v>3</v>
      </c>
      <c r="BM44" s="173">
        <f>MOD(ROWS($BM$15:BM44)-1,9)</f>
        <v>2</v>
      </c>
      <c r="BN44" s="173">
        <f t="shared" si="14"/>
        <v>2.8238880841135391E-2</v>
      </c>
      <c r="BO44" s="167"/>
      <c r="BP44" s="167"/>
    </row>
    <row r="45" spans="1:68">
      <c r="A45" s="113" t="str">
        <v>Ireland</v>
      </c>
      <c r="B45" s="112">
        <f>IF(COUNTIFS(_xlfn.ANCHORARRAY(DATA_CLEANED!$AF$3),CALCULES!B$2,_xlfn.ANCHORARRAY(DATA_CLEANED!$AK$3),CALCULES!$A45)+COUNTIFS(_xlfn.ANCHORARRAY(DATA_CLEANED!$AF$3),CALCULES!B$2,_xlfn.ANCHORARRAY(DATA_CLEANED!$AN$3),CALCULES!$A45)&gt;0,1,0)</f>
        <v>0</v>
      </c>
      <c r="C45" s="112">
        <f>IF(COUNTIFS(_xlfn.ANCHORARRAY(DATA_CLEANED!$AF$3),CALCULES!C$2,_xlfn.ANCHORARRAY(DATA_CLEANED!$AK$3),CALCULES!$A45)+COUNTIFS(_xlfn.ANCHORARRAY(DATA_CLEANED!$AF$3),CALCULES!C$2,_xlfn.ANCHORARRAY(DATA_CLEANED!$AN$3),CALCULES!$A45)&gt;0,1,0)</f>
        <v>0</v>
      </c>
      <c r="D45" s="112">
        <f>IF(COUNTIFS(_xlfn.ANCHORARRAY(DATA_CLEANED!$AF$3),CALCULES!D$2,_xlfn.ANCHORARRAY(DATA_CLEANED!$AK$3),CALCULES!$A45)+COUNTIFS(_xlfn.ANCHORARRAY(DATA_CLEANED!$AF$3),CALCULES!D$2,_xlfn.ANCHORARRAY(DATA_CLEANED!$AN$3),CALCULES!$A45)&gt;0,1,0)</f>
        <v>0</v>
      </c>
      <c r="E45" s="112">
        <f>IF(COUNTIFS(_xlfn.ANCHORARRAY(DATA_CLEANED!$AF$3),CALCULES!E$2,_xlfn.ANCHORARRAY(DATA_CLEANED!$AK$3),CALCULES!$A45)+COUNTIFS(_xlfn.ANCHORARRAY(DATA_CLEANED!$AF$3),CALCULES!E$2,_xlfn.ANCHORARRAY(DATA_CLEANED!$AN$3),CALCULES!$A45)&gt;0,1,0)</f>
        <v>0</v>
      </c>
      <c r="F45" s="112">
        <f>IF(COUNTIFS(_xlfn.ANCHORARRAY(DATA_CLEANED!$AF$3),CALCULES!F$2,_xlfn.ANCHORARRAY(DATA_CLEANED!$AK$3),CALCULES!$A45)+COUNTIFS(_xlfn.ANCHORARRAY(DATA_CLEANED!$AF$3),CALCULES!F$2,_xlfn.ANCHORARRAY(DATA_CLEANED!$AN$3),CALCULES!$A45)&gt;0,1,0)</f>
        <v>0</v>
      </c>
      <c r="G45" s="112">
        <f>IF(COUNTIFS(_xlfn.ANCHORARRAY(DATA_CLEANED!$AF$3),CALCULES!G$2,_xlfn.ANCHORARRAY(DATA_CLEANED!$AK$3),CALCULES!$A45)+COUNTIFS(_xlfn.ANCHORARRAY(DATA_CLEANED!$AF$3),CALCULES!G$2,_xlfn.ANCHORARRAY(DATA_CLEANED!$AN$3),CALCULES!$A45)&gt;0,1,0)</f>
        <v>0</v>
      </c>
      <c r="H45" s="112">
        <f>IF(COUNTIFS(_xlfn.ANCHORARRAY(DATA_CLEANED!$AF$3),CALCULES!H$2,_xlfn.ANCHORARRAY(DATA_CLEANED!$AK$3),CALCULES!$A45)+COUNTIFS(_xlfn.ANCHORARRAY(DATA_CLEANED!$AF$3),CALCULES!H$2,_xlfn.ANCHORARRAY(DATA_CLEANED!$AN$3),CALCULES!$A45)&gt;0,1,0)</f>
        <v>0</v>
      </c>
      <c r="I45" s="112">
        <f>IF(COUNTIFS(_xlfn.ANCHORARRAY(DATA_CLEANED!$AF$3),CALCULES!I$2,_xlfn.ANCHORARRAY(DATA_CLEANED!$AK$3),CALCULES!$A45)+COUNTIFS(_xlfn.ANCHORARRAY(DATA_CLEANED!$AF$3),CALCULES!I$2,_xlfn.ANCHORARRAY(DATA_CLEANED!$AN$3),CALCULES!$A45)&gt;0,1,0)</f>
        <v>0</v>
      </c>
      <c r="J45" s="112">
        <f>IF(COUNTIFS(_xlfn.ANCHORARRAY(DATA_CLEANED!$AF$3),CALCULES!J$2,_xlfn.ANCHORARRAY(DATA_CLEANED!$AK$3),CALCULES!$A45)+COUNTIFS(_xlfn.ANCHORARRAY(DATA_CLEANED!$AF$3),CALCULES!J$2,_xlfn.ANCHORARRAY(DATA_CLEANED!$AN$3),CALCULES!$A45)&gt;0,1,0)</f>
        <v>0</v>
      </c>
      <c r="K45" s="112">
        <f>IF(COUNTIFS(_xlfn.ANCHORARRAY(DATA_CLEANED!$AF$3),CALCULES!K$2,_xlfn.ANCHORARRAY(DATA_CLEANED!$AK$3),CALCULES!$A45)+COUNTIFS(_xlfn.ANCHORARRAY(DATA_CLEANED!$AF$3),CALCULES!K$2,_xlfn.ANCHORARRAY(DATA_CLEANED!$AN$3),CALCULES!$A45)&gt;0,1,0)</f>
        <v>0</v>
      </c>
      <c r="L45" s="112">
        <f>IF(COUNTIFS(_xlfn.ANCHORARRAY(DATA_CLEANED!$AF$3),CALCULES!L$2,_xlfn.ANCHORARRAY(DATA_CLEANED!$AK$3),CALCULES!$A45)+COUNTIFS(_xlfn.ANCHORARRAY(DATA_CLEANED!$AF$3),CALCULES!L$2,_xlfn.ANCHORARRAY(DATA_CLEANED!$AN$3),CALCULES!$A45)&gt;0,1,0)</f>
        <v>0</v>
      </c>
      <c r="M45" s="112">
        <f>IF(COUNTIFS(_xlfn.ANCHORARRAY(DATA_CLEANED!$AF$3),CALCULES!M$2,_xlfn.ANCHORARRAY(DATA_CLEANED!$AK$3),CALCULES!$A45)+COUNTIFS(_xlfn.ANCHORARRAY(DATA_CLEANED!$AF$3),CALCULES!M$2,_xlfn.ANCHORARRAY(DATA_CLEANED!$AN$3),CALCULES!$A45)&gt;0,1,0)</f>
        <v>0</v>
      </c>
      <c r="N45" s="112">
        <f>IF(COUNTIFS(_xlfn.ANCHORARRAY(DATA_CLEANED!$AF$3),CALCULES!N$2,_xlfn.ANCHORARRAY(DATA_CLEANED!$AK$3),CALCULES!$A45)+COUNTIFS(_xlfn.ANCHORARRAY(DATA_CLEANED!$AF$3),CALCULES!N$2,_xlfn.ANCHORARRAY(DATA_CLEANED!$AN$3),CALCULES!$A45)&gt;0,1,0)</f>
        <v>0</v>
      </c>
      <c r="O45" s="112">
        <f>IF(COUNTIFS(_xlfn.ANCHORARRAY(DATA_CLEANED!$AF$3),CALCULES!O$2,_xlfn.ANCHORARRAY(DATA_CLEANED!$AK$3),CALCULES!$A45)+COUNTIFS(_xlfn.ANCHORARRAY(DATA_CLEANED!$AF$3),CALCULES!O$2,_xlfn.ANCHORARRAY(DATA_CLEANED!$AN$3),CALCULES!$A45)&gt;0,1,0)</f>
        <v>1</v>
      </c>
      <c r="P45" s="112">
        <f>IF(COUNTIFS(_xlfn.ANCHORARRAY(DATA_CLEANED!$AF$3),CALCULES!P$2,_xlfn.ANCHORARRAY(DATA_CLEANED!$AK$3),CALCULES!$A45)+COUNTIFS(_xlfn.ANCHORARRAY(DATA_CLEANED!$AF$3),CALCULES!P$2,_xlfn.ANCHORARRAY(DATA_CLEANED!$AN$3),CALCULES!$A45)&gt;0,1,0)</f>
        <v>1</v>
      </c>
      <c r="Q45" s="112">
        <f>IF(COUNTIFS(_xlfn.ANCHORARRAY(DATA_CLEANED!$AF$3),CALCULES!Q$2,_xlfn.ANCHORARRAY(DATA_CLEANED!$AK$3),CALCULES!$A45)+COUNTIFS(_xlfn.ANCHORARRAY(DATA_CLEANED!$AF$3),CALCULES!Q$2,_xlfn.ANCHORARRAY(DATA_CLEANED!$AN$3),CALCULES!$A45)&gt;0,1,0)</f>
        <v>0</v>
      </c>
      <c r="R45" s="112">
        <f>IF(COUNTIFS(_xlfn.ANCHORARRAY(DATA_CLEANED!$AF$3),CALCULES!R$2,_xlfn.ANCHORARRAY(DATA_CLEANED!$AK$3),CALCULES!$A45)+COUNTIFS(_xlfn.ANCHORARRAY(DATA_CLEANED!$AF$3),CALCULES!R$2,_xlfn.ANCHORARRAY(DATA_CLEANED!$AN$3),CALCULES!$A45)&gt;0,1,0)</f>
        <v>1</v>
      </c>
      <c r="S45" s="112">
        <f>IF(COUNTIFS(_xlfn.ANCHORARRAY(DATA_CLEANED!$AF$3),CALCULES!S$2,_xlfn.ANCHORARRAY(DATA_CLEANED!$AK$3),CALCULES!$A45)+COUNTIFS(_xlfn.ANCHORARRAY(DATA_CLEANED!$AF$3),CALCULES!S$2,_xlfn.ANCHORARRAY(DATA_CLEANED!$AN$3),CALCULES!$A45)&gt;0,1,0)</f>
        <v>0</v>
      </c>
      <c r="T45" s="112">
        <f>IF(COUNTIFS(_xlfn.ANCHORARRAY(DATA_CLEANED!$AF$3),CALCULES!T$2,_xlfn.ANCHORARRAY(DATA_CLEANED!$AK$3),CALCULES!$A45)+COUNTIFS(_xlfn.ANCHORARRAY(DATA_CLEANED!$AF$3),CALCULES!T$2,_xlfn.ANCHORARRAY(DATA_CLEANED!$AN$3),CALCULES!$A45)&gt;0,1,0)</f>
        <v>0</v>
      </c>
      <c r="U45" s="112">
        <f>IF(COUNTIFS(_xlfn.ANCHORARRAY(DATA_CLEANED!$AF$3),CALCULES!U$2,_xlfn.ANCHORARRAY(DATA_CLEANED!$AK$3),CALCULES!$A45)+COUNTIFS(_xlfn.ANCHORARRAY(DATA_CLEANED!$AF$3),CALCULES!U$2,_xlfn.ANCHORARRAY(DATA_CLEANED!$AN$3),CALCULES!$A45)&gt;0,1,0)</f>
        <v>0</v>
      </c>
      <c r="V45" s="112">
        <f>IF(COUNTIFS(_xlfn.ANCHORARRAY(DATA_CLEANED!$AF$3),CALCULES!V$2,_xlfn.ANCHORARRAY(DATA_CLEANED!$AK$3),CALCULES!$A45)+COUNTIFS(_xlfn.ANCHORARRAY(DATA_CLEANED!$AF$3),CALCULES!V$2,_xlfn.ANCHORARRAY(DATA_CLEANED!$AN$3),CALCULES!$A45)&gt;0,1,0)</f>
        <v>0</v>
      </c>
      <c r="W45" s="112">
        <f>IF(COUNTIFS(_xlfn.ANCHORARRAY(DATA_CLEANED!$AF$3),CALCULES!W$2,_xlfn.ANCHORARRAY(DATA_CLEANED!$AK$3),CALCULES!$A45)+COUNTIFS(_xlfn.ANCHORARRAY(DATA_CLEANED!$AF$3),CALCULES!W$2,_xlfn.ANCHORARRAY(DATA_CLEANED!$AN$3),CALCULES!$A45)&gt;0,1,0)</f>
        <v>0</v>
      </c>
      <c r="X45" s="112">
        <f>IF(COUNTIFS(_xlfn.ANCHORARRAY(DATA_CLEANED!$AF$3),CALCULES!X$2,_xlfn.ANCHORARRAY(DATA_CLEANED!$AK$3),CALCULES!$A45)+COUNTIFS(_xlfn.ANCHORARRAY(DATA_CLEANED!$AF$3),CALCULES!X$2,_xlfn.ANCHORARRAY(DATA_CLEANED!$AN$3),CALCULES!$A45)&gt;0,1,0)</f>
        <v>0</v>
      </c>
      <c r="Y45" s="113">
        <f t="shared" si="15"/>
        <v>3</v>
      </c>
      <c r="AA45" s="112">
        <f>COUNTIF(_xlfn.ANCHORARRAY(DATA_CLEANED!$AK$3),$A45)+COUNTIF(DATA_CLEANED!$AN$2:$AN$1060,$A45)</f>
        <v>13</v>
      </c>
      <c r="AB45" s="112">
        <f>COUNTIF(DATA_QUALITE!BG$12:BG$1069,A45)</f>
        <v>3</v>
      </c>
      <c r="AC45" s="112">
        <f t="shared" si="7"/>
        <v>8</v>
      </c>
      <c r="AD45" s="112" cm="1">
        <f t="array" ref="AD45">SUMPRODUCT((DATA_CLEANED!AL$3:AL$1060=DATA_CLEANED!AM$3:AM$1060)*(_xlfn.ANCHORARRAY(DATA_CLEANED!AK$3)=CALCULES!A45)*(DATA_CLEANED!AO$3:AO$1060&lt;&gt;"-"))
+
SUMPRODUCT((DATA_CLEANED!AL$3:AL$1060=DATA_CLEANED!AM$3:AM$1060)*(_xlfn.ANCHORARRAY(DATA_CLEANED!AN$3)=CALCULES!A45)*(DATA_CLEANED!AO$3:AO$1060&lt;&gt;"-"))</f>
        <v>2</v>
      </c>
      <c r="AE45" s="116">
        <f t="shared" si="16"/>
        <v>0.23076923076923078</v>
      </c>
      <c r="AF45" s="116">
        <f t="shared" si="17"/>
        <v>0.61538461538461542</v>
      </c>
      <c r="AG45" s="112">
        <f>SUMIF(_xlfn.ANCHORARRAY(DATA_CLEANED!AK$3),A45,DATA_CLEANED!AL$2:AL$1060)+SUMIF(_xlfn.ANCHORARRAY(DATA_CLEANED!AN$3),A45,DATA_CLEANED!AM$2:AM$1060)</f>
        <v>13</v>
      </c>
      <c r="AH45" s="112">
        <f>SUMIF(_xlfn.ANCHORARRAY(DATA_CLEANED!AK$3),A45,DATA_CLEANED!AM$2:AM$1060)+SUMIF(_xlfn.ANCHORARRAY(DATA_CLEANED!AN$3),A45,DATA_CLEANED!AL$2:AL$1060)</f>
        <v>20</v>
      </c>
      <c r="AI45" s="112">
        <f t="shared" si="8"/>
        <v>1.54</v>
      </c>
      <c r="AJ45" s="117" cm="1">
        <f t="array" ref="AJ45">_xlfn.LET(_xlpm.home,IFERROR(_xlfn._xlws.FILTER(DATA_CLEANED!AH$3:AH$1060,DATA_CLEANED!AK$3:AK$1060=CALCULES!A45),""),
_xlpm.away,IFERROR(_xlfn._xlws.FILTER(DATA_CLEANED!AH$3:AH$1060,DATA_CLEANED!AN$3:AN$1060=CALCULES!A45),""),
_xlpm.assemb_t,_xlfn._xlws.FILTER(_xlfn.VSTACK(_xlpm.home,_xlpm.away),_xlfn.VSTACK(_xlpm.home,_xlpm.away)&lt;&gt;""),
_xlpm.but_h,IFERROR(_xlfn._xlws.FILTER(_xlfn.ANCHORARRAY(DATA_CLEANED!AM$3),DATA_CLEANED!AK$3:AK$1060=CALCULES!A45),""),
_xlpm.but_a,IFERROR(_xlfn._xlws.FILTER(_xlfn.ANCHORARRAY(DATA_CLEANED!AL$3),DATA_CLEANED!AN$3:AN$1060=CALCULES!A45),""),
_xlpm.assemb_b,_xlfn._xlws.FILTER(_xlfn.VSTACK(_xlpm.but_h,_xlpm.but_a),_xlfn.VSTACK(_xlpm.but_h,_xlpm.but_a)&lt;&gt;""),
MEDIAN(_xlpm.assemb_t,_xlpm.assemb_b)
)</f>
        <v>1</v>
      </c>
      <c r="AK45" s="113">
        <f t="shared" si="18"/>
        <v>-7</v>
      </c>
      <c r="AL45" s="112" cm="1">
        <f t="array" ref="AL45">IFERROR(MEDIAN(_xlfn._xlws.FILTER(_xlfn.VSTACK(
DATA_CLEANED!AL$3:AL$1060-DATA_CLEANED!AM$3:AM$1060,
DATA_CLEANED!AM$3:AM$1060-DATA_CLEANED!AL$3:AL$1060
),_xlfn.VSTACK(DATA_CLEANED!AK$3:AK$1060,DATA_CLEANED!AN$3:AN$1060)=A45)),"-")</f>
        <v>0</v>
      </c>
      <c r="AM45" s="112">
        <f t="shared" si="9"/>
        <v>1</v>
      </c>
      <c r="AN45" s="112" cm="1">
        <f t="array" ref="AN45">_xlfn.LET(_xlpm.home,IFERROR(_xlfn._xlws.FILTER(DATA_CLEANED!AH$3:AH$1060,DATA_CLEANED!AK$3:AK$1060=CALCULES!A45),""),
_xlpm.away,IFERROR(_xlfn._xlws.FILTER(DATA_CLEANED!AH$3:AH$1060,DATA_CLEANED!AN$3:AN$1060=CALCULES!A45),""),
_xlpm.assemb_t,_xlfn._xlws.FILTER(_xlfn.VSTACK(_xlpm.home,_xlpm.away),_xlfn.VSTACK(_xlpm.home,_xlpm.away)&lt;&gt;""),
_xlpm.but_h,IFERROR(_xlfn._xlws.FILTER(_xlfn.ANCHORARRAY(DATA_CLEANED!AL$3),DATA_CLEANED!AK$3:AK$1060=CALCULES!A45),""),
_xlpm.but_a,IFERROR(_xlfn._xlws.FILTER(_xlfn.ANCHORARRAY(DATA_CLEANED!AM$3),DATA_CLEANED!AN$3:AN$1060=CALCULES!A45),""),
_xlpm.assemb_b,_xlfn._xlws.FILTER(_xlfn.VSTACK(_xlpm.but_h,_xlpm.but_a),_xlfn.VSTACK(_xlpm.but_h,_xlpm.but_a)&lt;&gt;""),
MEDIAN(_xlpm.assemb_t,_xlpm.assemb_b)
)</f>
        <v>1</v>
      </c>
      <c r="AO45" s="116">
        <f>ROUND(IFERROR((COUNTIFS(DATA_CLEANED!AK$3:AK$1060,A45,DATA_CLEANED!AM$3:AM$1060,0)
+
COUNTIFS(DATA_CLEANED!AN$3:AN$1060,A45,DATA_CLEANED!AL$3:AL$1060,0)
)/AA45,0),2)</f>
        <v>0.38</v>
      </c>
      <c r="AP45" s="112">
        <f>MAX((_xlfn.MAXIFS(_xlfn.ANCHORARRAY(DATA_CLEANED!AL$3),_xlfn.ANCHORARRAY(DATA_CLEANED!AK$3),A45)),(_xlfn.MAXIFS(DATA_CLEANED!AM$3:AM$1060,_xlfn.ANCHORARRAY(DATA_CLEANED!AN$3),A45)))</f>
        <v>3</v>
      </c>
      <c r="AQ45" s="112">
        <f>COUNTIF(_xlfn.ANCHORARRAY(DATA_CLEANED!K$3),A45)</f>
        <v>0</v>
      </c>
      <c r="AR45" s="113" t="str" cm="1">
        <f t="array" ref="AR45">_xlfn.LET(
_xlpm.home,IFERROR(_xlfn._xlws.FILTER(DATA_CLEANED!AH$3:AH$1060,DATA_CLEANED!AK$3:AK$1060=CALCULES!A45),""),
_xlpm.away,IFERROR(_xlfn._xlws.FILTER(DATA_CLEANED!AH$3:AH$1060,DATA_CLEANED!AN$3:AN$1060=CALCULES!A45),""),
_xlpm.etapes,_xlfn._xlws.FILTER(_xlfn.VSTACK(_xlpm.home,_xlpm.away),_xlfn.VSTACK(_xlpm.home,_xlpm.away)&lt;&gt;""),
_xlpm.numeros,_xlfn.XLOOKUP(_xlpm.etapes,DATA_QUALITE!AT$12:AT$38,DATA_QUALITE!AU$12:AU$38),
_xlfn.XLOOKUP(MIN(_xlpm.numeros),DATA_QUALITE!AU$12:AU$38,DATA_QUALITE!AT$12:AT$38)
)</f>
        <v>QUARTER_FINALS</v>
      </c>
      <c r="AS45" s="112">
        <f t="shared" si="19"/>
        <v>3</v>
      </c>
      <c r="AT45" s="112">
        <f t="shared" si="20"/>
        <v>3</v>
      </c>
      <c r="AU45" s="112">
        <f>COUNTIFS(DATA_QUALITE!BG$12:BG$1069,"MATCH NUL",_xlfn.ANCHORARRAY(DATA_CLEANED!AK$3),CALCULES!A45)+COUNTIFS(DATA_QUALITE!BG$12:BG$1069,"MATCH NUL",_xlfn.ANCHORARRAY(DATA_CLEANED!AN$3),CALCULES!A45)</f>
        <v>6</v>
      </c>
      <c r="AV45" s="112">
        <v>13</v>
      </c>
      <c r="AW45" s="112">
        <f>COUNTIFS(_xlfn.ANCHORARRAY(DATA_CLEANED!AH$3),"QUARTER_FINALS",_xlfn.ANCHORARRAY(DATA_CLEANED!AK$3),CALCULES!A45)+COUNTIFS(_xlfn.ANCHORARRAY(DATA_CLEANED!AH$3),"QUARTER_FINALS",_xlfn.ANCHORARRAY(DATA_CLEANED!AN$3),CALCULES!A45)</f>
        <v>1</v>
      </c>
      <c r="AX45" s="112">
        <f>COUNTIFS(_xlfn.ANCHORARRAY(DATA_CLEANED!AH$3),"SEMI_FINALS",_xlfn.ANCHORARRAY(DATA_CLEANED!AK$3),CALCULES!A45)+COUNTIFS(_xlfn.ANCHORARRAY(DATA_CLEANED!AH$3),"SEMI_FINALS",_xlfn.ANCHORARRAY(DATA_CLEANED!AN$3),CALCULES!A45)</f>
        <v>0</v>
      </c>
      <c r="AY45" s="112">
        <f>COUNTIFS(_xlfn.ANCHORARRAY(DATA_CLEANED!AH$3),"FINAL",_xlfn.ANCHORARRAY(DATA_CLEANED!AK$3),CALCULES!A45)+COUNTIFS(_xlfn.ANCHORARRAY(DATA_CLEANED!AH$3),"FINAL",_xlfn.ANCHORARRAY(DATA_CLEANED!AN$3),CALCULES!A45)</f>
        <v>0</v>
      </c>
      <c r="AZ45" s="112">
        <f>COUNTIFS(DATA_QUALITE!BG$12:BG$1069,CALCULES!A45,DATA_QUALITE!AW$12:AW$1069,"FINAL")</f>
        <v>0</v>
      </c>
      <c r="BA45" s="113">
        <f t="shared" si="21"/>
        <v>34.43</v>
      </c>
      <c r="BB45" s="118">
        <f t="shared" si="10"/>
        <v>6.62</v>
      </c>
      <c r="BC45" s="118">
        <f t="shared" si="11"/>
        <v>8.9499999999999993</v>
      </c>
      <c r="BD45" s="139">
        <f t="shared" si="12"/>
        <v>7.79</v>
      </c>
      <c r="BH45" s="167"/>
      <c r="BI45" s="167"/>
      <c r="BJ45" s="167"/>
      <c r="BK45" s="167"/>
      <c r="BL45" s="173">
        <f>INT((ROWS($BL$15:BL45)-1)/9)</f>
        <v>3</v>
      </c>
      <c r="BM45" s="173">
        <f>MOD(ROWS($BM$15:BM45)-1,9)</f>
        <v>3</v>
      </c>
      <c r="BN45" s="173">
        <f t="shared" si="14"/>
        <v>1.0541906469553497E-2</v>
      </c>
      <c r="BO45" s="167"/>
      <c r="BP45" s="167"/>
    </row>
    <row r="46" spans="1:68">
      <c r="A46" s="113" t="str">
        <v>Israel</v>
      </c>
      <c r="B46" s="112">
        <f>IF(COUNTIFS(_xlfn.ANCHORARRAY(DATA_CLEANED!$AF$3),CALCULES!B$2,_xlfn.ANCHORARRAY(DATA_CLEANED!$AK$3),CALCULES!$A46)+COUNTIFS(_xlfn.ANCHORARRAY(DATA_CLEANED!$AF$3),CALCULES!B$2,_xlfn.ANCHORARRAY(DATA_CLEANED!$AN$3),CALCULES!$A46)&gt;0,1,0)</f>
        <v>0</v>
      </c>
      <c r="C46" s="112">
        <f>IF(COUNTIFS(_xlfn.ANCHORARRAY(DATA_CLEANED!$AF$3),CALCULES!C$2,_xlfn.ANCHORARRAY(DATA_CLEANED!$AK$3),CALCULES!$A46)+COUNTIFS(_xlfn.ANCHORARRAY(DATA_CLEANED!$AF$3),CALCULES!C$2,_xlfn.ANCHORARRAY(DATA_CLEANED!$AN$3),CALCULES!$A46)&gt;0,1,0)</f>
        <v>0</v>
      </c>
      <c r="D46" s="112">
        <f>IF(COUNTIFS(_xlfn.ANCHORARRAY(DATA_CLEANED!$AF$3),CALCULES!D$2,_xlfn.ANCHORARRAY(DATA_CLEANED!$AK$3),CALCULES!$A46)+COUNTIFS(_xlfn.ANCHORARRAY(DATA_CLEANED!$AF$3),CALCULES!D$2,_xlfn.ANCHORARRAY(DATA_CLEANED!$AN$3),CALCULES!$A46)&gt;0,1,0)</f>
        <v>0</v>
      </c>
      <c r="E46" s="112">
        <f>IF(COUNTIFS(_xlfn.ANCHORARRAY(DATA_CLEANED!$AF$3),CALCULES!E$2,_xlfn.ANCHORARRAY(DATA_CLEANED!$AK$3),CALCULES!$A46)+COUNTIFS(_xlfn.ANCHORARRAY(DATA_CLEANED!$AF$3),CALCULES!E$2,_xlfn.ANCHORARRAY(DATA_CLEANED!$AN$3),CALCULES!$A46)&gt;0,1,0)</f>
        <v>0</v>
      </c>
      <c r="F46" s="112">
        <f>IF(COUNTIFS(_xlfn.ANCHORARRAY(DATA_CLEANED!$AF$3),CALCULES!F$2,_xlfn.ANCHORARRAY(DATA_CLEANED!$AK$3),CALCULES!$A46)+COUNTIFS(_xlfn.ANCHORARRAY(DATA_CLEANED!$AF$3),CALCULES!F$2,_xlfn.ANCHORARRAY(DATA_CLEANED!$AN$3),CALCULES!$A46)&gt;0,1,0)</f>
        <v>0</v>
      </c>
      <c r="G46" s="112">
        <f>IF(COUNTIFS(_xlfn.ANCHORARRAY(DATA_CLEANED!$AF$3),CALCULES!G$2,_xlfn.ANCHORARRAY(DATA_CLEANED!$AK$3),CALCULES!$A46)+COUNTIFS(_xlfn.ANCHORARRAY(DATA_CLEANED!$AF$3),CALCULES!G$2,_xlfn.ANCHORARRAY(DATA_CLEANED!$AN$3),CALCULES!$A46)&gt;0,1,0)</f>
        <v>0</v>
      </c>
      <c r="H46" s="112">
        <f>IF(COUNTIFS(_xlfn.ANCHORARRAY(DATA_CLEANED!$AF$3),CALCULES!H$2,_xlfn.ANCHORARRAY(DATA_CLEANED!$AK$3),CALCULES!$A46)+COUNTIFS(_xlfn.ANCHORARRAY(DATA_CLEANED!$AF$3),CALCULES!H$2,_xlfn.ANCHORARRAY(DATA_CLEANED!$AN$3),CALCULES!$A46)&gt;0,1,0)</f>
        <v>0</v>
      </c>
      <c r="I46" s="112">
        <f>IF(COUNTIFS(_xlfn.ANCHORARRAY(DATA_CLEANED!$AF$3),CALCULES!I$2,_xlfn.ANCHORARRAY(DATA_CLEANED!$AK$3),CALCULES!$A46)+COUNTIFS(_xlfn.ANCHORARRAY(DATA_CLEANED!$AF$3),CALCULES!I$2,_xlfn.ANCHORARRAY(DATA_CLEANED!$AN$3),CALCULES!$A46)&gt;0,1,0)</f>
        <v>0</v>
      </c>
      <c r="J46" s="112">
        <f>IF(COUNTIFS(_xlfn.ANCHORARRAY(DATA_CLEANED!$AF$3),CALCULES!J$2,_xlfn.ANCHORARRAY(DATA_CLEANED!$AK$3),CALCULES!$A46)+COUNTIFS(_xlfn.ANCHORARRAY(DATA_CLEANED!$AF$3),CALCULES!J$2,_xlfn.ANCHORARRAY(DATA_CLEANED!$AN$3),CALCULES!$A46)&gt;0,1,0)</f>
        <v>1</v>
      </c>
      <c r="K46" s="112">
        <f>IF(COUNTIFS(_xlfn.ANCHORARRAY(DATA_CLEANED!$AF$3),CALCULES!K$2,_xlfn.ANCHORARRAY(DATA_CLEANED!$AK$3),CALCULES!$A46)+COUNTIFS(_xlfn.ANCHORARRAY(DATA_CLEANED!$AF$3),CALCULES!K$2,_xlfn.ANCHORARRAY(DATA_CLEANED!$AN$3),CALCULES!$A46)&gt;0,1,0)</f>
        <v>0</v>
      </c>
      <c r="L46" s="112">
        <f>IF(COUNTIFS(_xlfn.ANCHORARRAY(DATA_CLEANED!$AF$3),CALCULES!L$2,_xlfn.ANCHORARRAY(DATA_CLEANED!$AK$3),CALCULES!$A46)+COUNTIFS(_xlfn.ANCHORARRAY(DATA_CLEANED!$AF$3),CALCULES!L$2,_xlfn.ANCHORARRAY(DATA_CLEANED!$AN$3),CALCULES!$A46)&gt;0,1,0)</f>
        <v>0</v>
      </c>
      <c r="M46" s="112">
        <f>IF(COUNTIFS(_xlfn.ANCHORARRAY(DATA_CLEANED!$AF$3),CALCULES!M$2,_xlfn.ANCHORARRAY(DATA_CLEANED!$AK$3),CALCULES!$A46)+COUNTIFS(_xlfn.ANCHORARRAY(DATA_CLEANED!$AF$3),CALCULES!M$2,_xlfn.ANCHORARRAY(DATA_CLEANED!$AN$3),CALCULES!$A46)&gt;0,1,0)</f>
        <v>0</v>
      </c>
      <c r="N46" s="112">
        <f>IF(COUNTIFS(_xlfn.ANCHORARRAY(DATA_CLEANED!$AF$3),CALCULES!N$2,_xlfn.ANCHORARRAY(DATA_CLEANED!$AK$3),CALCULES!$A46)+COUNTIFS(_xlfn.ANCHORARRAY(DATA_CLEANED!$AF$3),CALCULES!N$2,_xlfn.ANCHORARRAY(DATA_CLEANED!$AN$3),CALCULES!$A46)&gt;0,1,0)</f>
        <v>0</v>
      </c>
      <c r="O46" s="112">
        <f>IF(COUNTIFS(_xlfn.ANCHORARRAY(DATA_CLEANED!$AF$3),CALCULES!O$2,_xlfn.ANCHORARRAY(DATA_CLEANED!$AK$3),CALCULES!$A46)+COUNTIFS(_xlfn.ANCHORARRAY(DATA_CLEANED!$AF$3),CALCULES!O$2,_xlfn.ANCHORARRAY(DATA_CLEANED!$AN$3),CALCULES!$A46)&gt;0,1,0)</f>
        <v>0</v>
      </c>
      <c r="P46" s="112">
        <f>IF(COUNTIFS(_xlfn.ANCHORARRAY(DATA_CLEANED!$AF$3),CALCULES!P$2,_xlfn.ANCHORARRAY(DATA_CLEANED!$AK$3),CALCULES!$A46)+COUNTIFS(_xlfn.ANCHORARRAY(DATA_CLEANED!$AF$3),CALCULES!P$2,_xlfn.ANCHORARRAY(DATA_CLEANED!$AN$3),CALCULES!$A46)&gt;0,1,0)</f>
        <v>0</v>
      </c>
      <c r="Q46" s="112">
        <f>IF(COUNTIFS(_xlfn.ANCHORARRAY(DATA_CLEANED!$AF$3),CALCULES!Q$2,_xlfn.ANCHORARRAY(DATA_CLEANED!$AK$3),CALCULES!$A46)+COUNTIFS(_xlfn.ANCHORARRAY(DATA_CLEANED!$AF$3),CALCULES!Q$2,_xlfn.ANCHORARRAY(DATA_CLEANED!$AN$3),CALCULES!$A46)&gt;0,1,0)</f>
        <v>0</v>
      </c>
      <c r="R46" s="112">
        <f>IF(COUNTIFS(_xlfn.ANCHORARRAY(DATA_CLEANED!$AF$3),CALCULES!R$2,_xlfn.ANCHORARRAY(DATA_CLEANED!$AK$3),CALCULES!$A46)+COUNTIFS(_xlfn.ANCHORARRAY(DATA_CLEANED!$AF$3),CALCULES!R$2,_xlfn.ANCHORARRAY(DATA_CLEANED!$AN$3),CALCULES!$A46)&gt;0,1,0)</f>
        <v>0</v>
      </c>
      <c r="S46" s="112">
        <f>IF(COUNTIFS(_xlfn.ANCHORARRAY(DATA_CLEANED!$AF$3),CALCULES!S$2,_xlfn.ANCHORARRAY(DATA_CLEANED!$AK$3),CALCULES!$A46)+COUNTIFS(_xlfn.ANCHORARRAY(DATA_CLEANED!$AF$3),CALCULES!S$2,_xlfn.ANCHORARRAY(DATA_CLEANED!$AN$3),CALCULES!$A46)&gt;0,1,0)</f>
        <v>0</v>
      </c>
      <c r="T46" s="112">
        <f>IF(COUNTIFS(_xlfn.ANCHORARRAY(DATA_CLEANED!$AF$3),CALCULES!T$2,_xlfn.ANCHORARRAY(DATA_CLEANED!$AK$3),CALCULES!$A46)+COUNTIFS(_xlfn.ANCHORARRAY(DATA_CLEANED!$AF$3),CALCULES!T$2,_xlfn.ANCHORARRAY(DATA_CLEANED!$AN$3),CALCULES!$A46)&gt;0,1,0)</f>
        <v>0</v>
      </c>
      <c r="U46" s="112">
        <f>IF(COUNTIFS(_xlfn.ANCHORARRAY(DATA_CLEANED!$AF$3),CALCULES!U$2,_xlfn.ANCHORARRAY(DATA_CLEANED!$AK$3),CALCULES!$A46)+COUNTIFS(_xlfn.ANCHORARRAY(DATA_CLEANED!$AF$3),CALCULES!U$2,_xlfn.ANCHORARRAY(DATA_CLEANED!$AN$3),CALCULES!$A46)&gt;0,1,0)</f>
        <v>0</v>
      </c>
      <c r="V46" s="112">
        <f>IF(COUNTIFS(_xlfn.ANCHORARRAY(DATA_CLEANED!$AF$3),CALCULES!V$2,_xlfn.ANCHORARRAY(DATA_CLEANED!$AK$3),CALCULES!$A46)+COUNTIFS(_xlfn.ANCHORARRAY(DATA_CLEANED!$AF$3),CALCULES!V$2,_xlfn.ANCHORARRAY(DATA_CLEANED!$AN$3),CALCULES!$A46)&gt;0,1,0)</f>
        <v>0</v>
      </c>
      <c r="W46" s="112">
        <f>IF(COUNTIFS(_xlfn.ANCHORARRAY(DATA_CLEANED!$AF$3),CALCULES!W$2,_xlfn.ANCHORARRAY(DATA_CLEANED!$AK$3),CALCULES!$A46)+COUNTIFS(_xlfn.ANCHORARRAY(DATA_CLEANED!$AF$3),CALCULES!W$2,_xlfn.ANCHORARRAY(DATA_CLEANED!$AN$3),CALCULES!$A46)&gt;0,1,0)</f>
        <v>0</v>
      </c>
      <c r="X46" s="112">
        <f>IF(COUNTIFS(_xlfn.ANCHORARRAY(DATA_CLEANED!$AF$3),CALCULES!X$2,_xlfn.ANCHORARRAY(DATA_CLEANED!$AK$3),CALCULES!$A46)+COUNTIFS(_xlfn.ANCHORARRAY(DATA_CLEANED!$AF$3),CALCULES!X$2,_xlfn.ANCHORARRAY(DATA_CLEANED!$AN$3),CALCULES!$A46)&gt;0,1,0)</f>
        <v>0</v>
      </c>
      <c r="Y46" s="113">
        <f t="shared" si="15"/>
        <v>1</v>
      </c>
      <c r="AA46" s="112">
        <f>COUNTIF(_xlfn.ANCHORARRAY(DATA_CLEANED!$AK$3),$A46)+COUNTIF(DATA_CLEANED!$AN$2:$AN$1060,$A46)</f>
        <v>3</v>
      </c>
      <c r="AB46" s="112">
        <f>COUNTIF(DATA_QUALITE!BG$12:BG$1069,A46)</f>
        <v>0</v>
      </c>
      <c r="AC46" s="112">
        <f t="shared" si="7"/>
        <v>3</v>
      </c>
      <c r="AD46" s="112" cm="1">
        <f t="array" ref="AD46">SUMPRODUCT((DATA_CLEANED!AL$3:AL$1060=DATA_CLEANED!AM$3:AM$1060)*(_xlfn.ANCHORARRAY(DATA_CLEANED!AK$3)=CALCULES!A46)*(DATA_CLEANED!AO$3:AO$1060&lt;&gt;"-"))
+
SUMPRODUCT((DATA_CLEANED!AL$3:AL$1060=DATA_CLEANED!AM$3:AM$1060)*(_xlfn.ANCHORARRAY(DATA_CLEANED!AN$3)=CALCULES!A46)*(DATA_CLEANED!AO$3:AO$1060&lt;&gt;"-"))</f>
        <v>0</v>
      </c>
      <c r="AE46" s="116">
        <f t="shared" si="16"/>
        <v>0</v>
      </c>
      <c r="AF46" s="116">
        <f t="shared" si="17"/>
        <v>1</v>
      </c>
      <c r="AG46" s="112">
        <f>SUMIF(_xlfn.ANCHORARRAY(DATA_CLEANED!AK$3),A46,DATA_CLEANED!AL$2:AL$1060)+SUMIF(_xlfn.ANCHORARRAY(DATA_CLEANED!AN$3),A46,DATA_CLEANED!AM$2:AM$1060)</f>
        <v>1</v>
      </c>
      <c r="AH46" s="112">
        <f>SUMIF(_xlfn.ANCHORARRAY(DATA_CLEANED!AK$3),A46,DATA_CLEANED!AM$2:AM$1060)+SUMIF(_xlfn.ANCHORARRAY(DATA_CLEANED!AN$3),A46,DATA_CLEANED!AL$2:AL$1060)</f>
        <v>6</v>
      </c>
      <c r="AI46" s="112">
        <f t="shared" si="8"/>
        <v>2</v>
      </c>
      <c r="AJ46" s="117" cm="1">
        <f t="array" ref="AJ46">_xlfn.LET(_xlpm.home,IFERROR(_xlfn._xlws.FILTER(DATA_CLEANED!AH$3:AH$1060,DATA_CLEANED!AK$3:AK$1060=CALCULES!A46),""),
_xlpm.away,IFERROR(_xlfn._xlws.FILTER(DATA_CLEANED!AH$3:AH$1060,DATA_CLEANED!AN$3:AN$1060=CALCULES!A46),""),
_xlpm.assemb_t,_xlfn._xlws.FILTER(_xlfn.VSTACK(_xlpm.home,_xlpm.away),_xlfn.VSTACK(_xlpm.home,_xlpm.away)&lt;&gt;""),
_xlpm.but_h,IFERROR(_xlfn._xlws.FILTER(_xlfn.ANCHORARRAY(DATA_CLEANED!AM$3),DATA_CLEANED!AK$3:AK$1060=CALCULES!A46),""),
_xlpm.but_a,IFERROR(_xlfn._xlws.FILTER(_xlfn.ANCHORARRAY(DATA_CLEANED!AL$3),DATA_CLEANED!AN$3:AN$1060=CALCULES!A46),""),
_xlpm.assemb_b,_xlfn._xlws.FILTER(_xlfn.VSTACK(_xlpm.but_h,_xlpm.but_a),_xlfn.VSTACK(_xlpm.but_h,_xlpm.but_a)&lt;&gt;""),
MEDIAN(_xlpm.assemb_t,_xlpm.assemb_b)
)</f>
        <v>1</v>
      </c>
      <c r="AK46" s="113">
        <f t="shared" si="18"/>
        <v>-5</v>
      </c>
      <c r="AL46" s="112" cm="1">
        <f t="array" ref="AL46">IFERROR(MEDIAN(_xlfn._xlws.FILTER(_xlfn.VSTACK(
DATA_CLEANED!AL$3:AL$1060-DATA_CLEANED!AM$3:AM$1060,
DATA_CLEANED!AM$3:AM$1060-DATA_CLEANED!AL$3:AL$1060
),_xlfn.VSTACK(DATA_CLEANED!AK$3:AK$1060,DATA_CLEANED!AN$3:AN$1060)=A46)),"-")</f>
        <v>0</v>
      </c>
      <c r="AM46" s="112">
        <f t="shared" si="9"/>
        <v>0.33</v>
      </c>
      <c r="AN46" s="112" cm="1">
        <f t="array" ref="AN46">_xlfn.LET(_xlpm.home,IFERROR(_xlfn._xlws.FILTER(DATA_CLEANED!AH$3:AH$1060,DATA_CLEANED!AK$3:AK$1060=CALCULES!A46),""),
_xlpm.away,IFERROR(_xlfn._xlws.FILTER(DATA_CLEANED!AH$3:AH$1060,DATA_CLEANED!AN$3:AN$1060=CALCULES!A46),""),
_xlpm.assemb_t,_xlfn._xlws.FILTER(_xlfn.VSTACK(_xlpm.home,_xlpm.away),_xlfn.VSTACK(_xlpm.home,_xlpm.away)&lt;&gt;""),
_xlpm.but_h,IFERROR(_xlfn._xlws.FILTER(_xlfn.ANCHORARRAY(DATA_CLEANED!AL$3),DATA_CLEANED!AK$3:AK$1060=CALCULES!A46),""),
_xlpm.but_a,IFERROR(_xlfn._xlws.FILTER(_xlfn.ANCHORARRAY(DATA_CLEANED!AM$3),DATA_CLEANED!AN$3:AN$1060=CALCULES!A46),""),
_xlpm.assemb_b,_xlfn._xlws.FILTER(_xlfn.VSTACK(_xlpm.but_h,_xlpm.but_a),_xlfn.VSTACK(_xlpm.but_h,_xlpm.but_a)&lt;&gt;""),
MEDIAN(_xlpm.assemb_t,_xlpm.assemb_b)
)</f>
        <v>0</v>
      </c>
      <c r="AO46" s="116">
        <f>ROUND(IFERROR((COUNTIFS(DATA_CLEANED!AK$3:AK$1060,A46,DATA_CLEANED!AM$3:AM$1060,0)
+
COUNTIFS(DATA_CLEANED!AN$3:AN$1060,A46,DATA_CLEANED!AL$3:AL$1060,0)
)/AA46,0),2)</f>
        <v>0.33</v>
      </c>
      <c r="AP46" s="112">
        <f>MAX((_xlfn.MAXIFS(_xlfn.ANCHORARRAY(DATA_CLEANED!AL$3),_xlfn.ANCHORARRAY(DATA_CLEANED!AK$3),A46)),(_xlfn.MAXIFS(DATA_CLEANED!AM$3:AM$1060,_xlfn.ANCHORARRAY(DATA_CLEANED!AN$3),A46)))</f>
        <v>1</v>
      </c>
      <c r="AQ46" s="112">
        <f>COUNTIF(_xlfn.ANCHORARRAY(DATA_CLEANED!K$3),A46)</f>
        <v>0</v>
      </c>
      <c r="AR46" s="113" t="str" cm="1">
        <f t="array" ref="AR46">_xlfn.LET(
_xlpm.home,IFERROR(_xlfn._xlws.FILTER(DATA_CLEANED!AH$3:AH$1060,DATA_CLEANED!AK$3:AK$1060=CALCULES!A46),""),
_xlpm.away,IFERROR(_xlfn._xlws.FILTER(DATA_CLEANED!AH$3:AH$1060,DATA_CLEANED!AN$3:AN$1060=CALCULES!A46),""),
_xlpm.etapes,_xlfn._xlws.FILTER(_xlfn.VSTACK(_xlpm.home,_xlpm.away),_xlfn.VSTACK(_xlpm.home,_xlpm.away)&lt;&gt;""),
_xlpm.numeros,_xlfn.XLOOKUP(_xlpm.etapes,DATA_QUALITE!AT$12:AT$38,DATA_QUALITE!AU$12:AU$38),
_xlfn.XLOOKUP(MIN(_xlpm.numeros),DATA_QUALITE!AU$12:AU$38,DATA_QUALITE!AT$12:AT$38)
)</f>
        <v>GROUP_STAGE</v>
      </c>
      <c r="AS46" s="112">
        <f t="shared" si="19"/>
        <v>1</v>
      </c>
      <c r="AT46" s="112">
        <f t="shared" si="20"/>
        <v>0</v>
      </c>
      <c r="AU46" s="112">
        <f>COUNTIFS(DATA_QUALITE!BG$12:BG$1069,"MATCH NUL",_xlfn.ANCHORARRAY(DATA_CLEANED!AK$3),CALCULES!A46)+COUNTIFS(DATA_QUALITE!BG$12:BG$1069,"MATCH NUL",_xlfn.ANCHORARRAY(DATA_CLEANED!AN$3),CALCULES!A46)</f>
        <v>2</v>
      </c>
      <c r="AV46" s="112">
        <v>1</v>
      </c>
      <c r="AW46" s="112">
        <f>COUNTIFS(_xlfn.ANCHORARRAY(DATA_CLEANED!AH$3),"QUARTER_FINALS",_xlfn.ANCHORARRAY(DATA_CLEANED!AK$3),CALCULES!A46)+COUNTIFS(_xlfn.ANCHORARRAY(DATA_CLEANED!AH$3),"QUARTER_FINALS",_xlfn.ANCHORARRAY(DATA_CLEANED!AN$3),CALCULES!A46)</f>
        <v>0</v>
      </c>
      <c r="AX46" s="112">
        <f>COUNTIFS(_xlfn.ANCHORARRAY(DATA_CLEANED!AH$3),"SEMI_FINALS",_xlfn.ANCHORARRAY(DATA_CLEANED!AK$3),CALCULES!A46)+COUNTIFS(_xlfn.ANCHORARRAY(DATA_CLEANED!AH$3),"SEMI_FINALS",_xlfn.ANCHORARRAY(DATA_CLEANED!AN$3),CALCULES!A46)</f>
        <v>0</v>
      </c>
      <c r="AY46" s="112">
        <f>COUNTIFS(_xlfn.ANCHORARRAY(DATA_CLEANED!AH$3),"FINAL",_xlfn.ANCHORARRAY(DATA_CLEANED!AK$3),CALCULES!A46)+COUNTIFS(_xlfn.ANCHORARRAY(DATA_CLEANED!AH$3),"FINAL",_xlfn.ANCHORARRAY(DATA_CLEANED!AN$3),CALCULES!A46)</f>
        <v>0</v>
      </c>
      <c r="AZ46" s="112">
        <f>COUNTIFS(DATA_QUALITE!BG$12:BG$1069,CALCULES!A46,DATA_QUALITE!AW$12:AW$1069,"FINAL")</f>
        <v>0</v>
      </c>
      <c r="BA46" s="113">
        <f t="shared" si="21"/>
        <v>16.57</v>
      </c>
      <c r="BB46" s="118">
        <f t="shared" si="10"/>
        <v>0</v>
      </c>
      <c r="BC46" s="118">
        <f t="shared" si="11"/>
        <v>0</v>
      </c>
      <c r="BD46" s="139">
        <f t="shared" si="12"/>
        <v>0</v>
      </c>
      <c r="BH46" s="167"/>
      <c r="BI46" s="167"/>
      <c r="BJ46" s="167"/>
      <c r="BK46" s="167"/>
      <c r="BL46" s="173">
        <f>INT((ROWS($BL$15:BL46)-1)/9)</f>
        <v>3</v>
      </c>
      <c r="BM46" s="173">
        <f>MOD(ROWS($BM$15:BM46)-1,9)</f>
        <v>4</v>
      </c>
      <c r="BN46" s="173">
        <f t="shared" si="14"/>
        <v>2.9515632888749916E-3</v>
      </c>
      <c r="BO46" s="167"/>
      <c r="BP46" s="167"/>
    </row>
    <row r="47" spans="1:68">
      <c r="A47" s="113" t="str">
        <v>Italy</v>
      </c>
      <c r="B47" s="112">
        <f>IF(COUNTIFS(_xlfn.ANCHORARRAY(DATA_CLEANED!$AF$3),CALCULES!B$2,_xlfn.ANCHORARRAY(DATA_CLEANED!$AK$3),CALCULES!$A47)+COUNTIFS(_xlfn.ANCHORARRAY(DATA_CLEANED!$AF$3),CALCULES!B$2,_xlfn.ANCHORARRAY(DATA_CLEANED!$AN$3),CALCULES!$A47)&gt;0,1,0)</f>
        <v>0</v>
      </c>
      <c r="C47" s="112">
        <f>IF(COUNTIFS(_xlfn.ANCHORARRAY(DATA_CLEANED!$AF$3),CALCULES!C$2,_xlfn.ANCHORARRAY(DATA_CLEANED!$AK$3),CALCULES!$A47)+COUNTIFS(_xlfn.ANCHORARRAY(DATA_CLEANED!$AF$3),CALCULES!C$2,_xlfn.ANCHORARRAY(DATA_CLEANED!$AN$3),CALCULES!$A47)&gt;0,1,0)</f>
        <v>1</v>
      </c>
      <c r="D47" s="112">
        <f>IF(COUNTIFS(_xlfn.ANCHORARRAY(DATA_CLEANED!$AF$3),CALCULES!D$2,_xlfn.ANCHORARRAY(DATA_CLEANED!$AK$3),CALCULES!$A47)+COUNTIFS(_xlfn.ANCHORARRAY(DATA_CLEANED!$AF$3),CALCULES!D$2,_xlfn.ANCHORARRAY(DATA_CLEANED!$AN$3),CALCULES!$A47)&gt;0,1,0)</f>
        <v>1</v>
      </c>
      <c r="E47" s="112">
        <f>IF(COUNTIFS(_xlfn.ANCHORARRAY(DATA_CLEANED!$AF$3),CALCULES!E$2,_xlfn.ANCHORARRAY(DATA_CLEANED!$AK$3),CALCULES!$A47)+COUNTIFS(_xlfn.ANCHORARRAY(DATA_CLEANED!$AF$3),CALCULES!E$2,_xlfn.ANCHORARRAY(DATA_CLEANED!$AN$3),CALCULES!$A47)&gt;0,1,0)</f>
        <v>1</v>
      </c>
      <c r="F47" s="112">
        <f>IF(COUNTIFS(_xlfn.ANCHORARRAY(DATA_CLEANED!$AF$3),CALCULES!F$2,_xlfn.ANCHORARRAY(DATA_CLEANED!$AK$3),CALCULES!$A47)+COUNTIFS(_xlfn.ANCHORARRAY(DATA_CLEANED!$AF$3),CALCULES!F$2,_xlfn.ANCHORARRAY(DATA_CLEANED!$AN$3),CALCULES!$A47)&gt;0,1,0)</f>
        <v>1</v>
      </c>
      <c r="G47" s="112">
        <f>IF(COUNTIFS(_xlfn.ANCHORARRAY(DATA_CLEANED!$AF$3),CALCULES!G$2,_xlfn.ANCHORARRAY(DATA_CLEANED!$AK$3),CALCULES!$A47)+COUNTIFS(_xlfn.ANCHORARRAY(DATA_CLEANED!$AF$3),CALCULES!G$2,_xlfn.ANCHORARRAY(DATA_CLEANED!$AN$3),CALCULES!$A47)&gt;0,1,0)</f>
        <v>0</v>
      </c>
      <c r="H47" s="112">
        <f>IF(COUNTIFS(_xlfn.ANCHORARRAY(DATA_CLEANED!$AF$3),CALCULES!H$2,_xlfn.ANCHORARRAY(DATA_CLEANED!$AK$3),CALCULES!$A47)+COUNTIFS(_xlfn.ANCHORARRAY(DATA_CLEANED!$AF$3),CALCULES!H$2,_xlfn.ANCHORARRAY(DATA_CLEANED!$AN$3),CALCULES!$A47)&gt;0,1,0)</f>
        <v>1</v>
      </c>
      <c r="I47" s="112">
        <f>IF(COUNTIFS(_xlfn.ANCHORARRAY(DATA_CLEANED!$AF$3),CALCULES!I$2,_xlfn.ANCHORARRAY(DATA_CLEANED!$AK$3),CALCULES!$A47)+COUNTIFS(_xlfn.ANCHORARRAY(DATA_CLEANED!$AF$3),CALCULES!I$2,_xlfn.ANCHORARRAY(DATA_CLEANED!$AN$3),CALCULES!$A47)&gt;0,1,0)</f>
        <v>1</v>
      </c>
      <c r="J47" s="112">
        <f>IF(COUNTIFS(_xlfn.ANCHORARRAY(DATA_CLEANED!$AF$3),CALCULES!J$2,_xlfn.ANCHORARRAY(DATA_CLEANED!$AK$3),CALCULES!$A47)+COUNTIFS(_xlfn.ANCHORARRAY(DATA_CLEANED!$AF$3),CALCULES!J$2,_xlfn.ANCHORARRAY(DATA_CLEANED!$AN$3),CALCULES!$A47)&gt;0,1,0)</f>
        <v>1</v>
      </c>
      <c r="K47" s="112">
        <f>IF(COUNTIFS(_xlfn.ANCHORARRAY(DATA_CLEANED!$AF$3),CALCULES!K$2,_xlfn.ANCHORARRAY(DATA_CLEANED!$AK$3),CALCULES!$A47)+COUNTIFS(_xlfn.ANCHORARRAY(DATA_CLEANED!$AF$3),CALCULES!K$2,_xlfn.ANCHORARRAY(DATA_CLEANED!$AN$3),CALCULES!$A47)&gt;0,1,0)</f>
        <v>1</v>
      </c>
      <c r="L47" s="112">
        <f>IF(COUNTIFS(_xlfn.ANCHORARRAY(DATA_CLEANED!$AF$3),CALCULES!L$2,_xlfn.ANCHORARRAY(DATA_CLEANED!$AK$3),CALCULES!$A47)+COUNTIFS(_xlfn.ANCHORARRAY(DATA_CLEANED!$AF$3),CALCULES!L$2,_xlfn.ANCHORARRAY(DATA_CLEANED!$AN$3),CALCULES!$A47)&gt;0,1,0)</f>
        <v>1</v>
      </c>
      <c r="M47" s="112">
        <f>IF(COUNTIFS(_xlfn.ANCHORARRAY(DATA_CLEANED!$AF$3),CALCULES!M$2,_xlfn.ANCHORARRAY(DATA_CLEANED!$AK$3),CALCULES!$A47)+COUNTIFS(_xlfn.ANCHORARRAY(DATA_CLEANED!$AF$3),CALCULES!M$2,_xlfn.ANCHORARRAY(DATA_CLEANED!$AN$3),CALCULES!$A47)&gt;0,1,0)</f>
        <v>1</v>
      </c>
      <c r="N47" s="112">
        <f>IF(COUNTIFS(_xlfn.ANCHORARRAY(DATA_CLEANED!$AF$3),CALCULES!N$2,_xlfn.ANCHORARRAY(DATA_CLEANED!$AK$3),CALCULES!$A47)+COUNTIFS(_xlfn.ANCHORARRAY(DATA_CLEANED!$AF$3),CALCULES!N$2,_xlfn.ANCHORARRAY(DATA_CLEANED!$AN$3),CALCULES!$A47)&gt;0,1,0)</f>
        <v>1</v>
      </c>
      <c r="O47" s="112">
        <f>IF(COUNTIFS(_xlfn.ANCHORARRAY(DATA_CLEANED!$AF$3),CALCULES!O$2,_xlfn.ANCHORARRAY(DATA_CLEANED!$AK$3),CALCULES!$A47)+COUNTIFS(_xlfn.ANCHORARRAY(DATA_CLEANED!$AF$3),CALCULES!O$2,_xlfn.ANCHORARRAY(DATA_CLEANED!$AN$3),CALCULES!$A47)&gt;0,1,0)</f>
        <v>1</v>
      </c>
      <c r="P47" s="112">
        <f>IF(COUNTIFS(_xlfn.ANCHORARRAY(DATA_CLEANED!$AF$3),CALCULES!P$2,_xlfn.ANCHORARRAY(DATA_CLEANED!$AK$3),CALCULES!$A47)+COUNTIFS(_xlfn.ANCHORARRAY(DATA_CLEANED!$AF$3),CALCULES!P$2,_xlfn.ANCHORARRAY(DATA_CLEANED!$AN$3),CALCULES!$A47)&gt;0,1,0)</f>
        <v>1</v>
      </c>
      <c r="Q47" s="112">
        <f>IF(COUNTIFS(_xlfn.ANCHORARRAY(DATA_CLEANED!$AF$3),CALCULES!Q$2,_xlfn.ANCHORARRAY(DATA_CLEANED!$AK$3),CALCULES!$A47)+COUNTIFS(_xlfn.ANCHORARRAY(DATA_CLEANED!$AF$3),CALCULES!Q$2,_xlfn.ANCHORARRAY(DATA_CLEANED!$AN$3),CALCULES!$A47)&gt;0,1,0)</f>
        <v>1</v>
      </c>
      <c r="R47" s="112">
        <f>IF(COUNTIFS(_xlfn.ANCHORARRAY(DATA_CLEANED!$AF$3),CALCULES!R$2,_xlfn.ANCHORARRAY(DATA_CLEANED!$AK$3),CALCULES!$A47)+COUNTIFS(_xlfn.ANCHORARRAY(DATA_CLEANED!$AF$3),CALCULES!R$2,_xlfn.ANCHORARRAY(DATA_CLEANED!$AN$3),CALCULES!$A47)&gt;0,1,0)</f>
        <v>1</v>
      </c>
      <c r="S47" s="112">
        <f>IF(COUNTIFS(_xlfn.ANCHORARRAY(DATA_CLEANED!$AF$3),CALCULES!S$2,_xlfn.ANCHORARRAY(DATA_CLEANED!$AK$3),CALCULES!$A47)+COUNTIFS(_xlfn.ANCHORARRAY(DATA_CLEANED!$AF$3),CALCULES!S$2,_xlfn.ANCHORARRAY(DATA_CLEANED!$AN$3),CALCULES!$A47)&gt;0,1,0)</f>
        <v>1</v>
      </c>
      <c r="T47" s="112">
        <f>IF(COUNTIFS(_xlfn.ANCHORARRAY(DATA_CLEANED!$AF$3),CALCULES!T$2,_xlfn.ANCHORARRAY(DATA_CLEANED!$AK$3),CALCULES!$A47)+COUNTIFS(_xlfn.ANCHORARRAY(DATA_CLEANED!$AF$3),CALCULES!T$2,_xlfn.ANCHORARRAY(DATA_CLEANED!$AN$3),CALCULES!$A47)&gt;0,1,0)</f>
        <v>1</v>
      </c>
      <c r="U47" s="112">
        <f>IF(COUNTIFS(_xlfn.ANCHORARRAY(DATA_CLEANED!$AF$3),CALCULES!U$2,_xlfn.ANCHORARRAY(DATA_CLEANED!$AK$3),CALCULES!$A47)+COUNTIFS(_xlfn.ANCHORARRAY(DATA_CLEANED!$AF$3),CALCULES!U$2,_xlfn.ANCHORARRAY(DATA_CLEANED!$AN$3),CALCULES!$A47)&gt;0,1,0)</f>
        <v>1</v>
      </c>
      <c r="V47" s="112">
        <f>IF(COUNTIFS(_xlfn.ANCHORARRAY(DATA_CLEANED!$AF$3),CALCULES!V$2,_xlfn.ANCHORARRAY(DATA_CLEANED!$AK$3),CALCULES!$A47)+COUNTIFS(_xlfn.ANCHORARRAY(DATA_CLEANED!$AF$3),CALCULES!V$2,_xlfn.ANCHORARRAY(DATA_CLEANED!$AN$3),CALCULES!$A47)&gt;0,1,0)</f>
        <v>0</v>
      </c>
      <c r="W47" s="112">
        <f>IF(COUNTIFS(_xlfn.ANCHORARRAY(DATA_CLEANED!$AF$3),CALCULES!W$2,_xlfn.ANCHORARRAY(DATA_CLEANED!$AK$3),CALCULES!$A47)+COUNTIFS(_xlfn.ANCHORARRAY(DATA_CLEANED!$AF$3),CALCULES!W$2,_xlfn.ANCHORARRAY(DATA_CLEANED!$AN$3),CALCULES!$A47)&gt;0,1,0)</f>
        <v>0</v>
      </c>
      <c r="X47" s="112">
        <f>IF(COUNTIFS(_xlfn.ANCHORARRAY(DATA_CLEANED!$AF$3),CALCULES!X$2,_xlfn.ANCHORARRAY(DATA_CLEANED!$AK$3),CALCULES!$A47)+COUNTIFS(_xlfn.ANCHORARRAY(DATA_CLEANED!$AF$3),CALCULES!X$2,_xlfn.ANCHORARRAY(DATA_CLEANED!$AN$3),CALCULES!$A47)&gt;0,1,0)</f>
        <v>0</v>
      </c>
      <c r="Y47" s="113">
        <f t="shared" si="15"/>
        <v>18</v>
      </c>
      <c r="AA47" s="112">
        <f>COUNTIF(_xlfn.ANCHORARRAY(DATA_CLEANED!$AK$3),$A47)+COUNTIF(DATA_CLEANED!$AN$2:$AN$1060,$A47)</f>
        <v>83</v>
      </c>
      <c r="AB47" s="112">
        <f>COUNTIF(DATA_QUALITE!BG$12:BG$1069,A47)</f>
        <v>46</v>
      </c>
      <c r="AC47" s="112">
        <f t="shared" si="7"/>
        <v>33</v>
      </c>
      <c r="AD47" s="112" cm="1">
        <f t="array" ref="AD47">SUMPRODUCT((DATA_CLEANED!AL$3:AL$1060=DATA_CLEANED!AM$3:AM$1060)*(_xlfn.ANCHORARRAY(DATA_CLEANED!AK$3)=CALCULES!A47)*(DATA_CLEANED!AO$3:AO$1060&lt;&gt;"-"))
+
SUMPRODUCT((DATA_CLEANED!AL$3:AL$1060=DATA_CLEANED!AM$3:AM$1060)*(_xlfn.ANCHORARRAY(DATA_CLEANED!AN$3)=CALCULES!A47)*(DATA_CLEANED!AO$3:AO$1060&lt;&gt;"-"))</f>
        <v>4</v>
      </c>
      <c r="AE47" s="116">
        <f t="shared" si="16"/>
        <v>0.55421686746987953</v>
      </c>
      <c r="AF47" s="116">
        <f t="shared" si="17"/>
        <v>0.39759036144578314</v>
      </c>
      <c r="AG47" s="112">
        <f>SUMIF(_xlfn.ANCHORARRAY(DATA_CLEANED!AK$3),A47,DATA_CLEANED!AL$2:AL$1060)+SUMIF(_xlfn.ANCHORARRAY(DATA_CLEANED!AN$3),A47,DATA_CLEANED!AM$2:AM$1060)</f>
        <v>124</v>
      </c>
      <c r="AH47" s="112">
        <f>SUMIF(_xlfn.ANCHORARRAY(DATA_CLEANED!AK$3),A47,DATA_CLEANED!AM$2:AM$1060)+SUMIF(_xlfn.ANCHORARRAY(DATA_CLEANED!AN$3),A47,DATA_CLEANED!AL$2:AL$1060)</f>
        <v>107</v>
      </c>
      <c r="AI47" s="112">
        <f t="shared" si="8"/>
        <v>1.29</v>
      </c>
      <c r="AJ47" s="117" cm="1">
        <f t="array" ref="AJ47">_xlfn.LET(_xlpm.home,IFERROR(_xlfn._xlws.FILTER(DATA_CLEANED!AH$3:AH$1060,DATA_CLEANED!AK$3:AK$1060=CALCULES!A47),""),
_xlpm.away,IFERROR(_xlfn._xlws.FILTER(DATA_CLEANED!AH$3:AH$1060,DATA_CLEANED!AN$3:AN$1060=CALCULES!A47),""),
_xlpm.assemb_t,_xlfn._xlws.FILTER(_xlfn.VSTACK(_xlpm.home,_xlpm.away),_xlfn.VSTACK(_xlpm.home,_xlpm.away)&lt;&gt;""),
_xlpm.but_h,IFERROR(_xlfn._xlws.FILTER(_xlfn.ANCHORARRAY(DATA_CLEANED!AM$3),DATA_CLEANED!AK$3:AK$1060=CALCULES!A47),""),
_xlpm.but_a,IFERROR(_xlfn._xlws.FILTER(_xlfn.ANCHORARRAY(DATA_CLEANED!AL$3),DATA_CLEANED!AN$3:AN$1060=CALCULES!A47),""),
_xlpm.assemb_b,_xlfn._xlws.FILTER(_xlfn.VSTACK(_xlpm.but_h,_xlpm.but_a),_xlfn.VSTACK(_xlpm.but_h,_xlpm.but_a)&lt;&gt;""),
MEDIAN(_xlpm.assemb_t,_xlpm.assemb_b)
)</f>
        <v>1</v>
      </c>
      <c r="AK47" s="113">
        <f t="shared" si="18"/>
        <v>17</v>
      </c>
      <c r="AL47" s="112" cm="1">
        <f t="array" ref="AL47">IFERROR(MEDIAN(_xlfn._xlws.FILTER(_xlfn.VSTACK(
DATA_CLEANED!AL$3:AL$1060-DATA_CLEANED!AM$3:AM$1060,
DATA_CLEANED!AM$3:AM$1060-DATA_CLEANED!AL$3:AL$1060
),_xlfn.VSTACK(DATA_CLEANED!AK$3:AK$1060,DATA_CLEANED!AN$3:AN$1060)=A47)),"-")</f>
        <v>1</v>
      </c>
      <c r="AM47" s="112">
        <f t="shared" si="9"/>
        <v>1.49</v>
      </c>
      <c r="AN47" s="112" cm="1">
        <f t="array" ref="AN47">_xlfn.LET(_xlpm.home,IFERROR(_xlfn._xlws.FILTER(DATA_CLEANED!AH$3:AH$1060,DATA_CLEANED!AK$3:AK$1060=CALCULES!A47),""),
_xlpm.away,IFERROR(_xlfn._xlws.FILTER(DATA_CLEANED!AH$3:AH$1060,DATA_CLEANED!AN$3:AN$1060=CALCULES!A47),""),
_xlpm.assemb_t,_xlfn._xlws.FILTER(_xlfn.VSTACK(_xlpm.home,_xlpm.away),_xlfn.VSTACK(_xlpm.home,_xlpm.away)&lt;&gt;""),
_xlpm.but_h,IFERROR(_xlfn._xlws.FILTER(_xlfn.ANCHORARRAY(DATA_CLEANED!AL$3),DATA_CLEANED!AK$3:AK$1060=CALCULES!A47),""),
_xlpm.but_a,IFERROR(_xlfn._xlws.FILTER(_xlfn.ANCHORARRAY(DATA_CLEANED!AM$3),DATA_CLEANED!AN$3:AN$1060=CALCULES!A47),""),
_xlpm.assemb_b,_xlfn._xlws.FILTER(_xlfn.VSTACK(_xlpm.but_h,_xlpm.but_a),_xlfn.VSTACK(_xlpm.but_h,_xlpm.but_a)&lt;&gt;""),
MEDIAN(_xlpm.assemb_t,_xlpm.assemb_b)
)</f>
        <v>1</v>
      </c>
      <c r="AO47" s="116">
        <f>ROUND(IFERROR((COUNTIFS(DATA_CLEANED!AK$3:AK$1060,A47,DATA_CLEANED!AM$3:AM$1060,0)
+
COUNTIFS(DATA_CLEANED!AN$3:AN$1060,A47,DATA_CLEANED!AL$3:AL$1060,0)
)/AA47,0),2)</f>
        <v>0.36</v>
      </c>
      <c r="AP47" s="112">
        <f>MAX((_xlfn.MAXIFS(_xlfn.ANCHORARRAY(DATA_CLEANED!AL$3),_xlfn.ANCHORARRAY(DATA_CLEANED!AK$3),A47)),(_xlfn.MAXIFS(DATA_CLEANED!AM$3:AM$1060,_xlfn.ANCHORARRAY(DATA_CLEANED!AN$3),A47)))</f>
        <v>7</v>
      </c>
      <c r="AQ47" s="112">
        <f>COUNTIF(_xlfn.ANCHORARRAY(DATA_CLEANED!K$3),A47)</f>
        <v>20</v>
      </c>
      <c r="AR47" s="113" t="str" cm="1">
        <f t="array" ref="AR47">_xlfn.LET(
_xlpm.home,IFERROR(_xlfn._xlws.FILTER(DATA_CLEANED!AH$3:AH$1060,DATA_CLEANED!AK$3:AK$1060=CALCULES!A47),""),
_xlpm.away,IFERROR(_xlfn._xlws.FILTER(DATA_CLEANED!AH$3:AH$1060,DATA_CLEANED!AN$3:AN$1060=CALCULES!A47),""),
_xlpm.etapes,_xlfn._xlws.FILTER(_xlfn.VSTACK(_xlpm.home,_xlpm.away),_xlfn.VSTACK(_xlpm.home,_xlpm.away)&lt;&gt;""),
_xlpm.numeros,_xlfn.XLOOKUP(_xlpm.etapes,DATA_QUALITE!AT$12:AT$38,DATA_QUALITE!AU$12:AU$38),
_xlfn.XLOOKUP(MIN(_xlpm.numeros),DATA_QUALITE!AU$12:AU$38,DATA_QUALITE!AT$12:AT$38)
)</f>
        <v>FINAL</v>
      </c>
      <c r="AS47" s="112">
        <f t="shared" si="19"/>
        <v>18</v>
      </c>
      <c r="AT47" s="112">
        <f t="shared" si="20"/>
        <v>46</v>
      </c>
      <c r="AU47" s="112">
        <f>COUNTIFS(DATA_QUALITE!BG$12:BG$1069,"MATCH NUL",_xlfn.ANCHORARRAY(DATA_CLEANED!AK$3),CALCULES!A47)+COUNTIFS(DATA_QUALITE!BG$12:BG$1069,"MATCH NUL",_xlfn.ANCHORARRAY(DATA_CLEANED!AN$3),CALCULES!A47)</f>
        <v>17</v>
      </c>
      <c r="AV47" s="112">
        <v>124</v>
      </c>
      <c r="AW47" s="112">
        <f>COUNTIFS(_xlfn.ANCHORARRAY(DATA_CLEANED!AH$3),"QUARTER_FINALS",_xlfn.ANCHORARRAY(DATA_CLEANED!AK$3),CALCULES!A47)+COUNTIFS(_xlfn.ANCHORARRAY(DATA_CLEANED!AH$3),"QUARTER_FINALS",_xlfn.ANCHORARRAY(DATA_CLEANED!AN$3),CALCULES!A47)</f>
        <v>8</v>
      </c>
      <c r="AX47" s="112">
        <f>COUNTIFS(_xlfn.ANCHORARRAY(DATA_CLEANED!AH$3),"SEMI_FINALS",_xlfn.ANCHORARRAY(DATA_CLEANED!AK$3),CALCULES!A47)+COUNTIFS(_xlfn.ANCHORARRAY(DATA_CLEANED!AH$3),"SEMI_FINALS",_xlfn.ANCHORARRAY(DATA_CLEANED!AN$3),CALCULES!A47)</f>
        <v>7</v>
      </c>
      <c r="AY47" s="112">
        <f>COUNTIFS(_xlfn.ANCHORARRAY(DATA_CLEANED!AH$3),"FINAL",_xlfn.ANCHORARRAY(DATA_CLEANED!AK$3),CALCULES!A47)+COUNTIFS(_xlfn.ANCHORARRAY(DATA_CLEANED!AH$3),"FINAL",_xlfn.ANCHORARRAY(DATA_CLEANED!AN$3),CALCULES!A47)</f>
        <v>6</v>
      </c>
      <c r="AZ47" s="112">
        <f>COUNTIFS(DATA_QUALITE!BG$12:BG$1069,CALCULES!A47,DATA_QUALITE!AW$12:AW$1069,"FINAL")</f>
        <v>4</v>
      </c>
      <c r="BA47" s="113">
        <f t="shared" si="21"/>
        <v>46.88</v>
      </c>
      <c r="BB47" s="118">
        <f t="shared" si="10"/>
        <v>38.11</v>
      </c>
      <c r="BC47" s="118">
        <f t="shared" si="11"/>
        <v>38.5</v>
      </c>
      <c r="BD47" s="139">
        <f t="shared" si="12"/>
        <v>38.31</v>
      </c>
      <c r="BH47" s="167"/>
      <c r="BI47" s="167"/>
      <c r="BJ47" s="167"/>
      <c r="BK47" s="167"/>
      <c r="BL47" s="173">
        <f>INT((ROWS($BL$15:BL47)-1)/9)</f>
        <v>3</v>
      </c>
      <c r="BM47" s="173">
        <f>MOD(ROWS($BM$15:BM47)-1,9)</f>
        <v>5</v>
      </c>
      <c r="BN47" s="173">
        <f t="shared" ref="BN47:BN78" si="22">_xlfn.POISSON.DIST(BL47,$BG$40,FALSE)*_xlfn.POISSON.DIST(BM47,$BG$41,FALSE)</f>
        <v>6.6111198185225589E-4</v>
      </c>
      <c r="BO47" s="167"/>
      <c r="BP47" s="167"/>
    </row>
    <row r="48" spans="1:68">
      <c r="A48" s="113" t="str">
        <v>Jamaica</v>
      </c>
      <c r="B48" s="112">
        <f>IF(COUNTIFS(_xlfn.ANCHORARRAY(DATA_CLEANED!$AF$3),CALCULES!B$2,_xlfn.ANCHORARRAY(DATA_CLEANED!$AK$3),CALCULES!$A48)+COUNTIFS(_xlfn.ANCHORARRAY(DATA_CLEANED!$AF$3),CALCULES!B$2,_xlfn.ANCHORARRAY(DATA_CLEANED!$AN$3),CALCULES!$A48)&gt;0,1,0)</f>
        <v>0</v>
      </c>
      <c r="C48" s="112">
        <f>IF(COUNTIFS(_xlfn.ANCHORARRAY(DATA_CLEANED!$AF$3),CALCULES!C$2,_xlfn.ANCHORARRAY(DATA_CLEANED!$AK$3),CALCULES!$A48)+COUNTIFS(_xlfn.ANCHORARRAY(DATA_CLEANED!$AF$3),CALCULES!C$2,_xlfn.ANCHORARRAY(DATA_CLEANED!$AN$3),CALCULES!$A48)&gt;0,1,0)</f>
        <v>0</v>
      </c>
      <c r="D48" s="112">
        <f>IF(COUNTIFS(_xlfn.ANCHORARRAY(DATA_CLEANED!$AF$3),CALCULES!D$2,_xlfn.ANCHORARRAY(DATA_CLEANED!$AK$3),CALCULES!$A48)+COUNTIFS(_xlfn.ANCHORARRAY(DATA_CLEANED!$AF$3),CALCULES!D$2,_xlfn.ANCHORARRAY(DATA_CLEANED!$AN$3),CALCULES!$A48)&gt;0,1,0)</f>
        <v>0</v>
      </c>
      <c r="E48" s="112">
        <f>IF(COUNTIFS(_xlfn.ANCHORARRAY(DATA_CLEANED!$AF$3),CALCULES!E$2,_xlfn.ANCHORARRAY(DATA_CLEANED!$AK$3),CALCULES!$A48)+COUNTIFS(_xlfn.ANCHORARRAY(DATA_CLEANED!$AF$3),CALCULES!E$2,_xlfn.ANCHORARRAY(DATA_CLEANED!$AN$3),CALCULES!$A48)&gt;0,1,0)</f>
        <v>0</v>
      </c>
      <c r="F48" s="112">
        <f>IF(COUNTIFS(_xlfn.ANCHORARRAY(DATA_CLEANED!$AF$3),CALCULES!F$2,_xlfn.ANCHORARRAY(DATA_CLEANED!$AK$3),CALCULES!$A48)+COUNTIFS(_xlfn.ANCHORARRAY(DATA_CLEANED!$AF$3),CALCULES!F$2,_xlfn.ANCHORARRAY(DATA_CLEANED!$AN$3),CALCULES!$A48)&gt;0,1,0)</f>
        <v>0</v>
      </c>
      <c r="G48" s="112">
        <f>IF(COUNTIFS(_xlfn.ANCHORARRAY(DATA_CLEANED!$AF$3),CALCULES!G$2,_xlfn.ANCHORARRAY(DATA_CLEANED!$AK$3),CALCULES!$A48)+COUNTIFS(_xlfn.ANCHORARRAY(DATA_CLEANED!$AF$3),CALCULES!G$2,_xlfn.ANCHORARRAY(DATA_CLEANED!$AN$3),CALCULES!$A48)&gt;0,1,0)</f>
        <v>0</v>
      </c>
      <c r="H48" s="112">
        <f>IF(COUNTIFS(_xlfn.ANCHORARRAY(DATA_CLEANED!$AF$3),CALCULES!H$2,_xlfn.ANCHORARRAY(DATA_CLEANED!$AK$3),CALCULES!$A48)+COUNTIFS(_xlfn.ANCHORARRAY(DATA_CLEANED!$AF$3),CALCULES!H$2,_xlfn.ANCHORARRAY(DATA_CLEANED!$AN$3),CALCULES!$A48)&gt;0,1,0)</f>
        <v>0</v>
      </c>
      <c r="I48" s="112">
        <f>IF(COUNTIFS(_xlfn.ANCHORARRAY(DATA_CLEANED!$AF$3),CALCULES!I$2,_xlfn.ANCHORARRAY(DATA_CLEANED!$AK$3),CALCULES!$A48)+COUNTIFS(_xlfn.ANCHORARRAY(DATA_CLEANED!$AF$3),CALCULES!I$2,_xlfn.ANCHORARRAY(DATA_CLEANED!$AN$3),CALCULES!$A48)&gt;0,1,0)</f>
        <v>0</v>
      </c>
      <c r="J48" s="112">
        <f>IF(COUNTIFS(_xlfn.ANCHORARRAY(DATA_CLEANED!$AF$3),CALCULES!J$2,_xlfn.ANCHORARRAY(DATA_CLEANED!$AK$3),CALCULES!$A48)+COUNTIFS(_xlfn.ANCHORARRAY(DATA_CLEANED!$AF$3),CALCULES!J$2,_xlfn.ANCHORARRAY(DATA_CLEANED!$AN$3),CALCULES!$A48)&gt;0,1,0)</f>
        <v>0</v>
      </c>
      <c r="K48" s="112">
        <f>IF(COUNTIFS(_xlfn.ANCHORARRAY(DATA_CLEANED!$AF$3),CALCULES!K$2,_xlfn.ANCHORARRAY(DATA_CLEANED!$AK$3),CALCULES!$A48)+COUNTIFS(_xlfn.ANCHORARRAY(DATA_CLEANED!$AF$3),CALCULES!K$2,_xlfn.ANCHORARRAY(DATA_CLEANED!$AN$3),CALCULES!$A48)&gt;0,1,0)</f>
        <v>0</v>
      </c>
      <c r="L48" s="112">
        <f>IF(COUNTIFS(_xlfn.ANCHORARRAY(DATA_CLEANED!$AF$3),CALCULES!L$2,_xlfn.ANCHORARRAY(DATA_CLEANED!$AK$3),CALCULES!$A48)+COUNTIFS(_xlfn.ANCHORARRAY(DATA_CLEANED!$AF$3),CALCULES!L$2,_xlfn.ANCHORARRAY(DATA_CLEANED!$AN$3),CALCULES!$A48)&gt;0,1,0)</f>
        <v>0</v>
      </c>
      <c r="M48" s="112">
        <f>IF(COUNTIFS(_xlfn.ANCHORARRAY(DATA_CLEANED!$AF$3),CALCULES!M$2,_xlfn.ANCHORARRAY(DATA_CLEANED!$AK$3),CALCULES!$A48)+COUNTIFS(_xlfn.ANCHORARRAY(DATA_CLEANED!$AF$3),CALCULES!M$2,_xlfn.ANCHORARRAY(DATA_CLEANED!$AN$3),CALCULES!$A48)&gt;0,1,0)</f>
        <v>0</v>
      </c>
      <c r="N48" s="112">
        <f>IF(COUNTIFS(_xlfn.ANCHORARRAY(DATA_CLEANED!$AF$3),CALCULES!N$2,_xlfn.ANCHORARRAY(DATA_CLEANED!$AK$3),CALCULES!$A48)+COUNTIFS(_xlfn.ANCHORARRAY(DATA_CLEANED!$AF$3),CALCULES!N$2,_xlfn.ANCHORARRAY(DATA_CLEANED!$AN$3),CALCULES!$A48)&gt;0,1,0)</f>
        <v>0</v>
      </c>
      <c r="O48" s="112">
        <f>IF(COUNTIFS(_xlfn.ANCHORARRAY(DATA_CLEANED!$AF$3),CALCULES!O$2,_xlfn.ANCHORARRAY(DATA_CLEANED!$AK$3),CALCULES!$A48)+COUNTIFS(_xlfn.ANCHORARRAY(DATA_CLEANED!$AF$3),CALCULES!O$2,_xlfn.ANCHORARRAY(DATA_CLEANED!$AN$3),CALCULES!$A48)&gt;0,1,0)</f>
        <v>0</v>
      </c>
      <c r="P48" s="112">
        <f>IF(COUNTIFS(_xlfn.ANCHORARRAY(DATA_CLEANED!$AF$3),CALCULES!P$2,_xlfn.ANCHORARRAY(DATA_CLEANED!$AK$3),CALCULES!$A48)+COUNTIFS(_xlfn.ANCHORARRAY(DATA_CLEANED!$AF$3),CALCULES!P$2,_xlfn.ANCHORARRAY(DATA_CLEANED!$AN$3),CALCULES!$A48)&gt;0,1,0)</f>
        <v>0</v>
      </c>
      <c r="Q48" s="112">
        <f>IF(COUNTIFS(_xlfn.ANCHORARRAY(DATA_CLEANED!$AF$3),CALCULES!Q$2,_xlfn.ANCHORARRAY(DATA_CLEANED!$AK$3),CALCULES!$A48)+COUNTIFS(_xlfn.ANCHORARRAY(DATA_CLEANED!$AF$3),CALCULES!Q$2,_xlfn.ANCHORARRAY(DATA_CLEANED!$AN$3),CALCULES!$A48)&gt;0,1,0)</f>
        <v>1</v>
      </c>
      <c r="R48" s="112">
        <f>IF(COUNTIFS(_xlfn.ANCHORARRAY(DATA_CLEANED!$AF$3),CALCULES!R$2,_xlfn.ANCHORARRAY(DATA_CLEANED!$AK$3),CALCULES!$A48)+COUNTIFS(_xlfn.ANCHORARRAY(DATA_CLEANED!$AF$3),CALCULES!R$2,_xlfn.ANCHORARRAY(DATA_CLEANED!$AN$3),CALCULES!$A48)&gt;0,1,0)</f>
        <v>0</v>
      </c>
      <c r="S48" s="112">
        <f>IF(COUNTIFS(_xlfn.ANCHORARRAY(DATA_CLEANED!$AF$3),CALCULES!S$2,_xlfn.ANCHORARRAY(DATA_CLEANED!$AK$3),CALCULES!$A48)+COUNTIFS(_xlfn.ANCHORARRAY(DATA_CLEANED!$AF$3),CALCULES!S$2,_xlfn.ANCHORARRAY(DATA_CLEANED!$AN$3),CALCULES!$A48)&gt;0,1,0)</f>
        <v>0</v>
      </c>
      <c r="T48" s="112">
        <f>IF(COUNTIFS(_xlfn.ANCHORARRAY(DATA_CLEANED!$AF$3),CALCULES!T$2,_xlfn.ANCHORARRAY(DATA_CLEANED!$AK$3),CALCULES!$A48)+COUNTIFS(_xlfn.ANCHORARRAY(DATA_CLEANED!$AF$3),CALCULES!T$2,_xlfn.ANCHORARRAY(DATA_CLEANED!$AN$3),CALCULES!$A48)&gt;0,1,0)</f>
        <v>0</v>
      </c>
      <c r="U48" s="112">
        <f>IF(COUNTIFS(_xlfn.ANCHORARRAY(DATA_CLEANED!$AF$3),CALCULES!U$2,_xlfn.ANCHORARRAY(DATA_CLEANED!$AK$3),CALCULES!$A48)+COUNTIFS(_xlfn.ANCHORARRAY(DATA_CLEANED!$AF$3),CALCULES!U$2,_xlfn.ANCHORARRAY(DATA_CLEANED!$AN$3),CALCULES!$A48)&gt;0,1,0)</f>
        <v>0</v>
      </c>
      <c r="V48" s="112">
        <f>IF(COUNTIFS(_xlfn.ANCHORARRAY(DATA_CLEANED!$AF$3),CALCULES!V$2,_xlfn.ANCHORARRAY(DATA_CLEANED!$AK$3),CALCULES!$A48)+COUNTIFS(_xlfn.ANCHORARRAY(DATA_CLEANED!$AF$3),CALCULES!V$2,_xlfn.ANCHORARRAY(DATA_CLEANED!$AN$3),CALCULES!$A48)&gt;0,1,0)</f>
        <v>0</v>
      </c>
      <c r="W48" s="112">
        <f>IF(COUNTIFS(_xlfn.ANCHORARRAY(DATA_CLEANED!$AF$3),CALCULES!W$2,_xlfn.ANCHORARRAY(DATA_CLEANED!$AK$3),CALCULES!$A48)+COUNTIFS(_xlfn.ANCHORARRAY(DATA_CLEANED!$AF$3),CALCULES!W$2,_xlfn.ANCHORARRAY(DATA_CLEANED!$AN$3),CALCULES!$A48)&gt;0,1,0)</f>
        <v>0</v>
      </c>
      <c r="X48" s="112">
        <f>IF(COUNTIFS(_xlfn.ANCHORARRAY(DATA_CLEANED!$AF$3),CALCULES!X$2,_xlfn.ANCHORARRAY(DATA_CLEANED!$AK$3),CALCULES!$A48)+COUNTIFS(_xlfn.ANCHORARRAY(DATA_CLEANED!$AF$3),CALCULES!X$2,_xlfn.ANCHORARRAY(DATA_CLEANED!$AN$3),CALCULES!$A48)&gt;0,1,0)</f>
        <v>0</v>
      </c>
      <c r="Y48" s="113">
        <f t="shared" si="15"/>
        <v>1</v>
      </c>
      <c r="AA48" s="112">
        <f>COUNTIF(_xlfn.ANCHORARRAY(DATA_CLEANED!$AK$3),$A48)+COUNTIF(DATA_CLEANED!$AN$2:$AN$1060,$A48)</f>
        <v>3</v>
      </c>
      <c r="AB48" s="112">
        <f>COUNTIF(DATA_QUALITE!BG$12:BG$1069,A48)</f>
        <v>1</v>
      </c>
      <c r="AC48" s="112">
        <f t="shared" si="7"/>
        <v>2</v>
      </c>
      <c r="AD48" s="112" cm="1">
        <f t="array" ref="AD48">SUMPRODUCT((DATA_CLEANED!AL$3:AL$1060=DATA_CLEANED!AM$3:AM$1060)*(_xlfn.ANCHORARRAY(DATA_CLEANED!AK$3)=CALCULES!A48)*(DATA_CLEANED!AO$3:AO$1060&lt;&gt;"-"))
+
SUMPRODUCT((DATA_CLEANED!AL$3:AL$1060=DATA_CLEANED!AM$3:AM$1060)*(_xlfn.ANCHORARRAY(DATA_CLEANED!AN$3)=CALCULES!A48)*(DATA_CLEANED!AO$3:AO$1060&lt;&gt;"-"))</f>
        <v>0</v>
      </c>
      <c r="AE48" s="116">
        <f t="shared" si="16"/>
        <v>0.33333333333333331</v>
      </c>
      <c r="AF48" s="116">
        <f t="shared" si="17"/>
        <v>0.66666666666666663</v>
      </c>
      <c r="AG48" s="112">
        <f>SUMIF(_xlfn.ANCHORARRAY(DATA_CLEANED!AK$3),A48,DATA_CLEANED!AL$2:AL$1060)+SUMIF(_xlfn.ANCHORARRAY(DATA_CLEANED!AN$3),A48,DATA_CLEANED!AM$2:AM$1060)</f>
        <v>4</v>
      </c>
      <c r="AH48" s="112">
        <f>SUMIF(_xlfn.ANCHORARRAY(DATA_CLEANED!AK$3),A48,DATA_CLEANED!AM$2:AM$1060)+SUMIF(_xlfn.ANCHORARRAY(DATA_CLEANED!AN$3),A48,DATA_CLEANED!AL$2:AL$1060)</f>
        <v>2</v>
      </c>
      <c r="AI48" s="112">
        <f t="shared" si="8"/>
        <v>0.67</v>
      </c>
      <c r="AJ48" s="117" cm="1">
        <f t="array" ref="AJ48">_xlfn.LET(_xlpm.home,IFERROR(_xlfn._xlws.FILTER(DATA_CLEANED!AH$3:AH$1060,DATA_CLEANED!AK$3:AK$1060=CALCULES!A48),""),
_xlpm.away,IFERROR(_xlfn._xlws.FILTER(DATA_CLEANED!AH$3:AH$1060,DATA_CLEANED!AN$3:AN$1060=CALCULES!A48),""),
_xlpm.assemb_t,_xlfn._xlws.FILTER(_xlfn.VSTACK(_xlpm.home,_xlpm.away),_xlfn.VSTACK(_xlpm.home,_xlpm.away)&lt;&gt;""),
_xlpm.but_h,IFERROR(_xlfn._xlws.FILTER(_xlfn.ANCHORARRAY(DATA_CLEANED!AM$3),DATA_CLEANED!AK$3:AK$1060=CALCULES!A48),""),
_xlpm.but_a,IFERROR(_xlfn._xlws.FILTER(_xlfn.ANCHORARRAY(DATA_CLEANED!AL$3),DATA_CLEANED!AN$3:AN$1060=CALCULES!A48),""),
_xlpm.assemb_b,_xlfn._xlws.FILTER(_xlfn.VSTACK(_xlpm.but_h,_xlpm.but_a),_xlfn.VSTACK(_xlpm.but_h,_xlpm.but_a)&lt;&gt;""),
MEDIAN(_xlpm.assemb_t,_xlpm.assemb_b)
)</f>
        <v>3</v>
      </c>
      <c r="AK48" s="113">
        <f t="shared" si="18"/>
        <v>2</v>
      </c>
      <c r="AL48" s="112" cm="1">
        <f t="array" ref="AL48">IFERROR(MEDIAN(_xlfn._xlws.FILTER(_xlfn.VSTACK(
DATA_CLEANED!AL$3:AL$1060-DATA_CLEANED!AM$3:AM$1060,
DATA_CLEANED!AM$3:AM$1060-DATA_CLEANED!AL$3:AL$1060
),_xlfn.VSTACK(DATA_CLEANED!AK$3:AK$1060,DATA_CLEANED!AN$3:AN$1060)=A48)),"-")</f>
        <v>-2</v>
      </c>
      <c r="AM48" s="112">
        <f t="shared" si="9"/>
        <v>1.33</v>
      </c>
      <c r="AN48" s="112" cm="1">
        <f t="array" ref="AN48">_xlfn.LET(_xlpm.home,IFERROR(_xlfn._xlws.FILTER(DATA_CLEANED!AH$3:AH$1060,DATA_CLEANED!AK$3:AK$1060=CALCULES!A48),""),
_xlpm.away,IFERROR(_xlfn._xlws.FILTER(DATA_CLEANED!AH$3:AH$1060,DATA_CLEANED!AN$3:AN$1060=CALCULES!A48),""),
_xlpm.assemb_t,_xlfn._xlws.FILTER(_xlfn.VSTACK(_xlpm.home,_xlpm.away),_xlfn.VSTACK(_xlpm.home,_xlpm.away)&lt;&gt;""),
_xlpm.but_h,IFERROR(_xlfn._xlws.FILTER(_xlfn.ANCHORARRAY(DATA_CLEANED!AL$3),DATA_CLEANED!AK$3:AK$1060=CALCULES!A48),""),
_xlpm.but_a,IFERROR(_xlfn._xlws.FILTER(_xlfn.ANCHORARRAY(DATA_CLEANED!AM$3),DATA_CLEANED!AN$3:AN$1060=CALCULES!A48),""),
_xlpm.assemb_b,_xlfn._xlws.FILTER(_xlfn.VSTACK(_xlpm.but_h,_xlpm.but_a),_xlfn.VSTACK(_xlpm.but_h,_xlpm.but_a)&lt;&gt;""),
MEDIAN(_xlpm.assemb_t,_xlpm.assemb_b)
)</f>
        <v>1</v>
      </c>
      <c r="AO48" s="116">
        <f>ROUND(IFERROR((COUNTIFS(DATA_CLEANED!AK$3:AK$1060,A48,DATA_CLEANED!AM$3:AM$1060,0)
+
COUNTIFS(DATA_CLEANED!AN$3:AN$1060,A48,DATA_CLEANED!AL$3:AL$1060,0)
)/AA48,0),2)</f>
        <v>0</v>
      </c>
      <c r="AP48" s="112">
        <f>MAX((_xlfn.MAXIFS(_xlfn.ANCHORARRAY(DATA_CLEANED!AL$3),_xlfn.ANCHORARRAY(DATA_CLEANED!AK$3),A48)),(_xlfn.MAXIFS(DATA_CLEANED!AM$3:AM$1060,_xlfn.ANCHORARRAY(DATA_CLEANED!AN$3),A48)))</f>
        <v>2</v>
      </c>
      <c r="AQ48" s="112">
        <f>COUNTIF(_xlfn.ANCHORARRAY(DATA_CLEANED!K$3),A48)</f>
        <v>0</v>
      </c>
      <c r="AR48" s="113" t="str" cm="1">
        <f t="array" ref="AR48">_xlfn.LET(
_xlpm.home,IFERROR(_xlfn._xlws.FILTER(DATA_CLEANED!AH$3:AH$1060,DATA_CLEANED!AK$3:AK$1060=CALCULES!A48),""),
_xlpm.away,IFERROR(_xlfn._xlws.FILTER(DATA_CLEANED!AH$3:AH$1060,DATA_CLEANED!AN$3:AN$1060=CALCULES!A48),""),
_xlpm.etapes,_xlfn._xlws.FILTER(_xlfn.VSTACK(_xlpm.home,_xlpm.away),_xlfn.VSTACK(_xlpm.home,_xlpm.away)&lt;&gt;""),
_xlpm.numeros,_xlfn.XLOOKUP(_xlpm.etapes,DATA_QUALITE!AT$12:AT$38,DATA_QUALITE!AU$12:AU$38),
_xlfn.XLOOKUP(MIN(_xlpm.numeros),DATA_QUALITE!AU$12:AU$38,DATA_QUALITE!AT$12:AT$38)
)</f>
        <v>GROUP_STAGE</v>
      </c>
      <c r="AS48" s="112">
        <f t="shared" si="19"/>
        <v>1</v>
      </c>
      <c r="AT48" s="112">
        <f t="shared" si="20"/>
        <v>1</v>
      </c>
      <c r="AU48" s="112">
        <f>COUNTIFS(DATA_QUALITE!BG$12:BG$1069,"MATCH NUL",_xlfn.ANCHORARRAY(DATA_CLEANED!AK$3),CALCULES!A48)+COUNTIFS(DATA_QUALITE!BG$12:BG$1069,"MATCH NUL",_xlfn.ANCHORARRAY(DATA_CLEANED!AN$3),CALCULES!A48)</f>
        <v>0</v>
      </c>
      <c r="AV48" s="112">
        <v>4</v>
      </c>
      <c r="AW48" s="112">
        <f>COUNTIFS(_xlfn.ANCHORARRAY(DATA_CLEANED!AH$3),"QUARTER_FINALS",_xlfn.ANCHORARRAY(DATA_CLEANED!AK$3),CALCULES!A48)+COUNTIFS(_xlfn.ANCHORARRAY(DATA_CLEANED!AH$3),"QUARTER_FINALS",_xlfn.ANCHORARRAY(DATA_CLEANED!AN$3),CALCULES!A48)</f>
        <v>0</v>
      </c>
      <c r="AX48" s="112">
        <f>COUNTIFS(_xlfn.ANCHORARRAY(DATA_CLEANED!AH$3),"SEMI_FINALS",_xlfn.ANCHORARRAY(DATA_CLEANED!AK$3),CALCULES!A48)+COUNTIFS(_xlfn.ANCHORARRAY(DATA_CLEANED!AH$3),"SEMI_FINALS",_xlfn.ANCHORARRAY(DATA_CLEANED!AN$3),CALCULES!A48)</f>
        <v>0</v>
      </c>
      <c r="AY48" s="112">
        <f>COUNTIFS(_xlfn.ANCHORARRAY(DATA_CLEANED!AH$3),"FINAL",_xlfn.ANCHORARRAY(DATA_CLEANED!AK$3),CALCULES!A48)+COUNTIFS(_xlfn.ANCHORARRAY(DATA_CLEANED!AH$3),"FINAL",_xlfn.ANCHORARRAY(DATA_CLEANED!AN$3),CALCULES!A48)</f>
        <v>0</v>
      </c>
      <c r="AZ48" s="112">
        <f>COUNTIFS(DATA_QUALITE!BG$12:BG$1069,CALCULES!A48,DATA_QUALITE!AW$12:AW$1069,"FINAL")</f>
        <v>0</v>
      </c>
      <c r="BA48" s="113">
        <f t="shared" si="21"/>
        <v>21.92</v>
      </c>
      <c r="BB48" s="118">
        <f t="shared" si="10"/>
        <v>4.78</v>
      </c>
      <c r="BC48" s="118">
        <f t="shared" si="11"/>
        <v>5.15</v>
      </c>
      <c r="BD48" s="139">
        <f t="shared" si="12"/>
        <v>4.97</v>
      </c>
      <c r="BH48" s="167"/>
      <c r="BI48" s="167"/>
      <c r="BJ48" s="167"/>
      <c r="BK48" s="167"/>
      <c r="BL48" s="173">
        <f>INT((ROWS($BL$15:BL48)-1)/9)</f>
        <v>3</v>
      </c>
      <c r="BM48" s="173">
        <f>MOD(ROWS($BM$15:BM48)-1,9)</f>
        <v>6</v>
      </c>
      <c r="BN48" s="173">
        <f t="shared" si="22"/>
        <v>1.2340044065123457E-4</v>
      </c>
      <c r="BO48" s="167"/>
      <c r="BP48" s="167"/>
    </row>
    <row r="49" spans="1:68">
      <c r="A49" s="113" t="str">
        <v>Japan</v>
      </c>
      <c r="B49" s="112">
        <f>IF(COUNTIFS(_xlfn.ANCHORARRAY(DATA_CLEANED!$AF$3),CALCULES!B$2,_xlfn.ANCHORARRAY(DATA_CLEANED!$AK$3),CALCULES!$A49)+COUNTIFS(_xlfn.ANCHORARRAY(DATA_CLEANED!$AF$3),CALCULES!B$2,_xlfn.ANCHORARRAY(DATA_CLEANED!$AN$3),CALCULES!$A49)&gt;0,1,0)</f>
        <v>0</v>
      </c>
      <c r="C49" s="112">
        <f>IF(COUNTIFS(_xlfn.ANCHORARRAY(DATA_CLEANED!$AF$3),CALCULES!C$2,_xlfn.ANCHORARRAY(DATA_CLEANED!$AK$3),CALCULES!$A49)+COUNTIFS(_xlfn.ANCHORARRAY(DATA_CLEANED!$AF$3),CALCULES!C$2,_xlfn.ANCHORARRAY(DATA_CLEANED!$AN$3),CALCULES!$A49)&gt;0,1,0)</f>
        <v>0</v>
      </c>
      <c r="D49" s="112">
        <f>IF(COUNTIFS(_xlfn.ANCHORARRAY(DATA_CLEANED!$AF$3),CALCULES!D$2,_xlfn.ANCHORARRAY(DATA_CLEANED!$AK$3),CALCULES!$A49)+COUNTIFS(_xlfn.ANCHORARRAY(DATA_CLEANED!$AF$3),CALCULES!D$2,_xlfn.ANCHORARRAY(DATA_CLEANED!$AN$3),CALCULES!$A49)&gt;0,1,0)</f>
        <v>0</v>
      </c>
      <c r="E49" s="112">
        <f>IF(COUNTIFS(_xlfn.ANCHORARRAY(DATA_CLEANED!$AF$3),CALCULES!E$2,_xlfn.ANCHORARRAY(DATA_CLEANED!$AK$3),CALCULES!$A49)+COUNTIFS(_xlfn.ANCHORARRAY(DATA_CLEANED!$AF$3),CALCULES!E$2,_xlfn.ANCHORARRAY(DATA_CLEANED!$AN$3),CALCULES!$A49)&gt;0,1,0)</f>
        <v>0</v>
      </c>
      <c r="F49" s="112">
        <f>IF(COUNTIFS(_xlfn.ANCHORARRAY(DATA_CLEANED!$AF$3),CALCULES!F$2,_xlfn.ANCHORARRAY(DATA_CLEANED!$AK$3),CALCULES!$A49)+COUNTIFS(_xlfn.ANCHORARRAY(DATA_CLEANED!$AF$3),CALCULES!F$2,_xlfn.ANCHORARRAY(DATA_CLEANED!$AN$3),CALCULES!$A49)&gt;0,1,0)</f>
        <v>0</v>
      </c>
      <c r="G49" s="112">
        <f>IF(COUNTIFS(_xlfn.ANCHORARRAY(DATA_CLEANED!$AF$3),CALCULES!G$2,_xlfn.ANCHORARRAY(DATA_CLEANED!$AK$3),CALCULES!$A49)+COUNTIFS(_xlfn.ANCHORARRAY(DATA_CLEANED!$AF$3),CALCULES!G$2,_xlfn.ANCHORARRAY(DATA_CLEANED!$AN$3),CALCULES!$A49)&gt;0,1,0)</f>
        <v>0</v>
      </c>
      <c r="H49" s="112">
        <f>IF(COUNTIFS(_xlfn.ANCHORARRAY(DATA_CLEANED!$AF$3),CALCULES!H$2,_xlfn.ANCHORARRAY(DATA_CLEANED!$AK$3),CALCULES!$A49)+COUNTIFS(_xlfn.ANCHORARRAY(DATA_CLEANED!$AF$3),CALCULES!H$2,_xlfn.ANCHORARRAY(DATA_CLEANED!$AN$3),CALCULES!$A49)&gt;0,1,0)</f>
        <v>0</v>
      </c>
      <c r="I49" s="112">
        <f>IF(COUNTIFS(_xlfn.ANCHORARRAY(DATA_CLEANED!$AF$3),CALCULES!I$2,_xlfn.ANCHORARRAY(DATA_CLEANED!$AK$3),CALCULES!$A49)+COUNTIFS(_xlfn.ANCHORARRAY(DATA_CLEANED!$AF$3),CALCULES!I$2,_xlfn.ANCHORARRAY(DATA_CLEANED!$AN$3),CALCULES!$A49)&gt;0,1,0)</f>
        <v>0</v>
      </c>
      <c r="J49" s="112">
        <f>IF(COUNTIFS(_xlfn.ANCHORARRAY(DATA_CLEANED!$AF$3),CALCULES!J$2,_xlfn.ANCHORARRAY(DATA_CLEANED!$AK$3),CALCULES!$A49)+COUNTIFS(_xlfn.ANCHORARRAY(DATA_CLEANED!$AF$3),CALCULES!J$2,_xlfn.ANCHORARRAY(DATA_CLEANED!$AN$3),CALCULES!$A49)&gt;0,1,0)</f>
        <v>0</v>
      </c>
      <c r="K49" s="112">
        <f>IF(COUNTIFS(_xlfn.ANCHORARRAY(DATA_CLEANED!$AF$3),CALCULES!K$2,_xlfn.ANCHORARRAY(DATA_CLEANED!$AK$3),CALCULES!$A49)+COUNTIFS(_xlfn.ANCHORARRAY(DATA_CLEANED!$AF$3),CALCULES!K$2,_xlfn.ANCHORARRAY(DATA_CLEANED!$AN$3),CALCULES!$A49)&gt;0,1,0)</f>
        <v>0</v>
      </c>
      <c r="L49" s="112">
        <f>IF(COUNTIFS(_xlfn.ANCHORARRAY(DATA_CLEANED!$AF$3),CALCULES!L$2,_xlfn.ANCHORARRAY(DATA_CLEANED!$AK$3),CALCULES!$A49)+COUNTIFS(_xlfn.ANCHORARRAY(DATA_CLEANED!$AF$3),CALCULES!L$2,_xlfn.ANCHORARRAY(DATA_CLEANED!$AN$3),CALCULES!$A49)&gt;0,1,0)</f>
        <v>0</v>
      </c>
      <c r="M49" s="112">
        <f>IF(COUNTIFS(_xlfn.ANCHORARRAY(DATA_CLEANED!$AF$3),CALCULES!M$2,_xlfn.ANCHORARRAY(DATA_CLEANED!$AK$3),CALCULES!$A49)+COUNTIFS(_xlfn.ANCHORARRAY(DATA_CLEANED!$AF$3),CALCULES!M$2,_xlfn.ANCHORARRAY(DATA_CLEANED!$AN$3),CALCULES!$A49)&gt;0,1,0)</f>
        <v>0</v>
      </c>
      <c r="N49" s="112">
        <f>IF(COUNTIFS(_xlfn.ANCHORARRAY(DATA_CLEANED!$AF$3),CALCULES!N$2,_xlfn.ANCHORARRAY(DATA_CLEANED!$AK$3),CALCULES!$A49)+COUNTIFS(_xlfn.ANCHORARRAY(DATA_CLEANED!$AF$3),CALCULES!N$2,_xlfn.ANCHORARRAY(DATA_CLEANED!$AN$3),CALCULES!$A49)&gt;0,1,0)</f>
        <v>0</v>
      </c>
      <c r="O49" s="112">
        <f>IF(COUNTIFS(_xlfn.ANCHORARRAY(DATA_CLEANED!$AF$3),CALCULES!O$2,_xlfn.ANCHORARRAY(DATA_CLEANED!$AK$3),CALCULES!$A49)+COUNTIFS(_xlfn.ANCHORARRAY(DATA_CLEANED!$AF$3),CALCULES!O$2,_xlfn.ANCHORARRAY(DATA_CLEANED!$AN$3),CALCULES!$A49)&gt;0,1,0)</f>
        <v>0</v>
      </c>
      <c r="P49" s="112">
        <f>IF(COUNTIFS(_xlfn.ANCHORARRAY(DATA_CLEANED!$AF$3),CALCULES!P$2,_xlfn.ANCHORARRAY(DATA_CLEANED!$AK$3),CALCULES!$A49)+COUNTIFS(_xlfn.ANCHORARRAY(DATA_CLEANED!$AF$3),CALCULES!P$2,_xlfn.ANCHORARRAY(DATA_CLEANED!$AN$3),CALCULES!$A49)&gt;0,1,0)</f>
        <v>0</v>
      </c>
      <c r="Q49" s="112">
        <f>IF(COUNTIFS(_xlfn.ANCHORARRAY(DATA_CLEANED!$AF$3),CALCULES!Q$2,_xlfn.ANCHORARRAY(DATA_CLEANED!$AK$3),CALCULES!$A49)+COUNTIFS(_xlfn.ANCHORARRAY(DATA_CLEANED!$AF$3),CALCULES!Q$2,_xlfn.ANCHORARRAY(DATA_CLEANED!$AN$3),CALCULES!$A49)&gt;0,1,0)</f>
        <v>1</v>
      </c>
      <c r="R49" s="112">
        <f>IF(COUNTIFS(_xlfn.ANCHORARRAY(DATA_CLEANED!$AF$3),CALCULES!R$2,_xlfn.ANCHORARRAY(DATA_CLEANED!$AK$3),CALCULES!$A49)+COUNTIFS(_xlfn.ANCHORARRAY(DATA_CLEANED!$AF$3),CALCULES!R$2,_xlfn.ANCHORARRAY(DATA_CLEANED!$AN$3),CALCULES!$A49)&gt;0,1,0)</f>
        <v>1</v>
      </c>
      <c r="S49" s="112">
        <f>IF(COUNTIFS(_xlfn.ANCHORARRAY(DATA_CLEANED!$AF$3),CALCULES!S$2,_xlfn.ANCHORARRAY(DATA_CLEANED!$AK$3),CALCULES!$A49)+COUNTIFS(_xlfn.ANCHORARRAY(DATA_CLEANED!$AF$3),CALCULES!S$2,_xlfn.ANCHORARRAY(DATA_CLEANED!$AN$3),CALCULES!$A49)&gt;0,1,0)</f>
        <v>1</v>
      </c>
      <c r="T49" s="112">
        <f>IF(COUNTIFS(_xlfn.ANCHORARRAY(DATA_CLEANED!$AF$3),CALCULES!T$2,_xlfn.ANCHORARRAY(DATA_CLEANED!$AK$3),CALCULES!$A49)+COUNTIFS(_xlfn.ANCHORARRAY(DATA_CLEANED!$AF$3),CALCULES!T$2,_xlfn.ANCHORARRAY(DATA_CLEANED!$AN$3),CALCULES!$A49)&gt;0,1,0)</f>
        <v>1</v>
      </c>
      <c r="U49" s="112">
        <f>IF(COUNTIFS(_xlfn.ANCHORARRAY(DATA_CLEANED!$AF$3),CALCULES!U$2,_xlfn.ANCHORARRAY(DATA_CLEANED!$AK$3),CALCULES!$A49)+COUNTIFS(_xlfn.ANCHORARRAY(DATA_CLEANED!$AF$3),CALCULES!U$2,_xlfn.ANCHORARRAY(DATA_CLEANED!$AN$3),CALCULES!$A49)&gt;0,1,0)</f>
        <v>1</v>
      </c>
      <c r="V49" s="112">
        <f>IF(COUNTIFS(_xlfn.ANCHORARRAY(DATA_CLEANED!$AF$3),CALCULES!V$2,_xlfn.ANCHORARRAY(DATA_CLEANED!$AK$3),CALCULES!$A49)+COUNTIFS(_xlfn.ANCHORARRAY(DATA_CLEANED!$AF$3),CALCULES!V$2,_xlfn.ANCHORARRAY(DATA_CLEANED!$AN$3),CALCULES!$A49)&gt;0,1,0)</f>
        <v>1</v>
      </c>
      <c r="W49" s="112">
        <f>IF(COUNTIFS(_xlfn.ANCHORARRAY(DATA_CLEANED!$AF$3),CALCULES!W$2,_xlfn.ANCHORARRAY(DATA_CLEANED!$AK$3),CALCULES!$A49)+COUNTIFS(_xlfn.ANCHORARRAY(DATA_CLEANED!$AF$3),CALCULES!W$2,_xlfn.ANCHORARRAY(DATA_CLEANED!$AN$3),CALCULES!$A49)&gt;0,1,0)</f>
        <v>1</v>
      </c>
      <c r="X49" s="112">
        <f>IF(COUNTIFS(_xlfn.ANCHORARRAY(DATA_CLEANED!$AF$3),CALCULES!X$2,_xlfn.ANCHORARRAY(DATA_CLEANED!$AK$3),CALCULES!$A49)+COUNTIFS(_xlfn.ANCHORARRAY(DATA_CLEANED!$AF$3),CALCULES!X$2,_xlfn.ANCHORARRAY(DATA_CLEANED!$AN$3),CALCULES!$A49)&gt;0,1,0)</f>
        <v>1</v>
      </c>
      <c r="Y49" s="113">
        <f t="shared" si="15"/>
        <v>8</v>
      </c>
      <c r="AA49" s="112">
        <f>COUNTIF(_xlfn.ANCHORARRAY(DATA_CLEANED!$AK$3),$A49)+COUNTIF(DATA_CLEANED!$AN$2:$AN$1060,$A49)</f>
        <v>29</v>
      </c>
      <c r="AB49" s="112">
        <f>COUNTIF(DATA_QUALITE!BG$12:BG$1069,A49)</f>
        <v>8</v>
      </c>
      <c r="AC49" s="112">
        <f t="shared" si="7"/>
        <v>19</v>
      </c>
      <c r="AD49" s="112" cm="1">
        <f t="array" ref="AD49">SUMPRODUCT((DATA_CLEANED!AL$3:AL$1060=DATA_CLEANED!AM$3:AM$1060)*(_xlfn.ANCHORARRAY(DATA_CLEANED!AK$3)=CALCULES!A49)*(DATA_CLEANED!AO$3:AO$1060&lt;&gt;"-"))
+
SUMPRODUCT((DATA_CLEANED!AL$3:AL$1060=DATA_CLEANED!AM$3:AM$1060)*(_xlfn.ANCHORARRAY(DATA_CLEANED!AN$3)=CALCULES!A49)*(DATA_CLEANED!AO$3:AO$1060&lt;&gt;"-"))</f>
        <v>2</v>
      </c>
      <c r="AE49" s="116">
        <f t="shared" si="16"/>
        <v>0.27586206896551724</v>
      </c>
      <c r="AF49" s="116">
        <f t="shared" si="17"/>
        <v>0.65517241379310343</v>
      </c>
      <c r="AG49" s="112">
        <f>SUMIF(_xlfn.ANCHORARRAY(DATA_CLEANED!AK$3),A49,DATA_CLEANED!AL$2:AL$1060)+SUMIF(_xlfn.ANCHORARRAY(DATA_CLEANED!AN$3),A49,DATA_CLEANED!AM$2:AM$1060)</f>
        <v>32</v>
      </c>
      <c r="AH49" s="112">
        <f>SUMIF(_xlfn.ANCHORARRAY(DATA_CLEANED!AK$3),A49,DATA_CLEANED!AM$2:AM$1060)+SUMIF(_xlfn.ANCHORARRAY(DATA_CLEANED!AN$3),A49,DATA_CLEANED!AL$2:AL$1060)</f>
        <v>35</v>
      </c>
      <c r="AI49" s="112">
        <f t="shared" si="8"/>
        <v>1.21</v>
      </c>
      <c r="AJ49" s="117" cm="1">
        <f t="array" ref="AJ49">_xlfn.LET(_xlpm.home,IFERROR(_xlfn._xlws.FILTER(DATA_CLEANED!AH$3:AH$1060,DATA_CLEANED!AK$3:AK$1060=CALCULES!A49),""),
_xlpm.away,IFERROR(_xlfn._xlws.FILTER(DATA_CLEANED!AH$3:AH$1060,DATA_CLEANED!AN$3:AN$1060=CALCULES!A49),""),
_xlpm.assemb_t,_xlfn._xlws.FILTER(_xlfn.VSTACK(_xlpm.home,_xlpm.away),_xlfn.VSTACK(_xlpm.home,_xlpm.away)&lt;&gt;""),
_xlpm.but_h,IFERROR(_xlfn._xlws.FILTER(_xlfn.ANCHORARRAY(DATA_CLEANED!AM$3),DATA_CLEANED!AK$3:AK$1060=CALCULES!A49),""),
_xlpm.but_a,IFERROR(_xlfn._xlws.FILTER(_xlfn.ANCHORARRAY(DATA_CLEANED!AL$3),DATA_CLEANED!AN$3:AN$1060=CALCULES!A49),""),
_xlpm.assemb_b,_xlfn._xlws.FILTER(_xlfn.VSTACK(_xlpm.but_h,_xlpm.but_a),_xlfn.VSTACK(_xlpm.but_h,_xlpm.but_a)&lt;&gt;""),
MEDIAN(_xlpm.assemb_t,_xlpm.assemb_b)
)</f>
        <v>1</v>
      </c>
      <c r="AK49" s="113">
        <f t="shared" si="18"/>
        <v>-3</v>
      </c>
      <c r="AL49" s="112" cm="1">
        <f t="array" ref="AL49">IFERROR(MEDIAN(_xlfn._xlws.FILTER(_xlfn.VSTACK(
DATA_CLEANED!AL$3:AL$1060-DATA_CLEANED!AM$3:AM$1060,
DATA_CLEANED!AM$3:AM$1060-DATA_CLEANED!AL$3:AL$1060
),_xlfn.VSTACK(DATA_CLEANED!AK$3:AK$1060,DATA_CLEANED!AN$3:AN$1060)=A49)),"-")</f>
        <v>0</v>
      </c>
      <c r="AM49" s="112">
        <f t="shared" si="9"/>
        <v>1.1000000000000001</v>
      </c>
      <c r="AN49" s="112" cm="1">
        <f t="array" ref="AN49">_xlfn.LET(_xlpm.home,IFERROR(_xlfn._xlws.FILTER(DATA_CLEANED!AH$3:AH$1060,DATA_CLEANED!AK$3:AK$1060=CALCULES!A49),""),
_xlpm.away,IFERROR(_xlfn._xlws.FILTER(DATA_CLEANED!AH$3:AH$1060,DATA_CLEANED!AN$3:AN$1060=CALCULES!A49),""),
_xlpm.assemb_t,_xlfn._xlws.FILTER(_xlfn.VSTACK(_xlpm.home,_xlpm.away),_xlfn.VSTACK(_xlpm.home,_xlpm.away)&lt;&gt;""),
_xlpm.but_h,IFERROR(_xlfn._xlws.FILTER(_xlfn.ANCHORARRAY(DATA_CLEANED!AL$3),DATA_CLEANED!AK$3:AK$1060=CALCULES!A49),""),
_xlpm.but_a,IFERROR(_xlfn._xlws.FILTER(_xlfn.ANCHORARRAY(DATA_CLEANED!AM$3),DATA_CLEANED!AN$3:AN$1060=CALCULES!A49),""),
_xlpm.assemb_b,_xlfn._xlws.FILTER(_xlfn.VSTACK(_xlpm.but_h,_xlpm.but_a),_xlfn.VSTACK(_xlpm.but_h,_xlpm.but_a)&lt;&gt;""),
MEDIAN(_xlpm.assemb_t,_xlpm.assemb_b)
)</f>
        <v>1</v>
      </c>
      <c r="AO49" s="116">
        <f>ROUND(IFERROR((COUNTIFS(DATA_CLEANED!AK$3:AK$1060,A49,DATA_CLEANED!AM$3:AM$1060,0)
+
COUNTIFS(DATA_CLEANED!AN$3:AN$1060,A49,DATA_CLEANED!AL$3:AL$1060,0)
)/AA49,0),2)</f>
        <v>0.24</v>
      </c>
      <c r="AP49" s="112">
        <f>MAX((_xlfn.MAXIFS(_xlfn.ANCHORARRAY(DATA_CLEANED!AL$3),_xlfn.ANCHORARRAY(DATA_CLEANED!AK$3),A49)),(_xlfn.MAXIFS(DATA_CLEANED!AM$3:AM$1060,_xlfn.ANCHORARRAY(DATA_CLEANED!AN$3),A49)))</f>
        <v>4</v>
      </c>
      <c r="AQ49" s="112">
        <f>COUNTIF(_xlfn.ANCHORARRAY(DATA_CLEANED!K$3),A49)</f>
        <v>8</v>
      </c>
      <c r="AR49" s="113" t="str" cm="1">
        <f t="array" ref="AR49">_xlfn.LET(
_xlpm.home,IFERROR(_xlfn._xlws.FILTER(DATA_CLEANED!AH$3:AH$1060,DATA_CLEANED!AK$3:AK$1060=CALCULES!A49),""),
_xlpm.away,IFERROR(_xlfn._xlws.FILTER(DATA_CLEANED!AH$3:AH$1060,DATA_CLEANED!AN$3:AN$1060=CALCULES!A49),""),
_xlpm.etapes,_xlfn._xlws.FILTER(_xlfn.VSTACK(_xlpm.home,_xlpm.away),_xlfn.VSTACK(_xlpm.home,_xlpm.away)&lt;&gt;""),
_xlpm.numeros,_xlfn.XLOOKUP(_xlpm.etapes,DATA_QUALITE!AT$12:AT$38,DATA_QUALITE!AU$12:AU$38),
_xlfn.XLOOKUP(MIN(_xlpm.numeros),DATA_QUALITE!AU$12:AU$38,DATA_QUALITE!AT$12:AT$38)
)</f>
        <v>ROUND_OF_16</v>
      </c>
      <c r="AS49" s="112">
        <f t="shared" si="19"/>
        <v>8</v>
      </c>
      <c r="AT49" s="112">
        <f t="shared" si="20"/>
        <v>8</v>
      </c>
      <c r="AU49" s="112">
        <f>COUNTIFS(DATA_QUALITE!BG$12:BG$1069,"MATCH NUL",_xlfn.ANCHORARRAY(DATA_CLEANED!AK$3),CALCULES!A49)+COUNTIFS(DATA_QUALITE!BG$12:BG$1069,"MATCH NUL",_xlfn.ANCHORARRAY(DATA_CLEANED!AN$3),CALCULES!A49)</f>
        <v>6</v>
      </c>
      <c r="AV49" s="112">
        <v>32</v>
      </c>
      <c r="AW49" s="112">
        <f>COUNTIFS(_xlfn.ANCHORARRAY(DATA_CLEANED!AH$3),"QUARTER_FINALS",_xlfn.ANCHORARRAY(DATA_CLEANED!AK$3),CALCULES!A49)+COUNTIFS(_xlfn.ANCHORARRAY(DATA_CLEANED!AH$3),"QUARTER_FINALS",_xlfn.ANCHORARRAY(DATA_CLEANED!AN$3),CALCULES!A49)</f>
        <v>0</v>
      </c>
      <c r="AX49" s="112">
        <f>COUNTIFS(_xlfn.ANCHORARRAY(DATA_CLEANED!AH$3),"SEMI_FINALS",_xlfn.ANCHORARRAY(DATA_CLEANED!AK$3),CALCULES!A49)+COUNTIFS(_xlfn.ANCHORARRAY(DATA_CLEANED!AH$3),"SEMI_FINALS",_xlfn.ANCHORARRAY(DATA_CLEANED!AN$3),CALCULES!A49)</f>
        <v>0</v>
      </c>
      <c r="AY49" s="112">
        <f>COUNTIFS(_xlfn.ANCHORARRAY(DATA_CLEANED!AH$3),"FINAL",_xlfn.ANCHORARRAY(DATA_CLEANED!AK$3),CALCULES!A49)+COUNTIFS(_xlfn.ANCHORARRAY(DATA_CLEANED!AH$3),"FINAL",_xlfn.ANCHORARRAY(DATA_CLEANED!AN$3),CALCULES!A49)</f>
        <v>0</v>
      </c>
      <c r="AZ49" s="112">
        <f>COUNTIFS(DATA_QUALITE!BG$12:BG$1069,CALCULES!A49,DATA_QUALITE!AW$12:AW$1069,"FINAL")</f>
        <v>0</v>
      </c>
      <c r="BA49" s="113">
        <f t="shared" si="21"/>
        <v>34.71</v>
      </c>
      <c r="BB49" s="118">
        <f t="shared" si="10"/>
        <v>11.72</v>
      </c>
      <c r="BC49" s="118">
        <f t="shared" si="11"/>
        <v>15.8</v>
      </c>
      <c r="BD49" s="139">
        <f t="shared" si="12"/>
        <v>13.76</v>
      </c>
      <c r="BH49" s="167"/>
      <c r="BI49" s="167"/>
      <c r="BJ49" s="167"/>
      <c r="BK49" s="167"/>
      <c r="BL49" s="173">
        <f>INT((ROWS($BL$15:BL49)-1)/9)</f>
        <v>3</v>
      </c>
      <c r="BM49" s="173">
        <f>MOD(ROWS($BM$15:BM49)-1,9)</f>
        <v>7</v>
      </c>
      <c r="BN49" s="173">
        <f t="shared" si="22"/>
        <v>1.9742929882972301E-5</v>
      </c>
      <c r="BO49" s="167"/>
      <c r="BP49" s="167"/>
    </row>
    <row r="50" spans="1:68">
      <c r="A50" s="113" t="str">
        <v>Jordan</v>
      </c>
      <c r="B50" s="112">
        <f>IF(COUNTIFS(_xlfn.ANCHORARRAY(DATA_CLEANED!$AF$3),CALCULES!B$2,_xlfn.ANCHORARRAY(DATA_CLEANED!$AK$3),CALCULES!$A50)+COUNTIFS(_xlfn.ANCHORARRAY(DATA_CLEANED!$AF$3),CALCULES!B$2,_xlfn.ANCHORARRAY(DATA_CLEANED!$AN$3),CALCULES!$A50)&gt;0,1,0)</f>
        <v>0</v>
      </c>
      <c r="C50" s="112">
        <f>IF(COUNTIFS(_xlfn.ANCHORARRAY(DATA_CLEANED!$AF$3),CALCULES!C$2,_xlfn.ANCHORARRAY(DATA_CLEANED!$AK$3),CALCULES!$A50)+COUNTIFS(_xlfn.ANCHORARRAY(DATA_CLEANED!$AF$3),CALCULES!C$2,_xlfn.ANCHORARRAY(DATA_CLEANED!$AN$3),CALCULES!$A50)&gt;0,1,0)</f>
        <v>0</v>
      </c>
      <c r="D50" s="112">
        <f>IF(COUNTIFS(_xlfn.ANCHORARRAY(DATA_CLEANED!$AF$3),CALCULES!D$2,_xlfn.ANCHORARRAY(DATA_CLEANED!$AK$3),CALCULES!$A50)+COUNTIFS(_xlfn.ANCHORARRAY(DATA_CLEANED!$AF$3),CALCULES!D$2,_xlfn.ANCHORARRAY(DATA_CLEANED!$AN$3),CALCULES!$A50)&gt;0,1,0)</f>
        <v>0</v>
      </c>
      <c r="E50" s="112">
        <f>IF(COUNTIFS(_xlfn.ANCHORARRAY(DATA_CLEANED!$AF$3),CALCULES!E$2,_xlfn.ANCHORARRAY(DATA_CLEANED!$AK$3),CALCULES!$A50)+COUNTIFS(_xlfn.ANCHORARRAY(DATA_CLEANED!$AF$3),CALCULES!E$2,_xlfn.ANCHORARRAY(DATA_CLEANED!$AN$3),CALCULES!$A50)&gt;0,1,0)</f>
        <v>0</v>
      </c>
      <c r="F50" s="112">
        <f>IF(COUNTIFS(_xlfn.ANCHORARRAY(DATA_CLEANED!$AF$3),CALCULES!F$2,_xlfn.ANCHORARRAY(DATA_CLEANED!$AK$3),CALCULES!$A50)+COUNTIFS(_xlfn.ANCHORARRAY(DATA_CLEANED!$AF$3),CALCULES!F$2,_xlfn.ANCHORARRAY(DATA_CLEANED!$AN$3),CALCULES!$A50)&gt;0,1,0)</f>
        <v>0</v>
      </c>
      <c r="G50" s="112">
        <f>IF(COUNTIFS(_xlfn.ANCHORARRAY(DATA_CLEANED!$AF$3),CALCULES!G$2,_xlfn.ANCHORARRAY(DATA_CLEANED!$AK$3),CALCULES!$A50)+COUNTIFS(_xlfn.ANCHORARRAY(DATA_CLEANED!$AF$3),CALCULES!G$2,_xlfn.ANCHORARRAY(DATA_CLEANED!$AN$3),CALCULES!$A50)&gt;0,1,0)</f>
        <v>0</v>
      </c>
      <c r="H50" s="112">
        <f>IF(COUNTIFS(_xlfn.ANCHORARRAY(DATA_CLEANED!$AF$3),CALCULES!H$2,_xlfn.ANCHORARRAY(DATA_CLEANED!$AK$3),CALCULES!$A50)+COUNTIFS(_xlfn.ANCHORARRAY(DATA_CLEANED!$AF$3),CALCULES!H$2,_xlfn.ANCHORARRAY(DATA_CLEANED!$AN$3),CALCULES!$A50)&gt;0,1,0)</f>
        <v>0</v>
      </c>
      <c r="I50" s="112">
        <f>IF(COUNTIFS(_xlfn.ANCHORARRAY(DATA_CLEANED!$AF$3),CALCULES!I$2,_xlfn.ANCHORARRAY(DATA_CLEANED!$AK$3),CALCULES!$A50)+COUNTIFS(_xlfn.ANCHORARRAY(DATA_CLEANED!$AF$3),CALCULES!I$2,_xlfn.ANCHORARRAY(DATA_CLEANED!$AN$3),CALCULES!$A50)&gt;0,1,0)</f>
        <v>0</v>
      </c>
      <c r="J50" s="112">
        <f>IF(COUNTIFS(_xlfn.ANCHORARRAY(DATA_CLEANED!$AF$3),CALCULES!J$2,_xlfn.ANCHORARRAY(DATA_CLEANED!$AK$3),CALCULES!$A50)+COUNTIFS(_xlfn.ANCHORARRAY(DATA_CLEANED!$AF$3),CALCULES!J$2,_xlfn.ANCHORARRAY(DATA_CLEANED!$AN$3),CALCULES!$A50)&gt;0,1,0)</f>
        <v>0</v>
      </c>
      <c r="K50" s="112">
        <f>IF(COUNTIFS(_xlfn.ANCHORARRAY(DATA_CLEANED!$AF$3),CALCULES!K$2,_xlfn.ANCHORARRAY(DATA_CLEANED!$AK$3),CALCULES!$A50)+COUNTIFS(_xlfn.ANCHORARRAY(DATA_CLEANED!$AF$3),CALCULES!K$2,_xlfn.ANCHORARRAY(DATA_CLEANED!$AN$3),CALCULES!$A50)&gt;0,1,0)</f>
        <v>0</v>
      </c>
      <c r="L50" s="112">
        <f>IF(COUNTIFS(_xlfn.ANCHORARRAY(DATA_CLEANED!$AF$3),CALCULES!L$2,_xlfn.ANCHORARRAY(DATA_CLEANED!$AK$3),CALCULES!$A50)+COUNTIFS(_xlfn.ANCHORARRAY(DATA_CLEANED!$AF$3),CALCULES!L$2,_xlfn.ANCHORARRAY(DATA_CLEANED!$AN$3),CALCULES!$A50)&gt;0,1,0)</f>
        <v>0</v>
      </c>
      <c r="M50" s="112">
        <f>IF(COUNTIFS(_xlfn.ANCHORARRAY(DATA_CLEANED!$AF$3),CALCULES!M$2,_xlfn.ANCHORARRAY(DATA_CLEANED!$AK$3),CALCULES!$A50)+COUNTIFS(_xlfn.ANCHORARRAY(DATA_CLEANED!$AF$3),CALCULES!M$2,_xlfn.ANCHORARRAY(DATA_CLEANED!$AN$3),CALCULES!$A50)&gt;0,1,0)</f>
        <v>0</v>
      </c>
      <c r="N50" s="112">
        <f>IF(COUNTIFS(_xlfn.ANCHORARRAY(DATA_CLEANED!$AF$3),CALCULES!N$2,_xlfn.ANCHORARRAY(DATA_CLEANED!$AK$3),CALCULES!$A50)+COUNTIFS(_xlfn.ANCHORARRAY(DATA_CLEANED!$AF$3),CALCULES!N$2,_xlfn.ANCHORARRAY(DATA_CLEANED!$AN$3),CALCULES!$A50)&gt;0,1,0)</f>
        <v>0</v>
      </c>
      <c r="O50" s="112">
        <f>IF(COUNTIFS(_xlfn.ANCHORARRAY(DATA_CLEANED!$AF$3),CALCULES!O$2,_xlfn.ANCHORARRAY(DATA_CLEANED!$AK$3),CALCULES!$A50)+COUNTIFS(_xlfn.ANCHORARRAY(DATA_CLEANED!$AF$3),CALCULES!O$2,_xlfn.ANCHORARRAY(DATA_CLEANED!$AN$3),CALCULES!$A50)&gt;0,1,0)</f>
        <v>0</v>
      </c>
      <c r="P50" s="112">
        <f>IF(COUNTIFS(_xlfn.ANCHORARRAY(DATA_CLEANED!$AF$3),CALCULES!P$2,_xlfn.ANCHORARRAY(DATA_CLEANED!$AK$3),CALCULES!$A50)+COUNTIFS(_xlfn.ANCHORARRAY(DATA_CLEANED!$AF$3),CALCULES!P$2,_xlfn.ANCHORARRAY(DATA_CLEANED!$AN$3),CALCULES!$A50)&gt;0,1,0)</f>
        <v>0</v>
      </c>
      <c r="Q50" s="112">
        <f>IF(COUNTIFS(_xlfn.ANCHORARRAY(DATA_CLEANED!$AF$3),CALCULES!Q$2,_xlfn.ANCHORARRAY(DATA_CLEANED!$AK$3),CALCULES!$A50)+COUNTIFS(_xlfn.ANCHORARRAY(DATA_CLEANED!$AF$3),CALCULES!Q$2,_xlfn.ANCHORARRAY(DATA_CLEANED!$AN$3),CALCULES!$A50)&gt;0,1,0)</f>
        <v>0</v>
      </c>
      <c r="R50" s="112">
        <f>IF(COUNTIFS(_xlfn.ANCHORARRAY(DATA_CLEANED!$AF$3),CALCULES!R$2,_xlfn.ANCHORARRAY(DATA_CLEANED!$AK$3),CALCULES!$A50)+COUNTIFS(_xlfn.ANCHORARRAY(DATA_CLEANED!$AF$3),CALCULES!R$2,_xlfn.ANCHORARRAY(DATA_CLEANED!$AN$3),CALCULES!$A50)&gt;0,1,0)</f>
        <v>0</v>
      </c>
      <c r="S50" s="112">
        <f>IF(COUNTIFS(_xlfn.ANCHORARRAY(DATA_CLEANED!$AF$3),CALCULES!S$2,_xlfn.ANCHORARRAY(DATA_CLEANED!$AK$3),CALCULES!$A50)+COUNTIFS(_xlfn.ANCHORARRAY(DATA_CLEANED!$AF$3),CALCULES!S$2,_xlfn.ANCHORARRAY(DATA_CLEANED!$AN$3),CALCULES!$A50)&gt;0,1,0)</f>
        <v>0</v>
      </c>
      <c r="T50" s="112">
        <f>IF(COUNTIFS(_xlfn.ANCHORARRAY(DATA_CLEANED!$AF$3),CALCULES!T$2,_xlfn.ANCHORARRAY(DATA_CLEANED!$AK$3),CALCULES!$A50)+COUNTIFS(_xlfn.ANCHORARRAY(DATA_CLEANED!$AF$3),CALCULES!T$2,_xlfn.ANCHORARRAY(DATA_CLEANED!$AN$3),CALCULES!$A50)&gt;0,1,0)</f>
        <v>0</v>
      </c>
      <c r="U50" s="112">
        <f>IF(COUNTIFS(_xlfn.ANCHORARRAY(DATA_CLEANED!$AF$3),CALCULES!U$2,_xlfn.ANCHORARRAY(DATA_CLEANED!$AK$3),CALCULES!$A50)+COUNTIFS(_xlfn.ANCHORARRAY(DATA_CLEANED!$AF$3),CALCULES!U$2,_xlfn.ANCHORARRAY(DATA_CLEANED!$AN$3),CALCULES!$A50)&gt;0,1,0)</f>
        <v>0</v>
      </c>
      <c r="V50" s="112">
        <f>IF(COUNTIFS(_xlfn.ANCHORARRAY(DATA_CLEANED!$AF$3),CALCULES!V$2,_xlfn.ANCHORARRAY(DATA_CLEANED!$AK$3),CALCULES!$A50)+COUNTIFS(_xlfn.ANCHORARRAY(DATA_CLEANED!$AF$3),CALCULES!V$2,_xlfn.ANCHORARRAY(DATA_CLEANED!$AN$3),CALCULES!$A50)&gt;0,1,0)</f>
        <v>0</v>
      </c>
      <c r="W50" s="112">
        <f>IF(COUNTIFS(_xlfn.ANCHORARRAY(DATA_CLEANED!$AF$3),CALCULES!W$2,_xlfn.ANCHORARRAY(DATA_CLEANED!$AK$3),CALCULES!$A50)+COUNTIFS(_xlfn.ANCHORARRAY(DATA_CLEANED!$AF$3),CALCULES!W$2,_xlfn.ANCHORARRAY(DATA_CLEANED!$AN$3),CALCULES!$A50)&gt;0,1,0)</f>
        <v>0</v>
      </c>
      <c r="X50" s="112">
        <f>IF(COUNTIFS(_xlfn.ANCHORARRAY(DATA_CLEANED!$AF$3),CALCULES!X$2,_xlfn.ANCHORARRAY(DATA_CLEANED!$AK$3),CALCULES!$A50)+COUNTIFS(_xlfn.ANCHORARRAY(DATA_CLEANED!$AF$3),CALCULES!X$2,_xlfn.ANCHORARRAY(DATA_CLEANED!$AN$3),CALCULES!$A50)&gt;0,1,0)</f>
        <v>1</v>
      </c>
      <c r="Y50" s="113">
        <f t="shared" si="15"/>
        <v>1</v>
      </c>
      <c r="AA50" s="112">
        <f>COUNTIF(_xlfn.ANCHORARRAY(DATA_CLEANED!$AK$3),$A50)+COUNTIF(DATA_CLEANED!$AN$2:$AN$1060,$A50)</f>
        <v>1</v>
      </c>
      <c r="AB50" s="112">
        <f>COUNTIF(DATA_QUALITE!BG$12:BG$1069,A50)</f>
        <v>0</v>
      </c>
      <c r="AC50" s="112">
        <f t="shared" si="7"/>
        <v>1</v>
      </c>
      <c r="AD50" s="112" cm="1">
        <f t="array" ref="AD50">SUMPRODUCT((DATA_CLEANED!AL$3:AL$1060=DATA_CLEANED!AM$3:AM$1060)*(_xlfn.ANCHORARRAY(DATA_CLEANED!AK$3)=CALCULES!A50)*(DATA_CLEANED!AO$3:AO$1060&lt;&gt;"-"))
+
SUMPRODUCT((DATA_CLEANED!AL$3:AL$1060=DATA_CLEANED!AM$3:AM$1060)*(_xlfn.ANCHORARRAY(DATA_CLEANED!AN$3)=CALCULES!A50)*(DATA_CLEANED!AO$3:AO$1060&lt;&gt;"-"))</f>
        <v>0</v>
      </c>
      <c r="AE50" s="116">
        <f t="shared" si="16"/>
        <v>0</v>
      </c>
      <c r="AF50" s="116">
        <f t="shared" si="17"/>
        <v>1</v>
      </c>
      <c r="AG50" s="112">
        <f>SUMIF(_xlfn.ANCHORARRAY(DATA_CLEANED!AK$3),A50,DATA_CLEANED!AL$2:AL$1060)+SUMIF(_xlfn.ANCHORARRAY(DATA_CLEANED!AN$3),A50,DATA_CLEANED!AM$2:AM$1060)</f>
        <v>0</v>
      </c>
      <c r="AH50" s="112">
        <f>SUMIF(_xlfn.ANCHORARRAY(DATA_CLEANED!AK$3),A50,DATA_CLEANED!AM$2:AM$1060)+SUMIF(_xlfn.ANCHORARRAY(DATA_CLEANED!AN$3),A50,DATA_CLEANED!AL$2:AL$1060)</f>
        <v>3</v>
      </c>
      <c r="AI50" s="112">
        <f t="shared" si="8"/>
        <v>3</v>
      </c>
      <c r="AJ50" s="117" cm="1">
        <f t="array" ref="AJ50">_xlfn.LET(_xlpm.home,IFERROR(_xlfn._xlws.FILTER(DATA_CLEANED!AH$3:AH$1060,DATA_CLEANED!AK$3:AK$1060=CALCULES!A50),""),
_xlpm.away,IFERROR(_xlfn._xlws.FILTER(DATA_CLEANED!AH$3:AH$1060,DATA_CLEANED!AN$3:AN$1060=CALCULES!A50),""),
_xlpm.assemb_t,_xlfn._xlws.FILTER(_xlfn.VSTACK(_xlpm.home,_xlpm.away),_xlfn.VSTACK(_xlpm.home,_xlpm.away)&lt;&gt;""),
_xlpm.but_h,IFERROR(_xlfn._xlws.FILTER(_xlfn.ANCHORARRAY(DATA_CLEANED!AM$3),DATA_CLEANED!AK$3:AK$1060=CALCULES!A50),""),
_xlpm.but_a,IFERROR(_xlfn._xlws.FILTER(_xlfn.ANCHORARRAY(DATA_CLEANED!AL$3),DATA_CLEANED!AN$3:AN$1060=CALCULES!A50),""),
_xlpm.assemb_b,_xlfn._xlws.FILTER(_xlfn.VSTACK(_xlpm.but_h,_xlpm.but_a),_xlfn.VSTACK(_xlpm.but_h,_xlpm.but_a)&lt;&gt;""),
MEDIAN(_xlpm.assemb_t,_xlpm.assemb_b)
)</f>
        <v>3</v>
      </c>
      <c r="AK50" s="113">
        <f t="shared" si="18"/>
        <v>-3</v>
      </c>
      <c r="AL50" s="112" cm="1">
        <f t="array" ref="AL50">IFERROR(MEDIAN(_xlfn._xlws.FILTER(_xlfn.VSTACK(
DATA_CLEANED!AL$3:AL$1060-DATA_CLEANED!AM$3:AM$1060,
DATA_CLEANED!AM$3:AM$1060-DATA_CLEANED!AL$3:AL$1060
),_xlfn.VSTACK(DATA_CLEANED!AK$3:AK$1060,DATA_CLEANED!AN$3:AN$1060)=A50)),"-")</f>
        <v>-2</v>
      </c>
      <c r="AM50" s="112">
        <f t="shared" si="9"/>
        <v>0</v>
      </c>
      <c r="AN50" s="112" cm="1">
        <f t="array" ref="AN50">_xlfn.LET(_xlpm.home,IFERROR(_xlfn._xlws.FILTER(DATA_CLEANED!AH$3:AH$1060,DATA_CLEANED!AK$3:AK$1060=CALCULES!A50),""),
_xlpm.away,IFERROR(_xlfn._xlws.FILTER(DATA_CLEANED!AH$3:AH$1060,DATA_CLEANED!AN$3:AN$1060=CALCULES!A50),""),
_xlpm.assemb_t,_xlfn._xlws.FILTER(_xlfn.VSTACK(_xlpm.home,_xlpm.away),_xlfn.VSTACK(_xlpm.home,_xlpm.away)&lt;&gt;""),
_xlpm.but_h,IFERROR(_xlfn._xlws.FILTER(_xlfn.ANCHORARRAY(DATA_CLEANED!AL$3),DATA_CLEANED!AK$3:AK$1060=CALCULES!A50),""),
_xlpm.but_a,IFERROR(_xlfn._xlws.FILTER(_xlfn.ANCHORARRAY(DATA_CLEANED!AM$3),DATA_CLEANED!AN$3:AN$1060=CALCULES!A50),""),
_xlpm.assemb_b,_xlfn._xlws.FILTER(_xlfn.VSTACK(_xlpm.but_h,_xlpm.but_a),_xlfn.VSTACK(_xlpm.but_h,_xlpm.but_a)&lt;&gt;""),
MEDIAN(_xlpm.assemb_t,_xlpm.assemb_b)
)</f>
        <v>1</v>
      </c>
      <c r="AO50" s="116">
        <f>ROUND(IFERROR((COUNTIFS(DATA_CLEANED!AK$3:AK$1060,A50,DATA_CLEANED!AM$3:AM$1060,0)
+
COUNTIFS(DATA_CLEANED!AN$3:AN$1060,A50,DATA_CLEANED!AL$3:AL$1060,0)
)/AA50,0),2)</f>
        <v>0</v>
      </c>
      <c r="AP50" s="112">
        <f>MAX((_xlfn.MAXIFS(_xlfn.ANCHORARRAY(DATA_CLEANED!AL$3),_xlfn.ANCHORARRAY(DATA_CLEANED!AK$3),A50)),(_xlfn.MAXIFS(DATA_CLEANED!AM$3:AM$1060,_xlfn.ANCHORARRAY(DATA_CLEANED!AN$3),A50)))</f>
        <v>1</v>
      </c>
      <c r="AQ50" s="112">
        <f>COUNTIF(_xlfn.ANCHORARRAY(DATA_CLEANED!K$3),A50)</f>
        <v>0</v>
      </c>
      <c r="AR50" s="113" t="str" cm="1">
        <f t="array" ref="AR50">_xlfn.LET(
_xlpm.home,IFERROR(_xlfn._xlws.FILTER(DATA_CLEANED!AH$3:AH$1060,DATA_CLEANED!AK$3:AK$1060=CALCULES!A50),""),
_xlpm.away,IFERROR(_xlfn._xlws.FILTER(DATA_CLEANED!AH$3:AH$1060,DATA_CLEANED!AN$3:AN$1060=CALCULES!A50),""),
_xlpm.etapes,_xlfn._xlws.FILTER(_xlfn.VSTACK(_xlpm.home,_xlpm.away),_xlfn.VSTACK(_xlpm.home,_xlpm.away)&lt;&gt;""),
_xlpm.numeros,_xlfn.XLOOKUP(_xlpm.etapes,DATA_QUALITE!AT$12:AT$38,DATA_QUALITE!AU$12:AU$38),
_xlfn.XLOOKUP(MIN(_xlpm.numeros),DATA_QUALITE!AU$12:AU$38,DATA_QUALITE!AT$12:AT$38)
)</f>
        <v>GROUP_STAGE</v>
      </c>
      <c r="AS50" s="112">
        <f t="shared" si="19"/>
        <v>1</v>
      </c>
      <c r="AT50" s="112">
        <f t="shared" si="20"/>
        <v>0</v>
      </c>
      <c r="AU50" s="112">
        <f>COUNTIFS(DATA_QUALITE!BG$12:BG$1069,"MATCH NUL",_xlfn.ANCHORARRAY(DATA_CLEANED!AK$3),CALCULES!A50)+COUNTIFS(DATA_QUALITE!BG$12:BG$1069,"MATCH NUL",_xlfn.ANCHORARRAY(DATA_CLEANED!AN$3),CALCULES!A50)</f>
        <v>0</v>
      </c>
      <c r="AV50" s="112">
        <v>0</v>
      </c>
      <c r="AW50" s="112">
        <f>COUNTIFS(_xlfn.ANCHORARRAY(DATA_CLEANED!AH$3),"QUARTER_FINALS",_xlfn.ANCHORARRAY(DATA_CLEANED!AK$3),CALCULES!A50)+COUNTIFS(_xlfn.ANCHORARRAY(DATA_CLEANED!AH$3),"QUARTER_FINALS",_xlfn.ANCHORARRAY(DATA_CLEANED!AN$3),CALCULES!A50)</f>
        <v>0</v>
      </c>
      <c r="AX50" s="112">
        <f>COUNTIFS(_xlfn.ANCHORARRAY(DATA_CLEANED!AH$3),"SEMI_FINALS",_xlfn.ANCHORARRAY(DATA_CLEANED!AK$3),CALCULES!A50)+COUNTIFS(_xlfn.ANCHORARRAY(DATA_CLEANED!AH$3),"SEMI_FINALS",_xlfn.ANCHORARRAY(DATA_CLEANED!AN$3),CALCULES!A50)</f>
        <v>0</v>
      </c>
      <c r="AY50" s="112">
        <f>COUNTIFS(_xlfn.ANCHORARRAY(DATA_CLEANED!AH$3),"FINAL",_xlfn.ANCHORARRAY(DATA_CLEANED!AK$3),CALCULES!A50)+COUNTIFS(_xlfn.ANCHORARRAY(DATA_CLEANED!AH$3),"FINAL",_xlfn.ANCHORARRAY(DATA_CLEANED!AN$3),CALCULES!A50)</f>
        <v>0</v>
      </c>
      <c r="AZ50" s="112">
        <f>COUNTIFS(DATA_QUALITE!BG$12:BG$1069,CALCULES!A50,DATA_QUALITE!AW$12:AW$1069,"FINAL")</f>
        <v>0</v>
      </c>
      <c r="BA50" s="113">
        <f t="shared" si="21"/>
        <v>9.94</v>
      </c>
      <c r="BB50" s="118">
        <f t="shared" si="10"/>
        <v>0</v>
      </c>
      <c r="BC50" s="118">
        <f t="shared" si="11"/>
        <v>0</v>
      </c>
      <c r="BD50" s="139">
        <f t="shared" si="12"/>
        <v>0</v>
      </c>
      <c r="BH50" s="167"/>
      <c r="BI50" s="167"/>
      <c r="BJ50" s="167"/>
      <c r="BK50" s="167"/>
      <c r="BL50" s="173">
        <f>INT((ROWS($BL$15:BL50)-1)/9)</f>
        <v>3</v>
      </c>
      <c r="BM50" s="173">
        <f>MOD(ROWS($BM$15:BM50)-1,9)</f>
        <v>8</v>
      </c>
      <c r="BN50" s="173">
        <f t="shared" si="22"/>
        <v>2.7638505058697464E-6</v>
      </c>
      <c r="BO50" s="167"/>
      <c r="BP50" s="167"/>
    </row>
    <row r="51" spans="1:68">
      <c r="A51" s="113" t="str">
        <v>Kuwait</v>
      </c>
      <c r="B51" s="112">
        <f>IF(COUNTIFS(_xlfn.ANCHORARRAY(DATA_CLEANED!$AF$3),CALCULES!B$2,_xlfn.ANCHORARRAY(DATA_CLEANED!$AK$3),CALCULES!$A51)+COUNTIFS(_xlfn.ANCHORARRAY(DATA_CLEANED!$AF$3),CALCULES!B$2,_xlfn.ANCHORARRAY(DATA_CLEANED!$AN$3),CALCULES!$A51)&gt;0,1,0)</f>
        <v>0</v>
      </c>
      <c r="C51" s="112">
        <f>IF(COUNTIFS(_xlfn.ANCHORARRAY(DATA_CLEANED!$AF$3),CALCULES!C$2,_xlfn.ANCHORARRAY(DATA_CLEANED!$AK$3),CALCULES!$A51)+COUNTIFS(_xlfn.ANCHORARRAY(DATA_CLEANED!$AF$3),CALCULES!C$2,_xlfn.ANCHORARRAY(DATA_CLEANED!$AN$3),CALCULES!$A51)&gt;0,1,0)</f>
        <v>0</v>
      </c>
      <c r="D51" s="112">
        <f>IF(COUNTIFS(_xlfn.ANCHORARRAY(DATA_CLEANED!$AF$3),CALCULES!D$2,_xlfn.ANCHORARRAY(DATA_CLEANED!$AK$3),CALCULES!$A51)+COUNTIFS(_xlfn.ANCHORARRAY(DATA_CLEANED!$AF$3),CALCULES!D$2,_xlfn.ANCHORARRAY(DATA_CLEANED!$AN$3),CALCULES!$A51)&gt;0,1,0)</f>
        <v>0</v>
      </c>
      <c r="E51" s="112">
        <f>IF(COUNTIFS(_xlfn.ANCHORARRAY(DATA_CLEANED!$AF$3),CALCULES!E$2,_xlfn.ANCHORARRAY(DATA_CLEANED!$AK$3),CALCULES!$A51)+COUNTIFS(_xlfn.ANCHORARRAY(DATA_CLEANED!$AF$3),CALCULES!E$2,_xlfn.ANCHORARRAY(DATA_CLEANED!$AN$3),CALCULES!$A51)&gt;0,1,0)</f>
        <v>0</v>
      </c>
      <c r="F51" s="112">
        <f>IF(COUNTIFS(_xlfn.ANCHORARRAY(DATA_CLEANED!$AF$3),CALCULES!F$2,_xlfn.ANCHORARRAY(DATA_CLEANED!$AK$3),CALCULES!$A51)+COUNTIFS(_xlfn.ANCHORARRAY(DATA_CLEANED!$AF$3),CALCULES!F$2,_xlfn.ANCHORARRAY(DATA_CLEANED!$AN$3),CALCULES!$A51)&gt;0,1,0)</f>
        <v>0</v>
      </c>
      <c r="G51" s="112">
        <f>IF(COUNTIFS(_xlfn.ANCHORARRAY(DATA_CLEANED!$AF$3),CALCULES!G$2,_xlfn.ANCHORARRAY(DATA_CLEANED!$AK$3),CALCULES!$A51)+COUNTIFS(_xlfn.ANCHORARRAY(DATA_CLEANED!$AF$3),CALCULES!G$2,_xlfn.ANCHORARRAY(DATA_CLEANED!$AN$3),CALCULES!$A51)&gt;0,1,0)</f>
        <v>0</v>
      </c>
      <c r="H51" s="112">
        <f>IF(COUNTIFS(_xlfn.ANCHORARRAY(DATA_CLEANED!$AF$3),CALCULES!H$2,_xlfn.ANCHORARRAY(DATA_CLEANED!$AK$3),CALCULES!$A51)+COUNTIFS(_xlfn.ANCHORARRAY(DATA_CLEANED!$AF$3),CALCULES!H$2,_xlfn.ANCHORARRAY(DATA_CLEANED!$AN$3),CALCULES!$A51)&gt;0,1,0)</f>
        <v>0</v>
      </c>
      <c r="I51" s="112">
        <f>IF(COUNTIFS(_xlfn.ANCHORARRAY(DATA_CLEANED!$AF$3),CALCULES!I$2,_xlfn.ANCHORARRAY(DATA_CLEANED!$AK$3),CALCULES!$A51)+COUNTIFS(_xlfn.ANCHORARRAY(DATA_CLEANED!$AF$3),CALCULES!I$2,_xlfn.ANCHORARRAY(DATA_CLEANED!$AN$3),CALCULES!$A51)&gt;0,1,0)</f>
        <v>0</v>
      </c>
      <c r="J51" s="112">
        <f>IF(COUNTIFS(_xlfn.ANCHORARRAY(DATA_CLEANED!$AF$3),CALCULES!J$2,_xlfn.ANCHORARRAY(DATA_CLEANED!$AK$3),CALCULES!$A51)+COUNTIFS(_xlfn.ANCHORARRAY(DATA_CLEANED!$AF$3),CALCULES!J$2,_xlfn.ANCHORARRAY(DATA_CLEANED!$AN$3),CALCULES!$A51)&gt;0,1,0)</f>
        <v>0</v>
      </c>
      <c r="K51" s="112">
        <f>IF(COUNTIFS(_xlfn.ANCHORARRAY(DATA_CLEANED!$AF$3),CALCULES!K$2,_xlfn.ANCHORARRAY(DATA_CLEANED!$AK$3),CALCULES!$A51)+COUNTIFS(_xlfn.ANCHORARRAY(DATA_CLEANED!$AF$3),CALCULES!K$2,_xlfn.ANCHORARRAY(DATA_CLEANED!$AN$3),CALCULES!$A51)&gt;0,1,0)</f>
        <v>0</v>
      </c>
      <c r="L51" s="112">
        <f>IF(COUNTIFS(_xlfn.ANCHORARRAY(DATA_CLEANED!$AF$3),CALCULES!L$2,_xlfn.ANCHORARRAY(DATA_CLEANED!$AK$3),CALCULES!$A51)+COUNTIFS(_xlfn.ANCHORARRAY(DATA_CLEANED!$AF$3),CALCULES!L$2,_xlfn.ANCHORARRAY(DATA_CLEANED!$AN$3),CALCULES!$A51)&gt;0,1,0)</f>
        <v>0</v>
      </c>
      <c r="M51" s="112">
        <f>IF(COUNTIFS(_xlfn.ANCHORARRAY(DATA_CLEANED!$AF$3),CALCULES!M$2,_xlfn.ANCHORARRAY(DATA_CLEANED!$AK$3),CALCULES!$A51)+COUNTIFS(_xlfn.ANCHORARRAY(DATA_CLEANED!$AF$3),CALCULES!M$2,_xlfn.ANCHORARRAY(DATA_CLEANED!$AN$3),CALCULES!$A51)&gt;0,1,0)</f>
        <v>1</v>
      </c>
      <c r="N51" s="112">
        <f>IF(COUNTIFS(_xlfn.ANCHORARRAY(DATA_CLEANED!$AF$3),CALCULES!N$2,_xlfn.ANCHORARRAY(DATA_CLEANED!$AK$3),CALCULES!$A51)+COUNTIFS(_xlfn.ANCHORARRAY(DATA_CLEANED!$AF$3),CALCULES!N$2,_xlfn.ANCHORARRAY(DATA_CLEANED!$AN$3),CALCULES!$A51)&gt;0,1,0)</f>
        <v>0</v>
      </c>
      <c r="O51" s="112">
        <f>IF(COUNTIFS(_xlfn.ANCHORARRAY(DATA_CLEANED!$AF$3),CALCULES!O$2,_xlfn.ANCHORARRAY(DATA_CLEANED!$AK$3),CALCULES!$A51)+COUNTIFS(_xlfn.ANCHORARRAY(DATA_CLEANED!$AF$3),CALCULES!O$2,_xlfn.ANCHORARRAY(DATA_CLEANED!$AN$3),CALCULES!$A51)&gt;0,1,0)</f>
        <v>0</v>
      </c>
      <c r="P51" s="112">
        <f>IF(COUNTIFS(_xlfn.ANCHORARRAY(DATA_CLEANED!$AF$3),CALCULES!P$2,_xlfn.ANCHORARRAY(DATA_CLEANED!$AK$3),CALCULES!$A51)+COUNTIFS(_xlfn.ANCHORARRAY(DATA_CLEANED!$AF$3),CALCULES!P$2,_xlfn.ANCHORARRAY(DATA_CLEANED!$AN$3),CALCULES!$A51)&gt;0,1,0)</f>
        <v>0</v>
      </c>
      <c r="Q51" s="112">
        <f>IF(COUNTIFS(_xlfn.ANCHORARRAY(DATA_CLEANED!$AF$3),CALCULES!Q$2,_xlfn.ANCHORARRAY(DATA_CLEANED!$AK$3),CALCULES!$A51)+COUNTIFS(_xlfn.ANCHORARRAY(DATA_CLEANED!$AF$3),CALCULES!Q$2,_xlfn.ANCHORARRAY(DATA_CLEANED!$AN$3),CALCULES!$A51)&gt;0,1,0)</f>
        <v>0</v>
      </c>
      <c r="R51" s="112">
        <f>IF(COUNTIFS(_xlfn.ANCHORARRAY(DATA_CLEANED!$AF$3),CALCULES!R$2,_xlfn.ANCHORARRAY(DATA_CLEANED!$AK$3),CALCULES!$A51)+COUNTIFS(_xlfn.ANCHORARRAY(DATA_CLEANED!$AF$3),CALCULES!R$2,_xlfn.ANCHORARRAY(DATA_CLEANED!$AN$3),CALCULES!$A51)&gt;0,1,0)</f>
        <v>0</v>
      </c>
      <c r="S51" s="112">
        <f>IF(COUNTIFS(_xlfn.ANCHORARRAY(DATA_CLEANED!$AF$3),CALCULES!S$2,_xlfn.ANCHORARRAY(DATA_CLEANED!$AK$3),CALCULES!$A51)+COUNTIFS(_xlfn.ANCHORARRAY(DATA_CLEANED!$AF$3),CALCULES!S$2,_xlfn.ANCHORARRAY(DATA_CLEANED!$AN$3),CALCULES!$A51)&gt;0,1,0)</f>
        <v>0</v>
      </c>
      <c r="T51" s="112">
        <f>IF(COUNTIFS(_xlfn.ANCHORARRAY(DATA_CLEANED!$AF$3),CALCULES!T$2,_xlfn.ANCHORARRAY(DATA_CLEANED!$AK$3),CALCULES!$A51)+COUNTIFS(_xlfn.ANCHORARRAY(DATA_CLEANED!$AF$3),CALCULES!T$2,_xlfn.ANCHORARRAY(DATA_CLEANED!$AN$3),CALCULES!$A51)&gt;0,1,0)</f>
        <v>0</v>
      </c>
      <c r="U51" s="112">
        <f>IF(COUNTIFS(_xlfn.ANCHORARRAY(DATA_CLEANED!$AF$3),CALCULES!U$2,_xlfn.ANCHORARRAY(DATA_CLEANED!$AK$3),CALCULES!$A51)+COUNTIFS(_xlfn.ANCHORARRAY(DATA_CLEANED!$AF$3),CALCULES!U$2,_xlfn.ANCHORARRAY(DATA_CLEANED!$AN$3),CALCULES!$A51)&gt;0,1,0)</f>
        <v>0</v>
      </c>
      <c r="V51" s="112">
        <f>IF(COUNTIFS(_xlfn.ANCHORARRAY(DATA_CLEANED!$AF$3),CALCULES!V$2,_xlfn.ANCHORARRAY(DATA_CLEANED!$AK$3),CALCULES!$A51)+COUNTIFS(_xlfn.ANCHORARRAY(DATA_CLEANED!$AF$3),CALCULES!V$2,_xlfn.ANCHORARRAY(DATA_CLEANED!$AN$3),CALCULES!$A51)&gt;0,1,0)</f>
        <v>0</v>
      </c>
      <c r="W51" s="112">
        <f>IF(COUNTIFS(_xlfn.ANCHORARRAY(DATA_CLEANED!$AF$3),CALCULES!W$2,_xlfn.ANCHORARRAY(DATA_CLEANED!$AK$3),CALCULES!$A51)+COUNTIFS(_xlfn.ANCHORARRAY(DATA_CLEANED!$AF$3),CALCULES!W$2,_xlfn.ANCHORARRAY(DATA_CLEANED!$AN$3),CALCULES!$A51)&gt;0,1,0)</f>
        <v>0</v>
      </c>
      <c r="X51" s="112">
        <f>IF(COUNTIFS(_xlfn.ANCHORARRAY(DATA_CLEANED!$AF$3),CALCULES!X$2,_xlfn.ANCHORARRAY(DATA_CLEANED!$AK$3),CALCULES!$A51)+COUNTIFS(_xlfn.ANCHORARRAY(DATA_CLEANED!$AF$3),CALCULES!X$2,_xlfn.ANCHORARRAY(DATA_CLEANED!$AN$3),CALCULES!$A51)&gt;0,1,0)</f>
        <v>0</v>
      </c>
      <c r="Y51" s="113">
        <f t="shared" si="15"/>
        <v>1</v>
      </c>
      <c r="AA51" s="112">
        <f>COUNTIF(_xlfn.ANCHORARRAY(DATA_CLEANED!$AK$3),$A51)+COUNTIF(DATA_CLEANED!$AN$2:$AN$1060,$A51)</f>
        <v>3</v>
      </c>
      <c r="AB51" s="112">
        <f>COUNTIF(DATA_QUALITE!BG$12:BG$1069,A51)</f>
        <v>0</v>
      </c>
      <c r="AC51" s="112">
        <f t="shared" si="7"/>
        <v>3</v>
      </c>
      <c r="AD51" s="112" cm="1">
        <f t="array" ref="AD51">SUMPRODUCT((DATA_CLEANED!AL$3:AL$1060=DATA_CLEANED!AM$3:AM$1060)*(_xlfn.ANCHORARRAY(DATA_CLEANED!AK$3)=CALCULES!A51)*(DATA_CLEANED!AO$3:AO$1060&lt;&gt;"-"))
+
SUMPRODUCT((DATA_CLEANED!AL$3:AL$1060=DATA_CLEANED!AM$3:AM$1060)*(_xlfn.ANCHORARRAY(DATA_CLEANED!AN$3)=CALCULES!A51)*(DATA_CLEANED!AO$3:AO$1060&lt;&gt;"-"))</f>
        <v>0</v>
      </c>
      <c r="AE51" s="116">
        <f t="shared" si="16"/>
        <v>0</v>
      </c>
      <c r="AF51" s="116">
        <f t="shared" si="17"/>
        <v>1</v>
      </c>
      <c r="AG51" s="112">
        <f>SUMIF(_xlfn.ANCHORARRAY(DATA_CLEANED!AK$3),A51,DATA_CLEANED!AL$2:AL$1060)+SUMIF(_xlfn.ANCHORARRAY(DATA_CLEANED!AN$3),A51,DATA_CLEANED!AM$2:AM$1060)</f>
        <v>3</v>
      </c>
      <c r="AH51" s="112">
        <f>SUMIF(_xlfn.ANCHORARRAY(DATA_CLEANED!AK$3),A51,DATA_CLEANED!AM$2:AM$1060)+SUMIF(_xlfn.ANCHORARRAY(DATA_CLEANED!AN$3),A51,DATA_CLEANED!AL$2:AL$1060)</f>
        <v>1</v>
      </c>
      <c r="AI51" s="112">
        <f t="shared" si="8"/>
        <v>0.33</v>
      </c>
      <c r="AJ51" s="117" cm="1">
        <f t="array" ref="AJ51">_xlfn.LET(_xlpm.home,IFERROR(_xlfn._xlws.FILTER(DATA_CLEANED!AH$3:AH$1060,DATA_CLEANED!AK$3:AK$1060=CALCULES!A51),""),
_xlpm.away,IFERROR(_xlfn._xlws.FILTER(DATA_CLEANED!AH$3:AH$1060,DATA_CLEANED!AN$3:AN$1060=CALCULES!A51),""),
_xlpm.assemb_t,_xlfn._xlws.FILTER(_xlfn.VSTACK(_xlpm.home,_xlpm.away),_xlfn.VSTACK(_xlpm.home,_xlpm.away)&lt;&gt;""),
_xlpm.but_h,IFERROR(_xlfn._xlws.FILTER(_xlfn.ANCHORARRAY(DATA_CLEANED!AM$3),DATA_CLEANED!AK$3:AK$1060=CALCULES!A51),""),
_xlpm.but_a,IFERROR(_xlfn._xlws.FILTER(_xlfn.ANCHORARRAY(DATA_CLEANED!AL$3),DATA_CLEANED!AN$3:AN$1060=CALCULES!A51),""),
_xlpm.assemb_b,_xlfn._xlws.FILTER(_xlfn.VSTACK(_xlpm.but_h,_xlpm.but_a),_xlfn.VSTACK(_xlpm.but_h,_xlpm.but_a)&lt;&gt;""),
MEDIAN(_xlpm.assemb_t,_xlpm.assemb_b)
)</f>
        <v>1</v>
      </c>
      <c r="AK51" s="113">
        <f t="shared" si="18"/>
        <v>2</v>
      </c>
      <c r="AL51" s="112" cm="1">
        <f t="array" ref="AL51">IFERROR(MEDIAN(_xlfn._xlws.FILTER(_xlfn.VSTACK(
DATA_CLEANED!AL$3:AL$1060-DATA_CLEANED!AM$3:AM$1060,
DATA_CLEANED!AM$3:AM$1060-DATA_CLEANED!AL$3:AL$1060
),_xlfn.VSTACK(DATA_CLEANED!AK$3:AK$1060,DATA_CLEANED!AN$3:AN$1060)=A51)),"-")</f>
        <v>-1</v>
      </c>
      <c r="AM51" s="112">
        <f t="shared" si="9"/>
        <v>1</v>
      </c>
      <c r="AN51" s="112" cm="1">
        <f t="array" ref="AN51">_xlfn.LET(_xlpm.home,IFERROR(_xlfn._xlws.FILTER(DATA_CLEANED!AH$3:AH$1060,DATA_CLEANED!AK$3:AK$1060=CALCULES!A51),""),
_xlpm.away,IFERROR(_xlfn._xlws.FILTER(DATA_CLEANED!AH$3:AH$1060,DATA_CLEANED!AN$3:AN$1060=CALCULES!A51),""),
_xlpm.assemb_t,_xlfn._xlws.FILTER(_xlfn.VSTACK(_xlpm.home,_xlpm.away),_xlfn.VSTACK(_xlpm.home,_xlpm.away)&lt;&gt;""),
_xlpm.but_h,IFERROR(_xlfn._xlws.FILTER(_xlfn.ANCHORARRAY(DATA_CLEANED!AL$3),DATA_CLEANED!AK$3:AK$1060=CALCULES!A51),""),
_xlpm.but_a,IFERROR(_xlfn._xlws.FILTER(_xlfn.ANCHORARRAY(DATA_CLEANED!AM$3),DATA_CLEANED!AN$3:AN$1060=CALCULES!A51),""),
_xlpm.assemb_b,_xlfn._xlws.FILTER(_xlfn.VSTACK(_xlpm.but_h,_xlpm.but_a),_xlfn.VSTACK(_xlpm.but_h,_xlpm.but_a)&lt;&gt;""),
MEDIAN(_xlpm.assemb_t,_xlpm.assemb_b)
)</f>
        <v>1</v>
      </c>
      <c r="AO51" s="116">
        <f>ROUND(IFERROR((COUNTIFS(DATA_CLEANED!AK$3:AK$1060,A51,DATA_CLEANED!AM$3:AM$1060,0)
+
COUNTIFS(DATA_CLEANED!AN$3:AN$1060,A51,DATA_CLEANED!AL$3:AL$1060,0)
)/AA51,0),2)</f>
        <v>0</v>
      </c>
      <c r="AP51" s="112">
        <f>MAX((_xlfn.MAXIFS(_xlfn.ANCHORARRAY(DATA_CLEANED!AL$3),_xlfn.ANCHORARRAY(DATA_CLEANED!AK$3),A51)),(_xlfn.MAXIFS(DATA_CLEANED!AM$3:AM$1060,_xlfn.ANCHORARRAY(DATA_CLEANED!AN$3),A51)))</f>
        <v>1</v>
      </c>
      <c r="AQ51" s="112">
        <f>COUNTIF(_xlfn.ANCHORARRAY(DATA_CLEANED!K$3),A51)</f>
        <v>0</v>
      </c>
      <c r="AR51" s="113" t="str" cm="1">
        <f t="array" ref="AR51">_xlfn.LET(
_xlpm.home,IFERROR(_xlfn._xlws.FILTER(DATA_CLEANED!AH$3:AH$1060,DATA_CLEANED!AK$3:AK$1060=CALCULES!A51),""),
_xlpm.away,IFERROR(_xlfn._xlws.FILTER(DATA_CLEANED!AH$3:AH$1060,DATA_CLEANED!AN$3:AN$1060=CALCULES!A51),""),
_xlpm.etapes,_xlfn._xlws.FILTER(_xlfn.VSTACK(_xlpm.home,_xlpm.away),_xlfn.VSTACK(_xlpm.home,_xlpm.away)&lt;&gt;""),
_xlpm.numeros,_xlfn.XLOOKUP(_xlpm.etapes,DATA_QUALITE!AT$12:AT$38,DATA_QUALITE!AU$12:AU$38),
_xlfn.XLOOKUP(MIN(_xlpm.numeros),DATA_QUALITE!AU$12:AU$38,DATA_QUALITE!AT$12:AT$38)
)</f>
        <v>GROUP_STAGE</v>
      </c>
      <c r="AS51" s="112">
        <f t="shared" si="19"/>
        <v>1</v>
      </c>
      <c r="AT51" s="112">
        <f t="shared" si="20"/>
        <v>0</v>
      </c>
      <c r="AU51" s="112">
        <f>COUNTIFS(DATA_QUALITE!BG$12:BG$1069,"MATCH NUL",_xlfn.ANCHORARRAY(DATA_CLEANED!AK$3),CALCULES!A51)+COUNTIFS(DATA_QUALITE!BG$12:BG$1069,"MATCH NUL",_xlfn.ANCHORARRAY(DATA_CLEANED!AN$3),CALCULES!A51)</f>
        <v>1</v>
      </c>
      <c r="AV51" s="112">
        <v>3</v>
      </c>
      <c r="AW51" s="112">
        <f>COUNTIFS(_xlfn.ANCHORARRAY(DATA_CLEANED!AH$3),"QUARTER_FINALS",_xlfn.ANCHORARRAY(DATA_CLEANED!AK$3),CALCULES!A51)+COUNTIFS(_xlfn.ANCHORARRAY(DATA_CLEANED!AH$3),"QUARTER_FINALS",_xlfn.ANCHORARRAY(DATA_CLEANED!AN$3),CALCULES!A51)</f>
        <v>0</v>
      </c>
      <c r="AX51" s="112">
        <f>COUNTIFS(_xlfn.ANCHORARRAY(DATA_CLEANED!AH$3),"SEMI_FINALS",_xlfn.ANCHORARRAY(DATA_CLEANED!AK$3),CALCULES!A51)+COUNTIFS(_xlfn.ANCHORARRAY(DATA_CLEANED!AH$3),"SEMI_FINALS",_xlfn.ANCHORARRAY(DATA_CLEANED!AN$3),CALCULES!A51)</f>
        <v>0</v>
      </c>
      <c r="AY51" s="112">
        <f>COUNTIFS(_xlfn.ANCHORARRAY(DATA_CLEANED!AH$3),"FINAL",_xlfn.ANCHORARRAY(DATA_CLEANED!AK$3),CALCULES!A51)+COUNTIFS(_xlfn.ANCHORARRAY(DATA_CLEANED!AH$3),"FINAL",_xlfn.ANCHORARRAY(DATA_CLEANED!AN$3),CALCULES!A51)</f>
        <v>0</v>
      </c>
      <c r="AZ51" s="112">
        <f>COUNTIFS(DATA_QUALITE!BG$12:BG$1069,CALCULES!A51,DATA_QUALITE!AW$12:AW$1069,"FINAL")</f>
        <v>0</v>
      </c>
      <c r="BA51" s="113">
        <f t="shared" si="21"/>
        <v>26.92</v>
      </c>
      <c r="BB51" s="118">
        <f t="shared" si="10"/>
        <v>0</v>
      </c>
      <c r="BC51" s="118">
        <f t="shared" si="11"/>
        <v>0</v>
      </c>
      <c r="BD51" s="139">
        <f t="shared" si="12"/>
        <v>0</v>
      </c>
      <c r="BH51" s="167"/>
      <c r="BI51" s="167"/>
      <c r="BJ51" s="167"/>
      <c r="BK51" s="167"/>
      <c r="BL51" s="173">
        <f>INT((ROWS($BL$15:BL51)-1)/9)</f>
        <v>4</v>
      </c>
      <c r="BM51" s="173">
        <f>MOD(ROWS($BM$15:BM51)-1,9)</f>
        <v>0</v>
      </c>
      <c r="BN51" s="173">
        <f t="shared" si="22"/>
        <v>1.8027458854105022E-2</v>
      </c>
      <c r="BO51" s="167"/>
      <c r="BP51" s="167"/>
    </row>
    <row r="52" spans="1:68">
      <c r="A52" s="113" t="str">
        <v>Mexico</v>
      </c>
      <c r="B52" s="112">
        <f>IF(COUNTIFS(_xlfn.ANCHORARRAY(DATA_CLEANED!$AF$3),CALCULES!B$2,_xlfn.ANCHORARRAY(DATA_CLEANED!$AK$3),CALCULES!$A52)+COUNTIFS(_xlfn.ANCHORARRAY(DATA_CLEANED!$AF$3),CALCULES!B$2,_xlfn.ANCHORARRAY(DATA_CLEANED!$AN$3),CALCULES!$A52)&gt;0,1,0)</f>
        <v>1</v>
      </c>
      <c r="C52" s="112">
        <f>IF(COUNTIFS(_xlfn.ANCHORARRAY(DATA_CLEANED!$AF$3),CALCULES!C$2,_xlfn.ANCHORARRAY(DATA_CLEANED!$AK$3),CALCULES!$A52)+COUNTIFS(_xlfn.ANCHORARRAY(DATA_CLEANED!$AF$3),CALCULES!C$2,_xlfn.ANCHORARRAY(DATA_CLEANED!$AN$3),CALCULES!$A52)&gt;0,1,0)</f>
        <v>0</v>
      </c>
      <c r="D52" s="112">
        <f>IF(COUNTIFS(_xlfn.ANCHORARRAY(DATA_CLEANED!$AF$3),CALCULES!D$2,_xlfn.ANCHORARRAY(DATA_CLEANED!$AK$3),CALCULES!$A52)+COUNTIFS(_xlfn.ANCHORARRAY(DATA_CLEANED!$AF$3),CALCULES!D$2,_xlfn.ANCHORARRAY(DATA_CLEANED!$AN$3),CALCULES!$A52)&gt;0,1,0)</f>
        <v>0</v>
      </c>
      <c r="E52" s="112">
        <f>IF(COUNTIFS(_xlfn.ANCHORARRAY(DATA_CLEANED!$AF$3),CALCULES!E$2,_xlfn.ANCHORARRAY(DATA_CLEANED!$AK$3),CALCULES!$A52)+COUNTIFS(_xlfn.ANCHORARRAY(DATA_CLEANED!$AF$3),CALCULES!E$2,_xlfn.ANCHORARRAY(DATA_CLEANED!$AN$3),CALCULES!$A52)&gt;0,1,0)</f>
        <v>1</v>
      </c>
      <c r="F52" s="112">
        <f>IF(COUNTIFS(_xlfn.ANCHORARRAY(DATA_CLEANED!$AF$3),CALCULES!F$2,_xlfn.ANCHORARRAY(DATA_CLEANED!$AK$3),CALCULES!$A52)+COUNTIFS(_xlfn.ANCHORARRAY(DATA_CLEANED!$AF$3),CALCULES!F$2,_xlfn.ANCHORARRAY(DATA_CLEANED!$AN$3),CALCULES!$A52)&gt;0,1,0)</f>
        <v>1</v>
      </c>
      <c r="G52" s="112">
        <f>IF(COUNTIFS(_xlfn.ANCHORARRAY(DATA_CLEANED!$AF$3),CALCULES!G$2,_xlfn.ANCHORARRAY(DATA_CLEANED!$AK$3),CALCULES!$A52)+COUNTIFS(_xlfn.ANCHORARRAY(DATA_CLEANED!$AF$3),CALCULES!G$2,_xlfn.ANCHORARRAY(DATA_CLEANED!$AN$3),CALCULES!$A52)&gt;0,1,0)</f>
        <v>1</v>
      </c>
      <c r="H52" s="112">
        <f>IF(COUNTIFS(_xlfn.ANCHORARRAY(DATA_CLEANED!$AF$3),CALCULES!H$2,_xlfn.ANCHORARRAY(DATA_CLEANED!$AK$3),CALCULES!$A52)+COUNTIFS(_xlfn.ANCHORARRAY(DATA_CLEANED!$AF$3),CALCULES!H$2,_xlfn.ANCHORARRAY(DATA_CLEANED!$AN$3),CALCULES!$A52)&gt;0,1,0)</f>
        <v>1</v>
      </c>
      <c r="I52" s="112">
        <f>IF(COUNTIFS(_xlfn.ANCHORARRAY(DATA_CLEANED!$AF$3),CALCULES!I$2,_xlfn.ANCHORARRAY(DATA_CLEANED!$AK$3),CALCULES!$A52)+COUNTIFS(_xlfn.ANCHORARRAY(DATA_CLEANED!$AF$3),CALCULES!I$2,_xlfn.ANCHORARRAY(DATA_CLEANED!$AN$3),CALCULES!$A52)&gt;0,1,0)</f>
        <v>1</v>
      </c>
      <c r="J52" s="112">
        <f>IF(COUNTIFS(_xlfn.ANCHORARRAY(DATA_CLEANED!$AF$3),CALCULES!J$2,_xlfn.ANCHORARRAY(DATA_CLEANED!$AK$3),CALCULES!$A52)+COUNTIFS(_xlfn.ANCHORARRAY(DATA_CLEANED!$AF$3),CALCULES!J$2,_xlfn.ANCHORARRAY(DATA_CLEANED!$AN$3),CALCULES!$A52)&gt;0,1,0)</f>
        <v>1</v>
      </c>
      <c r="K52" s="112">
        <f>IF(COUNTIFS(_xlfn.ANCHORARRAY(DATA_CLEANED!$AF$3),CALCULES!K$2,_xlfn.ANCHORARRAY(DATA_CLEANED!$AK$3),CALCULES!$A52)+COUNTIFS(_xlfn.ANCHORARRAY(DATA_CLEANED!$AF$3),CALCULES!K$2,_xlfn.ANCHORARRAY(DATA_CLEANED!$AN$3),CALCULES!$A52)&gt;0,1,0)</f>
        <v>0</v>
      </c>
      <c r="L52" s="112">
        <f>IF(COUNTIFS(_xlfn.ANCHORARRAY(DATA_CLEANED!$AF$3),CALCULES!L$2,_xlfn.ANCHORARRAY(DATA_CLEANED!$AK$3),CALCULES!$A52)+COUNTIFS(_xlfn.ANCHORARRAY(DATA_CLEANED!$AF$3),CALCULES!L$2,_xlfn.ANCHORARRAY(DATA_CLEANED!$AN$3),CALCULES!$A52)&gt;0,1,0)</f>
        <v>1</v>
      </c>
      <c r="M52" s="112">
        <f>IF(COUNTIFS(_xlfn.ANCHORARRAY(DATA_CLEANED!$AF$3),CALCULES!M$2,_xlfn.ANCHORARRAY(DATA_CLEANED!$AK$3),CALCULES!$A52)+COUNTIFS(_xlfn.ANCHORARRAY(DATA_CLEANED!$AF$3),CALCULES!M$2,_xlfn.ANCHORARRAY(DATA_CLEANED!$AN$3),CALCULES!$A52)&gt;0,1,0)</f>
        <v>0</v>
      </c>
      <c r="N52" s="112">
        <f>IF(COUNTIFS(_xlfn.ANCHORARRAY(DATA_CLEANED!$AF$3),CALCULES!N$2,_xlfn.ANCHORARRAY(DATA_CLEANED!$AK$3),CALCULES!$A52)+COUNTIFS(_xlfn.ANCHORARRAY(DATA_CLEANED!$AF$3),CALCULES!N$2,_xlfn.ANCHORARRAY(DATA_CLEANED!$AN$3),CALCULES!$A52)&gt;0,1,0)</f>
        <v>1</v>
      </c>
      <c r="O52" s="112">
        <f>IF(COUNTIFS(_xlfn.ANCHORARRAY(DATA_CLEANED!$AF$3),CALCULES!O$2,_xlfn.ANCHORARRAY(DATA_CLEANED!$AK$3),CALCULES!$A52)+COUNTIFS(_xlfn.ANCHORARRAY(DATA_CLEANED!$AF$3),CALCULES!O$2,_xlfn.ANCHORARRAY(DATA_CLEANED!$AN$3),CALCULES!$A52)&gt;0,1,0)</f>
        <v>0</v>
      </c>
      <c r="P52" s="112">
        <f>IF(COUNTIFS(_xlfn.ANCHORARRAY(DATA_CLEANED!$AF$3),CALCULES!P$2,_xlfn.ANCHORARRAY(DATA_CLEANED!$AK$3),CALCULES!$A52)+COUNTIFS(_xlfn.ANCHORARRAY(DATA_CLEANED!$AF$3),CALCULES!P$2,_xlfn.ANCHORARRAY(DATA_CLEANED!$AN$3),CALCULES!$A52)&gt;0,1,0)</f>
        <v>1</v>
      </c>
      <c r="Q52" s="112">
        <f>IF(COUNTIFS(_xlfn.ANCHORARRAY(DATA_CLEANED!$AF$3),CALCULES!Q$2,_xlfn.ANCHORARRAY(DATA_CLEANED!$AK$3),CALCULES!$A52)+COUNTIFS(_xlfn.ANCHORARRAY(DATA_CLEANED!$AF$3),CALCULES!Q$2,_xlfn.ANCHORARRAY(DATA_CLEANED!$AN$3),CALCULES!$A52)&gt;0,1,0)</f>
        <v>1</v>
      </c>
      <c r="R52" s="112">
        <f>IF(COUNTIFS(_xlfn.ANCHORARRAY(DATA_CLEANED!$AF$3),CALCULES!R$2,_xlfn.ANCHORARRAY(DATA_CLEANED!$AK$3),CALCULES!$A52)+COUNTIFS(_xlfn.ANCHORARRAY(DATA_CLEANED!$AF$3),CALCULES!R$2,_xlfn.ANCHORARRAY(DATA_CLEANED!$AN$3),CALCULES!$A52)&gt;0,1,0)</f>
        <v>1</v>
      </c>
      <c r="S52" s="112">
        <f>IF(COUNTIFS(_xlfn.ANCHORARRAY(DATA_CLEANED!$AF$3),CALCULES!S$2,_xlfn.ANCHORARRAY(DATA_CLEANED!$AK$3),CALCULES!$A52)+COUNTIFS(_xlfn.ANCHORARRAY(DATA_CLEANED!$AF$3),CALCULES!S$2,_xlfn.ANCHORARRAY(DATA_CLEANED!$AN$3),CALCULES!$A52)&gt;0,1,0)</f>
        <v>1</v>
      </c>
      <c r="T52" s="112">
        <f>IF(COUNTIFS(_xlfn.ANCHORARRAY(DATA_CLEANED!$AF$3),CALCULES!T$2,_xlfn.ANCHORARRAY(DATA_CLEANED!$AK$3),CALCULES!$A52)+COUNTIFS(_xlfn.ANCHORARRAY(DATA_CLEANED!$AF$3),CALCULES!T$2,_xlfn.ANCHORARRAY(DATA_CLEANED!$AN$3),CALCULES!$A52)&gt;0,1,0)</f>
        <v>1</v>
      </c>
      <c r="U52" s="112">
        <f>IF(COUNTIFS(_xlfn.ANCHORARRAY(DATA_CLEANED!$AF$3),CALCULES!U$2,_xlfn.ANCHORARRAY(DATA_CLEANED!$AK$3),CALCULES!$A52)+COUNTIFS(_xlfn.ANCHORARRAY(DATA_CLEANED!$AF$3),CALCULES!U$2,_xlfn.ANCHORARRAY(DATA_CLEANED!$AN$3),CALCULES!$A52)&gt;0,1,0)</f>
        <v>1</v>
      </c>
      <c r="V52" s="112">
        <f>IF(COUNTIFS(_xlfn.ANCHORARRAY(DATA_CLEANED!$AF$3),CALCULES!V$2,_xlfn.ANCHORARRAY(DATA_CLEANED!$AK$3),CALCULES!$A52)+COUNTIFS(_xlfn.ANCHORARRAY(DATA_CLEANED!$AF$3),CALCULES!V$2,_xlfn.ANCHORARRAY(DATA_CLEANED!$AN$3),CALCULES!$A52)&gt;0,1,0)</f>
        <v>1</v>
      </c>
      <c r="W52" s="112">
        <f>IF(COUNTIFS(_xlfn.ANCHORARRAY(DATA_CLEANED!$AF$3),CALCULES!W$2,_xlfn.ANCHORARRAY(DATA_CLEANED!$AK$3),CALCULES!$A52)+COUNTIFS(_xlfn.ANCHORARRAY(DATA_CLEANED!$AF$3),CALCULES!W$2,_xlfn.ANCHORARRAY(DATA_CLEANED!$AN$3),CALCULES!$A52)&gt;0,1,0)</f>
        <v>1</v>
      </c>
      <c r="X52" s="112">
        <f>IF(COUNTIFS(_xlfn.ANCHORARRAY(DATA_CLEANED!$AF$3),CALCULES!X$2,_xlfn.ANCHORARRAY(DATA_CLEANED!$AK$3),CALCULES!$A52)+COUNTIFS(_xlfn.ANCHORARRAY(DATA_CLEANED!$AF$3),CALCULES!X$2,_xlfn.ANCHORARRAY(DATA_CLEANED!$AN$3),CALCULES!$A52)&gt;0,1,0)</f>
        <v>1</v>
      </c>
      <c r="Y52" s="113">
        <f t="shared" si="15"/>
        <v>18</v>
      </c>
      <c r="AA52" s="112">
        <f>COUNTIF(_xlfn.ANCHORARRAY(DATA_CLEANED!$AK$3),$A52)+COUNTIF(DATA_CLEANED!$AN$2:$AN$1060,$A52)</f>
        <v>65</v>
      </c>
      <c r="AB52" s="112">
        <f>COUNTIF(DATA_QUALITE!BG$12:BG$1069,A52)</f>
        <v>21</v>
      </c>
      <c r="AC52" s="112">
        <f t="shared" si="7"/>
        <v>42</v>
      </c>
      <c r="AD52" s="112" cm="1">
        <f t="array" ref="AD52">SUMPRODUCT((DATA_CLEANED!AL$3:AL$1060=DATA_CLEANED!AM$3:AM$1060)*(_xlfn.ANCHORARRAY(DATA_CLEANED!AK$3)=CALCULES!A52)*(DATA_CLEANED!AO$3:AO$1060&lt;&gt;"-"))
+
SUMPRODUCT((DATA_CLEANED!AL$3:AL$1060=DATA_CLEANED!AM$3:AM$1060)*(_xlfn.ANCHORARRAY(DATA_CLEANED!AN$3)=CALCULES!A52)*(DATA_CLEANED!AO$3:AO$1060&lt;&gt;"-"))</f>
        <v>2</v>
      </c>
      <c r="AE52" s="116">
        <f t="shared" si="16"/>
        <v>0.32307692307692309</v>
      </c>
      <c r="AF52" s="116">
        <f t="shared" si="17"/>
        <v>0.64615384615384619</v>
      </c>
      <c r="AG52" s="112">
        <f>SUMIF(_xlfn.ANCHORARRAY(DATA_CLEANED!AK$3),A52,DATA_CLEANED!AL$2:AL$1060)+SUMIF(_xlfn.ANCHORARRAY(DATA_CLEANED!AN$3),A52,DATA_CLEANED!AM$2:AM$1060)</f>
        <v>85</v>
      </c>
      <c r="AH52" s="112">
        <f>SUMIF(_xlfn.ANCHORARRAY(DATA_CLEANED!AK$3),A52,DATA_CLEANED!AM$2:AM$1060)+SUMIF(_xlfn.ANCHORARRAY(DATA_CLEANED!AN$3),A52,DATA_CLEANED!AL$2:AL$1060)</f>
        <v>101</v>
      </c>
      <c r="AI52" s="112">
        <f t="shared" si="8"/>
        <v>1.55</v>
      </c>
      <c r="AJ52" s="117" cm="1">
        <f t="array" ref="AJ52">_xlfn.LET(_xlpm.home,IFERROR(_xlfn._xlws.FILTER(DATA_CLEANED!AH$3:AH$1060,DATA_CLEANED!AK$3:AK$1060=CALCULES!A52),""),
_xlpm.away,IFERROR(_xlfn._xlws.FILTER(DATA_CLEANED!AH$3:AH$1060,DATA_CLEANED!AN$3:AN$1060=CALCULES!A52),""),
_xlpm.assemb_t,_xlfn._xlws.FILTER(_xlfn.VSTACK(_xlpm.home,_xlpm.away),_xlfn.VSTACK(_xlpm.home,_xlpm.away)&lt;&gt;""),
_xlpm.but_h,IFERROR(_xlfn._xlws.FILTER(_xlfn.ANCHORARRAY(DATA_CLEANED!AM$3),DATA_CLEANED!AK$3:AK$1060=CALCULES!A52),""),
_xlpm.but_a,IFERROR(_xlfn._xlws.FILTER(_xlfn.ANCHORARRAY(DATA_CLEANED!AL$3),DATA_CLEANED!AN$3:AN$1060=CALCULES!A52),""),
_xlpm.assemb_b,_xlfn._xlws.FILTER(_xlfn.VSTACK(_xlpm.but_h,_xlpm.but_a),_xlfn.VSTACK(_xlpm.but_h,_xlpm.but_a)&lt;&gt;""),
MEDIAN(_xlpm.assemb_t,_xlpm.assemb_b)
)</f>
        <v>1</v>
      </c>
      <c r="AK52" s="113">
        <f t="shared" si="18"/>
        <v>-16</v>
      </c>
      <c r="AL52" s="112" cm="1">
        <f t="array" ref="AL52">IFERROR(MEDIAN(_xlfn._xlws.FILTER(_xlfn.VSTACK(
DATA_CLEANED!AL$3:AL$1060-DATA_CLEANED!AM$3:AM$1060,
DATA_CLEANED!AM$3:AM$1060-DATA_CLEANED!AL$3:AL$1060
),_xlfn.VSTACK(DATA_CLEANED!AK$3:AK$1060,DATA_CLEANED!AN$3:AN$1060)=A52)),"-")</f>
        <v>0</v>
      </c>
      <c r="AM52" s="112">
        <f t="shared" si="9"/>
        <v>1.31</v>
      </c>
      <c r="AN52" s="112" cm="1">
        <f t="array" ref="AN52">_xlfn.LET(_xlpm.home,IFERROR(_xlfn._xlws.FILTER(DATA_CLEANED!AH$3:AH$1060,DATA_CLEANED!AK$3:AK$1060=CALCULES!A52),""),
_xlpm.away,IFERROR(_xlfn._xlws.FILTER(DATA_CLEANED!AH$3:AH$1060,DATA_CLEANED!AN$3:AN$1060=CALCULES!A52),""),
_xlpm.assemb_t,_xlfn._xlws.FILTER(_xlfn.VSTACK(_xlpm.home,_xlpm.away),_xlfn.VSTACK(_xlpm.home,_xlpm.away)&lt;&gt;""),
_xlpm.but_h,IFERROR(_xlfn._xlws.FILTER(_xlfn.ANCHORARRAY(DATA_CLEANED!AL$3),DATA_CLEANED!AK$3:AK$1060=CALCULES!A52),""),
_xlpm.but_a,IFERROR(_xlfn._xlws.FILTER(_xlfn.ANCHORARRAY(DATA_CLEANED!AM$3),DATA_CLEANED!AN$3:AN$1060=CALCULES!A52),""),
_xlpm.assemb_b,_xlfn._xlws.FILTER(_xlfn.VSTACK(_xlpm.but_h,_xlpm.but_a),_xlfn.VSTACK(_xlpm.but_h,_xlpm.but_a)&lt;&gt;""),
MEDIAN(_xlpm.assemb_t,_xlpm.assemb_b)
)</f>
        <v>1</v>
      </c>
      <c r="AO52" s="116">
        <f>ROUND(IFERROR((COUNTIFS(DATA_CLEANED!AK$3:AK$1060,A52,DATA_CLEANED!AM$3:AM$1060,0)
+
COUNTIFS(DATA_CLEANED!AN$3:AN$1060,A52,DATA_CLEANED!AL$3:AL$1060,0)
)/AA52,0),2)</f>
        <v>0.28000000000000003</v>
      </c>
      <c r="AP52" s="112">
        <f>MAX((_xlfn.MAXIFS(_xlfn.ANCHORARRAY(DATA_CLEANED!AL$3),_xlfn.ANCHORARRAY(DATA_CLEANED!AK$3),A52)),(_xlfn.MAXIFS(DATA_CLEANED!AM$3:AM$1060,_xlfn.ANCHORARRAY(DATA_CLEANED!AN$3),A52)))</f>
        <v>4</v>
      </c>
      <c r="AQ52" s="112">
        <f>COUNTIF(_xlfn.ANCHORARRAY(DATA_CLEANED!K$3),A52)</f>
        <v>7</v>
      </c>
      <c r="AR52" s="113" t="str" cm="1">
        <f t="array" ref="AR52">_xlfn.LET(
_xlpm.home,IFERROR(_xlfn._xlws.FILTER(DATA_CLEANED!AH$3:AH$1060,DATA_CLEANED!AK$3:AK$1060=CALCULES!A52),""),
_xlpm.away,IFERROR(_xlfn._xlws.FILTER(DATA_CLEANED!AH$3:AH$1060,DATA_CLEANED!AN$3:AN$1060=CALCULES!A52),""),
_xlpm.etapes,_xlfn._xlws.FILTER(_xlfn.VSTACK(_xlpm.home,_xlpm.away),_xlfn.VSTACK(_xlpm.home,_xlpm.away)&lt;&gt;""),
_xlpm.numeros,_xlfn.XLOOKUP(_xlpm.etapes,DATA_QUALITE!AT$12:AT$38,DATA_QUALITE!AU$12:AU$38),
_xlfn.XLOOKUP(MIN(_xlpm.numeros),DATA_QUALITE!AU$12:AU$38,DATA_QUALITE!AT$12:AT$38)
)</f>
        <v>QUARTER_FINALS</v>
      </c>
      <c r="AS52" s="112">
        <f t="shared" si="19"/>
        <v>18</v>
      </c>
      <c r="AT52" s="112">
        <f t="shared" si="20"/>
        <v>21</v>
      </c>
      <c r="AU52" s="112">
        <f>COUNTIFS(DATA_QUALITE!BG$12:BG$1069,"MATCH NUL",_xlfn.ANCHORARRAY(DATA_CLEANED!AK$3),CALCULES!A52)+COUNTIFS(DATA_QUALITE!BG$12:BG$1069,"MATCH NUL",_xlfn.ANCHORARRAY(DATA_CLEANED!AN$3),CALCULES!A52)</f>
        <v>13</v>
      </c>
      <c r="AV52" s="112">
        <v>85</v>
      </c>
      <c r="AW52" s="112">
        <f>COUNTIFS(_xlfn.ANCHORARRAY(DATA_CLEANED!AH$3),"QUARTER_FINALS",_xlfn.ANCHORARRAY(DATA_CLEANED!AK$3),CALCULES!A52)+COUNTIFS(_xlfn.ANCHORARRAY(DATA_CLEANED!AH$3),"QUARTER_FINALS",_xlfn.ANCHORARRAY(DATA_CLEANED!AN$3),CALCULES!A52)</f>
        <v>2</v>
      </c>
      <c r="AX52" s="112">
        <f>COUNTIFS(_xlfn.ANCHORARRAY(DATA_CLEANED!AH$3),"SEMI_FINALS",_xlfn.ANCHORARRAY(DATA_CLEANED!AK$3),CALCULES!A52)+COUNTIFS(_xlfn.ANCHORARRAY(DATA_CLEANED!AH$3),"SEMI_FINALS",_xlfn.ANCHORARRAY(DATA_CLEANED!AN$3),CALCULES!A52)</f>
        <v>0</v>
      </c>
      <c r="AY52" s="112">
        <f>COUNTIFS(_xlfn.ANCHORARRAY(DATA_CLEANED!AH$3),"FINAL",_xlfn.ANCHORARRAY(DATA_CLEANED!AK$3),CALCULES!A52)+COUNTIFS(_xlfn.ANCHORARRAY(DATA_CLEANED!AH$3),"FINAL",_xlfn.ANCHORARRAY(DATA_CLEANED!AN$3),CALCULES!A52)</f>
        <v>0</v>
      </c>
      <c r="AZ52" s="112">
        <f>COUNTIFS(DATA_QUALITE!BG$12:BG$1069,CALCULES!A52,DATA_QUALITE!AW$12:AW$1069,"FINAL")</f>
        <v>0</v>
      </c>
      <c r="BA52" s="113">
        <f t="shared" si="21"/>
        <v>37.299999999999997</v>
      </c>
      <c r="BB52" s="118">
        <f t="shared" si="10"/>
        <v>21.59</v>
      </c>
      <c r="BC52" s="118">
        <f t="shared" si="11"/>
        <v>22.57</v>
      </c>
      <c r="BD52" s="139">
        <f t="shared" si="12"/>
        <v>22.08</v>
      </c>
      <c r="BH52" s="167"/>
      <c r="BI52" s="167"/>
      <c r="BJ52" s="167"/>
      <c r="BK52" s="167"/>
      <c r="BL52" s="173">
        <f>INT((ROWS($BL$15:BL52)-1)/9)</f>
        <v>4</v>
      </c>
      <c r="BM52" s="173">
        <f>MOD(ROWS($BM$15:BM52)-1,9)</f>
        <v>1</v>
      </c>
      <c r="BN52" s="173">
        <f t="shared" si="22"/>
        <v>2.0189587490329699E-2</v>
      </c>
      <c r="BO52" s="167"/>
      <c r="BP52" s="167"/>
    </row>
    <row r="53" spans="1:68">
      <c r="A53" s="113" t="str">
        <v>Morocco</v>
      </c>
      <c r="B53" s="112">
        <f>IF(COUNTIFS(_xlfn.ANCHORARRAY(DATA_CLEANED!$AF$3),CALCULES!B$2,_xlfn.ANCHORARRAY(DATA_CLEANED!$AK$3),CALCULES!$A53)+COUNTIFS(_xlfn.ANCHORARRAY(DATA_CLEANED!$AF$3),CALCULES!B$2,_xlfn.ANCHORARRAY(DATA_CLEANED!$AN$3),CALCULES!$A53)&gt;0,1,0)</f>
        <v>0</v>
      </c>
      <c r="C53" s="112">
        <f>IF(COUNTIFS(_xlfn.ANCHORARRAY(DATA_CLEANED!$AF$3),CALCULES!C$2,_xlfn.ANCHORARRAY(DATA_CLEANED!$AK$3),CALCULES!$A53)+COUNTIFS(_xlfn.ANCHORARRAY(DATA_CLEANED!$AF$3),CALCULES!C$2,_xlfn.ANCHORARRAY(DATA_CLEANED!$AN$3),CALCULES!$A53)&gt;0,1,0)</f>
        <v>0</v>
      </c>
      <c r="D53" s="112">
        <f>IF(COUNTIFS(_xlfn.ANCHORARRAY(DATA_CLEANED!$AF$3),CALCULES!D$2,_xlfn.ANCHORARRAY(DATA_CLEANED!$AK$3),CALCULES!$A53)+COUNTIFS(_xlfn.ANCHORARRAY(DATA_CLEANED!$AF$3),CALCULES!D$2,_xlfn.ANCHORARRAY(DATA_CLEANED!$AN$3),CALCULES!$A53)&gt;0,1,0)</f>
        <v>0</v>
      </c>
      <c r="E53" s="112">
        <f>IF(COUNTIFS(_xlfn.ANCHORARRAY(DATA_CLEANED!$AF$3),CALCULES!E$2,_xlfn.ANCHORARRAY(DATA_CLEANED!$AK$3),CALCULES!$A53)+COUNTIFS(_xlfn.ANCHORARRAY(DATA_CLEANED!$AF$3),CALCULES!E$2,_xlfn.ANCHORARRAY(DATA_CLEANED!$AN$3),CALCULES!$A53)&gt;0,1,0)</f>
        <v>0</v>
      </c>
      <c r="F53" s="112">
        <f>IF(COUNTIFS(_xlfn.ANCHORARRAY(DATA_CLEANED!$AF$3),CALCULES!F$2,_xlfn.ANCHORARRAY(DATA_CLEANED!$AK$3),CALCULES!$A53)+COUNTIFS(_xlfn.ANCHORARRAY(DATA_CLEANED!$AF$3),CALCULES!F$2,_xlfn.ANCHORARRAY(DATA_CLEANED!$AN$3),CALCULES!$A53)&gt;0,1,0)</f>
        <v>0</v>
      </c>
      <c r="G53" s="112">
        <f>IF(COUNTIFS(_xlfn.ANCHORARRAY(DATA_CLEANED!$AF$3),CALCULES!G$2,_xlfn.ANCHORARRAY(DATA_CLEANED!$AK$3),CALCULES!$A53)+COUNTIFS(_xlfn.ANCHORARRAY(DATA_CLEANED!$AF$3),CALCULES!G$2,_xlfn.ANCHORARRAY(DATA_CLEANED!$AN$3),CALCULES!$A53)&gt;0,1,0)</f>
        <v>0</v>
      </c>
      <c r="H53" s="112">
        <f>IF(COUNTIFS(_xlfn.ANCHORARRAY(DATA_CLEANED!$AF$3),CALCULES!H$2,_xlfn.ANCHORARRAY(DATA_CLEANED!$AK$3),CALCULES!$A53)+COUNTIFS(_xlfn.ANCHORARRAY(DATA_CLEANED!$AF$3),CALCULES!H$2,_xlfn.ANCHORARRAY(DATA_CLEANED!$AN$3),CALCULES!$A53)&gt;0,1,0)</f>
        <v>0</v>
      </c>
      <c r="I53" s="112">
        <f>IF(COUNTIFS(_xlfn.ANCHORARRAY(DATA_CLEANED!$AF$3),CALCULES!I$2,_xlfn.ANCHORARRAY(DATA_CLEANED!$AK$3),CALCULES!$A53)+COUNTIFS(_xlfn.ANCHORARRAY(DATA_CLEANED!$AF$3),CALCULES!I$2,_xlfn.ANCHORARRAY(DATA_CLEANED!$AN$3),CALCULES!$A53)&gt;0,1,0)</f>
        <v>0</v>
      </c>
      <c r="J53" s="112">
        <f>IF(COUNTIFS(_xlfn.ANCHORARRAY(DATA_CLEANED!$AF$3),CALCULES!J$2,_xlfn.ANCHORARRAY(DATA_CLEANED!$AK$3),CALCULES!$A53)+COUNTIFS(_xlfn.ANCHORARRAY(DATA_CLEANED!$AF$3),CALCULES!J$2,_xlfn.ANCHORARRAY(DATA_CLEANED!$AN$3),CALCULES!$A53)&gt;0,1,0)</f>
        <v>1</v>
      </c>
      <c r="K53" s="112">
        <f>IF(COUNTIFS(_xlfn.ANCHORARRAY(DATA_CLEANED!$AF$3),CALCULES!K$2,_xlfn.ANCHORARRAY(DATA_CLEANED!$AK$3),CALCULES!$A53)+COUNTIFS(_xlfn.ANCHORARRAY(DATA_CLEANED!$AF$3),CALCULES!K$2,_xlfn.ANCHORARRAY(DATA_CLEANED!$AN$3),CALCULES!$A53)&gt;0,1,0)</f>
        <v>0</v>
      </c>
      <c r="L53" s="112">
        <f>IF(COUNTIFS(_xlfn.ANCHORARRAY(DATA_CLEANED!$AF$3),CALCULES!L$2,_xlfn.ANCHORARRAY(DATA_CLEANED!$AK$3),CALCULES!$A53)+COUNTIFS(_xlfn.ANCHORARRAY(DATA_CLEANED!$AF$3),CALCULES!L$2,_xlfn.ANCHORARRAY(DATA_CLEANED!$AN$3),CALCULES!$A53)&gt;0,1,0)</f>
        <v>0</v>
      </c>
      <c r="M53" s="112">
        <f>IF(COUNTIFS(_xlfn.ANCHORARRAY(DATA_CLEANED!$AF$3),CALCULES!M$2,_xlfn.ANCHORARRAY(DATA_CLEANED!$AK$3),CALCULES!$A53)+COUNTIFS(_xlfn.ANCHORARRAY(DATA_CLEANED!$AF$3),CALCULES!M$2,_xlfn.ANCHORARRAY(DATA_CLEANED!$AN$3),CALCULES!$A53)&gt;0,1,0)</f>
        <v>0</v>
      </c>
      <c r="N53" s="112">
        <f>IF(COUNTIFS(_xlfn.ANCHORARRAY(DATA_CLEANED!$AF$3),CALCULES!N$2,_xlfn.ANCHORARRAY(DATA_CLEANED!$AK$3),CALCULES!$A53)+COUNTIFS(_xlfn.ANCHORARRAY(DATA_CLEANED!$AF$3),CALCULES!N$2,_xlfn.ANCHORARRAY(DATA_CLEANED!$AN$3),CALCULES!$A53)&gt;0,1,0)</f>
        <v>1</v>
      </c>
      <c r="O53" s="112">
        <f>IF(COUNTIFS(_xlfn.ANCHORARRAY(DATA_CLEANED!$AF$3),CALCULES!O$2,_xlfn.ANCHORARRAY(DATA_CLEANED!$AK$3),CALCULES!$A53)+COUNTIFS(_xlfn.ANCHORARRAY(DATA_CLEANED!$AF$3),CALCULES!O$2,_xlfn.ANCHORARRAY(DATA_CLEANED!$AN$3),CALCULES!$A53)&gt;0,1,0)</f>
        <v>0</v>
      </c>
      <c r="P53" s="112">
        <f>IF(COUNTIFS(_xlfn.ANCHORARRAY(DATA_CLEANED!$AF$3),CALCULES!P$2,_xlfn.ANCHORARRAY(DATA_CLEANED!$AK$3),CALCULES!$A53)+COUNTIFS(_xlfn.ANCHORARRAY(DATA_CLEANED!$AF$3),CALCULES!P$2,_xlfn.ANCHORARRAY(DATA_CLEANED!$AN$3),CALCULES!$A53)&gt;0,1,0)</f>
        <v>1</v>
      </c>
      <c r="Q53" s="112">
        <f>IF(COUNTIFS(_xlfn.ANCHORARRAY(DATA_CLEANED!$AF$3),CALCULES!Q$2,_xlfn.ANCHORARRAY(DATA_CLEANED!$AK$3),CALCULES!$A53)+COUNTIFS(_xlfn.ANCHORARRAY(DATA_CLEANED!$AF$3),CALCULES!Q$2,_xlfn.ANCHORARRAY(DATA_CLEANED!$AN$3),CALCULES!$A53)&gt;0,1,0)</f>
        <v>1</v>
      </c>
      <c r="R53" s="112">
        <f>IF(COUNTIFS(_xlfn.ANCHORARRAY(DATA_CLEANED!$AF$3),CALCULES!R$2,_xlfn.ANCHORARRAY(DATA_CLEANED!$AK$3),CALCULES!$A53)+COUNTIFS(_xlfn.ANCHORARRAY(DATA_CLEANED!$AF$3),CALCULES!R$2,_xlfn.ANCHORARRAY(DATA_CLEANED!$AN$3),CALCULES!$A53)&gt;0,1,0)</f>
        <v>0</v>
      </c>
      <c r="S53" s="112">
        <f>IF(COUNTIFS(_xlfn.ANCHORARRAY(DATA_CLEANED!$AF$3),CALCULES!S$2,_xlfn.ANCHORARRAY(DATA_CLEANED!$AK$3),CALCULES!$A53)+COUNTIFS(_xlfn.ANCHORARRAY(DATA_CLEANED!$AF$3),CALCULES!S$2,_xlfn.ANCHORARRAY(DATA_CLEANED!$AN$3),CALCULES!$A53)&gt;0,1,0)</f>
        <v>0</v>
      </c>
      <c r="T53" s="112">
        <f>IF(COUNTIFS(_xlfn.ANCHORARRAY(DATA_CLEANED!$AF$3),CALCULES!T$2,_xlfn.ANCHORARRAY(DATA_CLEANED!$AK$3),CALCULES!$A53)+COUNTIFS(_xlfn.ANCHORARRAY(DATA_CLEANED!$AF$3),CALCULES!T$2,_xlfn.ANCHORARRAY(DATA_CLEANED!$AN$3),CALCULES!$A53)&gt;0,1,0)</f>
        <v>0</v>
      </c>
      <c r="U53" s="112">
        <f>IF(COUNTIFS(_xlfn.ANCHORARRAY(DATA_CLEANED!$AF$3),CALCULES!U$2,_xlfn.ANCHORARRAY(DATA_CLEANED!$AK$3),CALCULES!$A53)+COUNTIFS(_xlfn.ANCHORARRAY(DATA_CLEANED!$AF$3),CALCULES!U$2,_xlfn.ANCHORARRAY(DATA_CLEANED!$AN$3),CALCULES!$A53)&gt;0,1,0)</f>
        <v>0</v>
      </c>
      <c r="V53" s="112">
        <f>IF(COUNTIFS(_xlfn.ANCHORARRAY(DATA_CLEANED!$AF$3),CALCULES!V$2,_xlfn.ANCHORARRAY(DATA_CLEANED!$AK$3),CALCULES!$A53)+COUNTIFS(_xlfn.ANCHORARRAY(DATA_CLEANED!$AF$3),CALCULES!V$2,_xlfn.ANCHORARRAY(DATA_CLEANED!$AN$3),CALCULES!$A53)&gt;0,1,0)</f>
        <v>1</v>
      </c>
      <c r="W53" s="112">
        <f>IF(COUNTIFS(_xlfn.ANCHORARRAY(DATA_CLEANED!$AF$3),CALCULES!W$2,_xlfn.ANCHORARRAY(DATA_CLEANED!$AK$3),CALCULES!$A53)+COUNTIFS(_xlfn.ANCHORARRAY(DATA_CLEANED!$AF$3),CALCULES!W$2,_xlfn.ANCHORARRAY(DATA_CLEANED!$AN$3),CALCULES!$A53)&gt;0,1,0)</f>
        <v>1</v>
      </c>
      <c r="X53" s="112">
        <f>IF(COUNTIFS(_xlfn.ANCHORARRAY(DATA_CLEANED!$AF$3),CALCULES!X$2,_xlfn.ANCHORARRAY(DATA_CLEANED!$AK$3),CALCULES!$A53)+COUNTIFS(_xlfn.ANCHORARRAY(DATA_CLEANED!$AF$3),CALCULES!X$2,_xlfn.ANCHORARRAY(DATA_CLEANED!$AN$3),CALCULES!$A53)&gt;0,1,0)</f>
        <v>1</v>
      </c>
      <c r="Y53" s="113">
        <f t="shared" si="15"/>
        <v>7</v>
      </c>
      <c r="AA53" s="112">
        <f>COUNTIF(_xlfn.ANCHORARRAY(DATA_CLEANED!$AK$3),$A53)+COUNTIF(DATA_CLEANED!$AN$2:$AN$1060,$A53)</f>
        <v>29</v>
      </c>
      <c r="AB53" s="112">
        <f>COUNTIF(DATA_QUALITE!BG$12:BG$1069,A53)</f>
        <v>10</v>
      </c>
      <c r="AC53" s="112">
        <f t="shared" si="7"/>
        <v>17</v>
      </c>
      <c r="AD53" s="112" cm="1">
        <f t="array" ref="AD53">SUMPRODUCT((DATA_CLEANED!AL$3:AL$1060=DATA_CLEANED!AM$3:AM$1060)*(_xlfn.ANCHORARRAY(DATA_CLEANED!AK$3)=CALCULES!A53)*(DATA_CLEANED!AO$3:AO$1060&lt;&gt;"-"))
+
SUMPRODUCT((DATA_CLEANED!AL$3:AL$1060=DATA_CLEANED!AM$3:AM$1060)*(_xlfn.ANCHORARRAY(DATA_CLEANED!AN$3)=CALCULES!A53)*(DATA_CLEANED!AO$3:AO$1060&lt;&gt;"-"))</f>
        <v>2</v>
      </c>
      <c r="AE53" s="116">
        <f t="shared" si="16"/>
        <v>0.34482758620689657</v>
      </c>
      <c r="AF53" s="116">
        <f t="shared" si="17"/>
        <v>0.58620689655172409</v>
      </c>
      <c r="AG53" s="112">
        <f>SUMIF(_xlfn.ANCHORARRAY(DATA_CLEANED!AK$3),A53,DATA_CLEANED!AL$2:AL$1060)+SUMIF(_xlfn.ANCHORARRAY(DATA_CLEANED!AN$3),A53,DATA_CLEANED!AM$2:AM$1060)</f>
        <v>35</v>
      </c>
      <c r="AH53" s="112">
        <f>SUMIF(_xlfn.ANCHORARRAY(DATA_CLEANED!AK$3),A53,DATA_CLEANED!AM$2:AM$1060)+SUMIF(_xlfn.ANCHORARRAY(DATA_CLEANED!AN$3),A53,DATA_CLEANED!AL$2:AL$1060)</f>
        <v>34</v>
      </c>
      <c r="AI53" s="112">
        <f t="shared" si="8"/>
        <v>1.17</v>
      </c>
      <c r="AJ53" s="117" cm="1">
        <f t="array" ref="AJ53">_xlfn.LET(_xlpm.home,IFERROR(_xlfn._xlws.FILTER(DATA_CLEANED!AH$3:AH$1060,DATA_CLEANED!AK$3:AK$1060=CALCULES!A53),""),
_xlpm.away,IFERROR(_xlfn._xlws.FILTER(DATA_CLEANED!AH$3:AH$1060,DATA_CLEANED!AN$3:AN$1060=CALCULES!A53),""),
_xlpm.assemb_t,_xlfn._xlws.FILTER(_xlfn.VSTACK(_xlpm.home,_xlpm.away),_xlfn.VSTACK(_xlpm.home,_xlpm.away)&lt;&gt;""),
_xlpm.but_h,IFERROR(_xlfn._xlws.FILTER(_xlfn.ANCHORARRAY(DATA_CLEANED!AM$3),DATA_CLEANED!AK$3:AK$1060=CALCULES!A53),""),
_xlpm.but_a,IFERROR(_xlfn._xlws.FILTER(_xlfn.ANCHORARRAY(DATA_CLEANED!AL$3),DATA_CLEANED!AN$3:AN$1060=CALCULES!A53),""),
_xlpm.assemb_b,_xlfn._xlws.FILTER(_xlfn.VSTACK(_xlpm.but_h,_xlpm.but_a),_xlfn.VSTACK(_xlpm.but_h,_xlpm.but_a)&lt;&gt;""),
MEDIAN(_xlpm.assemb_t,_xlpm.assemb_b)
)</f>
        <v>1</v>
      </c>
      <c r="AK53" s="113">
        <f t="shared" si="18"/>
        <v>1</v>
      </c>
      <c r="AL53" s="112" cm="1">
        <f t="array" ref="AL53">IFERROR(MEDIAN(_xlfn._xlws.FILTER(_xlfn.VSTACK(
DATA_CLEANED!AL$3:AL$1060-DATA_CLEANED!AM$3:AM$1060,
DATA_CLEANED!AM$3:AM$1060-DATA_CLEANED!AL$3:AL$1060
),_xlfn.VSTACK(DATA_CLEANED!AK$3:AK$1060,DATA_CLEANED!AN$3:AN$1060)=A53)),"-")</f>
        <v>0</v>
      </c>
      <c r="AM53" s="112">
        <f t="shared" si="9"/>
        <v>1.21</v>
      </c>
      <c r="AN53" s="112" cm="1">
        <f t="array" ref="AN53">_xlfn.LET(_xlpm.home,IFERROR(_xlfn._xlws.FILTER(DATA_CLEANED!AH$3:AH$1060,DATA_CLEANED!AK$3:AK$1060=CALCULES!A53),""),
_xlpm.away,IFERROR(_xlfn._xlws.FILTER(DATA_CLEANED!AH$3:AH$1060,DATA_CLEANED!AN$3:AN$1060=CALCULES!A53),""),
_xlpm.assemb_t,_xlfn._xlws.FILTER(_xlfn.VSTACK(_xlpm.home,_xlpm.away),_xlfn.VSTACK(_xlpm.home,_xlpm.away)&lt;&gt;""),
_xlpm.but_h,IFERROR(_xlfn._xlws.FILTER(_xlfn.ANCHORARRAY(DATA_CLEANED!AL$3),DATA_CLEANED!AK$3:AK$1060=CALCULES!A53),""),
_xlpm.but_a,IFERROR(_xlfn._xlws.FILTER(_xlfn.ANCHORARRAY(DATA_CLEANED!AM$3),DATA_CLEANED!AN$3:AN$1060=CALCULES!A53),""),
_xlpm.assemb_b,_xlfn._xlws.FILTER(_xlfn.VSTACK(_xlpm.but_h,_xlpm.but_a),_xlfn.VSTACK(_xlpm.but_h,_xlpm.but_a)&lt;&gt;""),
MEDIAN(_xlpm.assemb_t,_xlpm.assemb_b)
)</f>
        <v>1</v>
      </c>
      <c r="AO53" s="116">
        <f>ROUND(IFERROR((COUNTIFS(DATA_CLEANED!AK$3:AK$1060,A53,DATA_CLEANED!AM$3:AM$1060,0)
+
COUNTIFS(DATA_CLEANED!AN$3:AN$1060,A53,DATA_CLEANED!AL$3:AL$1060,0)
)/AA53,0),2)</f>
        <v>0.31</v>
      </c>
      <c r="AP53" s="112">
        <f>MAX((_xlfn.MAXIFS(_xlfn.ANCHORARRAY(DATA_CLEANED!AL$3),_xlfn.ANCHORARRAY(DATA_CLEANED!AK$3),A53)),(_xlfn.MAXIFS(DATA_CLEANED!AM$3:AM$1060,_xlfn.ANCHORARRAY(DATA_CLEANED!AN$3),A53)))</f>
        <v>4</v>
      </c>
      <c r="AQ53" s="112">
        <f>COUNTIF(_xlfn.ANCHORARRAY(DATA_CLEANED!K$3),A53)</f>
        <v>8</v>
      </c>
      <c r="AR53" s="113" t="str" cm="1">
        <f t="array" ref="AR53">_xlfn.LET(
_xlpm.home,IFERROR(_xlfn._xlws.FILTER(DATA_CLEANED!AH$3:AH$1060,DATA_CLEANED!AK$3:AK$1060=CALCULES!A53),""),
_xlpm.away,IFERROR(_xlfn._xlws.FILTER(DATA_CLEANED!AH$3:AH$1060,DATA_CLEANED!AN$3:AN$1060=CALCULES!A53),""),
_xlpm.etapes,_xlfn._xlws.FILTER(_xlfn.VSTACK(_xlpm.home,_xlpm.away),_xlfn.VSTACK(_xlpm.home,_xlpm.away)&lt;&gt;""),
_xlpm.numeros,_xlfn.XLOOKUP(_xlpm.etapes,DATA_QUALITE!AT$12:AT$38,DATA_QUALITE!AU$12:AU$38),
_xlfn.XLOOKUP(MIN(_xlpm.numeros),DATA_QUALITE!AU$12:AU$38,DATA_QUALITE!AT$12:AT$38)
)</f>
        <v>THIRD_PLACE</v>
      </c>
      <c r="AS53" s="112">
        <f t="shared" si="19"/>
        <v>7</v>
      </c>
      <c r="AT53" s="112">
        <f t="shared" si="20"/>
        <v>10</v>
      </c>
      <c r="AU53" s="112">
        <f>COUNTIFS(DATA_QUALITE!BG$12:BG$1069,"MATCH NUL",_xlfn.ANCHORARRAY(DATA_CLEANED!AK$3),CALCULES!A53)+COUNTIFS(DATA_QUALITE!BG$12:BG$1069,"MATCH NUL",_xlfn.ANCHORARRAY(DATA_CLEANED!AN$3),CALCULES!A53)</f>
        <v>7</v>
      </c>
      <c r="AV53" s="112">
        <v>35</v>
      </c>
      <c r="AW53" s="112">
        <f>COUNTIFS(_xlfn.ANCHORARRAY(DATA_CLEANED!AH$3),"QUARTER_FINALS",_xlfn.ANCHORARRAY(DATA_CLEANED!AK$3),CALCULES!A53)+COUNTIFS(_xlfn.ANCHORARRAY(DATA_CLEANED!AH$3),"QUARTER_FINALS",_xlfn.ANCHORARRAY(DATA_CLEANED!AN$3),CALCULES!A53)</f>
        <v>2</v>
      </c>
      <c r="AX53" s="112">
        <f>COUNTIFS(_xlfn.ANCHORARRAY(DATA_CLEANED!AH$3),"SEMI_FINALS",_xlfn.ANCHORARRAY(DATA_CLEANED!AK$3),CALCULES!A53)+COUNTIFS(_xlfn.ANCHORARRAY(DATA_CLEANED!AH$3),"SEMI_FINALS",_xlfn.ANCHORARRAY(DATA_CLEANED!AN$3),CALCULES!A53)</f>
        <v>1</v>
      </c>
      <c r="AY53" s="112">
        <f>COUNTIFS(_xlfn.ANCHORARRAY(DATA_CLEANED!AH$3),"FINAL",_xlfn.ANCHORARRAY(DATA_CLEANED!AK$3),CALCULES!A53)+COUNTIFS(_xlfn.ANCHORARRAY(DATA_CLEANED!AH$3),"FINAL",_xlfn.ANCHORARRAY(DATA_CLEANED!AN$3),CALCULES!A53)</f>
        <v>0</v>
      </c>
      <c r="AZ53" s="112">
        <f>COUNTIFS(DATA_QUALITE!BG$12:BG$1069,CALCULES!A53,DATA_QUALITE!AW$12:AW$1069,"FINAL")</f>
        <v>0</v>
      </c>
      <c r="BA53" s="113">
        <f t="shared" si="21"/>
        <v>43.57</v>
      </c>
      <c r="BB53" s="118">
        <f t="shared" si="10"/>
        <v>14.35</v>
      </c>
      <c r="BC53" s="118">
        <f t="shared" si="11"/>
        <v>18.440000000000001</v>
      </c>
      <c r="BD53" s="139">
        <f t="shared" si="12"/>
        <v>16.399999999999999</v>
      </c>
      <c r="BH53" s="167"/>
      <c r="BI53" s="167"/>
      <c r="BJ53" s="167"/>
      <c r="BK53" s="167"/>
      <c r="BL53" s="173">
        <f>INT((ROWS($BL$15:BL53)-1)/9)</f>
        <v>4</v>
      </c>
      <c r="BM53" s="173">
        <f>MOD(ROWS($BM$15:BM53)-1,9)</f>
        <v>2</v>
      </c>
      <c r="BN53" s="173">
        <f t="shared" si="22"/>
        <v>1.1305515833610089E-2</v>
      </c>
      <c r="BO53" s="167"/>
      <c r="BP53" s="167"/>
    </row>
    <row r="54" spans="1:68">
      <c r="A54" s="113" t="str">
        <v>Netherlands</v>
      </c>
      <c r="B54" s="112">
        <f>IF(COUNTIFS(_xlfn.ANCHORARRAY(DATA_CLEANED!$AF$3),CALCULES!B$2,_xlfn.ANCHORARRAY(DATA_CLEANED!$AK$3),CALCULES!$A54)+COUNTIFS(_xlfn.ANCHORARRAY(DATA_CLEANED!$AF$3),CALCULES!B$2,_xlfn.ANCHORARRAY(DATA_CLEANED!$AN$3),CALCULES!$A54)&gt;0,1,0)</f>
        <v>0</v>
      </c>
      <c r="C54" s="112">
        <f>IF(COUNTIFS(_xlfn.ANCHORARRAY(DATA_CLEANED!$AF$3),CALCULES!C$2,_xlfn.ANCHORARRAY(DATA_CLEANED!$AK$3),CALCULES!$A54)+COUNTIFS(_xlfn.ANCHORARRAY(DATA_CLEANED!$AF$3),CALCULES!C$2,_xlfn.ANCHORARRAY(DATA_CLEANED!$AN$3),CALCULES!$A54)&gt;0,1,0)</f>
        <v>1</v>
      </c>
      <c r="D54" s="112">
        <f>IF(COUNTIFS(_xlfn.ANCHORARRAY(DATA_CLEANED!$AF$3),CALCULES!D$2,_xlfn.ANCHORARRAY(DATA_CLEANED!$AK$3),CALCULES!$A54)+COUNTIFS(_xlfn.ANCHORARRAY(DATA_CLEANED!$AF$3),CALCULES!D$2,_xlfn.ANCHORARRAY(DATA_CLEANED!$AN$3),CALCULES!$A54)&gt;0,1,0)</f>
        <v>1</v>
      </c>
      <c r="E54" s="112">
        <f>IF(COUNTIFS(_xlfn.ANCHORARRAY(DATA_CLEANED!$AF$3),CALCULES!E$2,_xlfn.ANCHORARRAY(DATA_CLEANED!$AK$3),CALCULES!$A54)+COUNTIFS(_xlfn.ANCHORARRAY(DATA_CLEANED!$AF$3),CALCULES!E$2,_xlfn.ANCHORARRAY(DATA_CLEANED!$AN$3),CALCULES!$A54)&gt;0,1,0)</f>
        <v>0</v>
      </c>
      <c r="F54" s="112">
        <f>IF(COUNTIFS(_xlfn.ANCHORARRAY(DATA_CLEANED!$AF$3),CALCULES!F$2,_xlfn.ANCHORARRAY(DATA_CLEANED!$AK$3),CALCULES!$A54)+COUNTIFS(_xlfn.ANCHORARRAY(DATA_CLEANED!$AF$3),CALCULES!F$2,_xlfn.ANCHORARRAY(DATA_CLEANED!$AN$3),CALCULES!$A54)&gt;0,1,0)</f>
        <v>0</v>
      </c>
      <c r="G54" s="112">
        <f>IF(COUNTIFS(_xlfn.ANCHORARRAY(DATA_CLEANED!$AF$3),CALCULES!G$2,_xlfn.ANCHORARRAY(DATA_CLEANED!$AK$3),CALCULES!$A54)+COUNTIFS(_xlfn.ANCHORARRAY(DATA_CLEANED!$AF$3),CALCULES!G$2,_xlfn.ANCHORARRAY(DATA_CLEANED!$AN$3),CALCULES!$A54)&gt;0,1,0)</f>
        <v>0</v>
      </c>
      <c r="H54" s="112">
        <f>IF(COUNTIFS(_xlfn.ANCHORARRAY(DATA_CLEANED!$AF$3),CALCULES!H$2,_xlfn.ANCHORARRAY(DATA_CLEANED!$AK$3),CALCULES!$A54)+COUNTIFS(_xlfn.ANCHORARRAY(DATA_CLEANED!$AF$3),CALCULES!H$2,_xlfn.ANCHORARRAY(DATA_CLEANED!$AN$3),CALCULES!$A54)&gt;0,1,0)</f>
        <v>0</v>
      </c>
      <c r="I54" s="112">
        <f>IF(COUNTIFS(_xlfn.ANCHORARRAY(DATA_CLEANED!$AF$3),CALCULES!I$2,_xlfn.ANCHORARRAY(DATA_CLEANED!$AK$3),CALCULES!$A54)+COUNTIFS(_xlfn.ANCHORARRAY(DATA_CLEANED!$AF$3),CALCULES!I$2,_xlfn.ANCHORARRAY(DATA_CLEANED!$AN$3),CALCULES!$A54)&gt;0,1,0)</f>
        <v>0</v>
      </c>
      <c r="J54" s="112">
        <f>IF(COUNTIFS(_xlfn.ANCHORARRAY(DATA_CLEANED!$AF$3),CALCULES!J$2,_xlfn.ANCHORARRAY(DATA_CLEANED!$AK$3),CALCULES!$A54)+COUNTIFS(_xlfn.ANCHORARRAY(DATA_CLEANED!$AF$3),CALCULES!J$2,_xlfn.ANCHORARRAY(DATA_CLEANED!$AN$3),CALCULES!$A54)&gt;0,1,0)</f>
        <v>0</v>
      </c>
      <c r="K54" s="112">
        <f>IF(COUNTIFS(_xlfn.ANCHORARRAY(DATA_CLEANED!$AF$3),CALCULES!K$2,_xlfn.ANCHORARRAY(DATA_CLEANED!$AK$3),CALCULES!$A54)+COUNTIFS(_xlfn.ANCHORARRAY(DATA_CLEANED!$AF$3),CALCULES!K$2,_xlfn.ANCHORARRAY(DATA_CLEANED!$AN$3),CALCULES!$A54)&gt;0,1,0)</f>
        <v>1</v>
      </c>
      <c r="L54" s="112">
        <f>IF(COUNTIFS(_xlfn.ANCHORARRAY(DATA_CLEANED!$AF$3),CALCULES!L$2,_xlfn.ANCHORARRAY(DATA_CLEANED!$AK$3),CALCULES!$A54)+COUNTIFS(_xlfn.ANCHORARRAY(DATA_CLEANED!$AF$3),CALCULES!L$2,_xlfn.ANCHORARRAY(DATA_CLEANED!$AN$3),CALCULES!$A54)&gt;0,1,0)</f>
        <v>1</v>
      </c>
      <c r="M54" s="112">
        <f>IF(COUNTIFS(_xlfn.ANCHORARRAY(DATA_CLEANED!$AF$3),CALCULES!M$2,_xlfn.ANCHORARRAY(DATA_CLEANED!$AK$3),CALCULES!$A54)+COUNTIFS(_xlfn.ANCHORARRAY(DATA_CLEANED!$AF$3),CALCULES!M$2,_xlfn.ANCHORARRAY(DATA_CLEANED!$AN$3),CALCULES!$A54)&gt;0,1,0)</f>
        <v>0</v>
      </c>
      <c r="N54" s="112">
        <f>IF(COUNTIFS(_xlfn.ANCHORARRAY(DATA_CLEANED!$AF$3),CALCULES!N$2,_xlfn.ANCHORARRAY(DATA_CLEANED!$AK$3),CALCULES!$A54)+COUNTIFS(_xlfn.ANCHORARRAY(DATA_CLEANED!$AF$3),CALCULES!N$2,_xlfn.ANCHORARRAY(DATA_CLEANED!$AN$3),CALCULES!$A54)&gt;0,1,0)</f>
        <v>0</v>
      </c>
      <c r="O54" s="112">
        <f>IF(COUNTIFS(_xlfn.ANCHORARRAY(DATA_CLEANED!$AF$3),CALCULES!O$2,_xlfn.ANCHORARRAY(DATA_CLEANED!$AK$3),CALCULES!$A54)+COUNTIFS(_xlfn.ANCHORARRAY(DATA_CLEANED!$AF$3),CALCULES!O$2,_xlfn.ANCHORARRAY(DATA_CLEANED!$AN$3),CALCULES!$A54)&gt;0,1,0)</f>
        <v>1</v>
      </c>
      <c r="P54" s="112">
        <f>IF(COUNTIFS(_xlfn.ANCHORARRAY(DATA_CLEANED!$AF$3),CALCULES!P$2,_xlfn.ANCHORARRAY(DATA_CLEANED!$AK$3),CALCULES!$A54)+COUNTIFS(_xlfn.ANCHORARRAY(DATA_CLEANED!$AF$3),CALCULES!P$2,_xlfn.ANCHORARRAY(DATA_CLEANED!$AN$3),CALCULES!$A54)&gt;0,1,0)</f>
        <v>1</v>
      </c>
      <c r="Q54" s="112">
        <f>IF(COUNTIFS(_xlfn.ANCHORARRAY(DATA_CLEANED!$AF$3),CALCULES!Q$2,_xlfn.ANCHORARRAY(DATA_CLEANED!$AK$3),CALCULES!$A54)+COUNTIFS(_xlfn.ANCHORARRAY(DATA_CLEANED!$AF$3),CALCULES!Q$2,_xlfn.ANCHORARRAY(DATA_CLEANED!$AN$3),CALCULES!$A54)&gt;0,1,0)</f>
        <v>1</v>
      </c>
      <c r="R54" s="112">
        <f>IF(COUNTIFS(_xlfn.ANCHORARRAY(DATA_CLEANED!$AF$3),CALCULES!R$2,_xlfn.ANCHORARRAY(DATA_CLEANED!$AK$3),CALCULES!$A54)+COUNTIFS(_xlfn.ANCHORARRAY(DATA_CLEANED!$AF$3),CALCULES!R$2,_xlfn.ANCHORARRAY(DATA_CLEANED!$AN$3),CALCULES!$A54)&gt;0,1,0)</f>
        <v>0</v>
      </c>
      <c r="S54" s="112">
        <f>IF(COUNTIFS(_xlfn.ANCHORARRAY(DATA_CLEANED!$AF$3),CALCULES!S$2,_xlfn.ANCHORARRAY(DATA_CLEANED!$AK$3),CALCULES!$A54)+COUNTIFS(_xlfn.ANCHORARRAY(DATA_CLEANED!$AF$3),CALCULES!S$2,_xlfn.ANCHORARRAY(DATA_CLEANED!$AN$3),CALCULES!$A54)&gt;0,1,0)</f>
        <v>1</v>
      </c>
      <c r="T54" s="112">
        <f>IF(COUNTIFS(_xlfn.ANCHORARRAY(DATA_CLEANED!$AF$3),CALCULES!T$2,_xlfn.ANCHORARRAY(DATA_CLEANED!$AK$3),CALCULES!$A54)+COUNTIFS(_xlfn.ANCHORARRAY(DATA_CLEANED!$AF$3),CALCULES!T$2,_xlfn.ANCHORARRAY(DATA_CLEANED!$AN$3),CALCULES!$A54)&gt;0,1,0)</f>
        <v>1</v>
      </c>
      <c r="U54" s="112">
        <f>IF(COUNTIFS(_xlfn.ANCHORARRAY(DATA_CLEANED!$AF$3),CALCULES!U$2,_xlfn.ANCHORARRAY(DATA_CLEANED!$AK$3),CALCULES!$A54)+COUNTIFS(_xlfn.ANCHORARRAY(DATA_CLEANED!$AF$3),CALCULES!U$2,_xlfn.ANCHORARRAY(DATA_CLEANED!$AN$3),CALCULES!$A54)&gt;0,1,0)</f>
        <v>1</v>
      </c>
      <c r="V54" s="112">
        <f>IF(COUNTIFS(_xlfn.ANCHORARRAY(DATA_CLEANED!$AF$3),CALCULES!V$2,_xlfn.ANCHORARRAY(DATA_CLEANED!$AK$3),CALCULES!$A54)+COUNTIFS(_xlfn.ANCHORARRAY(DATA_CLEANED!$AF$3),CALCULES!V$2,_xlfn.ANCHORARRAY(DATA_CLEANED!$AN$3),CALCULES!$A54)&gt;0,1,0)</f>
        <v>0</v>
      </c>
      <c r="W54" s="112">
        <f>IF(COUNTIFS(_xlfn.ANCHORARRAY(DATA_CLEANED!$AF$3),CALCULES!W$2,_xlfn.ANCHORARRAY(DATA_CLEANED!$AK$3),CALCULES!$A54)+COUNTIFS(_xlfn.ANCHORARRAY(DATA_CLEANED!$AF$3),CALCULES!W$2,_xlfn.ANCHORARRAY(DATA_CLEANED!$AN$3),CALCULES!$A54)&gt;0,1,0)</f>
        <v>1</v>
      </c>
      <c r="X54" s="112">
        <f>IF(COUNTIFS(_xlfn.ANCHORARRAY(DATA_CLEANED!$AF$3),CALCULES!X$2,_xlfn.ANCHORARRAY(DATA_CLEANED!$AK$3),CALCULES!$A54)+COUNTIFS(_xlfn.ANCHORARRAY(DATA_CLEANED!$AF$3),CALCULES!X$2,_xlfn.ANCHORARRAY(DATA_CLEANED!$AN$3),CALCULES!$A54)&gt;0,1,0)</f>
        <v>1</v>
      </c>
      <c r="Y54" s="113">
        <f t="shared" si="15"/>
        <v>12</v>
      </c>
      <c r="AA54" s="112">
        <f>COUNTIF(_xlfn.ANCHORARRAY(DATA_CLEANED!$AK$3),$A54)+COUNTIF(DATA_CLEANED!$AN$2:$AN$1060,$A54)</f>
        <v>59</v>
      </c>
      <c r="AB54" s="112">
        <f>COUNTIF(DATA_QUALITE!BG$12:BG$1069,A54)</f>
        <v>33</v>
      </c>
      <c r="AC54" s="112">
        <f t="shared" si="7"/>
        <v>21</v>
      </c>
      <c r="AD54" s="112" cm="1">
        <f t="array" ref="AD54">SUMPRODUCT((DATA_CLEANED!AL$3:AL$1060=DATA_CLEANED!AM$3:AM$1060)*(_xlfn.ANCHORARRAY(DATA_CLEANED!AK$3)=CALCULES!A54)*(DATA_CLEANED!AO$3:AO$1060&lt;&gt;"-"))
+
SUMPRODUCT((DATA_CLEANED!AL$3:AL$1060=DATA_CLEANED!AM$3:AM$1060)*(_xlfn.ANCHORARRAY(DATA_CLEANED!AN$3)=CALCULES!A54)*(DATA_CLEANED!AO$3:AO$1060&lt;&gt;"-"))</f>
        <v>5</v>
      </c>
      <c r="AE54" s="116">
        <f t="shared" si="16"/>
        <v>0.55932203389830504</v>
      </c>
      <c r="AF54" s="116">
        <f t="shared" si="17"/>
        <v>0.3559322033898305</v>
      </c>
      <c r="AG54" s="112">
        <f>SUMIF(_xlfn.ANCHORARRAY(DATA_CLEANED!AK$3),A54,DATA_CLEANED!AL$2:AL$1060)+SUMIF(_xlfn.ANCHORARRAY(DATA_CLEANED!AN$3),A54,DATA_CLEANED!AM$2:AM$1060)</f>
        <v>104</v>
      </c>
      <c r="AH54" s="112">
        <f>SUMIF(_xlfn.ANCHORARRAY(DATA_CLEANED!AK$3),A54,DATA_CLEANED!AM$2:AM$1060)+SUMIF(_xlfn.ANCHORARRAY(DATA_CLEANED!AN$3),A54,DATA_CLEANED!AL$2:AL$1060)</f>
        <v>85</v>
      </c>
      <c r="AI54" s="112">
        <f t="shared" si="8"/>
        <v>1.44</v>
      </c>
      <c r="AJ54" s="117" cm="1">
        <f t="array" ref="AJ54">_xlfn.LET(_xlpm.home,IFERROR(_xlfn._xlws.FILTER(DATA_CLEANED!AH$3:AH$1060,DATA_CLEANED!AK$3:AK$1060=CALCULES!A54),""),
_xlpm.away,IFERROR(_xlfn._xlws.FILTER(DATA_CLEANED!AH$3:AH$1060,DATA_CLEANED!AN$3:AN$1060=CALCULES!A54),""),
_xlpm.assemb_t,_xlfn._xlws.FILTER(_xlfn.VSTACK(_xlpm.home,_xlpm.away),_xlfn.VSTACK(_xlpm.home,_xlpm.away)&lt;&gt;""),
_xlpm.but_h,IFERROR(_xlfn._xlws.FILTER(_xlfn.ANCHORARRAY(DATA_CLEANED!AM$3),DATA_CLEANED!AK$3:AK$1060=CALCULES!A54),""),
_xlpm.but_a,IFERROR(_xlfn._xlws.FILTER(_xlfn.ANCHORARRAY(DATA_CLEANED!AL$3),DATA_CLEANED!AN$3:AN$1060=CALCULES!A54),""),
_xlpm.assemb_b,_xlfn._xlws.FILTER(_xlfn.VSTACK(_xlpm.but_h,_xlpm.but_a),_xlfn.VSTACK(_xlpm.but_h,_xlpm.but_a)&lt;&gt;""),
MEDIAN(_xlpm.assemb_t,_xlpm.assemb_b)
)</f>
        <v>1</v>
      </c>
      <c r="AK54" s="113">
        <f t="shared" si="18"/>
        <v>19</v>
      </c>
      <c r="AL54" s="112" cm="1">
        <f t="array" ref="AL54">IFERROR(MEDIAN(_xlfn._xlws.FILTER(_xlfn.VSTACK(
DATA_CLEANED!AL$3:AL$1060-DATA_CLEANED!AM$3:AM$1060,
DATA_CLEANED!AM$3:AM$1060-DATA_CLEANED!AL$3:AL$1060
),_xlfn.VSTACK(DATA_CLEANED!AK$3:AK$1060,DATA_CLEANED!AN$3:AN$1060)=A54)),"-")</f>
        <v>1</v>
      </c>
      <c r="AM54" s="112">
        <f t="shared" si="9"/>
        <v>1.76</v>
      </c>
      <c r="AN54" s="112" cm="1">
        <f t="array" ref="AN54">_xlfn.LET(_xlpm.home,IFERROR(_xlfn._xlws.FILTER(DATA_CLEANED!AH$3:AH$1060,DATA_CLEANED!AK$3:AK$1060=CALCULES!A54),""),
_xlpm.away,IFERROR(_xlfn._xlws.FILTER(DATA_CLEANED!AH$3:AH$1060,DATA_CLEANED!AN$3:AN$1060=CALCULES!A54),""),
_xlpm.assemb_t,_xlfn._xlws.FILTER(_xlfn.VSTACK(_xlpm.home,_xlpm.away),_xlfn.VSTACK(_xlpm.home,_xlpm.away)&lt;&gt;""),
_xlpm.but_h,IFERROR(_xlfn._xlws.FILTER(_xlfn.ANCHORARRAY(DATA_CLEANED!AL$3),DATA_CLEANED!AK$3:AK$1060=CALCULES!A54),""),
_xlpm.but_a,IFERROR(_xlfn._xlws.FILTER(_xlfn.ANCHORARRAY(DATA_CLEANED!AM$3),DATA_CLEANED!AN$3:AN$1060=CALCULES!A54),""),
_xlpm.assemb_b,_xlfn._xlws.FILTER(_xlfn.VSTACK(_xlpm.but_h,_xlpm.but_a),_xlfn.VSTACK(_xlpm.but_h,_xlpm.but_a)&lt;&gt;""),
MEDIAN(_xlpm.assemb_t,_xlpm.assemb_b)
)</f>
        <v>2</v>
      </c>
      <c r="AO54" s="116">
        <f>ROUND(IFERROR((COUNTIFS(DATA_CLEANED!AK$3:AK$1060,A54,DATA_CLEANED!AM$3:AM$1060,0)
+
COUNTIFS(DATA_CLEANED!AN$3:AN$1060,A54,DATA_CLEANED!AL$3:AL$1060,0)
)/AA54,0),2)</f>
        <v>0.36</v>
      </c>
      <c r="AP54" s="112">
        <f>MAX((_xlfn.MAXIFS(_xlfn.ANCHORARRAY(DATA_CLEANED!AL$3),_xlfn.ANCHORARRAY(DATA_CLEANED!AK$3),A54)),(_xlfn.MAXIFS(DATA_CLEANED!AM$3:AM$1060,_xlfn.ANCHORARRAY(DATA_CLEANED!AN$3),A54)))</f>
        <v>5</v>
      </c>
      <c r="AQ54" s="112">
        <f>COUNTIF(_xlfn.ANCHORARRAY(DATA_CLEANED!K$3),A54)</f>
        <v>22</v>
      </c>
      <c r="AR54" s="113" t="str" cm="1">
        <f t="array" ref="AR54">_xlfn.LET(
_xlpm.home,IFERROR(_xlfn._xlws.FILTER(DATA_CLEANED!AH$3:AH$1060,DATA_CLEANED!AK$3:AK$1060=CALCULES!A54),""),
_xlpm.away,IFERROR(_xlfn._xlws.FILTER(DATA_CLEANED!AH$3:AH$1060,DATA_CLEANED!AN$3:AN$1060=CALCULES!A54),""),
_xlpm.etapes,_xlfn._xlws.FILTER(_xlfn.VSTACK(_xlpm.home,_xlpm.away),_xlfn.VSTACK(_xlpm.home,_xlpm.away)&lt;&gt;""),
_xlpm.numeros,_xlfn.XLOOKUP(_xlpm.etapes,DATA_QUALITE!AT$12:AT$38,DATA_QUALITE!AU$12:AU$38),
_xlfn.XLOOKUP(MIN(_xlpm.numeros),DATA_QUALITE!AU$12:AU$38,DATA_QUALITE!AT$12:AT$38)
)</f>
        <v>FINAL</v>
      </c>
      <c r="AS54" s="112">
        <f t="shared" si="19"/>
        <v>12</v>
      </c>
      <c r="AT54" s="112">
        <f t="shared" si="20"/>
        <v>33</v>
      </c>
      <c r="AU54" s="112">
        <f>COUNTIFS(DATA_QUALITE!BG$12:BG$1069,"MATCH NUL",_xlfn.ANCHORARRAY(DATA_CLEANED!AK$3),CALCULES!A54)+COUNTIFS(DATA_QUALITE!BG$12:BG$1069,"MATCH NUL",_xlfn.ANCHORARRAY(DATA_CLEANED!AN$3),CALCULES!A54)</f>
        <v>11</v>
      </c>
      <c r="AV54" s="112">
        <v>104</v>
      </c>
      <c r="AW54" s="112">
        <f>COUNTIFS(_xlfn.ANCHORARRAY(DATA_CLEANED!AH$3),"QUARTER_FINALS",_xlfn.ANCHORARRAY(DATA_CLEANED!AK$3),CALCULES!A54)+COUNTIFS(_xlfn.ANCHORARRAY(DATA_CLEANED!AH$3),"QUARTER_FINALS",_xlfn.ANCHORARRAY(DATA_CLEANED!AN$3),CALCULES!A54)</f>
        <v>5</v>
      </c>
      <c r="AX54" s="112">
        <f>COUNTIFS(_xlfn.ANCHORARRAY(DATA_CLEANED!AH$3),"SEMI_FINALS",_xlfn.ANCHORARRAY(DATA_CLEANED!AK$3),CALCULES!A54)+COUNTIFS(_xlfn.ANCHORARRAY(DATA_CLEANED!AH$3),"SEMI_FINALS",_xlfn.ANCHORARRAY(DATA_CLEANED!AN$3),CALCULES!A54)</f>
        <v>3</v>
      </c>
      <c r="AY54" s="112">
        <f>COUNTIFS(_xlfn.ANCHORARRAY(DATA_CLEANED!AH$3),"FINAL",_xlfn.ANCHORARRAY(DATA_CLEANED!AK$3),CALCULES!A54)+COUNTIFS(_xlfn.ANCHORARRAY(DATA_CLEANED!AH$3),"FINAL",_xlfn.ANCHORARRAY(DATA_CLEANED!AN$3),CALCULES!A54)</f>
        <v>3</v>
      </c>
      <c r="AZ54" s="112">
        <f>COUNTIFS(DATA_QUALITE!BG$12:BG$1069,CALCULES!A54,DATA_QUALITE!AW$12:AW$1069,"FINAL")</f>
        <v>0</v>
      </c>
      <c r="BA54" s="113">
        <f t="shared" si="21"/>
        <v>56.76</v>
      </c>
      <c r="BB54" s="118">
        <f t="shared" si="10"/>
        <v>42.11</v>
      </c>
      <c r="BC54" s="118">
        <f t="shared" si="11"/>
        <v>30.7</v>
      </c>
      <c r="BD54" s="139">
        <f t="shared" si="12"/>
        <v>36.409999999999997</v>
      </c>
      <c r="BH54" s="167"/>
      <c r="BI54" s="167"/>
      <c r="BJ54" s="167"/>
      <c r="BK54" s="167"/>
      <c r="BL54" s="173">
        <f>INT((ROWS($BL$15:BL54)-1)/9)</f>
        <v>4</v>
      </c>
      <c r="BM54" s="173">
        <f>MOD(ROWS($BM$15:BM54)-1,9)</f>
        <v>3</v>
      </c>
      <c r="BN54" s="173">
        <f t="shared" si="22"/>
        <v>4.2204820785377052E-3</v>
      </c>
      <c r="BO54" s="167"/>
      <c r="BP54" s="167"/>
    </row>
    <row r="55" spans="1:68">
      <c r="A55" s="113" t="str">
        <v>New Zealand</v>
      </c>
      <c r="B55" s="112">
        <f>IF(COUNTIFS(_xlfn.ANCHORARRAY(DATA_CLEANED!$AF$3),CALCULES!B$2,_xlfn.ANCHORARRAY(DATA_CLEANED!$AK$3),CALCULES!$A55)+COUNTIFS(_xlfn.ANCHORARRAY(DATA_CLEANED!$AF$3),CALCULES!B$2,_xlfn.ANCHORARRAY(DATA_CLEANED!$AN$3),CALCULES!$A55)&gt;0,1,0)</f>
        <v>0</v>
      </c>
      <c r="C55" s="112">
        <f>IF(COUNTIFS(_xlfn.ANCHORARRAY(DATA_CLEANED!$AF$3),CALCULES!C$2,_xlfn.ANCHORARRAY(DATA_CLEANED!$AK$3),CALCULES!$A55)+COUNTIFS(_xlfn.ANCHORARRAY(DATA_CLEANED!$AF$3),CALCULES!C$2,_xlfn.ANCHORARRAY(DATA_CLEANED!$AN$3),CALCULES!$A55)&gt;0,1,0)</f>
        <v>0</v>
      </c>
      <c r="D55" s="112">
        <f>IF(COUNTIFS(_xlfn.ANCHORARRAY(DATA_CLEANED!$AF$3),CALCULES!D$2,_xlfn.ANCHORARRAY(DATA_CLEANED!$AK$3),CALCULES!$A55)+COUNTIFS(_xlfn.ANCHORARRAY(DATA_CLEANED!$AF$3),CALCULES!D$2,_xlfn.ANCHORARRAY(DATA_CLEANED!$AN$3),CALCULES!$A55)&gt;0,1,0)</f>
        <v>0</v>
      </c>
      <c r="E55" s="112">
        <f>IF(COUNTIFS(_xlfn.ANCHORARRAY(DATA_CLEANED!$AF$3),CALCULES!E$2,_xlfn.ANCHORARRAY(DATA_CLEANED!$AK$3),CALCULES!$A55)+COUNTIFS(_xlfn.ANCHORARRAY(DATA_CLEANED!$AF$3),CALCULES!E$2,_xlfn.ANCHORARRAY(DATA_CLEANED!$AN$3),CALCULES!$A55)&gt;0,1,0)</f>
        <v>0</v>
      </c>
      <c r="F55" s="112">
        <f>IF(COUNTIFS(_xlfn.ANCHORARRAY(DATA_CLEANED!$AF$3),CALCULES!F$2,_xlfn.ANCHORARRAY(DATA_CLEANED!$AK$3),CALCULES!$A55)+COUNTIFS(_xlfn.ANCHORARRAY(DATA_CLEANED!$AF$3),CALCULES!F$2,_xlfn.ANCHORARRAY(DATA_CLEANED!$AN$3),CALCULES!$A55)&gt;0,1,0)</f>
        <v>0</v>
      </c>
      <c r="G55" s="112">
        <f>IF(COUNTIFS(_xlfn.ANCHORARRAY(DATA_CLEANED!$AF$3),CALCULES!G$2,_xlfn.ANCHORARRAY(DATA_CLEANED!$AK$3),CALCULES!$A55)+COUNTIFS(_xlfn.ANCHORARRAY(DATA_CLEANED!$AF$3),CALCULES!G$2,_xlfn.ANCHORARRAY(DATA_CLEANED!$AN$3),CALCULES!$A55)&gt;0,1,0)</f>
        <v>0</v>
      </c>
      <c r="H55" s="112">
        <f>IF(COUNTIFS(_xlfn.ANCHORARRAY(DATA_CLEANED!$AF$3),CALCULES!H$2,_xlfn.ANCHORARRAY(DATA_CLEANED!$AK$3),CALCULES!$A55)+COUNTIFS(_xlfn.ANCHORARRAY(DATA_CLEANED!$AF$3),CALCULES!H$2,_xlfn.ANCHORARRAY(DATA_CLEANED!$AN$3),CALCULES!$A55)&gt;0,1,0)</f>
        <v>0</v>
      </c>
      <c r="I55" s="112">
        <f>IF(COUNTIFS(_xlfn.ANCHORARRAY(DATA_CLEANED!$AF$3),CALCULES!I$2,_xlfn.ANCHORARRAY(DATA_CLEANED!$AK$3),CALCULES!$A55)+COUNTIFS(_xlfn.ANCHORARRAY(DATA_CLEANED!$AF$3),CALCULES!I$2,_xlfn.ANCHORARRAY(DATA_CLEANED!$AN$3),CALCULES!$A55)&gt;0,1,0)</f>
        <v>0</v>
      </c>
      <c r="J55" s="112">
        <f>IF(COUNTIFS(_xlfn.ANCHORARRAY(DATA_CLEANED!$AF$3),CALCULES!J$2,_xlfn.ANCHORARRAY(DATA_CLEANED!$AK$3),CALCULES!$A55)+COUNTIFS(_xlfn.ANCHORARRAY(DATA_CLEANED!$AF$3),CALCULES!J$2,_xlfn.ANCHORARRAY(DATA_CLEANED!$AN$3),CALCULES!$A55)&gt;0,1,0)</f>
        <v>0</v>
      </c>
      <c r="K55" s="112">
        <f>IF(COUNTIFS(_xlfn.ANCHORARRAY(DATA_CLEANED!$AF$3),CALCULES!K$2,_xlfn.ANCHORARRAY(DATA_CLEANED!$AK$3),CALCULES!$A55)+COUNTIFS(_xlfn.ANCHORARRAY(DATA_CLEANED!$AF$3),CALCULES!K$2,_xlfn.ANCHORARRAY(DATA_CLEANED!$AN$3),CALCULES!$A55)&gt;0,1,0)</f>
        <v>0</v>
      </c>
      <c r="L55" s="112">
        <f>IF(COUNTIFS(_xlfn.ANCHORARRAY(DATA_CLEANED!$AF$3),CALCULES!L$2,_xlfn.ANCHORARRAY(DATA_CLEANED!$AK$3),CALCULES!$A55)+COUNTIFS(_xlfn.ANCHORARRAY(DATA_CLEANED!$AF$3),CALCULES!L$2,_xlfn.ANCHORARRAY(DATA_CLEANED!$AN$3),CALCULES!$A55)&gt;0,1,0)</f>
        <v>0</v>
      </c>
      <c r="M55" s="112">
        <f>IF(COUNTIFS(_xlfn.ANCHORARRAY(DATA_CLEANED!$AF$3),CALCULES!M$2,_xlfn.ANCHORARRAY(DATA_CLEANED!$AK$3),CALCULES!$A55)+COUNTIFS(_xlfn.ANCHORARRAY(DATA_CLEANED!$AF$3),CALCULES!M$2,_xlfn.ANCHORARRAY(DATA_CLEANED!$AN$3),CALCULES!$A55)&gt;0,1,0)</f>
        <v>1</v>
      </c>
      <c r="N55" s="112">
        <f>IF(COUNTIFS(_xlfn.ANCHORARRAY(DATA_CLEANED!$AF$3),CALCULES!N$2,_xlfn.ANCHORARRAY(DATA_CLEANED!$AK$3),CALCULES!$A55)+COUNTIFS(_xlfn.ANCHORARRAY(DATA_CLEANED!$AF$3),CALCULES!N$2,_xlfn.ANCHORARRAY(DATA_CLEANED!$AN$3),CALCULES!$A55)&gt;0,1,0)</f>
        <v>0</v>
      </c>
      <c r="O55" s="112">
        <f>IF(COUNTIFS(_xlfn.ANCHORARRAY(DATA_CLEANED!$AF$3),CALCULES!O$2,_xlfn.ANCHORARRAY(DATA_CLEANED!$AK$3),CALCULES!$A55)+COUNTIFS(_xlfn.ANCHORARRAY(DATA_CLEANED!$AF$3),CALCULES!O$2,_xlfn.ANCHORARRAY(DATA_CLEANED!$AN$3),CALCULES!$A55)&gt;0,1,0)</f>
        <v>0</v>
      </c>
      <c r="P55" s="112">
        <f>IF(COUNTIFS(_xlfn.ANCHORARRAY(DATA_CLEANED!$AF$3),CALCULES!P$2,_xlfn.ANCHORARRAY(DATA_CLEANED!$AK$3),CALCULES!$A55)+COUNTIFS(_xlfn.ANCHORARRAY(DATA_CLEANED!$AF$3),CALCULES!P$2,_xlfn.ANCHORARRAY(DATA_CLEANED!$AN$3),CALCULES!$A55)&gt;0,1,0)</f>
        <v>0</v>
      </c>
      <c r="Q55" s="112">
        <f>IF(COUNTIFS(_xlfn.ANCHORARRAY(DATA_CLEANED!$AF$3),CALCULES!Q$2,_xlfn.ANCHORARRAY(DATA_CLEANED!$AK$3),CALCULES!$A55)+COUNTIFS(_xlfn.ANCHORARRAY(DATA_CLEANED!$AF$3),CALCULES!Q$2,_xlfn.ANCHORARRAY(DATA_CLEANED!$AN$3),CALCULES!$A55)&gt;0,1,0)</f>
        <v>0</v>
      </c>
      <c r="R55" s="112">
        <f>IF(COUNTIFS(_xlfn.ANCHORARRAY(DATA_CLEANED!$AF$3),CALCULES!R$2,_xlfn.ANCHORARRAY(DATA_CLEANED!$AK$3),CALCULES!$A55)+COUNTIFS(_xlfn.ANCHORARRAY(DATA_CLEANED!$AF$3),CALCULES!R$2,_xlfn.ANCHORARRAY(DATA_CLEANED!$AN$3),CALCULES!$A55)&gt;0,1,0)</f>
        <v>0</v>
      </c>
      <c r="S55" s="112">
        <f>IF(COUNTIFS(_xlfn.ANCHORARRAY(DATA_CLEANED!$AF$3),CALCULES!S$2,_xlfn.ANCHORARRAY(DATA_CLEANED!$AK$3),CALCULES!$A55)+COUNTIFS(_xlfn.ANCHORARRAY(DATA_CLEANED!$AF$3),CALCULES!S$2,_xlfn.ANCHORARRAY(DATA_CLEANED!$AN$3),CALCULES!$A55)&gt;0,1,0)</f>
        <v>0</v>
      </c>
      <c r="T55" s="112">
        <f>IF(COUNTIFS(_xlfn.ANCHORARRAY(DATA_CLEANED!$AF$3),CALCULES!T$2,_xlfn.ANCHORARRAY(DATA_CLEANED!$AK$3),CALCULES!$A55)+COUNTIFS(_xlfn.ANCHORARRAY(DATA_CLEANED!$AF$3),CALCULES!T$2,_xlfn.ANCHORARRAY(DATA_CLEANED!$AN$3),CALCULES!$A55)&gt;0,1,0)</f>
        <v>1</v>
      </c>
      <c r="U55" s="112">
        <f>IF(COUNTIFS(_xlfn.ANCHORARRAY(DATA_CLEANED!$AF$3),CALCULES!U$2,_xlfn.ANCHORARRAY(DATA_CLEANED!$AK$3),CALCULES!$A55)+COUNTIFS(_xlfn.ANCHORARRAY(DATA_CLEANED!$AF$3),CALCULES!U$2,_xlfn.ANCHORARRAY(DATA_CLEANED!$AN$3),CALCULES!$A55)&gt;0,1,0)</f>
        <v>0</v>
      </c>
      <c r="V55" s="112">
        <f>IF(COUNTIFS(_xlfn.ANCHORARRAY(DATA_CLEANED!$AF$3),CALCULES!V$2,_xlfn.ANCHORARRAY(DATA_CLEANED!$AK$3),CALCULES!$A55)+COUNTIFS(_xlfn.ANCHORARRAY(DATA_CLEANED!$AF$3),CALCULES!V$2,_xlfn.ANCHORARRAY(DATA_CLEANED!$AN$3),CALCULES!$A55)&gt;0,1,0)</f>
        <v>0</v>
      </c>
      <c r="W55" s="112">
        <f>IF(COUNTIFS(_xlfn.ANCHORARRAY(DATA_CLEANED!$AF$3),CALCULES!W$2,_xlfn.ANCHORARRAY(DATA_CLEANED!$AK$3),CALCULES!$A55)+COUNTIFS(_xlfn.ANCHORARRAY(DATA_CLEANED!$AF$3),CALCULES!W$2,_xlfn.ANCHORARRAY(DATA_CLEANED!$AN$3),CALCULES!$A55)&gt;0,1,0)</f>
        <v>0</v>
      </c>
      <c r="X55" s="112">
        <f>IF(COUNTIFS(_xlfn.ANCHORARRAY(DATA_CLEANED!$AF$3),CALCULES!X$2,_xlfn.ANCHORARRAY(DATA_CLEANED!$AK$3),CALCULES!$A55)+COUNTIFS(_xlfn.ANCHORARRAY(DATA_CLEANED!$AF$3),CALCULES!X$2,_xlfn.ANCHORARRAY(DATA_CLEANED!$AN$3),CALCULES!$A55)&gt;0,1,0)</f>
        <v>1</v>
      </c>
      <c r="Y55" s="113">
        <f t="shared" si="15"/>
        <v>3</v>
      </c>
      <c r="AA55" s="112">
        <f>COUNTIF(_xlfn.ANCHORARRAY(DATA_CLEANED!$AK$3),$A55)+COUNTIF(DATA_CLEANED!$AN$2:$AN$1060,$A55)</f>
        <v>9</v>
      </c>
      <c r="AB55" s="112">
        <f>COUNTIF(DATA_QUALITE!BG$12:BG$1069,A55)</f>
        <v>0</v>
      </c>
      <c r="AC55" s="112">
        <f t="shared" si="7"/>
        <v>9</v>
      </c>
      <c r="AD55" s="112" cm="1">
        <f t="array" ref="AD55">SUMPRODUCT((DATA_CLEANED!AL$3:AL$1060=DATA_CLEANED!AM$3:AM$1060)*(_xlfn.ANCHORARRAY(DATA_CLEANED!AK$3)=CALCULES!A55)*(DATA_CLEANED!AO$3:AO$1060&lt;&gt;"-"))
+
SUMPRODUCT((DATA_CLEANED!AL$3:AL$1060=DATA_CLEANED!AM$3:AM$1060)*(_xlfn.ANCHORARRAY(DATA_CLEANED!AN$3)=CALCULES!A55)*(DATA_CLEANED!AO$3:AO$1060&lt;&gt;"-"))</f>
        <v>0</v>
      </c>
      <c r="AE55" s="116">
        <f t="shared" si="16"/>
        <v>0</v>
      </c>
      <c r="AF55" s="116">
        <f t="shared" si="17"/>
        <v>1</v>
      </c>
      <c r="AG55" s="112">
        <f>SUMIF(_xlfn.ANCHORARRAY(DATA_CLEANED!AK$3),A55,DATA_CLEANED!AL$2:AL$1060)+SUMIF(_xlfn.ANCHORARRAY(DATA_CLEANED!AN$3),A55,DATA_CLEANED!AM$2:AM$1060)</f>
        <v>9</v>
      </c>
      <c r="AH55" s="112">
        <f>SUMIF(_xlfn.ANCHORARRAY(DATA_CLEANED!AK$3),A55,DATA_CLEANED!AM$2:AM$1060)+SUMIF(_xlfn.ANCHORARRAY(DATA_CLEANED!AN$3),A55,DATA_CLEANED!AL$2:AL$1060)</f>
        <v>21</v>
      </c>
      <c r="AI55" s="112">
        <f t="shared" si="8"/>
        <v>2.33</v>
      </c>
      <c r="AJ55" s="117" cm="1">
        <f t="array" ref="AJ55">_xlfn.LET(_xlpm.home,IFERROR(_xlfn._xlws.FILTER(DATA_CLEANED!AH$3:AH$1060,DATA_CLEANED!AK$3:AK$1060=CALCULES!A55),""),
_xlpm.away,IFERROR(_xlfn._xlws.FILTER(DATA_CLEANED!AH$3:AH$1060,DATA_CLEANED!AN$3:AN$1060=CALCULES!A55),""),
_xlpm.assemb_t,_xlfn._xlws.FILTER(_xlfn.VSTACK(_xlpm.home,_xlpm.away),_xlfn.VSTACK(_xlpm.home,_xlpm.away)&lt;&gt;""),
_xlpm.but_h,IFERROR(_xlfn._xlws.FILTER(_xlfn.ANCHORARRAY(DATA_CLEANED!AM$3),DATA_CLEANED!AK$3:AK$1060=CALCULES!A55),""),
_xlpm.but_a,IFERROR(_xlfn._xlws.FILTER(_xlfn.ANCHORARRAY(DATA_CLEANED!AL$3),DATA_CLEANED!AN$3:AN$1060=CALCULES!A55),""),
_xlpm.assemb_b,_xlfn._xlws.FILTER(_xlfn.VSTACK(_xlpm.but_h,_xlpm.but_a),_xlfn.VSTACK(_xlpm.but_h,_xlpm.but_a)&lt;&gt;""),
MEDIAN(_xlpm.assemb_t,_xlpm.assemb_b)
)</f>
        <v>3</v>
      </c>
      <c r="AK55" s="113">
        <f t="shared" si="18"/>
        <v>-12</v>
      </c>
      <c r="AL55" s="112" cm="1">
        <f t="array" ref="AL55">IFERROR(MEDIAN(_xlfn._xlws.FILTER(_xlfn.VSTACK(
DATA_CLEANED!AL$3:AL$1060-DATA_CLEANED!AM$3:AM$1060,
DATA_CLEANED!AM$3:AM$1060-DATA_CLEANED!AL$3:AL$1060
),_xlfn.VSTACK(DATA_CLEANED!AK$3:AK$1060,DATA_CLEANED!AN$3:AN$1060)=A55)),"-")</f>
        <v>-2</v>
      </c>
      <c r="AM55" s="112">
        <f t="shared" si="9"/>
        <v>1</v>
      </c>
      <c r="AN55" s="112" cm="1">
        <f t="array" ref="AN55">_xlfn.LET(_xlpm.home,IFERROR(_xlfn._xlws.FILTER(DATA_CLEANED!AH$3:AH$1060,DATA_CLEANED!AK$3:AK$1060=CALCULES!A55),""),
_xlpm.away,IFERROR(_xlfn._xlws.FILTER(DATA_CLEANED!AH$3:AH$1060,DATA_CLEANED!AN$3:AN$1060=CALCULES!A55),""),
_xlpm.assemb_t,_xlfn._xlws.FILTER(_xlfn.VSTACK(_xlpm.home,_xlpm.away),_xlfn.VSTACK(_xlpm.home,_xlpm.away)&lt;&gt;""),
_xlpm.but_h,IFERROR(_xlfn._xlws.FILTER(_xlfn.ANCHORARRAY(DATA_CLEANED!AL$3),DATA_CLEANED!AK$3:AK$1060=CALCULES!A55),""),
_xlpm.but_a,IFERROR(_xlfn._xlws.FILTER(_xlfn.ANCHORARRAY(DATA_CLEANED!AM$3),DATA_CLEANED!AN$3:AN$1060=CALCULES!A55),""),
_xlpm.assemb_b,_xlfn._xlws.FILTER(_xlfn.VSTACK(_xlpm.but_h,_xlpm.but_a),_xlfn.VSTACK(_xlpm.but_h,_xlpm.but_a)&lt;&gt;""),
MEDIAN(_xlpm.assemb_t,_xlpm.assemb_b)
)</f>
        <v>1</v>
      </c>
      <c r="AO55" s="116">
        <f>ROUND(IFERROR((COUNTIFS(DATA_CLEANED!AK$3:AK$1060,A55,DATA_CLEANED!AM$3:AM$1060,0)
+
COUNTIFS(DATA_CLEANED!AN$3:AN$1060,A55,DATA_CLEANED!AL$3:AL$1060,0)
)/AA55,0),2)</f>
        <v>0.11</v>
      </c>
      <c r="AP55" s="112">
        <f>MAX((_xlfn.MAXIFS(_xlfn.ANCHORARRAY(DATA_CLEANED!AL$3),_xlfn.ANCHORARRAY(DATA_CLEANED!AK$3),A55)),(_xlfn.MAXIFS(DATA_CLEANED!AM$3:AM$1060,_xlfn.ANCHORARRAY(DATA_CLEANED!AN$3),A55)))</f>
        <v>2</v>
      </c>
      <c r="AQ55" s="112">
        <f>COUNTIF(_xlfn.ANCHORARRAY(DATA_CLEANED!K$3),A55)</f>
        <v>0</v>
      </c>
      <c r="AR55" s="113" t="str" cm="1">
        <f t="array" ref="AR55">_xlfn.LET(
_xlpm.home,IFERROR(_xlfn._xlws.FILTER(DATA_CLEANED!AH$3:AH$1060,DATA_CLEANED!AK$3:AK$1060=CALCULES!A55),""),
_xlpm.away,IFERROR(_xlfn._xlws.FILTER(DATA_CLEANED!AH$3:AH$1060,DATA_CLEANED!AN$3:AN$1060=CALCULES!A55),""),
_xlpm.etapes,_xlfn._xlws.FILTER(_xlfn.VSTACK(_xlpm.home,_xlpm.away),_xlfn.VSTACK(_xlpm.home,_xlpm.away)&lt;&gt;""),
_xlpm.numeros,_xlfn.XLOOKUP(_xlpm.etapes,DATA_QUALITE!AT$12:AT$38,DATA_QUALITE!AU$12:AU$38),
_xlfn.XLOOKUP(MIN(_xlpm.numeros),DATA_QUALITE!AU$12:AU$38,DATA_QUALITE!AT$12:AT$38)
)</f>
        <v>GROUP_STAGE</v>
      </c>
      <c r="AS55" s="112">
        <f t="shared" si="19"/>
        <v>3</v>
      </c>
      <c r="AT55" s="112">
        <f t="shared" si="20"/>
        <v>0</v>
      </c>
      <c r="AU55" s="112">
        <f>COUNTIFS(DATA_QUALITE!BG$12:BG$1069,"MATCH NUL",_xlfn.ANCHORARRAY(DATA_CLEANED!AK$3),CALCULES!A55)+COUNTIFS(DATA_QUALITE!BG$12:BG$1069,"MATCH NUL",_xlfn.ANCHORARRAY(DATA_CLEANED!AN$3),CALCULES!A55)</f>
        <v>4</v>
      </c>
      <c r="AV55" s="112">
        <v>9</v>
      </c>
      <c r="AW55" s="112">
        <f>COUNTIFS(_xlfn.ANCHORARRAY(DATA_CLEANED!AH$3),"QUARTER_FINALS",_xlfn.ANCHORARRAY(DATA_CLEANED!AK$3),CALCULES!A55)+COUNTIFS(_xlfn.ANCHORARRAY(DATA_CLEANED!AH$3),"QUARTER_FINALS",_xlfn.ANCHORARRAY(DATA_CLEANED!AN$3),CALCULES!A55)</f>
        <v>0</v>
      </c>
      <c r="AX55" s="112">
        <f>COUNTIFS(_xlfn.ANCHORARRAY(DATA_CLEANED!AH$3),"SEMI_FINALS",_xlfn.ANCHORARRAY(DATA_CLEANED!AK$3),CALCULES!A55)+COUNTIFS(_xlfn.ANCHORARRAY(DATA_CLEANED!AH$3),"SEMI_FINALS",_xlfn.ANCHORARRAY(DATA_CLEANED!AN$3),CALCULES!A55)</f>
        <v>0</v>
      </c>
      <c r="AY55" s="112">
        <f>COUNTIFS(_xlfn.ANCHORARRAY(DATA_CLEANED!AH$3),"FINAL",_xlfn.ANCHORARRAY(DATA_CLEANED!AK$3),CALCULES!A55)+COUNTIFS(_xlfn.ANCHORARRAY(DATA_CLEANED!AH$3),"FINAL",_xlfn.ANCHORARRAY(DATA_CLEANED!AN$3),CALCULES!A55)</f>
        <v>0</v>
      </c>
      <c r="AZ55" s="112">
        <f>COUNTIFS(DATA_QUALITE!BG$12:BG$1069,CALCULES!A55,DATA_QUALITE!AW$12:AW$1069,"FINAL")</f>
        <v>0</v>
      </c>
      <c r="BA55" s="113">
        <f t="shared" si="21"/>
        <v>9.8800000000000008</v>
      </c>
      <c r="BB55" s="118">
        <f t="shared" si="10"/>
        <v>0</v>
      </c>
      <c r="BC55" s="118">
        <f t="shared" si="11"/>
        <v>0</v>
      </c>
      <c r="BD55" s="139">
        <f t="shared" si="12"/>
        <v>0</v>
      </c>
      <c r="BF55" s="167"/>
      <c r="BG55" s="167"/>
      <c r="BH55" s="167"/>
      <c r="BI55" s="167"/>
      <c r="BJ55" s="167"/>
      <c r="BK55" s="167"/>
      <c r="BL55" s="173">
        <f>INT((ROWS($BL$15:BL55)-1)/9)</f>
        <v>4</v>
      </c>
      <c r="BM55" s="173">
        <f>MOD(ROWS($BM$15:BM55)-1,9)</f>
        <v>4</v>
      </c>
      <c r="BN55" s="173">
        <f t="shared" si="22"/>
        <v>1.1816667127852376E-3</v>
      </c>
      <c r="BO55" s="167"/>
      <c r="BP55" s="167"/>
    </row>
    <row r="56" spans="1:68">
      <c r="A56" s="113" t="str">
        <v>Nigeria</v>
      </c>
      <c r="B56" s="112">
        <f>IF(COUNTIFS(_xlfn.ANCHORARRAY(DATA_CLEANED!$AF$3),CALCULES!B$2,_xlfn.ANCHORARRAY(DATA_CLEANED!$AK$3),CALCULES!$A56)+COUNTIFS(_xlfn.ANCHORARRAY(DATA_CLEANED!$AF$3),CALCULES!B$2,_xlfn.ANCHORARRAY(DATA_CLEANED!$AN$3),CALCULES!$A56)&gt;0,1,0)</f>
        <v>0</v>
      </c>
      <c r="C56" s="112">
        <f>IF(COUNTIFS(_xlfn.ANCHORARRAY(DATA_CLEANED!$AF$3),CALCULES!C$2,_xlfn.ANCHORARRAY(DATA_CLEANED!$AK$3),CALCULES!$A56)+COUNTIFS(_xlfn.ANCHORARRAY(DATA_CLEANED!$AF$3),CALCULES!C$2,_xlfn.ANCHORARRAY(DATA_CLEANED!$AN$3),CALCULES!$A56)&gt;0,1,0)</f>
        <v>0</v>
      </c>
      <c r="D56" s="112">
        <f>IF(COUNTIFS(_xlfn.ANCHORARRAY(DATA_CLEANED!$AF$3),CALCULES!D$2,_xlfn.ANCHORARRAY(DATA_CLEANED!$AK$3),CALCULES!$A56)+COUNTIFS(_xlfn.ANCHORARRAY(DATA_CLEANED!$AF$3),CALCULES!D$2,_xlfn.ANCHORARRAY(DATA_CLEANED!$AN$3),CALCULES!$A56)&gt;0,1,0)</f>
        <v>0</v>
      </c>
      <c r="E56" s="112">
        <f>IF(COUNTIFS(_xlfn.ANCHORARRAY(DATA_CLEANED!$AF$3),CALCULES!E$2,_xlfn.ANCHORARRAY(DATA_CLEANED!$AK$3),CALCULES!$A56)+COUNTIFS(_xlfn.ANCHORARRAY(DATA_CLEANED!$AF$3),CALCULES!E$2,_xlfn.ANCHORARRAY(DATA_CLEANED!$AN$3),CALCULES!$A56)&gt;0,1,0)</f>
        <v>0</v>
      </c>
      <c r="F56" s="112">
        <f>IF(COUNTIFS(_xlfn.ANCHORARRAY(DATA_CLEANED!$AF$3),CALCULES!F$2,_xlfn.ANCHORARRAY(DATA_CLEANED!$AK$3),CALCULES!$A56)+COUNTIFS(_xlfn.ANCHORARRAY(DATA_CLEANED!$AF$3),CALCULES!F$2,_xlfn.ANCHORARRAY(DATA_CLEANED!$AN$3),CALCULES!$A56)&gt;0,1,0)</f>
        <v>0</v>
      </c>
      <c r="G56" s="112">
        <f>IF(COUNTIFS(_xlfn.ANCHORARRAY(DATA_CLEANED!$AF$3),CALCULES!G$2,_xlfn.ANCHORARRAY(DATA_CLEANED!$AK$3),CALCULES!$A56)+COUNTIFS(_xlfn.ANCHORARRAY(DATA_CLEANED!$AF$3),CALCULES!G$2,_xlfn.ANCHORARRAY(DATA_CLEANED!$AN$3),CALCULES!$A56)&gt;0,1,0)</f>
        <v>0</v>
      </c>
      <c r="H56" s="112">
        <f>IF(COUNTIFS(_xlfn.ANCHORARRAY(DATA_CLEANED!$AF$3),CALCULES!H$2,_xlfn.ANCHORARRAY(DATA_CLEANED!$AK$3),CALCULES!$A56)+COUNTIFS(_xlfn.ANCHORARRAY(DATA_CLEANED!$AF$3),CALCULES!H$2,_xlfn.ANCHORARRAY(DATA_CLEANED!$AN$3),CALCULES!$A56)&gt;0,1,0)</f>
        <v>0</v>
      </c>
      <c r="I56" s="112">
        <f>IF(COUNTIFS(_xlfn.ANCHORARRAY(DATA_CLEANED!$AF$3),CALCULES!I$2,_xlfn.ANCHORARRAY(DATA_CLEANED!$AK$3),CALCULES!$A56)+COUNTIFS(_xlfn.ANCHORARRAY(DATA_CLEANED!$AF$3),CALCULES!I$2,_xlfn.ANCHORARRAY(DATA_CLEANED!$AN$3),CALCULES!$A56)&gt;0,1,0)</f>
        <v>0</v>
      </c>
      <c r="J56" s="112">
        <f>IF(COUNTIFS(_xlfn.ANCHORARRAY(DATA_CLEANED!$AF$3),CALCULES!J$2,_xlfn.ANCHORARRAY(DATA_CLEANED!$AK$3),CALCULES!$A56)+COUNTIFS(_xlfn.ANCHORARRAY(DATA_CLEANED!$AF$3),CALCULES!J$2,_xlfn.ANCHORARRAY(DATA_CLEANED!$AN$3),CALCULES!$A56)&gt;0,1,0)</f>
        <v>0</v>
      </c>
      <c r="K56" s="112">
        <f>IF(COUNTIFS(_xlfn.ANCHORARRAY(DATA_CLEANED!$AF$3),CALCULES!K$2,_xlfn.ANCHORARRAY(DATA_CLEANED!$AK$3),CALCULES!$A56)+COUNTIFS(_xlfn.ANCHORARRAY(DATA_CLEANED!$AF$3),CALCULES!K$2,_xlfn.ANCHORARRAY(DATA_CLEANED!$AN$3),CALCULES!$A56)&gt;0,1,0)</f>
        <v>0</v>
      </c>
      <c r="L56" s="112">
        <f>IF(COUNTIFS(_xlfn.ANCHORARRAY(DATA_CLEANED!$AF$3),CALCULES!L$2,_xlfn.ANCHORARRAY(DATA_CLEANED!$AK$3),CALCULES!$A56)+COUNTIFS(_xlfn.ANCHORARRAY(DATA_CLEANED!$AF$3),CALCULES!L$2,_xlfn.ANCHORARRAY(DATA_CLEANED!$AN$3),CALCULES!$A56)&gt;0,1,0)</f>
        <v>0</v>
      </c>
      <c r="M56" s="112">
        <f>IF(COUNTIFS(_xlfn.ANCHORARRAY(DATA_CLEANED!$AF$3),CALCULES!M$2,_xlfn.ANCHORARRAY(DATA_CLEANED!$AK$3),CALCULES!$A56)+COUNTIFS(_xlfn.ANCHORARRAY(DATA_CLEANED!$AF$3),CALCULES!M$2,_xlfn.ANCHORARRAY(DATA_CLEANED!$AN$3),CALCULES!$A56)&gt;0,1,0)</f>
        <v>0</v>
      </c>
      <c r="N56" s="112">
        <f>IF(COUNTIFS(_xlfn.ANCHORARRAY(DATA_CLEANED!$AF$3),CALCULES!N$2,_xlfn.ANCHORARRAY(DATA_CLEANED!$AK$3),CALCULES!$A56)+COUNTIFS(_xlfn.ANCHORARRAY(DATA_CLEANED!$AF$3),CALCULES!N$2,_xlfn.ANCHORARRAY(DATA_CLEANED!$AN$3),CALCULES!$A56)&gt;0,1,0)</f>
        <v>0</v>
      </c>
      <c r="O56" s="112">
        <f>IF(COUNTIFS(_xlfn.ANCHORARRAY(DATA_CLEANED!$AF$3),CALCULES!O$2,_xlfn.ANCHORARRAY(DATA_CLEANED!$AK$3),CALCULES!$A56)+COUNTIFS(_xlfn.ANCHORARRAY(DATA_CLEANED!$AF$3),CALCULES!O$2,_xlfn.ANCHORARRAY(DATA_CLEANED!$AN$3),CALCULES!$A56)&gt;0,1,0)</f>
        <v>0</v>
      </c>
      <c r="P56" s="112">
        <f>IF(COUNTIFS(_xlfn.ANCHORARRAY(DATA_CLEANED!$AF$3),CALCULES!P$2,_xlfn.ANCHORARRAY(DATA_CLEANED!$AK$3),CALCULES!$A56)+COUNTIFS(_xlfn.ANCHORARRAY(DATA_CLEANED!$AF$3),CALCULES!P$2,_xlfn.ANCHORARRAY(DATA_CLEANED!$AN$3),CALCULES!$A56)&gt;0,1,0)</f>
        <v>1</v>
      </c>
      <c r="Q56" s="112">
        <f>IF(COUNTIFS(_xlfn.ANCHORARRAY(DATA_CLEANED!$AF$3),CALCULES!Q$2,_xlfn.ANCHORARRAY(DATA_CLEANED!$AK$3),CALCULES!$A56)+COUNTIFS(_xlfn.ANCHORARRAY(DATA_CLEANED!$AF$3),CALCULES!Q$2,_xlfn.ANCHORARRAY(DATA_CLEANED!$AN$3),CALCULES!$A56)&gt;0,1,0)</f>
        <v>1</v>
      </c>
      <c r="R56" s="112">
        <f>IF(COUNTIFS(_xlfn.ANCHORARRAY(DATA_CLEANED!$AF$3),CALCULES!R$2,_xlfn.ANCHORARRAY(DATA_CLEANED!$AK$3),CALCULES!$A56)+COUNTIFS(_xlfn.ANCHORARRAY(DATA_CLEANED!$AF$3),CALCULES!R$2,_xlfn.ANCHORARRAY(DATA_CLEANED!$AN$3),CALCULES!$A56)&gt;0,1,0)</f>
        <v>1</v>
      </c>
      <c r="S56" s="112">
        <f>IF(COUNTIFS(_xlfn.ANCHORARRAY(DATA_CLEANED!$AF$3),CALCULES!S$2,_xlfn.ANCHORARRAY(DATA_CLEANED!$AK$3),CALCULES!$A56)+COUNTIFS(_xlfn.ANCHORARRAY(DATA_CLEANED!$AF$3),CALCULES!S$2,_xlfn.ANCHORARRAY(DATA_CLEANED!$AN$3),CALCULES!$A56)&gt;0,1,0)</f>
        <v>0</v>
      </c>
      <c r="T56" s="112">
        <f>IF(COUNTIFS(_xlfn.ANCHORARRAY(DATA_CLEANED!$AF$3),CALCULES!T$2,_xlfn.ANCHORARRAY(DATA_CLEANED!$AK$3),CALCULES!$A56)+COUNTIFS(_xlfn.ANCHORARRAY(DATA_CLEANED!$AF$3),CALCULES!T$2,_xlfn.ANCHORARRAY(DATA_CLEANED!$AN$3),CALCULES!$A56)&gt;0,1,0)</f>
        <v>1</v>
      </c>
      <c r="U56" s="112">
        <f>IF(COUNTIFS(_xlfn.ANCHORARRAY(DATA_CLEANED!$AF$3),CALCULES!U$2,_xlfn.ANCHORARRAY(DATA_CLEANED!$AK$3),CALCULES!$A56)+COUNTIFS(_xlfn.ANCHORARRAY(DATA_CLEANED!$AF$3),CALCULES!U$2,_xlfn.ANCHORARRAY(DATA_CLEANED!$AN$3),CALCULES!$A56)&gt;0,1,0)</f>
        <v>1</v>
      </c>
      <c r="V56" s="112">
        <f>IF(COUNTIFS(_xlfn.ANCHORARRAY(DATA_CLEANED!$AF$3),CALCULES!V$2,_xlfn.ANCHORARRAY(DATA_CLEANED!$AK$3),CALCULES!$A56)+COUNTIFS(_xlfn.ANCHORARRAY(DATA_CLEANED!$AF$3),CALCULES!V$2,_xlfn.ANCHORARRAY(DATA_CLEANED!$AN$3),CALCULES!$A56)&gt;0,1,0)</f>
        <v>1</v>
      </c>
      <c r="W56" s="112">
        <f>IF(COUNTIFS(_xlfn.ANCHORARRAY(DATA_CLEANED!$AF$3),CALCULES!W$2,_xlfn.ANCHORARRAY(DATA_CLEANED!$AK$3),CALCULES!$A56)+COUNTIFS(_xlfn.ANCHORARRAY(DATA_CLEANED!$AF$3),CALCULES!W$2,_xlfn.ANCHORARRAY(DATA_CLEANED!$AN$3),CALCULES!$A56)&gt;0,1,0)</f>
        <v>0</v>
      </c>
      <c r="X56" s="112">
        <f>IF(COUNTIFS(_xlfn.ANCHORARRAY(DATA_CLEANED!$AF$3),CALCULES!X$2,_xlfn.ANCHORARRAY(DATA_CLEANED!$AK$3),CALCULES!$A56)+COUNTIFS(_xlfn.ANCHORARRAY(DATA_CLEANED!$AF$3),CALCULES!X$2,_xlfn.ANCHORARRAY(DATA_CLEANED!$AN$3),CALCULES!$A56)&gt;0,1,0)</f>
        <v>0</v>
      </c>
      <c r="Y56" s="113">
        <f t="shared" si="15"/>
        <v>6</v>
      </c>
      <c r="AA56" s="112">
        <f>COUNTIF(_xlfn.ANCHORARRAY(DATA_CLEANED!$AK$3),$A56)+COUNTIF(DATA_CLEANED!$AN$2:$AN$1060,$A56)</f>
        <v>21</v>
      </c>
      <c r="AB56" s="112">
        <f>COUNTIF(DATA_QUALITE!BG$12:BG$1069,A56)</f>
        <v>6</v>
      </c>
      <c r="AC56" s="112">
        <f t="shared" si="7"/>
        <v>15</v>
      </c>
      <c r="AD56" s="112" cm="1">
        <f t="array" ref="AD56">SUMPRODUCT((DATA_CLEANED!AL$3:AL$1060=DATA_CLEANED!AM$3:AM$1060)*(_xlfn.ANCHORARRAY(DATA_CLEANED!AK$3)=CALCULES!A56)*(DATA_CLEANED!AO$3:AO$1060&lt;&gt;"-"))
+
SUMPRODUCT((DATA_CLEANED!AL$3:AL$1060=DATA_CLEANED!AM$3:AM$1060)*(_xlfn.ANCHORARRAY(DATA_CLEANED!AN$3)=CALCULES!A56)*(DATA_CLEANED!AO$3:AO$1060&lt;&gt;"-"))</f>
        <v>0</v>
      </c>
      <c r="AE56" s="116">
        <f t="shared" si="16"/>
        <v>0.2857142857142857</v>
      </c>
      <c r="AF56" s="116">
        <f t="shared" si="17"/>
        <v>0.7142857142857143</v>
      </c>
      <c r="AG56" s="112">
        <f>SUMIF(_xlfn.ANCHORARRAY(DATA_CLEANED!AK$3),A56,DATA_CLEANED!AL$2:AL$1060)+SUMIF(_xlfn.ANCHORARRAY(DATA_CLEANED!AN$3),A56,DATA_CLEANED!AM$2:AM$1060)</f>
        <v>29</v>
      </c>
      <c r="AH56" s="112">
        <f>SUMIF(_xlfn.ANCHORARRAY(DATA_CLEANED!AK$3),A56,DATA_CLEANED!AM$2:AM$1060)+SUMIF(_xlfn.ANCHORARRAY(DATA_CLEANED!AN$3),A56,DATA_CLEANED!AL$2:AL$1060)</f>
        <v>34</v>
      </c>
      <c r="AI56" s="112">
        <f t="shared" si="8"/>
        <v>1.62</v>
      </c>
      <c r="AJ56" s="117" cm="1">
        <f t="array" ref="AJ56">_xlfn.LET(_xlpm.home,IFERROR(_xlfn._xlws.FILTER(DATA_CLEANED!AH$3:AH$1060,DATA_CLEANED!AK$3:AK$1060=CALCULES!A56),""),
_xlpm.away,IFERROR(_xlfn._xlws.FILTER(DATA_CLEANED!AH$3:AH$1060,DATA_CLEANED!AN$3:AN$1060=CALCULES!A56),""),
_xlpm.assemb_t,_xlfn._xlws.FILTER(_xlfn.VSTACK(_xlpm.home,_xlpm.away),_xlfn.VSTACK(_xlpm.home,_xlpm.away)&lt;&gt;""),
_xlpm.but_h,IFERROR(_xlfn._xlws.FILTER(_xlfn.ANCHORARRAY(DATA_CLEANED!AM$3),DATA_CLEANED!AK$3:AK$1060=CALCULES!A56),""),
_xlpm.but_a,IFERROR(_xlfn._xlws.FILTER(_xlfn.ANCHORARRAY(DATA_CLEANED!AL$3),DATA_CLEANED!AN$3:AN$1060=CALCULES!A56),""),
_xlpm.assemb_b,_xlfn._xlws.FILTER(_xlfn.VSTACK(_xlpm.but_h,_xlpm.but_a),_xlfn.VSTACK(_xlpm.but_h,_xlpm.but_a)&lt;&gt;""),
MEDIAN(_xlpm.assemb_t,_xlpm.assemb_b)
)</f>
        <v>2</v>
      </c>
      <c r="AK56" s="113">
        <f t="shared" si="18"/>
        <v>-5</v>
      </c>
      <c r="AL56" s="112" cm="1">
        <f t="array" ref="AL56">IFERROR(MEDIAN(_xlfn._xlws.FILTER(_xlfn.VSTACK(
DATA_CLEANED!AL$3:AL$1060-DATA_CLEANED!AM$3:AM$1060,
DATA_CLEANED!AM$3:AM$1060-DATA_CLEANED!AL$3:AL$1060
),_xlfn.VSTACK(DATA_CLEANED!AK$3:AK$1060,DATA_CLEANED!AN$3:AN$1060)=A56)),"-")</f>
        <v>-1</v>
      </c>
      <c r="AM56" s="112">
        <f t="shared" si="9"/>
        <v>1.38</v>
      </c>
      <c r="AN56" s="112" cm="1">
        <f t="array" ref="AN56">_xlfn.LET(_xlpm.home,IFERROR(_xlfn._xlws.FILTER(DATA_CLEANED!AH$3:AH$1060,DATA_CLEANED!AK$3:AK$1060=CALCULES!A56),""),
_xlpm.away,IFERROR(_xlfn._xlws.FILTER(DATA_CLEANED!AH$3:AH$1060,DATA_CLEANED!AN$3:AN$1060=CALCULES!A56),""),
_xlpm.assemb_t,_xlfn._xlws.FILTER(_xlfn.VSTACK(_xlpm.home,_xlpm.away),_xlfn.VSTACK(_xlpm.home,_xlpm.away)&lt;&gt;""),
_xlpm.but_h,IFERROR(_xlfn._xlws.FILTER(_xlfn.ANCHORARRAY(DATA_CLEANED!AL$3),DATA_CLEANED!AK$3:AK$1060=CALCULES!A56),""),
_xlpm.but_a,IFERROR(_xlfn._xlws.FILTER(_xlfn.ANCHORARRAY(DATA_CLEANED!AM$3),DATA_CLEANED!AN$3:AN$1060=CALCULES!A56),""),
_xlpm.assemb_b,_xlfn._xlws.FILTER(_xlfn.VSTACK(_xlpm.but_h,_xlpm.but_a),_xlfn.VSTACK(_xlpm.but_h,_xlpm.but_a)&lt;&gt;""),
MEDIAN(_xlpm.assemb_t,_xlpm.assemb_b)
)</f>
        <v>1</v>
      </c>
      <c r="AO56" s="116">
        <f>ROUND(IFERROR((COUNTIFS(DATA_CLEANED!AK$3:AK$1060,A56,DATA_CLEANED!AM$3:AM$1060,0)
+
COUNTIFS(DATA_CLEANED!AN$3:AN$1060,A56,DATA_CLEANED!AL$3:AL$1060,0)
)/AA56,0),2)</f>
        <v>0.33</v>
      </c>
      <c r="AP56" s="112">
        <f>MAX((_xlfn.MAXIFS(_xlfn.ANCHORARRAY(DATA_CLEANED!AL$3),_xlfn.ANCHORARRAY(DATA_CLEANED!AK$3),A56)),(_xlfn.MAXIFS(DATA_CLEANED!AM$3:AM$1060,_xlfn.ANCHORARRAY(DATA_CLEANED!AN$3),A56)))</f>
        <v>3</v>
      </c>
      <c r="AQ56" s="112">
        <f>COUNTIF(_xlfn.ANCHORARRAY(DATA_CLEANED!K$3),A56)</f>
        <v>0</v>
      </c>
      <c r="AR56" s="113" t="str" cm="1">
        <f t="array" ref="AR56">_xlfn.LET(
_xlpm.home,IFERROR(_xlfn._xlws.FILTER(DATA_CLEANED!AH$3:AH$1060,DATA_CLEANED!AK$3:AK$1060=CALCULES!A56),""),
_xlpm.away,IFERROR(_xlfn._xlws.FILTER(DATA_CLEANED!AH$3:AH$1060,DATA_CLEANED!AN$3:AN$1060=CALCULES!A56),""),
_xlpm.etapes,_xlfn._xlws.FILTER(_xlfn.VSTACK(_xlpm.home,_xlpm.away),_xlfn.VSTACK(_xlpm.home,_xlpm.away)&lt;&gt;""),
_xlpm.numeros,_xlfn.XLOOKUP(_xlpm.etapes,DATA_QUALITE!AT$12:AT$38,DATA_QUALITE!AU$12:AU$38),
_xlfn.XLOOKUP(MIN(_xlpm.numeros),DATA_QUALITE!AU$12:AU$38,DATA_QUALITE!AT$12:AT$38)
)</f>
        <v>ROUND_OF_16</v>
      </c>
      <c r="AS56" s="112">
        <f t="shared" si="19"/>
        <v>6</v>
      </c>
      <c r="AT56" s="112">
        <f t="shared" si="20"/>
        <v>6</v>
      </c>
      <c r="AU56" s="112">
        <f>COUNTIFS(DATA_QUALITE!BG$12:BG$1069,"MATCH NUL",_xlfn.ANCHORARRAY(DATA_CLEANED!AK$3),CALCULES!A56)+COUNTIFS(DATA_QUALITE!BG$12:BG$1069,"MATCH NUL",_xlfn.ANCHORARRAY(DATA_CLEANED!AN$3),CALCULES!A56)</f>
        <v>3</v>
      </c>
      <c r="AV56" s="112">
        <v>29</v>
      </c>
      <c r="AW56" s="112">
        <f>COUNTIFS(_xlfn.ANCHORARRAY(DATA_CLEANED!AH$3),"QUARTER_FINALS",_xlfn.ANCHORARRAY(DATA_CLEANED!AK$3),CALCULES!A56)+COUNTIFS(_xlfn.ANCHORARRAY(DATA_CLEANED!AH$3),"QUARTER_FINALS",_xlfn.ANCHORARRAY(DATA_CLEANED!AN$3),CALCULES!A56)</f>
        <v>0</v>
      </c>
      <c r="AX56" s="112">
        <f>COUNTIFS(_xlfn.ANCHORARRAY(DATA_CLEANED!AH$3),"SEMI_FINALS",_xlfn.ANCHORARRAY(DATA_CLEANED!AK$3),CALCULES!A56)+COUNTIFS(_xlfn.ANCHORARRAY(DATA_CLEANED!AH$3),"SEMI_FINALS",_xlfn.ANCHORARRAY(DATA_CLEANED!AN$3),CALCULES!A56)</f>
        <v>0</v>
      </c>
      <c r="AY56" s="112">
        <f>COUNTIFS(_xlfn.ANCHORARRAY(DATA_CLEANED!AH$3),"FINAL",_xlfn.ANCHORARRAY(DATA_CLEANED!AK$3),CALCULES!A56)+COUNTIFS(_xlfn.ANCHORARRAY(DATA_CLEANED!AH$3),"FINAL",_xlfn.ANCHORARRAY(DATA_CLEANED!AN$3),CALCULES!A56)</f>
        <v>0</v>
      </c>
      <c r="AZ56" s="112">
        <f>COUNTIFS(DATA_QUALITE!BG$12:BG$1069,CALCULES!A56,DATA_QUALITE!AW$12:AW$1069,"FINAL")</f>
        <v>0</v>
      </c>
      <c r="BA56" s="113">
        <f t="shared" si="21"/>
        <v>27.63</v>
      </c>
      <c r="BB56" s="118">
        <f t="shared" si="10"/>
        <v>11.72</v>
      </c>
      <c r="BC56" s="118">
        <f t="shared" si="11"/>
        <v>9.25</v>
      </c>
      <c r="BD56" s="139">
        <f t="shared" si="12"/>
        <v>10.49</v>
      </c>
      <c r="BF56" s="167"/>
      <c r="BG56" s="167"/>
      <c r="BH56" s="167"/>
      <c r="BI56" s="167"/>
      <c r="BJ56" s="167"/>
      <c r="BK56" s="167"/>
      <c r="BL56" s="173">
        <f>INT((ROWS($BL$15:BL56)-1)/9)</f>
        <v>4</v>
      </c>
      <c r="BM56" s="173">
        <f>MOD(ROWS($BM$15:BM56)-1,9)</f>
        <v>5</v>
      </c>
      <c r="BN56" s="173">
        <f t="shared" si="22"/>
        <v>2.6467805224534213E-4</v>
      </c>
      <c r="BO56" s="167"/>
      <c r="BP56" s="167"/>
    </row>
    <row r="57" spans="1:68">
      <c r="A57" s="113" t="str">
        <v>North Korea</v>
      </c>
      <c r="B57" s="112">
        <f>IF(COUNTIFS(_xlfn.ANCHORARRAY(DATA_CLEANED!$AF$3),CALCULES!B$2,_xlfn.ANCHORARRAY(DATA_CLEANED!$AK$3),CALCULES!$A57)+COUNTIFS(_xlfn.ANCHORARRAY(DATA_CLEANED!$AF$3),CALCULES!B$2,_xlfn.ANCHORARRAY(DATA_CLEANED!$AN$3),CALCULES!$A57)&gt;0,1,0)</f>
        <v>0</v>
      </c>
      <c r="C57" s="112">
        <f>IF(COUNTIFS(_xlfn.ANCHORARRAY(DATA_CLEANED!$AF$3),CALCULES!C$2,_xlfn.ANCHORARRAY(DATA_CLEANED!$AK$3),CALCULES!$A57)+COUNTIFS(_xlfn.ANCHORARRAY(DATA_CLEANED!$AF$3),CALCULES!C$2,_xlfn.ANCHORARRAY(DATA_CLEANED!$AN$3),CALCULES!$A57)&gt;0,1,0)</f>
        <v>0</v>
      </c>
      <c r="D57" s="112">
        <f>IF(COUNTIFS(_xlfn.ANCHORARRAY(DATA_CLEANED!$AF$3),CALCULES!D$2,_xlfn.ANCHORARRAY(DATA_CLEANED!$AK$3),CALCULES!$A57)+COUNTIFS(_xlfn.ANCHORARRAY(DATA_CLEANED!$AF$3),CALCULES!D$2,_xlfn.ANCHORARRAY(DATA_CLEANED!$AN$3),CALCULES!$A57)&gt;0,1,0)</f>
        <v>0</v>
      </c>
      <c r="E57" s="112">
        <f>IF(COUNTIFS(_xlfn.ANCHORARRAY(DATA_CLEANED!$AF$3),CALCULES!E$2,_xlfn.ANCHORARRAY(DATA_CLEANED!$AK$3),CALCULES!$A57)+COUNTIFS(_xlfn.ANCHORARRAY(DATA_CLEANED!$AF$3),CALCULES!E$2,_xlfn.ANCHORARRAY(DATA_CLEANED!$AN$3),CALCULES!$A57)&gt;0,1,0)</f>
        <v>0</v>
      </c>
      <c r="F57" s="112">
        <f>IF(COUNTIFS(_xlfn.ANCHORARRAY(DATA_CLEANED!$AF$3),CALCULES!F$2,_xlfn.ANCHORARRAY(DATA_CLEANED!$AK$3),CALCULES!$A57)+COUNTIFS(_xlfn.ANCHORARRAY(DATA_CLEANED!$AF$3),CALCULES!F$2,_xlfn.ANCHORARRAY(DATA_CLEANED!$AN$3),CALCULES!$A57)&gt;0,1,0)</f>
        <v>0</v>
      </c>
      <c r="G57" s="112">
        <f>IF(COUNTIFS(_xlfn.ANCHORARRAY(DATA_CLEANED!$AF$3),CALCULES!G$2,_xlfn.ANCHORARRAY(DATA_CLEANED!$AK$3),CALCULES!$A57)+COUNTIFS(_xlfn.ANCHORARRAY(DATA_CLEANED!$AF$3),CALCULES!G$2,_xlfn.ANCHORARRAY(DATA_CLEANED!$AN$3),CALCULES!$A57)&gt;0,1,0)</f>
        <v>0</v>
      </c>
      <c r="H57" s="112">
        <f>IF(COUNTIFS(_xlfn.ANCHORARRAY(DATA_CLEANED!$AF$3),CALCULES!H$2,_xlfn.ANCHORARRAY(DATA_CLEANED!$AK$3),CALCULES!$A57)+COUNTIFS(_xlfn.ANCHORARRAY(DATA_CLEANED!$AF$3),CALCULES!H$2,_xlfn.ANCHORARRAY(DATA_CLEANED!$AN$3),CALCULES!$A57)&gt;0,1,0)</f>
        <v>0</v>
      </c>
      <c r="I57" s="112">
        <f>IF(COUNTIFS(_xlfn.ANCHORARRAY(DATA_CLEANED!$AF$3),CALCULES!I$2,_xlfn.ANCHORARRAY(DATA_CLEANED!$AK$3),CALCULES!$A57)+COUNTIFS(_xlfn.ANCHORARRAY(DATA_CLEANED!$AF$3),CALCULES!I$2,_xlfn.ANCHORARRAY(DATA_CLEANED!$AN$3),CALCULES!$A57)&gt;0,1,0)</f>
        <v>1</v>
      </c>
      <c r="J57" s="112">
        <f>IF(COUNTIFS(_xlfn.ANCHORARRAY(DATA_CLEANED!$AF$3),CALCULES!J$2,_xlfn.ANCHORARRAY(DATA_CLEANED!$AK$3),CALCULES!$A57)+COUNTIFS(_xlfn.ANCHORARRAY(DATA_CLEANED!$AF$3),CALCULES!J$2,_xlfn.ANCHORARRAY(DATA_CLEANED!$AN$3),CALCULES!$A57)&gt;0,1,0)</f>
        <v>0</v>
      </c>
      <c r="K57" s="112">
        <f>IF(COUNTIFS(_xlfn.ANCHORARRAY(DATA_CLEANED!$AF$3),CALCULES!K$2,_xlfn.ANCHORARRAY(DATA_CLEANED!$AK$3),CALCULES!$A57)+COUNTIFS(_xlfn.ANCHORARRAY(DATA_CLEANED!$AF$3),CALCULES!K$2,_xlfn.ANCHORARRAY(DATA_CLEANED!$AN$3),CALCULES!$A57)&gt;0,1,0)</f>
        <v>0</v>
      </c>
      <c r="L57" s="112">
        <f>IF(COUNTIFS(_xlfn.ANCHORARRAY(DATA_CLEANED!$AF$3),CALCULES!L$2,_xlfn.ANCHORARRAY(DATA_CLEANED!$AK$3),CALCULES!$A57)+COUNTIFS(_xlfn.ANCHORARRAY(DATA_CLEANED!$AF$3),CALCULES!L$2,_xlfn.ANCHORARRAY(DATA_CLEANED!$AN$3),CALCULES!$A57)&gt;0,1,0)</f>
        <v>0</v>
      </c>
      <c r="M57" s="112">
        <f>IF(COUNTIFS(_xlfn.ANCHORARRAY(DATA_CLEANED!$AF$3),CALCULES!M$2,_xlfn.ANCHORARRAY(DATA_CLEANED!$AK$3),CALCULES!$A57)+COUNTIFS(_xlfn.ANCHORARRAY(DATA_CLEANED!$AF$3),CALCULES!M$2,_xlfn.ANCHORARRAY(DATA_CLEANED!$AN$3),CALCULES!$A57)&gt;0,1,0)</f>
        <v>0</v>
      </c>
      <c r="N57" s="112">
        <f>IF(COUNTIFS(_xlfn.ANCHORARRAY(DATA_CLEANED!$AF$3),CALCULES!N$2,_xlfn.ANCHORARRAY(DATA_CLEANED!$AK$3),CALCULES!$A57)+COUNTIFS(_xlfn.ANCHORARRAY(DATA_CLEANED!$AF$3),CALCULES!N$2,_xlfn.ANCHORARRAY(DATA_CLEANED!$AN$3),CALCULES!$A57)&gt;0,1,0)</f>
        <v>0</v>
      </c>
      <c r="O57" s="112">
        <f>IF(COUNTIFS(_xlfn.ANCHORARRAY(DATA_CLEANED!$AF$3),CALCULES!O$2,_xlfn.ANCHORARRAY(DATA_CLEANED!$AK$3),CALCULES!$A57)+COUNTIFS(_xlfn.ANCHORARRAY(DATA_CLEANED!$AF$3),CALCULES!O$2,_xlfn.ANCHORARRAY(DATA_CLEANED!$AN$3),CALCULES!$A57)&gt;0,1,0)</f>
        <v>0</v>
      </c>
      <c r="P57" s="112">
        <f>IF(COUNTIFS(_xlfn.ANCHORARRAY(DATA_CLEANED!$AF$3),CALCULES!P$2,_xlfn.ANCHORARRAY(DATA_CLEANED!$AK$3),CALCULES!$A57)+COUNTIFS(_xlfn.ANCHORARRAY(DATA_CLEANED!$AF$3),CALCULES!P$2,_xlfn.ANCHORARRAY(DATA_CLEANED!$AN$3),CALCULES!$A57)&gt;0,1,0)</f>
        <v>0</v>
      </c>
      <c r="Q57" s="112">
        <f>IF(COUNTIFS(_xlfn.ANCHORARRAY(DATA_CLEANED!$AF$3),CALCULES!Q$2,_xlfn.ANCHORARRAY(DATA_CLEANED!$AK$3),CALCULES!$A57)+COUNTIFS(_xlfn.ANCHORARRAY(DATA_CLEANED!$AF$3),CALCULES!Q$2,_xlfn.ANCHORARRAY(DATA_CLEANED!$AN$3),CALCULES!$A57)&gt;0,1,0)</f>
        <v>0</v>
      </c>
      <c r="R57" s="112">
        <f>IF(COUNTIFS(_xlfn.ANCHORARRAY(DATA_CLEANED!$AF$3),CALCULES!R$2,_xlfn.ANCHORARRAY(DATA_CLEANED!$AK$3),CALCULES!$A57)+COUNTIFS(_xlfn.ANCHORARRAY(DATA_CLEANED!$AF$3),CALCULES!R$2,_xlfn.ANCHORARRAY(DATA_CLEANED!$AN$3),CALCULES!$A57)&gt;0,1,0)</f>
        <v>0</v>
      </c>
      <c r="S57" s="112">
        <f>IF(COUNTIFS(_xlfn.ANCHORARRAY(DATA_CLEANED!$AF$3),CALCULES!S$2,_xlfn.ANCHORARRAY(DATA_CLEANED!$AK$3),CALCULES!$A57)+COUNTIFS(_xlfn.ANCHORARRAY(DATA_CLEANED!$AF$3),CALCULES!S$2,_xlfn.ANCHORARRAY(DATA_CLEANED!$AN$3),CALCULES!$A57)&gt;0,1,0)</f>
        <v>0</v>
      </c>
      <c r="T57" s="112">
        <f>IF(COUNTIFS(_xlfn.ANCHORARRAY(DATA_CLEANED!$AF$3),CALCULES!T$2,_xlfn.ANCHORARRAY(DATA_CLEANED!$AK$3),CALCULES!$A57)+COUNTIFS(_xlfn.ANCHORARRAY(DATA_CLEANED!$AF$3),CALCULES!T$2,_xlfn.ANCHORARRAY(DATA_CLEANED!$AN$3),CALCULES!$A57)&gt;0,1,0)</f>
        <v>1</v>
      </c>
      <c r="U57" s="112">
        <f>IF(COUNTIFS(_xlfn.ANCHORARRAY(DATA_CLEANED!$AF$3),CALCULES!U$2,_xlfn.ANCHORARRAY(DATA_CLEANED!$AK$3),CALCULES!$A57)+COUNTIFS(_xlfn.ANCHORARRAY(DATA_CLEANED!$AF$3),CALCULES!U$2,_xlfn.ANCHORARRAY(DATA_CLEANED!$AN$3),CALCULES!$A57)&gt;0,1,0)</f>
        <v>0</v>
      </c>
      <c r="V57" s="112">
        <f>IF(COUNTIFS(_xlfn.ANCHORARRAY(DATA_CLEANED!$AF$3),CALCULES!V$2,_xlfn.ANCHORARRAY(DATA_CLEANED!$AK$3),CALCULES!$A57)+COUNTIFS(_xlfn.ANCHORARRAY(DATA_CLEANED!$AF$3),CALCULES!V$2,_xlfn.ANCHORARRAY(DATA_CLEANED!$AN$3),CALCULES!$A57)&gt;0,1,0)</f>
        <v>0</v>
      </c>
      <c r="W57" s="112">
        <f>IF(COUNTIFS(_xlfn.ANCHORARRAY(DATA_CLEANED!$AF$3),CALCULES!W$2,_xlfn.ANCHORARRAY(DATA_CLEANED!$AK$3),CALCULES!$A57)+COUNTIFS(_xlfn.ANCHORARRAY(DATA_CLEANED!$AF$3),CALCULES!W$2,_xlfn.ANCHORARRAY(DATA_CLEANED!$AN$3),CALCULES!$A57)&gt;0,1,0)</f>
        <v>0</v>
      </c>
      <c r="X57" s="112">
        <f>IF(COUNTIFS(_xlfn.ANCHORARRAY(DATA_CLEANED!$AF$3),CALCULES!X$2,_xlfn.ANCHORARRAY(DATA_CLEANED!$AK$3),CALCULES!$A57)+COUNTIFS(_xlfn.ANCHORARRAY(DATA_CLEANED!$AF$3),CALCULES!X$2,_xlfn.ANCHORARRAY(DATA_CLEANED!$AN$3),CALCULES!$A57)&gt;0,1,0)</f>
        <v>0</v>
      </c>
      <c r="Y57" s="113">
        <f t="shared" si="15"/>
        <v>2</v>
      </c>
      <c r="AA57" s="112">
        <f>COUNTIF(_xlfn.ANCHORARRAY(DATA_CLEANED!$AK$3),$A57)+COUNTIF(DATA_CLEANED!$AN$2:$AN$1060,$A57)</f>
        <v>7</v>
      </c>
      <c r="AB57" s="112">
        <f>COUNTIF(DATA_QUALITE!BG$12:BG$1069,A57)</f>
        <v>1</v>
      </c>
      <c r="AC57" s="112">
        <f t="shared" si="7"/>
        <v>6</v>
      </c>
      <c r="AD57" s="112" cm="1">
        <f t="array" ref="AD57">SUMPRODUCT((DATA_CLEANED!AL$3:AL$1060=DATA_CLEANED!AM$3:AM$1060)*(_xlfn.ANCHORARRAY(DATA_CLEANED!AK$3)=CALCULES!A57)*(DATA_CLEANED!AO$3:AO$1060&lt;&gt;"-"))
+
SUMPRODUCT((DATA_CLEANED!AL$3:AL$1060=DATA_CLEANED!AM$3:AM$1060)*(_xlfn.ANCHORARRAY(DATA_CLEANED!AN$3)=CALCULES!A57)*(DATA_CLEANED!AO$3:AO$1060&lt;&gt;"-"))</f>
        <v>0</v>
      </c>
      <c r="AE57" s="116">
        <f t="shared" si="16"/>
        <v>0.14285714285714285</v>
      </c>
      <c r="AF57" s="116">
        <f t="shared" si="17"/>
        <v>0.8571428571428571</v>
      </c>
      <c r="AG57" s="112">
        <f>SUMIF(_xlfn.ANCHORARRAY(DATA_CLEANED!AK$3),A57,DATA_CLEANED!AL$2:AL$1060)+SUMIF(_xlfn.ANCHORARRAY(DATA_CLEANED!AN$3),A57,DATA_CLEANED!AM$2:AM$1060)</f>
        <v>8</v>
      </c>
      <c r="AH57" s="112">
        <f>SUMIF(_xlfn.ANCHORARRAY(DATA_CLEANED!AK$3),A57,DATA_CLEANED!AM$2:AM$1060)+SUMIF(_xlfn.ANCHORARRAY(DATA_CLEANED!AN$3),A57,DATA_CLEANED!AL$2:AL$1060)</f>
        <v>9</v>
      </c>
      <c r="AI57" s="112">
        <f t="shared" si="8"/>
        <v>1.29</v>
      </c>
      <c r="AJ57" s="117" cm="1">
        <f t="array" ref="AJ57">_xlfn.LET(_xlpm.home,IFERROR(_xlfn._xlws.FILTER(DATA_CLEANED!AH$3:AH$1060,DATA_CLEANED!AK$3:AK$1060=CALCULES!A57),""),
_xlpm.away,IFERROR(_xlfn._xlws.FILTER(DATA_CLEANED!AH$3:AH$1060,DATA_CLEANED!AN$3:AN$1060=CALCULES!A57),""),
_xlpm.assemb_t,_xlfn._xlws.FILTER(_xlfn.VSTACK(_xlpm.home,_xlpm.away),_xlfn.VSTACK(_xlpm.home,_xlpm.away)&lt;&gt;""),
_xlpm.but_h,IFERROR(_xlfn._xlws.FILTER(_xlfn.ANCHORARRAY(DATA_CLEANED!AM$3),DATA_CLEANED!AK$3:AK$1060=CALCULES!A57),""),
_xlpm.but_a,IFERROR(_xlfn._xlws.FILTER(_xlfn.ANCHORARRAY(DATA_CLEANED!AL$3),DATA_CLEANED!AN$3:AN$1060=CALCULES!A57),""),
_xlpm.assemb_b,_xlfn._xlws.FILTER(_xlfn.VSTACK(_xlpm.but_h,_xlpm.but_a),_xlfn.VSTACK(_xlpm.but_h,_xlpm.but_a)&lt;&gt;""),
MEDIAN(_xlpm.assemb_t,_xlpm.assemb_b)
)</f>
        <v>3</v>
      </c>
      <c r="AK57" s="113">
        <f t="shared" si="18"/>
        <v>-1</v>
      </c>
      <c r="AL57" s="112" cm="1">
        <f t="array" ref="AL57">IFERROR(MEDIAN(_xlfn._xlws.FILTER(_xlfn.VSTACK(
DATA_CLEANED!AL$3:AL$1060-DATA_CLEANED!AM$3:AM$1060,
DATA_CLEANED!AM$3:AM$1060-DATA_CLEANED!AL$3:AL$1060
),_xlfn.VSTACK(DATA_CLEANED!AK$3:AK$1060,DATA_CLEANED!AN$3:AN$1060)=A57)),"-")</f>
        <v>-2</v>
      </c>
      <c r="AM57" s="112">
        <f t="shared" si="9"/>
        <v>1.1399999999999999</v>
      </c>
      <c r="AN57" s="112" cm="1">
        <f t="array" ref="AN57">_xlfn.LET(_xlpm.home,IFERROR(_xlfn._xlws.FILTER(DATA_CLEANED!AH$3:AH$1060,DATA_CLEANED!AK$3:AK$1060=CALCULES!A57),""),
_xlpm.away,IFERROR(_xlfn._xlws.FILTER(DATA_CLEANED!AH$3:AH$1060,DATA_CLEANED!AN$3:AN$1060=CALCULES!A57),""),
_xlpm.assemb_t,_xlfn._xlws.FILTER(_xlfn.VSTACK(_xlpm.home,_xlpm.away),_xlfn.VSTACK(_xlpm.home,_xlpm.away)&lt;&gt;""),
_xlpm.but_h,IFERROR(_xlfn._xlws.FILTER(_xlfn.ANCHORARRAY(DATA_CLEANED!AL$3),DATA_CLEANED!AK$3:AK$1060=CALCULES!A57),""),
_xlpm.but_a,IFERROR(_xlfn._xlws.FILTER(_xlfn.ANCHORARRAY(DATA_CLEANED!AM$3),DATA_CLEANED!AN$3:AN$1060=CALCULES!A57),""),
_xlpm.assemb_b,_xlfn._xlws.FILTER(_xlfn.VSTACK(_xlpm.but_h,_xlpm.but_a),_xlfn.VSTACK(_xlpm.but_h,_xlpm.but_a)&lt;&gt;""),
MEDIAN(_xlpm.assemb_t,_xlpm.assemb_b)
)</f>
        <v>1</v>
      </c>
      <c r="AO57" s="116">
        <f>ROUND(IFERROR((COUNTIFS(DATA_CLEANED!AK$3:AK$1060,A57,DATA_CLEANED!AM$3:AM$1060,0)
+
COUNTIFS(DATA_CLEANED!AN$3:AN$1060,A57,DATA_CLEANED!AL$3:AL$1060,0)
)/AA57,0),2)</f>
        <v>0.14000000000000001</v>
      </c>
      <c r="AP57" s="112">
        <f>MAX((_xlfn.MAXIFS(_xlfn.ANCHORARRAY(DATA_CLEANED!AL$3),_xlfn.ANCHORARRAY(DATA_CLEANED!AK$3),A57)),(_xlfn.MAXIFS(DATA_CLEANED!AM$3:AM$1060,_xlfn.ANCHORARRAY(DATA_CLEANED!AN$3),A57)))</f>
        <v>3</v>
      </c>
      <c r="AQ57" s="112">
        <f>COUNTIF(_xlfn.ANCHORARRAY(DATA_CLEANED!K$3),A57)</f>
        <v>0</v>
      </c>
      <c r="AR57" s="113" t="str" cm="1">
        <f t="array" ref="AR57">_xlfn.LET(
_xlpm.home,IFERROR(_xlfn._xlws.FILTER(DATA_CLEANED!AH$3:AH$1060,DATA_CLEANED!AK$3:AK$1060=CALCULES!A57),""),
_xlpm.away,IFERROR(_xlfn._xlws.FILTER(DATA_CLEANED!AH$3:AH$1060,DATA_CLEANED!AN$3:AN$1060=CALCULES!A57),""),
_xlpm.etapes,_xlfn._xlws.FILTER(_xlfn.VSTACK(_xlpm.home,_xlpm.away),_xlfn.VSTACK(_xlpm.home,_xlpm.away)&lt;&gt;""),
_xlpm.numeros,_xlfn.XLOOKUP(_xlpm.etapes,DATA_QUALITE!AT$12:AT$38,DATA_QUALITE!AU$12:AU$38),
_xlfn.XLOOKUP(MIN(_xlpm.numeros),DATA_QUALITE!AU$12:AU$38,DATA_QUALITE!AT$12:AT$38)
)</f>
        <v>QUARTER_FINALS</v>
      </c>
      <c r="AS57" s="112">
        <f t="shared" si="19"/>
        <v>2</v>
      </c>
      <c r="AT57" s="112">
        <f t="shared" si="20"/>
        <v>1</v>
      </c>
      <c r="AU57" s="112">
        <f>COUNTIFS(DATA_QUALITE!BG$12:BG$1069,"MATCH NUL",_xlfn.ANCHORARRAY(DATA_CLEANED!AK$3),CALCULES!A57)+COUNTIFS(DATA_QUALITE!BG$12:BG$1069,"MATCH NUL",_xlfn.ANCHORARRAY(DATA_CLEANED!AN$3),CALCULES!A57)</f>
        <v>1</v>
      </c>
      <c r="AV57" s="112">
        <v>8</v>
      </c>
      <c r="AW57" s="112">
        <f>COUNTIFS(_xlfn.ANCHORARRAY(DATA_CLEANED!AH$3),"QUARTER_FINALS",_xlfn.ANCHORARRAY(DATA_CLEANED!AK$3),CALCULES!A57)+COUNTIFS(_xlfn.ANCHORARRAY(DATA_CLEANED!AH$3),"QUARTER_FINALS",_xlfn.ANCHORARRAY(DATA_CLEANED!AN$3),CALCULES!A57)</f>
        <v>1</v>
      </c>
      <c r="AX57" s="112">
        <f>COUNTIFS(_xlfn.ANCHORARRAY(DATA_CLEANED!AH$3),"SEMI_FINALS",_xlfn.ANCHORARRAY(DATA_CLEANED!AK$3),CALCULES!A57)+COUNTIFS(_xlfn.ANCHORARRAY(DATA_CLEANED!AH$3),"SEMI_FINALS",_xlfn.ANCHORARRAY(DATA_CLEANED!AN$3),CALCULES!A57)</f>
        <v>0</v>
      </c>
      <c r="AY57" s="112">
        <f>COUNTIFS(_xlfn.ANCHORARRAY(DATA_CLEANED!AH$3),"FINAL",_xlfn.ANCHORARRAY(DATA_CLEANED!AK$3),CALCULES!A57)+COUNTIFS(_xlfn.ANCHORARRAY(DATA_CLEANED!AH$3),"FINAL",_xlfn.ANCHORARRAY(DATA_CLEANED!AN$3),CALCULES!A57)</f>
        <v>0</v>
      </c>
      <c r="AZ57" s="112">
        <f>COUNTIFS(DATA_QUALITE!BG$12:BG$1069,CALCULES!A57,DATA_QUALITE!AW$12:AW$1069,"FINAL")</f>
        <v>0</v>
      </c>
      <c r="BA57" s="113">
        <f t="shared" si="21"/>
        <v>13.83</v>
      </c>
      <c r="BB57" s="118">
        <f t="shared" si="10"/>
        <v>3.94</v>
      </c>
      <c r="BC57" s="118">
        <f t="shared" si="11"/>
        <v>4.09</v>
      </c>
      <c r="BD57" s="139">
        <f t="shared" si="12"/>
        <v>4.0199999999999996</v>
      </c>
      <c r="BF57" s="167"/>
      <c r="BG57" s="167"/>
      <c r="BH57" s="167"/>
      <c r="BI57" s="167"/>
      <c r="BJ57" s="167"/>
      <c r="BK57" s="167"/>
      <c r="BL57" s="173">
        <f>INT((ROWS($BL$15:BL57)-1)/9)</f>
        <v>4</v>
      </c>
      <c r="BM57" s="173">
        <f>MOD(ROWS($BM$15:BM57)-1,9)</f>
        <v>6</v>
      </c>
      <c r="BN57" s="173">
        <f t="shared" si="22"/>
        <v>4.9403715519233789E-5</v>
      </c>
      <c r="BO57" s="167"/>
      <c r="BP57" s="167"/>
    </row>
    <row r="58" spans="1:68">
      <c r="A58" s="113" t="str">
        <v>Northern Ireland</v>
      </c>
      <c r="B58" s="112">
        <f>IF(COUNTIFS(_xlfn.ANCHORARRAY(DATA_CLEANED!$AF$3),CALCULES!B$2,_xlfn.ANCHORARRAY(DATA_CLEANED!$AK$3),CALCULES!$A58)+COUNTIFS(_xlfn.ANCHORARRAY(DATA_CLEANED!$AF$3),CALCULES!B$2,_xlfn.ANCHORARRAY(DATA_CLEANED!$AN$3),CALCULES!$A58)&gt;0,1,0)</f>
        <v>0</v>
      </c>
      <c r="C58" s="112">
        <f>IF(COUNTIFS(_xlfn.ANCHORARRAY(DATA_CLEANED!$AF$3),CALCULES!C$2,_xlfn.ANCHORARRAY(DATA_CLEANED!$AK$3),CALCULES!$A58)+COUNTIFS(_xlfn.ANCHORARRAY(DATA_CLEANED!$AF$3),CALCULES!C$2,_xlfn.ANCHORARRAY(DATA_CLEANED!$AN$3),CALCULES!$A58)&gt;0,1,0)</f>
        <v>0</v>
      </c>
      <c r="D58" s="112">
        <f>IF(COUNTIFS(_xlfn.ANCHORARRAY(DATA_CLEANED!$AF$3),CALCULES!D$2,_xlfn.ANCHORARRAY(DATA_CLEANED!$AK$3),CALCULES!$A58)+COUNTIFS(_xlfn.ANCHORARRAY(DATA_CLEANED!$AF$3),CALCULES!D$2,_xlfn.ANCHORARRAY(DATA_CLEANED!$AN$3),CALCULES!$A58)&gt;0,1,0)</f>
        <v>0</v>
      </c>
      <c r="E58" s="112">
        <f>IF(COUNTIFS(_xlfn.ANCHORARRAY(DATA_CLEANED!$AF$3),CALCULES!E$2,_xlfn.ANCHORARRAY(DATA_CLEANED!$AK$3),CALCULES!$A58)+COUNTIFS(_xlfn.ANCHORARRAY(DATA_CLEANED!$AF$3),CALCULES!E$2,_xlfn.ANCHORARRAY(DATA_CLEANED!$AN$3),CALCULES!$A58)&gt;0,1,0)</f>
        <v>0</v>
      </c>
      <c r="F58" s="112">
        <f>IF(COUNTIFS(_xlfn.ANCHORARRAY(DATA_CLEANED!$AF$3),CALCULES!F$2,_xlfn.ANCHORARRAY(DATA_CLEANED!$AK$3),CALCULES!$A58)+COUNTIFS(_xlfn.ANCHORARRAY(DATA_CLEANED!$AF$3),CALCULES!F$2,_xlfn.ANCHORARRAY(DATA_CLEANED!$AN$3),CALCULES!$A58)&gt;0,1,0)</f>
        <v>0</v>
      </c>
      <c r="G58" s="112">
        <f>IF(COUNTIFS(_xlfn.ANCHORARRAY(DATA_CLEANED!$AF$3),CALCULES!G$2,_xlfn.ANCHORARRAY(DATA_CLEANED!$AK$3),CALCULES!$A58)+COUNTIFS(_xlfn.ANCHORARRAY(DATA_CLEANED!$AF$3),CALCULES!G$2,_xlfn.ANCHORARRAY(DATA_CLEANED!$AN$3),CALCULES!$A58)&gt;0,1,0)</f>
        <v>1</v>
      </c>
      <c r="H58" s="112">
        <f>IF(COUNTIFS(_xlfn.ANCHORARRAY(DATA_CLEANED!$AF$3),CALCULES!H$2,_xlfn.ANCHORARRAY(DATA_CLEANED!$AK$3),CALCULES!$A58)+COUNTIFS(_xlfn.ANCHORARRAY(DATA_CLEANED!$AF$3),CALCULES!H$2,_xlfn.ANCHORARRAY(DATA_CLEANED!$AN$3),CALCULES!$A58)&gt;0,1,0)</f>
        <v>0</v>
      </c>
      <c r="I58" s="112">
        <f>IF(COUNTIFS(_xlfn.ANCHORARRAY(DATA_CLEANED!$AF$3),CALCULES!I$2,_xlfn.ANCHORARRAY(DATA_CLEANED!$AK$3),CALCULES!$A58)+COUNTIFS(_xlfn.ANCHORARRAY(DATA_CLEANED!$AF$3),CALCULES!I$2,_xlfn.ANCHORARRAY(DATA_CLEANED!$AN$3),CALCULES!$A58)&gt;0,1,0)</f>
        <v>0</v>
      </c>
      <c r="J58" s="112">
        <f>IF(COUNTIFS(_xlfn.ANCHORARRAY(DATA_CLEANED!$AF$3),CALCULES!J$2,_xlfn.ANCHORARRAY(DATA_CLEANED!$AK$3),CALCULES!$A58)+COUNTIFS(_xlfn.ANCHORARRAY(DATA_CLEANED!$AF$3),CALCULES!J$2,_xlfn.ANCHORARRAY(DATA_CLEANED!$AN$3),CALCULES!$A58)&gt;0,1,0)</f>
        <v>0</v>
      </c>
      <c r="K58" s="112">
        <f>IF(COUNTIFS(_xlfn.ANCHORARRAY(DATA_CLEANED!$AF$3),CALCULES!K$2,_xlfn.ANCHORARRAY(DATA_CLEANED!$AK$3),CALCULES!$A58)+COUNTIFS(_xlfn.ANCHORARRAY(DATA_CLEANED!$AF$3),CALCULES!K$2,_xlfn.ANCHORARRAY(DATA_CLEANED!$AN$3),CALCULES!$A58)&gt;0,1,0)</f>
        <v>0</v>
      </c>
      <c r="L58" s="112">
        <f>IF(COUNTIFS(_xlfn.ANCHORARRAY(DATA_CLEANED!$AF$3),CALCULES!L$2,_xlfn.ANCHORARRAY(DATA_CLEANED!$AK$3),CALCULES!$A58)+COUNTIFS(_xlfn.ANCHORARRAY(DATA_CLEANED!$AF$3),CALCULES!L$2,_xlfn.ANCHORARRAY(DATA_CLEANED!$AN$3),CALCULES!$A58)&gt;0,1,0)</f>
        <v>0</v>
      </c>
      <c r="M58" s="112">
        <f>IF(COUNTIFS(_xlfn.ANCHORARRAY(DATA_CLEANED!$AF$3),CALCULES!M$2,_xlfn.ANCHORARRAY(DATA_CLEANED!$AK$3),CALCULES!$A58)+COUNTIFS(_xlfn.ANCHORARRAY(DATA_CLEANED!$AF$3),CALCULES!M$2,_xlfn.ANCHORARRAY(DATA_CLEANED!$AN$3),CALCULES!$A58)&gt;0,1,0)</f>
        <v>1</v>
      </c>
      <c r="N58" s="112">
        <f>IF(COUNTIFS(_xlfn.ANCHORARRAY(DATA_CLEANED!$AF$3),CALCULES!N$2,_xlfn.ANCHORARRAY(DATA_CLEANED!$AK$3),CALCULES!$A58)+COUNTIFS(_xlfn.ANCHORARRAY(DATA_CLEANED!$AF$3),CALCULES!N$2,_xlfn.ANCHORARRAY(DATA_CLEANED!$AN$3),CALCULES!$A58)&gt;0,1,0)</f>
        <v>1</v>
      </c>
      <c r="O58" s="112">
        <f>IF(COUNTIFS(_xlfn.ANCHORARRAY(DATA_CLEANED!$AF$3),CALCULES!O$2,_xlfn.ANCHORARRAY(DATA_CLEANED!$AK$3),CALCULES!$A58)+COUNTIFS(_xlfn.ANCHORARRAY(DATA_CLEANED!$AF$3),CALCULES!O$2,_xlfn.ANCHORARRAY(DATA_CLEANED!$AN$3),CALCULES!$A58)&gt;0,1,0)</f>
        <v>0</v>
      </c>
      <c r="P58" s="112">
        <f>IF(COUNTIFS(_xlfn.ANCHORARRAY(DATA_CLEANED!$AF$3),CALCULES!P$2,_xlfn.ANCHORARRAY(DATA_CLEANED!$AK$3),CALCULES!$A58)+COUNTIFS(_xlfn.ANCHORARRAY(DATA_CLEANED!$AF$3),CALCULES!P$2,_xlfn.ANCHORARRAY(DATA_CLEANED!$AN$3),CALCULES!$A58)&gt;0,1,0)</f>
        <v>0</v>
      </c>
      <c r="Q58" s="112">
        <f>IF(COUNTIFS(_xlfn.ANCHORARRAY(DATA_CLEANED!$AF$3),CALCULES!Q$2,_xlfn.ANCHORARRAY(DATA_CLEANED!$AK$3),CALCULES!$A58)+COUNTIFS(_xlfn.ANCHORARRAY(DATA_CLEANED!$AF$3),CALCULES!Q$2,_xlfn.ANCHORARRAY(DATA_CLEANED!$AN$3),CALCULES!$A58)&gt;0,1,0)</f>
        <v>0</v>
      </c>
      <c r="R58" s="112">
        <f>IF(COUNTIFS(_xlfn.ANCHORARRAY(DATA_CLEANED!$AF$3),CALCULES!R$2,_xlfn.ANCHORARRAY(DATA_CLEANED!$AK$3),CALCULES!$A58)+COUNTIFS(_xlfn.ANCHORARRAY(DATA_CLEANED!$AF$3),CALCULES!R$2,_xlfn.ANCHORARRAY(DATA_CLEANED!$AN$3),CALCULES!$A58)&gt;0,1,0)</f>
        <v>0</v>
      </c>
      <c r="S58" s="112">
        <f>IF(COUNTIFS(_xlfn.ANCHORARRAY(DATA_CLEANED!$AF$3),CALCULES!S$2,_xlfn.ANCHORARRAY(DATA_CLEANED!$AK$3),CALCULES!$A58)+COUNTIFS(_xlfn.ANCHORARRAY(DATA_CLEANED!$AF$3),CALCULES!S$2,_xlfn.ANCHORARRAY(DATA_CLEANED!$AN$3),CALCULES!$A58)&gt;0,1,0)</f>
        <v>0</v>
      </c>
      <c r="T58" s="112">
        <f>IF(COUNTIFS(_xlfn.ANCHORARRAY(DATA_CLEANED!$AF$3),CALCULES!T$2,_xlfn.ANCHORARRAY(DATA_CLEANED!$AK$3),CALCULES!$A58)+COUNTIFS(_xlfn.ANCHORARRAY(DATA_CLEANED!$AF$3),CALCULES!T$2,_xlfn.ANCHORARRAY(DATA_CLEANED!$AN$3),CALCULES!$A58)&gt;0,1,0)</f>
        <v>0</v>
      </c>
      <c r="U58" s="112">
        <f>IF(COUNTIFS(_xlfn.ANCHORARRAY(DATA_CLEANED!$AF$3),CALCULES!U$2,_xlfn.ANCHORARRAY(DATA_CLEANED!$AK$3),CALCULES!$A58)+COUNTIFS(_xlfn.ANCHORARRAY(DATA_CLEANED!$AF$3),CALCULES!U$2,_xlfn.ANCHORARRAY(DATA_CLEANED!$AN$3),CALCULES!$A58)&gt;0,1,0)</f>
        <v>0</v>
      </c>
      <c r="V58" s="112">
        <f>IF(COUNTIFS(_xlfn.ANCHORARRAY(DATA_CLEANED!$AF$3),CALCULES!V$2,_xlfn.ANCHORARRAY(DATA_CLEANED!$AK$3),CALCULES!$A58)+COUNTIFS(_xlfn.ANCHORARRAY(DATA_CLEANED!$AF$3),CALCULES!V$2,_xlfn.ANCHORARRAY(DATA_CLEANED!$AN$3),CALCULES!$A58)&gt;0,1,0)</f>
        <v>0</v>
      </c>
      <c r="W58" s="112">
        <f>IF(COUNTIFS(_xlfn.ANCHORARRAY(DATA_CLEANED!$AF$3),CALCULES!W$2,_xlfn.ANCHORARRAY(DATA_CLEANED!$AK$3),CALCULES!$A58)+COUNTIFS(_xlfn.ANCHORARRAY(DATA_CLEANED!$AF$3),CALCULES!W$2,_xlfn.ANCHORARRAY(DATA_CLEANED!$AN$3),CALCULES!$A58)&gt;0,1,0)</f>
        <v>0</v>
      </c>
      <c r="X58" s="112">
        <f>IF(COUNTIFS(_xlfn.ANCHORARRAY(DATA_CLEANED!$AF$3),CALCULES!X$2,_xlfn.ANCHORARRAY(DATA_CLEANED!$AK$3),CALCULES!$A58)+COUNTIFS(_xlfn.ANCHORARRAY(DATA_CLEANED!$AF$3),CALCULES!X$2,_xlfn.ANCHORARRAY(DATA_CLEANED!$AN$3),CALCULES!$A58)&gt;0,1,0)</f>
        <v>0</v>
      </c>
      <c r="Y58" s="113">
        <f t="shared" si="15"/>
        <v>3</v>
      </c>
      <c r="AA58" s="112">
        <f>COUNTIF(_xlfn.ANCHORARRAY(DATA_CLEANED!$AK$3),$A58)+COUNTIF(DATA_CLEANED!$AN$2:$AN$1060,$A58)</f>
        <v>13</v>
      </c>
      <c r="AB58" s="112">
        <f>COUNTIF(DATA_QUALITE!BG$12:BG$1069,A58)</f>
        <v>3</v>
      </c>
      <c r="AC58" s="112">
        <f t="shared" si="7"/>
        <v>10</v>
      </c>
      <c r="AD58" s="112" cm="1">
        <f t="array" ref="AD58">SUMPRODUCT((DATA_CLEANED!AL$3:AL$1060=DATA_CLEANED!AM$3:AM$1060)*(_xlfn.ANCHORARRAY(DATA_CLEANED!AK$3)=CALCULES!A58)*(DATA_CLEANED!AO$3:AO$1060&lt;&gt;"-"))
+
SUMPRODUCT((DATA_CLEANED!AL$3:AL$1060=DATA_CLEANED!AM$3:AM$1060)*(_xlfn.ANCHORARRAY(DATA_CLEANED!AN$3)=CALCULES!A58)*(DATA_CLEANED!AO$3:AO$1060&lt;&gt;"-"))</f>
        <v>0</v>
      </c>
      <c r="AE58" s="116">
        <f t="shared" si="16"/>
        <v>0.23076923076923078</v>
      </c>
      <c r="AF58" s="116">
        <f t="shared" si="17"/>
        <v>0.76923076923076927</v>
      </c>
      <c r="AG58" s="112">
        <f>SUMIF(_xlfn.ANCHORARRAY(DATA_CLEANED!AK$3),A58,DATA_CLEANED!AL$2:AL$1060)+SUMIF(_xlfn.ANCHORARRAY(DATA_CLEANED!AN$3),A58,DATA_CLEANED!AM$2:AM$1060)</f>
        <v>13</v>
      </c>
      <c r="AH58" s="112">
        <f>SUMIF(_xlfn.ANCHORARRAY(DATA_CLEANED!AK$3),A58,DATA_CLEANED!AM$2:AM$1060)+SUMIF(_xlfn.ANCHORARRAY(DATA_CLEANED!AN$3),A58,DATA_CLEANED!AL$2:AL$1060)</f>
        <v>13</v>
      </c>
      <c r="AI58" s="112">
        <f t="shared" si="8"/>
        <v>1</v>
      </c>
      <c r="AJ58" s="117" cm="1">
        <f t="array" ref="AJ58">_xlfn.LET(_xlpm.home,IFERROR(_xlfn._xlws.FILTER(DATA_CLEANED!AH$3:AH$1060,DATA_CLEANED!AK$3:AK$1060=CALCULES!A58),""),
_xlpm.away,IFERROR(_xlfn._xlws.FILTER(DATA_CLEANED!AH$3:AH$1060,DATA_CLEANED!AN$3:AN$1060=CALCULES!A58),""),
_xlpm.assemb_t,_xlfn._xlws.FILTER(_xlfn.VSTACK(_xlpm.home,_xlpm.away),_xlfn.VSTACK(_xlpm.home,_xlpm.away)&lt;&gt;""),
_xlpm.but_h,IFERROR(_xlfn._xlws.FILTER(_xlfn.ANCHORARRAY(DATA_CLEANED!AM$3),DATA_CLEANED!AK$3:AK$1060=CALCULES!A58),""),
_xlpm.but_a,IFERROR(_xlfn._xlws.FILTER(_xlfn.ANCHORARRAY(DATA_CLEANED!AL$3),DATA_CLEANED!AN$3:AN$1060=CALCULES!A58),""),
_xlpm.assemb_b,_xlfn._xlws.FILTER(_xlfn.VSTACK(_xlpm.but_h,_xlpm.but_a),_xlfn.VSTACK(_xlpm.but_h,_xlpm.but_a)&lt;&gt;""),
MEDIAN(_xlpm.assemb_t,_xlpm.assemb_b)
)</f>
        <v>2</v>
      </c>
      <c r="AK58" s="113">
        <f t="shared" si="18"/>
        <v>0</v>
      </c>
      <c r="AL58" s="112" cm="1">
        <f t="array" ref="AL58">IFERROR(MEDIAN(_xlfn._xlws.FILTER(_xlfn.VSTACK(
DATA_CLEANED!AL$3:AL$1060-DATA_CLEANED!AM$3:AM$1060,
DATA_CLEANED!AM$3:AM$1060-DATA_CLEANED!AL$3:AL$1060
),_xlfn.VSTACK(DATA_CLEANED!AK$3:AK$1060,DATA_CLEANED!AN$3:AN$1060)=A58)),"-")</f>
        <v>0</v>
      </c>
      <c r="AM58" s="112">
        <f t="shared" si="9"/>
        <v>1</v>
      </c>
      <c r="AN58" s="112" cm="1">
        <f t="array" ref="AN58">_xlfn.LET(_xlpm.home,IFERROR(_xlfn._xlws.FILTER(DATA_CLEANED!AH$3:AH$1060,DATA_CLEANED!AK$3:AK$1060=CALCULES!A58),""),
_xlpm.away,IFERROR(_xlfn._xlws.FILTER(DATA_CLEANED!AH$3:AH$1060,DATA_CLEANED!AN$3:AN$1060=CALCULES!A58),""),
_xlpm.assemb_t,_xlfn._xlws.FILTER(_xlfn.VSTACK(_xlpm.home,_xlpm.away),_xlfn.VSTACK(_xlpm.home,_xlpm.away)&lt;&gt;""),
_xlpm.but_h,IFERROR(_xlfn._xlws.FILTER(_xlfn.ANCHORARRAY(DATA_CLEANED!AL$3),DATA_CLEANED!AK$3:AK$1060=CALCULES!A58),""),
_xlpm.but_a,IFERROR(_xlfn._xlws.FILTER(_xlfn.ANCHORARRAY(DATA_CLEANED!AM$3),DATA_CLEANED!AN$3:AN$1060=CALCULES!A58),""),
_xlpm.assemb_b,_xlfn._xlws.FILTER(_xlfn.VSTACK(_xlpm.but_h,_xlpm.but_a),_xlfn.VSTACK(_xlpm.but_h,_xlpm.but_a)&lt;&gt;""),
MEDIAN(_xlpm.assemb_t,_xlpm.assemb_b)
)</f>
        <v>1</v>
      </c>
      <c r="AO58" s="116">
        <f>ROUND(IFERROR((COUNTIFS(DATA_CLEANED!AK$3:AK$1060,A58,DATA_CLEANED!AM$3:AM$1060,0)
+
COUNTIFS(DATA_CLEANED!AN$3:AN$1060,A58,DATA_CLEANED!AL$3:AL$1060,0)
)/AA58,0),2)</f>
        <v>0.23</v>
      </c>
      <c r="AP58" s="112">
        <f>MAX((_xlfn.MAXIFS(_xlfn.ANCHORARRAY(DATA_CLEANED!AL$3),_xlfn.ANCHORARRAY(DATA_CLEANED!AK$3),A58)),(_xlfn.MAXIFS(DATA_CLEANED!AM$3:AM$1060,_xlfn.ANCHORARRAY(DATA_CLEANED!AN$3),A58)))</f>
        <v>2</v>
      </c>
      <c r="AQ58" s="112">
        <f>COUNTIF(_xlfn.ANCHORARRAY(DATA_CLEANED!K$3),A58)</f>
        <v>0</v>
      </c>
      <c r="AR58" s="113" t="str" cm="1">
        <f t="array" ref="AR58">_xlfn.LET(
_xlpm.home,IFERROR(_xlfn._xlws.FILTER(DATA_CLEANED!AH$3:AH$1060,DATA_CLEANED!AK$3:AK$1060=CALCULES!A58),""),
_xlpm.away,IFERROR(_xlfn._xlws.FILTER(DATA_CLEANED!AH$3:AH$1060,DATA_CLEANED!AN$3:AN$1060=CALCULES!A58),""),
_xlpm.etapes,_xlfn._xlws.FILTER(_xlfn.VSTACK(_xlpm.home,_xlpm.away),_xlfn.VSTACK(_xlpm.home,_xlpm.away)&lt;&gt;""),
_xlpm.numeros,_xlfn.XLOOKUP(_xlpm.etapes,DATA_QUALITE!AT$12:AT$38,DATA_QUALITE!AU$12:AU$38),
_xlfn.XLOOKUP(MIN(_xlpm.numeros),DATA_QUALITE!AU$12:AU$38,DATA_QUALITE!AT$12:AT$38)
)</f>
        <v>QUARTER_FINALS</v>
      </c>
      <c r="AS58" s="112">
        <f t="shared" si="19"/>
        <v>3</v>
      </c>
      <c r="AT58" s="112">
        <f t="shared" si="20"/>
        <v>3</v>
      </c>
      <c r="AU58" s="112">
        <f>COUNTIFS(DATA_QUALITE!BG$12:BG$1069,"MATCH NUL",_xlfn.ANCHORARRAY(DATA_CLEANED!AK$3),CALCULES!A58)+COUNTIFS(DATA_QUALITE!BG$12:BG$1069,"MATCH NUL",_xlfn.ANCHORARRAY(DATA_CLEANED!AN$3),CALCULES!A58)</f>
        <v>5</v>
      </c>
      <c r="AV58" s="112">
        <v>13</v>
      </c>
      <c r="AW58" s="112">
        <f>COUNTIFS(_xlfn.ANCHORARRAY(DATA_CLEANED!AH$3),"QUARTER_FINALS",_xlfn.ANCHORARRAY(DATA_CLEANED!AK$3),CALCULES!A58)+COUNTIFS(_xlfn.ANCHORARRAY(DATA_CLEANED!AH$3),"QUARTER_FINALS",_xlfn.ANCHORARRAY(DATA_CLEANED!AN$3),CALCULES!A58)</f>
        <v>1</v>
      </c>
      <c r="AX58" s="112">
        <f>COUNTIFS(_xlfn.ANCHORARRAY(DATA_CLEANED!AH$3),"SEMI_FINALS",_xlfn.ANCHORARRAY(DATA_CLEANED!AK$3),CALCULES!A58)+COUNTIFS(_xlfn.ANCHORARRAY(DATA_CLEANED!AH$3),"SEMI_FINALS",_xlfn.ANCHORARRAY(DATA_CLEANED!AN$3),CALCULES!A58)</f>
        <v>0</v>
      </c>
      <c r="AY58" s="112">
        <f>COUNTIFS(_xlfn.ANCHORARRAY(DATA_CLEANED!AH$3),"FINAL",_xlfn.ANCHORARRAY(DATA_CLEANED!AK$3),CALCULES!A58)+COUNTIFS(_xlfn.ANCHORARRAY(DATA_CLEANED!AH$3),"FINAL",_xlfn.ANCHORARRAY(DATA_CLEANED!AN$3),CALCULES!A58)</f>
        <v>0</v>
      </c>
      <c r="AZ58" s="112">
        <f>COUNTIFS(DATA_QUALITE!BG$12:BG$1069,CALCULES!A58,DATA_QUALITE!AW$12:AW$1069,"FINAL")</f>
        <v>0</v>
      </c>
      <c r="BA58" s="113">
        <f t="shared" si="21"/>
        <v>26.41</v>
      </c>
      <c r="BB58" s="118">
        <f t="shared" si="10"/>
        <v>6.62</v>
      </c>
      <c r="BC58" s="118">
        <f t="shared" si="11"/>
        <v>8.5299999999999994</v>
      </c>
      <c r="BD58" s="139">
        <f t="shared" si="12"/>
        <v>7.58</v>
      </c>
      <c r="BF58" s="167"/>
      <c r="BG58" s="167"/>
      <c r="BH58" s="167"/>
      <c r="BI58" s="167"/>
      <c r="BJ58" s="167"/>
      <c r="BK58" s="167"/>
      <c r="BL58" s="173">
        <f>INT((ROWS($BL$15:BL58)-1)/9)</f>
        <v>4</v>
      </c>
      <c r="BM58" s="173">
        <f>MOD(ROWS($BM$15:BM58)-1,9)</f>
        <v>7</v>
      </c>
      <c r="BN58" s="173">
        <f t="shared" si="22"/>
        <v>7.9041378321430269E-6</v>
      </c>
      <c r="BO58" s="167"/>
      <c r="BP58" s="167"/>
    </row>
    <row r="59" spans="1:68">
      <c r="A59" s="113" t="str">
        <v>Norway</v>
      </c>
      <c r="B59" s="112">
        <f>IF(COUNTIFS(_xlfn.ANCHORARRAY(DATA_CLEANED!$AF$3),CALCULES!B$2,_xlfn.ANCHORARRAY(DATA_CLEANED!$AK$3),CALCULES!$A59)+COUNTIFS(_xlfn.ANCHORARRAY(DATA_CLEANED!$AF$3),CALCULES!B$2,_xlfn.ANCHORARRAY(DATA_CLEANED!$AN$3),CALCULES!$A59)&gt;0,1,0)</f>
        <v>0</v>
      </c>
      <c r="C59" s="112">
        <f>IF(COUNTIFS(_xlfn.ANCHORARRAY(DATA_CLEANED!$AF$3),CALCULES!C$2,_xlfn.ANCHORARRAY(DATA_CLEANED!$AK$3),CALCULES!$A59)+COUNTIFS(_xlfn.ANCHORARRAY(DATA_CLEANED!$AF$3),CALCULES!C$2,_xlfn.ANCHORARRAY(DATA_CLEANED!$AN$3),CALCULES!$A59)&gt;0,1,0)</f>
        <v>0</v>
      </c>
      <c r="D59" s="112">
        <f>IF(COUNTIFS(_xlfn.ANCHORARRAY(DATA_CLEANED!$AF$3),CALCULES!D$2,_xlfn.ANCHORARRAY(DATA_CLEANED!$AK$3),CALCULES!$A59)+COUNTIFS(_xlfn.ANCHORARRAY(DATA_CLEANED!$AF$3),CALCULES!D$2,_xlfn.ANCHORARRAY(DATA_CLEANED!$AN$3),CALCULES!$A59)&gt;0,1,0)</f>
        <v>1</v>
      </c>
      <c r="E59" s="112">
        <f>IF(COUNTIFS(_xlfn.ANCHORARRAY(DATA_CLEANED!$AF$3),CALCULES!E$2,_xlfn.ANCHORARRAY(DATA_CLEANED!$AK$3),CALCULES!$A59)+COUNTIFS(_xlfn.ANCHORARRAY(DATA_CLEANED!$AF$3),CALCULES!E$2,_xlfn.ANCHORARRAY(DATA_CLEANED!$AN$3),CALCULES!$A59)&gt;0,1,0)</f>
        <v>0</v>
      </c>
      <c r="F59" s="112">
        <f>IF(COUNTIFS(_xlfn.ANCHORARRAY(DATA_CLEANED!$AF$3),CALCULES!F$2,_xlfn.ANCHORARRAY(DATA_CLEANED!$AK$3),CALCULES!$A59)+COUNTIFS(_xlfn.ANCHORARRAY(DATA_CLEANED!$AF$3),CALCULES!F$2,_xlfn.ANCHORARRAY(DATA_CLEANED!$AN$3),CALCULES!$A59)&gt;0,1,0)</f>
        <v>0</v>
      </c>
      <c r="G59" s="112">
        <f>IF(COUNTIFS(_xlfn.ANCHORARRAY(DATA_CLEANED!$AF$3),CALCULES!G$2,_xlfn.ANCHORARRAY(DATA_CLEANED!$AK$3),CALCULES!$A59)+COUNTIFS(_xlfn.ANCHORARRAY(DATA_CLEANED!$AF$3),CALCULES!G$2,_xlfn.ANCHORARRAY(DATA_CLEANED!$AN$3),CALCULES!$A59)&gt;0,1,0)</f>
        <v>0</v>
      </c>
      <c r="H59" s="112">
        <f>IF(COUNTIFS(_xlfn.ANCHORARRAY(DATA_CLEANED!$AF$3),CALCULES!H$2,_xlfn.ANCHORARRAY(DATA_CLEANED!$AK$3),CALCULES!$A59)+COUNTIFS(_xlfn.ANCHORARRAY(DATA_CLEANED!$AF$3),CALCULES!H$2,_xlfn.ANCHORARRAY(DATA_CLEANED!$AN$3),CALCULES!$A59)&gt;0,1,0)</f>
        <v>0</v>
      </c>
      <c r="I59" s="112">
        <f>IF(COUNTIFS(_xlfn.ANCHORARRAY(DATA_CLEANED!$AF$3),CALCULES!I$2,_xlfn.ANCHORARRAY(DATA_CLEANED!$AK$3),CALCULES!$A59)+COUNTIFS(_xlfn.ANCHORARRAY(DATA_CLEANED!$AF$3),CALCULES!I$2,_xlfn.ANCHORARRAY(DATA_CLEANED!$AN$3),CALCULES!$A59)&gt;0,1,0)</f>
        <v>0</v>
      </c>
      <c r="J59" s="112">
        <f>IF(COUNTIFS(_xlfn.ANCHORARRAY(DATA_CLEANED!$AF$3),CALCULES!J$2,_xlfn.ANCHORARRAY(DATA_CLEANED!$AK$3),CALCULES!$A59)+COUNTIFS(_xlfn.ANCHORARRAY(DATA_CLEANED!$AF$3),CALCULES!J$2,_xlfn.ANCHORARRAY(DATA_CLEANED!$AN$3),CALCULES!$A59)&gt;0,1,0)</f>
        <v>0</v>
      </c>
      <c r="K59" s="112">
        <f>IF(COUNTIFS(_xlfn.ANCHORARRAY(DATA_CLEANED!$AF$3),CALCULES!K$2,_xlfn.ANCHORARRAY(DATA_CLEANED!$AK$3),CALCULES!$A59)+COUNTIFS(_xlfn.ANCHORARRAY(DATA_CLEANED!$AF$3),CALCULES!K$2,_xlfn.ANCHORARRAY(DATA_CLEANED!$AN$3),CALCULES!$A59)&gt;0,1,0)</f>
        <v>0</v>
      </c>
      <c r="L59" s="112">
        <f>IF(COUNTIFS(_xlfn.ANCHORARRAY(DATA_CLEANED!$AF$3),CALCULES!L$2,_xlfn.ANCHORARRAY(DATA_CLEANED!$AK$3),CALCULES!$A59)+COUNTIFS(_xlfn.ANCHORARRAY(DATA_CLEANED!$AF$3),CALCULES!L$2,_xlfn.ANCHORARRAY(DATA_CLEANED!$AN$3),CALCULES!$A59)&gt;0,1,0)</f>
        <v>0</v>
      </c>
      <c r="M59" s="112">
        <f>IF(COUNTIFS(_xlfn.ANCHORARRAY(DATA_CLEANED!$AF$3),CALCULES!M$2,_xlfn.ANCHORARRAY(DATA_CLEANED!$AK$3),CALCULES!$A59)+COUNTIFS(_xlfn.ANCHORARRAY(DATA_CLEANED!$AF$3),CALCULES!M$2,_xlfn.ANCHORARRAY(DATA_CLEANED!$AN$3),CALCULES!$A59)&gt;0,1,0)</f>
        <v>0</v>
      </c>
      <c r="N59" s="112">
        <f>IF(COUNTIFS(_xlfn.ANCHORARRAY(DATA_CLEANED!$AF$3),CALCULES!N$2,_xlfn.ANCHORARRAY(DATA_CLEANED!$AK$3),CALCULES!$A59)+COUNTIFS(_xlfn.ANCHORARRAY(DATA_CLEANED!$AF$3),CALCULES!N$2,_xlfn.ANCHORARRAY(DATA_CLEANED!$AN$3),CALCULES!$A59)&gt;0,1,0)</f>
        <v>0</v>
      </c>
      <c r="O59" s="112">
        <f>IF(COUNTIFS(_xlfn.ANCHORARRAY(DATA_CLEANED!$AF$3),CALCULES!O$2,_xlfn.ANCHORARRAY(DATA_CLEANED!$AK$3),CALCULES!$A59)+COUNTIFS(_xlfn.ANCHORARRAY(DATA_CLEANED!$AF$3),CALCULES!O$2,_xlfn.ANCHORARRAY(DATA_CLEANED!$AN$3),CALCULES!$A59)&gt;0,1,0)</f>
        <v>0</v>
      </c>
      <c r="P59" s="112">
        <f>IF(COUNTIFS(_xlfn.ANCHORARRAY(DATA_CLEANED!$AF$3),CALCULES!P$2,_xlfn.ANCHORARRAY(DATA_CLEANED!$AK$3),CALCULES!$A59)+COUNTIFS(_xlfn.ANCHORARRAY(DATA_CLEANED!$AF$3),CALCULES!P$2,_xlfn.ANCHORARRAY(DATA_CLEANED!$AN$3),CALCULES!$A59)&gt;0,1,0)</f>
        <v>1</v>
      </c>
      <c r="Q59" s="112">
        <f>IF(COUNTIFS(_xlfn.ANCHORARRAY(DATA_CLEANED!$AF$3),CALCULES!Q$2,_xlfn.ANCHORARRAY(DATA_CLEANED!$AK$3),CALCULES!$A59)+COUNTIFS(_xlfn.ANCHORARRAY(DATA_CLEANED!$AF$3),CALCULES!Q$2,_xlfn.ANCHORARRAY(DATA_CLEANED!$AN$3),CALCULES!$A59)&gt;0,1,0)</f>
        <v>1</v>
      </c>
      <c r="R59" s="112">
        <f>IF(COUNTIFS(_xlfn.ANCHORARRAY(DATA_CLEANED!$AF$3),CALCULES!R$2,_xlfn.ANCHORARRAY(DATA_CLEANED!$AK$3),CALCULES!$A59)+COUNTIFS(_xlfn.ANCHORARRAY(DATA_CLEANED!$AF$3),CALCULES!R$2,_xlfn.ANCHORARRAY(DATA_CLEANED!$AN$3),CALCULES!$A59)&gt;0,1,0)</f>
        <v>0</v>
      </c>
      <c r="S59" s="112">
        <f>IF(COUNTIFS(_xlfn.ANCHORARRAY(DATA_CLEANED!$AF$3),CALCULES!S$2,_xlfn.ANCHORARRAY(DATA_CLEANED!$AK$3),CALCULES!$A59)+COUNTIFS(_xlfn.ANCHORARRAY(DATA_CLEANED!$AF$3),CALCULES!S$2,_xlfn.ANCHORARRAY(DATA_CLEANED!$AN$3),CALCULES!$A59)&gt;0,1,0)</f>
        <v>0</v>
      </c>
      <c r="T59" s="112">
        <f>IF(COUNTIFS(_xlfn.ANCHORARRAY(DATA_CLEANED!$AF$3),CALCULES!T$2,_xlfn.ANCHORARRAY(DATA_CLEANED!$AK$3),CALCULES!$A59)+COUNTIFS(_xlfn.ANCHORARRAY(DATA_CLEANED!$AF$3),CALCULES!T$2,_xlfn.ANCHORARRAY(DATA_CLEANED!$AN$3),CALCULES!$A59)&gt;0,1,0)</f>
        <v>0</v>
      </c>
      <c r="U59" s="112">
        <f>IF(COUNTIFS(_xlfn.ANCHORARRAY(DATA_CLEANED!$AF$3),CALCULES!U$2,_xlfn.ANCHORARRAY(DATA_CLEANED!$AK$3),CALCULES!$A59)+COUNTIFS(_xlfn.ANCHORARRAY(DATA_CLEANED!$AF$3),CALCULES!U$2,_xlfn.ANCHORARRAY(DATA_CLEANED!$AN$3),CALCULES!$A59)&gt;0,1,0)</f>
        <v>0</v>
      </c>
      <c r="V59" s="112">
        <f>IF(COUNTIFS(_xlfn.ANCHORARRAY(DATA_CLEANED!$AF$3),CALCULES!V$2,_xlfn.ANCHORARRAY(DATA_CLEANED!$AK$3),CALCULES!$A59)+COUNTIFS(_xlfn.ANCHORARRAY(DATA_CLEANED!$AF$3),CALCULES!V$2,_xlfn.ANCHORARRAY(DATA_CLEANED!$AN$3),CALCULES!$A59)&gt;0,1,0)</f>
        <v>0</v>
      </c>
      <c r="W59" s="112">
        <f>IF(COUNTIFS(_xlfn.ANCHORARRAY(DATA_CLEANED!$AF$3),CALCULES!W$2,_xlfn.ANCHORARRAY(DATA_CLEANED!$AK$3),CALCULES!$A59)+COUNTIFS(_xlfn.ANCHORARRAY(DATA_CLEANED!$AF$3),CALCULES!W$2,_xlfn.ANCHORARRAY(DATA_CLEANED!$AN$3),CALCULES!$A59)&gt;0,1,0)</f>
        <v>0</v>
      </c>
      <c r="X59" s="112">
        <f>IF(COUNTIFS(_xlfn.ANCHORARRAY(DATA_CLEANED!$AF$3),CALCULES!X$2,_xlfn.ANCHORARRAY(DATA_CLEANED!$AK$3),CALCULES!$A59)+COUNTIFS(_xlfn.ANCHORARRAY(DATA_CLEANED!$AF$3),CALCULES!X$2,_xlfn.ANCHORARRAY(DATA_CLEANED!$AN$3),CALCULES!$A59)&gt;0,1,0)</f>
        <v>1</v>
      </c>
      <c r="Y59" s="113">
        <f t="shared" si="15"/>
        <v>4</v>
      </c>
      <c r="AA59" s="112">
        <f>COUNTIF(_xlfn.ANCHORARRAY(DATA_CLEANED!$AK$3),$A59)+COUNTIF(DATA_CLEANED!$AN$2:$AN$1060,$A59)</f>
        <v>13</v>
      </c>
      <c r="AB59" s="112">
        <f>COUNTIF(DATA_QUALITE!BG$12:BG$1069,A59)</f>
        <v>5</v>
      </c>
      <c r="AC59" s="112">
        <f t="shared" si="7"/>
        <v>8</v>
      </c>
      <c r="AD59" s="112" cm="1">
        <f t="array" ref="AD59">SUMPRODUCT((DATA_CLEANED!AL$3:AL$1060=DATA_CLEANED!AM$3:AM$1060)*(_xlfn.ANCHORARRAY(DATA_CLEANED!AK$3)=CALCULES!A59)*(DATA_CLEANED!AO$3:AO$1060&lt;&gt;"-"))
+
SUMPRODUCT((DATA_CLEANED!AL$3:AL$1060=DATA_CLEANED!AM$3:AM$1060)*(_xlfn.ANCHORARRAY(DATA_CLEANED!AN$3)=CALCULES!A59)*(DATA_CLEANED!AO$3:AO$1060&lt;&gt;"-"))</f>
        <v>0</v>
      </c>
      <c r="AE59" s="116">
        <f t="shared" si="16"/>
        <v>0.38461538461538464</v>
      </c>
      <c r="AF59" s="116">
        <f t="shared" si="17"/>
        <v>0.61538461538461542</v>
      </c>
      <c r="AG59" s="112">
        <f>SUMIF(_xlfn.ANCHORARRAY(DATA_CLEANED!AK$3),A59,DATA_CLEANED!AL$2:AL$1060)+SUMIF(_xlfn.ANCHORARRAY(DATA_CLEANED!AN$3),A59,DATA_CLEANED!AM$2:AM$1060)</f>
        <v>18</v>
      </c>
      <c r="AH59" s="112">
        <f>SUMIF(_xlfn.ANCHORARRAY(DATA_CLEANED!AK$3),A59,DATA_CLEANED!AM$2:AM$1060)+SUMIF(_xlfn.ANCHORARRAY(DATA_CLEANED!AN$3),A59,DATA_CLEANED!AL$2:AL$1060)</f>
        <v>17</v>
      </c>
      <c r="AI59" s="112">
        <f t="shared" si="8"/>
        <v>1.31</v>
      </c>
      <c r="AJ59" s="117" cm="1">
        <f t="array" ref="AJ59">_xlfn.LET(_xlpm.home,IFERROR(_xlfn._xlws.FILTER(DATA_CLEANED!AH$3:AH$1060,DATA_CLEANED!AK$3:AK$1060=CALCULES!A59),""),
_xlpm.away,IFERROR(_xlfn._xlws.FILTER(DATA_CLEANED!AH$3:AH$1060,DATA_CLEANED!AN$3:AN$1060=CALCULES!A59),""),
_xlpm.assemb_t,_xlfn._xlws.FILTER(_xlfn.VSTACK(_xlpm.home,_xlpm.away),_xlfn.VSTACK(_xlpm.home,_xlpm.away)&lt;&gt;""),
_xlpm.but_h,IFERROR(_xlfn._xlws.FILTER(_xlfn.ANCHORARRAY(DATA_CLEANED!AM$3),DATA_CLEANED!AK$3:AK$1060=CALCULES!A59),""),
_xlpm.but_a,IFERROR(_xlfn._xlws.FILTER(_xlfn.ANCHORARRAY(DATA_CLEANED!AL$3),DATA_CLEANED!AN$3:AN$1060=CALCULES!A59),""),
_xlpm.assemb_b,_xlfn._xlws.FILTER(_xlfn.VSTACK(_xlpm.but_h,_xlpm.but_a),_xlfn.VSTACK(_xlpm.but_h,_xlpm.but_a)&lt;&gt;""),
MEDIAN(_xlpm.assemb_t,_xlpm.assemb_b)
)</f>
        <v>1</v>
      </c>
      <c r="AK59" s="113">
        <f t="shared" si="18"/>
        <v>1</v>
      </c>
      <c r="AL59" s="112" cm="1">
        <f t="array" ref="AL59">IFERROR(MEDIAN(_xlfn._xlws.FILTER(_xlfn.VSTACK(
DATA_CLEANED!AL$3:AL$1060-DATA_CLEANED!AM$3:AM$1060,
DATA_CLEANED!AM$3:AM$1060-DATA_CLEANED!AL$3:AL$1060
),_xlfn.VSTACK(DATA_CLEANED!AK$3:AK$1060,DATA_CLEANED!AN$3:AN$1060)=A59)),"-")</f>
        <v>0</v>
      </c>
      <c r="AM59" s="112">
        <f t="shared" si="9"/>
        <v>1.38</v>
      </c>
      <c r="AN59" s="112" cm="1">
        <f t="array" ref="AN59">_xlfn.LET(_xlpm.home,IFERROR(_xlfn._xlws.FILTER(DATA_CLEANED!AH$3:AH$1060,DATA_CLEANED!AK$3:AK$1060=CALCULES!A59),""),
_xlpm.away,IFERROR(_xlfn._xlws.FILTER(DATA_CLEANED!AH$3:AH$1060,DATA_CLEANED!AN$3:AN$1060=CALCULES!A59),""),
_xlpm.assemb_t,_xlfn._xlws.FILTER(_xlfn.VSTACK(_xlpm.home,_xlpm.away),_xlfn.VSTACK(_xlpm.home,_xlpm.away)&lt;&gt;""),
_xlpm.but_h,IFERROR(_xlfn._xlws.FILTER(_xlfn.ANCHORARRAY(DATA_CLEANED!AL$3),DATA_CLEANED!AK$3:AK$1060=CALCULES!A59),""),
_xlpm.but_a,IFERROR(_xlfn._xlws.FILTER(_xlfn.ANCHORARRAY(DATA_CLEANED!AM$3),DATA_CLEANED!AN$3:AN$1060=CALCULES!A59),""),
_xlpm.assemb_b,_xlfn._xlws.FILTER(_xlfn.VSTACK(_xlpm.but_h,_xlpm.but_a),_xlfn.VSTACK(_xlpm.but_h,_xlpm.but_a)&lt;&gt;""),
MEDIAN(_xlpm.assemb_t,_xlpm.assemb_b)
)</f>
        <v>1</v>
      </c>
      <c r="AO59" s="116">
        <f>ROUND(IFERROR((COUNTIFS(DATA_CLEANED!AK$3:AK$1060,A59,DATA_CLEANED!AM$3:AM$1060,0)
+
COUNTIFS(DATA_CLEANED!AN$3:AN$1060,A59,DATA_CLEANED!AL$3:AL$1060,0)
)/AA59,0),2)</f>
        <v>0.15</v>
      </c>
      <c r="AP59" s="112">
        <f>MAX((_xlfn.MAXIFS(_xlfn.ANCHORARRAY(DATA_CLEANED!AL$3),_xlfn.ANCHORARRAY(DATA_CLEANED!AK$3),A59)),(_xlfn.MAXIFS(DATA_CLEANED!AM$3:AM$1060,_xlfn.ANCHORARRAY(DATA_CLEANED!AN$3),A59)))</f>
        <v>4</v>
      </c>
      <c r="AQ59" s="112">
        <f>COUNTIF(_xlfn.ANCHORARRAY(DATA_CLEANED!K$3),A59)</f>
        <v>0</v>
      </c>
      <c r="AR59" s="113" t="str" cm="1">
        <f t="array" ref="AR59">_xlfn.LET(
_xlpm.home,IFERROR(_xlfn._xlws.FILTER(DATA_CLEANED!AH$3:AH$1060,DATA_CLEANED!AK$3:AK$1060=CALCULES!A59),""),
_xlpm.away,IFERROR(_xlfn._xlws.FILTER(DATA_CLEANED!AH$3:AH$1060,DATA_CLEANED!AN$3:AN$1060=CALCULES!A59),""),
_xlpm.etapes,_xlfn._xlws.FILTER(_xlfn.VSTACK(_xlpm.home,_xlpm.away),_xlfn.VSTACK(_xlpm.home,_xlpm.away)&lt;&gt;""),
_xlpm.numeros,_xlfn.XLOOKUP(_xlpm.etapes,DATA_QUALITE!AT$12:AT$38,DATA_QUALITE!AU$12:AU$38),
_xlfn.XLOOKUP(MIN(_xlpm.numeros),DATA_QUALITE!AU$12:AU$38,DATA_QUALITE!AT$12:AT$38)
)</f>
        <v>QUARTER_FINALS</v>
      </c>
      <c r="AS59" s="112">
        <f t="shared" si="19"/>
        <v>4</v>
      </c>
      <c r="AT59" s="112">
        <f t="shared" si="20"/>
        <v>5</v>
      </c>
      <c r="AU59" s="112">
        <f>COUNTIFS(DATA_QUALITE!BG$12:BG$1069,"MATCH NUL",_xlfn.ANCHORARRAY(DATA_CLEANED!AK$3),CALCULES!A59)+COUNTIFS(DATA_QUALITE!BG$12:BG$1069,"MATCH NUL",_xlfn.ANCHORARRAY(DATA_CLEANED!AN$3),CALCULES!A59)</f>
        <v>3</v>
      </c>
      <c r="AV59" s="112">
        <v>18</v>
      </c>
      <c r="AW59" s="112">
        <f>COUNTIFS(_xlfn.ANCHORARRAY(DATA_CLEANED!AH$3),"QUARTER_FINALS",_xlfn.ANCHORARRAY(DATA_CLEANED!AK$3),CALCULES!A59)+COUNTIFS(_xlfn.ANCHORARRAY(DATA_CLEANED!AH$3),"QUARTER_FINALS",_xlfn.ANCHORARRAY(DATA_CLEANED!AN$3),CALCULES!A59)</f>
        <v>1</v>
      </c>
      <c r="AX59" s="112">
        <f>COUNTIFS(_xlfn.ANCHORARRAY(DATA_CLEANED!AH$3),"SEMI_FINALS",_xlfn.ANCHORARRAY(DATA_CLEANED!AK$3),CALCULES!A59)+COUNTIFS(_xlfn.ANCHORARRAY(DATA_CLEANED!AH$3),"SEMI_FINALS",_xlfn.ANCHORARRAY(DATA_CLEANED!AN$3),CALCULES!A59)</f>
        <v>0</v>
      </c>
      <c r="AY59" s="112">
        <f>COUNTIFS(_xlfn.ANCHORARRAY(DATA_CLEANED!AH$3),"FINAL",_xlfn.ANCHORARRAY(DATA_CLEANED!AK$3),CALCULES!A59)+COUNTIFS(_xlfn.ANCHORARRAY(DATA_CLEANED!AH$3),"FINAL",_xlfn.ANCHORARRAY(DATA_CLEANED!AN$3),CALCULES!A59)</f>
        <v>0</v>
      </c>
      <c r="AZ59" s="112">
        <f>COUNTIFS(DATA_QUALITE!BG$12:BG$1069,CALCULES!A59,DATA_QUALITE!AW$12:AW$1069,"FINAL")</f>
        <v>0</v>
      </c>
      <c r="BA59" s="113">
        <f t="shared" si="21"/>
        <v>42.29</v>
      </c>
      <c r="BB59" s="118">
        <f t="shared" si="10"/>
        <v>11.18</v>
      </c>
      <c r="BC59" s="118">
        <f t="shared" si="11"/>
        <v>11.56</v>
      </c>
      <c r="BD59" s="139">
        <f t="shared" si="12"/>
        <v>11.37</v>
      </c>
      <c r="BF59" s="167"/>
      <c r="BG59" s="167"/>
      <c r="BH59" s="167"/>
      <c r="BI59" s="167"/>
      <c r="BJ59" s="167"/>
      <c r="BK59" s="167"/>
      <c r="BL59" s="173">
        <f>INT((ROWS($BL$15:BL59)-1)/9)</f>
        <v>4</v>
      </c>
      <c r="BM59" s="173">
        <f>MOD(ROWS($BM$15:BM59)-1,9)</f>
        <v>8</v>
      </c>
      <c r="BN59" s="173">
        <f t="shared" si="22"/>
        <v>1.1065153690625278E-6</v>
      </c>
      <c r="BO59" s="167"/>
      <c r="BP59" s="167"/>
    </row>
    <row r="60" spans="1:68">
      <c r="A60" s="113" t="str">
        <v>Panama</v>
      </c>
      <c r="B60" s="112">
        <f>IF(COUNTIFS(_xlfn.ANCHORARRAY(DATA_CLEANED!$AF$3),CALCULES!B$2,_xlfn.ANCHORARRAY(DATA_CLEANED!$AK$3),CALCULES!$A60)+COUNTIFS(_xlfn.ANCHORARRAY(DATA_CLEANED!$AF$3),CALCULES!B$2,_xlfn.ANCHORARRAY(DATA_CLEANED!$AN$3),CALCULES!$A60)&gt;0,1,0)</f>
        <v>0</v>
      </c>
      <c r="C60" s="112">
        <f>IF(COUNTIFS(_xlfn.ANCHORARRAY(DATA_CLEANED!$AF$3),CALCULES!C$2,_xlfn.ANCHORARRAY(DATA_CLEANED!$AK$3),CALCULES!$A60)+COUNTIFS(_xlfn.ANCHORARRAY(DATA_CLEANED!$AF$3),CALCULES!C$2,_xlfn.ANCHORARRAY(DATA_CLEANED!$AN$3),CALCULES!$A60)&gt;0,1,0)</f>
        <v>0</v>
      </c>
      <c r="D60" s="112">
        <f>IF(COUNTIFS(_xlfn.ANCHORARRAY(DATA_CLEANED!$AF$3),CALCULES!D$2,_xlfn.ANCHORARRAY(DATA_CLEANED!$AK$3),CALCULES!$A60)+COUNTIFS(_xlfn.ANCHORARRAY(DATA_CLEANED!$AF$3),CALCULES!D$2,_xlfn.ANCHORARRAY(DATA_CLEANED!$AN$3),CALCULES!$A60)&gt;0,1,0)</f>
        <v>0</v>
      </c>
      <c r="E60" s="112">
        <f>IF(COUNTIFS(_xlfn.ANCHORARRAY(DATA_CLEANED!$AF$3),CALCULES!E$2,_xlfn.ANCHORARRAY(DATA_CLEANED!$AK$3),CALCULES!$A60)+COUNTIFS(_xlfn.ANCHORARRAY(DATA_CLEANED!$AF$3),CALCULES!E$2,_xlfn.ANCHORARRAY(DATA_CLEANED!$AN$3),CALCULES!$A60)&gt;0,1,0)</f>
        <v>0</v>
      </c>
      <c r="F60" s="112">
        <f>IF(COUNTIFS(_xlfn.ANCHORARRAY(DATA_CLEANED!$AF$3),CALCULES!F$2,_xlfn.ANCHORARRAY(DATA_CLEANED!$AK$3),CALCULES!$A60)+COUNTIFS(_xlfn.ANCHORARRAY(DATA_CLEANED!$AF$3),CALCULES!F$2,_xlfn.ANCHORARRAY(DATA_CLEANED!$AN$3),CALCULES!$A60)&gt;0,1,0)</f>
        <v>0</v>
      </c>
      <c r="G60" s="112">
        <f>IF(COUNTIFS(_xlfn.ANCHORARRAY(DATA_CLEANED!$AF$3),CALCULES!G$2,_xlfn.ANCHORARRAY(DATA_CLEANED!$AK$3),CALCULES!$A60)+COUNTIFS(_xlfn.ANCHORARRAY(DATA_CLEANED!$AF$3),CALCULES!G$2,_xlfn.ANCHORARRAY(DATA_CLEANED!$AN$3),CALCULES!$A60)&gt;0,1,0)</f>
        <v>0</v>
      </c>
      <c r="H60" s="112">
        <f>IF(COUNTIFS(_xlfn.ANCHORARRAY(DATA_CLEANED!$AF$3),CALCULES!H$2,_xlfn.ANCHORARRAY(DATA_CLEANED!$AK$3),CALCULES!$A60)+COUNTIFS(_xlfn.ANCHORARRAY(DATA_CLEANED!$AF$3),CALCULES!H$2,_xlfn.ANCHORARRAY(DATA_CLEANED!$AN$3),CALCULES!$A60)&gt;0,1,0)</f>
        <v>0</v>
      </c>
      <c r="I60" s="112">
        <f>IF(COUNTIFS(_xlfn.ANCHORARRAY(DATA_CLEANED!$AF$3),CALCULES!I$2,_xlfn.ANCHORARRAY(DATA_CLEANED!$AK$3),CALCULES!$A60)+COUNTIFS(_xlfn.ANCHORARRAY(DATA_CLEANED!$AF$3),CALCULES!I$2,_xlfn.ANCHORARRAY(DATA_CLEANED!$AN$3),CALCULES!$A60)&gt;0,1,0)</f>
        <v>0</v>
      </c>
      <c r="J60" s="112">
        <f>IF(COUNTIFS(_xlfn.ANCHORARRAY(DATA_CLEANED!$AF$3),CALCULES!J$2,_xlfn.ANCHORARRAY(DATA_CLEANED!$AK$3),CALCULES!$A60)+COUNTIFS(_xlfn.ANCHORARRAY(DATA_CLEANED!$AF$3),CALCULES!J$2,_xlfn.ANCHORARRAY(DATA_CLEANED!$AN$3),CALCULES!$A60)&gt;0,1,0)</f>
        <v>0</v>
      </c>
      <c r="K60" s="112">
        <f>IF(COUNTIFS(_xlfn.ANCHORARRAY(DATA_CLEANED!$AF$3),CALCULES!K$2,_xlfn.ANCHORARRAY(DATA_CLEANED!$AK$3),CALCULES!$A60)+COUNTIFS(_xlfn.ANCHORARRAY(DATA_CLEANED!$AF$3),CALCULES!K$2,_xlfn.ANCHORARRAY(DATA_CLEANED!$AN$3),CALCULES!$A60)&gt;0,1,0)</f>
        <v>0</v>
      </c>
      <c r="L60" s="112">
        <f>IF(COUNTIFS(_xlfn.ANCHORARRAY(DATA_CLEANED!$AF$3),CALCULES!L$2,_xlfn.ANCHORARRAY(DATA_CLEANED!$AK$3),CALCULES!$A60)+COUNTIFS(_xlfn.ANCHORARRAY(DATA_CLEANED!$AF$3),CALCULES!L$2,_xlfn.ANCHORARRAY(DATA_CLEANED!$AN$3),CALCULES!$A60)&gt;0,1,0)</f>
        <v>0</v>
      </c>
      <c r="M60" s="112">
        <f>IF(COUNTIFS(_xlfn.ANCHORARRAY(DATA_CLEANED!$AF$3),CALCULES!M$2,_xlfn.ANCHORARRAY(DATA_CLEANED!$AK$3),CALCULES!$A60)+COUNTIFS(_xlfn.ANCHORARRAY(DATA_CLEANED!$AF$3),CALCULES!M$2,_xlfn.ANCHORARRAY(DATA_CLEANED!$AN$3),CALCULES!$A60)&gt;0,1,0)</f>
        <v>0</v>
      </c>
      <c r="N60" s="112">
        <f>IF(COUNTIFS(_xlfn.ANCHORARRAY(DATA_CLEANED!$AF$3),CALCULES!N$2,_xlfn.ANCHORARRAY(DATA_CLEANED!$AK$3),CALCULES!$A60)+COUNTIFS(_xlfn.ANCHORARRAY(DATA_CLEANED!$AF$3),CALCULES!N$2,_xlfn.ANCHORARRAY(DATA_CLEANED!$AN$3),CALCULES!$A60)&gt;0,1,0)</f>
        <v>0</v>
      </c>
      <c r="O60" s="112">
        <f>IF(COUNTIFS(_xlfn.ANCHORARRAY(DATA_CLEANED!$AF$3),CALCULES!O$2,_xlfn.ANCHORARRAY(DATA_CLEANED!$AK$3),CALCULES!$A60)+COUNTIFS(_xlfn.ANCHORARRAY(DATA_CLEANED!$AF$3),CALCULES!O$2,_xlfn.ANCHORARRAY(DATA_CLEANED!$AN$3),CALCULES!$A60)&gt;0,1,0)</f>
        <v>0</v>
      </c>
      <c r="P60" s="112">
        <f>IF(COUNTIFS(_xlfn.ANCHORARRAY(DATA_CLEANED!$AF$3),CALCULES!P$2,_xlfn.ANCHORARRAY(DATA_CLEANED!$AK$3),CALCULES!$A60)+COUNTIFS(_xlfn.ANCHORARRAY(DATA_CLEANED!$AF$3),CALCULES!P$2,_xlfn.ANCHORARRAY(DATA_CLEANED!$AN$3),CALCULES!$A60)&gt;0,1,0)</f>
        <v>0</v>
      </c>
      <c r="Q60" s="112">
        <f>IF(COUNTIFS(_xlfn.ANCHORARRAY(DATA_CLEANED!$AF$3),CALCULES!Q$2,_xlfn.ANCHORARRAY(DATA_CLEANED!$AK$3),CALCULES!$A60)+COUNTIFS(_xlfn.ANCHORARRAY(DATA_CLEANED!$AF$3),CALCULES!Q$2,_xlfn.ANCHORARRAY(DATA_CLEANED!$AN$3),CALCULES!$A60)&gt;0,1,0)</f>
        <v>0</v>
      </c>
      <c r="R60" s="112">
        <f>IF(COUNTIFS(_xlfn.ANCHORARRAY(DATA_CLEANED!$AF$3),CALCULES!R$2,_xlfn.ANCHORARRAY(DATA_CLEANED!$AK$3),CALCULES!$A60)+COUNTIFS(_xlfn.ANCHORARRAY(DATA_CLEANED!$AF$3),CALCULES!R$2,_xlfn.ANCHORARRAY(DATA_CLEANED!$AN$3),CALCULES!$A60)&gt;0,1,0)</f>
        <v>0</v>
      </c>
      <c r="S60" s="112">
        <f>IF(COUNTIFS(_xlfn.ANCHORARRAY(DATA_CLEANED!$AF$3),CALCULES!S$2,_xlfn.ANCHORARRAY(DATA_CLEANED!$AK$3),CALCULES!$A60)+COUNTIFS(_xlfn.ANCHORARRAY(DATA_CLEANED!$AF$3),CALCULES!S$2,_xlfn.ANCHORARRAY(DATA_CLEANED!$AN$3),CALCULES!$A60)&gt;0,1,0)</f>
        <v>0</v>
      </c>
      <c r="T60" s="112">
        <f>IF(COUNTIFS(_xlfn.ANCHORARRAY(DATA_CLEANED!$AF$3),CALCULES!T$2,_xlfn.ANCHORARRAY(DATA_CLEANED!$AK$3),CALCULES!$A60)+COUNTIFS(_xlfn.ANCHORARRAY(DATA_CLEANED!$AF$3),CALCULES!T$2,_xlfn.ANCHORARRAY(DATA_CLEANED!$AN$3),CALCULES!$A60)&gt;0,1,0)</f>
        <v>0</v>
      </c>
      <c r="U60" s="112">
        <f>IF(COUNTIFS(_xlfn.ANCHORARRAY(DATA_CLEANED!$AF$3),CALCULES!U$2,_xlfn.ANCHORARRAY(DATA_CLEANED!$AK$3),CALCULES!$A60)+COUNTIFS(_xlfn.ANCHORARRAY(DATA_CLEANED!$AF$3),CALCULES!U$2,_xlfn.ANCHORARRAY(DATA_CLEANED!$AN$3),CALCULES!$A60)&gt;0,1,0)</f>
        <v>0</v>
      </c>
      <c r="V60" s="112">
        <f>IF(COUNTIFS(_xlfn.ANCHORARRAY(DATA_CLEANED!$AF$3),CALCULES!V$2,_xlfn.ANCHORARRAY(DATA_CLEANED!$AK$3),CALCULES!$A60)+COUNTIFS(_xlfn.ANCHORARRAY(DATA_CLEANED!$AF$3),CALCULES!V$2,_xlfn.ANCHORARRAY(DATA_CLEANED!$AN$3),CALCULES!$A60)&gt;0,1,0)</f>
        <v>1</v>
      </c>
      <c r="W60" s="112">
        <f>IF(COUNTIFS(_xlfn.ANCHORARRAY(DATA_CLEANED!$AF$3),CALCULES!W$2,_xlfn.ANCHORARRAY(DATA_CLEANED!$AK$3),CALCULES!$A60)+COUNTIFS(_xlfn.ANCHORARRAY(DATA_CLEANED!$AF$3),CALCULES!W$2,_xlfn.ANCHORARRAY(DATA_CLEANED!$AN$3),CALCULES!$A60)&gt;0,1,0)</f>
        <v>0</v>
      </c>
      <c r="X60" s="112">
        <f>IF(COUNTIFS(_xlfn.ANCHORARRAY(DATA_CLEANED!$AF$3),CALCULES!X$2,_xlfn.ANCHORARRAY(DATA_CLEANED!$AK$3),CALCULES!$A60)+COUNTIFS(_xlfn.ANCHORARRAY(DATA_CLEANED!$AF$3),CALCULES!X$2,_xlfn.ANCHORARRAY(DATA_CLEANED!$AN$3),CALCULES!$A60)&gt;0,1,0)</f>
        <v>1</v>
      </c>
      <c r="Y60" s="113">
        <f t="shared" si="15"/>
        <v>2</v>
      </c>
      <c r="AA60" s="112">
        <f>COUNTIF(_xlfn.ANCHORARRAY(DATA_CLEANED!$AK$3),$A60)+COUNTIF(DATA_CLEANED!$AN$2:$AN$1060,$A60)</f>
        <v>6</v>
      </c>
      <c r="AB60" s="112">
        <f>COUNTIF(DATA_QUALITE!BG$12:BG$1069,A60)</f>
        <v>0</v>
      </c>
      <c r="AC60" s="112">
        <f t="shared" si="7"/>
        <v>6</v>
      </c>
      <c r="AD60" s="112" cm="1">
        <f t="array" ref="AD60">SUMPRODUCT((DATA_CLEANED!AL$3:AL$1060=DATA_CLEANED!AM$3:AM$1060)*(_xlfn.ANCHORARRAY(DATA_CLEANED!AK$3)=CALCULES!A60)*(DATA_CLEANED!AO$3:AO$1060&lt;&gt;"-"))
+
SUMPRODUCT((DATA_CLEANED!AL$3:AL$1060=DATA_CLEANED!AM$3:AM$1060)*(_xlfn.ANCHORARRAY(DATA_CLEANED!AN$3)=CALCULES!A60)*(DATA_CLEANED!AO$3:AO$1060&lt;&gt;"-"))</f>
        <v>0</v>
      </c>
      <c r="AE60" s="116">
        <f t="shared" si="16"/>
        <v>0</v>
      </c>
      <c r="AF60" s="116">
        <f t="shared" si="17"/>
        <v>1</v>
      </c>
      <c r="AG60" s="112">
        <f>SUMIF(_xlfn.ANCHORARRAY(DATA_CLEANED!AK$3),A60,DATA_CLEANED!AL$2:AL$1060)+SUMIF(_xlfn.ANCHORARRAY(DATA_CLEANED!AN$3),A60,DATA_CLEANED!AM$2:AM$1060)</f>
        <v>5</v>
      </c>
      <c r="AH60" s="112">
        <f>SUMIF(_xlfn.ANCHORARRAY(DATA_CLEANED!AK$3),A60,DATA_CLEANED!AM$2:AM$1060)+SUMIF(_xlfn.ANCHORARRAY(DATA_CLEANED!AN$3),A60,DATA_CLEANED!AL$2:AL$1060)</f>
        <v>12</v>
      </c>
      <c r="AI60" s="112">
        <f t="shared" si="8"/>
        <v>2</v>
      </c>
      <c r="AJ60" s="117" cm="1">
        <f t="array" ref="AJ60">_xlfn.LET(_xlpm.home,IFERROR(_xlfn._xlws.FILTER(DATA_CLEANED!AH$3:AH$1060,DATA_CLEANED!AK$3:AK$1060=CALCULES!A60),""),
_xlpm.away,IFERROR(_xlfn._xlws.FILTER(DATA_CLEANED!AH$3:AH$1060,DATA_CLEANED!AN$3:AN$1060=CALCULES!A60),""),
_xlpm.assemb_t,_xlfn._xlws.FILTER(_xlfn.VSTACK(_xlpm.home,_xlpm.away),_xlfn.VSTACK(_xlpm.home,_xlpm.away)&lt;&gt;""),
_xlpm.but_h,IFERROR(_xlfn._xlws.FILTER(_xlfn.ANCHORARRAY(DATA_CLEANED!AM$3),DATA_CLEANED!AK$3:AK$1060=CALCULES!A60),""),
_xlpm.but_a,IFERROR(_xlfn._xlws.FILTER(_xlfn.ANCHORARRAY(DATA_CLEANED!AL$3),DATA_CLEANED!AN$3:AN$1060=CALCULES!A60),""),
_xlpm.assemb_b,_xlfn._xlws.FILTER(_xlfn.VSTACK(_xlpm.but_h,_xlpm.but_a),_xlfn.VSTACK(_xlpm.but_h,_xlpm.but_a)&lt;&gt;""),
MEDIAN(_xlpm.assemb_t,_xlpm.assemb_b)
)</f>
        <v>2</v>
      </c>
      <c r="AK60" s="113">
        <f t="shared" si="18"/>
        <v>-7</v>
      </c>
      <c r="AL60" s="112" cm="1">
        <f t="array" ref="AL60">IFERROR(MEDIAN(_xlfn._xlws.FILTER(_xlfn.VSTACK(
DATA_CLEANED!AL$3:AL$1060-DATA_CLEANED!AM$3:AM$1060,
DATA_CLEANED!AM$3:AM$1060-DATA_CLEANED!AL$3:AL$1060
),_xlfn.VSTACK(DATA_CLEANED!AK$3:AK$1060,DATA_CLEANED!AN$3:AN$1060)=A60)),"-")</f>
        <v>-1.5</v>
      </c>
      <c r="AM60" s="112">
        <f t="shared" si="9"/>
        <v>0.83</v>
      </c>
      <c r="AN60" s="112" cm="1">
        <f t="array" ref="AN60">_xlfn.LET(_xlpm.home,IFERROR(_xlfn._xlws.FILTER(DATA_CLEANED!AH$3:AH$1060,DATA_CLEANED!AK$3:AK$1060=CALCULES!A60),""),
_xlpm.away,IFERROR(_xlfn._xlws.FILTER(DATA_CLEANED!AH$3:AH$1060,DATA_CLEANED!AN$3:AN$1060=CALCULES!A60),""),
_xlpm.assemb_t,_xlfn._xlws.FILTER(_xlfn.VSTACK(_xlpm.home,_xlpm.away),_xlfn.VSTACK(_xlpm.home,_xlpm.away)&lt;&gt;""),
_xlpm.but_h,IFERROR(_xlfn._xlws.FILTER(_xlfn.ANCHORARRAY(DATA_CLEANED!AL$3),DATA_CLEANED!AK$3:AK$1060=CALCULES!A60),""),
_xlpm.but_a,IFERROR(_xlfn._xlws.FILTER(_xlfn.ANCHORARRAY(DATA_CLEANED!AM$3),DATA_CLEANED!AN$3:AN$1060=CALCULES!A60),""),
_xlpm.assemb_b,_xlfn._xlws.FILTER(_xlfn.VSTACK(_xlpm.but_h,_xlpm.but_a),_xlfn.VSTACK(_xlpm.but_h,_xlpm.but_a)&lt;&gt;""),
MEDIAN(_xlpm.assemb_t,_xlpm.assemb_b)
)</f>
        <v>0</v>
      </c>
      <c r="AO60" s="116">
        <f>ROUND(IFERROR((COUNTIFS(DATA_CLEANED!AK$3:AK$1060,A60,DATA_CLEANED!AM$3:AM$1060,0)
+
COUNTIFS(DATA_CLEANED!AN$3:AN$1060,A60,DATA_CLEANED!AL$3:AL$1060,0)
)/AA60,0),2)</f>
        <v>0</v>
      </c>
      <c r="AP60" s="112">
        <f>MAX((_xlfn.MAXIFS(_xlfn.ANCHORARRAY(DATA_CLEANED!AL$3),_xlfn.ANCHORARRAY(DATA_CLEANED!AK$3),A60)),(_xlfn.MAXIFS(DATA_CLEANED!AM$3:AM$1060,_xlfn.ANCHORARRAY(DATA_CLEANED!AN$3),A60)))</f>
        <v>1</v>
      </c>
      <c r="AQ60" s="112">
        <f>COUNTIF(_xlfn.ANCHORARRAY(DATA_CLEANED!K$3),A60)</f>
        <v>0</v>
      </c>
      <c r="AR60" s="113" t="str" cm="1">
        <f t="array" ref="AR60">_xlfn.LET(
_xlpm.home,IFERROR(_xlfn._xlws.FILTER(DATA_CLEANED!AH$3:AH$1060,DATA_CLEANED!AK$3:AK$1060=CALCULES!A60),""),
_xlpm.away,IFERROR(_xlfn._xlws.FILTER(DATA_CLEANED!AH$3:AH$1060,DATA_CLEANED!AN$3:AN$1060=CALCULES!A60),""),
_xlpm.etapes,_xlfn._xlws.FILTER(_xlfn.VSTACK(_xlpm.home,_xlpm.away),_xlfn.VSTACK(_xlpm.home,_xlpm.away)&lt;&gt;""),
_xlpm.numeros,_xlfn.XLOOKUP(_xlpm.etapes,DATA_QUALITE!AT$12:AT$38,DATA_QUALITE!AU$12:AU$38),
_xlfn.XLOOKUP(MIN(_xlpm.numeros),DATA_QUALITE!AU$12:AU$38,DATA_QUALITE!AT$12:AT$38)
)</f>
        <v>GROUP_STAGE</v>
      </c>
      <c r="AS60" s="112">
        <f t="shared" si="19"/>
        <v>2</v>
      </c>
      <c r="AT60" s="112">
        <f t="shared" si="20"/>
        <v>0</v>
      </c>
      <c r="AU60" s="112">
        <f>COUNTIFS(DATA_QUALITE!BG$12:BG$1069,"MATCH NUL",_xlfn.ANCHORARRAY(DATA_CLEANED!AK$3),CALCULES!A60)+COUNTIFS(DATA_QUALITE!BG$12:BG$1069,"MATCH NUL",_xlfn.ANCHORARRAY(DATA_CLEANED!AN$3),CALCULES!A60)</f>
        <v>0</v>
      </c>
      <c r="AV60" s="112">
        <v>5</v>
      </c>
      <c r="AW60" s="112">
        <f>COUNTIFS(_xlfn.ANCHORARRAY(DATA_CLEANED!AH$3),"QUARTER_FINALS",_xlfn.ANCHORARRAY(DATA_CLEANED!AK$3),CALCULES!A60)+COUNTIFS(_xlfn.ANCHORARRAY(DATA_CLEANED!AH$3),"QUARTER_FINALS",_xlfn.ANCHORARRAY(DATA_CLEANED!AN$3),CALCULES!A60)</f>
        <v>0</v>
      </c>
      <c r="AX60" s="112">
        <f>COUNTIFS(_xlfn.ANCHORARRAY(DATA_CLEANED!AH$3),"SEMI_FINALS",_xlfn.ANCHORARRAY(DATA_CLEANED!AK$3),CALCULES!A60)+COUNTIFS(_xlfn.ANCHORARRAY(DATA_CLEANED!AH$3),"SEMI_FINALS",_xlfn.ANCHORARRAY(DATA_CLEANED!AN$3),CALCULES!A60)</f>
        <v>0</v>
      </c>
      <c r="AY60" s="112">
        <f>COUNTIFS(_xlfn.ANCHORARRAY(DATA_CLEANED!AH$3),"FINAL",_xlfn.ANCHORARRAY(DATA_CLEANED!AK$3),CALCULES!A60)+COUNTIFS(_xlfn.ANCHORARRAY(DATA_CLEANED!AH$3),"FINAL",_xlfn.ANCHORARRAY(DATA_CLEANED!AN$3),CALCULES!A60)</f>
        <v>0</v>
      </c>
      <c r="AZ60" s="112">
        <f>COUNTIFS(DATA_QUALITE!BG$12:BG$1069,CALCULES!A60,DATA_QUALITE!AW$12:AW$1069,"FINAL")</f>
        <v>0</v>
      </c>
      <c r="BA60" s="113">
        <f t="shared" si="21"/>
        <v>8.19</v>
      </c>
      <c r="BB60" s="118">
        <f t="shared" si="10"/>
        <v>0</v>
      </c>
      <c r="BC60" s="118">
        <f t="shared" si="11"/>
        <v>0</v>
      </c>
      <c r="BD60" s="139">
        <f t="shared" si="12"/>
        <v>0</v>
      </c>
      <c r="BF60" s="167"/>
      <c r="BG60" s="167"/>
      <c r="BH60" s="167"/>
      <c r="BI60" s="167"/>
      <c r="BJ60" s="167"/>
      <c r="BK60" s="167"/>
      <c r="BL60" s="173">
        <f>INT((ROWS($BL$15:BL60)-1)/9)</f>
        <v>5</v>
      </c>
      <c r="BM60" s="173">
        <f>MOD(ROWS($BM$15:BM60)-1,9)</f>
        <v>0</v>
      </c>
      <c r="BN60" s="173">
        <f t="shared" si="22"/>
        <v>5.7738753220828876E-3</v>
      </c>
      <c r="BO60" s="167"/>
      <c r="BP60" s="167"/>
    </row>
    <row r="61" spans="1:68">
      <c r="A61" s="113" t="str">
        <v>Paraguay</v>
      </c>
      <c r="B61" s="112">
        <f>IF(COUNTIFS(_xlfn.ANCHORARRAY(DATA_CLEANED!$AF$3),CALCULES!B$2,_xlfn.ANCHORARRAY(DATA_CLEANED!$AK$3),CALCULES!$A61)+COUNTIFS(_xlfn.ANCHORARRAY(DATA_CLEANED!$AF$3),CALCULES!B$2,_xlfn.ANCHORARRAY(DATA_CLEANED!$AN$3),CALCULES!$A61)&gt;0,1,0)</f>
        <v>1</v>
      </c>
      <c r="C61" s="112">
        <f>IF(COUNTIFS(_xlfn.ANCHORARRAY(DATA_CLEANED!$AF$3),CALCULES!C$2,_xlfn.ANCHORARRAY(DATA_CLEANED!$AK$3),CALCULES!$A61)+COUNTIFS(_xlfn.ANCHORARRAY(DATA_CLEANED!$AF$3),CALCULES!C$2,_xlfn.ANCHORARRAY(DATA_CLEANED!$AN$3),CALCULES!$A61)&gt;0,1,0)</f>
        <v>0</v>
      </c>
      <c r="D61" s="112">
        <f>IF(COUNTIFS(_xlfn.ANCHORARRAY(DATA_CLEANED!$AF$3),CALCULES!D$2,_xlfn.ANCHORARRAY(DATA_CLEANED!$AK$3),CALCULES!$A61)+COUNTIFS(_xlfn.ANCHORARRAY(DATA_CLEANED!$AF$3),CALCULES!D$2,_xlfn.ANCHORARRAY(DATA_CLEANED!$AN$3),CALCULES!$A61)&gt;0,1,0)</f>
        <v>0</v>
      </c>
      <c r="E61" s="112">
        <f>IF(COUNTIFS(_xlfn.ANCHORARRAY(DATA_CLEANED!$AF$3),CALCULES!E$2,_xlfn.ANCHORARRAY(DATA_CLEANED!$AK$3),CALCULES!$A61)+COUNTIFS(_xlfn.ANCHORARRAY(DATA_CLEANED!$AF$3),CALCULES!E$2,_xlfn.ANCHORARRAY(DATA_CLEANED!$AN$3),CALCULES!$A61)&gt;0,1,0)</f>
        <v>1</v>
      </c>
      <c r="F61" s="112">
        <f>IF(COUNTIFS(_xlfn.ANCHORARRAY(DATA_CLEANED!$AF$3),CALCULES!F$2,_xlfn.ANCHORARRAY(DATA_CLEANED!$AK$3),CALCULES!$A61)+COUNTIFS(_xlfn.ANCHORARRAY(DATA_CLEANED!$AF$3),CALCULES!F$2,_xlfn.ANCHORARRAY(DATA_CLEANED!$AN$3),CALCULES!$A61)&gt;0,1,0)</f>
        <v>0</v>
      </c>
      <c r="G61" s="112">
        <f>IF(COUNTIFS(_xlfn.ANCHORARRAY(DATA_CLEANED!$AF$3),CALCULES!G$2,_xlfn.ANCHORARRAY(DATA_CLEANED!$AK$3),CALCULES!$A61)+COUNTIFS(_xlfn.ANCHORARRAY(DATA_CLEANED!$AF$3),CALCULES!G$2,_xlfn.ANCHORARRAY(DATA_CLEANED!$AN$3),CALCULES!$A61)&gt;0,1,0)</f>
        <v>1</v>
      </c>
      <c r="H61" s="112">
        <f>IF(COUNTIFS(_xlfn.ANCHORARRAY(DATA_CLEANED!$AF$3),CALCULES!H$2,_xlfn.ANCHORARRAY(DATA_CLEANED!$AK$3),CALCULES!$A61)+COUNTIFS(_xlfn.ANCHORARRAY(DATA_CLEANED!$AF$3),CALCULES!H$2,_xlfn.ANCHORARRAY(DATA_CLEANED!$AN$3),CALCULES!$A61)&gt;0,1,0)</f>
        <v>0</v>
      </c>
      <c r="I61" s="112">
        <f>IF(COUNTIFS(_xlfn.ANCHORARRAY(DATA_CLEANED!$AF$3),CALCULES!I$2,_xlfn.ANCHORARRAY(DATA_CLEANED!$AK$3),CALCULES!$A61)+COUNTIFS(_xlfn.ANCHORARRAY(DATA_CLEANED!$AF$3),CALCULES!I$2,_xlfn.ANCHORARRAY(DATA_CLEANED!$AN$3),CALCULES!$A61)&gt;0,1,0)</f>
        <v>0</v>
      </c>
      <c r="J61" s="112">
        <f>IF(COUNTIFS(_xlfn.ANCHORARRAY(DATA_CLEANED!$AF$3),CALCULES!J$2,_xlfn.ANCHORARRAY(DATA_CLEANED!$AK$3),CALCULES!$A61)+COUNTIFS(_xlfn.ANCHORARRAY(DATA_CLEANED!$AF$3),CALCULES!J$2,_xlfn.ANCHORARRAY(DATA_CLEANED!$AN$3),CALCULES!$A61)&gt;0,1,0)</f>
        <v>0</v>
      </c>
      <c r="K61" s="112">
        <f>IF(COUNTIFS(_xlfn.ANCHORARRAY(DATA_CLEANED!$AF$3),CALCULES!K$2,_xlfn.ANCHORARRAY(DATA_CLEANED!$AK$3),CALCULES!$A61)+COUNTIFS(_xlfn.ANCHORARRAY(DATA_CLEANED!$AF$3),CALCULES!K$2,_xlfn.ANCHORARRAY(DATA_CLEANED!$AN$3),CALCULES!$A61)&gt;0,1,0)</f>
        <v>0</v>
      </c>
      <c r="L61" s="112">
        <f>IF(COUNTIFS(_xlfn.ANCHORARRAY(DATA_CLEANED!$AF$3),CALCULES!L$2,_xlfn.ANCHORARRAY(DATA_CLEANED!$AK$3),CALCULES!$A61)+COUNTIFS(_xlfn.ANCHORARRAY(DATA_CLEANED!$AF$3),CALCULES!L$2,_xlfn.ANCHORARRAY(DATA_CLEANED!$AN$3),CALCULES!$A61)&gt;0,1,0)</f>
        <v>0</v>
      </c>
      <c r="M61" s="112">
        <f>IF(COUNTIFS(_xlfn.ANCHORARRAY(DATA_CLEANED!$AF$3),CALCULES!M$2,_xlfn.ANCHORARRAY(DATA_CLEANED!$AK$3),CALCULES!$A61)+COUNTIFS(_xlfn.ANCHORARRAY(DATA_CLEANED!$AF$3),CALCULES!M$2,_xlfn.ANCHORARRAY(DATA_CLEANED!$AN$3),CALCULES!$A61)&gt;0,1,0)</f>
        <v>0</v>
      </c>
      <c r="N61" s="112">
        <f>IF(COUNTIFS(_xlfn.ANCHORARRAY(DATA_CLEANED!$AF$3),CALCULES!N$2,_xlfn.ANCHORARRAY(DATA_CLEANED!$AK$3),CALCULES!$A61)+COUNTIFS(_xlfn.ANCHORARRAY(DATA_CLEANED!$AF$3),CALCULES!N$2,_xlfn.ANCHORARRAY(DATA_CLEANED!$AN$3),CALCULES!$A61)&gt;0,1,0)</f>
        <v>1</v>
      </c>
      <c r="O61" s="112">
        <f>IF(COUNTIFS(_xlfn.ANCHORARRAY(DATA_CLEANED!$AF$3),CALCULES!O$2,_xlfn.ANCHORARRAY(DATA_CLEANED!$AK$3),CALCULES!$A61)+COUNTIFS(_xlfn.ANCHORARRAY(DATA_CLEANED!$AF$3),CALCULES!O$2,_xlfn.ANCHORARRAY(DATA_CLEANED!$AN$3),CALCULES!$A61)&gt;0,1,0)</f>
        <v>0</v>
      </c>
      <c r="P61" s="112">
        <f>IF(COUNTIFS(_xlfn.ANCHORARRAY(DATA_CLEANED!$AF$3),CALCULES!P$2,_xlfn.ANCHORARRAY(DATA_CLEANED!$AK$3),CALCULES!$A61)+COUNTIFS(_xlfn.ANCHORARRAY(DATA_CLEANED!$AF$3),CALCULES!P$2,_xlfn.ANCHORARRAY(DATA_CLEANED!$AN$3),CALCULES!$A61)&gt;0,1,0)</f>
        <v>0</v>
      </c>
      <c r="Q61" s="112">
        <f>IF(COUNTIFS(_xlfn.ANCHORARRAY(DATA_CLEANED!$AF$3),CALCULES!Q$2,_xlfn.ANCHORARRAY(DATA_CLEANED!$AK$3),CALCULES!$A61)+COUNTIFS(_xlfn.ANCHORARRAY(DATA_CLEANED!$AF$3),CALCULES!Q$2,_xlfn.ANCHORARRAY(DATA_CLEANED!$AN$3),CALCULES!$A61)&gt;0,1,0)</f>
        <v>1</v>
      </c>
      <c r="R61" s="112">
        <f>IF(COUNTIFS(_xlfn.ANCHORARRAY(DATA_CLEANED!$AF$3),CALCULES!R$2,_xlfn.ANCHORARRAY(DATA_CLEANED!$AK$3),CALCULES!$A61)+COUNTIFS(_xlfn.ANCHORARRAY(DATA_CLEANED!$AF$3),CALCULES!R$2,_xlfn.ANCHORARRAY(DATA_CLEANED!$AN$3),CALCULES!$A61)&gt;0,1,0)</f>
        <v>1</v>
      </c>
      <c r="S61" s="112">
        <f>IF(COUNTIFS(_xlfn.ANCHORARRAY(DATA_CLEANED!$AF$3),CALCULES!S$2,_xlfn.ANCHORARRAY(DATA_CLEANED!$AK$3),CALCULES!$A61)+COUNTIFS(_xlfn.ANCHORARRAY(DATA_CLEANED!$AF$3),CALCULES!S$2,_xlfn.ANCHORARRAY(DATA_CLEANED!$AN$3),CALCULES!$A61)&gt;0,1,0)</f>
        <v>1</v>
      </c>
      <c r="T61" s="112">
        <f>IF(COUNTIFS(_xlfn.ANCHORARRAY(DATA_CLEANED!$AF$3),CALCULES!T$2,_xlfn.ANCHORARRAY(DATA_CLEANED!$AK$3),CALCULES!$A61)+COUNTIFS(_xlfn.ANCHORARRAY(DATA_CLEANED!$AF$3),CALCULES!T$2,_xlfn.ANCHORARRAY(DATA_CLEANED!$AN$3),CALCULES!$A61)&gt;0,1,0)</f>
        <v>1</v>
      </c>
      <c r="U61" s="112">
        <f>IF(COUNTIFS(_xlfn.ANCHORARRAY(DATA_CLEANED!$AF$3),CALCULES!U$2,_xlfn.ANCHORARRAY(DATA_CLEANED!$AK$3),CALCULES!$A61)+COUNTIFS(_xlfn.ANCHORARRAY(DATA_CLEANED!$AF$3),CALCULES!U$2,_xlfn.ANCHORARRAY(DATA_CLEANED!$AN$3),CALCULES!$A61)&gt;0,1,0)</f>
        <v>0</v>
      </c>
      <c r="V61" s="112">
        <f>IF(COUNTIFS(_xlfn.ANCHORARRAY(DATA_CLEANED!$AF$3),CALCULES!V$2,_xlfn.ANCHORARRAY(DATA_CLEANED!$AK$3),CALCULES!$A61)+COUNTIFS(_xlfn.ANCHORARRAY(DATA_CLEANED!$AF$3),CALCULES!V$2,_xlfn.ANCHORARRAY(DATA_CLEANED!$AN$3),CALCULES!$A61)&gt;0,1,0)</f>
        <v>0</v>
      </c>
      <c r="W61" s="112">
        <f>IF(COUNTIFS(_xlfn.ANCHORARRAY(DATA_CLEANED!$AF$3),CALCULES!W$2,_xlfn.ANCHORARRAY(DATA_CLEANED!$AK$3),CALCULES!$A61)+COUNTIFS(_xlfn.ANCHORARRAY(DATA_CLEANED!$AF$3),CALCULES!W$2,_xlfn.ANCHORARRAY(DATA_CLEANED!$AN$3),CALCULES!$A61)&gt;0,1,0)</f>
        <v>0</v>
      </c>
      <c r="X61" s="112">
        <f>IF(COUNTIFS(_xlfn.ANCHORARRAY(DATA_CLEANED!$AF$3),CALCULES!X$2,_xlfn.ANCHORARRAY(DATA_CLEANED!$AK$3),CALCULES!$A61)+COUNTIFS(_xlfn.ANCHORARRAY(DATA_CLEANED!$AF$3),CALCULES!X$2,_xlfn.ANCHORARRAY(DATA_CLEANED!$AN$3),CALCULES!$A61)&gt;0,1,0)</f>
        <v>1</v>
      </c>
      <c r="Y61" s="113">
        <f t="shared" si="15"/>
        <v>9</v>
      </c>
      <c r="AA61" s="112">
        <f>COUNTIF(_xlfn.ANCHORARRAY(DATA_CLEANED!$AK$3),$A61)+COUNTIF(DATA_CLEANED!$AN$2:$AN$1060,$A61)</f>
        <v>32</v>
      </c>
      <c r="AB61" s="112">
        <f>COUNTIF(DATA_QUALITE!BG$12:BG$1069,A61)</f>
        <v>10</v>
      </c>
      <c r="AC61" s="112">
        <f t="shared" si="7"/>
        <v>20</v>
      </c>
      <c r="AD61" s="112" cm="1">
        <f t="array" ref="AD61">SUMPRODUCT((DATA_CLEANED!AL$3:AL$1060=DATA_CLEANED!AM$3:AM$1060)*(_xlfn.ANCHORARRAY(DATA_CLEANED!AK$3)=CALCULES!A61)*(DATA_CLEANED!AO$3:AO$1060&lt;&gt;"-"))
+
SUMPRODUCT((DATA_CLEANED!AL$3:AL$1060=DATA_CLEANED!AM$3:AM$1060)*(_xlfn.ANCHORARRAY(DATA_CLEANED!AN$3)=CALCULES!A61)*(DATA_CLEANED!AO$3:AO$1060&lt;&gt;"-"))</f>
        <v>2</v>
      </c>
      <c r="AE61" s="116">
        <f t="shared" si="16"/>
        <v>0.3125</v>
      </c>
      <c r="AF61" s="116">
        <f t="shared" si="17"/>
        <v>0.625</v>
      </c>
      <c r="AG61" s="112">
        <f>SUMIF(_xlfn.ANCHORARRAY(DATA_CLEANED!AK$3),A61,DATA_CLEANED!AL$2:AL$1060)+SUMIF(_xlfn.ANCHORARRAY(DATA_CLEANED!AN$3),A61,DATA_CLEANED!AM$2:AM$1060)</f>
        <v>41</v>
      </c>
      <c r="AH61" s="112">
        <f>SUMIF(_xlfn.ANCHORARRAY(DATA_CLEANED!AK$3),A61,DATA_CLEANED!AM$2:AM$1060)+SUMIF(_xlfn.ANCHORARRAY(DATA_CLEANED!AN$3),A61,DATA_CLEANED!AL$2:AL$1060)</f>
        <v>43</v>
      </c>
      <c r="AI61" s="112">
        <f t="shared" si="8"/>
        <v>1.34</v>
      </c>
      <c r="AJ61" s="117" cm="1">
        <f t="array" ref="AJ61">_xlfn.LET(_xlpm.home,IFERROR(_xlfn._xlws.FILTER(DATA_CLEANED!AH$3:AH$1060,DATA_CLEANED!AK$3:AK$1060=CALCULES!A61),""),
_xlpm.away,IFERROR(_xlfn._xlws.FILTER(DATA_CLEANED!AH$3:AH$1060,DATA_CLEANED!AN$3:AN$1060=CALCULES!A61),""),
_xlpm.assemb_t,_xlfn._xlws.FILTER(_xlfn.VSTACK(_xlpm.home,_xlpm.away),_xlfn.VSTACK(_xlpm.home,_xlpm.away)&lt;&gt;""),
_xlpm.but_h,IFERROR(_xlfn._xlws.FILTER(_xlfn.ANCHORARRAY(DATA_CLEANED!AM$3),DATA_CLEANED!AK$3:AK$1060=CALCULES!A61),""),
_xlpm.but_a,IFERROR(_xlfn._xlws.FILTER(_xlfn.ANCHORARRAY(DATA_CLEANED!AL$3),DATA_CLEANED!AN$3:AN$1060=CALCULES!A61),""),
_xlpm.assemb_b,_xlfn._xlws.FILTER(_xlfn.VSTACK(_xlpm.but_h,_xlpm.but_a),_xlfn.VSTACK(_xlpm.but_h,_xlpm.but_a)&lt;&gt;""),
MEDIAN(_xlpm.assemb_t,_xlpm.assemb_b)
)</f>
        <v>1</v>
      </c>
      <c r="AK61" s="113">
        <f t="shared" si="18"/>
        <v>-2</v>
      </c>
      <c r="AL61" s="112" cm="1">
        <f t="array" ref="AL61">IFERROR(MEDIAN(_xlfn._xlws.FILTER(_xlfn.VSTACK(
DATA_CLEANED!AL$3:AL$1060-DATA_CLEANED!AM$3:AM$1060,
DATA_CLEANED!AM$3:AM$1060-DATA_CLEANED!AL$3:AL$1060
),_xlfn.VSTACK(DATA_CLEANED!AK$3:AK$1060,DATA_CLEANED!AN$3:AN$1060)=A61)),"-")</f>
        <v>0</v>
      </c>
      <c r="AM61" s="112">
        <f t="shared" si="9"/>
        <v>1.28</v>
      </c>
      <c r="AN61" s="112" cm="1">
        <f t="array" ref="AN61">_xlfn.LET(_xlpm.home,IFERROR(_xlfn._xlws.FILTER(DATA_CLEANED!AH$3:AH$1060,DATA_CLEANED!AK$3:AK$1060=CALCULES!A61),""),
_xlpm.away,IFERROR(_xlfn._xlws.FILTER(DATA_CLEANED!AH$3:AH$1060,DATA_CLEANED!AN$3:AN$1060=CALCULES!A61),""),
_xlpm.assemb_t,_xlfn._xlws.FILTER(_xlfn.VSTACK(_xlpm.home,_xlpm.away),_xlfn.VSTACK(_xlpm.home,_xlpm.away)&lt;&gt;""),
_xlpm.but_h,IFERROR(_xlfn._xlws.FILTER(_xlfn.ANCHORARRAY(DATA_CLEANED!AL$3),DATA_CLEANED!AK$3:AK$1060=CALCULES!A61),""),
_xlpm.but_a,IFERROR(_xlfn._xlws.FILTER(_xlfn.ANCHORARRAY(DATA_CLEANED!AM$3),DATA_CLEANED!AN$3:AN$1060=CALCULES!A61),""),
_xlpm.assemb_b,_xlfn._xlws.FILTER(_xlfn.VSTACK(_xlpm.but_h,_xlpm.but_a),_xlfn.VSTACK(_xlpm.but_h,_xlpm.but_a)&lt;&gt;""),
MEDIAN(_xlpm.assemb_t,_xlpm.assemb_b)
)</f>
        <v>1</v>
      </c>
      <c r="AO61" s="116">
        <f>ROUND(IFERROR((COUNTIFS(DATA_CLEANED!AK$3:AK$1060,A61,DATA_CLEANED!AM$3:AM$1060,0)
+
COUNTIFS(DATA_CLEANED!AN$3:AN$1060,A61,DATA_CLEANED!AL$3:AL$1060,0)
)/AA61,0),2)</f>
        <v>0.31</v>
      </c>
      <c r="AP61" s="112">
        <f>MAX((_xlfn.MAXIFS(_xlfn.ANCHORARRAY(DATA_CLEANED!AL$3),_xlfn.ANCHORARRAY(DATA_CLEANED!AK$3),A61)),(_xlfn.MAXIFS(DATA_CLEANED!AM$3:AM$1060,_xlfn.ANCHORARRAY(DATA_CLEANED!AN$3),A61)))</f>
        <v>3</v>
      </c>
      <c r="AQ61" s="112">
        <f>COUNTIF(_xlfn.ANCHORARRAY(DATA_CLEANED!K$3),A61)</f>
        <v>10</v>
      </c>
      <c r="AR61" s="113" t="str" cm="1">
        <f t="array" ref="AR61">_xlfn.LET(
_xlpm.home,IFERROR(_xlfn._xlws.FILTER(DATA_CLEANED!AH$3:AH$1060,DATA_CLEANED!AK$3:AK$1060=CALCULES!A61),""),
_xlpm.away,IFERROR(_xlfn._xlws.FILTER(DATA_CLEANED!AH$3:AH$1060,DATA_CLEANED!AN$3:AN$1060=CALCULES!A61),""),
_xlpm.etapes,_xlfn._xlws.FILTER(_xlfn.VSTACK(_xlpm.home,_xlpm.away),_xlfn.VSTACK(_xlpm.home,_xlpm.away)&lt;&gt;""),
_xlpm.numeros,_xlfn.XLOOKUP(_xlpm.etapes,DATA_QUALITE!AT$12:AT$38,DATA_QUALITE!AU$12:AU$38),
_xlfn.XLOOKUP(MIN(_xlpm.numeros),DATA_QUALITE!AU$12:AU$38,DATA_QUALITE!AT$12:AT$38)
)</f>
        <v>QUARTER_FINALS</v>
      </c>
      <c r="AS61" s="112">
        <f t="shared" si="19"/>
        <v>9</v>
      </c>
      <c r="AT61" s="112">
        <f t="shared" si="20"/>
        <v>10</v>
      </c>
      <c r="AU61" s="112">
        <f>COUNTIFS(DATA_QUALITE!BG$12:BG$1069,"MATCH NUL",_xlfn.ANCHORARRAY(DATA_CLEANED!AK$3),CALCULES!A61)+COUNTIFS(DATA_QUALITE!BG$12:BG$1069,"MATCH NUL",_xlfn.ANCHORARRAY(DATA_CLEANED!AN$3),CALCULES!A61)</f>
        <v>10</v>
      </c>
      <c r="AV61" s="112">
        <v>41</v>
      </c>
      <c r="AW61" s="112">
        <f>COUNTIFS(_xlfn.ANCHORARRAY(DATA_CLEANED!AH$3),"QUARTER_FINALS",_xlfn.ANCHORARRAY(DATA_CLEANED!AK$3),CALCULES!A61)+COUNTIFS(_xlfn.ANCHORARRAY(DATA_CLEANED!AH$3),"QUARTER_FINALS",_xlfn.ANCHORARRAY(DATA_CLEANED!AN$3),CALCULES!A61)</f>
        <v>1</v>
      </c>
      <c r="AX61" s="112">
        <f>COUNTIFS(_xlfn.ANCHORARRAY(DATA_CLEANED!AH$3),"SEMI_FINALS",_xlfn.ANCHORARRAY(DATA_CLEANED!AK$3),CALCULES!A61)+COUNTIFS(_xlfn.ANCHORARRAY(DATA_CLEANED!AH$3),"SEMI_FINALS",_xlfn.ANCHORARRAY(DATA_CLEANED!AN$3),CALCULES!A61)</f>
        <v>0</v>
      </c>
      <c r="AY61" s="112">
        <f>COUNTIFS(_xlfn.ANCHORARRAY(DATA_CLEANED!AH$3),"FINAL",_xlfn.ANCHORARRAY(DATA_CLEANED!AK$3),CALCULES!A61)+COUNTIFS(_xlfn.ANCHORARRAY(DATA_CLEANED!AH$3),"FINAL",_xlfn.ANCHORARRAY(DATA_CLEANED!AN$3),CALCULES!A61)</f>
        <v>0</v>
      </c>
      <c r="AZ61" s="112">
        <f>COUNTIFS(DATA_QUALITE!BG$12:BG$1069,CALCULES!A61,DATA_QUALITE!AW$12:AW$1069,"FINAL")</f>
        <v>0</v>
      </c>
      <c r="BA61" s="113">
        <f t="shared" si="21"/>
        <v>34.94</v>
      </c>
      <c r="BB61" s="118">
        <f t="shared" si="10"/>
        <v>14.61</v>
      </c>
      <c r="BC61" s="118">
        <f t="shared" si="11"/>
        <v>17.25</v>
      </c>
      <c r="BD61" s="139">
        <f t="shared" si="12"/>
        <v>15.93</v>
      </c>
      <c r="BF61" s="167"/>
      <c r="BG61" s="167"/>
      <c r="BH61" s="167"/>
      <c r="BI61" s="167"/>
      <c r="BJ61" s="167"/>
      <c r="BK61" s="167"/>
      <c r="BL61" s="173">
        <f>INT((ROWS($BL$15:BL61)-1)/9)</f>
        <v>5</v>
      </c>
      <c r="BM61" s="173">
        <f>MOD(ROWS($BM$15:BM61)-1,9)</f>
        <v>1</v>
      </c>
      <c r="BN61" s="173">
        <f t="shared" si="22"/>
        <v>6.466366775087851E-3</v>
      </c>
      <c r="BO61" s="167"/>
      <c r="BP61" s="167"/>
    </row>
    <row r="62" spans="1:68">
      <c r="A62" s="113" t="str">
        <v>Peru</v>
      </c>
      <c r="B62" s="112">
        <f>IF(COUNTIFS(_xlfn.ANCHORARRAY(DATA_CLEANED!$AF$3),CALCULES!B$2,_xlfn.ANCHORARRAY(DATA_CLEANED!$AK$3),CALCULES!$A62)+COUNTIFS(_xlfn.ANCHORARRAY(DATA_CLEANED!$AF$3),CALCULES!B$2,_xlfn.ANCHORARRAY(DATA_CLEANED!$AN$3),CALCULES!$A62)&gt;0,1,0)</f>
        <v>1</v>
      </c>
      <c r="C62" s="112">
        <f>IF(COUNTIFS(_xlfn.ANCHORARRAY(DATA_CLEANED!$AF$3),CALCULES!C$2,_xlfn.ANCHORARRAY(DATA_CLEANED!$AK$3),CALCULES!$A62)+COUNTIFS(_xlfn.ANCHORARRAY(DATA_CLEANED!$AF$3),CALCULES!C$2,_xlfn.ANCHORARRAY(DATA_CLEANED!$AN$3),CALCULES!$A62)&gt;0,1,0)</f>
        <v>0</v>
      </c>
      <c r="D62" s="112">
        <f>IF(COUNTIFS(_xlfn.ANCHORARRAY(DATA_CLEANED!$AF$3),CALCULES!D$2,_xlfn.ANCHORARRAY(DATA_CLEANED!$AK$3),CALCULES!$A62)+COUNTIFS(_xlfn.ANCHORARRAY(DATA_CLEANED!$AF$3),CALCULES!D$2,_xlfn.ANCHORARRAY(DATA_CLEANED!$AN$3),CALCULES!$A62)&gt;0,1,0)</f>
        <v>0</v>
      </c>
      <c r="E62" s="112">
        <f>IF(COUNTIFS(_xlfn.ANCHORARRAY(DATA_CLEANED!$AF$3),CALCULES!E$2,_xlfn.ANCHORARRAY(DATA_CLEANED!$AK$3),CALCULES!$A62)+COUNTIFS(_xlfn.ANCHORARRAY(DATA_CLEANED!$AF$3),CALCULES!E$2,_xlfn.ANCHORARRAY(DATA_CLEANED!$AN$3),CALCULES!$A62)&gt;0,1,0)</f>
        <v>0</v>
      </c>
      <c r="F62" s="112">
        <f>IF(COUNTIFS(_xlfn.ANCHORARRAY(DATA_CLEANED!$AF$3),CALCULES!F$2,_xlfn.ANCHORARRAY(DATA_CLEANED!$AK$3),CALCULES!$A62)+COUNTIFS(_xlfn.ANCHORARRAY(DATA_CLEANED!$AF$3),CALCULES!F$2,_xlfn.ANCHORARRAY(DATA_CLEANED!$AN$3),CALCULES!$A62)&gt;0,1,0)</f>
        <v>0</v>
      </c>
      <c r="G62" s="112">
        <f>IF(COUNTIFS(_xlfn.ANCHORARRAY(DATA_CLEANED!$AF$3),CALCULES!G$2,_xlfn.ANCHORARRAY(DATA_CLEANED!$AK$3),CALCULES!$A62)+COUNTIFS(_xlfn.ANCHORARRAY(DATA_CLEANED!$AF$3),CALCULES!G$2,_xlfn.ANCHORARRAY(DATA_CLEANED!$AN$3),CALCULES!$A62)&gt;0,1,0)</f>
        <v>0</v>
      </c>
      <c r="H62" s="112">
        <f>IF(COUNTIFS(_xlfn.ANCHORARRAY(DATA_CLEANED!$AF$3),CALCULES!H$2,_xlfn.ANCHORARRAY(DATA_CLEANED!$AK$3),CALCULES!$A62)+COUNTIFS(_xlfn.ANCHORARRAY(DATA_CLEANED!$AF$3),CALCULES!H$2,_xlfn.ANCHORARRAY(DATA_CLEANED!$AN$3),CALCULES!$A62)&gt;0,1,0)</f>
        <v>0</v>
      </c>
      <c r="I62" s="112">
        <f>IF(COUNTIFS(_xlfn.ANCHORARRAY(DATA_CLEANED!$AF$3),CALCULES!I$2,_xlfn.ANCHORARRAY(DATA_CLEANED!$AK$3),CALCULES!$A62)+COUNTIFS(_xlfn.ANCHORARRAY(DATA_CLEANED!$AF$3),CALCULES!I$2,_xlfn.ANCHORARRAY(DATA_CLEANED!$AN$3),CALCULES!$A62)&gt;0,1,0)</f>
        <v>0</v>
      </c>
      <c r="J62" s="112">
        <f>IF(COUNTIFS(_xlfn.ANCHORARRAY(DATA_CLEANED!$AF$3),CALCULES!J$2,_xlfn.ANCHORARRAY(DATA_CLEANED!$AK$3),CALCULES!$A62)+COUNTIFS(_xlfn.ANCHORARRAY(DATA_CLEANED!$AF$3),CALCULES!J$2,_xlfn.ANCHORARRAY(DATA_CLEANED!$AN$3),CALCULES!$A62)&gt;0,1,0)</f>
        <v>1</v>
      </c>
      <c r="K62" s="112">
        <f>IF(COUNTIFS(_xlfn.ANCHORARRAY(DATA_CLEANED!$AF$3),CALCULES!K$2,_xlfn.ANCHORARRAY(DATA_CLEANED!$AK$3),CALCULES!$A62)+COUNTIFS(_xlfn.ANCHORARRAY(DATA_CLEANED!$AF$3),CALCULES!K$2,_xlfn.ANCHORARRAY(DATA_CLEANED!$AN$3),CALCULES!$A62)&gt;0,1,0)</f>
        <v>0</v>
      </c>
      <c r="L62" s="112">
        <f>IF(COUNTIFS(_xlfn.ANCHORARRAY(DATA_CLEANED!$AF$3),CALCULES!L$2,_xlfn.ANCHORARRAY(DATA_CLEANED!$AK$3),CALCULES!$A62)+COUNTIFS(_xlfn.ANCHORARRAY(DATA_CLEANED!$AF$3),CALCULES!L$2,_xlfn.ANCHORARRAY(DATA_CLEANED!$AN$3),CALCULES!$A62)&gt;0,1,0)</f>
        <v>1</v>
      </c>
      <c r="M62" s="112">
        <f>IF(COUNTIFS(_xlfn.ANCHORARRAY(DATA_CLEANED!$AF$3),CALCULES!M$2,_xlfn.ANCHORARRAY(DATA_CLEANED!$AK$3),CALCULES!$A62)+COUNTIFS(_xlfn.ANCHORARRAY(DATA_CLEANED!$AF$3),CALCULES!M$2,_xlfn.ANCHORARRAY(DATA_CLEANED!$AN$3),CALCULES!$A62)&gt;0,1,0)</f>
        <v>1</v>
      </c>
      <c r="N62" s="112">
        <f>IF(COUNTIFS(_xlfn.ANCHORARRAY(DATA_CLEANED!$AF$3),CALCULES!N$2,_xlfn.ANCHORARRAY(DATA_CLEANED!$AK$3),CALCULES!$A62)+COUNTIFS(_xlfn.ANCHORARRAY(DATA_CLEANED!$AF$3),CALCULES!N$2,_xlfn.ANCHORARRAY(DATA_CLEANED!$AN$3),CALCULES!$A62)&gt;0,1,0)</f>
        <v>0</v>
      </c>
      <c r="O62" s="112">
        <f>IF(COUNTIFS(_xlfn.ANCHORARRAY(DATA_CLEANED!$AF$3),CALCULES!O$2,_xlfn.ANCHORARRAY(DATA_CLEANED!$AK$3),CALCULES!$A62)+COUNTIFS(_xlfn.ANCHORARRAY(DATA_CLEANED!$AF$3),CALCULES!O$2,_xlfn.ANCHORARRAY(DATA_CLEANED!$AN$3),CALCULES!$A62)&gt;0,1,0)</f>
        <v>0</v>
      </c>
      <c r="P62" s="112">
        <f>IF(COUNTIFS(_xlfn.ANCHORARRAY(DATA_CLEANED!$AF$3),CALCULES!P$2,_xlfn.ANCHORARRAY(DATA_CLEANED!$AK$3),CALCULES!$A62)+COUNTIFS(_xlfn.ANCHORARRAY(DATA_CLEANED!$AF$3),CALCULES!P$2,_xlfn.ANCHORARRAY(DATA_CLEANED!$AN$3),CALCULES!$A62)&gt;0,1,0)</f>
        <v>0</v>
      </c>
      <c r="Q62" s="112">
        <f>IF(COUNTIFS(_xlfn.ANCHORARRAY(DATA_CLEANED!$AF$3),CALCULES!Q$2,_xlfn.ANCHORARRAY(DATA_CLEANED!$AK$3),CALCULES!$A62)+COUNTIFS(_xlfn.ANCHORARRAY(DATA_CLEANED!$AF$3),CALCULES!Q$2,_xlfn.ANCHORARRAY(DATA_CLEANED!$AN$3),CALCULES!$A62)&gt;0,1,0)</f>
        <v>0</v>
      </c>
      <c r="R62" s="112">
        <f>IF(COUNTIFS(_xlfn.ANCHORARRAY(DATA_CLEANED!$AF$3),CALCULES!R$2,_xlfn.ANCHORARRAY(DATA_CLEANED!$AK$3),CALCULES!$A62)+COUNTIFS(_xlfn.ANCHORARRAY(DATA_CLEANED!$AF$3),CALCULES!R$2,_xlfn.ANCHORARRAY(DATA_CLEANED!$AN$3),CALCULES!$A62)&gt;0,1,0)</f>
        <v>0</v>
      </c>
      <c r="S62" s="112">
        <f>IF(COUNTIFS(_xlfn.ANCHORARRAY(DATA_CLEANED!$AF$3),CALCULES!S$2,_xlfn.ANCHORARRAY(DATA_CLEANED!$AK$3),CALCULES!$A62)+COUNTIFS(_xlfn.ANCHORARRAY(DATA_CLEANED!$AF$3),CALCULES!S$2,_xlfn.ANCHORARRAY(DATA_CLEANED!$AN$3),CALCULES!$A62)&gt;0,1,0)</f>
        <v>0</v>
      </c>
      <c r="T62" s="112">
        <f>IF(COUNTIFS(_xlfn.ANCHORARRAY(DATA_CLEANED!$AF$3),CALCULES!T$2,_xlfn.ANCHORARRAY(DATA_CLEANED!$AK$3),CALCULES!$A62)+COUNTIFS(_xlfn.ANCHORARRAY(DATA_CLEANED!$AF$3),CALCULES!T$2,_xlfn.ANCHORARRAY(DATA_CLEANED!$AN$3),CALCULES!$A62)&gt;0,1,0)</f>
        <v>0</v>
      </c>
      <c r="U62" s="112">
        <f>IF(COUNTIFS(_xlfn.ANCHORARRAY(DATA_CLEANED!$AF$3),CALCULES!U$2,_xlfn.ANCHORARRAY(DATA_CLEANED!$AK$3),CALCULES!$A62)+COUNTIFS(_xlfn.ANCHORARRAY(DATA_CLEANED!$AF$3),CALCULES!U$2,_xlfn.ANCHORARRAY(DATA_CLEANED!$AN$3),CALCULES!$A62)&gt;0,1,0)</f>
        <v>0</v>
      </c>
      <c r="V62" s="112">
        <f>IF(COUNTIFS(_xlfn.ANCHORARRAY(DATA_CLEANED!$AF$3),CALCULES!V$2,_xlfn.ANCHORARRAY(DATA_CLEANED!$AK$3),CALCULES!$A62)+COUNTIFS(_xlfn.ANCHORARRAY(DATA_CLEANED!$AF$3),CALCULES!V$2,_xlfn.ANCHORARRAY(DATA_CLEANED!$AN$3),CALCULES!$A62)&gt;0,1,0)</f>
        <v>1</v>
      </c>
      <c r="W62" s="112">
        <f>IF(COUNTIFS(_xlfn.ANCHORARRAY(DATA_CLEANED!$AF$3),CALCULES!W$2,_xlfn.ANCHORARRAY(DATA_CLEANED!$AK$3),CALCULES!$A62)+COUNTIFS(_xlfn.ANCHORARRAY(DATA_CLEANED!$AF$3),CALCULES!W$2,_xlfn.ANCHORARRAY(DATA_CLEANED!$AN$3),CALCULES!$A62)&gt;0,1,0)</f>
        <v>0</v>
      </c>
      <c r="X62" s="112">
        <f>IF(COUNTIFS(_xlfn.ANCHORARRAY(DATA_CLEANED!$AF$3),CALCULES!X$2,_xlfn.ANCHORARRAY(DATA_CLEANED!$AK$3),CALCULES!$A62)+COUNTIFS(_xlfn.ANCHORARRAY(DATA_CLEANED!$AF$3),CALCULES!X$2,_xlfn.ANCHORARRAY(DATA_CLEANED!$AN$3),CALCULES!$A62)&gt;0,1,0)</f>
        <v>0</v>
      </c>
      <c r="Y62" s="113">
        <f t="shared" si="15"/>
        <v>5</v>
      </c>
      <c r="AA62" s="112">
        <f>COUNTIF(_xlfn.ANCHORARRAY(DATA_CLEANED!$AK$3),$A62)+COUNTIF(DATA_CLEANED!$AN$2:$AN$1060,$A62)</f>
        <v>18</v>
      </c>
      <c r="AB62" s="112">
        <f>COUNTIF(DATA_QUALITE!BG$12:BG$1069,A62)</f>
        <v>5</v>
      </c>
      <c r="AC62" s="112">
        <f t="shared" si="7"/>
        <v>13</v>
      </c>
      <c r="AD62" s="112" cm="1">
        <f t="array" ref="AD62">SUMPRODUCT((DATA_CLEANED!AL$3:AL$1060=DATA_CLEANED!AM$3:AM$1060)*(_xlfn.ANCHORARRAY(DATA_CLEANED!AK$3)=CALCULES!A62)*(DATA_CLEANED!AO$3:AO$1060&lt;&gt;"-"))
+
SUMPRODUCT((DATA_CLEANED!AL$3:AL$1060=DATA_CLEANED!AM$3:AM$1060)*(_xlfn.ANCHORARRAY(DATA_CLEANED!AN$3)=CALCULES!A62)*(DATA_CLEANED!AO$3:AO$1060&lt;&gt;"-"))</f>
        <v>0</v>
      </c>
      <c r="AE62" s="116">
        <f t="shared" si="16"/>
        <v>0.27777777777777779</v>
      </c>
      <c r="AF62" s="116">
        <f t="shared" si="17"/>
        <v>0.72222222222222221</v>
      </c>
      <c r="AG62" s="112">
        <f>SUMIF(_xlfn.ANCHORARRAY(DATA_CLEANED!AK$3),A62,DATA_CLEANED!AL$2:AL$1060)+SUMIF(_xlfn.ANCHORARRAY(DATA_CLEANED!AN$3),A62,DATA_CLEANED!AM$2:AM$1060)</f>
        <v>17</v>
      </c>
      <c r="AH62" s="112">
        <f>SUMIF(_xlfn.ANCHORARRAY(DATA_CLEANED!AK$3),A62,DATA_CLEANED!AM$2:AM$1060)+SUMIF(_xlfn.ANCHORARRAY(DATA_CLEANED!AN$3),A62,DATA_CLEANED!AL$2:AL$1060)</f>
        <v>26</v>
      </c>
      <c r="AI62" s="112">
        <f t="shared" si="8"/>
        <v>1.44</v>
      </c>
      <c r="AJ62" s="117" cm="1">
        <f t="array" ref="AJ62">_xlfn.LET(_xlpm.home,IFERROR(_xlfn._xlws.FILTER(DATA_CLEANED!AH$3:AH$1060,DATA_CLEANED!AK$3:AK$1060=CALCULES!A62),""),
_xlpm.away,IFERROR(_xlfn._xlws.FILTER(DATA_CLEANED!AH$3:AH$1060,DATA_CLEANED!AN$3:AN$1060=CALCULES!A62),""),
_xlpm.assemb_t,_xlfn._xlws.FILTER(_xlfn.VSTACK(_xlpm.home,_xlpm.away),_xlfn.VSTACK(_xlpm.home,_xlpm.away)&lt;&gt;""),
_xlpm.but_h,IFERROR(_xlfn._xlws.FILTER(_xlfn.ANCHORARRAY(DATA_CLEANED!AM$3),DATA_CLEANED!AK$3:AK$1060=CALCULES!A62),""),
_xlpm.but_a,IFERROR(_xlfn._xlws.FILTER(_xlfn.ANCHORARRAY(DATA_CLEANED!AL$3),DATA_CLEANED!AN$3:AN$1060=CALCULES!A62),""),
_xlpm.assemb_b,_xlfn._xlws.FILTER(_xlfn.VSTACK(_xlpm.but_h,_xlpm.but_a),_xlfn.VSTACK(_xlpm.but_h,_xlpm.but_a)&lt;&gt;""),
MEDIAN(_xlpm.assemb_t,_xlpm.assemb_b)
)</f>
        <v>1</v>
      </c>
      <c r="AK62" s="113">
        <f t="shared" si="18"/>
        <v>-9</v>
      </c>
      <c r="AL62" s="112" cm="1">
        <f t="array" ref="AL62">IFERROR(MEDIAN(_xlfn._xlws.FILTER(_xlfn.VSTACK(
DATA_CLEANED!AL$3:AL$1060-DATA_CLEANED!AM$3:AM$1060,
DATA_CLEANED!AM$3:AM$1060-DATA_CLEANED!AL$3:AL$1060
),_xlfn.VSTACK(DATA_CLEANED!AK$3:AK$1060,DATA_CLEANED!AN$3:AN$1060)=A62)),"-")</f>
        <v>-1</v>
      </c>
      <c r="AM62" s="112">
        <f t="shared" si="9"/>
        <v>0.94</v>
      </c>
      <c r="AN62" s="112" cm="1">
        <f t="array" ref="AN62">_xlfn.LET(_xlpm.home,IFERROR(_xlfn._xlws.FILTER(DATA_CLEANED!AH$3:AH$1060,DATA_CLEANED!AK$3:AK$1060=CALCULES!A62),""),
_xlpm.away,IFERROR(_xlfn._xlws.FILTER(DATA_CLEANED!AH$3:AH$1060,DATA_CLEANED!AN$3:AN$1060=CALCULES!A62),""),
_xlpm.assemb_t,_xlfn._xlws.FILTER(_xlfn.VSTACK(_xlpm.home,_xlpm.away),_xlfn.VSTACK(_xlpm.home,_xlpm.away)&lt;&gt;""),
_xlpm.but_h,IFERROR(_xlfn._xlws.FILTER(_xlfn.ANCHORARRAY(DATA_CLEANED!AL$3),DATA_CLEANED!AK$3:AK$1060=CALCULES!A62),""),
_xlpm.but_a,IFERROR(_xlfn._xlws.FILTER(_xlfn.ANCHORARRAY(DATA_CLEANED!AM$3),DATA_CLEANED!AN$3:AN$1060=CALCULES!A62),""),
_xlpm.assemb_b,_xlfn._xlws.FILTER(_xlfn.VSTACK(_xlpm.but_h,_xlpm.but_a),_xlfn.VSTACK(_xlpm.but_h,_xlpm.but_a)&lt;&gt;""),
MEDIAN(_xlpm.assemb_t,_xlpm.assemb_b)
)</f>
        <v>1</v>
      </c>
      <c r="AO62" s="116">
        <f>ROUND(IFERROR((COUNTIFS(DATA_CLEANED!AK$3:AK$1060,A62,DATA_CLEANED!AM$3:AM$1060,0)
+
COUNTIFS(DATA_CLEANED!AN$3:AN$1060,A62,DATA_CLEANED!AL$3:AL$1060,0)
)/AA62,0),2)</f>
        <v>0.22</v>
      </c>
      <c r="AP62" s="112">
        <f>MAX((_xlfn.MAXIFS(_xlfn.ANCHORARRAY(DATA_CLEANED!AL$3),_xlfn.ANCHORARRAY(DATA_CLEANED!AK$3),A62)),(_xlfn.MAXIFS(DATA_CLEANED!AM$3:AM$1060,_xlfn.ANCHORARRAY(DATA_CLEANED!AN$3),A62)))</f>
        <v>4</v>
      </c>
      <c r="AQ62" s="112">
        <f>COUNTIF(_xlfn.ANCHORARRAY(DATA_CLEANED!K$3),A62)</f>
        <v>0</v>
      </c>
      <c r="AR62" s="113" t="str" cm="1">
        <f t="array" ref="AR62">_xlfn.LET(
_xlpm.home,IFERROR(_xlfn._xlws.FILTER(DATA_CLEANED!AH$3:AH$1060,DATA_CLEANED!AK$3:AK$1060=CALCULES!A62),""),
_xlpm.away,IFERROR(_xlfn._xlws.FILTER(DATA_CLEANED!AH$3:AH$1060,DATA_CLEANED!AN$3:AN$1060=CALCULES!A62),""),
_xlpm.etapes,_xlfn._xlws.FILTER(_xlfn.VSTACK(_xlpm.home,_xlpm.away),_xlfn.VSTACK(_xlpm.home,_xlpm.away)&lt;&gt;""),
_xlpm.numeros,_xlfn.XLOOKUP(_xlpm.etapes,DATA_QUALITE!AT$12:AT$38,DATA_QUALITE!AU$12:AU$38),
_xlfn.XLOOKUP(MIN(_xlpm.numeros),DATA_QUALITE!AU$12:AU$38,DATA_QUALITE!AT$12:AT$38)
)</f>
        <v>QUARTER_FINALS</v>
      </c>
      <c r="AS62" s="112">
        <f t="shared" si="19"/>
        <v>5</v>
      </c>
      <c r="AT62" s="112">
        <f t="shared" si="20"/>
        <v>5</v>
      </c>
      <c r="AU62" s="112">
        <f>COUNTIFS(DATA_QUALITE!BG$12:BG$1069,"MATCH NUL",_xlfn.ANCHORARRAY(DATA_CLEANED!AK$3),CALCULES!A62)+COUNTIFS(DATA_QUALITE!BG$12:BG$1069,"MATCH NUL",_xlfn.ANCHORARRAY(DATA_CLEANED!AN$3),CALCULES!A62)</f>
        <v>3</v>
      </c>
      <c r="AV62" s="112">
        <v>17</v>
      </c>
      <c r="AW62" s="112">
        <f>COUNTIFS(_xlfn.ANCHORARRAY(DATA_CLEANED!AH$3),"QUARTER_FINALS",_xlfn.ANCHORARRAY(DATA_CLEANED!AK$3),CALCULES!A62)+COUNTIFS(_xlfn.ANCHORARRAY(DATA_CLEANED!AH$3),"QUARTER_FINALS",_xlfn.ANCHORARRAY(DATA_CLEANED!AN$3),CALCULES!A62)</f>
        <v>1</v>
      </c>
      <c r="AX62" s="112">
        <f>COUNTIFS(_xlfn.ANCHORARRAY(DATA_CLEANED!AH$3),"SEMI_FINALS",_xlfn.ANCHORARRAY(DATA_CLEANED!AK$3),CALCULES!A62)+COUNTIFS(_xlfn.ANCHORARRAY(DATA_CLEANED!AH$3),"SEMI_FINALS",_xlfn.ANCHORARRAY(DATA_CLEANED!AN$3),CALCULES!A62)</f>
        <v>0</v>
      </c>
      <c r="AY62" s="112">
        <f>COUNTIFS(_xlfn.ANCHORARRAY(DATA_CLEANED!AH$3),"FINAL",_xlfn.ANCHORARRAY(DATA_CLEANED!AK$3),CALCULES!A62)+COUNTIFS(_xlfn.ANCHORARRAY(DATA_CLEANED!AH$3),"FINAL",_xlfn.ANCHORARRAY(DATA_CLEANED!AN$3),CALCULES!A62)</f>
        <v>0</v>
      </c>
      <c r="AZ62" s="112">
        <f>COUNTIFS(DATA_QUALITE!BG$12:BG$1069,CALCULES!A62,DATA_QUALITE!AW$12:AW$1069,"FINAL")</f>
        <v>0</v>
      </c>
      <c r="BA62" s="113">
        <f t="shared" si="21"/>
        <v>36.06</v>
      </c>
      <c r="BB62" s="118">
        <f t="shared" si="10"/>
        <v>8.48</v>
      </c>
      <c r="BC62" s="118">
        <f t="shared" si="11"/>
        <v>11.26</v>
      </c>
      <c r="BD62" s="139">
        <f t="shared" si="12"/>
        <v>9.8699999999999992</v>
      </c>
      <c r="BF62" s="167"/>
      <c r="BG62" s="167"/>
      <c r="BH62" s="167"/>
      <c r="BI62" s="167"/>
      <c r="BJ62" s="167"/>
      <c r="BK62" s="167"/>
      <c r="BL62" s="173">
        <f>INT((ROWS($BL$15:BL62)-1)/9)</f>
        <v>5</v>
      </c>
      <c r="BM62" s="173">
        <f>MOD(ROWS($BM$15:BM62)-1,9)</f>
        <v>2</v>
      </c>
      <c r="BN62" s="173">
        <f t="shared" si="22"/>
        <v>3.6209561981740165E-3</v>
      </c>
      <c r="BO62" s="167"/>
      <c r="BP62" s="167"/>
    </row>
    <row r="63" spans="1:68">
      <c r="A63" s="113" t="str">
        <v>Poland</v>
      </c>
      <c r="B63" s="112">
        <f>IF(COUNTIFS(_xlfn.ANCHORARRAY(DATA_CLEANED!$AF$3),CALCULES!B$2,_xlfn.ANCHORARRAY(DATA_CLEANED!$AK$3),CALCULES!$A63)+COUNTIFS(_xlfn.ANCHORARRAY(DATA_CLEANED!$AF$3),CALCULES!B$2,_xlfn.ANCHORARRAY(DATA_CLEANED!$AN$3),CALCULES!$A63)&gt;0,1,0)</f>
        <v>0</v>
      </c>
      <c r="C63" s="112">
        <f>IF(COUNTIFS(_xlfn.ANCHORARRAY(DATA_CLEANED!$AF$3),CALCULES!C$2,_xlfn.ANCHORARRAY(DATA_CLEANED!$AK$3),CALCULES!$A63)+COUNTIFS(_xlfn.ANCHORARRAY(DATA_CLEANED!$AF$3),CALCULES!C$2,_xlfn.ANCHORARRAY(DATA_CLEANED!$AN$3),CALCULES!$A63)&gt;0,1,0)</f>
        <v>0</v>
      </c>
      <c r="D63" s="112">
        <f>IF(COUNTIFS(_xlfn.ANCHORARRAY(DATA_CLEANED!$AF$3),CALCULES!D$2,_xlfn.ANCHORARRAY(DATA_CLEANED!$AK$3),CALCULES!$A63)+COUNTIFS(_xlfn.ANCHORARRAY(DATA_CLEANED!$AF$3),CALCULES!D$2,_xlfn.ANCHORARRAY(DATA_CLEANED!$AN$3),CALCULES!$A63)&gt;0,1,0)</f>
        <v>1</v>
      </c>
      <c r="E63" s="112">
        <f>IF(COUNTIFS(_xlfn.ANCHORARRAY(DATA_CLEANED!$AF$3),CALCULES!E$2,_xlfn.ANCHORARRAY(DATA_CLEANED!$AK$3),CALCULES!$A63)+COUNTIFS(_xlfn.ANCHORARRAY(DATA_CLEANED!$AF$3),CALCULES!E$2,_xlfn.ANCHORARRAY(DATA_CLEANED!$AN$3),CALCULES!$A63)&gt;0,1,0)</f>
        <v>0</v>
      </c>
      <c r="F63" s="112">
        <f>IF(COUNTIFS(_xlfn.ANCHORARRAY(DATA_CLEANED!$AF$3),CALCULES!F$2,_xlfn.ANCHORARRAY(DATA_CLEANED!$AK$3),CALCULES!$A63)+COUNTIFS(_xlfn.ANCHORARRAY(DATA_CLEANED!$AF$3),CALCULES!F$2,_xlfn.ANCHORARRAY(DATA_CLEANED!$AN$3),CALCULES!$A63)&gt;0,1,0)</f>
        <v>0</v>
      </c>
      <c r="G63" s="112">
        <f>IF(COUNTIFS(_xlfn.ANCHORARRAY(DATA_CLEANED!$AF$3),CALCULES!G$2,_xlfn.ANCHORARRAY(DATA_CLEANED!$AK$3),CALCULES!$A63)+COUNTIFS(_xlfn.ANCHORARRAY(DATA_CLEANED!$AF$3),CALCULES!G$2,_xlfn.ANCHORARRAY(DATA_CLEANED!$AN$3),CALCULES!$A63)&gt;0,1,0)</f>
        <v>0</v>
      </c>
      <c r="H63" s="112">
        <f>IF(COUNTIFS(_xlfn.ANCHORARRAY(DATA_CLEANED!$AF$3),CALCULES!H$2,_xlfn.ANCHORARRAY(DATA_CLEANED!$AK$3),CALCULES!$A63)+COUNTIFS(_xlfn.ANCHORARRAY(DATA_CLEANED!$AF$3),CALCULES!H$2,_xlfn.ANCHORARRAY(DATA_CLEANED!$AN$3),CALCULES!$A63)&gt;0,1,0)</f>
        <v>0</v>
      </c>
      <c r="I63" s="112">
        <f>IF(COUNTIFS(_xlfn.ANCHORARRAY(DATA_CLEANED!$AF$3),CALCULES!I$2,_xlfn.ANCHORARRAY(DATA_CLEANED!$AK$3),CALCULES!$A63)+COUNTIFS(_xlfn.ANCHORARRAY(DATA_CLEANED!$AF$3),CALCULES!I$2,_xlfn.ANCHORARRAY(DATA_CLEANED!$AN$3),CALCULES!$A63)&gt;0,1,0)</f>
        <v>0</v>
      </c>
      <c r="J63" s="112">
        <f>IF(COUNTIFS(_xlfn.ANCHORARRAY(DATA_CLEANED!$AF$3),CALCULES!J$2,_xlfn.ANCHORARRAY(DATA_CLEANED!$AK$3),CALCULES!$A63)+COUNTIFS(_xlfn.ANCHORARRAY(DATA_CLEANED!$AF$3),CALCULES!J$2,_xlfn.ANCHORARRAY(DATA_CLEANED!$AN$3),CALCULES!$A63)&gt;0,1,0)</f>
        <v>0</v>
      </c>
      <c r="K63" s="112">
        <f>IF(COUNTIFS(_xlfn.ANCHORARRAY(DATA_CLEANED!$AF$3),CALCULES!K$2,_xlfn.ANCHORARRAY(DATA_CLEANED!$AK$3),CALCULES!$A63)+COUNTIFS(_xlfn.ANCHORARRAY(DATA_CLEANED!$AF$3),CALCULES!K$2,_xlfn.ANCHORARRAY(DATA_CLEANED!$AN$3),CALCULES!$A63)&gt;0,1,0)</f>
        <v>1</v>
      </c>
      <c r="L63" s="112">
        <f>IF(COUNTIFS(_xlfn.ANCHORARRAY(DATA_CLEANED!$AF$3),CALCULES!L$2,_xlfn.ANCHORARRAY(DATA_CLEANED!$AK$3),CALCULES!$A63)+COUNTIFS(_xlfn.ANCHORARRAY(DATA_CLEANED!$AF$3),CALCULES!L$2,_xlfn.ANCHORARRAY(DATA_CLEANED!$AN$3),CALCULES!$A63)&gt;0,1,0)</f>
        <v>1</v>
      </c>
      <c r="M63" s="112">
        <f>IF(COUNTIFS(_xlfn.ANCHORARRAY(DATA_CLEANED!$AF$3),CALCULES!M$2,_xlfn.ANCHORARRAY(DATA_CLEANED!$AK$3),CALCULES!$A63)+COUNTIFS(_xlfn.ANCHORARRAY(DATA_CLEANED!$AF$3),CALCULES!M$2,_xlfn.ANCHORARRAY(DATA_CLEANED!$AN$3),CALCULES!$A63)&gt;0,1,0)</f>
        <v>1</v>
      </c>
      <c r="N63" s="112">
        <f>IF(COUNTIFS(_xlfn.ANCHORARRAY(DATA_CLEANED!$AF$3),CALCULES!N$2,_xlfn.ANCHORARRAY(DATA_CLEANED!$AK$3),CALCULES!$A63)+COUNTIFS(_xlfn.ANCHORARRAY(DATA_CLEANED!$AF$3),CALCULES!N$2,_xlfn.ANCHORARRAY(DATA_CLEANED!$AN$3),CALCULES!$A63)&gt;0,1,0)</f>
        <v>1</v>
      </c>
      <c r="O63" s="112">
        <f>IF(COUNTIFS(_xlfn.ANCHORARRAY(DATA_CLEANED!$AF$3),CALCULES!O$2,_xlfn.ANCHORARRAY(DATA_CLEANED!$AK$3),CALCULES!$A63)+COUNTIFS(_xlfn.ANCHORARRAY(DATA_CLEANED!$AF$3),CALCULES!O$2,_xlfn.ANCHORARRAY(DATA_CLEANED!$AN$3),CALCULES!$A63)&gt;0,1,0)</f>
        <v>0</v>
      </c>
      <c r="P63" s="112">
        <f>IF(COUNTIFS(_xlfn.ANCHORARRAY(DATA_CLEANED!$AF$3),CALCULES!P$2,_xlfn.ANCHORARRAY(DATA_CLEANED!$AK$3),CALCULES!$A63)+COUNTIFS(_xlfn.ANCHORARRAY(DATA_CLEANED!$AF$3),CALCULES!P$2,_xlfn.ANCHORARRAY(DATA_CLEANED!$AN$3),CALCULES!$A63)&gt;0,1,0)</f>
        <v>0</v>
      </c>
      <c r="Q63" s="112">
        <f>IF(COUNTIFS(_xlfn.ANCHORARRAY(DATA_CLEANED!$AF$3),CALCULES!Q$2,_xlfn.ANCHORARRAY(DATA_CLEANED!$AK$3),CALCULES!$A63)+COUNTIFS(_xlfn.ANCHORARRAY(DATA_CLEANED!$AF$3),CALCULES!Q$2,_xlfn.ANCHORARRAY(DATA_CLEANED!$AN$3),CALCULES!$A63)&gt;0,1,0)</f>
        <v>0</v>
      </c>
      <c r="R63" s="112">
        <f>IF(COUNTIFS(_xlfn.ANCHORARRAY(DATA_CLEANED!$AF$3),CALCULES!R$2,_xlfn.ANCHORARRAY(DATA_CLEANED!$AK$3),CALCULES!$A63)+COUNTIFS(_xlfn.ANCHORARRAY(DATA_CLEANED!$AF$3),CALCULES!R$2,_xlfn.ANCHORARRAY(DATA_CLEANED!$AN$3),CALCULES!$A63)&gt;0,1,0)</f>
        <v>1</v>
      </c>
      <c r="S63" s="112">
        <f>IF(COUNTIFS(_xlfn.ANCHORARRAY(DATA_CLEANED!$AF$3),CALCULES!S$2,_xlfn.ANCHORARRAY(DATA_CLEANED!$AK$3),CALCULES!$A63)+COUNTIFS(_xlfn.ANCHORARRAY(DATA_CLEANED!$AF$3),CALCULES!S$2,_xlfn.ANCHORARRAY(DATA_CLEANED!$AN$3),CALCULES!$A63)&gt;0,1,0)</f>
        <v>1</v>
      </c>
      <c r="T63" s="112">
        <f>IF(COUNTIFS(_xlfn.ANCHORARRAY(DATA_CLEANED!$AF$3),CALCULES!T$2,_xlfn.ANCHORARRAY(DATA_CLEANED!$AK$3),CALCULES!$A63)+COUNTIFS(_xlfn.ANCHORARRAY(DATA_CLEANED!$AF$3),CALCULES!T$2,_xlfn.ANCHORARRAY(DATA_CLEANED!$AN$3),CALCULES!$A63)&gt;0,1,0)</f>
        <v>0</v>
      </c>
      <c r="U63" s="112">
        <f>IF(COUNTIFS(_xlfn.ANCHORARRAY(DATA_CLEANED!$AF$3),CALCULES!U$2,_xlfn.ANCHORARRAY(DATA_CLEANED!$AK$3),CALCULES!$A63)+COUNTIFS(_xlfn.ANCHORARRAY(DATA_CLEANED!$AF$3),CALCULES!U$2,_xlfn.ANCHORARRAY(DATA_CLEANED!$AN$3),CALCULES!$A63)&gt;0,1,0)</f>
        <v>0</v>
      </c>
      <c r="V63" s="112">
        <f>IF(COUNTIFS(_xlfn.ANCHORARRAY(DATA_CLEANED!$AF$3),CALCULES!V$2,_xlfn.ANCHORARRAY(DATA_CLEANED!$AK$3),CALCULES!$A63)+COUNTIFS(_xlfn.ANCHORARRAY(DATA_CLEANED!$AF$3),CALCULES!V$2,_xlfn.ANCHORARRAY(DATA_CLEANED!$AN$3),CALCULES!$A63)&gt;0,1,0)</f>
        <v>1</v>
      </c>
      <c r="W63" s="112">
        <f>IF(COUNTIFS(_xlfn.ANCHORARRAY(DATA_CLEANED!$AF$3),CALCULES!W$2,_xlfn.ANCHORARRAY(DATA_CLEANED!$AK$3),CALCULES!$A63)+COUNTIFS(_xlfn.ANCHORARRAY(DATA_CLEANED!$AF$3),CALCULES!W$2,_xlfn.ANCHORARRAY(DATA_CLEANED!$AN$3),CALCULES!$A63)&gt;0,1,0)</f>
        <v>1</v>
      </c>
      <c r="X63" s="112">
        <f>IF(COUNTIFS(_xlfn.ANCHORARRAY(DATA_CLEANED!$AF$3),CALCULES!X$2,_xlfn.ANCHORARRAY(DATA_CLEANED!$AK$3),CALCULES!$A63)+COUNTIFS(_xlfn.ANCHORARRAY(DATA_CLEANED!$AF$3),CALCULES!X$2,_xlfn.ANCHORARRAY(DATA_CLEANED!$AN$3),CALCULES!$A63)&gt;0,1,0)</f>
        <v>0</v>
      </c>
      <c r="Y63" s="113">
        <f t="shared" si="15"/>
        <v>9</v>
      </c>
      <c r="AA63" s="112">
        <f>COUNTIF(_xlfn.ANCHORARRAY(DATA_CLEANED!$AK$3),$A63)+COUNTIF(DATA_CLEANED!$AN$2:$AN$1060,$A63)</f>
        <v>38</v>
      </c>
      <c r="AB63" s="112">
        <f>COUNTIF(DATA_QUALITE!BG$12:BG$1069,A63)</f>
        <v>17</v>
      </c>
      <c r="AC63" s="112">
        <f t="shared" si="7"/>
        <v>21</v>
      </c>
      <c r="AD63" s="112" cm="1">
        <f t="array" ref="AD63">SUMPRODUCT((DATA_CLEANED!AL$3:AL$1060=DATA_CLEANED!AM$3:AM$1060)*(_xlfn.ANCHORARRAY(DATA_CLEANED!AK$3)=CALCULES!A63)*(DATA_CLEANED!AO$3:AO$1060&lt;&gt;"-"))
+
SUMPRODUCT((DATA_CLEANED!AL$3:AL$1060=DATA_CLEANED!AM$3:AM$1060)*(_xlfn.ANCHORARRAY(DATA_CLEANED!AN$3)=CALCULES!A63)*(DATA_CLEANED!AO$3:AO$1060&lt;&gt;"-"))</f>
        <v>0</v>
      </c>
      <c r="AE63" s="116">
        <f t="shared" si="16"/>
        <v>0.44736842105263158</v>
      </c>
      <c r="AF63" s="116">
        <f t="shared" si="17"/>
        <v>0.55263157894736847</v>
      </c>
      <c r="AG63" s="112">
        <f>SUMIF(_xlfn.ANCHORARRAY(DATA_CLEANED!AK$3),A63,DATA_CLEANED!AL$2:AL$1060)+SUMIF(_xlfn.ANCHORARRAY(DATA_CLEANED!AN$3),A63,DATA_CLEANED!AM$2:AM$1060)</f>
        <v>63</v>
      </c>
      <c r="AH63" s="112">
        <f>SUMIF(_xlfn.ANCHORARRAY(DATA_CLEANED!AK$3),A63,DATA_CLEANED!AM$2:AM$1060)+SUMIF(_xlfn.ANCHORARRAY(DATA_CLEANED!AN$3),A63,DATA_CLEANED!AL$2:AL$1060)</f>
        <v>53</v>
      </c>
      <c r="AI63" s="112">
        <f t="shared" si="8"/>
        <v>1.39</v>
      </c>
      <c r="AJ63" s="117" cm="1">
        <f t="array" ref="AJ63">_xlfn.LET(_xlpm.home,IFERROR(_xlfn._xlws.FILTER(DATA_CLEANED!AH$3:AH$1060,DATA_CLEANED!AK$3:AK$1060=CALCULES!A63),""),
_xlpm.away,IFERROR(_xlfn._xlws.FILTER(DATA_CLEANED!AH$3:AH$1060,DATA_CLEANED!AN$3:AN$1060=CALCULES!A63),""),
_xlpm.assemb_t,_xlfn._xlws.FILTER(_xlfn.VSTACK(_xlpm.home,_xlpm.away),_xlfn.VSTACK(_xlpm.home,_xlpm.away)&lt;&gt;""),
_xlpm.but_h,IFERROR(_xlfn._xlws.FILTER(_xlfn.ANCHORARRAY(DATA_CLEANED!AM$3),DATA_CLEANED!AK$3:AK$1060=CALCULES!A63),""),
_xlpm.but_a,IFERROR(_xlfn._xlws.FILTER(_xlfn.ANCHORARRAY(DATA_CLEANED!AL$3),DATA_CLEANED!AN$3:AN$1060=CALCULES!A63),""),
_xlpm.assemb_b,_xlfn._xlws.FILTER(_xlfn.VSTACK(_xlpm.but_h,_xlpm.but_a),_xlfn.VSTACK(_xlpm.but_h,_xlpm.but_a)&lt;&gt;""),
MEDIAN(_xlpm.assemb_t,_xlpm.assemb_b)
)</f>
        <v>1</v>
      </c>
      <c r="AK63" s="113">
        <f t="shared" si="18"/>
        <v>10</v>
      </c>
      <c r="AL63" s="112" cm="1">
        <f t="array" ref="AL63">IFERROR(MEDIAN(_xlfn._xlws.FILTER(_xlfn.VSTACK(
DATA_CLEANED!AL$3:AL$1060-DATA_CLEANED!AM$3:AM$1060,
DATA_CLEANED!AM$3:AM$1060-DATA_CLEANED!AL$3:AL$1060
),_xlfn.VSTACK(DATA_CLEANED!AK$3:AK$1060,DATA_CLEANED!AN$3:AN$1060)=A63)),"-")</f>
        <v>0</v>
      </c>
      <c r="AM63" s="112">
        <f t="shared" si="9"/>
        <v>1.66</v>
      </c>
      <c r="AN63" s="112" cm="1">
        <f t="array" ref="AN63">_xlfn.LET(_xlpm.home,IFERROR(_xlfn._xlws.FILTER(DATA_CLEANED!AH$3:AH$1060,DATA_CLEANED!AK$3:AK$1060=CALCULES!A63),""),
_xlpm.away,IFERROR(_xlfn._xlws.FILTER(DATA_CLEANED!AH$3:AH$1060,DATA_CLEANED!AN$3:AN$1060=CALCULES!A63),""),
_xlpm.assemb_t,_xlfn._xlws.FILTER(_xlfn.VSTACK(_xlpm.home,_xlpm.away),_xlfn.VSTACK(_xlpm.home,_xlpm.away)&lt;&gt;""),
_xlpm.but_h,IFERROR(_xlfn._xlws.FILTER(_xlfn.ANCHORARRAY(DATA_CLEANED!AL$3),DATA_CLEANED!AK$3:AK$1060=CALCULES!A63),""),
_xlpm.but_a,IFERROR(_xlfn._xlws.FILTER(_xlfn.ANCHORARRAY(DATA_CLEANED!AM$3),DATA_CLEANED!AN$3:AN$1060=CALCULES!A63),""),
_xlpm.assemb_b,_xlfn._xlws.FILTER(_xlfn.VSTACK(_xlpm.but_h,_xlpm.but_a),_xlfn.VSTACK(_xlpm.but_h,_xlpm.but_a)&lt;&gt;""),
MEDIAN(_xlpm.assemb_t,_xlpm.assemb_b)
)</f>
        <v>1</v>
      </c>
      <c r="AO63" s="116">
        <f>ROUND(IFERROR((COUNTIFS(DATA_CLEANED!AK$3:AK$1060,A63,DATA_CLEANED!AM$3:AM$1060,0)
+
COUNTIFS(DATA_CLEANED!AN$3:AN$1060,A63,DATA_CLEANED!AL$3:AL$1060,0)
)/AA63,0),2)</f>
        <v>0.39</v>
      </c>
      <c r="AP63" s="112">
        <f>MAX((_xlfn.MAXIFS(_xlfn.ANCHORARRAY(DATA_CLEANED!AL$3),_xlfn.ANCHORARRAY(DATA_CLEANED!AK$3),A63)),(_xlfn.MAXIFS(DATA_CLEANED!AM$3:AM$1060,_xlfn.ANCHORARRAY(DATA_CLEANED!AN$3),A63)))</f>
        <v>7</v>
      </c>
      <c r="AQ63" s="112">
        <f>COUNTIF(_xlfn.ANCHORARRAY(DATA_CLEANED!K$3),A63)</f>
        <v>0</v>
      </c>
      <c r="AR63" s="113" t="str" cm="1">
        <f t="array" ref="AR63">_xlfn.LET(
_xlpm.home,IFERROR(_xlfn._xlws.FILTER(DATA_CLEANED!AH$3:AH$1060,DATA_CLEANED!AK$3:AK$1060=CALCULES!A63),""),
_xlpm.away,IFERROR(_xlfn._xlws.FILTER(DATA_CLEANED!AH$3:AH$1060,DATA_CLEANED!AN$3:AN$1060=CALCULES!A63),""),
_xlpm.etapes,_xlfn._xlws.FILTER(_xlfn.VSTACK(_xlpm.home,_xlpm.away),_xlfn.VSTACK(_xlpm.home,_xlpm.away)&lt;&gt;""),
_xlpm.numeros,_xlfn.XLOOKUP(_xlpm.etapes,DATA_QUALITE!AT$12:AT$38,DATA_QUALITE!AU$12:AU$38),
_xlfn.XLOOKUP(MIN(_xlpm.numeros),DATA_QUALITE!AU$12:AU$38,DATA_QUALITE!AT$12:AT$38)
)</f>
        <v>THIRD_PLACE</v>
      </c>
      <c r="AS63" s="112">
        <f t="shared" si="19"/>
        <v>9</v>
      </c>
      <c r="AT63" s="112">
        <f t="shared" si="20"/>
        <v>17</v>
      </c>
      <c r="AU63" s="112">
        <f>COUNTIFS(DATA_QUALITE!BG$12:BG$1069,"MATCH NUL",_xlfn.ANCHORARRAY(DATA_CLEANED!AK$3),CALCULES!A63)+COUNTIFS(DATA_QUALITE!BG$12:BG$1069,"MATCH NUL",_xlfn.ANCHORARRAY(DATA_CLEANED!AN$3),CALCULES!A63)</f>
        <v>6</v>
      </c>
      <c r="AV63" s="112">
        <v>63</v>
      </c>
      <c r="AW63" s="112">
        <f>COUNTIFS(_xlfn.ANCHORARRAY(DATA_CLEANED!AH$3),"QUARTER_FINALS",_xlfn.ANCHORARRAY(DATA_CLEANED!AK$3),CALCULES!A63)+COUNTIFS(_xlfn.ANCHORARRAY(DATA_CLEANED!AH$3),"QUARTER_FINALS",_xlfn.ANCHORARRAY(DATA_CLEANED!AN$3),CALCULES!A63)</f>
        <v>0</v>
      </c>
      <c r="AX63" s="112">
        <f>COUNTIFS(_xlfn.ANCHORARRAY(DATA_CLEANED!AH$3),"SEMI_FINALS",_xlfn.ANCHORARRAY(DATA_CLEANED!AK$3),CALCULES!A63)+COUNTIFS(_xlfn.ANCHORARRAY(DATA_CLEANED!AH$3),"SEMI_FINALS",_xlfn.ANCHORARRAY(DATA_CLEANED!AN$3),CALCULES!A63)</f>
        <v>1</v>
      </c>
      <c r="AY63" s="112">
        <f>COUNTIFS(_xlfn.ANCHORARRAY(DATA_CLEANED!AH$3),"FINAL",_xlfn.ANCHORARRAY(DATA_CLEANED!AK$3),CALCULES!A63)+COUNTIFS(_xlfn.ANCHORARRAY(DATA_CLEANED!AH$3),"FINAL",_xlfn.ANCHORARRAY(DATA_CLEANED!AN$3),CALCULES!A63)</f>
        <v>0</v>
      </c>
      <c r="AZ63" s="112">
        <f>COUNTIFS(DATA_QUALITE!BG$12:BG$1069,CALCULES!A63,DATA_QUALITE!AW$12:AW$1069,"FINAL")</f>
        <v>0</v>
      </c>
      <c r="BA63" s="113">
        <f t="shared" si="21"/>
        <v>42.96</v>
      </c>
      <c r="BB63" s="118">
        <f t="shared" si="10"/>
        <v>23.74</v>
      </c>
      <c r="BC63" s="118">
        <f t="shared" si="11"/>
        <v>22.77</v>
      </c>
      <c r="BD63" s="139">
        <f t="shared" si="12"/>
        <v>23.26</v>
      </c>
      <c r="BF63" s="167"/>
      <c r="BG63" s="167"/>
      <c r="BH63" s="167"/>
      <c r="BI63" s="167"/>
      <c r="BJ63" s="167"/>
      <c r="BK63" s="167"/>
      <c r="BL63" s="173">
        <f>INT((ROWS($BL$15:BL63)-1)/9)</f>
        <v>5</v>
      </c>
      <c r="BM63" s="173">
        <f>MOD(ROWS($BM$15:BM63)-1,9)</f>
        <v>3</v>
      </c>
      <c r="BN63" s="173">
        <f t="shared" si="22"/>
        <v>1.3517455520367478E-3</v>
      </c>
      <c r="BO63" s="167"/>
      <c r="BP63" s="167"/>
    </row>
    <row r="64" spans="1:68">
      <c r="A64" s="113" t="str">
        <v>Portugal</v>
      </c>
      <c r="B64" s="112">
        <f>IF(COUNTIFS(_xlfn.ANCHORARRAY(DATA_CLEANED!$AF$3),CALCULES!B$2,_xlfn.ANCHORARRAY(DATA_CLEANED!$AK$3),CALCULES!$A64)+COUNTIFS(_xlfn.ANCHORARRAY(DATA_CLEANED!$AF$3),CALCULES!B$2,_xlfn.ANCHORARRAY(DATA_CLEANED!$AN$3),CALCULES!$A64)&gt;0,1,0)</f>
        <v>0</v>
      </c>
      <c r="C64" s="112">
        <f>IF(COUNTIFS(_xlfn.ANCHORARRAY(DATA_CLEANED!$AF$3),CALCULES!C$2,_xlfn.ANCHORARRAY(DATA_CLEANED!$AK$3),CALCULES!$A64)+COUNTIFS(_xlfn.ANCHORARRAY(DATA_CLEANED!$AF$3),CALCULES!C$2,_xlfn.ANCHORARRAY(DATA_CLEANED!$AN$3),CALCULES!$A64)&gt;0,1,0)</f>
        <v>0</v>
      </c>
      <c r="D64" s="112">
        <f>IF(COUNTIFS(_xlfn.ANCHORARRAY(DATA_CLEANED!$AF$3),CALCULES!D$2,_xlfn.ANCHORARRAY(DATA_CLEANED!$AK$3),CALCULES!$A64)+COUNTIFS(_xlfn.ANCHORARRAY(DATA_CLEANED!$AF$3),CALCULES!D$2,_xlfn.ANCHORARRAY(DATA_CLEANED!$AN$3),CALCULES!$A64)&gt;0,1,0)</f>
        <v>0</v>
      </c>
      <c r="E64" s="112">
        <f>IF(COUNTIFS(_xlfn.ANCHORARRAY(DATA_CLEANED!$AF$3),CALCULES!E$2,_xlfn.ANCHORARRAY(DATA_CLEANED!$AK$3),CALCULES!$A64)+COUNTIFS(_xlfn.ANCHORARRAY(DATA_CLEANED!$AF$3),CALCULES!E$2,_xlfn.ANCHORARRAY(DATA_CLEANED!$AN$3),CALCULES!$A64)&gt;0,1,0)</f>
        <v>0</v>
      </c>
      <c r="F64" s="112">
        <f>IF(COUNTIFS(_xlfn.ANCHORARRAY(DATA_CLEANED!$AF$3),CALCULES!F$2,_xlfn.ANCHORARRAY(DATA_CLEANED!$AK$3),CALCULES!$A64)+COUNTIFS(_xlfn.ANCHORARRAY(DATA_CLEANED!$AF$3),CALCULES!F$2,_xlfn.ANCHORARRAY(DATA_CLEANED!$AN$3),CALCULES!$A64)&gt;0,1,0)</f>
        <v>0</v>
      </c>
      <c r="G64" s="112">
        <f>IF(COUNTIFS(_xlfn.ANCHORARRAY(DATA_CLEANED!$AF$3),CALCULES!G$2,_xlfn.ANCHORARRAY(DATA_CLEANED!$AK$3),CALCULES!$A64)+COUNTIFS(_xlfn.ANCHORARRAY(DATA_CLEANED!$AF$3),CALCULES!G$2,_xlfn.ANCHORARRAY(DATA_CLEANED!$AN$3),CALCULES!$A64)&gt;0,1,0)</f>
        <v>0</v>
      </c>
      <c r="H64" s="112">
        <f>IF(COUNTIFS(_xlfn.ANCHORARRAY(DATA_CLEANED!$AF$3),CALCULES!H$2,_xlfn.ANCHORARRAY(DATA_CLEANED!$AK$3),CALCULES!$A64)+COUNTIFS(_xlfn.ANCHORARRAY(DATA_CLEANED!$AF$3),CALCULES!H$2,_xlfn.ANCHORARRAY(DATA_CLEANED!$AN$3),CALCULES!$A64)&gt;0,1,0)</f>
        <v>0</v>
      </c>
      <c r="I64" s="112">
        <f>IF(COUNTIFS(_xlfn.ANCHORARRAY(DATA_CLEANED!$AF$3),CALCULES!I$2,_xlfn.ANCHORARRAY(DATA_CLEANED!$AK$3),CALCULES!$A64)+COUNTIFS(_xlfn.ANCHORARRAY(DATA_CLEANED!$AF$3),CALCULES!I$2,_xlfn.ANCHORARRAY(DATA_CLEANED!$AN$3),CALCULES!$A64)&gt;0,1,0)</f>
        <v>1</v>
      </c>
      <c r="J64" s="112">
        <f>IF(COUNTIFS(_xlfn.ANCHORARRAY(DATA_CLEANED!$AF$3),CALCULES!J$2,_xlfn.ANCHORARRAY(DATA_CLEANED!$AK$3),CALCULES!$A64)+COUNTIFS(_xlfn.ANCHORARRAY(DATA_CLEANED!$AF$3),CALCULES!J$2,_xlfn.ANCHORARRAY(DATA_CLEANED!$AN$3),CALCULES!$A64)&gt;0,1,0)</f>
        <v>0</v>
      </c>
      <c r="K64" s="112">
        <f>IF(COUNTIFS(_xlfn.ANCHORARRAY(DATA_CLEANED!$AF$3),CALCULES!K$2,_xlfn.ANCHORARRAY(DATA_CLEANED!$AK$3),CALCULES!$A64)+COUNTIFS(_xlfn.ANCHORARRAY(DATA_CLEANED!$AF$3),CALCULES!K$2,_xlfn.ANCHORARRAY(DATA_CLEANED!$AN$3),CALCULES!$A64)&gt;0,1,0)</f>
        <v>0</v>
      </c>
      <c r="L64" s="112">
        <f>IF(COUNTIFS(_xlfn.ANCHORARRAY(DATA_CLEANED!$AF$3),CALCULES!L$2,_xlfn.ANCHORARRAY(DATA_CLEANED!$AK$3),CALCULES!$A64)+COUNTIFS(_xlfn.ANCHORARRAY(DATA_CLEANED!$AF$3),CALCULES!L$2,_xlfn.ANCHORARRAY(DATA_CLEANED!$AN$3),CALCULES!$A64)&gt;0,1,0)</f>
        <v>0</v>
      </c>
      <c r="M64" s="112">
        <f>IF(COUNTIFS(_xlfn.ANCHORARRAY(DATA_CLEANED!$AF$3),CALCULES!M$2,_xlfn.ANCHORARRAY(DATA_CLEANED!$AK$3),CALCULES!$A64)+COUNTIFS(_xlfn.ANCHORARRAY(DATA_CLEANED!$AF$3),CALCULES!M$2,_xlfn.ANCHORARRAY(DATA_CLEANED!$AN$3),CALCULES!$A64)&gt;0,1,0)</f>
        <v>0</v>
      </c>
      <c r="N64" s="112">
        <f>IF(COUNTIFS(_xlfn.ANCHORARRAY(DATA_CLEANED!$AF$3),CALCULES!N$2,_xlfn.ANCHORARRAY(DATA_CLEANED!$AK$3),CALCULES!$A64)+COUNTIFS(_xlfn.ANCHORARRAY(DATA_CLEANED!$AF$3),CALCULES!N$2,_xlfn.ANCHORARRAY(DATA_CLEANED!$AN$3),CALCULES!$A64)&gt;0,1,0)</f>
        <v>1</v>
      </c>
      <c r="O64" s="112">
        <f>IF(COUNTIFS(_xlfn.ANCHORARRAY(DATA_CLEANED!$AF$3),CALCULES!O$2,_xlfn.ANCHORARRAY(DATA_CLEANED!$AK$3),CALCULES!$A64)+COUNTIFS(_xlfn.ANCHORARRAY(DATA_CLEANED!$AF$3),CALCULES!O$2,_xlfn.ANCHORARRAY(DATA_CLEANED!$AN$3),CALCULES!$A64)&gt;0,1,0)</f>
        <v>0</v>
      </c>
      <c r="P64" s="112">
        <f>IF(COUNTIFS(_xlfn.ANCHORARRAY(DATA_CLEANED!$AF$3),CALCULES!P$2,_xlfn.ANCHORARRAY(DATA_CLEANED!$AK$3),CALCULES!$A64)+COUNTIFS(_xlfn.ANCHORARRAY(DATA_CLEANED!$AF$3),CALCULES!P$2,_xlfn.ANCHORARRAY(DATA_CLEANED!$AN$3),CALCULES!$A64)&gt;0,1,0)</f>
        <v>0</v>
      </c>
      <c r="Q64" s="112">
        <f>IF(COUNTIFS(_xlfn.ANCHORARRAY(DATA_CLEANED!$AF$3),CALCULES!Q$2,_xlfn.ANCHORARRAY(DATA_CLEANED!$AK$3),CALCULES!$A64)+COUNTIFS(_xlfn.ANCHORARRAY(DATA_CLEANED!$AF$3),CALCULES!Q$2,_xlfn.ANCHORARRAY(DATA_CLEANED!$AN$3),CALCULES!$A64)&gt;0,1,0)</f>
        <v>0</v>
      </c>
      <c r="R64" s="112">
        <f>IF(COUNTIFS(_xlfn.ANCHORARRAY(DATA_CLEANED!$AF$3),CALCULES!R$2,_xlfn.ANCHORARRAY(DATA_CLEANED!$AK$3),CALCULES!$A64)+COUNTIFS(_xlfn.ANCHORARRAY(DATA_CLEANED!$AF$3),CALCULES!R$2,_xlfn.ANCHORARRAY(DATA_CLEANED!$AN$3),CALCULES!$A64)&gt;0,1,0)</f>
        <v>1</v>
      </c>
      <c r="S64" s="112">
        <f>IF(COUNTIFS(_xlfn.ANCHORARRAY(DATA_CLEANED!$AF$3),CALCULES!S$2,_xlfn.ANCHORARRAY(DATA_CLEANED!$AK$3),CALCULES!$A64)+COUNTIFS(_xlfn.ANCHORARRAY(DATA_CLEANED!$AF$3),CALCULES!S$2,_xlfn.ANCHORARRAY(DATA_CLEANED!$AN$3),CALCULES!$A64)&gt;0,1,0)</f>
        <v>1</v>
      </c>
      <c r="T64" s="112">
        <f>IF(COUNTIFS(_xlfn.ANCHORARRAY(DATA_CLEANED!$AF$3),CALCULES!T$2,_xlfn.ANCHORARRAY(DATA_CLEANED!$AK$3),CALCULES!$A64)+COUNTIFS(_xlfn.ANCHORARRAY(DATA_CLEANED!$AF$3),CALCULES!T$2,_xlfn.ANCHORARRAY(DATA_CLEANED!$AN$3),CALCULES!$A64)&gt;0,1,0)</f>
        <v>1</v>
      </c>
      <c r="U64" s="112">
        <f>IF(COUNTIFS(_xlfn.ANCHORARRAY(DATA_CLEANED!$AF$3),CALCULES!U$2,_xlfn.ANCHORARRAY(DATA_CLEANED!$AK$3),CALCULES!$A64)+COUNTIFS(_xlfn.ANCHORARRAY(DATA_CLEANED!$AF$3),CALCULES!U$2,_xlfn.ANCHORARRAY(DATA_CLEANED!$AN$3),CALCULES!$A64)&gt;0,1,0)</f>
        <v>1</v>
      </c>
      <c r="V64" s="112">
        <f>IF(COUNTIFS(_xlfn.ANCHORARRAY(DATA_CLEANED!$AF$3),CALCULES!V$2,_xlfn.ANCHORARRAY(DATA_CLEANED!$AK$3),CALCULES!$A64)+COUNTIFS(_xlfn.ANCHORARRAY(DATA_CLEANED!$AF$3),CALCULES!V$2,_xlfn.ANCHORARRAY(DATA_CLEANED!$AN$3),CALCULES!$A64)&gt;0,1,0)</f>
        <v>1</v>
      </c>
      <c r="W64" s="112">
        <f>IF(COUNTIFS(_xlfn.ANCHORARRAY(DATA_CLEANED!$AF$3),CALCULES!W$2,_xlfn.ANCHORARRAY(DATA_CLEANED!$AK$3),CALCULES!$A64)+COUNTIFS(_xlfn.ANCHORARRAY(DATA_CLEANED!$AF$3),CALCULES!W$2,_xlfn.ANCHORARRAY(DATA_CLEANED!$AN$3),CALCULES!$A64)&gt;0,1,0)</f>
        <v>1</v>
      </c>
      <c r="X64" s="112">
        <f>IF(COUNTIFS(_xlfn.ANCHORARRAY(DATA_CLEANED!$AF$3),CALCULES!X$2,_xlfn.ANCHORARRAY(DATA_CLEANED!$AK$3),CALCULES!$A64)+COUNTIFS(_xlfn.ANCHORARRAY(DATA_CLEANED!$AF$3),CALCULES!X$2,_xlfn.ANCHORARRAY(DATA_CLEANED!$AN$3),CALCULES!$A64)&gt;0,1,0)</f>
        <v>1</v>
      </c>
      <c r="Y64" s="113">
        <f t="shared" si="15"/>
        <v>9</v>
      </c>
      <c r="AA64" s="112">
        <f>COUNTIF(_xlfn.ANCHORARRAY(DATA_CLEANED!$AK$3),$A64)+COUNTIF(DATA_CLEANED!$AN$2:$AN$1060,$A64)</f>
        <v>38</v>
      </c>
      <c r="AB64" s="112">
        <f>COUNTIF(DATA_QUALITE!BG$12:BG$1069,A64)</f>
        <v>19</v>
      </c>
      <c r="AC64" s="112">
        <f t="shared" si="7"/>
        <v>18</v>
      </c>
      <c r="AD64" s="112" cm="1">
        <f t="array" ref="AD64">SUMPRODUCT((DATA_CLEANED!AL$3:AL$1060=DATA_CLEANED!AM$3:AM$1060)*(_xlfn.ANCHORARRAY(DATA_CLEANED!AK$3)=CALCULES!A64)*(DATA_CLEANED!AO$3:AO$1060&lt;&gt;"-"))
+
SUMPRODUCT((DATA_CLEANED!AL$3:AL$1060=DATA_CLEANED!AM$3:AM$1060)*(_xlfn.ANCHORARRAY(DATA_CLEANED!AN$3)=CALCULES!A64)*(DATA_CLEANED!AO$3:AO$1060&lt;&gt;"-"))</f>
        <v>1</v>
      </c>
      <c r="AE64" s="116">
        <f t="shared" si="16"/>
        <v>0.5</v>
      </c>
      <c r="AF64" s="116">
        <f t="shared" si="17"/>
        <v>0.47368421052631576</v>
      </c>
      <c r="AG64" s="112">
        <f>SUMIF(_xlfn.ANCHORARRAY(DATA_CLEANED!AK$3),A64,DATA_CLEANED!AL$2:AL$1060)+SUMIF(_xlfn.ANCHORARRAY(DATA_CLEANED!AN$3),A64,DATA_CLEANED!AM$2:AM$1060)</f>
        <v>46</v>
      </c>
      <c r="AH64" s="112">
        <f>SUMIF(_xlfn.ANCHORARRAY(DATA_CLEANED!AK$3),A64,DATA_CLEANED!AM$2:AM$1060)+SUMIF(_xlfn.ANCHORARRAY(DATA_CLEANED!AN$3),A64,DATA_CLEANED!AL$2:AL$1060)</f>
        <v>47</v>
      </c>
      <c r="AI64" s="112">
        <f t="shared" si="8"/>
        <v>1.24</v>
      </c>
      <c r="AJ64" s="117" cm="1">
        <f t="array" ref="AJ64">_xlfn.LET(_xlpm.home,IFERROR(_xlfn._xlws.FILTER(DATA_CLEANED!AH$3:AH$1060,DATA_CLEANED!AK$3:AK$1060=CALCULES!A64),""),
_xlpm.away,IFERROR(_xlfn._xlws.FILTER(DATA_CLEANED!AH$3:AH$1060,DATA_CLEANED!AN$3:AN$1060=CALCULES!A64),""),
_xlpm.assemb_t,_xlfn._xlws.FILTER(_xlfn.VSTACK(_xlpm.home,_xlpm.away),_xlfn.VSTACK(_xlpm.home,_xlpm.away)&lt;&gt;""),
_xlpm.but_h,IFERROR(_xlfn._xlws.FILTER(_xlfn.ANCHORARRAY(DATA_CLEANED!AM$3),DATA_CLEANED!AK$3:AK$1060=CALCULES!A64),""),
_xlpm.but_a,IFERROR(_xlfn._xlws.FILTER(_xlfn.ANCHORARRAY(DATA_CLEANED!AL$3),DATA_CLEANED!AN$3:AN$1060=CALCULES!A64),""),
_xlpm.assemb_b,_xlfn._xlws.FILTER(_xlfn.VSTACK(_xlpm.but_h,_xlpm.but_a),_xlfn.VSTACK(_xlpm.but_h,_xlpm.but_a)&lt;&gt;""),
MEDIAN(_xlpm.assemb_t,_xlpm.assemb_b)
)</f>
        <v>1</v>
      </c>
      <c r="AK64" s="113">
        <f t="shared" si="18"/>
        <v>-1</v>
      </c>
      <c r="AL64" s="112" cm="1">
        <f t="array" ref="AL64">IFERROR(MEDIAN(_xlfn._xlws.FILTER(_xlfn.VSTACK(
DATA_CLEANED!AL$3:AL$1060-DATA_CLEANED!AM$3:AM$1060,
DATA_CLEANED!AM$3:AM$1060-DATA_CLEANED!AL$3:AL$1060
),_xlfn.VSTACK(DATA_CLEANED!AK$3:AK$1060,DATA_CLEANED!AN$3:AN$1060)=A64)),"-")</f>
        <v>0</v>
      </c>
      <c r="AM64" s="112">
        <f t="shared" si="9"/>
        <v>1.21</v>
      </c>
      <c r="AN64" s="112" cm="1">
        <f t="array" ref="AN64">_xlfn.LET(_xlpm.home,IFERROR(_xlfn._xlws.FILTER(DATA_CLEANED!AH$3:AH$1060,DATA_CLEANED!AK$3:AK$1060=CALCULES!A64),""),
_xlpm.away,IFERROR(_xlfn._xlws.FILTER(DATA_CLEANED!AH$3:AH$1060,DATA_CLEANED!AN$3:AN$1060=CALCULES!A64),""),
_xlpm.assemb_t,_xlfn._xlws.FILTER(_xlfn.VSTACK(_xlpm.home,_xlpm.away),_xlfn.VSTACK(_xlpm.home,_xlpm.away)&lt;&gt;""),
_xlpm.but_h,IFERROR(_xlfn._xlws.FILTER(_xlfn.ANCHORARRAY(DATA_CLEANED!AL$3),DATA_CLEANED!AK$3:AK$1060=CALCULES!A64),""),
_xlpm.but_a,IFERROR(_xlfn._xlws.FILTER(_xlfn.ANCHORARRAY(DATA_CLEANED!AM$3),DATA_CLEANED!AN$3:AN$1060=CALCULES!A64),""),
_xlpm.assemb_b,_xlfn._xlws.FILTER(_xlfn.VSTACK(_xlpm.but_h,_xlpm.but_a),_xlfn.VSTACK(_xlpm.but_h,_xlpm.but_a)&lt;&gt;""),
MEDIAN(_xlpm.assemb_t,_xlpm.assemb_b)
)</f>
        <v>1</v>
      </c>
      <c r="AO64" s="116">
        <f>ROUND(IFERROR((COUNTIFS(DATA_CLEANED!AK$3:AK$1060,A64,DATA_CLEANED!AM$3:AM$1060,0)
+
COUNTIFS(DATA_CLEANED!AN$3:AN$1060,A64,DATA_CLEANED!AL$3:AL$1060,0)
)/AA64,0),2)</f>
        <v>0.32</v>
      </c>
      <c r="AP64" s="112">
        <f>MAX((_xlfn.MAXIFS(_xlfn.ANCHORARRAY(DATA_CLEANED!AL$3),_xlfn.ANCHORARRAY(DATA_CLEANED!AK$3),A64)),(_xlfn.MAXIFS(DATA_CLEANED!AM$3:AM$1060,_xlfn.ANCHORARRAY(DATA_CLEANED!AN$3),A64)))</f>
        <v>7</v>
      </c>
      <c r="AQ64" s="112">
        <f>COUNTIF(_xlfn.ANCHORARRAY(DATA_CLEANED!K$3),A64)</f>
        <v>5</v>
      </c>
      <c r="AR64" s="113" t="str" cm="1">
        <f t="array" ref="AR64">_xlfn.LET(
_xlpm.home,IFERROR(_xlfn._xlws.FILTER(DATA_CLEANED!AH$3:AH$1060,DATA_CLEANED!AK$3:AK$1060=CALCULES!A64),""),
_xlpm.away,IFERROR(_xlfn._xlws.FILTER(DATA_CLEANED!AH$3:AH$1060,DATA_CLEANED!AN$3:AN$1060=CALCULES!A64),""),
_xlpm.etapes,_xlfn._xlws.FILTER(_xlfn.VSTACK(_xlpm.home,_xlpm.away),_xlfn.VSTACK(_xlpm.home,_xlpm.away)&lt;&gt;""),
_xlpm.numeros,_xlfn.XLOOKUP(_xlpm.etapes,DATA_QUALITE!AT$12:AT$38,DATA_QUALITE!AU$12:AU$38),
_xlfn.XLOOKUP(MIN(_xlpm.numeros),DATA_QUALITE!AU$12:AU$38,DATA_QUALITE!AT$12:AT$38)
)</f>
        <v>THIRD_PLACE</v>
      </c>
      <c r="AS64" s="112">
        <f t="shared" si="19"/>
        <v>9</v>
      </c>
      <c r="AT64" s="112">
        <f t="shared" si="20"/>
        <v>19</v>
      </c>
      <c r="AU64" s="112">
        <f>COUNTIFS(DATA_QUALITE!BG$12:BG$1069,"MATCH NUL",_xlfn.ANCHORARRAY(DATA_CLEANED!AK$3),CALCULES!A64)+COUNTIFS(DATA_QUALITE!BG$12:BG$1069,"MATCH NUL",_xlfn.ANCHORARRAY(DATA_CLEANED!AN$3),CALCULES!A64)</f>
        <v>6</v>
      </c>
      <c r="AV64" s="112">
        <v>46</v>
      </c>
      <c r="AW64" s="112">
        <f>COUNTIFS(_xlfn.ANCHORARRAY(DATA_CLEANED!AH$3),"QUARTER_FINALS",_xlfn.ANCHORARRAY(DATA_CLEANED!AK$3),CALCULES!A64)+COUNTIFS(_xlfn.ANCHORARRAY(DATA_CLEANED!AH$3),"QUARTER_FINALS",_xlfn.ANCHORARRAY(DATA_CLEANED!AN$3),CALCULES!A64)</f>
        <v>3</v>
      </c>
      <c r="AX64" s="112">
        <f>COUNTIFS(_xlfn.ANCHORARRAY(DATA_CLEANED!AH$3),"SEMI_FINALS",_xlfn.ANCHORARRAY(DATA_CLEANED!AK$3),CALCULES!A64)+COUNTIFS(_xlfn.ANCHORARRAY(DATA_CLEANED!AH$3),"SEMI_FINALS",_xlfn.ANCHORARRAY(DATA_CLEANED!AN$3),CALCULES!A64)</f>
        <v>2</v>
      </c>
      <c r="AY64" s="112">
        <f>COUNTIFS(_xlfn.ANCHORARRAY(DATA_CLEANED!AH$3),"FINAL",_xlfn.ANCHORARRAY(DATA_CLEANED!AK$3),CALCULES!A64)+COUNTIFS(_xlfn.ANCHORARRAY(DATA_CLEANED!AH$3),"FINAL",_xlfn.ANCHORARRAY(DATA_CLEANED!AN$3),CALCULES!A64)</f>
        <v>0</v>
      </c>
      <c r="AZ64" s="112">
        <f>COUNTIFS(DATA_QUALITE!BG$12:BG$1069,CALCULES!A64,DATA_QUALITE!AW$12:AW$1069,"FINAL")</f>
        <v>0</v>
      </c>
      <c r="BA64" s="113">
        <f t="shared" si="21"/>
        <v>37.83</v>
      </c>
      <c r="BB64" s="118">
        <f t="shared" si="10"/>
        <v>21.28</v>
      </c>
      <c r="BC64" s="118">
        <f t="shared" si="11"/>
        <v>24.84</v>
      </c>
      <c r="BD64" s="139">
        <f t="shared" si="12"/>
        <v>23.06</v>
      </c>
      <c r="BF64" s="167"/>
      <c r="BG64" s="167"/>
      <c r="BH64" s="167"/>
      <c r="BI64" s="167"/>
      <c r="BJ64" s="167"/>
      <c r="BK64" s="167"/>
      <c r="BL64" s="173">
        <f>INT((ROWS($BL$15:BL64)-1)/9)</f>
        <v>5</v>
      </c>
      <c r="BM64" s="173">
        <f>MOD(ROWS($BM$15:BM64)-1,9)</f>
        <v>4</v>
      </c>
      <c r="BN64" s="173">
        <f t="shared" si="22"/>
        <v>3.7846688915470054E-4</v>
      </c>
      <c r="BO64" s="167"/>
      <c r="BP64" s="167"/>
    </row>
    <row r="65" spans="1:68">
      <c r="A65" s="113" t="str">
        <v>Qatar</v>
      </c>
      <c r="B65" s="112">
        <f>IF(COUNTIFS(_xlfn.ANCHORARRAY(DATA_CLEANED!$AF$3),CALCULES!B$2,_xlfn.ANCHORARRAY(DATA_CLEANED!$AK$3),CALCULES!$A65)+COUNTIFS(_xlfn.ANCHORARRAY(DATA_CLEANED!$AF$3),CALCULES!B$2,_xlfn.ANCHORARRAY(DATA_CLEANED!$AN$3),CALCULES!$A65)&gt;0,1,0)</f>
        <v>0</v>
      </c>
      <c r="C65" s="112">
        <f>IF(COUNTIFS(_xlfn.ANCHORARRAY(DATA_CLEANED!$AF$3),CALCULES!C$2,_xlfn.ANCHORARRAY(DATA_CLEANED!$AK$3),CALCULES!$A65)+COUNTIFS(_xlfn.ANCHORARRAY(DATA_CLEANED!$AF$3),CALCULES!C$2,_xlfn.ANCHORARRAY(DATA_CLEANED!$AN$3),CALCULES!$A65)&gt;0,1,0)</f>
        <v>0</v>
      </c>
      <c r="D65" s="112">
        <f>IF(COUNTIFS(_xlfn.ANCHORARRAY(DATA_CLEANED!$AF$3),CALCULES!D$2,_xlfn.ANCHORARRAY(DATA_CLEANED!$AK$3),CALCULES!$A65)+COUNTIFS(_xlfn.ANCHORARRAY(DATA_CLEANED!$AF$3),CALCULES!D$2,_xlfn.ANCHORARRAY(DATA_CLEANED!$AN$3),CALCULES!$A65)&gt;0,1,0)</f>
        <v>0</v>
      </c>
      <c r="E65" s="112">
        <f>IF(COUNTIFS(_xlfn.ANCHORARRAY(DATA_CLEANED!$AF$3),CALCULES!E$2,_xlfn.ANCHORARRAY(DATA_CLEANED!$AK$3),CALCULES!$A65)+COUNTIFS(_xlfn.ANCHORARRAY(DATA_CLEANED!$AF$3),CALCULES!E$2,_xlfn.ANCHORARRAY(DATA_CLEANED!$AN$3),CALCULES!$A65)&gt;0,1,0)</f>
        <v>0</v>
      </c>
      <c r="F65" s="112">
        <f>IF(COUNTIFS(_xlfn.ANCHORARRAY(DATA_CLEANED!$AF$3),CALCULES!F$2,_xlfn.ANCHORARRAY(DATA_CLEANED!$AK$3),CALCULES!$A65)+COUNTIFS(_xlfn.ANCHORARRAY(DATA_CLEANED!$AF$3),CALCULES!F$2,_xlfn.ANCHORARRAY(DATA_CLEANED!$AN$3),CALCULES!$A65)&gt;0,1,0)</f>
        <v>0</v>
      </c>
      <c r="G65" s="112">
        <f>IF(COUNTIFS(_xlfn.ANCHORARRAY(DATA_CLEANED!$AF$3),CALCULES!G$2,_xlfn.ANCHORARRAY(DATA_CLEANED!$AK$3),CALCULES!$A65)+COUNTIFS(_xlfn.ANCHORARRAY(DATA_CLEANED!$AF$3),CALCULES!G$2,_xlfn.ANCHORARRAY(DATA_CLEANED!$AN$3),CALCULES!$A65)&gt;0,1,0)</f>
        <v>0</v>
      </c>
      <c r="H65" s="112">
        <f>IF(COUNTIFS(_xlfn.ANCHORARRAY(DATA_CLEANED!$AF$3),CALCULES!H$2,_xlfn.ANCHORARRAY(DATA_CLEANED!$AK$3),CALCULES!$A65)+COUNTIFS(_xlfn.ANCHORARRAY(DATA_CLEANED!$AF$3),CALCULES!H$2,_xlfn.ANCHORARRAY(DATA_CLEANED!$AN$3),CALCULES!$A65)&gt;0,1,0)</f>
        <v>0</v>
      </c>
      <c r="I65" s="112">
        <f>IF(COUNTIFS(_xlfn.ANCHORARRAY(DATA_CLEANED!$AF$3),CALCULES!I$2,_xlfn.ANCHORARRAY(DATA_CLEANED!$AK$3),CALCULES!$A65)+COUNTIFS(_xlfn.ANCHORARRAY(DATA_CLEANED!$AF$3),CALCULES!I$2,_xlfn.ANCHORARRAY(DATA_CLEANED!$AN$3),CALCULES!$A65)&gt;0,1,0)</f>
        <v>0</v>
      </c>
      <c r="J65" s="112">
        <f>IF(COUNTIFS(_xlfn.ANCHORARRAY(DATA_CLEANED!$AF$3),CALCULES!J$2,_xlfn.ANCHORARRAY(DATA_CLEANED!$AK$3),CALCULES!$A65)+COUNTIFS(_xlfn.ANCHORARRAY(DATA_CLEANED!$AF$3),CALCULES!J$2,_xlfn.ANCHORARRAY(DATA_CLEANED!$AN$3),CALCULES!$A65)&gt;0,1,0)</f>
        <v>0</v>
      </c>
      <c r="K65" s="112">
        <f>IF(COUNTIFS(_xlfn.ANCHORARRAY(DATA_CLEANED!$AF$3),CALCULES!K$2,_xlfn.ANCHORARRAY(DATA_CLEANED!$AK$3),CALCULES!$A65)+COUNTIFS(_xlfn.ANCHORARRAY(DATA_CLEANED!$AF$3),CALCULES!K$2,_xlfn.ANCHORARRAY(DATA_CLEANED!$AN$3),CALCULES!$A65)&gt;0,1,0)</f>
        <v>0</v>
      </c>
      <c r="L65" s="112">
        <f>IF(COUNTIFS(_xlfn.ANCHORARRAY(DATA_CLEANED!$AF$3),CALCULES!L$2,_xlfn.ANCHORARRAY(DATA_CLEANED!$AK$3),CALCULES!$A65)+COUNTIFS(_xlfn.ANCHORARRAY(DATA_CLEANED!$AF$3),CALCULES!L$2,_xlfn.ANCHORARRAY(DATA_CLEANED!$AN$3),CALCULES!$A65)&gt;0,1,0)</f>
        <v>0</v>
      </c>
      <c r="M65" s="112">
        <f>IF(COUNTIFS(_xlfn.ANCHORARRAY(DATA_CLEANED!$AF$3),CALCULES!M$2,_xlfn.ANCHORARRAY(DATA_CLEANED!$AK$3),CALCULES!$A65)+COUNTIFS(_xlfn.ANCHORARRAY(DATA_CLEANED!$AF$3),CALCULES!M$2,_xlfn.ANCHORARRAY(DATA_CLEANED!$AN$3),CALCULES!$A65)&gt;0,1,0)</f>
        <v>0</v>
      </c>
      <c r="N65" s="112">
        <f>IF(COUNTIFS(_xlfn.ANCHORARRAY(DATA_CLEANED!$AF$3),CALCULES!N$2,_xlfn.ANCHORARRAY(DATA_CLEANED!$AK$3),CALCULES!$A65)+COUNTIFS(_xlfn.ANCHORARRAY(DATA_CLEANED!$AF$3),CALCULES!N$2,_xlfn.ANCHORARRAY(DATA_CLEANED!$AN$3),CALCULES!$A65)&gt;0,1,0)</f>
        <v>0</v>
      </c>
      <c r="O65" s="112">
        <f>IF(COUNTIFS(_xlfn.ANCHORARRAY(DATA_CLEANED!$AF$3),CALCULES!O$2,_xlfn.ANCHORARRAY(DATA_CLEANED!$AK$3),CALCULES!$A65)+COUNTIFS(_xlfn.ANCHORARRAY(DATA_CLEANED!$AF$3),CALCULES!O$2,_xlfn.ANCHORARRAY(DATA_CLEANED!$AN$3),CALCULES!$A65)&gt;0,1,0)</f>
        <v>0</v>
      </c>
      <c r="P65" s="112">
        <f>IF(COUNTIFS(_xlfn.ANCHORARRAY(DATA_CLEANED!$AF$3),CALCULES!P$2,_xlfn.ANCHORARRAY(DATA_CLEANED!$AK$3),CALCULES!$A65)+COUNTIFS(_xlfn.ANCHORARRAY(DATA_CLEANED!$AF$3),CALCULES!P$2,_xlfn.ANCHORARRAY(DATA_CLEANED!$AN$3),CALCULES!$A65)&gt;0,1,0)</f>
        <v>0</v>
      </c>
      <c r="Q65" s="112">
        <f>IF(COUNTIFS(_xlfn.ANCHORARRAY(DATA_CLEANED!$AF$3),CALCULES!Q$2,_xlfn.ANCHORARRAY(DATA_CLEANED!$AK$3),CALCULES!$A65)+COUNTIFS(_xlfn.ANCHORARRAY(DATA_CLEANED!$AF$3),CALCULES!Q$2,_xlfn.ANCHORARRAY(DATA_CLEANED!$AN$3),CALCULES!$A65)&gt;0,1,0)</f>
        <v>0</v>
      </c>
      <c r="R65" s="112">
        <f>IF(COUNTIFS(_xlfn.ANCHORARRAY(DATA_CLEANED!$AF$3),CALCULES!R$2,_xlfn.ANCHORARRAY(DATA_CLEANED!$AK$3),CALCULES!$A65)+COUNTIFS(_xlfn.ANCHORARRAY(DATA_CLEANED!$AF$3),CALCULES!R$2,_xlfn.ANCHORARRAY(DATA_CLEANED!$AN$3),CALCULES!$A65)&gt;0,1,0)</f>
        <v>0</v>
      </c>
      <c r="S65" s="112">
        <f>IF(COUNTIFS(_xlfn.ANCHORARRAY(DATA_CLEANED!$AF$3),CALCULES!S$2,_xlfn.ANCHORARRAY(DATA_CLEANED!$AK$3),CALCULES!$A65)+COUNTIFS(_xlfn.ANCHORARRAY(DATA_CLEANED!$AF$3),CALCULES!S$2,_xlfn.ANCHORARRAY(DATA_CLEANED!$AN$3),CALCULES!$A65)&gt;0,1,0)</f>
        <v>0</v>
      </c>
      <c r="T65" s="112">
        <f>IF(COUNTIFS(_xlfn.ANCHORARRAY(DATA_CLEANED!$AF$3),CALCULES!T$2,_xlfn.ANCHORARRAY(DATA_CLEANED!$AK$3),CALCULES!$A65)+COUNTIFS(_xlfn.ANCHORARRAY(DATA_CLEANED!$AF$3),CALCULES!T$2,_xlfn.ANCHORARRAY(DATA_CLEANED!$AN$3),CALCULES!$A65)&gt;0,1,0)</f>
        <v>0</v>
      </c>
      <c r="U65" s="112">
        <f>IF(COUNTIFS(_xlfn.ANCHORARRAY(DATA_CLEANED!$AF$3),CALCULES!U$2,_xlfn.ANCHORARRAY(DATA_CLEANED!$AK$3),CALCULES!$A65)+COUNTIFS(_xlfn.ANCHORARRAY(DATA_CLEANED!$AF$3),CALCULES!U$2,_xlfn.ANCHORARRAY(DATA_CLEANED!$AN$3),CALCULES!$A65)&gt;0,1,0)</f>
        <v>0</v>
      </c>
      <c r="V65" s="112">
        <f>IF(COUNTIFS(_xlfn.ANCHORARRAY(DATA_CLEANED!$AF$3),CALCULES!V$2,_xlfn.ANCHORARRAY(DATA_CLEANED!$AK$3),CALCULES!$A65)+COUNTIFS(_xlfn.ANCHORARRAY(DATA_CLEANED!$AF$3),CALCULES!V$2,_xlfn.ANCHORARRAY(DATA_CLEANED!$AN$3),CALCULES!$A65)&gt;0,1,0)</f>
        <v>0</v>
      </c>
      <c r="W65" s="112">
        <f>IF(COUNTIFS(_xlfn.ANCHORARRAY(DATA_CLEANED!$AF$3),CALCULES!W$2,_xlfn.ANCHORARRAY(DATA_CLEANED!$AK$3),CALCULES!$A65)+COUNTIFS(_xlfn.ANCHORARRAY(DATA_CLEANED!$AF$3),CALCULES!W$2,_xlfn.ANCHORARRAY(DATA_CLEANED!$AN$3),CALCULES!$A65)&gt;0,1,0)</f>
        <v>1</v>
      </c>
      <c r="X65" s="112">
        <f>IF(COUNTIFS(_xlfn.ANCHORARRAY(DATA_CLEANED!$AF$3),CALCULES!X$2,_xlfn.ANCHORARRAY(DATA_CLEANED!$AK$3),CALCULES!$A65)+COUNTIFS(_xlfn.ANCHORARRAY(DATA_CLEANED!$AF$3),CALCULES!X$2,_xlfn.ANCHORARRAY(DATA_CLEANED!$AN$3),CALCULES!$A65)&gt;0,1,0)</f>
        <v>1</v>
      </c>
      <c r="Y65" s="113">
        <f t="shared" si="15"/>
        <v>2</v>
      </c>
      <c r="AA65" s="112">
        <f>COUNTIF(_xlfn.ANCHORARRAY(DATA_CLEANED!$AK$3),$A65)+COUNTIF(DATA_CLEANED!$AN$2:$AN$1060,$A65)</f>
        <v>6</v>
      </c>
      <c r="AB65" s="112">
        <f>COUNTIF(DATA_QUALITE!BG$12:BG$1069,A65)</f>
        <v>0</v>
      </c>
      <c r="AC65" s="112">
        <f t="shared" si="7"/>
        <v>6</v>
      </c>
      <c r="AD65" s="112" cm="1">
        <f t="array" ref="AD65">SUMPRODUCT((DATA_CLEANED!AL$3:AL$1060=DATA_CLEANED!AM$3:AM$1060)*(_xlfn.ANCHORARRAY(DATA_CLEANED!AK$3)=CALCULES!A65)*(DATA_CLEANED!AO$3:AO$1060&lt;&gt;"-"))
+
SUMPRODUCT((DATA_CLEANED!AL$3:AL$1060=DATA_CLEANED!AM$3:AM$1060)*(_xlfn.ANCHORARRAY(DATA_CLEANED!AN$3)=CALCULES!A65)*(DATA_CLEANED!AO$3:AO$1060&lt;&gt;"-"))</f>
        <v>0</v>
      </c>
      <c r="AE65" s="116">
        <f t="shared" si="16"/>
        <v>0</v>
      </c>
      <c r="AF65" s="116">
        <f t="shared" si="17"/>
        <v>1</v>
      </c>
      <c r="AG65" s="112">
        <f>SUMIF(_xlfn.ANCHORARRAY(DATA_CLEANED!AK$3),A65,DATA_CLEANED!AL$2:AL$1060)+SUMIF(_xlfn.ANCHORARRAY(DATA_CLEANED!AN$3),A65,DATA_CLEANED!AM$2:AM$1060)</f>
        <v>9</v>
      </c>
      <c r="AH65" s="112">
        <f>SUMIF(_xlfn.ANCHORARRAY(DATA_CLEANED!AK$3),A65,DATA_CLEANED!AM$2:AM$1060)+SUMIF(_xlfn.ANCHORARRAY(DATA_CLEANED!AN$3),A65,DATA_CLEANED!AL$2:AL$1060)</f>
        <v>12</v>
      </c>
      <c r="AI65" s="112">
        <f t="shared" si="8"/>
        <v>2</v>
      </c>
      <c r="AJ65" s="117" cm="1">
        <f t="array" ref="AJ65">_xlfn.LET(_xlpm.home,IFERROR(_xlfn._xlws.FILTER(DATA_CLEANED!AH$3:AH$1060,DATA_CLEANED!AK$3:AK$1060=CALCULES!A65),""),
_xlpm.away,IFERROR(_xlfn._xlws.FILTER(DATA_CLEANED!AH$3:AH$1060,DATA_CLEANED!AN$3:AN$1060=CALCULES!A65),""),
_xlpm.assemb_t,_xlfn._xlws.FILTER(_xlfn.VSTACK(_xlpm.home,_xlpm.away),_xlfn.VSTACK(_xlpm.home,_xlpm.away)&lt;&gt;""),
_xlpm.but_h,IFERROR(_xlfn._xlws.FILTER(_xlfn.ANCHORARRAY(DATA_CLEANED!AM$3),DATA_CLEANED!AK$3:AK$1060=CALCULES!A65),""),
_xlpm.but_a,IFERROR(_xlfn._xlws.FILTER(_xlfn.ANCHORARRAY(DATA_CLEANED!AL$3),DATA_CLEANED!AN$3:AN$1060=CALCULES!A65),""),
_xlpm.assemb_b,_xlfn._xlws.FILTER(_xlfn.VSTACK(_xlpm.but_h,_xlpm.but_a),_xlfn.VSTACK(_xlpm.but_h,_xlpm.but_a)&lt;&gt;""),
MEDIAN(_xlpm.assemb_t,_xlpm.assemb_b)
)</f>
        <v>2.5</v>
      </c>
      <c r="AK65" s="113">
        <f t="shared" si="18"/>
        <v>-3</v>
      </c>
      <c r="AL65" s="112" cm="1">
        <f t="array" ref="AL65">IFERROR(MEDIAN(_xlfn._xlws.FILTER(_xlfn.VSTACK(
DATA_CLEANED!AL$3:AL$1060-DATA_CLEANED!AM$3:AM$1060,
DATA_CLEANED!AM$3:AM$1060-DATA_CLEANED!AL$3:AL$1060
),_xlfn.VSTACK(DATA_CLEANED!AK$3:AK$1060,DATA_CLEANED!AN$3:AN$1060)=A65)),"-")</f>
        <v>-2</v>
      </c>
      <c r="AM65" s="112">
        <f t="shared" si="9"/>
        <v>1.5</v>
      </c>
      <c r="AN65" s="112" cm="1">
        <f t="array" ref="AN65">_xlfn.LET(_xlpm.home,IFERROR(_xlfn._xlws.FILTER(DATA_CLEANED!AH$3:AH$1060,DATA_CLEANED!AK$3:AK$1060=CALCULES!A65),""),
_xlpm.away,IFERROR(_xlfn._xlws.FILTER(DATA_CLEANED!AH$3:AH$1060,DATA_CLEANED!AN$3:AN$1060=CALCULES!A65),""),
_xlpm.assemb_t,_xlfn._xlws.FILTER(_xlfn.VSTACK(_xlpm.home,_xlpm.away),_xlfn.VSTACK(_xlpm.home,_xlpm.away)&lt;&gt;""),
_xlpm.but_h,IFERROR(_xlfn._xlws.FILTER(_xlfn.ANCHORARRAY(DATA_CLEANED!AL$3),DATA_CLEANED!AK$3:AK$1060=CALCULES!A65),""),
_xlpm.but_a,IFERROR(_xlfn._xlws.FILTER(_xlfn.ANCHORARRAY(DATA_CLEANED!AM$3),DATA_CLEANED!AN$3:AN$1060=CALCULES!A65),""),
_xlpm.assemb_b,_xlfn._xlws.FILTER(_xlfn.VSTACK(_xlpm.but_h,_xlpm.but_a),_xlfn.VSTACK(_xlpm.but_h,_xlpm.but_a)&lt;&gt;""),
MEDIAN(_xlpm.assemb_t,_xlpm.assemb_b)
)</f>
        <v>0.5</v>
      </c>
      <c r="AO65" s="116">
        <f>ROUND(IFERROR((COUNTIFS(DATA_CLEANED!AK$3:AK$1060,A65,DATA_CLEANED!AM$3:AM$1060,0)
+
COUNTIFS(DATA_CLEANED!AN$3:AN$1060,A65,DATA_CLEANED!AL$3:AL$1060,0)
)/AA65,0),2)</f>
        <v>0</v>
      </c>
      <c r="AP65" s="112">
        <f>MAX((_xlfn.MAXIFS(_xlfn.ANCHORARRAY(DATA_CLEANED!AL$3),_xlfn.ANCHORARRAY(DATA_CLEANED!AK$3),A65)),(_xlfn.MAXIFS(DATA_CLEANED!AM$3:AM$1060,_xlfn.ANCHORARRAY(DATA_CLEANED!AN$3),A65)))</f>
        <v>1</v>
      </c>
      <c r="AQ65" s="112">
        <f>COUNTIF(_xlfn.ANCHORARRAY(DATA_CLEANED!K$3),A65)</f>
        <v>0</v>
      </c>
      <c r="AR65" s="113" t="str" cm="1">
        <f t="array" ref="AR65">_xlfn.LET(
_xlpm.home,IFERROR(_xlfn._xlws.FILTER(DATA_CLEANED!AH$3:AH$1060,DATA_CLEANED!AK$3:AK$1060=CALCULES!A65),""),
_xlpm.away,IFERROR(_xlfn._xlws.FILTER(DATA_CLEANED!AH$3:AH$1060,DATA_CLEANED!AN$3:AN$1060=CALCULES!A65),""),
_xlpm.etapes,_xlfn._xlws.FILTER(_xlfn.VSTACK(_xlpm.home,_xlpm.away),_xlfn.VSTACK(_xlpm.home,_xlpm.away)&lt;&gt;""),
_xlpm.numeros,_xlfn.XLOOKUP(_xlpm.etapes,DATA_QUALITE!AT$12:AT$38,DATA_QUALITE!AU$12:AU$38),
_xlfn.XLOOKUP(MIN(_xlpm.numeros),DATA_QUALITE!AU$12:AU$38,DATA_QUALITE!AT$12:AT$38)
)</f>
        <v>GROUP_STAGE</v>
      </c>
      <c r="AS65" s="112">
        <f t="shared" si="19"/>
        <v>2</v>
      </c>
      <c r="AT65" s="112">
        <f t="shared" si="20"/>
        <v>0</v>
      </c>
      <c r="AU65" s="112">
        <f>COUNTIFS(DATA_QUALITE!BG$12:BG$1069,"MATCH NUL",_xlfn.ANCHORARRAY(DATA_CLEANED!AK$3),CALCULES!A65)+COUNTIFS(DATA_QUALITE!BG$12:BG$1069,"MATCH NUL",_xlfn.ANCHORARRAY(DATA_CLEANED!AN$3),CALCULES!A65)</f>
        <v>1</v>
      </c>
      <c r="AV65" s="112">
        <v>9</v>
      </c>
      <c r="AW65" s="112">
        <f>COUNTIFS(_xlfn.ANCHORARRAY(DATA_CLEANED!AH$3),"QUARTER_FINALS",_xlfn.ANCHORARRAY(DATA_CLEANED!AK$3),CALCULES!A65)+COUNTIFS(_xlfn.ANCHORARRAY(DATA_CLEANED!AH$3),"QUARTER_FINALS",_xlfn.ANCHORARRAY(DATA_CLEANED!AN$3),CALCULES!A65)</f>
        <v>0</v>
      </c>
      <c r="AX65" s="112">
        <f>COUNTIFS(_xlfn.ANCHORARRAY(DATA_CLEANED!AH$3),"SEMI_FINALS",_xlfn.ANCHORARRAY(DATA_CLEANED!AK$3),CALCULES!A65)+COUNTIFS(_xlfn.ANCHORARRAY(DATA_CLEANED!AH$3),"SEMI_FINALS",_xlfn.ANCHORARRAY(DATA_CLEANED!AN$3),CALCULES!A65)</f>
        <v>0</v>
      </c>
      <c r="AY65" s="112">
        <f>COUNTIFS(_xlfn.ANCHORARRAY(DATA_CLEANED!AH$3),"FINAL",_xlfn.ANCHORARRAY(DATA_CLEANED!AK$3),CALCULES!A65)+COUNTIFS(_xlfn.ANCHORARRAY(DATA_CLEANED!AH$3),"FINAL",_xlfn.ANCHORARRAY(DATA_CLEANED!AN$3),CALCULES!A65)</f>
        <v>0</v>
      </c>
      <c r="AZ65" s="112">
        <f>COUNTIFS(DATA_QUALITE!BG$12:BG$1069,CALCULES!A65,DATA_QUALITE!AW$12:AW$1069,"FINAL")</f>
        <v>0</v>
      </c>
      <c r="BA65" s="113">
        <f t="shared" si="21"/>
        <v>8.83</v>
      </c>
      <c r="BB65" s="118">
        <f t="shared" si="10"/>
        <v>0</v>
      </c>
      <c r="BC65" s="118">
        <f t="shared" si="11"/>
        <v>0</v>
      </c>
      <c r="BD65" s="139">
        <f t="shared" si="12"/>
        <v>0</v>
      </c>
      <c r="BF65" s="167"/>
      <c r="BG65" s="167"/>
      <c r="BH65" s="167"/>
      <c r="BI65" s="167"/>
      <c r="BJ65" s="167"/>
      <c r="BK65" s="167"/>
      <c r="BL65" s="173">
        <f>INT((ROWS($BL$15:BL65)-1)/9)</f>
        <v>5</v>
      </c>
      <c r="BM65" s="173">
        <f>MOD(ROWS($BM$15:BM65)-1,9)</f>
        <v>5</v>
      </c>
      <c r="BN65" s="173">
        <f t="shared" si="22"/>
        <v>8.4771685600511386E-5</v>
      </c>
      <c r="BO65" s="167"/>
      <c r="BP65" s="167"/>
    </row>
    <row r="66" spans="1:68">
      <c r="A66" s="113" t="str">
        <v>Romania</v>
      </c>
      <c r="B66" s="112">
        <f>IF(COUNTIFS(_xlfn.ANCHORARRAY(DATA_CLEANED!$AF$3),CALCULES!B$2,_xlfn.ANCHORARRAY(DATA_CLEANED!$AK$3),CALCULES!$A66)+COUNTIFS(_xlfn.ANCHORARRAY(DATA_CLEANED!$AF$3),CALCULES!B$2,_xlfn.ANCHORARRAY(DATA_CLEANED!$AN$3),CALCULES!$A66)&gt;0,1,0)</f>
        <v>1</v>
      </c>
      <c r="C66" s="112">
        <f>IF(COUNTIFS(_xlfn.ANCHORARRAY(DATA_CLEANED!$AF$3),CALCULES!C$2,_xlfn.ANCHORARRAY(DATA_CLEANED!$AK$3),CALCULES!$A66)+COUNTIFS(_xlfn.ANCHORARRAY(DATA_CLEANED!$AF$3),CALCULES!C$2,_xlfn.ANCHORARRAY(DATA_CLEANED!$AN$3),CALCULES!$A66)&gt;0,1,0)</f>
        <v>1</v>
      </c>
      <c r="D66" s="112">
        <f>IF(COUNTIFS(_xlfn.ANCHORARRAY(DATA_CLEANED!$AF$3),CALCULES!D$2,_xlfn.ANCHORARRAY(DATA_CLEANED!$AK$3),CALCULES!$A66)+COUNTIFS(_xlfn.ANCHORARRAY(DATA_CLEANED!$AF$3),CALCULES!D$2,_xlfn.ANCHORARRAY(DATA_CLEANED!$AN$3),CALCULES!$A66)&gt;0,1,0)</f>
        <v>1</v>
      </c>
      <c r="E66" s="112">
        <f>IF(COUNTIFS(_xlfn.ANCHORARRAY(DATA_CLEANED!$AF$3),CALCULES!E$2,_xlfn.ANCHORARRAY(DATA_CLEANED!$AK$3),CALCULES!$A66)+COUNTIFS(_xlfn.ANCHORARRAY(DATA_CLEANED!$AF$3),CALCULES!E$2,_xlfn.ANCHORARRAY(DATA_CLEANED!$AN$3),CALCULES!$A66)&gt;0,1,0)</f>
        <v>0</v>
      </c>
      <c r="F66" s="112">
        <f>IF(COUNTIFS(_xlfn.ANCHORARRAY(DATA_CLEANED!$AF$3),CALCULES!F$2,_xlfn.ANCHORARRAY(DATA_CLEANED!$AK$3),CALCULES!$A66)+COUNTIFS(_xlfn.ANCHORARRAY(DATA_CLEANED!$AF$3),CALCULES!F$2,_xlfn.ANCHORARRAY(DATA_CLEANED!$AN$3),CALCULES!$A66)&gt;0,1,0)</f>
        <v>0</v>
      </c>
      <c r="G66" s="112">
        <f>IF(COUNTIFS(_xlfn.ANCHORARRAY(DATA_CLEANED!$AF$3),CALCULES!G$2,_xlfn.ANCHORARRAY(DATA_CLEANED!$AK$3),CALCULES!$A66)+COUNTIFS(_xlfn.ANCHORARRAY(DATA_CLEANED!$AF$3),CALCULES!G$2,_xlfn.ANCHORARRAY(DATA_CLEANED!$AN$3),CALCULES!$A66)&gt;0,1,0)</f>
        <v>0</v>
      </c>
      <c r="H66" s="112">
        <f>IF(COUNTIFS(_xlfn.ANCHORARRAY(DATA_CLEANED!$AF$3),CALCULES!H$2,_xlfn.ANCHORARRAY(DATA_CLEANED!$AK$3),CALCULES!$A66)+COUNTIFS(_xlfn.ANCHORARRAY(DATA_CLEANED!$AF$3),CALCULES!H$2,_xlfn.ANCHORARRAY(DATA_CLEANED!$AN$3),CALCULES!$A66)&gt;0,1,0)</f>
        <v>0</v>
      </c>
      <c r="I66" s="112">
        <f>IF(COUNTIFS(_xlfn.ANCHORARRAY(DATA_CLEANED!$AF$3),CALCULES!I$2,_xlfn.ANCHORARRAY(DATA_CLEANED!$AK$3),CALCULES!$A66)+COUNTIFS(_xlfn.ANCHORARRAY(DATA_CLEANED!$AF$3),CALCULES!I$2,_xlfn.ANCHORARRAY(DATA_CLEANED!$AN$3),CALCULES!$A66)&gt;0,1,0)</f>
        <v>0</v>
      </c>
      <c r="J66" s="112">
        <f>IF(COUNTIFS(_xlfn.ANCHORARRAY(DATA_CLEANED!$AF$3),CALCULES!J$2,_xlfn.ANCHORARRAY(DATA_CLEANED!$AK$3),CALCULES!$A66)+COUNTIFS(_xlfn.ANCHORARRAY(DATA_CLEANED!$AF$3),CALCULES!J$2,_xlfn.ANCHORARRAY(DATA_CLEANED!$AN$3),CALCULES!$A66)&gt;0,1,0)</f>
        <v>1</v>
      </c>
      <c r="K66" s="112">
        <f>IF(COUNTIFS(_xlfn.ANCHORARRAY(DATA_CLEANED!$AF$3),CALCULES!K$2,_xlfn.ANCHORARRAY(DATA_CLEANED!$AK$3),CALCULES!$A66)+COUNTIFS(_xlfn.ANCHORARRAY(DATA_CLEANED!$AF$3),CALCULES!K$2,_xlfn.ANCHORARRAY(DATA_CLEANED!$AN$3),CALCULES!$A66)&gt;0,1,0)</f>
        <v>0</v>
      </c>
      <c r="L66" s="112">
        <f>IF(COUNTIFS(_xlfn.ANCHORARRAY(DATA_CLEANED!$AF$3),CALCULES!L$2,_xlfn.ANCHORARRAY(DATA_CLEANED!$AK$3),CALCULES!$A66)+COUNTIFS(_xlfn.ANCHORARRAY(DATA_CLEANED!$AF$3),CALCULES!L$2,_xlfn.ANCHORARRAY(DATA_CLEANED!$AN$3),CALCULES!$A66)&gt;0,1,0)</f>
        <v>0</v>
      </c>
      <c r="M66" s="112">
        <f>IF(COUNTIFS(_xlfn.ANCHORARRAY(DATA_CLEANED!$AF$3),CALCULES!M$2,_xlfn.ANCHORARRAY(DATA_CLEANED!$AK$3),CALCULES!$A66)+COUNTIFS(_xlfn.ANCHORARRAY(DATA_CLEANED!$AF$3),CALCULES!M$2,_xlfn.ANCHORARRAY(DATA_CLEANED!$AN$3),CALCULES!$A66)&gt;0,1,0)</f>
        <v>0</v>
      </c>
      <c r="N66" s="112">
        <f>IF(COUNTIFS(_xlfn.ANCHORARRAY(DATA_CLEANED!$AF$3),CALCULES!N$2,_xlfn.ANCHORARRAY(DATA_CLEANED!$AK$3),CALCULES!$A66)+COUNTIFS(_xlfn.ANCHORARRAY(DATA_CLEANED!$AF$3),CALCULES!N$2,_xlfn.ANCHORARRAY(DATA_CLEANED!$AN$3),CALCULES!$A66)&gt;0,1,0)</f>
        <v>0</v>
      </c>
      <c r="O66" s="112">
        <f>IF(COUNTIFS(_xlfn.ANCHORARRAY(DATA_CLEANED!$AF$3),CALCULES!O$2,_xlfn.ANCHORARRAY(DATA_CLEANED!$AK$3),CALCULES!$A66)+COUNTIFS(_xlfn.ANCHORARRAY(DATA_CLEANED!$AF$3),CALCULES!O$2,_xlfn.ANCHORARRAY(DATA_CLEANED!$AN$3),CALCULES!$A66)&gt;0,1,0)</f>
        <v>1</v>
      </c>
      <c r="P66" s="112">
        <f>IF(COUNTIFS(_xlfn.ANCHORARRAY(DATA_CLEANED!$AF$3),CALCULES!P$2,_xlfn.ANCHORARRAY(DATA_CLEANED!$AK$3),CALCULES!$A66)+COUNTIFS(_xlfn.ANCHORARRAY(DATA_CLEANED!$AF$3),CALCULES!P$2,_xlfn.ANCHORARRAY(DATA_CLEANED!$AN$3),CALCULES!$A66)&gt;0,1,0)</f>
        <v>1</v>
      </c>
      <c r="Q66" s="112">
        <f>IF(COUNTIFS(_xlfn.ANCHORARRAY(DATA_CLEANED!$AF$3),CALCULES!Q$2,_xlfn.ANCHORARRAY(DATA_CLEANED!$AK$3),CALCULES!$A66)+COUNTIFS(_xlfn.ANCHORARRAY(DATA_CLEANED!$AF$3),CALCULES!Q$2,_xlfn.ANCHORARRAY(DATA_CLEANED!$AN$3),CALCULES!$A66)&gt;0,1,0)</f>
        <v>1</v>
      </c>
      <c r="R66" s="112">
        <f>IF(COUNTIFS(_xlfn.ANCHORARRAY(DATA_CLEANED!$AF$3),CALCULES!R$2,_xlfn.ANCHORARRAY(DATA_CLEANED!$AK$3),CALCULES!$A66)+COUNTIFS(_xlfn.ANCHORARRAY(DATA_CLEANED!$AF$3),CALCULES!R$2,_xlfn.ANCHORARRAY(DATA_CLEANED!$AN$3),CALCULES!$A66)&gt;0,1,0)</f>
        <v>0</v>
      </c>
      <c r="S66" s="112">
        <f>IF(COUNTIFS(_xlfn.ANCHORARRAY(DATA_CLEANED!$AF$3),CALCULES!S$2,_xlfn.ANCHORARRAY(DATA_CLEANED!$AK$3),CALCULES!$A66)+COUNTIFS(_xlfn.ANCHORARRAY(DATA_CLEANED!$AF$3),CALCULES!S$2,_xlfn.ANCHORARRAY(DATA_CLEANED!$AN$3),CALCULES!$A66)&gt;0,1,0)</f>
        <v>0</v>
      </c>
      <c r="T66" s="112">
        <f>IF(COUNTIFS(_xlfn.ANCHORARRAY(DATA_CLEANED!$AF$3),CALCULES!T$2,_xlfn.ANCHORARRAY(DATA_CLEANED!$AK$3),CALCULES!$A66)+COUNTIFS(_xlfn.ANCHORARRAY(DATA_CLEANED!$AF$3),CALCULES!T$2,_xlfn.ANCHORARRAY(DATA_CLEANED!$AN$3),CALCULES!$A66)&gt;0,1,0)</f>
        <v>0</v>
      </c>
      <c r="U66" s="112">
        <f>IF(COUNTIFS(_xlfn.ANCHORARRAY(DATA_CLEANED!$AF$3),CALCULES!U$2,_xlfn.ANCHORARRAY(DATA_CLEANED!$AK$3),CALCULES!$A66)+COUNTIFS(_xlfn.ANCHORARRAY(DATA_CLEANED!$AF$3),CALCULES!U$2,_xlfn.ANCHORARRAY(DATA_CLEANED!$AN$3),CALCULES!$A66)&gt;0,1,0)</f>
        <v>0</v>
      </c>
      <c r="V66" s="112">
        <f>IF(COUNTIFS(_xlfn.ANCHORARRAY(DATA_CLEANED!$AF$3),CALCULES!V$2,_xlfn.ANCHORARRAY(DATA_CLEANED!$AK$3),CALCULES!$A66)+COUNTIFS(_xlfn.ANCHORARRAY(DATA_CLEANED!$AF$3),CALCULES!V$2,_xlfn.ANCHORARRAY(DATA_CLEANED!$AN$3),CALCULES!$A66)&gt;0,1,0)</f>
        <v>0</v>
      </c>
      <c r="W66" s="112">
        <f>IF(COUNTIFS(_xlfn.ANCHORARRAY(DATA_CLEANED!$AF$3),CALCULES!W$2,_xlfn.ANCHORARRAY(DATA_CLEANED!$AK$3),CALCULES!$A66)+COUNTIFS(_xlfn.ANCHORARRAY(DATA_CLEANED!$AF$3),CALCULES!W$2,_xlfn.ANCHORARRAY(DATA_CLEANED!$AN$3),CALCULES!$A66)&gt;0,1,0)</f>
        <v>0</v>
      </c>
      <c r="X66" s="112">
        <f>IF(COUNTIFS(_xlfn.ANCHORARRAY(DATA_CLEANED!$AF$3),CALCULES!X$2,_xlfn.ANCHORARRAY(DATA_CLEANED!$AK$3),CALCULES!$A66)+COUNTIFS(_xlfn.ANCHORARRAY(DATA_CLEANED!$AF$3),CALCULES!X$2,_xlfn.ANCHORARRAY(DATA_CLEANED!$AN$3),CALCULES!$A66)&gt;0,1,0)</f>
        <v>0</v>
      </c>
      <c r="Y66" s="113">
        <f t="shared" si="15"/>
        <v>7</v>
      </c>
      <c r="AA66" s="112">
        <f>COUNTIF(_xlfn.ANCHORARRAY(DATA_CLEANED!$AK$3),$A66)+COUNTIF(DATA_CLEANED!$AN$2:$AN$1060,$A66)</f>
        <v>21</v>
      </c>
      <c r="AB66" s="112">
        <f>COUNTIF(DATA_QUALITE!BG$12:BG$1069,A66)</f>
        <v>8</v>
      </c>
      <c r="AC66" s="112">
        <f t="shared" si="7"/>
        <v>11</v>
      </c>
      <c r="AD66" s="112" cm="1">
        <f t="array" ref="AD66">SUMPRODUCT((DATA_CLEANED!AL$3:AL$1060=DATA_CLEANED!AM$3:AM$1060)*(_xlfn.ANCHORARRAY(DATA_CLEANED!AK$3)=CALCULES!A66)*(DATA_CLEANED!AO$3:AO$1060&lt;&gt;"-"))
+
SUMPRODUCT((DATA_CLEANED!AL$3:AL$1060=DATA_CLEANED!AM$3:AM$1060)*(_xlfn.ANCHORARRAY(DATA_CLEANED!AN$3)=CALCULES!A66)*(DATA_CLEANED!AO$3:AO$1060&lt;&gt;"-"))</f>
        <v>2</v>
      </c>
      <c r="AE66" s="116">
        <f t="shared" si="16"/>
        <v>0.38095238095238093</v>
      </c>
      <c r="AF66" s="116">
        <f t="shared" si="17"/>
        <v>0.52380952380952384</v>
      </c>
      <c r="AG66" s="112">
        <f>SUMIF(_xlfn.ANCHORARRAY(DATA_CLEANED!AK$3),A66,DATA_CLEANED!AL$2:AL$1060)+SUMIF(_xlfn.ANCHORARRAY(DATA_CLEANED!AN$3),A66,DATA_CLEANED!AM$2:AM$1060)</f>
        <v>24</v>
      </c>
      <c r="AH66" s="112">
        <f>SUMIF(_xlfn.ANCHORARRAY(DATA_CLEANED!AK$3),A66,DATA_CLEANED!AM$2:AM$1060)+SUMIF(_xlfn.ANCHORARRAY(DATA_CLEANED!AN$3),A66,DATA_CLEANED!AL$2:AL$1060)</f>
        <v>38</v>
      </c>
      <c r="AI66" s="112">
        <f t="shared" si="8"/>
        <v>1.81</v>
      </c>
      <c r="AJ66" s="117" cm="1">
        <f t="array" ref="AJ66">_xlfn.LET(_xlpm.home,IFERROR(_xlfn._xlws.FILTER(DATA_CLEANED!AH$3:AH$1060,DATA_CLEANED!AK$3:AK$1060=CALCULES!A66),""),
_xlpm.away,IFERROR(_xlfn._xlws.FILTER(DATA_CLEANED!AH$3:AH$1060,DATA_CLEANED!AN$3:AN$1060=CALCULES!A66),""),
_xlpm.assemb_t,_xlfn._xlws.FILTER(_xlfn.VSTACK(_xlpm.home,_xlpm.away),_xlfn.VSTACK(_xlpm.home,_xlpm.away)&lt;&gt;""),
_xlpm.but_h,IFERROR(_xlfn._xlws.FILTER(_xlfn.ANCHORARRAY(DATA_CLEANED!AM$3),DATA_CLEANED!AK$3:AK$1060=CALCULES!A66),""),
_xlpm.but_a,IFERROR(_xlfn._xlws.FILTER(_xlfn.ANCHORARRAY(DATA_CLEANED!AL$3),DATA_CLEANED!AN$3:AN$1060=CALCULES!A66),""),
_xlpm.assemb_b,_xlfn._xlws.FILTER(_xlfn.VSTACK(_xlpm.but_h,_xlpm.but_a),_xlfn.VSTACK(_xlpm.but_h,_xlpm.but_a)&lt;&gt;""),
MEDIAN(_xlpm.assemb_t,_xlpm.assemb_b)
)</f>
        <v>1</v>
      </c>
      <c r="AK66" s="113">
        <f t="shared" si="18"/>
        <v>-14</v>
      </c>
      <c r="AL66" s="112" cm="1">
        <f t="array" ref="AL66">IFERROR(MEDIAN(_xlfn._xlws.FILTER(_xlfn.VSTACK(
DATA_CLEANED!AL$3:AL$1060-DATA_CLEANED!AM$3:AM$1060,
DATA_CLEANED!AM$3:AM$1060-DATA_CLEANED!AL$3:AL$1060
),_xlfn.VSTACK(DATA_CLEANED!AK$3:AK$1060,DATA_CLEANED!AN$3:AN$1060)=A66)),"-")</f>
        <v>0</v>
      </c>
      <c r="AM66" s="112">
        <f t="shared" si="9"/>
        <v>1.1399999999999999</v>
      </c>
      <c r="AN66" s="112" cm="1">
        <f t="array" ref="AN66">_xlfn.LET(_xlpm.home,IFERROR(_xlfn._xlws.FILTER(DATA_CLEANED!AH$3:AH$1060,DATA_CLEANED!AK$3:AK$1060=CALCULES!A66),""),
_xlpm.away,IFERROR(_xlfn._xlws.FILTER(DATA_CLEANED!AH$3:AH$1060,DATA_CLEANED!AN$3:AN$1060=CALCULES!A66),""),
_xlpm.assemb_t,_xlfn._xlws.FILTER(_xlfn.VSTACK(_xlpm.home,_xlpm.away),_xlfn.VSTACK(_xlpm.home,_xlpm.away)&lt;&gt;""),
_xlpm.but_h,IFERROR(_xlfn._xlws.FILTER(_xlfn.ANCHORARRAY(DATA_CLEANED!AL$3),DATA_CLEANED!AK$3:AK$1060=CALCULES!A66),""),
_xlpm.but_a,IFERROR(_xlfn._xlws.FILTER(_xlfn.ANCHORARRAY(DATA_CLEANED!AM$3),DATA_CLEANED!AN$3:AN$1060=CALCULES!A66),""),
_xlpm.assemb_b,_xlfn._xlws.FILTER(_xlfn.VSTACK(_xlpm.but_h,_xlpm.but_a),_xlfn.VSTACK(_xlpm.but_h,_xlpm.but_a)&lt;&gt;""),
MEDIAN(_xlpm.assemb_t,_xlpm.assemb_b)
)</f>
        <v>1</v>
      </c>
      <c r="AO66" s="116">
        <f>ROUND(IFERROR((COUNTIFS(DATA_CLEANED!AK$3:AK$1060,A66,DATA_CLEANED!AM$3:AM$1060,0)
+
COUNTIFS(DATA_CLEANED!AN$3:AN$1060,A66,DATA_CLEANED!AL$3:AL$1060,0)
)/AA66,0),2)</f>
        <v>0.19</v>
      </c>
      <c r="AP66" s="112">
        <f>MAX((_xlfn.MAXIFS(_xlfn.ANCHORARRAY(DATA_CLEANED!AL$3),_xlfn.ANCHORARRAY(DATA_CLEANED!AK$3),A66)),(_xlfn.MAXIFS(DATA_CLEANED!AM$3:AM$1060,_xlfn.ANCHORARRAY(DATA_CLEANED!AN$3),A66)))</f>
        <v>3</v>
      </c>
      <c r="AQ66" s="112">
        <f>COUNTIF(_xlfn.ANCHORARRAY(DATA_CLEANED!K$3),A66)</f>
        <v>11</v>
      </c>
      <c r="AR66" s="113" t="str" cm="1">
        <f t="array" ref="AR66">_xlfn.LET(
_xlpm.home,IFERROR(_xlfn._xlws.FILTER(DATA_CLEANED!AH$3:AH$1060,DATA_CLEANED!AK$3:AK$1060=CALCULES!A66),""),
_xlpm.away,IFERROR(_xlfn._xlws.FILTER(DATA_CLEANED!AH$3:AH$1060,DATA_CLEANED!AN$3:AN$1060=CALCULES!A66),""),
_xlpm.etapes,_xlfn._xlws.FILTER(_xlfn.VSTACK(_xlpm.home,_xlpm.away),_xlfn.VSTACK(_xlpm.home,_xlpm.away)&lt;&gt;""),
_xlpm.numeros,_xlfn.XLOOKUP(_xlpm.etapes,DATA_QUALITE!AT$12:AT$38,DATA_QUALITE!AU$12:AU$38),
_xlfn.XLOOKUP(MIN(_xlpm.numeros),DATA_QUALITE!AU$12:AU$38,DATA_QUALITE!AT$12:AT$38)
)</f>
        <v>QUARTER_FINALS</v>
      </c>
      <c r="AS66" s="112">
        <f t="shared" si="19"/>
        <v>7</v>
      </c>
      <c r="AT66" s="112">
        <f t="shared" si="20"/>
        <v>8</v>
      </c>
      <c r="AU66" s="112">
        <f>COUNTIFS(DATA_QUALITE!BG$12:BG$1069,"MATCH NUL",_xlfn.ANCHORARRAY(DATA_CLEANED!AK$3),CALCULES!A66)+COUNTIFS(DATA_QUALITE!BG$12:BG$1069,"MATCH NUL",_xlfn.ANCHORARRAY(DATA_CLEANED!AN$3),CALCULES!A66)</f>
        <v>3</v>
      </c>
      <c r="AV66" s="112">
        <v>24</v>
      </c>
      <c r="AW66" s="112">
        <f>COUNTIFS(_xlfn.ANCHORARRAY(DATA_CLEANED!AH$3),"QUARTER_FINALS",_xlfn.ANCHORARRAY(DATA_CLEANED!AK$3),CALCULES!A66)+COUNTIFS(_xlfn.ANCHORARRAY(DATA_CLEANED!AH$3),"QUARTER_FINALS",_xlfn.ANCHORARRAY(DATA_CLEANED!AN$3),CALCULES!A66)</f>
        <v>1</v>
      </c>
      <c r="AX66" s="112">
        <f>COUNTIFS(_xlfn.ANCHORARRAY(DATA_CLEANED!AH$3),"SEMI_FINALS",_xlfn.ANCHORARRAY(DATA_CLEANED!AK$3),CALCULES!A66)+COUNTIFS(_xlfn.ANCHORARRAY(DATA_CLEANED!AH$3),"SEMI_FINALS",_xlfn.ANCHORARRAY(DATA_CLEANED!AN$3),CALCULES!A66)</f>
        <v>0</v>
      </c>
      <c r="AY66" s="112">
        <f>COUNTIFS(_xlfn.ANCHORARRAY(DATA_CLEANED!AH$3),"FINAL",_xlfn.ANCHORARRAY(DATA_CLEANED!AK$3),CALCULES!A66)+COUNTIFS(_xlfn.ANCHORARRAY(DATA_CLEANED!AH$3),"FINAL",_xlfn.ANCHORARRAY(DATA_CLEANED!AN$3),CALCULES!A66)</f>
        <v>0</v>
      </c>
      <c r="AZ66" s="112">
        <f>COUNTIFS(DATA_QUALITE!BG$12:BG$1069,CALCULES!A66,DATA_QUALITE!AW$12:AW$1069,"FINAL")</f>
        <v>0</v>
      </c>
      <c r="BA66" s="113">
        <f t="shared" si="21"/>
        <v>39.75</v>
      </c>
      <c r="BB66" s="118">
        <f t="shared" si="10"/>
        <v>12.62</v>
      </c>
      <c r="BC66" s="118">
        <f t="shared" si="11"/>
        <v>11.74</v>
      </c>
      <c r="BD66" s="139">
        <f t="shared" si="12"/>
        <v>12.18</v>
      </c>
      <c r="BF66" s="167"/>
      <c r="BG66" s="167"/>
      <c r="BH66" s="167"/>
      <c r="BI66" s="167"/>
      <c r="BJ66" s="167"/>
      <c r="BK66" s="167"/>
      <c r="BL66" s="173">
        <f>INT((ROWS($BL$15:BL66)-1)/9)</f>
        <v>5</v>
      </c>
      <c r="BM66" s="173">
        <f>MOD(ROWS($BM$15:BM66)-1,9)</f>
        <v>6</v>
      </c>
      <c r="BN66" s="173">
        <f t="shared" si="22"/>
        <v>1.5823133818483408E-5</v>
      </c>
      <c r="BO66" s="167"/>
      <c r="BP66" s="167"/>
    </row>
    <row r="67" spans="1:68">
      <c r="A67" s="113" t="str">
        <v>Russia</v>
      </c>
      <c r="B67" s="112">
        <f>IF(COUNTIFS(_xlfn.ANCHORARRAY(DATA_CLEANED!$AF$3),CALCULES!B$2,_xlfn.ANCHORARRAY(DATA_CLEANED!$AK$3),CALCULES!$A67)+COUNTIFS(_xlfn.ANCHORARRAY(DATA_CLEANED!$AF$3),CALCULES!B$2,_xlfn.ANCHORARRAY(DATA_CLEANED!$AN$3),CALCULES!$A67)&gt;0,1,0)</f>
        <v>0</v>
      </c>
      <c r="C67" s="112">
        <f>IF(COUNTIFS(_xlfn.ANCHORARRAY(DATA_CLEANED!$AF$3),CALCULES!C$2,_xlfn.ANCHORARRAY(DATA_CLEANED!$AK$3),CALCULES!$A67)+COUNTIFS(_xlfn.ANCHORARRAY(DATA_CLEANED!$AF$3),CALCULES!C$2,_xlfn.ANCHORARRAY(DATA_CLEANED!$AN$3),CALCULES!$A67)&gt;0,1,0)</f>
        <v>0</v>
      </c>
      <c r="D67" s="112">
        <f>IF(COUNTIFS(_xlfn.ANCHORARRAY(DATA_CLEANED!$AF$3),CALCULES!D$2,_xlfn.ANCHORARRAY(DATA_CLEANED!$AK$3),CALCULES!$A67)+COUNTIFS(_xlfn.ANCHORARRAY(DATA_CLEANED!$AF$3),CALCULES!D$2,_xlfn.ANCHORARRAY(DATA_CLEANED!$AN$3),CALCULES!$A67)&gt;0,1,0)</f>
        <v>0</v>
      </c>
      <c r="E67" s="112">
        <f>IF(COUNTIFS(_xlfn.ANCHORARRAY(DATA_CLEANED!$AF$3),CALCULES!E$2,_xlfn.ANCHORARRAY(DATA_CLEANED!$AK$3),CALCULES!$A67)+COUNTIFS(_xlfn.ANCHORARRAY(DATA_CLEANED!$AF$3),CALCULES!E$2,_xlfn.ANCHORARRAY(DATA_CLEANED!$AN$3),CALCULES!$A67)&gt;0,1,0)</f>
        <v>0</v>
      </c>
      <c r="F67" s="112">
        <f>IF(COUNTIFS(_xlfn.ANCHORARRAY(DATA_CLEANED!$AF$3),CALCULES!F$2,_xlfn.ANCHORARRAY(DATA_CLEANED!$AK$3),CALCULES!$A67)+COUNTIFS(_xlfn.ANCHORARRAY(DATA_CLEANED!$AF$3),CALCULES!F$2,_xlfn.ANCHORARRAY(DATA_CLEANED!$AN$3),CALCULES!$A67)&gt;0,1,0)</f>
        <v>0</v>
      </c>
      <c r="G67" s="112">
        <f>IF(COUNTIFS(_xlfn.ANCHORARRAY(DATA_CLEANED!$AF$3),CALCULES!G$2,_xlfn.ANCHORARRAY(DATA_CLEANED!$AK$3),CALCULES!$A67)+COUNTIFS(_xlfn.ANCHORARRAY(DATA_CLEANED!$AF$3),CALCULES!G$2,_xlfn.ANCHORARRAY(DATA_CLEANED!$AN$3),CALCULES!$A67)&gt;0,1,0)</f>
        <v>0</v>
      </c>
      <c r="H67" s="112">
        <f>IF(COUNTIFS(_xlfn.ANCHORARRAY(DATA_CLEANED!$AF$3),CALCULES!H$2,_xlfn.ANCHORARRAY(DATA_CLEANED!$AK$3),CALCULES!$A67)+COUNTIFS(_xlfn.ANCHORARRAY(DATA_CLEANED!$AF$3),CALCULES!H$2,_xlfn.ANCHORARRAY(DATA_CLEANED!$AN$3),CALCULES!$A67)&gt;0,1,0)</f>
        <v>0</v>
      </c>
      <c r="I67" s="112">
        <f>IF(COUNTIFS(_xlfn.ANCHORARRAY(DATA_CLEANED!$AF$3),CALCULES!I$2,_xlfn.ANCHORARRAY(DATA_CLEANED!$AK$3),CALCULES!$A67)+COUNTIFS(_xlfn.ANCHORARRAY(DATA_CLEANED!$AF$3),CALCULES!I$2,_xlfn.ANCHORARRAY(DATA_CLEANED!$AN$3),CALCULES!$A67)&gt;0,1,0)</f>
        <v>0</v>
      </c>
      <c r="J67" s="112">
        <f>IF(COUNTIFS(_xlfn.ANCHORARRAY(DATA_CLEANED!$AF$3),CALCULES!J$2,_xlfn.ANCHORARRAY(DATA_CLEANED!$AK$3),CALCULES!$A67)+COUNTIFS(_xlfn.ANCHORARRAY(DATA_CLEANED!$AF$3),CALCULES!J$2,_xlfn.ANCHORARRAY(DATA_CLEANED!$AN$3),CALCULES!$A67)&gt;0,1,0)</f>
        <v>0</v>
      </c>
      <c r="K67" s="112">
        <f>IF(COUNTIFS(_xlfn.ANCHORARRAY(DATA_CLEANED!$AF$3),CALCULES!K$2,_xlfn.ANCHORARRAY(DATA_CLEANED!$AK$3),CALCULES!$A67)+COUNTIFS(_xlfn.ANCHORARRAY(DATA_CLEANED!$AF$3),CALCULES!K$2,_xlfn.ANCHORARRAY(DATA_CLEANED!$AN$3),CALCULES!$A67)&gt;0,1,0)</f>
        <v>0</v>
      </c>
      <c r="L67" s="112">
        <f>IF(COUNTIFS(_xlfn.ANCHORARRAY(DATA_CLEANED!$AF$3),CALCULES!L$2,_xlfn.ANCHORARRAY(DATA_CLEANED!$AK$3),CALCULES!$A67)+COUNTIFS(_xlfn.ANCHORARRAY(DATA_CLEANED!$AF$3),CALCULES!L$2,_xlfn.ANCHORARRAY(DATA_CLEANED!$AN$3),CALCULES!$A67)&gt;0,1,0)</f>
        <v>0</v>
      </c>
      <c r="M67" s="112">
        <f>IF(COUNTIFS(_xlfn.ANCHORARRAY(DATA_CLEANED!$AF$3),CALCULES!M$2,_xlfn.ANCHORARRAY(DATA_CLEANED!$AK$3),CALCULES!$A67)+COUNTIFS(_xlfn.ANCHORARRAY(DATA_CLEANED!$AF$3),CALCULES!M$2,_xlfn.ANCHORARRAY(DATA_CLEANED!$AN$3),CALCULES!$A67)&gt;0,1,0)</f>
        <v>0</v>
      </c>
      <c r="N67" s="112">
        <f>IF(COUNTIFS(_xlfn.ANCHORARRAY(DATA_CLEANED!$AF$3),CALCULES!N$2,_xlfn.ANCHORARRAY(DATA_CLEANED!$AK$3),CALCULES!$A67)+COUNTIFS(_xlfn.ANCHORARRAY(DATA_CLEANED!$AF$3),CALCULES!N$2,_xlfn.ANCHORARRAY(DATA_CLEANED!$AN$3),CALCULES!$A67)&gt;0,1,0)</f>
        <v>0</v>
      </c>
      <c r="O67" s="112">
        <f>IF(COUNTIFS(_xlfn.ANCHORARRAY(DATA_CLEANED!$AF$3),CALCULES!O$2,_xlfn.ANCHORARRAY(DATA_CLEANED!$AK$3),CALCULES!$A67)+COUNTIFS(_xlfn.ANCHORARRAY(DATA_CLEANED!$AF$3),CALCULES!O$2,_xlfn.ANCHORARRAY(DATA_CLEANED!$AN$3),CALCULES!$A67)&gt;0,1,0)</f>
        <v>0</v>
      </c>
      <c r="P67" s="112">
        <f>IF(COUNTIFS(_xlfn.ANCHORARRAY(DATA_CLEANED!$AF$3),CALCULES!P$2,_xlfn.ANCHORARRAY(DATA_CLEANED!$AK$3),CALCULES!$A67)+COUNTIFS(_xlfn.ANCHORARRAY(DATA_CLEANED!$AF$3),CALCULES!P$2,_xlfn.ANCHORARRAY(DATA_CLEANED!$AN$3),CALCULES!$A67)&gt;0,1,0)</f>
        <v>1</v>
      </c>
      <c r="Q67" s="112">
        <f>IF(COUNTIFS(_xlfn.ANCHORARRAY(DATA_CLEANED!$AF$3),CALCULES!Q$2,_xlfn.ANCHORARRAY(DATA_CLEANED!$AK$3),CALCULES!$A67)+COUNTIFS(_xlfn.ANCHORARRAY(DATA_CLEANED!$AF$3),CALCULES!Q$2,_xlfn.ANCHORARRAY(DATA_CLEANED!$AN$3),CALCULES!$A67)&gt;0,1,0)</f>
        <v>0</v>
      </c>
      <c r="R67" s="112">
        <f>IF(COUNTIFS(_xlfn.ANCHORARRAY(DATA_CLEANED!$AF$3),CALCULES!R$2,_xlfn.ANCHORARRAY(DATA_CLEANED!$AK$3),CALCULES!$A67)+COUNTIFS(_xlfn.ANCHORARRAY(DATA_CLEANED!$AF$3),CALCULES!R$2,_xlfn.ANCHORARRAY(DATA_CLEANED!$AN$3),CALCULES!$A67)&gt;0,1,0)</f>
        <v>1</v>
      </c>
      <c r="S67" s="112">
        <f>IF(COUNTIFS(_xlfn.ANCHORARRAY(DATA_CLEANED!$AF$3),CALCULES!S$2,_xlfn.ANCHORARRAY(DATA_CLEANED!$AK$3),CALCULES!$A67)+COUNTIFS(_xlfn.ANCHORARRAY(DATA_CLEANED!$AF$3),CALCULES!S$2,_xlfn.ANCHORARRAY(DATA_CLEANED!$AN$3),CALCULES!$A67)&gt;0,1,0)</f>
        <v>0</v>
      </c>
      <c r="T67" s="112">
        <f>IF(COUNTIFS(_xlfn.ANCHORARRAY(DATA_CLEANED!$AF$3),CALCULES!T$2,_xlfn.ANCHORARRAY(DATA_CLEANED!$AK$3),CALCULES!$A67)+COUNTIFS(_xlfn.ANCHORARRAY(DATA_CLEANED!$AF$3),CALCULES!T$2,_xlfn.ANCHORARRAY(DATA_CLEANED!$AN$3),CALCULES!$A67)&gt;0,1,0)</f>
        <v>0</v>
      </c>
      <c r="U67" s="112">
        <f>IF(COUNTIFS(_xlfn.ANCHORARRAY(DATA_CLEANED!$AF$3),CALCULES!U$2,_xlfn.ANCHORARRAY(DATA_CLEANED!$AK$3),CALCULES!$A67)+COUNTIFS(_xlfn.ANCHORARRAY(DATA_CLEANED!$AF$3),CALCULES!U$2,_xlfn.ANCHORARRAY(DATA_CLEANED!$AN$3),CALCULES!$A67)&gt;0,1,0)</f>
        <v>1</v>
      </c>
      <c r="V67" s="112">
        <f>IF(COUNTIFS(_xlfn.ANCHORARRAY(DATA_CLEANED!$AF$3),CALCULES!V$2,_xlfn.ANCHORARRAY(DATA_CLEANED!$AK$3),CALCULES!$A67)+COUNTIFS(_xlfn.ANCHORARRAY(DATA_CLEANED!$AF$3),CALCULES!V$2,_xlfn.ANCHORARRAY(DATA_CLEANED!$AN$3),CALCULES!$A67)&gt;0,1,0)</f>
        <v>1</v>
      </c>
      <c r="W67" s="112">
        <f>IF(COUNTIFS(_xlfn.ANCHORARRAY(DATA_CLEANED!$AF$3),CALCULES!W$2,_xlfn.ANCHORARRAY(DATA_CLEANED!$AK$3),CALCULES!$A67)+COUNTIFS(_xlfn.ANCHORARRAY(DATA_CLEANED!$AF$3),CALCULES!W$2,_xlfn.ANCHORARRAY(DATA_CLEANED!$AN$3),CALCULES!$A67)&gt;0,1,0)</f>
        <v>0</v>
      </c>
      <c r="X67" s="112">
        <f>IF(COUNTIFS(_xlfn.ANCHORARRAY(DATA_CLEANED!$AF$3),CALCULES!X$2,_xlfn.ANCHORARRAY(DATA_CLEANED!$AK$3),CALCULES!$A67)+COUNTIFS(_xlfn.ANCHORARRAY(DATA_CLEANED!$AF$3),CALCULES!X$2,_xlfn.ANCHORARRAY(DATA_CLEANED!$AN$3),CALCULES!$A67)&gt;0,1,0)</f>
        <v>0</v>
      </c>
      <c r="Y67" s="113">
        <f t="shared" ref="Y67:Y92" si="23">+SUM(B67:X67)</f>
        <v>4</v>
      </c>
      <c r="AA67" s="112">
        <f>COUNTIF(_xlfn.ANCHORARRAY(DATA_CLEANED!$AK$3),$A67)+COUNTIF(DATA_CLEANED!$AN$2:$AN$1060,$A67)</f>
        <v>14</v>
      </c>
      <c r="AB67" s="112">
        <f>COUNTIF(DATA_QUALITE!BG$12:BG$1069,A67)</f>
        <v>5</v>
      </c>
      <c r="AC67" s="112">
        <f t="shared" si="7"/>
        <v>7</v>
      </c>
      <c r="AD67" s="112" cm="1">
        <f t="array" ref="AD67">SUMPRODUCT((DATA_CLEANED!AL$3:AL$1060=DATA_CLEANED!AM$3:AM$1060)*(_xlfn.ANCHORARRAY(DATA_CLEANED!AK$3)=CALCULES!A67)*(DATA_CLEANED!AO$3:AO$1060&lt;&gt;"-"))
+
SUMPRODUCT((DATA_CLEANED!AL$3:AL$1060=DATA_CLEANED!AM$3:AM$1060)*(_xlfn.ANCHORARRAY(DATA_CLEANED!AN$3)=CALCULES!A67)*(DATA_CLEANED!AO$3:AO$1060&lt;&gt;"-"))</f>
        <v>2</v>
      </c>
      <c r="AE67" s="116">
        <f t="shared" ref="AE67:AE92" si="24">AB67/AA67</f>
        <v>0.35714285714285715</v>
      </c>
      <c r="AF67" s="116">
        <f t="shared" ref="AF67:AF92" si="25">AC67/AA67</f>
        <v>0.5</v>
      </c>
      <c r="AG67" s="112">
        <f>SUMIF(_xlfn.ANCHORARRAY(DATA_CLEANED!AK$3),A67,DATA_CLEANED!AL$2:AL$1060)+SUMIF(_xlfn.ANCHORARRAY(DATA_CLEANED!AN$3),A67,DATA_CLEANED!AM$2:AM$1060)</f>
        <v>13</v>
      </c>
      <c r="AH67" s="112">
        <f>SUMIF(_xlfn.ANCHORARRAY(DATA_CLEANED!AK$3),A67,DATA_CLEANED!AM$2:AM$1060)+SUMIF(_xlfn.ANCHORARRAY(DATA_CLEANED!AN$3),A67,DATA_CLEANED!AL$2:AL$1060)</f>
        <v>19</v>
      </c>
      <c r="AI67" s="112">
        <f t="shared" si="8"/>
        <v>1.36</v>
      </c>
      <c r="AJ67" s="117" cm="1">
        <f t="array" ref="AJ67">_xlfn.LET(_xlpm.home,IFERROR(_xlfn._xlws.FILTER(DATA_CLEANED!AH$3:AH$1060,DATA_CLEANED!AK$3:AK$1060=CALCULES!A67),""),
_xlpm.away,IFERROR(_xlfn._xlws.FILTER(DATA_CLEANED!AH$3:AH$1060,DATA_CLEANED!AN$3:AN$1060=CALCULES!A67),""),
_xlpm.assemb_t,_xlfn._xlws.FILTER(_xlfn.VSTACK(_xlpm.home,_xlpm.away),_xlfn.VSTACK(_xlpm.home,_xlpm.away)&lt;&gt;""),
_xlpm.but_h,IFERROR(_xlfn._xlws.FILTER(_xlfn.ANCHORARRAY(DATA_CLEANED!AM$3),DATA_CLEANED!AK$3:AK$1060=CALCULES!A67),""),
_xlpm.but_a,IFERROR(_xlfn._xlws.FILTER(_xlfn.ANCHORARRAY(DATA_CLEANED!AL$3),DATA_CLEANED!AN$3:AN$1060=CALCULES!A67),""),
_xlpm.assemb_b,_xlfn._xlws.FILTER(_xlfn.VSTACK(_xlpm.but_h,_xlpm.but_a),_xlfn.VSTACK(_xlpm.but_h,_xlpm.but_a)&lt;&gt;""),
MEDIAN(_xlpm.assemb_t,_xlpm.assemb_b)
)</f>
        <v>1</v>
      </c>
      <c r="AK67" s="113">
        <f t="shared" ref="AK67:AK92" si="26">AG67-AH67</f>
        <v>-6</v>
      </c>
      <c r="AL67" s="112" cm="1">
        <f t="array" ref="AL67">IFERROR(MEDIAN(_xlfn._xlws.FILTER(_xlfn.VSTACK(
DATA_CLEANED!AL$3:AL$1060-DATA_CLEANED!AM$3:AM$1060,
DATA_CLEANED!AM$3:AM$1060-DATA_CLEANED!AL$3:AL$1060
),_xlfn.VSTACK(DATA_CLEANED!AK$3:AK$1060,DATA_CLEANED!AN$3:AN$1060)=A67)),"-")</f>
        <v>0</v>
      </c>
      <c r="AM67" s="112">
        <f t="shared" si="9"/>
        <v>0.93</v>
      </c>
      <c r="AN67" s="112" cm="1">
        <f t="array" ref="AN67">_xlfn.LET(_xlpm.home,IFERROR(_xlfn._xlws.FILTER(DATA_CLEANED!AH$3:AH$1060,DATA_CLEANED!AK$3:AK$1060=CALCULES!A67),""),
_xlpm.away,IFERROR(_xlfn._xlws.FILTER(DATA_CLEANED!AH$3:AH$1060,DATA_CLEANED!AN$3:AN$1060=CALCULES!A67),""),
_xlpm.assemb_t,_xlfn._xlws.FILTER(_xlfn.VSTACK(_xlpm.home,_xlpm.away),_xlfn.VSTACK(_xlpm.home,_xlpm.away)&lt;&gt;""),
_xlpm.but_h,IFERROR(_xlfn._xlws.FILTER(_xlfn.ANCHORARRAY(DATA_CLEANED!AL$3),DATA_CLEANED!AK$3:AK$1060=CALCULES!A67),""),
_xlpm.but_a,IFERROR(_xlfn._xlws.FILTER(_xlfn.ANCHORARRAY(DATA_CLEANED!AM$3),DATA_CLEANED!AN$3:AN$1060=CALCULES!A67),""),
_xlpm.assemb_b,_xlfn._xlws.FILTER(_xlfn.VSTACK(_xlpm.but_h,_xlpm.but_a),_xlfn.VSTACK(_xlpm.but_h,_xlpm.but_a)&lt;&gt;""),
MEDIAN(_xlpm.assemb_t,_xlpm.assemb_b)
)</f>
        <v>1</v>
      </c>
      <c r="AO67" s="116">
        <f>ROUND(IFERROR((COUNTIFS(DATA_CLEANED!AK$3:AK$1060,A67,DATA_CLEANED!AM$3:AM$1060,0)
+
COUNTIFS(DATA_CLEANED!AN$3:AN$1060,A67,DATA_CLEANED!AL$3:AL$1060,0)
)/AA67,0),2)</f>
        <v>0.14000000000000001</v>
      </c>
      <c r="AP67" s="112">
        <f>MAX((_xlfn.MAXIFS(_xlfn.ANCHORARRAY(DATA_CLEANED!AL$3),_xlfn.ANCHORARRAY(DATA_CLEANED!AK$3),A67)),(_xlfn.MAXIFS(DATA_CLEANED!AM$3:AM$1060,_xlfn.ANCHORARRAY(DATA_CLEANED!AN$3),A67)))</f>
        <v>6</v>
      </c>
      <c r="AQ67" s="112">
        <f>COUNTIF(_xlfn.ANCHORARRAY(DATA_CLEANED!K$3),A67)</f>
        <v>9</v>
      </c>
      <c r="AR67" s="113" t="str" cm="1">
        <f t="array" ref="AR67">_xlfn.LET(
_xlpm.home,IFERROR(_xlfn._xlws.FILTER(DATA_CLEANED!AH$3:AH$1060,DATA_CLEANED!AK$3:AK$1060=CALCULES!A67),""),
_xlpm.away,IFERROR(_xlfn._xlws.FILTER(DATA_CLEANED!AH$3:AH$1060,DATA_CLEANED!AN$3:AN$1060=CALCULES!A67),""),
_xlpm.etapes,_xlfn._xlws.FILTER(_xlfn.VSTACK(_xlpm.home,_xlpm.away),_xlfn.VSTACK(_xlpm.home,_xlpm.away)&lt;&gt;""),
_xlpm.numeros,_xlfn.XLOOKUP(_xlpm.etapes,DATA_QUALITE!AT$12:AT$38,DATA_QUALITE!AU$12:AU$38),
_xlfn.XLOOKUP(MIN(_xlpm.numeros),DATA_QUALITE!AU$12:AU$38,DATA_QUALITE!AT$12:AT$38)
)</f>
        <v>QUARTER_FINALS</v>
      </c>
      <c r="AS67" s="112">
        <f t="shared" ref="AS67:AS92" si="27">Y67</f>
        <v>4</v>
      </c>
      <c r="AT67" s="112">
        <f t="shared" ref="AT67:AT92" si="28">AB67</f>
        <v>5</v>
      </c>
      <c r="AU67" s="112">
        <f>COUNTIFS(DATA_QUALITE!BG$12:BG$1069,"MATCH NUL",_xlfn.ANCHORARRAY(DATA_CLEANED!AK$3),CALCULES!A67)+COUNTIFS(DATA_QUALITE!BG$12:BG$1069,"MATCH NUL",_xlfn.ANCHORARRAY(DATA_CLEANED!AN$3),CALCULES!A67)</f>
        <v>2</v>
      </c>
      <c r="AV67" s="112">
        <v>13</v>
      </c>
      <c r="AW67" s="112">
        <f>COUNTIFS(_xlfn.ANCHORARRAY(DATA_CLEANED!AH$3),"QUARTER_FINALS",_xlfn.ANCHORARRAY(DATA_CLEANED!AK$3),CALCULES!A67)+COUNTIFS(_xlfn.ANCHORARRAY(DATA_CLEANED!AH$3),"QUARTER_FINALS",_xlfn.ANCHORARRAY(DATA_CLEANED!AN$3),CALCULES!A67)</f>
        <v>1</v>
      </c>
      <c r="AX67" s="112">
        <f>COUNTIFS(_xlfn.ANCHORARRAY(DATA_CLEANED!AH$3),"SEMI_FINALS",_xlfn.ANCHORARRAY(DATA_CLEANED!AK$3),CALCULES!A67)+COUNTIFS(_xlfn.ANCHORARRAY(DATA_CLEANED!AH$3),"SEMI_FINALS",_xlfn.ANCHORARRAY(DATA_CLEANED!AN$3),CALCULES!A67)</f>
        <v>0</v>
      </c>
      <c r="AY67" s="112">
        <f>COUNTIFS(_xlfn.ANCHORARRAY(DATA_CLEANED!AH$3),"FINAL",_xlfn.ANCHORARRAY(DATA_CLEANED!AK$3),CALCULES!A67)+COUNTIFS(_xlfn.ANCHORARRAY(DATA_CLEANED!AH$3),"FINAL",_xlfn.ANCHORARRAY(DATA_CLEANED!AN$3),CALCULES!A67)</f>
        <v>0</v>
      </c>
      <c r="AZ67" s="112">
        <f>COUNTIFS(DATA_QUALITE!BG$12:BG$1069,CALCULES!A67,DATA_QUALITE!AW$12:AW$1069,"FINAL")</f>
        <v>0</v>
      </c>
      <c r="BA67" s="113">
        <f t="shared" ref="BA67:BA92" si="29">ROUND((35*VALUE(AE67))+(0.3*MIN(AN67/3,1)*100)+(0.25*(MAX(0,1-AJ67/3)*100))+(IF(AK67&lt;&gt;0,(0.1*(MIN((AA67/AK67)/60,1)*100)),0)),2)</f>
        <v>38.78</v>
      </c>
      <c r="BB67" s="118">
        <f t="shared" si="10"/>
        <v>8.83</v>
      </c>
      <c r="BC67" s="118">
        <f t="shared" si="11"/>
        <v>11.26</v>
      </c>
      <c r="BD67" s="139">
        <f t="shared" si="12"/>
        <v>10.050000000000001</v>
      </c>
      <c r="BF67" s="167"/>
      <c r="BG67" s="167"/>
      <c r="BH67" s="167"/>
      <c r="BI67" s="167"/>
      <c r="BJ67" s="167"/>
      <c r="BK67" s="167"/>
      <c r="BL67" s="173">
        <f>INT((ROWS($BL$15:BL67)-1)/9)</f>
        <v>5</v>
      </c>
      <c r="BM67" s="173">
        <f>MOD(ROWS($BM$15:BM67)-1,9)</f>
        <v>7</v>
      </c>
      <c r="BN67" s="173">
        <f t="shared" si="22"/>
        <v>2.531555153762576E-6</v>
      </c>
      <c r="BO67" s="167"/>
      <c r="BP67" s="167"/>
    </row>
    <row r="68" spans="1:68">
      <c r="A68" s="113" t="str">
        <v>Saudi Arabia</v>
      </c>
      <c r="B68" s="112">
        <f>IF(COUNTIFS(_xlfn.ANCHORARRAY(DATA_CLEANED!$AF$3),CALCULES!B$2,_xlfn.ANCHORARRAY(DATA_CLEANED!$AK$3),CALCULES!$A68)+COUNTIFS(_xlfn.ANCHORARRAY(DATA_CLEANED!$AF$3),CALCULES!B$2,_xlfn.ANCHORARRAY(DATA_CLEANED!$AN$3),CALCULES!$A68)&gt;0,1,0)</f>
        <v>0</v>
      </c>
      <c r="C68" s="112">
        <f>IF(COUNTIFS(_xlfn.ANCHORARRAY(DATA_CLEANED!$AF$3),CALCULES!C$2,_xlfn.ANCHORARRAY(DATA_CLEANED!$AK$3),CALCULES!$A68)+COUNTIFS(_xlfn.ANCHORARRAY(DATA_CLEANED!$AF$3),CALCULES!C$2,_xlfn.ANCHORARRAY(DATA_CLEANED!$AN$3),CALCULES!$A68)&gt;0,1,0)</f>
        <v>0</v>
      </c>
      <c r="D68" s="112">
        <f>IF(COUNTIFS(_xlfn.ANCHORARRAY(DATA_CLEANED!$AF$3),CALCULES!D$2,_xlfn.ANCHORARRAY(DATA_CLEANED!$AK$3),CALCULES!$A68)+COUNTIFS(_xlfn.ANCHORARRAY(DATA_CLEANED!$AF$3),CALCULES!D$2,_xlfn.ANCHORARRAY(DATA_CLEANED!$AN$3),CALCULES!$A68)&gt;0,1,0)</f>
        <v>0</v>
      </c>
      <c r="E68" s="112">
        <f>IF(COUNTIFS(_xlfn.ANCHORARRAY(DATA_CLEANED!$AF$3),CALCULES!E$2,_xlfn.ANCHORARRAY(DATA_CLEANED!$AK$3),CALCULES!$A68)+COUNTIFS(_xlfn.ANCHORARRAY(DATA_CLEANED!$AF$3),CALCULES!E$2,_xlfn.ANCHORARRAY(DATA_CLEANED!$AN$3),CALCULES!$A68)&gt;0,1,0)</f>
        <v>0</v>
      </c>
      <c r="F68" s="112">
        <f>IF(COUNTIFS(_xlfn.ANCHORARRAY(DATA_CLEANED!$AF$3),CALCULES!F$2,_xlfn.ANCHORARRAY(DATA_CLEANED!$AK$3),CALCULES!$A68)+COUNTIFS(_xlfn.ANCHORARRAY(DATA_CLEANED!$AF$3),CALCULES!F$2,_xlfn.ANCHORARRAY(DATA_CLEANED!$AN$3),CALCULES!$A68)&gt;0,1,0)</f>
        <v>0</v>
      </c>
      <c r="G68" s="112">
        <f>IF(COUNTIFS(_xlfn.ANCHORARRAY(DATA_CLEANED!$AF$3),CALCULES!G$2,_xlfn.ANCHORARRAY(DATA_CLEANED!$AK$3),CALCULES!$A68)+COUNTIFS(_xlfn.ANCHORARRAY(DATA_CLEANED!$AF$3),CALCULES!G$2,_xlfn.ANCHORARRAY(DATA_CLEANED!$AN$3),CALCULES!$A68)&gt;0,1,0)</f>
        <v>0</v>
      </c>
      <c r="H68" s="112">
        <f>IF(COUNTIFS(_xlfn.ANCHORARRAY(DATA_CLEANED!$AF$3),CALCULES!H$2,_xlfn.ANCHORARRAY(DATA_CLEANED!$AK$3),CALCULES!$A68)+COUNTIFS(_xlfn.ANCHORARRAY(DATA_CLEANED!$AF$3),CALCULES!H$2,_xlfn.ANCHORARRAY(DATA_CLEANED!$AN$3),CALCULES!$A68)&gt;0,1,0)</f>
        <v>0</v>
      </c>
      <c r="I68" s="112">
        <f>IF(COUNTIFS(_xlfn.ANCHORARRAY(DATA_CLEANED!$AF$3),CALCULES!I$2,_xlfn.ANCHORARRAY(DATA_CLEANED!$AK$3),CALCULES!$A68)+COUNTIFS(_xlfn.ANCHORARRAY(DATA_CLEANED!$AF$3),CALCULES!I$2,_xlfn.ANCHORARRAY(DATA_CLEANED!$AN$3),CALCULES!$A68)&gt;0,1,0)</f>
        <v>0</v>
      </c>
      <c r="J68" s="112">
        <f>IF(COUNTIFS(_xlfn.ANCHORARRAY(DATA_CLEANED!$AF$3),CALCULES!J$2,_xlfn.ANCHORARRAY(DATA_CLEANED!$AK$3),CALCULES!$A68)+COUNTIFS(_xlfn.ANCHORARRAY(DATA_CLEANED!$AF$3),CALCULES!J$2,_xlfn.ANCHORARRAY(DATA_CLEANED!$AN$3),CALCULES!$A68)&gt;0,1,0)</f>
        <v>0</v>
      </c>
      <c r="K68" s="112">
        <f>IF(COUNTIFS(_xlfn.ANCHORARRAY(DATA_CLEANED!$AF$3),CALCULES!K$2,_xlfn.ANCHORARRAY(DATA_CLEANED!$AK$3),CALCULES!$A68)+COUNTIFS(_xlfn.ANCHORARRAY(DATA_CLEANED!$AF$3),CALCULES!K$2,_xlfn.ANCHORARRAY(DATA_CLEANED!$AN$3),CALCULES!$A68)&gt;0,1,0)</f>
        <v>0</v>
      </c>
      <c r="L68" s="112">
        <f>IF(COUNTIFS(_xlfn.ANCHORARRAY(DATA_CLEANED!$AF$3),CALCULES!L$2,_xlfn.ANCHORARRAY(DATA_CLEANED!$AK$3),CALCULES!$A68)+COUNTIFS(_xlfn.ANCHORARRAY(DATA_CLEANED!$AF$3),CALCULES!L$2,_xlfn.ANCHORARRAY(DATA_CLEANED!$AN$3),CALCULES!$A68)&gt;0,1,0)</f>
        <v>0</v>
      </c>
      <c r="M68" s="112">
        <f>IF(COUNTIFS(_xlfn.ANCHORARRAY(DATA_CLEANED!$AF$3),CALCULES!M$2,_xlfn.ANCHORARRAY(DATA_CLEANED!$AK$3),CALCULES!$A68)+COUNTIFS(_xlfn.ANCHORARRAY(DATA_CLEANED!$AF$3),CALCULES!M$2,_xlfn.ANCHORARRAY(DATA_CLEANED!$AN$3),CALCULES!$A68)&gt;0,1,0)</f>
        <v>0</v>
      </c>
      <c r="N68" s="112">
        <f>IF(COUNTIFS(_xlfn.ANCHORARRAY(DATA_CLEANED!$AF$3),CALCULES!N$2,_xlfn.ANCHORARRAY(DATA_CLEANED!$AK$3),CALCULES!$A68)+COUNTIFS(_xlfn.ANCHORARRAY(DATA_CLEANED!$AF$3),CALCULES!N$2,_xlfn.ANCHORARRAY(DATA_CLEANED!$AN$3),CALCULES!$A68)&gt;0,1,0)</f>
        <v>0</v>
      </c>
      <c r="O68" s="112">
        <f>IF(COUNTIFS(_xlfn.ANCHORARRAY(DATA_CLEANED!$AF$3),CALCULES!O$2,_xlfn.ANCHORARRAY(DATA_CLEANED!$AK$3),CALCULES!$A68)+COUNTIFS(_xlfn.ANCHORARRAY(DATA_CLEANED!$AF$3),CALCULES!O$2,_xlfn.ANCHORARRAY(DATA_CLEANED!$AN$3),CALCULES!$A68)&gt;0,1,0)</f>
        <v>0</v>
      </c>
      <c r="P68" s="112">
        <f>IF(COUNTIFS(_xlfn.ANCHORARRAY(DATA_CLEANED!$AF$3),CALCULES!P$2,_xlfn.ANCHORARRAY(DATA_CLEANED!$AK$3),CALCULES!$A68)+COUNTIFS(_xlfn.ANCHORARRAY(DATA_CLEANED!$AF$3),CALCULES!P$2,_xlfn.ANCHORARRAY(DATA_CLEANED!$AN$3),CALCULES!$A68)&gt;0,1,0)</f>
        <v>1</v>
      </c>
      <c r="Q68" s="112">
        <f>IF(COUNTIFS(_xlfn.ANCHORARRAY(DATA_CLEANED!$AF$3),CALCULES!Q$2,_xlfn.ANCHORARRAY(DATA_CLEANED!$AK$3),CALCULES!$A68)+COUNTIFS(_xlfn.ANCHORARRAY(DATA_CLEANED!$AF$3),CALCULES!Q$2,_xlfn.ANCHORARRAY(DATA_CLEANED!$AN$3),CALCULES!$A68)&gt;0,1,0)</f>
        <v>1</v>
      </c>
      <c r="R68" s="112">
        <f>IF(COUNTIFS(_xlfn.ANCHORARRAY(DATA_CLEANED!$AF$3),CALCULES!R$2,_xlfn.ANCHORARRAY(DATA_CLEANED!$AK$3),CALCULES!$A68)+COUNTIFS(_xlfn.ANCHORARRAY(DATA_CLEANED!$AF$3),CALCULES!R$2,_xlfn.ANCHORARRAY(DATA_CLEANED!$AN$3),CALCULES!$A68)&gt;0,1,0)</f>
        <v>1</v>
      </c>
      <c r="S68" s="112">
        <f>IF(COUNTIFS(_xlfn.ANCHORARRAY(DATA_CLEANED!$AF$3),CALCULES!S$2,_xlfn.ANCHORARRAY(DATA_CLEANED!$AK$3),CALCULES!$A68)+COUNTIFS(_xlfn.ANCHORARRAY(DATA_CLEANED!$AF$3),CALCULES!S$2,_xlfn.ANCHORARRAY(DATA_CLEANED!$AN$3),CALCULES!$A68)&gt;0,1,0)</f>
        <v>1</v>
      </c>
      <c r="T68" s="112">
        <f>IF(COUNTIFS(_xlfn.ANCHORARRAY(DATA_CLEANED!$AF$3),CALCULES!T$2,_xlfn.ANCHORARRAY(DATA_CLEANED!$AK$3),CALCULES!$A68)+COUNTIFS(_xlfn.ANCHORARRAY(DATA_CLEANED!$AF$3),CALCULES!T$2,_xlfn.ANCHORARRAY(DATA_CLEANED!$AN$3),CALCULES!$A68)&gt;0,1,0)</f>
        <v>0</v>
      </c>
      <c r="U68" s="112">
        <f>IF(COUNTIFS(_xlfn.ANCHORARRAY(DATA_CLEANED!$AF$3),CALCULES!U$2,_xlfn.ANCHORARRAY(DATA_CLEANED!$AK$3),CALCULES!$A68)+COUNTIFS(_xlfn.ANCHORARRAY(DATA_CLEANED!$AF$3),CALCULES!U$2,_xlfn.ANCHORARRAY(DATA_CLEANED!$AN$3),CALCULES!$A68)&gt;0,1,0)</f>
        <v>0</v>
      </c>
      <c r="V68" s="112">
        <f>IF(COUNTIFS(_xlfn.ANCHORARRAY(DATA_CLEANED!$AF$3),CALCULES!V$2,_xlfn.ANCHORARRAY(DATA_CLEANED!$AK$3),CALCULES!$A68)+COUNTIFS(_xlfn.ANCHORARRAY(DATA_CLEANED!$AF$3),CALCULES!V$2,_xlfn.ANCHORARRAY(DATA_CLEANED!$AN$3),CALCULES!$A68)&gt;0,1,0)</f>
        <v>1</v>
      </c>
      <c r="W68" s="112">
        <f>IF(COUNTIFS(_xlfn.ANCHORARRAY(DATA_CLEANED!$AF$3),CALCULES!W$2,_xlfn.ANCHORARRAY(DATA_CLEANED!$AK$3),CALCULES!$A68)+COUNTIFS(_xlfn.ANCHORARRAY(DATA_CLEANED!$AF$3),CALCULES!W$2,_xlfn.ANCHORARRAY(DATA_CLEANED!$AN$3),CALCULES!$A68)&gt;0,1,0)</f>
        <v>1</v>
      </c>
      <c r="X68" s="112">
        <f>IF(COUNTIFS(_xlfn.ANCHORARRAY(DATA_CLEANED!$AF$3),CALCULES!X$2,_xlfn.ANCHORARRAY(DATA_CLEANED!$AK$3),CALCULES!$A68)+COUNTIFS(_xlfn.ANCHORARRAY(DATA_CLEANED!$AF$3),CALCULES!X$2,_xlfn.ANCHORARRAY(DATA_CLEANED!$AN$3),CALCULES!$A68)&gt;0,1,0)</f>
        <v>1</v>
      </c>
      <c r="Y68" s="113">
        <f t="shared" si="23"/>
        <v>7</v>
      </c>
      <c r="AA68" s="112">
        <f>COUNTIF(_xlfn.ANCHORARRAY(DATA_CLEANED!$AK$3),$A68)+COUNTIF(DATA_CLEANED!$AN$2:$AN$1060,$A68)</f>
        <v>22</v>
      </c>
      <c r="AB68" s="112">
        <f>COUNTIF(DATA_QUALITE!BG$12:BG$1069,A68)</f>
        <v>4</v>
      </c>
      <c r="AC68" s="112">
        <f t="shared" ref="AC68:AC92" si="30">AA68-AB68-AD68</f>
        <v>18</v>
      </c>
      <c r="AD68" s="112" cm="1">
        <f t="array" ref="AD68">SUMPRODUCT((DATA_CLEANED!AL$3:AL$1060=DATA_CLEANED!AM$3:AM$1060)*(_xlfn.ANCHORARRAY(DATA_CLEANED!AK$3)=CALCULES!A68)*(DATA_CLEANED!AO$3:AO$1060&lt;&gt;"-"))
+
SUMPRODUCT((DATA_CLEANED!AL$3:AL$1060=DATA_CLEANED!AM$3:AM$1060)*(_xlfn.ANCHORARRAY(DATA_CLEANED!AN$3)=CALCULES!A68)*(DATA_CLEANED!AO$3:AO$1060&lt;&gt;"-"))</f>
        <v>0</v>
      </c>
      <c r="AE68" s="116">
        <f t="shared" si="24"/>
        <v>0.18181818181818182</v>
      </c>
      <c r="AF68" s="116">
        <f t="shared" si="25"/>
        <v>0.81818181818181823</v>
      </c>
      <c r="AG68" s="112">
        <f>SUMIF(_xlfn.ANCHORARRAY(DATA_CLEANED!AK$3),A68,DATA_CLEANED!AL$2:AL$1060)+SUMIF(_xlfn.ANCHORARRAY(DATA_CLEANED!AN$3),A68,DATA_CLEANED!AM$2:AM$1060)</f>
        <v>24</v>
      </c>
      <c r="AH68" s="112">
        <f>SUMIF(_xlfn.ANCHORARRAY(DATA_CLEANED!AK$3),A68,DATA_CLEANED!AM$2:AM$1060)+SUMIF(_xlfn.ANCHORARRAY(DATA_CLEANED!AN$3),A68,DATA_CLEANED!AL$2:AL$1060)</f>
        <v>32</v>
      </c>
      <c r="AI68" s="112">
        <f t="shared" ref="AI68:AI92" si="31">ROUND(AH68/AA68,2)</f>
        <v>1.45</v>
      </c>
      <c r="AJ68" s="117" cm="1">
        <f t="array" ref="AJ68">_xlfn.LET(_xlpm.home,IFERROR(_xlfn._xlws.FILTER(DATA_CLEANED!AH$3:AH$1060,DATA_CLEANED!AK$3:AK$1060=CALCULES!A68),""),
_xlpm.away,IFERROR(_xlfn._xlws.FILTER(DATA_CLEANED!AH$3:AH$1060,DATA_CLEANED!AN$3:AN$1060=CALCULES!A68),""),
_xlpm.assemb_t,_xlfn._xlws.FILTER(_xlfn.VSTACK(_xlpm.home,_xlpm.away),_xlfn.VSTACK(_xlpm.home,_xlpm.away)&lt;&gt;""),
_xlpm.but_h,IFERROR(_xlfn._xlws.FILTER(_xlfn.ANCHORARRAY(DATA_CLEANED!AM$3),DATA_CLEANED!AK$3:AK$1060=CALCULES!A68),""),
_xlpm.but_a,IFERROR(_xlfn._xlws.FILTER(_xlfn.ANCHORARRAY(DATA_CLEANED!AL$3),DATA_CLEANED!AN$3:AN$1060=CALCULES!A68),""),
_xlpm.assemb_b,_xlfn._xlws.FILTER(_xlfn.VSTACK(_xlpm.but_h,_xlpm.but_a),_xlfn.VSTACK(_xlpm.but_h,_xlpm.but_a)&lt;&gt;""),
MEDIAN(_xlpm.assemb_t,_xlpm.assemb_b)
)</f>
        <v>2</v>
      </c>
      <c r="AK68" s="113">
        <f t="shared" si="26"/>
        <v>-8</v>
      </c>
      <c r="AL68" s="112" cm="1">
        <f t="array" ref="AL68">IFERROR(MEDIAN(_xlfn._xlws.FILTER(_xlfn.VSTACK(
DATA_CLEANED!AL$3:AL$1060-DATA_CLEANED!AM$3:AM$1060,
DATA_CLEANED!AM$3:AM$1060-DATA_CLEANED!AL$3:AL$1060
),_xlfn.VSTACK(DATA_CLEANED!AK$3:AK$1060,DATA_CLEANED!AN$3:AN$1060)=A68)),"-")</f>
        <v>-1</v>
      </c>
      <c r="AM68" s="112">
        <f t="shared" ref="AM68:AM92" si="32">ROUND(IF(AG68=0,0,AG68/AA68),2)</f>
        <v>1.0900000000000001</v>
      </c>
      <c r="AN68" s="112" cm="1">
        <f t="array" ref="AN68">_xlfn.LET(_xlpm.home,IFERROR(_xlfn._xlws.FILTER(DATA_CLEANED!AH$3:AH$1060,DATA_CLEANED!AK$3:AK$1060=CALCULES!A68),""),
_xlpm.away,IFERROR(_xlfn._xlws.FILTER(DATA_CLEANED!AH$3:AH$1060,DATA_CLEANED!AN$3:AN$1060=CALCULES!A68),""),
_xlpm.assemb_t,_xlfn._xlws.FILTER(_xlfn.VSTACK(_xlpm.home,_xlpm.away),_xlfn.VSTACK(_xlpm.home,_xlpm.away)&lt;&gt;""),
_xlpm.but_h,IFERROR(_xlfn._xlws.FILTER(_xlfn.ANCHORARRAY(DATA_CLEANED!AL$3),DATA_CLEANED!AK$3:AK$1060=CALCULES!A68),""),
_xlpm.but_a,IFERROR(_xlfn._xlws.FILTER(_xlfn.ANCHORARRAY(DATA_CLEANED!AM$3),DATA_CLEANED!AN$3:AN$1060=CALCULES!A68),""),
_xlpm.assemb_b,_xlfn._xlws.FILTER(_xlfn.VSTACK(_xlpm.but_h,_xlpm.but_a),_xlfn.VSTACK(_xlpm.but_h,_xlpm.but_a)&lt;&gt;""),
MEDIAN(_xlpm.assemb_t,_xlpm.assemb_b)
)</f>
        <v>0</v>
      </c>
      <c r="AO68" s="116">
        <f>ROUND(IFERROR((COUNTIFS(DATA_CLEANED!AK$3:AK$1060,A68,DATA_CLEANED!AM$3:AM$1060,0)
+
COUNTIFS(DATA_CLEANED!AN$3:AN$1060,A68,DATA_CLEANED!AL$3:AL$1060,0)
)/AA68,0),2)</f>
        <v>0.09</v>
      </c>
      <c r="AP68" s="112">
        <f>MAX((_xlfn.MAXIFS(_xlfn.ANCHORARRAY(DATA_CLEANED!AL$3),_xlfn.ANCHORARRAY(DATA_CLEANED!AK$3),A68)),(_xlfn.MAXIFS(DATA_CLEANED!AM$3:AM$1060,_xlfn.ANCHORARRAY(DATA_CLEANED!AN$3),A68)))</f>
        <v>2</v>
      </c>
      <c r="AQ68" s="112">
        <f>COUNTIF(_xlfn.ANCHORARRAY(DATA_CLEANED!K$3),A68)</f>
        <v>0</v>
      </c>
      <c r="AR68" s="113" t="str" cm="1">
        <f t="array" ref="AR68">_xlfn.LET(
_xlpm.home,IFERROR(_xlfn._xlws.FILTER(DATA_CLEANED!AH$3:AH$1060,DATA_CLEANED!AK$3:AK$1060=CALCULES!A68),""),
_xlpm.away,IFERROR(_xlfn._xlws.FILTER(DATA_CLEANED!AH$3:AH$1060,DATA_CLEANED!AN$3:AN$1060=CALCULES!A68),""),
_xlpm.etapes,_xlfn._xlws.FILTER(_xlfn.VSTACK(_xlpm.home,_xlpm.away),_xlfn.VSTACK(_xlpm.home,_xlpm.away)&lt;&gt;""),
_xlpm.numeros,_xlfn.XLOOKUP(_xlpm.etapes,DATA_QUALITE!AT$12:AT$38,DATA_QUALITE!AU$12:AU$38),
_xlfn.XLOOKUP(MIN(_xlpm.numeros),DATA_QUALITE!AU$12:AU$38,DATA_QUALITE!AT$12:AT$38)
)</f>
        <v>ROUND_OF_16</v>
      </c>
      <c r="AS68" s="112">
        <f t="shared" si="27"/>
        <v>7</v>
      </c>
      <c r="AT68" s="112">
        <f t="shared" si="28"/>
        <v>4</v>
      </c>
      <c r="AU68" s="112">
        <f>COUNTIFS(DATA_QUALITE!BG$12:BG$1069,"MATCH NUL",_xlfn.ANCHORARRAY(DATA_CLEANED!AK$3),CALCULES!A68)+COUNTIFS(DATA_QUALITE!BG$12:BG$1069,"MATCH NUL",_xlfn.ANCHORARRAY(DATA_CLEANED!AN$3),CALCULES!A68)</f>
        <v>4</v>
      </c>
      <c r="AV68" s="112">
        <v>24</v>
      </c>
      <c r="AW68" s="112">
        <f>COUNTIFS(_xlfn.ANCHORARRAY(DATA_CLEANED!AH$3),"QUARTER_FINALS",_xlfn.ANCHORARRAY(DATA_CLEANED!AK$3),CALCULES!A68)+COUNTIFS(_xlfn.ANCHORARRAY(DATA_CLEANED!AH$3),"QUARTER_FINALS",_xlfn.ANCHORARRAY(DATA_CLEANED!AN$3),CALCULES!A68)</f>
        <v>0</v>
      </c>
      <c r="AX68" s="112">
        <f>COUNTIFS(_xlfn.ANCHORARRAY(DATA_CLEANED!AH$3),"SEMI_FINALS",_xlfn.ANCHORARRAY(DATA_CLEANED!AK$3),CALCULES!A68)+COUNTIFS(_xlfn.ANCHORARRAY(DATA_CLEANED!AH$3),"SEMI_FINALS",_xlfn.ANCHORARRAY(DATA_CLEANED!AN$3),CALCULES!A68)</f>
        <v>0</v>
      </c>
      <c r="AY68" s="112">
        <f>COUNTIFS(_xlfn.ANCHORARRAY(DATA_CLEANED!AH$3),"FINAL",_xlfn.ANCHORARRAY(DATA_CLEANED!AK$3),CALCULES!A68)+COUNTIFS(_xlfn.ANCHORARRAY(DATA_CLEANED!AH$3),"FINAL",_xlfn.ANCHORARRAY(DATA_CLEANED!AN$3),CALCULES!A68)</f>
        <v>0</v>
      </c>
      <c r="AZ68" s="112">
        <f>COUNTIFS(DATA_QUALITE!BG$12:BG$1069,CALCULES!A68,DATA_QUALITE!AW$12:AW$1069,"FINAL")</f>
        <v>0</v>
      </c>
      <c r="BA68" s="113">
        <f t="shared" si="29"/>
        <v>14.24</v>
      </c>
      <c r="BB68" s="118">
        <f t="shared" ref="BB68:BB92" si="33">ROUND((0.6*MIN(AM68/3,1)*100+0.2*MIN(AN68/2,1)*100+0.2*AE68*100)*(AB68/MAX($AB$3:$AB$92))^0.5,2)</f>
        <v>5.62</v>
      </c>
      <c r="BC68" s="118">
        <f t="shared" ref="BC68:BC92" si="34">ROUND((0.6*MAX(0,1-MIN(AI68/3,1))*100+0.2*MAX(0,1-MIN(AJ68/2,1))*100+0.2*AO68*100)*(AB68/MAX($AB$3:$AB$92))^0.5,2)</f>
        <v>7.24</v>
      </c>
      <c r="BD68" s="139">
        <f t="shared" ref="BD68:BD92" si="35">ROUND(0.5*BB68+0.5*BC68,2)</f>
        <v>6.43</v>
      </c>
      <c r="BF68" s="167"/>
      <c r="BG68" s="167"/>
      <c r="BH68" s="167"/>
      <c r="BI68" s="167"/>
      <c r="BJ68" s="167"/>
      <c r="BK68" s="167"/>
      <c r="BL68" s="173">
        <f>INT((ROWS($BL$15:BL68)-1)/9)</f>
        <v>5</v>
      </c>
      <c r="BM68" s="173">
        <f>MOD(ROWS($BM$15:BM68)-1,9)</f>
        <v>8</v>
      </c>
      <c r="BN68" s="173">
        <f t="shared" si="22"/>
        <v>3.5439724670239695E-7</v>
      </c>
      <c r="BO68" s="167"/>
      <c r="BP68" s="167"/>
    </row>
    <row r="69" spans="1:68">
      <c r="A69" s="113" t="str">
        <v>Scotland</v>
      </c>
      <c r="B69" s="112">
        <f>IF(COUNTIFS(_xlfn.ANCHORARRAY(DATA_CLEANED!$AF$3),CALCULES!B$2,_xlfn.ANCHORARRAY(DATA_CLEANED!$AK$3),CALCULES!$A69)+COUNTIFS(_xlfn.ANCHORARRAY(DATA_CLEANED!$AF$3),CALCULES!B$2,_xlfn.ANCHORARRAY(DATA_CLEANED!$AN$3),CALCULES!$A69)&gt;0,1,0)</f>
        <v>0</v>
      </c>
      <c r="C69" s="112">
        <f>IF(COUNTIFS(_xlfn.ANCHORARRAY(DATA_CLEANED!$AF$3),CALCULES!C$2,_xlfn.ANCHORARRAY(DATA_CLEANED!$AK$3),CALCULES!$A69)+COUNTIFS(_xlfn.ANCHORARRAY(DATA_CLEANED!$AF$3),CALCULES!C$2,_xlfn.ANCHORARRAY(DATA_CLEANED!$AN$3),CALCULES!$A69)&gt;0,1,0)</f>
        <v>0</v>
      </c>
      <c r="D69" s="112">
        <f>IF(COUNTIFS(_xlfn.ANCHORARRAY(DATA_CLEANED!$AF$3),CALCULES!D$2,_xlfn.ANCHORARRAY(DATA_CLEANED!$AK$3),CALCULES!$A69)+COUNTIFS(_xlfn.ANCHORARRAY(DATA_CLEANED!$AF$3),CALCULES!D$2,_xlfn.ANCHORARRAY(DATA_CLEANED!$AN$3),CALCULES!$A69)&gt;0,1,0)</f>
        <v>0</v>
      </c>
      <c r="E69" s="112">
        <f>IF(COUNTIFS(_xlfn.ANCHORARRAY(DATA_CLEANED!$AF$3),CALCULES!E$2,_xlfn.ANCHORARRAY(DATA_CLEANED!$AK$3),CALCULES!$A69)+COUNTIFS(_xlfn.ANCHORARRAY(DATA_CLEANED!$AF$3),CALCULES!E$2,_xlfn.ANCHORARRAY(DATA_CLEANED!$AN$3),CALCULES!$A69)&gt;0,1,0)</f>
        <v>0</v>
      </c>
      <c r="F69" s="112">
        <f>IF(COUNTIFS(_xlfn.ANCHORARRAY(DATA_CLEANED!$AF$3),CALCULES!F$2,_xlfn.ANCHORARRAY(DATA_CLEANED!$AK$3),CALCULES!$A69)+COUNTIFS(_xlfn.ANCHORARRAY(DATA_CLEANED!$AF$3),CALCULES!F$2,_xlfn.ANCHORARRAY(DATA_CLEANED!$AN$3),CALCULES!$A69)&gt;0,1,0)</f>
        <v>1</v>
      </c>
      <c r="G69" s="112">
        <f>IF(COUNTIFS(_xlfn.ANCHORARRAY(DATA_CLEANED!$AF$3),CALCULES!G$2,_xlfn.ANCHORARRAY(DATA_CLEANED!$AK$3),CALCULES!$A69)+COUNTIFS(_xlfn.ANCHORARRAY(DATA_CLEANED!$AF$3),CALCULES!G$2,_xlfn.ANCHORARRAY(DATA_CLEANED!$AN$3),CALCULES!$A69)&gt;0,1,0)</f>
        <v>1</v>
      </c>
      <c r="H69" s="112">
        <f>IF(COUNTIFS(_xlfn.ANCHORARRAY(DATA_CLEANED!$AF$3),CALCULES!H$2,_xlfn.ANCHORARRAY(DATA_CLEANED!$AK$3),CALCULES!$A69)+COUNTIFS(_xlfn.ANCHORARRAY(DATA_CLEANED!$AF$3),CALCULES!H$2,_xlfn.ANCHORARRAY(DATA_CLEANED!$AN$3),CALCULES!$A69)&gt;0,1,0)</f>
        <v>0</v>
      </c>
      <c r="I69" s="112">
        <f>IF(COUNTIFS(_xlfn.ANCHORARRAY(DATA_CLEANED!$AF$3),CALCULES!I$2,_xlfn.ANCHORARRAY(DATA_CLEANED!$AK$3),CALCULES!$A69)+COUNTIFS(_xlfn.ANCHORARRAY(DATA_CLEANED!$AF$3),CALCULES!I$2,_xlfn.ANCHORARRAY(DATA_CLEANED!$AN$3),CALCULES!$A69)&gt;0,1,0)</f>
        <v>0</v>
      </c>
      <c r="J69" s="112">
        <f>IF(COUNTIFS(_xlfn.ANCHORARRAY(DATA_CLEANED!$AF$3),CALCULES!J$2,_xlfn.ANCHORARRAY(DATA_CLEANED!$AK$3),CALCULES!$A69)+COUNTIFS(_xlfn.ANCHORARRAY(DATA_CLEANED!$AF$3),CALCULES!J$2,_xlfn.ANCHORARRAY(DATA_CLEANED!$AN$3),CALCULES!$A69)&gt;0,1,0)</f>
        <v>0</v>
      </c>
      <c r="K69" s="112">
        <f>IF(COUNTIFS(_xlfn.ANCHORARRAY(DATA_CLEANED!$AF$3),CALCULES!K$2,_xlfn.ANCHORARRAY(DATA_CLEANED!$AK$3),CALCULES!$A69)+COUNTIFS(_xlfn.ANCHORARRAY(DATA_CLEANED!$AF$3),CALCULES!K$2,_xlfn.ANCHORARRAY(DATA_CLEANED!$AN$3),CALCULES!$A69)&gt;0,1,0)</f>
        <v>1</v>
      </c>
      <c r="L69" s="112">
        <f>IF(COUNTIFS(_xlfn.ANCHORARRAY(DATA_CLEANED!$AF$3),CALCULES!L$2,_xlfn.ANCHORARRAY(DATA_CLEANED!$AK$3),CALCULES!$A69)+COUNTIFS(_xlfn.ANCHORARRAY(DATA_CLEANED!$AF$3),CALCULES!L$2,_xlfn.ANCHORARRAY(DATA_CLEANED!$AN$3),CALCULES!$A69)&gt;0,1,0)</f>
        <v>1</v>
      </c>
      <c r="M69" s="112">
        <f>IF(COUNTIFS(_xlfn.ANCHORARRAY(DATA_CLEANED!$AF$3),CALCULES!M$2,_xlfn.ANCHORARRAY(DATA_CLEANED!$AK$3),CALCULES!$A69)+COUNTIFS(_xlfn.ANCHORARRAY(DATA_CLEANED!$AF$3),CALCULES!M$2,_xlfn.ANCHORARRAY(DATA_CLEANED!$AN$3),CALCULES!$A69)&gt;0,1,0)</f>
        <v>1</v>
      </c>
      <c r="N69" s="112">
        <f>IF(COUNTIFS(_xlfn.ANCHORARRAY(DATA_CLEANED!$AF$3),CALCULES!N$2,_xlfn.ANCHORARRAY(DATA_CLEANED!$AK$3),CALCULES!$A69)+COUNTIFS(_xlfn.ANCHORARRAY(DATA_CLEANED!$AF$3),CALCULES!N$2,_xlfn.ANCHORARRAY(DATA_CLEANED!$AN$3),CALCULES!$A69)&gt;0,1,0)</f>
        <v>1</v>
      </c>
      <c r="O69" s="112">
        <f>IF(COUNTIFS(_xlfn.ANCHORARRAY(DATA_CLEANED!$AF$3),CALCULES!O$2,_xlfn.ANCHORARRAY(DATA_CLEANED!$AK$3),CALCULES!$A69)+COUNTIFS(_xlfn.ANCHORARRAY(DATA_CLEANED!$AF$3),CALCULES!O$2,_xlfn.ANCHORARRAY(DATA_CLEANED!$AN$3),CALCULES!$A69)&gt;0,1,0)</f>
        <v>1</v>
      </c>
      <c r="P69" s="112">
        <f>IF(COUNTIFS(_xlfn.ANCHORARRAY(DATA_CLEANED!$AF$3),CALCULES!P$2,_xlfn.ANCHORARRAY(DATA_CLEANED!$AK$3),CALCULES!$A69)+COUNTIFS(_xlfn.ANCHORARRAY(DATA_CLEANED!$AF$3),CALCULES!P$2,_xlfn.ANCHORARRAY(DATA_CLEANED!$AN$3),CALCULES!$A69)&gt;0,1,0)</f>
        <v>0</v>
      </c>
      <c r="Q69" s="112">
        <f>IF(COUNTIFS(_xlfn.ANCHORARRAY(DATA_CLEANED!$AF$3),CALCULES!Q$2,_xlfn.ANCHORARRAY(DATA_CLEANED!$AK$3),CALCULES!$A69)+COUNTIFS(_xlfn.ANCHORARRAY(DATA_CLEANED!$AF$3),CALCULES!Q$2,_xlfn.ANCHORARRAY(DATA_CLEANED!$AN$3),CALCULES!$A69)&gt;0,1,0)</f>
        <v>1</v>
      </c>
      <c r="R69" s="112">
        <f>IF(COUNTIFS(_xlfn.ANCHORARRAY(DATA_CLEANED!$AF$3),CALCULES!R$2,_xlfn.ANCHORARRAY(DATA_CLEANED!$AK$3),CALCULES!$A69)+COUNTIFS(_xlfn.ANCHORARRAY(DATA_CLEANED!$AF$3),CALCULES!R$2,_xlfn.ANCHORARRAY(DATA_CLEANED!$AN$3),CALCULES!$A69)&gt;0,1,0)</f>
        <v>0</v>
      </c>
      <c r="S69" s="112">
        <f>IF(COUNTIFS(_xlfn.ANCHORARRAY(DATA_CLEANED!$AF$3),CALCULES!S$2,_xlfn.ANCHORARRAY(DATA_CLEANED!$AK$3),CALCULES!$A69)+COUNTIFS(_xlfn.ANCHORARRAY(DATA_CLEANED!$AF$3),CALCULES!S$2,_xlfn.ANCHORARRAY(DATA_CLEANED!$AN$3),CALCULES!$A69)&gt;0,1,0)</f>
        <v>0</v>
      </c>
      <c r="T69" s="112">
        <f>IF(COUNTIFS(_xlfn.ANCHORARRAY(DATA_CLEANED!$AF$3),CALCULES!T$2,_xlfn.ANCHORARRAY(DATA_CLEANED!$AK$3),CALCULES!$A69)+COUNTIFS(_xlfn.ANCHORARRAY(DATA_CLEANED!$AF$3),CALCULES!T$2,_xlfn.ANCHORARRAY(DATA_CLEANED!$AN$3),CALCULES!$A69)&gt;0,1,0)</f>
        <v>0</v>
      </c>
      <c r="U69" s="112">
        <f>IF(COUNTIFS(_xlfn.ANCHORARRAY(DATA_CLEANED!$AF$3),CALCULES!U$2,_xlfn.ANCHORARRAY(DATA_CLEANED!$AK$3),CALCULES!$A69)+COUNTIFS(_xlfn.ANCHORARRAY(DATA_CLEANED!$AF$3),CALCULES!U$2,_xlfn.ANCHORARRAY(DATA_CLEANED!$AN$3),CALCULES!$A69)&gt;0,1,0)</f>
        <v>0</v>
      </c>
      <c r="V69" s="112">
        <f>IF(COUNTIFS(_xlfn.ANCHORARRAY(DATA_CLEANED!$AF$3),CALCULES!V$2,_xlfn.ANCHORARRAY(DATA_CLEANED!$AK$3),CALCULES!$A69)+COUNTIFS(_xlfn.ANCHORARRAY(DATA_CLEANED!$AF$3),CALCULES!V$2,_xlfn.ANCHORARRAY(DATA_CLEANED!$AN$3),CALCULES!$A69)&gt;0,1,0)</f>
        <v>0</v>
      </c>
      <c r="W69" s="112">
        <f>IF(COUNTIFS(_xlfn.ANCHORARRAY(DATA_CLEANED!$AF$3),CALCULES!W$2,_xlfn.ANCHORARRAY(DATA_CLEANED!$AK$3),CALCULES!$A69)+COUNTIFS(_xlfn.ANCHORARRAY(DATA_CLEANED!$AF$3),CALCULES!W$2,_xlfn.ANCHORARRAY(DATA_CLEANED!$AN$3),CALCULES!$A69)&gt;0,1,0)</f>
        <v>0</v>
      </c>
      <c r="X69" s="112">
        <f>IF(COUNTIFS(_xlfn.ANCHORARRAY(DATA_CLEANED!$AF$3),CALCULES!X$2,_xlfn.ANCHORARRAY(DATA_CLEANED!$AK$3),CALCULES!$A69)+COUNTIFS(_xlfn.ANCHORARRAY(DATA_CLEANED!$AF$3),CALCULES!X$2,_xlfn.ANCHORARRAY(DATA_CLEANED!$AN$3),CALCULES!$A69)&gt;0,1,0)</f>
        <v>1</v>
      </c>
      <c r="Y69" s="113">
        <f t="shared" si="23"/>
        <v>9</v>
      </c>
      <c r="AA69" s="112">
        <f>COUNTIF(_xlfn.ANCHORARRAY(DATA_CLEANED!$AK$3),$A69)+COUNTIF(DATA_CLEANED!$AN$2:$AN$1060,$A69)</f>
        <v>26</v>
      </c>
      <c r="AB69" s="112">
        <f>COUNTIF(DATA_QUALITE!BG$12:BG$1069,A69)</f>
        <v>5</v>
      </c>
      <c r="AC69" s="112">
        <f t="shared" si="30"/>
        <v>21</v>
      </c>
      <c r="AD69" s="112" cm="1">
        <f t="array" ref="AD69">SUMPRODUCT((DATA_CLEANED!AL$3:AL$1060=DATA_CLEANED!AM$3:AM$1060)*(_xlfn.ANCHORARRAY(DATA_CLEANED!AK$3)=CALCULES!A69)*(DATA_CLEANED!AO$3:AO$1060&lt;&gt;"-"))
+
SUMPRODUCT((DATA_CLEANED!AL$3:AL$1060=DATA_CLEANED!AM$3:AM$1060)*(_xlfn.ANCHORARRAY(DATA_CLEANED!AN$3)=CALCULES!A69)*(DATA_CLEANED!AO$3:AO$1060&lt;&gt;"-"))</f>
        <v>0</v>
      </c>
      <c r="AE69" s="116">
        <f t="shared" si="24"/>
        <v>0.19230769230769232</v>
      </c>
      <c r="AF69" s="116">
        <f t="shared" si="25"/>
        <v>0.80769230769230771</v>
      </c>
      <c r="AG69" s="112">
        <f>SUMIF(_xlfn.ANCHORARRAY(DATA_CLEANED!AK$3),A69,DATA_CLEANED!AL$2:AL$1060)+SUMIF(_xlfn.ANCHORARRAY(DATA_CLEANED!AN$3),A69,DATA_CLEANED!AM$2:AM$1060)</f>
        <v>40</v>
      </c>
      <c r="AH69" s="112">
        <f>SUMIF(_xlfn.ANCHORARRAY(DATA_CLEANED!AK$3),A69,DATA_CLEANED!AM$2:AM$1060)+SUMIF(_xlfn.ANCHORARRAY(DATA_CLEANED!AN$3),A69,DATA_CLEANED!AL$2:AL$1060)</f>
        <v>53</v>
      </c>
      <c r="AI69" s="112">
        <f t="shared" si="31"/>
        <v>2.04</v>
      </c>
      <c r="AJ69" s="117" cm="1">
        <f t="array" ref="AJ69">_xlfn.LET(_xlpm.home,IFERROR(_xlfn._xlws.FILTER(DATA_CLEANED!AH$3:AH$1060,DATA_CLEANED!AK$3:AK$1060=CALCULES!A69),""),
_xlpm.away,IFERROR(_xlfn._xlws.FILTER(DATA_CLEANED!AH$3:AH$1060,DATA_CLEANED!AN$3:AN$1060=CALCULES!A69),""),
_xlpm.assemb_t,_xlfn._xlws.FILTER(_xlfn.VSTACK(_xlpm.home,_xlpm.away),_xlfn.VSTACK(_xlpm.home,_xlpm.away)&lt;&gt;""),
_xlpm.but_h,IFERROR(_xlfn._xlws.FILTER(_xlfn.ANCHORARRAY(DATA_CLEANED!AM$3),DATA_CLEANED!AK$3:AK$1060=CALCULES!A69),""),
_xlpm.but_a,IFERROR(_xlfn._xlws.FILTER(_xlfn.ANCHORARRAY(DATA_CLEANED!AL$3),DATA_CLEANED!AN$3:AN$1060=CALCULES!A69),""),
_xlpm.assemb_b,_xlfn._xlws.FILTER(_xlfn.VSTACK(_xlpm.but_h,_xlpm.but_a),_xlfn.VSTACK(_xlpm.but_h,_xlpm.but_a)&lt;&gt;""),
MEDIAN(_xlpm.assemb_t,_xlpm.assemb_b)
)</f>
        <v>1</v>
      </c>
      <c r="AK69" s="113">
        <f t="shared" si="26"/>
        <v>-13</v>
      </c>
      <c r="AL69" s="112" cm="1">
        <f t="array" ref="AL69">IFERROR(MEDIAN(_xlfn._xlws.FILTER(_xlfn.VSTACK(
DATA_CLEANED!AL$3:AL$1060-DATA_CLEANED!AM$3:AM$1060,
DATA_CLEANED!AM$3:AM$1060-DATA_CLEANED!AL$3:AL$1060
),_xlfn.VSTACK(DATA_CLEANED!AK$3:AK$1060,DATA_CLEANED!AN$3:AN$1060)=A69)),"-")</f>
        <v>-1</v>
      </c>
      <c r="AM69" s="112">
        <f t="shared" si="32"/>
        <v>1.54</v>
      </c>
      <c r="AN69" s="112" cm="1">
        <f t="array" ref="AN69">_xlfn.LET(_xlpm.home,IFERROR(_xlfn._xlws.FILTER(DATA_CLEANED!AH$3:AH$1060,DATA_CLEANED!AK$3:AK$1060=CALCULES!A69),""),
_xlpm.away,IFERROR(_xlfn._xlws.FILTER(DATA_CLEANED!AH$3:AH$1060,DATA_CLEANED!AN$3:AN$1060=CALCULES!A69),""),
_xlpm.assemb_t,_xlfn._xlws.FILTER(_xlfn.VSTACK(_xlpm.home,_xlpm.away),_xlfn.VSTACK(_xlpm.home,_xlpm.away)&lt;&gt;""),
_xlpm.but_h,IFERROR(_xlfn._xlws.FILTER(_xlfn.ANCHORARRAY(DATA_CLEANED!AL$3),DATA_CLEANED!AK$3:AK$1060=CALCULES!A69),""),
_xlpm.but_a,IFERROR(_xlfn._xlws.FILTER(_xlfn.ANCHORARRAY(DATA_CLEANED!AM$3),DATA_CLEANED!AN$3:AN$1060=CALCULES!A69),""),
_xlpm.assemb_b,_xlfn._xlws.FILTER(_xlfn.VSTACK(_xlpm.but_h,_xlpm.but_a),_xlfn.VSTACK(_xlpm.but_h,_xlpm.but_a)&lt;&gt;""),
MEDIAN(_xlpm.assemb_t,_xlpm.assemb_b)
)</f>
        <v>1</v>
      </c>
      <c r="AO69" s="116">
        <f>ROUND(IFERROR((COUNTIFS(DATA_CLEANED!AK$3:AK$1060,A69,DATA_CLEANED!AM$3:AM$1060,0)
+
COUNTIFS(DATA_CLEANED!AN$3:AN$1060,A69,DATA_CLEANED!AL$3:AL$1060,0)
)/AA69,0),2)</f>
        <v>0.15</v>
      </c>
      <c r="AP69" s="112">
        <f>MAX((_xlfn.MAXIFS(_xlfn.ANCHORARRAY(DATA_CLEANED!AL$3),_xlfn.ANCHORARRAY(DATA_CLEANED!AK$3),A69)),(_xlfn.MAXIFS(DATA_CLEANED!AM$3:AM$1060,_xlfn.ANCHORARRAY(DATA_CLEANED!AN$3),A69)))</f>
        <v>5</v>
      </c>
      <c r="AQ69" s="112">
        <f>COUNTIF(_xlfn.ANCHORARRAY(DATA_CLEANED!K$3),A69)</f>
        <v>0</v>
      </c>
      <c r="AR69" s="113" t="str" cm="1">
        <f t="array" ref="AR69">_xlfn.LET(
_xlpm.home,IFERROR(_xlfn._xlws.FILTER(DATA_CLEANED!AH$3:AH$1060,DATA_CLEANED!AK$3:AK$1060=CALCULES!A69),""),
_xlpm.away,IFERROR(_xlfn._xlws.FILTER(DATA_CLEANED!AH$3:AH$1060,DATA_CLEANED!AN$3:AN$1060=CALCULES!A69),""),
_xlpm.etapes,_xlfn._xlws.FILTER(_xlfn.VSTACK(_xlpm.home,_xlpm.away),_xlfn.VSTACK(_xlpm.home,_xlpm.away)&lt;&gt;""),
_xlpm.numeros,_xlfn.XLOOKUP(_xlpm.etapes,DATA_QUALITE!AT$12:AT$38,DATA_QUALITE!AU$12:AU$38),
_xlfn.XLOOKUP(MIN(_xlpm.numeros),DATA_QUALITE!AU$12:AU$38,DATA_QUALITE!AT$12:AT$38)
)</f>
        <v>GROUP_STAGE</v>
      </c>
      <c r="AS69" s="112">
        <f t="shared" si="27"/>
        <v>9</v>
      </c>
      <c r="AT69" s="112">
        <f t="shared" si="28"/>
        <v>5</v>
      </c>
      <c r="AU69" s="112">
        <f>COUNTIFS(DATA_QUALITE!BG$12:BG$1069,"MATCH NUL",_xlfn.ANCHORARRAY(DATA_CLEANED!AK$3),CALCULES!A69)+COUNTIFS(DATA_QUALITE!BG$12:BG$1069,"MATCH NUL",_xlfn.ANCHORARRAY(DATA_CLEANED!AN$3),CALCULES!A69)</f>
        <v>7</v>
      </c>
      <c r="AV69" s="112">
        <v>40</v>
      </c>
      <c r="AW69" s="112">
        <f>COUNTIFS(_xlfn.ANCHORARRAY(DATA_CLEANED!AH$3),"QUARTER_FINALS",_xlfn.ANCHORARRAY(DATA_CLEANED!AK$3),CALCULES!A69)+COUNTIFS(_xlfn.ANCHORARRAY(DATA_CLEANED!AH$3),"QUARTER_FINALS",_xlfn.ANCHORARRAY(DATA_CLEANED!AN$3),CALCULES!A69)</f>
        <v>0</v>
      </c>
      <c r="AX69" s="112">
        <f>COUNTIFS(_xlfn.ANCHORARRAY(DATA_CLEANED!AH$3),"SEMI_FINALS",_xlfn.ANCHORARRAY(DATA_CLEANED!AK$3),CALCULES!A69)+COUNTIFS(_xlfn.ANCHORARRAY(DATA_CLEANED!AH$3),"SEMI_FINALS",_xlfn.ANCHORARRAY(DATA_CLEANED!AN$3),CALCULES!A69)</f>
        <v>0</v>
      </c>
      <c r="AY69" s="112">
        <f>COUNTIFS(_xlfn.ANCHORARRAY(DATA_CLEANED!AH$3),"FINAL",_xlfn.ANCHORARRAY(DATA_CLEANED!AK$3),CALCULES!A69)+COUNTIFS(_xlfn.ANCHORARRAY(DATA_CLEANED!AH$3),"FINAL",_xlfn.ANCHORARRAY(DATA_CLEANED!AN$3),CALCULES!A69)</f>
        <v>0</v>
      </c>
      <c r="AZ69" s="112">
        <f>COUNTIFS(DATA_QUALITE!BG$12:BG$1069,CALCULES!A69,DATA_QUALITE!AW$12:AW$1069,"FINAL")</f>
        <v>0</v>
      </c>
      <c r="BA69" s="113">
        <f t="shared" si="29"/>
        <v>33.06</v>
      </c>
      <c r="BB69" s="118">
        <f t="shared" si="33"/>
        <v>11.02</v>
      </c>
      <c r="BC69" s="118">
        <f t="shared" si="34"/>
        <v>7.95</v>
      </c>
      <c r="BD69" s="139">
        <f t="shared" si="35"/>
        <v>9.49</v>
      </c>
      <c r="BF69" s="167"/>
      <c r="BG69" s="167"/>
      <c r="BH69" s="167"/>
      <c r="BI69" s="167"/>
      <c r="BJ69" s="167"/>
      <c r="BK69" s="167"/>
      <c r="BL69" s="173">
        <f>INT((ROWS($BL$15:BL69)-1)/9)</f>
        <v>6</v>
      </c>
      <c r="BM69" s="173">
        <f>MOD(ROWS($BM$15:BM69)-1,9)</f>
        <v>0</v>
      </c>
      <c r="BN69" s="173">
        <f t="shared" si="22"/>
        <v>1.5410582131383103E-3</v>
      </c>
      <c r="BO69" s="167"/>
      <c r="BP69" s="167"/>
    </row>
    <row r="70" spans="1:68">
      <c r="A70" s="113" t="str">
        <v>Senegal</v>
      </c>
      <c r="B70" s="112">
        <f>IF(COUNTIFS(_xlfn.ANCHORARRAY(DATA_CLEANED!$AF$3),CALCULES!B$2,_xlfn.ANCHORARRAY(DATA_CLEANED!$AK$3),CALCULES!$A70)+COUNTIFS(_xlfn.ANCHORARRAY(DATA_CLEANED!$AF$3),CALCULES!B$2,_xlfn.ANCHORARRAY(DATA_CLEANED!$AN$3),CALCULES!$A70)&gt;0,1,0)</f>
        <v>0</v>
      </c>
      <c r="C70" s="112">
        <f>IF(COUNTIFS(_xlfn.ANCHORARRAY(DATA_CLEANED!$AF$3),CALCULES!C$2,_xlfn.ANCHORARRAY(DATA_CLEANED!$AK$3),CALCULES!$A70)+COUNTIFS(_xlfn.ANCHORARRAY(DATA_CLEANED!$AF$3),CALCULES!C$2,_xlfn.ANCHORARRAY(DATA_CLEANED!$AN$3),CALCULES!$A70)&gt;0,1,0)</f>
        <v>0</v>
      </c>
      <c r="D70" s="112">
        <f>IF(COUNTIFS(_xlfn.ANCHORARRAY(DATA_CLEANED!$AF$3),CALCULES!D$2,_xlfn.ANCHORARRAY(DATA_CLEANED!$AK$3),CALCULES!$A70)+COUNTIFS(_xlfn.ANCHORARRAY(DATA_CLEANED!$AF$3),CALCULES!D$2,_xlfn.ANCHORARRAY(DATA_CLEANED!$AN$3),CALCULES!$A70)&gt;0,1,0)</f>
        <v>0</v>
      </c>
      <c r="E70" s="112">
        <f>IF(COUNTIFS(_xlfn.ANCHORARRAY(DATA_CLEANED!$AF$3),CALCULES!E$2,_xlfn.ANCHORARRAY(DATA_CLEANED!$AK$3),CALCULES!$A70)+COUNTIFS(_xlfn.ANCHORARRAY(DATA_CLEANED!$AF$3),CALCULES!E$2,_xlfn.ANCHORARRAY(DATA_CLEANED!$AN$3),CALCULES!$A70)&gt;0,1,0)</f>
        <v>0</v>
      </c>
      <c r="F70" s="112">
        <f>IF(COUNTIFS(_xlfn.ANCHORARRAY(DATA_CLEANED!$AF$3),CALCULES!F$2,_xlfn.ANCHORARRAY(DATA_CLEANED!$AK$3),CALCULES!$A70)+COUNTIFS(_xlfn.ANCHORARRAY(DATA_CLEANED!$AF$3),CALCULES!F$2,_xlfn.ANCHORARRAY(DATA_CLEANED!$AN$3),CALCULES!$A70)&gt;0,1,0)</f>
        <v>0</v>
      </c>
      <c r="G70" s="112">
        <f>IF(COUNTIFS(_xlfn.ANCHORARRAY(DATA_CLEANED!$AF$3),CALCULES!G$2,_xlfn.ANCHORARRAY(DATA_CLEANED!$AK$3),CALCULES!$A70)+COUNTIFS(_xlfn.ANCHORARRAY(DATA_CLEANED!$AF$3),CALCULES!G$2,_xlfn.ANCHORARRAY(DATA_CLEANED!$AN$3),CALCULES!$A70)&gt;0,1,0)</f>
        <v>0</v>
      </c>
      <c r="H70" s="112">
        <f>IF(COUNTIFS(_xlfn.ANCHORARRAY(DATA_CLEANED!$AF$3),CALCULES!H$2,_xlfn.ANCHORARRAY(DATA_CLEANED!$AK$3),CALCULES!$A70)+COUNTIFS(_xlfn.ANCHORARRAY(DATA_CLEANED!$AF$3),CALCULES!H$2,_xlfn.ANCHORARRAY(DATA_CLEANED!$AN$3),CALCULES!$A70)&gt;0,1,0)</f>
        <v>0</v>
      </c>
      <c r="I70" s="112">
        <f>IF(COUNTIFS(_xlfn.ANCHORARRAY(DATA_CLEANED!$AF$3),CALCULES!I$2,_xlfn.ANCHORARRAY(DATA_CLEANED!$AK$3),CALCULES!$A70)+COUNTIFS(_xlfn.ANCHORARRAY(DATA_CLEANED!$AF$3),CALCULES!I$2,_xlfn.ANCHORARRAY(DATA_CLEANED!$AN$3),CALCULES!$A70)&gt;0,1,0)</f>
        <v>0</v>
      </c>
      <c r="J70" s="112">
        <f>IF(COUNTIFS(_xlfn.ANCHORARRAY(DATA_CLEANED!$AF$3),CALCULES!J$2,_xlfn.ANCHORARRAY(DATA_CLEANED!$AK$3),CALCULES!$A70)+COUNTIFS(_xlfn.ANCHORARRAY(DATA_CLEANED!$AF$3),CALCULES!J$2,_xlfn.ANCHORARRAY(DATA_CLEANED!$AN$3),CALCULES!$A70)&gt;0,1,0)</f>
        <v>0</v>
      </c>
      <c r="K70" s="112">
        <f>IF(COUNTIFS(_xlfn.ANCHORARRAY(DATA_CLEANED!$AF$3),CALCULES!K$2,_xlfn.ANCHORARRAY(DATA_CLEANED!$AK$3),CALCULES!$A70)+COUNTIFS(_xlfn.ANCHORARRAY(DATA_CLEANED!$AF$3),CALCULES!K$2,_xlfn.ANCHORARRAY(DATA_CLEANED!$AN$3),CALCULES!$A70)&gt;0,1,0)</f>
        <v>0</v>
      </c>
      <c r="L70" s="112">
        <f>IF(COUNTIFS(_xlfn.ANCHORARRAY(DATA_CLEANED!$AF$3),CALCULES!L$2,_xlfn.ANCHORARRAY(DATA_CLEANED!$AK$3),CALCULES!$A70)+COUNTIFS(_xlfn.ANCHORARRAY(DATA_CLEANED!$AF$3),CALCULES!L$2,_xlfn.ANCHORARRAY(DATA_CLEANED!$AN$3),CALCULES!$A70)&gt;0,1,0)</f>
        <v>0</v>
      </c>
      <c r="M70" s="112">
        <f>IF(COUNTIFS(_xlfn.ANCHORARRAY(DATA_CLEANED!$AF$3),CALCULES!M$2,_xlfn.ANCHORARRAY(DATA_CLEANED!$AK$3),CALCULES!$A70)+COUNTIFS(_xlfn.ANCHORARRAY(DATA_CLEANED!$AF$3),CALCULES!M$2,_xlfn.ANCHORARRAY(DATA_CLEANED!$AN$3),CALCULES!$A70)&gt;0,1,0)</f>
        <v>0</v>
      </c>
      <c r="N70" s="112">
        <f>IF(COUNTIFS(_xlfn.ANCHORARRAY(DATA_CLEANED!$AF$3),CALCULES!N$2,_xlfn.ANCHORARRAY(DATA_CLEANED!$AK$3),CALCULES!$A70)+COUNTIFS(_xlfn.ANCHORARRAY(DATA_CLEANED!$AF$3),CALCULES!N$2,_xlfn.ANCHORARRAY(DATA_CLEANED!$AN$3),CALCULES!$A70)&gt;0,1,0)</f>
        <v>0</v>
      </c>
      <c r="O70" s="112">
        <f>IF(COUNTIFS(_xlfn.ANCHORARRAY(DATA_CLEANED!$AF$3),CALCULES!O$2,_xlfn.ANCHORARRAY(DATA_CLEANED!$AK$3),CALCULES!$A70)+COUNTIFS(_xlfn.ANCHORARRAY(DATA_CLEANED!$AF$3),CALCULES!O$2,_xlfn.ANCHORARRAY(DATA_CLEANED!$AN$3),CALCULES!$A70)&gt;0,1,0)</f>
        <v>0</v>
      </c>
      <c r="P70" s="112">
        <f>IF(COUNTIFS(_xlfn.ANCHORARRAY(DATA_CLEANED!$AF$3),CALCULES!P$2,_xlfn.ANCHORARRAY(DATA_CLEANED!$AK$3),CALCULES!$A70)+COUNTIFS(_xlfn.ANCHORARRAY(DATA_CLEANED!$AF$3),CALCULES!P$2,_xlfn.ANCHORARRAY(DATA_CLEANED!$AN$3),CALCULES!$A70)&gt;0,1,0)</f>
        <v>0</v>
      </c>
      <c r="Q70" s="112">
        <f>IF(COUNTIFS(_xlfn.ANCHORARRAY(DATA_CLEANED!$AF$3),CALCULES!Q$2,_xlfn.ANCHORARRAY(DATA_CLEANED!$AK$3),CALCULES!$A70)+COUNTIFS(_xlfn.ANCHORARRAY(DATA_CLEANED!$AF$3),CALCULES!Q$2,_xlfn.ANCHORARRAY(DATA_CLEANED!$AN$3),CALCULES!$A70)&gt;0,1,0)</f>
        <v>0</v>
      </c>
      <c r="R70" s="112">
        <f>IF(COUNTIFS(_xlfn.ANCHORARRAY(DATA_CLEANED!$AF$3),CALCULES!R$2,_xlfn.ANCHORARRAY(DATA_CLEANED!$AK$3),CALCULES!$A70)+COUNTIFS(_xlfn.ANCHORARRAY(DATA_CLEANED!$AF$3),CALCULES!R$2,_xlfn.ANCHORARRAY(DATA_CLEANED!$AN$3),CALCULES!$A70)&gt;0,1,0)</f>
        <v>1</v>
      </c>
      <c r="S70" s="112">
        <f>IF(COUNTIFS(_xlfn.ANCHORARRAY(DATA_CLEANED!$AF$3),CALCULES!S$2,_xlfn.ANCHORARRAY(DATA_CLEANED!$AK$3),CALCULES!$A70)+COUNTIFS(_xlfn.ANCHORARRAY(DATA_CLEANED!$AF$3),CALCULES!S$2,_xlfn.ANCHORARRAY(DATA_CLEANED!$AN$3),CALCULES!$A70)&gt;0,1,0)</f>
        <v>0</v>
      </c>
      <c r="T70" s="112">
        <f>IF(COUNTIFS(_xlfn.ANCHORARRAY(DATA_CLEANED!$AF$3),CALCULES!T$2,_xlfn.ANCHORARRAY(DATA_CLEANED!$AK$3),CALCULES!$A70)+COUNTIFS(_xlfn.ANCHORARRAY(DATA_CLEANED!$AF$3),CALCULES!T$2,_xlfn.ANCHORARRAY(DATA_CLEANED!$AN$3),CALCULES!$A70)&gt;0,1,0)</f>
        <v>0</v>
      </c>
      <c r="U70" s="112">
        <f>IF(COUNTIFS(_xlfn.ANCHORARRAY(DATA_CLEANED!$AF$3),CALCULES!U$2,_xlfn.ANCHORARRAY(DATA_CLEANED!$AK$3),CALCULES!$A70)+COUNTIFS(_xlfn.ANCHORARRAY(DATA_CLEANED!$AF$3),CALCULES!U$2,_xlfn.ANCHORARRAY(DATA_CLEANED!$AN$3),CALCULES!$A70)&gt;0,1,0)</f>
        <v>0</v>
      </c>
      <c r="V70" s="112">
        <f>IF(COUNTIFS(_xlfn.ANCHORARRAY(DATA_CLEANED!$AF$3),CALCULES!V$2,_xlfn.ANCHORARRAY(DATA_CLEANED!$AK$3),CALCULES!$A70)+COUNTIFS(_xlfn.ANCHORARRAY(DATA_CLEANED!$AF$3),CALCULES!V$2,_xlfn.ANCHORARRAY(DATA_CLEANED!$AN$3),CALCULES!$A70)&gt;0,1,0)</f>
        <v>1</v>
      </c>
      <c r="W70" s="112">
        <f>IF(COUNTIFS(_xlfn.ANCHORARRAY(DATA_CLEANED!$AF$3),CALCULES!W$2,_xlfn.ANCHORARRAY(DATA_CLEANED!$AK$3),CALCULES!$A70)+COUNTIFS(_xlfn.ANCHORARRAY(DATA_CLEANED!$AF$3),CALCULES!W$2,_xlfn.ANCHORARRAY(DATA_CLEANED!$AN$3),CALCULES!$A70)&gt;0,1,0)</f>
        <v>1</v>
      </c>
      <c r="X70" s="112">
        <f>IF(COUNTIFS(_xlfn.ANCHORARRAY(DATA_CLEANED!$AF$3),CALCULES!X$2,_xlfn.ANCHORARRAY(DATA_CLEANED!$AK$3),CALCULES!$A70)+COUNTIFS(_xlfn.ANCHORARRAY(DATA_CLEANED!$AF$3),CALCULES!X$2,_xlfn.ANCHORARRAY(DATA_CLEANED!$AN$3),CALCULES!$A70)&gt;0,1,0)</f>
        <v>1</v>
      </c>
      <c r="Y70" s="113">
        <f t="shared" si="23"/>
        <v>4</v>
      </c>
      <c r="AA70" s="112">
        <f>COUNTIF(_xlfn.ANCHORARRAY(DATA_CLEANED!$AK$3),$A70)+COUNTIF(DATA_CLEANED!$AN$2:$AN$1060,$A70)</f>
        <v>15</v>
      </c>
      <c r="AB70" s="112">
        <f>COUNTIF(DATA_QUALITE!BG$12:BG$1069,A70)</f>
        <v>6</v>
      </c>
      <c r="AC70" s="112">
        <f t="shared" si="30"/>
        <v>9</v>
      </c>
      <c r="AD70" s="112" cm="1">
        <f t="array" ref="AD70">SUMPRODUCT((DATA_CLEANED!AL$3:AL$1060=DATA_CLEANED!AM$3:AM$1060)*(_xlfn.ANCHORARRAY(DATA_CLEANED!AK$3)=CALCULES!A70)*(DATA_CLEANED!AO$3:AO$1060&lt;&gt;"-"))
+
SUMPRODUCT((DATA_CLEANED!AL$3:AL$1060=DATA_CLEANED!AM$3:AM$1060)*(_xlfn.ANCHORARRAY(DATA_CLEANED!AN$3)=CALCULES!A70)*(DATA_CLEANED!AO$3:AO$1060&lt;&gt;"-"))</f>
        <v>0</v>
      </c>
      <c r="AE70" s="116">
        <f t="shared" si="24"/>
        <v>0.4</v>
      </c>
      <c r="AF70" s="116">
        <f t="shared" si="25"/>
        <v>0.6</v>
      </c>
      <c r="AG70" s="112">
        <f>SUMIF(_xlfn.ANCHORARRAY(DATA_CLEANED!AK$3),A70,DATA_CLEANED!AL$2:AL$1060)+SUMIF(_xlfn.ANCHORARRAY(DATA_CLEANED!AN$3),A70,DATA_CLEANED!AM$2:AM$1060)</f>
        <v>24</v>
      </c>
      <c r="AH70" s="112">
        <f>SUMIF(_xlfn.ANCHORARRAY(DATA_CLEANED!AK$3),A70,DATA_CLEANED!AM$2:AM$1060)+SUMIF(_xlfn.ANCHORARRAY(DATA_CLEANED!AN$3),A70,DATA_CLEANED!AL$2:AL$1060)</f>
        <v>25</v>
      </c>
      <c r="AI70" s="112">
        <f t="shared" si="31"/>
        <v>1.67</v>
      </c>
      <c r="AJ70" s="117" cm="1">
        <f t="array" ref="AJ70">_xlfn.LET(_xlpm.home,IFERROR(_xlfn._xlws.FILTER(DATA_CLEANED!AH$3:AH$1060,DATA_CLEANED!AK$3:AK$1060=CALCULES!A70),""),
_xlpm.away,IFERROR(_xlfn._xlws.FILTER(DATA_CLEANED!AH$3:AH$1060,DATA_CLEANED!AN$3:AN$1060=CALCULES!A70),""),
_xlpm.assemb_t,_xlfn._xlws.FILTER(_xlfn.VSTACK(_xlpm.home,_xlpm.away),_xlfn.VSTACK(_xlpm.home,_xlpm.away)&lt;&gt;""),
_xlpm.but_h,IFERROR(_xlfn._xlws.FILTER(_xlfn.ANCHORARRAY(DATA_CLEANED!AM$3),DATA_CLEANED!AK$3:AK$1060=CALCULES!A70),""),
_xlpm.but_a,IFERROR(_xlfn._xlws.FILTER(_xlfn.ANCHORARRAY(DATA_CLEANED!AL$3),DATA_CLEANED!AN$3:AN$1060=CALCULES!A70),""),
_xlpm.assemb_b,_xlfn._xlws.FILTER(_xlfn.VSTACK(_xlpm.but_h,_xlpm.but_a),_xlfn.VSTACK(_xlpm.but_h,_xlpm.but_a)&lt;&gt;""),
MEDIAN(_xlpm.assemb_t,_xlpm.assemb_b)
)</f>
        <v>1</v>
      </c>
      <c r="AK70" s="113">
        <f t="shared" si="26"/>
        <v>-1</v>
      </c>
      <c r="AL70" s="112" cm="1">
        <f t="array" ref="AL70">IFERROR(MEDIAN(_xlfn._xlws.FILTER(_xlfn.VSTACK(
DATA_CLEANED!AL$3:AL$1060-DATA_CLEANED!AM$3:AM$1060,
DATA_CLEANED!AM$3:AM$1060-DATA_CLEANED!AL$3:AL$1060
),_xlfn.VSTACK(DATA_CLEANED!AK$3:AK$1060,DATA_CLEANED!AN$3:AN$1060)=A70)),"-")</f>
        <v>0</v>
      </c>
      <c r="AM70" s="112">
        <f t="shared" si="32"/>
        <v>1.6</v>
      </c>
      <c r="AN70" s="112" cm="1">
        <f t="array" ref="AN70">_xlfn.LET(_xlpm.home,IFERROR(_xlfn._xlws.FILTER(DATA_CLEANED!AH$3:AH$1060,DATA_CLEANED!AK$3:AK$1060=CALCULES!A70),""),
_xlpm.away,IFERROR(_xlfn._xlws.FILTER(DATA_CLEANED!AH$3:AH$1060,DATA_CLEANED!AN$3:AN$1060=CALCULES!A70),""),
_xlpm.assemb_t,_xlfn._xlws.FILTER(_xlfn.VSTACK(_xlpm.home,_xlpm.away),_xlfn.VSTACK(_xlpm.home,_xlpm.away)&lt;&gt;""),
_xlpm.but_h,IFERROR(_xlfn._xlws.FILTER(_xlfn.ANCHORARRAY(DATA_CLEANED!AL$3),DATA_CLEANED!AK$3:AK$1060=CALCULES!A70),""),
_xlpm.but_a,IFERROR(_xlfn._xlws.FILTER(_xlfn.ANCHORARRAY(DATA_CLEANED!AM$3),DATA_CLEANED!AN$3:AN$1060=CALCULES!A70),""),
_xlpm.assemb_b,_xlfn._xlws.FILTER(_xlfn.VSTACK(_xlpm.but_h,_xlpm.but_a),_xlfn.VSTACK(_xlpm.but_h,_xlpm.but_a)&lt;&gt;""),
MEDIAN(_xlpm.assemb_t,_xlpm.assemb_b)
)</f>
        <v>2</v>
      </c>
      <c r="AO70" s="116">
        <f>ROUND(IFERROR((COUNTIFS(DATA_CLEANED!AK$3:AK$1060,A70,DATA_CLEANED!AM$3:AM$1060,0)
+
COUNTIFS(DATA_CLEANED!AN$3:AN$1060,A70,DATA_CLEANED!AL$3:AL$1060,0)
)/AA70,0),2)</f>
        <v>0.13</v>
      </c>
      <c r="AP70" s="112">
        <f>MAX((_xlfn.MAXIFS(_xlfn.ANCHORARRAY(DATA_CLEANED!AL$3),_xlfn.ANCHORARRAY(DATA_CLEANED!AK$3),A70)),(_xlfn.MAXIFS(DATA_CLEANED!AM$3:AM$1060,_xlfn.ANCHORARRAY(DATA_CLEANED!AN$3),A70)))</f>
        <v>5</v>
      </c>
      <c r="AQ70" s="112">
        <f>COUNTIF(_xlfn.ANCHORARRAY(DATA_CLEANED!K$3),A70)</f>
        <v>0</v>
      </c>
      <c r="AR70" s="113" t="str" cm="1">
        <f t="array" ref="AR70">_xlfn.LET(
_xlpm.home,IFERROR(_xlfn._xlws.FILTER(DATA_CLEANED!AH$3:AH$1060,DATA_CLEANED!AK$3:AK$1060=CALCULES!A70),""),
_xlpm.away,IFERROR(_xlfn._xlws.FILTER(DATA_CLEANED!AH$3:AH$1060,DATA_CLEANED!AN$3:AN$1060=CALCULES!A70),""),
_xlpm.etapes,_xlfn._xlws.FILTER(_xlfn.VSTACK(_xlpm.home,_xlpm.away),_xlfn.VSTACK(_xlpm.home,_xlpm.away)&lt;&gt;""),
_xlpm.numeros,_xlfn.XLOOKUP(_xlpm.etapes,DATA_QUALITE!AT$12:AT$38,DATA_QUALITE!AU$12:AU$38),
_xlfn.XLOOKUP(MIN(_xlpm.numeros),DATA_QUALITE!AU$12:AU$38,DATA_QUALITE!AT$12:AT$38)
)</f>
        <v>QUARTER_FINALS</v>
      </c>
      <c r="AS70" s="112">
        <f t="shared" si="27"/>
        <v>4</v>
      </c>
      <c r="AT70" s="112">
        <f t="shared" si="28"/>
        <v>6</v>
      </c>
      <c r="AU70" s="112">
        <f>COUNTIFS(DATA_QUALITE!BG$12:BG$1069,"MATCH NUL",_xlfn.ANCHORARRAY(DATA_CLEANED!AK$3),CALCULES!A70)+COUNTIFS(DATA_QUALITE!BG$12:BG$1069,"MATCH NUL",_xlfn.ANCHORARRAY(DATA_CLEANED!AN$3),CALCULES!A70)</f>
        <v>3</v>
      </c>
      <c r="AV70" s="112">
        <v>24</v>
      </c>
      <c r="AW70" s="112">
        <f>COUNTIFS(_xlfn.ANCHORARRAY(DATA_CLEANED!AH$3),"QUARTER_FINALS",_xlfn.ANCHORARRAY(DATA_CLEANED!AK$3),CALCULES!A70)+COUNTIFS(_xlfn.ANCHORARRAY(DATA_CLEANED!AH$3),"QUARTER_FINALS",_xlfn.ANCHORARRAY(DATA_CLEANED!AN$3),CALCULES!A70)</f>
        <v>1</v>
      </c>
      <c r="AX70" s="112">
        <f>COUNTIFS(_xlfn.ANCHORARRAY(DATA_CLEANED!AH$3),"SEMI_FINALS",_xlfn.ANCHORARRAY(DATA_CLEANED!AK$3),CALCULES!A70)+COUNTIFS(_xlfn.ANCHORARRAY(DATA_CLEANED!AH$3),"SEMI_FINALS",_xlfn.ANCHORARRAY(DATA_CLEANED!AN$3),CALCULES!A70)</f>
        <v>0</v>
      </c>
      <c r="AY70" s="112">
        <f>COUNTIFS(_xlfn.ANCHORARRAY(DATA_CLEANED!AH$3),"FINAL",_xlfn.ANCHORARRAY(DATA_CLEANED!AK$3),CALCULES!A70)+COUNTIFS(_xlfn.ANCHORARRAY(DATA_CLEANED!AH$3),"FINAL",_xlfn.ANCHORARRAY(DATA_CLEANED!AN$3),CALCULES!A70)</f>
        <v>0</v>
      </c>
      <c r="AZ70" s="112">
        <f>COUNTIFS(DATA_QUALITE!BG$12:BG$1069,CALCULES!A70,DATA_QUALITE!AW$12:AW$1069,"FINAL")</f>
        <v>0</v>
      </c>
      <c r="BA70" s="113">
        <f t="shared" si="29"/>
        <v>48.17</v>
      </c>
      <c r="BB70" s="118">
        <f t="shared" si="33"/>
        <v>16.23</v>
      </c>
      <c r="BC70" s="118">
        <f t="shared" si="34"/>
        <v>10.6</v>
      </c>
      <c r="BD70" s="139">
        <f t="shared" si="35"/>
        <v>13.42</v>
      </c>
      <c r="BF70" s="167"/>
      <c r="BG70" s="167"/>
      <c r="BH70" s="167"/>
      <c r="BI70" s="167"/>
      <c r="BJ70" s="167"/>
      <c r="BK70" s="167"/>
      <c r="BL70" s="173">
        <f>INT((ROWS($BL$15:BL70)-1)/9)</f>
        <v>6</v>
      </c>
      <c r="BM70" s="173">
        <f>MOD(ROWS($BM$15:BM70)-1,9)</f>
        <v>1</v>
      </c>
      <c r="BN70" s="173">
        <f t="shared" si="22"/>
        <v>1.7258854880016696E-3</v>
      </c>
      <c r="BO70" s="167"/>
      <c r="BP70" s="167"/>
    </row>
    <row r="71" spans="1:68">
      <c r="A71" s="113" t="str">
        <v>Serbia</v>
      </c>
      <c r="B71" s="112">
        <f>IF(COUNTIFS(_xlfn.ANCHORARRAY(DATA_CLEANED!$AF$3),CALCULES!B$2,_xlfn.ANCHORARRAY(DATA_CLEANED!$AK$3),CALCULES!$A71)+COUNTIFS(_xlfn.ANCHORARRAY(DATA_CLEANED!$AF$3),CALCULES!B$2,_xlfn.ANCHORARRAY(DATA_CLEANED!$AN$3),CALCULES!$A71)&gt;0,1,0)</f>
        <v>0</v>
      </c>
      <c r="C71" s="112">
        <f>IF(COUNTIFS(_xlfn.ANCHORARRAY(DATA_CLEANED!$AF$3),CALCULES!C$2,_xlfn.ANCHORARRAY(DATA_CLEANED!$AK$3),CALCULES!$A71)+COUNTIFS(_xlfn.ANCHORARRAY(DATA_CLEANED!$AF$3),CALCULES!C$2,_xlfn.ANCHORARRAY(DATA_CLEANED!$AN$3),CALCULES!$A71)&gt;0,1,0)</f>
        <v>0</v>
      </c>
      <c r="D71" s="112">
        <f>IF(COUNTIFS(_xlfn.ANCHORARRAY(DATA_CLEANED!$AF$3),CALCULES!D$2,_xlfn.ANCHORARRAY(DATA_CLEANED!$AK$3),CALCULES!$A71)+COUNTIFS(_xlfn.ANCHORARRAY(DATA_CLEANED!$AF$3),CALCULES!D$2,_xlfn.ANCHORARRAY(DATA_CLEANED!$AN$3),CALCULES!$A71)&gt;0,1,0)</f>
        <v>0</v>
      </c>
      <c r="E71" s="112">
        <f>IF(COUNTIFS(_xlfn.ANCHORARRAY(DATA_CLEANED!$AF$3),CALCULES!E$2,_xlfn.ANCHORARRAY(DATA_CLEANED!$AK$3),CALCULES!$A71)+COUNTIFS(_xlfn.ANCHORARRAY(DATA_CLEANED!$AF$3),CALCULES!E$2,_xlfn.ANCHORARRAY(DATA_CLEANED!$AN$3),CALCULES!$A71)&gt;0,1,0)</f>
        <v>0</v>
      </c>
      <c r="F71" s="112">
        <f>IF(COUNTIFS(_xlfn.ANCHORARRAY(DATA_CLEANED!$AF$3),CALCULES!F$2,_xlfn.ANCHORARRAY(DATA_CLEANED!$AK$3),CALCULES!$A71)+COUNTIFS(_xlfn.ANCHORARRAY(DATA_CLEANED!$AF$3),CALCULES!F$2,_xlfn.ANCHORARRAY(DATA_CLEANED!$AN$3),CALCULES!$A71)&gt;0,1,0)</f>
        <v>0</v>
      </c>
      <c r="G71" s="112">
        <f>IF(COUNTIFS(_xlfn.ANCHORARRAY(DATA_CLEANED!$AF$3),CALCULES!G$2,_xlfn.ANCHORARRAY(DATA_CLEANED!$AK$3),CALCULES!$A71)+COUNTIFS(_xlfn.ANCHORARRAY(DATA_CLEANED!$AF$3),CALCULES!G$2,_xlfn.ANCHORARRAY(DATA_CLEANED!$AN$3),CALCULES!$A71)&gt;0,1,0)</f>
        <v>0</v>
      </c>
      <c r="H71" s="112">
        <f>IF(COUNTIFS(_xlfn.ANCHORARRAY(DATA_CLEANED!$AF$3),CALCULES!H$2,_xlfn.ANCHORARRAY(DATA_CLEANED!$AK$3),CALCULES!$A71)+COUNTIFS(_xlfn.ANCHORARRAY(DATA_CLEANED!$AF$3),CALCULES!H$2,_xlfn.ANCHORARRAY(DATA_CLEANED!$AN$3),CALCULES!$A71)&gt;0,1,0)</f>
        <v>0</v>
      </c>
      <c r="I71" s="112">
        <f>IF(COUNTIFS(_xlfn.ANCHORARRAY(DATA_CLEANED!$AF$3),CALCULES!I$2,_xlfn.ANCHORARRAY(DATA_CLEANED!$AK$3),CALCULES!$A71)+COUNTIFS(_xlfn.ANCHORARRAY(DATA_CLEANED!$AF$3),CALCULES!I$2,_xlfn.ANCHORARRAY(DATA_CLEANED!$AN$3),CALCULES!$A71)&gt;0,1,0)</f>
        <v>0</v>
      </c>
      <c r="J71" s="112">
        <f>IF(COUNTIFS(_xlfn.ANCHORARRAY(DATA_CLEANED!$AF$3),CALCULES!J$2,_xlfn.ANCHORARRAY(DATA_CLEANED!$AK$3),CALCULES!$A71)+COUNTIFS(_xlfn.ANCHORARRAY(DATA_CLEANED!$AF$3),CALCULES!J$2,_xlfn.ANCHORARRAY(DATA_CLEANED!$AN$3),CALCULES!$A71)&gt;0,1,0)</f>
        <v>0</v>
      </c>
      <c r="K71" s="112">
        <f>IF(COUNTIFS(_xlfn.ANCHORARRAY(DATA_CLEANED!$AF$3),CALCULES!K$2,_xlfn.ANCHORARRAY(DATA_CLEANED!$AK$3),CALCULES!$A71)+COUNTIFS(_xlfn.ANCHORARRAY(DATA_CLEANED!$AF$3),CALCULES!K$2,_xlfn.ANCHORARRAY(DATA_CLEANED!$AN$3),CALCULES!$A71)&gt;0,1,0)</f>
        <v>0</v>
      </c>
      <c r="L71" s="112">
        <f>IF(COUNTIFS(_xlfn.ANCHORARRAY(DATA_CLEANED!$AF$3),CALCULES!L$2,_xlfn.ANCHORARRAY(DATA_CLEANED!$AK$3),CALCULES!$A71)+COUNTIFS(_xlfn.ANCHORARRAY(DATA_CLEANED!$AF$3),CALCULES!L$2,_xlfn.ANCHORARRAY(DATA_CLEANED!$AN$3),CALCULES!$A71)&gt;0,1,0)</f>
        <v>0</v>
      </c>
      <c r="M71" s="112">
        <f>IF(COUNTIFS(_xlfn.ANCHORARRAY(DATA_CLEANED!$AF$3),CALCULES!M$2,_xlfn.ANCHORARRAY(DATA_CLEANED!$AK$3),CALCULES!$A71)+COUNTIFS(_xlfn.ANCHORARRAY(DATA_CLEANED!$AF$3),CALCULES!M$2,_xlfn.ANCHORARRAY(DATA_CLEANED!$AN$3),CALCULES!$A71)&gt;0,1,0)</f>
        <v>0</v>
      </c>
      <c r="N71" s="112">
        <f>IF(COUNTIFS(_xlfn.ANCHORARRAY(DATA_CLEANED!$AF$3),CALCULES!N$2,_xlfn.ANCHORARRAY(DATA_CLEANED!$AK$3),CALCULES!$A71)+COUNTIFS(_xlfn.ANCHORARRAY(DATA_CLEANED!$AF$3),CALCULES!N$2,_xlfn.ANCHORARRAY(DATA_CLEANED!$AN$3),CALCULES!$A71)&gt;0,1,0)</f>
        <v>0</v>
      </c>
      <c r="O71" s="112">
        <f>IF(COUNTIFS(_xlfn.ANCHORARRAY(DATA_CLEANED!$AF$3),CALCULES!O$2,_xlfn.ANCHORARRAY(DATA_CLEANED!$AK$3),CALCULES!$A71)+COUNTIFS(_xlfn.ANCHORARRAY(DATA_CLEANED!$AF$3),CALCULES!O$2,_xlfn.ANCHORARRAY(DATA_CLEANED!$AN$3),CALCULES!$A71)&gt;0,1,0)</f>
        <v>0</v>
      </c>
      <c r="P71" s="112">
        <f>IF(COUNTIFS(_xlfn.ANCHORARRAY(DATA_CLEANED!$AF$3),CALCULES!P$2,_xlfn.ANCHORARRAY(DATA_CLEANED!$AK$3),CALCULES!$A71)+COUNTIFS(_xlfn.ANCHORARRAY(DATA_CLEANED!$AF$3),CALCULES!P$2,_xlfn.ANCHORARRAY(DATA_CLEANED!$AN$3),CALCULES!$A71)&gt;0,1,0)</f>
        <v>0</v>
      </c>
      <c r="Q71" s="112">
        <f>IF(COUNTIFS(_xlfn.ANCHORARRAY(DATA_CLEANED!$AF$3),CALCULES!Q$2,_xlfn.ANCHORARRAY(DATA_CLEANED!$AK$3),CALCULES!$A71)+COUNTIFS(_xlfn.ANCHORARRAY(DATA_CLEANED!$AF$3),CALCULES!Q$2,_xlfn.ANCHORARRAY(DATA_CLEANED!$AN$3),CALCULES!$A71)&gt;0,1,0)</f>
        <v>0</v>
      </c>
      <c r="R71" s="112">
        <f>IF(COUNTIFS(_xlfn.ANCHORARRAY(DATA_CLEANED!$AF$3),CALCULES!R$2,_xlfn.ANCHORARRAY(DATA_CLEANED!$AK$3),CALCULES!$A71)+COUNTIFS(_xlfn.ANCHORARRAY(DATA_CLEANED!$AF$3),CALCULES!R$2,_xlfn.ANCHORARRAY(DATA_CLEANED!$AN$3),CALCULES!$A71)&gt;0,1,0)</f>
        <v>0</v>
      </c>
      <c r="S71" s="112">
        <f>IF(COUNTIFS(_xlfn.ANCHORARRAY(DATA_CLEANED!$AF$3),CALCULES!S$2,_xlfn.ANCHORARRAY(DATA_CLEANED!$AK$3),CALCULES!$A71)+COUNTIFS(_xlfn.ANCHORARRAY(DATA_CLEANED!$AF$3),CALCULES!S$2,_xlfn.ANCHORARRAY(DATA_CLEANED!$AN$3),CALCULES!$A71)&gt;0,1,0)</f>
        <v>0</v>
      </c>
      <c r="T71" s="112">
        <f>IF(COUNTIFS(_xlfn.ANCHORARRAY(DATA_CLEANED!$AF$3),CALCULES!T$2,_xlfn.ANCHORARRAY(DATA_CLEANED!$AK$3),CALCULES!$A71)+COUNTIFS(_xlfn.ANCHORARRAY(DATA_CLEANED!$AF$3),CALCULES!T$2,_xlfn.ANCHORARRAY(DATA_CLEANED!$AN$3),CALCULES!$A71)&gt;0,1,0)</f>
        <v>1</v>
      </c>
      <c r="U71" s="112">
        <f>IF(COUNTIFS(_xlfn.ANCHORARRAY(DATA_CLEANED!$AF$3),CALCULES!U$2,_xlfn.ANCHORARRAY(DATA_CLEANED!$AK$3),CALCULES!$A71)+COUNTIFS(_xlfn.ANCHORARRAY(DATA_CLEANED!$AF$3),CALCULES!U$2,_xlfn.ANCHORARRAY(DATA_CLEANED!$AN$3),CALCULES!$A71)&gt;0,1,0)</f>
        <v>0</v>
      </c>
      <c r="V71" s="112">
        <f>IF(COUNTIFS(_xlfn.ANCHORARRAY(DATA_CLEANED!$AF$3),CALCULES!V$2,_xlfn.ANCHORARRAY(DATA_CLEANED!$AK$3),CALCULES!$A71)+COUNTIFS(_xlfn.ANCHORARRAY(DATA_CLEANED!$AF$3),CALCULES!V$2,_xlfn.ANCHORARRAY(DATA_CLEANED!$AN$3),CALCULES!$A71)&gt;0,1,0)</f>
        <v>1</v>
      </c>
      <c r="W71" s="112">
        <f>IF(COUNTIFS(_xlfn.ANCHORARRAY(DATA_CLEANED!$AF$3),CALCULES!W$2,_xlfn.ANCHORARRAY(DATA_CLEANED!$AK$3),CALCULES!$A71)+COUNTIFS(_xlfn.ANCHORARRAY(DATA_CLEANED!$AF$3),CALCULES!W$2,_xlfn.ANCHORARRAY(DATA_CLEANED!$AN$3),CALCULES!$A71)&gt;0,1,0)</f>
        <v>1</v>
      </c>
      <c r="X71" s="112">
        <f>IF(COUNTIFS(_xlfn.ANCHORARRAY(DATA_CLEANED!$AF$3),CALCULES!X$2,_xlfn.ANCHORARRAY(DATA_CLEANED!$AK$3),CALCULES!$A71)+COUNTIFS(_xlfn.ANCHORARRAY(DATA_CLEANED!$AF$3),CALCULES!X$2,_xlfn.ANCHORARRAY(DATA_CLEANED!$AN$3),CALCULES!$A71)&gt;0,1,0)</f>
        <v>0</v>
      </c>
      <c r="Y71" s="113">
        <f t="shared" si="23"/>
        <v>3</v>
      </c>
      <c r="AA71" s="112">
        <f>COUNTIF(_xlfn.ANCHORARRAY(DATA_CLEANED!$AK$3),$A71)+COUNTIF(DATA_CLEANED!$AN$2:$AN$1060,$A71)</f>
        <v>9</v>
      </c>
      <c r="AB71" s="112">
        <f>COUNTIF(DATA_QUALITE!BG$12:BG$1069,A71)</f>
        <v>2</v>
      </c>
      <c r="AC71" s="112">
        <f t="shared" si="30"/>
        <v>7</v>
      </c>
      <c r="AD71" s="112" cm="1">
        <f t="array" ref="AD71">SUMPRODUCT((DATA_CLEANED!AL$3:AL$1060=DATA_CLEANED!AM$3:AM$1060)*(_xlfn.ANCHORARRAY(DATA_CLEANED!AK$3)=CALCULES!A71)*(DATA_CLEANED!AO$3:AO$1060&lt;&gt;"-"))
+
SUMPRODUCT((DATA_CLEANED!AL$3:AL$1060=DATA_CLEANED!AM$3:AM$1060)*(_xlfn.ANCHORARRAY(DATA_CLEANED!AN$3)=CALCULES!A71)*(DATA_CLEANED!AO$3:AO$1060&lt;&gt;"-"))</f>
        <v>0</v>
      </c>
      <c r="AE71" s="116">
        <f t="shared" si="24"/>
        <v>0.22222222222222221</v>
      </c>
      <c r="AF71" s="116">
        <f t="shared" si="25"/>
        <v>0.77777777777777779</v>
      </c>
      <c r="AG71" s="112">
        <f>SUMIF(_xlfn.ANCHORARRAY(DATA_CLEANED!AK$3),A71,DATA_CLEANED!AL$2:AL$1060)+SUMIF(_xlfn.ANCHORARRAY(DATA_CLEANED!AN$3),A71,DATA_CLEANED!AM$2:AM$1060)</f>
        <v>9</v>
      </c>
      <c r="AH71" s="112">
        <f>SUMIF(_xlfn.ANCHORARRAY(DATA_CLEANED!AK$3),A71,DATA_CLEANED!AM$2:AM$1060)+SUMIF(_xlfn.ANCHORARRAY(DATA_CLEANED!AN$3),A71,DATA_CLEANED!AL$2:AL$1060)</f>
        <v>10</v>
      </c>
      <c r="AI71" s="112">
        <f t="shared" si="31"/>
        <v>1.1100000000000001</v>
      </c>
      <c r="AJ71" s="117" cm="1">
        <f t="array" ref="AJ71">_xlfn.LET(_xlpm.home,IFERROR(_xlfn._xlws.FILTER(DATA_CLEANED!AH$3:AH$1060,DATA_CLEANED!AK$3:AK$1060=CALCULES!A71),""),
_xlpm.away,IFERROR(_xlfn._xlws.FILTER(DATA_CLEANED!AH$3:AH$1060,DATA_CLEANED!AN$3:AN$1060=CALCULES!A71),""),
_xlpm.assemb_t,_xlfn._xlws.FILTER(_xlfn.VSTACK(_xlpm.home,_xlpm.away),_xlfn.VSTACK(_xlpm.home,_xlpm.away)&lt;&gt;""),
_xlpm.but_h,IFERROR(_xlfn._xlws.FILTER(_xlfn.ANCHORARRAY(DATA_CLEANED!AM$3),DATA_CLEANED!AK$3:AK$1060=CALCULES!A71),""),
_xlpm.but_a,IFERROR(_xlfn._xlws.FILTER(_xlfn.ANCHORARRAY(DATA_CLEANED!AL$3),DATA_CLEANED!AN$3:AN$1060=CALCULES!A71),""),
_xlpm.assemb_b,_xlfn._xlws.FILTER(_xlfn.VSTACK(_xlpm.but_h,_xlpm.but_a),_xlfn.VSTACK(_xlpm.but_h,_xlpm.but_a)&lt;&gt;""),
MEDIAN(_xlpm.assemb_t,_xlpm.assemb_b)
)</f>
        <v>2</v>
      </c>
      <c r="AK71" s="113">
        <f t="shared" si="26"/>
        <v>-1</v>
      </c>
      <c r="AL71" s="112" cm="1">
        <f t="array" ref="AL71">IFERROR(MEDIAN(_xlfn._xlws.FILTER(_xlfn.VSTACK(
DATA_CLEANED!AL$3:AL$1060-DATA_CLEANED!AM$3:AM$1060,
DATA_CLEANED!AM$3:AM$1060-DATA_CLEANED!AL$3:AL$1060
),_xlfn.VSTACK(DATA_CLEANED!AK$3:AK$1060,DATA_CLEANED!AN$3:AN$1060)=A71)),"-")</f>
        <v>-1</v>
      </c>
      <c r="AM71" s="112">
        <f t="shared" si="32"/>
        <v>1</v>
      </c>
      <c r="AN71" s="112" cm="1">
        <f t="array" ref="AN71">_xlfn.LET(_xlpm.home,IFERROR(_xlfn._xlws.FILTER(DATA_CLEANED!AH$3:AH$1060,DATA_CLEANED!AK$3:AK$1060=CALCULES!A71),""),
_xlpm.away,IFERROR(_xlfn._xlws.FILTER(DATA_CLEANED!AH$3:AH$1060,DATA_CLEANED!AN$3:AN$1060=CALCULES!A71),""),
_xlpm.assemb_t,_xlfn._xlws.FILTER(_xlfn.VSTACK(_xlpm.home,_xlpm.away),_xlfn.VSTACK(_xlpm.home,_xlpm.away)&lt;&gt;""),
_xlpm.but_h,IFERROR(_xlfn._xlws.FILTER(_xlfn.ANCHORARRAY(DATA_CLEANED!AL$3),DATA_CLEANED!AK$3:AK$1060=CALCULES!A71),""),
_xlpm.but_a,IFERROR(_xlfn._xlws.FILTER(_xlfn.ANCHORARRAY(DATA_CLEANED!AM$3),DATA_CLEANED!AN$3:AN$1060=CALCULES!A71),""),
_xlpm.assemb_b,_xlfn._xlws.FILTER(_xlfn.VSTACK(_xlpm.but_h,_xlpm.but_a),_xlfn.VSTACK(_xlpm.but_h,_xlpm.but_a)&lt;&gt;""),
MEDIAN(_xlpm.assemb_t,_xlpm.assemb_b)
)</f>
        <v>1</v>
      </c>
      <c r="AO71" s="116">
        <f>ROUND(IFERROR((COUNTIFS(DATA_CLEANED!AK$3:AK$1060,A71,DATA_CLEANED!AM$3:AM$1060,0)
+
COUNTIFS(DATA_CLEANED!AN$3:AN$1060,A71,DATA_CLEANED!AL$3:AL$1060,0)
)/AA71,0),2)</f>
        <v>0.22</v>
      </c>
      <c r="AP71" s="112">
        <f>MAX((_xlfn.MAXIFS(_xlfn.ANCHORARRAY(DATA_CLEANED!AL$3),_xlfn.ANCHORARRAY(DATA_CLEANED!AK$3),A71)),(_xlfn.MAXIFS(DATA_CLEANED!AM$3:AM$1060,_xlfn.ANCHORARRAY(DATA_CLEANED!AN$3),A71)))</f>
        <v>3</v>
      </c>
      <c r="AQ71" s="112">
        <f>COUNTIF(_xlfn.ANCHORARRAY(DATA_CLEANED!K$3),A71)</f>
        <v>0</v>
      </c>
      <c r="AR71" s="113" t="str" cm="1">
        <f t="array" ref="AR71">_xlfn.LET(
_xlpm.home,IFERROR(_xlfn._xlws.FILTER(DATA_CLEANED!AH$3:AH$1060,DATA_CLEANED!AK$3:AK$1060=CALCULES!A71),""),
_xlpm.away,IFERROR(_xlfn._xlws.FILTER(DATA_CLEANED!AH$3:AH$1060,DATA_CLEANED!AN$3:AN$1060=CALCULES!A71),""),
_xlpm.etapes,_xlfn._xlws.FILTER(_xlfn.VSTACK(_xlpm.home,_xlpm.away),_xlfn.VSTACK(_xlpm.home,_xlpm.away)&lt;&gt;""),
_xlpm.numeros,_xlfn.XLOOKUP(_xlpm.etapes,DATA_QUALITE!AT$12:AT$38,DATA_QUALITE!AU$12:AU$38),
_xlfn.XLOOKUP(MIN(_xlpm.numeros),DATA_QUALITE!AU$12:AU$38,DATA_QUALITE!AT$12:AT$38)
)</f>
        <v>GROUP_STAGE</v>
      </c>
      <c r="AS71" s="112">
        <f t="shared" si="27"/>
        <v>3</v>
      </c>
      <c r="AT71" s="112">
        <f t="shared" si="28"/>
        <v>2</v>
      </c>
      <c r="AU71" s="112">
        <f>COUNTIFS(DATA_QUALITE!BG$12:BG$1069,"MATCH NUL",_xlfn.ANCHORARRAY(DATA_CLEANED!AK$3),CALCULES!A71)+COUNTIFS(DATA_QUALITE!BG$12:BG$1069,"MATCH NUL",_xlfn.ANCHORARRAY(DATA_CLEANED!AN$3),CALCULES!A71)</f>
        <v>1</v>
      </c>
      <c r="AV71" s="112">
        <v>9</v>
      </c>
      <c r="AW71" s="112">
        <f>COUNTIFS(_xlfn.ANCHORARRAY(DATA_CLEANED!AH$3),"QUARTER_FINALS",_xlfn.ANCHORARRAY(DATA_CLEANED!AK$3),CALCULES!A71)+COUNTIFS(_xlfn.ANCHORARRAY(DATA_CLEANED!AH$3),"QUARTER_FINALS",_xlfn.ANCHORARRAY(DATA_CLEANED!AN$3),CALCULES!A71)</f>
        <v>0</v>
      </c>
      <c r="AX71" s="112">
        <f>COUNTIFS(_xlfn.ANCHORARRAY(DATA_CLEANED!AH$3),"SEMI_FINALS",_xlfn.ANCHORARRAY(DATA_CLEANED!AK$3),CALCULES!A71)+COUNTIFS(_xlfn.ANCHORARRAY(DATA_CLEANED!AH$3),"SEMI_FINALS",_xlfn.ANCHORARRAY(DATA_CLEANED!AN$3),CALCULES!A71)</f>
        <v>0</v>
      </c>
      <c r="AY71" s="112">
        <f>COUNTIFS(_xlfn.ANCHORARRAY(DATA_CLEANED!AH$3),"FINAL",_xlfn.ANCHORARRAY(DATA_CLEANED!AK$3),CALCULES!A71)+COUNTIFS(_xlfn.ANCHORARRAY(DATA_CLEANED!AH$3),"FINAL",_xlfn.ANCHORARRAY(DATA_CLEANED!AN$3),CALCULES!A71)</f>
        <v>0</v>
      </c>
      <c r="AZ71" s="112">
        <f>COUNTIFS(DATA_QUALITE!BG$12:BG$1069,CALCULES!A71,DATA_QUALITE!AW$12:AW$1069,"FINAL")</f>
        <v>0</v>
      </c>
      <c r="BA71" s="113">
        <f t="shared" si="29"/>
        <v>24.61</v>
      </c>
      <c r="BB71" s="118">
        <f t="shared" si="33"/>
        <v>5.38</v>
      </c>
      <c r="BC71" s="118">
        <f t="shared" si="34"/>
        <v>6.59</v>
      </c>
      <c r="BD71" s="139">
        <f t="shared" si="35"/>
        <v>5.99</v>
      </c>
      <c r="BF71" s="167"/>
      <c r="BG71" s="167"/>
      <c r="BH71" s="167"/>
      <c r="BI71" s="167"/>
      <c r="BJ71" s="167"/>
      <c r="BK71" s="167"/>
      <c r="BL71" s="173">
        <f>INT((ROWS($BL$15:BL71)-1)/9)</f>
        <v>6</v>
      </c>
      <c r="BM71" s="173">
        <f>MOD(ROWS($BM$15:BM71)-1,9)</f>
        <v>2</v>
      </c>
      <c r="BN71" s="173">
        <f t="shared" si="22"/>
        <v>9.6644003850730081E-4</v>
      </c>
      <c r="BO71" s="167"/>
      <c r="BP71" s="167"/>
    </row>
    <row r="72" spans="1:68">
      <c r="A72" s="113" t="str">
        <v>Serbia and Montenegro</v>
      </c>
      <c r="B72" s="112">
        <f>IF(COUNTIFS(_xlfn.ANCHORARRAY(DATA_CLEANED!$AF$3),CALCULES!B$2,_xlfn.ANCHORARRAY(DATA_CLEANED!$AK$3),CALCULES!$A72)+COUNTIFS(_xlfn.ANCHORARRAY(DATA_CLEANED!$AF$3),CALCULES!B$2,_xlfn.ANCHORARRAY(DATA_CLEANED!$AN$3),CALCULES!$A72)&gt;0,1,0)</f>
        <v>0</v>
      </c>
      <c r="C72" s="112">
        <f>IF(COUNTIFS(_xlfn.ANCHORARRAY(DATA_CLEANED!$AF$3),CALCULES!C$2,_xlfn.ANCHORARRAY(DATA_CLEANED!$AK$3),CALCULES!$A72)+COUNTIFS(_xlfn.ANCHORARRAY(DATA_CLEANED!$AF$3),CALCULES!C$2,_xlfn.ANCHORARRAY(DATA_CLEANED!$AN$3),CALCULES!$A72)&gt;0,1,0)</f>
        <v>0</v>
      </c>
      <c r="D72" s="112">
        <f>IF(COUNTIFS(_xlfn.ANCHORARRAY(DATA_CLEANED!$AF$3),CALCULES!D$2,_xlfn.ANCHORARRAY(DATA_CLEANED!$AK$3),CALCULES!$A72)+COUNTIFS(_xlfn.ANCHORARRAY(DATA_CLEANED!$AF$3),CALCULES!D$2,_xlfn.ANCHORARRAY(DATA_CLEANED!$AN$3),CALCULES!$A72)&gt;0,1,0)</f>
        <v>0</v>
      </c>
      <c r="E72" s="112">
        <f>IF(COUNTIFS(_xlfn.ANCHORARRAY(DATA_CLEANED!$AF$3),CALCULES!E$2,_xlfn.ANCHORARRAY(DATA_CLEANED!$AK$3),CALCULES!$A72)+COUNTIFS(_xlfn.ANCHORARRAY(DATA_CLEANED!$AF$3),CALCULES!E$2,_xlfn.ANCHORARRAY(DATA_CLEANED!$AN$3),CALCULES!$A72)&gt;0,1,0)</f>
        <v>0</v>
      </c>
      <c r="F72" s="112">
        <f>IF(COUNTIFS(_xlfn.ANCHORARRAY(DATA_CLEANED!$AF$3),CALCULES!F$2,_xlfn.ANCHORARRAY(DATA_CLEANED!$AK$3),CALCULES!$A72)+COUNTIFS(_xlfn.ANCHORARRAY(DATA_CLEANED!$AF$3),CALCULES!F$2,_xlfn.ANCHORARRAY(DATA_CLEANED!$AN$3),CALCULES!$A72)&gt;0,1,0)</f>
        <v>0</v>
      </c>
      <c r="G72" s="112">
        <f>IF(COUNTIFS(_xlfn.ANCHORARRAY(DATA_CLEANED!$AF$3),CALCULES!G$2,_xlfn.ANCHORARRAY(DATA_CLEANED!$AK$3),CALCULES!$A72)+COUNTIFS(_xlfn.ANCHORARRAY(DATA_CLEANED!$AF$3),CALCULES!G$2,_xlfn.ANCHORARRAY(DATA_CLEANED!$AN$3),CALCULES!$A72)&gt;0,1,0)</f>
        <v>0</v>
      </c>
      <c r="H72" s="112">
        <f>IF(COUNTIFS(_xlfn.ANCHORARRAY(DATA_CLEANED!$AF$3),CALCULES!H$2,_xlfn.ANCHORARRAY(DATA_CLEANED!$AK$3),CALCULES!$A72)+COUNTIFS(_xlfn.ANCHORARRAY(DATA_CLEANED!$AF$3),CALCULES!H$2,_xlfn.ANCHORARRAY(DATA_CLEANED!$AN$3),CALCULES!$A72)&gt;0,1,0)</f>
        <v>0</v>
      </c>
      <c r="I72" s="112">
        <f>IF(COUNTIFS(_xlfn.ANCHORARRAY(DATA_CLEANED!$AF$3),CALCULES!I$2,_xlfn.ANCHORARRAY(DATA_CLEANED!$AK$3),CALCULES!$A72)+COUNTIFS(_xlfn.ANCHORARRAY(DATA_CLEANED!$AF$3),CALCULES!I$2,_xlfn.ANCHORARRAY(DATA_CLEANED!$AN$3),CALCULES!$A72)&gt;0,1,0)</f>
        <v>0</v>
      </c>
      <c r="J72" s="112">
        <f>IF(COUNTIFS(_xlfn.ANCHORARRAY(DATA_CLEANED!$AF$3),CALCULES!J$2,_xlfn.ANCHORARRAY(DATA_CLEANED!$AK$3),CALCULES!$A72)+COUNTIFS(_xlfn.ANCHORARRAY(DATA_CLEANED!$AF$3),CALCULES!J$2,_xlfn.ANCHORARRAY(DATA_CLEANED!$AN$3),CALCULES!$A72)&gt;0,1,0)</f>
        <v>0</v>
      </c>
      <c r="K72" s="112">
        <f>IF(COUNTIFS(_xlfn.ANCHORARRAY(DATA_CLEANED!$AF$3),CALCULES!K$2,_xlfn.ANCHORARRAY(DATA_CLEANED!$AK$3),CALCULES!$A72)+COUNTIFS(_xlfn.ANCHORARRAY(DATA_CLEANED!$AF$3),CALCULES!K$2,_xlfn.ANCHORARRAY(DATA_CLEANED!$AN$3),CALCULES!$A72)&gt;0,1,0)</f>
        <v>0</v>
      </c>
      <c r="L72" s="112">
        <f>IF(COUNTIFS(_xlfn.ANCHORARRAY(DATA_CLEANED!$AF$3),CALCULES!L$2,_xlfn.ANCHORARRAY(DATA_CLEANED!$AK$3),CALCULES!$A72)+COUNTIFS(_xlfn.ANCHORARRAY(DATA_CLEANED!$AF$3),CALCULES!L$2,_xlfn.ANCHORARRAY(DATA_CLEANED!$AN$3),CALCULES!$A72)&gt;0,1,0)</f>
        <v>0</v>
      </c>
      <c r="M72" s="112">
        <f>IF(COUNTIFS(_xlfn.ANCHORARRAY(DATA_CLEANED!$AF$3),CALCULES!M$2,_xlfn.ANCHORARRAY(DATA_CLEANED!$AK$3),CALCULES!$A72)+COUNTIFS(_xlfn.ANCHORARRAY(DATA_CLEANED!$AF$3),CALCULES!M$2,_xlfn.ANCHORARRAY(DATA_CLEANED!$AN$3),CALCULES!$A72)&gt;0,1,0)</f>
        <v>0</v>
      </c>
      <c r="N72" s="112">
        <f>IF(COUNTIFS(_xlfn.ANCHORARRAY(DATA_CLEANED!$AF$3),CALCULES!N$2,_xlfn.ANCHORARRAY(DATA_CLEANED!$AK$3),CALCULES!$A72)+COUNTIFS(_xlfn.ANCHORARRAY(DATA_CLEANED!$AF$3),CALCULES!N$2,_xlfn.ANCHORARRAY(DATA_CLEANED!$AN$3),CALCULES!$A72)&gt;0,1,0)</f>
        <v>0</v>
      </c>
      <c r="O72" s="112">
        <f>IF(COUNTIFS(_xlfn.ANCHORARRAY(DATA_CLEANED!$AF$3),CALCULES!O$2,_xlfn.ANCHORARRAY(DATA_CLEANED!$AK$3),CALCULES!$A72)+COUNTIFS(_xlfn.ANCHORARRAY(DATA_CLEANED!$AF$3),CALCULES!O$2,_xlfn.ANCHORARRAY(DATA_CLEANED!$AN$3),CALCULES!$A72)&gt;0,1,0)</f>
        <v>0</v>
      </c>
      <c r="P72" s="112">
        <f>IF(COUNTIFS(_xlfn.ANCHORARRAY(DATA_CLEANED!$AF$3),CALCULES!P$2,_xlfn.ANCHORARRAY(DATA_CLEANED!$AK$3),CALCULES!$A72)+COUNTIFS(_xlfn.ANCHORARRAY(DATA_CLEANED!$AF$3),CALCULES!P$2,_xlfn.ANCHORARRAY(DATA_CLEANED!$AN$3),CALCULES!$A72)&gt;0,1,0)</f>
        <v>0</v>
      </c>
      <c r="Q72" s="112">
        <f>IF(COUNTIFS(_xlfn.ANCHORARRAY(DATA_CLEANED!$AF$3),CALCULES!Q$2,_xlfn.ANCHORARRAY(DATA_CLEANED!$AK$3),CALCULES!$A72)+COUNTIFS(_xlfn.ANCHORARRAY(DATA_CLEANED!$AF$3),CALCULES!Q$2,_xlfn.ANCHORARRAY(DATA_CLEANED!$AN$3),CALCULES!$A72)&gt;0,1,0)</f>
        <v>0</v>
      </c>
      <c r="R72" s="112">
        <f>IF(COUNTIFS(_xlfn.ANCHORARRAY(DATA_CLEANED!$AF$3),CALCULES!R$2,_xlfn.ANCHORARRAY(DATA_CLEANED!$AK$3),CALCULES!$A72)+COUNTIFS(_xlfn.ANCHORARRAY(DATA_CLEANED!$AF$3),CALCULES!R$2,_xlfn.ANCHORARRAY(DATA_CLEANED!$AN$3),CALCULES!$A72)&gt;0,1,0)</f>
        <v>0</v>
      </c>
      <c r="S72" s="112">
        <f>IF(COUNTIFS(_xlfn.ANCHORARRAY(DATA_CLEANED!$AF$3),CALCULES!S$2,_xlfn.ANCHORARRAY(DATA_CLEANED!$AK$3),CALCULES!$A72)+COUNTIFS(_xlfn.ANCHORARRAY(DATA_CLEANED!$AF$3),CALCULES!S$2,_xlfn.ANCHORARRAY(DATA_CLEANED!$AN$3),CALCULES!$A72)&gt;0,1,0)</f>
        <v>1</v>
      </c>
      <c r="T72" s="112">
        <f>IF(COUNTIFS(_xlfn.ANCHORARRAY(DATA_CLEANED!$AF$3),CALCULES!T$2,_xlfn.ANCHORARRAY(DATA_CLEANED!$AK$3),CALCULES!$A72)+COUNTIFS(_xlfn.ANCHORARRAY(DATA_CLEANED!$AF$3),CALCULES!T$2,_xlfn.ANCHORARRAY(DATA_CLEANED!$AN$3),CALCULES!$A72)&gt;0,1,0)</f>
        <v>0</v>
      </c>
      <c r="U72" s="112">
        <f>IF(COUNTIFS(_xlfn.ANCHORARRAY(DATA_CLEANED!$AF$3),CALCULES!U$2,_xlfn.ANCHORARRAY(DATA_CLEANED!$AK$3),CALCULES!$A72)+COUNTIFS(_xlfn.ANCHORARRAY(DATA_CLEANED!$AF$3),CALCULES!U$2,_xlfn.ANCHORARRAY(DATA_CLEANED!$AN$3),CALCULES!$A72)&gt;0,1,0)</f>
        <v>0</v>
      </c>
      <c r="V72" s="112">
        <f>IF(COUNTIFS(_xlfn.ANCHORARRAY(DATA_CLEANED!$AF$3),CALCULES!V$2,_xlfn.ANCHORARRAY(DATA_CLEANED!$AK$3),CALCULES!$A72)+COUNTIFS(_xlfn.ANCHORARRAY(DATA_CLEANED!$AF$3),CALCULES!V$2,_xlfn.ANCHORARRAY(DATA_CLEANED!$AN$3),CALCULES!$A72)&gt;0,1,0)</f>
        <v>0</v>
      </c>
      <c r="W72" s="112">
        <f>IF(COUNTIFS(_xlfn.ANCHORARRAY(DATA_CLEANED!$AF$3),CALCULES!W$2,_xlfn.ANCHORARRAY(DATA_CLEANED!$AK$3),CALCULES!$A72)+COUNTIFS(_xlfn.ANCHORARRAY(DATA_CLEANED!$AF$3),CALCULES!W$2,_xlfn.ANCHORARRAY(DATA_CLEANED!$AN$3),CALCULES!$A72)&gt;0,1,0)</f>
        <v>0</v>
      </c>
      <c r="X72" s="112">
        <f>IF(COUNTIFS(_xlfn.ANCHORARRAY(DATA_CLEANED!$AF$3),CALCULES!X$2,_xlfn.ANCHORARRAY(DATA_CLEANED!$AK$3),CALCULES!$A72)+COUNTIFS(_xlfn.ANCHORARRAY(DATA_CLEANED!$AF$3),CALCULES!X$2,_xlfn.ANCHORARRAY(DATA_CLEANED!$AN$3),CALCULES!$A72)&gt;0,1,0)</f>
        <v>0</v>
      </c>
      <c r="Y72" s="113">
        <f t="shared" si="23"/>
        <v>1</v>
      </c>
      <c r="AA72" s="112">
        <f>COUNTIF(_xlfn.ANCHORARRAY(DATA_CLEANED!$AK$3),$A72)+COUNTIF(DATA_CLEANED!$AN$2:$AN$1060,$A72)</f>
        <v>3</v>
      </c>
      <c r="AB72" s="112">
        <f>COUNTIF(DATA_QUALITE!BG$12:BG$1069,A72)</f>
        <v>0</v>
      </c>
      <c r="AC72" s="112">
        <f t="shared" si="30"/>
        <v>3</v>
      </c>
      <c r="AD72" s="112" cm="1">
        <f t="array" ref="AD72">SUMPRODUCT((DATA_CLEANED!AL$3:AL$1060=DATA_CLEANED!AM$3:AM$1060)*(_xlfn.ANCHORARRAY(DATA_CLEANED!AK$3)=CALCULES!A72)*(DATA_CLEANED!AO$3:AO$1060&lt;&gt;"-"))
+
SUMPRODUCT((DATA_CLEANED!AL$3:AL$1060=DATA_CLEANED!AM$3:AM$1060)*(_xlfn.ANCHORARRAY(DATA_CLEANED!AN$3)=CALCULES!A72)*(DATA_CLEANED!AO$3:AO$1060&lt;&gt;"-"))</f>
        <v>0</v>
      </c>
      <c r="AE72" s="116">
        <f t="shared" si="24"/>
        <v>0</v>
      </c>
      <c r="AF72" s="116">
        <f t="shared" si="25"/>
        <v>1</v>
      </c>
      <c r="AG72" s="112">
        <f>SUMIF(_xlfn.ANCHORARRAY(DATA_CLEANED!AK$3),A72,DATA_CLEANED!AL$2:AL$1060)+SUMIF(_xlfn.ANCHORARRAY(DATA_CLEANED!AN$3),A72,DATA_CLEANED!AM$2:AM$1060)</f>
        <v>2</v>
      </c>
      <c r="AH72" s="112">
        <f>SUMIF(_xlfn.ANCHORARRAY(DATA_CLEANED!AK$3),A72,DATA_CLEANED!AM$2:AM$1060)+SUMIF(_xlfn.ANCHORARRAY(DATA_CLEANED!AN$3),A72,DATA_CLEANED!AL$2:AL$1060)</f>
        <v>2</v>
      </c>
      <c r="AI72" s="112">
        <f t="shared" si="31"/>
        <v>0.67</v>
      </c>
      <c r="AJ72" s="117" cm="1">
        <f t="array" ref="AJ72">_xlfn.LET(_xlpm.home,IFERROR(_xlfn._xlws.FILTER(DATA_CLEANED!AH$3:AH$1060,DATA_CLEANED!AK$3:AK$1060=CALCULES!A72),""),
_xlpm.away,IFERROR(_xlfn._xlws.FILTER(DATA_CLEANED!AH$3:AH$1060,DATA_CLEANED!AN$3:AN$1060=CALCULES!A72),""),
_xlpm.assemb_t,_xlfn._xlws.FILTER(_xlfn.VSTACK(_xlpm.home,_xlpm.away),_xlfn.VSTACK(_xlpm.home,_xlpm.away)&lt;&gt;""),
_xlpm.but_h,IFERROR(_xlfn._xlws.FILTER(_xlfn.ANCHORARRAY(DATA_CLEANED!AM$3),DATA_CLEANED!AK$3:AK$1060=CALCULES!A72),""),
_xlpm.but_a,IFERROR(_xlfn._xlws.FILTER(_xlfn.ANCHORARRAY(DATA_CLEANED!AL$3),DATA_CLEANED!AN$3:AN$1060=CALCULES!A72),""),
_xlpm.assemb_b,_xlfn._xlws.FILTER(_xlfn.VSTACK(_xlpm.but_h,_xlpm.but_a),_xlfn.VSTACK(_xlpm.but_h,_xlpm.but_a)&lt;&gt;""),
MEDIAN(_xlpm.assemb_t,_xlpm.assemb_b)
)</f>
        <v>3</v>
      </c>
      <c r="AK72" s="113">
        <f t="shared" si="26"/>
        <v>0</v>
      </c>
      <c r="AL72" s="112" cm="1">
        <f t="array" ref="AL72">IFERROR(MEDIAN(_xlfn._xlws.FILTER(_xlfn.VSTACK(
DATA_CLEANED!AL$3:AL$1060-DATA_CLEANED!AM$3:AM$1060,
DATA_CLEANED!AM$3:AM$1060-DATA_CLEANED!AL$3:AL$1060
),_xlfn.VSTACK(DATA_CLEANED!AK$3:AK$1060,DATA_CLEANED!AN$3:AN$1060)=A72)),"-")</f>
        <v>-1</v>
      </c>
      <c r="AM72" s="112">
        <f t="shared" si="32"/>
        <v>0.67</v>
      </c>
      <c r="AN72" s="112" cm="1">
        <f t="array" ref="AN72">_xlfn.LET(_xlpm.home,IFERROR(_xlfn._xlws.FILTER(DATA_CLEANED!AH$3:AH$1060,DATA_CLEANED!AK$3:AK$1060=CALCULES!A72),""),
_xlpm.away,IFERROR(_xlfn._xlws.FILTER(DATA_CLEANED!AH$3:AH$1060,DATA_CLEANED!AN$3:AN$1060=CALCULES!A72),""),
_xlpm.assemb_t,_xlfn._xlws.FILTER(_xlfn.VSTACK(_xlpm.home,_xlpm.away),_xlfn.VSTACK(_xlpm.home,_xlpm.away)&lt;&gt;""),
_xlpm.but_h,IFERROR(_xlfn._xlws.FILTER(_xlfn.ANCHORARRAY(DATA_CLEANED!AL$3),DATA_CLEANED!AK$3:AK$1060=CALCULES!A72),""),
_xlpm.but_a,IFERROR(_xlfn._xlws.FILTER(_xlfn.ANCHORARRAY(DATA_CLEANED!AM$3),DATA_CLEANED!AN$3:AN$1060=CALCULES!A72),""),
_xlpm.assemb_b,_xlfn._xlws.FILTER(_xlfn.VSTACK(_xlpm.but_h,_xlpm.but_a),_xlfn.VSTACK(_xlpm.but_h,_xlpm.but_a)&lt;&gt;""),
MEDIAN(_xlpm.assemb_t,_xlpm.assemb_b)
)</f>
        <v>0</v>
      </c>
      <c r="AO72" s="116">
        <f>ROUND(IFERROR((COUNTIFS(DATA_CLEANED!AK$3:AK$1060,A72,DATA_CLEANED!AM$3:AM$1060,0)
+
COUNTIFS(DATA_CLEANED!AN$3:AN$1060,A72,DATA_CLEANED!AL$3:AL$1060,0)
)/AA72,0),2)</f>
        <v>0</v>
      </c>
      <c r="AP72" s="112">
        <f>MAX((_xlfn.MAXIFS(_xlfn.ANCHORARRAY(DATA_CLEANED!AL$3),_xlfn.ANCHORARRAY(DATA_CLEANED!AK$3),A72)),(_xlfn.MAXIFS(DATA_CLEANED!AM$3:AM$1060,_xlfn.ANCHORARRAY(DATA_CLEANED!AN$3),A72)))</f>
        <v>2</v>
      </c>
      <c r="AQ72" s="112">
        <f>COUNTIF(_xlfn.ANCHORARRAY(DATA_CLEANED!K$3),A72)</f>
        <v>0</v>
      </c>
      <c r="AR72" s="113" t="str" cm="1">
        <f t="array" ref="AR72">_xlfn.LET(
_xlpm.home,IFERROR(_xlfn._xlws.FILTER(DATA_CLEANED!AH$3:AH$1060,DATA_CLEANED!AK$3:AK$1060=CALCULES!A72),""),
_xlpm.away,IFERROR(_xlfn._xlws.FILTER(DATA_CLEANED!AH$3:AH$1060,DATA_CLEANED!AN$3:AN$1060=CALCULES!A72),""),
_xlpm.etapes,_xlfn._xlws.FILTER(_xlfn.VSTACK(_xlpm.home,_xlpm.away),_xlfn.VSTACK(_xlpm.home,_xlpm.away)&lt;&gt;""),
_xlpm.numeros,_xlfn.XLOOKUP(_xlpm.etapes,DATA_QUALITE!AT$12:AT$38,DATA_QUALITE!AU$12:AU$38),
_xlfn.XLOOKUP(MIN(_xlpm.numeros),DATA_QUALITE!AU$12:AU$38,DATA_QUALITE!AT$12:AT$38)
)</f>
        <v>GROUP_STAGE</v>
      </c>
      <c r="AS72" s="112">
        <f t="shared" si="27"/>
        <v>1</v>
      </c>
      <c r="AT72" s="112">
        <f t="shared" si="28"/>
        <v>0</v>
      </c>
      <c r="AU72" s="112">
        <f>COUNTIFS(DATA_QUALITE!BG$12:BG$1069,"MATCH NUL",_xlfn.ANCHORARRAY(DATA_CLEANED!AK$3),CALCULES!A72)+COUNTIFS(DATA_QUALITE!BG$12:BG$1069,"MATCH NUL",_xlfn.ANCHORARRAY(DATA_CLEANED!AN$3),CALCULES!A72)</f>
        <v>0</v>
      </c>
      <c r="AV72" s="112">
        <v>2</v>
      </c>
      <c r="AW72" s="112">
        <f>COUNTIFS(_xlfn.ANCHORARRAY(DATA_CLEANED!AH$3),"QUARTER_FINALS",_xlfn.ANCHORARRAY(DATA_CLEANED!AK$3),CALCULES!A72)+COUNTIFS(_xlfn.ANCHORARRAY(DATA_CLEANED!AH$3),"QUARTER_FINALS",_xlfn.ANCHORARRAY(DATA_CLEANED!AN$3),CALCULES!A72)</f>
        <v>0</v>
      </c>
      <c r="AX72" s="112">
        <f>COUNTIFS(_xlfn.ANCHORARRAY(DATA_CLEANED!AH$3),"SEMI_FINALS",_xlfn.ANCHORARRAY(DATA_CLEANED!AK$3),CALCULES!A72)+COUNTIFS(_xlfn.ANCHORARRAY(DATA_CLEANED!AH$3),"SEMI_FINALS",_xlfn.ANCHORARRAY(DATA_CLEANED!AN$3),CALCULES!A72)</f>
        <v>0</v>
      </c>
      <c r="AY72" s="112">
        <f>COUNTIFS(_xlfn.ANCHORARRAY(DATA_CLEANED!AH$3),"FINAL",_xlfn.ANCHORARRAY(DATA_CLEANED!AK$3),CALCULES!A72)+COUNTIFS(_xlfn.ANCHORARRAY(DATA_CLEANED!AH$3),"FINAL",_xlfn.ANCHORARRAY(DATA_CLEANED!AN$3),CALCULES!A72)</f>
        <v>0</v>
      </c>
      <c r="AZ72" s="112">
        <f>COUNTIFS(DATA_QUALITE!BG$12:BG$1069,CALCULES!A72,DATA_QUALITE!AW$12:AW$1069,"FINAL")</f>
        <v>0</v>
      </c>
      <c r="BA72" s="113">
        <f t="shared" si="29"/>
        <v>0</v>
      </c>
      <c r="BB72" s="118">
        <f t="shared" si="33"/>
        <v>0</v>
      </c>
      <c r="BC72" s="118">
        <f t="shared" si="34"/>
        <v>0</v>
      </c>
      <c r="BD72" s="139">
        <f t="shared" si="35"/>
        <v>0</v>
      </c>
      <c r="BF72" s="167"/>
      <c r="BG72" s="167"/>
      <c r="BH72" s="167"/>
      <c r="BI72" s="167"/>
      <c r="BJ72" s="167"/>
      <c r="BK72" s="167"/>
      <c r="BL72" s="173">
        <f>INT((ROWS($BL$15:BL72)-1)/9)</f>
        <v>6</v>
      </c>
      <c r="BM72" s="173">
        <f>MOD(ROWS($BM$15:BM72)-1,9)</f>
        <v>3</v>
      </c>
      <c r="BN72" s="173">
        <f t="shared" si="22"/>
        <v>3.607834372647898E-4</v>
      </c>
      <c r="BO72" s="167"/>
      <c r="BP72" s="167"/>
    </row>
    <row r="73" spans="1:68">
      <c r="A73" s="113" t="str">
        <v>Slovakia</v>
      </c>
      <c r="B73" s="112">
        <f>IF(COUNTIFS(_xlfn.ANCHORARRAY(DATA_CLEANED!$AF$3),CALCULES!B$2,_xlfn.ANCHORARRAY(DATA_CLEANED!$AK$3),CALCULES!$A73)+COUNTIFS(_xlfn.ANCHORARRAY(DATA_CLEANED!$AF$3),CALCULES!B$2,_xlfn.ANCHORARRAY(DATA_CLEANED!$AN$3),CALCULES!$A73)&gt;0,1,0)</f>
        <v>0</v>
      </c>
      <c r="C73" s="112">
        <f>IF(COUNTIFS(_xlfn.ANCHORARRAY(DATA_CLEANED!$AF$3),CALCULES!C$2,_xlfn.ANCHORARRAY(DATA_CLEANED!$AK$3),CALCULES!$A73)+COUNTIFS(_xlfn.ANCHORARRAY(DATA_CLEANED!$AF$3),CALCULES!C$2,_xlfn.ANCHORARRAY(DATA_CLEANED!$AN$3),CALCULES!$A73)&gt;0,1,0)</f>
        <v>0</v>
      </c>
      <c r="D73" s="112">
        <f>IF(COUNTIFS(_xlfn.ANCHORARRAY(DATA_CLEANED!$AF$3),CALCULES!D$2,_xlfn.ANCHORARRAY(DATA_CLEANED!$AK$3),CALCULES!$A73)+COUNTIFS(_xlfn.ANCHORARRAY(DATA_CLEANED!$AF$3),CALCULES!D$2,_xlfn.ANCHORARRAY(DATA_CLEANED!$AN$3),CALCULES!$A73)&gt;0,1,0)</f>
        <v>0</v>
      </c>
      <c r="E73" s="112">
        <f>IF(COUNTIFS(_xlfn.ANCHORARRAY(DATA_CLEANED!$AF$3),CALCULES!E$2,_xlfn.ANCHORARRAY(DATA_CLEANED!$AK$3),CALCULES!$A73)+COUNTIFS(_xlfn.ANCHORARRAY(DATA_CLEANED!$AF$3),CALCULES!E$2,_xlfn.ANCHORARRAY(DATA_CLEANED!$AN$3),CALCULES!$A73)&gt;0,1,0)</f>
        <v>0</v>
      </c>
      <c r="F73" s="112">
        <f>IF(COUNTIFS(_xlfn.ANCHORARRAY(DATA_CLEANED!$AF$3),CALCULES!F$2,_xlfn.ANCHORARRAY(DATA_CLEANED!$AK$3),CALCULES!$A73)+COUNTIFS(_xlfn.ANCHORARRAY(DATA_CLEANED!$AF$3),CALCULES!F$2,_xlfn.ANCHORARRAY(DATA_CLEANED!$AN$3),CALCULES!$A73)&gt;0,1,0)</f>
        <v>0</v>
      </c>
      <c r="G73" s="112">
        <f>IF(COUNTIFS(_xlfn.ANCHORARRAY(DATA_CLEANED!$AF$3),CALCULES!G$2,_xlfn.ANCHORARRAY(DATA_CLEANED!$AK$3),CALCULES!$A73)+COUNTIFS(_xlfn.ANCHORARRAY(DATA_CLEANED!$AF$3),CALCULES!G$2,_xlfn.ANCHORARRAY(DATA_CLEANED!$AN$3),CALCULES!$A73)&gt;0,1,0)</f>
        <v>0</v>
      </c>
      <c r="H73" s="112">
        <f>IF(COUNTIFS(_xlfn.ANCHORARRAY(DATA_CLEANED!$AF$3),CALCULES!H$2,_xlfn.ANCHORARRAY(DATA_CLEANED!$AK$3),CALCULES!$A73)+COUNTIFS(_xlfn.ANCHORARRAY(DATA_CLEANED!$AF$3),CALCULES!H$2,_xlfn.ANCHORARRAY(DATA_CLEANED!$AN$3),CALCULES!$A73)&gt;0,1,0)</f>
        <v>0</v>
      </c>
      <c r="I73" s="112">
        <f>IF(COUNTIFS(_xlfn.ANCHORARRAY(DATA_CLEANED!$AF$3),CALCULES!I$2,_xlfn.ANCHORARRAY(DATA_CLEANED!$AK$3),CALCULES!$A73)+COUNTIFS(_xlfn.ANCHORARRAY(DATA_CLEANED!$AF$3),CALCULES!I$2,_xlfn.ANCHORARRAY(DATA_CLEANED!$AN$3),CALCULES!$A73)&gt;0,1,0)</f>
        <v>0</v>
      </c>
      <c r="J73" s="112">
        <f>IF(COUNTIFS(_xlfn.ANCHORARRAY(DATA_CLEANED!$AF$3),CALCULES!J$2,_xlfn.ANCHORARRAY(DATA_CLEANED!$AK$3),CALCULES!$A73)+COUNTIFS(_xlfn.ANCHORARRAY(DATA_CLEANED!$AF$3),CALCULES!J$2,_xlfn.ANCHORARRAY(DATA_CLEANED!$AN$3),CALCULES!$A73)&gt;0,1,0)</f>
        <v>0</v>
      </c>
      <c r="K73" s="112">
        <f>IF(COUNTIFS(_xlfn.ANCHORARRAY(DATA_CLEANED!$AF$3),CALCULES!K$2,_xlfn.ANCHORARRAY(DATA_CLEANED!$AK$3),CALCULES!$A73)+COUNTIFS(_xlfn.ANCHORARRAY(DATA_CLEANED!$AF$3),CALCULES!K$2,_xlfn.ANCHORARRAY(DATA_CLEANED!$AN$3),CALCULES!$A73)&gt;0,1,0)</f>
        <v>0</v>
      </c>
      <c r="L73" s="112">
        <f>IF(COUNTIFS(_xlfn.ANCHORARRAY(DATA_CLEANED!$AF$3),CALCULES!L$2,_xlfn.ANCHORARRAY(DATA_CLEANED!$AK$3),CALCULES!$A73)+COUNTIFS(_xlfn.ANCHORARRAY(DATA_CLEANED!$AF$3),CALCULES!L$2,_xlfn.ANCHORARRAY(DATA_CLEANED!$AN$3),CALCULES!$A73)&gt;0,1,0)</f>
        <v>0</v>
      </c>
      <c r="M73" s="112">
        <f>IF(COUNTIFS(_xlfn.ANCHORARRAY(DATA_CLEANED!$AF$3),CALCULES!M$2,_xlfn.ANCHORARRAY(DATA_CLEANED!$AK$3),CALCULES!$A73)+COUNTIFS(_xlfn.ANCHORARRAY(DATA_CLEANED!$AF$3),CALCULES!M$2,_xlfn.ANCHORARRAY(DATA_CLEANED!$AN$3),CALCULES!$A73)&gt;0,1,0)</f>
        <v>0</v>
      </c>
      <c r="N73" s="112">
        <f>IF(COUNTIFS(_xlfn.ANCHORARRAY(DATA_CLEANED!$AF$3),CALCULES!N$2,_xlfn.ANCHORARRAY(DATA_CLEANED!$AK$3),CALCULES!$A73)+COUNTIFS(_xlfn.ANCHORARRAY(DATA_CLEANED!$AF$3),CALCULES!N$2,_xlfn.ANCHORARRAY(DATA_CLEANED!$AN$3),CALCULES!$A73)&gt;0,1,0)</f>
        <v>0</v>
      </c>
      <c r="O73" s="112">
        <f>IF(COUNTIFS(_xlfn.ANCHORARRAY(DATA_CLEANED!$AF$3),CALCULES!O$2,_xlfn.ANCHORARRAY(DATA_CLEANED!$AK$3),CALCULES!$A73)+COUNTIFS(_xlfn.ANCHORARRAY(DATA_CLEANED!$AF$3),CALCULES!O$2,_xlfn.ANCHORARRAY(DATA_CLEANED!$AN$3),CALCULES!$A73)&gt;0,1,0)</f>
        <v>0</v>
      </c>
      <c r="P73" s="112">
        <f>IF(COUNTIFS(_xlfn.ANCHORARRAY(DATA_CLEANED!$AF$3),CALCULES!P$2,_xlfn.ANCHORARRAY(DATA_CLEANED!$AK$3),CALCULES!$A73)+COUNTIFS(_xlfn.ANCHORARRAY(DATA_CLEANED!$AF$3),CALCULES!P$2,_xlfn.ANCHORARRAY(DATA_CLEANED!$AN$3),CALCULES!$A73)&gt;0,1,0)</f>
        <v>0</v>
      </c>
      <c r="Q73" s="112">
        <f>IF(COUNTIFS(_xlfn.ANCHORARRAY(DATA_CLEANED!$AF$3),CALCULES!Q$2,_xlfn.ANCHORARRAY(DATA_CLEANED!$AK$3),CALCULES!$A73)+COUNTIFS(_xlfn.ANCHORARRAY(DATA_CLEANED!$AF$3),CALCULES!Q$2,_xlfn.ANCHORARRAY(DATA_CLEANED!$AN$3),CALCULES!$A73)&gt;0,1,0)</f>
        <v>0</v>
      </c>
      <c r="R73" s="112">
        <f>IF(COUNTIFS(_xlfn.ANCHORARRAY(DATA_CLEANED!$AF$3),CALCULES!R$2,_xlfn.ANCHORARRAY(DATA_CLEANED!$AK$3),CALCULES!$A73)+COUNTIFS(_xlfn.ANCHORARRAY(DATA_CLEANED!$AF$3),CALCULES!R$2,_xlfn.ANCHORARRAY(DATA_CLEANED!$AN$3),CALCULES!$A73)&gt;0,1,0)</f>
        <v>0</v>
      </c>
      <c r="S73" s="112">
        <f>IF(COUNTIFS(_xlfn.ANCHORARRAY(DATA_CLEANED!$AF$3),CALCULES!S$2,_xlfn.ANCHORARRAY(DATA_CLEANED!$AK$3),CALCULES!$A73)+COUNTIFS(_xlfn.ANCHORARRAY(DATA_CLEANED!$AF$3),CALCULES!S$2,_xlfn.ANCHORARRAY(DATA_CLEANED!$AN$3),CALCULES!$A73)&gt;0,1,0)</f>
        <v>0</v>
      </c>
      <c r="T73" s="112">
        <f>IF(COUNTIFS(_xlfn.ANCHORARRAY(DATA_CLEANED!$AF$3),CALCULES!T$2,_xlfn.ANCHORARRAY(DATA_CLEANED!$AK$3),CALCULES!$A73)+COUNTIFS(_xlfn.ANCHORARRAY(DATA_CLEANED!$AF$3),CALCULES!T$2,_xlfn.ANCHORARRAY(DATA_CLEANED!$AN$3),CALCULES!$A73)&gt;0,1,0)</f>
        <v>1</v>
      </c>
      <c r="U73" s="112">
        <f>IF(COUNTIFS(_xlfn.ANCHORARRAY(DATA_CLEANED!$AF$3),CALCULES!U$2,_xlfn.ANCHORARRAY(DATA_CLEANED!$AK$3),CALCULES!$A73)+COUNTIFS(_xlfn.ANCHORARRAY(DATA_CLEANED!$AF$3),CALCULES!U$2,_xlfn.ANCHORARRAY(DATA_CLEANED!$AN$3),CALCULES!$A73)&gt;0,1,0)</f>
        <v>0</v>
      </c>
      <c r="V73" s="112">
        <f>IF(COUNTIFS(_xlfn.ANCHORARRAY(DATA_CLEANED!$AF$3),CALCULES!V$2,_xlfn.ANCHORARRAY(DATA_CLEANED!$AK$3),CALCULES!$A73)+COUNTIFS(_xlfn.ANCHORARRAY(DATA_CLEANED!$AF$3),CALCULES!V$2,_xlfn.ANCHORARRAY(DATA_CLEANED!$AN$3),CALCULES!$A73)&gt;0,1,0)</f>
        <v>0</v>
      </c>
      <c r="W73" s="112">
        <f>IF(COUNTIFS(_xlfn.ANCHORARRAY(DATA_CLEANED!$AF$3),CALCULES!W$2,_xlfn.ANCHORARRAY(DATA_CLEANED!$AK$3),CALCULES!$A73)+COUNTIFS(_xlfn.ANCHORARRAY(DATA_CLEANED!$AF$3),CALCULES!W$2,_xlfn.ANCHORARRAY(DATA_CLEANED!$AN$3),CALCULES!$A73)&gt;0,1,0)</f>
        <v>0</v>
      </c>
      <c r="X73" s="112">
        <f>IF(COUNTIFS(_xlfn.ANCHORARRAY(DATA_CLEANED!$AF$3),CALCULES!X$2,_xlfn.ANCHORARRAY(DATA_CLEANED!$AK$3),CALCULES!$A73)+COUNTIFS(_xlfn.ANCHORARRAY(DATA_CLEANED!$AF$3),CALCULES!X$2,_xlfn.ANCHORARRAY(DATA_CLEANED!$AN$3),CALCULES!$A73)&gt;0,1,0)</f>
        <v>0</v>
      </c>
      <c r="Y73" s="113">
        <f t="shared" si="23"/>
        <v>1</v>
      </c>
      <c r="AA73" s="112">
        <f>COUNTIF(_xlfn.ANCHORARRAY(DATA_CLEANED!$AK$3),$A73)+COUNTIF(DATA_CLEANED!$AN$2:$AN$1060,$A73)</f>
        <v>4</v>
      </c>
      <c r="AB73" s="112">
        <f>COUNTIF(DATA_QUALITE!BG$12:BG$1069,A73)</f>
        <v>1</v>
      </c>
      <c r="AC73" s="112">
        <f t="shared" si="30"/>
        <v>3</v>
      </c>
      <c r="AD73" s="112" cm="1">
        <f t="array" ref="AD73">SUMPRODUCT((DATA_CLEANED!AL$3:AL$1060=DATA_CLEANED!AM$3:AM$1060)*(_xlfn.ANCHORARRAY(DATA_CLEANED!AK$3)=CALCULES!A73)*(DATA_CLEANED!AO$3:AO$1060&lt;&gt;"-"))
+
SUMPRODUCT((DATA_CLEANED!AL$3:AL$1060=DATA_CLEANED!AM$3:AM$1060)*(_xlfn.ANCHORARRAY(DATA_CLEANED!AN$3)=CALCULES!A73)*(DATA_CLEANED!AO$3:AO$1060&lt;&gt;"-"))</f>
        <v>0</v>
      </c>
      <c r="AE73" s="116">
        <f t="shared" si="24"/>
        <v>0.25</v>
      </c>
      <c r="AF73" s="116">
        <f t="shared" si="25"/>
        <v>0.75</v>
      </c>
      <c r="AG73" s="112">
        <f>SUMIF(_xlfn.ANCHORARRAY(DATA_CLEANED!AK$3),A73,DATA_CLEANED!AL$2:AL$1060)+SUMIF(_xlfn.ANCHORARRAY(DATA_CLEANED!AN$3),A73,DATA_CLEANED!AM$2:AM$1060)</f>
        <v>5</v>
      </c>
      <c r="AH73" s="112">
        <f>SUMIF(_xlfn.ANCHORARRAY(DATA_CLEANED!AK$3),A73,DATA_CLEANED!AM$2:AM$1060)+SUMIF(_xlfn.ANCHORARRAY(DATA_CLEANED!AN$3),A73,DATA_CLEANED!AL$2:AL$1060)</f>
        <v>7</v>
      </c>
      <c r="AI73" s="112">
        <f t="shared" si="31"/>
        <v>1.75</v>
      </c>
      <c r="AJ73" s="117" cm="1">
        <f t="array" ref="AJ73">_xlfn.LET(_xlpm.home,IFERROR(_xlfn._xlws.FILTER(DATA_CLEANED!AH$3:AH$1060,DATA_CLEANED!AK$3:AK$1060=CALCULES!A73),""),
_xlpm.away,IFERROR(_xlfn._xlws.FILTER(DATA_CLEANED!AH$3:AH$1060,DATA_CLEANED!AN$3:AN$1060=CALCULES!A73),""),
_xlpm.assemb_t,_xlfn._xlws.FILTER(_xlfn.VSTACK(_xlpm.home,_xlpm.away),_xlfn.VSTACK(_xlpm.home,_xlpm.away)&lt;&gt;""),
_xlpm.but_h,IFERROR(_xlfn._xlws.FILTER(_xlfn.ANCHORARRAY(DATA_CLEANED!AM$3),DATA_CLEANED!AK$3:AK$1060=CALCULES!A73),""),
_xlpm.but_a,IFERROR(_xlfn._xlws.FILTER(_xlfn.ANCHORARRAY(DATA_CLEANED!AL$3),DATA_CLEANED!AN$3:AN$1060=CALCULES!A73),""),
_xlpm.assemb_b,_xlfn._xlws.FILTER(_xlfn.VSTACK(_xlpm.but_h,_xlpm.but_a),_xlfn.VSTACK(_xlpm.but_h,_xlpm.but_a)&lt;&gt;""),
MEDIAN(_xlpm.assemb_t,_xlpm.assemb_b)
)</f>
        <v>2</v>
      </c>
      <c r="AK73" s="113">
        <f t="shared" si="26"/>
        <v>-2</v>
      </c>
      <c r="AL73" s="112" cm="1">
        <f t="array" ref="AL73">IFERROR(MEDIAN(_xlfn._xlws.FILTER(_xlfn.VSTACK(
DATA_CLEANED!AL$3:AL$1060-DATA_CLEANED!AM$3:AM$1060,
DATA_CLEANED!AM$3:AM$1060-DATA_CLEANED!AL$3:AL$1060
),_xlfn.VSTACK(DATA_CLEANED!AK$3:AK$1060,DATA_CLEANED!AN$3:AN$1060)=A73)),"-")</f>
        <v>-0.5</v>
      </c>
      <c r="AM73" s="112">
        <f t="shared" si="32"/>
        <v>1.25</v>
      </c>
      <c r="AN73" s="112" cm="1">
        <f t="array" ref="AN73">_xlfn.LET(_xlpm.home,IFERROR(_xlfn._xlws.FILTER(DATA_CLEANED!AH$3:AH$1060,DATA_CLEANED!AK$3:AK$1060=CALCULES!A73),""),
_xlpm.away,IFERROR(_xlfn._xlws.FILTER(DATA_CLEANED!AH$3:AH$1060,DATA_CLEANED!AN$3:AN$1060=CALCULES!A73),""),
_xlpm.assemb_t,_xlfn._xlws.FILTER(_xlfn.VSTACK(_xlpm.home,_xlpm.away),_xlfn.VSTACK(_xlpm.home,_xlpm.away)&lt;&gt;""),
_xlpm.but_h,IFERROR(_xlfn._xlws.FILTER(_xlfn.ANCHORARRAY(DATA_CLEANED!AL$3),DATA_CLEANED!AK$3:AK$1060=CALCULES!A73),""),
_xlpm.but_a,IFERROR(_xlfn._xlws.FILTER(_xlfn.ANCHORARRAY(DATA_CLEANED!AM$3),DATA_CLEANED!AN$3:AN$1060=CALCULES!A73),""),
_xlpm.assemb_b,_xlfn._xlws.FILTER(_xlfn.VSTACK(_xlpm.but_h,_xlpm.but_a),_xlfn.VSTACK(_xlpm.but_h,_xlpm.but_a)&lt;&gt;""),
MEDIAN(_xlpm.assemb_t,_xlpm.assemb_b)
)</f>
        <v>1</v>
      </c>
      <c r="AO73" s="116">
        <f>ROUND(IFERROR((COUNTIFS(DATA_CLEANED!AK$3:AK$1060,A73,DATA_CLEANED!AM$3:AM$1060,0)
+
COUNTIFS(DATA_CLEANED!AN$3:AN$1060,A73,DATA_CLEANED!AL$3:AL$1060,0)
)/AA73,0),2)</f>
        <v>0</v>
      </c>
      <c r="AP73" s="112">
        <f>MAX((_xlfn.MAXIFS(_xlfn.ANCHORARRAY(DATA_CLEANED!AL$3),_xlfn.ANCHORARRAY(DATA_CLEANED!AK$3),A73)),(_xlfn.MAXIFS(DATA_CLEANED!AM$3:AM$1060,_xlfn.ANCHORARRAY(DATA_CLEANED!AN$3),A73)))</f>
        <v>3</v>
      </c>
      <c r="AQ73" s="112">
        <f>COUNTIF(_xlfn.ANCHORARRAY(DATA_CLEANED!K$3),A73)</f>
        <v>0</v>
      </c>
      <c r="AR73" s="113" t="str" cm="1">
        <f t="array" ref="AR73">_xlfn.LET(
_xlpm.home,IFERROR(_xlfn._xlws.FILTER(DATA_CLEANED!AH$3:AH$1060,DATA_CLEANED!AK$3:AK$1060=CALCULES!A73),""),
_xlpm.away,IFERROR(_xlfn._xlws.FILTER(DATA_CLEANED!AH$3:AH$1060,DATA_CLEANED!AN$3:AN$1060=CALCULES!A73),""),
_xlpm.etapes,_xlfn._xlws.FILTER(_xlfn.VSTACK(_xlpm.home,_xlpm.away),_xlfn.VSTACK(_xlpm.home,_xlpm.away)&lt;&gt;""),
_xlpm.numeros,_xlfn.XLOOKUP(_xlpm.etapes,DATA_QUALITE!AT$12:AT$38,DATA_QUALITE!AU$12:AU$38),
_xlfn.XLOOKUP(MIN(_xlpm.numeros),DATA_QUALITE!AU$12:AU$38,DATA_QUALITE!AT$12:AT$38)
)</f>
        <v>ROUND_OF_16</v>
      </c>
      <c r="AS73" s="112">
        <f t="shared" si="27"/>
        <v>1</v>
      </c>
      <c r="AT73" s="112">
        <f t="shared" si="28"/>
        <v>1</v>
      </c>
      <c r="AU73" s="112">
        <f>COUNTIFS(DATA_QUALITE!BG$12:BG$1069,"MATCH NUL",_xlfn.ANCHORARRAY(DATA_CLEANED!AK$3),CALCULES!A73)+COUNTIFS(DATA_QUALITE!BG$12:BG$1069,"MATCH NUL",_xlfn.ANCHORARRAY(DATA_CLEANED!AN$3),CALCULES!A73)</f>
        <v>1</v>
      </c>
      <c r="AV73" s="112">
        <v>5</v>
      </c>
      <c r="AW73" s="112">
        <f>COUNTIFS(_xlfn.ANCHORARRAY(DATA_CLEANED!AH$3),"QUARTER_FINALS",_xlfn.ANCHORARRAY(DATA_CLEANED!AK$3),CALCULES!A73)+COUNTIFS(_xlfn.ANCHORARRAY(DATA_CLEANED!AH$3),"QUARTER_FINALS",_xlfn.ANCHORARRAY(DATA_CLEANED!AN$3),CALCULES!A73)</f>
        <v>0</v>
      </c>
      <c r="AX73" s="112">
        <f>COUNTIFS(_xlfn.ANCHORARRAY(DATA_CLEANED!AH$3),"SEMI_FINALS",_xlfn.ANCHORARRAY(DATA_CLEANED!AK$3),CALCULES!A73)+COUNTIFS(_xlfn.ANCHORARRAY(DATA_CLEANED!AH$3),"SEMI_FINALS",_xlfn.ANCHORARRAY(DATA_CLEANED!AN$3),CALCULES!A73)</f>
        <v>0</v>
      </c>
      <c r="AY73" s="112">
        <f>COUNTIFS(_xlfn.ANCHORARRAY(DATA_CLEANED!AH$3),"FINAL",_xlfn.ANCHORARRAY(DATA_CLEANED!AK$3),CALCULES!A73)+COUNTIFS(_xlfn.ANCHORARRAY(DATA_CLEANED!AH$3),"FINAL",_xlfn.ANCHORARRAY(DATA_CLEANED!AN$3),CALCULES!A73)</f>
        <v>0</v>
      </c>
      <c r="AZ73" s="112">
        <f>COUNTIFS(DATA_QUALITE!BG$12:BG$1069,CALCULES!A73,DATA_QUALITE!AW$12:AW$1069,"FINAL")</f>
        <v>0</v>
      </c>
      <c r="BA73" s="113">
        <f t="shared" si="29"/>
        <v>26.75</v>
      </c>
      <c r="BB73" s="118">
        <f t="shared" si="33"/>
        <v>4.42</v>
      </c>
      <c r="BC73" s="118">
        <f t="shared" si="34"/>
        <v>2.76</v>
      </c>
      <c r="BD73" s="139">
        <f t="shared" si="35"/>
        <v>3.59</v>
      </c>
      <c r="BF73" s="167"/>
      <c r="BG73" s="167"/>
      <c r="BH73" s="167"/>
      <c r="BI73" s="167"/>
      <c r="BJ73" s="167"/>
      <c r="BK73" s="167"/>
      <c r="BL73" s="173">
        <f>INT((ROWS($BL$15:BL73)-1)/9)</f>
        <v>6</v>
      </c>
      <c r="BM73" s="173">
        <f>MOD(ROWS($BM$15:BM73)-1,9)</f>
        <v>4</v>
      </c>
      <c r="BN73" s="173">
        <f t="shared" si="22"/>
        <v>1.0101352651348176E-4</v>
      </c>
      <c r="BO73" s="167"/>
      <c r="BP73" s="167"/>
    </row>
    <row r="74" spans="1:68">
      <c r="A74" s="113" t="str">
        <v>Slovenia</v>
      </c>
      <c r="B74" s="112">
        <f>IF(COUNTIFS(_xlfn.ANCHORARRAY(DATA_CLEANED!$AF$3),CALCULES!B$2,_xlfn.ANCHORARRAY(DATA_CLEANED!$AK$3),CALCULES!$A74)+COUNTIFS(_xlfn.ANCHORARRAY(DATA_CLEANED!$AF$3),CALCULES!B$2,_xlfn.ANCHORARRAY(DATA_CLEANED!$AN$3),CALCULES!$A74)&gt;0,1,0)</f>
        <v>0</v>
      </c>
      <c r="C74" s="112">
        <f>IF(COUNTIFS(_xlfn.ANCHORARRAY(DATA_CLEANED!$AF$3),CALCULES!C$2,_xlfn.ANCHORARRAY(DATA_CLEANED!$AK$3),CALCULES!$A74)+COUNTIFS(_xlfn.ANCHORARRAY(DATA_CLEANED!$AF$3),CALCULES!C$2,_xlfn.ANCHORARRAY(DATA_CLEANED!$AN$3),CALCULES!$A74)&gt;0,1,0)</f>
        <v>0</v>
      </c>
      <c r="D74" s="112">
        <f>IF(COUNTIFS(_xlfn.ANCHORARRAY(DATA_CLEANED!$AF$3),CALCULES!D$2,_xlfn.ANCHORARRAY(DATA_CLEANED!$AK$3),CALCULES!$A74)+COUNTIFS(_xlfn.ANCHORARRAY(DATA_CLEANED!$AF$3),CALCULES!D$2,_xlfn.ANCHORARRAY(DATA_CLEANED!$AN$3),CALCULES!$A74)&gt;0,1,0)</f>
        <v>0</v>
      </c>
      <c r="E74" s="112">
        <f>IF(COUNTIFS(_xlfn.ANCHORARRAY(DATA_CLEANED!$AF$3),CALCULES!E$2,_xlfn.ANCHORARRAY(DATA_CLEANED!$AK$3),CALCULES!$A74)+COUNTIFS(_xlfn.ANCHORARRAY(DATA_CLEANED!$AF$3),CALCULES!E$2,_xlfn.ANCHORARRAY(DATA_CLEANED!$AN$3),CALCULES!$A74)&gt;0,1,0)</f>
        <v>0</v>
      </c>
      <c r="F74" s="112">
        <f>IF(COUNTIFS(_xlfn.ANCHORARRAY(DATA_CLEANED!$AF$3),CALCULES!F$2,_xlfn.ANCHORARRAY(DATA_CLEANED!$AK$3),CALCULES!$A74)+COUNTIFS(_xlfn.ANCHORARRAY(DATA_CLEANED!$AF$3),CALCULES!F$2,_xlfn.ANCHORARRAY(DATA_CLEANED!$AN$3),CALCULES!$A74)&gt;0,1,0)</f>
        <v>0</v>
      </c>
      <c r="G74" s="112">
        <f>IF(COUNTIFS(_xlfn.ANCHORARRAY(DATA_CLEANED!$AF$3),CALCULES!G$2,_xlfn.ANCHORARRAY(DATA_CLEANED!$AK$3),CALCULES!$A74)+COUNTIFS(_xlfn.ANCHORARRAY(DATA_CLEANED!$AF$3),CALCULES!G$2,_xlfn.ANCHORARRAY(DATA_CLEANED!$AN$3),CALCULES!$A74)&gt;0,1,0)</f>
        <v>0</v>
      </c>
      <c r="H74" s="112">
        <f>IF(COUNTIFS(_xlfn.ANCHORARRAY(DATA_CLEANED!$AF$3),CALCULES!H$2,_xlfn.ANCHORARRAY(DATA_CLEANED!$AK$3),CALCULES!$A74)+COUNTIFS(_xlfn.ANCHORARRAY(DATA_CLEANED!$AF$3),CALCULES!H$2,_xlfn.ANCHORARRAY(DATA_CLEANED!$AN$3),CALCULES!$A74)&gt;0,1,0)</f>
        <v>0</v>
      </c>
      <c r="I74" s="112">
        <f>IF(COUNTIFS(_xlfn.ANCHORARRAY(DATA_CLEANED!$AF$3),CALCULES!I$2,_xlfn.ANCHORARRAY(DATA_CLEANED!$AK$3),CALCULES!$A74)+COUNTIFS(_xlfn.ANCHORARRAY(DATA_CLEANED!$AF$3),CALCULES!I$2,_xlfn.ANCHORARRAY(DATA_CLEANED!$AN$3),CALCULES!$A74)&gt;0,1,0)</f>
        <v>0</v>
      </c>
      <c r="J74" s="112">
        <f>IF(COUNTIFS(_xlfn.ANCHORARRAY(DATA_CLEANED!$AF$3),CALCULES!J$2,_xlfn.ANCHORARRAY(DATA_CLEANED!$AK$3),CALCULES!$A74)+COUNTIFS(_xlfn.ANCHORARRAY(DATA_CLEANED!$AF$3),CALCULES!J$2,_xlfn.ANCHORARRAY(DATA_CLEANED!$AN$3),CALCULES!$A74)&gt;0,1,0)</f>
        <v>0</v>
      </c>
      <c r="K74" s="112">
        <f>IF(COUNTIFS(_xlfn.ANCHORARRAY(DATA_CLEANED!$AF$3),CALCULES!K$2,_xlfn.ANCHORARRAY(DATA_CLEANED!$AK$3),CALCULES!$A74)+COUNTIFS(_xlfn.ANCHORARRAY(DATA_CLEANED!$AF$3),CALCULES!K$2,_xlfn.ANCHORARRAY(DATA_CLEANED!$AN$3),CALCULES!$A74)&gt;0,1,0)</f>
        <v>0</v>
      </c>
      <c r="L74" s="112">
        <f>IF(COUNTIFS(_xlfn.ANCHORARRAY(DATA_CLEANED!$AF$3),CALCULES!L$2,_xlfn.ANCHORARRAY(DATA_CLEANED!$AK$3),CALCULES!$A74)+COUNTIFS(_xlfn.ANCHORARRAY(DATA_CLEANED!$AF$3),CALCULES!L$2,_xlfn.ANCHORARRAY(DATA_CLEANED!$AN$3),CALCULES!$A74)&gt;0,1,0)</f>
        <v>0</v>
      </c>
      <c r="M74" s="112">
        <f>IF(COUNTIFS(_xlfn.ANCHORARRAY(DATA_CLEANED!$AF$3),CALCULES!M$2,_xlfn.ANCHORARRAY(DATA_CLEANED!$AK$3),CALCULES!$A74)+COUNTIFS(_xlfn.ANCHORARRAY(DATA_CLEANED!$AF$3),CALCULES!M$2,_xlfn.ANCHORARRAY(DATA_CLEANED!$AN$3),CALCULES!$A74)&gt;0,1,0)</f>
        <v>0</v>
      </c>
      <c r="N74" s="112">
        <f>IF(COUNTIFS(_xlfn.ANCHORARRAY(DATA_CLEANED!$AF$3),CALCULES!N$2,_xlfn.ANCHORARRAY(DATA_CLEANED!$AK$3),CALCULES!$A74)+COUNTIFS(_xlfn.ANCHORARRAY(DATA_CLEANED!$AF$3),CALCULES!N$2,_xlfn.ANCHORARRAY(DATA_CLEANED!$AN$3),CALCULES!$A74)&gt;0,1,0)</f>
        <v>0</v>
      </c>
      <c r="O74" s="112">
        <f>IF(COUNTIFS(_xlfn.ANCHORARRAY(DATA_CLEANED!$AF$3),CALCULES!O$2,_xlfn.ANCHORARRAY(DATA_CLEANED!$AK$3),CALCULES!$A74)+COUNTIFS(_xlfn.ANCHORARRAY(DATA_CLEANED!$AF$3),CALCULES!O$2,_xlfn.ANCHORARRAY(DATA_CLEANED!$AN$3),CALCULES!$A74)&gt;0,1,0)</f>
        <v>0</v>
      </c>
      <c r="P74" s="112">
        <f>IF(COUNTIFS(_xlfn.ANCHORARRAY(DATA_CLEANED!$AF$3),CALCULES!P$2,_xlfn.ANCHORARRAY(DATA_CLEANED!$AK$3),CALCULES!$A74)+COUNTIFS(_xlfn.ANCHORARRAY(DATA_CLEANED!$AF$3),CALCULES!P$2,_xlfn.ANCHORARRAY(DATA_CLEANED!$AN$3),CALCULES!$A74)&gt;0,1,0)</f>
        <v>0</v>
      </c>
      <c r="Q74" s="112">
        <f>IF(COUNTIFS(_xlfn.ANCHORARRAY(DATA_CLEANED!$AF$3),CALCULES!Q$2,_xlfn.ANCHORARRAY(DATA_CLEANED!$AK$3),CALCULES!$A74)+COUNTIFS(_xlfn.ANCHORARRAY(DATA_CLEANED!$AF$3),CALCULES!Q$2,_xlfn.ANCHORARRAY(DATA_CLEANED!$AN$3),CALCULES!$A74)&gt;0,1,0)</f>
        <v>0</v>
      </c>
      <c r="R74" s="112">
        <f>IF(COUNTIFS(_xlfn.ANCHORARRAY(DATA_CLEANED!$AF$3),CALCULES!R$2,_xlfn.ANCHORARRAY(DATA_CLEANED!$AK$3),CALCULES!$A74)+COUNTIFS(_xlfn.ANCHORARRAY(DATA_CLEANED!$AF$3),CALCULES!R$2,_xlfn.ANCHORARRAY(DATA_CLEANED!$AN$3),CALCULES!$A74)&gt;0,1,0)</f>
        <v>1</v>
      </c>
      <c r="S74" s="112">
        <f>IF(COUNTIFS(_xlfn.ANCHORARRAY(DATA_CLEANED!$AF$3),CALCULES!S$2,_xlfn.ANCHORARRAY(DATA_CLEANED!$AK$3),CALCULES!$A74)+COUNTIFS(_xlfn.ANCHORARRAY(DATA_CLEANED!$AF$3),CALCULES!S$2,_xlfn.ANCHORARRAY(DATA_CLEANED!$AN$3),CALCULES!$A74)&gt;0,1,0)</f>
        <v>0</v>
      </c>
      <c r="T74" s="112">
        <f>IF(COUNTIFS(_xlfn.ANCHORARRAY(DATA_CLEANED!$AF$3),CALCULES!T$2,_xlfn.ANCHORARRAY(DATA_CLEANED!$AK$3),CALCULES!$A74)+COUNTIFS(_xlfn.ANCHORARRAY(DATA_CLEANED!$AF$3),CALCULES!T$2,_xlfn.ANCHORARRAY(DATA_CLEANED!$AN$3),CALCULES!$A74)&gt;0,1,0)</f>
        <v>1</v>
      </c>
      <c r="U74" s="112">
        <f>IF(COUNTIFS(_xlfn.ANCHORARRAY(DATA_CLEANED!$AF$3),CALCULES!U$2,_xlfn.ANCHORARRAY(DATA_CLEANED!$AK$3),CALCULES!$A74)+COUNTIFS(_xlfn.ANCHORARRAY(DATA_CLEANED!$AF$3),CALCULES!U$2,_xlfn.ANCHORARRAY(DATA_CLEANED!$AN$3),CALCULES!$A74)&gt;0,1,0)</f>
        <v>0</v>
      </c>
      <c r="V74" s="112">
        <f>IF(COUNTIFS(_xlfn.ANCHORARRAY(DATA_CLEANED!$AF$3),CALCULES!V$2,_xlfn.ANCHORARRAY(DATA_CLEANED!$AK$3),CALCULES!$A74)+COUNTIFS(_xlfn.ANCHORARRAY(DATA_CLEANED!$AF$3),CALCULES!V$2,_xlfn.ANCHORARRAY(DATA_CLEANED!$AN$3),CALCULES!$A74)&gt;0,1,0)</f>
        <v>0</v>
      </c>
      <c r="W74" s="112">
        <f>IF(COUNTIFS(_xlfn.ANCHORARRAY(DATA_CLEANED!$AF$3),CALCULES!W$2,_xlfn.ANCHORARRAY(DATA_CLEANED!$AK$3),CALCULES!$A74)+COUNTIFS(_xlfn.ANCHORARRAY(DATA_CLEANED!$AF$3),CALCULES!W$2,_xlfn.ANCHORARRAY(DATA_CLEANED!$AN$3),CALCULES!$A74)&gt;0,1,0)</f>
        <v>0</v>
      </c>
      <c r="X74" s="112">
        <f>IF(COUNTIFS(_xlfn.ANCHORARRAY(DATA_CLEANED!$AF$3),CALCULES!X$2,_xlfn.ANCHORARRAY(DATA_CLEANED!$AK$3),CALCULES!$A74)+COUNTIFS(_xlfn.ANCHORARRAY(DATA_CLEANED!$AF$3),CALCULES!X$2,_xlfn.ANCHORARRAY(DATA_CLEANED!$AN$3),CALCULES!$A74)&gt;0,1,0)</f>
        <v>0</v>
      </c>
      <c r="Y74" s="113">
        <f t="shared" si="23"/>
        <v>2</v>
      </c>
      <c r="AA74" s="112">
        <f>COUNTIF(_xlfn.ANCHORARRAY(DATA_CLEANED!$AK$3),$A74)+COUNTIF(DATA_CLEANED!$AN$2:$AN$1060,$A74)</f>
        <v>6</v>
      </c>
      <c r="AB74" s="112">
        <f>COUNTIF(DATA_QUALITE!BG$12:BG$1069,A74)</f>
        <v>1</v>
      </c>
      <c r="AC74" s="112">
        <f t="shared" si="30"/>
        <v>5</v>
      </c>
      <c r="AD74" s="112" cm="1">
        <f t="array" ref="AD74">SUMPRODUCT((DATA_CLEANED!AL$3:AL$1060=DATA_CLEANED!AM$3:AM$1060)*(_xlfn.ANCHORARRAY(DATA_CLEANED!AK$3)=CALCULES!A74)*(DATA_CLEANED!AO$3:AO$1060&lt;&gt;"-"))
+
SUMPRODUCT((DATA_CLEANED!AL$3:AL$1060=DATA_CLEANED!AM$3:AM$1060)*(_xlfn.ANCHORARRAY(DATA_CLEANED!AN$3)=CALCULES!A74)*(DATA_CLEANED!AO$3:AO$1060&lt;&gt;"-"))</f>
        <v>0</v>
      </c>
      <c r="AE74" s="116">
        <f t="shared" si="24"/>
        <v>0.16666666666666666</v>
      </c>
      <c r="AF74" s="116">
        <f t="shared" si="25"/>
        <v>0.83333333333333337</v>
      </c>
      <c r="AG74" s="112">
        <f>SUMIF(_xlfn.ANCHORARRAY(DATA_CLEANED!AK$3),A74,DATA_CLEANED!AL$2:AL$1060)+SUMIF(_xlfn.ANCHORARRAY(DATA_CLEANED!AN$3),A74,DATA_CLEANED!AM$2:AM$1060)</f>
        <v>3</v>
      </c>
      <c r="AH74" s="112">
        <f>SUMIF(_xlfn.ANCHORARRAY(DATA_CLEANED!AK$3),A74,DATA_CLEANED!AM$2:AM$1060)+SUMIF(_xlfn.ANCHORARRAY(DATA_CLEANED!AN$3),A74,DATA_CLEANED!AL$2:AL$1060)</f>
        <v>8</v>
      </c>
      <c r="AI74" s="112">
        <f t="shared" si="31"/>
        <v>1.33</v>
      </c>
      <c r="AJ74" s="117" cm="1">
        <f t="array" ref="AJ74">_xlfn.LET(_xlpm.home,IFERROR(_xlfn._xlws.FILTER(DATA_CLEANED!AH$3:AH$1060,DATA_CLEANED!AK$3:AK$1060=CALCULES!A74),""),
_xlpm.away,IFERROR(_xlfn._xlws.FILTER(DATA_CLEANED!AH$3:AH$1060,DATA_CLEANED!AN$3:AN$1060=CALCULES!A74),""),
_xlpm.assemb_t,_xlfn._xlws.FILTER(_xlfn.VSTACK(_xlpm.home,_xlpm.away),_xlfn.VSTACK(_xlpm.home,_xlpm.away)&lt;&gt;""),
_xlpm.but_h,IFERROR(_xlfn._xlws.FILTER(_xlfn.ANCHORARRAY(DATA_CLEANED!AM$3),DATA_CLEANED!AK$3:AK$1060=CALCULES!A74),""),
_xlpm.but_a,IFERROR(_xlfn._xlws.FILTER(_xlfn.ANCHORARRAY(DATA_CLEANED!AL$3),DATA_CLEANED!AN$3:AN$1060=CALCULES!A74),""),
_xlpm.assemb_b,_xlfn._xlws.FILTER(_xlfn.VSTACK(_xlpm.but_h,_xlpm.but_a),_xlfn.VSTACK(_xlpm.but_h,_xlpm.but_a)&lt;&gt;""),
MEDIAN(_xlpm.assemb_t,_xlpm.assemb_b)
)</f>
        <v>1.5</v>
      </c>
      <c r="AK74" s="113">
        <f t="shared" si="26"/>
        <v>-5</v>
      </c>
      <c r="AL74" s="112" cm="1">
        <f t="array" ref="AL74">IFERROR(MEDIAN(_xlfn._xlws.FILTER(_xlfn.VSTACK(
DATA_CLEANED!AL$3:AL$1060-DATA_CLEANED!AM$3:AM$1060,
DATA_CLEANED!AM$3:AM$1060-DATA_CLEANED!AL$3:AL$1060
),_xlfn.VSTACK(DATA_CLEANED!AK$3:AK$1060,DATA_CLEANED!AN$3:AN$1060)=A74)),"-")</f>
        <v>-1</v>
      </c>
      <c r="AM74" s="112">
        <f t="shared" si="32"/>
        <v>0.5</v>
      </c>
      <c r="AN74" s="112" cm="1">
        <f t="array" ref="AN74">_xlfn.LET(_xlpm.home,IFERROR(_xlfn._xlws.FILTER(DATA_CLEANED!AH$3:AH$1060,DATA_CLEANED!AK$3:AK$1060=CALCULES!A74),""),
_xlpm.away,IFERROR(_xlfn._xlws.FILTER(DATA_CLEANED!AH$3:AH$1060,DATA_CLEANED!AN$3:AN$1060=CALCULES!A74),""),
_xlpm.assemb_t,_xlfn._xlws.FILTER(_xlfn.VSTACK(_xlpm.home,_xlpm.away),_xlfn.VSTACK(_xlpm.home,_xlpm.away)&lt;&gt;""),
_xlpm.but_h,IFERROR(_xlfn._xlws.FILTER(_xlfn.ANCHORARRAY(DATA_CLEANED!AL$3),DATA_CLEANED!AK$3:AK$1060=CALCULES!A74),""),
_xlpm.but_a,IFERROR(_xlfn._xlws.FILTER(_xlfn.ANCHORARRAY(DATA_CLEANED!AM$3),DATA_CLEANED!AN$3:AN$1060=CALCULES!A74),""),
_xlpm.assemb_b,_xlfn._xlws.FILTER(_xlfn.VSTACK(_xlpm.but_h,_xlpm.but_a),_xlfn.VSTACK(_xlpm.but_h,_xlpm.but_a)&lt;&gt;""),
MEDIAN(_xlpm.assemb_t,_xlpm.assemb_b)
)</f>
        <v>1</v>
      </c>
      <c r="AO74" s="116">
        <f>ROUND(IFERROR((COUNTIFS(DATA_CLEANED!AK$3:AK$1060,A74,DATA_CLEANED!AM$3:AM$1060,0)
+
COUNTIFS(DATA_CLEANED!AN$3:AN$1060,A74,DATA_CLEANED!AL$3:AL$1060,0)
)/AA74,0),2)</f>
        <v>0.17</v>
      </c>
      <c r="AP74" s="112">
        <f>MAX((_xlfn.MAXIFS(_xlfn.ANCHORARRAY(DATA_CLEANED!AL$3),_xlfn.ANCHORARRAY(DATA_CLEANED!AK$3),A74)),(_xlfn.MAXIFS(DATA_CLEANED!AM$3:AM$1060,_xlfn.ANCHORARRAY(DATA_CLEANED!AN$3),A74)))</f>
        <v>2</v>
      </c>
      <c r="AQ74" s="112">
        <f>COUNTIF(_xlfn.ANCHORARRAY(DATA_CLEANED!K$3),A74)</f>
        <v>0</v>
      </c>
      <c r="AR74" s="113" t="str" cm="1">
        <f t="array" ref="AR74">_xlfn.LET(
_xlpm.home,IFERROR(_xlfn._xlws.FILTER(DATA_CLEANED!AH$3:AH$1060,DATA_CLEANED!AK$3:AK$1060=CALCULES!A74),""),
_xlpm.away,IFERROR(_xlfn._xlws.FILTER(DATA_CLEANED!AH$3:AH$1060,DATA_CLEANED!AN$3:AN$1060=CALCULES!A74),""),
_xlpm.etapes,_xlfn._xlws.FILTER(_xlfn.VSTACK(_xlpm.home,_xlpm.away),_xlfn.VSTACK(_xlpm.home,_xlpm.away)&lt;&gt;""),
_xlpm.numeros,_xlfn.XLOOKUP(_xlpm.etapes,DATA_QUALITE!AT$12:AT$38,DATA_QUALITE!AU$12:AU$38),
_xlfn.XLOOKUP(MIN(_xlpm.numeros),DATA_QUALITE!AU$12:AU$38,DATA_QUALITE!AT$12:AT$38)
)</f>
        <v>GROUP_STAGE</v>
      </c>
      <c r="AS74" s="112">
        <f t="shared" si="27"/>
        <v>2</v>
      </c>
      <c r="AT74" s="112">
        <f t="shared" si="28"/>
        <v>1</v>
      </c>
      <c r="AU74" s="112">
        <f>COUNTIFS(DATA_QUALITE!BG$12:BG$1069,"MATCH NUL",_xlfn.ANCHORARRAY(DATA_CLEANED!AK$3),CALCULES!A74)+COUNTIFS(DATA_QUALITE!BG$12:BG$1069,"MATCH NUL",_xlfn.ANCHORARRAY(DATA_CLEANED!AN$3),CALCULES!A74)</f>
        <v>1</v>
      </c>
      <c r="AV74" s="112">
        <v>3</v>
      </c>
      <c r="AW74" s="112">
        <f>COUNTIFS(_xlfn.ANCHORARRAY(DATA_CLEANED!AH$3),"QUARTER_FINALS",_xlfn.ANCHORARRAY(DATA_CLEANED!AK$3),CALCULES!A74)+COUNTIFS(_xlfn.ANCHORARRAY(DATA_CLEANED!AH$3),"QUARTER_FINALS",_xlfn.ANCHORARRAY(DATA_CLEANED!AN$3),CALCULES!A74)</f>
        <v>0</v>
      </c>
      <c r="AX74" s="112">
        <f>COUNTIFS(_xlfn.ANCHORARRAY(DATA_CLEANED!AH$3),"SEMI_FINALS",_xlfn.ANCHORARRAY(DATA_CLEANED!AK$3),CALCULES!A74)+COUNTIFS(_xlfn.ANCHORARRAY(DATA_CLEANED!AH$3),"SEMI_FINALS",_xlfn.ANCHORARRAY(DATA_CLEANED!AN$3),CALCULES!A74)</f>
        <v>0</v>
      </c>
      <c r="AY74" s="112">
        <f>COUNTIFS(_xlfn.ANCHORARRAY(DATA_CLEANED!AH$3),"FINAL",_xlfn.ANCHORARRAY(DATA_CLEANED!AK$3),CALCULES!A74)+COUNTIFS(_xlfn.ANCHORARRAY(DATA_CLEANED!AH$3),"FINAL",_xlfn.ANCHORARRAY(DATA_CLEANED!AN$3),CALCULES!A74)</f>
        <v>0</v>
      </c>
      <c r="AZ74" s="112">
        <f>COUNTIFS(DATA_QUALITE!BG$12:BG$1069,CALCULES!A74,DATA_QUALITE!AW$12:AW$1069,"FINAL")</f>
        <v>0</v>
      </c>
      <c r="BA74" s="113">
        <f t="shared" si="29"/>
        <v>28.13</v>
      </c>
      <c r="BB74" s="118">
        <f t="shared" si="33"/>
        <v>2.58</v>
      </c>
      <c r="BC74" s="118">
        <f t="shared" si="34"/>
        <v>4.62</v>
      </c>
      <c r="BD74" s="139">
        <f t="shared" si="35"/>
        <v>3.6</v>
      </c>
      <c r="BF74" s="167"/>
      <c r="BG74" s="167"/>
      <c r="BH74" s="167"/>
      <c r="BI74" s="167"/>
      <c r="BJ74" s="167"/>
      <c r="BK74" s="167"/>
      <c r="BL74" s="173">
        <f>INT((ROWS($BL$15:BL74)-1)/9)</f>
        <v>6</v>
      </c>
      <c r="BM74" s="173">
        <f>MOD(ROWS($BM$15:BM74)-1,9)</f>
        <v>5</v>
      </c>
      <c r="BN74" s="173">
        <f t="shared" si="22"/>
        <v>2.2625722768312198E-5</v>
      </c>
      <c r="BO74" s="167"/>
      <c r="BP74" s="167"/>
    </row>
    <row r="75" spans="1:68">
      <c r="A75" s="113" t="str">
        <v>South Africa</v>
      </c>
      <c r="B75" s="112">
        <f>IF(COUNTIFS(_xlfn.ANCHORARRAY(DATA_CLEANED!$AF$3),CALCULES!B$2,_xlfn.ANCHORARRAY(DATA_CLEANED!$AK$3),CALCULES!$A75)+COUNTIFS(_xlfn.ANCHORARRAY(DATA_CLEANED!$AF$3),CALCULES!B$2,_xlfn.ANCHORARRAY(DATA_CLEANED!$AN$3),CALCULES!$A75)&gt;0,1,0)</f>
        <v>0</v>
      </c>
      <c r="C75" s="112">
        <f>IF(COUNTIFS(_xlfn.ANCHORARRAY(DATA_CLEANED!$AF$3),CALCULES!C$2,_xlfn.ANCHORARRAY(DATA_CLEANED!$AK$3),CALCULES!$A75)+COUNTIFS(_xlfn.ANCHORARRAY(DATA_CLEANED!$AF$3),CALCULES!C$2,_xlfn.ANCHORARRAY(DATA_CLEANED!$AN$3),CALCULES!$A75)&gt;0,1,0)</f>
        <v>0</v>
      </c>
      <c r="D75" s="112">
        <f>IF(COUNTIFS(_xlfn.ANCHORARRAY(DATA_CLEANED!$AF$3),CALCULES!D$2,_xlfn.ANCHORARRAY(DATA_CLEANED!$AK$3),CALCULES!$A75)+COUNTIFS(_xlfn.ANCHORARRAY(DATA_CLEANED!$AF$3),CALCULES!D$2,_xlfn.ANCHORARRAY(DATA_CLEANED!$AN$3),CALCULES!$A75)&gt;0,1,0)</f>
        <v>0</v>
      </c>
      <c r="E75" s="112">
        <f>IF(COUNTIFS(_xlfn.ANCHORARRAY(DATA_CLEANED!$AF$3),CALCULES!E$2,_xlfn.ANCHORARRAY(DATA_CLEANED!$AK$3),CALCULES!$A75)+COUNTIFS(_xlfn.ANCHORARRAY(DATA_CLEANED!$AF$3),CALCULES!E$2,_xlfn.ANCHORARRAY(DATA_CLEANED!$AN$3),CALCULES!$A75)&gt;0,1,0)</f>
        <v>0</v>
      </c>
      <c r="F75" s="112">
        <f>IF(COUNTIFS(_xlfn.ANCHORARRAY(DATA_CLEANED!$AF$3),CALCULES!F$2,_xlfn.ANCHORARRAY(DATA_CLEANED!$AK$3),CALCULES!$A75)+COUNTIFS(_xlfn.ANCHORARRAY(DATA_CLEANED!$AF$3),CALCULES!F$2,_xlfn.ANCHORARRAY(DATA_CLEANED!$AN$3),CALCULES!$A75)&gt;0,1,0)</f>
        <v>0</v>
      </c>
      <c r="G75" s="112">
        <f>IF(COUNTIFS(_xlfn.ANCHORARRAY(DATA_CLEANED!$AF$3),CALCULES!G$2,_xlfn.ANCHORARRAY(DATA_CLEANED!$AK$3),CALCULES!$A75)+COUNTIFS(_xlfn.ANCHORARRAY(DATA_CLEANED!$AF$3),CALCULES!G$2,_xlfn.ANCHORARRAY(DATA_CLEANED!$AN$3),CALCULES!$A75)&gt;0,1,0)</f>
        <v>0</v>
      </c>
      <c r="H75" s="112">
        <f>IF(COUNTIFS(_xlfn.ANCHORARRAY(DATA_CLEANED!$AF$3),CALCULES!H$2,_xlfn.ANCHORARRAY(DATA_CLEANED!$AK$3),CALCULES!$A75)+COUNTIFS(_xlfn.ANCHORARRAY(DATA_CLEANED!$AF$3),CALCULES!H$2,_xlfn.ANCHORARRAY(DATA_CLEANED!$AN$3),CALCULES!$A75)&gt;0,1,0)</f>
        <v>0</v>
      </c>
      <c r="I75" s="112">
        <f>IF(COUNTIFS(_xlfn.ANCHORARRAY(DATA_CLEANED!$AF$3),CALCULES!I$2,_xlfn.ANCHORARRAY(DATA_CLEANED!$AK$3),CALCULES!$A75)+COUNTIFS(_xlfn.ANCHORARRAY(DATA_CLEANED!$AF$3),CALCULES!I$2,_xlfn.ANCHORARRAY(DATA_CLEANED!$AN$3),CALCULES!$A75)&gt;0,1,0)</f>
        <v>0</v>
      </c>
      <c r="J75" s="112">
        <f>IF(COUNTIFS(_xlfn.ANCHORARRAY(DATA_CLEANED!$AF$3),CALCULES!J$2,_xlfn.ANCHORARRAY(DATA_CLEANED!$AK$3),CALCULES!$A75)+COUNTIFS(_xlfn.ANCHORARRAY(DATA_CLEANED!$AF$3),CALCULES!J$2,_xlfn.ANCHORARRAY(DATA_CLEANED!$AN$3),CALCULES!$A75)&gt;0,1,0)</f>
        <v>0</v>
      </c>
      <c r="K75" s="112">
        <f>IF(COUNTIFS(_xlfn.ANCHORARRAY(DATA_CLEANED!$AF$3),CALCULES!K$2,_xlfn.ANCHORARRAY(DATA_CLEANED!$AK$3),CALCULES!$A75)+COUNTIFS(_xlfn.ANCHORARRAY(DATA_CLEANED!$AF$3),CALCULES!K$2,_xlfn.ANCHORARRAY(DATA_CLEANED!$AN$3),CALCULES!$A75)&gt;0,1,0)</f>
        <v>0</v>
      </c>
      <c r="L75" s="112">
        <f>IF(COUNTIFS(_xlfn.ANCHORARRAY(DATA_CLEANED!$AF$3),CALCULES!L$2,_xlfn.ANCHORARRAY(DATA_CLEANED!$AK$3),CALCULES!$A75)+COUNTIFS(_xlfn.ANCHORARRAY(DATA_CLEANED!$AF$3),CALCULES!L$2,_xlfn.ANCHORARRAY(DATA_CLEANED!$AN$3),CALCULES!$A75)&gt;0,1,0)</f>
        <v>0</v>
      </c>
      <c r="M75" s="112">
        <f>IF(COUNTIFS(_xlfn.ANCHORARRAY(DATA_CLEANED!$AF$3),CALCULES!M$2,_xlfn.ANCHORARRAY(DATA_CLEANED!$AK$3),CALCULES!$A75)+COUNTIFS(_xlfn.ANCHORARRAY(DATA_CLEANED!$AF$3),CALCULES!M$2,_xlfn.ANCHORARRAY(DATA_CLEANED!$AN$3),CALCULES!$A75)&gt;0,1,0)</f>
        <v>0</v>
      </c>
      <c r="N75" s="112">
        <f>IF(COUNTIFS(_xlfn.ANCHORARRAY(DATA_CLEANED!$AF$3),CALCULES!N$2,_xlfn.ANCHORARRAY(DATA_CLEANED!$AK$3),CALCULES!$A75)+COUNTIFS(_xlfn.ANCHORARRAY(DATA_CLEANED!$AF$3),CALCULES!N$2,_xlfn.ANCHORARRAY(DATA_CLEANED!$AN$3),CALCULES!$A75)&gt;0,1,0)</f>
        <v>0</v>
      </c>
      <c r="O75" s="112">
        <f>IF(COUNTIFS(_xlfn.ANCHORARRAY(DATA_CLEANED!$AF$3),CALCULES!O$2,_xlfn.ANCHORARRAY(DATA_CLEANED!$AK$3),CALCULES!$A75)+COUNTIFS(_xlfn.ANCHORARRAY(DATA_CLEANED!$AF$3),CALCULES!O$2,_xlfn.ANCHORARRAY(DATA_CLEANED!$AN$3),CALCULES!$A75)&gt;0,1,0)</f>
        <v>0</v>
      </c>
      <c r="P75" s="112">
        <f>IF(COUNTIFS(_xlfn.ANCHORARRAY(DATA_CLEANED!$AF$3),CALCULES!P$2,_xlfn.ANCHORARRAY(DATA_CLEANED!$AK$3),CALCULES!$A75)+COUNTIFS(_xlfn.ANCHORARRAY(DATA_CLEANED!$AF$3),CALCULES!P$2,_xlfn.ANCHORARRAY(DATA_CLEANED!$AN$3),CALCULES!$A75)&gt;0,1,0)</f>
        <v>0</v>
      </c>
      <c r="Q75" s="112">
        <f>IF(COUNTIFS(_xlfn.ANCHORARRAY(DATA_CLEANED!$AF$3),CALCULES!Q$2,_xlfn.ANCHORARRAY(DATA_CLEANED!$AK$3),CALCULES!$A75)+COUNTIFS(_xlfn.ANCHORARRAY(DATA_CLEANED!$AF$3),CALCULES!Q$2,_xlfn.ANCHORARRAY(DATA_CLEANED!$AN$3),CALCULES!$A75)&gt;0,1,0)</f>
        <v>1</v>
      </c>
      <c r="R75" s="112">
        <f>IF(COUNTIFS(_xlfn.ANCHORARRAY(DATA_CLEANED!$AF$3),CALCULES!R$2,_xlfn.ANCHORARRAY(DATA_CLEANED!$AK$3),CALCULES!$A75)+COUNTIFS(_xlfn.ANCHORARRAY(DATA_CLEANED!$AF$3),CALCULES!R$2,_xlfn.ANCHORARRAY(DATA_CLEANED!$AN$3),CALCULES!$A75)&gt;0,1,0)</f>
        <v>1</v>
      </c>
      <c r="S75" s="112">
        <f>IF(COUNTIFS(_xlfn.ANCHORARRAY(DATA_CLEANED!$AF$3),CALCULES!S$2,_xlfn.ANCHORARRAY(DATA_CLEANED!$AK$3),CALCULES!$A75)+COUNTIFS(_xlfn.ANCHORARRAY(DATA_CLEANED!$AF$3),CALCULES!S$2,_xlfn.ANCHORARRAY(DATA_CLEANED!$AN$3),CALCULES!$A75)&gt;0,1,0)</f>
        <v>0</v>
      </c>
      <c r="T75" s="112">
        <f>IF(COUNTIFS(_xlfn.ANCHORARRAY(DATA_CLEANED!$AF$3),CALCULES!T$2,_xlfn.ANCHORARRAY(DATA_CLEANED!$AK$3),CALCULES!$A75)+COUNTIFS(_xlfn.ANCHORARRAY(DATA_CLEANED!$AF$3),CALCULES!T$2,_xlfn.ANCHORARRAY(DATA_CLEANED!$AN$3),CALCULES!$A75)&gt;0,1,0)</f>
        <v>1</v>
      </c>
      <c r="U75" s="112">
        <f>IF(COUNTIFS(_xlfn.ANCHORARRAY(DATA_CLEANED!$AF$3),CALCULES!U$2,_xlfn.ANCHORARRAY(DATA_CLEANED!$AK$3),CALCULES!$A75)+COUNTIFS(_xlfn.ANCHORARRAY(DATA_CLEANED!$AF$3),CALCULES!U$2,_xlfn.ANCHORARRAY(DATA_CLEANED!$AN$3),CALCULES!$A75)&gt;0,1,0)</f>
        <v>0</v>
      </c>
      <c r="V75" s="112">
        <f>IF(COUNTIFS(_xlfn.ANCHORARRAY(DATA_CLEANED!$AF$3),CALCULES!V$2,_xlfn.ANCHORARRAY(DATA_CLEANED!$AK$3),CALCULES!$A75)+COUNTIFS(_xlfn.ANCHORARRAY(DATA_CLEANED!$AF$3),CALCULES!V$2,_xlfn.ANCHORARRAY(DATA_CLEANED!$AN$3),CALCULES!$A75)&gt;0,1,0)</f>
        <v>0</v>
      </c>
      <c r="W75" s="112">
        <f>IF(COUNTIFS(_xlfn.ANCHORARRAY(DATA_CLEANED!$AF$3),CALCULES!W$2,_xlfn.ANCHORARRAY(DATA_CLEANED!$AK$3),CALCULES!$A75)+COUNTIFS(_xlfn.ANCHORARRAY(DATA_CLEANED!$AF$3),CALCULES!W$2,_xlfn.ANCHORARRAY(DATA_CLEANED!$AN$3),CALCULES!$A75)&gt;0,1,0)</f>
        <v>0</v>
      </c>
      <c r="X75" s="112">
        <f>IF(COUNTIFS(_xlfn.ANCHORARRAY(DATA_CLEANED!$AF$3),CALCULES!X$2,_xlfn.ANCHORARRAY(DATA_CLEANED!$AK$3),CALCULES!$A75)+COUNTIFS(_xlfn.ANCHORARRAY(DATA_CLEANED!$AF$3),CALCULES!X$2,_xlfn.ANCHORARRAY(DATA_CLEANED!$AN$3),CALCULES!$A75)&gt;0,1,0)</f>
        <v>1</v>
      </c>
      <c r="Y75" s="113">
        <f t="shared" si="23"/>
        <v>4</v>
      </c>
      <c r="AA75" s="112">
        <f>COUNTIF(_xlfn.ANCHORARRAY(DATA_CLEANED!$AK$3),$A75)+COUNTIF(DATA_CLEANED!$AN$2:$AN$1060,$A75)</f>
        <v>13</v>
      </c>
      <c r="AB75" s="112">
        <f>COUNTIF(DATA_QUALITE!BG$12:BG$1069,A75)</f>
        <v>3</v>
      </c>
      <c r="AC75" s="112">
        <f t="shared" si="30"/>
        <v>10</v>
      </c>
      <c r="AD75" s="112" cm="1">
        <f t="array" ref="AD75">SUMPRODUCT((DATA_CLEANED!AL$3:AL$1060=DATA_CLEANED!AM$3:AM$1060)*(_xlfn.ANCHORARRAY(DATA_CLEANED!AK$3)=CALCULES!A75)*(DATA_CLEANED!AO$3:AO$1060&lt;&gt;"-"))
+
SUMPRODUCT((DATA_CLEANED!AL$3:AL$1060=DATA_CLEANED!AM$3:AM$1060)*(_xlfn.ANCHORARRAY(DATA_CLEANED!AN$3)=CALCULES!A75)*(DATA_CLEANED!AO$3:AO$1060&lt;&gt;"-"))</f>
        <v>0</v>
      </c>
      <c r="AE75" s="116">
        <f t="shared" si="24"/>
        <v>0.23076923076923078</v>
      </c>
      <c r="AF75" s="116">
        <f t="shared" si="25"/>
        <v>0.76923076923076927</v>
      </c>
      <c r="AG75" s="112">
        <f>SUMIF(_xlfn.ANCHORARRAY(DATA_CLEANED!AK$3),A75,DATA_CLEANED!AL$2:AL$1060)+SUMIF(_xlfn.ANCHORARRAY(DATA_CLEANED!AN$3),A75,DATA_CLEANED!AM$2:AM$1060)</f>
        <v>20</v>
      </c>
      <c r="AH75" s="112">
        <f>SUMIF(_xlfn.ANCHORARRAY(DATA_CLEANED!AK$3),A75,DATA_CLEANED!AM$2:AM$1060)+SUMIF(_xlfn.ANCHORARRAY(DATA_CLEANED!AN$3),A75,DATA_CLEANED!AL$2:AL$1060)</f>
        <v>16</v>
      </c>
      <c r="AI75" s="112">
        <f t="shared" si="31"/>
        <v>1.23</v>
      </c>
      <c r="AJ75" s="117" cm="1">
        <f t="array" ref="AJ75">_xlfn.LET(_xlpm.home,IFERROR(_xlfn._xlws.FILTER(DATA_CLEANED!AH$3:AH$1060,DATA_CLEANED!AK$3:AK$1060=CALCULES!A75),""),
_xlpm.away,IFERROR(_xlfn._xlws.FILTER(DATA_CLEANED!AH$3:AH$1060,DATA_CLEANED!AN$3:AN$1060=CALCULES!A75),""),
_xlpm.assemb_t,_xlfn._xlws.FILTER(_xlfn.VSTACK(_xlpm.home,_xlpm.away),_xlfn.VSTACK(_xlpm.home,_xlpm.away)&lt;&gt;""),
_xlpm.but_h,IFERROR(_xlfn._xlws.FILTER(_xlfn.ANCHORARRAY(DATA_CLEANED!AM$3),DATA_CLEANED!AK$3:AK$1060=CALCULES!A75),""),
_xlpm.but_a,IFERROR(_xlfn._xlws.FILTER(_xlfn.ANCHORARRAY(DATA_CLEANED!AL$3),DATA_CLEANED!AN$3:AN$1060=CALCULES!A75),""),
_xlpm.assemb_b,_xlfn._xlws.FILTER(_xlfn.VSTACK(_xlpm.but_h,_xlpm.but_a),_xlfn.VSTACK(_xlpm.but_h,_xlpm.but_a)&lt;&gt;""),
MEDIAN(_xlpm.assemb_t,_xlpm.assemb_b)
)</f>
        <v>1</v>
      </c>
      <c r="AK75" s="113">
        <f t="shared" si="26"/>
        <v>4</v>
      </c>
      <c r="AL75" s="112" cm="1">
        <f t="array" ref="AL75">IFERROR(MEDIAN(_xlfn._xlws.FILTER(_xlfn.VSTACK(
DATA_CLEANED!AL$3:AL$1060-DATA_CLEANED!AM$3:AM$1060,
DATA_CLEANED!AM$3:AM$1060-DATA_CLEANED!AL$3:AL$1060
),_xlfn.VSTACK(DATA_CLEANED!AK$3:AK$1060,DATA_CLEANED!AN$3:AN$1060)=A75)),"-")</f>
        <v>0</v>
      </c>
      <c r="AM75" s="112">
        <f t="shared" si="32"/>
        <v>1.54</v>
      </c>
      <c r="AN75" s="112" cm="1">
        <f t="array" ref="AN75">_xlfn.LET(_xlpm.home,IFERROR(_xlfn._xlws.FILTER(DATA_CLEANED!AH$3:AH$1060,DATA_CLEANED!AK$3:AK$1060=CALCULES!A75),""),
_xlpm.away,IFERROR(_xlfn._xlws.FILTER(DATA_CLEANED!AH$3:AH$1060,DATA_CLEANED!AN$3:AN$1060=CALCULES!A75),""),
_xlpm.assemb_t,_xlfn._xlws.FILTER(_xlfn.VSTACK(_xlpm.home,_xlpm.away),_xlfn.VSTACK(_xlpm.home,_xlpm.away)&lt;&gt;""),
_xlpm.but_h,IFERROR(_xlfn._xlws.FILTER(_xlfn.ANCHORARRAY(DATA_CLEANED!AL$3),DATA_CLEANED!AK$3:AK$1060=CALCULES!A75),""),
_xlpm.but_a,IFERROR(_xlfn._xlws.FILTER(_xlfn.ANCHORARRAY(DATA_CLEANED!AM$3),DATA_CLEANED!AN$3:AN$1060=CALCULES!A75),""),
_xlpm.assemb_b,_xlfn._xlws.FILTER(_xlfn.VSTACK(_xlpm.but_h,_xlpm.but_a),_xlfn.VSTACK(_xlpm.but_h,_xlpm.but_a)&lt;&gt;""),
MEDIAN(_xlpm.assemb_t,_xlpm.assemb_b)
)</f>
        <v>1</v>
      </c>
      <c r="AO75" s="116">
        <f>ROUND(IFERROR((COUNTIFS(DATA_CLEANED!AK$3:AK$1060,A75,DATA_CLEANED!AM$3:AM$1060,0)
+
COUNTIFS(DATA_CLEANED!AN$3:AN$1060,A75,DATA_CLEANED!AL$3:AL$1060,0)
)/AA75,0),2)</f>
        <v>0.15</v>
      </c>
      <c r="AP75" s="112">
        <f>MAX((_xlfn.MAXIFS(_xlfn.ANCHORARRAY(DATA_CLEANED!AL$3),_xlfn.ANCHORARRAY(DATA_CLEANED!AK$3),A75)),(_xlfn.MAXIFS(DATA_CLEANED!AM$3:AM$1060,_xlfn.ANCHORARRAY(DATA_CLEANED!AN$3),A75)))</f>
        <v>2</v>
      </c>
      <c r="AQ75" s="112">
        <f>COUNTIF(_xlfn.ANCHORARRAY(DATA_CLEANED!K$3),A75)</f>
        <v>0</v>
      </c>
      <c r="AR75" s="113" t="str" cm="1">
        <f t="array" ref="AR75">_xlfn.LET(
_xlpm.home,IFERROR(_xlfn._xlws.FILTER(DATA_CLEANED!AH$3:AH$1060,DATA_CLEANED!AK$3:AK$1060=CALCULES!A75),""),
_xlpm.away,IFERROR(_xlfn._xlws.FILTER(DATA_CLEANED!AH$3:AH$1060,DATA_CLEANED!AN$3:AN$1060=CALCULES!A75),""),
_xlpm.etapes,_xlfn._xlws.FILTER(_xlfn.VSTACK(_xlpm.home,_xlpm.away),_xlfn.VSTACK(_xlpm.home,_xlpm.away)&lt;&gt;""),
_xlpm.numeros,_xlfn.XLOOKUP(_xlpm.etapes,DATA_QUALITE!AT$12:AT$38,DATA_QUALITE!AU$12:AU$38),
_xlfn.XLOOKUP(MIN(_xlpm.numeros),DATA_QUALITE!AU$12:AU$38,DATA_QUALITE!AT$12:AT$38)
)</f>
        <v>ROUND_OF_32</v>
      </c>
      <c r="AS75" s="112">
        <f t="shared" si="27"/>
        <v>4</v>
      </c>
      <c r="AT75" s="112">
        <f t="shared" si="28"/>
        <v>3</v>
      </c>
      <c r="AU75" s="112">
        <f>COUNTIFS(DATA_QUALITE!BG$12:BG$1069,"MATCH NUL",_xlfn.ANCHORARRAY(DATA_CLEANED!AK$3),CALCULES!A75)+COUNTIFS(DATA_QUALITE!BG$12:BG$1069,"MATCH NUL",_xlfn.ANCHORARRAY(DATA_CLEANED!AN$3),CALCULES!A75)</f>
        <v>5</v>
      </c>
      <c r="AV75" s="112">
        <v>20</v>
      </c>
      <c r="AW75" s="112">
        <f>COUNTIFS(_xlfn.ANCHORARRAY(DATA_CLEANED!AH$3),"QUARTER_FINALS",_xlfn.ANCHORARRAY(DATA_CLEANED!AK$3),CALCULES!A75)+COUNTIFS(_xlfn.ANCHORARRAY(DATA_CLEANED!AH$3),"QUARTER_FINALS",_xlfn.ANCHORARRAY(DATA_CLEANED!AN$3),CALCULES!A75)</f>
        <v>0</v>
      </c>
      <c r="AX75" s="112">
        <f>COUNTIFS(_xlfn.ANCHORARRAY(DATA_CLEANED!AH$3),"SEMI_FINALS",_xlfn.ANCHORARRAY(DATA_CLEANED!AK$3),CALCULES!A75)+COUNTIFS(_xlfn.ANCHORARRAY(DATA_CLEANED!AH$3),"SEMI_FINALS",_xlfn.ANCHORARRAY(DATA_CLEANED!AN$3),CALCULES!A75)</f>
        <v>0</v>
      </c>
      <c r="AY75" s="112">
        <f>COUNTIFS(_xlfn.ANCHORARRAY(DATA_CLEANED!AH$3),"FINAL",_xlfn.ANCHORARRAY(DATA_CLEANED!AK$3),CALCULES!A75)+COUNTIFS(_xlfn.ANCHORARRAY(DATA_CLEANED!AH$3),"FINAL",_xlfn.ANCHORARRAY(DATA_CLEANED!AN$3),CALCULES!A75)</f>
        <v>0</v>
      </c>
      <c r="AZ75" s="112">
        <f>COUNTIFS(DATA_QUALITE!BG$12:BG$1069,CALCULES!A75,DATA_QUALITE!AW$12:AW$1069,"FINAL")</f>
        <v>0</v>
      </c>
      <c r="BA75" s="113">
        <f t="shared" si="29"/>
        <v>35.29</v>
      </c>
      <c r="BB75" s="118">
        <f t="shared" si="33"/>
        <v>8.69</v>
      </c>
      <c r="BC75" s="118">
        <f t="shared" si="34"/>
        <v>9.26</v>
      </c>
      <c r="BD75" s="139">
        <f t="shared" si="35"/>
        <v>8.98</v>
      </c>
      <c r="BF75" s="167"/>
      <c r="BG75" s="167"/>
      <c r="BH75" s="167"/>
      <c r="BI75" s="167"/>
      <c r="BJ75" s="167"/>
      <c r="BK75" s="167"/>
      <c r="BL75" s="173">
        <f>INT((ROWS($BL$15:BL75)-1)/9)</f>
        <v>6</v>
      </c>
      <c r="BM75" s="173">
        <f>MOD(ROWS($BM$15:BM75)-1,9)</f>
        <v>6</v>
      </c>
      <c r="BN75" s="173">
        <f t="shared" si="22"/>
        <v>4.2232242589824246E-6</v>
      </c>
      <c r="BO75" s="167"/>
      <c r="BP75" s="167"/>
    </row>
    <row r="76" spans="1:68">
      <c r="A76" s="113" t="str">
        <v>South Korea</v>
      </c>
      <c r="B76" s="112">
        <f>IF(COUNTIFS(_xlfn.ANCHORARRAY(DATA_CLEANED!$AF$3),CALCULES!B$2,_xlfn.ANCHORARRAY(DATA_CLEANED!$AK$3),CALCULES!$A76)+COUNTIFS(_xlfn.ANCHORARRAY(DATA_CLEANED!$AF$3),CALCULES!B$2,_xlfn.ANCHORARRAY(DATA_CLEANED!$AN$3),CALCULES!$A76)&gt;0,1,0)</f>
        <v>0</v>
      </c>
      <c r="C76" s="112">
        <f>IF(COUNTIFS(_xlfn.ANCHORARRAY(DATA_CLEANED!$AF$3),CALCULES!C$2,_xlfn.ANCHORARRAY(DATA_CLEANED!$AK$3),CALCULES!$A76)+COUNTIFS(_xlfn.ANCHORARRAY(DATA_CLEANED!$AF$3),CALCULES!C$2,_xlfn.ANCHORARRAY(DATA_CLEANED!$AN$3),CALCULES!$A76)&gt;0,1,0)</f>
        <v>0</v>
      </c>
      <c r="D76" s="112">
        <f>IF(COUNTIFS(_xlfn.ANCHORARRAY(DATA_CLEANED!$AF$3),CALCULES!D$2,_xlfn.ANCHORARRAY(DATA_CLEANED!$AK$3),CALCULES!$A76)+COUNTIFS(_xlfn.ANCHORARRAY(DATA_CLEANED!$AF$3),CALCULES!D$2,_xlfn.ANCHORARRAY(DATA_CLEANED!$AN$3),CALCULES!$A76)&gt;0,1,0)</f>
        <v>0</v>
      </c>
      <c r="E76" s="112">
        <f>IF(COUNTIFS(_xlfn.ANCHORARRAY(DATA_CLEANED!$AF$3),CALCULES!E$2,_xlfn.ANCHORARRAY(DATA_CLEANED!$AK$3),CALCULES!$A76)+COUNTIFS(_xlfn.ANCHORARRAY(DATA_CLEANED!$AF$3),CALCULES!E$2,_xlfn.ANCHORARRAY(DATA_CLEANED!$AN$3),CALCULES!$A76)&gt;0,1,0)</f>
        <v>0</v>
      </c>
      <c r="F76" s="112">
        <f>IF(COUNTIFS(_xlfn.ANCHORARRAY(DATA_CLEANED!$AF$3),CALCULES!F$2,_xlfn.ANCHORARRAY(DATA_CLEANED!$AK$3),CALCULES!$A76)+COUNTIFS(_xlfn.ANCHORARRAY(DATA_CLEANED!$AF$3),CALCULES!F$2,_xlfn.ANCHORARRAY(DATA_CLEANED!$AN$3),CALCULES!$A76)&gt;0,1,0)</f>
        <v>1</v>
      </c>
      <c r="G76" s="112">
        <f>IF(COUNTIFS(_xlfn.ANCHORARRAY(DATA_CLEANED!$AF$3),CALCULES!G$2,_xlfn.ANCHORARRAY(DATA_CLEANED!$AK$3),CALCULES!$A76)+COUNTIFS(_xlfn.ANCHORARRAY(DATA_CLEANED!$AF$3),CALCULES!G$2,_xlfn.ANCHORARRAY(DATA_CLEANED!$AN$3),CALCULES!$A76)&gt;0,1,0)</f>
        <v>0</v>
      </c>
      <c r="H76" s="112">
        <f>IF(COUNTIFS(_xlfn.ANCHORARRAY(DATA_CLEANED!$AF$3),CALCULES!H$2,_xlfn.ANCHORARRAY(DATA_CLEANED!$AK$3),CALCULES!$A76)+COUNTIFS(_xlfn.ANCHORARRAY(DATA_CLEANED!$AF$3),CALCULES!H$2,_xlfn.ANCHORARRAY(DATA_CLEANED!$AN$3),CALCULES!$A76)&gt;0,1,0)</f>
        <v>0</v>
      </c>
      <c r="I76" s="112">
        <f>IF(COUNTIFS(_xlfn.ANCHORARRAY(DATA_CLEANED!$AF$3),CALCULES!I$2,_xlfn.ANCHORARRAY(DATA_CLEANED!$AK$3),CALCULES!$A76)+COUNTIFS(_xlfn.ANCHORARRAY(DATA_CLEANED!$AF$3),CALCULES!I$2,_xlfn.ANCHORARRAY(DATA_CLEANED!$AN$3),CALCULES!$A76)&gt;0,1,0)</f>
        <v>0</v>
      </c>
      <c r="J76" s="112">
        <f>IF(COUNTIFS(_xlfn.ANCHORARRAY(DATA_CLEANED!$AF$3),CALCULES!J$2,_xlfn.ANCHORARRAY(DATA_CLEANED!$AK$3),CALCULES!$A76)+COUNTIFS(_xlfn.ANCHORARRAY(DATA_CLEANED!$AF$3),CALCULES!J$2,_xlfn.ANCHORARRAY(DATA_CLEANED!$AN$3),CALCULES!$A76)&gt;0,1,0)</f>
        <v>0</v>
      </c>
      <c r="K76" s="112">
        <f>IF(COUNTIFS(_xlfn.ANCHORARRAY(DATA_CLEANED!$AF$3),CALCULES!K$2,_xlfn.ANCHORARRAY(DATA_CLEANED!$AK$3),CALCULES!$A76)+COUNTIFS(_xlfn.ANCHORARRAY(DATA_CLEANED!$AF$3),CALCULES!K$2,_xlfn.ANCHORARRAY(DATA_CLEANED!$AN$3),CALCULES!$A76)&gt;0,1,0)</f>
        <v>0</v>
      </c>
      <c r="L76" s="112">
        <f>IF(COUNTIFS(_xlfn.ANCHORARRAY(DATA_CLEANED!$AF$3),CALCULES!L$2,_xlfn.ANCHORARRAY(DATA_CLEANED!$AK$3),CALCULES!$A76)+COUNTIFS(_xlfn.ANCHORARRAY(DATA_CLEANED!$AF$3),CALCULES!L$2,_xlfn.ANCHORARRAY(DATA_CLEANED!$AN$3),CALCULES!$A76)&gt;0,1,0)</f>
        <v>0</v>
      </c>
      <c r="M76" s="112">
        <f>IF(COUNTIFS(_xlfn.ANCHORARRAY(DATA_CLEANED!$AF$3),CALCULES!M$2,_xlfn.ANCHORARRAY(DATA_CLEANED!$AK$3),CALCULES!$A76)+COUNTIFS(_xlfn.ANCHORARRAY(DATA_CLEANED!$AF$3),CALCULES!M$2,_xlfn.ANCHORARRAY(DATA_CLEANED!$AN$3),CALCULES!$A76)&gt;0,1,0)</f>
        <v>0</v>
      </c>
      <c r="N76" s="112">
        <f>IF(COUNTIFS(_xlfn.ANCHORARRAY(DATA_CLEANED!$AF$3),CALCULES!N$2,_xlfn.ANCHORARRAY(DATA_CLEANED!$AK$3),CALCULES!$A76)+COUNTIFS(_xlfn.ANCHORARRAY(DATA_CLEANED!$AF$3),CALCULES!N$2,_xlfn.ANCHORARRAY(DATA_CLEANED!$AN$3),CALCULES!$A76)&gt;0,1,0)</f>
        <v>1</v>
      </c>
      <c r="O76" s="112">
        <f>IF(COUNTIFS(_xlfn.ANCHORARRAY(DATA_CLEANED!$AF$3),CALCULES!O$2,_xlfn.ANCHORARRAY(DATA_CLEANED!$AK$3),CALCULES!$A76)+COUNTIFS(_xlfn.ANCHORARRAY(DATA_CLEANED!$AF$3),CALCULES!O$2,_xlfn.ANCHORARRAY(DATA_CLEANED!$AN$3),CALCULES!$A76)&gt;0,1,0)</f>
        <v>1</v>
      </c>
      <c r="P76" s="112">
        <f>IF(COUNTIFS(_xlfn.ANCHORARRAY(DATA_CLEANED!$AF$3),CALCULES!P$2,_xlfn.ANCHORARRAY(DATA_CLEANED!$AK$3),CALCULES!$A76)+COUNTIFS(_xlfn.ANCHORARRAY(DATA_CLEANED!$AF$3),CALCULES!P$2,_xlfn.ANCHORARRAY(DATA_CLEANED!$AN$3),CALCULES!$A76)&gt;0,1,0)</f>
        <v>1</v>
      </c>
      <c r="Q76" s="112">
        <f>IF(COUNTIFS(_xlfn.ANCHORARRAY(DATA_CLEANED!$AF$3),CALCULES!Q$2,_xlfn.ANCHORARRAY(DATA_CLEANED!$AK$3),CALCULES!$A76)+COUNTIFS(_xlfn.ANCHORARRAY(DATA_CLEANED!$AF$3),CALCULES!Q$2,_xlfn.ANCHORARRAY(DATA_CLEANED!$AN$3),CALCULES!$A76)&gt;0,1,0)</f>
        <v>1</v>
      </c>
      <c r="R76" s="112">
        <f>IF(COUNTIFS(_xlfn.ANCHORARRAY(DATA_CLEANED!$AF$3),CALCULES!R$2,_xlfn.ANCHORARRAY(DATA_CLEANED!$AK$3),CALCULES!$A76)+COUNTIFS(_xlfn.ANCHORARRAY(DATA_CLEANED!$AF$3),CALCULES!R$2,_xlfn.ANCHORARRAY(DATA_CLEANED!$AN$3),CALCULES!$A76)&gt;0,1,0)</f>
        <v>1</v>
      </c>
      <c r="S76" s="112">
        <f>IF(COUNTIFS(_xlfn.ANCHORARRAY(DATA_CLEANED!$AF$3),CALCULES!S$2,_xlfn.ANCHORARRAY(DATA_CLEANED!$AK$3),CALCULES!$A76)+COUNTIFS(_xlfn.ANCHORARRAY(DATA_CLEANED!$AF$3),CALCULES!S$2,_xlfn.ANCHORARRAY(DATA_CLEANED!$AN$3),CALCULES!$A76)&gt;0,1,0)</f>
        <v>1</v>
      </c>
      <c r="T76" s="112">
        <f>IF(COUNTIFS(_xlfn.ANCHORARRAY(DATA_CLEANED!$AF$3),CALCULES!T$2,_xlfn.ANCHORARRAY(DATA_CLEANED!$AK$3),CALCULES!$A76)+COUNTIFS(_xlfn.ANCHORARRAY(DATA_CLEANED!$AF$3),CALCULES!T$2,_xlfn.ANCHORARRAY(DATA_CLEANED!$AN$3),CALCULES!$A76)&gt;0,1,0)</f>
        <v>1</v>
      </c>
      <c r="U76" s="112">
        <f>IF(COUNTIFS(_xlfn.ANCHORARRAY(DATA_CLEANED!$AF$3),CALCULES!U$2,_xlfn.ANCHORARRAY(DATA_CLEANED!$AK$3),CALCULES!$A76)+COUNTIFS(_xlfn.ANCHORARRAY(DATA_CLEANED!$AF$3),CALCULES!U$2,_xlfn.ANCHORARRAY(DATA_CLEANED!$AN$3),CALCULES!$A76)&gt;0,1,0)</f>
        <v>1</v>
      </c>
      <c r="V76" s="112">
        <f>IF(COUNTIFS(_xlfn.ANCHORARRAY(DATA_CLEANED!$AF$3),CALCULES!V$2,_xlfn.ANCHORARRAY(DATA_CLEANED!$AK$3),CALCULES!$A76)+COUNTIFS(_xlfn.ANCHORARRAY(DATA_CLEANED!$AF$3),CALCULES!V$2,_xlfn.ANCHORARRAY(DATA_CLEANED!$AN$3),CALCULES!$A76)&gt;0,1,0)</f>
        <v>1</v>
      </c>
      <c r="W76" s="112">
        <f>IF(COUNTIFS(_xlfn.ANCHORARRAY(DATA_CLEANED!$AF$3),CALCULES!W$2,_xlfn.ANCHORARRAY(DATA_CLEANED!$AK$3),CALCULES!$A76)+COUNTIFS(_xlfn.ANCHORARRAY(DATA_CLEANED!$AF$3),CALCULES!W$2,_xlfn.ANCHORARRAY(DATA_CLEANED!$AN$3),CALCULES!$A76)&gt;0,1,0)</f>
        <v>1</v>
      </c>
      <c r="X76" s="112">
        <f>IF(COUNTIFS(_xlfn.ANCHORARRAY(DATA_CLEANED!$AF$3),CALCULES!X$2,_xlfn.ANCHORARRAY(DATA_CLEANED!$AK$3),CALCULES!$A76)+COUNTIFS(_xlfn.ANCHORARRAY(DATA_CLEANED!$AF$3),CALCULES!X$2,_xlfn.ANCHORARRAY(DATA_CLEANED!$AN$3),CALCULES!$A76)&gt;0,1,0)</f>
        <v>1</v>
      </c>
      <c r="Y76" s="113">
        <f t="shared" si="23"/>
        <v>12</v>
      </c>
      <c r="AA76" s="112">
        <f>COUNTIF(_xlfn.ANCHORARRAY(DATA_CLEANED!$AK$3),$A76)+COUNTIF(DATA_CLEANED!$AN$2:$AN$1060,$A76)</f>
        <v>41</v>
      </c>
      <c r="AB76" s="112">
        <f>COUNTIF(DATA_QUALITE!BG$12:BG$1069,A76)</f>
        <v>9</v>
      </c>
      <c r="AC76" s="112">
        <f t="shared" si="30"/>
        <v>31</v>
      </c>
      <c r="AD76" s="112" cm="1">
        <f t="array" ref="AD76">SUMPRODUCT((DATA_CLEANED!AL$3:AL$1060=DATA_CLEANED!AM$3:AM$1060)*(_xlfn.ANCHORARRAY(DATA_CLEANED!AK$3)=CALCULES!A76)*(DATA_CLEANED!AO$3:AO$1060&lt;&gt;"-"))
+
SUMPRODUCT((DATA_CLEANED!AL$3:AL$1060=DATA_CLEANED!AM$3:AM$1060)*(_xlfn.ANCHORARRAY(DATA_CLEANED!AN$3)=CALCULES!A76)*(DATA_CLEANED!AO$3:AO$1060&lt;&gt;"-"))</f>
        <v>1</v>
      </c>
      <c r="AE76" s="116">
        <f t="shared" si="24"/>
        <v>0.21951219512195122</v>
      </c>
      <c r="AF76" s="116">
        <f t="shared" si="25"/>
        <v>0.75609756097560976</v>
      </c>
      <c r="AG76" s="112">
        <f>SUMIF(_xlfn.ANCHORARRAY(DATA_CLEANED!AK$3),A76,DATA_CLEANED!AL$2:AL$1060)+SUMIF(_xlfn.ANCHORARRAY(DATA_CLEANED!AN$3),A76,DATA_CLEANED!AM$2:AM$1060)</f>
        <v>55</v>
      </c>
      <c r="AH76" s="112">
        <f>SUMIF(_xlfn.ANCHORARRAY(DATA_CLEANED!AK$3),A76,DATA_CLEANED!AM$2:AM$1060)+SUMIF(_xlfn.ANCHORARRAY(DATA_CLEANED!AN$3),A76,DATA_CLEANED!AL$2:AL$1060)</f>
        <v>55</v>
      </c>
      <c r="AI76" s="112">
        <f t="shared" si="31"/>
        <v>1.34</v>
      </c>
      <c r="AJ76" s="117" cm="1">
        <f t="array" ref="AJ76">_xlfn.LET(_xlpm.home,IFERROR(_xlfn._xlws.FILTER(DATA_CLEANED!AH$3:AH$1060,DATA_CLEANED!AK$3:AK$1060=CALCULES!A76),""),
_xlpm.away,IFERROR(_xlfn._xlws.FILTER(DATA_CLEANED!AH$3:AH$1060,DATA_CLEANED!AN$3:AN$1060=CALCULES!A76),""),
_xlpm.assemb_t,_xlfn._xlws.FILTER(_xlfn.VSTACK(_xlpm.home,_xlpm.away),_xlfn.VSTACK(_xlpm.home,_xlpm.away)&lt;&gt;""),
_xlpm.but_h,IFERROR(_xlfn._xlws.FILTER(_xlfn.ANCHORARRAY(DATA_CLEANED!AM$3),DATA_CLEANED!AK$3:AK$1060=CALCULES!A76),""),
_xlpm.but_a,IFERROR(_xlfn._xlws.FILTER(_xlfn.ANCHORARRAY(DATA_CLEANED!AL$3),DATA_CLEANED!AN$3:AN$1060=CALCULES!A76),""),
_xlpm.assemb_b,_xlfn._xlws.FILTER(_xlfn.VSTACK(_xlpm.but_h,_xlpm.but_a),_xlfn.VSTACK(_xlpm.but_h,_xlpm.but_a)&lt;&gt;""),
MEDIAN(_xlpm.assemb_t,_xlpm.assemb_b)
)</f>
        <v>1</v>
      </c>
      <c r="AK76" s="113">
        <f t="shared" si="26"/>
        <v>0</v>
      </c>
      <c r="AL76" s="112" cm="1">
        <f t="array" ref="AL76">IFERROR(MEDIAN(_xlfn._xlws.FILTER(_xlfn.VSTACK(
DATA_CLEANED!AL$3:AL$1060-DATA_CLEANED!AM$3:AM$1060,
DATA_CLEANED!AM$3:AM$1060-DATA_CLEANED!AL$3:AL$1060
),_xlfn.VSTACK(DATA_CLEANED!AK$3:AK$1060,DATA_CLEANED!AN$3:AN$1060)=A76)),"-")</f>
        <v>-1</v>
      </c>
      <c r="AM76" s="112">
        <f t="shared" si="32"/>
        <v>1.34</v>
      </c>
      <c r="AN76" s="112" cm="1">
        <f t="array" ref="AN76">_xlfn.LET(_xlpm.home,IFERROR(_xlfn._xlws.FILTER(DATA_CLEANED!AH$3:AH$1060,DATA_CLEANED!AK$3:AK$1060=CALCULES!A76),""),
_xlpm.away,IFERROR(_xlfn._xlws.FILTER(DATA_CLEANED!AH$3:AH$1060,DATA_CLEANED!AN$3:AN$1060=CALCULES!A76),""),
_xlpm.assemb_t,_xlfn._xlws.FILTER(_xlfn.VSTACK(_xlpm.home,_xlpm.away),_xlfn.VSTACK(_xlpm.home,_xlpm.away)&lt;&gt;""),
_xlpm.but_h,IFERROR(_xlfn._xlws.FILTER(_xlfn.ANCHORARRAY(DATA_CLEANED!AL$3),DATA_CLEANED!AK$3:AK$1060=CALCULES!A76),""),
_xlpm.but_a,IFERROR(_xlfn._xlws.FILTER(_xlfn.ANCHORARRAY(DATA_CLEANED!AM$3),DATA_CLEANED!AN$3:AN$1060=CALCULES!A76),""),
_xlpm.assemb_b,_xlfn._xlws.FILTER(_xlfn.VSTACK(_xlpm.but_h,_xlpm.but_a),_xlfn.VSTACK(_xlpm.but_h,_xlpm.but_a)&lt;&gt;""),
MEDIAN(_xlpm.assemb_t,_xlpm.assemb_b)
)</f>
        <v>1</v>
      </c>
      <c r="AO76" s="116">
        <f>ROUND(IFERROR((COUNTIFS(DATA_CLEANED!AK$3:AK$1060,A76,DATA_CLEANED!AM$3:AM$1060,0)
+
COUNTIFS(DATA_CLEANED!AN$3:AN$1060,A76,DATA_CLEANED!AL$3:AL$1060,0)
)/AA76,0),2)</f>
        <v>0.17</v>
      </c>
      <c r="AP76" s="112">
        <f>MAX((_xlfn.MAXIFS(_xlfn.ANCHORARRAY(DATA_CLEANED!AL$3),_xlfn.ANCHORARRAY(DATA_CLEANED!AK$3),A76)),(_xlfn.MAXIFS(DATA_CLEANED!AM$3:AM$1060,_xlfn.ANCHORARRAY(DATA_CLEANED!AN$3),A76)))</f>
        <v>2</v>
      </c>
      <c r="AQ76" s="112">
        <f>COUNTIF(_xlfn.ANCHORARRAY(DATA_CLEANED!K$3),A76)</f>
        <v>5</v>
      </c>
      <c r="AR76" s="113" t="str" cm="1">
        <f t="array" ref="AR76">_xlfn.LET(
_xlpm.home,IFERROR(_xlfn._xlws.FILTER(DATA_CLEANED!AH$3:AH$1060,DATA_CLEANED!AK$3:AK$1060=CALCULES!A76),""),
_xlpm.away,IFERROR(_xlfn._xlws.FILTER(DATA_CLEANED!AH$3:AH$1060,DATA_CLEANED!AN$3:AN$1060=CALCULES!A76),""),
_xlpm.etapes,_xlfn._xlws.FILTER(_xlfn.VSTACK(_xlpm.home,_xlpm.away),_xlfn.VSTACK(_xlpm.home,_xlpm.away)&lt;&gt;""),
_xlpm.numeros,_xlfn.XLOOKUP(_xlpm.etapes,DATA_QUALITE!AT$12:AT$38,DATA_QUALITE!AU$12:AU$38),
_xlfn.XLOOKUP(MIN(_xlpm.numeros),DATA_QUALITE!AU$12:AU$38,DATA_QUALITE!AT$12:AT$38)
)</f>
        <v>THIRD_PLACE</v>
      </c>
      <c r="AS76" s="112">
        <f t="shared" si="27"/>
        <v>12</v>
      </c>
      <c r="AT76" s="112">
        <f t="shared" si="28"/>
        <v>9</v>
      </c>
      <c r="AU76" s="112">
        <f>COUNTIFS(DATA_QUALITE!BG$12:BG$1069,"MATCH NUL",_xlfn.ANCHORARRAY(DATA_CLEANED!AK$3),CALCULES!A76)+COUNTIFS(DATA_QUALITE!BG$12:BG$1069,"MATCH NUL",_xlfn.ANCHORARRAY(DATA_CLEANED!AN$3),CALCULES!A76)</f>
        <v>9</v>
      </c>
      <c r="AV76" s="112">
        <v>55</v>
      </c>
      <c r="AW76" s="112">
        <f>COUNTIFS(_xlfn.ANCHORARRAY(DATA_CLEANED!AH$3),"QUARTER_FINALS",_xlfn.ANCHORARRAY(DATA_CLEANED!AK$3),CALCULES!A76)+COUNTIFS(_xlfn.ANCHORARRAY(DATA_CLEANED!AH$3),"QUARTER_FINALS",_xlfn.ANCHORARRAY(DATA_CLEANED!AN$3),CALCULES!A76)</f>
        <v>1</v>
      </c>
      <c r="AX76" s="112">
        <f>COUNTIFS(_xlfn.ANCHORARRAY(DATA_CLEANED!AH$3),"SEMI_FINALS",_xlfn.ANCHORARRAY(DATA_CLEANED!AK$3),CALCULES!A76)+COUNTIFS(_xlfn.ANCHORARRAY(DATA_CLEANED!AH$3),"SEMI_FINALS",_xlfn.ANCHORARRAY(DATA_CLEANED!AN$3),CALCULES!A76)</f>
        <v>1</v>
      </c>
      <c r="AY76" s="112">
        <f>COUNTIFS(_xlfn.ANCHORARRAY(DATA_CLEANED!AH$3),"FINAL",_xlfn.ANCHORARRAY(DATA_CLEANED!AK$3),CALCULES!A76)+COUNTIFS(_xlfn.ANCHORARRAY(DATA_CLEANED!AH$3),"FINAL",_xlfn.ANCHORARRAY(DATA_CLEANED!AN$3),CALCULES!A76)</f>
        <v>0</v>
      </c>
      <c r="AZ76" s="112">
        <f>COUNTIFS(DATA_QUALITE!BG$12:BG$1069,CALCULES!A76,DATA_QUALITE!AW$12:AW$1069,"FINAL")</f>
        <v>0</v>
      </c>
      <c r="BA76" s="113">
        <f t="shared" si="29"/>
        <v>34.35</v>
      </c>
      <c r="BB76" s="118">
        <f t="shared" si="33"/>
        <v>13.65</v>
      </c>
      <c r="BC76" s="118">
        <f t="shared" si="34"/>
        <v>15.44</v>
      </c>
      <c r="BD76" s="139">
        <f t="shared" si="35"/>
        <v>14.55</v>
      </c>
      <c r="BF76" s="167"/>
      <c r="BG76" s="167"/>
      <c r="BH76" s="167"/>
      <c r="BI76" s="167"/>
      <c r="BJ76" s="167"/>
      <c r="BK76" s="167"/>
      <c r="BL76" s="173">
        <f>INT((ROWS($BL$15:BL76)-1)/9)</f>
        <v>6</v>
      </c>
      <c r="BM76" s="173">
        <f>MOD(ROWS($BM$15:BM76)-1,9)</f>
        <v>7</v>
      </c>
      <c r="BN76" s="173">
        <f t="shared" si="22"/>
        <v>6.756768451160592E-7</v>
      </c>
      <c r="BO76" s="167"/>
      <c r="BP76" s="167"/>
    </row>
    <row r="77" spans="1:68">
      <c r="A77" s="113" t="str">
        <v>Soviet Union</v>
      </c>
      <c r="B77" s="112">
        <f>IF(COUNTIFS(_xlfn.ANCHORARRAY(DATA_CLEANED!$AF$3),CALCULES!B$2,_xlfn.ANCHORARRAY(DATA_CLEANED!$AK$3),CALCULES!$A77)+COUNTIFS(_xlfn.ANCHORARRAY(DATA_CLEANED!$AF$3),CALCULES!B$2,_xlfn.ANCHORARRAY(DATA_CLEANED!$AN$3),CALCULES!$A77)&gt;0,1,0)</f>
        <v>0</v>
      </c>
      <c r="C77" s="112">
        <f>IF(COUNTIFS(_xlfn.ANCHORARRAY(DATA_CLEANED!$AF$3),CALCULES!C$2,_xlfn.ANCHORARRAY(DATA_CLEANED!$AK$3),CALCULES!$A77)+COUNTIFS(_xlfn.ANCHORARRAY(DATA_CLEANED!$AF$3),CALCULES!C$2,_xlfn.ANCHORARRAY(DATA_CLEANED!$AN$3),CALCULES!$A77)&gt;0,1,0)</f>
        <v>0</v>
      </c>
      <c r="D77" s="112">
        <f>IF(COUNTIFS(_xlfn.ANCHORARRAY(DATA_CLEANED!$AF$3),CALCULES!D$2,_xlfn.ANCHORARRAY(DATA_CLEANED!$AK$3),CALCULES!$A77)+COUNTIFS(_xlfn.ANCHORARRAY(DATA_CLEANED!$AF$3),CALCULES!D$2,_xlfn.ANCHORARRAY(DATA_CLEANED!$AN$3),CALCULES!$A77)&gt;0,1,0)</f>
        <v>0</v>
      </c>
      <c r="E77" s="112">
        <f>IF(COUNTIFS(_xlfn.ANCHORARRAY(DATA_CLEANED!$AF$3),CALCULES!E$2,_xlfn.ANCHORARRAY(DATA_CLEANED!$AK$3),CALCULES!$A77)+COUNTIFS(_xlfn.ANCHORARRAY(DATA_CLEANED!$AF$3),CALCULES!E$2,_xlfn.ANCHORARRAY(DATA_CLEANED!$AN$3),CALCULES!$A77)&gt;0,1,0)</f>
        <v>0</v>
      </c>
      <c r="F77" s="112">
        <f>IF(COUNTIFS(_xlfn.ANCHORARRAY(DATA_CLEANED!$AF$3),CALCULES!F$2,_xlfn.ANCHORARRAY(DATA_CLEANED!$AK$3),CALCULES!$A77)+COUNTIFS(_xlfn.ANCHORARRAY(DATA_CLEANED!$AF$3),CALCULES!F$2,_xlfn.ANCHORARRAY(DATA_CLEANED!$AN$3),CALCULES!$A77)&gt;0,1,0)</f>
        <v>0</v>
      </c>
      <c r="G77" s="112">
        <f>IF(COUNTIFS(_xlfn.ANCHORARRAY(DATA_CLEANED!$AF$3),CALCULES!G$2,_xlfn.ANCHORARRAY(DATA_CLEANED!$AK$3),CALCULES!$A77)+COUNTIFS(_xlfn.ANCHORARRAY(DATA_CLEANED!$AF$3),CALCULES!G$2,_xlfn.ANCHORARRAY(DATA_CLEANED!$AN$3),CALCULES!$A77)&gt;0,1,0)</f>
        <v>1</v>
      </c>
      <c r="H77" s="112">
        <f>IF(COUNTIFS(_xlfn.ANCHORARRAY(DATA_CLEANED!$AF$3),CALCULES!H$2,_xlfn.ANCHORARRAY(DATA_CLEANED!$AK$3),CALCULES!$A77)+COUNTIFS(_xlfn.ANCHORARRAY(DATA_CLEANED!$AF$3),CALCULES!H$2,_xlfn.ANCHORARRAY(DATA_CLEANED!$AN$3),CALCULES!$A77)&gt;0,1,0)</f>
        <v>1</v>
      </c>
      <c r="I77" s="112">
        <f>IF(COUNTIFS(_xlfn.ANCHORARRAY(DATA_CLEANED!$AF$3),CALCULES!I$2,_xlfn.ANCHORARRAY(DATA_CLEANED!$AK$3),CALCULES!$A77)+COUNTIFS(_xlfn.ANCHORARRAY(DATA_CLEANED!$AF$3),CALCULES!I$2,_xlfn.ANCHORARRAY(DATA_CLEANED!$AN$3),CALCULES!$A77)&gt;0,1,0)</f>
        <v>1</v>
      </c>
      <c r="J77" s="112">
        <f>IF(COUNTIFS(_xlfn.ANCHORARRAY(DATA_CLEANED!$AF$3),CALCULES!J$2,_xlfn.ANCHORARRAY(DATA_CLEANED!$AK$3),CALCULES!$A77)+COUNTIFS(_xlfn.ANCHORARRAY(DATA_CLEANED!$AF$3),CALCULES!J$2,_xlfn.ANCHORARRAY(DATA_CLEANED!$AN$3),CALCULES!$A77)&gt;0,1,0)</f>
        <v>1</v>
      </c>
      <c r="K77" s="112">
        <f>IF(COUNTIFS(_xlfn.ANCHORARRAY(DATA_CLEANED!$AF$3),CALCULES!K$2,_xlfn.ANCHORARRAY(DATA_CLEANED!$AK$3),CALCULES!$A77)+COUNTIFS(_xlfn.ANCHORARRAY(DATA_CLEANED!$AF$3),CALCULES!K$2,_xlfn.ANCHORARRAY(DATA_CLEANED!$AN$3),CALCULES!$A77)&gt;0,1,0)</f>
        <v>0</v>
      </c>
      <c r="L77" s="112">
        <f>IF(COUNTIFS(_xlfn.ANCHORARRAY(DATA_CLEANED!$AF$3),CALCULES!L$2,_xlfn.ANCHORARRAY(DATA_CLEANED!$AK$3),CALCULES!$A77)+COUNTIFS(_xlfn.ANCHORARRAY(DATA_CLEANED!$AF$3),CALCULES!L$2,_xlfn.ANCHORARRAY(DATA_CLEANED!$AN$3),CALCULES!$A77)&gt;0,1,0)</f>
        <v>0</v>
      </c>
      <c r="M77" s="112">
        <f>IF(COUNTIFS(_xlfn.ANCHORARRAY(DATA_CLEANED!$AF$3),CALCULES!M$2,_xlfn.ANCHORARRAY(DATA_CLEANED!$AK$3),CALCULES!$A77)+COUNTIFS(_xlfn.ANCHORARRAY(DATA_CLEANED!$AF$3),CALCULES!M$2,_xlfn.ANCHORARRAY(DATA_CLEANED!$AN$3),CALCULES!$A77)&gt;0,1,0)</f>
        <v>1</v>
      </c>
      <c r="N77" s="112">
        <f>IF(COUNTIFS(_xlfn.ANCHORARRAY(DATA_CLEANED!$AF$3),CALCULES!N$2,_xlfn.ANCHORARRAY(DATA_CLEANED!$AK$3),CALCULES!$A77)+COUNTIFS(_xlfn.ANCHORARRAY(DATA_CLEANED!$AF$3),CALCULES!N$2,_xlfn.ANCHORARRAY(DATA_CLEANED!$AN$3),CALCULES!$A77)&gt;0,1,0)</f>
        <v>1</v>
      </c>
      <c r="O77" s="112">
        <f>IF(COUNTIFS(_xlfn.ANCHORARRAY(DATA_CLEANED!$AF$3),CALCULES!O$2,_xlfn.ANCHORARRAY(DATA_CLEANED!$AK$3),CALCULES!$A77)+COUNTIFS(_xlfn.ANCHORARRAY(DATA_CLEANED!$AF$3),CALCULES!O$2,_xlfn.ANCHORARRAY(DATA_CLEANED!$AN$3),CALCULES!$A77)&gt;0,1,0)</f>
        <v>1</v>
      </c>
      <c r="P77" s="112">
        <f>IF(COUNTIFS(_xlfn.ANCHORARRAY(DATA_CLEANED!$AF$3),CALCULES!P$2,_xlfn.ANCHORARRAY(DATA_CLEANED!$AK$3),CALCULES!$A77)+COUNTIFS(_xlfn.ANCHORARRAY(DATA_CLEANED!$AF$3),CALCULES!P$2,_xlfn.ANCHORARRAY(DATA_CLEANED!$AN$3),CALCULES!$A77)&gt;0,1,0)</f>
        <v>0</v>
      </c>
      <c r="Q77" s="112">
        <f>IF(COUNTIFS(_xlfn.ANCHORARRAY(DATA_CLEANED!$AF$3),CALCULES!Q$2,_xlfn.ANCHORARRAY(DATA_CLEANED!$AK$3),CALCULES!$A77)+COUNTIFS(_xlfn.ANCHORARRAY(DATA_CLEANED!$AF$3),CALCULES!Q$2,_xlfn.ANCHORARRAY(DATA_CLEANED!$AN$3),CALCULES!$A77)&gt;0,1,0)</f>
        <v>0</v>
      </c>
      <c r="R77" s="112">
        <f>IF(COUNTIFS(_xlfn.ANCHORARRAY(DATA_CLEANED!$AF$3),CALCULES!R$2,_xlfn.ANCHORARRAY(DATA_CLEANED!$AK$3),CALCULES!$A77)+COUNTIFS(_xlfn.ANCHORARRAY(DATA_CLEANED!$AF$3),CALCULES!R$2,_xlfn.ANCHORARRAY(DATA_CLEANED!$AN$3),CALCULES!$A77)&gt;0,1,0)</f>
        <v>0</v>
      </c>
      <c r="S77" s="112">
        <f>IF(COUNTIFS(_xlfn.ANCHORARRAY(DATA_CLEANED!$AF$3),CALCULES!S$2,_xlfn.ANCHORARRAY(DATA_CLEANED!$AK$3),CALCULES!$A77)+COUNTIFS(_xlfn.ANCHORARRAY(DATA_CLEANED!$AF$3),CALCULES!S$2,_xlfn.ANCHORARRAY(DATA_CLEANED!$AN$3),CALCULES!$A77)&gt;0,1,0)</f>
        <v>0</v>
      </c>
      <c r="T77" s="112">
        <f>IF(COUNTIFS(_xlfn.ANCHORARRAY(DATA_CLEANED!$AF$3),CALCULES!T$2,_xlfn.ANCHORARRAY(DATA_CLEANED!$AK$3),CALCULES!$A77)+COUNTIFS(_xlfn.ANCHORARRAY(DATA_CLEANED!$AF$3),CALCULES!T$2,_xlfn.ANCHORARRAY(DATA_CLEANED!$AN$3),CALCULES!$A77)&gt;0,1,0)</f>
        <v>0</v>
      </c>
      <c r="U77" s="112">
        <f>IF(COUNTIFS(_xlfn.ANCHORARRAY(DATA_CLEANED!$AF$3),CALCULES!U$2,_xlfn.ANCHORARRAY(DATA_CLEANED!$AK$3),CALCULES!$A77)+COUNTIFS(_xlfn.ANCHORARRAY(DATA_CLEANED!$AF$3),CALCULES!U$2,_xlfn.ANCHORARRAY(DATA_CLEANED!$AN$3),CALCULES!$A77)&gt;0,1,0)</f>
        <v>0</v>
      </c>
      <c r="V77" s="112">
        <f>IF(COUNTIFS(_xlfn.ANCHORARRAY(DATA_CLEANED!$AF$3),CALCULES!V$2,_xlfn.ANCHORARRAY(DATA_CLEANED!$AK$3),CALCULES!$A77)+COUNTIFS(_xlfn.ANCHORARRAY(DATA_CLEANED!$AF$3),CALCULES!V$2,_xlfn.ANCHORARRAY(DATA_CLEANED!$AN$3),CALCULES!$A77)&gt;0,1,0)</f>
        <v>0</v>
      </c>
      <c r="W77" s="112">
        <f>IF(COUNTIFS(_xlfn.ANCHORARRAY(DATA_CLEANED!$AF$3),CALCULES!W$2,_xlfn.ANCHORARRAY(DATA_CLEANED!$AK$3),CALCULES!$A77)+COUNTIFS(_xlfn.ANCHORARRAY(DATA_CLEANED!$AF$3),CALCULES!W$2,_xlfn.ANCHORARRAY(DATA_CLEANED!$AN$3),CALCULES!$A77)&gt;0,1,0)</f>
        <v>0</v>
      </c>
      <c r="X77" s="112">
        <f>IF(COUNTIFS(_xlfn.ANCHORARRAY(DATA_CLEANED!$AF$3),CALCULES!X$2,_xlfn.ANCHORARRAY(DATA_CLEANED!$AK$3),CALCULES!$A77)+COUNTIFS(_xlfn.ANCHORARRAY(DATA_CLEANED!$AF$3),CALCULES!X$2,_xlfn.ANCHORARRAY(DATA_CLEANED!$AN$3),CALCULES!$A77)&gt;0,1,0)</f>
        <v>0</v>
      </c>
      <c r="Y77" s="113">
        <f t="shared" si="23"/>
        <v>7</v>
      </c>
      <c r="AA77" s="112">
        <f>COUNTIF(_xlfn.ANCHORARRAY(DATA_CLEANED!$AK$3),$A77)+COUNTIF(DATA_CLEANED!$AN$2:$AN$1060,$A77)</f>
        <v>31</v>
      </c>
      <c r="AB77" s="112">
        <f>COUNTIF(DATA_QUALITE!BG$12:BG$1069,A77)</f>
        <v>15</v>
      </c>
      <c r="AC77" s="112">
        <f t="shared" si="30"/>
        <v>16</v>
      </c>
      <c r="AD77" s="112" cm="1">
        <f t="array" ref="AD77">SUMPRODUCT((DATA_CLEANED!AL$3:AL$1060=DATA_CLEANED!AM$3:AM$1060)*(_xlfn.ANCHORARRAY(DATA_CLEANED!AK$3)=CALCULES!A77)*(DATA_CLEANED!AO$3:AO$1060&lt;&gt;"-"))
+
SUMPRODUCT((DATA_CLEANED!AL$3:AL$1060=DATA_CLEANED!AM$3:AM$1060)*(_xlfn.ANCHORARRAY(DATA_CLEANED!AN$3)=CALCULES!A77)*(DATA_CLEANED!AO$3:AO$1060&lt;&gt;"-"))</f>
        <v>0</v>
      </c>
      <c r="AE77" s="116">
        <f t="shared" si="24"/>
        <v>0.4838709677419355</v>
      </c>
      <c r="AF77" s="116">
        <f t="shared" si="25"/>
        <v>0.5161290322580645</v>
      </c>
      <c r="AG77" s="112">
        <f>SUMIF(_xlfn.ANCHORARRAY(DATA_CLEANED!AK$3),A77,DATA_CLEANED!AL$2:AL$1060)+SUMIF(_xlfn.ANCHORARRAY(DATA_CLEANED!AN$3),A77,DATA_CLEANED!AM$2:AM$1060)</f>
        <v>49</v>
      </c>
      <c r="AH77" s="112">
        <f>SUMIF(_xlfn.ANCHORARRAY(DATA_CLEANED!AK$3),A77,DATA_CLEANED!AM$2:AM$1060)+SUMIF(_xlfn.ANCHORARRAY(DATA_CLEANED!AN$3),A77,DATA_CLEANED!AL$2:AL$1060)</f>
        <v>42</v>
      </c>
      <c r="AI77" s="112">
        <f t="shared" si="31"/>
        <v>1.35</v>
      </c>
      <c r="AJ77" s="117" cm="1">
        <f t="array" ref="AJ77">_xlfn.LET(_xlpm.home,IFERROR(_xlfn._xlws.FILTER(DATA_CLEANED!AH$3:AH$1060,DATA_CLEANED!AK$3:AK$1060=CALCULES!A77),""),
_xlpm.away,IFERROR(_xlfn._xlws.FILTER(DATA_CLEANED!AH$3:AH$1060,DATA_CLEANED!AN$3:AN$1060=CALCULES!A77),""),
_xlpm.assemb_t,_xlfn._xlws.FILTER(_xlfn.VSTACK(_xlpm.home,_xlpm.away),_xlfn.VSTACK(_xlpm.home,_xlpm.away)&lt;&gt;""),
_xlpm.but_h,IFERROR(_xlfn._xlws.FILTER(_xlfn.ANCHORARRAY(DATA_CLEANED!AM$3),DATA_CLEANED!AK$3:AK$1060=CALCULES!A77),""),
_xlpm.but_a,IFERROR(_xlfn._xlws.FILTER(_xlfn.ANCHORARRAY(DATA_CLEANED!AL$3),DATA_CLEANED!AN$3:AN$1060=CALCULES!A77),""),
_xlpm.assemb_b,_xlfn._xlws.FILTER(_xlfn.VSTACK(_xlpm.but_h,_xlpm.but_a),_xlfn.VSTACK(_xlpm.but_h,_xlpm.but_a)&lt;&gt;""),
MEDIAN(_xlpm.assemb_t,_xlpm.assemb_b)
)</f>
        <v>1</v>
      </c>
      <c r="AK77" s="113">
        <f t="shared" si="26"/>
        <v>7</v>
      </c>
      <c r="AL77" s="112" cm="1">
        <f t="array" ref="AL77">IFERROR(MEDIAN(_xlfn._xlws.FILTER(_xlfn.VSTACK(
DATA_CLEANED!AL$3:AL$1060-DATA_CLEANED!AM$3:AM$1060,
DATA_CLEANED!AM$3:AM$1060-DATA_CLEANED!AL$3:AL$1060
),_xlfn.VSTACK(DATA_CLEANED!AK$3:AK$1060,DATA_CLEANED!AN$3:AN$1060)=A77)),"-")</f>
        <v>0</v>
      </c>
      <c r="AM77" s="112">
        <f t="shared" si="32"/>
        <v>1.58</v>
      </c>
      <c r="AN77" s="112" cm="1">
        <f t="array" ref="AN77">_xlfn.LET(_xlpm.home,IFERROR(_xlfn._xlws.FILTER(DATA_CLEANED!AH$3:AH$1060,DATA_CLEANED!AK$3:AK$1060=CALCULES!A77),""),
_xlpm.away,IFERROR(_xlfn._xlws.FILTER(DATA_CLEANED!AH$3:AH$1060,DATA_CLEANED!AN$3:AN$1060=CALCULES!A77),""),
_xlpm.assemb_t,_xlfn._xlws.FILTER(_xlfn.VSTACK(_xlpm.home,_xlpm.away),_xlfn.VSTACK(_xlpm.home,_xlpm.away)&lt;&gt;""),
_xlpm.but_h,IFERROR(_xlfn._xlws.FILTER(_xlfn.ANCHORARRAY(DATA_CLEANED!AL$3),DATA_CLEANED!AK$3:AK$1060=CALCULES!A77),""),
_xlpm.but_a,IFERROR(_xlfn._xlws.FILTER(_xlfn.ANCHORARRAY(DATA_CLEANED!AM$3),DATA_CLEANED!AN$3:AN$1060=CALCULES!A77),""),
_xlpm.assemb_b,_xlfn._xlws.FILTER(_xlfn.VSTACK(_xlpm.but_h,_xlpm.but_a),_xlfn.VSTACK(_xlpm.but_h,_xlpm.but_a)&lt;&gt;""),
MEDIAN(_xlpm.assemb_t,_xlpm.assemb_b)
)</f>
        <v>2</v>
      </c>
      <c r="AO77" s="116">
        <f>ROUND(IFERROR((COUNTIFS(DATA_CLEANED!AK$3:AK$1060,A77,DATA_CLEANED!AM$3:AM$1060,0)
+
COUNTIFS(DATA_CLEANED!AN$3:AN$1060,A77,DATA_CLEANED!AL$3:AL$1060,0)
)/AA77,0),2)</f>
        <v>0.42</v>
      </c>
      <c r="AP77" s="112">
        <f>MAX((_xlfn.MAXIFS(_xlfn.ANCHORARRAY(DATA_CLEANED!AL$3),_xlfn.ANCHORARRAY(DATA_CLEANED!AK$3),A77)),(_xlfn.MAXIFS(DATA_CLEANED!AM$3:AM$1060,_xlfn.ANCHORARRAY(DATA_CLEANED!AN$3),A77)))</f>
        <v>6</v>
      </c>
      <c r="AQ77" s="112">
        <f>COUNTIF(_xlfn.ANCHORARRAY(DATA_CLEANED!K$3),A77)</f>
        <v>0</v>
      </c>
      <c r="AR77" s="113" t="str" cm="1">
        <f t="array" ref="AR77">_xlfn.LET(
_xlpm.home,IFERROR(_xlfn._xlws.FILTER(DATA_CLEANED!AH$3:AH$1060,DATA_CLEANED!AK$3:AK$1060=CALCULES!A77),""),
_xlpm.away,IFERROR(_xlfn._xlws.FILTER(DATA_CLEANED!AH$3:AH$1060,DATA_CLEANED!AN$3:AN$1060=CALCULES!A77),""),
_xlpm.etapes,_xlfn._xlws.FILTER(_xlfn.VSTACK(_xlpm.home,_xlpm.away),_xlfn.VSTACK(_xlpm.home,_xlpm.away)&lt;&gt;""),
_xlpm.numeros,_xlfn.XLOOKUP(_xlpm.etapes,DATA_QUALITE!AT$12:AT$38,DATA_QUALITE!AU$12:AU$38),
_xlfn.XLOOKUP(MIN(_xlpm.numeros),DATA_QUALITE!AU$12:AU$38,DATA_QUALITE!AT$12:AT$38)
)</f>
        <v>THIRD_PLACE</v>
      </c>
      <c r="AS77" s="112">
        <f t="shared" si="27"/>
        <v>7</v>
      </c>
      <c r="AT77" s="112">
        <f t="shared" si="28"/>
        <v>15</v>
      </c>
      <c r="AU77" s="112">
        <f>COUNTIFS(DATA_QUALITE!BG$12:BG$1069,"MATCH NUL",_xlfn.ANCHORARRAY(DATA_CLEANED!AK$3),CALCULES!A77)+COUNTIFS(DATA_QUALITE!BG$12:BG$1069,"MATCH NUL",_xlfn.ANCHORARRAY(DATA_CLEANED!AN$3),CALCULES!A77)</f>
        <v>6</v>
      </c>
      <c r="AV77" s="112">
        <v>49</v>
      </c>
      <c r="AW77" s="112">
        <f>COUNTIFS(_xlfn.ANCHORARRAY(DATA_CLEANED!AH$3),"QUARTER_FINALS",_xlfn.ANCHORARRAY(DATA_CLEANED!AK$3),CALCULES!A77)+COUNTIFS(_xlfn.ANCHORARRAY(DATA_CLEANED!AH$3),"QUARTER_FINALS",_xlfn.ANCHORARRAY(DATA_CLEANED!AN$3),CALCULES!A77)</f>
        <v>4</v>
      </c>
      <c r="AX77" s="112">
        <f>COUNTIFS(_xlfn.ANCHORARRAY(DATA_CLEANED!AH$3),"SEMI_FINALS",_xlfn.ANCHORARRAY(DATA_CLEANED!AK$3),CALCULES!A77)+COUNTIFS(_xlfn.ANCHORARRAY(DATA_CLEANED!AH$3),"SEMI_FINALS",_xlfn.ANCHORARRAY(DATA_CLEANED!AN$3),CALCULES!A77)</f>
        <v>1</v>
      </c>
      <c r="AY77" s="112">
        <f>COUNTIFS(_xlfn.ANCHORARRAY(DATA_CLEANED!AH$3),"FINAL",_xlfn.ANCHORARRAY(DATA_CLEANED!AK$3),CALCULES!A77)+COUNTIFS(_xlfn.ANCHORARRAY(DATA_CLEANED!AH$3),"FINAL",_xlfn.ANCHORARRAY(DATA_CLEANED!AN$3),CALCULES!A77)</f>
        <v>0</v>
      </c>
      <c r="AZ77" s="112">
        <f>COUNTIFS(DATA_QUALITE!BG$12:BG$1069,CALCULES!A77,DATA_QUALITE!AW$12:AW$1069,"FINAL")</f>
        <v>0</v>
      </c>
      <c r="BA77" s="113">
        <f t="shared" si="29"/>
        <v>54.34</v>
      </c>
      <c r="BB77" s="118">
        <f t="shared" si="33"/>
        <v>26.21</v>
      </c>
      <c r="BC77" s="118">
        <f t="shared" si="34"/>
        <v>21.98</v>
      </c>
      <c r="BD77" s="139">
        <f t="shared" si="35"/>
        <v>24.1</v>
      </c>
      <c r="BF77" s="167"/>
      <c r="BG77" s="167"/>
      <c r="BH77" s="167"/>
      <c r="BI77" s="167"/>
      <c r="BJ77" s="167"/>
      <c r="BK77" s="167"/>
      <c r="BL77" s="173">
        <f>INT((ROWS($BL$15:BL77)-1)/9)</f>
        <v>6</v>
      </c>
      <c r="BM77" s="173">
        <f>MOD(ROWS($BM$15:BM77)-1,9)</f>
        <v>8</v>
      </c>
      <c r="BN77" s="173">
        <f t="shared" si="22"/>
        <v>9.4589293547009581E-8</v>
      </c>
      <c r="BO77" s="167"/>
      <c r="BP77" s="167"/>
    </row>
    <row r="78" spans="1:68">
      <c r="A78" s="113" t="str">
        <v>Spain</v>
      </c>
      <c r="B78" s="112">
        <f>IF(COUNTIFS(_xlfn.ANCHORARRAY(DATA_CLEANED!$AF$3),CALCULES!B$2,_xlfn.ANCHORARRAY(DATA_CLEANED!$AK$3),CALCULES!$A78)+COUNTIFS(_xlfn.ANCHORARRAY(DATA_CLEANED!$AF$3),CALCULES!B$2,_xlfn.ANCHORARRAY(DATA_CLEANED!$AN$3),CALCULES!$A78)&gt;0,1,0)</f>
        <v>0</v>
      </c>
      <c r="C78" s="112">
        <f>IF(COUNTIFS(_xlfn.ANCHORARRAY(DATA_CLEANED!$AF$3),CALCULES!C$2,_xlfn.ANCHORARRAY(DATA_CLEANED!$AK$3),CALCULES!$A78)+COUNTIFS(_xlfn.ANCHORARRAY(DATA_CLEANED!$AF$3),CALCULES!C$2,_xlfn.ANCHORARRAY(DATA_CLEANED!$AN$3),CALCULES!$A78)&gt;0,1,0)</f>
        <v>1</v>
      </c>
      <c r="D78" s="112">
        <f>IF(COUNTIFS(_xlfn.ANCHORARRAY(DATA_CLEANED!$AF$3),CALCULES!D$2,_xlfn.ANCHORARRAY(DATA_CLEANED!$AK$3),CALCULES!$A78)+COUNTIFS(_xlfn.ANCHORARRAY(DATA_CLEANED!$AF$3),CALCULES!D$2,_xlfn.ANCHORARRAY(DATA_CLEANED!$AN$3),CALCULES!$A78)&gt;0,1,0)</f>
        <v>0</v>
      </c>
      <c r="E78" s="112">
        <f>IF(COUNTIFS(_xlfn.ANCHORARRAY(DATA_CLEANED!$AF$3),CALCULES!E$2,_xlfn.ANCHORARRAY(DATA_CLEANED!$AK$3),CALCULES!$A78)+COUNTIFS(_xlfn.ANCHORARRAY(DATA_CLEANED!$AF$3),CALCULES!E$2,_xlfn.ANCHORARRAY(DATA_CLEANED!$AN$3),CALCULES!$A78)&gt;0,1,0)</f>
        <v>1</v>
      </c>
      <c r="F78" s="112">
        <f>IF(COUNTIFS(_xlfn.ANCHORARRAY(DATA_CLEANED!$AF$3),CALCULES!F$2,_xlfn.ANCHORARRAY(DATA_CLEANED!$AK$3),CALCULES!$A78)+COUNTIFS(_xlfn.ANCHORARRAY(DATA_CLEANED!$AF$3),CALCULES!F$2,_xlfn.ANCHORARRAY(DATA_CLEANED!$AN$3),CALCULES!$A78)&gt;0,1,0)</f>
        <v>0</v>
      </c>
      <c r="G78" s="112">
        <f>IF(COUNTIFS(_xlfn.ANCHORARRAY(DATA_CLEANED!$AF$3),CALCULES!G$2,_xlfn.ANCHORARRAY(DATA_CLEANED!$AK$3),CALCULES!$A78)+COUNTIFS(_xlfn.ANCHORARRAY(DATA_CLEANED!$AF$3),CALCULES!G$2,_xlfn.ANCHORARRAY(DATA_CLEANED!$AN$3),CALCULES!$A78)&gt;0,1,0)</f>
        <v>0</v>
      </c>
      <c r="H78" s="112">
        <f>IF(COUNTIFS(_xlfn.ANCHORARRAY(DATA_CLEANED!$AF$3),CALCULES!H$2,_xlfn.ANCHORARRAY(DATA_CLEANED!$AK$3),CALCULES!$A78)+COUNTIFS(_xlfn.ANCHORARRAY(DATA_CLEANED!$AF$3),CALCULES!H$2,_xlfn.ANCHORARRAY(DATA_CLEANED!$AN$3),CALCULES!$A78)&gt;0,1,0)</f>
        <v>1</v>
      </c>
      <c r="I78" s="112">
        <f>IF(COUNTIFS(_xlfn.ANCHORARRAY(DATA_CLEANED!$AF$3),CALCULES!I$2,_xlfn.ANCHORARRAY(DATA_CLEANED!$AK$3),CALCULES!$A78)+COUNTIFS(_xlfn.ANCHORARRAY(DATA_CLEANED!$AF$3),CALCULES!I$2,_xlfn.ANCHORARRAY(DATA_CLEANED!$AN$3),CALCULES!$A78)&gt;0,1,0)</f>
        <v>1</v>
      </c>
      <c r="J78" s="112">
        <f>IF(COUNTIFS(_xlfn.ANCHORARRAY(DATA_CLEANED!$AF$3),CALCULES!J$2,_xlfn.ANCHORARRAY(DATA_CLEANED!$AK$3),CALCULES!$A78)+COUNTIFS(_xlfn.ANCHORARRAY(DATA_CLEANED!$AF$3),CALCULES!J$2,_xlfn.ANCHORARRAY(DATA_CLEANED!$AN$3),CALCULES!$A78)&gt;0,1,0)</f>
        <v>0</v>
      </c>
      <c r="K78" s="112">
        <f>IF(COUNTIFS(_xlfn.ANCHORARRAY(DATA_CLEANED!$AF$3),CALCULES!K$2,_xlfn.ANCHORARRAY(DATA_CLEANED!$AK$3),CALCULES!$A78)+COUNTIFS(_xlfn.ANCHORARRAY(DATA_CLEANED!$AF$3),CALCULES!K$2,_xlfn.ANCHORARRAY(DATA_CLEANED!$AN$3),CALCULES!$A78)&gt;0,1,0)</f>
        <v>0</v>
      </c>
      <c r="L78" s="112">
        <f>IF(COUNTIFS(_xlfn.ANCHORARRAY(DATA_CLEANED!$AF$3),CALCULES!L$2,_xlfn.ANCHORARRAY(DATA_CLEANED!$AK$3),CALCULES!$A78)+COUNTIFS(_xlfn.ANCHORARRAY(DATA_CLEANED!$AF$3),CALCULES!L$2,_xlfn.ANCHORARRAY(DATA_CLEANED!$AN$3),CALCULES!$A78)&gt;0,1,0)</f>
        <v>1</v>
      </c>
      <c r="M78" s="112">
        <f>IF(COUNTIFS(_xlfn.ANCHORARRAY(DATA_CLEANED!$AF$3),CALCULES!M$2,_xlfn.ANCHORARRAY(DATA_CLEANED!$AK$3),CALCULES!$A78)+COUNTIFS(_xlfn.ANCHORARRAY(DATA_CLEANED!$AF$3),CALCULES!M$2,_xlfn.ANCHORARRAY(DATA_CLEANED!$AN$3),CALCULES!$A78)&gt;0,1,0)</f>
        <v>1</v>
      </c>
      <c r="N78" s="112">
        <f>IF(COUNTIFS(_xlfn.ANCHORARRAY(DATA_CLEANED!$AF$3),CALCULES!N$2,_xlfn.ANCHORARRAY(DATA_CLEANED!$AK$3),CALCULES!$A78)+COUNTIFS(_xlfn.ANCHORARRAY(DATA_CLEANED!$AF$3),CALCULES!N$2,_xlfn.ANCHORARRAY(DATA_CLEANED!$AN$3),CALCULES!$A78)&gt;0,1,0)</f>
        <v>1</v>
      </c>
      <c r="O78" s="112">
        <f>IF(COUNTIFS(_xlfn.ANCHORARRAY(DATA_CLEANED!$AF$3),CALCULES!O$2,_xlfn.ANCHORARRAY(DATA_CLEANED!$AK$3),CALCULES!$A78)+COUNTIFS(_xlfn.ANCHORARRAY(DATA_CLEANED!$AF$3),CALCULES!O$2,_xlfn.ANCHORARRAY(DATA_CLEANED!$AN$3),CALCULES!$A78)&gt;0,1,0)</f>
        <v>1</v>
      </c>
      <c r="P78" s="112">
        <f>IF(COUNTIFS(_xlfn.ANCHORARRAY(DATA_CLEANED!$AF$3),CALCULES!P$2,_xlfn.ANCHORARRAY(DATA_CLEANED!$AK$3),CALCULES!$A78)+COUNTIFS(_xlfn.ANCHORARRAY(DATA_CLEANED!$AF$3),CALCULES!P$2,_xlfn.ANCHORARRAY(DATA_CLEANED!$AN$3),CALCULES!$A78)&gt;0,1,0)</f>
        <v>1</v>
      </c>
      <c r="Q78" s="112">
        <f>IF(COUNTIFS(_xlfn.ANCHORARRAY(DATA_CLEANED!$AF$3),CALCULES!Q$2,_xlfn.ANCHORARRAY(DATA_CLEANED!$AK$3),CALCULES!$A78)+COUNTIFS(_xlfn.ANCHORARRAY(DATA_CLEANED!$AF$3),CALCULES!Q$2,_xlfn.ANCHORARRAY(DATA_CLEANED!$AN$3),CALCULES!$A78)&gt;0,1,0)</f>
        <v>1</v>
      </c>
      <c r="R78" s="112">
        <f>IF(COUNTIFS(_xlfn.ANCHORARRAY(DATA_CLEANED!$AF$3),CALCULES!R$2,_xlfn.ANCHORARRAY(DATA_CLEANED!$AK$3),CALCULES!$A78)+COUNTIFS(_xlfn.ANCHORARRAY(DATA_CLEANED!$AF$3),CALCULES!R$2,_xlfn.ANCHORARRAY(DATA_CLEANED!$AN$3),CALCULES!$A78)&gt;0,1,0)</f>
        <v>1</v>
      </c>
      <c r="S78" s="112">
        <f>IF(COUNTIFS(_xlfn.ANCHORARRAY(DATA_CLEANED!$AF$3),CALCULES!S$2,_xlfn.ANCHORARRAY(DATA_CLEANED!$AK$3),CALCULES!$A78)+COUNTIFS(_xlfn.ANCHORARRAY(DATA_CLEANED!$AF$3),CALCULES!S$2,_xlfn.ANCHORARRAY(DATA_CLEANED!$AN$3),CALCULES!$A78)&gt;0,1,0)</f>
        <v>1</v>
      </c>
      <c r="T78" s="112">
        <f>IF(COUNTIFS(_xlfn.ANCHORARRAY(DATA_CLEANED!$AF$3),CALCULES!T$2,_xlfn.ANCHORARRAY(DATA_CLEANED!$AK$3),CALCULES!$A78)+COUNTIFS(_xlfn.ANCHORARRAY(DATA_CLEANED!$AF$3),CALCULES!T$2,_xlfn.ANCHORARRAY(DATA_CLEANED!$AN$3),CALCULES!$A78)&gt;0,1,0)</f>
        <v>1</v>
      </c>
      <c r="U78" s="112">
        <f>IF(COUNTIFS(_xlfn.ANCHORARRAY(DATA_CLEANED!$AF$3),CALCULES!U$2,_xlfn.ANCHORARRAY(DATA_CLEANED!$AK$3),CALCULES!$A78)+COUNTIFS(_xlfn.ANCHORARRAY(DATA_CLEANED!$AF$3),CALCULES!U$2,_xlfn.ANCHORARRAY(DATA_CLEANED!$AN$3),CALCULES!$A78)&gt;0,1,0)</f>
        <v>1</v>
      </c>
      <c r="V78" s="112">
        <f>IF(COUNTIFS(_xlfn.ANCHORARRAY(DATA_CLEANED!$AF$3),CALCULES!V$2,_xlfn.ANCHORARRAY(DATA_CLEANED!$AK$3),CALCULES!$A78)+COUNTIFS(_xlfn.ANCHORARRAY(DATA_CLEANED!$AF$3),CALCULES!V$2,_xlfn.ANCHORARRAY(DATA_CLEANED!$AN$3),CALCULES!$A78)&gt;0,1,0)</f>
        <v>1</v>
      </c>
      <c r="W78" s="112">
        <f>IF(COUNTIFS(_xlfn.ANCHORARRAY(DATA_CLEANED!$AF$3),CALCULES!W$2,_xlfn.ANCHORARRAY(DATA_CLEANED!$AK$3),CALCULES!$A78)+COUNTIFS(_xlfn.ANCHORARRAY(DATA_CLEANED!$AF$3),CALCULES!W$2,_xlfn.ANCHORARRAY(DATA_CLEANED!$AN$3),CALCULES!$A78)&gt;0,1,0)</f>
        <v>1</v>
      </c>
      <c r="X78" s="112">
        <f>IF(COUNTIFS(_xlfn.ANCHORARRAY(DATA_CLEANED!$AF$3),CALCULES!X$2,_xlfn.ANCHORARRAY(DATA_CLEANED!$AK$3),CALCULES!$A78)+COUNTIFS(_xlfn.ANCHORARRAY(DATA_CLEANED!$AF$3),CALCULES!X$2,_xlfn.ANCHORARRAY(DATA_CLEANED!$AN$3),CALCULES!$A78)&gt;0,1,0)</f>
        <v>1</v>
      </c>
      <c r="Y78" s="113">
        <f t="shared" si="23"/>
        <v>17</v>
      </c>
      <c r="AA78" s="112">
        <f>COUNTIF(_xlfn.ANCHORARRAY(DATA_CLEANED!$AK$3),$A78)+COUNTIF(DATA_CLEANED!$AN$2:$AN$1060,$A78)</f>
        <v>75</v>
      </c>
      <c r="AB78" s="112">
        <f>COUNTIF(DATA_QUALITE!BG$12:BG$1069,A78)</f>
        <v>39</v>
      </c>
      <c r="AC78" s="112">
        <f t="shared" si="30"/>
        <v>31</v>
      </c>
      <c r="AD78" s="112" cm="1">
        <f t="array" ref="AD78">SUMPRODUCT((DATA_CLEANED!AL$3:AL$1060=DATA_CLEANED!AM$3:AM$1060)*(_xlfn.ANCHORARRAY(DATA_CLEANED!AK$3)=CALCULES!A78)*(DATA_CLEANED!AO$3:AO$1060&lt;&gt;"-"))
+
SUMPRODUCT((DATA_CLEANED!AL$3:AL$1060=DATA_CLEANED!AM$3:AM$1060)*(_xlfn.ANCHORARRAY(DATA_CLEANED!AN$3)=CALCULES!A78)*(DATA_CLEANED!AO$3:AO$1060&lt;&gt;"-"))</f>
        <v>5</v>
      </c>
      <c r="AE78" s="116">
        <f t="shared" si="24"/>
        <v>0.52</v>
      </c>
      <c r="AF78" s="116">
        <f t="shared" si="25"/>
        <v>0.41333333333333333</v>
      </c>
      <c r="AG78" s="112">
        <f>SUMIF(_xlfn.ANCHORARRAY(DATA_CLEANED!AK$3),A78,DATA_CLEANED!AL$2:AL$1060)+SUMIF(_xlfn.ANCHORARRAY(DATA_CLEANED!AN$3),A78,DATA_CLEANED!AM$2:AM$1060)</f>
        <v>124</v>
      </c>
      <c r="AH78" s="112">
        <f>SUMIF(_xlfn.ANCHORARRAY(DATA_CLEANED!AK$3),A78,DATA_CLEANED!AM$2:AM$1060)+SUMIF(_xlfn.ANCHORARRAY(DATA_CLEANED!AN$3),A78,DATA_CLEANED!AL$2:AL$1060)</f>
        <v>108</v>
      </c>
      <c r="AI78" s="112">
        <f t="shared" si="31"/>
        <v>1.44</v>
      </c>
      <c r="AJ78" s="117" cm="1">
        <f t="array" ref="AJ78">_xlfn.LET(_xlpm.home,IFERROR(_xlfn._xlws.FILTER(DATA_CLEANED!AH$3:AH$1060,DATA_CLEANED!AK$3:AK$1060=CALCULES!A78),""),
_xlpm.away,IFERROR(_xlfn._xlws.FILTER(DATA_CLEANED!AH$3:AH$1060,DATA_CLEANED!AN$3:AN$1060=CALCULES!A78),""),
_xlpm.assemb_t,_xlfn._xlws.FILTER(_xlfn.VSTACK(_xlpm.home,_xlpm.away),_xlfn.VSTACK(_xlpm.home,_xlpm.away)&lt;&gt;""),
_xlpm.but_h,IFERROR(_xlfn._xlws.FILTER(_xlfn.ANCHORARRAY(DATA_CLEANED!AM$3),DATA_CLEANED!AK$3:AK$1060=CALCULES!A78),""),
_xlpm.but_a,IFERROR(_xlfn._xlws.FILTER(_xlfn.ANCHORARRAY(DATA_CLEANED!AL$3),DATA_CLEANED!AN$3:AN$1060=CALCULES!A78),""),
_xlpm.assemb_b,_xlfn._xlws.FILTER(_xlfn.VSTACK(_xlpm.but_h,_xlpm.but_a),_xlfn.VSTACK(_xlpm.but_h,_xlpm.but_a)&lt;&gt;""),
MEDIAN(_xlpm.assemb_t,_xlpm.assemb_b)
)</f>
        <v>1</v>
      </c>
      <c r="AK78" s="113">
        <f t="shared" si="26"/>
        <v>16</v>
      </c>
      <c r="AL78" s="112" cm="1">
        <f t="array" ref="AL78">IFERROR(MEDIAN(_xlfn._xlws.FILTER(_xlfn.VSTACK(
DATA_CLEANED!AL$3:AL$1060-DATA_CLEANED!AM$3:AM$1060,
DATA_CLEANED!AM$3:AM$1060-DATA_CLEANED!AL$3:AL$1060
),_xlfn.VSTACK(DATA_CLEANED!AK$3:AK$1060,DATA_CLEANED!AN$3:AN$1060)=A78)),"-")</f>
        <v>1</v>
      </c>
      <c r="AM78" s="112">
        <f t="shared" si="32"/>
        <v>1.65</v>
      </c>
      <c r="AN78" s="112" cm="1">
        <f t="array" ref="AN78">_xlfn.LET(_xlpm.home,IFERROR(_xlfn._xlws.FILTER(DATA_CLEANED!AH$3:AH$1060,DATA_CLEANED!AK$3:AK$1060=CALCULES!A78),""),
_xlpm.away,IFERROR(_xlfn._xlws.FILTER(DATA_CLEANED!AH$3:AH$1060,DATA_CLEANED!AN$3:AN$1060=CALCULES!A78),""),
_xlpm.assemb_t,_xlfn._xlws.FILTER(_xlfn.VSTACK(_xlpm.home,_xlpm.away),_xlfn.VSTACK(_xlpm.home,_xlpm.away)&lt;&gt;""),
_xlpm.but_h,IFERROR(_xlfn._xlws.FILTER(_xlfn.ANCHORARRAY(DATA_CLEANED!AL$3),DATA_CLEANED!AK$3:AK$1060=CALCULES!A78),""),
_xlpm.but_a,IFERROR(_xlfn._xlws.FILTER(_xlfn.ANCHORARRAY(DATA_CLEANED!AM$3),DATA_CLEANED!AN$3:AN$1060=CALCULES!A78),""),
_xlpm.assemb_b,_xlfn._xlws.FILTER(_xlfn.VSTACK(_xlpm.but_h,_xlpm.but_a),_xlfn.VSTACK(_xlpm.but_h,_xlpm.but_a)&lt;&gt;""),
MEDIAN(_xlpm.assemb_t,_xlpm.assemb_b)
)</f>
        <v>1</v>
      </c>
      <c r="AO78" s="116">
        <f>ROUND(IFERROR((COUNTIFS(DATA_CLEANED!AK$3:AK$1060,A78,DATA_CLEANED!AM$3:AM$1060,0)
+
COUNTIFS(DATA_CLEANED!AN$3:AN$1060,A78,DATA_CLEANED!AL$3:AL$1060,0)
)/AA78,0),2)</f>
        <v>0.39</v>
      </c>
      <c r="AP78" s="112">
        <f>MAX((_xlfn.MAXIFS(_xlfn.ANCHORARRAY(DATA_CLEANED!AL$3),_xlfn.ANCHORARRAY(DATA_CLEANED!AK$3),A78)),(_xlfn.MAXIFS(DATA_CLEANED!AM$3:AM$1060,_xlfn.ANCHORARRAY(DATA_CLEANED!AN$3),A78)))</f>
        <v>7</v>
      </c>
      <c r="AQ78" s="112">
        <f>COUNTIF(_xlfn.ANCHORARRAY(DATA_CLEANED!K$3),A78)</f>
        <v>20</v>
      </c>
      <c r="AR78" s="113" t="str" cm="1">
        <f t="array" ref="AR78">_xlfn.LET(
_xlpm.home,IFERROR(_xlfn._xlws.FILTER(DATA_CLEANED!AH$3:AH$1060,DATA_CLEANED!AK$3:AK$1060=CALCULES!A78),""),
_xlpm.away,IFERROR(_xlfn._xlws.FILTER(DATA_CLEANED!AH$3:AH$1060,DATA_CLEANED!AN$3:AN$1060=CALCULES!A78),""),
_xlpm.etapes,_xlfn._xlws.FILTER(_xlfn.VSTACK(_xlpm.home,_xlpm.away),_xlfn.VSTACK(_xlpm.home,_xlpm.away)&lt;&gt;""),
_xlpm.numeros,_xlfn.XLOOKUP(_xlpm.etapes,DATA_QUALITE!AT$12:AT$38,DATA_QUALITE!AU$12:AU$38),
_xlfn.XLOOKUP(MIN(_xlpm.numeros),DATA_QUALITE!AU$12:AU$38,DATA_QUALITE!AT$12:AT$38)
)</f>
        <v>FINAL</v>
      </c>
      <c r="AS78" s="112">
        <f t="shared" si="27"/>
        <v>17</v>
      </c>
      <c r="AT78" s="112">
        <f t="shared" si="28"/>
        <v>39</v>
      </c>
      <c r="AU78" s="112">
        <f>COUNTIFS(DATA_QUALITE!BG$12:BG$1069,"MATCH NUL",_xlfn.ANCHORARRAY(DATA_CLEANED!AK$3),CALCULES!A78)+COUNTIFS(DATA_QUALITE!BG$12:BG$1069,"MATCH NUL",_xlfn.ANCHORARRAY(DATA_CLEANED!AN$3),CALCULES!A78)</f>
        <v>13</v>
      </c>
      <c r="AV78" s="112">
        <v>124</v>
      </c>
      <c r="AW78" s="112">
        <f>COUNTIFS(_xlfn.ANCHORARRAY(DATA_CLEANED!AH$3),"QUARTER_FINALS",_xlfn.ANCHORARRAY(DATA_CLEANED!AK$3),CALCULES!A78)+COUNTIFS(_xlfn.ANCHORARRAY(DATA_CLEANED!AH$3),"QUARTER_FINALS",_xlfn.ANCHORARRAY(DATA_CLEANED!AN$3),CALCULES!A78)</f>
        <v>7</v>
      </c>
      <c r="AX78" s="112">
        <f>COUNTIFS(_xlfn.ANCHORARRAY(DATA_CLEANED!AH$3),"SEMI_FINALS",_xlfn.ANCHORARRAY(DATA_CLEANED!AK$3),CALCULES!A78)+COUNTIFS(_xlfn.ANCHORARRAY(DATA_CLEANED!AH$3),"SEMI_FINALS",_xlfn.ANCHORARRAY(DATA_CLEANED!AN$3),CALCULES!A78)</f>
        <v>2</v>
      </c>
      <c r="AY78" s="112">
        <f>COUNTIFS(_xlfn.ANCHORARRAY(DATA_CLEANED!AH$3),"FINAL",_xlfn.ANCHORARRAY(DATA_CLEANED!AK$3),CALCULES!A78)+COUNTIFS(_xlfn.ANCHORARRAY(DATA_CLEANED!AH$3),"FINAL",_xlfn.ANCHORARRAY(DATA_CLEANED!AN$3),CALCULES!A78)</f>
        <v>2</v>
      </c>
      <c r="AZ78" s="112">
        <f>COUNTIFS(DATA_QUALITE!BG$12:BG$1069,CALCULES!A78,DATA_QUALITE!AW$12:AW$1069,"FINAL")</f>
        <v>2</v>
      </c>
      <c r="BA78" s="113">
        <f t="shared" si="29"/>
        <v>45.65</v>
      </c>
      <c r="BB78" s="118">
        <f t="shared" si="33"/>
        <v>36.83</v>
      </c>
      <c r="BC78" s="118">
        <f t="shared" si="34"/>
        <v>33.79</v>
      </c>
      <c r="BD78" s="139">
        <f t="shared" si="35"/>
        <v>35.31</v>
      </c>
      <c r="BF78" s="167"/>
      <c r="BG78" s="167"/>
      <c r="BH78" s="167"/>
      <c r="BI78" s="167"/>
      <c r="BJ78" s="167"/>
      <c r="BK78" s="167"/>
      <c r="BL78" s="173">
        <f>INT((ROWS($BL$15:BL78)-1)/9)</f>
        <v>7</v>
      </c>
      <c r="BM78" s="173">
        <f>MOD(ROWS($BM$15:BM78)-1,9)</f>
        <v>0</v>
      </c>
      <c r="BN78" s="173">
        <f t="shared" si="22"/>
        <v>3.5255258019535444E-4</v>
      </c>
      <c r="BO78" s="167"/>
      <c r="BP78" s="167"/>
    </row>
    <row r="79" spans="1:68">
      <c r="A79" s="113" t="str">
        <v>Sweden</v>
      </c>
      <c r="B79" s="112">
        <f>IF(COUNTIFS(_xlfn.ANCHORARRAY(DATA_CLEANED!$AF$3),CALCULES!B$2,_xlfn.ANCHORARRAY(DATA_CLEANED!$AK$3),CALCULES!$A79)+COUNTIFS(_xlfn.ANCHORARRAY(DATA_CLEANED!$AF$3),CALCULES!B$2,_xlfn.ANCHORARRAY(DATA_CLEANED!$AN$3),CALCULES!$A79)&gt;0,1,0)</f>
        <v>0</v>
      </c>
      <c r="C79" s="112">
        <f>IF(COUNTIFS(_xlfn.ANCHORARRAY(DATA_CLEANED!$AF$3),CALCULES!C$2,_xlfn.ANCHORARRAY(DATA_CLEANED!$AK$3),CALCULES!$A79)+COUNTIFS(_xlfn.ANCHORARRAY(DATA_CLEANED!$AF$3),CALCULES!C$2,_xlfn.ANCHORARRAY(DATA_CLEANED!$AN$3),CALCULES!$A79)&gt;0,1,0)</f>
        <v>1</v>
      </c>
      <c r="D79" s="112">
        <f>IF(COUNTIFS(_xlfn.ANCHORARRAY(DATA_CLEANED!$AF$3),CALCULES!D$2,_xlfn.ANCHORARRAY(DATA_CLEANED!$AK$3),CALCULES!$A79)+COUNTIFS(_xlfn.ANCHORARRAY(DATA_CLEANED!$AF$3),CALCULES!D$2,_xlfn.ANCHORARRAY(DATA_CLEANED!$AN$3),CALCULES!$A79)&gt;0,1,0)</f>
        <v>1</v>
      </c>
      <c r="E79" s="112">
        <f>IF(COUNTIFS(_xlfn.ANCHORARRAY(DATA_CLEANED!$AF$3),CALCULES!E$2,_xlfn.ANCHORARRAY(DATA_CLEANED!$AK$3),CALCULES!$A79)+COUNTIFS(_xlfn.ANCHORARRAY(DATA_CLEANED!$AF$3),CALCULES!E$2,_xlfn.ANCHORARRAY(DATA_CLEANED!$AN$3),CALCULES!$A79)&gt;0,1,0)</f>
        <v>1</v>
      </c>
      <c r="F79" s="112">
        <f>IF(COUNTIFS(_xlfn.ANCHORARRAY(DATA_CLEANED!$AF$3),CALCULES!F$2,_xlfn.ANCHORARRAY(DATA_CLEANED!$AK$3),CALCULES!$A79)+COUNTIFS(_xlfn.ANCHORARRAY(DATA_CLEANED!$AF$3),CALCULES!F$2,_xlfn.ANCHORARRAY(DATA_CLEANED!$AN$3),CALCULES!$A79)&gt;0,1,0)</f>
        <v>0</v>
      </c>
      <c r="G79" s="112">
        <f>IF(COUNTIFS(_xlfn.ANCHORARRAY(DATA_CLEANED!$AF$3),CALCULES!G$2,_xlfn.ANCHORARRAY(DATA_CLEANED!$AK$3),CALCULES!$A79)+COUNTIFS(_xlfn.ANCHORARRAY(DATA_CLEANED!$AF$3),CALCULES!G$2,_xlfn.ANCHORARRAY(DATA_CLEANED!$AN$3),CALCULES!$A79)&gt;0,1,0)</f>
        <v>1</v>
      </c>
      <c r="H79" s="112">
        <f>IF(COUNTIFS(_xlfn.ANCHORARRAY(DATA_CLEANED!$AF$3),CALCULES!H$2,_xlfn.ANCHORARRAY(DATA_CLEANED!$AK$3),CALCULES!$A79)+COUNTIFS(_xlfn.ANCHORARRAY(DATA_CLEANED!$AF$3),CALCULES!H$2,_xlfn.ANCHORARRAY(DATA_CLEANED!$AN$3),CALCULES!$A79)&gt;0,1,0)</f>
        <v>0</v>
      </c>
      <c r="I79" s="112">
        <f>IF(COUNTIFS(_xlfn.ANCHORARRAY(DATA_CLEANED!$AF$3),CALCULES!I$2,_xlfn.ANCHORARRAY(DATA_CLEANED!$AK$3),CALCULES!$A79)+COUNTIFS(_xlfn.ANCHORARRAY(DATA_CLEANED!$AF$3),CALCULES!I$2,_xlfn.ANCHORARRAY(DATA_CLEANED!$AN$3),CALCULES!$A79)&gt;0,1,0)</f>
        <v>0</v>
      </c>
      <c r="J79" s="112">
        <f>IF(COUNTIFS(_xlfn.ANCHORARRAY(DATA_CLEANED!$AF$3),CALCULES!J$2,_xlfn.ANCHORARRAY(DATA_CLEANED!$AK$3),CALCULES!$A79)+COUNTIFS(_xlfn.ANCHORARRAY(DATA_CLEANED!$AF$3),CALCULES!J$2,_xlfn.ANCHORARRAY(DATA_CLEANED!$AN$3),CALCULES!$A79)&gt;0,1,0)</f>
        <v>1</v>
      </c>
      <c r="K79" s="112">
        <f>IF(COUNTIFS(_xlfn.ANCHORARRAY(DATA_CLEANED!$AF$3),CALCULES!K$2,_xlfn.ANCHORARRAY(DATA_CLEANED!$AK$3),CALCULES!$A79)+COUNTIFS(_xlfn.ANCHORARRAY(DATA_CLEANED!$AF$3),CALCULES!K$2,_xlfn.ANCHORARRAY(DATA_CLEANED!$AN$3),CALCULES!$A79)&gt;0,1,0)</f>
        <v>1</v>
      </c>
      <c r="L79" s="112">
        <f>IF(COUNTIFS(_xlfn.ANCHORARRAY(DATA_CLEANED!$AF$3),CALCULES!L$2,_xlfn.ANCHORARRAY(DATA_CLEANED!$AK$3),CALCULES!$A79)+COUNTIFS(_xlfn.ANCHORARRAY(DATA_CLEANED!$AF$3),CALCULES!L$2,_xlfn.ANCHORARRAY(DATA_CLEANED!$AN$3),CALCULES!$A79)&gt;0,1,0)</f>
        <v>1</v>
      </c>
      <c r="M79" s="112">
        <f>IF(COUNTIFS(_xlfn.ANCHORARRAY(DATA_CLEANED!$AF$3),CALCULES!M$2,_xlfn.ANCHORARRAY(DATA_CLEANED!$AK$3),CALCULES!$A79)+COUNTIFS(_xlfn.ANCHORARRAY(DATA_CLEANED!$AF$3),CALCULES!M$2,_xlfn.ANCHORARRAY(DATA_CLEANED!$AN$3),CALCULES!$A79)&gt;0,1,0)</f>
        <v>0</v>
      </c>
      <c r="N79" s="112">
        <f>IF(COUNTIFS(_xlfn.ANCHORARRAY(DATA_CLEANED!$AF$3),CALCULES!N$2,_xlfn.ANCHORARRAY(DATA_CLEANED!$AK$3),CALCULES!$A79)+COUNTIFS(_xlfn.ANCHORARRAY(DATA_CLEANED!$AF$3),CALCULES!N$2,_xlfn.ANCHORARRAY(DATA_CLEANED!$AN$3),CALCULES!$A79)&gt;0,1,0)</f>
        <v>0</v>
      </c>
      <c r="O79" s="112">
        <f>IF(COUNTIFS(_xlfn.ANCHORARRAY(DATA_CLEANED!$AF$3),CALCULES!O$2,_xlfn.ANCHORARRAY(DATA_CLEANED!$AK$3),CALCULES!$A79)+COUNTIFS(_xlfn.ANCHORARRAY(DATA_CLEANED!$AF$3),CALCULES!O$2,_xlfn.ANCHORARRAY(DATA_CLEANED!$AN$3),CALCULES!$A79)&gt;0,1,0)</f>
        <v>1</v>
      </c>
      <c r="P79" s="112">
        <f>IF(COUNTIFS(_xlfn.ANCHORARRAY(DATA_CLEANED!$AF$3),CALCULES!P$2,_xlfn.ANCHORARRAY(DATA_CLEANED!$AK$3),CALCULES!$A79)+COUNTIFS(_xlfn.ANCHORARRAY(DATA_CLEANED!$AF$3),CALCULES!P$2,_xlfn.ANCHORARRAY(DATA_CLEANED!$AN$3),CALCULES!$A79)&gt;0,1,0)</f>
        <v>1</v>
      </c>
      <c r="Q79" s="112">
        <f>IF(COUNTIFS(_xlfn.ANCHORARRAY(DATA_CLEANED!$AF$3),CALCULES!Q$2,_xlfn.ANCHORARRAY(DATA_CLEANED!$AK$3),CALCULES!$A79)+COUNTIFS(_xlfn.ANCHORARRAY(DATA_CLEANED!$AF$3),CALCULES!Q$2,_xlfn.ANCHORARRAY(DATA_CLEANED!$AN$3),CALCULES!$A79)&gt;0,1,0)</f>
        <v>0</v>
      </c>
      <c r="R79" s="112">
        <f>IF(COUNTIFS(_xlfn.ANCHORARRAY(DATA_CLEANED!$AF$3),CALCULES!R$2,_xlfn.ANCHORARRAY(DATA_CLEANED!$AK$3),CALCULES!$A79)+COUNTIFS(_xlfn.ANCHORARRAY(DATA_CLEANED!$AF$3),CALCULES!R$2,_xlfn.ANCHORARRAY(DATA_CLEANED!$AN$3),CALCULES!$A79)&gt;0,1,0)</f>
        <v>1</v>
      </c>
      <c r="S79" s="112">
        <f>IF(COUNTIFS(_xlfn.ANCHORARRAY(DATA_CLEANED!$AF$3),CALCULES!S$2,_xlfn.ANCHORARRAY(DATA_CLEANED!$AK$3),CALCULES!$A79)+COUNTIFS(_xlfn.ANCHORARRAY(DATA_CLEANED!$AF$3),CALCULES!S$2,_xlfn.ANCHORARRAY(DATA_CLEANED!$AN$3),CALCULES!$A79)&gt;0,1,0)</f>
        <v>1</v>
      </c>
      <c r="T79" s="112">
        <f>IF(COUNTIFS(_xlfn.ANCHORARRAY(DATA_CLEANED!$AF$3),CALCULES!T$2,_xlfn.ANCHORARRAY(DATA_CLEANED!$AK$3),CALCULES!$A79)+COUNTIFS(_xlfn.ANCHORARRAY(DATA_CLEANED!$AF$3),CALCULES!T$2,_xlfn.ANCHORARRAY(DATA_CLEANED!$AN$3),CALCULES!$A79)&gt;0,1,0)</f>
        <v>0</v>
      </c>
      <c r="U79" s="112">
        <f>IF(COUNTIFS(_xlfn.ANCHORARRAY(DATA_CLEANED!$AF$3),CALCULES!U$2,_xlfn.ANCHORARRAY(DATA_CLEANED!$AK$3),CALCULES!$A79)+COUNTIFS(_xlfn.ANCHORARRAY(DATA_CLEANED!$AF$3),CALCULES!U$2,_xlfn.ANCHORARRAY(DATA_CLEANED!$AN$3),CALCULES!$A79)&gt;0,1,0)</f>
        <v>0</v>
      </c>
      <c r="V79" s="112">
        <f>IF(COUNTIFS(_xlfn.ANCHORARRAY(DATA_CLEANED!$AF$3),CALCULES!V$2,_xlfn.ANCHORARRAY(DATA_CLEANED!$AK$3),CALCULES!$A79)+COUNTIFS(_xlfn.ANCHORARRAY(DATA_CLEANED!$AF$3),CALCULES!V$2,_xlfn.ANCHORARRAY(DATA_CLEANED!$AN$3),CALCULES!$A79)&gt;0,1,0)</f>
        <v>1</v>
      </c>
      <c r="W79" s="112">
        <f>IF(COUNTIFS(_xlfn.ANCHORARRAY(DATA_CLEANED!$AF$3),CALCULES!W$2,_xlfn.ANCHORARRAY(DATA_CLEANED!$AK$3),CALCULES!$A79)+COUNTIFS(_xlfn.ANCHORARRAY(DATA_CLEANED!$AF$3),CALCULES!W$2,_xlfn.ANCHORARRAY(DATA_CLEANED!$AN$3),CALCULES!$A79)&gt;0,1,0)</f>
        <v>0</v>
      </c>
      <c r="X79" s="112">
        <f>IF(COUNTIFS(_xlfn.ANCHORARRAY(DATA_CLEANED!$AF$3),CALCULES!X$2,_xlfn.ANCHORARRAY(DATA_CLEANED!$AK$3),CALCULES!$A79)+COUNTIFS(_xlfn.ANCHORARRAY(DATA_CLEANED!$AF$3),CALCULES!X$2,_xlfn.ANCHORARRAY(DATA_CLEANED!$AN$3),CALCULES!$A79)&gt;0,1,0)</f>
        <v>1</v>
      </c>
      <c r="Y79" s="113">
        <f t="shared" si="23"/>
        <v>13</v>
      </c>
      <c r="AA79" s="112">
        <f>COUNTIF(_xlfn.ANCHORARRAY(DATA_CLEANED!$AK$3),$A79)+COUNTIF(DATA_CLEANED!$AN$2:$AN$1060,$A79)</f>
        <v>55</v>
      </c>
      <c r="AB79" s="112">
        <f>COUNTIF(DATA_QUALITE!BG$12:BG$1069,A79)</f>
        <v>21</v>
      </c>
      <c r="AC79" s="112">
        <f t="shared" si="30"/>
        <v>33</v>
      </c>
      <c r="AD79" s="112" cm="1">
        <f t="array" ref="AD79">SUMPRODUCT((DATA_CLEANED!AL$3:AL$1060=DATA_CLEANED!AM$3:AM$1060)*(_xlfn.ANCHORARRAY(DATA_CLEANED!AK$3)=CALCULES!A79)*(DATA_CLEANED!AO$3:AO$1060&lt;&gt;"-"))
+
SUMPRODUCT((DATA_CLEANED!AL$3:AL$1060=DATA_CLEANED!AM$3:AM$1060)*(_xlfn.ANCHORARRAY(DATA_CLEANED!AN$3)=CALCULES!A79)*(DATA_CLEANED!AO$3:AO$1060&lt;&gt;"-"))</f>
        <v>1</v>
      </c>
      <c r="AE79" s="116">
        <f t="shared" si="24"/>
        <v>0.38181818181818183</v>
      </c>
      <c r="AF79" s="116">
        <f t="shared" si="25"/>
        <v>0.6</v>
      </c>
      <c r="AG79" s="112">
        <f>SUMIF(_xlfn.ANCHORARRAY(DATA_CLEANED!AK$3),A79,DATA_CLEANED!AL$2:AL$1060)+SUMIF(_xlfn.ANCHORARRAY(DATA_CLEANED!AN$3),A79,DATA_CLEANED!AM$2:AM$1060)</f>
        <v>87</v>
      </c>
      <c r="AH79" s="112">
        <f>SUMIF(_xlfn.ANCHORARRAY(DATA_CLEANED!AK$3),A79,DATA_CLEANED!AM$2:AM$1060)+SUMIF(_xlfn.ANCHORARRAY(DATA_CLEANED!AN$3),A79,DATA_CLEANED!AL$2:AL$1060)</f>
        <v>79</v>
      </c>
      <c r="AI79" s="112">
        <f t="shared" si="31"/>
        <v>1.44</v>
      </c>
      <c r="AJ79" s="117" cm="1">
        <f t="array" ref="AJ79">_xlfn.LET(_xlpm.home,IFERROR(_xlfn._xlws.FILTER(DATA_CLEANED!AH$3:AH$1060,DATA_CLEANED!AK$3:AK$1060=CALCULES!A79),""),
_xlpm.away,IFERROR(_xlfn._xlws.FILTER(DATA_CLEANED!AH$3:AH$1060,DATA_CLEANED!AN$3:AN$1060=CALCULES!A79),""),
_xlpm.assemb_t,_xlfn._xlws.FILTER(_xlfn.VSTACK(_xlpm.home,_xlpm.away),_xlfn.VSTACK(_xlpm.home,_xlpm.away)&lt;&gt;""),
_xlpm.but_h,IFERROR(_xlfn._xlws.FILTER(_xlfn.ANCHORARRAY(DATA_CLEANED!AM$3),DATA_CLEANED!AK$3:AK$1060=CALCULES!A79),""),
_xlpm.but_a,IFERROR(_xlfn._xlws.FILTER(_xlfn.ANCHORARRAY(DATA_CLEANED!AL$3),DATA_CLEANED!AN$3:AN$1060=CALCULES!A79),""),
_xlpm.assemb_b,_xlfn._xlws.FILTER(_xlfn.VSTACK(_xlpm.but_h,_xlpm.but_a),_xlfn.VSTACK(_xlpm.but_h,_xlpm.but_a)&lt;&gt;""),
MEDIAN(_xlpm.assemb_t,_xlpm.assemb_b)
)</f>
        <v>1</v>
      </c>
      <c r="AK79" s="113">
        <f t="shared" si="26"/>
        <v>8</v>
      </c>
      <c r="AL79" s="112" cm="1">
        <f t="array" ref="AL79">IFERROR(MEDIAN(_xlfn._xlws.FILTER(_xlfn.VSTACK(
DATA_CLEANED!AL$3:AL$1060-DATA_CLEANED!AM$3:AM$1060,
DATA_CLEANED!AM$3:AM$1060-DATA_CLEANED!AL$3:AL$1060
),_xlfn.VSTACK(DATA_CLEANED!AK$3:AK$1060,DATA_CLEANED!AN$3:AN$1060)=A79)),"-")</f>
        <v>0</v>
      </c>
      <c r="AM79" s="112">
        <f t="shared" si="32"/>
        <v>1.58</v>
      </c>
      <c r="AN79" s="112" cm="1">
        <f t="array" ref="AN79">_xlfn.LET(_xlpm.home,IFERROR(_xlfn._xlws.FILTER(DATA_CLEANED!AH$3:AH$1060,DATA_CLEANED!AK$3:AK$1060=CALCULES!A79),""),
_xlpm.away,IFERROR(_xlfn._xlws.FILTER(DATA_CLEANED!AH$3:AH$1060,DATA_CLEANED!AN$3:AN$1060=CALCULES!A79),""),
_xlpm.assemb_t,_xlfn._xlws.FILTER(_xlfn.VSTACK(_xlpm.home,_xlpm.away),_xlfn.VSTACK(_xlpm.home,_xlpm.away)&lt;&gt;""),
_xlpm.but_h,IFERROR(_xlfn._xlws.FILTER(_xlfn.ANCHORARRAY(DATA_CLEANED!AL$3),DATA_CLEANED!AK$3:AK$1060=CALCULES!A79),""),
_xlpm.but_a,IFERROR(_xlfn._xlws.FILTER(_xlfn.ANCHORARRAY(DATA_CLEANED!AM$3),DATA_CLEANED!AN$3:AN$1060=CALCULES!A79),""),
_xlpm.assemb_b,_xlfn._xlws.FILTER(_xlfn.VSTACK(_xlpm.but_h,_xlpm.but_a),_xlfn.VSTACK(_xlpm.but_h,_xlpm.but_a)&lt;&gt;""),
MEDIAN(_xlpm.assemb_t,_xlpm.assemb_b)
)</f>
        <v>1</v>
      </c>
      <c r="AO79" s="116">
        <f>ROUND(IFERROR((COUNTIFS(DATA_CLEANED!AK$3:AK$1060,A79,DATA_CLEANED!AM$3:AM$1060,0)
+
COUNTIFS(DATA_CLEANED!AN$3:AN$1060,A79,DATA_CLEANED!AL$3:AL$1060,0)
)/AA79,0),2)</f>
        <v>0.25</v>
      </c>
      <c r="AP79" s="112">
        <f>MAX((_xlfn.MAXIFS(_xlfn.ANCHORARRAY(DATA_CLEANED!AL$3),_xlfn.ANCHORARRAY(DATA_CLEANED!AK$3),A79)),(_xlfn.MAXIFS(DATA_CLEANED!AM$3:AM$1060,_xlfn.ANCHORARRAY(DATA_CLEANED!AN$3),A79)))</f>
        <v>8</v>
      </c>
      <c r="AQ79" s="112">
        <f>COUNTIF(_xlfn.ANCHORARRAY(DATA_CLEANED!K$3),A79)</f>
        <v>6</v>
      </c>
      <c r="AR79" s="113" t="str" cm="1">
        <f t="array" ref="AR79">_xlfn.LET(
_xlpm.home,IFERROR(_xlfn._xlws.FILTER(DATA_CLEANED!AH$3:AH$1060,DATA_CLEANED!AK$3:AK$1060=CALCULES!A79),""),
_xlpm.away,IFERROR(_xlfn._xlws.FILTER(DATA_CLEANED!AH$3:AH$1060,DATA_CLEANED!AN$3:AN$1060=CALCULES!A79),""),
_xlpm.etapes,_xlfn._xlws.FILTER(_xlfn.VSTACK(_xlpm.home,_xlpm.away),_xlfn.VSTACK(_xlpm.home,_xlpm.away)&lt;&gt;""),
_xlpm.numeros,_xlfn.XLOOKUP(_xlpm.etapes,DATA_QUALITE!AT$12:AT$38,DATA_QUALITE!AU$12:AU$38),
_xlfn.XLOOKUP(MIN(_xlpm.numeros),DATA_QUALITE!AU$12:AU$38,DATA_QUALITE!AT$12:AT$38)
)</f>
        <v>FINAL</v>
      </c>
      <c r="AS79" s="112">
        <f t="shared" si="27"/>
        <v>13</v>
      </c>
      <c r="AT79" s="112">
        <f t="shared" si="28"/>
        <v>21</v>
      </c>
      <c r="AU79" s="112">
        <f>COUNTIFS(DATA_QUALITE!BG$12:BG$1069,"MATCH NUL",_xlfn.ANCHORARRAY(DATA_CLEANED!AK$3),CALCULES!A79)+COUNTIFS(DATA_QUALITE!BG$12:BG$1069,"MATCH NUL",_xlfn.ANCHORARRAY(DATA_CLEANED!AN$3),CALCULES!A79)</f>
        <v>13</v>
      </c>
      <c r="AV79" s="112">
        <v>87</v>
      </c>
      <c r="AW79" s="112">
        <f>COUNTIFS(_xlfn.ANCHORARRAY(DATA_CLEANED!AH$3),"QUARTER_FINALS",_xlfn.ANCHORARRAY(DATA_CLEANED!AK$3),CALCULES!A79)+COUNTIFS(_xlfn.ANCHORARRAY(DATA_CLEANED!AH$3),"QUARTER_FINALS",_xlfn.ANCHORARRAY(DATA_CLEANED!AN$3),CALCULES!A79)</f>
        <v>5</v>
      </c>
      <c r="AX79" s="112">
        <f>COUNTIFS(_xlfn.ANCHORARRAY(DATA_CLEANED!AH$3),"SEMI_FINALS",_xlfn.ANCHORARRAY(DATA_CLEANED!AK$3),CALCULES!A79)+COUNTIFS(_xlfn.ANCHORARRAY(DATA_CLEANED!AH$3),"SEMI_FINALS",_xlfn.ANCHORARRAY(DATA_CLEANED!AN$3),CALCULES!A79)</f>
        <v>3</v>
      </c>
      <c r="AY79" s="112">
        <f>COUNTIFS(_xlfn.ANCHORARRAY(DATA_CLEANED!AH$3),"FINAL",_xlfn.ANCHORARRAY(DATA_CLEANED!AK$3),CALCULES!A79)+COUNTIFS(_xlfn.ANCHORARRAY(DATA_CLEANED!AH$3),"FINAL",_xlfn.ANCHORARRAY(DATA_CLEANED!AN$3),CALCULES!A79)</f>
        <v>1</v>
      </c>
      <c r="AZ79" s="112">
        <f>COUNTIFS(DATA_QUALITE!BG$12:BG$1069,CALCULES!A79,DATA_QUALITE!AW$12:AW$1069,"FINAL")</f>
        <v>0</v>
      </c>
      <c r="BA79" s="113">
        <f t="shared" si="29"/>
        <v>41.18</v>
      </c>
      <c r="BB79" s="118">
        <f t="shared" si="33"/>
        <v>24.92</v>
      </c>
      <c r="BC79" s="118">
        <f t="shared" si="34"/>
        <v>23.38</v>
      </c>
      <c r="BD79" s="139">
        <f t="shared" si="35"/>
        <v>24.15</v>
      </c>
      <c r="BF79" s="167"/>
      <c r="BG79" s="167"/>
      <c r="BH79" s="167"/>
      <c r="BI79" s="167"/>
      <c r="BJ79" s="167"/>
      <c r="BK79" s="167"/>
      <c r="BL79" s="173">
        <f>INT((ROWS($BL$15:BL79)-1)/9)</f>
        <v>7</v>
      </c>
      <c r="BM79" s="173">
        <f>MOD(ROWS($BM$15:BM79)-1,9)</f>
        <v>1</v>
      </c>
      <c r="BN79" s="173">
        <f t="shared" ref="BN79:BN110" si="36">_xlfn.POISSON.DIST(BL79,$BG$40,FALSE)*_xlfn.POISSON.DIST(BM79,$BG$41,FALSE)</f>
        <v>3.9483607869529401E-4</v>
      </c>
      <c r="BO79" s="167"/>
      <c r="BP79" s="167"/>
    </row>
    <row r="80" spans="1:68">
      <c r="A80" s="113" t="str">
        <v>Switzerland</v>
      </c>
      <c r="B80" s="112">
        <f>IF(COUNTIFS(_xlfn.ANCHORARRAY(DATA_CLEANED!$AF$3),CALCULES!B$2,_xlfn.ANCHORARRAY(DATA_CLEANED!$AK$3),CALCULES!$A80)+COUNTIFS(_xlfn.ANCHORARRAY(DATA_CLEANED!$AF$3),CALCULES!B$2,_xlfn.ANCHORARRAY(DATA_CLEANED!$AN$3),CALCULES!$A80)&gt;0,1,0)</f>
        <v>0</v>
      </c>
      <c r="C80" s="112">
        <f>IF(COUNTIFS(_xlfn.ANCHORARRAY(DATA_CLEANED!$AF$3),CALCULES!C$2,_xlfn.ANCHORARRAY(DATA_CLEANED!$AK$3),CALCULES!$A80)+COUNTIFS(_xlfn.ANCHORARRAY(DATA_CLEANED!$AF$3),CALCULES!C$2,_xlfn.ANCHORARRAY(DATA_CLEANED!$AN$3),CALCULES!$A80)&gt;0,1,0)</f>
        <v>1</v>
      </c>
      <c r="D80" s="112">
        <f>IF(COUNTIFS(_xlfn.ANCHORARRAY(DATA_CLEANED!$AF$3),CALCULES!D$2,_xlfn.ANCHORARRAY(DATA_CLEANED!$AK$3),CALCULES!$A80)+COUNTIFS(_xlfn.ANCHORARRAY(DATA_CLEANED!$AF$3),CALCULES!D$2,_xlfn.ANCHORARRAY(DATA_CLEANED!$AN$3),CALCULES!$A80)&gt;0,1,0)</f>
        <v>1</v>
      </c>
      <c r="E80" s="112">
        <f>IF(COUNTIFS(_xlfn.ANCHORARRAY(DATA_CLEANED!$AF$3),CALCULES!E$2,_xlfn.ANCHORARRAY(DATA_CLEANED!$AK$3),CALCULES!$A80)+COUNTIFS(_xlfn.ANCHORARRAY(DATA_CLEANED!$AF$3),CALCULES!E$2,_xlfn.ANCHORARRAY(DATA_CLEANED!$AN$3),CALCULES!$A80)&gt;0,1,0)</f>
        <v>1</v>
      </c>
      <c r="F80" s="112">
        <f>IF(COUNTIFS(_xlfn.ANCHORARRAY(DATA_CLEANED!$AF$3),CALCULES!F$2,_xlfn.ANCHORARRAY(DATA_CLEANED!$AK$3),CALCULES!$A80)+COUNTIFS(_xlfn.ANCHORARRAY(DATA_CLEANED!$AF$3),CALCULES!F$2,_xlfn.ANCHORARRAY(DATA_CLEANED!$AN$3),CALCULES!$A80)&gt;0,1,0)</f>
        <v>1</v>
      </c>
      <c r="G80" s="112">
        <f>IF(COUNTIFS(_xlfn.ANCHORARRAY(DATA_CLEANED!$AF$3),CALCULES!G$2,_xlfn.ANCHORARRAY(DATA_CLEANED!$AK$3),CALCULES!$A80)+COUNTIFS(_xlfn.ANCHORARRAY(DATA_CLEANED!$AF$3),CALCULES!G$2,_xlfn.ANCHORARRAY(DATA_CLEANED!$AN$3),CALCULES!$A80)&gt;0,1,0)</f>
        <v>0</v>
      </c>
      <c r="H80" s="112">
        <f>IF(COUNTIFS(_xlfn.ANCHORARRAY(DATA_CLEANED!$AF$3),CALCULES!H$2,_xlfn.ANCHORARRAY(DATA_CLEANED!$AK$3),CALCULES!$A80)+COUNTIFS(_xlfn.ANCHORARRAY(DATA_CLEANED!$AF$3),CALCULES!H$2,_xlfn.ANCHORARRAY(DATA_CLEANED!$AN$3),CALCULES!$A80)&gt;0,1,0)</f>
        <v>1</v>
      </c>
      <c r="I80" s="112">
        <f>IF(COUNTIFS(_xlfn.ANCHORARRAY(DATA_CLEANED!$AF$3),CALCULES!I$2,_xlfn.ANCHORARRAY(DATA_CLEANED!$AK$3),CALCULES!$A80)+COUNTIFS(_xlfn.ANCHORARRAY(DATA_CLEANED!$AF$3),CALCULES!I$2,_xlfn.ANCHORARRAY(DATA_CLEANED!$AN$3),CALCULES!$A80)&gt;0,1,0)</f>
        <v>1</v>
      </c>
      <c r="J80" s="112">
        <f>IF(COUNTIFS(_xlfn.ANCHORARRAY(DATA_CLEANED!$AF$3),CALCULES!J$2,_xlfn.ANCHORARRAY(DATA_CLEANED!$AK$3),CALCULES!$A80)+COUNTIFS(_xlfn.ANCHORARRAY(DATA_CLEANED!$AF$3),CALCULES!J$2,_xlfn.ANCHORARRAY(DATA_CLEANED!$AN$3),CALCULES!$A80)&gt;0,1,0)</f>
        <v>0</v>
      </c>
      <c r="K80" s="112">
        <f>IF(COUNTIFS(_xlfn.ANCHORARRAY(DATA_CLEANED!$AF$3),CALCULES!K$2,_xlfn.ANCHORARRAY(DATA_CLEANED!$AK$3),CALCULES!$A80)+COUNTIFS(_xlfn.ANCHORARRAY(DATA_CLEANED!$AF$3),CALCULES!K$2,_xlfn.ANCHORARRAY(DATA_CLEANED!$AN$3),CALCULES!$A80)&gt;0,1,0)</f>
        <v>0</v>
      </c>
      <c r="L80" s="112">
        <f>IF(COUNTIFS(_xlfn.ANCHORARRAY(DATA_CLEANED!$AF$3),CALCULES!L$2,_xlfn.ANCHORARRAY(DATA_CLEANED!$AK$3),CALCULES!$A80)+COUNTIFS(_xlfn.ANCHORARRAY(DATA_CLEANED!$AF$3),CALCULES!L$2,_xlfn.ANCHORARRAY(DATA_CLEANED!$AN$3),CALCULES!$A80)&gt;0,1,0)</f>
        <v>0</v>
      </c>
      <c r="M80" s="112">
        <f>IF(COUNTIFS(_xlfn.ANCHORARRAY(DATA_CLEANED!$AF$3),CALCULES!M$2,_xlfn.ANCHORARRAY(DATA_CLEANED!$AK$3),CALCULES!$A80)+COUNTIFS(_xlfn.ANCHORARRAY(DATA_CLEANED!$AF$3),CALCULES!M$2,_xlfn.ANCHORARRAY(DATA_CLEANED!$AN$3),CALCULES!$A80)&gt;0,1,0)</f>
        <v>0</v>
      </c>
      <c r="N80" s="112">
        <f>IF(COUNTIFS(_xlfn.ANCHORARRAY(DATA_CLEANED!$AF$3),CALCULES!N$2,_xlfn.ANCHORARRAY(DATA_CLEANED!$AK$3),CALCULES!$A80)+COUNTIFS(_xlfn.ANCHORARRAY(DATA_CLEANED!$AF$3),CALCULES!N$2,_xlfn.ANCHORARRAY(DATA_CLEANED!$AN$3),CALCULES!$A80)&gt;0,1,0)</f>
        <v>0</v>
      </c>
      <c r="O80" s="112">
        <f>IF(COUNTIFS(_xlfn.ANCHORARRAY(DATA_CLEANED!$AF$3),CALCULES!O$2,_xlfn.ANCHORARRAY(DATA_CLEANED!$AK$3),CALCULES!$A80)+COUNTIFS(_xlfn.ANCHORARRAY(DATA_CLEANED!$AF$3),CALCULES!O$2,_xlfn.ANCHORARRAY(DATA_CLEANED!$AN$3),CALCULES!$A80)&gt;0,1,0)</f>
        <v>0</v>
      </c>
      <c r="P80" s="112">
        <f>IF(COUNTIFS(_xlfn.ANCHORARRAY(DATA_CLEANED!$AF$3),CALCULES!P$2,_xlfn.ANCHORARRAY(DATA_CLEANED!$AK$3),CALCULES!$A80)+COUNTIFS(_xlfn.ANCHORARRAY(DATA_CLEANED!$AF$3),CALCULES!P$2,_xlfn.ANCHORARRAY(DATA_CLEANED!$AN$3),CALCULES!$A80)&gt;0,1,0)</f>
        <v>1</v>
      </c>
      <c r="Q80" s="112">
        <f>IF(COUNTIFS(_xlfn.ANCHORARRAY(DATA_CLEANED!$AF$3),CALCULES!Q$2,_xlfn.ANCHORARRAY(DATA_CLEANED!$AK$3),CALCULES!$A80)+COUNTIFS(_xlfn.ANCHORARRAY(DATA_CLEANED!$AF$3),CALCULES!Q$2,_xlfn.ANCHORARRAY(DATA_CLEANED!$AN$3),CALCULES!$A80)&gt;0,1,0)</f>
        <v>0</v>
      </c>
      <c r="R80" s="112">
        <f>IF(COUNTIFS(_xlfn.ANCHORARRAY(DATA_CLEANED!$AF$3),CALCULES!R$2,_xlfn.ANCHORARRAY(DATA_CLEANED!$AK$3),CALCULES!$A80)+COUNTIFS(_xlfn.ANCHORARRAY(DATA_CLEANED!$AF$3),CALCULES!R$2,_xlfn.ANCHORARRAY(DATA_CLEANED!$AN$3),CALCULES!$A80)&gt;0,1,0)</f>
        <v>0</v>
      </c>
      <c r="S80" s="112">
        <f>IF(COUNTIFS(_xlfn.ANCHORARRAY(DATA_CLEANED!$AF$3),CALCULES!S$2,_xlfn.ANCHORARRAY(DATA_CLEANED!$AK$3),CALCULES!$A80)+COUNTIFS(_xlfn.ANCHORARRAY(DATA_CLEANED!$AF$3),CALCULES!S$2,_xlfn.ANCHORARRAY(DATA_CLEANED!$AN$3),CALCULES!$A80)&gt;0,1,0)</f>
        <v>1</v>
      </c>
      <c r="T80" s="112">
        <f>IF(COUNTIFS(_xlfn.ANCHORARRAY(DATA_CLEANED!$AF$3),CALCULES!T$2,_xlfn.ANCHORARRAY(DATA_CLEANED!$AK$3),CALCULES!$A80)+COUNTIFS(_xlfn.ANCHORARRAY(DATA_CLEANED!$AF$3),CALCULES!T$2,_xlfn.ANCHORARRAY(DATA_CLEANED!$AN$3),CALCULES!$A80)&gt;0,1,0)</f>
        <v>1</v>
      </c>
      <c r="U80" s="112">
        <f>IF(COUNTIFS(_xlfn.ANCHORARRAY(DATA_CLEANED!$AF$3),CALCULES!U$2,_xlfn.ANCHORARRAY(DATA_CLEANED!$AK$3),CALCULES!$A80)+COUNTIFS(_xlfn.ANCHORARRAY(DATA_CLEANED!$AF$3),CALCULES!U$2,_xlfn.ANCHORARRAY(DATA_CLEANED!$AN$3),CALCULES!$A80)&gt;0,1,0)</f>
        <v>1</v>
      </c>
      <c r="V80" s="112">
        <f>IF(COUNTIFS(_xlfn.ANCHORARRAY(DATA_CLEANED!$AF$3),CALCULES!V$2,_xlfn.ANCHORARRAY(DATA_CLEANED!$AK$3),CALCULES!$A80)+COUNTIFS(_xlfn.ANCHORARRAY(DATA_CLEANED!$AF$3),CALCULES!V$2,_xlfn.ANCHORARRAY(DATA_CLEANED!$AN$3),CALCULES!$A80)&gt;0,1,0)</f>
        <v>1</v>
      </c>
      <c r="W80" s="112">
        <f>IF(COUNTIFS(_xlfn.ANCHORARRAY(DATA_CLEANED!$AF$3),CALCULES!W$2,_xlfn.ANCHORARRAY(DATA_CLEANED!$AK$3),CALCULES!$A80)+COUNTIFS(_xlfn.ANCHORARRAY(DATA_CLEANED!$AF$3),CALCULES!W$2,_xlfn.ANCHORARRAY(DATA_CLEANED!$AN$3),CALCULES!$A80)&gt;0,1,0)</f>
        <v>1</v>
      </c>
      <c r="X80" s="112">
        <f>IF(COUNTIFS(_xlfn.ANCHORARRAY(DATA_CLEANED!$AF$3),CALCULES!X$2,_xlfn.ANCHORARRAY(DATA_CLEANED!$AK$3),CALCULES!$A80)+COUNTIFS(_xlfn.ANCHORARRAY(DATA_CLEANED!$AF$3),CALCULES!X$2,_xlfn.ANCHORARRAY(DATA_CLEANED!$AN$3),CALCULES!$A80)&gt;0,1,0)</f>
        <v>1</v>
      </c>
      <c r="Y80" s="113">
        <f t="shared" si="23"/>
        <v>13</v>
      </c>
      <c r="AA80" s="112">
        <f>COUNTIF(_xlfn.ANCHORARRAY(DATA_CLEANED!$AK$3),$A80)+COUNTIF(DATA_CLEANED!$AN$2:$AN$1060,$A80)</f>
        <v>47</v>
      </c>
      <c r="AB80" s="112">
        <f>COUNTIF(DATA_QUALITE!BG$12:BG$1069,A80)</f>
        <v>18</v>
      </c>
      <c r="AC80" s="112">
        <f t="shared" si="30"/>
        <v>27</v>
      </c>
      <c r="AD80" s="112" cm="1">
        <f t="array" ref="AD80">SUMPRODUCT((DATA_CLEANED!AL$3:AL$1060=DATA_CLEANED!AM$3:AM$1060)*(_xlfn.ANCHORARRAY(DATA_CLEANED!AK$3)=CALCULES!A80)*(DATA_CLEANED!AO$3:AO$1060&lt;&gt;"-"))
+
SUMPRODUCT((DATA_CLEANED!AL$3:AL$1060=DATA_CLEANED!AM$3:AM$1060)*(_xlfn.ANCHORARRAY(DATA_CLEANED!AN$3)=CALCULES!A80)*(DATA_CLEANED!AO$3:AO$1060&lt;&gt;"-"))</f>
        <v>2</v>
      </c>
      <c r="AE80" s="116">
        <f t="shared" si="24"/>
        <v>0.38297872340425532</v>
      </c>
      <c r="AF80" s="116">
        <f t="shared" si="25"/>
        <v>0.57446808510638303</v>
      </c>
      <c r="AG80" s="112">
        <f>SUMIF(_xlfn.ANCHORARRAY(DATA_CLEANED!AK$3),A80,DATA_CLEANED!AL$2:AL$1060)+SUMIF(_xlfn.ANCHORARRAY(DATA_CLEANED!AN$3),A80,DATA_CLEANED!AM$2:AM$1060)</f>
        <v>65</v>
      </c>
      <c r="AH80" s="112">
        <f>SUMIF(_xlfn.ANCHORARRAY(DATA_CLEANED!AK$3),A80,DATA_CLEANED!AM$2:AM$1060)+SUMIF(_xlfn.ANCHORARRAY(DATA_CLEANED!AN$3),A80,DATA_CLEANED!AL$2:AL$1060)</f>
        <v>80</v>
      </c>
      <c r="AI80" s="112">
        <f t="shared" si="31"/>
        <v>1.7</v>
      </c>
      <c r="AJ80" s="117" cm="1">
        <f t="array" ref="AJ80">_xlfn.LET(_xlpm.home,IFERROR(_xlfn._xlws.FILTER(DATA_CLEANED!AH$3:AH$1060,DATA_CLEANED!AK$3:AK$1060=CALCULES!A80),""),
_xlpm.away,IFERROR(_xlfn._xlws.FILTER(DATA_CLEANED!AH$3:AH$1060,DATA_CLEANED!AN$3:AN$1060=CALCULES!A80),""),
_xlpm.assemb_t,_xlfn._xlws.FILTER(_xlfn.VSTACK(_xlpm.home,_xlpm.away),_xlfn.VSTACK(_xlpm.home,_xlpm.away)&lt;&gt;""),
_xlpm.but_h,IFERROR(_xlfn._xlws.FILTER(_xlfn.ANCHORARRAY(DATA_CLEANED!AM$3),DATA_CLEANED!AK$3:AK$1060=CALCULES!A80),""),
_xlpm.but_a,IFERROR(_xlfn._xlws.FILTER(_xlfn.ANCHORARRAY(DATA_CLEANED!AL$3),DATA_CLEANED!AN$3:AN$1060=CALCULES!A80),""),
_xlpm.assemb_b,_xlfn._xlws.FILTER(_xlfn.VSTACK(_xlpm.but_h,_xlpm.but_a),_xlfn.VSTACK(_xlpm.but_h,_xlpm.but_a)&lt;&gt;""),
MEDIAN(_xlpm.assemb_t,_xlpm.assemb_b)
)</f>
        <v>1</v>
      </c>
      <c r="AK80" s="113">
        <f t="shared" si="26"/>
        <v>-15</v>
      </c>
      <c r="AL80" s="112" cm="1">
        <f t="array" ref="AL80">IFERROR(MEDIAN(_xlfn._xlws.FILTER(_xlfn.VSTACK(
DATA_CLEANED!AL$3:AL$1060-DATA_CLEANED!AM$3:AM$1060,
DATA_CLEANED!AM$3:AM$1060-DATA_CLEANED!AL$3:AL$1060
),_xlfn.VSTACK(DATA_CLEANED!AK$3:AK$1060,DATA_CLEANED!AN$3:AN$1060)=A80)),"-")</f>
        <v>0</v>
      </c>
      <c r="AM80" s="112">
        <f t="shared" si="32"/>
        <v>1.38</v>
      </c>
      <c r="AN80" s="112" cm="1">
        <f t="array" ref="AN80">_xlfn.LET(_xlpm.home,IFERROR(_xlfn._xlws.FILTER(DATA_CLEANED!AH$3:AH$1060,DATA_CLEANED!AK$3:AK$1060=CALCULES!A80),""),
_xlpm.away,IFERROR(_xlfn._xlws.FILTER(DATA_CLEANED!AH$3:AH$1060,DATA_CLEANED!AN$3:AN$1060=CALCULES!A80),""),
_xlpm.assemb_t,_xlfn._xlws.FILTER(_xlfn.VSTACK(_xlpm.home,_xlpm.away),_xlfn.VSTACK(_xlpm.home,_xlpm.away)&lt;&gt;""),
_xlpm.but_h,IFERROR(_xlfn._xlws.FILTER(_xlfn.ANCHORARRAY(DATA_CLEANED!AL$3),DATA_CLEANED!AK$3:AK$1060=CALCULES!A80),""),
_xlpm.but_a,IFERROR(_xlfn._xlws.FILTER(_xlfn.ANCHORARRAY(DATA_CLEANED!AM$3),DATA_CLEANED!AN$3:AN$1060=CALCULES!A80),""),
_xlpm.assemb_b,_xlfn._xlws.FILTER(_xlfn.VSTACK(_xlpm.but_h,_xlpm.but_a),_xlfn.VSTACK(_xlpm.but_h,_xlpm.but_a)&lt;&gt;""),
MEDIAN(_xlpm.assemb_t,_xlpm.assemb_b)
)</f>
        <v>1</v>
      </c>
      <c r="AO80" s="116">
        <f>ROUND(IFERROR((COUNTIFS(DATA_CLEANED!AK$3:AK$1060,A80,DATA_CLEANED!AM$3:AM$1060,0)
+
COUNTIFS(DATA_CLEANED!AN$3:AN$1060,A80,DATA_CLEANED!AL$3:AL$1060,0)
)/AA80,0),2)</f>
        <v>0.21</v>
      </c>
      <c r="AP80" s="112">
        <f>MAX((_xlfn.MAXIFS(_xlfn.ANCHORARRAY(DATA_CLEANED!AL$3),_xlfn.ANCHORARRAY(DATA_CLEANED!AK$3),A80)),(_xlfn.MAXIFS(DATA_CLEANED!AM$3:AM$1060,_xlfn.ANCHORARRAY(DATA_CLEANED!AN$3),A80)))</f>
        <v>5</v>
      </c>
      <c r="AQ80" s="112">
        <f>COUNTIF(_xlfn.ANCHORARRAY(DATA_CLEANED!K$3),A80)</f>
        <v>8</v>
      </c>
      <c r="AR80" s="113" t="str" cm="1">
        <f t="array" ref="AR80">_xlfn.LET(
_xlpm.home,IFERROR(_xlfn._xlws.FILTER(DATA_CLEANED!AH$3:AH$1060,DATA_CLEANED!AK$3:AK$1060=CALCULES!A80),""),
_xlpm.away,IFERROR(_xlfn._xlws.FILTER(DATA_CLEANED!AH$3:AH$1060,DATA_CLEANED!AN$3:AN$1060=CALCULES!A80),""),
_xlpm.etapes,_xlfn._xlws.FILTER(_xlfn.VSTACK(_xlpm.home,_xlpm.away),_xlfn.VSTACK(_xlpm.home,_xlpm.away)&lt;&gt;""),
_xlpm.numeros,_xlfn.XLOOKUP(_xlpm.etapes,DATA_QUALITE!AT$12:AT$38,DATA_QUALITE!AU$12:AU$38),
_xlfn.XLOOKUP(MIN(_xlpm.numeros),DATA_QUALITE!AU$12:AU$38,DATA_QUALITE!AT$12:AT$38)
)</f>
        <v>QUARTER_FINALS</v>
      </c>
      <c r="AS80" s="112">
        <f t="shared" si="27"/>
        <v>13</v>
      </c>
      <c r="AT80" s="112">
        <f t="shared" si="28"/>
        <v>18</v>
      </c>
      <c r="AU80" s="112">
        <f>COUNTIFS(DATA_QUALITE!BG$12:BG$1069,"MATCH NUL",_xlfn.ANCHORARRAY(DATA_CLEANED!AK$3),CALCULES!A80)+COUNTIFS(DATA_QUALITE!BG$12:BG$1069,"MATCH NUL",_xlfn.ANCHORARRAY(DATA_CLEANED!AN$3),CALCULES!A80)</f>
        <v>8</v>
      </c>
      <c r="AV80" s="112">
        <v>65</v>
      </c>
      <c r="AW80" s="112">
        <f>COUNTIFS(_xlfn.ANCHORARRAY(DATA_CLEANED!AH$3),"QUARTER_FINALS",_xlfn.ANCHORARRAY(DATA_CLEANED!AK$3),CALCULES!A80)+COUNTIFS(_xlfn.ANCHORARRAY(DATA_CLEANED!AH$3),"QUARTER_FINALS",_xlfn.ANCHORARRAY(DATA_CLEANED!AN$3),CALCULES!A80)</f>
        <v>4</v>
      </c>
      <c r="AX80" s="112">
        <f>COUNTIFS(_xlfn.ANCHORARRAY(DATA_CLEANED!AH$3),"SEMI_FINALS",_xlfn.ANCHORARRAY(DATA_CLEANED!AK$3),CALCULES!A80)+COUNTIFS(_xlfn.ANCHORARRAY(DATA_CLEANED!AH$3),"SEMI_FINALS",_xlfn.ANCHORARRAY(DATA_CLEANED!AN$3),CALCULES!A80)</f>
        <v>0</v>
      </c>
      <c r="AY80" s="112">
        <f>COUNTIFS(_xlfn.ANCHORARRAY(DATA_CLEANED!AH$3),"FINAL",_xlfn.ANCHORARRAY(DATA_CLEANED!AK$3),CALCULES!A80)+COUNTIFS(_xlfn.ANCHORARRAY(DATA_CLEANED!AH$3),"FINAL",_xlfn.ANCHORARRAY(DATA_CLEANED!AN$3),CALCULES!A80)</f>
        <v>0</v>
      </c>
      <c r="AZ80" s="112">
        <f>COUNTIFS(DATA_QUALITE!BG$12:BG$1069,CALCULES!A80,DATA_QUALITE!AW$12:AW$1069,"FINAL")</f>
        <v>0</v>
      </c>
      <c r="BA80" s="113">
        <f t="shared" si="29"/>
        <v>39.549999999999997</v>
      </c>
      <c r="BB80" s="118">
        <f t="shared" si="33"/>
        <v>21.21</v>
      </c>
      <c r="BC80" s="118">
        <f t="shared" si="34"/>
        <v>18.829999999999998</v>
      </c>
      <c r="BD80" s="139">
        <f t="shared" si="35"/>
        <v>20.02</v>
      </c>
      <c r="BF80" s="167"/>
      <c r="BG80" s="167"/>
      <c r="BH80" s="167"/>
      <c r="BI80" s="167"/>
      <c r="BJ80" s="167"/>
      <c r="BK80" s="167"/>
      <c r="BL80" s="173">
        <f>INT((ROWS($BL$15:BL80)-1)/9)</f>
        <v>7</v>
      </c>
      <c r="BM80" s="173">
        <f>MOD(ROWS($BM$15:BM80)-1,9)</f>
        <v>2</v>
      </c>
      <c r="BN80" s="173">
        <f t="shared" si="36"/>
        <v>2.2109543057817428E-4</v>
      </c>
      <c r="BO80" s="167"/>
      <c r="BP80" s="167"/>
    </row>
    <row r="81" spans="1:68">
      <c r="A81" s="113" t="str">
        <v>Togo</v>
      </c>
      <c r="B81" s="112">
        <f>IF(COUNTIFS(_xlfn.ANCHORARRAY(DATA_CLEANED!$AF$3),CALCULES!B$2,_xlfn.ANCHORARRAY(DATA_CLEANED!$AK$3),CALCULES!$A81)+COUNTIFS(_xlfn.ANCHORARRAY(DATA_CLEANED!$AF$3),CALCULES!B$2,_xlfn.ANCHORARRAY(DATA_CLEANED!$AN$3),CALCULES!$A81)&gt;0,1,0)</f>
        <v>0</v>
      </c>
      <c r="C81" s="112">
        <f>IF(COUNTIFS(_xlfn.ANCHORARRAY(DATA_CLEANED!$AF$3),CALCULES!C$2,_xlfn.ANCHORARRAY(DATA_CLEANED!$AK$3),CALCULES!$A81)+COUNTIFS(_xlfn.ANCHORARRAY(DATA_CLEANED!$AF$3),CALCULES!C$2,_xlfn.ANCHORARRAY(DATA_CLEANED!$AN$3),CALCULES!$A81)&gt;0,1,0)</f>
        <v>0</v>
      </c>
      <c r="D81" s="112">
        <f>IF(COUNTIFS(_xlfn.ANCHORARRAY(DATA_CLEANED!$AF$3),CALCULES!D$2,_xlfn.ANCHORARRAY(DATA_CLEANED!$AK$3),CALCULES!$A81)+COUNTIFS(_xlfn.ANCHORARRAY(DATA_CLEANED!$AF$3),CALCULES!D$2,_xlfn.ANCHORARRAY(DATA_CLEANED!$AN$3),CALCULES!$A81)&gt;0,1,0)</f>
        <v>0</v>
      </c>
      <c r="E81" s="112">
        <f>IF(COUNTIFS(_xlfn.ANCHORARRAY(DATA_CLEANED!$AF$3),CALCULES!E$2,_xlfn.ANCHORARRAY(DATA_CLEANED!$AK$3),CALCULES!$A81)+COUNTIFS(_xlfn.ANCHORARRAY(DATA_CLEANED!$AF$3),CALCULES!E$2,_xlfn.ANCHORARRAY(DATA_CLEANED!$AN$3),CALCULES!$A81)&gt;0,1,0)</f>
        <v>0</v>
      </c>
      <c r="F81" s="112">
        <f>IF(COUNTIFS(_xlfn.ANCHORARRAY(DATA_CLEANED!$AF$3),CALCULES!F$2,_xlfn.ANCHORARRAY(DATA_CLEANED!$AK$3),CALCULES!$A81)+COUNTIFS(_xlfn.ANCHORARRAY(DATA_CLEANED!$AF$3),CALCULES!F$2,_xlfn.ANCHORARRAY(DATA_CLEANED!$AN$3),CALCULES!$A81)&gt;0,1,0)</f>
        <v>0</v>
      </c>
      <c r="G81" s="112">
        <f>IF(COUNTIFS(_xlfn.ANCHORARRAY(DATA_CLEANED!$AF$3),CALCULES!G$2,_xlfn.ANCHORARRAY(DATA_CLEANED!$AK$3),CALCULES!$A81)+COUNTIFS(_xlfn.ANCHORARRAY(DATA_CLEANED!$AF$3),CALCULES!G$2,_xlfn.ANCHORARRAY(DATA_CLEANED!$AN$3),CALCULES!$A81)&gt;0,1,0)</f>
        <v>0</v>
      </c>
      <c r="H81" s="112">
        <f>IF(COUNTIFS(_xlfn.ANCHORARRAY(DATA_CLEANED!$AF$3),CALCULES!H$2,_xlfn.ANCHORARRAY(DATA_CLEANED!$AK$3),CALCULES!$A81)+COUNTIFS(_xlfn.ANCHORARRAY(DATA_CLEANED!$AF$3),CALCULES!H$2,_xlfn.ANCHORARRAY(DATA_CLEANED!$AN$3),CALCULES!$A81)&gt;0,1,0)</f>
        <v>0</v>
      </c>
      <c r="I81" s="112">
        <f>IF(COUNTIFS(_xlfn.ANCHORARRAY(DATA_CLEANED!$AF$3),CALCULES!I$2,_xlfn.ANCHORARRAY(DATA_CLEANED!$AK$3),CALCULES!$A81)+COUNTIFS(_xlfn.ANCHORARRAY(DATA_CLEANED!$AF$3),CALCULES!I$2,_xlfn.ANCHORARRAY(DATA_CLEANED!$AN$3),CALCULES!$A81)&gt;0,1,0)</f>
        <v>0</v>
      </c>
      <c r="J81" s="112">
        <f>IF(COUNTIFS(_xlfn.ANCHORARRAY(DATA_CLEANED!$AF$3),CALCULES!J$2,_xlfn.ANCHORARRAY(DATA_CLEANED!$AK$3),CALCULES!$A81)+COUNTIFS(_xlfn.ANCHORARRAY(DATA_CLEANED!$AF$3),CALCULES!J$2,_xlfn.ANCHORARRAY(DATA_CLEANED!$AN$3),CALCULES!$A81)&gt;0,1,0)</f>
        <v>0</v>
      </c>
      <c r="K81" s="112">
        <f>IF(COUNTIFS(_xlfn.ANCHORARRAY(DATA_CLEANED!$AF$3),CALCULES!K$2,_xlfn.ANCHORARRAY(DATA_CLEANED!$AK$3),CALCULES!$A81)+COUNTIFS(_xlfn.ANCHORARRAY(DATA_CLEANED!$AF$3),CALCULES!K$2,_xlfn.ANCHORARRAY(DATA_CLEANED!$AN$3),CALCULES!$A81)&gt;0,1,0)</f>
        <v>0</v>
      </c>
      <c r="L81" s="112">
        <f>IF(COUNTIFS(_xlfn.ANCHORARRAY(DATA_CLEANED!$AF$3),CALCULES!L$2,_xlfn.ANCHORARRAY(DATA_CLEANED!$AK$3),CALCULES!$A81)+COUNTIFS(_xlfn.ANCHORARRAY(DATA_CLEANED!$AF$3),CALCULES!L$2,_xlfn.ANCHORARRAY(DATA_CLEANED!$AN$3),CALCULES!$A81)&gt;0,1,0)</f>
        <v>0</v>
      </c>
      <c r="M81" s="112">
        <f>IF(COUNTIFS(_xlfn.ANCHORARRAY(DATA_CLEANED!$AF$3),CALCULES!M$2,_xlfn.ANCHORARRAY(DATA_CLEANED!$AK$3),CALCULES!$A81)+COUNTIFS(_xlfn.ANCHORARRAY(DATA_CLEANED!$AF$3),CALCULES!M$2,_xlfn.ANCHORARRAY(DATA_CLEANED!$AN$3),CALCULES!$A81)&gt;0,1,0)</f>
        <v>0</v>
      </c>
      <c r="N81" s="112">
        <f>IF(COUNTIFS(_xlfn.ANCHORARRAY(DATA_CLEANED!$AF$3),CALCULES!N$2,_xlfn.ANCHORARRAY(DATA_CLEANED!$AK$3),CALCULES!$A81)+COUNTIFS(_xlfn.ANCHORARRAY(DATA_CLEANED!$AF$3),CALCULES!N$2,_xlfn.ANCHORARRAY(DATA_CLEANED!$AN$3),CALCULES!$A81)&gt;0,1,0)</f>
        <v>0</v>
      </c>
      <c r="O81" s="112">
        <f>IF(COUNTIFS(_xlfn.ANCHORARRAY(DATA_CLEANED!$AF$3),CALCULES!O$2,_xlfn.ANCHORARRAY(DATA_CLEANED!$AK$3),CALCULES!$A81)+COUNTIFS(_xlfn.ANCHORARRAY(DATA_CLEANED!$AF$3),CALCULES!O$2,_xlfn.ANCHORARRAY(DATA_CLEANED!$AN$3),CALCULES!$A81)&gt;0,1,0)</f>
        <v>0</v>
      </c>
      <c r="P81" s="112">
        <f>IF(COUNTIFS(_xlfn.ANCHORARRAY(DATA_CLEANED!$AF$3),CALCULES!P$2,_xlfn.ANCHORARRAY(DATA_CLEANED!$AK$3),CALCULES!$A81)+COUNTIFS(_xlfn.ANCHORARRAY(DATA_CLEANED!$AF$3),CALCULES!P$2,_xlfn.ANCHORARRAY(DATA_CLEANED!$AN$3),CALCULES!$A81)&gt;0,1,0)</f>
        <v>0</v>
      </c>
      <c r="Q81" s="112">
        <f>IF(COUNTIFS(_xlfn.ANCHORARRAY(DATA_CLEANED!$AF$3),CALCULES!Q$2,_xlfn.ANCHORARRAY(DATA_CLEANED!$AK$3),CALCULES!$A81)+COUNTIFS(_xlfn.ANCHORARRAY(DATA_CLEANED!$AF$3),CALCULES!Q$2,_xlfn.ANCHORARRAY(DATA_CLEANED!$AN$3),CALCULES!$A81)&gt;0,1,0)</f>
        <v>0</v>
      </c>
      <c r="R81" s="112">
        <f>IF(COUNTIFS(_xlfn.ANCHORARRAY(DATA_CLEANED!$AF$3),CALCULES!R$2,_xlfn.ANCHORARRAY(DATA_CLEANED!$AK$3),CALCULES!$A81)+COUNTIFS(_xlfn.ANCHORARRAY(DATA_CLEANED!$AF$3),CALCULES!R$2,_xlfn.ANCHORARRAY(DATA_CLEANED!$AN$3),CALCULES!$A81)&gt;0,1,0)</f>
        <v>0</v>
      </c>
      <c r="S81" s="112">
        <f>IF(COUNTIFS(_xlfn.ANCHORARRAY(DATA_CLEANED!$AF$3),CALCULES!S$2,_xlfn.ANCHORARRAY(DATA_CLEANED!$AK$3),CALCULES!$A81)+COUNTIFS(_xlfn.ANCHORARRAY(DATA_CLEANED!$AF$3),CALCULES!S$2,_xlfn.ANCHORARRAY(DATA_CLEANED!$AN$3),CALCULES!$A81)&gt;0,1,0)</f>
        <v>1</v>
      </c>
      <c r="T81" s="112">
        <f>IF(COUNTIFS(_xlfn.ANCHORARRAY(DATA_CLEANED!$AF$3),CALCULES!T$2,_xlfn.ANCHORARRAY(DATA_CLEANED!$AK$3),CALCULES!$A81)+COUNTIFS(_xlfn.ANCHORARRAY(DATA_CLEANED!$AF$3),CALCULES!T$2,_xlfn.ANCHORARRAY(DATA_CLEANED!$AN$3),CALCULES!$A81)&gt;0,1,0)</f>
        <v>0</v>
      </c>
      <c r="U81" s="112">
        <f>IF(COUNTIFS(_xlfn.ANCHORARRAY(DATA_CLEANED!$AF$3),CALCULES!U$2,_xlfn.ANCHORARRAY(DATA_CLEANED!$AK$3),CALCULES!$A81)+COUNTIFS(_xlfn.ANCHORARRAY(DATA_CLEANED!$AF$3),CALCULES!U$2,_xlfn.ANCHORARRAY(DATA_CLEANED!$AN$3),CALCULES!$A81)&gt;0,1,0)</f>
        <v>0</v>
      </c>
      <c r="V81" s="112">
        <f>IF(COUNTIFS(_xlfn.ANCHORARRAY(DATA_CLEANED!$AF$3),CALCULES!V$2,_xlfn.ANCHORARRAY(DATA_CLEANED!$AK$3),CALCULES!$A81)+COUNTIFS(_xlfn.ANCHORARRAY(DATA_CLEANED!$AF$3),CALCULES!V$2,_xlfn.ANCHORARRAY(DATA_CLEANED!$AN$3),CALCULES!$A81)&gt;0,1,0)</f>
        <v>0</v>
      </c>
      <c r="W81" s="112">
        <f>IF(COUNTIFS(_xlfn.ANCHORARRAY(DATA_CLEANED!$AF$3),CALCULES!W$2,_xlfn.ANCHORARRAY(DATA_CLEANED!$AK$3),CALCULES!$A81)+COUNTIFS(_xlfn.ANCHORARRAY(DATA_CLEANED!$AF$3),CALCULES!W$2,_xlfn.ANCHORARRAY(DATA_CLEANED!$AN$3),CALCULES!$A81)&gt;0,1,0)</f>
        <v>0</v>
      </c>
      <c r="X81" s="112">
        <f>IF(COUNTIFS(_xlfn.ANCHORARRAY(DATA_CLEANED!$AF$3),CALCULES!X$2,_xlfn.ANCHORARRAY(DATA_CLEANED!$AK$3),CALCULES!$A81)+COUNTIFS(_xlfn.ANCHORARRAY(DATA_CLEANED!$AF$3),CALCULES!X$2,_xlfn.ANCHORARRAY(DATA_CLEANED!$AN$3),CALCULES!$A81)&gt;0,1,0)</f>
        <v>0</v>
      </c>
      <c r="Y81" s="113">
        <f t="shared" si="23"/>
        <v>1</v>
      </c>
      <c r="AA81" s="112">
        <f>COUNTIF(_xlfn.ANCHORARRAY(DATA_CLEANED!$AK$3),$A81)+COUNTIF(DATA_CLEANED!$AN$2:$AN$1060,$A81)</f>
        <v>3</v>
      </c>
      <c r="AB81" s="112">
        <f>COUNTIF(DATA_QUALITE!BG$12:BG$1069,A81)</f>
        <v>0</v>
      </c>
      <c r="AC81" s="112">
        <f t="shared" si="30"/>
        <v>3</v>
      </c>
      <c r="AD81" s="112" cm="1">
        <f t="array" ref="AD81">SUMPRODUCT((DATA_CLEANED!AL$3:AL$1060=DATA_CLEANED!AM$3:AM$1060)*(_xlfn.ANCHORARRAY(DATA_CLEANED!AK$3)=CALCULES!A81)*(DATA_CLEANED!AO$3:AO$1060&lt;&gt;"-"))
+
SUMPRODUCT((DATA_CLEANED!AL$3:AL$1060=DATA_CLEANED!AM$3:AM$1060)*(_xlfn.ANCHORARRAY(DATA_CLEANED!AN$3)=CALCULES!A81)*(DATA_CLEANED!AO$3:AO$1060&lt;&gt;"-"))</f>
        <v>0</v>
      </c>
      <c r="AE81" s="116">
        <f t="shared" si="24"/>
        <v>0</v>
      </c>
      <c r="AF81" s="116">
        <f t="shared" si="25"/>
        <v>1</v>
      </c>
      <c r="AG81" s="112">
        <f>SUMIF(_xlfn.ANCHORARRAY(DATA_CLEANED!AK$3),A81,DATA_CLEANED!AL$2:AL$1060)+SUMIF(_xlfn.ANCHORARRAY(DATA_CLEANED!AN$3),A81,DATA_CLEANED!AM$2:AM$1060)</f>
        <v>1</v>
      </c>
      <c r="AH81" s="112">
        <f>SUMIF(_xlfn.ANCHORARRAY(DATA_CLEANED!AK$3),A81,DATA_CLEANED!AM$2:AM$1060)+SUMIF(_xlfn.ANCHORARRAY(DATA_CLEANED!AN$3),A81,DATA_CLEANED!AL$2:AL$1060)</f>
        <v>4</v>
      </c>
      <c r="AI81" s="112">
        <f t="shared" si="31"/>
        <v>1.33</v>
      </c>
      <c r="AJ81" s="117" cm="1">
        <f t="array" ref="AJ81">_xlfn.LET(_xlpm.home,IFERROR(_xlfn._xlws.FILTER(DATA_CLEANED!AH$3:AH$1060,DATA_CLEANED!AK$3:AK$1060=CALCULES!A81),""),
_xlpm.away,IFERROR(_xlfn._xlws.FILTER(DATA_CLEANED!AH$3:AH$1060,DATA_CLEANED!AN$3:AN$1060=CALCULES!A81),""),
_xlpm.assemb_t,_xlfn._xlws.FILTER(_xlfn.VSTACK(_xlpm.home,_xlpm.away),_xlfn.VSTACK(_xlpm.home,_xlpm.away)&lt;&gt;""),
_xlpm.but_h,IFERROR(_xlfn._xlws.FILTER(_xlfn.ANCHORARRAY(DATA_CLEANED!AM$3),DATA_CLEANED!AK$3:AK$1060=CALCULES!A81),""),
_xlpm.but_a,IFERROR(_xlfn._xlws.FILTER(_xlfn.ANCHORARRAY(DATA_CLEANED!AL$3),DATA_CLEANED!AN$3:AN$1060=CALCULES!A81),""),
_xlpm.assemb_b,_xlfn._xlws.FILTER(_xlfn.VSTACK(_xlpm.but_h,_xlpm.but_a),_xlfn.VSTACK(_xlpm.but_h,_xlpm.but_a)&lt;&gt;""),
MEDIAN(_xlpm.assemb_t,_xlpm.assemb_b)
)</f>
        <v>2</v>
      </c>
      <c r="AK81" s="113">
        <f t="shared" si="26"/>
        <v>-3</v>
      </c>
      <c r="AL81" s="112" cm="1">
        <f t="array" ref="AL81">IFERROR(MEDIAN(_xlfn._xlws.FILTER(_xlfn.VSTACK(
DATA_CLEANED!AL$3:AL$1060-DATA_CLEANED!AM$3:AM$1060,
DATA_CLEANED!AM$3:AM$1060-DATA_CLEANED!AL$3:AL$1060
),_xlfn.VSTACK(DATA_CLEANED!AK$3:AK$1060,DATA_CLEANED!AN$3:AN$1060)=A81)),"-")</f>
        <v>-2</v>
      </c>
      <c r="AM81" s="112">
        <f t="shared" si="32"/>
        <v>0.33</v>
      </c>
      <c r="AN81" s="112" cm="1">
        <f t="array" ref="AN81">_xlfn.LET(_xlpm.home,IFERROR(_xlfn._xlws.FILTER(DATA_CLEANED!AH$3:AH$1060,DATA_CLEANED!AK$3:AK$1060=CALCULES!A81),""),
_xlpm.away,IFERROR(_xlfn._xlws.FILTER(DATA_CLEANED!AH$3:AH$1060,DATA_CLEANED!AN$3:AN$1060=CALCULES!A81),""),
_xlpm.assemb_t,_xlfn._xlws.FILTER(_xlfn.VSTACK(_xlpm.home,_xlpm.away),_xlfn.VSTACK(_xlpm.home,_xlpm.away)&lt;&gt;""),
_xlpm.but_h,IFERROR(_xlfn._xlws.FILTER(_xlfn.ANCHORARRAY(DATA_CLEANED!AL$3),DATA_CLEANED!AK$3:AK$1060=CALCULES!A81),""),
_xlpm.but_a,IFERROR(_xlfn._xlws.FILTER(_xlfn.ANCHORARRAY(DATA_CLEANED!AM$3),DATA_CLEANED!AN$3:AN$1060=CALCULES!A81),""),
_xlpm.assemb_b,_xlfn._xlws.FILTER(_xlfn.VSTACK(_xlpm.but_h,_xlpm.but_a),_xlfn.VSTACK(_xlpm.but_h,_xlpm.but_a)&lt;&gt;""),
MEDIAN(_xlpm.assemb_t,_xlpm.assemb_b)
)</f>
        <v>0</v>
      </c>
      <c r="AO81" s="116">
        <f>ROUND(IFERROR((COUNTIFS(DATA_CLEANED!AK$3:AK$1060,A81,DATA_CLEANED!AM$3:AM$1060,0)
+
COUNTIFS(DATA_CLEANED!AN$3:AN$1060,A81,DATA_CLEANED!AL$3:AL$1060,0)
)/AA81,0),2)</f>
        <v>0</v>
      </c>
      <c r="AP81" s="112">
        <f>MAX((_xlfn.MAXIFS(_xlfn.ANCHORARRAY(DATA_CLEANED!AL$3),_xlfn.ANCHORARRAY(DATA_CLEANED!AK$3),A81)),(_xlfn.MAXIFS(DATA_CLEANED!AM$3:AM$1060,_xlfn.ANCHORARRAY(DATA_CLEANED!AN$3),A81)))</f>
        <v>1</v>
      </c>
      <c r="AQ81" s="112">
        <f>COUNTIF(_xlfn.ANCHORARRAY(DATA_CLEANED!K$3),A81)</f>
        <v>0</v>
      </c>
      <c r="AR81" s="113" t="str" cm="1">
        <f t="array" ref="AR81">_xlfn.LET(
_xlpm.home,IFERROR(_xlfn._xlws.FILTER(DATA_CLEANED!AH$3:AH$1060,DATA_CLEANED!AK$3:AK$1060=CALCULES!A81),""),
_xlpm.away,IFERROR(_xlfn._xlws.FILTER(DATA_CLEANED!AH$3:AH$1060,DATA_CLEANED!AN$3:AN$1060=CALCULES!A81),""),
_xlpm.etapes,_xlfn._xlws.FILTER(_xlfn.VSTACK(_xlpm.home,_xlpm.away),_xlfn.VSTACK(_xlpm.home,_xlpm.away)&lt;&gt;""),
_xlpm.numeros,_xlfn.XLOOKUP(_xlpm.etapes,DATA_QUALITE!AT$12:AT$38,DATA_QUALITE!AU$12:AU$38),
_xlfn.XLOOKUP(MIN(_xlpm.numeros),DATA_QUALITE!AU$12:AU$38,DATA_QUALITE!AT$12:AT$38)
)</f>
        <v>GROUP_STAGE</v>
      </c>
      <c r="AS81" s="112">
        <f t="shared" si="27"/>
        <v>1</v>
      </c>
      <c r="AT81" s="112">
        <f t="shared" si="28"/>
        <v>0</v>
      </c>
      <c r="AU81" s="112">
        <f>COUNTIFS(DATA_QUALITE!BG$12:BG$1069,"MATCH NUL",_xlfn.ANCHORARRAY(DATA_CLEANED!AK$3),CALCULES!A81)+COUNTIFS(DATA_QUALITE!BG$12:BG$1069,"MATCH NUL",_xlfn.ANCHORARRAY(DATA_CLEANED!AN$3),CALCULES!A81)</f>
        <v>0</v>
      </c>
      <c r="AV81" s="112">
        <v>1</v>
      </c>
      <c r="AW81" s="112">
        <f>COUNTIFS(_xlfn.ANCHORARRAY(DATA_CLEANED!AH$3),"QUARTER_FINALS",_xlfn.ANCHORARRAY(DATA_CLEANED!AK$3),CALCULES!A81)+COUNTIFS(_xlfn.ANCHORARRAY(DATA_CLEANED!AH$3),"QUARTER_FINALS",_xlfn.ANCHORARRAY(DATA_CLEANED!AN$3),CALCULES!A81)</f>
        <v>0</v>
      </c>
      <c r="AX81" s="112">
        <f>COUNTIFS(_xlfn.ANCHORARRAY(DATA_CLEANED!AH$3),"SEMI_FINALS",_xlfn.ANCHORARRAY(DATA_CLEANED!AK$3),CALCULES!A81)+COUNTIFS(_xlfn.ANCHORARRAY(DATA_CLEANED!AH$3),"SEMI_FINALS",_xlfn.ANCHORARRAY(DATA_CLEANED!AN$3),CALCULES!A81)</f>
        <v>0</v>
      </c>
      <c r="AY81" s="112">
        <f>COUNTIFS(_xlfn.ANCHORARRAY(DATA_CLEANED!AH$3),"FINAL",_xlfn.ANCHORARRAY(DATA_CLEANED!AK$3),CALCULES!A81)+COUNTIFS(_xlfn.ANCHORARRAY(DATA_CLEANED!AH$3),"FINAL",_xlfn.ANCHORARRAY(DATA_CLEANED!AN$3),CALCULES!A81)</f>
        <v>0</v>
      </c>
      <c r="AZ81" s="112">
        <f>COUNTIFS(DATA_QUALITE!BG$12:BG$1069,CALCULES!A81,DATA_QUALITE!AW$12:AW$1069,"FINAL")</f>
        <v>0</v>
      </c>
      <c r="BA81" s="113">
        <f t="shared" si="29"/>
        <v>8.17</v>
      </c>
      <c r="BB81" s="118">
        <f t="shared" si="33"/>
        <v>0</v>
      </c>
      <c r="BC81" s="118">
        <f t="shared" si="34"/>
        <v>0</v>
      </c>
      <c r="BD81" s="139">
        <f t="shared" si="35"/>
        <v>0</v>
      </c>
      <c r="BF81" s="167"/>
      <c r="BG81" s="167"/>
      <c r="BH81" s="167"/>
      <c r="BI81" s="167"/>
      <c r="BJ81" s="167"/>
      <c r="BK81" s="167"/>
      <c r="BL81" s="173">
        <f>INT((ROWS($BL$15:BL81)-1)/9)</f>
        <v>7</v>
      </c>
      <c r="BM81" s="173">
        <f>MOD(ROWS($BM$15:BM81)-1,9)</f>
        <v>3</v>
      </c>
      <c r="BN81" s="173">
        <f t="shared" si="36"/>
        <v>8.2537525587967286E-5</v>
      </c>
      <c r="BO81" s="167"/>
      <c r="BP81" s="167"/>
    </row>
    <row r="82" spans="1:68">
      <c r="A82" s="113" t="str">
        <v>Trinidad and Tobago</v>
      </c>
      <c r="B82" s="112">
        <f>IF(COUNTIFS(_xlfn.ANCHORARRAY(DATA_CLEANED!$AF$3),CALCULES!B$2,_xlfn.ANCHORARRAY(DATA_CLEANED!$AK$3),CALCULES!$A82)+COUNTIFS(_xlfn.ANCHORARRAY(DATA_CLEANED!$AF$3),CALCULES!B$2,_xlfn.ANCHORARRAY(DATA_CLEANED!$AN$3),CALCULES!$A82)&gt;0,1,0)</f>
        <v>0</v>
      </c>
      <c r="C82" s="112">
        <f>IF(COUNTIFS(_xlfn.ANCHORARRAY(DATA_CLEANED!$AF$3),CALCULES!C$2,_xlfn.ANCHORARRAY(DATA_CLEANED!$AK$3),CALCULES!$A82)+COUNTIFS(_xlfn.ANCHORARRAY(DATA_CLEANED!$AF$3),CALCULES!C$2,_xlfn.ANCHORARRAY(DATA_CLEANED!$AN$3),CALCULES!$A82)&gt;0,1,0)</f>
        <v>0</v>
      </c>
      <c r="D82" s="112">
        <f>IF(COUNTIFS(_xlfn.ANCHORARRAY(DATA_CLEANED!$AF$3),CALCULES!D$2,_xlfn.ANCHORARRAY(DATA_CLEANED!$AK$3),CALCULES!$A82)+COUNTIFS(_xlfn.ANCHORARRAY(DATA_CLEANED!$AF$3),CALCULES!D$2,_xlfn.ANCHORARRAY(DATA_CLEANED!$AN$3),CALCULES!$A82)&gt;0,1,0)</f>
        <v>0</v>
      </c>
      <c r="E82" s="112">
        <f>IF(COUNTIFS(_xlfn.ANCHORARRAY(DATA_CLEANED!$AF$3),CALCULES!E$2,_xlfn.ANCHORARRAY(DATA_CLEANED!$AK$3),CALCULES!$A82)+COUNTIFS(_xlfn.ANCHORARRAY(DATA_CLEANED!$AF$3),CALCULES!E$2,_xlfn.ANCHORARRAY(DATA_CLEANED!$AN$3),CALCULES!$A82)&gt;0,1,0)</f>
        <v>0</v>
      </c>
      <c r="F82" s="112">
        <f>IF(COUNTIFS(_xlfn.ANCHORARRAY(DATA_CLEANED!$AF$3),CALCULES!F$2,_xlfn.ANCHORARRAY(DATA_CLEANED!$AK$3),CALCULES!$A82)+COUNTIFS(_xlfn.ANCHORARRAY(DATA_CLEANED!$AF$3),CALCULES!F$2,_xlfn.ANCHORARRAY(DATA_CLEANED!$AN$3),CALCULES!$A82)&gt;0,1,0)</f>
        <v>0</v>
      </c>
      <c r="G82" s="112">
        <f>IF(COUNTIFS(_xlfn.ANCHORARRAY(DATA_CLEANED!$AF$3),CALCULES!G$2,_xlfn.ANCHORARRAY(DATA_CLEANED!$AK$3),CALCULES!$A82)+COUNTIFS(_xlfn.ANCHORARRAY(DATA_CLEANED!$AF$3),CALCULES!G$2,_xlfn.ANCHORARRAY(DATA_CLEANED!$AN$3),CALCULES!$A82)&gt;0,1,0)</f>
        <v>0</v>
      </c>
      <c r="H82" s="112">
        <f>IF(COUNTIFS(_xlfn.ANCHORARRAY(DATA_CLEANED!$AF$3),CALCULES!H$2,_xlfn.ANCHORARRAY(DATA_CLEANED!$AK$3),CALCULES!$A82)+COUNTIFS(_xlfn.ANCHORARRAY(DATA_CLEANED!$AF$3),CALCULES!H$2,_xlfn.ANCHORARRAY(DATA_CLEANED!$AN$3),CALCULES!$A82)&gt;0,1,0)</f>
        <v>0</v>
      </c>
      <c r="I82" s="112">
        <f>IF(COUNTIFS(_xlfn.ANCHORARRAY(DATA_CLEANED!$AF$3),CALCULES!I$2,_xlfn.ANCHORARRAY(DATA_CLEANED!$AK$3),CALCULES!$A82)+COUNTIFS(_xlfn.ANCHORARRAY(DATA_CLEANED!$AF$3),CALCULES!I$2,_xlfn.ANCHORARRAY(DATA_CLEANED!$AN$3),CALCULES!$A82)&gt;0,1,0)</f>
        <v>0</v>
      </c>
      <c r="J82" s="112">
        <f>IF(COUNTIFS(_xlfn.ANCHORARRAY(DATA_CLEANED!$AF$3),CALCULES!J$2,_xlfn.ANCHORARRAY(DATA_CLEANED!$AK$3),CALCULES!$A82)+COUNTIFS(_xlfn.ANCHORARRAY(DATA_CLEANED!$AF$3),CALCULES!J$2,_xlfn.ANCHORARRAY(DATA_CLEANED!$AN$3),CALCULES!$A82)&gt;0,1,0)</f>
        <v>0</v>
      </c>
      <c r="K82" s="112">
        <f>IF(COUNTIFS(_xlfn.ANCHORARRAY(DATA_CLEANED!$AF$3),CALCULES!K$2,_xlfn.ANCHORARRAY(DATA_CLEANED!$AK$3),CALCULES!$A82)+COUNTIFS(_xlfn.ANCHORARRAY(DATA_CLEANED!$AF$3),CALCULES!K$2,_xlfn.ANCHORARRAY(DATA_CLEANED!$AN$3),CALCULES!$A82)&gt;0,1,0)</f>
        <v>0</v>
      </c>
      <c r="L82" s="112">
        <f>IF(COUNTIFS(_xlfn.ANCHORARRAY(DATA_CLEANED!$AF$3),CALCULES!L$2,_xlfn.ANCHORARRAY(DATA_CLEANED!$AK$3),CALCULES!$A82)+COUNTIFS(_xlfn.ANCHORARRAY(DATA_CLEANED!$AF$3),CALCULES!L$2,_xlfn.ANCHORARRAY(DATA_CLEANED!$AN$3),CALCULES!$A82)&gt;0,1,0)</f>
        <v>0</v>
      </c>
      <c r="M82" s="112">
        <f>IF(COUNTIFS(_xlfn.ANCHORARRAY(DATA_CLEANED!$AF$3),CALCULES!M$2,_xlfn.ANCHORARRAY(DATA_CLEANED!$AK$3),CALCULES!$A82)+COUNTIFS(_xlfn.ANCHORARRAY(DATA_CLEANED!$AF$3),CALCULES!M$2,_xlfn.ANCHORARRAY(DATA_CLEANED!$AN$3),CALCULES!$A82)&gt;0,1,0)</f>
        <v>0</v>
      </c>
      <c r="N82" s="112">
        <f>IF(COUNTIFS(_xlfn.ANCHORARRAY(DATA_CLEANED!$AF$3),CALCULES!N$2,_xlfn.ANCHORARRAY(DATA_CLEANED!$AK$3),CALCULES!$A82)+COUNTIFS(_xlfn.ANCHORARRAY(DATA_CLEANED!$AF$3),CALCULES!N$2,_xlfn.ANCHORARRAY(DATA_CLEANED!$AN$3),CALCULES!$A82)&gt;0,1,0)</f>
        <v>0</v>
      </c>
      <c r="O82" s="112">
        <f>IF(COUNTIFS(_xlfn.ANCHORARRAY(DATA_CLEANED!$AF$3),CALCULES!O$2,_xlfn.ANCHORARRAY(DATA_CLEANED!$AK$3),CALCULES!$A82)+COUNTIFS(_xlfn.ANCHORARRAY(DATA_CLEANED!$AF$3),CALCULES!O$2,_xlfn.ANCHORARRAY(DATA_CLEANED!$AN$3),CALCULES!$A82)&gt;0,1,0)</f>
        <v>0</v>
      </c>
      <c r="P82" s="112">
        <f>IF(COUNTIFS(_xlfn.ANCHORARRAY(DATA_CLEANED!$AF$3),CALCULES!P$2,_xlfn.ANCHORARRAY(DATA_CLEANED!$AK$3),CALCULES!$A82)+COUNTIFS(_xlfn.ANCHORARRAY(DATA_CLEANED!$AF$3),CALCULES!P$2,_xlfn.ANCHORARRAY(DATA_CLEANED!$AN$3),CALCULES!$A82)&gt;0,1,0)</f>
        <v>0</v>
      </c>
      <c r="Q82" s="112">
        <f>IF(COUNTIFS(_xlfn.ANCHORARRAY(DATA_CLEANED!$AF$3),CALCULES!Q$2,_xlfn.ANCHORARRAY(DATA_CLEANED!$AK$3),CALCULES!$A82)+COUNTIFS(_xlfn.ANCHORARRAY(DATA_CLEANED!$AF$3),CALCULES!Q$2,_xlfn.ANCHORARRAY(DATA_CLEANED!$AN$3),CALCULES!$A82)&gt;0,1,0)</f>
        <v>0</v>
      </c>
      <c r="R82" s="112">
        <f>IF(COUNTIFS(_xlfn.ANCHORARRAY(DATA_CLEANED!$AF$3),CALCULES!R$2,_xlfn.ANCHORARRAY(DATA_CLEANED!$AK$3),CALCULES!$A82)+COUNTIFS(_xlfn.ANCHORARRAY(DATA_CLEANED!$AF$3),CALCULES!R$2,_xlfn.ANCHORARRAY(DATA_CLEANED!$AN$3),CALCULES!$A82)&gt;0,1,0)</f>
        <v>0</v>
      </c>
      <c r="S82" s="112">
        <f>IF(COUNTIFS(_xlfn.ANCHORARRAY(DATA_CLEANED!$AF$3),CALCULES!S$2,_xlfn.ANCHORARRAY(DATA_CLEANED!$AK$3),CALCULES!$A82)+COUNTIFS(_xlfn.ANCHORARRAY(DATA_CLEANED!$AF$3),CALCULES!S$2,_xlfn.ANCHORARRAY(DATA_CLEANED!$AN$3),CALCULES!$A82)&gt;0,1,0)</f>
        <v>1</v>
      </c>
      <c r="T82" s="112">
        <f>IF(COUNTIFS(_xlfn.ANCHORARRAY(DATA_CLEANED!$AF$3),CALCULES!T$2,_xlfn.ANCHORARRAY(DATA_CLEANED!$AK$3),CALCULES!$A82)+COUNTIFS(_xlfn.ANCHORARRAY(DATA_CLEANED!$AF$3),CALCULES!T$2,_xlfn.ANCHORARRAY(DATA_CLEANED!$AN$3),CALCULES!$A82)&gt;0,1,0)</f>
        <v>0</v>
      </c>
      <c r="U82" s="112">
        <f>IF(COUNTIFS(_xlfn.ANCHORARRAY(DATA_CLEANED!$AF$3),CALCULES!U$2,_xlfn.ANCHORARRAY(DATA_CLEANED!$AK$3),CALCULES!$A82)+COUNTIFS(_xlfn.ANCHORARRAY(DATA_CLEANED!$AF$3),CALCULES!U$2,_xlfn.ANCHORARRAY(DATA_CLEANED!$AN$3),CALCULES!$A82)&gt;0,1,0)</f>
        <v>0</v>
      </c>
      <c r="V82" s="112">
        <f>IF(COUNTIFS(_xlfn.ANCHORARRAY(DATA_CLEANED!$AF$3),CALCULES!V$2,_xlfn.ANCHORARRAY(DATA_CLEANED!$AK$3),CALCULES!$A82)+COUNTIFS(_xlfn.ANCHORARRAY(DATA_CLEANED!$AF$3),CALCULES!V$2,_xlfn.ANCHORARRAY(DATA_CLEANED!$AN$3),CALCULES!$A82)&gt;0,1,0)</f>
        <v>0</v>
      </c>
      <c r="W82" s="112">
        <f>IF(COUNTIFS(_xlfn.ANCHORARRAY(DATA_CLEANED!$AF$3),CALCULES!W$2,_xlfn.ANCHORARRAY(DATA_CLEANED!$AK$3),CALCULES!$A82)+COUNTIFS(_xlfn.ANCHORARRAY(DATA_CLEANED!$AF$3),CALCULES!W$2,_xlfn.ANCHORARRAY(DATA_CLEANED!$AN$3),CALCULES!$A82)&gt;0,1,0)</f>
        <v>0</v>
      </c>
      <c r="X82" s="112">
        <f>IF(COUNTIFS(_xlfn.ANCHORARRAY(DATA_CLEANED!$AF$3),CALCULES!X$2,_xlfn.ANCHORARRAY(DATA_CLEANED!$AK$3),CALCULES!$A82)+COUNTIFS(_xlfn.ANCHORARRAY(DATA_CLEANED!$AF$3),CALCULES!X$2,_xlfn.ANCHORARRAY(DATA_CLEANED!$AN$3),CALCULES!$A82)&gt;0,1,0)</f>
        <v>0</v>
      </c>
      <c r="Y82" s="113">
        <f t="shared" si="23"/>
        <v>1</v>
      </c>
      <c r="AA82" s="112">
        <f>COUNTIF(_xlfn.ANCHORARRAY(DATA_CLEANED!$AK$3),$A82)+COUNTIF(DATA_CLEANED!$AN$2:$AN$1060,$A82)</f>
        <v>3</v>
      </c>
      <c r="AB82" s="112">
        <f>COUNTIF(DATA_QUALITE!BG$12:BG$1069,A82)</f>
        <v>0</v>
      </c>
      <c r="AC82" s="112">
        <f t="shared" si="30"/>
        <v>3</v>
      </c>
      <c r="AD82" s="112" cm="1">
        <f t="array" ref="AD82">SUMPRODUCT((DATA_CLEANED!AL$3:AL$1060=DATA_CLEANED!AM$3:AM$1060)*(_xlfn.ANCHORARRAY(DATA_CLEANED!AK$3)=CALCULES!A82)*(DATA_CLEANED!AO$3:AO$1060&lt;&gt;"-"))
+
SUMPRODUCT((DATA_CLEANED!AL$3:AL$1060=DATA_CLEANED!AM$3:AM$1060)*(_xlfn.ANCHORARRAY(DATA_CLEANED!AN$3)=CALCULES!A82)*(DATA_CLEANED!AO$3:AO$1060&lt;&gt;"-"))</f>
        <v>0</v>
      </c>
      <c r="AE82" s="116">
        <f t="shared" si="24"/>
        <v>0</v>
      </c>
      <c r="AF82" s="116">
        <f t="shared" si="25"/>
        <v>1</v>
      </c>
      <c r="AG82" s="112">
        <f>SUMIF(_xlfn.ANCHORARRAY(DATA_CLEANED!AK$3),A82,DATA_CLEANED!AL$2:AL$1060)+SUMIF(_xlfn.ANCHORARRAY(DATA_CLEANED!AN$3),A82,DATA_CLEANED!AM$2:AM$1060)</f>
        <v>3</v>
      </c>
      <c r="AH82" s="112">
        <f>SUMIF(_xlfn.ANCHORARRAY(DATA_CLEANED!AK$3),A82,DATA_CLEANED!AM$2:AM$1060)+SUMIF(_xlfn.ANCHORARRAY(DATA_CLEANED!AN$3),A82,DATA_CLEANED!AL$2:AL$1060)</f>
        <v>5</v>
      </c>
      <c r="AI82" s="112">
        <f t="shared" si="31"/>
        <v>1.67</v>
      </c>
      <c r="AJ82" s="117" cm="1">
        <f t="array" ref="AJ82">_xlfn.LET(_xlpm.home,IFERROR(_xlfn._xlws.FILTER(DATA_CLEANED!AH$3:AH$1060,DATA_CLEANED!AK$3:AK$1060=CALCULES!A82),""),
_xlpm.away,IFERROR(_xlfn._xlws.FILTER(DATA_CLEANED!AH$3:AH$1060,DATA_CLEANED!AN$3:AN$1060=CALCULES!A82),""),
_xlpm.assemb_t,_xlfn._xlws.FILTER(_xlfn.VSTACK(_xlpm.home,_xlpm.away),_xlfn.VSTACK(_xlpm.home,_xlpm.away)&lt;&gt;""),
_xlpm.but_h,IFERROR(_xlfn._xlws.FILTER(_xlfn.ANCHORARRAY(DATA_CLEANED!AM$3),DATA_CLEANED!AK$3:AK$1060=CALCULES!A82),""),
_xlpm.but_a,IFERROR(_xlfn._xlws.FILTER(_xlfn.ANCHORARRAY(DATA_CLEANED!AL$3),DATA_CLEANED!AN$3:AN$1060=CALCULES!A82),""),
_xlpm.assemb_b,_xlfn._xlws.FILTER(_xlfn.VSTACK(_xlpm.but_h,_xlpm.but_a),_xlfn.VSTACK(_xlpm.but_h,_xlpm.but_a)&lt;&gt;""),
MEDIAN(_xlpm.assemb_t,_xlpm.assemb_b)
)</f>
        <v>2</v>
      </c>
      <c r="AK82" s="113">
        <f t="shared" si="26"/>
        <v>-2</v>
      </c>
      <c r="AL82" s="112" cm="1">
        <f t="array" ref="AL82">IFERROR(MEDIAN(_xlfn._xlws.FILTER(_xlfn.VSTACK(
DATA_CLEANED!AL$3:AL$1060-DATA_CLEANED!AM$3:AM$1060,
DATA_CLEANED!AM$3:AM$1060-DATA_CLEANED!AL$3:AL$1060
),_xlfn.VSTACK(DATA_CLEANED!AK$3:AK$1060,DATA_CLEANED!AN$3:AN$1060)=A82)),"-")</f>
        <v>-2</v>
      </c>
      <c r="AM82" s="112">
        <f t="shared" si="32"/>
        <v>1</v>
      </c>
      <c r="AN82" s="112" cm="1">
        <f t="array" ref="AN82">_xlfn.LET(_xlpm.home,IFERROR(_xlfn._xlws.FILTER(DATA_CLEANED!AH$3:AH$1060,DATA_CLEANED!AK$3:AK$1060=CALCULES!A82),""),
_xlpm.away,IFERROR(_xlfn._xlws.FILTER(DATA_CLEANED!AH$3:AH$1060,DATA_CLEANED!AN$3:AN$1060=CALCULES!A82),""),
_xlpm.assemb_t,_xlfn._xlws.FILTER(_xlfn.VSTACK(_xlpm.home,_xlpm.away),_xlfn.VSTACK(_xlpm.home,_xlpm.away)&lt;&gt;""),
_xlpm.but_h,IFERROR(_xlfn._xlws.FILTER(_xlfn.ANCHORARRAY(DATA_CLEANED!AL$3),DATA_CLEANED!AK$3:AK$1060=CALCULES!A82),""),
_xlpm.but_a,IFERROR(_xlfn._xlws.FILTER(_xlfn.ANCHORARRAY(DATA_CLEANED!AM$3),DATA_CLEANED!AN$3:AN$1060=CALCULES!A82),""),
_xlpm.assemb_b,_xlfn._xlws.FILTER(_xlfn.VSTACK(_xlpm.but_h,_xlpm.but_a),_xlfn.VSTACK(_xlpm.but_h,_xlpm.but_a)&lt;&gt;""),
MEDIAN(_xlpm.assemb_t,_xlpm.assemb_b)
)</f>
        <v>0</v>
      </c>
      <c r="AO82" s="116">
        <f>ROUND(IFERROR((COUNTIFS(DATA_CLEANED!AK$3:AK$1060,A82,DATA_CLEANED!AM$3:AM$1060,0)
+
COUNTIFS(DATA_CLEANED!AN$3:AN$1060,A82,DATA_CLEANED!AL$3:AL$1060,0)
)/AA82,0),2)</f>
        <v>0.33</v>
      </c>
      <c r="AP82" s="112">
        <f>MAX((_xlfn.MAXIFS(_xlfn.ANCHORARRAY(DATA_CLEANED!AL$3),_xlfn.ANCHORARRAY(DATA_CLEANED!AK$3),A82)),(_xlfn.MAXIFS(DATA_CLEANED!AM$3:AM$1060,_xlfn.ANCHORARRAY(DATA_CLEANED!AN$3),A82)))</f>
        <v>0</v>
      </c>
      <c r="AQ82" s="112">
        <f>COUNTIF(_xlfn.ANCHORARRAY(DATA_CLEANED!K$3),A82)</f>
        <v>0</v>
      </c>
      <c r="AR82" s="113" t="str" cm="1">
        <f t="array" ref="AR82">_xlfn.LET(
_xlpm.home,IFERROR(_xlfn._xlws.FILTER(DATA_CLEANED!AH$3:AH$1060,DATA_CLEANED!AK$3:AK$1060=CALCULES!A82),""),
_xlpm.away,IFERROR(_xlfn._xlws.FILTER(DATA_CLEANED!AH$3:AH$1060,DATA_CLEANED!AN$3:AN$1060=CALCULES!A82),""),
_xlpm.etapes,_xlfn._xlws.FILTER(_xlfn.VSTACK(_xlpm.home,_xlpm.away),_xlfn.VSTACK(_xlpm.home,_xlpm.away)&lt;&gt;""),
_xlpm.numeros,_xlfn.XLOOKUP(_xlpm.etapes,DATA_QUALITE!AT$12:AT$38,DATA_QUALITE!AU$12:AU$38),
_xlfn.XLOOKUP(MIN(_xlpm.numeros),DATA_QUALITE!AU$12:AU$38,DATA_QUALITE!AT$12:AT$38)
)</f>
        <v>GROUP_STAGE</v>
      </c>
      <c r="AS82" s="112">
        <f t="shared" si="27"/>
        <v>1</v>
      </c>
      <c r="AT82" s="112">
        <f t="shared" si="28"/>
        <v>0</v>
      </c>
      <c r="AU82" s="112">
        <f>COUNTIFS(DATA_QUALITE!BG$12:BG$1069,"MATCH NUL",_xlfn.ANCHORARRAY(DATA_CLEANED!AK$3),CALCULES!A82)+COUNTIFS(DATA_QUALITE!BG$12:BG$1069,"MATCH NUL",_xlfn.ANCHORARRAY(DATA_CLEANED!AN$3),CALCULES!A82)</f>
        <v>1</v>
      </c>
      <c r="AV82" s="112">
        <v>3</v>
      </c>
      <c r="AW82" s="112">
        <f>COUNTIFS(_xlfn.ANCHORARRAY(DATA_CLEANED!AH$3),"QUARTER_FINALS",_xlfn.ANCHORARRAY(DATA_CLEANED!AK$3),CALCULES!A82)+COUNTIFS(_xlfn.ANCHORARRAY(DATA_CLEANED!AH$3),"QUARTER_FINALS",_xlfn.ANCHORARRAY(DATA_CLEANED!AN$3),CALCULES!A82)</f>
        <v>0</v>
      </c>
      <c r="AX82" s="112">
        <f>COUNTIFS(_xlfn.ANCHORARRAY(DATA_CLEANED!AH$3),"SEMI_FINALS",_xlfn.ANCHORARRAY(DATA_CLEANED!AK$3),CALCULES!A82)+COUNTIFS(_xlfn.ANCHORARRAY(DATA_CLEANED!AH$3),"SEMI_FINALS",_xlfn.ANCHORARRAY(DATA_CLEANED!AN$3),CALCULES!A82)</f>
        <v>0</v>
      </c>
      <c r="AY82" s="112">
        <f>COUNTIFS(_xlfn.ANCHORARRAY(DATA_CLEANED!AH$3),"FINAL",_xlfn.ANCHORARRAY(DATA_CLEANED!AK$3),CALCULES!A82)+COUNTIFS(_xlfn.ANCHORARRAY(DATA_CLEANED!AH$3),"FINAL",_xlfn.ANCHORARRAY(DATA_CLEANED!AN$3),CALCULES!A82)</f>
        <v>0</v>
      </c>
      <c r="AZ82" s="112">
        <f>COUNTIFS(DATA_QUALITE!BG$12:BG$1069,CALCULES!A82,DATA_QUALITE!AW$12:AW$1069,"FINAL")</f>
        <v>0</v>
      </c>
      <c r="BA82" s="113">
        <f t="shared" si="29"/>
        <v>8.08</v>
      </c>
      <c r="BB82" s="118">
        <f t="shared" si="33"/>
        <v>0</v>
      </c>
      <c r="BC82" s="118">
        <f t="shared" si="34"/>
        <v>0</v>
      </c>
      <c r="BD82" s="139">
        <f t="shared" si="35"/>
        <v>0</v>
      </c>
      <c r="BF82" s="167"/>
      <c r="BG82" s="167"/>
      <c r="BH82" s="167"/>
      <c r="BI82" s="167"/>
      <c r="BJ82" s="167"/>
      <c r="BK82" s="167"/>
      <c r="BL82" s="173">
        <f>INT((ROWS($BL$15:BL82)-1)/9)</f>
        <v>7</v>
      </c>
      <c r="BM82" s="173">
        <f>MOD(ROWS($BM$15:BM82)-1,9)</f>
        <v>4</v>
      </c>
      <c r="BN82" s="173">
        <f t="shared" si="36"/>
        <v>2.3109172063290253E-5</v>
      </c>
      <c r="BO82" s="167"/>
      <c r="BP82" s="167"/>
    </row>
    <row r="83" spans="1:68">
      <c r="A83" s="113" t="str">
        <v>Tunisia</v>
      </c>
      <c r="B83" s="112">
        <f>IF(COUNTIFS(_xlfn.ANCHORARRAY(DATA_CLEANED!$AF$3),CALCULES!B$2,_xlfn.ANCHORARRAY(DATA_CLEANED!$AK$3),CALCULES!$A83)+COUNTIFS(_xlfn.ANCHORARRAY(DATA_CLEANED!$AF$3),CALCULES!B$2,_xlfn.ANCHORARRAY(DATA_CLEANED!$AN$3),CALCULES!$A83)&gt;0,1,0)</f>
        <v>0</v>
      </c>
      <c r="C83" s="112">
        <f>IF(COUNTIFS(_xlfn.ANCHORARRAY(DATA_CLEANED!$AF$3),CALCULES!C$2,_xlfn.ANCHORARRAY(DATA_CLEANED!$AK$3),CALCULES!$A83)+COUNTIFS(_xlfn.ANCHORARRAY(DATA_CLEANED!$AF$3),CALCULES!C$2,_xlfn.ANCHORARRAY(DATA_CLEANED!$AN$3),CALCULES!$A83)&gt;0,1,0)</f>
        <v>0</v>
      </c>
      <c r="D83" s="112">
        <f>IF(COUNTIFS(_xlfn.ANCHORARRAY(DATA_CLEANED!$AF$3),CALCULES!D$2,_xlfn.ANCHORARRAY(DATA_CLEANED!$AK$3),CALCULES!$A83)+COUNTIFS(_xlfn.ANCHORARRAY(DATA_CLEANED!$AF$3),CALCULES!D$2,_xlfn.ANCHORARRAY(DATA_CLEANED!$AN$3),CALCULES!$A83)&gt;0,1,0)</f>
        <v>0</v>
      </c>
      <c r="E83" s="112">
        <f>IF(COUNTIFS(_xlfn.ANCHORARRAY(DATA_CLEANED!$AF$3),CALCULES!E$2,_xlfn.ANCHORARRAY(DATA_CLEANED!$AK$3),CALCULES!$A83)+COUNTIFS(_xlfn.ANCHORARRAY(DATA_CLEANED!$AF$3),CALCULES!E$2,_xlfn.ANCHORARRAY(DATA_CLEANED!$AN$3),CALCULES!$A83)&gt;0,1,0)</f>
        <v>0</v>
      </c>
      <c r="F83" s="112">
        <f>IF(COUNTIFS(_xlfn.ANCHORARRAY(DATA_CLEANED!$AF$3),CALCULES!F$2,_xlfn.ANCHORARRAY(DATA_CLEANED!$AK$3),CALCULES!$A83)+COUNTIFS(_xlfn.ANCHORARRAY(DATA_CLEANED!$AF$3),CALCULES!F$2,_xlfn.ANCHORARRAY(DATA_CLEANED!$AN$3),CALCULES!$A83)&gt;0,1,0)</f>
        <v>0</v>
      </c>
      <c r="G83" s="112">
        <f>IF(COUNTIFS(_xlfn.ANCHORARRAY(DATA_CLEANED!$AF$3),CALCULES!G$2,_xlfn.ANCHORARRAY(DATA_CLEANED!$AK$3),CALCULES!$A83)+COUNTIFS(_xlfn.ANCHORARRAY(DATA_CLEANED!$AF$3),CALCULES!G$2,_xlfn.ANCHORARRAY(DATA_CLEANED!$AN$3),CALCULES!$A83)&gt;0,1,0)</f>
        <v>0</v>
      </c>
      <c r="H83" s="112">
        <f>IF(COUNTIFS(_xlfn.ANCHORARRAY(DATA_CLEANED!$AF$3),CALCULES!H$2,_xlfn.ANCHORARRAY(DATA_CLEANED!$AK$3),CALCULES!$A83)+COUNTIFS(_xlfn.ANCHORARRAY(DATA_CLEANED!$AF$3),CALCULES!H$2,_xlfn.ANCHORARRAY(DATA_CLEANED!$AN$3),CALCULES!$A83)&gt;0,1,0)</f>
        <v>0</v>
      </c>
      <c r="I83" s="112">
        <f>IF(COUNTIFS(_xlfn.ANCHORARRAY(DATA_CLEANED!$AF$3),CALCULES!I$2,_xlfn.ANCHORARRAY(DATA_CLEANED!$AK$3),CALCULES!$A83)+COUNTIFS(_xlfn.ANCHORARRAY(DATA_CLEANED!$AF$3),CALCULES!I$2,_xlfn.ANCHORARRAY(DATA_CLEANED!$AN$3),CALCULES!$A83)&gt;0,1,0)</f>
        <v>0</v>
      </c>
      <c r="J83" s="112">
        <f>IF(COUNTIFS(_xlfn.ANCHORARRAY(DATA_CLEANED!$AF$3),CALCULES!J$2,_xlfn.ANCHORARRAY(DATA_CLEANED!$AK$3),CALCULES!$A83)+COUNTIFS(_xlfn.ANCHORARRAY(DATA_CLEANED!$AF$3),CALCULES!J$2,_xlfn.ANCHORARRAY(DATA_CLEANED!$AN$3),CALCULES!$A83)&gt;0,1,0)</f>
        <v>0</v>
      </c>
      <c r="K83" s="112">
        <f>IF(COUNTIFS(_xlfn.ANCHORARRAY(DATA_CLEANED!$AF$3),CALCULES!K$2,_xlfn.ANCHORARRAY(DATA_CLEANED!$AK$3),CALCULES!$A83)+COUNTIFS(_xlfn.ANCHORARRAY(DATA_CLEANED!$AF$3),CALCULES!K$2,_xlfn.ANCHORARRAY(DATA_CLEANED!$AN$3),CALCULES!$A83)&gt;0,1,0)</f>
        <v>0</v>
      </c>
      <c r="L83" s="112">
        <f>IF(COUNTIFS(_xlfn.ANCHORARRAY(DATA_CLEANED!$AF$3),CALCULES!L$2,_xlfn.ANCHORARRAY(DATA_CLEANED!$AK$3),CALCULES!$A83)+COUNTIFS(_xlfn.ANCHORARRAY(DATA_CLEANED!$AF$3),CALCULES!L$2,_xlfn.ANCHORARRAY(DATA_CLEANED!$AN$3),CALCULES!$A83)&gt;0,1,0)</f>
        <v>1</v>
      </c>
      <c r="M83" s="112">
        <f>IF(COUNTIFS(_xlfn.ANCHORARRAY(DATA_CLEANED!$AF$3),CALCULES!M$2,_xlfn.ANCHORARRAY(DATA_CLEANED!$AK$3),CALCULES!$A83)+COUNTIFS(_xlfn.ANCHORARRAY(DATA_CLEANED!$AF$3),CALCULES!M$2,_xlfn.ANCHORARRAY(DATA_CLEANED!$AN$3),CALCULES!$A83)&gt;0,1,0)</f>
        <v>0</v>
      </c>
      <c r="N83" s="112">
        <f>IF(COUNTIFS(_xlfn.ANCHORARRAY(DATA_CLEANED!$AF$3),CALCULES!N$2,_xlfn.ANCHORARRAY(DATA_CLEANED!$AK$3),CALCULES!$A83)+COUNTIFS(_xlfn.ANCHORARRAY(DATA_CLEANED!$AF$3),CALCULES!N$2,_xlfn.ANCHORARRAY(DATA_CLEANED!$AN$3),CALCULES!$A83)&gt;0,1,0)</f>
        <v>0</v>
      </c>
      <c r="O83" s="112">
        <f>IF(COUNTIFS(_xlfn.ANCHORARRAY(DATA_CLEANED!$AF$3),CALCULES!O$2,_xlfn.ANCHORARRAY(DATA_CLEANED!$AK$3),CALCULES!$A83)+COUNTIFS(_xlfn.ANCHORARRAY(DATA_CLEANED!$AF$3),CALCULES!O$2,_xlfn.ANCHORARRAY(DATA_CLEANED!$AN$3),CALCULES!$A83)&gt;0,1,0)</f>
        <v>0</v>
      </c>
      <c r="P83" s="112">
        <f>IF(COUNTIFS(_xlfn.ANCHORARRAY(DATA_CLEANED!$AF$3),CALCULES!P$2,_xlfn.ANCHORARRAY(DATA_CLEANED!$AK$3),CALCULES!$A83)+COUNTIFS(_xlfn.ANCHORARRAY(DATA_CLEANED!$AF$3),CALCULES!P$2,_xlfn.ANCHORARRAY(DATA_CLEANED!$AN$3),CALCULES!$A83)&gt;0,1,0)</f>
        <v>0</v>
      </c>
      <c r="Q83" s="112">
        <f>IF(COUNTIFS(_xlfn.ANCHORARRAY(DATA_CLEANED!$AF$3),CALCULES!Q$2,_xlfn.ANCHORARRAY(DATA_CLEANED!$AK$3),CALCULES!$A83)+COUNTIFS(_xlfn.ANCHORARRAY(DATA_CLEANED!$AF$3),CALCULES!Q$2,_xlfn.ANCHORARRAY(DATA_CLEANED!$AN$3),CALCULES!$A83)&gt;0,1,0)</f>
        <v>1</v>
      </c>
      <c r="R83" s="112">
        <f>IF(COUNTIFS(_xlfn.ANCHORARRAY(DATA_CLEANED!$AF$3),CALCULES!R$2,_xlfn.ANCHORARRAY(DATA_CLEANED!$AK$3),CALCULES!$A83)+COUNTIFS(_xlfn.ANCHORARRAY(DATA_CLEANED!$AF$3),CALCULES!R$2,_xlfn.ANCHORARRAY(DATA_CLEANED!$AN$3),CALCULES!$A83)&gt;0,1,0)</f>
        <v>1</v>
      </c>
      <c r="S83" s="112">
        <f>IF(COUNTIFS(_xlfn.ANCHORARRAY(DATA_CLEANED!$AF$3),CALCULES!S$2,_xlfn.ANCHORARRAY(DATA_CLEANED!$AK$3),CALCULES!$A83)+COUNTIFS(_xlfn.ANCHORARRAY(DATA_CLEANED!$AF$3),CALCULES!S$2,_xlfn.ANCHORARRAY(DATA_CLEANED!$AN$3),CALCULES!$A83)&gt;0,1,0)</f>
        <v>1</v>
      </c>
      <c r="T83" s="112">
        <f>IF(COUNTIFS(_xlfn.ANCHORARRAY(DATA_CLEANED!$AF$3),CALCULES!T$2,_xlfn.ANCHORARRAY(DATA_CLEANED!$AK$3),CALCULES!$A83)+COUNTIFS(_xlfn.ANCHORARRAY(DATA_CLEANED!$AF$3),CALCULES!T$2,_xlfn.ANCHORARRAY(DATA_CLEANED!$AN$3),CALCULES!$A83)&gt;0,1,0)</f>
        <v>0</v>
      </c>
      <c r="U83" s="112">
        <f>IF(COUNTIFS(_xlfn.ANCHORARRAY(DATA_CLEANED!$AF$3),CALCULES!U$2,_xlfn.ANCHORARRAY(DATA_CLEANED!$AK$3),CALCULES!$A83)+COUNTIFS(_xlfn.ANCHORARRAY(DATA_CLEANED!$AF$3),CALCULES!U$2,_xlfn.ANCHORARRAY(DATA_CLEANED!$AN$3),CALCULES!$A83)&gt;0,1,0)</f>
        <v>0</v>
      </c>
      <c r="V83" s="112">
        <f>IF(COUNTIFS(_xlfn.ANCHORARRAY(DATA_CLEANED!$AF$3),CALCULES!V$2,_xlfn.ANCHORARRAY(DATA_CLEANED!$AK$3),CALCULES!$A83)+COUNTIFS(_xlfn.ANCHORARRAY(DATA_CLEANED!$AF$3),CALCULES!V$2,_xlfn.ANCHORARRAY(DATA_CLEANED!$AN$3),CALCULES!$A83)&gt;0,1,0)</f>
        <v>1</v>
      </c>
      <c r="W83" s="112">
        <f>IF(COUNTIFS(_xlfn.ANCHORARRAY(DATA_CLEANED!$AF$3),CALCULES!W$2,_xlfn.ANCHORARRAY(DATA_CLEANED!$AK$3),CALCULES!$A83)+COUNTIFS(_xlfn.ANCHORARRAY(DATA_CLEANED!$AF$3),CALCULES!W$2,_xlfn.ANCHORARRAY(DATA_CLEANED!$AN$3),CALCULES!$A83)&gt;0,1,0)</f>
        <v>1</v>
      </c>
      <c r="X83" s="112">
        <f>IF(COUNTIFS(_xlfn.ANCHORARRAY(DATA_CLEANED!$AF$3),CALCULES!X$2,_xlfn.ANCHORARRAY(DATA_CLEANED!$AK$3),CALCULES!$A83)+COUNTIFS(_xlfn.ANCHORARRAY(DATA_CLEANED!$AF$3),CALCULES!X$2,_xlfn.ANCHORARRAY(DATA_CLEANED!$AN$3),CALCULES!$A83)&gt;0,1,0)</f>
        <v>1</v>
      </c>
      <c r="Y83" s="113">
        <f t="shared" si="23"/>
        <v>7</v>
      </c>
      <c r="AA83" s="112">
        <f>COUNTIF(_xlfn.ANCHORARRAY(DATA_CLEANED!$AK$3),$A83)+COUNTIF(DATA_CLEANED!$AN$2:$AN$1060,$A83)</f>
        <v>21</v>
      </c>
      <c r="AB83" s="112">
        <f>COUNTIF(DATA_QUALITE!BG$12:BG$1069,A83)</f>
        <v>3</v>
      </c>
      <c r="AC83" s="112">
        <f t="shared" si="30"/>
        <v>18</v>
      </c>
      <c r="AD83" s="112" cm="1">
        <f t="array" ref="AD83">SUMPRODUCT((DATA_CLEANED!AL$3:AL$1060=DATA_CLEANED!AM$3:AM$1060)*(_xlfn.ANCHORARRAY(DATA_CLEANED!AK$3)=CALCULES!A83)*(DATA_CLEANED!AO$3:AO$1060&lt;&gt;"-"))
+
SUMPRODUCT((DATA_CLEANED!AL$3:AL$1060=DATA_CLEANED!AM$3:AM$1060)*(_xlfn.ANCHORARRAY(DATA_CLEANED!AN$3)=CALCULES!A83)*(DATA_CLEANED!AO$3:AO$1060&lt;&gt;"-"))</f>
        <v>0</v>
      </c>
      <c r="AE83" s="116">
        <f t="shared" si="24"/>
        <v>0.14285714285714285</v>
      </c>
      <c r="AF83" s="116">
        <f t="shared" si="25"/>
        <v>0.8571428571428571</v>
      </c>
      <c r="AG83" s="112">
        <f>SUMIF(_xlfn.ANCHORARRAY(DATA_CLEANED!AK$3),A83,DATA_CLEANED!AL$2:AL$1060)+SUMIF(_xlfn.ANCHORARRAY(DATA_CLEANED!AN$3),A83,DATA_CLEANED!AM$2:AM$1060)</f>
        <v>35</v>
      </c>
      <c r="AH83" s="112">
        <f>SUMIF(_xlfn.ANCHORARRAY(DATA_CLEANED!AK$3),A83,DATA_CLEANED!AM$2:AM$1060)+SUMIF(_xlfn.ANCHORARRAY(DATA_CLEANED!AN$3),A83,DATA_CLEANED!AL$2:AL$1060)</f>
        <v>19</v>
      </c>
      <c r="AI83" s="112">
        <f t="shared" si="31"/>
        <v>0.9</v>
      </c>
      <c r="AJ83" s="117" cm="1">
        <f t="array" ref="AJ83">_xlfn.LET(_xlpm.home,IFERROR(_xlfn._xlws.FILTER(DATA_CLEANED!AH$3:AH$1060,DATA_CLEANED!AK$3:AK$1060=CALCULES!A83),""),
_xlpm.away,IFERROR(_xlfn._xlws.FILTER(DATA_CLEANED!AH$3:AH$1060,DATA_CLEANED!AN$3:AN$1060=CALCULES!A83),""),
_xlpm.assemb_t,_xlfn._xlws.FILTER(_xlfn.VSTACK(_xlpm.home,_xlpm.away),_xlfn.VSTACK(_xlpm.home,_xlpm.away)&lt;&gt;""),
_xlpm.but_h,IFERROR(_xlfn._xlws.FILTER(_xlfn.ANCHORARRAY(DATA_CLEANED!AM$3),DATA_CLEANED!AK$3:AK$1060=CALCULES!A83),""),
_xlpm.but_a,IFERROR(_xlfn._xlws.FILTER(_xlfn.ANCHORARRAY(DATA_CLEANED!AL$3),DATA_CLEANED!AN$3:AN$1060=CALCULES!A83),""),
_xlpm.assemb_b,_xlfn._xlws.FILTER(_xlfn.VSTACK(_xlpm.but_h,_xlpm.but_a),_xlfn.VSTACK(_xlpm.but_h,_xlpm.but_a)&lt;&gt;""),
MEDIAN(_xlpm.assemb_t,_xlpm.assemb_b)
)</f>
        <v>1</v>
      </c>
      <c r="AK83" s="113">
        <f t="shared" si="26"/>
        <v>16</v>
      </c>
      <c r="AL83" s="112" cm="1">
        <f t="array" ref="AL83">IFERROR(MEDIAN(_xlfn._xlws.FILTER(_xlfn.VSTACK(
DATA_CLEANED!AL$3:AL$1060-DATA_CLEANED!AM$3:AM$1060,
DATA_CLEANED!AM$3:AM$1060-DATA_CLEANED!AL$3:AL$1060
),_xlfn.VSTACK(DATA_CLEANED!AK$3:AK$1060,DATA_CLEANED!AN$3:AN$1060)=A83)),"-")</f>
        <v>-1</v>
      </c>
      <c r="AM83" s="112">
        <f t="shared" si="32"/>
        <v>1.67</v>
      </c>
      <c r="AN83" s="112" cm="1">
        <f t="array" ref="AN83">_xlfn.LET(_xlpm.home,IFERROR(_xlfn._xlws.FILTER(DATA_CLEANED!AH$3:AH$1060,DATA_CLEANED!AK$3:AK$1060=CALCULES!A83),""),
_xlpm.away,IFERROR(_xlfn._xlws.FILTER(DATA_CLEANED!AH$3:AH$1060,DATA_CLEANED!AN$3:AN$1060=CALCULES!A83),""),
_xlpm.assemb_t,_xlfn._xlws.FILTER(_xlfn.VSTACK(_xlpm.home,_xlpm.away),_xlfn.VSTACK(_xlpm.home,_xlpm.away)&lt;&gt;""),
_xlpm.but_h,IFERROR(_xlfn._xlws.FILTER(_xlfn.ANCHORARRAY(DATA_CLEANED!AL$3),DATA_CLEANED!AK$3:AK$1060=CALCULES!A83),""),
_xlpm.but_a,IFERROR(_xlfn._xlws.FILTER(_xlfn.ANCHORARRAY(DATA_CLEANED!AM$3),DATA_CLEANED!AN$3:AN$1060=CALCULES!A83),""),
_xlpm.assemb_b,_xlfn._xlws.FILTER(_xlfn.VSTACK(_xlpm.but_h,_xlpm.but_a),_xlfn.VSTACK(_xlpm.but_h,_xlpm.but_a)&lt;&gt;""),
MEDIAN(_xlpm.assemb_t,_xlpm.assemb_b)
)</f>
        <v>1</v>
      </c>
      <c r="AO83" s="116">
        <f>ROUND(IFERROR((COUNTIFS(DATA_CLEANED!AK$3:AK$1060,A83,DATA_CLEANED!AM$3:AM$1060,0)
+
COUNTIFS(DATA_CLEANED!AN$3:AN$1060,A83,DATA_CLEANED!AL$3:AL$1060,0)
)/AA83,0),2)</f>
        <v>0.14000000000000001</v>
      </c>
      <c r="AP83" s="112">
        <f>MAX((_xlfn.MAXIFS(_xlfn.ANCHORARRAY(DATA_CLEANED!AL$3),_xlfn.ANCHORARRAY(DATA_CLEANED!AK$3),A83)),(_xlfn.MAXIFS(DATA_CLEANED!AM$3:AM$1060,_xlfn.ANCHORARRAY(DATA_CLEANED!AN$3),A83)))</f>
        <v>3</v>
      </c>
      <c r="AQ83" s="112">
        <f>COUNTIF(_xlfn.ANCHORARRAY(DATA_CLEANED!K$3),A83)</f>
        <v>0</v>
      </c>
      <c r="AR83" s="113" t="str" cm="1">
        <f t="array" ref="AR83">_xlfn.LET(
_xlpm.home,IFERROR(_xlfn._xlws.FILTER(DATA_CLEANED!AH$3:AH$1060,DATA_CLEANED!AK$3:AK$1060=CALCULES!A83),""),
_xlpm.away,IFERROR(_xlfn._xlws.FILTER(DATA_CLEANED!AH$3:AH$1060,DATA_CLEANED!AN$3:AN$1060=CALCULES!A83),""),
_xlpm.etapes,_xlfn._xlws.FILTER(_xlfn.VSTACK(_xlpm.home,_xlpm.away),_xlfn.VSTACK(_xlpm.home,_xlpm.away)&lt;&gt;""),
_xlpm.numeros,_xlfn.XLOOKUP(_xlpm.etapes,DATA_QUALITE!AT$12:AT$38,DATA_QUALITE!AU$12:AU$38),
_xlfn.XLOOKUP(MIN(_xlpm.numeros),DATA_QUALITE!AU$12:AU$38,DATA_QUALITE!AT$12:AT$38)
)</f>
        <v>GROUP_STAGE</v>
      </c>
      <c r="AS83" s="112">
        <f t="shared" si="27"/>
        <v>7</v>
      </c>
      <c r="AT83" s="112">
        <f t="shared" si="28"/>
        <v>3</v>
      </c>
      <c r="AU83" s="112">
        <f>COUNTIFS(DATA_QUALITE!BG$12:BG$1069,"MATCH NUL",_xlfn.ANCHORARRAY(DATA_CLEANED!AK$3),CALCULES!A83)+COUNTIFS(DATA_QUALITE!BG$12:BG$1069,"MATCH NUL",_xlfn.ANCHORARRAY(DATA_CLEANED!AN$3),CALCULES!A83)</f>
        <v>5</v>
      </c>
      <c r="AV83" s="112">
        <v>35</v>
      </c>
      <c r="AW83" s="112">
        <f>COUNTIFS(_xlfn.ANCHORARRAY(DATA_CLEANED!AH$3),"QUARTER_FINALS",_xlfn.ANCHORARRAY(DATA_CLEANED!AK$3),CALCULES!A83)+COUNTIFS(_xlfn.ANCHORARRAY(DATA_CLEANED!AH$3),"QUARTER_FINALS",_xlfn.ANCHORARRAY(DATA_CLEANED!AN$3),CALCULES!A83)</f>
        <v>0</v>
      </c>
      <c r="AX83" s="112">
        <f>COUNTIFS(_xlfn.ANCHORARRAY(DATA_CLEANED!AH$3),"SEMI_FINALS",_xlfn.ANCHORARRAY(DATA_CLEANED!AK$3),CALCULES!A83)+COUNTIFS(_xlfn.ANCHORARRAY(DATA_CLEANED!AH$3),"SEMI_FINALS",_xlfn.ANCHORARRAY(DATA_CLEANED!AN$3),CALCULES!A83)</f>
        <v>0</v>
      </c>
      <c r="AY83" s="112">
        <f>COUNTIFS(_xlfn.ANCHORARRAY(DATA_CLEANED!AH$3),"FINAL",_xlfn.ANCHORARRAY(DATA_CLEANED!AK$3),CALCULES!A83)+COUNTIFS(_xlfn.ANCHORARRAY(DATA_CLEANED!AH$3),"FINAL",_xlfn.ANCHORARRAY(DATA_CLEANED!AN$3),CALCULES!A83)</f>
        <v>0</v>
      </c>
      <c r="AZ83" s="112">
        <f>COUNTIFS(DATA_QUALITE!BG$12:BG$1069,CALCULES!A83,DATA_QUALITE!AW$12:AW$1069,"FINAL")</f>
        <v>0</v>
      </c>
      <c r="BA83" s="113">
        <f t="shared" si="29"/>
        <v>31.89</v>
      </c>
      <c r="BB83" s="118">
        <f t="shared" si="33"/>
        <v>8.85</v>
      </c>
      <c r="BC83" s="118">
        <f t="shared" si="34"/>
        <v>10.48</v>
      </c>
      <c r="BD83" s="139">
        <f t="shared" si="35"/>
        <v>9.67</v>
      </c>
      <c r="BF83" s="167"/>
      <c r="BG83" s="167"/>
      <c r="BH83" s="167"/>
      <c r="BI83" s="167"/>
      <c r="BJ83" s="167"/>
      <c r="BK83" s="167"/>
      <c r="BL83" s="173">
        <f>INT((ROWS($BL$15:BL83)-1)/9)</f>
        <v>7</v>
      </c>
      <c r="BM83" s="173">
        <f>MOD(ROWS($BM$15:BM83)-1,9)</f>
        <v>5</v>
      </c>
      <c r="BN83" s="173">
        <f t="shared" si="36"/>
        <v>5.1761554967536628E-6</v>
      </c>
      <c r="BO83" s="167"/>
      <c r="BP83" s="167"/>
    </row>
    <row r="84" spans="1:68">
      <c r="A84" s="113" t="str">
        <v>Turkey</v>
      </c>
      <c r="B84" s="112">
        <f>IF(COUNTIFS(_xlfn.ANCHORARRAY(DATA_CLEANED!$AF$3),CALCULES!B$2,_xlfn.ANCHORARRAY(DATA_CLEANED!$AK$3),CALCULES!$A84)+COUNTIFS(_xlfn.ANCHORARRAY(DATA_CLEANED!$AF$3),CALCULES!B$2,_xlfn.ANCHORARRAY(DATA_CLEANED!$AN$3),CALCULES!$A84)&gt;0,1,0)</f>
        <v>0</v>
      </c>
      <c r="C84" s="112">
        <f>IF(COUNTIFS(_xlfn.ANCHORARRAY(DATA_CLEANED!$AF$3),CALCULES!C$2,_xlfn.ANCHORARRAY(DATA_CLEANED!$AK$3),CALCULES!$A84)+COUNTIFS(_xlfn.ANCHORARRAY(DATA_CLEANED!$AF$3),CALCULES!C$2,_xlfn.ANCHORARRAY(DATA_CLEANED!$AN$3),CALCULES!$A84)&gt;0,1,0)</f>
        <v>0</v>
      </c>
      <c r="D84" s="112">
        <f>IF(COUNTIFS(_xlfn.ANCHORARRAY(DATA_CLEANED!$AF$3),CALCULES!D$2,_xlfn.ANCHORARRAY(DATA_CLEANED!$AK$3),CALCULES!$A84)+COUNTIFS(_xlfn.ANCHORARRAY(DATA_CLEANED!$AF$3),CALCULES!D$2,_xlfn.ANCHORARRAY(DATA_CLEANED!$AN$3),CALCULES!$A84)&gt;0,1,0)</f>
        <v>0</v>
      </c>
      <c r="E84" s="112">
        <f>IF(COUNTIFS(_xlfn.ANCHORARRAY(DATA_CLEANED!$AF$3),CALCULES!E$2,_xlfn.ANCHORARRAY(DATA_CLEANED!$AK$3),CALCULES!$A84)+COUNTIFS(_xlfn.ANCHORARRAY(DATA_CLEANED!$AF$3),CALCULES!E$2,_xlfn.ANCHORARRAY(DATA_CLEANED!$AN$3),CALCULES!$A84)&gt;0,1,0)</f>
        <v>0</v>
      </c>
      <c r="F84" s="112">
        <f>IF(COUNTIFS(_xlfn.ANCHORARRAY(DATA_CLEANED!$AF$3),CALCULES!F$2,_xlfn.ANCHORARRAY(DATA_CLEANED!$AK$3),CALCULES!$A84)+COUNTIFS(_xlfn.ANCHORARRAY(DATA_CLEANED!$AF$3),CALCULES!F$2,_xlfn.ANCHORARRAY(DATA_CLEANED!$AN$3),CALCULES!$A84)&gt;0,1,0)</f>
        <v>1</v>
      </c>
      <c r="G84" s="112">
        <f>IF(COUNTIFS(_xlfn.ANCHORARRAY(DATA_CLEANED!$AF$3),CALCULES!G$2,_xlfn.ANCHORARRAY(DATA_CLEANED!$AK$3),CALCULES!$A84)+COUNTIFS(_xlfn.ANCHORARRAY(DATA_CLEANED!$AF$3),CALCULES!G$2,_xlfn.ANCHORARRAY(DATA_CLEANED!$AN$3),CALCULES!$A84)&gt;0,1,0)</f>
        <v>0</v>
      </c>
      <c r="H84" s="112">
        <f>IF(COUNTIFS(_xlfn.ANCHORARRAY(DATA_CLEANED!$AF$3),CALCULES!H$2,_xlfn.ANCHORARRAY(DATA_CLEANED!$AK$3),CALCULES!$A84)+COUNTIFS(_xlfn.ANCHORARRAY(DATA_CLEANED!$AF$3),CALCULES!H$2,_xlfn.ANCHORARRAY(DATA_CLEANED!$AN$3),CALCULES!$A84)&gt;0,1,0)</f>
        <v>0</v>
      </c>
      <c r="I84" s="112">
        <f>IF(COUNTIFS(_xlfn.ANCHORARRAY(DATA_CLEANED!$AF$3),CALCULES!I$2,_xlfn.ANCHORARRAY(DATA_CLEANED!$AK$3),CALCULES!$A84)+COUNTIFS(_xlfn.ANCHORARRAY(DATA_CLEANED!$AF$3),CALCULES!I$2,_xlfn.ANCHORARRAY(DATA_CLEANED!$AN$3),CALCULES!$A84)&gt;0,1,0)</f>
        <v>0</v>
      </c>
      <c r="J84" s="112">
        <f>IF(COUNTIFS(_xlfn.ANCHORARRAY(DATA_CLEANED!$AF$3),CALCULES!J$2,_xlfn.ANCHORARRAY(DATA_CLEANED!$AK$3),CALCULES!$A84)+COUNTIFS(_xlfn.ANCHORARRAY(DATA_CLEANED!$AF$3),CALCULES!J$2,_xlfn.ANCHORARRAY(DATA_CLEANED!$AN$3),CALCULES!$A84)&gt;0,1,0)</f>
        <v>0</v>
      </c>
      <c r="K84" s="112">
        <f>IF(COUNTIFS(_xlfn.ANCHORARRAY(DATA_CLEANED!$AF$3),CALCULES!K$2,_xlfn.ANCHORARRAY(DATA_CLEANED!$AK$3),CALCULES!$A84)+COUNTIFS(_xlfn.ANCHORARRAY(DATA_CLEANED!$AF$3),CALCULES!K$2,_xlfn.ANCHORARRAY(DATA_CLEANED!$AN$3),CALCULES!$A84)&gt;0,1,0)</f>
        <v>0</v>
      </c>
      <c r="L84" s="112">
        <f>IF(COUNTIFS(_xlfn.ANCHORARRAY(DATA_CLEANED!$AF$3),CALCULES!L$2,_xlfn.ANCHORARRAY(DATA_CLEANED!$AK$3),CALCULES!$A84)+COUNTIFS(_xlfn.ANCHORARRAY(DATA_CLEANED!$AF$3),CALCULES!L$2,_xlfn.ANCHORARRAY(DATA_CLEANED!$AN$3),CALCULES!$A84)&gt;0,1,0)</f>
        <v>0</v>
      </c>
      <c r="M84" s="112">
        <f>IF(COUNTIFS(_xlfn.ANCHORARRAY(DATA_CLEANED!$AF$3),CALCULES!M$2,_xlfn.ANCHORARRAY(DATA_CLEANED!$AK$3),CALCULES!$A84)+COUNTIFS(_xlfn.ANCHORARRAY(DATA_CLEANED!$AF$3),CALCULES!M$2,_xlfn.ANCHORARRAY(DATA_CLEANED!$AN$3),CALCULES!$A84)&gt;0,1,0)</f>
        <v>0</v>
      </c>
      <c r="N84" s="112">
        <f>IF(COUNTIFS(_xlfn.ANCHORARRAY(DATA_CLEANED!$AF$3),CALCULES!N$2,_xlfn.ANCHORARRAY(DATA_CLEANED!$AK$3),CALCULES!$A84)+COUNTIFS(_xlfn.ANCHORARRAY(DATA_CLEANED!$AF$3),CALCULES!N$2,_xlfn.ANCHORARRAY(DATA_CLEANED!$AN$3),CALCULES!$A84)&gt;0,1,0)</f>
        <v>0</v>
      </c>
      <c r="O84" s="112">
        <f>IF(COUNTIFS(_xlfn.ANCHORARRAY(DATA_CLEANED!$AF$3),CALCULES!O$2,_xlfn.ANCHORARRAY(DATA_CLEANED!$AK$3),CALCULES!$A84)+COUNTIFS(_xlfn.ANCHORARRAY(DATA_CLEANED!$AF$3),CALCULES!O$2,_xlfn.ANCHORARRAY(DATA_CLEANED!$AN$3),CALCULES!$A84)&gt;0,1,0)</f>
        <v>0</v>
      </c>
      <c r="P84" s="112">
        <f>IF(COUNTIFS(_xlfn.ANCHORARRAY(DATA_CLEANED!$AF$3),CALCULES!P$2,_xlfn.ANCHORARRAY(DATA_CLEANED!$AK$3),CALCULES!$A84)+COUNTIFS(_xlfn.ANCHORARRAY(DATA_CLEANED!$AF$3),CALCULES!P$2,_xlfn.ANCHORARRAY(DATA_CLEANED!$AN$3),CALCULES!$A84)&gt;0,1,0)</f>
        <v>0</v>
      </c>
      <c r="Q84" s="112">
        <f>IF(COUNTIFS(_xlfn.ANCHORARRAY(DATA_CLEANED!$AF$3),CALCULES!Q$2,_xlfn.ANCHORARRAY(DATA_CLEANED!$AK$3),CALCULES!$A84)+COUNTIFS(_xlfn.ANCHORARRAY(DATA_CLEANED!$AF$3),CALCULES!Q$2,_xlfn.ANCHORARRAY(DATA_CLEANED!$AN$3),CALCULES!$A84)&gt;0,1,0)</f>
        <v>0</v>
      </c>
      <c r="R84" s="112">
        <f>IF(COUNTIFS(_xlfn.ANCHORARRAY(DATA_CLEANED!$AF$3),CALCULES!R$2,_xlfn.ANCHORARRAY(DATA_CLEANED!$AK$3),CALCULES!$A84)+COUNTIFS(_xlfn.ANCHORARRAY(DATA_CLEANED!$AF$3),CALCULES!R$2,_xlfn.ANCHORARRAY(DATA_CLEANED!$AN$3),CALCULES!$A84)&gt;0,1,0)</f>
        <v>1</v>
      </c>
      <c r="S84" s="112">
        <f>IF(COUNTIFS(_xlfn.ANCHORARRAY(DATA_CLEANED!$AF$3),CALCULES!S$2,_xlfn.ANCHORARRAY(DATA_CLEANED!$AK$3),CALCULES!$A84)+COUNTIFS(_xlfn.ANCHORARRAY(DATA_CLEANED!$AF$3),CALCULES!S$2,_xlfn.ANCHORARRAY(DATA_CLEANED!$AN$3),CALCULES!$A84)&gt;0,1,0)</f>
        <v>0</v>
      </c>
      <c r="T84" s="112">
        <f>IF(COUNTIFS(_xlfn.ANCHORARRAY(DATA_CLEANED!$AF$3),CALCULES!T$2,_xlfn.ANCHORARRAY(DATA_CLEANED!$AK$3),CALCULES!$A84)+COUNTIFS(_xlfn.ANCHORARRAY(DATA_CLEANED!$AF$3),CALCULES!T$2,_xlfn.ANCHORARRAY(DATA_CLEANED!$AN$3),CALCULES!$A84)&gt;0,1,0)</f>
        <v>0</v>
      </c>
      <c r="U84" s="112">
        <f>IF(COUNTIFS(_xlfn.ANCHORARRAY(DATA_CLEANED!$AF$3),CALCULES!U$2,_xlfn.ANCHORARRAY(DATA_CLEANED!$AK$3),CALCULES!$A84)+COUNTIFS(_xlfn.ANCHORARRAY(DATA_CLEANED!$AF$3),CALCULES!U$2,_xlfn.ANCHORARRAY(DATA_CLEANED!$AN$3),CALCULES!$A84)&gt;0,1,0)</f>
        <v>0</v>
      </c>
      <c r="V84" s="112">
        <f>IF(COUNTIFS(_xlfn.ANCHORARRAY(DATA_CLEANED!$AF$3),CALCULES!V$2,_xlfn.ANCHORARRAY(DATA_CLEANED!$AK$3),CALCULES!$A84)+COUNTIFS(_xlfn.ANCHORARRAY(DATA_CLEANED!$AF$3),CALCULES!V$2,_xlfn.ANCHORARRAY(DATA_CLEANED!$AN$3),CALCULES!$A84)&gt;0,1,0)</f>
        <v>0</v>
      </c>
      <c r="W84" s="112">
        <f>IF(COUNTIFS(_xlfn.ANCHORARRAY(DATA_CLEANED!$AF$3),CALCULES!W$2,_xlfn.ANCHORARRAY(DATA_CLEANED!$AK$3),CALCULES!$A84)+COUNTIFS(_xlfn.ANCHORARRAY(DATA_CLEANED!$AF$3),CALCULES!W$2,_xlfn.ANCHORARRAY(DATA_CLEANED!$AN$3),CALCULES!$A84)&gt;0,1,0)</f>
        <v>0</v>
      </c>
      <c r="X84" s="112">
        <f>IF(COUNTIFS(_xlfn.ANCHORARRAY(DATA_CLEANED!$AF$3),CALCULES!X$2,_xlfn.ANCHORARRAY(DATA_CLEANED!$AK$3),CALCULES!$A84)+COUNTIFS(_xlfn.ANCHORARRAY(DATA_CLEANED!$AF$3),CALCULES!X$2,_xlfn.ANCHORARRAY(DATA_CLEANED!$AN$3),CALCULES!$A84)&gt;0,1,0)</f>
        <v>1</v>
      </c>
      <c r="Y84" s="113">
        <f t="shared" si="23"/>
        <v>3</v>
      </c>
      <c r="AA84" s="112">
        <f>COUNTIF(_xlfn.ANCHORARRAY(DATA_CLEANED!$AK$3),$A84)+COUNTIF(DATA_CLEANED!$AN$2:$AN$1060,$A84)</f>
        <v>13</v>
      </c>
      <c r="AB84" s="112">
        <f>COUNTIF(DATA_QUALITE!BG$12:BG$1069,A84)</f>
        <v>6</v>
      </c>
      <c r="AC84" s="112">
        <f t="shared" si="30"/>
        <v>7</v>
      </c>
      <c r="AD84" s="112" cm="1">
        <f t="array" ref="AD84">SUMPRODUCT((DATA_CLEANED!AL$3:AL$1060=DATA_CLEANED!AM$3:AM$1060)*(_xlfn.ANCHORARRAY(DATA_CLEANED!AK$3)=CALCULES!A84)*(DATA_CLEANED!AO$3:AO$1060&lt;&gt;"-"))
+
SUMPRODUCT((DATA_CLEANED!AL$3:AL$1060=DATA_CLEANED!AM$3:AM$1060)*(_xlfn.ANCHORARRAY(DATA_CLEANED!AN$3)=CALCULES!A84)*(DATA_CLEANED!AO$3:AO$1060&lt;&gt;"-"))</f>
        <v>0</v>
      </c>
      <c r="AE84" s="116">
        <f t="shared" si="24"/>
        <v>0.46153846153846156</v>
      </c>
      <c r="AF84" s="116">
        <f t="shared" si="25"/>
        <v>0.53846153846153844</v>
      </c>
      <c r="AG84" s="112">
        <f>SUMIF(_xlfn.ANCHORARRAY(DATA_CLEANED!AK$3),A84,DATA_CLEANED!AL$2:AL$1060)+SUMIF(_xlfn.ANCHORARRAY(DATA_CLEANED!AN$3),A84,DATA_CLEANED!AM$2:AM$1060)</f>
        <v>21</v>
      </c>
      <c r="AH84" s="112">
        <f>SUMIF(_xlfn.ANCHORARRAY(DATA_CLEANED!AK$3),A84,DATA_CLEANED!AM$2:AM$1060)+SUMIF(_xlfn.ANCHORARRAY(DATA_CLEANED!AN$3),A84,DATA_CLEANED!AL$2:AL$1060)</f>
        <v>21</v>
      </c>
      <c r="AI84" s="112">
        <f t="shared" si="31"/>
        <v>1.62</v>
      </c>
      <c r="AJ84" s="117" cm="1">
        <f t="array" ref="AJ84">_xlfn.LET(_xlpm.home,IFERROR(_xlfn._xlws.FILTER(DATA_CLEANED!AH$3:AH$1060,DATA_CLEANED!AK$3:AK$1060=CALCULES!A84),""),
_xlpm.away,IFERROR(_xlfn._xlws.FILTER(DATA_CLEANED!AH$3:AH$1060,DATA_CLEANED!AN$3:AN$1060=CALCULES!A84),""),
_xlpm.assemb_t,_xlfn._xlws.FILTER(_xlfn.VSTACK(_xlpm.home,_xlpm.away),_xlfn.VSTACK(_xlpm.home,_xlpm.away)&lt;&gt;""),
_xlpm.but_h,IFERROR(_xlfn._xlws.FILTER(_xlfn.ANCHORARRAY(DATA_CLEANED!AM$3),DATA_CLEANED!AK$3:AK$1060=CALCULES!A84),""),
_xlpm.but_a,IFERROR(_xlfn._xlws.FILTER(_xlfn.ANCHORARRAY(DATA_CLEANED!AL$3),DATA_CLEANED!AN$3:AN$1060=CALCULES!A84),""),
_xlpm.assemb_b,_xlfn._xlws.FILTER(_xlfn.VSTACK(_xlpm.but_h,_xlpm.but_a),_xlfn.VSTACK(_xlpm.but_h,_xlpm.but_a)&lt;&gt;""),
MEDIAN(_xlpm.assemb_t,_xlpm.assemb_b)
)</f>
        <v>1</v>
      </c>
      <c r="AK84" s="113">
        <f t="shared" si="26"/>
        <v>0</v>
      </c>
      <c r="AL84" s="112" cm="1">
        <f t="array" ref="AL84">IFERROR(MEDIAN(_xlfn._xlws.FILTER(_xlfn.VSTACK(
DATA_CLEANED!AL$3:AL$1060-DATA_CLEANED!AM$3:AM$1060,
DATA_CLEANED!AM$3:AM$1060-DATA_CLEANED!AL$3:AL$1060
),_xlfn.VSTACK(DATA_CLEANED!AK$3:AK$1060,DATA_CLEANED!AN$3:AN$1060)=A84)),"-")</f>
        <v>0</v>
      </c>
      <c r="AM84" s="112">
        <f t="shared" si="32"/>
        <v>1.62</v>
      </c>
      <c r="AN84" s="112" cm="1">
        <f t="array" ref="AN84">_xlfn.LET(_xlpm.home,IFERROR(_xlfn._xlws.FILTER(DATA_CLEANED!AH$3:AH$1060,DATA_CLEANED!AK$3:AK$1060=CALCULES!A84),""),
_xlpm.away,IFERROR(_xlfn._xlws.FILTER(DATA_CLEANED!AH$3:AH$1060,DATA_CLEANED!AN$3:AN$1060=CALCULES!A84),""),
_xlpm.assemb_t,_xlfn._xlws.FILTER(_xlfn.VSTACK(_xlpm.home,_xlpm.away),_xlfn.VSTACK(_xlpm.home,_xlpm.away)&lt;&gt;""),
_xlpm.but_h,IFERROR(_xlfn._xlws.FILTER(_xlfn.ANCHORARRAY(DATA_CLEANED!AL$3),DATA_CLEANED!AK$3:AK$1060=CALCULES!A84),""),
_xlpm.but_a,IFERROR(_xlfn._xlws.FILTER(_xlfn.ANCHORARRAY(DATA_CLEANED!AM$3),DATA_CLEANED!AN$3:AN$1060=CALCULES!A84),""),
_xlpm.assemb_b,_xlfn._xlws.FILTER(_xlfn.VSTACK(_xlpm.but_h,_xlpm.but_a),_xlfn.VSTACK(_xlpm.but_h,_xlpm.but_a)&lt;&gt;""),
MEDIAN(_xlpm.assemb_t,_xlpm.assemb_b)
)</f>
        <v>1</v>
      </c>
      <c r="AO84" s="116">
        <f>ROUND(IFERROR((COUNTIFS(DATA_CLEANED!AK$3:AK$1060,A84,DATA_CLEANED!AM$3:AM$1060,0)
+
COUNTIFS(DATA_CLEANED!AN$3:AN$1060,A84,DATA_CLEANED!AL$3:AL$1060,0)
)/AA84,0),2)</f>
        <v>0.31</v>
      </c>
      <c r="AP84" s="112">
        <f>MAX((_xlfn.MAXIFS(_xlfn.ANCHORARRAY(DATA_CLEANED!AL$3),_xlfn.ANCHORARRAY(DATA_CLEANED!AK$3),A84)),(_xlfn.MAXIFS(DATA_CLEANED!AM$3:AM$1060,_xlfn.ANCHORARRAY(DATA_CLEANED!AN$3),A84)))</f>
        <v>7</v>
      </c>
      <c r="AQ84" s="112">
        <f>COUNTIF(_xlfn.ANCHORARRAY(DATA_CLEANED!K$3),A84)</f>
        <v>0</v>
      </c>
      <c r="AR84" s="113" t="str" cm="1">
        <f t="array" ref="AR84">_xlfn.LET(
_xlpm.home,IFERROR(_xlfn._xlws.FILTER(DATA_CLEANED!AH$3:AH$1060,DATA_CLEANED!AK$3:AK$1060=CALCULES!A84),""),
_xlpm.away,IFERROR(_xlfn._xlws.FILTER(DATA_CLEANED!AH$3:AH$1060,DATA_CLEANED!AN$3:AN$1060=CALCULES!A84),""),
_xlpm.etapes,_xlfn._xlws.FILTER(_xlfn.VSTACK(_xlpm.home,_xlpm.away),_xlfn.VSTACK(_xlpm.home,_xlpm.away)&lt;&gt;""),
_xlpm.numeros,_xlfn.XLOOKUP(_xlpm.etapes,DATA_QUALITE!AT$12:AT$38,DATA_QUALITE!AU$12:AU$38),
_xlfn.XLOOKUP(MIN(_xlpm.numeros),DATA_QUALITE!AU$12:AU$38,DATA_QUALITE!AT$12:AT$38)
)</f>
        <v>THIRD_PLACE</v>
      </c>
      <c r="AS84" s="112">
        <f t="shared" si="27"/>
        <v>3</v>
      </c>
      <c r="AT84" s="112">
        <f t="shared" si="28"/>
        <v>6</v>
      </c>
      <c r="AU84" s="112">
        <f>COUNTIFS(DATA_QUALITE!BG$12:BG$1069,"MATCH NUL",_xlfn.ANCHORARRAY(DATA_CLEANED!AK$3),CALCULES!A84)+COUNTIFS(DATA_QUALITE!BG$12:BG$1069,"MATCH NUL",_xlfn.ANCHORARRAY(DATA_CLEANED!AN$3),CALCULES!A84)</f>
        <v>1</v>
      </c>
      <c r="AV84" s="112">
        <v>21</v>
      </c>
      <c r="AW84" s="112">
        <f>COUNTIFS(_xlfn.ANCHORARRAY(DATA_CLEANED!AH$3),"QUARTER_FINALS",_xlfn.ANCHORARRAY(DATA_CLEANED!AK$3),CALCULES!A84)+COUNTIFS(_xlfn.ANCHORARRAY(DATA_CLEANED!AH$3),"QUARTER_FINALS",_xlfn.ANCHORARRAY(DATA_CLEANED!AN$3),CALCULES!A84)</f>
        <v>1</v>
      </c>
      <c r="AX84" s="112">
        <f>COUNTIFS(_xlfn.ANCHORARRAY(DATA_CLEANED!AH$3),"SEMI_FINALS",_xlfn.ANCHORARRAY(DATA_CLEANED!AK$3),CALCULES!A84)+COUNTIFS(_xlfn.ANCHORARRAY(DATA_CLEANED!AH$3),"SEMI_FINALS",_xlfn.ANCHORARRAY(DATA_CLEANED!AN$3),CALCULES!A84)</f>
        <v>1</v>
      </c>
      <c r="AY84" s="112">
        <f>COUNTIFS(_xlfn.ANCHORARRAY(DATA_CLEANED!AH$3),"FINAL",_xlfn.ANCHORARRAY(DATA_CLEANED!AK$3),CALCULES!A84)+COUNTIFS(_xlfn.ANCHORARRAY(DATA_CLEANED!AH$3),"FINAL",_xlfn.ANCHORARRAY(DATA_CLEANED!AN$3),CALCULES!A84)</f>
        <v>0</v>
      </c>
      <c r="AZ84" s="112">
        <f>COUNTIFS(DATA_QUALITE!BG$12:BG$1069,CALCULES!A84,DATA_QUALITE!AW$12:AW$1069,"FINAL")</f>
        <v>0</v>
      </c>
      <c r="BA84" s="113">
        <f t="shared" si="29"/>
        <v>42.82</v>
      </c>
      <c r="BB84" s="118">
        <f t="shared" si="33"/>
        <v>13.97</v>
      </c>
      <c r="BC84" s="118">
        <f t="shared" si="34"/>
        <v>11.85</v>
      </c>
      <c r="BD84" s="139">
        <f t="shared" si="35"/>
        <v>12.91</v>
      </c>
      <c r="BF84" s="167"/>
      <c r="BG84" s="167"/>
      <c r="BH84" s="167"/>
      <c r="BI84" s="167"/>
      <c r="BJ84" s="167"/>
      <c r="BK84" s="167"/>
      <c r="BL84" s="173">
        <f>INT((ROWS($BL$15:BL84)-1)/9)</f>
        <v>7</v>
      </c>
      <c r="BM84" s="173">
        <f>MOD(ROWS($BM$15:BM84)-1,9)</f>
        <v>6</v>
      </c>
      <c r="BN84" s="173">
        <f t="shared" si="36"/>
        <v>9.6615987413983422E-7</v>
      </c>
      <c r="BO84" s="167"/>
      <c r="BP84" s="167"/>
    </row>
    <row r="85" spans="1:68">
      <c r="A85" s="113" t="str">
        <v>Ukraine</v>
      </c>
      <c r="B85" s="112">
        <f>IF(COUNTIFS(_xlfn.ANCHORARRAY(DATA_CLEANED!$AF$3),CALCULES!B$2,_xlfn.ANCHORARRAY(DATA_CLEANED!$AK$3),CALCULES!$A85)+COUNTIFS(_xlfn.ANCHORARRAY(DATA_CLEANED!$AF$3),CALCULES!B$2,_xlfn.ANCHORARRAY(DATA_CLEANED!$AN$3),CALCULES!$A85)&gt;0,1,0)</f>
        <v>0</v>
      </c>
      <c r="C85" s="112">
        <f>IF(COUNTIFS(_xlfn.ANCHORARRAY(DATA_CLEANED!$AF$3),CALCULES!C$2,_xlfn.ANCHORARRAY(DATA_CLEANED!$AK$3),CALCULES!$A85)+COUNTIFS(_xlfn.ANCHORARRAY(DATA_CLEANED!$AF$3),CALCULES!C$2,_xlfn.ANCHORARRAY(DATA_CLEANED!$AN$3),CALCULES!$A85)&gt;0,1,0)</f>
        <v>0</v>
      </c>
      <c r="D85" s="112">
        <f>IF(COUNTIFS(_xlfn.ANCHORARRAY(DATA_CLEANED!$AF$3),CALCULES!D$2,_xlfn.ANCHORARRAY(DATA_CLEANED!$AK$3),CALCULES!$A85)+COUNTIFS(_xlfn.ANCHORARRAY(DATA_CLEANED!$AF$3),CALCULES!D$2,_xlfn.ANCHORARRAY(DATA_CLEANED!$AN$3),CALCULES!$A85)&gt;0,1,0)</f>
        <v>0</v>
      </c>
      <c r="E85" s="112">
        <f>IF(COUNTIFS(_xlfn.ANCHORARRAY(DATA_CLEANED!$AF$3),CALCULES!E$2,_xlfn.ANCHORARRAY(DATA_CLEANED!$AK$3),CALCULES!$A85)+COUNTIFS(_xlfn.ANCHORARRAY(DATA_CLEANED!$AF$3),CALCULES!E$2,_xlfn.ANCHORARRAY(DATA_CLEANED!$AN$3),CALCULES!$A85)&gt;0,1,0)</f>
        <v>0</v>
      </c>
      <c r="F85" s="112">
        <f>IF(COUNTIFS(_xlfn.ANCHORARRAY(DATA_CLEANED!$AF$3),CALCULES!F$2,_xlfn.ANCHORARRAY(DATA_CLEANED!$AK$3),CALCULES!$A85)+COUNTIFS(_xlfn.ANCHORARRAY(DATA_CLEANED!$AF$3),CALCULES!F$2,_xlfn.ANCHORARRAY(DATA_CLEANED!$AN$3),CALCULES!$A85)&gt;0,1,0)</f>
        <v>0</v>
      </c>
      <c r="G85" s="112">
        <f>IF(COUNTIFS(_xlfn.ANCHORARRAY(DATA_CLEANED!$AF$3),CALCULES!G$2,_xlfn.ANCHORARRAY(DATA_CLEANED!$AK$3),CALCULES!$A85)+COUNTIFS(_xlfn.ANCHORARRAY(DATA_CLEANED!$AF$3),CALCULES!G$2,_xlfn.ANCHORARRAY(DATA_CLEANED!$AN$3),CALCULES!$A85)&gt;0,1,0)</f>
        <v>0</v>
      </c>
      <c r="H85" s="112">
        <f>IF(COUNTIFS(_xlfn.ANCHORARRAY(DATA_CLEANED!$AF$3),CALCULES!H$2,_xlfn.ANCHORARRAY(DATA_CLEANED!$AK$3),CALCULES!$A85)+COUNTIFS(_xlfn.ANCHORARRAY(DATA_CLEANED!$AF$3),CALCULES!H$2,_xlfn.ANCHORARRAY(DATA_CLEANED!$AN$3),CALCULES!$A85)&gt;0,1,0)</f>
        <v>0</v>
      </c>
      <c r="I85" s="112">
        <f>IF(COUNTIFS(_xlfn.ANCHORARRAY(DATA_CLEANED!$AF$3),CALCULES!I$2,_xlfn.ANCHORARRAY(DATA_CLEANED!$AK$3),CALCULES!$A85)+COUNTIFS(_xlfn.ANCHORARRAY(DATA_CLEANED!$AF$3),CALCULES!I$2,_xlfn.ANCHORARRAY(DATA_CLEANED!$AN$3),CALCULES!$A85)&gt;0,1,0)</f>
        <v>0</v>
      </c>
      <c r="J85" s="112">
        <f>IF(COUNTIFS(_xlfn.ANCHORARRAY(DATA_CLEANED!$AF$3),CALCULES!J$2,_xlfn.ANCHORARRAY(DATA_CLEANED!$AK$3),CALCULES!$A85)+COUNTIFS(_xlfn.ANCHORARRAY(DATA_CLEANED!$AF$3),CALCULES!J$2,_xlfn.ANCHORARRAY(DATA_CLEANED!$AN$3),CALCULES!$A85)&gt;0,1,0)</f>
        <v>0</v>
      </c>
      <c r="K85" s="112">
        <f>IF(COUNTIFS(_xlfn.ANCHORARRAY(DATA_CLEANED!$AF$3),CALCULES!K$2,_xlfn.ANCHORARRAY(DATA_CLEANED!$AK$3),CALCULES!$A85)+COUNTIFS(_xlfn.ANCHORARRAY(DATA_CLEANED!$AF$3),CALCULES!K$2,_xlfn.ANCHORARRAY(DATA_CLEANED!$AN$3),CALCULES!$A85)&gt;0,1,0)</f>
        <v>0</v>
      </c>
      <c r="L85" s="112">
        <f>IF(COUNTIFS(_xlfn.ANCHORARRAY(DATA_CLEANED!$AF$3),CALCULES!L$2,_xlfn.ANCHORARRAY(DATA_CLEANED!$AK$3),CALCULES!$A85)+COUNTIFS(_xlfn.ANCHORARRAY(DATA_CLEANED!$AF$3),CALCULES!L$2,_xlfn.ANCHORARRAY(DATA_CLEANED!$AN$3),CALCULES!$A85)&gt;0,1,0)</f>
        <v>0</v>
      </c>
      <c r="M85" s="112">
        <f>IF(COUNTIFS(_xlfn.ANCHORARRAY(DATA_CLEANED!$AF$3),CALCULES!M$2,_xlfn.ANCHORARRAY(DATA_CLEANED!$AK$3),CALCULES!$A85)+COUNTIFS(_xlfn.ANCHORARRAY(DATA_CLEANED!$AF$3),CALCULES!M$2,_xlfn.ANCHORARRAY(DATA_CLEANED!$AN$3),CALCULES!$A85)&gt;0,1,0)</f>
        <v>0</v>
      </c>
      <c r="N85" s="112">
        <f>IF(COUNTIFS(_xlfn.ANCHORARRAY(DATA_CLEANED!$AF$3),CALCULES!N$2,_xlfn.ANCHORARRAY(DATA_CLEANED!$AK$3),CALCULES!$A85)+COUNTIFS(_xlfn.ANCHORARRAY(DATA_CLEANED!$AF$3),CALCULES!N$2,_xlfn.ANCHORARRAY(DATA_CLEANED!$AN$3),CALCULES!$A85)&gt;0,1,0)</f>
        <v>0</v>
      </c>
      <c r="O85" s="112">
        <f>IF(COUNTIFS(_xlfn.ANCHORARRAY(DATA_CLEANED!$AF$3),CALCULES!O$2,_xlfn.ANCHORARRAY(DATA_CLEANED!$AK$3),CALCULES!$A85)+COUNTIFS(_xlfn.ANCHORARRAY(DATA_CLEANED!$AF$3),CALCULES!O$2,_xlfn.ANCHORARRAY(DATA_CLEANED!$AN$3),CALCULES!$A85)&gt;0,1,0)</f>
        <v>0</v>
      </c>
      <c r="P85" s="112">
        <f>IF(COUNTIFS(_xlfn.ANCHORARRAY(DATA_CLEANED!$AF$3),CALCULES!P$2,_xlfn.ANCHORARRAY(DATA_CLEANED!$AK$3),CALCULES!$A85)+COUNTIFS(_xlfn.ANCHORARRAY(DATA_CLEANED!$AF$3),CALCULES!P$2,_xlfn.ANCHORARRAY(DATA_CLEANED!$AN$3),CALCULES!$A85)&gt;0,1,0)</f>
        <v>0</v>
      </c>
      <c r="Q85" s="112">
        <f>IF(COUNTIFS(_xlfn.ANCHORARRAY(DATA_CLEANED!$AF$3),CALCULES!Q$2,_xlfn.ANCHORARRAY(DATA_CLEANED!$AK$3),CALCULES!$A85)+COUNTIFS(_xlfn.ANCHORARRAY(DATA_CLEANED!$AF$3),CALCULES!Q$2,_xlfn.ANCHORARRAY(DATA_CLEANED!$AN$3),CALCULES!$A85)&gt;0,1,0)</f>
        <v>0</v>
      </c>
      <c r="R85" s="112">
        <f>IF(COUNTIFS(_xlfn.ANCHORARRAY(DATA_CLEANED!$AF$3),CALCULES!R$2,_xlfn.ANCHORARRAY(DATA_CLEANED!$AK$3),CALCULES!$A85)+COUNTIFS(_xlfn.ANCHORARRAY(DATA_CLEANED!$AF$3),CALCULES!R$2,_xlfn.ANCHORARRAY(DATA_CLEANED!$AN$3),CALCULES!$A85)&gt;0,1,0)</f>
        <v>0</v>
      </c>
      <c r="S85" s="112">
        <f>IF(COUNTIFS(_xlfn.ANCHORARRAY(DATA_CLEANED!$AF$3),CALCULES!S$2,_xlfn.ANCHORARRAY(DATA_CLEANED!$AK$3),CALCULES!$A85)+COUNTIFS(_xlfn.ANCHORARRAY(DATA_CLEANED!$AF$3),CALCULES!S$2,_xlfn.ANCHORARRAY(DATA_CLEANED!$AN$3),CALCULES!$A85)&gt;0,1,0)</f>
        <v>1</v>
      </c>
      <c r="T85" s="112">
        <f>IF(COUNTIFS(_xlfn.ANCHORARRAY(DATA_CLEANED!$AF$3),CALCULES!T$2,_xlfn.ANCHORARRAY(DATA_CLEANED!$AK$3),CALCULES!$A85)+COUNTIFS(_xlfn.ANCHORARRAY(DATA_CLEANED!$AF$3),CALCULES!T$2,_xlfn.ANCHORARRAY(DATA_CLEANED!$AN$3),CALCULES!$A85)&gt;0,1,0)</f>
        <v>0</v>
      </c>
      <c r="U85" s="112">
        <f>IF(COUNTIFS(_xlfn.ANCHORARRAY(DATA_CLEANED!$AF$3),CALCULES!U$2,_xlfn.ANCHORARRAY(DATA_CLEANED!$AK$3),CALCULES!$A85)+COUNTIFS(_xlfn.ANCHORARRAY(DATA_CLEANED!$AF$3),CALCULES!U$2,_xlfn.ANCHORARRAY(DATA_CLEANED!$AN$3),CALCULES!$A85)&gt;0,1,0)</f>
        <v>0</v>
      </c>
      <c r="V85" s="112">
        <f>IF(COUNTIFS(_xlfn.ANCHORARRAY(DATA_CLEANED!$AF$3),CALCULES!V$2,_xlfn.ANCHORARRAY(DATA_CLEANED!$AK$3),CALCULES!$A85)+COUNTIFS(_xlfn.ANCHORARRAY(DATA_CLEANED!$AF$3),CALCULES!V$2,_xlfn.ANCHORARRAY(DATA_CLEANED!$AN$3),CALCULES!$A85)&gt;0,1,0)</f>
        <v>0</v>
      </c>
      <c r="W85" s="112">
        <f>IF(COUNTIFS(_xlfn.ANCHORARRAY(DATA_CLEANED!$AF$3),CALCULES!W$2,_xlfn.ANCHORARRAY(DATA_CLEANED!$AK$3),CALCULES!$A85)+COUNTIFS(_xlfn.ANCHORARRAY(DATA_CLEANED!$AF$3),CALCULES!W$2,_xlfn.ANCHORARRAY(DATA_CLEANED!$AN$3),CALCULES!$A85)&gt;0,1,0)</f>
        <v>0</v>
      </c>
      <c r="X85" s="112">
        <f>IF(COUNTIFS(_xlfn.ANCHORARRAY(DATA_CLEANED!$AF$3),CALCULES!X$2,_xlfn.ANCHORARRAY(DATA_CLEANED!$AK$3),CALCULES!$A85)+COUNTIFS(_xlfn.ANCHORARRAY(DATA_CLEANED!$AF$3),CALCULES!X$2,_xlfn.ANCHORARRAY(DATA_CLEANED!$AN$3),CALCULES!$A85)&gt;0,1,0)</f>
        <v>0</v>
      </c>
      <c r="Y85" s="113">
        <f t="shared" si="23"/>
        <v>1</v>
      </c>
      <c r="AA85" s="112">
        <f>COUNTIF(_xlfn.ANCHORARRAY(DATA_CLEANED!$AK$3),$A85)+COUNTIF(DATA_CLEANED!$AN$2:$AN$1060,$A85)</f>
        <v>5</v>
      </c>
      <c r="AB85" s="112">
        <f>COUNTIF(DATA_QUALITE!BG$12:BG$1069,A85)</f>
        <v>3</v>
      </c>
      <c r="AC85" s="112">
        <f t="shared" si="30"/>
        <v>1</v>
      </c>
      <c r="AD85" s="112" cm="1">
        <f t="array" ref="AD85">SUMPRODUCT((DATA_CLEANED!AL$3:AL$1060=DATA_CLEANED!AM$3:AM$1060)*(_xlfn.ANCHORARRAY(DATA_CLEANED!AK$3)=CALCULES!A85)*(DATA_CLEANED!AO$3:AO$1060&lt;&gt;"-"))
+
SUMPRODUCT((DATA_CLEANED!AL$3:AL$1060=DATA_CLEANED!AM$3:AM$1060)*(_xlfn.ANCHORARRAY(DATA_CLEANED!AN$3)=CALCULES!A85)*(DATA_CLEANED!AO$3:AO$1060&lt;&gt;"-"))</f>
        <v>1</v>
      </c>
      <c r="AE85" s="116">
        <f t="shared" si="24"/>
        <v>0.6</v>
      </c>
      <c r="AF85" s="116">
        <f t="shared" si="25"/>
        <v>0.2</v>
      </c>
      <c r="AG85" s="112">
        <f>SUMIF(_xlfn.ANCHORARRAY(DATA_CLEANED!AK$3),A85,DATA_CLEANED!AL$2:AL$1060)+SUMIF(_xlfn.ANCHORARRAY(DATA_CLEANED!AN$3),A85,DATA_CLEANED!AM$2:AM$1060)</f>
        <v>5</v>
      </c>
      <c r="AH85" s="112">
        <f>SUMIF(_xlfn.ANCHORARRAY(DATA_CLEANED!AK$3),A85,DATA_CLEANED!AM$2:AM$1060)+SUMIF(_xlfn.ANCHORARRAY(DATA_CLEANED!AN$3),A85,DATA_CLEANED!AL$2:AL$1060)</f>
        <v>5</v>
      </c>
      <c r="AI85" s="112">
        <f t="shared" si="31"/>
        <v>1</v>
      </c>
      <c r="AJ85" s="117" cm="1">
        <f t="array" ref="AJ85">_xlfn.LET(_xlpm.home,IFERROR(_xlfn._xlws.FILTER(DATA_CLEANED!AH$3:AH$1060,DATA_CLEANED!AK$3:AK$1060=CALCULES!A85),""),
_xlpm.away,IFERROR(_xlfn._xlws.FILTER(DATA_CLEANED!AH$3:AH$1060,DATA_CLEANED!AN$3:AN$1060=CALCULES!A85),""),
_xlpm.assemb_t,_xlfn._xlws.FILTER(_xlfn.VSTACK(_xlpm.home,_xlpm.away),_xlfn.VSTACK(_xlpm.home,_xlpm.away)&lt;&gt;""),
_xlpm.but_h,IFERROR(_xlfn._xlws.FILTER(_xlfn.ANCHORARRAY(DATA_CLEANED!AM$3),DATA_CLEANED!AK$3:AK$1060=CALCULES!A85),""),
_xlpm.but_a,IFERROR(_xlfn._xlws.FILTER(_xlfn.ANCHORARRAY(DATA_CLEANED!AL$3),DATA_CLEANED!AN$3:AN$1060=CALCULES!A85),""),
_xlpm.assemb_b,_xlfn._xlws.FILTER(_xlfn.VSTACK(_xlpm.but_h,_xlpm.but_a),_xlfn.VSTACK(_xlpm.but_h,_xlpm.but_a)&lt;&gt;""),
MEDIAN(_xlpm.assemb_t,_xlpm.assemb_b)
)</f>
        <v>0</v>
      </c>
      <c r="AK85" s="113">
        <f t="shared" si="26"/>
        <v>0</v>
      </c>
      <c r="AL85" s="112" cm="1">
        <f t="array" ref="AL85">IFERROR(MEDIAN(_xlfn._xlws.FILTER(_xlfn.VSTACK(
DATA_CLEANED!AL$3:AL$1060-DATA_CLEANED!AM$3:AM$1060,
DATA_CLEANED!AM$3:AM$1060-DATA_CLEANED!AL$3:AL$1060
),_xlfn.VSTACK(DATA_CLEANED!AK$3:AK$1060,DATA_CLEANED!AN$3:AN$1060)=A85)),"-")</f>
        <v>0</v>
      </c>
      <c r="AM85" s="112">
        <f t="shared" si="32"/>
        <v>1</v>
      </c>
      <c r="AN85" s="112" cm="1">
        <f t="array" ref="AN85">_xlfn.LET(_xlpm.home,IFERROR(_xlfn._xlws.FILTER(DATA_CLEANED!AH$3:AH$1060,DATA_CLEANED!AK$3:AK$1060=CALCULES!A85),""),
_xlpm.away,IFERROR(_xlfn._xlws.FILTER(DATA_CLEANED!AH$3:AH$1060,DATA_CLEANED!AN$3:AN$1060=CALCULES!A85),""),
_xlpm.assemb_t,_xlfn._xlws.FILTER(_xlfn.VSTACK(_xlpm.home,_xlpm.away),_xlfn.VSTACK(_xlpm.home,_xlpm.away)&lt;&gt;""),
_xlpm.but_h,IFERROR(_xlfn._xlws.FILTER(_xlfn.ANCHORARRAY(DATA_CLEANED!AL$3),DATA_CLEANED!AK$3:AK$1060=CALCULES!A85),""),
_xlpm.but_a,IFERROR(_xlfn._xlws.FILTER(_xlfn.ANCHORARRAY(DATA_CLEANED!AM$3),DATA_CLEANED!AN$3:AN$1060=CALCULES!A85),""),
_xlpm.assemb_b,_xlfn._xlws.FILTER(_xlfn.VSTACK(_xlpm.but_h,_xlpm.but_a),_xlfn.VSTACK(_xlpm.but_h,_xlpm.but_a)&lt;&gt;""),
MEDIAN(_xlpm.assemb_t,_xlpm.assemb_b)
)</f>
        <v>0</v>
      </c>
      <c r="AO85" s="116">
        <f>ROUND(IFERROR((COUNTIFS(DATA_CLEANED!AK$3:AK$1060,A85,DATA_CLEANED!AM$3:AM$1060,0)
+
COUNTIFS(DATA_CLEANED!AN$3:AN$1060,A85,DATA_CLEANED!AL$3:AL$1060,0)
)/AA85,0),2)</f>
        <v>0.6</v>
      </c>
      <c r="AP85" s="112">
        <f>MAX((_xlfn.MAXIFS(_xlfn.ANCHORARRAY(DATA_CLEANED!AL$3),_xlfn.ANCHORARRAY(DATA_CLEANED!AK$3),A85)),(_xlfn.MAXIFS(DATA_CLEANED!AM$3:AM$1060,_xlfn.ANCHORARRAY(DATA_CLEANED!AN$3),A85)))</f>
        <v>4</v>
      </c>
      <c r="AQ85" s="112">
        <f>COUNTIF(_xlfn.ANCHORARRAY(DATA_CLEANED!K$3),A85)</f>
        <v>4</v>
      </c>
      <c r="AR85" s="113" t="str" cm="1">
        <f t="array" ref="AR85">_xlfn.LET(
_xlpm.home,IFERROR(_xlfn._xlws.FILTER(DATA_CLEANED!AH$3:AH$1060,DATA_CLEANED!AK$3:AK$1060=CALCULES!A85),""),
_xlpm.away,IFERROR(_xlfn._xlws.FILTER(DATA_CLEANED!AH$3:AH$1060,DATA_CLEANED!AN$3:AN$1060=CALCULES!A85),""),
_xlpm.etapes,_xlfn._xlws.FILTER(_xlfn.VSTACK(_xlpm.home,_xlpm.away),_xlfn.VSTACK(_xlpm.home,_xlpm.away)&lt;&gt;""),
_xlpm.numeros,_xlfn.XLOOKUP(_xlpm.etapes,DATA_QUALITE!AT$12:AT$38,DATA_QUALITE!AU$12:AU$38),
_xlfn.XLOOKUP(MIN(_xlpm.numeros),DATA_QUALITE!AU$12:AU$38,DATA_QUALITE!AT$12:AT$38)
)</f>
        <v>QUARTER_FINALS</v>
      </c>
      <c r="AS85" s="112">
        <f t="shared" si="27"/>
        <v>1</v>
      </c>
      <c r="AT85" s="112">
        <f t="shared" si="28"/>
        <v>3</v>
      </c>
      <c r="AU85" s="112">
        <f>COUNTIFS(DATA_QUALITE!BG$12:BG$1069,"MATCH NUL",_xlfn.ANCHORARRAY(DATA_CLEANED!AK$3),CALCULES!A85)+COUNTIFS(DATA_QUALITE!BG$12:BG$1069,"MATCH NUL",_xlfn.ANCHORARRAY(DATA_CLEANED!AN$3),CALCULES!A85)</f>
        <v>0</v>
      </c>
      <c r="AV85" s="112">
        <v>5</v>
      </c>
      <c r="AW85" s="112">
        <f>COUNTIFS(_xlfn.ANCHORARRAY(DATA_CLEANED!AH$3),"QUARTER_FINALS",_xlfn.ANCHORARRAY(DATA_CLEANED!AK$3),CALCULES!A85)+COUNTIFS(_xlfn.ANCHORARRAY(DATA_CLEANED!AH$3),"QUARTER_FINALS",_xlfn.ANCHORARRAY(DATA_CLEANED!AN$3),CALCULES!A85)</f>
        <v>1</v>
      </c>
      <c r="AX85" s="112">
        <f>COUNTIFS(_xlfn.ANCHORARRAY(DATA_CLEANED!AH$3),"SEMI_FINALS",_xlfn.ANCHORARRAY(DATA_CLEANED!AK$3),CALCULES!A85)+COUNTIFS(_xlfn.ANCHORARRAY(DATA_CLEANED!AH$3),"SEMI_FINALS",_xlfn.ANCHORARRAY(DATA_CLEANED!AN$3),CALCULES!A85)</f>
        <v>0</v>
      </c>
      <c r="AY85" s="112">
        <f>COUNTIFS(_xlfn.ANCHORARRAY(DATA_CLEANED!AH$3),"FINAL",_xlfn.ANCHORARRAY(DATA_CLEANED!AK$3),CALCULES!A85)+COUNTIFS(_xlfn.ANCHORARRAY(DATA_CLEANED!AH$3),"FINAL",_xlfn.ANCHORARRAY(DATA_CLEANED!AN$3),CALCULES!A85)</f>
        <v>0</v>
      </c>
      <c r="AZ85" s="112">
        <f>COUNTIFS(DATA_QUALITE!BG$12:BG$1069,CALCULES!A85,DATA_QUALITE!AW$12:AW$1069,"FINAL")</f>
        <v>0</v>
      </c>
      <c r="BA85" s="113">
        <f t="shared" si="29"/>
        <v>46</v>
      </c>
      <c r="BB85" s="118">
        <f t="shared" si="33"/>
        <v>6.12</v>
      </c>
      <c r="BC85" s="118">
        <f t="shared" si="34"/>
        <v>13.77</v>
      </c>
      <c r="BD85" s="139">
        <f t="shared" si="35"/>
        <v>9.9499999999999993</v>
      </c>
      <c r="BF85" s="167"/>
      <c r="BG85" s="167"/>
      <c r="BH85" s="167"/>
      <c r="BI85" s="167"/>
      <c r="BJ85" s="167"/>
      <c r="BK85" s="167"/>
      <c r="BL85" s="173">
        <f>INT((ROWS($BL$15:BL85)-1)/9)</f>
        <v>7</v>
      </c>
      <c r="BM85" s="173">
        <f>MOD(ROWS($BM$15:BM85)-1,9)</f>
        <v>7</v>
      </c>
      <c r="BN85" s="173">
        <f t="shared" si="36"/>
        <v>1.5457664940431682E-7</v>
      </c>
      <c r="BO85" s="167"/>
      <c r="BP85" s="167"/>
    </row>
    <row r="86" spans="1:68">
      <c r="A86" s="113" t="str">
        <v>United Arab Emirates</v>
      </c>
      <c r="B86" s="112">
        <f>IF(COUNTIFS(_xlfn.ANCHORARRAY(DATA_CLEANED!$AF$3),CALCULES!B$2,_xlfn.ANCHORARRAY(DATA_CLEANED!$AK$3),CALCULES!$A86)+COUNTIFS(_xlfn.ANCHORARRAY(DATA_CLEANED!$AF$3),CALCULES!B$2,_xlfn.ANCHORARRAY(DATA_CLEANED!$AN$3),CALCULES!$A86)&gt;0,1,0)</f>
        <v>0</v>
      </c>
      <c r="C86" s="112">
        <f>IF(COUNTIFS(_xlfn.ANCHORARRAY(DATA_CLEANED!$AF$3),CALCULES!C$2,_xlfn.ANCHORARRAY(DATA_CLEANED!$AK$3),CALCULES!$A86)+COUNTIFS(_xlfn.ANCHORARRAY(DATA_CLEANED!$AF$3),CALCULES!C$2,_xlfn.ANCHORARRAY(DATA_CLEANED!$AN$3),CALCULES!$A86)&gt;0,1,0)</f>
        <v>0</v>
      </c>
      <c r="D86" s="112">
        <f>IF(COUNTIFS(_xlfn.ANCHORARRAY(DATA_CLEANED!$AF$3),CALCULES!D$2,_xlfn.ANCHORARRAY(DATA_CLEANED!$AK$3),CALCULES!$A86)+COUNTIFS(_xlfn.ANCHORARRAY(DATA_CLEANED!$AF$3),CALCULES!D$2,_xlfn.ANCHORARRAY(DATA_CLEANED!$AN$3),CALCULES!$A86)&gt;0,1,0)</f>
        <v>0</v>
      </c>
      <c r="E86" s="112">
        <f>IF(COUNTIFS(_xlfn.ANCHORARRAY(DATA_CLEANED!$AF$3),CALCULES!E$2,_xlfn.ANCHORARRAY(DATA_CLEANED!$AK$3),CALCULES!$A86)+COUNTIFS(_xlfn.ANCHORARRAY(DATA_CLEANED!$AF$3),CALCULES!E$2,_xlfn.ANCHORARRAY(DATA_CLEANED!$AN$3),CALCULES!$A86)&gt;0,1,0)</f>
        <v>0</v>
      </c>
      <c r="F86" s="112">
        <f>IF(COUNTIFS(_xlfn.ANCHORARRAY(DATA_CLEANED!$AF$3),CALCULES!F$2,_xlfn.ANCHORARRAY(DATA_CLEANED!$AK$3),CALCULES!$A86)+COUNTIFS(_xlfn.ANCHORARRAY(DATA_CLEANED!$AF$3),CALCULES!F$2,_xlfn.ANCHORARRAY(DATA_CLEANED!$AN$3),CALCULES!$A86)&gt;0,1,0)</f>
        <v>0</v>
      </c>
      <c r="G86" s="112">
        <f>IF(COUNTIFS(_xlfn.ANCHORARRAY(DATA_CLEANED!$AF$3),CALCULES!G$2,_xlfn.ANCHORARRAY(DATA_CLEANED!$AK$3),CALCULES!$A86)+COUNTIFS(_xlfn.ANCHORARRAY(DATA_CLEANED!$AF$3),CALCULES!G$2,_xlfn.ANCHORARRAY(DATA_CLEANED!$AN$3),CALCULES!$A86)&gt;0,1,0)</f>
        <v>0</v>
      </c>
      <c r="H86" s="112">
        <f>IF(COUNTIFS(_xlfn.ANCHORARRAY(DATA_CLEANED!$AF$3),CALCULES!H$2,_xlfn.ANCHORARRAY(DATA_CLEANED!$AK$3),CALCULES!$A86)+COUNTIFS(_xlfn.ANCHORARRAY(DATA_CLEANED!$AF$3),CALCULES!H$2,_xlfn.ANCHORARRAY(DATA_CLEANED!$AN$3),CALCULES!$A86)&gt;0,1,0)</f>
        <v>0</v>
      </c>
      <c r="I86" s="112">
        <f>IF(COUNTIFS(_xlfn.ANCHORARRAY(DATA_CLEANED!$AF$3),CALCULES!I$2,_xlfn.ANCHORARRAY(DATA_CLEANED!$AK$3),CALCULES!$A86)+COUNTIFS(_xlfn.ANCHORARRAY(DATA_CLEANED!$AF$3),CALCULES!I$2,_xlfn.ANCHORARRAY(DATA_CLEANED!$AN$3),CALCULES!$A86)&gt;0,1,0)</f>
        <v>0</v>
      </c>
      <c r="J86" s="112">
        <f>IF(COUNTIFS(_xlfn.ANCHORARRAY(DATA_CLEANED!$AF$3),CALCULES!J$2,_xlfn.ANCHORARRAY(DATA_CLEANED!$AK$3),CALCULES!$A86)+COUNTIFS(_xlfn.ANCHORARRAY(DATA_CLEANED!$AF$3),CALCULES!J$2,_xlfn.ANCHORARRAY(DATA_CLEANED!$AN$3),CALCULES!$A86)&gt;0,1,0)</f>
        <v>0</v>
      </c>
      <c r="K86" s="112">
        <f>IF(COUNTIFS(_xlfn.ANCHORARRAY(DATA_CLEANED!$AF$3),CALCULES!K$2,_xlfn.ANCHORARRAY(DATA_CLEANED!$AK$3),CALCULES!$A86)+COUNTIFS(_xlfn.ANCHORARRAY(DATA_CLEANED!$AF$3),CALCULES!K$2,_xlfn.ANCHORARRAY(DATA_CLEANED!$AN$3),CALCULES!$A86)&gt;0,1,0)</f>
        <v>0</v>
      </c>
      <c r="L86" s="112">
        <f>IF(COUNTIFS(_xlfn.ANCHORARRAY(DATA_CLEANED!$AF$3),CALCULES!L$2,_xlfn.ANCHORARRAY(DATA_CLEANED!$AK$3),CALCULES!$A86)+COUNTIFS(_xlfn.ANCHORARRAY(DATA_CLEANED!$AF$3),CALCULES!L$2,_xlfn.ANCHORARRAY(DATA_CLEANED!$AN$3),CALCULES!$A86)&gt;0,1,0)</f>
        <v>0</v>
      </c>
      <c r="M86" s="112">
        <f>IF(COUNTIFS(_xlfn.ANCHORARRAY(DATA_CLEANED!$AF$3),CALCULES!M$2,_xlfn.ANCHORARRAY(DATA_CLEANED!$AK$3),CALCULES!$A86)+COUNTIFS(_xlfn.ANCHORARRAY(DATA_CLEANED!$AF$3),CALCULES!M$2,_xlfn.ANCHORARRAY(DATA_CLEANED!$AN$3),CALCULES!$A86)&gt;0,1,0)</f>
        <v>0</v>
      </c>
      <c r="N86" s="112">
        <f>IF(COUNTIFS(_xlfn.ANCHORARRAY(DATA_CLEANED!$AF$3),CALCULES!N$2,_xlfn.ANCHORARRAY(DATA_CLEANED!$AK$3),CALCULES!$A86)+COUNTIFS(_xlfn.ANCHORARRAY(DATA_CLEANED!$AF$3),CALCULES!N$2,_xlfn.ANCHORARRAY(DATA_CLEANED!$AN$3),CALCULES!$A86)&gt;0,1,0)</f>
        <v>0</v>
      </c>
      <c r="O86" s="112">
        <f>IF(COUNTIFS(_xlfn.ANCHORARRAY(DATA_CLEANED!$AF$3),CALCULES!O$2,_xlfn.ANCHORARRAY(DATA_CLEANED!$AK$3),CALCULES!$A86)+COUNTIFS(_xlfn.ANCHORARRAY(DATA_CLEANED!$AF$3),CALCULES!O$2,_xlfn.ANCHORARRAY(DATA_CLEANED!$AN$3),CALCULES!$A86)&gt;0,1,0)</f>
        <v>1</v>
      </c>
      <c r="P86" s="112">
        <f>IF(COUNTIFS(_xlfn.ANCHORARRAY(DATA_CLEANED!$AF$3),CALCULES!P$2,_xlfn.ANCHORARRAY(DATA_CLEANED!$AK$3),CALCULES!$A86)+COUNTIFS(_xlfn.ANCHORARRAY(DATA_CLEANED!$AF$3),CALCULES!P$2,_xlfn.ANCHORARRAY(DATA_CLEANED!$AN$3),CALCULES!$A86)&gt;0,1,0)</f>
        <v>0</v>
      </c>
      <c r="Q86" s="112">
        <f>IF(COUNTIFS(_xlfn.ANCHORARRAY(DATA_CLEANED!$AF$3),CALCULES!Q$2,_xlfn.ANCHORARRAY(DATA_CLEANED!$AK$3),CALCULES!$A86)+COUNTIFS(_xlfn.ANCHORARRAY(DATA_CLEANED!$AF$3),CALCULES!Q$2,_xlfn.ANCHORARRAY(DATA_CLEANED!$AN$3),CALCULES!$A86)&gt;0,1,0)</f>
        <v>0</v>
      </c>
      <c r="R86" s="112">
        <f>IF(COUNTIFS(_xlfn.ANCHORARRAY(DATA_CLEANED!$AF$3),CALCULES!R$2,_xlfn.ANCHORARRAY(DATA_CLEANED!$AK$3),CALCULES!$A86)+COUNTIFS(_xlfn.ANCHORARRAY(DATA_CLEANED!$AF$3),CALCULES!R$2,_xlfn.ANCHORARRAY(DATA_CLEANED!$AN$3),CALCULES!$A86)&gt;0,1,0)</f>
        <v>0</v>
      </c>
      <c r="S86" s="112">
        <f>IF(COUNTIFS(_xlfn.ANCHORARRAY(DATA_CLEANED!$AF$3),CALCULES!S$2,_xlfn.ANCHORARRAY(DATA_CLEANED!$AK$3),CALCULES!$A86)+COUNTIFS(_xlfn.ANCHORARRAY(DATA_CLEANED!$AF$3),CALCULES!S$2,_xlfn.ANCHORARRAY(DATA_CLEANED!$AN$3),CALCULES!$A86)&gt;0,1,0)</f>
        <v>0</v>
      </c>
      <c r="T86" s="112">
        <f>IF(COUNTIFS(_xlfn.ANCHORARRAY(DATA_CLEANED!$AF$3),CALCULES!T$2,_xlfn.ANCHORARRAY(DATA_CLEANED!$AK$3),CALCULES!$A86)+COUNTIFS(_xlfn.ANCHORARRAY(DATA_CLEANED!$AF$3),CALCULES!T$2,_xlfn.ANCHORARRAY(DATA_CLEANED!$AN$3),CALCULES!$A86)&gt;0,1,0)</f>
        <v>0</v>
      </c>
      <c r="U86" s="112">
        <f>IF(COUNTIFS(_xlfn.ANCHORARRAY(DATA_CLEANED!$AF$3),CALCULES!U$2,_xlfn.ANCHORARRAY(DATA_CLEANED!$AK$3),CALCULES!$A86)+COUNTIFS(_xlfn.ANCHORARRAY(DATA_CLEANED!$AF$3),CALCULES!U$2,_xlfn.ANCHORARRAY(DATA_CLEANED!$AN$3),CALCULES!$A86)&gt;0,1,0)</f>
        <v>0</v>
      </c>
      <c r="V86" s="112">
        <f>IF(COUNTIFS(_xlfn.ANCHORARRAY(DATA_CLEANED!$AF$3),CALCULES!V$2,_xlfn.ANCHORARRAY(DATA_CLEANED!$AK$3),CALCULES!$A86)+COUNTIFS(_xlfn.ANCHORARRAY(DATA_CLEANED!$AF$3),CALCULES!V$2,_xlfn.ANCHORARRAY(DATA_CLEANED!$AN$3),CALCULES!$A86)&gt;0,1,0)</f>
        <v>0</v>
      </c>
      <c r="W86" s="112">
        <f>IF(COUNTIFS(_xlfn.ANCHORARRAY(DATA_CLEANED!$AF$3),CALCULES!W$2,_xlfn.ANCHORARRAY(DATA_CLEANED!$AK$3),CALCULES!$A86)+COUNTIFS(_xlfn.ANCHORARRAY(DATA_CLEANED!$AF$3),CALCULES!W$2,_xlfn.ANCHORARRAY(DATA_CLEANED!$AN$3),CALCULES!$A86)&gt;0,1,0)</f>
        <v>0</v>
      </c>
      <c r="X86" s="112">
        <f>IF(COUNTIFS(_xlfn.ANCHORARRAY(DATA_CLEANED!$AF$3),CALCULES!X$2,_xlfn.ANCHORARRAY(DATA_CLEANED!$AK$3),CALCULES!$A86)+COUNTIFS(_xlfn.ANCHORARRAY(DATA_CLEANED!$AF$3),CALCULES!X$2,_xlfn.ANCHORARRAY(DATA_CLEANED!$AN$3),CALCULES!$A86)&gt;0,1,0)</f>
        <v>0</v>
      </c>
      <c r="Y86" s="113">
        <f t="shared" si="23"/>
        <v>1</v>
      </c>
      <c r="AA86" s="112">
        <f>COUNTIF(_xlfn.ANCHORARRAY(DATA_CLEANED!$AK$3),$A86)+COUNTIF(DATA_CLEANED!$AN$2:$AN$1060,$A86)</f>
        <v>3</v>
      </c>
      <c r="AB86" s="112">
        <f>COUNTIF(DATA_QUALITE!BG$12:BG$1069,A86)</f>
        <v>0</v>
      </c>
      <c r="AC86" s="112">
        <f t="shared" si="30"/>
        <v>3</v>
      </c>
      <c r="AD86" s="112" cm="1">
        <f t="array" ref="AD86">SUMPRODUCT((DATA_CLEANED!AL$3:AL$1060=DATA_CLEANED!AM$3:AM$1060)*(_xlfn.ANCHORARRAY(DATA_CLEANED!AK$3)=CALCULES!A86)*(DATA_CLEANED!AO$3:AO$1060&lt;&gt;"-"))
+
SUMPRODUCT((DATA_CLEANED!AL$3:AL$1060=DATA_CLEANED!AM$3:AM$1060)*(_xlfn.ANCHORARRAY(DATA_CLEANED!AN$3)=CALCULES!A86)*(DATA_CLEANED!AO$3:AO$1060&lt;&gt;"-"))</f>
        <v>0</v>
      </c>
      <c r="AE86" s="116">
        <f t="shared" si="24"/>
        <v>0</v>
      </c>
      <c r="AF86" s="116">
        <f t="shared" si="25"/>
        <v>1</v>
      </c>
      <c r="AG86" s="112">
        <f>SUMIF(_xlfn.ANCHORARRAY(DATA_CLEANED!AK$3),A86,DATA_CLEANED!AL$2:AL$1060)+SUMIF(_xlfn.ANCHORARRAY(DATA_CLEANED!AN$3),A86,DATA_CLEANED!AM$2:AM$1060)</f>
        <v>2</v>
      </c>
      <c r="AH86" s="112">
        <f>SUMIF(_xlfn.ANCHORARRAY(DATA_CLEANED!AK$3),A86,DATA_CLEANED!AM$2:AM$1060)+SUMIF(_xlfn.ANCHORARRAY(DATA_CLEANED!AN$3),A86,DATA_CLEANED!AL$2:AL$1060)</f>
        <v>3</v>
      </c>
      <c r="AI86" s="112">
        <f t="shared" si="31"/>
        <v>1</v>
      </c>
      <c r="AJ86" s="117" cm="1">
        <f t="array" ref="AJ86">_xlfn.LET(_xlpm.home,IFERROR(_xlfn._xlws.FILTER(DATA_CLEANED!AH$3:AH$1060,DATA_CLEANED!AK$3:AK$1060=CALCULES!A86),""),
_xlpm.away,IFERROR(_xlfn._xlws.FILTER(DATA_CLEANED!AH$3:AH$1060,DATA_CLEANED!AN$3:AN$1060=CALCULES!A86),""),
_xlpm.assemb_t,_xlfn._xlws.FILTER(_xlfn.VSTACK(_xlpm.home,_xlpm.away),_xlfn.VSTACK(_xlpm.home,_xlpm.away)&lt;&gt;""),
_xlpm.but_h,IFERROR(_xlfn._xlws.FILTER(_xlfn.ANCHORARRAY(DATA_CLEANED!AM$3),DATA_CLEANED!AK$3:AK$1060=CALCULES!A86),""),
_xlpm.but_a,IFERROR(_xlfn._xlws.FILTER(_xlfn.ANCHORARRAY(DATA_CLEANED!AL$3),DATA_CLEANED!AN$3:AN$1060=CALCULES!A86),""),
_xlpm.assemb_b,_xlfn._xlws.FILTER(_xlfn.VSTACK(_xlpm.but_h,_xlpm.but_a),_xlfn.VSTACK(_xlpm.but_h,_xlpm.but_a)&lt;&gt;""),
MEDIAN(_xlpm.assemb_t,_xlpm.assemb_b)
)</f>
        <v>4</v>
      </c>
      <c r="AK86" s="113">
        <f t="shared" si="26"/>
        <v>-1</v>
      </c>
      <c r="AL86" s="112" cm="1">
        <f t="array" ref="AL86">IFERROR(MEDIAN(_xlfn._xlws.FILTER(_xlfn.VSTACK(
DATA_CLEANED!AL$3:AL$1060-DATA_CLEANED!AM$3:AM$1060,
DATA_CLEANED!AM$3:AM$1060-DATA_CLEANED!AL$3:AL$1060
),_xlfn.VSTACK(DATA_CLEANED!AK$3:AK$1060,DATA_CLEANED!AN$3:AN$1060)=A86)),"-")</f>
        <v>-3</v>
      </c>
      <c r="AM86" s="112">
        <f t="shared" si="32"/>
        <v>0.67</v>
      </c>
      <c r="AN86" s="112" cm="1">
        <f t="array" ref="AN86">_xlfn.LET(_xlpm.home,IFERROR(_xlfn._xlws.FILTER(DATA_CLEANED!AH$3:AH$1060,DATA_CLEANED!AK$3:AK$1060=CALCULES!A86),""),
_xlpm.away,IFERROR(_xlfn._xlws.FILTER(DATA_CLEANED!AH$3:AH$1060,DATA_CLEANED!AN$3:AN$1060=CALCULES!A86),""),
_xlpm.assemb_t,_xlfn._xlws.FILTER(_xlfn.VSTACK(_xlpm.home,_xlpm.away),_xlfn.VSTACK(_xlpm.home,_xlpm.away)&lt;&gt;""),
_xlpm.but_h,IFERROR(_xlfn._xlws.FILTER(_xlfn.ANCHORARRAY(DATA_CLEANED!AL$3),DATA_CLEANED!AK$3:AK$1060=CALCULES!A86),""),
_xlpm.but_a,IFERROR(_xlfn._xlws.FILTER(_xlfn.ANCHORARRAY(DATA_CLEANED!AM$3),DATA_CLEANED!AN$3:AN$1060=CALCULES!A86),""),
_xlpm.assemb_b,_xlfn._xlws.FILTER(_xlfn.VSTACK(_xlpm.but_h,_xlpm.but_a),_xlfn.VSTACK(_xlpm.but_h,_xlpm.but_a)&lt;&gt;""),
MEDIAN(_xlpm.assemb_t,_xlpm.assemb_b)
)</f>
        <v>1</v>
      </c>
      <c r="AO86" s="116">
        <f>ROUND(IFERROR((COUNTIFS(DATA_CLEANED!AK$3:AK$1060,A86,DATA_CLEANED!AM$3:AM$1060,0)
+
COUNTIFS(DATA_CLEANED!AN$3:AN$1060,A86,DATA_CLEANED!AL$3:AL$1060,0)
)/AA86,0),2)</f>
        <v>0</v>
      </c>
      <c r="AP86" s="112">
        <f>MAX((_xlfn.MAXIFS(_xlfn.ANCHORARRAY(DATA_CLEANED!AL$3),_xlfn.ANCHORARRAY(DATA_CLEANED!AK$3),A86)),(_xlfn.MAXIFS(DATA_CLEANED!AM$3:AM$1060,_xlfn.ANCHORARRAY(DATA_CLEANED!AN$3),A86)))</f>
        <v>1</v>
      </c>
      <c r="AQ86" s="112">
        <f>COUNTIF(_xlfn.ANCHORARRAY(DATA_CLEANED!K$3),A86)</f>
        <v>0</v>
      </c>
      <c r="AR86" s="113" t="str" cm="1">
        <f t="array" ref="AR86">_xlfn.LET(
_xlpm.home,IFERROR(_xlfn._xlws.FILTER(DATA_CLEANED!AH$3:AH$1060,DATA_CLEANED!AK$3:AK$1060=CALCULES!A86),""),
_xlpm.away,IFERROR(_xlfn._xlws.FILTER(DATA_CLEANED!AH$3:AH$1060,DATA_CLEANED!AN$3:AN$1060=CALCULES!A86),""),
_xlpm.etapes,_xlfn._xlws.FILTER(_xlfn.VSTACK(_xlpm.home,_xlpm.away),_xlfn.VSTACK(_xlpm.home,_xlpm.away)&lt;&gt;""),
_xlpm.numeros,_xlfn.XLOOKUP(_xlpm.etapes,DATA_QUALITE!AT$12:AT$38,DATA_QUALITE!AU$12:AU$38),
_xlfn.XLOOKUP(MIN(_xlpm.numeros),DATA_QUALITE!AU$12:AU$38,DATA_QUALITE!AT$12:AT$38)
)</f>
        <v>GROUP_STAGE</v>
      </c>
      <c r="AS86" s="112">
        <f t="shared" si="27"/>
        <v>1</v>
      </c>
      <c r="AT86" s="112">
        <f t="shared" si="28"/>
        <v>0</v>
      </c>
      <c r="AU86" s="112">
        <f>COUNTIFS(DATA_QUALITE!BG$12:BG$1069,"MATCH NUL",_xlfn.ANCHORARRAY(DATA_CLEANED!AK$3),CALCULES!A86)+COUNTIFS(DATA_QUALITE!BG$12:BG$1069,"MATCH NUL",_xlfn.ANCHORARRAY(DATA_CLEANED!AN$3),CALCULES!A86)</f>
        <v>0</v>
      </c>
      <c r="AV86" s="112">
        <v>2</v>
      </c>
      <c r="AW86" s="112">
        <f>COUNTIFS(_xlfn.ANCHORARRAY(DATA_CLEANED!AH$3),"QUARTER_FINALS",_xlfn.ANCHORARRAY(DATA_CLEANED!AK$3),CALCULES!A86)+COUNTIFS(_xlfn.ANCHORARRAY(DATA_CLEANED!AH$3),"QUARTER_FINALS",_xlfn.ANCHORARRAY(DATA_CLEANED!AN$3),CALCULES!A86)</f>
        <v>0</v>
      </c>
      <c r="AX86" s="112">
        <f>COUNTIFS(_xlfn.ANCHORARRAY(DATA_CLEANED!AH$3),"SEMI_FINALS",_xlfn.ANCHORARRAY(DATA_CLEANED!AK$3),CALCULES!A86)+COUNTIFS(_xlfn.ANCHORARRAY(DATA_CLEANED!AH$3),"SEMI_FINALS",_xlfn.ANCHORARRAY(DATA_CLEANED!AN$3),CALCULES!A86)</f>
        <v>0</v>
      </c>
      <c r="AY86" s="112">
        <f>COUNTIFS(_xlfn.ANCHORARRAY(DATA_CLEANED!AH$3),"FINAL",_xlfn.ANCHORARRAY(DATA_CLEANED!AK$3),CALCULES!A86)+COUNTIFS(_xlfn.ANCHORARRAY(DATA_CLEANED!AH$3),"FINAL",_xlfn.ANCHORARRAY(DATA_CLEANED!AN$3),CALCULES!A86)</f>
        <v>0</v>
      </c>
      <c r="AZ86" s="112">
        <f>COUNTIFS(DATA_QUALITE!BG$12:BG$1069,CALCULES!A86,DATA_QUALITE!AW$12:AW$1069,"FINAL")</f>
        <v>0</v>
      </c>
      <c r="BA86" s="113">
        <f t="shared" si="29"/>
        <v>9.5</v>
      </c>
      <c r="BB86" s="118">
        <f t="shared" si="33"/>
        <v>0</v>
      </c>
      <c r="BC86" s="118">
        <f t="shared" si="34"/>
        <v>0</v>
      </c>
      <c r="BD86" s="139">
        <f t="shared" si="35"/>
        <v>0</v>
      </c>
      <c r="BF86" s="167"/>
      <c r="BG86" s="167"/>
      <c r="BH86" s="167"/>
      <c r="BI86" s="167"/>
      <c r="BJ86" s="167"/>
      <c r="BK86" s="167"/>
      <c r="BL86" s="173">
        <f>INT((ROWS($BL$15:BL86)-1)/9)</f>
        <v>7</v>
      </c>
      <c r="BM86" s="173">
        <f>MOD(ROWS($BM$15:BM86)-1,9)</f>
        <v>8</v>
      </c>
      <c r="BN86" s="173">
        <f t="shared" si="36"/>
        <v>2.1639480724704496E-8</v>
      </c>
      <c r="BO86" s="167"/>
      <c r="BP86" s="167"/>
    </row>
    <row r="87" spans="1:68">
      <c r="A87" s="113" t="str">
        <v>United States</v>
      </c>
      <c r="B87" s="112">
        <f>IF(COUNTIFS(_xlfn.ANCHORARRAY(DATA_CLEANED!$AF$3),CALCULES!B$2,_xlfn.ANCHORARRAY(DATA_CLEANED!$AK$3),CALCULES!$A87)+COUNTIFS(_xlfn.ANCHORARRAY(DATA_CLEANED!$AF$3),CALCULES!B$2,_xlfn.ANCHORARRAY(DATA_CLEANED!$AN$3),CALCULES!$A87)&gt;0,1,0)</f>
        <v>1</v>
      </c>
      <c r="C87" s="112">
        <f>IF(COUNTIFS(_xlfn.ANCHORARRAY(DATA_CLEANED!$AF$3),CALCULES!C$2,_xlfn.ANCHORARRAY(DATA_CLEANED!$AK$3),CALCULES!$A87)+COUNTIFS(_xlfn.ANCHORARRAY(DATA_CLEANED!$AF$3),CALCULES!C$2,_xlfn.ANCHORARRAY(DATA_CLEANED!$AN$3),CALCULES!$A87)&gt;0,1,0)</f>
        <v>1</v>
      </c>
      <c r="D87" s="112">
        <f>IF(COUNTIFS(_xlfn.ANCHORARRAY(DATA_CLEANED!$AF$3),CALCULES!D$2,_xlfn.ANCHORARRAY(DATA_CLEANED!$AK$3),CALCULES!$A87)+COUNTIFS(_xlfn.ANCHORARRAY(DATA_CLEANED!$AF$3),CALCULES!D$2,_xlfn.ANCHORARRAY(DATA_CLEANED!$AN$3),CALCULES!$A87)&gt;0,1,0)</f>
        <v>0</v>
      </c>
      <c r="E87" s="112">
        <f>IF(COUNTIFS(_xlfn.ANCHORARRAY(DATA_CLEANED!$AF$3),CALCULES!E$2,_xlfn.ANCHORARRAY(DATA_CLEANED!$AK$3),CALCULES!$A87)+COUNTIFS(_xlfn.ANCHORARRAY(DATA_CLEANED!$AF$3),CALCULES!E$2,_xlfn.ANCHORARRAY(DATA_CLEANED!$AN$3),CALCULES!$A87)&gt;0,1,0)</f>
        <v>1</v>
      </c>
      <c r="F87" s="112">
        <f>IF(COUNTIFS(_xlfn.ANCHORARRAY(DATA_CLEANED!$AF$3),CALCULES!F$2,_xlfn.ANCHORARRAY(DATA_CLEANED!$AK$3),CALCULES!$A87)+COUNTIFS(_xlfn.ANCHORARRAY(DATA_CLEANED!$AF$3),CALCULES!F$2,_xlfn.ANCHORARRAY(DATA_CLEANED!$AN$3),CALCULES!$A87)&gt;0,1,0)</f>
        <v>0</v>
      </c>
      <c r="G87" s="112">
        <f>IF(COUNTIFS(_xlfn.ANCHORARRAY(DATA_CLEANED!$AF$3),CALCULES!G$2,_xlfn.ANCHORARRAY(DATA_CLEANED!$AK$3),CALCULES!$A87)+COUNTIFS(_xlfn.ANCHORARRAY(DATA_CLEANED!$AF$3),CALCULES!G$2,_xlfn.ANCHORARRAY(DATA_CLEANED!$AN$3),CALCULES!$A87)&gt;0,1,0)</f>
        <v>0</v>
      </c>
      <c r="H87" s="112">
        <f>IF(COUNTIFS(_xlfn.ANCHORARRAY(DATA_CLEANED!$AF$3),CALCULES!H$2,_xlfn.ANCHORARRAY(DATA_CLEANED!$AK$3),CALCULES!$A87)+COUNTIFS(_xlfn.ANCHORARRAY(DATA_CLEANED!$AF$3),CALCULES!H$2,_xlfn.ANCHORARRAY(DATA_CLEANED!$AN$3),CALCULES!$A87)&gt;0,1,0)</f>
        <v>0</v>
      </c>
      <c r="I87" s="112">
        <f>IF(COUNTIFS(_xlfn.ANCHORARRAY(DATA_CLEANED!$AF$3),CALCULES!I$2,_xlfn.ANCHORARRAY(DATA_CLEANED!$AK$3),CALCULES!$A87)+COUNTIFS(_xlfn.ANCHORARRAY(DATA_CLEANED!$AF$3),CALCULES!I$2,_xlfn.ANCHORARRAY(DATA_CLEANED!$AN$3),CALCULES!$A87)&gt;0,1,0)</f>
        <v>0</v>
      </c>
      <c r="J87" s="112">
        <f>IF(COUNTIFS(_xlfn.ANCHORARRAY(DATA_CLEANED!$AF$3),CALCULES!J$2,_xlfn.ANCHORARRAY(DATA_CLEANED!$AK$3),CALCULES!$A87)+COUNTIFS(_xlfn.ANCHORARRAY(DATA_CLEANED!$AF$3),CALCULES!J$2,_xlfn.ANCHORARRAY(DATA_CLEANED!$AN$3),CALCULES!$A87)&gt;0,1,0)</f>
        <v>0</v>
      </c>
      <c r="K87" s="112">
        <f>IF(COUNTIFS(_xlfn.ANCHORARRAY(DATA_CLEANED!$AF$3),CALCULES!K$2,_xlfn.ANCHORARRAY(DATA_CLEANED!$AK$3),CALCULES!$A87)+COUNTIFS(_xlfn.ANCHORARRAY(DATA_CLEANED!$AF$3),CALCULES!K$2,_xlfn.ANCHORARRAY(DATA_CLEANED!$AN$3),CALCULES!$A87)&gt;0,1,0)</f>
        <v>0</v>
      </c>
      <c r="L87" s="112">
        <f>IF(COUNTIFS(_xlfn.ANCHORARRAY(DATA_CLEANED!$AF$3),CALCULES!L$2,_xlfn.ANCHORARRAY(DATA_CLEANED!$AK$3),CALCULES!$A87)+COUNTIFS(_xlfn.ANCHORARRAY(DATA_CLEANED!$AF$3),CALCULES!L$2,_xlfn.ANCHORARRAY(DATA_CLEANED!$AN$3),CALCULES!$A87)&gt;0,1,0)</f>
        <v>0</v>
      </c>
      <c r="M87" s="112">
        <f>IF(COUNTIFS(_xlfn.ANCHORARRAY(DATA_CLEANED!$AF$3),CALCULES!M$2,_xlfn.ANCHORARRAY(DATA_CLEANED!$AK$3),CALCULES!$A87)+COUNTIFS(_xlfn.ANCHORARRAY(DATA_CLEANED!$AF$3),CALCULES!M$2,_xlfn.ANCHORARRAY(DATA_CLEANED!$AN$3),CALCULES!$A87)&gt;0,1,0)</f>
        <v>0</v>
      </c>
      <c r="N87" s="112">
        <f>IF(COUNTIFS(_xlfn.ANCHORARRAY(DATA_CLEANED!$AF$3),CALCULES!N$2,_xlfn.ANCHORARRAY(DATA_CLEANED!$AK$3),CALCULES!$A87)+COUNTIFS(_xlfn.ANCHORARRAY(DATA_CLEANED!$AF$3),CALCULES!N$2,_xlfn.ANCHORARRAY(DATA_CLEANED!$AN$3),CALCULES!$A87)&gt;0,1,0)</f>
        <v>0</v>
      </c>
      <c r="O87" s="112">
        <f>IF(COUNTIFS(_xlfn.ANCHORARRAY(DATA_CLEANED!$AF$3),CALCULES!O$2,_xlfn.ANCHORARRAY(DATA_CLEANED!$AK$3),CALCULES!$A87)+COUNTIFS(_xlfn.ANCHORARRAY(DATA_CLEANED!$AF$3),CALCULES!O$2,_xlfn.ANCHORARRAY(DATA_CLEANED!$AN$3),CALCULES!$A87)&gt;0,1,0)</f>
        <v>1</v>
      </c>
      <c r="P87" s="112">
        <f>IF(COUNTIFS(_xlfn.ANCHORARRAY(DATA_CLEANED!$AF$3),CALCULES!P$2,_xlfn.ANCHORARRAY(DATA_CLEANED!$AK$3),CALCULES!$A87)+COUNTIFS(_xlfn.ANCHORARRAY(DATA_CLEANED!$AF$3),CALCULES!P$2,_xlfn.ANCHORARRAY(DATA_CLEANED!$AN$3),CALCULES!$A87)&gt;0,1,0)</f>
        <v>1</v>
      </c>
      <c r="Q87" s="112">
        <f>IF(COUNTIFS(_xlfn.ANCHORARRAY(DATA_CLEANED!$AF$3),CALCULES!Q$2,_xlfn.ANCHORARRAY(DATA_CLEANED!$AK$3),CALCULES!$A87)+COUNTIFS(_xlfn.ANCHORARRAY(DATA_CLEANED!$AF$3),CALCULES!Q$2,_xlfn.ANCHORARRAY(DATA_CLEANED!$AN$3),CALCULES!$A87)&gt;0,1,0)</f>
        <v>1</v>
      </c>
      <c r="R87" s="112">
        <f>IF(COUNTIFS(_xlfn.ANCHORARRAY(DATA_CLEANED!$AF$3),CALCULES!R$2,_xlfn.ANCHORARRAY(DATA_CLEANED!$AK$3),CALCULES!$A87)+COUNTIFS(_xlfn.ANCHORARRAY(DATA_CLEANED!$AF$3),CALCULES!R$2,_xlfn.ANCHORARRAY(DATA_CLEANED!$AN$3),CALCULES!$A87)&gt;0,1,0)</f>
        <v>1</v>
      </c>
      <c r="S87" s="112">
        <f>IF(COUNTIFS(_xlfn.ANCHORARRAY(DATA_CLEANED!$AF$3),CALCULES!S$2,_xlfn.ANCHORARRAY(DATA_CLEANED!$AK$3),CALCULES!$A87)+COUNTIFS(_xlfn.ANCHORARRAY(DATA_CLEANED!$AF$3),CALCULES!S$2,_xlfn.ANCHORARRAY(DATA_CLEANED!$AN$3),CALCULES!$A87)&gt;0,1,0)</f>
        <v>1</v>
      </c>
      <c r="T87" s="112">
        <f>IF(COUNTIFS(_xlfn.ANCHORARRAY(DATA_CLEANED!$AF$3),CALCULES!T$2,_xlfn.ANCHORARRAY(DATA_CLEANED!$AK$3),CALCULES!$A87)+COUNTIFS(_xlfn.ANCHORARRAY(DATA_CLEANED!$AF$3),CALCULES!T$2,_xlfn.ANCHORARRAY(DATA_CLEANED!$AN$3),CALCULES!$A87)&gt;0,1,0)</f>
        <v>1</v>
      </c>
      <c r="U87" s="112">
        <f>IF(COUNTIFS(_xlfn.ANCHORARRAY(DATA_CLEANED!$AF$3),CALCULES!U$2,_xlfn.ANCHORARRAY(DATA_CLEANED!$AK$3),CALCULES!$A87)+COUNTIFS(_xlfn.ANCHORARRAY(DATA_CLEANED!$AF$3),CALCULES!U$2,_xlfn.ANCHORARRAY(DATA_CLEANED!$AN$3),CALCULES!$A87)&gt;0,1,0)</f>
        <v>1</v>
      </c>
      <c r="V87" s="112">
        <f>IF(COUNTIFS(_xlfn.ANCHORARRAY(DATA_CLEANED!$AF$3),CALCULES!V$2,_xlfn.ANCHORARRAY(DATA_CLEANED!$AK$3),CALCULES!$A87)+COUNTIFS(_xlfn.ANCHORARRAY(DATA_CLEANED!$AF$3),CALCULES!V$2,_xlfn.ANCHORARRAY(DATA_CLEANED!$AN$3),CALCULES!$A87)&gt;0,1,0)</f>
        <v>0</v>
      </c>
      <c r="W87" s="112">
        <f>IF(COUNTIFS(_xlfn.ANCHORARRAY(DATA_CLEANED!$AF$3),CALCULES!W$2,_xlfn.ANCHORARRAY(DATA_CLEANED!$AK$3),CALCULES!$A87)+COUNTIFS(_xlfn.ANCHORARRAY(DATA_CLEANED!$AF$3),CALCULES!W$2,_xlfn.ANCHORARRAY(DATA_CLEANED!$AN$3),CALCULES!$A87)&gt;0,1,0)</f>
        <v>1</v>
      </c>
      <c r="X87" s="112">
        <f>IF(COUNTIFS(_xlfn.ANCHORARRAY(DATA_CLEANED!$AF$3),CALCULES!X$2,_xlfn.ANCHORARRAY(DATA_CLEANED!$AK$3),CALCULES!$A87)+COUNTIFS(_xlfn.ANCHORARRAY(DATA_CLEANED!$AF$3),CALCULES!X$2,_xlfn.ANCHORARRAY(DATA_CLEANED!$AN$3),CALCULES!$A87)&gt;0,1,0)</f>
        <v>1</v>
      </c>
      <c r="Y87" s="113">
        <f t="shared" si="23"/>
        <v>12</v>
      </c>
      <c r="AA87" s="112">
        <f>COUNTIF(_xlfn.ANCHORARRAY(DATA_CLEANED!$AK$3),$A87)+COUNTIF(DATA_CLEANED!$AN$2:$AN$1060,$A87)</f>
        <v>42</v>
      </c>
      <c r="AB87" s="112">
        <f>COUNTIF(DATA_QUALITE!BG$12:BG$1069,A87)</f>
        <v>12</v>
      </c>
      <c r="AC87" s="112">
        <f t="shared" si="30"/>
        <v>30</v>
      </c>
      <c r="AD87" s="112" cm="1">
        <f t="array" ref="AD87">SUMPRODUCT((DATA_CLEANED!AL$3:AL$1060=DATA_CLEANED!AM$3:AM$1060)*(_xlfn.ANCHORARRAY(DATA_CLEANED!AK$3)=CALCULES!A87)*(DATA_CLEANED!AO$3:AO$1060&lt;&gt;"-"))
+
SUMPRODUCT((DATA_CLEANED!AL$3:AL$1060=DATA_CLEANED!AM$3:AM$1060)*(_xlfn.ANCHORARRAY(DATA_CLEANED!AN$3)=CALCULES!A87)*(DATA_CLEANED!AO$3:AO$1060&lt;&gt;"-"))</f>
        <v>0</v>
      </c>
      <c r="AE87" s="116">
        <f t="shared" si="24"/>
        <v>0.2857142857142857</v>
      </c>
      <c r="AF87" s="116">
        <f t="shared" si="25"/>
        <v>0.7142857142857143</v>
      </c>
      <c r="AG87" s="112">
        <f>SUMIF(_xlfn.ANCHORARRAY(DATA_CLEANED!AK$3),A87,DATA_CLEANED!AL$2:AL$1060)+SUMIF(_xlfn.ANCHORARRAY(DATA_CLEANED!AN$3),A87,DATA_CLEANED!AM$2:AM$1060)</f>
        <v>55</v>
      </c>
      <c r="AH87" s="112">
        <f>SUMIF(_xlfn.ANCHORARRAY(DATA_CLEANED!AK$3),A87,DATA_CLEANED!AM$2:AM$1060)+SUMIF(_xlfn.ANCHORARRAY(DATA_CLEANED!AN$3),A87,DATA_CLEANED!AL$2:AL$1060)</f>
        <v>49</v>
      </c>
      <c r="AI87" s="112">
        <f t="shared" si="31"/>
        <v>1.17</v>
      </c>
      <c r="AJ87" s="117" cm="1">
        <f t="array" ref="AJ87">_xlfn.LET(_xlpm.home,IFERROR(_xlfn._xlws.FILTER(DATA_CLEANED!AH$3:AH$1060,DATA_CLEANED!AK$3:AK$1060=CALCULES!A87),""),
_xlpm.away,IFERROR(_xlfn._xlws.FILTER(DATA_CLEANED!AH$3:AH$1060,DATA_CLEANED!AN$3:AN$1060=CALCULES!A87),""),
_xlpm.assemb_t,_xlfn._xlws.FILTER(_xlfn.VSTACK(_xlpm.home,_xlpm.away),_xlfn.VSTACK(_xlpm.home,_xlpm.away)&lt;&gt;""),
_xlpm.but_h,IFERROR(_xlfn._xlws.FILTER(_xlfn.ANCHORARRAY(DATA_CLEANED!AM$3),DATA_CLEANED!AK$3:AK$1060=CALCULES!A87),""),
_xlpm.but_a,IFERROR(_xlfn._xlws.FILTER(_xlfn.ANCHORARRAY(DATA_CLEANED!AL$3),DATA_CLEANED!AN$3:AN$1060=CALCULES!A87),""),
_xlpm.assemb_b,_xlfn._xlws.FILTER(_xlfn.VSTACK(_xlpm.but_h,_xlpm.but_a),_xlfn.VSTACK(_xlpm.but_h,_xlpm.but_a)&lt;&gt;""),
MEDIAN(_xlpm.assemb_t,_xlpm.assemb_b)
)</f>
        <v>1</v>
      </c>
      <c r="AK87" s="113">
        <f t="shared" si="26"/>
        <v>6</v>
      </c>
      <c r="AL87" s="112" cm="1">
        <f t="array" ref="AL87">IFERROR(MEDIAN(_xlfn._xlws.FILTER(_xlfn.VSTACK(
DATA_CLEANED!AL$3:AL$1060-DATA_CLEANED!AM$3:AM$1060,
DATA_CLEANED!AM$3:AM$1060-DATA_CLEANED!AL$3:AL$1060
),_xlfn.VSTACK(DATA_CLEANED!AK$3:AK$1060,DATA_CLEANED!AN$3:AN$1060)=A87)),"-")</f>
        <v>-1</v>
      </c>
      <c r="AM87" s="112">
        <f t="shared" si="32"/>
        <v>1.31</v>
      </c>
      <c r="AN87" s="112" cm="1">
        <f t="array" ref="AN87">_xlfn.LET(_xlpm.home,IFERROR(_xlfn._xlws.FILTER(DATA_CLEANED!AH$3:AH$1060,DATA_CLEANED!AK$3:AK$1060=CALCULES!A87),""),
_xlpm.away,IFERROR(_xlfn._xlws.FILTER(DATA_CLEANED!AH$3:AH$1060,DATA_CLEANED!AN$3:AN$1060=CALCULES!A87),""),
_xlpm.assemb_t,_xlfn._xlws.FILTER(_xlfn.VSTACK(_xlpm.home,_xlpm.away),_xlfn.VSTACK(_xlpm.home,_xlpm.away)&lt;&gt;""),
_xlpm.but_h,IFERROR(_xlfn._xlws.FILTER(_xlfn.ANCHORARRAY(DATA_CLEANED!AL$3),DATA_CLEANED!AK$3:AK$1060=CALCULES!A87),""),
_xlpm.but_a,IFERROR(_xlfn._xlws.FILTER(_xlfn.ANCHORARRAY(DATA_CLEANED!AM$3),DATA_CLEANED!AN$3:AN$1060=CALCULES!A87),""),
_xlpm.assemb_b,_xlfn._xlws.FILTER(_xlfn.VSTACK(_xlpm.but_h,_xlpm.but_a),_xlfn.VSTACK(_xlpm.but_h,_xlpm.but_a)&lt;&gt;""),
MEDIAN(_xlpm.assemb_t,_xlpm.assemb_b)
)</f>
        <v>1</v>
      </c>
      <c r="AO87" s="116">
        <f>ROUND(IFERROR((COUNTIFS(DATA_CLEANED!AK$3:AK$1060,A87,DATA_CLEANED!AM$3:AM$1060,0)
+
COUNTIFS(DATA_CLEANED!AN$3:AN$1060,A87,DATA_CLEANED!AL$3:AL$1060,0)
)/AA87,0),2)</f>
        <v>0.21</v>
      </c>
      <c r="AP87" s="112">
        <f>MAX((_xlfn.MAXIFS(_xlfn.ANCHORARRAY(DATA_CLEANED!AL$3),_xlfn.ANCHORARRAY(DATA_CLEANED!AK$3),A87)),(_xlfn.MAXIFS(DATA_CLEANED!AM$3:AM$1060,_xlfn.ANCHORARRAY(DATA_CLEANED!AN$3),A87)))</f>
        <v>4</v>
      </c>
      <c r="AQ87" s="112">
        <f>COUNTIF(_xlfn.ANCHORARRAY(DATA_CLEANED!K$3),A87)</f>
        <v>0</v>
      </c>
      <c r="AR87" s="113" t="str" cm="1">
        <f t="array" ref="AR87">_xlfn.LET(
_xlpm.home,IFERROR(_xlfn._xlws.FILTER(DATA_CLEANED!AH$3:AH$1060,DATA_CLEANED!AK$3:AK$1060=CALCULES!A87),""),
_xlpm.away,IFERROR(_xlfn._xlws.FILTER(DATA_CLEANED!AH$3:AH$1060,DATA_CLEANED!AN$3:AN$1060=CALCULES!A87),""),
_xlpm.etapes,_xlfn._xlws.FILTER(_xlfn.VSTACK(_xlpm.home,_xlpm.away),_xlfn.VSTACK(_xlpm.home,_xlpm.away)&lt;&gt;""),
_xlpm.numeros,_xlfn.XLOOKUP(_xlpm.etapes,DATA_QUALITE!AT$12:AT$38,DATA_QUALITE!AU$12:AU$38),
_xlfn.XLOOKUP(MIN(_xlpm.numeros),DATA_QUALITE!AU$12:AU$38,DATA_QUALITE!AT$12:AT$38)
)</f>
        <v>THIRD_PLACE</v>
      </c>
      <c r="AS87" s="112">
        <f t="shared" si="27"/>
        <v>12</v>
      </c>
      <c r="AT87" s="112">
        <f t="shared" si="28"/>
        <v>12</v>
      </c>
      <c r="AU87" s="112">
        <f>COUNTIFS(DATA_QUALITE!BG$12:BG$1069,"MATCH NUL",_xlfn.ANCHORARRAY(DATA_CLEANED!AK$3),CALCULES!A87)+COUNTIFS(DATA_QUALITE!BG$12:BG$1069,"MATCH NUL",_xlfn.ANCHORARRAY(DATA_CLEANED!AN$3),CALCULES!A87)</f>
        <v>8</v>
      </c>
      <c r="AV87" s="112">
        <v>55</v>
      </c>
      <c r="AW87" s="112">
        <f>COUNTIFS(_xlfn.ANCHORARRAY(DATA_CLEANED!AH$3),"QUARTER_FINALS",_xlfn.ANCHORARRAY(DATA_CLEANED!AK$3),CALCULES!A87)+COUNTIFS(_xlfn.ANCHORARRAY(DATA_CLEANED!AH$3),"QUARTER_FINALS",_xlfn.ANCHORARRAY(DATA_CLEANED!AN$3),CALCULES!A87)</f>
        <v>1</v>
      </c>
      <c r="AX87" s="112">
        <f>COUNTIFS(_xlfn.ANCHORARRAY(DATA_CLEANED!AH$3),"SEMI_FINALS",_xlfn.ANCHORARRAY(DATA_CLEANED!AK$3),CALCULES!A87)+COUNTIFS(_xlfn.ANCHORARRAY(DATA_CLEANED!AH$3),"SEMI_FINALS",_xlfn.ANCHORARRAY(DATA_CLEANED!AN$3),CALCULES!A87)</f>
        <v>1</v>
      </c>
      <c r="AY87" s="112">
        <f>COUNTIFS(_xlfn.ANCHORARRAY(DATA_CLEANED!AH$3),"FINAL",_xlfn.ANCHORARRAY(DATA_CLEANED!AK$3),CALCULES!A87)+COUNTIFS(_xlfn.ANCHORARRAY(DATA_CLEANED!AH$3),"FINAL",_xlfn.ANCHORARRAY(DATA_CLEANED!AN$3),CALCULES!A87)</f>
        <v>0</v>
      </c>
      <c r="AZ87" s="112">
        <f>COUNTIFS(DATA_QUALITE!BG$12:BG$1069,CALCULES!A87,DATA_QUALITE!AW$12:AW$1069,"FINAL")</f>
        <v>0</v>
      </c>
      <c r="BA87" s="113">
        <f t="shared" si="29"/>
        <v>37.83</v>
      </c>
      <c r="BB87" s="118">
        <f t="shared" si="33"/>
        <v>16.03</v>
      </c>
      <c r="BC87" s="118">
        <f t="shared" si="34"/>
        <v>19.43</v>
      </c>
      <c r="BD87" s="139">
        <f t="shared" si="35"/>
        <v>17.73</v>
      </c>
      <c r="BF87" s="167"/>
      <c r="BG87" s="167"/>
      <c r="BH87" s="167"/>
      <c r="BI87" s="167"/>
      <c r="BJ87" s="167"/>
      <c r="BK87" s="167"/>
      <c r="BL87" s="173">
        <f>INT((ROWS($BL$15:BL87)-1)/9)</f>
        <v>8</v>
      </c>
      <c r="BM87" s="173">
        <f>MOD(ROWS($BM$15:BM87)-1,9)</f>
        <v>0</v>
      </c>
      <c r="BN87" s="173">
        <f t="shared" si="36"/>
        <v>7.0572711432894287E-5</v>
      </c>
      <c r="BO87" s="167"/>
      <c r="BP87" s="167"/>
    </row>
    <row r="88" spans="1:68">
      <c r="A88" s="113" t="str">
        <v>Uruguay</v>
      </c>
      <c r="B88" s="112">
        <f>IF(COUNTIFS(_xlfn.ANCHORARRAY(DATA_CLEANED!$AF$3),CALCULES!B$2,_xlfn.ANCHORARRAY(DATA_CLEANED!$AK$3),CALCULES!$A88)+COUNTIFS(_xlfn.ANCHORARRAY(DATA_CLEANED!$AF$3),CALCULES!B$2,_xlfn.ANCHORARRAY(DATA_CLEANED!$AN$3),CALCULES!$A88)&gt;0,1,0)</f>
        <v>1</v>
      </c>
      <c r="C88" s="112">
        <f>IF(COUNTIFS(_xlfn.ANCHORARRAY(DATA_CLEANED!$AF$3),CALCULES!C$2,_xlfn.ANCHORARRAY(DATA_CLEANED!$AK$3),CALCULES!$A88)+COUNTIFS(_xlfn.ANCHORARRAY(DATA_CLEANED!$AF$3),CALCULES!C$2,_xlfn.ANCHORARRAY(DATA_CLEANED!$AN$3),CALCULES!$A88)&gt;0,1,0)</f>
        <v>0</v>
      </c>
      <c r="D88" s="112">
        <f>IF(COUNTIFS(_xlfn.ANCHORARRAY(DATA_CLEANED!$AF$3),CALCULES!D$2,_xlfn.ANCHORARRAY(DATA_CLEANED!$AK$3),CALCULES!$A88)+COUNTIFS(_xlfn.ANCHORARRAY(DATA_CLEANED!$AF$3),CALCULES!D$2,_xlfn.ANCHORARRAY(DATA_CLEANED!$AN$3),CALCULES!$A88)&gt;0,1,0)</f>
        <v>0</v>
      </c>
      <c r="E88" s="112">
        <f>IF(COUNTIFS(_xlfn.ANCHORARRAY(DATA_CLEANED!$AF$3),CALCULES!E$2,_xlfn.ANCHORARRAY(DATA_CLEANED!$AK$3),CALCULES!$A88)+COUNTIFS(_xlfn.ANCHORARRAY(DATA_CLEANED!$AF$3),CALCULES!E$2,_xlfn.ANCHORARRAY(DATA_CLEANED!$AN$3),CALCULES!$A88)&gt;0,1,0)</f>
        <v>1</v>
      </c>
      <c r="F88" s="112">
        <f>IF(COUNTIFS(_xlfn.ANCHORARRAY(DATA_CLEANED!$AF$3),CALCULES!F$2,_xlfn.ANCHORARRAY(DATA_CLEANED!$AK$3),CALCULES!$A88)+COUNTIFS(_xlfn.ANCHORARRAY(DATA_CLEANED!$AF$3),CALCULES!F$2,_xlfn.ANCHORARRAY(DATA_CLEANED!$AN$3),CALCULES!$A88)&gt;0,1,0)</f>
        <v>1</v>
      </c>
      <c r="G88" s="112">
        <f>IF(COUNTIFS(_xlfn.ANCHORARRAY(DATA_CLEANED!$AF$3),CALCULES!G$2,_xlfn.ANCHORARRAY(DATA_CLEANED!$AK$3),CALCULES!$A88)+COUNTIFS(_xlfn.ANCHORARRAY(DATA_CLEANED!$AF$3),CALCULES!G$2,_xlfn.ANCHORARRAY(DATA_CLEANED!$AN$3),CALCULES!$A88)&gt;0,1,0)</f>
        <v>0</v>
      </c>
      <c r="H88" s="112">
        <f>IF(COUNTIFS(_xlfn.ANCHORARRAY(DATA_CLEANED!$AF$3),CALCULES!H$2,_xlfn.ANCHORARRAY(DATA_CLEANED!$AK$3),CALCULES!$A88)+COUNTIFS(_xlfn.ANCHORARRAY(DATA_CLEANED!$AF$3),CALCULES!H$2,_xlfn.ANCHORARRAY(DATA_CLEANED!$AN$3),CALCULES!$A88)&gt;0,1,0)</f>
        <v>1</v>
      </c>
      <c r="I88" s="112">
        <f>IF(COUNTIFS(_xlfn.ANCHORARRAY(DATA_CLEANED!$AF$3),CALCULES!I$2,_xlfn.ANCHORARRAY(DATA_CLEANED!$AK$3),CALCULES!$A88)+COUNTIFS(_xlfn.ANCHORARRAY(DATA_CLEANED!$AF$3),CALCULES!I$2,_xlfn.ANCHORARRAY(DATA_CLEANED!$AN$3),CALCULES!$A88)&gt;0,1,0)</f>
        <v>1</v>
      </c>
      <c r="J88" s="112">
        <f>IF(COUNTIFS(_xlfn.ANCHORARRAY(DATA_CLEANED!$AF$3),CALCULES!J$2,_xlfn.ANCHORARRAY(DATA_CLEANED!$AK$3),CALCULES!$A88)+COUNTIFS(_xlfn.ANCHORARRAY(DATA_CLEANED!$AF$3),CALCULES!J$2,_xlfn.ANCHORARRAY(DATA_CLEANED!$AN$3),CALCULES!$A88)&gt;0,1,0)</f>
        <v>1</v>
      </c>
      <c r="K88" s="112">
        <f>IF(COUNTIFS(_xlfn.ANCHORARRAY(DATA_CLEANED!$AF$3),CALCULES!K$2,_xlfn.ANCHORARRAY(DATA_CLEANED!$AK$3),CALCULES!$A88)+COUNTIFS(_xlfn.ANCHORARRAY(DATA_CLEANED!$AF$3),CALCULES!K$2,_xlfn.ANCHORARRAY(DATA_CLEANED!$AN$3),CALCULES!$A88)&gt;0,1,0)</f>
        <v>1</v>
      </c>
      <c r="L88" s="112">
        <f>IF(COUNTIFS(_xlfn.ANCHORARRAY(DATA_CLEANED!$AF$3),CALCULES!L$2,_xlfn.ANCHORARRAY(DATA_CLEANED!$AK$3),CALCULES!$A88)+COUNTIFS(_xlfn.ANCHORARRAY(DATA_CLEANED!$AF$3),CALCULES!L$2,_xlfn.ANCHORARRAY(DATA_CLEANED!$AN$3),CALCULES!$A88)&gt;0,1,0)</f>
        <v>0</v>
      </c>
      <c r="M88" s="112">
        <f>IF(COUNTIFS(_xlfn.ANCHORARRAY(DATA_CLEANED!$AF$3),CALCULES!M$2,_xlfn.ANCHORARRAY(DATA_CLEANED!$AK$3),CALCULES!$A88)+COUNTIFS(_xlfn.ANCHORARRAY(DATA_CLEANED!$AF$3),CALCULES!M$2,_xlfn.ANCHORARRAY(DATA_CLEANED!$AN$3),CALCULES!$A88)&gt;0,1,0)</f>
        <v>0</v>
      </c>
      <c r="N88" s="112">
        <f>IF(COUNTIFS(_xlfn.ANCHORARRAY(DATA_CLEANED!$AF$3),CALCULES!N$2,_xlfn.ANCHORARRAY(DATA_CLEANED!$AK$3),CALCULES!$A88)+COUNTIFS(_xlfn.ANCHORARRAY(DATA_CLEANED!$AF$3),CALCULES!N$2,_xlfn.ANCHORARRAY(DATA_CLEANED!$AN$3),CALCULES!$A88)&gt;0,1,0)</f>
        <v>1</v>
      </c>
      <c r="O88" s="112">
        <f>IF(COUNTIFS(_xlfn.ANCHORARRAY(DATA_CLEANED!$AF$3),CALCULES!O$2,_xlfn.ANCHORARRAY(DATA_CLEANED!$AK$3),CALCULES!$A88)+COUNTIFS(_xlfn.ANCHORARRAY(DATA_CLEANED!$AF$3),CALCULES!O$2,_xlfn.ANCHORARRAY(DATA_CLEANED!$AN$3),CALCULES!$A88)&gt;0,1,0)</f>
        <v>1</v>
      </c>
      <c r="P88" s="112">
        <f>IF(COUNTIFS(_xlfn.ANCHORARRAY(DATA_CLEANED!$AF$3),CALCULES!P$2,_xlfn.ANCHORARRAY(DATA_CLEANED!$AK$3),CALCULES!$A88)+COUNTIFS(_xlfn.ANCHORARRAY(DATA_CLEANED!$AF$3),CALCULES!P$2,_xlfn.ANCHORARRAY(DATA_CLEANED!$AN$3),CALCULES!$A88)&gt;0,1,0)</f>
        <v>0</v>
      </c>
      <c r="Q88" s="112">
        <f>IF(COUNTIFS(_xlfn.ANCHORARRAY(DATA_CLEANED!$AF$3),CALCULES!Q$2,_xlfn.ANCHORARRAY(DATA_CLEANED!$AK$3),CALCULES!$A88)+COUNTIFS(_xlfn.ANCHORARRAY(DATA_CLEANED!$AF$3),CALCULES!Q$2,_xlfn.ANCHORARRAY(DATA_CLEANED!$AN$3),CALCULES!$A88)&gt;0,1,0)</f>
        <v>0</v>
      </c>
      <c r="R88" s="112">
        <f>IF(COUNTIFS(_xlfn.ANCHORARRAY(DATA_CLEANED!$AF$3),CALCULES!R$2,_xlfn.ANCHORARRAY(DATA_CLEANED!$AK$3),CALCULES!$A88)+COUNTIFS(_xlfn.ANCHORARRAY(DATA_CLEANED!$AF$3),CALCULES!R$2,_xlfn.ANCHORARRAY(DATA_CLEANED!$AN$3),CALCULES!$A88)&gt;0,1,0)</f>
        <v>1</v>
      </c>
      <c r="S88" s="112">
        <f>IF(COUNTIFS(_xlfn.ANCHORARRAY(DATA_CLEANED!$AF$3),CALCULES!S$2,_xlfn.ANCHORARRAY(DATA_CLEANED!$AK$3),CALCULES!$A88)+COUNTIFS(_xlfn.ANCHORARRAY(DATA_CLEANED!$AF$3),CALCULES!S$2,_xlfn.ANCHORARRAY(DATA_CLEANED!$AN$3),CALCULES!$A88)&gt;0,1,0)</f>
        <v>0</v>
      </c>
      <c r="T88" s="112">
        <f>IF(COUNTIFS(_xlfn.ANCHORARRAY(DATA_CLEANED!$AF$3),CALCULES!T$2,_xlfn.ANCHORARRAY(DATA_CLEANED!$AK$3),CALCULES!$A88)+COUNTIFS(_xlfn.ANCHORARRAY(DATA_CLEANED!$AF$3),CALCULES!T$2,_xlfn.ANCHORARRAY(DATA_CLEANED!$AN$3),CALCULES!$A88)&gt;0,1,0)</f>
        <v>1</v>
      </c>
      <c r="U88" s="112">
        <f>IF(COUNTIFS(_xlfn.ANCHORARRAY(DATA_CLEANED!$AF$3),CALCULES!U$2,_xlfn.ANCHORARRAY(DATA_CLEANED!$AK$3),CALCULES!$A88)+COUNTIFS(_xlfn.ANCHORARRAY(DATA_CLEANED!$AF$3),CALCULES!U$2,_xlfn.ANCHORARRAY(DATA_CLEANED!$AN$3),CALCULES!$A88)&gt;0,1,0)</f>
        <v>1</v>
      </c>
      <c r="V88" s="112">
        <f>IF(COUNTIFS(_xlfn.ANCHORARRAY(DATA_CLEANED!$AF$3),CALCULES!V$2,_xlfn.ANCHORARRAY(DATA_CLEANED!$AK$3),CALCULES!$A88)+COUNTIFS(_xlfn.ANCHORARRAY(DATA_CLEANED!$AF$3),CALCULES!V$2,_xlfn.ANCHORARRAY(DATA_CLEANED!$AN$3),CALCULES!$A88)&gt;0,1,0)</f>
        <v>1</v>
      </c>
      <c r="W88" s="112">
        <f>IF(COUNTIFS(_xlfn.ANCHORARRAY(DATA_CLEANED!$AF$3),CALCULES!W$2,_xlfn.ANCHORARRAY(DATA_CLEANED!$AK$3),CALCULES!$A88)+COUNTIFS(_xlfn.ANCHORARRAY(DATA_CLEANED!$AF$3),CALCULES!W$2,_xlfn.ANCHORARRAY(DATA_CLEANED!$AN$3),CALCULES!$A88)&gt;0,1,0)</f>
        <v>1</v>
      </c>
      <c r="X88" s="112">
        <f>IF(COUNTIFS(_xlfn.ANCHORARRAY(DATA_CLEANED!$AF$3),CALCULES!X$2,_xlfn.ANCHORARRAY(DATA_CLEANED!$AK$3),CALCULES!$A88)+COUNTIFS(_xlfn.ANCHORARRAY(DATA_CLEANED!$AF$3),CALCULES!X$2,_xlfn.ANCHORARRAY(DATA_CLEANED!$AN$3),CALCULES!$A88)&gt;0,1,0)</f>
        <v>1</v>
      </c>
      <c r="Y88" s="113">
        <f t="shared" si="23"/>
        <v>15</v>
      </c>
      <c r="AA88" s="112">
        <f>COUNTIF(_xlfn.ANCHORARRAY(DATA_CLEANED!$AK$3),$A88)+COUNTIF(DATA_CLEANED!$AN$2:$AN$1060,$A88)</f>
        <v>62</v>
      </c>
      <c r="AB88" s="112">
        <f>COUNTIF(DATA_QUALITE!BG$12:BG$1069,A88)</f>
        <v>26</v>
      </c>
      <c r="AC88" s="112">
        <f t="shared" si="30"/>
        <v>35</v>
      </c>
      <c r="AD88" s="112" cm="1">
        <f t="array" ref="AD88">SUMPRODUCT((DATA_CLEANED!AL$3:AL$1060=DATA_CLEANED!AM$3:AM$1060)*(_xlfn.ANCHORARRAY(DATA_CLEANED!AK$3)=CALCULES!A88)*(DATA_CLEANED!AO$3:AO$1060&lt;&gt;"-"))
+
SUMPRODUCT((DATA_CLEANED!AL$3:AL$1060=DATA_CLEANED!AM$3:AM$1060)*(_xlfn.ANCHORARRAY(DATA_CLEANED!AN$3)=CALCULES!A88)*(DATA_CLEANED!AO$3:AO$1060&lt;&gt;"-"))</f>
        <v>1</v>
      </c>
      <c r="AE88" s="116">
        <f t="shared" si="24"/>
        <v>0.41935483870967744</v>
      </c>
      <c r="AF88" s="116">
        <f t="shared" si="25"/>
        <v>0.56451612903225812</v>
      </c>
      <c r="AG88" s="112">
        <f>SUMIF(_xlfn.ANCHORARRAY(DATA_CLEANED!AK$3),A88,DATA_CLEANED!AL$2:AL$1060)+SUMIF(_xlfn.ANCHORARRAY(DATA_CLEANED!AN$3),A88,DATA_CLEANED!AM$2:AM$1060)</f>
        <v>100</v>
      </c>
      <c r="AH88" s="112">
        <f>SUMIF(_xlfn.ANCHORARRAY(DATA_CLEANED!AK$3),A88,DATA_CLEANED!AM$2:AM$1060)+SUMIF(_xlfn.ANCHORARRAY(DATA_CLEANED!AN$3),A88,DATA_CLEANED!AL$2:AL$1060)</f>
        <v>78</v>
      </c>
      <c r="AI88" s="112">
        <f t="shared" si="31"/>
        <v>1.26</v>
      </c>
      <c r="AJ88" s="117" cm="1">
        <f t="array" ref="AJ88">_xlfn.LET(_xlpm.home,IFERROR(_xlfn._xlws.FILTER(DATA_CLEANED!AH$3:AH$1060,DATA_CLEANED!AK$3:AK$1060=CALCULES!A88),""),
_xlpm.away,IFERROR(_xlfn._xlws.FILTER(DATA_CLEANED!AH$3:AH$1060,DATA_CLEANED!AN$3:AN$1060=CALCULES!A88),""),
_xlpm.assemb_t,_xlfn._xlws.FILTER(_xlfn.VSTACK(_xlpm.home,_xlpm.away),_xlfn.VSTACK(_xlpm.home,_xlpm.away)&lt;&gt;""),
_xlpm.but_h,IFERROR(_xlfn._xlws.FILTER(_xlfn.ANCHORARRAY(DATA_CLEANED!AM$3),DATA_CLEANED!AK$3:AK$1060=CALCULES!A88),""),
_xlpm.but_a,IFERROR(_xlfn._xlws.FILTER(_xlfn.ANCHORARRAY(DATA_CLEANED!AL$3),DATA_CLEANED!AN$3:AN$1060=CALCULES!A88),""),
_xlpm.assemb_b,_xlfn._xlws.FILTER(_xlfn.VSTACK(_xlpm.but_h,_xlpm.but_a),_xlfn.VSTACK(_xlpm.but_h,_xlpm.but_a)&lt;&gt;""),
MEDIAN(_xlpm.assemb_t,_xlpm.assemb_b)
)</f>
        <v>1</v>
      </c>
      <c r="AK88" s="113">
        <f t="shared" si="26"/>
        <v>22</v>
      </c>
      <c r="AL88" s="112" cm="1">
        <f t="array" ref="AL88">IFERROR(MEDIAN(_xlfn._xlws.FILTER(_xlfn.VSTACK(
DATA_CLEANED!AL$3:AL$1060-DATA_CLEANED!AM$3:AM$1060,
DATA_CLEANED!AM$3:AM$1060-DATA_CLEANED!AL$3:AL$1060
),_xlfn.VSTACK(DATA_CLEANED!AK$3:AK$1060,DATA_CLEANED!AN$3:AN$1060)=A88)),"-")</f>
        <v>0</v>
      </c>
      <c r="AM88" s="112">
        <f t="shared" si="32"/>
        <v>1.61</v>
      </c>
      <c r="AN88" s="112" cm="1">
        <f t="array" ref="AN88">_xlfn.LET(_xlpm.home,IFERROR(_xlfn._xlws.FILTER(DATA_CLEANED!AH$3:AH$1060,DATA_CLEANED!AK$3:AK$1060=CALCULES!A88),""),
_xlpm.away,IFERROR(_xlfn._xlws.FILTER(DATA_CLEANED!AH$3:AH$1060,DATA_CLEANED!AN$3:AN$1060=CALCULES!A88),""),
_xlpm.assemb_t,_xlfn._xlws.FILTER(_xlfn.VSTACK(_xlpm.home,_xlpm.away),_xlfn.VSTACK(_xlpm.home,_xlpm.away)&lt;&gt;""),
_xlpm.but_h,IFERROR(_xlfn._xlws.FILTER(_xlfn.ANCHORARRAY(DATA_CLEANED!AL$3),DATA_CLEANED!AK$3:AK$1060=CALCULES!A88),""),
_xlpm.but_a,IFERROR(_xlfn._xlws.FILTER(_xlfn.ANCHORARRAY(DATA_CLEANED!AM$3),DATA_CLEANED!AN$3:AN$1060=CALCULES!A88),""),
_xlpm.assemb_b,_xlfn._xlws.FILTER(_xlfn.VSTACK(_xlpm.but_h,_xlpm.but_a),_xlfn.VSTACK(_xlpm.but_h,_xlpm.but_a)&lt;&gt;""),
MEDIAN(_xlpm.assemb_t,_xlpm.assemb_b)
)</f>
        <v>1</v>
      </c>
      <c r="AO88" s="116">
        <f>ROUND(IFERROR((COUNTIFS(DATA_CLEANED!AK$3:AK$1060,A88,DATA_CLEANED!AM$3:AM$1060,0)
+
COUNTIFS(DATA_CLEANED!AN$3:AN$1060,A88,DATA_CLEANED!AL$3:AL$1060,0)
)/AA88,0),2)</f>
        <v>0.37</v>
      </c>
      <c r="AP88" s="112">
        <f>MAX((_xlfn.MAXIFS(_xlfn.ANCHORARRAY(DATA_CLEANED!AL$3),_xlfn.ANCHORARRAY(DATA_CLEANED!AK$3),A88)),(_xlfn.MAXIFS(DATA_CLEANED!AM$3:AM$1060,_xlfn.ANCHORARRAY(DATA_CLEANED!AN$3),A88)))</f>
        <v>8</v>
      </c>
      <c r="AQ88" s="112">
        <f>COUNTIF(_xlfn.ANCHORARRAY(DATA_CLEANED!K$3),A88)</f>
        <v>5</v>
      </c>
      <c r="AR88" s="113" t="str" cm="1">
        <f t="array" ref="AR88">_xlfn.LET(
_xlpm.home,IFERROR(_xlfn._xlws.FILTER(DATA_CLEANED!AH$3:AH$1060,DATA_CLEANED!AK$3:AK$1060=CALCULES!A88),""),
_xlpm.away,IFERROR(_xlfn._xlws.FILTER(DATA_CLEANED!AH$3:AH$1060,DATA_CLEANED!AN$3:AN$1060=CALCULES!A88),""),
_xlpm.etapes,_xlfn._xlws.FILTER(_xlfn.VSTACK(_xlpm.home,_xlpm.away),_xlfn.VSTACK(_xlpm.home,_xlpm.away)&lt;&gt;""),
_xlpm.numeros,_xlfn.XLOOKUP(_xlpm.etapes,DATA_QUALITE!AT$12:AT$38,DATA_QUALITE!AU$12:AU$38),
_xlfn.XLOOKUP(MIN(_xlpm.numeros),DATA_QUALITE!AU$12:AU$38,DATA_QUALITE!AT$12:AT$38)
)</f>
        <v>FINAL</v>
      </c>
      <c r="AS88" s="112">
        <f t="shared" si="27"/>
        <v>15</v>
      </c>
      <c r="AT88" s="112">
        <f t="shared" si="28"/>
        <v>26</v>
      </c>
      <c r="AU88" s="112">
        <f>COUNTIFS(DATA_QUALITE!BG$12:BG$1069,"MATCH NUL",_xlfn.ANCHORARRAY(DATA_CLEANED!AK$3),CALCULES!A88)+COUNTIFS(DATA_QUALITE!BG$12:BG$1069,"MATCH NUL",_xlfn.ANCHORARRAY(DATA_CLEANED!AN$3),CALCULES!A88)</f>
        <v>14</v>
      </c>
      <c r="AV88" s="112">
        <v>100</v>
      </c>
      <c r="AW88" s="112">
        <f>COUNTIFS(_xlfn.ANCHORARRAY(DATA_CLEANED!AH$3),"QUARTER_FINALS",_xlfn.ANCHORARRAY(DATA_CLEANED!AK$3),CALCULES!A88)+COUNTIFS(_xlfn.ANCHORARRAY(DATA_CLEANED!AH$3),"QUARTER_FINALS",_xlfn.ANCHORARRAY(DATA_CLEANED!AN$3),CALCULES!A88)</f>
        <v>5</v>
      </c>
      <c r="AX88" s="112">
        <f>COUNTIFS(_xlfn.ANCHORARRAY(DATA_CLEANED!AH$3),"SEMI_FINALS",_xlfn.ANCHORARRAY(DATA_CLEANED!AK$3),CALCULES!A88)+COUNTIFS(_xlfn.ANCHORARRAY(DATA_CLEANED!AH$3),"SEMI_FINALS",_xlfn.ANCHORARRAY(DATA_CLEANED!AN$3),CALCULES!A88)</f>
        <v>4</v>
      </c>
      <c r="AY88" s="112">
        <f>COUNTIFS(_xlfn.ANCHORARRAY(DATA_CLEANED!AH$3),"FINAL",_xlfn.ANCHORARRAY(DATA_CLEANED!AK$3),CALCULES!A88)+COUNTIFS(_xlfn.ANCHORARRAY(DATA_CLEANED!AH$3),"FINAL",_xlfn.ANCHORARRAY(DATA_CLEANED!AN$3),CALCULES!A88)</f>
        <v>1</v>
      </c>
      <c r="AZ88" s="112">
        <f>COUNTIFS(DATA_QUALITE!BG$12:BG$1069,CALCULES!A88,DATA_QUALITE!AW$12:AW$1069,"FINAL")</f>
        <v>1</v>
      </c>
      <c r="BA88" s="113">
        <f t="shared" si="29"/>
        <v>41.81</v>
      </c>
      <c r="BB88" s="118">
        <f t="shared" si="33"/>
        <v>28.49</v>
      </c>
      <c r="BC88" s="118">
        <f t="shared" si="34"/>
        <v>29.39</v>
      </c>
      <c r="BD88" s="139">
        <f t="shared" si="35"/>
        <v>28.94</v>
      </c>
      <c r="BF88" s="167"/>
      <c r="BG88" s="167"/>
      <c r="BH88" s="167"/>
      <c r="BI88" s="167"/>
      <c r="BJ88" s="167"/>
      <c r="BK88" s="167"/>
      <c r="BL88" s="173">
        <f>INT((ROWS($BL$15:BL88)-1)/9)</f>
        <v>8</v>
      </c>
      <c r="BM88" s="173">
        <f>MOD(ROWS($BM$15:BM88)-1,9)</f>
        <v>1</v>
      </c>
      <c r="BN88" s="173">
        <f t="shared" si="36"/>
        <v>7.9036870555927632E-5</v>
      </c>
      <c r="BO88" s="167"/>
      <c r="BP88" s="167"/>
    </row>
    <row r="89" spans="1:68">
      <c r="A89" s="113" t="str">
        <v>Uzbekistan</v>
      </c>
      <c r="B89" s="112">
        <f>IF(COUNTIFS(_xlfn.ANCHORARRAY(DATA_CLEANED!$AF$3),CALCULES!B$2,_xlfn.ANCHORARRAY(DATA_CLEANED!$AK$3),CALCULES!$A89)+COUNTIFS(_xlfn.ANCHORARRAY(DATA_CLEANED!$AF$3),CALCULES!B$2,_xlfn.ANCHORARRAY(DATA_CLEANED!$AN$3),CALCULES!$A89)&gt;0,1,0)</f>
        <v>0</v>
      </c>
      <c r="C89" s="112">
        <f>IF(COUNTIFS(_xlfn.ANCHORARRAY(DATA_CLEANED!$AF$3),CALCULES!C$2,_xlfn.ANCHORARRAY(DATA_CLEANED!$AK$3),CALCULES!$A89)+COUNTIFS(_xlfn.ANCHORARRAY(DATA_CLEANED!$AF$3),CALCULES!C$2,_xlfn.ANCHORARRAY(DATA_CLEANED!$AN$3),CALCULES!$A89)&gt;0,1,0)</f>
        <v>0</v>
      </c>
      <c r="D89" s="112">
        <f>IF(COUNTIFS(_xlfn.ANCHORARRAY(DATA_CLEANED!$AF$3),CALCULES!D$2,_xlfn.ANCHORARRAY(DATA_CLEANED!$AK$3),CALCULES!$A89)+COUNTIFS(_xlfn.ANCHORARRAY(DATA_CLEANED!$AF$3),CALCULES!D$2,_xlfn.ANCHORARRAY(DATA_CLEANED!$AN$3),CALCULES!$A89)&gt;0,1,0)</f>
        <v>0</v>
      </c>
      <c r="E89" s="112">
        <f>IF(COUNTIFS(_xlfn.ANCHORARRAY(DATA_CLEANED!$AF$3),CALCULES!E$2,_xlfn.ANCHORARRAY(DATA_CLEANED!$AK$3),CALCULES!$A89)+COUNTIFS(_xlfn.ANCHORARRAY(DATA_CLEANED!$AF$3),CALCULES!E$2,_xlfn.ANCHORARRAY(DATA_CLEANED!$AN$3),CALCULES!$A89)&gt;0,1,0)</f>
        <v>0</v>
      </c>
      <c r="F89" s="112">
        <f>IF(COUNTIFS(_xlfn.ANCHORARRAY(DATA_CLEANED!$AF$3),CALCULES!F$2,_xlfn.ANCHORARRAY(DATA_CLEANED!$AK$3),CALCULES!$A89)+COUNTIFS(_xlfn.ANCHORARRAY(DATA_CLEANED!$AF$3),CALCULES!F$2,_xlfn.ANCHORARRAY(DATA_CLEANED!$AN$3),CALCULES!$A89)&gt;0,1,0)</f>
        <v>0</v>
      </c>
      <c r="G89" s="112">
        <f>IF(COUNTIFS(_xlfn.ANCHORARRAY(DATA_CLEANED!$AF$3),CALCULES!G$2,_xlfn.ANCHORARRAY(DATA_CLEANED!$AK$3),CALCULES!$A89)+COUNTIFS(_xlfn.ANCHORARRAY(DATA_CLEANED!$AF$3),CALCULES!G$2,_xlfn.ANCHORARRAY(DATA_CLEANED!$AN$3),CALCULES!$A89)&gt;0,1,0)</f>
        <v>0</v>
      </c>
      <c r="H89" s="112">
        <f>IF(COUNTIFS(_xlfn.ANCHORARRAY(DATA_CLEANED!$AF$3),CALCULES!H$2,_xlfn.ANCHORARRAY(DATA_CLEANED!$AK$3),CALCULES!$A89)+COUNTIFS(_xlfn.ANCHORARRAY(DATA_CLEANED!$AF$3),CALCULES!H$2,_xlfn.ANCHORARRAY(DATA_CLEANED!$AN$3),CALCULES!$A89)&gt;0,1,0)</f>
        <v>0</v>
      </c>
      <c r="I89" s="112">
        <f>IF(COUNTIFS(_xlfn.ANCHORARRAY(DATA_CLEANED!$AF$3),CALCULES!I$2,_xlfn.ANCHORARRAY(DATA_CLEANED!$AK$3),CALCULES!$A89)+COUNTIFS(_xlfn.ANCHORARRAY(DATA_CLEANED!$AF$3),CALCULES!I$2,_xlfn.ANCHORARRAY(DATA_CLEANED!$AN$3),CALCULES!$A89)&gt;0,1,0)</f>
        <v>0</v>
      </c>
      <c r="J89" s="112">
        <f>IF(COUNTIFS(_xlfn.ANCHORARRAY(DATA_CLEANED!$AF$3),CALCULES!J$2,_xlfn.ANCHORARRAY(DATA_CLEANED!$AK$3),CALCULES!$A89)+COUNTIFS(_xlfn.ANCHORARRAY(DATA_CLEANED!$AF$3),CALCULES!J$2,_xlfn.ANCHORARRAY(DATA_CLEANED!$AN$3),CALCULES!$A89)&gt;0,1,0)</f>
        <v>0</v>
      </c>
      <c r="K89" s="112">
        <f>IF(COUNTIFS(_xlfn.ANCHORARRAY(DATA_CLEANED!$AF$3),CALCULES!K$2,_xlfn.ANCHORARRAY(DATA_CLEANED!$AK$3),CALCULES!$A89)+COUNTIFS(_xlfn.ANCHORARRAY(DATA_CLEANED!$AF$3),CALCULES!K$2,_xlfn.ANCHORARRAY(DATA_CLEANED!$AN$3),CALCULES!$A89)&gt;0,1,0)</f>
        <v>0</v>
      </c>
      <c r="L89" s="112">
        <f>IF(COUNTIFS(_xlfn.ANCHORARRAY(DATA_CLEANED!$AF$3),CALCULES!L$2,_xlfn.ANCHORARRAY(DATA_CLEANED!$AK$3),CALCULES!$A89)+COUNTIFS(_xlfn.ANCHORARRAY(DATA_CLEANED!$AF$3),CALCULES!L$2,_xlfn.ANCHORARRAY(DATA_CLEANED!$AN$3),CALCULES!$A89)&gt;0,1,0)</f>
        <v>0</v>
      </c>
      <c r="M89" s="112">
        <f>IF(COUNTIFS(_xlfn.ANCHORARRAY(DATA_CLEANED!$AF$3),CALCULES!M$2,_xlfn.ANCHORARRAY(DATA_CLEANED!$AK$3),CALCULES!$A89)+COUNTIFS(_xlfn.ANCHORARRAY(DATA_CLEANED!$AF$3),CALCULES!M$2,_xlfn.ANCHORARRAY(DATA_CLEANED!$AN$3),CALCULES!$A89)&gt;0,1,0)</f>
        <v>0</v>
      </c>
      <c r="N89" s="112">
        <f>IF(COUNTIFS(_xlfn.ANCHORARRAY(DATA_CLEANED!$AF$3),CALCULES!N$2,_xlfn.ANCHORARRAY(DATA_CLEANED!$AK$3),CALCULES!$A89)+COUNTIFS(_xlfn.ANCHORARRAY(DATA_CLEANED!$AF$3),CALCULES!N$2,_xlfn.ANCHORARRAY(DATA_CLEANED!$AN$3),CALCULES!$A89)&gt;0,1,0)</f>
        <v>0</v>
      </c>
      <c r="O89" s="112">
        <f>IF(COUNTIFS(_xlfn.ANCHORARRAY(DATA_CLEANED!$AF$3),CALCULES!O$2,_xlfn.ANCHORARRAY(DATA_CLEANED!$AK$3),CALCULES!$A89)+COUNTIFS(_xlfn.ANCHORARRAY(DATA_CLEANED!$AF$3),CALCULES!O$2,_xlfn.ANCHORARRAY(DATA_CLEANED!$AN$3),CALCULES!$A89)&gt;0,1,0)</f>
        <v>0</v>
      </c>
      <c r="P89" s="112">
        <f>IF(COUNTIFS(_xlfn.ANCHORARRAY(DATA_CLEANED!$AF$3),CALCULES!P$2,_xlfn.ANCHORARRAY(DATA_CLEANED!$AK$3),CALCULES!$A89)+COUNTIFS(_xlfn.ANCHORARRAY(DATA_CLEANED!$AF$3),CALCULES!P$2,_xlfn.ANCHORARRAY(DATA_CLEANED!$AN$3),CALCULES!$A89)&gt;0,1,0)</f>
        <v>0</v>
      </c>
      <c r="Q89" s="112">
        <f>IF(COUNTIFS(_xlfn.ANCHORARRAY(DATA_CLEANED!$AF$3),CALCULES!Q$2,_xlfn.ANCHORARRAY(DATA_CLEANED!$AK$3),CALCULES!$A89)+COUNTIFS(_xlfn.ANCHORARRAY(DATA_CLEANED!$AF$3),CALCULES!Q$2,_xlfn.ANCHORARRAY(DATA_CLEANED!$AN$3),CALCULES!$A89)&gt;0,1,0)</f>
        <v>0</v>
      </c>
      <c r="R89" s="112">
        <f>IF(COUNTIFS(_xlfn.ANCHORARRAY(DATA_CLEANED!$AF$3),CALCULES!R$2,_xlfn.ANCHORARRAY(DATA_CLEANED!$AK$3),CALCULES!$A89)+COUNTIFS(_xlfn.ANCHORARRAY(DATA_CLEANED!$AF$3),CALCULES!R$2,_xlfn.ANCHORARRAY(DATA_CLEANED!$AN$3),CALCULES!$A89)&gt;0,1,0)</f>
        <v>0</v>
      </c>
      <c r="S89" s="112">
        <f>IF(COUNTIFS(_xlfn.ANCHORARRAY(DATA_CLEANED!$AF$3),CALCULES!S$2,_xlfn.ANCHORARRAY(DATA_CLEANED!$AK$3),CALCULES!$A89)+COUNTIFS(_xlfn.ANCHORARRAY(DATA_CLEANED!$AF$3),CALCULES!S$2,_xlfn.ANCHORARRAY(DATA_CLEANED!$AN$3),CALCULES!$A89)&gt;0,1,0)</f>
        <v>0</v>
      </c>
      <c r="T89" s="112">
        <f>IF(COUNTIFS(_xlfn.ANCHORARRAY(DATA_CLEANED!$AF$3),CALCULES!T$2,_xlfn.ANCHORARRAY(DATA_CLEANED!$AK$3),CALCULES!$A89)+COUNTIFS(_xlfn.ANCHORARRAY(DATA_CLEANED!$AF$3),CALCULES!T$2,_xlfn.ANCHORARRAY(DATA_CLEANED!$AN$3),CALCULES!$A89)&gt;0,1,0)</f>
        <v>0</v>
      </c>
      <c r="U89" s="112">
        <f>IF(COUNTIFS(_xlfn.ANCHORARRAY(DATA_CLEANED!$AF$3),CALCULES!U$2,_xlfn.ANCHORARRAY(DATA_CLEANED!$AK$3),CALCULES!$A89)+COUNTIFS(_xlfn.ANCHORARRAY(DATA_CLEANED!$AF$3),CALCULES!U$2,_xlfn.ANCHORARRAY(DATA_CLEANED!$AN$3),CALCULES!$A89)&gt;0,1,0)</f>
        <v>0</v>
      </c>
      <c r="V89" s="112">
        <f>IF(COUNTIFS(_xlfn.ANCHORARRAY(DATA_CLEANED!$AF$3),CALCULES!V$2,_xlfn.ANCHORARRAY(DATA_CLEANED!$AK$3),CALCULES!$A89)+COUNTIFS(_xlfn.ANCHORARRAY(DATA_CLEANED!$AF$3),CALCULES!V$2,_xlfn.ANCHORARRAY(DATA_CLEANED!$AN$3),CALCULES!$A89)&gt;0,1,0)</f>
        <v>0</v>
      </c>
      <c r="W89" s="112">
        <f>IF(COUNTIFS(_xlfn.ANCHORARRAY(DATA_CLEANED!$AF$3),CALCULES!W$2,_xlfn.ANCHORARRAY(DATA_CLEANED!$AK$3),CALCULES!$A89)+COUNTIFS(_xlfn.ANCHORARRAY(DATA_CLEANED!$AF$3),CALCULES!W$2,_xlfn.ANCHORARRAY(DATA_CLEANED!$AN$3),CALCULES!$A89)&gt;0,1,0)</f>
        <v>0</v>
      </c>
      <c r="X89" s="112">
        <f>IF(COUNTIFS(_xlfn.ANCHORARRAY(DATA_CLEANED!$AF$3),CALCULES!X$2,_xlfn.ANCHORARRAY(DATA_CLEANED!$AK$3),CALCULES!$A89)+COUNTIFS(_xlfn.ANCHORARRAY(DATA_CLEANED!$AF$3),CALCULES!X$2,_xlfn.ANCHORARRAY(DATA_CLEANED!$AN$3),CALCULES!$A89)&gt;0,1,0)</f>
        <v>1</v>
      </c>
      <c r="Y89" s="113">
        <f t="shared" si="23"/>
        <v>1</v>
      </c>
      <c r="AA89" s="112">
        <f>COUNTIF(_xlfn.ANCHORARRAY(DATA_CLEANED!$AK$3),$A89)+COUNTIF(DATA_CLEANED!$AN$2:$AN$1060,$A89)</f>
        <v>1</v>
      </c>
      <c r="AB89" s="112">
        <f>COUNTIF(DATA_QUALITE!BG$12:BG$1069,A89)</f>
        <v>0</v>
      </c>
      <c r="AC89" s="112">
        <f t="shared" si="30"/>
        <v>1</v>
      </c>
      <c r="AD89" s="112" cm="1">
        <f t="array" ref="AD89">SUMPRODUCT((DATA_CLEANED!AL$3:AL$1060=DATA_CLEANED!AM$3:AM$1060)*(_xlfn.ANCHORARRAY(DATA_CLEANED!AK$3)=CALCULES!A89)*(DATA_CLEANED!AO$3:AO$1060&lt;&gt;"-"))
+
SUMPRODUCT((DATA_CLEANED!AL$3:AL$1060=DATA_CLEANED!AM$3:AM$1060)*(_xlfn.ANCHORARRAY(DATA_CLEANED!AN$3)=CALCULES!A89)*(DATA_CLEANED!AO$3:AO$1060&lt;&gt;"-"))</f>
        <v>0</v>
      </c>
      <c r="AE89" s="116">
        <f t="shared" si="24"/>
        <v>0</v>
      </c>
      <c r="AF89" s="116">
        <f t="shared" si="25"/>
        <v>1</v>
      </c>
      <c r="AG89" s="112">
        <f>SUMIF(_xlfn.ANCHORARRAY(DATA_CLEANED!AK$3),A89,DATA_CLEANED!AL$2:AL$1060)+SUMIF(_xlfn.ANCHORARRAY(DATA_CLEANED!AN$3),A89,DATA_CLEANED!AM$2:AM$1060)</f>
        <v>1</v>
      </c>
      <c r="AH89" s="112">
        <f>SUMIF(_xlfn.ANCHORARRAY(DATA_CLEANED!AK$3),A89,DATA_CLEANED!AM$2:AM$1060)+SUMIF(_xlfn.ANCHORARRAY(DATA_CLEANED!AN$3),A89,DATA_CLEANED!AL$2:AL$1060)</f>
        <v>0</v>
      </c>
      <c r="AI89" s="112">
        <f t="shared" si="31"/>
        <v>0</v>
      </c>
      <c r="AJ89" s="117" cm="1">
        <f t="array" ref="AJ89">_xlfn.LET(_xlpm.home,IFERROR(_xlfn._xlws.FILTER(DATA_CLEANED!AH$3:AH$1060,DATA_CLEANED!AK$3:AK$1060=CALCULES!A89),""),
_xlpm.away,IFERROR(_xlfn._xlws.FILTER(DATA_CLEANED!AH$3:AH$1060,DATA_CLEANED!AN$3:AN$1060=CALCULES!A89),""),
_xlpm.assemb_t,_xlfn._xlws.FILTER(_xlfn.VSTACK(_xlpm.home,_xlpm.away),_xlfn.VSTACK(_xlpm.home,_xlpm.away)&lt;&gt;""),
_xlpm.but_h,IFERROR(_xlfn._xlws.FILTER(_xlfn.ANCHORARRAY(DATA_CLEANED!AM$3),DATA_CLEANED!AK$3:AK$1060=CALCULES!A89),""),
_xlpm.but_a,IFERROR(_xlfn._xlws.FILTER(_xlfn.ANCHORARRAY(DATA_CLEANED!AL$3),DATA_CLEANED!AN$3:AN$1060=CALCULES!A89),""),
_xlpm.assemb_b,_xlfn._xlws.FILTER(_xlfn.VSTACK(_xlpm.but_h,_xlpm.but_a),_xlfn.VSTACK(_xlpm.but_h,_xlpm.but_a)&lt;&gt;""),
MEDIAN(_xlpm.assemb_t,_xlpm.assemb_b)
)</f>
        <v>3</v>
      </c>
      <c r="AK89" s="113">
        <f t="shared" si="26"/>
        <v>1</v>
      </c>
      <c r="AL89" s="112" cm="1">
        <f t="array" ref="AL89">IFERROR(MEDIAN(_xlfn._xlws.FILTER(_xlfn.VSTACK(
DATA_CLEANED!AL$3:AL$1060-DATA_CLEANED!AM$3:AM$1060,
DATA_CLEANED!AM$3:AM$1060-DATA_CLEANED!AL$3:AL$1060
),_xlfn.VSTACK(DATA_CLEANED!AK$3:AK$1060,DATA_CLEANED!AN$3:AN$1060)=A89)),"-")</f>
        <v>-2</v>
      </c>
      <c r="AM89" s="112">
        <f t="shared" si="32"/>
        <v>1</v>
      </c>
      <c r="AN89" s="112" cm="1">
        <f t="array" ref="AN89">_xlfn.LET(_xlpm.home,IFERROR(_xlfn._xlws.FILTER(DATA_CLEANED!AH$3:AH$1060,DATA_CLEANED!AK$3:AK$1060=CALCULES!A89),""),
_xlpm.away,IFERROR(_xlfn._xlws.FILTER(DATA_CLEANED!AH$3:AH$1060,DATA_CLEANED!AN$3:AN$1060=CALCULES!A89),""),
_xlpm.assemb_t,_xlfn._xlws.FILTER(_xlfn.VSTACK(_xlpm.home,_xlpm.away),_xlfn.VSTACK(_xlpm.home,_xlpm.away)&lt;&gt;""),
_xlpm.but_h,IFERROR(_xlfn._xlws.FILTER(_xlfn.ANCHORARRAY(DATA_CLEANED!AL$3),DATA_CLEANED!AK$3:AK$1060=CALCULES!A89),""),
_xlpm.but_a,IFERROR(_xlfn._xlws.FILTER(_xlfn.ANCHORARRAY(DATA_CLEANED!AM$3),DATA_CLEANED!AN$3:AN$1060=CALCULES!A89),""),
_xlpm.assemb_b,_xlfn._xlws.FILTER(_xlfn.VSTACK(_xlpm.but_h,_xlpm.but_a),_xlfn.VSTACK(_xlpm.but_h,_xlpm.but_a)&lt;&gt;""),
MEDIAN(_xlpm.assemb_t,_xlpm.assemb_b)
)</f>
        <v>1</v>
      </c>
      <c r="AO89" s="116">
        <f>ROUND(IFERROR((COUNTIFS(DATA_CLEANED!AK$3:AK$1060,A89,DATA_CLEANED!AM$3:AM$1060,0)
+
COUNTIFS(DATA_CLEANED!AN$3:AN$1060,A89,DATA_CLEANED!AL$3:AL$1060,0)
)/AA89,0),2)</f>
        <v>0</v>
      </c>
      <c r="AP89" s="112">
        <f>MAX((_xlfn.MAXIFS(_xlfn.ANCHORARRAY(DATA_CLEANED!AL$3),_xlfn.ANCHORARRAY(DATA_CLEANED!AK$3),A89)),(_xlfn.MAXIFS(DATA_CLEANED!AM$3:AM$1060,_xlfn.ANCHORARRAY(DATA_CLEANED!AN$3),A89)))</f>
        <v>1</v>
      </c>
      <c r="AQ89" s="112">
        <f>COUNTIF(_xlfn.ANCHORARRAY(DATA_CLEANED!K$3),A89)</f>
        <v>0</v>
      </c>
      <c r="AR89" s="113" t="str" cm="1">
        <f t="array" ref="AR89">_xlfn.LET(
_xlpm.home,IFERROR(_xlfn._xlws.FILTER(DATA_CLEANED!AH$3:AH$1060,DATA_CLEANED!AK$3:AK$1060=CALCULES!A89),""),
_xlpm.away,IFERROR(_xlfn._xlws.FILTER(DATA_CLEANED!AH$3:AH$1060,DATA_CLEANED!AN$3:AN$1060=CALCULES!A89),""),
_xlpm.etapes,_xlfn._xlws.FILTER(_xlfn.VSTACK(_xlpm.home,_xlpm.away),_xlfn.VSTACK(_xlpm.home,_xlpm.away)&lt;&gt;""),
_xlpm.numeros,_xlfn.XLOOKUP(_xlpm.etapes,DATA_QUALITE!AT$12:AT$38,DATA_QUALITE!AU$12:AU$38),
_xlfn.XLOOKUP(MIN(_xlpm.numeros),DATA_QUALITE!AU$12:AU$38,DATA_QUALITE!AT$12:AT$38)
)</f>
        <v>GROUP_STAGE</v>
      </c>
      <c r="AS89" s="112">
        <f t="shared" si="27"/>
        <v>1</v>
      </c>
      <c r="AT89" s="112">
        <f t="shared" si="28"/>
        <v>0</v>
      </c>
      <c r="AU89" s="112">
        <f>COUNTIFS(DATA_QUALITE!BG$12:BG$1069,"MATCH NUL",_xlfn.ANCHORARRAY(DATA_CLEANED!AK$3),CALCULES!A89)+COUNTIFS(DATA_QUALITE!BG$12:BG$1069,"MATCH NUL",_xlfn.ANCHORARRAY(DATA_CLEANED!AN$3),CALCULES!A89)</f>
        <v>0</v>
      </c>
      <c r="AV89" s="112">
        <v>1</v>
      </c>
      <c r="AW89" s="112">
        <f>COUNTIFS(_xlfn.ANCHORARRAY(DATA_CLEANED!AH$3),"QUARTER_FINALS",_xlfn.ANCHORARRAY(DATA_CLEANED!AK$3),CALCULES!A89)+COUNTIFS(_xlfn.ANCHORARRAY(DATA_CLEANED!AH$3),"QUARTER_FINALS",_xlfn.ANCHORARRAY(DATA_CLEANED!AN$3),CALCULES!A89)</f>
        <v>0</v>
      </c>
      <c r="AX89" s="112">
        <f>COUNTIFS(_xlfn.ANCHORARRAY(DATA_CLEANED!AH$3),"SEMI_FINALS",_xlfn.ANCHORARRAY(DATA_CLEANED!AK$3),CALCULES!A89)+COUNTIFS(_xlfn.ANCHORARRAY(DATA_CLEANED!AH$3),"SEMI_FINALS",_xlfn.ANCHORARRAY(DATA_CLEANED!AN$3),CALCULES!A89)</f>
        <v>0</v>
      </c>
      <c r="AY89" s="112">
        <f>COUNTIFS(_xlfn.ANCHORARRAY(DATA_CLEANED!AH$3),"FINAL",_xlfn.ANCHORARRAY(DATA_CLEANED!AK$3),CALCULES!A89)+COUNTIFS(_xlfn.ANCHORARRAY(DATA_CLEANED!AH$3),"FINAL",_xlfn.ANCHORARRAY(DATA_CLEANED!AN$3),CALCULES!A89)</f>
        <v>0</v>
      </c>
      <c r="AZ89" s="112">
        <f>COUNTIFS(DATA_QUALITE!BG$12:BG$1069,CALCULES!A89,DATA_QUALITE!AW$12:AW$1069,"FINAL")</f>
        <v>0</v>
      </c>
      <c r="BA89" s="113">
        <f t="shared" si="29"/>
        <v>10.17</v>
      </c>
      <c r="BB89" s="118">
        <f t="shared" si="33"/>
        <v>0</v>
      </c>
      <c r="BC89" s="118">
        <f t="shared" si="34"/>
        <v>0</v>
      </c>
      <c r="BD89" s="139">
        <f t="shared" si="35"/>
        <v>0</v>
      </c>
      <c r="BF89" s="167"/>
      <c r="BG89" s="167"/>
      <c r="BH89" s="167"/>
      <c r="BI89" s="167"/>
      <c r="BJ89" s="167"/>
      <c r="BK89" s="167"/>
      <c r="BL89" s="173">
        <f>INT((ROWS($BL$15:BL89)-1)/9)</f>
        <v>8</v>
      </c>
      <c r="BM89" s="173">
        <f>MOD(ROWS($BM$15:BM89)-1,9)</f>
        <v>2</v>
      </c>
      <c r="BN89" s="173">
        <f t="shared" si="36"/>
        <v>4.4258090559652092E-5</v>
      </c>
      <c r="BO89" s="167"/>
      <c r="BP89" s="167"/>
    </row>
    <row r="90" spans="1:68">
      <c r="A90" s="113" t="str">
        <v>Wales</v>
      </c>
      <c r="B90" s="112">
        <f>IF(COUNTIFS(_xlfn.ANCHORARRAY(DATA_CLEANED!$AF$3),CALCULES!B$2,_xlfn.ANCHORARRAY(DATA_CLEANED!$AK$3),CALCULES!$A90)+COUNTIFS(_xlfn.ANCHORARRAY(DATA_CLEANED!$AF$3),CALCULES!B$2,_xlfn.ANCHORARRAY(DATA_CLEANED!$AN$3),CALCULES!$A90)&gt;0,1,0)</f>
        <v>0</v>
      </c>
      <c r="C90" s="112">
        <f>IF(COUNTIFS(_xlfn.ANCHORARRAY(DATA_CLEANED!$AF$3),CALCULES!C$2,_xlfn.ANCHORARRAY(DATA_CLEANED!$AK$3),CALCULES!$A90)+COUNTIFS(_xlfn.ANCHORARRAY(DATA_CLEANED!$AF$3),CALCULES!C$2,_xlfn.ANCHORARRAY(DATA_CLEANED!$AN$3),CALCULES!$A90)&gt;0,1,0)</f>
        <v>0</v>
      </c>
      <c r="D90" s="112">
        <f>IF(COUNTIFS(_xlfn.ANCHORARRAY(DATA_CLEANED!$AF$3),CALCULES!D$2,_xlfn.ANCHORARRAY(DATA_CLEANED!$AK$3),CALCULES!$A90)+COUNTIFS(_xlfn.ANCHORARRAY(DATA_CLEANED!$AF$3),CALCULES!D$2,_xlfn.ANCHORARRAY(DATA_CLEANED!$AN$3),CALCULES!$A90)&gt;0,1,0)</f>
        <v>0</v>
      </c>
      <c r="E90" s="112">
        <f>IF(COUNTIFS(_xlfn.ANCHORARRAY(DATA_CLEANED!$AF$3),CALCULES!E$2,_xlfn.ANCHORARRAY(DATA_CLEANED!$AK$3),CALCULES!$A90)+COUNTIFS(_xlfn.ANCHORARRAY(DATA_CLEANED!$AF$3),CALCULES!E$2,_xlfn.ANCHORARRAY(DATA_CLEANED!$AN$3),CALCULES!$A90)&gt;0,1,0)</f>
        <v>0</v>
      </c>
      <c r="F90" s="112">
        <f>IF(COUNTIFS(_xlfn.ANCHORARRAY(DATA_CLEANED!$AF$3),CALCULES!F$2,_xlfn.ANCHORARRAY(DATA_CLEANED!$AK$3),CALCULES!$A90)+COUNTIFS(_xlfn.ANCHORARRAY(DATA_CLEANED!$AF$3),CALCULES!F$2,_xlfn.ANCHORARRAY(DATA_CLEANED!$AN$3),CALCULES!$A90)&gt;0,1,0)</f>
        <v>0</v>
      </c>
      <c r="G90" s="112">
        <f>IF(COUNTIFS(_xlfn.ANCHORARRAY(DATA_CLEANED!$AF$3),CALCULES!G$2,_xlfn.ANCHORARRAY(DATA_CLEANED!$AK$3),CALCULES!$A90)+COUNTIFS(_xlfn.ANCHORARRAY(DATA_CLEANED!$AF$3),CALCULES!G$2,_xlfn.ANCHORARRAY(DATA_CLEANED!$AN$3),CALCULES!$A90)&gt;0,1,0)</f>
        <v>1</v>
      </c>
      <c r="H90" s="112">
        <f>IF(COUNTIFS(_xlfn.ANCHORARRAY(DATA_CLEANED!$AF$3),CALCULES!H$2,_xlfn.ANCHORARRAY(DATA_CLEANED!$AK$3),CALCULES!$A90)+COUNTIFS(_xlfn.ANCHORARRAY(DATA_CLEANED!$AF$3),CALCULES!H$2,_xlfn.ANCHORARRAY(DATA_CLEANED!$AN$3),CALCULES!$A90)&gt;0,1,0)</f>
        <v>0</v>
      </c>
      <c r="I90" s="112">
        <f>IF(COUNTIFS(_xlfn.ANCHORARRAY(DATA_CLEANED!$AF$3),CALCULES!I$2,_xlfn.ANCHORARRAY(DATA_CLEANED!$AK$3),CALCULES!$A90)+COUNTIFS(_xlfn.ANCHORARRAY(DATA_CLEANED!$AF$3),CALCULES!I$2,_xlfn.ANCHORARRAY(DATA_CLEANED!$AN$3),CALCULES!$A90)&gt;0,1,0)</f>
        <v>0</v>
      </c>
      <c r="J90" s="112">
        <f>IF(COUNTIFS(_xlfn.ANCHORARRAY(DATA_CLEANED!$AF$3),CALCULES!J$2,_xlfn.ANCHORARRAY(DATA_CLEANED!$AK$3),CALCULES!$A90)+COUNTIFS(_xlfn.ANCHORARRAY(DATA_CLEANED!$AF$3),CALCULES!J$2,_xlfn.ANCHORARRAY(DATA_CLEANED!$AN$3),CALCULES!$A90)&gt;0,1,0)</f>
        <v>0</v>
      </c>
      <c r="K90" s="112">
        <f>IF(COUNTIFS(_xlfn.ANCHORARRAY(DATA_CLEANED!$AF$3),CALCULES!K$2,_xlfn.ANCHORARRAY(DATA_CLEANED!$AK$3),CALCULES!$A90)+COUNTIFS(_xlfn.ANCHORARRAY(DATA_CLEANED!$AF$3),CALCULES!K$2,_xlfn.ANCHORARRAY(DATA_CLEANED!$AN$3),CALCULES!$A90)&gt;0,1,0)</f>
        <v>0</v>
      </c>
      <c r="L90" s="112">
        <f>IF(COUNTIFS(_xlfn.ANCHORARRAY(DATA_CLEANED!$AF$3),CALCULES!L$2,_xlfn.ANCHORARRAY(DATA_CLEANED!$AK$3),CALCULES!$A90)+COUNTIFS(_xlfn.ANCHORARRAY(DATA_CLEANED!$AF$3),CALCULES!L$2,_xlfn.ANCHORARRAY(DATA_CLEANED!$AN$3),CALCULES!$A90)&gt;0,1,0)</f>
        <v>0</v>
      </c>
      <c r="M90" s="112">
        <f>IF(COUNTIFS(_xlfn.ANCHORARRAY(DATA_CLEANED!$AF$3),CALCULES!M$2,_xlfn.ANCHORARRAY(DATA_CLEANED!$AK$3),CALCULES!$A90)+COUNTIFS(_xlfn.ANCHORARRAY(DATA_CLEANED!$AF$3),CALCULES!M$2,_xlfn.ANCHORARRAY(DATA_CLEANED!$AN$3),CALCULES!$A90)&gt;0,1,0)</f>
        <v>0</v>
      </c>
      <c r="N90" s="112">
        <f>IF(COUNTIFS(_xlfn.ANCHORARRAY(DATA_CLEANED!$AF$3),CALCULES!N$2,_xlfn.ANCHORARRAY(DATA_CLEANED!$AK$3),CALCULES!$A90)+COUNTIFS(_xlfn.ANCHORARRAY(DATA_CLEANED!$AF$3),CALCULES!N$2,_xlfn.ANCHORARRAY(DATA_CLEANED!$AN$3),CALCULES!$A90)&gt;0,1,0)</f>
        <v>0</v>
      </c>
      <c r="O90" s="112">
        <f>IF(COUNTIFS(_xlfn.ANCHORARRAY(DATA_CLEANED!$AF$3),CALCULES!O$2,_xlfn.ANCHORARRAY(DATA_CLEANED!$AK$3),CALCULES!$A90)+COUNTIFS(_xlfn.ANCHORARRAY(DATA_CLEANED!$AF$3),CALCULES!O$2,_xlfn.ANCHORARRAY(DATA_CLEANED!$AN$3),CALCULES!$A90)&gt;0,1,0)</f>
        <v>0</v>
      </c>
      <c r="P90" s="112">
        <f>IF(COUNTIFS(_xlfn.ANCHORARRAY(DATA_CLEANED!$AF$3),CALCULES!P$2,_xlfn.ANCHORARRAY(DATA_CLEANED!$AK$3),CALCULES!$A90)+COUNTIFS(_xlfn.ANCHORARRAY(DATA_CLEANED!$AF$3),CALCULES!P$2,_xlfn.ANCHORARRAY(DATA_CLEANED!$AN$3),CALCULES!$A90)&gt;0,1,0)</f>
        <v>0</v>
      </c>
      <c r="Q90" s="112">
        <f>IF(COUNTIFS(_xlfn.ANCHORARRAY(DATA_CLEANED!$AF$3),CALCULES!Q$2,_xlfn.ANCHORARRAY(DATA_CLEANED!$AK$3),CALCULES!$A90)+COUNTIFS(_xlfn.ANCHORARRAY(DATA_CLEANED!$AF$3),CALCULES!Q$2,_xlfn.ANCHORARRAY(DATA_CLEANED!$AN$3),CALCULES!$A90)&gt;0,1,0)</f>
        <v>0</v>
      </c>
      <c r="R90" s="112">
        <f>IF(COUNTIFS(_xlfn.ANCHORARRAY(DATA_CLEANED!$AF$3),CALCULES!R$2,_xlfn.ANCHORARRAY(DATA_CLEANED!$AK$3),CALCULES!$A90)+COUNTIFS(_xlfn.ANCHORARRAY(DATA_CLEANED!$AF$3),CALCULES!R$2,_xlfn.ANCHORARRAY(DATA_CLEANED!$AN$3),CALCULES!$A90)&gt;0,1,0)</f>
        <v>0</v>
      </c>
      <c r="S90" s="112">
        <f>IF(COUNTIFS(_xlfn.ANCHORARRAY(DATA_CLEANED!$AF$3),CALCULES!S$2,_xlfn.ANCHORARRAY(DATA_CLEANED!$AK$3),CALCULES!$A90)+COUNTIFS(_xlfn.ANCHORARRAY(DATA_CLEANED!$AF$3),CALCULES!S$2,_xlfn.ANCHORARRAY(DATA_CLEANED!$AN$3),CALCULES!$A90)&gt;0,1,0)</f>
        <v>0</v>
      </c>
      <c r="T90" s="112">
        <f>IF(COUNTIFS(_xlfn.ANCHORARRAY(DATA_CLEANED!$AF$3),CALCULES!T$2,_xlfn.ANCHORARRAY(DATA_CLEANED!$AK$3),CALCULES!$A90)+COUNTIFS(_xlfn.ANCHORARRAY(DATA_CLEANED!$AF$3),CALCULES!T$2,_xlfn.ANCHORARRAY(DATA_CLEANED!$AN$3),CALCULES!$A90)&gt;0,1,0)</f>
        <v>0</v>
      </c>
      <c r="U90" s="112">
        <f>IF(COUNTIFS(_xlfn.ANCHORARRAY(DATA_CLEANED!$AF$3),CALCULES!U$2,_xlfn.ANCHORARRAY(DATA_CLEANED!$AK$3),CALCULES!$A90)+COUNTIFS(_xlfn.ANCHORARRAY(DATA_CLEANED!$AF$3),CALCULES!U$2,_xlfn.ANCHORARRAY(DATA_CLEANED!$AN$3),CALCULES!$A90)&gt;0,1,0)</f>
        <v>0</v>
      </c>
      <c r="V90" s="112">
        <f>IF(COUNTIFS(_xlfn.ANCHORARRAY(DATA_CLEANED!$AF$3),CALCULES!V$2,_xlfn.ANCHORARRAY(DATA_CLEANED!$AK$3),CALCULES!$A90)+COUNTIFS(_xlfn.ANCHORARRAY(DATA_CLEANED!$AF$3),CALCULES!V$2,_xlfn.ANCHORARRAY(DATA_CLEANED!$AN$3),CALCULES!$A90)&gt;0,1,0)</f>
        <v>0</v>
      </c>
      <c r="W90" s="112">
        <f>IF(COUNTIFS(_xlfn.ANCHORARRAY(DATA_CLEANED!$AF$3),CALCULES!W$2,_xlfn.ANCHORARRAY(DATA_CLEANED!$AK$3),CALCULES!$A90)+COUNTIFS(_xlfn.ANCHORARRAY(DATA_CLEANED!$AF$3),CALCULES!W$2,_xlfn.ANCHORARRAY(DATA_CLEANED!$AN$3),CALCULES!$A90)&gt;0,1,0)</f>
        <v>1</v>
      </c>
      <c r="X90" s="112">
        <f>IF(COUNTIFS(_xlfn.ANCHORARRAY(DATA_CLEANED!$AF$3),CALCULES!X$2,_xlfn.ANCHORARRAY(DATA_CLEANED!$AK$3),CALCULES!$A90)+COUNTIFS(_xlfn.ANCHORARRAY(DATA_CLEANED!$AF$3),CALCULES!X$2,_xlfn.ANCHORARRAY(DATA_CLEANED!$AN$3),CALCULES!$A90)&gt;0,1,0)</f>
        <v>0</v>
      </c>
      <c r="Y90" s="113">
        <f t="shared" si="23"/>
        <v>2</v>
      </c>
      <c r="AA90" s="112">
        <f>COUNTIF(_xlfn.ANCHORARRAY(DATA_CLEANED!$AK$3),$A90)+COUNTIF(DATA_CLEANED!$AN$2:$AN$1060,$A90)</f>
        <v>8</v>
      </c>
      <c r="AB90" s="112">
        <f>COUNTIF(DATA_QUALITE!BG$12:BG$1069,A90)</f>
        <v>1</v>
      </c>
      <c r="AC90" s="112">
        <f t="shared" si="30"/>
        <v>7</v>
      </c>
      <c r="AD90" s="112" cm="1">
        <f t="array" ref="AD90">SUMPRODUCT((DATA_CLEANED!AL$3:AL$1060=DATA_CLEANED!AM$3:AM$1060)*(_xlfn.ANCHORARRAY(DATA_CLEANED!AK$3)=CALCULES!A90)*(DATA_CLEANED!AO$3:AO$1060&lt;&gt;"-"))
+
SUMPRODUCT((DATA_CLEANED!AL$3:AL$1060=DATA_CLEANED!AM$3:AM$1060)*(_xlfn.ANCHORARRAY(DATA_CLEANED!AN$3)=CALCULES!A90)*(DATA_CLEANED!AO$3:AO$1060&lt;&gt;"-"))</f>
        <v>0</v>
      </c>
      <c r="AE90" s="116">
        <f t="shared" si="24"/>
        <v>0.125</v>
      </c>
      <c r="AF90" s="116">
        <f t="shared" si="25"/>
        <v>0.875</v>
      </c>
      <c r="AG90" s="112">
        <f>SUMIF(_xlfn.ANCHORARRAY(DATA_CLEANED!AK$3),A90,DATA_CLEANED!AL$2:AL$1060)+SUMIF(_xlfn.ANCHORARRAY(DATA_CLEANED!AN$3),A90,DATA_CLEANED!AM$2:AM$1060)</f>
        <v>11</v>
      </c>
      <c r="AH90" s="112">
        <f>SUMIF(_xlfn.ANCHORARRAY(DATA_CLEANED!AK$3),A90,DATA_CLEANED!AM$2:AM$1060)+SUMIF(_xlfn.ANCHORARRAY(DATA_CLEANED!AN$3),A90,DATA_CLEANED!AL$2:AL$1060)</f>
        <v>7</v>
      </c>
      <c r="AI90" s="112">
        <f t="shared" si="31"/>
        <v>0.88</v>
      </c>
      <c r="AJ90" s="117" cm="1">
        <f t="array" ref="AJ90">_xlfn.LET(_xlpm.home,IFERROR(_xlfn._xlws.FILTER(DATA_CLEANED!AH$3:AH$1060,DATA_CLEANED!AK$3:AK$1060=CALCULES!A90),""),
_xlpm.away,IFERROR(_xlfn._xlws.FILTER(DATA_CLEANED!AH$3:AH$1060,DATA_CLEANED!AN$3:AN$1060=CALCULES!A90),""),
_xlpm.assemb_t,_xlfn._xlws.FILTER(_xlfn.VSTACK(_xlpm.home,_xlpm.away),_xlfn.VSTACK(_xlpm.home,_xlpm.away)&lt;&gt;""),
_xlpm.but_h,IFERROR(_xlfn._xlws.FILTER(_xlfn.ANCHORARRAY(DATA_CLEANED!AM$3),DATA_CLEANED!AK$3:AK$1060=CALCULES!A90),""),
_xlpm.but_a,IFERROR(_xlfn._xlws.FILTER(_xlfn.ANCHORARRAY(DATA_CLEANED!AL$3),DATA_CLEANED!AN$3:AN$1060=CALCULES!A90),""),
_xlpm.assemb_b,_xlfn._xlws.FILTER(_xlfn.VSTACK(_xlpm.but_h,_xlpm.but_a),_xlfn.VSTACK(_xlpm.but_h,_xlpm.but_a)&lt;&gt;""),
MEDIAN(_xlpm.assemb_t,_xlpm.assemb_b)
)</f>
        <v>1</v>
      </c>
      <c r="AK90" s="113">
        <f t="shared" si="26"/>
        <v>4</v>
      </c>
      <c r="AL90" s="112" cm="1">
        <f t="array" ref="AL90">IFERROR(MEDIAN(_xlfn._xlws.FILTER(_xlfn.VSTACK(
DATA_CLEANED!AL$3:AL$1060-DATA_CLEANED!AM$3:AM$1060,
DATA_CLEANED!AM$3:AM$1060-DATA_CLEANED!AL$3:AL$1060
),_xlfn.VSTACK(DATA_CLEANED!AK$3:AK$1060,DATA_CLEANED!AN$3:AN$1060)=A90)),"-")</f>
        <v>0</v>
      </c>
      <c r="AM90" s="112">
        <f t="shared" si="32"/>
        <v>1.38</v>
      </c>
      <c r="AN90" s="112" cm="1">
        <f t="array" ref="AN90">_xlfn.LET(_xlpm.home,IFERROR(_xlfn._xlws.FILTER(DATA_CLEANED!AH$3:AH$1060,DATA_CLEANED!AK$3:AK$1060=CALCULES!A90),""),
_xlpm.away,IFERROR(_xlfn._xlws.FILTER(DATA_CLEANED!AH$3:AH$1060,DATA_CLEANED!AN$3:AN$1060=CALCULES!A90),""),
_xlpm.assemb_t,_xlfn._xlws.FILTER(_xlfn.VSTACK(_xlpm.home,_xlpm.away),_xlfn.VSTACK(_xlpm.home,_xlpm.away)&lt;&gt;""),
_xlpm.but_h,IFERROR(_xlfn._xlws.FILTER(_xlfn.ANCHORARRAY(DATA_CLEANED!AL$3),DATA_CLEANED!AK$3:AK$1060=CALCULES!A90),""),
_xlpm.but_a,IFERROR(_xlfn._xlws.FILTER(_xlfn.ANCHORARRAY(DATA_CLEANED!AM$3),DATA_CLEANED!AN$3:AN$1060=CALCULES!A90),""),
_xlpm.assemb_b,_xlfn._xlws.FILTER(_xlfn.VSTACK(_xlpm.but_h,_xlpm.but_a),_xlfn.VSTACK(_xlpm.but_h,_xlpm.but_a)&lt;&gt;""),
MEDIAN(_xlpm.assemb_t,_xlpm.assemb_b)
)</f>
        <v>0.5</v>
      </c>
      <c r="AO90" s="116">
        <f>ROUND(IFERROR((COUNTIFS(DATA_CLEANED!AK$3:AK$1060,A90,DATA_CLEANED!AM$3:AM$1060,0)
+
COUNTIFS(DATA_CLEANED!AN$3:AN$1060,A90,DATA_CLEANED!AL$3:AL$1060,0)
)/AA90,0),2)</f>
        <v>0.13</v>
      </c>
      <c r="AP90" s="112">
        <f>MAX((_xlfn.MAXIFS(_xlfn.ANCHORARRAY(DATA_CLEANED!AL$3),_xlfn.ANCHORARRAY(DATA_CLEANED!AK$3),A90)),(_xlfn.MAXIFS(DATA_CLEANED!AM$3:AM$1060,_xlfn.ANCHORARRAY(DATA_CLEANED!AN$3),A90)))</f>
        <v>2</v>
      </c>
      <c r="AQ90" s="112">
        <f>COUNTIF(_xlfn.ANCHORARRAY(DATA_CLEANED!K$3),A90)</f>
        <v>0</v>
      </c>
      <c r="AR90" s="113" t="str" cm="1">
        <f t="array" ref="AR90">_xlfn.LET(
_xlpm.home,IFERROR(_xlfn._xlws.FILTER(DATA_CLEANED!AH$3:AH$1060,DATA_CLEANED!AK$3:AK$1060=CALCULES!A90),""),
_xlpm.away,IFERROR(_xlfn._xlws.FILTER(DATA_CLEANED!AH$3:AH$1060,DATA_CLEANED!AN$3:AN$1060=CALCULES!A90),""),
_xlpm.etapes,_xlfn._xlws.FILTER(_xlfn.VSTACK(_xlpm.home,_xlpm.away),_xlfn.VSTACK(_xlpm.home,_xlpm.away)&lt;&gt;""),
_xlpm.numeros,_xlfn.XLOOKUP(_xlpm.etapes,DATA_QUALITE!AT$12:AT$38,DATA_QUALITE!AU$12:AU$38),
_xlfn.XLOOKUP(MIN(_xlpm.numeros),DATA_QUALITE!AU$12:AU$38,DATA_QUALITE!AT$12:AT$38)
)</f>
        <v>QUARTER_FINALS</v>
      </c>
      <c r="AS90" s="112">
        <f t="shared" si="27"/>
        <v>2</v>
      </c>
      <c r="AT90" s="112">
        <f t="shared" si="28"/>
        <v>1</v>
      </c>
      <c r="AU90" s="112">
        <f>COUNTIFS(DATA_QUALITE!BG$12:BG$1069,"MATCH NUL",_xlfn.ANCHORARRAY(DATA_CLEANED!AK$3),CALCULES!A90)+COUNTIFS(DATA_QUALITE!BG$12:BG$1069,"MATCH NUL",_xlfn.ANCHORARRAY(DATA_CLEANED!AN$3),CALCULES!A90)</f>
        <v>4</v>
      </c>
      <c r="AV90" s="112">
        <v>11</v>
      </c>
      <c r="AW90" s="112">
        <f>COUNTIFS(_xlfn.ANCHORARRAY(DATA_CLEANED!AH$3),"QUARTER_FINALS",_xlfn.ANCHORARRAY(DATA_CLEANED!AK$3),CALCULES!A90)+COUNTIFS(_xlfn.ANCHORARRAY(DATA_CLEANED!AH$3),"QUARTER_FINALS",_xlfn.ANCHORARRAY(DATA_CLEANED!AN$3),CALCULES!A90)</f>
        <v>1</v>
      </c>
      <c r="AX90" s="112">
        <f>COUNTIFS(_xlfn.ANCHORARRAY(DATA_CLEANED!AH$3),"SEMI_FINALS",_xlfn.ANCHORARRAY(DATA_CLEANED!AK$3),CALCULES!A90)+COUNTIFS(_xlfn.ANCHORARRAY(DATA_CLEANED!AH$3),"SEMI_FINALS",_xlfn.ANCHORARRAY(DATA_CLEANED!AN$3),CALCULES!A90)</f>
        <v>0</v>
      </c>
      <c r="AY90" s="112">
        <f>COUNTIFS(_xlfn.ANCHORARRAY(DATA_CLEANED!AH$3),"FINAL",_xlfn.ANCHORARRAY(DATA_CLEANED!AK$3),CALCULES!A90)+COUNTIFS(_xlfn.ANCHORARRAY(DATA_CLEANED!AH$3),"FINAL",_xlfn.ANCHORARRAY(DATA_CLEANED!AN$3),CALCULES!A90)</f>
        <v>0</v>
      </c>
      <c r="AZ90" s="112">
        <f>COUNTIFS(DATA_QUALITE!BG$12:BG$1069,CALCULES!A90,DATA_QUALITE!AW$12:AW$1069,"FINAL")</f>
        <v>0</v>
      </c>
      <c r="BA90" s="113">
        <f t="shared" si="29"/>
        <v>26.38</v>
      </c>
      <c r="BB90" s="118">
        <f t="shared" si="33"/>
        <v>3.88</v>
      </c>
      <c r="BC90" s="118">
        <f t="shared" si="34"/>
        <v>6.07</v>
      </c>
      <c r="BD90" s="139">
        <f t="shared" si="35"/>
        <v>4.9800000000000004</v>
      </c>
      <c r="BF90" s="167"/>
      <c r="BG90" s="167"/>
      <c r="BH90" s="167"/>
      <c r="BI90" s="167"/>
      <c r="BJ90" s="167"/>
      <c r="BK90" s="167"/>
      <c r="BL90" s="173">
        <f>INT((ROWS($BL$15:BL90)-1)/9)</f>
        <v>8</v>
      </c>
      <c r="BM90" s="173">
        <f>MOD(ROWS($BM$15:BM90)-1,9)</f>
        <v>3</v>
      </c>
      <c r="BN90" s="173">
        <f t="shared" si="36"/>
        <v>1.6522065935461554E-5</v>
      </c>
      <c r="BO90" s="167"/>
      <c r="BP90" s="167"/>
    </row>
    <row r="91" spans="1:68">
      <c r="A91" s="113" t="str">
        <v>Yugoslavia</v>
      </c>
      <c r="B91" s="112">
        <f>IF(COUNTIFS(_xlfn.ANCHORARRAY(DATA_CLEANED!$AF$3),CALCULES!B$2,_xlfn.ANCHORARRAY(DATA_CLEANED!$AK$3),CALCULES!$A91)+COUNTIFS(_xlfn.ANCHORARRAY(DATA_CLEANED!$AF$3),CALCULES!B$2,_xlfn.ANCHORARRAY(DATA_CLEANED!$AN$3),CALCULES!$A91)&gt;0,1,0)</f>
        <v>1</v>
      </c>
      <c r="C91" s="112">
        <f>IF(COUNTIFS(_xlfn.ANCHORARRAY(DATA_CLEANED!$AF$3),CALCULES!C$2,_xlfn.ANCHORARRAY(DATA_CLEANED!$AK$3),CALCULES!$A91)+COUNTIFS(_xlfn.ANCHORARRAY(DATA_CLEANED!$AF$3),CALCULES!C$2,_xlfn.ANCHORARRAY(DATA_CLEANED!$AN$3),CALCULES!$A91)&gt;0,1,0)</f>
        <v>0</v>
      </c>
      <c r="D91" s="112">
        <f>IF(COUNTIFS(_xlfn.ANCHORARRAY(DATA_CLEANED!$AF$3),CALCULES!D$2,_xlfn.ANCHORARRAY(DATA_CLEANED!$AK$3),CALCULES!$A91)+COUNTIFS(_xlfn.ANCHORARRAY(DATA_CLEANED!$AF$3),CALCULES!D$2,_xlfn.ANCHORARRAY(DATA_CLEANED!$AN$3),CALCULES!$A91)&gt;0,1,0)</f>
        <v>0</v>
      </c>
      <c r="E91" s="112">
        <f>IF(COUNTIFS(_xlfn.ANCHORARRAY(DATA_CLEANED!$AF$3),CALCULES!E$2,_xlfn.ANCHORARRAY(DATA_CLEANED!$AK$3),CALCULES!$A91)+COUNTIFS(_xlfn.ANCHORARRAY(DATA_CLEANED!$AF$3),CALCULES!E$2,_xlfn.ANCHORARRAY(DATA_CLEANED!$AN$3),CALCULES!$A91)&gt;0,1,0)</f>
        <v>1</v>
      </c>
      <c r="F91" s="112">
        <f>IF(COUNTIFS(_xlfn.ANCHORARRAY(DATA_CLEANED!$AF$3),CALCULES!F$2,_xlfn.ANCHORARRAY(DATA_CLEANED!$AK$3),CALCULES!$A91)+COUNTIFS(_xlfn.ANCHORARRAY(DATA_CLEANED!$AF$3),CALCULES!F$2,_xlfn.ANCHORARRAY(DATA_CLEANED!$AN$3),CALCULES!$A91)&gt;0,1,0)</f>
        <v>1</v>
      </c>
      <c r="G91" s="112">
        <f>IF(COUNTIFS(_xlfn.ANCHORARRAY(DATA_CLEANED!$AF$3),CALCULES!G$2,_xlfn.ANCHORARRAY(DATA_CLEANED!$AK$3),CALCULES!$A91)+COUNTIFS(_xlfn.ANCHORARRAY(DATA_CLEANED!$AF$3),CALCULES!G$2,_xlfn.ANCHORARRAY(DATA_CLEANED!$AN$3),CALCULES!$A91)&gt;0,1,0)</f>
        <v>1</v>
      </c>
      <c r="H91" s="112">
        <f>IF(COUNTIFS(_xlfn.ANCHORARRAY(DATA_CLEANED!$AF$3),CALCULES!H$2,_xlfn.ANCHORARRAY(DATA_CLEANED!$AK$3),CALCULES!$A91)+COUNTIFS(_xlfn.ANCHORARRAY(DATA_CLEANED!$AF$3),CALCULES!H$2,_xlfn.ANCHORARRAY(DATA_CLEANED!$AN$3),CALCULES!$A91)&gt;0,1,0)</f>
        <v>1</v>
      </c>
      <c r="I91" s="112">
        <f>IF(COUNTIFS(_xlfn.ANCHORARRAY(DATA_CLEANED!$AF$3),CALCULES!I$2,_xlfn.ANCHORARRAY(DATA_CLEANED!$AK$3),CALCULES!$A91)+COUNTIFS(_xlfn.ANCHORARRAY(DATA_CLEANED!$AF$3),CALCULES!I$2,_xlfn.ANCHORARRAY(DATA_CLEANED!$AN$3),CALCULES!$A91)&gt;0,1,0)</f>
        <v>0</v>
      </c>
      <c r="J91" s="112">
        <f>IF(COUNTIFS(_xlfn.ANCHORARRAY(DATA_CLEANED!$AF$3),CALCULES!J$2,_xlfn.ANCHORARRAY(DATA_CLEANED!$AK$3),CALCULES!$A91)+COUNTIFS(_xlfn.ANCHORARRAY(DATA_CLEANED!$AF$3),CALCULES!J$2,_xlfn.ANCHORARRAY(DATA_CLEANED!$AN$3),CALCULES!$A91)&gt;0,1,0)</f>
        <v>0</v>
      </c>
      <c r="K91" s="112">
        <f>IF(COUNTIFS(_xlfn.ANCHORARRAY(DATA_CLEANED!$AF$3),CALCULES!K$2,_xlfn.ANCHORARRAY(DATA_CLEANED!$AK$3),CALCULES!$A91)+COUNTIFS(_xlfn.ANCHORARRAY(DATA_CLEANED!$AF$3),CALCULES!K$2,_xlfn.ANCHORARRAY(DATA_CLEANED!$AN$3),CALCULES!$A91)&gt;0,1,0)</f>
        <v>1</v>
      </c>
      <c r="L91" s="112">
        <f>IF(COUNTIFS(_xlfn.ANCHORARRAY(DATA_CLEANED!$AF$3),CALCULES!L$2,_xlfn.ANCHORARRAY(DATA_CLEANED!$AK$3),CALCULES!$A91)+COUNTIFS(_xlfn.ANCHORARRAY(DATA_CLEANED!$AF$3),CALCULES!L$2,_xlfn.ANCHORARRAY(DATA_CLEANED!$AN$3),CALCULES!$A91)&gt;0,1,0)</f>
        <v>0</v>
      </c>
      <c r="M91" s="112">
        <f>IF(COUNTIFS(_xlfn.ANCHORARRAY(DATA_CLEANED!$AF$3),CALCULES!M$2,_xlfn.ANCHORARRAY(DATA_CLEANED!$AK$3),CALCULES!$A91)+COUNTIFS(_xlfn.ANCHORARRAY(DATA_CLEANED!$AF$3),CALCULES!M$2,_xlfn.ANCHORARRAY(DATA_CLEANED!$AN$3),CALCULES!$A91)&gt;0,1,0)</f>
        <v>1</v>
      </c>
      <c r="N91" s="112">
        <f>IF(COUNTIFS(_xlfn.ANCHORARRAY(DATA_CLEANED!$AF$3),CALCULES!N$2,_xlfn.ANCHORARRAY(DATA_CLEANED!$AK$3),CALCULES!$A91)+COUNTIFS(_xlfn.ANCHORARRAY(DATA_CLEANED!$AF$3),CALCULES!N$2,_xlfn.ANCHORARRAY(DATA_CLEANED!$AN$3),CALCULES!$A91)&gt;0,1,0)</f>
        <v>0</v>
      </c>
      <c r="O91" s="112">
        <f>IF(COUNTIFS(_xlfn.ANCHORARRAY(DATA_CLEANED!$AF$3),CALCULES!O$2,_xlfn.ANCHORARRAY(DATA_CLEANED!$AK$3),CALCULES!$A91)+COUNTIFS(_xlfn.ANCHORARRAY(DATA_CLEANED!$AF$3),CALCULES!O$2,_xlfn.ANCHORARRAY(DATA_CLEANED!$AN$3),CALCULES!$A91)&gt;0,1,0)</f>
        <v>1</v>
      </c>
      <c r="P91" s="112">
        <f>IF(COUNTIFS(_xlfn.ANCHORARRAY(DATA_CLEANED!$AF$3),CALCULES!P$2,_xlfn.ANCHORARRAY(DATA_CLEANED!$AK$3),CALCULES!$A91)+COUNTIFS(_xlfn.ANCHORARRAY(DATA_CLEANED!$AF$3),CALCULES!P$2,_xlfn.ANCHORARRAY(DATA_CLEANED!$AN$3),CALCULES!$A91)&gt;0,1,0)</f>
        <v>0</v>
      </c>
      <c r="Q91" s="112">
        <f>IF(COUNTIFS(_xlfn.ANCHORARRAY(DATA_CLEANED!$AF$3),CALCULES!Q$2,_xlfn.ANCHORARRAY(DATA_CLEANED!$AK$3),CALCULES!$A91)+COUNTIFS(_xlfn.ANCHORARRAY(DATA_CLEANED!$AF$3),CALCULES!Q$2,_xlfn.ANCHORARRAY(DATA_CLEANED!$AN$3),CALCULES!$A91)&gt;0,1,0)</f>
        <v>1</v>
      </c>
      <c r="R91" s="112">
        <f>IF(COUNTIFS(_xlfn.ANCHORARRAY(DATA_CLEANED!$AF$3),CALCULES!R$2,_xlfn.ANCHORARRAY(DATA_CLEANED!$AK$3),CALCULES!$A91)+COUNTIFS(_xlfn.ANCHORARRAY(DATA_CLEANED!$AF$3),CALCULES!R$2,_xlfn.ANCHORARRAY(DATA_CLEANED!$AN$3),CALCULES!$A91)&gt;0,1,0)</f>
        <v>0</v>
      </c>
      <c r="S91" s="112">
        <f>IF(COUNTIFS(_xlfn.ANCHORARRAY(DATA_CLEANED!$AF$3),CALCULES!S$2,_xlfn.ANCHORARRAY(DATA_CLEANED!$AK$3),CALCULES!$A91)+COUNTIFS(_xlfn.ANCHORARRAY(DATA_CLEANED!$AF$3),CALCULES!S$2,_xlfn.ANCHORARRAY(DATA_CLEANED!$AN$3),CALCULES!$A91)&gt;0,1,0)</f>
        <v>0</v>
      </c>
      <c r="T91" s="112">
        <f>IF(COUNTIFS(_xlfn.ANCHORARRAY(DATA_CLEANED!$AF$3),CALCULES!T$2,_xlfn.ANCHORARRAY(DATA_CLEANED!$AK$3),CALCULES!$A91)+COUNTIFS(_xlfn.ANCHORARRAY(DATA_CLEANED!$AF$3),CALCULES!T$2,_xlfn.ANCHORARRAY(DATA_CLEANED!$AN$3),CALCULES!$A91)&gt;0,1,0)</f>
        <v>0</v>
      </c>
      <c r="U91" s="112">
        <f>IF(COUNTIFS(_xlfn.ANCHORARRAY(DATA_CLEANED!$AF$3),CALCULES!U$2,_xlfn.ANCHORARRAY(DATA_CLEANED!$AK$3),CALCULES!$A91)+COUNTIFS(_xlfn.ANCHORARRAY(DATA_CLEANED!$AF$3),CALCULES!U$2,_xlfn.ANCHORARRAY(DATA_CLEANED!$AN$3),CALCULES!$A91)&gt;0,1,0)</f>
        <v>0</v>
      </c>
      <c r="V91" s="112">
        <f>IF(COUNTIFS(_xlfn.ANCHORARRAY(DATA_CLEANED!$AF$3),CALCULES!V$2,_xlfn.ANCHORARRAY(DATA_CLEANED!$AK$3),CALCULES!$A91)+COUNTIFS(_xlfn.ANCHORARRAY(DATA_CLEANED!$AF$3),CALCULES!V$2,_xlfn.ANCHORARRAY(DATA_CLEANED!$AN$3),CALCULES!$A91)&gt;0,1,0)</f>
        <v>0</v>
      </c>
      <c r="W91" s="112">
        <f>IF(COUNTIFS(_xlfn.ANCHORARRAY(DATA_CLEANED!$AF$3),CALCULES!W$2,_xlfn.ANCHORARRAY(DATA_CLEANED!$AK$3),CALCULES!$A91)+COUNTIFS(_xlfn.ANCHORARRAY(DATA_CLEANED!$AF$3),CALCULES!W$2,_xlfn.ANCHORARRAY(DATA_CLEANED!$AN$3),CALCULES!$A91)&gt;0,1,0)</f>
        <v>0</v>
      </c>
      <c r="X91" s="112">
        <f>IF(COUNTIFS(_xlfn.ANCHORARRAY(DATA_CLEANED!$AF$3),CALCULES!X$2,_xlfn.ANCHORARRAY(DATA_CLEANED!$AK$3),CALCULES!$A91)+COUNTIFS(_xlfn.ANCHORARRAY(DATA_CLEANED!$AF$3),CALCULES!X$2,_xlfn.ANCHORARRAY(DATA_CLEANED!$AN$3),CALCULES!$A91)&gt;0,1,0)</f>
        <v>0</v>
      </c>
      <c r="Y91" s="113">
        <f t="shared" si="23"/>
        <v>9</v>
      </c>
      <c r="AA91" s="112">
        <f>COUNTIF(_xlfn.ANCHORARRAY(DATA_CLEANED!$AK$3),$A91)+COUNTIF(DATA_CLEANED!$AN$2:$AN$1060,$A91)</f>
        <v>37</v>
      </c>
      <c r="AB91" s="112">
        <f>COUNTIF(DATA_QUALITE!BG$12:BG$1069,A91)</f>
        <v>16</v>
      </c>
      <c r="AC91" s="112">
        <f t="shared" si="30"/>
        <v>20</v>
      </c>
      <c r="AD91" s="112" cm="1">
        <f t="array" ref="AD91">SUMPRODUCT((DATA_CLEANED!AL$3:AL$1060=DATA_CLEANED!AM$3:AM$1060)*(_xlfn.ANCHORARRAY(DATA_CLEANED!AK$3)=CALCULES!A91)*(DATA_CLEANED!AO$3:AO$1060&lt;&gt;"-"))
+
SUMPRODUCT((DATA_CLEANED!AL$3:AL$1060=DATA_CLEANED!AM$3:AM$1060)*(_xlfn.ANCHORARRAY(DATA_CLEANED!AN$3)=CALCULES!A91)*(DATA_CLEANED!AO$3:AO$1060&lt;&gt;"-"))</f>
        <v>1</v>
      </c>
      <c r="AE91" s="116">
        <f t="shared" si="24"/>
        <v>0.43243243243243246</v>
      </c>
      <c r="AF91" s="116">
        <f t="shared" si="25"/>
        <v>0.54054054054054057</v>
      </c>
      <c r="AG91" s="112">
        <f>SUMIF(_xlfn.ANCHORARRAY(DATA_CLEANED!AK$3),A91,DATA_CLEANED!AL$2:AL$1060)+SUMIF(_xlfn.ANCHORARRAY(DATA_CLEANED!AN$3),A91,DATA_CLEANED!AM$2:AM$1060)</f>
        <v>57</v>
      </c>
      <c r="AH91" s="112">
        <f>SUMIF(_xlfn.ANCHORARRAY(DATA_CLEANED!AK$3),A91,DATA_CLEANED!AM$2:AM$1060)+SUMIF(_xlfn.ANCHORARRAY(DATA_CLEANED!AN$3),A91,DATA_CLEANED!AL$2:AL$1060)</f>
        <v>67</v>
      </c>
      <c r="AI91" s="112">
        <f t="shared" si="31"/>
        <v>1.81</v>
      </c>
      <c r="AJ91" s="117" cm="1">
        <f t="array" ref="AJ91">_xlfn.LET(_xlpm.home,IFERROR(_xlfn._xlws.FILTER(DATA_CLEANED!AH$3:AH$1060,DATA_CLEANED!AK$3:AK$1060=CALCULES!A91),""),
_xlpm.away,IFERROR(_xlfn._xlws.FILTER(DATA_CLEANED!AH$3:AH$1060,DATA_CLEANED!AN$3:AN$1060=CALCULES!A91),""),
_xlpm.assemb_t,_xlfn._xlws.FILTER(_xlfn.VSTACK(_xlpm.home,_xlpm.away),_xlfn.VSTACK(_xlpm.home,_xlpm.away)&lt;&gt;""),
_xlpm.but_h,IFERROR(_xlfn._xlws.FILTER(_xlfn.ANCHORARRAY(DATA_CLEANED!AM$3),DATA_CLEANED!AK$3:AK$1060=CALCULES!A91),""),
_xlpm.but_a,IFERROR(_xlfn._xlws.FILTER(_xlfn.ANCHORARRAY(DATA_CLEANED!AL$3),DATA_CLEANED!AN$3:AN$1060=CALCULES!A91),""),
_xlpm.assemb_b,_xlfn._xlws.FILTER(_xlfn.VSTACK(_xlpm.but_h,_xlpm.but_a),_xlfn.VSTACK(_xlpm.but_h,_xlpm.but_a)&lt;&gt;""),
MEDIAN(_xlpm.assemb_t,_xlpm.assemb_b)
)</f>
        <v>1</v>
      </c>
      <c r="AK91" s="113">
        <f t="shared" si="26"/>
        <v>-10</v>
      </c>
      <c r="AL91" s="112" cm="1">
        <f t="array" ref="AL91">IFERROR(MEDIAN(_xlfn._xlws.FILTER(_xlfn.VSTACK(
DATA_CLEANED!AL$3:AL$1060-DATA_CLEANED!AM$3:AM$1060,
DATA_CLEANED!AM$3:AM$1060-DATA_CLEANED!AL$3:AL$1060
),_xlfn.VSTACK(DATA_CLEANED!AK$3:AK$1060,DATA_CLEANED!AN$3:AN$1060)=A91)),"-")</f>
        <v>0</v>
      </c>
      <c r="AM91" s="112">
        <f t="shared" si="32"/>
        <v>1.54</v>
      </c>
      <c r="AN91" s="112" cm="1">
        <f t="array" ref="AN91">_xlfn.LET(_xlpm.home,IFERROR(_xlfn._xlws.FILTER(DATA_CLEANED!AH$3:AH$1060,DATA_CLEANED!AK$3:AK$1060=CALCULES!A91),""),
_xlpm.away,IFERROR(_xlfn._xlws.FILTER(DATA_CLEANED!AH$3:AH$1060,DATA_CLEANED!AN$3:AN$1060=CALCULES!A91),""),
_xlpm.assemb_t,_xlfn._xlws.FILTER(_xlfn.VSTACK(_xlpm.home,_xlpm.away),_xlfn.VSTACK(_xlpm.home,_xlpm.away)&lt;&gt;""),
_xlpm.but_h,IFERROR(_xlfn._xlws.FILTER(_xlfn.ANCHORARRAY(DATA_CLEANED!AL$3),DATA_CLEANED!AK$3:AK$1060=CALCULES!A91),""),
_xlpm.but_a,IFERROR(_xlfn._xlws.FILTER(_xlfn.ANCHORARRAY(DATA_CLEANED!AM$3),DATA_CLEANED!AN$3:AN$1060=CALCULES!A91),""),
_xlpm.assemb_b,_xlfn._xlws.FILTER(_xlfn.VSTACK(_xlpm.but_h,_xlpm.but_a),_xlfn.VSTACK(_xlpm.but_h,_xlpm.but_a)&lt;&gt;""),
MEDIAN(_xlpm.assemb_t,_xlpm.assemb_b)
)</f>
        <v>1</v>
      </c>
      <c r="AO91" s="116">
        <f>ROUND(IFERROR((COUNTIFS(DATA_CLEANED!AK$3:AK$1060,A91,DATA_CLEANED!AM$3:AM$1060,0)
+
COUNTIFS(DATA_CLEANED!AN$3:AN$1060,A91,DATA_CLEANED!AL$3:AL$1060,0)
)/AA91,0),2)</f>
        <v>0.35</v>
      </c>
      <c r="AP91" s="112">
        <f>MAX((_xlfn.MAXIFS(_xlfn.ANCHORARRAY(DATA_CLEANED!AL$3),_xlfn.ANCHORARRAY(DATA_CLEANED!AK$3),A91)),(_xlfn.MAXIFS(DATA_CLEANED!AM$3:AM$1060,_xlfn.ANCHORARRAY(DATA_CLEANED!AN$3),A91)))</f>
        <v>9</v>
      </c>
      <c r="AQ91" s="112">
        <f>COUNTIF(_xlfn.ANCHORARRAY(DATA_CLEANED!K$3),A91)</f>
        <v>5</v>
      </c>
      <c r="AR91" s="113" t="str" cm="1">
        <f t="array" ref="AR91">_xlfn.LET(
_xlpm.home,IFERROR(_xlfn._xlws.FILTER(DATA_CLEANED!AH$3:AH$1060,DATA_CLEANED!AK$3:AK$1060=CALCULES!A91),""),
_xlpm.away,IFERROR(_xlfn._xlws.FILTER(DATA_CLEANED!AH$3:AH$1060,DATA_CLEANED!AN$3:AN$1060=CALCULES!A91),""),
_xlpm.etapes,_xlfn._xlws.FILTER(_xlfn.VSTACK(_xlpm.home,_xlpm.away),_xlfn.VSTACK(_xlpm.home,_xlpm.away)&lt;&gt;""),
_xlpm.numeros,_xlfn.XLOOKUP(_xlpm.etapes,DATA_QUALITE!AT$12:AT$38,DATA_QUALITE!AU$12:AU$38),
_xlfn.XLOOKUP(MIN(_xlpm.numeros),DATA_QUALITE!AU$12:AU$38,DATA_QUALITE!AT$12:AT$38)
)</f>
        <v>THIRD_PLACE</v>
      </c>
      <c r="AS91" s="112">
        <f t="shared" si="27"/>
        <v>9</v>
      </c>
      <c r="AT91" s="112">
        <f t="shared" si="28"/>
        <v>16</v>
      </c>
      <c r="AU91" s="112">
        <f>COUNTIFS(DATA_QUALITE!BG$12:BG$1069,"MATCH NUL",_xlfn.ANCHORARRAY(DATA_CLEANED!AK$3),CALCULES!A91)+COUNTIFS(DATA_QUALITE!BG$12:BG$1069,"MATCH NUL",_xlfn.ANCHORARRAY(DATA_CLEANED!AN$3),CALCULES!A91)</f>
        <v>7</v>
      </c>
      <c r="AV91" s="112">
        <v>57</v>
      </c>
      <c r="AW91" s="112">
        <f>COUNTIFS(_xlfn.ANCHORARRAY(DATA_CLEANED!AH$3),"QUARTER_FINALS",_xlfn.ANCHORARRAY(DATA_CLEANED!AK$3),CALCULES!A91)+COUNTIFS(_xlfn.ANCHORARRAY(DATA_CLEANED!AH$3),"QUARTER_FINALS",_xlfn.ANCHORARRAY(DATA_CLEANED!AN$3),CALCULES!A91)</f>
        <v>4</v>
      </c>
      <c r="AX91" s="112">
        <f>COUNTIFS(_xlfn.ANCHORARRAY(DATA_CLEANED!AH$3),"SEMI_FINALS",_xlfn.ANCHORARRAY(DATA_CLEANED!AK$3),CALCULES!A91)+COUNTIFS(_xlfn.ANCHORARRAY(DATA_CLEANED!AH$3),"SEMI_FINALS",_xlfn.ANCHORARRAY(DATA_CLEANED!AN$3),CALCULES!A91)</f>
        <v>2</v>
      </c>
      <c r="AY91" s="112">
        <f>COUNTIFS(_xlfn.ANCHORARRAY(DATA_CLEANED!AH$3),"FINAL",_xlfn.ANCHORARRAY(DATA_CLEANED!AK$3),CALCULES!A91)+COUNTIFS(_xlfn.ANCHORARRAY(DATA_CLEANED!AH$3),"FINAL",_xlfn.ANCHORARRAY(DATA_CLEANED!AN$3),CALCULES!A91)</f>
        <v>0</v>
      </c>
      <c r="AZ91" s="112">
        <f>COUNTIFS(DATA_QUALITE!BG$12:BG$1069,CALCULES!A91,DATA_QUALITE!AW$12:AW$1069,"FINAL")</f>
        <v>0</v>
      </c>
      <c r="BA91" s="113">
        <f t="shared" si="29"/>
        <v>41.19</v>
      </c>
      <c r="BB91" s="118">
        <f t="shared" si="33"/>
        <v>21.84</v>
      </c>
      <c r="BC91" s="118">
        <f t="shared" si="34"/>
        <v>18.02</v>
      </c>
      <c r="BD91" s="139">
        <f t="shared" si="35"/>
        <v>19.93</v>
      </c>
      <c r="BF91" s="167"/>
      <c r="BG91" s="167"/>
      <c r="BH91" s="167"/>
      <c r="BI91" s="167"/>
      <c r="BJ91" s="167"/>
      <c r="BK91" s="167"/>
      <c r="BL91" s="173">
        <f>INT((ROWS($BL$15:BL91)-1)/9)</f>
        <v>8</v>
      </c>
      <c r="BM91" s="173">
        <f>MOD(ROWS($BM$15:BM91)-1,9)</f>
        <v>4</v>
      </c>
      <c r="BN91" s="173">
        <f t="shared" si="36"/>
        <v>4.6259112061298572E-6</v>
      </c>
      <c r="BO91" s="167"/>
      <c r="BP91" s="167"/>
    </row>
    <row r="92" spans="1:68">
      <c r="A92" s="113" t="str">
        <v>Zaire</v>
      </c>
      <c r="B92" s="112">
        <f>IF(COUNTIFS(_xlfn.ANCHORARRAY(DATA_CLEANED!$AF$3),CALCULES!B$2,_xlfn.ANCHORARRAY(DATA_CLEANED!$AK$3),CALCULES!$A92)+COUNTIFS(_xlfn.ANCHORARRAY(DATA_CLEANED!$AF$3),CALCULES!B$2,_xlfn.ANCHORARRAY(DATA_CLEANED!$AN$3),CALCULES!$A92)&gt;0,1,0)</f>
        <v>0</v>
      </c>
      <c r="C92" s="112">
        <f>IF(COUNTIFS(_xlfn.ANCHORARRAY(DATA_CLEANED!$AF$3),CALCULES!C$2,_xlfn.ANCHORARRAY(DATA_CLEANED!$AK$3),CALCULES!$A92)+COUNTIFS(_xlfn.ANCHORARRAY(DATA_CLEANED!$AF$3),CALCULES!C$2,_xlfn.ANCHORARRAY(DATA_CLEANED!$AN$3),CALCULES!$A92)&gt;0,1,0)</f>
        <v>0</v>
      </c>
      <c r="D92" s="112">
        <f>IF(COUNTIFS(_xlfn.ANCHORARRAY(DATA_CLEANED!$AF$3),CALCULES!D$2,_xlfn.ANCHORARRAY(DATA_CLEANED!$AK$3),CALCULES!$A92)+COUNTIFS(_xlfn.ANCHORARRAY(DATA_CLEANED!$AF$3),CALCULES!D$2,_xlfn.ANCHORARRAY(DATA_CLEANED!$AN$3),CALCULES!$A92)&gt;0,1,0)</f>
        <v>0</v>
      </c>
      <c r="E92" s="112">
        <f>IF(COUNTIFS(_xlfn.ANCHORARRAY(DATA_CLEANED!$AF$3),CALCULES!E$2,_xlfn.ANCHORARRAY(DATA_CLEANED!$AK$3),CALCULES!$A92)+COUNTIFS(_xlfn.ANCHORARRAY(DATA_CLEANED!$AF$3),CALCULES!E$2,_xlfn.ANCHORARRAY(DATA_CLEANED!$AN$3),CALCULES!$A92)&gt;0,1,0)</f>
        <v>0</v>
      </c>
      <c r="F92" s="112">
        <f>IF(COUNTIFS(_xlfn.ANCHORARRAY(DATA_CLEANED!$AF$3),CALCULES!F$2,_xlfn.ANCHORARRAY(DATA_CLEANED!$AK$3),CALCULES!$A92)+COUNTIFS(_xlfn.ANCHORARRAY(DATA_CLEANED!$AF$3),CALCULES!F$2,_xlfn.ANCHORARRAY(DATA_CLEANED!$AN$3),CALCULES!$A92)&gt;0,1,0)</f>
        <v>0</v>
      </c>
      <c r="G92" s="112">
        <f>IF(COUNTIFS(_xlfn.ANCHORARRAY(DATA_CLEANED!$AF$3),CALCULES!G$2,_xlfn.ANCHORARRAY(DATA_CLEANED!$AK$3),CALCULES!$A92)+COUNTIFS(_xlfn.ANCHORARRAY(DATA_CLEANED!$AF$3),CALCULES!G$2,_xlfn.ANCHORARRAY(DATA_CLEANED!$AN$3),CALCULES!$A92)&gt;0,1,0)</f>
        <v>0</v>
      </c>
      <c r="H92" s="112">
        <f>IF(COUNTIFS(_xlfn.ANCHORARRAY(DATA_CLEANED!$AF$3),CALCULES!H$2,_xlfn.ANCHORARRAY(DATA_CLEANED!$AK$3),CALCULES!$A92)+COUNTIFS(_xlfn.ANCHORARRAY(DATA_CLEANED!$AF$3),CALCULES!H$2,_xlfn.ANCHORARRAY(DATA_CLEANED!$AN$3),CALCULES!$A92)&gt;0,1,0)</f>
        <v>0</v>
      </c>
      <c r="I92" s="112">
        <f>IF(COUNTIFS(_xlfn.ANCHORARRAY(DATA_CLEANED!$AF$3),CALCULES!I$2,_xlfn.ANCHORARRAY(DATA_CLEANED!$AK$3),CALCULES!$A92)+COUNTIFS(_xlfn.ANCHORARRAY(DATA_CLEANED!$AF$3),CALCULES!I$2,_xlfn.ANCHORARRAY(DATA_CLEANED!$AN$3),CALCULES!$A92)&gt;0,1,0)</f>
        <v>0</v>
      </c>
      <c r="J92" s="112">
        <f>IF(COUNTIFS(_xlfn.ANCHORARRAY(DATA_CLEANED!$AF$3),CALCULES!J$2,_xlfn.ANCHORARRAY(DATA_CLEANED!$AK$3),CALCULES!$A92)+COUNTIFS(_xlfn.ANCHORARRAY(DATA_CLEANED!$AF$3),CALCULES!J$2,_xlfn.ANCHORARRAY(DATA_CLEANED!$AN$3),CALCULES!$A92)&gt;0,1,0)</f>
        <v>0</v>
      </c>
      <c r="K92" s="112">
        <f>IF(COUNTIFS(_xlfn.ANCHORARRAY(DATA_CLEANED!$AF$3),CALCULES!K$2,_xlfn.ANCHORARRAY(DATA_CLEANED!$AK$3),CALCULES!$A92)+COUNTIFS(_xlfn.ANCHORARRAY(DATA_CLEANED!$AF$3),CALCULES!K$2,_xlfn.ANCHORARRAY(DATA_CLEANED!$AN$3),CALCULES!$A92)&gt;0,1,0)</f>
        <v>1</v>
      </c>
      <c r="L92" s="112">
        <f>IF(COUNTIFS(_xlfn.ANCHORARRAY(DATA_CLEANED!$AF$3),CALCULES!L$2,_xlfn.ANCHORARRAY(DATA_CLEANED!$AK$3),CALCULES!$A92)+COUNTIFS(_xlfn.ANCHORARRAY(DATA_CLEANED!$AF$3),CALCULES!L$2,_xlfn.ANCHORARRAY(DATA_CLEANED!$AN$3),CALCULES!$A92)&gt;0,1,0)</f>
        <v>0</v>
      </c>
      <c r="M92" s="112">
        <f>IF(COUNTIFS(_xlfn.ANCHORARRAY(DATA_CLEANED!$AF$3),CALCULES!M$2,_xlfn.ANCHORARRAY(DATA_CLEANED!$AK$3),CALCULES!$A92)+COUNTIFS(_xlfn.ANCHORARRAY(DATA_CLEANED!$AF$3),CALCULES!M$2,_xlfn.ANCHORARRAY(DATA_CLEANED!$AN$3),CALCULES!$A92)&gt;0,1,0)</f>
        <v>0</v>
      </c>
      <c r="N92" s="112">
        <f>IF(COUNTIFS(_xlfn.ANCHORARRAY(DATA_CLEANED!$AF$3),CALCULES!N$2,_xlfn.ANCHORARRAY(DATA_CLEANED!$AK$3),CALCULES!$A92)+COUNTIFS(_xlfn.ANCHORARRAY(DATA_CLEANED!$AF$3),CALCULES!N$2,_xlfn.ANCHORARRAY(DATA_CLEANED!$AN$3),CALCULES!$A92)&gt;0,1,0)</f>
        <v>0</v>
      </c>
      <c r="O92" s="112">
        <f>IF(COUNTIFS(_xlfn.ANCHORARRAY(DATA_CLEANED!$AF$3),CALCULES!O$2,_xlfn.ANCHORARRAY(DATA_CLEANED!$AK$3),CALCULES!$A92)+COUNTIFS(_xlfn.ANCHORARRAY(DATA_CLEANED!$AF$3),CALCULES!O$2,_xlfn.ANCHORARRAY(DATA_CLEANED!$AN$3),CALCULES!$A92)&gt;0,1,0)</f>
        <v>0</v>
      </c>
      <c r="P92" s="112">
        <f>IF(COUNTIFS(_xlfn.ANCHORARRAY(DATA_CLEANED!$AF$3),CALCULES!P$2,_xlfn.ANCHORARRAY(DATA_CLEANED!$AK$3),CALCULES!$A92)+COUNTIFS(_xlfn.ANCHORARRAY(DATA_CLEANED!$AF$3),CALCULES!P$2,_xlfn.ANCHORARRAY(DATA_CLEANED!$AN$3),CALCULES!$A92)&gt;0,1,0)</f>
        <v>0</v>
      </c>
      <c r="Q92" s="112">
        <f>IF(COUNTIFS(_xlfn.ANCHORARRAY(DATA_CLEANED!$AF$3),CALCULES!Q$2,_xlfn.ANCHORARRAY(DATA_CLEANED!$AK$3),CALCULES!$A92)+COUNTIFS(_xlfn.ANCHORARRAY(DATA_CLEANED!$AF$3),CALCULES!Q$2,_xlfn.ANCHORARRAY(DATA_CLEANED!$AN$3),CALCULES!$A92)&gt;0,1,0)</f>
        <v>0</v>
      </c>
      <c r="R92" s="112">
        <f>IF(COUNTIFS(_xlfn.ANCHORARRAY(DATA_CLEANED!$AF$3),CALCULES!R$2,_xlfn.ANCHORARRAY(DATA_CLEANED!$AK$3),CALCULES!$A92)+COUNTIFS(_xlfn.ANCHORARRAY(DATA_CLEANED!$AF$3),CALCULES!R$2,_xlfn.ANCHORARRAY(DATA_CLEANED!$AN$3),CALCULES!$A92)&gt;0,1,0)</f>
        <v>0</v>
      </c>
      <c r="S92" s="112">
        <f>IF(COUNTIFS(_xlfn.ANCHORARRAY(DATA_CLEANED!$AF$3),CALCULES!S$2,_xlfn.ANCHORARRAY(DATA_CLEANED!$AK$3),CALCULES!$A92)+COUNTIFS(_xlfn.ANCHORARRAY(DATA_CLEANED!$AF$3),CALCULES!S$2,_xlfn.ANCHORARRAY(DATA_CLEANED!$AN$3),CALCULES!$A92)&gt;0,1,0)</f>
        <v>0</v>
      </c>
      <c r="T92" s="112">
        <f>IF(COUNTIFS(_xlfn.ANCHORARRAY(DATA_CLEANED!$AF$3),CALCULES!T$2,_xlfn.ANCHORARRAY(DATA_CLEANED!$AK$3),CALCULES!$A92)+COUNTIFS(_xlfn.ANCHORARRAY(DATA_CLEANED!$AF$3),CALCULES!T$2,_xlfn.ANCHORARRAY(DATA_CLEANED!$AN$3),CALCULES!$A92)&gt;0,1,0)</f>
        <v>0</v>
      </c>
      <c r="U92" s="112">
        <f>IF(COUNTIFS(_xlfn.ANCHORARRAY(DATA_CLEANED!$AF$3),CALCULES!U$2,_xlfn.ANCHORARRAY(DATA_CLEANED!$AK$3),CALCULES!$A92)+COUNTIFS(_xlfn.ANCHORARRAY(DATA_CLEANED!$AF$3),CALCULES!U$2,_xlfn.ANCHORARRAY(DATA_CLEANED!$AN$3),CALCULES!$A92)&gt;0,1,0)</f>
        <v>0</v>
      </c>
      <c r="V92" s="112">
        <f>IF(COUNTIFS(_xlfn.ANCHORARRAY(DATA_CLEANED!$AF$3),CALCULES!V$2,_xlfn.ANCHORARRAY(DATA_CLEANED!$AK$3),CALCULES!$A92)+COUNTIFS(_xlfn.ANCHORARRAY(DATA_CLEANED!$AF$3),CALCULES!V$2,_xlfn.ANCHORARRAY(DATA_CLEANED!$AN$3),CALCULES!$A92)&gt;0,1,0)</f>
        <v>0</v>
      </c>
      <c r="W92" s="112">
        <f>IF(COUNTIFS(_xlfn.ANCHORARRAY(DATA_CLEANED!$AF$3),CALCULES!W$2,_xlfn.ANCHORARRAY(DATA_CLEANED!$AK$3),CALCULES!$A92)+COUNTIFS(_xlfn.ANCHORARRAY(DATA_CLEANED!$AF$3),CALCULES!W$2,_xlfn.ANCHORARRAY(DATA_CLEANED!$AN$3),CALCULES!$A92)&gt;0,1,0)</f>
        <v>0</v>
      </c>
      <c r="X92" s="112">
        <f>IF(COUNTIFS(_xlfn.ANCHORARRAY(DATA_CLEANED!$AF$3),CALCULES!X$2,_xlfn.ANCHORARRAY(DATA_CLEANED!$AK$3),CALCULES!$A92)+COUNTIFS(_xlfn.ANCHORARRAY(DATA_CLEANED!$AF$3),CALCULES!X$2,_xlfn.ANCHORARRAY(DATA_CLEANED!$AN$3),CALCULES!$A92)&gt;0,1,0)</f>
        <v>0</v>
      </c>
      <c r="Y92" s="113">
        <f t="shared" si="23"/>
        <v>1</v>
      </c>
      <c r="AA92" s="112">
        <f>COUNTIF(_xlfn.ANCHORARRAY(DATA_CLEANED!$AK$3),$A92)+COUNTIF(DATA_CLEANED!$AN$2:$AN$1060,$A92)</f>
        <v>3</v>
      </c>
      <c r="AB92" s="112">
        <f>COUNTIF(DATA_QUALITE!BG$12:BG$1069,A92)</f>
        <v>0</v>
      </c>
      <c r="AC92" s="112">
        <f t="shared" si="30"/>
        <v>3</v>
      </c>
      <c r="AD92" s="112" cm="1">
        <f t="array" ref="AD92">SUMPRODUCT((DATA_CLEANED!AL$3:AL$1060=DATA_CLEANED!AM$3:AM$1060)*(_xlfn.ANCHORARRAY(DATA_CLEANED!AK$3)=CALCULES!A92)*(DATA_CLEANED!AO$3:AO$1060&lt;&gt;"-"))
+
SUMPRODUCT((DATA_CLEANED!AL$3:AL$1060=DATA_CLEANED!AM$3:AM$1060)*(_xlfn.ANCHORARRAY(DATA_CLEANED!AN$3)=CALCULES!A92)*(DATA_CLEANED!AO$3:AO$1060&lt;&gt;"-"))</f>
        <v>0</v>
      </c>
      <c r="AE92" s="116">
        <f t="shared" si="24"/>
        <v>0</v>
      </c>
      <c r="AF92" s="116">
        <f t="shared" si="25"/>
        <v>1</v>
      </c>
      <c r="AG92" s="112">
        <f>SUMIF(_xlfn.ANCHORARRAY(DATA_CLEANED!AK$3),A92,DATA_CLEANED!AL$2:AL$1060)+SUMIF(_xlfn.ANCHORARRAY(DATA_CLEANED!AN$3),A92,DATA_CLEANED!AM$2:AM$1060)</f>
        <v>3</v>
      </c>
      <c r="AH92" s="112">
        <f>SUMIF(_xlfn.ANCHORARRAY(DATA_CLEANED!AK$3),A92,DATA_CLEANED!AM$2:AM$1060)+SUMIF(_xlfn.ANCHORARRAY(DATA_CLEANED!AN$3),A92,DATA_CLEANED!AL$2:AL$1060)</f>
        <v>1</v>
      </c>
      <c r="AI92" s="112">
        <f t="shared" si="31"/>
        <v>0.33</v>
      </c>
      <c r="AJ92" s="117" cm="1">
        <f t="array" ref="AJ92">_xlfn.LET(_xlpm.home,IFERROR(_xlfn._xlws.FILTER(DATA_CLEANED!AH$3:AH$1060,DATA_CLEANED!AK$3:AK$1060=CALCULES!A92),""),
_xlpm.away,IFERROR(_xlfn._xlws.FILTER(DATA_CLEANED!AH$3:AH$1060,DATA_CLEANED!AN$3:AN$1060=CALCULES!A92),""),
_xlpm.assemb_t,_xlfn._xlws.FILTER(_xlfn.VSTACK(_xlpm.home,_xlpm.away),_xlfn.VSTACK(_xlpm.home,_xlpm.away)&lt;&gt;""),
_xlpm.but_h,IFERROR(_xlfn._xlws.FILTER(_xlfn.ANCHORARRAY(DATA_CLEANED!AM$3),DATA_CLEANED!AK$3:AK$1060=CALCULES!A92),""),
_xlpm.but_a,IFERROR(_xlfn._xlws.FILTER(_xlfn.ANCHORARRAY(DATA_CLEANED!AL$3),DATA_CLEANED!AN$3:AN$1060=CALCULES!A92),""),
_xlpm.assemb_b,_xlfn._xlws.FILTER(_xlfn.VSTACK(_xlpm.but_h,_xlpm.but_a),_xlfn.VSTACK(_xlpm.but_h,_xlpm.but_a)&lt;&gt;""),
MEDIAN(_xlpm.assemb_t,_xlpm.assemb_b)
)</f>
        <v>3</v>
      </c>
      <c r="AK92" s="113">
        <f t="shared" si="26"/>
        <v>2</v>
      </c>
      <c r="AL92" s="112" cm="1">
        <f t="array" ref="AL92">IFERROR(MEDIAN(_xlfn._xlws.FILTER(_xlfn.VSTACK(
DATA_CLEANED!AL$3:AL$1060-DATA_CLEANED!AM$3:AM$1060,
DATA_CLEANED!AM$3:AM$1060-DATA_CLEANED!AL$3:AL$1060
),_xlfn.VSTACK(DATA_CLEANED!AK$3:AK$1060,DATA_CLEANED!AN$3:AN$1060)=A92)),"-")</f>
        <v>-3</v>
      </c>
      <c r="AM92" s="112">
        <f t="shared" si="32"/>
        <v>1</v>
      </c>
      <c r="AN92" s="112" cm="1">
        <f t="array" ref="AN92">_xlfn.LET(_xlpm.home,IFERROR(_xlfn._xlws.FILTER(DATA_CLEANED!AH$3:AH$1060,DATA_CLEANED!AK$3:AK$1060=CALCULES!A92),""),
_xlpm.away,IFERROR(_xlfn._xlws.FILTER(DATA_CLEANED!AH$3:AH$1060,DATA_CLEANED!AN$3:AN$1060=CALCULES!A92),""),
_xlpm.assemb_t,_xlfn._xlws.FILTER(_xlfn.VSTACK(_xlpm.home,_xlpm.away),_xlfn.VSTACK(_xlpm.home,_xlpm.away)&lt;&gt;""),
_xlpm.but_h,IFERROR(_xlfn._xlws.FILTER(_xlfn.ANCHORARRAY(DATA_CLEANED!AL$3),DATA_CLEANED!AK$3:AK$1060=CALCULES!A92),""),
_xlpm.but_a,IFERROR(_xlfn._xlws.FILTER(_xlfn.ANCHORARRAY(DATA_CLEANED!AM$3),DATA_CLEANED!AN$3:AN$1060=CALCULES!A92),""),
_xlpm.assemb_b,_xlfn._xlws.FILTER(_xlfn.VSTACK(_xlpm.but_h,_xlpm.but_a),_xlfn.VSTACK(_xlpm.but_h,_xlpm.but_a)&lt;&gt;""),
MEDIAN(_xlpm.assemb_t,_xlpm.assemb_b)
)</f>
        <v>0</v>
      </c>
      <c r="AO92" s="116">
        <f>ROUND(IFERROR((COUNTIFS(DATA_CLEANED!AK$3:AK$1060,A92,DATA_CLEANED!AM$3:AM$1060,0)
+
COUNTIFS(DATA_CLEANED!AN$3:AN$1060,A92,DATA_CLEANED!AL$3:AL$1060,0)
)/AA92,0),2)</f>
        <v>0</v>
      </c>
      <c r="AP92" s="112">
        <f>MAX((_xlfn.MAXIFS(_xlfn.ANCHORARRAY(DATA_CLEANED!AL$3),_xlfn.ANCHORARRAY(DATA_CLEANED!AK$3),A92)),(_xlfn.MAXIFS(DATA_CLEANED!AM$3:AM$1060,_xlfn.ANCHORARRAY(DATA_CLEANED!AN$3),A92)))</f>
        <v>0</v>
      </c>
      <c r="AQ92" s="112">
        <f>COUNTIF(_xlfn.ANCHORARRAY(DATA_CLEANED!K$3),A92)</f>
        <v>0</v>
      </c>
      <c r="AR92" s="113" t="str" cm="1">
        <f t="array" ref="AR92">_xlfn.LET(
_xlpm.home,IFERROR(_xlfn._xlws.FILTER(DATA_CLEANED!AH$3:AH$1060,DATA_CLEANED!AK$3:AK$1060=CALCULES!A92),""),
_xlpm.away,IFERROR(_xlfn._xlws.FILTER(DATA_CLEANED!AH$3:AH$1060,DATA_CLEANED!AN$3:AN$1060=CALCULES!A92),""),
_xlpm.etapes,_xlfn._xlws.FILTER(_xlfn.VSTACK(_xlpm.home,_xlpm.away),_xlfn.VSTACK(_xlpm.home,_xlpm.away)&lt;&gt;""),
_xlpm.numeros,_xlfn.XLOOKUP(_xlpm.etapes,DATA_QUALITE!AT$12:AT$38,DATA_QUALITE!AU$12:AU$38),
_xlfn.XLOOKUP(MIN(_xlpm.numeros),DATA_QUALITE!AU$12:AU$38,DATA_QUALITE!AT$12:AT$38)
)</f>
        <v>GROUP_STAGE</v>
      </c>
      <c r="AS92" s="112">
        <f t="shared" si="27"/>
        <v>1</v>
      </c>
      <c r="AT92" s="112">
        <f t="shared" si="28"/>
        <v>0</v>
      </c>
      <c r="AU92" s="112">
        <f>COUNTIFS(DATA_QUALITE!BG$12:BG$1069,"MATCH NUL",_xlfn.ANCHORARRAY(DATA_CLEANED!AK$3),CALCULES!A92)+COUNTIFS(DATA_QUALITE!BG$12:BG$1069,"MATCH NUL",_xlfn.ANCHORARRAY(DATA_CLEANED!AN$3),CALCULES!A92)</f>
        <v>0</v>
      </c>
      <c r="AV92" s="112">
        <v>3</v>
      </c>
      <c r="AW92" s="112">
        <f>COUNTIFS(_xlfn.ANCHORARRAY(DATA_CLEANED!AH$3),"QUARTER_FINALS",_xlfn.ANCHORARRAY(DATA_CLEANED!AK$3),CALCULES!A92)+COUNTIFS(_xlfn.ANCHORARRAY(DATA_CLEANED!AH$3),"QUARTER_FINALS",_xlfn.ANCHORARRAY(DATA_CLEANED!AN$3),CALCULES!A92)</f>
        <v>0</v>
      </c>
      <c r="AX92" s="112">
        <f>COUNTIFS(_xlfn.ANCHORARRAY(DATA_CLEANED!AH$3),"SEMI_FINALS",_xlfn.ANCHORARRAY(DATA_CLEANED!AK$3),CALCULES!A92)+COUNTIFS(_xlfn.ANCHORARRAY(DATA_CLEANED!AH$3),"SEMI_FINALS",_xlfn.ANCHORARRAY(DATA_CLEANED!AN$3),CALCULES!A92)</f>
        <v>0</v>
      </c>
      <c r="AY92" s="112">
        <f>COUNTIFS(_xlfn.ANCHORARRAY(DATA_CLEANED!AH$3),"FINAL",_xlfn.ANCHORARRAY(DATA_CLEANED!AK$3),CALCULES!A92)+COUNTIFS(_xlfn.ANCHORARRAY(DATA_CLEANED!AH$3),"FINAL",_xlfn.ANCHORARRAY(DATA_CLEANED!AN$3),CALCULES!A92)</f>
        <v>0</v>
      </c>
      <c r="AZ92" s="112">
        <f>COUNTIFS(DATA_QUALITE!BG$12:BG$1069,CALCULES!A92,DATA_QUALITE!AW$12:AW$1069,"FINAL")</f>
        <v>0</v>
      </c>
      <c r="BA92" s="113">
        <f t="shared" si="29"/>
        <v>0.25</v>
      </c>
      <c r="BB92" s="118">
        <f t="shared" si="33"/>
        <v>0</v>
      </c>
      <c r="BC92" s="118">
        <f t="shared" si="34"/>
        <v>0</v>
      </c>
      <c r="BD92" s="139">
        <f t="shared" si="35"/>
        <v>0</v>
      </c>
      <c r="BF92" s="167"/>
      <c r="BG92" s="167"/>
      <c r="BH92" s="167"/>
      <c r="BI92" s="167"/>
      <c r="BJ92" s="167"/>
      <c r="BK92" s="167"/>
      <c r="BL92" s="173">
        <f>INT((ROWS($BL$15:BL92)-1)/9)</f>
        <v>8</v>
      </c>
      <c r="BM92" s="173">
        <f>MOD(ROWS($BM$15:BM92)-1,9)</f>
        <v>5</v>
      </c>
      <c r="BN92" s="173">
        <f t="shared" si="36"/>
        <v>1.0361442483324627E-6</v>
      </c>
      <c r="BO92" s="167"/>
      <c r="BP92" s="167"/>
    </row>
    <row r="93" spans="1:68">
      <c r="BB93" s="137"/>
      <c r="BC93" s="137"/>
      <c r="BF93" s="167"/>
      <c r="BG93" s="167"/>
      <c r="BH93" s="167"/>
      <c r="BI93" s="167"/>
      <c r="BJ93" s="167"/>
      <c r="BK93" s="167"/>
      <c r="BL93" s="173">
        <f>INT((ROWS($BL$15:BL93)-1)/9)</f>
        <v>8</v>
      </c>
      <c r="BM93" s="173">
        <f>MOD(ROWS($BM$15:BM93)-1,9)</f>
        <v>6</v>
      </c>
      <c r="BN93" s="173">
        <f t="shared" si="36"/>
        <v>1.9340241945734719E-7</v>
      </c>
      <c r="BO93" s="167"/>
      <c r="BP93" s="167"/>
    </row>
    <row r="94" spans="1:68" ht="21">
      <c r="C94" s="19"/>
      <c r="D94" s="19"/>
      <c r="E94" s="19"/>
      <c r="F94" s="19"/>
      <c r="G94" s="19"/>
      <c r="H94" s="19"/>
      <c r="I94" s="19"/>
      <c r="J94" s="19"/>
      <c r="K94" s="19"/>
      <c r="AY94" s="114"/>
      <c r="BF94" s="167"/>
      <c r="BG94" s="167"/>
      <c r="BH94" s="167"/>
      <c r="BI94" s="167"/>
      <c r="BJ94" s="167"/>
      <c r="BK94" s="167"/>
      <c r="BL94" s="173">
        <f>INT((ROWS($BL$15:BL94)-1)/9)</f>
        <v>8</v>
      </c>
      <c r="BM94" s="173">
        <f>MOD(ROWS($BM$15:BM94)-1,9)</f>
        <v>7</v>
      </c>
      <c r="BN94" s="173">
        <f t="shared" si="36"/>
        <v>3.0942599446101763E-8</v>
      </c>
      <c r="BO94" s="167"/>
      <c r="BP94" s="167"/>
    </row>
    <row r="95" spans="1:68">
      <c r="AY95" s="114"/>
      <c r="BF95" s="167"/>
      <c r="BG95" s="167"/>
      <c r="BH95" s="167"/>
      <c r="BI95" s="167"/>
      <c r="BJ95" s="167"/>
      <c r="BK95" s="167"/>
      <c r="BL95" s="167"/>
      <c r="BM95" s="167"/>
      <c r="BN95" s="167"/>
      <c r="BO95" s="167"/>
      <c r="BP95" s="167"/>
    </row>
    <row r="96" spans="1:68">
      <c r="BF96" s="167"/>
      <c r="BG96" s="167"/>
      <c r="BH96" s="167"/>
      <c r="BI96" s="167"/>
      <c r="BJ96" s="167"/>
      <c r="BK96" s="167"/>
      <c r="BL96" s="167"/>
      <c r="BM96" s="167"/>
      <c r="BN96" s="167"/>
      <c r="BO96" s="167"/>
      <c r="BP96" s="167"/>
    </row>
    <row r="97" spans="58:68">
      <c r="BF97" s="167"/>
      <c r="BG97" s="167"/>
      <c r="BH97" s="167"/>
      <c r="BI97" s="167"/>
      <c r="BJ97" s="167"/>
      <c r="BK97" s="167"/>
      <c r="BL97" s="167"/>
      <c r="BM97" s="167"/>
      <c r="BN97" s="167"/>
      <c r="BO97" s="167"/>
      <c r="BP97" s="167"/>
    </row>
    <row r="98" spans="58:68">
      <c r="BF98" s="167"/>
      <c r="BG98" s="167"/>
      <c r="BH98" s="167"/>
      <c r="BI98" s="167"/>
      <c r="BJ98" s="167"/>
      <c r="BK98" s="167"/>
      <c r="BL98" s="167"/>
      <c r="BM98" s="167"/>
      <c r="BN98" s="167"/>
      <c r="BO98" s="167"/>
      <c r="BP98" s="167"/>
    </row>
    <row r="99" spans="58:68">
      <c r="BF99" s="167"/>
      <c r="BG99" s="167"/>
      <c r="BH99" s="167"/>
      <c r="BI99" s="167"/>
      <c r="BJ99" s="167"/>
      <c r="BK99" s="167"/>
      <c r="BL99" s="167"/>
      <c r="BM99" s="167"/>
      <c r="BN99" s="167"/>
      <c r="BO99" s="167"/>
      <c r="BP99" s="167"/>
    </row>
  </sheetData>
  <mergeCells count="4">
    <mergeCell ref="A1:Y1"/>
    <mergeCell ref="AA1:BA1"/>
    <mergeCell ref="BB1:BD1"/>
    <mergeCell ref="BF1:BU1"/>
  </mergeCells>
  <phoneticPr fontId="6" type="noConversion"/>
  <conditionalFormatting sqref="A3:Y92">
    <cfRule type="expression" dxfId="9" priority="13">
      <formula>MOD(ROW(),2)=0</formula>
    </cfRule>
  </conditionalFormatting>
  <conditionalFormatting sqref="C3:Y3 B3:X92">
    <cfRule type="cellIs" dxfId="8" priority="12" operator="equal">
      <formula>1</formula>
    </cfRule>
  </conditionalFormatting>
  <conditionalFormatting sqref="AA3:BD92">
    <cfRule type="expression" dxfId="7" priority="1">
      <formula>MOD(ROW(),2)=0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5467A-05C4-4F1E-9DE6-0E79D62DB5B4}">
  <dimension ref="B1:M100"/>
  <sheetViews>
    <sheetView topLeftCell="A7" zoomScale="85" zoomScaleNormal="85" workbookViewId="0">
      <selection activeCell="K16" sqref="K16"/>
    </sheetView>
  </sheetViews>
  <sheetFormatPr baseColWidth="10" defaultRowHeight="15"/>
  <cols>
    <col min="2" max="2" width="20.140625" customWidth="1"/>
    <col min="3" max="3" width="14" customWidth="1"/>
    <col min="4" max="4" width="62.42578125" bestFit="1" customWidth="1"/>
    <col min="5" max="5" width="36.42578125" bestFit="1" customWidth="1"/>
    <col min="6" max="6" width="46" bestFit="1" customWidth="1"/>
    <col min="7" max="7" width="25.5703125" customWidth="1"/>
    <col min="8" max="8" width="36.42578125" bestFit="1" customWidth="1"/>
    <col min="9" max="9" width="32.140625" bestFit="1" customWidth="1"/>
    <col min="10" max="10" width="53.42578125" bestFit="1" customWidth="1"/>
    <col min="11" max="11" width="34.140625" bestFit="1" customWidth="1"/>
    <col min="12" max="12" width="46" bestFit="1" customWidth="1"/>
    <col min="13" max="13" width="37.5703125" bestFit="1" customWidth="1"/>
  </cols>
  <sheetData>
    <row r="1" spans="2:13" ht="15" customHeight="1">
      <c r="B1" s="266" t="str">
        <f>UPPER("RéSUMé DES EDITIONS de LA COUPE DU MONDE")</f>
        <v>RÉSUMÉ DES EDITIONS DE LA COUPE DU MONDE</v>
      </c>
      <c r="C1" s="266"/>
      <c r="D1" s="266"/>
      <c r="E1" s="266"/>
      <c r="F1" s="266"/>
      <c r="G1" s="120"/>
      <c r="H1" s="120"/>
      <c r="I1" s="120"/>
      <c r="J1" s="120"/>
      <c r="K1" s="120"/>
      <c r="L1" s="120"/>
      <c r="M1" s="120"/>
    </row>
    <row r="2" spans="2:13" ht="15" customHeight="1">
      <c r="B2" s="266"/>
      <c r="C2" s="266"/>
      <c r="D2" s="266"/>
      <c r="E2" s="266"/>
      <c r="F2" s="266"/>
      <c r="G2" s="120"/>
      <c r="H2" s="120"/>
      <c r="I2" s="120"/>
      <c r="J2" s="120"/>
      <c r="K2" s="120"/>
      <c r="L2" s="120"/>
      <c r="M2" s="120"/>
    </row>
    <row r="3" spans="2:13" ht="15" customHeight="1">
      <c r="B3" s="266"/>
      <c r="C3" s="266"/>
      <c r="D3" s="266"/>
      <c r="E3" s="266"/>
      <c r="F3" s="266"/>
      <c r="G3" s="120"/>
      <c r="H3" s="120"/>
      <c r="I3" s="120"/>
      <c r="J3" s="120"/>
      <c r="K3" s="120"/>
      <c r="L3" s="120"/>
      <c r="M3" s="120"/>
    </row>
    <row r="6" spans="2:13">
      <c r="B6" s="263" t="s">
        <v>3817</v>
      </c>
      <c r="C6" s="263"/>
      <c r="D6" s="267" t="str">
        <f>"Nombre d'éditions : "&amp;COUNTA(CALCULES!B2:X2)</f>
        <v>Nombre d'éditions : 23</v>
      </c>
      <c r="E6" s="270" t="str">
        <f>"Nombre de matchs : "&amp;COUNTA(DATA_CLEANED!AL3:AL1060)</f>
        <v>Nombre de matchs : 1058</v>
      </c>
      <c r="F6" s="270" t="str">
        <f>"Nombre d'équipes : "&amp;COUNTA(DATA_QUALITE!X13:X103)</f>
        <v>Nombre d'équipes : 91</v>
      </c>
    </row>
    <row r="7" spans="2:13">
      <c r="B7" s="263"/>
      <c r="C7" s="263"/>
      <c r="D7" s="267"/>
      <c r="E7" s="270"/>
      <c r="F7" s="270"/>
    </row>
    <row r="8" spans="2:13">
      <c r="B8" s="263"/>
      <c r="C8" s="263"/>
      <c r="D8" s="269" t="str">
        <f>"Nombre total de buts (hors séances de tirs au but) : "&amp;SUM(DATA_CLEANED!AL3:AL1060)+SUM(DATA_CLEANED!AM3:AM1060)</f>
        <v>Nombre total de buts (hors séances de tirs au but) : 2995</v>
      </c>
      <c r="E8" s="268" t="str">
        <f>"Moyenne de buts par match : "&amp;ROUND(SUM(DATA_CLEANED!AL3:AM1060)/COUNTA(DATA_CLEANED!AK3:AK1060),2)</f>
        <v>Moyenne de buts par match : 2,83</v>
      </c>
      <c r="F8" s="268" t="str">
        <f>"Médiane de buts / match : "&amp;MEDIAN(_xlfn.VSTACK(DATA_CLEANED!AL$3:AL$1060,DATA_CLEANED!AM$3:AM$1060))</f>
        <v>Médiane de buts / match : 1</v>
      </c>
    </row>
    <row r="9" spans="2:13">
      <c r="B9" s="263"/>
      <c r="C9" s="263"/>
      <c r="D9" s="269"/>
      <c r="E9" s="268"/>
      <c r="F9" s="268"/>
    </row>
    <row r="10" spans="2:13">
      <c r="B10" s="263"/>
      <c r="C10" s="263"/>
      <c r="D10" s="267" t="str">
        <f>"Plus grand nombre de buts dans un match : "&amp;MAX(CALCULES!AP3:AP92)</f>
        <v>Plus grand nombre de buts dans un match : 10</v>
      </c>
      <c r="E10" s="270" t="str">
        <f>"Nombre de matchs nuls : "&amp;COUNTIF(DATA_QUALITE!BG12:BG1069,"MATCH NUL")</f>
        <v>Nombre de matchs nuls : 196</v>
      </c>
      <c r="F10" s="270" t="str">
        <f>"Matchs décidés aux tirs au but : "&amp;COUNTIF(DATA_QUALITE!BH12:BH1069,"WIN_BY_PENALTY")</f>
        <v>Matchs décidés aux tirs au but : 39</v>
      </c>
    </row>
    <row r="11" spans="2:13">
      <c r="B11" s="263"/>
      <c r="C11" s="263"/>
      <c r="D11" s="267"/>
      <c r="E11" s="270"/>
      <c r="F11" s="270"/>
    </row>
    <row r="12" spans="2:13">
      <c r="B12" s="263"/>
      <c r="C12" s="263"/>
      <c r="D12" s="269" t="str">
        <f>"Matchs décidés par but en or : "&amp;COUNTIF(DATA_QUALITE!BH12:BH1069,"WIN_BY_GOLDEN_GOAL")</f>
        <v>Matchs décidés par but en or : 3</v>
      </c>
      <c r="E12" s="121"/>
      <c r="F12" s="121"/>
    </row>
    <row r="13" spans="2:13">
      <c r="B13" s="263"/>
      <c r="C13" s="263"/>
      <c r="D13" s="269"/>
      <c r="E13" s="121"/>
      <c r="F13" s="121"/>
    </row>
    <row r="15" spans="2:13" ht="15.75">
      <c r="B15" s="264" t="str">
        <f>UPPER("Historique
des
éditions")</f>
        <v>HISTORIQUE
DES
ÉDITIONS</v>
      </c>
      <c r="C15" s="265"/>
      <c r="D15" s="130" t="s">
        <v>3818</v>
      </c>
      <c r="E15" s="130" t="s">
        <v>3842</v>
      </c>
      <c r="F15" s="130" t="s">
        <v>3567</v>
      </c>
      <c r="G15" s="130" t="s">
        <v>3819</v>
      </c>
      <c r="H15" s="130" t="s">
        <v>3820</v>
      </c>
      <c r="I15" s="130" t="s">
        <v>3821</v>
      </c>
      <c r="J15" s="130" t="s">
        <v>3822</v>
      </c>
      <c r="K15" s="130" t="s">
        <v>3916</v>
      </c>
    </row>
    <row r="16" spans="2:13" ht="15.75">
      <c r="B16" s="265"/>
      <c r="C16" s="265"/>
      <c r="D16" s="122" cm="1">
        <f t="array" ref="D16:D38">_xlfn.UNIQUE(_xlfn.ANCHORARRAY(DATA_CLEANED!AF3))</f>
        <v>1930</v>
      </c>
      <c r="E16" s="122" cm="1">
        <f t="array" ref="E16">COUNTA(_xlfn.UNIQUE(_xlfn.VSTACK(_xlfn._xlws.FILTER(DATA_CLEANED!AK$3:AK$1060,DATA_CLEANED!AF$3:AF$1060=RESUME!D16),_xlfn._xlws.FILTER(DATA_CLEANED!AN$3:AN$1060,DATA_CLEANED!AF$3:AF$1060=RESUME!D16))))</f>
        <v>13</v>
      </c>
      <c r="F16" s="122">
        <f>COUNTIF(DATA_CLEANED!AF$3:AF$1060,D16)</f>
        <v>18</v>
      </c>
      <c r="G16" s="122">
        <f>SUMIFS(DATA_CLEANED!AL$3:AL$1060,DATA_CLEANED!AF$3:AF$1060,RESUME!D16)+SUMIFS(DATA_CLEANED!AM$3:AM$1060,DATA_CLEANED!AF$3:AF$1060,RESUME!D16)</f>
        <v>70</v>
      </c>
      <c r="H16" s="122">
        <f>ROUND(G16/F16,2)</f>
        <v>3.89</v>
      </c>
      <c r="I16" s="122" cm="1">
        <f t="array" ref="I16">IFERROR(MEDIAN(_xlfn._xlws.FILTER(DATA_CLEANED!AL$3:AL$1060+DATA_CLEANED!AM$3:AM$1060,DATA_CLEANED!AF$3:AF$1060=D16)),"-")</f>
        <v>4</v>
      </c>
      <c r="J16" s="122" cm="1">
        <f t="array" ref="J16">(SUMPRODUCT((DATA_CLEANED!AL$3:AL$1060=DATA_CLEANED!AM$3:AM$1060)*(_xlfn.ANCHORARRAY(DATA_CLEANED!AF$3)=D16)*(DATA_CLEANED!AO$3:AO$1060="-"))
+
SUMPRODUCT((DATA_CLEANED!AL$3:AL$1060=DATA_CLEANED!AM$3:AM$1060)*(_xlfn.ANCHORARRAY(DATA_CLEANED!AF$3)=D16)*(DATA_CLEANED!AO$3:AO$1060="-")))/2</f>
        <v>0</v>
      </c>
      <c r="K16" s="122" cm="1">
        <f t="array" ref="K16">SUMPRODUCT((DATA_CLEANED!R$3:R$354="Yes")*(_xlfn.ANCHORARRAY(DATA_CLEANED!G$3)=RESUME!D16))</f>
        <v>0</v>
      </c>
    </row>
    <row r="17" spans="2:11" ht="15.75">
      <c r="B17" s="265"/>
      <c r="C17" s="265"/>
      <c r="D17" s="122">
        <v>1934</v>
      </c>
      <c r="E17" s="122" cm="1">
        <f t="array" ref="E17">COUNTA(_xlfn.UNIQUE(_xlfn.VSTACK(_xlfn._xlws.FILTER(DATA_CLEANED!AK$3:AK$1060,DATA_CLEANED!AF$3:AF$1060=RESUME!D17),_xlfn._xlws.FILTER(DATA_CLEANED!AN$3:AN$1060,DATA_CLEANED!AF$3:AF$1060=RESUME!D17))))</f>
        <v>16</v>
      </c>
      <c r="F17" s="122">
        <f>COUNTIF(DATA_CLEANED!AF$3:AF$1060,D17)</f>
        <v>17</v>
      </c>
      <c r="G17" s="122">
        <f>SUMIFS(DATA_CLEANED!AL$3:AL$1060,DATA_CLEANED!AF$3:AF$1060,RESUME!D17)+SUMIFS(DATA_CLEANED!AM$3:AM$1060,DATA_CLEANED!AF$3:AF$1060,RESUME!D17)</f>
        <v>70</v>
      </c>
      <c r="H17" s="122">
        <f t="shared" ref="H17:H38" si="0">ROUND(G17/F17,2)</f>
        <v>4.12</v>
      </c>
      <c r="I17" s="122" cm="1">
        <f t="array" ref="I17">IFERROR(MEDIAN(_xlfn._xlws.FILTER(DATA_CLEANED!AL$3:AL$1060+DATA_CLEANED!AM$3:AM$1060,DATA_CLEANED!AF$3:AF$1060=D17)),"-")</f>
        <v>4</v>
      </c>
      <c r="J17" s="122" cm="1">
        <f t="array" ref="J17">(SUMPRODUCT((DATA_CLEANED!AL$3:AL$1060=DATA_CLEANED!AM$3:AM$1060)*(_xlfn.ANCHORARRAY(DATA_CLEANED!AF$3)=D17)*(DATA_CLEANED!AO$3:AO$1060="-"))
+
SUMPRODUCT((DATA_CLEANED!AL$3:AL$1060=DATA_CLEANED!AM$3:AM$1060)*(_xlfn.ANCHORARRAY(DATA_CLEANED!AF$3)=D17)*(DATA_CLEANED!AO$3:AO$1060="-")))/2</f>
        <v>1</v>
      </c>
      <c r="K17" s="122" cm="1">
        <f t="array" ref="K17">SUMPRODUCT((DATA_CLEANED!R$3:R$354="Yes")*(_xlfn.ANCHORARRAY(DATA_CLEANED!G$3)=RESUME!D17))</f>
        <v>0</v>
      </c>
    </row>
    <row r="18" spans="2:11" ht="15.75">
      <c r="B18" s="265"/>
      <c r="C18" s="265"/>
      <c r="D18" s="122">
        <v>1938</v>
      </c>
      <c r="E18" s="122" cm="1">
        <f t="array" ref="E18">COUNTA(_xlfn.UNIQUE(_xlfn.VSTACK(_xlfn._xlws.FILTER(DATA_CLEANED!AK$3:AK$1060,DATA_CLEANED!AF$3:AF$1060=RESUME!D18),_xlfn._xlws.FILTER(DATA_CLEANED!AN$3:AN$1060,DATA_CLEANED!AF$3:AF$1060=RESUME!D18))))</f>
        <v>15</v>
      </c>
      <c r="F18" s="122">
        <f>COUNTIF(DATA_CLEANED!AF$3:AF$1060,D18)</f>
        <v>18</v>
      </c>
      <c r="G18" s="122">
        <f>SUMIFS(DATA_CLEANED!AL$3:AL$1060,DATA_CLEANED!AF$3:AF$1060,RESUME!D18)+SUMIFS(DATA_CLEANED!AM$3:AM$1060,DATA_CLEANED!AF$3:AF$1060,RESUME!D18)</f>
        <v>84</v>
      </c>
      <c r="H18" s="122">
        <f t="shared" si="0"/>
        <v>4.67</v>
      </c>
      <c r="I18" s="122" cm="1">
        <f t="array" ref="I18">IFERROR(MEDIAN(_xlfn._xlws.FILTER(DATA_CLEANED!AL$3:AL$1060+DATA_CLEANED!AM$3:AM$1060,DATA_CLEANED!AF$3:AF$1060=D18)),"-")</f>
        <v>4</v>
      </c>
      <c r="J18" s="122" cm="1">
        <f t="array" ref="J18">(SUMPRODUCT((DATA_CLEANED!AL$3:AL$1060=DATA_CLEANED!AM$3:AM$1060)*(_xlfn.ANCHORARRAY(DATA_CLEANED!AF$3)=D18)*(DATA_CLEANED!AO$3:AO$1060="-"))
+
SUMPRODUCT((DATA_CLEANED!AL$3:AL$1060=DATA_CLEANED!AM$3:AM$1060)*(_xlfn.ANCHORARRAY(DATA_CLEANED!AF$3)=D18)*(DATA_CLEANED!AO$3:AO$1060="-")))/2</f>
        <v>3</v>
      </c>
      <c r="K18" s="122" cm="1">
        <f t="array" ref="K18">SUMPRODUCT((DATA_CLEANED!R$3:R$354="Yes")*(_xlfn.ANCHORARRAY(DATA_CLEANED!G$3)=RESUME!D18))</f>
        <v>0</v>
      </c>
    </row>
    <row r="19" spans="2:11" ht="15.75">
      <c r="B19" s="265"/>
      <c r="C19" s="265"/>
      <c r="D19" s="122">
        <v>1950</v>
      </c>
      <c r="E19" s="122" cm="1">
        <f t="array" ref="E19">COUNTA(_xlfn.UNIQUE(_xlfn.VSTACK(_xlfn._xlws.FILTER(DATA_CLEANED!AK$3:AK$1060,DATA_CLEANED!AF$3:AF$1060=RESUME!D19),_xlfn._xlws.FILTER(DATA_CLEANED!AN$3:AN$1060,DATA_CLEANED!AF$3:AF$1060=RESUME!D19))))</f>
        <v>13</v>
      </c>
      <c r="F19" s="122">
        <f>COUNTIF(DATA_CLEANED!AF$3:AF$1060,D19)</f>
        <v>22</v>
      </c>
      <c r="G19" s="122">
        <f>SUMIFS(DATA_CLEANED!AL$3:AL$1060,DATA_CLEANED!AF$3:AF$1060,RESUME!D19)+SUMIFS(DATA_CLEANED!AM$3:AM$1060,DATA_CLEANED!AF$3:AF$1060,RESUME!D19)</f>
        <v>88</v>
      </c>
      <c r="H19" s="122">
        <f t="shared" si="0"/>
        <v>4</v>
      </c>
      <c r="I19" s="122" cm="1">
        <f t="array" ref="I19">IFERROR(MEDIAN(_xlfn._xlws.FILTER(DATA_CLEANED!AL$3:AL$1060+DATA_CLEANED!AM$3:AM$1060,DATA_CLEANED!AF$3:AF$1060=D19)),"-")</f>
        <v>4</v>
      </c>
      <c r="J19" s="122" cm="1">
        <f t="array" ref="J19">(SUMPRODUCT((DATA_CLEANED!AL$3:AL$1060=DATA_CLEANED!AM$3:AM$1060)*(_xlfn.ANCHORARRAY(DATA_CLEANED!AF$3)=D19)*(DATA_CLEANED!AO$3:AO$1060="-"))
+
SUMPRODUCT((DATA_CLEANED!AL$3:AL$1060=DATA_CLEANED!AM$3:AM$1060)*(_xlfn.ANCHORARRAY(DATA_CLEANED!AF$3)=D19)*(DATA_CLEANED!AO$3:AO$1060="-")))/2</f>
        <v>3</v>
      </c>
      <c r="K19" s="122" cm="1">
        <f t="array" ref="K19">SUMPRODUCT((DATA_CLEANED!R$3:R$354="Yes")*(_xlfn.ANCHORARRAY(DATA_CLEANED!G$3)=RESUME!D19))</f>
        <v>0</v>
      </c>
    </row>
    <row r="20" spans="2:11" ht="15.75">
      <c r="B20" s="265"/>
      <c r="C20" s="265"/>
      <c r="D20" s="122">
        <v>1954</v>
      </c>
      <c r="E20" s="122" cm="1">
        <f t="array" ref="E20">COUNTA(_xlfn.UNIQUE(_xlfn.VSTACK(_xlfn._xlws.FILTER(DATA_CLEANED!AK$3:AK$1060,DATA_CLEANED!AF$3:AF$1060=RESUME!D20),_xlfn._xlws.FILTER(DATA_CLEANED!AN$3:AN$1060,DATA_CLEANED!AF$3:AF$1060=RESUME!D20))))</f>
        <v>16</v>
      </c>
      <c r="F20" s="122">
        <f>COUNTIF(DATA_CLEANED!AF$3:AF$1060,D20)</f>
        <v>26</v>
      </c>
      <c r="G20" s="122">
        <f>SUMIFS(DATA_CLEANED!AL$3:AL$1060,DATA_CLEANED!AF$3:AF$1060,RESUME!D20)+SUMIFS(DATA_CLEANED!AM$3:AM$1060,DATA_CLEANED!AF$3:AF$1060,RESUME!D20)</f>
        <v>140</v>
      </c>
      <c r="H20" s="122">
        <f t="shared" si="0"/>
        <v>5.38</v>
      </c>
      <c r="I20" s="122" cm="1">
        <f t="array" ref="I20">IFERROR(MEDIAN(_xlfn._xlws.FILTER(DATA_CLEANED!AL$3:AL$1060+DATA_CLEANED!AM$3:AM$1060,DATA_CLEANED!AF$3:AF$1060=D20)),"-")</f>
        <v>5</v>
      </c>
      <c r="J20" s="122" cm="1">
        <f t="array" ref="J20">(SUMPRODUCT((DATA_CLEANED!AL$3:AL$1060=DATA_CLEANED!AM$3:AM$1060)*(_xlfn.ANCHORARRAY(DATA_CLEANED!AF$3)=D20)*(DATA_CLEANED!AO$3:AO$1060="-"))
+
SUMPRODUCT((DATA_CLEANED!AL$3:AL$1060=DATA_CLEANED!AM$3:AM$1060)*(_xlfn.ANCHORARRAY(DATA_CLEANED!AF$3)=D20)*(DATA_CLEANED!AO$3:AO$1060="-")))/2</f>
        <v>2</v>
      </c>
      <c r="K20" s="122" cm="1">
        <f t="array" ref="K20">SUMPRODUCT((DATA_CLEANED!R$3:R$354="Yes")*(_xlfn.ANCHORARRAY(DATA_CLEANED!G$3)=RESUME!D20))</f>
        <v>0</v>
      </c>
    </row>
    <row r="21" spans="2:11" ht="15.75">
      <c r="B21" s="265"/>
      <c r="C21" s="265"/>
      <c r="D21" s="122">
        <v>1958</v>
      </c>
      <c r="E21" s="122" cm="1">
        <f t="array" ref="E21">COUNTA(_xlfn.UNIQUE(_xlfn.VSTACK(_xlfn._xlws.FILTER(DATA_CLEANED!AK$3:AK$1060,DATA_CLEANED!AF$3:AF$1060=RESUME!D21),_xlfn._xlws.FILTER(DATA_CLEANED!AN$3:AN$1060,DATA_CLEANED!AF$3:AF$1060=RESUME!D21))))</f>
        <v>16</v>
      </c>
      <c r="F21" s="122">
        <f>COUNTIF(DATA_CLEANED!AF$3:AF$1060,D21)</f>
        <v>35</v>
      </c>
      <c r="G21" s="122">
        <f>SUMIFS(DATA_CLEANED!AL$3:AL$1060,DATA_CLEANED!AF$3:AF$1060,RESUME!D21)+SUMIFS(DATA_CLEANED!AM$3:AM$1060,DATA_CLEANED!AF$3:AF$1060,RESUME!D21)</f>
        <v>126</v>
      </c>
      <c r="H21" s="122">
        <f t="shared" si="0"/>
        <v>3.6</v>
      </c>
      <c r="I21" s="122" cm="1">
        <f t="array" ref="I21">IFERROR(MEDIAN(_xlfn._xlws.FILTER(DATA_CLEANED!AL$3:AL$1060+DATA_CLEANED!AM$3:AM$1060,DATA_CLEANED!AF$3:AF$1060=D21)),"-")</f>
        <v>3</v>
      </c>
      <c r="J21" s="122" cm="1">
        <f t="array" ref="J21">(SUMPRODUCT((DATA_CLEANED!AL$3:AL$1060=DATA_CLEANED!AM$3:AM$1060)*(_xlfn.ANCHORARRAY(DATA_CLEANED!AF$3)=D21)*(DATA_CLEANED!AO$3:AO$1060="-"))
+
SUMPRODUCT((DATA_CLEANED!AL$3:AL$1060=DATA_CLEANED!AM$3:AM$1060)*(_xlfn.ANCHORARRAY(DATA_CLEANED!AF$3)=D21)*(DATA_CLEANED!AO$3:AO$1060="-")))/2</f>
        <v>10</v>
      </c>
      <c r="K21" s="122" cm="1">
        <f t="array" ref="K21">SUMPRODUCT((DATA_CLEANED!R$3:R$354="Yes")*(_xlfn.ANCHORARRAY(DATA_CLEANED!G$3)=RESUME!D21))</f>
        <v>0</v>
      </c>
    </row>
    <row r="22" spans="2:11" ht="15.75">
      <c r="B22" s="265"/>
      <c r="C22" s="265"/>
      <c r="D22" s="122">
        <v>1962</v>
      </c>
      <c r="E22" s="122" cm="1">
        <f t="array" ref="E22">COUNTA(_xlfn.UNIQUE(_xlfn.VSTACK(_xlfn._xlws.FILTER(DATA_CLEANED!AK$3:AK$1060,DATA_CLEANED!AF$3:AF$1060=RESUME!D22),_xlfn._xlws.FILTER(DATA_CLEANED!AN$3:AN$1060,DATA_CLEANED!AF$3:AF$1060=RESUME!D22))))</f>
        <v>16</v>
      </c>
      <c r="F22" s="122">
        <f>COUNTIF(DATA_CLEANED!AF$3:AF$1060,D22)</f>
        <v>32</v>
      </c>
      <c r="G22" s="122">
        <f>SUMIFS(DATA_CLEANED!AL$3:AL$1060,DATA_CLEANED!AF$3:AF$1060,RESUME!D22)+SUMIFS(DATA_CLEANED!AM$3:AM$1060,DATA_CLEANED!AF$3:AF$1060,RESUME!D22)</f>
        <v>89</v>
      </c>
      <c r="H22" s="122">
        <f t="shared" si="0"/>
        <v>2.78</v>
      </c>
      <c r="I22" s="122" cm="1">
        <f t="array" ref="I22">IFERROR(MEDIAN(_xlfn._xlws.FILTER(DATA_CLEANED!AL$3:AL$1060+DATA_CLEANED!AM$3:AM$1060,DATA_CLEANED!AF$3:AF$1060=D22)),"-")</f>
        <v>3</v>
      </c>
      <c r="J22" s="122" cm="1">
        <f t="array" ref="J22">(SUMPRODUCT((DATA_CLEANED!AL$3:AL$1060=DATA_CLEANED!AM$3:AM$1060)*(_xlfn.ANCHORARRAY(DATA_CLEANED!AF$3)=D22)*(DATA_CLEANED!AO$3:AO$1060="-"))
+
SUMPRODUCT((DATA_CLEANED!AL$3:AL$1060=DATA_CLEANED!AM$3:AM$1060)*(_xlfn.ANCHORARRAY(DATA_CLEANED!AF$3)=D22)*(DATA_CLEANED!AO$3:AO$1060="-")))/2</f>
        <v>5</v>
      </c>
      <c r="K22" s="122" cm="1">
        <f t="array" ref="K22">SUMPRODUCT((DATA_CLEANED!R$3:R$354="Yes")*(_xlfn.ANCHORARRAY(DATA_CLEANED!G$3)=RESUME!D22))</f>
        <v>0</v>
      </c>
    </row>
    <row r="23" spans="2:11" ht="15.75">
      <c r="B23" s="265"/>
      <c r="C23" s="265"/>
      <c r="D23" s="122">
        <v>1966</v>
      </c>
      <c r="E23" s="122" cm="1">
        <f t="array" ref="E23">COUNTA(_xlfn.UNIQUE(_xlfn.VSTACK(_xlfn._xlws.FILTER(DATA_CLEANED!AK$3:AK$1060,DATA_CLEANED!AF$3:AF$1060=RESUME!D23),_xlfn._xlws.FILTER(DATA_CLEANED!AN$3:AN$1060,DATA_CLEANED!AF$3:AF$1060=RESUME!D23))))</f>
        <v>16</v>
      </c>
      <c r="F23" s="122">
        <f>COUNTIF(DATA_CLEANED!AF$3:AF$1060,D23)</f>
        <v>32</v>
      </c>
      <c r="G23" s="122">
        <f>SUMIFS(DATA_CLEANED!AL$3:AL$1060,DATA_CLEANED!AF$3:AF$1060,RESUME!D23)+SUMIFS(DATA_CLEANED!AM$3:AM$1060,DATA_CLEANED!AF$3:AF$1060,RESUME!D23)</f>
        <v>89</v>
      </c>
      <c r="H23" s="122">
        <f t="shared" si="0"/>
        <v>2.78</v>
      </c>
      <c r="I23" s="122" cm="1">
        <f t="array" ref="I23">IFERROR(MEDIAN(_xlfn._xlws.FILTER(DATA_CLEANED!AL$3:AL$1060+DATA_CLEANED!AM$3:AM$1060,DATA_CLEANED!AF$3:AF$1060=D23)),"-")</f>
        <v>3</v>
      </c>
      <c r="J23" s="122" cm="1">
        <f t="array" ref="J23">(SUMPRODUCT((DATA_CLEANED!AL$3:AL$1060=DATA_CLEANED!AM$3:AM$1060)*(_xlfn.ANCHORARRAY(DATA_CLEANED!AF$3)=D23)*(DATA_CLEANED!AO$3:AO$1060="-"))
+
SUMPRODUCT((DATA_CLEANED!AL$3:AL$1060=DATA_CLEANED!AM$3:AM$1060)*(_xlfn.ANCHORARRAY(DATA_CLEANED!AF$3)=D23)*(DATA_CLEANED!AO$3:AO$1060="-")))/2</f>
        <v>5</v>
      </c>
      <c r="K23" s="122" cm="1">
        <f t="array" ref="K23">SUMPRODUCT((DATA_CLEANED!R$3:R$354="Yes")*(_xlfn.ANCHORARRAY(DATA_CLEANED!G$3)=RESUME!D23))</f>
        <v>0</v>
      </c>
    </row>
    <row r="24" spans="2:11" ht="15.75">
      <c r="B24" s="265"/>
      <c r="C24" s="265"/>
      <c r="D24" s="122">
        <v>1970</v>
      </c>
      <c r="E24" s="122" cm="1">
        <f t="array" ref="E24">COUNTA(_xlfn.UNIQUE(_xlfn.VSTACK(_xlfn._xlws.FILTER(DATA_CLEANED!AK$3:AK$1060,DATA_CLEANED!AF$3:AF$1060=RESUME!D24),_xlfn._xlws.FILTER(DATA_CLEANED!AN$3:AN$1060,DATA_CLEANED!AF$3:AF$1060=RESUME!D24))))</f>
        <v>16</v>
      </c>
      <c r="F24" s="122">
        <f>COUNTIF(DATA_CLEANED!AF$3:AF$1060,D24)</f>
        <v>32</v>
      </c>
      <c r="G24" s="122">
        <f>SUMIFS(DATA_CLEANED!AL$3:AL$1060,DATA_CLEANED!AF$3:AF$1060,RESUME!D24)+SUMIFS(DATA_CLEANED!AM$3:AM$1060,DATA_CLEANED!AF$3:AF$1060,RESUME!D24)</f>
        <v>95</v>
      </c>
      <c r="H24" s="122">
        <f t="shared" si="0"/>
        <v>2.97</v>
      </c>
      <c r="I24" s="122" cm="1">
        <f t="array" ref="I24">IFERROR(MEDIAN(_xlfn._xlws.FILTER(DATA_CLEANED!AL$3:AL$1060+DATA_CLEANED!AM$3:AM$1060,DATA_CLEANED!AF$3:AF$1060=D24)),"-")</f>
        <v>3</v>
      </c>
      <c r="J24" s="122" cm="1">
        <f t="array" ref="J24">(SUMPRODUCT((DATA_CLEANED!AL$3:AL$1060=DATA_CLEANED!AM$3:AM$1060)*(_xlfn.ANCHORARRAY(DATA_CLEANED!AF$3)=D24)*(DATA_CLEANED!AO$3:AO$1060="-"))
+
SUMPRODUCT((DATA_CLEANED!AL$3:AL$1060=DATA_CLEANED!AM$3:AM$1060)*(_xlfn.ANCHORARRAY(DATA_CLEANED!AF$3)=D24)*(DATA_CLEANED!AO$3:AO$1060="-")))/2</f>
        <v>5</v>
      </c>
      <c r="K24" s="122" cm="1">
        <f t="array" ref="K24">SUMPRODUCT((DATA_CLEANED!R$3:R$354="Yes")*(_xlfn.ANCHORARRAY(DATA_CLEANED!G$3)=RESUME!D24))</f>
        <v>0</v>
      </c>
    </row>
    <row r="25" spans="2:11" ht="15.75">
      <c r="B25" s="265"/>
      <c r="C25" s="265"/>
      <c r="D25" s="122">
        <v>1974</v>
      </c>
      <c r="E25" s="122" cm="1">
        <f t="array" ref="E25">COUNTA(_xlfn.UNIQUE(_xlfn.VSTACK(_xlfn._xlws.FILTER(DATA_CLEANED!AK$3:AK$1060,DATA_CLEANED!AF$3:AF$1060=RESUME!D25),_xlfn._xlws.FILTER(DATA_CLEANED!AN$3:AN$1060,DATA_CLEANED!AF$3:AF$1060=RESUME!D25))))</f>
        <v>16</v>
      </c>
      <c r="F25" s="122">
        <f>COUNTIF(DATA_CLEANED!AF$3:AF$1060,D25)</f>
        <v>38</v>
      </c>
      <c r="G25" s="122">
        <f>SUMIFS(DATA_CLEANED!AL$3:AL$1060,DATA_CLEANED!AF$3:AF$1060,RESUME!D25)+SUMIFS(DATA_CLEANED!AM$3:AM$1060,DATA_CLEANED!AF$3:AF$1060,RESUME!D25)</f>
        <v>97</v>
      </c>
      <c r="H25" s="122">
        <f t="shared" si="0"/>
        <v>2.5499999999999998</v>
      </c>
      <c r="I25" s="122" cm="1">
        <f t="array" ref="I25">IFERROR(MEDIAN(_xlfn._xlws.FILTER(DATA_CLEANED!AL$3:AL$1060+DATA_CLEANED!AM$3:AM$1060,DATA_CLEANED!AF$3:AF$1060=D25)),"-")</f>
        <v>2</v>
      </c>
      <c r="J25" s="122" cm="1">
        <f t="array" ref="J25">(SUMPRODUCT((DATA_CLEANED!AL$3:AL$1060=DATA_CLEANED!AM$3:AM$1060)*(_xlfn.ANCHORARRAY(DATA_CLEANED!AF$3)=D25)*(DATA_CLEANED!AO$3:AO$1060="-"))
+
SUMPRODUCT((DATA_CLEANED!AL$3:AL$1060=DATA_CLEANED!AM$3:AM$1060)*(_xlfn.ANCHORARRAY(DATA_CLEANED!AF$3)=D25)*(DATA_CLEANED!AO$3:AO$1060="-")))/2</f>
        <v>10</v>
      </c>
      <c r="K25" s="122" cm="1">
        <f t="array" ref="K25">SUMPRODUCT((DATA_CLEANED!R$3:R$354="Yes")*(_xlfn.ANCHORARRAY(DATA_CLEANED!G$3)=RESUME!D25))</f>
        <v>0</v>
      </c>
    </row>
    <row r="26" spans="2:11" ht="15.75">
      <c r="B26" s="265"/>
      <c r="C26" s="265"/>
      <c r="D26" s="122">
        <v>1978</v>
      </c>
      <c r="E26" s="122" cm="1">
        <f t="array" ref="E26">COUNTA(_xlfn.UNIQUE(_xlfn.VSTACK(_xlfn._xlws.FILTER(DATA_CLEANED!AK$3:AK$1060,DATA_CLEANED!AF$3:AF$1060=RESUME!D26),_xlfn._xlws.FILTER(DATA_CLEANED!AN$3:AN$1060,DATA_CLEANED!AF$3:AF$1060=RESUME!D26))))</f>
        <v>16</v>
      </c>
      <c r="F26" s="122">
        <f>COUNTIF(DATA_CLEANED!AF$3:AF$1060,D26)</f>
        <v>38</v>
      </c>
      <c r="G26" s="122">
        <f>SUMIFS(DATA_CLEANED!AL$3:AL$1060,DATA_CLEANED!AF$3:AF$1060,RESUME!D26)+SUMIFS(DATA_CLEANED!AM$3:AM$1060,DATA_CLEANED!AF$3:AF$1060,RESUME!D26)</f>
        <v>102</v>
      </c>
      <c r="H26" s="122">
        <f t="shared" si="0"/>
        <v>2.68</v>
      </c>
      <c r="I26" s="122" cm="1">
        <f t="array" ref="I26">IFERROR(MEDIAN(_xlfn._xlws.FILTER(DATA_CLEANED!AL$3:AL$1060+DATA_CLEANED!AM$3:AM$1060,DATA_CLEANED!AF$3:AF$1060=D26)),"-")</f>
        <v>3</v>
      </c>
      <c r="J26" s="122" cm="1">
        <f t="array" ref="J26">(SUMPRODUCT((DATA_CLEANED!AL$3:AL$1060=DATA_CLEANED!AM$3:AM$1060)*(_xlfn.ANCHORARRAY(DATA_CLEANED!AF$3)=D26)*(DATA_CLEANED!AO$3:AO$1060="-"))
+
SUMPRODUCT((DATA_CLEANED!AL$3:AL$1060=DATA_CLEANED!AM$3:AM$1060)*(_xlfn.ANCHORARRAY(DATA_CLEANED!AF$3)=D26)*(DATA_CLEANED!AO$3:AO$1060="-")))/2</f>
        <v>9</v>
      </c>
      <c r="K26" s="122" cm="1">
        <f t="array" ref="K26">SUMPRODUCT((DATA_CLEANED!R$3:R$354="Yes")*(_xlfn.ANCHORARRAY(DATA_CLEANED!G$3)=RESUME!D26))</f>
        <v>0</v>
      </c>
    </row>
    <row r="27" spans="2:11" ht="15.75">
      <c r="B27" s="265"/>
      <c r="C27" s="265"/>
      <c r="D27" s="122">
        <v>1982</v>
      </c>
      <c r="E27" s="122" cm="1">
        <f t="array" ref="E27">COUNTA(_xlfn.UNIQUE(_xlfn.VSTACK(_xlfn._xlws.FILTER(DATA_CLEANED!AK$3:AK$1060,DATA_CLEANED!AF$3:AF$1060=RESUME!D27),_xlfn._xlws.FILTER(DATA_CLEANED!AN$3:AN$1060,DATA_CLEANED!AF$3:AF$1060=RESUME!D27))))</f>
        <v>24</v>
      </c>
      <c r="F27" s="122">
        <f>COUNTIF(DATA_CLEANED!AF$3:AF$1060,D27)</f>
        <v>52</v>
      </c>
      <c r="G27" s="122">
        <f>SUMIFS(DATA_CLEANED!AL$3:AL$1060,DATA_CLEANED!AF$3:AF$1060,RESUME!D27)+SUMIFS(DATA_CLEANED!AM$3:AM$1060,DATA_CLEANED!AF$3:AF$1060,RESUME!D27)</f>
        <v>146</v>
      </c>
      <c r="H27" s="122">
        <f t="shared" si="0"/>
        <v>2.81</v>
      </c>
      <c r="I27" s="122" cm="1">
        <f t="array" ref="I27">IFERROR(MEDIAN(_xlfn._xlws.FILTER(DATA_CLEANED!AL$3:AL$1060+DATA_CLEANED!AM$3:AM$1060,DATA_CLEANED!AF$3:AF$1060=D27)),"-")</f>
        <v>2</v>
      </c>
      <c r="J27" s="122" cm="1">
        <f t="array" ref="J27">(SUMPRODUCT((DATA_CLEANED!AL$3:AL$1060=DATA_CLEANED!AM$3:AM$1060)*(_xlfn.ANCHORARRAY(DATA_CLEANED!AF$3)=D27)*(DATA_CLEANED!AO$3:AO$1060="-"))
+
SUMPRODUCT((DATA_CLEANED!AL$3:AL$1060=DATA_CLEANED!AM$3:AM$1060)*(_xlfn.ANCHORARRAY(DATA_CLEANED!AF$3)=D27)*(DATA_CLEANED!AO$3:AO$1060="-")))/2</f>
        <v>16</v>
      </c>
      <c r="K27" s="122" cm="1">
        <f t="array" ref="K27">SUMPRODUCT((DATA_CLEANED!R$3:R$354="Yes")*(_xlfn.ANCHORARRAY(DATA_CLEANED!G$3)=RESUME!D27))</f>
        <v>1</v>
      </c>
    </row>
    <row r="28" spans="2:11" ht="15.75">
      <c r="B28" s="265"/>
      <c r="C28" s="265"/>
      <c r="D28" s="122">
        <v>1986</v>
      </c>
      <c r="E28" s="122" cm="1">
        <f t="array" ref="E28">COUNTA(_xlfn.UNIQUE(_xlfn.VSTACK(_xlfn._xlws.FILTER(DATA_CLEANED!AK$3:AK$1060,DATA_CLEANED!AF$3:AF$1060=RESUME!D28),_xlfn._xlws.FILTER(DATA_CLEANED!AN$3:AN$1060,DATA_CLEANED!AF$3:AF$1060=RESUME!D28))))</f>
        <v>24</v>
      </c>
      <c r="F28" s="122">
        <f>COUNTIF(DATA_CLEANED!AF$3:AF$1060,D28)</f>
        <v>52</v>
      </c>
      <c r="G28" s="122">
        <f>SUMIFS(DATA_CLEANED!AL$3:AL$1060,DATA_CLEANED!AF$3:AF$1060,RESUME!D28)+SUMIFS(DATA_CLEANED!AM$3:AM$1060,DATA_CLEANED!AF$3:AF$1060,RESUME!D28)</f>
        <v>132</v>
      </c>
      <c r="H28" s="122">
        <f t="shared" si="0"/>
        <v>2.54</v>
      </c>
      <c r="I28" s="122" cm="1">
        <f t="array" ref="I28">IFERROR(MEDIAN(_xlfn._xlws.FILTER(DATA_CLEANED!AL$3:AL$1060+DATA_CLEANED!AM$3:AM$1060,DATA_CLEANED!AF$3:AF$1060=D28)),"-")</f>
        <v>2</v>
      </c>
      <c r="J28" s="122" cm="1">
        <f t="array" ref="J28">(SUMPRODUCT((DATA_CLEANED!AL$3:AL$1060=DATA_CLEANED!AM$3:AM$1060)*(_xlfn.ANCHORARRAY(DATA_CLEANED!AF$3)=D28)*(DATA_CLEANED!AO$3:AO$1060="-"))
+
SUMPRODUCT((DATA_CLEANED!AL$3:AL$1060=DATA_CLEANED!AM$3:AM$1060)*(_xlfn.ANCHORARRAY(DATA_CLEANED!AF$3)=D28)*(DATA_CLEANED!AO$3:AO$1060="-")))/2</f>
        <v>11</v>
      </c>
      <c r="K28" s="122" cm="1">
        <f t="array" ref="K28">SUMPRODUCT((DATA_CLEANED!R$3:R$354="Yes")*(_xlfn.ANCHORARRAY(DATA_CLEANED!G$3)=RESUME!D28))</f>
        <v>3</v>
      </c>
    </row>
    <row r="29" spans="2:11" ht="15.75">
      <c r="B29" s="265"/>
      <c r="C29" s="265"/>
      <c r="D29" s="122">
        <v>1990</v>
      </c>
      <c r="E29" s="122" cm="1">
        <f t="array" ref="E29">COUNTA(_xlfn.UNIQUE(_xlfn.VSTACK(_xlfn._xlws.FILTER(DATA_CLEANED!AK$3:AK$1060,DATA_CLEANED!AF$3:AF$1060=RESUME!D29),_xlfn._xlws.FILTER(DATA_CLEANED!AN$3:AN$1060,DATA_CLEANED!AF$3:AF$1060=RESUME!D29))))</f>
        <v>24</v>
      </c>
      <c r="F29" s="122">
        <f>COUNTIF(DATA_CLEANED!AF$3:AF$1060,D29)</f>
        <v>52</v>
      </c>
      <c r="G29" s="122">
        <f>SUMIFS(DATA_CLEANED!AL$3:AL$1060,DATA_CLEANED!AF$3:AF$1060,RESUME!D29)+SUMIFS(DATA_CLEANED!AM$3:AM$1060,DATA_CLEANED!AF$3:AF$1060,RESUME!D29)</f>
        <v>115</v>
      </c>
      <c r="H29" s="122">
        <f t="shared" si="0"/>
        <v>2.21</v>
      </c>
      <c r="I29" s="122" cm="1">
        <f t="array" ref="I29">IFERROR(MEDIAN(_xlfn._xlws.FILTER(DATA_CLEANED!AL$3:AL$1060+DATA_CLEANED!AM$3:AM$1060,DATA_CLEANED!AF$3:AF$1060=D29)),"-")</f>
        <v>2</v>
      </c>
      <c r="J29" s="122" cm="1">
        <f t="array" ref="J29">(SUMPRODUCT((DATA_CLEANED!AL$3:AL$1060=DATA_CLEANED!AM$3:AM$1060)*(_xlfn.ANCHORARRAY(DATA_CLEANED!AF$3)=D29)*(DATA_CLEANED!AO$3:AO$1060="-"))
+
SUMPRODUCT((DATA_CLEANED!AL$3:AL$1060=DATA_CLEANED!AM$3:AM$1060)*(_xlfn.ANCHORARRAY(DATA_CLEANED!AF$3)=D29)*(DATA_CLEANED!AO$3:AO$1060="-")))/2</f>
        <v>8</v>
      </c>
      <c r="K29" s="122" cm="1">
        <f t="array" ref="K29">SUMPRODUCT((DATA_CLEANED!R$3:R$354="Yes")*(_xlfn.ANCHORARRAY(DATA_CLEANED!G$3)=RESUME!D29))</f>
        <v>4</v>
      </c>
    </row>
    <row r="30" spans="2:11" ht="15.75">
      <c r="B30" s="265"/>
      <c r="C30" s="265"/>
      <c r="D30" s="122">
        <v>1994</v>
      </c>
      <c r="E30" s="122" cm="1">
        <f t="array" ref="E30">COUNTA(_xlfn.UNIQUE(_xlfn.VSTACK(_xlfn._xlws.FILTER(DATA_CLEANED!AK$3:AK$1060,DATA_CLEANED!AF$3:AF$1060=RESUME!D30),_xlfn._xlws.FILTER(DATA_CLEANED!AN$3:AN$1060,DATA_CLEANED!AF$3:AF$1060=RESUME!D30))))</f>
        <v>24</v>
      </c>
      <c r="F30" s="122">
        <f>COUNTIF(DATA_CLEANED!AF$3:AF$1060,D30)</f>
        <v>52</v>
      </c>
      <c r="G30" s="122">
        <f>SUMIFS(DATA_CLEANED!AL$3:AL$1060,DATA_CLEANED!AF$3:AF$1060,RESUME!D30)+SUMIFS(DATA_CLEANED!AM$3:AM$1060,DATA_CLEANED!AF$3:AF$1060,RESUME!D30)</f>
        <v>141</v>
      </c>
      <c r="H30" s="122">
        <f t="shared" si="0"/>
        <v>2.71</v>
      </c>
      <c r="I30" s="122" cm="1">
        <f t="array" ref="I30">IFERROR(MEDIAN(_xlfn._xlws.FILTER(DATA_CLEANED!AL$3:AL$1060+DATA_CLEANED!AM$3:AM$1060,DATA_CLEANED!AF$3:AF$1060=D30)),"-")</f>
        <v>3</v>
      </c>
      <c r="J30" s="122" cm="1">
        <f t="array" ref="J30">(SUMPRODUCT((DATA_CLEANED!AL$3:AL$1060=DATA_CLEANED!AM$3:AM$1060)*(_xlfn.ANCHORARRAY(DATA_CLEANED!AF$3)=D30)*(DATA_CLEANED!AO$3:AO$1060="-"))
+
SUMPRODUCT((DATA_CLEANED!AL$3:AL$1060=DATA_CLEANED!AM$3:AM$1060)*(_xlfn.ANCHORARRAY(DATA_CLEANED!AF$3)=D30)*(DATA_CLEANED!AO$3:AO$1060="-")))/2</f>
        <v>8</v>
      </c>
      <c r="K30" s="122" cm="1">
        <f t="array" ref="K30">SUMPRODUCT((DATA_CLEANED!R$3:R$354="Yes")*(_xlfn.ANCHORARRAY(DATA_CLEANED!G$3)=RESUME!D30))</f>
        <v>3</v>
      </c>
    </row>
    <row r="31" spans="2:11" ht="15.75">
      <c r="B31" s="265"/>
      <c r="C31" s="265"/>
      <c r="D31" s="122">
        <v>1998</v>
      </c>
      <c r="E31" s="122" cm="1">
        <f t="array" ref="E31">COUNTA(_xlfn.UNIQUE(_xlfn.VSTACK(_xlfn._xlws.FILTER(DATA_CLEANED!AK$3:AK$1060,DATA_CLEANED!AF$3:AF$1060=RESUME!D31),_xlfn._xlws.FILTER(DATA_CLEANED!AN$3:AN$1060,DATA_CLEANED!AF$3:AF$1060=RESUME!D31))))</f>
        <v>32</v>
      </c>
      <c r="F31" s="122">
        <f>COUNTIF(DATA_CLEANED!AF$3:AF$1060,D31)</f>
        <v>64</v>
      </c>
      <c r="G31" s="122">
        <f>SUMIFS(DATA_CLEANED!AL$3:AL$1060,DATA_CLEANED!AF$3:AF$1060,RESUME!D31)+SUMIFS(DATA_CLEANED!AM$3:AM$1060,DATA_CLEANED!AF$3:AF$1060,RESUME!D31)</f>
        <v>171</v>
      </c>
      <c r="H31" s="122">
        <f t="shared" si="0"/>
        <v>2.67</v>
      </c>
      <c r="I31" s="122" cm="1">
        <f t="array" ref="I31">IFERROR(MEDIAN(_xlfn._xlws.FILTER(DATA_CLEANED!AL$3:AL$1060+DATA_CLEANED!AM$3:AM$1060,DATA_CLEANED!AF$3:AF$1060=D31)),"-")</f>
        <v>3</v>
      </c>
      <c r="J31" s="122" cm="1">
        <f t="array" ref="J31">(SUMPRODUCT((DATA_CLEANED!AL$3:AL$1060=DATA_CLEANED!AM$3:AM$1060)*(_xlfn.ANCHORARRAY(DATA_CLEANED!AF$3)=D31)*(DATA_CLEANED!AO$3:AO$1060="-"))
+
SUMPRODUCT((DATA_CLEANED!AL$3:AL$1060=DATA_CLEANED!AM$3:AM$1060)*(_xlfn.ANCHORARRAY(DATA_CLEANED!AF$3)=D31)*(DATA_CLEANED!AO$3:AO$1060="-")))/2</f>
        <v>16</v>
      </c>
      <c r="K31" s="122" cm="1">
        <f t="array" ref="K31">SUMPRODUCT((DATA_CLEANED!R$3:R$354="Yes")*(_xlfn.ANCHORARRAY(DATA_CLEANED!G$3)=RESUME!D31))</f>
        <v>3</v>
      </c>
    </row>
    <row r="32" spans="2:11" ht="15.75">
      <c r="B32" s="265"/>
      <c r="C32" s="265"/>
      <c r="D32" s="122">
        <v>2002</v>
      </c>
      <c r="E32" s="122" cm="1">
        <f t="array" ref="E32">COUNTA(_xlfn.UNIQUE(_xlfn.VSTACK(_xlfn._xlws.FILTER(DATA_CLEANED!AK$3:AK$1060,DATA_CLEANED!AF$3:AF$1060=RESUME!D32),_xlfn._xlws.FILTER(DATA_CLEANED!AN$3:AN$1060,DATA_CLEANED!AF$3:AF$1060=RESUME!D32))))</f>
        <v>32</v>
      </c>
      <c r="F32" s="122">
        <f>COUNTIF(DATA_CLEANED!AF$3:AF$1060,D32)</f>
        <v>64</v>
      </c>
      <c r="G32" s="122">
        <f>SUMIFS(DATA_CLEANED!AL$3:AL$1060,DATA_CLEANED!AF$3:AF$1060,RESUME!D32)+SUMIFS(DATA_CLEANED!AM$3:AM$1060,DATA_CLEANED!AF$3:AF$1060,RESUME!D32)</f>
        <v>161</v>
      </c>
      <c r="H32" s="122">
        <f t="shared" si="0"/>
        <v>2.52</v>
      </c>
      <c r="I32" s="122" cm="1">
        <f t="array" ref="I32">IFERROR(MEDIAN(_xlfn._xlws.FILTER(DATA_CLEANED!AL$3:AL$1060+DATA_CLEANED!AM$3:AM$1060,DATA_CLEANED!AF$3:AF$1060=D32)),"-")</f>
        <v>2</v>
      </c>
      <c r="J32" s="122" cm="1">
        <f t="array" ref="J32">(SUMPRODUCT((DATA_CLEANED!AL$3:AL$1060=DATA_CLEANED!AM$3:AM$1060)*(_xlfn.ANCHORARRAY(DATA_CLEANED!AF$3)=D32)*(DATA_CLEANED!AO$3:AO$1060="-"))
+
SUMPRODUCT((DATA_CLEANED!AL$3:AL$1060=DATA_CLEANED!AM$3:AM$1060)*(_xlfn.ANCHORARRAY(DATA_CLEANED!AF$3)=D32)*(DATA_CLEANED!AO$3:AO$1060="-")))/2</f>
        <v>14</v>
      </c>
      <c r="K32" s="122" cm="1">
        <f t="array" ref="K32">SUMPRODUCT((DATA_CLEANED!R$3:R$354="Yes")*(_xlfn.ANCHORARRAY(DATA_CLEANED!G$3)=RESUME!D32))</f>
        <v>2</v>
      </c>
    </row>
    <row r="33" spans="2:12" ht="15.75">
      <c r="B33" s="265"/>
      <c r="C33" s="265"/>
      <c r="D33" s="122">
        <v>2006</v>
      </c>
      <c r="E33" s="122" cm="1">
        <f t="array" ref="E33">COUNTA(_xlfn.UNIQUE(_xlfn.VSTACK(_xlfn._xlws.FILTER(DATA_CLEANED!AK$3:AK$1060,DATA_CLEANED!AF$3:AF$1060=RESUME!D33),_xlfn._xlws.FILTER(DATA_CLEANED!AN$3:AN$1060,DATA_CLEANED!AF$3:AF$1060=RESUME!D33))))</f>
        <v>32</v>
      </c>
      <c r="F33" s="122">
        <f>COUNTIF(DATA_CLEANED!AF$3:AF$1060,D33)</f>
        <v>64</v>
      </c>
      <c r="G33" s="122">
        <f>SUMIFS(DATA_CLEANED!AL$3:AL$1060,DATA_CLEANED!AF$3:AF$1060,RESUME!D33)+SUMIFS(DATA_CLEANED!AM$3:AM$1060,DATA_CLEANED!AF$3:AF$1060,RESUME!D33)</f>
        <v>147</v>
      </c>
      <c r="H33" s="122">
        <f t="shared" si="0"/>
        <v>2.2999999999999998</v>
      </c>
      <c r="I33" s="122" cm="1">
        <f t="array" ref="I33">IFERROR(MEDIAN(_xlfn._xlws.FILTER(DATA_CLEANED!AL$3:AL$1060+DATA_CLEANED!AM$3:AM$1060,DATA_CLEANED!AF$3:AF$1060=D33)),"-")</f>
        <v>2</v>
      </c>
      <c r="J33" s="122" cm="1">
        <f t="array" ref="J33">(SUMPRODUCT((DATA_CLEANED!AL$3:AL$1060=DATA_CLEANED!AM$3:AM$1060)*(_xlfn.ANCHORARRAY(DATA_CLEANED!AF$3)=D33)*(DATA_CLEANED!AO$3:AO$1060="-"))
+
SUMPRODUCT((DATA_CLEANED!AL$3:AL$1060=DATA_CLEANED!AM$3:AM$1060)*(_xlfn.ANCHORARRAY(DATA_CLEANED!AF$3)=D33)*(DATA_CLEANED!AO$3:AO$1060="-")))/2</f>
        <v>11</v>
      </c>
      <c r="K33" s="122" cm="1">
        <f t="array" ref="K33">SUMPRODUCT((DATA_CLEANED!R$3:R$354="Yes")*(_xlfn.ANCHORARRAY(DATA_CLEANED!G$3)=RESUME!D33))</f>
        <v>4</v>
      </c>
    </row>
    <row r="34" spans="2:12" ht="15.75">
      <c r="B34" s="265"/>
      <c r="C34" s="265"/>
      <c r="D34" s="122">
        <v>2010</v>
      </c>
      <c r="E34" s="122" cm="1">
        <f t="array" ref="E34">COUNTA(_xlfn.UNIQUE(_xlfn.VSTACK(_xlfn._xlws.FILTER(DATA_CLEANED!AK$3:AK$1060,DATA_CLEANED!AF$3:AF$1060=RESUME!D34),_xlfn._xlws.FILTER(DATA_CLEANED!AN$3:AN$1060,DATA_CLEANED!AF$3:AF$1060=RESUME!D34))))</f>
        <v>32</v>
      </c>
      <c r="F34" s="122">
        <f>COUNTIF(DATA_CLEANED!AF$3:AF$1060,D34)</f>
        <v>64</v>
      </c>
      <c r="G34" s="122">
        <f>SUMIFS(DATA_CLEANED!AL$3:AL$1060,DATA_CLEANED!AF$3:AF$1060,RESUME!D34)+SUMIFS(DATA_CLEANED!AM$3:AM$1060,DATA_CLEANED!AF$3:AF$1060,RESUME!D34)</f>
        <v>145</v>
      </c>
      <c r="H34" s="122">
        <f t="shared" si="0"/>
        <v>2.27</v>
      </c>
      <c r="I34" s="122" cm="1">
        <f t="array" ref="I34">IFERROR(MEDIAN(_xlfn._xlws.FILTER(DATA_CLEANED!AL$3:AL$1060+DATA_CLEANED!AM$3:AM$1060,DATA_CLEANED!AF$3:AF$1060=D34)),"-")</f>
        <v>2</v>
      </c>
      <c r="J34" s="122" cm="1">
        <f t="array" ref="J34">(SUMPRODUCT((DATA_CLEANED!AL$3:AL$1060=DATA_CLEANED!AM$3:AM$1060)*(_xlfn.ANCHORARRAY(DATA_CLEANED!AF$3)=D34)*(DATA_CLEANED!AO$3:AO$1060="-"))
+
SUMPRODUCT((DATA_CLEANED!AL$3:AL$1060=DATA_CLEANED!AM$3:AM$1060)*(_xlfn.ANCHORARRAY(DATA_CLEANED!AF$3)=D34)*(DATA_CLEANED!AO$3:AO$1060="-")))/2</f>
        <v>14</v>
      </c>
      <c r="K34" s="122" cm="1">
        <f t="array" ref="K34">SUMPRODUCT((DATA_CLEANED!R$3:R$354="Yes")*(_xlfn.ANCHORARRAY(DATA_CLEANED!G$3)=RESUME!D34))</f>
        <v>2</v>
      </c>
    </row>
    <row r="35" spans="2:12" ht="15.75">
      <c r="B35" s="265"/>
      <c r="C35" s="265"/>
      <c r="D35" s="122">
        <v>2014</v>
      </c>
      <c r="E35" s="122" cm="1">
        <f t="array" ref="E35">COUNTA(_xlfn.UNIQUE(_xlfn.VSTACK(_xlfn._xlws.FILTER(DATA_CLEANED!AK$3:AK$1060,DATA_CLEANED!AF$3:AF$1060=RESUME!D35),_xlfn._xlws.FILTER(DATA_CLEANED!AN$3:AN$1060,DATA_CLEANED!AF$3:AF$1060=RESUME!D35))))</f>
        <v>32</v>
      </c>
      <c r="F35" s="122">
        <f>COUNTIF(DATA_CLEANED!AF$3:AF$1060,D35)</f>
        <v>64</v>
      </c>
      <c r="G35" s="122">
        <f>SUMIFS(DATA_CLEANED!AL$3:AL$1060,DATA_CLEANED!AF$3:AF$1060,RESUME!D35)+SUMIFS(DATA_CLEANED!AM$3:AM$1060,DATA_CLEANED!AF$3:AF$1060,RESUME!D35)</f>
        <v>171</v>
      </c>
      <c r="H35" s="122">
        <f t="shared" si="0"/>
        <v>2.67</v>
      </c>
      <c r="I35" s="122" cm="1">
        <f t="array" ref="I35">IFERROR(MEDIAN(_xlfn._xlws.FILTER(DATA_CLEANED!AL$3:AL$1060+DATA_CLEANED!AM$3:AM$1060,DATA_CLEANED!AF$3:AF$1060=D35)),"-")</f>
        <v>3</v>
      </c>
      <c r="J35" s="122" cm="1">
        <f t="array" ref="J35">(SUMPRODUCT((DATA_CLEANED!AL$3:AL$1060=DATA_CLEANED!AM$3:AM$1060)*(_xlfn.ANCHORARRAY(DATA_CLEANED!AF$3)=D35)*(DATA_CLEANED!AO$3:AO$1060="-"))
+
SUMPRODUCT((DATA_CLEANED!AL$3:AL$1060=DATA_CLEANED!AM$3:AM$1060)*(_xlfn.ANCHORARRAY(DATA_CLEANED!AF$3)=D35)*(DATA_CLEANED!AO$3:AO$1060="-")))/2</f>
        <v>9</v>
      </c>
      <c r="K35" s="122" cm="1">
        <f t="array" ref="K35">SUMPRODUCT((DATA_CLEANED!R$3:R$354="Yes")*(_xlfn.ANCHORARRAY(DATA_CLEANED!G$3)=RESUME!D35))</f>
        <v>4</v>
      </c>
    </row>
    <row r="36" spans="2:12" ht="15.75">
      <c r="B36" s="265"/>
      <c r="C36" s="265"/>
      <c r="D36" s="122">
        <v>2018</v>
      </c>
      <c r="E36" s="122" cm="1">
        <f t="array" ref="E36">COUNTA(_xlfn.UNIQUE(_xlfn.VSTACK(_xlfn._xlws.FILTER(DATA_CLEANED!AK$3:AK$1060,DATA_CLEANED!AF$3:AF$1060=RESUME!D36),_xlfn._xlws.FILTER(DATA_CLEANED!AN$3:AN$1060,DATA_CLEANED!AF$3:AF$1060=RESUME!D36))))</f>
        <v>32</v>
      </c>
      <c r="F36" s="122">
        <f>COUNTIF(DATA_CLEANED!AF$3:AF$1060,D36)</f>
        <v>64</v>
      </c>
      <c r="G36" s="122">
        <f>SUMIFS(DATA_CLEANED!AL$3:AL$1060,DATA_CLEANED!AF$3:AF$1060,RESUME!D36)+SUMIFS(DATA_CLEANED!AM$3:AM$1060,DATA_CLEANED!AF$3:AF$1060,RESUME!D36)</f>
        <v>169</v>
      </c>
      <c r="H36" s="122">
        <f t="shared" si="0"/>
        <v>2.64</v>
      </c>
      <c r="I36" s="122" cm="1">
        <f t="array" ref="I36">IFERROR(MEDIAN(_xlfn._xlws.FILTER(DATA_CLEANED!AL$3:AL$1060+DATA_CLEANED!AM$3:AM$1060,DATA_CLEANED!AF$3:AF$1060=D36)),"-")</f>
        <v>2</v>
      </c>
      <c r="J36" s="122" cm="1">
        <f t="array" ref="J36">(SUMPRODUCT((DATA_CLEANED!AL$3:AL$1060=DATA_CLEANED!AM$3:AM$1060)*(_xlfn.ANCHORARRAY(DATA_CLEANED!AF$3)=D36)*(DATA_CLEANED!AO$3:AO$1060="-"))
+
SUMPRODUCT((DATA_CLEANED!AL$3:AL$1060=DATA_CLEANED!AM$3:AM$1060)*(_xlfn.ANCHORARRAY(DATA_CLEANED!AF$3)=D36)*(DATA_CLEANED!AO$3:AO$1060="-")))/2</f>
        <v>9</v>
      </c>
      <c r="K36" s="122" cm="1">
        <f t="array" ref="K36">SUMPRODUCT((DATA_CLEANED!R$3:R$354="Yes")*(_xlfn.ANCHORARRAY(DATA_CLEANED!G$3)=RESUME!D36))</f>
        <v>3</v>
      </c>
    </row>
    <row r="37" spans="2:12" ht="15.75">
      <c r="B37" s="265"/>
      <c r="C37" s="265"/>
      <c r="D37" s="122">
        <v>2022</v>
      </c>
      <c r="E37" s="122" cm="1">
        <f t="array" ref="E37">COUNTA(_xlfn.UNIQUE(_xlfn.VSTACK(_xlfn._xlws.FILTER(DATA_CLEANED!AK$3:AK$1060,DATA_CLEANED!AF$3:AF$1060=RESUME!D37),_xlfn._xlws.FILTER(DATA_CLEANED!AN$3:AN$1060,DATA_CLEANED!AF$3:AF$1060=RESUME!D37))))</f>
        <v>32</v>
      </c>
      <c r="F37" s="122">
        <f>COUNTIF(DATA_CLEANED!AF$3:AF$1060,D37)</f>
        <v>64</v>
      </c>
      <c r="G37" s="122">
        <f>SUMIFS(DATA_CLEANED!AL$3:AL$1060,DATA_CLEANED!AF$3:AF$1060,RESUME!D37)+SUMIFS(DATA_CLEANED!AM$3:AM$1060,DATA_CLEANED!AF$3:AF$1060,RESUME!D37)</f>
        <v>172</v>
      </c>
      <c r="H37" s="122">
        <f t="shared" si="0"/>
        <v>2.69</v>
      </c>
      <c r="I37" s="122" cm="1">
        <f t="array" ref="I37">IFERROR(MEDIAN(_xlfn._xlws.FILTER(DATA_CLEANED!AL$3:AL$1060+DATA_CLEANED!AM$3:AM$1060,DATA_CLEANED!AF$3:AF$1060=D37)),"-")</f>
        <v>2</v>
      </c>
      <c r="J37" s="122" cm="1">
        <f t="array" ref="J37">(SUMPRODUCT((DATA_CLEANED!AL$3:AL$1060=DATA_CLEANED!AM$3:AM$1060)*(_xlfn.ANCHORARRAY(DATA_CLEANED!AF$3)=D37)*(DATA_CLEANED!AO$3:AO$1060="-"))
+
SUMPRODUCT((DATA_CLEANED!AL$3:AL$1060=DATA_CLEANED!AM$3:AM$1060)*(_xlfn.ANCHORARRAY(DATA_CLEANED!AF$3)=D37)*(DATA_CLEANED!AO$3:AO$1060="-")))/2</f>
        <v>10</v>
      </c>
      <c r="K37" s="122" cm="1">
        <f t="array" ref="K37">SUMPRODUCT((DATA_CLEANED!R$3:R$354="Yes")*(_xlfn.ANCHORARRAY(DATA_CLEANED!G$3)=RESUME!D37))</f>
        <v>5</v>
      </c>
    </row>
    <row r="38" spans="2:12" ht="15.75">
      <c r="B38" s="265"/>
      <c r="C38" s="265"/>
      <c r="D38" s="122">
        <v>2026</v>
      </c>
      <c r="E38" s="122" cm="1">
        <f t="array" ref="E38">COUNTA(_xlfn.UNIQUE(_xlfn.VSTACK(_xlfn._xlws.FILTER(DATA_CLEANED!AK$3:AK$1060,DATA_CLEANED!AF$3:AF$1060=RESUME!D38),_xlfn._xlws.FILTER(DATA_CLEANED!AN$3:AN$1060,DATA_CLEANED!AF$3:AF$1060=RESUME!D38))))</f>
        <v>48</v>
      </c>
      <c r="F38" s="122">
        <f>COUNTIF(DATA_CLEANED!AF$3:AF$1060,D38)</f>
        <v>94</v>
      </c>
      <c r="G38" s="122">
        <f>SUMIFS(DATA_CLEANED!AL$3:AL$1060,DATA_CLEANED!AF$3:AF$1060,RESUME!D38)+SUMIFS(DATA_CLEANED!AM$3:AM$1060,DATA_CLEANED!AF$3:AF$1060,RESUME!D38)</f>
        <v>275</v>
      </c>
      <c r="H38" s="122">
        <f t="shared" si="0"/>
        <v>2.93</v>
      </c>
      <c r="I38" s="122" cm="1">
        <f t="array" ref="I38">IFERROR(MEDIAN(_xlfn._xlws.FILTER(DATA_CLEANED!AL$3:AL$1060+DATA_CLEANED!AM$3:AM$1060,DATA_CLEANED!AF$3:AF$1060=D38)),"-")</f>
        <v>3</v>
      </c>
      <c r="J38" s="122" cm="1">
        <f t="array" ref="J38">(SUMPRODUCT((DATA_CLEANED!AL$3:AL$1060=DATA_CLEANED!AM$3:AM$1060)*(_xlfn.ANCHORARRAY(DATA_CLEANED!AF$3)=D38)*(DATA_CLEANED!AO$3:AO$1060="-"))
+
SUMPRODUCT((DATA_CLEANED!AL$3:AL$1060=DATA_CLEANED!AM$3:AM$1060)*(_xlfn.ANCHORARRAY(DATA_CLEANED!AF$3)=D38)*(DATA_CLEANED!AO$3:AO$1060="-")))/2</f>
        <v>17</v>
      </c>
      <c r="K38" s="122" cm="1">
        <f t="array" ref="K38">SUMPRODUCT((DATA_CLEANED!R$3:R$354="Yes")*(_xlfn.ANCHORARRAY(DATA_CLEANED!G$3)=RESUME!D38))</f>
        <v>3</v>
      </c>
    </row>
    <row r="40" spans="2:12" ht="15.75">
      <c r="B40" s="262" t="s">
        <v>3824</v>
      </c>
      <c r="C40" s="263"/>
      <c r="D40" s="129" t="s">
        <v>3576</v>
      </c>
      <c r="E40" s="129" t="s">
        <v>3575</v>
      </c>
      <c r="F40" s="129" t="s">
        <v>3566</v>
      </c>
      <c r="H40" s="264" t="s">
        <v>3825</v>
      </c>
      <c r="I40" s="265"/>
      <c r="J40" s="123" t="s">
        <v>3576</v>
      </c>
      <c r="K40" s="123" t="s">
        <v>3575</v>
      </c>
      <c r="L40" s="123" t="s">
        <v>3826</v>
      </c>
    </row>
    <row r="41" spans="2:12" ht="15.75">
      <c r="B41" s="263"/>
      <c r="C41" s="263"/>
      <c r="D41" s="124">
        <v>1</v>
      </c>
      <c r="E41" s="124" t="str" cm="1">
        <f t="array" ref="E41:E50">_xlfn.TAKE(_xlfn.SORTBY(_xlfn.ANCHORARRAY(CALCULES!A$3),CALCULES!AZ$3:AZ$92,-1),10)</f>
        <v>Brazil</v>
      </c>
      <c r="F41" s="124" cm="1">
        <f t="array" ref="F41:F50">_xlfn.TAKE(_xlfn._xlws.SORT(CALCULES!AZ$3:AZ$92,1,-1),10)</f>
        <v>5</v>
      </c>
      <c r="H41" s="265"/>
      <c r="I41" s="265"/>
      <c r="J41" s="122">
        <v>1</v>
      </c>
      <c r="K41" s="122" t="str" cm="1">
        <f t="array" ref="K41:K50">_xlfn.TAKE(_xlfn.SORTBY(_xlfn.ANCHORARRAY(CALCULES!A$3),_xlfn.ANCHORARRAY(CALCULES!AV$3),-1),10)</f>
        <v>Brazil</v>
      </c>
      <c r="L41" s="122" cm="1">
        <f t="array" ref="L41:L50">_xlfn.TAKE(_xlfn._xlws.SORT(_xlfn.ANCHORARRAY(CALCULES!AV$3),1,-1),10)</f>
        <v>203</v>
      </c>
    </row>
    <row r="42" spans="2:12" ht="15.75">
      <c r="B42" s="263"/>
      <c r="C42" s="263"/>
      <c r="D42" s="124">
        <v>2</v>
      </c>
      <c r="E42" s="124" t="str">
        <v>Italy</v>
      </c>
      <c r="F42" s="124">
        <v>4</v>
      </c>
      <c r="H42" s="265"/>
      <c r="I42" s="265"/>
      <c r="J42" s="122">
        <v>2</v>
      </c>
      <c r="K42" s="122" t="str">
        <v>Argentina</v>
      </c>
      <c r="L42" s="122">
        <v>159</v>
      </c>
    </row>
    <row r="43" spans="2:12" ht="15.75">
      <c r="B43" s="263"/>
      <c r="C43" s="263"/>
      <c r="D43" s="124">
        <v>3</v>
      </c>
      <c r="E43" s="124" t="str">
        <v>Argentina</v>
      </c>
      <c r="F43" s="124">
        <v>3</v>
      </c>
      <c r="H43" s="265"/>
      <c r="I43" s="265"/>
      <c r="J43" s="122">
        <v>3</v>
      </c>
      <c r="K43" s="122" t="str">
        <v>Italy</v>
      </c>
      <c r="L43" s="122">
        <v>124</v>
      </c>
    </row>
    <row r="44" spans="2:12" ht="15.75">
      <c r="B44" s="263"/>
      <c r="C44" s="263"/>
      <c r="D44" s="124">
        <v>4</v>
      </c>
      <c r="E44" s="124" t="str">
        <v>FR Germany</v>
      </c>
      <c r="F44" s="124">
        <v>3</v>
      </c>
      <c r="H44" s="265"/>
      <c r="I44" s="265"/>
      <c r="J44" s="122">
        <v>4</v>
      </c>
      <c r="K44" s="122" t="str">
        <v>Spain</v>
      </c>
      <c r="L44" s="122">
        <v>124</v>
      </c>
    </row>
    <row r="45" spans="2:12" ht="15.75">
      <c r="B45" s="263"/>
      <c r="C45" s="263"/>
      <c r="D45" s="124">
        <v>5</v>
      </c>
      <c r="E45" s="124" t="str">
        <v>France</v>
      </c>
      <c r="F45" s="124">
        <v>2</v>
      </c>
      <c r="H45" s="265"/>
      <c r="I45" s="265"/>
      <c r="J45" s="122">
        <v>5</v>
      </c>
      <c r="K45" s="122" t="str">
        <v>England</v>
      </c>
      <c r="L45" s="122">
        <v>120</v>
      </c>
    </row>
    <row r="46" spans="2:12" ht="15.75">
      <c r="B46" s="263"/>
      <c r="C46" s="263"/>
      <c r="D46" s="124">
        <v>6</v>
      </c>
      <c r="E46" s="124" t="str">
        <v>Spain</v>
      </c>
      <c r="F46" s="124">
        <v>2</v>
      </c>
      <c r="H46" s="265"/>
      <c r="I46" s="265"/>
      <c r="J46" s="122">
        <v>6</v>
      </c>
      <c r="K46" s="122" t="str">
        <v>France</v>
      </c>
      <c r="L46" s="122">
        <v>120</v>
      </c>
    </row>
    <row r="47" spans="2:12" ht="15.75">
      <c r="B47" s="263"/>
      <c r="C47" s="263"/>
      <c r="D47" s="124">
        <v>7</v>
      </c>
      <c r="E47" s="124" t="str">
        <v>England</v>
      </c>
      <c r="F47" s="124">
        <v>1</v>
      </c>
      <c r="H47" s="265"/>
      <c r="I47" s="265"/>
      <c r="J47" s="122">
        <v>7</v>
      </c>
      <c r="K47" s="122" t="str">
        <v>FR Germany</v>
      </c>
      <c r="L47" s="122">
        <v>113</v>
      </c>
    </row>
    <row r="48" spans="2:12" ht="15.75">
      <c r="B48" s="263"/>
      <c r="C48" s="263"/>
      <c r="D48" s="124">
        <v>8</v>
      </c>
      <c r="E48" s="124" t="str">
        <v>Germany</v>
      </c>
      <c r="F48" s="124">
        <v>1</v>
      </c>
      <c r="H48" s="265"/>
      <c r="I48" s="265"/>
      <c r="J48" s="122">
        <v>8</v>
      </c>
      <c r="K48" s="122" t="str">
        <v>Netherlands</v>
      </c>
      <c r="L48" s="122">
        <v>104</v>
      </c>
    </row>
    <row r="49" spans="2:12" ht="15.75">
      <c r="B49" s="263"/>
      <c r="C49" s="263"/>
      <c r="D49" s="124">
        <v>9</v>
      </c>
      <c r="E49" s="124" t="str">
        <v>Uruguay</v>
      </c>
      <c r="F49" s="124">
        <v>1</v>
      </c>
      <c r="H49" s="265"/>
      <c r="I49" s="265"/>
      <c r="J49" s="122">
        <v>9</v>
      </c>
      <c r="K49" s="122" t="str">
        <v>Uruguay</v>
      </c>
      <c r="L49" s="122">
        <v>100</v>
      </c>
    </row>
    <row r="50" spans="2:12" ht="15.75">
      <c r="B50" s="263"/>
      <c r="C50" s="263"/>
      <c r="D50" s="124">
        <v>10</v>
      </c>
      <c r="E50" s="124" t="str">
        <v>Algeria</v>
      </c>
      <c r="F50" s="124">
        <v>0</v>
      </c>
      <c r="H50" s="265"/>
      <c r="I50" s="265"/>
      <c r="J50" s="122">
        <v>10</v>
      </c>
      <c r="K50" s="122" t="str">
        <v>Sweden</v>
      </c>
      <c r="L50" s="122">
        <v>87</v>
      </c>
    </row>
    <row r="52" spans="2:12" ht="15.75">
      <c r="B52" s="262" t="s">
        <v>3827</v>
      </c>
      <c r="C52" s="263"/>
      <c r="D52" s="129" t="s">
        <v>3576</v>
      </c>
      <c r="E52" s="129" t="s">
        <v>3575</v>
      </c>
      <c r="F52" s="129" t="s">
        <v>3840</v>
      </c>
      <c r="H52" s="264" t="s">
        <v>3828</v>
      </c>
      <c r="I52" s="265"/>
      <c r="J52" s="125" t="s">
        <v>3576</v>
      </c>
      <c r="K52" s="125" t="s">
        <v>3575</v>
      </c>
      <c r="L52" s="125" t="s">
        <v>3839</v>
      </c>
    </row>
    <row r="53" spans="2:12" ht="15.75">
      <c r="B53" s="263"/>
      <c r="C53" s="263"/>
      <c r="D53" s="124">
        <v>1</v>
      </c>
      <c r="E53" s="124" t="str" cm="1">
        <f t="array" ref="E53:E62">_xlfn.TAKE(_xlfn.SORTBY(_xlfn.ANCHORARRAY(CALCULES!A$3),CALCULES!AS$3:AS$92,-1),10)</f>
        <v>Brazil</v>
      </c>
      <c r="F53" s="124" cm="1">
        <f t="array" ref="F53:F62">_xlfn.TAKE(_xlfn._xlws.SORT(CALCULES!AS$3:AS$92,1,-1),10)</f>
        <v>23</v>
      </c>
      <c r="H53" s="265"/>
      <c r="I53" s="265"/>
      <c r="J53" s="122">
        <v>1</v>
      </c>
      <c r="K53" s="122" t="str" cm="1">
        <f t="array" ref="K53:K62">_xlfn.TAKE(_xlfn.SORTBY(_xlfn.ANCHORARRAY(CALCULES!A$3),CALCULES!AK$3:AK$92,-1),10)</f>
        <v>Brazil</v>
      </c>
      <c r="L53" s="122" cm="1">
        <f t="array" ref="L53:L62">_xlfn.TAKE(_xlfn._xlws.SORT(CALCULES!AK3:AK92,1,-1),10)</f>
        <v>49</v>
      </c>
    </row>
    <row r="54" spans="2:12" ht="15.75">
      <c r="B54" s="263"/>
      <c r="C54" s="263"/>
      <c r="D54" s="124">
        <v>2</v>
      </c>
      <c r="E54" s="124" t="str">
        <v>Argentina</v>
      </c>
      <c r="F54" s="124">
        <v>19</v>
      </c>
      <c r="H54" s="265"/>
      <c r="I54" s="265"/>
      <c r="J54" s="122">
        <v>2</v>
      </c>
      <c r="K54" s="122" t="str">
        <v>Argentina</v>
      </c>
      <c r="L54" s="122">
        <v>29</v>
      </c>
    </row>
    <row r="55" spans="2:12" ht="15.75">
      <c r="B55" s="263"/>
      <c r="C55" s="263"/>
      <c r="D55" s="124">
        <v>3</v>
      </c>
      <c r="E55" s="124" t="str">
        <v>Italy</v>
      </c>
      <c r="F55" s="124">
        <v>18</v>
      </c>
      <c r="H55" s="265"/>
      <c r="I55" s="265"/>
      <c r="J55" s="122">
        <v>3</v>
      </c>
      <c r="K55" s="122" t="str">
        <v>FR Germany</v>
      </c>
      <c r="L55" s="122">
        <v>28</v>
      </c>
    </row>
    <row r="56" spans="2:12" ht="15.75">
      <c r="B56" s="263"/>
      <c r="C56" s="263"/>
      <c r="D56" s="124">
        <v>4</v>
      </c>
      <c r="E56" s="124" t="str">
        <v>Mexico</v>
      </c>
      <c r="F56" s="124">
        <v>18</v>
      </c>
      <c r="H56" s="265"/>
      <c r="I56" s="265"/>
      <c r="J56" s="122">
        <v>4</v>
      </c>
      <c r="K56" s="122" t="str">
        <v>Uruguay</v>
      </c>
      <c r="L56" s="122">
        <v>22</v>
      </c>
    </row>
    <row r="57" spans="2:12" ht="15.75">
      <c r="B57" s="263"/>
      <c r="C57" s="263"/>
      <c r="D57" s="124">
        <v>5</v>
      </c>
      <c r="E57" s="124" t="str">
        <v>England</v>
      </c>
      <c r="F57" s="124">
        <v>17</v>
      </c>
      <c r="H57" s="265"/>
      <c r="I57" s="265"/>
      <c r="J57" s="122">
        <v>5</v>
      </c>
      <c r="K57" s="122" t="str">
        <v>Netherlands</v>
      </c>
      <c r="L57" s="122">
        <v>19</v>
      </c>
    </row>
    <row r="58" spans="2:12" ht="15.75">
      <c r="B58" s="263"/>
      <c r="C58" s="263"/>
      <c r="D58" s="124">
        <v>6</v>
      </c>
      <c r="E58" s="124" t="str">
        <v>France</v>
      </c>
      <c r="F58" s="124">
        <v>17</v>
      </c>
      <c r="H58" s="265"/>
      <c r="I58" s="265"/>
      <c r="J58" s="122">
        <v>6</v>
      </c>
      <c r="K58" s="122" t="str">
        <v>Italy</v>
      </c>
      <c r="L58" s="122">
        <v>17</v>
      </c>
    </row>
    <row r="59" spans="2:12" ht="15.75">
      <c r="B59" s="263"/>
      <c r="C59" s="263"/>
      <c r="D59" s="124">
        <v>7</v>
      </c>
      <c r="E59" s="124" t="str">
        <v>Spain</v>
      </c>
      <c r="F59" s="124">
        <v>17</v>
      </c>
      <c r="H59" s="265"/>
      <c r="I59" s="265"/>
      <c r="J59" s="122">
        <v>7</v>
      </c>
      <c r="K59" s="122" t="str">
        <v>Spain</v>
      </c>
      <c r="L59" s="122">
        <v>16</v>
      </c>
    </row>
    <row r="60" spans="2:12" ht="15.75">
      <c r="B60" s="263"/>
      <c r="C60" s="263"/>
      <c r="D60" s="124">
        <v>8</v>
      </c>
      <c r="E60" s="124" t="str">
        <v>Belgium</v>
      </c>
      <c r="F60" s="124">
        <v>15</v>
      </c>
      <c r="H60" s="265"/>
      <c r="I60" s="265"/>
      <c r="J60" s="122">
        <v>8</v>
      </c>
      <c r="K60" s="122" t="str">
        <v>Tunisia</v>
      </c>
      <c r="L60" s="122">
        <v>16</v>
      </c>
    </row>
    <row r="61" spans="2:12" ht="15.75">
      <c r="B61" s="263"/>
      <c r="C61" s="263"/>
      <c r="D61" s="124">
        <v>9</v>
      </c>
      <c r="E61" s="124" t="str">
        <v>Uruguay</v>
      </c>
      <c r="F61" s="124">
        <v>15</v>
      </c>
      <c r="H61" s="265"/>
      <c r="I61" s="265"/>
      <c r="J61" s="122">
        <v>9</v>
      </c>
      <c r="K61" s="122" t="str">
        <v>France</v>
      </c>
      <c r="L61" s="122">
        <v>13</v>
      </c>
    </row>
    <row r="62" spans="2:12" ht="15.75">
      <c r="B62" s="263"/>
      <c r="C62" s="263"/>
      <c r="D62" s="124">
        <v>10</v>
      </c>
      <c r="E62" s="124" t="str">
        <v>Sweden</v>
      </c>
      <c r="F62" s="124">
        <v>13</v>
      </c>
      <c r="H62" s="265"/>
      <c r="I62" s="265"/>
      <c r="J62" s="122">
        <v>10</v>
      </c>
      <c r="K62" s="122" t="str">
        <v>England</v>
      </c>
      <c r="L62" s="122">
        <v>12</v>
      </c>
    </row>
    <row r="64" spans="2:12">
      <c r="B64" s="262" t="s">
        <v>3829</v>
      </c>
      <c r="C64" s="263"/>
      <c r="D64" s="126" t="s">
        <v>3576</v>
      </c>
      <c r="E64" s="126" t="s">
        <v>3575</v>
      </c>
      <c r="F64" s="126" t="s">
        <v>3841</v>
      </c>
      <c r="H64" s="265" t="s">
        <v>3830</v>
      </c>
      <c r="I64" s="265"/>
      <c r="J64" s="125" t="s">
        <v>3831</v>
      </c>
      <c r="K64" s="125" t="s">
        <v>3832</v>
      </c>
      <c r="L64" s="125" t="s">
        <v>3833</v>
      </c>
    </row>
    <row r="65" spans="2:12" ht="15.75">
      <c r="B65" s="263"/>
      <c r="C65" s="263"/>
      <c r="D65" s="124">
        <v>1</v>
      </c>
      <c r="E65" s="124" t="str" cm="1">
        <f t="array" ref="E65:E74">_xlfn.TAKE(_xlfn.SORTBY(_xlfn.ANCHORARRAY(CALCULES!A$3),CALCULES!AX$3:AX$92,-1),10)</f>
        <v>Brazil</v>
      </c>
      <c r="F65" s="124" cm="1">
        <f t="array" ref="F65:F74">_xlfn.TAKE(_xlfn._xlws.SORT(CALCULES!AX3:AX92,1,-1),10)</f>
        <v>8</v>
      </c>
      <c r="H65" s="265"/>
      <c r="I65" s="265"/>
      <c r="J65" s="127" t="s">
        <v>3834</v>
      </c>
      <c r="K65" s="127">
        <f>COUNTIF(DATA_QUALITE!BH$12:BH$1069,"WIN_BY_SCORE")</f>
        <v>786</v>
      </c>
      <c r="L65" s="128">
        <f>(K65/SUM(K$65:K$69))</f>
        <v>0.74291115311909262</v>
      </c>
    </row>
    <row r="66" spans="2:12" ht="15.75">
      <c r="B66" s="263"/>
      <c r="C66" s="263"/>
      <c r="D66" s="124">
        <v>2</v>
      </c>
      <c r="E66" s="124" t="str">
        <v>France</v>
      </c>
      <c r="F66" s="124">
        <v>8</v>
      </c>
      <c r="H66" s="265"/>
      <c r="I66" s="265"/>
      <c r="J66" s="127" t="s">
        <v>3835</v>
      </c>
      <c r="K66" s="127">
        <f>COUNTIF(DATA_QUALITE!BH$12:BH$1069,"WIN_BY_PENALTY")</f>
        <v>39</v>
      </c>
      <c r="L66" s="128">
        <f>(K66/SUM(K$65:K$69))</f>
        <v>3.6862003780718335E-2</v>
      </c>
    </row>
    <row r="67" spans="2:12" ht="15.75">
      <c r="B67" s="263"/>
      <c r="C67" s="263"/>
      <c r="D67" s="124">
        <v>3</v>
      </c>
      <c r="E67" s="124" t="str">
        <v>FR Germany</v>
      </c>
      <c r="F67" s="124">
        <v>7</v>
      </c>
      <c r="H67" s="265"/>
      <c r="I67" s="265"/>
      <c r="J67" s="127" t="s">
        <v>3836</v>
      </c>
      <c r="K67" s="127">
        <f>COUNTIF(DATA_QUALITE!BH$12:BH$1069,"WIN_BY_GOLDEN_GOAL")</f>
        <v>3</v>
      </c>
      <c r="L67" s="128">
        <f>(K67/SUM(K$65:K$69))</f>
        <v>2.8355387523629491E-3</v>
      </c>
    </row>
    <row r="68" spans="2:12" ht="15.75">
      <c r="B68" s="263"/>
      <c r="C68" s="263"/>
      <c r="D68" s="124">
        <v>4</v>
      </c>
      <c r="E68" s="124" t="str">
        <v>Italy</v>
      </c>
      <c r="F68" s="124">
        <v>7</v>
      </c>
      <c r="H68" s="265"/>
      <c r="I68" s="265"/>
      <c r="J68" s="127" t="s">
        <v>3838</v>
      </c>
      <c r="K68" s="127">
        <f>COUNTIF(DATA_QUALITE!BH$12:BH$1069,"WIN_BY_EXTRA_TIME")</f>
        <v>34</v>
      </c>
      <c r="L68" s="128">
        <f>(K68/SUM(K$65:K$69))</f>
        <v>3.2136105860113423E-2</v>
      </c>
    </row>
    <row r="69" spans="2:12" ht="15.75">
      <c r="B69" s="263"/>
      <c r="C69" s="263"/>
      <c r="D69" s="124">
        <v>5</v>
      </c>
      <c r="E69" s="124" t="str">
        <v>Argentina</v>
      </c>
      <c r="F69" s="124">
        <v>6</v>
      </c>
      <c r="H69" s="265"/>
      <c r="I69" s="265"/>
      <c r="J69" s="127" t="s">
        <v>3837</v>
      </c>
      <c r="K69" s="127">
        <f>COUNTIF(DATA_QUALITE!BH$12:BH$1069,"MATCH_NUL")</f>
        <v>196</v>
      </c>
      <c r="L69" s="128">
        <f>(K69/SUM(K$65:K$69))</f>
        <v>0.18525519848771266</v>
      </c>
    </row>
    <row r="70" spans="2:12" ht="15.75">
      <c r="B70" s="263"/>
      <c r="C70" s="263"/>
      <c r="D70" s="124">
        <v>6</v>
      </c>
      <c r="E70" s="124" t="str">
        <v>Germany</v>
      </c>
      <c r="F70" s="124">
        <v>5</v>
      </c>
      <c r="H70" s="265"/>
      <c r="I70" s="265"/>
      <c r="J70" s="127" t="s">
        <v>3554</v>
      </c>
      <c r="K70" s="127">
        <f>SUM(K65:K69)</f>
        <v>1058</v>
      </c>
      <c r="L70" s="128">
        <f>SUM(L65:L69)</f>
        <v>1</v>
      </c>
    </row>
    <row r="71" spans="2:12" ht="15.75">
      <c r="B71" s="263"/>
      <c r="C71" s="263"/>
      <c r="D71" s="124">
        <v>7</v>
      </c>
      <c r="E71" s="124" t="str">
        <v>England</v>
      </c>
      <c r="F71" s="124">
        <v>4</v>
      </c>
    </row>
    <row r="72" spans="2:12" ht="15.75">
      <c r="B72" s="263"/>
      <c r="C72" s="263"/>
      <c r="D72" s="124">
        <v>8</v>
      </c>
      <c r="E72" s="124" t="str">
        <v>Uruguay</v>
      </c>
      <c r="F72" s="124">
        <v>4</v>
      </c>
    </row>
    <row r="73" spans="2:12" ht="15.75">
      <c r="B73" s="263"/>
      <c r="C73" s="263"/>
      <c r="D73" s="124">
        <v>9</v>
      </c>
      <c r="E73" s="124" t="str">
        <v>Croatia</v>
      </c>
      <c r="F73" s="124">
        <v>3</v>
      </c>
    </row>
    <row r="74" spans="2:12" ht="15.75">
      <c r="B74" s="263"/>
      <c r="C74" s="263"/>
      <c r="D74" s="124">
        <v>10</v>
      </c>
      <c r="E74" s="124" t="str">
        <v>Netherlands</v>
      </c>
      <c r="F74" s="124">
        <v>3</v>
      </c>
    </row>
    <row r="76" spans="2:12">
      <c r="B76" s="262" t="s">
        <v>3854</v>
      </c>
      <c r="C76" s="263"/>
      <c r="D76" s="126" t="s">
        <v>3576</v>
      </c>
      <c r="E76" s="126" t="s">
        <v>3575</v>
      </c>
      <c r="F76" s="126" t="s">
        <v>3859</v>
      </c>
      <c r="H76" s="264" t="s">
        <v>3858</v>
      </c>
      <c r="I76" s="265"/>
      <c r="J76" s="125" t="s">
        <v>3576</v>
      </c>
      <c r="K76" s="125" t="s">
        <v>3575</v>
      </c>
      <c r="L76" s="125" t="s">
        <v>3856</v>
      </c>
    </row>
    <row r="77" spans="2:12" ht="15.75">
      <c r="B77" s="263"/>
      <c r="C77" s="263"/>
      <c r="D77" s="124">
        <v>1</v>
      </c>
      <c r="E77" s="124" t="str" cm="1">
        <f t="array" ref="E77:E86">_xlfn.TAKE(_xlfn.SORTBY(_xlfn._xlws.FILTER(_xlfn.ANCHORARRAY(CALCULES!A3),CALCULES!BB3:BB92),_xlfn._xlws.FILTER(CALCULES!BB3:BB92,CALCULES!BB3:BB92),-1),10)</f>
        <v>Brazil</v>
      </c>
      <c r="F77" s="124" cm="1">
        <f t="array" ref="F77">_xlfn.XLOOKUP(E77,_xlfn.ANCHORARRAY(CALCULES!A$3),CALCULES!BB3:BB92)</f>
        <v>67.98</v>
      </c>
      <c r="H77" s="265"/>
      <c r="I77" s="265"/>
      <c r="J77" s="122">
        <v>1</v>
      </c>
      <c r="K77" s="122" t="str" cm="1">
        <f t="array" ref="K77:K86">_xlfn.TAKE(_xlfn.SORTBY(_xlfn._xlws.FILTER(_xlfn.ANCHORARRAY(CALCULES!A3),CALCULES!BC3:BC92&lt;&gt;"-"),_xlfn._xlws.FILTER(CALCULES!BC3:BC92,CALCULES!BC3:BC92&lt;&gt;"-"),-1),10)</f>
        <v>Brazil</v>
      </c>
      <c r="L77" s="122" cm="1">
        <f t="array" ref="L77">_xlfn.XLOOKUP(K77,_xlfn.ANCHORARRAY(CALCULES!A$3),CALCULES!BC$3:BC$92)</f>
        <v>52.6</v>
      </c>
    </row>
    <row r="78" spans="2:12" ht="15.75">
      <c r="B78" s="263"/>
      <c r="C78" s="263"/>
      <c r="D78" s="124">
        <v>2</v>
      </c>
      <c r="E78" s="124" t="str">
        <v>Argentina</v>
      </c>
      <c r="F78" s="124" cm="1">
        <f t="array" ref="F78">_xlfn.XLOOKUP(E78,_xlfn.ANCHORARRAY(CALCULES!A$3),CALCULES!BB$3:BB$92)</f>
        <v>55.63</v>
      </c>
      <c r="H78" s="265"/>
      <c r="I78" s="265"/>
      <c r="J78" s="122">
        <v>2</v>
      </c>
      <c r="K78" s="122" t="str">
        <v>Argentina</v>
      </c>
      <c r="L78" s="122" cm="1">
        <f t="array" ref="L78">_xlfn.XLOOKUP(K78,_xlfn.ANCHORARRAY(CALCULES!A$3),CALCULES!BC$3:BC$92)</f>
        <v>41.38</v>
      </c>
    </row>
    <row r="79" spans="2:12" ht="15.75">
      <c r="B79" s="263"/>
      <c r="C79" s="263"/>
      <c r="D79" s="124">
        <v>3</v>
      </c>
      <c r="E79" s="124" t="str">
        <v>FR Germany</v>
      </c>
      <c r="F79" s="124" cm="1">
        <f t="array" ref="F79">_xlfn.XLOOKUP(E79,_xlfn.ANCHORARRAY(CALCULES!A$3),CALCULES!BB$3:BB$92)</f>
        <v>47.57</v>
      </c>
      <c r="H79" s="265"/>
      <c r="I79" s="265"/>
      <c r="J79" s="122">
        <v>3</v>
      </c>
      <c r="K79" s="122" t="str">
        <v>Italy</v>
      </c>
      <c r="L79" s="122" cm="1">
        <f t="array" ref="L79">_xlfn.XLOOKUP(K79,_xlfn.ANCHORARRAY(CALCULES!A$3),CALCULES!BC$3:BC$92)</f>
        <v>38.5</v>
      </c>
    </row>
    <row r="80" spans="2:12" ht="15.75">
      <c r="B80" s="263"/>
      <c r="C80" s="263"/>
      <c r="D80" s="124">
        <v>4</v>
      </c>
      <c r="E80" s="124" t="str">
        <v>France</v>
      </c>
      <c r="F80" s="124" cm="1">
        <f t="array" ref="F80">_xlfn.XLOOKUP(E80,_xlfn.ANCHORARRAY(CALCULES!A$3),CALCULES!BB$3:BB$92)</f>
        <v>46.06</v>
      </c>
      <c r="H80" s="265"/>
      <c r="I80" s="265"/>
      <c r="J80" s="122">
        <v>4</v>
      </c>
      <c r="K80" s="122" t="str">
        <v>France</v>
      </c>
      <c r="L80" s="122" cm="1">
        <f t="array" ref="L80">_xlfn.XLOOKUP(K80,_xlfn.ANCHORARRAY(CALCULES!A$3),CALCULES!BC$3:BC$92)</f>
        <v>37.450000000000003</v>
      </c>
    </row>
    <row r="81" spans="2:12" ht="15.75">
      <c r="B81" s="263"/>
      <c r="C81" s="263"/>
      <c r="D81" s="124">
        <v>5</v>
      </c>
      <c r="E81" s="124" t="str">
        <v>Netherlands</v>
      </c>
      <c r="F81" s="124" cm="1">
        <f t="array" ref="F81">_xlfn.XLOOKUP(E81,_xlfn.ANCHORARRAY(CALCULES!A$3),CALCULES!BB$3:BB$92)</f>
        <v>42.11</v>
      </c>
      <c r="H81" s="265"/>
      <c r="I81" s="265"/>
      <c r="J81" s="122">
        <v>5</v>
      </c>
      <c r="K81" s="122" t="str">
        <v>England</v>
      </c>
      <c r="L81" s="122" cm="1">
        <f t="array" ref="L81">_xlfn.XLOOKUP(K81,_xlfn.ANCHORARRAY(CALCULES!A$3),CALCULES!BC$3:BC$92)</f>
        <v>36.28</v>
      </c>
    </row>
    <row r="82" spans="2:12" ht="15.75">
      <c r="B82" s="263"/>
      <c r="C82" s="263"/>
      <c r="D82" s="124">
        <v>6</v>
      </c>
      <c r="E82" s="124" t="str">
        <v>Germany</v>
      </c>
      <c r="F82" s="124" cm="1">
        <f t="array" ref="F82">_xlfn.XLOOKUP(E82,_xlfn.ANCHORARRAY(CALCULES!A$3),CALCULES!BB$3:BB$92)</f>
        <v>38.520000000000003</v>
      </c>
      <c r="H82" s="265"/>
      <c r="I82" s="265"/>
      <c r="J82" s="122">
        <v>6</v>
      </c>
      <c r="K82" s="122" t="str">
        <v>FR Germany</v>
      </c>
      <c r="L82" s="122" cm="1">
        <f t="array" ref="L82">_xlfn.XLOOKUP(K82,_xlfn.ANCHORARRAY(CALCULES!A$3),CALCULES!BC$3:BC$92)</f>
        <v>34.479999999999997</v>
      </c>
    </row>
    <row r="83" spans="2:12" ht="15.75">
      <c r="B83" s="263"/>
      <c r="C83" s="263"/>
      <c r="D83" s="124">
        <v>7</v>
      </c>
      <c r="E83" s="124" t="str">
        <v>Italy</v>
      </c>
      <c r="F83" s="124" cm="1">
        <f t="array" ref="F83">_xlfn.XLOOKUP(E83,_xlfn.ANCHORARRAY(CALCULES!A$3),CALCULES!BB$3:BB$92)</f>
        <v>38.11</v>
      </c>
      <c r="H83" s="265"/>
      <c r="I83" s="265"/>
      <c r="J83" s="122">
        <v>7</v>
      </c>
      <c r="K83" s="122" t="str">
        <v>Spain</v>
      </c>
      <c r="L83" s="122" cm="1">
        <f t="array" ref="L83">_xlfn.XLOOKUP(K83,_xlfn.ANCHORARRAY(CALCULES!A$3),CALCULES!BC$3:BC$92)</f>
        <v>33.79</v>
      </c>
    </row>
    <row r="84" spans="2:12" ht="15.75">
      <c r="B84" s="263"/>
      <c r="C84" s="263"/>
      <c r="D84" s="124">
        <v>8</v>
      </c>
      <c r="E84" s="124" t="str">
        <v>Spain</v>
      </c>
      <c r="F84" s="124" cm="1">
        <f t="array" ref="F84">_xlfn.XLOOKUP(E84,_xlfn.ANCHORARRAY(CALCULES!A$3),CALCULES!BB$3:BB$92)</f>
        <v>36.83</v>
      </c>
      <c r="H84" s="265"/>
      <c r="I84" s="265"/>
      <c r="J84" s="122">
        <v>8</v>
      </c>
      <c r="K84" s="122" t="str">
        <v>Germany</v>
      </c>
      <c r="L84" s="122" cm="1">
        <f t="array" ref="L84">_xlfn.XLOOKUP(K84,_xlfn.ANCHORARRAY(CALCULES!A$3),CALCULES!BC$3:BC$92)</f>
        <v>31.88</v>
      </c>
    </row>
    <row r="85" spans="2:12" ht="15.75">
      <c r="B85" s="263"/>
      <c r="C85" s="263"/>
      <c r="D85" s="124">
        <v>9</v>
      </c>
      <c r="E85" s="124" t="str">
        <v>England</v>
      </c>
      <c r="F85" s="124" cm="1">
        <f t="array" ref="F85">_xlfn.XLOOKUP(E85,_xlfn.ANCHORARRAY(CALCULES!A$3),CALCULES!BB$3:BB$92)</f>
        <v>33.950000000000003</v>
      </c>
      <c r="H85" s="265"/>
      <c r="I85" s="265"/>
      <c r="J85" s="122">
        <v>9</v>
      </c>
      <c r="K85" s="122" t="str">
        <v>Netherlands</v>
      </c>
      <c r="L85" s="122" cm="1">
        <f t="array" ref="L85">_xlfn.XLOOKUP(K85,_xlfn.ANCHORARRAY(CALCULES!A$3),CALCULES!BC$3:BC$92)</f>
        <v>30.7</v>
      </c>
    </row>
    <row r="86" spans="2:12" ht="15.75">
      <c r="B86" s="263"/>
      <c r="C86" s="263"/>
      <c r="D86" s="124">
        <v>10</v>
      </c>
      <c r="E86" s="124" t="str">
        <v>Uruguay</v>
      </c>
      <c r="F86" s="124" cm="1">
        <f t="array" ref="F86">_xlfn.XLOOKUP(E86,_xlfn.ANCHORARRAY(CALCULES!A$3),CALCULES!BB$3:BB$92)</f>
        <v>28.49</v>
      </c>
      <c r="H86" s="265"/>
      <c r="I86" s="265"/>
      <c r="J86" s="122">
        <v>10</v>
      </c>
      <c r="K86" s="122" t="str">
        <v>Uruguay</v>
      </c>
      <c r="L86" s="122" cm="1">
        <f t="array" ref="L86">_xlfn.XLOOKUP(K86,_xlfn.ANCHORARRAY(CALCULES!A$3),CALCULES!BC$3:BC$92)</f>
        <v>29.39</v>
      </c>
    </row>
    <row r="87" spans="2:12">
      <c r="D87" s="261" t="s">
        <v>3876</v>
      </c>
      <c r="E87" s="261"/>
      <c r="F87" s="261"/>
      <c r="H87" s="261" t="s">
        <v>3877</v>
      </c>
      <c r="I87" s="261"/>
      <c r="J87" s="261"/>
      <c r="K87" s="261"/>
      <c r="L87" s="261"/>
    </row>
    <row r="88" spans="2:12">
      <c r="D88" s="9"/>
      <c r="E88" s="9"/>
      <c r="F88" s="9"/>
      <c r="H88" s="136"/>
      <c r="I88" s="136"/>
      <c r="J88" s="136"/>
      <c r="K88" s="136"/>
      <c r="L88" s="136"/>
    </row>
    <row r="89" spans="2:12">
      <c r="B89" s="262" t="s">
        <v>3863</v>
      </c>
      <c r="C89" s="263"/>
      <c r="D89" s="126" t="s">
        <v>3576</v>
      </c>
      <c r="E89" s="126" t="s">
        <v>3575</v>
      </c>
      <c r="F89" s="126" t="s">
        <v>3862</v>
      </c>
    </row>
    <row r="90" spans="2:12" ht="15.75">
      <c r="B90" s="263"/>
      <c r="C90" s="263"/>
      <c r="D90" s="124">
        <v>1</v>
      </c>
      <c r="E90" s="124" t="str" cm="1">
        <f t="array" ref="E90:E99">_xlfn.TAKE(_xlfn.SORTBY(_xlfn.ANCHORARRAY(CALCULES!A3),CALCULES!BD3:BD92,-1),10)</f>
        <v>Brazil</v>
      </c>
      <c r="F90" s="124" cm="1">
        <f t="array" ref="F90">_xlfn.XLOOKUP(E90,_xlfn.ANCHORARRAY(CALCULES!A$3),CALCULES!BD3:BD92)</f>
        <v>60.29</v>
      </c>
    </row>
    <row r="91" spans="2:12" ht="15.75">
      <c r="B91" s="263"/>
      <c r="C91" s="263"/>
      <c r="D91" s="124">
        <v>2</v>
      </c>
      <c r="E91" s="124" t="str">
        <v>Argentina</v>
      </c>
      <c r="F91" s="124" cm="1">
        <f t="array" ref="F91">_xlfn.XLOOKUP(E91,_xlfn.ANCHORARRAY(CALCULES!A$3),CALCULES!BD$3:BD$92)</f>
        <v>48.51</v>
      </c>
    </row>
    <row r="92" spans="2:12" ht="15.75">
      <c r="B92" s="263"/>
      <c r="C92" s="263"/>
      <c r="D92" s="124">
        <v>3</v>
      </c>
      <c r="E92" s="124" t="str">
        <v>France</v>
      </c>
      <c r="F92" s="124" cm="1">
        <f t="array" ref="F92">_xlfn.XLOOKUP(E92,_xlfn.ANCHORARRAY(CALCULES!A$3),CALCULES!BD$3:BD$92)</f>
        <v>41.76</v>
      </c>
    </row>
    <row r="93" spans="2:12" ht="15.75">
      <c r="B93" s="263"/>
      <c r="C93" s="263"/>
      <c r="D93" s="124">
        <v>4</v>
      </c>
      <c r="E93" s="124" t="str">
        <v>FR Germany</v>
      </c>
      <c r="F93" s="124" cm="1">
        <f t="array" ref="F93">_xlfn.XLOOKUP(E93,_xlfn.ANCHORARRAY(CALCULES!A$3),CALCULES!BD$3:BD$92)</f>
        <v>41.03</v>
      </c>
    </row>
    <row r="94" spans="2:12" ht="15.75">
      <c r="B94" s="263"/>
      <c r="C94" s="263"/>
      <c r="D94" s="124">
        <v>5</v>
      </c>
      <c r="E94" s="124" t="str">
        <v>Italy</v>
      </c>
      <c r="F94" s="124" cm="1">
        <f t="array" ref="F94">_xlfn.XLOOKUP(E94,_xlfn.ANCHORARRAY(CALCULES!A$3),CALCULES!BD$3:BD$92)</f>
        <v>38.31</v>
      </c>
    </row>
    <row r="95" spans="2:12" ht="15.75">
      <c r="B95" s="263"/>
      <c r="C95" s="263"/>
      <c r="D95" s="124">
        <v>6</v>
      </c>
      <c r="E95" s="124" t="str">
        <v>Netherlands</v>
      </c>
      <c r="F95" s="124" cm="1">
        <f t="array" ref="F95">_xlfn.XLOOKUP(E95,_xlfn.ANCHORARRAY(CALCULES!A$3),CALCULES!BD$3:BD$92)</f>
        <v>36.409999999999997</v>
      </c>
    </row>
    <row r="96" spans="2:12" ht="15.75">
      <c r="B96" s="263"/>
      <c r="C96" s="263"/>
      <c r="D96" s="124">
        <v>7</v>
      </c>
      <c r="E96" s="124" t="str">
        <v>Spain</v>
      </c>
      <c r="F96" s="124" cm="1">
        <f t="array" ref="F96">_xlfn.XLOOKUP(E96,_xlfn.ANCHORARRAY(CALCULES!A$3),CALCULES!BD$3:BD$92)</f>
        <v>35.31</v>
      </c>
    </row>
    <row r="97" spans="2:6" ht="15.75">
      <c r="B97" s="263"/>
      <c r="C97" s="263"/>
      <c r="D97" s="124">
        <v>8</v>
      </c>
      <c r="E97" s="124" t="str">
        <v>Germany</v>
      </c>
      <c r="F97" s="124" cm="1">
        <f t="array" ref="F97">_xlfn.XLOOKUP(E97,_xlfn.ANCHORARRAY(CALCULES!A$3),CALCULES!BD$3:BD$92)</f>
        <v>35.200000000000003</v>
      </c>
    </row>
    <row r="98" spans="2:6" ht="15.75">
      <c r="B98" s="263"/>
      <c r="C98" s="263"/>
      <c r="D98" s="124">
        <v>9</v>
      </c>
      <c r="E98" s="124" t="str">
        <v>England</v>
      </c>
      <c r="F98" s="124" cm="1">
        <f t="array" ref="F98">_xlfn.XLOOKUP(E98,_xlfn.ANCHORARRAY(CALCULES!A$3),CALCULES!BD$3:BD$92)</f>
        <v>35.119999999999997</v>
      </c>
    </row>
    <row r="99" spans="2:6" ht="15.75">
      <c r="B99" s="263"/>
      <c r="C99" s="263"/>
      <c r="D99" s="124">
        <v>10</v>
      </c>
      <c r="E99" s="124" t="str">
        <v>Uruguay</v>
      </c>
      <c r="F99" s="124" cm="1">
        <f t="array" ref="F99">_xlfn.XLOOKUP(E99,_xlfn.ANCHORARRAY(CALCULES!A$3),CALCULES!BD$3:BD$92)</f>
        <v>28.94</v>
      </c>
    </row>
    <row r="100" spans="2:6">
      <c r="D100" s="261" t="s">
        <v>3879</v>
      </c>
      <c r="E100" s="261"/>
      <c r="F100" s="261"/>
    </row>
  </sheetData>
  <mergeCells count="25">
    <mergeCell ref="B52:C62"/>
    <mergeCell ref="H52:I62"/>
    <mergeCell ref="B64:C74"/>
    <mergeCell ref="H64:I70"/>
    <mergeCell ref="F10:F11"/>
    <mergeCell ref="D12:D13"/>
    <mergeCell ref="B40:C50"/>
    <mergeCell ref="H40:I50"/>
    <mergeCell ref="B1:F3"/>
    <mergeCell ref="B6:C13"/>
    <mergeCell ref="B15:C38"/>
    <mergeCell ref="D10:D11"/>
    <mergeCell ref="F8:F9"/>
    <mergeCell ref="E8:E9"/>
    <mergeCell ref="D8:D9"/>
    <mergeCell ref="F6:F7"/>
    <mergeCell ref="E6:E7"/>
    <mergeCell ref="D6:D7"/>
    <mergeCell ref="E10:E11"/>
    <mergeCell ref="D100:F100"/>
    <mergeCell ref="B76:C86"/>
    <mergeCell ref="H76:I86"/>
    <mergeCell ref="D87:F87"/>
    <mergeCell ref="H87:L87"/>
    <mergeCell ref="B89:C99"/>
  </mergeCells>
  <conditionalFormatting sqref="D41:F50">
    <cfRule type="expression" dxfId="6" priority="8">
      <formula>MOD(ROW(),2)=0</formula>
    </cfRule>
  </conditionalFormatting>
  <conditionalFormatting sqref="D53:F62 D65:F74">
    <cfRule type="expression" dxfId="5" priority="6">
      <formula>MOD(ROW(),2)=0</formula>
    </cfRule>
  </conditionalFormatting>
  <conditionalFormatting sqref="D77:F86">
    <cfRule type="expression" dxfId="4" priority="4">
      <formula>MOD(ROW(),2)=0</formula>
    </cfRule>
  </conditionalFormatting>
  <conditionalFormatting sqref="D90:F99">
    <cfRule type="expression" dxfId="3" priority="2">
      <formula>MOD(ROW(),2)=0</formula>
    </cfRule>
  </conditionalFormatting>
  <conditionalFormatting sqref="D16:K38">
    <cfRule type="expression" dxfId="2" priority="5">
      <formula>MOD(ROW(),2)=0</formula>
    </cfRule>
  </conditionalFormatting>
  <conditionalFormatting sqref="J41:L50 J53:L62 J65:L70">
    <cfRule type="expression" dxfId="1" priority="7">
      <formula>MOD(ROW(),2)=0</formula>
    </cfRule>
  </conditionalFormatting>
  <conditionalFormatting sqref="J77:L86">
    <cfRule type="expression" dxfId="0" priority="3">
      <formula>MOD(ROW(),2)=0</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40E6-551A-4350-9C56-EED2A28A0592}">
  <dimension ref="B1:CU265"/>
  <sheetViews>
    <sheetView topLeftCell="C63" zoomScale="70" zoomScaleNormal="70" workbookViewId="0">
      <selection activeCell="G1" sqref="C1:G1048576"/>
    </sheetView>
  </sheetViews>
  <sheetFormatPr baseColWidth="10" defaultRowHeight="15"/>
  <cols>
    <col min="2" max="2" width="43.5703125" bestFit="1" customWidth="1"/>
    <col min="3" max="3" width="16.42578125" bestFit="1" customWidth="1"/>
    <col min="4" max="4" width="21.5703125" bestFit="1" customWidth="1"/>
    <col min="5" max="5" width="8.140625" bestFit="1" customWidth="1"/>
    <col min="6" max="6" width="31.7109375" bestFit="1" customWidth="1"/>
    <col min="7" max="7" width="48.85546875" bestFit="1" customWidth="1"/>
    <col min="10" max="10" width="26.140625" customWidth="1"/>
    <col min="11" max="11" width="11.7109375" bestFit="1" customWidth="1"/>
    <col min="12" max="12" width="27.85546875" bestFit="1" customWidth="1"/>
    <col min="13" max="13" width="37.85546875" bestFit="1" customWidth="1"/>
    <col min="14" max="14" width="39.28515625" bestFit="1" customWidth="1"/>
    <col min="15" max="15" width="60" bestFit="1" customWidth="1"/>
    <col min="16" max="16" width="25.28515625" bestFit="1" customWidth="1"/>
    <col min="17" max="17" width="24.42578125" bestFit="1" customWidth="1"/>
    <col min="18" max="18" width="13.140625" customWidth="1"/>
    <col min="19" max="19" width="9.42578125" customWidth="1"/>
    <col min="20" max="20" width="12.28515625" customWidth="1"/>
    <col min="21" max="21" width="9.85546875" customWidth="1"/>
    <col min="22" max="22" width="9.5703125" customWidth="1"/>
  </cols>
  <sheetData>
    <row r="1" spans="2:23" ht="15.75" thickBot="1"/>
    <row r="2" spans="2:23" ht="14.45" customHeight="1">
      <c r="B2" s="280" t="s">
        <v>3881</v>
      </c>
      <c r="C2" s="281"/>
      <c r="D2" s="281"/>
      <c r="E2" s="281"/>
      <c r="F2" s="281"/>
      <c r="G2" s="281"/>
      <c r="H2" s="281"/>
      <c r="I2" s="281"/>
      <c r="J2" s="281"/>
      <c r="K2" s="281"/>
      <c r="L2" s="281"/>
      <c r="M2" s="281"/>
      <c r="N2" s="281"/>
      <c r="O2" s="281"/>
      <c r="P2" s="281"/>
      <c r="Q2" s="281"/>
      <c r="R2" s="281"/>
      <c r="S2" s="281"/>
      <c r="T2" s="281"/>
      <c r="U2" s="281"/>
      <c r="V2" s="281"/>
      <c r="W2" s="282"/>
    </row>
    <row r="3" spans="2:23" ht="14.45" customHeight="1">
      <c r="B3" s="283"/>
      <c r="C3" s="272"/>
      <c r="D3" s="272"/>
      <c r="E3" s="272"/>
      <c r="F3" s="272"/>
      <c r="G3" s="272"/>
      <c r="H3" s="272"/>
      <c r="I3" s="272"/>
      <c r="J3" s="272"/>
      <c r="K3" s="272"/>
      <c r="L3" s="272"/>
      <c r="M3" s="272"/>
      <c r="N3" s="272"/>
      <c r="O3" s="272"/>
      <c r="P3" s="272"/>
      <c r="Q3" s="272"/>
      <c r="R3" s="272"/>
      <c r="S3" s="272"/>
      <c r="T3" s="272"/>
      <c r="U3" s="272"/>
      <c r="V3" s="272"/>
      <c r="W3" s="284"/>
    </row>
    <row r="4" spans="2:23" ht="14.45" customHeight="1">
      <c r="B4" s="283"/>
      <c r="C4" s="272"/>
      <c r="D4" s="272"/>
      <c r="E4" s="272"/>
      <c r="F4" s="272"/>
      <c r="G4" s="272"/>
      <c r="H4" s="272"/>
      <c r="I4" s="272"/>
      <c r="J4" s="272"/>
      <c r="K4" s="272"/>
      <c r="L4" s="272"/>
      <c r="M4" s="272"/>
      <c r="N4" s="272"/>
      <c r="O4" s="272"/>
      <c r="P4" s="272"/>
      <c r="Q4" s="272"/>
      <c r="R4" s="272"/>
      <c r="S4" s="272"/>
      <c r="T4" s="272"/>
      <c r="U4" s="272"/>
      <c r="V4" s="272"/>
      <c r="W4" s="284"/>
    </row>
    <row r="5" spans="2:23">
      <c r="B5" s="160"/>
      <c r="C5" s="150"/>
      <c r="D5" s="150"/>
      <c r="E5" s="150"/>
      <c r="F5" s="150"/>
      <c r="G5" s="150"/>
      <c r="H5" s="150"/>
      <c r="I5" s="150"/>
      <c r="J5" s="150"/>
      <c r="K5" s="150"/>
      <c r="L5" s="150"/>
      <c r="M5" s="150"/>
      <c r="N5" s="150"/>
      <c r="O5" s="150"/>
      <c r="P5" s="150"/>
      <c r="Q5" s="150"/>
      <c r="R5" s="150"/>
      <c r="S5" s="150"/>
      <c r="T5" s="150"/>
      <c r="U5" s="150"/>
      <c r="V5" s="150"/>
      <c r="W5" s="161"/>
    </row>
    <row r="6" spans="2:23" ht="24.75" thickBot="1">
      <c r="B6" s="160"/>
      <c r="C6" s="149" t="s">
        <v>3818</v>
      </c>
      <c r="D6" s="144" t="s">
        <v>3567</v>
      </c>
      <c r="E6" s="144" t="str">
        <f>IF(E7&gt;1,"Buts","But")</f>
        <v>Buts</v>
      </c>
      <c r="F6" s="144" t="s">
        <v>3917</v>
      </c>
      <c r="G6" s="144" t="s">
        <v>3918</v>
      </c>
      <c r="H6" s="150"/>
      <c r="I6" s="150"/>
      <c r="J6" s="150"/>
      <c r="K6" s="149" t="s">
        <v>3919</v>
      </c>
      <c r="L6" s="144" t="s">
        <v>3861</v>
      </c>
      <c r="M6" s="144" t="s">
        <v>3860</v>
      </c>
      <c r="N6" s="144" t="s">
        <v>3920</v>
      </c>
      <c r="O6" s="144" t="s">
        <v>3921</v>
      </c>
      <c r="P6" s="144" t="str">
        <f>IF(P7&gt;1,"Matchs disputés","Match disputé")</f>
        <v>Matchs disputés</v>
      </c>
      <c r="Q6" s="144" t="s">
        <v>3922</v>
      </c>
      <c r="R6" s="150"/>
      <c r="S6" s="150"/>
      <c r="T6" s="150"/>
      <c r="U6" s="150"/>
      <c r="V6" s="150"/>
      <c r="W6" s="161"/>
    </row>
    <row r="7" spans="2:23" ht="24.75" thickBot="1">
      <c r="B7" s="160"/>
      <c r="C7" s="152">
        <v>1930</v>
      </c>
      <c r="D7" s="151" cm="1">
        <f t="array" ref="D7">_xlfn.XLOOKUP(C7,_xlfn.ANCHORARRAY(RESUME!D16),RESUME!F16:F38)</f>
        <v>18</v>
      </c>
      <c r="E7" s="147" cm="1">
        <f t="array" ref="E7">_xlfn.XLOOKUP(C7,_xlfn.ANCHORARRAY(RESUME!D16),RESUME!G16:G38)</f>
        <v>70</v>
      </c>
      <c r="F7" s="147" cm="1">
        <f t="array" ref="F7">_xlfn.XLOOKUP(C7,_xlfn.ANCHORARRAY(RESUME!D16),RESUME!H16:H38)</f>
        <v>3.89</v>
      </c>
      <c r="G7" s="147" cm="1">
        <f t="array" ref="G7">_xlfn.XLOOKUP(C7,_xlfn.ANCHORARRAY(RESUME!D16),RESUME!E16:E38)</f>
        <v>13</v>
      </c>
      <c r="H7" s="150"/>
      <c r="I7" s="150"/>
      <c r="J7" s="150"/>
      <c r="K7" s="153" t="s">
        <v>12</v>
      </c>
      <c r="L7" s="148" cm="1">
        <f t="array" ref="L7">_xlfn.XLOOKUP(K7,_xlfn.ANCHORARRAY(CALCULES!A$3),CALCULES!AZ3:AZ92)</f>
        <v>5</v>
      </c>
      <c r="M7" s="145" t="str" cm="1">
        <f t="array" ref="M7">_xlfn.XLOOKUP(K7,_xlfn.ANCHORARRAY(CALCULES!A$3),CALCULES!AR3:AR92)</f>
        <v>FINAL</v>
      </c>
      <c r="N7" s="145" cm="1">
        <f t="array" ref="N7">_xlfn.XLOOKUP(K7,_xlfn.ANCHORARRAY(CALCULES!A$3),CALCULES!AN3:AN92)</f>
        <v>2</v>
      </c>
      <c r="O7" s="145" cm="1">
        <f t="array" ref="O7">_xlfn.XLOOKUP(K7,_xlfn.ANCHORARRAY(CALCULES!A$3),CALCULES!BD3:BD92)</f>
        <v>60.29</v>
      </c>
      <c r="P7" s="145" cm="1">
        <f t="array" ref="P7">_xlfn.XLOOKUP(K7,_xlfn.ANCHORARRAY(CALCULES!A$3),CALCULES!AA3:AA92)</f>
        <v>119</v>
      </c>
      <c r="Q7" s="146" cm="1">
        <f t="array" ref="Q7">_xlfn.XLOOKUP(K7,_xlfn.ANCHORARRAY(CALCULES!A$3),CALCULES!AE3:AE92)</f>
        <v>0.68907563025210083</v>
      </c>
      <c r="R7" s="150"/>
      <c r="S7" s="150"/>
      <c r="T7" s="150"/>
      <c r="U7" s="150"/>
      <c r="V7" s="150"/>
      <c r="W7" s="161"/>
    </row>
    <row r="8" spans="2:23" ht="24.75" thickBot="1">
      <c r="B8" s="162"/>
      <c r="C8" s="163"/>
      <c r="D8" s="163"/>
      <c r="E8" s="163"/>
      <c r="F8" s="163"/>
      <c r="G8" s="163"/>
      <c r="H8" s="163"/>
      <c r="I8" s="163"/>
      <c r="J8" s="163"/>
      <c r="K8" s="163"/>
      <c r="L8" s="164"/>
      <c r="M8" s="164"/>
      <c r="N8" s="164"/>
      <c r="O8" s="164"/>
      <c r="P8" s="164"/>
      <c r="Q8" s="165"/>
      <c r="R8" s="163"/>
      <c r="S8" s="163"/>
      <c r="T8" s="163"/>
      <c r="U8" s="163"/>
      <c r="V8" s="163"/>
      <c r="W8" s="166"/>
    </row>
    <row r="9" spans="2:23" ht="15.75" thickBot="1"/>
    <row r="10" spans="2:23" ht="14.45" customHeight="1">
      <c r="B10" s="273" t="s">
        <v>3851</v>
      </c>
      <c r="C10" s="274"/>
      <c r="D10" s="274"/>
      <c r="E10" s="274"/>
      <c r="F10" s="274"/>
      <c r="G10" s="274"/>
      <c r="H10" s="274"/>
      <c r="I10" s="274"/>
      <c r="J10" s="274"/>
      <c r="K10" s="274"/>
      <c r="L10" s="274"/>
      <c r="M10" s="274"/>
      <c r="N10" s="274"/>
      <c r="O10" s="274"/>
      <c r="P10" s="274"/>
      <c r="Q10" s="274"/>
      <c r="R10" s="274"/>
      <c r="S10" s="274"/>
      <c r="T10" s="274"/>
      <c r="U10" s="274"/>
      <c r="V10" s="274"/>
      <c r="W10" s="275"/>
    </row>
    <row r="11" spans="2:23" ht="14.45" customHeight="1">
      <c r="B11" s="276"/>
      <c r="C11" s="277"/>
      <c r="D11" s="277"/>
      <c r="E11" s="277"/>
      <c r="F11" s="277"/>
      <c r="G11" s="277"/>
      <c r="H11" s="277"/>
      <c r="I11" s="277"/>
      <c r="J11" s="277"/>
      <c r="K11" s="277"/>
      <c r="L11" s="277"/>
      <c r="M11" s="277"/>
      <c r="N11" s="277"/>
      <c r="O11" s="277"/>
      <c r="P11" s="277"/>
      <c r="Q11" s="277"/>
      <c r="R11" s="277"/>
      <c r="S11" s="277"/>
      <c r="T11" s="277"/>
      <c r="U11" s="277"/>
      <c r="V11" s="277"/>
      <c r="W11" s="278"/>
    </row>
    <row r="12" spans="2:23" ht="14.45" customHeight="1">
      <c r="B12" s="276"/>
      <c r="C12" s="277"/>
      <c r="D12" s="277"/>
      <c r="E12" s="277"/>
      <c r="F12" s="277"/>
      <c r="G12" s="277"/>
      <c r="H12" s="277"/>
      <c r="I12" s="277"/>
      <c r="J12" s="277"/>
      <c r="K12" s="277"/>
      <c r="L12" s="277"/>
      <c r="M12" s="277"/>
      <c r="N12" s="277"/>
      <c r="O12" s="277"/>
      <c r="P12" s="277"/>
      <c r="Q12" s="277"/>
      <c r="R12" s="277"/>
      <c r="S12" s="277"/>
      <c r="T12" s="277"/>
      <c r="U12" s="277"/>
      <c r="V12" s="277"/>
      <c r="W12" s="278"/>
    </row>
    <row r="13" spans="2:23">
      <c r="B13" s="155"/>
      <c r="W13" s="156"/>
    </row>
    <row r="14" spans="2:23">
      <c r="B14" s="155"/>
      <c r="W14" s="156"/>
    </row>
    <row r="15" spans="2:23">
      <c r="B15" s="155"/>
      <c r="W15" s="156"/>
    </row>
    <row r="16" spans="2:23">
      <c r="B16" s="155"/>
      <c r="W16" s="156"/>
    </row>
    <row r="17" spans="2:23">
      <c r="B17" s="155"/>
      <c r="W17" s="156"/>
    </row>
    <row r="18" spans="2:23">
      <c r="B18" s="155"/>
      <c r="W18" s="156"/>
    </row>
    <row r="19" spans="2:23">
      <c r="B19" s="155"/>
      <c r="W19" s="156"/>
    </row>
    <row r="20" spans="2:23">
      <c r="B20" s="155"/>
      <c r="W20" s="156"/>
    </row>
    <row r="21" spans="2:23">
      <c r="B21" s="155"/>
      <c r="W21" s="156"/>
    </row>
    <row r="22" spans="2:23">
      <c r="B22" s="155"/>
      <c r="W22" s="156"/>
    </row>
    <row r="23" spans="2:23">
      <c r="B23" s="155"/>
      <c r="W23" s="156"/>
    </row>
    <row r="24" spans="2:23">
      <c r="B24" s="155"/>
      <c r="W24" s="156"/>
    </row>
    <row r="25" spans="2:23">
      <c r="B25" s="155"/>
      <c r="W25" s="156"/>
    </row>
    <row r="26" spans="2:23">
      <c r="B26" s="155"/>
      <c r="W26" s="156"/>
    </row>
    <row r="27" spans="2:23">
      <c r="B27" s="155"/>
      <c r="W27" s="156"/>
    </row>
    <row r="28" spans="2:23">
      <c r="B28" s="155"/>
      <c r="W28" s="156"/>
    </row>
    <row r="29" spans="2:23">
      <c r="B29" s="155"/>
      <c r="W29" s="156"/>
    </row>
    <row r="30" spans="2:23">
      <c r="B30" s="155"/>
      <c r="W30" s="156"/>
    </row>
    <row r="31" spans="2:23">
      <c r="B31" s="155"/>
      <c r="W31" s="156"/>
    </row>
    <row r="32" spans="2:23">
      <c r="B32" s="155"/>
      <c r="W32" s="156"/>
    </row>
    <row r="33" spans="2:23">
      <c r="B33" s="155"/>
      <c r="W33" s="156"/>
    </row>
    <row r="34" spans="2:23">
      <c r="B34" s="155"/>
      <c r="W34" s="156"/>
    </row>
    <row r="35" spans="2:23">
      <c r="B35" s="155"/>
      <c r="W35" s="156"/>
    </row>
    <row r="36" spans="2:23">
      <c r="B36" s="155"/>
      <c r="W36" s="156"/>
    </row>
    <row r="37" spans="2:23">
      <c r="B37" s="155"/>
      <c r="W37" s="156"/>
    </row>
    <row r="38" spans="2:23" ht="15.75" thickBot="1">
      <c r="B38" s="157"/>
      <c r="C38" s="158"/>
      <c r="D38" s="158"/>
      <c r="E38" s="158"/>
      <c r="F38" s="158"/>
      <c r="G38" s="158"/>
      <c r="H38" s="158"/>
      <c r="I38" s="158"/>
      <c r="J38" s="158"/>
      <c r="K38" s="158"/>
      <c r="L38" s="158"/>
      <c r="M38" s="158"/>
      <c r="N38" s="158"/>
      <c r="O38" s="158"/>
      <c r="P38" s="158"/>
      <c r="Q38" s="158"/>
      <c r="R38" s="158"/>
      <c r="S38" s="158"/>
      <c r="T38" s="158"/>
      <c r="U38" s="158"/>
      <c r="V38" s="158"/>
      <c r="W38" s="159"/>
    </row>
    <row r="39" spans="2:23" ht="15.75" thickBot="1"/>
    <row r="40" spans="2:23" ht="15" customHeight="1">
      <c r="B40" s="273" t="s">
        <v>3852</v>
      </c>
      <c r="C40" s="274"/>
      <c r="D40" s="274"/>
      <c r="E40" s="274"/>
      <c r="F40" s="274"/>
      <c r="G40" s="274"/>
      <c r="H40" s="274"/>
      <c r="I40" s="274"/>
      <c r="J40" s="274"/>
      <c r="K40" s="274"/>
      <c r="L40" s="274"/>
      <c r="M40" s="274"/>
      <c r="N40" s="274"/>
      <c r="O40" s="274"/>
      <c r="P40" s="274"/>
      <c r="Q40" s="274"/>
      <c r="R40" s="274"/>
      <c r="S40" s="274"/>
      <c r="T40" s="274"/>
      <c r="U40" s="274"/>
      <c r="V40" s="274"/>
      <c r="W40" s="275"/>
    </row>
    <row r="41" spans="2:23" ht="15" customHeight="1">
      <c r="B41" s="276"/>
      <c r="C41" s="277"/>
      <c r="D41" s="277"/>
      <c r="E41" s="277"/>
      <c r="F41" s="277"/>
      <c r="G41" s="277"/>
      <c r="H41" s="277"/>
      <c r="I41" s="277"/>
      <c r="J41" s="277"/>
      <c r="K41" s="277"/>
      <c r="L41" s="277"/>
      <c r="M41" s="277"/>
      <c r="N41" s="277"/>
      <c r="O41" s="277"/>
      <c r="P41" s="277"/>
      <c r="Q41" s="277"/>
      <c r="R41" s="277"/>
      <c r="S41" s="277"/>
      <c r="T41" s="277"/>
      <c r="U41" s="277"/>
      <c r="V41" s="277"/>
      <c r="W41" s="278"/>
    </row>
    <row r="42" spans="2:23" ht="15" customHeight="1">
      <c r="B42" s="276"/>
      <c r="C42" s="277"/>
      <c r="D42" s="277"/>
      <c r="E42" s="277"/>
      <c r="F42" s="277"/>
      <c r="G42" s="277"/>
      <c r="H42" s="277"/>
      <c r="I42" s="277"/>
      <c r="J42" s="277"/>
      <c r="K42" s="277"/>
      <c r="L42" s="277"/>
      <c r="M42" s="277"/>
      <c r="N42" s="277"/>
      <c r="O42" s="277"/>
      <c r="P42" s="277"/>
      <c r="Q42" s="277"/>
      <c r="R42" s="277"/>
      <c r="S42" s="277"/>
      <c r="T42" s="277"/>
      <c r="U42" s="277"/>
      <c r="V42" s="277"/>
      <c r="W42" s="278"/>
    </row>
    <row r="43" spans="2:23">
      <c r="B43" s="155"/>
      <c r="W43" s="156"/>
    </row>
    <row r="44" spans="2:23">
      <c r="B44" s="155"/>
      <c r="W44" s="156"/>
    </row>
    <row r="45" spans="2:23">
      <c r="B45" s="155"/>
      <c r="W45" s="156"/>
    </row>
    <row r="46" spans="2:23">
      <c r="B46" s="155"/>
      <c r="W46" s="156"/>
    </row>
    <row r="47" spans="2:23">
      <c r="B47" s="155"/>
      <c r="W47" s="156"/>
    </row>
    <row r="48" spans="2:23">
      <c r="B48" s="155"/>
      <c r="W48" s="156"/>
    </row>
    <row r="49" spans="2:23">
      <c r="B49" s="155"/>
      <c r="W49" s="156"/>
    </row>
    <row r="50" spans="2:23">
      <c r="B50" s="155"/>
      <c r="W50" s="156"/>
    </row>
    <row r="51" spans="2:23">
      <c r="B51" s="155"/>
      <c r="W51" s="156"/>
    </row>
    <row r="52" spans="2:23">
      <c r="B52" s="155"/>
      <c r="W52" s="156"/>
    </row>
    <row r="53" spans="2:23">
      <c r="B53" s="155"/>
      <c r="W53" s="156"/>
    </row>
    <row r="54" spans="2:23">
      <c r="B54" s="155"/>
      <c r="W54" s="156"/>
    </row>
    <row r="55" spans="2:23">
      <c r="B55" s="155"/>
      <c r="W55" s="156"/>
    </row>
    <row r="56" spans="2:23">
      <c r="B56" s="155"/>
      <c r="W56" s="156"/>
    </row>
    <row r="57" spans="2:23">
      <c r="B57" s="155"/>
      <c r="W57" s="156"/>
    </row>
    <row r="58" spans="2:23">
      <c r="B58" s="155"/>
      <c r="W58" s="156"/>
    </row>
    <row r="59" spans="2:23">
      <c r="B59" s="155"/>
      <c r="W59" s="156"/>
    </row>
    <row r="60" spans="2:23">
      <c r="B60" s="155"/>
      <c r="W60" s="156"/>
    </row>
    <row r="61" spans="2:23">
      <c r="B61" s="155"/>
      <c r="W61" s="156"/>
    </row>
    <row r="62" spans="2:23">
      <c r="B62" s="155"/>
      <c r="W62" s="156"/>
    </row>
    <row r="63" spans="2:23">
      <c r="B63" s="155"/>
      <c r="W63" s="156"/>
    </row>
    <row r="64" spans="2:23">
      <c r="B64" s="155"/>
      <c r="W64" s="156"/>
    </row>
    <row r="65" spans="2:23">
      <c r="B65" s="155"/>
      <c r="W65" s="156"/>
    </row>
    <row r="66" spans="2:23" ht="15.75" thickBot="1">
      <c r="B66" s="157"/>
      <c r="C66" s="158"/>
      <c r="D66" s="158"/>
      <c r="E66" s="158"/>
      <c r="F66" s="158"/>
      <c r="G66" s="158"/>
      <c r="H66" s="158"/>
      <c r="I66" s="158"/>
      <c r="J66" s="158"/>
      <c r="K66" s="158"/>
      <c r="L66" s="158"/>
      <c r="M66" s="158"/>
      <c r="N66" s="158"/>
      <c r="O66" s="158"/>
      <c r="P66" s="158"/>
      <c r="Q66" s="158"/>
      <c r="R66" s="158"/>
      <c r="S66" s="158"/>
      <c r="T66" s="158"/>
      <c r="U66" s="158"/>
      <c r="V66" s="158"/>
      <c r="W66" s="159"/>
    </row>
    <row r="67" spans="2:23" ht="15.75" thickBot="1"/>
    <row r="68" spans="2:23" ht="15" customHeight="1">
      <c r="B68" s="273" t="s">
        <v>3853</v>
      </c>
      <c r="C68" s="274"/>
      <c r="D68" s="274"/>
      <c r="E68" s="274"/>
      <c r="F68" s="274"/>
      <c r="G68" s="274"/>
      <c r="H68" s="275"/>
      <c r="J68" s="273" t="s">
        <v>3923</v>
      </c>
      <c r="K68" s="274"/>
      <c r="L68" s="274"/>
      <c r="M68" s="274"/>
      <c r="N68" s="274"/>
      <c r="O68" s="275"/>
      <c r="Q68" s="273" t="s">
        <v>3924</v>
      </c>
      <c r="R68" s="274"/>
      <c r="S68" s="274"/>
      <c r="T68" s="274"/>
      <c r="U68" s="274"/>
      <c r="V68" s="274"/>
      <c r="W68" s="275"/>
    </row>
    <row r="69" spans="2:23" ht="15" customHeight="1">
      <c r="B69" s="276"/>
      <c r="C69" s="277"/>
      <c r="D69" s="277"/>
      <c r="E69" s="277"/>
      <c r="F69" s="277"/>
      <c r="G69" s="277"/>
      <c r="H69" s="278"/>
      <c r="J69" s="276"/>
      <c r="K69" s="277"/>
      <c r="L69" s="277"/>
      <c r="M69" s="277"/>
      <c r="N69" s="277"/>
      <c r="O69" s="278"/>
      <c r="Q69" s="276"/>
      <c r="R69" s="277"/>
      <c r="S69" s="277"/>
      <c r="T69" s="277"/>
      <c r="U69" s="277"/>
      <c r="V69" s="277"/>
      <c r="W69" s="278"/>
    </row>
    <row r="70" spans="2:23" ht="15" customHeight="1">
      <c r="B70" s="276"/>
      <c r="C70" s="277"/>
      <c r="D70" s="277"/>
      <c r="E70" s="277"/>
      <c r="F70" s="277"/>
      <c r="G70" s="277"/>
      <c r="H70" s="278"/>
      <c r="J70" s="276"/>
      <c r="K70" s="277"/>
      <c r="L70" s="277"/>
      <c r="M70" s="277"/>
      <c r="N70" s="277"/>
      <c r="O70" s="278"/>
      <c r="Q70" s="276"/>
      <c r="R70" s="277"/>
      <c r="S70" s="277"/>
      <c r="T70" s="277"/>
      <c r="U70" s="277"/>
      <c r="V70" s="277"/>
      <c r="W70" s="278"/>
    </row>
    <row r="71" spans="2:23">
      <c r="B71" s="155"/>
      <c r="H71" s="156"/>
      <c r="J71" s="155"/>
      <c r="O71" s="156"/>
      <c r="Q71" s="155"/>
      <c r="W71" s="156"/>
    </row>
    <row r="72" spans="2:23">
      <c r="B72" s="155"/>
      <c r="H72" s="156"/>
      <c r="J72" s="155"/>
      <c r="O72" s="156"/>
      <c r="Q72" s="155"/>
      <c r="W72" s="156"/>
    </row>
    <row r="73" spans="2:23">
      <c r="B73" s="155"/>
      <c r="H73" s="156"/>
      <c r="J73" s="155"/>
      <c r="O73" s="156"/>
      <c r="Q73" s="155"/>
      <c r="W73" s="156"/>
    </row>
    <row r="74" spans="2:23">
      <c r="B74" s="155"/>
      <c r="H74" s="156"/>
      <c r="J74" s="155"/>
      <c r="O74" s="156"/>
      <c r="Q74" s="155"/>
      <c r="W74" s="156"/>
    </row>
    <row r="75" spans="2:23">
      <c r="B75" s="155"/>
      <c r="H75" s="156"/>
      <c r="J75" s="155"/>
      <c r="O75" s="156"/>
      <c r="Q75" s="155"/>
      <c r="W75" s="156"/>
    </row>
    <row r="76" spans="2:23">
      <c r="B76" s="155"/>
      <c r="H76" s="156"/>
      <c r="J76" s="155"/>
      <c r="O76" s="156"/>
      <c r="Q76" s="155"/>
      <c r="W76" s="156"/>
    </row>
    <row r="77" spans="2:23">
      <c r="B77" s="155"/>
      <c r="H77" s="156"/>
      <c r="J77" s="155"/>
      <c r="O77" s="156"/>
      <c r="Q77" s="155"/>
      <c r="W77" s="156"/>
    </row>
    <row r="78" spans="2:23">
      <c r="B78" s="155"/>
      <c r="H78" s="156"/>
      <c r="J78" s="155"/>
      <c r="O78" s="156"/>
      <c r="Q78" s="155"/>
      <c r="W78" s="156"/>
    </row>
    <row r="79" spans="2:23">
      <c r="B79" s="155"/>
      <c r="H79" s="156"/>
      <c r="J79" s="155"/>
      <c r="O79" s="156"/>
      <c r="Q79" s="155"/>
      <c r="W79" s="156"/>
    </row>
    <row r="80" spans="2:23">
      <c r="B80" s="155"/>
      <c r="H80" s="156"/>
      <c r="J80" s="155"/>
      <c r="O80" s="156"/>
      <c r="Q80" s="155"/>
      <c r="W80" s="156"/>
    </row>
    <row r="81" spans="2:23">
      <c r="B81" s="155"/>
      <c r="H81" s="156"/>
      <c r="J81" s="155"/>
      <c r="O81" s="156"/>
      <c r="Q81" s="155"/>
      <c r="W81" s="156"/>
    </row>
    <row r="82" spans="2:23">
      <c r="B82" s="155"/>
      <c r="H82" s="156"/>
      <c r="J82" s="155"/>
      <c r="O82" s="156"/>
      <c r="Q82" s="155"/>
      <c r="W82" s="156"/>
    </row>
    <row r="83" spans="2:23">
      <c r="B83" s="155"/>
      <c r="H83" s="156"/>
      <c r="J83" s="155"/>
      <c r="O83" s="156"/>
      <c r="Q83" s="155"/>
      <c r="W83" s="156"/>
    </row>
    <row r="84" spans="2:23">
      <c r="B84" s="155"/>
      <c r="H84" s="156"/>
      <c r="J84" s="155"/>
      <c r="O84" s="156"/>
      <c r="Q84" s="155"/>
      <c r="W84" s="156"/>
    </row>
    <row r="85" spans="2:23">
      <c r="B85" s="155"/>
      <c r="H85" s="156"/>
      <c r="J85" s="155"/>
      <c r="O85" s="156"/>
      <c r="Q85" s="155"/>
      <c r="W85" s="156"/>
    </row>
    <row r="86" spans="2:23">
      <c r="B86" s="155"/>
      <c r="H86" s="156"/>
      <c r="J86" s="155"/>
      <c r="O86" s="156"/>
      <c r="Q86" s="155"/>
      <c r="W86" s="156"/>
    </row>
    <row r="87" spans="2:23">
      <c r="B87" s="155"/>
      <c r="H87" s="156"/>
      <c r="J87" s="155"/>
      <c r="O87" s="156"/>
      <c r="Q87" s="155"/>
      <c r="W87" s="156"/>
    </row>
    <row r="88" spans="2:23">
      <c r="B88" s="155"/>
      <c r="H88" s="156"/>
      <c r="J88" s="155"/>
      <c r="O88" s="156"/>
      <c r="Q88" s="155"/>
      <c r="W88" s="156"/>
    </row>
    <row r="89" spans="2:23">
      <c r="B89" s="155"/>
      <c r="H89" s="156"/>
      <c r="J89" s="155"/>
      <c r="O89" s="156"/>
      <c r="Q89" s="155"/>
      <c r="W89" s="156"/>
    </row>
    <row r="90" spans="2:23">
      <c r="B90" s="155"/>
      <c r="H90" s="156"/>
      <c r="J90" s="155"/>
      <c r="O90" s="156"/>
      <c r="Q90" s="155"/>
      <c r="W90" s="156"/>
    </row>
    <row r="91" spans="2:23">
      <c r="B91" s="155"/>
      <c r="H91" s="156"/>
      <c r="J91" s="155"/>
      <c r="O91" s="156"/>
      <c r="Q91" s="155"/>
      <c r="W91" s="156"/>
    </row>
    <row r="92" spans="2:23">
      <c r="B92" s="155"/>
      <c r="H92" s="156"/>
      <c r="J92" s="155"/>
      <c r="O92" s="156"/>
      <c r="Q92" s="155"/>
      <c r="W92" s="156"/>
    </row>
    <row r="93" spans="2:23">
      <c r="B93" s="155"/>
      <c r="H93" s="156"/>
      <c r="J93" s="155"/>
      <c r="O93" s="156"/>
      <c r="Q93" s="155"/>
      <c r="W93" s="156"/>
    </row>
    <row r="94" spans="2:23">
      <c r="B94" s="155"/>
      <c r="H94" s="156"/>
      <c r="J94" s="155"/>
      <c r="O94" s="156"/>
      <c r="Q94" s="155"/>
      <c r="W94" s="156"/>
    </row>
    <row r="95" spans="2:23">
      <c r="B95" s="155"/>
      <c r="H95" s="156"/>
      <c r="J95" s="155"/>
      <c r="O95" s="156"/>
      <c r="Q95" s="155"/>
      <c r="W95" s="156"/>
    </row>
    <row r="96" spans="2:23">
      <c r="B96" s="155"/>
      <c r="H96" s="156"/>
      <c r="J96" s="155"/>
      <c r="O96" s="156"/>
      <c r="Q96" s="155"/>
      <c r="W96" s="156"/>
    </row>
    <row r="97" spans="2:99" ht="15.75" thickBot="1">
      <c r="B97" s="157"/>
      <c r="C97" s="158"/>
      <c r="D97" s="158"/>
      <c r="E97" s="158"/>
      <c r="F97" s="158"/>
      <c r="G97" s="158"/>
      <c r="H97" s="159"/>
      <c r="J97" s="157"/>
      <c r="K97" s="158"/>
      <c r="L97" s="158"/>
      <c r="M97" s="158"/>
      <c r="N97" s="158"/>
      <c r="O97" s="159"/>
      <c r="Q97" s="157"/>
      <c r="R97" s="158"/>
      <c r="S97" s="158"/>
      <c r="T97" s="158"/>
      <c r="U97" s="158"/>
      <c r="V97" s="158"/>
      <c r="W97" s="159"/>
    </row>
    <row r="98" spans="2:99" ht="15.75" thickBot="1"/>
    <row r="99" spans="2:99" ht="15" customHeight="1" thickTop="1">
      <c r="B99" s="296" t="s">
        <v>3880</v>
      </c>
      <c r="C99" s="297"/>
      <c r="D99" s="298"/>
      <c r="F99" s="167"/>
      <c r="G99" s="167"/>
      <c r="H99" s="167"/>
      <c r="I99" s="167"/>
      <c r="J99" s="167"/>
      <c r="K99" s="167"/>
      <c r="L99" s="167"/>
      <c r="M99" s="167"/>
      <c r="N99" s="167"/>
      <c r="O99" s="167"/>
      <c r="P99" s="167"/>
      <c r="Q99" s="167"/>
      <c r="R99" s="167"/>
      <c r="S99" s="167"/>
      <c r="T99" s="167"/>
      <c r="U99" s="167"/>
      <c r="V99" s="167"/>
      <c r="W99" s="167"/>
      <c r="X99" s="167"/>
      <c r="Y99" s="167"/>
      <c r="Z99" s="167"/>
      <c r="AA99" s="167"/>
      <c r="AB99" s="167"/>
      <c r="AC99" s="167"/>
      <c r="AD99" s="167"/>
      <c r="AE99" s="167"/>
      <c r="AF99" s="167"/>
      <c r="AG99" s="167"/>
      <c r="AH99" s="167"/>
      <c r="AI99" s="167"/>
      <c r="AJ99" s="167"/>
      <c r="AK99" s="167"/>
      <c r="AL99" s="167"/>
      <c r="AM99" s="167"/>
      <c r="AN99" s="167"/>
      <c r="AO99" s="167"/>
      <c r="AP99" s="167"/>
      <c r="AQ99" s="167"/>
      <c r="AR99" s="167"/>
      <c r="AS99" s="167"/>
      <c r="AT99" s="167"/>
      <c r="AU99" s="167"/>
      <c r="AV99" s="167"/>
      <c r="AW99" s="167"/>
      <c r="AX99" s="167"/>
      <c r="AY99" s="167"/>
      <c r="AZ99" s="167"/>
      <c r="BA99" s="167"/>
      <c r="BB99" s="167"/>
      <c r="BC99" s="167"/>
      <c r="BD99" s="167"/>
      <c r="BE99" s="167"/>
      <c r="BF99" s="167"/>
      <c r="BG99" s="167"/>
      <c r="BH99" s="167"/>
      <c r="BI99" s="167"/>
      <c r="BJ99" s="167"/>
      <c r="BK99" s="167"/>
      <c r="BL99" s="167"/>
      <c r="BM99" s="167"/>
      <c r="BN99" s="167"/>
      <c r="BO99" s="167"/>
      <c r="BP99" s="167"/>
      <c r="BQ99" s="167"/>
      <c r="BR99" s="167"/>
      <c r="BS99" s="167"/>
      <c r="BT99" s="167"/>
      <c r="BU99" s="167"/>
      <c r="BV99" s="167"/>
      <c r="BW99" s="167"/>
      <c r="BX99" s="167"/>
      <c r="BY99" s="167"/>
      <c r="BZ99" s="167"/>
      <c r="CA99" s="167"/>
      <c r="CB99" s="167"/>
      <c r="CC99" s="167"/>
      <c r="CD99" s="167"/>
      <c r="CE99" s="167"/>
      <c r="CF99" s="167"/>
      <c r="CG99" s="167"/>
      <c r="CH99" s="167"/>
      <c r="CI99" s="167"/>
      <c r="CJ99" s="167"/>
      <c r="CK99" s="167"/>
      <c r="CL99" s="167"/>
      <c r="CM99" s="167"/>
      <c r="CN99" s="167"/>
      <c r="CO99" s="167"/>
      <c r="CP99" s="167"/>
      <c r="CQ99" s="167"/>
      <c r="CR99" s="167"/>
      <c r="CS99" s="167"/>
      <c r="CT99" s="167"/>
      <c r="CU99" s="167"/>
    </row>
    <row r="100" spans="2:99" ht="15" customHeight="1">
      <c r="B100" s="299"/>
      <c r="C100" s="300"/>
      <c r="D100" s="301"/>
      <c r="F100" s="167"/>
      <c r="G100" s="167"/>
      <c r="H100" s="167"/>
      <c r="I100" s="167"/>
      <c r="J100" s="167"/>
      <c r="K100" s="167"/>
      <c r="L100" s="167"/>
      <c r="M100" s="167"/>
      <c r="N100" s="167"/>
      <c r="O100" s="167"/>
      <c r="P100" s="167"/>
      <c r="Q100" s="167"/>
      <c r="R100" s="167"/>
      <c r="S100" s="167"/>
      <c r="T100" s="167"/>
      <c r="U100" s="167"/>
      <c r="V100" s="167"/>
      <c r="W100" s="167"/>
      <c r="X100" s="167"/>
      <c r="Y100" s="167"/>
      <c r="Z100" s="167"/>
      <c r="AA100" s="167"/>
      <c r="AB100" s="167"/>
      <c r="AC100" s="167"/>
      <c r="AD100" s="167"/>
      <c r="AE100" s="167"/>
      <c r="AF100" s="167"/>
      <c r="AG100" s="167"/>
      <c r="AH100" s="167"/>
      <c r="AI100" s="167"/>
      <c r="AJ100" s="167"/>
      <c r="AK100" s="167"/>
      <c r="AL100" s="167"/>
      <c r="AM100" s="167"/>
      <c r="AN100" s="167"/>
      <c r="AO100" s="167"/>
      <c r="AP100" s="167"/>
      <c r="AQ100" s="167"/>
      <c r="AR100" s="167"/>
      <c r="AS100" s="167"/>
      <c r="AT100" s="167"/>
      <c r="AU100" s="167"/>
      <c r="AV100" s="167"/>
      <c r="AW100" s="167"/>
      <c r="AX100" s="167"/>
      <c r="AY100" s="167"/>
      <c r="AZ100" s="167"/>
      <c r="BA100" s="167"/>
      <c r="BB100" s="167"/>
      <c r="BC100" s="167"/>
      <c r="BD100" s="167"/>
      <c r="BE100" s="167"/>
      <c r="BF100" s="167"/>
      <c r="BG100" s="167"/>
      <c r="BH100" s="167"/>
      <c r="BI100" s="167"/>
      <c r="BJ100" s="167"/>
      <c r="BK100" s="167"/>
      <c r="BL100" s="167"/>
      <c r="BM100" s="167"/>
      <c r="BN100" s="167"/>
      <c r="BO100" s="167"/>
      <c r="BP100" s="167"/>
      <c r="BQ100" s="167"/>
      <c r="BR100" s="167"/>
      <c r="BS100" s="167"/>
      <c r="BT100" s="167"/>
      <c r="BU100" s="167"/>
      <c r="BV100" s="167"/>
      <c r="BW100" s="167"/>
      <c r="BX100" s="167"/>
      <c r="BY100" s="167"/>
      <c r="BZ100" s="167"/>
      <c r="CA100" s="167"/>
      <c r="CB100" s="167"/>
      <c r="CC100" s="167"/>
      <c r="CD100" s="167"/>
      <c r="CE100" s="167"/>
      <c r="CF100" s="167"/>
      <c r="CG100" s="167"/>
      <c r="CH100" s="167"/>
      <c r="CI100" s="167"/>
      <c r="CJ100" s="167"/>
      <c r="CK100" s="167"/>
      <c r="CL100" s="167"/>
      <c r="CM100" s="167"/>
      <c r="CN100" s="167"/>
      <c r="CO100" s="167"/>
      <c r="CP100" s="167"/>
      <c r="CQ100" s="167"/>
      <c r="CR100" s="167"/>
      <c r="CS100" s="167"/>
      <c r="CT100" s="167"/>
      <c r="CU100" s="167"/>
    </row>
    <row r="101" spans="2:99" ht="15" customHeight="1">
      <c r="B101" s="299"/>
      <c r="C101" s="300"/>
      <c r="D101" s="301"/>
      <c r="F101" s="167"/>
      <c r="G101" s="167"/>
      <c r="H101" s="167"/>
      <c r="I101" s="167"/>
      <c r="J101" s="167"/>
      <c r="K101" s="167"/>
      <c r="L101" s="167"/>
      <c r="M101" s="167"/>
      <c r="N101" s="167"/>
      <c r="O101" s="167"/>
      <c r="P101" s="167"/>
      <c r="Q101" s="167"/>
      <c r="R101" s="167"/>
      <c r="S101" s="167"/>
      <c r="T101" s="167"/>
      <c r="U101" s="167"/>
      <c r="V101" s="167"/>
      <c r="W101" s="167"/>
      <c r="X101" s="167"/>
      <c r="Y101" s="167"/>
      <c r="Z101" s="167"/>
      <c r="AA101" s="167"/>
      <c r="AB101" s="167"/>
      <c r="AC101" s="167"/>
      <c r="AD101" s="167"/>
      <c r="AE101" s="167"/>
      <c r="AF101" s="167"/>
      <c r="AG101" s="167"/>
      <c r="AH101" s="167"/>
      <c r="AI101" s="167"/>
      <c r="AJ101" s="167"/>
      <c r="AK101" s="167"/>
      <c r="AL101" s="167"/>
      <c r="AM101" s="167"/>
      <c r="AN101" s="167"/>
      <c r="AO101" s="167"/>
      <c r="AP101" s="167"/>
      <c r="AQ101" s="167"/>
      <c r="AR101" s="167"/>
      <c r="AS101" s="167"/>
      <c r="AT101" s="167"/>
      <c r="AU101" s="167"/>
      <c r="AV101" s="167"/>
      <c r="AW101" s="167"/>
      <c r="AX101" s="167"/>
      <c r="AY101" s="167"/>
      <c r="AZ101" s="167"/>
      <c r="BA101" s="167"/>
      <c r="BB101" s="167"/>
      <c r="BC101" s="167"/>
      <c r="BD101" s="167"/>
      <c r="BE101" s="167"/>
      <c r="BF101" s="167"/>
      <c r="BG101" s="167"/>
      <c r="BH101" s="167"/>
      <c r="BI101" s="167"/>
      <c r="BJ101" s="167"/>
      <c r="BK101" s="167"/>
      <c r="BL101" s="167"/>
      <c r="BM101" s="167"/>
      <c r="BN101" s="167"/>
      <c r="BO101" s="167"/>
      <c r="BP101" s="167"/>
      <c r="BQ101" s="167"/>
      <c r="BR101" s="167"/>
      <c r="BS101" s="167"/>
      <c r="BT101" s="167"/>
      <c r="BU101" s="167"/>
      <c r="BV101" s="167"/>
      <c r="BW101" s="167"/>
      <c r="BX101" s="167"/>
      <c r="BY101" s="167"/>
      <c r="BZ101" s="167"/>
      <c r="CA101" s="167"/>
      <c r="CB101" s="167"/>
      <c r="CC101" s="167"/>
      <c r="CD101" s="167"/>
      <c r="CE101" s="167"/>
      <c r="CF101" s="167"/>
      <c r="CG101" s="167"/>
      <c r="CH101" s="167"/>
      <c r="CI101" s="167"/>
      <c r="CJ101" s="167"/>
      <c r="CK101" s="167"/>
      <c r="CL101" s="167"/>
      <c r="CM101" s="167"/>
      <c r="CN101" s="167"/>
      <c r="CO101" s="167"/>
      <c r="CP101" s="167"/>
      <c r="CQ101" s="167"/>
      <c r="CR101" s="167"/>
      <c r="CS101" s="167"/>
      <c r="CT101" s="167"/>
      <c r="CU101" s="167"/>
    </row>
    <row r="102" spans="2:99" ht="15.75" thickBot="1">
      <c r="B102" s="302"/>
      <c r="C102" s="295"/>
      <c r="D102" s="303"/>
      <c r="F102" s="167"/>
      <c r="G102" s="167"/>
      <c r="H102" s="167"/>
      <c r="I102" s="167"/>
      <c r="J102" s="167"/>
      <c r="K102" s="167"/>
      <c r="L102" s="167"/>
      <c r="M102" s="167"/>
      <c r="N102" s="167"/>
      <c r="O102" s="167"/>
      <c r="P102" s="167"/>
      <c r="Q102" s="167"/>
      <c r="R102" s="167"/>
      <c r="S102" s="167"/>
      <c r="T102" s="167"/>
      <c r="U102" s="167"/>
      <c r="V102" s="167"/>
      <c r="W102" s="167"/>
      <c r="X102" s="167"/>
      <c r="Y102" s="167"/>
      <c r="Z102" s="167"/>
      <c r="AA102" s="167"/>
      <c r="AB102" s="167"/>
      <c r="AC102" s="167"/>
      <c r="AD102" s="167"/>
      <c r="AE102" s="167"/>
      <c r="AF102" s="167"/>
      <c r="AG102" s="167"/>
      <c r="AH102" s="167"/>
      <c r="AI102" s="167"/>
      <c r="AJ102" s="167"/>
      <c r="AK102" s="167"/>
      <c r="AL102" s="167"/>
      <c r="AM102" s="167"/>
      <c r="AN102" s="167"/>
      <c r="AO102" s="167"/>
      <c r="AP102" s="167"/>
      <c r="AQ102" s="167"/>
      <c r="AR102" s="167"/>
      <c r="AS102" s="167"/>
      <c r="AT102" s="167"/>
      <c r="AU102" s="167"/>
      <c r="AV102" s="167"/>
      <c r="AW102" s="167"/>
      <c r="AX102" s="167"/>
      <c r="AY102" s="167"/>
      <c r="AZ102" s="167"/>
      <c r="BA102" s="167"/>
      <c r="BB102" s="167"/>
      <c r="BC102" s="167"/>
      <c r="BD102" s="167"/>
      <c r="BE102" s="167"/>
      <c r="BF102" s="167"/>
      <c r="BG102" s="167"/>
      <c r="BH102" s="167"/>
      <c r="BI102" s="167"/>
      <c r="BJ102" s="167"/>
      <c r="BK102" s="167"/>
      <c r="BL102" s="167"/>
      <c r="BM102" s="167"/>
      <c r="BN102" s="167"/>
      <c r="BO102" s="167"/>
      <c r="BP102" s="167"/>
      <c r="BQ102" s="167"/>
      <c r="BR102" s="167"/>
      <c r="BS102" s="167"/>
      <c r="BT102" s="167"/>
      <c r="BU102" s="167"/>
      <c r="BV102" s="167"/>
      <c r="BW102" s="167"/>
      <c r="BX102" s="167"/>
      <c r="BY102" s="167"/>
      <c r="BZ102" s="167"/>
      <c r="CA102" s="167"/>
      <c r="CB102" s="167"/>
      <c r="CC102" s="167"/>
      <c r="CD102" s="167"/>
      <c r="CE102" s="167"/>
      <c r="CF102" s="167"/>
      <c r="CG102" s="167"/>
      <c r="CH102" s="167"/>
      <c r="CI102" s="167"/>
      <c r="CJ102" s="167"/>
      <c r="CK102" s="167"/>
      <c r="CL102" s="167"/>
      <c r="CM102" s="167"/>
      <c r="CN102" s="167"/>
      <c r="CO102" s="167"/>
      <c r="CP102" s="167"/>
      <c r="CQ102" s="167"/>
      <c r="CR102" s="167"/>
      <c r="CS102" s="167"/>
      <c r="CT102" s="167"/>
      <c r="CU102" s="167"/>
    </row>
    <row r="103" spans="2:99">
      <c r="B103" s="302"/>
      <c r="C103" s="285" t="s">
        <v>17</v>
      </c>
      <c r="D103" s="304" t="s">
        <v>69</v>
      </c>
      <c r="F103" s="167"/>
      <c r="G103" s="167"/>
      <c r="H103" s="167"/>
      <c r="I103" s="167"/>
      <c r="W103" s="167"/>
      <c r="X103" s="167"/>
      <c r="Y103" s="167"/>
      <c r="Z103" s="167"/>
      <c r="AA103" s="167"/>
      <c r="AB103" s="167"/>
      <c r="AC103" s="167"/>
      <c r="AD103" s="167"/>
      <c r="AE103" s="167"/>
      <c r="AF103" s="167"/>
      <c r="AG103" s="167"/>
      <c r="AH103" s="167"/>
      <c r="AI103" s="167"/>
      <c r="AJ103" s="167"/>
      <c r="AK103" s="167"/>
      <c r="AL103" s="167"/>
      <c r="AM103" s="167"/>
      <c r="AN103" s="167"/>
      <c r="AO103" s="167"/>
      <c r="AP103" s="167"/>
      <c r="AQ103" s="167"/>
      <c r="AR103" s="167"/>
      <c r="AS103" s="167"/>
      <c r="AT103" s="167"/>
      <c r="AU103" s="167"/>
      <c r="AV103" s="167"/>
      <c r="AW103" s="167"/>
      <c r="AX103" s="167"/>
      <c r="AY103" s="167"/>
      <c r="AZ103" s="167"/>
      <c r="BA103" s="167"/>
      <c r="BB103" s="167"/>
      <c r="BC103" s="167"/>
      <c r="BD103" s="167"/>
      <c r="BE103" s="167"/>
      <c r="BF103" s="167"/>
      <c r="BG103" s="167"/>
      <c r="BH103" s="167"/>
      <c r="BI103" s="167"/>
      <c r="BJ103" s="167"/>
      <c r="BK103" s="167"/>
      <c r="BL103" s="167"/>
      <c r="BM103" s="167"/>
      <c r="BN103" s="167"/>
      <c r="BO103" s="167"/>
      <c r="BP103" s="167"/>
      <c r="BQ103" s="167"/>
      <c r="BR103" s="167"/>
      <c r="BS103" s="167"/>
      <c r="BT103" s="167"/>
      <c r="BU103" s="167"/>
      <c r="BV103" s="167"/>
      <c r="BW103" s="167"/>
      <c r="BX103" s="167"/>
      <c r="BY103" s="167"/>
      <c r="BZ103" s="167"/>
      <c r="CA103" s="167"/>
      <c r="CB103" s="167"/>
      <c r="CC103" s="167"/>
      <c r="CD103" s="167"/>
      <c r="CE103" s="167"/>
      <c r="CF103" s="167"/>
      <c r="CG103" s="167"/>
      <c r="CH103" s="167"/>
      <c r="CI103" s="167"/>
      <c r="CJ103" s="167"/>
      <c r="CK103" s="167"/>
      <c r="CL103" s="167"/>
      <c r="CM103" s="167"/>
      <c r="CN103" s="167"/>
      <c r="CO103" s="167"/>
      <c r="CP103" s="167"/>
      <c r="CQ103" s="167"/>
      <c r="CR103" s="167"/>
      <c r="CS103" s="167"/>
      <c r="CT103" s="167"/>
      <c r="CU103" s="167"/>
    </row>
    <row r="104" spans="2:99" ht="15.75" thickBot="1">
      <c r="B104" s="302"/>
      <c r="C104" s="286"/>
      <c r="D104" s="305"/>
      <c r="F104" s="167"/>
      <c r="G104" s="167"/>
      <c r="H104" s="167"/>
      <c r="I104" s="167"/>
      <c r="W104" s="167"/>
      <c r="X104" s="167"/>
      <c r="Y104" s="167"/>
      <c r="Z104" s="167"/>
      <c r="AA104" s="167"/>
      <c r="AB104" s="167"/>
      <c r="AC104" s="167"/>
      <c r="AD104" s="167"/>
      <c r="AE104" s="167"/>
      <c r="AF104" s="167"/>
      <c r="AG104" s="167"/>
      <c r="AH104" s="167"/>
      <c r="AI104" s="167"/>
      <c r="AJ104" s="167"/>
      <c r="AK104" s="167"/>
      <c r="AL104" s="167"/>
      <c r="AM104" s="167"/>
      <c r="AN104" s="167"/>
      <c r="AO104" s="167"/>
      <c r="AP104" s="167"/>
      <c r="AQ104" s="167"/>
      <c r="AR104" s="167"/>
      <c r="AS104" s="167"/>
      <c r="AT104" s="167"/>
      <c r="AU104" s="167"/>
      <c r="AV104" s="167"/>
      <c r="AW104" s="167"/>
      <c r="AX104" s="167"/>
      <c r="AY104" s="167"/>
      <c r="AZ104" s="167"/>
      <c r="BA104" s="167"/>
      <c r="BB104" s="167"/>
      <c r="BC104" s="167"/>
      <c r="BD104" s="167"/>
      <c r="BE104" s="167"/>
      <c r="BF104" s="167"/>
      <c r="BG104" s="167"/>
      <c r="BH104" s="167"/>
      <c r="BI104" s="167"/>
      <c r="BJ104" s="167"/>
      <c r="BK104" s="167"/>
      <c r="BL104" s="167"/>
      <c r="BM104" s="167"/>
      <c r="BN104" s="167"/>
      <c r="BO104" s="167"/>
      <c r="BP104" s="167"/>
      <c r="BQ104" s="167"/>
      <c r="BR104" s="167"/>
      <c r="BS104" s="167"/>
      <c r="BT104" s="167"/>
      <c r="BU104" s="167"/>
      <c r="BV104" s="167"/>
      <c r="BW104" s="167"/>
      <c r="BX104" s="167"/>
      <c r="BY104" s="167"/>
      <c r="BZ104" s="167"/>
      <c r="CA104" s="167"/>
      <c r="CB104" s="167"/>
      <c r="CC104" s="167"/>
      <c r="CD104" s="167"/>
      <c r="CE104" s="167"/>
      <c r="CF104" s="167"/>
      <c r="CG104" s="167"/>
      <c r="CH104" s="167"/>
      <c r="CI104" s="167"/>
      <c r="CJ104" s="167"/>
      <c r="CK104" s="167"/>
      <c r="CL104" s="167"/>
      <c r="CM104" s="167"/>
      <c r="CN104" s="167"/>
      <c r="CO104" s="167"/>
      <c r="CP104" s="167"/>
      <c r="CQ104" s="167"/>
      <c r="CR104" s="167"/>
      <c r="CS104" s="167"/>
      <c r="CT104" s="167"/>
      <c r="CU104" s="167"/>
    </row>
    <row r="105" spans="2:99" ht="22.5" thickTop="1" thickBot="1">
      <c r="B105" s="292" t="s">
        <v>3860</v>
      </c>
      <c r="C105" s="154" t="str" cm="1">
        <f t="array" ref="C105">_xlfn.XLOOKUP(C$103,_xlfn.ANCHORARRAY(CALCULES!$A$3),CALCULES!$AR$3:$AR$92)</f>
        <v>FINAL</v>
      </c>
      <c r="D105" s="154" t="str" cm="1">
        <f t="array" ref="D105">_xlfn.XLOOKUP(D$103,_xlfn.ANCHORARRAY(CALCULES!A$3),CALCULES!$AR$3:$AR$92)</f>
        <v>GROUP_STAGE</v>
      </c>
      <c r="F105" s="168"/>
      <c r="G105" s="167"/>
      <c r="H105" s="167"/>
      <c r="I105" s="167"/>
      <c r="W105" s="167"/>
      <c r="X105" s="167"/>
      <c r="Y105" s="167"/>
      <c r="Z105" s="167"/>
      <c r="AA105" s="167"/>
      <c r="AB105" s="167"/>
      <c r="AC105" s="167"/>
      <c r="AD105" s="167"/>
      <c r="AE105" s="167"/>
      <c r="AF105" s="167"/>
      <c r="AG105" s="167"/>
      <c r="AH105" s="167"/>
      <c r="AI105" s="167"/>
      <c r="AJ105" s="167"/>
      <c r="AK105" s="167"/>
      <c r="AL105" s="167"/>
      <c r="AM105" s="167"/>
      <c r="AN105" s="167"/>
      <c r="AO105" s="167"/>
      <c r="AP105" s="167"/>
      <c r="AQ105" s="167"/>
      <c r="AR105" s="167"/>
      <c r="AS105" s="167"/>
      <c r="AT105" s="167"/>
      <c r="AU105" s="167"/>
      <c r="AV105" s="167"/>
      <c r="AW105" s="167"/>
      <c r="AX105" s="167"/>
      <c r="AY105" s="167"/>
      <c r="AZ105" s="167"/>
      <c r="BA105" s="167"/>
      <c r="BB105" s="167"/>
      <c r="BC105" s="167"/>
      <c r="BD105" s="167"/>
      <c r="BE105" s="167"/>
      <c r="BF105" s="167"/>
      <c r="BG105" s="167"/>
      <c r="BH105" s="167"/>
      <c r="BI105" s="167"/>
      <c r="BJ105" s="167"/>
      <c r="BK105" s="167"/>
      <c r="BL105" s="167"/>
      <c r="BM105" s="167"/>
      <c r="BN105" s="167"/>
      <c r="BO105" s="167"/>
      <c r="BP105" s="167"/>
      <c r="BQ105" s="167"/>
      <c r="BR105" s="167"/>
      <c r="BS105" s="167"/>
      <c r="BT105" s="167"/>
      <c r="BU105" s="167"/>
      <c r="BV105" s="167"/>
      <c r="BW105" s="167"/>
      <c r="BX105" s="167"/>
      <c r="BY105" s="167"/>
      <c r="BZ105" s="167"/>
      <c r="CA105" s="167"/>
      <c r="CB105" s="167"/>
      <c r="CC105" s="167"/>
      <c r="CD105" s="167"/>
      <c r="CE105" s="167"/>
      <c r="CF105" s="167"/>
      <c r="CG105" s="167"/>
      <c r="CH105" s="167"/>
      <c r="CI105" s="167"/>
      <c r="CJ105" s="167"/>
      <c r="CK105" s="167"/>
      <c r="CL105" s="167"/>
      <c r="CM105" s="167"/>
      <c r="CN105" s="167"/>
      <c r="CO105" s="167"/>
      <c r="CP105" s="167"/>
      <c r="CQ105" s="167"/>
      <c r="CR105" s="167"/>
      <c r="CS105" s="167"/>
      <c r="CT105" s="167"/>
      <c r="CU105" s="167"/>
    </row>
    <row r="106" spans="2:99" ht="18.75" thickTop="1" thickBot="1">
      <c r="B106" s="292" t="s">
        <v>3840</v>
      </c>
      <c r="C106" s="140" cm="1">
        <f t="array" ref="C106">_xlfn.XLOOKUP(C$103,_xlfn.ANCHORARRAY(CALCULES!$A$3),CALCULES!$AS$3:$AS$92)</f>
        <v>13</v>
      </c>
      <c r="D106" s="140" cm="1">
        <f t="array" ref="D106">_xlfn.XLOOKUP(D$103,_xlfn.ANCHORARRAY(CALCULES!$A$3),CALCULES!$AS$3:$AS$92)</f>
        <v>2</v>
      </c>
      <c r="F106" s="169"/>
      <c r="G106" s="167"/>
      <c r="H106" s="167"/>
      <c r="I106" s="167"/>
      <c r="W106" s="167"/>
      <c r="X106" s="167"/>
      <c r="Y106" s="167"/>
      <c r="Z106" s="167"/>
      <c r="AA106" s="167"/>
      <c r="AB106" s="167"/>
      <c r="AC106" s="167"/>
      <c r="AD106" s="167"/>
      <c r="AE106" s="167"/>
      <c r="AF106" s="167"/>
      <c r="AG106" s="167"/>
      <c r="AH106" s="167"/>
      <c r="AI106" s="167"/>
      <c r="AJ106" s="167"/>
      <c r="AK106" s="167"/>
      <c r="AL106" s="167"/>
      <c r="AM106" s="167"/>
      <c r="AN106" s="167"/>
      <c r="AO106" s="167"/>
      <c r="AP106" s="167"/>
      <c r="AQ106" s="167"/>
      <c r="AR106" s="167"/>
      <c r="AS106" s="167"/>
      <c r="AT106" s="167"/>
      <c r="AU106" s="167"/>
      <c r="AV106" s="167"/>
      <c r="AW106" s="167"/>
      <c r="AX106" s="167"/>
      <c r="AY106" s="167"/>
      <c r="AZ106" s="167"/>
      <c r="BA106" s="167"/>
      <c r="BB106" s="167"/>
      <c r="BC106" s="167"/>
      <c r="BD106" s="167"/>
      <c r="BE106" s="167"/>
      <c r="BF106" s="167"/>
      <c r="BG106" s="167"/>
      <c r="BH106" s="167"/>
      <c r="BI106" s="167"/>
      <c r="BJ106" s="167"/>
      <c r="BK106" s="167"/>
      <c r="BL106" s="167"/>
      <c r="BM106" s="167"/>
      <c r="BN106" s="167"/>
      <c r="BO106" s="167"/>
      <c r="BP106" s="167"/>
      <c r="BQ106" s="167"/>
      <c r="BR106" s="167"/>
      <c r="BS106" s="167"/>
      <c r="BT106" s="167"/>
      <c r="BU106" s="167"/>
      <c r="BV106" s="167"/>
      <c r="BW106" s="167"/>
      <c r="BX106" s="167"/>
      <c r="BY106" s="167"/>
      <c r="BZ106" s="167"/>
      <c r="CA106" s="167"/>
      <c r="CB106" s="167"/>
      <c r="CC106" s="167"/>
      <c r="CD106" s="167"/>
      <c r="CE106" s="167"/>
      <c r="CF106" s="167"/>
      <c r="CG106" s="167"/>
      <c r="CH106" s="167"/>
      <c r="CI106" s="167"/>
      <c r="CJ106" s="167"/>
      <c r="CK106" s="167"/>
      <c r="CL106" s="167"/>
      <c r="CM106" s="167"/>
      <c r="CN106" s="167"/>
      <c r="CO106" s="167"/>
      <c r="CP106" s="167"/>
      <c r="CQ106" s="167"/>
      <c r="CR106" s="167"/>
      <c r="CS106" s="167"/>
      <c r="CT106" s="167"/>
      <c r="CU106" s="167"/>
    </row>
    <row r="107" spans="2:99" ht="18.75" thickTop="1" thickBot="1">
      <c r="B107" s="292" t="s">
        <v>3566</v>
      </c>
      <c r="C107" s="140" cm="1">
        <f t="array" ref="C107">_xlfn.XLOOKUP(C$103,_xlfn.ANCHORARRAY(CALCULES!$A$3),CALCULES!$AA$3:$AA$92)</f>
        <v>55</v>
      </c>
      <c r="D107" s="140" cm="1">
        <f t="array" ref="D107">_xlfn.XLOOKUP(D$103,_xlfn.ANCHORARRAY(CALCULES!$A$3),CALCULES!$AA$3:$AA$92)</f>
        <v>6</v>
      </c>
      <c r="F107" s="169"/>
      <c r="G107" s="167"/>
      <c r="H107" s="167"/>
      <c r="I107" s="167"/>
      <c r="W107" s="167"/>
      <c r="X107" s="167"/>
      <c r="Y107" s="167"/>
      <c r="Z107" s="167"/>
      <c r="AA107" s="167"/>
      <c r="AB107" s="167"/>
      <c r="AC107" s="167"/>
      <c r="AD107" s="167"/>
      <c r="AE107" s="167"/>
      <c r="AF107" s="167"/>
      <c r="AG107" s="167"/>
      <c r="AH107" s="167"/>
      <c r="AI107" s="167"/>
      <c r="AJ107" s="167"/>
      <c r="AK107" s="167"/>
      <c r="AL107" s="167"/>
      <c r="AM107" s="167"/>
      <c r="AN107" s="167"/>
      <c r="AO107" s="167"/>
      <c r="AP107" s="167"/>
      <c r="AQ107" s="167"/>
      <c r="AR107" s="167"/>
      <c r="AS107" s="167"/>
      <c r="AT107" s="167"/>
      <c r="AU107" s="167"/>
      <c r="AV107" s="167"/>
      <c r="AW107" s="167"/>
      <c r="AX107" s="167"/>
      <c r="AY107" s="167"/>
      <c r="AZ107" s="167"/>
      <c r="BA107" s="167"/>
      <c r="BB107" s="167"/>
      <c r="BC107" s="167"/>
      <c r="BD107" s="167"/>
      <c r="BE107" s="167"/>
      <c r="BF107" s="167"/>
      <c r="BG107" s="167"/>
      <c r="BH107" s="167"/>
      <c r="BI107" s="167"/>
      <c r="BJ107" s="167"/>
      <c r="BK107" s="167"/>
      <c r="BL107" s="167"/>
      <c r="BM107" s="167"/>
      <c r="BN107" s="167"/>
      <c r="BO107" s="167"/>
      <c r="BP107" s="167"/>
      <c r="BQ107" s="167"/>
      <c r="BR107" s="167"/>
      <c r="BS107" s="167"/>
      <c r="BT107" s="167"/>
      <c r="BU107" s="167"/>
      <c r="BV107" s="167"/>
      <c r="BW107" s="167"/>
      <c r="BX107" s="167"/>
      <c r="BY107" s="167"/>
      <c r="BZ107" s="167"/>
      <c r="CA107" s="167"/>
      <c r="CB107" s="167"/>
      <c r="CC107" s="167"/>
      <c r="CD107" s="167"/>
      <c r="CE107" s="167"/>
      <c r="CF107" s="167"/>
      <c r="CG107" s="167"/>
      <c r="CH107" s="167"/>
      <c r="CI107" s="167"/>
      <c r="CJ107" s="167"/>
      <c r="CK107" s="167"/>
      <c r="CL107" s="167"/>
      <c r="CM107" s="167"/>
      <c r="CN107" s="167"/>
      <c r="CO107" s="167"/>
      <c r="CP107" s="167"/>
      <c r="CQ107" s="167"/>
      <c r="CR107" s="167"/>
      <c r="CS107" s="167"/>
      <c r="CT107" s="167"/>
      <c r="CU107" s="167"/>
    </row>
    <row r="108" spans="2:99" ht="18.75" thickTop="1" thickBot="1">
      <c r="B108" s="292" t="s">
        <v>3883</v>
      </c>
      <c r="C108" s="140" cm="1">
        <f t="array" ref="C108">_xlfn.XLOOKUP(C$103,_xlfn.ANCHORARRAY(CALCULES!$A$3),CALCULES!$AD$3:$AD$92)</f>
        <v>1</v>
      </c>
      <c r="D108" s="140" cm="1">
        <f t="array" ref="D108">_xlfn.XLOOKUP(D$103,_xlfn.ANCHORARRAY(CALCULES!$A$3),CALCULES!$AD$3:$AD$92)</f>
        <v>0</v>
      </c>
      <c r="F108" s="170"/>
      <c r="G108" s="167"/>
      <c r="H108" s="167"/>
      <c r="I108" s="167"/>
      <c r="W108" s="167"/>
      <c r="X108" s="167"/>
      <c r="Y108" s="167"/>
      <c r="Z108" s="167"/>
      <c r="AA108" s="167"/>
      <c r="AB108" s="167"/>
      <c r="AC108" s="167"/>
      <c r="AD108" s="167"/>
      <c r="AE108" s="167"/>
      <c r="AF108" s="167"/>
      <c r="AG108" s="167"/>
      <c r="AH108" s="167"/>
      <c r="AI108" s="167"/>
      <c r="AJ108" s="167"/>
      <c r="AK108" s="167"/>
      <c r="AL108" s="167"/>
      <c r="AM108" s="167"/>
      <c r="AN108" s="167"/>
      <c r="AO108" s="167"/>
      <c r="AP108" s="167"/>
      <c r="AQ108" s="167"/>
      <c r="AR108" s="167"/>
      <c r="AS108" s="167"/>
      <c r="AT108" s="167"/>
      <c r="AU108" s="167"/>
      <c r="AV108" s="167"/>
      <c r="AW108" s="167"/>
      <c r="AX108" s="167"/>
      <c r="AY108" s="167"/>
      <c r="AZ108" s="167"/>
      <c r="BA108" s="167"/>
      <c r="BB108" s="167"/>
      <c r="BC108" s="167"/>
      <c r="BD108" s="167"/>
      <c r="BE108" s="167"/>
      <c r="BF108" s="167"/>
      <c r="BG108" s="167"/>
      <c r="BH108" s="167"/>
      <c r="BI108" s="167"/>
      <c r="BJ108" s="167"/>
      <c r="BK108" s="167"/>
      <c r="BL108" s="167"/>
      <c r="BM108" s="167"/>
      <c r="BN108" s="167"/>
      <c r="BO108" s="167"/>
      <c r="BP108" s="167"/>
      <c r="BQ108" s="167"/>
      <c r="BR108" s="167"/>
      <c r="BS108" s="167"/>
      <c r="BT108" s="167"/>
      <c r="BU108" s="167"/>
      <c r="BV108" s="167"/>
      <c r="BW108" s="167"/>
      <c r="BX108" s="167"/>
      <c r="BY108" s="167"/>
      <c r="BZ108" s="167"/>
      <c r="CA108" s="167"/>
      <c r="CB108" s="167"/>
      <c r="CC108" s="167"/>
      <c r="CD108" s="167"/>
      <c r="CE108" s="167"/>
      <c r="CF108" s="167"/>
      <c r="CG108" s="167"/>
      <c r="CH108" s="167"/>
      <c r="CI108" s="167"/>
      <c r="CJ108" s="167"/>
      <c r="CK108" s="167"/>
      <c r="CL108" s="167"/>
      <c r="CM108" s="167"/>
      <c r="CN108" s="167"/>
      <c r="CO108" s="167"/>
      <c r="CP108" s="167"/>
      <c r="CQ108" s="167"/>
      <c r="CR108" s="167"/>
      <c r="CS108" s="167"/>
      <c r="CT108" s="167"/>
      <c r="CU108" s="167"/>
    </row>
    <row r="109" spans="2:99" ht="18.75" thickTop="1" thickBot="1">
      <c r="B109" s="292" t="s">
        <v>3568</v>
      </c>
      <c r="C109" s="140" cm="1">
        <f t="array" ref="C109">_xlfn.XLOOKUP(C$103,_xlfn.ANCHORARRAY(CALCULES!$A$3),CALCULES!$AC$3:$AC$92)</f>
        <v>33</v>
      </c>
      <c r="D109" s="140" cm="1">
        <f t="array" ref="D109">_xlfn.XLOOKUP(D$103,_xlfn.ANCHORARRAY(CALCULES!$A$3),CALCULES!$AC$3:$AC$92)</f>
        <v>5</v>
      </c>
      <c r="F109" s="169"/>
      <c r="G109" s="167"/>
      <c r="H109" s="167"/>
      <c r="I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7"/>
      <c r="BA109" s="167"/>
      <c r="BB109" s="167"/>
      <c r="BC109" s="167"/>
      <c r="BD109" s="167"/>
      <c r="BE109" s="167"/>
      <c r="BF109" s="167"/>
      <c r="BG109" s="167"/>
      <c r="BH109" s="167"/>
      <c r="BI109" s="167"/>
      <c r="BJ109" s="167"/>
      <c r="BK109" s="167"/>
      <c r="BL109" s="167"/>
      <c r="BM109" s="167"/>
      <c r="BN109" s="167"/>
      <c r="BO109" s="167"/>
      <c r="BP109" s="167"/>
      <c r="BQ109" s="167"/>
      <c r="BR109" s="167"/>
      <c r="BS109" s="167"/>
      <c r="BT109" s="167"/>
      <c r="BU109" s="167"/>
      <c r="BV109" s="167"/>
      <c r="BW109" s="167"/>
      <c r="BX109" s="167"/>
      <c r="BY109" s="167"/>
      <c r="BZ109" s="167"/>
      <c r="CA109" s="167"/>
      <c r="CB109" s="167"/>
      <c r="CC109" s="167"/>
      <c r="CD109" s="167"/>
      <c r="CE109" s="167"/>
      <c r="CF109" s="167"/>
      <c r="CG109" s="167"/>
      <c r="CH109" s="167"/>
      <c r="CI109" s="167"/>
      <c r="CJ109" s="167"/>
      <c r="CK109" s="167"/>
      <c r="CL109" s="167"/>
      <c r="CM109" s="167"/>
      <c r="CN109" s="167"/>
      <c r="CO109" s="167"/>
      <c r="CP109" s="167"/>
      <c r="CQ109" s="167"/>
      <c r="CR109" s="167"/>
      <c r="CS109" s="167"/>
      <c r="CT109" s="167"/>
      <c r="CU109" s="167"/>
    </row>
    <row r="110" spans="2:99" ht="18.75" thickTop="1" thickBot="1">
      <c r="B110" s="292" t="s">
        <v>3882</v>
      </c>
      <c r="C110" s="140" cm="1">
        <f t="array" ref="C110">_xlfn.XLOOKUP(C$103,_xlfn.ANCHORARRAY(CALCULES!$A$3),CALCULES!$AA$3:$AA$92)</f>
        <v>55</v>
      </c>
      <c r="D110" s="140" cm="1">
        <f t="array" ref="D110">_xlfn.XLOOKUP(D$103,_xlfn.ANCHORARRAY(CALCULES!$A$3),CALCULES!$AA$3:$AA$92)</f>
        <v>6</v>
      </c>
      <c r="F110" s="170"/>
      <c r="G110" s="167"/>
      <c r="H110" s="167"/>
      <c r="I110" s="167"/>
      <c r="W110" s="167"/>
      <c r="X110" s="167"/>
      <c r="Y110" s="167"/>
      <c r="Z110" s="167"/>
      <c r="AA110" s="167"/>
      <c r="AB110" s="167"/>
      <c r="AC110" s="167"/>
      <c r="AD110" s="167"/>
      <c r="AE110" s="167"/>
      <c r="AF110" s="167"/>
      <c r="AG110" s="167"/>
      <c r="AH110" s="167"/>
      <c r="AI110" s="167"/>
      <c r="AJ110" s="167"/>
      <c r="AK110" s="167"/>
      <c r="AL110" s="167"/>
      <c r="AM110" s="167"/>
      <c r="AN110" s="167"/>
      <c r="AO110" s="167"/>
      <c r="AP110" s="167"/>
      <c r="AQ110" s="167"/>
      <c r="AR110" s="167"/>
      <c r="AS110" s="167"/>
      <c r="AT110" s="167"/>
      <c r="AU110" s="167"/>
      <c r="AV110" s="167"/>
      <c r="AW110" s="167"/>
      <c r="AX110" s="167"/>
      <c r="AY110" s="167"/>
      <c r="AZ110" s="167"/>
      <c r="BA110" s="167"/>
      <c r="BB110" s="167"/>
      <c r="BC110" s="167"/>
      <c r="BD110" s="167"/>
      <c r="BE110" s="167"/>
      <c r="BF110" s="167"/>
      <c r="BG110" s="167"/>
      <c r="BH110" s="167"/>
      <c r="BI110" s="167"/>
      <c r="BJ110" s="167"/>
      <c r="BK110" s="167"/>
      <c r="BL110" s="167"/>
      <c r="BM110" s="167"/>
      <c r="BN110" s="167"/>
      <c r="BO110" s="167"/>
      <c r="BP110" s="167"/>
      <c r="BQ110" s="167"/>
      <c r="BR110" s="167"/>
      <c r="BS110" s="167"/>
      <c r="BT110" s="167"/>
      <c r="BU110" s="167"/>
      <c r="BV110" s="167"/>
      <c r="BW110" s="167"/>
      <c r="BX110" s="167"/>
      <c r="BY110" s="167"/>
      <c r="BZ110" s="167"/>
      <c r="CA110" s="167"/>
      <c r="CB110" s="167"/>
      <c r="CC110" s="167"/>
      <c r="CD110" s="167"/>
      <c r="CE110" s="167"/>
      <c r="CF110" s="167"/>
      <c r="CG110" s="167"/>
      <c r="CH110" s="167"/>
      <c r="CI110" s="167"/>
      <c r="CJ110" s="167"/>
      <c r="CK110" s="167"/>
      <c r="CL110" s="167"/>
      <c r="CM110" s="167"/>
      <c r="CN110" s="167"/>
      <c r="CO110" s="167"/>
      <c r="CP110" s="167"/>
      <c r="CQ110" s="167"/>
      <c r="CR110" s="167"/>
      <c r="CS110" s="167"/>
      <c r="CT110" s="167"/>
      <c r="CU110" s="167"/>
    </row>
    <row r="111" spans="2:99" ht="18.75" thickTop="1" thickBot="1">
      <c r="B111" s="292" t="s">
        <v>3</v>
      </c>
      <c r="C111" s="140" cm="1">
        <f t="array" ref="C111">_xlfn.XLOOKUP(C$103,_xlfn.ANCHORARRAY(CALCULES!$A$3),CALCULES!$AH$3:$AH$92)</f>
        <v>79</v>
      </c>
      <c r="D111" s="140" cm="1">
        <f t="array" ref="D111">_xlfn.XLOOKUP(D$103,_xlfn.ANCHORARRAY(CALCULES!$A$3),CALCULES!$AH$3:$AH$92)</f>
        <v>10</v>
      </c>
      <c r="F111" s="169"/>
      <c r="G111" s="167"/>
      <c r="H111" s="167"/>
      <c r="I111" s="167"/>
      <c r="W111" s="167"/>
      <c r="X111" s="167"/>
      <c r="Y111" s="167"/>
      <c r="Z111" s="167"/>
      <c r="AA111" s="167"/>
      <c r="AB111" s="167"/>
      <c r="AC111" s="167"/>
      <c r="AD111" s="167"/>
      <c r="AE111" s="167"/>
      <c r="AF111" s="167"/>
      <c r="AG111" s="167"/>
      <c r="AH111" s="167"/>
      <c r="AI111" s="167"/>
      <c r="AJ111" s="167"/>
      <c r="AK111" s="167"/>
      <c r="AL111" s="167"/>
      <c r="AM111" s="167"/>
      <c r="AN111" s="167"/>
      <c r="AO111" s="167"/>
      <c r="AP111" s="167"/>
      <c r="AQ111" s="167"/>
      <c r="AR111" s="167"/>
      <c r="AS111" s="167"/>
      <c r="AT111" s="167"/>
      <c r="AU111" s="167"/>
      <c r="AV111" s="167"/>
      <c r="AW111" s="167"/>
      <c r="AX111" s="167"/>
      <c r="AY111" s="167"/>
      <c r="AZ111" s="167"/>
      <c r="BA111" s="167"/>
      <c r="BB111" s="167"/>
      <c r="BC111" s="167"/>
      <c r="BD111" s="167"/>
      <c r="BE111" s="167"/>
      <c r="BF111" s="167"/>
      <c r="BG111" s="167"/>
      <c r="BH111" s="167"/>
      <c r="BI111" s="167"/>
      <c r="BJ111" s="167"/>
      <c r="BK111" s="167"/>
      <c r="BL111" s="167"/>
      <c r="BM111" s="167"/>
      <c r="BN111" s="167"/>
      <c r="BO111" s="167"/>
      <c r="BP111" s="167"/>
      <c r="BQ111" s="167"/>
      <c r="BR111" s="167"/>
      <c r="BS111" s="167"/>
      <c r="BT111" s="167"/>
      <c r="BU111" s="167"/>
      <c r="BV111" s="167"/>
      <c r="BW111" s="167"/>
      <c r="BX111" s="167"/>
      <c r="BY111" s="167"/>
      <c r="BZ111" s="167"/>
      <c r="CA111" s="167"/>
      <c r="CB111" s="167"/>
      <c r="CC111" s="167"/>
      <c r="CD111" s="167"/>
      <c r="CE111" s="167"/>
      <c r="CF111" s="167"/>
      <c r="CG111" s="167"/>
      <c r="CH111" s="167"/>
      <c r="CI111" s="167"/>
      <c r="CJ111" s="167"/>
      <c r="CK111" s="167"/>
      <c r="CL111" s="167"/>
      <c r="CM111" s="167"/>
      <c r="CN111" s="167"/>
      <c r="CO111" s="167"/>
      <c r="CP111" s="167"/>
      <c r="CQ111" s="167"/>
      <c r="CR111" s="167"/>
      <c r="CS111" s="167"/>
      <c r="CT111" s="167"/>
      <c r="CU111" s="167"/>
    </row>
    <row r="112" spans="2:99" ht="17.25" thickTop="1" thickBot="1">
      <c r="B112" s="292" t="s">
        <v>3925</v>
      </c>
      <c r="C112" s="140" cm="1">
        <f t="array" ref="C112">_xlfn.XLOOKUP(C$103,_xlfn.ANCHORARRAY(CALCULES!$A$3),CALCULES!AM3:AM92)</f>
        <v>1.58</v>
      </c>
      <c r="D112" s="140" cm="1">
        <f t="array" ref="D112">_xlfn.XLOOKUP(D$103,_xlfn.ANCHORARRAY(CALCULES!$A$3),CALCULES!AM3:AM92)</f>
        <v>1.33</v>
      </c>
      <c r="F112" s="167"/>
      <c r="G112" s="167"/>
      <c r="H112" s="167"/>
      <c r="I112" s="167"/>
      <c r="W112" s="167"/>
      <c r="X112" s="167"/>
      <c r="Y112" s="167"/>
      <c r="Z112" s="167"/>
      <c r="AA112" s="167"/>
      <c r="AB112" s="167"/>
      <c r="AC112" s="167"/>
      <c r="AD112" s="167"/>
      <c r="AE112" s="167"/>
      <c r="AF112" s="167"/>
      <c r="AG112" s="167"/>
      <c r="AH112" s="167"/>
      <c r="AI112" s="167"/>
      <c r="AJ112" s="167"/>
      <c r="AK112" s="167"/>
      <c r="AL112" s="167"/>
      <c r="AM112" s="167"/>
      <c r="AN112" s="167"/>
      <c r="AO112" s="167"/>
      <c r="AP112" s="167"/>
      <c r="AQ112" s="167"/>
      <c r="AR112" s="167"/>
      <c r="AS112" s="167"/>
      <c r="AT112" s="167"/>
      <c r="AU112" s="167"/>
      <c r="AV112" s="167"/>
      <c r="AW112" s="167"/>
      <c r="AX112" s="167"/>
      <c r="AY112" s="167"/>
      <c r="AZ112" s="167"/>
      <c r="BA112" s="167"/>
      <c r="BB112" s="167"/>
      <c r="BC112" s="167"/>
      <c r="BD112" s="167"/>
      <c r="BE112" s="167"/>
      <c r="BF112" s="167"/>
      <c r="BG112" s="167"/>
      <c r="BH112" s="167"/>
      <c r="BI112" s="167"/>
      <c r="BJ112" s="167"/>
      <c r="BK112" s="167"/>
      <c r="BL112" s="167"/>
      <c r="BM112" s="167"/>
      <c r="BN112" s="167"/>
      <c r="BO112" s="167"/>
      <c r="BP112" s="167"/>
      <c r="BQ112" s="167"/>
      <c r="BR112" s="167"/>
      <c r="BS112" s="167"/>
      <c r="BT112" s="167"/>
      <c r="BU112" s="167"/>
      <c r="BV112" s="167"/>
      <c r="BW112" s="167"/>
      <c r="BX112" s="167"/>
      <c r="BY112" s="167"/>
      <c r="BZ112" s="167"/>
      <c r="CA112" s="167"/>
      <c r="CB112" s="167"/>
      <c r="CC112" s="167"/>
      <c r="CD112" s="167"/>
      <c r="CE112" s="167"/>
      <c r="CF112" s="167"/>
      <c r="CG112" s="167"/>
      <c r="CH112" s="167"/>
      <c r="CI112" s="167"/>
      <c r="CJ112" s="167"/>
      <c r="CK112" s="167"/>
      <c r="CL112" s="167"/>
      <c r="CM112" s="167"/>
      <c r="CN112" s="167"/>
      <c r="CO112" s="167"/>
      <c r="CP112" s="167"/>
      <c r="CQ112" s="167"/>
      <c r="CR112" s="167"/>
      <c r="CS112" s="167"/>
      <c r="CT112" s="167"/>
      <c r="CU112" s="167"/>
    </row>
    <row r="113" spans="2:99" ht="22.5" thickTop="1" thickBot="1">
      <c r="B113" s="292" t="s">
        <v>3926</v>
      </c>
      <c r="C113" s="140" cm="1">
        <f t="array" ref="C113">ROUND(_xlfn.XLOOKUP(C$103,_xlfn.ANCHORARRAY(CALCULES!$A$3),CALCULES!AH3:AH92)/_xlfn.XLOOKUP(C$103,_xlfn.ANCHORARRAY(CALCULES!$A$3),CALCULES!AA3:AA92),2)</f>
        <v>1.44</v>
      </c>
      <c r="D113" s="140" cm="1">
        <f t="array" ref="D113">ROUND(_xlfn.XLOOKUP(D$103,_xlfn.ANCHORARRAY(CALCULES!$A$3),CALCULES!AH3:AH92)/_xlfn.XLOOKUP(D$103,_xlfn.ANCHORARRAY(CALCULES!$A$3),CALCULES!AA3:AA92),2)</f>
        <v>1.67</v>
      </c>
      <c r="F113" s="168"/>
      <c r="G113" s="167"/>
      <c r="H113" s="167"/>
      <c r="I113" s="167"/>
      <c r="W113" s="167"/>
      <c r="X113" s="167"/>
      <c r="Y113" s="167"/>
      <c r="Z113" s="167"/>
      <c r="AA113" s="167"/>
      <c r="AB113" s="167"/>
      <c r="AC113" s="167"/>
      <c r="AD113" s="167"/>
      <c r="AE113" s="167"/>
      <c r="AF113" s="167"/>
      <c r="AG113" s="167"/>
      <c r="AH113" s="167"/>
      <c r="AI113" s="167"/>
      <c r="AJ113" s="167"/>
      <c r="AK113" s="167"/>
      <c r="AL113" s="167"/>
      <c r="AM113" s="167"/>
      <c r="AN113" s="167"/>
      <c r="AO113" s="167"/>
      <c r="AP113" s="167"/>
      <c r="AQ113" s="167"/>
      <c r="AR113" s="167"/>
      <c r="AS113" s="167"/>
      <c r="AT113" s="167"/>
      <c r="AU113" s="167"/>
      <c r="AV113" s="167"/>
      <c r="AW113" s="167"/>
      <c r="AX113" s="167"/>
      <c r="AY113" s="167"/>
      <c r="AZ113" s="167"/>
      <c r="BA113" s="167"/>
      <c r="BB113" s="167"/>
      <c r="BC113" s="167"/>
      <c r="BD113" s="167"/>
      <c r="BE113" s="167"/>
      <c r="BF113" s="167"/>
      <c r="BG113" s="167"/>
      <c r="BH113" s="167"/>
      <c r="BI113" s="167"/>
      <c r="BJ113" s="167"/>
      <c r="BK113" s="167"/>
      <c r="BL113" s="167"/>
      <c r="BM113" s="167"/>
      <c r="BN113" s="167"/>
      <c r="BO113" s="167"/>
      <c r="BP113" s="167"/>
      <c r="BQ113" s="167"/>
      <c r="BR113" s="167"/>
      <c r="BS113" s="167"/>
      <c r="BT113" s="167"/>
      <c r="BU113" s="167"/>
      <c r="BV113" s="167"/>
      <c r="BW113" s="167"/>
      <c r="BX113" s="167"/>
      <c r="BY113" s="167"/>
      <c r="BZ113" s="167"/>
      <c r="CA113" s="167"/>
      <c r="CB113" s="167"/>
      <c r="CC113" s="167"/>
      <c r="CD113" s="167"/>
      <c r="CE113" s="167"/>
      <c r="CF113" s="167"/>
      <c r="CG113" s="167"/>
      <c r="CH113" s="167"/>
      <c r="CI113" s="167"/>
      <c r="CJ113" s="167"/>
      <c r="CK113" s="167"/>
      <c r="CL113" s="167"/>
      <c r="CM113" s="167"/>
      <c r="CN113" s="167"/>
      <c r="CO113" s="167"/>
      <c r="CP113" s="167"/>
      <c r="CQ113" s="167"/>
      <c r="CR113" s="167"/>
      <c r="CS113" s="167"/>
      <c r="CT113" s="167"/>
      <c r="CU113" s="167"/>
    </row>
    <row r="114" spans="2:99" ht="18.75" thickTop="1" thickBot="1">
      <c r="B114" s="292" t="s">
        <v>3927</v>
      </c>
      <c r="C114" s="140" cm="1">
        <f t="array" ref="C114">_xlfn.XLOOKUP(C$103,_xlfn.ANCHORARRAY(CALCULES!$A$3),CALCULES!$AL$3:$AL$92)</f>
        <v>0</v>
      </c>
      <c r="D114" s="140" cm="1">
        <f t="array" ref="D114">_xlfn.XLOOKUP(D$103,_xlfn.ANCHORARRAY(CALCULES!$A$3),CALCULES!$AL$3:$AL$92)</f>
        <v>-1.5</v>
      </c>
      <c r="F114" s="169"/>
      <c r="G114" s="167"/>
      <c r="H114" s="167"/>
      <c r="I114" s="167"/>
      <c r="W114" s="167"/>
      <c r="X114" s="167"/>
      <c r="Y114" s="167"/>
      <c r="Z114" s="167"/>
      <c r="AA114" s="167"/>
      <c r="AB114" s="167"/>
      <c r="AC114" s="167"/>
      <c r="AD114" s="167"/>
      <c r="AE114" s="167"/>
      <c r="AF114" s="167"/>
      <c r="AG114" s="167"/>
      <c r="AH114" s="167"/>
      <c r="AI114" s="167"/>
      <c r="AJ114" s="167"/>
      <c r="AK114" s="167"/>
      <c r="AL114" s="167"/>
      <c r="AM114" s="167"/>
      <c r="AN114" s="167"/>
      <c r="AO114" s="167"/>
      <c r="AP114" s="167"/>
      <c r="AQ114" s="167"/>
      <c r="AR114" s="167"/>
      <c r="AS114" s="167"/>
      <c r="AT114" s="167"/>
      <c r="AU114" s="167"/>
      <c r="AV114" s="167"/>
      <c r="AW114" s="167"/>
      <c r="AX114" s="167"/>
      <c r="AY114" s="167"/>
      <c r="AZ114" s="167"/>
      <c r="BA114" s="167"/>
      <c r="BB114" s="167"/>
      <c r="BC114" s="167"/>
      <c r="BD114" s="167"/>
      <c r="BE114" s="167"/>
      <c r="BF114" s="167"/>
      <c r="BG114" s="167"/>
      <c r="BH114" s="167"/>
      <c r="BI114" s="167"/>
      <c r="BJ114" s="167"/>
      <c r="BK114" s="167"/>
      <c r="BL114" s="167"/>
      <c r="BM114" s="167"/>
      <c r="BN114" s="167"/>
      <c r="BO114" s="167"/>
      <c r="BP114" s="167"/>
      <c r="BQ114" s="167"/>
      <c r="BR114" s="167"/>
      <c r="BS114" s="167"/>
      <c r="BT114" s="167"/>
      <c r="BU114" s="167"/>
      <c r="BV114" s="167"/>
      <c r="BW114" s="167"/>
      <c r="BX114" s="167"/>
      <c r="BY114" s="167"/>
      <c r="BZ114" s="167"/>
      <c r="CA114" s="167"/>
      <c r="CB114" s="167"/>
      <c r="CC114" s="167"/>
      <c r="CD114" s="167"/>
      <c r="CE114" s="167"/>
      <c r="CF114" s="167"/>
      <c r="CG114" s="167"/>
      <c r="CH114" s="167"/>
      <c r="CI114" s="167"/>
      <c r="CJ114" s="167"/>
      <c r="CK114" s="167"/>
      <c r="CL114" s="167"/>
      <c r="CM114" s="167"/>
      <c r="CN114" s="167"/>
      <c r="CO114" s="167"/>
      <c r="CP114" s="167"/>
      <c r="CQ114" s="167"/>
      <c r="CR114" s="167"/>
      <c r="CS114" s="167"/>
      <c r="CT114" s="167"/>
      <c r="CU114" s="167"/>
    </row>
    <row r="115" spans="2:99" ht="18.75" thickTop="1" thickBot="1">
      <c r="B115" s="292" t="s">
        <v>3859</v>
      </c>
      <c r="C115" s="140" cm="1">
        <f t="array" ref="C115">_xlfn.XLOOKUP(C$103,_xlfn.ANCHORARRAY(CALCULES!$A$3),CALCULES!$BB$3:$BB$92)</f>
        <v>24.92</v>
      </c>
      <c r="D115" s="140" cm="1">
        <f t="array" ref="D115">_xlfn.XLOOKUP(D$103,_xlfn.ANCHORARRAY(CALCULES!$A$3),CALCULES!$BB$3:$BB$92)</f>
        <v>3.86</v>
      </c>
      <c r="F115" s="170"/>
      <c r="G115" s="167"/>
      <c r="H115" s="167"/>
      <c r="I115" s="167"/>
      <c r="W115" s="167"/>
      <c r="X115" s="167"/>
      <c r="Y115" s="167"/>
      <c r="Z115" s="167"/>
      <c r="AA115" s="167"/>
      <c r="AB115" s="167"/>
      <c r="AC115" s="167"/>
      <c r="AD115" s="167"/>
      <c r="AE115" s="167"/>
      <c r="AF115" s="167"/>
      <c r="AG115" s="167"/>
      <c r="AH115" s="167"/>
      <c r="AI115" s="167"/>
      <c r="AJ115" s="167"/>
      <c r="AK115" s="167"/>
      <c r="AL115" s="167"/>
      <c r="AM115" s="167"/>
      <c r="AN115" s="167"/>
      <c r="AO115" s="167"/>
      <c r="AP115" s="167"/>
      <c r="AQ115" s="167"/>
      <c r="AR115" s="167"/>
      <c r="AS115" s="167"/>
      <c r="AT115" s="167"/>
      <c r="AU115" s="167"/>
      <c r="AV115" s="167"/>
      <c r="AW115" s="167"/>
      <c r="AX115" s="167"/>
      <c r="AY115" s="167"/>
      <c r="AZ115" s="167"/>
      <c r="BA115" s="167"/>
      <c r="BB115" s="167"/>
      <c r="BC115" s="167"/>
      <c r="BD115" s="167"/>
      <c r="BE115" s="167"/>
      <c r="BF115" s="167"/>
      <c r="BG115" s="167"/>
      <c r="BH115" s="167"/>
      <c r="BI115" s="167"/>
      <c r="BJ115" s="167"/>
      <c r="BK115" s="167"/>
      <c r="BL115" s="167"/>
      <c r="BM115" s="167"/>
      <c r="BN115" s="167"/>
      <c r="BO115" s="167"/>
      <c r="BP115" s="167"/>
      <c r="BQ115" s="167"/>
      <c r="BR115" s="167"/>
      <c r="BS115" s="167"/>
      <c r="BT115" s="167"/>
      <c r="BU115" s="167"/>
      <c r="BV115" s="167"/>
      <c r="BW115" s="167"/>
      <c r="BX115" s="167"/>
      <c r="BY115" s="167"/>
      <c r="BZ115" s="167"/>
      <c r="CA115" s="167"/>
      <c r="CB115" s="167"/>
      <c r="CC115" s="167"/>
      <c r="CD115" s="167"/>
      <c r="CE115" s="167"/>
      <c r="CF115" s="167"/>
      <c r="CG115" s="167"/>
      <c r="CH115" s="167"/>
      <c r="CI115" s="167"/>
      <c r="CJ115" s="167"/>
      <c r="CK115" s="167"/>
      <c r="CL115" s="167"/>
      <c r="CM115" s="167"/>
      <c r="CN115" s="167"/>
      <c r="CO115" s="167"/>
      <c r="CP115" s="167"/>
      <c r="CQ115" s="167"/>
      <c r="CR115" s="167"/>
      <c r="CS115" s="167"/>
      <c r="CT115" s="167"/>
      <c r="CU115" s="167"/>
    </row>
    <row r="116" spans="2:99" ht="18.75" thickTop="1" thickBot="1">
      <c r="B116" s="292" t="s">
        <v>3856</v>
      </c>
      <c r="C116" s="140" cm="1">
        <f t="array" ref="C116">_xlfn.XLOOKUP(C$103,_xlfn.ANCHORARRAY(CALCULES!$A$3),CALCULES!$BC$3:$BC$92)</f>
        <v>23.38</v>
      </c>
      <c r="D116" s="140" cm="1">
        <f t="array" ref="D116">_xlfn.XLOOKUP(D$103,_xlfn.ANCHORARRAY(CALCULES!$A$3),CALCULES!$BC$3:$BC$92)</f>
        <v>3.31</v>
      </c>
      <c r="F116" s="170"/>
      <c r="G116" s="167"/>
      <c r="H116" s="167"/>
      <c r="I116" s="167"/>
      <c r="W116" s="167"/>
      <c r="X116" s="167"/>
      <c r="Y116" s="167"/>
      <c r="Z116" s="167"/>
      <c r="AA116" s="167"/>
      <c r="AB116" s="167"/>
      <c r="AC116" s="167"/>
      <c r="AD116" s="167"/>
      <c r="AE116" s="167"/>
      <c r="AF116" s="167"/>
      <c r="AG116" s="167"/>
      <c r="AH116" s="167"/>
      <c r="AI116" s="167"/>
      <c r="AJ116" s="167"/>
      <c r="AK116" s="167"/>
      <c r="AL116" s="167"/>
      <c r="AM116" s="167"/>
      <c r="AN116" s="167"/>
      <c r="AO116" s="167"/>
      <c r="AP116" s="167"/>
      <c r="AQ116" s="167"/>
      <c r="AR116" s="167"/>
      <c r="AS116" s="167"/>
      <c r="AT116" s="167"/>
      <c r="AU116" s="167"/>
      <c r="AV116" s="167"/>
      <c r="AW116" s="167"/>
      <c r="AX116" s="167"/>
      <c r="AY116" s="167"/>
      <c r="AZ116" s="167"/>
      <c r="BA116" s="167"/>
      <c r="BB116" s="167"/>
      <c r="BC116" s="167"/>
      <c r="BD116" s="167"/>
      <c r="BE116" s="167"/>
      <c r="BF116" s="167"/>
      <c r="BG116" s="167"/>
      <c r="BH116" s="167"/>
      <c r="BI116" s="167"/>
      <c r="BJ116" s="167"/>
      <c r="BK116" s="167"/>
      <c r="BL116" s="167"/>
      <c r="BM116" s="167"/>
      <c r="BN116" s="167"/>
      <c r="BO116" s="167"/>
      <c r="BP116" s="167"/>
      <c r="BQ116" s="167"/>
      <c r="BR116" s="167"/>
      <c r="BS116" s="167"/>
      <c r="BT116" s="167"/>
      <c r="BU116" s="167"/>
      <c r="BV116" s="167"/>
      <c r="BW116" s="167"/>
      <c r="BX116" s="167"/>
      <c r="BY116" s="167"/>
      <c r="BZ116" s="167"/>
      <c r="CA116" s="167"/>
      <c r="CB116" s="167"/>
      <c r="CC116" s="167"/>
      <c r="CD116" s="167"/>
      <c r="CE116" s="167"/>
      <c r="CF116" s="167"/>
      <c r="CG116" s="167"/>
      <c r="CH116" s="167"/>
      <c r="CI116" s="167"/>
      <c r="CJ116" s="167"/>
      <c r="CK116" s="167"/>
      <c r="CL116" s="167"/>
      <c r="CM116" s="167"/>
      <c r="CN116" s="167"/>
      <c r="CO116" s="167"/>
      <c r="CP116" s="167"/>
      <c r="CQ116" s="167"/>
      <c r="CR116" s="167"/>
      <c r="CS116" s="167"/>
      <c r="CT116" s="167"/>
      <c r="CU116" s="167"/>
    </row>
    <row r="117" spans="2:99" ht="18.75" thickTop="1" thickBot="1">
      <c r="B117" s="292" t="s">
        <v>3885</v>
      </c>
      <c r="C117" s="140" cm="1">
        <f t="array" ref="C117">_xlfn.XLOOKUP(C$103,_xlfn.ANCHORARRAY(CALCULES!$A$3),CALCULES!$BD$3:$BD$92)</f>
        <v>24.15</v>
      </c>
      <c r="D117" s="140" cm="1">
        <f t="array" ref="D117">_xlfn.XLOOKUP(D$103,_xlfn.ANCHORARRAY(CALCULES!$A$3),CALCULES!$BD$3:$BD$92)</f>
        <v>3.59</v>
      </c>
      <c r="F117" s="169"/>
      <c r="G117" s="167"/>
      <c r="H117" s="167"/>
      <c r="I117" s="167"/>
      <c r="W117" s="167"/>
      <c r="X117" s="167"/>
      <c r="Y117" s="167"/>
      <c r="Z117" s="167"/>
      <c r="AA117" s="167"/>
      <c r="AB117" s="167"/>
      <c r="AC117" s="167"/>
      <c r="AD117" s="167"/>
      <c r="AE117" s="167"/>
      <c r="AF117" s="167"/>
      <c r="AG117" s="167"/>
      <c r="AH117" s="167"/>
      <c r="AI117" s="167"/>
      <c r="AJ117" s="167"/>
      <c r="AK117" s="167"/>
      <c r="AL117" s="167"/>
      <c r="AM117" s="167"/>
      <c r="AN117" s="167"/>
      <c r="AO117" s="167"/>
      <c r="AP117" s="167"/>
      <c r="AQ117" s="167"/>
      <c r="AR117" s="167"/>
      <c r="AS117" s="167"/>
      <c r="AT117" s="167"/>
      <c r="AU117" s="167"/>
      <c r="AV117" s="167"/>
      <c r="AW117" s="167"/>
      <c r="AX117" s="167"/>
      <c r="AY117" s="167"/>
      <c r="AZ117" s="167"/>
      <c r="BA117" s="167"/>
      <c r="BB117" s="167"/>
      <c r="BC117" s="167"/>
      <c r="BD117" s="167"/>
      <c r="BE117" s="167"/>
      <c r="BF117" s="167"/>
      <c r="BG117" s="167"/>
      <c r="BH117" s="167"/>
      <c r="BI117" s="167"/>
      <c r="BJ117" s="167"/>
      <c r="BK117" s="167"/>
      <c r="BL117" s="167"/>
      <c r="BM117" s="167"/>
      <c r="BN117" s="167"/>
      <c r="BO117" s="167"/>
      <c r="BP117" s="167"/>
      <c r="BQ117" s="167"/>
      <c r="BR117" s="167"/>
      <c r="BS117" s="167"/>
      <c r="BT117" s="167"/>
      <c r="BU117" s="167"/>
      <c r="BV117" s="167"/>
      <c r="BW117" s="167"/>
      <c r="BX117" s="167"/>
      <c r="BY117" s="167"/>
      <c r="BZ117" s="167"/>
      <c r="CA117" s="167"/>
      <c r="CB117" s="167"/>
      <c r="CC117" s="167"/>
      <c r="CD117" s="167"/>
      <c r="CE117" s="167"/>
      <c r="CF117" s="167"/>
      <c r="CG117" s="167"/>
      <c r="CH117" s="167"/>
      <c r="CI117" s="167"/>
      <c r="CJ117" s="167"/>
      <c r="CK117" s="167"/>
      <c r="CL117" s="167"/>
      <c r="CM117" s="167"/>
      <c r="CN117" s="167"/>
      <c r="CO117" s="167"/>
      <c r="CP117" s="167"/>
      <c r="CQ117" s="167"/>
      <c r="CR117" s="167"/>
      <c r="CS117" s="167"/>
      <c r="CT117" s="167"/>
      <c r="CU117" s="167"/>
    </row>
    <row r="118" spans="2:99" ht="33" thickTop="1" thickBot="1">
      <c r="B118" s="293" t="s">
        <v>3928</v>
      </c>
      <c r="C118" s="141" t="str" cm="1">
        <f t="array" ref="C118">IFERROR(
_xlfn.LET(
_xlpm.Equipe,C$103,
_xlpm.Masque,((DATA_CLEANED!$AK$3:$AK$1060=_xlpm.Equipe)+(DATA_CLEANED!$AN$3:$AN$1060=_xlpm.Equipe))&gt;0,
_xlpm.Dom,_xlfn._xlws.FILTER(DATA_CLEANED!$AK$3:$AK$1060,_xlpm.Masque),
_xlpm.ButsDom,_xlfn._xlws.FILTER(DATA_CLEANED!$AL$3:$AL$1060,_xlpm.Masque),
_xlpm.ButsExt,_xlfn._xlws.FILTER(DATA_CLEANED!$AM$3:$AM$1060,_xlpm.Masque),
_xlpm.Ext,_xlfn._xlws.FILTER(DATA_CLEANED!$AN$3:$AN$1060,_xlpm.Masque),
_xlpm.ConditionVictoire,_xlfn._xlws.FILTER(DATA_CLEANED!$AO$3:$AO$1060,_xlpm.Masque),
_xlpm.NbMatchs,MIN(5,ROWS(_xlpm.Dom)),
_xlpm.IndexRecents,_xlfn.SEQUENCE(_xlpm.NbMatchs,1,ROWS(_xlpm.Dom)-_xlpm.NbMatchs+1,1),
_xlpm.ListeDom,INDEX(_xlpm.Dom,_xlpm.IndexRecents),
_xlpm.ListeButsDom,INDEX(_xlpm.ButsDom,_xlpm.IndexRecents),
_xlpm.ListeButsExt,INDEX(_xlpm.ButsExt,_xlpm.IndexRecents),
_xlpm.ListeExt,INDEX(_xlpm.Ext,_xlpm.IndexRecents),
_xlpm.ListeConditions,INDEX(_xlpm.ConditionVictoire,_xlpm.IndexRecents),
_xlpm.Victoires,SUMPRODUCT(
--(
(
(_xlpm.ListeDom=_xlpm.Equipe)*(_xlpm.ListeButsDom&gt;_xlpm.ListeButsExt)
+
(_xlpm.ListeExt=_xlpm.Equipe)*(_xlpm.ListeButsExt&gt;_xlpm.ListeButsDom)
+
(_xlpm.ListeButsDom=_xlpm.ListeButsExt)*ISNUMBER(SEARCH(_xlpm.Equipe,_xlpm.ListeConditions))
)&gt;0
)
),
_xlpm.Victoires&amp;"/"&amp;_xlpm.NbMatchs
),
"0/0"
)</f>
        <v>1/5</v>
      </c>
      <c r="D118" s="141" t="str" cm="1">
        <f t="array" ref="D118">IFERROR(
_xlfn.LET(
_xlpm.Equipe,D$103,
_xlpm.Masque,((DATA_CLEANED!$AK$3:$AK$1060=_xlpm.Equipe)+(DATA_CLEANED!$AN$3:$AN$1060=_xlpm.Equipe))&gt;0,
_xlpm.Dom,_xlfn._xlws.FILTER(DATA_CLEANED!$AK$3:$AK$1060,_xlpm.Masque),
_xlpm.ButsDom,_xlfn._xlws.FILTER(DATA_CLEANED!$AL$3:$AL$1060,_xlpm.Masque),
_xlpm.ButsExt,_xlfn._xlws.FILTER(DATA_CLEANED!$AM$3:$AM$1060,_xlpm.Masque),
_xlpm.Ext,_xlfn._xlws.FILTER(DATA_CLEANED!$AN$3:$AN$1060,_xlpm.Masque),
_xlpm.ConditionVictoire,_xlfn._xlws.FILTER(DATA_CLEANED!$AO$3:$AO$1060,_xlpm.Masque),
_xlpm.NbMatchs,MIN(5,ROWS(_xlpm.Dom)),
_xlpm.IndexRecents,_xlfn.SEQUENCE(_xlpm.NbMatchs,1,ROWS(_xlpm.Dom)-_xlpm.NbMatchs+1,1),
_xlpm.ListeDom,INDEX(_xlpm.Dom,_xlpm.IndexRecents),
_xlpm.ListeButsDom,INDEX(_xlpm.ButsDom,_xlpm.IndexRecents),
_xlpm.ListeButsExt,INDEX(_xlpm.ButsExt,_xlpm.IndexRecents),
_xlpm.ListeExt,INDEX(_xlpm.Ext,_xlpm.IndexRecents),
_xlpm.ListeConditions,INDEX(_xlpm.ConditionVictoire,_xlpm.IndexRecents),
_xlpm.Victoires,SUMPRODUCT(
--(
(
(_xlpm.ListeDom=_xlpm.Equipe)*(_xlpm.ListeButsDom&gt;_xlpm.ListeButsExt)
+
(_xlpm.ListeExt=_xlpm.Equipe)*(_xlpm.ListeButsExt&gt;_xlpm.ListeButsDom)
+
(_xlpm.ListeButsDom=_xlpm.ListeButsExt)*ISNUMBER(SEARCH(_xlpm.Equipe,_xlpm.ListeConditions))
)&gt;0
)
),
_xlpm.Victoires&amp;"/"&amp;_xlpm.NbMatchs
),
"0/0"
)</f>
        <v>0/5</v>
      </c>
      <c r="F118" s="169"/>
      <c r="G118" s="167"/>
      <c r="H118" s="167"/>
      <c r="I118" s="167"/>
      <c r="W118" s="167"/>
      <c r="X118" s="167"/>
      <c r="Y118" s="167"/>
      <c r="Z118" s="167"/>
      <c r="AA118" s="167"/>
      <c r="AB118" s="167"/>
      <c r="AC118" s="167"/>
      <c r="AD118" s="167"/>
      <c r="AE118" s="167"/>
      <c r="AF118" s="167"/>
      <c r="AG118" s="167"/>
      <c r="AH118" s="167"/>
      <c r="AI118" s="167"/>
      <c r="AJ118" s="167"/>
      <c r="AK118" s="167"/>
      <c r="AL118" s="167"/>
      <c r="AM118" s="167"/>
      <c r="AN118" s="167"/>
      <c r="AO118" s="167"/>
      <c r="AP118" s="167"/>
      <c r="AQ118" s="167"/>
      <c r="AR118" s="167"/>
      <c r="AS118" s="167"/>
      <c r="AT118" s="167"/>
      <c r="AU118" s="167"/>
      <c r="AV118" s="167"/>
      <c r="AW118" s="167"/>
      <c r="AX118" s="167"/>
      <c r="AY118" s="167"/>
      <c r="AZ118" s="167"/>
      <c r="BA118" s="167"/>
      <c r="BB118" s="167"/>
      <c r="BC118" s="167"/>
      <c r="BD118" s="167"/>
      <c r="BE118" s="167"/>
      <c r="BF118" s="167"/>
      <c r="BG118" s="167"/>
      <c r="BH118" s="167"/>
      <c r="BI118" s="167"/>
      <c r="BJ118" s="167"/>
      <c r="BK118" s="167"/>
      <c r="BL118" s="167"/>
      <c r="BM118" s="167"/>
      <c r="BN118" s="167"/>
      <c r="BO118" s="167"/>
      <c r="BP118" s="167"/>
      <c r="BQ118" s="167"/>
      <c r="BR118" s="167"/>
      <c r="BS118" s="167"/>
      <c r="BT118" s="167"/>
      <c r="BU118" s="167"/>
      <c r="BV118" s="167"/>
      <c r="BW118" s="167"/>
      <c r="BX118" s="167"/>
      <c r="BY118" s="167"/>
      <c r="BZ118" s="167"/>
      <c r="CA118" s="167"/>
      <c r="CB118" s="167"/>
      <c r="CC118" s="167"/>
      <c r="CD118" s="167"/>
      <c r="CE118" s="167"/>
      <c r="CF118" s="167"/>
      <c r="CG118" s="167"/>
      <c r="CH118" s="167"/>
      <c r="CI118" s="167"/>
      <c r="CJ118" s="167"/>
      <c r="CK118" s="167"/>
      <c r="CL118" s="167"/>
      <c r="CM118" s="167"/>
      <c r="CN118" s="167"/>
      <c r="CO118" s="167"/>
      <c r="CP118" s="167"/>
      <c r="CQ118" s="167"/>
      <c r="CR118" s="167"/>
      <c r="CS118" s="167"/>
      <c r="CT118" s="167"/>
      <c r="CU118" s="167"/>
    </row>
    <row r="119" spans="2:99" ht="18.75" thickTop="1" thickBot="1">
      <c r="B119" s="292" t="s">
        <v>3929</v>
      </c>
      <c r="C119" s="141" t="str">
        <f>TEXT(CALCULES!$BG$40,"0,00")&amp;" but attendu"</f>
        <v>1,60 but attendu</v>
      </c>
      <c r="D119" s="141" t="str">
        <f>TEXT(CALCULES!$BG$41,"0,00")&amp;" but attendu"</f>
        <v>1,12 but attendu</v>
      </c>
      <c r="F119" s="170"/>
      <c r="G119" s="167"/>
      <c r="H119" s="167"/>
      <c r="I119" s="167"/>
      <c r="W119" s="167"/>
      <c r="X119" s="167"/>
      <c r="Y119" s="167"/>
      <c r="Z119" s="167"/>
      <c r="AA119" s="167"/>
      <c r="AB119" s="167"/>
      <c r="AC119" s="167"/>
      <c r="AD119" s="167"/>
      <c r="AE119" s="167"/>
      <c r="AF119" s="167"/>
      <c r="AG119" s="167"/>
      <c r="AH119" s="167"/>
      <c r="AI119" s="167"/>
      <c r="AJ119" s="167"/>
      <c r="AK119" s="167"/>
      <c r="AL119" s="167"/>
      <c r="AM119" s="167"/>
      <c r="AN119" s="167"/>
      <c r="AO119" s="167"/>
      <c r="AP119" s="167"/>
      <c r="AQ119" s="167"/>
      <c r="AR119" s="167"/>
      <c r="AS119" s="167"/>
      <c r="AT119" s="167"/>
      <c r="AU119" s="167"/>
      <c r="AV119" s="167"/>
      <c r="AW119" s="167"/>
      <c r="AX119" s="167"/>
      <c r="AY119" s="167"/>
      <c r="AZ119" s="167"/>
      <c r="BA119" s="167"/>
      <c r="BB119" s="167"/>
      <c r="BC119" s="167"/>
      <c r="BD119" s="167"/>
      <c r="BE119" s="167"/>
      <c r="BF119" s="167"/>
      <c r="BG119" s="167"/>
      <c r="BH119" s="167"/>
      <c r="BI119" s="167"/>
      <c r="BJ119" s="167"/>
      <c r="BK119" s="167"/>
      <c r="BL119" s="167"/>
      <c r="BM119" s="167"/>
      <c r="BN119" s="167"/>
      <c r="BO119" s="167"/>
      <c r="BP119" s="167"/>
      <c r="BQ119" s="167"/>
      <c r="BR119" s="167"/>
      <c r="BS119" s="167"/>
      <c r="BT119" s="167"/>
      <c r="BU119" s="167"/>
      <c r="BV119" s="167"/>
      <c r="BW119" s="167"/>
      <c r="BX119" s="167"/>
      <c r="BY119" s="167"/>
      <c r="BZ119" s="167"/>
      <c r="CA119" s="167"/>
      <c r="CB119" s="167"/>
      <c r="CC119" s="167"/>
      <c r="CD119" s="167"/>
      <c r="CE119" s="167"/>
      <c r="CF119" s="167"/>
      <c r="CG119" s="167"/>
      <c r="CH119" s="167"/>
      <c r="CI119" s="167"/>
      <c r="CJ119" s="167"/>
      <c r="CK119" s="167"/>
      <c r="CL119" s="167"/>
      <c r="CM119" s="167"/>
      <c r="CN119" s="167"/>
      <c r="CO119" s="167"/>
      <c r="CP119" s="167"/>
      <c r="CQ119" s="167"/>
      <c r="CR119" s="167"/>
      <c r="CS119" s="167"/>
      <c r="CT119" s="167"/>
      <c r="CU119" s="167"/>
    </row>
    <row r="120" spans="2:99" ht="18.75" thickTop="1" thickBot="1">
      <c r="B120" s="292" t="s">
        <v>3930</v>
      </c>
      <c r="C120" s="279" t="str">
        <f>"Victoire de " &amp;C103&amp;" : "&amp;TEXT(CALCULES!$BG$18,"0,0%")&amp;"| Match nul : " &amp;TEXT(CALCULES!$BG$19,"0,0%")&amp;"| Victoire de "&amp;D103&amp;" : "&amp;TEXT(CALCULES!$BG$20,"0,0%")</f>
        <v>Victoire de Sweden : 48,5%| Match nul : 24,8%| Victoire de Czech Republic : 26,6%</v>
      </c>
      <c r="D120" s="279"/>
      <c r="F120" s="170"/>
      <c r="G120" s="167"/>
      <c r="H120" s="167"/>
      <c r="I120" s="167"/>
      <c r="W120" s="167"/>
      <c r="X120" s="167"/>
      <c r="Y120" s="167"/>
      <c r="Z120" s="167"/>
      <c r="AA120" s="167"/>
      <c r="AB120" s="167"/>
      <c r="AC120" s="167"/>
      <c r="AD120" s="167"/>
      <c r="AE120" s="167"/>
      <c r="AF120" s="167"/>
      <c r="AG120" s="167"/>
      <c r="AH120" s="167"/>
      <c r="AI120" s="167"/>
      <c r="AJ120" s="167"/>
      <c r="AK120" s="167"/>
      <c r="AL120" s="167"/>
      <c r="AM120" s="167"/>
      <c r="AN120" s="167"/>
      <c r="AO120" s="167"/>
      <c r="AP120" s="167"/>
      <c r="AQ120" s="167"/>
      <c r="AR120" s="167"/>
      <c r="AS120" s="167"/>
      <c r="AT120" s="167"/>
      <c r="AU120" s="167"/>
      <c r="AV120" s="167"/>
      <c r="AW120" s="167"/>
      <c r="AX120" s="167"/>
      <c r="AY120" s="167"/>
      <c r="AZ120" s="167"/>
      <c r="BA120" s="167"/>
      <c r="BB120" s="167"/>
      <c r="BC120" s="167"/>
      <c r="BD120" s="167"/>
      <c r="BE120" s="167"/>
      <c r="BF120" s="167"/>
      <c r="BG120" s="167"/>
      <c r="BH120" s="167"/>
      <c r="BI120" s="167"/>
      <c r="BJ120" s="167"/>
      <c r="BK120" s="167"/>
      <c r="BL120" s="167"/>
      <c r="BM120" s="167"/>
      <c r="BN120" s="167"/>
      <c r="BO120" s="167"/>
      <c r="BP120" s="167"/>
      <c r="BQ120" s="167"/>
      <c r="BR120" s="167"/>
      <c r="BS120" s="167"/>
      <c r="BT120" s="167"/>
      <c r="BU120" s="167"/>
      <c r="BV120" s="167"/>
      <c r="BW120" s="167"/>
      <c r="BX120" s="167"/>
      <c r="BY120" s="167"/>
      <c r="BZ120" s="167"/>
      <c r="CA120" s="167"/>
      <c r="CB120" s="167"/>
      <c r="CC120" s="167"/>
      <c r="CD120" s="167"/>
      <c r="CE120" s="167"/>
      <c r="CF120" s="167"/>
      <c r="CG120" s="167"/>
      <c r="CH120" s="167"/>
      <c r="CI120" s="167"/>
      <c r="CJ120" s="167"/>
      <c r="CK120" s="167"/>
      <c r="CL120" s="167"/>
      <c r="CM120" s="167"/>
      <c r="CN120" s="167"/>
      <c r="CO120" s="167"/>
      <c r="CP120" s="167"/>
      <c r="CQ120" s="167"/>
      <c r="CR120" s="167"/>
      <c r="CS120" s="167"/>
      <c r="CT120" s="167"/>
      <c r="CU120" s="167"/>
    </row>
    <row r="121" spans="2:99" ht="17.25" thickTop="1" thickBot="1">
      <c r="B121" s="292" t="s">
        <v>3910</v>
      </c>
      <c r="C121" s="279" t="str">
        <f>CALCULES!BG29&amp;" ("&amp;TEXT(CALCULES!BG28,"0%")&amp;")"</f>
        <v>Moyenne (58%)</v>
      </c>
      <c r="D121" s="279"/>
      <c r="F121" s="167"/>
      <c r="G121" s="167"/>
      <c r="H121" s="167"/>
      <c r="I121" s="167"/>
      <c r="W121" s="167"/>
      <c r="X121" s="167"/>
      <c r="Y121" s="167"/>
      <c r="Z121" s="167"/>
      <c r="AA121" s="167"/>
      <c r="AB121" s="167"/>
      <c r="AC121" s="167"/>
      <c r="AD121" s="167"/>
      <c r="AE121" s="167"/>
      <c r="AF121" s="167"/>
      <c r="AG121" s="167"/>
      <c r="AH121" s="167"/>
      <c r="AI121" s="167"/>
      <c r="AJ121" s="167"/>
      <c r="AK121" s="167"/>
      <c r="AL121" s="167"/>
      <c r="AM121" s="167"/>
      <c r="AN121" s="167"/>
      <c r="AO121" s="167"/>
      <c r="AP121" s="167"/>
      <c r="AQ121" s="167"/>
      <c r="AR121" s="167"/>
      <c r="AS121" s="167"/>
      <c r="AT121" s="167"/>
      <c r="AU121" s="167"/>
      <c r="AV121" s="167"/>
      <c r="AW121" s="167"/>
      <c r="AX121" s="167"/>
      <c r="AY121" s="167"/>
      <c r="AZ121" s="167"/>
      <c r="BA121" s="167"/>
      <c r="BB121" s="167"/>
      <c r="BC121" s="167"/>
      <c r="BD121" s="167"/>
      <c r="BE121" s="167"/>
      <c r="BF121" s="167"/>
      <c r="BG121" s="167"/>
      <c r="BH121" s="167"/>
      <c r="BI121" s="167"/>
      <c r="BJ121" s="167"/>
      <c r="BK121" s="167"/>
      <c r="BL121" s="167"/>
      <c r="BM121" s="167"/>
      <c r="BN121" s="167"/>
      <c r="BO121" s="167"/>
      <c r="BP121" s="167"/>
      <c r="BQ121" s="167"/>
      <c r="BR121" s="167"/>
      <c r="BS121" s="167"/>
      <c r="BT121" s="167"/>
      <c r="BU121" s="167"/>
      <c r="BV121" s="167"/>
      <c r="BW121" s="167"/>
      <c r="BX121" s="167"/>
      <c r="BY121" s="167"/>
      <c r="BZ121" s="167"/>
      <c r="CA121" s="167"/>
      <c r="CB121" s="167"/>
      <c r="CC121" s="167"/>
      <c r="CD121" s="167"/>
      <c r="CE121" s="167"/>
      <c r="CF121" s="167"/>
      <c r="CG121" s="167"/>
      <c r="CH121" s="167"/>
      <c r="CI121" s="167"/>
      <c r="CJ121" s="167"/>
      <c r="CK121" s="167"/>
      <c r="CL121" s="167"/>
      <c r="CM121" s="167"/>
      <c r="CN121" s="167"/>
      <c r="CO121" s="167"/>
      <c r="CP121" s="167"/>
      <c r="CQ121" s="167"/>
      <c r="CR121" s="167"/>
      <c r="CS121" s="167"/>
      <c r="CT121" s="167"/>
      <c r="CU121" s="167"/>
    </row>
    <row r="122" spans="2:99" ht="16.5" thickTop="1" thickBot="1">
      <c r="B122" s="294" t="s">
        <v>3907</v>
      </c>
      <c r="C122" s="271" t="str">
        <f>INDEX(CALCULES!$BL$15:$BL$94,MATCH(MAX(CALCULES!$BN$15:$BN$94),CALCULES!$BN$15:$BN$94,0))
&amp;" - "&amp;
INDEX(CALCULES!$BM$15:$BM$94,MATCH(MAX(CALCULES!$BN$15:$BN$94),CALCULES!$BN$15:$BN$94,0))</f>
        <v>1 - 1</v>
      </c>
      <c r="D122" s="271"/>
      <c r="F122" s="167"/>
      <c r="G122" s="167"/>
      <c r="H122" s="167"/>
      <c r="I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7"/>
      <c r="BA122" s="167"/>
      <c r="BB122" s="167"/>
      <c r="BC122" s="167"/>
      <c r="BD122" s="167"/>
      <c r="BE122" s="167"/>
      <c r="BF122" s="167"/>
      <c r="BG122" s="167"/>
      <c r="BH122" s="167"/>
      <c r="BI122" s="167"/>
      <c r="BJ122" s="167"/>
      <c r="BK122" s="167"/>
      <c r="BL122" s="167"/>
      <c r="BM122" s="167"/>
      <c r="BN122" s="167"/>
      <c r="BO122" s="167"/>
      <c r="BP122" s="167"/>
      <c r="BQ122" s="167"/>
      <c r="BR122" s="167"/>
      <c r="BS122" s="167"/>
      <c r="BT122" s="167"/>
      <c r="BU122" s="167"/>
      <c r="BV122" s="167"/>
      <c r="BW122" s="167"/>
      <c r="BX122" s="167"/>
      <c r="BY122" s="167"/>
      <c r="BZ122" s="167"/>
      <c r="CA122" s="167"/>
      <c r="CB122" s="167"/>
      <c r="CC122" s="167"/>
      <c r="CD122" s="167"/>
      <c r="CE122" s="167"/>
      <c r="CF122" s="167"/>
      <c r="CG122" s="167"/>
      <c r="CH122" s="167"/>
      <c r="CI122" s="167"/>
      <c r="CJ122" s="167"/>
      <c r="CK122" s="167"/>
      <c r="CL122" s="167"/>
      <c r="CM122" s="167"/>
      <c r="CN122" s="167"/>
      <c r="CO122" s="167"/>
      <c r="CP122" s="167"/>
      <c r="CQ122" s="167"/>
      <c r="CR122" s="167"/>
      <c r="CS122" s="167"/>
      <c r="CT122" s="167"/>
      <c r="CU122" s="167"/>
    </row>
    <row r="123" spans="2:99" ht="16.5" thickTop="1" thickBot="1">
      <c r="B123" s="294" t="s">
        <v>3939</v>
      </c>
      <c r="C123" s="271">
        <f>MAX(CALCULES!$BN$15:$BN$94)</f>
        <v>0.11798587240894641</v>
      </c>
      <c r="D123" s="271"/>
      <c r="F123" s="167"/>
      <c r="G123" s="167"/>
      <c r="H123" s="167"/>
      <c r="I123" s="167"/>
      <c r="W123" s="167"/>
      <c r="X123" s="167"/>
      <c r="Y123" s="167"/>
      <c r="Z123" s="167"/>
      <c r="AA123" s="167"/>
      <c r="AB123" s="167"/>
      <c r="AC123" s="167"/>
      <c r="AD123" s="167"/>
      <c r="AE123" s="167"/>
      <c r="AF123" s="167"/>
      <c r="AG123" s="167"/>
      <c r="AH123" s="167"/>
      <c r="AI123" s="167"/>
      <c r="AJ123" s="167"/>
      <c r="AK123" s="167"/>
      <c r="AL123" s="167"/>
      <c r="AM123" s="167"/>
      <c r="AN123" s="167"/>
      <c r="AO123" s="167"/>
      <c r="AP123" s="167"/>
      <c r="AQ123" s="167"/>
      <c r="AR123" s="167"/>
      <c r="AS123" s="167"/>
      <c r="AT123" s="167"/>
      <c r="AU123" s="167"/>
      <c r="AV123" s="167"/>
      <c r="AW123" s="167"/>
      <c r="AX123" s="167"/>
      <c r="AY123" s="167"/>
      <c r="AZ123" s="167"/>
      <c r="BA123" s="167"/>
      <c r="BB123" s="167"/>
      <c r="BC123" s="167"/>
      <c r="BD123" s="167"/>
      <c r="BE123" s="167"/>
      <c r="BF123" s="167"/>
      <c r="BG123" s="167"/>
      <c r="BH123" s="167"/>
      <c r="BI123" s="167"/>
      <c r="BJ123" s="167"/>
      <c r="BK123" s="167"/>
      <c r="BL123" s="167"/>
      <c r="BM123" s="167"/>
      <c r="BN123" s="167"/>
      <c r="BO123" s="167"/>
      <c r="BP123" s="167"/>
      <c r="BQ123" s="167"/>
      <c r="BR123" s="167"/>
      <c r="BS123" s="167"/>
      <c r="BT123" s="167"/>
      <c r="BU123" s="167"/>
      <c r="BV123" s="167"/>
      <c r="BW123" s="167"/>
      <c r="BX123" s="167"/>
      <c r="BY123" s="167"/>
      <c r="BZ123" s="167"/>
      <c r="CA123" s="167"/>
      <c r="CB123" s="167"/>
      <c r="CC123" s="167"/>
      <c r="CD123" s="167"/>
      <c r="CE123" s="167"/>
      <c r="CF123" s="167"/>
      <c r="CG123" s="167"/>
      <c r="CH123" s="167"/>
      <c r="CI123" s="167"/>
      <c r="CJ123" s="167"/>
      <c r="CK123" s="167"/>
      <c r="CL123" s="167"/>
      <c r="CM123" s="167"/>
      <c r="CN123" s="167"/>
      <c r="CO123" s="167"/>
      <c r="CP123" s="167"/>
      <c r="CQ123" s="167"/>
      <c r="CR123" s="167"/>
      <c r="CS123" s="167"/>
      <c r="CT123" s="167"/>
      <c r="CU123" s="167"/>
    </row>
    <row r="124" spans="2:99" ht="33.950000000000003" customHeight="1" thickTop="1">
      <c r="B124" s="290" t="s">
        <v>3915</v>
      </c>
      <c r="C124" s="291"/>
      <c r="D124" s="291"/>
      <c r="F124" s="167"/>
      <c r="G124" s="167"/>
      <c r="H124" s="167"/>
      <c r="I124" s="167"/>
      <c r="W124" s="167"/>
      <c r="X124" s="167"/>
      <c r="Y124" s="167"/>
      <c r="Z124" s="167"/>
      <c r="AA124" s="167"/>
      <c r="AB124" s="167"/>
      <c r="AC124" s="167"/>
      <c r="AD124" s="167"/>
      <c r="AE124" s="167"/>
      <c r="AF124" s="167"/>
      <c r="AG124" s="167"/>
      <c r="AH124" s="167"/>
      <c r="AI124" s="167"/>
      <c r="AJ124" s="167"/>
      <c r="AK124" s="167"/>
      <c r="AL124" s="167"/>
      <c r="AM124" s="167"/>
      <c r="AN124" s="167"/>
      <c r="AO124" s="167"/>
      <c r="AP124" s="167"/>
      <c r="AQ124" s="167"/>
      <c r="AR124" s="167"/>
      <c r="AS124" s="167"/>
      <c r="AT124" s="167"/>
      <c r="AU124" s="167"/>
      <c r="AV124" s="167"/>
      <c r="AW124" s="167"/>
      <c r="AX124" s="167"/>
      <c r="AY124" s="167"/>
      <c r="AZ124" s="167"/>
      <c r="BA124" s="167"/>
      <c r="BB124" s="167"/>
      <c r="BC124" s="167"/>
      <c r="BD124" s="167"/>
      <c r="BE124" s="167"/>
      <c r="BF124" s="167"/>
      <c r="BG124" s="167"/>
      <c r="BH124" s="167"/>
      <c r="BI124" s="167"/>
      <c r="BJ124" s="167"/>
      <c r="BK124" s="167"/>
      <c r="BL124" s="167"/>
      <c r="BM124" s="167"/>
      <c r="BN124" s="167"/>
      <c r="BO124" s="167"/>
      <c r="BP124" s="167"/>
      <c r="BQ124" s="167"/>
      <c r="BR124" s="167"/>
      <c r="BS124" s="167"/>
      <c r="BT124" s="167"/>
      <c r="BU124" s="167"/>
      <c r="BV124" s="167"/>
      <c r="BW124" s="167"/>
      <c r="BX124" s="167"/>
      <c r="BY124" s="167"/>
      <c r="BZ124" s="167"/>
      <c r="CA124" s="167"/>
      <c r="CB124" s="167"/>
      <c r="CC124" s="167"/>
      <c r="CD124" s="167"/>
      <c r="CE124" s="167"/>
      <c r="CF124" s="167"/>
      <c r="CG124" s="167"/>
      <c r="CH124" s="167"/>
      <c r="CI124" s="167"/>
      <c r="CJ124" s="167"/>
      <c r="CK124" s="167"/>
      <c r="CL124" s="167"/>
      <c r="CM124" s="167"/>
      <c r="CN124" s="167"/>
      <c r="CO124" s="167"/>
      <c r="CP124" s="167"/>
      <c r="CQ124" s="167"/>
      <c r="CR124" s="167"/>
      <c r="CS124" s="167"/>
      <c r="CT124" s="167"/>
      <c r="CU124" s="167"/>
    </row>
    <row r="125" spans="2:99">
      <c r="F125" s="167"/>
      <c r="G125" s="167"/>
      <c r="H125" s="167"/>
      <c r="I125" s="167"/>
      <c r="W125" s="167"/>
      <c r="X125" s="167"/>
      <c r="Y125" s="167"/>
      <c r="Z125" s="167"/>
      <c r="AA125" s="167"/>
      <c r="AB125" s="167"/>
      <c r="AC125" s="167"/>
      <c r="AD125" s="167"/>
      <c r="AE125" s="167"/>
      <c r="AF125" s="167"/>
      <c r="AG125" s="167"/>
      <c r="AH125" s="167"/>
      <c r="AI125" s="167"/>
      <c r="AJ125" s="167"/>
      <c r="AK125" s="167"/>
      <c r="AL125" s="167"/>
      <c r="AM125" s="167"/>
      <c r="AN125" s="167"/>
      <c r="AO125" s="167"/>
      <c r="AP125" s="167"/>
      <c r="AQ125" s="167"/>
      <c r="AR125" s="167"/>
      <c r="AS125" s="167"/>
      <c r="AT125" s="167"/>
      <c r="AU125" s="167"/>
      <c r="AV125" s="167"/>
      <c r="AW125" s="167"/>
      <c r="AX125" s="167"/>
      <c r="AY125" s="167"/>
      <c r="AZ125" s="167"/>
      <c r="BA125" s="167"/>
      <c r="BB125" s="167"/>
      <c r="BC125" s="167"/>
      <c r="BD125" s="167"/>
      <c r="BE125" s="167"/>
      <c r="BF125" s="167"/>
      <c r="BG125" s="167"/>
      <c r="BH125" s="167"/>
      <c r="BI125" s="167"/>
      <c r="BJ125" s="167"/>
      <c r="BK125" s="167"/>
      <c r="BL125" s="167"/>
      <c r="BM125" s="167"/>
      <c r="BN125" s="167"/>
      <c r="BO125" s="167"/>
      <c r="BP125" s="167"/>
      <c r="BQ125" s="167"/>
      <c r="BR125" s="167"/>
      <c r="BS125" s="167"/>
      <c r="BT125" s="167"/>
      <c r="BU125" s="167"/>
      <c r="BV125" s="167"/>
      <c r="BW125" s="167"/>
      <c r="BX125" s="167"/>
      <c r="BY125" s="167"/>
      <c r="BZ125" s="167"/>
      <c r="CA125" s="167"/>
      <c r="CB125" s="167"/>
      <c r="CC125" s="167"/>
      <c r="CD125" s="167"/>
      <c r="CE125" s="167"/>
      <c r="CF125" s="167"/>
      <c r="CG125" s="167"/>
      <c r="CH125" s="167"/>
      <c r="CI125" s="167"/>
      <c r="CJ125" s="167"/>
      <c r="CK125" s="167"/>
      <c r="CL125" s="167"/>
      <c r="CM125" s="167"/>
      <c r="CN125" s="167"/>
      <c r="CO125" s="167"/>
      <c r="CP125" s="167"/>
      <c r="CQ125" s="167"/>
      <c r="CR125" s="167"/>
      <c r="CS125" s="167"/>
      <c r="CT125" s="167"/>
      <c r="CU125" s="167"/>
    </row>
    <row r="126" spans="2:99">
      <c r="F126" s="167"/>
      <c r="G126" s="167"/>
      <c r="H126" s="167"/>
      <c r="I126" s="167"/>
      <c r="W126" s="167"/>
      <c r="X126" s="167"/>
      <c r="Y126" s="167"/>
      <c r="Z126" s="167"/>
      <c r="AA126" s="167"/>
      <c r="AB126" s="167"/>
      <c r="AC126" s="167"/>
      <c r="AD126" s="167"/>
      <c r="AE126" s="167"/>
      <c r="AF126" s="167"/>
      <c r="AG126" s="167"/>
      <c r="AH126" s="167"/>
      <c r="AI126" s="167"/>
      <c r="AJ126" s="167"/>
      <c r="AK126" s="167"/>
      <c r="AL126" s="167"/>
      <c r="AM126" s="167"/>
      <c r="AN126" s="167"/>
      <c r="AO126" s="167"/>
      <c r="AP126" s="167"/>
      <c r="AQ126" s="167"/>
      <c r="AR126" s="167"/>
      <c r="AS126" s="167"/>
      <c r="AT126" s="167"/>
      <c r="AU126" s="167"/>
      <c r="AV126" s="167"/>
      <c r="AW126" s="167"/>
      <c r="AX126" s="167"/>
      <c r="AY126" s="167"/>
      <c r="AZ126" s="167"/>
      <c r="BA126" s="167"/>
      <c r="BB126" s="167"/>
      <c r="BC126" s="167"/>
      <c r="BD126" s="167"/>
      <c r="BE126" s="167"/>
      <c r="BF126" s="167"/>
      <c r="BG126" s="167"/>
      <c r="BH126" s="167"/>
      <c r="BI126" s="167"/>
      <c r="BJ126" s="167"/>
      <c r="BK126" s="167"/>
      <c r="BL126" s="167"/>
      <c r="BM126" s="167"/>
      <c r="BN126" s="167"/>
      <c r="BO126" s="167"/>
      <c r="BP126" s="167"/>
      <c r="BQ126" s="167"/>
      <c r="BR126" s="167"/>
      <c r="BS126" s="167"/>
      <c r="BT126" s="167"/>
      <c r="BU126" s="167"/>
      <c r="BV126" s="167"/>
      <c r="BW126" s="167"/>
      <c r="BX126" s="167"/>
      <c r="BY126" s="167"/>
      <c r="BZ126" s="167"/>
      <c r="CA126" s="167"/>
      <c r="CB126" s="167"/>
      <c r="CC126" s="167"/>
      <c r="CD126" s="167"/>
      <c r="CE126" s="167"/>
      <c r="CF126" s="167"/>
      <c r="CG126" s="167"/>
      <c r="CH126" s="167"/>
      <c r="CI126" s="167"/>
      <c r="CJ126" s="167"/>
      <c r="CK126" s="167"/>
      <c r="CL126" s="167"/>
      <c r="CM126" s="167"/>
      <c r="CN126" s="167"/>
      <c r="CO126" s="167"/>
      <c r="CP126" s="167"/>
      <c r="CQ126" s="167"/>
      <c r="CR126" s="167"/>
      <c r="CS126" s="167"/>
      <c r="CT126" s="167"/>
      <c r="CU126" s="167"/>
    </row>
    <row r="127" spans="2:99">
      <c r="F127" s="167"/>
      <c r="G127" s="167"/>
      <c r="H127" s="167"/>
      <c r="I127" s="167"/>
      <c r="W127" s="167"/>
      <c r="X127" s="167"/>
      <c r="Y127" s="167"/>
      <c r="Z127" s="167"/>
      <c r="AA127" s="167"/>
      <c r="AB127" s="167"/>
      <c r="AC127" s="167"/>
      <c r="AD127" s="167"/>
      <c r="AE127" s="167"/>
      <c r="AF127" s="167"/>
      <c r="AG127" s="167"/>
      <c r="AH127" s="167"/>
      <c r="AI127" s="167"/>
      <c r="AJ127" s="167"/>
      <c r="AK127" s="167"/>
      <c r="AL127" s="167"/>
      <c r="AM127" s="167"/>
      <c r="AN127" s="167"/>
      <c r="AO127" s="167"/>
      <c r="AP127" s="167"/>
      <c r="AQ127" s="167"/>
      <c r="AR127" s="167"/>
      <c r="AS127" s="167"/>
      <c r="AT127" s="167"/>
      <c r="AU127" s="167"/>
      <c r="AV127" s="167"/>
      <c r="AW127" s="167"/>
      <c r="AX127" s="167"/>
      <c r="AY127" s="167"/>
      <c r="AZ127" s="167"/>
      <c r="BA127" s="167"/>
      <c r="BB127" s="167"/>
      <c r="BC127" s="167"/>
      <c r="BD127" s="167"/>
      <c r="BE127" s="167"/>
      <c r="BF127" s="167"/>
      <c r="BG127" s="167"/>
      <c r="BH127" s="167"/>
      <c r="BI127" s="167"/>
      <c r="BJ127" s="167"/>
      <c r="BK127" s="167"/>
      <c r="BL127" s="167"/>
      <c r="BM127" s="167"/>
      <c r="BN127" s="167"/>
      <c r="BO127" s="167"/>
      <c r="BP127" s="167"/>
      <c r="BQ127" s="167"/>
      <c r="BR127" s="167"/>
      <c r="BS127" s="167"/>
      <c r="BT127" s="167"/>
      <c r="BU127" s="167"/>
      <c r="BV127" s="167"/>
      <c r="BW127" s="167"/>
      <c r="BX127" s="167"/>
      <c r="BY127" s="167"/>
      <c r="BZ127" s="167"/>
      <c r="CA127" s="167"/>
      <c r="CB127" s="167"/>
      <c r="CC127" s="167"/>
      <c r="CD127" s="167"/>
      <c r="CE127" s="167"/>
      <c r="CF127" s="167"/>
      <c r="CG127" s="167"/>
      <c r="CH127" s="167"/>
      <c r="CI127" s="167"/>
      <c r="CJ127" s="167"/>
      <c r="CK127" s="167"/>
      <c r="CL127" s="167"/>
      <c r="CM127" s="167"/>
      <c r="CN127" s="167"/>
      <c r="CO127" s="167"/>
      <c r="CP127" s="167"/>
      <c r="CQ127" s="167"/>
      <c r="CR127" s="167"/>
      <c r="CS127" s="167"/>
      <c r="CT127" s="167"/>
      <c r="CU127" s="167"/>
    </row>
    <row r="128" spans="2:99">
      <c r="F128" s="167"/>
      <c r="G128" s="167"/>
      <c r="H128" s="167"/>
      <c r="I128" s="167"/>
      <c r="W128" s="167"/>
      <c r="X128" s="167"/>
      <c r="Y128" s="167"/>
      <c r="Z128" s="167"/>
      <c r="AA128" s="167"/>
      <c r="AB128" s="167"/>
      <c r="AC128" s="167"/>
      <c r="AD128" s="167"/>
      <c r="AE128" s="167"/>
      <c r="AF128" s="167"/>
      <c r="AG128" s="167"/>
      <c r="AH128" s="167"/>
      <c r="AI128" s="167"/>
      <c r="AJ128" s="167"/>
      <c r="AK128" s="167"/>
      <c r="AL128" s="167"/>
      <c r="AM128" s="167"/>
      <c r="AN128" s="167"/>
      <c r="AO128" s="167"/>
      <c r="AP128" s="167"/>
      <c r="AQ128" s="167"/>
      <c r="AR128" s="167"/>
      <c r="AS128" s="167"/>
      <c r="AT128" s="167"/>
      <c r="AU128" s="167"/>
      <c r="AV128" s="167"/>
      <c r="AW128" s="167"/>
      <c r="AX128" s="167"/>
      <c r="AY128" s="167"/>
      <c r="AZ128" s="167"/>
      <c r="BA128" s="167"/>
      <c r="BB128" s="167"/>
      <c r="BC128" s="167"/>
      <c r="BD128" s="167"/>
      <c r="BE128" s="167"/>
      <c r="BF128" s="167"/>
      <c r="BG128" s="167"/>
      <c r="BH128" s="167"/>
      <c r="BI128" s="167"/>
      <c r="BJ128" s="167"/>
      <c r="BK128" s="167"/>
      <c r="BL128" s="167"/>
      <c r="BM128" s="167"/>
      <c r="BN128" s="167"/>
      <c r="BO128" s="167"/>
      <c r="BP128" s="167"/>
      <c r="BQ128" s="167"/>
      <c r="BR128" s="167"/>
      <c r="BS128" s="167"/>
      <c r="BT128" s="167"/>
      <c r="BU128" s="167"/>
      <c r="BV128" s="167"/>
      <c r="BW128" s="167"/>
      <c r="BX128" s="167"/>
      <c r="BY128" s="167"/>
      <c r="BZ128" s="167"/>
      <c r="CA128" s="167"/>
      <c r="CB128" s="167"/>
      <c r="CC128" s="167"/>
      <c r="CD128" s="167"/>
      <c r="CE128" s="167"/>
      <c r="CF128" s="167"/>
      <c r="CG128" s="167"/>
      <c r="CH128" s="167"/>
      <c r="CI128" s="167"/>
      <c r="CJ128" s="167"/>
      <c r="CK128" s="167"/>
      <c r="CL128" s="167"/>
      <c r="CM128" s="167"/>
      <c r="CN128" s="167"/>
      <c r="CO128" s="167"/>
      <c r="CP128" s="167"/>
      <c r="CQ128" s="167"/>
      <c r="CR128" s="167"/>
      <c r="CS128" s="167"/>
      <c r="CT128" s="167"/>
      <c r="CU128" s="167"/>
    </row>
    <row r="129" spans="6:99">
      <c r="F129" s="167"/>
      <c r="G129" s="167"/>
      <c r="H129" s="167"/>
      <c r="I129" s="167"/>
      <c r="W129" s="167"/>
      <c r="X129" s="167"/>
      <c r="Y129" s="167"/>
      <c r="Z129" s="167"/>
      <c r="AA129" s="167"/>
      <c r="AB129" s="167"/>
      <c r="AC129" s="167"/>
      <c r="AD129" s="167"/>
      <c r="AE129" s="167"/>
      <c r="AF129" s="167"/>
      <c r="AG129" s="167"/>
      <c r="AH129" s="167"/>
      <c r="AI129" s="167"/>
      <c r="AJ129" s="167"/>
      <c r="AK129" s="167"/>
      <c r="AL129" s="167"/>
      <c r="AM129" s="167"/>
      <c r="AN129" s="167"/>
      <c r="AO129" s="167"/>
      <c r="AP129" s="167"/>
      <c r="AQ129" s="167"/>
      <c r="AR129" s="167"/>
      <c r="AS129" s="167"/>
      <c r="AT129" s="167"/>
      <c r="AU129" s="167"/>
      <c r="AV129" s="167"/>
      <c r="AW129" s="167"/>
      <c r="AX129" s="167"/>
      <c r="AY129" s="167"/>
      <c r="AZ129" s="167"/>
      <c r="BA129" s="167"/>
      <c r="BB129" s="167"/>
      <c r="BC129" s="167"/>
      <c r="BD129" s="167"/>
      <c r="BE129" s="167"/>
      <c r="BF129" s="167"/>
      <c r="BG129" s="167"/>
      <c r="BH129" s="167"/>
      <c r="BI129" s="167"/>
      <c r="BJ129" s="167"/>
      <c r="BK129" s="167"/>
      <c r="BL129" s="167"/>
      <c r="BM129" s="167"/>
      <c r="BN129" s="167"/>
      <c r="BO129" s="167"/>
      <c r="BP129" s="167"/>
      <c r="BQ129" s="167"/>
      <c r="BR129" s="167"/>
      <c r="BS129" s="167"/>
      <c r="BT129" s="167"/>
      <c r="BU129" s="167"/>
      <c r="BV129" s="167"/>
      <c r="BW129" s="167"/>
      <c r="BX129" s="167"/>
      <c r="BY129" s="167"/>
      <c r="BZ129" s="167"/>
      <c r="CA129" s="167"/>
      <c r="CB129" s="167"/>
      <c r="CC129" s="167"/>
      <c r="CD129" s="167"/>
      <c r="CE129" s="167"/>
      <c r="CF129" s="167"/>
      <c r="CG129" s="167"/>
      <c r="CH129" s="167"/>
      <c r="CI129" s="167"/>
      <c r="CJ129" s="167"/>
      <c r="CK129" s="167"/>
      <c r="CL129" s="167"/>
      <c r="CM129" s="167"/>
      <c r="CN129" s="167"/>
      <c r="CO129" s="167"/>
      <c r="CP129" s="167"/>
      <c r="CQ129" s="167"/>
      <c r="CR129" s="167"/>
      <c r="CS129" s="167"/>
      <c r="CT129" s="167"/>
      <c r="CU129" s="167"/>
    </row>
    <row r="130" spans="6:99">
      <c r="F130" s="167"/>
      <c r="G130" s="167"/>
      <c r="H130" s="167"/>
      <c r="I130" s="167"/>
      <c r="W130" s="167"/>
      <c r="X130" s="167"/>
      <c r="Y130" s="167"/>
      <c r="Z130" s="167"/>
      <c r="AA130" s="167"/>
      <c r="AB130" s="167"/>
      <c r="AC130" s="167"/>
      <c r="AD130" s="167"/>
      <c r="AE130" s="167"/>
      <c r="AF130" s="167"/>
      <c r="AG130" s="167"/>
      <c r="AH130" s="167"/>
      <c r="AI130" s="167"/>
      <c r="AJ130" s="167"/>
      <c r="AK130" s="167"/>
      <c r="AL130" s="167"/>
      <c r="AM130" s="167"/>
      <c r="AN130" s="167"/>
      <c r="AO130" s="167"/>
      <c r="AP130" s="167"/>
      <c r="AQ130" s="167"/>
      <c r="AR130" s="167"/>
      <c r="AS130" s="167"/>
      <c r="AT130" s="167"/>
      <c r="AU130" s="167"/>
      <c r="AV130" s="167"/>
      <c r="AW130" s="167"/>
      <c r="AX130" s="167"/>
      <c r="AY130" s="167"/>
      <c r="AZ130" s="167"/>
      <c r="BA130" s="167"/>
      <c r="BB130" s="167"/>
      <c r="BC130" s="167"/>
      <c r="BD130" s="167"/>
      <c r="BE130" s="167"/>
      <c r="BF130" s="167"/>
      <c r="BG130" s="167"/>
      <c r="BH130" s="167"/>
      <c r="BI130" s="167"/>
      <c r="BJ130" s="167"/>
      <c r="BK130" s="167"/>
      <c r="BL130" s="167"/>
      <c r="BM130" s="167"/>
      <c r="BN130" s="167"/>
      <c r="BO130" s="167"/>
      <c r="BP130" s="167"/>
      <c r="BQ130" s="167"/>
      <c r="BR130" s="167"/>
      <c r="BS130" s="167"/>
      <c r="BT130" s="167"/>
      <c r="BU130" s="167"/>
      <c r="BV130" s="167"/>
      <c r="BW130" s="167"/>
      <c r="BX130" s="167"/>
      <c r="BY130" s="167"/>
      <c r="BZ130" s="167"/>
      <c r="CA130" s="167"/>
      <c r="CB130" s="167"/>
      <c r="CC130" s="167"/>
      <c r="CD130" s="167"/>
      <c r="CE130" s="167"/>
      <c r="CF130" s="167"/>
      <c r="CG130" s="167"/>
      <c r="CH130" s="167"/>
      <c r="CI130" s="167"/>
      <c r="CJ130" s="167"/>
      <c r="CK130" s="167"/>
      <c r="CL130" s="167"/>
      <c r="CM130" s="167"/>
      <c r="CN130" s="167"/>
      <c r="CO130" s="167"/>
      <c r="CP130" s="167"/>
      <c r="CQ130" s="167"/>
      <c r="CR130" s="167"/>
      <c r="CS130" s="167"/>
      <c r="CT130" s="167"/>
      <c r="CU130" s="167"/>
    </row>
    <row r="131" spans="6:99">
      <c r="F131" s="167"/>
      <c r="G131" s="167"/>
      <c r="H131" s="167"/>
      <c r="I131" s="167"/>
      <c r="W131" s="167"/>
      <c r="X131" s="167"/>
      <c r="Y131" s="167"/>
      <c r="Z131" s="167"/>
      <c r="AA131" s="167"/>
      <c r="AB131" s="167"/>
      <c r="AC131" s="167"/>
      <c r="AD131" s="167"/>
      <c r="AE131" s="167"/>
      <c r="AF131" s="167"/>
      <c r="AG131" s="167"/>
      <c r="AH131" s="167"/>
      <c r="AI131" s="167"/>
      <c r="AJ131" s="167"/>
      <c r="AK131" s="167"/>
      <c r="AL131" s="167"/>
      <c r="AM131" s="167"/>
      <c r="AN131" s="167"/>
      <c r="AO131" s="167"/>
      <c r="AP131" s="167"/>
      <c r="AQ131" s="167"/>
      <c r="AR131" s="167"/>
      <c r="AS131" s="167"/>
      <c r="AT131" s="167"/>
      <c r="AU131" s="167"/>
      <c r="AV131" s="167"/>
      <c r="AW131" s="167"/>
      <c r="AX131" s="167"/>
      <c r="AY131" s="167"/>
      <c r="AZ131" s="167"/>
      <c r="BA131" s="167"/>
      <c r="BB131" s="167"/>
      <c r="BC131" s="167"/>
      <c r="BD131" s="167"/>
      <c r="BE131" s="167"/>
      <c r="BF131" s="167"/>
      <c r="BG131" s="167"/>
      <c r="BH131" s="167"/>
      <c r="BI131" s="167"/>
      <c r="BJ131" s="167"/>
      <c r="BK131" s="167"/>
      <c r="BL131" s="167"/>
      <c r="BM131" s="167"/>
      <c r="BN131" s="167"/>
      <c r="BO131" s="167"/>
      <c r="BP131" s="167"/>
      <c r="BQ131" s="167"/>
      <c r="BR131" s="167"/>
      <c r="BS131" s="167"/>
      <c r="BT131" s="167"/>
      <c r="BU131" s="167"/>
      <c r="BV131" s="167"/>
      <c r="BW131" s="167"/>
      <c r="BX131" s="167"/>
      <c r="BY131" s="167"/>
      <c r="BZ131" s="167"/>
      <c r="CA131" s="167"/>
      <c r="CB131" s="167"/>
      <c r="CC131" s="167"/>
      <c r="CD131" s="167"/>
      <c r="CE131" s="167"/>
      <c r="CF131" s="167"/>
      <c r="CG131" s="167"/>
      <c r="CH131" s="167"/>
      <c r="CI131" s="167"/>
      <c r="CJ131" s="167"/>
      <c r="CK131" s="167"/>
      <c r="CL131" s="167"/>
      <c r="CM131" s="167"/>
      <c r="CN131" s="167"/>
      <c r="CO131" s="167"/>
      <c r="CP131" s="167"/>
      <c r="CQ131" s="167"/>
      <c r="CR131" s="167"/>
      <c r="CS131" s="167"/>
      <c r="CT131" s="167"/>
      <c r="CU131" s="167"/>
    </row>
    <row r="132" spans="6:99">
      <c r="F132" s="167"/>
      <c r="G132" s="167"/>
      <c r="H132" s="167"/>
      <c r="I132" s="167"/>
      <c r="W132" s="167"/>
      <c r="X132" s="167"/>
      <c r="Y132" s="167"/>
      <c r="Z132" s="167"/>
      <c r="AA132" s="167"/>
      <c r="AB132" s="167"/>
      <c r="AC132" s="167"/>
      <c r="AD132" s="167"/>
      <c r="AE132" s="167"/>
      <c r="AF132" s="167"/>
      <c r="AG132" s="167"/>
      <c r="AH132" s="167"/>
      <c r="AI132" s="167"/>
      <c r="AJ132" s="167"/>
      <c r="AK132" s="167"/>
      <c r="AL132" s="167"/>
      <c r="AM132" s="167"/>
      <c r="AN132" s="167"/>
      <c r="AO132" s="167"/>
      <c r="AP132" s="167"/>
      <c r="AQ132" s="167"/>
      <c r="AR132" s="167"/>
      <c r="AS132" s="167"/>
      <c r="AT132" s="167"/>
      <c r="AU132" s="167"/>
      <c r="AV132" s="167"/>
      <c r="AW132" s="167"/>
      <c r="AX132" s="167"/>
      <c r="AY132" s="167"/>
      <c r="AZ132" s="167"/>
      <c r="BA132" s="167"/>
      <c r="BB132" s="167"/>
      <c r="BC132" s="167"/>
      <c r="BD132" s="167"/>
      <c r="BE132" s="167"/>
      <c r="BF132" s="167"/>
      <c r="BG132" s="167"/>
      <c r="BH132" s="167"/>
      <c r="BI132" s="167"/>
      <c r="BJ132" s="167"/>
      <c r="BK132" s="167"/>
      <c r="BL132" s="167"/>
      <c r="BM132" s="167"/>
      <c r="BN132" s="167"/>
      <c r="BO132" s="167"/>
      <c r="BP132" s="167"/>
      <c r="BQ132" s="167"/>
      <c r="BR132" s="167"/>
      <c r="BS132" s="167"/>
      <c r="BT132" s="167"/>
      <c r="BU132" s="167"/>
      <c r="BV132" s="167"/>
      <c r="BW132" s="167"/>
      <c r="BX132" s="167"/>
      <c r="BY132" s="167"/>
      <c r="BZ132" s="167"/>
      <c r="CA132" s="167"/>
      <c r="CB132" s="167"/>
      <c r="CC132" s="167"/>
      <c r="CD132" s="167"/>
      <c r="CE132" s="167"/>
      <c r="CF132" s="167"/>
      <c r="CG132" s="167"/>
      <c r="CH132" s="167"/>
      <c r="CI132" s="167"/>
      <c r="CJ132" s="167"/>
      <c r="CK132" s="167"/>
      <c r="CL132" s="167"/>
      <c r="CM132" s="167"/>
      <c r="CN132" s="167"/>
      <c r="CO132" s="167"/>
      <c r="CP132" s="167"/>
      <c r="CQ132" s="167"/>
      <c r="CR132" s="167"/>
      <c r="CS132" s="167"/>
      <c r="CT132" s="167"/>
      <c r="CU132" s="167"/>
    </row>
    <row r="133" spans="6:99">
      <c r="F133" s="167"/>
      <c r="G133" s="167"/>
      <c r="H133" s="167"/>
      <c r="I133" s="167"/>
      <c r="W133" s="167"/>
      <c r="X133" s="167"/>
      <c r="Y133" s="167"/>
      <c r="Z133" s="167"/>
      <c r="AA133" s="167"/>
      <c r="AB133" s="167"/>
      <c r="AC133" s="167"/>
      <c r="AD133" s="167"/>
      <c r="AE133" s="167"/>
      <c r="AF133" s="167"/>
      <c r="AG133" s="167"/>
      <c r="AH133" s="167"/>
      <c r="AI133" s="167"/>
      <c r="AJ133" s="167"/>
      <c r="AK133" s="167"/>
      <c r="AL133" s="167"/>
      <c r="AM133" s="167"/>
      <c r="AN133" s="167"/>
      <c r="AO133" s="167"/>
      <c r="AP133" s="167"/>
      <c r="AQ133" s="167"/>
      <c r="AR133" s="167"/>
      <c r="AS133" s="167"/>
      <c r="AT133" s="167"/>
      <c r="AU133" s="167"/>
      <c r="AV133" s="167"/>
      <c r="AW133" s="167"/>
      <c r="AX133" s="167"/>
      <c r="AY133" s="167"/>
      <c r="AZ133" s="167"/>
      <c r="BA133" s="167"/>
      <c r="BB133" s="167"/>
      <c r="BC133" s="167"/>
      <c r="BD133" s="167"/>
      <c r="BE133" s="167"/>
      <c r="BF133" s="167"/>
      <c r="BG133" s="167"/>
      <c r="BH133" s="167"/>
      <c r="BI133" s="167"/>
      <c r="BJ133" s="167"/>
      <c r="BK133" s="167"/>
      <c r="BL133" s="167"/>
      <c r="BM133" s="167"/>
      <c r="BN133" s="167"/>
      <c r="BO133" s="167"/>
      <c r="BP133" s="167"/>
      <c r="BQ133" s="167"/>
      <c r="BR133" s="167"/>
      <c r="BS133" s="167"/>
      <c r="BT133" s="167"/>
      <c r="BU133" s="167"/>
      <c r="BV133" s="167"/>
      <c r="BW133" s="167"/>
      <c r="BX133" s="167"/>
      <c r="BY133" s="167"/>
      <c r="BZ133" s="167"/>
      <c r="CA133" s="167"/>
      <c r="CB133" s="167"/>
      <c r="CC133" s="167"/>
      <c r="CD133" s="167"/>
      <c r="CE133" s="167"/>
      <c r="CF133" s="167"/>
      <c r="CG133" s="167"/>
      <c r="CH133" s="167"/>
      <c r="CI133" s="167"/>
      <c r="CJ133" s="167"/>
      <c r="CK133" s="167"/>
      <c r="CL133" s="167"/>
      <c r="CM133" s="167"/>
      <c r="CN133" s="167"/>
      <c r="CO133" s="167"/>
      <c r="CP133" s="167"/>
      <c r="CQ133" s="167"/>
      <c r="CR133" s="167"/>
      <c r="CS133" s="167"/>
      <c r="CT133" s="167"/>
      <c r="CU133" s="167"/>
    </row>
    <row r="134" spans="6:99">
      <c r="F134" s="167"/>
      <c r="G134" s="167"/>
      <c r="H134" s="167"/>
      <c r="I134" s="167"/>
      <c r="W134" s="167"/>
      <c r="X134" s="167"/>
      <c r="Y134" s="167"/>
      <c r="Z134" s="167"/>
      <c r="AA134" s="167"/>
      <c r="AB134" s="167"/>
      <c r="AC134" s="167"/>
      <c r="AD134" s="167"/>
      <c r="AE134" s="167"/>
      <c r="AF134" s="167"/>
      <c r="AG134" s="167"/>
      <c r="AH134" s="167"/>
      <c r="AI134" s="167"/>
      <c r="AJ134" s="167"/>
      <c r="AK134" s="167"/>
      <c r="AL134" s="167"/>
      <c r="AM134" s="167"/>
      <c r="AN134" s="167"/>
      <c r="AO134" s="167"/>
      <c r="AP134" s="167"/>
      <c r="AQ134" s="167"/>
      <c r="AR134" s="167"/>
      <c r="AS134" s="167"/>
      <c r="AT134" s="167"/>
      <c r="AU134" s="167"/>
      <c r="AV134" s="167"/>
      <c r="AW134" s="167"/>
      <c r="AX134" s="167"/>
      <c r="AY134" s="167"/>
      <c r="AZ134" s="167"/>
      <c r="BA134" s="167"/>
      <c r="BB134" s="167"/>
      <c r="BC134" s="167"/>
      <c r="BD134" s="167"/>
      <c r="BE134" s="167"/>
      <c r="BF134" s="167"/>
      <c r="BG134" s="167"/>
      <c r="BH134" s="167"/>
      <c r="BI134" s="167"/>
      <c r="BJ134" s="167"/>
      <c r="BK134" s="167"/>
      <c r="BL134" s="167"/>
      <c r="BM134" s="167"/>
      <c r="BN134" s="167"/>
      <c r="BO134" s="167"/>
      <c r="BP134" s="167"/>
      <c r="BQ134" s="167"/>
      <c r="BR134" s="167"/>
      <c r="BS134" s="167"/>
      <c r="BT134" s="167"/>
      <c r="BU134" s="167"/>
      <c r="BV134" s="167"/>
      <c r="BW134" s="167"/>
      <c r="BX134" s="167"/>
      <c r="BY134" s="167"/>
      <c r="BZ134" s="167"/>
      <c r="CA134" s="167"/>
      <c r="CB134" s="167"/>
      <c r="CC134" s="167"/>
      <c r="CD134" s="167"/>
      <c r="CE134" s="167"/>
      <c r="CF134" s="167"/>
      <c r="CG134" s="167"/>
      <c r="CH134" s="167"/>
      <c r="CI134" s="167"/>
      <c r="CJ134" s="167"/>
      <c r="CK134" s="167"/>
      <c r="CL134" s="167"/>
      <c r="CM134" s="167"/>
      <c r="CN134" s="167"/>
      <c r="CO134" s="167"/>
      <c r="CP134" s="167"/>
      <c r="CQ134" s="167"/>
      <c r="CR134" s="167"/>
      <c r="CS134" s="167"/>
      <c r="CT134" s="167"/>
      <c r="CU134" s="167"/>
    </row>
    <row r="135" spans="6:99">
      <c r="F135" s="167"/>
      <c r="G135" s="167"/>
      <c r="H135" s="167"/>
      <c r="I135" s="167"/>
      <c r="W135" s="167"/>
      <c r="X135" s="167"/>
      <c r="Y135" s="167"/>
      <c r="Z135" s="167"/>
      <c r="AA135" s="167"/>
      <c r="AB135" s="167"/>
      <c r="AC135" s="167"/>
      <c r="AD135" s="167"/>
      <c r="AE135" s="167"/>
      <c r="AF135" s="167"/>
      <c r="AG135" s="167"/>
      <c r="AH135" s="167"/>
      <c r="AI135" s="167"/>
      <c r="AJ135" s="167"/>
      <c r="AK135" s="167"/>
      <c r="AL135" s="167"/>
      <c r="AM135" s="167"/>
      <c r="AN135" s="167"/>
      <c r="AO135" s="167"/>
      <c r="AP135" s="167"/>
      <c r="AQ135" s="167"/>
      <c r="AR135" s="167"/>
      <c r="AS135" s="167"/>
      <c r="AT135" s="167"/>
      <c r="AU135" s="167"/>
      <c r="AV135" s="167"/>
      <c r="AW135" s="167"/>
      <c r="AX135" s="167"/>
      <c r="AY135" s="167"/>
      <c r="AZ135" s="167"/>
      <c r="BA135" s="167"/>
      <c r="BB135" s="167"/>
      <c r="BC135" s="167"/>
      <c r="BD135" s="167"/>
      <c r="BE135" s="167"/>
      <c r="BF135" s="167"/>
      <c r="BG135" s="167"/>
      <c r="BH135" s="167"/>
      <c r="BI135" s="167"/>
      <c r="BJ135" s="167"/>
      <c r="BK135" s="167"/>
      <c r="BL135" s="167"/>
      <c r="BM135" s="167"/>
      <c r="BN135" s="167"/>
      <c r="BO135" s="167"/>
      <c r="BP135" s="167"/>
      <c r="BQ135" s="167"/>
      <c r="BR135" s="167"/>
      <c r="BS135" s="167"/>
      <c r="BT135" s="167"/>
      <c r="BU135" s="167"/>
      <c r="BV135" s="167"/>
      <c r="BW135" s="167"/>
      <c r="BX135" s="167"/>
      <c r="BY135" s="167"/>
      <c r="BZ135" s="167"/>
      <c r="CA135" s="167"/>
      <c r="CB135" s="167"/>
      <c r="CC135" s="167"/>
      <c r="CD135" s="167"/>
      <c r="CE135" s="167"/>
      <c r="CF135" s="167"/>
      <c r="CG135" s="167"/>
      <c r="CH135" s="167"/>
      <c r="CI135" s="167"/>
      <c r="CJ135" s="167"/>
      <c r="CK135" s="167"/>
      <c r="CL135" s="167"/>
      <c r="CM135" s="167"/>
      <c r="CN135" s="167"/>
      <c r="CO135" s="167"/>
      <c r="CP135" s="167"/>
      <c r="CQ135" s="167"/>
      <c r="CR135" s="167"/>
      <c r="CS135" s="167"/>
      <c r="CT135" s="167"/>
      <c r="CU135" s="167"/>
    </row>
    <row r="136" spans="6:99">
      <c r="F136" s="167"/>
      <c r="G136" s="167"/>
      <c r="H136" s="167"/>
      <c r="I136" s="167"/>
      <c r="W136" s="167"/>
      <c r="X136" s="167"/>
      <c r="Y136" s="167"/>
      <c r="Z136" s="167"/>
      <c r="AA136" s="167"/>
      <c r="AB136" s="167"/>
      <c r="AC136" s="167"/>
      <c r="AD136" s="167"/>
      <c r="AE136" s="167"/>
      <c r="AF136" s="167"/>
      <c r="AG136" s="167"/>
      <c r="AH136" s="167"/>
      <c r="AI136" s="167"/>
      <c r="AJ136" s="167"/>
      <c r="AK136" s="167"/>
      <c r="AL136" s="167"/>
      <c r="AM136" s="167"/>
      <c r="AN136" s="167"/>
      <c r="AO136" s="167"/>
      <c r="AP136" s="167"/>
      <c r="AQ136" s="167"/>
      <c r="AR136" s="167"/>
      <c r="AS136" s="167"/>
      <c r="AT136" s="167"/>
      <c r="AU136" s="167"/>
      <c r="AV136" s="167"/>
      <c r="AW136" s="167"/>
      <c r="AX136" s="167"/>
      <c r="AY136" s="167"/>
      <c r="AZ136" s="167"/>
      <c r="BA136" s="167"/>
      <c r="BB136" s="167"/>
      <c r="BC136" s="167"/>
      <c r="BD136" s="167"/>
      <c r="BE136" s="167"/>
      <c r="BF136" s="167"/>
      <c r="BG136" s="167"/>
      <c r="BH136" s="167"/>
      <c r="BI136" s="167"/>
      <c r="BJ136" s="167"/>
      <c r="BK136" s="167"/>
      <c r="BL136" s="167"/>
      <c r="BM136" s="167"/>
      <c r="BN136" s="167"/>
      <c r="BO136" s="167"/>
      <c r="BP136" s="167"/>
      <c r="BQ136" s="167"/>
      <c r="BR136" s="167"/>
      <c r="BS136" s="167"/>
      <c r="BT136" s="167"/>
      <c r="BU136" s="167"/>
      <c r="BV136" s="167"/>
      <c r="BW136" s="167"/>
      <c r="BX136" s="167"/>
      <c r="BY136" s="167"/>
      <c r="BZ136" s="167"/>
      <c r="CA136" s="167"/>
      <c r="CB136" s="167"/>
      <c r="CC136" s="167"/>
      <c r="CD136" s="167"/>
      <c r="CE136" s="167"/>
      <c r="CF136" s="167"/>
      <c r="CG136" s="167"/>
      <c r="CH136" s="167"/>
      <c r="CI136" s="167"/>
      <c r="CJ136" s="167"/>
      <c r="CK136" s="167"/>
      <c r="CL136" s="167"/>
      <c r="CM136" s="167"/>
      <c r="CN136" s="167"/>
      <c r="CO136" s="167"/>
      <c r="CP136" s="167"/>
      <c r="CQ136" s="167"/>
      <c r="CR136" s="167"/>
      <c r="CS136" s="167"/>
      <c r="CT136" s="167"/>
      <c r="CU136" s="167"/>
    </row>
    <row r="137" spans="6:99">
      <c r="F137" s="167"/>
      <c r="G137" s="167"/>
      <c r="H137" s="167"/>
      <c r="I137" s="167"/>
      <c r="W137" s="167"/>
      <c r="X137" s="167"/>
      <c r="Y137" s="167"/>
      <c r="Z137" s="167"/>
      <c r="AA137" s="167"/>
      <c r="AB137" s="167"/>
      <c r="AC137" s="167"/>
      <c r="AD137" s="167"/>
      <c r="AE137" s="167"/>
      <c r="AF137" s="167"/>
      <c r="AG137" s="167"/>
      <c r="AH137" s="167"/>
      <c r="AI137" s="167"/>
      <c r="AJ137" s="167"/>
      <c r="AK137" s="167"/>
      <c r="AL137" s="167"/>
      <c r="AM137" s="167"/>
      <c r="AN137" s="167"/>
      <c r="AO137" s="167"/>
      <c r="AP137" s="167"/>
      <c r="AQ137" s="167"/>
      <c r="AR137" s="167"/>
      <c r="AS137" s="167"/>
      <c r="AT137" s="167"/>
      <c r="AU137" s="167"/>
      <c r="AV137" s="167"/>
      <c r="AW137" s="167"/>
      <c r="AX137" s="167"/>
      <c r="AY137" s="167"/>
      <c r="AZ137" s="167"/>
      <c r="BA137" s="167"/>
      <c r="BB137" s="167"/>
      <c r="BC137" s="167"/>
      <c r="BD137" s="167"/>
      <c r="BE137" s="167"/>
      <c r="BF137" s="167"/>
      <c r="BG137" s="167"/>
      <c r="BH137" s="167"/>
      <c r="BI137" s="167"/>
      <c r="BJ137" s="167"/>
      <c r="BK137" s="167"/>
      <c r="BL137" s="167"/>
      <c r="BM137" s="167"/>
      <c r="BN137" s="167"/>
      <c r="BO137" s="167"/>
      <c r="BP137" s="167"/>
      <c r="BQ137" s="167"/>
      <c r="BR137" s="167"/>
      <c r="BS137" s="167"/>
      <c r="BT137" s="167"/>
      <c r="BU137" s="167"/>
      <c r="BV137" s="167"/>
      <c r="BW137" s="167"/>
      <c r="BX137" s="167"/>
      <c r="BY137" s="167"/>
      <c r="BZ137" s="167"/>
      <c r="CA137" s="167"/>
      <c r="CB137" s="167"/>
      <c r="CC137" s="167"/>
      <c r="CD137" s="167"/>
      <c r="CE137" s="167"/>
      <c r="CF137" s="167"/>
      <c r="CG137" s="167"/>
      <c r="CH137" s="167"/>
      <c r="CI137" s="167"/>
      <c r="CJ137" s="167"/>
      <c r="CK137" s="167"/>
      <c r="CL137" s="167"/>
      <c r="CM137" s="167"/>
      <c r="CN137" s="167"/>
      <c r="CO137" s="167"/>
      <c r="CP137" s="167"/>
      <c r="CQ137" s="167"/>
      <c r="CR137" s="167"/>
      <c r="CS137" s="167"/>
      <c r="CT137" s="167"/>
      <c r="CU137" s="167"/>
    </row>
    <row r="138" spans="6:99">
      <c r="F138" s="167"/>
      <c r="G138" s="167"/>
      <c r="H138" s="167"/>
      <c r="I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7"/>
      <c r="BA138" s="167"/>
      <c r="BB138" s="167"/>
      <c r="BC138" s="167"/>
      <c r="BD138" s="167"/>
      <c r="BE138" s="167"/>
      <c r="BF138" s="167"/>
      <c r="BG138" s="167"/>
      <c r="BH138" s="167"/>
      <c r="BI138" s="167"/>
      <c r="BJ138" s="167"/>
      <c r="BK138" s="167"/>
      <c r="BL138" s="167"/>
      <c r="BM138" s="167"/>
      <c r="BN138" s="167"/>
      <c r="BO138" s="167"/>
      <c r="BP138" s="167"/>
      <c r="BQ138" s="167"/>
      <c r="BR138" s="167"/>
      <c r="BS138" s="167"/>
      <c r="BT138" s="167"/>
      <c r="BU138" s="167"/>
      <c r="BV138" s="167"/>
      <c r="BW138" s="167"/>
      <c r="BX138" s="167"/>
      <c r="BY138" s="167"/>
      <c r="BZ138" s="167"/>
      <c r="CA138" s="167"/>
      <c r="CB138" s="167"/>
      <c r="CC138" s="167"/>
      <c r="CD138" s="167"/>
      <c r="CE138" s="167"/>
      <c r="CF138" s="167"/>
      <c r="CG138" s="167"/>
      <c r="CH138" s="167"/>
      <c r="CI138" s="167"/>
      <c r="CJ138" s="167"/>
      <c r="CK138" s="167"/>
      <c r="CL138" s="167"/>
      <c r="CM138" s="167"/>
      <c r="CN138" s="167"/>
      <c r="CO138" s="167"/>
      <c r="CP138" s="167"/>
      <c r="CQ138" s="167"/>
      <c r="CR138" s="167"/>
      <c r="CS138" s="167"/>
      <c r="CT138" s="167"/>
      <c r="CU138" s="167"/>
    </row>
    <row r="139" spans="6:99">
      <c r="F139" s="167"/>
      <c r="G139" s="167"/>
      <c r="H139" s="167"/>
      <c r="I139" s="167"/>
      <c r="W139" s="167"/>
      <c r="X139" s="167"/>
      <c r="Y139" s="167"/>
      <c r="Z139" s="167"/>
      <c r="AA139" s="167"/>
      <c r="AB139" s="167"/>
      <c r="AC139" s="167"/>
      <c r="AD139" s="167"/>
      <c r="AE139" s="167"/>
      <c r="AF139" s="167"/>
      <c r="AG139" s="167"/>
      <c r="AH139" s="167"/>
      <c r="AI139" s="167"/>
      <c r="AJ139" s="167"/>
      <c r="AK139" s="167"/>
      <c r="AL139" s="167"/>
      <c r="AM139" s="167"/>
      <c r="AN139" s="167"/>
      <c r="AO139" s="167"/>
      <c r="AP139" s="167"/>
      <c r="AQ139" s="167"/>
      <c r="AR139" s="167"/>
      <c r="AS139" s="167"/>
      <c r="AT139" s="167"/>
      <c r="AU139" s="167"/>
      <c r="AV139" s="167"/>
      <c r="AW139" s="167"/>
      <c r="AX139" s="167"/>
      <c r="AY139" s="167"/>
      <c r="AZ139" s="167"/>
      <c r="BA139" s="167"/>
      <c r="BB139" s="167"/>
      <c r="BC139" s="167"/>
      <c r="BD139" s="167"/>
      <c r="BE139" s="167"/>
      <c r="BF139" s="167"/>
      <c r="BG139" s="167"/>
      <c r="BH139" s="167"/>
      <c r="BI139" s="167"/>
      <c r="BJ139" s="167"/>
      <c r="BK139" s="167"/>
      <c r="BL139" s="167"/>
      <c r="BM139" s="167"/>
      <c r="BN139" s="167"/>
      <c r="BO139" s="167"/>
      <c r="BP139" s="167"/>
      <c r="BQ139" s="167"/>
      <c r="BR139" s="167"/>
      <c r="BS139" s="167"/>
      <c r="BT139" s="167"/>
      <c r="BU139" s="167"/>
      <c r="BV139" s="167"/>
      <c r="BW139" s="167"/>
      <c r="BX139" s="167"/>
      <c r="BY139" s="167"/>
      <c r="BZ139" s="167"/>
      <c r="CA139" s="167"/>
      <c r="CB139" s="167"/>
      <c r="CC139" s="167"/>
      <c r="CD139" s="167"/>
      <c r="CE139" s="167"/>
      <c r="CF139" s="167"/>
      <c r="CG139" s="167"/>
      <c r="CH139" s="167"/>
      <c r="CI139" s="167"/>
      <c r="CJ139" s="167"/>
      <c r="CK139" s="167"/>
      <c r="CL139" s="167"/>
      <c r="CM139" s="167"/>
      <c r="CN139" s="167"/>
      <c r="CO139" s="167"/>
      <c r="CP139" s="167"/>
      <c r="CQ139" s="167"/>
      <c r="CR139" s="167"/>
      <c r="CS139" s="167"/>
      <c r="CT139" s="167"/>
      <c r="CU139" s="167"/>
    </row>
    <row r="140" spans="6:99">
      <c r="F140" s="167"/>
      <c r="G140" s="167"/>
      <c r="H140" s="167"/>
      <c r="I140" s="167"/>
      <c r="W140" s="167"/>
      <c r="X140" s="167"/>
      <c r="Y140" s="167"/>
      <c r="Z140" s="167"/>
      <c r="AA140" s="167"/>
      <c r="AB140" s="167"/>
      <c r="AC140" s="167"/>
      <c r="AD140" s="167"/>
      <c r="AE140" s="167"/>
      <c r="AF140" s="167"/>
      <c r="AG140" s="167"/>
      <c r="AH140" s="167"/>
      <c r="AI140" s="167"/>
      <c r="AJ140" s="167"/>
      <c r="AK140" s="167"/>
      <c r="AL140" s="167"/>
      <c r="AM140" s="167"/>
      <c r="AN140" s="167"/>
      <c r="AO140" s="167"/>
      <c r="AP140" s="167"/>
      <c r="AQ140" s="167"/>
      <c r="AR140" s="167"/>
      <c r="AS140" s="167"/>
      <c r="AT140" s="167"/>
      <c r="AU140" s="167"/>
      <c r="AV140" s="167"/>
      <c r="AW140" s="167"/>
      <c r="AX140" s="167"/>
      <c r="AY140" s="167"/>
      <c r="AZ140" s="167"/>
      <c r="BA140" s="167"/>
      <c r="BB140" s="167"/>
      <c r="BC140" s="167"/>
      <c r="BD140" s="167"/>
      <c r="BE140" s="167"/>
      <c r="BF140" s="167"/>
      <c r="BG140" s="167"/>
      <c r="BH140" s="167"/>
      <c r="BI140" s="167"/>
      <c r="BJ140" s="167"/>
      <c r="BK140" s="167"/>
      <c r="BL140" s="167"/>
      <c r="BM140" s="167"/>
      <c r="BN140" s="167"/>
      <c r="BO140" s="167"/>
      <c r="BP140" s="167"/>
      <c r="BQ140" s="167"/>
      <c r="BR140" s="167"/>
      <c r="BS140" s="167"/>
      <c r="BT140" s="167"/>
      <c r="BU140" s="167"/>
      <c r="BV140" s="167"/>
      <c r="BW140" s="167"/>
      <c r="BX140" s="167"/>
      <c r="BY140" s="167"/>
      <c r="BZ140" s="167"/>
      <c r="CA140" s="167"/>
      <c r="CB140" s="167"/>
      <c r="CC140" s="167"/>
      <c r="CD140" s="167"/>
      <c r="CE140" s="167"/>
      <c r="CF140" s="167"/>
      <c r="CG140" s="167"/>
      <c r="CH140" s="167"/>
      <c r="CI140" s="167"/>
      <c r="CJ140" s="167"/>
      <c r="CK140" s="167"/>
      <c r="CL140" s="167"/>
      <c r="CM140" s="167"/>
      <c r="CN140" s="167"/>
      <c r="CO140" s="167"/>
      <c r="CP140" s="167"/>
      <c r="CQ140" s="167"/>
      <c r="CR140" s="167"/>
      <c r="CS140" s="167"/>
      <c r="CT140" s="167"/>
      <c r="CU140" s="167"/>
    </row>
    <row r="141" spans="6:99">
      <c r="F141" s="167"/>
      <c r="G141" s="167"/>
      <c r="H141" s="167"/>
      <c r="I141" s="167"/>
      <c r="W141" s="167"/>
      <c r="X141" s="167"/>
      <c r="Y141" s="167"/>
      <c r="Z141" s="167"/>
      <c r="AA141" s="167"/>
      <c r="AB141" s="167"/>
      <c r="AC141" s="167"/>
      <c r="AD141" s="167"/>
      <c r="AE141" s="167"/>
      <c r="AF141" s="167"/>
      <c r="AG141" s="167"/>
      <c r="AH141" s="167"/>
      <c r="AI141" s="167"/>
      <c r="AJ141" s="167"/>
      <c r="AK141" s="167"/>
      <c r="AL141" s="167"/>
      <c r="AM141" s="167"/>
      <c r="AN141" s="167"/>
      <c r="AO141" s="167"/>
      <c r="AP141" s="167"/>
      <c r="AQ141" s="167"/>
      <c r="AR141" s="167"/>
      <c r="AS141" s="167"/>
      <c r="AT141" s="167"/>
      <c r="AU141" s="167"/>
      <c r="AV141" s="167"/>
      <c r="AW141" s="167"/>
      <c r="AX141" s="167"/>
      <c r="AY141" s="167"/>
      <c r="AZ141" s="167"/>
      <c r="BA141" s="167"/>
      <c r="BB141" s="167"/>
      <c r="BC141" s="167"/>
      <c r="BD141" s="167"/>
      <c r="BE141" s="167"/>
      <c r="BF141" s="167"/>
      <c r="BG141" s="167"/>
      <c r="BH141" s="167"/>
      <c r="BI141" s="167"/>
      <c r="BJ141" s="167"/>
      <c r="BK141" s="167"/>
      <c r="BL141" s="167"/>
      <c r="BM141" s="167"/>
      <c r="BN141" s="167"/>
      <c r="BO141" s="167"/>
      <c r="BP141" s="167"/>
      <c r="BQ141" s="167"/>
      <c r="BR141" s="167"/>
      <c r="BS141" s="167"/>
      <c r="BT141" s="167"/>
      <c r="BU141" s="167"/>
      <c r="BV141" s="167"/>
      <c r="BW141" s="167"/>
      <c r="BX141" s="167"/>
      <c r="BY141" s="167"/>
      <c r="BZ141" s="167"/>
      <c r="CA141" s="167"/>
      <c r="CB141" s="167"/>
      <c r="CC141" s="167"/>
      <c r="CD141" s="167"/>
      <c r="CE141" s="167"/>
      <c r="CF141" s="167"/>
      <c r="CG141" s="167"/>
      <c r="CH141" s="167"/>
      <c r="CI141" s="167"/>
      <c r="CJ141" s="167"/>
      <c r="CK141" s="167"/>
      <c r="CL141" s="167"/>
      <c r="CM141" s="167"/>
      <c r="CN141" s="167"/>
      <c r="CO141" s="167"/>
      <c r="CP141" s="167"/>
      <c r="CQ141" s="167"/>
      <c r="CR141" s="167"/>
      <c r="CS141" s="167"/>
      <c r="CT141" s="167"/>
      <c r="CU141" s="167"/>
    </row>
    <row r="142" spans="6:99">
      <c r="F142" s="167"/>
      <c r="G142" s="167"/>
      <c r="H142" s="167"/>
      <c r="I142" s="167"/>
      <c r="W142" s="167"/>
      <c r="X142" s="167"/>
      <c r="Y142" s="167"/>
      <c r="Z142" s="167"/>
      <c r="AA142" s="167"/>
      <c r="AB142" s="167"/>
      <c r="AC142" s="167"/>
      <c r="AD142" s="167"/>
      <c r="AE142" s="167"/>
      <c r="AF142" s="167"/>
      <c r="AG142" s="167"/>
      <c r="AH142" s="167"/>
      <c r="AI142" s="167"/>
      <c r="AJ142" s="167"/>
      <c r="AK142" s="167"/>
      <c r="AL142" s="167"/>
      <c r="AM142" s="167"/>
      <c r="AN142" s="167"/>
      <c r="AO142" s="167"/>
      <c r="AP142" s="167"/>
      <c r="AQ142" s="167"/>
      <c r="AR142" s="167"/>
      <c r="AS142" s="167"/>
      <c r="AT142" s="167"/>
      <c r="AU142" s="167"/>
      <c r="AV142" s="167"/>
      <c r="AW142" s="167"/>
      <c r="AX142" s="167"/>
      <c r="AY142" s="167"/>
      <c r="AZ142" s="167"/>
      <c r="BA142" s="167"/>
      <c r="BB142" s="167"/>
      <c r="BC142" s="167"/>
      <c r="BD142" s="167"/>
      <c r="BE142" s="167"/>
      <c r="BF142" s="167"/>
      <c r="BG142" s="167"/>
      <c r="BH142" s="167"/>
      <c r="BI142" s="167"/>
      <c r="BJ142" s="167"/>
      <c r="BK142" s="167"/>
      <c r="BL142" s="167"/>
      <c r="BM142" s="167"/>
      <c r="BN142" s="167"/>
      <c r="BO142" s="167"/>
      <c r="BP142" s="167"/>
      <c r="BQ142" s="167"/>
      <c r="BR142" s="167"/>
      <c r="BS142" s="167"/>
      <c r="BT142" s="167"/>
      <c r="BU142" s="167"/>
      <c r="BV142" s="167"/>
      <c r="BW142" s="167"/>
      <c r="BX142" s="167"/>
      <c r="BY142" s="167"/>
      <c r="BZ142" s="167"/>
      <c r="CA142" s="167"/>
      <c r="CB142" s="167"/>
      <c r="CC142" s="167"/>
      <c r="CD142" s="167"/>
      <c r="CE142" s="167"/>
      <c r="CF142" s="167"/>
      <c r="CG142" s="167"/>
      <c r="CH142" s="167"/>
      <c r="CI142" s="167"/>
      <c r="CJ142" s="167"/>
      <c r="CK142" s="167"/>
      <c r="CL142" s="167"/>
      <c r="CM142" s="167"/>
      <c r="CN142" s="167"/>
      <c r="CO142" s="167"/>
      <c r="CP142" s="167"/>
      <c r="CQ142" s="167"/>
      <c r="CR142" s="167"/>
      <c r="CS142" s="167"/>
      <c r="CT142" s="167"/>
      <c r="CU142" s="167"/>
    </row>
    <row r="143" spans="6:99">
      <c r="F143" s="167"/>
      <c r="G143" s="167"/>
      <c r="H143" s="167"/>
      <c r="I143" s="167"/>
      <c r="W143" s="167"/>
      <c r="X143" s="167"/>
      <c r="Y143" s="167"/>
      <c r="Z143" s="167"/>
      <c r="AA143" s="167"/>
      <c r="AB143" s="167"/>
      <c r="AC143" s="167"/>
      <c r="AD143" s="167"/>
      <c r="AE143" s="167"/>
      <c r="AF143" s="167"/>
      <c r="AG143" s="167"/>
      <c r="AH143" s="167"/>
      <c r="AI143" s="167"/>
      <c r="AJ143" s="167"/>
      <c r="AK143" s="167"/>
      <c r="AL143" s="167"/>
      <c r="AM143" s="167"/>
      <c r="AN143" s="167"/>
      <c r="AO143" s="167"/>
      <c r="AP143" s="167"/>
      <c r="AQ143" s="167"/>
      <c r="AR143" s="167"/>
      <c r="AS143" s="167"/>
      <c r="AT143" s="167"/>
      <c r="AU143" s="167"/>
      <c r="AV143" s="167"/>
      <c r="AW143" s="167"/>
      <c r="AX143" s="167"/>
      <c r="AY143" s="167"/>
      <c r="AZ143" s="167"/>
      <c r="BA143" s="167"/>
      <c r="BB143" s="167"/>
      <c r="BC143" s="167"/>
      <c r="BD143" s="167"/>
      <c r="BE143" s="167"/>
      <c r="BF143" s="167"/>
      <c r="BG143" s="167"/>
      <c r="BH143" s="167"/>
      <c r="BI143" s="167"/>
      <c r="BJ143" s="167"/>
      <c r="BK143" s="167"/>
      <c r="BL143" s="167"/>
      <c r="BM143" s="167"/>
      <c r="BN143" s="167"/>
      <c r="BO143" s="167"/>
      <c r="BP143" s="167"/>
      <c r="BQ143" s="167"/>
      <c r="BR143" s="167"/>
      <c r="BS143" s="167"/>
      <c r="BT143" s="167"/>
      <c r="BU143" s="167"/>
      <c r="BV143" s="167"/>
      <c r="BW143" s="167"/>
      <c r="BX143" s="167"/>
      <c r="BY143" s="167"/>
      <c r="BZ143" s="167"/>
      <c r="CA143" s="167"/>
      <c r="CB143" s="167"/>
      <c r="CC143" s="167"/>
      <c r="CD143" s="167"/>
      <c r="CE143" s="167"/>
      <c r="CF143" s="167"/>
      <c r="CG143" s="167"/>
      <c r="CH143" s="167"/>
      <c r="CI143" s="167"/>
      <c r="CJ143" s="167"/>
      <c r="CK143" s="167"/>
      <c r="CL143" s="167"/>
      <c r="CM143" s="167"/>
      <c r="CN143" s="167"/>
      <c r="CO143" s="167"/>
      <c r="CP143" s="167"/>
      <c r="CQ143" s="167"/>
      <c r="CR143" s="167"/>
      <c r="CS143" s="167"/>
      <c r="CT143" s="167"/>
      <c r="CU143" s="167"/>
    </row>
    <row r="144" spans="6:99">
      <c r="F144" s="167"/>
      <c r="G144" s="167"/>
      <c r="H144" s="167"/>
      <c r="I144" s="167"/>
      <c r="W144" s="167"/>
      <c r="X144" s="167"/>
      <c r="Y144" s="167"/>
      <c r="Z144" s="167"/>
      <c r="AA144" s="167"/>
      <c r="AB144" s="167"/>
      <c r="AC144" s="167"/>
      <c r="AD144" s="167"/>
      <c r="AE144" s="167"/>
      <c r="AF144" s="167"/>
      <c r="AG144" s="167"/>
      <c r="AH144" s="167"/>
      <c r="AI144" s="167"/>
      <c r="AJ144" s="167"/>
      <c r="AK144" s="167"/>
      <c r="AL144" s="167"/>
      <c r="AM144" s="167"/>
      <c r="AN144" s="167"/>
      <c r="AO144" s="167"/>
      <c r="AP144" s="167"/>
      <c r="AQ144" s="167"/>
      <c r="AR144" s="167"/>
      <c r="AS144" s="167"/>
      <c r="AT144" s="167"/>
      <c r="AU144" s="167"/>
      <c r="AV144" s="167"/>
      <c r="AW144" s="167"/>
      <c r="AX144" s="167"/>
      <c r="AY144" s="167"/>
      <c r="AZ144" s="167"/>
      <c r="BA144" s="167"/>
      <c r="BB144" s="167"/>
      <c r="BC144" s="167"/>
      <c r="BD144" s="167"/>
      <c r="BE144" s="167"/>
      <c r="BF144" s="167"/>
      <c r="BG144" s="167"/>
      <c r="BH144" s="167"/>
      <c r="BI144" s="167"/>
      <c r="BJ144" s="167"/>
      <c r="BK144" s="167"/>
      <c r="BL144" s="167"/>
      <c r="BM144" s="167"/>
      <c r="BN144" s="167"/>
      <c r="BO144" s="167"/>
      <c r="BP144" s="167"/>
      <c r="BQ144" s="167"/>
      <c r="BR144" s="167"/>
      <c r="BS144" s="167"/>
      <c r="BT144" s="167"/>
      <c r="BU144" s="167"/>
      <c r="BV144" s="167"/>
      <c r="BW144" s="167"/>
      <c r="BX144" s="167"/>
      <c r="BY144" s="167"/>
      <c r="BZ144" s="167"/>
      <c r="CA144" s="167"/>
      <c r="CB144" s="167"/>
      <c r="CC144" s="167"/>
      <c r="CD144" s="167"/>
      <c r="CE144" s="167"/>
      <c r="CF144" s="167"/>
      <c r="CG144" s="167"/>
      <c r="CH144" s="167"/>
      <c r="CI144" s="167"/>
      <c r="CJ144" s="167"/>
      <c r="CK144" s="167"/>
      <c r="CL144" s="167"/>
      <c r="CM144" s="167"/>
      <c r="CN144" s="167"/>
      <c r="CO144" s="167"/>
      <c r="CP144" s="167"/>
      <c r="CQ144" s="167"/>
      <c r="CR144" s="167"/>
      <c r="CS144" s="167"/>
      <c r="CT144" s="167"/>
      <c r="CU144" s="167"/>
    </row>
    <row r="145" spans="6:99">
      <c r="F145" s="167"/>
      <c r="G145" s="167"/>
      <c r="H145" s="167"/>
      <c r="I145" s="167"/>
      <c r="W145" s="167"/>
      <c r="X145" s="167"/>
      <c r="Y145" s="167"/>
      <c r="Z145" s="167"/>
      <c r="AA145" s="167"/>
      <c r="AB145" s="167"/>
      <c r="AC145" s="167"/>
      <c r="AD145" s="167"/>
      <c r="AE145" s="167"/>
      <c r="AF145" s="167"/>
      <c r="AG145" s="167"/>
      <c r="AH145" s="167"/>
      <c r="AI145" s="167"/>
      <c r="AJ145" s="167"/>
      <c r="AK145" s="167"/>
      <c r="AL145" s="167"/>
      <c r="AM145" s="167"/>
      <c r="AN145" s="167"/>
      <c r="AO145" s="167"/>
      <c r="AP145" s="167"/>
      <c r="AQ145" s="167"/>
      <c r="AR145" s="167"/>
      <c r="AS145" s="167"/>
      <c r="AT145" s="167"/>
      <c r="AU145" s="167"/>
      <c r="AV145" s="167"/>
      <c r="AW145" s="167"/>
      <c r="AX145" s="167"/>
      <c r="AY145" s="167"/>
      <c r="AZ145" s="167"/>
      <c r="BA145" s="167"/>
      <c r="BB145" s="167"/>
      <c r="BC145" s="167"/>
      <c r="BD145" s="167"/>
      <c r="BE145" s="167"/>
      <c r="BF145" s="167"/>
      <c r="BG145" s="167"/>
      <c r="BH145" s="167"/>
      <c r="BI145" s="167"/>
      <c r="BJ145" s="167"/>
      <c r="BK145" s="167"/>
      <c r="BL145" s="167"/>
      <c r="BM145" s="167"/>
      <c r="BN145" s="167"/>
      <c r="BO145" s="167"/>
      <c r="BP145" s="167"/>
      <c r="BQ145" s="167"/>
      <c r="BR145" s="167"/>
      <c r="BS145" s="167"/>
      <c r="BT145" s="167"/>
      <c r="BU145" s="167"/>
      <c r="BV145" s="167"/>
      <c r="BW145" s="167"/>
      <c r="BX145" s="167"/>
      <c r="BY145" s="167"/>
      <c r="BZ145" s="167"/>
      <c r="CA145" s="167"/>
      <c r="CB145" s="167"/>
      <c r="CC145" s="167"/>
      <c r="CD145" s="167"/>
      <c r="CE145" s="167"/>
      <c r="CF145" s="167"/>
      <c r="CG145" s="167"/>
      <c r="CH145" s="167"/>
      <c r="CI145" s="167"/>
      <c r="CJ145" s="167"/>
      <c r="CK145" s="167"/>
      <c r="CL145" s="167"/>
      <c r="CM145" s="167"/>
      <c r="CN145" s="167"/>
      <c r="CO145" s="167"/>
      <c r="CP145" s="167"/>
      <c r="CQ145" s="167"/>
      <c r="CR145" s="167"/>
      <c r="CS145" s="167"/>
      <c r="CT145" s="167"/>
      <c r="CU145" s="167"/>
    </row>
    <row r="146" spans="6:99">
      <c r="F146" s="167"/>
      <c r="G146" s="167"/>
      <c r="H146" s="167"/>
      <c r="I146" s="167"/>
      <c r="W146" s="167"/>
      <c r="X146" s="167"/>
      <c r="Y146" s="167"/>
      <c r="Z146" s="167"/>
      <c r="AA146" s="167"/>
      <c r="AB146" s="167"/>
      <c r="AC146" s="167"/>
      <c r="AD146" s="167"/>
      <c r="AE146" s="167"/>
      <c r="AF146" s="167"/>
      <c r="AG146" s="167"/>
      <c r="AH146" s="167"/>
      <c r="AI146" s="167"/>
      <c r="AJ146" s="167"/>
      <c r="AK146" s="167"/>
      <c r="AL146" s="167"/>
      <c r="AM146" s="167"/>
      <c r="AN146" s="167"/>
      <c r="AO146" s="167"/>
      <c r="AP146" s="167"/>
      <c r="AQ146" s="167"/>
      <c r="AR146" s="167"/>
      <c r="AS146" s="167"/>
      <c r="AT146" s="167"/>
      <c r="AU146" s="167"/>
      <c r="AV146" s="167"/>
      <c r="AW146" s="167"/>
      <c r="AX146" s="167"/>
      <c r="AY146" s="167"/>
      <c r="AZ146" s="167"/>
      <c r="BA146" s="167"/>
      <c r="BB146" s="167"/>
      <c r="BC146" s="167"/>
      <c r="BD146" s="167"/>
      <c r="BE146" s="167"/>
      <c r="BF146" s="167"/>
      <c r="BG146" s="167"/>
      <c r="BH146" s="167"/>
      <c r="BI146" s="167"/>
      <c r="BJ146" s="167"/>
      <c r="BK146" s="167"/>
      <c r="BL146" s="167"/>
      <c r="BM146" s="167"/>
      <c r="BN146" s="167"/>
      <c r="BO146" s="167"/>
      <c r="BP146" s="167"/>
      <c r="BQ146" s="167"/>
      <c r="BR146" s="167"/>
      <c r="BS146" s="167"/>
      <c r="BT146" s="167"/>
      <c r="BU146" s="167"/>
      <c r="BV146" s="167"/>
      <c r="BW146" s="167"/>
      <c r="BX146" s="167"/>
      <c r="BY146" s="167"/>
      <c r="BZ146" s="167"/>
      <c r="CA146" s="167"/>
      <c r="CB146" s="167"/>
      <c r="CC146" s="167"/>
      <c r="CD146" s="167"/>
      <c r="CE146" s="167"/>
      <c r="CF146" s="167"/>
      <c r="CG146" s="167"/>
      <c r="CH146" s="167"/>
      <c r="CI146" s="167"/>
      <c r="CJ146" s="167"/>
      <c r="CK146" s="167"/>
      <c r="CL146" s="167"/>
      <c r="CM146" s="167"/>
      <c r="CN146" s="167"/>
      <c r="CO146" s="167"/>
      <c r="CP146" s="167"/>
      <c r="CQ146" s="167"/>
      <c r="CR146" s="167"/>
      <c r="CS146" s="167"/>
      <c r="CT146" s="167"/>
      <c r="CU146" s="167"/>
    </row>
    <row r="147" spans="6:99">
      <c r="F147" s="167"/>
      <c r="G147" s="167"/>
      <c r="H147" s="167"/>
      <c r="I147" s="167"/>
      <c r="W147" s="167"/>
      <c r="X147" s="167"/>
      <c r="Y147" s="167"/>
      <c r="Z147" s="167"/>
      <c r="AA147" s="167"/>
      <c r="AB147" s="167"/>
      <c r="AC147" s="167"/>
      <c r="AD147" s="167"/>
      <c r="AE147" s="167"/>
      <c r="AF147" s="167"/>
      <c r="AG147" s="167"/>
      <c r="AH147" s="167"/>
      <c r="AI147" s="167"/>
      <c r="AJ147" s="167"/>
      <c r="AK147" s="167"/>
      <c r="AL147" s="167"/>
      <c r="AM147" s="167"/>
      <c r="AN147" s="167"/>
      <c r="AO147" s="167"/>
      <c r="AP147" s="167"/>
      <c r="AQ147" s="167"/>
      <c r="AR147" s="167"/>
      <c r="AS147" s="167"/>
      <c r="AT147" s="167"/>
      <c r="AU147" s="167"/>
      <c r="AV147" s="167"/>
      <c r="AW147" s="167"/>
      <c r="AX147" s="167"/>
      <c r="AY147" s="167"/>
      <c r="AZ147" s="167"/>
      <c r="BA147" s="167"/>
      <c r="BB147" s="167"/>
      <c r="BC147" s="167"/>
      <c r="BD147" s="167"/>
      <c r="BE147" s="167"/>
      <c r="BF147" s="167"/>
      <c r="BG147" s="167"/>
      <c r="BH147" s="167"/>
      <c r="BI147" s="167"/>
      <c r="BJ147" s="167"/>
      <c r="BK147" s="167"/>
      <c r="BL147" s="167"/>
      <c r="BM147" s="167"/>
      <c r="BN147" s="167"/>
      <c r="BO147" s="167"/>
      <c r="BP147" s="167"/>
      <c r="BQ147" s="167"/>
      <c r="BR147" s="167"/>
      <c r="BS147" s="167"/>
      <c r="BT147" s="167"/>
      <c r="BU147" s="167"/>
      <c r="BV147" s="167"/>
      <c r="BW147" s="167"/>
      <c r="BX147" s="167"/>
      <c r="BY147" s="167"/>
      <c r="BZ147" s="167"/>
      <c r="CA147" s="167"/>
      <c r="CB147" s="167"/>
      <c r="CC147" s="167"/>
      <c r="CD147" s="167"/>
      <c r="CE147" s="167"/>
      <c r="CF147" s="167"/>
      <c r="CG147" s="167"/>
      <c r="CH147" s="167"/>
      <c r="CI147" s="167"/>
      <c r="CJ147" s="167"/>
      <c r="CK147" s="167"/>
      <c r="CL147" s="167"/>
      <c r="CM147" s="167"/>
      <c r="CN147" s="167"/>
      <c r="CO147" s="167"/>
      <c r="CP147" s="167"/>
      <c r="CQ147" s="167"/>
      <c r="CR147" s="167"/>
      <c r="CS147" s="167"/>
      <c r="CT147" s="167"/>
      <c r="CU147" s="167"/>
    </row>
    <row r="148" spans="6:99">
      <c r="F148" s="167"/>
      <c r="G148" s="167"/>
      <c r="H148" s="167"/>
      <c r="I148" s="167"/>
      <c r="W148" s="167"/>
      <c r="X148" s="167"/>
      <c r="Y148" s="167"/>
      <c r="Z148" s="167"/>
      <c r="AA148" s="167"/>
      <c r="AB148" s="167"/>
      <c r="AC148" s="167"/>
      <c r="AD148" s="167"/>
      <c r="AE148" s="167"/>
      <c r="AF148" s="167"/>
      <c r="AG148" s="167"/>
      <c r="AH148" s="167"/>
      <c r="AI148" s="167"/>
      <c r="AJ148" s="167"/>
      <c r="AK148" s="167"/>
      <c r="AL148" s="167"/>
      <c r="AM148" s="167"/>
      <c r="AN148" s="167"/>
      <c r="AO148" s="167"/>
      <c r="AP148" s="167"/>
      <c r="AQ148" s="167"/>
      <c r="AR148" s="167"/>
      <c r="AS148" s="167"/>
      <c r="AT148" s="167"/>
      <c r="AU148" s="167"/>
      <c r="AV148" s="167"/>
      <c r="AW148" s="167"/>
      <c r="AX148" s="167"/>
      <c r="AY148" s="167"/>
      <c r="AZ148" s="167"/>
      <c r="BA148" s="167"/>
      <c r="BB148" s="167"/>
      <c r="BC148" s="167"/>
      <c r="BD148" s="167"/>
      <c r="BE148" s="167"/>
      <c r="BF148" s="167"/>
      <c r="BG148" s="167"/>
      <c r="BH148" s="167"/>
      <c r="BI148" s="167"/>
      <c r="BJ148" s="167"/>
      <c r="BK148" s="167"/>
      <c r="BL148" s="167"/>
      <c r="BM148" s="167"/>
      <c r="BN148" s="167"/>
      <c r="BO148" s="167"/>
      <c r="BP148" s="167"/>
      <c r="BQ148" s="167"/>
      <c r="BR148" s="167"/>
      <c r="BS148" s="167"/>
      <c r="BT148" s="167"/>
      <c r="BU148" s="167"/>
      <c r="BV148" s="167"/>
      <c r="BW148" s="167"/>
      <c r="BX148" s="167"/>
      <c r="BY148" s="167"/>
      <c r="BZ148" s="167"/>
      <c r="CA148" s="167"/>
      <c r="CB148" s="167"/>
      <c r="CC148" s="167"/>
      <c r="CD148" s="167"/>
      <c r="CE148" s="167"/>
      <c r="CF148" s="167"/>
      <c r="CG148" s="167"/>
      <c r="CH148" s="167"/>
      <c r="CI148" s="167"/>
      <c r="CJ148" s="167"/>
      <c r="CK148" s="167"/>
      <c r="CL148" s="167"/>
      <c r="CM148" s="167"/>
      <c r="CN148" s="167"/>
      <c r="CO148" s="167"/>
      <c r="CP148" s="167"/>
      <c r="CQ148" s="167"/>
      <c r="CR148" s="167"/>
      <c r="CS148" s="167"/>
      <c r="CT148" s="167"/>
      <c r="CU148" s="167"/>
    </row>
    <row r="149" spans="6:99">
      <c r="F149" s="167"/>
      <c r="G149" s="167"/>
      <c r="H149" s="167"/>
      <c r="I149" s="167"/>
      <c r="W149" s="167"/>
      <c r="X149" s="167"/>
      <c r="Y149" s="167"/>
      <c r="Z149" s="167"/>
      <c r="AA149" s="167"/>
      <c r="AB149" s="167"/>
      <c r="AC149" s="167"/>
      <c r="AD149" s="167"/>
      <c r="AE149" s="167"/>
      <c r="AF149" s="167"/>
      <c r="AG149" s="167"/>
      <c r="AH149" s="167"/>
      <c r="AI149" s="167"/>
      <c r="AJ149" s="167"/>
      <c r="AK149" s="167"/>
      <c r="AL149" s="167"/>
      <c r="AM149" s="167"/>
      <c r="AN149" s="167"/>
      <c r="AO149" s="167"/>
      <c r="AP149" s="167"/>
      <c r="AQ149" s="167"/>
      <c r="AR149" s="167"/>
      <c r="AS149" s="167"/>
      <c r="AT149" s="167"/>
      <c r="AU149" s="167"/>
      <c r="AV149" s="167"/>
      <c r="AW149" s="167"/>
      <c r="AX149" s="167"/>
      <c r="AY149" s="167"/>
      <c r="AZ149" s="167"/>
      <c r="BA149" s="167"/>
      <c r="BB149" s="167"/>
      <c r="BC149" s="167"/>
      <c r="BD149" s="167"/>
      <c r="BE149" s="167"/>
      <c r="BF149" s="167"/>
      <c r="BG149" s="167"/>
      <c r="BH149" s="167"/>
      <c r="BI149" s="167"/>
      <c r="BJ149" s="167"/>
      <c r="BK149" s="167"/>
      <c r="BL149" s="167"/>
      <c r="BM149" s="167"/>
      <c r="BN149" s="167"/>
      <c r="BO149" s="167"/>
      <c r="BP149" s="167"/>
      <c r="BQ149" s="167"/>
      <c r="BR149" s="167"/>
      <c r="BS149" s="167"/>
      <c r="BT149" s="167"/>
      <c r="BU149" s="167"/>
      <c r="BV149" s="167"/>
      <c r="BW149" s="167"/>
      <c r="BX149" s="167"/>
      <c r="BY149" s="167"/>
      <c r="BZ149" s="167"/>
      <c r="CA149" s="167"/>
      <c r="CB149" s="167"/>
      <c r="CC149" s="167"/>
      <c r="CD149" s="167"/>
      <c r="CE149" s="167"/>
      <c r="CF149" s="167"/>
      <c r="CG149" s="167"/>
      <c r="CH149" s="167"/>
      <c r="CI149" s="167"/>
      <c r="CJ149" s="167"/>
      <c r="CK149" s="167"/>
      <c r="CL149" s="167"/>
      <c r="CM149" s="167"/>
      <c r="CN149" s="167"/>
      <c r="CO149" s="167"/>
      <c r="CP149" s="167"/>
      <c r="CQ149" s="167"/>
      <c r="CR149" s="167"/>
      <c r="CS149" s="167"/>
      <c r="CT149" s="167"/>
      <c r="CU149" s="167"/>
    </row>
    <row r="150" spans="6:99">
      <c r="F150" s="167"/>
      <c r="G150" s="167"/>
      <c r="H150" s="167"/>
      <c r="I150" s="167"/>
      <c r="W150" s="167"/>
      <c r="X150" s="167"/>
      <c r="Y150" s="167"/>
      <c r="Z150" s="167"/>
      <c r="AA150" s="167"/>
      <c r="AB150" s="167"/>
      <c r="AC150" s="167"/>
      <c r="AD150" s="167"/>
      <c r="AE150" s="167"/>
      <c r="AF150" s="167"/>
      <c r="AG150" s="167"/>
      <c r="AH150" s="167"/>
      <c r="AI150" s="167"/>
      <c r="AJ150" s="167"/>
      <c r="AK150" s="167"/>
      <c r="AL150" s="167"/>
      <c r="AM150" s="167"/>
      <c r="AN150" s="167"/>
      <c r="AO150" s="167"/>
      <c r="AP150" s="167"/>
      <c r="AQ150" s="167"/>
      <c r="AR150" s="167"/>
      <c r="AS150" s="167"/>
      <c r="AT150" s="167"/>
      <c r="AU150" s="167"/>
      <c r="AV150" s="167"/>
      <c r="AW150" s="167"/>
      <c r="AX150" s="167"/>
      <c r="AY150" s="167"/>
      <c r="AZ150" s="167"/>
      <c r="BA150" s="167"/>
      <c r="BB150" s="167"/>
      <c r="BC150" s="167"/>
      <c r="BD150" s="167"/>
      <c r="BE150" s="167"/>
      <c r="BF150" s="167"/>
      <c r="BG150" s="167"/>
      <c r="BH150" s="167"/>
      <c r="BI150" s="167"/>
      <c r="BJ150" s="167"/>
      <c r="BK150" s="167"/>
      <c r="BL150" s="167"/>
      <c r="BM150" s="167"/>
      <c r="BN150" s="167"/>
      <c r="BO150" s="167"/>
      <c r="BP150" s="167"/>
      <c r="BQ150" s="167"/>
      <c r="BR150" s="167"/>
      <c r="BS150" s="167"/>
      <c r="BT150" s="167"/>
      <c r="BU150" s="167"/>
      <c r="BV150" s="167"/>
      <c r="BW150" s="167"/>
      <c r="BX150" s="167"/>
      <c r="BY150" s="167"/>
      <c r="BZ150" s="167"/>
      <c r="CA150" s="167"/>
      <c r="CB150" s="167"/>
      <c r="CC150" s="167"/>
      <c r="CD150" s="167"/>
      <c r="CE150" s="167"/>
      <c r="CF150" s="167"/>
      <c r="CG150" s="167"/>
      <c r="CH150" s="167"/>
      <c r="CI150" s="167"/>
      <c r="CJ150" s="167"/>
      <c r="CK150" s="167"/>
      <c r="CL150" s="167"/>
      <c r="CM150" s="167"/>
      <c r="CN150" s="167"/>
      <c r="CO150" s="167"/>
      <c r="CP150" s="167"/>
      <c r="CQ150" s="167"/>
      <c r="CR150" s="167"/>
      <c r="CS150" s="167"/>
      <c r="CT150" s="167"/>
      <c r="CU150" s="167"/>
    </row>
    <row r="151" spans="6:99">
      <c r="F151" s="167"/>
      <c r="G151" s="167"/>
      <c r="H151" s="167"/>
      <c r="I151" s="167"/>
      <c r="W151" s="167"/>
      <c r="X151" s="167"/>
      <c r="Y151" s="167"/>
      <c r="Z151" s="167"/>
      <c r="AA151" s="167"/>
      <c r="AB151" s="167"/>
      <c r="AC151" s="167"/>
      <c r="AD151" s="167"/>
      <c r="AE151" s="167"/>
      <c r="AF151" s="167"/>
      <c r="AG151" s="167"/>
      <c r="AH151" s="167"/>
      <c r="AI151" s="167"/>
      <c r="AJ151" s="167"/>
      <c r="AK151" s="167"/>
      <c r="AL151" s="167"/>
      <c r="AM151" s="167"/>
      <c r="AN151" s="167"/>
      <c r="AO151" s="167"/>
      <c r="AP151" s="167"/>
      <c r="AQ151" s="167"/>
      <c r="AR151" s="167"/>
      <c r="AS151" s="167"/>
      <c r="AT151" s="167"/>
      <c r="AU151" s="167"/>
      <c r="AV151" s="167"/>
      <c r="AW151" s="167"/>
      <c r="AX151" s="167"/>
      <c r="AY151" s="167"/>
      <c r="AZ151" s="167"/>
      <c r="BA151" s="167"/>
      <c r="BB151" s="167"/>
      <c r="BC151" s="167"/>
      <c r="BD151" s="167"/>
      <c r="BE151" s="167"/>
      <c r="BF151" s="167"/>
      <c r="BG151" s="167"/>
      <c r="BH151" s="167"/>
      <c r="BI151" s="167"/>
      <c r="BJ151" s="167"/>
      <c r="BK151" s="167"/>
      <c r="BL151" s="167"/>
      <c r="BM151" s="167"/>
      <c r="BN151" s="167"/>
      <c r="BO151" s="167"/>
      <c r="BP151" s="167"/>
      <c r="BQ151" s="167"/>
      <c r="BR151" s="167"/>
      <c r="BS151" s="167"/>
      <c r="BT151" s="167"/>
      <c r="BU151" s="167"/>
      <c r="BV151" s="167"/>
      <c r="BW151" s="167"/>
      <c r="BX151" s="167"/>
      <c r="BY151" s="167"/>
      <c r="BZ151" s="167"/>
      <c r="CA151" s="167"/>
      <c r="CB151" s="167"/>
      <c r="CC151" s="167"/>
      <c r="CD151" s="167"/>
      <c r="CE151" s="167"/>
      <c r="CF151" s="167"/>
      <c r="CG151" s="167"/>
      <c r="CH151" s="167"/>
      <c r="CI151" s="167"/>
      <c r="CJ151" s="167"/>
      <c r="CK151" s="167"/>
      <c r="CL151" s="167"/>
      <c r="CM151" s="167"/>
      <c r="CN151" s="167"/>
      <c r="CO151" s="167"/>
      <c r="CP151" s="167"/>
      <c r="CQ151" s="167"/>
      <c r="CR151" s="167"/>
      <c r="CS151" s="167"/>
      <c r="CT151" s="167"/>
      <c r="CU151" s="167"/>
    </row>
    <row r="152" spans="6:99">
      <c r="F152" s="167"/>
      <c r="G152" s="167"/>
      <c r="H152" s="167"/>
      <c r="I152" s="167"/>
      <c r="W152" s="167"/>
      <c r="X152" s="167"/>
      <c r="Y152" s="167"/>
      <c r="Z152" s="167"/>
      <c r="AA152" s="167"/>
      <c r="AB152" s="167"/>
      <c r="AC152" s="167"/>
      <c r="AD152" s="167"/>
      <c r="AE152" s="167"/>
      <c r="AF152" s="167"/>
      <c r="AG152" s="167"/>
      <c r="AH152" s="167"/>
      <c r="AI152" s="167"/>
      <c r="AJ152" s="167"/>
      <c r="AK152" s="167"/>
      <c r="AL152" s="167"/>
      <c r="AM152" s="167"/>
      <c r="AN152" s="167"/>
      <c r="AO152" s="167"/>
      <c r="AP152" s="167"/>
      <c r="AQ152" s="167"/>
      <c r="AR152" s="167"/>
      <c r="AS152" s="167"/>
      <c r="AT152" s="167"/>
      <c r="AU152" s="167"/>
      <c r="AV152" s="167"/>
      <c r="AW152" s="167"/>
      <c r="AX152" s="167"/>
      <c r="AY152" s="167"/>
      <c r="AZ152" s="167"/>
      <c r="BA152" s="167"/>
      <c r="BB152" s="167"/>
      <c r="BC152" s="167"/>
      <c r="BD152" s="167"/>
      <c r="BE152" s="167"/>
      <c r="BF152" s="167"/>
      <c r="BG152" s="167"/>
      <c r="BH152" s="167"/>
      <c r="BI152" s="167"/>
      <c r="BJ152" s="167"/>
      <c r="BK152" s="167"/>
      <c r="BL152" s="167"/>
      <c r="BM152" s="167"/>
      <c r="BN152" s="167"/>
      <c r="BO152" s="167"/>
      <c r="BP152" s="167"/>
      <c r="BQ152" s="167"/>
      <c r="BR152" s="167"/>
      <c r="BS152" s="167"/>
      <c r="BT152" s="167"/>
      <c r="BU152" s="167"/>
      <c r="BV152" s="167"/>
      <c r="BW152" s="167"/>
      <c r="BX152" s="167"/>
      <c r="BY152" s="167"/>
      <c r="BZ152" s="167"/>
      <c r="CA152" s="167"/>
      <c r="CB152" s="167"/>
      <c r="CC152" s="167"/>
      <c r="CD152" s="167"/>
      <c r="CE152" s="167"/>
      <c r="CF152" s="167"/>
      <c r="CG152" s="167"/>
      <c r="CH152" s="167"/>
      <c r="CI152" s="167"/>
      <c r="CJ152" s="167"/>
      <c r="CK152" s="167"/>
      <c r="CL152" s="167"/>
      <c r="CM152" s="167"/>
      <c r="CN152" s="167"/>
      <c r="CO152" s="167"/>
      <c r="CP152" s="167"/>
      <c r="CQ152" s="167"/>
      <c r="CR152" s="167"/>
      <c r="CS152" s="167"/>
      <c r="CT152" s="167"/>
      <c r="CU152" s="167"/>
    </row>
    <row r="153" spans="6:99">
      <c r="F153" s="167"/>
      <c r="G153" s="167"/>
      <c r="H153" s="167"/>
      <c r="I153" s="167"/>
      <c r="W153" s="167"/>
      <c r="X153" s="167"/>
      <c r="Y153" s="167"/>
      <c r="Z153" s="167"/>
      <c r="AA153" s="167"/>
      <c r="AB153" s="167"/>
      <c r="AC153" s="167"/>
      <c r="AD153" s="167"/>
      <c r="AE153" s="167"/>
      <c r="AF153" s="167"/>
      <c r="AG153" s="167"/>
      <c r="AH153" s="167"/>
      <c r="AI153" s="167"/>
      <c r="AJ153" s="167"/>
      <c r="AK153" s="167"/>
      <c r="AL153" s="167"/>
      <c r="AM153" s="167"/>
      <c r="AN153" s="167"/>
      <c r="AO153" s="167"/>
      <c r="AP153" s="167"/>
      <c r="AQ153" s="167"/>
      <c r="AR153" s="167"/>
      <c r="AS153" s="167"/>
      <c r="AT153" s="167"/>
      <c r="AU153" s="167"/>
      <c r="AV153" s="167"/>
      <c r="AW153" s="167"/>
      <c r="AX153" s="167"/>
      <c r="AY153" s="167"/>
      <c r="AZ153" s="167"/>
      <c r="BA153" s="167"/>
      <c r="BB153" s="167"/>
      <c r="BC153" s="167"/>
      <c r="BD153" s="167"/>
      <c r="BE153" s="167"/>
      <c r="BF153" s="167"/>
      <c r="BG153" s="167"/>
      <c r="BH153" s="167"/>
      <c r="BI153" s="167"/>
      <c r="BJ153" s="167"/>
      <c r="BK153" s="167"/>
      <c r="BL153" s="167"/>
      <c r="BM153" s="167"/>
      <c r="BN153" s="167"/>
      <c r="BO153" s="167"/>
      <c r="BP153" s="167"/>
      <c r="BQ153" s="167"/>
      <c r="BR153" s="167"/>
      <c r="BS153" s="167"/>
      <c r="BT153" s="167"/>
      <c r="BU153" s="167"/>
      <c r="BV153" s="167"/>
      <c r="BW153" s="167"/>
      <c r="BX153" s="167"/>
      <c r="BY153" s="167"/>
      <c r="BZ153" s="167"/>
      <c r="CA153" s="167"/>
      <c r="CB153" s="167"/>
      <c r="CC153" s="167"/>
      <c r="CD153" s="167"/>
      <c r="CE153" s="167"/>
      <c r="CF153" s="167"/>
      <c r="CG153" s="167"/>
      <c r="CH153" s="167"/>
      <c r="CI153" s="167"/>
      <c r="CJ153" s="167"/>
      <c r="CK153" s="167"/>
      <c r="CL153" s="167"/>
      <c r="CM153" s="167"/>
      <c r="CN153" s="167"/>
      <c r="CO153" s="167"/>
      <c r="CP153" s="167"/>
      <c r="CQ153" s="167"/>
      <c r="CR153" s="167"/>
      <c r="CS153" s="167"/>
      <c r="CT153" s="167"/>
      <c r="CU153" s="167"/>
    </row>
    <row r="154" spans="6:99">
      <c r="F154" s="167"/>
      <c r="G154" s="167"/>
      <c r="H154" s="167"/>
      <c r="I154" s="167"/>
      <c r="W154" s="167"/>
      <c r="X154" s="167"/>
      <c r="Y154" s="167"/>
      <c r="Z154" s="167"/>
      <c r="AA154" s="167"/>
      <c r="AB154" s="167"/>
      <c r="AC154" s="167"/>
      <c r="AD154" s="167"/>
      <c r="AE154" s="167"/>
      <c r="AF154" s="167"/>
      <c r="AG154" s="167"/>
      <c r="AH154" s="167"/>
      <c r="AI154" s="167"/>
      <c r="AJ154" s="167"/>
      <c r="AK154" s="167"/>
      <c r="AL154" s="167"/>
      <c r="AM154" s="167"/>
      <c r="AN154" s="167"/>
      <c r="AO154" s="167"/>
      <c r="AP154" s="167"/>
      <c r="AQ154" s="167"/>
      <c r="AR154" s="167"/>
      <c r="AS154" s="167"/>
      <c r="AT154" s="167"/>
      <c r="AU154" s="167"/>
      <c r="AV154" s="167"/>
      <c r="AW154" s="167"/>
      <c r="AX154" s="167"/>
      <c r="AY154" s="167"/>
      <c r="AZ154" s="167"/>
      <c r="BA154" s="167"/>
      <c r="BB154" s="167"/>
      <c r="BC154" s="167"/>
      <c r="BD154" s="167"/>
      <c r="BE154" s="167"/>
      <c r="BF154" s="167"/>
      <c r="BG154" s="167"/>
      <c r="BH154" s="167"/>
      <c r="BI154" s="167"/>
      <c r="BJ154" s="167"/>
      <c r="BK154" s="167"/>
      <c r="BL154" s="167"/>
      <c r="BM154" s="167"/>
      <c r="BN154" s="167"/>
      <c r="BO154" s="167"/>
      <c r="BP154" s="167"/>
      <c r="BQ154" s="167"/>
      <c r="BR154" s="167"/>
      <c r="BS154" s="167"/>
      <c r="BT154" s="167"/>
      <c r="BU154" s="167"/>
      <c r="BV154" s="167"/>
      <c r="BW154" s="167"/>
      <c r="BX154" s="167"/>
      <c r="BY154" s="167"/>
      <c r="BZ154" s="167"/>
      <c r="CA154" s="167"/>
      <c r="CB154" s="167"/>
      <c r="CC154" s="167"/>
      <c r="CD154" s="167"/>
      <c r="CE154" s="167"/>
      <c r="CF154" s="167"/>
      <c r="CG154" s="167"/>
      <c r="CH154" s="167"/>
      <c r="CI154" s="167"/>
      <c r="CJ154" s="167"/>
      <c r="CK154" s="167"/>
      <c r="CL154" s="167"/>
      <c r="CM154" s="167"/>
      <c r="CN154" s="167"/>
      <c r="CO154" s="167"/>
      <c r="CP154" s="167"/>
      <c r="CQ154" s="167"/>
      <c r="CR154" s="167"/>
      <c r="CS154" s="167"/>
      <c r="CT154" s="167"/>
      <c r="CU154" s="167"/>
    </row>
    <row r="155" spans="6:99">
      <c r="F155" s="167"/>
      <c r="G155" s="167"/>
      <c r="H155" s="167"/>
      <c r="I155" s="167"/>
      <c r="W155" s="167"/>
      <c r="X155" s="167"/>
      <c r="Y155" s="167"/>
      <c r="Z155" s="167"/>
      <c r="AA155" s="167"/>
      <c r="AB155" s="167"/>
      <c r="AC155" s="167"/>
      <c r="AD155" s="167"/>
      <c r="AE155" s="167"/>
      <c r="AF155" s="167"/>
      <c r="AG155" s="167"/>
      <c r="AH155" s="167"/>
      <c r="AI155" s="167"/>
      <c r="AJ155" s="167"/>
      <c r="AK155" s="167"/>
      <c r="AL155" s="167"/>
      <c r="AM155" s="167"/>
      <c r="AN155" s="167"/>
      <c r="AO155" s="167"/>
      <c r="AP155" s="167"/>
      <c r="AQ155" s="167"/>
      <c r="AR155" s="167"/>
      <c r="AS155" s="167"/>
      <c r="AT155" s="167"/>
      <c r="AU155" s="167"/>
      <c r="AV155" s="167"/>
      <c r="AW155" s="167"/>
      <c r="AX155" s="167"/>
      <c r="AY155" s="167"/>
      <c r="AZ155" s="167"/>
      <c r="BA155" s="167"/>
      <c r="BB155" s="167"/>
      <c r="BC155" s="167"/>
      <c r="BD155" s="167"/>
      <c r="BE155" s="167"/>
      <c r="BF155" s="167"/>
      <c r="BG155" s="167"/>
      <c r="BH155" s="167"/>
      <c r="BI155" s="167"/>
      <c r="BJ155" s="167"/>
      <c r="BK155" s="167"/>
      <c r="BL155" s="167"/>
      <c r="BM155" s="167"/>
      <c r="BN155" s="167"/>
      <c r="BO155" s="167"/>
      <c r="BP155" s="167"/>
      <c r="BQ155" s="167"/>
      <c r="BR155" s="167"/>
      <c r="BS155" s="167"/>
      <c r="BT155" s="167"/>
      <c r="BU155" s="167"/>
      <c r="BV155" s="167"/>
      <c r="BW155" s="167"/>
      <c r="BX155" s="167"/>
      <c r="BY155" s="167"/>
      <c r="BZ155" s="167"/>
      <c r="CA155" s="167"/>
      <c r="CB155" s="167"/>
      <c r="CC155" s="167"/>
      <c r="CD155" s="167"/>
      <c r="CE155" s="167"/>
      <c r="CF155" s="167"/>
      <c r="CG155" s="167"/>
      <c r="CH155" s="167"/>
      <c r="CI155" s="167"/>
      <c r="CJ155" s="167"/>
      <c r="CK155" s="167"/>
      <c r="CL155" s="167"/>
      <c r="CM155" s="167"/>
      <c r="CN155" s="167"/>
      <c r="CO155" s="167"/>
      <c r="CP155" s="167"/>
      <c r="CQ155" s="167"/>
      <c r="CR155" s="167"/>
      <c r="CS155" s="167"/>
      <c r="CT155" s="167"/>
      <c r="CU155" s="167"/>
    </row>
    <row r="156" spans="6:99">
      <c r="F156" s="167"/>
      <c r="G156" s="167"/>
      <c r="H156" s="167"/>
      <c r="I156" s="167"/>
      <c r="W156" s="167"/>
      <c r="X156" s="167"/>
      <c r="Y156" s="167"/>
      <c r="Z156" s="167"/>
      <c r="AA156" s="167"/>
      <c r="AB156" s="167"/>
      <c r="AC156" s="167"/>
      <c r="AD156" s="167"/>
      <c r="AE156" s="167"/>
      <c r="AF156" s="167"/>
      <c r="AG156" s="167"/>
      <c r="AH156" s="167"/>
      <c r="AI156" s="167"/>
      <c r="AJ156" s="167"/>
      <c r="AK156" s="167"/>
      <c r="AL156" s="167"/>
      <c r="AM156" s="167"/>
      <c r="AN156" s="167"/>
      <c r="AO156" s="167"/>
      <c r="AP156" s="167"/>
      <c r="AQ156" s="167"/>
      <c r="AR156" s="167"/>
      <c r="AS156" s="167"/>
      <c r="AT156" s="167"/>
      <c r="AU156" s="167"/>
      <c r="AV156" s="167"/>
      <c r="AW156" s="167"/>
      <c r="AX156" s="167"/>
      <c r="AY156" s="167"/>
      <c r="AZ156" s="167"/>
      <c r="BA156" s="167"/>
      <c r="BB156" s="167"/>
      <c r="BC156" s="167"/>
      <c r="BD156" s="167"/>
      <c r="BE156" s="167"/>
      <c r="BF156" s="167"/>
      <c r="BG156" s="167"/>
      <c r="BH156" s="167"/>
      <c r="BI156" s="167"/>
      <c r="BJ156" s="167"/>
      <c r="BK156" s="167"/>
      <c r="BL156" s="167"/>
      <c r="BM156" s="167"/>
      <c r="BN156" s="167"/>
      <c r="BO156" s="167"/>
      <c r="BP156" s="167"/>
      <c r="BQ156" s="167"/>
      <c r="BR156" s="167"/>
      <c r="BS156" s="167"/>
      <c r="BT156" s="167"/>
      <c r="BU156" s="167"/>
      <c r="BV156" s="167"/>
      <c r="BW156" s="167"/>
      <c r="BX156" s="167"/>
      <c r="BY156" s="167"/>
      <c r="BZ156" s="167"/>
      <c r="CA156" s="167"/>
      <c r="CB156" s="167"/>
      <c r="CC156" s="167"/>
      <c r="CD156" s="167"/>
      <c r="CE156" s="167"/>
      <c r="CF156" s="167"/>
      <c r="CG156" s="167"/>
      <c r="CH156" s="167"/>
      <c r="CI156" s="167"/>
      <c r="CJ156" s="167"/>
      <c r="CK156" s="167"/>
      <c r="CL156" s="167"/>
      <c r="CM156" s="167"/>
      <c r="CN156" s="167"/>
      <c r="CO156" s="167"/>
      <c r="CP156" s="167"/>
      <c r="CQ156" s="167"/>
      <c r="CR156" s="167"/>
      <c r="CS156" s="167"/>
      <c r="CT156" s="167"/>
      <c r="CU156" s="167"/>
    </row>
    <row r="157" spans="6:99">
      <c r="F157" s="167"/>
      <c r="G157" s="167"/>
      <c r="H157" s="167"/>
      <c r="I157" s="167"/>
      <c r="W157" s="167"/>
      <c r="X157" s="167"/>
      <c r="Y157" s="167"/>
      <c r="Z157" s="167"/>
      <c r="AA157" s="167"/>
      <c r="AB157" s="167"/>
      <c r="AC157" s="167"/>
      <c r="AD157" s="167"/>
      <c r="AE157" s="167"/>
      <c r="AF157" s="167"/>
      <c r="AG157" s="167"/>
      <c r="AH157" s="167"/>
      <c r="AI157" s="167"/>
      <c r="AJ157" s="167"/>
      <c r="AK157" s="167"/>
      <c r="AL157" s="167"/>
      <c r="AM157" s="167"/>
      <c r="AN157" s="167"/>
      <c r="AO157" s="167"/>
      <c r="AP157" s="167"/>
      <c r="AQ157" s="167"/>
      <c r="AR157" s="167"/>
      <c r="AS157" s="167"/>
      <c r="AT157" s="167"/>
      <c r="AU157" s="167"/>
      <c r="AV157" s="167"/>
      <c r="AW157" s="167"/>
      <c r="AX157" s="167"/>
      <c r="AY157" s="167"/>
      <c r="AZ157" s="167"/>
      <c r="BA157" s="167"/>
      <c r="BB157" s="167"/>
      <c r="BC157" s="167"/>
      <c r="BD157" s="167"/>
      <c r="BE157" s="167"/>
      <c r="BF157" s="167"/>
      <c r="BG157" s="167"/>
      <c r="BH157" s="167"/>
      <c r="BI157" s="167"/>
      <c r="BJ157" s="167"/>
      <c r="BK157" s="167"/>
      <c r="BL157" s="167"/>
      <c r="BM157" s="167"/>
      <c r="BN157" s="167"/>
      <c r="BO157" s="167"/>
      <c r="BP157" s="167"/>
      <c r="BQ157" s="167"/>
      <c r="BR157" s="167"/>
      <c r="BS157" s="167"/>
      <c r="BT157" s="167"/>
      <c r="BU157" s="167"/>
      <c r="BV157" s="167"/>
      <c r="BW157" s="167"/>
      <c r="BX157" s="167"/>
      <c r="BY157" s="167"/>
      <c r="BZ157" s="167"/>
      <c r="CA157" s="167"/>
      <c r="CB157" s="167"/>
      <c r="CC157" s="167"/>
      <c r="CD157" s="167"/>
      <c r="CE157" s="167"/>
      <c r="CF157" s="167"/>
      <c r="CG157" s="167"/>
      <c r="CH157" s="167"/>
      <c r="CI157" s="167"/>
      <c r="CJ157" s="167"/>
      <c r="CK157" s="167"/>
      <c r="CL157" s="167"/>
      <c r="CM157" s="167"/>
      <c r="CN157" s="167"/>
      <c r="CO157" s="167"/>
      <c r="CP157" s="167"/>
      <c r="CQ157" s="167"/>
      <c r="CR157" s="167"/>
      <c r="CS157" s="167"/>
      <c r="CT157" s="167"/>
      <c r="CU157" s="167"/>
    </row>
    <row r="158" spans="6:99">
      <c r="F158" s="167"/>
      <c r="G158" s="167"/>
      <c r="H158" s="167"/>
      <c r="I158" s="167"/>
      <c r="W158" s="167"/>
      <c r="X158" s="167"/>
      <c r="Y158" s="167"/>
      <c r="Z158" s="167"/>
      <c r="AA158" s="167"/>
      <c r="AB158" s="167"/>
      <c r="AC158" s="167"/>
      <c r="AD158" s="167"/>
      <c r="AE158" s="167"/>
      <c r="AF158" s="167"/>
      <c r="AG158" s="167"/>
      <c r="AH158" s="167"/>
      <c r="AI158" s="167"/>
      <c r="AJ158" s="167"/>
      <c r="AK158" s="167"/>
      <c r="AL158" s="167"/>
      <c r="AM158" s="167"/>
      <c r="AN158" s="167"/>
      <c r="AO158" s="167"/>
      <c r="AP158" s="167"/>
      <c r="AQ158" s="167"/>
      <c r="AR158" s="167"/>
      <c r="AS158" s="167"/>
      <c r="AT158" s="167"/>
      <c r="AU158" s="167"/>
      <c r="AV158" s="167"/>
      <c r="AW158" s="167"/>
      <c r="AX158" s="167"/>
      <c r="AY158" s="167"/>
      <c r="AZ158" s="167"/>
      <c r="BA158" s="167"/>
      <c r="BB158" s="167"/>
      <c r="BC158" s="167"/>
      <c r="BD158" s="167"/>
      <c r="BE158" s="167"/>
      <c r="BF158" s="167"/>
      <c r="BG158" s="167"/>
      <c r="BH158" s="167"/>
      <c r="BI158" s="167"/>
      <c r="BJ158" s="167"/>
      <c r="BK158" s="167"/>
      <c r="BL158" s="167"/>
      <c r="BM158" s="167"/>
      <c r="BN158" s="167"/>
      <c r="BO158" s="167"/>
      <c r="BP158" s="167"/>
      <c r="BQ158" s="167"/>
      <c r="BR158" s="167"/>
      <c r="BS158" s="167"/>
      <c r="BT158" s="167"/>
      <c r="BU158" s="167"/>
      <c r="BV158" s="167"/>
      <c r="BW158" s="167"/>
      <c r="BX158" s="167"/>
      <c r="BY158" s="167"/>
      <c r="BZ158" s="167"/>
      <c r="CA158" s="167"/>
      <c r="CB158" s="167"/>
      <c r="CC158" s="167"/>
      <c r="CD158" s="167"/>
      <c r="CE158" s="167"/>
      <c r="CF158" s="167"/>
      <c r="CG158" s="167"/>
      <c r="CH158" s="167"/>
      <c r="CI158" s="167"/>
      <c r="CJ158" s="167"/>
      <c r="CK158" s="167"/>
      <c r="CL158" s="167"/>
      <c r="CM158" s="167"/>
      <c r="CN158" s="167"/>
      <c r="CO158" s="167"/>
      <c r="CP158" s="167"/>
      <c r="CQ158" s="167"/>
      <c r="CR158" s="167"/>
      <c r="CS158" s="167"/>
      <c r="CT158" s="167"/>
      <c r="CU158" s="167"/>
    </row>
    <row r="159" spans="6:99">
      <c r="F159" s="167"/>
      <c r="G159" s="167"/>
      <c r="H159" s="167"/>
      <c r="I159" s="167"/>
      <c r="W159" s="167"/>
      <c r="X159" s="167"/>
      <c r="Y159" s="167"/>
      <c r="Z159" s="167"/>
      <c r="AA159" s="167"/>
      <c r="AB159" s="167"/>
      <c r="AC159" s="167"/>
      <c r="AD159" s="167"/>
      <c r="AE159" s="167"/>
      <c r="AF159" s="167"/>
      <c r="AG159" s="167"/>
      <c r="AH159" s="167"/>
      <c r="AI159" s="167"/>
      <c r="AJ159" s="167"/>
      <c r="AK159" s="167"/>
      <c r="AL159" s="167"/>
      <c r="AM159" s="167"/>
      <c r="AN159" s="167"/>
      <c r="AO159" s="167"/>
      <c r="AP159" s="167"/>
      <c r="AQ159" s="167"/>
      <c r="AR159" s="167"/>
      <c r="AS159" s="167"/>
      <c r="AT159" s="167"/>
      <c r="AU159" s="167"/>
      <c r="AV159" s="167"/>
      <c r="AW159" s="167"/>
      <c r="AX159" s="167"/>
      <c r="AY159" s="167"/>
      <c r="AZ159" s="167"/>
      <c r="BA159" s="167"/>
      <c r="BB159" s="167"/>
      <c r="BC159" s="167"/>
      <c r="BD159" s="167"/>
      <c r="BE159" s="167"/>
      <c r="BF159" s="167"/>
      <c r="BG159" s="167"/>
      <c r="BH159" s="167"/>
      <c r="BI159" s="167"/>
      <c r="BJ159" s="167"/>
      <c r="BK159" s="167"/>
      <c r="BL159" s="167"/>
      <c r="BM159" s="167"/>
      <c r="BN159" s="167"/>
      <c r="BO159" s="167"/>
      <c r="BP159" s="167"/>
      <c r="BQ159" s="167"/>
      <c r="BR159" s="167"/>
      <c r="BS159" s="167"/>
      <c r="BT159" s="167"/>
      <c r="BU159" s="167"/>
      <c r="BV159" s="167"/>
      <c r="BW159" s="167"/>
      <c r="BX159" s="167"/>
      <c r="BY159" s="167"/>
      <c r="BZ159" s="167"/>
      <c r="CA159" s="167"/>
      <c r="CB159" s="167"/>
      <c r="CC159" s="167"/>
      <c r="CD159" s="167"/>
      <c r="CE159" s="167"/>
      <c r="CF159" s="167"/>
      <c r="CG159" s="167"/>
      <c r="CH159" s="167"/>
      <c r="CI159" s="167"/>
      <c r="CJ159" s="167"/>
      <c r="CK159" s="167"/>
      <c r="CL159" s="167"/>
      <c r="CM159" s="167"/>
      <c r="CN159" s="167"/>
      <c r="CO159" s="167"/>
      <c r="CP159" s="167"/>
      <c r="CQ159" s="167"/>
      <c r="CR159" s="167"/>
      <c r="CS159" s="167"/>
      <c r="CT159" s="167"/>
      <c r="CU159" s="167"/>
    </row>
    <row r="160" spans="6:99">
      <c r="F160" s="167"/>
      <c r="G160" s="167"/>
      <c r="H160" s="167"/>
      <c r="I160" s="167"/>
      <c r="W160" s="167"/>
      <c r="X160" s="167"/>
      <c r="Y160" s="167"/>
      <c r="Z160" s="167"/>
      <c r="AA160" s="167"/>
      <c r="AB160" s="167"/>
      <c r="AC160" s="167"/>
      <c r="AD160" s="167"/>
      <c r="AE160" s="167"/>
      <c r="AF160" s="167"/>
      <c r="AG160" s="167"/>
      <c r="AH160" s="167"/>
      <c r="AI160" s="167"/>
      <c r="AJ160" s="167"/>
      <c r="AK160" s="167"/>
      <c r="AL160" s="167"/>
      <c r="AM160" s="167"/>
      <c r="AN160" s="167"/>
      <c r="AO160" s="167"/>
      <c r="AP160" s="167"/>
      <c r="AQ160" s="167"/>
      <c r="AR160" s="167"/>
      <c r="AS160" s="167"/>
      <c r="AT160" s="167"/>
      <c r="AU160" s="167"/>
      <c r="AV160" s="167"/>
      <c r="AW160" s="167"/>
      <c r="AX160" s="167"/>
      <c r="AY160" s="167"/>
      <c r="AZ160" s="167"/>
      <c r="BA160" s="167"/>
      <c r="BB160" s="167"/>
      <c r="BC160" s="167"/>
      <c r="BD160" s="167"/>
      <c r="BE160" s="167"/>
      <c r="BF160" s="167"/>
      <c r="BG160" s="167"/>
      <c r="BH160" s="167"/>
      <c r="BI160" s="167"/>
      <c r="BJ160" s="167"/>
      <c r="BK160" s="167"/>
      <c r="BL160" s="167"/>
      <c r="BM160" s="167"/>
      <c r="BN160" s="167"/>
      <c r="BO160" s="167"/>
      <c r="BP160" s="167"/>
      <c r="BQ160" s="167"/>
      <c r="BR160" s="167"/>
      <c r="BS160" s="167"/>
      <c r="BT160" s="167"/>
      <c r="BU160" s="167"/>
      <c r="BV160" s="167"/>
      <c r="BW160" s="167"/>
      <c r="BX160" s="167"/>
      <c r="BY160" s="167"/>
      <c r="BZ160" s="167"/>
      <c r="CA160" s="167"/>
      <c r="CB160" s="167"/>
      <c r="CC160" s="167"/>
      <c r="CD160" s="167"/>
      <c r="CE160" s="167"/>
      <c r="CF160" s="167"/>
      <c r="CG160" s="167"/>
      <c r="CH160" s="167"/>
      <c r="CI160" s="167"/>
      <c r="CJ160" s="167"/>
      <c r="CK160" s="167"/>
      <c r="CL160" s="167"/>
      <c r="CM160" s="167"/>
      <c r="CN160" s="167"/>
      <c r="CO160" s="167"/>
      <c r="CP160" s="167"/>
      <c r="CQ160" s="167"/>
      <c r="CR160" s="167"/>
      <c r="CS160" s="167"/>
      <c r="CT160" s="167"/>
      <c r="CU160" s="167"/>
    </row>
    <row r="161" spans="6:99">
      <c r="F161" s="167"/>
      <c r="G161" s="167"/>
      <c r="H161" s="167"/>
      <c r="I161" s="167"/>
      <c r="W161" s="167"/>
      <c r="X161" s="167"/>
      <c r="Y161" s="167"/>
      <c r="Z161" s="167"/>
      <c r="AA161" s="167"/>
      <c r="AB161" s="167"/>
      <c r="AC161" s="167"/>
      <c r="AD161" s="167"/>
      <c r="AE161" s="167"/>
      <c r="AF161" s="167"/>
      <c r="AG161" s="167"/>
      <c r="AH161" s="167"/>
      <c r="AI161" s="167"/>
      <c r="AJ161" s="167"/>
      <c r="AK161" s="167"/>
      <c r="AL161" s="167"/>
      <c r="AM161" s="167"/>
      <c r="AN161" s="167"/>
      <c r="AO161" s="167"/>
      <c r="AP161" s="167"/>
      <c r="AQ161" s="167"/>
      <c r="AR161" s="167"/>
      <c r="AS161" s="167"/>
      <c r="AT161" s="167"/>
      <c r="AU161" s="167"/>
      <c r="AV161" s="167"/>
      <c r="AW161" s="167"/>
      <c r="AX161" s="167"/>
      <c r="AY161" s="167"/>
      <c r="AZ161" s="167"/>
      <c r="BA161" s="167"/>
      <c r="BB161" s="167"/>
      <c r="BC161" s="167"/>
      <c r="BD161" s="167"/>
      <c r="BE161" s="167"/>
      <c r="BF161" s="167"/>
      <c r="BG161" s="167"/>
      <c r="BH161" s="167"/>
      <c r="BI161" s="167"/>
      <c r="BJ161" s="167"/>
      <c r="BK161" s="167"/>
      <c r="BL161" s="167"/>
      <c r="BM161" s="167"/>
      <c r="BN161" s="167"/>
      <c r="BO161" s="167"/>
      <c r="BP161" s="167"/>
      <c r="BQ161" s="167"/>
      <c r="BR161" s="167"/>
      <c r="BS161" s="167"/>
      <c r="BT161" s="167"/>
      <c r="BU161" s="167"/>
      <c r="BV161" s="167"/>
      <c r="BW161" s="167"/>
      <c r="BX161" s="167"/>
      <c r="BY161" s="167"/>
      <c r="BZ161" s="167"/>
      <c r="CA161" s="167"/>
      <c r="CB161" s="167"/>
      <c r="CC161" s="167"/>
      <c r="CD161" s="167"/>
      <c r="CE161" s="167"/>
      <c r="CF161" s="167"/>
      <c r="CG161" s="167"/>
      <c r="CH161" s="167"/>
      <c r="CI161" s="167"/>
      <c r="CJ161" s="167"/>
      <c r="CK161" s="167"/>
      <c r="CL161" s="167"/>
      <c r="CM161" s="167"/>
      <c r="CN161" s="167"/>
      <c r="CO161" s="167"/>
      <c r="CP161" s="167"/>
      <c r="CQ161" s="167"/>
      <c r="CR161" s="167"/>
      <c r="CS161" s="167"/>
      <c r="CT161" s="167"/>
      <c r="CU161" s="167"/>
    </row>
    <row r="162" spans="6:99">
      <c r="F162" s="167"/>
      <c r="G162" s="167"/>
      <c r="H162" s="167"/>
      <c r="I162" s="167"/>
      <c r="W162" s="167"/>
      <c r="X162" s="167"/>
      <c r="Y162" s="167"/>
      <c r="Z162" s="167"/>
      <c r="AA162" s="167"/>
      <c r="AB162" s="167"/>
      <c r="AC162" s="167"/>
      <c r="AD162" s="167"/>
      <c r="AE162" s="167"/>
      <c r="AF162" s="167"/>
      <c r="AG162" s="167"/>
      <c r="AH162" s="167"/>
      <c r="AI162" s="167"/>
      <c r="AJ162" s="167"/>
      <c r="AK162" s="167"/>
      <c r="AL162" s="167"/>
      <c r="AM162" s="167"/>
      <c r="AN162" s="167"/>
      <c r="AO162" s="167"/>
      <c r="AP162" s="167"/>
      <c r="AQ162" s="167"/>
      <c r="AR162" s="167"/>
      <c r="AS162" s="167"/>
      <c r="AT162" s="167"/>
      <c r="AU162" s="167"/>
      <c r="AV162" s="167"/>
      <c r="AW162" s="167"/>
      <c r="AX162" s="167"/>
      <c r="AY162" s="167"/>
      <c r="AZ162" s="167"/>
      <c r="BA162" s="167"/>
      <c r="BB162" s="167"/>
      <c r="BC162" s="167"/>
      <c r="BD162" s="167"/>
      <c r="BE162" s="167"/>
      <c r="BF162" s="167"/>
      <c r="BG162" s="167"/>
      <c r="BH162" s="167"/>
      <c r="BI162" s="167"/>
      <c r="BJ162" s="167"/>
      <c r="BK162" s="167"/>
      <c r="BL162" s="167"/>
      <c r="BM162" s="167"/>
      <c r="BN162" s="167"/>
      <c r="BO162" s="167"/>
      <c r="BP162" s="167"/>
      <c r="BQ162" s="167"/>
      <c r="BR162" s="167"/>
      <c r="BS162" s="167"/>
      <c r="BT162" s="167"/>
      <c r="BU162" s="167"/>
      <c r="BV162" s="167"/>
      <c r="BW162" s="167"/>
      <c r="BX162" s="167"/>
      <c r="BY162" s="167"/>
      <c r="BZ162" s="167"/>
      <c r="CA162" s="167"/>
      <c r="CB162" s="167"/>
      <c r="CC162" s="167"/>
      <c r="CD162" s="167"/>
      <c r="CE162" s="167"/>
      <c r="CF162" s="167"/>
      <c r="CG162" s="167"/>
      <c r="CH162" s="167"/>
      <c r="CI162" s="167"/>
      <c r="CJ162" s="167"/>
      <c r="CK162" s="167"/>
      <c r="CL162" s="167"/>
      <c r="CM162" s="167"/>
      <c r="CN162" s="167"/>
      <c r="CO162" s="167"/>
      <c r="CP162" s="167"/>
      <c r="CQ162" s="167"/>
      <c r="CR162" s="167"/>
      <c r="CS162" s="167"/>
      <c r="CT162" s="167"/>
      <c r="CU162" s="167"/>
    </row>
    <row r="163" spans="6:99">
      <c r="F163" s="167"/>
      <c r="G163" s="167"/>
      <c r="H163" s="167"/>
      <c r="I163" s="167"/>
      <c r="W163" s="167"/>
      <c r="X163" s="167"/>
      <c r="Y163" s="167"/>
      <c r="Z163" s="167"/>
      <c r="AA163" s="167"/>
      <c r="AB163" s="167"/>
      <c r="AC163" s="167"/>
      <c r="AD163" s="167"/>
      <c r="AE163" s="167"/>
      <c r="AF163" s="167"/>
      <c r="AG163" s="167"/>
      <c r="AH163" s="167"/>
      <c r="AI163" s="167"/>
      <c r="AJ163" s="167"/>
      <c r="AK163" s="167"/>
      <c r="AL163" s="167"/>
      <c r="AM163" s="167"/>
      <c r="AN163" s="167"/>
      <c r="AO163" s="167"/>
      <c r="AP163" s="167"/>
      <c r="AQ163" s="167"/>
      <c r="AR163" s="167"/>
      <c r="AS163" s="167"/>
      <c r="AT163" s="167"/>
      <c r="AU163" s="167"/>
      <c r="AV163" s="167"/>
      <c r="AW163" s="167"/>
      <c r="AX163" s="167"/>
      <c r="AY163" s="167"/>
      <c r="AZ163" s="167"/>
      <c r="BA163" s="167"/>
      <c r="BB163" s="167"/>
      <c r="BC163" s="167"/>
      <c r="BD163" s="167"/>
      <c r="BE163" s="167"/>
      <c r="BF163" s="167"/>
      <c r="BG163" s="167"/>
      <c r="BH163" s="167"/>
      <c r="BI163" s="167"/>
      <c r="BJ163" s="167"/>
      <c r="BK163" s="167"/>
      <c r="BL163" s="167"/>
      <c r="BM163" s="167"/>
      <c r="BN163" s="167"/>
      <c r="BO163" s="167"/>
      <c r="BP163" s="167"/>
      <c r="BQ163" s="167"/>
      <c r="BR163" s="167"/>
      <c r="BS163" s="167"/>
      <c r="BT163" s="167"/>
      <c r="BU163" s="167"/>
      <c r="BV163" s="167"/>
      <c r="BW163" s="167"/>
      <c r="BX163" s="167"/>
      <c r="BY163" s="167"/>
      <c r="BZ163" s="167"/>
      <c r="CA163" s="167"/>
      <c r="CB163" s="167"/>
      <c r="CC163" s="167"/>
      <c r="CD163" s="167"/>
      <c r="CE163" s="167"/>
      <c r="CF163" s="167"/>
      <c r="CG163" s="167"/>
      <c r="CH163" s="167"/>
      <c r="CI163" s="167"/>
      <c r="CJ163" s="167"/>
      <c r="CK163" s="167"/>
      <c r="CL163" s="167"/>
      <c r="CM163" s="167"/>
      <c r="CN163" s="167"/>
      <c r="CO163" s="167"/>
      <c r="CP163" s="167"/>
      <c r="CQ163" s="167"/>
      <c r="CR163" s="167"/>
      <c r="CS163" s="167"/>
      <c r="CT163" s="167"/>
      <c r="CU163" s="167"/>
    </row>
    <row r="164" spans="6:99">
      <c r="F164" s="167"/>
      <c r="G164" s="167"/>
      <c r="H164" s="167"/>
      <c r="I164" s="167"/>
      <c r="W164" s="167"/>
      <c r="X164" s="167"/>
      <c r="Y164" s="167"/>
      <c r="Z164" s="167"/>
      <c r="AA164" s="167"/>
      <c r="AB164" s="167"/>
      <c r="AC164" s="167"/>
      <c r="AD164" s="167"/>
      <c r="AE164" s="167"/>
      <c r="AF164" s="167"/>
      <c r="AG164" s="167"/>
      <c r="AH164" s="167"/>
      <c r="AI164" s="167"/>
      <c r="AJ164" s="167"/>
      <c r="AK164" s="167"/>
      <c r="AL164" s="167"/>
      <c r="AM164" s="167"/>
      <c r="AN164" s="167"/>
      <c r="AO164" s="167"/>
      <c r="AP164" s="167"/>
      <c r="AQ164" s="167"/>
      <c r="AR164" s="167"/>
      <c r="AS164" s="167"/>
      <c r="AT164" s="167"/>
      <c r="AU164" s="167"/>
      <c r="AV164" s="167"/>
      <c r="AW164" s="167"/>
      <c r="AX164" s="167"/>
      <c r="AY164" s="167"/>
      <c r="AZ164" s="167"/>
      <c r="BA164" s="167"/>
      <c r="BB164" s="167"/>
      <c r="BC164" s="167"/>
      <c r="BD164" s="167"/>
      <c r="BE164" s="167"/>
      <c r="BF164" s="167"/>
      <c r="BG164" s="167"/>
      <c r="BH164" s="167"/>
      <c r="BI164" s="167"/>
      <c r="BJ164" s="167"/>
      <c r="BK164" s="167"/>
      <c r="BL164" s="167"/>
      <c r="BM164" s="167"/>
      <c r="BN164" s="167"/>
      <c r="BO164" s="167"/>
      <c r="BP164" s="167"/>
      <c r="BQ164" s="167"/>
      <c r="BR164" s="167"/>
      <c r="BS164" s="167"/>
      <c r="BT164" s="167"/>
      <c r="BU164" s="167"/>
      <c r="BV164" s="167"/>
      <c r="BW164" s="167"/>
      <c r="BX164" s="167"/>
      <c r="BY164" s="167"/>
      <c r="BZ164" s="167"/>
      <c r="CA164" s="167"/>
      <c r="CB164" s="167"/>
      <c r="CC164" s="167"/>
      <c r="CD164" s="167"/>
      <c r="CE164" s="167"/>
      <c r="CF164" s="167"/>
      <c r="CG164" s="167"/>
      <c r="CH164" s="167"/>
      <c r="CI164" s="167"/>
      <c r="CJ164" s="167"/>
      <c r="CK164" s="167"/>
      <c r="CL164" s="167"/>
      <c r="CM164" s="167"/>
      <c r="CN164" s="167"/>
      <c r="CO164" s="167"/>
      <c r="CP164" s="167"/>
      <c r="CQ164" s="167"/>
      <c r="CR164" s="167"/>
      <c r="CS164" s="167"/>
      <c r="CT164" s="167"/>
      <c r="CU164" s="167"/>
    </row>
    <row r="165" spans="6:99">
      <c r="F165" s="167"/>
      <c r="G165" s="167"/>
      <c r="H165" s="167"/>
      <c r="I165" s="167"/>
      <c r="W165" s="167"/>
      <c r="X165" s="167"/>
      <c r="Y165" s="167"/>
      <c r="Z165" s="167"/>
      <c r="AA165" s="167"/>
      <c r="AB165" s="167"/>
      <c r="AC165" s="167"/>
      <c r="AD165" s="167"/>
      <c r="AE165" s="167"/>
      <c r="AF165" s="167"/>
      <c r="AG165" s="167"/>
      <c r="AH165" s="167"/>
      <c r="AI165" s="167"/>
      <c r="AJ165" s="167"/>
      <c r="AK165" s="167"/>
      <c r="AL165" s="167"/>
      <c r="AM165" s="167"/>
      <c r="AN165" s="167"/>
      <c r="AO165" s="167"/>
      <c r="AP165" s="167"/>
      <c r="AQ165" s="167"/>
      <c r="AR165" s="167"/>
      <c r="AS165" s="167"/>
      <c r="AT165" s="167"/>
      <c r="AU165" s="167"/>
      <c r="AV165" s="167"/>
      <c r="AW165" s="167"/>
      <c r="AX165" s="167"/>
      <c r="AY165" s="167"/>
      <c r="AZ165" s="167"/>
      <c r="BA165" s="167"/>
      <c r="BB165" s="167"/>
      <c r="BC165" s="167"/>
      <c r="BD165" s="167"/>
      <c r="BE165" s="167"/>
      <c r="BF165" s="167"/>
      <c r="BG165" s="167"/>
      <c r="BH165" s="167"/>
      <c r="BI165" s="167"/>
      <c r="BJ165" s="167"/>
      <c r="BK165" s="167"/>
      <c r="BL165" s="167"/>
      <c r="BM165" s="167"/>
      <c r="BN165" s="167"/>
      <c r="BO165" s="167"/>
      <c r="BP165" s="167"/>
      <c r="BQ165" s="167"/>
      <c r="BR165" s="167"/>
      <c r="BS165" s="167"/>
      <c r="BT165" s="167"/>
      <c r="BU165" s="167"/>
      <c r="BV165" s="167"/>
      <c r="BW165" s="167"/>
      <c r="BX165" s="167"/>
      <c r="BY165" s="167"/>
      <c r="BZ165" s="167"/>
      <c r="CA165" s="167"/>
      <c r="CB165" s="167"/>
      <c r="CC165" s="167"/>
      <c r="CD165" s="167"/>
      <c r="CE165" s="167"/>
      <c r="CF165" s="167"/>
      <c r="CG165" s="167"/>
      <c r="CH165" s="167"/>
      <c r="CI165" s="167"/>
      <c r="CJ165" s="167"/>
      <c r="CK165" s="167"/>
      <c r="CL165" s="167"/>
      <c r="CM165" s="167"/>
      <c r="CN165" s="167"/>
      <c r="CO165" s="167"/>
      <c r="CP165" s="167"/>
      <c r="CQ165" s="167"/>
      <c r="CR165" s="167"/>
      <c r="CS165" s="167"/>
      <c r="CT165" s="167"/>
      <c r="CU165" s="167"/>
    </row>
    <row r="166" spans="6:99">
      <c r="F166" s="167"/>
      <c r="G166" s="167"/>
      <c r="H166" s="167"/>
      <c r="I166" s="167"/>
      <c r="W166" s="167"/>
      <c r="X166" s="167"/>
      <c r="Y166" s="167"/>
      <c r="Z166" s="167"/>
      <c r="AA166" s="167"/>
      <c r="AB166" s="167"/>
      <c r="AC166" s="167"/>
      <c r="AD166" s="167"/>
      <c r="AE166" s="167"/>
      <c r="AF166" s="167"/>
      <c r="AG166" s="167"/>
      <c r="AH166" s="167"/>
      <c r="AI166" s="167"/>
      <c r="AJ166" s="167"/>
      <c r="AK166" s="167"/>
      <c r="AL166" s="167"/>
      <c r="AM166" s="167"/>
      <c r="AN166" s="167"/>
      <c r="AO166" s="167"/>
      <c r="AP166" s="167"/>
      <c r="AQ166" s="167"/>
      <c r="AR166" s="167"/>
      <c r="AS166" s="167"/>
      <c r="AT166" s="167"/>
      <c r="AU166" s="167"/>
      <c r="AV166" s="167"/>
      <c r="AW166" s="167"/>
      <c r="AX166" s="167"/>
      <c r="AY166" s="167"/>
      <c r="AZ166" s="167"/>
      <c r="BA166" s="167"/>
      <c r="BB166" s="167"/>
      <c r="BC166" s="167"/>
      <c r="BD166" s="167"/>
      <c r="BE166" s="167"/>
      <c r="BF166" s="167"/>
      <c r="BG166" s="167"/>
      <c r="BH166" s="167"/>
      <c r="BI166" s="167"/>
      <c r="BJ166" s="167"/>
      <c r="BK166" s="167"/>
      <c r="BL166" s="167"/>
      <c r="BM166" s="167"/>
      <c r="BN166" s="167"/>
      <c r="BO166" s="167"/>
      <c r="BP166" s="167"/>
      <c r="BQ166" s="167"/>
      <c r="BR166" s="167"/>
      <c r="BS166" s="167"/>
      <c r="BT166" s="167"/>
      <c r="BU166" s="167"/>
      <c r="BV166" s="167"/>
      <c r="BW166" s="167"/>
      <c r="BX166" s="167"/>
      <c r="BY166" s="167"/>
      <c r="BZ166" s="167"/>
      <c r="CA166" s="167"/>
      <c r="CB166" s="167"/>
      <c r="CC166" s="167"/>
      <c r="CD166" s="167"/>
      <c r="CE166" s="167"/>
      <c r="CF166" s="167"/>
      <c r="CG166" s="167"/>
      <c r="CH166" s="167"/>
      <c r="CI166" s="167"/>
      <c r="CJ166" s="167"/>
      <c r="CK166" s="167"/>
      <c r="CL166" s="167"/>
      <c r="CM166" s="167"/>
      <c r="CN166" s="167"/>
      <c r="CO166" s="167"/>
      <c r="CP166" s="167"/>
      <c r="CQ166" s="167"/>
      <c r="CR166" s="167"/>
      <c r="CS166" s="167"/>
      <c r="CT166" s="167"/>
      <c r="CU166" s="167"/>
    </row>
    <row r="167" spans="6:99">
      <c r="F167" s="167"/>
      <c r="G167" s="167"/>
      <c r="H167" s="167"/>
      <c r="I167" s="167"/>
      <c r="W167" s="167"/>
      <c r="X167" s="167"/>
      <c r="Y167" s="167"/>
      <c r="Z167" s="167"/>
      <c r="AA167" s="167"/>
      <c r="AB167" s="167"/>
      <c r="AC167" s="167"/>
      <c r="AD167" s="167"/>
      <c r="AE167" s="167"/>
      <c r="AF167" s="167"/>
      <c r="AG167" s="167"/>
      <c r="AH167" s="167"/>
      <c r="AI167" s="167"/>
      <c r="AJ167" s="167"/>
      <c r="AK167" s="167"/>
      <c r="AL167" s="167"/>
      <c r="AM167" s="167"/>
      <c r="AN167" s="167"/>
      <c r="AO167" s="167"/>
      <c r="AP167" s="167"/>
      <c r="AQ167" s="167"/>
      <c r="AR167" s="167"/>
      <c r="AS167" s="167"/>
      <c r="AT167" s="167"/>
      <c r="AU167" s="167"/>
      <c r="AV167" s="167"/>
      <c r="AW167" s="167"/>
      <c r="AX167" s="167"/>
      <c r="AY167" s="167"/>
      <c r="AZ167" s="167"/>
      <c r="BA167" s="167"/>
      <c r="BB167" s="167"/>
      <c r="BC167" s="167"/>
      <c r="BD167" s="167"/>
      <c r="BE167" s="167"/>
      <c r="BF167" s="167"/>
      <c r="BG167" s="167"/>
      <c r="BH167" s="167"/>
      <c r="BI167" s="167"/>
      <c r="BJ167" s="167"/>
      <c r="BK167" s="167"/>
      <c r="BL167" s="167"/>
      <c r="BM167" s="167"/>
      <c r="BN167" s="167"/>
      <c r="BO167" s="167"/>
      <c r="BP167" s="167"/>
      <c r="BQ167" s="167"/>
      <c r="BR167" s="167"/>
      <c r="BS167" s="167"/>
      <c r="BT167" s="167"/>
      <c r="BU167" s="167"/>
      <c r="BV167" s="167"/>
      <c r="BW167" s="167"/>
      <c r="BX167" s="167"/>
      <c r="BY167" s="167"/>
      <c r="BZ167" s="167"/>
      <c r="CA167" s="167"/>
      <c r="CB167" s="167"/>
      <c r="CC167" s="167"/>
      <c r="CD167" s="167"/>
      <c r="CE167" s="167"/>
      <c r="CF167" s="167"/>
      <c r="CG167" s="167"/>
      <c r="CH167" s="167"/>
      <c r="CI167" s="167"/>
      <c r="CJ167" s="167"/>
      <c r="CK167" s="167"/>
      <c r="CL167" s="167"/>
      <c r="CM167" s="167"/>
      <c r="CN167" s="167"/>
      <c r="CO167" s="167"/>
      <c r="CP167" s="167"/>
      <c r="CQ167" s="167"/>
      <c r="CR167" s="167"/>
      <c r="CS167" s="167"/>
      <c r="CT167" s="167"/>
      <c r="CU167" s="167"/>
    </row>
    <row r="168" spans="6:99">
      <c r="F168" s="167"/>
      <c r="G168" s="167"/>
      <c r="H168" s="167"/>
      <c r="I168" s="167"/>
      <c r="W168" s="167"/>
      <c r="X168" s="167"/>
      <c r="Y168" s="167"/>
      <c r="Z168" s="167"/>
      <c r="AA168" s="167"/>
      <c r="AB168" s="167"/>
      <c r="AC168" s="167"/>
      <c r="AD168" s="167"/>
      <c r="AE168" s="167"/>
      <c r="AF168" s="167"/>
      <c r="AG168" s="167"/>
      <c r="AH168" s="167"/>
      <c r="AI168" s="167"/>
      <c r="AJ168" s="167"/>
      <c r="AK168" s="167"/>
      <c r="AL168" s="167"/>
      <c r="AM168" s="167"/>
      <c r="AN168" s="167"/>
      <c r="AO168" s="167"/>
      <c r="AP168" s="167"/>
      <c r="AQ168" s="167"/>
      <c r="AR168" s="167"/>
      <c r="AS168" s="167"/>
      <c r="AT168" s="167"/>
      <c r="AU168" s="167"/>
      <c r="AV168" s="167"/>
      <c r="AW168" s="167"/>
      <c r="AX168" s="167"/>
      <c r="AY168" s="167"/>
      <c r="AZ168" s="167"/>
      <c r="BA168" s="167"/>
      <c r="BB168" s="167"/>
      <c r="BC168" s="167"/>
      <c r="BD168" s="167"/>
      <c r="BE168" s="167"/>
      <c r="BF168" s="167"/>
      <c r="BG168" s="167"/>
      <c r="BH168" s="167"/>
      <c r="BI168" s="167"/>
      <c r="BJ168" s="167"/>
      <c r="BK168" s="167"/>
      <c r="BL168" s="167"/>
      <c r="BM168" s="167"/>
      <c r="BN168" s="167"/>
      <c r="BO168" s="167"/>
      <c r="BP168" s="167"/>
      <c r="BQ168" s="167"/>
      <c r="BR168" s="167"/>
      <c r="BS168" s="167"/>
      <c r="BT168" s="167"/>
      <c r="BU168" s="167"/>
      <c r="BV168" s="167"/>
      <c r="BW168" s="167"/>
      <c r="BX168" s="167"/>
      <c r="BY168" s="167"/>
      <c r="BZ168" s="167"/>
      <c r="CA168" s="167"/>
      <c r="CB168" s="167"/>
      <c r="CC168" s="167"/>
      <c r="CD168" s="167"/>
      <c r="CE168" s="167"/>
      <c r="CF168" s="167"/>
      <c r="CG168" s="167"/>
      <c r="CH168" s="167"/>
      <c r="CI168" s="167"/>
      <c r="CJ168" s="167"/>
      <c r="CK168" s="167"/>
      <c r="CL168" s="167"/>
      <c r="CM168" s="167"/>
      <c r="CN168" s="167"/>
      <c r="CO168" s="167"/>
      <c r="CP168" s="167"/>
      <c r="CQ168" s="167"/>
      <c r="CR168" s="167"/>
      <c r="CS168" s="167"/>
      <c r="CT168" s="167"/>
      <c r="CU168" s="167"/>
    </row>
    <row r="169" spans="6:99">
      <c r="F169" s="167"/>
      <c r="G169" s="167"/>
      <c r="H169" s="167"/>
      <c r="I169" s="167"/>
      <c r="W169" s="167"/>
      <c r="X169" s="167"/>
      <c r="Y169" s="167"/>
      <c r="Z169" s="167"/>
      <c r="AA169" s="167"/>
      <c r="AB169" s="167"/>
      <c r="AC169" s="167"/>
      <c r="AD169" s="167"/>
      <c r="AE169" s="167"/>
      <c r="AF169" s="167"/>
      <c r="AG169" s="167"/>
      <c r="AH169" s="167"/>
      <c r="AI169" s="167"/>
      <c r="AJ169" s="167"/>
      <c r="AK169" s="167"/>
      <c r="AL169" s="167"/>
      <c r="AM169" s="167"/>
      <c r="AN169" s="167"/>
      <c r="AO169" s="167"/>
      <c r="AP169" s="167"/>
      <c r="AQ169" s="167"/>
      <c r="AR169" s="167"/>
      <c r="AS169" s="167"/>
      <c r="AT169" s="167"/>
      <c r="AU169" s="167"/>
      <c r="AV169" s="167"/>
      <c r="AW169" s="167"/>
      <c r="AX169" s="167"/>
      <c r="AY169" s="167"/>
      <c r="AZ169" s="167"/>
      <c r="BA169" s="167"/>
      <c r="BB169" s="167"/>
      <c r="BC169" s="167"/>
      <c r="BD169" s="167"/>
      <c r="BE169" s="167"/>
      <c r="BF169" s="167"/>
      <c r="BG169" s="167"/>
      <c r="BH169" s="167"/>
      <c r="BI169" s="167"/>
      <c r="BJ169" s="167"/>
      <c r="BK169" s="167"/>
      <c r="BL169" s="167"/>
      <c r="BM169" s="167"/>
      <c r="BN169" s="167"/>
      <c r="BO169" s="167"/>
      <c r="BP169" s="167"/>
      <c r="BQ169" s="167"/>
      <c r="BR169" s="167"/>
      <c r="BS169" s="167"/>
      <c r="BT169" s="167"/>
      <c r="BU169" s="167"/>
      <c r="BV169" s="167"/>
      <c r="BW169" s="167"/>
      <c r="BX169" s="167"/>
      <c r="BY169" s="167"/>
      <c r="BZ169" s="167"/>
      <c r="CA169" s="167"/>
      <c r="CB169" s="167"/>
      <c r="CC169" s="167"/>
      <c r="CD169" s="167"/>
      <c r="CE169" s="167"/>
      <c r="CF169" s="167"/>
      <c r="CG169" s="167"/>
      <c r="CH169" s="167"/>
      <c r="CI169" s="167"/>
      <c r="CJ169" s="167"/>
      <c r="CK169" s="167"/>
      <c r="CL169" s="167"/>
      <c r="CM169" s="167"/>
      <c r="CN169" s="167"/>
      <c r="CO169" s="167"/>
      <c r="CP169" s="167"/>
      <c r="CQ169" s="167"/>
      <c r="CR169" s="167"/>
      <c r="CS169" s="167"/>
      <c r="CT169" s="167"/>
      <c r="CU169" s="167"/>
    </row>
    <row r="170" spans="6:99">
      <c r="F170" s="167"/>
      <c r="G170" s="167"/>
      <c r="H170" s="167"/>
      <c r="I170" s="167"/>
      <c r="W170" s="167"/>
      <c r="X170" s="167"/>
      <c r="Y170" s="167"/>
      <c r="Z170" s="167"/>
      <c r="AA170" s="167"/>
      <c r="AB170" s="167"/>
      <c r="AC170" s="167"/>
      <c r="AD170" s="167"/>
      <c r="AE170" s="167"/>
      <c r="AF170" s="167"/>
      <c r="AG170" s="167"/>
      <c r="AH170" s="167"/>
      <c r="AI170" s="167"/>
      <c r="AJ170" s="167"/>
      <c r="AK170" s="167"/>
      <c r="AL170" s="167"/>
      <c r="AM170" s="167"/>
      <c r="AN170" s="167"/>
      <c r="AO170" s="167"/>
      <c r="AP170" s="167"/>
      <c r="AQ170" s="167"/>
      <c r="AR170" s="167"/>
      <c r="AS170" s="167"/>
      <c r="AT170" s="167"/>
      <c r="AU170" s="167"/>
      <c r="AV170" s="167"/>
      <c r="AW170" s="167"/>
      <c r="AX170" s="167"/>
      <c r="AY170" s="167"/>
      <c r="AZ170" s="167"/>
      <c r="BA170" s="167"/>
      <c r="BB170" s="167"/>
      <c r="BC170" s="167"/>
      <c r="BD170" s="167"/>
      <c r="BE170" s="167"/>
      <c r="BF170" s="167"/>
      <c r="BG170" s="167"/>
      <c r="BH170" s="167"/>
      <c r="BI170" s="167"/>
      <c r="BJ170" s="167"/>
      <c r="BK170" s="167"/>
      <c r="BL170" s="167"/>
      <c r="BM170" s="167"/>
      <c r="BN170" s="167"/>
      <c r="BO170" s="167"/>
      <c r="BP170" s="167"/>
      <c r="BQ170" s="167"/>
      <c r="BR170" s="167"/>
      <c r="BS170" s="167"/>
      <c r="BT170" s="167"/>
      <c r="BU170" s="167"/>
      <c r="BV170" s="167"/>
      <c r="BW170" s="167"/>
      <c r="BX170" s="167"/>
      <c r="BY170" s="167"/>
      <c r="BZ170" s="167"/>
      <c r="CA170" s="167"/>
      <c r="CB170" s="167"/>
      <c r="CC170" s="167"/>
      <c r="CD170" s="167"/>
      <c r="CE170" s="167"/>
      <c r="CF170" s="167"/>
      <c r="CG170" s="167"/>
      <c r="CH170" s="167"/>
      <c r="CI170" s="167"/>
      <c r="CJ170" s="167"/>
      <c r="CK170" s="167"/>
      <c r="CL170" s="167"/>
      <c r="CM170" s="167"/>
      <c r="CN170" s="167"/>
      <c r="CO170" s="167"/>
      <c r="CP170" s="167"/>
      <c r="CQ170" s="167"/>
      <c r="CR170" s="167"/>
      <c r="CS170" s="167"/>
      <c r="CT170" s="167"/>
      <c r="CU170" s="167"/>
    </row>
    <row r="171" spans="6:99">
      <c r="F171" s="167"/>
      <c r="G171" s="167"/>
      <c r="H171" s="167"/>
      <c r="I171" s="167"/>
      <c r="W171" s="167"/>
      <c r="X171" s="167"/>
      <c r="Y171" s="167"/>
      <c r="Z171" s="167"/>
      <c r="AA171" s="167"/>
      <c r="AB171" s="167"/>
      <c r="AC171" s="167"/>
      <c r="AD171" s="167"/>
      <c r="AE171" s="167"/>
      <c r="AF171" s="167"/>
      <c r="AG171" s="167"/>
      <c r="AH171" s="167"/>
      <c r="AI171" s="167"/>
      <c r="AJ171" s="167"/>
      <c r="AK171" s="167"/>
      <c r="AL171" s="167"/>
      <c r="AM171" s="167"/>
      <c r="AN171" s="167"/>
      <c r="AO171" s="167"/>
      <c r="AP171" s="167"/>
      <c r="AQ171" s="167"/>
      <c r="AR171" s="167"/>
      <c r="AS171" s="167"/>
      <c r="AT171" s="167"/>
      <c r="AU171" s="167"/>
      <c r="AV171" s="167"/>
      <c r="AW171" s="167"/>
      <c r="AX171" s="167"/>
      <c r="AY171" s="167"/>
      <c r="AZ171" s="167"/>
      <c r="BA171" s="167"/>
      <c r="BB171" s="167"/>
      <c r="BC171" s="167"/>
      <c r="BD171" s="167"/>
      <c r="BE171" s="167"/>
      <c r="BF171" s="167"/>
      <c r="BG171" s="167"/>
      <c r="BH171" s="167"/>
      <c r="BI171" s="167"/>
      <c r="BJ171" s="167"/>
      <c r="BK171" s="167"/>
      <c r="BL171" s="167"/>
      <c r="BM171" s="167"/>
      <c r="BN171" s="167"/>
      <c r="BO171" s="167"/>
      <c r="BP171" s="167"/>
      <c r="BQ171" s="167"/>
      <c r="BR171" s="167"/>
      <c r="BS171" s="167"/>
      <c r="BT171" s="167"/>
      <c r="BU171" s="167"/>
      <c r="BV171" s="167"/>
      <c r="BW171" s="167"/>
      <c r="BX171" s="167"/>
      <c r="BY171" s="167"/>
      <c r="BZ171" s="167"/>
      <c r="CA171" s="167"/>
      <c r="CB171" s="167"/>
      <c r="CC171" s="167"/>
      <c r="CD171" s="167"/>
      <c r="CE171" s="167"/>
      <c r="CF171" s="167"/>
      <c r="CG171" s="167"/>
      <c r="CH171" s="167"/>
      <c r="CI171" s="167"/>
      <c r="CJ171" s="167"/>
      <c r="CK171" s="167"/>
      <c r="CL171" s="167"/>
      <c r="CM171" s="167"/>
      <c r="CN171" s="167"/>
      <c r="CO171" s="167"/>
      <c r="CP171" s="167"/>
      <c r="CQ171" s="167"/>
      <c r="CR171" s="167"/>
      <c r="CS171" s="167"/>
      <c r="CT171" s="167"/>
      <c r="CU171" s="167"/>
    </row>
    <row r="172" spans="6:99">
      <c r="F172" s="167"/>
      <c r="G172" s="167"/>
      <c r="H172" s="167"/>
      <c r="I172" s="167"/>
      <c r="W172" s="167"/>
      <c r="X172" s="167"/>
      <c r="Y172" s="167"/>
      <c r="Z172" s="167"/>
      <c r="AA172" s="167"/>
      <c r="AB172" s="167"/>
      <c r="AC172" s="167"/>
      <c r="AD172" s="167"/>
      <c r="AE172" s="167"/>
      <c r="AF172" s="167"/>
      <c r="AG172" s="167"/>
      <c r="AH172" s="167"/>
      <c r="AI172" s="167"/>
      <c r="AJ172" s="167"/>
      <c r="AK172" s="167"/>
      <c r="AL172" s="167"/>
      <c r="AM172" s="167"/>
      <c r="AN172" s="167"/>
      <c r="AO172" s="167"/>
      <c r="AP172" s="167"/>
      <c r="AQ172" s="167"/>
      <c r="AR172" s="167"/>
      <c r="AS172" s="167"/>
      <c r="AT172" s="167"/>
      <c r="AU172" s="167"/>
      <c r="AV172" s="167"/>
      <c r="AW172" s="167"/>
      <c r="AX172" s="167"/>
      <c r="AY172" s="167"/>
      <c r="AZ172" s="167"/>
      <c r="BA172" s="167"/>
      <c r="BB172" s="167"/>
      <c r="BC172" s="167"/>
      <c r="BD172" s="167"/>
      <c r="BE172" s="167"/>
      <c r="BF172" s="167"/>
      <c r="BG172" s="167"/>
      <c r="BH172" s="167"/>
      <c r="BI172" s="167"/>
      <c r="BJ172" s="167"/>
      <c r="BK172" s="167"/>
      <c r="BL172" s="167"/>
      <c r="BM172" s="167"/>
      <c r="BN172" s="167"/>
      <c r="BO172" s="167"/>
      <c r="BP172" s="167"/>
      <c r="BQ172" s="167"/>
      <c r="BR172" s="167"/>
      <c r="BS172" s="167"/>
      <c r="BT172" s="167"/>
      <c r="BU172" s="167"/>
      <c r="BV172" s="167"/>
      <c r="BW172" s="167"/>
      <c r="BX172" s="167"/>
      <c r="BY172" s="167"/>
      <c r="BZ172" s="167"/>
      <c r="CA172" s="167"/>
      <c r="CB172" s="167"/>
      <c r="CC172" s="167"/>
      <c r="CD172" s="167"/>
      <c r="CE172" s="167"/>
      <c r="CF172" s="167"/>
      <c r="CG172" s="167"/>
      <c r="CH172" s="167"/>
      <c r="CI172" s="167"/>
      <c r="CJ172" s="167"/>
      <c r="CK172" s="167"/>
      <c r="CL172" s="167"/>
      <c r="CM172" s="167"/>
      <c r="CN172" s="167"/>
      <c r="CO172" s="167"/>
      <c r="CP172" s="167"/>
      <c r="CQ172" s="167"/>
      <c r="CR172" s="167"/>
      <c r="CS172" s="167"/>
      <c r="CT172" s="167"/>
      <c r="CU172" s="167"/>
    </row>
    <row r="173" spans="6:99">
      <c r="F173" s="167"/>
      <c r="G173" s="167"/>
      <c r="H173" s="167"/>
      <c r="I173" s="167"/>
      <c r="W173" s="167"/>
      <c r="X173" s="167"/>
      <c r="Y173" s="167"/>
      <c r="Z173" s="167"/>
      <c r="AA173" s="167"/>
      <c r="AB173" s="167"/>
      <c r="AC173" s="167"/>
      <c r="AD173" s="167"/>
      <c r="AE173" s="167"/>
      <c r="AF173" s="167"/>
      <c r="AG173" s="167"/>
      <c r="AH173" s="167"/>
      <c r="AI173" s="167"/>
      <c r="AJ173" s="167"/>
      <c r="AK173" s="167"/>
      <c r="AL173" s="167"/>
      <c r="AM173" s="167"/>
      <c r="AN173" s="167"/>
      <c r="AO173" s="167"/>
      <c r="AP173" s="167"/>
      <c r="AQ173" s="167"/>
      <c r="AR173" s="167"/>
      <c r="AS173" s="167"/>
      <c r="AT173" s="167"/>
      <c r="AU173" s="167"/>
      <c r="AV173" s="167"/>
      <c r="AW173" s="167"/>
      <c r="AX173" s="167"/>
      <c r="AY173" s="167"/>
      <c r="AZ173" s="167"/>
      <c r="BA173" s="167"/>
      <c r="BB173" s="167"/>
      <c r="BC173" s="167"/>
      <c r="BD173" s="167"/>
      <c r="BE173" s="167"/>
      <c r="BF173" s="167"/>
      <c r="BG173" s="167"/>
      <c r="BH173" s="167"/>
      <c r="BI173" s="167"/>
      <c r="BJ173" s="167"/>
      <c r="BK173" s="167"/>
      <c r="BL173" s="167"/>
      <c r="BM173" s="167"/>
      <c r="BN173" s="167"/>
      <c r="BO173" s="167"/>
      <c r="BP173" s="167"/>
      <c r="BQ173" s="167"/>
      <c r="BR173" s="167"/>
      <c r="BS173" s="167"/>
      <c r="BT173" s="167"/>
      <c r="BU173" s="167"/>
      <c r="BV173" s="167"/>
      <c r="BW173" s="167"/>
      <c r="BX173" s="167"/>
      <c r="BY173" s="167"/>
      <c r="BZ173" s="167"/>
      <c r="CA173" s="167"/>
      <c r="CB173" s="167"/>
      <c r="CC173" s="167"/>
      <c r="CD173" s="167"/>
      <c r="CE173" s="167"/>
      <c r="CF173" s="167"/>
      <c r="CG173" s="167"/>
      <c r="CH173" s="167"/>
      <c r="CI173" s="167"/>
      <c r="CJ173" s="167"/>
      <c r="CK173" s="167"/>
      <c r="CL173" s="167"/>
      <c r="CM173" s="167"/>
      <c r="CN173" s="167"/>
      <c r="CO173" s="167"/>
      <c r="CP173" s="167"/>
      <c r="CQ173" s="167"/>
      <c r="CR173" s="167"/>
      <c r="CS173" s="167"/>
      <c r="CT173" s="167"/>
      <c r="CU173" s="167"/>
    </row>
    <row r="174" spans="6:99">
      <c r="F174" s="167"/>
      <c r="G174" s="167"/>
      <c r="H174" s="167"/>
      <c r="I174" s="167"/>
      <c r="W174" s="167"/>
      <c r="X174" s="167"/>
      <c r="Y174" s="167"/>
      <c r="Z174" s="167"/>
      <c r="AA174" s="167"/>
      <c r="AB174" s="167"/>
      <c r="AC174" s="167"/>
      <c r="AD174" s="167"/>
      <c r="AE174" s="167"/>
      <c r="AF174" s="167"/>
      <c r="AG174" s="167"/>
      <c r="AH174" s="167"/>
      <c r="AI174" s="167"/>
      <c r="AJ174" s="167"/>
      <c r="AK174" s="167"/>
      <c r="AL174" s="167"/>
      <c r="AM174" s="167"/>
      <c r="AN174" s="167"/>
      <c r="AO174" s="167"/>
      <c r="AP174" s="167"/>
      <c r="AQ174" s="167"/>
      <c r="AR174" s="167"/>
      <c r="AS174" s="167"/>
      <c r="AT174" s="167"/>
      <c r="AU174" s="167"/>
      <c r="AV174" s="167"/>
      <c r="AW174" s="167"/>
      <c r="AX174" s="167"/>
      <c r="AY174" s="167"/>
      <c r="AZ174" s="167"/>
      <c r="BA174" s="167"/>
      <c r="BB174" s="167"/>
      <c r="BC174" s="167"/>
      <c r="BD174" s="167"/>
      <c r="BE174" s="167"/>
      <c r="BF174" s="167"/>
      <c r="BG174" s="167"/>
      <c r="BH174" s="167"/>
      <c r="BI174" s="167"/>
      <c r="BJ174" s="167"/>
      <c r="BK174" s="167"/>
      <c r="BL174" s="167"/>
      <c r="BM174" s="167"/>
      <c r="BN174" s="167"/>
      <c r="BO174" s="167"/>
      <c r="BP174" s="167"/>
      <c r="BQ174" s="167"/>
      <c r="BR174" s="167"/>
      <c r="BS174" s="167"/>
      <c r="BT174" s="167"/>
      <c r="BU174" s="167"/>
      <c r="BV174" s="167"/>
      <c r="BW174" s="167"/>
      <c r="BX174" s="167"/>
      <c r="BY174" s="167"/>
      <c r="BZ174" s="167"/>
      <c r="CA174" s="167"/>
      <c r="CB174" s="167"/>
      <c r="CC174" s="167"/>
      <c r="CD174" s="167"/>
      <c r="CE174" s="167"/>
      <c r="CF174" s="167"/>
      <c r="CG174" s="167"/>
      <c r="CH174" s="167"/>
      <c r="CI174" s="167"/>
      <c r="CJ174" s="167"/>
      <c r="CK174" s="167"/>
      <c r="CL174" s="167"/>
      <c r="CM174" s="167"/>
      <c r="CN174" s="167"/>
      <c r="CO174" s="167"/>
      <c r="CP174" s="167"/>
      <c r="CQ174" s="167"/>
      <c r="CR174" s="167"/>
      <c r="CS174" s="167"/>
      <c r="CT174" s="167"/>
      <c r="CU174" s="167"/>
    </row>
    <row r="175" spans="6:99">
      <c r="F175" s="167"/>
      <c r="G175" s="167"/>
      <c r="H175" s="167"/>
      <c r="I175" s="167"/>
      <c r="W175" s="167"/>
      <c r="X175" s="167"/>
      <c r="Y175" s="167"/>
      <c r="Z175" s="167"/>
      <c r="AA175" s="167"/>
      <c r="AB175" s="167"/>
      <c r="AC175" s="167"/>
      <c r="AD175" s="167"/>
      <c r="AE175" s="167"/>
      <c r="AF175" s="167"/>
      <c r="AG175" s="167"/>
      <c r="AH175" s="167"/>
      <c r="AI175" s="167"/>
      <c r="AJ175" s="167"/>
      <c r="AK175" s="167"/>
      <c r="AL175" s="167"/>
      <c r="AM175" s="167"/>
      <c r="AN175" s="167"/>
      <c r="AO175" s="167"/>
      <c r="AP175" s="167"/>
      <c r="AQ175" s="167"/>
      <c r="AR175" s="167"/>
      <c r="AS175" s="167"/>
      <c r="AT175" s="167"/>
      <c r="AU175" s="167"/>
      <c r="AV175" s="167"/>
      <c r="AW175" s="167"/>
      <c r="AX175" s="167"/>
      <c r="AY175" s="167"/>
      <c r="AZ175" s="167"/>
      <c r="BA175" s="167"/>
      <c r="BB175" s="167"/>
      <c r="BC175" s="167"/>
      <c r="BD175" s="167"/>
      <c r="BE175" s="167"/>
      <c r="BF175" s="167"/>
      <c r="BG175" s="167"/>
      <c r="BH175" s="167"/>
      <c r="BI175" s="167"/>
      <c r="BJ175" s="167"/>
      <c r="BK175" s="167"/>
      <c r="BL175" s="167"/>
      <c r="BM175" s="167"/>
      <c r="BN175" s="167"/>
      <c r="BO175" s="167"/>
      <c r="BP175" s="167"/>
      <c r="BQ175" s="167"/>
      <c r="BR175" s="167"/>
      <c r="BS175" s="167"/>
      <c r="BT175" s="167"/>
      <c r="BU175" s="167"/>
      <c r="BV175" s="167"/>
      <c r="BW175" s="167"/>
      <c r="BX175" s="167"/>
      <c r="BY175" s="167"/>
      <c r="BZ175" s="167"/>
      <c r="CA175" s="167"/>
      <c r="CB175" s="167"/>
      <c r="CC175" s="167"/>
      <c r="CD175" s="167"/>
      <c r="CE175" s="167"/>
      <c r="CF175" s="167"/>
      <c r="CG175" s="167"/>
      <c r="CH175" s="167"/>
      <c r="CI175" s="167"/>
      <c r="CJ175" s="167"/>
      <c r="CK175" s="167"/>
      <c r="CL175" s="167"/>
      <c r="CM175" s="167"/>
      <c r="CN175" s="167"/>
      <c r="CO175" s="167"/>
      <c r="CP175" s="167"/>
      <c r="CQ175" s="167"/>
      <c r="CR175" s="167"/>
      <c r="CS175" s="167"/>
      <c r="CT175" s="167"/>
      <c r="CU175" s="167"/>
    </row>
    <row r="176" spans="6:99">
      <c r="F176" s="167"/>
      <c r="G176" s="167"/>
      <c r="H176" s="167"/>
      <c r="I176" s="167"/>
      <c r="W176" s="167"/>
      <c r="X176" s="167"/>
      <c r="Y176" s="167"/>
      <c r="Z176" s="167"/>
      <c r="AA176" s="167"/>
      <c r="AB176" s="167"/>
      <c r="AC176" s="167"/>
      <c r="AD176" s="167"/>
      <c r="AE176" s="167"/>
      <c r="AF176" s="167"/>
      <c r="AG176" s="167"/>
      <c r="AH176" s="167"/>
      <c r="AI176" s="167"/>
      <c r="AJ176" s="167"/>
      <c r="AK176" s="167"/>
      <c r="AL176" s="167"/>
      <c r="AM176" s="167"/>
      <c r="AN176" s="167"/>
      <c r="AO176" s="167"/>
      <c r="AP176" s="167"/>
      <c r="AQ176" s="167"/>
      <c r="AR176" s="167"/>
      <c r="AS176" s="167"/>
      <c r="AT176" s="167"/>
      <c r="AU176" s="167"/>
      <c r="AV176" s="167"/>
      <c r="AW176" s="167"/>
      <c r="AX176" s="167"/>
      <c r="AY176" s="167"/>
      <c r="AZ176" s="167"/>
      <c r="BA176" s="167"/>
      <c r="BB176" s="167"/>
      <c r="BC176" s="167"/>
      <c r="BD176" s="167"/>
      <c r="BE176" s="167"/>
      <c r="BF176" s="167"/>
      <c r="BG176" s="167"/>
      <c r="BH176" s="167"/>
      <c r="BI176" s="167"/>
      <c r="BJ176" s="167"/>
      <c r="BK176" s="167"/>
      <c r="BL176" s="167"/>
      <c r="BM176" s="167"/>
      <c r="BN176" s="167"/>
      <c r="BO176" s="167"/>
      <c r="BP176" s="167"/>
      <c r="BQ176" s="167"/>
      <c r="BR176" s="167"/>
      <c r="BS176" s="167"/>
      <c r="BT176" s="167"/>
      <c r="BU176" s="167"/>
      <c r="BV176" s="167"/>
      <c r="BW176" s="167"/>
      <c r="BX176" s="167"/>
      <c r="BY176" s="167"/>
      <c r="BZ176" s="167"/>
      <c r="CA176" s="167"/>
      <c r="CB176" s="167"/>
      <c r="CC176" s="167"/>
      <c r="CD176" s="167"/>
      <c r="CE176" s="167"/>
      <c r="CF176" s="167"/>
      <c r="CG176" s="167"/>
      <c r="CH176" s="167"/>
      <c r="CI176" s="167"/>
      <c r="CJ176" s="167"/>
      <c r="CK176" s="167"/>
      <c r="CL176" s="167"/>
      <c r="CM176" s="167"/>
      <c r="CN176" s="167"/>
      <c r="CO176" s="167"/>
      <c r="CP176" s="167"/>
      <c r="CQ176" s="167"/>
      <c r="CR176" s="167"/>
      <c r="CS176" s="167"/>
      <c r="CT176" s="167"/>
      <c r="CU176" s="167"/>
    </row>
    <row r="177" spans="6:99">
      <c r="F177" s="167"/>
      <c r="G177" s="167"/>
      <c r="H177" s="167"/>
      <c r="I177" s="167"/>
      <c r="W177" s="167"/>
      <c r="X177" s="167"/>
      <c r="Y177" s="167"/>
      <c r="Z177" s="167"/>
      <c r="AA177" s="167"/>
      <c r="AB177" s="167"/>
      <c r="AC177" s="167"/>
      <c r="AD177" s="167"/>
      <c r="AE177" s="167"/>
      <c r="AF177" s="167"/>
      <c r="AG177" s="167"/>
      <c r="AH177" s="167"/>
      <c r="AI177" s="167"/>
      <c r="AJ177" s="167"/>
      <c r="AK177" s="167"/>
      <c r="AL177" s="167"/>
      <c r="AM177" s="167"/>
      <c r="AN177" s="167"/>
      <c r="AO177" s="167"/>
      <c r="AP177" s="167"/>
      <c r="AQ177" s="167"/>
      <c r="AR177" s="167"/>
      <c r="AS177" s="167"/>
      <c r="AT177" s="167"/>
      <c r="AU177" s="167"/>
      <c r="AV177" s="167"/>
      <c r="AW177" s="167"/>
      <c r="AX177" s="167"/>
      <c r="AY177" s="167"/>
      <c r="AZ177" s="167"/>
      <c r="BA177" s="167"/>
      <c r="BB177" s="167"/>
      <c r="BC177" s="167"/>
      <c r="BD177" s="167"/>
      <c r="BE177" s="167"/>
      <c r="BF177" s="167"/>
      <c r="BG177" s="167"/>
      <c r="BH177" s="167"/>
      <c r="BI177" s="167"/>
      <c r="BJ177" s="167"/>
      <c r="BK177" s="167"/>
      <c r="BL177" s="167"/>
      <c r="BM177" s="167"/>
      <c r="BN177" s="167"/>
      <c r="BO177" s="167"/>
      <c r="BP177" s="167"/>
      <c r="BQ177" s="167"/>
      <c r="BR177" s="167"/>
      <c r="BS177" s="167"/>
      <c r="BT177" s="167"/>
      <c r="BU177" s="167"/>
      <c r="BV177" s="167"/>
      <c r="BW177" s="167"/>
      <c r="BX177" s="167"/>
      <c r="BY177" s="167"/>
      <c r="BZ177" s="167"/>
      <c r="CA177" s="167"/>
      <c r="CB177" s="167"/>
      <c r="CC177" s="167"/>
      <c r="CD177" s="167"/>
      <c r="CE177" s="167"/>
      <c r="CF177" s="167"/>
      <c r="CG177" s="167"/>
      <c r="CH177" s="167"/>
      <c r="CI177" s="167"/>
      <c r="CJ177" s="167"/>
      <c r="CK177" s="167"/>
      <c r="CL177" s="167"/>
      <c r="CM177" s="167"/>
      <c r="CN177" s="167"/>
      <c r="CO177" s="167"/>
      <c r="CP177" s="167"/>
      <c r="CQ177" s="167"/>
      <c r="CR177" s="167"/>
      <c r="CS177" s="167"/>
      <c r="CT177" s="167"/>
      <c r="CU177" s="167"/>
    </row>
    <row r="178" spans="6:99">
      <c r="F178" s="167"/>
      <c r="G178" s="167"/>
      <c r="H178" s="167"/>
      <c r="I178" s="167"/>
      <c r="W178" s="167"/>
      <c r="X178" s="167"/>
      <c r="Y178" s="167"/>
      <c r="Z178" s="167"/>
      <c r="AA178" s="167"/>
      <c r="AB178" s="167"/>
      <c r="AC178" s="167"/>
      <c r="AD178" s="167"/>
      <c r="AE178" s="167"/>
      <c r="AF178" s="167"/>
      <c r="AG178" s="167"/>
      <c r="AH178" s="167"/>
      <c r="AI178" s="167"/>
      <c r="AJ178" s="167"/>
      <c r="AK178" s="167"/>
      <c r="AL178" s="167"/>
      <c r="AM178" s="167"/>
      <c r="AN178" s="167"/>
      <c r="AO178" s="167"/>
      <c r="AP178" s="167"/>
      <c r="AQ178" s="167"/>
      <c r="AR178" s="167"/>
      <c r="AS178" s="167"/>
      <c r="AT178" s="167"/>
      <c r="AU178" s="167"/>
      <c r="AV178" s="167"/>
      <c r="AW178" s="167"/>
      <c r="AX178" s="167"/>
      <c r="AY178" s="167"/>
      <c r="AZ178" s="167"/>
      <c r="BA178" s="167"/>
      <c r="BB178" s="167"/>
      <c r="BC178" s="167"/>
      <c r="BD178" s="167"/>
      <c r="BE178" s="167"/>
      <c r="BF178" s="167"/>
      <c r="BG178" s="167"/>
      <c r="BH178" s="167"/>
      <c r="BI178" s="167"/>
      <c r="BJ178" s="167"/>
      <c r="BK178" s="167"/>
      <c r="BL178" s="167"/>
      <c r="BM178" s="167"/>
      <c r="BN178" s="167"/>
      <c r="BO178" s="167"/>
      <c r="BP178" s="167"/>
      <c r="BQ178" s="167"/>
      <c r="BR178" s="167"/>
      <c r="BS178" s="167"/>
      <c r="BT178" s="167"/>
      <c r="BU178" s="167"/>
      <c r="BV178" s="167"/>
      <c r="BW178" s="167"/>
      <c r="BX178" s="167"/>
      <c r="BY178" s="167"/>
      <c r="BZ178" s="167"/>
      <c r="CA178" s="167"/>
      <c r="CB178" s="167"/>
      <c r="CC178" s="167"/>
      <c r="CD178" s="167"/>
      <c r="CE178" s="167"/>
      <c r="CF178" s="167"/>
      <c r="CG178" s="167"/>
      <c r="CH178" s="167"/>
      <c r="CI178" s="167"/>
      <c r="CJ178" s="167"/>
      <c r="CK178" s="167"/>
      <c r="CL178" s="167"/>
      <c r="CM178" s="167"/>
      <c r="CN178" s="167"/>
      <c r="CO178" s="167"/>
      <c r="CP178" s="167"/>
      <c r="CQ178" s="167"/>
      <c r="CR178" s="167"/>
      <c r="CS178" s="167"/>
      <c r="CT178" s="167"/>
      <c r="CU178" s="167"/>
    </row>
    <row r="179" spans="6:99">
      <c r="F179" s="167"/>
      <c r="G179" s="167"/>
      <c r="H179" s="167"/>
      <c r="I179" s="167"/>
      <c r="W179" s="167"/>
      <c r="X179" s="167"/>
      <c r="Y179" s="167"/>
      <c r="Z179" s="167"/>
      <c r="AA179" s="167"/>
      <c r="AB179" s="167"/>
      <c r="AC179" s="167"/>
      <c r="AD179" s="167"/>
      <c r="AE179" s="167"/>
      <c r="AF179" s="167"/>
      <c r="AG179" s="167"/>
      <c r="AH179" s="167"/>
      <c r="AI179" s="167"/>
      <c r="AJ179" s="167"/>
      <c r="AK179" s="167"/>
      <c r="AL179" s="167"/>
      <c r="AM179" s="167"/>
      <c r="AN179" s="167"/>
      <c r="AO179" s="167"/>
      <c r="AP179" s="167"/>
      <c r="AQ179" s="167"/>
      <c r="AR179" s="167"/>
      <c r="AS179" s="167"/>
      <c r="AT179" s="167"/>
      <c r="AU179" s="167"/>
      <c r="AV179" s="167"/>
      <c r="AW179" s="167"/>
      <c r="AX179" s="167"/>
      <c r="AY179" s="167"/>
      <c r="AZ179" s="167"/>
      <c r="BA179" s="167"/>
      <c r="BB179" s="167"/>
      <c r="BC179" s="167"/>
      <c r="BD179" s="167"/>
      <c r="BE179" s="167"/>
      <c r="BF179" s="167"/>
      <c r="BG179" s="167"/>
      <c r="BH179" s="167"/>
      <c r="BI179" s="167"/>
      <c r="BJ179" s="167"/>
      <c r="BK179" s="167"/>
      <c r="BL179" s="167"/>
      <c r="BM179" s="167"/>
      <c r="BN179" s="167"/>
      <c r="BO179" s="167"/>
      <c r="BP179" s="167"/>
      <c r="BQ179" s="167"/>
      <c r="BR179" s="167"/>
      <c r="BS179" s="167"/>
      <c r="BT179" s="167"/>
      <c r="BU179" s="167"/>
      <c r="BV179" s="167"/>
      <c r="BW179" s="167"/>
      <c r="BX179" s="167"/>
      <c r="BY179" s="167"/>
      <c r="BZ179" s="167"/>
      <c r="CA179" s="167"/>
      <c r="CB179" s="167"/>
      <c r="CC179" s="167"/>
      <c r="CD179" s="167"/>
      <c r="CE179" s="167"/>
      <c r="CF179" s="167"/>
      <c r="CG179" s="167"/>
      <c r="CH179" s="167"/>
      <c r="CI179" s="167"/>
      <c r="CJ179" s="167"/>
      <c r="CK179" s="167"/>
      <c r="CL179" s="167"/>
      <c r="CM179" s="167"/>
      <c r="CN179" s="167"/>
      <c r="CO179" s="167"/>
      <c r="CP179" s="167"/>
      <c r="CQ179" s="167"/>
      <c r="CR179" s="167"/>
      <c r="CS179" s="167"/>
      <c r="CT179" s="167"/>
      <c r="CU179" s="167"/>
    </row>
    <row r="180" spans="6:99">
      <c r="F180" s="167"/>
      <c r="G180" s="167"/>
      <c r="H180" s="167"/>
      <c r="I180" s="167"/>
      <c r="W180" s="167"/>
      <c r="X180" s="167"/>
      <c r="Y180" s="167"/>
      <c r="Z180" s="167"/>
      <c r="AA180" s="167"/>
      <c r="AB180" s="167"/>
      <c r="AC180" s="167"/>
      <c r="AD180" s="167"/>
      <c r="AE180" s="167"/>
      <c r="AF180" s="167"/>
      <c r="AG180" s="167"/>
      <c r="AH180" s="167"/>
      <c r="AI180" s="167"/>
      <c r="AJ180" s="167"/>
      <c r="AK180" s="167"/>
      <c r="AL180" s="167"/>
      <c r="AM180" s="167"/>
      <c r="AN180" s="167"/>
      <c r="AO180" s="167"/>
      <c r="AP180" s="167"/>
      <c r="AQ180" s="167"/>
      <c r="AR180" s="167"/>
      <c r="AS180" s="167"/>
      <c r="AT180" s="167"/>
      <c r="AU180" s="167"/>
      <c r="AV180" s="167"/>
      <c r="AW180" s="167"/>
      <c r="AX180" s="167"/>
      <c r="AY180" s="167"/>
      <c r="AZ180" s="167"/>
      <c r="BA180" s="167"/>
      <c r="BB180" s="167"/>
      <c r="BC180" s="167"/>
      <c r="BD180" s="167"/>
      <c r="BE180" s="167"/>
      <c r="BF180" s="167"/>
      <c r="BG180" s="167"/>
      <c r="BH180" s="167"/>
      <c r="BI180" s="167"/>
      <c r="BJ180" s="167"/>
      <c r="BK180" s="167"/>
      <c r="BL180" s="167"/>
      <c r="BM180" s="167"/>
      <c r="BN180" s="167"/>
      <c r="BO180" s="167"/>
      <c r="BP180" s="167"/>
      <c r="BQ180" s="167"/>
      <c r="BR180" s="167"/>
      <c r="BS180" s="167"/>
      <c r="BT180" s="167"/>
      <c r="BU180" s="167"/>
      <c r="BV180" s="167"/>
      <c r="BW180" s="167"/>
      <c r="BX180" s="167"/>
      <c r="BY180" s="167"/>
      <c r="BZ180" s="167"/>
      <c r="CA180" s="167"/>
      <c r="CB180" s="167"/>
      <c r="CC180" s="167"/>
      <c r="CD180" s="167"/>
      <c r="CE180" s="167"/>
      <c r="CF180" s="167"/>
      <c r="CG180" s="167"/>
      <c r="CH180" s="167"/>
      <c r="CI180" s="167"/>
      <c r="CJ180" s="167"/>
      <c r="CK180" s="167"/>
      <c r="CL180" s="167"/>
      <c r="CM180" s="167"/>
      <c r="CN180" s="167"/>
      <c r="CO180" s="167"/>
      <c r="CP180" s="167"/>
      <c r="CQ180" s="167"/>
      <c r="CR180" s="167"/>
      <c r="CS180" s="167"/>
      <c r="CT180" s="167"/>
      <c r="CU180" s="167"/>
    </row>
    <row r="181" spans="6:99">
      <c r="F181" s="167"/>
      <c r="G181" s="167"/>
      <c r="H181" s="167"/>
      <c r="I181" s="167"/>
      <c r="W181" s="167"/>
      <c r="X181" s="167"/>
      <c r="Y181" s="167"/>
      <c r="Z181" s="167"/>
      <c r="AA181" s="167"/>
      <c r="AB181" s="167"/>
      <c r="AC181" s="167"/>
      <c r="AD181" s="167"/>
      <c r="AE181" s="167"/>
      <c r="AF181" s="167"/>
      <c r="AG181" s="167"/>
      <c r="AH181" s="167"/>
      <c r="AI181" s="167"/>
      <c r="AJ181" s="167"/>
      <c r="AK181" s="167"/>
      <c r="AL181" s="167"/>
      <c r="AM181" s="167"/>
      <c r="AN181" s="167"/>
      <c r="AO181" s="167"/>
      <c r="AP181" s="167"/>
      <c r="AQ181" s="167"/>
      <c r="AR181" s="167"/>
      <c r="AS181" s="167"/>
      <c r="AT181" s="167"/>
      <c r="AU181" s="167"/>
      <c r="AV181" s="167"/>
      <c r="AW181" s="167"/>
      <c r="AX181" s="167"/>
      <c r="AY181" s="167"/>
      <c r="AZ181" s="167"/>
      <c r="BA181" s="167"/>
      <c r="BB181" s="167"/>
      <c r="BC181" s="167"/>
      <c r="BD181" s="167"/>
      <c r="BE181" s="167"/>
      <c r="BF181" s="167"/>
      <c r="BG181" s="167"/>
      <c r="BH181" s="167"/>
      <c r="BI181" s="167"/>
      <c r="BJ181" s="167"/>
      <c r="BK181" s="167"/>
      <c r="BL181" s="167"/>
      <c r="BM181" s="167"/>
      <c r="BN181" s="167"/>
      <c r="BO181" s="167"/>
      <c r="BP181" s="167"/>
      <c r="BQ181" s="167"/>
      <c r="BR181" s="167"/>
      <c r="BS181" s="167"/>
      <c r="BT181" s="167"/>
      <c r="BU181" s="167"/>
      <c r="BV181" s="167"/>
      <c r="BW181" s="167"/>
      <c r="BX181" s="167"/>
      <c r="BY181" s="167"/>
      <c r="BZ181" s="167"/>
      <c r="CA181" s="167"/>
      <c r="CB181" s="167"/>
      <c r="CC181" s="167"/>
      <c r="CD181" s="167"/>
      <c r="CE181" s="167"/>
      <c r="CF181" s="167"/>
      <c r="CG181" s="167"/>
      <c r="CH181" s="167"/>
      <c r="CI181" s="167"/>
      <c r="CJ181" s="167"/>
      <c r="CK181" s="167"/>
      <c r="CL181" s="167"/>
      <c r="CM181" s="167"/>
      <c r="CN181" s="167"/>
      <c r="CO181" s="167"/>
      <c r="CP181" s="167"/>
      <c r="CQ181" s="167"/>
      <c r="CR181" s="167"/>
      <c r="CS181" s="167"/>
      <c r="CT181" s="167"/>
      <c r="CU181" s="167"/>
    </row>
    <row r="182" spans="6:99">
      <c r="F182" s="167"/>
      <c r="G182" s="167"/>
      <c r="H182" s="167"/>
      <c r="I182" s="167"/>
      <c r="W182" s="167"/>
      <c r="X182" s="167"/>
      <c r="Y182" s="167"/>
      <c r="Z182" s="167"/>
      <c r="AA182" s="167"/>
      <c r="AB182" s="167"/>
      <c r="AC182" s="167"/>
      <c r="AD182" s="167"/>
      <c r="AE182" s="167"/>
      <c r="AF182" s="167"/>
      <c r="AG182" s="167"/>
      <c r="AH182" s="167"/>
      <c r="AI182" s="167"/>
      <c r="AJ182" s="167"/>
      <c r="AK182" s="167"/>
      <c r="AL182" s="167"/>
      <c r="AM182" s="167"/>
      <c r="AN182" s="167"/>
      <c r="AO182" s="167"/>
      <c r="AP182" s="167"/>
      <c r="AQ182" s="167"/>
      <c r="AR182" s="167"/>
      <c r="AS182" s="167"/>
      <c r="AT182" s="167"/>
      <c r="AU182" s="167"/>
      <c r="AV182" s="167"/>
      <c r="AW182" s="167"/>
      <c r="AX182" s="167"/>
      <c r="AY182" s="167"/>
      <c r="AZ182" s="167"/>
      <c r="BA182" s="167"/>
      <c r="BB182" s="167"/>
      <c r="BC182" s="167"/>
      <c r="BD182" s="167"/>
      <c r="BE182" s="167"/>
      <c r="BF182" s="167"/>
      <c r="BG182" s="167"/>
      <c r="BH182" s="167"/>
      <c r="BI182" s="167"/>
      <c r="BJ182" s="167"/>
      <c r="BK182" s="167"/>
      <c r="BL182" s="167"/>
      <c r="BM182" s="167"/>
      <c r="BN182" s="167"/>
      <c r="BO182" s="167"/>
      <c r="BP182" s="167"/>
      <c r="BQ182" s="167"/>
      <c r="BR182" s="167"/>
      <c r="BS182" s="167"/>
      <c r="BT182" s="167"/>
      <c r="BU182" s="167"/>
      <c r="BV182" s="167"/>
      <c r="BW182" s="167"/>
      <c r="BX182" s="167"/>
      <c r="BY182" s="167"/>
      <c r="BZ182" s="167"/>
      <c r="CA182" s="167"/>
      <c r="CB182" s="167"/>
      <c r="CC182" s="167"/>
      <c r="CD182" s="167"/>
      <c r="CE182" s="167"/>
      <c r="CF182" s="167"/>
      <c r="CG182" s="167"/>
      <c r="CH182" s="167"/>
      <c r="CI182" s="167"/>
      <c r="CJ182" s="167"/>
      <c r="CK182" s="167"/>
      <c r="CL182" s="167"/>
      <c r="CM182" s="167"/>
      <c r="CN182" s="167"/>
      <c r="CO182" s="167"/>
      <c r="CP182" s="167"/>
      <c r="CQ182" s="167"/>
      <c r="CR182" s="167"/>
      <c r="CS182" s="167"/>
      <c r="CT182" s="167"/>
      <c r="CU182" s="167"/>
    </row>
    <row r="183" spans="6:99">
      <c r="F183" s="167"/>
      <c r="G183" s="167"/>
      <c r="H183" s="167"/>
      <c r="I183" s="167"/>
      <c r="W183" s="167"/>
      <c r="X183" s="167"/>
      <c r="Y183" s="167"/>
      <c r="Z183" s="167"/>
      <c r="AA183" s="167"/>
      <c r="AB183" s="167"/>
      <c r="AC183" s="167"/>
      <c r="AD183" s="167"/>
      <c r="AE183" s="167"/>
      <c r="AF183" s="167"/>
      <c r="AG183" s="167"/>
      <c r="AH183" s="167"/>
      <c r="AI183" s="167"/>
      <c r="AJ183" s="167"/>
      <c r="AK183" s="167"/>
      <c r="AL183" s="167"/>
      <c r="AM183" s="167"/>
      <c r="AN183" s="167"/>
      <c r="AO183" s="167"/>
      <c r="AP183" s="167"/>
      <c r="AQ183" s="167"/>
      <c r="AR183" s="167"/>
      <c r="AS183" s="167"/>
      <c r="AT183" s="167"/>
      <c r="AU183" s="167"/>
      <c r="AV183" s="167"/>
      <c r="AW183" s="167"/>
      <c r="AX183" s="167"/>
      <c r="AY183" s="167"/>
      <c r="AZ183" s="167"/>
      <c r="BA183" s="167"/>
      <c r="BB183" s="167"/>
      <c r="BC183" s="167"/>
      <c r="BD183" s="167"/>
      <c r="BE183" s="167"/>
      <c r="BF183" s="167"/>
      <c r="BG183" s="167"/>
      <c r="BH183" s="167"/>
      <c r="BI183" s="167"/>
      <c r="BJ183" s="167"/>
      <c r="BK183" s="167"/>
      <c r="BL183" s="167"/>
      <c r="BM183" s="167"/>
      <c r="BN183" s="167"/>
      <c r="BO183" s="167"/>
      <c r="BP183" s="167"/>
      <c r="BQ183" s="167"/>
      <c r="BR183" s="167"/>
      <c r="BS183" s="167"/>
      <c r="BT183" s="167"/>
      <c r="BU183" s="167"/>
      <c r="BV183" s="167"/>
      <c r="BW183" s="167"/>
      <c r="BX183" s="167"/>
      <c r="BY183" s="167"/>
      <c r="BZ183" s="167"/>
      <c r="CA183" s="167"/>
      <c r="CB183" s="167"/>
      <c r="CC183" s="167"/>
      <c r="CD183" s="167"/>
      <c r="CE183" s="167"/>
      <c r="CF183" s="167"/>
      <c r="CG183" s="167"/>
      <c r="CH183" s="167"/>
      <c r="CI183" s="167"/>
      <c r="CJ183" s="167"/>
      <c r="CK183" s="167"/>
      <c r="CL183" s="167"/>
      <c r="CM183" s="167"/>
      <c r="CN183" s="167"/>
      <c r="CO183" s="167"/>
      <c r="CP183" s="167"/>
      <c r="CQ183" s="167"/>
      <c r="CR183" s="167"/>
      <c r="CS183" s="167"/>
      <c r="CT183" s="167"/>
      <c r="CU183" s="167"/>
    </row>
    <row r="184" spans="6:99">
      <c r="F184" s="167"/>
      <c r="G184" s="167"/>
      <c r="H184" s="167"/>
      <c r="I184" s="167"/>
      <c r="W184" s="167"/>
      <c r="X184" s="167"/>
      <c r="Y184" s="167"/>
      <c r="Z184" s="167"/>
      <c r="AA184" s="167"/>
      <c r="AB184" s="167"/>
      <c r="AC184" s="167"/>
      <c r="AD184" s="167"/>
      <c r="AE184" s="167"/>
      <c r="AF184" s="167"/>
      <c r="AG184" s="167"/>
      <c r="AH184" s="167"/>
      <c r="AI184" s="167"/>
      <c r="AJ184" s="167"/>
      <c r="AK184" s="167"/>
      <c r="AL184" s="167"/>
      <c r="AM184" s="167"/>
      <c r="AN184" s="167"/>
      <c r="AO184" s="167"/>
      <c r="AP184" s="167"/>
      <c r="AQ184" s="167"/>
      <c r="AR184" s="167"/>
      <c r="AS184" s="167"/>
      <c r="AT184" s="167"/>
      <c r="AU184" s="167"/>
      <c r="AV184" s="167"/>
      <c r="AW184" s="167"/>
      <c r="AX184" s="167"/>
      <c r="AY184" s="167"/>
      <c r="AZ184" s="167"/>
      <c r="BA184" s="167"/>
      <c r="BB184" s="167"/>
      <c r="BC184" s="167"/>
      <c r="BD184" s="167"/>
      <c r="BE184" s="167"/>
      <c r="BF184" s="167"/>
      <c r="BG184" s="167"/>
      <c r="BH184" s="167"/>
      <c r="BI184" s="167"/>
      <c r="BJ184" s="167"/>
      <c r="BK184" s="167"/>
      <c r="BL184" s="167"/>
      <c r="BM184" s="167"/>
      <c r="BN184" s="167"/>
      <c r="BO184" s="167"/>
      <c r="BP184" s="167"/>
      <c r="BQ184" s="167"/>
      <c r="BR184" s="167"/>
      <c r="BS184" s="167"/>
      <c r="BT184" s="167"/>
      <c r="BU184" s="167"/>
      <c r="BV184" s="167"/>
      <c r="BW184" s="167"/>
      <c r="BX184" s="167"/>
      <c r="BY184" s="167"/>
      <c r="BZ184" s="167"/>
      <c r="CA184" s="167"/>
      <c r="CB184" s="167"/>
      <c r="CC184" s="167"/>
      <c r="CD184" s="167"/>
      <c r="CE184" s="167"/>
      <c r="CF184" s="167"/>
      <c r="CG184" s="167"/>
      <c r="CH184" s="167"/>
      <c r="CI184" s="167"/>
      <c r="CJ184" s="167"/>
      <c r="CK184" s="167"/>
      <c r="CL184" s="167"/>
      <c r="CM184" s="167"/>
      <c r="CN184" s="167"/>
      <c r="CO184" s="167"/>
      <c r="CP184" s="167"/>
      <c r="CQ184" s="167"/>
      <c r="CR184" s="167"/>
      <c r="CS184" s="167"/>
      <c r="CT184" s="167"/>
      <c r="CU184" s="167"/>
    </row>
    <row r="185" spans="6:99">
      <c r="F185" s="167"/>
      <c r="G185" s="167"/>
      <c r="H185" s="167"/>
      <c r="I185" s="167"/>
      <c r="W185" s="167"/>
      <c r="X185" s="167"/>
      <c r="Y185" s="167"/>
      <c r="Z185" s="167"/>
      <c r="AA185" s="167"/>
      <c r="AB185" s="167"/>
      <c r="AC185" s="167"/>
      <c r="AD185" s="167"/>
      <c r="AE185" s="167"/>
      <c r="AF185" s="167"/>
      <c r="AG185" s="167"/>
      <c r="AH185" s="167"/>
      <c r="AI185" s="167"/>
      <c r="AJ185" s="167"/>
      <c r="AK185" s="167"/>
      <c r="AL185" s="167"/>
      <c r="AM185" s="167"/>
      <c r="AN185" s="167"/>
      <c r="AO185" s="167"/>
      <c r="AP185" s="167"/>
      <c r="AQ185" s="167"/>
      <c r="AR185" s="167"/>
      <c r="AS185" s="167"/>
      <c r="AT185" s="167"/>
      <c r="AU185" s="167"/>
      <c r="AV185" s="167"/>
      <c r="AW185" s="167"/>
      <c r="AX185" s="167"/>
      <c r="AY185" s="167"/>
      <c r="AZ185" s="167"/>
      <c r="BA185" s="167"/>
      <c r="BB185" s="167"/>
      <c r="BC185" s="167"/>
      <c r="BD185" s="167"/>
      <c r="BE185" s="167"/>
      <c r="BF185" s="167"/>
      <c r="BG185" s="167"/>
      <c r="BH185" s="167"/>
      <c r="BI185" s="167"/>
      <c r="BJ185" s="167"/>
      <c r="BK185" s="167"/>
      <c r="BL185" s="167"/>
      <c r="BM185" s="167"/>
      <c r="BN185" s="167"/>
      <c r="BO185" s="167"/>
      <c r="BP185" s="167"/>
      <c r="BQ185" s="167"/>
      <c r="BR185" s="167"/>
      <c r="BS185" s="167"/>
      <c r="BT185" s="167"/>
      <c r="BU185" s="167"/>
      <c r="BV185" s="167"/>
      <c r="BW185" s="167"/>
      <c r="BX185" s="167"/>
      <c r="BY185" s="167"/>
      <c r="BZ185" s="167"/>
      <c r="CA185" s="167"/>
      <c r="CB185" s="167"/>
      <c r="CC185" s="167"/>
      <c r="CD185" s="167"/>
      <c r="CE185" s="167"/>
      <c r="CF185" s="167"/>
      <c r="CG185" s="167"/>
      <c r="CH185" s="167"/>
      <c r="CI185" s="167"/>
      <c r="CJ185" s="167"/>
      <c r="CK185" s="167"/>
      <c r="CL185" s="167"/>
      <c r="CM185" s="167"/>
      <c r="CN185" s="167"/>
      <c r="CO185" s="167"/>
      <c r="CP185" s="167"/>
      <c r="CQ185" s="167"/>
      <c r="CR185" s="167"/>
      <c r="CS185" s="167"/>
      <c r="CT185" s="167"/>
      <c r="CU185" s="167"/>
    </row>
    <row r="186" spans="6:99">
      <c r="F186" s="167"/>
      <c r="G186" s="167"/>
      <c r="H186" s="167"/>
      <c r="I186" s="167"/>
      <c r="W186" s="167"/>
      <c r="X186" s="167"/>
      <c r="Y186" s="167"/>
      <c r="Z186" s="167"/>
      <c r="AA186" s="167"/>
      <c r="AB186" s="167"/>
      <c r="AC186" s="167"/>
      <c r="AD186" s="167"/>
      <c r="AE186" s="167"/>
      <c r="AF186" s="167"/>
      <c r="AG186" s="167"/>
      <c r="AH186" s="167"/>
      <c r="AI186" s="167"/>
      <c r="AJ186" s="167"/>
      <c r="AK186" s="167"/>
      <c r="AL186" s="167"/>
      <c r="AM186" s="167"/>
      <c r="AN186" s="167"/>
      <c r="AO186" s="167"/>
      <c r="AP186" s="167"/>
      <c r="AQ186" s="167"/>
      <c r="AR186" s="167"/>
      <c r="AS186" s="167"/>
      <c r="AT186" s="167"/>
      <c r="AU186" s="167"/>
      <c r="AV186" s="167"/>
      <c r="AW186" s="167"/>
      <c r="AX186" s="167"/>
      <c r="AY186" s="167"/>
      <c r="AZ186" s="167"/>
      <c r="BA186" s="167"/>
      <c r="BB186" s="167"/>
      <c r="BC186" s="167"/>
      <c r="BD186" s="167"/>
      <c r="BE186" s="167"/>
      <c r="BF186" s="167"/>
      <c r="BG186" s="167"/>
      <c r="BH186" s="167"/>
      <c r="BI186" s="167"/>
      <c r="BJ186" s="167"/>
      <c r="BK186" s="167"/>
      <c r="BL186" s="167"/>
      <c r="BM186" s="167"/>
      <c r="BN186" s="167"/>
      <c r="BO186" s="167"/>
      <c r="BP186" s="167"/>
      <c r="BQ186" s="167"/>
      <c r="BR186" s="167"/>
      <c r="BS186" s="167"/>
      <c r="BT186" s="167"/>
      <c r="BU186" s="167"/>
      <c r="BV186" s="167"/>
      <c r="BW186" s="167"/>
      <c r="BX186" s="167"/>
      <c r="BY186" s="167"/>
      <c r="BZ186" s="167"/>
      <c r="CA186" s="167"/>
      <c r="CB186" s="167"/>
      <c r="CC186" s="167"/>
      <c r="CD186" s="167"/>
      <c r="CE186" s="167"/>
      <c r="CF186" s="167"/>
      <c r="CG186" s="167"/>
      <c r="CH186" s="167"/>
      <c r="CI186" s="167"/>
      <c r="CJ186" s="167"/>
      <c r="CK186" s="167"/>
      <c r="CL186" s="167"/>
      <c r="CM186" s="167"/>
      <c r="CN186" s="167"/>
      <c r="CO186" s="167"/>
      <c r="CP186" s="167"/>
      <c r="CQ186" s="167"/>
      <c r="CR186" s="167"/>
      <c r="CS186" s="167"/>
      <c r="CT186" s="167"/>
      <c r="CU186" s="167"/>
    </row>
    <row r="187" spans="6:99">
      <c r="F187" s="167"/>
      <c r="G187" s="167"/>
      <c r="H187" s="167"/>
      <c r="I187" s="167"/>
      <c r="W187" s="167"/>
      <c r="X187" s="167"/>
      <c r="Y187" s="167"/>
      <c r="Z187" s="167"/>
      <c r="AA187" s="167"/>
      <c r="AB187" s="167"/>
      <c r="AC187" s="167"/>
      <c r="AD187" s="167"/>
      <c r="AE187" s="167"/>
      <c r="AF187" s="167"/>
      <c r="AG187" s="167"/>
      <c r="AH187" s="167"/>
      <c r="AI187" s="167"/>
      <c r="AJ187" s="167"/>
      <c r="AK187" s="167"/>
      <c r="AL187" s="167"/>
      <c r="AM187" s="167"/>
      <c r="AN187" s="167"/>
      <c r="AO187" s="167"/>
      <c r="AP187" s="167"/>
      <c r="AQ187" s="167"/>
      <c r="AR187" s="167"/>
      <c r="AS187" s="167"/>
      <c r="AT187" s="167"/>
      <c r="AU187" s="167"/>
      <c r="AV187" s="167"/>
      <c r="AW187" s="167"/>
      <c r="AX187" s="167"/>
      <c r="AY187" s="167"/>
      <c r="AZ187" s="167"/>
      <c r="BA187" s="167"/>
      <c r="BB187" s="167"/>
      <c r="BC187" s="167"/>
      <c r="BD187" s="167"/>
      <c r="BE187" s="167"/>
      <c r="BF187" s="167"/>
      <c r="BG187" s="167"/>
      <c r="BH187" s="167"/>
      <c r="BI187" s="167"/>
      <c r="BJ187" s="167"/>
      <c r="BK187" s="167"/>
      <c r="BL187" s="167"/>
      <c r="BM187" s="167"/>
      <c r="BN187" s="167"/>
      <c r="BO187" s="167"/>
      <c r="BP187" s="167"/>
      <c r="BQ187" s="167"/>
      <c r="BR187" s="167"/>
      <c r="BS187" s="167"/>
      <c r="BT187" s="167"/>
      <c r="BU187" s="167"/>
      <c r="BV187" s="167"/>
      <c r="BW187" s="167"/>
      <c r="BX187" s="167"/>
      <c r="BY187" s="167"/>
      <c r="BZ187" s="167"/>
      <c r="CA187" s="167"/>
      <c r="CB187" s="167"/>
      <c r="CC187" s="167"/>
      <c r="CD187" s="167"/>
      <c r="CE187" s="167"/>
      <c r="CF187" s="167"/>
      <c r="CG187" s="167"/>
      <c r="CH187" s="167"/>
      <c r="CI187" s="167"/>
      <c r="CJ187" s="167"/>
      <c r="CK187" s="167"/>
      <c r="CL187" s="167"/>
      <c r="CM187" s="167"/>
      <c r="CN187" s="167"/>
      <c r="CO187" s="167"/>
      <c r="CP187" s="167"/>
      <c r="CQ187" s="167"/>
      <c r="CR187" s="167"/>
      <c r="CS187" s="167"/>
      <c r="CT187" s="167"/>
      <c r="CU187" s="167"/>
    </row>
    <row r="188" spans="6:99">
      <c r="F188" s="167"/>
      <c r="G188" s="167"/>
      <c r="H188" s="167"/>
      <c r="I188" s="167"/>
      <c r="W188" s="167"/>
      <c r="X188" s="167"/>
      <c r="Y188" s="167"/>
      <c r="Z188" s="167"/>
      <c r="AA188" s="167"/>
      <c r="AB188" s="167"/>
      <c r="AC188" s="167"/>
      <c r="AD188" s="167"/>
      <c r="AE188" s="167"/>
      <c r="AF188" s="167"/>
      <c r="AG188" s="167"/>
      <c r="AH188" s="167"/>
      <c r="AI188" s="167"/>
      <c r="AJ188" s="167"/>
      <c r="AK188" s="167"/>
      <c r="AL188" s="167"/>
      <c r="AM188" s="167"/>
      <c r="AN188" s="167"/>
      <c r="AO188" s="167"/>
      <c r="AP188" s="167"/>
      <c r="AQ188" s="167"/>
      <c r="AR188" s="167"/>
      <c r="AS188" s="167"/>
      <c r="AT188" s="167"/>
      <c r="AU188" s="167"/>
      <c r="AV188" s="167"/>
      <c r="AW188" s="167"/>
      <c r="AX188" s="167"/>
      <c r="AY188" s="167"/>
      <c r="AZ188" s="167"/>
      <c r="BA188" s="167"/>
      <c r="BB188" s="167"/>
      <c r="BC188" s="167"/>
      <c r="BD188" s="167"/>
      <c r="BE188" s="167"/>
      <c r="BF188" s="167"/>
      <c r="BG188" s="167"/>
      <c r="BH188" s="167"/>
      <c r="BI188" s="167"/>
      <c r="BJ188" s="167"/>
      <c r="BK188" s="167"/>
      <c r="BL188" s="167"/>
      <c r="BM188" s="167"/>
      <c r="BN188" s="167"/>
      <c r="BO188" s="167"/>
      <c r="BP188" s="167"/>
      <c r="BQ188" s="167"/>
      <c r="BR188" s="167"/>
      <c r="BS188" s="167"/>
      <c r="BT188" s="167"/>
      <c r="BU188" s="167"/>
      <c r="BV188" s="167"/>
      <c r="BW188" s="167"/>
      <c r="BX188" s="167"/>
      <c r="BY188" s="167"/>
      <c r="BZ188" s="167"/>
      <c r="CA188" s="167"/>
      <c r="CB188" s="167"/>
      <c r="CC188" s="167"/>
      <c r="CD188" s="167"/>
      <c r="CE188" s="167"/>
      <c r="CF188" s="167"/>
      <c r="CG188" s="167"/>
      <c r="CH188" s="167"/>
      <c r="CI188" s="167"/>
      <c r="CJ188" s="167"/>
      <c r="CK188" s="167"/>
      <c r="CL188" s="167"/>
      <c r="CM188" s="167"/>
      <c r="CN188" s="167"/>
      <c r="CO188" s="167"/>
      <c r="CP188" s="167"/>
      <c r="CQ188" s="167"/>
      <c r="CR188" s="167"/>
      <c r="CS188" s="167"/>
      <c r="CT188" s="167"/>
      <c r="CU188" s="167"/>
    </row>
    <row r="189" spans="6:99">
      <c r="F189" s="167"/>
      <c r="G189" s="167"/>
      <c r="H189" s="167"/>
      <c r="I189" s="167"/>
      <c r="W189" s="167"/>
      <c r="X189" s="167"/>
      <c r="Y189" s="167"/>
      <c r="Z189" s="167"/>
      <c r="AA189" s="167"/>
      <c r="AB189" s="167"/>
      <c r="AC189" s="167"/>
      <c r="AD189" s="167"/>
      <c r="AE189" s="167"/>
      <c r="AF189" s="167"/>
      <c r="AG189" s="167"/>
      <c r="AH189" s="167"/>
      <c r="AI189" s="167"/>
      <c r="AJ189" s="167"/>
      <c r="AK189" s="167"/>
      <c r="AL189" s="167"/>
      <c r="AM189" s="167"/>
      <c r="AN189" s="167"/>
      <c r="AO189" s="167"/>
      <c r="AP189" s="167"/>
      <c r="AQ189" s="167"/>
      <c r="AR189" s="167"/>
      <c r="AS189" s="167"/>
      <c r="AT189" s="167"/>
      <c r="AU189" s="167"/>
      <c r="AV189" s="167"/>
      <c r="AW189" s="167"/>
      <c r="AX189" s="167"/>
      <c r="AY189" s="167"/>
      <c r="AZ189" s="167"/>
      <c r="BA189" s="167"/>
      <c r="BB189" s="167"/>
      <c r="BC189" s="167"/>
      <c r="BD189" s="167"/>
      <c r="BE189" s="167"/>
      <c r="BF189" s="167"/>
      <c r="BG189" s="167"/>
      <c r="BH189" s="167"/>
      <c r="BI189" s="167"/>
      <c r="BJ189" s="167"/>
      <c r="BK189" s="167"/>
      <c r="BL189" s="167"/>
      <c r="BM189" s="167"/>
      <c r="BN189" s="167"/>
      <c r="BO189" s="167"/>
      <c r="BP189" s="167"/>
      <c r="BQ189" s="167"/>
      <c r="BR189" s="167"/>
      <c r="BS189" s="167"/>
      <c r="BT189" s="167"/>
      <c r="BU189" s="167"/>
      <c r="BV189" s="167"/>
      <c r="BW189" s="167"/>
      <c r="BX189" s="167"/>
      <c r="BY189" s="167"/>
      <c r="BZ189" s="167"/>
      <c r="CA189" s="167"/>
      <c r="CB189" s="167"/>
      <c r="CC189" s="167"/>
      <c r="CD189" s="167"/>
      <c r="CE189" s="167"/>
      <c r="CF189" s="167"/>
      <c r="CG189" s="167"/>
      <c r="CH189" s="167"/>
      <c r="CI189" s="167"/>
      <c r="CJ189" s="167"/>
      <c r="CK189" s="167"/>
      <c r="CL189" s="167"/>
      <c r="CM189" s="167"/>
      <c r="CN189" s="167"/>
      <c r="CO189" s="167"/>
      <c r="CP189" s="167"/>
      <c r="CQ189" s="167"/>
      <c r="CR189" s="167"/>
      <c r="CS189" s="167"/>
      <c r="CT189" s="167"/>
      <c r="CU189" s="167"/>
    </row>
    <row r="190" spans="6:99">
      <c r="F190" s="167"/>
      <c r="G190" s="167"/>
      <c r="H190" s="167"/>
      <c r="I190" s="167"/>
      <c r="W190" s="167"/>
      <c r="X190" s="167"/>
      <c r="Y190" s="167"/>
      <c r="Z190" s="167"/>
      <c r="AA190" s="167"/>
      <c r="AB190" s="167"/>
      <c r="AC190" s="167"/>
      <c r="AD190" s="167"/>
      <c r="AE190" s="167"/>
      <c r="AF190" s="167"/>
      <c r="AG190" s="167"/>
      <c r="AH190" s="167"/>
      <c r="AI190" s="167"/>
      <c r="AJ190" s="167"/>
      <c r="AK190" s="167"/>
      <c r="AL190" s="167"/>
      <c r="AM190" s="167"/>
      <c r="AN190" s="167"/>
      <c r="AO190" s="167"/>
      <c r="AP190" s="167"/>
      <c r="AQ190" s="167"/>
      <c r="AR190" s="167"/>
      <c r="AS190" s="167"/>
      <c r="AT190" s="167"/>
      <c r="AU190" s="167"/>
      <c r="AV190" s="167"/>
      <c r="AW190" s="167"/>
      <c r="AX190" s="167"/>
      <c r="AY190" s="167"/>
      <c r="AZ190" s="167"/>
      <c r="BA190" s="167"/>
      <c r="BB190" s="167"/>
      <c r="BC190" s="167"/>
      <c r="BD190" s="167"/>
      <c r="BE190" s="167"/>
      <c r="BF190" s="167"/>
      <c r="BG190" s="167"/>
      <c r="BH190" s="167"/>
      <c r="BI190" s="167"/>
      <c r="BJ190" s="167"/>
      <c r="BK190" s="167"/>
      <c r="BL190" s="167"/>
      <c r="BM190" s="167"/>
      <c r="BN190" s="167"/>
      <c r="BO190" s="167"/>
      <c r="BP190" s="167"/>
      <c r="BQ190" s="167"/>
      <c r="BR190" s="167"/>
      <c r="BS190" s="167"/>
      <c r="BT190" s="167"/>
      <c r="BU190" s="167"/>
      <c r="BV190" s="167"/>
      <c r="BW190" s="167"/>
      <c r="BX190" s="167"/>
      <c r="BY190" s="167"/>
      <c r="BZ190" s="167"/>
      <c r="CA190" s="167"/>
      <c r="CB190" s="167"/>
      <c r="CC190" s="167"/>
      <c r="CD190" s="167"/>
      <c r="CE190" s="167"/>
      <c r="CF190" s="167"/>
      <c r="CG190" s="167"/>
      <c r="CH190" s="167"/>
      <c r="CI190" s="167"/>
      <c r="CJ190" s="167"/>
      <c r="CK190" s="167"/>
      <c r="CL190" s="167"/>
      <c r="CM190" s="167"/>
      <c r="CN190" s="167"/>
      <c r="CO190" s="167"/>
      <c r="CP190" s="167"/>
      <c r="CQ190" s="167"/>
      <c r="CR190" s="167"/>
      <c r="CS190" s="167"/>
      <c r="CT190" s="167"/>
      <c r="CU190" s="167"/>
    </row>
    <row r="191" spans="6:99">
      <c r="F191" s="167"/>
      <c r="G191" s="167"/>
      <c r="H191" s="167"/>
      <c r="I191" s="167"/>
      <c r="W191" s="167"/>
      <c r="X191" s="167"/>
      <c r="Y191" s="167"/>
      <c r="Z191" s="167"/>
      <c r="AA191" s="167"/>
      <c r="AB191" s="167"/>
      <c r="AC191" s="167"/>
      <c r="AD191" s="167"/>
      <c r="AE191" s="167"/>
      <c r="AF191" s="167"/>
      <c r="AG191" s="167"/>
      <c r="AH191" s="167"/>
      <c r="AI191" s="167"/>
      <c r="AJ191" s="167"/>
      <c r="AK191" s="167"/>
      <c r="AL191" s="167"/>
      <c r="AM191" s="167"/>
      <c r="AN191" s="167"/>
      <c r="AO191" s="167"/>
      <c r="AP191" s="167"/>
      <c r="AQ191" s="167"/>
      <c r="AR191" s="167"/>
      <c r="AS191" s="167"/>
      <c r="AT191" s="167"/>
      <c r="AU191" s="167"/>
      <c r="AV191" s="167"/>
      <c r="AW191" s="167"/>
      <c r="AX191" s="167"/>
      <c r="AY191" s="167"/>
      <c r="AZ191" s="167"/>
      <c r="BA191" s="167"/>
      <c r="BB191" s="167"/>
      <c r="BC191" s="167"/>
      <c r="BD191" s="167"/>
      <c r="BE191" s="167"/>
      <c r="BF191" s="167"/>
      <c r="BG191" s="167"/>
      <c r="BH191" s="167"/>
      <c r="BI191" s="167"/>
      <c r="BJ191" s="167"/>
      <c r="BK191" s="167"/>
      <c r="BL191" s="167"/>
      <c r="BM191" s="167"/>
      <c r="BN191" s="167"/>
      <c r="BO191" s="167"/>
      <c r="BP191" s="167"/>
      <c r="BQ191" s="167"/>
      <c r="BR191" s="167"/>
      <c r="BS191" s="167"/>
      <c r="BT191" s="167"/>
      <c r="BU191" s="167"/>
      <c r="BV191" s="167"/>
      <c r="BW191" s="167"/>
      <c r="BX191" s="167"/>
      <c r="BY191" s="167"/>
      <c r="BZ191" s="167"/>
      <c r="CA191" s="167"/>
      <c r="CB191" s="167"/>
      <c r="CC191" s="167"/>
      <c r="CD191" s="167"/>
      <c r="CE191" s="167"/>
      <c r="CF191" s="167"/>
      <c r="CG191" s="167"/>
      <c r="CH191" s="167"/>
      <c r="CI191" s="167"/>
      <c r="CJ191" s="167"/>
      <c r="CK191" s="167"/>
      <c r="CL191" s="167"/>
      <c r="CM191" s="167"/>
      <c r="CN191" s="167"/>
      <c r="CO191" s="167"/>
      <c r="CP191" s="167"/>
      <c r="CQ191" s="167"/>
      <c r="CR191" s="167"/>
      <c r="CS191" s="167"/>
      <c r="CT191" s="167"/>
      <c r="CU191" s="167"/>
    </row>
    <row r="192" spans="6:99">
      <c r="F192" s="167"/>
      <c r="G192" s="167"/>
      <c r="H192" s="167"/>
      <c r="I192" s="167"/>
      <c r="W192" s="167"/>
      <c r="X192" s="167"/>
      <c r="Y192" s="167"/>
      <c r="Z192" s="167"/>
      <c r="AA192" s="167"/>
      <c r="AB192" s="167"/>
      <c r="AC192" s="167"/>
      <c r="AD192" s="167"/>
      <c r="AE192" s="167"/>
      <c r="AF192" s="167"/>
      <c r="AG192" s="167"/>
      <c r="AH192" s="167"/>
      <c r="AI192" s="167"/>
      <c r="AJ192" s="167"/>
      <c r="AK192" s="167"/>
      <c r="AL192" s="167"/>
      <c r="AM192" s="167"/>
      <c r="AN192" s="167"/>
      <c r="AO192" s="167"/>
      <c r="AP192" s="167"/>
      <c r="AQ192" s="167"/>
      <c r="AR192" s="167"/>
      <c r="AS192" s="167"/>
      <c r="AT192" s="167"/>
      <c r="AU192" s="167"/>
      <c r="AV192" s="167"/>
      <c r="AW192" s="167"/>
      <c r="AX192" s="167"/>
      <c r="AY192" s="167"/>
      <c r="AZ192" s="167"/>
      <c r="BA192" s="167"/>
      <c r="BB192" s="167"/>
      <c r="BC192" s="167"/>
      <c r="BD192" s="167"/>
      <c r="BE192" s="167"/>
      <c r="BF192" s="167"/>
      <c r="BG192" s="167"/>
      <c r="BH192" s="167"/>
      <c r="BI192" s="167"/>
      <c r="BJ192" s="167"/>
      <c r="BK192" s="167"/>
      <c r="BL192" s="167"/>
      <c r="BM192" s="167"/>
      <c r="BN192" s="167"/>
      <c r="BO192" s="167"/>
      <c r="BP192" s="167"/>
      <c r="BQ192" s="167"/>
      <c r="BR192" s="167"/>
      <c r="BS192" s="167"/>
      <c r="BT192" s="167"/>
      <c r="BU192" s="167"/>
      <c r="BV192" s="167"/>
      <c r="BW192" s="167"/>
      <c r="BX192" s="167"/>
      <c r="BY192" s="167"/>
      <c r="BZ192" s="167"/>
      <c r="CA192" s="167"/>
      <c r="CB192" s="167"/>
      <c r="CC192" s="167"/>
      <c r="CD192" s="167"/>
      <c r="CE192" s="167"/>
      <c r="CF192" s="167"/>
      <c r="CG192" s="167"/>
      <c r="CH192" s="167"/>
      <c r="CI192" s="167"/>
      <c r="CJ192" s="167"/>
      <c r="CK192" s="167"/>
      <c r="CL192" s="167"/>
      <c r="CM192" s="167"/>
      <c r="CN192" s="167"/>
      <c r="CO192" s="167"/>
      <c r="CP192" s="167"/>
      <c r="CQ192" s="167"/>
      <c r="CR192" s="167"/>
      <c r="CS192" s="167"/>
      <c r="CT192" s="167"/>
      <c r="CU192" s="167"/>
    </row>
    <row r="193" spans="6:99">
      <c r="F193" s="167"/>
      <c r="G193" s="167"/>
      <c r="H193" s="167"/>
      <c r="I193" s="167"/>
      <c r="W193" s="167"/>
      <c r="X193" s="167"/>
      <c r="Y193" s="167"/>
      <c r="Z193" s="167"/>
      <c r="AA193" s="167"/>
      <c r="AB193" s="167"/>
      <c r="AC193" s="167"/>
      <c r="AD193" s="167"/>
      <c r="AE193" s="167"/>
      <c r="AF193" s="167"/>
      <c r="AG193" s="167"/>
      <c r="AH193" s="167"/>
      <c r="AI193" s="167"/>
      <c r="AJ193" s="167"/>
      <c r="AK193" s="167"/>
      <c r="AL193" s="167"/>
      <c r="AM193" s="167"/>
      <c r="AN193" s="167"/>
      <c r="AO193" s="167"/>
      <c r="AP193" s="167"/>
      <c r="AQ193" s="167"/>
      <c r="AR193" s="167"/>
      <c r="AS193" s="167"/>
      <c r="AT193" s="167"/>
      <c r="AU193" s="167"/>
      <c r="AV193" s="167"/>
      <c r="AW193" s="167"/>
      <c r="AX193" s="167"/>
      <c r="AY193" s="167"/>
      <c r="AZ193" s="167"/>
      <c r="BA193" s="167"/>
      <c r="BB193" s="167"/>
      <c r="BC193" s="167"/>
      <c r="BD193" s="167"/>
      <c r="BE193" s="167"/>
      <c r="BF193" s="167"/>
      <c r="BG193" s="167"/>
      <c r="BH193" s="167"/>
      <c r="BI193" s="167"/>
      <c r="BJ193" s="167"/>
      <c r="BK193" s="167"/>
      <c r="BL193" s="167"/>
      <c r="BM193" s="167"/>
      <c r="BN193" s="167"/>
      <c r="BO193" s="167"/>
      <c r="BP193" s="167"/>
      <c r="BQ193" s="167"/>
      <c r="BR193" s="167"/>
      <c r="BS193" s="167"/>
      <c r="BT193" s="167"/>
      <c r="BU193" s="167"/>
      <c r="BV193" s="167"/>
      <c r="BW193" s="167"/>
      <c r="BX193" s="167"/>
      <c r="BY193" s="167"/>
      <c r="BZ193" s="167"/>
      <c r="CA193" s="167"/>
      <c r="CB193" s="167"/>
      <c r="CC193" s="167"/>
      <c r="CD193" s="167"/>
      <c r="CE193" s="167"/>
      <c r="CF193" s="167"/>
      <c r="CG193" s="167"/>
      <c r="CH193" s="167"/>
      <c r="CI193" s="167"/>
      <c r="CJ193" s="167"/>
      <c r="CK193" s="167"/>
      <c r="CL193" s="167"/>
      <c r="CM193" s="167"/>
      <c r="CN193" s="167"/>
      <c r="CO193" s="167"/>
      <c r="CP193" s="167"/>
      <c r="CQ193" s="167"/>
      <c r="CR193" s="167"/>
      <c r="CS193" s="167"/>
      <c r="CT193" s="167"/>
      <c r="CU193" s="167"/>
    </row>
    <row r="194" spans="6:99">
      <c r="F194" s="167"/>
      <c r="G194" s="167"/>
      <c r="H194" s="167"/>
      <c r="I194" s="167"/>
      <c r="W194" s="167"/>
      <c r="X194" s="167"/>
      <c r="Y194" s="167"/>
      <c r="Z194" s="167"/>
      <c r="AA194" s="167"/>
      <c r="AB194" s="167"/>
      <c r="AC194" s="167"/>
      <c r="AD194" s="167"/>
      <c r="AE194" s="167"/>
      <c r="AF194" s="167"/>
      <c r="AG194" s="167"/>
      <c r="AH194" s="167"/>
      <c r="AI194" s="167"/>
      <c r="AJ194" s="167"/>
      <c r="AK194" s="167"/>
      <c r="AL194" s="167"/>
      <c r="AM194" s="167"/>
      <c r="AN194" s="167"/>
      <c r="AO194" s="167"/>
      <c r="AP194" s="167"/>
      <c r="AQ194" s="167"/>
      <c r="AR194" s="167"/>
      <c r="AS194" s="167"/>
      <c r="AT194" s="167"/>
      <c r="AU194" s="167"/>
      <c r="AV194" s="167"/>
      <c r="AW194" s="167"/>
      <c r="AX194" s="167"/>
      <c r="AY194" s="167"/>
      <c r="AZ194" s="167"/>
      <c r="BA194" s="167"/>
      <c r="BB194" s="167"/>
      <c r="BC194" s="167"/>
      <c r="BD194" s="167"/>
      <c r="BE194" s="167"/>
      <c r="BF194" s="167"/>
      <c r="BG194" s="167"/>
      <c r="BH194" s="167"/>
      <c r="BI194" s="167"/>
      <c r="BJ194" s="167"/>
      <c r="BK194" s="167"/>
      <c r="BL194" s="167"/>
      <c r="BM194" s="167"/>
      <c r="BN194" s="167"/>
      <c r="BO194" s="167"/>
      <c r="BP194" s="167"/>
      <c r="BQ194" s="167"/>
      <c r="BR194" s="167"/>
      <c r="BS194" s="167"/>
      <c r="BT194" s="167"/>
      <c r="BU194" s="167"/>
      <c r="BV194" s="167"/>
      <c r="BW194" s="167"/>
      <c r="BX194" s="167"/>
      <c r="BY194" s="167"/>
      <c r="BZ194" s="167"/>
      <c r="CA194" s="167"/>
      <c r="CB194" s="167"/>
      <c r="CC194" s="167"/>
      <c r="CD194" s="167"/>
      <c r="CE194" s="167"/>
      <c r="CF194" s="167"/>
      <c r="CG194" s="167"/>
      <c r="CH194" s="167"/>
      <c r="CI194" s="167"/>
      <c r="CJ194" s="167"/>
      <c r="CK194" s="167"/>
      <c r="CL194" s="167"/>
      <c r="CM194" s="167"/>
      <c r="CN194" s="167"/>
      <c r="CO194" s="167"/>
      <c r="CP194" s="167"/>
      <c r="CQ194" s="167"/>
      <c r="CR194" s="167"/>
      <c r="CS194" s="167"/>
      <c r="CT194" s="167"/>
      <c r="CU194" s="167"/>
    </row>
    <row r="195" spans="6:99">
      <c r="F195" s="167"/>
      <c r="G195" s="167"/>
      <c r="H195" s="167"/>
      <c r="I195" s="167"/>
      <c r="W195" s="167"/>
      <c r="X195" s="167"/>
      <c r="Y195" s="167"/>
      <c r="Z195" s="167"/>
      <c r="AA195" s="167"/>
      <c r="AB195" s="167"/>
      <c r="AC195" s="167"/>
      <c r="AD195" s="167"/>
      <c r="AE195" s="167"/>
      <c r="AF195" s="167"/>
      <c r="AG195" s="167"/>
      <c r="AH195" s="167"/>
      <c r="AI195" s="167"/>
      <c r="AJ195" s="167"/>
      <c r="AK195" s="167"/>
      <c r="AL195" s="167"/>
      <c r="AM195" s="167"/>
      <c r="AN195" s="167"/>
      <c r="AO195" s="167"/>
      <c r="AP195" s="167"/>
      <c r="AQ195" s="167"/>
      <c r="AR195" s="167"/>
      <c r="AS195" s="167"/>
      <c r="AT195" s="167"/>
      <c r="AU195" s="167"/>
      <c r="AV195" s="167"/>
      <c r="AW195" s="167"/>
      <c r="AX195" s="167"/>
      <c r="AY195" s="167"/>
      <c r="AZ195" s="167"/>
      <c r="BA195" s="167"/>
      <c r="BB195" s="167"/>
      <c r="BC195" s="167"/>
      <c r="BD195" s="167"/>
      <c r="BE195" s="167"/>
      <c r="BF195" s="167"/>
      <c r="BG195" s="167"/>
      <c r="BH195" s="167"/>
      <c r="BI195" s="167"/>
      <c r="BJ195" s="167"/>
      <c r="BK195" s="167"/>
      <c r="BL195" s="167"/>
      <c r="BM195" s="167"/>
      <c r="BN195" s="167"/>
      <c r="BO195" s="167"/>
      <c r="BP195" s="167"/>
      <c r="BQ195" s="167"/>
      <c r="BR195" s="167"/>
      <c r="BS195" s="167"/>
      <c r="BT195" s="167"/>
      <c r="BU195" s="167"/>
      <c r="BV195" s="167"/>
      <c r="BW195" s="167"/>
      <c r="BX195" s="167"/>
      <c r="BY195" s="167"/>
      <c r="BZ195" s="167"/>
      <c r="CA195" s="167"/>
      <c r="CB195" s="167"/>
      <c r="CC195" s="167"/>
      <c r="CD195" s="167"/>
      <c r="CE195" s="167"/>
      <c r="CF195" s="167"/>
      <c r="CG195" s="167"/>
      <c r="CH195" s="167"/>
      <c r="CI195" s="167"/>
      <c r="CJ195" s="167"/>
      <c r="CK195" s="167"/>
      <c r="CL195" s="167"/>
      <c r="CM195" s="167"/>
      <c r="CN195" s="167"/>
      <c r="CO195" s="167"/>
      <c r="CP195" s="167"/>
      <c r="CQ195" s="167"/>
      <c r="CR195" s="167"/>
      <c r="CS195" s="167"/>
      <c r="CT195" s="167"/>
      <c r="CU195" s="167"/>
    </row>
    <row r="196" spans="6:99">
      <c r="F196" s="167"/>
      <c r="G196" s="167"/>
      <c r="H196" s="167"/>
      <c r="I196" s="167"/>
      <c r="W196" s="167"/>
      <c r="X196" s="167"/>
      <c r="Y196" s="167"/>
      <c r="Z196" s="167"/>
      <c r="AA196" s="167"/>
      <c r="AB196" s="167"/>
      <c r="AC196" s="167"/>
      <c r="AD196" s="167"/>
      <c r="AE196" s="167"/>
      <c r="AF196" s="167"/>
      <c r="AG196" s="167"/>
      <c r="AH196" s="167"/>
      <c r="AI196" s="167"/>
      <c r="AJ196" s="167"/>
      <c r="AK196" s="167"/>
      <c r="AL196" s="167"/>
      <c r="AM196" s="167"/>
      <c r="AN196" s="167"/>
      <c r="AO196" s="167"/>
      <c r="AP196" s="167"/>
      <c r="AQ196" s="167"/>
      <c r="AR196" s="167"/>
      <c r="AS196" s="167"/>
      <c r="AT196" s="167"/>
      <c r="AU196" s="167"/>
      <c r="AV196" s="167"/>
      <c r="AW196" s="167"/>
      <c r="AX196" s="167"/>
      <c r="AY196" s="167"/>
      <c r="AZ196" s="167"/>
      <c r="BA196" s="167"/>
      <c r="BB196" s="167"/>
      <c r="BC196" s="167"/>
      <c r="BD196" s="167"/>
      <c r="BE196" s="167"/>
      <c r="BF196" s="167"/>
      <c r="BG196" s="167"/>
      <c r="BH196" s="167"/>
      <c r="BI196" s="167"/>
      <c r="BJ196" s="167"/>
      <c r="BK196" s="167"/>
      <c r="BL196" s="167"/>
      <c r="BM196" s="167"/>
      <c r="BN196" s="167"/>
      <c r="BO196" s="167"/>
      <c r="BP196" s="167"/>
      <c r="BQ196" s="167"/>
      <c r="BR196" s="167"/>
      <c r="BS196" s="167"/>
      <c r="BT196" s="167"/>
      <c r="BU196" s="167"/>
      <c r="BV196" s="167"/>
      <c r="BW196" s="167"/>
      <c r="BX196" s="167"/>
      <c r="BY196" s="167"/>
      <c r="BZ196" s="167"/>
      <c r="CA196" s="167"/>
      <c r="CB196" s="167"/>
      <c r="CC196" s="167"/>
      <c r="CD196" s="167"/>
      <c r="CE196" s="167"/>
      <c r="CF196" s="167"/>
      <c r="CG196" s="167"/>
      <c r="CH196" s="167"/>
      <c r="CI196" s="167"/>
      <c r="CJ196" s="167"/>
      <c r="CK196" s="167"/>
      <c r="CL196" s="167"/>
      <c r="CM196" s="167"/>
      <c r="CN196" s="167"/>
      <c r="CO196" s="167"/>
      <c r="CP196" s="167"/>
      <c r="CQ196" s="167"/>
      <c r="CR196" s="167"/>
      <c r="CS196" s="167"/>
      <c r="CT196" s="167"/>
      <c r="CU196" s="167"/>
    </row>
    <row r="197" spans="6:99">
      <c r="F197" s="167"/>
      <c r="G197" s="167"/>
      <c r="H197" s="167"/>
      <c r="I197" s="167"/>
      <c r="W197" s="167"/>
      <c r="X197" s="167"/>
      <c r="Y197" s="167"/>
      <c r="Z197" s="167"/>
      <c r="AA197" s="167"/>
      <c r="AB197" s="167"/>
      <c r="AC197" s="167"/>
      <c r="AD197" s="167"/>
      <c r="AE197" s="167"/>
      <c r="AF197" s="167"/>
      <c r="AG197" s="167"/>
      <c r="AH197" s="167"/>
      <c r="AI197" s="167"/>
      <c r="AJ197" s="167"/>
      <c r="AK197" s="167"/>
      <c r="AL197" s="167"/>
      <c r="AM197" s="167"/>
      <c r="AN197" s="167"/>
      <c r="AO197" s="167"/>
      <c r="AP197" s="167"/>
      <c r="AQ197" s="167"/>
      <c r="AR197" s="167"/>
      <c r="AS197" s="167"/>
      <c r="AT197" s="167"/>
      <c r="AU197" s="167"/>
      <c r="AV197" s="167"/>
      <c r="AW197" s="167"/>
      <c r="AX197" s="167"/>
      <c r="AY197" s="167"/>
      <c r="AZ197" s="167"/>
      <c r="BA197" s="167"/>
      <c r="BB197" s="167"/>
      <c r="BC197" s="167"/>
      <c r="BD197" s="167"/>
      <c r="BE197" s="167"/>
      <c r="BF197" s="167"/>
      <c r="BG197" s="167"/>
      <c r="BH197" s="167"/>
      <c r="BI197" s="167"/>
      <c r="BJ197" s="167"/>
      <c r="BK197" s="167"/>
      <c r="BL197" s="167"/>
      <c r="BM197" s="167"/>
      <c r="BN197" s="167"/>
      <c r="BO197" s="167"/>
      <c r="BP197" s="167"/>
      <c r="BQ197" s="167"/>
      <c r="BR197" s="167"/>
      <c r="BS197" s="167"/>
      <c r="BT197" s="167"/>
      <c r="BU197" s="167"/>
      <c r="BV197" s="167"/>
      <c r="BW197" s="167"/>
      <c r="BX197" s="167"/>
      <c r="BY197" s="167"/>
      <c r="BZ197" s="167"/>
      <c r="CA197" s="167"/>
      <c r="CB197" s="167"/>
      <c r="CC197" s="167"/>
      <c r="CD197" s="167"/>
      <c r="CE197" s="167"/>
      <c r="CF197" s="167"/>
      <c r="CG197" s="167"/>
      <c r="CH197" s="167"/>
      <c r="CI197" s="167"/>
      <c r="CJ197" s="167"/>
      <c r="CK197" s="167"/>
      <c r="CL197" s="167"/>
      <c r="CM197" s="167"/>
      <c r="CN197" s="167"/>
      <c r="CO197" s="167"/>
      <c r="CP197" s="167"/>
      <c r="CQ197" s="167"/>
      <c r="CR197" s="167"/>
      <c r="CS197" s="167"/>
      <c r="CT197" s="167"/>
      <c r="CU197" s="167"/>
    </row>
    <row r="198" spans="6:99">
      <c r="F198" s="167"/>
      <c r="G198" s="167"/>
      <c r="H198" s="167"/>
      <c r="I198" s="167"/>
      <c r="W198" s="167"/>
      <c r="X198" s="167"/>
      <c r="Y198" s="167"/>
      <c r="Z198" s="167"/>
      <c r="AA198" s="167"/>
      <c r="AB198" s="167"/>
      <c r="AC198" s="167"/>
      <c r="AD198" s="167"/>
      <c r="AE198" s="167"/>
      <c r="AF198" s="167"/>
      <c r="AG198" s="167"/>
      <c r="AH198" s="167"/>
      <c r="AI198" s="167"/>
      <c r="AJ198" s="167"/>
      <c r="AK198" s="167"/>
      <c r="AL198" s="167"/>
      <c r="AM198" s="167"/>
      <c r="AN198" s="167"/>
      <c r="AO198" s="167"/>
      <c r="AP198" s="167"/>
      <c r="AQ198" s="167"/>
      <c r="AR198" s="167"/>
      <c r="AS198" s="167"/>
      <c r="AT198" s="167"/>
      <c r="AU198" s="167"/>
      <c r="AV198" s="167"/>
      <c r="AW198" s="167"/>
      <c r="AX198" s="167"/>
      <c r="AY198" s="167"/>
      <c r="AZ198" s="167"/>
      <c r="BA198" s="167"/>
      <c r="BB198" s="167"/>
      <c r="BC198" s="167"/>
      <c r="BD198" s="167"/>
      <c r="BE198" s="167"/>
      <c r="BF198" s="167"/>
      <c r="BG198" s="167"/>
      <c r="BH198" s="167"/>
      <c r="BI198" s="167"/>
      <c r="BJ198" s="167"/>
      <c r="BK198" s="167"/>
      <c r="BL198" s="167"/>
      <c r="BM198" s="167"/>
      <c r="BN198" s="167"/>
      <c r="BO198" s="167"/>
      <c r="BP198" s="167"/>
      <c r="BQ198" s="167"/>
      <c r="BR198" s="167"/>
      <c r="BS198" s="167"/>
      <c r="BT198" s="167"/>
      <c r="BU198" s="167"/>
      <c r="BV198" s="167"/>
      <c r="BW198" s="167"/>
      <c r="BX198" s="167"/>
      <c r="BY198" s="167"/>
      <c r="BZ198" s="167"/>
      <c r="CA198" s="167"/>
      <c r="CB198" s="167"/>
      <c r="CC198" s="167"/>
      <c r="CD198" s="167"/>
      <c r="CE198" s="167"/>
      <c r="CF198" s="167"/>
      <c r="CG198" s="167"/>
      <c r="CH198" s="167"/>
      <c r="CI198" s="167"/>
      <c r="CJ198" s="167"/>
      <c r="CK198" s="167"/>
      <c r="CL198" s="167"/>
      <c r="CM198" s="167"/>
      <c r="CN198" s="167"/>
      <c r="CO198" s="167"/>
      <c r="CP198" s="167"/>
      <c r="CQ198" s="167"/>
      <c r="CR198" s="167"/>
      <c r="CS198" s="167"/>
      <c r="CT198" s="167"/>
      <c r="CU198" s="167"/>
    </row>
    <row r="199" spans="6:99">
      <c r="F199" s="167"/>
      <c r="G199" s="167"/>
      <c r="H199" s="167"/>
      <c r="I199" s="167"/>
      <c r="W199" s="167"/>
      <c r="X199" s="167"/>
      <c r="Y199" s="167"/>
      <c r="Z199" s="167"/>
      <c r="AA199" s="167"/>
      <c r="AB199" s="167"/>
      <c r="AC199" s="167"/>
      <c r="AD199" s="167"/>
      <c r="AE199" s="167"/>
      <c r="AF199" s="167"/>
      <c r="AG199" s="167"/>
      <c r="AH199" s="167"/>
      <c r="AI199" s="167"/>
      <c r="AJ199" s="167"/>
      <c r="AK199" s="167"/>
      <c r="AL199" s="167"/>
      <c r="AM199" s="167"/>
      <c r="AN199" s="167"/>
      <c r="AO199" s="167"/>
      <c r="AP199" s="167"/>
      <c r="AQ199" s="167"/>
      <c r="AR199" s="167"/>
      <c r="AS199" s="167"/>
      <c r="AT199" s="167"/>
      <c r="AU199" s="167"/>
      <c r="AV199" s="167"/>
      <c r="AW199" s="167"/>
      <c r="AX199" s="167"/>
      <c r="AY199" s="167"/>
      <c r="AZ199" s="167"/>
      <c r="BA199" s="167"/>
      <c r="BB199" s="167"/>
      <c r="BC199" s="167"/>
      <c r="BD199" s="167"/>
      <c r="BE199" s="167"/>
      <c r="BF199" s="167"/>
      <c r="BG199" s="167"/>
      <c r="BH199" s="167"/>
      <c r="BI199" s="167"/>
      <c r="BJ199" s="167"/>
      <c r="BK199" s="167"/>
      <c r="BL199" s="167"/>
      <c r="BM199" s="167"/>
      <c r="BN199" s="167"/>
      <c r="BO199" s="167"/>
      <c r="BP199" s="167"/>
      <c r="BQ199" s="167"/>
      <c r="BR199" s="167"/>
      <c r="BS199" s="167"/>
      <c r="BT199" s="167"/>
      <c r="BU199" s="167"/>
      <c r="BV199" s="167"/>
      <c r="BW199" s="167"/>
      <c r="BX199" s="167"/>
      <c r="BY199" s="167"/>
      <c r="BZ199" s="167"/>
      <c r="CA199" s="167"/>
      <c r="CB199" s="167"/>
      <c r="CC199" s="167"/>
      <c r="CD199" s="167"/>
      <c r="CE199" s="167"/>
      <c r="CF199" s="167"/>
      <c r="CG199" s="167"/>
      <c r="CH199" s="167"/>
      <c r="CI199" s="167"/>
      <c r="CJ199" s="167"/>
      <c r="CK199" s="167"/>
      <c r="CL199" s="167"/>
      <c r="CM199" s="167"/>
      <c r="CN199" s="167"/>
      <c r="CO199" s="167"/>
      <c r="CP199" s="167"/>
      <c r="CQ199" s="167"/>
      <c r="CR199" s="167"/>
      <c r="CS199" s="167"/>
      <c r="CT199" s="167"/>
      <c r="CU199" s="167"/>
    </row>
    <row r="200" spans="6:99">
      <c r="F200" s="167"/>
      <c r="G200" s="167"/>
      <c r="H200" s="167"/>
      <c r="I200" s="167"/>
      <c r="W200" s="167"/>
      <c r="X200" s="167"/>
      <c r="Y200" s="167"/>
      <c r="Z200" s="167"/>
      <c r="AA200" s="167"/>
      <c r="AB200" s="167"/>
      <c r="AC200" s="167"/>
      <c r="AD200" s="167"/>
      <c r="AE200" s="167"/>
      <c r="AF200" s="167"/>
      <c r="AG200" s="167"/>
      <c r="AH200" s="167"/>
      <c r="AI200" s="167"/>
      <c r="AJ200" s="167"/>
      <c r="AK200" s="167"/>
      <c r="AL200" s="167"/>
      <c r="AM200" s="167"/>
      <c r="AN200" s="167"/>
      <c r="AO200" s="167"/>
      <c r="AP200" s="167"/>
      <c r="AQ200" s="167"/>
      <c r="AR200" s="167"/>
      <c r="AS200" s="167"/>
      <c r="AT200" s="167"/>
      <c r="AU200" s="167"/>
      <c r="AV200" s="167"/>
      <c r="AW200" s="167"/>
      <c r="AX200" s="167"/>
      <c r="AY200" s="167"/>
      <c r="AZ200" s="167"/>
      <c r="BA200" s="167"/>
      <c r="BB200" s="167"/>
      <c r="BC200" s="167"/>
      <c r="BD200" s="167"/>
      <c r="BE200" s="167"/>
      <c r="BF200" s="167"/>
      <c r="BG200" s="167"/>
      <c r="BH200" s="167"/>
      <c r="BI200" s="167"/>
      <c r="BJ200" s="167"/>
      <c r="BK200" s="167"/>
      <c r="BL200" s="167"/>
      <c r="BM200" s="167"/>
      <c r="BN200" s="167"/>
      <c r="BO200" s="167"/>
      <c r="BP200" s="167"/>
      <c r="BQ200" s="167"/>
      <c r="BR200" s="167"/>
      <c r="BS200" s="167"/>
      <c r="BT200" s="167"/>
      <c r="BU200" s="167"/>
      <c r="BV200" s="167"/>
      <c r="BW200" s="167"/>
      <c r="BX200" s="167"/>
      <c r="BY200" s="167"/>
      <c r="BZ200" s="167"/>
      <c r="CA200" s="167"/>
      <c r="CB200" s="167"/>
      <c r="CC200" s="167"/>
      <c r="CD200" s="167"/>
      <c r="CE200" s="167"/>
      <c r="CF200" s="167"/>
      <c r="CG200" s="167"/>
      <c r="CH200" s="167"/>
      <c r="CI200" s="167"/>
      <c r="CJ200" s="167"/>
      <c r="CK200" s="167"/>
      <c r="CL200" s="167"/>
      <c r="CM200" s="167"/>
      <c r="CN200" s="167"/>
      <c r="CO200" s="167"/>
      <c r="CP200" s="167"/>
      <c r="CQ200" s="167"/>
      <c r="CR200" s="167"/>
      <c r="CS200" s="167"/>
      <c r="CT200" s="167"/>
      <c r="CU200" s="167"/>
    </row>
    <row r="201" spans="6:99">
      <c r="F201" s="167"/>
      <c r="G201" s="167"/>
      <c r="H201" s="167"/>
      <c r="I201" s="167"/>
      <c r="W201" s="167"/>
      <c r="X201" s="167"/>
      <c r="Y201" s="167"/>
      <c r="Z201" s="167"/>
      <c r="AA201" s="167"/>
      <c r="AB201" s="167"/>
      <c r="AC201" s="167"/>
      <c r="AD201" s="167"/>
      <c r="AE201" s="167"/>
      <c r="AF201" s="167"/>
      <c r="AG201" s="167"/>
      <c r="AH201" s="167"/>
      <c r="AI201" s="167"/>
      <c r="AJ201" s="167"/>
      <c r="AK201" s="167"/>
      <c r="AL201" s="167"/>
      <c r="AM201" s="167"/>
      <c r="AN201" s="167"/>
      <c r="AO201" s="167"/>
      <c r="AP201" s="167"/>
      <c r="AQ201" s="167"/>
      <c r="AR201" s="167"/>
      <c r="AS201" s="167"/>
      <c r="AT201" s="167"/>
      <c r="AU201" s="167"/>
      <c r="AV201" s="167"/>
      <c r="AW201" s="167"/>
      <c r="AX201" s="167"/>
      <c r="AY201" s="167"/>
      <c r="AZ201" s="167"/>
      <c r="BA201" s="167"/>
      <c r="BB201" s="167"/>
      <c r="BC201" s="167"/>
      <c r="BD201" s="167"/>
      <c r="BE201" s="167"/>
      <c r="BF201" s="167"/>
      <c r="BG201" s="167"/>
      <c r="BH201" s="167"/>
      <c r="BI201" s="167"/>
      <c r="BJ201" s="167"/>
      <c r="BK201" s="167"/>
      <c r="BL201" s="167"/>
      <c r="BM201" s="167"/>
      <c r="BN201" s="167"/>
      <c r="BO201" s="167"/>
      <c r="BP201" s="167"/>
      <c r="BQ201" s="167"/>
      <c r="BR201" s="167"/>
      <c r="BS201" s="167"/>
      <c r="BT201" s="167"/>
      <c r="BU201" s="167"/>
      <c r="BV201" s="167"/>
      <c r="BW201" s="167"/>
      <c r="BX201" s="167"/>
      <c r="BY201" s="167"/>
      <c r="BZ201" s="167"/>
      <c r="CA201" s="167"/>
      <c r="CB201" s="167"/>
      <c r="CC201" s="167"/>
      <c r="CD201" s="167"/>
      <c r="CE201" s="167"/>
      <c r="CF201" s="167"/>
      <c r="CG201" s="167"/>
      <c r="CH201" s="167"/>
      <c r="CI201" s="167"/>
      <c r="CJ201" s="167"/>
      <c r="CK201" s="167"/>
      <c r="CL201" s="167"/>
      <c r="CM201" s="167"/>
      <c r="CN201" s="167"/>
      <c r="CO201" s="167"/>
      <c r="CP201" s="167"/>
      <c r="CQ201" s="167"/>
      <c r="CR201" s="167"/>
      <c r="CS201" s="167"/>
      <c r="CT201" s="167"/>
      <c r="CU201" s="167"/>
    </row>
    <row r="202" spans="6:99">
      <c r="J202" s="142"/>
      <c r="K202" s="142"/>
      <c r="L202" s="142"/>
      <c r="M202" s="142"/>
      <c r="N202" s="142"/>
      <c r="O202" s="142"/>
      <c r="P202" s="142"/>
      <c r="Q202" s="142"/>
      <c r="R202" s="142"/>
      <c r="S202" s="142"/>
      <c r="T202" s="142"/>
      <c r="U202" s="143">
        <f>INT((ROWS($U$202:U202)-1)/9)</f>
        <v>0</v>
      </c>
      <c r="V202" s="143">
        <f>MOD(ROWS($V$202:V202)-1,9)</f>
        <v>0</v>
      </c>
      <c r="W202" s="167"/>
      <c r="X202" s="167"/>
      <c r="Y202" s="167"/>
      <c r="Z202" s="167"/>
      <c r="AA202" s="167"/>
      <c r="AB202" s="167"/>
      <c r="AC202" s="167"/>
      <c r="AD202" s="167"/>
      <c r="AE202" s="167"/>
      <c r="AF202" s="167"/>
      <c r="AG202" s="167"/>
      <c r="AH202" s="167"/>
      <c r="AI202" s="167"/>
      <c r="AJ202" s="167"/>
      <c r="AK202" s="167"/>
      <c r="AL202" s="167"/>
      <c r="AM202" s="167"/>
      <c r="AN202" s="167"/>
      <c r="AO202" s="167"/>
      <c r="AP202" s="167"/>
      <c r="AQ202" s="167"/>
      <c r="AR202" s="167"/>
      <c r="AS202" s="167"/>
      <c r="AT202" s="167"/>
      <c r="AU202" s="167"/>
      <c r="AV202" s="167"/>
      <c r="AW202" s="167"/>
      <c r="AX202" s="167"/>
      <c r="AY202" s="167"/>
      <c r="AZ202" s="167"/>
      <c r="BA202" s="167"/>
      <c r="BB202" s="167"/>
      <c r="BC202" s="167"/>
      <c r="BD202" s="167"/>
      <c r="BE202" s="167"/>
      <c r="BF202" s="167"/>
      <c r="BG202" s="167"/>
      <c r="BH202" s="167"/>
      <c r="BI202" s="167"/>
      <c r="BJ202" s="167"/>
      <c r="BK202" s="167"/>
      <c r="BL202" s="167"/>
      <c r="BM202" s="167"/>
      <c r="BN202" s="167"/>
      <c r="BO202" s="167"/>
      <c r="BP202" s="167"/>
      <c r="BQ202" s="167"/>
      <c r="BR202" s="167"/>
      <c r="BS202" s="167"/>
      <c r="BT202" s="167"/>
      <c r="BU202" s="167"/>
      <c r="BV202" s="167"/>
      <c r="BW202" s="167"/>
      <c r="BX202" s="167"/>
      <c r="BY202" s="167"/>
      <c r="BZ202" s="167"/>
    </row>
    <row r="203" spans="6:99">
      <c r="W203" s="167"/>
      <c r="X203" s="167"/>
      <c r="Y203" s="167"/>
      <c r="Z203" s="167"/>
      <c r="AA203" s="167"/>
      <c r="AB203" s="167"/>
      <c r="AC203" s="167"/>
      <c r="AD203" s="167"/>
      <c r="AE203" s="167"/>
      <c r="AF203" s="167"/>
      <c r="AG203" s="167"/>
      <c r="AH203" s="167"/>
      <c r="AI203" s="167"/>
      <c r="AJ203" s="167"/>
      <c r="AK203" s="167"/>
      <c r="AL203" s="167"/>
      <c r="AM203" s="167"/>
      <c r="AN203" s="167"/>
      <c r="AO203" s="167"/>
      <c r="AP203" s="167"/>
      <c r="AQ203" s="167"/>
      <c r="AR203" s="167"/>
      <c r="AS203" s="167"/>
      <c r="AT203" s="167"/>
      <c r="AU203" s="167"/>
      <c r="AV203" s="167"/>
      <c r="AW203" s="167"/>
      <c r="AX203" s="167"/>
      <c r="AY203" s="167"/>
      <c r="AZ203" s="167"/>
      <c r="BA203" s="167"/>
      <c r="BB203" s="167"/>
      <c r="BC203" s="167"/>
      <c r="BD203" s="167"/>
      <c r="BE203" s="167"/>
      <c r="BF203" s="167"/>
      <c r="BG203" s="167"/>
      <c r="BH203" s="167"/>
      <c r="BI203" s="167"/>
      <c r="BJ203" s="167"/>
      <c r="BK203" s="167"/>
      <c r="BL203" s="167"/>
      <c r="BM203" s="167"/>
      <c r="BN203" s="167"/>
      <c r="BO203" s="167"/>
      <c r="BP203" s="167"/>
      <c r="BQ203" s="167"/>
      <c r="BR203" s="167"/>
      <c r="BS203" s="167"/>
      <c r="BT203" s="167"/>
      <c r="BU203" s="167"/>
      <c r="BV203" s="167"/>
      <c r="BW203" s="167"/>
      <c r="BX203" s="167"/>
      <c r="BY203" s="167"/>
      <c r="BZ203" s="167"/>
    </row>
    <row r="204" spans="6:99">
      <c r="W204" s="167"/>
      <c r="X204" s="167"/>
      <c r="Y204" s="167"/>
      <c r="Z204" s="167"/>
      <c r="AA204" s="167"/>
      <c r="AB204" s="167"/>
      <c r="AC204" s="167"/>
      <c r="AD204" s="167"/>
      <c r="AE204" s="167"/>
      <c r="AF204" s="167"/>
      <c r="AG204" s="167"/>
      <c r="AH204" s="167"/>
      <c r="AI204" s="167"/>
      <c r="AJ204" s="167"/>
      <c r="AK204" s="167"/>
      <c r="AL204" s="167"/>
      <c r="AM204" s="167"/>
      <c r="AN204" s="167"/>
      <c r="AO204" s="167"/>
      <c r="AP204" s="167"/>
      <c r="AQ204" s="167"/>
      <c r="AR204" s="167"/>
      <c r="AS204" s="167"/>
      <c r="AT204" s="167"/>
      <c r="AU204" s="167"/>
      <c r="AV204" s="167"/>
      <c r="AW204" s="167"/>
      <c r="AX204" s="167"/>
      <c r="AY204" s="167"/>
      <c r="AZ204" s="167"/>
      <c r="BA204" s="167"/>
      <c r="BB204" s="167"/>
      <c r="BC204" s="167"/>
      <c r="BD204" s="167"/>
      <c r="BE204" s="167"/>
      <c r="BF204" s="167"/>
      <c r="BG204" s="167"/>
      <c r="BH204" s="167"/>
      <c r="BI204" s="167"/>
      <c r="BJ204" s="167"/>
      <c r="BK204" s="167"/>
      <c r="BL204" s="167"/>
      <c r="BM204" s="167"/>
      <c r="BN204" s="167"/>
      <c r="BO204" s="167"/>
      <c r="BP204" s="167"/>
      <c r="BQ204" s="167"/>
      <c r="BR204" s="167"/>
      <c r="BS204" s="167"/>
      <c r="BT204" s="167"/>
      <c r="BU204" s="167"/>
      <c r="BV204" s="167"/>
      <c r="BW204" s="167"/>
      <c r="BX204" s="167"/>
      <c r="BY204" s="167"/>
      <c r="BZ204" s="167"/>
    </row>
    <row r="205" spans="6:99">
      <c r="W205" s="167"/>
      <c r="X205" s="167"/>
      <c r="Y205" s="167"/>
      <c r="Z205" s="167"/>
      <c r="AA205" s="167"/>
      <c r="AB205" s="167"/>
      <c r="AC205" s="167"/>
      <c r="AD205" s="167"/>
      <c r="AE205" s="167"/>
      <c r="AF205" s="167"/>
      <c r="AG205" s="167"/>
      <c r="AH205" s="167"/>
      <c r="AI205" s="167"/>
      <c r="AJ205" s="167"/>
      <c r="AK205" s="167"/>
      <c r="AL205" s="167"/>
      <c r="AM205" s="167"/>
      <c r="AN205" s="167"/>
      <c r="AO205" s="167"/>
      <c r="AP205" s="167"/>
      <c r="AQ205" s="167"/>
      <c r="AR205" s="167"/>
      <c r="AS205" s="167"/>
      <c r="AT205" s="167"/>
      <c r="AU205" s="167"/>
      <c r="AV205" s="167"/>
      <c r="AW205" s="167"/>
      <c r="AX205" s="167"/>
      <c r="AY205" s="167"/>
      <c r="AZ205" s="167"/>
      <c r="BA205" s="167"/>
      <c r="BB205" s="167"/>
      <c r="BC205" s="167"/>
      <c r="BD205" s="167"/>
      <c r="BE205" s="167"/>
      <c r="BF205" s="167"/>
      <c r="BG205" s="167"/>
      <c r="BH205" s="167"/>
      <c r="BI205" s="167"/>
      <c r="BJ205" s="167"/>
      <c r="BK205" s="167"/>
      <c r="BL205" s="167"/>
      <c r="BM205" s="167"/>
      <c r="BN205" s="167"/>
      <c r="BO205" s="167"/>
      <c r="BP205" s="167"/>
      <c r="BQ205" s="167"/>
      <c r="BR205" s="167"/>
      <c r="BS205" s="167"/>
      <c r="BT205" s="167"/>
      <c r="BU205" s="167"/>
      <c r="BV205" s="167"/>
      <c r="BW205" s="167"/>
      <c r="BX205" s="167"/>
      <c r="BY205" s="167"/>
      <c r="BZ205" s="167"/>
    </row>
    <row r="206" spans="6:99">
      <c r="W206" s="167"/>
      <c r="X206" s="167"/>
      <c r="Y206" s="167"/>
      <c r="Z206" s="167"/>
      <c r="AA206" s="167"/>
      <c r="AB206" s="167"/>
      <c r="AC206" s="167"/>
      <c r="AD206" s="167"/>
      <c r="AE206" s="167"/>
      <c r="AF206" s="167"/>
      <c r="AG206" s="167"/>
      <c r="AH206" s="167"/>
      <c r="AI206" s="167"/>
      <c r="AJ206" s="167"/>
      <c r="AK206" s="167"/>
      <c r="AL206" s="167"/>
      <c r="AM206" s="167"/>
      <c r="AN206" s="167"/>
      <c r="AO206" s="167"/>
      <c r="AP206" s="167"/>
      <c r="AQ206" s="167"/>
      <c r="AR206" s="167"/>
      <c r="AS206" s="167"/>
      <c r="AT206" s="167"/>
      <c r="AU206" s="167"/>
      <c r="AV206" s="167"/>
      <c r="AW206" s="167"/>
      <c r="AX206" s="167"/>
      <c r="AY206" s="167"/>
      <c r="AZ206" s="167"/>
      <c r="BA206" s="167"/>
      <c r="BB206" s="167"/>
      <c r="BC206" s="167"/>
      <c r="BD206" s="167"/>
      <c r="BE206" s="167"/>
      <c r="BF206" s="167"/>
      <c r="BG206" s="167"/>
      <c r="BH206" s="167"/>
      <c r="BI206" s="167"/>
      <c r="BJ206" s="167"/>
      <c r="BK206" s="167"/>
      <c r="BL206" s="167"/>
      <c r="BM206" s="167"/>
      <c r="BN206" s="167"/>
      <c r="BO206" s="167"/>
      <c r="BP206" s="167"/>
      <c r="BQ206" s="167"/>
      <c r="BR206" s="167"/>
      <c r="BS206" s="167"/>
      <c r="BT206" s="167"/>
      <c r="BU206" s="167"/>
      <c r="BV206" s="167"/>
      <c r="BW206" s="167"/>
      <c r="BX206" s="167"/>
      <c r="BY206" s="167"/>
      <c r="BZ206" s="167"/>
    </row>
    <row r="207" spans="6:99">
      <c r="W207" s="167"/>
      <c r="X207" s="167"/>
      <c r="Y207" s="167"/>
      <c r="Z207" s="167"/>
      <c r="AA207" s="167"/>
      <c r="AB207" s="167"/>
      <c r="AC207" s="167"/>
      <c r="AD207" s="167"/>
      <c r="AE207" s="167"/>
      <c r="AF207" s="167"/>
      <c r="AG207" s="167"/>
      <c r="AH207" s="167"/>
      <c r="AI207" s="167"/>
      <c r="AJ207" s="167"/>
      <c r="AK207" s="167"/>
      <c r="AL207" s="167"/>
      <c r="AM207" s="167"/>
      <c r="AN207" s="167"/>
      <c r="AO207" s="167"/>
      <c r="AP207" s="167"/>
      <c r="AQ207" s="167"/>
      <c r="AR207" s="167"/>
      <c r="AS207" s="167"/>
      <c r="AT207" s="167"/>
      <c r="AU207" s="167"/>
      <c r="AV207" s="167"/>
      <c r="AW207" s="167"/>
      <c r="AX207" s="167"/>
      <c r="AY207" s="167"/>
      <c r="AZ207" s="167"/>
      <c r="BA207" s="167"/>
      <c r="BB207" s="167"/>
      <c r="BC207" s="167"/>
      <c r="BD207" s="167"/>
      <c r="BE207" s="167"/>
      <c r="BF207" s="167"/>
      <c r="BG207" s="167"/>
      <c r="BH207" s="167"/>
      <c r="BI207" s="167"/>
      <c r="BJ207" s="167"/>
      <c r="BK207" s="167"/>
      <c r="BL207" s="167"/>
      <c r="BM207" s="167"/>
      <c r="BN207" s="167"/>
      <c r="BO207" s="167"/>
      <c r="BP207" s="167"/>
      <c r="BQ207" s="167"/>
      <c r="BR207" s="167"/>
      <c r="BS207" s="167"/>
      <c r="BT207" s="167"/>
      <c r="BU207" s="167"/>
      <c r="BV207" s="167"/>
      <c r="BW207" s="167"/>
      <c r="BX207" s="167"/>
      <c r="BY207" s="167"/>
      <c r="BZ207" s="167"/>
    </row>
    <row r="208" spans="6:99">
      <c r="W208" s="167"/>
      <c r="X208" s="167"/>
      <c r="Y208" s="167"/>
      <c r="Z208" s="167"/>
      <c r="AA208" s="167"/>
      <c r="AB208" s="167"/>
      <c r="AC208" s="167"/>
      <c r="AD208" s="167"/>
      <c r="AE208" s="167"/>
      <c r="AF208" s="167"/>
      <c r="AG208" s="167"/>
      <c r="AH208" s="167"/>
      <c r="AI208" s="167"/>
      <c r="AJ208" s="167"/>
      <c r="AK208" s="167"/>
      <c r="AL208" s="167"/>
      <c r="AM208" s="167"/>
      <c r="AN208" s="167"/>
      <c r="AO208" s="167"/>
      <c r="AP208" s="167"/>
      <c r="AQ208" s="167"/>
      <c r="AR208" s="167"/>
      <c r="AS208" s="167"/>
      <c r="AT208" s="167"/>
      <c r="AU208" s="167"/>
      <c r="AV208" s="167"/>
      <c r="AW208" s="167"/>
      <c r="AX208" s="167"/>
      <c r="AY208" s="167"/>
      <c r="AZ208" s="167"/>
      <c r="BA208" s="167"/>
      <c r="BB208" s="167"/>
      <c r="BC208" s="167"/>
      <c r="BD208" s="167"/>
      <c r="BE208" s="167"/>
      <c r="BF208" s="167"/>
      <c r="BG208" s="167"/>
      <c r="BH208" s="167"/>
      <c r="BI208" s="167"/>
      <c r="BJ208" s="167"/>
      <c r="BK208" s="167"/>
      <c r="BL208" s="167"/>
      <c r="BM208" s="167"/>
      <c r="BN208" s="167"/>
      <c r="BO208" s="167"/>
      <c r="BP208" s="167"/>
      <c r="BQ208" s="167"/>
      <c r="BR208" s="167"/>
      <c r="BS208" s="167"/>
      <c r="BT208" s="167"/>
      <c r="BU208" s="167"/>
      <c r="BV208" s="167"/>
      <c r="BW208" s="167"/>
      <c r="BX208" s="167"/>
      <c r="BY208" s="167"/>
      <c r="BZ208" s="167"/>
    </row>
    <row r="209" spans="23:78">
      <c r="W209" s="167"/>
      <c r="X209" s="167"/>
      <c r="Y209" s="167"/>
      <c r="Z209" s="167"/>
      <c r="AA209" s="167"/>
      <c r="AB209" s="167"/>
      <c r="AC209" s="167"/>
      <c r="AD209" s="167"/>
      <c r="AE209" s="167"/>
      <c r="AF209" s="167"/>
      <c r="AG209" s="167"/>
      <c r="AH209" s="167"/>
      <c r="AI209" s="167"/>
      <c r="AJ209" s="167"/>
      <c r="AK209" s="167"/>
      <c r="AL209" s="167"/>
      <c r="AM209" s="167"/>
      <c r="AN209" s="167"/>
      <c r="AO209" s="167"/>
      <c r="AP209" s="167"/>
      <c r="AQ209" s="167"/>
      <c r="AR209" s="167"/>
      <c r="AS209" s="167"/>
      <c r="AT209" s="167"/>
      <c r="AU209" s="167"/>
      <c r="AV209" s="167"/>
      <c r="AW209" s="167"/>
      <c r="AX209" s="167"/>
      <c r="AY209" s="167"/>
      <c r="AZ209" s="167"/>
      <c r="BA209" s="167"/>
      <c r="BB209" s="167"/>
      <c r="BC209" s="167"/>
      <c r="BD209" s="167"/>
      <c r="BE209" s="167"/>
      <c r="BF209" s="167"/>
      <c r="BG209" s="167"/>
      <c r="BH209" s="167"/>
      <c r="BI209" s="167"/>
      <c r="BJ209" s="167"/>
      <c r="BK209" s="167"/>
      <c r="BL209" s="167"/>
      <c r="BM209" s="167"/>
      <c r="BN209" s="167"/>
      <c r="BO209" s="167"/>
      <c r="BP209" s="167"/>
      <c r="BQ209" s="167"/>
      <c r="BR209" s="167"/>
      <c r="BS209" s="167"/>
      <c r="BT209" s="167"/>
      <c r="BU209" s="167"/>
      <c r="BV209" s="167"/>
      <c r="BW209" s="167"/>
      <c r="BX209" s="167"/>
      <c r="BY209" s="167"/>
      <c r="BZ209" s="167"/>
    </row>
    <row r="210" spans="23:78">
      <c r="W210" s="167"/>
      <c r="X210" s="167"/>
      <c r="Y210" s="167"/>
      <c r="Z210" s="167"/>
      <c r="AA210" s="167"/>
      <c r="AB210" s="167"/>
      <c r="AC210" s="167"/>
      <c r="AD210" s="167"/>
      <c r="AE210" s="167"/>
      <c r="AF210" s="167"/>
      <c r="AG210" s="167"/>
      <c r="AH210" s="167"/>
      <c r="AI210" s="167"/>
      <c r="AJ210" s="167"/>
      <c r="AK210" s="167"/>
      <c r="AL210" s="167"/>
      <c r="AM210" s="167"/>
      <c r="AN210" s="167"/>
      <c r="AO210" s="167"/>
      <c r="AP210" s="167"/>
      <c r="AQ210" s="167"/>
      <c r="AR210" s="167"/>
      <c r="AS210" s="167"/>
      <c r="AT210" s="167"/>
      <c r="AU210" s="167"/>
      <c r="AV210" s="167"/>
      <c r="AW210" s="167"/>
      <c r="AX210" s="167"/>
      <c r="AY210" s="167"/>
      <c r="AZ210" s="167"/>
      <c r="BA210" s="167"/>
      <c r="BB210" s="167"/>
      <c r="BC210" s="167"/>
      <c r="BD210" s="167"/>
      <c r="BE210" s="167"/>
      <c r="BF210" s="167"/>
      <c r="BG210" s="167"/>
      <c r="BH210" s="167"/>
      <c r="BI210" s="167"/>
      <c r="BJ210" s="167"/>
      <c r="BK210" s="167"/>
      <c r="BL210" s="167"/>
      <c r="BM210" s="167"/>
      <c r="BN210" s="167"/>
      <c r="BO210" s="167"/>
      <c r="BP210" s="167"/>
      <c r="BQ210" s="167"/>
      <c r="BR210" s="167"/>
      <c r="BS210" s="167"/>
      <c r="BT210" s="167"/>
      <c r="BU210" s="167"/>
      <c r="BV210" s="167"/>
      <c r="BW210" s="167"/>
      <c r="BX210" s="167"/>
      <c r="BY210" s="167"/>
      <c r="BZ210" s="167"/>
    </row>
    <row r="211" spans="23:78">
      <c r="W211" s="167"/>
      <c r="X211" s="167"/>
      <c r="Y211" s="167"/>
      <c r="Z211" s="167"/>
      <c r="AA211" s="167"/>
      <c r="AB211" s="167"/>
      <c r="AC211" s="167"/>
      <c r="AD211" s="167"/>
      <c r="AE211" s="167"/>
      <c r="AF211" s="167"/>
      <c r="AG211" s="167"/>
      <c r="AH211" s="167"/>
      <c r="AI211" s="167"/>
      <c r="AJ211" s="167"/>
      <c r="AK211" s="167"/>
      <c r="AL211" s="167"/>
      <c r="AM211" s="167"/>
      <c r="AN211" s="167"/>
      <c r="AO211" s="167"/>
      <c r="AP211" s="167"/>
      <c r="AQ211" s="167"/>
      <c r="AR211" s="167"/>
      <c r="AS211" s="167"/>
      <c r="AT211" s="167"/>
      <c r="AU211" s="167"/>
      <c r="AV211" s="167"/>
      <c r="AW211" s="167"/>
      <c r="AX211" s="167"/>
      <c r="AY211" s="167"/>
      <c r="AZ211" s="167"/>
      <c r="BA211" s="167"/>
      <c r="BB211" s="167"/>
      <c r="BC211" s="167"/>
      <c r="BD211" s="167"/>
      <c r="BE211" s="167"/>
      <c r="BF211" s="167"/>
      <c r="BG211" s="167"/>
      <c r="BH211" s="167"/>
      <c r="BI211" s="167"/>
      <c r="BJ211" s="167"/>
      <c r="BK211" s="167"/>
      <c r="BL211" s="167"/>
      <c r="BM211" s="167"/>
      <c r="BN211" s="167"/>
      <c r="BO211" s="167"/>
      <c r="BP211" s="167"/>
      <c r="BQ211" s="167"/>
      <c r="BR211" s="167"/>
      <c r="BS211" s="167"/>
      <c r="BT211" s="167"/>
      <c r="BU211" s="167"/>
      <c r="BV211" s="167"/>
      <c r="BW211" s="167"/>
      <c r="BX211" s="167"/>
      <c r="BY211" s="167"/>
      <c r="BZ211" s="167"/>
    </row>
    <row r="212" spans="23:78">
      <c r="W212" s="167"/>
      <c r="X212" s="167"/>
      <c r="Y212" s="167"/>
      <c r="Z212" s="167"/>
      <c r="AA212" s="167"/>
      <c r="AB212" s="167"/>
      <c r="AC212" s="167"/>
      <c r="AD212" s="167"/>
      <c r="AE212" s="167"/>
      <c r="AF212" s="167"/>
      <c r="AG212" s="167"/>
      <c r="AH212" s="167"/>
      <c r="AI212" s="167"/>
      <c r="AJ212" s="167"/>
      <c r="AK212" s="167"/>
      <c r="AL212" s="167"/>
      <c r="AM212" s="167"/>
      <c r="AN212" s="167"/>
      <c r="AO212" s="167"/>
      <c r="AP212" s="167"/>
      <c r="AQ212" s="167"/>
      <c r="AR212" s="167"/>
      <c r="AS212" s="167"/>
      <c r="AT212" s="167"/>
      <c r="AU212" s="167"/>
      <c r="AV212" s="167"/>
      <c r="AW212" s="167"/>
      <c r="AX212" s="167"/>
      <c r="AY212" s="167"/>
      <c r="AZ212" s="167"/>
      <c r="BA212" s="167"/>
      <c r="BB212" s="167"/>
      <c r="BC212" s="167"/>
      <c r="BD212" s="167"/>
      <c r="BE212" s="167"/>
      <c r="BF212" s="167"/>
      <c r="BG212" s="167"/>
      <c r="BH212" s="167"/>
      <c r="BI212" s="167"/>
      <c r="BJ212" s="167"/>
      <c r="BK212" s="167"/>
      <c r="BL212" s="167"/>
      <c r="BM212" s="167"/>
      <c r="BN212" s="167"/>
      <c r="BO212" s="167"/>
      <c r="BP212" s="167"/>
      <c r="BQ212" s="167"/>
      <c r="BR212" s="167"/>
      <c r="BS212" s="167"/>
      <c r="BT212" s="167"/>
      <c r="BU212" s="167"/>
      <c r="BV212" s="167"/>
      <c r="BW212" s="167"/>
      <c r="BX212" s="167"/>
      <c r="BY212" s="167"/>
      <c r="BZ212" s="167"/>
    </row>
    <row r="213" spans="23:78">
      <c r="W213" s="167"/>
      <c r="X213" s="167"/>
      <c r="Y213" s="167"/>
      <c r="Z213" s="167"/>
      <c r="AA213" s="167"/>
      <c r="AB213" s="167"/>
      <c r="AC213" s="167"/>
      <c r="AD213" s="167"/>
      <c r="AE213" s="167"/>
      <c r="AF213" s="167"/>
      <c r="AG213" s="167"/>
      <c r="AH213" s="167"/>
      <c r="AI213" s="167"/>
      <c r="AJ213" s="167"/>
      <c r="AK213" s="167"/>
      <c r="AL213" s="167"/>
      <c r="AM213" s="167"/>
      <c r="AN213" s="167"/>
      <c r="AO213" s="167"/>
      <c r="AP213" s="167"/>
      <c r="AQ213" s="167"/>
      <c r="AR213" s="167"/>
      <c r="AS213" s="167"/>
      <c r="AT213" s="167"/>
      <c r="AU213" s="167"/>
      <c r="AV213" s="167"/>
      <c r="AW213" s="167"/>
      <c r="AX213" s="167"/>
      <c r="AY213" s="167"/>
      <c r="AZ213" s="167"/>
      <c r="BA213" s="167"/>
      <c r="BB213" s="167"/>
      <c r="BC213" s="167"/>
      <c r="BD213" s="167"/>
      <c r="BE213" s="167"/>
      <c r="BF213" s="167"/>
      <c r="BG213" s="167"/>
      <c r="BH213" s="167"/>
      <c r="BI213" s="167"/>
      <c r="BJ213" s="167"/>
      <c r="BK213" s="167"/>
      <c r="BL213" s="167"/>
      <c r="BM213" s="167"/>
      <c r="BN213" s="167"/>
      <c r="BO213" s="167"/>
      <c r="BP213" s="167"/>
      <c r="BQ213" s="167"/>
      <c r="BR213" s="167"/>
      <c r="BS213" s="167"/>
      <c r="BT213" s="167"/>
      <c r="BU213" s="167"/>
      <c r="BV213" s="167"/>
      <c r="BW213" s="167"/>
      <c r="BX213" s="167"/>
      <c r="BY213" s="167"/>
      <c r="BZ213" s="167"/>
    </row>
    <row r="214" spans="23:78">
      <c r="W214" s="167"/>
      <c r="X214" s="167"/>
      <c r="Y214" s="167"/>
      <c r="Z214" s="167"/>
      <c r="AA214" s="167"/>
      <c r="AB214" s="167"/>
      <c r="AC214" s="167"/>
      <c r="AD214" s="167"/>
      <c r="AE214" s="167"/>
      <c r="AF214" s="167"/>
      <c r="AG214" s="167"/>
      <c r="AH214" s="167"/>
      <c r="AI214" s="167"/>
      <c r="AJ214" s="167"/>
      <c r="AK214" s="167"/>
      <c r="AL214" s="167"/>
      <c r="AM214" s="167"/>
      <c r="AN214" s="167"/>
      <c r="AO214" s="167"/>
      <c r="AP214" s="167"/>
      <c r="AQ214" s="167"/>
      <c r="AR214" s="167"/>
      <c r="AS214" s="167"/>
      <c r="AT214" s="167"/>
      <c r="AU214" s="167"/>
      <c r="AV214" s="167"/>
      <c r="AW214" s="167"/>
      <c r="AX214" s="167"/>
      <c r="AY214" s="167"/>
      <c r="AZ214" s="167"/>
      <c r="BA214" s="167"/>
      <c r="BB214" s="167"/>
      <c r="BC214" s="167"/>
      <c r="BD214" s="167"/>
      <c r="BE214" s="167"/>
      <c r="BF214" s="167"/>
      <c r="BG214" s="167"/>
      <c r="BH214" s="167"/>
      <c r="BI214" s="167"/>
      <c r="BJ214" s="167"/>
      <c r="BK214" s="167"/>
      <c r="BL214" s="167"/>
      <c r="BM214" s="167"/>
      <c r="BN214" s="167"/>
      <c r="BO214" s="167"/>
      <c r="BP214" s="167"/>
      <c r="BQ214" s="167"/>
      <c r="BR214" s="167"/>
      <c r="BS214" s="167"/>
      <c r="BT214" s="167"/>
      <c r="BU214" s="167"/>
      <c r="BV214" s="167"/>
      <c r="BW214" s="167"/>
      <c r="BX214" s="167"/>
      <c r="BY214" s="167"/>
      <c r="BZ214" s="167"/>
    </row>
    <row r="215" spans="23:78">
      <c r="W215" s="167"/>
      <c r="X215" s="167"/>
      <c r="Y215" s="167"/>
      <c r="Z215" s="167"/>
      <c r="AA215" s="167"/>
      <c r="AB215" s="167"/>
      <c r="AC215" s="167"/>
      <c r="AD215" s="167"/>
      <c r="AE215" s="167"/>
      <c r="AF215" s="167"/>
      <c r="AG215" s="167"/>
      <c r="AH215" s="167"/>
      <c r="AI215" s="167"/>
      <c r="AJ215" s="167"/>
      <c r="AK215" s="167"/>
      <c r="AL215" s="167"/>
      <c r="AM215" s="167"/>
      <c r="AN215" s="167"/>
      <c r="AO215" s="167"/>
      <c r="AP215" s="167"/>
      <c r="AQ215" s="167"/>
      <c r="AR215" s="167"/>
      <c r="AS215" s="167"/>
      <c r="AT215" s="167"/>
      <c r="AU215" s="167"/>
      <c r="AV215" s="167"/>
      <c r="AW215" s="167"/>
      <c r="AX215" s="167"/>
      <c r="AY215" s="167"/>
      <c r="AZ215" s="167"/>
      <c r="BA215" s="167"/>
      <c r="BB215" s="167"/>
      <c r="BC215" s="167"/>
      <c r="BD215" s="167"/>
      <c r="BE215" s="167"/>
      <c r="BF215" s="167"/>
      <c r="BG215" s="167"/>
      <c r="BH215" s="167"/>
      <c r="BI215" s="167"/>
      <c r="BJ215" s="167"/>
      <c r="BK215" s="167"/>
      <c r="BL215" s="167"/>
      <c r="BM215" s="167"/>
      <c r="BN215" s="167"/>
      <c r="BO215" s="167"/>
      <c r="BP215" s="167"/>
      <c r="BQ215" s="167"/>
      <c r="BR215" s="167"/>
      <c r="BS215" s="167"/>
      <c r="BT215" s="167"/>
      <c r="BU215" s="167"/>
      <c r="BV215" s="167"/>
      <c r="BW215" s="167"/>
      <c r="BX215" s="167"/>
      <c r="BY215" s="167"/>
      <c r="BZ215" s="167"/>
    </row>
    <row r="216" spans="23:78">
      <c r="W216" s="167"/>
      <c r="X216" s="167"/>
      <c r="Y216" s="167"/>
      <c r="Z216" s="167"/>
      <c r="AA216" s="167"/>
      <c r="AB216" s="167"/>
      <c r="AC216" s="167"/>
      <c r="AD216" s="167"/>
      <c r="AE216" s="167"/>
      <c r="AF216" s="167"/>
      <c r="AG216" s="167"/>
      <c r="AH216" s="167"/>
      <c r="AI216" s="167"/>
      <c r="AJ216" s="167"/>
      <c r="AK216" s="167"/>
      <c r="AL216" s="167"/>
      <c r="AM216" s="167"/>
      <c r="AN216" s="167"/>
      <c r="AO216" s="167"/>
      <c r="AP216" s="167"/>
      <c r="AQ216" s="167"/>
      <c r="AR216" s="167"/>
      <c r="AS216" s="167"/>
      <c r="AT216" s="167"/>
      <c r="AU216" s="167"/>
      <c r="AV216" s="167"/>
      <c r="AW216" s="167"/>
      <c r="AX216" s="167"/>
      <c r="AY216" s="167"/>
      <c r="AZ216" s="167"/>
      <c r="BA216" s="167"/>
      <c r="BB216" s="167"/>
      <c r="BC216" s="167"/>
      <c r="BD216" s="167"/>
      <c r="BE216" s="167"/>
      <c r="BF216" s="167"/>
      <c r="BG216" s="167"/>
      <c r="BH216" s="167"/>
      <c r="BI216" s="167"/>
      <c r="BJ216" s="167"/>
      <c r="BK216" s="167"/>
      <c r="BL216" s="167"/>
      <c r="BM216" s="167"/>
      <c r="BN216" s="167"/>
      <c r="BO216" s="167"/>
      <c r="BP216" s="167"/>
      <c r="BQ216" s="167"/>
      <c r="BR216" s="167"/>
      <c r="BS216" s="167"/>
      <c r="BT216" s="167"/>
      <c r="BU216" s="167"/>
      <c r="BV216" s="167"/>
      <c r="BW216" s="167"/>
      <c r="BX216" s="167"/>
      <c r="BY216" s="167"/>
      <c r="BZ216" s="167"/>
    </row>
    <row r="217" spans="23:78">
      <c r="W217" s="167"/>
      <c r="X217" s="167"/>
      <c r="Y217" s="167"/>
      <c r="Z217" s="167"/>
      <c r="AA217" s="167"/>
      <c r="AB217" s="167"/>
      <c r="AC217" s="167"/>
      <c r="AD217" s="167"/>
      <c r="AE217" s="167"/>
      <c r="AF217" s="167"/>
      <c r="AG217" s="167"/>
      <c r="AH217" s="167"/>
      <c r="AI217" s="167"/>
      <c r="AJ217" s="167"/>
      <c r="AK217" s="167"/>
      <c r="AL217" s="167"/>
      <c r="AM217" s="167"/>
      <c r="AN217" s="167"/>
      <c r="AO217" s="167"/>
      <c r="AP217" s="167"/>
      <c r="AQ217" s="167"/>
      <c r="AR217" s="167"/>
      <c r="AS217" s="167"/>
      <c r="AT217" s="167"/>
      <c r="AU217" s="167"/>
      <c r="AV217" s="167"/>
      <c r="AW217" s="167"/>
      <c r="AX217" s="167"/>
      <c r="AY217" s="167"/>
      <c r="AZ217" s="167"/>
      <c r="BA217" s="167"/>
      <c r="BB217" s="167"/>
      <c r="BC217" s="167"/>
      <c r="BD217" s="167"/>
      <c r="BE217" s="167"/>
      <c r="BF217" s="167"/>
      <c r="BG217" s="167"/>
      <c r="BH217" s="167"/>
      <c r="BI217" s="167"/>
      <c r="BJ217" s="167"/>
      <c r="BK217" s="167"/>
      <c r="BL217" s="167"/>
      <c r="BM217" s="167"/>
      <c r="BN217" s="167"/>
      <c r="BO217" s="167"/>
      <c r="BP217" s="167"/>
      <c r="BQ217" s="167"/>
      <c r="BR217" s="167"/>
      <c r="BS217" s="167"/>
      <c r="BT217" s="167"/>
      <c r="BU217" s="167"/>
      <c r="BV217" s="167"/>
      <c r="BW217" s="167"/>
      <c r="BX217" s="167"/>
      <c r="BY217" s="167"/>
      <c r="BZ217" s="167"/>
    </row>
    <row r="218" spans="23:78">
      <c r="W218" s="167"/>
      <c r="X218" s="167"/>
      <c r="Y218" s="167"/>
      <c r="Z218" s="167"/>
      <c r="AA218" s="167"/>
      <c r="AB218" s="167"/>
      <c r="AC218" s="167"/>
      <c r="AD218" s="167"/>
      <c r="AE218" s="167"/>
      <c r="AF218" s="167"/>
      <c r="AG218" s="167"/>
      <c r="AH218" s="167"/>
      <c r="AI218" s="167"/>
      <c r="AJ218" s="167"/>
      <c r="AK218" s="167"/>
      <c r="AL218" s="167"/>
      <c r="AM218" s="167"/>
      <c r="AN218" s="167"/>
      <c r="AO218" s="167"/>
      <c r="AP218" s="167"/>
      <c r="AQ218" s="167"/>
      <c r="AR218" s="167"/>
      <c r="AS218" s="167"/>
      <c r="AT218" s="167"/>
      <c r="AU218" s="167"/>
      <c r="AV218" s="167"/>
      <c r="AW218" s="167"/>
      <c r="AX218" s="167"/>
      <c r="AY218" s="167"/>
      <c r="AZ218" s="167"/>
      <c r="BA218" s="167"/>
      <c r="BB218" s="167"/>
      <c r="BC218" s="167"/>
      <c r="BD218" s="167"/>
      <c r="BE218" s="167"/>
      <c r="BF218" s="167"/>
      <c r="BG218" s="167"/>
      <c r="BH218" s="167"/>
      <c r="BI218" s="167"/>
      <c r="BJ218" s="167"/>
      <c r="BK218" s="167"/>
      <c r="BL218" s="167"/>
      <c r="BM218" s="167"/>
      <c r="BN218" s="167"/>
      <c r="BO218" s="167"/>
      <c r="BP218" s="167"/>
      <c r="BQ218" s="167"/>
      <c r="BR218" s="167"/>
      <c r="BS218" s="167"/>
      <c r="BT218" s="167"/>
      <c r="BU218" s="167"/>
      <c r="BV218" s="167"/>
      <c r="BW218" s="167"/>
      <c r="BX218" s="167"/>
      <c r="BY218" s="167"/>
      <c r="BZ218" s="167"/>
    </row>
    <row r="219" spans="23:78">
      <c r="W219" s="167"/>
      <c r="X219" s="167"/>
      <c r="Y219" s="167"/>
      <c r="Z219" s="167"/>
      <c r="AA219" s="167"/>
      <c r="AB219" s="167"/>
      <c r="AC219" s="167"/>
      <c r="AD219" s="167"/>
      <c r="AE219" s="167"/>
      <c r="AF219" s="167"/>
      <c r="AG219" s="167"/>
      <c r="AH219" s="167"/>
      <c r="AI219" s="167"/>
      <c r="AJ219" s="167"/>
      <c r="AK219" s="167"/>
      <c r="AL219" s="167"/>
      <c r="AM219" s="167"/>
      <c r="AN219" s="167"/>
      <c r="AO219" s="167"/>
      <c r="AP219" s="167"/>
      <c r="AQ219" s="167"/>
      <c r="AR219" s="167"/>
      <c r="AS219" s="167"/>
      <c r="AT219" s="167"/>
      <c r="AU219" s="167"/>
      <c r="AV219" s="167"/>
      <c r="AW219" s="167"/>
      <c r="AX219" s="167"/>
      <c r="AY219" s="167"/>
      <c r="AZ219" s="167"/>
      <c r="BA219" s="167"/>
      <c r="BB219" s="167"/>
      <c r="BC219" s="167"/>
      <c r="BD219" s="167"/>
      <c r="BE219" s="167"/>
      <c r="BF219" s="167"/>
      <c r="BG219" s="167"/>
      <c r="BH219" s="167"/>
      <c r="BI219" s="167"/>
      <c r="BJ219" s="167"/>
      <c r="BK219" s="167"/>
      <c r="BL219" s="167"/>
      <c r="BM219" s="167"/>
      <c r="BN219" s="167"/>
      <c r="BO219" s="167"/>
      <c r="BP219" s="167"/>
      <c r="BQ219" s="167"/>
      <c r="BR219" s="167"/>
      <c r="BS219" s="167"/>
      <c r="BT219" s="167"/>
      <c r="BU219" s="167"/>
      <c r="BV219" s="167"/>
      <c r="BW219" s="167"/>
      <c r="BX219" s="167"/>
      <c r="BY219" s="167"/>
      <c r="BZ219" s="167"/>
    </row>
    <row r="220" spans="23:78">
      <c r="W220" s="167"/>
      <c r="X220" s="167"/>
      <c r="Y220" s="167"/>
      <c r="Z220" s="167"/>
      <c r="AA220" s="167"/>
      <c r="AB220" s="167"/>
      <c r="AC220" s="167"/>
      <c r="AD220" s="167"/>
      <c r="AE220" s="167"/>
      <c r="AF220" s="167"/>
      <c r="AG220" s="167"/>
      <c r="AH220" s="167"/>
      <c r="AI220" s="167"/>
      <c r="AJ220" s="167"/>
      <c r="AK220" s="167"/>
      <c r="AL220" s="167"/>
      <c r="AM220" s="167"/>
      <c r="AN220" s="167"/>
      <c r="AO220" s="167"/>
      <c r="AP220" s="167"/>
      <c r="AQ220" s="167"/>
      <c r="AR220" s="167"/>
      <c r="AS220" s="167"/>
      <c r="AT220" s="167"/>
      <c r="AU220" s="167"/>
      <c r="AV220" s="167"/>
      <c r="AW220" s="167"/>
      <c r="AX220" s="167"/>
      <c r="AY220" s="167"/>
      <c r="AZ220" s="167"/>
      <c r="BA220" s="167"/>
      <c r="BB220" s="167"/>
      <c r="BC220" s="167"/>
      <c r="BD220" s="167"/>
      <c r="BE220" s="167"/>
      <c r="BF220" s="167"/>
      <c r="BG220" s="167"/>
      <c r="BH220" s="167"/>
      <c r="BI220" s="167"/>
      <c r="BJ220" s="167"/>
      <c r="BK220" s="167"/>
      <c r="BL220" s="167"/>
      <c r="BM220" s="167"/>
      <c r="BN220" s="167"/>
      <c r="BO220" s="167"/>
      <c r="BP220" s="167"/>
      <c r="BQ220" s="167"/>
      <c r="BR220" s="167"/>
      <c r="BS220" s="167"/>
      <c r="BT220" s="167"/>
      <c r="BU220" s="167"/>
      <c r="BV220" s="167"/>
      <c r="BW220" s="167"/>
      <c r="BX220" s="167"/>
      <c r="BY220" s="167"/>
      <c r="BZ220" s="167"/>
    </row>
    <row r="221" spans="23:78">
      <c r="W221" s="167"/>
      <c r="X221" s="167"/>
      <c r="Y221" s="167"/>
      <c r="Z221" s="167"/>
      <c r="AA221" s="167"/>
      <c r="AB221" s="167"/>
      <c r="AC221" s="167"/>
      <c r="AD221" s="167"/>
      <c r="AE221" s="167"/>
      <c r="AF221" s="167"/>
      <c r="AG221" s="167"/>
      <c r="AH221" s="167"/>
      <c r="AI221" s="167"/>
      <c r="AJ221" s="167"/>
      <c r="AK221" s="167"/>
      <c r="AL221" s="167"/>
      <c r="AM221" s="167"/>
      <c r="AN221" s="167"/>
      <c r="AO221" s="167"/>
      <c r="AP221" s="167"/>
      <c r="AQ221" s="167"/>
      <c r="AR221" s="167"/>
      <c r="AS221" s="167"/>
      <c r="AT221" s="167"/>
      <c r="AU221" s="167"/>
      <c r="AV221" s="167"/>
      <c r="AW221" s="167"/>
      <c r="AX221" s="167"/>
      <c r="AY221" s="167"/>
      <c r="AZ221" s="167"/>
      <c r="BA221" s="167"/>
      <c r="BB221" s="167"/>
      <c r="BC221" s="167"/>
      <c r="BD221" s="167"/>
      <c r="BE221" s="167"/>
      <c r="BF221" s="167"/>
      <c r="BG221" s="167"/>
      <c r="BH221" s="167"/>
      <c r="BI221" s="167"/>
      <c r="BJ221" s="167"/>
      <c r="BK221" s="167"/>
      <c r="BL221" s="167"/>
      <c r="BM221" s="167"/>
      <c r="BN221" s="167"/>
      <c r="BO221" s="167"/>
      <c r="BP221" s="167"/>
      <c r="BQ221" s="167"/>
      <c r="BR221" s="167"/>
      <c r="BS221" s="167"/>
      <c r="BT221" s="167"/>
      <c r="BU221" s="167"/>
      <c r="BV221" s="167"/>
      <c r="BW221" s="167"/>
      <c r="BX221" s="167"/>
      <c r="BY221" s="167"/>
      <c r="BZ221" s="167"/>
    </row>
    <row r="222" spans="23:78">
      <c r="W222" s="167"/>
      <c r="X222" s="167"/>
      <c r="Y222" s="167"/>
      <c r="Z222" s="167"/>
      <c r="AA222" s="167"/>
      <c r="AB222" s="167"/>
      <c r="AC222" s="167"/>
      <c r="AD222" s="167"/>
      <c r="AE222" s="167"/>
      <c r="AF222" s="167"/>
      <c r="AG222" s="167"/>
      <c r="AH222" s="167"/>
      <c r="AI222" s="167"/>
      <c r="AJ222" s="167"/>
      <c r="AK222" s="167"/>
      <c r="AL222" s="167"/>
      <c r="AM222" s="167"/>
      <c r="AN222" s="167"/>
      <c r="AO222" s="167"/>
      <c r="AP222" s="167"/>
      <c r="AQ222" s="167"/>
      <c r="AR222" s="167"/>
      <c r="AS222" s="167"/>
      <c r="AT222" s="167"/>
      <c r="AU222" s="167"/>
      <c r="AV222" s="167"/>
      <c r="AW222" s="167"/>
      <c r="AX222" s="167"/>
      <c r="AY222" s="167"/>
      <c r="AZ222" s="167"/>
      <c r="BA222" s="167"/>
      <c r="BB222" s="167"/>
      <c r="BC222" s="167"/>
      <c r="BD222" s="167"/>
      <c r="BE222" s="167"/>
      <c r="BF222" s="167"/>
      <c r="BG222" s="167"/>
      <c r="BH222" s="167"/>
      <c r="BI222" s="167"/>
      <c r="BJ222" s="167"/>
      <c r="BK222" s="167"/>
      <c r="BL222" s="167"/>
      <c r="BM222" s="167"/>
      <c r="BN222" s="167"/>
      <c r="BO222" s="167"/>
      <c r="BP222" s="167"/>
      <c r="BQ222" s="167"/>
      <c r="BR222" s="167"/>
      <c r="BS222" s="167"/>
      <c r="BT222" s="167"/>
      <c r="BU222" s="167"/>
      <c r="BV222" s="167"/>
      <c r="BW222" s="167"/>
      <c r="BX222" s="167"/>
      <c r="BY222" s="167"/>
      <c r="BZ222" s="167"/>
    </row>
    <row r="223" spans="23:78">
      <c r="W223" s="167"/>
      <c r="X223" s="167"/>
      <c r="Y223" s="167"/>
      <c r="Z223" s="167"/>
      <c r="AA223" s="167"/>
      <c r="AB223" s="167"/>
      <c r="AC223" s="167"/>
      <c r="AD223" s="167"/>
      <c r="AE223" s="167"/>
      <c r="AF223" s="167"/>
      <c r="AG223" s="167"/>
      <c r="AH223" s="167"/>
      <c r="AI223" s="167"/>
      <c r="AJ223" s="167"/>
      <c r="AK223" s="167"/>
      <c r="AL223" s="167"/>
      <c r="AM223" s="167"/>
      <c r="AN223" s="167"/>
      <c r="AO223" s="167"/>
      <c r="AP223" s="167"/>
      <c r="AQ223" s="167"/>
      <c r="AR223" s="167"/>
      <c r="AS223" s="167"/>
      <c r="AT223" s="167"/>
      <c r="AU223" s="167"/>
      <c r="AV223" s="167"/>
      <c r="AW223" s="167"/>
      <c r="AX223" s="167"/>
      <c r="AY223" s="167"/>
      <c r="AZ223" s="167"/>
      <c r="BA223" s="167"/>
      <c r="BB223" s="167"/>
      <c r="BC223" s="167"/>
      <c r="BD223" s="167"/>
      <c r="BE223" s="167"/>
      <c r="BF223" s="167"/>
      <c r="BG223" s="167"/>
      <c r="BH223" s="167"/>
      <c r="BI223" s="167"/>
      <c r="BJ223" s="167"/>
      <c r="BK223" s="167"/>
      <c r="BL223" s="167"/>
      <c r="BM223" s="167"/>
      <c r="BN223" s="167"/>
      <c r="BO223" s="167"/>
      <c r="BP223" s="167"/>
      <c r="BQ223" s="167"/>
      <c r="BR223" s="167"/>
      <c r="BS223" s="167"/>
      <c r="BT223" s="167"/>
      <c r="BU223" s="167"/>
      <c r="BV223" s="167"/>
      <c r="BW223" s="167"/>
      <c r="BX223" s="167"/>
      <c r="BY223" s="167"/>
      <c r="BZ223" s="167"/>
    </row>
    <row r="224" spans="23:78">
      <c r="W224" s="167"/>
      <c r="X224" s="167"/>
      <c r="Y224" s="167"/>
      <c r="Z224" s="167"/>
      <c r="AA224" s="167"/>
      <c r="AB224" s="167"/>
      <c r="AC224" s="167"/>
      <c r="AD224" s="167"/>
      <c r="AE224" s="167"/>
      <c r="AF224" s="167"/>
      <c r="AG224" s="167"/>
      <c r="AH224" s="167"/>
      <c r="AI224" s="167"/>
      <c r="AJ224" s="167"/>
      <c r="AK224" s="167"/>
      <c r="AL224" s="167"/>
      <c r="AM224" s="167"/>
      <c r="AN224" s="167"/>
      <c r="AO224" s="167"/>
      <c r="AP224" s="167"/>
      <c r="AQ224" s="167"/>
      <c r="AR224" s="167"/>
      <c r="AS224" s="167"/>
      <c r="AT224" s="167"/>
      <c r="AU224" s="167"/>
      <c r="AV224" s="167"/>
      <c r="AW224" s="167"/>
      <c r="AX224" s="167"/>
      <c r="AY224" s="167"/>
      <c r="AZ224" s="167"/>
      <c r="BA224" s="167"/>
      <c r="BB224" s="167"/>
      <c r="BC224" s="167"/>
      <c r="BD224" s="167"/>
      <c r="BE224" s="167"/>
      <c r="BF224" s="167"/>
      <c r="BG224" s="167"/>
      <c r="BH224" s="167"/>
      <c r="BI224" s="167"/>
      <c r="BJ224" s="167"/>
      <c r="BK224" s="167"/>
      <c r="BL224" s="167"/>
      <c r="BM224" s="167"/>
      <c r="BN224" s="167"/>
      <c r="BO224" s="167"/>
      <c r="BP224" s="167"/>
      <c r="BQ224" s="167"/>
      <c r="BR224" s="167"/>
      <c r="BS224" s="167"/>
      <c r="BT224" s="167"/>
      <c r="BU224" s="167"/>
      <c r="BV224" s="167"/>
      <c r="BW224" s="167"/>
      <c r="BX224" s="167"/>
      <c r="BY224" s="167"/>
      <c r="BZ224" s="167"/>
    </row>
    <row r="225" spans="23:78">
      <c r="W225" s="167"/>
      <c r="X225" s="167"/>
      <c r="Y225" s="167"/>
      <c r="Z225" s="167"/>
      <c r="AA225" s="167"/>
      <c r="AB225" s="167"/>
      <c r="AC225" s="167"/>
      <c r="AD225" s="167"/>
      <c r="AE225" s="167"/>
      <c r="AF225" s="167"/>
      <c r="AG225" s="167"/>
      <c r="AH225" s="167"/>
      <c r="AI225" s="167"/>
      <c r="AJ225" s="167"/>
      <c r="AK225" s="167"/>
      <c r="AL225" s="167"/>
      <c r="AM225" s="167"/>
      <c r="AN225" s="167"/>
      <c r="AO225" s="167"/>
      <c r="AP225" s="167"/>
      <c r="AQ225" s="167"/>
      <c r="AR225" s="167"/>
      <c r="AS225" s="167"/>
      <c r="AT225" s="167"/>
      <c r="AU225" s="167"/>
      <c r="AV225" s="167"/>
      <c r="AW225" s="167"/>
      <c r="AX225" s="167"/>
      <c r="AY225" s="167"/>
      <c r="AZ225" s="167"/>
      <c r="BA225" s="167"/>
      <c r="BB225" s="167"/>
      <c r="BC225" s="167"/>
      <c r="BD225" s="167"/>
      <c r="BE225" s="167"/>
      <c r="BF225" s="167"/>
      <c r="BG225" s="167"/>
      <c r="BH225" s="167"/>
      <c r="BI225" s="167"/>
      <c r="BJ225" s="167"/>
      <c r="BK225" s="167"/>
      <c r="BL225" s="167"/>
      <c r="BM225" s="167"/>
      <c r="BN225" s="167"/>
      <c r="BO225" s="167"/>
      <c r="BP225" s="167"/>
      <c r="BQ225" s="167"/>
      <c r="BR225" s="167"/>
      <c r="BS225" s="167"/>
      <c r="BT225" s="167"/>
      <c r="BU225" s="167"/>
      <c r="BV225" s="167"/>
      <c r="BW225" s="167"/>
      <c r="BX225" s="167"/>
      <c r="BY225" s="167"/>
      <c r="BZ225" s="167"/>
    </row>
    <row r="226" spans="23:78">
      <c r="W226" s="167"/>
      <c r="X226" s="167"/>
      <c r="Y226" s="167"/>
      <c r="Z226" s="167"/>
      <c r="AA226" s="167"/>
      <c r="AB226" s="167"/>
      <c r="AC226" s="167"/>
      <c r="AD226" s="167"/>
      <c r="AE226" s="167"/>
      <c r="AF226" s="167"/>
      <c r="AG226" s="167"/>
      <c r="AH226" s="167"/>
      <c r="AI226" s="167"/>
      <c r="AJ226" s="167"/>
      <c r="AK226" s="167"/>
      <c r="AL226" s="167"/>
      <c r="AM226" s="167"/>
      <c r="AN226" s="167"/>
      <c r="AO226" s="167"/>
      <c r="AP226" s="167"/>
      <c r="AQ226" s="167"/>
      <c r="AR226" s="167"/>
      <c r="AS226" s="167"/>
      <c r="AT226" s="167"/>
      <c r="AU226" s="167"/>
      <c r="AV226" s="167"/>
      <c r="AW226" s="167"/>
      <c r="AX226" s="167"/>
      <c r="AY226" s="167"/>
      <c r="AZ226" s="167"/>
      <c r="BA226" s="167"/>
      <c r="BB226" s="167"/>
      <c r="BC226" s="167"/>
      <c r="BD226" s="167"/>
      <c r="BE226" s="167"/>
      <c r="BF226" s="167"/>
      <c r="BG226" s="167"/>
      <c r="BH226" s="167"/>
      <c r="BI226" s="167"/>
      <c r="BJ226" s="167"/>
      <c r="BK226" s="167"/>
      <c r="BL226" s="167"/>
      <c r="BM226" s="167"/>
      <c r="BN226" s="167"/>
      <c r="BO226" s="167"/>
      <c r="BP226" s="167"/>
      <c r="BQ226" s="167"/>
      <c r="BR226" s="167"/>
      <c r="BS226" s="167"/>
      <c r="BT226" s="167"/>
      <c r="BU226" s="167"/>
      <c r="BV226" s="167"/>
      <c r="BW226" s="167"/>
      <c r="BX226" s="167"/>
      <c r="BY226" s="167"/>
      <c r="BZ226" s="167"/>
    </row>
    <row r="227" spans="23:78">
      <c r="W227" s="167"/>
      <c r="X227" s="167"/>
      <c r="Y227" s="167"/>
      <c r="Z227" s="167"/>
      <c r="AA227" s="167"/>
      <c r="AB227" s="167"/>
      <c r="AC227" s="167"/>
      <c r="AD227" s="167"/>
      <c r="AE227" s="167"/>
      <c r="AF227" s="167"/>
      <c r="AG227" s="167"/>
      <c r="AH227" s="167"/>
      <c r="AI227" s="167"/>
      <c r="AJ227" s="167"/>
      <c r="AK227" s="167"/>
      <c r="AL227" s="167"/>
      <c r="AM227" s="167"/>
      <c r="AN227" s="167"/>
      <c r="AO227" s="167"/>
      <c r="AP227" s="167"/>
      <c r="AQ227" s="167"/>
      <c r="AR227" s="167"/>
      <c r="AS227" s="167"/>
      <c r="AT227" s="167"/>
      <c r="AU227" s="167"/>
      <c r="AV227" s="167"/>
      <c r="AW227" s="167"/>
      <c r="AX227" s="167"/>
      <c r="AY227" s="167"/>
      <c r="AZ227" s="167"/>
      <c r="BA227" s="167"/>
      <c r="BB227" s="167"/>
      <c r="BC227" s="167"/>
      <c r="BD227" s="167"/>
      <c r="BE227" s="167"/>
      <c r="BF227" s="167"/>
      <c r="BG227" s="167"/>
      <c r="BH227" s="167"/>
      <c r="BI227" s="167"/>
      <c r="BJ227" s="167"/>
      <c r="BK227" s="167"/>
      <c r="BL227" s="167"/>
      <c r="BM227" s="167"/>
      <c r="BN227" s="167"/>
      <c r="BO227" s="167"/>
      <c r="BP227" s="167"/>
      <c r="BQ227" s="167"/>
      <c r="BR227" s="167"/>
      <c r="BS227" s="167"/>
      <c r="BT227" s="167"/>
      <c r="BU227" s="167"/>
      <c r="BV227" s="167"/>
      <c r="BW227" s="167"/>
      <c r="BX227" s="167"/>
      <c r="BY227" s="167"/>
      <c r="BZ227" s="167"/>
    </row>
    <row r="228" spans="23:78">
      <c r="W228" s="167"/>
      <c r="X228" s="167"/>
      <c r="Y228" s="167"/>
      <c r="Z228" s="167"/>
      <c r="AA228" s="167"/>
      <c r="AB228" s="167"/>
      <c r="AC228" s="167"/>
      <c r="AD228" s="167"/>
      <c r="AE228" s="167"/>
      <c r="AF228" s="167"/>
      <c r="AG228" s="167"/>
      <c r="AH228" s="167"/>
      <c r="AI228" s="167"/>
      <c r="AJ228" s="167"/>
      <c r="AK228" s="167"/>
      <c r="AL228" s="167"/>
      <c r="AM228" s="167"/>
      <c r="AN228" s="167"/>
      <c r="AO228" s="167"/>
      <c r="AP228" s="167"/>
      <c r="AQ228" s="167"/>
      <c r="AR228" s="167"/>
      <c r="AS228" s="167"/>
      <c r="AT228" s="167"/>
      <c r="AU228" s="167"/>
      <c r="AV228" s="167"/>
      <c r="AW228" s="167"/>
      <c r="AX228" s="167"/>
      <c r="AY228" s="167"/>
      <c r="AZ228" s="167"/>
      <c r="BA228" s="167"/>
      <c r="BB228" s="167"/>
      <c r="BC228" s="167"/>
      <c r="BD228" s="167"/>
      <c r="BE228" s="167"/>
      <c r="BF228" s="167"/>
      <c r="BG228" s="167"/>
      <c r="BH228" s="167"/>
      <c r="BI228" s="167"/>
      <c r="BJ228" s="167"/>
      <c r="BK228" s="167"/>
      <c r="BL228" s="167"/>
      <c r="BM228" s="167"/>
      <c r="BN228" s="167"/>
      <c r="BO228" s="167"/>
      <c r="BP228" s="167"/>
      <c r="BQ228" s="167"/>
      <c r="BR228" s="167"/>
      <c r="BS228" s="167"/>
      <c r="BT228" s="167"/>
      <c r="BU228" s="167"/>
      <c r="BV228" s="167"/>
      <c r="BW228" s="167"/>
      <c r="BX228" s="167"/>
      <c r="BY228" s="167"/>
      <c r="BZ228" s="167"/>
    </row>
    <row r="229" spans="23:78">
      <c r="W229" s="167"/>
      <c r="X229" s="167"/>
      <c r="Y229" s="167"/>
      <c r="Z229" s="167"/>
      <c r="AA229" s="167"/>
      <c r="AB229" s="167"/>
      <c r="AC229" s="167"/>
      <c r="AD229" s="167"/>
      <c r="AE229" s="167"/>
      <c r="AF229" s="167"/>
      <c r="AG229" s="167"/>
      <c r="AH229" s="167"/>
      <c r="AI229" s="167"/>
      <c r="AJ229" s="167"/>
      <c r="AK229" s="167"/>
      <c r="AL229" s="167"/>
      <c r="AM229" s="167"/>
      <c r="AN229" s="167"/>
      <c r="AO229" s="167"/>
      <c r="AP229" s="167"/>
      <c r="AQ229" s="167"/>
      <c r="AR229" s="167"/>
      <c r="AS229" s="167"/>
      <c r="AT229" s="167"/>
      <c r="AU229" s="167"/>
      <c r="AV229" s="167"/>
      <c r="AW229" s="167"/>
      <c r="AX229" s="167"/>
      <c r="AY229" s="167"/>
      <c r="AZ229" s="167"/>
      <c r="BA229" s="167"/>
      <c r="BB229" s="167"/>
      <c r="BC229" s="167"/>
      <c r="BD229" s="167"/>
      <c r="BE229" s="167"/>
      <c r="BF229" s="167"/>
      <c r="BG229" s="167"/>
      <c r="BH229" s="167"/>
      <c r="BI229" s="167"/>
      <c r="BJ229" s="167"/>
      <c r="BK229" s="167"/>
      <c r="BL229" s="167"/>
      <c r="BM229" s="167"/>
      <c r="BN229" s="167"/>
      <c r="BO229" s="167"/>
      <c r="BP229" s="167"/>
      <c r="BQ229" s="167"/>
      <c r="BR229" s="167"/>
      <c r="BS229" s="167"/>
      <c r="BT229" s="167"/>
      <c r="BU229" s="167"/>
      <c r="BV229" s="167"/>
      <c r="BW229" s="167"/>
      <c r="BX229" s="167"/>
      <c r="BY229" s="167"/>
      <c r="BZ229" s="167"/>
    </row>
    <row r="230" spans="23:78">
      <c r="W230" s="167"/>
      <c r="X230" s="167"/>
      <c r="Y230" s="167"/>
      <c r="Z230" s="167"/>
      <c r="AA230" s="167"/>
      <c r="AB230" s="167"/>
      <c r="AC230" s="167"/>
      <c r="AD230" s="167"/>
      <c r="AE230" s="167"/>
      <c r="AF230" s="167"/>
      <c r="AG230" s="167"/>
      <c r="AH230" s="167"/>
      <c r="AI230" s="167"/>
      <c r="AJ230" s="167"/>
      <c r="AK230" s="167"/>
      <c r="AL230" s="167"/>
      <c r="AM230" s="167"/>
      <c r="AN230" s="167"/>
      <c r="AO230" s="167"/>
      <c r="AP230" s="167"/>
      <c r="AQ230" s="167"/>
      <c r="AR230" s="167"/>
      <c r="AS230" s="167"/>
      <c r="AT230" s="167"/>
      <c r="AU230" s="167"/>
      <c r="AV230" s="167"/>
      <c r="AW230" s="167"/>
      <c r="AX230" s="167"/>
      <c r="AY230" s="167"/>
      <c r="AZ230" s="167"/>
      <c r="BA230" s="167"/>
      <c r="BB230" s="167"/>
      <c r="BC230" s="167"/>
      <c r="BD230" s="167"/>
      <c r="BE230" s="167"/>
      <c r="BF230" s="167"/>
      <c r="BG230" s="167"/>
      <c r="BH230" s="167"/>
      <c r="BI230" s="167"/>
      <c r="BJ230" s="167"/>
      <c r="BK230" s="167"/>
      <c r="BL230" s="167"/>
      <c r="BM230" s="167"/>
      <c r="BN230" s="167"/>
      <c r="BO230" s="167"/>
      <c r="BP230" s="167"/>
      <c r="BQ230" s="167"/>
      <c r="BR230" s="167"/>
      <c r="BS230" s="167"/>
      <c r="BT230" s="167"/>
      <c r="BU230" s="167"/>
      <c r="BV230" s="167"/>
      <c r="BW230" s="167"/>
      <c r="BX230" s="167"/>
      <c r="BY230" s="167"/>
      <c r="BZ230" s="167"/>
    </row>
    <row r="231" spans="23:78">
      <c r="W231" s="167"/>
      <c r="X231" s="167"/>
      <c r="Y231" s="167"/>
      <c r="Z231" s="167"/>
      <c r="AA231" s="167"/>
      <c r="AB231" s="167"/>
      <c r="AC231" s="167"/>
      <c r="AD231" s="167"/>
      <c r="AE231" s="167"/>
      <c r="AF231" s="167"/>
      <c r="AG231" s="167"/>
      <c r="AH231" s="167"/>
      <c r="AI231" s="167"/>
      <c r="AJ231" s="167"/>
      <c r="AK231" s="167"/>
      <c r="AL231" s="167"/>
      <c r="AM231" s="167"/>
      <c r="AN231" s="167"/>
      <c r="AO231" s="167"/>
      <c r="AP231" s="167"/>
      <c r="AQ231" s="167"/>
      <c r="AR231" s="167"/>
      <c r="AS231" s="167"/>
      <c r="AT231" s="167"/>
      <c r="AU231" s="167"/>
      <c r="AV231" s="167"/>
      <c r="AW231" s="167"/>
      <c r="AX231" s="167"/>
      <c r="AY231" s="167"/>
      <c r="AZ231" s="167"/>
      <c r="BA231" s="167"/>
      <c r="BB231" s="167"/>
      <c r="BC231" s="167"/>
      <c r="BD231" s="167"/>
      <c r="BE231" s="167"/>
      <c r="BF231" s="167"/>
      <c r="BG231" s="167"/>
      <c r="BH231" s="167"/>
      <c r="BI231" s="167"/>
      <c r="BJ231" s="167"/>
      <c r="BK231" s="167"/>
      <c r="BL231" s="167"/>
      <c r="BM231" s="167"/>
      <c r="BN231" s="167"/>
      <c r="BO231" s="167"/>
      <c r="BP231" s="167"/>
      <c r="BQ231" s="167"/>
      <c r="BR231" s="167"/>
      <c r="BS231" s="167"/>
      <c r="BT231" s="167"/>
      <c r="BU231" s="167"/>
      <c r="BV231" s="167"/>
      <c r="BW231" s="167"/>
      <c r="BX231" s="167"/>
      <c r="BY231" s="167"/>
      <c r="BZ231" s="167"/>
    </row>
    <row r="232" spans="23:78">
      <c r="W232" s="167"/>
      <c r="X232" s="167"/>
      <c r="Y232" s="167"/>
      <c r="Z232" s="167"/>
      <c r="AA232" s="167"/>
      <c r="AB232" s="167"/>
      <c r="AC232" s="167"/>
      <c r="AD232" s="167"/>
      <c r="AE232" s="167"/>
      <c r="AF232" s="167"/>
      <c r="AG232" s="167"/>
      <c r="AH232" s="167"/>
      <c r="AI232" s="167"/>
      <c r="AJ232" s="167"/>
      <c r="AK232" s="167"/>
      <c r="AL232" s="167"/>
      <c r="AM232" s="167"/>
      <c r="AN232" s="167"/>
      <c r="AO232" s="167"/>
      <c r="AP232" s="167"/>
      <c r="AQ232" s="167"/>
      <c r="AR232" s="167"/>
      <c r="AS232" s="167"/>
      <c r="AT232" s="167"/>
      <c r="AU232" s="167"/>
      <c r="AV232" s="167"/>
      <c r="AW232" s="167"/>
      <c r="AX232" s="167"/>
      <c r="AY232" s="167"/>
      <c r="AZ232" s="167"/>
      <c r="BA232" s="167"/>
      <c r="BB232" s="167"/>
      <c r="BC232" s="167"/>
      <c r="BD232" s="167"/>
      <c r="BE232" s="167"/>
      <c r="BF232" s="167"/>
      <c r="BG232" s="167"/>
      <c r="BH232" s="167"/>
      <c r="BI232" s="167"/>
      <c r="BJ232" s="167"/>
      <c r="BK232" s="167"/>
      <c r="BL232" s="167"/>
      <c r="BM232" s="167"/>
      <c r="BN232" s="167"/>
      <c r="BO232" s="167"/>
      <c r="BP232" s="167"/>
      <c r="BQ232" s="167"/>
      <c r="BR232" s="167"/>
      <c r="BS232" s="167"/>
      <c r="BT232" s="167"/>
      <c r="BU232" s="167"/>
      <c r="BV232" s="167"/>
      <c r="BW232" s="167"/>
      <c r="BX232" s="167"/>
      <c r="BY232" s="167"/>
      <c r="BZ232" s="167"/>
    </row>
    <row r="233" spans="23:78">
      <c r="W233" s="167"/>
      <c r="X233" s="167"/>
      <c r="Y233" s="167"/>
      <c r="Z233" s="167"/>
      <c r="AA233" s="167"/>
      <c r="AB233" s="167"/>
      <c r="AC233" s="167"/>
      <c r="AD233" s="167"/>
      <c r="AE233" s="167"/>
      <c r="AF233" s="167"/>
      <c r="AG233" s="167"/>
      <c r="AH233" s="167"/>
      <c r="AI233" s="167"/>
      <c r="AJ233" s="167"/>
      <c r="AK233" s="167"/>
      <c r="AL233" s="167"/>
      <c r="AM233" s="167"/>
      <c r="AN233" s="167"/>
      <c r="AO233" s="167"/>
      <c r="AP233" s="167"/>
      <c r="AQ233" s="167"/>
      <c r="AR233" s="167"/>
      <c r="AS233" s="167"/>
      <c r="AT233" s="167"/>
      <c r="AU233" s="167"/>
      <c r="AV233" s="167"/>
      <c r="AW233" s="167"/>
      <c r="AX233" s="167"/>
      <c r="AY233" s="167"/>
      <c r="AZ233" s="167"/>
      <c r="BA233" s="167"/>
      <c r="BB233" s="167"/>
      <c r="BC233" s="167"/>
      <c r="BD233" s="167"/>
      <c r="BE233" s="167"/>
      <c r="BF233" s="167"/>
      <c r="BG233" s="167"/>
      <c r="BH233" s="167"/>
      <c r="BI233" s="167"/>
      <c r="BJ233" s="167"/>
      <c r="BK233" s="167"/>
      <c r="BL233" s="167"/>
      <c r="BM233" s="167"/>
      <c r="BN233" s="167"/>
      <c r="BO233" s="167"/>
      <c r="BP233" s="167"/>
      <c r="BQ233" s="167"/>
      <c r="BR233" s="167"/>
      <c r="BS233" s="167"/>
      <c r="BT233" s="167"/>
      <c r="BU233" s="167"/>
      <c r="BV233" s="167"/>
      <c r="BW233" s="167"/>
      <c r="BX233" s="167"/>
      <c r="BY233" s="167"/>
      <c r="BZ233" s="167"/>
    </row>
    <row r="234" spans="23:78">
      <c r="W234" s="167"/>
      <c r="X234" s="167"/>
      <c r="Y234" s="167"/>
      <c r="Z234" s="167"/>
      <c r="AA234" s="167"/>
      <c r="AB234" s="167"/>
      <c r="AC234" s="167"/>
      <c r="AD234" s="167"/>
      <c r="AE234" s="167"/>
      <c r="AF234" s="167"/>
      <c r="AG234" s="167"/>
      <c r="AH234" s="167"/>
      <c r="AI234" s="167"/>
      <c r="AJ234" s="167"/>
      <c r="AK234" s="167"/>
      <c r="AL234" s="167"/>
      <c r="AM234" s="167"/>
      <c r="AN234" s="167"/>
      <c r="AO234" s="167"/>
      <c r="AP234" s="167"/>
      <c r="AQ234" s="167"/>
      <c r="AR234" s="167"/>
      <c r="AS234" s="167"/>
      <c r="AT234" s="167"/>
      <c r="AU234" s="167"/>
      <c r="AV234" s="167"/>
      <c r="AW234" s="167"/>
      <c r="AX234" s="167"/>
      <c r="AY234" s="167"/>
      <c r="AZ234" s="167"/>
      <c r="BA234" s="167"/>
      <c r="BB234" s="167"/>
      <c r="BC234" s="167"/>
      <c r="BD234" s="167"/>
      <c r="BE234" s="167"/>
      <c r="BF234" s="167"/>
      <c r="BG234" s="167"/>
      <c r="BH234" s="167"/>
      <c r="BI234" s="167"/>
      <c r="BJ234" s="167"/>
      <c r="BK234" s="167"/>
      <c r="BL234" s="167"/>
      <c r="BM234" s="167"/>
      <c r="BN234" s="167"/>
      <c r="BO234" s="167"/>
      <c r="BP234" s="167"/>
      <c r="BQ234" s="167"/>
      <c r="BR234" s="167"/>
      <c r="BS234" s="167"/>
      <c r="BT234" s="167"/>
      <c r="BU234" s="167"/>
      <c r="BV234" s="167"/>
      <c r="BW234" s="167"/>
      <c r="BX234" s="167"/>
      <c r="BY234" s="167"/>
      <c r="BZ234" s="167"/>
    </row>
    <row r="235" spans="23:78">
      <c r="W235" s="167"/>
      <c r="X235" s="167"/>
      <c r="Y235" s="167"/>
      <c r="Z235" s="167"/>
      <c r="AA235" s="167"/>
      <c r="AB235" s="167"/>
      <c r="AC235" s="167"/>
      <c r="AD235" s="167"/>
      <c r="AE235" s="167"/>
      <c r="AF235" s="167"/>
      <c r="AG235" s="167"/>
      <c r="AH235" s="167"/>
      <c r="AI235" s="167"/>
      <c r="AJ235" s="167"/>
      <c r="AK235" s="167"/>
      <c r="AL235" s="167"/>
      <c r="AM235" s="167"/>
      <c r="AN235" s="167"/>
      <c r="AO235" s="167"/>
      <c r="AP235" s="167"/>
      <c r="AQ235" s="167"/>
      <c r="AR235" s="167"/>
      <c r="AS235" s="167"/>
      <c r="AT235" s="167"/>
      <c r="AU235" s="167"/>
      <c r="AV235" s="167"/>
      <c r="AW235" s="167"/>
      <c r="AX235" s="167"/>
      <c r="AY235" s="167"/>
      <c r="AZ235" s="167"/>
      <c r="BA235" s="167"/>
      <c r="BB235" s="167"/>
      <c r="BC235" s="167"/>
      <c r="BD235" s="167"/>
      <c r="BE235" s="167"/>
      <c r="BF235" s="167"/>
      <c r="BG235" s="167"/>
      <c r="BH235" s="167"/>
      <c r="BI235" s="167"/>
      <c r="BJ235" s="167"/>
      <c r="BK235" s="167"/>
      <c r="BL235" s="167"/>
      <c r="BM235" s="167"/>
      <c r="BN235" s="167"/>
      <c r="BO235" s="167"/>
      <c r="BP235" s="167"/>
      <c r="BQ235" s="167"/>
      <c r="BR235" s="167"/>
      <c r="BS235" s="167"/>
      <c r="BT235" s="167"/>
      <c r="BU235" s="167"/>
      <c r="BV235" s="167"/>
      <c r="BW235" s="167"/>
      <c r="BX235" s="167"/>
      <c r="BY235" s="167"/>
      <c r="BZ235" s="167"/>
    </row>
    <row r="236" spans="23:78">
      <c r="W236" s="167"/>
      <c r="X236" s="167"/>
      <c r="Y236" s="167"/>
      <c r="Z236" s="167"/>
      <c r="AA236" s="167"/>
      <c r="AB236" s="167"/>
      <c r="AC236" s="167"/>
      <c r="AD236" s="167"/>
      <c r="AE236" s="167"/>
      <c r="AF236" s="167"/>
      <c r="AG236" s="167"/>
      <c r="AH236" s="167"/>
      <c r="AI236" s="167"/>
      <c r="AJ236" s="167"/>
      <c r="AK236" s="167"/>
      <c r="AL236" s="167"/>
      <c r="AM236" s="167"/>
      <c r="AN236" s="167"/>
      <c r="AO236" s="167"/>
      <c r="AP236" s="167"/>
      <c r="AQ236" s="167"/>
      <c r="AR236" s="167"/>
      <c r="AS236" s="167"/>
      <c r="AT236" s="167"/>
      <c r="AU236" s="167"/>
      <c r="AV236" s="167"/>
      <c r="AW236" s="167"/>
      <c r="AX236" s="167"/>
      <c r="AY236" s="167"/>
      <c r="AZ236" s="167"/>
      <c r="BA236" s="167"/>
      <c r="BB236" s="167"/>
      <c r="BC236" s="167"/>
      <c r="BD236" s="167"/>
      <c r="BE236" s="167"/>
      <c r="BF236" s="167"/>
      <c r="BG236" s="167"/>
      <c r="BH236" s="167"/>
      <c r="BI236" s="167"/>
      <c r="BJ236" s="167"/>
      <c r="BK236" s="167"/>
      <c r="BL236" s="167"/>
      <c r="BM236" s="167"/>
      <c r="BN236" s="167"/>
      <c r="BO236" s="167"/>
      <c r="BP236" s="167"/>
      <c r="BQ236" s="167"/>
      <c r="BR236" s="167"/>
      <c r="BS236" s="167"/>
      <c r="BT236" s="167"/>
      <c r="BU236" s="167"/>
      <c r="BV236" s="167"/>
      <c r="BW236" s="167"/>
      <c r="BX236" s="167"/>
      <c r="BY236" s="167"/>
      <c r="BZ236" s="167"/>
    </row>
    <row r="237" spans="23:78">
      <c r="W237" s="167"/>
      <c r="X237" s="167"/>
      <c r="Y237" s="167"/>
      <c r="Z237" s="167"/>
      <c r="AA237" s="167"/>
      <c r="AB237" s="167"/>
      <c r="AC237" s="167"/>
      <c r="AD237" s="167"/>
      <c r="AE237" s="167"/>
      <c r="AF237" s="167"/>
      <c r="AG237" s="167"/>
      <c r="AH237" s="167"/>
      <c r="AI237" s="167"/>
      <c r="AJ237" s="167"/>
      <c r="AK237" s="167"/>
      <c r="AL237" s="167"/>
      <c r="AM237" s="167"/>
      <c r="AN237" s="167"/>
      <c r="AO237" s="167"/>
      <c r="AP237" s="167"/>
      <c r="AQ237" s="167"/>
      <c r="AR237" s="167"/>
      <c r="AS237" s="167"/>
      <c r="AT237" s="167"/>
      <c r="AU237" s="167"/>
      <c r="AV237" s="167"/>
      <c r="AW237" s="167"/>
      <c r="AX237" s="167"/>
      <c r="AY237" s="167"/>
      <c r="AZ237" s="167"/>
      <c r="BA237" s="167"/>
      <c r="BB237" s="167"/>
      <c r="BC237" s="167"/>
      <c r="BD237" s="167"/>
      <c r="BE237" s="167"/>
      <c r="BF237" s="167"/>
      <c r="BG237" s="167"/>
      <c r="BH237" s="167"/>
      <c r="BI237" s="167"/>
      <c r="BJ237" s="167"/>
      <c r="BK237" s="167"/>
      <c r="BL237" s="167"/>
      <c r="BM237" s="167"/>
      <c r="BN237" s="167"/>
      <c r="BO237" s="167"/>
      <c r="BP237" s="167"/>
      <c r="BQ237" s="167"/>
      <c r="BR237" s="167"/>
      <c r="BS237" s="167"/>
      <c r="BT237" s="167"/>
      <c r="BU237" s="167"/>
      <c r="BV237" s="167"/>
      <c r="BW237" s="167"/>
      <c r="BX237" s="167"/>
      <c r="BY237" s="167"/>
      <c r="BZ237" s="167"/>
    </row>
    <row r="238" spans="23:78">
      <c r="W238" s="167"/>
      <c r="X238" s="167"/>
      <c r="Y238" s="167"/>
      <c r="Z238" s="167"/>
      <c r="AA238" s="167"/>
      <c r="AB238" s="167"/>
      <c r="AC238" s="167"/>
      <c r="AD238" s="167"/>
      <c r="AE238" s="167"/>
      <c r="AF238" s="167"/>
      <c r="AG238" s="167"/>
      <c r="AH238" s="167"/>
      <c r="AI238" s="167"/>
      <c r="AJ238" s="167"/>
      <c r="AK238" s="167"/>
      <c r="AL238" s="167"/>
      <c r="AM238" s="167"/>
      <c r="AN238" s="167"/>
      <c r="AO238" s="167"/>
      <c r="AP238" s="167"/>
      <c r="AQ238" s="167"/>
      <c r="AR238" s="167"/>
      <c r="AS238" s="167"/>
      <c r="AT238" s="167"/>
      <c r="AU238" s="167"/>
      <c r="AV238" s="167"/>
      <c r="AW238" s="167"/>
      <c r="AX238" s="167"/>
      <c r="AY238" s="167"/>
      <c r="AZ238" s="167"/>
      <c r="BA238" s="167"/>
      <c r="BB238" s="167"/>
      <c r="BC238" s="167"/>
      <c r="BD238" s="167"/>
      <c r="BE238" s="167"/>
      <c r="BF238" s="167"/>
      <c r="BG238" s="167"/>
      <c r="BH238" s="167"/>
      <c r="BI238" s="167"/>
      <c r="BJ238" s="167"/>
      <c r="BK238" s="167"/>
      <c r="BL238" s="167"/>
      <c r="BM238" s="167"/>
      <c r="BN238" s="167"/>
      <c r="BO238" s="167"/>
      <c r="BP238" s="167"/>
      <c r="BQ238" s="167"/>
      <c r="BR238" s="167"/>
      <c r="BS238" s="167"/>
      <c r="BT238" s="167"/>
      <c r="BU238" s="167"/>
      <c r="BV238" s="167"/>
      <c r="BW238" s="167"/>
      <c r="BX238" s="167"/>
      <c r="BY238" s="167"/>
      <c r="BZ238" s="167"/>
    </row>
    <row r="239" spans="23:78">
      <c r="W239" s="167"/>
      <c r="X239" s="167"/>
      <c r="Y239" s="167"/>
      <c r="Z239" s="167"/>
      <c r="AA239" s="167"/>
      <c r="AB239" s="167"/>
      <c r="AC239" s="167"/>
      <c r="AD239" s="167"/>
      <c r="AE239" s="167"/>
      <c r="AF239" s="167"/>
      <c r="AG239" s="167"/>
      <c r="AH239" s="167"/>
      <c r="AI239" s="167"/>
      <c r="AJ239" s="167"/>
      <c r="AK239" s="167"/>
      <c r="AL239" s="167"/>
      <c r="AM239" s="167"/>
      <c r="AN239" s="167"/>
      <c r="AO239" s="167"/>
      <c r="AP239" s="167"/>
      <c r="AQ239" s="167"/>
      <c r="AR239" s="167"/>
      <c r="AS239" s="167"/>
      <c r="AT239" s="167"/>
      <c r="AU239" s="167"/>
      <c r="AV239" s="167"/>
      <c r="AW239" s="167"/>
      <c r="AX239" s="167"/>
      <c r="AY239" s="167"/>
      <c r="AZ239" s="167"/>
      <c r="BA239" s="167"/>
      <c r="BB239" s="167"/>
      <c r="BC239" s="167"/>
      <c r="BD239" s="167"/>
      <c r="BE239" s="167"/>
      <c r="BF239" s="167"/>
      <c r="BG239" s="167"/>
      <c r="BH239" s="167"/>
      <c r="BI239" s="167"/>
      <c r="BJ239" s="167"/>
      <c r="BK239" s="167"/>
      <c r="BL239" s="167"/>
      <c r="BM239" s="167"/>
      <c r="BN239" s="167"/>
      <c r="BO239" s="167"/>
      <c r="BP239" s="167"/>
      <c r="BQ239" s="167"/>
      <c r="BR239" s="167"/>
      <c r="BS239" s="167"/>
      <c r="BT239" s="167"/>
      <c r="BU239" s="167"/>
      <c r="BV239" s="167"/>
      <c r="BW239" s="167"/>
      <c r="BX239" s="167"/>
      <c r="BY239" s="167"/>
      <c r="BZ239" s="167"/>
    </row>
    <row r="240" spans="23:78">
      <c r="W240" s="167"/>
      <c r="X240" s="167"/>
      <c r="Y240" s="167"/>
      <c r="Z240" s="167"/>
      <c r="AA240" s="167"/>
      <c r="AB240" s="167"/>
      <c r="AC240" s="167"/>
      <c r="AD240" s="167"/>
      <c r="AE240" s="167"/>
      <c r="AF240" s="167"/>
      <c r="AG240" s="167"/>
      <c r="AH240" s="167"/>
      <c r="AI240" s="167"/>
      <c r="AJ240" s="167"/>
      <c r="AK240" s="167"/>
      <c r="AL240" s="167"/>
      <c r="AM240" s="167"/>
      <c r="AN240" s="167"/>
      <c r="AO240" s="167"/>
      <c r="AP240" s="167"/>
      <c r="AQ240" s="167"/>
      <c r="AR240" s="167"/>
      <c r="AS240" s="167"/>
      <c r="AT240" s="167"/>
      <c r="AU240" s="167"/>
      <c r="AV240" s="167"/>
      <c r="AW240" s="167"/>
      <c r="AX240" s="167"/>
      <c r="AY240" s="167"/>
      <c r="AZ240" s="167"/>
      <c r="BA240" s="167"/>
      <c r="BB240" s="167"/>
      <c r="BC240" s="167"/>
      <c r="BD240" s="167"/>
      <c r="BE240" s="167"/>
      <c r="BF240" s="167"/>
      <c r="BG240" s="167"/>
      <c r="BH240" s="167"/>
      <c r="BI240" s="167"/>
      <c r="BJ240" s="167"/>
      <c r="BK240" s="167"/>
      <c r="BL240" s="167"/>
      <c r="BM240" s="167"/>
      <c r="BN240" s="167"/>
      <c r="BO240" s="167"/>
      <c r="BP240" s="167"/>
      <c r="BQ240" s="167"/>
      <c r="BR240" s="167"/>
      <c r="BS240" s="167"/>
      <c r="BT240" s="167"/>
      <c r="BU240" s="167"/>
      <c r="BV240" s="167"/>
      <c r="BW240" s="167"/>
      <c r="BX240" s="167"/>
      <c r="BY240" s="167"/>
      <c r="BZ240" s="167"/>
    </row>
    <row r="241" spans="23:78">
      <c r="W241" s="167"/>
      <c r="X241" s="167"/>
      <c r="Y241" s="167"/>
      <c r="Z241" s="167"/>
      <c r="AA241" s="167"/>
      <c r="AB241" s="167"/>
      <c r="AC241" s="167"/>
      <c r="AD241" s="167"/>
      <c r="AE241" s="167"/>
      <c r="AF241" s="167"/>
      <c r="AG241" s="167"/>
      <c r="AH241" s="167"/>
      <c r="AI241" s="167"/>
      <c r="AJ241" s="167"/>
      <c r="AK241" s="167"/>
      <c r="AL241" s="167"/>
      <c r="AM241" s="167"/>
      <c r="AN241" s="167"/>
      <c r="AO241" s="167"/>
      <c r="AP241" s="167"/>
      <c r="AQ241" s="167"/>
      <c r="AR241" s="167"/>
      <c r="AS241" s="167"/>
      <c r="AT241" s="167"/>
      <c r="AU241" s="167"/>
      <c r="AV241" s="167"/>
      <c r="AW241" s="167"/>
      <c r="AX241" s="167"/>
      <c r="AY241" s="167"/>
      <c r="AZ241" s="167"/>
      <c r="BA241" s="167"/>
      <c r="BB241" s="167"/>
      <c r="BC241" s="167"/>
      <c r="BD241" s="167"/>
      <c r="BE241" s="167"/>
      <c r="BF241" s="167"/>
      <c r="BG241" s="167"/>
      <c r="BH241" s="167"/>
      <c r="BI241" s="167"/>
      <c r="BJ241" s="167"/>
      <c r="BK241" s="167"/>
      <c r="BL241" s="167"/>
      <c r="BM241" s="167"/>
      <c r="BN241" s="167"/>
      <c r="BO241" s="167"/>
      <c r="BP241" s="167"/>
      <c r="BQ241" s="167"/>
      <c r="BR241" s="167"/>
      <c r="BS241" s="167"/>
      <c r="BT241" s="167"/>
      <c r="BU241" s="167"/>
      <c r="BV241" s="167"/>
      <c r="BW241" s="167"/>
      <c r="BX241" s="167"/>
      <c r="BY241" s="167"/>
      <c r="BZ241" s="167"/>
    </row>
    <row r="242" spans="23:78">
      <c r="W242" s="167"/>
      <c r="X242" s="167"/>
      <c r="Y242" s="167"/>
      <c r="Z242" s="167"/>
      <c r="AA242" s="167"/>
      <c r="AB242" s="167"/>
      <c r="AC242" s="167"/>
      <c r="AD242" s="167"/>
      <c r="AE242" s="167"/>
      <c r="AF242" s="167"/>
      <c r="AG242" s="167"/>
      <c r="AH242" s="167"/>
      <c r="AI242" s="167"/>
      <c r="AJ242" s="167"/>
      <c r="AK242" s="167"/>
      <c r="AL242" s="167"/>
      <c r="AM242" s="167"/>
      <c r="AN242" s="167"/>
      <c r="AO242" s="167"/>
      <c r="AP242" s="167"/>
      <c r="AQ242" s="167"/>
      <c r="AR242" s="167"/>
      <c r="AS242" s="167"/>
      <c r="AT242" s="167"/>
      <c r="AU242" s="167"/>
      <c r="AV242" s="167"/>
      <c r="AW242" s="167"/>
      <c r="AX242" s="167"/>
      <c r="AY242" s="167"/>
      <c r="AZ242" s="167"/>
      <c r="BA242" s="167"/>
      <c r="BB242" s="167"/>
      <c r="BC242" s="167"/>
      <c r="BD242" s="167"/>
      <c r="BE242" s="167"/>
      <c r="BF242" s="167"/>
      <c r="BG242" s="167"/>
      <c r="BH242" s="167"/>
      <c r="BI242" s="167"/>
      <c r="BJ242" s="167"/>
      <c r="BK242" s="167"/>
      <c r="BL242" s="167"/>
      <c r="BM242" s="167"/>
      <c r="BN242" s="167"/>
      <c r="BO242" s="167"/>
      <c r="BP242" s="167"/>
      <c r="BQ242" s="167"/>
      <c r="BR242" s="167"/>
      <c r="BS242" s="167"/>
      <c r="BT242" s="167"/>
      <c r="BU242" s="167"/>
      <c r="BV242" s="167"/>
      <c r="BW242" s="167"/>
      <c r="BX242" s="167"/>
      <c r="BY242" s="167"/>
      <c r="BZ242" s="167"/>
    </row>
    <row r="243" spans="23:78">
      <c r="W243" s="167"/>
      <c r="X243" s="167"/>
      <c r="Y243" s="167"/>
      <c r="Z243" s="167"/>
      <c r="AA243" s="167"/>
      <c r="AB243" s="167"/>
      <c r="AC243" s="167"/>
      <c r="AD243" s="167"/>
      <c r="AE243" s="167"/>
      <c r="AF243" s="167"/>
      <c r="AG243" s="167"/>
      <c r="AH243" s="167"/>
      <c r="AI243" s="167"/>
      <c r="AJ243" s="167"/>
      <c r="AK243" s="167"/>
      <c r="AL243" s="167"/>
      <c r="AM243" s="167"/>
      <c r="AN243" s="167"/>
      <c r="AO243" s="167"/>
      <c r="AP243" s="167"/>
      <c r="AQ243" s="167"/>
      <c r="AR243" s="167"/>
      <c r="AS243" s="167"/>
      <c r="AT243" s="167"/>
      <c r="AU243" s="167"/>
      <c r="AV243" s="167"/>
      <c r="AW243" s="167"/>
      <c r="AX243" s="167"/>
      <c r="AY243" s="167"/>
      <c r="AZ243" s="167"/>
      <c r="BA243" s="167"/>
      <c r="BB243" s="167"/>
      <c r="BC243" s="167"/>
      <c r="BD243" s="167"/>
      <c r="BE243" s="167"/>
      <c r="BF243" s="167"/>
      <c r="BG243" s="167"/>
      <c r="BH243" s="167"/>
      <c r="BI243" s="167"/>
      <c r="BJ243" s="167"/>
      <c r="BK243" s="167"/>
      <c r="BL243" s="167"/>
      <c r="BM243" s="167"/>
      <c r="BN243" s="167"/>
      <c r="BO243" s="167"/>
      <c r="BP243" s="167"/>
      <c r="BQ243" s="167"/>
      <c r="BR243" s="167"/>
      <c r="BS243" s="167"/>
      <c r="BT243" s="167"/>
      <c r="BU243" s="167"/>
      <c r="BV243" s="167"/>
      <c r="BW243" s="167"/>
      <c r="BX243" s="167"/>
      <c r="BY243" s="167"/>
      <c r="BZ243" s="167"/>
    </row>
    <row r="244" spans="23:78">
      <c r="W244" s="167"/>
      <c r="X244" s="167"/>
      <c r="Y244" s="167"/>
      <c r="Z244" s="167"/>
      <c r="AA244" s="167"/>
      <c r="AB244" s="167"/>
      <c r="AC244" s="167"/>
      <c r="AD244" s="167"/>
      <c r="AE244" s="167"/>
      <c r="AF244" s="167"/>
      <c r="AG244" s="167"/>
      <c r="AH244" s="167"/>
      <c r="AI244" s="167"/>
      <c r="AJ244" s="167"/>
      <c r="AK244" s="167"/>
      <c r="AL244" s="167"/>
      <c r="AM244" s="167"/>
      <c r="AN244" s="167"/>
      <c r="AO244" s="167"/>
      <c r="AP244" s="167"/>
      <c r="AQ244" s="167"/>
      <c r="AR244" s="167"/>
      <c r="AS244" s="167"/>
      <c r="AT244" s="167"/>
      <c r="AU244" s="167"/>
      <c r="AV244" s="167"/>
      <c r="AW244" s="167"/>
      <c r="AX244" s="167"/>
      <c r="AY244" s="167"/>
      <c r="AZ244" s="167"/>
      <c r="BA244" s="167"/>
      <c r="BB244" s="167"/>
      <c r="BC244" s="167"/>
      <c r="BD244" s="167"/>
      <c r="BE244" s="167"/>
      <c r="BF244" s="167"/>
      <c r="BG244" s="167"/>
      <c r="BH244" s="167"/>
      <c r="BI244" s="167"/>
      <c r="BJ244" s="167"/>
      <c r="BK244" s="167"/>
      <c r="BL244" s="167"/>
      <c r="BM244" s="167"/>
      <c r="BN244" s="167"/>
      <c r="BO244" s="167"/>
      <c r="BP244" s="167"/>
      <c r="BQ244" s="167"/>
      <c r="BR244" s="167"/>
      <c r="BS244" s="167"/>
      <c r="BT244" s="167"/>
      <c r="BU244" s="167"/>
      <c r="BV244" s="167"/>
      <c r="BW244" s="167"/>
      <c r="BX244" s="167"/>
      <c r="BY244" s="167"/>
      <c r="BZ244" s="167"/>
    </row>
    <row r="245" spans="23:78">
      <c r="W245" s="167"/>
      <c r="X245" s="167"/>
      <c r="Y245" s="167"/>
      <c r="Z245" s="167"/>
      <c r="AA245" s="167"/>
      <c r="AB245" s="167"/>
      <c r="AC245" s="167"/>
      <c r="AD245" s="167"/>
      <c r="AE245" s="167"/>
      <c r="AF245" s="167"/>
      <c r="AG245" s="167"/>
      <c r="AH245" s="167"/>
      <c r="AI245" s="167"/>
      <c r="AJ245" s="167"/>
      <c r="AK245" s="167"/>
      <c r="AL245" s="167"/>
      <c r="AM245" s="167"/>
      <c r="AN245" s="167"/>
      <c r="AO245" s="167"/>
      <c r="AP245" s="167"/>
      <c r="AQ245" s="167"/>
      <c r="AR245" s="167"/>
      <c r="AS245" s="167"/>
      <c r="AT245" s="167"/>
      <c r="AU245" s="167"/>
      <c r="AV245" s="167"/>
      <c r="AW245" s="167"/>
      <c r="AX245" s="167"/>
      <c r="AY245" s="167"/>
      <c r="AZ245" s="167"/>
      <c r="BA245" s="167"/>
      <c r="BB245" s="167"/>
      <c r="BC245" s="167"/>
      <c r="BD245" s="167"/>
      <c r="BE245" s="167"/>
      <c r="BF245" s="167"/>
      <c r="BG245" s="167"/>
      <c r="BH245" s="167"/>
      <c r="BI245" s="167"/>
      <c r="BJ245" s="167"/>
      <c r="BK245" s="167"/>
      <c r="BL245" s="167"/>
      <c r="BM245" s="167"/>
      <c r="BN245" s="167"/>
      <c r="BO245" s="167"/>
      <c r="BP245" s="167"/>
      <c r="BQ245" s="167"/>
      <c r="BR245" s="167"/>
      <c r="BS245" s="167"/>
      <c r="BT245" s="167"/>
      <c r="BU245" s="167"/>
      <c r="BV245" s="167"/>
      <c r="BW245" s="167"/>
      <c r="BX245" s="167"/>
      <c r="BY245" s="167"/>
      <c r="BZ245" s="167"/>
    </row>
    <row r="246" spans="23:78">
      <c r="W246" s="167"/>
      <c r="X246" s="167"/>
      <c r="Y246" s="167"/>
      <c r="Z246" s="167"/>
      <c r="AA246" s="167"/>
      <c r="AB246" s="167"/>
      <c r="AC246" s="167"/>
      <c r="AD246" s="167"/>
      <c r="AE246" s="167"/>
      <c r="AF246" s="167"/>
      <c r="AG246" s="167"/>
      <c r="AH246" s="167"/>
      <c r="AI246" s="167"/>
      <c r="AJ246" s="167"/>
      <c r="AK246" s="167"/>
      <c r="AL246" s="167"/>
      <c r="AM246" s="167"/>
      <c r="AN246" s="167"/>
      <c r="AO246" s="167"/>
      <c r="AP246" s="167"/>
      <c r="AQ246" s="167"/>
      <c r="AR246" s="167"/>
      <c r="AS246" s="167"/>
      <c r="AT246" s="167"/>
      <c r="AU246" s="167"/>
      <c r="AV246" s="167"/>
      <c r="AW246" s="167"/>
      <c r="AX246" s="167"/>
      <c r="AY246" s="167"/>
      <c r="AZ246" s="167"/>
      <c r="BA246" s="167"/>
      <c r="BB246" s="167"/>
      <c r="BC246" s="167"/>
      <c r="BD246" s="167"/>
      <c r="BE246" s="167"/>
      <c r="BF246" s="167"/>
      <c r="BG246" s="167"/>
      <c r="BH246" s="167"/>
      <c r="BI246" s="167"/>
      <c r="BJ246" s="167"/>
      <c r="BK246" s="167"/>
      <c r="BL246" s="167"/>
      <c r="BM246" s="167"/>
      <c r="BN246" s="167"/>
      <c r="BO246" s="167"/>
      <c r="BP246" s="167"/>
      <c r="BQ246" s="167"/>
      <c r="BR246" s="167"/>
      <c r="BS246" s="167"/>
      <c r="BT246" s="167"/>
      <c r="BU246" s="167"/>
      <c r="BV246" s="167"/>
      <c r="BW246" s="167"/>
      <c r="BX246" s="167"/>
      <c r="BY246" s="167"/>
      <c r="BZ246" s="167"/>
    </row>
    <row r="247" spans="23:78">
      <c r="W247" s="167"/>
      <c r="X247" s="167"/>
      <c r="Y247" s="167"/>
      <c r="Z247" s="167"/>
      <c r="AA247" s="167"/>
      <c r="AB247" s="167"/>
      <c r="AC247" s="167"/>
      <c r="AD247" s="167"/>
      <c r="AE247" s="167"/>
      <c r="AF247" s="167"/>
      <c r="AG247" s="167"/>
      <c r="AH247" s="167"/>
      <c r="AI247" s="167"/>
      <c r="AJ247" s="167"/>
      <c r="AK247" s="167"/>
      <c r="AL247" s="167"/>
      <c r="AM247" s="167"/>
      <c r="AN247" s="167"/>
      <c r="AO247" s="167"/>
      <c r="AP247" s="167"/>
      <c r="AQ247" s="167"/>
      <c r="AR247" s="167"/>
      <c r="AS247" s="167"/>
      <c r="AT247" s="167"/>
      <c r="AU247" s="167"/>
      <c r="AV247" s="167"/>
      <c r="AW247" s="167"/>
      <c r="AX247" s="167"/>
      <c r="AY247" s="167"/>
      <c r="AZ247" s="167"/>
      <c r="BA247" s="167"/>
      <c r="BB247" s="167"/>
      <c r="BC247" s="167"/>
      <c r="BD247" s="167"/>
      <c r="BE247" s="167"/>
      <c r="BF247" s="167"/>
      <c r="BG247" s="167"/>
      <c r="BH247" s="167"/>
      <c r="BI247" s="167"/>
      <c r="BJ247" s="167"/>
      <c r="BK247" s="167"/>
      <c r="BL247" s="167"/>
      <c r="BM247" s="167"/>
      <c r="BN247" s="167"/>
      <c r="BO247" s="167"/>
      <c r="BP247" s="167"/>
      <c r="BQ247" s="167"/>
      <c r="BR247" s="167"/>
      <c r="BS247" s="167"/>
      <c r="BT247" s="167"/>
      <c r="BU247" s="167"/>
      <c r="BV247" s="167"/>
      <c r="BW247" s="167"/>
      <c r="BX247" s="167"/>
      <c r="BY247" s="167"/>
      <c r="BZ247" s="167"/>
    </row>
    <row r="248" spans="23:78">
      <c r="W248" s="167"/>
      <c r="X248" s="167"/>
      <c r="Y248" s="167"/>
      <c r="Z248" s="167"/>
      <c r="AA248" s="167"/>
      <c r="AB248" s="167"/>
      <c r="AC248" s="167"/>
      <c r="AD248" s="167"/>
      <c r="AE248" s="167"/>
      <c r="AF248" s="167"/>
      <c r="AG248" s="167"/>
      <c r="AH248" s="167"/>
      <c r="AI248" s="167"/>
      <c r="AJ248" s="167"/>
      <c r="AK248" s="167"/>
      <c r="AL248" s="167"/>
      <c r="AM248" s="167"/>
      <c r="AN248" s="167"/>
      <c r="AO248" s="167"/>
      <c r="AP248" s="167"/>
      <c r="AQ248" s="167"/>
      <c r="AR248" s="167"/>
      <c r="AS248" s="167"/>
      <c r="AT248" s="167"/>
      <c r="AU248" s="167"/>
      <c r="AV248" s="167"/>
      <c r="AW248" s="167"/>
      <c r="AX248" s="167"/>
      <c r="AY248" s="167"/>
      <c r="AZ248" s="167"/>
      <c r="BA248" s="167"/>
      <c r="BB248" s="167"/>
      <c r="BC248" s="167"/>
      <c r="BD248" s="167"/>
      <c r="BE248" s="167"/>
      <c r="BF248" s="167"/>
      <c r="BG248" s="167"/>
      <c r="BH248" s="167"/>
      <c r="BI248" s="167"/>
      <c r="BJ248" s="167"/>
      <c r="BK248" s="167"/>
      <c r="BL248" s="167"/>
      <c r="BM248" s="167"/>
      <c r="BN248" s="167"/>
      <c r="BO248" s="167"/>
      <c r="BP248" s="167"/>
      <c r="BQ248" s="167"/>
      <c r="BR248" s="167"/>
      <c r="BS248" s="167"/>
      <c r="BT248" s="167"/>
      <c r="BU248" s="167"/>
      <c r="BV248" s="167"/>
      <c r="BW248" s="167"/>
      <c r="BX248" s="167"/>
      <c r="BY248" s="167"/>
      <c r="BZ248" s="167"/>
    </row>
    <row r="249" spans="23:78">
      <c r="W249" s="167"/>
      <c r="X249" s="167"/>
      <c r="Y249" s="167"/>
      <c r="Z249" s="167"/>
      <c r="AA249" s="167"/>
      <c r="AB249" s="167"/>
      <c r="AC249" s="167"/>
      <c r="AD249" s="167"/>
      <c r="AE249" s="167"/>
      <c r="AF249" s="167"/>
      <c r="AG249" s="167"/>
      <c r="AH249" s="167"/>
      <c r="AI249" s="167"/>
      <c r="AJ249" s="167"/>
      <c r="AK249" s="167"/>
      <c r="AL249" s="167"/>
      <c r="AM249" s="167"/>
      <c r="AN249" s="167"/>
      <c r="AO249" s="167"/>
      <c r="AP249" s="167"/>
      <c r="AQ249" s="167"/>
      <c r="AR249" s="167"/>
      <c r="AS249" s="167"/>
      <c r="AT249" s="167"/>
      <c r="AU249" s="167"/>
      <c r="AV249" s="167"/>
      <c r="AW249" s="167"/>
      <c r="AX249" s="167"/>
      <c r="AY249" s="167"/>
      <c r="AZ249" s="167"/>
      <c r="BA249" s="167"/>
      <c r="BB249" s="167"/>
      <c r="BC249" s="167"/>
      <c r="BD249" s="167"/>
      <c r="BE249" s="167"/>
      <c r="BF249" s="167"/>
      <c r="BG249" s="167"/>
      <c r="BH249" s="167"/>
      <c r="BI249" s="167"/>
      <c r="BJ249" s="167"/>
      <c r="BK249" s="167"/>
      <c r="BL249" s="167"/>
      <c r="BM249" s="167"/>
      <c r="BN249" s="167"/>
      <c r="BO249" s="167"/>
      <c r="BP249" s="167"/>
      <c r="BQ249" s="167"/>
      <c r="BR249" s="167"/>
      <c r="BS249" s="167"/>
      <c r="BT249" s="167"/>
      <c r="BU249" s="167"/>
      <c r="BV249" s="167"/>
      <c r="BW249" s="167"/>
      <c r="BX249" s="167"/>
      <c r="BY249" s="167"/>
      <c r="BZ249" s="167"/>
    </row>
    <row r="250" spans="23:78">
      <c r="W250" s="167"/>
      <c r="X250" s="167"/>
      <c r="Y250" s="167"/>
      <c r="Z250" s="167"/>
      <c r="AA250" s="167"/>
      <c r="AB250" s="167"/>
      <c r="AC250" s="167"/>
      <c r="AD250" s="167"/>
      <c r="AE250" s="167"/>
      <c r="AF250" s="167"/>
      <c r="AG250" s="167"/>
      <c r="AH250" s="167"/>
      <c r="AI250" s="167"/>
      <c r="AJ250" s="167"/>
      <c r="AK250" s="167"/>
      <c r="AL250" s="167"/>
      <c r="AM250" s="167"/>
      <c r="AN250" s="167"/>
      <c r="AO250" s="167"/>
      <c r="AP250" s="167"/>
      <c r="AQ250" s="167"/>
      <c r="AR250" s="167"/>
      <c r="AS250" s="167"/>
      <c r="AT250" s="167"/>
      <c r="AU250" s="167"/>
      <c r="AV250" s="167"/>
      <c r="AW250" s="167"/>
      <c r="AX250" s="167"/>
      <c r="AY250" s="167"/>
      <c r="AZ250" s="167"/>
      <c r="BA250" s="167"/>
      <c r="BB250" s="167"/>
      <c r="BC250" s="167"/>
      <c r="BD250" s="167"/>
      <c r="BE250" s="167"/>
      <c r="BF250" s="167"/>
      <c r="BG250" s="167"/>
      <c r="BH250" s="167"/>
      <c r="BI250" s="167"/>
      <c r="BJ250" s="167"/>
      <c r="BK250" s="167"/>
      <c r="BL250" s="167"/>
      <c r="BM250" s="167"/>
      <c r="BN250" s="167"/>
      <c r="BO250" s="167"/>
      <c r="BP250" s="167"/>
      <c r="BQ250" s="167"/>
      <c r="BR250" s="167"/>
      <c r="BS250" s="167"/>
      <c r="BT250" s="167"/>
      <c r="BU250" s="167"/>
      <c r="BV250" s="167"/>
      <c r="BW250" s="167"/>
      <c r="BX250" s="167"/>
      <c r="BY250" s="167"/>
      <c r="BZ250" s="167"/>
    </row>
    <row r="251" spans="23:78">
      <c r="W251" s="167"/>
      <c r="X251" s="167"/>
      <c r="Y251" s="167"/>
      <c r="Z251" s="167"/>
      <c r="AA251" s="167"/>
      <c r="AB251" s="167"/>
      <c r="AC251" s="167"/>
      <c r="AD251" s="167"/>
      <c r="AE251" s="167"/>
      <c r="AF251" s="167"/>
      <c r="AG251" s="167"/>
      <c r="AH251" s="167"/>
      <c r="AI251" s="167"/>
      <c r="AJ251" s="167"/>
      <c r="AK251" s="167"/>
      <c r="AL251" s="167"/>
      <c r="AM251" s="167"/>
      <c r="AN251" s="167"/>
      <c r="AO251" s="167"/>
      <c r="AP251" s="167"/>
      <c r="AQ251" s="167"/>
      <c r="AR251" s="167"/>
      <c r="AS251" s="167"/>
      <c r="AT251" s="167"/>
      <c r="AU251" s="167"/>
      <c r="AV251" s="167"/>
      <c r="AW251" s="167"/>
      <c r="AX251" s="167"/>
      <c r="AY251" s="167"/>
      <c r="AZ251" s="167"/>
      <c r="BA251" s="167"/>
      <c r="BB251" s="167"/>
      <c r="BC251" s="167"/>
      <c r="BD251" s="167"/>
      <c r="BE251" s="167"/>
      <c r="BF251" s="167"/>
      <c r="BG251" s="167"/>
      <c r="BH251" s="167"/>
      <c r="BI251" s="167"/>
      <c r="BJ251" s="167"/>
      <c r="BK251" s="167"/>
      <c r="BL251" s="167"/>
      <c r="BM251" s="167"/>
      <c r="BN251" s="167"/>
      <c r="BO251" s="167"/>
      <c r="BP251" s="167"/>
      <c r="BQ251" s="167"/>
      <c r="BR251" s="167"/>
      <c r="BS251" s="167"/>
      <c r="BT251" s="167"/>
      <c r="BU251" s="167"/>
      <c r="BV251" s="167"/>
      <c r="BW251" s="167"/>
      <c r="BX251" s="167"/>
      <c r="BY251" s="167"/>
      <c r="BZ251" s="167"/>
    </row>
    <row r="252" spans="23:78">
      <c r="W252" s="167"/>
      <c r="X252" s="167"/>
      <c r="Y252" s="167"/>
      <c r="Z252" s="167"/>
      <c r="AA252" s="167"/>
      <c r="AB252" s="167"/>
      <c r="AC252" s="167"/>
      <c r="AD252" s="167"/>
      <c r="AE252" s="167"/>
      <c r="AF252" s="167"/>
      <c r="AG252" s="167"/>
      <c r="AH252" s="167"/>
      <c r="AI252" s="167"/>
      <c r="AJ252" s="167"/>
      <c r="AK252" s="167"/>
      <c r="AL252" s="167"/>
      <c r="AM252" s="167"/>
      <c r="AN252" s="167"/>
      <c r="AO252" s="167"/>
      <c r="AP252" s="167"/>
      <c r="AQ252" s="167"/>
      <c r="AR252" s="167"/>
      <c r="AS252" s="167"/>
      <c r="AT252" s="167"/>
      <c r="AU252" s="167"/>
      <c r="AV252" s="167"/>
      <c r="AW252" s="167"/>
      <c r="AX252" s="167"/>
      <c r="AY252" s="167"/>
      <c r="AZ252" s="167"/>
      <c r="BA252" s="167"/>
      <c r="BB252" s="167"/>
      <c r="BC252" s="167"/>
      <c r="BD252" s="167"/>
      <c r="BE252" s="167"/>
      <c r="BF252" s="167"/>
      <c r="BG252" s="167"/>
      <c r="BH252" s="167"/>
      <c r="BI252" s="167"/>
      <c r="BJ252" s="167"/>
      <c r="BK252" s="167"/>
      <c r="BL252" s="167"/>
      <c r="BM252" s="167"/>
      <c r="BN252" s="167"/>
      <c r="BO252" s="167"/>
      <c r="BP252" s="167"/>
      <c r="BQ252" s="167"/>
      <c r="BR252" s="167"/>
      <c r="BS252" s="167"/>
      <c r="BT252" s="167"/>
      <c r="BU252" s="167"/>
      <c r="BV252" s="167"/>
      <c r="BW252" s="167"/>
      <c r="BX252" s="167"/>
      <c r="BY252" s="167"/>
      <c r="BZ252" s="167"/>
    </row>
    <row r="253" spans="23:78">
      <c r="W253" s="167"/>
      <c r="X253" s="167"/>
      <c r="Y253" s="167"/>
      <c r="Z253" s="167"/>
      <c r="AA253" s="167"/>
      <c r="AB253" s="167"/>
      <c r="AC253" s="167"/>
      <c r="AD253" s="167"/>
      <c r="AE253" s="167"/>
      <c r="AF253" s="167"/>
      <c r="AG253" s="167"/>
      <c r="AH253" s="167"/>
      <c r="AI253" s="167"/>
      <c r="AJ253" s="167"/>
      <c r="AK253" s="167"/>
      <c r="AL253" s="167"/>
      <c r="AM253" s="167"/>
      <c r="AN253" s="167"/>
      <c r="AO253" s="167"/>
      <c r="AP253" s="167"/>
      <c r="AQ253" s="167"/>
      <c r="AR253" s="167"/>
      <c r="AS253" s="167"/>
      <c r="AT253" s="167"/>
      <c r="AU253" s="167"/>
      <c r="AV253" s="167"/>
      <c r="AW253" s="167"/>
      <c r="AX253" s="167"/>
      <c r="AY253" s="167"/>
      <c r="AZ253" s="167"/>
      <c r="BA253" s="167"/>
      <c r="BB253" s="167"/>
      <c r="BC253" s="167"/>
      <c r="BD253" s="167"/>
      <c r="BE253" s="167"/>
      <c r="BF253" s="167"/>
      <c r="BG253" s="167"/>
      <c r="BH253" s="167"/>
      <c r="BI253" s="167"/>
      <c r="BJ253" s="167"/>
      <c r="BK253" s="167"/>
      <c r="BL253" s="167"/>
      <c r="BM253" s="167"/>
      <c r="BN253" s="167"/>
      <c r="BO253" s="167"/>
      <c r="BP253" s="167"/>
      <c r="BQ253" s="167"/>
      <c r="BR253" s="167"/>
      <c r="BS253" s="167"/>
      <c r="BT253" s="167"/>
      <c r="BU253" s="167"/>
      <c r="BV253" s="167"/>
      <c r="BW253" s="167"/>
      <c r="BX253" s="167"/>
      <c r="BY253" s="167"/>
      <c r="BZ253" s="167"/>
    </row>
    <row r="254" spans="23:78">
      <c r="W254" s="167"/>
      <c r="X254" s="167"/>
      <c r="Y254" s="167"/>
      <c r="Z254" s="167"/>
      <c r="AA254" s="167"/>
      <c r="AB254" s="167"/>
      <c r="AC254" s="167"/>
      <c r="AD254" s="167"/>
      <c r="AE254" s="167"/>
      <c r="AF254" s="167"/>
      <c r="AG254" s="167"/>
      <c r="AH254" s="167"/>
      <c r="AI254" s="167"/>
      <c r="AJ254" s="167"/>
      <c r="AK254" s="167"/>
      <c r="AL254" s="167"/>
      <c r="AM254" s="167"/>
      <c r="AN254" s="167"/>
      <c r="AO254" s="167"/>
      <c r="AP254" s="167"/>
      <c r="AQ254" s="167"/>
      <c r="AR254" s="167"/>
      <c r="AS254" s="167"/>
      <c r="AT254" s="167"/>
      <c r="AU254" s="167"/>
      <c r="AV254" s="167"/>
      <c r="AW254" s="167"/>
      <c r="AX254" s="167"/>
      <c r="AY254" s="167"/>
      <c r="AZ254" s="167"/>
      <c r="BA254" s="167"/>
      <c r="BB254" s="167"/>
      <c r="BC254" s="167"/>
      <c r="BD254" s="167"/>
      <c r="BE254" s="167"/>
      <c r="BF254" s="167"/>
      <c r="BG254" s="167"/>
      <c r="BH254" s="167"/>
      <c r="BI254" s="167"/>
      <c r="BJ254" s="167"/>
      <c r="BK254" s="167"/>
      <c r="BL254" s="167"/>
      <c r="BM254" s="167"/>
      <c r="BN254" s="167"/>
      <c r="BO254" s="167"/>
      <c r="BP254" s="167"/>
      <c r="BQ254" s="167"/>
      <c r="BR254" s="167"/>
      <c r="BS254" s="167"/>
      <c r="BT254" s="167"/>
      <c r="BU254" s="167"/>
      <c r="BV254" s="167"/>
      <c r="BW254" s="167"/>
      <c r="BX254" s="167"/>
      <c r="BY254" s="167"/>
      <c r="BZ254" s="167"/>
    </row>
    <row r="255" spans="23:78">
      <c r="W255" s="167"/>
      <c r="X255" s="167"/>
      <c r="Y255" s="167"/>
      <c r="Z255" s="167"/>
      <c r="AA255" s="167"/>
      <c r="AB255" s="167"/>
      <c r="AC255" s="167"/>
      <c r="AD255" s="167"/>
      <c r="AE255" s="167"/>
      <c r="AF255" s="167"/>
      <c r="AG255" s="167"/>
      <c r="AH255" s="167"/>
      <c r="AI255" s="167"/>
      <c r="AJ255" s="167"/>
      <c r="AK255" s="167"/>
      <c r="AL255" s="167"/>
      <c r="AM255" s="167"/>
      <c r="AN255" s="167"/>
      <c r="AO255" s="167"/>
      <c r="AP255" s="167"/>
      <c r="AQ255" s="167"/>
      <c r="AR255" s="167"/>
      <c r="AS255" s="167"/>
      <c r="AT255" s="167"/>
      <c r="AU255" s="167"/>
      <c r="AV255" s="167"/>
      <c r="AW255" s="167"/>
      <c r="AX255" s="167"/>
      <c r="AY255" s="167"/>
      <c r="AZ255" s="167"/>
      <c r="BA255" s="167"/>
      <c r="BB255" s="167"/>
      <c r="BC255" s="167"/>
      <c r="BD255" s="167"/>
      <c r="BE255" s="167"/>
      <c r="BF255" s="167"/>
      <c r="BG255" s="167"/>
      <c r="BH255" s="167"/>
      <c r="BI255" s="167"/>
      <c r="BJ255" s="167"/>
      <c r="BK255" s="167"/>
      <c r="BL255" s="167"/>
      <c r="BM255" s="167"/>
      <c r="BN255" s="167"/>
      <c r="BO255" s="167"/>
      <c r="BP255" s="167"/>
      <c r="BQ255" s="167"/>
      <c r="BR255" s="167"/>
      <c r="BS255" s="167"/>
      <c r="BT255" s="167"/>
      <c r="BU255" s="167"/>
      <c r="BV255" s="167"/>
      <c r="BW255" s="167"/>
      <c r="BX255" s="167"/>
      <c r="BY255" s="167"/>
      <c r="BZ255" s="167"/>
    </row>
    <row r="256" spans="23:78">
      <c r="W256" s="167"/>
      <c r="X256" s="167"/>
      <c r="Y256" s="167"/>
      <c r="Z256" s="167"/>
      <c r="AA256" s="167"/>
      <c r="AB256" s="167"/>
      <c r="AC256" s="167"/>
      <c r="AD256" s="167"/>
      <c r="AE256" s="167"/>
      <c r="AF256" s="167"/>
      <c r="AG256" s="167"/>
      <c r="AH256" s="167"/>
      <c r="AI256" s="167"/>
      <c r="AJ256" s="167"/>
      <c r="AK256" s="167"/>
      <c r="AL256" s="167"/>
      <c r="AM256" s="167"/>
      <c r="AN256" s="167"/>
      <c r="AO256" s="167"/>
      <c r="AP256" s="167"/>
      <c r="AQ256" s="167"/>
      <c r="AR256" s="167"/>
      <c r="AS256" s="167"/>
      <c r="AT256" s="167"/>
      <c r="AU256" s="167"/>
      <c r="AV256" s="167"/>
      <c r="AW256" s="167"/>
      <c r="AX256" s="167"/>
      <c r="AY256" s="167"/>
      <c r="AZ256" s="167"/>
      <c r="BA256" s="167"/>
      <c r="BB256" s="167"/>
      <c r="BC256" s="167"/>
      <c r="BD256" s="167"/>
      <c r="BE256" s="167"/>
      <c r="BF256" s="167"/>
      <c r="BG256" s="167"/>
      <c r="BH256" s="167"/>
      <c r="BI256" s="167"/>
      <c r="BJ256" s="167"/>
      <c r="BK256" s="167"/>
      <c r="BL256" s="167"/>
      <c r="BM256" s="167"/>
      <c r="BN256" s="167"/>
      <c r="BO256" s="167"/>
      <c r="BP256" s="167"/>
      <c r="BQ256" s="167"/>
      <c r="BR256" s="167"/>
      <c r="BS256" s="167"/>
      <c r="BT256" s="167"/>
      <c r="BU256" s="167"/>
      <c r="BV256" s="167"/>
      <c r="BW256" s="167"/>
      <c r="BX256" s="167"/>
      <c r="BY256" s="167"/>
      <c r="BZ256" s="167"/>
    </row>
    <row r="257" spans="23:78">
      <c r="W257" s="167"/>
      <c r="X257" s="167"/>
      <c r="Y257" s="167"/>
      <c r="Z257" s="167"/>
      <c r="AA257" s="167"/>
      <c r="AB257" s="167"/>
      <c r="AC257" s="167"/>
      <c r="AD257" s="167"/>
      <c r="AE257" s="167"/>
      <c r="AF257" s="167"/>
      <c r="AG257" s="167"/>
      <c r="AH257" s="167"/>
      <c r="AI257" s="167"/>
      <c r="AJ257" s="167"/>
      <c r="AK257" s="167"/>
      <c r="AL257" s="167"/>
      <c r="AM257" s="167"/>
      <c r="AN257" s="167"/>
      <c r="AO257" s="167"/>
      <c r="AP257" s="167"/>
      <c r="AQ257" s="167"/>
      <c r="AR257" s="167"/>
      <c r="AS257" s="167"/>
      <c r="AT257" s="167"/>
      <c r="AU257" s="167"/>
      <c r="AV257" s="167"/>
      <c r="AW257" s="167"/>
      <c r="AX257" s="167"/>
      <c r="AY257" s="167"/>
      <c r="AZ257" s="167"/>
      <c r="BA257" s="167"/>
      <c r="BB257" s="167"/>
      <c r="BC257" s="167"/>
      <c r="BD257" s="167"/>
      <c r="BE257" s="167"/>
      <c r="BF257" s="167"/>
      <c r="BG257" s="167"/>
      <c r="BH257" s="167"/>
      <c r="BI257" s="167"/>
      <c r="BJ257" s="167"/>
      <c r="BK257" s="167"/>
      <c r="BL257" s="167"/>
      <c r="BM257" s="167"/>
      <c r="BN257" s="167"/>
      <c r="BO257" s="167"/>
      <c r="BP257" s="167"/>
      <c r="BQ257" s="167"/>
      <c r="BR257" s="167"/>
      <c r="BS257" s="167"/>
      <c r="BT257" s="167"/>
      <c r="BU257" s="167"/>
      <c r="BV257" s="167"/>
      <c r="BW257" s="167"/>
      <c r="BX257" s="167"/>
      <c r="BY257" s="167"/>
      <c r="BZ257" s="167"/>
    </row>
    <row r="258" spans="23:78">
      <c r="W258" s="167"/>
      <c r="X258" s="167"/>
      <c r="Y258" s="167"/>
      <c r="Z258" s="167"/>
      <c r="AA258" s="167"/>
      <c r="AB258" s="167"/>
      <c r="AC258" s="167"/>
      <c r="AD258" s="167"/>
      <c r="AE258" s="167"/>
      <c r="AF258" s="167"/>
      <c r="AG258" s="167"/>
      <c r="AH258" s="167"/>
      <c r="AI258" s="167"/>
      <c r="AJ258" s="167"/>
      <c r="AK258" s="167"/>
      <c r="AL258" s="167"/>
      <c r="AM258" s="167"/>
      <c r="AN258" s="167"/>
      <c r="AO258" s="167"/>
      <c r="AP258" s="167"/>
      <c r="AQ258" s="167"/>
      <c r="AR258" s="167"/>
      <c r="AS258" s="167"/>
      <c r="AT258" s="167"/>
      <c r="AU258" s="167"/>
      <c r="AV258" s="167"/>
      <c r="AW258" s="167"/>
      <c r="AX258" s="167"/>
      <c r="AY258" s="167"/>
      <c r="AZ258" s="167"/>
      <c r="BA258" s="167"/>
      <c r="BB258" s="167"/>
      <c r="BC258" s="167"/>
      <c r="BD258" s="167"/>
      <c r="BE258" s="167"/>
      <c r="BF258" s="167"/>
      <c r="BG258" s="167"/>
      <c r="BH258" s="167"/>
      <c r="BI258" s="167"/>
      <c r="BJ258" s="167"/>
      <c r="BK258" s="167"/>
      <c r="BL258" s="167"/>
      <c r="BM258" s="167"/>
      <c r="BN258" s="167"/>
      <c r="BO258" s="167"/>
      <c r="BP258" s="167"/>
      <c r="BQ258" s="167"/>
      <c r="BR258" s="167"/>
      <c r="BS258" s="167"/>
      <c r="BT258" s="167"/>
      <c r="BU258" s="167"/>
      <c r="BV258" s="167"/>
      <c r="BW258" s="167"/>
      <c r="BX258" s="167"/>
      <c r="BY258" s="167"/>
      <c r="BZ258" s="167"/>
    </row>
    <row r="259" spans="23:78">
      <c r="W259" s="167"/>
      <c r="X259" s="167"/>
      <c r="Y259" s="167"/>
      <c r="Z259" s="167"/>
      <c r="AA259" s="167"/>
      <c r="AB259" s="167"/>
      <c r="AC259" s="167"/>
      <c r="AD259" s="167"/>
      <c r="AE259" s="167"/>
      <c r="AF259" s="167"/>
      <c r="AG259" s="167"/>
      <c r="AH259" s="167"/>
      <c r="AI259" s="167"/>
      <c r="AJ259" s="167"/>
      <c r="AK259" s="167"/>
      <c r="AL259" s="167"/>
      <c r="AM259" s="167"/>
      <c r="AN259" s="167"/>
      <c r="AO259" s="167"/>
      <c r="AP259" s="167"/>
      <c r="AQ259" s="167"/>
      <c r="AR259" s="167"/>
      <c r="AS259" s="167"/>
      <c r="AT259" s="167"/>
      <c r="AU259" s="167"/>
      <c r="AV259" s="167"/>
      <c r="AW259" s="167"/>
      <c r="AX259" s="167"/>
      <c r="AY259" s="167"/>
      <c r="AZ259" s="167"/>
      <c r="BA259" s="167"/>
      <c r="BB259" s="167"/>
      <c r="BC259" s="167"/>
      <c r="BD259" s="167"/>
      <c r="BE259" s="167"/>
      <c r="BF259" s="167"/>
      <c r="BG259" s="167"/>
      <c r="BH259" s="167"/>
      <c r="BI259" s="167"/>
      <c r="BJ259" s="167"/>
      <c r="BK259" s="167"/>
      <c r="BL259" s="167"/>
      <c r="BM259" s="167"/>
      <c r="BN259" s="167"/>
      <c r="BO259" s="167"/>
      <c r="BP259" s="167"/>
      <c r="BQ259" s="167"/>
      <c r="BR259" s="167"/>
      <c r="BS259" s="167"/>
      <c r="BT259" s="167"/>
      <c r="BU259" s="167"/>
      <c r="BV259" s="167"/>
      <c r="BW259" s="167"/>
      <c r="BX259" s="167"/>
      <c r="BY259" s="167"/>
      <c r="BZ259" s="167"/>
    </row>
    <row r="260" spans="23:78">
      <c r="W260" s="167"/>
      <c r="X260" s="167"/>
      <c r="Y260" s="167"/>
      <c r="Z260" s="167"/>
      <c r="AA260" s="167"/>
      <c r="AB260" s="167"/>
      <c r="AC260" s="167"/>
      <c r="AD260" s="167"/>
      <c r="AE260" s="167"/>
      <c r="AF260" s="167"/>
      <c r="AG260" s="167"/>
      <c r="AH260" s="167"/>
      <c r="AI260" s="167"/>
      <c r="AJ260" s="167"/>
      <c r="AK260" s="167"/>
      <c r="AL260" s="167"/>
      <c r="AM260" s="167"/>
      <c r="AN260" s="167"/>
      <c r="AO260" s="167"/>
      <c r="AP260" s="167"/>
      <c r="AQ260" s="167"/>
      <c r="AR260" s="167"/>
      <c r="AS260" s="167"/>
      <c r="AT260" s="167"/>
      <c r="AU260" s="167"/>
      <c r="AV260" s="167"/>
      <c r="AW260" s="167"/>
      <c r="AX260" s="167"/>
      <c r="AY260" s="167"/>
      <c r="AZ260" s="167"/>
      <c r="BA260" s="167"/>
      <c r="BB260" s="167"/>
      <c r="BC260" s="167"/>
      <c r="BD260" s="167"/>
      <c r="BE260" s="167"/>
      <c r="BF260" s="167"/>
      <c r="BG260" s="167"/>
      <c r="BH260" s="167"/>
      <c r="BI260" s="167"/>
      <c r="BJ260" s="167"/>
      <c r="BK260" s="167"/>
      <c r="BL260" s="167"/>
      <c r="BM260" s="167"/>
      <c r="BN260" s="167"/>
      <c r="BO260" s="167"/>
      <c r="BP260" s="167"/>
      <c r="BQ260" s="167"/>
      <c r="BR260" s="167"/>
      <c r="BS260" s="167"/>
      <c r="BT260" s="167"/>
      <c r="BU260" s="167"/>
      <c r="BV260" s="167"/>
      <c r="BW260" s="167"/>
      <c r="BX260" s="167"/>
      <c r="BY260" s="167"/>
      <c r="BZ260" s="167"/>
    </row>
    <row r="261" spans="23:78">
      <c r="W261" s="167"/>
      <c r="X261" s="167"/>
      <c r="Y261" s="167"/>
      <c r="Z261" s="167"/>
      <c r="AA261" s="167"/>
      <c r="AB261" s="167"/>
      <c r="AC261" s="167"/>
      <c r="AD261" s="167"/>
      <c r="AE261" s="167"/>
      <c r="AF261" s="167"/>
      <c r="AG261" s="167"/>
      <c r="AH261" s="167"/>
      <c r="AI261" s="167"/>
      <c r="AJ261" s="167"/>
      <c r="AK261" s="167"/>
      <c r="AL261" s="167"/>
      <c r="AM261" s="167"/>
      <c r="AN261" s="167"/>
      <c r="AO261" s="167"/>
      <c r="AP261" s="167"/>
      <c r="AQ261" s="167"/>
      <c r="AR261" s="167"/>
      <c r="AS261" s="167"/>
      <c r="AT261" s="167"/>
      <c r="AU261" s="167"/>
      <c r="AV261" s="167"/>
      <c r="AW261" s="167"/>
      <c r="AX261" s="167"/>
      <c r="AY261" s="167"/>
      <c r="AZ261" s="167"/>
      <c r="BA261" s="167"/>
      <c r="BB261" s="167"/>
      <c r="BC261" s="167"/>
      <c r="BD261" s="167"/>
      <c r="BE261" s="167"/>
      <c r="BF261" s="167"/>
      <c r="BG261" s="167"/>
      <c r="BH261" s="167"/>
      <c r="BI261" s="167"/>
      <c r="BJ261" s="167"/>
      <c r="BK261" s="167"/>
      <c r="BL261" s="167"/>
      <c r="BM261" s="167"/>
      <c r="BN261" s="167"/>
      <c r="BO261" s="167"/>
      <c r="BP261" s="167"/>
      <c r="BQ261" s="167"/>
      <c r="BR261" s="167"/>
      <c r="BS261" s="167"/>
      <c r="BT261" s="167"/>
      <c r="BU261" s="167"/>
      <c r="BV261" s="167"/>
      <c r="BW261" s="167"/>
      <c r="BX261" s="167"/>
      <c r="BY261" s="167"/>
      <c r="BZ261" s="167"/>
    </row>
    <row r="262" spans="23:78">
      <c r="W262" s="167"/>
      <c r="X262" s="167"/>
      <c r="Y262" s="167"/>
      <c r="Z262" s="167"/>
      <c r="AA262" s="167"/>
      <c r="AB262" s="167"/>
      <c r="AC262" s="167"/>
      <c r="AD262" s="167"/>
      <c r="AE262" s="167"/>
      <c r="AF262" s="167"/>
      <c r="AG262" s="167"/>
      <c r="AH262" s="167"/>
      <c r="AI262" s="167"/>
      <c r="AJ262" s="167"/>
      <c r="AK262" s="167"/>
      <c r="AL262" s="167"/>
      <c r="AM262" s="167"/>
      <c r="AN262" s="167"/>
      <c r="AO262" s="167"/>
      <c r="AP262" s="167"/>
      <c r="AQ262" s="167"/>
      <c r="AR262" s="167"/>
      <c r="AS262" s="167"/>
      <c r="AT262" s="167"/>
      <c r="AU262" s="167"/>
      <c r="AV262" s="167"/>
      <c r="AW262" s="167"/>
      <c r="AX262" s="167"/>
      <c r="AY262" s="167"/>
      <c r="AZ262" s="167"/>
      <c r="BA262" s="167"/>
      <c r="BB262" s="167"/>
      <c r="BC262" s="167"/>
      <c r="BD262" s="167"/>
      <c r="BE262" s="167"/>
      <c r="BF262" s="167"/>
      <c r="BG262" s="167"/>
      <c r="BH262" s="167"/>
      <c r="BI262" s="167"/>
      <c r="BJ262" s="167"/>
      <c r="BK262" s="167"/>
      <c r="BL262" s="167"/>
      <c r="BM262" s="167"/>
      <c r="BN262" s="167"/>
      <c r="BO262" s="167"/>
      <c r="BP262" s="167"/>
      <c r="BQ262" s="167"/>
      <c r="BR262" s="167"/>
      <c r="BS262" s="167"/>
      <c r="BT262" s="167"/>
      <c r="BU262" s="167"/>
      <c r="BV262" s="167"/>
      <c r="BW262" s="167"/>
      <c r="BX262" s="167"/>
      <c r="BY262" s="167"/>
      <c r="BZ262" s="167"/>
    </row>
    <row r="263" spans="23:78">
      <c r="W263" s="167"/>
      <c r="X263" s="167"/>
      <c r="Y263" s="167"/>
      <c r="Z263" s="167"/>
      <c r="AA263" s="167"/>
      <c r="AB263" s="167"/>
      <c r="AC263" s="167"/>
      <c r="AD263" s="167"/>
      <c r="AE263" s="167"/>
      <c r="AF263" s="167"/>
      <c r="AG263" s="167"/>
      <c r="AH263" s="167"/>
      <c r="AI263" s="167"/>
      <c r="AJ263" s="167"/>
      <c r="AK263" s="167"/>
      <c r="AL263" s="167"/>
      <c r="AM263" s="167"/>
      <c r="AN263" s="167"/>
      <c r="AO263" s="167"/>
      <c r="AP263" s="167"/>
      <c r="AQ263" s="167"/>
      <c r="AR263" s="167"/>
      <c r="AS263" s="167"/>
      <c r="AT263" s="167"/>
      <c r="AU263" s="167"/>
      <c r="AV263" s="167"/>
      <c r="AW263" s="167"/>
      <c r="AX263" s="167"/>
      <c r="AY263" s="167"/>
      <c r="AZ263" s="167"/>
      <c r="BA263" s="167"/>
      <c r="BB263" s="167"/>
      <c r="BC263" s="167"/>
      <c r="BD263" s="167"/>
      <c r="BE263" s="167"/>
      <c r="BF263" s="167"/>
      <c r="BG263" s="167"/>
      <c r="BH263" s="167"/>
      <c r="BI263" s="167"/>
      <c r="BJ263" s="167"/>
      <c r="BK263" s="167"/>
      <c r="BL263" s="167"/>
      <c r="BM263" s="167"/>
      <c r="BN263" s="167"/>
      <c r="BO263" s="167"/>
      <c r="BP263" s="167"/>
      <c r="BQ263" s="167"/>
      <c r="BR263" s="167"/>
      <c r="BS263" s="167"/>
      <c r="BT263" s="167"/>
      <c r="BU263" s="167"/>
      <c r="BV263" s="167"/>
      <c r="BW263" s="167"/>
      <c r="BX263" s="167"/>
      <c r="BY263" s="167"/>
      <c r="BZ263" s="167"/>
    </row>
    <row r="264" spans="23:78">
      <c r="W264" s="167"/>
      <c r="X264" s="167"/>
      <c r="Y264" s="167"/>
      <c r="Z264" s="167"/>
      <c r="AA264" s="167"/>
      <c r="AB264" s="167"/>
      <c r="AC264" s="167"/>
      <c r="AD264" s="167"/>
      <c r="AE264" s="167"/>
      <c r="AF264" s="167"/>
      <c r="AG264" s="167"/>
      <c r="AH264" s="167"/>
      <c r="AI264" s="167"/>
      <c r="AJ264" s="167"/>
      <c r="AK264" s="167"/>
      <c r="AL264" s="167"/>
      <c r="AM264" s="167"/>
      <c r="AN264" s="167"/>
      <c r="AO264" s="167"/>
      <c r="AP264" s="167"/>
      <c r="AQ264" s="167"/>
      <c r="AR264" s="167"/>
      <c r="AS264" s="167"/>
      <c r="AT264" s="167"/>
      <c r="AU264" s="167"/>
      <c r="AV264" s="167"/>
      <c r="AW264" s="167"/>
      <c r="AX264" s="167"/>
      <c r="AY264" s="167"/>
      <c r="AZ264" s="167"/>
      <c r="BA264" s="167"/>
      <c r="BB264" s="167"/>
      <c r="BC264" s="167"/>
      <c r="BD264" s="167"/>
      <c r="BE264" s="167"/>
      <c r="BF264" s="167"/>
      <c r="BG264" s="167"/>
      <c r="BH264" s="167"/>
      <c r="BI264" s="167"/>
      <c r="BJ264" s="167"/>
      <c r="BK264" s="167"/>
      <c r="BL264" s="167"/>
      <c r="BM264" s="167"/>
      <c r="BN264" s="167"/>
      <c r="BO264" s="167"/>
      <c r="BP264" s="167"/>
      <c r="BQ264" s="167"/>
      <c r="BR264" s="167"/>
      <c r="BS264" s="167"/>
      <c r="BT264" s="167"/>
      <c r="BU264" s="167"/>
      <c r="BV264" s="167"/>
      <c r="BW264" s="167"/>
      <c r="BX264" s="167"/>
      <c r="BY264" s="167"/>
      <c r="BZ264" s="167"/>
    </row>
    <row r="265" spans="23:78">
      <c r="W265" s="167"/>
      <c r="X265" s="167"/>
      <c r="Y265" s="167"/>
      <c r="Z265" s="167"/>
      <c r="AA265" s="167"/>
      <c r="AB265" s="167"/>
      <c r="AC265" s="167"/>
      <c r="AD265" s="167"/>
      <c r="AE265" s="167"/>
      <c r="AF265" s="167"/>
      <c r="AG265" s="167"/>
      <c r="AH265" s="167"/>
      <c r="AI265" s="167"/>
      <c r="AJ265" s="167"/>
      <c r="AK265" s="167"/>
      <c r="AL265" s="167"/>
      <c r="AM265" s="167"/>
      <c r="AN265" s="167"/>
      <c r="AO265" s="167"/>
      <c r="AP265" s="167"/>
      <c r="AQ265" s="167"/>
      <c r="AR265" s="167"/>
      <c r="AS265" s="167"/>
      <c r="AT265" s="167"/>
      <c r="AU265" s="167"/>
      <c r="AV265" s="167"/>
      <c r="AW265" s="167"/>
      <c r="AX265" s="167"/>
      <c r="AY265" s="167"/>
      <c r="AZ265" s="167"/>
      <c r="BA265" s="167"/>
      <c r="BB265" s="167"/>
      <c r="BC265" s="167"/>
      <c r="BD265" s="167"/>
      <c r="BE265" s="167"/>
      <c r="BF265" s="167"/>
      <c r="BG265" s="167"/>
      <c r="BH265" s="167"/>
      <c r="BI265" s="167"/>
      <c r="BJ265" s="167"/>
      <c r="BK265" s="167"/>
      <c r="BL265" s="167"/>
      <c r="BM265" s="167"/>
      <c r="BN265" s="167"/>
      <c r="BO265" s="167"/>
      <c r="BP265" s="167"/>
      <c r="BQ265" s="167"/>
      <c r="BR265" s="167"/>
      <c r="BS265" s="167"/>
      <c r="BT265" s="167"/>
      <c r="BU265" s="167"/>
      <c r="BV265" s="167"/>
      <c r="BW265" s="167"/>
      <c r="BX265" s="167"/>
      <c r="BY265" s="167"/>
      <c r="BZ265" s="167"/>
    </row>
  </sheetData>
  <mergeCells count="14">
    <mergeCell ref="B2:W4"/>
    <mergeCell ref="C103:C104"/>
    <mergeCell ref="D103:D104"/>
    <mergeCell ref="B68:H70"/>
    <mergeCell ref="B10:W12"/>
    <mergeCell ref="B40:W42"/>
    <mergeCell ref="Q68:W70"/>
    <mergeCell ref="B124:D124"/>
    <mergeCell ref="C122:D122"/>
    <mergeCell ref="C123:D123"/>
    <mergeCell ref="B99:D101"/>
    <mergeCell ref="J68:O70"/>
    <mergeCell ref="C120:D120"/>
    <mergeCell ref="C121:D121"/>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promptTitle="Choisissez l'année" xr:uid="{50D4F81E-42BF-444B-991C-9460C259FFE6}">
          <x14:formula1>
            <xm:f>RESUME!$D$16:$D$38</xm:f>
          </x14:formula1>
          <xm:sqref>C7</xm:sqref>
        </x14:dataValidation>
        <x14:dataValidation type="list" allowBlank="1" showInputMessage="1" showErrorMessage="1" xr:uid="{CA8B2ACF-A946-4AFB-A2FE-8EDE6BD6026B}">
          <x14:formula1>
            <xm:f>CALCULES!$A$3:$A$92</xm:f>
          </x14:formula1>
          <xm:sqref>K7 C103:D104</xm:sqref>
        </x14:dataValidation>
      </x14:dataValidations>
    </ext>
  </extLst>
</worksheet>
</file>

<file path=docMetadata/LabelInfo.xml><?xml version="1.0" encoding="utf-8"?>
<clbl:labelList xmlns:clbl="http://schemas.microsoft.com/office/2020/mipLabelMetadata">
  <clbl:label id="{d77b3947-54a8-4040-9a24-7c80cd4ab53c}" enabled="1" method="Standard" siteId="{ac46c831-4519-43f7-b460-6bbfc2b258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README</vt:lpstr>
      <vt:lpstr>DATA_DICTIONNAIRE</vt:lpstr>
      <vt:lpstr>KPI_DICTIONNAIRE</vt:lpstr>
      <vt:lpstr>DATA_BRUT</vt:lpstr>
      <vt:lpstr>DATA_QUALITE</vt:lpstr>
      <vt:lpstr>DATA_CLEANED</vt:lpstr>
      <vt:lpstr>CALCULES</vt:lpstr>
      <vt:lpstr>RESUME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Arnold</dc:creator>
  <cp:lastModifiedBy>Arnold</cp:lastModifiedBy>
  <dcterms:created xsi:type="dcterms:W3CDTF">2026-07-27T09:37:57Z</dcterms:created>
  <dcterms:modified xsi:type="dcterms:W3CDTF">2026-08-19T19:18:31Z</dcterms:modified>
</cp:coreProperties>
</file>